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onov\Downloads\"/>
    </mc:Choice>
  </mc:AlternateContent>
  <xr:revisionPtr revIDLastSave="0" documentId="8_{5738CF4F-5B6E-4124-B032-DF38653E0423}" xr6:coauthVersionLast="47" xr6:coauthVersionMax="47" xr10:uidLastSave="{00000000-0000-0000-0000-000000000000}"/>
  <bookViews>
    <workbookView xWindow="-120" yWindow="-120" windowWidth="29040" windowHeight="15720" tabRatio="916" xr2:uid="{C8B3E59D-8AF8-4EA7-97F7-0C8C1C32665F}"/>
  </bookViews>
  <sheets>
    <sheet name="Monitor" sheetId="1" r:id="rId1"/>
    <sheet name="INPUT" sheetId="14" r:id="rId2"/>
    <sheet name="COT-G362" sheetId="2" r:id="rId3"/>
    <sheet name="EUA option-G363" sheetId="11" r:id="rId4"/>
    <sheet name="25Delta-G364" sheetId="12" r:id="rId5"/>
    <sheet name="power generation-G355" sheetId="5" r:id="rId6"/>
    <sheet name="25Delta" sheetId="29" r:id="rId7"/>
    <sheet name="Auction" sheetId="3" r:id="rId8"/>
    <sheet name="TA" sheetId="8" r:id="rId9"/>
    <sheet name="MA" sheetId="15" r:id="rId10"/>
    <sheet name="ICE" sheetId="7" r:id="rId11"/>
    <sheet name="ICE Value" sheetId="9" r:id="rId12"/>
    <sheet name="Option Time series" sheetId="25" r:id="rId13"/>
    <sheet name="Call_Sep" sheetId="16" r:id="rId14"/>
    <sheet name="Put_Sep" sheetId="17" r:id="rId15"/>
    <sheet name="Call_Dec" sheetId="26" r:id="rId16"/>
    <sheet name="Put_Dec" sheetId="27" r:id="rId17"/>
    <sheet name="Call_Mar" sheetId="18" r:id="rId18"/>
    <sheet name="Put_Mar" sheetId="19" r:id="rId19"/>
    <sheet name="Call_Jun" sheetId="23" r:id="rId20"/>
    <sheet name="Put_Jun" sheetId="24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" i="1" l="1"/>
  <c r="K21" i="1"/>
  <c r="J21" i="1"/>
  <c r="I21" i="1"/>
  <c r="F21" i="1"/>
  <c r="E21" i="1"/>
  <c r="D21" i="1"/>
  <c r="K27" i="1"/>
  <c r="J27" i="1"/>
  <c r="I27" i="1"/>
  <c r="F27" i="1"/>
  <c r="E27" i="1"/>
  <c r="D27" i="1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2" i="29"/>
  <c r="S3" i="29"/>
  <c r="S4" i="29"/>
  <c r="S5" i="29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2" i="29"/>
  <c r="K19" i="1"/>
  <c r="J19" i="1"/>
  <c r="I19" i="1"/>
  <c r="F19" i="1"/>
  <c r="E19" i="1"/>
  <c r="D19" i="1"/>
  <c r="K26" i="1"/>
  <c r="J26" i="1"/>
  <c r="I26" i="1"/>
  <c r="F26" i="1"/>
  <c r="E26" i="1"/>
  <c r="D26" i="1"/>
  <c r="K18" i="1"/>
  <c r="J18" i="1"/>
  <c r="I18" i="1"/>
  <c r="F18" i="1"/>
  <c r="E18" i="1"/>
  <c r="D18" i="1"/>
  <c r="K25" i="1"/>
  <c r="J25" i="1"/>
  <c r="I25" i="1"/>
  <c r="F25" i="1"/>
  <c r="E25" i="1"/>
  <c r="D25" i="1"/>
  <c r="K15" i="1"/>
  <c r="J15" i="1"/>
  <c r="I15" i="1"/>
  <c r="F15" i="1"/>
  <c r="E15" i="1"/>
  <c r="D15" i="1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3" i="15"/>
  <c r="A4" i="15"/>
  <c r="A5" i="15"/>
  <c r="A6" i="15"/>
  <c r="A7" i="15"/>
  <c r="A8" i="15"/>
  <c r="A9" i="15"/>
  <c r="K1" i="15" s="1" a="1"/>
  <c r="K1" i="15" s="1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001" i="8"/>
  <c r="X1002" i="8"/>
  <c r="X1003" i="8"/>
  <c r="X1004" i="8"/>
  <c r="X1005" i="8"/>
  <c r="X1006" i="8"/>
  <c r="X1007" i="8"/>
  <c r="X1008" i="8"/>
  <c r="X1009" i="8"/>
  <c r="X1010" i="8"/>
  <c r="X1011" i="8"/>
  <c r="X1012" i="8"/>
  <c r="X1013" i="8"/>
  <c r="X1014" i="8"/>
  <c r="X1015" i="8"/>
  <c r="X1016" i="8"/>
  <c r="X1017" i="8"/>
  <c r="X1018" i="8"/>
  <c r="X1019" i="8"/>
  <c r="X1020" i="8"/>
  <c r="X1021" i="8"/>
  <c r="X1022" i="8"/>
  <c r="X1023" i="8"/>
  <c r="X1024" i="8"/>
  <c r="X1025" i="8"/>
  <c r="X1026" i="8"/>
  <c r="X1027" i="8"/>
  <c r="X1028" i="8"/>
  <c r="X1029" i="8"/>
  <c r="X1030" i="8"/>
  <c r="X1031" i="8"/>
  <c r="X1032" i="8"/>
  <c r="X1033" i="8"/>
  <c r="X1034" i="8"/>
  <c r="X1035" i="8"/>
  <c r="X1036" i="8"/>
  <c r="X1037" i="8"/>
  <c r="X1038" i="8"/>
  <c r="X1039" i="8"/>
  <c r="X1040" i="8"/>
  <c r="X1041" i="8"/>
  <c r="X1042" i="8"/>
  <c r="X1043" i="8"/>
  <c r="X1044" i="8"/>
  <c r="X1045" i="8"/>
  <c r="X1046" i="8"/>
  <c r="X1047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A1" i="17"/>
  <c r="A1" i="24"/>
  <c r="A1" i="23"/>
  <c r="A1" i="16"/>
  <c r="A1" i="19"/>
  <c r="A1" i="18"/>
  <c r="A1" i="7"/>
  <c r="A3" i="7"/>
  <c r="B3" i="7"/>
  <c r="F11" i="7"/>
  <c r="F9" i="7"/>
  <c r="F7" i="7"/>
  <c r="F19" i="7"/>
  <c r="F31" i="7"/>
  <c r="F43" i="7"/>
  <c r="F55" i="7"/>
  <c r="F67" i="7"/>
  <c r="F79" i="7"/>
  <c r="F91" i="7"/>
  <c r="F103" i="7"/>
  <c r="F115" i="7"/>
  <c r="F127" i="7"/>
  <c r="F139" i="7"/>
  <c r="A9" i="7"/>
  <c r="D9" i="7" s="1"/>
  <c r="F10" i="7"/>
  <c r="G10" i="7" s="1"/>
  <c r="I10" i="7" s="1"/>
  <c r="F24" i="7"/>
  <c r="F30" i="7"/>
  <c r="G43" i="7"/>
  <c r="F49" i="7"/>
  <c r="F68" i="7"/>
  <c r="G68" i="7" s="1"/>
  <c r="F74" i="7"/>
  <c r="A74" i="7" s="1"/>
  <c r="B9" i="7"/>
  <c r="H10" i="7"/>
  <c r="F13" i="7"/>
  <c r="F17" i="7"/>
  <c r="G24" i="7"/>
  <c r="K24" i="7" s="1"/>
  <c r="G30" i="7"/>
  <c r="F36" i="7"/>
  <c r="F42" i="7"/>
  <c r="H43" i="7"/>
  <c r="G49" i="7"/>
  <c r="G55" i="7"/>
  <c r="F61" i="7"/>
  <c r="H68" i="7"/>
  <c r="G74" i="7"/>
  <c r="F80" i="7"/>
  <c r="G80" i="7" s="1"/>
  <c r="F86" i="7"/>
  <c r="A86" i="7" s="1"/>
  <c r="E86" i="7" s="1"/>
  <c r="F105" i="7"/>
  <c r="F111" i="7"/>
  <c r="A115" i="7"/>
  <c r="F130" i="7"/>
  <c r="F136" i="7"/>
  <c r="F6" i="7"/>
  <c r="A6" i="7" s="1"/>
  <c r="C9" i="7"/>
  <c r="J10" i="7"/>
  <c r="G13" i="7"/>
  <c r="G17" i="7"/>
  <c r="F23" i="7"/>
  <c r="H24" i="7"/>
  <c r="F29" i="7"/>
  <c r="H30" i="7"/>
  <c r="G36" i="7"/>
  <c r="K36" i="7" s="1"/>
  <c r="G42" i="7"/>
  <c r="I43" i="7"/>
  <c r="F48" i="7"/>
  <c r="H49" i="7"/>
  <c r="F54" i="7"/>
  <c r="H55" i="7"/>
  <c r="G61" i="7"/>
  <c r="G67" i="7"/>
  <c r="I68" i="7"/>
  <c r="F73" i="7"/>
  <c r="H74" i="7"/>
  <c r="H80" i="7"/>
  <c r="G86" i="7"/>
  <c r="F92" i="7"/>
  <c r="G92" i="7" s="1"/>
  <c r="G6" i="7"/>
  <c r="E9" i="7"/>
  <c r="K10" i="7"/>
  <c r="I13" i="7"/>
  <c r="F16" i="7"/>
  <c r="H17" i="7"/>
  <c r="G23" i="7"/>
  <c r="J23" i="7" s="1"/>
  <c r="I24" i="7"/>
  <c r="G29" i="7"/>
  <c r="I30" i="7"/>
  <c r="F35" i="7"/>
  <c r="H36" i="7"/>
  <c r="F41" i="7"/>
  <c r="H42" i="7"/>
  <c r="J43" i="7"/>
  <c r="G48" i="7"/>
  <c r="K48" i="7" s="1"/>
  <c r="I49" i="7"/>
  <c r="G54" i="7"/>
  <c r="I55" i="7"/>
  <c r="F60" i="7"/>
  <c r="H61" i="7"/>
  <c r="F66" i="7"/>
  <c r="H67" i="7"/>
  <c r="J68" i="7"/>
  <c r="G73" i="7"/>
  <c r="I74" i="7"/>
  <c r="G79" i="7"/>
  <c r="I80" i="7"/>
  <c r="F85" i="7"/>
  <c r="H86" i="7"/>
  <c r="H92" i="7"/>
  <c r="H6" i="7"/>
  <c r="G9" i="7"/>
  <c r="H9" i="7" s="1"/>
  <c r="A11" i="7"/>
  <c r="K13" i="7"/>
  <c r="G16" i="7"/>
  <c r="I17" i="7"/>
  <c r="F22" i="7"/>
  <c r="H23" i="7"/>
  <c r="J24" i="7"/>
  <c r="F28" i="7"/>
  <c r="A28" i="7" s="1"/>
  <c r="H29" i="7"/>
  <c r="J30" i="7"/>
  <c r="G35" i="7"/>
  <c r="J35" i="7" s="1"/>
  <c r="I36" i="7"/>
  <c r="G41" i="7"/>
  <c r="I42" i="7"/>
  <c r="K43" i="7"/>
  <c r="F47" i="7"/>
  <c r="H48" i="7"/>
  <c r="J49" i="7"/>
  <c r="F53" i="7"/>
  <c r="A53" i="7" s="1"/>
  <c r="H54" i="7"/>
  <c r="J55" i="7"/>
  <c r="G60" i="7"/>
  <c r="K60" i="7" s="1"/>
  <c r="I61" i="7"/>
  <c r="G66" i="7"/>
  <c r="I67" i="7"/>
  <c r="K68" i="7"/>
  <c r="F72" i="7"/>
  <c r="H73" i="7"/>
  <c r="J74" i="7"/>
  <c r="F78" i="7"/>
  <c r="A78" i="7" s="1"/>
  <c r="H79" i="7"/>
  <c r="J80" i="7"/>
  <c r="G85" i="7"/>
  <c r="I86" i="7"/>
  <c r="G91" i="7"/>
  <c r="I92" i="7"/>
  <c r="F97" i="7"/>
  <c r="D115" i="7"/>
  <c r="F116" i="7"/>
  <c r="G116" i="7" s="1"/>
  <c r="F122" i="7"/>
  <c r="A122" i="7" s="1"/>
  <c r="C122" i="7" s="1"/>
  <c r="I6" i="7"/>
  <c r="I9" i="7"/>
  <c r="B11" i="7"/>
  <c r="F12" i="7"/>
  <c r="F15" i="7"/>
  <c r="A15" i="7" s="1"/>
  <c r="H16" i="7"/>
  <c r="J17" i="7"/>
  <c r="A19" i="7"/>
  <c r="G22" i="7"/>
  <c r="I22" i="7" s="1"/>
  <c r="I23" i="7"/>
  <c r="G28" i="7"/>
  <c r="I29" i="7"/>
  <c r="K30" i="7"/>
  <c r="F34" i="7"/>
  <c r="A34" i="7" s="1"/>
  <c r="H35" i="7"/>
  <c r="J36" i="7"/>
  <c r="F40" i="7"/>
  <c r="A40" i="7" s="1"/>
  <c r="H41" i="7"/>
  <c r="J42" i="7"/>
  <c r="G47" i="7"/>
  <c r="J47" i="7" s="1"/>
  <c r="I48" i="7"/>
  <c r="K49" i="7"/>
  <c r="G53" i="7"/>
  <c r="I54" i="7"/>
  <c r="K55" i="7"/>
  <c r="F59" i="7"/>
  <c r="A59" i="7" s="1"/>
  <c r="H60" i="7"/>
  <c r="J61" i="7"/>
  <c r="F65" i="7"/>
  <c r="A65" i="7" s="1"/>
  <c r="H66" i="7"/>
  <c r="J67" i="7"/>
  <c r="G72" i="7"/>
  <c r="K72" i="7" s="1"/>
  <c r="I73" i="7"/>
  <c r="K74" i="7"/>
  <c r="G78" i="7"/>
  <c r="I79" i="7"/>
  <c r="K80" i="7"/>
  <c r="F84" i="7"/>
  <c r="A84" i="7" s="1"/>
  <c r="H85" i="7"/>
  <c r="J86" i="7"/>
  <c r="F90" i="7"/>
  <c r="A90" i="7" s="1"/>
  <c r="H91" i="7"/>
  <c r="J92" i="7"/>
  <c r="G97" i="7"/>
  <c r="G103" i="7"/>
  <c r="F109" i="7"/>
  <c r="E115" i="7"/>
  <c r="H116" i="7"/>
  <c r="J6" i="7"/>
  <c r="J9" i="7"/>
  <c r="C11" i="7"/>
  <c r="G15" i="7"/>
  <c r="I16" i="7"/>
  <c r="K17" i="7"/>
  <c r="B19" i="7"/>
  <c r="F21" i="7"/>
  <c r="A21" i="7" s="1"/>
  <c r="H22" i="7"/>
  <c r="K23" i="7"/>
  <c r="F27" i="7"/>
  <c r="A27" i="7" s="1"/>
  <c r="H28" i="7"/>
  <c r="J29" i="7"/>
  <c r="A31" i="7"/>
  <c r="G34" i="7"/>
  <c r="I34" i="7" s="1"/>
  <c r="I35" i="7"/>
  <c r="G40" i="7"/>
  <c r="I41" i="7"/>
  <c r="K42" i="7"/>
  <c r="F46" i="7"/>
  <c r="A46" i="7" s="1"/>
  <c r="H47" i="7"/>
  <c r="J48" i="7"/>
  <c r="F52" i="7"/>
  <c r="A52" i="7" s="1"/>
  <c r="H53" i="7"/>
  <c r="J54" i="7"/>
  <c r="G59" i="7"/>
  <c r="J59" i="7" s="1"/>
  <c r="I60" i="7"/>
  <c r="K61" i="7"/>
  <c r="G65" i="7"/>
  <c r="I66" i="7"/>
  <c r="K67" i="7"/>
  <c r="K6" i="7"/>
  <c r="F8" i="7"/>
  <c r="K9" i="7"/>
  <c r="D11" i="7"/>
  <c r="H15" i="7"/>
  <c r="J16" i="7"/>
  <c r="C19" i="7"/>
  <c r="G21" i="7"/>
  <c r="H21" i="7" s="1"/>
  <c r="J22" i="7"/>
  <c r="A24" i="7"/>
  <c r="G27" i="7"/>
  <c r="I28" i="7"/>
  <c r="K29" i="7"/>
  <c r="B31" i="7"/>
  <c r="F33" i="7"/>
  <c r="A33" i="7" s="1"/>
  <c r="H34" i="7"/>
  <c r="K35" i="7"/>
  <c r="F39" i="7"/>
  <c r="A39" i="7" s="1"/>
  <c r="H40" i="7"/>
  <c r="J41" i="7"/>
  <c r="A43" i="7"/>
  <c r="G46" i="7"/>
  <c r="I46" i="7" s="1"/>
  <c r="I47" i="7"/>
  <c r="A49" i="7"/>
  <c r="G52" i="7"/>
  <c r="I53" i="7"/>
  <c r="K54" i="7"/>
  <c r="F58" i="7"/>
  <c r="A58" i="7" s="1"/>
  <c r="H59" i="7"/>
  <c r="J60" i="7"/>
  <c r="F64" i="7"/>
  <c r="A64" i="7" s="1"/>
  <c r="H65" i="7"/>
  <c r="J66" i="7"/>
  <c r="A68" i="7"/>
  <c r="I72" i="7"/>
  <c r="K73" i="7"/>
  <c r="I78" i="7"/>
  <c r="K79" i="7"/>
  <c r="F83" i="7"/>
  <c r="A83" i="7" s="1"/>
  <c r="J85" i="7"/>
  <c r="F89" i="7"/>
  <c r="A89" i="7" s="1"/>
  <c r="J91" i="7"/>
  <c r="I97" i="7"/>
  <c r="I103" i="7"/>
  <c r="F108" i="7"/>
  <c r="A7" i="7"/>
  <c r="A10" i="7"/>
  <c r="E10" i="7" s="1"/>
  <c r="E11" i="7"/>
  <c r="A13" i="7"/>
  <c r="E13" i="7" s="1"/>
  <c r="I15" i="7"/>
  <c r="K16" i="7"/>
  <c r="D19" i="7"/>
  <c r="F20" i="7"/>
  <c r="I21" i="7"/>
  <c r="K22" i="7"/>
  <c r="B24" i="7"/>
  <c r="F26" i="7"/>
  <c r="A26" i="7" s="1"/>
  <c r="H27" i="7"/>
  <c r="J28" i="7"/>
  <c r="A30" i="7"/>
  <c r="E30" i="7" s="1"/>
  <c r="C31" i="7"/>
  <c r="G33" i="7"/>
  <c r="H33" i="7" s="1"/>
  <c r="J34" i="7"/>
  <c r="A36" i="7"/>
  <c r="E36" i="7" s="1"/>
  <c r="G39" i="7"/>
  <c r="K39" i="7" s="1"/>
  <c r="I40" i="7"/>
  <c r="K41" i="7"/>
  <c r="B43" i="7"/>
  <c r="F45" i="7"/>
  <c r="A45" i="7" s="1"/>
  <c r="H46" i="7"/>
  <c r="K47" i="7"/>
  <c r="B49" i="7"/>
  <c r="F51" i="7"/>
  <c r="A51" i="7" s="1"/>
  <c r="H52" i="7"/>
  <c r="J53" i="7"/>
  <c r="A55" i="7"/>
  <c r="E55" i="7" s="1"/>
  <c r="G58" i="7"/>
  <c r="I58" i="7" s="1"/>
  <c r="I59" i="7"/>
  <c r="A61" i="7"/>
  <c r="E61" i="7" s="1"/>
  <c r="G64" i="7"/>
  <c r="K64" i="7" s="1"/>
  <c r="I65" i="7"/>
  <c r="K66" i="7"/>
  <c r="B68" i="7"/>
  <c r="F70" i="7"/>
  <c r="A70" i="7" s="1"/>
  <c r="J72" i="7"/>
  <c r="B74" i="7"/>
  <c r="F76" i="7"/>
  <c r="A76" i="7" s="1"/>
  <c r="J78" i="7"/>
  <c r="A80" i="7"/>
  <c r="E80" i="7" s="1"/>
  <c r="G83" i="7"/>
  <c r="J83" i="7" s="1"/>
  <c r="K85" i="7"/>
  <c r="G89" i="7"/>
  <c r="K89" i="7" s="1"/>
  <c r="K91" i="7"/>
  <c r="F95" i="7"/>
  <c r="A95" i="7" s="1"/>
  <c r="J97" i="7"/>
  <c r="F101" i="7"/>
  <c r="A101" i="7" s="1"/>
  <c r="J103" i="7"/>
  <c r="A105" i="7"/>
  <c r="G108" i="7"/>
  <c r="K108" i="7" s="1"/>
  <c r="K116" i="7"/>
  <c r="F120" i="7"/>
  <c r="F126" i="7"/>
  <c r="A126" i="7" s="1"/>
  <c r="E126" i="7" s="1"/>
  <c r="A130" i="7"/>
  <c r="G139" i="7"/>
  <c r="F146" i="7"/>
  <c r="C7" i="7"/>
  <c r="B10" i="7"/>
  <c r="G11" i="7"/>
  <c r="B13" i="7"/>
  <c r="F14" i="7"/>
  <c r="A14" i="7" s="1"/>
  <c r="J15" i="7"/>
  <c r="A17" i="7"/>
  <c r="E19" i="7"/>
  <c r="J21" i="7"/>
  <c r="A23" i="7"/>
  <c r="C24" i="7"/>
  <c r="G26" i="7"/>
  <c r="I27" i="7"/>
  <c r="K28" i="7"/>
  <c r="B30" i="7"/>
  <c r="D31" i="7"/>
  <c r="F32" i="7"/>
  <c r="I33" i="7"/>
  <c r="K34" i="7"/>
  <c r="B36" i="7"/>
  <c r="F38" i="7"/>
  <c r="A38" i="7" s="1"/>
  <c r="H39" i="7"/>
  <c r="J40" i="7"/>
  <c r="A42" i="7"/>
  <c r="C43" i="7"/>
  <c r="G45" i="7"/>
  <c r="J46" i="7"/>
  <c r="A48" i="7"/>
  <c r="C49" i="7"/>
  <c r="G51" i="7"/>
  <c r="I52" i="7"/>
  <c r="K53" i="7"/>
  <c r="B55" i="7"/>
  <c r="F57" i="7"/>
  <c r="A57" i="7" s="1"/>
  <c r="H58" i="7"/>
  <c r="K59" i="7"/>
  <c r="B61" i="7"/>
  <c r="F63" i="7"/>
  <c r="A63" i="7" s="1"/>
  <c r="H64" i="7"/>
  <c r="J65" i="7"/>
  <c r="A67" i="7"/>
  <c r="C68" i="7"/>
  <c r="G70" i="7"/>
  <c r="A73" i="7"/>
  <c r="C74" i="7"/>
  <c r="G76" i="7"/>
  <c r="K78" i="7"/>
  <c r="B80" i="7"/>
  <c r="F82" i="7"/>
  <c r="A82" i="7" s="1"/>
  <c r="H83" i="7"/>
  <c r="E7" i="7"/>
  <c r="C10" i="7"/>
  <c r="I11" i="7"/>
  <c r="C13" i="7"/>
  <c r="G14" i="7"/>
  <c r="K15" i="7"/>
  <c r="B17" i="7"/>
  <c r="G19" i="7"/>
  <c r="K21" i="7"/>
  <c r="B23" i="7"/>
  <c r="D24" i="7"/>
  <c r="F25" i="7"/>
  <c r="A25" i="7" s="1"/>
  <c r="H26" i="7"/>
  <c r="J27" i="7"/>
  <c r="A29" i="7"/>
  <c r="C30" i="7"/>
  <c r="E31" i="7"/>
  <c r="J33" i="7"/>
  <c r="A35" i="7"/>
  <c r="C36" i="7"/>
  <c r="G38" i="7"/>
  <c r="I39" i="7"/>
  <c r="K40" i="7"/>
  <c r="B42" i="7"/>
  <c r="D43" i="7"/>
  <c r="F44" i="7"/>
  <c r="I45" i="7"/>
  <c r="K46" i="7"/>
  <c r="B48" i="7"/>
  <c r="D49" i="7"/>
  <c r="F50" i="7"/>
  <c r="A50" i="7" s="1"/>
  <c r="H51" i="7"/>
  <c r="J52" i="7"/>
  <c r="A54" i="7"/>
  <c r="C55" i="7"/>
  <c r="G57" i="7"/>
  <c r="J58" i="7"/>
  <c r="A60" i="7"/>
  <c r="C61" i="7"/>
  <c r="G63" i="7"/>
  <c r="I64" i="7"/>
  <c r="K65" i="7"/>
  <c r="B67" i="7"/>
  <c r="D68" i="7"/>
  <c r="F69" i="7"/>
  <c r="A69" i="7" s="1"/>
  <c r="H70" i="7"/>
  <c r="B73" i="7"/>
  <c r="D74" i="7"/>
  <c r="F75" i="7"/>
  <c r="H76" i="7"/>
  <c r="A79" i="7"/>
  <c r="C80" i="7"/>
  <c r="G7" i="7"/>
  <c r="D10" i="7"/>
  <c r="K11" i="7"/>
  <c r="D13" i="7"/>
  <c r="H14" i="7"/>
  <c r="A16" i="7"/>
  <c r="C17" i="7"/>
  <c r="F18" i="7"/>
  <c r="H19" i="7"/>
  <c r="A22" i="7"/>
  <c r="C23" i="7"/>
  <c r="E24" i="7"/>
  <c r="G25" i="7"/>
  <c r="I26" i="7"/>
  <c r="K27" i="7"/>
  <c r="B29" i="7"/>
  <c r="D30" i="7"/>
  <c r="G31" i="7"/>
  <c r="K33" i="7"/>
  <c r="B35" i="7"/>
  <c r="D36" i="7"/>
  <c r="F37" i="7"/>
  <c r="H38" i="7"/>
  <c r="J39" i="7"/>
  <c r="A41" i="7"/>
  <c r="C42" i="7"/>
  <c r="E43" i="7"/>
  <c r="J45" i="7"/>
  <c r="A47" i="7"/>
  <c r="C48" i="7"/>
  <c r="E49" i="7"/>
  <c r="G50" i="7"/>
  <c r="I51" i="7"/>
  <c r="K52" i="7"/>
  <c r="B54" i="7"/>
  <c r="D55" i="7"/>
  <c r="F56" i="7"/>
  <c r="I57" i="7"/>
  <c r="K58" i="7"/>
  <c r="B60" i="7"/>
  <c r="D61" i="7"/>
  <c r="F62" i="7"/>
  <c r="H63" i="7"/>
  <c r="J64" i="7"/>
  <c r="A66" i="7"/>
  <c r="C67" i="7"/>
  <c r="E68" i="7"/>
  <c r="G69" i="7"/>
  <c r="J70" i="7"/>
  <c r="A72" i="7"/>
  <c r="C73" i="7"/>
  <c r="E74" i="7"/>
  <c r="G75" i="7"/>
  <c r="I76" i="7"/>
  <c r="B79" i="7"/>
  <c r="D80" i="7"/>
  <c r="F81" i="7"/>
  <c r="G81" i="7" s="1"/>
  <c r="K83" i="7"/>
  <c r="D86" i="7"/>
  <c r="F87" i="7"/>
  <c r="J89" i="7"/>
  <c r="A91" i="7"/>
  <c r="A97" i="7"/>
  <c r="D105" i="7"/>
  <c r="F106" i="7"/>
  <c r="J108" i="7"/>
  <c r="D70" i="7"/>
  <c r="G82" i="7"/>
  <c r="K92" i="7"/>
  <c r="F96" i="7"/>
  <c r="G101" i="7"/>
  <c r="K103" i="7"/>
  <c r="H108" i="7"/>
  <c r="A111" i="7"/>
  <c r="J116" i="7"/>
  <c r="F118" i="7"/>
  <c r="G118" i="7" s="1"/>
  <c r="G126" i="7"/>
  <c r="K126" i="7" s="1"/>
  <c r="F134" i="7"/>
  <c r="A134" i="7" s="1"/>
  <c r="A136" i="7"/>
  <c r="C136" i="7" s="1"/>
  <c r="F137" i="7"/>
  <c r="F149" i="7"/>
  <c r="F155" i="7"/>
  <c r="F165" i="7"/>
  <c r="F177" i="7"/>
  <c r="F189" i="7"/>
  <c r="F174" i="7"/>
  <c r="F186" i="7"/>
  <c r="F121" i="7"/>
  <c r="A121" i="7" s="1"/>
  <c r="D121" i="7" s="1"/>
  <c r="F71" i="7"/>
  <c r="E83" i="7"/>
  <c r="F88" i="7"/>
  <c r="A88" i="7" s="1"/>
  <c r="H101" i="7"/>
  <c r="I108" i="7"/>
  <c r="C111" i="7"/>
  <c r="F113" i="7"/>
  <c r="A113" i="7" s="1"/>
  <c r="B115" i="7"/>
  <c r="H118" i="7"/>
  <c r="F123" i="7"/>
  <c r="H126" i="7"/>
  <c r="G134" i="7"/>
  <c r="I134" i="7" s="1"/>
  <c r="B136" i="7"/>
  <c r="G137" i="7"/>
  <c r="H137" i="7" s="1"/>
  <c r="A139" i="7"/>
  <c r="A146" i="7"/>
  <c r="G149" i="7"/>
  <c r="I149" i="7" s="1"/>
  <c r="G155" i="7"/>
  <c r="F164" i="7"/>
  <c r="G165" i="7"/>
  <c r="F176" i="7"/>
  <c r="G177" i="7"/>
  <c r="F188" i="7"/>
  <c r="G189" i="7"/>
  <c r="F200" i="7"/>
  <c r="F199" i="7"/>
  <c r="I165" i="7"/>
  <c r="I177" i="7"/>
  <c r="F141" i="7"/>
  <c r="H72" i="7"/>
  <c r="I83" i="7"/>
  <c r="G88" i="7"/>
  <c r="F99" i="7"/>
  <c r="J101" i="7"/>
  <c r="G106" i="7"/>
  <c r="A109" i="7"/>
  <c r="E111" i="7"/>
  <c r="G113" i="7"/>
  <c r="J113" i="7" s="1"/>
  <c r="C115" i="7"/>
  <c r="J118" i="7"/>
  <c r="G123" i="7"/>
  <c r="H123" i="7" s="1"/>
  <c r="I126" i="7"/>
  <c r="F131" i="7"/>
  <c r="H134" i="7"/>
  <c r="D136" i="7"/>
  <c r="I137" i="7"/>
  <c r="B139" i="7"/>
  <c r="F140" i="7"/>
  <c r="B146" i="7"/>
  <c r="F148" i="7"/>
  <c r="H149" i="7"/>
  <c r="F154" i="7"/>
  <c r="A154" i="7" s="1"/>
  <c r="H155" i="7"/>
  <c r="F163" i="7"/>
  <c r="G164" i="7"/>
  <c r="H164" i="7" s="1"/>
  <c r="H165" i="7"/>
  <c r="F175" i="7"/>
  <c r="G175" i="7" s="1"/>
  <c r="G176" i="7"/>
  <c r="J176" i="7" s="1"/>
  <c r="H177" i="7"/>
  <c r="F187" i="7"/>
  <c r="G188" i="7"/>
  <c r="H188" i="7" s="1"/>
  <c r="H189" i="7"/>
  <c r="G200" i="7"/>
  <c r="H200" i="7" s="1"/>
  <c r="G163" i="7"/>
  <c r="I163" i="7" s="1"/>
  <c r="H176" i="7"/>
  <c r="G187" i="7"/>
  <c r="I175" i="7"/>
  <c r="K177" i="7"/>
  <c r="J188" i="7"/>
  <c r="J200" i="7"/>
  <c r="A163" i="7"/>
  <c r="F168" i="7"/>
  <c r="A175" i="7"/>
  <c r="F180" i="7"/>
  <c r="J73" i="7"/>
  <c r="G84" i="7"/>
  <c r="E89" i="7"/>
  <c r="F93" i="7"/>
  <c r="B97" i="7"/>
  <c r="J106" i="7"/>
  <c r="C109" i="7"/>
  <c r="G111" i="7"/>
  <c r="H113" i="7"/>
  <c r="G115" i="7"/>
  <c r="I115" i="7" s="1"/>
  <c r="G120" i="7"/>
  <c r="K120" i="7" s="1"/>
  <c r="B122" i="7"/>
  <c r="I123" i="7"/>
  <c r="J126" i="7"/>
  <c r="F128" i="7"/>
  <c r="B130" i="7"/>
  <c r="G131" i="7"/>
  <c r="J134" i="7"/>
  <c r="E136" i="7"/>
  <c r="J137" i="7"/>
  <c r="C139" i="7"/>
  <c r="F143" i="7"/>
  <c r="G143" i="7" s="1"/>
  <c r="J143" i="7" s="1"/>
  <c r="C146" i="7"/>
  <c r="G148" i="7"/>
  <c r="H148" i="7" s="1"/>
  <c r="J149" i="7"/>
  <c r="G154" i="7"/>
  <c r="I155" i="7"/>
  <c r="F162" i="7"/>
  <c r="A162" i="7" s="1"/>
  <c r="I189" i="7"/>
  <c r="F198" i="7"/>
  <c r="F184" i="7"/>
  <c r="A184" i="7" s="1"/>
  <c r="A75" i="7"/>
  <c r="J84" i="7"/>
  <c r="H89" i="7"/>
  <c r="E97" i="7"/>
  <c r="F104" i="7"/>
  <c r="K106" i="7"/>
  <c r="D109" i="7"/>
  <c r="H111" i="7"/>
  <c r="I113" i="7"/>
  <c r="H115" i="7"/>
  <c r="H120" i="7"/>
  <c r="D122" i="7"/>
  <c r="J123" i="7"/>
  <c r="F125" i="7"/>
  <c r="A125" i="7" s="1"/>
  <c r="A127" i="7"/>
  <c r="C127" i="7" s="1"/>
  <c r="C130" i="7"/>
  <c r="I131" i="7"/>
  <c r="K134" i="7"/>
  <c r="G136" i="7"/>
  <c r="K137" i="7"/>
  <c r="D139" i="7"/>
  <c r="H143" i="7"/>
  <c r="D146" i="7"/>
  <c r="F147" i="7"/>
  <c r="G147" i="7" s="1"/>
  <c r="I148" i="7"/>
  <c r="K149" i="7"/>
  <c r="F153" i="7"/>
  <c r="A153" i="7" s="1"/>
  <c r="H154" i="7"/>
  <c r="J155" i="7"/>
  <c r="F161" i="7"/>
  <c r="G162" i="7"/>
  <c r="H163" i="7"/>
  <c r="I164" i="7"/>
  <c r="J165" i="7"/>
  <c r="A168" i="7"/>
  <c r="B168" i="7" s="1"/>
  <c r="F173" i="7"/>
  <c r="G173" i="7" s="1"/>
  <c r="G174" i="7"/>
  <c r="H175" i="7"/>
  <c r="I176" i="7"/>
  <c r="J177" i="7"/>
  <c r="A180" i="7"/>
  <c r="B180" i="7" s="1"/>
  <c r="E184" i="7"/>
  <c r="F185" i="7"/>
  <c r="G185" i="7" s="1"/>
  <c r="G186" i="7"/>
  <c r="H187" i="7"/>
  <c r="I188" i="7"/>
  <c r="J189" i="7"/>
  <c r="F197" i="7"/>
  <c r="G198" i="7"/>
  <c r="H198" i="7" s="1"/>
  <c r="I200" i="7"/>
  <c r="G180" i="7"/>
  <c r="D76" i="7"/>
  <c r="A85" i="7"/>
  <c r="I89" i="7"/>
  <c r="H97" i="7"/>
  <c r="F102" i="7"/>
  <c r="G109" i="7"/>
  <c r="K111" i="7"/>
  <c r="K113" i="7"/>
  <c r="J115" i="7"/>
  <c r="F117" i="7"/>
  <c r="A117" i="7" s="1"/>
  <c r="I120" i="7"/>
  <c r="E122" i="7"/>
  <c r="K123" i="7"/>
  <c r="G125" i="7"/>
  <c r="I125" i="7" s="1"/>
  <c r="B127" i="7"/>
  <c r="D130" i="7"/>
  <c r="K131" i="7"/>
  <c r="F133" i="7"/>
  <c r="H136" i="7"/>
  <c r="E139" i="7"/>
  <c r="I143" i="7"/>
  <c r="E146" i="7"/>
  <c r="H147" i="7"/>
  <c r="J148" i="7"/>
  <c r="G153" i="7"/>
  <c r="I154" i="7"/>
  <c r="K155" i="7"/>
  <c r="G161" i="7"/>
  <c r="H162" i="7"/>
  <c r="K165" i="7"/>
  <c r="F172" i="7"/>
  <c r="A172" i="7" s="1"/>
  <c r="H174" i="7"/>
  <c r="I187" i="7"/>
  <c r="F196" i="7"/>
  <c r="A196" i="7" s="1"/>
  <c r="G197" i="7"/>
  <c r="H197" i="7" s="1"/>
  <c r="F195" i="7"/>
  <c r="A195" i="7" s="1"/>
  <c r="G196" i="7"/>
  <c r="I198" i="7"/>
  <c r="F204" i="7"/>
  <c r="B163" i="7"/>
  <c r="F77" i="7"/>
  <c r="I85" i="7"/>
  <c r="G90" i="7"/>
  <c r="F94" i="7"/>
  <c r="K97" i="7"/>
  <c r="B105" i="7"/>
  <c r="F107" i="7"/>
  <c r="A107" i="7" s="1"/>
  <c r="J109" i="7"/>
  <c r="K115" i="7"/>
  <c r="G117" i="7"/>
  <c r="J120" i="7"/>
  <c r="G122" i="7"/>
  <c r="J122" i="7" s="1"/>
  <c r="H125" i="7"/>
  <c r="D127" i="7"/>
  <c r="E130" i="7"/>
  <c r="I136" i="7"/>
  <c r="H139" i="7"/>
  <c r="A141" i="7"/>
  <c r="C141" i="7" s="1"/>
  <c r="F142" i="7"/>
  <c r="A142" i="7" s="1"/>
  <c r="K143" i="7"/>
  <c r="G146" i="7"/>
  <c r="K146" i="7" s="1"/>
  <c r="I147" i="7"/>
  <c r="K148" i="7"/>
  <c r="F152" i="7"/>
  <c r="A152" i="7" s="1"/>
  <c r="H153" i="7"/>
  <c r="J154" i="7"/>
  <c r="F159" i="7"/>
  <c r="A159" i="7" s="1"/>
  <c r="H161" i="7"/>
  <c r="I162" i="7"/>
  <c r="J163" i="7"/>
  <c r="K164" i="7"/>
  <c r="C168" i="7"/>
  <c r="F171" i="7"/>
  <c r="A171" i="7" s="1"/>
  <c r="G172" i="7"/>
  <c r="J172" i="7" s="1"/>
  <c r="H173" i="7"/>
  <c r="I174" i="7"/>
  <c r="J175" i="7"/>
  <c r="K176" i="7"/>
  <c r="C180" i="7"/>
  <c r="F183" i="7"/>
  <c r="A183" i="7" s="1"/>
  <c r="G184" i="7"/>
  <c r="H185" i="7"/>
  <c r="I186" i="7"/>
  <c r="J187" i="7"/>
  <c r="K188" i="7"/>
  <c r="K161" i="7"/>
  <c r="K173" i="7"/>
  <c r="J184" i="7"/>
  <c r="F192" i="7"/>
  <c r="A192" i="7" s="1"/>
  <c r="A199" i="7"/>
  <c r="A123" i="7"/>
  <c r="C126" i="7"/>
  <c r="F150" i="7"/>
  <c r="A150" i="7" s="1"/>
  <c r="B150" i="7" s="1"/>
  <c r="F156" i="7"/>
  <c r="A156" i="7" s="1"/>
  <c r="D156" i="7" s="1"/>
  <c r="F167" i="7"/>
  <c r="A167" i="7" s="1"/>
  <c r="B167" i="7" s="1"/>
  <c r="H78" i="7"/>
  <c r="B86" i="7"/>
  <c r="J90" i="7"/>
  <c r="F100" i="7"/>
  <c r="C105" i="7"/>
  <c r="G107" i="7"/>
  <c r="K109" i="7"/>
  <c r="A116" i="7"/>
  <c r="C116" i="7" s="1"/>
  <c r="K117" i="7"/>
  <c r="F119" i="7"/>
  <c r="A119" i="7" s="1"/>
  <c r="B121" i="7"/>
  <c r="H122" i="7"/>
  <c r="J125" i="7"/>
  <c r="E127" i="7"/>
  <c r="G130" i="7"/>
  <c r="J136" i="7"/>
  <c r="I139" i="7"/>
  <c r="B141" i="7"/>
  <c r="G142" i="7"/>
  <c r="H146" i="7"/>
  <c r="J147" i="7"/>
  <c r="A149" i="7"/>
  <c r="C150" i="7"/>
  <c r="G152" i="7"/>
  <c r="J152" i="7" s="1"/>
  <c r="I153" i="7"/>
  <c r="K154" i="7"/>
  <c r="B156" i="7"/>
  <c r="F158" i="7"/>
  <c r="A158" i="7" s="1"/>
  <c r="G159" i="7"/>
  <c r="J159" i="7" s="1"/>
  <c r="I161" i="7"/>
  <c r="J162" i="7"/>
  <c r="K163" i="7"/>
  <c r="A165" i="7"/>
  <c r="D165" i="7" s="1"/>
  <c r="C167" i="7"/>
  <c r="D168" i="7"/>
  <c r="F170" i="7"/>
  <c r="A170" i="7" s="1"/>
  <c r="G171" i="7"/>
  <c r="J171" i="7" s="1"/>
  <c r="H172" i="7"/>
  <c r="I173" i="7"/>
  <c r="J174" i="7"/>
  <c r="K175" i="7"/>
  <c r="A177" i="7"/>
  <c r="D180" i="7"/>
  <c r="F182" i="7"/>
  <c r="A182" i="7" s="1"/>
  <c r="G183" i="7"/>
  <c r="H184" i="7"/>
  <c r="I185" i="7"/>
  <c r="J186" i="7"/>
  <c r="K187" i="7"/>
  <c r="A189" i="7"/>
  <c r="C189" i="7" s="1"/>
  <c r="D192" i="7"/>
  <c r="F194" i="7"/>
  <c r="A194" i="7" s="1"/>
  <c r="G195" i="7"/>
  <c r="I195" i="7" s="1"/>
  <c r="H196" i="7"/>
  <c r="I197" i="7"/>
  <c r="J198" i="7"/>
  <c r="D141" i="7"/>
  <c r="I146" i="7"/>
  <c r="D150" i="7"/>
  <c r="F151" i="7"/>
  <c r="A151" i="7" s="1"/>
  <c r="H152" i="7"/>
  <c r="G158" i="7"/>
  <c r="K158" i="7" s="1"/>
  <c r="K162" i="7"/>
  <c r="E168" i="7"/>
  <c r="J173" i="7"/>
  <c r="E180" i="7"/>
  <c r="F181" i="7"/>
  <c r="G182" i="7"/>
  <c r="H183" i="7"/>
  <c r="J185" i="7"/>
  <c r="K186" i="7"/>
  <c r="A188" i="7"/>
  <c r="B189" i="7"/>
  <c r="E192" i="7"/>
  <c r="F193" i="7"/>
  <c r="G193" i="7" s="1"/>
  <c r="G194" i="7"/>
  <c r="K194" i="7" s="1"/>
  <c r="H195" i="7"/>
  <c r="I196" i="7"/>
  <c r="J79" i="7"/>
  <c r="C86" i="7"/>
  <c r="K90" i="7"/>
  <c r="D95" i="7"/>
  <c r="A103" i="7"/>
  <c r="E105" i="7"/>
  <c r="I107" i="7"/>
  <c r="F112" i="7"/>
  <c r="A112" i="7" s="1"/>
  <c r="F114" i="7"/>
  <c r="B116" i="7"/>
  <c r="A118" i="7"/>
  <c r="G119" i="7"/>
  <c r="C121" i="7"/>
  <c r="I122" i="7"/>
  <c r="K125" i="7"/>
  <c r="G127" i="7"/>
  <c r="H130" i="7"/>
  <c r="F135" i="7"/>
  <c r="K136" i="7"/>
  <c r="F138" i="7"/>
  <c r="A138" i="7" s="1"/>
  <c r="J139" i="7"/>
  <c r="H142" i="7"/>
  <c r="F145" i="7"/>
  <c r="A145" i="7" s="1"/>
  <c r="K147" i="7"/>
  <c r="B149" i="7"/>
  <c r="J153" i="7"/>
  <c r="A155" i="7"/>
  <c r="C155" i="7" s="1"/>
  <c r="C156" i="7"/>
  <c r="F157" i="7"/>
  <c r="A157" i="7" s="1"/>
  <c r="H159" i="7"/>
  <c r="J161" i="7"/>
  <c r="A164" i="7"/>
  <c r="B165" i="7"/>
  <c r="D167" i="7"/>
  <c r="F169" i="7"/>
  <c r="G170" i="7"/>
  <c r="H171" i="7"/>
  <c r="I172" i="7"/>
  <c r="K174" i="7"/>
  <c r="A176" i="7"/>
  <c r="B177" i="7"/>
  <c r="I184" i="7"/>
  <c r="J197" i="7"/>
  <c r="K198" i="7"/>
  <c r="A200" i="7"/>
  <c r="A81" i="7"/>
  <c r="K86" i="7"/>
  <c r="I91" i="7"/>
  <c r="G95" i="7"/>
  <c r="F98" i="7"/>
  <c r="A98" i="7" s="1"/>
  <c r="C103" i="7"/>
  <c r="G105" i="7"/>
  <c r="A108" i="7"/>
  <c r="G112" i="7"/>
  <c r="D116" i="7"/>
  <c r="C118" i="7"/>
  <c r="H119" i="7"/>
  <c r="E121" i="7"/>
  <c r="K122" i="7"/>
  <c r="F124" i="7"/>
  <c r="B126" i="7"/>
  <c r="I127" i="7"/>
  <c r="K130" i="7"/>
  <c r="F132" i="7"/>
  <c r="A137" i="7"/>
  <c r="G138" i="7"/>
  <c r="K139" i="7"/>
  <c r="E141" i="7"/>
  <c r="J142" i="7"/>
  <c r="G145" i="7"/>
  <c r="J146" i="7"/>
  <c r="A148" i="7"/>
  <c r="C149" i="7"/>
  <c r="E150" i="7"/>
  <c r="G151" i="7"/>
  <c r="I152" i="7"/>
  <c r="K153" i="7"/>
  <c r="B155" i="7"/>
  <c r="E156" i="7"/>
  <c r="G157" i="7"/>
  <c r="H158" i="7"/>
  <c r="I159" i="7"/>
  <c r="C165" i="7"/>
  <c r="H170" i="7"/>
  <c r="B176" i="7"/>
  <c r="I183" i="7"/>
  <c r="K197" i="7"/>
  <c r="K119" i="7"/>
  <c r="A131" i="7"/>
  <c r="C134" i="7"/>
  <c r="H151" i="7"/>
  <c r="G168" i="7"/>
  <c r="A174" i="7"/>
  <c r="B175" i="7"/>
  <c r="F179" i="7"/>
  <c r="A179" i="7" s="1"/>
  <c r="E81" i="7"/>
  <c r="A92" i="7"/>
  <c r="H95" i="7"/>
  <c r="G98" i="7"/>
  <c r="D103" i="7"/>
  <c r="I105" i="7"/>
  <c r="B108" i="7"/>
  <c r="F110" i="7"/>
  <c r="I112" i="7"/>
  <c r="C82" i="7"/>
  <c r="B92" i="7"/>
  <c r="K95" i="7"/>
  <c r="J98" i="7"/>
  <c r="C101" i="7"/>
  <c r="H103" i="7"/>
  <c r="A106" i="7"/>
  <c r="E108" i="7"/>
  <c r="J112" i="7"/>
  <c r="I116" i="7"/>
  <c r="E118" i="7"/>
  <c r="A120" i="7"/>
  <c r="G121" i="7"/>
  <c r="C123" i="7"/>
  <c r="D126" i="7"/>
  <c r="K127" i="7"/>
  <c r="F129" i="7"/>
  <c r="B131" i="7"/>
  <c r="D134" i="7"/>
  <c r="E137" i="7"/>
  <c r="I138" i="7"/>
  <c r="G141" i="7"/>
  <c r="A143" i="7"/>
  <c r="F144" i="7"/>
  <c r="I145" i="7"/>
  <c r="A147" i="7"/>
  <c r="C148" i="7"/>
  <c r="E149" i="7"/>
  <c r="G150" i="7"/>
  <c r="I151" i="7"/>
  <c r="K152" i="7"/>
  <c r="C154" i="7"/>
  <c r="E155" i="7"/>
  <c r="G156" i="7"/>
  <c r="I157" i="7"/>
  <c r="J158" i="7"/>
  <c r="K159" i="7"/>
  <c r="A161" i="7"/>
  <c r="B162" i="7"/>
  <c r="C163" i="7"/>
  <c r="D164" i="7"/>
  <c r="E165" i="7"/>
  <c r="F166" i="7"/>
  <c r="G167" i="7"/>
  <c r="H168" i="7"/>
  <c r="J170" i="7"/>
  <c r="K171" i="7"/>
  <c r="A173" i="7"/>
  <c r="B174" i="7"/>
  <c r="C175" i="7"/>
  <c r="D176" i="7"/>
  <c r="E177" i="7"/>
  <c r="F178" i="7"/>
  <c r="G179" i="7"/>
  <c r="H180" i="7"/>
  <c r="J182" i="7"/>
  <c r="K183" i="7"/>
  <c r="A185" i="7"/>
  <c r="D188" i="7"/>
  <c r="E189" i="7"/>
  <c r="F190" i="7"/>
  <c r="I193" i="7"/>
  <c r="J194" i="7"/>
  <c r="K195" i="7"/>
  <c r="A197" i="7"/>
  <c r="C199" i="7"/>
  <c r="D200" i="7"/>
  <c r="F202" i="7"/>
  <c r="A202" i="7" s="1"/>
  <c r="F201" i="7"/>
  <c r="G202" i="7"/>
  <c r="B170" i="7"/>
  <c r="C183" i="7"/>
  <c r="E185" i="7"/>
  <c r="A193" i="7"/>
  <c r="D196" i="7"/>
  <c r="G199" i="7"/>
  <c r="J202" i="7"/>
  <c r="K202" i="7"/>
  <c r="A204" i="7"/>
  <c r="F160" i="7"/>
  <c r="J164" i="7"/>
  <c r="H186" i="7"/>
  <c r="K189" i="7"/>
  <c r="K200" i="7"/>
  <c r="C204" i="7"/>
  <c r="F205" i="7"/>
  <c r="E167" i="7"/>
  <c r="I171" i="7"/>
  <c r="K185" i="7"/>
  <c r="A187" i="7"/>
  <c r="H194" i="7"/>
  <c r="J196" i="7"/>
  <c r="E116" i="7"/>
  <c r="C137" i="7"/>
  <c r="H145" i="7"/>
  <c r="D149" i="7"/>
  <c r="D155" i="7"/>
  <c r="I158" i="7"/>
  <c r="K172" i="7"/>
  <c r="I194" i="7"/>
  <c r="J195" i="7"/>
  <c r="J183" i="7"/>
  <c r="K196" i="7"/>
  <c r="K184" i="7"/>
  <c r="A198" i="7"/>
  <c r="A186" i="7"/>
  <c r="B199" i="7"/>
  <c r="C200" i="7"/>
  <c r="C188" i="7"/>
  <c r="E202" i="7"/>
  <c r="F203" i="7"/>
  <c r="F191" i="7"/>
  <c r="G192" i="7"/>
  <c r="I182" i="7"/>
  <c r="B187" i="7"/>
  <c r="D189" i="7"/>
  <c r="G204" i="7"/>
  <c r="H193" i="7"/>
  <c r="L7" i="7"/>
  <c r="L19" i="7"/>
  <c r="L31" i="7"/>
  <c r="L43" i="7"/>
  <c r="L55" i="7"/>
  <c r="L67" i="7"/>
  <c r="L79" i="7"/>
  <c r="L91" i="7"/>
  <c r="L103" i="7"/>
  <c r="L115" i="7"/>
  <c r="L127" i="7"/>
  <c r="L139" i="7"/>
  <c r="L151" i="7"/>
  <c r="L163" i="7"/>
  <c r="L175" i="7"/>
  <c r="L187" i="7"/>
  <c r="L199" i="7"/>
  <c r="L211" i="7"/>
  <c r="L223" i="7"/>
  <c r="L235" i="7"/>
  <c r="L247" i="7"/>
  <c r="L259" i="7"/>
  <c r="L271" i="7"/>
  <c r="L283" i="7"/>
  <c r="L295" i="7"/>
  <c r="L307" i="7"/>
  <c r="L319" i="7"/>
  <c r="L331" i="7"/>
  <c r="L343" i="7"/>
  <c r="L355" i="7"/>
  <c r="L367" i="7"/>
  <c r="L379" i="7"/>
  <c r="L391" i="7"/>
  <c r="L403" i="7"/>
  <c r="L415" i="7"/>
  <c r="L427" i="7"/>
  <c r="L439" i="7"/>
  <c r="L451" i="7"/>
  <c r="L463" i="7"/>
  <c r="L475" i="7"/>
  <c r="L487" i="7"/>
  <c r="L499" i="7"/>
  <c r="L511" i="7"/>
  <c r="L523" i="7"/>
  <c r="L535" i="7"/>
  <c r="L547" i="7"/>
  <c r="L559" i="7"/>
  <c r="L571" i="7"/>
  <c r="L583" i="7"/>
  <c r="L595" i="7"/>
  <c r="L607" i="7"/>
  <c r="L619" i="7"/>
  <c r="L631" i="7"/>
  <c r="L643" i="7"/>
  <c r="L655" i="7"/>
  <c r="L667" i="7"/>
  <c r="L742" i="7"/>
  <c r="L766" i="7"/>
  <c r="L778" i="7"/>
  <c r="L790" i="7"/>
  <c r="L802" i="7"/>
  <c r="L946" i="7"/>
  <c r="L994" i="7"/>
  <c r="L1030" i="7"/>
  <c r="L755" i="7"/>
  <c r="L839" i="7"/>
  <c r="L899" i="7"/>
  <c r="L971" i="7"/>
  <c r="L995" i="7"/>
  <c r="L470" i="7"/>
  <c r="L518" i="7"/>
  <c r="L8" i="7"/>
  <c r="L20" i="7"/>
  <c r="L32" i="7"/>
  <c r="L44" i="7"/>
  <c r="L56" i="7"/>
  <c r="L68" i="7"/>
  <c r="L80" i="7"/>
  <c r="L92" i="7"/>
  <c r="L104" i="7"/>
  <c r="L116" i="7"/>
  <c r="L128" i="7"/>
  <c r="L140" i="7"/>
  <c r="L152" i="7"/>
  <c r="L164" i="7"/>
  <c r="L176" i="7"/>
  <c r="L188" i="7"/>
  <c r="L200" i="7"/>
  <c r="L212" i="7"/>
  <c r="L224" i="7"/>
  <c r="L236" i="7"/>
  <c r="L248" i="7"/>
  <c r="L260" i="7"/>
  <c r="L272" i="7"/>
  <c r="L284" i="7"/>
  <c r="L296" i="7"/>
  <c r="L308" i="7"/>
  <c r="L320" i="7"/>
  <c r="L332" i="7"/>
  <c r="L344" i="7"/>
  <c r="L356" i="7"/>
  <c r="L368" i="7"/>
  <c r="L380" i="7"/>
  <c r="L392" i="7"/>
  <c r="L404" i="7"/>
  <c r="L416" i="7"/>
  <c r="L428" i="7"/>
  <c r="L440" i="7"/>
  <c r="L452" i="7"/>
  <c r="L464" i="7"/>
  <c r="L476" i="7"/>
  <c r="L488" i="7"/>
  <c r="L500" i="7"/>
  <c r="L512" i="7"/>
  <c r="L524" i="7"/>
  <c r="L536" i="7"/>
  <c r="L548" i="7"/>
  <c r="L560" i="7"/>
  <c r="L572" i="7"/>
  <c r="L584" i="7"/>
  <c r="L596" i="7"/>
  <c r="L608" i="7"/>
  <c r="L620" i="7"/>
  <c r="L632" i="7"/>
  <c r="L644" i="7"/>
  <c r="L656" i="7"/>
  <c r="L668" i="7"/>
  <c r="L680" i="7"/>
  <c r="L692" i="7"/>
  <c r="L704" i="7"/>
  <c r="L716" i="7"/>
  <c r="L728" i="7"/>
  <c r="L740" i="7"/>
  <c r="L752" i="7"/>
  <c r="L764" i="7"/>
  <c r="L776" i="7"/>
  <c r="L788" i="7"/>
  <c r="L800" i="7"/>
  <c r="L812" i="7"/>
  <c r="L824" i="7"/>
  <c r="L836" i="7"/>
  <c r="L848" i="7"/>
  <c r="L860" i="7"/>
  <c r="L872" i="7"/>
  <c r="L884" i="7"/>
  <c r="L896" i="7"/>
  <c r="L908" i="7"/>
  <c r="L920" i="7"/>
  <c r="L932" i="7"/>
  <c r="L944" i="7"/>
  <c r="L956" i="7"/>
  <c r="L968" i="7"/>
  <c r="L646" i="7"/>
  <c r="L682" i="7"/>
  <c r="L694" i="7"/>
  <c r="L706" i="7"/>
  <c r="L730" i="7"/>
  <c r="L754" i="7"/>
  <c r="L814" i="7"/>
  <c r="L826" i="7"/>
  <c r="L838" i="7"/>
  <c r="L898" i="7"/>
  <c r="L934" i="7"/>
  <c r="L9" i="7"/>
  <c r="L21" i="7"/>
  <c r="L33" i="7"/>
  <c r="L45" i="7"/>
  <c r="L57" i="7"/>
  <c r="L69" i="7"/>
  <c r="L81" i="7"/>
  <c r="L93" i="7"/>
  <c r="L105" i="7"/>
  <c r="L117" i="7"/>
  <c r="L129" i="7"/>
  <c r="L141" i="7"/>
  <c r="L153" i="7"/>
  <c r="L165" i="7"/>
  <c r="L177" i="7"/>
  <c r="L189" i="7"/>
  <c r="L201" i="7"/>
  <c r="L213" i="7"/>
  <c r="L225" i="7"/>
  <c r="L237" i="7"/>
  <c r="L249" i="7"/>
  <c r="L261" i="7"/>
  <c r="L273" i="7"/>
  <c r="L285" i="7"/>
  <c r="L297" i="7"/>
  <c r="L309" i="7"/>
  <c r="L321" i="7"/>
  <c r="L333" i="7"/>
  <c r="L345" i="7"/>
  <c r="L357" i="7"/>
  <c r="L369" i="7"/>
  <c r="L381" i="7"/>
  <c r="L393" i="7"/>
  <c r="L405" i="7"/>
  <c r="L417" i="7"/>
  <c r="L429" i="7"/>
  <c r="L441" i="7"/>
  <c r="L453" i="7"/>
  <c r="L465" i="7"/>
  <c r="L477" i="7"/>
  <c r="L489" i="7"/>
  <c r="L501" i="7"/>
  <c r="L513" i="7"/>
  <c r="L525" i="7"/>
  <c r="L537" i="7"/>
  <c r="L549" i="7"/>
  <c r="L561" i="7"/>
  <c r="L573" i="7"/>
  <c r="L585" i="7"/>
  <c r="L597" i="7"/>
  <c r="L609" i="7"/>
  <c r="L621" i="7"/>
  <c r="L633" i="7"/>
  <c r="L645" i="7"/>
  <c r="L657" i="7"/>
  <c r="L669" i="7"/>
  <c r="L681" i="7"/>
  <c r="L693" i="7"/>
  <c r="L705" i="7"/>
  <c r="L717" i="7"/>
  <c r="L729" i="7"/>
  <c r="L741" i="7"/>
  <c r="L753" i="7"/>
  <c r="L765" i="7"/>
  <c r="L777" i="7"/>
  <c r="L789" i="7"/>
  <c r="L801" i="7"/>
  <c r="L813" i="7"/>
  <c r="L825" i="7"/>
  <c r="L837" i="7"/>
  <c r="L849" i="7"/>
  <c r="L861" i="7"/>
  <c r="L873" i="7"/>
  <c r="L885" i="7"/>
  <c r="L897" i="7"/>
  <c r="L909" i="7"/>
  <c r="L921" i="7"/>
  <c r="L933" i="7"/>
  <c r="L945" i="7"/>
  <c r="L957" i="7"/>
  <c r="L969" i="7"/>
  <c r="L981" i="7"/>
  <c r="L993" i="7"/>
  <c r="L1005" i="7"/>
  <c r="L1017" i="7"/>
  <c r="L1029" i="7"/>
  <c r="L1041" i="7"/>
  <c r="L502" i="7"/>
  <c r="L514" i="7"/>
  <c r="L526" i="7"/>
  <c r="L538" i="7"/>
  <c r="L506" i="7"/>
  <c r="L578" i="7"/>
  <c r="L10" i="7"/>
  <c r="L22" i="7"/>
  <c r="L34" i="7"/>
  <c r="L46" i="7"/>
  <c r="L58" i="7"/>
  <c r="L70" i="7"/>
  <c r="L82" i="7"/>
  <c r="L94" i="7"/>
  <c r="L106" i="7"/>
  <c r="L118" i="7"/>
  <c r="L130" i="7"/>
  <c r="L142" i="7"/>
  <c r="L154" i="7"/>
  <c r="L166" i="7"/>
  <c r="L178" i="7"/>
  <c r="L190" i="7"/>
  <c r="L202" i="7"/>
  <c r="L214" i="7"/>
  <c r="L226" i="7"/>
  <c r="L238" i="7"/>
  <c r="L250" i="7"/>
  <c r="L262" i="7"/>
  <c r="L274" i="7"/>
  <c r="L286" i="7"/>
  <c r="L298" i="7"/>
  <c r="L310" i="7"/>
  <c r="L322" i="7"/>
  <c r="L334" i="7"/>
  <c r="L346" i="7"/>
  <c r="L358" i="7"/>
  <c r="L370" i="7"/>
  <c r="L382" i="7"/>
  <c r="L394" i="7"/>
  <c r="L406" i="7"/>
  <c r="L418" i="7"/>
  <c r="L430" i="7"/>
  <c r="L442" i="7"/>
  <c r="L454" i="7"/>
  <c r="L466" i="7"/>
  <c r="L478" i="7"/>
  <c r="L490" i="7"/>
  <c r="L550" i="7"/>
  <c r="L562" i="7"/>
  <c r="L574" i="7"/>
  <c r="L586" i="7"/>
  <c r="L598" i="7"/>
  <c r="L11" i="7"/>
  <c r="L23" i="7"/>
  <c r="L35" i="7"/>
  <c r="L47" i="7"/>
  <c r="L59" i="7"/>
  <c r="L71" i="7"/>
  <c r="L83" i="7"/>
  <c r="L95" i="7"/>
  <c r="L107" i="7"/>
  <c r="L119" i="7"/>
  <c r="L131" i="7"/>
  <c r="L143" i="7"/>
  <c r="L155" i="7"/>
  <c r="L167" i="7"/>
  <c r="L179" i="7"/>
  <c r="L191" i="7"/>
  <c r="L203" i="7"/>
  <c r="L215" i="7"/>
  <c r="L227" i="7"/>
  <c r="L239" i="7"/>
  <c r="L251" i="7"/>
  <c r="L263" i="7"/>
  <c r="L275" i="7"/>
  <c r="L287" i="7"/>
  <c r="L299" i="7"/>
  <c r="L311" i="7"/>
  <c r="L323" i="7"/>
  <c r="L335" i="7"/>
  <c r="L347" i="7"/>
  <c r="L359" i="7"/>
  <c r="L371" i="7"/>
  <c r="L383" i="7"/>
  <c r="L395" i="7"/>
  <c r="L407" i="7"/>
  <c r="L419" i="7"/>
  <c r="L431" i="7"/>
  <c r="L443" i="7"/>
  <c r="L455" i="7"/>
  <c r="L467" i="7"/>
  <c r="L479" i="7"/>
  <c r="L491" i="7"/>
  <c r="L503" i="7"/>
  <c r="L515" i="7"/>
  <c r="L527" i="7"/>
  <c r="L539" i="7"/>
  <c r="L551" i="7"/>
  <c r="L563" i="7"/>
  <c r="L575" i="7"/>
  <c r="L587" i="7"/>
  <c r="L599" i="7"/>
  <c r="L611" i="7"/>
  <c r="L623" i="7"/>
  <c r="L635" i="7"/>
  <c r="L647" i="7"/>
  <c r="L659" i="7"/>
  <c r="L671" i="7"/>
  <c r="L683" i="7"/>
  <c r="L695" i="7"/>
  <c r="L707" i="7"/>
  <c r="L719" i="7"/>
  <c r="L731" i="7"/>
  <c r="L767" i="7"/>
  <c r="L803" i="7"/>
  <c r="L851" i="7"/>
  <c r="L959" i="7"/>
  <c r="L1019" i="7"/>
  <c r="L1043" i="7"/>
  <c r="L434" i="7"/>
  <c r="L482" i="7"/>
  <c r="L542" i="7"/>
  <c r="L12" i="7"/>
  <c r="L24" i="7"/>
  <c r="L36" i="7"/>
  <c r="L48" i="7"/>
  <c r="L60" i="7"/>
  <c r="L72" i="7"/>
  <c r="L84" i="7"/>
  <c r="L96" i="7"/>
  <c r="L108" i="7"/>
  <c r="L120" i="7"/>
  <c r="L132" i="7"/>
  <c r="L144" i="7"/>
  <c r="L156" i="7"/>
  <c r="L168" i="7"/>
  <c r="L180" i="7"/>
  <c r="L192" i="7"/>
  <c r="L204" i="7"/>
  <c r="L216" i="7"/>
  <c r="L228" i="7"/>
  <c r="L240" i="7"/>
  <c r="L252" i="7"/>
  <c r="L264" i="7"/>
  <c r="L276" i="7"/>
  <c r="L288" i="7"/>
  <c r="L300" i="7"/>
  <c r="L312" i="7"/>
  <c r="L324" i="7"/>
  <c r="L336" i="7"/>
  <c r="L348" i="7"/>
  <c r="L360" i="7"/>
  <c r="L372" i="7"/>
  <c r="L384" i="7"/>
  <c r="L396" i="7"/>
  <c r="L408" i="7"/>
  <c r="L420" i="7"/>
  <c r="L432" i="7"/>
  <c r="L444" i="7"/>
  <c r="L456" i="7"/>
  <c r="L468" i="7"/>
  <c r="L480" i="7"/>
  <c r="L492" i="7"/>
  <c r="L504" i="7"/>
  <c r="L516" i="7"/>
  <c r="L528" i="7"/>
  <c r="L540" i="7"/>
  <c r="L552" i="7"/>
  <c r="L564" i="7"/>
  <c r="L576" i="7"/>
  <c r="L588" i="7"/>
  <c r="L600" i="7"/>
  <c r="L612" i="7"/>
  <c r="L624" i="7"/>
  <c r="L636" i="7"/>
  <c r="L648" i="7"/>
  <c r="L660" i="7"/>
  <c r="L672" i="7"/>
  <c r="L684" i="7"/>
  <c r="L696" i="7"/>
  <c r="L708" i="7"/>
  <c r="L720" i="7"/>
  <c r="L732" i="7"/>
  <c r="L744" i="7"/>
  <c r="L756" i="7"/>
  <c r="L768" i="7"/>
  <c r="L780" i="7"/>
  <c r="L792" i="7"/>
  <c r="L804" i="7"/>
  <c r="L816" i="7"/>
  <c r="L828" i="7"/>
  <c r="L840" i="7"/>
  <c r="L852" i="7"/>
  <c r="L864" i="7"/>
  <c r="L876" i="7"/>
  <c r="L888" i="7"/>
  <c r="L900" i="7"/>
  <c r="L912" i="7"/>
  <c r="L924" i="7"/>
  <c r="L936" i="7"/>
  <c r="L948" i="7"/>
  <c r="L960" i="7"/>
  <c r="L972" i="7"/>
  <c r="L984" i="7"/>
  <c r="L996" i="7"/>
  <c r="L1008" i="7"/>
  <c r="L1020" i="7"/>
  <c r="L1032" i="7"/>
  <c r="L1044" i="7"/>
  <c r="L206" i="7"/>
  <c r="L254" i="7"/>
  <c r="L338" i="7"/>
  <c r="L374" i="7"/>
  <c r="L398" i="7"/>
  <c r="L410" i="7"/>
  <c r="L422" i="7"/>
  <c r="L494" i="7"/>
  <c r="L566" i="7"/>
  <c r="L590" i="7"/>
  <c r="L13" i="7"/>
  <c r="L25" i="7"/>
  <c r="L37" i="7"/>
  <c r="L49" i="7"/>
  <c r="L61" i="7"/>
  <c r="L73" i="7"/>
  <c r="L85" i="7"/>
  <c r="L97" i="7"/>
  <c r="L109" i="7"/>
  <c r="L121" i="7"/>
  <c r="L133" i="7"/>
  <c r="L145" i="7"/>
  <c r="L157" i="7"/>
  <c r="L169" i="7"/>
  <c r="L181" i="7"/>
  <c r="L193" i="7"/>
  <c r="L205" i="7"/>
  <c r="L217" i="7"/>
  <c r="L229" i="7"/>
  <c r="L241" i="7"/>
  <c r="L253" i="7"/>
  <c r="L265" i="7"/>
  <c r="L277" i="7"/>
  <c r="L289" i="7"/>
  <c r="L301" i="7"/>
  <c r="L313" i="7"/>
  <c r="L325" i="7"/>
  <c r="L337" i="7"/>
  <c r="L349" i="7"/>
  <c r="L361" i="7"/>
  <c r="L373" i="7"/>
  <c r="L385" i="7"/>
  <c r="L397" i="7"/>
  <c r="L409" i="7"/>
  <c r="L421" i="7"/>
  <c r="L433" i="7"/>
  <c r="L445" i="7"/>
  <c r="L457" i="7"/>
  <c r="L469" i="7"/>
  <c r="L481" i="7"/>
  <c r="L493" i="7"/>
  <c r="L505" i="7"/>
  <c r="L517" i="7"/>
  <c r="L529" i="7"/>
  <c r="L541" i="7"/>
  <c r="L553" i="7"/>
  <c r="L565" i="7"/>
  <c r="L577" i="7"/>
  <c r="L589" i="7"/>
  <c r="L601" i="7"/>
  <c r="L613" i="7"/>
  <c r="L625" i="7"/>
  <c r="L637" i="7"/>
  <c r="L649" i="7"/>
  <c r="L661" i="7"/>
  <c r="L673" i="7"/>
  <c r="L685" i="7"/>
  <c r="L697" i="7"/>
  <c r="L709" i="7"/>
  <c r="L721" i="7"/>
  <c r="L733" i="7"/>
  <c r="L745" i="7"/>
  <c r="L757" i="7"/>
  <c r="L769" i="7"/>
  <c r="L781" i="7"/>
  <c r="L793" i="7"/>
  <c r="L805" i="7"/>
  <c r="L817" i="7"/>
  <c r="L829" i="7"/>
  <c r="L841" i="7"/>
  <c r="L853" i="7"/>
  <c r="L865" i="7"/>
  <c r="L877" i="7"/>
  <c r="L889" i="7"/>
  <c r="L901" i="7"/>
  <c r="L913" i="7"/>
  <c r="L925" i="7"/>
  <c r="L937" i="7"/>
  <c r="L949" i="7"/>
  <c r="L961" i="7"/>
  <c r="L973" i="7"/>
  <c r="L985" i="7"/>
  <c r="L997" i="7"/>
  <c r="L1009" i="7"/>
  <c r="L1021" i="7"/>
  <c r="L1033" i="7"/>
  <c r="L1045" i="7"/>
  <c r="L14" i="7"/>
  <c r="L26" i="7"/>
  <c r="L38" i="7"/>
  <c r="L50" i="7"/>
  <c r="L62" i="7"/>
  <c r="L74" i="7"/>
  <c r="L86" i="7"/>
  <c r="L98" i="7"/>
  <c r="L110" i="7"/>
  <c r="L122" i="7"/>
  <c r="L134" i="7"/>
  <c r="L146" i="7"/>
  <c r="L158" i="7"/>
  <c r="L170" i="7"/>
  <c r="L182" i="7"/>
  <c r="L194" i="7"/>
  <c r="L218" i="7"/>
  <c r="L230" i="7"/>
  <c r="L242" i="7"/>
  <c r="L266" i="7"/>
  <c r="L278" i="7"/>
  <c r="L290" i="7"/>
  <c r="L302" i="7"/>
  <c r="L314" i="7"/>
  <c r="L326" i="7"/>
  <c r="L350" i="7"/>
  <c r="L362" i="7"/>
  <c r="L386" i="7"/>
  <c r="L17" i="7"/>
  <c r="L29" i="7"/>
  <c r="L41" i="7"/>
  <c r="L53" i="7"/>
  <c r="L65" i="7"/>
  <c r="L77" i="7"/>
  <c r="L89" i="7"/>
  <c r="L101" i="7"/>
  <c r="L113" i="7"/>
  <c r="L125" i="7"/>
  <c r="L137" i="7"/>
  <c r="L149" i="7"/>
  <c r="L161" i="7"/>
  <c r="L173" i="7"/>
  <c r="L185" i="7"/>
  <c r="L197" i="7"/>
  <c r="L209" i="7"/>
  <c r="L221" i="7"/>
  <c r="L233" i="7"/>
  <c r="L245" i="7"/>
  <c r="L257" i="7"/>
  <c r="L269" i="7"/>
  <c r="L281" i="7"/>
  <c r="L293" i="7"/>
  <c r="L305" i="7"/>
  <c r="L317" i="7"/>
  <c r="L329" i="7"/>
  <c r="L341" i="7"/>
  <c r="L353" i="7"/>
  <c r="L365" i="7"/>
  <c r="L377" i="7"/>
  <c r="L389" i="7"/>
  <c r="L401" i="7"/>
  <c r="L413" i="7"/>
  <c r="L425" i="7"/>
  <c r="L437" i="7"/>
  <c r="L449" i="7"/>
  <c r="L461" i="7"/>
  <c r="L473" i="7"/>
  <c r="L485" i="7"/>
  <c r="L497" i="7"/>
  <c r="L509" i="7"/>
  <c r="L521" i="7"/>
  <c r="L533" i="7"/>
  <c r="L545" i="7"/>
  <c r="L557" i="7"/>
  <c r="L569" i="7"/>
  <c r="L581" i="7"/>
  <c r="L593" i="7"/>
  <c r="L605" i="7"/>
  <c r="L617" i="7"/>
  <c r="L629" i="7"/>
  <c r="L641" i="7"/>
  <c r="L653" i="7"/>
  <c r="L665" i="7"/>
  <c r="L677" i="7"/>
  <c r="L689" i="7"/>
  <c r="L701" i="7"/>
  <c r="L713" i="7"/>
  <c r="L725" i="7"/>
  <c r="L737" i="7"/>
  <c r="L749" i="7"/>
  <c r="L761" i="7"/>
  <c r="L773" i="7"/>
  <c r="L785" i="7"/>
  <c r="L797" i="7"/>
  <c r="L809" i="7"/>
  <c r="L821" i="7"/>
  <c r="L833" i="7"/>
  <c r="L845" i="7"/>
  <c r="L857" i="7"/>
  <c r="L869" i="7"/>
  <c r="L881" i="7"/>
  <c r="L893" i="7"/>
  <c r="L905" i="7"/>
  <c r="L917" i="7"/>
  <c r="L929" i="7"/>
  <c r="L941" i="7"/>
  <c r="L953" i="7"/>
  <c r="L965" i="7"/>
  <c r="L977" i="7"/>
  <c r="L989" i="7"/>
  <c r="L1001" i="7"/>
  <c r="L1013" i="7"/>
  <c r="L1025" i="7"/>
  <c r="L1037" i="7"/>
  <c r="L1049" i="7"/>
  <c r="L691" i="7"/>
  <c r="L727" i="7"/>
  <c r="L739" i="7"/>
  <c r="L751" i="7"/>
  <c r="L775" i="7"/>
  <c r="L787" i="7"/>
  <c r="L811" i="7"/>
  <c r="L823" i="7"/>
  <c r="L847" i="7"/>
  <c r="L871" i="7"/>
  <c r="L883" i="7"/>
  <c r="L895" i="7"/>
  <c r="L943" i="7"/>
  <c r="L955" i="7"/>
  <c r="L967" i="7"/>
  <c r="L979" i="7"/>
  <c r="L991" i="7"/>
  <c r="L1003" i="7"/>
  <c r="L1027" i="7"/>
  <c r="L1051" i="7"/>
  <c r="L992" i="7"/>
  <c r="L1016" i="7"/>
  <c r="L1028" i="7"/>
  <c r="L610" i="7"/>
  <c r="L634" i="7"/>
  <c r="L850" i="7"/>
  <c r="L886" i="7"/>
  <c r="L910" i="7"/>
  <c r="L958" i="7"/>
  <c r="L982" i="7"/>
  <c r="L1006" i="7"/>
  <c r="L779" i="7"/>
  <c r="L815" i="7"/>
  <c r="L875" i="7"/>
  <c r="L887" i="7"/>
  <c r="L923" i="7"/>
  <c r="L947" i="7"/>
  <c r="L983" i="7"/>
  <c r="L458" i="7"/>
  <c r="L530" i="7"/>
  <c r="L18" i="7"/>
  <c r="L30" i="7"/>
  <c r="L42" i="7"/>
  <c r="L54" i="7"/>
  <c r="L66" i="7"/>
  <c r="L78" i="7"/>
  <c r="L90" i="7"/>
  <c r="L102" i="7"/>
  <c r="L114" i="7"/>
  <c r="L126" i="7"/>
  <c r="L138" i="7"/>
  <c r="L150" i="7"/>
  <c r="L162" i="7"/>
  <c r="L174" i="7"/>
  <c r="L186" i="7"/>
  <c r="L198" i="7"/>
  <c r="L210" i="7"/>
  <c r="L222" i="7"/>
  <c r="L234" i="7"/>
  <c r="L246" i="7"/>
  <c r="L258" i="7"/>
  <c r="L270" i="7"/>
  <c r="L282" i="7"/>
  <c r="L294" i="7"/>
  <c r="L306" i="7"/>
  <c r="L318" i="7"/>
  <c r="L330" i="7"/>
  <c r="L342" i="7"/>
  <c r="L354" i="7"/>
  <c r="L366" i="7"/>
  <c r="L378" i="7"/>
  <c r="L390" i="7"/>
  <c r="L402" i="7"/>
  <c r="L414" i="7"/>
  <c r="L426" i="7"/>
  <c r="L438" i="7"/>
  <c r="L450" i="7"/>
  <c r="L462" i="7"/>
  <c r="L474" i="7"/>
  <c r="L486" i="7"/>
  <c r="L498" i="7"/>
  <c r="L510" i="7"/>
  <c r="L522" i="7"/>
  <c r="L534" i="7"/>
  <c r="L546" i="7"/>
  <c r="L558" i="7"/>
  <c r="L570" i="7"/>
  <c r="L582" i="7"/>
  <c r="L594" i="7"/>
  <c r="L606" i="7"/>
  <c r="L618" i="7"/>
  <c r="L630" i="7"/>
  <c r="L642" i="7"/>
  <c r="L654" i="7"/>
  <c r="L666" i="7"/>
  <c r="L678" i="7"/>
  <c r="L690" i="7"/>
  <c r="L702" i="7"/>
  <c r="L714" i="7"/>
  <c r="L726" i="7"/>
  <c r="L738" i="7"/>
  <c r="L750" i="7"/>
  <c r="L762" i="7"/>
  <c r="L774" i="7"/>
  <c r="L786" i="7"/>
  <c r="L798" i="7"/>
  <c r="L810" i="7"/>
  <c r="L822" i="7"/>
  <c r="L834" i="7"/>
  <c r="L846" i="7"/>
  <c r="L858" i="7"/>
  <c r="L870" i="7"/>
  <c r="L882" i="7"/>
  <c r="L894" i="7"/>
  <c r="L906" i="7"/>
  <c r="L918" i="7"/>
  <c r="L930" i="7"/>
  <c r="L942" i="7"/>
  <c r="L954" i="7"/>
  <c r="L966" i="7"/>
  <c r="L978" i="7"/>
  <c r="L990" i="7"/>
  <c r="L1002" i="7"/>
  <c r="L1014" i="7"/>
  <c r="L1026" i="7"/>
  <c r="L1038" i="7"/>
  <c r="L1050" i="7"/>
  <c r="L679" i="7"/>
  <c r="L703" i="7"/>
  <c r="L715" i="7"/>
  <c r="L763" i="7"/>
  <c r="L799" i="7"/>
  <c r="L835" i="7"/>
  <c r="L859" i="7"/>
  <c r="L907" i="7"/>
  <c r="L919" i="7"/>
  <c r="L931" i="7"/>
  <c r="L1015" i="7"/>
  <c r="L1039" i="7"/>
  <c r="L980" i="7"/>
  <c r="L1004" i="7"/>
  <c r="L1040" i="7"/>
  <c r="L622" i="7"/>
  <c r="L658" i="7"/>
  <c r="L670" i="7"/>
  <c r="L718" i="7"/>
  <c r="L862" i="7"/>
  <c r="L874" i="7"/>
  <c r="L922" i="7"/>
  <c r="L970" i="7"/>
  <c r="L1018" i="7"/>
  <c r="L1042" i="7"/>
  <c r="L743" i="7"/>
  <c r="L791" i="7"/>
  <c r="L827" i="7"/>
  <c r="L863" i="7"/>
  <c r="L911" i="7"/>
  <c r="L935" i="7"/>
  <c r="L1007" i="7"/>
  <c r="L1031" i="7"/>
  <c r="L446" i="7"/>
  <c r="L554" i="7"/>
  <c r="L87" i="7"/>
  <c r="L519" i="7"/>
  <c r="L639" i="7"/>
  <c r="L783" i="7"/>
  <c r="L879" i="7"/>
  <c r="L927" i="7"/>
  <c r="L975" i="7"/>
  <c r="L736" i="7"/>
  <c r="L832" i="7"/>
  <c r="L928" i="7"/>
  <c r="L1024" i="7"/>
  <c r="L387" i="7"/>
  <c r="L698" i="7"/>
  <c r="L890" i="7"/>
  <c r="L722" i="7"/>
  <c r="L424" i="7"/>
  <c r="L675" i="7"/>
  <c r="L1012" i="7"/>
  <c r="L16" i="7"/>
  <c r="L88" i="7"/>
  <c r="L160" i="7"/>
  <c r="L232" i="7"/>
  <c r="L304" i="7"/>
  <c r="L376" i="7"/>
  <c r="L448" i="7"/>
  <c r="L520" i="7"/>
  <c r="L592" i="7"/>
  <c r="L640" i="7"/>
  <c r="L688" i="7"/>
  <c r="L459" i="7"/>
  <c r="L746" i="7"/>
  <c r="L938" i="7"/>
  <c r="L1034" i="7"/>
  <c r="L1000" i="7"/>
  <c r="L1048" i="7"/>
  <c r="L207" i="7"/>
  <c r="L771" i="7"/>
  <c r="L1011" i="7"/>
  <c r="L291" i="7"/>
  <c r="L676" i="7"/>
  <c r="L27" i="7"/>
  <c r="L99" i="7"/>
  <c r="L171" i="7"/>
  <c r="L243" i="7"/>
  <c r="L531" i="7"/>
  <c r="L794" i="7"/>
  <c r="L904" i="7"/>
  <c r="L135" i="7"/>
  <c r="L567" i="7"/>
  <c r="L866" i="7"/>
  <c r="L1010" i="7"/>
  <c r="L136" i="7"/>
  <c r="L868" i="7"/>
  <c r="L28" i="7"/>
  <c r="L100" i="7"/>
  <c r="L172" i="7"/>
  <c r="L244" i="7"/>
  <c r="L316" i="7"/>
  <c r="L388" i="7"/>
  <c r="L460" i="7"/>
  <c r="L532" i="7"/>
  <c r="L603" i="7"/>
  <c r="L651" i="7"/>
  <c r="L699" i="7"/>
  <c r="L747" i="7"/>
  <c r="L795" i="7"/>
  <c r="L843" i="7"/>
  <c r="L891" i="7"/>
  <c r="L939" i="7"/>
  <c r="L987" i="7"/>
  <c r="L1035" i="7"/>
  <c r="L748" i="7"/>
  <c r="L892" i="7"/>
  <c r="L988" i="7"/>
  <c r="L195" i="7"/>
  <c r="L339" i="7"/>
  <c r="L759" i="7"/>
  <c r="L951" i="7"/>
  <c r="L999" i="7"/>
  <c r="L196" i="7"/>
  <c r="L412" i="7"/>
  <c r="L808" i="7"/>
  <c r="L856" i="7"/>
  <c r="L952" i="7"/>
  <c r="L279" i="7"/>
  <c r="L626" i="7"/>
  <c r="L818" i="7"/>
  <c r="L962" i="7"/>
  <c r="L64" i="7"/>
  <c r="L352" i="7"/>
  <c r="L496" i="7"/>
  <c r="L568" i="7"/>
  <c r="L915" i="7"/>
  <c r="L147" i="7"/>
  <c r="L507" i="7"/>
  <c r="L724" i="7"/>
  <c r="L820" i="7"/>
  <c r="L39" i="7"/>
  <c r="L111" i="7"/>
  <c r="L183" i="7"/>
  <c r="L255" i="7"/>
  <c r="L327" i="7"/>
  <c r="L399" i="7"/>
  <c r="L471" i="7"/>
  <c r="L543" i="7"/>
  <c r="L604" i="7"/>
  <c r="L652" i="7"/>
  <c r="L700" i="7"/>
  <c r="L796" i="7"/>
  <c r="L844" i="7"/>
  <c r="L940" i="7"/>
  <c r="L1036" i="7"/>
  <c r="L411" i="7"/>
  <c r="L483" i="7"/>
  <c r="L555" i="7"/>
  <c r="L711" i="7"/>
  <c r="L807" i="7"/>
  <c r="L903" i="7"/>
  <c r="L1047" i="7"/>
  <c r="L52" i="7"/>
  <c r="L340" i="7"/>
  <c r="L484" i="7"/>
  <c r="L556" i="7"/>
  <c r="L616" i="7"/>
  <c r="L664" i="7"/>
  <c r="L712" i="7"/>
  <c r="L760" i="7"/>
  <c r="L963" i="7"/>
  <c r="L435" i="7"/>
  <c r="L772" i="7"/>
  <c r="L916" i="7"/>
  <c r="L964" i="7"/>
  <c r="L40" i="7"/>
  <c r="L112" i="7"/>
  <c r="L184" i="7"/>
  <c r="L256" i="7"/>
  <c r="L328" i="7"/>
  <c r="L400" i="7"/>
  <c r="L472" i="7"/>
  <c r="L544" i="7"/>
  <c r="L614" i="7"/>
  <c r="L662" i="7"/>
  <c r="L710" i="7"/>
  <c r="L758" i="7"/>
  <c r="L806" i="7"/>
  <c r="L854" i="7"/>
  <c r="L902" i="7"/>
  <c r="L950" i="7"/>
  <c r="L998" i="7"/>
  <c r="L1046" i="7"/>
  <c r="L51" i="7"/>
  <c r="L267" i="7"/>
  <c r="L123" i="7"/>
  <c r="L615" i="7"/>
  <c r="L663" i="7"/>
  <c r="L855" i="7"/>
  <c r="L124" i="7"/>
  <c r="L268" i="7"/>
  <c r="L351" i="7"/>
  <c r="L495" i="7"/>
  <c r="L770" i="7"/>
  <c r="L914" i="7"/>
  <c r="L280" i="7"/>
  <c r="L627" i="7"/>
  <c r="L819" i="7"/>
  <c r="L219" i="7"/>
  <c r="L628" i="7"/>
  <c r="L76" i="7"/>
  <c r="L148" i="7"/>
  <c r="L220" i="7"/>
  <c r="L292" i="7"/>
  <c r="L364" i="7"/>
  <c r="L436" i="7"/>
  <c r="L508" i="7"/>
  <c r="L580" i="7"/>
  <c r="L638" i="7"/>
  <c r="L686" i="7"/>
  <c r="L734" i="7"/>
  <c r="L782" i="7"/>
  <c r="L830" i="7"/>
  <c r="L878" i="7"/>
  <c r="L926" i="7"/>
  <c r="L974" i="7"/>
  <c r="L1022" i="7"/>
  <c r="L15" i="7"/>
  <c r="L159" i="7"/>
  <c r="L231" i="7"/>
  <c r="L303" i="7"/>
  <c r="L375" i="7"/>
  <c r="L447" i="7"/>
  <c r="L591" i="7"/>
  <c r="L687" i="7"/>
  <c r="L735" i="7"/>
  <c r="L831" i="7"/>
  <c r="L1023" i="7"/>
  <c r="L784" i="7"/>
  <c r="L880" i="7"/>
  <c r="L976" i="7"/>
  <c r="L315" i="7"/>
  <c r="L602" i="7"/>
  <c r="L650" i="7"/>
  <c r="L842" i="7"/>
  <c r="L986" i="7"/>
  <c r="L63" i="7"/>
  <c r="L423" i="7"/>
  <c r="L674" i="7"/>
  <c r="L208" i="7"/>
  <c r="L723" i="7"/>
  <c r="L867" i="7"/>
  <c r="L75" i="7"/>
  <c r="L363" i="7"/>
  <c r="L579" i="7"/>
  <c r="S6" i="7"/>
  <c r="M6" i="7"/>
  <c r="D6" i="7"/>
  <c r="B6" i="7"/>
  <c r="E6" i="7"/>
  <c r="C6" i="7"/>
  <c r="J13" i="7"/>
  <c r="H13" i="7"/>
  <c r="E28" i="7"/>
  <c r="D28" i="7"/>
  <c r="B28" i="7"/>
  <c r="C28" i="7"/>
  <c r="E53" i="7"/>
  <c r="C53" i="7"/>
  <c r="B53" i="7"/>
  <c r="D53" i="7"/>
  <c r="D78" i="7"/>
  <c r="C78" i="7"/>
  <c r="B78" i="7"/>
  <c r="E78" i="7"/>
  <c r="A12" i="7"/>
  <c r="G12" i="7"/>
  <c r="E15" i="7"/>
  <c r="D15" i="7"/>
  <c r="C15" i="7"/>
  <c r="B15" i="7"/>
  <c r="E34" i="7"/>
  <c r="D34" i="7"/>
  <c r="C34" i="7"/>
  <c r="B34" i="7"/>
  <c r="E40" i="7"/>
  <c r="D40" i="7"/>
  <c r="B40" i="7"/>
  <c r="C40" i="7"/>
  <c r="E59" i="7"/>
  <c r="D59" i="7"/>
  <c r="C59" i="7"/>
  <c r="B59" i="7"/>
  <c r="E65" i="7"/>
  <c r="C65" i="7"/>
  <c r="B65" i="7"/>
  <c r="D65" i="7"/>
  <c r="E84" i="7"/>
  <c r="D84" i="7"/>
  <c r="C84" i="7"/>
  <c r="B84" i="7"/>
  <c r="D90" i="7"/>
  <c r="C90" i="7"/>
  <c r="B90" i="7"/>
  <c r="E90" i="7"/>
  <c r="E21" i="7"/>
  <c r="D21" i="7"/>
  <c r="C21" i="7"/>
  <c r="B21" i="7"/>
  <c r="E27" i="7"/>
  <c r="D27" i="7"/>
  <c r="C27" i="7"/>
  <c r="B27" i="7"/>
  <c r="E46" i="7"/>
  <c r="D46" i="7"/>
  <c r="C46" i="7"/>
  <c r="B46" i="7"/>
  <c r="E52" i="7"/>
  <c r="D52" i="7"/>
  <c r="B52" i="7"/>
  <c r="C52" i="7"/>
  <c r="A8" i="7"/>
  <c r="G8" i="7"/>
  <c r="E33" i="7"/>
  <c r="D33" i="7"/>
  <c r="C33" i="7"/>
  <c r="B33" i="7"/>
  <c r="E39" i="7"/>
  <c r="D39" i="7"/>
  <c r="C39" i="7"/>
  <c r="B39" i="7"/>
  <c r="E58" i="7"/>
  <c r="D58" i="7"/>
  <c r="C58" i="7"/>
  <c r="B58" i="7"/>
  <c r="E64" i="7"/>
  <c r="D64" i="7"/>
  <c r="B64" i="7"/>
  <c r="C64" i="7"/>
  <c r="D83" i="7"/>
  <c r="C83" i="7"/>
  <c r="B83" i="7"/>
  <c r="C89" i="7"/>
  <c r="B89" i="7"/>
  <c r="D89" i="7"/>
  <c r="D7" i="7"/>
  <c r="B7" i="7"/>
  <c r="A20" i="7"/>
  <c r="G20" i="7"/>
  <c r="E26" i="7"/>
  <c r="D26" i="7"/>
  <c r="C26" i="7"/>
  <c r="B26" i="7"/>
  <c r="E45" i="7"/>
  <c r="D45" i="7"/>
  <c r="C45" i="7"/>
  <c r="B45" i="7"/>
  <c r="E51" i="7"/>
  <c r="D51" i="7"/>
  <c r="C51" i="7"/>
  <c r="B51" i="7"/>
  <c r="E70" i="7"/>
  <c r="C70" i="7"/>
  <c r="B70" i="7"/>
  <c r="E76" i="7"/>
  <c r="B76" i="7"/>
  <c r="C76" i="7"/>
  <c r="E95" i="7"/>
  <c r="C95" i="7"/>
  <c r="B95" i="7"/>
  <c r="E101" i="7"/>
  <c r="B101" i="7"/>
  <c r="D101" i="7"/>
  <c r="J11" i="7"/>
  <c r="H11" i="7"/>
  <c r="E14" i="7"/>
  <c r="D14" i="7"/>
  <c r="C14" i="7"/>
  <c r="B14" i="7"/>
  <c r="E17" i="7"/>
  <c r="D17" i="7"/>
  <c r="E23" i="7"/>
  <c r="D23" i="7"/>
  <c r="K26" i="7"/>
  <c r="J26" i="7"/>
  <c r="A32" i="7"/>
  <c r="G32" i="7"/>
  <c r="E38" i="7"/>
  <c r="D38" i="7"/>
  <c r="C38" i="7"/>
  <c r="B38" i="7"/>
  <c r="D42" i="7"/>
  <c r="E42" i="7"/>
  <c r="K45" i="7"/>
  <c r="H45" i="7"/>
  <c r="E48" i="7"/>
  <c r="D48" i="7"/>
  <c r="K51" i="7"/>
  <c r="J51" i="7"/>
  <c r="E57" i="7"/>
  <c r="D57" i="7"/>
  <c r="C57" i="7"/>
  <c r="B57" i="7"/>
  <c r="E63" i="7"/>
  <c r="D63" i="7"/>
  <c r="C63" i="7"/>
  <c r="B63" i="7"/>
  <c r="E67" i="7"/>
  <c r="D67" i="7"/>
  <c r="K70" i="7"/>
  <c r="I70" i="7"/>
  <c r="E73" i="7"/>
  <c r="D73" i="7"/>
  <c r="K76" i="7"/>
  <c r="J76" i="7"/>
  <c r="E82" i="7"/>
  <c r="D82" i="7"/>
  <c r="B82" i="7"/>
  <c r="J14" i="7"/>
  <c r="K14" i="7"/>
  <c r="I14" i="7"/>
  <c r="K19" i="7"/>
  <c r="J19" i="7"/>
  <c r="I19" i="7"/>
  <c r="E25" i="7"/>
  <c r="D25" i="7"/>
  <c r="C25" i="7"/>
  <c r="B25" i="7"/>
  <c r="E29" i="7"/>
  <c r="C29" i="7"/>
  <c r="D29" i="7"/>
  <c r="E35" i="7"/>
  <c r="D35" i="7"/>
  <c r="C35" i="7"/>
  <c r="K38" i="7"/>
  <c r="J38" i="7"/>
  <c r="I38" i="7"/>
  <c r="A44" i="7"/>
  <c r="G44" i="7"/>
  <c r="E50" i="7"/>
  <c r="D50" i="7"/>
  <c r="C50" i="7"/>
  <c r="B50" i="7"/>
  <c r="D54" i="7"/>
  <c r="C54" i="7"/>
  <c r="E54" i="7"/>
  <c r="K57" i="7"/>
  <c r="J57" i="7"/>
  <c r="H57" i="7"/>
  <c r="E60" i="7"/>
  <c r="D60" i="7"/>
  <c r="C60" i="7"/>
  <c r="K63" i="7"/>
  <c r="J63" i="7"/>
  <c r="I63" i="7"/>
  <c r="E69" i="7"/>
  <c r="D69" i="7"/>
  <c r="C69" i="7"/>
  <c r="B69" i="7"/>
  <c r="E79" i="7"/>
  <c r="D79" i="7"/>
  <c r="C79" i="7"/>
  <c r="K7" i="7"/>
  <c r="J7" i="7"/>
  <c r="I7" i="7"/>
  <c r="H7" i="7"/>
  <c r="E16" i="7"/>
  <c r="D16" i="7"/>
  <c r="B16" i="7"/>
  <c r="C16" i="7"/>
  <c r="A18" i="7"/>
  <c r="G18" i="7"/>
  <c r="E22" i="7"/>
  <c r="D22" i="7"/>
  <c r="C22" i="7"/>
  <c r="B22" i="7"/>
  <c r="K25" i="7"/>
  <c r="J25" i="7"/>
  <c r="I25" i="7"/>
  <c r="H25" i="7"/>
  <c r="K31" i="7"/>
  <c r="J31" i="7"/>
  <c r="I31" i="7"/>
  <c r="H31" i="7"/>
  <c r="A37" i="7"/>
  <c r="G37" i="7"/>
  <c r="E41" i="7"/>
  <c r="C41" i="7"/>
  <c r="B41" i="7"/>
  <c r="D41" i="7"/>
  <c r="E47" i="7"/>
  <c r="D47" i="7"/>
  <c r="C47" i="7"/>
  <c r="B47" i="7"/>
  <c r="K50" i="7"/>
  <c r="J50" i="7"/>
  <c r="I50" i="7"/>
  <c r="H50" i="7"/>
  <c r="A56" i="7"/>
  <c r="G56" i="7"/>
  <c r="G62" i="7"/>
  <c r="A62" i="7"/>
  <c r="D66" i="7"/>
  <c r="C66" i="7"/>
  <c r="B66" i="7"/>
  <c r="E66" i="7"/>
  <c r="K69" i="7"/>
  <c r="J69" i="7"/>
  <c r="I69" i="7"/>
  <c r="H69" i="7"/>
  <c r="E72" i="7"/>
  <c r="D72" i="7"/>
  <c r="C72" i="7"/>
  <c r="B72" i="7"/>
  <c r="K75" i="7"/>
  <c r="J75" i="7"/>
  <c r="I75" i="7"/>
  <c r="H75" i="7"/>
  <c r="K81" i="7"/>
  <c r="J81" i="7"/>
  <c r="I81" i="7"/>
  <c r="H81" i="7"/>
  <c r="A87" i="7"/>
  <c r="G87" i="7"/>
  <c r="E91" i="7"/>
  <c r="D91" i="7"/>
  <c r="C91" i="7"/>
  <c r="B91" i="7"/>
  <c r="D97" i="7"/>
  <c r="C97" i="7"/>
  <c r="H82" i="7"/>
  <c r="K82" i="7"/>
  <c r="J82" i="7"/>
  <c r="I82" i="7"/>
  <c r="G96" i="7"/>
  <c r="A96" i="7"/>
  <c r="I101" i="7"/>
  <c r="K101" i="7"/>
  <c r="D111" i="7"/>
  <c r="B111" i="7"/>
  <c r="K118" i="7"/>
  <c r="I118" i="7"/>
  <c r="E134" i="7"/>
  <c r="B134" i="7"/>
  <c r="G71" i="7"/>
  <c r="A71" i="7"/>
  <c r="B88" i="7"/>
  <c r="E88" i="7"/>
  <c r="D88" i="7"/>
  <c r="C88" i="7"/>
  <c r="B113" i="7"/>
  <c r="E113" i="7"/>
  <c r="C113" i="7"/>
  <c r="D113" i="7"/>
  <c r="H88" i="7"/>
  <c r="K88" i="7"/>
  <c r="J88" i="7"/>
  <c r="I88" i="7"/>
  <c r="A99" i="7"/>
  <c r="G99" i="7"/>
  <c r="H106" i="7"/>
  <c r="I106" i="7"/>
  <c r="E109" i="7"/>
  <c r="B109" i="7"/>
  <c r="A140" i="7"/>
  <c r="G140" i="7"/>
  <c r="E154" i="7"/>
  <c r="D154" i="7"/>
  <c r="B154" i="7"/>
  <c r="E163" i="7"/>
  <c r="D163" i="7"/>
  <c r="E175" i="7"/>
  <c r="D175" i="7"/>
  <c r="I84" i="7"/>
  <c r="H84" i="7"/>
  <c r="K84" i="7"/>
  <c r="A93" i="7"/>
  <c r="G93" i="7"/>
  <c r="J111" i="7"/>
  <c r="I111" i="7"/>
  <c r="A128" i="7"/>
  <c r="G128" i="7"/>
  <c r="H131" i="7"/>
  <c r="J131" i="7"/>
  <c r="E162" i="7"/>
  <c r="D162" i="7"/>
  <c r="C162" i="7"/>
  <c r="D184" i="7"/>
  <c r="C184" i="7"/>
  <c r="B184" i="7"/>
  <c r="E75" i="7"/>
  <c r="D75" i="7"/>
  <c r="C75" i="7"/>
  <c r="B75" i="7"/>
  <c r="A104" i="7"/>
  <c r="G104" i="7"/>
  <c r="E125" i="7"/>
  <c r="B125" i="7"/>
  <c r="C125" i="7"/>
  <c r="D125" i="7"/>
  <c r="E153" i="7"/>
  <c r="D153" i="7"/>
  <c r="C153" i="7"/>
  <c r="B153" i="7"/>
  <c r="K180" i="7"/>
  <c r="J180" i="7"/>
  <c r="I180" i="7"/>
  <c r="B85" i="7"/>
  <c r="E85" i="7"/>
  <c r="D85" i="7"/>
  <c r="C85" i="7"/>
  <c r="A102" i="7"/>
  <c r="G102" i="7"/>
  <c r="I109" i="7"/>
  <c r="H109" i="7"/>
  <c r="D117" i="7"/>
  <c r="C117" i="7"/>
  <c r="B117" i="7"/>
  <c r="E117" i="7"/>
  <c r="A133" i="7"/>
  <c r="G133" i="7"/>
  <c r="E172" i="7"/>
  <c r="D172" i="7"/>
  <c r="C172" i="7"/>
  <c r="B172" i="7"/>
  <c r="E196" i="7"/>
  <c r="C196" i="7"/>
  <c r="B196" i="7"/>
  <c r="D195" i="7"/>
  <c r="C195" i="7"/>
  <c r="B195" i="7"/>
  <c r="E195" i="7"/>
  <c r="G77" i="7"/>
  <c r="A77" i="7"/>
  <c r="I90" i="7"/>
  <c r="H90" i="7"/>
  <c r="G94" i="7"/>
  <c r="A94" i="7"/>
  <c r="C107" i="7"/>
  <c r="E107" i="7"/>
  <c r="D107" i="7"/>
  <c r="B107" i="7"/>
  <c r="J117" i="7"/>
  <c r="I117" i="7"/>
  <c r="H117" i="7"/>
  <c r="D142" i="7"/>
  <c r="C142" i="7"/>
  <c r="B142" i="7"/>
  <c r="E142" i="7"/>
  <c r="E152" i="7"/>
  <c r="D152" i="7"/>
  <c r="C152" i="7"/>
  <c r="B152" i="7"/>
  <c r="E159" i="7"/>
  <c r="D159" i="7"/>
  <c r="C159" i="7"/>
  <c r="B159" i="7"/>
  <c r="D171" i="7"/>
  <c r="C171" i="7"/>
  <c r="B171" i="7"/>
  <c r="E171" i="7"/>
  <c r="D183" i="7"/>
  <c r="B183" i="7"/>
  <c r="E183" i="7"/>
  <c r="C192" i="7"/>
  <c r="B192" i="7"/>
  <c r="E199" i="7"/>
  <c r="D199" i="7"/>
  <c r="D123" i="7"/>
  <c r="E123" i="7"/>
  <c r="B123" i="7"/>
  <c r="A100" i="7"/>
  <c r="G100" i="7"/>
  <c r="H107" i="7"/>
  <c r="K107" i="7"/>
  <c r="J107" i="7"/>
  <c r="E119" i="7"/>
  <c r="C119" i="7"/>
  <c r="B119" i="7"/>
  <c r="D119" i="7"/>
  <c r="J130" i="7"/>
  <c r="I130" i="7"/>
  <c r="K142" i="7"/>
  <c r="I142" i="7"/>
  <c r="E158" i="7"/>
  <c r="D158" i="7"/>
  <c r="C158" i="7"/>
  <c r="B158" i="7"/>
  <c r="E170" i="7"/>
  <c r="C170" i="7"/>
  <c r="D170" i="7"/>
  <c r="D177" i="7"/>
  <c r="C177" i="7"/>
  <c r="E182" i="7"/>
  <c r="D182" i="7"/>
  <c r="C182" i="7"/>
  <c r="B182" i="7"/>
  <c r="E194" i="7"/>
  <c r="C194" i="7"/>
  <c r="B194" i="7"/>
  <c r="D194" i="7"/>
  <c r="E151" i="7"/>
  <c r="D151" i="7"/>
  <c r="C151" i="7"/>
  <c r="B151" i="7"/>
  <c r="G181" i="7"/>
  <c r="A181" i="7"/>
  <c r="H182" i="7"/>
  <c r="K182" i="7"/>
  <c r="B188" i="7"/>
  <c r="E188" i="7"/>
  <c r="K193" i="7"/>
  <c r="J193" i="7"/>
  <c r="E103" i="7"/>
  <c r="B103" i="7"/>
  <c r="E112" i="7"/>
  <c r="D112" i="7"/>
  <c r="B112" i="7"/>
  <c r="C112" i="7"/>
  <c r="A114" i="7"/>
  <c r="G114" i="7"/>
  <c r="D118" i="7"/>
  <c r="B118" i="7"/>
  <c r="I119" i="7"/>
  <c r="J119" i="7"/>
  <c r="J127" i="7"/>
  <c r="H127" i="7"/>
  <c r="A135" i="7"/>
  <c r="G135" i="7"/>
  <c r="C138" i="7"/>
  <c r="B138" i="7"/>
  <c r="D138" i="7"/>
  <c r="E138" i="7"/>
  <c r="D145" i="7"/>
  <c r="C145" i="7"/>
  <c r="B145" i="7"/>
  <c r="E145" i="7"/>
  <c r="D157" i="7"/>
  <c r="C157" i="7"/>
  <c r="B157" i="7"/>
  <c r="E157" i="7"/>
  <c r="B164" i="7"/>
  <c r="C164" i="7"/>
  <c r="E164" i="7"/>
  <c r="G169" i="7"/>
  <c r="A169" i="7"/>
  <c r="I170" i="7"/>
  <c r="K170" i="7"/>
  <c r="C176" i="7"/>
  <c r="E176" i="7"/>
  <c r="B200" i="7"/>
  <c r="E200" i="7"/>
  <c r="D81" i="7"/>
  <c r="C81" i="7"/>
  <c r="B81" i="7"/>
  <c r="I95" i="7"/>
  <c r="J95" i="7"/>
  <c r="D98" i="7"/>
  <c r="B98" i="7"/>
  <c r="C98" i="7"/>
  <c r="E98" i="7"/>
  <c r="K105" i="7"/>
  <c r="J105" i="7"/>
  <c r="H105" i="7"/>
  <c r="D108" i="7"/>
  <c r="C108" i="7"/>
  <c r="K112" i="7"/>
  <c r="H112" i="7"/>
  <c r="A124" i="7"/>
  <c r="G124" i="7"/>
  <c r="G132" i="7"/>
  <c r="A132" i="7"/>
  <c r="B137" i="7"/>
  <c r="D137" i="7"/>
  <c r="H138" i="7"/>
  <c r="K138" i="7"/>
  <c r="J138" i="7"/>
  <c r="K145" i="7"/>
  <c r="J145" i="7"/>
  <c r="E148" i="7"/>
  <c r="B148" i="7"/>
  <c r="D148" i="7"/>
  <c r="J151" i="7"/>
  <c r="K151" i="7"/>
  <c r="H157" i="7"/>
  <c r="K157" i="7"/>
  <c r="J157" i="7"/>
  <c r="E131" i="7"/>
  <c r="D131" i="7"/>
  <c r="C131" i="7"/>
  <c r="K168" i="7"/>
  <c r="J168" i="7"/>
  <c r="I168" i="7"/>
  <c r="E174" i="7"/>
  <c r="D174" i="7"/>
  <c r="C174" i="7"/>
  <c r="E179" i="7"/>
  <c r="D179" i="7"/>
  <c r="C179" i="7"/>
  <c r="B179" i="7"/>
  <c r="C92" i="7"/>
  <c r="E92" i="7"/>
  <c r="D92" i="7"/>
  <c r="K98" i="7"/>
  <c r="I98" i="7"/>
  <c r="H98" i="7"/>
  <c r="G110" i="7"/>
  <c r="A110" i="7"/>
  <c r="E106" i="7"/>
  <c r="D106" i="7"/>
  <c r="C106" i="7"/>
  <c r="B106" i="7"/>
  <c r="E120" i="7"/>
  <c r="D120" i="7"/>
  <c r="C120" i="7"/>
  <c r="B120" i="7"/>
  <c r="K121" i="7"/>
  <c r="J121" i="7"/>
  <c r="I121" i="7"/>
  <c r="H121" i="7"/>
  <c r="A129" i="7"/>
  <c r="G129" i="7"/>
  <c r="J141" i="7"/>
  <c r="I141" i="7"/>
  <c r="K141" i="7"/>
  <c r="H141" i="7"/>
  <c r="E143" i="7"/>
  <c r="D143" i="7"/>
  <c r="C143" i="7"/>
  <c r="B143" i="7"/>
  <c r="A144" i="7"/>
  <c r="G144" i="7"/>
  <c r="E147" i="7"/>
  <c r="D147" i="7"/>
  <c r="C147" i="7"/>
  <c r="B147" i="7"/>
  <c r="K150" i="7"/>
  <c r="I150" i="7"/>
  <c r="H150" i="7"/>
  <c r="J150" i="7"/>
  <c r="J156" i="7"/>
  <c r="K156" i="7"/>
  <c r="I156" i="7"/>
  <c r="H156" i="7"/>
  <c r="E161" i="7"/>
  <c r="D161" i="7"/>
  <c r="C161" i="7"/>
  <c r="B161" i="7"/>
  <c r="A166" i="7"/>
  <c r="G166" i="7"/>
  <c r="J167" i="7"/>
  <c r="K167" i="7"/>
  <c r="I167" i="7"/>
  <c r="H167" i="7"/>
  <c r="D173" i="7"/>
  <c r="C173" i="7"/>
  <c r="E173" i="7"/>
  <c r="B173" i="7"/>
  <c r="A178" i="7"/>
  <c r="G178" i="7"/>
  <c r="K179" i="7"/>
  <c r="J179" i="7"/>
  <c r="I179" i="7"/>
  <c r="H179" i="7"/>
  <c r="D185" i="7"/>
  <c r="C185" i="7"/>
  <c r="B185" i="7"/>
  <c r="A190" i="7"/>
  <c r="G190" i="7"/>
  <c r="E197" i="7"/>
  <c r="D197" i="7"/>
  <c r="C197" i="7"/>
  <c r="B197" i="7"/>
  <c r="C202" i="7"/>
  <c r="B202" i="7"/>
  <c r="D202" i="7"/>
  <c r="A201" i="7"/>
  <c r="G201" i="7"/>
  <c r="I202" i="7"/>
  <c r="H202" i="7"/>
  <c r="E193" i="7"/>
  <c r="D193" i="7"/>
  <c r="B193" i="7"/>
  <c r="C193" i="7"/>
  <c r="K199" i="7"/>
  <c r="I199" i="7"/>
  <c r="H199" i="7"/>
  <c r="J199" i="7"/>
  <c r="D204" i="7"/>
  <c r="E204" i="7"/>
  <c r="B204" i="7"/>
  <c r="G160" i="7"/>
  <c r="A160" i="7"/>
  <c r="G205" i="7"/>
  <c r="A205" i="7"/>
  <c r="C187" i="7"/>
  <c r="E187" i="7"/>
  <c r="D187" i="7"/>
  <c r="B198" i="7"/>
  <c r="E198" i="7"/>
  <c r="D198" i="7"/>
  <c r="C198" i="7"/>
  <c r="B186" i="7"/>
  <c r="E186" i="7"/>
  <c r="D186" i="7"/>
  <c r="C186" i="7"/>
  <c r="G203" i="7"/>
  <c r="A203" i="7"/>
  <c r="G191" i="7"/>
  <c r="A191" i="7"/>
  <c r="H192" i="7"/>
  <c r="K192" i="7"/>
  <c r="J192" i="7"/>
  <c r="I192" i="7"/>
  <c r="I204" i="7"/>
  <c r="H204" i="7"/>
  <c r="K204" i="7"/>
  <c r="J204" i="7"/>
  <c r="E12" i="7"/>
  <c r="D12" i="7"/>
  <c r="C12" i="7"/>
  <c r="B12" i="7"/>
  <c r="J12" i="7"/>
  <c r="H12" i="7"/>
  <c r="K12" i="7"/>
  <c r="I12" i="7"/>
  <c r="D8" i="7"/>
  <c r="B8" i="7"/>
  <c r="E8" i="7"/>
  <c r="C8" i="7"/>
  <c r="K8" i="7"/>
  <c r="J8" i="7"/>
  <c r="I8" i="7"/>
  <c r="H8" i="7"/>
  <c r="E20" i="7"/>
  <c r="D20" i="7"/>
  <c r="C20" i="7"/>
  <c r="B20" i="7"/>
  <c r="J20" i="7"/>
  <c r="I20" i="7"/>
  <c r="H20" i="7"/>
  <c r="K20" i="7"/>
  <c r="E32" i="7"/>
  <c r="D32" i="7"/>
  <c r="C32" i="7"/>
  <c r="B32" i="7"/>
  <c r="I32" i="7"/>
  <c r="H32" i="7"/>
  <c r="K32" i="7"/>
  <c r="J32" i="7"/>
  <c r="E44" i="7"/>
  <c r="D44" i="7"/>
  <c r="C44" i="7"/>
  <c r="B44" i="7"/>
  <c r="H44" i="7"/>
  <c r="K44" i="7"/>
  <c r="J44" i="7"/>
  <c r="I44" i="7"/>
  <c r="D18" i="7"/>
  <c r="C18" i="7"/>
  <c r="B18" i="7"/>
  <c r="E18" i="7"/>
  <c r="K18" i="7"/>
  <c r="J18" i="7"/>
  <c r="I18" i="7"/>
  <c r="H18" i="7"/>
  <c r="E37" i="7"/>
  <c r="D37" i="7"/>
  <c r="C37" i="7"/>
  <c r="B37" i="7"/>
  <c r="K37" i="7"/>
  <c r="J37" i="7"/>
  <c r="I37" i="7"/>
  <c r="H37" i="7"/>
  <c r="E56" i="7"/>
  <c r="D56" i="7"/>
  <c r="C56" i="7"/>
  <c r="B56" i="7"/>
  <c r="K56" i="7"/>
  <c r="J56" i="7"/>
  <c r="I56" i="7"/>
  <c r="H56" i="7"/>
  <c r="K62" i="7"/>
  <c r="J62" i="7"/>
  <c r="I62" i="7"/>
  <c r="H62" i="7"/>
  <c r="E62" i="7"/>
  <c r="D62" i="7"/>
  <c r="C62" i="7"/>
  <c r="B62" i="7"/>
  <c r="E87" i="7"/>
  <c r="D87" i="7"/>
  <c r="C87" i="7"/>
  <c r="B87" i="7"/>
  <c r="K87" i="7"/>
  <c r="J87" i="7"/>
  <c r="I87" i="7"/>
  <c r="H87" i="7"/>
  <c r="J96" i="7"/>
  <c r="I96" i="7"/>
  <c r="H96" i="7"/>
  <c r="K96" i="7"/>
  <c r="E96" i="7"/>
  <c r="D96" i="7"/>
  <c r="C96" i="7"/>
  <c r="B96" i="7"/>
  <c r="K71" i="7"/>
  <c r="I71" i="7"/>
  <c r="H71" i="7"/>
  <c r="J71" i="7"/>
  <c r="E71" i="7"/>
  <c r="D71" i="7"/>
  <c r="C71" i="7"/>
  <c r="B71" i="7"/>
  <c r="D99" i="7"/>
  <c r="C99" i="7"/>
  <c r="E99" i="7"/>
  <c r="B99" i="7"/>
  <c r="I99" i="7"/>
  <c r="H99" i="7"/>
  <c r="K99" i="7"/>
  <c r="J99" i="7"/>
  <c r="B140" i="7"/>
  <c r="C140" i="7"/>
  <c r="E140" i="7"/>
  <c r="D140" i="7"/>
  <c r="K140" i="7"/>
  <c r="J140" i="7"/>
  <c r="H140" i="7"/>
  <c r="I140" i="7"/>
  <c r="D93" i="7"/>
  <c r="C93" i="7"/>
  <c r="E93" i="7"/>
  <c r="B93" i="7"/>
  <c r="K93" i="7"/>
  <c r="J93" i="7"/>
  <c r="I93" i="7"/>
  <c r="H93" i="7"/>
  <c r="D128" i="7"/>
  <c r="C128" i="7"/>
  <c r="E128" i="7"/>
  <c r="B128" i="7"/>
  <c r="K128" i="7"/>
  <c r="I128" i="7"/>
  <c r="H128" i="7"/>
  <c r="J128" i="7"/>
  <c r="E104" i="7"/>
  <c r="C104" i="7"/>
  <c r="B104" i="7"/>
  <c r="D104" i="7"/>
  <c r="J104" i="7"/>
  <c r="K104" i="7"/>
  <c r="I104" i="7"/>
  <c r="H104" i="7"/>
  <c r="B102" i="7"/>
  <c r="D102" i="7"/>
  <c r="C102" i="7"/>
  <c r="E102" i="7"/>
  <c r="J102" i="7"/>
  <c r="I102" i="7"/>
  <c r="K102" i="7"/>
  <c r="H102" i="7"/>
  <c r="E133" i="7"/>
  <c r="D133" i="7"/>
  <c r="B133" i="7"/>
  <c r="C133" i="7"/>
  <c r="K133" i="7"/>
  <c r="J133" i="7"/>
  <c r="I133" i="7"/>
  <c r="H133" i="7"/>
  <c r="K77" i="7"/>
  <c r="J77" i="7"/>
  <c r="I77" i="7"/>
  <c r="H77" i="7"/>
  <c r="E77" i="7"/>
  <c r="C77" i="7"/>
  <c r="B77" i="7"/>
  <c r="D77" i="7"/>
  <c r="H94" i="7"/>
  <c r="K94" i="7"/>
  <c r="J94" i="7"/>
  <c r="I94" i="7"/>
  <c r="E94" i="7"/>
  <c r="B94" i="7"/>
  <c r="D94" i="7"/>
  <c r="C94" i="7"/>
  <c r="E100" i="7"/>
  <c r="D100" i="7"/>
  <c r="B100" i="7"/>
  <c r="C100" i="7"/>
  <c r="K100" i="7"/>
  <c r="J100" i="7"/>
  <c r="H100" i="7"/>
  <c r="I100" i="7"/>
  <c r="H181" i="7"/>
  <c r="I181" i="7"/>
  <c r="K181" i="7"/>
  <c r="J181" i="7"/>
  <c r="E181" i="7"/>
  <c r="D181" i="7"/>
  <c r="B181" i="7"/>
  <c r="C181" i="7"/>
  <c r="D114" i="7"/>
  <c r="C114" i="7"/>
  <c r="B114" i="7"/>
  <c r="E114" i="7"/>
  <c r="J114" i="7"/>
  <c r="H114" i="7"/>
  <c r="I114" i="7"/>
  <c r="K114" i="7"/>
  <c r="E135" i="7"/>
  <c r="C135" i="7"/>
  <c r="D135" i="7"/>
  <c r="B135" i="7"/>
  <c r="J135" i="7"/>
  <c r="H135" i="7"/>
  <c r="I135" i="7"/>
  <c r="K135" i="7"/>
  <c r="I169" i="7"/>
  <c r="H169" i="7"/>
  <c r="K169" i="7"/>
  <c r="J169" i="7"/>
  <c r="E169" i="7"/>
  <c r="D169" i="7"/>
  <c r="B169" i="7"/>
  <c r="C169" i="7"/>
  <c r="E124" i="7"/>
  <c r="D124" i="7"/>
  <c r="B124" i="7"/>
  <c r="C124" i="7"/>
  <c r="I124" i="7"/>
  <c r="H124" i="7"/>
  <c r="K124" i="7"/>
  <c r="J124" i="7"/>
  <c r="H132" i="7"/>
  <c r="I132" i="7"/>
  <c r="J132" i="7"/>
  <c r="K132" i="7"/>
  <c r="D132" i="7"/>
  <c r="C132" i="7"/>
  <c r="B132" i="7"/>
  <c r="E132" i="7"/>
  <c r="I110" i="7"/>
  <c r="K110" i="7"/>
  <c r="J110" i="7"/>
  <c r="H110" i="7"/>
  <c r="E110" i="7"/>
  <c r="C110" i="7"/>
  <c r="B110" i="7"/>
  <c r="D110" i="7"/>
  <c r="C129" i="7"/>
  <c r="B129" i="7"/>
  <c r="E129" i="7"/>
  <c r="D129" i="7"/>
  <c r="K129" i="7"/>
  <c r="J129" i="7"/>
  <c r="I129" i="7"/>
  <c r="H129" i="7"/>
  <c r="C144" i="7"/>
  <c r="B144" i="7"/>
  <c r="E144" i="7"/>
  <c r="D144" i="7"/>
  <c r="K144" i="7"/>
  <c r="J144" i="7"/>
  <c r="H144" i="7"/>
  <c r="I144" i="7"/>
  <c r="E166" i="7"/>
  <c r="C166" i="7"/>
  <c r="B166" i="7"/>
  <c r="D166" i="7"/>
  <c r="K166" i="7"/>
  <c r="J166" i="7"/>
  <c r="I166" i="7"/>
  <c r="H166" i="7"/>
  <c r="C178" i="7"/>
  <c r="B178" i="7"/>
  <c r="D178" i="7"/>
  <c r="E178" i="7"/>
  <c r="J178" i="7"/>
  <c r="K178" i="7"/>
  <c r="I178" i="7"/>
  <c r="H178" i="7"/>
  <c r="E190" i="7"/>
  <c r="D190" i="7"/>
  <c r="C190" i="7"/>
  <c r="B190" i="7"/>
  <c r="K190" i="7"/>
  <c r="J190" i="7"/>
  <c r="I190" i="7"/>
  <c r="H190" i="7"/>
  <c r="D201" i="7"/>
  <c r="E201" i="7"/>
  <c r="C201" i="7"/>
  <c r="B201" i="7"/>
  <c r="K201" i="7"/>
  <c r="J201" i="7"/>
  <c r="I201" i="7"/>
  <c r="H201" i="7"/>
  <c r="K160" i="7"/>
  <c r="J160" i="7"/>
  <c r="I160" i="7"/>
  <c r="H160" i="7"/>
  <c r="E160" i="7"/>
  <c r="C160" i="7"/>
  <c r="D160" i="7"/>
  <c r="B160" i="7"/>
  <c r="H205" i="7"/>
  <c r="J205" i="7"/>
  <c r="I205" i="7"/>
  <c r="K205" i="7"/>
  <c r="B205" i="7"/>
  <c r="E205" i="7"/>
  <c r="D205" i="7"/>
  <c r="C205" i="7"/>
  <c r="K203" i="7"/>
  <c r="J203" i="7"/>
  <c r="I203" i="7"/>
  <c r="H203" i="7"/>
  <c r="E203" i="7"/>
  <c r="C203" i="7"/>
  <c r="D203" i="7"/>
  <c r="B203" i="7"/>
  <c r="K191" i="7"/>
  <c r="J191" i="7"/>
  <c r="I191" i="7"/>
  <c r="H191" i="7"/>
  <c r="B191" i="7"/>
  <c r="E191" i="7"/>
  <c r="D191" i="7"/>
  <c r="C191" i="7"/>
  <c r="M7" i="7"/>
  <c r="N7" i="7"/>
  <c r="O7" i="7"/>
  <c r="P7" i="7"/>
  <c r="Q7" i="7"/>
  <c r="R7" i="7"/>
  <c r="S7" i="7"/>
  <c r="T7" i="7"/>
  <c r="U7" i="7"/>
  <c r="V7" i="7"/>
  <c r="W7" i="7"/>
  <c r="M19" i="7"/>
  <c r="N19" i="7"/>
  <c r="O19" i="7"/>
  <c r="P19" i="7"/>
  <c r="Q19" i="7"/>
  <c r="R19" i="7"/>
  <c r="S19" i="7"/>
  <c r="T19" i="7"/>
  <c r="U19" i="7"/>
  <c r="V19" i="7"/>
  <c r="W19" i="7"/>
  <c r="M31" i="7"/>
  <c r="N31" i="7"/>
  <c r="O31" i="7"/>
  <c r="P31" i="7"/>
  <c r="Q31" i="7"/>
  <c r="R31" i="7"/>
  <c r="S31" i="7"/>
  <c r="T31" i="7"/>
  <c r="U31" i="7"/>
  <c r="V31" i="7"/>
  <c r="W31" i="7"/>
  <c r="M43" i="7"/>
  <c r="N43" i="7"/>
  <c r="O43" i="7"/>
  <c r="P43" i="7"/>
  <c r="Q43" i="7"/>
  <c r="R43" i="7"/>
  <c r="S43" i="7"/>
  <c r="T43" i="7"/>
  <c r="U43" i="7"/>
  <c r="V43" i="7"/>
  <c r="W43" i="7"/>
  <c r="M55" i="7"/>
  <c r="N55" i="7"/>
  <c r="O55" i="7"/>
  <c r="P55" i="7"/>
  <c r="Q55" i="7"/>
  <c r="R55" i="7"/>
  <c r="S55" i="7"/>
  <c r="T55" i="7"/>
  <c r="U55" i="7"/>
  <c r="V55" i="7"/>
  <c r="W55" i="7"/>
  <c r="M67" i="7"/>
  <c r="N67" i="7"/>
  <c r="O67" i="7"/>
  <c r="P67" i="7"/>
  <c r="Q67" i="7"/>
  <c r="R67" i="7"/>
  <c r="S67" i="7"/>
  <c r="T67" i="7"/>
  <c r="U67" i="7"/>
  <c r="V67" i="7"/>
  <c r="W67" i="7"/>
  <c r="M79" i="7"/>
  <c r="N79" i="7"/>
  <c r="O79" i="7"/>
  <c r="P79" i="7"/>
  <c r="Q79" i="7"/>
  <c r="R79" i="7"/>
  <c r="S79" i="7"/>
  <c r="T79" i="7"/>
  <c r="U79" i="7"/>
  <c r="V79" i="7"/>
  <c r="W79" i="7"/>
  <c r="M91" i="7"/>
  <c r="N91" i="7"/>
  <c r="O91" i="7"/>
  <c r="P91" i="7"/>
  <c r="Q91" i="7"/>
  <c r="R91" i="7"/>
  <c r="S91" i="7"/>
  <c r="T91" i="7"/>
  <c r="U91" i="7"/>
  <c r="V91" i="7"/>
  <c r="W91" i="7"/>
  <c r="M103" i="7"/>
  <c r="N103" i="7"/>
  <c r="O103" i="7"/>
  <c r="P103" i="7"/>
  <c r="Q103" i="7"/>
  <c r="R103" i="7"/>
  <c r="S103" i="7"/>
  <c r="T103" i="7"/>
  <c r="U103" i="7"/>
  <c r="V103" i="7"/>
  <c r="W103" i="7"/>
  <c r="M115" i="7"/>
  <c r="N115" i="7"/>
  <c r="O115" i="7"/>
  <c r="P115" i="7"/>
  <c r="Q115" i="7"/>
  <c r="R115" i="7"/>
  <c r="S115" i="7"/>
  <c r="T115" i="7"/>
  <c r="U115" i="7"/>
  <c r="V115" i="7"/>
  <c r="W115" i="7"/>
  <c r="M127" i="7"/>
  <c r="N127" i="7"/>
  <c r="O127" i="7"/>
  <c r="P127" i="7"/>
  <c r="Q127" i="7"/>
  <c r="R127" i="7"/>
  <c r="S127" i="7"/>
  <c r="T127" i="7"/>
  <c r="U127" i="7"/>
  <c r="V127" i="7"/>
  <c r="W127" i="7"/>
  <c r="M139" i="7"/>
  <c r="N139" i="7"/>
  <c r="O139" i="7"/>
  <c r="P139" i="7"/>
  <c r="Q139" i="7"/>
  <c r="R139" i="7"/>
  <c r="S139" i="7"/>
  <c r="T139" i="7"/>
  <c r="U139" i="7"/>
  <c r="V139" i="7"/>
  <c r="W139" i="7"/>
  <c r="M151" i="7"/>
  <c r="N151" i="7"/>
  <c r="O151" i="7"/>
  <c r="P151" i="7"/>
  <c r="Q151" i="7"/>
  <c r="R151" i="7"/>
  <c r="S151" i="7"/>
  <c r="T151" i="7"/>
  <c r="U151" i="7"/>
  <c r="V151" i="7"/>
  <c r="W151" i="7"/>
  <c r="M163" i="7"/>
  <c r="N163" i="7"/>
  <c r="O163" i="7"/>
  <c r="P163" i="7"/>
  <c r="Q163" i="7"/>
  <c r="R163" i="7"/>
  <c r="S163" i="7"/>
  <c r="T163" i="7"/>
  <c r="U163" i="7"/>
  <c r="V163" i="7"/>
  <c r="W163" i="7"/>
  <c r="M175" i="7"/>
  <c r="N175" i="7"/>
  <c r="O175" i="7"/>
  <c r="P175" i="7"/>
  <c r="Q175" i="7"/>
  <c r="R175" i="7"/>
  <c r="S175" i="7"/>
  <c r="T175" i="7"/>
  <c r="U175" i="7"/>
  <c r="V175" i="7"/>
  <c r="W175" i="7"/>
  <c r="M187" i="7"/>
  <c r="N187" i="7"/>
  <c r="O187" i="7"/>
  <c r="P187" i="7"/>
  <c r="Q187" i="7"/>
  <c r="R187" i="7"/>
  <c r="S187" i="7"/>
  <c r="T187" i="7"/>
  <c r="U187" i="7"/>
  <c r="V187" i="7"/>
  <c r="W187" i="7"/>
  <c r="M199" i="7"/>
  <c r="N199" i="7"/>
  <c r="O199" i="7"/>
  <c r="P199" i="7"/>
  <c r="Q199" i="7"/>
  <c r="R199" i="7"/>
  <c r="S199" i="7"/>
  <c r="T199" i="7"/>
  <c r="U199" i="7"/>
  <c r="V199" i="7"/>
  <c r="W199" i="7"/>
  <c r="M211" i="7"/>
  <c r="N211" i="7"/>
  <c r="O211" i="7"/>
  <c r="P211" i="7"/>
  <c r="Q211" i="7"/>
  <c r="R211" i="7"/>
  <c r="S211" i="7"/>
  <c r="T211" i="7"/>
  <c r="U211" i="7"/>
  <c r="V211" i="7"/>
  <c r="W211" i="7"/>
  <c r="M223" i="7"/>
  <c r="N223" i="7"/>
  <c r="O223" i="7"/>
  <c r="P223" i="7"/>
  <c r="Q223" i="7"/>
  <c r="R223" i="7"/>
  <c r="S223" i="7"/>
  <c r="T223" i="7"/>
  <c r="U223" i="7"/>
  <c r="V223" i="7"/>
  <c r="W223" i="7"/>
  <c r="M235" i="7"/>
  <c r="N235" i="7"/>
  <c r="O235" i="7"/>
  <c r="P235" i="7"/>
  <c r="Q235" i="7"/>
  <c r="R235" i="7"/>
  <c r="S235" i="7"/>
  <c r="T235" i="7"/>
  <c r="U235" i="7"/>
  <c r="V235" i="7"/>
  <c r="W235" i="7"/>
  <c r="M247" i="7"/>
  <c r="N247" i="7"/>
  <c r="O247" i="7"/>
  <c r="P247" i="7"/>
  <c r="Q247" i="7"/>
  <c r="R247" i="7"/>
  <c r="S247" i="7"/>
  <c r="T247" i="7"/>
  <c r="U247" i="7"/>
  <c r="V247" i="7"/>
  <c r="W247" i="7"/>
  <c r="M259" i="7"/>
  <c r="N259" i="7"/>
  <c r="O259" i="7"/>
  <c r="P259" i="7"/>
  <c r="Q259" i="7"/>
  <c r="R259" i="7"/>
  <c r="S259" i="7"/>
  <c r="T259" i="7"/>
  <c r="U259" i="7"/>
  <c r="V259" i="7"/>
  <c r="W259" i="7"/>
  <c r="M271" i="7"/>
  <c r="N271" i="7"/>
  <c r="O271" i="7"/>
  <c r="P271" i="7"/>
  <c r="Q271" i="7"/>
  <c r="R271" i="7"/>
  <c r="S271" i="7"/>
  <c r="T271" i="7"/>
  <c r="U271" i="7"/>
  <c r="V271" i="7"/>
  <c r="W271" i="7"/>
  <c r="M283" i="7"/>
  <c r="N283" i="7"/>
  <c r="O283" i="7"/>
  <c r="P283" i="7"/>
  <c r="Q283" i="7"/>
  <c r="R283" i="7"/>
  <c r="S283" i="7"/>
  <c r="T283" i="7"/>
  <c r="U283" i="7"/>
  <c r="V283" i="7"/>
  <c r="W283" i="7"/>
  <c r="M295" i="7"/>
  <c r="N295" i="7"/>
  <c r="O295" i="7"/>
  <c r="P295" i="7"/>
  <c r="Q295" i="7"/>
  <c r="R295" i="7"/>
  <c r="S295" i="7"/>
  <c r="T295" i="7"/>
  <c r="U295" i="7"/>
  <c r="V295" i="7"/>
  <c r="W295" i="7"/>
  <c r="M307" i="7"/>
  <c r="N307" i="7"/>
  <c r="O307" i="7"/>
  <c r="P307" i="7"/>
  <c r="Q307" i="7"/>
  <c r="R307" i="7"/>
  <c r="S307" i="7"/>
  <c r="T307" i="7"/>
  <c r="U307" i="7"/>
  <c r="V307" i="7"/>
  <c r="W307" i="7"/>
  <c r="M319" i="7"/>
  <c r="N319" i="7"/>
  <c r="O319" i="7"/>
  <c r="P319" i="7"/>
  <c r="Q319" i="7"/>
  <c r="R319" i="7"/>
  <c r="S319" i="7"/>
  <c r="T319" i="7"/>
  <c r="U319" i="7"/>
  <c r="V319" i="7"/>
  <c r="W319" i="7"/>
  <c r="M331" i="7"/>
  <c r="N331" i="7"/>
  <c r="O331" i="7"/>
  <c r="P331" i="7"/>
  <c r="Q331" i="7"/>
  <c r="R331" i="7"/>
  <c r="S331" i="7"/>
  <c r="T331" i="7"/>
  <c r="U331" i="7"/>
  <c r="V331" i="7"/>
  <c r="W331" i="7"/>
  <c r="M343" i="7"/>
  <c r="N343" i="7"/>
  <c r="O343" i="7"/>
  <c r="P343" i="7"/>
  <c r="Q343" i="7"/>
  <c r="R343" i="7"/>
  <c r="S343" i="7"/>
  <c r="T343" i="7"/>
  <c r="U343" i="7"/>
  <c r="V343" i="7"/>
  <c r="W343" i="7"/>
  <c r="M355" i="7"/>
  <c r="N355" i="7"/>
  <c r="O355" i="7"/>
  <c r="P355" i="7"/>
  <c r="Q355" i="7"/>
  <c r="R355" i="7"/>
  <c r="S355" i="7"/>
  <c r="T355" i="7"/>
  <c r="U355" i="7"/>
  <c r="V355" i="7"/>
  <c r="W355" i="7"/>
  <c r="M367" i="7"/>
  <c r="N367" i="7"/>
  <c r="O367" i="7"/>
  <c r="P367" i="7"/>
  <c r="Q367" i="7"/>
  <c r="R367" i="7"/>
  <c r="S367" i="7"/>
  <c r="T367" i="7"/>
  <c r="U367" i="7"/>
  <c r="V367" i="7"/>
  <c r="W367" i="7"/>
  <c r="M379" i="7"/>
  <c r="N379" i="7"/>
  <c r="O379" i="7"/>
  <c r="P379" i="7"/>
  <c r="Q379" i="7"/>
  <c r="R379" i="7"/>
  <c r="S379" i="7"/>
  <c r="T379" i="7"/>
  <c r="U379" i="7"/>
  <c r="V379" i="7"/>
  <c r="W379" i="7"/>
  <c r="M391" i="7"/>
  <c r="N391" i="7"/>
  <c r="O391" i="7"/>
  <c r="P391" i="7"/>
  <c r="Q391" i="7"/>
  <c r="R391" i="7"/>
  <c r="S391" i="7"/>
  <c r="T391" i="7"/>
  <c r="U391" i="7"/>
  <c r="V391" i="7"/>
  <c r="W391" i="7"/>
  <c r="M403" i="7"/>
  <c r="N403" i="7"/>
  <c r="O403" i="7"/>
  <c r="P403" i="7"/>
  <c r="Q403" i="7"/>
  <c r="R403" i="7"/>
  <c r="S403" i="7"/>
  <c r="T403" i="7"/>
  <c r="U403" i="7"/>
  <c r="V403" i="7"/>
  <c r="W403" i="7"/>
  <c r="M415" i="7"/>
  <c r="N415" i="7"/>
  <c r="O415" i="7"/>
  <c r="P415" i="7"/>
  <c r="Q415" i="7"/>
  <c r="R415" i="7"/>
  <c r="S415" i="7"/>
  <c r="T415" i="7"/>
  <c r="U415" i="7"/>
  <c r="V415" i="7"/>
  <c r="W415" i="7"/>
  <c r="M427" i="7"/>
  <c r="N427" i="7"/>
  <c r="O427" i="7"/>
  <c r="P427" i="7"/>
  <c r="Q427" i="7"/>
  <c r="R427" i="7"/>
  <c r="S427" i="7"/>
  <c r="T427" i="7"/>
  <c r="U427" i="7"/>
  <c r="V427" i="7"/>
  <c r="W427" i="7"/>
  <c r="M439" i="7"/>
  <c r="N439" i="7"/>
  <c r="O439" i="7"/>
  <c r="P439" i="7"/>
  <c r="Q439" i="7"/>
  <c r="R439" i="7"/>
  <c r="S439" i="7"/>
  <c r="T439" i="7"/>
  <c r="U439" i="7"/>
  <c r="V439" i="7"/>
  <c r="W439" i="7"/>
  <c r="M451" i="7"/>
  <c r="N451" i="7"/>
  <c r="O451" i="7"/>
  <c r="P451" i="7"/>
  <c r="Q451" i="7"/>
  <c r="R451" i="7"/>
  <c r="S451" i="7"/>
  <c r="T451" i="7"/>
  <c r="U451" i="7"/>
  <c r="V451" i="7"/>
  <c r="W451" i="7"/>
  <c r="M463" i="7"/>
  <c r="N463" i="7"/>
  <c r="O463" i="7"/>
  <c r="P463" i="7"/>
  <c r="Q463" i="7"/>
  <c r="R463" i="7"/>
  <c r="S463" i="7"/>
  <c r="T463" i="7"/>
  <c r="U463" i="7"/>
  <c r="V463" i="7"/>
  <c r="W463" i="7"/>
  <c r="M475" i="7"/>
  <c r="N475" i="7"/>
  <c r="O475" i="7"/>
  <c r="P475" i="7"/>
  <c r="Q475" i="7"/>
  <c r="R475" i="7"/>
  <c r="S475" i="7"/>
  <c r="T475" i="7"/>
  <c r="U475" i="7"/>
  <c r="V475" i="7"/>
  <c r="W475" i="7"/>
  <c r="M487" i="7"/>
  <c r="N487" i="7"/>
  <c r="O487" i="7"/>
  <c r="P487" i="7"/>
  <c r="Q487" i="7"/>
  <c r="R487" i="7"/>
  <c r="S487" i="7"/>
  <c r="T487" i="7"/>
  <c r="U487" i="7"/>
  <c r="V487" i="7"/>
  <c r="W487" i="7"/>
  <c r="M499" i="7"/>
  <c r="N499" i="7"/>
  <c r="O499" i="7"/>
  <c r="P499" i="7"/>
  <c r="Q499" i="7"/>
  <c r="R499" i="7"/>
  <c r="S499" i="7"/>
  <c r="T499" i="7"/>
  <c r="U499" i="7"/>
  <c r="V499" i="7"/>
  <c r="W499" i="7"/>
  <c r="M511" i="7"/>
  <c r="N511" i="7"/>
  <c r="O511" i="7"/>
  <c r="P511" i="7"/>
  <c r="Q511" i="7"/>
  <c r="R511" i="7"/>
  <c r="S511" i="7"/>
  <c r="T511" i="7"/>
  <c r="U511" i="7"/>
  <c r="V511" i="7"/>
  <c r="W511" i="7"/>
  <c r="M523" i="7"/>
  <c r="N523" i="7"/>
  <c r="O523" i="7"/>
  <c r="P523" i="7"/>
  <c r="Q523" i="7"/>
  <c r="R523" i="7"/>
  <c r="S523" i="7"/>
  <c r="T523" i="7"/>
  <c r="U523" i="7"/>
  <c r="V523" i="7"/>
  <c r="W523" i="7"/>
  <c r="M535" i="7"/>
  <c r="N535" i="7"/>
  <c r="O535" i="7"/>
  <c r="P535" i="7"/>
  <c r="Q535" i="7"/>
  <c r="R535" i="7"/>
  <c r="S535" i="7"/>
  <c r="T535" i="7"/>
  <c r="U535" i="7"/>
  <c r="V535" i="7"/>
  <c r="W535" i="7"/>
  <c r="M547" i="7"/>
  <c r="N547" i="7"/>
  <c r="O547" i="7"/>
  <c r="P547" i="7"/>
  <c r="Q547" i="7"/>
  <c r="R547" i="7"/>
  <c r="S547" i="7"/>
  <c r="T547" i="7"/>
  <c r="U547" i="7"/>
  <c r="V547" i="7"/>
  <c r="W547" i="7"/>
  <c r="M559" i="7"/>
  <c r="N559" i="7"/>
  <c r="O559" i="7"/>
  <c r="P559" i="7"/>
  <c r="Q559" i="7"/>
  <c r="R559" i="7"/>
  <c r="S559" i="7"/>
  <c r="T559" i="7"/>
  <c r="U559" i="7"/>
  <c r="V559" i="7"/>
  <c r="W559" i="7"/>
  <c r="M571" i="7"/>
  <c r="N571" i="7"/>
  <c r="O571" i="7"/>
  <c r="P571" i="7"/>
  <c r="Q571" i="7"/>
  <c r="R571" i="7"/>
  <c r="S571" i="7"/>
  <c r="T571" i="7"/>
  <c r="U571" i="7"/>
  <c r="V571" i="7"/>
  <c r="W571" i="7"/>
  <c r="M583" i="7"/>
  <c r="N583" i="7"/>
  <c r="O583" i="7"/>
  <c r="P583" i="7"/>
  <c r="Q583" i="7"/>
  <c r="R583" i="7"/>
  <c r="S583" i="7"/>
  <c r="T583" i="7"/>
  <c r="U583" i="7"/>
  <c r="V583" i="7"/>
  <c r="W583" i="7"/>
  <c r="M595" i="7"/>
  <c r="N595" i="7"/>
  <c r="O595" i="7"/>
  <c r="P595" i="7"/>
  <c r="Q595" i="7"/>
  <c r="R595" i="7"/>
  <c r="S595" i="7"/>
  <c r="T595" i="7"/>
  <c r="U595" i="7"/>
  <c r="V595" i="7"/>
  <c r="W595" i="7"/>
  <c r="M607" i="7"/>
  <c r="N607" i="7"/>
  <c r="O607" i="7"/>
  <c r="P607" i="7"/>
  <c r="Q607" i="7"/>
  <c r="R607" i="7"/>
  <c r="S607" i="7"/>
  <c r="T607" i="7"/>
  <c r="U607" i="7"/>
  <c r="V607" i="7"/>
  <c r="W607" i="7"/>
  <c r="M619" i="7"/>
  <c r="N619" i="7"/>
  <c r="O619" i="7"/>
  <c r="P619" i="7"/>
  <c r="Q619" i="7"/>
  <c r="R619" i="7"/>
  <c r="S619" i="7"/>
  <c r="T619" i="7"/>
  <c r="U619" i="7"/>
  <c r="V619" i="7"/>
  <c r="W619" i="7"/>
  <c r="M631" i="7"/>
  <c r="N631" i="7"/>
  <c r="O631" i="7"/>
  <c r="P631" i="7"/>
  <c r="Q631" i="7"/>
  <c r="R631" i="7"/>
  <c r="S631" i="7"/>
  <c r="T631" i="7"/>
  <c r="U631" i="7"/>
  <c r="V631" i="7"/>
  <c r="W631" i="7"/>
  <c r="M643" i="7"/>
  <c r="N643" i="7"/>
  <c r="O643" i="7"/>
  <c r="P643" i="7"/>
  <c r="Q643" i="7"/>
  <c r="R643" i="7"/>
  <c r="S643" i="7"/>
  <c r="T643" i="7"/>
  <c r="U643" i="7"/>
  <c r="V643" i="7"/>
  <c r="W643" i="7"/>
  <c r="M655" i="7"/>
  <c r="N655" i="7"/>
  <c r="O655" i="7"/>
  <c r="P655" i="7"/>
  <c r="Q655" i="7"/>
  <c r="R655" i="7"/>
  <c r="S655" i="7"/>
  <c r="T655" i="7"/>
  <c r="U655" i="7"/>
  <c r="V655" i="7"/>
  <c r="W655" i="7"/>
  <c r="M667" i="7"/>
  <c r="N667" i="7"/>
  <c r="O667" i="7"/>
  <c r="P667" i="7"/>
  <c r="Q667" i="7"/>
  <c r="R667" i="7"/>
  <c r="S667" i="7"/>
  <c r="T667" i="7"/>
  <c r="U667" i="7"/>
  <c r="V667" i="7"/>
  <c r="W667" i="7"/>
  <c r="M742" i="7"/>
  <c r="N742" i="7"/>
  <c r="O742" i="7"/>
  <c r="P742" i="7"/>
  <c r="Q742" i="7"/>
  <c r="R742" i="7"/>
  <c r="S742" i="7"/>
  <c r="T742" i="7"/>
  <c r="U742" i="7"/>
  <c r="V742" i="7"/>
  <c r="W742" i="7"/>
  <c r="M766" i="7"/>
  <c r="N766" i="7"/>
  <c r="O766" i="7"/>
  <c r="P766" i="7"/>
  <c r="Q766" i="7"/>
  <c r="R766" i="7"/>
  <c r="S766" i="7"/>
  <c r="T766" i="7"/>
  <c r="U766" i="7"/>
  <c r="V766" i="7"/>
  <c r="W766" i="7"/>
  <c r="M778" i="7"/>
  <c r="N778" i="7"/>
  <c r="O778" i="7"/>
  <c r="P778" i="7"/>
  <c r="Q778" i="7"/>
  <c r="R778" i="7"/>
  <c r="S778" i="7"/>
  <c r="T778" i="7"/>
  <c r="U778" i="7"/>
  <c r="V778" i="7"/>
  <c r="W778" i="7"/>
  <c r="M790" i="7"/>
  <c r="N790" i="7"/>
  <c r="O790" i="7"/>
  <c r="P790" i="7"/>
  <c r="Q790" i="7"/>
  <c r="R790" i="7"/>
  <c r="S790" i="7"/>
  <c r="T790" i="7"/>
  <c r="U790" i="7"/>
  <c r="V790" i="7"/>
  <c r="W790" i="7"/>
  <c r="M802" i="7"/>
  <c r="N802" i="7"/>
  <c r="O802" i="7"/>
  <c r="P802" i="7"/>
  <c r="Q802" i="7"/>
  <c r="R802" i="7"/>
  <c r="S802" i="7"/>
  <c r="T802" i="7"/>
  <c r="U802" i="7"/>
  <c r="V802" i="7"/>
  <c r="W802" i="7"/>
  <c r="M946" i="7"/>
  <c r="N946" i="7"/>
  <c r="O946" i="7"/>
  <c r="P946" i="7"/>
  <c r="Q946" i="7"/>
  <c r="R946" i="7"/>
  <c r="S946" i="7"/>
  <c r="T946" i="7"/>
  <c r="U946" i="7"/>
  <c r="V946" i="7"/>
  <c r="W946" i="7"/>
  <c r="M994" i="7"/>
  <c r="N994" i="7"/>
  <c r="O994" i="7"/>
  <c r="P994" i="7"/>
  <c r="Q994" i="7"/>
  <c r="R994" i="7"/>
  <c r="S994" i="7"/>
  <c r="T994" i="7"/>
  <c r="U994" i="7"/>
  <c r="V994" i="7"/>
  <c r="W994" i="7"/>
  <c r="M1030" i="7"/>
  <c r="N1030" i="7"/>
  <c r="O1030" i="7"/>
  <c r="P1030" i="7"/>
  <c r="Q1030" i="7"/>
  <c r="R1030" i="7"/>
  <c r="S1030" i="7"/>
  <c r="T1030" i="7"/>
  <c r="U1030" i="7"/>
  <c r="V1030" i="7"/>
  <c r="W1030" i="7"/>
  <c r="M755" i="7"/>
  <c r="N755" i="7"/>
  <c r="O755" i="7"/>
  <c r="P755" i="7"/>
  <c r="Q755" i="7"/>
  <c r="R755" i="7"/>
  <c r="S755" i="7"/>
  <c r="T755" i="7"/>
  <c r="U755" i="7"/>
  <c r="V755" i="7"/>
  <c r="W755" i="7"/>
  <c r="M839" i="7"/>
  <c r="N839" i="7"/>
  <c r="O839" i="7"/>
  <c r="P839" i="7"/>
  <c r="Q839" i="7"/>
  <c r="R839" i="7"/>
  <c r="S839" i="7"/>
  <c r="T839" i="7"/>
  <c r="U839" i="7"/>
  <c r="V839" i="7"/>
  <c r="W839" i="7"/>
  <c r="M899" i="7"/>
  <c r="N899" i="7"/>
  <c r="O899" i="7"/>
  <c r="P899" i="7"/>
  <c r="Q899" i="7"/>
  <c r="R899" i="7"/>
  <c r="S899" i="7"/>
  <c r="T899" i="7"/>
  <c r="U899" i="7"/>
  <c r="V899" i="7"/>
  <c r="W899" i="7"/>
  <c r="M971" i="7"/>
  <c r="N971" i="7"/>
  <c r="O971" i="7"/>
  <c r="P971" i="7"/>
  <c r="Q971" i="7"/>
  <c r="R971" i="7"/>
  <c r="S971" i="7"/>
  <c r="T971" i="7"/>
  <c r="U971" i="7"/>
  <c r="V971" i="7"/>
  <c r="W971" i="7"/>
  <c r="M995" i="7"/>
  <c r="N995" i="7"/>
  <c r="O995" i="7"/>
  <c r="P995" i="7"/>
  <c r="Q995" i="7"/>
  <c r="R995" i="7"/>
  <c r="S995" i="7"/>
  <c r="T995" i="7"/>
  <c r="U995" i="7"/>
  <c r="V995" i="7"/>
  <c r="W995" i="7"/>
  <c r="M470" i="7"/>
  <c r="N470" i="7"/>
  <c r="O470" i="7"/>
  <c r="P470" i="7"/>
  <c r="Q470" i="7"/>
  <c r="R470" i="7"/>
  <c r="S470" i="7"/>
  <c r="T470" i="7"/>
  <c r="U470" i="7"/>
  <c r="V470" i="7"/>
  <c r="W470" i="7"/>
  <c r="M518" i="7"/>
  <c r="N518" i="7"/>
  <c r="O518" i="7"/>
  <c r="P518" i="7"/>
  <c r="Q518" i="7"/>
  <c r="R518" i="7"/>
  <c r="S518" i="7"/>
  <c r="T518" i="7"/>
  <c r="U518" i="7"/>
  <c r="V518" i="7"/>
  <c r="W518" i="7"/>
  <c r="M8" i="7"/>
  <c r="N8" i="7"/>
  <c r="O8" i="7"/>
  <c r="P8" i="7"/>
  <c r="Q8" i="7"/>
  <c r="R8" i="7"/>
  <c r="S8" i="7"/>
  <c r="T8" i="7"/>
  <c r="U8" i="7"/>
  <c r="V8" i="7"/>
  <c r="W8" i="7"/>
  <c r="M20" i="7"/>
  <c r="N20" i="7"/>
  <c r="O20" i="7"/>
  <c r="P20" i="7"/>
  <c r="Q20" i="7"/>
  <c r="R20" i="7"/>
  <c r="S20" i="7"/>
  <c r="T20" i="7"/>
  <c r="U20" i="7"/>
  <c r="V20" i="7"/>
  <c r="W20" i="7"/>
  <c r="M32" i="7"/>
  <c r="N32" i="7"/>
  <c r="O32" i="7"/>
  <c r="P32" i="7"/>
  <c r="Q32" i="7"/>
  <c r="R32" i="7"/>
  <c r="S32" i="7"/>
  <c r="T32" i="7"/>
  <c r="U32" i="7"/>
  <c r="V32" i="7"/>
  <c r="W32" i="7"/>
  <c r="M44" i="7"/>
  <c r="N44" i="7"/>
  <c r="O44" i="7"/>
  <c r="P44" i="7"/>
  <c r="Q44" i="7"/>
  <c r="R44" i="7"/>
  <c r="S44" i="7"/>
  <c r="T44" i="7"/>
  <c r="U44" i="7"/>
  <c r="V44" i="7"/>
  <c r="W44" i="7"/>
  <c r="M56" i="7"/>
  <c r="N56" i="7"/>
  <c r="O56" i="7"/>
  <c r="P56" i="7"/>
  <c r="Q56" i="7"/>
  <c r="R56" i="7"/>
  <c r="S56" i="7"/>
  <c r="T56" i="7"/>
  <c r="U56" i="7"/>
  <c r="V56" i="7"/>
  <c r="W56" i="7"/>
  <c r="M68" i="7"/>
  <c r="N68" i="7"/>
  <c r="O68" i="7"/>
  <c r="P68" i="7"/>
  <c r="Q68" i="7"/>
  <c r="R68" i="7"/>
  <c r="S68" i="7"/>
  <c r="T68" i="7"/>
  <c r="U68" i="7"/>
  <c r="V68" i="7"/>
  <c r="W68" i="7"/>
  <c r="M80" i="7"/>
  <c r="N80" i="7"/>
  <c r="O80" i="7"/>
  <c r="P80" i="7"/>
  <c r="Q80" i="7"/>
  <c r="R80" i="7"/>
  <c r="S80" i="7"/>
  <c r="T80" i="7"/>
  <c r="U80" i="7"/>
  <c r="V80" i="7"/>
  <c r="W80" i="7"/>
  <c r="M92" i="7"/>
  <c r="N92" i="7"/>
  <c r="O92" i="7"/>
  <c r="P92" i="7"/>
  <c r="Q92" i="7"/>
  <c r="R92" i="7"/>
  <c r="S92" i="7"/>
  <c r="T92" i="7"/>
  <c r="U92" i="7"/>
  <c r="V92" i="7"/>
  <c r="W92" i="7"/>
  <c r="M104" i="7"/>
  <c r="N104" i="7"/>
  <c r="O104" i="7"/>
  <c r="P104" i="7"/>
  <c r="Q104" i="7"/>
  <c r="R104" i="7"/>
  <c r="S104" i="7"/>
  <c r="T104" i="7"/>
  <c r="U104" i="7"/>
  <c r="V104" i="7"/>
  <c r="W104" i="7"/>
  <c r="M116" i="7"/>
  <c r="N116" i="7"/>
  <c r="O116" i="7"/>
  <c r="P116" i="7"/>
  <c r="Q116" i="7"/>
  <c r="R116" i="7"/>
  <c r="S116" i="7"/>
  <c r="T116" i="7"/>
  <c r="U116" i="7"/>
  <c r="V116" i="7"/>
  <c r="W116" i="7"/>
  <c r="M128" i="7"/>
  <c r="N128" i="7"/>
  <c r="O128" i="7"/>
  <c r="P128" i="7"/>
  <c r="Q128" i="7"/>
  <c r="R128" i="7"/>
  <c r="S128" i="7"/>
  <c r="T128" i="7"/>
  <c r="U128" i="7"/>
  <c r="V128" i="7"/>
  <c r="W128" i="7"/>
  <c r="M140" i="7"/>
  <c r="N140" i="7"/>
  <c r="O140" i="7"/>
  <c r="P140" i="7"/>
  <c r="Q140" i="7"/>
  <c r="R140" i="7"/>
  <c r="S140" i="7"/>
  <c r="T140" i="7"/>
  <c r="U140" i="7"/>
  <c r="V140" i="7"/>
  <c r="W140" i="7"/>
  <c r="M152" i="7"/>
  <c r="N152" i="7"/>
  <c r="O152" i="7"/>
  <c r="P152" i="7"/>
  <c r="Q152" i="7"/>
  <c r="R152" i="7"/>
  <c r="S152" i="7"/>
  <c r="T152" i="7"/>
  <c r="U152" i="7"/>
  <c r="V152" i="7"/>
  <c r="W152" i="7"/>
  <c r="M164" i="7"/>
  <c r="N164" i="7"/>
  <c r="O164" i="7"/>
  <c r="P164" i="7"/>
  <c r="Q164" i="7"/>
  <c r="R164" i="7"/>
  <c r="S164" i="7"/>
  <c r="T164" i="7"/>
  <c r="U164" i="7"/>
  <c r="V164" i="7"/>
  <c r="W164" i="7"/>
  <c r="M176" i="7"/>
  <c r="N176" i="7"/>
  <c r="O176" i="7"/>
  <c r="P176" i="7"/>
  <c r="Q176" i="7"/>
  <c r="R176" i="7"/>
  <c r="S176" i="7"/>
  <c r="T176" i="7"/>
  <c r="U176" i="7"/>
  <c r="V176" i="7"/>
  <c r="W176" i="7"/>
  <c r="M188" i="7"/>
  <c r="N188" i="7"/>
  <c r="O188" i="7"/>
  <c r="P188" i="7"/>
  <c r="Q188" i="7"/>
  <c r="R188" i="7"/>
  <c r="S188" i="7"/>
  <c r="T188" i="7"/>
  <c r="U188" i="7"/>
  <c r="V188" i="7"/>
  <c r="W188" i="7"/>
  <c r="M200" i="7"/>
  <c r="N200" i="7"/>
  <c r="O200" i="7"/>
  <c r="P200" i="7"/>
  <c r="Q200" i="7"/>
  <c r="R200" i="7"/>
  <c r="S200" i="7"/>
  <c r="T200" i="7"/>
  <c r="U200" i="7"/>
  <c r="V200" i="7"/>
  <c r="W200" i="7"/>
  <c r="M212" i="7"/>
  <c r="N212" i="7"/>
  <c r="O212" i="7"/>
  <c r="P212" i="7"/>
  <c r="Q212" i="7"/>
  <c r="R212" i="7"/>
  <c r="S212" i="7"/>
  <c r="T212" i="7"/>
  <c r="U212" i="7"/>
  <c r="V212" i="7"/>
  <c r="W212" i="7"/>
  <c r="M224" i="7"/>
  <c r="N224" i="7"/>
  <c r="O224" i="7"/>
  <c r="P224" i="7"/>
  <c r="Q224" i="7"/>
  <c r="R224" i="7"/>
  <c r="S224" i="7"/>
  <c r="T224" i="7"/>
  <c r="U224" i="7"/>
  <c r="V224" i="7"/>
  <c r="W224" i="7"/>
  <c r="M236" i="7"/>
  <c r="N236" i="7"/>
  <c r="O236" i="7"/>
  <c r="P236" i="7"/>
  <c r="Q236" i="7"/>
  <c r="R236" i="7"/>
  <c r="S236" i="7"/>
  <c r="T236" i="7"/>
  <c r="U236" i="7"/>
  <c r="V236" i="7"/>
  <c r="W236" i="7"/>
  <c r="M248" i="7"/>
  <c r="N248" i="7"/>
  <c r="O248" i="7"/>
  <c r="P248" i="7"/>
  <c r="Q248" i="7"/>
  <c r="R248" i="7"/>
  <c r="S248" i="7"/>
  <c r="T248" i="7"/>
  <c r="U248" i="7"/>
  <c r="V248" i="7"/>
  <c r="W248" i="7"/>
  <c r="M260" i="7"/>
  <c r="N260" i="7"/>
  <c r="O260" i="7"/>
  <c r="P260" i="7"/>
  <c r="Q260" i="7"/>
  <c r="R260" i="7"/>
  <c r="S260" i="7"/>
  <c r="T260" i="7"/>
  <c r="U260" i="7"/>
  <c r="V260" i="7"/>
  <c r="W260" i="7"/>
  <c r="M272" i="7"/>
  <c r="N272" i="7"/>
  <c r="O272" i="7"/>
  <c r="P272" i="7"/>
  <c r="Q272" i="7"/>
  <c r="R272" i="7"/>
  <c r="S272" i="7"/>
  <c r="T272" i="7"/>
  <c r="U272" i="7"/>
  <c r="V272" i="7"/>
  <c r="W272" i="7"/>
  <c r="M284" i="7"/>
  <c r="N284" i="7"/>
  <c r="O284" i="7"/>
  <c r="P284" i="7"/>
  <c r="Q284" i="7"/>
  <c r="R284" i="7"/>
  <c r="S284" i="7"/>
  <c r="T284" i="7"/>
  <c r="U284" i="7"/>
  <c r="V284" i="7"/>
  <c r="W284" i="7"/>
  <c r="M296" i="7"/>
  <c r="N296" i="7"/>
  <c r="O296" i="7"/>
  <c r="P296" i="7"/>
  <c r="Q296" i="7"/>
  <c r="R296" i="7"/>
  <c r="S296" i="7"/>
  <c r="T296" i="7"/>
  <c r="U296" i="7"/>
  <c r="V296" i="7"/>
  <c r="W296" i="7"/>
  <c r="M308" i="7"/>
  <c r="N308" i="7"/>
  <c r="O308" i="7"/>
  <c r="P308" i="7"/>
  <c r="Q308" i="7"/>
  <c r="R308" i="7"/>
  <c r="S308" i="7"/>
  <c r="T308" i="7"/>
  <c r="U308" i="7"/>
  <c r="V308" i="7"/>
  <c r="W308" i="7"/>
  <c r="M320" i="7"/>
  <c r="N320" i="7"/>
  <c r="O320" i="7"/>
  <c r="P320" i="7"/>
  <c r="Q320" i="7"/>
  <c r="R320" i="7"/>
  <c r="S320" i="7"/>
  <c r="T320" i="7"/>
  <c r="U320" i="7"/>
  <c r="V320" i="7"/>
  <c r="W320" i="7"/>
  <c r="M332" i="7"/>
  <c r="N332" i="7"/>
  <c r="O332" i="7"/>
  <c r="P332" i="7"/>
  <c r="Q332" i="7"/>
  <c r="R332" i="7"/>
  <c r="S332" i="7"/>
  <c r="T332" i="7"/>
  <c r="U332" i="7"/>
  <c r="V332" i="7"/>
  <c r="W332" i="7"/>
  <c r="M344" i="7"/>
  <c r="N344" i="7"/>
  <c r="O344" i="7"/>
  <c r="P344" i="7"/>
  <c r="Q344" i="7"/>
  <c r="R344" i="7"/>
  <c r="S344" i="7"/>
  <c r="T344" i="7"/>
  <c r="U344" i="7"/>
  <c r="V344" i="7"/>
  <c r="W344" i="7"/>
  <c r="M356" i="7"/>
  <c r="N356" i="7"/>
  <c r="O356" i="7"/>
  <c r="P356" i="7"/>
  <c r="Q356" i="7"/>
  <c r="R356" i="7"/>
  <c r="S356" i="7"/>
  <c r="T356" i="7"/>
  <c r="U356" i="7"/>
  <c r="V356" i="7"/>
  <c r="W356" i="7"/>
  <c r="M368" i="7"/>
  <c r="N368" i="7"/>
  <c r="O368" i="7"/>
  <c r="P368" i="7"/>
  <c r="Q368" i="7"/>
  <c r="R368" i="7"/>
  <c r="S368" i="7"/>
  <c r="T368" i="7"/>
  <c r="U368" i="7"/>
  <c r="V368" i="7"/>
  <c r="W368" i="7"/>
  <c r="M380" i="7"/>
  <c r="N380" i="7"/>
  <c r="O380" i="7"/>
  <c r="P380" i="7"/>
  <c r="Q380" i="7"/>
  <c r="R380" i="7"/>
  <c r="S380" i="7"/>
  <c r="T380" i="7"/>
  <c r="U380" i="7"/>
  <c r="V380" i="7"/>
  <c r="W380" i="7"/>
  <c r="M392" i="7"/>
  <c r="N392" i="7"/>
  <c r="O392" i="7"/>
  <c r="P392" i="7"/>
  <c r="Q392" i="7"/>
  <c r="R392" i="7"/>
  <c r="S392" i="7"/>
  <c r="T392" i="7"/>
  <c r="U392" i="7"/>
  <c r="V392" i="7"/>
  <c r="W392" i="7"/>
  <c r="M404" i="7"/>
  <c r="N404" i="7"/>
  <c r="O404" i="7"/>
  <c r="P404" i="7"/>
  <c r="Q404" i="7"/>
  <c r="R404" i="7"/>
  <c r="S404" i="7"/>
  <c r="T404" i="7"/>
  <c r="U404" i="7"/>
  <c r="V404" i="7"/>
  <c r="W404" i="7"/>
  <c r="M416" i="7"/>
  <c r="N416" i="7"/>
  <c r="O416" i="7"/>
  <c r="P416" i="7"/>
  <c r="Q416" i="7"/>
  <c r="R416" i="7"/>
  <c r="S416" i="7"/>
  <c r="T416" i="7"/>
  <c r="U416" i="7"/>
  <c r="V416" i="7"/>
  <c r="W416" i="7"/>
  <c r="M428" i="7"/>
  <c r="N428" i="7"/>
  <c r="O428" i="7"/>
  <c r="P428" i="7"/>
  <c r="Q428" i="7"/>
  <c r="R428" i="7"/>
  <c r="S428" i="7"/>
  <c r="T428" i="7"/>
  <c r="U428" i="7"/>
  <c r="V428" i="7"/>
  <c r="W428" i="7"/>
  <c r="M440" i="7"/>
  <c r="N440" i="7"/>
  <c r="O440" i="7"/>
  <c r="P440" i="7"/>
  <c r="Q440" i="7"/>
  <c r="R440" i="7"/>
  <c r="S440" i="7"/>
  <c r="T440" i="7"/>
  <c r="U440" i="7"/>
  <c r="V440" i="7"/>
  <c r="W440" i="7"/>
  <c r="M452" i="7"/>
  <c r="N452" i="7"/>
  <c r="O452" i="7"/>
  <c r="P452" i="7"/>
  <c r="Q452" i="7"/>
  <c r="R452" i="7"/>
  <c r="S452" i="7"/>
  <c r="T452" i="7"/>
  <c r="U452" i="7"/>
  <c r="V452" i="7"/>
  <c r="W452" i="7"/>
  <c r="M464" i="7"/>
  <c r="N464" i="7"/>
  <c r="O464" i="7"/>
  <c r="P464" i="7"/>
  <c r="Q464" i="7"/>
  <c r="R464" i="7"/>
  <c r="S464" i="7"/>
  <c r="T464" i="7"/>
  <c r="U464" i="7"/>
  <c r="V464" i="7"/>
  <c r="W464" i="7"/>
  <c r="M476" i="7"/>
  <c r="N476" i="7"/>
  <c r="O476" i="7"/>
  <c r="P476" i="7"/>
  <c r="Q476" i="7"/>
  <c r="R476" i="7"/>
  <c r="S476" i="7"/>
  <c r="T476" i="7"/>
  <c r="U476" i="7"/>
  <c r="V476" i="7"/>
  <c r="W476" i="7"/>
  <c r="M488" i="7"/>
  <c r="N488" i="7"/>
  <c r="O488" i="7"/>
  <c r="P488" i="7"/>
  <c r="Q488" i="7"/>
  <c r="R488" i="7"/>
  <c r="S488" i="7"/>
  <c r="T488" i="7"/>
  <c r="U488" i="7"/>
  <c r="V488" i="7"/>
  <c r="W488" i="7"/>
  <c r="M500" i="7"/>
  <c r="N500" i="7"/>
  <c r="O500" i="7"/>
  <c r="P500" i="7"/>
  <c r="Q500" i="7"/>
  <c r="R500" i="7"/>
  <c r="S500" i="7"/>
  <c r="T500" i="7"/>
  <c r="U500" i="7"/>
  <c r="V500" i="7"/>
  <c r="W500" i="7"/>
  <c r="M512" i="7"/>
  <c r="N512" i="7"/>
  <c r="O512" i="7"/>
  <c r="P512" i="7"/>
  <c r="Q512" i="7"/>
  <c r="R512" i="7"/>
  <c r="S512" i="7"/>
  <c r="T512" i="7"/>
  <c r="U512" i="7"/>
  <c r="V512" i="7"/>
  <c r="W512" i="7"/>
  <c r="M524" i="7"/>
  <c r="N524" i="7"/>
  <c r="O524" i="7"/>
  <c r="P524" i="7"/>
  <c r="Q524" i="7"/>
  <c r="R524" i="7"/>
  <c r="S524" i="7"/>
  <c r="T524" i="7"/>
  <c r="U524" i="7"/>
  <c r="V524" i="7"/>
  <c r="W524" i="7"/>
  <c r="M536" i="7"/>
  <c r="N536" i="7"/>
  <c r="O536" i="7"/>
  <c r="P536" i="7"/>
  <c r="Q536" i="7"/>
  <c r="R536" i="7"/>
  <c r="S536" i="7"/>
  <c r="T536" i="7"/>
  <c r="U536" i="7"/>
  <c r="V536" i="7"/>
  <c r="W536" i="7"/>
  <c r="M548" i="7"/>
  <c r="N548" i="7"/>
  <c r="O548" i="7"/>
  <c r="P548" i="7"/>
  <c r="Q548" i="7"/>
  <c r="R548" i="7"/>
  <c r="S548" i="7"/>
  <c r="T548" i="7"/>
  <c r="U548" i="7"/>
  <c r="V548" i="7"/>
  <c r="W548" i="7"/>
  <c r="M560" i="7"/>
  <c r="N560" i="7"/>
  <c r="O560" i="7"/>
  <c r="P560" i="7"/>
  <c r="Q560" i="7"/>
  <c r="R560" i="7"/>
  <c r="S560" i="7"/>
  <c r="T560" i="7"/>
  <c r="U560" i="7"/>
  <c r="V560" i="7"/>
  <c r="W560" i="7"/>
  <c r="M572" i="7"/>
  <c r="N572" i="7"/>
  <c r="O572" i="7"/>
  <c r="P572" i="7"/>
  <c r="Q572" i="7"/>
  <c r="R572" i="7"/>
  <c r="S572" i="7"/>
  <c r="T572" i="7"/>
  <c r="U572" i="7"/>
  <c r="V572" i="7"/>
  <c r="W572" i="7"/>
  <c r="M584" i="7"/>
  <c r="N584" i="7"/>
  <c r="O584" i="7"/>
  <c r="P584" i="7"/>
  <c r="Q584" i="7"/>
  <c r="R584" i="7"/>
  <c r="S584" i="7"/>
  <c r="T584" i="7"/>
  <c r="U584" i="7"/>
  <c r="V584" i="7"/>
  <c r="W584" i="7"/>
  <c r="M596" i="7"/>
  <c r="N596" i="7"/>
  <c r="O596" i="7"/>
  <c r="P596" i="7"/>
  <c r="Q596" i="7"/>
  <c r="R596" i="7"/>
  <c r="S596" i="7"/>
  <c r="T596" i="7"/>
  <c r="U596" i="7"/>
  <c r="V596" i="7"/>
  <c r="W596" i="7"/>
  <c r="M608" i="7"/>
  <c r="N608" i="7"/>
  <c r="O608" i="7"/>
  <c r="P608" i="7"/>
  <c r="Q608" i="7"/>
  <c r="R608" i="7"/>
  <c r="S608" i="7"/>
  <c r="T608" i="7"/>
  <c r="U608" i="7"/>
  <c r="V608" i="7"/>
  <c r="W608" i="7"/>
  <c r="M620" i="7"/>
  <c r="N620" i="7"/>
  <c r="O620" i="7"/>
  <c r="P620" i="7"/>
  <c r="Q620" i="7"/>
  <c r="R620" i="7"/>
  <c r="S620" i="7"/>
  <c r="T620" i="7"/>
  <c r="U620" i="7"/>
  <c r="V620" i="7"/>
  <c r="W620" i="7"/>
  <c r="M632" i="7"/>
  <c r="N632" i="7"/>
  <c r="O632" i="7"/>
  <c r="P632" i="7"/>
  <c r="Q632" i="7"/>
  <c r="R632" i="7"/>
  <c r="S632" i="7"/>
  <c r="T632" i="7"/>
  <c r="U632" i="7"/>
  <c r="V632" i="7"/>
  <c r="W632" i="7"/>
  <c r="M644" i="7"/>
  <c r="N644" i="7"/>
  <c r="O644" i="7"/>
  <c r="P644" i="7"/>
  <c r="Q644" i="7"/>
  <c r="R644" i="7"/>
  <c r="S644" i="7"/>
  <c r="T644" i="7"/>
  <c r="U644" i="7"/>
  <c r="V644" i="7"/>
  <c r="W644" i="7"/>
  <c r="M656" i="7"/>
  <c r="N656" i="7"/>
  <c r="O656" i="7"/>
  <c r="P656" i="7"/>
  <c r="Q656" i="7"/>
  <c r="R656" i="7"/>
  <c r="S656" i="7"/>
  <c r="T656" i="7"/>
  <c r="U656" i="7"/>
  <c r="V656" i="7"/>
  <c r="W656" i="7"/>
  <c r="M668" i="7"/>
  <c r="N668" i="7"/>
  <c r="O668" i="7"/>
  <c r="P668" i="7"/>
  <c r="Q668" i="7"/>
  <c r="R668" i="7"/>
  <c r="S668" i="7"/>
  <c r="T668" i="7"/>
  <c r="U668" i="7"/>
  <c r="V668" i="7"/>
  <c r="W668" i="7"/>
  <c r="M680" i="7"/>
  <c r="N680" i="7"/>
  <c r="O680" i="7"/>
  <c r="P680" i="7"/>
  <c r="Q680" i="7"/>
  <c r="R680" i="7"/>
  <c r="S680" i="7"/>
  <c r="T680" i="7"/>
  <c r="U680" i="7"/>
  <c r="V680" i="7"/>
  <c r="W680" i="7"/>
  <c r="M692" i="7"/>
  <c r="N692" i="7"/>
  <c r="O692" i="7"/>
  <c r="P692" i="7"/>
  <c r="Q692" i="7"/>
  <c r="R692" i="7"/>
  <c r="S692" i="7"/>
  <c r="T692" i="7"/>
  <c r="U692" i="7"/>
  <c r="V692" i="7"/>
  <c r="W692" i="7"/>
  <c r="M704" i="7"/>
  <c r="N704" i="7"/>
  <c r="O704" i="7"/>
  <c r="P704" i="7"/>
  <c r="Q704" i="7"/>
  <c r="R704" i="7"/>
  <c r="S704" i="7"/>
  <c r="T704" i="7"/>
  <c r="U704" i="7"/>
  <c r="V704" i="7"/>
  <c r="W704" i="7"/>
  <c r="M716" i="7"/>
  <c r="N716" i="7"/>
  <c r="O716" i="7"/>
  <c r="P716" i="7"/>
  <c r="Q716" i="7"/>
  <c r="R716" i="7"/>
  <c r="S716" i="7"/>
  <c r="T716" i="7"/>
  <c r="U716" i="7"/>
  <c r="V716" i="7"/>
  <c r="W716" i="7"/>
  <c r="M728" i="7"/>
  <c r="N728" i="7"/>
  <c r="O728" i="7"/>
  <c r="P728" i="7"/>
  <c r="Q728" i="7"/>
  <c r="R728" i="7"/>
  <c r="S728" i="7"/>
  <c r="T728" i="7"/>
  <c r="U728" i="7"/>
  <c r="V728" i="7"/>
  <c r="W728" i="7"/>
  <c r="M740" i="7"/>
  <c r="N740" i="7"/>
  <c r="O740" i="7"/>
  <c r="P740" i="7"/>
  <c r="Q740" i="7"/>
  <c r="R740" i="7"/>
  <c r="S740" i="7"/>
  <c r="T740" i="7"/>
  <c r="U740" i="7"/>
  <c r="V740" i="7"/>
  <c r="W740" i="7"/>
  <c r="M752" i="7"/>
  <c r="N752" i="7"/>
  <c r="O752" i="7"/>
  <c r="P752" i="7"/>
  <c r="Q752" i="7"/>
  <c r="R752" i="7"/>
  <c r="S752" i="7"/>
  <c r="T752" i="7"/>
  <c r="U752" i="7"/>
  <c r="V752" i="7"/>
  <c r="W752" i="7"/>
  <c r="M764" i="7"/>
  <c r="N764" i="7"/>
  <c r="O764" i="7"/>
  <c r="P764" i="7"/>
  <c r="Q764" i="7"/>
  <c r="R764" i="7"/>
  <c r="S764" i="7"/>
  <c r="T764" i="7"/>
  <c r="U764" i="7"/>
  <c r="V764" i="7"/>
  <c r="W764" i="7"/>
  <c r="M776" i="7"/>
  <c r="N776" i="7"/>
  <c r="O776" i="7"/>
  <c r="P776" i="7"/>
  <c r="Q776" i="7"/>
  <c r="R776" i="7"/>
  <c r="S776" i="7"/>
  <c r="T776" i="7"/>
  <c r="U776" i="7"/>
  <c r="V776" i="7"/>
  <c r="W776" i="7"/>
  <c r="M788" i="7"/>
  <c r="N788" i="7"/>
  <c r="O788" i="7"/>
  <c r="P788" i="7"/>
  <c r="Q788" i="7"/>
  <c r="R788" i="7"/>
  <c r="S788" i="7"/>
  <c r="T788" i="7"/>
  <c r="U788" i="7"/>
  <c r="V788" i="7"/>
  <c r="W788" i="7"/>
  <c r="M800" i="7"/>
  <c r="N800" i="7"/>
  <c r="O800" i="7"/>
  <c r="P800" i="7"/>
  <c r="Q800" i="7"/>
  <c r="R800" i="7"/>
  <c r="S800" i="7"/>
  <c r="T800" i="7"/>
  <c r="U800" i="7"/>
  <c r="V800" i="7"/>
  <c r="W800" i="7"/>
  <c r="M812" i="7"/>
  <c r="N812" i="7"/>
  <c r="O812" i="7"/>
  <c r="P812" i="7"/>
  <c r="Q812" i="7"/>
  <c r="R812" i="7"/>
  <c r="S812" i="7"/>
  <c r="T812" i="7"/>
  <c r="U812" i="7"/>
  <c r="V812" i="7"/>
  <c r="W812" i="7"/>
  <c r="M824" i="7"/>
  <c r="N824" i="7"/>
  <c r="O824" i="7"/>
  <c r="P824" i="7"/>
  <c r="Q824" i="7"/>
  <c r="R824" i="7"/>
  <c r="S824" i="7"/>
  <c r="T824" i="7"/>
  <c r="U824" i="7"/>
  <c r="V824" i="7"/>
  <c r="W824" i="7"/>
  <c r="M836" i="7"/>
  <c r="N836" i="7"/>
  <c r="O836" i="7"/>
  <c r="P836" i="7"/>
  <c r="Q836" i="7"/>
  <c r="R836" i="7"/>
  <c r="S836" i="7"/>
  <c r="T836" i="7"/>
  <c r="U836" i="7"/>
  <c r="V836" i="7"/>
  <c r="W836" i="7"/>
  <c r="M848" i="7"/>
  <c r="N848" i="7"/>
  <c r="O848" i="7"/>
  <c r="P848" i="7"/>
  <c r="Q848" i="7"/>
  <c r="R848" i="7"/>
  <c r="S848" i="7"/>
  <c r="T848" i="7"/>
  <c r="U848" i="7"/>
  <c r="V848" i="7"/>
  <c r="W848" i="7"/>
  <c r="M860" i="7"/>
  <c r="N860" i="7"/>
  <c r="O860" i="7"/>
  <c r="P860" i="7"/>
  <c r="Q860" i="7"/>
  <c r="R860" i="7"/>
  <c r="S860" i="7"/>
  <c r="T860" i="7"/>
  <c r="U860" i="7"/>
  <c r="V860" i="7"/>
  <c r="W860" i="7"/>
  <c r="M872" i="7"/>
  <c r="N872" i="7"/>
  <c r="O872" i="7"/>
  <c r="P872" i="7"/>
  <c r="Q872" i="7"/>
  <c r="R872" i="7"/>
  <c r="S872" i="7"/>
  <c r="T872" i="7"/>
  <c r="U872" i="7"/>
  <c r="V872" i="7"/>
  <c r="W872" i="7"/>
  <c r="M884" i="7"/>
  <c r="N884" i="7"/>
  <c r="O884" i="7"/>
  <c r="P884" i="7"/>
  <c r="Q884" i="7"/>
  <c r="R884" i="7"/>
  <c r="S884" i="7"/>
  <c r="T884" i="7"/>
  <c r="U884" i="7"/>
  <c r="V884" i="7"/>
  <c r="W884" i="7"/>
  <c r="M896" i="7"/>
  <c r="N896" i="7"/>
  <c r="O896" i="7"/>
  <c r="P896" i="7"/>
  <c r="Q896" i="7"/>
  <c r="R896" i="7"/>
  <c r="S896" i="7"/>
  <c r="T896" i="7"/>
  <c r="U896" i="7"/>
  <c r="V896" i="7"/>
  <c r="W896" i="7"/>
  <c r="M908" i="7"/>
  <c r="N908" i="7"/>
  <c r="O908" i="7"/>
  <c r="P908" i="7"/>
  <c r="Q908" i="7"/>
  <c r="R908" i="7"/>
  <c r="S908" i="7"/>
  <c r="T908" i="7"/>
  <c r="U908" i="7"/>
  <c r="V908" i="7"/>
  <c r="W908" i="7"/>
  <c r="M920" i="7"/>
  <c r="N920" i="7"/>
  <c r="O920" i="7"/>
  <c r="P920" i="7"/>
  <c r="Q920" i="7"/>
  <c r="R920" i="7"/>
  <c r="S920" i="7"/>
  <c r="T920" i="7"/>
  <c r="U920" i="7"/>
  <c r="V920" i="7"/>
  <c r="W920" i="7"/>
  <c r="M932" i="7"/>
  <c r="N932" i="7"/>
  <c r="O932" i="7"/>
  <c r="P932" i="7"/>
  <c r="Q932" i="7"/>
  <c r="R932" i="7"/>
  <c r="S932" i="7"/>
  <c r="T932" i="7"/>
  <c r="U932" i="7"/>
  <c r="V932" i="7"/>
  <c r="W932" i="7"/>
  <c r="M944" i="7"/>
  <c r="N944" i="7"/>
  <c r="O944" i="7"/>
  <c r="P944" i="7"/>
  <c r="Q944" i="7"/>
  <c r="R944" i="7"/>
  <c r="S944" i="7"/>
  <c r="T944" i="7"/>
  <c r="U944" i="7"/>
  <c r="V944" i="7"/>
  <c r="W944" i="7"/>
  <c r="M956" i="7"/>
  <c r="N956" i="7"/>
  <c r="O956" i="7"/>
  <c r="P956" i="7"/>
  <c r="Q956" i="7"/>
  <c r="R956" i="7"/>
  <c r="S956" i="7"/>
  <c r="T956" i="7"/>
  <c r="U956" i="7"/>
  <c r="V956" i="7"/>
  <c r="W956" i="7"/>
  <c r="M968" i="7"/>
  <c r="N968" i="7"/>
  <c r="O968" i="7"/>
  <c r="P968" i="7"/>
  <c r="Q968" i="7"/>
  <c r="R968" i="7"/>
  <c r="S968" i="7"/>
  <c r="T968" i="7"/>
  <c r="U968" i="7"/>
  <c r="V968" i="7"/>
  <c r="W968" i="7"/>
  <c r="M646" i="7"/>
  <c r="N646" i="7"/>
  <c r="O646" i="7"/>
  <c r="P646" i="7"/>
  <c r="Q646" i="7"/>
  <c r="R646" i="7"/>
  <c r="S646" i="7"/>
  <c r="T646" i="7"/>
  <c r="U646" i="7"/>
  <c r="V646" i="7"/>
  <c r="W646" i="7"/>
  <c r="M682" i="7"/>
  <c r="N682" i="7"/>
  <c r="O682" i="7"/>
  <c r="P682" i="7"/>
  <c r="Q682" i="7"/>
  <c r="R682" i="7"/>
  <c r="S682" i="7"/>
  <c r="T682" i="7"/>
  <c r="U682" i="7"/>
  <c r="V682" i="7"/>
  <c r="W682" i="7"/>
  <c r="M694" i="7"/>
  <c r="N694" i="7"/>
  <c r="O694" i="7"/>
  <c r="P694" i="7"/>
  <c r="Q694" i="7"/>
  <c r="R694" i="7"/>
  <c r="S694" i="7"/>
  <c r="T694" i="7"/>
  <c r="U694" i="7"/>
  <c r="V694" i="7"/>
  <c r="W694" i="7"/>
  <c r="M706" i="7"/>
  <c r="N706" i="7"/>
  <c r="O706" i="7"/>
  <c r="P706" i="7"/>
  <c r="Q706" i="7"/>
  <c r="R706" i="7"/>
  <c r="S706" i="7"/>
  <c r="T706" i="7"/>
  <c r="U706" i="7"/>
  <c r="V706" i="7"/>
  <c r="W706" i="7"/>
  <c r="M730" i="7"/>
  <c r="N730" i="7"/>
  <c r="O730" i="7"/>
  <c r="P730" i="7"/>
  <c r="Q730" i="7"/>
  <c r="R730" i="7"/>
  <c r="S730" i="7"/>
  <c r="T730" i="7"/>
  <c r="U730" i="7"/>
  <c r="V730" i="7"/>
  <c r="W730" i="7"/>
  <c r="M754" i="7"/>
  <c r="N754" i="7"/>
  <c r="O754" i="7"/>
  <c r="P754" i="7"/>
  <c r="Q754" i="7"/>
  <c r="R754" i="7"/>
  <c r="S754" i="7"/>
  <c r="T754" i="7"/>
  <c r="U754" i="7"/>
  <c r="V754" i="7"/>
  <c r="W754" i="7"/>
  <c r="M814" i="7"/>
  <c r="N814" i="7"/>
  <c r="O814" i="7"/>
  <c r="P814" i="7"/>
  <c r="Q814" i="7"/>
  <c r="R814" i="7"/>
  <c r="S814" i="7"/>
  <c r="T814" i="7"/>
  <c r="U814" i="7"/>
  <c r="V814" i="7"/>
  <c r="W814" i="7"/>
  <c r="M826" i="7"/>
  <c r="N826" i="7"/>
  <c r="O826" i="7"/>
  <c r="P826" i="7"/>
  <c r="Q826" i="7"/>
  <c r="R826" i="7"/>
  <c r="S826" i="7"/>
  <c r="T826" i="7"/>
  <c r="U826" i="7"/>
  <c r="V826" i="7"/>
  <c r="W826" i="7"/>
  <c r="M838" i="7"/>
  <c r="N838" i="7"/>
  <c r="O838" i="7"/>
  <c r="P838" i="7"/>
  <c r="Q838" i="7"/>
  <c r="R838" i="7"/>
  <c r="S838" i="7"/>
  <c r="T838" i="7"/>
  <c r="U838" i="7"/>
  <c r="V838" i="7"/>
  <c r="W838" i="7"/>
  <c r="M898" i="7"/>
  <c r="N898" i="7"/>
  <c r="O898" i="7"/>
  <c r="P898" i="7"/>
  <c r="Q898" i="7"/>
  <c r="R898" i="7"/>
  <c r="S898" i="7"/>
  <c r="T898" i="7"/>
  <c r="U898" i="7"/>
  <c r="V898" i="7"/>
  <c r="W898" i="7"/>
  <c r="M934" i="7"/>
  <c r="N934" i="7"/>
  <c r="O934" i="7"/>
  <c r="P934" i="7"/>
  <c r="Q934" i="7"/>
  <c r="R934" i="7"/>
  <c r="S934" i="7"/>
  <c r="T934" i="7"/>
  <c r="U934" i="7"/>
  <c r="V934" i="7"/>
  <c r="W934" i="7"/>
  <c r="M9" i="7"/>
  <c r="N9" i="7"/>
  <c r="O9" i="7"/>
  <c r="P9" i="7"/>
  <c r="Q9" i="7"/>
  <c r="R9" i="7"/>
  <c r="S9" i="7"/>
  <c r="T9" i="7"/>
  <c r="U9" i="7"/>
  <c r="V9" i="7"/>
  <c r="W9" i="7"/>
  <c r="M21" i="7"/>
  <c r="N21" i="7"/>
  <c r="O21" i="7"/>
  <c r="P21" i="7"/>
  <c r="Q21" i="7"/>
  <c r="R21" i="7"/>
  <c r="S21" i="7"/>
  <c r="T21" i="7"/>
  <c r="U21" i="7"/>
  <c r="V21" i="7"/>
  <c r="W21" i="7"/>
  <c r="M33" i="7"/>
  <c r="N33" i="7"/>
  <c r="O33" i="7"/>
  <c r="P33" i="7"/>
  <c r="Q33" i="7"/>
  <c r="R33" i="7"/>
  <c r="S33" i="7"/>
  <c r="T33" i="7"/>
  <c r="U33" i="7"/>
  <c r="V33" i="7"/>
  <c r="W33" i="7"/>
  <c r="M45" i="7"/>
  <c r="N45" i="7"/>
  <c r="O45" i="7"/>
  <c r="P45" i="7"/>
  <c r="Q45" i="7"/>
  <c r="R45" i="7"/>
  <c r="S45" i="7"/>
  <c r="T45" i="7"/>
  <c r="U45" i="7"/>
  <c r="V45" i="7"/>
  <c r="W45" i="7"/>
  <c r="M57" i="7"/>
  <c r="N57" i="7"/>
  <c r="O57" i="7"/>
  <c r="P57" i="7"/>
  <c r="Q57" i="7"/>
  <c r="R57" i="7"/>
  <c r="S57" i="7"/>
  <c r="T57" i="7"/>
  <c r="U57" i="7"/>
  <c r="V57" i="7"/>
  <c r="W57" i="7"/>
  <c r="M69" i="7"/>
  <c r="N69" i="7"/>
  <c r="O69" i="7"/>
  <c r="P69" i="7"/>
  <c r="Q69" i="7"/>
  <c r="R69" i="7"/>
  <c r="S69" i="7"/>
  <c r="T69" i="7"/>
  <c r="U69" i="7"/>
  <c r="V69" i="7"/>
  <c r="W69" i="7"/>
  <c r="M81" i="7"/>
  <c r="N81" i="7"/>
  <c r="O81" i="7"/>
  <c r="P81" i="7"/>
  <c r="Q81" i="7"/>
  <c r="R81" i="7"/>
  <c r="S81" i="7"/>
  <c r="T81" i="7"/>
  <c r="U81" i="7"/>
  <c r="V81" i="7"/>
  <c r="W81" i="7"/>
  <c r="M93" i="7"/>
  <c r="N93" i="7"/>
  <c r="O93" i="7"/>
  <c r="P93" i="7"/>
  <c r="Q93" i="7"/>
  <c r="R93" i="7"/>
  <c r="S93" i="7"/>
  <c r="T93" i="7"/>
  <c r="U93" i="7"/>
  <c r="V93" i="7"/>
  <c r="W93" i="7"/>
  <c r="M105" i="7"/>
  <c r="N105" i="7"/>
  <c r="O105" i="7"/>
  <c r="P105" i="7"/>
  <c r="Q105" i="7"/>
  <c r="R105" i="7"/>
  <c r="S105" i="7"/>
  <c r="T105" i="7"/>
  <c r="U105" i="7"/>
  <c r="V105" i="7"/>
  <c r="W105" i="7"/>
  <c r="M117" i="7"/>
  <c r="N117" i="7"/>
  <c r="O117" i="7"/>
  <c r="P117" i="7"/>
  <c r="Q117" i="7"/>
  <c r="R117" i="7"/>
  <c r="S117" i="7"/>
  <c r="T117" i="7"/>
  <c r="U117" i="7"/>
  <c r="V117" i="7"/>
  <c r="W117" i="7"/>
  <c r="M129" i="7"/>
  <c r="N129" i="7"/>
  <c r="O129" i="7"/>
  <c r="P129" i="7"/>
  <c r="Q129" i="7"/>
  <c r="R129" i="7"/>
  <c r="S129" i="7"/>
  <c r="T129" i="7"/>
  <c r="U129" i="7"/>
  <c r="V129" i="7"/>
  <c r="W129" i="7"/>
  <c r="M141" i="7"/>
  <c r="N141" i="7"/>
  <c r="O141" i="7"/>
  <c r="P141" i="7"/>
  <c r="Q141" i="7"/>
  <c r="R141" i="7"/>
  <c r="S141" i="7"/>
  <c r="T141" i="7"/>
  <c r="U141" i="7"/>
  <c r="V141" i="7"/>
  <c r="W141" i="7"/>
  <c r="M153" i="7"/>
  <c r="N153" i="7"/>
  <c r="O153" i="7"/>
  <c r="P153" i="7"/>
  <c r="Q153" i="7"/>
  <c r="R153" i="7"/>
  <c r="S153" i="7"/>
  <c r="T153" i="7"/>
  <c r="U153" i="7"/>
  <c r="V153" i="7"/>
  <c r="W153" i="7"/>
  <c r="M165" i="7"/>
  <c r="N165" i="7"/>
  <c r="O165" i="7"/>
  <c r="P165" i="7"/>
  <c r="Q165" i="7"/>
  <c r="R165" i="7"/>
  <c r="S165" i="7"/>
  <c r="T165" i="7"/>
  <c r="U165" i="7"/>
  <c r="V165" i="7"/>
  <c r="W165" i="7"/>
  <c r="M177" i="7"/>
  <c r="N177" i="7"/>
  <c r="O177" i="7"/>
  <c r="P177" i="7"/>
  <c r="Q177" i="7"/>
  <c r="R177" i="7"/>
  <c r="S177" i="7"/>
  <c r="T177" i="7"/>
  <c r="U177" i="7"/>
  <c r="V177" i="7"/>
  <c r="W177" i="7"/>
  <c r="M189" i="7"/>
  <c r="N189" i="7"/>
  <c r="O189" i="7"/>
  <c r="P189" i="7"/>
  <c r="Q189" i="7"/>
  <c r="R189" i="7"/>
  <c r="S189" i="7"/>
  <c r="T189" i="7"/>
  <c r="U189" i="7"/>
  <c r="V189" i="7"/>
  <c r="W189" i="7"/>
  <c r="M201" i="7"/>
  <c r="N201" i="7"/>
  <c r="O201" i="7"/>
  <c r="P201" i="7"/>
  <c r="Q201" i="7"/>
  <c r="R201" i="7"/>
  <c r="S201" i="7"/>
  <c r="T201" i="7"/>
  <c r="U201" i="7"/>
  <c r="V201" i="7"/>
  <c r="W201" i="7"/>
  <c r="M213" i="7"/>
  <c r="N213" i="7"/>
  <c r="O213" i="7"/>
  <c r="P213" i="7"/>
  <c r="Q213" i="7"/>
  <c r="R213" i="7"/>
  <c r="S213" i="7"/>
  <c r="T213" i="7"/>
  <c r="U213" i="7"/>
  <c r="V213" i="7"/>
  <c r="W213" i="7"/>
  <c r="M225" i="7"/>
  <c r="N225" i="7"/>
  <c r="O225" i="7"/>
  <c r="P225" i="7"/>
  <c r="Q225" i="7"/>
  <c r="R225" i="7"/>
  <c r="S225" i="7"/>
  <c r="T225" i="7"/>
  <c r="U225" i="7"/>
  <c r="V225" i="7"/>
  <c r="W225" i="7"/>
  <c r="M237" i="7"/>
  <c r="N237" i="7"/>
  <c r="O237" i="7"/>
  <c r="P237" i="7"/>
  <c r="Q237" i="7"/>
  <c r="R237" i="7"/>
  <c r="S237" i="7"/>
  <c r="T237" i="7"/>
  <c r="U237" i="7"/>
  <c r="V237" i="7"/>
  <c r="W237" i="7"/>
  <c r="M249" i="7"/>
  <c r="N249" i="7"/>
  <c r="O249" i="7"/>
  <c r="P249" i="7"/>
  <c r="Q249" i="7"/>
  <c r="R249" i="7"/>
  <c r="S249" i="7"/>
  <c r="T249" i="7"/>
  <c r="U249" i="7"/>
  <c r="V249" i="7"/>
  <c r="W249" i="7"/>
  <c r="M261" i="7"/>
  <c r="N261" i="7"/>
  <c r="O261" i="7"/>
  <c r="P261" i="7"/>
  <c r="Q261" i="7"/>
  <c r="R261" i="7"/>
  <c r="S261" i="7"/>
  <c r="T261" i="7"/>
  <c r="U261" i="7"/>
  <c r="V261" i="7"/>
  <c r="W261" i="7"/>
  <c r="M273" i="7"/>
  <c r="N273" i="7"/>
  <c r="O273" i="7"/>
  <c r="P273" i="7"/>
  <c r="Q273" i="7"/>
  <c r="R273" i="7"/>
  <c r="S273" i="7"/>
  <c r="T273" i="7"/>
  <c r="U273" i="7"/>
  <c r="V273" i="7"/>
  <c r="W273" i="7"/>
  <c r="M285" i="7"/>
  <c r="N285" i="7"/>
  <c r="O285" i="7"/>
  <c r="P285" i="7"/>
  <c r="Q285" i="7"/>
  <c r="R285" i="7"/>
  <c r="S285" i="7"/>
  <c r="T285" i="7"/>
  <c r="U285" i="7"/>
  <c r="V285" i="7"/>
  <c r="W285" i="7"/>
  <c r="M297" i="7"/>
  <c r="N297" i="7"/>
  <c r="O297" i="7"/>
  <c r="P297" i="7"/>
  <c r="Q297" i="7"/>
  <c r="R297" i="7"/>
  <c r="S297" i="7"/>
  <c r="T297" i="7"/>
  <c r="U297" i="7"/>
  <c r="V297" i="7"/>
  <c r="W297" i="7"/>
  <c r="M309" i="7"/>
  <c r="N309" i="7"/>
  <c r="O309" i="7"/>
  <c r="P309" i="7"/>
  <c r="Q309" i="7"/>
  <c r="R309" i="7"/>
  <c r="S309" i="7"/>
  <c r="T309" i="7"/>
  <c r="U309" i="7"/>
  <c r="V309" i="7"/>
  <c r="W309" i="7"/>
  <c r="M321" i="7"/>
  <c r="N321" i="7"/>
  <c r="O321" i="7"/>
  <c r="P321" i="7"/>
  <c r="Q321" i="7"/>
  <c r="R321" i="7"/>
  <c r="S321" i="7"/>
  <c r="T321" i="7"/>
  <c r="U321" i="7"/>
  <c r="V321" i="7"/>
  <c r="W321" i="7"/>
  <c r="M333" i="7"/>
  <c r="N333" i="7"/>
  <c r="O333" i="7"/>
  <c r="P333" i="7"/>
  <c r="Q333" i="7"/>
  <c r="R333" i="7"/>
  <c r="S333" i="7"/>
  <c r="T333" i="7"/>
  <c r="U333" i="7"/>
  <c r="V333" i="7"/>
  <c r="W333" i="7"/>
  <c r="M345" i="7"/>
  <c r="N345" i="7"/>
  <c r="O345" i="7"/>
  <c r="P345" i="7"/>
  <c r="Q345" i="7"/>
  <c r="R345" i="7"/>
  <c r="S345" i="7"/>
  <c r="T345" i="7"/>
  <c r="U345" i="7"/>
  <c r="V345" i="7"/>
  <c r="W345" i="7"/>
  <c r="M357" i="7"/>
  <c r="N357" i="7"/>
  <c r="O357" i="7"/>
  <c r="P357" i="7"/>
  <c r="Q357" i="7"/>
  <c r="R357" i="7"/>
  <c r="S357" i="7"/>
  <c r="T357" i="7"/>
  <c r="U357" i="7"/>
  <c r="V357" i="7"/>
  <c r="W357" i="7"/>
  <c r="M369" i="7"/>
  <c r="N369" i="7"/>
  <c r="O369" i="7"/>
  <c r="P369" i="7"/>
  <c r="Q369" i="7"/>
  <c r="R369" i="7"/>
  <c r="S369" i="7"/>
  <c r="T369" i="7"/>
  <c r="U369" i="7"/>
  <c r="V369" i="7"/>
  <c r="W369" i="7"/>
  <c r="M381" i="7"/>
  <c r="N381" i="7"/>
  <c r="O381" i="7"/>
  <c r="P381" i="7"/>
  <c r="Q381" i="7"/>
  <c r="R381" i="7"/>
  <c r="S381" i="7"/>
  <c r="T381" i="7"/>
  <c r="U381" i="7"/>
  <c r="V381" i="7"/>
  <c r="W381" i="7"/>
  <c r="M393" i="7"/>
  <c r="N393" i="7"/>
  <c r="O393" i="7"/>
  <c r="P393" i="7"/>
  <c r="Q393" i="7"/>
  <c r="R393" i="7"/>
  <c r="S393" i="7"/>
  <c r="T393" i="7"/>
  <c r="U393" i="7"/>
  <c r="V393" i="7"/>
  <c r="W393" i="7"/>
  <c r="M405" i="7"/>
  <c r="N405" i="7"/>
  <c r="O405" i="7"/>
  <c r="P405" i="7"/>
  <c r="Q405" i="7"/>
  <c r="R405" i="7"/>
  <c r="S405" i="7"/>
  <c r="T405" i="7"/>
  <c r="U405" i="7"/>
  <c r="V405" i="7"/>
  <c r="W405" i="7"/>
  <c r="M417" i="7"/>
  <c r="N417" i="7"/>
  <c r="O417" i="7"/>
  <c r="P417" i="7"/>
  <c r="Q417" i="7"/>
  <c r="R417" i="7"/>
  <c r="S417" i="7"/>
  <c r="T417" i="7"/>
  <c r="U417" i="7"/>
  <c r="V417" i="7"/>
  <c r="W417" i="7"/>
  <c r="M429" i="7"/>
  <c r="N429" i="7"/>
  <c r="O429" i="7"/>
  <c r="P429" i="7"/>
  <c r="Q429" i="7"/>
  <c r="R429" i="7"/>
  <c r="S429" i="7"/>
  <c r="T429" i="7"/>
  <c r="U429" i="7"/>
  <c r="V429" i="7"/>
  <c r="W429" i="7"/>
  <c r="M441" i="7"/>
  <c r="N441" i="7"/>
  <c r="O441" i="7"/>
  <c r="P441" i="7"/>
  <c r="Q441" i="7"/>
  <c r="R441" i="7"/>
  <c r="S441" i="7"/>
  <c r="T441" i="7"/>
  <c r="U441" i="7"/>
  <c r="V441" i="7"/>
  <c r="W441" i="7"/>
  <c r="M453" i="7"/>
  <c r="N453" i="7"/>
  <c r="O453" i="7"/>
  <c r="P453" i="7"/>
  <c r="Q453" i="7"/>
  <c r="R453" i="7"/>
  <c r="S453" i="7"/>
  <c r="T453" i="7"/>
  <c r="U453" i="7"/>
  <c r="V453" i="7"/>
  <c r="W453" i="7"/>
  <c r="M465" i="7"/>
  <c r="N465" i="7"/>
  <c r="O465" i="7"/>
  <c r="P465" i="7"/>
  <c r="Q465" i="7"/>
  <c r="R465" i="7"/>
  <c r="S465" i="7"/>
  <c r="T465" i="7"/>
  <c r="U465" i="7"/>
  <c r="V465" i="7"/>
  <c r="W465" i="7"/>
  <c r="M477" i="7"/>
  <c r="N477" i="7"/>
  <c r="O477" i="7"/>
  <c r="P477" i="7"/>
  <c r="Q477" i="7"/>
  <c r="R477" i="7"/>
  <c r="S477" i="7"/>
  <c r="T477" i="7"/>
  <c r="U477" i="7"/>
  <c r="V477" i="7"/>
  <c r="W477" i="7"/>
  <c r="M489" i="7"/>
  <c r="N489" i="7"/>
  <c r="O489" i="7"/>
  <c r="P489" i="7"/>
  <c r="Q489" i="7"/>
  <c r="R489" i="7"/>
  <c r="S489" i="7"/>
  <c r="T489" i="7"/>
  <c r="U489" i="7"/>
  <c r="V489" i="7"/>
  <c r="W489" i="7"/>
  <c r="M501" i="7"/>
  <c r="N501" i="7"/>
  <c r="O501" i="7"/>
  <c r="P501" i="7"/>
  <c r="Q501" i="7"/>
  <c r="R501" i="7"/>
  <c r="S501" i="7"/>
  <c r="T501" i="7"/>
  <c r="U501" i="7"/>
  <c r="V501" i="7"/>
  <c r="W501" i="7"/>
  <c r="M513" i="7"/>
  <c r="N513" i="7"/>
  <c r="O513" i="7"/>
  <c r="P513" i="7"/>
  <c r="Q513" i="7"/>
  <c r="R513" i="7"/>
  <c r="S513" i="7"/>
  <c r="T513" i="7"/>
  <c r="U513" i="7"/>
  <c r="V513" i="7"/>
  <c r="W513" i="7"/>
  <c r="M525" i="7"/>
  <c r="N525" i="7"/>
  <c r="O525" i="7"/>
  <c r="P525" i="7"/>
  <c r="Q525" i="7"/>
  <c r="R525" i="7"/>
  <c r="S525" i="7"/>
  <c r="T525" i="7"/>
  <c r="U525" i="7"/>
  <c r="V525" i="7"/>
  <c r="W525" i="7"/>
  <c r="M537" i="7"/>
  <c r="N537" i="7"/>
  <c r="O537" i="7"/>
  <c r="P537" i="7"/>
  <c r="Q537" i="7"/>
  <c r="R537" i="7"/>
  <c r="S537" i="7"/>
  <c r="T537" i="7"/>
  <c r="U537" i="7"/>
  <c r="V537" i="7"/>
  <c r="W537" i="7"/>
  <c r="M549" i="7"/>
  <c r="N549" i="7"/>
  <c r="O549" i="7"/>
  <c r="P549" i="7"/>
  <c r="Q549" i="7"/>
  <c r="R549" i="7"/>
  <c r="S549" i="7"/>
  <c r="T549" i="7"/>
  <c r="U549" i="7"/>
  <c r="V549" i="7"/>
  <c r="W549" i="7"/>
  <c r="M561" i="7"/>
  <c r="N561" i="7"/>
  <c r="O561" i="7"/>
  <c r="P561" i="7"/>
  <c r="Q561" i="7"/>
  <c r="R561" i="7"/>
  <c r="S561" i="7"/>
  <c r="T561" i="7"/>
  <c r="U561" i="7"/>
  <c r="V561" i="7"/>
  <c r="W561" i="7"/>
  <c r="M573" i="7"/>
  <c r="N573" i="7"/>
  <c r="O573" i="7"/>
  <c r="P573" i="7"/>
  <c r="Q573" i="7"/>
  <c r="R573" i="7"/>
  <c r="S573" i="7"/>
  <c r="T573" i="7"/>
  <c r="U573" i="7"/>
  <c r="V573" i="7"/>
  <c r="W573" i="7"/>
  <c r="M585" i="7"/>
  <c r="N585" i="7"/>
  <c r="O585" i="7"/>
  <c r="P585" i="7"/>
  <c r="Q585" i="7"/>
  <c r="R585" i="7"/>
  <c r="S585" i="7"/>
  <c r="T585" i="7"/>
  <c r="U585" i="7"/>
  <c r="V585" i="7"/>
  <c r="W585" i="7"/>
  <c r="M597" i="7"/>
  <c r="N597" i="7"/>
  <c r="O597" i="7"/>
  <c r="P597" i="7"/>
  <c r="Q597" i="7"/>
  <c r="R597" i="7"/>
  <c r="S597" i="7"/>
  <c r="T597" i="7"/>
  <c r="U597" i="7"/>
  <c r="V597" i="7"/>
  <c r="W597" i="7"/>
  <c r="M609" i="7"/>
  <c r="N609" i="7"/>
  <c r="O609" i="7"/>
  <c r="P609" i="7"/>
  <c r="Q609" i="7"/>
  <c r="R609" i="7"/>
  <c r="S609" i="7"/>
  <c r="T609" i="7"/>
  <c r="U609" i="7"/>
  <c r="V609" i="7"/>
  <c r="W609" i="7"/>
  <c r="M621" i="7"/>
  <c r="N621" i="7"/>
  <c r="O621" i="7"/>
  <c r="P621" i="7"/>
  <c r="Q621" i="7"/>
  <c r="R621" i="7"/>
  <c r="S621" i="7"/>
  <c r="T621" i="7"/>
  <c r="U621" i="7"/>
  <c r="V621" i="7"/>
  <c r="W621" i="7"/>
  <c r="M633" i="7"/>
  <c r="N633" i="7"/>
  <c r="O633" i="7"/>
  <c r="P633" i="7"/>
  <c r="Q633" i="7"/>
  <c r="R633" i="7"/>
  <c r="S633" i="7"/>
  <c r="T633" i="7"/>
  <c r="U633" i="7"/>
  <c r="V633" i="7"/>
  <c r="W633" i="7"/>
  <c r="M645" i="7"/>
  <c r="N645" i="7"/>
  <c r="O645" i="7"/>
  <c r="P645" i="7"/>
  <c r="Q645" i="7"/>
  <c r="R645" i="7"/>
  <c r="S645" i="7"/>
  <c r="T645" i="7"/>
  <c r="U645" i="7"/>
  <c r="V645" i="7"/>
  <c r="W645" i="7"/>
  <c r="M657" i="7"/>
  <c r="N657" i="7"/>
  <c r="O657" i="7"/>
  <c r="P657" i="7"/>
  <c r="Q657" i="7"/>
  <c r="R657" i="7"/>
  <c r="S657" i="7"/>
  <c r="T657" i="7"/>
  <c r="U657" i="7"/>
  <c r="V657" i="7"/>
  <c r="W657" i="7"/>
  <c r="M669" i="7"/>
  <c r="N669" i="7"/>
  <c r="O669" i="7"/>
  <c r="P669" i="7"/>
  <c r="Q669" i="7"/>
  <c r="R669" i="7"/>
  <c r="S669" i="7"/>
  <c r="T669" i="7"/>
  <c r="U669" i="7"/>
  <c r="V669" i="7"/>
  <c r="W669" i="7"/>
  <c r="M681" i="7"/>
  <c r="N681" i="7"/>
  <c r="O681" i="7"/>
  <c r="P681" i="7"/>
  <c r="Q681" i="7"/>
  <c r="R681" i="7"/>
  <c r="S681" i="7"/>
  <c r="T681" i="7"/>
  <c r="U681" i="7"/>
  <c r="V681" i="7"/>
  <c r="W681" i="7"/>
  <c r="M693" i="7"/>
  <c r="N693" i="7"/>
  <c r="O693" i="7"/>
  <c r="P693" i="7"/>
  <c r="Q693" i="7"/>
  <c r="R693" i="7"/>
  <c r="S693" i="7"/>
  <c r="T693" i="7"/>
  <c r="U693" i="7"/>
  <c r="V693" i="7"/>
  <c r="W693" i="7"/>
  <c r="M705" i="7"/>
  <c r="N705" i="7"/>
  <c r="O705" i="7"/>
  <c r="P705" i="7"/>
  <c r="Q705" i="7"/>
  <c r="R705" i="7"/>
  <c r="S705" i="7"/>
  <c r="T705" i="7"/>
  <c r="U705" i="7"/>
  <c r="V705" i="7"/>
  <c r="W705" i="7"/>
  <c r="M717" i="7"/>
  <c r="N717" i="7"/>
  <c r="O717" i="7"/>
  <c r="P717" i="7"/>
  <c r="Q717" i="7"/>
  <c r="R717" i="7"/>
  <c r="S717" i="7"/>
  <c r="T717" i="7"/>
  <c r="U717" i="7"/>
  <c r="V717" i="7"/>
  <c r="W717" i="7"/>
  <c r="M729" i="7"/>
  <c r="N729" i="7"/>
  <c r="O729" i="7"/>
  <c r="P729" i="7"/>
  <c r="Q729" i="7"/>
  <c r="R729" i="7"/>
  <c r="S729" i="7"/>
  <c r="T729" i="7"/>
  <c r="U729" i="7"/>
  <c r="V729" i="7"/>
  <c r="W729" i="7"/>
  <c r="M741" i="7"/>
  <c r="N741" i="7"/>
  <c r="O741" i="7"/>
  <c r="P741" i="7"/>
  <c r="Q741" i="7"/>
  <c r="R741" i="7"/>
  <c r="S741" i="7"/>
  <c r="T741" i="7"/>
  <c r="U741" i="7"/>
  <c r="V741" i="7"/>
  <c r="W741" i="7"/>
  <c r="M753" i="7"/>
  <c r="N753" i="7"/>
  <c r="O753" i="7"/>
  <c r="P753" i="7"/>
  <c r="Q753" i="7"/>
  <c r="R753" i="7"/>
  <c r="S753" i="7"/>
  <c r="T753" i="7"/>
  <c r="U753" i="7"/>
  <c r="V753" i="7"/>
  <c r="W753" i="7"/>
  <c r="M765" i="7"/>
  <c r="N765" i="7"/>
  <c r="O765" i="7"/>
  <c r="P765" i="7"/>
  <c r="Q765" i="7"/>
  <c r="R765" i="7"/>
  <c r="S765" i="7"/>
  <c r="T765" i="7"/>
  <c r="U765" i="7"/>
  <c r="V765" i="7"/>
  <c r="W765" i="7"/>
  <c r="M777" i="7"/>
  <c r="N777" i="7"/>
  <c r="O777" i="7"/>
  <c r="P777" i="7"/>
  <c r="Q777" i="7"/>
  <c r="R777" i="7"/>
  <c r="S777" i="7"/>
  <c r="T777" i="7"/>
  <c r="U777" i="7"/>
  <c r="V777" i="7"/>
  <c r="W777" i="7"/>
  <c r="M789" i="7"/>
  <c r="N789" i="7"/>
  <c r="O789" i="7"/>
  <c r="P789" i="7"/>
  <c r="Q789" i="7"/>
  <c r="R789" i="7"/>
  <c r="S789" i="7"/>
  <c r="T789" i="7"/>
  <c r="U789" i="7"/>
  <c r="V789" i="7"/>
  <c r="W789" i="7"/>
  <c r="M801" i="7"/>
  <c r="N801" i="7"/>
  <c r="O801" i="7"/>
  <c r="P801" i="7"/>
  <c r="Q801" i="7"/>
  <c r="R801" i="7"/>
  <c r="S801" i="7"/>
  <c r="T801" i="7"/>
  <c r="U801" i="7"/>
  <c r="V801" i="7"/>
  <c r="W801" i="7"/>
  <c r="M813" i="7"/>
  <c r="N813" i="7"/>
  <c r="O813" i="7"/>
  <c r="P813" i="7"/>
  <c r="Q813" i="7"/>
  <c r="R813" i="7"/>
  <c r="S813" i="7"/>
  <c r="T813" i="7"/>
  <c r="U813" i="7"/>
  <c r="V813" i="7"/>
  <c r="W813" i="7"/>
  <c r="M825" i="7"/>
  <c r="N825" i="7"/>
  <c r="O825" i="7"/>
  <c r="P825" i="7"/>
  <c r="Q825" i="7"/>
  <c r="R825" i="7"/>
  <c r="S825" i="7"/>
  <c r="T825" i="7"/>
  <c r="U825" i="7"/>
  <c r="V825" i="7"/>
  <c r="W825" i="7"/>
  <c r="M837" i="7"/>
  <c r="N837" i="7"/>
  <c r="O837" i="7"/>
  <c r="P837" i="7"/>
  <c r="Q837" i="7"/>
  <c r="R837" i="7"/>
  <c r="S837" i="7"/>
  <c r="T837" i="7"/>
  <c r="U837" i="7"/>
  <c r="V837" i="7"/>
  <c r="W837" i="7"/>
  <c r="M849" i="7"/>
  <c r="N849" i="7"/>
  <c r="O849" i="7"/>
  <c r="P849" i="7"/>
  <c r="Q849" i="7"/>
  <c r="R849" i="7"/>
  <c r="S849" i="7"/>
  <c r="T849" i="7"/>
  <c r="U849" i="7"/>
  <c r="V849" i="7"/>
  <c r="W849" i="7"/>
  <c r="M861" i="7"/>
  <c r="N861" i="7"/>
  <c r="O861" i="7"/>
  <c r="P861" i="7"/>
  <c r="Q861" i="7"/>
  <c r="R861" i="7"/>
  <c r="S861" i="7"/>
  <c r="T861" i="7"/>
  <c r="U861" i="7"/>
  <c r="V861" i="7"/>
  <c r="W861" i="7"/>
  <c r="M873" i="7"/>
  <c r="N873" i="7"/>
  <c r="O873" i="7"/>
  <c r="P873" i="7"/>
  <c r="Q873" i="7"/>
  <c r="R873" i="7"/>
  <c r="S873" i="7"/>
  <c r="T873" i="7"/>
  <c r="U873" i="7"/>
  <c r="V873" i="7"/>
  <c r="W873" i="7"/>
  <c r="M885" i="7"/>
  <c r="N885" i="7"/>
  <c r="O885" i="7"/>
  <c r="P885" i="7"/>
  <c r="Q885" i="7"/>
  <c r="R885" i="7"/>
  <c r="S885" i="7"/>
  <c r="T885" i="7"/>
  <c r="U885" i="7"/>
  <c r="V885" i="7"/>
  <c r="W885" i="7"/>
  <c r="M897" i="7"/>
  <c r="N897" i="7"/>
  <c r="O897" i="7"/>
  <c r="P897" i="7"/>
  <c r="Q897" i="7"/>
  <c r="R897" i="7"/>
  <c r="S897" i="7"/>
  <c r="T897" i="7"/>
  <c r="U897" i="7"/>
  <c r="V897" i="7"/>
  <c r="W897" i="7"/>
  <c r="M909" i="7"/>
  <c r="N909" i="7"/>
  <c r="O909" i="7"/>
  <c r="P909" i="7"/>
  <c r="Q909" i="7"/>
  <c r="R909" i="7"/>
  <c r="S909" i="7"/>
  <c r="T909" i="7"/>
  <c r="U909" i="7"/>
  <c r="V909" i="7"/>
  <c r="W909" i="7"/>
  <c r="M921" i="7"/>
  <c r="N921" i="7"/>
  <c r="O921" i="7"/>
  <c r="P921" i="7"/>
  <c r="Q921" i="7"/>
  <c r="R921" i="7"/>
  <c r="S921" i="7"/>
  <c r="T921" i="7"/>
  <c r="U921" i="7"/>
  <c r="V921" i="7"/>
  <c r="W921" i="7"/>
  <c r="M933" i="7"/>
  <c r="N933" i="7"/>
  <c r="O933" i="7"/>
  <c r="P933" i="7"/>
  <c r="Q933" i="7"/>
  <c r="R933" i="7"/>
  <c r="S933" i="7"/>
  <c r="T933" i="7"/>
  <c r="U933" i="7"/>
  <c r="V933" i="7"/>
  <c r="W933" i="7"/>
  <c r="M945" i="7"/>
  <c r="N945" i="7"/>
  <c r="O945" i="7"/>
  <c r="P945" i="7"/>
  <c r="Q945" i="7"/>
  <c r="R945" i="7"/>
  <c r="S945" i="7"/>
  <c r="T945" i="7"/>
  <c r="U945" i="7"/>
  <c r="V945" i="7"/>
  <c r="W945" i="7"/>
  <c r="M957" i="7"/>
  <c r="N957" i="7"/>
  <c r="O957" i="7"/>
  <c r="P957" i="7"/>
  <c r="Q957" i="7"/>
  <c r="R957" i="7"/>
  <c r="S957" i="7"/>
  <c r="T957" i="7"/>
  <c r="U957" i="7"/>
  <c r="V957" i="7"/>
  <c r="W957" i="7"/>
  <c r="M969" i="7"/>
  <c r="N969" i="7"/>
  <c r="O969" i="7"/>
  <c r="P969" i="7"/>
  <c r="Q969" i="7"/>
  <c r="R969" i="7"/>
  <c r="S969" i="7"/>
  <c r="T969" i="7"/>
  <c r="U969" i="7"/>
  <c r="V969" i="7"/>
  <c r="W969" i="7"/>
  <c r="M981" i="7"/>
  <c r="N981" i="7"/>
  <c r="O981" i="7"/>
  <c r="P981" i="7"/>
  <c r="Q981" i="7"/>
  <c r="R981" i="7"/>
  <c r="S981" i="7"/>
  <c r="T981" i="7"/>
  <c r="U981" i="7"/>
  <c r="V981" i="7"/>
  <c r="W981" i="7"/>
  <c r="M993" i="7"/>
  <c r="N993" i="7"/>
  <c r="O993" i="7"/>
  <c r="P993" i="7"/>
  <c r="Q993" i="7"/>
  <c r="R993" i="7"/>
  <c r="S993" i="7"/>
  <c r="T993" i="7"/>
  <c r="U993" i="7"/>
  <c r="V993" i="7"/>
  <c r="W993" i="7"/>
  <c r="M1005" i="7"/>
  <c r="N1005" i="7"/>
  <c r="O1005" i="7"/>
  <c r="P1005" i="7"/>
  <c r="Q1005" i="7"/>
  <c r="R1005" i="7"/>
  <c r="S1005" i="7"/>
  <c r="T1005" i="7"/>
  <c r="U1005" i="7"/>
  <c r="V1005" i="7"/>
  <c r="W1005" i="7"/>
  <c r="M1017" i="7"/>
  <c r="N1017" i="7"/>
  <c r="O1017" i="7"/>
  <c r="P1017" i="7"/>
  <c r="Q1017" i="7"/>
  <c r="R1017" i="7"/>
  <c r="S1017" i="7"/>
  <c r="T1017" i="7"/>
  <c r="U1017" i="7"/>
  <c r="V1017" i="7"/>
  <c r="W1017" i="7"/>
  <c r="M1029" i="7"/>
  <c r="N1029" i="7"/>
  <c r="O1029" i="7"/>
  <c r="P1029" i="7"/>
  <c r="Q1029" i="7"/>
  <c r="R1029" i="7"/>
  <c r="S1029" i="7"/>
  <c r="T1029" i="7"/>
  <c r="U1029" i="7"/>
  <c r="V1029" i="7"/>
  <c r="W1029" i="7"/>
  <c r="M1041" i="7"/>
  <c r="N1041" i="7"/>
  <c r="O1041" i="7"/>
  <c r="P1041" i="7"/>
  <c r="Q1041" i="7"/>
  <c r="R1041" i="7"/>
  <c r="S1041" i="7"/>
  <c r="T1041" i="7"/>
  <c r="U1041" i="7"/>
  <c r="V1041" i="7"/>
  <c r="W1041" i="7"/>
  <c r="M502" i="7"/>
  <c r="N502" i="7"/>
  <c r="O502" i="7"/>
  <c r="P502" i="7"/>
  <c r="Q502" i="7"/>
  <c r="R502" i="7"/>
  <c r="S502" i="7"/>
  <c r="T502" i="7"/>
  <c r="U502" i="7"/>
  <c r="V502" i="7"/>
  <c r="W502" i="7"/>
  <c r="M514" i="7"/>
  <c r="N514" i="7"/>
  <c r="O514" i="7"/>
  <c r="P514" i="7"/>
  <c r="Q514" i="7"/>
  <c r="R514" i="7"/>
  <c r="S514" i="7"/>
  <c r="T514" i="7"/>
  <c r="U514" i="7"/>
  <c r="V514" i="7"/>
  <c r="W514" i="7"/>
  <c r="M526" i="7"/>
  <c r="N526" i="7"/>
  <c r="O526" i="7"/>
  <c r="P526" i="7"/>
  <c r="Q526" i="7"/>
  <c r="R526" i="7"/>
  <c r="S526" i="7"/>
  <c r="T526" i="7"/>
  <c r="U526" i="7"/>
  <c r="V526" i="7"/>
  <c r="W526" i="7"/>
  <c r="M538" i="7"/>
  <c r="N538" i="7"/>
  <c r="O538" i="7"/>
  <c r="P538" i="7"/>
  <c r="Q538" i="7"/>
  <c r="R538" i="7"/>
  <c r="S538" i="7"/>
  <c r="T538" i="7"/>
  <c r="U538" i="7"/>
  <c r="V538" i="7"/>
  <c r="W538" i="7"/>
  <c r="M506" i="7"/>
  <c r="N506" i="7"/>
  <c r="O506" i="7"/>
  <c r="P506" i="7"/>
  <c r="Q506" i="7"/>
  <c r="R506" i="7"/>
  <c r="S506" i="7"/>
  <c r="T506" i="7"/>
  <c r="U506" i="7"/>
  <c r="V506" i="7"/>
  <c r="W506" i="7"/>
  <c r="M578" i="7"/>
  <c r="N578" i="7"/>
  <c r="O578" i="7"/>
  <c r="P578" i="7"/>
  <c r="Q578" i="7"/>
  <c r="R578" i="7"/>
  <c r="S578" i="7"/>
  <c r="T578" i="7"/>
  <c r="U578" i="7"/>
  <c r="V578" i="7"/>
  <c r="W578" i="7"/>
  <c r="M10" i="7"/>
  <c r="N10" i="7"/>
  <c r="O10" i="7"/>
  <c r="P10" i="7"/>
  <c r="Q10" i="7"/>
  <c r="R10" i="7"/>
  <c r="S10" i="7"/>
  <c r="T10" i="7"/>
  <c r="U10" i="7"/>
  <c r="V10" i="7"/>
  <c r="W10" i="7"/>
  <c r="M22" i="7"/>
  <c r="N22" i="7"/>
  <c r="O22" i="7"/>
  <c r="P22" i="7"/>
  <c r="Q22" i="7"/>
  <c r="R22" i="7"/>
  <c r="S22" i="7"/>
  <c r="T22" i="7"/>
  <c r="U22" i="7"/>
  <c r="V22" i="7"/>
  <c r="W22" i="7"/>
  <c r="M34" i="7"/>
  <c r="N34" i="7"/>
  <c r="O34" i="7"/>
  <c r="P34" i="7"/>
  <c r="Q34" i="7"/>
  <c r="R34" i="7"/>
  <c r="S34" i="7"/>
  <c r="T34" i="7"/>
  <c r="U34" i="7"/>
  <c r="V34" i="7"/>
  <c r="W34" i="7"/>
  <c r="M46" i="7"/>
  <c r="N46" i="7"/>
  <c r="O46" i="7"/>
  <c r="P46" i="7"/>
  <c r="Q46" i="7"/>
  <c r="R46" i="7"/>
  <c r="S46" i="7"/>
  <c r="T46" i="7"/>
  <c r="U46" i="7"/>
  <c r="V46" i="7"/>
  <c r="W46" i="7"/>
  <c r="M58" i="7"/>
  <c r="N58" i="7"/>
  <c r="O58" i="7"/>
  <c r="P58" i="7"/>
  <c r="Q58" i="7"/>
  <c r="R58" i="7"/>
  <c r="S58" i="7"/>
  <c r="T58" i="7"/>
  <c r="U58" i="7"/>
  <c r="V58" i="7"/>
  <c r="W58" i="7"/>
  <c r="M70" i="7"/>
  <c r="N70" i="7"/>
  <c r="O70" i="7"/>
  <c r="P70" i="7"/>
  <c r="Q70" i="7"/>
  <c r="R70" i="7"/>
  <c r="S70" i="7"/>
  <c r="T70" i="7"/>
  <c r="U70" i="7"/>
  <c r="V70" i="7"/>
  <c r="W70" i="7"/>
  <c r="M82" i="7"/>
  <c r="N82" i="7"/>
  <c r="O82" i="7"/>
  <c r="P82" i="7"/>
  <c r="Q82" i="7"/>
  <c r="R82" i="7"/>
  <c r="S82" i="7"/>
  <c r="T82" i="7"/>
  <c r="U82" i="7"/>
  <c r="V82" i="7"/>
  <c r="W82" i="7"/>
  <c r="M94" i="7"/>
  <c r="N94" i="7"/>
  <c r="O94" i="7"/>
  <c r="P94" i="7"/>
  <c r="Q94" i="7"/>
  <c r="R94" i="7"/>
  <c r="S94" i="7"/>
  <c r="T94" i="7"/>
  <c r="U94" i="7"/>
  <c r="V94" i="7"/>
  <c r="W94" i="7"/>
  <c r="M106" i="7"/>
  <c r="N106" i="7"/>
  <c r="O106" i="7"/>
  <c r="P106" i="7"/>
  <c r="Q106" i="7"/>
  <c r="R106" i="7"/>
  <c r="S106" i="7"/>
  <c r="T106" i="7"/>
  <c r="U106" i="7"/>
  <c r="V106" i="7"/>
  <c r="W106" i="7"/>
  <c r="M118" i="7"/>
  <c r="N118" i="7"/>
  <c r="O118" i="7"/>
  <c r="P118" i="7"/>
  <c r="Q118" i="7"/>
  <c r="R118" i="7"/>
  <c r="S118" i="7"/>
  <c r="T118" i="7"/>
  <c r="U118" i="7"/>
  <c r="V118" i="7"/>
  <c r="W118" i="7"/>
  <c r="M130" i="7"/>
  <c r="N130" i="7"/>
  <c r="O130" i="7"/>
  <c r="P130" i="7"/>
  <c r="Q130" i="7"/>
  <c r="R130" i="7"/>
  <c r="S130" i="7"/>
  <c r="T130" i="7"/>
  <c r="U130" i="7"/>
  <c r="V130" i="7"/>
  <c r="W130" i="7"/>
  <c r="M142" i="7"/>
  <c r="N142" i="7"/>
  <c r="O142" i="7"/>
  <c r="P142" i="7"/>
  <c r="Q142" i="7"/>
  <c r="R142" i="7"/>
  <c r="S142" i="7"/>
  <c r="T142" i="7"/>
  <c r="U142" i="7"/>
  <c r="V142" i="7"/>
  <c r="W142" i="7"/>
  <c r="M154" i="7"/>
  <c r="N154" i="7"/>
  <c r="O154" i="7"/>
  <c r="P154" i="7"/>
  <c r="Q154" i="7"/>
  <c r="R154" i="7"/>
  <c r="S154" i="7"/>
  <c r="T154" i="7"/>
  <c r="U154" i="7"/>
  <c r="V154" i="7"/>
  <c r="W154" i="7"/>
  <c r="M166" i="7"/>
  <c r="N166" i="7"/>
  <c r="O166" i="7"/>
  <c r="P166" i="7"/>
  <c r="Q166" i="7"/>
  <c r="R166" i="7"/>
  <c r="S166" i="7"/>
  <c r="T166" i="7"/>
  <c r="U166" i="7"/>
  <c r="V166" i="7"/>
  <c r="W166" i="7"/>
  <c r="M178" i="7"/>
  <c r="N178" i="7"/>
  <c r="O178" i="7"/>
  <c r="P178" i="7"/>
  <c r="Q178" i="7"/>
  <c r="R178" i="7"/>
  <c r="S178" i="7"/>
  <c r="T178" i="7"/>
  <c r="U178" i="7"/>
  <c r="V178" i="7"/>
  <c r="W178" i="7"/>
  <c r="M190" i="7"/>
  <c r="N190" i="7"/>
  <c r="O190" i="7"/>
  <c r="P190" i="7"/>
  <c r="Q190" i="7"/>
  <c r="R190" i="7"/>
  <c r="S190" i="7"/>
  <c r="T190" i="7"/>
  <c r="U190" i="7"/>
  <c r="V190" i="7"/>
  <c r="W190" i="7"/>
  <c r="M202" i="7"/>
  <c r="N202" i="7"/>
  <c r="O202" i="7"/>
  <c r="P202" i="7"/>
  <c r="Q202" i="7"/>
  <c r="R202" i="7"/>
  <c r="S202" i="7"/>
  <c r="T202" i="7"/>
  <c r="U202" i="7"/>
  <c r="V202" i="7"/>
  <c r="W202" i="7"/>
  <c r="M214" i="7"/>
  <c r="N214" i="7"/>
  <c r="O214" i="7"/>
  <c r="P214" i="7"/>
  <c r="Q214" i="7"/>
  <c r="R214" i="7"/>
  <c r="S214" i="7"/>
  <c r="T214" i="7"/>
  <c r="U214" i="7"/>
  <c r="V214" i="7"/>
  <c r="W214" i="7"/>
  <c r="M226" i="7"/>
  <c r="N226" i="7"/>
  <c r="O226" i="7"/>
  <c r="P226" i="7"/>
  <c r="Q226" i="7"/>
  <c r="R226" i="7"/>
  <c r="S226" i="7"/>
  <c r="T226" i="7"/>
  <c r="U226" i="7"/>
  <c r="V226" i="7"/>
  <c r="W226" i="7"/>
  <c r="M238" i="7"/>
  <c r="N238" i="7"/>
  <c r="O238" i="7"/>
  <c r="P238" i="7"/>
  <c r="Q238" i="7"/>
  <c r="R238" i="7"/>
  <c r="S238" i="7"/>
  <c r="T238" i="7"/>
  <c r="U238" i="7"/>
  <c r="V238" i="7"/>
  <c r="W238" i="7"/>
  <c r="M250" i="7"/>
  <c r="N250" i="7"/>
  <c r="O250" i="7"/>
  <c r="P250" i="7"/>
  <c r="Q250" i="7"/>
  <c r="R250" i="7"/>
  <c r="S250" i="7"/>
  <c r="T250" i="7"/>
  <c r="U250" i="7"/>
  <c r="V250" i="7"/>
  <c r="W250" i="7"/>
  <c r="M262" i="7"/>
  <c r="N262" i="7"/>
  <c r="O262" i="7"/>
  <c r="P262" i="7"/>
  <c r="Q262" i="7"/>
  <c r="R262" i="7"/>
  <c r="S262" i="7"/>
  <c r="T262" i="7"/>
  <c r="U262" i="7"/>
  <c r="V262" i="7"/>
  <c r="W262" i="7"/>
  <c r="M274" i="7"/>
  <c r="N274" i="7"/>
  <c r="O274" i="7"/>
  <c r="P274" i="7"/>
  <c r="Q274" i="7"/>
  <c r="R274" i="7"/>
  <c r="S274" i="7"/>
  <c r="T274" i="7"/>
  <c r="U274" i="7"/>
  <c r="V274" i="7"/>
  <c r="W274" i="7"/>
  <c r="M286" i="7"/>
  <c r="N286" i="7"/>
  <c r="O286" i="7"/>
  <c r="P286" i="7"/>
  <c r="Q286" i="7"/>
  <c r="R286" i="7"/>
  <c r="S286" i="7"/>
  <c r="T286" i="7"/>
  <c r="U286" i="7"/>
  <c r="V286" i="7"/>
  <c r="W286" i="7"/>
  <c r="M298" i="7"/>
  <c r="N298" i="7"/>
  <c r="O298" i="7"/>
  <c r="P298" i="7"/>
  <c r="Q298" i="7"/>
  <c r="R298" i="7"/>
  <c r="S298" i="7"/>
  <c r="T298" i="7"/>
  <c r="U298" i="7"/>
  <c r="V298" i="7"/>
  <c r="W298" i="7"/>
  <c r="M310" i="7"/>
  <c r="N310" i="7"/>
  <c r="O310" i="7"/>
  <c r="P310" i="7"/>
  <c r="Q310" i="7"/>
  <c r="R310" i="7"/>
  <c r="S310" i="7"/>
  <c r="T310" i="7"/>
  <c r="U310" i="7"/>
  <c r="V310" i="7"/>
  <c r="W310" i="7"/>
  <c r="M322" i="7"/>
  <c r="N322" i="7"/>
  <c r="O322" i="7"/>
  <c r="P322" i="7"/>
  <c r="Q322" i="7"/>
  <c r="R322" i="7"/>
  <c r="S322" i="7"/>
  <c r="T322" i="7"/>
  <c r="U322" i="7"/>
  <c r="V322" i="7"/>
  <c r="W322" i="7"/>
  <c r="M334" i="7"/>
  <c r="N334" i="7"/>
  <c r="O334" i="7"/>
  <c r="P334" i="7"/>
  <c r="Q334" i="7"/>
  <c r="R334" i="7"/>
  <c r="S334" i="7"/>
  <c r="T334" i="7"/>
  <c r="U334" i="7"/>
  <c r="V334" i="7"/>
  <c r="W334" i="7"/>
  <c r="M346" i="7"/>
  <c r="N346" i="7"/>
  <c r="O346" i="7"/>
  <c r="P346" i="7"/>
  <c r="Q346" i="7"/>
  <c r="R346" i="7"/>
  <c r="S346" i="7"/>
  <c r="T346" i="7"/>
  <c r="U346" i="7"/>
  <c r="V346" i="7"/>
  <c r="W346" i="7"/>
  <c r="M358" i="7"/>
  <c r="N358" i="7"/>
  <c r="O358" i="7"/>
  <c r="P358" i="7"/>
  <c r="Q358" i="7"/>
  <c r="R358" i="7"/>
  <c r="S358" i="7"/>
  <c r="T358" i="7"/>
  <c r="U358" i="7"/>
  <c r="V358" i="7"/>
  <c r="W358" i="7"/>
  <c r="M370" i="7"/>
  <c r="N370" i="7"/>
  <c r="O370" i="7"/>
  <c r="P370" i="7"/>
  <c r="Q370" i="7"/>
  <c r="R370" i="7"/>
  <c r="S370" i="7"/>
  <c r="T370" i="7"/>
  <c r="U370" i="7"/>
  <c r="V370" i="7"/>
  <c r="W370" i="7"/>
  <c r="M382" i="7"/>
  <c r="N382" i="7"/>
  <c r="O382" i="7"/>
  <c r="P382" i="7"/>
  <c r="Q382" i="7"/>
  <c r="R382" i="7"/>
  <c r="S382" i="7"/>
  <c r="T382" i="7"/>
  <c r="U382" i="7"/>
  <c r="V382" i="7"/>
  <c r="W382" i="7"/>
  <c r="M394" i="7"/>
  <c r="N394" i="7"/>
  <c r="O394" i="7"/>
  <c r="P394" i="7"/>
  <c r="Q394" i="7"/>
  <c r="R394" i="7"/>
  <c r="S394" i="7"/>
  <c r="T394" i="7"/>
  <c r="U394" i="7"/>
  <c r="V394" i="7"/>
  <c r="W394" i="7"/>
  <c r="M406" i="7"/>
  <c r="N406" i="7"/>
  <c r="O406" i="7"/>
  <c r="P406" i="7"/>
  <c r="Q406" i="7"/>
  <c r="R406" i="7"/>
  <c r="S406" i="7"/>
  <c r="T406" i="7"/>
  <c r="U406" i="7"/>
  <c r="V406" i="7"/>
  <c r="W406" i="7"/>
  <c r="M418" i="7"/>
  <c r="N418" i="7"/>
  <c r="O418" i="7"/>
  <c r="P418" i="7"/>
  <c r="Q418" i="7"/>
  <c r="R418" i="7"/>
  <c r="S418" i="7"/>
  <c r="T418" i="7"/>
  <c r="U418" i="7"/>
  <c r="V418" i="7"/>
  <c r="W418" i="7"/>
  <c r="M430" i="7"/>
  <c r="N430" i="7"/>
  <c r="O430" i="7"/>
  <c r="P430" i="7"/>
  <c r="Q430" i="7"/>
  <c r="R430" i="7"/>
  <c r="S430" i="7"/>
  <c r="T430" i="7"/>
  <c r="U430" i="7"/>
  <c r="V430" i="7"/>
  <c r="W430" i="7"/>
  <c r="M442" i="7"/>
  <c r="N442" i="7"/>
  <c r="O442" i="7"/>
  <c r="P442" i="7"/>
  <c r="Q442" i="7"/>
  <c r="R442" i="7"/>
  <c r="S442" i="7"/>
  <c r="T442" i="7"/>
  <c r="U442" i="7"/>
  <c r="V442" i="7"/>
  <c r="W442" i="7"/>
  <c r="M454" i="7"/>
  <c r="N454" i="7"/>
  <c r="O454" i="7"/>
  <c r="P454" i="7"/>
  <c r="Q454" i="7"/>
  <c r="R454" i="7"/>
  <c r="S454" i="7"/>
  <c r="T454" i="7"/>
  <c r="U454" i="7"/>
  <c r="V454" i="7"/>
  <c r="W454" i="7"/>
  <c r="M466" i="7"/>
  <c r="N466" i="7"/>
  <c r="O466" i="7"/>
  <c r="P466" i="7"/>
  <c r="Q466" i="7"/>
  <c r="R466" i="7"/>
  <c r="S466" i="7"/>
  <c r="T466" i="7"/>
  <c r="U466" i="7"/>
  <c r="V466" i="7"/>
  <c r="W466" i="7"/>
  <c r="M478" i="7"/>
  <c r="N478" i="7"/>
  <c r="O478" i="7"/>
  <c r="P478" i="7"/>
  <c r="Q478" i="7"/>
  <c r="R478" i="7"/>
  <c r="S478" i="7"/>
  <c r="T478" i="7"/>
  <c r="U478" i="7"/>
  <c r="V478" i="7"/>
  <c r="W478" i="7"/>
  <c r="M490" i="7"/>
  <c r="N490" i="7"/>
  <c r="O490" i="7"/>
  <c r="P490" i="7"/>
  <c r="Q490" i="7"/>
  <c r="R490" i="7"/>
  <c r="S490" i="7"/>
  <c r="T490" i="7"/>
  <c r="U490" i="7"/>
  <c r="V490" i="7"/>
  <c r="W490" i="7"/>
  <c r="M550" i="7"/>
  <c r="N550" i="7"/>
  <c r="O550" i="7"/>
  <c r="P550" i="7"/>
  <c r="Q550" i="7"/>
  <c r="R550" i="7"/>
  <c r="S550" i="7"/>
  <c r="T550" i="7"/>
  <c r="U550" i="7"/>
  <c r="V550" i="7"/>
  <c r="W550" i="7"/>
  <c r="M562" i="7"/>
  <c r="N562" i="7"/>
  <c r="O562" i="7"/>
  <c r="P562" i="7"/>
  <c r="Q562" i="7"/>
  <c r="R562" i="7"/>
  <c r="S562" i="7"/>
  <c r="T562" i="7"/>
  <c r="U562" i="7"/>
  <c r="V562" i="7"/>
  <c r="W562" i="7"/>
  <c r="M574" i="7"/>
  <c r="N574" i="7"/>
  <c r="O574" i="7"/>
  <c r="P574" i="7"/>
  <c r="Q574" i="7"/>
  <c r="R574" i="7"/>
  <c r="S574" i="7"/>
  <c r="T574" i="7"/>
  <c r="U574" i="7"/>
  <c r="V574" i="7"/>
  <c r="W574" i="7"/>
  <c r="M586" i="7"/>
  <c r="N586" i="7"/>
  <c r="O586" i="7"/>
  <c r="P586" i="7"/>
  <c r="Q586" i="7"/>
  <c r="R586" i="7"/>
  <c r="S586" i="7"/>
  <c r="T586" i="7"/>
  <c r="U586" i="7"/>
  <c r="V586" i="7"/>
  <c r="W586" i="7"/>
  <c r="M598" i="7"/>
  <c r="N598" i="7"/>
  <c r="O598" i="7"/>
  <c r="P598" i="7"/>
  <c r="Q598" i="7"/>
  <c r="R598" i="7"/>
  <c r="S598" i="7"/>
  <c r="T598" i="7"/>
  <c r="U598" i="7"/>
  <c r="V598" i="7"/>
  <c r="W598" i="7"/>
  <c r="M11" i="7"/>
  <c r="N11" i="7"/>
  <c r="O11" i="7"/>
  <c r="P11" i="7"/>
  <c r="Q11" i="7"/>
  <c r="R11" i="7"/>
  <c r="S11" i="7"/>
  <c r="T11" i="7"/>
  <c r="U11" i="7"/>
  <c r="V11" i="7"/>
  <c r="W11" i="7"/>
  <c r="M23" i="7"/>
  <c r="N23" i="7"/>
  <c r="O23" i="7"/>
  <c r="P23" i="7"/>
  <c r="Q23" i="7"/>
  <c r="R23" i="7"/>
  <c r="S23" i="7"/>
  <c r="T23" i="7"/>
  <c r="U23" i="7"/>
  <c r="V23" i="7"/>
  <c r="W23" i="7"/>
  <c r="M35" i="7"/>
  <c r="N35" i="7"/>
  <c r="O35" i="7"/>
  <c r="P35" i="7"/>
  <c r="Q35" i="7"/>
  <c r="R35" i="7"/>
  <c r="S35" i="7"/>
  <c r="T35" i="7"/>
  <c r="U35" i="7"/>
  <c r="V35" i="7"/>
  <c r="W35" i="7"/>
  <c r="M47" i="7"/>
  <c r="N47" i="7"/>
  <c r="O47" i="7"/>
  <c r="P47" i="7"/>
  <c r="Q47" i="7"/>
  <c r="R47" i="7"/>
  <c r="S47" i="7"/>
  <c r="T47" i="7"/>
  <c r="U47" i="7"/>
  <c r="V47" i="7"/>
  <c r="W47" i="7"/>
  <c r="M59" i="7"/>
  <c r="N59" i="7"/>
  <c r="O59" i="7"/>
  <c r="P59" i="7"/>
  <c r="Q59" i="7"/>
  <c r="R59" i="7"/>
  <c r="S59" i="7"/>
  <c r="T59" i="7"/>
  <c r="U59" i="7"/>
  <c r="V59" i="7"/>
  <c r="W59" i="7"/>
  <c r="M71" i="7"/>
  <c r="N71" i="7"/>
  <c r="O71" i="7"/>
  <c r="P71" i="7"/>
  <c r="Q71" i="7"/>
  <c r="R71" i="7"/>
  <c r="S71" i="7"/>
  <c r="T71" i="7"/>
  <c r="U71" i="7"/>
  <c r="V71" i="7"/>
  <c r="W71" i="7"/>
  <c r="M83" i="7"/>
  <c r="N83" i="7"/>
  <c r="O83" i="7"/>
  <c r="P83" i="7"/>
  <c r="Q83" i="7"/>
  <c r="R83" i="7"/>
  <c r="S83" i="7"/>
  <c r="T83" i="7"/>
  <c r="U83" i="7"/>
  <c r="V83" i="7"/>
  <c r="W83" i="7"/>
  <c r="M95" i="7"/>
  <c r="N95" i="7"/>
  <c r="O95" i="7"/>
  <c r="P95" i="7"/>
  <c r="Q95" i="7"/>
  <c r="R95" i="7"/>
  <c r="S95" i="7"/>
  <c r="T95" i="7"/>
  <c r="U95" i="7"/>
  <c r="V95" i="7"/>
  <c r="W95" i="7"/>
  <c r="M107" i="7"/>
  <c r="N107" i="7"/>
  <c r="O107" i="7"/>
  <c r="P107" i="7"/>
  <c r="Q107" i="7"/>
  <c r="R107" i="7"/>
  <c r="S107" i="7"/>
  <c r="T107" i="7"/>
  <c r="U107" i="7"/>
  <c r="V107" i="7"/>
  <c r="W107" i="7"/>
  <c r="M119" i="7"/>
  <c r="N119" i="7"/>
  <c r="O119" i="7"/>
  <c r="P119" i="7"/>
  <c r="Q119" i="7"/>
  <c r="R119" i="7"/>
  <c r="S119" i="7"/>
  <c r="T119" i="7"/>
  <c r="U119" i="7"/>
  <c r="V119" i="7"/>
  <c r="W119" i="7"/>
  <c r="M131" i="7"/>
  <c r="N131" i="7"/>
  <c r="O131" i="7"/>
  <c r="P131" i="7"/>
  <c r="Q131" i="7"/>
  <c r="R131" i="7"/>
  <c r="S131" i="7"/>
  <c r="T131" i="7"/>
  <c r="U131" i="7"/>
  <c r="V131" i="7"/>
  <c r="W131" i="7"/>
  <c r="M143" i="7"/>
  <c r="N143" i="7"/>
  <c r="O143" i="7"/>
  <c r="P143" i="7"/>
  <c r="Q143" i="7"/>
  <c r="R143" i="7"/>
  <c r="S143" i="7"/>
  <c r="T143" i="7"/>
  <c r="U143" i="7"/>
  <c r="V143" i="7"/>
  <c r="W143" i="7"/>
  <c r="M155" i="7"/>
  <c r="N155" i="7"/>
  <c r="O155" i="7"/>
  <c r="P155" i="7"/>
  <c r="Q155" i="7"/>
  <c r="R155" i="7"/>
  <c r="S155" i="7"/>
  <c r="T155" i="7"/>
  <c r="U155" i="7"/>
  <c r="V155" i="7"/>
  <c r="W155" i="7"/>
  <c r="M167" i="7"/>
  <c r="N167" i="7"/>
  <c r="O167" i="7"/>
  <c r="P167" i="7"/>
  <c r="Q167" i="7"/>
  <c r="R167" i="7"/>
  <c r="S167" i="7"/>
  <c r="T167" i="7"/>
  <c r="U167" i="7"/>
  <c r="V167" i="7"/>
  <c r="W167" i="7"/>
  <c r="M179" i="7"/>
  <c r="N179" i="7"/>
  <c r="O179" i="7"/>
  <c r="P179" i="7"/>
  <c r="Q179" i="7"/>
  <c r="R179" i="7"/>
  <c r="S179" i="7"/>
  <c r="T179" i="7"/>
  <c r="U179" i="7"/>
  <c r="V179" i="7"/>
  <c r="W179" i="7"/>
  <c r="M191" i="7"/>
  <c r="N191" i="7"/>
  <c r="O191" i="7"/>
  <c r="P191" i="7"/>
  <c r="Q191" i="7"/>
  <c r="R191" i="7"/>
  <c r="S191" i="7"/>
  <c r="T191" i="7"/>
  <c r="U191" i="7"/>
  <c r="V191" i="7"/>
  <c r="W191" i="7"/>
  <c r="M203" i="7"/>
  <c r="N203" i="7"/>
  <c r="O203" i="7"/>
  <c r="P203" i="7"/>
  <c r="Q203" i="7"/>
  <c r="R203" i="7"/>
  <c r="S203" i="7"/>
  <c r="T203" i="7"/>
  <c r="U203" i="7"/>
  <c r="V203" i="7"/>
  <c r="W203" i="7"/>
  <c r="M215" i="7"/>
  <c r="N215" i="7"/>
  <c r="O215" i="7"/>
  <c r="P215" i="7"/>
  <c r="Q215" i="7"/>
  <c r="R215" i="7"/>
  <c r="S215" i="7"/>
  <c r="T215" i="7"/>
  <c r="U215" i="7"/>
  <c r="V215" i="7"/>
  <c r="W215" i="7"/>
  <c r="M227" i="7"/>
  <c r="N227" i="7"/>
  <c r="O227" i="7"/>
  <c r="P227" i="7"/>
  <c r="Q227" i="7"/>
  <c r="R227" i="7"/>
  <c r="S227" i="7"/>
  <c r="T227" i="7"/>
  <c r="U227" i="7"/>
  <c r="V227" i="7"/>
  <c r="W227" i="7"/>
  <c r="M239" i="7"/>
  <c r="N239" i="7"/>
  <c r="O239" i="7"/>
  <c r="P239" i="7"/>
  <c r="Q239" i="7"/>
  <c r="R239" i="7"/>
  <c r="S239" i="7"/>
  <c r="T239" i="7"/>
  <c r="U239" i="7"/>
  <c r="V239" i="7"/>
  <c r="W239" i="7"/>
  <c r="M251" i="7"/>
  <c r="N251" i="7"/>
  <c r="O251" i="7"/>
  <c r="P251" i="7"/>
  <c r="Q251" i="7"/>
  <c r="R251" i="7"/>
  <c r="S251" i="7"/>
  <c r="T251" i="7"/>
  <c r="U251" i="7"/>
  <c r="V251" i="7"/>
  <c r="W251" i="7"/>
  <c r="M263" i="7"/>
  <c r="N263" i="7"/>
  <c r="O263" i="7"/>
  <c r="P263" i="7"/>
  <c r="Q263" i="7"/>
  <c r="R263" i="7"/>
  <c r="S263" i="7"/>
  <c r="T263" i="7"/>
  <c r="U263" i="7"/>
  <c r="V263" i="7"/>
  <c r="W263" i="7"/>
  <c r="M275" i="7"/>
  <c r="N275" i="7"/>
  <c r="O275" i="7"/>
  <c r="P275" i="7"/>
  <c r="Q275" i="7"/>
  <c r="R275" i="7"/>
  <c r="S275" i="7"/>
  <c r="T275" i="7"/>
  <c r="U275" i="7"/>
  <c r="V275" i="7"/>
  <c r="W275" i="7"/>
  <c r="M287" i="7"/>
  <c r="N287" i="7"/>
  <c r="O287" i="7"/>
  <c r="P287" i="7"/>
  <c r="Q287" i="7"/>
  <c r="R287" i="7"/>
  <c r="S287" i="7"/>
  <c r="T287" i="7"/>
  <c r="U287" i="7"/>
  <c r="V287" i="7"/>
  <c r="W287" i="7"/>
  <c r="M299" i="7"/>
  <c r="N299" i="7"/>
  <c r="O299" i="7"/>
  <c r="P299" i="7"/>
  <c r="Q299" i="7"/>
  <c r="R299" i="7"/>
  <c r="S299" i="7"/>
  <c r="T299" i="7"/>
  <c r="U299" i="7"/>
  <c r="V299" i="7"/>
  <c r="W299" i="7"/>
  <c r="M311" i="7"/>
  <c r="N311" i="7"/>
  <c r="O311" i="7"/>
  <c r="P311" i="7"/>
  <c r="Q311" i="7"/>
  <c r="R311" i="7"/>
  <c r="S311" i="7"/>
  <c r="T311" i="7"/>
  <c r="U311" i="7"/>
  <c r="V311" i="7"/>
  <c r="W311" i="7"/>
  <c r="M323" i="7"/>
  <c r="N323" i="7"/>
  <c r="O323" i="7"/>
  <c r="P323" i="7"/>
  <c r="Q323" i="7"/>
  <c r="R323" i="7"/>
  <c r="S323" i="7"/>
  <c r="T323" i="7"/>
  <c r="U323" i="7"/>
  <c r="V323" i="7"/>
  <c r="W323" i="7"/>
  <c r="M335" i="7"/>
  <c r="N335" i="7"/>
  <c r="O335" i="7"/>
  <c r="P335" i="7"/>
  <c r="Q335" i="7"/>
  <c r="R335" i="7"/>
  <c r="S335" i="7"/>
  <c r="T335" i="7"/>
  <c r="U335" i="7"/>
  <c r="V335" i="7"/>
  <c r="W335" i="7"/>
  <c r="M347" i="7"/>
  <c r="N347" i="7"/>
  <c r="O347" i="7"/>
  <c r="P347" i="7"/>
  <c r="Q347" i="7"/>
  <c r="R347" i="7"/>
  <c r="S347" i="7"/>
  <c r="T347" i="7"/>
  <c r="U347" i="7"/>
  <c r="V347" i="7"/>
  <c r="W347" i="7"/>
  <c r="M359" i="7"/>
  <c r="N359" i="7"/>
  <c r="O359" i="7"/>
  <c r="P359" i="7"/>
  <c r="Q359" i="7"/>
  <c r="R359" i="7"/>
  <c r="S359" i="7"/>
  <c r="T359" i="7"/>
  <c r="U359" i="7"/>
  <c r="V359" i="7"/>
  <c r="W359" i="7"/>
  <c r="M371" i="7"/>
  <c r="N371" i="7"/>
  <c r="O371" i="7"/>
  <c r="P371" i="7"/>
  <c r="Q371" i="7"/>
  <c r="R371" i="7"/>
  <c r="S371" i="7"/>
  <c r="T371" i="7"/>
  <c r="U371" i="7"/>
  <c r="V371" i="7"/>
  <c r="W371" i="7"/>
  <c r="M383" i="7"/>
  <c r="N383" i="7"/>
  <c r="O383" i="7"/>
  <c r="P383" i="7"/>
  <c r="Q383" i="7"/>
  <c r="R383" i="7"/>
  <c r="S383" i="7"/>
  <c r="T383" i="7"/>
  <c r="U383" i="7"/>
  <c r="V383" i="7"/>
  <c r="W383" i="7"/>
  <c r="M395" i="7"/>
  <c r="N395" i="7"/>
  <c r="O395" i="7"/>
  <c r="P395" i="7"/>
  <c r="Q395" i="7"/>
  <c r="R395" i="7"/>
  <c r="S395" i="7"/>
  <c r="T395" i="7"/>
  <c r="U395" i="7"/>
  <c r="V395" i="7"/>
  <c r="W395" i="7"/>
  <c r="M407" i="7"/>
  <c r="N407" i="7"/>
  <c r="O407" i="7"/>
  <c r="P407" i="7"/>
  <c r="Q407" i="7"/>
  <c r="R407" i="7"/>
  <c r="S407" i="7"/>
  <c r="T407" i="7"/>
  <c r="U407" i="7"/>
  <c r="V407" i="7"/>
  <c r="W407" i="7"/>
  <c r="M419" i="7"/>
  <c r="N419" i="7"/>
  <c r="O419" i="7"/>
  <c r="P419" i="7"/>
  <c r="Q419" i="7"/>
  <c r="R419" i="7"/>
  <c r="S419" i="7"/>
  <c r="T419" i="7"/>
  <c r="U419" i="7"/>
  <c r="V419" i="7"/>
  <c r="W419" i="7"/>
  <c r="M431" i="7"/>
  <c r="N431" i="7"/>
  <c r="O431" i="7"/>
  <c r="P431" i="7"/>
  <c r="Q431" i="7"/>
  <c r="R431" i="7"/>
  <c r="S431" i="7"/>
  <c r="T431" i="7"/>
  <c r="U431" i="7"/>
  <c r="V431" i="7"/>
  <c r="W431" i="7"/>
  <c r="M443" i="7"/>
  <c r="N443" i="7"/>
  <c r="O443" i="7"/>
  <c r="P443" i="7"/>
  <c r="Q443" i="7"/>
  <c r="R443" i="7"/>
  <c r="S443" i="7"/>
  <c r="T443" i="7"/>
  <c r="U443" i="7"/>
  <c r="V443" i="7"/>
  <c r="W443" i="7"/>
  <c r="M455" i="7"/>
  <c r="N455" i="7"/>
  <c r="O455" i="7"/>
  <c r="P455" i="7"/>
  <c r="Q455" i="7"/>
  <c r="R455" i="7"/>
  <c r="S455" i="7"/>
  <c r="T455" i="7"/>
  <c r="U455" i="7"/>
  <c r="V455" i="7"/>
  <c r="W455" i="7"/>
  <c r="M467" i="7"/>
  <c r="N467" i="7"/>
  <c r="O467" i="7"/>
  <c r="P467" i="7"/>
  <c r="Q467" i="7"/>
  <c r="R467" i="7"/>
  <c r="S467" i="7"/>
  <c r="T467" i="7"/>
  <c r="U467" i="7"/>
  <c r="V467" i="7"/>
  <c r="W467" i="7"/>
  <c r="M479" i="7"/>
  <c r="N479" i="7"/>
  <c r="O479" i="7"/>
  <c r="P479" i="7"/>
  <c r="Q479" i="7"/>
  <c r="R479" i="7"/>
  <c r="S479" i="7"/>
  <c r="T479" i="7"/>
  <c r="U479" i="7"/>
  <c r="V479" i="7"/>
  <c r="W479" i="7"/>
  <c r="M491" i="7"/>
  <c r="N491" i="7"/>
  <c r="O491" i="7"/>
  <c r="P491" i="7"/>
  <c r="Q491" i="7"/>
  <c r="R491" i="7"/>
  <c r="S491" i="7"/>
  <c r="T491" i="7"/>
  <c r="U491" i="7"/>
  <c r="V491" i="7"/>
  <c r="W491" i="7"/>
  <c r="M503" i="7"/>
  <c r="N503" i="7"/>
  <c r="O503" i="7"/>
  <c r="P503" i="7"/>
  <c r="Q503" i="7"/>
  <c r="R503" i="7"/>
  <c r="S503" i="7"/>
  <c r="T503" i="7"/>
  <c r="U503" i="7"/>
  <c r="V503" i="7"/>
  <c r="W503" i="7"/>
  <c r="M515" i="7"/>
  <c r="N515" i="7"/>
  <c r="O515" i="7"/>
  <c r="P515" i="7"/>
  <c r="Q515" i="7"/>
  <c r="R515" i="7"/>
  <c r="S515" i="7"/>
  <c r="T515" i="7"/>
  <c r="U515" i="7"/>
  <c r="V515" i="7"/>
  <c r="W515" i="7"/>
  <c r="M527" i="7"/>
  <c r="N527" i="7"/>
  <c r="O527" i="7"/>
  <c r="P527" i="7"/>
  <c r="Q527" i="7"/>
  <c r="R527" i="7"/>
  <c r="S527" i="7"/>
  <c r="T527" i="7"/>
  <c r="U527" i="7"/>
  <c r="V527" i="7"/>
  <c r="W527" i="7"/>
  <c r="M539" i="7"/>
  <c r="N539" i="7"/>
  <c r="O539" i="7"/>
  <c r="P539" i="7"/>
  <c r="Q539" i="7"/>
  <c r="R539" i="7"/>
  <c r="S539" i="7"/>
  <c r="T539" i="7"/>
  <c r="U539" i="7"/>
  <c r="V539" i="7"/>
  <c r="W539" i="7"/>
  <c r="M551" i="7"/>
  <c r="N551" i="7"/>
  <c r="O551" i="7"/>
  <c r="P551" i="7"/>
  <c r="Q551" i="7"/>
  <c r="R551" i="7"/>
  <c r="S551" i="7"/>
  <c r="T551" i="7"/>
  <c r="U551" i="7"/>
  <c r="V551" i="7"/>
  <c r="W551" i="7"/>
  <c r="M563" i="7"/>
  <c r="N563" i="7"/>
  <c r="O563" i="7"/>
  <c r="P563" i="7"/>
  <c r="Q563" i="7"/>
  <c r="R563" i="7"/>
  <c r="S563" i="7"/>
  <c r="T563" i="7"/>
  <c r="U563" i="7"/>
  <c r="V563" i="7"/>
  <c r="W563" i="7"/>
  <c r="M575" i="7"/>
  <c r="N575" i="7"/>
  <c r="O575" i="7"/>
  <c r="P575" i="7"/>
  <c r="Q575" i="7"/>
  <c r="R575" i="7"/>
  <c r="S575" i="7"/>
  <c r="T575" i="7"/>
  <c r="U575" i="7"/>
  <c r="V575" i="7"/>
  <c r="W575" i="7"/>
  <c r="M587" i="7"/>
  <c r="N587" i="7"/>
  <c r="O587" i="7"/>
  <c r="P587" i="7"/>
  <c r="Q587" i="7"/>
  <c r="R587" i="7"/>
  <c r="S587" i="7"/>
  <c r="T587" i="7"/>
  <c r="U587" i="7"/>
  <c r="V587" i="7"/>
  <c r="W587" i="7"/>
  <c r="M599" i="7"/>
  <c r="N599" i="7"/>
  <c r="O599" i="7"/>
  <c r="P599" i="7"/>
  <c r="Q599" i="7"/>
  <c r="R599" i="7"/>
  <c r="S599" i="7"/>
  <c r="T599" i="7"/>
  <c r="U599" i="7"/>
  <c r="V599" i="7"/>
  <c r="W599" i="7"/>
  <c r="M611" i="7"/>
  <c r="N611" i="7"/>
  <c r="O611" i="7"/>
  <c r="P611" i="7"/>
  <c r="Q611" i="7"/>
  <c r="R611" i="7"/>
  <c r="S611" i="7"/>
  <c r="T611" i="7"/>
  <c r="U611" i="7"/>
  <c r="V611" i="7"/>
  <c r="W611" i="7"/>
  <c r="M623" i="7"/>
  <c r="N623" i="7"/>
  <c r="O623" i="7"/>
  <c r="P623" i="7"/>
  <c r="Q623" i="7"/>
  <c r="R623" i="7"/>
  <c r="S623" i="7"/>
  <c r="T623" i="7"/>
  <c r="U623" i="7"/>
  <c r="V623" i="7"/>
  <c r="W623" i="7"/>
  <c r="M635" i="7"/>
  <c r="N635" i="7"/>
  <c r="O635" i="7"/>
  <c r="P635" i="7"/>
  <c r="Q635" i="7"/>
  <c r="R635" i="7"/>
  <c r="S635" i="7"/>
  <c r="T635" i="7"/>
  <c r="U635" i="7"/>
  <c r="V635" i="7"/>
  <c r="W635" i="7"/>
  <c r="M647" i="7"/>
  <c r="N647" i="7"/>
  <c r="O647" i="7"/>
  <c r="P647" i="7"/>
  <c r="Q647" i="7"/>
  <c r="R647" i="7"/>
  <c r="S647" i="7"/>
  <c r="T647" i="7"/>
  <c r="U647" i="7"/>
  <c r="V647" i="7"/>
  <c r="W647" i="7"/>
  <c r="M659" i="7"/>
  <c r="N659" i="7"/>
  <c r="O659" i="7"/>
  <c r="P659" i="7"/>
  <c r="Q659" i="7"/>
  <c r="R659" i="7"/>
  <c r="S659" i="7"/>
  <c r="T659" i="7"/>
  <c r="U659" i="7"/>
  <c r="V659" i="7"/>
  <c r="W659" i="7"/>
  <c r="M671" i="7"/>
  <c r="N671" i="7"/>
  <c r="O671" i="7"/>
  <c r="P671" i="7"/>
  <c r="Q671" i="7"/>
  <c r="R671" i="7"/>
  <c r="S671" i="7"/>
  <c r="T671" i="7"/>
  <c r="U671" i="7"/>
  <c r="V671" i="7"/>
  <c r="W671" i="7"/>
  <c r="M683" i="7"/>
  <c r="N683" i="7"/>
  <c r="O683" i="7"/>
  <c r="P683" i="7"/>
  <c r="Q683" i="7"/>
  <c r="R683" i="7"/>
  <c r="S683" i="7"/>
  <c r="T683" i="7"/>
  <c r="U683" i="7"/>
  <c r="V683" i="7"/>
  <c r="W683" i="7"/>
  <c r="M695" i="7"/>
  <c r="N695" i="7"/>
  <c r="O695" i="7"/>
  <c r="P695" i="7"/>
  <c r="Q695" i="7"/>
  <c r="R695" i="7"/>
  <c r="S695" i="7"/>
  <c r="T695" i="7"/>
  <c r="U695" i="7"/>
  <c r="V695" i="7"/>
  <c r="W695" i="7"/>
  <c r="M707" i="7"/>
  <c r="N707" i="7"/>
  <c r="O707" i="7"/>
  <c r="P707" i="7"/>
  <c r="Q707" i="7"/>
  <c r="R707" i="7"/>
  <c r="S707" i="7"/>
  <c r="T707" i="7"/>
  <c r="U707" i="7"/>
  <c r="V707" i="7"/>
  <c r="W707" i="7"/>
  <c r="M719" i="7"/>
  <c r="N719" i="7"/>
  <c r="O719" i="7"/>
  <c r="P719" i="7"/>
  <c r="Q719" i="7"/>
  <c r="R719" i="7"/>
  <c r="S719" i="7"/>
  <c r="T719" i="7"/>
  <c r="U719" i="7"/>
  <c r="V719" i="7"/>
  <c r="W719" i="7"/>
  <c r="M731" i="7"/>
  <c r="N731" i="7"/>
  <c r="O731" i="7"/>
  <c r="P731" i="7"/>
  <c r="Q731" i="7"/>
  <c r="R731" i="7"/>
  <c r="S731" i="7"/>
  <c r="T731" i="7"/>
  <c r="U731" i="7"/>
  <c r="V731" i="7"/>
  <c r="W731" i="7"/>
  <c r="M767" i="7"/>
  <c r="N767" i="7"/>
  <c r="O767" i="7"/>
  <c r="P767" i="7"/>
  <c r="Q767" i="7"/>
  <c r="R767" i="7"/>
  <c r="S767" i="7"/>
  <c r="T767" i="7"/>
  <c r="U767" i="7"/>
  <c r="V767" i="7"/>
  <c r="W767" i="7"/>
  <c r="M803" i="7"/>
  <c r="N803" i="7"/>
  <c r="O803" i="7"/>
  <c r="P803" i="7"/>
  <c r="Q803" i="7"/>
  <c r="R803" i="7"/>
  <c r="S803" i="7"/>
  <c r="T803" i="7"/>
  <c r="U803" i="7"/>
  <c r="V803" i="7"/>
  <c r="W803" i="7"/>
  <c r="M851" i="7"/>
  <c r="N851" i="7"/>
  <c r="O851" i="7"/>
  <c r="P851" i="7"/>
  <c r="Q851" i="7"/>
  <c r="R851" i="7"/>
  <c r="S851" i="7"/>
  <c r="T851" i="7"/>
  <c r="U851" i="7"/>
  <c r="V851" i="7"/>
  <c r="W851" i="7"/>
  <c r="M959" i="7"/>
  <c r="N959" i="7"/>
  <c r="O959" i="7"/>
  <c r="P959" i="7"/>
  <c r="Q959" i="7"/>
  <c r="R959" i="7"/>
  <c r="S959" i="7"/>
  <c r="T959" i="7"/>
  <c r="U959" i="7"/>
  <c r="V959" i="7"/>
  <c r="W959" i="7"/>
  <c r="M1019" i="7"/>
  <c r="N1019" i="7"/>
  <c r="O1019" i="7"/>
  <c r="P1019" i="7"/>
  <c r="Q1019" i="7"/>
  <c r="R1019" i="7"/>
  <c r="S1019" i="7"/>
  <c r="T1019" i="7"/>
  <c r="U1019" i="7"/>
  <c r="V1019" i="7"/>
  <c r="W1019" i="7"/>
  <c r="M1043" i="7"/>
  <c r="N1043" i="7"/>
  <c r="O1043" i="7"/>
  <c r="P1043" i="7"/>
  <c r="Q1043" i="7"/>
  <c r="R1043" i="7"/>
  <c r="S1043" i="7"/>
  <c r="T1043" i="7"/>
  <c r="U1043" i="7"/>
  <c r="V1043" i="7"/>
  <c r="W1043" i="7"/>
  <c r="M434" i="7"/>
  <c r="N434" i="7"/>
  <c r="O434" i="7"/>
  <c r="P434" i="7"/>
  <c r="Q434" i="7"/>
  <c r="R434" i="7"/>
  <c r="S434" i="7"/>
  <c r="T434" i="7"/>
  <c r="U434" i="7"/>
  <c r="V434" i="7"/>
  <c r="W434" i="7"/>
  <c r="M482" i="7"/>
  <c r="N482" i="7"/>
  <c r="O482" i="7"/>
  <c r="P482" i="7"/>
  <c r="Q482" i="7"/>
  <c r="R482" i="7"/>
  <c r="S482" i="7"/>
  <c r="T482" i="7"/>
  <c r="U482" i="7"/>
  <c r="V482" i="7"/>
  <c r="W482" i="7"/>
  <c r="M542" i="7"/>
  <c r="N542" i="7"/>
  <c r="O542" i="7"/>
  <c r="P542" i="7"/>
  <c r="Q542" i="7"/>
  <c r="R542" i="7"/>
  <c r="S542" i="7"/>
  <c r="T542" i="7"/>
  <c r="U542" i="7"/>
  <c r="V542" i="7"/>
  <c r="W542" i="7"/>
  <c r="M12" i="7"/>
  <c r="N12" i="7"/>
  <c r="O12" i="7"/>
  <c r="P12" i="7"/>
  <c r="Q12" i="7"/>
  <c r="R12" i="7"/>
  <c r="S12" i="7"/>
  <c r="T12" i="7"/>
  <c r="U12" i="7"/>
  <c r="V12" i="7"/>
  <c r="W12" i="7"/>
  <c r="M24" i="7"/>
  <c r="N24" i="7"/>
  <c r="O24" i="7"/>
  <c r="P24" i="7"/>
  <c r="Q24" i="7"/>
  <c r="R24" i="7"/>
  <c r="S24" i="7"/>
  <c r="T24" i="7"/>
  <c r="U24" i="7"/>
  <c r="V24" i="7"/>
  <c r="W24" i="7"/>
  <c r="M36" i="7"/>
  <c r="N36" i="7"/>
  <c r="O36" i="7"/>
  <c r="P36" i="7"/>
  <c r="Q36" i="7"/>
  <c r="R36" i="7"/>
  <c r="S36" i="7"/>
  <c r="T36" i="7"/>
  <c r="U36" i="7"/>
  <c r="V36" i="7"/>
  <c r="W36" i="7"/>
  <c r="M48" i="7"/>
  <c r="N48" i="7"/>
  <c r="O48" i="7"/>
  <c r="P48" i="7"/>
  <c r="Q48" i="7"/>
  <c r="R48" i="7"/>
  <c r="S48" i="7"/>
  <c r="T48" i="7"/>
  <c r="U48" i="7"/>
  <c r="V48" i="7"/>
  <c r="W48" i="7"/>
  <c r="M60" i="7"/>
  <c r="N60" i="7"/>
  <c r="O60" i="7"/>
  <c r="P60" i="7"/>
  <c r="Q60" i="7"/>
  <c r="R60" i="7"/>
  <c r="S60" i="7"/>
  <c r="T60" i="7"/>
  <c r="U60" i="7"/>
  <c r="V60" i="7"/>
  <c r="W60" i="7"/>
  <c r="M72" i="7"/>
  <c r="N72" i="7"/>
  <c r="O72" i="7"/>
  <c r="P72" i="7"/>
  <c r="Q72" i="7"/>
  <c r="R72" i="7"/>
  <c r="S72" i="7"/>
  <c r="T72" i="7"/>
  <c r="U72" i="7"/>
  <c r="V72" i="7"/>
  <c r="W72" i="7"/>
  <c r="M84" i="7"/>
  <c r="N84" i="7"/>
  <c r="O84" i="7"/>
  <c r="P84" i="7"/>
  <c r="Q84" i="7"/>
  <c r="R84" i="7"/>
  <c r="S84" i="7"/>
  <c r="T84" i="7"/>
  <c r="U84" i="7"/>
  <c r="V84" i="7"/>
  <c r="W84" i="7"/>
  <c r="M96" i="7"/>
  <c r="N96" i="7"/>
  <c r="O96" i="7"/>
  <c r="P96" i="7"/>
  <c r="Q96" i="7"/>
  <c r="R96" i="7"/>
  <c r="S96" i="7"/>
  <c r="T96" i="7"/>
  <c r="U96" i="7"/>
  <c r="V96" i="7"/>
  <c r="W96" i="7"/>
  <c r="M108" i="7"/>
  <c r="N108" i="7"/>
  <c r="O108" i="7"/>
  <c r="P108" i="7"/>
  <c r="Q108" i="7"/>
  <c r="R108" i="7"/>
  <c r="S108" i="7"/>
  <c r="T108" i="7"/>
  <c r="U108" i="7"/>
  <c r="V108" i="7"/>
  <c r="W108" i="7"/>
  <c r="M120" i="7"/>
  <c r="N120" i="7"/>
  <c r="O120" i="7"/>
  <c r="P120" i="7"/>
  <c r="Q120" i="7"/>
  <c r="R120" i="7"/>
  <c r="S120" i="7"/>
  <c r="T120" i="7"/>
  <c r="U120" i="7"/>
  <c r="V120" i="7"/>
  <c r="W120" i="7"/>
  <c r="M132" i="7"/>
  <c r="N132" i="7"/>
  <c r="O132" i="7"/>
  <c r="P132" i="7"/>
  <c r="Q132" i="7"/>
  <c r="R132" i="7"/>
  <c r="S132" i="7"/>
  <c r="T132" i="7"/>
  <c r="U132" i="7"/>
  <c r="V132" i="7"/>
  <c r="W132" i="7"/>
  <c r="M144" i="7"/>
  <c r="N144" i="7"/>
  <c r="O144" i="7"/>
  <c r="P144" i="7"/>
  <c r="Q144" i="7"/>
  <c r="R144" i="7"/>
  <c r="S144" i="7"/>
  <c r="T144" i="7"/>
  <c r="U144" i="7"/>
  <c r="V144" i="7"/>
  <c r="W144" i="7"/>
  <c r="M156" i="7"/>
  <c r="N156" i="7"/>
  <c r="O156" i="7"/>
  <c r="P156" i="7"/>
  <c r="Q156" i="7"/>
  <c r="R156" i="7"/>
  <c r="S156" i="7"/>
  <c r="T156" i="7"/>
  <c r="U156" i="7"/>
  <c r="V156" i="7"/>
  <c r="W156" i="7"/>
  <c r="M168" i="7"/>
  <c r="N168" i="7"/>
  <c r="O168" i="7"/>
  <c r="P168" i="7"/>
  <c r="Q168" i="7"/>
  <c r="R168" i="7"/>
  <c r="S168" i="7"/>
  <c r="T168" i="7"/>
  <c r="U168" i="7"/>
  <c r="V168" i="7"/>
  <c r="W168" i="7"/>
  <c r="M180" i="7"/>
  <c r="N180" i="7"/>
  <c r="O180" i="7"/>
  <c r="P180" i="7"/>
  <c r="Q180" i="7"/>
  <c r="R180" i="7"/>
  <c r="S180" i="7"/>
  <c r="T180" i="7"/>
  <c r="U180" i="7"/>
  <c r="V180" i="7"/>
  <c r="W180" i="7"/>
  <c r="M192" i="7"/>
  <c r="N192" i="7"/>
  <c r="O192" i="7"/>
  <c r="P192" i="7"/>
  <c r="Q192" i="7"/>
  <c r="R192" i="7"/>
  <c r="S192" i="7"/>
  <c r="T192" i="7"/>
  <c r="U192" i="7"/>
  <c r="V192" i="7"/>
  <c r="W192" i="7"/>
  <c r="M204" i="7"/>
  <c r="N204" i="7"/>
  <c r="O204" i="7"/>
  <c r="P204" i="7"/>
  <c r="Q204" i="7"/>
  <c r="R204" i="7"/>
  <c r="S204" i="7"/>
  <c r="T204" i="7"/>
  <c r="U204" i="7"/>
  <c r="V204" i="7"/>
  <c r="W204" i="7"/>
  <c r="M216" i="7"/>
  <c r="N216" i="7"/>
  <c r="O216" i="7"/>
  <c r="P216" i="7"/>
  <c r="Q216" i="7"/>
  <c r="R216" i="7"/>
  <c r="S216" i="7"/>
  <c r="T216" i="7"/>
  <c r="U216" i="7"/>
  <c r="V216" i="7"/>
  <c r="W216" i="7"/>
  <c r="M228" i="7"/>
  <c r="N228" i="7"/>
  <c r="O228" i="7"/>
  <c r="P228" i="7"/>
  <c r="Q228" i="7"/>
  <c r="R228" i="7"/>
  <c r="S228" i="7"/>
  <c r="T228" i="7"/>
  <c r="U228" i="7"/>
  <c r="V228" i="7"/>
  <c r="W228" i="7"/>
  <c r="M240" i="7"/>
  <c r="N240" i="7"/>
  <c r="O240" i="7"/>
  <c r="P240" i="7"/>
  <c r="Q240" i="7"/>
  <c r="R240" i="7"/>
  <c r="S240" i="7"/>
  <c r="T240" i="7"/>
  <c r="U240" i="7"/>
  <c r="V240" i="7"/>
  <c r="W240" i="7"/>
  <c r="M252" i="7"/>
  <c r="N252" i="7"/>
  <c r="O252" i="7"/>
  <c r="P252" i="7"/>
  <c r="Q252" i="7"/>
  <c r="R252" i="7"/>
  <c r="S252" i="7"/>
  <c r="T252" i="7"/>
  <c r="U252" i="7"/>
  <c r="V252" i="7"/>
  <c r="W252" i="7"/>
  <c r="M264" i="7"/>
  <c r="N264" i="7"/>
  <c r="O264" i="7"/>
  <c r="P264" i="7"/>
  <c r="Q264" i="7"/>
  <c r="R264" i="7"/>
  <c r="S264" i="7"/>
  <c r="T264" i="7"/>
  <c r="U264" i="7"/>
  <c r="V264" i="7"/>
  <c r="W264" i="7"/>
  <c r="M276" i="7"/>
  <c r="N276" i="7"/>
  <c r="O276" i="7"/>
  <c r="P276" i="7"/>
  <c r="Q276" i="7"/>
  <c r="R276" i="7"/>
  <c r="S276" i="7"/>
  <c r="T276" i="7"/>
  <c r="U276" i="7"/>
  <c r="V276" i="7"/>
  <c r="W276" i="7"/>
  <c r="M288" i="7"/>
  <c r="N288" i="7"/>
  <c r="O288" i="7"/>
  <c r="P288" i="7"/>
  <c r="Q288" i="7"/>
  <c r="R288" i="7"/>
  <c r="S288" i="7"/>
  <c r="T288" i="7"/>
  <c r="U288" i="7"/>
  <c r="V288" i="7"/>
  <c r="W288" i="7"/>
  <c r="M300" i="7"/>
  <c r="N300" i="7"/>
  <c r="O300" i="7"/>
  <c r="P300" i="7"/>
  <c r="Q300" i="7"/>
  <c r="R300" i="7"/>
  <c r="S300" i="7"/>
  <c r="T300" i="7"/>
  <c r="U300" i="7"/>
  <c r="V300" i="7"/>
  <c r="W300" i="7"/>
  <c r="M312" i="7"/>
  <c r="N312" i="7"/>
  <c r="O312" i="7"/>
  <c r="P312" i="7"/>
  <c r="Q312" i="7"/>
  <c r="R312" i="7"/>
  <c r="S312" i="7"/>
  <c r="T312" i="7"/>
  <c r="U312" i="7"/>
  <c r="V312" i="7"/>
  <c r="W312" i="7"/>
  <c r="M324" i="7"/>
  <c r="N324" i="7"/>
  <c r="O324" i="7"/>
  <c r="P324" i="7"/>
  <c r="Q324" i="7"/>
  <c r="R324" i="7"/>
  <c r="S324" i="7"/>
  <c r="T324" i="7"/>
  <c r="U324" i="7"/>
  <c r="V324" i="7"/>
  <c r="W324" i="7"/>
  <c r="M336" i="7"/>
  <c r="N336" i="7"/>
  <c r="O336" i="7"/>
  <c r="P336" i="7"/>
  <c r="Q336" i="7"/>
  <c r="R336" i="7"/>
  <c r="S336" i="7"/>
  <c r="T336" i="7"/>
  <c r="U336" i="7"/>
  <c r="V336" i="7"/>
  <c r="W336" i="7"/>
  <c r="M348" i="7"/>
  <c r="N348" i="7"/>
  <c r="O348" i="7"/>
  <c r="P348" i="7"/>
  <c r="Q348" i="7"/>
  <c r="R348" i="7"/>
  <c r="S348" i="7"/>
  <c r="T348" i="7"/>
  <c r="U348" i="7"/>
  <c r="V348" i="7"/>
  <c r="W348" i="7"/>
  <c r="M360" i="7"/>
  <c r="N360" i="7"/>
  <c r="O360" i="7"/>
  <c r="P360" i="7"/>
  <c r="Q360" i="7"/>
  <c r="R360" i="7"/>
  <c r="S360" i="7"/>
  <c r="T360" i="7"/>
  <c r="U360" i="7"/>
  <c r="V360" i="7"/>
  <c r="W360" i="7"/>
  <c r="M372" i="7"/>
  <c r="N372" i="7"/>
  <c r="O372" i="7"/>
  <c r="P372" i="7"/>
  <c r="Q372" i="7"/>
  <c r="R372" i="7"/>
  <c r="S372" i="7"/>
  <c r="T372" i="7"/>
  <c r="U372" i="7"/>
  <c r="V372" i="7"/>
  <c r="W372" i="7"/>
  <c r="M384" i="7"/>
  <c r="N384" i="7"/>
  <c r="O384" i="7"/>
  <c r="P384" i="7"/>
  <c r="Q384" i="7"/>
  <c r="R384" i="7"/>
  <c r="S384" i="7"/>
  <c r="T384" i="7"/>
  <c r="U384" i="7"/>
  <c r="V384" i="7"/>
  <c r="W384" i="7"/>
  <c r="M396" i="7"/>
  <c r="N396" i="7"/>
  <c r="O396" i="7"/>
  <c r="P396" i="7"/>
  <c r="Q396" i="7"/>
  <c r="R396" i="7"/>
  <c r="S396" i="7"/>
  <c r="T396" i="7"/>
  <c r="U396" i="7"/>
  <c r="V396" i="7"/>
  <c r="W396" i="7"/>
  <c r="M408" i="7"/>
  <c r="N408" i="7"/>
  <c r="O408" i="7"/>
  <c r="P408" i="7"/>
  <c r="Q408" i="7"/>
  <c r="R408" i="7"/>
  <c r="S408" i="7"/>
  <c r="T408" i="7"/>
  <c r="U408" i="7"/>
  <c r="V408" i="7"/>
  <c r="W408" i="7"/>
  <c r="M420" i="7"/>
  <c r="N420" i="7"/>
  <c r="O420" i="7"/>
  <c r="P420" i="7"/>
  <c r="Q420" i="7"/>
  <c r="R420" i="7"/>
  <c r="S420" i="7"/>
  <c r="T420" i="7"/>
  <c r="U420" i="7"/>
  <c r="V420" i="7"/>
  <c r="W420" i="7"/>
  <c r="M432" i="7"/>
  <c r="N432" i="7"/>
  <c r="O432" i="7"/>
  <c r="P432" i="7"/>
  <c r="Q432" i="7"/>
  <c r="R432" i="7"/>
  <c r="S432" i="7"/>
  <c r="T432" i="7"/>
  <c r="U432" i="7"/>
  <c r="V432" i="7"/>
  <c r="W432" i="7"/>
  <c r="M444" i="7"/>
  <c r="N444" i="7"/>
  <c r="O444" i="7"/>
  <c r="P444" i="7"/>
  <c r="Q444" i="7"/>
  <c r="R444" i="7"/>
  <c r="S444" i="7"/>
  <c r="T444" i="7"/>
  <c r="U444" i="7"/>
  <c r="V444" i="7"/>
  <c r="W444" i="7"/>
  <c r="M456" i="7"/>
  <c r="N456" i="7"/>
  <c r="O456" i="7"/>
  <c r="P456" i="7"/>
  <c r="Q456" i="7"/>
  <c r="R456" i="7"/>
  <c r="S456" i="7"/>
  <c r="T456" i="7"/>
  <c r="U456" i="7"/>
  <c r="V456" i="7"/>
  <c r="W456" i="7"/>
  <c r="M468" i="7"/>
  <c r="N468" i="7"/>
  <c r="O468" i="7"/>
  <c r="P468" i="7"/>
  <c r="Q468" i="7"/>
  <c r="R468" i="7"/>
  <c r="S468" i="7"/>
  <c r="T468" i="7"/>
  <c r="U468" i="7"/>
  <c r="V468" i="7"/>
  <c r="W468" i="7"/>
  <c r="M480" i="7"/>
  <c r="N480" i="7"/>
  <c r="O480" i="7"/>
  <c r="P480" i="7"/>
  <c r="Q480" i="7"/>
  <c r="R480" i="7"/>
  <c r="S480" i="7"/>
  <c r="T480" i="7"/>
  <c r="U480" i="7"/>
  <c r="V480" i="7"/>
  <c r="W480" i="7"/>
  <c r="M492" i="7"/>
  <c r="N492" i="7"/>
  <c r="O492" i="7"/>
  <c r="P492" i="7"/>
  <c r="Q492" i="7"/>
  <c r="R492" i="7"/>
  <c r="S492" i="7"/>
  <c r="T492" i="7"/>
  <c r="U492" i="7"/>
  <c r="V492" i="7"/>
  <c r="W492" i="7"/>
  <c r="M504" i="7"/>
  <c r="N504" i="7"/>
  <c r="O504" i="7"/>
  <c r="P504" i="7"/>
  <c r="Q504" i="7"/>
  <c r="R504" i="7"/>
  <c r="S504" i="7"/>
  <c r="T504" i="7"/>
  <c r="U504" i="7"/>
  <c r="V504" i="7"/>
  <c r="W504" i="7"/>
  <c r="M516" i="7"/>
  <c r="N516" i="7"/>
  <c r="O516" i="7"/>
  <c r="P516" i="7"/>
  <c r="Q516" i="7"/>
  <c r="R516" i="7"/>
  <c r="S516" i="7"/>
  <c r="T516" i="7"/>
  <c r="U516" i="7"/>
  <c r="V516" i="7"/>
  <c r="W516" i="7"/>
  <c r="M528" i="7"/>
  <c r="N528" i="7"/>
  <c r="O528" i="7"/>
  <c r="P528" i="7"/>
  <c r="Q528" i="7"/>
  <c r="R528" i="7"/>
  <c r="S528" i="7"/>
  <c r="T528" i="7"/>
  <c r="U528" i="7"/>
  <c r="V528" i="7"/>
  <c r="W528" i="7"/>
  <c r="M540" i="7"/>
  <c r="N540" i="7"/>
  <c r="O540" i="7"/>
  <c r="P540" i="7"/>
  <c r="Q540" i="7"/>
  <c r="R540" i="7"/>
  <c r="S540" i="7"/>
  <c r="T540" i="7"/>
  <c r="U540" i="7"/>
  <c r="V540" i="7"/>
  <c r="W540" i="7"/>
  <c r="M552" i="7"/>
  <c r="N552" i="7"/>
  <c r="O552" i="7"/>
  <c r="P552" i="7"/>
  <c r="Q552" i="7"/>
  <c r="R552" i="7"/>
  <c r="S552" i="7"/>
  <c r="T552" i="7"/>
  <c r="U552" i="7"/>
  <c r="V552" i="7"/>
  <c r="W552" i="7"/>
  <c r="M564" i="7"/>
  <c r="N564" i="7"/>
  <c r="O564" i="7"/>
  <c r="P564" i="7"/>
  <c r="Q564" i="7"/>
  <c r="R564" i="7"/>
  <c r="S564" i="7"/>
  <c r="T564" i="7"/>
  <c r="U564" i="7"/>
  <c r="V564" i="7"/>
  <c r="W564" i="7"/>
  <c r="M576" i="7"/>
  <c r="N576" i="7"/>
  <c r="O576" i="7"/>
  <c r="P576" i="7"/>
  <c r="Q576" i="7"/>
  <c r="R576" i="7"/>
  <c r="S576" i="7"/>
  <c r="T576" i="7"/>
  <c r="U576" i="7"/>
  <c r="V576" i="7"/>
  <c r="W576" i="7"/>
  <c r="M588" i="7"/>
  <c r="N588" i="7"/>
  <c r="O588" i="7"/>
  <c r="P588" i="7"/>
  <c r="Q588" i="7"/>
  <c r="R588" i="7"/>
  <c r="S588" i="7"/>
  <c r="T588" i="7"/>
  <c r="U588" i="7"/>
  <c r="V588" i="7"/>
  <c r="W588" i="7"/>
  <c r="M600" i="7"/>
  <c r="N600" i="7"/>
  <c r="O600" i="7"/>
  <c r="P600" i="7"/>
  <c r="Q600" i="7"/>
  <c r="R600" i="7"/>
  <c r="S600" i="7"/>
  <c r="T600" i="7"/>
  <c r="U600" i="7"/>
  <c r="V600" i="7"/>
  <c r="W600" i="7"/>
  <c r="M612" i="7"/>
  <c r="N612" i="7"/>
  <c r="O612" i="7"/>
  <c r="P612" i="7"/>
  <c r="Q612" i="7"/>
  <c r="R612" i="7"/>
  <c r="S612" i="7"/>
  <c r="T612" i="7"/>
  <c r="U612" i="7"/>
  <c r="V612" i="7"/>
  <c r="W612" i="7"/>
  <c r="M624" i="7"/>
  <c r="N624" i="7"/>
  <c r="O624" i="7"/>
  <c r="P624" i="7"/>
  <c r="Q624" i="7"/>
  <c r="R624" i="7"/>
  <c r="S624" i="7"/>
  <c r="T624" i="7"/>
  <c r="U624" i="7"/>
  <c r="V624" i="7"/>
  <c r="W624" i="7"/>
  <c r="M636" i="7"/>
  <c r="N636" i="7"/>
  <c r="O636" i="7"/>
  <c r="P636" i="7"/>
  <c r="Q636" i="7"/>
  <c r="R636" i="7"/>
  <c r="S636" i="7"/>
  <c r="T636" i="7"/>
  <c r="U636" i="7"/>
  <c r="V636" i="7"/>
  <c r="W636" i="7"/>
  <c r="M648" i="7"/>
  <c r="N648" i="7"/>
  <c r="O648" i="7"/>
  <c r="P648" i="7"/>
  <c r="Q648" i="7"/>
  <c r="R648" i="7"/>
  <c r="S648" i="7"/>
  <c r="T648" i="7"/>
  <c r="U648" i="7"/>
  <c r="V648" i="7"/>
  <c r="W648" i="7"/>
  <c r="M660" i="7"/>
  <c r="N660" i="7"/>
  <c r="O660" i="7"/>
  <c r="P660" i="7"/>
  <c r="Q660" i="7"/>
  <c r="R660" i="7"/>
  <c r="S660" i="7"/>
  <c r="T660" i="7"/>
  <c r="U660" i="7"/>
  <c r="V660" i="7"/>
  <c r="W660" i="7"/>
  <c r="M672" i="7"/>
  <c r="N672" i="7"/>
  <c r="O672" i="7"/>
  <c r="P672" i="7"/>
  <c r="Q672" i="7"/>
  <c r="R672" i="7"/>
  <c r="S672" i="7"/>
  <c r="T672" i="7"/>
  <c r="U672" i="7"/>
  <c r="V672" i="7"/>
  <c r="W672" i="7"/>
  <c r="M684" i="7"/>
  <c r="N684" i="7"/>
  <c r="O684" i="7"/>
  <c r="P684" i="7"/>
  <c r="Q684" i="7"/>
  <c r="R684" i="7"/>
  <c r="S684" i="7"/>
  <c r="T684" i="7"/>
  <c r="U684" i="7"/>
  <c r="V684" i="7"/>
  <c r="W684" i="7"/>
  <c r="M696" i="7"/>
  <c r="N696" i="7"/>
  <c r="O696" i="7"/>
  <c r="P696" i="7"/>
  <c r="Q696" i="7"/>
  <c r="R696" i="7"/>
  <c r="S696" i="7"/>
  <c r="T696" i="7"/>
  <c r="U696" i="7"/>
  <c r="V696" i="7"/>
  <c r="W696" i="7"/>
  <c r="M708" i="7"/>
  <c r="N708" i="7"/>
  <c r="O708" i="7"/>
  <c r="P708" i="7"/>
  <c r="Q708" i="7"/>
  <c r="R708" i="7"/>
  <c r="S708" i="7"/>
  <c r="T708" i="7"/>
  <c r="U708" i="7"/>
  <c r="V708" i="7"/>
  <c r="W708" i="7"/>
  <c r="M720" i="7"/>
  <c r="N720" i="7"/>
  <c r="O720" i="7"/>
  <c r="P720" i="7"/>
  <c r="Q720" i="7"/>
  <c r="R720" i="7"/>
  <c r="S720" i="7"/>
  <c r="T720" i="7"/>
  <c r="U720" i="7"/>
  <c r="V720" i="7"/>
  <c r="W720" i="7"/>
  <c r="M732" i="7"/>
  <c r="N732" i="7"/>
  <c r="O732" i="7"/>
  <c r="P732" i="7"/>
  <c r="Q732" i="7"/>
  <c r="R732" i="7"/>
  <c r="S732" i="7"/>
  <c r="T732" i="7"/>
  <c r="U732" i="7"/>
  <c r="V732" i="7"/>
  <c r="W732" i="7"/>
  <c r="M744" i="7"/>
  <c r="N744" i="7"/>
  <c r="O744" i="7"/>
  <c r="P744" i="7"/>
  <c r="Q744" i="7"/>
  <c r="R744" i="7"/>
  <c r="S744" i="7"/>
  <c r="T744" i="7"/>
  <c r="U744" i="7"/>
  <c r="V744" i="7"/>
  <c r="W744" i="7"/>
  <c r="M756" i="7"/>
  <c r="N756" i="7"/>
  <c r="O756" i="7"/>
  <c r="P756" i="7"/>
  <c r="Q756" i="7"/>
  <c r="R756" i="7"/>
  <c r="S756" i="7"/>
  <c r="T756" i="7"/>
  <c r="U756" i="7"/>
  <c r="V756" i="7"/>
  <c r="W756" i="7"/>
  <c r="M768" i="7"/>
  <c r="N768" i="7"/>
  <c r="O768" i="7"/>
  <c r="P768" i="7"/>
  <c r="Q768" i="7"/>
  <c r="R768" i="7"/>
  <c r="S768" i="7"/>
  <c r="T768" i="7"/>
  <c r="U768" i="7"/>
  <c r="V768" i="7"/>
  <c r="W768" i="7"/>
  <c r="M780" i="7"/>
  <c r="N780" i="7"/>
  <c r="O780" i="7"/>
  <c r="P780" i="7"/>
  <c r="Q780" i="7"/>
  <c r="R780" i="7"/>
  <c r="S780" i="7"/>
  <c r="T780" i="7"/>
  <c r="U780" i="7"/>
  <c r="V780" i="7"/>
  <c r="W780" i="7"/>
  <c r="M792" i="7"/>
  <c r="N792" i="7"/>
  <c r="O792" i="7"/>
  <c r="P792" i="7"/>
  <c r="Q792" i="7"/>
  <c r="R792" i="7"/>
  <c r="S792" i="7"/>
  <c r="T792" i="7"/>
  <c r="U792" i="7"/>
  <c r="V792" i="7"/>
  <c r="W792" i="7"/>
  <c r="M804" i="7"/>
  <c r="N804" i="7"/>
  <c r="O804" i="7"/>
  <c r="P804" i="7"/>
  <c r="Q804" i="7"/>
  <c r="R804" i="7"/>
  <c r="S804" i="7"/>
  <c r="T804" i="7"/>
  <c r="U804" i="7"/>
  <c r="V804" i="7"/>
  <c r="W804" i="7"/>
  <c r="M816" i="7"/>
  <c r="N816" i="7"/>
  <c r="O816" i="7"/>
  <c r="P816" i="7"/>
  <c r="Q816" i="7"/>
  <c r="R816" i="7"/>
  <c r="S816" i="7"/>
  <c r="T816" i="7"/>
  <c r="U816" i="7"/>
  <c r="V816" i="7"/>
  <c r="W816" i="7"/>
  <c r="M828" i="7"/>
  <c r="N828" i="7"/>
  <c r="O828" i="7"/>
  <c r="P828" i="7"/>
  <c r="Q828" i="7"/>
  <c r="R828" i="7"/>
  <c r="S828" i="7"/>
  <c r="T828" i="7"/>
  <c r="U828" i="7"/>
  <c r="V828" i="7"/>
  <c r="W828" i="7"/>
  <c r="M840" i="7"/>
  <c r="N840" i="7"/>
  <c r="O840" i="7"/>
  <c r="P840" i="7"/>
  <c r="Q840" i="7"/>
  <c r="R840" i="7"/>
  <c r="S840" i="7"/>
  <c r="T840" i="7"/>
  <c r="U840" i="7"/>
  <c r="V840" i="7"/>
  <c r="W840" i="7"/>
  <c r="M852" i="7"/>
  <c r="N852" i="7"/>
  <c r="O852" i="7"/>
  <c r="P852" i="7"/>
  <c r="Q852" i="7"/>
  <c r="R852" i="7"/>
  <c r="S852" i="7"/>
  <c r="T852" i="7"/>
  <c r="U852" i="7"/>
  <c r="V852" i="7"/>
  <c r="W852" i="7"/>
  <c r="M864" i="7"/>
  <c r="N864" i="7"/>
  <c r="O864" i="7"/>
  <c r="P864" i="7"/>
  <c r="Q864" i="7"/>
  <c r="R864" i="7"/>
  <c r="S864" i="7"/>
  <c r="T864" i="7"/>
  <c r="U864" i="7"/>
  <c r="V864" i="7"/>
  <c r="W864" i="7"/>
  <c r="M876" i="7"/>
  <c r="N876" i="7"/>
  <c r="O876" i="7"/>
  <c r="P876" i="7"/>
  <c r="Q876" i="7"/>
  <c r="R876" i="7"/>
  <c r="S876" i="7"/>
  <c r="T876" i="7"/>
  <c r="U876" i="7"/>
  <c r="V876" i="7"/>
  <c r="W876" i="7"/>
  <c r="M888" i="7"/>
  <c r="N888" i="7"/>
  <c r="O888" i="7"/>
  <c r="P888" i="7"/>
  <c r="Q888" i="7"/>
  <c r="R888" i="7"/>
  <c r="S888" i="7"/>
  <c r="T888" i="7"/>
  <c r="U888" i="7"/>
  <c r="V888" i="7"/>
  <c r="W888" i="7"/>
  <c r="M900" i="7"/>
  <c r="N900" i="7"/>
  <c r="O900" i="7"/>
  <c r="P900" i="7"/>
  <c r="Q900" i="7"/>
  <c r="R900" i="7"/>
  <c r="S900" i="7"/>
  <c r="T900" i="7"/>
  <c r="U900" i="7"/>
  <c r="V900" i="7"/>
  <c r="W900" i="7"/>
  <c r="M912" i="7"/>
  <c r="N912" i="7"/>
  <c r="O912" i="7"/>
  <c r="P912" i="7"/>
  <c r="Q912" i="7"/>
  <c r="R912" i="7"/>
  <c r="S912" i="7"/>
  <c r="T912" i="7"/>
  <c r="U912" i="7"/>
  <c r="V912" i="7"/>
  <c r="W912" i="7"/>
  <c r="M924" i="7"/>
  <c r="N924" i="7"/>
  <c r="O924" i="7"/>
  <c r="P924" i="7"/>
  <c r="Q924" i="7"/>
  <c r="R924" i="7"/>
  <c r="S924" i="7"/>
  <c r="T924" i="7"/>
  <c r="U924" i="7"/>
  <c r="V924" i="7"/>
  <c r="W924" i="7"/>
  <c r="M936" i="7"/>
  <c r="N936" i="7"/>
  <c r="O936" i="7"/>
  <c r="P936" i="7"/>
  <c r="Q936" i="7"/>
  <c r="R936" i="7"/>
  <c r="S936" i="7"/>
  <c r="T936" i="7"/>
  <c r="U936" i="7"/>
  <c r="V936" i="7"/>
  <c r="W936" i="7"/>
  <c r="M948" i="7"/>
  <c r="N948" i="7"/>
  <c r="O948" i="7"/>
  <c r="P948" i="7"/>
  <c r="Q948" i="7"/>
  <c r="R948" i="7"/>
  <c r="S948" i="7"/>
  <c r="T948" i="7"/>
  <c r="U948" i="7"/>
  <c r="V948" i="7"/>
  <c r="W948" i="7"/>
  <c r="M960" i="7"/>
  <c r="N960" i="7"/>
  <c r="O960" i="7"/>
  <c r="P960" i="7"/>
  <c r="Q960" i="7"/>
  <c r="R960" i="7"/>
  <c r="S960" i="7"/>
  <c r="T960" i="7"/>
  <c r="U960" i="7"/>
  <c r="V960" i="7"/>
  <c r="W960" i="7"/>
  <c r="M972" i="7"/>
  <c r="N972" i="7"/>
  <c r="O972" i="7"/>
  <c r="P972" i="7"/>
  <c r="Q972" i="7"/>
  <c r="R972" i="7"/>
  <c r="S972" i="7"/>
  <c r="T972" i="7"/>
  <c r="U972" i="7"/>
  <c r="V972" i="7"/>
  <c r="W972" i="7"/>
  <c r="M984" i="7"/>
  <c r="N984" i="7"/>
  <c r="O984" i="7"/>
  <c r="P984" i="7"/>
  <c r="Q984" i="7"/>
  <c r="R984" i="7"/>
  <c r="S984" i="7"/>
  <c r="T984" i="7"/>
  <c r="U984" i="7"/>
  <c r="V984" i="7"/>
  <c r="W984" i="7"/>
  <c r="M996" i="7"/>
  <c r="N996" i="7"/>
  <c r="O996" i="7"/>
  <c r="P996" i="7"/>
  <c r="Q996" i="7"/>
  <c r="R996" i="7"/>
  <c r="S996" i="7"/>
  <c r="T996" i="7"/>
  <c r="U996" i="7"/>
  <c r="V996" i="7"/>
  <c r="W996" i="7"/>
  <c r="M1008" i="7"/>
  <c r="N1008" i="7"/>
  <c r="O1008" i="7"/>
  <c r="P1008" i="7"/>
  <c r="Q1008" i="7"/>
  <c r="R1008" i="7"/>
  <c r="S1008" i="7"/>
  <c r="T1008" i="7"/>
  <c r="U1008" i="7"/>
  <c r="V1008" i="7"/>
  <c r="W1008" i="7"/>
  <c r="M1020" i="7"/>
  <c r="N1020" i="7"/>
  <c r="O1020" i="7"/>
  <c r="P1020" i="7"/>
  <c r="Q1020" i="7"/>
  <c r="R1020" i="7"/>
  <c r="S1020" i="7"/>
  <c r="T1020" i="7"/>
  <c r="U1020" i="7"/>
  <c r="V1020" i="7"/>
  <c r="W1020" i="7"/>
  <c r="M1032" i="7"/>
  <c r="N1032" i="7"/>
  <c r="O1032" i="7"/>
  <c r="P1032" i="7"/>
  <c r="Q1032" i="7"/>
  <c r="R1032" i="7"/>
  <c r="S1032" i="7"/>
  <c r="T1032" i="7"/>
  <c r="U1032" i="7"/>
  <c r="V1032" i="7"/>
  <c r="W1032" i="7"/>
  <c r="M1044" i="7"/>
  <c r="N1044" i="7"/>
  <c r="O1044" i="7"/>
  <c r="P1044" i="7"/>
  <c r="Q1044" i="7"/>
  <c r="R1044" i="7"/>
  <c r="S1044" i="7"/>
  <c r="T1044" i="7"/>
  <c r="U1044" i="7"/>
  <c r="V1044" i="7"/>
  <c r="W1044" i="7"/>
  <c r="M206" i="7"/>
  <c r="N206" i="7"/>
  <c r="O206" i="7"/>
  <c r="P206" i="7"/>
  <c r="Q206" i="7"/>
  <c r="R206" i="7"/>
  <c r="S206" i="7"/>
  <c r="T206" i="7"/>
  <c r="U206" i="7"/>
  <c r="V206" i="7"/>
  <c r="W206" i="7"/>
  <c r="M254" i="7"/>
  <c r="N254" i="7"/>
  <c r="O254" i="7"/>
  <c r="P254" i="7"/>
  <c r="Q254" i="7"/>
  <c r="R254" i="7"/>
  <c r="S254" i="7"/>
  <c r="T254" i="7"/>
  <c r="U254" i="7"/>
  <c r="V254" i="7"/>
  <c r="W254" i="7"/>
  <c r="M338" i="7"/>
  <c r="N338" i="7"/>
  <c r="O338" i="7"/>
  <c r="P338" i="7"/>
  <c r="Q338" i="7"/>
  <c r="R338" i="7"/>
  <c r="S338" i="7"/>
  <c r="T338" i="7"/>
  <c r="U338" i="7"/>
  <c r="V338" i="7"/>
  <c r="W338" i="7"/>
  <c r="M374" i="7"/>
  <c r="N374" i="7"/>
  <c r="O374" i="7"/>
  <c r="P374" i="7"/>
  <c r="Q374" i="7"/>
  <c r="R374" i="7"/>
  <c r="S374" i="7"/>
  <c r="T374" i="7"/>
  <c r="U374" i="7"/>
  <c r="V374" i="7"/>
  <c r="W374" i="7"/>
  <c r="M398" i="7"/>
  <c r="N398" i="7"/>
  <c r="O398" i="7"/>
  <c r="P398" i="7"/>
  <c r="Q398" i="7"/>
  <c r="R398" i="7"/>
  <c r="S398" i="7"/>
  <c r="T398" i="7"/>
  <c r="U398" i="7"/>
  <c r="V398" i="7"/>
  <c r="W398" i="7"/>
  <c r="M410" i="7"/>
  <c r="N410" i="7"/>
  <c r="O410" i="7"/>
  <c r="P410" i="7"/>
  <c r="Q410" i="7"/>
  <c r="R410" i="7"/>
  <c r="S410" i="7"/>
  <c r="T410" i="7"/>
  <c r="U410" i="7"/>
  <c r="V410" i="7"/>
  <c r="W410" i="7"/>
  <c r="M422" i="7"/>
  <c r="N422" i="7"/>
  <c r="O422" i="7"/>
  <c r="P422" i="7"/>
  <c r="Q422" i="7"/>
  <c r="R422" i="7"/>
  <c r="S422" i="7"/>
  <c r="T422" i="7"/>
  <c r="U422" i="7"/>
  <c r="V422" i="7"/>
  <c r="W422" i="7"/>
  <c r="M494" i="7"/>
  <c r="N494" i="7"/>
  <c r="O494" i="7"/>
  <c r="P494" i="7"/>
  <c r="Q494" i="7"/>
  <c r="R494" i="7"/>
  <c r="S494" i="7"/>
  <c r="T494" i="7"/>
  <c r="U494" i="7"/>
  <c r="V494" i="7"/>
  <c r="W494" i="7"/>
  <c r="M566" i="7"/>
  <c r="N566" i="7"/>
  <c r="O566" i="7"/>
  <c r="P566" i="7"/>
  <c r="Q566" i="7"/>
  <c r="R566" i="7"/>
  <c r="S566" i="7"/>
  <c r="T566" i="7"/>
  <c r="U566" i="7"/>
  <c r="V566" i="7"/>
  <c r="W566" i="7"/>
  <c r="M590" i="7"/>
  <c r="N590" i="7"/>
  <c r="O590" i="7"/>
  <c r="P590" i="7"/>
  <c r="Q590" i="7"/>
  <c r="R590" i="7"/>
  <c r="S590" i="7"/>
  <c r="T590" i="7"/>
  <c r="U590" i="7"/>
  <c r="V590" i="7"/>
  <c r="W590" i="7"/>
  <c r="M13" i="7"/>
  <c r="N13" i="7"/>
  <c r="O13" i="7"/>
  <c r="P13" i="7"/>
  <c r="Q13" i="7"/>
  <c r="R13" i="7"/>
  <c r="S13" i="7"/>
  <c r="T13" i="7"/>
  <c r="U13" i="7"/>
  <c r="V13" i="7"/>
  <c r="W13" i="7"/>
  <c r="M25" i="7"/>
  <c r="N25" i="7"/>
  <c r="O25" i="7"/>
  <c r="P25" i="7"/>
  <c r="Q25" i="7"/>
  <c r="R25" i="7"/>
  <c r="S25" i="7"/>
  <c r="T25" i="7"/>
  <c r="U25" i="7"/>
  <c r="V25" i="7"/>
  <c r="W25" i="7"/>
  <c r="M37" i="7"/>
  <c r="N37" i="7"/>
  <c r="O37" i="7"/>
  <c r="P37" i="7"/>
  <c r="Q37" i="7"/>
  <c r="R37" i="7"/>
  <c r="S37" i="7"/>
  <c r="T37" i="7"/>
  <c r="U37" i="7"/>
  <c r="V37" i="7"/>
  <c r="W37" i="7"/>
  <c r="M49" i="7"/>
  <c r="N49" i="7"/>
  <c r="O49" i="7"/>
  <c r="P49" i="7"/>
  <c r="Q49" i="7"/>
  <c r="R49" i="7"/>
  <c r="S49" i="7"/>
  <c r="T49" i="7"/>
  <c r="U49" i="7"/>
  <c r="V49" i="7"/>
  <c r="W49" i="7"/>
  <c r="M61" i="7"/>
  <c r="N61" i="7"/>
  <c r="O61" i="7"/>
  <c r="P61" i="7"/>
  <c r="Q61" i="7"/>
  <c r="R61" i="7"/>
  <c r="S61" i="7"/>
  <c r="T61" i="7"/>
  <c r="U61" i="7"/>
  <c r="V61" i="7"/>
  <c r="W61" i="7"/>
  <c r="M73" i="7"/>
  <c r="N73" i="7"/>
  <c r="O73" i="7"/>
  <c r="P73" i="7"/>
  <c r="Q73" i="7"/>
  <c r="R73" i="7"/>
  <c r="S73" i="7"/>
  <c r="T73" i="7"/>
  <c r="U73" i="7"/>
  <c r="V73" i="7"/>
  <c r="W73" i="7"/>
  <c r="M85" i="7"/>
  <c r="N85" i="7"/>
  <c r="O85" i="7"/>
  <c r="P85" i="7"/>
  <c r="Q85" i="7"/>
  <c r="R85" i="7"/>
  <c r="S85" i="7"/>
  <c r="T85" i="7"/>
  <c r="U85" i="7"/>
  <c r="V85" i="7"/>
  <c r="W85" i="7"/>
  <c r="M97" i="7"/>
  <c r="N97" i="7"/>
  <c r="O97" i="7"/>
  <c r="P97" i="7"/>
  <c r="Q97" i="7"/>
  <c r="R97" i="7"/>
  <c r="S97" i="7"/>
  <c r="T97" i="7"/>
  <c r="U97" i="7"/>
  <c r="V97" i="7"/>
  <c r="W97" i="7"/>
  <c r="M109" i="7"/>
  <c r="N109" i="7"/>
  <c r="O109" i="7"/>
  <c r="P109" i="7"/>
  <c r="Q109" i="7"/>
  <c r="R109" i="7"/>
  <c r="S109" i="7"/>
  <c r="T109" i="7"/>
  <c r="U109" i="7"/>
  <c r="V109" i="7"/>
  <c r="W109" i="7"/>
  <c r="M121" i="7"/>
  <c r="N121" i="7"/>
  <c r="O121" i="7"/>
  <c r="P121" i="7"/>
  <c r="Q121" i="7"/>
  <c r="R121" i="7"/>
  <c r="S121" i="7"/>
  <c r="T121" i="7"/>
  <c r="U121" i="7"/>
  <c r="V121" i="7"/>
  <c r="W121" i="7"/>
  <c r="M133" i="7"/>
  <c r="N133" i="7"/>
  <c r="O133" i="7"/>
  <c r="P133" i="7"/>
  <c r="Q133" i="7"/>
  <c r="R133" i="7"/>
  <c r="S133" i="7"/>
  <c r="T133" i="7"/>
  <c r="U133" i="7"/>
  <c r="V133" i="7"/>
  <c r="W133" i="7"/>
  <c r="M145" i="7"/>
  <c r="N145" i="7"/>
  <c r="O145" i="7"/>
  <c r="P145" i="7"/>
  <c r="Q145" i="7"/>
  <c r="R145" i="7"/>
  <c r="S145" i="7"/>
  <c r="T145" i="7"/>
  <c r="U145" i="7"/>
  <c r="V145" i="7"/>
  <c r="W145" i="7"/>
  <c r="M157" i="7"/>
  <c r="N157" i="7"/>
  <c r="O157" i="7"/>
  <c r="P157" i="7"/>
  <c r="Q157" i="7"/>
  <c r="R157" i="7"/>
  <c r="S157" i="7"/>
  <c r="T157" i="7"/>
  <c r="U157" i="7"/>
  <c r="V157" i="7"/>
  <c r="W157" i="7"/>
  <c r="M169" i="7"/>
  <c r="N169" i="7"/>
  <c r="O169" i="7"/>
  <c r="P169" i="7"/>
  <c r="Q169" i="7"/>
  <c r="R169" i="7"/>
  <c r="S169" i="7"/>
  <c r="T169" i="7"/>
  <c r="U169" i="7"/>
  <c r="V169" i="7"/>
  <c r="W169" i="7"/>
  <c r="M181" i="7"/>
  <c r="N181" i="7"/>
  <c r="O181" i="7"/>
  <c r="P181" i="7"/>
  <c r="Q181" i="7"/>
  <c r="R181" i="7"/>
  <c r="S181" i="7"/>
  <c r="T181" i="7"/>
  <c r="U181" i="7"/>
  <c r="V181" i="7"/>
  <c r="W181" i="7"/>
  <c r="M193" i="7"/>
  <c r="N193" i="7"/>
  <c r="O193" i="7"/>
  <c r="P193" i="7"/>
  <c r="Q193" i="7"/>
  <c r="R193" i="7"/>
  <c r="S193" i="7"/>
  <c r="T193" i="7"/>
  <c r="U193" i="7"/>
  <c r="V193" i="7"/>
  <c r="W193" i="7"/>
  <c r="M205" i="7"/>
  <c r="N205" i="7"/>
  <c r="O205" i="7"/>
  <c r="P205" i="7"/>
  <c r="Q205" i="7"/>
  <c r="R205" i="7"/>
  <c r="S205" i="7"/>
  <c r="T205" i="7"/>
  <c r="U205" i="7"/>
  <c r="V205" i="7"/>
  <c r="W205" i="7"/>
  <c r="M217" i="7"/>
  <c r="N217" i="7"/>
  <c r="O217" i="7"/>
  <c r="P217" i="7"/>
  <c r="Q217" i="7"/>
  <c r="R217" i="7"/>
  <c r="S217" i="7"/>
  <c r="T217" i="7"/>
  <c r="U217" i="7"/>
  <c r="V217" i="7"/>
  <c r="W217" i="7"/>
  <c r="M229" i="7"/>
  <c r="N229" i="7"/>
  <c r="O229" i="7"/>
  <c r="P229" i="7"/>
  <c r="Q229" i="7"/>
  <c r="R229" i="7"/>
  <c r="S229" i="7"/>
  <c r="T229" i="7"/>
  <c r="U229" i="7"/>
  <c r="V229" i="7"/>
  <c r="W229" i="7"/>
  <c r="M241" i="7"/>
  <c r="N241" i="7"/>
  <c r="O241" i="7"/>
  <c r="P241" i="7"/>
  <c r="Q241" i="7"/>
  <c r="R241" i="7"/>
  <c r="S241" i="7"/>
  <c r="T241" i="7"/>
  <c r="U241" i="7"/>
  <c r="V241" i="7"/>
  <c r="W241" i="7"/>
  <c r="M253" i="7"/>
  <c r="N253" i="7"/>
  <c r="O253" i="7"/>
  <c r="P253" i="7"/>
  <c r="Q253" i="7"/>
  <c r="R253" i="7"/>
  <c r="S253" i="7"/>
  <c r="T253" i="7"/>
  <c r="U253" i="7"/>
  <c r="V253" i="7"/>
  <c r="W253" i="7"/>
  <c r="M265" i="7"/>
  <c r="N265" i="7"/>
  <c r="O265" i="7"/>
  <c r="P265" i="7"/>
  <c r="Q265" i="7"/>
  <c r="R265" i="7"/>
  <c r="S265" i="7"/>
  <c r="T265" i="7"/>
  <c r="U265" i="7"/>
  <c r="V265" i="7"/>
  <c r="W265" i="7"/>
  <c r="M277" i="7"/>
  <c r="N277" i="7"/>
  <c r="O277" i="7"/>
  <c r="P277" i="7"/>
  <c r="Q277" i="7"/>
  <c r="R277" i="7"/>
  <c r="S277" i="7"/>
  <c r="T277" i="7"/>
  <c r="U277" i="7"/>
  <c r="V277" i="7"/>
  <c r="W277" i="7"/>
  <c r="M289" i="7"/>
  <c r="N289" i="7"/>
  <c r="O289" i="7"/>
  <c r="P289" i="7"/>
  <c r="Q289" i="7"/>
  <c r="R289" i="7"/>
  <c r="S289" i="7"/>
  <c r="T289" i="7"/>
  <c r="U289" i="7"/>
  <c r="V289" i="7"/>
  <c r="W289" i="7"/>
  <c r="M301" i="7"/>
  <c r="N301" i="7"/>
  <c r="O301" i="7"/>
  <c r="P301" i="7"/>
  <c r="Q301" i="7"/>
  <c r="R301" i="7"/>
  <c r="S301" i="7"/>
  <c r="T301" i="7"/>
  <c r="U301" i="7"/>
  <c r="V301" i="7"/>
  <c r="W301" i="7"/>
  <c r="M313" i="7"/>
  <c r="N313" i="7"/>
  <c r="O313" i="7"/>
  <c r="P313" i="7"/>
  <c r="Q313" i="7"/>
  <c r="R313" i="7"/>
  <c r="S313" i="7"/>
  <c r="T313" i="7"/>
  <c r="U313" i="7"/>
  <c r="V313" i="7"/>
  <c r="W313" i="7"/>
  <c r="M325" i="7"/>
  <c r="N325" i="7"/>
  <c r="O325" i="7"/>
  <c r="P325" i="7"/>
  <c r="Q325" i="7"/>
  <c r="R325" i="7"/>
  <c r="S325" i="7"/>
  <c r="T325" i="7"/>
  <c r="U325" i="7"/>
  <c r="V325" i="7"/>
  <c r="W325" i="7"/>
  <c r="M337" i="7"/>
  <c r="N337" i="7"/>
  <c r="O337" i="7"/>
  <c r="P337" i="7"/>
  <c r="Q337" i="7"/>
  <c r="R337" i="7"/>
  <c r="S337" i="7"/>
  <c r="T337" i="7"/>
  <c r="U337" i="7"/>
  <c r="V337" i="7"/>
  <c r="W337" i="7"/>
  <c r="M349" i="7"/>
  <c r="N349" i="7"/>
  <c r="O349" i="7"/>
  <c r="P349" i="7"/>
  <c r="Q349" i="7"/>
  <c r="R349" i="7"/>
  <c r="S349" i="7"/>
  <c r="T349" i="7"/>
  <c r="U349" i="7"/>
  <c r="V349" i="7"/>
  <c r="W349" i="7"/>
  <c r="M361" i="7"/>
  <c r="N361" i="7"/>
  <c r="O361" i="7"/>
  <c r="P361" i="7"/>
  <c r="Q361" i="7"/>
  <c r="R361" i="7"/>
  <c r="S361" i="7"/>
  <c r="T361" i="7"/>
  <c r="U361" i="7"/>
  <c r="V361" i="7"/>
  <c r="W361" i="7"/>
  <c r="M373" i="7"/>
  <c r="N373" i="7"/>
  <c r="O373" i="7"/>
  <c r="P373" i="7"/>
  <c r="Q373" i="7"/>
  <c r="R373" i="7"/>
  <c r="S373" i="7"/>
  <c r="T373" i="7"/>
  <c r="U373" i="7"/>
  <c r="V373" i="7"/>
  <c r="W373" i="7"/>
  <c r="M385" i="7"/>
  <c r="N385" i="7"/>
  <c r="O385" i="7"/>
  <c r="P385" i="7"/>
  <c r="Q385" i="7"/>
  <c r="R385" i="7"/>
  <c r="S385" i="7"/>
  <c r="T385" i="7"/>
  <c r="U385" i="7"/>
  <c r="V385" i="7"/>
  <c r="W385" i="7"/>
  <c r="M397" i="7"/>
  <c r="N397" i="7"/>
  <c r="O397" i="7"/>
  <c r="P397" i="7"/>
  <c r="Q397" i="7"/>
  <c r="R397" i="7"/>
  <c r="S397" i="7"/>
  <c r="T397" i="7"/>
  <c r="U397" i="7"/>
  <c r="V397" i="7"/>
  <c r="W397" i="7"/>
  <c r="M409" i="7"/>
  <c r="N409" i="7"/>
  <c r="O409" i="7"/>
  <c r="P409" i="7"/>
  <c r="Q409" i="7"/>
  <c r="R409" i="7"/>
  <c r="S409" i="7"/>
  <c r="T409" i="7"/>
  <c r="U409" i="7"/>
  <c r="V409" i="7"/>
  <c r="W409" i="7"/>
  <c r="M421" i="7"/>
  <c r="N421" i="7"/>
  <c r="O421" i="7"/>
  <c r="P421" i="7"/>
  <c r="Q421" i="7"/>
  <c r="R421" i="7"/>
  <c r="S421" i="7"/>
  <c r="T421" i="7"/>
  <c r="U421" i="7"/>
  <c r="V421" i="7"/>
  <c r="W421" i="7"/>
  <c r="M433" i="7"/>
  <c r="N433" i="7"/>
  <c r="O433" i="7"/>
  <c r="P433" i="7"/>
  <c r="Q433" i="7"/>
  <c r="R433" i="7"/>
  <c r="S433" i="7"/>
  <c r="T433" i="7"/>
  <c r="U433" i="7"/>
  <c r="V433" i="7"/>
  <c r="W433" i="7"/>
  <c r="M445" i="7"/>
  <c r="N445" i="7"/>
  <c r="O445" i="7"/>
  <c r="P445" i="7"/>
  <c r="Q445" i="7"/>
  <c r="R445" i="7"/>
  <c r="S445" i="7"/>
  <c r="T445" i="7"/>
  <c r="U445" i="7"/>
  <c r="V445" i="7"/>
  <c r="W445" i="7"/>
  <c r="M457" i="7"/>
  <c r="N457" i="7"/>
  <c r="O457" i="7"/>
  <c r="P457" i="7"/>
  <c r="Q457" i="7"/>
  <c r="R457" i="7"/>
  <c r="S457" i="7"/>
  <c r="T457" i="7"/>
  <c r="U457" i="7"/>
  <c r="V457" i="7"/>
  <c r="W457" i="7"/>
  <c r="M469" i="7"/>
  <c r="N469" i="7"/>
  <c r="O469" i="7"/>
  <c r="P469" i="7"/>
  <c r="Q469" i="7"/>
  <c r="R469" i="7"/>
  <c r="S469" i="7"/>
  <c r="T469" i="7"/>
  <c r="U469" i="7"/>
  <c r="V469" i="7"/>
  <c r="W469" i="7"/>
  <c r="M481" i="7"/>
  <c r="N481" i="7"/>
  <c r="O481" i="7"/>
  <c r="P481" i="7"/>
  <c r="Q481" i="7"/>
  <c r="R481" i="7"/>
  <c r="S481" i="7"/>
  <c r="T481" i="7"/>
  <c r="U481" i="7"/>
  <c r="V481" i="7"/>
  <c r="W481" i="7"/>
  <c r="M493" i="7"/>
  <c r="N493" i="7"/>
  <c r="O493" i="7"/>
  <c r="P493" i="7"/>
  <c r="Q493" i="7"/>
  <c r="R493" i="7"/>
  <c r="S493" i="7"/>
  <c r="T493" i="7"/>
  <c r="U493" i="7"/>
  <c r="V493" i="7"/>
  <c r="W493" i="7"/>
  <c r="M505" i="7"/>
  <c r="N505" i="7"/>
  <c r="O505" i="7"/>
  <c r="P505" i="7"/>
  <c r="Q505" i="7"/>
  <c r="R505" i="7"/>
  <c r="S505" i="7"/>
  <c r="T505" i="7"/>
  <c r="U505" i="7"/>
  <c r="V505" i="7"/>
  <c r="W505" i="7"/>
  <c r="M517" i="7"/>
  <c r="N517" i="7"/>
  <c r="O517" i="7"/>
  <c r="P517" i="7"/>
  <c r="Q517" i="7"/>
  <c r="R517" i="7"/>
  <c r="S517" i="7"/>
  <c r="T517" i="7"/>
  <c r="U517" i="7"/>
  <c r="V517" i="7"/>
  <c r="W517" i="7"/>
  <c r="M529" i="7"/>
  <c r="N529" i="7"/>
  <c r="O529" i="7"/>
  <c r="P529" i="7"/>
  <c r="Q529" i="7"/>
  <c r="R529" i="7"/>
  <c r="S529" i="7"/>
  <c r="T529" i="7"/>
  <c r="U529" i="7"/>
  <c r="V529" i="7"/>
  <c r="W529" i="7"/>
  <c r="M541" i="7"/>
  <c r="N541" i="7"/>
  <c r="O541" i="7"/>
  <c r="P541" i="7"/>
  <c r="Q541" i="7"/>
  <c r="R541" i="7"/>
  <c r="S541" i="7"/>
  <c r="T541" i="7"/>
  <c r="U541" i="7"/>
  <c r="V541" i="7"/>
  <c r="W541" i="7"/>
  <c r="M553" i="7"/>
  <c r="N553" i="7"/>
  <c r="O553" i="7"/>
  <c r="P553" i="7"/>
  <c r="Q553" i="7"/>
  <c r="R553" i="7"/>
  <c r="S553" i="7"/>
  <c r="T553" i="7"/>
  <c r="U553" i="7"/>
  <c r="V553" i="7"/>
  <c r="W553" i="7"/>
  <c r="M565" i="7"/>
  <c r="N565" i="7"/>
  <c r="O565" i="7"/>
  <c r="P565" i="7"/>
  <c r="Q565" i="7"/>
  <c r="R565" i="7"/>
  <c r="S565" i="7"/>
  <c r="T565" i="7"/>
  <c r="U565" i="7"/>
  <c r="V565" i="7"/>
  <c r="W565" i="7"/>
  <c r="M577" i="7"/>
  <c r="N577" i="7"/>
  <c r="O577" i="7"/>
  <c r="P577" i="7"/>
  <c r="Q577" i="7"/>
  <c r="R577" i="7"/>
  <c r="S577" i="7"/>
  <c r="T577" i="7"/>
  <c r="U577" i="7"/>
  <c r="V577" i="7"/>
  <c r="W577" i="7"/>
  <c r="M589" i="7"/>
  <c r="N589" i="7"/>
  <c r="O589" i="7"/>
  <c r="P589" i="7"/>
  <c r="Q589" i="7"/>
  <c r="R589" i="7"/>
  <c r="S589" i="7"/>
  <c r="T589" i="7"/>
  <c r="U589" i="7"/>
  <c r="V589" i="7"/>
  <c r="W589" i="7"/>
  <c r="M601" i="7"/>
  <c r="N601" i="7"/>
  <c r="O601" i="7"/>
  <c r="P601" i="7"/>
  <c r="Q601" i="7"/>
  <c r="R601" i="7"/>
  <c r="S601" i="7"/>
  <c r="T601" i="7"/>
  <c r="U601" i="7"/>
  <c r="V601" i="7"/>
  <c r="W601" i="7"/>
  <c r="M613" i="7"/>
  <c r="N613" i="7"/>
  <c r="O613" i="7"/>
  <c r="P613" i="7"/>
  <c r="Q613" i="7"/>
  <c r="R613" i="7"/>
  <c r="S613" i="7"/>
  <c r="T613" i="7"/>
  <c r="U613" i="7"/>
  <c r="V613" i="7"/>
  <c r="W613" i="7"/>
  <c r="M625" i="7"/>
  <c r="N625" i="7"/>
  <c r="O625" i="7"/>
  <c r="P625" i="7"/>
  <c r="Q625" i="7"/>
  <c r="R625" i="7"/>
  <c r="S625" i="7"/>
  <c r="T625" i="7"/>
  <c r="U625" i="7"/>
  <c r="V625" i="7"/>
  <c r="W625" i="7"/>
  <c r="M637" i="7"/>
  <c r="N637" i="7"/>
  <c r="O637" i="7"/>
  <c r="P637" i="7"/>
  <c r="Q637" i="7"/>
  <c r="R637" i="7"/>
  <c r="S637" i="7"/>
  <c r="T637" i="7"/>
  <c r="U637" i="7"/>
  <c r="V637" i="7"/>
  <c r="W637" i="7"/>
  <c r="M649" i="7"/>
  <c r="N649" i="7"/>
  <c r="O649" i="7"/>
  <c r="P649" i="7"/>
  <c r="Q649" i="7"/>
  <c r="R649" i="7"/>
  <c r="S649" i="7"/>
  <c r="T649" i="7"/>
  <c r="U649" i="7"/>
  <c r="V649" i="7"/>
  <c r="W649" i="7"/>
  <c r="M661" i="7"/>
  <c r="N661" i="7"/>
  <c r="O661" i="7"/>
  <c r="P661" i="7"/>
  <c r="Q661" i="7"/>
  <c r="R661" i="7"/>
  <c r="S661" i="7"/>
  <c r="T661" i="7"/>
  <c r="U661" i="7"/>
  <c r="V661" i="7"/>
  <c r="W661" i="7"/>
  <c r="M673" i="7"/>
  <c r="N673" i="7"/>
  <c r="O673" i="7"/>
  <c r="P673" i="7"/>
  <c r="Q673" i="7"/>
  <c r="R673" i="7"/>
  <c r="S673" i="7"/>
  <c r="T673" i="7"/>
  <c r="U673" i="7"/>
  <c r="V673" i="7"/>
  <c r="W673" i="7"/>
  <c r="M685" i="7"/>
  <c r="N685" i="7"/>
  <c r="O685" i="7"/>
  <c r="P685" i="7"/>
  <c r="Q685" i="7"/>
  <c r="R685" i="7"/>
  <c r="S685" i="7"/>
  <c r="T685" i="7"/>
  <c r="U685" i="7"/>
  <c r="V685" i="7"/>
  <c r="W685" i="7"/>
  <c r="M697" i="7"/>
  <c r="N697" i="7"/>
  <c r="O697" i="7"/>
  <c r="P697" i="7"/>
  <c r="Q697" i="7"/>
  <c r="R697" i="7"/>
  <c r="S697" i="7"/>
  <c r="T697" i="7"/>
  <c r="U697" i="7"/>
  <c r="V697" i="7"/>
  <c r="W697" i="7"/>
  <c r="M709" i="7"/>
  <c r="N709" i="7"/>
  <c r="O709" i="7"/>
  <c r="P709" i="7"/>
  <c r="Q709" i="7"/>
  <c r="R709" i="7"/>
  <c r="S709" i="7"/>
  <c r="T709" i="7"/>
  <c r="U709" i="7"/>
  <c r="V709" i="7"/>
  <c r="W709" i="7"/>
  <c r="M721" i="7"/>
  <c r="N721" i="7"/>
  <c r="O721" i="7"/>
  <c r="P721" i="7"/>
  <c r="Q721" i="7"/>
  <c r="R721" i="7"/>
  <c r="S721" i="7"/>
  <c r="T721" i="7"/>
  <c r="U721" i="7"/>
  <c r="V721" i="7"/>
  <c r="W721" i="7"/>
  <c r="M733" i="7"/>
  <c r="N733" i="7"/>
  <c r="O733" i="7"/>
  <c r="P733" i="7"/>
  <c r="Q733" i="7"/>
  <c r="R733" i="7"/>
  <c r="S733" i="7"/>
  <c r="T733" i="7"/>
  <c r="U733" i="7"/>
  <c r="V733" i="7"/>
  <c r="W733" i="7"/>
  <c r="M745" i="7"/>
  <c r="N745" i="7"/>
  <c r="O745" i="7"/>
  <c r="P745" i="7"/>
  <c r="Q745" i="7"/>
  <c r="R745" i="7"/>
  <c r="S745" i="7"/>
  <c r="T745" i="7"/>
  <c r="U745" i="7"/>
  <c r="V745" i="7"/>
  <c r="W745" i="7"/>
  <c r="M757" i="7"/>
  <c r="N757" i="7"/>
  <c r="O757" i="7"/>
  <c r="P757" i="7"/>
  <c r="Q757" i="7"/>
  <c r="R757" i="7"/>
  <c r="S757" i="7"/>
  <c r="T757" i="7"/>
  <c r="U757" i="7"/>
  <c r="V757" i="7"/>
  <c r="W757" i="7"/>
  <c r="M769" i="7"/>
  <c r="N769" i="7"/>
  <c r="O769" i="7"/>
  <c r="P769" i="7"/>
  <c r="Q769" i="7"/>
  <c r="R769" i="7"/>
  <c r="S769" i="7"/>
  <c r="T769" i="7"/>
  <c r="U769" i="7"/>
  <c r="V769" i="7"/>
  <c r="W769" i="7"/>
  <c r="M781" i="7"/>
  <c r="N781" i="7"/>
  <c r="O781" i="7"/>
  <c r="P781" i="7"/>
  <c r="Q781" i="7"/>
  <c r="R781" i="7"/>
  <c r="S781" i="7"/>
  <c r="T781" i="7"/>
  <c r="U781" i="7"/>
  <c r="V781" i="7"/>
  <c r="W781" i="7"/>
  <c r="M793" i="7"/>
  <c r="N793" i="7"/>
  <c r="O793" i="7"/>
  <c r="P793" i="7"/>
  <c r="Q793" i="7"/>
  <c r="R793" i="7"/>
  <c r="S793" i="7"/>
  <c r="T793" i="7"/>
  <c r="U793" i="7"/>
  <c r="V793" i="7"/>
  <c r="W793" i="7"/>
  <c r="M805" i="7"/>
  <c r="N805" i="7"/>
  <c r="O805" i="7"/>
  <c r="P805" i="7"/>
  <c r="Q805" i="7"/>
  <c r="R805" i="7"/>
  <c r="S805" i="7"/>
  <c r="T805" i="7"/>
  <c r="U805" i="7"/>
  <c r="V805" i="7"/>
  <c r="W805" i="7"/>
  <c r="M817" i="7"/>
  <c r="N817" i="7"/>
  <c r="O817" i="7"/>
  <c r="P817" i="7"/>
  <c r="Q817" i="7"/>
  <c r="R817" i="7"/>
  <c r="S817" i="7"/>
  <c r="T817" i="7"/>
  <c r="U817" i="7"/>
  <c r="V817" i="7"/>
  <c r="W817" i="7"/>
  <c r="M829" i="7"/>
  <c r="N829" i="7"/>
  <c r="O829" i="7"/>
  <c r="P829" i="7"/>
  <c r="Q829" i="7"/>
  <c r="R829" i="7"/>
  <c r="S829" i="7"/>
  <c r="T829" i="7"/>
  <c r="U829" i="7"/>
  <c r="V829" i="7"/>
  <c r="W829" i="7"/>
  <c r="M841" i="7"/>
  <c r="N841" i="7"/>
  <c r="O841" i="7"/>
  <c r="P841" i="7"/>
  <c r="Q841" i="7"/>
  <c r="R841" i="7"/>
  <c r="S841" i="7"/>
  <c r="T841" i="7"/>
  <c r="U841" i="7"/>
  <c r="V841" i="7"/>
  <c r="W841" i="7"/>
  <c r="M853" i="7"/>
  <c r="N853" i="7"/>
  <c r="O853" i="7"/>
  <c r="P853" i="7"/>
  <c r="Q853" i="7"/>
  <c r="R853" i="7"/>
  <c r="S853" i="7"/>
  <c r="T853" i="7"/>
  <c r="U853" i="7"/>
  <c r="V853" i="7"/>
  <c r="W853" i="7"/>
  <c r="M865" i="7"/>
  <c r="N865" i="7"/>
  <c r="O865" i="7"/>
  <c r="P865" i="7"/>
  <c r="Q865" i="7"/>
  <c r="R865" i="7"/>
  <c r="S865" i="7"/>
  <c r="T865" i="7"/>
  <c r="U865" i="7"/>
  <c r="V865" i="7"/>
  <c r="W865" i="7"/>
  <c r="M877" i="7"/>
  <c r="N877" i="7"/>
  <c r="O877" i="7"/>
  <c r="P877" i="7"/>
  <c r="Q877" i="7"/>
  <c r="R877" i="7"/>
  <c r="S877" i="7"/>
  <c r="T877" i="7"/>
  <c r="U877" i="7"/>
  <c r="V877" i="7"/>
  <c r="W877" i="7"/>
  <c r="M889" i="7"/>
  <c r="N889" i="7"/>
  <c r="O889" i="7"/>
  <c r="P889" i="7"/>
  <c r="Q889" i="7"/>
  <c r="R889" i="7"/>
  <c r="S889" i="7"/>
  <c r="T889" i="7"/>
  <c r="U889" i="7"/>
  <c r="V889" i="7"/>
  <c r="W889" i="7"/>
  <c r="M901" i="7"/>
  <c r="N901" i="7"/>
  <c r="O901" i="7"/>
  <c r="P901" i="7"/>
  <c r="Q901" i="7"/>
  <c r="R901" i="7"/>
  <c r="S901" i="7"/>
  <c r="T901" i="7"/>
  <c r="U901" i="7"/>
  <c r="V901" i="7"/>
  <c r="W901" i="7"/>
  <c r="M913" i="7"/>
  <c r="N913" i="7"/>
  <c r="O913" i="7"/>
  <c r="P913" i="7"/>
  <c r="Q913" i="7"/>
  <c r="R913" i="7"/>
  <c r="S913" i="7"/>
  <c r="T913" i="7"/>
  <c r="U913" i="7"/>
  <c r="V913" i="7"/>
  <c r="W913" i="7"/>
  <c r="M925" i="7"/>
  <c r="N925" i="7"/>
  <c r="O925" i="7"/>
  <c r="P925" i="7"/>
  <c r="Q925" i="7"/>
  <c r="R925" i="7"/>
  <c r="S925" i="7"/>
  <c r="T925" i="7"/>
  <c r="U925" i="7"/>
  <c r="V925" i="7"/>
  <c r="W925" i="7"/>
  <c r="M937" i="7"/>
  <c r="N937" i="7"/>
  <c r="O937" i="7"/>
  <c r="P937" i="7"/>
  <c r="Q937" i="7"/>
  <c r="R937" i="7"/>
  <c r="S937" i="7"/>
  <c r="T937" i="7"/>
  <c r="U937" i="7"/>
  <c r="V937" i="7"/>
  <c r="W937" i="7"/>
  <c r="M949" i="7"/>
  <c r="N949" i="7"/>
  <c r="O949" i="7"/>
  <c r="P949" i="7"/>
  <c r="Q949" i="7"/>
  <c r="R949" i="7"/>
  <c r="S949" i="7"/>
  <c r="T949" i="7"/>
  <c r="U949" i="7"/>
  <c r="V949" i="7"/>
  <c r="W949" i="7"/>
  <c r="M961" i="7"/>
  <c r="N961" i="7"/>
  <c r="O961" i="7"/>
  <c r="P961" i="7"/>
  <c r="Q961" i="7"/>
  <c r="R961" i="7"/>
  <c r="S961" i="7"/>
  <c r="T961" i="7"/>
  <c r="U961" i="7"/>
  <c r="V961" i="7"/>
  <c r="W961" i="7"/>
  <c r="M973" i="7"/>
  <c r="N973" i="7"/>
  <c r="O973" i="7"/>
  <c r="P973" i="7"/>
  <c r="Q973" i="7"/>
  <c r="R973" i="7"/>
  <c r="S973" i="7"/>
  <c r="T973" i="7"/>
  <c r="U973" i="7"/>
  <c r="V973" i="7"/>
  <c r="W973" i="7"/>
  <c r="M985" i="7"/>
  <c r="N985" i="7"/>
  <c r="O985" i="7"/>
  <c r="P985" i="7"/>
  <c r="Q985" i="7"/>
  <c r="R985" i="7"/>
  <c r="S985" i="7"/>
  <c r="T985" i="7"/>
  <c r="U985" i="7"/>
  <c r="V985" i="7"/>
  <c r="W985" i="7"/>
  <c r="M997" i="7"/>
  <c r="N997" i="7"/>
  <c r="O997" i="7"/>
  <c r="P997" i="7"/>
  <c r="Q997" i="7"/>
  <c r="R997" i="7"/>
  <c r="S997" i="7"/>
  <c r="T997" i="7"/>
  <c r="U997" i="7"/>
  <c r="V997" i="7"/>
  <c r="W997" i="7"/>
  <c r="M1009" i="7"/>
  <c r="N1009" i="7"/>
  <c r="O1009" i="7"/>
  <c r="P1009" i="7"/>
  <c r="Q1009" i="7"/>
  <c r="R1009" i="7"/>
  <c r="S1009" i="7"/>
  <c r="T1009" i="7"/>
  <c r="U1009" i="7"/>
  <c r="V1009" i="7"/>
  <c r="W1009" i="7"/>
  <c r="M1021" i="7"/>
  <c r="N1021" i="7"/>
  <c r="O1021" i="7"/>
  <c r="P1021" i="7"/>
  <c r="Q1021" i="7"/>
  <c r="R1021" i="7"/>
  <c r="S1021" i="7"/>
  <c r="T1021" i="7"/>
  <c r="U1021" i="7"/>
  <c r="V1021" i="7"/>
  <c r="W1021" i="7"/>
  <c r="M1033" i="7"/>
  <c r="N1033" i="7"/>
  <c r="O1033" i="7"/>
  <c r="P1033" i="7"/>
  <c r="Q1033" i="7"/>
  <c r="R1033" i="7"/>
  <c r="S1033" i="7"/>
  <c r="T1033" i="7"/>
  <c r="U1033" i="7"/>
  <c r="V1033" i="7"/>
  <c r="W1033" i="7"/>
  <c r="M1045" i="7"/>
  <c r="N1045" i="7"/>
  <c r="O1045" i="7"/>
  <c r="P1045" i="7"/>
  <c r="Q1045" i="7"/>
  <c r="R1045" i="7"/>
  <c r="S1045" i="7"/>
  <c r="T1045" i="7"/>
  <c r="U1045" i="7"/>
  <c r="V1045" i="7"/>
  <c r="W1045" i="7"/>
  <c r="M14" i="7"/>
  <c r="N14" i="7"/>
  <c r="O14" i="7"/>
  <c r="P14" i="7"/>
  <c r="Q14" i="7"/>
  <c r="R14" i="7"/>
  <c r="S14" i="7"/>
  <c r="T14" i="7"/>
  <c r="U14" i="7"/>
  <c r="V14" i="7"/>
  <c r="W14" i="7"/>
  <c r="M26" i="7"/>
  <c r="N26" i="7"/>
  <c r="O26" i="7"/>
  <c r="P26" i="7"/>
  <c r="Q26" i="7"/>
  <c r="R26" i="7"/>
  <c r="S26" i="7"/>
  <c r="T26" i="7"/>
  <c r="U26" i="7"/>
  <c r="V26" i="7"/>
  <c r="W26" i="7"/>
  <c r="M38" i="7"/>
  <c r="N38" i="7"/>
  <c r="O38" i="7"/>
  <c r="P38" i="7"/>
  <c r="Q38" i="7"/>
  <c r="R38" i="7"/>
  <c r="S38" i="7"/>
  <c r="T38" i="7"/>
  <c r="U38" i="7"/>
  <c r="V38" i="7"/>
  <c r="W38" i="7"/>
  <c r="M50" i="7"/>
  <c r="N50" i="7"/>
  <c r="O50" i="7"/>
  <c r="P50" i="7"/>
  <c r="Q50" i="7"/>
  <c r="R50" i="7"/>
  <c r="S50" i="7"/>
  <c r="T50" i="7"/>
  <c r="U50" i="7"/>
  <c r="V50" i="7"/>
  <c r="W50" i="7"/>
  <c r="M62" i="7"/>
  <c r="N62" i="7"/>
  <c r="O62" i="7"/>
  <c r="P62" i="7"/>
  <c r="Q62" i="7"/>
  <c r="R62" i="7"/>
  <c r="S62" i="7"/>
  <c r="T62" i="7"/>
  <c r="U62" i="7"/>
  <c r="V62" i="7"/>
  <c r="W62" i="7"/>
  <c r="M74" i="7"/>
  <c r="N74" i="7"/>
  <c r="O74" i="7"/>
  <c r="P74" i="7"/>
  <c r="Q74" i="7"/>
  <c r="R74" i="7"/>
  <c r="S74" i="7"/>
  <c r="T74" i="7"/>
  <c r="U74" i="7"/>
  <c r="V74" i="7"/>
  <c r="W74" i="7"/>
  <c r="M86" i="7"/>
  <c r="N86" i="7"/>
  <c r="O86" i="7"/>
  <c r="P86" i="7"/>
  <c r="Q86" i="7"/>
  <c r="R86" i="7"/>
  <c r="S86" i="7"/>
  <c r="T86" i="7"/>
  <c r="U86" i="7"/>
  <c r="V86" i="7"/>
  <c r="W86" i="7"/>
  <c r="M98" i="7"/>
  <c r="N98" i="7"/>
  <c r="O98" i="7"/>
  <c r="P98" i="7"/>
  <c r="Q98" i="7"/>
  <c r="R98" i="7"/>
  <c r="S98" i="7"/>
  <c r="T98" i="7"/>
  <c r="U98" i="7"/>
  <c r="V98" i="7"/>
  <c r="W98" i="7"/>
  <c r="M110" i="7"/>
  <c r="N110" i="7"/>
  <c r="O110" i="7"/>
  <c r="P110" i="7"/>
  <c r="Q110" i="7"/>
  <c r="R110" i="7"/>
  <c r="S110" i="7"/>
  <c r="T110" i="7"/>
  <c r="U110" i="7"/>
  <c r="V110" i="7"/>
  <c r="W110" i="7"/>
  <c r="M122" i="7"/>
  <c r="N122" i="7"/>
  <c r="O122" i="7"/>
  <c r="P122" i="7"/>
  <c r="Q122" i="7"/>
  <c r="R122" i="7"/>
  <c r="S122" i="7"/>
  <c r="T122" i="7"/>
  <c r="U122" i="7"/>
  <c r="V122" i="7"/>
  <c r="W122" i="7"/>
  <c r="M134" i="7"/>
  <c r="N134" i="7"/>
  <c r="O134" i="7"/>
  <c r="P134" i="7"/>
  <c r="Q134" i="7"/>
  <c r="R134" i="7"/>
  <c r="S134" i="7"/>
  <c r="T134" i="7"/>
  <c r="U134" i="7"/>
  <c r="V134" i="7"/>
  <c r="W134" i="7"/>
  <c r="M146" i="7"/>
  <c r="N146" i="7"/>
  <c r="O146" i="7"/>
  <c r="P146" i="7"/>
  <c r="Q146" i="7"/>
  <c r="R146" i="7"/>
  <c r="S146" i="7"/>
  <c r="T146" i="7"/>
  <c r="U146" i="7"/>
  <c r="V146" i="7"/>
  <c r="W146" i="7"/>
  <c r="M158" i="7"/>
  <c r="N158" i="7"/>
  <c r="O158" i="7"/>
  <c r="P158" i="7"/>
  <c r="Q158" i="7"/>
  <c r="R158" i="7"/>
  <c r="S158" i="7"/>
  <c r="T158" i="7"/>
  <c r="U158" i="7"/>
  <c r="V158" i="7"/>
  <c r="W158" i="7"/>
  <c r="M170" i="7"/>
  <c r="N170" i="7"/>
  <c r="O170" i="7"/>
  <c r="P170" i="7"/>
  <c r="Q170" i="7"/>
  <c r="R170" i="7"/>
  <c r="S170" i="7"/>
  <c r="T170" i="7"/>
  <c r="U170" i="7"/>
  <c r="V170" i="7"/>
  <c r="W170" i="7"/>
  <c r="M182" i="7"/>
  <c r="N182" i="7"/>
  <c r="O182" i="7"/>
  <c r="P182" i="7"/>
  <c r="Q182" i="7"/>
  <c r="R182" i="7"/>
  <c r="S182" i="7"/>
  <c r="T182" i="7"/>
  <c r="U182" i="7"/>
  <c r="V182" i="7"/>
  <c r="W182" i="7"/>
  <c r="M194" i="7"/>
  <c r="N194" i="7"/>
  <c r="O194" i="7"/>
  <c r="P194" i="7"/>
  <c r="Q194" i="7"/>
  <c r="R194" i="7"/>
  <c r="S194" i="7"/>
  <c r="T194" i="7"/>
  <c r="U194" i="7"/>
  <c r="V194" i="7"/>
  <c r="W194" i="7"/>
  <c r="M218" i="7"/>
  <c r="N218" i="7"/>
  <c r="O218" i="7"/>
  <c r="P218" i="7"/>
  <c r="Q218" i="7"/>
  <c r="R218" i="7"/>
  <c r="S218" i="7"/>
  <c r="T218" i="7"/>
  <c r="U218" i="7"/>
  <c r="V218" i="7"/>
  <c r="W218" i="7"/>
  <c r="M230" i="7"/>
  <c r="N230" i="7"/>
  <c r="O230" i="7"/>
  <c r="P230" i="7"/>
  <c r="Q230" i="7"/>
  <c r="R230" i="7"/>
  <c r="S230" i="7"/>
  <c r="T230" i="7"/>
  <c r="U230" i="7"/>
  <c r="V230" i="7"/>
  <c r="W230" i="7"/>
  <c r="M242" i="7"/>
  <c r="N242" i="7"/>
  <c r="O242" i="7"/>
  <c r="P242" i="7"/>
  <c r="Q242" i="7"/>
  <c r="R242" i="7"/>
  <c r="S242" i="7"/>
  <c r="T242" i="7"/>
  <c r="U242" i="7"/>
  <c r="V242" i="7"/>
  <c r="W242" i="7"/>
  <c r="M266" i="7"/>
  <c r="N266" i="7"/>
  <c r="O266" i="7"/>
  <c r="P266" i="7"/>
  <c r="Q266" i="7"/>
  <c r="R266" i="7"/>
  <c r="S266" i="7"/>
  <c r="T266" i="7"/>
  <c r="U266" i="7"/>
  <c r="V266" i="7"/>
  <c r="W266" i="7"/>
  <c r="M278" i="7"/>
  <c r="N278" i="7"/>
  <c r="O278" i="7"/>
  <c r="P278" i="7"/>
  <c r="Q278" i="7"/>
  <c r="R278" i="7"/>
  <c r="S278" i="7"/>
  <c r="T278" i="7"/>
  <c r="U278" i="7"/>
  <c r="V278" i="7"/>
  <c r="W278" i="7"/>
  <c r="M290" i="7"/>
  <c r="N290" i="7"/>
  <c r="O290" i="7"/>
  <c r="P290" i="7"/>
  <c r="Q290" i="7"/>
  <c r="R290" i="7"/>
  <c r="S290" i="7"/>
  <c r="T290" i="7"/>
  <c r="U290" i="7"/>
  <c r="V290" i="7"/>
  <c r="W290" i="7"/>
  <c r="M302" i="7"/>
  <c r="N302" i="7"/>
  <c r="O302" i="7"/>
  <c r="P302" i="7"/>
  <c r="Q302" i="7"/>
  <c r="R302" i="7"/>
  <c r="S302" i="7"/>
  <c r="T302" i="7"/>
  <c r="U302" i="7"/>
  <c r="V302" i="7"/>
  <c r="W302" i="7"/>
  <c r="M314" i="7"/>
  <c r="N314" i="7"/>
  <c r="O314" i="7"/>
  <c r="P314" i="7"/>
  <c r="Q314" i="7"/>
  <c r="R314" i="7"/>
  <c r="S314" i="7"/>
  <c r="T314" i="7"/>
  <c r="U314" i="7"/>
  <c r="V314" i="7"/>
  <c r="W314" i="7"/>
  <c r="M326" i="7"/>
  <c r="N326" i="7"/>
  <c r="O326" i="7"/>
  <c r="P326" i="7"/>
  <c r="Q326" i="7"/>
  <c r="R326" i="7"/>
  <c r="S326" i="7"/>
  <c r="T326" i="7"/>
  <c r="U326" i="7"/>
  <c r="V326" i="7"/>
  <c r="W326" i="7"/>
  <c r="M350" i="7"/>
  <c r="N350" i="7"/>
  <c r="O350" i="7"/>
  <c r="P350" i="7"/>
  <c r="Q350" i="7"/>
  <c r="R350" i="7"/>
  <c r="S350" i="7"/>
  <c r="T350" i="7"/>
  <c r="U350" i="7"/>
  <c r="V350" i="7"/>
  <c r="W350" i="7"/>
  <c r="M362" i="7"/>
  <c r="N362" i="7"/>
  <c r="O362" i="7"/>
  <c r="P362" i="7"/>
  <c r="Q362" i="7"/>
  <c r="R362" i="7"/>
  <c r="S362" i="7"/>
  <c r="T362" i="7"/>
  <c r="U362" i="7"/>
  <c r="V362" i="7"/>
  <c r="W362" i="7"/>
  <c r="M386" i="7"/>
  <c r="N386" i="7"/>
  <c r="O386" i="7"/>
  <c r="P386" i="7"/>
  <c r="Q386" i="7"/>
  <c r="R386" i="7"/>
  <c r="S386" i="7"/>
  <c r="T386" i="7"/>
  <c r="U386" i="7"/>
  <c r="V386" i="7"/>
  <c r="W386" i="7"/>
  <c r="M17" i="7"/>
  <c r="N17" i="7"/>
  <c r="O17" i="7"/>
  <c r="P17" i="7"/>
  <c r="Q17" i="7"/>
  <c r="R17" i="7"/>
  <c r="S17" i="7"/>
  <c r="T17" i="7"/>
  <c r="U17" i="7"/>
  <c r="V17" i="7"/>
  <c r="W17" i="7"/>
  <c r="M29" i="7"/>
  <c r="N29" i="7"/>
  <c r="O29" i="7"/>
  <c r="P29" i="7"/>
  <c r="Q29" i="7"/>
  <c r="R29" i="7"/>
  <c r="S29" i="7"/>
  <c r="T29" i="7"/>
  <c r="U29" i="7"/>
  <c r="V29" i="7"/>
  <c r="W29" i="7"/>
  <c r="M41" i="7"/>
  <c r="N41" i="7"/>
  <c r="O41" i="7"/>
  <c r="P41" i="7"/>
  <c r="Q41" i="7"/>
  <c r="R41" i="7"/>
  <c r="S41" i="7"/>
  <c r="T41" i="7"/>
  <c r="U41" i="7"/>
  <c r="V41" i="7"/>
  <c r="W41" i="7"/>
  <c r="M53" i="7"/>
  <c r="N53" i="7"/>
  <c r="O53" i="7"/>
  <c r="P53" i="7"/>
  <c r="Q53" i="7"/>
  <c r="R53" i="7"/>
  <c r="S53" i="7"/>
  <c r="T53" i="7"/>
  <c r="U53" i="7"/>
  <c r="V53" i="7"/>
  <c r="W53" i="7"/>
  <c r="M65" i="7"/>
  <c r="N65" i="7"/>
  <c r="O65" i="7"/>
  <c r="P65" i="7"/>
  <c r="Q65" i="7"/>
  <c r="R65" i="7"/>
  <c r="S65" i="7"/>
  <c r="T65" i="7"/>
  <c r="U65" i="7"/>
  <c r="V65" i="7"/>
  <c r="W65" i="7"/>
  <c r="M77" i="7"/>
  <c r="N77" i="7"/>
  <c r="O77" i="7"/>
  <c r="P77" i="7"/>
  <c r="Q77" i="7"/>
  <c r="R77" i="7"/>
  <c r="S77" i="7"/>
  <c r="T77" i="7"/>
  <c r="U77" i="7"/>
  <c r="V77" i="7"/>
  <c r="W77" i="7"/>
  <c r="M89" i="7"/>
  <c r="N89" i="7"/>
  <c r="O89" i="7"/>
  <c r="P89" i="7"/>
  <c r="Q89" i="7"/>
  <c r="R89" i="7"/>
  <c r="S89" i="7"/>
  <c r="T89" i="7"/>
  <c r="U89" i="7"/>
  <c r="V89" i="7"/>
  <c r="W89" i="7"/>
  <c r="M101" i="7"/>
  <c r="N101" i="7"/>
  <c r="O101" i="7"/>
  <c r="P101" i="7"/>
  <c r="Q101" i="7"/>
  <c r="R101" i="7"/>
  <c r="S101" i="7"/>
  <c r="T101" i="7"/>
  <c r="U101" i="7"/>
  <c r="V101" i="7"/>
  <c r="W101" i="7"/>
  <c r="M113" i="7"/>
  <c r="N113" i="7"/>
  <c r="O113" i="7"/>
  <c r="P113" i="7"/>
  <c r="Q113" i="7"/>
  <c r="R113" i="7"/>
  <c r="S113" i="7"/>
  <c r="T113" i="7"/>
  <c r="U113" i="7"/>
  <c r="V113" i="7"/>
  <c r="W113" i="7"/>
  <c r="M125" i="7"/>
  <c r="N125" i="7"/>
  <c r="O125" i="7"/>
  <c r="P125" i="7"/>
  <c r="Q125" i="7"/>
  <c r="R125" i="7"/>
  <c r="S125" i="7"/>
  <c r="T125" i="7"/>
  <c r="U125" i="7"/>
  <c r="V125" i="7"/>
  <c r="W125" i="7"/>
  <c r="M137" i="7"/>
  <c r="N137" i="7"/>
  <c r="O137" i="7"/>
  <c r="P137" i="7"/>
  <c r="Q137" i="7"/>
  <c r="R137" i="7"/>
  <c r="S137" i="7"/>
  <c r="T137" i="7"/>
  <c r="U137" i="7"/>
  <c r="V137" i="7"/>
  <c r="W137" i="7"/>
  <c r="M149" i="7"/>
  <c r="N149" i="7"/>
  <c r="O149" i="7"/>
  <c r="P149" i="7"/>
  <c r="Q149" i="7"/>
  <c r="R149" i="7"/>
  <c r="S149" i="7"/>
  <c r="T149" i="7"/>
  <c r="U149" i="7"/>
  <c r="V149" i="7"/>
  <c r="W149" i="7"/>
  <c r="M161" i="7"/>
  <c r="N161" i="7"/>
  <c r="O161" i="7"/>
  <c r="P161" i="7"/>
  <c r="Q161" i="7"/>
  <c r="R161" i="7"/>
  <c r="S161" i="7"/>
  <c r="T161" i="7"/>
  <c r="U161" i="7"/>
  <c r="V161" i="7"/>
  <c r="W161" i="7"/>
  <c r="M173" i="7"/>
  <c r="N173" i="7"/>
  <c r="O173" i="7"/>
  <c r="P173" i="7"/>
  <c r="Q173" i="7"/>
  <c r="R173" i="7"/>
  <c r="S173" i="7"/>
  <c r="T173" i="7"/>
  <c r="U173" i="7"/>
  <c r="V173" i="7"/>
  <c r="W173" i="7"/>
  <c r="M185" i="7"/>
  <c r="N185" i="7"/>
  <c r="O185" i="7"/>
  <c r="P185" i="7"/>
  <c r="Q185" i="7"/>
  <c r="R185" i="7"/>
  <c r="S185" i="7"/>
  <c r="T185" i="7"/>
  <c r="U185" i="7"/>
  <c r="V185" i="7"/>
  <c r="W185" i="7"/>
  <c r="M197" i="7"/>
  <c r="N197" i="7"/>
  <c r="O197" i="7"/>
  <c r="P197" i="7"/>
  <c r="Q197" i="7"/>
  <c r="R197" i="7"/>
  <c r="S197" i="7"/>
  <c r="T197" i="7"/>
  <c r="U197" i="7"/>
  <c r="V197" i="7"/>
  <c r="W197" i="7"/>
  <c r="M209" i="7"/>
  <c r="N209" i="7"/>
  <c r="O209" i="7"/>
  <c r="P209" i="7"/>
  <c r="Q209" i="7"/>
  <c r="R209" i="7"/>
  <c r="S209" i="7"/>
  <c r="T209" i="7"/>
  <c r="U209" i="7"/>
  <c r="V209" i="7"/>
  <c r="W209" i="7"/>
  <c r="M221" i="7"/>
  <c r="N221" i="7"/>
  <c r="O221" i="7"/>
  <c r="P221" i="7"/>
  <c r="Q221" i="7"/>
  <c r="R221" i="7"/>
  <c r="S221" i="7"/>
  <c r="T221" i="7"/>
  <c r="U221" i="7"/>
  <c r="V221" i="7"/>
  <c r="W221" i="7"/>
  <c r="M233" i="7"/>
  <c r="N233" i="7"/>
  <c r="O233" i="7"/>
  <c r="P233" i="7"/>
  <c r="Q233" i="7"/>
  <c r="R233" i="7"/>
  <c r="S233" i="7"/>
  <c r="T233" i="7"/>
  <c r="U233" i="7"/>
  <c r="V233" i="7"/>
  <c r="W233" i="7"/>
  <c r="M245" i="7"/>
  <c r="N245" i="7"/>
  <c r="O245" i="7"/>
  <c r="P245" i="7"/>
  <c r="Q245" i="7"/>
  <c r="R245" i="7"/>
  <c r="S245" i="7"/>
  <c r="T245" i="7"/>
  <c r="U245" i="7"/>
  <c r="V245" i="7"/>
  <c r="W245" i="7"/>
  <c r="M257" i="7"/>
  <c r="N257" i="7"/>
  <c r="O257" i="7"/>
  <c r="P257" i="7"/>
  <c r="Q257" i="7"/>
  <c r="R257" i="7"/>
  <c r="S257" i="7"/>
  <c r="T257" i="7"/>
  <c r="U257" i="7"/>
  <c r="V257" i="7"/>
  <c r="W257" i="7"/>
  <c r="M269" i="7"/>
  <c r="N269" i="7"/>
  <c r="O269" i="7"/>
  <c r="P269" i="7"/>
  <c r="Q269" i="7"/>
  <c r="R269" i="7"/>
  <c r="S269" i="7"/>
  <c r="T269" i="7"/>
  <c r="U269" i="7"/>
  <c r="V269" i="7"/>
  <c r="W269" i="7"/>
  <c r="M281" i="7"/>
  <c r="N281" i="7"/>
  <c r="O281" i="7"/>
  <c r="P281" i="7"/>
  <c r="Q281" i="7"/>
  <c r="R281" i="7"/>
  <c r="S281" i="7"/>
  <c r="T281" i="7"/>
  <c r="U281" i="7"/>
  <c r="V281" i="7"/>
  <c r="W281" i="7"/>
  <c r="M293" i="7"/>
  <c r="N293" i="7"/>
  <c r="O293" i="7"/>
  <c r="P293" i="7"/>
  <c r="Q293" i="7"/>
  <c r="R293" i="7"/>
  <c r="S293" i="7"/>
  <c r="T293" i="7"/>
  <c r="U293" i="7"/>
  <c r="V293" i="7"/>
  <c r="W293" i="7"/>
  <c r="M305" i="7"/>
  <c r="N305" i="7"/>
  <c r="O305" i="7"/>
  <c r="P305" i="7"/>
  <c r="Q305" i="7"/>
  <c r="R305" i="7"/>
  <c r="S305" i="7"/>
  <c r="T305" i="7"/>
  <c r="U305" i="7"/>
  <c r="V305" i="7"/>
  <c r="W305" i="7"/>
  <c r="M317" i="7"/>
  <c r="N317" i="7"/>
  <c r="O317" i="7"/>
  <c r="P317" i="7"/>
  <c r="Q317" i="7"/>
  <c r="R317" i="7"/>
  <c r="S317" i="7"/>
  <c r="T317" i="7"/>
  <c r="U317" i="7"/>
  <c r="V317" i="7"/>
  <c r="W317" i="7"/>
  <c r="M329" i="7"/>
  <c r="N329" i="7"/>
  <c r="O329" i="7"/>
  <c r="P329" i="7"/>
  <c r="Q329" i="7"/>
  <c r="R329" i="7"/>
  <c r="S329" i="7"/>
  <c r="T329" i="7"/>
  <c r="U329" i="7"/>
  <c r="V329" i="7"/>
  <c r="W329" i="7"/>
  <c r="M341" i="7"/>
  <c r="N341" i="7"/>
  <c r="O341" i="7"/>
  <c r="P341" i="7"/>
  <c r="Q341" i="7"/>
  <c r="R341" i="7"/>
  <c r="S341" i="7"/>
  <c r="T341" i="7"/>
  <c r="U341" i="7"/>
  <c r="V341" i="7"/>
  <c r="W341" i="7"/>
  <c r="M353" i="7"/>
  <c r="N353" i="7"/>
  <c r="O353" i="7"/>
  <c r="P353" i="7"/>
  <c r="Q353" i="7"/>
  <c r="R353" i="7"/>
  <c r="S353" i="7"/>
  <c r="T353" i="7"/>
  <c r="U353" i="7"/>
  <c r="V353" i="7"/>
  <c r="W353" i="7"/>
  <c r="M365" i="7"/>
  <c r="N365" i="7"/>
  <c r="O365" i="7"/>
  <c r="P365" i="7"/>
  <c r="Q365" i="7"/>
  <c r="R365" i="7"/>
  <c r="S365" i="7"/>
  <c r="T365" i="7"/>
  <c r="U365" i="7"/>
  <c r="V365" i="7"/>
  <c r="W365" i="7"/>
  <c r="M377" i="7"/>
  <c r="N377" i="7"/>
  <c r="O377" i="7"/>
  <c r="P377" i="7"/>
  <c r="Q377" i="7"/>
  <c r="R377" i="7"/>
  <c r="S377" i="7"/>
  <c r="T377" i="7"/>
  <c r="U377" i="7"/>
  <c r="V377" i="7"/>
  <c r="W377" i="7"/>
  <c r="M389" i="7"/>
  <c r="N389" i="7"/>
  <c r="O389" i="7"/>
  <c r="P389" i="7"/>
  <c r="Q389" i="7"/>
  <c r="R389" i="7"/>
  <c r="S389" i="7"/>
  <c r="T389" i="7"/>
  <c r="U389" i="7"/>
  <c r="V389" i="7"/>
  <c r="W389" i="7"/>
  <c r="M401" i="7"/>
  <c r="N401" i="7"/>
  <c r="O401" i="7"/>
  <c r="P401" i="7"/>
  <c r="Q401" i="7"/>
  <c r="R401" i="7"/>
  <c r="S401" i="7"/>
  <c r="T401" i="7"/>
  <c r="U401" i="7"/>
  <c r="V401" i="7"/>
  <c r="W401" i="7"/>
  <c r="M413" i="7"/>
  <c r="N413" i="7"/>
  <c r="O413" i="7"/>
  <c r="P413" i="7"/>
  <c r="Q413" i="7"/>
  <c r="R413" i="7"/>
  <c r="S413" i="7"/>
  <c r="T413" i="7"/>
  <c r="U413" i="7"/>
  <c r="V413" i="7"/>
  <c r="W413" i="7"/>
  <c r="M425" i="7"/>
  <c r="N425" i="7"/>
  <c r="O425" i="7"/>
  <c r="P425" i="7"/>
  <c r="Q425" i="7"/>
  <c r="R425" i="7"/>
  <c r="S425" i="7"/>
  <c r="T425" i="7"/>
  <c r="U425" i="7"/>
  <c r="V425" i="7"/>
  <c r="W425" i="7"/>
  <c r="M437" i="7"/>
  <c r="N437" i="7"/>
  <c r="O437" i="7"/>
  <c r="P437" i="7"/>
  <c r="Q437" i="7"/>
  <c r="R437" i="7"/>
  <c r="S437" i="7"/>
  <c r="T437" i="7"/>
  <c r="U437" i="7"/>
  <c r="V437" i="7"/>
  <c r="W437" i="7"/>
  <c r="M449" i="7"/>
  <c r="N449" i="7"/>
  <c r="O449" i="7"/>
  <c r="P449" i="7"/>
  <c r="Q449" i="7"/>
  <c r="R449" i="7"/>
  <c r="S449" i="7"/>
  <c r="T449" i="7"/>
  <c r="U449" i="7"/>
  <c r="V449" i="7"/>
  <c r="W449" i="7"/>
  <c r="M461" i="7"/>
  <c r="N461" i="7"/>
  <c r="O461" i="7"/>
  <c r="P461" i="7"/>
  <c r="Q461" i="7"/>
  <c r="R461" i="7"/>
  <c r="S461" i="7"/>
  <c r="T461" i="7"/>
  <c r="U461" i="7"/>
  <c r="V461" i="7"/>
  <c r="W461" i="7"/>
  <c r="M473" i="7"/>
  <c r="N473" i="7"/>
  <c r="O473" i="7"/>
  <c r="P473" i="7"/>
  <c r="Q473" i="7"/>
  <c r="R473" i="7"/>
  <c r="S473" i="7"/>
  <c r="T473" i="7"/>
  <c r="U473" i="7"/>
  <c r="V473" i="7"/>
  <c r="W473" i="7"/>
  <c r="M485" i="7"/>
  <c r="N485" i="7"/>
  <c r="O485" i="7"/>
  <c r="P485" i="7"/>
  <c r="Q485" i="7"/>
  <c r="R485" i="7"/>
  <c r="S485" i="7"/>
  <c r="T485" i="7"/>
  <c r="U485" i="7"/>
  <c r="V485" i="7"/>
  <c r="W485" i="7"/>
  <c r="M497" i="7"/>
  <c r="N497" i="7"/>
  <c r="O497" i="7"/>
  <c r="P497" i="7"/>
  <c r="Q497" i="7"/>
  <c r="R497" i="7"/>
  <c r="S497" i="7"/>
  <c r="T497" i="7"/>
  <c r="U497" i="7"/>
  <c r="V497" i="7"/>
  <c r="W497" i="7"/>
  <c r="M509" i="7"/>
  <c r="N509" i="7"/>
  <c r="O509" i="7"/>
  <c r="P509" i="7"/>
  <c r="Q509" i="7"/>
  <c r="R509" i="7"/>
  <c r="S509" i="7"/>
  <c r="T509" i="7"/>
  <c r="U509" i="7"/>
  <c r="V509" i="7"/>
  <c r="W509" i="7"/>
  <c r="M521" i="7"/>
  <c r="N521" i="7"/>
  <c r="O521" i="7"/>
  <c r="P521" i="7"/>
  <c r="Q521" i="7"/>
  <c r="R521" i="7"/>
  <c r="S521" i="7"/>
  <c r="T521" i="7"/>
  <c r="U521" i="7"/>
  <c r="V521" i="7"/>
  <c r="W521" i="7"/>
  <c r="M533" i="7"/>
  <c r="N533" i="7"/>
  <c r="O533" i="7"/>
  <c r="P533" i="7"/>
  <c r="Q533" i="7"/>
  <c r="R533" i="7"/>
  <c r="S533" i="7"/>
  <c r="T533" i="7"/>
  <c r="U533" i="7"/>
  <c r="V533" i="7"/>
  <c r="W533" i="7"/>
  <c r="M545" i="7"/>
  <c r="N545" i="7"/>
  <c r="O545" i="7"/>
  <c r="P545" i="7"/>
  <c r="Q545" i="7"/>
  <c r="R545" i="7"/>
  <c r="S545" i="7"/>
  <c r="T545" i="7"/>
  <c r="U545" i="7"/>
  <c r="V545" i="7"/>
  <c r="W545" i="7"/>
  <c r="M557" i="7"/>
  <c r="N557" i="7"/>
  <c r="O557" i="7"/>
  <c r="P557" i="7"/>
  <c r="Q557" i="7"/>
  <c r="R557" i="7"/>
  <c r="S557" i="7"/>
  <c r="T557" i="7"/>
  <c r="U557" i="7"/>
  <c r="V557" i="7"/>
  <c r="W557" i="7"/>
  <c r="M569" i="7"/>
  <c r="N569" i="7"/>
  <c r="O569" i="7"/>
  <c r="P569" i="7"/>
  <c r="Q569" i="7"/>
  <c r="R569" i="7"/>
  <c r="S569" i="7"/>
  <c r="T569" i="7"/>
  <c r="U569" i="7"/>
  <c r="V569" i="7"/>
  <c r="W569" i="7"/>
  <c r="M581" i="7"/>
  <c r="N581" i="7"/>
  <c r="O581" i="7"/>
  <c r="P581" i="7"/>
  <c r="Q581" i="7"/>
  <c r="R581" i="7"/>
  <c r="S581" i="7"/>
  <c r="T581" i="7"/>
  <c r="U581" i="7"/>
  <c r="V581" i="7"/>
  <c r="W581" i="7"/>
  <c r="M593" i="7"/>
  <c r="N593" i="7"/>
  <c r="O593" i="7"/>
  <c r="P593" i="7"/>
  <c r="Q593" i="7"/>
  <c r="R593" i="7"/>
  <c r="S593" i="7"/>
  <c r="T593" i="7"/>
  <c r="U593" i="7"/>
  <c r="V593" i="7"/>
  <c r="W593" i="7"/>
  <c r="M605" i="7"/>
  <c r="N605" i="7"/>
  <c r="O605" i="7"/>
  <c r="P605" i="7"/>
  <c r="Q605" i="7"/>
  <c r="R605" i="7"/>
  <c r="S605" i="7"/>
  <c r="T605" i="7"/>
  <c r="U605" i="7"/>
  <c r="V605" i="7"/>
  <c r="W605" i="7"/>
  <c r="M617" i="7"/>
  <c r="N617" i="7"/>
  <c r="O617" i="7"/>
  <c r="P617" i="7"/>
  <c r="Q617" i="7"/>
  <c r="R617" i="7"/>
  <c r="S617" i="7"/>
  <c r="T617" i="7"/>
  <c r="U617" i="7"/>
  <c r="V617" i="7"/>
  <c r="W617" i="7"/>
  <c r="M629" i="7"/>
  <c r="N629" i="7"/>
  <c r="O629" i="7"/>
  <c r="P629" i="7"/>
  <c r="Q629" i="7"/>
  <c r="R629" i="7"/>
  <c r="S629" i="7"/>
  <c r="T629" i="7"/>
  <c r="U629" i="7"/>
  <c r="V629" i="7"/>
  <c r="W629" i="7"/>
  <c r="M641" i="7"/>
  <c r="N641" i="7"/>
  <c r="O641" i="7"/>
  <c r="P641" i="7"/>
  <c r="Q641" i="7"/>
  <c r="R641" i="7"/>
  <c r="S641" i="7"/>
  <c r="T641" i="7"/>
  <c r="U641" i="7"/>
  <c r="V641" i="7"/>
  <c r="W641" i="7"/>
  <c r="M653" i="7"/>
  <c r="N653" i="7"/>
  <c r="O653" i="7"/>
  <c r="P653" i="7"/>
  <c r="Q653" i="7"/>
  <c r="R653" i="7"/>
  <c r="S653" i="7"/>
  <c r="T653" i="7"/>
  <c r="U653" i="7"/>
  <c r="V653" i="7"/>
  <c r="W653" i="7"/>
  <c r="M665" i="7"/>
  <c r="N665" i="7"/>
  <c r="O665" i="7"/>
  <c r="P665" i="7"/>
  <c r="Q665" i="7"/>
  <c r="R665" i="7"/>
  <c r="S665" i="7"/>
  <c r="T665" i="7"/>
  <c r="U665" i="7"/>
  <c r="V665" i="7"/>
  <c r="W665" i="7"/>
  <c r="M677" i="7"/>
  <c r="N677" i="7"/>
  <c r="O677" i="7"/>
  <c r="P677" i="7"/>
  <c r="Q677" i="7"/>
  <c r="R677" i="7"/>
  <c r="S677" i="7"/>
  <c r="T677" i="7"/>
  <c r="U677" i="7"/>
  <c r="V677" i="7"/>
  <c r="W677" i="7"/>
  <c r="M689" i="7"/>
  <c r="N689" i="7"/>
  <c r="O689" i="7"/>
  <c r="P689" i="7"/>
  <c r="Q689" i="7"/>
  <c r="R689" i="7"/>
  <c r="S689" i="7"/>
  <c r="T689" i="7"/>
  <c r="U689" i="7"/>
  <c r="V689" i="7"/>
  <c r="W689" i="7"/>
  <c r="M701" i="7"/>
  <c r="N701" i="7"/>
  <c r="O701" i="7"/>
  <c r="P701" i="7"/>
  <c r="Q701" i="7"/>
  <c r="R701" i="7"/>
  <c r="S701" i="7"/>
  <c r="T701" i="7"/>
  <c r="U701" i="7"/>
  <c r="V701" i="7"/>
  <c r="W701" i="7"/>
  <c r="M713" i="7"/>
  <c r="N713" i="7"/>
  <c r="O713" i="7"/>
  <c r="P713" i="7"/>
  <c r="Q713" i="7"/>
  <c r="R713" i="7"/>
  <c r="S713" i="7"/>
  <c r="T713" i="7"/>
  <c r="U713" i="7"/>
  <c r="V713" i="7"/>
  <c r="W713" i="7"/>
  <c r="M725" i="7"/>
  <c r="N725" i="7"/>
  <c r="O725" i="7"/>
  <c r="P725" i="7"/>
  <c r="Q725" i="7"/>
  <c r="R725" i="7"/>
  <c r="S725" i="7"/>
  <c r="T725" i="7"/>
  <c r="U725" i="7"/>
  <c r="V725" i="7"/>
  <c r="W725" i="7"/>
  <c r="M737" i="7"/>
  <c r="N737" i="7"/>
  <c r="O737" i="7"/>
  <c r="P737" i="7"/>
  <c r="Q737" i="7"/>
  <c r="R737" i="7"/>
  <c r="S737" i="7"/>
  <c r="T737" i="7"/>
  <c r="U737" i="7"/>
  <c r="V737" i="7"/>
  <c r="W737" i="7"/>
  <c r="M749" i="7"/>
  <c r="N749" i="7"/>
  <c r="O749" i="7"/>
  <c r="P749" i="7"/>
  <c r="Q749" i="7"/>
  <c r="R749" i="7"/>
  <c r="S749" i="7"/>
  <c r="T749" i="7"/>
  <c r="U749" i="7"/>
  <c r="V749" i="7"/>
  <c r="W749" i="7"/>
  <c r="M761" i="7"/>
  <c r="N761" i="7"/>
  <c r="O761" i="7"/>
  <c r="P761" i="7"/>
  <c r="Q761" i="7"/>
  <c r="R761" i="7"/>
  <c r="S761" i="7"/>
  <c r="T761" i="7"/>
  <c r="U761" i="7"/>
  <c r="V761" i="7"/>
  <c r="W761" i="7"/>
  <c r="M773" i="7"/>
  <c r="N773" i="7"/>
  <c r="O773" i="7"/>
  <c r="P773" i="7"/>
  <c r="Q773" i="7"/>
  <c r="R773" i="7"/>
  <c r="S773" i="7"/>
  <c r="T773" i="7"/>
  <c r="U773" i="7"/>
  <c r="V773" i="7"/>
  <c r="W773" i="7"/>
  <c r="M785" i="7"/>
  <c r="N785" i="7"/>
  <c r="O785" i="7"/>
  <c r="P785" i="7"/>
  <c r="Q785" i="7"/>
  <c r="R785" i="7"/>
  <c r="S785" i="7"/>
  <c r="T785" i="7"/>
  <c r="U785" i="7"/>
  <c r="V785" i="7"/>
  <c r="W785" i="7"/>
  <c r="M797" i="7"/>
  <c r="N797" i="7"/>
  <c r="O797" i="7"/>
  <c r="P797" i="7"/>
  <c r="Q797" i="7"/>
  <c r="R797" i="7"/>
  <c r="S797" i="7"/>
  <c r="T797" i="7"/>
  <c r="U797" i="7"/>
  <c r="V797" i="7"/>
  <c r="W797" i="7"/>
  <c r="M809" i="7"/>
  <c r="N809" i="7"/>
  <c r="O809" i="7"/>
  <c r="P809" i="7"/>
  <c r="Q809" i="7"/>
  <c r="R809" i="7"/>
  <c r="S809" i="7"/>
  <c r="T809" i="7"/>
  <c r="U809" i="7"/>
  <c r="V809" i="7"/>
  <c r="W809" i="7"/>
  <c r="M821" i="7"/>
  <c r="N821" i="7"/>
  <c r="O821" i="7"/>
  <c r="P821" i="7"/>
  <c r="Q821" i="7"/>
  <c r="R821" i="7"/>
  <c r="S821" i="7"/>
  <c r="T821" i="7"/>
  <c r="U821" i="7"/>
  <c r="V821" i="7"/>
  <c r="W821" i="7"/>
  <c r="M833" i="7"/>
  <c r="N833" i="7"/>
  <c r="O833" i="7"/>
  <c r="P833" i="7"/>
  <c r="Q833" i="7"/>
  <c r="R833" i="7"/>
  <c r="S833" i="7"/>
  <c r="T833" i="7"/>
  <c r="U833" i="7"/>
  <c r="V833" i="7"/>
  <c r="W833" i="7"/>
  <c r="M845" i="7"/>
  <c r="N845" i="7"/>
  <c r="O845" i="7"/>
  <c r="P845" i="7"/>
  <c r="Q845" i="7"/>
  <c r="R845" i="7"/>
  <c r="S845" i="7"/>
  <c r="T845" i="7"/>
  <c r="U845" i="7"/>
  <c r="V845" i="7"/>
  <c r="W845" i="7"/>
  <c r="M857" i="7"/>
  <c r="N857" i="7"/>
  <c r="O857" i="7"/>
  <c r="P857" i="7"/>
  <c r="Q857" i="7"/>
  <c r="R857" i="7"/>
  <c r="S857" i="7"/>
  <c r="T857" i="7"/>
  <c r="U857" i="7"/>
  <c r="V857" i="7"/>
  <c r="W857" i="7"/>
  <c r="M869" i="7"/>
  <c r="N869" i="7"/>
  <c r="O869" i="7"/>
  <c r="P869" i="7"/>
  <c r="Q869" i="7"/>
  <c r="R869" i="7"/>
  <c r="S869" i="7"/>
  <c r="T869" i="7"/>
  <c r="U869" i="7"/>
  <c r="V869" i="7"/>
  <c r="W869" i="7"/>
  <c r="M881" i="7"/>
  <c r="N881" i="7"/>
  <c r="O881" i="7"/>
  <c r="P881" i="7"/>
  <c r="Q881" i="7"/>
  <c r="R881" i="7"/>
  <c r="S881" i="7"/>
  <c r="T881" i="7"/>
  <c r="U881" i="7"/>
  <c r="V881" i="7"/>
  <c r="W881" i="7"/>
  <c r="M893" i="7"/>
  <c r="N893" i="7"/>
  <c r="O893" i="7"/>
  <c r="P893" i="7"/>
  <c r="Q893" i="7"/>
  <c r="R893" i="7"/>
  <c r="S893" i="7"/>
  <c r="T893" i="7"/>
  <c r="U893" i="7"/>
  <c r="V893" i="7"/>
  <c r="W893" i="7"/>
  <c r="M905" i="7"/>
  <c r="N905" i="7"/>
  <c r="O905" i="7"/>
  <c r="P905" i="7"/>
  <c r="Q905" i="7"/>
  <c r="R905" i="7"/>
  <c r="S905" i="7"/>
  <c r="T905" i="7"/>
  <c r="U905" i="7"/>
  <c r="V905" i="7"/>
  <c r="W905" i="7"/>
  <c r="M917" i="7"/>
  <c r="N917" i="7"/>
  <c r="O917" i="7"/>
  <c r="P917" i="7"/>
  <c r="Q917" i="7"/>
  <c r="R917" i="7"/>
  <c r="S917" i="7"/>
  <c r="T917" i="7"/>
  <c r="U917" i="7"/>
  <c r="V917" i="7"/>
  <c r="W917" i="7"/>
  <c r="M929" i="7"/>
  <c r="N929" i="7"/>
  <c r="O929" i="7"/>
  <c r="P929" i="7"/>
  <c r="Q929" i="7"/>
  <c r="R929" i="7"/>
  <c r="S929" i="7"/>
  <c r="T929" i="7"/>
  <c r="U929" i="7"/>
  <c r="V929" i="7"/>
  <c r="W929" i="7"/>
  <c r="M941" i="7"/>
  <c r="N941" i="7"/>
  <c r="O941" i="7"/>
  <c r="P941" i="7"/>
  <c r="Q941" i="7"/>
  <c r="R941" i="7"/>
  <c r="S941" i="7"/>
  <c r="T941" i="7"/>
  <c r="U941" i="7"/>
  <c r="V941" i="7"/>
  <c r="W941" i="7"/>
  <c r="M953" i="7"/>
  <c r="N953" i="7"/>
  <c r="O953" i="7"/>
  <c r="P953" i="7"/>
  <c r="Q953" i="7"/>
  <c r="R953" i="7"/>
  <c r="S953" i="7"/>
  <c r="T953" i="7"/>
  <c r="U953" i="7"/>
  <c r="V953" i="7"/>
  <c r="W953" i="7"/>
  <c r="M965" i="7"/>
  <c r="N965" i="7"/>
  <c r="O965" i="7"/>
  <c r="P965" i="7"/>
  <c r="Q965" i="7"/>
  <c r="R965" i="7"/>
  <c r="S965" i="7"/>
  <c r="T965" i="7"/>
  <c r="U965" i="7"/>
  <c r="V965" i="7"/>
  <c r="W965" i="7"/>
  <c r="M977" i="7"/>
  <c r="N977" i="7"/>
  <c r="O977" i="7"/>
  <c r="P977" i="7"/>
  <c r="Q977" i="7"/>
  <c r="R977" i="7"/>
  <c r="S977" i="7"/>
  <c r="T977" i="7"/>
  <c r="U977" i="7"/>
  <c r="V977" i="7"/>
  <c r="W977" i="7"/>
  <c r="M989" i="7"/>
  <c r="N989" i="7"/>
  <c r="O989" i="7"/>
  <c r="P989" i="7"/>
  <c r="Q989" i="7"/>
  <c r="R989" i="7"/>
  <c r="S989" i="7"/>
  <c r="T989" i="7"/>
  <c r="U989" i="7"/>
  <c r="V989" i="7"/>
  <c r="W989" i="7"/>
  <c r="M1001" i="7"/>
  <c r="N1001" i="7"/>
  <c r="O1001" i="7"/>
  <c r="P1001" i="7"/>
  <c r="Q1001" i="7"/>
  <c r="R1001" i="7"/>
  <c r="S1001" i="7"/>
  <c r="T1001" i="7"/>
  <c r="U1001" i="7"/>
  <c r="V1001" i="7"/>
  <c r="W1001" i="7"/>
  <c r="M1013" i="7"/>
  <c r="N1013" i="7"/>
  <c r="O1013" i="7"/>
  <c r="P1013" i="7"/>
  <c r="Q1013" i="7"/>
  <c r="R1013" i="7"/>
  <c r="S1013" i="7"/>
  <c r="T1013" i="7"/>
  <c r="U1013" i="7"/>
  <c r="V1013" i="7"/>
  <c r="W1013" i="7"/>
  <c r="M1025" i="7"/>
  <c r="N1025" i="7"/>
  <c r="O1025" i="7"/>
  <c r="P1025" i="7"/>
  <c r="Q1025" i="7"/>
  <c r="R1025" i="7"/>
  <c r="S1025" i="7"/>
  <c r="T1025" i="7"/>
  <c r="U1025" i="7"/>
  <c r="V1025" i="7"/>
  <c r="W1025" i="7"/>
  <c r="M1037" i="7"/>
  <c r="N1037" i="7"/>
  <c r="O1037" i="7"/>
  <c r="P1037" i="7"/>
  <c r="Q1037" i="7"/>
  <c r="R1037" i="7"/>
  <c r="S1037" i="7"/>
  <c r="T1037" i="7"/>
  <c r="U1037" i="7"/>
  <c r="V1037" i="7"/>
  <c r="W1037" i="7"/>
  <c r="M1049" i="7"/>
  <c r="N1049" i="7"/>
  <c r="O1049" i="7"/>
  <c r="P1049" i="7"/>
  <c r="Q1049" i="7"/>
  <c r="R1049" i="7"/>
  <c r="S1049" i="7"/>
  <c r="T1049" i="7"/>
  <c r="U1049" i="7"/>
  <c r="V1049" i="7"/>
  <c r="W1049" i="7"/>
  <c r="M691" i="7"/>
  <c r="N691" i="7"/>
  <c r="O691" i="7"/>
  <c r="P691" i="7"/>
  <c r="Q691" i="7"/>
  <c r="R691" i="7"/>
  <c r="S691" i="7"/>
  <c r="T691" i="7"/>
  <c r="U691" i="7"/>
  <c r="V691" i="7"/>
  <c r="W691" i="7"/>
  <c r="M727" i="7"/>
  <c r="N727" i="7"/>
  <c r="O727" i="7"/>
  <c r="P727" i="7"/>
  <c r="Q727" i="7"/>
  <c r="R727" i="7"/>
  <c r="S727" i="7"/>
  <c r="T727" i="7"/>
  <c r="U727" i="7"/>
  <c r="V727" i="7"/>
  <c r="W727" i="7"/>
  <c r="M739" i="7"/>
  <c r="N739" i="7"/>
  <c r="O739" i="7"/>
  <c r="P739" i="7"/>
  <c r="Q739" i="7"/>
  <c r="R739" i="7"/>
  <c r="S739" i="7"/>
  <c r="T739" i="7"/>
  <c r="U739" i="7"/>
  <c r="V739" i="7"/>
  <c r="W739" i="7"/>
  <c r="M751" i="7"/>
  <c r="N751" i="7"/>
  <c r="O751" i="7"/>
  <c r="P751" i="7"/>
  <c r="Q751" i="7"/>
  <c r="R751" i="7"/>
  <c r="S751" i="7"/>
  <c r="T751" i="7"/>
  <c r="U751" i="7"/>
  <c r="V751" i="7"/>
  <c r="W751" i="7"/>
  <c r="M775" i="7"/>
  <c r="N775" i="7"/>
  <c r="O775" i="7"/>
  <c r="P775" i="7"/>
  <c r="Q775" i="7"/>
  <c r="R775" i="7"/>
  <c r="S775" i="7"/>
  <c r="T775" i="7"/>
  <c r="U775" i="7"/>
  <c r="V775" i="7"/>
  <c r="W775" i="7"/>
  <c r="M787" i="7"/>
  <c r="N787" i="7"/>
  <c r="O787" i="7"/>
  <c r="P787" i="7"/>
  <c r="Q787" i="7"/>
  <c r="R787" i="7"/>
  <c r="S787" i="7"/>
  <c r="T787" i="7"/>
  <c r="U787" i="7"/>
  <c r="V787" i="7"/>
  <c r="W787" i="7"/>
  <c r="M811" i="7"/>
  <c r="N811" i="7"/>
  <c r="O811" i="7"/>
  <c r="P811" i="7"/>
  <c r="Q811" i="7"/>
  <c r="R811" i="7"/>
  <c r="S811" i="7"/>
  <c r="T811" i="7"/>
  <c r="U811" i="7"/>
  <c r="V811" i="7"/>
  <c r="W811" i="7"/>
  <c r="M823" i="7"/>
  <c r="N823" i="7"/>
  <c r="O823" i="7"/>
  <c r="P823" i="7"/>
  <c r="Q823" i="7"/>
  <c r="R823" i="7"/>
  <c r="S823" i="7"/>
  <c r="T823" i="7"/>
  <c r="U823" i="7"/>
  <c r="V823" i="7"/>
  <c r="W823" i="7"/>
  <c r="M847" i="7"/>
  <c r="N847" i="7"/>
  <c r="O847" i="7"/>
  <c r="P847" i="7"/>
  <c r="Q847" i="7"/>
  <c r="R847" i="7"/>
  <c r="S847" i="7"/>
  <c r="T847" i="7"/>
  <c r="U847" i="7"/>
  <c r="V847" i="7"/>
  <c r="W847" i="7"/>
  <c r="M871" i="7"/>
  <c r="N871" i="7"/>
  <c r="O871" i="7"/>
  <c r="P871" i="7"/>
  <c r="Q871" i="7"/>
  <c r="R871" i="7"/>
  <c r="S871" i="7"/>
  <c r="T871" i="7"/>
  <c r="U871" i="7"/>
  <c r="V871" i="7"/>
  <c r="W871" i="7"/>
  <c r="M883" i="7"/>
  <c r="N883" i="7"/>
  <c r="O883" i="7"/>
  <c r="P883" i="7"/>
  <c r="Q883" i="7"/>
  <c r="R883" i="7"/>
  <c r="S883" i="7"/>
  <c r="T883" i="7"/>
  <c r="U883" i="7"/>
  <c r="V883" i="7"/>
  <c r="W883" i="7"/>
  <c r="M895" i="7"/>
  <c r="N895" i="7"/>
  <c r="O895" i="7"/>
  <c r="P895" i="7"/>
  <c r="Q895" i="7"/>
  <c r="R895" i="7"/>
  <c r="S895" i="7"/>
  <c r="T895" i="7"/>
  <c r="U895" i="7"/>
  <c r="V895" i="7"/>
  <c r="W895" i="7"/>
  <c r="M943" i="7"/>
  <c r="N943" i="7"/>
  <c r="O943" i="7"/>
  <c r="P943" i="7"/>
  <c r="Q943" i="7"/>
  <c r="R943" i="7"/>
  <c r="S943" i="7"/>
  <c r="T943" i="7"/>
  <c r="U943" i="7"/>
  <c r="V943" i="7"/>
  <c r="W943" i="7"/>
  <c r="M955" i="7"/>
  <c r="N955" i="7"/>
  <c r="O955" i="7"/>
  <c r="P955" i="7"/>
  <c r="Q955" i="7"/>
  <c r="R955" i="7"/>
  <c r="S955" i="7"/>
  <c r="T955" i="7"/>
  <c r="U955" i="7"/>
  <c r="V955" i="7"/>
  <c r="W955" i="7"/>
  <c r="M967" i="7"/>
  <c r="N967" i="7"/>
  <c r="O967" i="7"/>
  <c r="P967" i="7"/>
  <c r="Q967" i="7"/>
  <c r="R967" i="7"/>
  <c r="S967" i="7"/>
  <c r="T967" i="7"/>
  <c r="U967" i="7"/>
  <c r="V967" i="7"/>
  <c r="W967" i="7"/>
  <c r="M979" i="7"/>
  <c r="N979" i="7"/>
  <c r="O979" i="7"/>
  <c r="P979" i="7"/>
  <c r="Q979" i="7"/>
  <c r="R979" i="7"/>
  <c r="S979" i="7"/>
  <c r="T979" i="7"/>
  <c r="U979" i="7"/>
  <c r="V979" i="7"/>
  <c r="W979" i="7"/>
  <c r="M991" i="7"/>
  <c r="N991" i="7"/>
  <c r="O991" i="7"/>
  <c r="P991" i="7"/>
  <c r="Q991" i="7"/>
  <c r="R991" i="7"/>
  <c r="S991" i="7"/>
  <c r="T991" i="7"/>
  <c r="U991" i="7"/>
  <c r="V991" i="7"/>
  <c r="W991" i="7"/>
  <c r="M1003" i="7"/>
  <c r="N1003" i="7"/>
  <c r="O1003" i="7"/>
  <c r="P1003" i="7"/>
  <c r="Q1003" i="7"/>
  <c r="R1003" i="7"/>
  <c r="S1003" i="7"/>
  <c r="T1003" i="7"/>
  <c r="U1003" i="7"/>
  <c r="V1003" i="7"/>
  <c r="W1003" i="7"/>
  <c r="M1027" i="7"/>
  <c r="N1027" i="7"/>
  <c r="O1027" i="7"/>
  <c r="P1027" i="7"/>
  <c r="Q1027" i="7"/>
  <c r="R1027" i="7"/>
  <c r="S1027" i="7"/>
  <c r="T1027" i="7"/>
  <c r="U1027" i="7"/>
  <c r="V1027" i="7"/>
  <c r="W1027" i="7"/>
  <c r="M1051" i="7"/>
  <c r="N1051" i="7"/>
  <c r="O1051" i="7"/>
  <c r="P1051" i="7"/>
  <c r="Q1051" i="7"/>
  <c r="R1051" i="7"/>
  <c r="S1051" i="7"/>
  <c r="T1051" i="7"/>
  <c r="U1051" i="7"/>
  <c r="V1051" i="7"/>
  <c r="W1051" i="7"/>
  <c r="M992" i="7"/>
  <c r="N992" i="7"/>
  <c r="O992" i="7"/>
  <c r="P992" i="7"/>
  <c r="Q992" i="7"/>
  <c r="R992" i="7"/>
  <c r="S992" i="7"/>
  <c r="T992" i="7"/>
  <c r="U992" i="7"/>
  <c r="V992" i="7"/>
  <c r="W992" i="7"/>
  <c r="M1016" i="7"/>
  <c r="N1016" i="7"/>
  <c r="O1016" i="7"/>
  <c r="P1016" i="7"/>
  <c r="Q1016" i="7"/>
  <c r="R1016" i="7"/>
  <c r="S1016" i="7"/>
  <c r="T1016" i="7"/>
  <c r="U1016" i="7"/>
  <c r="V1016" i="7"/>
  <c r="W1016" i="7"/>
  <c r="M1028" i="7"/>
  <c r="N1028" i="7"/>
  <c r="O1028" i="7"/>
  <c r="P1028" i="7"/>
  <c r="Q1028" i="7"/>
  <c r="R1028" i="7"/>
  <c r="S1028" i="7"/>
  <c r="T1028" i="7"/>
  <c r="U1028" i="7"/>
  <c r="V1028" i="7"/>
  <c r="W1028" i="7"/>
  <c r="M610" i="7"/>
  <c r="N610" i="7"/>
  <c r="O610" i="7"/>
  <c r="P610" i="7"/>
  <c r="Q610" i="7"/>
  <c r="R610" i="7"/>
  <c r="S610" i="7"/>
  <c r="T610" i="7"/>
  <c r="U610" i="7"/>
  <c r="V610" i="7"/>
  <c r="W610" i="7"/>
  <c r="M634" i="7"/>
  <c r="N634" i="7"/>
  <c r="O634" i="7"/>
  <c r="P634" i="7"/>
  <c r="Q634" i="7"/>
  <c r="R634" i="7"/>
  <c r="S634" i="7"/>
  <c r="T634" i="7"/>
  <c r="U634" i="7"/>
  <c r="V634" i="7"/>
  <c r="W634" i="7"/>
  <c r="M850" i="7"/>
  <c r="N850" i="7"/>
  <c r="O850" i="7"/>
  <c r="P850" i="7"/>
  <c r="Q850" i="7"/>
  <c r="R850" i="7"/>
  <c r="S850" i="7"/>
  <c r="T850" i="7"/>
  <c r="U850" i="7"/>
  <c r="V850" i="7"/>
  <c r="W850" i="7"/>
  <c r="M886" i="7"/>
  <c r="N886" i="7"/>
  <c r="O886" i="7"/>
  <c r="P886" i="7"/>
  <c r="Q886" i="7"/>
  <c r="R886" i="7"/>
  <c r="S886" i="7"/>
  <c r="T886" i="7"/>
  <c r="U886" i="7"/>
  <c r="V886" i="7"/>
  <c r="W886" i="7"/>
  <c r="M910" i="7"/>
  <c r="N910" i="7"/>
  <c r="O910" i="7"/>
  <c r="P910" i="7"/>
  <c r="Q910" i="7"/>
  <c r="R910" i="7"/>
  <c r="S910" i="7"/>
  <c r="T910" i="7"/>
  <c r="U910" i="7"/>
  <c r="V910" i="7"/>
  <c r="W910" i="7"/>
  <c r="M958" i="7"/>
  <c r="N958" i="7"/>
  <c r="O958" i="7"/>
  <c r="P958" i="7"/>
  <c r="Q958" i="7"/>
  <c r="R958" i="7"/>
  <c r="S958" i="7"/>
  <c r="T958" i="7"/>
  <c r="U958" i="7"/>
  <c r="V958" i="7"/>
  <c r="W958" i="7"/>
  <c r="M982" i="7"/>
  <c r="N982" i="7"/>
  <c r="O982" i="7"/>
  <c r="P982" i="7"/>
  <c r="Q982" i="7"/>
  <c r="R982" i="7"/>
  <c r="S982" i="7"/>
  <c r="T982" i="7"/>
  <c r="U982" i="7"/>
  <c r="V982" i="7"/>
  <c r="W982" i="7"/>
  <c r="M1006" i="7"/>
  <c r="N1006" i="7"/>
  <c r="O1006" i="7"/>
  <c r="P1006" i="7"/>
  <c r="Q1006" i="7"/>
  <c r="R1006" i="7"/>
  <c r="S1006" i="7"/>
  <c r="T1006" i="7"/>
  <c r="U1006" i="7"/>
  <c r="V1006" i="7"/>
  <c r="W1006" i="7"/>
  <c r="M779" i="7"/>
  <c r="N779" i="7"/>
  <c r="O779" i="7"/>
  <c r="P779" i="7"/>
  <c r="Q779" i="7"/>
  <c r="R779" i="7"/>
  <c r="S779" i="7"/>
  <c r="T779" i="7"/>
  <c r="U779" i="7"/>
  <c r="V779" i="7"/>
  <c r="W779" i="7"/>
  <c r="M815" i="7"/>
  <c r="N815" i="7"/>
  <c r="O815" i="7"/>
  <c r="P815" i="7"/>
  <c r="Q815" i="7"/>
  <c r="R815" i="7"/>
  <c r="S815" i="7"/>
  <c r="T815" i="7"/>
  <c r="U815" i="7"/>
  <c r="V815" i="7"/>
  <c r="W815" i="7"/>
  <c r="M875" i="7"/>
  <c r="N875" i="7"/>
  <c r="O875" i="7"/>
  <c r="P875" i="7"/>
  <c r="Q875" i="7"/>
  <c r="R875" i="7"/>
  <c r="S875" i="7"/>
  <c r="T875" i="7"/>
  <c r="U875" i="7"/>
  <c r="V875" i="7"/>
  <c r="W875" i="7"/>
  <c r="M887" i="7"/>
  <c r="N887" i="7"/>
  <c r="O887" i="7"/>
  <c r="P887" i="7"/>
  <c r="Q887" i="7"/>
  <c r="R887" i="7"/>
  <c r="S887" i="7"/>
  <c r="T887" i="7"/>
  <c r="U887" i="7"/>
  <c r="V887" i="7"/>
  <c r="W887" i="7"/>
  <c r="M923" i="7"/>
  <c r="N923" i="7"/>
  <c r="O923" i="7"/>
  <c r="P923" i="7"/>
  <c r="Q923" i="7"/>
  <c r="R923" i="7"/>
  <c r="S923" i="7"/>
  <c r="T923" i="7"/>
  <c r="U923" i="7"/>
  <c r="V923" i="7"/>
  <c r="W923" i="7"/>
  <c r="M947" i="7"/>
  <c r="N947" i="7"/>
  <c r="O947" i="7"/>
  <c r="P947" i="7"/>
  <c r="Q947" i="7"/>
  <c r="R947" i="7"/>
  <c r="S947" i="7"/>
  <c r="T947" i="7"/>
  <c r="U947" i="7"/>
  <c r="V947" i="7"/>
  <c r="W947" i="7"/>
  <c r="M983" i="7"/>
  <c r="N983" i="7"/>
  <c r="O983" i="7"/>
  <c r="P983" i="7"/>
  <c r="Q983" i="7"/>
  <c r="R983" i="7"/>
  <c r="S983" i="7"/>
  <c r="T983" i="7"/>
  <c r="U983" i="7"/>
  <c r="V983" i="7"/>
  <c r="W983" i="7"/>
  <c r="M458" i="7"/>
  <c r="N458" i="7"/>
  <c r="O458" i="7"/>
  <c r="P458" i="7"/>
  <c r="Q458" i="7"/>
  <c r="R458" i="7"/>
  <c r="S458" i="7"/>
  <c r="T458" i="7"/>
  <c r="U458" i="7"/>
  <c r="V458" i="7"/>
  <c r="W458" i="7"/>
  <c r="M530" i="7"/>
  <c r="N530" i="7"/>
  <c r="O530" i="7"/>
  <c r="P530" i="7"/>
  <c r="Q530" i="7"/>
  <c r="R530" i="7"/>
  <c r="S530" i="7"/>
  <c r="T530" i="7"/>
  <c r="U530" i="7"/>
  <c r="V530" i="7"/>
  <c r="W530" i="7"/>
  <c r="M18" i="7"/>
  <c r="N18" i="7"/>
  <c r="O18" i="7"/>
  <c r="P18" i="7"/>
  <c r="Q18" i="7"/>
  <c r="R18" i="7"/>
  <c r="S18" i="7"/>
  <c r="T18" i="7"/>
  <c r="U18" i="7"/>
  <c r="V18" i="7"/>
  <c r="W18" i="7"/>
  <c r="M30" i="7"/>
  <c r="N30" i="7"/>
  <c r="O30" i="7"/>
  <c r="P30" i="7"/>
  <c r="Q30" i="7"/>
  <c r="R30" i="7"/>
  <c r="S30" i="7"/>
  <c r="T30" i="7"/>
  <c r="U30" i="7"/>
  <c r="V30" i="7"/>
  <c r="W30" i="7"/>
  <c r="M42" i="7"/>
  <c r="N42" i="7"/>
  <c r="O42" i="7"/>
  <c r="P42" i="7"/>
  <c r="Q42" i="7"/>
  <c r="R42" i="7"/>
  <c r="S42" i="7"/>
  <c r="T42" i="7"/>
  <c r="U42" i="7"/>
  <c r="V42" i="7"/>
  <c r="W42" i="7"/>
  <c r="M54" i="7"/>
  <c r="N54" i="7"/>
  <c r="O54" i="7"/>
  <c r="P54" i="7"/>
  <c r="Q54" i="7"/>
  <c r="R54" i="7"/>
  <c r="S54" i="7"/>
  <c r="T54" i="7"/>
  <c r="U54" i="7"/>
  <c r="V54" i="7"/>
  <c r="W54" i="7"/>
  <c r="M66" i="7"/>
  <c r="N66" i="7"/>
  <c r="O66" i="7"/>
  <c r="P66" i="7"/>
  <c r="Q66" i="7"/>
  <c r="R66" i="7"/>
  <c r="S66" i="7"/>
  <c r="T66" i="7"/>
  <c r="U66" i="7"/>
  <c r="V66" i="7"/>
  <c r="W66" i="7"/>
  <c r="M78" i="7"/>
  <c r="N78" i="7"/>
  <c r="O78" i="7"/>
  <c r="P78" i="7"/>
  <c r="Q78" i="7"/>
  <c r="R78" i="7"/>
  <c r="S78" i="7"/>
  <c r="T78" i="7"/>
  <c r="U78" i="7"/>
  <c r="V78" i="7"/>
  <c r="W78" i="7"/>
  <c r="M90" i="7"/>
  <c r="N90" i="7"/>
  <c r="O90" i="7"/>
  <c r="P90" i="7"/>
  <c r="Q90" i="7"/>
  <c r="R90" i="7"/>
  <c r="S90" i="7"/>
  <c r="T90" i="7"/>
  <c r="U90" i="7"/>
  <c r="V90" i="7"/>
  <c r="W90" i="7"/>
  <c r="M102" i="7"/>
  <c r="N102" i="7"/>
  <c r="O102" i="7"/>
  <c r="P102" i="7"/>
  <c r="Q102" i="7"/>
  <c r="R102" i="7"/>
  <c r="S102" i="7"/>
  <c r="T102" i="7"/>
  <c r="U102" i="7"/>
  <c r="V102" i="7"/>
  <c r="W102" i="7"/>
  <c r="M114" i="7"/>
  <c r="N114" i="7"/>
  <c r="O114" i="7"/>
  <c r="P114" i="7"/>
  <c r="Q114" i="7"/>
  <c r="R114" i="7"/>
  <c r="S114" i="7"/>
  <c r="T114" i="7"/>
  <c r="U114" i="7"/>
  <c r="V114" i="7"/>
  <c r="W114" i="7"/>
  <c r="M126" i="7"/>
  <c r="N126" i="7"/>
  <c r="O126" i="7"/>
  <c r="P126" i="7"/>
  <c r="Q126" i="7"/>
  <c r="R126" i="7"/>
  <c r="S126" i="7"/>
  <c r="T126" i="7"/>
  <c r="U126" i="7"/>
  <c r="V126" i="7"/>
  <c r="W126" i="7"/>
  <c r="M138" i="7"/>
  <c r="N138" i="7"/>
  <c r="O138" i="7"/>
  <c r="P138" i="7"/>
  <c r="Q138" i="7"/>
  <c r="R138" i="7"/>
  <c r="S138" i="7"/>
  <c r="T138" i="7"/>
  <c r="U138" i="7"/>
  <c r="V138" i="7"/>
  <c r="W138" i="7"/>
  <c r="M150" i="7"/>
  <c r="N150" i="7"/>
  <c r="O150" i="7"/>
  <c r="P150" i="7"/>
  <c r="Q150" i="7"/>
  <c r="R150" i="7"/>
  <c r="S150" i="7"/>
  <c r="T150" i="7"/>
  <c r="U150" i="7"/>
  <c r="V150" i="7"/>
  <c r="W150" i="7"/>
  <c r="M162" i="7"/>
  <c r="N162" i="7"/>
  <c r="O162" i="7"/>
  <c r="P162" i="7"/>
  <c r="Q162" i="7"/>
  <c r="R162" i="7"/>
  <c r="S162" i="7"/>
  <c r="T162" i="7"/>
  <c r="U162" i="7"/>
  <c r="V162" i="7"/>
  <c r="W162" i="7"/>
  <c r="M174" i="7"/>
  <c r="N174" i="7"/>
  <c r="O174" i="7"/>
  <c r="P174" i="7"/>
  <c r="Q174" i="7"/>
  <c r="R174" i="7"/>
  <c r="S174" i="7"/>
  <c r="T174" i="7"/>
  <c r="U174" i="7"/>
  <c r="V174" i="7"/>
  <c r="W174" i="7"/>
  <c r="M186" i="7"/>
  <c r="N186" i="7"/>
  <c r="O186" i="7"/>
  <c r="P186" i="7"/>
  <c r="Q186" i="7"/>
  <c r="R186" i="7"/>
  <c r="S186" i="7"/>
  <c r="T186" i="7"/>
  <c r="U186" i="7"/>
  <c r="V186" i="7"/>
  <c r="W186" i="7"/>
  <c r="M198" i="7"/>
  <c r="N198" i="7"/>
  <c r="O198" i="7"/>
  <c r="P198" i="7"/>
  <c r="Q198" i="7"/>
  <c r="R198" i="7"/>
  <c r="S198" i="7"/>
  <c r="T198" i="7"/>
  <c r="U198" i="7"/>
  <c r="V198" i="7"/>
  <c r="W198" i="7"/>
  <c r="M210" i="7"/>
  <c r="N210" i="7"/>
  <c r="O210" i="7"/>
  <c r="P210" i="7"/>
  <c r="Q210" i="7"/>
  <c r="R210" i="7"/>
  <c r="S210" i="7"/>
  <c r="T210" i="7"/>
  <c r="U210" i="7"/>
  <c r="V210" i="7"/>
  <c r="W210" i="7"/>
  <c r="M222" i="7"/>
  <c r="N222" i="7"/>
  <c r="O222" i="7"/>
  <c r="P222" i="7"/>
  <c r="Q222" i="7"/>
  <c r="R222" i="7"/>
  <c r="S222" i="7"/>
  <c r="T222" i="7"/>
  <c r="U222" i="7"/>
  <c r="V222" i="7"/>
  <c r="W222" i="7"/>
  <c r="M234" i="7"/>
  <c r="N234" i="7"/>
  <c r="O234" i="7"/>
  <c r="P234" i="7"/>
  <c r="Q234" i="7"/>
  <c r="R234" i="7"/>
  <c r="S234" i="7"/>
  <c r="T234" i="7"/>
  <c r="U234" i="7"/>
  <c r="V234" i="7"/>
  <c r="W234" i="7"/>
  <c r="M246" i="7"/>
  <c r="N246" i="7"/>
  <c r="O246" i="7"/>
  <c r="P246" i="7"/>
  <c r="Q246" i="7"/>
  <c r="R246" i="7"/>
  <c r="S246" i="7"/>
  <c r="T246" i="7"/>
  <c r="U246" i="7"/>
  <c r="V246" i="7"/>
  <c r="W246" i="7"/>
  <c r="M258" i="7"/>
  <c r="N258" i="7"/>
  <c r="O258" i="7"/>
  <c r="P258" i="7"/>
  <c r="Q258" i="7"/>
  <c r="R258" i="7"/>
  <c r="S258" i="7"/>
  <c r="T258" i="7"/>
  <c r="U258" i="7"/>
  <c r="V258" i="7"/>
  <c r="W258" i="7"/>
  <c r="M270" i="7"/>
  <c r="N270" i="7"/>
  <c r="O270" i="7"/>
  <c r="P270" i="7"/>
  <c r="Q270" i="7"/>
  <c r="R270" i="7"/>
  <c r="S270" i="7"/>
  <c r="T270" i="7"/>
  <c r="U270" i="7"/>
  <c r="V270" i="7"/>
  <c r="W270" i="7"/>
  <c r="M282" i="7"/>
  <c r="N282" i="7"/>
  <c r="O282" i="7"/>
  <c r="P282" i="7"/>
  <c r="Q282" i="7"/>
  <c r="R282" i="7"/>
  <c r="S282" i="7"/>
  <c r="T282" i="7"/>
  <c r="U282" i="7"/>
  <c r="V282" i="7"/>
  <c r="W282" i="7"/>
  <c r="M294" i="7"/>
  <c r="N294" i="7"/>
  <c r="O294" i="7"/>
  <c r="P294" i="7"/>
  <c r="Q294" i="7"/>
  <c r="R294" i="7"/>
  <c r="S294" i="7"/>
  <c r="T294" i="7"/>
  <c r="U294" i="7"/>
  <c r="V294" i="7"/>
  <c r="W294" i="7"/>
  <c r="M306" i="7"/>
  <c r="N306" i="7"/>
  <c r="O306" i="7"/>
  <c r="P306" i="7"/>
  <c r="Q306" i="7"/>
  <c r="R306" i="7"/>
  <c r="S306" i="7"/>
  <c r="T306" i="7"/>
  <c r="U306" i="7"/>
  <c r="V306" i="7"/>
  <c r="W306" i="7"/>
  <c r="M318" i="7"/>
  <c r="N318" i="7"/>
  <c r="O318" i="7"/>
  <c r="P318" i="7"/>
  <c r="Q318" i="7"/>
  <c r="R318" i="7"/>
  <c r="S318" i="7"/>
  <c r="T318" i="7"/>
  <c r="U318" i="7"/>
  <c r="V318" i="7"/>
  <c r="W318" i="7"/>
  <c r="M330" i="7"/>
  <c r="N330" i="7"/>
  <c r="O330" i="7"/>
  <c r="P330" i="7"/>
  <c r="Q330" i="7"/>
  <c r="R330" i="7"/>
  <c r="S330" i="7"/>
  <c r="T330" i="7"/>
  <c r="U330" i="7"/>
  <c r="V330" i="7"/>
  <c r="W330" i="7"/>
  <c r="M342" i="7"/>
  <c r="N342" i="7"/>
  <c r="O342" i="7"/>
  <c r="P342" i="7"/>
  <c r="Q342" i="7"/>
  <c r="R342" i="7"/>
  <c r="S342" i="7"/>
  <c r="T342" i="7"/>
  <c r="U342" i="7"/>
  <c r="V342" i="7"/>
  <c r="W342" i="7"/>
  <c r="M354" i="7"/>
  <c r="N354" i="7"/>
  <c r="O354" i="7"/>
  <c r="P354" i="7"/>
  <c r="Q354" i="7"/>
  <c r="R354" i="7"/>
  <c r="S354" i="7"/>
  <c r="T354" i="7"/>
  <c r="U354" i="7"/>
  <c r="V354" i="7"/>
  <c r="W354" i="7"/>
  <c r="M366" i="7"/>
  <c r="N366" i="7"/>
  <c r="O366" i="7"/>
  <c r="P366" i="7"/>
  <c r="Q366" i="7"/>
  <c r="R366" i="7"/>
  <c r="S366" i="7"/>
  <c r="T366" i="7"/>
  <c r="U366" i="7"/>
  <c r="V366" i="7"/>
  <c r="W366" i="7"/>
  <c r="M378" i="7"/>
  <c r="N378" i="7"/>
  <c r="O378" i="7"/>
  <c r="P378" i="7"/>
  <c r="Q378" i="7"/>
  <c r="R378" i="7"/>
  <c r="S378" i="7"/>
  <c r="T378" i="7"/>
  <c r="U378" i="7"/>
  <c r="V378" i="7"/>
  <c r="W378" i="7"/>
  <c r="M390" i="7"/>
  <c r="N390" i="7"/>
  <c r="O390" i="7"/>
  <c r="P390" i="7"/>
  <c r="Q390" i="7"/>
  <c r="R390" i="7"/>
  <c r="S390" i="7"/>
  <c r="T390" i="7"/>
  <c r="U390" i="7"/>
  <c r="V390" i="7"/>
  <c r="W390" i="7"/>
  <c r="M402" i="7"/>
  <c r="N402" i="7"/>
  <c r="O402" i="7"/>
  <c r="P402" i="7"/>
  <c r="Q402" i="7"/>
  <c r="R402" i="7"/>
  <c r="S402" i="7"/>
  <c r="T402" i="7"/>
  <c r="U402" i="7"/>
  <c r="V402" i="7"/>
  <c r="W402" i="7"/>
  <c r="M414" i="7"/>
  <c r="N414" i="7"/>
  <c r="O414" i="7"/>
  <c r="P414" i="7"/>
  <c r="Q414" i="7"/>
  <c r="R414" i="7"/>
  <c r="S414" i="7"/>
  <c r="T414" i="7"/>
  <c r="U414" i="7"/>
  <c r="V414" i="7"/>
  <c r="W414" i="7"/>
  <c r="M426" i="7"/>
  <c r="N426" i="7"/>
  <c r="O426" i="7"/>
  <c r="P426" i="7"/>
  <c r="Q426" i="7"/>
  <c r="R426" i="7"/>
  <c r="S426" i="7"/>
  <c r="T426" i="7"/>
  <c r="U426" i="7"/>
  <c r="V426" i="7"/>
  <c r="W426" i="7"/>
  <c r="M438" i="7"/>
  <c r="N438" i="7"/>
  <c r="O438" i="7"/>
  <c r="P438" i="7"/>
  <c r="Q438" i="7"/>
  <c r="R438" i="7"/>
  <c r="S438" i="7"/>
  <c r="T438" i="7"/>
  <c r="U438" i="7"/>
  <c r="V438" i="7"/>
  <c r="W438" i="7"/>
  <c r="M450" i="7"/>
  <c r="N450" i="7"/>
  <c r="O450" i="7"/>
  <c r="P450" i="7"/>
  <c r="Q450" i="7"/>
  <c r="R450" i="7"/>
  <c r="S450" i="7"/>
  <c r="T450" i="7"/>
  <c r="U450" i="7"/>
  <c r="V450" i="7"/>
  <c r="W450" i="7"/>
  <c r="M462" i="7"/>
  <c r="N462" i="7"/>
  <c r="O462" i="7"/>
  <c r="P462" i="7"/>
  <c r="Q462" i="7"/>
  <c r="R462" i="7"/>
  <c r="S462" i="7"/>
  <c r="T462" i="7"/>
  <c r="U462" i="7"/>
  <c r="V462" i="7"/>
  <c r="W462" i="7"/>
  <c r="M474" i="7"/>
  <c r="N474" i="7"/>
  <c r="O474" i="7"/>
  <c r="P474" i="7"/>
  <c r="Q474" i="7"/>
  <c r="R474" i="7"/>
  <c r="S474" i="7"/>
  <c r="T474" i="7"/>
  <c r="U474" i="7"/>
  <c r="V474" i="7"/>
  <c r="W474" i="7"/>
  <c r="M486" i="7"/>
  <c r="N486" i="7"/>
  <c r="O486" i="7"/>
  <c r="P486" i="7"/>
  <c r="Q486" i="7"/>
  <c r="R486" i="7"/>
  <c r="S486" i="7"/>
  <c r="T486" i="7"/>
  <c r="U486" i="7"/>
  <c r="V486" i="7"/>
  <c r="W486" i="7"/>
  <c r="M498" i="7"/>
  <c r="N498" i="7"/>
  <c r="O498" i="7"/>
  <c r="P498" i="7"/>
  <c r="Q498" i="7"/>
  <c r="R498" i="7"/>
  <c r="S498" i="7"/>
  <c r="T498" i="7"/>
  <c r="U498" i="7"/>
  <c r="V498" i="7"/>
  <c r="W498" i="7"/>
  <c r="M510" i="7"/>
  <c r="N510" i="7"/>
  <c r="O510" i="7"/>
  <c r="P510" i="7"/>
  <c r="Q510" i="7"/>
  <c r="R510" i="7"/>
  <c r="S510" i="7"/>
  <c r="T510" i="7"/>
  <c r="U510" i="7"/>
  <c r="V510" i="7"/>
  <c r="W510" i="7"/>
  <c r="M522" i="7"/>
  <c r="N522" i="7"/>
  <c r="O522" i="7"/>
  <c r="P522" i="7"/>
  <c r="Q522" i="7"/>
  <c r="R522" i="7"/>
  <c r="S522" i="7"/>
  <c r="T522" i="7"/>
  <c r="U522" i="7"/>
  <c r="V522" i="7"/>
  <c r="W522" i="7"/>
  <c r="M534" i="7"/>
  <c r="N534" i="7"/>
  <c r="O534" i="7"/>
  <c r="P534" i="7"/>
  <c r="Q534" i="7"/>
  <c r="R534" i="7"/>
  <c r="S534" i="7"/>
  <c r="T534" i="7"/>
  <c r="U534" i="7"/>
  <c r="V534" i="7"/>
  <c r="W534" i="7"/>
  <c r="M546" i="7"/>
  <c r="N546" i="7"/>
  <c r="O546" i="7"/>
  <c r="P546" i="7"/>
  <c r="Q546" i="7"/>
  <c r="R546" i="7"/>
  <c r="S546" i="7"/>
  <c r="T546" i="7"/>
  <c r="U546" i="7"/>
  <c r="V546" i="7"/>
  <c r="W546" i="7"/>
  <c r="M558" i="7"/>
  <c r="N558" i="7"/>
  <c r="O558" i="7"/>
  <c r="P558" i="7"/>
  <c r="Q558" i="7"/>
  <c r="R558" i="7"/>
  <c r="S558" i="7"/>
  <c r="T558" i="7"/>
  <c r="U558" i="7"/>
  <c r="V558" i="7"/>
  <c r="W558" i="7"/>
  <c r="M570" i="7"/>
  <c r="N570" i="7"/>
  <c r="O570" i="7"/>
  <c r="P570" i="7"/>
  <c r="Q570" i="7"/>
  <c r="R570" i="7"/>
  <c r="S570" i="7"/>
  <c r="T570" i="7"/>
  <c r="U570" i="7"/>
  <c r="V570" i="7"/>
  <c r="W570" i="7"/>
  <c r="M582" i="7"/>
  <c r="N582" i="7"/>
  <c r="O582" i="7"/>
  <c r="P582" i="7"/>
  <c r="Q582" i="7"/>
  <c r="R582" i="7"/>
  <c r="S582" i="7"/>
  <c r="T582" i="7"/>
  <c r="U582" i="7"/>
  <c r="V582" i="7"/>
  <c r="W582" i="7"/>
  <c r="M594" i="7"/>
  <c r="N594" i="7"/>
  <c r="O594" i="7"/>
  <c r="P594" i="7"/>
  <c r="Q594" i="7"/>
  <c r="R594" i="7"/>
  <c r="S594" i="7"/>
  <c r="T594" i="7"/>
  <c r="U594" i="7"/>
  <c r="V594" i="7"/>
  <c r="W594" i="7"/>
  <c r="M606" i="7"/>
  <c r="N606" i="7"/>
  <c r="O606" i="7"/>
  <c r="P606" i="7"/>
  <c r="Q606" i="7"/>
  <c r="R606" i="7"/>
  <c r="S606" i="7"/>
  <c r="T606" i="7"/>
  <c r="U606" i="7"/>
  <c r="V606" i="7"/>
  <c r="W606" i="7"/>
  <c r="M618" i="7"/>
  <c r="N618" i="7"/>
  <c r="O618" i="7"/>
  <c r="P618" i="7"/>
  <c r="Q618" i="7"/>
  <c r="R618" i="7"/>
  <c r="S618" i="7"/>
  <c r="T618" i="7"/>
  <c r="U618" i="7"/>
  <c r="V618" i="7"/>
  <c r="W618" i="7"/>
  <c r="M630" i="7"/>
  <c r="N630" i="7"/>
  <c r="O630" i="7"/>
  <c r="P630" i="7"/>
  <c r="Q630" i="7"/>
  <c r="R630" i="7"/>
  <c r="S630" i="7"/>
  <c r="T630" i="7"/>
  <c r="U630" i="7"/>
  <c r="V630" i="7"/>
  <c r="W630" i="7"/>
  <c r="M642" i="7"/>
  <c r="N642" i="7"/>
  <c r="O642" i="7"/>
  <c r="P642" i="7"/>
  <c r="Q642" i="7"/>
  <c r="R642" i="7"/>
  <c r="S642" i="7"/>
  <c r="T642" i="7"/>
  <c r="U642" i="7"/>
  <c r="V642" i="7"/>
  <c r="W642" i="7"/>
  <c r="M654" i="7"/>
  <c r="N654" i="7"/>
  <c r="O654" i="7"/>
  <c r="P654" i="7"/>
  <c r="Q654" i="7"/>
  <c r="R654" i="7"/>
  <c r="S654" i="7"/>
  <c r="T654" i="7"/>
  <c r="U654" i="7"/>
  <c r="V654" i="7"/>
  <c r="W654" i="7"/>
  <c r="M666" i="7"/>
  <c r="N666" i="7"/>
  <c r="O666" i="7"/>
  <c r="P666" i="7"/>
  <c r="Q666" i="7"/>
  <c r="R666" i="7"/>
  <c r="S666" i="7"/>
  <c r="T666" i="7"/>
  <c r="U666" i="7"/>
  <c r="V666" i="7"/>
  <c r="W666" i="7"/>
  <c r="M678" i="7"/>
  <c r="N678" i="7"/>
  <c r="O678" i="7"/>
  <c r="P678" i="7"/>
  <c r="Q678" i="7"/>
  <c r="R678" i="7"/>
  <c r="S678" i="7"/>
  <c r="T678" i="7"/>
  <c r="U678" i="7"/>
  <c r="V678" i="7"/>
  <c r="W678" i="7"/>
  <c r="M690" i="7"/>
  <c r="N690" i="7"/>
  <c r="O690" i="7"/>
  <c r="P690" i="7"/>
  <c r="Q690" i="7"/>
  <c r="R690" i="7"/>
  <c r="S690" i="7"/>
  <c r="T690" i="7"/>
  <c r="U690" i="7"/>
  <c r="V690" i="7"/>
  <c r="W690" i="7"/>
  <c r="M702" i="7"/>
  <c r="N702" i="7"/>
  <c r="O702" i="7"/>
  <c r="P702" i="7"/>
  <c r="Q702" i="7"/>
  <c r="R702" i="7"/>
  <c r="S702" i="7"/>
  <c r="T702" i="7"/>
  <c r="U702" i="7"/>
  <c r="V702" i="7"/>
  <c r="W702" i="7"/>
  <c r="M714" i="7"/>
  <c r="N714" i="7"/>
  <c r="O714" i="7"/>
  <c r="P714" i="7"/>
  <c r="Q714" i="7"/>
  <c r="R714" i="7"/>
  <c r="S714" i="7"/>
  <c r="T714" i="7"/>
  <c r="U714" i="7"/>
  <c r="V714" i="7"/>
  <c r="W714" i="7"/>
  <c r="M726" i="7"/>
  <c r="N726" i="7"/>
  <c r="O726" i="7"/>
  <c r="P726" i="7"/>
  <c r="Q726" i="7"/>
  <c r="R726" i="7"/>
  <c r="S726" i="7"/>
  <c r="T726" i="7"/>
  <c r="U726" i="7"/>
  <c r="V726" i="7"/>
  <c r="W726" i="7"/>
  <c r="M738" i="7"/>
  <c r="N738" i="7"/>
  <c r="O738" i="7"/>
  <c r="P738" i="7"/>
  <c r="Q738" i="7"/>
  <c r="R738" i="7"/>
  <c r="S738" i="7"/>
  <c r="T738" i="7"/>
  <c r="U738" i="7"/>
  <c r="V738" i="7"/>
  <c r="W738" i="7"/>
  <c r="M750" i="7"/>
  <c r="N750" i="7"/>
  <c r="O750" i="7"/>
  <c r="P750" i="7"/>
  <c r="Q750" i="7"/>
  <c r="R750" i="7"/>
  <c r="S750" i="7"/>
  <c r="T750" i="7"/>
  <c r="U750" i="7"/>
  <c r="V750" i="7"/>
  <c r="W750" i="7"/>
  <c r="M762" i="7"/>
  <c r="N762" i="7"/>
  <c r="O762" i="7"/>
  <c r="P762" i="7"/>
  <c r="Q762" i="7"/>
  <c r="R762" i="7"/>
  <c r="S762" i="7"/>
  <c r="T762" i="7"/>
  <c r="U762" i="7"/>
  <c r="V762" i="7"/>
  <c r="W762" i="7"/>
  <c r="M774" i="7"/>
  <c r="N774" i="7"/>
  <c r="O774" i="7"/>
  <c r="P774" i="7"/>
  <c r="Q774" i="7"/>
  <c r="R774" i="7"/>
  <c r="S774" i="7"/>
  <c r="T774" i="7"/>
  <c r="U774" i="7"/>
  <c r="V774" i="7"/>
  <c r="W774" i="7"/>
  <c r="M786" i="7"/>
  <c r="N786" i="7"/>
  <c r="O786" i="7"/>
  <c r="P786" i="7"/>
  <c r="Q786" i="7"/>
  <c r="R786" i="7"/>
  <c r="S786" i="7"/>
  <c r="T786" i="7"/>
  <c r="U786" i="7"/>
  <c r="V786" i="7"/>
  <c r="W786" i="7"/>
  <c r="M798" i="7"/>
  <c r="N798" i="7"/>
  <c r="O798" i="7"/>
  <c r="P798" i="7"/>
  <c r="Q798" i="7"/>
  <c r="R798" i="7"/>
  <c r="S798" i="7"/>
  <c r="T798" i="7"/>
  <c r="U798" i="7"/>
  <c r="V798" i="7"/>
  <c r="W798" i="7"/>
  <c r="M810" i="7"/>
  <c r="N810" i="7"/>
  <c r="O810" i="7"/>
  <c r="P810" i="7"/>
  <c r="Q810" i="7"/>
  <c r="R810" i="7"/>
  <c r="S810" i="7"/>
  <c r="T810" i="7"/>
  <c r="U810" i="7"/>
  <c r="V810" i="7"/>
  <c r="W810" i="7"/>
  <c r="M822" i="7"/>
  <c r="N822" i="7"/>
  <c r="O822" i="7"/>
  <c r="P822" i="7"/>
  <c r="Q822" i="7"/>
  <c r="R822" i="7"/>
  <c r="S822" i="7"/>
  <c r="T822" i="7"/>
  <c r="U822" i="7"/>
  <c r="V822" i="7"/>
  <c r="W822" i="7"/>
  <c r="M834" i="7"/>
  <c r="N834" i="7"/>
  <c r="O834" i="7"/>
  <c r="P834" i="7"/>
  <c r="Q834" i="7"/>
  <c r="R834" i="7"/>
  <c r="S834" i="7"/>
  <c r="T834" i="7"/>
  <c r="U834" i="7"/>
  <c r="V834" i="7"/>
  <c r="W834" i="7"/>
  <c r="M846" i="7"/>
  <c r="N846" i="7"/>
  <c r="O846" i="7"/>
  <c r="P846" i="7"/>
  <c r="Q846" i="7"/>
  <c r="R846" i="7"/>
  <c r="S846" i="7"/>
  <c r="T846" i="7"/>
  <c r="U846" i="7"/>
  <c r="V846" i="7"/>
  <c r="W846" i="7"/>
  <c r="M858" i="7"/>
  <c r="N858" i="7"/>
  <c r="O858" i="7"/>
  <c r="P858" i="7"/>
  <c r="Q858" i="7"/>
  <c r="R858" i="7"/>
  <c r="S858" i="7"/>
  <c r="T858" i="7"/>
  <c r="U858" i="7"/>
  <c r="V858" i="7"/>
  <c r="W858" i="7"/>
  <c r="M870" i="7"/>
  <c r="N870" i="7"/>
  <c r="O870" i="7"/>
  <c r="P870" i="7"/>
  <c r="Q870" i="7"/>
  <c r="R870" i="7"/>
  <c r="S870" i="7"/>
  <c r="T870" i="7"/>
  <c r="U870" i="7"/>
  <c r="V870" i="7"/>
  <c r="W870" i="7"/>
  <c r="M882" i="7"/>
  <c r="N882" i="7"/>
  <c r="O882" i="7"/>
  <c r="P882" i="7"/>
  <c r="Q882" i="7"/>
  <c r="R882" i="7"/>
  <c r="S882" i="7"/>
  <c r="T882" i="7"/>
  <c r="U882" i="7"/>
  <c r="V882" i="7"/>
  <c r="W882" i="7"/>
  <c r="M894" i="7"/>
  <c r="N894" i="7"/>
  <c r="O894" i="7"/>
  <c r="P894" i="7"/>
  <c r="Q894" i="7"/>
  <c r="R894" i="7"/>
  <c r="S894" i="7"/>
  <c r="T894" i="7"/>
  <c r="U894" i="7"/>
  <c r="V894" i="7"/>
  <c r="W894" i="7"/>
  <c r="M906" i="7"/>
  <c r="N906" i="7"/>
  <c r="O906" i="7"/>
  <c r="P906" i="7"/>
  <c r="Q906" i="7"/>
  <c r="R906" i="7"/>
  <c r="S906" i="7"/>
  <c r="T906" i="7"/>
  <c r="U906" i="7"/>
  <c r="V906" i="7"/>
  <c r="W906" i="7"/>
  <c r="M918" i="7"/>
  <c r="N918" i="7"/>
  <c r="O918" i="7"/>
  <c r="P918" i="7"/>
  <c r="Q918" i="7"/>
  <c r="R918" i="7"/>
  <c r="S918" i="7"/>
  <c r="T918" i="7"/>
  <c r="U918" i="7"/>
  <c r="V918" i="7"/>
  <c r="W918" i="7"/>
  <c r="M930" i="7"/>
  <c r="N930" i="7"/>
  <c r="O930" i="7"/>
  <c r="P930" i="7"/>
  <c r="Q930" i="7"/>
  <c r="R930" i="7"/>
  <c r="S930" i="7"/>
  <c r="T930" i="7"/>
  <c r="U930" i="7"/>
  <c r="V930" i="7"/>
  <c r="W930" i="7"/>
  <c r="M942" i="7"/>
  <c r="N942" i="7"/>
  <c r="O942" i="7"/>
  <c r="P942" i="7"/>
  <c r="Q942" i="7"/>
  <c r="R942" i="7"/>
  <c r="S942" i="7"/>
  <c r="T942" i="7"/>
  <c r="U942" i="7"/>
  <c r="V942" i="7"/>
  <c r="W942" i="7"/>
  <c r="M954" i="7"/>
  <c r="N954" i="7"/>
  <c r="O954" i="7"/>
  <c r="P954" i="7"/>
  <c r="Q954" i="7"/>
  <c r="R954" i="7"/>
  <c r="S954" i="7"/>
  <c r="T954" i="7"/>
  <c r="U954" i="7"/>
  <c r="V954" i="7"/>
  <c r="W954" i="7"/>
  <c r="M966" i="7"/>
  <c r="N966" i="7"/>
  <c r="O966" i="7"/>
  <c r="P966" i="7"/>
  <c r="Q966" i="7"/>
  <c r="R966" i="7"/>
  <c r="S966" i="7"/>
  <c r="T966" i="7"/>
  <c r="U966" i="7"/>
  <c r="V966" i="7"/>
  <c r="W966" i="7"/>
  <c r="M978" i="7"/>
  <c r="N978" i="7"/>
  <c r="O978" i="7"/>
  <c r="P978" i="7"/>
  <c r="Q978" i="7"/>
  <c r="R978" i="7"/>
  <c r="S978" i="7"/>
  <c r="T978" i="7"/>
  <c r="U978" i="7"/>
  <c r="V978" i="7"/>
  <c r="W978" i="7"/>
  <c r="M990" i="7"/>
  <c r="N990" i="7"/>
  <c r="O990" i="7"/>
  <c r="P990" i="7"/>
  <c r="Q990" i="7"/>
  <c r="R990" i="7"/>
  <c r="S990" i="7"/>
  <c r="T990" i="7"/>
  <c r="U990" i="7"/>
  <c r="V990" i="7"/>
  <c r="W990" i="7"/>
  <c r="M1002" i="7"/>
  <c r="N1002" i="7"/>
  <c r="O1002" i="7"/>
  <c r="P1002" i="7"/>
  <c r="Q1002" i="7"/>
  <c r="R1002" i="7"/>
  <c r="S1002" i="7"/>
  <c r="T1002" i="7"/>
  <c r="U1002" i="7"/>
  <c r="V1002" i="7"/>
  <c r="W1002" i="7"/>
  <c r="M1014" i="7"/>
  <c r="N1014" i="7"/>
  <c r="O1014" i="7"/>
  <c r="P1014" i="7"/>
  <c r="Q1014" i="7"/>
  <c r="R1014" i="7"/>
  <c r="S1014" i="7"/>
  <c r="T1014" i="7"/>
  <c r="U1014" i="7"/>
  <c r="V1014" i="7"/>
  <c r="W1014" i="7"/>
  <c r="M1026" i="7"/>
  <c r="N1026" i="7"/>
  <c r="O1026" i="7"/>
  <c r="P1026" i="7"/>
  <c r="Q1026" i="7"/>
  <c r="R1026" i="7"/>
  <c r="S1026" i="7"/>
  <c r="T1026" i="7"/>
  <c r="U1026" i="7"/>
  <c r="V1026" i="7"/>
  <c r="W1026" i="7"/>
  <c r="M1038" i="7"/>
  <c r="N1038" i="7"/>
  <c r="O1038" i="7"/>
  <c r="P1038" i="7"/>
  <c r="Q1038" i="7"/>
  <c r="R1038" i="7"/>
  <c r="S1038" i="7"/>
  <c r="T1038" i="7"/>
  <c r="U1038" i="7"/>
  <c r="V1038" i="7"/>
  <c r="W1038" i="7"/>
  <c r="M1050" i="7"/>
  <c r="N1050" i="7"/>
  <c r="O1050" i="7"/>
  <c r="P1050" i="7"/>
  <c r="Q1050" i="7"/>
  <c r="R1050" i="7"/>
  <c r="S1050" i="7"/>
  <c r="T1050" i="7"/>
  <c r="U1050" i="7"/>
  <c r="V1050" i="7"/>
  <c r="W1050" i="7"/>
  <c r="M679" i="7"/>
  <c r="N679" i="7"/>
  <c r="O679" i="7"/>
  <c r="P679" i="7"/>
  <c r="Q679" i="7"/>
  <c r="R679" i="7"/>
  <c r="S679" i="7"/>
  <c r="T679" i="7"/>
  <c r="U679" i="7"/>
  <c r="V679" i="7"/>
  <c r="W679" i="7"/>
  <c r="M703" i="7"/>
  <c r="N703" i="7"/>
  <c r="O703" i="7"/>
  <c r="P703" i="7"/>
  <c r="Q703" i="7"/>
  <c r="R703" i="7"/>
  <c r="S703" i="7"/>
  <c r="T703" i="7"/>
  <c r="U703" i="7"/>
  <c r="V703" i="7"/>
  <c r="W703" i="7"/>
  <c r="M715" i="7"/>
  <c r="N715" i="7"/>
  <c r="O715" i="7"/>
  <c r="P715" i="7"/>
  <c r="Q715" i="7"/>
  <c r="R715" i="7"/>
  <c r="S715" i="7"/>
  <c r="T715" i="7"/>
  <c r="U715" i="7"/>
  <c r="V715" i="7"/>
  <c r="W715" i="7"/>
  <c r="M763" i="7"/>
  <c r="N763" i="7"/>
  <c r="O763" i="7"/>
  <c r="P763" i="7"/>
  <c r="Q763" i="7"/>
  <c r="R763" i="7"/>
  <c r="S763" i="7"/>
  <c r="T763" i="7"/>
  <c r="U763" i="7"/>
  <c r="V763" i="7"/>
  <c r="W763" i="7"/>
  <c r="M799" i="7"/>
  <c r="N799" i="7"/>
  <c r="O799" i="7"/>
  <c r="P799" i="7"/>
  <c r="Q799" i="7"/>
  <c r="R799" i="7"/>
  <c r="S799" i="7"/>
  <c r="T799" i="7"/>
  <c r="U799" i="7"/>
  <c r="V799" i="7"/>
  <c r="W799" i="7"/>
  <c r="M835" i="7"/>
  <c r="N835" i="7"/>
  <c r="O835" i="7"/>
  <c r="P835" i="7"/>
  <c r="Q835" i="7"/>
  <c r="R835" i="7"/>
  <c r="S835" i="7"/>
  <c r="T835" i="7"/>
  <c r="U835" i="7"/>
  <c r="V835" i="7"/>
  <c r="W835" i="7"/>
  <c r="M859" i="7"/>
  <c r="N859" i="7"/>
  <c r="O859" i="7"/>
  <c r="P859" i="7"/>
  <c r="Q859" i="7"/>
  <c r="R859" i="7"/>
  <c r="S859" i="7"/>
  <c r="T859" i="7"/>
  <c r="U859" i="7"/>
  <c r="V859" i="7"/>
  <c r="W859" i="7"/>
  <c r="M907" i="7"/>
  <c r="N907" i="7"/>
  <c r="O907" i="7"/>
  <c r="P907" i="7"/>
  <c r="Q907" i="7"/>
  <c r="R907" i="7"/>
  <c r="S907" i="7"/>
  <c r="T907" i="7"/>
  <c r="U907" i="7"/>
  <c r="V907" i="7"/>
  <c r="W907" i="7"/>
  <c r="M919" i="7"/>
  <c r="N919" i="7"/>
  <c r="O919" i="7"/>
  <c r="P919" i="7"/>
  <c r="Q919" i="7"/>
  <c r="R919" i="7"/>
  <c r="S919" i="7"/>
  <c r="T919" i="7"/>
  <c r="U919" i="7"/>
  <c r="V919" i="7"/>
  <c r="W919" i="7"/>
  <c r="M931" i="7"/>
  <c r="N931" i="7"/>
  <c r="O931" i="7"/>
  <c r="P931" i="7"/>
  <c r="Q931" i="7"/>
  <c r="R931" i="7"/>
  <c r="S931" i="7"/>
  <c r="T931" i="7"/>
  <c r="U931" i="7"/>
  <c r="V931" i="7"/>
  <c r="W931" i="7"/>
  <c r="M1015" i="7"/>
  <c r="N1015" i="7"/>
  <c r="O1015" i="7"/>
  <c r="P1015" i="7"/>
  <c r="Q1015" i="7"/>
  <c r="R1015" i="7"/>
  <c r="S1015" i="7"/>
  <c r="T1015" i="7"/>
  <c r="U1015" i="7"/>
  <c r="V1015" i="7"/>
  <c r="W1015" i="7"/>
  <c r="M1039" i="7"/>
  <c r="N1039" i="7"/>
  <c r="O1039" i="7"/>
  <c r="P1039" i="7"/>
  <c r="Q1039" i="7"/>
  <c r="R1039" i="7"/>
  <c r="S1039" i="7"/>
  <c r="T1039" i="7"/>
  <c r="U1039" i="7"/>
  <c r="V1039" i="7"/>
  <c r="W1039" i="7"/>
  <c r="M980" i="7"/>
  <c r="N980" i="7"/>
  <c r="O980" i="7"/>
  <c r="P980" i="7"/>
  <c r="Q980" i="7"/>
  <c r="R980" i="7"/>
  <c r="S980" i="7"/>
  <c r="T980" i="7"/>
  <c r="U980" i="7"/>
  <c r="V980" i="7"/>
  <c r="W980" i="7"/>
  <c r="M1004" i="7"/>
  <c r="N1004" i="7"/>
  <c r="O1004" i="7"/>
  <c r="P1004" i="7"/>
  <c r="Q1004" i="7"/>
  <c r="R1004" i="7"/>
  <c r="S1004" i="7"/>
  <c r="T1004" i="7"/>
  <c r="U1004" i="7"/>
  <c r="V1004" i="7"/>
  <c r="W1004" i="7"/>
  <c r="M1040" i="7"/>
  <c r="N1040" i="7"/>
  <c r="O1040" i="7"/>
  <c r="P1040" i="7"/>
  <c r="Q1040" i="7"/>
  <c r="R1040" i="7"/>
  <c r="S1040" i="7"/>
  <c r="T1040" i="7"/>
  <c r="U1040" i="7"/>
  <c r="V1040" i="7"/>
  <c r="W1040" i="7"/>
  <c r="M622" i="7"/>
  <c r="N622" i="7"/>
  <c r="O622" i="7"/>
  <c r="P622" i="7"/>
  <c r="Q622" i="7"/>
  <c r="R622" i="7"/>
  <c r="S622" i="7"/>
  <c r="T622" i="7"/>
  <c r="U622" i="7"/>
  <c r="V622" i="7"/>
  <c r="W622" i="7"/>
  <c r="M658" i="7"/>
  <c r="N658" i="7"/>
  <c r="O658" i="7"/>
  <c r="P658" i="7"/>
  <c r="Q658" i="7"/>
  <c r="R658" i="7"/>
  <c r="S658" i="7"/>
  <c r="T658" i="7"/>
  <c r="U658" i="7"/>
  <c r="V658" i="7"/>
  <c r="W658" i="7"/>
  <c r="M670" i="7"/>
  <c r="N670" i="7"/>
  <c r="O670" i="7"/>
  <c r="P670" i="7"/>
  <c r="Q670" i="7"/>
  <c r="R670" i="7"/>
  <c r="S670" i="7"/>
  <c r="T670" i="7"/>
  <c r="U670" i="7"/>
  <c r="V670" i="7"/>
  <c r="W670" i="7"/>
  <c r="M718" i="7"/>
  <c r="N718" i="7"/>
  <c r="O718" i="7"/>
  <c r="P718" i="7"/>
  <c r="Q718" i="7"/>
  <c r="R718" i="7"/>
  <c r="S718" i="7"/>
  <c r="T718" i="7"/>
  <c r="U718" i="7"/>
  <c r="V718" i="7"/>
  <c r="W718" i="7"/>
  <c r="M862" i="7"/>
  <c r="N862" i="7"/>
  <c r="O862" i="7"/>
  <c r="P862" i="7"/>
  <c r="Q862" i="7"/>
  <c r="R862" i="7"/>
  <c r="S862" i="7"/>
  <c r="T862" i="7"/>
  <c r="U862" i="7"/>
  <c r="V862" i="7"/>
  <c r="W862" i="7"/>
  <c r="M874" i="7"/>
  <c r="N874" i="7"/>
  <c r="O874" i="7"/>
  <c r="P874" i="7"/>
  <c r="Q874" i="7"/>
  <c r="R874" i="7"/>
  <c r="S874" i="7"/>
  <c r="T874" i="7"/>
  <c r="U874" i="7"/>
  <c r="V874" i="7"/>
  <c r="W874" i="7"/>
  <c r="M922" i="7"/>
  <c r="N922" i="7"/>
  <c r="O922" i="7"/>
  <c r="P922" i="7"/>
  <c r="Q922" i="7"/>
  <c r="R922" i="7"/>
  <c r="S922" i="7"/>
  <c r="T922" i="7"/>
  <c r="U922" i="7"/>
  <c r="V922" i="7"/>
  <c r="W922" i="7"/>
  <c r="M970" i="7"/>
  <c r="N970" i="7"/>
  <c r="O970" i="7"/>
  <c r="P970" i="7"/>
  <c r="Q970" i="7"/>
  <c r="R970" i="7"/>
  <c r="S970" i="7"/>
  <c r="T970" i="7"/>
  <c r="U970" i="7"/>
  <c r="V970" i="7"/>
  <c r="W970" i="7"/>
  <c r="M1018" i="7"/>
  <c r="N1018" i="7"/>
  <c r="O1018" i="7"/>
  <c r="P1018" i="7"/>
  <c r="Q1018" i="7"/>
  <c r="R1018" i="7"/>
  <c r="S1018" i="7"/>
  <c r="T1018" i="7"/>
  <c r="U1018" i="7"/>
  <c r="V1018" i="7"/>
  <c r="W1018" i="7"/>
  <c r="M1042" i="7"/>
  <c r="N1042" i="7"/>
  <c r="O1042" i="7"/>
  <c r="P1042" i="7"/>
  <c r="Q1042" i="7"/>
  <c r="R1042" i="7"/>
  <c r="S1042" i="7"/>
  <c r="T1042" i="7"/>
  <c r="U1042" i="7"/>
  <c r="V1042" i="7"/>
  <c r="W1042" i="7"/>
  <c r="M743" i="7"/>
  <c r="N743" i="7"/>
  <c r="O743" i="7"/>
  <c r="P743" i="7"/>
  <c r="Q743" i="7"/>
  <c r="R743" i="7"/>
  <c r="S743" i="7"/>
  <c r="T743" i="7"/>
  <c r="U743" i="7"/>
  <c r="V743" i="7"/>
  <c r="W743" i="7"/>
  <c r="M791" i="7"/>
  <c r="N791" i="7"/>
  <c r="O791" i="7"/>
  <c r="P791" i="7"/>
  <c r="Q791" i="7"/>
  <c r="R791" i="7"/>
  <c r="S791" i="7"/>
  <c r="T791" i="7"/>
  <c r="U791" i="7"/>
  <c r="V791" i="7"/>
  <c r="W791" i="7"/>
  <c r="M827" i="7"/>
  <c r="N827" i="7"/>
  <c r="O827" i="7"/>
  <c r="P827" i="7"/>
  <c r="Q827" i="7"/>
  <c r="R827" i="7"/>
  <c r="S827" i="7"/>
  <c r="T827" i="7"/>
  <c r="U827" i="7"/>
  <c r="V827" i="7"/>
  <c r="W827" i="7"/>
  <c r="M863" i="7"/>
  <c r="N863" i="7"/>
  <c r="O863" i="7"/>
  <c r="P863" i="7"/>
  <c r="Q863" i="7"/>
  <c r="R863" i="7"/>
  <c r="S863" i="7"/>
  <c r="T863" i="7"/>
  <c r="U863" i="7"/>
  <c r="V863" i="7"/>
  <c r="W863" i="7"/>
  <c r="M911" i="7"/>
  <c r="N911" i="7"/>
  <c r="O911" i="7"/>
  <c r="P911" i="7"/>
  <c r="Q911" i="7"/>
  <c r="R911" i="7"/>
  <c r="S911" i="7"/>
  <c r="T911" i="7"/>
  <c r="U911" i="7"/>
  <c r="V911" i="7"/>
  <c r="W911" i="7"/>
  <c r="M935" i="7"/>
  <c r="N935" i="7"/>
  <c r="O935" i="7"/>
  <c r="P935" i="7"/>
  <c r="Q935" i="7"/>
  <c r="R935" i="7"/>
  <c r="S935" i="7"/>
  <c r="T935" i="7"/>
  <c r="U935" i="7"/>
  <c r="V935" i="7"/>
  <c r="W935" i="7"/>
  <c r="M1007" i="7"/>
  <c r="N1007" i="7"/>
  <c r="O1007" i="7"/>
  <c r="P1007" i="7"/>
  <c r="Q1007" i="7"/>
  <c r="R1007" i="7"/>
  <c r="S1007" i="7"/>
  <c r="T1007" i="7"/>
  <c r="U1007" i="7"/>
  <c r="V1007" i="7"/>
  <c r="W1007" i="7"/>
  <c r="M1031" i="7"/>
  <c r="N1031" i="7"/>
  <c r="O1031" i="7"/>
  <c r="P1031" i="7"/>
  <c r="Q1031" i="7"/>
  <c r="R1031" i="7"/>
  <c r="S1031" i="7"/>
  <c r="T1031" i="7"/>
  <c r="U1031" i="7"/>
  <c r="V1031" i="7"/>
  <c r="W1031" i="7"/>
  <c r="M446" i="7"/>
  <c r="N446" i="7"/>
  <c r="O446" i="7"/>
  <c r="P446" i="7"/>
  <c r="Q446" i="7"/>
  <c r="R446" i="7"/>
  <c r="S446" i="7"/>
  <c r="T446" i="7"/>
  <c r="U446" i="7"/>
  <c r="V446" i="7"/>
  <c r="W446" i="7"/>
  <c r="M554" i="7"/>
  <c r="N554" i="7"/>
  <c r="O554" i="7"/>
  <c r="P554" i="7"/>
  <c r="Q554" i="7"/>
  <c r="R554" i="7"/>
  <c r="S554" i="7"/>
  <c r="T554" i="7"/>
  <c r="U554" i="7"/>
  <c r="V554" i="7"/>
  <c r="W554" i="7"/>
  <c r="M87" i="7"/>
  <c r="N87" i="7"/>
  <c r="O87" i="7"/>
  <c r="P87" i="7"/>
  <c r="Q87" i="7"/>
  <c r="R87" i="7"/>
  <c r="S87" i="7"/>
  <c r="T87" i="7"/>
  <c r="U87" i="7"/>
  <c r="V87" i="7"/>
  <c r="W87" i="7"/>
  <c r="M519" i="7"/>
  <c r="N519" i="7"/>
  <c r="O519" i="7"/>
  <c r="P519" i="7"/>
  <c r="Q519" i="7"/>
  <c r="R519" i="7"/>
  <c r="S519" i="7"/>
  <c r="T519" i="7"/>
  <c r="U519" i="7"/>
  <c r="V519" i="7"/>
  <c r="W519" i="7"/>
  <c r="M639" i="7"/>
  <c r="N639" i="7"/>
  <c r="O639" i="7"/>
  <c r="P639" i="7"/>
  <c r="Q639" i="7"/>
  <c r="R639" i="7"/>
  <c r="S639" i="7"/>
  <c r="T639" i="7"/>
  <c r="U639" i="7"/>
  <c r="V639" i="7"/>
  <c r="W639" i="7"/>
  <c r="M783" i="7"/>
  <c r="N783" i="7"/>
  <c r="O783" i="7"/>
  <c r="P783" i="7"/>
  <c r="Q783" i="7"/>
  <c r="R783" i="7"/>
  <c r="S783" i="7"/>
  <c r="T783" i="7"/>
  <c r="U783" i="7"/>
  <c r="V783" i="7"/>
  <c r="W783" i="7"/>
  <c r="M879" i="7"/>
  <c r="N879" i="7"/>
  <c r="O879" i="7"/>
  <c r="P879" i="7"/>
  <c r="Q879" i="7"/>
  <c r="R879" i="7"/>
  <c r="S879" i="7"/>
  <c r="T879" i="7"/>
  <c r="U879" i="7"/>
  <c r="V879" i="7"/>
  <c r="W879" i="7"/>
  <c r="M927" i="7"/>
  <c r="N927" i="7"/>
  <c r="O927" i="7"/>
  <c r="P927" i="7"/>
  <c r="Q927" i="7"/>
  <c r="R927" i="7"/>
  <c r="S927" i="7"/>
  <c r="T927" i="7"/>
  <c r="U927" i="7"/>
  <c r="V927" i="7"/>
  <c r="W927" i="7"/>
  <c r="M975" i="7"/>
  <c r="N975" i="7"/>
  <c r="O975" i="7"/>
  <c r="P975" i="7"/>
  <c r="Q975" i="7"/>
  <c r="R975" i="7"/>
  <c r="S975" i="7"/>
  <c r="T975" i="7"/>
  <c r="U975" i="7"/>
  <c r="V975" i="7"/>
  <c r="W975" i="7"/>
  <c r="M736" i="7"/>
  <c r="N736" i="7"/>
  <c r="O736" i="7"/>
  <c r="P736" i="7"/>
  <c r="Q736" i="7"/>
  <c r="R736" i="7"/>
  <c r="S736" i="7"/>
  <c r="T736" i="7"/>
  <c r="U736" i="7"/>
  <c r="V736" i="7"/>
  <c r="W736" i="7"/>
  <c r="M832" i="7"/>
  <c r="N832" i="7"/>
  <c r="O832" i="7"/>
  <c r="P832" i="7"/>
  <c r="Q832" i="7"/>
  <c r="R832" i="7"/>
  <c r="S832" i="7"/>
  <c r="T832" i="7"/>
  <c r="U832" i="7"/>
  <c r="V832" i="7"/>
  <c r="W832" i="7"/>
  <c r="M928" i="7"/>
  <c r="N928" i="7"/>
  <c r="O928" i="7"/>
  <c r="P928" i="7"/>
  <c r="Q928" i="7"/>
  <c r="R928" i="7"/>
  <c r="S928" i="7"/>
  <c r="T928" i="7"/>
  <c r="U928" i="7"/>
  <c r="V928" i="7"/>
  <c r="W928" i="7"/>
  <c r="M1024" i="7"/>
  <c r="N1024" i="7"/>
  <c r="O1024" i="7"/>
  <c r="P1024" i="7"/>
  <c r="Q1024" i="7"/>
  <c r="R1024" i="7"/>
  <c r="S1024" i="7"/>
  <c r="T1024" i="7"/>
  <c r="U1024" i="7"/>
  <c r="V1024" i="7"/>
  <c r="W1024" i="7"/>
  <c r="M387" i="7"/>
  <c r="N387" i="7"/>
  <c r="O387" i="7"/>
  <c r="P387" i="7"/>
  <c r="Q387" i="7"/>
  <c r="R387" i="7"/>
  <c r="S387" i="7"/>
  <c r="T387" i="7"/>
  <c r="U387" i="7"/>
  <c r="V387" i="7"/>
  <c r="W387" i="7"/>
  <c r="M698" i="7"/>
  <c r="N698" i="7"/>
  <c r="O698" i="7"/>
  <c r="P698" i="7"/>
  <c r="Q698" i="7"/>
  <c r="R698" i="7"/>
  <c r="S698" i="7"/>
  <c r="T698" i="7"/>
  <c r="U698" i="7"/>
  <c r="V698" i="7"/>
  <c r="W698" i="7"/>
  <c r="M890" i="7"/>
  <c r="N890" i="7"/>
  <c r="O890" i="7"/>
  <c r="P890" i="7"/>
  <c r="Q890" i="7"/>
  <c r="R890" i="7"/>
  <c r="S890" i="7"/>
  <c r="T890" i="7"/>
  <c r="U890" i="7"/>
  <c r="V890" i="7"/>
  <c r="W890" i="7"/>
  <c r="M722" i="7"/>
  <c r="N722" i="7"/>
  <c r="O722" i="7"/>
  <c r="P722" i="7"/>
  <c r="Q722" i="7"/>
  <c r="R722" i="7"/>
  <c r="S722" i="7"/>
  <c r="T722" i="7"/>
  <c r="U722" i="7"/>
  <c r="V722" i="7"/>
  <c r="W722" i="7"/>
  <c r="M424" i="7"/>
  <c r="N424" i="7"/>
  <c r="O424" i="7"/>
  <c r="P424" i="7"/>
  <c r="Q424" i="7"/>
  <c r="R424" i="7"/>
  <c r="S424" i="7"/>
  <c r="T424" i="7"/>
  <c r="U424" i="7"/>
  <c r="V424" i="7"/>
  <c r="W424" i="7"/>
  <c r="M675" i="7"/>
  <c r="N675" i="7"/>
  <c r="O675" i="7"/>
  <c r="P675" i="7"/>
  <c r="Q675" i="7"/>
  <c r="R675" i="7"/>
  <c r="S675" i="7"/>
  <c r="T675" i="7"/>
  <c r="U675" i="7"/>
  <c r="V675" i="7"/>
  <c r="W675" i="7"/>
  <c r="M1012" i="7"/>
  <c r="N1012" i="7"/>
  <c r="O1012" i="7"/>
  <c r="P1012" i="7"/>
  <c r="Q1012" i="7"/>
  <c r="R1012" i="7"/>
  <c r="S1012" i="7"/>
  <c r="T1012" i="7"/>
  <c r="U1012" i="7"/>
  <c r="V1012" i="7"/>
  <c r="W1012" i="7"/>
  <c r="M16" i="7"/>
  <c r="N16" i="7"/>
  <c r="O16" i="7"/>
  <c r="P16" i="7"/>
  <c r="Q16" i="7"/>
  <c r="R16" i="7"/>
  <c r="S16" i="7"/>
  <c r="T16" i="7"/>
  <c r="U16" i="7"/>
  <c r="V16" i="7"/>
  <c r="W16" i="7"/>
  <c r="M88" i="7"/>
  <c r="N88" i="7"/>
  <c r="O88" i="7"/>
  <c r="P88" i="7"/>
  <c r="Q88" i="7"/>
  <c r="R88" i="7"/>
  <c r="S88" i="7"/>
  <c r="T88" i="7"/>
  <c r="U88" i="7"/>
  <c r="V88" i="7"/>
  <c r="W88" i="7"/>
  <c r="M160" i="7"/>
  <c r="N160" i="7"/>
  <c r="O160" i="7"/>
  <c r="P160" i="7"/>
  <c r="Q160" i="7"/>
  <c r="R160" i="7"/>
  <c r="S160" i="7"/>
  <c r="T160" i="7"/>
  <c r="U160" i="7"/>
  <c r="V160" i="7"/>
  <c r="W160" i="7"/>
  <c r="M232" i="7"/>
  <c r="N232" i="7"/>
  <c r="O232" i="7"/>
  <c r="P232" i="7"/>
  <c r="Q232" i="7"/>
  <c r="R232" i="7"/>
  <c r="S232" i="7"/>
  <c r="T232" i="7"/>
  <c r="U232" i="7"/>
  <c r="V232" i="7"/>
  <c r="W232" i="7"/>
  <c r="M304" i="7"/>
  <c r="N304" i="7"/>
  <c r="O304" i="7"/>
  <c r="P304" i="7"/>
  <c r="Q304" i="7"/>
  <c r="R304" i="7"/>
  <c r="S304" i="7"/>
  <c r="T304" i="7"/>
  <c r="U304" i="7"/>
  <c r="V304" i="7"/>
  <c r="W304" i="7"/>
  <c r="M376" i="7"/>
  <c r="N376" i="7"/>
  <c r="O376" i="7"/>
  <c r="P376" i="7"/>
  <c r="Q376" i="7"/>
  <c r="R376" i="7"/>
  <c r="S376" i="7"/>
  <c r="T376" i="7"/>
  <c r="U376" i="7"/>
  <c r="V376" i="7"/>
  <c r="W376" i="7"/>
  <c r="M448" i="7"/>
  <c r="N448" i="7"/>
  <c r="O448" i="7"/>
  <c r="P448" i="7"/>
  <c r="Q448" i="7"/>
  <c r="R448" i="7"/>
  <c r="S448" i="7"/>
  <c r="T448" i="7"/>
  <c r="U448" i="7"/>
  <c r="V448" i="7"/>
  <c r="W448" i="7"/>
  <c r="M520" i="7"/>
  <c r="N520" i="7"/>
  <c r="O520" i="7"/>
  <c r="P520" i="7"/>
  <c r="Q520" i="7"/>
  <c r="R520" i="7"/>
  <c r="S520" i="7"/>
  <c r="T520" i="7"/>
  <c r="U520" i="7"/>
  <c r="V520" i="7"/>
  <c r="W520" i="7"/>
  <c r="M592" i="7"/>
  <c r="N592" i="7"/>
  <c r="O592" i="7"/>
  <c r="P592" i="7"/>
  <c r="Q592" i="7"/>
  <c r="R592" i="7"/>
  <c r="S592" i="7"/>
  <c r="T592" i="7"/>
  <c r="U592" i="7"/>
  <c r="V592" i="7"/>
  <c r="W592" i="7"/>
  <c r="M640" i="7"/>
  <c r="N640" i="7"/>
  <c r="O640" i="7"/>
  <c r="P640" i="7"/>
  <c r="Q640" i="7"/>
  <c r="R640" i="7"/>
  <c r="S640" i="7"/>
  <c r="T640" i="7"/>
  <c r="U640" i="7"/>
  <c r="V640" i="7"/>
  <c r="W640" i="7"/>
  <c r="M688" i="7"/>
  <c r="N688" i="7"/>
  <c r="O688" i="7"/>
  <c r="P688" i="7"/>
  <c r="Q688" i="7"/>
  <c r="R688" i="7"/>
  <c r="S688" i="7"/>
  <c r="T688" i="7"/>
  <c r="U688" i="7"/>
  <c r="V688" i="7"/>
  <c r="W688" i="7"/>
  <c r="M459" i="7"/>
  <c r="N459" i="7"/>
  <c r="O459" i="7"/>
  <c r="P459" i="7"/>
  <c r="Q459" i="7"/>
  <c r="R459" i="7"/>
  <c r="S459" i="7"/>
  <c r="T459" i="7"/>
  <c r="U459" i="7"/>
  <c r="V459" i="7"/>
  <c r="W459" i="7"/>
  <c r="M746" i="7"/>
  <c r="N746" i="7"/>
  <c r="O746" i="7"/>
  <c r="P746" i="7"/>
  <c r="Q746" i="7"/>
  <c r="R746" i="7"/>
  <c r="S746" i="7"/>
  <c r="T746" i="7"/>
  <c r="U746" i="7"/>
  <c r="V746" i="7"/>
  <c r="W746" i="7"/>
  <c r="M938" i="7"/>
  <c r="N938" i="7"/>
  <c r="O938" i="7"/>
  <c r="P938" i="7"/>
  <c r="Q938" i="7"/>
  <c r="R938" i="7"/>
  <c r="S938" i="7"/>
  <c r="T938" i="7"/>
  <c r="U938" i="7"/>
  <c r="V938" i="7"/>
  <c r="W938" i="7"/>
  <c r="M1034" i="7"/>
  <c r="N1034" i="7"/>
  <c r="O1034" i="7"/>
  <c r="P1034" i="7"/>
  <c r="Q1034" i="7"/>
  <c r="R1034" i="7"/>
  <c r="S1034" i="7"/>
  <c r="T1034" i="7"/>
  <c r="U1034" i="7"/>
  <c r="V1034" i="7"/>
  <c r="W1034" i="7"/>
  <c r="M1000" i="7"/>
  <c r="N1000" i="7"/>
  <c r="O1000" i="7"/>
  <c r="P1000" i="7"/>
  <c r="Q1000" i="7"/>
  <c r="R1000" i="7"/>
  <c r="S1000" i="7"/>
  <c r="T1000" i="7"/>
  <c r="U1000" i="7"/>
  <c r="V1000" i="7"/>
  <c r="W1000" i="7"/>
  <c r="M1048" i="7"/>
  <c r="N1048" i="7"/>
  <c r="O1048" i="7"/>
  <c r="P1048" i="7"/>
  <c r="Q1048" i="7"/>
  <c r="R1048" i="7"/>
  <c r="S1048" i="7"/>
  <c r="T1048" i="7"/>
  <c r="U1048" i="7"/>
  <c r="V1048" i="7"/>
  <c r="W1048" i="7"/>
  <c r="M207" i="7"/>
  <c r="N207" i="7"/>
  <c r="O207" i="7"/>
  <c r="P207" i="7"/>
  <c r="Q207" i="7"/>
  <c r="R207" i="7"/>
  <c r="S207" i="7"/>
  <c r="T207" i="7"/>
  <c r="U207" i="7"/>
  <c r="V207" i="7"/>
  <c r="W207" i="7"/>
  <c r="M771" i="7"/>
  <c r="N771" i="7"/>
  <c r="O771" i="7"/>
  <c r="P771" i="7"/>
  <c r="Q771" i="7"/>
  <c r="R771" i="7"/>
  <c r="S771" i="7"/>
  <c r="T771" i="7"/>
  <c r="U771" i="7"/>
  <c r="V771" i="7"/>
  <c r="W771" i="7"/>
  <c r="M1011" i="7"/>
  <c r="N1011" i="7"/>
  <c r="O1011" i="7"/>
  <c r="P1011" i="7"/>
  <c r="Q1011" i="7"/>
  <c r="R1011" i="7"/>
  <c r="S1011" i="7"/>
  <c r="T1011" i="7"/>
  <c r="U1011" i="7"/>
  <c r="V1011" i="7"/>
  <c r="W1011" i="7"/>
  <c r="M291" i="7"/>
  <c r="N291" i="7"/>
  <c r="O291" i="7"/>
  <c r="P291" i="7"/>
  <c r="Q291" i="7"/>
  <c r="R291" i="7"/>
  <c r="S291" i="7"/>
  <c r="T291" i="7"/>
  <c r="U291" i="7"/>
  <c r="V291" i="7"/>
  <c r="W291" i="7"/>
  <c r="M676" i="7"/>
  <c r="N676" i="7"/>
  <c r="O676" i="7"/>
  <c r="P676" i="7"/>
  <c r="Q676" i="7"/>
  <c r="R676" i="7"/>
  <c r="S676" i="7"/>
  <c r="T676" i="7"/>
  <c r="U676" i="7"/>
  <c r="V676" i="7"/>
  <c r="W676" i="7"/>
  <c r="M27" i="7"/>
  <c r="N27" i="7"/>
  <c r="O27" i="7"/>
  <c r="P27" i="7"/>
  <c r="Q27" i="7"/>
  <c r="R27" i="7"/>
  <c r="S27" i="7"/>
  <c r="T27" i="7"/>
  <c r="U27" i="7"/>
  <c r="V27" i="7"/>
  <c r="W27" i="7"/>
  <c r="M99" i="7"/>
  <c r="N99" i="7"/>
  <c r="O99" i="7"/>
  <c r="P99" i="7"/>
  <c r="Q99" i="7"/>
  <c r="R99" i="7"/>
  <c r="S99" i="7"/>
  <c r="T99" i="7"/>
  <c r="U99" i="7"/>
  <c r="V99" i="7"/>
  <c r="W99" i="7"/>
  <c r="M171" i="7"/>
  <c r="N171" i="7"/>
  <c r="O171" i="7"/>
  <c r="P171" i="7"/>
  <c r="Q171" i="7"/>
  <c r="R171" i="7"/>
  <c r="S171" i="7"/>
  <c r="T171" i="7"/>
  <c r="U171" i="7"/>
  <c r="V171" i="7"/>
  <c r="W171" i="7"/>
  <c r="M243" i="7"/>
  <c r="N243" i="7"/>
  <c r="O243" i="7"/>
  <c r="P243" i="7"/>
  <c r="Q243" i="7"/>
  <c r="R243" i="7"/>
  <c r="S243" i="7"/>
  <c r="T243" i="7"/>
  <c r="U243" i="7"/>
  <c r="V243" i="7"/>
  <c r="W243" i="7"/>
  <c r="M531" i="7"/>
  <c r="N531" i="7"/>
  <c r="O531" i="7"/>
  <c r="P531" i="7"/>
  <c r="Q531" i="7"/>
  <c r="R531" i="7"/>
  <c r="S531" i="7"/>
  <c r="T531" i="7"/>
  <c r="U531" i="7"/>
  <c r="V531" i="7"/>
  <c r="W531" i="7"/>
  <c r="M794" i="7"/>
  <c r="N794" i="7"/>
  <c r="O794" i="7"/>
  <c r="P794" i="7"/>
  <c r="Q794" i="7"/>
  <c r="R794" i="7"/>
  <c r="S794" i="7"/>
  <c r="T794" i="7"/>
  <c r="U794" i="7"/>
  <c r="V794" i="7"/>
  <c r="W794" i="7"/>
  <c r="M904" i="7"/>
  <c r="N904" i="7"/>
  <c r="O904" i="7"/>
  <c r="P904" i="7"/>
  <c r="Q904" i="7"/>
  <c r="R904" i="7"/>
  <c r="S904" i="7"/>
  <c r="T904" i="7"/>
  <c r="U904" i="7"/>
  <c r="V904" i="7"/>
  <c r="W904" i="7"/>
  <c r="M135" i="7"/>
  <c r="N135" i="7"/>
  <c r="O135" i="7"/>
  <c r="P135" i="7"/>
  <c r="Q135" i="7"/>
  <c r="R135" i="7"/>
  <c r="S135" i="7"/>
  <c r="T135" i="7"/>
  <c r="U135" i="7"/>
  <c r="V135" i="7"/>
  <c r="W135" i="7"/>
  <c r="M567" i="7"/>
  <c r="N567" i="7"/>
  <c r="O567" i="7"/>
  <c r="P567" i="7"/>
  <c r="Q567" i="7"/>
  <c r="R567" i="7"/>
  <c r="S567" i="7"/>
  <c r="T567" i="7"/>
  <c r="U567" i="7"/>
  <c r="V567" i="7"/>
  <c r="W567" i="7"/>
  <c r="M866" i="7"/>
  <c r="N866" i="7"/>
  <c r="O866" i="7"/>
  <c r="P866" i="7"/>
  <c r="Q866" i="7"/>
  <c r="R866" i="7"/>
  <c r="S866" i="7"/>
  <c r="T866" i="7"/>
  <c r="U866" i="7"/>
  <c r="V866" i="7"/>
  <c r="W866" i="7"/>
  <c r="M1010" i="7"/>
  <c r="N1010" i="7"/>
  <c r="O1010" i="7"/>
  <c r="P1010" i="7"/>
  <c r="Q1010" i="7"/>
  <c r="R1010" i="7"/>
  <c r="S1010" i="7"/>
  <c r="T1010" i="7"/>
  <c r="U1010" i="7"/>
  <c r="V1010" i="7"/>
  <c r="W1010" i="7"/>
  <c r="M136" i="7"/>
  <c r="N136" i="7"/>
  <c r="O136" i="7"/>
  <c r="P136" i="7"/>
  <c r="Q136" i="7"/>
  <c r="R136" i="7"/>
  <c r="S136" i="7"/>
  <c r="T136" i="7"/>
  <c r="U136" i="7"/>
  <c r="V136" i="7"/>
  <c r="W136" i="7"/>
  <c r="M868" i="7"/>
  <c r="N868" i="7"/>
  <c r="O868" i="7"/>
  <c r="P868" i="7"/>
  <c r="Q868" i="7"/>
  <c r="R868" i="7"/>
  <c r="S868" i="7"/>
  <c r="T868" i="7"/>
  <c r="U868" i="7"/>
  <c r="V868" i="7"/>
  <c r="W868" i="7"/>
  <c r="M28" i="7"/>
  <c r="N28" i="7"/>
  <c r="O28" i="7"/>
  <c r="P28" i="7"/>
  <c r="Q28" i="7"/>
  <c r="R28" i="7"/>
  <c r="S28" i="7"/>
  <c r="T28" i="7"/>
  <c r="U28" i="7"/>
  <c r="V28" i="7"/>
  <c r="W28" i="7"/>
  <c r="M100" i="7"/>
  <c r="N100" i="7"/>
  <c r="O100" i="7"/>
  <c r="P100" i="7"/>
  <c r="Q100" i="7"/>
  <c r="R100" i="7"/>
  <c r="S100" i="7"/>
  <c r="T100" i="7"/>
  <c r="U100" i="7"/>
  <c r="V100" i="7"/>
  <c r="W100" i="7"/>
  <c r="M172" i="7"/>
  <c r="N172" i="7"/>
  <c r="O172" i="7"/>
  <c r="P172" i="7"/>
  <c r="Q172" i="7"/>
  <c r="R172" i="7"/>
  <c r="S172" i="7"/>
  <c r="T172" i="7"/>
  <c r="U172" i="7"/>
  <c r="V172" i="7"/>
  <c r="W172" i="7"/>
  <c r="M244" i="7"/>
  <c r="N244" i="7"/>
  <c r="O244" i="7"/>
  <c r="P244" i="7"/>
  <c r="Q244" i="7"/>
  <c r="R244" i="7"/>
  <c r="S244" i="7"/>
  <c r="T244" i="7"/>
  <c r="U244" i="7"/>
  <c r="V244" i="7"/>
  <c r="W244" i="7"/>
  <c r="M316" i="7"/>
  <c r="N316" i="7"/>
  <c r="O316" i="7"/>
  <c r="P316" i="7"/>
  <c r="Q316" i="7"/>
  <c r="R316" i="7"/>
  <c r="S316" i="7"/>
  <c r="T316" i="7"/>
  <c r="U316" i="7"/>
  <c r="V316" i="7"/>
  <c r="W316" i="7"/>
  <c r="M388" i="7"/>
  <c r="N388" i="7"/>
  <c r="O388" i="7"/>
  <c r="P388" i="7"/>
  <c r="Q388" i="7"/>
  <c r="R388" i="7"/>
  <c r="S388" i="7"/>
  <c r="T388" i="7"/>
  <c r="U388" i="7"/>
  <c r="V388" i="7"/>
  <c r="W388" i="7"/>
  <c r="M460" i="7"/>
  <c r="N460" i="7"/>
  <c r="O460" i="7"/>
  <c r="P460" i="7"/>
  <c r="Q460" i="7"/>
  <c r="R460" i="7"/>
  <c r="S460" i="7"/>
  <c r="T460" i="7"/>
  <c r="U460" i="7"/>
  <c r="V460" i="7"/>
  <c r="W460" i="7"/>
  <c r="M532" i="7"/>
  <c r="N532" i="7"/>
  <c r="O532" i="7"/>
  <c r="P532" i="7"/>
  <c r="Q532" i="7"/>
  <c r="R532" i="7"/>
  <c r="S532" i="7"/>
  <c r="T532" i="7"/>
  <c r="U532" i="7"/>
  <c r="V532" i="7"/>
  <c r="W532" i="7"/>
  <c r="M603" i="7"/>
  <c r="N603" i="7"/>
  <c r="O603" i="7"/>
  <c r="P603" i="7"/>
  <c r="Q603" i="7"/>
  <c r="R603" i="7"/>
  <c r="S603" i="7"/>
  <c r="T603" i="7"/>
  <c r="U603" i="7"/>
  <c r="V603" i="7"/>
  <c r="W603" i="7"/>
  <c r="M651" i="7"/>
  <c r="N651" i="7"/>
  <c r="O651" i="7"/>
  <c r="P651" i="7"/>
  <c r="Q651" i="7"/>
  <c r="R651" i="7"/>
  <c r="S651" i="7"/>
  <c r="T651" i="7"/>
  <c r="U651" i="7"/>
  <c r="V651" i="7"/>
  <c r="W651" i="7"/>
  <c r="M699" i="7"/>
  <c r="N699" i="7"/>
  <c r="O699" i="7"/>
  <c r="P699" i="7"/>
  <c r="Q699" i="7"/>
  <c r="R699" i="7"/>
  <c r="S699" i="7"/>
  <c r="T699" i="7"/>
  <c r="U699" i="7"/>
  <c r="V699" i="7"/>
  <c r="W699" i="7"/>
  <c r="M747" i="7"/>
  <c r="N747" i="7"/>
  <c r="O747" i="7"/>
  <c r="P747" i="7"/>
  <c r="Q747" i="7"/>
  <c r="R747" i="7"/>
  <c r="S747" i="7"/>
  <c r="T747" i="7"/>
  <c r="U747" i="7"/>
  <c r="V747" i="7"/>
  <c r="W747" i="7"/>
  <c r="M795" i="7"/>
  <c r="N795" i="7"/>
  <c r="O795" i="7"/>
  <c r="P795" i="7"/>
  <c r="Q795" i="7"/>
  <c r="R795" i="7"/>
  <c r="S795" i="7"/>
  <c r="T795" i="7"/>
  <c r="U795" i="7"/>
  <c r="V795" i="7"/>
  <c r="W795" i="7"/>
  <c r="M843" i="7"/>
  <c r="N843" i="7"/>
  <c r="O843" i="7"/>
  <c r="P843" i="7"/>
  <c r="Q843" i="7"/>
  <c r="R843" i="7"/>
  <c r="S843" i="7"/>
  <c r="T843" i="7"/>
  <c r="U843" i="7"/>
  <c r="V843" i="7"/>
  <c r="W843" i="7"/>
  <c r="M891" i="7"/>
  <c r="N891" i="7"/>
  <c r="O891" i="7"/>
  <c r="P891" i="7"/>
  <c r="Q891" i="7"/>
  <c r="R891" i="7"/>
  <c r="S891" i="7"/>
  <c r="T891" i="7"/>
  <c r="U891" i="7"/>
  <c r="V891" i="7"/>
  <c r="W891" i="7"/>
  <c r="M939" i="7"/>
  <c r="N939" i="7"/>
  <c r="O939" i="7"/>
  <c r="P939" i="7"/>
  <c r="Q939" i="7"/>
  <c r="R939" i="7"/>
  <c r="S939" i="7"/>
  <c r="T939" i="7"/>
  <c r="U939" i="7"/>
  <c r="V939" i="7"/>
  <c r="W939" i="7"/>
  <c r="M987" i="7"/>
  <c r="N987" i="7"/>
  <c r="O987" i="7"/>
  <c r="P987" i="7"/>
  <c r="Q987" i="7"/>
  <c r="R987" i="7"/>
  <c r="S987" i="7"/>
  <c r="T987" i="7"/>
  <c r="U987" i="7"/>
  <c r="V987" i="7"/>
  <c r="W987" i="7"/>
  <c r="M1035" i="7"/>
  <c r="N1035" i="7"/>
  <c r="O1035" i="7"/>
  <c r="P1035" i="7"/>
  <c r="Q1035" i="7"/>
  <c r="R1035" i="7"/>
  <c r="S1035" i="7"/>
  <c r="T1035" i="7"/>
  <c r="U1035" i="7"/>
  <c r="V1035" i="7"/>
  <c r="W1035" i="7"/>
  <c r="M748" i="7"/>
  <c r="N748" i="7"/>
  <c r="O748" i="7"/>
  <c r="P748" i="7"/>
  <c r="Q748" i="7"/>
  <c r="R748" i="7"/>
  <c r="S748" i="7"/>
  <c r="T748" i="7"/>
  <c r="U748" i="7"/>
  <c r="V748" i="7"/>
  <c r="W748" i="7"/>
  <c r="M892" i="7"/>
  <c r="N892" i="7"/>
  <c r="O892" i="7"/>
  <c r="P892" i="7"/>
  <c r="Q892" i="7"/>
  <c r="R892" i="7"/>
  <c r="S892" i="7"/>
  <c r="T892" i="7"/>
  <c r="U892" i="7"/>
  <c r="V892" i="7"/>
  <c r="W892" i="7"/>
  <c r="M988" i="7"/>
  <c r="N988" i="7"/>
  <c r="O988" i="7"/>
  <c r="P988" i="7"/>
  <c r="Q988" i="7"/>
  <c r="R988" i="7"/>
  <c r="S988" i="7"/>
  <c r="T988" i="7"/>
  <c r="U988" i="7"/>
  <c r="V988" i="7"/>
  <c r="W988" i="7"/>
  <c r="M195" i="7"/>
  <c r="N195" i="7"/>
  <c r="O195" i="7"/>
  <c r="P195" i="7"/>
  <c r="Q195" i="7"/>
  <c r="R195" i="7"/>
  <c r="S195" i="7"/>
  <c r="T195" i="7"/>
  <c r="U195" i="7"/>
  <c r="V195" i="7"/>
  <c r="W195" i="7"/>
  <c r="M339" i="7"/>
  <c r="N339" i="7"/>
  <c r="O339" i="7"/>
  <c r="P339" i="7"/>
  <c r="Q339" i="7"/>
  <c r="R339" i="7"/>
  <c r="S339" i="7"/>
  <c r="T339" i="7"/>
  <c r="U339" i="7"/>
  <c r="V339" i="7"/>
  <c r="W339" i="7"/>
  <c r="M759" i="7"/>
  <c r="N759" i="7"/>
  <c r="O759" i="7"/>
  <c r="P759" i="7"/>
  <c r="Q759" i="7"/>
  <c r="R759" i="7"/>
  <c r="S759" i="7"/>
  <c r="T759" i="7"/>
  <c r="U759" i="7"/>
  <c r="V759" i="7"/>
  <c r="W759" i="7"/>
  <c r="M951" i="7"/>
  <c r="N951" i="7"/>
  <c r="O951" i="7"/>
  <c r="P951" i="7"/>
  <c r="Q951" i="7"/>
  <c r="R951" i="7"/>
  <c r="S951" i="7"/>
  <c r="T951" i="7"/>
  <c r="U951" i="7"/>
  <c r="V951" i="7"/>
  <c r="W951" i="7"/>
  <c r="M999" i="7"/>
  <c r="N999" i="7"/>
  <c r="O999" i="7"/>
  <c r="P999" i="7"/>
  <c r="Q999" i="7"/>
  <c r="R999" i="7"/>
  <c r="S999" i="7"/>
  <c r="T999" i="7"/>
  <c r="U999" i="7"/>
  <c r="V999" i="7"/>
  <c r="W999" i="7"/>
  <c r="M196" i="7"/>
  <c r="N196" i="7"/>
  <c r="O196" i="7"/>
  <c r="P196" i="7"/>
  <c r="Q196" i="7"/>
  <c r="R196" i="7"/>
  <c r="S196" i="7"/>
  <c r="T196" i="7"/>
  <c r="U196" i="7"/>
  <c r="V196" i="7"/>
  <c r="W196" i="7"/>
  <c r="M412" i="7"/>
  <c r="N412" i="7"/>
  <c r="O412" i="7"/>
  <c r="P412" i="7"/>
  <c r="Q412" i="7"/>
  <c r="R412" i="7"/>
  <c r="S412" i="7"/>
  <c r="T412" i="7"/>
  <c r="U412" i="7"/>
  <c r="V412" i="7"/>
  <c r="W412" i="7"/>
  <c r="M808" i="7"/>
  <c r="N808" i="7"/>
  <c r="O808" i="7"/>
  <c r="P808" i="7"/>
  <c r="Q808" i="7"/>
  <c r="R808" i="7"/>
  <c r="S808" i="7"/>
  <c r="T808" i="7"/>
  <c r="U808" i="7"/>
  <c r="V808" i="7"/>
  <c r="W808" i="7"/>
  <c r="M856" i="7"/>
  <c r="N856" i="7"/>
  <c r="O856" i="7"/>
  <c r="P856" i="7"/>
  <c r="Q856" i="7"/>
  <c r="R856" i="7"/>
  <c r="S856" i="7"/>
  <c r="T856" i="7"/>
  <c r="U856" i="7"/>
  <c r="V856" i="7"/>
  <c r="W856" i="7"/>
  <c r="M952" i="7"/>
  <c r="N952" i="7"/>
  <c r="O952" i="7"/>
  <c r="P952" i="7"/>
  <c r="Q952" i="7"/>
  <c r="R952" i="7"/>
  <c r="S952" i="7"/>
  <c r="T952" i="7"/>
  <c r="U952" i="7"/>
  <c r="V952" i="7"/>
  <c r="W952" i="7"/>
  <c r="M279" i="7"/>
  <c r="N279" i="7"/>
  <c r="O279" i="7"/>
  <c r="P279" i="7"/>
  <c r="Q279" i="7"/>
  <c r="R279" i="7"/>
  <c r="S279" i="7"/>
  <c r="T279" i="7"/>
  <c r="U279" i="7"/>
  <c r="V279" i="7"/>
  <c r="W279" i="7"/>
  <c r="M626" i="7"/>
  <c r="N626" i="7"/>
  <c r="O626" i="7"/>
  <c r="P626" i="7"/>
  <c r="Q626" i="7"/>
  <c r="R626" i="7"/>
  <c r="S626" i="7"/>
  <c r="T626" i="7"/>
  <c r="U626" i="7"/>
  <c r="V626" i="7"/>
  <c r="W626" i="7"/>
  <c r="M818" i="7"/>
  <c r="N818" i="7"/>
  <c r="O818" i="7"/>
  <c r="P818" i="7"/>
  <c r="Q818" i="7"/>
  <c r="R818" i="7"/>
  <c r="S818" i="7"/>
  <c r="T818" i="7"/>
  <c r="U818" i="7"/>
  <c r="V818" i="7"/>
  <c r="W818" i="7"/>
  <c r="M962" i="7"/>
  <c r="N962" i="7"/>
  <c r="O962" i="7"/>
  <c r="P962" i="7"/>
  <c r="Q962" i="7"/>
  <c r="R962" i="7"/>
  <c r="S962" i="7"/>
  <c r="T962" i="7"/>
  <c r="U962" i="7"/>
  <c r="V962" i="7"/>
  <c r="W962" i="7"/>
  <c r="M64" i="7"/>
  <c r="N64" i="7"/>
  <c r="O64" i="7"/>
  <c r="P64" i="7"/>
  <c r="Q64" i="7"/>
  <c r="R64" i="7"/>
  <c r="S64" i="7"/>
  <c r="T64" i="7"/>
  <c r="U64" i="7"/>
  <c r="V64" i="7"/>
  <c r="W64" i="7"/>
  <c r="M352" i="7"/>
  <c r="N352" i="7"/>
  <c r="O352" i="7"/>
  <c r="P352" i="7"/>
  <c r="Q352" i="7"/>
  <c r="R352" i="7"/>
  <c r="S352" i="7"/>
  <c r="T352" i="7"/>
  <c r="U352" i="7"/>
  <c r="V352" i="7"/>
  <c r="W352" i="7"/>
  <c r="M496" i="7"/>
  <c r="N496" i="7"/>
  <c r="O496" i="7"/>
  <c r="P496" i="7"/>
  <c r="Q496" i="7"/>
  <c r="R496" i="7"/>
  <c r="S496" i="7"/>
  <c r="T496" i="7"/>
  <c r="U496" i="7"/>
  <c r="V496" i="7"/>
  <c r="W496" i="7"/>
  <c r="M568" i="7"/>
  <c r="N568" i="7"/>
  <c r="O568" i="7"/>
  <c r="P568" i="7"/>
  <c r="Q568" i="7"/>
  <c r="R568" i="7"/>
  <c r="S568" i="7"/>
  <c r="T568" i="7"/>
  <c r="U568" i="7"/>
  <c r="V568" i="7"/>
  <c r="W568" i="7"/>
  <c r="M915" i="7"/>
  <c r="N915" i="7"/>
  <c r="O915" i="7"/>
  <c r="P915" i="7"/>
  <c r="Q915" i="7"/>
  <c r="R915" i="7"/>
  <c r="S915" i="7"/>
  <c r="T915" i="7"/>
  <c r="U915" i="7"/>
  <c r="V915" i="7"/>
  <c r="W915" i="7"/>
  <c r="M147" i="7"/>
  <c r="N147" i="7"/>
  <c r="O147" i="7"/>
  <c r="P147" i="7"/>
  <c r="Q147" i="7"/>
  <c r="R147" i="7"/>
  <c r="S147" i="7"/>
  <c r="T147" i="7"/>
  <c r="U147" i="7"/>
  <c r="V147" i="7"/>
  <c r="W147" i="7"/>
  <c r="M507" i="7"/>
  <c r="N507" i="7"/>
  <c r="O507" i="7"/>
  <c r="P507" i="7"/>
  <c r="Q507" i="7"/>
  <c r="R507" i="7"/>
  <c r="S507" i="7"/>
  <c r="T507" i="7"/>
  <c r="U507" i="7"/>
  <c r="V507" i="7"/>
  <c r="W507" i="7"/>
  <c r="M724" i="7"/>
  <c r="N724" i="7"/>
  <c r="O724" i="7"/>
  <c r="P724" i="7"/>
  <c r="Q724" i="7"/>
  <c r="R724" i="7"/>
  <c r="S724" i="7"/>
  <c r="T724" i="7"/>
  <c r="U724" i="7"/>
  <c r="V724" i="7"/>
  <c r="W724" i="7"/>
  <c r="M820" i="7"/>
  <c r="N820" i="7"/>
  <c r="O820" i="7"/>
  <c r="P820" i="7"/>
  <c r="Q820" i="7"/>
  <c r="R820" i="7"/>
  <c r="S820" i="7"/>
  <c r="T820" i="7"/>
  <c r="U820" i="7"/>
  <c r="V820" i="7"/>
  <c r="W820" i="7"/>
  <c r="M39" i="7"/>
  <c r="N39" i="7"/>
  <c r="O39" i="7"/>
  <c r="P39" i="7"/>
  <c r="Q39" i="7"/>
  <c r="R39" i="7"/>
  <c r="S39" i="7"/>
  <c r="T39" i="7"/>
  <c r="U39" i="7"/>
  <c r="V39" i="7"/>
  <c r="W39" i="7"/>
  <c r="M111" i="7"/>
  <c r="N111" i="7"/>
  <c r="O111" i="7"/>
  <c r="P111" i="7"/>
  <c r="Q111" i="7"/>
  <c r="R111" i="7"/>
  <c r="S111" i="7"/>
  <c r="T111" i="7"/>
  <c r="U111" i="7"/>
  <c r="V111" i="7"/>
  <c r="W111" i="7"/>
  <c r="M183" i="7"/>
  <c r="N183" i="7"/>
  <c r="O183" i="7"/>
  <c r="P183" i="7"/>
  <c r="Q183" i="7"/>
  <c r="R183" i="7"/>
  <c r="S183" i="7"/>
  <c r="T183" i="7"/>
  <c r="U183" i="7"/>
  <c r="V183" i="7"/>
  <c r="W183" i="7"/>
  <c r="M255" i="7"/>
  <c r="N255" i="7"/>
  <c r="O255" i="7"/>
  <c r="P255" i="7"/>
  <c r="Q255" i="7"/>
  <c r="R255" i="7"/>
  <c r="S255" i="7"/>
  <c r="T255" i="7"/>
  <c r="U255" i="7"/>
  <c r="V255" i="7"/>
  <c r="W255" i="7"/>
  <c r="M327" i="7"/>
  <c r="N327" i="7"/>
  <c r="O327" i="7"/>
  <c r="P327" i="7"/>
  <c r="Q327" i="7"/>
  <c r="R327" i="7"/>
  <c r="S327" i="7"/>
  <c r="T327" i="7"/>
  <c r="U327" i="7"/>
  <c r="V327" i="7"/>
  <c r="W327" i="7"/>
  <c r="M399" i="7"/>
  <c r="N399" i="7"/>
  <c r="O399" i="7"/>
  <c r="P399" i="7"/>
  <c r="Q399" i="7"/>
  <c r="R399" i="7"/>
  <c r="S399" i="7"/>
  <c r="T399" i="7"/>
  <c r="U399" i="7"/>
  <c r="V399" i="7"/>
  <c r="W399" i="7"/>
  <c r="M471" i="7"/>
  <c r="N471" i="7"/>
  <c r="O471" i="7"/>
  <c r="P471" i="7"/>
  <c r="Q471" i="7"/>
  <c r="R471" i="7"/>
  <c r="S471" i="7"/>
  <c r="T471" i="7"/>
  <c r="U471" i="7"/>
  <c r="V471" i="7"/>
  <c r="W471" i="7"/>
  <c r="M543" i="7"/>
  <c r="N543" i="7"/>
  <c r="O543" i="7"/>
  <c r="P543" i="7"/>
  <c r="Q543" i="7"/>
  <c r="R543" i="7"/>
  <c r="S543" i="7"/>
  <c r="T543" i="7"/>
  <c r="U543" i="7"/>
  <c r="V543" i="7"/>
  <c r="W543" i="7"/>
  <c r="M604" i="7"/>
  <c r="N604" i="7"/>
  <c r="O604" i="7"/>
  <c r="P604" i="7"/>
  <c r="Q604" i="7"/>
  <c r="R604" i="7"/>
  <c r="S604" i="7"/>
  <c r="T604" i="7"/>
  <c r="U604" i="7"/>
  <c r="V604" i="7"/>
  <c r="W604" i="7"/>
  <c r="M652" i="7"/>
  <c r="N652" i="7"/>
  <c r="O652" i="7"/>
  <c r="P652" i="7"/>
  <c r="Q652" i="7"/>
  <c r="R652" i="7"/>
  <c r="S652" i="7"/>
  <c r="T652" i="7"/>
  <c r="U652" i="7"/>
  <c r="V652" i="7"/>
  <c r="W652" i="7"/>
  <c r="M700" i="7"/>
  <c r="N700" i="7"/>
  <c r="O700" i="7"/>
  <c r="P700" i="7"/>
  <c r="Q700" i="7"/>
  <c r="R700" i="7"/>
  <c r="S700" i="7"/>
  <c r="T700" i="7"/>
  <c r="U700" i="7"/>
  <c r="V700" i="7"/>
  <c r="W700" i="7"/>
  <c r="M796" i="7"/>
  <c r="N796" i="7"/>
  <c r="O796" i="7"/>
  <c r="P796" i="7"/>
  <c r="Q796" i="7"/>
  <c r="R796" i="7"/>
  <c r="S796" i="7"/>
  <c r="T796" i="7"/>
  <c r="U796" i="7"/>
  <c r="V796" i="7"/>
  <c r="W796" i="7"/>
  <c r="M844" i="7"/>
  <c r="N844" i="7"/>
  <c r="O844" i="7"/>
  <c r="P844" i="7"/>
  <c r="Q844" i="7"/>
  <c r="R844" i="7"/>
  <c r="S844" i="7"/>
  <c r="T844" i="7"/>
  <c r="U844" i="7"/>
  <c r="V844" i="7"/>
  <c r="W844" i="7"/>
  <c r="M940" i="7"/>
  <c r="N940" i="7"/>
  <c r="O940" i="7"/>
  <c r="P940" i="7"/>
  <c r="Q940" i="7"/>
  <c r="R940" i="7"/>
  <c r="S940" i="7"/>
  <c r="T940" i="7"/>
  <c r="U940" i="7"/>
  <c r="V940" i="7"/>
  <c r="W940" i="7"/>
  <c r="M1036" i="7"/>
  <c r="N1036" i="7"/>
  <c r="O1036" i="7"/>
  <c r="P1036" i="7"/>
  <c r="Q1036" i="7"/>
  <c r="R1036" i="7"/>
  <c r="S1036" i="7"/>
  <c r="T1036" i="7"/>
  <c r="U1036" i="7"/>
  <c r="V1036" i="7"/>
  <c r="W1036" i="7"/>
  <c r="M411" i="7"/>
  <c r="N411" i="7"/>
  <c r="O411" i="7"/>
  <c r="P411" i="7"/>
  <c r="Q411" i="7"/>
  <c r="R411" i="7"/>
  <c r="S411" i="7"/>
  <c r="T411" i="7"/>
  <c r="U411" i="7"/>
  <c r="V411" i="7"/>
  <c r="W411" i="7"/>
  <c r="M483" i="7"/>
  <c r="N483" i="7"/>
  <c r="O483" i="7"/>
  <c r="P483" i="7"/>
  <c r="Q483" i="7"/>
  <c r="R483" i="7"/>
  <c r="S483" i="7"/>
  <c r="T483" i="7"/>
  <c r="U483" i="7"/>
  <c r="V483" i="7"/>
  <c r="W483" i="7"/>
  <c r="M555" i="7"/>
  <c r="N555" i="7"/>
  <c r="O555" i="7"/>
  <c r="P555" i="7"/>
  <c r="Q555" i="7"/>
  <c r="R555" i="7"/>
  <c r="S555" i="7"/>
  <c r="T555" i="7"/>
  <c r="U555" i="7"/>
  <c r="V555" i="7"/>
  <c r="W555" i="7"/>
  <c r="M711" i="7"/>
  <c r="N711" i="7"/>
  <c r="O711" i="7"/>
  <c r="P711" i="7"/>
  <c r="Q711" i="7"/>
  <c r="R711" i="7"/>
  <c r="S711" i="7"/>
  <c r="T711" i="7"/>
  <c r="U711" i="7"/>
  <c r="V711" i="7"/>
  <c r="W711" i="7"/>
  <c r="M807" i="7"/>
  <c r="N807" i="7"/>
  <c r="O807" i="7"/>
  <c r="P807" i="7"/>
  <c r="Q807" i="7"/>
  <c r="R807" i="7"/>
  <c r="S807" i="7"/>
  <c r="T807" i="7"/>
  <c r="U807" i="7"/>
  <c r="V807" i="7"/>
  <c r="W807" i="7"/>
  <c r="M903" i="7"/>
  <c r="N903" i="7"/>
  <c r="O903" i="7"/>
  <c r="P903" i="7"/>
  <c r="Q903" i="7"/>
  <c r="R903" i="7"/>
  <c r="S903" i="7"/>
  <c r="T903" i="7"/>
  <c r="U903" i="7"/>
  <c r="V903" i="7"/>
  <c r="W903" i="7"/>
  <c r="M1047" i="7"/>
  <c r="N1047" i="7"/>
  <c r="O1047" i="7"/>
  <c r="P1047" i="7"/>
  <c r="Q1047" i="7"/>
  <c r="R1047" i="7"/>
  <c r="S1047" i="7"/>
  <c r="T1047" i="7"/>
  <c r="U1047" i="7"/>
  <c r="V1047" i="7"/>
  <c r="W1047" i="7"/>
  <c r="M52" i="7"/>
  <c r="N52" i="7"/>
  <c r="O52" i="7"/>
  <c r="P52" i="7"/>
  <c r="Q52" i="7"/>
  <c r="R52" i="7"/>
  <c r="S52" i="7"/>
  <c r="T52" i="7"/>
  <c r="U52" i="7"/>
  <c r="V52" i="7"/>
  <c r="W52" i="7"/>
  <c r="M340" i="7"/>
  <c r="N340" i="7"/>
  <c r="O340" i="7"/>
  <c r="P340" i="7"/>
  <c r="Q340" i="7"/>
  <c r="R340" i="7"/>
  <c r="S340" i="7"/>
  <c r="T340" i="7"/>
  <c r="U340" i="7"/>
  <c r="V340" i="7"/>
  <c r="W340" i="7"/>
  <c r="M484" i="7"/>
  <c r="N484" i="7"/>
  <c r="O484" i="7"/>
  <c r="P484" i="7"/>
  <c r="Q484" i="7"/>
  <c r="R484" i="7"/>
  <c r="S484" i="7"/>
  <c r="T484" i="7"/>
  <c r="U484" i="7"/>
  <c r="V484" i="7"/>
  <c r="W484" i="7"/>
  <c r="M556" i="7"/>
  <c r="N556" i="7"/>
  <c r="O556" i="7"/>
  <c r="P556" i="7"/>
  <c r="Q556" i="7"/>
  <c r="R556" i="7"/>
  <c r="S556" i="7"/>
  <c r="T556" i="7"/>
  <c r="U556" i="7"/>
  <c r="V556" i="7"/>
  <c r="W556" i="7"/>
  <c r="M616" i="7"/>
  <c r="N616" i="7"/>
  <c r="O616" i="7"/>
  <c r="P616" i="7"/>
  <c r="Q616" i="7"/>
  <c r="R616" i="7"/>
  <c r="S616" i="7"/>
  <c r="T616" i="7"/>
  <c r="U616" i="7"/>
  <c r="V616" i="7"/>
  <c r="W616" i="7"/>
  <c r="M664" i="7"/>
  <c r="N664" i="7"/>
  <c r="O664" i="7"/>
  <c r="P664" i="7"/>
  <c r="Q664" i="7"/>
  <c r="R664" i="7"/>
  <c r="S664" i="7"/>
  <c r="T664" i="7"/>
  <c r="U664" i="7"/>
  <c r="V664" i="7"/>
  <c r="W664" i="7"/>
  <c r="M712" i="7"/>
  <c r="N712" i="7"/>
  <c r="O712" i="7"/>
  <c r="P712" i="7"/>
  <c r="Q712" i="7"/>
  <c r="R712" i="7"/>
  <c r="S712" i="7"/>
  <c r="T712" i="7"/>
  <c r="U712" i="7"/>
  <c r="V712" i="7"/>
  <c r="W712" i="7"/>
  <c r="M760" i="7"/>
  <c r="N760" i="7"/>
  <c r="O760" i="7"/>
  <c r="P760" i="7"/>
  <c r="Q760" i="7"/>
  <c r="R760" i="7"/>
  <c r="S760" i="7"/>
  <c r="T760" i="7"/>
  <c r="U760" i="7"/>
  <c r="V760" i="7"/>
  <c r="W760" i="7"/>
  <c r="M963" i="7"/>
  <c r="N963" i="7"/>
  <c r="O963" i="7"/>
  <c r="P963" i="7"/>
  <c r="Q963" i="7"/>
  <c r="R963" i="7"/>
  <c r="S963" i="7"/>
  <c r="T963" i="7"/>
  <c r="U963" i="7"/>
  <c r="V963" i="7"/>
  <c r="W963" i="7"/>
  <c r="M435" i="7"/>
  <c r="N435" i="7"/>
  <c r="O435" i="7"/>
  <c r="P435" i="7"/>
  <c r="Q435" i="7"/>
  <c r="R435" i="7"/>
  <c r="S435" i="7"/>
  <c r="T435" i="7"/>
  <c r="U435" i="7"/>
  <c r="V435" i="7"/>
  <c r="W435" i="7"/>
  <c r="M772" i="7"/>
  <c r="N772" i="7"/>
  <c r="O772" i="7"/>
  <c r="P772" i="7"/>
  <c r="Q772" i="7"/>
  <c r="R772" i="7"/>
  <c r="S772" i="7"/>
  <c r="T772" i="7"/>
  <c r="U772" i="7"/>
  <c r="V772" i="7"/>
  <c r="W772" i="7"/>
  <c r="M916" i="7"/>
  <c r="N916" i="7"/>
  <c r="O916" i="7"/>
  <c r="P916" i="7"/>
  <c r="Q916" i="7"/>
  <c r="R916" i="7"/>
  <c r="S916" i="7"/>
  <c r="T916" i="7"/>
  <c r="U916" i="7"/>
  <c r="V916" i="7"/>
  <c r="W916" i="7"/>
  <c r="M964" i="7"/>
  <c r="N964" i="7"/>
  <c r="O964" i="7"/>
  <c r="P964" i="7"/>
  <c r="Q964" i="7"/>
  <c r="R964" i="7"/>
  <c r="S964" i="7"/>
  <c r="T964" i="7"/>
  <c r="U964" i="7"/>
  <c r="V964" i="7"/>
  <c r="W964" i="7"/>
  <c r="M40" i="7"/>
  <c r="N40" i="7"/>
  <c r="O40" i="7"/>
  <c r="P40" i="7"/>
  <c r="Q40" i="7"/>
  <c r="R40" i="7"/>
  <c r="S40" i="7"/>
  <c r="T40" i="7"/>
  <c r="U40" i="7"/>
  <c r="V40" i="7"/>
  <c r="W40" i="7"/>
  <c r="M112" i="7"/>
  <c r="N112" i="7"/>
  <c r="O112" i="7"/>
  <c r="P112" i="7"/>
  <c r="Q112" i="7"/>
  <c r="R112" i="7"/>
  <c r="S112" i="7"/>
  <c r="T112" i="7"/>
  <c r="U112" i="7"/>
  <c r="V112" i="7"/>
  <c r="W112" i="7"/>
  <c r="M184" i="7"/>
  <c r="N184" i="7"/>
  <c r="O184" i="7"/>
  <c r="P184" i="7"/>
  <c r="Q184" i="7"/>
  <c r="R184" i="7"/>
  <c r="S184" i="7"/>
  <c r="T184" i="7"/>
  <c r="U184" i="7"/>
  <c r="V184" i="7"/>
  <c r="W184" i="7"/>
  <c r="M256" i="7"/>
  <c r="N256" i="7"/>
  <c r="O256" i="7"/>
  <c r="P256" i="7"/>
  <c r="Q256" i="7"/>
  <c r="R256" i="7"/>
  <c r="S256" i="7"/>
  <c r="T256" i="7"/>
  <c r="U256" i="7"/>
  <c r="V256" i="7"/>
  <c r="W256" i="7"/>
  <c r="M328" i="7"/>
  <c r="N328" i="7"/>
  <c r="O328" i="7"/>
  <c r="P328" i="7"/>
  <c r="Q328" i="7"/>
  <c r="R328" i="7"/>
  <c r="S328" i="7"/>
  <c r="T328" i="7"/>
  <c r="U328" i="7"/>
  <c r="V328" i="7"/>
  <c r="W328" i="7"/>
  <c r="M400" i="7"/>
  <c r="N400" i="7"/>
  <c r="O400" i="7"/>
  <c r="P400" i="7"/>
  <c r="Q400" i="7"/>
  <c r="R400" i="7"/>
  <c r="S400" i="7"/>
  <c r="T400" i="7"/>
  <c r="U400" i="7"/>
  <c r="V400" i="7"/>
  <c r="W400" i="7"/>
  <c r="M472" i="7"/>
  <c r="N472" i="7"/>
  <c r="O472" i="7"/>
  <c r="P472" i="7"/>
  <c r="Q472" i="7"/>
  <c r="R472" i="7"/>
  <c r="S472" i="7"/>
  <c r="T472" i="7"/>
  <c r="U472" i="7"/>
  <c r="V472" i="7"/>
  <c r="W472" i="7"/>
  <c r="M544" i="7"/>
  <c r="N544" i="7"/>
  <c r="O544" i="7"/>
  <c r="P544" i="7"/>
  <c r="Q544" i="7"/>
  <c r="R544" i="7"/>
  <c r="S544" i="7"/>
  <c r="T544" i="7"/>
  <c r="U544" i="7"/>
  <c r="V544" i="7"/>
  <c r="W544" i="7"/>
  <c r="M614" i="7"/>
  <c r="N614" i="7"/>
  <c r="O614" i="7"/>
  <c r="P614" i="7"/>
  <c r="Q614" i="7"/>
  <c r="R614" i="7"/>
  <c r="S614" i="7"/>
  <c r="T614" i="7"/>
  <c r="U614" i="7"/>
  <c r="V614" i="7"/>
  <c r="W614" i="7"/>
  <c r="M662" i="7"/>
  <c r="N662" i="7"/>
  <c r="O662" i="7"/>
  <c r="P662" i="7"/>
  <c r="Q662" i="7"/>
  <c r="R662" i="7"/>
  <c r="S662" i="7"/>
  <c r="T662" i="7"/>
  <c r="U662" i="7"/>
  <c r="V662" i="7"/>
  <c r="W662" i="7"/>
  <c r="M710" i="7"/>
  <c r="N710" i="7"/>
  <c r="O710" i="7"/>
  <c r="P710" i="7"/>
  <c r="Q710" i="7"/>
  <c r="R710" i="7"/>
  <c r="S710" i="7"/>
  <c r="T710" i="7"/>
  <c r="U710" i="7"/>
  <c r="V710" i="7"/>
  <c r="W710" i="7"/>
  <c r="M758" i="7"/>
  <c r="N758" i="7"/>
  <c r="O758" i="7"/>
  <c r="P758" i="7"/>
  <c r="Q758" i="7"/>
  <c r="R758" i="7"/>
  <c r="S758" i="7"/>
  <c r="T758" i="7"/>
  <c r="U758" i="7"/>
  <c r="V758" i="7"/>
  <c r="W758" i="7"/>
  <c r="M806" i="7"/>
  <c r="N806" i="7"/>
  <c r="O806" i="7"/>
  <c r="P806" i="7"/>
  <c r="Q806" i="7"/>
  <c r="R806" i="7"/>
  <c r="S806" i="7"/>
  <c r="T806" i="7"/>
  <c r="U806" i="7"/>
  <c r="V806" i="7"/>
  <c r="W806" i="7"/>
  <c r="M854" i="7"/>
  <c r="N854" i="7"/>
  <c r="O854" i="7"/>
  <c r="P854" i="7"/>
  <c r="Q854" i="7"/>
  <c r="R854" i="7"/>
  <c r="S854" i="7"/>
  <c r="T854" i="7"/>
  <c r="U854" i="7"/>
  <c r="V854" i="7"/>
  <c r="W854" i="7"/>
  <c r="M902" i="7"/>
  <c r="N902" i="7"/>
  <c r="O902" i="7"/>
  <c r="P902" i="7"/>
  <c r="Q902" i="7"/>
  <c r="R902" i="7"/>
  <c r="S902" i="7"/>
  <c r="T902" i="7"/>
  <c r="U902" i="7"/>
  <c r="V902" i="7"/>
  <c r="W902" i="7"/>
  <c r="M950" i="7"/>
  <c r="N950" i="7"/>
  <c r="O950" i="7"/>
  <c r="P950" i="7"/>
  <c r="Q950" i="7"/>
  <c r="R950" i="7"/>
  <c r="S950" i="7"/>
  <c r="T950" i="7"/>
  <c r="U950" i="7"/>
  <c r="V950" i="7"/>
  <c r="W950" i="7"/>
  <c r="M998" i="7"/>
  <c r="N998" i="7"/>
  <c r="O998" i="7"/>
  <c r="P998" i="7"/>
  <c r="Q998" i="7"/>
  <c r="R998" i="7"/>
  <c r="S998" i="7"/>
  <c r="T998" i="7"/>
  <c r="U998" i="7"/>
  <c r="V998" i="7"/>
  <c r="W998" i="7"/>
  <c r="M1046" i="7"/>
  <c r="N1046" i="7"/>
  <c r="O1046" i="7"/>
  <c r="P1046" i="7"/>
  <c r="Q1046" i="7"/>
  <c r="R1046" i="7"/>
  <c r="S1046" i="7"/>
  <c r="T1046" i="7"/>
  <c r="U1046" i="7"/>
  <c r="V1046" i="7"/>
  <c r="W1046" i="7"/>
  <c r="M51" i="7"/>
  <c r="N51" i="7"/>
  <c r="O51" i="7"/>
  <c r="P51" i="7"/>
  <c r="Q51" i="7"/>
  <c r="R51" i="7"/>
  <c r="S51" i="7"/>
  <c r="T51" i="7"/>
  <c r="U51" i="7"/>
  <c r="V51" i="7"/>
  <c r="W51" i="7"/>
  <c r="M267" i="7"/>
  <c r="N267" i="7"/>
  <c r="O267" i="7"/>
  <c r="P267" i="7"/>
  <c r="Q267" i="7"/>
  <c r="R267" i="7"/>
  <c r="S267" i="7"/>
  <c r="T267" i="7"/>
  <c r="U267" i="7"/>
  <c r="V267" i="7"/>
  <c r="W267" i="7"/>
  <c r="M123" i="7"/>
  <c r="N123" i="7"/>
  <c r="O123" i="7"/>
  <c r="P123" i="7"/>
  <c r="Q123" i="7"/>
  <c r="R123" i="7"/>
  <c r="S123" i="7"/>
  <c r="T123" i="7"/>
  <c r="U123" i="7"/>
  <c r="V123" i="7"/>
  <c r="W123" i="7"/>
  <c r="M615" i="7"/>
  <c r="N615" i="7"/>
  <c r="O615" i="7"/>
  <c r="P615" i="7"/>
  <c r="Q615" i="7"/>
  <c r="R615" i="7"/>
  <c r="S615" i="7"/>
  <c r="T615" i="7"/>
  <c r="U615" i="7"/>
  <c r="V615" i="7"/>
  <c r="W615" i="7"/>
  <c r="M663" i="7"/>
  <c r="N663" i="7"/>
  <c r="O663" i="7"/>
  <c r="P663" i="7"/>
  <c r="Q663" i="7"/>
  <c r="R663" i="7"/>
  <c r="S663" i="7"/>
  <c r="T663" i="7"/>
  <c r="U663" i="7"/>
  <c r="V663" i="7"/>
  <c r="W663" i="7"/>
  <c r="M855" i="7"/>
  <c r="N855" i="7"/>
  <c r="O855" i="7"/>
  <c r="P855" i="7"/>
  <c r="Q855" i="7"/>
  <c r="R855" i="7"/>
  <c r="S855" i="7"/>
  <c r="T855" i="7"/>
  <c r="U855" i="7"/>
  <c r="V855" i="7"/>
  <c r="W855" i="7"/>
  <c r="M124" i="7"/>
  <c r="N124" i="7"/>
  <c r="O124" i="7"/>
  <c r="P124" i="7"/>
  <c r="Q124" i="7"/>
  <c r="R124" i="7"/>
  <c r="S124" i="7"/>
  <c r="T124" i="7"/>
  <c r="U124" i="7"/>
  <c r="V124" i="7"/>
  <c r="W124" i="7"/>
  <c r="M268" i="7"/>
  <c r="N268" i="7"/>
  <c r="O268" i="7"/>
  <c r="P268" i="7"/>
  <c r="Q268" i="7"/>
  <c r="R268" i="7"/>
  <c r="S268" i="7"/>
  <c r="T268" i="7"/>
  <c r="U268" i="7"/>
  <c r="V268" i="7"/>
  <c r="W268" i="7"/>
  <c r="M351" i="7"/>
  <c r="N351" i="7"/>
  <c r="O351" i="7"/>
  <c r="P351" i="7"/>
  <c r="Q351" i="7"/>
  <c r="R351" i="7"/>
  <c r="S351" i="7"/>
  <c r="T351" i="7"/>
  <c r="U351" i="7"/>
  <c r="V351" i="7"/>
  <c r="W351" i="7"/>
  <c r="M495" i="7"/>
  <c r="N495" i="7"/>
  <c r="O495" i="7"/>
  <c r="P495" i="7"/>
  <c r="Q495" i="7"/>
  <c r="R495" i="7"/>
  <c r="S495" i="7"/>
  <c r="T495" i="7"/>
  <c r="U495" i="7"/>
  <c r="V495" i="7"/>
  <c r="W495" i="7"/>
  <c r="M770" i="7"/>
  <c r="N770" i="7"/>
  <c r="O770" i="7"/>
  <c r="P770" i="7"/>
  <c r="Q770" i="7"/>
  <c r="R770" i="7"/>
  <c r="S770" i="7"/>
  <c r="T770" i="7"/>
  <c r="U770" i="7"/>
  <c r="V770" i="7"/>
  <c r="W770" i="7"/>
  <c r="M914" i="7"/>
  <c r="N914" i="7"/>
  <c r="O914" i="7"/>
  <c r="P914" i="7"/>
  <c r="Q914" i="7"/>
  <c r="R914" i="7"/>
  <c r="S914" i="7"/>
  <c r="T914" i="7"/>
  <c r="U914" i="7"/>
  <c r="V914" i="7"/>
  <c r="W914" i="7"/>
  <c r="M280" i="7"/>
  <c r="N280" i="7"/>
  <c r="O280" i="7"/>
  <c r="P280" i="7"/>
  <c r="Q280" i="7"/>
  <c r="R280" i="7"/>
  <c r="S280" i="7"/>
  <c r="T280" i="7"/>
  <c r="U280" i="7"/>
  <c r="V280" i="7"/>
  <c r="W280" i="7"/>
  <c r="M627" i="7"/>
  <c r="N627" i="7"/>
  <c r="O627" i="7"/>
  <c r="P627" i="7"/>
  <c r="Q627" i="7"/>
  <c r="R627" i="7"/>
  <c r="S627" i="7"/>
  <c r="T627" i="7"/>
  <c r="U627" i="7"/>
  <c r="V627" i="7"/>
  <c r="W627" i="7"/>
  <c r="M819" i="7"/>
  <c r="N819" i="7"/>
  <c r="O819" i="7"/>
  <c r="P819" i="7"/>
  <c r="Q819" i="7"/>
  <c r="R819" i="7"/>
  <c r="S819" i="7"/>
  <c r="T819" i="7"/>
  <c r="U819" i="7"/>
  <c r="V819" i="7"/>
  <c r="W819" i="7"/>
  <c r="M219" i="7"/>
  <c r="N219" i="7"/>
  <c r="O219" i="7"/>
  <c r="P219" i="7"/>
  <c r="Q219" i="7"/>
  <c r="R219" i="7"/>
  <c r="S219" i="7"/>
  <c r="T219" i="7"/>
  <c r="U219" i="7"/>
  <c r="V219" i="7"/>
  <c r="W219" i="7"/>
  <c r="M628" i="7"/>
  <c r="N628" i="7"/>
  <c r="O628" i="7"/>
  <c r="P628" i="7"/>
  <c r="Q628" i="7"/>
  <c r="R628" i="7"/>
  <c r="S628" i="7"/>
  <c r="T628" i="7"/>
  <c r="U628" i="7"/>
  <c r="V628" i="7"/>
  <c r="W628" i="7"/>
  <c r="M76" i="7"/>
  <c r="N76" i="7"/>
  <c r="O76" i="7"/>
  <c r="P76" i="7"/>
  <c r="Q76" i="7"/>
  <c r="R76" i="7"/>
  <c r="S76" i="7"/>
  <c r="T76" i="7"/>
  <c r="U76" i="7"/>
  <c r="V76" i="7"/>
  <c r="W76" i="7"/>
  <c r="M148" i="7"/>
  <c r="N148" i="7"/>
  <c r="O148" i="7"/>
  <c r="P148" i="7"/>
  <c r="Q148" i="7"/>
  <c r="R148" i="7"/>
  <c r="S148" i="7"/>
  <c r="T148" i="7"/>
  <c r="U148" i="7"/>
  <c r="V148" i="7"/>
  <c r="W148" i="7"/>
  <c r="M220" i="7"/>
  <c r="N220" i="7"/>
  <c r="O220" i="7"/>
  <c r="P220" i="7"/>
  <c r="Q220" i="7"/>
  <c r="R220" i="7"/>
  <c r="S220" i="7"/>
  <c r="T220" i="7"/>
  <c r="U220" i="7"/>
  <c r="V220" i="7"/>
  <c r="W220" i="7"/>
  <c r="M292" i="7"/>
  <c r="N292" i="7"/>
  <c r="O292" i="7"/>
  <c r="P292" i="7"/>
  <c r="Q292" i="7"/>
  <c r="R292" i="7"/>
  <c r="S292" i="7"/>
  <c r="T292" i="7"/>
  <c r="U292" i="7"/>
  <c r="V292" i="7"/>
  <c r="W292" i="7"/>
  <c r="M364" i="7"/>
  <c r="N364" i="7"/>
  <c r="O364" i="7"/>
  <c r="P364" i="7"/>
  <c r="Q364" i="7"/>
  <c r="R364" i="7"/>
  <c r="S364" i="7"/>
  <c r="T364" i="7"/>
  <c r="U364" i="7"/>
  <c r="V364" i="7"/>
  <c r="W364" i="7"/>
  <c r="M436" i="7"/>
  <c r="N436" i="7"/>
  <c r="O436" i="7"/>
  <c r="P436" i="7"/>
  <c r="Q436" i="7"/>
  <c r="R436" i="7"/>
  <c r="S436" i="7"/>
  <c r="T436" i="7"/>
  <c r="U436" i="7"/>
  <c r="V436" i="7"/>
  <c r="W436" i="7"/>
  <c r="M508" i="7"/>
  <c r="N508" i="7"/>
  <c r="O508" i="7"/>
  <c r="P508" i="7"/>
  <c r="Q508" i="7"/>
  <c r="R508" i="7"/>
  <c r="S508" i="7"/>
  <c r="T508" i="7"/>
  <c r="U508" i="7"/>
  <c r="V508" i="7"/>
  <c r="W508" i="7"/>
  <c r="M580" i="7"/>
  <c r="N580" i="7"/>
  <c r="O580" i="7"/>
  <c r="P580" i="7"/>
  <c r="Q580" i="7"/>
  <c r="R580" i="7"/>
  <c r="S580" i="7"/>
  <c r="T580" i="7"/>
  <c r="U580" i="7"/>
  <c r="V580" i="7"/>
  <c r="W580" i="7"/>
  <c r="M638" i="7"/>
  <c r="N638" i="7"/>
  <c r="O638" i="7"/>
  <c r="P638" i="7"/>
  <c r="Q638" i="7"/>
  <c r="R638" i="7"/>
  <c r="S638" i="7"/>
  <c r="T638" i="7"/>
  <c r="U638" i="7"/>
  <c r="V638" i="7"/>
  <c r="W638" i="7"/>
  <c r="M686" i="7"/>
  <c r="N686" i="7"/>
  <c r="O686" i="7"/>
  <c r="P686" i="7"/>
  <c r="Q686" i="7"/>
  <c r="R686" i="7"/>
  <c r="S686" i="7"/>
  <c r="T686" i="7"/>
  <c r="U686" i="7"/>
  <c r="V686" i="7"/>
  <c r="W686" i="7"/>
  <c r="M734" i="7"/>
  <c r="N734" i="7"/>
  <c r="O734" i="7"/>
  <c r="P734" i="7"/>
  <c r="Q734" i="7"/>
  <c r="R734" i="7"/>
  <c r="S734" i="7"/>
  <c r="T734" i="7"/>
  <c r="U734" i="7"/>
  <c r="V734" i="7"/>
  <c r="W734" i="7"/>
  <c r="M782" i="7"/>
  <c r="N782" i="7"/>
  <c r="O782" i="7"/>
  <c r="P782" i="7"/>
  <c r="Q782" i="7"/>
  <c r="R782" i="7"/>
  <c r="S782" i="7"/>
  <c r="T782" i="7"/>
  <c r="U782" i="7"/>
  <c r="V782" i="7"/>
  <c r="W782" i="7"/>
  <c r="M830" i="7"/>
  <c r="N830" i="7"/>
  <c r="O830" i="7"/>
  <c r="P830" i="7"/>
  <c r="Q830" i="7"/>
  <c r="R830" i="7"/>
  <c r="S830" i="7"/>
  <c r="T830" i="7"/>
  <c r="U830" i="7"/>
  <c r="V830" i="7"/>
  <c r="W830" i="7"/>
  <c r="M878" i="7"/>
  <c r="N878" i="7"/>
  <c r="O878" i="7"/>
  <c r="P878" i="7"/>
  <c r="Q878" i="7"/>
  <c r="R878" i="7"/>
  <c r="S878" i="7"/>
  <c r="T878" i="7"/>
  <c r="U878" i="7"/>
  <c r="V878" i="7"/>
  <c r="W878" i="7"/>
  <c r="M926" i="7"/>
  <c r="N926" i="7"/>
  <c r="O926" i="7"/>
  <c r="P926" i="7"/>
  <c r="Q926" i="7"/>
  <c r="R926" i="7"/>
  <c r="S926" i="7"/>
  <c r="T926" i="7"/>
  <c r="U926" i="7"/>
  <c r="V926" i="7"/>
  <c r="W926" i="7"/>
  <c r="M974" i="7"/>
  <c r="N974" i="7"/>
  <c r="O974" i="7"/>
  <c r="P974" i="7"/>
  <c r="Q974" i="7"/>
  <c r="R974" i="7"/>
  <c r="S974" i="7"/>
  <c r="T974" i="7"/>
  <c r="U974" i="7"/>
  <c r="V974" i="7"/>
  <c r="W974" i="7"/>
  <c r="M1022" i="7"/>
  <c r="N1022" i="7"/>
  <c r="O1022" i="7"/>
  <c r="P1022" i="7"/>
  <c r="Q1022" i="7"/>
  <c r="R1022" i="7"/>
  <c r="S1022" i="7"/>
  <c r="T1022" i="7"/>
  <c r="U1022" i="7"/>
  <c r="V1022" i="7"/>
  <c r="W1022" i="7"/>
  <c r="M15" i="7"/>
  <c r="N15" i="7"/>
  <c r="O15" i="7"/>
  <c r="P15" i="7"/>
  <c r="Q15" i="7"/>
  <c r="R15" i="7"/>
  <c r="S15" i="7"/>
  <c r="T15" i="7"/>
  <c r="U15" i="7"/>
  <c r="V15" i="7"/>
  <c r="W15" i="7"/>
  <c r="M159" i="7"/>
  <c r="N159" i="7"/>
  <c r="O159" i="7"/>
  <c r="P159" i="7"/>
  <c r="Q159" i="7"/>
  <c r="R159" i="7"/>
  <c r="S159" i="7"/>
  <c r="T159" i="7"/>
  <c r="U159" i="7"/>
  <c r="V159" i="7"/>
  <c r="W159" i="7"/>
  <c r="M231" i="7"/>
  <c r="N231" i="7"/>
  <c r="O231" i="7"/>
  <c r="P231" i="7"/>
  <c r="Q231" i="7"/>
  <c r="R231" i="7"/>
  <c r="S231" i="7"/>
  <c r="T231" i="7"/>
  <c r="U231" i="7"/>
  <c r="V231" i="7"/>
  <c r="W231" i="7"/>
  <c r="M303" i="7"/>
  <c r="N303" i="7"/>
  <c r="O303" i="7"/>
  <c r="P303" i="7"/>
  <c r="Q303" i="7"/>
  <c r="R303" i="7"/>
  <c r="S303" i="7"/>
  <c r="T303" i="7"/>
  <c r="U303" i="7"/>
  <c r="V303" i="7"/>
  <c r="W303" i="7"/>
  <c r="M375" i="7"/>
  <c r="N375" i="7"/>
  <c r="O375" i="7"/>
  <c r="P375" i="7"/>
  <c r="Q375" i="7"/>
  <c r="R375" i="7"/>
  <c r="S375" i="7"/>
  <c r="T375" i="7"/>
  <c r="U375" i="7"/>
  <c r="V375" i="7"/>
  <c r="W375" i="7"/>
  <c r="M447" i="7"/>
  <c r="N447" i="7"/>
  <c r="O447" i="7"/>
  <c r="P447" i="7"/>
  <c r="Q447" i="7"/>
  <c r="R447" i="7"/>
  <c r="S447" i="7"/>
  <c r="T447" i="7"/>
  <c r="U447" i="7"/>
  <c r="V447" i="7"/>
  <c r="W447" i="7"/>
  <c r="M591" i="7"/>
  <c r="N591" i="7"/>
  <c r="O591" i="7"/>
  <c r="P591" i="7"/>
  <c r="Q591" i="7"/>
  <c r="R591" i="7"/>
  <c r="S591" i="7"/>
  <c r="T591" i="7"/>
  <c r="U591" i="7"/>
  <c r="V591" i="7"/>
  <c r="W591" i="7"/>
  <c r="M687" i="7"/>
  <c r="N687" i="7"/>
  <c r="O687" i="7"/>
  <c r="P687" i="7"/>
  <c r="Q687" i="7"/>
  <c r="R687" i="7"/>
  <c r="S687" i="7"/>
  <c r="T687" i="7"/>
  <c r="U687" i="7"/>
  <c r="V687" i="7"/>
  <c r="W687" i="7"/>
  <c r="M735" i="7"/>
  <c r="N735" i="7"/>
  <c r="O735" i="7"/>
  <c r="P735" i="7"/>
  <c r="Q735" i="7"/>
  <c r="R735" i="7"/>
  <c r="S735" i="7"/>
  <c r="T735" i="7"/>
  <c r="U735" i="7"/>
  <c r="V735" i="7"/>
  <c r="W735" i="7"/>
  <c r="M831" i="7"/>
  <c r="N831" i="7"/>
  <c r="O831" i="7"/>
  <c r="P831" i="7"/>
  <c r="Q831" i="7"/>
  <c r="R831" i="7"/>
  <c r="S831" i="7"/>
  <c r="T831" i="7"/>
  <c r="U831" i="7"/>
  <c r="V831" i="7"/>
  <c r="W831" i="7"/>
  <c r="M1023" i="7"/>
  <c r="N1023" i="7"/>
  <c r="O1023" i="7"/>
  <c r="P1023" i="7"/>
  <c r="Q1023" i="7"/>
  <c r="R1023" i="7"/>
  <c r="S1023" i="7"/>
  <c r="T1023" i="7"/>
  <c r="U1023" i="7"/>
  <c r="V1023" i="7"/>
  <c r="W1023" i="7"/>
  <c r="M784" i="7"/>
  <c r="N784" i="7"/>
  <c r="O784" i="7"/>
  <c r="P784" i="7"/>
  <c r="Q784" i="7"/>
  <c r="R784" i="7"/>
  <c r="S784" i="7"/>
  <c r="T784" i="7"/>
  <c r="U784" i="7"/>
  <c r="V784" i="7"/>
  <c r="W784" i="7"/>
  <c r="M880" i="7"/>
  <c r="N880" i="7"/>
  <c r="O880" i="7"/>
  <c r="P880" i="7"/>
  <c r="Q880" i="7"/>
  <c r="R880" i="7"/>
  <c r="S880" i="7"/>
  <c r="T880" i="7"/>
  <c r="U880" i="7"/>
  <c r="V880" i="7"/>
  <c r="W880" i="7"/>
  <c r="M976" i="7"/>
  <c r="N976" i="7"/>
  <c r="O976" i="7"/>
  <c r="P976" i="7"/>
  <c r="Q976" i="7"/>
  <c r="R976" i="7"/>
  <c r="S976" i="7"/>
  <c r="T976" i="7"/>
  <c r="U976" i="7"/>
  <c r="V976" i="7"/>
  <c r="W976" i="7"/>
  <c r="M315" i="7"/>
  <c r="N315" i="7"/>
  <c r="O315" i="7"/>
  <c r="P315" i="7"/>
  <c r="Q315" i="7"/>
  <c r="R315" i="7"/>
  <c r="S315" i="7"/>
  <c r="T315" i="7"/>
  <c r="U315" i="7"/>
  <c r="V315" i="7"/>
  <c r="W315" i="7"/>
  <c r="M602" i="7"/>
  <c r="N602" i="7"/>
  <c r="O602" i="7"/>
  <c r="P602" i="7"/>
  <c r="Q602" i="7"/>
  <c r="R602" i="7"/>
  <c r="S602" i="7"/>
  <c r="T602" i="7"/>
  <c r="U602" i="7"/>
  <c r="V602" i="7"/>
  <c r="W602" i="7"/>
  <c r="M650" i="7"/>
  <c r="N650" i="7"/>
  <c r="O650" i="7"/>
  <c r="P650" i="7"/>
  <c r="Q650" i="7"/>
  <c r="R650" i="7"/>
  <c r="S650" i="7"/>
  <c r="T650" i="7"/>
  <c r="U650" i="7"/>
  <c r="V650" i="7"/>
  <c r="W650" i="7"/>
  <c r="M842" i="7"/>
  <c r="N842" i="7"/>
  <c r="O842" i="7"/>
  <c r="P842" i="7"/>
  <c r="Q842" i="7"/>
  <c r="R842" i="7"/>
  <c r="S842" i="7"/>
  <c r="T842" i="7"/>
  <c r="U842" i="7"/>
  <c r="V842" i="7"/>
  <c r="W842" i="7"/>
  <c r="M986" i="7"/>
  <c r="N986" i="7"/>
  <c r="O986" i="7"/>
  <c r="P986" i="7"/>
  <c r="Q986" i="7"/>
  <c r="R986" i="7"/>
  <c r="S986" i="7"/>
  <c r="T986" i="7"/>
  <c r="U986" i="7"/>
  <c r="V986" i="7"/>
  <c r="W986" i="7"/>
  <c r="M63" i="7"/>
  <c r="N63" i="7"/>
  <c r="O63" i="7"/>
  <c r="P63" i="7"/>
  <c r="Q63" i="7"/>
  <c r="R63" i="7"/>
  <c r="S63" i="7"/>
  <c r="T63" i="7"/>
  <c r="U63" i="7"/>
  <c r="V63" i="7"/>
  <c r="W63" i="7"/>
  <c r="M423" i="7"/>
  <c r="N423" i="7"/>
  <c r="O423" i="7"/>
  <c r="P423" i="7"/>
  <c r="Q423" i="7"/>
  <c r="R423" i="7"/>
  <c r="S423" i="7"/>
  <c r="T423" i="7"/>
  <c r="U423" i="7"/>
  <c r="V423" i="7"/>
  <c r="W423" i="7"/>
  <c r="M674" i="7"/>
  <c r="N674" i="7"/>
  <c r="O674" i="7"/>
  <c r="P674" i="7"/>
  <c r="Q674" i="7"/>
  <c r="R674" i="7"/>
  <c r="S674" i="7"/>
  <c r="T674" i="7"/>
  <c r="U674" i="7"/>
  <c r="V674" i="7"/>
  <c r="W674" i="7"/>
  <c r="M208" i="7"/>
  <c r="N208" i="7"/>
  <c r="O208" i="7"/>
  <c r="P208" i="7"/>
  <c r="Q208" i="7"/>
  <c r="R208" i="7"/>
  <c r="S208" i="7"/>
  <c r="T208" i="7"/>
  <c r="U208" i="7"/>
  <c r="V208" i="7"/>
  <c r="W208" i="7"/>
  <c r="M723" i="7"/>
  <c r="N723" i="7"/>
  <c r="O723" i="7"/>
  <c r="P723" i="7"/>
  <c r="Q723" i="7"/>
  <c r="R723" i="7"/>
  <c r="S723" i="7"/>
  <c r="T723" i="7"/>
  <c r="U723" i="7"/>
  <c r="V723" i="7"/>
  <c r="W723" i="7"/>
  <c r="M867" i="7"/>
  <c r="N867" i="7"/>
  <c r="O867" i="7"/>
  <c r="P867" i="7"/>
  <c r="Q867" i="7"/>
  <c r="R867" i="7"/>
  <c r="S867" i="7"/>
  <c r="T867" i="7"/>
  <c r="U867" i="7"/>
  <c r="V867" i="7"/>
  <c r="W867" i="7"/>
  <c r="M75" i="7"/>
  <c r="N75" i="7"/>
  <c r="O75" i="7"/>
  <c r="P75" i="7"/>
  <c r="Q75" i="7"/>
  <c r="R75" i="7"/>
  <c r="S75" i="7"/>
  <c r="T75" i="7"/>
  <c r="U75" i="7"/>
  <c r="V75" i="7"/>
  <c r="W75" i="7"/>
  <c r="M363" i="7"/>
  <c r="N363" i="7"/>
  <c r="O363" i="7"/>
  <c r="P363" i="7"/>
  <c r="Q363" i="7"/>
  <c r="R363" i="7"/>
  <c r="S363" i="7"/>
  <c r="T363" i="7"/>
  <c r="U363" i="7"/>
  <c r="V363" i="7"/>
  <c r="W363" i="7"/>
  <c r="M579" i="7"/>
  <c r="N579" i="7"/>
  <c r="O579" i="7"/>
  <c r="P579" i="7"/>
  <c r="Q579" i="7"/>
  <c r="R579" i="7"/>
  <c r="S579" i="7"/>
  <c r="T579" i="7"/>
  <c r="U579" i="7"/>
  <c r="V579" i="7"/>
  <c r="W579" i="7"/>
  <c r="X1" i="8"/>
  <c r="R1" i="8"/>
  <c r="A1" i="27"/>
  <c r="A1" i="15"/>
  <c r="A1" i="26"/>
  <c r="L4" i="7"/>
  <c r="A1" i="8"/>
  <c r="G27" i="1" l="1"/>
  <c r="H27" i="1" s="1"/>
  <c r="G21" i="1"/>
  <c r="H21" i="1" s="1"/>
  <c r="G18" i="1"/>
  <c r="H18" i="1" s="1"/>
  <c r="G15" i="1"/>
  <c r="G26" i="1"/>
  <c r="H26" i="1" s="1"/>
  <c r="G25" i="1"/>
  <c r="H25" i="1" s="1"/>
  <c r="G19" i="1"/>
  <c r="H19" i="1" s="1"/>
  <c r="F2" i="25"/>
  <c r="G2" i="25"/>
  <c r="M2" i="25"/>
  <c r="N2" i="25"/>
  <c r="F3" i="25"/>
  <c r="G3" i="25"/>
  <c r="M3" i="25"/>
  <c r="N3" i="25"/>
  <c r="F4" i="25"/>
  <c r="G4" i="25"/>
  <c r="M4" i="25"/>
  <c r="N4" i="25"/>
  <c r="F5" i="25"/>
  <c r="G5" i="25"/>
  <c r="M5" i="25"/>
  <c r="N5" i="25"/>
  <c r="F6" i="25"/>
  <c r="G6" i="25"/>
  <c r="M6" i="25"/>
  <c r="N6" i="25"/>
  <c r="F7" i="25"/>
  <c r="G7" i="25"/>
  <c r="M7" i="25"/>
  <c r="N7" i="25"/>
  <c r="F8" i="25"/>
  <c r="G8" i="25"/>
  <c r="M8" i="25"/>
  <c r="N8" i="25"/>
  <c r="F9" i="25"/>
  <c r="G9" i="25"/>
  <c r="M9" i="25"/>
  <c r="N9" i="25"/>
  <c r="F10" i="25"/>
  <c r="G10" i="25"/>
  <c r="M10" i="25"/>
  <c r="N10" i="25"/>
  <c r="F11" i="25"/>
  <c r="G11" i="25"/>
  <c r="M11" i="25"/>
  <c r="N11" i="25"/>
  <c r="F12" i="25"/>
  <c r="G12" i="25"/>
  <c r="M12" i="25"/>
  <c r="N12" i="25"/>
  <c r="F13" i="25"/>
  <c r="G13" i="25"/>
  <c r="M13" i="25"/>
  <c r="N13" i="25"/>
  <c r="F14" i="25"/>
  <c r="G14" i="25"/>
  <c r="M14" i="25"/>
  <c r="N14" i="25"/>
  <c r="F15" i="25"/>
  <c r="G15" i="25"/>
  <c r="M15" i="25"/>
  <c r="N15" i="25"/>
  <c r="F16" i="25"/>
  <c r="G16" i="25"/>
  <c r="M16" i="25"/>
  <c r="N16" i="25"/>
  <c r="F17" i="25"/>
  <c r="G17" i="25"/>
  <c r="M17" i="25"/>
  <c r="N17" i="25"/>
  <c r="F18" i="25"/>
  <c r="G18" i="25"/>
  <c r="M18" i="25"/>
  <c r="N18" i="25"/>
  <c r="F19" i="25"/>
  <c r="G19" i="25"/>
  <c r="M19" i="25"/>
  <c r="N19" i="25"/>
  <c r="F20" i="25"/>
  <c r="G20" i="25"/>
  <c r="M20" i="25"/>
  <c r="N20" i="25"/>
  <c r="F21" i="25"/>
  <c r="G21" i="25"/>
  <c r="M21" i="25"/>
  <c r="N21" i="25"/>
  <c r="F22" i="25"/>
  <c r="G22" i="25"/>
  <c r="M22" i="25"/>
  <c r="N22" i="25"/>
  <c r="F23" i="25"/>
  <c r="G23" i="25"/>
  <c r="M23" i="25"/>
  <c r="N23" i="25"/>
  <c r="F24" i="25"/>
  <c r="G24" i="25"/>
  <c r="M24" i="25"/>
  <c r="N24" i="25"/>
  <c r="F25" i="25"/>
  <c r="G25" i="25"/>
  <c r="M25" i="25"/>
  <c r="N25" i="25"/>
  <c r="F26" i="25"/>
  <c r="G26" i="25"/>
  <c r="M26" i="25"/>
  <c r="N26" i="25"/>
  <c r="F27" i="25"/>
  <c r="G27" i="25"/>
  <c r="M27" i="25"/>
  <c r="N27" i="25"/>
  <c r="F28" i="25"/>
  <c r="G28" i="25"/>
  <c r="M28" i="25"/>
  <c r="N28" i="25"/>
  <c r="F29" i="25"/>
  <c r="G29" i="25"/>
  <c r="M29" i="25"/>
  <c r="N29" i="25"/>
  <c r="F30" i="25"/>
  <c r="G30" i="25"/>
  <c r="M30" i="25"/>
  <c r="N30" i="25"/>
  <c r="F31" i="25"/>
  <c r="G31" i="25"/>
  <c r="M31" i="25"/>
  <c r="N31" i="25"/>
  <c r="F32" i="25"/>
  <c r="G32" i="25"/>
  <c r="M32" i="25"/>
  <c r="N32" i="25"/>
  <c r="F33" i="25"/>
  <c r="G33" i="25"/>
  <c r="M33" i="25"/>
  <c r="N33" i="25"/>
  <c r="F34" i="25"/>
  <c r="G34" i="25"/>
  <c r="M34" i="25"/>
  <c r="N34" i="25"/>
  <c r="F35" i="25"/>
  <c r="G35" i="25"/>
  <c r="M35" i="25"/>
  <c r="N35" i="25"/>
  <c r="F36" i="25"/>
  <c r="G36" i="25"/>
  <c r="M36" i="25"/>
  <c r="N36" i="25"/>
  <c r="F37" i="25"/>
  <c r="G37" i="25"/>
  <c r="M37" i="25"/>
  <c r="N37" i="25"/>
  <c r="F38" i="25"/>
  <c r="G38" i="25"/>
  <c r="M38" i="25"/>
  <c r="N38" i="25"/>
  <c r="F39" i="25"/>
  <c r="G39" i="25"/>
  <c r="M39" i="25"/>
  <c r="N39" i="25"/>
  <c r="F40" i="25"/>
  <c r="G40" i="25"/>
  <c r="M40" i="25"/>
  <c r="N40" i="25"/>
  <c r="F41" i="25"/>
  <c r="G41" i="25"/>
  <c r="M41" i="25"/>
  <c r="N41" i="25"/>
  <c r="F42" i="25"/>
  <c r="G42" i="25"/>
  <c r="M42" i="25"/>
  <c r="N42" i="25"/>
  <c r="F43" i="25"/>
  <c r="G43" i="25"/>
  <c r="M43" i="25"/>
  <c r="N43" i="25"/>
  <c r="F44" i="25"/>
  <c r="G44" i="25"/>
  <c r="M44" i="25"/>
  <c r="N44" i="25"/>
  <c r="F45" i="25"/>
  <c r="G45" i="25"/>
  <c r="M45" i="25"/>
  <c r="N45" i="25"/>
  <c r="F46" i="25"/>
  <c r="G46" i="25"/>
  <c r="M46" i="25"/>
  <c r="N46" i="25"/>
  <c r="F47" i="25"/>
  <c r="G47" i="25"/>
  <c r="M47" i="25"/>
  <c r="N47" i="25"/>
  <c r="F48" i="25"/>
  <c r="G48" i="25"/>
  <c r="M48" i="25"/>
  <c r="N48" i="25"/>
  <c r="F49" i="25"/>
  <c r="G49" i="25"/>
  <c r="M49" i="25"/>
  <c r="N49" i="25"/>
  <c r="F50" i="25"/>
  <c r="G50" i="25"/>
  <c r="M50" i="25"/>
  <c r="N50" i="25"/>
  <c r="F51" i="25"/>
  <c r="G51" i="25"/>
  <c r="M51" i="25"/>
  <c r="N51" i="25"/>
  <c r="F52" i="25"/>
  <c r="G52" i="25"/>
  <c r="M52" i="25"/>
  <c r="N52" i="25"/>
  <c r="F53" i="25"/>
  <c r="G53" i="25"/>
  <c r="M53" i="25"/>
  <c r="N53" i="25"/>
  <c r="F54" i="25"/>
  <c r="G54" i="25"/>
  <c r="M54" i="25"/>
  <c r="N54" i="25"/>
  <c r="F55" i="25"/>
  <c r="G55" i="25"/>
  <c r="M55" i="25"/>
  <c r="N55" i="25"/>
  <c r="F56" i="25"/>
  <c r="G56" i="25"/>
  <c r="M56" i="25"/>
  <c r="N56" i="25"/>
  <c r="F57" i="25"/>
  <c r="G57" i="25"/>
  <c r="M57" i="25"/>
  <c r="N57" i="25"/>
  <c r="F58" i="25"/>
  <c r="G58" i="25"/>
  <c r="M58" i="25"/>
  <c r="N58" i="25"/>
  <c r="F59" i="25"/>
  <c r="G59" i="25"/>
  <c r="M59" i="25"/>
  <c r="N59" i="25"/>
  <c r="F60" i="25"/>
  <c r="G60" i="25"/>
  <c r="M60" i="25"/>
  <c r="N60" i="25"/>
  <c r="F61" i="25"/>
  <c r="G61" i="25"/>
  <c r="M61" i="25"/>
  <c r="N61" i="25"/>
  <c r="F62" i="25"/>
  <c r="G62" i="25"/>
  <c r="M62" i="25"/>
  <c r="N62" i="25"/>
  <c r="F63" i="25"/>
  <c r="G63" i="25"/>
  <c r="M63" i="25"/>
  <c r="N63" i="25"/>
  <c r="F64" i="25"/>
  <c r="G64" i="25"/>
  <c r="M64" i="25"/>
  <c r="N64" i="25"/>
  <c r="F65" i="25"/>
  <c r="G65" i="25"/>
  <c r="M65" i="25"/>
  <c r="N65" i="25"/>
  <c r="F66" i="25"/>
  <c r="G66" i="25"/>
  <c r="M66" i="25"/>
  <c r="N66" i="25"/>
  <c r="F67" i="25"/>
  <c r="G67" i="25"/>
  <c r="M67" i="25"/>
  <c r="N67" i="25"/>
  <c r="F68" i="25"/>
  <c r="G68" i="25"/>
  <c r="M68" i="25"/>
  <c r="N68" i="25"/>
  <c r="F69" i="25"/>
  <c r="G69" i="25"/>
  <c r="M69" i="25"/>
  <c r="N69" i="25"/>
  <c r="F70" i="25"/>
  <c r="G70" i="25"/>
  <c r="M70" i="25"/>
  <c r="N70" i="25"/>
  <c r="F71" i="25"/>
  <c r="G71" i="25"/>
  <c r="M71" i="25"/>
  <c r="N71" i="25"/>
  <c r="F72" i="25"/>
  <c r="G72" i="25"/>
  <c r="M72" i="25"/>
  <c r="N72" i="25"/>
  <c r="F73" i="25"/>
  <c r="G73" i="25"/>
  <c r="M73" i="25"/>
  <c r="N73" i="25"/>
  <c r="F74" i="25"/>
  <c r="G74" i="25"/>
  <c r="M74" i="25"/>
  <c r="N74" i="25"/>
  <c r="F75" i="25"/>
  <c r="G75" i="25"/>
  <c r="M75" i="25"/>
  <c r="N75" i="25"/>
  <c r="F76" i="25"/>
  <c r="G76" i="25"/>
  <c r="M76" i="25"/>
  <c r="N76" i="25"/>
  <c r="F77" i="25"/>
  <c r="G77" i="25"/>
  <c r="M77" i="25"/>
  <c r="N77" i="25"/>
  <c r="F78" i="25"/>
  <c r="G78" i="25"/>
  <c r="M78" i="25"/>
  <c r="N78" i="25"/>
  <c r="F79" i="25"/>
  <c r="G79" i="25"/>
  <c r="M79" i="25"/>
  <c r="N79" i="25"/>
  <c r="F80" i="25"/>
  <c r="G80" i="25"/>
  <c r="M80" i="25"/>
  <c r="N80" i="25"/>
  <c r="F81" i="25"/>
  <c r="G81" i="25"/>
  <c r="M81" i="25"/>
  <c r="N81" i="25"/>
  <c r="F82" i="25"/>
  <c r="G82" i="25"/>
  <c r="M82" i="25"/>
  <c r="N82" i="25"/>
  <c r="F83" i="25"/>
  <c r="G83" i="25"/>
  <c r="M83" i="25"/>
  <c r="N83" i="25"/>
  <c r="F84" i="25"/>
  <c r="G84" i="25"/>
  <c r="M84" i="25"/>
  <c r="N84" i="25"/>
  <c r="F85" i="25"/>
  <c r="G85" i="25"/>
  <c r="M85" i="25"/>
  <c r="N85" i="25"/>
  <c r="F86" i="25"/>
  <c r="G86" i="25"/>
  <c r="M86" i="25"/>
  <c r="N86" i="25"/>
  <c r="F87" i="25"/>
  <c r="G87" i="25"/>
  <c r="M87" i="25"/>
  <c r="N87" i="25"/>
  <c r="F88" i="25"/>
  <c r="G88" i="25"/>
  <c r="M88" i="25"/>
  <c r="N88" i="25"/>
  <c r="F89" i="25"/>
  <c r="G89" i="25"/>
  <c r="M89" i="25"/>
  <c r="N89" i="25"/>
  <c r="F90" i="25"/>
  <c r="G90" i="25"/>
  <c r="M90" i="25"/>
  <c r="N90" i="25"/>
  <c r="F91" i="25"/>
  <c r="G91" i="25"/>
  <c r="M91" i="25"/>
  <c r="N91" i="25"/>
  <c r="F92" i="25"/>
  <c r="G92" i="25"/>
  <c r="M92" i="25"/>
  <c r="N92" i="25"/>
  <c r="F93" i="25"/>
  <c r="G93" i="25"/>
  <c r="M93" i="25"/>
  <c r="N93" i="25"/>
  <c r="F94" i="25"/>
  <c r="G94" i="25"/>
  <c r="M94" i="25"/>
  <c r="N94" i="25"/>
  <c r="F95" i="25"/>
  <c r="G95" i="25"/>
  <c r="M95" i="25"/>
  <c r="N95" i="25"/>
  <c r="F96" i="25"/>
  <c r="G96" i="25"/>
  <c r="M96" i="25"/>
  <c r="N96" i="25"/>
  <c r="F97" i="25"/>
  <c r="G97" i="25"/>
  <c r="M97" i="25"/>
  <c r="N97" i="25"/>
  <c r="F98" i="25"/>
  <c r="G98" i="25"/>
  <c r="M98" i="25"/>
  <c r="N98" i="25"/>
  <c r="F99" i="25"/>
  <c r="G99" i="25"/>
  <c r="M99" i="25"/>
  <c r="N99" i="25"/>
  <c r="F100" i="25"/>
  <c r="G100" i="25"/>
  <c r="M100" i="25"/>
  <c r="N100" i="25"/>
  <c r="F101" i="25"/>
  <c r="G101" i="25"/>
  <c r="M101" i="25"/>
  <c r="N101" i="25"/>
  <c r="F102" i="25"/>
  <c r="G102" i="25"/>
  <c r="M102" i="25"/>
  <c r="N102" i="25"/>
  <c r="F103" i="25"/>
  <c r="G103" i="25"/>
  <c r="M103" i="25"/>
  <c r="N103" i="25"/>
  <c r="F104" i="25"/>
  <c r="G104" i="25"/>
  <c r="M104" i="25"/>
  <c r="N104" i="25"/>
  <c r="F105" i="25"/>
  <c r="G105" i="25"/>
  <c r="M105" i="25"/>
  <c r="N105" i="25"/>
  <c r="F106" i="25"/>
  <c r="G106" i="25"/>
  <c r="M106" i="25"/>
  <c r="N106" i="25"/>
  <c r="F107" i="25"/>
  <c r="G107" i="25"/>
  <c r="M107" i="25"/>
  <c r="N107" i="25"/>
  <c r="F108" i="25"/>
  <c r="G108" i="25"/>
  <c r="M108" i="25"/>
  <c r="N108" i="25"/>
  <c r="F109" i="25"/>
  <c r="G109" i="25"/>
  <c r="M109" i="25"/>
  <c r="N109" i="25"/>
  <c r="F110" i="25"/>
  <c r="G110" i="25"/>
  <c r="M110" i="25"/>
  <c r="N110" i="25"/>
  <c r="F111" i="25"/>
  <c r="G111" i="25"/>
  <c r="M111" i="25"/>
  <c r="N111" i="25"/>
  <c r="F112" i="25"/>
  <c r="G112" i="25"/>
  <c r="M112" i="25"/>
  <c r="N112" i="25"/>
  <c r="F113" i="25"/>
  <c r="G113" i="25"/>
  <c r="M113" i="25"/>
  <c r="N113" i="25"/>
  <c r="F114" i="25"/>
  <c r="G114" i="25"/>
  <c r="M114" i="25"/>
  <c r="N114" i="25"/>
  <c r="F115" i="25"/>
  <c r="G115" i="25"/>
  <c r="M115" i="25"/>
  <c r="N115" i="25"/>
  <c r="F116" i="25"/>
  <c r="G116" i="25"/>
  <c r="M116" i="25"/>
  <c r="N116" i="25"/>
  <c r="F117" i="25"/>
  <c r="G117" i="25"/>
  <c r="M117" i="25"/>
  <c r="N117" i="25"/>
  <c r="F118" i="25"/>
  <c r="G118" i="25"/>
  <c r="M118" i="25"/>
  <c r="N118" i="25"/>
  <c r="F119" i="25"/>
  <c r="G119" i="25"/>
  <c r="M119" i="25"/>
  <c r="N119" i="25"/>
  <c r="F120" i="25"/>
  <c r="G120" i="25"/>
  <c r="M120" i="25"/>
  <c r="N120" i="25"/>
  <c r="F121" i="25"/>
  <c r="G121" i="25"/>
  <c r="M121" i="25"/>
  <c r="N121" i="25"/>
  <c r="F122" i="25"/>
  <c r="G122" i="25"/>
  <c r="M122" i="25"/>
  <c r="N122" i="25"/>
  <c r="F123" i="25"/>
  <c r="G123" i="25"/>
  <c r="M123" i="25"/>
  <c r="N123" i="25"/>
  <c r="F124" i="25"/>
  <c r="G124" i="25"/>
  <c r="M124" i="25"/>
  <c r="N124" i="25"/>
  <c r="F125" i="25"/>
  <c r="G125" i="25"/>
  <c r="M125" i="25"/>
  <c r="N125" i="25"/>
  <c r="F126" i="25"/>
  <c r="G126" i="25"/>
  <c r="M126" i="25"/>
  <c r="N126" i="25"/>
  <c r="F127" i="25"/>
  <c r="G127" i="25"/>
  <c r="M127" i="25"/>
  <c r="N127" i="25"/>
  <c r="F128" i="25"/>
  <c r="G128" i="25"/>
  <c r="M128" i="25"/>
  <c r="N128" i="25"/>
  <c r="F129" i="25"/>
  <c r="G129" i="25"/>
  <c r="M129" i="25"/>
  <c r="N129" i="25"/>
  <c r="F130" i="25"/>
  <c r="G130" i="25"/>
  <c r="M130" i="25"/>
  <c r="N130" i="25"/>
  <c r="F131" i="25"/>
  <c r="G131" i="25"/>
  <c r="M131" i="25"/>
  <c r="N131" i="25"/>
  <c r="F132" i="25"/>
  <c r="G132" i="25"/>
  <c r="M132" i="25"/>
  <c r="N132" i="25"/>
  <c r="F133" i="25"/>
  <c r="G133" i="25"/>
  <c r="M133" i="25"/>
  <c r="N133" i="25"/>
  <c r="F134" i="25"/>
  <c r="G134" i="25"/>
  <c r="M134" i="25"/>
  <c r="N134" i="25"/>
  <c r="F135" i="25"/>
  <c r="G135" i="25"/>
  <c r="M135" i="25"/>
  <c r="N135" i="25"/>
  <c r="F136" i="25"/>
  <c r="G136" i="25"/>
  <c r="M136" i="25"/>
  <c r="N136" i="25"/>
  <c r="F137" i="25"/>
  <c r="G137" i="25"/>
  <c r="M137" i="25"/>
  <c r="N137" i="25"/>
  <c r="F138" i="25"/>
  <c r="G138" i="25"/>
  <c r="M138" i="25"/>
  <c r="N138" i="25"/>
  <c r="F139" i="25"/>
  <c r="G139" i="25"/>
  <c r="M139" i="25"/>
  <c r="N139" i="25"/>
  <c r="F140" i="25"/>
  <c r="G140" i="25"/>
  <c r="M140" i="25"/>
  <c r="N140" i="25"/>
  <c r="F141" i="25"/>
  <c r="G141" i="25"/>
  <c r="M141" i="25"/>
  <c r="N141" i="25"/>
  <c r="F142" i="25"/>
  <c r="G142" i="25"/>
  <c r="M142" i="25"/>
  <c r="N142" i="25"/>
  <c r="F143" i="25"/>
  <c r="G143" i="25"/>
  <c r="M143" i="25"/>
  <c r="N143" i="25"/>
  <c r="F144" i="25"/>
  <c r="G144" i="25"/>
  <c r="M144" i="25"/>
  <c r="N144" i="25"/>
  <c r="F145" i="25"/>
  <c r="G145" i="25"/>
  <c r="M145" i="25"/>
  <c r="N145" i="25"/>
  <c r="F146" i="25"/>
  <c r="G146" i="25"/>
  <c r="M146" i="25"/>
  <c r="N146" i="25"/>
  <c r="F147" i="25"/>
  <c r="G147" i="25"/>
  <c r="M147" i="25"/>
  <c r="N147" i="25"/>
  <c r="F148" i="25"/>
  <c r="G148" i="25"/>
  <c r="M148" i="25"/>
  <c r="N148" i="25"/>
  <c r="F149" i="25"/>
  <c r="G149" i="25"/>
  <c r="M149" i="25"/>
  <c r="N149" i="25"/>
  <c r="F150" i="25"/>
  <c r="G150" i="25"/>
  <c r="M150" i="25"/>
  <c r="N150" i="25"/>
  <c r="F151" i="25"/>
  <c r="G151" i="25"/>
  <c r="M151" i="25"/>
  <c r="N151" i="25"/>
  <c r="F152" i="25"/>
  <c r="G152" i="25"/>
  <c r="M152" i="25"/>
  <c r="N152" i="25"/>
  <c r="F153" i="25"/>
  <c r="G153" i="25"/>
  <c r="M153" i="25"/>
  <c r="N153" i="25"/>
  <c r="F154" i="25"/>
  <c r="G154" i="25"/>
  <c r="M154" i="25"/>
  <c r="N154" i="25"/>
  <c r="F155" i="25"/>
  <c r="G155" i="25"/>
  <c r="M155" i="25"/>
  <c r="N155" i="25"/>
  <c r="F156" i="25"/>
  <c r="G156" i="25"/>
  <c r="M156" i="25"/>
  <c r="N156" i="25"/>
  <c r="F157" i="25"/>
  <c r="G157" i="25"/>
  <c r="M157" i="25"/>
  <c r="N157" i="25"/>
  <c r="F158" i="25"/>
  <c r="G158" i="25"/>
  <c r="M158" i="25"/>
  <c r="N158" i="25"/>
  <c r="F159" i="25"/>
  <c r="G159" i="25"/>
  <c r="M159" i="25"/>
  <c r="N159" i="25"/>
  <c r="F160" i="25"/>
  <c r="G160" i="25"/>
  <c r="M160" i="25"/>
  <c r="N160" i="25"/>
  <c r="F161" i="25"/>
  <c r="G161" i="25"/>
  <c r="M161" i="25"/>
  <c r="N161" i="25"/>
  <c r="F162" i="25"/>
  <c r="G162" i="25"/>
  <c r="M162" i="25"/>
  <c r="N162" i="25"/>
  <c r="F163" i="25"/>
  <c r="G163" i="25"/>
  <c r="M163" i="25"/>
  <c r="N163" i="25"/>
  <c r="F164" i="25"/>
  <c r="G164" i="25"/>
  <c r="M164" i="25"/>
  <c r="N164" i="25"/>
  <c r="F165" i="25"/>
  <c r="G165" i="25"/>
  <c r="M165" i="25"/>
  <c r="N165" i="25"/>
  <c r="F166" i="25"/>
  <c r="G166" i="25"/>
  <c r="M166" i="25"/>
  <c r="N166" i="25"/>
  <c r="F167" i="25"/>
  <c r="G167" i="25"/>
  <c r="M167" i="25"/>
  <c r="N167" i="25"/>
  <c r="F168" i="25"/>
  <c r="G168" i="25"/>
  <c r="M168" i="25"/>
  <c r="N168" i="25"/>
  <c r="F169" i="25"/>
  <c r="G169" i="25"/>
  <c r="M169" i="25"/>
  <c r="N169" i="25"/>
  <c r="F170" i="25"/>
  <c r="G170" i="25"/>
  <c r="M170" i="25"/>
  <c r="N170" i="25"/>
  <c r="F171" i="25"/>
  <c r="G171" i="25"/>
  <c r="M171" i="25"/>
  <c r="N171" i="25"/>
  <c r="F172" i="25"/>
  <c r="G172" i="25"/>
  <c r="M172" i="25"/>
  <c r="N172" i="25"/>
  <c r="F173" i="25"/>
  <c r="G173" i="25"/>
  <c r="M173" i="25"/>
  <c r="N173" i="25"/>
  <c r="F174" i="25"/>
  <c r="G174" i="25"/>
  <c r="M174" i="25"/>
  <c r="N174" i="25"/>
  <c r="F175" i="25"/>
  <c r="G175" i="25"/>
  <c r="M175" i="25"/>
  <c r="N175" i="25"/>
  <c r="F176" i="25"/>
  <c r="G176" i="25"/>
  <c r="M176" i="25"/>
  <c r="N176" i="25"/>
  <c r="F177" i="25"/>
  <c r="G177" i="25"/>
  <c r="M177" i="25"/>
  <c r="N177" i="25"/>
  <c r="F178" i="25"/>
  <c r="G178" i="25"/>
  <c r="M178" i="25"/>
  <c r="N178" i="25"/>
  <c r="F179" i="25"/>
  <c r="G179" i="25"/>
  <c r="M179" i="25"/>
  <c r="N179" i="25"/>
  <c r="F180" i="25"/>
  <c r="G180" i="25"/>
  <c r="M180" i="25"/>
  <c r="N180" i="25"/>
  <c r="F181" i="25"/>
  <c r="G181" i="25"/>
  <c r="M181" i="25"/>
  <c r="N181" i="25"/>
  <c r="F182" i="25"/>
  <c r="G182" i="25"/>
  <c r="M182" i="25"/>
  <c r="N182" i="25"/>
  <c r="F183" i="25"/>
  <c r="G183" i="25"/>
  <c r="M183" i="25"/>
  <c r="N183" i="25"/>
  <c r="F184" i="25"/>
  <c r="G184" i="25"/>
  <c r="M184" i="25"/>
  <c r="N184" i="25"/>
  <c r="F185" i="25"/>
  <c r="G185" i="25"/>
  <c r="M185" i="25"/>
  <c r="N185" i="25"/>
  <c r="F186" i="25"/>
  <c r="G186" i="25"/>
  <c r="M186" i="25"/>
  <c r="N186" i="25"/>
  <c r="F187" i="25"/>
  <c r="G187" i="25"/>
  <c r="M187" i="25"/>
  <c r="N187" i="25"/>
  <c r="F188" i="25"/>
  <c r="G188" i="25"/>
  <c r="M188" i="25"/>
  <c r="N188" i="25"/>
  <c r="F189" i="25"/>
  <c r="G189" i="25"/>
  <c r="M189" i="25"/>
  <c r="N189" i="25"/>
  <c r="F190" i="25"/>
  <c r="G190" i="25"/>
  <c r="M190" i="25"/>
  <c r="N190" i="25"/>
  <c r="F191" i="25"/>
  <c r="G191" i="25"/>
  <c r="M191" i="25"/>
  <c r="N191" i="25"/>
  <c r="F192" i="25"/>
  <c r="G192" i="25"/>
  <c r="M192" i="25"/>
  <c r="N192" i="25"/>
  <c r="F193" i="25"/>
  <c r="G193" i="25"/>
  <c r="M193" i="25"/>
  <c r="N193" i="25"/>
  <c r="F194" i="25"/>
  <c r="G194" i="25"/>
  <c r="M194" i="25"/>
  <c r="N194" i="25"/>
  <c r="F195" i="25"/>
  <c r="G195" i="25"/>
  <c r="M195" i="25"/>
  <c r="N195" i="25"/>
  <c r="F196" i="25"/>
  <c r="G196" i="25"/>
  <c r="M196" i="25"/>
  <c r="N196" i="25"/>
  <c r="F197" i="25"/>
  <c r="G197" i="25"/>
  <c r="M197" i="25"/>
  <c r="N197" i="25"/>
  <c r="F198" i="25"/>
  <c r="G198" i="25"/>
  <c r="M198" i="25"/>
  <c r="N198" i="25"/>
  <c r="F199" i="25"/>
  <c r="G199" i="25"/>
  <c r="M199" i="25"/>
  <c r="N199" i="25"/>
  <c r="F200" i="25"/>
  <c r="G200" i="25"/>
  <c r="M200" i="25"/>
  <c r="N200" i="25"/>
  <c r="F201" i="25"/>
  <c r="G201" i="25"/>
  <c r="M201" i="25"/>
  <c r="N201" i="25"/>
  <c r="F202" i="25"/>
  <c r="G202" i="25"/>
  <c r="M202" i="25"/>
  <c r="N202" i="25"/>
  <c r="F203" i="25"/>
  <c r="G203" i="25"/>
  <c r="M203" i="25"/>
  <c r="N203" i="25"/>
  <c r="F204" i="25"/>
  <c r="G204" i="25"/>
  <c r="M204" i="25"/>
  <c r="N204" i="25"/>
  <c r="F205" i="25"/>
  <c r="G205" i="25"/>
  <c r="M205" i="25"/>
  <c r="N205" i="25"/>
  <c r="F206" i="25"/>
  <c r="G206" i="25"/>
  <c r="M206" i="25"/>
  <c r="N206" i="25"/>
  <c r="F207" i="25"/>
  <c r="G207" i="25"/>
  <c r="M207" i="25"/>
  <c r="N207" i="25"/>
  <c r="F208" i="25"/>
  <c r="G208" i="25"/>
  <c r="M208" i="25"/>
  <c r="N208" i="25"/>
  <c r="F209" i="25"/>
  <c r="G209" i="25"/>
  <c r="M209" i="25"/>
  <c r="N209" i="25"/>
  <c r="F210" i="25"/>
  <c r="G210" i="25"/>
  <c r="M210" i="25"/>
  <c r="N210" i="25"/>
  <c r="F211" i="25"/>
  <c r="G211" i="25"/>
  <c r="M211" i="25"/>
  <c r="N211" i="25"/>
  <c r="F212" i="25"/>
  <c r="G212" i="25"/>
  <c r="M212" i="25"/>
  <c r="N212" i="25"/>
  <c r="F213" i="25"/>
  <c r="G213" i="25"/>
  <c r="M213" i="25"/>
  <c r="N213" i="25"/>
  <c r="F214" i="25"/>
  <c r="G214" i="25"/>
  <c r="M214" i="25"/>
  <c r="N214" i="25"/>
  <c r="F215" i="25"/>
  <c r="G215" i="25"/>
  <c r="M215" i="25"/>
  <c r="N215" i="25"/>
  <c r="F216" i="25"/>
  <c r="G216" i="25"/>
  <c r="M216" i="25"/>
  <c r="N216" i="25"/>
  <c r="F217" i="25"/>
  <c r="G217" i="25"/>
  <c r="M217" i="25"/>
  <c r="N217" i="25"/>
  <c r="F218" i="25"/>
  <c r="G218" i="25"/>
  <c r="M218" i="25"/>
  <c r="N218" i="25"/>
  <c r="F219" i="25"/>
  <c r="G219" i="25"/>
  <c r="M219" i="25"/>
  <c r="N219" i="25"/>
  <c r="F220" i="25"/>
  <c r="G220" i="25"/>
  <c r="M220" i="25"/>
  <c r="N220" i="25"/>
  <c r="F221" i="25"/>
  <c r="G221" i="25"/>
  <c r="M221" i="25"/>
  <c r="N221" i="25"/>
  <c r="F222" i="25"/>
  <c r="G222" i="25"/>
  <c r="M222" i="25"/>
  <c r="N222" i="25"/>
  <c r="F223" i="25"/>
  <c r="G223" i="25"/>
  <c r="M223" i="25"/>
  <c r="N223" i="25"/>
  <c r="F224" i="25"/>
  <c r="G224" i="25"/>
  <c r="M224" i="25"/>
  <c r="N224" i="25"/>
  <c r="F225" i="25"/>
  <c r="G225" i="25"/>
  <c r="M225" i="25"/>
  <c r="N225" i="25"/>
  <c r="F226" i="25"/>
  <c r="G226" i="25"/>
  <c r="M226" i="25"/>
  <c r="N226" i="25"/>
  <c r="F227" i="25"/>
  <c r="G227" i="25"/>
  <c r="M227" i="25"/>
  <c r="N227" i="25"/>
  <c r="F228" i="25"/>
  <c r="G228" i="25"/>
  <c r="M228" i="25"/>
  <c r="N228" i="25"/>
  <c r="F229" i="25"/>
  <c r="G229" i="25"/>
  <c r="M229" i="25"/>
  <c r="N229" i="25"/>
  <c r="F230" i="25"/>
  <c r="G230" i="25"/>
  <c r="M230" i="25"/>
  <c r="N230" i="25"/>
  <c r="F231" i="25"/>
  <c r="G231" i="25"/>
  <c r="M231" i="25"/>
  <c r="N231" i="25"/>
  <c r="F232" i="25"/>
  <c r="G232" i="25"/>
  <c r="M232" i="25"/>
  <c r="N232" i="25"/>
  <c r="F233" i="25"/>
  <c r="G233" i="25"/>
  <c r="M233" i="25"/>
  <c r="N233" i="25"/>
  <c r="F234" i="25"/>
  <c r="G234" i="25"/>
  <c r="M234" i="25"/>
  <c r="N234" i="25"/>
  <c r="F235" i="25"/>
  <c r="G235" i="25"/>
  <c r="M235" i="25"/>
  <c r="N235" i="25"/>
  <c r="F236" i="25"/>
  <c r="G236" i="25"/>
  <c r="M236" i="25"/>
  <c r="N236" i="25"/>
  <c r="F237" i="25"/>
  <c r="G237" i="25"/>
  <c r="M237" i="25"/>
  <c r="N237" i="25"/>
  <c r="F238" i="25"/>
  <c r="G238" i="25"/>
  <c r="M238" i="25"/>
  <c r="N238" i="25"/>
  <c r="F239" i="25"/>
  <c r="G239" i="25"/>
  <c r="M239" i="25"/>
  <c r="N239" i="25"/>
  <c r="F240" i="25"/>
  <c r="G240" i="25"/>
  <c r="M240" i="25"/>
  <c r="N240" i="25"/>
  <c r="F241" i="25"/>
  <c r="G241" i="25"/>
  <c r="M241" i="25"/>
  <c r="N241" i="25"/>
  <c r="F242" i="25"/>
  <c r="G242" i="25"/>
  <c r="M242" i="25"/>
  <c r="N242" i="25"/>
  <c r="F243" i="25"/>
  <c r="G243" i="25"/>
  <c r="M243" i="25"/>
  <c r="N243" i="25"/>
  <c r="F244" i="25"/>
  <c r="G244" i="25"/>
  <c r="M244" i="25"/>
  <c r="N244" i="25"/>
  <c r="F245" i="25"/>
  <c r="G245" i="25"/>
  <c r="M245" i="25"/>
  <c r="N245" i="25"/>
  <c r="F246" i="25"/>
  <c r="G246" i="25"/>
  <c r="M246" i="25"/>
  <c r="N246" i="25"/>
  <c r="F247" i="25"/>
  <c r="G247" i="25"/>
  <c r="M247" i="25"/>
  <c r="N247" i="25"/>
  <c r="F248" i="25"/>
  <c r="G248" i="25"/>
  <c r="M248" i="25"/>
  <c r="N248" i="25"/>
  <c r="F249" i="25"/>
  <c r="G249" i="25"/>
  <c r="M249" i="25"/>
  <c r="N249" i="25"/>
  <c r="F250" i="25"/>
  <c r="G250" i="25"/>
  <c r="M250" i="25"/>
  <c r="N250" i="25"/>
  <c r="F251" i="25"/>
  <c r="G251" i="25"/>
  <c r="M251" i="25"/>
  <c r="N251" i="25"/>
  <c r="F252" i="25"/>
  <c r="G252" i="25"/>
  <c r="M252" i="25"/>
  <c r="N252" i="25"/>
  <c r="F253" i="25"/>
  <c r="G253" i="25"/>
  <c r="M253" i="25"/>
  <c r="N253" i="25"/>
  <c r="F254" i="25"/>
  <c r="G254" i="25"/>
  <c r="M254" i="25"/>
  <c r="N254" i="25"/>
  <c r="F255" i="25"/>
  <c r="G255" i="25"/>
  <c r="M255" i="25"/>
  <c r="N255" i="25"/>
  <c r="F256" i="25"/>
  <c r="G256" i="25"/>
  <c r="M256" i="25"/>
  <c r="N256" i="25"/>
  <c r="F257" i="25"/>
  <c r="G257" i="25"/>
  <c r="M257" i="25"/>
  <c r="N257" i="25"/>
  <c r="F258" i="25"/>
  <c r="G258" i="25"/>
  <c r="M258" i="25"/>
  <c r="N258" i="25"/>
  <c r="F259" i="25"/>
  <c r="G259" i="25"/>
  <c r="M259" i="25"/>
  <c r="N259" i="25"/>
  <c r="F260" i="25"/>
  <c r="G260" i="25"/>
  <c r="M260" i="25"/>
  <c r="N260" i="25"/>
  <c r="F261" i="25"/>
  <c r="G261" i="25"/>
  <c r="M261" i="25"/>
  <c r="N261" i="25"/>
  <c r="F262" i="25"/>
  <c r="G262" i="25"/>
  <c r="M262" i="25"/>
  <c r="N262" i="25"/>
  <c r="F263" i="25"/>
  <c r="G263" i="25"/>
  <c r="M263" i="25"/>
  <c r="N263" i="25"/>
  <c r="F264" i="25"/>
  <c r="G264" i="25"/>
  <c r="M264" i="25"/>
  <c r="N264" i="25"/>
  <c r="F265" i="25"/>
  <c r="G265" i="25"/>
  <c r="M265" i="25"/>
  <c r="N265" i="25"/>
  <c r="F266" i="25"/>
  <c r="G266" i="25"/>
  <c r="M266" i="25"/>
  <c r="N266" i="25"/>
  <c r="F267" i="25"/>
  <c r="G267" i="25"/>
  <c r="M267" i="25"/>
  <c r="N267" i="25"/>
  <c r="F268" i="25"/>
  <c r="G268" i="25"/>
  <c r="M268" i="25"/>
  <c r="N268" i="25"/>
  <c r="F269" i="25"/>
  <c r="G269" i="25"/>
  <c r="M269" i="25"/>
  <c r="N269" i="25"/>
  <c r="F270" i="25"/>
  <c r="G270" i="25"/>
  <c r="M270" i="25"/>
  <c r="N270" i="25"/>
  <c r="F271" i="25"/>
  <c r="G271" i="25"/>
  <c r="M271" i="25"/>
  <c r="N271" i="25"/>
  <c r="F272" i="25"/>
  <c r="G272" i="25"/>
  <c r="M272" i="25"/>
  <c r="N272" i="25"/>
  <c r="F273" i="25"/>
  <c r="G273" i="25"/>
  <c r="M273" i="25"/>
  <c r="N273" i="25"/>
  <c r="F274" i="25"/>
  <c r="G274" i="25"/>
  <c r="M274" i="25"/>
  <c r="N274" i="25"/>
  <c r="F275" i="25"/>
  <c r="G275" i="25"/>
  <c r="M275" i="25"/>
  <c r="N275" i="25"/>
  <c r="F276" i="25"/>
  <c r="G276" i="25"/>
  <c r="M276" i="25"/>
  <c r="N276" i="25"/>
  <c r="F277" i="25"/>
  <c r="G277" i="25"/>
  <c r="M277" i="25"/>
  <c r="N277" i="25"/>
  <c r="F278" i="25"/>
  <c r="G278" i="25"/>
  <c r="M278" i="25"/>
  <c r="N278" i="25"/>
  <c r="F279" i="25"/>
  <c r="G279" i="25"/>
  <c r="M279" i="25"/>
  <c r="N279" i="25"/>
  <c r="F280" i="25"/>
  <c r="G280" i="25"/>
  <c r="M280" i="25"/>
  <c r="N280" i="25"/>
  <c r="F281" i="25"/>
  <c r="G281" i="25"/>
  <c r="M281" i="25"/>
  <c r="N281" i="25"/>
  <c r="F282" i="25"/>
  <c r="G282" i="25"/>
  <c r="M282" i="25"/>
  <c r="N282" i="25"/>
  <c r="F283" i="25"/>
  <c r="G283" i="25"/>
  <c r="M283" i="25"/>
  <c r="N283" i="25"/>
  <c r="F284" i="25"/>
  <c r="G284" i="25"/>
  <c r="M284" i="25"/>
  <c r="N284" i="25"/>
  <c r="F285" i="25"/>
  <c r="G285" i="25"/>
  <c r="M285" i="25"/>
  <c r="N285" i="25"/>
  <c r="F286" i="25"/>
  <c r="G286" i="25"/>
  <c r="M286" i="25"/>
  <c r="N286" i="25"/>
  <c r="F287" i="25"/>
  <c r="G287" i="25"/>
  <c r="M287" i="25"/>
  <c r="N287" i="25"/>
  <c r="F288" i="25"/>
  <c r="G288" i="25"/>
  <c r="M288" i="25"/>
  <c r="N288" i="25"/>
  <c r="F289" i="25"/>
  <c r="G289" i="25"/>
  <c r="M289" i="25"/>
  <c r="N289" i="25"/>
  <c r="F290" i="25"/>
  <c r="G290" i="25"/>
  <c r="M290" i="25"/>
  <c r="N290" i="25"/>
  <c r="F291" i="25"/>
  <c r="G291" i="25"/>
  <c r="M291" i="25"/>
  <c r="N291" i="25"/>
  <c r="F292" i="25"/>
  <c r="G292" i="25"/>
  <c r="M292" i="25"/>
  <c r="N292" i="25"/>
  <c r="F293" i="25"/>
  <c r="G293" i="25"/>
  <c r="M293" i="25"/>
  <c r="N293" i="25"/>
  <c r="F294" i="25"/>
  <c r="G294" i="25"/>
  <c r="M294" i="25"/>
  <c r="N294" i="25"/>
  <c r="F295" i="25"/>
  <c r="G295" i="25"/>
  <c r="M295" i="25"/>
  <c r="N295" i="25"/>
  <c r="F296" i="25"/>
  <c r="G296" i="25"/>
  <c r="M296" i="25"/>
  <c r="N296" i="25"/>
  <c r="F297" i="25"/>
  <c r="G297" i="25"/>
  <c r="M297" i="25"/>
  <c r="N297" i="25"/>
  <c r="F298" i="25"/>
  <c r="G298" i="25"/>
  <c r="M298" i="25"/>
  <c r="N298" i="25"/>
  <c r="F299" i="25"/>
  <c r="G299" i="25"/>
  <c r="M299" i="25"/>
  <c r="N299" i="25"/>
  <c r="F300" i="25"/>
  <c r="G300" i="25"/>
  <c r="M300" i="25"/>
  <c r="N300" i="25"/>
  <c r="F301" i="25"/>
  <c r="G301" i="25"/>
  <c r="M301" i="25"/>
  <c r="N301" i="25"/>
  <c r="F302" i="25"/>
  <c r="G302" i="25"/>
  <c r="M302" i="25"/>
  <c r="N302" i="25"/>
  <c r="F303" i="25"/>
  <c r="G303" i="25"/>
  <c r="M303" i="25"/>
  <c r="N303" i="25"/>
  <c r="F304" i="25"/>
  <c r="G304" i="25"/>
  <c r="M304" i="25"/>
  <c r="N304" i="25"/>
  <c r="F305" i="25"/>
  <c r="G305" i="25"/>
  <c r="M305" i="25"/>
  <c r="N305" i="25"/>
  <c r="F306" i="25"/>
  <c r="G306" i="25"/>
  <c r="M306" i="25"/>
  <c r="N306" i="25"/>
  <c r="F307" i="25"/>
  <c r="G307" i="25"/>
  <c r="M307" i="25"/>
  <c r="N307" i="25"/>
  <c r="F308" i="25"/>
  <c r="G308" i="25"/>
  <c r="M308" i="25"/>
  <c r="N308" i="25"/>
  <c r="F309" i="25"/>
  <c r="G309" i="25"/>
  <c r="M309" i="25"/>
  <c r="N309" i="25"/>
  <c r="F310" i="25"/>
  <c r="G310" i="25"/>
  <c r="M310" i="25"/>
  <c r="N310" i="25"/>
  <c r="F311" i="25"/>
  <c r="G311" i="25"/>
  <c r="M311" i="25"/>
  <c r="N311" i="25"/>
  <c r="F312" i="25"/>
  <c r="G312" i="25"/>
  <c r="M312" i="25"/>
  <c r="N312" i="25"/>
  <c r="F313" i="25"/>
  <c r="G313" i="25"/>
  <c r="M313" i="25"/>
  <c r="N313" i="25"/>
  <c r="F314" i="25"/>
  <c r="G314" i="25"/>
  <c r="M314" i="25"/>
  <c r="N314" i="25"/>
  <c r="F315" i="25"/>
  <c r="G315" i="25"/>
  <c r="M315" i="25"/>
  <c r="N315" i="25"/>
  <c r="F316" i="25"/>
  <c r="G316" i="25"/>
  <c r="M316" i="25"/>
  <c r="N316" i="25"/>
  <c r="F317" i="25"/>
  <c r="G317" i="25"/>
  <c r="M317" i="25"/>
  <c r="N317" i="25"/>
  <c r="F318" i="25"/>
  <c r="G318" i="25"/>
  <c r="M318" i="25"/>
  <c r="N318" i="25"/>
  <c r="F319" i="25"/>
  <c r="G319" i="25"/>
  <c r="M319" i="25"/>
  <c r="N319" i="25"/>
  <c r="F320" i="25"/>
  <c r="G320" i="25"/>
  <c r="M320" i="25"/>
  <c r="N320" i="25"/>
  <c r="F321" i="25"/>
  <c r="G321" i="25"/>
  <c r="M321" i="25"/>
  <c r="N321" i="25"/>
  <c r="F322" i="25"/>
  <c r="G322" i="25"/>
  <c r="M322" i="25"/>
  <c r="N322" i="25"/>
  <c r="F323" i="25"/>
  <c r="G323" i="25"/>
  <c r="M323" i="25"/>
  <c r="N323" i="25"/>
  <c r="F324" i="25"/>
  <c r="G324" i="25"/>
  <c r="M324" i="25"/>
  <c r="N324" i="25"/>
  <c r="F325" i="25"/>
  <c r="G325" i="25"/>
  <c r="M325" i="25"/>
  <c r="N325" i="25"/>
  <c r="F326" i="25"/>
  <c r="G326" i="25"/>
  <c r="M326" i="25"/>
  <c r="N326" i="25"/>
  <c r="F327" i="25"/>
  <c r="G327" i="25"/>
  <c r="M327" i="25"/>
  <c r="N327" i="25"/>
  <c r="F328" i="25"/>
  <c r="G328" i="25"/>
  <c r="M328" i="25"/>
  <c r="N328" i="25"/>
  <c r="F329" i="25"/>
  <c r="G329" i="25"/>
  <c r="M329" i="25"/>
  <c r="N329" i="25"/>
  <c r="F330" i="25"/>
  <c r="G330" i="25"/>
  <c r="M330" i="25"/>
  <c r="N330" i="25"/>
  <c r="F331" i="25"/>
  <c r="G331" i="25"/>
  <c r="M331" i="25"/>
  <c r="N331" i="25"/>
  <c r="F332" i="25"/>
  <c r="G332" i="25"/>
  <c r="M332" i="25"/>
  <c r="N332" i="25"/>
  <c r="F333" i="25"/>
  <c r="G333" i="25"/>
  <c r="M333" i="25"/>
  <c r="N333" i="25"/>
  <c r="F334" i="25"/>
  <c r="G334" i="25"/>
  <c r="M334" i="25"/>
  <c r="N334" i="25"/>
  <c r="F335" i="25"/>
  <c r="G335" i="25"/>
  <c r="M335" i="25"/>
  <c r="N335" i="25"/>
  <c r="F336" i="25"/>
  <c r="G336" i="25"/>
  <c r="M336" i="25"/>
  <c r="N336" i="25"/>
  <c r="F337" i="25"/>
  <c r="G337" i="25"/>
  <c r="M337" i="25"/>
  <c r="N337" i="25"/>
  <c r="F338" i="25"/>
  <c r="G338" i="25"/>
  <c r="M338" i="25"/>
  <c r="N338" i="25"/>
  <c r="F339" i="25"/>
  <c r="G339" i="25"/>
  <c r="M339" i="25"/>
  <c r="N339" i="25"/>
  <c r="F340" i="25"/>
  <c r="G340" i="25"/>
  <c r="M340" i="25"/>
  <c r="N340" i="25"/>
  <c r="F341" i="25"/>
  <c r="G341" i="25"/>
  <c r="M341" i="25"/>
  <c r="N341" i="25"/>
  <c r="F342" i="25"/>
  <c r="G342" i="25"/>
  <c r="M342" i="25"/>
  <c r="N342" i="25"/>
  <c r="F343" i="25"/>
  <c r="G343" i="25"/>
  <c r="M343" i="25"/>
  <c r="N343" i="25"/>
  <c r="F344" i="25"/>
  <c r="G344" i="25"/>
  <c r="M344" i="25"/>
  <c r="N344" i="25"/>
  <c r="F345" i="25"/>
  <c r="G345" i="25"/>
  <c r="M345" i="25"/>
  <c r="N345" i="25"/>
  <c r="F346" i="25"/>
  <c r="G346" i="25"/>
  <c r="M346" i="25"/>
  <c r="N346" i="25"/>
  <c r="F347" i="25"/>
  <c r="G347" i="25"/>
  <c r="M347" i="25"/>
  <c r="N347" i="25"/>
  <c r="F348" i="25"/>
  <c r="G348" i="25"/>
  <c r="M348" i="25"/>
  <c r="N348" i="25"/>
  <c r="F349" i="25"/>
  <c r="G349" i="25"/>
  <c r="M349" i="25"/>
  <c r="N349" i="25"/>
  <c r="F350" i="25"/>
  <c r="G350" i="25"/>
  <c r="M350" i="25"/>
  <c r="N350" i="25"/>
  <c r="F351" i="25"/>
  <c r="G351" i="25"/>
  <c r="M351" i="25"/>
  <c r="N351" i="25"/>
  <c r="F352" i="25"/>
  <c r="G352" i="25"/>
  <c r="M352" i="25"/>
  <c r="N352" i="25"/>
  <c r="F353" i="25"/>
  <c r="G353" i="25"/>
  <c r="M353" i="25"/>
  <c r="N353" i="25"/>
  <c r="F354" i="25"/>
  <c r="G354" i="25"/>
  <c r="M354" i="25"/>
  <c r="N354" i="25"/>
  <c r="F355" i="25"/>
  <c r="G355" i="25"/>
  <c r="M355" i="25"/>
  <c r="N355" i="25"/>
  <c r="F356" i="25"/>
  <c r="G356" i="25"/>
  <c r="M356" i="25"/>
  <c r="N356" i="25"/>
  <c r="F357" i="25"/>
  <c r="G357" i="25"/>
  <c r="M357" i="25"/>
  <c r="N357" i="25"/>
  <c r="F358" i="25"/>
  <c r="G358" i="25"/>
  <c r="M358" i="25"/>
  <c r="N358" i="25"/>
  <c r="F359" i="25"/>
  <c r="G359" i="25"/>
  <c r="M359" i="25"/>
  <c r="N359" i="25"/>
  <c r="F360" i="25"/>
  <c r="G360" i="25"/>
  <c r="M360" i="25"/>
  <c r="N360" i="25"/>
  <c r="F361" i="25"/>
  <c r="G361" i="25"/>
  <c r="M361" i="25"/>
  <c r="N361" i="25"/>
  <c r="F362" i="25"/>
  <c r="G362" i="25"/>
  <c r="M362" i="25"/>
  <c r="N362" i="25"/>
  <c r="F363" i="25"/>
  <c r="G363" i="25"/>
  <c r="M363" i="25"/>
  <c r="N363" i="25"/>
  <c r="F364" i="25"/>
  <c r="G364" i="25"/>
  <c r="M364" i="25"/>
  <c r="N364" i="25"/>
  <c r="F365" i="25"/>
  <c r="G365" i="25"/>
  <c r="M365" i="25"/>
  <c r="N365" i="25"/>
  <c r="F366" i="25"/>
  <c r="G366" i="25"/>
  <c r="M366" i="25"/>
  <c r="N366" i="25"/>
  <c r="F367" i="25"/>
  <c r="G367" i="25"/>
  <c r="M367" i="25"/>
  <c r="N367" i="25"/>
  <c r="F368" i="25"/>
  <c r="G368" i="25"/>
  <c r="M368" i="25"/>
  <c r="N368" i="25"/>
  <c r="F369" i="25"/>
  <c r="G369" i="25"/>
  <c r="M369" i="25"/>
  <c r="N369" i="25"/>
  <c r="F370" i="25"/>
  <c r="G370" i="25"/>
  <c r="M370" i="25"/>
  <c r="N370" i="25"/>
  <c r="F371" i="25"/>
  <c r="G371" i="25"/>
  <c r="M371" i="25"/>
  <c r="N371" i="25"/>
  <c r="F372" i="25"/>
  <c r="G372" i="25"/>
  <c r="M372" i="25"/>
  <c r="N372" i="25"/>
  <c r="F373" i="25"/>
  <c r="G373" i="25"/>
  <c r="M373" i="25"/>
  <c r="N373" i="25"/>
  <c r="F374" i="25"/>
  <c r="G374" i="25"/>
  <c r="M374" i="25"/>
  <c r="N374" i="25"/>
  <c r="F375" i="25"/>
  <c r="G375" i="25"/>
  <c r="M375" i="25"/>
  <c r="N375" i="25"/>
  <c r="F376" i="25"/>
  <c r="G376" i="25"/>
  <c r="M376" i="25"/>
  <c r="N376" i="25"/>
  <c r="F377" i="25"/>
  <c r="G377" i="25"/>
  <c r="M377" i="25"/>
  <c r="N377" i="25"/>
  <c r="F378" i="25"/>
  <c r="G378" i="25"/>
  <c r="M378" i="25"/>
  <c r="N378" i="25"/>
  <c r="F379" i="25"/>
  <c r="G379" i="25"/>
  <c r="M379" i="25"/>
  <c r="N379" i="25"/>
  <c r="F380" i="25"/>
  <c r="G380" i="25"/>
  <c r="M380" i="25"/>
  <c r="N380" i="25"/>
  <c r="F381" i="25"/>
  <c r="G381" i="25"/>
  <c r="M381" i="25"/>
  <c r="N381" i="25"/>
  <c r="F382" i="25"/>
  <c r="G382" i="25"/>
  <c r="M382" i="25"/>
  <c r="N382" i="25"/>
  <c r="F383" i="25"/>
  <c r="G383" i="25"/>
  <c r="M383" i="25"/>
  <c r="N383" i="25"/>
  <c r="F384" i="25"/>
  <c r="G384" i="25"/>
  <c r="M384" i="25"/>
  <c r="N384" i="25"/>
  <c r="F385" i="25"/>
  <c r="G385" i="25"/>
  <c r="M385" i="25"/>
  <c r="N385" i="25"/>
  <c r="F386" i="25"/>
  <c r="G386" i="25"/>
  <c r="M386" i="25"/>
  <c r="N386" i="25"/>
  <c r="F387" i="25"/>
  <c r="G387" i="25"/>
  <c r="M387" i="25"/>
  <c r="N387" i="25"/>
  <c r="F388" i="25"/>
  <c r="G388" i="25"/>
  <c r="M388" i="25"/>
  <c r="N388" i="25"/>
  <c r="F389" i="25"/>
  <c r="G389" i="25"/>
  <c r="M389" i="25"/>
  <c r="N389" i="25"/>
  <c r="F390" i="25"/>
  <c r="G390" i="25"/>
  <c r="M390" i="25"/>
  <c r="N390" i="25"/>
  <c r="F391" i="25"/>
  <c r="G391" i="25"/>
  <c r="M391" i="25"/>
  <c r="N391" i="25"/>
  <c r="F392" i="25"/>
  <c r="G392" i="25"/>
  <c r="M392" i="25"/>
  <c r="N392" i="25"/>
  <c r="F393" i="25"/>
  <c r="G393" i="25"/>
  <c r="M393" i="25"/>
  <c r="N393" i="25"/>
  <c r="F394" i="25"/>
  <c r="G394" i="25"/>
  <c r="M394" i="25"/>
  <c r="N394" i="25"/>
  <c r="F395" i="25"/>
  <c r="G395" i="25"/>
  <c r="M395" i="25"/>
  <c r="N395" i="25"/>
  <c r="F396" i="25"/>
  <c r="G396" i="25"/>
  <c r="M396" i="25"/>
  <c r="N396" i="25"/>
  <c r="F397" i="25"/>
  <c r="G397" i="25"/>
  <c r="M397" i="25"/>
  <c r="N397" i="25"/>
  <c r="F398" i="25"/>
  <c r="G398" i="25"/>
  <c r="M398" i="25"/>
  <c r="N398" i="25"/>
  <c r="F399" i="25"/>
  <c r="G399" i="25"/>
  <c r="M399" i="25"/>
  <c r="N399" i="25"/>
  <c r="F400" i="25"/>
  <c r="G400" i="25"/>
  <c r="M400" i="25"/>
  <c r="N400" i="25"/>
  <c r="F401" i="25"/>
  <c r="G401" i="25"/>
  <c r="M401" i="25"/>
  <c r="N401" i="25"/>
  <c r="F402" i="25"/>
  <c r="G402" i="25"/>
  <c r="M402" i="25"/>
  <c r="N402" i="25"/>
  <c r="F403" i="25"/>
  <c r="G403" i="25"/>
  <c r="M403" i="25"/>
  <c r="N403" i="25"/>
  <c r="F404" i="25"/>
  <c r="G404" i="25"/>
  <c r="M404" i="25"/>
  <c r="N404" i="25"/>
  <c r="F405" i="25"/>
  <c r="G405" i="25"/>
  <c r="M405" i="25"/>
  <c r="N405" i="25"/>
  <c r="F406" i="25"/>
  <c r="G406" i="25"/>
  <c r="M406" i="25"/>
  <c r="N406" i="25"/>
  <c r="F407" i="25"/>
  <c r="G407" i="25"/>
  <c r="M407" i="25"/>
  <c r="N407" i="25"/>
  <c r="J1" i="15" a="1"/>
  <c r="J1" i="15" s="1"/>
  <c r="AJ10" i="9" a="1"/>
  <c r="AJ10" i="9" s="1"/>
  <c r="AK10" i="9" s="1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P914" i="9" s="1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O1004" i="9"/>
  <c r="AO1005" i="9"/>
  <c r="AO1006" i="9"/>
  <c r="AO1007" i="9"/>
  <c r="AO1008" i="9"/>
  <c r="AO1009" i="9"/>
  <c r="AO1010" i="9"/>
  <c r="AO1011" i="9"/>
  <c r="AO1012" i="9"/>
  <c r="AO1013" i="9"/>
  <c r="AO1014" i="9"/>
  <c r="AO1015" i="9"/>
  <c r="AO1016" i="9"/>
  <c r="AO1017" i="9"/>
  <c r="AO1018" i="9"/>
  <c r="AO1019" i="9"/>
  <c r="AO1020" i="9"/>
  <c r="AO1021" i="9"/>
  <c r="AO1022" i="9"/>
  <c r="AO1023" i="9"/>
  <c r="AO1024" i="9"/>
  <c r="AO1025" i="9"/>
  <c r="AO1026" i="9"/>
  <c r="AO1027" i="9"/>
  <c r="AO1028" i="9"/>
  <c r="AO1029" i="9"/>
  <c r="AO1030" i="9"/>
  <c r="AO1031" i="9"/>
  <c r="AO1032" i="9"/>
  <c r="AO1033" i="9"/>
  <c r="AO1034" i="9"/>
  <c r="AO1035" i="9"/>
  <c r="AO1036" i="9"/>
  <c r="AO1037" i="9"/>
  <c r="AO1038" i="9"/>
  <c r="AO1039" i="9"/>
  <c r="AO1040" i="9"/>
  <c r="AO1041" i="9"/>
  <c r="AO1042" i="9"/>
  <c r="AO1043" i="9"/>
  <c r="AO1044" i="9"/>
  <c r="AO1045" i="9"/>
  <c r="AO1046" i="9"/>
  <c r="AO1047" i="9"/>
  <c r="AO1048" i="9"/>
  <c r="AP1048" i="9" s="1"/>
  <c r="AO1049" i="9"/>
  <c r="AP1049" i="9" s="1"/>
  <c r="AO1050" i="9"/>
  <c r="AP1050" i="9" s="1"/>
  <c r="AO265" i="9"/>
  <c r="AO266" i="9"/>
  <c r="AO267" i="9"/>
  <c r="AO26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8" i="9"/>
  <c r="D37" i="1"/>
  <c r="D36" i="1"/>
  <c r="D35" i="1"/>
  <c r="AP626" i="9" l="1"/>
  <c r="AP770" i="9"/>
  <c r="AP338" i="9"/>
  <c r="AP482" i="9"/>
  <c r="AP243" i="9"/>
  <c r="AP194" i="9"/>
  <c r="AP998" i="9"/>
  <c r="AP854" i="9"/>
  <c r="AP710" i="9"/>
  <c r="AP566" i="9"/>
  <c r="AP422" i="9"/>
  <c r="AP278" i="9"/>
  <c r="AP255" i="9"/>
  <c r="AP231" i="9"/>
  <c r="AP134" i="9"/>
  <c r="AP1046" i="9"/>
  <c r="AP50" i="9"/>
  <c r="AP8" i="9"/>
  <c r="AP1047" i="9"/>
  <c r="AP1045" i="9"/>
  <c r="AP238" i="9"/>
  <c r="AP130" i="9"/>
  <c r="AP46" i="9"/>
  <c r="AP1032" i="9"/>
  <c r="AP996" i="9"/>
  <c r="AP984" i="9"/>
  <c r="AP972" i="9"/>
  <c r="AP960" i="9"/>
  <c r="AP948" i="9"/>
  <c r="AP936" i="9"/>
  <c r="AP924" i="9"/>
  <c r="AP912" i="9"/>
  <c r="AP900" i="9"/>
  <c r="AP888" i="9"/>
  <c r="AP876" i="9"/>
  <c r="AP864" i="9"/>
  <c r="AP852" i="9"/>
  <c r="AP840" i="9"/>
  <c r="AP828" i="9"/>
  <c r="AP816" i="9"/>
  <c r="AP804" i="9"/>
  <c r="AP792" i="9"/>
  <c r="AP780" i="9"/>
  <c r="AP768" i="9"/>
  <c r="AP756" i="9"/>
  <c r="AP744" i="9"/>
  <c r="AP732" i="9"/>
  <c r="AP720" i="9"/>
  <c r="AP708" i="9"/>
  <c r="AP696" i="9"/>
  <c r="AP684" i="9"/>
  <c r="AP672" i="9"/>
  <c r="AP660" i="9"/>
  <c r="AP648" i="9"/>
  <c r="AP636" i="9"/>
  <c r="AP624" i="9"/>
  <c r="AP612" i="9"/>
  <c r="AP600" i="9"/>
  <c r="AP588" i="9"/>
  <c r="AP576" i="9"/>
  <c r="AP564" i="9"/>
  <c r="AP552" i="9"/>
  <c r="AP540" i="9"/>
  <c r="AP528" i="9"/>
  <c r="AP516" i="9"/>
  <c r="AP504" i="9"/>
  <c r="AP492" i="9"/>
  <c r="AP480" i="9"/>
  <c r="AP468" i="9"/>
  <c r="AP456" i="9"/>
  <c r="AP444" i="9"/>
  <c r="AP432" i="9"/>
  <c r="AP420" i="9"/>
  <c r="AP408" i="9"/>
  <c r="AP396" i="9"/>
  <c r="AP384" i="9"/>
  <c r="AP372" i="9"/>
  <c r="AP360" i="9"/>
  <c r="AP348" i="9"/>
  <c r="AP336" i="9"/>
  <c r="AP324" i="9"/>
  <c r="AP312" i="9"/>
  <c r="AP300" i="9"/>
  <c r="AP288" i="9"/>
  <c r="AP276" i="9"/>
  <c r="AP226" i="9"/>
  <c r="AP142" i="9"/>
  <c r="AP58" i="9"/>
  <c r="AP22" i="9"/>
  <c r="AP182" i="9"/>
  <c r="AP122" i="9"/>
  <c r="AP98" i="9"/>
  <c r="AP38" i="9"/>
  <c r="AP26" i="9"/>
  <c r="AP14" i="9"/>
  <c r="AP1034" i="9"/>
  <c r="AP1022" i="9"/>
  <c r="AP1010" i="9"/>
  <c r="AP974" i="9"/>
  <c r="AP950" i="9"/>
  <c r="AP902" i="9"/>
  <c r="AP890" i="9"/>
  <c r="AP878" i="9"/>
  <c r="AP866" i="9"/>
  <c r="AP842" i="9"/>
  <c r="AP830" i="9"/>
  <c r="AP758" i="9"/>
  <c r="AP746" i="9"/>
  <c r="AP734" i="9"/>
  <c r="AP722" i="9"/>
  <c r="AP614" i="9"/>
  <c r="AP602" i="9"/>
  <c r="AP590" i="9"/>
  <c r="AP578" i="9"/>
  <c r="AP551" i="9"/>
  <c r="AP470" i="9"/>
  <c r="AP458" i="9"/>
  <c r="AP446" i="9"/>
  <c r="AP434" i="9"/>
  <c r="AP326" i="9"/>
  <c r="AP314" i="9"/>
  <c r="AP302" i="9"/>
  <c r="AP290" i="9"/>
  <c r="AP190" i="9"/>
  <c r="AP94" i="9"/>
  <c r="AP1008" i="9"/>
  <c r="AP214" i="9"/>
  <c r="AP118" i="9"/>
  <c r="AP34" i="9"/>
  <c r="AP261" i="9"/>
  <c r="AP170" i="9"/>
  <c r="AP202" i="9"/>
  <c r="AP154" i="9"/>
  <c r="AP70" i="9"/>
  <c r="AP10" i="9"/>
  <c r="AP146" i="9"/>
  <c r="AP250" i="9"/>
  <c r="AP166" i="9"/>
  <c r="AP106" i="9"/>
  <c r="AP1044" i="9"/>
  <c r="AP158" i="9"/>
  <c r="AP262" i="9"/>
  <c r="AP178" i="9"/>
  <c r="AP82" i="9"/>
  <c r="AP1020" i="9"/>
  <c r="AP219" i="9"/>
  <c r="AP207" i="9"/>
  <c r="AP195" i="9"/>
  <c r="AP183" i="9"/>
  <c r="AP171" i="9"/>
  <c r="AP159" i="9"/>
  <c r="AP147" i="9"/>
  <c r="AP135" i="9"/>
  <c r="AP123" i="9"/>
  <c r="AP111" i="9"/>
  <c r="AP99" i="9"/>
  <c r="AP87" i="9"/>
  <c r="AP75" i="9"/>
  <c r="AP63" i="9"/>
  <c r="AP51" i="9"/>
  <c r="AP39" i="9"/>
  <c r="AP27" i="9"/>
  <c r="AP15" i="9"/>
  <c r="AP1037" i="9"/>
  <c r="AP1025" i="9"/>
  <c r="AP1013" i="9"/>
  <c r="AP1001" i="9"/>
  <c r="AP989" i="9"/>
  <c r="AP977" i="9"/>
  <c r="AP965" i="9"/>
  <c r="AP953" i="9"/>
  <c r="AP941" i="9"/>
  <c r="AP929" i="9"/>
  <c r="AP917" i="9"/>
  <c r="AP905" i="9"/>
  <c r="AP893" i="9"/>
  <c r="AP881" i="9"/>
  <c r="AP869" i="9"/>
  <c r="AP857" i="9"/>
  <c r="AP845" i="9"/>
  <c r="AP833" i="9"/>
  <c r="AP821" i="9"/>
  <c r="AP809" i="9"/>
  <c r="AP797" i="9"/>
  <c r="AP785" i="9"/>
  <c r="AP773" i="9"/>
  <c r="AP761" i="9"/>
  <c r="AP749" i="9"/>
  <c r="AP737" i="9"/>
  <c r="AP725" i="9"/>
  <c r="AP713" i="9"/>
  <c r="AP701" i="9"/>
  <c r="AP689" i="9"/>
  <c r="AP677" i="9"/>
  <c r="AP665" i="9"/>
  <c r="AP653" i="9"/>
  <c r="AP641" i="9"/>
  <c r="AP629" i="9"/>
  <c r="AP617" i="9"/>
  <c r="AP605" i="9"/>
  <c r="AP593" i="9"/>
  <c r="AP581" i="9"/>
  <c r="AP569" i="9"/>
  <c r="AP557" i="9"/>
  <c r="AP545" i="9"/>
  <c r="AP533" i="9"/>
  <c r="AP521" i="9"/>
  <c r="AP509" i="9"/>
  <c r="AP497" i="9"/>
  <c r="AP485" i="9"/>
  <c r="AP473" i="9"/>
  <c r="AP461" i="9"/>
  <c r="AP449" i="9"/>
  <c r="AP437" i="9"/>
  <c r="AP425" i="9"/>
  <c r="AP413" i="9"/>
  <c r="AP401" i="9"/>
  <c r="AP389" i="9"/>
  <c r="AP377" i="9"/>
  <c r="AP365" i="9"/>
  <c r="AP353" i="9"/>
  <c r="AP341" i="9"/>
  <c r="AP329" i="9"/>
  <c r="AP317" i="9"/>
  <c r="AP305" i="9"/>
  <c r="AP293" i="9"/>
  <c r="AP281" i="9"/>
  <c r="AP269" i="9"/>
  <c r="AP1000" i="9"/>
  <c r="AP916" i="9"/>
  <c r="AP808" i="9"/>
  <c r="AP724" i="9"/>
  <c r="AP640" i="9"/>
  <c r="AP544" i="9"/>
  <c r="AP436" i="9"/>
  <c r="AP304" i="9"/>
  <c r="AS1048" i="9"/>
  <c r="AT1048" i="9"/>
  <c r="AR1048" i="9"/>
  <c r="AP1012" i="9"/>
  <c r="AP964" i="9"/>
  <c r="AP928" i="9"/>
  <c r="AP880" i="9"/>
  <c r="AP844" i="9"/>
  <c r="AP796" i="9"/>
  <c r="AP760" i="9"/>
  <c r="AP712" i="9"/>
  <c r="AP676" i="9"/>
  <c r="AP628" i="9"/>
  <c r="AP592" i="9"/>
  <c r="AP568" i="9"/>
  <c r="AP532" i="9"/>
  <c r="AP496" i="9"/>
  <c r="AP460" i="9"/>
  <c r="AP424" i="9"/>
  <c r="AP388" i="9"/>
  <c r="AP364" i="9"/>
  <c r="AP340" i="9"/>
  <c r="AP316" i="9"/>
  <c r="AP280" i="9"/>
  <c r="AP253" i="9"/>
  <c r="AP217" i="9"/>
  <c r="AP181" i="9"/>
  <c r="AP145" i="9"/>
  <c r="AP121" i="9"/>
  <c r="AP97" i="9"/>
  <c r="AP73" i="9"/>
  <c r="AP49" i="9"/>
  <c r="AP37" i="9"/>
  <c r="AP25" i="9"/>
  <c r="AP1035" i="9"/>
  <c r="AP1023" i="9"/>
  <c r="AP1011" i="9"/>
  <c r="AP999" i="9"/>
  <c r="AP987" i="9"/>
  <c r="AP975" i="9"/>
  <c r="AP963" i="9"/>
  <c r="AP951" i="9"/>
  <c r="AP939" i="9"/>
  <c r="AP927" i="9"/>
  <c r="AP915" i="9"/>
  <c r="AP903" i="9"/>
  <c r="AP891" i="9"/>
  <c r="AP879" i="9"/>
  <c r="AP867" i="9"/>
  <c r="AP855" i="9"/>
  <c r="AP843" i="9"/>
  <c r="AP831" i="9"/>
  <c r="AP819" i="9"/>
  <c r="AP807" i="9"/>
  <c r="AP795" i="9"/>
  <c r="AP783" i="9"/>
  <c r="AP771" i="9"/>
  <c r="AP759" i="9"/>
  <c r="AP747" i="9"/>
  <c r="AP735" i="9"/>
  <c r="AP723" i="9"/>
  <c r="AP711" i="9"/>
  <c r="AP699" i="9"/>
  <c r="AP687" i="9"/>
  <c r="AP675" i="9"/>
  <c r="AP663" i="9"/>
  <c r="AP651" i="9"/>
  <c r="AP639" i="9"/>
  <c r="AP627" i="9"/>
  <c r="AP615" i="9"/>
  <c r="AP603" i="9"/>
  <c r="AP591" i="9"/>
  <c r="AP579" i="9"/>
  <c r="AP567" i="9"/>
  <c r="AP555" i="9"/>
  <c r="AP543" i="9"/>
  <c r="AP531" i="9"/>
  <c r="AP519" i="9"/>
  <c r="AP507" i="9"/>
  <c r="AP495" i="9"/>
  <c r="AP483" i="9"/>
  <c r="AP471" i="9"/>
  <c r="AP459" i="9"/>
  <c r="AP447" i="9"/>
  <c r="AP435" i="9"/>
  <c r="AP423" i="9"/>
  <c r="AP411" i="9"/>
  <c r="AP399" i="9"/>
  <c r="AP387" i="9"/>
  <c r="AP375" i="9"/>
  <c r="AP363" i="9"/>
  <c r="AP351" i="9"/>
  <c r="AP339" i="9"/>
  <c r="AP327" i="9"/>
  <c r="AP315" i="9"/>
  <c r="AP303" i="9"/>
  <c r="AP291" i="9"/>
  <c r="AP279" i="9"/>
  <c r="AP1036" i="9"/>
  <c r="AP988" i="9"/>
  <c r="AP952" i="9"/>
  <c r="AP904" i="9"/>
  <c r="AP868" i="9"/>
  <c r="AP832" i="9"/>
  <c r="AP784" i="9"/>
  <c r="AP748" i="9"/>
  <c r="AP700" i="9"/>
  <c r="AP664" i="9"/>
  <c r="AP616" i="9"/>
  <c r="AP580" i="9"/>
  <c r="AP520" i="9"/>
  <c r="AP472" i="9"/>
  <c r="AP400" i="9"/>
  <c r="AT1046" i="9"/>
  <c r="AR1046" i="9"/>
  <c r="AS1046" i="9"/>
  <c r="AP229" i="9"/>
  <c r="AP193" i="9"/>
  <c r="AP157" i="9"/>
  <c r="AP133" i="9"/>
  <c r="AP85" i="9"/>
  <c r="AP61" i="9"/>
  <c r="AP13" i="9"/>
  <c r="AP252" i="9"/>
  <c r="AP228" i="9"/>
  <c r="AP204" i="9"/>
  <c r="AP168" i="9"/>
  <c r="AP108" i="9"/>
  <c r="AT1045" i="9"/>
  <c r="AS1045" i="9"/>
  <c r="AR1045" i="9"/>
  <c r="AP1021" i="9"/>
  <c r="AP997" i="9"/>
  <c r="AP973" i="9"/>
  <c r="AP961" i="9"/>
  <c r="AP949" i="9"/>
  <c r="AP937" i="9"/>
  <c r="AP913" i="9"/>
  <c r="AP901" i="9"/>
  <c r="AP889" i="9"/>
  <c r="AP877" i="9"/>
  <c r="AP865" i="9"/>
  <c r="AP853" i="9"/>
  <c r="AP841" i="9"/>
  <c r="AP829" i="9"/>
  <c r="AP817" i="9"/>
  <c r="AP805" i="9"/>
  <c r="AP793" i="9"/>
  <c r="AP781" i="9"/>
  <c r="AP769" i="9"/>
  <c r="AP757" i="9"/>
  <c r="AP745" i="9"/>
  <c r="AP733" i="9"/>
  <c r="AP721" i="9"/>
  <c r="AP709" i="9"/>
  <c r="AP697" i="9"/>
  <c r="AP685" i="9"/>
  <c r="AP673" i="9"/>
  <c r="AP661" i="9"/>
  <c r="AP649" i="9"/>
  <c r="AP637" i="9"/>
  <c r="AP625" i="9"/>
  <c r="AP613" i="9"/>
  <c r="AP601" i="9"/>
  <c r="AP589" i="9"/>
  <c r="AP577" i="9"/>
  <c r="AP565" i="9"/>
  <c r="AP553" i="9"/>
  <c r="AP541" i="9"/>
  <c r="AP529" i="9"/>
  <c r="AP517" i="9"/>
  <c r="AP505" i="9"/>
  <c r="AP493" i="9"/>
  <c r="AP481" i="9"/>
  <c r="AP469" i="9"/>
  <c r="AP457" i="9"/>
  <c r="AP445" i="9"/>
  <c r="AP433" i="9"/>
  <c r="AP421" i="9"/>
  <c r="AP409" i="9"/>
  <c r="AP397" i="9"/>
  <c r="AP385" i="9"/>
  <c r="AP373" i="9"/>
  <c r="AP361" i="9"/>
  <c r="AP349" i="9"/>
  <c r="AP337" i="9"/>
  <c r="AP325" i="9"/>
  <c r="AP313" i="9"/>
  <c r="AP301" i="9"/>
  <c r="AP289" i="9"/>
  <c r="AP277" i="9"/>
  <c r="AS1049" i="9"/>
  <c r="AT1049" i="9"/>
  <c r="AR1049" i="9"/>
  <c r="AP1024" i="9"/>
  <c r="AP976" i="9"/>
  <c r="AP940" i="9"/>
  <c r="AP892" i="9"/>
  <c r="AP856" i="9"/>
  <c r="AP820" i="9"/>
  <c r="AP772" i="9"/>
  <c r="AP736" i="9"/>
  <c r="AP688" i="9"/>
  <c r="AP652" i="9"/>
  <c r="AP604" i="9"/>
  <c r="AP556" i="9"/>
  <c r="AP508" i="9"/>
  <c r="AP484" i="9"/>
  <c r="AP448" i="9"/>
  <c r="AP412" i="9"/>
  <c r="AP376" i="9"/>
  <c r="AP352" i="9"/>
  <c r="AP328" i="9"/>
  <c r="AP292" i="9"/>
  <c r="AP241" i="9"/>
  <c r="AP205" i="9"/>
  <c r="AP169" i="9"/>
  <c r="AP109" i="9"/>
  <c r="AT1047" i="9"/>
  <c r="AR1047" i="9"/>
  <c r="AS1047" i="9"/>
  <c r="AP264" i="9"/>
  <c r="AP240" i="9"/>
  <c r="AP216" i="9"/>
  <c r="AP192" i="9"/>
  <c r="AP180" i="9"/>
  <c r="AP156" i="9"/>
  <c r="AP144" i="9"/>
  <c r="AP132" i="9"/>
  <c r="AP120" i="9"/>
  <c r="AP96" i="9"/>
  <c r="AP84" i="9"/>
  <c r="AP72" i="9"/>
  <c r="AP60" i="9"/>
  <c r="AP48" i="9"/>
  <c r="AP36" i="9"/>
  <c r="AP24" i="9"/>
  <c r="AP12" i="9"/>
  <c r="AP1033" i="9"/>
  <c r="AP1009" i="9"/>
  <c r="AP985" i="9"/>
  <c r="AP925" i="9"/>
  <c r="AP263" i="9"/>
  <c r="AP251" i="9"/>
  <c r="AP239" i="9"/>
  <c r="AP227" i="9"/>
  <c r="AP215" i="9"/>
  <c r="AP203" i="9"/>
  <c r="AP191" i="9"/>
  <c r="AP179" i="9"/>
  <c r="AP167" i="9"/>
  <c r="AP155" i="9"/>
  <c r="AP143" i="9"/>
  <c r="AP131" i="9"/>
  <c r="AP119" i="9"/>
  <c r="AP107" i="9"/>
  <c r="AP95" i="9"/>
  <c r="AP83" i="9"/>
  <c r="AP71" i="9"/>
  <c r="AP59" i="9"/>
  <c r="AP47" i="9"/>
  <c r="AP35" i="9"/>
  <c r="AP23" i="9"/>
  <c r="AP11" i="9"/>
  <c r="AT1044" i="9"/>
  <c r="AS1044" i="9"/>
  <c r="AP189" i="9"/>
  <c r="AP141" i="9"/>
  <c r="AP69" i="9"/>
  <c r="AP1039" i="9"/>
  <c r="AP1043" i="9"/>
  <c r="AP967" i="9"/>
  <c r="AP971" i="9"/>
  <c r="AP907" i="9"/>
  <c r="AP911" i="9"/>
  <c r="AP859" i="9"/>
  <c r="AP863" i="9"/>
  <c r="AP791" i="9"/>
  <c r="AP755" i="9"/>
  <c r="AP719" i="9"/>
  <c r="AP707" i="9"/>
  <c r="AP671" i="9"/>
  <c r="AP659" i="9"/>
  <c r="AP623" i="9"/>
  <c r="AP563" i="9"/>
  <c r="AP527" i="9"/>
  <c r="AP503" i="9"/>
  <c r="AP479" i="9"/>
  <c r="AP467" i="9"/>
  <c r="AP431" i="9"/>
  <c r="AP419" i="9"/>
  <c r="AP383" i="9"/>
  <c r="AP359" i="9"/>
  <c r="AP335" i="9"/>
  <c r="AP311" i="9"/>
  <c r="AP275" i="9"/>
  <c r="AP698" i="9"/>
  <c r="AP554" i="9"/>
  <c r="AP410" i="9"/>
  <c r="AP266" i="9"/>
  <c r="AP237" i="9"/>
  <c r="AP117" i="9"/>
  <c r="AP21" i="9"/>
  <c r="AP991" i="9"/>
  <c r="AP995" i="9"/>
  <c r="AP919" i="9"/>
  <c r="AP923" i="9"/>
  <c r="AP815" i="9"/>
  <c r="AP803" i="9"/>
  <c r="AP743" i="9"/>
  <c r="AP731" i="9"/>
  <c r="AP695" i="9"/>
  <c r="AP683" i="9"/>
  <c r="AP647" i="9"/>
  <c r="AP635" i="9"/>
  <c r="AP599" i="9"/>
  <c r="AP539" i="9"/>
  <c r="AP515" i="9"/>
  <c r="AP491" i="9"/>
  <c r="AP455" i="9"/>
  <c r="AP443" i="9"/>
  <c r="AP407" i="9"/>
  <c r="AP395" i="9"/>
  <c r="AP371" i="9"/>
  <c r="AP347" i="9"/>
  <c r="AP323" i="9"/>
  <c r="AP299" i="9"/>
  <c r="AP287" i="9"/>
  <c r="AP986" i="9"/>
  <c r="AP260" i="9"/>
  <c r="AP248" i="9"/>
  <c r="AP236" i="9"/>
  <c r="AP224" i="9"/>
  <c r="AP212" i="9"/>
  <c r="AP200" i="9"/>
  <c r="AP188" i="9"/>
  <c r="AP176" i="9"/>
  <c r="AP164" i="9"/>
  <c r="AP152" i="9"/>
  <c r="AP140" i="9"/>
  <c r="AP128" i="9"/>
  <c r="AP116" i="9"/>
  <c r="AP104" i="9"/>
  <c r="AP92" i="9"/>
  <c r="AP80" i="9"/>
  <c r="AP68" i="9"/>
  <c r="AP56" i="9"/>
  <c r="AP44" i="9"/>
  <c r="AP32" i="9"/>
  <c r="AP20" i="9"/>
  <c r="AP268" i="9"/>
  <c r="AP1040" i="9"/>
  <c r="AP1028" i="9"/>
  <c r="AP1016" i="9"/>
  <c r="AP1004" i="9"/>
  <c r="AP992" i="9"/>
  <c r="AP980" i="9"/>
  <c r="AP968" i="9"/>
  <c r="AP956" i="9"/>
  <c r="AP944" i="9"/>
  <c r="AP932" i="9"/>
  <c r="AP920" i="9"/>
  <c r="AP908" i="9"/>
  <c r="AP896" i="9"/>
  <c r="AP884" i="9"/>
  <c r="AP872" i="9"/>
  <c r="AP860" i="9"/>
  <c r="AP848" i="9"/>
  <c r="AP836" i="9"/>
  <c r="AP824" i="9"/>
  <c r="AP811" i="9"/>
  <c r="AP799" i="9"/>
  <c r="AP787" i="9"/>
  <c r="AP775" i="9"/>
  <c r="AP763" i="9"/>
  <c r="AP751" i="9"/>
  <c r="AP739" i="9"/>
  <c r="AP727" i="9"/>
  <c r="AP715" i="9"/>
  <c r="AP703" i="9"/>
  <c r="AP691" i="9"/>
  <c r="AP679" i="9"/>
  <c r="AP667" i="9"/>
  <c r="AP655" i="9"/>
  <c r="AP643" i="9"/>
  <c r="AP631" i="9"/>
  <c r="AP619" i="9"/>
  <c r="AP607" i="9"/>
  <c r="AP595" i="9"/>
  <c r="AP583" i="9"/>
  <c r="AP571" i="9"/>
  <c r="AP559" i="9"/>
  <c r="AP547" i="9"/>
  <c r="AP535" i="9"/>
  <c r="AP523" i="9"/>
  <c r="AP511" i="9"/>
  <c r="AP499" i="9"/>
  <c r="AP487" i="9"/>
  <c r="AP475" i="9"/>
  <c r="AP463" i="9"/>
  <c r="AP451" i="9"/>
  <c r="AP439" i="9"/>
  <c r="AP427" i="9"/>
  <c r="AP415" i="9"/>
  <c r="AP403" i="9"/>
  <c r="AP391" i="9"/>
  <c r="AP379" i="9"/>
  <c r="AP367" i="9"/>
  <c r="AP355" i="9"/>
  <c r="AP343" i="9"/>
  <c r="AP331" i="9"/>
  <c r="AP319" i="9"/>
  <c r="AP307" i="9"/>
  <c r="AP295" i="9"/>
  <c r="AP283" i="9"/>
  <c r="AP271" i="9"/>
  <c r="AP686" i="9"/>
  <c r="AP542" i="9"/>
  <c r="AP398" i="9"/>
  <c r="AP254" i="9"/>
  <c r="AP110" i="9"/>
  <c r="AR1044" i="9"/>
  <c r="AP249" i="9"/>
  <c r="AP177" i="9"/>
  <c r="AP165" i="9"/>
  <c r="AP93" i="9"/>
  <c r="AP81" i="9"/>
  <c r="AP9" i="9"/>
  <c r="AP979" i="9"/>
  <c r="AP983" i="9"/>
  <c r="AP931" i="9"/>
  <c r="AP935" i="9"/>
  <c r="AP871" i="9"/>
  <c r="AP875" i="9"/>
  <c r="AP823" i="9"/>
  <c r="AP827" i="9"/>
  <c r="AP779" i="9"/>
  <c r="AP611" i="9"/>
  <c r="AP247" i="9"/>
  <c r="AP175" i="9"/>
  <c r="AP127" i="9"/>
  <c r="AP115" i="9"/>
  <c r="AP67" i="9"/>
  <c r="AP55" i="9"/>
  <c r="AP43" i="9"/>
  <c r="AP31" i="9"/>
  <c r="AP19" i="9"/>
  <c r="AP267" i="9"/>
  <c r="AP962" i="9"/>
  <c r="AP818" i="9"/>
  <c r="AP674" i="9"/>
  <c r="AP530" i="9"/>
  <c r="AP386" i="9"/>
  <c r="AP242" i="9"/>
  <c r="AP225" i="9"/>
  <c r="AP105" i="9"/>
  <c r="AP45" i="9"/>
  <c r="AP1027" i="9"/>
  <c r="AP1031" i="9"/>
  <c r="AP943" i="9"/>
  <c r="AP947" i="9"/>
  <c r="AP835" i="9"/>
  <c r="AP839" i="9"/>
  <c r="AP575" i="9"/>
  <c r="AP235" i="9"/>
  <c r="AP199" i="9"/>
  <c r="AP163" i="9"/>
  <c r="AP91" i="9"/>
  <c r="AP246" i="9"/>
  <c r="AP198" i="9"/>
  <c r="AP150" i="9"/>
  <c r="AP114" i="9"/>
  <c r="AP78" i="9"/>
  <c r="AP30" i="9"/>
  <c r="AP806" i="9"/>
  <c r="AP518" i="9"/>
  <c r="AP374" i="9"/>
  <c r="AP230" i="9"/>
  <c r="AP201" i="9"/>
  <c r="AP129" i="9"/>
  <c r="AP57" i="9"/>
  <c r="AP1015" i="9"/>
  <c r="AP1019" i="9"/>
  <c r="AP895" i="9"/>
  <c r="AP899" i="9"/>
  <c r="AP223" i="9"/>
  <c r="AP187" i="9"/>
  <c r="AP139" i="9"/>
  <c r="AP103" i="9"/>
  <c r="AP258" i="9"/>
  <c r="AP222" i="9"/>
  <c r="AP186" i="9"/>
  <c r="AP162" i="9"/>
  <c r="AP126" i="9"/>
  <c r="AP90" i="9"/>
  <c r="AP54" i="9"/>
  <c r="AP18" i="9"/>
  <c r="AP86" i="9"/>
  <c r="AP257" i="9"/>
  <c r="AP245" i="9"/>
  <c r="AP233" i="9"/>
  <c r="AP221" i="9"/>
  <c r="AP209" i="9"/>
  <c r="AP197" i="9"/>
  <c r="AP185" i="9"/>
  <c r="AP173" i="9"/>
  <c r="AP161" i="9"/>
  <c r="AP149" i="9"/>
  <c r="AP137" i="9"/>
  <c r="AP125" i="9"/>
  <c r="AP113" i="9"/>
  <c r="AP101" i="9"/>
  <c r="AP89" i="9"/>
  <c r="AP77" i="9"/>
  <c r="AP65" i="9"/>
  <c r="AP53" i="9"/>
  <c r="AP41" i="9"/>
  <c r="AP29" i="9"/>
  <c r="AP17" i="9"/>
  <c r="AP265" i="9"/>
  <c r="AP938" i="9"/>
  <c r="AP794" i="9"/>
  <c r="AP650" i="9"/>
  <c r="AP506" i="9"/>
  <c r="AP362" i="9"/>
  <c r="AP218" i="9"/>
  <c r="AP74" i="9"/>
  <c r="AP213" i="9"/>
  <c r="AP153" i="9"/>
  <c r="AP33" i="9"/>
  <c r="AP1003" i="9"/>
  <c r="AP1007" i="9"/>
  <c r="AP955" i="9"/>
  <c r="AP959" i="9"/>
  <c r="AP883" i="9"/>
  <c r="AP887" i="9"/>
  <c r="AP847" i="9"/>
  <c r="AP851" i="9"/>
  <c r="AP767" i="9"/>
  <c r="AP587" i="9"/>
  <c r="AP259" i="9"/>
  <c r="AP211" i="9"/>
  <c r="AP151" i="9"/>
  <c r="AP79" i="9"/>
  <c r="AP234" i="9"/>
  <c r="AP210" i="9"/>
  <c r="AP174" i="9"/>
  <c r="AP138" i="9"/>
  <c r="AP102" i="9"/>
  <c r="AP66" i="9"/>
  <c r="AP42" i="9"/>
  <c r="AP662" i="9"/>
  <c r="AP256" i="9"/>
  <c r="AP244" i="9"/>
  <c r="AP232" i="9"/>
  <c r="AP220" i="9"/>
  <c r="AP208" i="9"/>
  <c r="AP196" i="9"/>
  <c r="AP184" i="9"/>
  <c r="AP172" i="9"/>
  <c r="AP160" i="9"/>
  <c r="AP148" i="9"/>
  <c r="AP136" i="9"/>
  <c r="AP124" i="9"/>
  <c r="AP112" i="9"/>
  <c r="AP100" i="9"/>
  <c r="AP88" i="9"/>
  <c r="AP76" i="9"/>
  <c r="AP64" i="9"/>
  <c r="AP52" i="9"/>
  <c r="AP40" i="9"/>
  <c r="AP28" i="9"/>
  <c r="AP16" i="9"/>
  <c r="AP1038" i="9"/>
  <c r="AP1026" i="9"/>
  <c r="AP1014" i="9"/>
  <c r="AP1002" i="9"/>
  <c r="AP990" i="9"/>
  <c r="AP978" i="9"/>
  <c r="AP966" i="9"/>
  <c r="AP954" i="9"/>
  <c r="AP942" i="9"/>
  <c r="AP930" i="9"/>
  <c r="AP918" i="9"/>
  <c r="AP906" i="9"/>
  <c r="AP894" i="9"/>
  <c r="AP882" i="9"/>
  <c r="AP870" i="9"/>
  <c r="AP858" i="9"/>
  <c r="AP846" i="9"/>
  <c r="AP834" i="9"/>
  <c r="AP822" i="9"/>
  <c r="AP810" i="9"/>
  <c r="AP798" i="9"/>
  <c r="AP786" i="9"/>
  <c r="AP774" i="9"/>
  <c r="AP762" i="9"/>
  <c r="AP750" i="9"/>
  <c r="AP738" i="9"/>
  <c r="AP726" i="9"/>
  <c r="AP714" i="9"/>
  <c r="AP702" i="9"/>
  <c r="AP690" i="9"/>
  <c r="AP678" i="9"/>
  <c r="AP666" i="9"/>
  <c r="AP654" i="9"/>
  <c r="AP642" i="9"/>
  <c r="AP630" i="9"/>
  <c r="AP618" i="9"/>
  <c r="AP606" i="9"/>
  <c r="AP594" i="9"/>
  <c r="AP582" i="9"/>
  <c r="AP570" i="9"/>
  <c r="AP558" i="9"/>
  <c r="AP546" i="9"/>
  <c r="AP534" i="9"/>
  <c r="AP522" i="9"/>
  <c r="AP510" i="9"/>
  <c r="AP498" i="9"/>
  <c r="AP486" i="9"/>
  <c r="AP474" i="9"/>
  <c r="AP462" i="9"/>
  <c r="AP450" i="9"/>
  <c r="AP438" i="9"/>
  <c r="AP426" i="9"/>
  <c r="AP414" i="9"/>
  <c r="AP402" i="9"/>
  <c r="AP390" i="9"/>
  <c r="AP378" i="9"/>
  <c r="AP366" i="9"/>
  <c r="AP354" i="9"/>
  <c r="AP342" i="9"/>
  <c r="AP330" i="9"/>
  <c r="AP318" i="9"/>
  <c r="AP306" i="9"/>
  <c r="AP294" i="9"/>
  <c r="AP282" i="9"/>
  <c r="AP270" i="9"/>
  <c r="AP926" i="9"/>
  <c r="AP782" i="9"/>
  <c r="AP638" i="9"/>
  <c r="AP494" i="9"/>
  <c r="AP350" i="9"/>
  <c r="AP206" i="9"/>
  <c r="AP62" i="9"/>
  <c r="AP1042" i="9"/>
  <c r="AP1030" i="9"/>
  <c r="AP1018" i="9"/>
  <c r="AP1006" i="9"/>
  <c r="AP994" i="9"/>
  <c r="AP982" i="9"/>
  <c r="AP970" i="9"/>
  <c r="AP958" i="9"/>
  <c r="AP946" i="9"/>
  <c r="AP934" i="9"/>
  <c r="AP922" i="9"/>
  <c r="AP910" i="9"/>
  <c r="AP898" i="9"/>
  <c r="AP886" i="9"/>
  <c r="AP874" i="9"/>
  <c r="AP862" i="9"/>
  <c r="AP850" i="9"/>
  <c r="AP838" i="9"/>
  <c r="AP826" i="9"/>
  <c r="AP814" i="9"/>
  <c r="AP802" i="9"/>
  <c r="AP790" i="9"/>
  <c r="AP778" i="9"/>
  <c r="AP766" i="9"/>
  <c r="AP754" i="9"/>
  <c r="AP742" i="9"/>
  <c r="AP730" i="9"/>
  <c r="AP718" i="9"/>
  <c r="AP706" i="9"/>
  <c r="AP694" i="9"/>
  <c r="AP682" i="9"/>
  <c r="AP670" i="9"/>
  <c r="AP658" i="9"/>
  <c r="AP646" i="9"/>
  <c r="AP634" i="9"/>
  <c r="AP622" i="9"/>
  <c r="AP610" i="9"/>
  <c r="AP598" i="9"/>
  <c r="AP586" i="9"/>
  <c r="AP574" i="9"/>
  <c r="AP562" i="9"/>
  <c r="AP550" i="9"/>
  <c r="AP538" i="9"/>
  <c r="AP526" i="9"/>
  <c r="AP514" i="9"/>
  <c r="AP502" i="9"/>
  <c r="AP490" i="9"/>
  <c r="AP478" i="9"/>
  <c r="AP466" i="9"/>
  <c r="AP454" i="9"/>
  <c r="AP442" i="9"/>
  <c r="AP430" i="9"/>
  <c r="AP418" i="9"/>
  <c r="AP406" i="9"/>
  <c r="AP394" i="9"/>
  <c r="AP382" i="9"/>
  <c r="AP370" i="9"/>
  <c r="AP358" i="9"/>
  <c r="AP346" i="9"/>
  <c r="AP334" i="9"/>
  <c r="AP322" i="9"/>
  <c r="AP310" i="9"/>
  <c r="AP298" i="9"/>
  <c r="AP286" i="9"/>
  <c r="AP274" i="9"/>
  <c r="AP1041" i="9"/>
  <c r="AP1029" i="9"/>
  <c r="AP1017" i="9"/>
  <c r="AP1005" i="9"/>
  <c r="AP993" i="9"/>
  <c r="AP981" i="9"/>
  <c r="AP969" i="9"/>
  <c r="AP957" i="9"/>
  <c r="AP945" i="9"/>
  <c r="AP933" i="9"/>
  <c r="AP921" i="9"/>
  <c r="AP909" i="9"/>
  <c r="AP897" i="9"/>
  <c r="AP885" i="9"/>
  <c r="AP873" i="9"/>
  <c r="AP861" i="9"/>
  <c r="AP849" i="9"/>
  <c r="AP837" i="9"/>
  <c r="AP825" i="9"/>
  <c r="AP813" i="9"/>
  <c r="AP801" i="9"/>
  <c r="AP789" i="9"/>
  <c r="AP777" i="9"/>
  <c r="AP765" i="9"/>
  <c r="AP753" i="9"/>
  <c r="AP741" i="9"/>
  <c r="AP729" i="9"/>
  <c r="AP717" i="9"/>
  <c r="AP705" i="9"/>
  <c r="AP693" i="9"/>
  <c r="AP681" i="9"/>
  <c r="AP669" i="9"/>
  <c r="AP657" i="9"/>
  <c r="AP645" i="9"/>
  <c r="AP633" i="9"/>
  <c r="AP621" i="9"/>
  <c r="AP609" i="9"/>
  <c r="AP597" i="9"/>
  <c r="AP585" i="9"/>
  <c r="AP573" i="9"/>
  <c r="AP561" i="9"/>
  <c r="AP549" i="9"/>
  <c r="AP537" i="9"/>
  <c r="AP525" i="9"/>
  <c r="AP513" i="9"/>
  <c r="AP501" i="9"/>
  <c r="AP489" i="9"/>
  <c r="AP477" i="9"/>
  <c r="AP465" i="9"/>
  <c r="AP453" i="9"/>
  <c r="AP441" i="9"/>
  <c r="AP429" i="9"/>
  <c r="AP417" i="9"/>
  <c r="AP405" i="9"/>
  <c r="AP393" i="9"/>
  <c r="AP381" i="9"/>
  <c r="AP369" i="9"/>
  <c r="AP357" i="9"/>
  <c r="AP345" i="9"/>
  <c r="AP333" i="9"/>
  <c r="AP321" i="9"/>
  <c r="AT305" i="9" s="1"/>
  <c r="AP309" i="9"/>
  <c r="AP297" i="9"/>
  <c r="AP285" i="9"/>
  <c r="AP273" i="9"/>
  <c r="AP812" i="9"/>
  <c r="AP800" i="9"/>
  <c r="AP788" i="9"/>
  <c r="AP776" i="9"/>
  <c r="AP764" i="9"/>
  <c r="AP752" i="9"/>
  <c r="AP740" i="9"/>
  <c r="AP728" i="9"/>
  <c r="AP716" i="9"/>
  <c r="AP704" i="9"/>
  <c r="AP692" i="9"/>
  <c r="AP680" i="9"/>
  <c r="AP668" i="9"/>
  <c r="AP656" i="9"/>
  <c r="AP644" i="9"/>
  <c r="AP632" i="9"/>
  <c r="AP620" i="9"/>
  <c r="AP608" i="9"/>
  <c r="AP596" i="9"/>
  <c r="AP584" i="9"/>
  <c r="AP572" i="9"/>
  <c r="AP560" i="9"/>
  <c r="AP548" i="9"/>
  <c r="AP536" i="9"/>
  <c r="AP524" i="9"/>
  <c r="AP512" i="9"/>
  <c r="AP500" i="9"/>
  <c r="AP488" i="9"/>
  <c r="AP476" i="9"/>
  <c r="AP464" i="9"/>
  <c r="AP452" i="9"/>
  <c r="AP440" i="9"/>
  <c r="AP428" i="9"/>
  <c r="AP416" i="9"/>
  <c r="AP404" i="9"/>
  <c r="AP392" i="9"/>
  <c r="AP380" i="9"/>
  <c r="AP368" i="9"/>
  <c r="AP356" i="9"/>
  <c r="AP344" i="9"/>
  <c r="AP332" i="9"/>
  <c r="AP320" i="9"/>
  <c r="AP308" i="9"/>
  <c r="AP296" i="9"/>
  <c r="AP284" i="9"/>
  <c r="AP272" i="9"/>
  <c r="AN4" i="5"/>
  <c r="I43" i="1" s="1"/>
  <c r="AN5" i="5"/>
  <c r="AO5" i="5"/>
  <c r="AP5" i="5"/>
  <c r="AN6" i="5"/>
  <c r="AO6" i="5"/>
  <c r="AP6" i="5"/>
  <c r="AN7" i="5"/>
  <c r="AO7" i="5"/>
  <c r="AP7" i="5"/>
  <c r="AN8" i="5"/>
  <c r="AO8" i="5"/>
  <c r="AP8" i="5"/>
  <c r="AN9" i="5"/>
  <c r="AO9" i="5"/>
  <c r="AP9" i="5"/>
  <c r="AN10" i="5"/>
  <c r="AO10" i="5"/>
  <c r="AP10" i="5"/>
  <c r="AN11" i="5"/>
  <c r="AO11" i="5"/>
  <c r="AP11" i="5"/>
  <c r="AN12" i="5"/>
  <c r="AO12" i="5"/>
  <c r="AP12" i="5"/>
  <c r="AN13" i="5"/>
  <c r="AO13" i="5"/>
  <c r="AP13" i="5"/>
  <c r="AN14" i="5"/>
  <c r="AO14" i="5"/>
  <c r="AP14" i="5"/>
  <c r="AN15" i="5"/>
  <c r="AO15" i="5"/>
  <c r="AP15" i="5"/>
  <c r="AN16" i="5"/>
  <c r="AO16" i="5"/>
  <c r="AP16" i="5"/>
  <c r="AN17" i="5"/>
  <c r="AO17" i="5"/>
  <c r="AP17" i="5"/>
  <c r="AN18" i="5"/>
  <c r="AO18" i="5"/>
  <c r="AP18" i="5"/>
  <c r="AN19" i="5"/>
  <c r="AO19" i="5"/>
  <c r="AP19" i="5"/>
  <c r="AN20" i="5"/>
  <c r="AO20" i="5"/>
  <c r="AP20" i="5"/>
  <c r="AN21" i="5"/>
  <c r="AO21" i="5"/>
  <c r="AP21" i="5"/>
  <c r="AN22" i="5"/>
  <c r="AO22" i="5"/>
  <c r="AP22" i="5"/>
  <c r="AN23" i="5"/>
  <c r="AO23" i="5"/>
  <c r="AP23" i="5"/>
  <c r="AN24" i="5"/>
  <c r="AO24" i="5"/>
  <c r="AP24" i="5"/>
  <c r="AN25" i="5"/>
  <c r="AO25" i="5"/>
  <c r="AP25" i="5"/>
  <c r="AN26" i="5"/>
  <c r="AO26" i="5"/>
  <c r="AP26" i="5"/>
  <c r="AN27" i="5"/>
  <c r="AO27" i="5"/>
  <c r="AP27" i="5"/>
  <c r="AN28" i="5"/>
  <c r="AO28" i="5"/>
  <c r="AP28" i="5"/>
  <c r="AN29" i="5"/>
  <c r="AO29" i="5"/>
  <c r="AP29" i="5"/>
  <c r="AN30" i="5"/>
  <c r="AO30" i="5"/>
  <c r="AP30" i="5"/>
  <c r="AN31" i="5"/>
  <c r="AO31" i="5"/>
  <c r="AP31" i="5"/>
  <c r="AN32" i="5"/>
  <c r="AO32" i="5"/>
  <c r="AP32" i="5"/>
  <c r="AN33" i="5"/>
  <c r="AO33" i="5"/>
  <c r="AP33" i="5"/>
  <c r="AN34" i="5"/>
  <c r="AO34" i="5"/>
  <c r="AP34" i="5"/>
  <c r="AN35" i="5"/>
  <c r="AO35" i="5"/>
  <c r="AP35" i="5"/>
  <c r="AN36" i="5"/>
  <c r="AO36" i="5"/>
  <c r="AP36" i="5"/>
  <c r="AN37" i="5"/>
  <c r="AO37" i="5"/>
  <c r="AP37" i="5"/>
  <c r="AN38" i="5"/>
  <c r="AO38" i="5"/>
  <c r="AP38" i="5"/>
  <c r="AN39" i="5"/>
  <c r="AO39" i="5"/>
  <c r="AP39" i="5"/>
  <c r="AN40" i="5"/>
  <c r="AO40" i="5"/>
  <c r="AP40" i="5"/>
  <c r="AN41" i="5"/>
  <c r="AO41" i="5"/>
  <c r="AP41" i="5"/>
  <c r="AN42" i="5"/>
  <c r="AO42" i="5"/>
  <c r="AP42" i="5"/>
  <c r="AN43" i="5"/>
  <c r="AO43" i="5"/>
  <c r="AP43" i="5"/>
  <c r="AN44" i="5"/>
  <c r="AO44" i="5"/>
  <c r="AP44" i="5"/>
  <c r="AN45" i="5"/>
  <c r="AO45" i="5"/>
  <c r="AP45" i="5"/>
  <c r="AN46" i="5"/>
  <c r="AO46" i="5"/>
  <c r="AP46" i="5"/>
  <c r="AN47" i="5"/>
  <c r="AO47" i="5"/>
  <c r="AP47" i="5"/>
  <c r="AN48" i="5"/>
  <c r="AO48" i="5"/>
  <c r="AP48" i="5"/>
  <c r="AN49" i="5"/>
  <c r="AO49" i="5"/>
  <c r="AP49" i="5"/>
  <c r="AN50" i="5"/>
  <c r="AO50" i="5"/>
  <c r="AP50" i="5"/>
  <c r="AN51" i="5"/>
  <c r="AO51" i="5"/>
  <c r="AP51" i="5"/>
  <c r="AN52" i="5"/>
  <c r="AO52" i="5"/>
  <c r="AP52" i="5"/>
  <c r="AN53" i="5"/>
  <c r="AO53" i="5"/>
  <c r="AP53" i="5"/>
  <c r="AN54" i="5"/>
  <c r="AO54" i="5"/>
  <c r="AP54" i="5"/>
  <c r="AN55" i="5"/>
  <c r="AO55" i="5"/>
  <c r="AP55" i="5"/>
  <c r="AN56" i="5"/>
  <c r="AO56" i="5"/>
  <c r="AP56" i="5"/>
  <c r="AN57" i="5"/>
  <c r="AO57" i="5"/>
  <c r="AP57" i="5"/>
  <c r="AN58" i="5"/>
  <c r="AO58" i="5"/>
  <c r="AP58" i="5"/>
  <c r="AN59" i="5"/>
  <c r="AO59" i="5"/>
  <c r="AP59" i="5"/>
  <c r="AN60" i="5"/>
  <c r="AO60" i="5"/>
  <c r="AP60" i="5"/>
  <c r="AN61" i="5"/>
  <c r="AO61" i="5"/>
  <c r="AP61" i="5"/>
  <c r="AN62" i="5"/>
  <c r="AO62" i="5"/>
  <c r="AP62" i="5"/>
  <c r="AN63" i="5"/>
  <c r="AO63" i="5"/>
  <c r="AP63" i="5"/>
  <c r="AN64" i="5"/>
  <c r="AO64" i="5"/>
  <c r="AP64" i="5"/>
  <c r="AN65" i="5"/>
  <c r="AO65" i="5"/>
  <c r="AP65" i="5"/>
  <c r="AN66" i="5"/>
  <c r="AO66" i="5"/>
  <c r="AP66" i="5"/>
  <c r="AN67" i="5"/>
  <c r="AO67" i="5"/>
  <c r="AP67" i="5"/>
  <c r="AN68" i="5"/>
  <c r="AO68" i="5"/>
  <c r="AP68" i="5"/>
  <c r="AN69" i="5"/>
  <c r="AO69" i="5"/>
  <c r="AP69" i="5"/>
  <c r="AN70" i="5"/>
  <c r="AO70" i="5"/>
  <c r="AP70" i="5"/>
  <c r="AN71" i="5"/>
  <c r="AO71" i="5"/>
  <c r="AP71" i="5"/>
  <c r="AN72" i="5"/>
  <c r="AO72" i="5"/>
  <c r="AP72" i="5"/>
  <c r="AN73" i="5"/>
  <c r="AO73" i="5"/>
  <c r="AP73" i="5"/>
  <c r="AN74" i="5"/>
  <c r="AO74" i="5"/>
  <c r="AP74" i="5"/>
  <c r="AN75" i="5"/>
  <c r="AO75" i="5"/>
  <c r="AP75" i="5"/>
  <c r="AN76" i="5"/>
  <c r="AO76" i="5"/>
  <c r="AP76" i="5"/>
  <c r="AN77" i="5"/>
  <c r="AO77" i="5"/>
  <c r="AP77" i="5"/>
  <c r="AN78" i="5"/>
  <c r="AO78" i="5"/>
  <c r="AP78" i="5"/>
  <c r="AN79" i="5"/>
  <c r="AO79" i="5"/>
  <c r="AP79" i="5"/>
  <c r="AN80" i="5"/>
  <c r="AO80" i="5"/>
  <c r="AP80" i="5"/>
  <c r="AN81" i="5"/>
  <c r="AO81" i="5"/>
  <c r="AP81" i="5"/>
  <c r="AN82" i="5"/>
  <c r="AO82" i="5"/>
  <c r="AP82" i="5"/>
  <c r="AN83" i="5"/>
  <c r="AO83" i="5"/>
  <c r="AP83" i="5"/>
  <c r="AN84" i="5"/>
  <c r="AO84" i="5"/>
  <c r="AP84" i="5"/>
  <c r="AN85" i="5"/>
  <c r="AO85" i="5"/>
  <c r="AP85" i="5"/>
  <c r="AN86" i="5"/>
  <c r="AO86" i="5"/>
  <c r="AP86" i="5"/>
  <c r="AN87" i="5"/>
  <c r="AO87" i="5"/>
  <c r="AP87" i="5"/>
  <c r="AN88" i="5"/>
  <c r="AO88" i="5"/>
  <c r="AP88" i="5"/>
  <c r="AN89" i="5"/>
  <c r="AO89" i="5"/>
  <c r="AP89" i="5"/>
  <c r="AN90" i="5"/>
  <c r="AO90" i="5"/>
  <c r="AP90" i="5"/>
  <c r="AN91" i="5"/>
  <c r="AO91" i="5"/>
  <c r="AP91" i="5"/>
  <c r="AN92" i="5"/>
  <c r="AO92" i="5"/>
  <c r="AP92" i="5"/>
  <c r="AN93" i="5"/>
  <c r="AO93" i="5"/>
  <c r="AP93" i="5"/>
  <c r="AN94" i="5"/>
  <c r="AO94" i="5"/>
  <c r="AP94" i="5"/>
  <c r="AN95" i="5"/>
  <c r="AO95" i="5"/>
  <c r="AP95" i="5"/>
  <c r="AN96" i="5"/>
  <c r="AO96" i="5"/>
  <c r="AP96" i="5"/>
  <c r="AN97" i="5"/>
  <c r="AO97" i="5"/>
  <c r="AP97" i="5"/>
  <c r="AN98" i="5"/>
  <c r="AO98" i="5"/>
  <c r="AP98" i="5"/>
  <c r="AN99" i="5"/>
  <c r="AO99" i="5"/>
  <c r="AP99" i="5"/>
  <c r="AN100" i="5"/>
  <c r="AO100" i="5"/>
  <c r="AP100" i="5"/>
  <c r="AN101" i="5"/>
  <c r="AO101" i="5"/>
  <c r="AP101" i="5"/>
  <c r="AN102" i="5"/>
  <c r="AO102" i="5"/>
  <c r="AP102" i="5"/>
  <c r="AN103" i="5"/>
  <c r="AO103" i="5"/>
  <c r="AP103" i="5"/>
  <c r="AN104" i="5"/>
  <c r="AO104" i="5"/>
  <c r="AP104" i="5"/>
  <c r="AN105" i="5"/>
  <c r="AO105" i="5"/>
  <c r="AP105" i="5"/>
  <c r="AN106" i="5"/>
  <c r="AO106" i="5"/>
  <c r="AP106" i="5"/>
  <c r="AN107" i="5"/>
  <c r="AO107" i="5"/>
  <c r="AP107" i="5"/>
  <c r="AN108" i="5"/>
  <c r="AO108" i="5"/>
  <c r="AP108" i="5"/>
  <c r="AN109" i="5"/>
  <c r="AO109" i="5"/>
  <c r="AP109" i="5"/>
  <c r="AN110" i="5"/>
  <c r="AO110" i="5"/>
  <c r="AP110" i="5"/>
  <c r="AN111" i="5"/>
  <c r="AO111" i="5"/>
  <c r="AP111" i="5"/>
  <c r="AN112" i="5"/>
  <c r="AO112" i="5"/>
  <c r="AP112" i="5"/>
  <c r="AN113" i="5"/>
  <c r="AO113" i="5"/>
  <c r="AP113" i="5"/>
  <c r="AN114" i="5"/>
  <c r="AO114" i="5"/>
  <c r="AP114" i="5"/>
  <c r="AN115" i="5"/>
  <c r="AO115" i="5"/>
  <c r="AP115" i="5"/>
  <c r="AN116" i="5"/>
  <c r="AO116" i="5"/>
  <c r="AP116" i="5"/>
  <c r="AN117" i="5"/>
  <c r="AO117" i="5"/>
  <c r="AP117" i="5"/>
  <c r="AN118" i="5"/>
  <c r="AO118" i="5"/>
  <c r="AP118" i="5"/>
  <c r="AN119" i="5"/>
  <c r="AO119" i="5"/>
  <c r="AP119" i="5"/>
  <c r="AN120" i="5"/>
  <c r="AO120" i="5"/>
  <c r="AP120" i="5"/>
  <c r="AN121" i="5"/>
  <c r="AO121" i="5"/>
  <c r="AP121" i="5"/>
  <c r="AN122" i="5"/>
  <c r="AO122" i="5"/>
  <c r="AP122" i="5"/>
  <c r="AN123" i="5"/>
  <c r="AO123" i="5"/>
  <c r="AP123" i="5"/>
  <c r="AN124" i="5"/>
  <c r="AO124" i="5"/>
  <c r="AP124" i="5"/>
  <c r="AN125" i="5"/>
  <c r="AO125" i="5"/>
  <c r="AP125" i="5"/>
  <c r="AN126" i="5"/>
  <c r="AO126" i="5"/>
  <c r="AP126" i="5"/>
  <c r="AN127" i="5"/>
  <c r="AO127" i="5"/>
  <c r="AP127" i="5"/>
  <c r="AN128" i="5"/>
  <c r="AO128" i="5"/>
  <c r="AP128" i="5"/>
  <c r="AN129" i="5"/>
  <c r="AO129" i="5"/>
  <c r="AP129" i="5"/>
  <c r="AN130" i="5"/>
  <c r="AO130" i="5"/>
  <c r="AP130" i="5"/>
  <c r="AN131" i="5"/>
  <c r="AO131" i="5"/>
  <c r="AP131" i="5"/>
  <c r="AN132" i="5"/>
  <c r="AO132" i="5"/>
  <c r="AP132" i="5"/>
  <c r="AN133" i="5"/>
  <c r="AO133" i="5"/>
  <c r="AP133" i="5"/>
  <c r="AN134" i="5"/>
  <c r="AO134" i="5"/>
  <c r="AP134" i="5"/>
  <c r="AN135" i="5"/>
  <c r="AO135" i="5"/>
  <c r="AP135" i="5"/>
  <c r="AN136" i="5"/>
  <c r="AO136" i="5"/>
  <c r="AP136" i="5"/>
  <c r="AN137" i="5"/>
  <c r="AO137" i="5"/>
  <c r="AP137" i="5"/>
  <c r="AN138" i="5"/>
  <c r="AO138" i="5"/>
  <c r="AP138" i="5"/>
  <c r="AN139" i="5"/>
  <c r="AO139" i="5"/>
  <c r="AP139" i="5"/>
  <c r="AN140" i="5"/>
  <c r="AO140" i="5"/>
  <c r="AP140" i="5"/>
  <c r="AN141" i="5"/>
  <c r="AO141" i="5"/>
  <c r="AP141" i="5"/>
  <c r="AN142" i="5"/>
  <c r="AO142" i="5"/>
  <c r="AP142" i="5"/>
  <c r="AN143" i="5"/>
  <c r="AO143" i="5"/>
  <c r="AP143" i="5"/>
  <c r="AN144" i="5"/>
  <c r="AO144" i="5"/>
  <c r="AP144" i="5"/>
  <c r="AN145" i="5"/>
  <c r="AO145" i="5"/>
  <c r="AP145" i="5"/>
  <c r="AN146" i="5"/>
  <c r="AO146" i="5"/>
  <c r="AP146" i="5"/>
  <c r="AN147" i="5"/>
  <c r="AO147" i="5"/>
  <c r="AP147" i="5"/>
  <c r="AN148" i="5"/>
  <c r="AO148" i="5"/>
  <c r="AP148" i="5"/>
  <c r="AN149" i="5"/>
  <c r="AO149" i="5"/>
  <c r="AP149" i="5"/>
  <c r="AN150" i="5"/>
  <c r="AO150" i="5"/>
  <c r="AP150" i="5"/>
  <c r="AN151" i="5"/>
  <c r="AO151" i="5"/>
  <c r="AP151" i="5"/>
  <c r="AN152" i="5"/>
  <c r="AO152" i="5"/>
  <c r="AP152" i="5"/>
  <c r="AN153" i="5"/>
  <c r="AO153" i="5"/>
  <c r="AP153" i="5"/>
  <c r="AN154" i="5"/>
  <c r="AO154" i="5"/>
  <c r="AP154" i="5"/>
  <c r="AN155" i="5"/>
  <c r="AO155" i="5"/>
  <c r="AP155" i="5"/>
  <c r="AN156" i="5"/>
  <c r="AO156" i="5"/>
  <c r="AP156" i="5"/>
  <c r="AN157" i="5"/>
  <c r="AO157" i="5"/>
  <c r="AP157" i="5"/>
  <c r="AN158" i="5"/>
  <c r="AO158" i="5"/>
  <c r="AP158" i="5"/>
  <c r="AN159" i="5"/>
  <c r="AO159" i="5"/>
  <c r="AP159" i="5"/>
  <c r="AN160" i="5"/>
  <c r="AO160" i="5"/>
  <c r="AP160" i="5"/>
  <c r="AN161" i="5"/>
  <c r="AO161" i="5"/>
  <c r="AP161" i="5"/>
  <c r="AN162" i="5"/>
  <c r="AO162" i="5"/>
  <c r="AP162" i="5"/>
  <c r="AN163" i="5"/>
  <c r="AO163" i="5"/>
  <c r="AP163" i="5"/>
  <c r="AN164" i="5"/>
  <c r="AO164" i="5"/>
  <c r="AP164" i="5"/>
  <c r="AN165" i="5"/>
  <c r="AO165" i="5"/>
  <c r="AP165" i="5"/>
  <c r="AN166" i="5"/>
  <c r="AO166" i="5"/>
  <c r="AP166" i="5"/>
  <c r="AN167" i="5"/>
  <c r="AO167" i="5"/>
  <c r="AP167" i="5"/>
  <c r="AN168" i="5"/>
  <c r="AO168" i="5"/>
  <c r="AP168" i="5"/>
  <c r="AN169" i="5"/>
  <c r="AO169" i="5"/>
  <c r="AP169" i="5"/>
  <c r="AN170" i="5"/>
  <c r="AO170" i="5"/>
  <c r="AP170" i="5"/>
  <c r="AN171" i="5"/>
  <c r="AO171" i="5"/>
  <c r="AP171" i="5"/>
  <c r="AN172" i="5"/>
  <c r="AO172" i="5"/>
  <c r="AP172" i="5"/>
  <c r="AN173" i="5"/>
  <c r="AO173" i="5"/>
  <c r="AP173" i="5"/>
  <c r="AN174" i="5"/>
  <c r="AO174" i="5"/>
  <c r="AP174" i="5"/>
  <c r="AN175" i="5"/>
  <c r="AO175" i="5"/>
  <c r="AP175" i="5"/>
  <c r="AN176" i="5"/>
  <c r="AO176" i="5"/>
  <c r="AP176" i="5"/>
  <c r="AN177" i="5"/>
  <c r="AO177" i="5"/>
  <c r="AP177" i="5"/>
  <c r="AN178" i="5"/>
  <c r="AO178" i="5"/>
  <c r="AP178" i="5"/>
  <c r="AN179" i="5"/>
  <c r="AO179" i="5"/>
  <c r="AP179" i="5"/>
  <c r="AN180" i="5"/>
  <c r="AO180" i="5"/>
  <c r="AP180" i="5"/>
  <c r="AN181" i="5"/>
  <c r="AO181" i="5"/>
  <c r="AP181" i="5"/>
  <c r="AN182" i="5"/>
  <c r="AO182" i="5"/>
  <c r="AP182" i="5"/>
  <c r="AN183" i="5"/>
  <c r="AO183" i="5"/>
  <c r="AP183" i="5"/>
  <c r="AN184" i="5"/>
  <c r="AO184" i="5"/>
  <c r="AP184" i="5"/>
  <c r="AN185" i="5"/>
  <c r="AO185" i="5"/>
  <c r="AP185" i="5"/>
  <c r="AN186" i="5"/>
  <c r="AO186" i="5"/>
  <c r="AP186" i="5"/>
  <c r="AN187" i="5"/>
  <c r="AO187" i="5"/>
  <c r="AP187" i="5"/>
  <c r="AN188" i="5"/>
  <c r="AO188" i="5"/>
  <c r="AP188" i="5"/>
  <c r="AN189" i="5"/>
  <c r="AO189" i="5"/>
  <c r="AP189" i="5"/>
  <c r="AN190" i="5"/>
  <c r="AO190" i="5"/>
  <c r="AP190" i="5"/>
  <c r="AN191" i="5"/>
  <c r="AO191" i="5"/>
  <c r="AP191" i="5"/>
  <c r="AN192" i="5"/>
  <c r="AO192" i="5"/>
  <c r="AP192" i="5"/>
  <c r="AN193" i="5"/>
  <c r="AO193" i="5"/>
  <c r="AP193" i="5"/>
  <c r="AN194" i="5"/>
  <c r="AO194" i="5"/>
  <c r="AP194" i="5"/>
  <c r="AN195" i="5"/>
  <c r="AO195" i="5"/>
  <c r="AP195" i="5"/>
  <c r="AN196" i="5"/>
  <c r="AO196" i="5"/>
  <c r="AP196" i="5"/>
  <c r="AN197" i="5"/>
  <c r="AO197" i="5"/>
  <c r="AP197" i="5"/>
  <c r="AN198" i="5"/>
  <c r="AO198" i="5"/>
  <c r="AP198" i="5"/>
  <c r="AN199" i="5"/>
  <c r="AO199" i="5"/>
  <c r="AP199" i="5"/>
  <c r="AN200" i="5"/>
  <c r="AO200" i="5"/>
  <c r="AP200" i="5"/>
  <c r="AN201" i="5"/>
  <c r="AO201" i="5"/>
  <c r="AP201" i="5"/>
  <c r="AN202" i="5"/>
  <c r="AO202" i="5"/>
  <c r="AP202" i="5"/>
  <c r="AN203" i="5"/>
  <c r="AO203" i="5"/>
  <c r="AP203" i="5"/>
  <c r="AN204" i="5"/>
  <c r="AO204" i="5"/>
  <c r="AP204" i="5"/>
  <c r="AN205" i="5"/>
  <c r="AO205" i="5"/>
  <c r="AP205" i="5"/>
  <c r="AN206" i="5"/>
  <c r="AO206" i="5"/>
  <c r="AP206" i="5"/>
  <c r="AN207" i="5"/>
  <c r="AO207" i="5"/>
  <c r="AP207" i="5"/>
  <c r="AN208" i="5"/>
  <c r="AO208" i="5"/>
  <c r="AP208" i="5"/>
  <c r="AN209" i="5"/>
  <c r="AO209" i="5"/>
  <c r="AP209" i="5"/>
  <c r="AN210" i="5"/>
  <c r="AO210" i="5"/>
  <c r="AP210" i="5"/>
  <c r="AN211" i="5"/>
  <c r="AO211" i="5"/>
  <c r="AP211" i="5"/>
  <c r="AN212" i="5"/>
  <c r="AO212" i="5"/>
  <c r="AP212" i="5"/>
  <c r="AN213" i="5"/>
  <c r="AO213" i="5"/>
  <c r="AP213" i="5"/>
  <c r="AN214" i="5"/>
  <c r="AO214" i="5"/>
  <c r="AP214" i="5"/>
  <c r="AN215" i="5"/>
  <c r="AO215" i="5"/>
  <c r="AP215" i="5"/>
  <c r="AN216" i="5"/>
  <c r="AO216" i="5"/>
  <c r="AP216" i="5"/>
  <c r="AN217" i="5"/>
  <c r="AO217" i="5"/>
  <c r="AP217" i="5"/>
  <c r="AN218" i="5"/>
  <c r="AO218" i="5"/>
  <c r="AP218" i="5"/>
  <c r="AN219" i="5"/>
  <c r="AO219" i="5"/>
  <c r="AP219" i="5"/>
  <c r="AN220" i="5"/>
  <c r="AO220" i="5"/>
  <c r="AP220" i="5"/>
  <c r="AN221" i="5"/>
  <c r="AO221" i="5"/>
  <c r="AP221" i="5"/>
  <c r="AN222" i="5"/>
  <c r="AO222" i="5"/>
  <c r="AP222" i="5"/>
  <c r="AN223" i="5"/>
  <c r="AO223" i="5"/>
  <c r="AP223" i="5"/>
  <c r="AN224" i="5"/>
  <c r="AO224" i="5"/>
  <c r="AP224" i="5"/>
  <c r="AN225" i="5"/>
  <c r="AO225" i="5"/>
  <c r="AP225" i="5"/>
  <c r="AN226" i="5"/>
  <c r="AO226" i="5"/>
  <c r="AP226" i="5"/>
  <c r="AN227" i="5"/>
  <c r="AO227" i="5"/>
  <c r="AP227" i="5"/>
  <c r="AN228" i="5"/>
  <c r="AO228" i="5"/>
  <c r="AP228" i="5"/>
  <c r="AN229" i="5"/>
  <c r="AO229" i="5"/>
  <c r="AP229" i="5"/>
  <c r="AN230" i="5"/>
  <c r="AO230" i="5"/>
  <c r="AP230" i="5"/>
  <c r="AN231" i="5"/>
  <c r="AO231" i="5"/>
  <c r="AP231" i="5"/>
  <c r="AN232" i="5"/>
  <c r="AO232" i="5"/>
  <c r="AP232" i="5"/>
  <c r="AN233" i="5"/>
  <c r="AO233" i="5"/>
  <c r="AP233" i="5"/>
  <c r="AN234" i="5"/>
  <c r="AO234" i="5"/>
  <c r="AP234" i="5"/>
  <c r="AN235" i="5"/>
  <c r="AO235" i="5"/>
  <c r="AP235" i="5"/>
  <c r="AN236" i="5"/>
  <c r="AO236" i="5"/>
  <c r="AP236" i="5"/>
  <c r="AN237" i="5"/>
  <c r="AO237" i="5"/>
  <c r="AP237" i="5"/>
  <c r="AN238" i="5"/>
  <c r="AO238" i="5"/>
  <c r="AP238" i="5"/>
  <c r="AN239" i="5"/>
  <c r="AO239" i="5"/>
  <c r="AP239" i="5"/>
  <c r="AN240" i="5"/>
  <c r="AO240" i="5"/>
  <c r="AP240" i="5"/>
  <c r="AN241" i="5"/>
  <c r="AO241" i="5"/>
  <c r="AP241" i="5"/>
  <c r="AN242" i="5"/>
  <c r="AO242" i="5"/>
  <c r="AP242" i="5"/>
  <c r="AN243" i="5"/>
  <c r="AO243" i="5"/>
  <c r="AP243" i="5"/>
  <c r="AN244" i="5"/>
  <c r="AO244" i="5"/>
  <c r="AP244" i="5"/>
  <c r="AN245" i="5"/>
  <c r="AO245" i="5"/>
  <c r="AP245" i="5"/>
  <c r="AN246" i="5"/>
  <c r="AO246" i="5"/>
  <c r="AP246" i="5"/>
  <c r="AN247" i="5"/>
  <c r="AO247" i="5"/>
  <c r="AP247" i="5"/>
  <c r="AN248" i="5"/>
  <c r="AO248" i="5"/>
  <c r="AP248" i="5"/>
  <c r="AN249" i="5"/>
  <c r="AO249" i="5"/>
  <c r="AP249" i="5"/>
  <c r="AN250" i="5"/>
  <c r="AO250" i="5"/>
  <c r="AP250" i="5"/>
  <c r="AN251" i="5"/>
  <c r="AO251" i="5"/>
  <c r="AP251" i="5"/>
  <c r="AN252" i="5"/>
  <c r="AO252" i="5"/>
  <c r="AP252" i="5"/>
  <c r="AN253" i="5"/>
  <c r="AO253" i="5"/>
  <c r="AP253" i="5"/>
  <c r="AN254" i="5"/>
  <c r="AO254" i="5"/>
  <c r="AP254" i="5"/>
  <c r="AN255" i="5"/>
  <c r="AO255" i="5"/>
  <c r="AP255" i="5"/>
  <c r="AN256" i="5"/>
  <c r="AO256" i="5"/>
  <c r="AP256" i="5"/>
  <c r="AN257" i="5"/>
  <c r="AO257" i="5"/>
  <c r="AP257" i="5"/>
  <c r="AN258" i="5"/>
  <c r="AO258" i="5"/>
  <c r="AP258" i="5"/>
  <c r="AN259" i="5"/>
  <c r="AO259" i="5"/>
  <c r="AP259" i="5"/>
  <c r="AN260" i="5"/>
  <c r="AO260" i="5"/>
  <c r="AP260" i="5"/>
  <c r="AN261" i="5"/>
  <c r="AO261" i="5"/>
  <c r="AP261" i="5"/>
  <c r="AN262" i="5"/>
  <c r="AO262" i="5"/>
  <c r="AP262" i="5"/>
  <c r="AN263" i="5"/>
  <c r="AO263" i="5"/>
  <c r="AP263" i="5"/>
  <c r="AN264" i="5"/>
  <c r="AO264" i="5"/>
  <c r="AP264" i="5"/>
  <c r="AN265" i="5"/>
  <c r="AO265" i="5"/>
  <c r="AP265" i="5"/>
  <c r="AN266" i="5"/>
  <c r="AO266" i="5"/>
  <c r="AP266" i="5"/>
  <c r="AN267" i="5"/>
  <c r="AO267" i="5"/>
  <c r="AP267" i="5"/>
  <c r="AN268" i="5"/>
  <c r="AO268" i="5"/>
  <c r="AP268" i="5"/>
  <c r="AN269" i="5"/>
  <c r="AO269" i="5"/>
  <c r="AP269" i="5"/>
  <c r="AN270" i="5"/>
  <c r="AO270" i="5"/>
  <c r="AP270" i="5"/>
  <c r="AN271" i="5"/>
  <c r="AO271" i="5"/>
  <c r="AP271" i="5"/>
  <c r="AN272" i="5"/>
  <c r="AO272" i="5"/>
  <c r="AP272" i="5"/>
  <c r="AN273" i="5"/>
  <c r="AO273" i="5"/>
  <c r="AP273" i="5"/>
  <c r="AN274" i="5"/>
  <c r="AO274" i="5"/>
  <c r="AP274" i="5"/>
  <c r="AN275" i="5"/>
  <c r="AO275" i="5"/>
  <c r="AP275" i="5"/>
  <c r="AN276" i="5"/>
  <c r="AO276" i="5"/>
  <c r="AP276" i="5"/>
  <c r="AN277" i="5"/>
  <c r="AO277" i="5"/>
  <c r="AP277" i="5"/>
  <c r="AN278" i="5"/>
  <c r="AO278" i="5"/>
  <c r="AP278" i="5"/>
  <c r="AN279" i="5"/>
  <c r="AO279" i="5"/>
  <c r="AP279" i="5"/>
  <c r="AN280" i="5"/>
  <c r="AO280" i="5"/>
  <c r="AP280" i="5"/>
  <c r="AN281" i="5"/>
  <c r="AO281" i="5"/>
  <c r="AP281" i="5"/>
  <c r="AN282" i="5"/>
  <c r="AO282" i="5"/>
  <c r="AP282" i="5"/>
  <c r="AN283" i="5"/>
  <c r="AO283" i="5"/>
  <c r="AP283" i="5"/>
  <c r="AN284" i="5"/>
  <c r="AO284" i="5"/>
  <c r="AP284" i="5"/>
  <c r="AN285" i="5"/>
  <c r="AO285" i="5"/>
  <c r="AP285" i="5"/>
  <c r="AN286" i="5"/>
  <c r="AO286" i="5"/>
  <c r="AP286" i="5"/>
  <c r="AN287" i="5"/>
  <c r="AO287" i="5"/>
  <c r="AP287" i="5"/>
  <c r="AN288" i="5"/>
  <c r="AO288" i="5"/>
  <c r="AP288" i="5"/>
  <c r="AN289" i="5"/>
  <c r="AO289" i="5"/>
  <c r="AP289" i="5"/>
  <c r="AN290" i="5"/>
  <c r="AO290" i="5"/>
  <c r="AP290" i="5"/>
  <c r="AN291" i="5"/>
  <c r="AO291" i="5"/>
  <c r="AP291" i="5"/>
  <c r="AN292" i="5"/>
  <c r="AO292" i="5"/>
  <c r="AP292" i="5"/>
  <c r="AN293" i="5"/>
  <c r="AO293" i="5"/>
  <c r="AP293" i="5"/>
  <c r="AN294" i="5"/>
  <c r="AO294" i="5"/>
  <c r="AP294" i="5"/>
  <c r="AN295" i="5"/>
  <c r="AO295" i="5"/>
  <c r="AP295" i="5"/>
  <c r="AN296" i="5"/>
  <c r="AO296" i="5"/>
  <c r="AP296" i="5"/>
  <c r="AN297" i="5"/>
  <c r="AO297" i="5"/>
  <c r="AP297" i="5"/>
  <c r="AN298" i="5"/>
  <c r="AO298" i="5"/>
  <c r="AP298" i="5"/>
  <c r="AN299" i="5"/>
  <c r="AO299" i="5"/>
  <c r="AP299" i="5"/>
  <c r="AN300" i="5"/>
  <c r="AO300" i="5"/>
  <c r="AP300" i="5"/>
  <c r="AN301" i="5"/>
  <c r="AO301" i="5"/>
  <c r="AP301" i="5"/>
  <c r="AN302" i="5"/>
  <c r="AO302" i="5"/>
  <c r="AP302" i="5"/>
  <c r="AN303" i="5"/>
  <c r="AO303" i="5"/>
  <c r="AP303" i="5"/>
  <c r="AN304" i="5"/>
  <c r="AO304" i="5"/>
  <c r="AP304" i="5"/>
  <c r="AN305" i="5"/>
  <c r="AO305" i="5"/>
  <c r="AP305" i="5"/>
  <c r="AN306" i="5"/>
  <c r="AO306" i="5"/>
  <c r="AP306" i="5"/>
  <c r="AN307" i="5"/>
  <c r="AO307" i="5"/>
  <c r="AP307" i="5"/>
  <c r="AN308" i="5"/>
  <c r="AO308" i="5"/>
  <c r="AP308" i="5"/>
  <c r="AN309" i="5"/>
  <c r="AO309" i="5"/>
  <c r="AP309" i="5"/>
  <c r="AN310" i="5"/>
  <c r="AO310" i="5"/>
  <c r="AP310" i="5"/>
  <c r="AN311" i="5"/>
  <c r="AO311" i="5"/>
  <c r="AP311" i="5"/>
  <c r="AN312" i="5"/>
  <c r="AO312" i="5"/>
  <c r="AP312" i="5"/>
  <c r="AN313" i="5"/>
  <c r="AO313" i="5"/>
  <c r="AP313" i="5"/>
  <c r="AN314" i="5"/>
  <c r="AO314" i="5"/>
  <c r="AP314" i="5"/>
  <c r="AN315" i="5"/>
  <c r="AO315" i="5"/>
  <c r="AP315" i="5"/>
  <c r="AN316" i="5"/>
  <c r="AO316" i="5"/>
  <c r="AP316" i="5"/>
  <c r="AN317" i="5"/>
  <c r="AO317" i="5"/>
  <c r="AP317" i="5"/>
  <c r="AN318" i="5"/>
  <c r="AO318" i="5"/>
  <c r="AP318" i="5"/>
  <c r="AN319" i="5"/>
  <c r="AO319" i="5"/>
  <c r="AP319" i="5"/>
  <c r="AN320" i="5"/>
  <c r="AO320" i="5"/>
  <c r="AP320" i="5"/>
  <c r="AN321" i="5"/>
  <c r="AO321" i="5"/>
  <c r="AP321" i="5"/>
  <c r="AN322" i="5"/>
  <c r="AO322" i="5"/>
  <c r="AP322" i="5"/>
  <c r="AN323" i="5"/>
  <c r="AO323" i="5"/>
  <c r="AP323" i="5"/>
  <c r="AN324" i="5"/>
  <c r="AO324" i="5"/>
  <c r="AP324" i="5"/>
  <c r="AN325" i="5"/>
  <c r="AO325" i="5"/>
  <c r="AP325" i="5"/>
  <c r="AN326" i="5"/>
  <c r="AO326" i="5"/>
  <c r="AP326" i="5"/>
  <c r="AN327" i="5"/>
  <c r="AO327" i="5"/>
  <c r="AP327" i="5"/>
  <c r="AN328" i="5"/>
  <c r="AO328" i="5"/>
  <c r="AP328" i="5"/>
  <c r="AN329" i="5"/>
  <c r="AO329" i="5"/>
  <c r="AP329" i="5"/>
  <c r="AN330" i="5"/>
  <c r="AO330" i="5"/>
  <c r="AP330" i="5"/>
  <c r="AN331" i="5"/>
  <c r="AO331" i="5"/>
  <c r="AP331" i="5"/>
  <c r="AN332" i="5"/>
  <c r="AO332" i="5"/>
  <c r="AP332" i="5"/>
  <c r="AN333" i="5"/>
  <c r="AO333" i="5"/>
  <c r="AP333" i="5"/>
  <c r="AN334" i="5"/>
  <c r="AO334" i="5"/>
  <c r="AP334" i="5"/>
  <c r="AN335" i="5"/>
  <c r="AO335" i="5"/>
  <c r="AP335" i="5"/>
  <c r="AN336" i="5"/>
  <c r="AO336" i="5"/>
  <c r="AP336" i="5"/>
  <c r="AN337" i="5"/>
  <c r="AO337" i="5"/>
  <c r="AP337" i="5"/>
  <c r="AN338" i="5"/>
  <c r="AO338" i="5"/>
  <c r="AP338" i="5"/>
  <c r="AN339" i="5"/>
  <c r="AO339" i="5"/>
  <c r="AP339" i="5"/>
  <c r="AN340" i="5"/>
  <c r="AO340" i="5"/>
  <c r="AP340" i="5"/>
  <c r="AN341" i="5"/>
  <c r="AO341" i="5"/>
  <c r="AP341" i="5"/>
  <c r="AN342" i="5"/>
  <c r="AO342" i="5"/>
  <c r="AP342" i="5"/>
  <c r="AN343" i="5"/>
  <c r="AO343" i="5"/>
  <c r="AP343" i="5"/>
  <c r="AN344" i="5"/>
  <c r="AO344" i="5"/>
  <c r="AP344" i="5"/>
  <c r="AN345" i="5"/>
  <c r="AO345" i="5"/>
  <c r="AP345" i="5"/>
  <c r="AN346" i="5"/>
  <c r="AO346" i="5"/>
  <c r="AP346" i="5"/>
  <c r="AN347" i="5"/>
  <c r="AO347" i="5"/>
  <c r="AP347" i="5"/>
  <c r="AN348" i="5"/>
  <c r="AO348" i="5"/>
  <c r="AP348" i="5"/>
  <c r="AN349" i="5"/>
  <c r="AO349" i="5"/>
  <c r="AP349" i="5"/>
  <c r="AN350" i="5"/>
  <c r="AO350" i="5"/>
  <c r="AP350" i="5"/>
  <c r="AN351" i="5"/>
  <c r="AO351" i="5"/>
  <c r="AP351" i="5"/>
  <c r="AN352" i="5"/>
  <c r="AO352" i="5"/>
  <c r="AP352" i="5"/>
  <c r="AN353" i="5"/>
  <c r="AO353" i="5"/>
  <c r="AP353" i="5"/>
  <c r="AN354" i="5"/>
  <c r="AO354" i="5"/>
  <c r="AP354" i="5"/>
  <c r="AN355" i="5"/>
  <c r="AO355" i="5"/>
  <c r="AP355" i="5"/>
  <c r="AN356" i="5"/>
  <c r="AO356" i="5"/>
  <c r="AP356" i="5"/>
  <c r="AN357" i="5"/>
  <c r="AO357" i="5"/>
  <c r="AP357" i="5"/>
  <c r="AN358" i="5"/>
  <c r="AO358" i="5"/>
  <c r="AP358" i="5"/>
  <c r="AN359" i="5"/>
  <c r="AO359" i="5"/>
  <c r="AP359" i="5"/>
  <c r="AN360" i="5"/>
  <c r="AO360" i="5"/>
  <c r="AP360" i="5"/>
  <c r="AN361" i="5"/>
  <c r="AO361" i="5"/>
  <c r="AP361" i="5"/>
  <c r="AN362" i="5"/>
  <c r="AO362" i="5"/>
  <c r="AP362" i="5"/>
  <c r="AN363" i="5"/>
  <c r="AO363" i="5"/>
  <c r="AP363" i="5"/>
  <c r="AN364" i="5"/>
  <c r="AO364" i="5"/>
  <c r="AP364" i="5"/>
  <c r="AN365" i="5"/>
  <c r="AO365" i="5"/>
  <c r="AP365" i="5"/>
  <c r="AN366" i="5"/>
  <c r="AO366" i="5"/>
  <c r="AP366" i="5"/>
  <c r="AN367" i="5"/>
  <c r="AO367" i="5"/>
  <c r="AP367" i="5"/>
  <c r="AN368" i="5"/>
  <c r="AO368" i="5"/>
  <c r="AP368" i="5"/>
  <c r="AN369" i="5"/>
  <c r="AO369" i="5"/>
  <c r="AP369" i="5"/>
  <c r="AN370" i="5"/>
  <c r="AO370" i="5"/>
  <c r="AP370" i="5"/>
  <c r="AN371" i="5"/>
  <c r="AO371" i="5"/>
  <c r="AP371" i="5"/>
  <c r="AN372" i="5"/>
  <c r="AO372" i="5"/>
  <c r="AP372" i="5"/>
  <c r="AN373" i="5"/>
  <c r="AO373" i="5"/>
  <c r="AP373" i="5"/>
  <c r="AN374" i="5"/>
  <c r="AO374" i="5"/>
  <c r="AP374" i="5"/>
  <c r="AN375" i="5"/>
  <c r="AO375" i="5"/>
  <c r="AP375" i="5"/>
  <c r="AN376" i="5"/>
  <c r="AO376" i="5"/>
  <c r="AP376" i="5"/>
  <c r="AN377" i="5"/>
  <c r="AO377" i="5"/>
  <c r="AP377" i="5"/>
  <c r="AN378" i="5"/>
  <c r="AO378" i="5"/>
  <c r="AP378" i="5"/>
  <c r="AN379" i="5"/>
  <c r="AO379" i="5"/>
  <c r="AP379" i="5"/>
  <c r="AN380" i="5"/>
  <c r="AO380" i="5"/>
  <c r="AP380" i="5"/>
  <c r="AN381" i="5"/>
  <c r="AO381" i="5"/>
  <c r="AP381" i="5"/>
  <c r="AN382" i="5"/>
  <c r="AO382" i="5"/>
  <c r="AP382" i="5"/>
  <c r="AN383" i="5"/>
  <c r="AO383" i="5"/>
  <c r="AP383" i="5"/>
  <c r="AN384" i="5"/>
  <c r="AO384" i="5"/>
  <c r="AP384" i="5"/>
  <c r="AN385" i="5"/>
  <c r="AO385" i="5"/>
  <c r="AP385" i="5"/>
  <c r="AN386" i="5"/>
  <c r="AO386" i="5"/>
  <c r="AP386" i="5"/>
  <c r="AN387" i="5"/>
  <c r="AO387" i="5"/>
  <c r="AP387" i="5"/>
  <c r="AN388" i="5"/>
  <c r="AO388" i="5"/>
  <c r="AP388" i="5"/>
  <c r="AN389" i="5"/>
  <c r="AO389" i="5"/>
  <c r="AP389" i="5"/>
  <c r="AN390" i="5"/>
  <c r="AO390" i="5"/>
  <c r="AP390" i="5"/>
  <c r="AN391" i="5"/>
  <c r="AO391" i="5"/>
  <c r="AP391" i="5"/>
  <c r="AN392" i="5"/>
  <c r="AO392" i="5"/>
  <c r="AP392" i="5"/>
  <c r="AN393" i="5"/>
  <c r="AO393" i="5"/>
  <c r="AP393" i="5"/>
  <c r="AN394" i="5"/>
  <c r="AO394" i="5"/>
  <c r="AP394" i="5"/>
  <c r="AN395" i="5"/>
  <c r="AO395" i="5"/>
  <c r="AP395" i="5"/>
  <c r="AN396" i="5"/>
  <c r="AO396" i="5"/>
  <c r="AP396" i="5"/>
  <c r="AN397" i="5"/>
  <c r="AO397" i="5"/>
  <c r="AP397" i="5"/>
  <c r="AN398" i="5"/>
  <c r="AO398" i="5"/>
  <c r="AP398" i="5"/>
  <c r="AN399" i="5"/>
  <c r="AO399" i="5"/>
  <c r="AP399" i="5"/>
  <c r="AN400" i="5"/>
  <c r="AO400" i="5"/>
  <c r="AP400" i="5"/>
  <c r="AN401" i="5"/>
  <c r="AO401" i="5"/>
  <c r="AP401" i="5"/>
  <c r="AN402" i="5"/>
  <c r="AO402" i="5"/>
  <c r="AP402" i="5"/>
  <c r="AN403" i="5"/>
  <c r="AO403" i="5"/>
  <c r="AP403" i="5"/>
  <c r="AN404" i="5"/>
  <c r="AO404" i="5"/>
  <c r="AP404" i="5"/>
  <c r="AN405" i="5"/>
  <c r="AO405" i="5"/>
  <c r="AP405" i="5"/>
  <c r="AN406" i="5"/>
  <c r="AO406" i="5"/>
  <c r="AP406" i="5"/>
  <c r="AN407" i="5"/>
  <c r="AO407" i="5"/>
  <c r="AP407" i="5"/>
  <c r="AN408" i="5"/>
  <c r="AO408" i="5"/>
  <c r="AP408" i="5"/>
  <c r="AN409" i="5"/>
  <c r="AO409" i="5"/>
  <c r="AP409" i="5"/>
  <c r="AN410" i="5"/>
  <c r="AO410" i="5"/>
  <c r="AP410" i="5"/>
  <c r="AN411" i="5"/>
  <c r="AO411" i="5"/>
  <c r="AP411" i="5"/>
  <c r="AN412" i="5"/>
  <c r="AO412" i="5"/>
  <c r="AP412" i="5"/>
  <c r="AN413" i="5"/>
  <c r="AO413" i="5"/>
  <c r="AP413" i="5"/>
  <c r="AN414" i="5"/>
  <c r="AO414" i="5"/>
  <c r="AP414" i="5"/>
  <c r="AN415" i="5"/>
  <c r="AO415" i="5"/>
  <c r="AP415" i="5"/>
  <c r="AN416" i="5"/>
  <c r="AO416" i="5"/>
  <c r="AP416" i="5"/>
  <c r="AN417" i="5"/>
  <c r="AO417" i="5"/>
  <c r="AP417" i="5"/>
  <c r="AN418" i="5"/>
  <c r="AO418" i="5"/>
  <c r="AP418" i="5"/>
  <c r="AN419" i="5"/>
  <c r="AO419" i="5"/>
  <c r="AP419" i="5"/>
  <c r="AN420" i="5"/>
  <c r="AO420" i="5"/>
  <c r="AP420" i="5"/>
  <c r="AN421" i="5"/>
  <c r="AO421" i="5"/>
  <c r="AP421" i="5"/>
  <c r="AN422" i="5"/>
  <c r="AO422" i="5"/>
  <c r="AP422" i="5"/>
  <c r="AN423" i="5"/>
  <c r="AO423" i="5"/>
  <c r="AP423" i="5"/>
  <c r="AN424" i="5"/>
  <c r="AO424" i="5"/>
  <c r="AP424" i="5"/>
  <c r="AN425" i="5"/>
  <c r="AO425" i="5"/>
  <c r="AP425" i="5"/>
  <c r="AN426" i="5"/>
  <c r="AO426" i="5"/>
  <c r="AP426" i="5"/>
  <c r="AN427" i="5"/>
  <c r="AO427" i="5"/>
  <c r="AP427" i="5"/>
  <c r="AN428" i="5"/>
  <c r="AO428" i="5"/>
  <c r="AP428" i="5"/>
  <c r="AN429" i="5"/>
  <c r="AO429" i="5"/>
  <c r="AP429" i="5"/>
  <c r="AN430" i="5"/>
  <c r="AO430" i="5"/>
  <c r="AP430" i="5"/>
  <c r="AN431" i="5"/>
  <c r="AO431" i="5"/>
  <c r="AP431" i="5"/>
  <c r="AN432" i="5"/>
  <c r="AO432" i="5"/>
  <c r="AP432" i="5"/>
  <c r="AN433" i="5"/>
  <c r="AO433" i="5"/>
  <c r="AP433" i="5"/>
  <c r="AN434" i="5"/>
  <c r="AO434" i="5"/>
  <c r="AP434" i="5"/>
  <c r="AN435" i="5"/>
  <c r="AO435" i="5"/>
  <c r="AP435" i="5"/>
  <c r="AN436" i="5"/>
  <c r="AO436" i="5"/>
  <c r="AP436" i="5"/>
  <c r="AN437" i="5"/>
  <c r="AO437" i="5"/>
  <c r="AP437" i="5"/>
  <c r="AN438" i="5"/>
  <c r="AO438" i="5"/>
  <c r="AP438" i="5"/>
  <c r="AN439" i="5"/>
  <c r="AO439" i="5"/>
  <c r="AP439" i="5"/>
  <c r="AN440" i="5"/>
  <c r="AO440" i="5"/>
  <c r="AP440" i="5"/>
  <c r="AN441" i="5"/>
  <c r="AO441" i="5"/>
  <c r="AP441" i="5"/>
  <c r="AN442" i="5"/>
  <c r="AO442" i="5"/>
  <c r="AP442" i="5"/>
  <c r="AN443" i="5"/>
  <c r="AO443" i="5"/>
  <c r="AP443" i="5"/>
  <c r="AN444" i="5"/>
  <c r="AO444" i="5"/>
  <c r="AP444" i="5"/>
  <c r="AN445" i="5"/>
  <c r="AO445" i="5"/>
  <c r="AP445" i="5"/>
  <c r="AN446" i="5"/>
  <c r="AO446" i="5"/>
  <c r="AP446" i="5"/>
  <c r="AN447" i="5"/>
  <c r="AO447" i="5"/>
  <c r="AP447" i="5"/>
  <c r="AN448" i="5"/>
  <c r="AO448" i="5"/>
  <c r="AP448" i="5"/>
  <c r="AN449" i="5"/>
  <c r="AO449" i="5"/>
  <c r="AP449" i="5"/>
  <c r="AN450" i="5"/>
  <c r="AO450" i="5"/>
  <c r="AP450" i="5"/>
  <c r="AN451" i="5"/>
  <c r="AO451" i="5"/>
  <c r="AP451" i="5"/>
  <c r="AN452" i="5"/>
  <c r="AO452" i="5"/>
  <c r="AP452" i="5"/>
  <c r="AN453" i="5"/>
  <c r="AO453" i="5"/>
  <c r="AP453" i="5"/>
  <c r="AN454" i="5"/>
  <c r="AO454" i="5"/>
  <c r="AP454" i="5"/>
  <c r="AN455" i="5"/>
  <c r="AO455" i="5"/>
  <c r="AP455" i="5"/>
  <c r="AN456" i="5"/>
  <c r="AO456" i="5"/>
  <c r="AP456" i="5"/>
  <c r="AN457" i="5"/>
  <c r="AO457" i="5"/>
  <c r="AP457" i="5"/>
  <c r="AN458" i="5"/>
  <c r="AO458" i="5"/>
  <c r="AP458" i="5"/>
  <c r="AN459" i="5"/>
  <c r="AO459" i="5"/>
  <c r="AP459" i="5"/>
  <c r="AN460" i="5"/>
  <c r="AO460" i="5"/>
  <c r="AP460" i="5"/>
  <c r="AN461" i="5"/>
  <c r="AO461" i="5"/>
  <c r="AP461" i="5"/>
  <c r="AN462" i="5"/>
  <c r="AO462" i="5"/>
  <c r="AP462" i="5"/>
  <c r="AN463" i="5"/>
  <c r="AO463" i="5"/>
  <c r="AP463" i="5"/>
  <c r="AN464" i="5"/>
  <c r="AO464" i="5"/>
  <c r="AP464" i="5"/>
  <c r="AN465" i="5"/>
  <c r="AO465" i="5"/>
  <c r="AP465" i="5"/>
  <c r="AN466" i="5"/>
  <c r="AO466" i="5"/>
  <c r="AP466" i="5"/>
  <c r="AN467" i="5"/>
  <c r="AO467" i="5"/>
  <c r="AP467" i="5"/>
  <c r="AN468" i="5"/>
  <c r="AO468" i="5"/>
  <c r="AP468" i="5"/>
  <c r="AN469" i="5"/>
  <c r="AO469" i="5"/>
  <c r="AP469" i="5"/>
  <c r="AN470" i="5"/>
  <c r="AO470" i="5"/>
  <c r="AP470" i="5"/>
  <c r="AN471" i="5"/>
  <c r="AO471" i="5"/>
  <c r="AP471" i="5"/>
  <c r="AN472" i="5"/>
  <c r="AO472" i="5"/>
  <c r="AP472" i="5"/>
  <c r="AN473" i="5"/>
  <c r="AO473" i="5"/>
  <c r="AP473" i="5"/>
  <c r="AN474" i="5"/>
  <c r="AO474" i="5"/>
  <c r="AP474" i="5"/>
  <c r="AN475" i="5"/>
  <c r="AO475" i="5"/>
  <c r="AP475" i="5"/>
  <c r="AN476" i="5"/>
  <c r="AO476" i="5"/>
  <c r="AP476" i="5"/>
  <c r="AN477" i="5"/>
  <c r="AO477" i="5"/>
  <c r="AP477" i="5"/>
  <c r="AN478" i="5"/>
  <c r="AO478" i="5"/>
  <c r="AP478" i="5"/>
  <c r="AN479" i="5"/>
  <c r="AO479" i="5"/>
  <c r="AP479" i="5"/>
  <c r="AN480" i="5"/>
  <c r="AO480" i="5"/>
  <c r="AP480" i="5"/>
  <c r="AN481" i="5"/>
  <c r="AO481" i="5"/>
  <c r="AP481" i="5"/>
  <c r="AN482" i="5"/>
  <c r="AO482" i="5"/>
  <c r="AP482" i="5"/>
  <c r="AN483" i="5"/>
  <c r="AO483" i="5"/>
  <c r="AP483" i="5"/>
  <c r="AN484" i="5"/>
  <c r="AO484" i="5"/>
  <c r="AP484" i="5"/>
  <c r="AN485" i="5"/>
  <c r="AO485" i="5"/>
  <c r="AP485" i="5"/>
  <c r="AN486" i="5"/>
  <c r="AO486" i="5"/>
  <c r="AP486" i="5"/>
  <c r="AN487" i="5"/>
  <c r="AO487" i="5"/>
  <c r="AP487" i="5"/>
  <c r="AN488" i="5"/>
  <c r="AO488" i="5"/>
  <c r="AP488" i="5"/>
  <c r="AN489" i="5"/>
  <c r="AO489" i="5"/>
  <c r="AP489" i="5"/>
  <c r="AN490" i="5"/>
  <c r="AO490" i="5"/>
  <c r="AP490" i="5"/>
  <c r="AN491" i="5"/>
  <c r="AO491" i="5"/>
  <c r="AP491" i="5"/>
  <c r="AN492" i="5"/>
  <c r="AO492" i="5"/>
  <c r="AP492" i="5"/>
  <c r="AN493" i="5"/>
  <c r="AO493" i="5"/>
  <c r="AP493" i="5"/>
  <c r="AN494" i="5"/>
  <c r="AO494" i="5"/>
  <c r="AP494" i="5"/>
  <c r="AN495" i="5"/>
  <c r="AO495" i="5"/>
  <c r="AP495" i="5"/>
  <c r="AN496" i="5"/>
  <c r="AO496" i="5"/>
  <c r="AP496" i="5"/>
  <c r="AN497" i="5"/>
  <c r="AO497" i="5"/>
  <c r="AP497" i="5"/>
  <c r="AN498" i="5"/>
  <c r="AO498" i="5"/>
  <c r="AP498" i="5"/>
  <c r="AN499" i="5"/>
  <c r="AO499" i="5"/>
  <c r="AP499" i="5"/>
  <c r="AN500" i="5"/>
  <c r="AO500" i="5"/>
  <c r="AP500" i="5"/>
  <c r="AN501" i="5"/>
  <c r="AO501" i="5"/>
  <c r="AP501" i="5"/>
  <c r="AN502" i="5"/>
  <c r="AO502" i="5"/>
  <c r="AP502" i="5"/>
  <c r="AN503" i="5"/>
  <c r="AO503" i="5"/>
  <c r="AP503" i="5"/>
  <c r="AN504" i="5"/>
  <c r="AO504" i="5"/>
  <c r="AP504" i="5"/>
  <c r="AN505" i="5"/>
  <c r="AO505" i="5"/>
  <c r="AP505" i="5"/>
  <c r="AN506" i="5"/>
  <c r="AO506" i="5"/>
  <c r="AP506" i="5"/>
  <c r="AN507" i="5"/>
  <c r="AO507" i="5"/>
  <c r="AP507" i="5"/>
  <c r="AN508" i="5"/>
  <c r="AO508" i="5"/>
  <c r="AP508" i="5"/>
  <c r="AN509" i="5"/>
  <c r="AO509" i="5"/>
  <c r="AP509" i="5"/>
  <c r="AN510" i="5"/>
  <c r="AO510" i="5"/>
  <c r="AP510" i="5"/>
  <c r="AN511" i="5"/>
  <c r="AO511" i="5"/>
  <c r="AP511" i="5"/>
  <c r="AN512" i="5"/>
  <c r="AO512" i="5"/>
  <c r="AP512" i="5"/>
  <c r="AN513" i="5"/>
  <c r="AO513" i="5"/>
  <c r="AP513" i="5"/>
  <c r="AN514" i="5"/>
  <c r="AO514" i="5"/>
  <c r="AP514" i="5"/>
  <c r="AN515" i="5"/>
  <c r="AO515" i="5"/>
  <c r="AP515" i="5"/>
  <c r="AN516" i="5"/>
  <c r="AO516" i="5"/>
  <c r="AP516" i="5"/>
  <c r="AN517" i="5"/>
  <c r="AO517" i="5"/>
  <c r="AP517" i="5"/>
  <c r="AN518" i="5"/>
  <c r="AO518" i="5"/>
  <c r="AP518" i="5"/>
  <c r="AN519" i="5"/>
  <c r="AO519" i="5"/>
  <c r="AP519" i="5"/>
  <c r="AN520" i="5"/>
  <c r="AO520" i="5"/>
  <c r="AP520" i="5"/>
  <c r="AN521" i="5"/>
  <c r="AO521" i="5"/>
  <c r="AP521" i="5"/>
  <c r="AN522" i="5"/>
  <c r="AO522" i="5"/>
  <c r="AP522" i="5"/>
  <c r="AN523" i="5"/>
  <c r="AO523" i="5"/>
  <c r="AP523" i="5"/>
  <c r="AN524" i="5"/>
  <c r="AO524" i="5"/>
  <c r="AP524" i="5"/>
  <c r="AN525" i="5"/>
  <c r="AO525" i="5"/>
  <c r="AP525" i="5"/>
  <c r="AN526" i="5"/>
  <c r="AO526" i="5"/>
  <c r="AP526" i="5"/>
  <c r="AN527" i="5"/>
  <c r="AO527" i="5"/>
  <c r="AP527" i="5"/>
  <c r="AN528" i="5"/>
  <c r="AO528" i="5"/>
  <c r="AP528" i="5"/>
  <c r="AN529" i="5"/>
  <c r="AO529" i="5"/>
  <c r="AP529" i="5"/>
  <c r="AN530" i="5"/>
  <c r="AO530" i="5"/>
  <c r="AP530" i="5"/>
  <c r="AN531" i="5"/>
  <c r="AO531" i="5"/>
  <c r="AP531" i="5"/>
  <c r="AN532" i="5"/>
  <c r="AO532" i="5"/>
  <c r="AP532" i="5"/>
  <c r="AN533" i="5"/>
  <c r="AO533" i="5"/>
  <c r="AP533" i="5"/>
  <c r="AN534" i="5"/>
  <c r="AO534" i="5"/>
  <c r="AP534" i="5"/>
  <c r="AN535" i="5"/>
  <c r="AO535" i="5"/>
  <c r="AP535" i="5"/>
  <c r="AN536" i="5"/>
  <c r="AO536" i="5"/>
  <c r="AP536" i="5"/>
  <c r="AN537" i="5"/>
  <c r="AO537" i="5"/>
  <c r="AP537" i="5"/>
  <c r="AN538" i="5"/>
  <c r="AO538" i="5"/>
  <c r="AP538" i="5"/>
  <c r="AN539" i="5"/>
  <c r="AO539" i="5"/>
  <c r="AP539" i="5"/>
  <c r="AN540" i="5"/>
  <c r="AO540" i="5"/>
  <c r="AP540" i="5"/>
  <c r="AN541" i="5"/>
  <c r="AO541" i="5"/>
  <c r="AP541" i="5"/>
  <c r="AN542" i="5"/>
  <c r="AO542" i="5"/>
  <c r="AP542" i="5"/>
  <c r="AN543" i="5"/>
  <c r="AO543" i="5"/>
  <c r="AP543" i="5"/>
  <c r="AN544" i="5"/>
  <c r="AO544" i="5"/>
  <c r="AP544" i="5"/>
  <c r="AN545" i="5"/>
  <c r="AO545" i="5"/>
  <c r="AP545" i="5"/>
  <c r="AN546" i="5"/>
  <c r="AO546" i="5"/>
  <c r="AP546" i="5"/>
  <c r="AN547" i="5"/>
  <c r="AO547" i="5"/>
  <c r="AP547" i="5"/>
  <c r="AN548" i="5"/>
  <c r="AO548" i="5"/>
  <c r="AP548" i="5"/>
  <c r="AN549" i="5"/>
  <c r="AO549" i="5"/>
  <c r="AP549" i="5"/>
  <c r="AN550" i="5"/>
  <c r="AO550" i="5"/>
  <c r="AP550" i="5"/>
  <c r="AN551" i="5"/>
  <c r="AO551" i="5"/>
  <c r="AP551" i="5"/>
  <c r="AN552" i="5"/>
  <c r="AO552" i="5"/>
  <c r="AP552" i="5"/>
  <c r="AN553" i="5"/>
  <c r="AO553" i="5"/>
  <c r="AP553" i="5"/>
  <c r="AN554" i="5"/>
  <c r="AO554" i="5"/>
  <c r="AP554" i="5"/>
  <c r="AN555" i="5"/>
  <c r="AO555" i="5"/>
  <c r="AP555" i="5"/>
  <c r="AN556" i="5"/>
  <c r="AO556" i="5"/>
  <c r="AP556" i="5"/>
  <c r="AN557" i="5"/>
  <c r="AO557" i="5"/>
  <c r="AP557" i="5"/>
  <c r="AN558" i="5"/>
  <c r="AO558" i="5"/>
  <c r="AP558" i="5"/>
  <c r="AN559" i="5"/>
  <c r="AO559" i="5"/>
  <c r="AP559" i="5"/>
  <c r="AN560" i="5"/>
  <c r="AO560" i="5"/>
  <c r="AP560" i="5"/>
  <c r="AN561" i="5"/>
  <c r="AO561" i="5"/>
  <c r="AP561" i="5"/>
  <c r="AN562" i="5"/>
  <c r="AO562" i="5"/>
  <c r="AP562" i="5"/>
  <c r="AN563" i="5"/>
  <c r="AO563" i="5"/>
  <c r="AP563" i="5"/>
  <c r="AN564" i="5"/>
  <c r="AO564" i="5"/>
  <c r="AP564" i="5"/>
  <c r="AN565" i="5"/>
  <c r="AO565" i="5"/>
  <c r="AP565" i="5"/>
  <c r="AN566" i="5"/>
  <c r="AO566" i="5"/>
  <c r="AP566" i="5"/>
  <c r="AN567" i="5"/>
  <c r="AO567" i="5"/>
  <c r="AP567" i="5"/>
  <c r="AN568" i="5"/>
  <c r="AO568" i="5"/>
  <c r="AP568" i="5"/>
  <c r="AN569" i="5"/>
  <c r="AO569" i="5"/>
  <c r="AP569" i="5"/>
  <c r="AN570" i="5"/>
  <c r="AO570" i="5"/>
  <c r="AP570" i="5"/>
  <c r="AN571" i="5"/>
  <c r="AO571" i="5"/>
  <c r="AP571" i="5"/>
  <c r="AN572" i="5"/>
  <c r="AO572" i="5"/>
  <c r="AP572" i="5"/>
  <c r="AN573" i="5"/>
  <c r="AO573" i="5"/>
  <c r="AP573" i="5"/>
  <c r="AN574" i="5"/>
  <c r="AO574" i="5"/>
  <c r="AP574" i="5"/>
  <c r="AN575" i="5"/>
  <c r="AO575" i="5"/>
  <c r="AP575" i="5"/>
  <c r="AN576" i="5"/>
  <c r="AO576" i="5"/>
  <c r="AP576" i="5"/>
  <c r="AN577" i="5"/>
  <c r="AO577" i="5"/>
  <c r="AP577" i="5"/>
  <c r="AN578" i="5"/>
  <c r="AO578" i="5"/>
  <c r="AP578" i="5"/>
  <c r="AN579" i="5"/>
  <c r="AO579" i="5"/>
  <c r="AP579" i="5"/>
  <c r="AN580" i="5"/>
  <c r="AO580" i="5"/>
  <c r="AP580" i="5"/>
  <c r="AN581" i="5"/>
  <c r="AO581" i="5"/>
  <c r="AP581" i="5"/>
  <c r="AN582" i="5"/>
  <c r="AO582" i="5"/>
  <c r="AP582" i="5"/>
  <c r="AN583" i="5"/>
  <c r="AO583" i="5"/>
  <c r="AP583" i="5"/>
  <c r="AN584" i="5"/>
  <c r="AO584" i="5"/>
  <c r="AP584" i="5"/>
  <c r="AN585" i="5"/>
  <c r="AO585" i="5"/>
  <c r="AP585" i="5"/>
  <c r="AN586" i="5"/>
  <c r="AO586" i="5"/>
  <c r="AP586" i="5"/>
  <c r="AN587" i="5"/>
  <c r="AO587" i="5"/>
  <c r="AP587" i="5"/>
  <c r="AN588" i="5"/>
  <c r="AO588" i="5"/>
  <c r="AP588" i="5"/>
  <c r="AN589" i="5"/>
  <c r="AO589" i="5"/>
  <c r="AP589" i="5"/>
  <c r="AN590" i="5"/>
  <c r="AO590" i="5"/>
  <c r="AP590" i="5"/>
  <c r="AN591" i="5"/>
  <c r="AO591" i="5"/>
  <c r="AP591" i="5"/>
  <c r="AN592" i="5"/>
  <c r="AO592" i="5"/>
  <c r="AP592" i="5"/>
  <c r="AN593" i="5"/>
  <c r="AO593" i="5"/>
  <c r="AP593" i="5"/>
  <c r="AN594" i="5"/>
  <c r="AO594" i="5"/>
  <c r="AP594" i="5"/>
  <c r="AN595" i="5"/>
  <c r="AO595" i="5"/>
  <c r="AP595" i="5"/>
  <c r="AN596" i="5"/>
  <c r="AO596" i="5"/>
  <c r="AP596" i="5"/>
  <c r="AN597" i="5"/>
  <c r="AO597" i="5"/>
  <c r="AP597" i="5"/>
  <c r="AN598" i="5"/>
  <c r="AO598" i="5"/>
  <c r="AP598" i="5"/>
  <c r="AN599" i="5"/>
  <c r="AO599" i="5"/>
  <c r="AP599" i="5"/>
  <c r="AN600" i="5"/>
  <c r="AO600" i="5"/>
  <c r="AP600" i="5"/>
  <c r="AN601" i="5"/>
  <c r="AO601" i="5"/>
  <c r="AP601" i="5"/>
  <c r="AN602" i="5"/>
  <c r="AO602" i="5"/>
  <c r="AP602" i="5"/>
  <c r="AN603" i="5"/>
  <c r="AO603" i="5"/>
  <c r="AP603" i="5"/>
  <c r="AN604" i="5"/>
  <c r="AO604" i="5"/>
  <c r="AP604" i="5"/>
  <c r="AN605" i="5"/>
  <c r="AO605" i="5"/>
  <c r="AP605" i="5"/>
  <c r="AN606" i="5"/>
  <c r="AO606" i="5"/>
  <c r="AP606" i="5"/>
  <c r="AN607" i="5"/>
  <c r="AO607" i="5"/>
  <c r="AP607" i="5"/>
  <c r="AN608" i="5"/>
  <c r="AO608" i="5"/>
  <c r="AP608" i="5"/>
  <c r="AN609" i="5"/>
  <c r="AO609" i="5"/>
  <c r="AP609" i="5"/>
  <c r="AN610" i="5"/>
  <c r="AO610" i="5"/>
  <c r="AP610" i="5"/>
  <c r="AN611" i="5"/>
  <c r="AO611" i="5"/>
  <c r="AP611" i="5"/>
  <c r="AN612" i="5"/>
  <c r="AO612" i="5"/>
  <c r="AP612" i="5"/>
  <c r="AN613" i="5"/>
  <c r="AO613" i="5"/>
  <c r="AP613" i="5"/>
  <c r="AN614" i="5"/>
  <c r="AO614" i="5"/>
  <c r="AP614" i="5"/>
  <c r="AN615" i="5"/>
  <c r="AO615" i="5"/>
  <c r="AP615" i="5"/>
  <c r="AN616" i="5"/>
  <c r="AO616" i="5"/>
  <c r="AP616" i="5"/>
  <c r="AN617" i="5"/>
  <c r="AO617" i="5"/>
  <c r="AP617" i="5"/>
  <c r="AN618" i="5"/>
  <c r="AO618" i="5"/>
  <c r="AP618" i="5"/>
  <c r="AN619" i="5"/>
  <c r="AO619" i="5"/>
  <c r="AP619" i="5"/>
  <c r="AN620" i="5"/>
  <c r="AO620" i="5"/>
  <c r="AP620" i="5"/>
  <c r="AN621" i="5"/>
  <c r="AO621" i="5"/>
  <c r="AP621" i="5"/>
  <c r="AN622" i="5"/>
  <c r="AO622" i="5"/>
  <c r="AP622" i="5"/>
  <c r="AN623" i="5"/>
  <c r="AO623" i="5"/>
  <c r="AP623" i="5"/>
  <c r="AN624" i="5"/>
  <c r="AO624" i="5"/>
  <c r="AP624" i="5"/>
  <c r="AN625" i="5"/>
  <c r="AO625" i="5"/>
  <c r="AP625" i="5"/>
  <c r="AN626" i="5"/>
  <c r="AO626" i="5"/>
  <c r="AP626" i="5"/>
  <c r="AN627" i="5"/>
  <c r="AO627" i="5"/>
  <c r="AP627" i="5"/>
  <c r="AN628" i="5"/>
  <c r="AO628" i="5"/>
  <c r="AP628" i="5"/>
  <c r="AN629" i="5"/>
  <c r="AO629" i="5"/>
  <c r="AP629" i="5"/>
  <c r="AN630" i="5"/>
  <c r="AO630" i="5"/>
  <c r="AP630" i="5"/>
  <c r="AN631" i="5"/>
  <c r="AO631" i="5"/>
  <c r="AP631" i="5"/>
  <c r="AN632" i="5"/>
  <c r="AO632" i="5"/>
  <c r="AP632" i="5"/>
  <c r="AN633" i="5"/>
  <c r="AO633" i="5"/>
  <c r="AP633" i="5"/>
  <c r="AN634" i="5"/>
  <c r="AO634" i="5"/>
  <c r="AP634" i="5"/>
  <c r="AN635" i="5"/>
  <c r="AO635" i="5"/>
  <c r="AP635" i="5"/>
  <c r="AN636" i="5"/>
  <c r="AO636" i="5"/>
  <c r="AP636" i="5"/>
  <c r="AN637" i="5"/>
  <c r="AO637" i="5"/>
  <c r="AP637" i="5"/>
  <c r="AN638" i="5"/>
  <c r="AO638" i="5"/>
  <c r="AP638" i="5"/>
  <c r="AN639" i="5"/>
  <c r="AO639" i="5"/>
  <c r="AP639" i="5"/>
  <c r="AN640" i="5"/>
  <c r="AO640" i="5"/>
  <c r="AP640" i="5"/>
  <c r="AN641" i="5"/>
  <c r="AO641" i="5"/>
  <c r="AP641" i="5"/>
  <c r="AN642" i="5"/>
  <c r="AO642" i="5"/>
  <c r="AP642" i="5"/>
  <c r="AN643" i="5"/>
  <c r="AO643" i="5"/>
  <c r="AP643" i="5"/>
  <c r="AN644" i="5"/>
  <c r="AO644" i="5"/>
  <c r="AP644" i="5"/>
  <c r="AN645" i="5"/>
  <c r="AO645" i="5"/>
  <c r="AP645" i="5"/>
  <c r="AN646" i="5"/>
  <c r="AO646" i="5"/>
  <c r="AP646" i="5"/>
  <c r="AN647" i="5"/>
  <c r="AO647" i="5"/>
  <c r="AP647" i="5"/>
  <c r="AN648" i="5"/>
  <c r="AO648" i="5"/>
  <c r="AP648" i="5"/>
  <c r="AN649" i="5"/>
  <c r="AO649" i="5"/>
  <c r="AP649" i="5"/>
  <c r="AN650" i="5"/>
  <c r="AO650" i="5"/>
  <c r="AP650" i="5"/>
  <c r="AN651" i="5"/>
  <c r="AO651" i="5"/>
  <c r="AP651" i="5"/>
  <c r="AN652" i="5"/>
  <c r="AO652" i="5"/>
  <c r="AP652" i="5"/>
  <c r="AN653" i="5"/>
  <c r="AO653" i="5"/>
  <c r="AP653" i="5"/>
  <c r="AN654" i="5"/>
  <c r="AO654" i="5"/>
  <c r="AP654" i="5"/>
  <c r="AN655" i="5"/>
  <c r="AO655" i="5"/>
  <c r="AP655" i="5"/>
  <c r="AN656" i="5"/>
  <c r="AO656" i="5"/>
  <c r="AP656" i="5"/>
  <c r="AN657" i="5"/>
  <c r="AO657" i="5"/>
  <c r="AP657" i="5"/>
  <c r="AN658" i="5"/>
  <c r="AO658" i="5"/>
  <c r="AP658" i="5"/>
  <c r="AN659" i="5"/>
  <c r="AO659" i="5"/>
  <c r="AP659" i="5"/>
  <c r="AN660" i="5"/>
  <c r="AO660" i="5"/>
  <c r="AP660" i="5"/>
  <c r="AN661" i="5"/>
  <c r="AO661" i="5"/>
  <c r="AP661" i="5"/>
  <c r="AN662" i="5"/>
  <c r="AO662" i="5"/>
  <c r="AP662" i="5"/>
  <c r="AN663" i="5"/>
  <c r="AO663" i="5"/>
  <c r="AP663" i="5"/>
  <c r="AN664" i="5"/>
  <c r="AO664" i="5"/>
  <c r="AP664" i="5"/>
  <c r="AN665" i="5"/>
  <c r="AO665" i="5"/>
  <c r="AP665" i="5"/>
  <c r="AN666" i="5"/>
  <c r="AO666" i="5"/>
  <c r="AP666" i="5"/>
  <c r="AN667" i="5"/>
  <c r="AO667" i="5"/>
  <c r="AP667" i="5"/>
  <c r="AN668" i="5"/>
  <c r="AO668" i="5"/>
  <c r="AP668" i="5"/>
  <c r="AN669" i="5"/>
  <c r="AO669" i="5"/>
  <c r="AP669" i="5"/>
  <c r="AN670" i="5"/>
  <c r="AO670" i="5"/>
  <c r="AP670" i="5"/>
  <c r="AN671" i="5"/>
  <c r="AO671" i="5"/>
  <c r="AP671" i="5"/>
  <c r="AN672" i="5"/>
  <c r="AO672" i="5"/>
  <c r="AP672" i="5"/>
  <c r="AN673" i="5"/>
  <c r="AO673" i="5"/>
  <c r="AP673" i="5"/>
  <c r="AN674" i="5"/>
  <c r="AO674" i="5"/>
  <c r="AP674" i="5"/>
  <c r="AN675" i="5"/>
  <c r="AO675" i="5"/>
  <c r="AP675" i="5"/>
  <c r="AN676" i="5"/>
  <c r="AO676" i="5"/>
  <c r="AP676" i="5"/>
  <c r="AN677" i="5"/>
  <c r="AO677" i="5"/>
  <c r="AP677" i="5"/>
  <c r="AN678" i="5"/>
  <c r="AO678" i="5"/>
  <c r="AP678" i="5"/>
  <c r="AN679" i="5"/>
  <c r="AO679" i="5"/>
  <c r="AP679" i="5"/>
  <c r="AN680" i="5"/>
  <c r="AO680" i="5"/>
  <c r="AP680" i="5"/>
  <c r="AN681" i="5"/>
  <c r="AO681" i="5"/>
  <c r="AP681" i="5"/>
  <c r="AN682" i="5"/>
  <c r="AO682" i="5"/>
  <c r="AP682" i="5"/>
  <c r="AN683" i="5"/>
  <c r="AO683" i="5"/>
  <c r="AP683" i="5"/>
  <c r="AN684" i="5"/>
  <c r="AO684" i="5"/>
  <c r="AP684" i="5"/>
  <c r="AN685" i="5"/>
  <c r="AO685" i="5"/>
  <c r="AP685" i="5"/>
  <c r="AN686" i="5"/>
  <c r="AO686" i="5"/>
  <c r="AP686" i="5"/>
  <c r="AN687" i="5"/>
  <c r="AO687" i="5"/>
  <c r="AP687" i="5"/>
  <c r="AN688" i="5"/>
  <c r="AO688" i="5"/>
  <c r="AP688" i="5"/>
  <c r="AN689" i="5"/>
  <c r="AO689" i="5"/>
  <c r="AP689" i="5"/>
  <c r="AN690" i="5"/>
  <c r="AO690" i="5"/>
  <c r="AP690" i="5"/>
  <c r="AN691" i="5"/>
  <c r="AO691" i="5"/>
  <c r="AP691" i="5"/>
  <c r="AN692" i="5"/>
  <c r="AO692" i="5"/>
  <c r="AP692" i="5"/>
  <c r="AN693" i="5"/>
  <c r="AO693" i="5"/>
  <c r="AP693" i="5"/>
  <c r="AN694" i="5"/>
  <c r="AO694" i="5"/>
  <c r="AP694" i="5"/>
  <c r="AN695" i="5"/>
  <c r="AO695" i="5"/>
  <c r="AP695" i="5"/>
  <c r="AN696" i="5"/>
  <c r="AO696" i="5"/>
  <c r="AP696" i="5"/>
  <c r="AN697" i="5"/>
  <c r="AO697" i="5"/>
  <c r="AP697" i="5"/>
  <c r="AN698" i="5"/>
  <c r="AO698" i="5"/>
  <c r="AP698" i="5"/>
  <c r="AN699" i="5"/>
  <c r="AO699" i="5"/>
  <c r="AP699" i="5"/>
  <c r="AN700" i="5"/>
  <c r="AO700" i="5"/>
  <c r="AP700" i="5"/>
  <c r="AN701" i="5"/>
  <c r="AO701" i="5"/>
  <c r="AP701" i="5"/>
  <c r="AN702" i="5"/>
  <c r="AO702" i="5"/>
  <c r="AP702" i="5"/>
  <c r="AN703" i="5"/>
  <c r="AO703" i="5"/>
  <c r="AP703" i="5"/>
  <c r="AN704" i="5"/>
  <c r="AO704" i="5"/>
  <c r="AP704" i="5"/>
  <c r="AN705" i="5"/>
  <c r="AO705" i="5"/>
  <c r="AP705" i="5"/>
  <c r="AN706" i="5"/>
  <c r="AO706" i="5"/>
  <c r="AP706" i="5"/>
  <c r="AN707" i="5"/>
  <c r="AO707" i="5"/>
  <c r="AP707" i="5"/>
  <c r="AN708" i="5"/>
  <c r="AO708" i="5"/>
  <c r="AP708" i="5"/>
  <c r="AN709" i="5"/>
  <c r="AO709" i="5"/>
  <c r="AP709" i="5"/>
  <c r="AN710" i="5"/>
  <c r="AO710" i="5"/>
  <c r="AP710" i="5"/>
  <c r="AN711" i="5"/>
  <c r="AO711" i="5"/>
  <c r="AP711" i="5"/>
  <c r="AN712" i="5"/>
  <c r="AO712" i="5"/>
  <c r="AP712" i="5"/>
  <c r="AN713" i="5"/>
  <c r="AO713" i="5"/>
  <c r="AP713" i="5"/>
  <c r="AN714" i="5"/>
  <c r="AO714" i="5"/>
  <c r="AP714" i="5"/>
  <c r="AN715" i="5"/>
  <c r="AO715" i="5"/>
  <c r="AP715" i="5"/>
  <c r="AN716" i="5"/>
  <c r="AO716" i="5"/>
  <c r="AP716" i="5"/>
  <c r="AN717" i="5"/>
  <c r="AO717" i="5"/>
  <c r="AP717" i="5"/>
  <c r="AN718" i="5"/>
  <c r="AO718" i="5"/>
  <c r="AP718" i="5"/>
  <c r="AN719" i="5"/>
  <c r="AO719" i="5"/>
  <c r="AP719" i="5"/>
  <c r="AN720" i="5"/>
  <c r="AO720" i="5"/>
  <c r="AP720" i="5"/>
  <c r="AN721" i="5"/>
  <c r="AO721" i="5"/>
  <c r="AP721" i="5"/>
  <c r="AN722" i="5"/>
  <c r="AO722" i="5"/>
  <c r="AP722" i="5"/>
  <c r="AN723" i="5"/>
  <c r="AO723" i="5"/>
  <c r="AP723" i="5"/>
  <c r="AN724" i="5"/>
  <c r="AO724" i="5"/>
  <c r="AP724" i="5"/>
  <c r="AN725" i="5"/>
  <c r="AO725" i="5"/>
  <c r="AP725" i="5"/>
  <c r="AN726" i="5"/>
  <c r="AO726" i="5"/>
  <c r="AP726" i="5"/>
  <c r="AN727" i="5"/>
  <c r="AO727" i="5"/>
  <c r="AP727" i="5"/>
  <c r="AN728" i="5"/>
  <c r="AO728" i="5"/>
  <c r="AP728" i="5"/>
  <c r="AN729" i="5"/>
  <c r="AO729" i="5"/>
  <c r="AP729" i="5"/>
  <c r="AN730" i="5"/>
  <c r="AO730" i="5"/>
  <c r="AP730" i="5"/>
  <c r="AN731" i="5"/>
  <c r="AO731" i="5"/>
  <c r="AP731" i="5"/>
  <c r="AN732" i="5"/>
  <c r="AO732" i="5"/>
  <c r="AP732" i="5"/>
  <c r="AN733" i="5"/>
  <c r="AO733" i="5"/>
  <c r="AP733" i="5"/>
  <c r="AN734" i="5"/>
  <c r="AO734" i="5"/>
  <c r="AP734" i="5"/>
  <c r="AN735" i="5"/>
  <c r="AO735" i="5"/>
  <c r="AP735" i="5"/>
  <c r="AN736" i="5"/>
  <c r="AO736" i="5"/>
  <c r="AP736" i="5"/>
  <c r="AN737" i="5"/>
  <c r="AO737" i="5"/>
  <c r="AP737" i="5"/>
  <c r="AN738" i="5"/>
  <c r="AO738" i="5"/>
  <c r="AP738" i="5"/>
  <c r="AN739" i="5"/>
  <c r="AO739" i="5"/>
  <c r="AP739" i="5"/>
  <c r="AN740" i="5"/>
  <c r="AO740" i="5"/>
  <c r="AP740" i="5"/>
  <c r="AN741" i="5"/>
  <c r="AO741" i="5"/>
  <c r="AP741" i="5"/>
  <c r="AN742" i="5"/>
  <c r="AO742" i="5"/>
  <c r="AP742" i="5"/>
  <c r="AN743" i="5"/>
  <c r="AO743" i="5"/>
  <c r="AP743" i="5"/>
  <c r="AN744" i="5"/>
  <c r="AO744" i="5"/>
  <c r="AP744" i="5"/>
  <c r="AN745" i="5"/>
  <c r="AO745" i="5"/>
  <c r="AP745" i="5"/>
  <c r="AN746" i="5"/>
  <c r="AO746" i="5"/>
  <c r="AP746" i="5"/>
  <c r="AN747" i="5"/>
  <c r="AO747" i="5"/>
  <c r="AP747" i="5"/>
  <c r="AN748" i="5"/>
  <c r="AO748" i="5"/>
  <c r="AP748" i="5"/>
  <c r="AN749" i="5"/>
  <c r="AO749" i="5"/>
  <c r="AP749" i="5"/>
  <c r="AN750" i="5"/>
  <c r="AO750" i="5"/>
  <c r="AP750" i="5"/>
  <c r="AN751" i="5"/>
  <c r="AO751" i="5"/>
  <c r="AP751" i="5"/>
  <c r="AN752" i="5"/>
  <c r="AO752" i="5"/>
  <c r="AP752" i="5"/>
  <c r="AN753" i="5"/>
  <c r="AO753" i="5"/>
  <c r="AP753" i="5"/>
  <c r="AN754" i="5"/>
  <c r="AO754" i="5"/>
  <c r="AP754" i="5"/>
  <c r="AN755" i="5"/>
  <c r="AO755" i="5"/>
  <c r="AP755" i="5"/>
  <c r="AN756" i="5"/>
  <c r="AO756" i="5"/>
  <c r="AP756" i="5"/>
  <c r="AN757" i="5"/>
  <c r="AO757" i="5"/>
  <c r="AP757" i="5"/>
  <c r="AN758" i="5"/>
  <c r="AO758" i="5"/>
  <c r="AP758" i="5"/>
  <c r="AN759" i="5"/>
  <c r="AO759" i="5"/>
  <c r="AP759" i="5"/>
  <c r="AN760" i="5"/>
  <c r="AO760" i="5"/>
  <c r="AP760" i="5"/>
  <c r="AN761" i="5"/>
  <c r="AO761" i="5"/>
  <c r="AP761" i="5"/>
  <c r="AN762" i="5"/>
  <c r="AO762" i="5"/>
  <c r="AP762" i="5"/>
  <c r="AN763" i="5"/>
  <c r="AO763" i="5"/>
  <c r="AP763" i="5"/>
  <c r="AN764" i="5"/>
  <c r="AO764" i="5"/>
  <c r="AP764" i="5"/>
  <c r="AN765" i="5"/>
  <c r="AO765" i="5"/>
  <c r="AP765" i="5"/>
  <c r="AN766" i="5"/>
  <c r="AO766" i="5"/>
  <c r="AP766" i="5"/>
  <c r="AN767" i="5"/>
  <c r="AO767" i="5"/>
  <c r="AP767" i="5"/>
  <c r="AN768" i="5"/>
  <c r="AO768" i="5"/>
  <c r="AP768" i="5"/>
  <c r="AN769" i="5"/>
  <c r="AO769" i="5"/>
  <c r="AP769" i="5"/>
  <c r="AN770" i="5"/>
  <c r="AO770" i="5"/>
  <c r="AP770" i="5"/>
  <c r="AN771" i="5"/>
  <c r="AO771" i="5"/>
  <c r="AP771" i="5"/>
  <c r="AN772" i="5"/>
  <c r="AO772" i="5"/>
  <c r="AP772" i="5"/>
  <c r="AN773" i="5"/>
  <c r="AO773" i="5"/>
  <c r="AP773" i="5"/>
  <c r="AN774" i="5"/>
  <c r="AO774" i="5"/>
  <c r="AP774" i="5"/>
  <c r="AN775" i="5"/>
  <c r="AO775" i="5"/>
  <c r="AP775" i="5"/>
  <c r="AN776" i="5"/>
  <c r="AO776" i="5"/>
  <c r="AP776" i="5"/>
  <c r="AN777" i="5"/>
  <c r="AO777" i="5"/>
  <c r="AP777" i="5"/>
  <c r="AN778" i="5"/>
  <c r="AO778" i="5"/>
  <c r="AP778" i="5"/>
  <c r="AN779" i="5"/>
  <c r="AO779" i="5"/>
  <c r="AP779" i="5"/>
  <c r="AN780" i="5"/>
  <c r="AO780" i="5"/>
  <c r="AP780" i="5"/>
  <c r="AN781" i="5"/>
  <c r="AO781" i="5"/>
  <c r="AP781" i="5"/>
  <c r="AN782" i="5"/>
  <c r="AO782" i="5"/>
  <c r="AP782" i="5"/>
  <c r="AN783" i="5"/>
  <c r="AO783" i="5"/>
  <c r="AP783" i="5"/>
  <c r="AN784" i="5"/>
  <c r="AO784" i="5"/>
  <c r="AP784" i="5"/>
  <c r="AN785" i="5"/>
  <c r="AO785" i="5"/>
  <c r="AP785" i="5"/>
  <c r="AN786" i="5"/>
  <c r="AO786" i="5"/>
  <c r="AP786" i="5"/>
  <c r="AN787" i="5"/>
  <c r="AO787" i="5"/>
  <c r="AP787" i="5"/>
  <c r="AN788" i="5"/>
  <c r="AO788" i="5"/>
  <c r="AP788" i="5"/>
  <c r="AN789" i="5"/>
  <c r="AO789" i="5"/>
  <c r="AP789" i="5"/>
  <c r="AN790" i="5"/>
  <c r="AO790" i="5"/>
  <c r="AP790" i="5"/>
  <c r="AN791" i="5"/>
  <c r="AO791" i="5"/>
  <c r="AP791" i="5"/>
  <c r="AN792" i="5"/>
  <c r="AO792" i="5"/>
  <c r="AP792" i="5"/>
  <c r="AN793" i="5"/>
  <c r="AO793" i="5"/>
  <c r="AP793" i="5"/>
  <c r="AN794" i="5"/>
  <c r="AO794" i="5"/>
  <c r="AP794" i="5"/>
  <c r="AN795" i="5"/>
  <c r="AO795" i="5"/>
  <c r="AP795" i="5"/>
  <c r="AN796" i="5"/>
  <c r="AO796" i="5"/>
  <c r="AP796" i="5"/>
  <c r="AN797" i="5"/>
  <c r="AO797" i="5"/>
  <c r="AP797" i="5"/>
  <c r="AN798" i="5"/>
  <c r="AO798" i="5"/>
  <c r="AP798" i="5"/>
  <c r="AN799" i="5"/>
  <c r="AO799" i="5"/>
  <c r="AP799" i="5"/>
  <c r="AN800" i="5"/>
  <c r="AO800" i="5"/>
  <c r="AP800" i="5"/>
  <c r="AN801" i="5"/>
  <c r="AO801" i="5"/>
  <c r="AP801" i="5"/>
  <c r="AN802" i="5"/>
  <c r="AO802" i="5"/>
  <c r="AP802" i="5"/>
  <c r="AN803" i="5"/>
  <c r="AO803" i="5"/>
  <c r="AP803" i="5"/>
  <c r="AN804" i="5"/>
  <c r="AO804" i="5"/>
  <c r="AP804" i="5"/>
  <c r="AN805" i="5"/>
  <c r="AO805" i="5"/>
  <c r="AP805" i="5"/>
  <c r="AN806" i="5"/>
  <c r="AO806" i="5"/>
  <c r="AP806" i="5"/>
  <c r="AN807" i="5"/>
  <c r="AO807" i="5"/>
  <c r="AP807" i="5"/>
  <c r="AN808" i="5"/>
  <c r="AO808" i="5"/>
  <c r="AP808" i="5"/>
  <c r="AN809" i="5"/>
  <c r="AO809" i="5"/>
  <c r="AP809" i="5"/>
  <c r="AN810" i="5"/>
  <c r="AO810" i="5"/>
  <c r="AP810" i="5"/>
  <c r="AN811" i="5"/>
  <c r="AO811" i="5"/>
  <c r="AP811" i="5"/>
  <c r="AN812" i="5"/>
  <c r="AO812" i="5"/>
  <c r="AP812" i="5"/>
  <c r="AN813" i="5"/>
  <c r="AO813" i="5"/>
  <c r="AP813" i="5"/>
  <c r="AN814" i="5"/>
  <c r="AO814" i="5"/>
  <c r="AP814" i="5"/>
  <c r="AN815" i="5"/>
  <c r="AO815" i="5"/>
  <c r="AP815" i="5"/>
  <c r="AN816" i="5"/>
  <c r="AO816" i="5"/>
  <c r="AP816" i="5"/>
  <c r="AN817" i="5"/>
  <c r="AO817" i="5"/>
  <c r="AP817" i="5"/>
  <c r="AN818" i="5"/>
  <c r="AO818" i="5"/>
  <c r="AP818" i="5"/>
  <c r="AN819" i="5"/>
  <c r="AO819" i="5"/>
  <c r="AP819" i="5"/>
  <c r="AN820" i="5"/>
  <c r="AO820" i="5"/>
  <c r="AP820" i="5"/>
  <c r="AN821" i="5"/>
  <c r="AO821" i="5"/>
  <c r="AP821" i="5"/>
  <c r="AN822" i="5"/>
  <c r="AO822" i="5"/>
  <c r="AP822" i="5"/>
  <c r="AN823" i="5"/>
  <c r="AO823" i="5"/>
  <c r="AP823" i="5"/>
  <c r="AN824" i="5"/>
  <c r="AO824" i="5"/>
  <c r="AP824" i="5"/>
  <c r="AN825" i="5"/>
  <c r="AO825" i="5"/>
  <c r="AP825" i="5"/>
  <c r="AN826" i="5"/>
  <c r="AO826" i="5"/>
  <c r="AP826" i="5"/>
  <c r="AN827" i="5"/>
  <c r="AO827" i="5"/>
  <c r="AP827" i="5"/>
  <c r="AN828" i="5"/>
  <c r="AO828" i="5"/>
  <c r="AP828" i="5"/>
  <c r="AN829" i="5"/>
  <c r="AO829" i="5"/>
  <c r="AP829" i="5"/>
  <c r="AN830" i="5"/>
  <c r="AO830" i="5"/>
  <c r="AP830" i="5"/>
  <c r="AN831" i="5"/>
  <c r="AO831" i="5"/>
  <c r="AP831" i="5"/>
  <c r="AN832" i="5"/>
  <c r="AO832" i="5"/>
  <c r="AP832" i="5"/>
  <c r="AN833" i="5"/>
  <c r="AO833" i="5"/>
  <c r="AP833" i="5"/>
  <c r="AN834" i="5"/>
  <c r="AO834" i="5"/>
  <c r="AP834" i="5"/>
  <c r="AN835" i="5"/>
  <c r="AO835" i="5"/>
  <c r="AP835" i="5"/>
  <c r="AN836" i="5"/>
  <c r="AO836" i="5"/>
  <c r="AP836" i="5"/>
  <c r="AN837" i="5"/>
  <c r="AO837" i="5"/>
  <c r="AP837" i="5"/>
  <c r="AN838" i="5"/>
  <c r="AO838" i="5"/>
  <c r="AP838" i="5"/>
  <c r="AN839" i="5"/>
  <c r="AO839" i="5"/>
  <c r="AP839" i="5"/>
  <c r="AN840" i="5"/>
  <c r="AO840" i="5"/>
  <c r="AP840" i="5"/>
  <c r="AN841" i="5"/>
  <c r="AO841" i="5"/>
  <c r="AP841" i="5"/>
  <c r="AN842" i="5"/>
  <c r="AO842" i="5"/>
  <c r="AP842" i="5"/>
  <c r="AN843" i="5"/>
  <c r="AO843" i="5"/>
  <c r="AP843" i="5"/>
  <c r="AN844" i="5"/>
  <c r="AO844" i="5"/>
  <c r="AP844" i="5"/>
  <c r="AN845" i="5"/>
  <c r="AO845" i="5"/>
  <c r="AP845" i="5"/>
  <c r="AN846" i="5"/>
  <c r="AO846" i="5"/>
  <c r="AP846" i="5"/>
  <c r="AN847" i="5"/>
  <c r="AO847" i="5"/>
  <c r="AP847" i="5"/>
  <c r="AN848" i="5"/>
  <c r="AO848" i="5"/>
  <c r="AP848" i="5"/>
  <c r="AN849" i="5"/>
  <c r="AO849" i="5"/>
  <c r="AP849" i="5"/>
  <c r="AN850" i="5"/>
  <c r="AO850" i="5"/>
  <c r="AP850" i="5"/>
  <c r="AN851" i="5"/>
  <c r="AO851" i="5"/>
  <c r="AP851" i="5"/>
  <c r="AN852" i="5"/>
  <c r="AO852" i="5"/>
  <c r="AP852" i="5"/>
  <c r="AN853" i="5"/>
  <c r="AO853" i="5"/>
  <c r="AP853" i="5"/>
  <c r="AN854" i="5"/>
  <c r="AO854" i="5"/>
  <c r="AP854" i="5"/>
  <c r="AN855" i="5"/>
  <c r="AO855" i="5"/>
  <c r="AP855" i="5"/>
  <c r="AN856" i="5"/>
  <c r="AO856" i="5"/>
  <c r="AP856" i="5"/>
  <c r="AN857" i="5"/>
  <c r="AO857" i="5"/>
  <c r="AP857" i="5"/>
  <c r="AN858" i="5"/>
  <c r="AO858" i="5"/>
  <c r="AP858" i="5"/>
  <c r="AN859" i="5"/>
  <c r="AO859" i="5"/>
  <c r="AP859" i="5"/>
  <c r="AN860" i="5"/>
  <c r="AO860" i="5"/>
  <c r="AP860" i="5"/>
  <c r="AN861" i="5"/>
  <c r="AO861" i="5"/>
  <c r="AP861" i="5"/>
  <c r="AN862" i="5"/>
  <c r="AO862" i="5"/>
  <c r="AP862" i="5"/>
  <c r="AN863" i="5"/>
  <c r="AO863" i="5"/>
  <c r="AP863" i="5"/>
  <c r="AN864" i="5"/>
  <c r="AO864" i="5"/>
  <c r="AP864" i="5"/>
  <c r="AN865" i="5"/>
  <c r="AO865" i="5"/>
  <c r="AP865" i="5"/>
  <c r="AN866" i="5"/>
  <c r="AO866" i="5"/>
  <c r="AP866" i="5"/>
  <c r="AN867" i="5"/>
  <c r="AO867" i="5"/>
  <c r="AP867" i="5"/>
  <c r="AN868" i="5"/>
  <c r="AO868" i="5"/>
  <c r="AP868" i="5"/>
  <c r="AN869" i="5"/>
  <c r="AO869" i="5"/>
  <c r="AP869" i="5"/>
  <c r="AN870" i="5"/>
  <c r="AO870" i="5"/>
  <c r="AP870" i="5"/>
  <c r="AN871" i="5"/>
  <c r="AO871" i="5"/>
  <c r="AP871" i="5"/>
  <c r="AN872" i="5"/>
  <c r="AO872" i="5"/>
  <c r="AP872" i="5"/>
  <c r="AN873" i="5"/>
  <c r="AO873" i="5"/>
  <c r="AP873" i="5"/>
  <c r="AN874" i="5"/>
  <c r="AO874" i="5"/>
  <c r="AP874" i="5"/>
  <c r="AN875" i="5"/>
  <c r="AO875" i="5"/>
  <c r="AP875" i="5"/>
  <c r="AN876" i="5"/>
  <c r="AO876" i="5"/>
  <c r="AP876" i="5"/>
  <c r="AN877" i="5"/>
  <c r="AO877" i="5"/>
  <c r="AP877" i="5"/>
  <c r="AN878" i="5"/>
  <c r="AO878" i="5"/>
  <c r="AP878" i="5"/>
  <c r="AN879" i="5"/>
  <c r="AO879" i="5"/>
  <c r="AP879" i="5"/>
  <c r="AN880" i="5"/>
  <c r="AO880" i="5"/>
  <c r="AP880" i="5"/>
  <c r="AN881" i="5"/>
  <c r="AO881" i="5"/>
  <c r="AP881" i="5"/>
  <c r="AN882" i="5"/>
  <c r="AO882" i="5"/>
  <c r="AP882" i="5"/>
  <c r="AN883" i="5"/>
  <c r="AO883" i="5"/>
  <c r="AP883" i="5"/>
  <c r="AN884" i="5"/>
  <c r="AO884" i="5"/>
  <c r="AP884" i="5"/>
  <c r="AN885" i="5"/>
  <c r="AO885" i="5"/>
  <c r="AP885" i="5"/>
  <c r="AN886" i="5"/>
  <c r="AO886" i="5"/>
  <c r="AP886" i="5"/>
  <c r="AN887" i="5"/>
  <c r="AO887" i="5"/>
  <c r="AP887" i="5"/>
  <c r="AN888" i="5"/>
  <c r="AO888" i="5"/>
  <c r="AP888" i="5"/>
  <c r="AN889" i="5"/>
  <c r="AO889" i="5"/>
  <c r="AP889" i="5"/>
  <c r="AN890" i="5"/>
  <c r="AO890" i="5"/>
  <c r="AP890" i="5"/>
  <c r="AN891" i="5"/>
  <c r="AO891" i="5"/>
  <c r="AP891" i="5"/>
  <c r="AN892" i="5"/>
  <c r="AO892" i="5"/>
  <c r="AP892" i="5"/>
  <c r="AN893" i="5"/>
  <c r="AO893" i="5"/>
  <c r="AP893" i="5"/>
  <c r="AN894" i="5"/>
  <c r="AO894" i="5"/>
  <c r="AP894" i="5"/>
  <c r="AN895" i="5"/>
  <c r="AO895" i="5"/>
  <c r="AP895" i="5"/>
  <c r="AN896" i="5"/>
  <c r="AO896" i="5"/>
  <c r="AP896" i="5"/>
  <c r="AN897" i="5"/>
  <c r="AO897" i="5"/>
  <c r="AP897" i="5"/>
  <c r="AN898" i="5"/>
  <c r="AO898" i="5"/>
  <c r="AP898" i="5"/>
  <c r="AN899" i="5"/>
  <c r="AO899" i="5"/>
  <c r="AP899" i="5"/>
  <c r="AN900" i="5"/>
  <c r="AO900" i="5"/>
  <c r="AP900" i="5"/>
  <c r="AN901" i="5"/>
  <c r="AO901" i="5"/>
  <c r="AP901" i="5"/>
  <c r="AN902" i="5"/>
  <c r="AO902" i="5"/>
  <c r="AP902" i="5"/>
  <c r="AN903" i="5"/>
  <c r="AO903" i="5"/>
  <c r="AP903" i="5"/>
  <c r="AN904" i="5"/>
  <c r="AO904" i="5"/>
  <c r="AP904" i="5"/>
  <c r="AN905" i="5"/>
  <c r="AO905" i="5"/>
  <c r="AP905" i="5"/>
  <c r="AN906" i="5"/>
  <c r="AO906" i="5"/>
  <c r="AP906" i="5"/>
  <c r="AN907" i="5"/>
  <c r="AO907" i="5"/>
  <c r="AP907" i="5"/>
  <c r="AN908" i="5"/>
  <c r="AO908" i="5"/>
  <c r="AP908" i="5"/>
  <c r="AN909" i="5"/>
  <c r="AO909" i="5"/>
  <c r="AP909" i="5"/>
  <c r="AN910" i="5"/>
  <c r="AO910" i="5"/>
  <c r="AP910" i="5"/>
  <c r="AN911" i="5"/>
  <c r="AO911" i="5"/>
  <c r="AP911" i="5"/>
  <c r="AN912" i="5"/>
  <c r="AO912" i="5"/>
  <c r="AP912" i="5"/>
  <c r="AN913" i="5"/>
  <c r="AO913" i="5"/>
  <c r="AP913" i="5"/>
  <c r="AN914" i="5"/>
  <c r="AO914" i="5"/>
  <c r="AP914" i="5"/>
  <c r="AN915" i="5"/>
  <c r="AO915" i="5"/>
  <c r="AP915" i="5"/>
  <c r="AN916" i="5"/>
  <c r="AO916" i="5"/>
  <c r="AP916" i="5"/>
  <c r="AN917" i="5"/>
  <c r="AO917" i="5"/>
  <c r="AP917" i="5"/>
  <c r="AN918" i="5"/>
  <c r="AO918" i="5"/>
  <c r="AP918" i="5"/>
  <c r="AN919" i="5"/>
  <c r="AO919" i="5"/>
  <c r="AP919" i="5"/>
  <c r="AN920" i="5"/>
  <c r="AO920" i="5"/>
  <c r="AP920" i="5"/>
  <c r="AN921" i="5"/>
  <c r="AO921" i="5"/>
  <c r="AP921" i="5"/>
  <c r="AN922" i="5"/>
  <c r="AO922" i="5"/>
  <c r="AP922" i="5"/>
  <c r="AN923" i="5"/>
  <c r="AO923" i="5"/>
  <c r="AP923" i="5"/>
  <c r="AN924" i="5"/>
  <c r="AO924" i="5"/>
  <c r="AP924" i="5"/>
  <c r="AN925" i="5"/>
  <c r="AO925" i="5"/>
  <c r="AP925" i="5"/>
  <c r="AN926" i="5"/>
  <c r="AO926" i="5"/>
  <c r="AP926" i="5"/>
  <c r="AN927" i="5"/>
  <c r="AO927" i="5"/>
  <c r="AP927" i="5"/>
  <c r="AN928" i="5"/>
  <c r="AO928" i="5"/>
  <c r="AP928" i="5"/>
  <c r="AN929" i="5"/>
  <c r="AO929" i="5"/>
  <c r="AP929" i="5"/>
  <c r="AN930" i="5"/>
  <c r="AO930" i="5"/>
  <c r="AP930" i="5"/>
  <c r="AN931" i="5"/>
  <c r="AO931" i="5"/>
  <c r="AP931" i="5"/>
  <c r="AN932" i="5"/>
  <c r="AO932" i="5"/>
  <c r="AP932" i="5"/>
  <c r="AN933" i="5"/>
  <c r="AO933" i="5"/>
  <c r="AP933" i="5"/>
  <c r="AN934" i="5"/>
  <c r="AO934" i="5"/>
  <c r="AP934" i="5"/>
  <c r="AN935" i="5"/>
  <c r="AO935" i="5"/>
  <c r="AP935" i="5"/>
  <c r="AN936" i="5"/>
  <c r="AO936" i="5"/>
  <c r="AP936" i="5"/>
  <c r="AN937" i="5"/>
  <c r="AO937" i="5"/>
  <c r="AP937" i="5"/>
  <c r="AN938" i="5"/>
  <c r="AO938" i="5"/>
  <c r="AP938" i="5"/>
  <c r="AN939" i="5"/>
  <c r="AO939" i="5"/>
  <c r="AP939" i="5"/>
  <c r="AN940" i="5"/>
  <c r="AO940" i="5"/>
  <c r="AP940" i="5"/>
  <c r="AN941" i="5"/>
  <c r="AO941" i="5"/>
  <c r="AP941" i="5"/>
  <c r="AN942" i="5"/>
  <c r="AO942" i="5"/>
  <c r="AP942" i="5"/>
  <c r="AN943" i="5"/>
  <c r="AO943" i="5"/>
  <c r="AP943" i="5"/>
  <c r="AN944" i="5"/>
  <c r="AO944" i="5"/>
  <c r="AP944" i="5"/>
  <c r="AN945" i="5"/>
  <c r="AO945" i="5"/>
  <c r="AP945" i="5"/>
  <c r="AN946" i="5"/>
  <c r="AO946" i="5"/>
  <c r="AP946" i="5"/>
  <c r="AN947" i="5"/>
  <c r="AO947" i="5"/>
  <c r="AP947" i="5"/>
  <c r="AN948" i="5"/>
  <c r="AO948" i="5"/>
  <c r="AP948" i="5"/>
  <c r="AN949" i="5"/>
  <c r="AO949" i="5"/>
  <c r="AP949" i="5"/>
  <c r="AN950" i="5"/>
  <c r="AO950" i="5"/>
  <c r="AP950" i="5"/>
  <c r="AN951" i="5"/>
  <c r="AO951" i="5"/>
  <c r="AP951" i="5"/>
  <c r="AN952" i="5"/>
  <c r="AO952" i="5"/>
  <c r="AP952" i="5"/>
  <c r="AN953" i="5"/>
  <c r="AO953" i="5"/>
  <c r="AP953" i="5"/>
  <c r="AN954" i="5"/>
  <c r="AO954" i="5"/>
  <c r="AP954" i="5"/>
  <c r="AN955" i="5"/>
  <c r="AO955" i="5"/>
  <c r="AP955" i="5"/>
  <c r="AN956" i="5"/>
  <c r="AO956" i="5"/>
  <c r="AP956" i="5"/>
  <c r="AN957" i="5"/>
  <c r="AO957" i="5"/>
  <c r="AP957" i="5"/>
  <c r="AN958" i="5"/>
  <c r="AO958" i="5"/>
  <c r="AP958" i="5"/>
  <c r="AN959" i="5"/>
  <c r="AO959" i="5"/>
  <c r="AP959" i="5"/>
  <c r="AN960" i="5"/>
  <c r="AO960" i="5"/>
  <c r="AP960" i="5"/>
  <c r="AN961" i="5"/>
  <c r="AO961" i="5"/>
  <c r="AP961" i="5"/>
  <c r="AN962" i="5"/>
  <c r="AO962" i="5"/>
  <c r="AP962" i="5"/>
  <c r="AN963" i="5"/>
  <c r="AO963" i="5"/>
  <c r="AP963" i="5"/>
  <c r="AN964" i="5"/>
  <c r="AO964" i="5"/>
  <c r="AP964" i="5"/>
  <c r="AN965" i="5"/>
  <c r="AO965" i="5"/>
  <c r="AP965" i="5"/>
  <c r="AN966" i="5"/>
  <c r="AO966" i="5"/>
  <c r="AP966" i="5"/>
  <c r="AN967" i="5"/>
  <c r="AO967" i="5"/>
  <c r="AP967" i="5"/>
  <c r="AN968" i="5"/>
  <c r="AO968" i="5"/>
  <c r="AP968" i="5"/>
  <c r="AN969" i="5"/>
  <c r="AO969" i="5"/>
  <c r="AP969" i="5"/>
  <c r="AN970" i="5"/>
  <c r="AO970" i="5"/>
  <c r="AP970" i="5"/>
  <c r="AN971" i="5"/>
  <c r="AO971" i="5"/>
  <c r="AP971" i="5"/>
  <c r="AN972" i="5"/>
  <c r="AO972" i="5"/>
  <c r="AP972" i="5"/>
  <c r="AN973" i="5"/>
  <c r="AO973" i="5"/>
  <c r="AP973" i="5"/>
  <c r="AN974" i="5"/>
  <c r="AO974" i="5"/>
  <c r="AP974" i="5"/>
  <c r="AN975" i="5"/>
  <c r="AO975" i="5"/>
  <c r="AP975" i="5"/>
  <c r="AN976" i="5"/>
  <c r="AO976" i="5"/>
  <c r="AP976" i="5"/>
  <c r="AN977" i="5"/>
  <c r="AO977" i="5"/>
  <c r="AP977" i="5"/>
  <c r="AN978" i="5"/>
  <c r="AO978" i="5"/>
  <c r="AP978" i="5"/>
  <c r="AN979" i="5"/>
  <c r="AO979" i="5"/>
  <c r="AP979" i="5"/>
  <c r="AN980" i="5"/>
  <c r="AO980" i="5"/>
  <c r="AP980" i="5"/>
  <c r="AN981" i="5"/>
  <c r="AO981" i="5"/>
  <c r="AP981" i="5"/>
  <c r="AN982" i="5"/>
  <c r="AO982" i="5"/>
  <c r="AP982" i="5"/>
  <c r="AN983" i="5"/>
  <c r="AO983" i="5"/>
  <c r="AP983" i="5"/>
  <c r="AN984" i="5"/>
  <c r="AO984" i="5"/>
  <c r="AP984" i="5"/>
  <c r="AN985" i="5"/>
  <c r="AO985" i="5"/>
  <c r="AP985" i="5"/>
  <c r="AN986" i="5"/>
  <c r="AO986" i="5"/>
  <c r="AP986" i="5"/>
  <c r="AN987" i="5"/>
  <c r="AO987" i="5"/>
  <c r="AP987" i="5"/>
  <c r="AN988" i="5"/>
  <c r="AO988" i="5"/>
  <c r="AP988" i="5"/>
  <c r="AN989" i="5"/>
  <c r="AO989" i="5"/>
  <c r="AP989" i="5"/>
  <c r="AN990" i="5"/>
  <c r="AO990" i="5"/>
  <c r="AP990" i="5"/>
  <c r="AN991" i="5"/>
  <c r="AO991" i="5"/>
  <c r="AP991" i="5"/>
  <c r="AN992" i="5"/>
  <c r="AO992" i="5"/>
  <c r="AP992" i="5"/>
  <c r="AN993" i="5"/>
  <c r="AO993" i="5"/>
  <c r="AP993" i="5"/>
  <c r="AN994" i="5"/>
  <c r="AO994" i="5"/>
  <c r="AP994" i="5"/>
  <c r="AN995" i="5"/>
  <c r="AO995" i="5"/>
  <c r="AP995" i="5"/>
  <c r="AN996" i="5"/>
  <c r="AO996" i="5"/>
  <c r="AP996" i="5"/>
  <c r="AN997" i="5"/>
  <c r="AO997" i="5"/>
  <c r="AP997" i="5"/>
  <c r="AN998" i="5"/>
  <c r="AO998" i="5"/>
  <c r="AP998" i="5"/>
  <c r="AN999" i="5"/>
  <c r="AO999" i="5"/>
  <c r="AP999" i="5"/>
  <c r="AN1000" i="5"/>
  <c r="AO1000" i="5"/>
  <c r="AP1000" i="5"/>
  <c r="AN1001" i="5"/>
  <c r="AO1001" i="5"/>
  <c r="AP1001" i="5"/>
  <c r="AN1002" i="5"/>
  <c r="AO1002" i="5"/>
  <c r="AP1002" i="5"/>
  <c r="AN1003" i="5"/>
  <c r="AO1003" i="5"/>
  <c r="AP1003" i="5"/>
  <c r="AN1004" i="5"/>
  <c r="AO1004" i="5"/>
  <c r="AP1004" i="5"/>
  <c r="AN1005" i="5"/>
  <c r="AO1005" i="5"/>
  <c r="AP1005" i="5"/>
  <c r="AN1006" i="5"/>
  <c r="AO1006" i="5"/>
  <c r="AP1006" i="5"/>
  <c r="AN1007" i="5"/>
  <c r="AO1007" i="5"/>
  <c r="AP1007" i="5"/>
  <c r="AN1008" i="5"/>
  <c r="AO1008" i="5"/>
  <c r="AP1008" i="5"/>
  <c r="AN1009" i="5"/>
  <c r="AO1009" i="5"/>
  <c r="AP1009" i="5"/>
  <c r="AN1010" i="5"/>
  <c r="AO1010" i="5"/>
  <c r="AP1010" i="5"/>
  <c r="AN1011" i="5"/>
  <c r="AO1011" i="5"/>
  <c r="AP1011" i="5"/>
  <c r="AN1012" i="5"/>
  <c r="AO1012" i="5"/>
  <c r="AP1012" i="5"/>
  <c r="AN1013" i="5"/>
  <c r="AO1013" i="5"/>
  <c r="AP1013" i="5"/>
  <c r="AN1014" i="5"/>
  <c r="AO1014" i="5"/>
  <c r="AP1014" i="5"/>
  <c r="AN1015" i="5"/>
  <c r="AO1015" i="5"/>
  <c r="AP1015" i="5"/>
  <c r="AN1016" i="5"/>
  <c r="AO1016" i="5"/>
  <c r="AP1016" i="5"/>
  <c r="AN1017" i="5"/>
  <c r="AO1017" i="5"/>
  <c r="AP1017" i="5"/>
  <c r="AN1018" i="5"/>
  <c r="AO1018" i="5"/>
  <c r="AP1018" i="5"/>
  <c r="AN1019" i="5"/>
  <c r="AO1019" i="5"/>
  <c r="AP1019" i="5"/>
  <c r="AN1020" i="5"/>
  <c r="AO1020" i="5"/>
  <c r="AP1020" i="5"/>
  <c r="AN1021" i="5"/>
  <c r="AO1021" i="5"/>
  <c r="AP1021" i="5"/>
  <c r="AN1022" i="5"/>
  <c r="AO1022" i="5"/>
  <c r="AP1022" i="5"/>
  <c r="AN1023" i="5"/>
  <c r="AO1023" i="5"/>
  <c r="AP1023" i="5"/>
  <c r="AN1024" i="5"/>
  <c r="AO1024" i="5"/>
  <c r="AP1024" i="5"/>
  <c r="AN1025" i="5"/>
  <c r="AO1025" i="5"/>
  <c r="AP1025" i="5"/>
  <c r="AN1026" i="5"/>
  <c r="AO1026" i="5"/>
  <c r="AP1026" i="5"/>
  <c r="AN1027" i="5"/>
  <c r="AO1027" i="5"/>
  <c r="AP1027" i="5"/>
  <c r="AN1028" i="5"/>
  <c r="AO1028" i="5"/>
  <c r="AP1028" i="5"/>
  <c r="AN1029" i="5"/>
  <c r="AO1029" i="5"/>
  <c r="AP1029" i="5"/>
  <c r="AN1030" i="5"/>
  <c r="AO1030" i="5"/>
  <c r="AP1030" i="5"/>
  <c r="AN1031" i="5"/>
  <c r="AO1031" i="5"/>
  <c r="AP1031" i="5"/>
  <c r="AN1032" i="5"/>
  <c r="AO1032" i="5"/>
  <c r="AP1032" i="5"/>
  <c r="AN1033" i="5"/>
  <c r="AO1033" i="5"/>
  <c r="AP1033" i="5"/>
  <c r="AN1034" i="5"/>
  <c r="AO1034" i="5"/>
  <c r="AP1034" i="5"/>
  <c r="AN1035" i="5"/>
  <c r="AO1035" i="5"/>
  <c r="AP1035" i="5"/>
  <c r="AN1036" i="5"/>
  <c r="AO1036" i="5"/>
  <c r="AP1036" i="5"/>
  <c r="AN1037" i="5"/>
  <c r="AO1037" i="5"/>
  <c r="AP1037" i="5"/>
  <c r="AN1038" i="5"/>
  <c r="AO1038" i="5"/>
  <c r="AP1038" i="5"/>
  <c r="AN1039" i="5"/>
  <c r="AO1039" i="5"/>
  <c r="AP1039" i="5"/>
  <c r="AN1040" i="5"/>
  <c r="AO1040" i="5"/>
  <c r="AP1040" i="5"/>
  <c r="AN1041" i="5"/>
  <c r="AO1041" i="5"/>
  <c r="AP1041" i="5"/>
  <c r="AN1042" i="5"/>
  <c r="AO1042" i="5"/>
  <c r="AP1042" i="5"/>
  <c r="AN1043" i="5"/>
  <c r="AO1043" i="5"/>
  <c r="AP1043" i="5"/>
  <c r="AN1044" i="5"/>
  <c r="AO1044" i="5"/>
  <c r="AP1044" i="5"/>
  <c r="AN1045" i="5"/>
  <c r="AO1045" i="5"/>
  <c r="AP1045" i="5"/>
  <c r="AN1046" i="5"/>
  <c r="AO1046" i="5"/>
  <c r="AP1046" i="5"/>
  <c r="AN1047" i="5"/>
  <c r="AO1047" i="5"/>
  <c r="AP1047" i="5"/>
  <c r="AN1048" i="5"/>
  <c r="AO1048" i="5"/>
  <c r="AP1048" i="5"/>
  <c r="AN1049" i="5"/>
  <c r="AO1049" i="5"/>
  <c r="AP1049" i="5"/>
  <c r="AN1050" i="5"/>
  <c r="AO1050" i="5"/>
  <c r="AP1050" i="5"/>
  <c r="AN1051" i="5"/>
  <c r="AO1051" i="5"/>
  <c r="AP1051" i="5"/>
  <c r="AN1052" i="5"/>
  <c r="AO1052" i="5"/>
  <c r="AP1052" i="5"/>
  <c r="AN1053" i="5"/>
  <c r="AO1053" i="5"/>
  <c r="AP1053" i="5"/>
  <c r="AN1054" i="5"/>
  <c r="AO1054" i="5"/>
  <c r="AP1054" i="5"/>
  <c r="AN1055" i="5"/>
  <c r="AO1055" i="5"/>
  <c r="AP1055" i="5"/>
  <c r="AN1056" i="5"/>
  <c r="AO1056" i="5"/>
  <c r="AP1056" i="5"/>
  <c r="AN1057" i="5"/>
  <c r="AO1057" i="5"/>
  <c r="AP1057" i="5"/>
  <c r="AN1058" i="5"/>
  <c r="AO1058" i="5"/>
  <c r="AP1058" i="5"/>
  <c r="AN1059" i="5"/>
  <c r="AO1059" i="5"/>
  <c r="AP1059" i="5"/>
  <c r="AN1060" i="5"/>
  <c r="AO1060" i="5"/>
  <c r="AP1060" i="5"/>
  <c r="AN1061" i="5"/>
  <c r="AO1061" i="5"/>
  <c r="AP1061" i="5"/>
  <c r="AN1062" i="5"/>
  <c r="AO1062" i="5"/>
  <c r="AP1062" i="5"/>
  <c r="AN1063" i="5"/>
  <c r="AO1063" i="5"/>
  <c r="AP1063" i="5"/>
  <c r="AN1064" i="5"/>
  <c r="AO1064" i="5"/>
  <c r="AP1064" i="5"/>
  <c r="AN1065" i="5"/>
  <c r="AO1065" i="5"/>
  <c r="AP1065" i="5"/>
  <c r="AN1066" i="5"/>
  <c r="AO1066" i="5"/>
  <c r="AP1066" i="5"/>
  <c r="AN1067" i="5"/>
  <c r="AO1067" i="5"/>
  <c r="AP1067" i="5"/>
  <c r="AN1068" i="5"/>
  <c r="AO1068" i="5"/>
  <c r="AP1068" i="5"/>
  <c r="AN1069" i="5"/>
  <c r="AO1069" i="5"/>
  <c r="AP1069" i="5"/>
  <c r="AN1070" i="5"/>
  <c r="AO1070" i="5"/>
  <c r="AP1070" i="5"/>
  <c r="AN1071" i="5"/>
  <c r="AO1071" i="5"/>
  <c r="AP1071" i="5"/>
  <c r="AN1072" i="5"/>
  <c r="AO1072" i="5"/>
  <c r="AP1072" i="5"/>
  <c r="AN1073" i="5"/>
  <c r="AO1073" i="5"/>
  <c r="AP1073" i="5"/>
  <c r="AN1074" i="5"/>
  <c r="AO1074" i="5"/>
  <c r="AP1074" i="5"/>
  <c r="AN1075" i="5"/>
  <c r="AO1075" i="5"/>
  <c r="AP1075" i="5"/>
  <c r="AN1076" i="5"/>
  <c r="AO1076" i="5"/>
  <c r="AP1076" i="5"/>
  <c r="AN1077" i="5"/>
  <c r="AO1077" i="5"/>
  <c r="AP1077" i="5"/>
  <c r="AN1078" i="5"/>
  <c r="AO1078" i="5"/>
  <c r="AP1078" i="5"/>
  <c r="AN1079" i="5"/>
  <c r="AO1079" i="5"/>
  <c r="AP1079" i="5"/>
  <c r="AN1080" i="5"/>
  <c r="AO1080" i="5"/>
  <c r="AP1080" i="5"/>
  <c r="AN1081" i="5"/>
  <c r="AO1081" i="5"/>
  <c r="AP1081" i="5"/>
  <c r="AN1082" i="5"/>
  <c r="AO1082" i="5"/>
  <c r="AP1082" i="5"/>
  <c r="AN1083" i="5"/>
  <c r="AO1083" i="5"/>
  <c r="AP1083" i="5"/>
  <c r="AN1084" i="5"/>
  <c r="AO1084" i="5"/>
  <c r="AP1084" i="5"/>
  <c r="AN1085" i="5"/>
  <c r="AO1085" i="5"/>
  <c r="AP1085" i="5"/>
  <c r="AN1086" i="5"/>
  <c r="AO1086" i="5"/>
  <c r="AP1086" i="5"/>
  <c r="AN1087" i="5"/>
  <c r="AO1087" i="5"/>
  <c r="AP1087" i="5"/>
  <c r="AN1088" i="5"/>
  <c r="AO1088" i="5"/>
  <c r="AP1088" i="5"/>
  <c r="AN1089" i="5"/>
  <c r="AO1089" i="5"/>
  <c r="AP1089" i="5"/>
  <c r="AN1090" i="5"/>
  <c r="AO1090" i="5"/>
  <c r="AP1090" i="5"/>
  <c r="AN1091" i="5"/>
  <c r="AO1091" i="5"/>
  <c r="AP1091" i="5"/>
  <c r="AN1092" i="5"/>
  <c r="AO1092" i="5"/>
  <c r="AP1092" i="5"/>
  <c r="AN1093" i="5"/>
  <c r="AO1093" i="5"/>
  <c r="AP1093" i="5"/>
  <c r="AN1094" i="5"/>
  <c r="AO1094" i="5"/>
  <c r="AP1094" i="5"/>
  <c r="AN1095" i="5"/>
  <c r="AO1095" i="5"/>
  <c r="AP1095" i="5"/>
  <c r="AN1096" i="5"/>
  <c r="AO1096" i="5"/>
  <c r="AP1096" i="5"/>
  <c r="AN1097" i="5"/>
  <c r="AO1097" i="5"/>
  <c r="AP1097" i="5"/>
  <c r="AN1098" i="5"/>
  <c r="AO1098" i="5"/>
  <c r="AP1098" i="5"/>
  <c r="AN1099" i="5"/>
  <c r="AO1099" i="5"/>
  <c r="AP1099" i="5"/>
  <c r="AN1100" i="5"/>
  <c r="AO1100" i="5"/>
  <c r="AP1100" i="5"/>
  <c r="AN1101" i="5"/>
  <c r="AO1101" i="5"/>
  <c r="AP1101" i="5"/>
  <c r="AN1102" i="5"/>
  <c r="AO1102" i="5"/>
  <c r="AP1102" i="5"/>
  <c r="AN1103" i="5"/>
  <c r="AO1103" i="5"/>
  <c r="AP1103" i="5"/>
  <c r="AN1104" i="5"/>
  <c r="AO1104" i="5"/>
  <c r="AP1104" i="5"/>
  <c r="AN1105" i="5"/>
  <c r="AO1105" i="5"/>
  <c r="AP1105" i="5"/>
  <c r="AN1106" i="5"/>
  <c r="AO1106" i="5"/>
  <c r="AP1106" i="5"/>
  <c r="AN1107" i="5"/>
  <c r="AO1107" i="5"/>
  <c r="AP1107" i="5"/>
  <c r="AN1108" i="5"/>
  <c r="AO1108" i="5"/>
  <c r="AP1108" i="5"/>
  <c r="AN1109" i="5"/>
  <c r="AO1109" i="5"/>
  <c r="AP1109" i="5"/>
  <c r="AN1110" i="5"/>
  <c r="AO1110" i="5"/>
  <c r="AP1110" i="5"/>
  <c r="AN1111" i="5"/>
  <c r="AO1111" i="5"/>
  <c r="AP1111" i="5"/>
  <c r="AN1112" i="5"/>
  <c r="AO1112" i="5"/>
  <c r="AP1112" i="5"/>
  <c r="AN1113" i="5"/>
  <c r="AO1113" i="5"/>
  <c r="AP1113" i="5"/>
  <c r="AN1114" i="5"/>
  <c r="AO1114" i="5"/>
  <c r="AP1114" i="5"/>
  <c r="AN1115" i="5"/>
  <c r="AO1115" i="5"/>
  <c r="AP1115" i="5"/>
  <c r="AN1116" i="5"/>
  <c r="AO1116" i="5"/>
  <c r="AP1116" i="5"/>
  <c r="AN1117" i="5"/>
  <c r="AO1117" i="5"/>
  <c r="AP1117" i="5"/>
  <c r="AN1118" i="5"/>
  <c r="AO1118" i="5"/>
  <c r="AP1118" i="5"/>
  <c r="AN1119" i="5"/>
  <c r="AO1119" i="5"/>
  <c r="AP1119" i="5"/>
  <c r="AN1120" i="5"/>
  <c r="AO1120" i="5"/>
  <c r="AP1120" i="5"/>
  <c r="AN1121" i="5"/>
  <c r="AO1121" i="5"/>
  <c r="AP1121" i="5"/>
  <c r="AN1122" i="5"/>
  <c r="AO1122" i="5"/>
  <c r="AP1122" i="5"/>
  <c r="AN1123" i="5"/>
  <c r="AO1123" i="5"/>
  <c r="AP1123" i="5"/>
  <c r="AN1124" i="5"/>
  <c r="AO1124" i="5"/>
  <c r="AP1124" i="5"/>
  <c r="AN1125" i="5"/>
  <c r="AO1125" i="5"/>
  <c r="AP1125" i="5"/>
  <c r="AN1126" i="5"/>
  <c r="AO1126" i="5"/>
  <c r="AP1126" i="5"/>
  <c r="AN1127" i="5"/>
  <c r="AO1127" i="5"/>
  <c r="AP1127" i="5"/>
  <c r="AN1128" i="5"/>
  <c r="AO1128" i="5"/>
  <c r="AP1128" i="5"/>
  <c r="AN1129" i="5"/>
  <c r="AO1129" i="5"/>
  <c r="AP1129" i="5"/>
  <c r="AN1130" i="5"/>
  <c r="AO1130" i="5"/>
  <c r="AP1130" i="5"/>
  <c r="AN1131" i="5"/>
  <c r="AO1131" i="5"/>
  <c r="AP1131" i="5"/>
  <c r="AN1132" i="5"/>
  <c r="AO1132" i="5"/>
  <c r="AP1132" i="5"/>
  <c r="AN1133" i="5"/>
  <c r="AO1133" i="5"/>
  <c r="AP1133" i="5"/>
  <c r="AN1134" i="5"/>
  <c r="AO1134" i="5"/>
  <c r="AP1134" i="5"/>
  <c r="AN1135" i="5"/>
  <c r="AO1135" i="5"/>
  <c r="AP1135" i="5"/>
  <c r="AN1136" i="5"/>
  <c r="AO1136" i="5"/>
  <c r="AP1136" i="5"/>
  <c r="AN1137" i="5"/>
  <c r="AO1137" i="5"/>
  <c r="AP1137" i="5"/>
  <c r="AN1138" i="5"/>
  <c r="AO1138" i="5"/>
  <c r="AP1138" i="5"/>
  <c r="AN1139" i="5"/>
  <c r="AO1139" i="5"/>
  <c r="AP1139" i="5"/>
  <c r="AN1140" i="5"/>
  <c r="AO1140" i="5"/>
  <c r="AP1140" i="5"/>
  <c r="AN1141" i="5"/>
  <c r="AO1141" i="5"/>
  <c r="AP1141" i="5"/>
  <c r="AN1142" i="5"/>
  <c r="AO1142" i="5"/>
  <c r="AP1142" i="5"/>
  <c r="AN1143" i="5"/>
  <c r="AO1143" i="5"/>
  <c r="AP1143" i="5"/>
  <c r="AN1144" i="5"/>
  <c r="AO1144" i="5"/>
  <c r="AP1144" i="5"/>
  <c r="AN1145" i="5"/>
  <c r="AO1145" i="5"/>
  <c r="AP1145" i="5"/>
  <c r="AN1146" i="5"/>
  <c r="AO1146" i="5"/>
  <c r="AP1146" i="5"/>
  <c r="AN1147" i="5"/>
  <c r="AO1147" i="5"/>
  <c r="AP1147" i="5"/>
  <c r="AN1148" i="5"/>
  <c r="AO1148" i="5"/>
  <c r="AP1148" i="5"/>
  <c r="AN1149" i="5"/>
  <c r="AO1149" i="5"/>
  <c r="AP1149" i="5"/>
  <c r="AN1150" i="5"/>
  <c r="AO1150" i="5"/>
  <c r="AP1150" i="5"/>
  <c r="AN1151" i="5"/>
  <c r="AO1151" i="5"/>
  <c r="AP1151" i="5"/>
  <c r="AN1152" i="5"/>
  <c r="AO1152" i="5"/>
  <c r="AP1152" i="5"/>
  <c r="AN1153" i="5"/>
  <c r="AO1153" i="5"/>
  <c r="AP1153" i="5"/>
  <c r="AN1154" i="5"/>
  <c r="AO1154" i="5"/>
  <c r="AP1154" i="5"/>
  <c r="AN1155" i="5"/>
  <c r="AO1155" i="5"/>
  <c r="AP1155" i="5"/>
  <c r="AN1156" i="5"/>
  <c r="AO1156" i="5"/>
  <c r="AP1156" i="5"/>
  <c r="AN1157" i="5"/>
  <c r="AO1157" i="5"/>
  <c r="AP1157" i="5"/>
  <c r="AN1158" i="5"/>
  <c r="AO1158" i="5"/>
  <c r="AP1158" i="5"/>
  <c r="AN1159" i="5"/>
  <c r="AO1159" i="5"/>
  <c r="AP1159" i="5"/>
  <c r="AN1160" i="5"/>
  <c r="AO1160" i="5"/>
  <c r="AP1160" i="5"/>
  <c r="AN1161" i="5"/>
  <c r="AO1161" i="5"/>
  <c r="AP1161" i="5"/>
  <c r="AN1162" i="5"/>
  <c r="AO1162" i="5"/>
  <c r="AP1162" i="5"/>
  <c r="AN1163" i="5"/>
  <c r="AO1163" i="5"/>
  <c r="AP1163" i="5"/>
  <c r="AN1164" i="5"/>
  <c r="AO1164" i="5"/>
  <c r="AP1164" i="5"/>
  <c r="AN1165" i="5"/>
  <c r="AO1165" i="5"/>
  <c r="AP1165" i="5"/>
  <c r="AN1166" i="5"/>
  <c r="AO1166" i="5"/>
  <c r="AP1166" i="5"/>
  <c r="AN1167" i="5"/>
  <c r="AO1167" i="5"/>
  <c r="AP1167" i="5"/>
  <c r="AN1168" i="5"/>
  <c r="AO1168" i="5"/>
  <c r="AP1168" i="5"/>
  <c r="AN1169" i="5"/>
  <c r="AO1169" i="5"/>
  <c r="AP1169" i="5"/>
  <c r="AN1170" i="5"/>
  <c r="AO1170" i="5"/>
  <c r="AP1170" i="5"/>
  <c r="AN1171" i="5"/>
  <c r="AO1171" i="5"/>
  <c r="AP1171" i="5"/>
  <c r="AN1172" i="5"/>
  <c r="AO1172" i="5"/>
  <c r="AP1172" i="5"/>
  <c r="AN1173" i="5"/>
  <c r="AO1173" i="5"/>
  <c r="AP1173" i="5"/>
  <c r="AN1174" i="5"/>
  <c r="AO1174" i="5"/>
  <c r="AP1174" i="5"/>
  <c r="AN1175" i="5"/>
  <c r="AO1175" i="5"/>
  <c r="AP1175" i="5"/>
  <c r="AN1176" i="5"/>
  <c r="AO1176" i="5"/>
  <c r="AP1176" i="5"/>
  <c r="AN1177" i="5"/>
  <c r="AO1177" i="5"/>
  <c r="AP1177" i="5"/>
  <c r="AN1178" i="5"/>
  <c r="AO1178" i="5"/>
  <c r="AP1178" i="5"/>
  <c r="AN1179" i="5"/>
  <c r="AO1179" i="5"/>
  <c r="AP1179" i="5"/>
  <c r="AN1180" i="5"/>
  <c r="AO1180" i="5"/>
  <c r="AP1180" i="5"/>
  <c r="AN1181" i="5"/>
  <c r="AO1181" i="5"/>
  <c r="AP1181" i="5"/>
  <c r="AN1182" i="5"/>
  <c r="AO1182" i="5"/>
  <c r="AP1182" i="5"/>
  <c r="AN1183" i="5"/>
  <c r="AO1183" i="5"/>
  <c r="AP1183" i="5"/>
  <c r="AN1184" i="5"/>
  <c r="AO1184" i="5"/>
  <c r="AP1184" i="5"/>
  <c r="AN1185" i="5"/>
  <c r="AO1185" i="5"/>
  <c r="AP1185" i="5"/>
  <c r="AN1186" i="5"/>
  <c r="AO1186" i="5"/>
  <c r="AP1186" i="5"/>
  <c r="AN1187" i="5"/>
  <c r="AO1187" i="5"/>
  <c r="AP1187" i="5"/>
  <c r="AN1188" i="5"/>
  <c r="AO1188" i="5"/>
  <c r="AP1188" i="5"/>
  <c r="AN1189" i="5"/>
  <c r="AO1189" i="5"/>
  <c r="AP1189" i="5"/>
  <c r="AN1190" i="5"/>
  <c r="AO1190" i="5"/>
  <c r="AP1190" i="5"/>
  <c r="AN1191" i="5"/>
  <c r="AO1191" i="5"/>
  <c r="AP1191" i="5"/>
  <c r="AN1192" i="5"/>
  <c r="AO1192" i="5"/>
  <c r="AP1192" i="5"/>
  <c r="AN1193" i="5"/>
  <c r="AO1193" i="5"/>
  <c r="AP1193" i="5"/>
  <c r="AN1194" i="5"/>
  <c r="AO1194" i="5"/>
  <c r="AP1194" i="5"/>
  <c r="AN1195" i="5"/>
  <c r="AO1195" i="5"/>
  <c r="AP1195" i="5"/>
  <c r="AN1196" i="5"/>
  <c r="AO1196" i="5"/>
  <c r="AP1196" i="5"/>
  <c r="AN1197" i="5"/>
  <c r="AO1197" i="5"/>
  <c r="AP1197" i="5"/>
  <c r="AN1198" i="5"/>
  <c r="AO1198" i="5"/>
  <c r="AP1198" i="5"/>
  <c r="AN1199" i="5"/>
  <c r="AO1199" i="5"/>
  <c r="AP1199" i="5"/>
  <c r="AN1200" i="5"/>
  <c r="AO1200" i="5"/>
  <c r="AP1200" i="5"/>
  <c r="AN1201" i="5"/>
  <c r="AO1201" i="5"/>
  <c r="AP1201" i="5"/>
  <c r="AN1202" i="5"/>
  <c r="AO1202" i="5"/>
  <c r="AP1202" i="5"/>
  <c r="AN1203" i="5"/>
  <c r="AO1203" i="5"/>
  <c r="AP1203" i="5"/>
  <c r="AN1204" i="5"/>
  <c r="AO1204" i="5"/>
  <c r="AP1204" i="5"/>
  <c r="AN1205" i="5"/>
  <c r="AO1205" i="5"/>
  <c r="AP1205" i="5"/>
  <c r="AN1206" i="5"/>
  <c r="AO1206" i="5"/>
  <c r="AP1206" i="5"/>
  <c r="AN1207" i="5"/>
  <c r="AO1207" i="5"/>
  <c r="AP1207" i="5"/>
  <c r="AN1208" i="5"/>
  <c r="AO1208" i="5"/>
  <c r="AP1208" i="5"/>
  <c r="AN1209" i="5"/>
  <c r="AO1209" i="5"/>
  <c r="AP1209" i="5"/>
  <c r="AN1210" i="5"/>
  <c r="AO1210" i="5"/>
  <c r="AP1210" i="5"/>
  <c r="AN1211" i="5"/>
  <c r="AO1211" i="5"/>
  <c r="AP1211" i="5"/>
  <c r="AN1212" i="5"/>
  <c r="AO1212" i="5"/>
  <c r="AP1212" i="5"/>
  <c r="AN1213" i="5"/>
  <c r="AO1213" i="5"/>
  <c r="AP1213" i="5"/>
  <c r="AN1214" i="5"/>
  <c r="AO1214" i="5"/>
  <c r="AP1214" i="5"/>
  <c r="AN1215" i="5"/>
  <c r="AO1215" i="5"/>
  <c r="AP1215" i="5"/>
  <c r="AN1216" i="5"/>
  <c r="AO1216" i="5"/>
  <c r="AP1216" i="5"/>
  <c r="AN1217" i="5"/>
  <c r="AO1217" i="5"/>
  <c r="AP1217" i="5"/>
  <c r="AN1218" i="5"/>
  <c r="AO1218" i="5"/>
  <c r="AP1218" i="5"/>
  <c r="AN1219" i="5"/>
  <c r="AO1219" i="5"/>
  <c r="AP1219" i="5"/>
  <c r="AN1220" i="5"/>
  <c r="AO1220" i="5"/>
  <c r="AP1220" i="5"/>
  <c r="AN1221" i="5"/>
  <c r="AO1221" i="5"/>
  <c r="AP1221" i="5"/>
  <c r="AN1222" i="5"/>
  <c r="AO1222" i="5"/>
  <c r="AP1222" i="5"/>
  <c r="AN1223" i="5"/>
  <c r="AO1223" i="5"/>
  <c r="AP1223" i="5"/>
  <c r="AN1224" i="5"/>
  <c r="AO1224" i="5"/>
  <c r="AP1224" i="5"/>
  <c r="AN1225" i="5"/>
  <c r="AO1225" i="5"/>
  <c r="AP1225" i="5"/>
  <c r="AN1226" i="5"/>
  <c r="AO1226" i="5"/>
  <c r="AP1226" i="5"/>
  <c r="AN1227" i="5"/>
  <c r="AO1227" i="5"/>
  <c r="AP1227" i="5"/>
  <c r="AN1228" i="5"/>
  <c r="AO1228" i="5"/>
  <c r="AP1228" i="5"/>
  <c r="AN1229" i="5"/>
  <c r="AO1229" i="5"/>
  <c r="AP1229" i="5"/>
  <c r="AN1230" i="5"/>
  <c r="AO1230" i="5"/>
  <c r="AP1230" i="5"/>
  <c r="AN1231" i="5"/>
  <c r="AO1231" i="5"/>
  <c r="AP1231" i="5"/>
  <c r="AN1232" i="5"/>
  <c r="AO1232" i="5"/>
  <c r="AP1232" i="5"/>
  <c r="AN1233" i="5"/>
  <c r="AO1233" i="5"/>
  <c r="AP1233" i="5"/>
  <c r="AN1234" i="5"/>
  <c r="AO1234" i="5"/>
  <c r="AP1234" i="5"/>
  <c r="AN1235" i="5"/>
  <c r="AO1235" i="5"/>
  <c r="AP1235" i="5"/>
  <c r="AN1236" i="5"/>
  <c r="AO1236" i="5"/>
  <c r="AP1236" i="5"/>
  <c r="AN1237" i="5"/>
  <c r="AO1237" i="5"/>
  <c r="AP1237" i="5"/>
  <c r="AN1238" i="5"/>
  <c r="AO1238" i="5"/>
  <c r="AP1238" i="5"/>
  <c r="AN1239" i="5"/>
  <c r="AO1239" i="5"/>
  <c r="AP1239" i="5"/>
  <c r="AN1240" i="5"/>
  <c r="AO1240" i="5"/>
  <c r="AP1240" i="5"/>
  <c r="AN1241" i="5"/>
  <c r="AO1241" i="5"/>
  <c r="AP1241" i="5"/>
  <c r="AN1242" i="5"/>
  <c r="AO1242" i="5"/>
  <c r="AP1242" i="5"/>
  <c r="AN1243" i="5"/>
  <c r="AO1243" i="5"/>
  <c r="AP1243" i="5"/>
  <c r="AN1244" i="5"/>
  <c r="AO1244" i="5"/>
  <c r="AP1244" i="5"/>
  <c r="AN1245" i="5"/>
  <c r="AO1245" i="5"/>
  <c r="AP1245" i="5"/>
  <c r="AN1246" i="5"/>
  <c r="AO1246" i="5"/>
  <c r="AP1246" i="5"/>
  <c r="AN1247" i="5"/>
  <c r="AO1247" i="5"/>
  <c r="AP1247" i="5"/>
  <c r="AN1248" i="5"/>
  <c r="AO1248" i="5"/>
  <c r="AP1248" i="5"/>
  <c r="AN1249" i="5"/>
  <c r="AO1249" i="5"/>
  <c r="AP1249" i="5"/>
  <c r="AN1250" i="5"/>
  <c r="AO1250" i="5"/>
  <c r="AP1250" i="5"/>
  <c r="AN1251" i="5"/>
  <c r="AO1251" i="5"/>
  <c r="AP1251" i="5"/>
  <c r="AN1252" i="5"/>
  <c r="AO1252" i="5"/>
  <c r="AP1252" i="5"/>
  <c r="AN1253" i="5"/>
  <c r="AO1253" i="5"/>
  <c r="AP1253" i="5"/>
  <c r="AN1254" i="5"/>
  <c r="AO1254" i="5"/>
  <c r="AP1254" i="5"/>
  <c r="AN1255" i="5"/>
  <c r="AO1255" i="5"/>
  <c r="AP1255" i="5"/>
  <c r="AN1256" i="5"/>
  <c r="AO1256" i="5"/>
  <c r="AP1256" i="5"/>
  <c r="AN1257" i="5"/>
  <c r="AO1257" i="5"/>
  <c r="AP1257" i="5"/>
  <c r="AN1258" i="5"/>
  <c r="AO1258" i="5"/>
  <c r="AP1258" i="5"/>
  <c r="AN1259" i="5"/>
  <c r="AO1259" i="5"/>
  <c r="AP1259" i="5"/>
  <c r="AN1260" i="5"/>
  <c r="AO1260" i="5"/>
  <c r="AP1260" i="5"/>
  <c r="AN1261" i="5"/>
  <c r="AO1261" i="5"/>
  <c r="AP1261" i="5"/>
  <c r="AN1262" i="5"/>
  <c r="AO1262" i="5"/>
  <c r="AP1262" i="5"/>
  <c r="AN1263" i="5"/>
  <c r="AO1263" i="5"/>
  <c r="AP1263" i="5"/>
  <c r="AN1264" i="5"/>
  <c r="AO1264" i="5"/>
  <c r="AP1264" i="5"/>
  <c r="AN1265" i="5"/>
  <c r="AO1265" i="5"/>
  <c r="AP1265" i="5"/>
  <c r="AN1266" i="5"/>
  <c r="AO1266" i="5"/>
  <c r="AP1266" i="5"/>
  <c r="AN1267" i="5"/>
  <c r="AO1267" i="5"/>
  <c r="AP1267" i="5"/>
  <c r="AN1268" i="5"/>
  <c r="AO1268" i="5"/>
  <c r="AP1268" i="5"/>
  <c r="AN1269" i="5"/>
  <c r="AO1269" i="5"/>
  <c r="AP1269" i="5"/>
  <c r="AN1270" i="5"/>
  <c r="AO1270" i="5"/>
  <c r="AP1270" i="5"/>
  <c r="AN1271" i="5"/>
  <c r="AO1271" i="5"/>
  <c r="AP1271" i="5"/>
  <c r="AN1272" i="5"/>
  <c r="AO1272" i="5"/>
  <c r="AP1272" i="5"/>
  <c r="AN1273" i="5"/>
  <c r="AO1273" i="5"/>
  <c r="AP1273" i="5"/>
  <c r="AN1274" i="5"/>
  <c r="AO1274" i="5"/>
  <c r="AP1274" i="5"/>
  <c r="AN1275" i="5"/>
  <c r="AO1275" i="5"/>
  <c r="AP1275" i="5"/>
  <c r="AN1276" i="5"/>
  <c r="AO1276" i="5"/>
  <c r="AP1276" i="5"/>
  <c r="AN1277" i="5"/>
  <c r="AO1277" i="5"/>
  <c r="AP1277" i="5"/>
  <c r="AN1278" i="5"/>
  <c r="AO1278" i="5"/>
  <c r="AP1278" i="5"/>
  <c r="AN1279" i="5"/>
  <c r="AO1279" i="5"/>
  <c r="AP1279" i="5"/>
  <c r="AN1280" i="5"/>
  <c r="AO1280" i="5"/>
  <c r="AP1280" i="5"/>
  <c r="AN1281" i="5"/>
  <c r="AO1281" i="5"/>
  <c r="AP1281" i="5"/>
  <c r="AN1282" i="5"/>
  <c r="AO1282" i="5"/>
  <c r="AP1282" i="5"/>
  <c r="AN1283" i="5"/>
  <c r="AO1283" i="5"/>
  <c r="AP1283" i="5"/>
  <c r="AN1284" i="5"/>
  <c r="AO1284" i="5"/>
  <c r="AP1284" i="5"/>
  <c r="AN1285" i="5"/>
  <c r="AO1285" i="5"/>
  <c r="AP1285" i="5"/>
  <c r="AN1286" i="5"/>
  <c r="AO1286" i="5"/>
  <c r="AP1286" i="5"/>
  <c r="AN1287" i="5"/>
  <c r="AO1287" i="5"/>
  <c r="AP1287" i="5"/>
  <c r="AN1288" i="5"/>
  <c r="AO1288" i="5"/>
  <c r="AP1288" i="5"/>
  <c r="AN1289" i="5"/>
  <c r="AO1289" i="5"/>
  <c r="AP1289" i="5"/>
  <c r="AN1290" i="5"/>
  <c r="AO1290" i="5"/>
  <c r="AP1290" i="5"/>
  <c r="AN1291" i="5"/>
  <c r="AO1291" i="5"/>
  <c r="AP1291" i="5"/>
  <c r="AN1292" i="5"/>
  <c r="AO1292" i="5"/>
  <c r="AP1292" i="5"/>
  <c r="AN1293" i="5"/>
  <c r="AO1293" i="5"/>
  <c r="AP1293" i="5"/>
  <c r="AN1294" i="5"/>
  <c r="AO1294" i="5"/>
  <c r="AP1294" i="5"/>
  <c r="AN1295" i="5"/>
  <c r="AO1295" i="5"/>
  <c r="AP1295" i="5"/>
  <c r="AN1296" i="5"/>
  <c r="AO1296" i="5"/>
  <c r="AP1296" i="5"/>
  <c r="AN1297" i="5"/>
  <c r="AO1297" i="5"/>
  <c r="AP1297" i="5"/>
  <c r="AN1298" i="5"/>
  <c r="AO1298" i="5"/>
  <c r="AP1298" i="5"/>
  <c r="AN1299" i="5"/>
  <c r="AO1299" i="5"/>
  <c r="AP1299" i="5"/>
  <c r="AN1300" i="5"/>
  <c r="AO1300" i="5"/>
  <c r="AP1300" i="5"/>
  <c r="AN1301" i="5"/>
  <c r="AO1301" i="5"/>
  <c r="AP1301" i="5"/>
  <c r="AN1302" i="5"/>
  <c r="AO1302" i="5"/>
  <c r="AP1302" i="5"/>
  <c r="AN1303" i="5"/>
  <c r="AO1303" i="5"/>
  <c r="AP1303" i="5"/>
  <c r="AN1304" i="5"/>
  <c r="AO1304" i="5"/>
  <c r="AP1304" i="5"/>
  <c r="AN1305" i="5"/>
  <c r="AO1305" i="5"/>
  <c r="AP1305" i="5"/>
  <c r="AN1306" i="5"/>
  <c r="AO1306" i="5"/>
  <c r="AP1306" i="5"/>
  <c r="AN1307" i="5"/>
  <c r="AO1307" i="5"/>
  <c r="AP1307" i="5"/>
  <c r="AN1308" i="5"/>
  <c r="AO1308" i="5"/>
  <c r="AP1308" i="5"/>
  <c r="AN1309" i="5"/>
  <c r="AO1309" i="5"/>
  <c r="AP1309" i="5"/>
  <c r="AN1310" i="5"/>
  <c r="AO1310" i="5"/>
  <c r="AP1310" i="5"/>
  <c r="AN1311" i="5"/>
  <c r="AO1311" i="5"/>
  <c r="AP1311" i="5"/>
  <c r="AN1312" i="5"/>
  <c r="AO1312" i="5"/>
  <c r="AP1312" i="5"/>
  <c r="AN1313" i="5"/>
  <c r="AO1313" i="5"/>
  <c r="AP1313" i="5"/>
  <c r="AN1314" i="5"/>
  <c r="AO1314" i="5"/>
  <c r="AP1314" i="5"/>
  <c r="AN1315" i="5"/>
  <c r="AO1315" i="5"/>
  <c r="AP1315" i="5"/>
  <c r="AN1316" i="5"/>
  <c r="AO1316" i="5"/>
  <c r="AP1316" i="5"/>
  <c r="AN1317" i="5"/>
  <c r="AO1317" i="5"/>
  <c r="AP1317" i="5"/>
  <c r="AN1318" i="5"/>
  <c r="AO1318" i="5"/>
  <c r="AP1318" i="5"/>
  <c r="AN1319" i="5"/>
  <c r="AO1319" i="5"/>
  <c r="AP1319" i="5"/>
  <c r="AN1320" i="5"/>
  <c r="AO1320" i="5"/>
  <c r="AP1320" i="5"/>
  <c r="AN1321" i="5"/>
  <c r="AO1321" i="5"/>
  <c r="AP1321" i="5"/>
  <c r="AN1322" i="5"/>
  <c r="AO1322" i="5"/>
  <c r="AP1322" i="5"/>
  <c r="AN1323" i="5"/>
  <c r="AO1323" i="5"/>
  <c r="AP1323" i="5"/>
  <c r="AN1324" i="5"/>
  <c r="AO1324" i="5"/>
  <c r="AP1324" i="5"/>
  <c r="AN1325" i="5"/>
  <c r="AO1325" i="5"/>
  <c r="AP1325" i="5"/>
  <c r="AN1326" i="5"/>
  <c r="AO1326" i="5"/>
  <c r="AP1326" i="5"/>
  <c r="AN1327" i="5"/>
  <c r="AO1327" i="5"/>
  <c r="AP1327" i="5"/>
  <c r="AN1328" i="5"/>
  <c r="AO1328" i="5"/>
  <c r="AP1328" i="5"/>
  <c r="AN1329" i="5"/>
  <c r="AO1329" i="5"/>
  <c r="AP1329" i="5"/>
  <c r="AN1330" i="5"/>
  <c r="AO1330" i="5"/>
  <c r="AP1330" i="5"/>
  <c r="AN1331" i="5"/>
  <c r="AO1331" i="5"/>
  <c r="AP1331" i="5"/>
  <c r="AN1332" i="5"/>
  <c r="AO1332" i="5"/>
  <c r="AP1332" i="5"/>
  <c r="AN1333" i="5"/>
  <c r="AO1333" i="5"/>
  <c r="AP1333" i="5"/>
  <c r="AN1334" i="5"/>
  <c r="AO1334" i="5"/>
  <c r="AP1334" i="5"/>
  <c r="AN1335" i="5"/>
  <c r="AO1335" i="5"/>
  <c r="AP1335" i="5"/>
  <c r="AN1336" i="5"/>
  <c r="AO1336" i="5"/>
  <c r="AP1336" i="5"/>
  <c r="AN1337" i="5"/>
  <c r="AO1337" i="5"/>
  <c r="AP1337" i="5"/>
  <c r="AN1338" i="5"/>
  <c r="AO1338" i="5"/>
  <c r="AP1338" i="5"/>
  <c r="AN1339" i="5"/>
  <c r="AO1339" i="5"/>
  <c r="AP1339" i="5"/>
  <c r="AN1340" i="5"/>
  <c r="AO1340" i="5"/>
  <c r="AP1340" i="5"/>
  <c r="AN1341" i="5"/>
  <c r="AO1341" i="5"/>
  <c r="AP1341" i="5"/>
  <c r="AN1342" i="5"/>
  <c r="AO1342" i="5"/>
  <c r="AP1342" i="5"/>
  <c r="AN1343" i="5"/>
  <c r="AO1343" i="5"/>
  <c r="AP1343" i="5"/>
  <c r="AN1344" i="5"/>
  <c r="AO1344" i="5"/>
  <c r="AP1344" i="5"/>
  <c r="AN1345" i="5"/>
  <c r="AO1345" i="5"/>
  <c r="AP1345" i="5"/>
  <c r="AN1346" i="5"/>
  <c r="AO1346" i="5"/>
  <c r="AP1346" i="5"/>
  <c r="AN1347" i="5"/>
  <c r="AO1347" i="5"/>
  <c r="AP1347" i="5"/>
  <c r="AN1348" i="5"/>
  <c r="AO1348" i="5"/>
  <c r="AP1348" i="5"/>
  <c r="AN1349" i="5"/>
  <c r="AO1349" i="5"/>
  <c r="AP1349" i="5"/>
  <c r="AN1350" i="5"/>
  <c r="AO1350" i="5"/>
  <c r="AP1350" i="5"/>
  <c r="AN1351" i="5"/>
  <c r="AO1351" i="5"/>
  <c r="AP1351" i="5"/>
  <c r="AN1352" i="5"/>
  <c r="AO1352" i="5"/>
  <c r="AP1352" i="5"/>
  <c r="AN1353" i="5"/>
  <c r="AO1353" i="5"/>
  <c r="AP1353" i="5"/>
  <c r="AN1354" i="5"/>
  <c r="AO1354" i="5"/>
  <c r="AP1354" i="5"/>
  <c r="AN1355" i="5"/>
  <c r="AO1355" i="5"/>
  <c r="AP1355" i="5"/>
  <c r="AN1356" i="5"/>
  <c r="AO1356" i="5"/>
  <c r="AP1356" i="5"/>
  <c r="AN1357" i="5"/>
  <c r="AO1357" i="5"/>
  <c r="AP1357" i="5"/>
  <c r="AN1358" i="5"/>
  <c r="AO1358" i="5"/>
  <c r="AP1358" i="5"/>
  <c r="AN1359" i="5"/>
  <c r="AO1359" i="5"/>
  <c r="AP1359" i="5"/>
  <c r="AN1360" i="5"/>
  <c r="AO1360" i="5"/>
  <c r="AP1360" i="5"/>
  <c r="AN1361" i="5"/>
  <c r="AO1361" i="5"/>
  <c r="AP1361" i="5"/>
  <c r="AN1362" i="5"/>
  <c r="AO1362" i="5"/>
  <c r="AP1362" i="5"/>
  <c r="AN1363" i="5"/>
  <c r="AO1363" i="5"/>
  <c r="AP1363" i="5"/>
  <c r="AN1364" i="5"/>
  <c r="AO1364" i="5"/>
  <c r="AP1364" i="5"/>
  <c r="AN1365" i="5"/>
  <c r="AO1365" i="5"/>
  <c r="AP1365" i="5"/>
  <c r="AN1366" i="5"/>
  <c r="AO1366" i="5"/>
  <c r="AP1366" i="5"/>
  <c r="AN1367" i="5"/>
  <c r="AO1367" i="5"/>
  <c r="AP1367" i="5"/>
  <c r="AN1368" i="5"/>
  <c r="AO1368" i="5"/>
  <c r="AP1368" i="5"/>
  <c r="AN1369" i="5"/>
  <c r="AO1369" i="5"/>
  <c r="AP1369" i="5"/>
  <c r="AN1370" i="5"/>
  <c r="AO1370" i="5"/>
  <c r="AP1370" i="5"/>
  <c r="AN1371" i="5"/>
  <c r="AO1371" i="5"/>
  <c r="AP1371" i="5"/>
  <c r="AN1372" i="5"/>
  <c r="AO1372" i="5"/>
  <c r="AP1372" i="5"/>
  <c r="AN1373" i="5"/>
  <c r="AO1373" i="5"/>
  <c r="AP1373" i="5"/>
  <c r="AN1374" i="5"/>
  <c r="AO1374" i="5"/>
  <c r="AP1374" i="5"/>
  <c r="AN1375" i="5"/>
  <c r="AO1375" i="5"/>
  <c r="AP1375" i="5"/>
  <c r="AN1376" i="5"/>
  <c r="AO1376" i="5"/>
  <c r="AP1376" i="5"/>
  <c r="AN1377" i="5"/>
  <c r="AO1377" i="5"/>
  <c r="AP1377" i="5"/>
  <c r="AN1378" i="5"/>
  <c r="AO1378" i="5"/>
  <c r="AP1378" i="5"/>
  <c r="AN1379" i="5"/>
  <c r="AO1379" i="5"/>
  <c r="AP1379" i="5"/>
  <c r="AN1380" i="5"/>
  <c r="AO1380" i="5"/>
  <c r="AP1380" i="5"/>
  <c r="AN1381" i="5"/>
  <c r="AO1381" i="5"/>
  <c r="AP1381" i="5"/>
  <c r="AN1382" i="5"/>
  <c r="AO1382" i="5"/>
  <c r="AP1382" i="5"/>
  <c r="AN1383" i="5"/>
  <c r="AO1383" i="5"/>
  <c r="AP1383" i="5"/>
  <c r="AN1384" i="5"/>
  <c r="AO1384" i="5"/>
  <c r="AP1384" i="5"/>
  <c r="AN1385" i="5"/>
  <c r="AO1385" i="5"/>
  <c r="AP1385" i="5"/>
  <c r="AN1386" i="5"/>
  <c r="AO1386" i="5"/>
  <c r="AP1386" i="5"/>
  <c r="AN1387" i="5"/>
  <c r="AO1387" i="5"/>
  <c r="AP1387" i="5"/>
  <c r="AN1388" i="5"/>
  <c r="AO1388" i="5"/>
  <c r="AP1388" i="5"/>
  <c r="AN1389" i="5"/>
  <c r="AO1389" i="5"/>
  <c r="AP1389" i="5"/>
  <c r="AN1390" i="5"/>
  <c r="AO1390" i="5"/>
  <c r="AP1390" i="5"/>
  <c r="AN1391" i="5"/>
  <c r="AO1391" i="5"/>
  <c r="AP1391" i="5"/>
  <c r="AN1392" i="5"/>
  <c r="AO1392" i="5"/>
  <c r="AP1392" i="5"/>
  <c r="AN1393" i="5"/>
  <c r="AO1393" i="5"/>
  <c r="AP1393" i="5"/>
  <c r="AN1394" i="5"/>
  <c r="AO1394" i="5"/>
  <c r="AP1394" i="5"/>
  <c r="AN1395" i="5"/>
  <c r="AO1395" i="5"/>
  <c r="AP1395" i="5"/>
  <c r="AN1396" i="5"/>
  <c r="AO1396" i="5"/>
  <c r="AP1396" i="5"/>
  <c r="AN1397" i="5"/>
  <c r="AO1397" i="5"/>
  <c r="AP1397" i="5"/>
  <c r="AN1398" i="5"/>
  <c r="AO1398" i="5"/>
  <c r="AP1398" i="5"/>
  <c r="AN1399" i="5"/>
  <c r="AO1399" i="5"/>
  <c r="AP1399" i="5"/>
  <c r="AN1400" i="5"/>
  <c r="AO1400" i="5"/>
  <c r="AP1400" i="5"/>
  <c r="AN1401" i="5"/>
  <c r="AO1401" i="5"/>
  <c r="AP1401" i="5"/>
  <c r="AN1402" i="5"/>
  <c r="AO1402" i="5"/>
  <c r="AP1402" i="5"/>
  <c r="AN1403" i="5"/>
  <c r="AO1403" i="5"/>
  <c r="AP1403" i="5"/>
  <c r="AN1404" i="5"/>
  <c r="AO1404" i="5"/>
  <c r="AP1404" i="5"/>
  <c r="AN1405" i="5"/>
  <c r="AO1405" i="5"/>
  <c r="AP1405" i="5"/>
  <c r="AN1406" i="5"/>
  <c r="AO1406" i="5"/>
  <c r="AP1406" i="5"/>
  <c r="AN1407" i="5"/>
  <c r="AO1407" i="5"/>
  <c r="AP1407" i="5"/>
  <c r="AN1408" i="5"/>
  <c r="AO1408" i="5"/>
  <c r="AP1408" i="5"/>
  <c r="AN1409" i="5"/>
  <c r="AO1409" i="5"/>
  <c r="AP1409" i="5"/>
  <c r="AN1410" i="5"/>
  <c r="AO1410" i="5"/>
  <c r="AP1410" i="5"/>
  <c r="AN1411" i="5"/>
  <c r="AO1411" i="5"/>
  <c r="AP1411" i="5"/>
  <c r="AN1412" i="5"/>
  <c r="AO1412" i="5"/>
  <c r="AP1412" i="5"/>
  <c r="AN1413" i="5"/>
  <c r="AO1413" i="5"/>
  <c r="AP1413" i="5"/>
  <c r="AN1414" i="5"/>
  <c r="AO1414" i="5"/>
  <c r="AP1414" i="5"/>
  <c r="AN1415" i="5"/>
  <c r="AO1415" i="5"/>
  <c r="AP1415" i="5"/>
  <c r="AN1416" i="5"/>
  <c r="AO1416" i="5"/>
  <c r="AP1416" i="5"/>
  <c r="AN1417" i="5"/>
  <c r="AO1417" i="5"/>
  <c r="AP1417" i="5"/>
  <c r="AN1418" i="5"/>
  <c r="AO1418" i="5"/>
  <c r="AP1418" i="5"/>
  <c r="AN1419" i="5"/>
  <c r="AO1419" i="5"/>
  <c r="AP1419" i="5"/>
  <c r="AN1420" i="5"/>
  <c r="AO1420" i="5"/>
  <c r="AP1420" i="5"/>
  <c r="AN1421" i="5"/>
  <c r="AO1421" i="5"/>
  <c r="AP1421" i="5"/>
  <c r="AN1422" i="5"/>
  <c r="AO1422" i="5"/>
  <c r="AP1422" i="5"/>
  <c r="AN1423" i="5"/>
  <c r="AO1423" i="5"/>
  <c r="AP1423" i="5"/>
  <c r="AN1424" i="5"/>
  <c r="AO1424" i="5"/>
  <c r="AP1424" i="5"/>
  <c r="AN1425" i="5"/>
  <c r="AO1425" i="5"/>
  <c r="AP1425" i="5"/>
  <c r="AN1426" i="5"/>
  <c r="AO1426" i="5"/>
  <c r="AP1426" i="5"/>
  <c r="AN1427" i="5"/>
  <c r="AO1427" i="5"/>
  <c r="AP1427" i="5"/>
  <c r="AN1428" i="5"/>
  <c r="AO1428" i="5"/>
  <c r="AP1428" i="5"/>
  <c r="AN1429" i="5"/>
  <c r="AO1429" i="5"/>
  <c r="AP1429" i="5"/>
  <c r="AN1430" i="5"/>
  <c r="AO1430" i="5"/>
  <c r="AP1430" i="5"/>
  <c r="AN1431" i="5"/>
  <c r="AO1431" i="5"/>
  <c r="AP1431" i="5"/>
  <c r="AN1432" i="5"/>
  <c r="AO1432" i="5"/>
  <c r="AP1432" i="5"/>
  <c r="AN1433" i="5"/>
  <c r="AO1433" i="5"/>
  <c r="AP1433" i="5"/>
  <c r="AN1434" i="5"/>
  <c r="AO1434" i="5"/>
  <c r="AP1434" i="5"/>
  <c r="AN1435" i="5"/>
  <c r="AO1435" i="5"/>
  <c r="AP1435" i="5"/>
  <c r="AN1436" i="5"/>
  <c r="AO1436" i="5"/>
  <c r="AP1436" i="5"/>
  <c r="AN1437" i="5"/>
  <c r="AO1437" i="5"/>
  <c r="AP1437" i="5"/>
  <c r="AN1438" i="5"/>
  <c r="AO1438" i="5"/>
  <c r="AP1438" i="5"/>
  <c r="AN1439" i="5"/>
  <c r="AO1439" i="5"/>
  <c r="AP1439" i="5"/>
  <c r="AN1440" i="5"/>
  <c r="AO1440" i="5"/>
  <c r="AP1440" i="5"/>
  <c r="AN1441" i="5"/>
  <c r="AO1441" i="5"/>
  <c r="AP1441" i="5"/>
  <c r="AN1442" i="5"/>
  <c r="AO1442" i="5"/>
  <c r="AP1442" i="5"/>
  <c r="AN1443" i="5"/>
  <c r="AO1443" i="5"/>
  <c r="AP1443" i="5"/>
  <c r="AN1444" i="5"/>
  <c r="AO1444" i="5"/>
  <c r="AP1444" i="5"/>
  <c r="AN1445" i="5"/>
  <c r="AO1445" i="5"/>
  <c r="AP1445" i="5"/>
  <c r="AN1446" i="5"/>
  <c r="AO1446" i="5"/>
  <c r="AP1446" i="5"/>
  <c r="AN1447" i="5"/>
  <c r="AO1447" i="5"/>
  <c r="AP1447" i="5"/>
  <c r="AN1448" i="5"/>
  <c r="AO1448" i="5"/>
  <c r="AP1448" i="5"/>
  <c r="AN1449" i="5"/>
  <c r="AO1449" i="5"/>
  <c r="AP1449" i="5"/>
  <c r="AN1450" i="5"/>
  <c r="AO1450" i="5"/>
  <c r="AP1450" i="5"/>
  <c r="AN1451" i="5"/>
  <c r="AO1451" i="5"/>
  <c r="AP1451" i="5"/>
  <c r="AN1452" i="5"/>
  <c r="AO1452" i="5"/>
  <c r="AP1452" i="5"/>
  <c r="AN1453" i="5"/>
  <c r="AO1453" i="5"/>
  <c r="AP1453" i="5"/>
  <c r="AN1454" i="5"/>
  <c r="AO1454" i="5"/>
  <c r="AP1454" i="5"/>
  <c r="AN1455" i="5"/>
  <c r="AO1455" i="5"/>
  <c r="AP1455" i="5"/>
  <c r="AN1456" i="5"/>
  <c r="AO1456" i="5"/>
  <c r="AP1456" i="5"/>
  <c r="AN1457" i="5"/>
  <c r="AO1457" i="5"/>
  <c r="AP1457" i="5"/>
  <c r="AN1458" i="5"/>
  <c r="AO1458" i="5"/>
  <c r="AP1458" i="5"/>
  <c r="AN1459" i="5"/>
  <c r="AO1459" i="5"/>
  <c r="AP1459" i="5"/>
  <c r="AN1460" i="5"/>
  <c r="AO1460" i="5"/>
  <c r="AP1460" i="5"/>
  <c r="AN1461" i="5"/>
  <c r="AO1461" i="5"/>
  <c r="AP1461" i="5"/>
  <c r="AN1462" i="5"/>
  <c r="AO1462" i="5"/>
  <c r="AP1462" i="5"/>
  <c r="AN1463" i="5"/>
  <c r="AO1463" i="5"/>
  <c r="AP1463" i="5"/>
  <c r="AN1464" i="5"/>
  <c r="AO1464" i="5"/>
  <c r="AP1464" i="5"/>
  <c r="AN1465" i="5"/>
  <c r="AO1465" i="5"/>
  <c r="AP1465" i="5"/>
  <c r="AN1466" i="5"/>
  <c r="AO1466" i="5"/>
  <c r="AP1466" i="5"/>
  <c r="AN1467" i="5"/>
  <c r="AO1467" i="5"/>
  <c r="AP1467" i="5"/>
  <c r="AN1468" i="5"/>
  <c r="AO1468" i="5"/>
  <c r="AP1468" i="5"/>
  <c r="AN1469" i="5"/>
  <c r="AO1469" i="5"/>
  <c r="AP1469" i="5"/>
  <c r="AN1470" i="5"/>
  <c r="AO1470" i="5"/>
  <c r="AP1470" i="5"/>
  <c r="AN1471" i="5"/>
  <c r="AO1471" i="5"/>
  <c r="AP1471" i="5"/>
  <c r="AN1472" i="5"/>
  <c r="AO1472" i="5"/>
  <c r="AP1472" i="5"/>
  <c r="AN1473" i="5"/>
  <c r="AO1473" i="5"/>
  <c r="AP1473" i="5"/>
  <c r="AN1474" i="5"/>
  <c r="AO1474" i="5"/>
  <c r="AP1474" i="5"/>
  <c r="AN1475" i="5"/>
  <c r="AO1475" i="5"/>
  <c r="AP1475" i="5"/>
  <c r="AN1476" i="5"/>
  <c r="AO1476" i="5"/>
  <c r="AP1476" i="5"/>
  <c r="AN1477" i="5"/>
  <c r="AO1477" i="5"/>
  <c r="AP1477" i="5"/>
  <c r="AN1478" i="5"/>
  <c r="AO1478" i="5"/>
  <c r="AP1478" i="5"/>
  <c r="AN1479" i="5"/>
  <c r="AO1479" i="5"/>
  <c r="AP1479" i="5"/>
  <c r="AN1480" i="5"/>
  <c r="AO1480" i="5"/>
  <c r="AP1480" i="5"/>
  <c r="AN1481" i="5"/>
  <c r="AO1481" i="5"/>
  <c r="AP1481" i="5"/>
  <c r="AN1482" i="5"/>
  <c r="AO1482" i="5"/>
  <c r="AP1482" i="5"/>
  <c r="AN1483" i="5"/>
  <c r="AO1483" i="5"/>
  <c r="AP1483" i="5"/>
  <c r="AN1484" i="5"/>
  <c r="AO1484" i="5"/>
  <c r="AP1484" i="5"/>
  <c r="AN1485" i="5"/>
  <c r="AO1485" i="5"/>
  <c r="AP1485" i="5"/>
  <c r="AN1486" i="5"/>
  <c r="AO1486" i="5"/>
  <c r="AP1486" i="5"/>
  <c r="AN1487" i="5"/>
  <c r="AO1487" i="5"/>
  <c r="AP1487" i="5"/>
  <c r="AN1488" i="5"/>
  <c r="AO1488" i="5"/>
  <c r="AP1488" i="5"/>
  <c r="AN1489" i="5"/>
  <c r="AO1489" i="5"/>
  <c r="AP1489" i="5"/>
  <c r="AN1490" i="5"/>
  <c r="AO1490" i="5"/>
  <c r="AP1490" i="5"/>
  <c r="AN1491" i="5"/>
  <c r="AO1491" i="5"/>
  <c r="AP1491" i="5"/>
  <c r="AN1492" i="5"/>
  <c r="AO1492" i="5"/>
  <c r="AP1492" i="5"/>
  <c r="AN1493" i="5"/>
  <c r="AO1493" i="5"/>
  <c r="AP1493" i="5"/>
  <c r="AN1494" i="5"/>
  <c r="AO1494" i="5"/>
  <c r="AP1494" i="5"/>
  <c r="AN1495" i="5"/>
  <c r="AO1495" i="5"/>
  <c r="AP1495" i="5"/>
  <c r="AN1496" i="5"/>
  <c r="AO1496" i="5"/>
  <c r="AP1496" i="5"/>
  <c r="AN1497" i="5"/>
  <c r="AO1497" i="5"/>
  <c r="AP1497" i="5"/>
  <c r="AN1498" i="5"/>
  <c r="AO1498" i="5"/>
  <c r="AP1498" i="5"/>
  <c r="AN1499" i="5"/>
  <c r="AO1499" i="5"/>
  <c r="AP1499" i="5"/>
  <c r="AN1500" i="5"/>
  <c r="AO1500" i="5"/>
  <c r="AP1500" i="5"/>
  <c r="AN1501" i="5"/>
  <c r="AO1501" i="5"/>
  <c r="AP1501" i="5"/>
  <c r="AN1502" i="5"/>
  <c r="AO1502" i="5"/>
  <c r="AP1502" i="5"/>
  <c r="AN1503" i="5"/>
  <c r="AO1503" i="5"/>
  <c r="AP1503" i="5"/>
  <c r="AN1504" i="5"/>
  <c r="AO1504" i="5"/>
  <c r="AP1504" i="5"/>
  <c r="AN1505" i="5"/>
  <c r="AO1505" i="5"/>
  <c r="AP1505" i="5"/>
  <c r="AN1506" i="5"/>
  <c r="AO1506" i="5"/>
  <c r="AP1506" i="5"/>
  <c r="AN1507" i="5"/>
  <c r="AO1507" i="5"/>
  <c r="AP1507" i="5"/>
  <c r="AN1508" i="5"/>
  <c r="AO1508" i="5"/>
  <c r="AP1508" i="5"/>
  <c r="AN1509" i="5"/>
  <c r="AO1509" i="5"/>
  <c r="AP1509" i="5"/>
  <c r="AN1510" i="5"/>
  <c r="AO1510" i="5"/>
  <c r="AP1510" i="5"/>
  <c r="AN1511" i="5"/>
  <c r="AO1511" i="5"/>
  <c r="AP1511" i="5"/>
  <c r="AN1512" i="5"/>
  <c r="AO1512" i="5"/>
  <c r="AP1512" i="5"/>
  <c r="AN1513" i="5"/>
  <c r="AO1513" i="5"/>
  <c r="AP1513" i="5"/>
  <c r="AN1514" i="5"/>
  <c r="AO1514" i="5"/>
  <c r="AP1514" i="5"/>
  <c r="AN1515" i="5"/>
  <c r="AO1515" i="5"/>
  <c r="AP1515" i="5"/>
  <c r="AN1516" i="5"/>
  <c r="AO1516" i="5"/>
  <c r="AP1516" i="5"/>
  <c r="AN1517" i="5"/>
  <c r="AO1517" i="5"/>
  <c r="AP1517" i="5"/>
  <c r="AN1518" i="5"/>
  <c r="AO1518" i="5"/>
  <c r="AP1518" i="5"/>
  <c r="AN1519" i="5"/>
  <c r="AO1519" i="5"/>
  <c r="AP1519" i="5"/>
  <c r="AN1520" i="5"/>
  <c r="AO1520" i="5"/>
  <c r="AP1520" i="5"/>
  <c r="AN1521" i="5"/>
  <c r="AO1521" i="5"/>
  <c r="AP1521" i="5"/>
  <c r="AN1522" i="5"/>
  <c r="AO1522" i="5"/>
  <c r="AP1522" i="5"/>
  <c r="AN1523" i="5"/>
  <c r="AO1523" i="5"/>
  <c r="AP1523" i="5"/>
  <c r="AN1524" i="5"/>
  <c r="AO1524" i="5"/>
  <c r="AP1524" i="5"/>
  <c r="AN1525" i="5"/>
  <c r="AO1525" i="5"/>
  <c r="AP1525" i="5"/>
  <c r="AN1526" i="5"/>
  <c r="AO1526" i="5"/>
  <c r="AP1526" i="5"/>
  <c r="AN1527" i="5"/>
  <c r="AO1527" i="5"/>
  <c r="AP1527" i="5"/>
  <c r="AN1528" i="5"/>
  <c r="AO1528" i="5"/>
  <c r="AP1528" i="5"/>
  <c r="AN1529" i="5"/>
  <c r="AO1529" i="5"/>
  <c r="AP1529" i="5"/>
  <c r="AN1530" i="5"/>
  <c r="AO1530" i="5"/>
  <c r="AP1530" i="5"/>
  <c r="AN1531" i="5"/>
  <c r="AO1531" i="5"/>
  <c r="AP1531" i="5"/>
  <c r="AN1532" i="5"/>
  <c r="AO1532" i="5"/>
  <c r="AP1532" i="5"/>
  <c r="AN1533" i="5"/>
  <c r="AO1533" i="5"/>
  <c r="AP1533" i="5"/>
  <c r="AN1534" i="5"/>
  <c r="AO1534" i="5"/>
  <c r="AP1534" i="5"/>
  <c r="AN1535" i="5"/>
  <c r="AO1535" i="5"/>
  <c r="AP1535" i="5"/>
  <c r="AN1536" i="5"/>
  <c r="AO1536" i="5"/>
  <c r="AP1536" i="5"/>
  <c r="AN1537" i="5"/>
  <c r="AO1537" i="5"/>
  <c r="AP1537" i="5"/>
  <c r="AN1538" i="5"/>
  <c r="AO1538" i="5"/>
  <c r="AP1538" i="5"/>
  <c r="AN1539" i="5"/>
  <c r="AO1539" i="5"/>
  <c r="AP1539" i="5"/>
  <c r="AN1540" i="5"/>
  <c r="AO1540" i="5"/>
  <c r="AP1540" i="5"/>
  <c r="AN1541" i="5"/>
  <c r="AO1541" i="5"/>
  <c r="AP1541" i="5"/>
  <c r="AN1542" i="5"/>
  <c r="AO1542" i="5"/>
  <c r="AP1542" i="5"/>
  <c r="AN1543" i="5"/>
  <c r="AO1543" i="5"/>
  <c r="AP1543" i="5"/>
  <c r="AN1544" i="5"/>
  <c r="AO1544" i="5"/>
  <c r="AP1544" i="5"/>
  <c r="AN1545" i="5"/>
  <c r="AO1545" i="5"/>
  <c r="AP1545" i="5"/>
  <c r="AN1546" i="5"/>
  <c r="AO1546" i="5"/>
  <c r="AP1546" i="5"/>
  <c r="AN1547" i="5"/>
  <c r="AO1547" i="5"/>
  <c r="AP1547" i="5"/>
  <c r="AN1548" i="5"/>
  <c r="AO1548" i="5"/>
  <c r="AP1548" i="5"/>
  <c r="AN1549" i="5"/>
  <c r="AO1549" i="5"/>
  <c r="AP1549" i="5"/>
  <c r="AN1550" i="5"/>
  <c r="AO1550" i="5"/>
  <c r="AP1550" i="5"/>
  <c r="AN1551" i="5"/>
  <c r="AO1551" i="5"/>
  <c r="AP1551" i="5"/>
  <c r="AN1552" i="5"/>
  <c r="AO1552" i="5"/>
  <c r="AP1552" i="5"/>
  <c r="AN1553" i="5"/>
  <c r="AO1553" i="5"/>
  <c r="AP1553" i="5"/>
  <c r="AN1554" i="5"/>
  <c r="AO1554" i="5"/>
  <c r="AP1554" i="5"/>
  <c r="AN1555" i="5"/>
  <c r="AO1555" i="5"/>
  <c r="AP1555" i="5"/>
  <c r="AN1556" i="5"/>
  <c r="AO1556" i="5"/>
  <c r="AP1556" i="5"/>
  <c r="AN1557" i="5"/>
  <c r="AO1557" i="5"/>
  <c r="AP1557" i="5"/>
  <c r="AN1558" i="5"/>
  <c r="AO1558" i="5"/>
  <c r="AP1558" i="5"/>
  <c r="AN1559" i="5"/>
  <c r="AO1559" i="5"/>
  <c r="AP1559" i="5"/>
  <c r="AN1560" i="5"/>
  <c r="AO1560" i="5"/>
  <c r="AP1560" i="5"/>
  <c r="AN1561" i="5"/>
  <c r="AO1561" i="5"/>
  <c r="AP1561" i="5"/>
  <c r="AN1562" i="5"/>
  <c r="AO1562" i="5"/>
  <c r="AP1562" i="5"/>
  <c r="AN1563" i="5"/>
  <c r="AO1563" i="5"/>
  <c r="AP1563" i="5"/>
  <c r="AN1564" i="5"/>
  <c r="AO1564" i="5"/>
  <c r="AP1564" i="5"/>
  <c r="AN1565" i="5"/>
  <c r="AO1565" i="5"/>
  <c r="AP1565" i="5"/>
  <c r="AN1566" i="5"/>
  <c r="AO1566" i="5"/>
  <c r="AP1566" i="5"/>
  <c r="AN1567" i="5"/>
  <c r="AO1567" i="5"/>
  <c r="AP1567" i="5"/>
  <c r="AN1568" i="5"/>
  <c r="AO1568" i="5"/>
  <c r="AP1568" i="5"/>
  <c r="AN1569" i="5"/>
  <c r="AO1569" i="5"/>
  <c r="AP1569" i="5"/>
  <c r="AN1570" i="5"/>
  <c r="AO1570" i="5"/>
  <c r="AP1570" i="5"/>
  <c r="AN1571" i="5"/>
  <c r="AO1571" i="5"/>
  <c r="AP1571" i="5"/>
  <c r="AN1572" i="5"/>
  <c r="AO1572" i="5"/>
  <c r="AP1572" i="5"/>
  <c r="AN1573" i="5"/>
  <c r="AO1573" i="5"/>
  <c r="AP1573" i="5"/>
  <c r="AN1574" i="5"/>
  <c r="AO1574" i="5"/>
  <c r="AP1574" i="5"/>
  <c r="AN1575" i="5"/>
  <c r="AO1575" i="5"/>
  <c r="AP1575" i="5"/>
  <c r="AN1576" i="5"/>
  <c r="AO1576" i="5"/>
  <c r="AP1576" i="5"/>
  <c r="AN1577" i="5"/>
  <c r="AO1577" i="5"/>
  <c r="AP1577" i="5"/>
  <c r="AN1578" i="5"/>
  <c r="AO1578" i="5"/>
  <c r="AP1578" i="5"/>
  <c r="AN1579" i="5"/>
  <c r="AO1579" i="5"/>
  <c r="AP1579" i="5"/>
  <c r="AN1580" i="5"/>
  <c r="AO1580" i="5"/>
  <c r="AP1580" i="5"/>
  <c r="AN1581" i="5"/>
  <c r="AO1581" i="5"/>
  <c r="AP1581" i="5"/>
  <c r="AN1582" i="5"/>
  <c r="AO1582" i="5"/>
  <c r="AP1582" i="5"/>
  <c r="AN1583" i="5"/>
  <c r="AO1583" i="5"/>
  <c r="AP1583" i="5"/>
  <c r="AN1584" i="5"/>
  <c r="AO1584" i="5"/>
  <c r="AP1584" i="5"/>
  <c r="AN1585" i="5"/>
  <c r="AO1585" i="5"/>
  <c r="AP1585" i="5"/>
  <c r="AN1586" i="5"/>
  <c r="AO1586" i="5"/>
  <c r="AP1586" i="5"/>
  <c r="AN1587" i="5"/>
  <c r="AO1587" i="5"/>
  <c r="AP1587" i="5"/>
  <c r="AN1588" i="5"/>
  <c r="AO1588" i="5"/>
  <c r="AP1588" i="5"/>
  <c r="AN1589" i="5"/>
  <c r="AO1589" i="5"/>
  <c r="AP1589" i="5"/>
  <c r="AN1590" i="5"/>
  <c r="AO1590" i="5"/>
  <c r="AP1590" i="5"/>
  <c r="AN1591" i="5"/>
  <c r="AO1591" i="5"/>
  <c r="AP1591" i="5"/>
  <c r="AN1592" i="5"/>
  <c r="AO1592" i="5"/>
  <c r="AP1592" i="5"/>
  <c r="AN1593" i="5"/>
  <c r="AO1593" i="5"/>
  <c r="AP1593" i="5"/>
  <c r="AN1594" i="5"/>
  <c r="AO1594" i="5"/>
  <c r="AP1594" i="5"/>
  <c r="AN1595" i="5"/>
  <c r="AO1595" i="5"/>
  <c r="AP1595" i="5"/>
  <c r="AN1596" i="5"/>
  <c r="AO1596" i="5"/>
  <c r="AP1596" i="5"/>
  <c r="AN1597" i="5"/>
  <c r="AO1597" i="5"/>
  <c r="AP1597" i="5"/>
  <c r="AN1598" i="5"/>
  <c r="AO1598" i="5"/>
  <c r="AP1598" i="5"/>
  <c r="AN1599" i="5"/>
  <c r="AO1599" i="5"/>
  <c r="AP1599" i="5"/>
  <c r="AN1600" i="5"/>
  <c r="AO1600" i="5"/>
  <c r="AP1600" i="5"/>
  <c r="AN1601" i="5"/>
  <c r="AO1601" i="5"/>
  <c r="AP1601" i="5"/>
  <c r="AN1602" i="5"/>
  <c r="AO1602" i="5"/>
  <c r="AP1602" i="5"/>
  <c r="AN1603" i="5"/>
  <c r="AO1603" i="5"/>
  <c r="AP1603" i="5"/>
  <c r="AN1604" i="5"/>
  <c r="AO1604" i="5"/>
  <c r="AP1604" i="5"/>
  <c r="AN1605" i="5"/>
  <c r="AO1605" i="5"/>
  <c r="AP1605" i="5"/>
  <c r="AN1606" i="5"/>
  <c r="AO1606" i="5"/>
  <c r="AP1606" i="5"/>
  <c r="AN1607" i="5"/>
  <c r="AO1607" i="5"/>
  <c r="AP1607" i="5"/>
  <c r="AN1608" i="5"/>
  <c r="AO1608" i="5"/>
  <c r="AP1608" i="5"/>
  <c r="AN1609" i="5"/>
  <c r="AO1609" i="5"/>
  <c r="AP1609" i="5"/>
  <c r="AN1610" i="5"/>
  <c r="AO1610" i="5"/>
  <c r="AP1610" i="5"/>
  <c r="AN1611" i="5"/>
  <c r="AO1611" i="5"/>
  <c r="AP1611" i="5"/>
  <c r="AN1612" i="5"/>
  <c r="AO1612" i="5"/>
  <c r="AP1612" i="5"/>
  <c r="AN1613" i="5"/>
  <c r="AO1613" i="5"/>
  <c r="AP1613" i="5"/>
  <c r="AN1614" i="5"/>
  <c r="AO1614" i="5"/>
  <c r="AP1614" i="5"/>
  <c r="AN1615" i="5"/>
  <c r="AO1615" i="5"/>
  <c r="AP1615" i="5"/>
  <c r="AN1616" i="5"/>
  <c r="AO1616" i="5"/>
  <c r="AP1616" i="5"/>
  <c r="AN1617" i="5"/>
  <c r="AO1617" i="5"/>
  <c r="AP1617" i="5"/>
  <c r="AN1618" i="5"/>
  <c r="AO1618" i="5"/>
  <c r="AP1618" i="5"/>
  <c r="AN1619" i="5"/>
  <c r="AO1619" i="5"/>
  <c r="AP1619" i="5"/>
  <c r="AN1620" i="5"/>
  <c r="AO1620" i="5"/>
  <c r="AP1620" i="5"/>
  <c r="AN1621" i="5"/>
  <c r="AO1621" i="5"/>
  <c r="AP1621" i="5"/>
  <c r="AN1622" i="5"/>
  <c r="AO1622" i="5"/>
  <c r="AP1622" i="5"/>
  <c r="AN1623" i="5"/>
  <c r="AO1623" i="5"/>
  <c r="AP1623" i="5"/>
  <c r="AN1624" i="5"/>
  <c r="AO1624" i="5"/>
  <c r="AP1624" i="5"/>
  <c r="AN1625" i="5"/>
  <c r="AO1625" i="5"/>
  <c r="AP1625" i="5"/>
  <c r="AN1626" i="5"/>
  <c r="AO1626" i="5"/>
  <c r="AP1626" i="5"/>
  <c r="AN1627" i="5"/>
  <c r="AO1627" i="5"/>
  <c r="AP1627" i="5"/>
  <c r="AN1628" i="5"/>
  <c r="AO1628" i="5"/>
  <c r="AP1628" i="5"/>
  <c r="AN1629" i="5"/>
  <c r="AO1629" i="5"/>
  <c r="AP1629" i="5"/>
  <c r="AN1630" i="5"/>
  <c r="AO1630" i="5"/>
  <c r="AP1630" i="5"/>
  <c r="AN1631" i="5"/>
  <c r="AO1631" i="5"/>
  <c r="AP1631" i="5"/>
  <c r="AN1632" i="5"/>
  <c r="AO1632" i="5"/>
  <c r="AP1632" i="5"/>
  <c r="AN1633" i="5"/>
  <c r="AO1633" i="5"/>
  <c r="AP1633" i="5"/>
  <c r="AN1634" i="5"/>
  <c r="AO1634" i="5"/>
  <c r="AP1634" i="5"/>
  <c r="AN1635" i="5"/>
  <c r="AO1635" i="5"/>
  <c r="AP1635" i="5"/>
  <c r="AN1636" i="5"/>
  <c r="AO1636" i="5"/>
  <c r="AP1636" i="5"/>
  <c r="AN1637" i="5"/>
  <c r="AO1637" i="5"/>
  <c r="AP1637" i="5"/>
  <c r="AN1638" i="5"/>
  <c r="AO1638" i="5"/>
  <c r="AP1638" i="5"/>
  <c r="AN1639" i="5"/>
  <c r="AO1639" i="5"/>
  <c r="AP1639" i="5"/>
  <c r="AN1640" i="5"/>
  <c r="AO1640" i="5"/>
  <c r="AP1640" i="5"/>
  <c r="AN1641" i="5"/>
  <c r="AO1641" i="5"/>
  <c r="AP1641" i="5"/>
  <c r="AN1642" i="5"/>
  <c r="AO1642" i="5"/>
  <c r="AP1642" i="5"/>
  <c r="AN1643" i="5"/>
  <c r="AO1643" i="5"/>
  <c r="AP1643" i="5"/>
  <c r="AN1644" i="5"/>
  <c r="AO1644" i="5"/>
  <c r="AP1644" i="5"/>
  <c r="AN1645" i="5"/>
  <c r="AO1645" i="5"/>
  <c r="AP1645" i="5"/>
  <c r="AN1646" i="5"/>
  <c r="AO1646" i="5"/>
  <c r="AP1646" i="5"/>
  <c r="AN1647" i="5"/>
  <c r="AO1647" i="5"/>
  <c r="AP1647" i="5"/>
  <c r="AN1648" i="5"/>
  <c r="AO1648" i="5"/>
  <c r="AP1648" i="5"/>
  <c r="AN1649" i="5"/>
  <c r="AO1649" i="5"/>
  <c r="AP1649" i="5"/>
  <c r="AN1650" i="5"/>
  <c r="AO1650" i="5"/>
  <c r="AP1650" i="5"/>
  <c r="AN1651" i="5"/>
  <c r="AO1651" i="5"/>
  <c r="AP1651" i="5"/>
  <c r="AN1652" i="5"/>
  <c r="AO1652" i="5"/>
  <c r="AP1652" i="5"/>
  <c r="AN1653" i="5"/>
  <c r="AO1653" i="5"/>
  <c r="AP1653" i="5"/>
  <c r="AN1654" i="5"/>
  <c r="AO1654" i="5"/>
  <c r="AP1654" i="5"/>
  <c r="AN1655" i="5"/>
  <c r="AO1655" i="5"/>
  <c r="AP1655" i="5"/>
  <c r="AN1656" i="5"/>
  <c r="AO1656" i="5"/>
  <c r="AP1656" i="5"/>
  <c r="AN1657" i="5"/>
  <c r="AO1657" i="5"/>
  <c r="AP1657" i="5"/>
  <c r="AN1658" i="5"/>
  <c r="AO1658" i="5"/>
  <c r="AP1658" i="5"/>
  <c r="AN1659" i="5"/>
  <c r="AO1659" i="5"/>
  <c r="AP1659" i="5"/>
  <c r="AN1660" i="5"/>
  <c r="AO1660" i="5"/>
  <c r="AP1660" i="5"/>
  <c r="AN1661" i="5"/>
  <c r="AO1661" i="5"/>
  <c r="AP1661" i="5"/>
  <c r="AN1662" i="5"/>
  <c r="AO1662" i="5"/>
  <c r="AP1662" i="5"/>
  <c r="AN1663" i="5"/>
  <c r="AO1663" i="5"/>
  <c r="AP1663" i="5"/>
  <c r="AN1664" i="5"/>
  <c r="AO1664" i="5"/>
  <c r="AP1664" i="5"/>
  <c r="AN1665" i="5"/>
  <c r="AO1665" i="5"/>
  <c r="AP1665" i="5"/>
  <c r="AN1666" i="5"/>
  <c r="AO1666" i="5"/>
  <c r="AP1666" i="5"/>
  <c r="AN1667" i="5"/>
  <c r="AO1667" i="5"/>
  <c r="AP1667" i="5"/>
  <c r="AN1668" i="5"/>
  <c r="AO1668" i="5"/>
  <c r="AP1668" i="5"/>
  <c r="AN1669" i="5"/>
  <c r="AO1669" i="5"/>
  <c r="AP1669" i="5"/>
  <c r="AN1670" i="5"/>
  <c r="AO1670" i="5"/>
  <c r="AP1670" i="5"/>
  <c r="AN1671" i="5"/>
  <c r="AO1671" i="5"/>
  <c r="AP1671" i="5"/>
  <c r="AN1672" i="5"/>
  <c r="AO1672" i="5"/>
  <c r="AP1672" i="5"/>
  <c r="AN1673" i="5"/>
  <c r="AO1673" i="5"/>
  <c r="AP1673" i="5"/>
  <c r="AN1674" i="5"/>
  <c r="AO1674" i="5"/>
  <c r="AP1674" i="5"/>
  <c r="AN1675" i="5"/>
  <c r="AO1675" i="5"/>
  <c r="AP1675" i="5"/>
  <c r="AN1676" i="5"/>
  <c r="AO1676" i="5"/>
  <c r="AP1676" i="5"/>
  <c r="AN1677" i="5"/>
  <c r="AO1677" i="5"/>
  <c r="AP1677" i="5"/>
  <c r="AN1678" i="5"/>
  <c r="AO1678" i="5"/>
  <c r="AP1678" i="5"/>
  <c r="AN1679" i="5"/>
  <c r="AO1679" i="5"/>
  <c r="AP1679" i="5"/>
  <c r="AN1680" i="5"/>
  <c r="AO1680" i="5"/>
  <c r="AP1680" i="5"/>
  <c r="AN1681" i="5"/>
  <c r="AO1681" i="5"/>
  <c r="AP1681" i="5"/>
  <c r="AN1682" i="5"/>
  <c r="AO1682" i="5"/>
  <c r="AP1682" i="5"/>
  <c r="AN1683" i="5"/>
  <c r="AO1683" i="5"/>
  <c r="AP1683" i="5"/>
  <c r="AN1684" i="5"/>
  <c r="AO1684" i="5"/>
  <c r="AP1684" i="5"/>
  <c r="AN1685" i="5"/>
  <c r="AO1685" i="5"/>
  <c r="AP1685" i="5"/>
  <c r="AN1686" i="5"/>
  <c r="AO1686" i="5"/>
  <c r="AP1686" i="5"/>
  <c r="AN1687" i="5"/>
  <c r="AO1687" i="5"/>
  <c r="AP1687" i="5"/>
  <c r="AN1688" i="5"/>
  <c r="AO1688" i="5"/>
  <c r="AP1688" i="5"/>
  <c r="AN1689" i="5"/>
  <c r="AO1689" i="5"/>
  <c r="AP1689" i="5"/>
  <c r="AN1690" i="5"/>
  <c r="AO1690" i="5"/>
  <c r="AP1690" i="5"/>
  <c r="AN1691" i="5"/>
  <c r="AO1691" i="5"/>
  <c r="AP1691" i="5"/>
  <c r="AN1692" i="5"/>
  <c r="AO1692" i="5"/>
  <c r="AP1692" i="5"/>
  <c r="AN1693" i="5"/>
  <c r="AO1693" i="5"/>
  <c r="AP1693" i="5"/>
  <c r="AN1694" i="5"/>
  <c r="AO1694" i="5"/>
  <c r="AP1694" i="5"/>
  <c r="AN1695" i="5"/>
  <c r="AO1695" i="5"/>
  <c r="AP1695" i="5"/>
  <c r="AN1696" i="5"/>
  <c r="AO1696" i="5"/>
  <c r="AP1696" i="5"/>
  <c r="AN1697" i="5"/>
  <c r="AO1697" i="5"/>
  <c r="AP1697" i="5"/>
  <c r="AN1698" i="5"/>
  <c r="AO1698" i="5"/>
  <c r="AP1698" i="5"/>
  <c r="AN1699" i="5"/>
  <c r="AO1699" i="5"/>
  <c r="AP1699" i="5"/>
  <c r="AN1700" i="5"/>
  <c r="AO1700" i="5"/>
  <c r="AP1700" i="5"/>
  <c r="AN1701" i="5"/>
  <c r="AO1701" i="5"/>
  <c r="AP1701" i="5"/>
  <c r="AN1702" i="5"/>
  <c r="AO1702" i="5"/>
  <c r="AP1702" i="5"/>
  <c r="AN1703" i="5"/>
  <c r="AO1703" i="5"/>
  <c r="AP1703" i="5"/>
  <c r="AN1704" i="5"/>
  <c r="AO1704" i="5"/>
  <c r="AP1704" i="5"/>
  <c r="AN1705" i="5"/>
  <c r="AO1705" i="5"/>
  <c r="AP1705" i="5"/>
  <c r="AN1706" i="5"/>
  <c r="AO1706" i="5"/>
  <c r="AP1706" i="5"/>
  <c r="AN1707" i="5"/>
  <c r="AO1707" i="5"/>
  <c r="AP1707" i="5"/>
  <c r="AN1708" i="5"/>
  <c r="AO1708" i="5"/>
  <c r="AP1708" i="5"/>
  <c r="AN1709" i="5"/>
  <c r="AO1709" i="5"/>
  <c r="AP1709" i="5"/>
  <c r="AN1710" i="5"/>
  <c r="AO1710" i="5"/>
  <c r="AP1710" i="5"/>
  <c r="AN1711" i="5"/>
  <c r="AO1711" i="5"/>
  <c r="AP1711" i="5"/>
  <c r="AN1712" i="5"/>
  <c r="AO1712" i="5"/>
  <c r="AP1712" i="5"/>
  <c r="AN1713" i="5"/>
  <c r="AO1713" i="5"/>
  <c r="AP1713" i="5"/>
  <c r="AN1714" i="5"/>
  <c r="AO1714" i="5"/>
  <c r="AP1714" i="5"/>
  <c r="AN1715" i="5"/>
  <c r="AO1715" i="5"/>
  <c r="AP1715" i="5"/>
  <c r="AN1716" i="5"/>
  <c r="AO1716" i="5"/>
  <c r="AP1716" i="5"/>
  <c r="AN1717" i="5"/>
  <c r="AO1717" i="5"/>
  <c r="AP1717" i="5"/>
  <c r="AN1718" i="5"/>
  <c r="AO1718" i="5"/>
  <c r="AP1718" i="5"/>
  <c r="AN1719" i="5"/>
  <c r="AO1719" i="5"/>
  <c r="AP1719" i="5"/>
  <c r="AN1720" i="5"/>
  <c r="AO1720" i="5"/>
  <c r="AP1720" i="5"/>
  <c r="AN1721" i="5"/>
  <c r="AO1721" i="5"/>
  <c r="AP1721" i="5"/>
  <c r="AN1722" i="5"/>
  <c r="AO1722" i="5"/>
  <c r="AP1722" i="5"/>
  <c r="AN1723" i="5"/>
  <c r="AO1723" i="5"/>
  <c r="AP1723" i="5"/>
  <c r="AN1724" i="5"/>
  <c r="AO1724" i="5"/>
  <c r="AP1724" i="5"/>
  <c r="AN1725" i="5"/>
  <c r="AO1725" i="5"/>
  <c r="AP1725" i="5"/>
  <c r="AN1726" i="5"/>
  <c r="AO1726" i="5"/>
  <c r="AP1726" i="5"/>
  <c r="AN1727" i="5"/>
  <c r="AO1727" i="5"/>
  <c r="AP1727" i="5"/>
  <c r="AN1728" i="5"/>
  <c r="AO1728" i="5"/>
  <c r="AP1728" i="5"/>
  <c r="AN1729" i="5"/>
  <c r="AO1729" i="5"/>
  <c r="AP1729" i="5"/>
  <c r="AN1730" i="5"/>
  <c r="AO1730" i="5"/>
  <c r="AP1730" i="5"/>
  <c r="AN1731" i="5"/>
  <c r="AO1731" i="5"/>
  <c r="AP1731" i="5"/>
  <c r="AN1732" i="5"/>
  <c r="AO1732" i="5"/>
  <c r="AP1732" i="5"/>
  <c r="AN1733" i="5"/>
  <c r="AO1733" i="5"/>
  <c r="AP1733" i="5"/>
  <c r="AN1734" i="5"/>
  <c r="AO1734" i="5"/>
  <c r="AP1734" i="5"/>
  <c r="AN1735" i="5"/>
  <c r="AO1735" i="5"/>
  <c r="AP1735" i="5"/>
  <c r="AN1736" i="5"/>
  <c r="AO1736" i="5"/>
  <c r="AP1736" i="5"/>
  <c r="AN1737" i="5"/>
  <c r="AO1737" i="5"/>
  <c r="AP1737" i="5"/>
  <c r="AN1738" i="5"/>
  <c r="AO1738" i="5"/>
  <c r="AP1738" i="5"/>
  <c r="AN1739" i="5"/>
  <c r="AO1739" i="5"/>
  <c r="AP1739" i="5"/>
  <c r="AN1740" i="5"/>
  <c r="AO1740" i="5"/>
  <c r="AP1740" i="5"/>
  <c r="AN1741" i="5"/>
  <c r="AO1741" i="5"/>
  <c r="AP1741" i="5"/>
  <c r="AN1742" i="5"/>
  <c r="AO1742" i="5"/>
  <c r="AP1742" i="5"/>
  <c r="AN1743" i="5"/>
  <c r="AO1743" i="5"/>
  <c r="AP1743" i="5"/>
  <c r="AN1744" i="5"/>
  <c r="AO1744" i="5"/>
  <c r="AP1744" i="5"/>
  <c r="AN1745" i="5"/>
  <c r="AO1745" i="5"/>
  <c r="AP1745" i="5"/>
  <c r="AN1746" i="5"/>
  <c r="AO1746" i="5"/>
  <c r="AP1746" i="5"/>
  <c r="AN1747" i="5"/>
  <c r="AO1747" i="5"/>
  <c r="AP1747" i="5"/>
  <c r="AN1748" i="5"/>
  <c r="AO1748" i="5"/>
  <c r="AP1748" i="5"/>
  <c r="AN1749" i="5"/>
  <c r="AO1749" i="5"/>
  <c r="AP1749" i="5"/>
  <c r="AN1750" i="5"/>
  <c r="AO1750" i="5"/>
  <c r="AP1750" i="5"/>
  <c r="AN1751" i="5"/>
  <c r="AO1751" i="5"/>
  <c r="AP1751" i="5"/>
  <c r="AN1752" i="5"/>
  <c r="AO1752" i="5"/>
  <c r="AP1752" i="5"/>
  <c r="AN1753" i="5"/>
  <c r="AO1753" i="5"/>
  <c r="AP1753" i="5"/>
  <c r="AN1754" i="5"/>
  <c r="AO1754" i="5"/>
  <c r="AP1754" i="5"/>
  <c r="AN1755" i="5"/>
  <c r="AO1755" i="5"/>
  <c r="AP1755" i="5"/>
  <c r="AN1756" i="5"/>
  <c r="AO1756" i="5"/>
  <c r="AP1756" i="5"/>
  <c r="AN1757" i="5"/>
  <c r="AO1757" i="5"/>
  <c r="AP1757" i="5"/>
  <c r="AN1758" i="5"/>
  <c r="AO1758" i="5"/>
  <c r="AP1758" i="5"/>
  <c r="AN1759" i="5"/>
  <c r="AO1759" i="5"/>
  <c r="AP1759" i="5"/>
  <c r="AN1760" i="5"/>
  <c r="AO1760" i="5"/>
  <c r="AP1760" i="5"/>
  <c r="AN1761" i="5"/>
  <c r="AO1761" i="5"/>
  <c r="AP1761" i="5"/>
  <c r="AN1762" i="5"/>
  <c r="AO1762" i="5"/>
  <c r="AP1762" i="5"/>
  <c r="AN1763" i="5"/>
  <c r="AO1763" i="5"/>
  <c r="AP1763" i="5"/>
  <c r="AN1764" i="5"/>
  <c r="AO1764" i="5"/>
  <c r="AP1764" i="5"/>
  <c r="AN1765" i="5"/>
  <c r="AO1765" i="5"/>
  <c r="AP1765" i="5"/>
  <c r="AN1766" i="5"/>
  <c r="AO1766" i="5"/>
  <c r="AP1766" i="5"/>
  <c r="AN1767" i="5"/>
  <c r="AO1767" i="5"/>
  <c r="AP1767" i="5"/>
  <c r="AN1768" i="5"/>
  <c r="AO1768" i="5"/>
  <c r="AP1768" i="5"/>
  <c r="AN1769" i="5"/>
  <c r="AO1769" i="5"/>
  <c r="AP1769" i="5"/>
  <c r="AN1770" i="5"/>
  <c r="AO1770" i="5"/>
  <c r="AP1770" i="5"/>
  <c r="AN1771" i="5"/>
  <c r="AO1771" i="5"/>
  <c r="AP1771" i="5"/>
  <c r="AN1772" i="5"/>
  <c r="AO1772" i="5"/>
  <c r="AP1772" i="5"/>
  <c r="AN1773" i="5"/>
  <c r="AO1773" i="5"/>
  <c r="AP1773" i="5"/>
  <c r="AN1774" i="5"/>
  <c r="AO1774" i="5"/>
  <c r="AP1774" i="5"/>
  <c r="AN1775" i="5"/>
  <c r="AO1775" i="5"/>
  <c r="AP1775" i="5"/>
  <c r="AN1776" i="5"/>
  <c r="AO1776" i="5"/>
  <c r="AP1776" i="5"/>
  <c r="AN1777" i="5"/>
  <c r="AO1777" i="5"/>
  <c r="AP1777" i="5"/>
  <c r="AN1778" i="5"/>
  <c r="AO1778" i="5"/>
  <c r="AP1778" i="5"/>
  <c r="AN1779" i="5"/>
  <c r="AO1779" i="5"/>
  <c r="AP1779" i="5"/>
  <c r="AN1780" i="5"/>
  <c r="AO1780" i="5"/>
  <c r="AP1780" i="5"/>
  <c r="AN1781" i="5"/>
  <c r="AO1781" i="5"/>
  <c r="AP1781" i="5"/>
  <c r="AN1782" i="5"/>
  <c r="AO1782" i="5"/>
  <c r="AP1782" i="5"/>
  <c r="AN1783" i="5"/>
  <c r="AO1783" i="5"/>
  <c r="AP1783" i="5"/>
  <c r="AN1784" i="5"/>
  <c r="AO1784" i="5"/>
  <c r="AP1784" i="5"/>
  <c r="AN1785" i="5"/>
  <c r="AO1785" i="5"/>
  <c r="AP1785" i="5"/>
  <c r="AN1786" i="5"/>
  <c r="AO1786" i="5"/>
  <c r="AP1786" i="5"/>
  <c r="AN1787" i="5"/>
  <c r="AO1787" i="5"/>
  <c r="AP1787" i="5"/>
  <c r="AN1788" i="5"/>
  <c r="AO1788" i="5"/>
  <c r="AP1788" i="5"/>
  <c r="AN1789" i="5"/>
  <c r="AO1789" i="5"/>
  <c r="AP1789" i="5"/>
  <c r="AN1790" i="5"/>
  <c r="AO1790" i="5"/>
  <c r="AP1790" i="5"/>
  <c r="AN1791" i="5"/>
  <c r="AO1791" i="5"/>
  <c r="AP1791" i="5"/>
  <c r="AN1792" i="5"/>
  <c r="AO1792" i="5"/>
  <c r="AP1792" i="5"/>
  <c r="AN1793" i="5"/>
  <c r="AO1793" i="5"/>
  <c r="AP1793" i="5"/>
  <c r="AN1794" i="5"/>
  <c r="AO1794" i="5"/>
  <c r="AP1794" i="5"/>
  <c r="AN1795" i="5"/>
  <c r="AO1795" i="5"/>
  <c r="AP1795" i="5"/>
  <c r="AN1796" i="5"/>
  <c r="AO1796" i="5"/>
  <c r="AP1796" i="5"/>
  <c r="AN1797" i="5"/>
  <c r="AO1797" i="5"/>
  <c r="AP1797" i="5"/>
  <c r="AN1798" i="5"/>
  <c r="AO1798" i="5"/>
  <c r="AP1798" i="5"/>
  <c r="AN1799" i="5"/>
  <c r="AO1799" i="5"/>
  <c r="AP1799" i="5"/>
  <c r="AN1800" i="5"/>
  <c r="AO1800" i="5"/>
  <c r="AP1800" i="5"/>
  <c r="AN1801" i="5"/>
  <c r="AO1801" i="5"/>
  <c r="AP1801" i="5"/>
  <c r="AN1802" i="5"/>
  <c r="AO1802" i="5"/>
  <c r="AP1802" i="5"/>
  <c r="AN1803" i="5"/>
  <c r="AO1803" i="5"/>
  <c r="AP1803" i="5"/>
  <c r="AN1804" i="5"/>
  <c r="AO1804" i="5"/>
  <c r="AP1804" i="5"/>
  <c r="AN1805" i="5"/>
  <c r="AO1805" i="5"/>
  <c r="AP1805" i="5"/>
  <c r="AN1806" i="5"/>
  <c r="AO1806" i="5"/>
  <c r="AP1806" i="5"/>
  <c r="AN1807" i="5"/>
  <c r="AO1807" i="5"/>
  <c r="AP1807" i="5"/>
  <c r="AN1808" i="5"/>
  <c r="AO1808" i="5"/>
  <c r="AP1808" i="5"/>
  <c r="AN1809" i="5"/>
  <c r="AO1809" i="5"/>
  <c r="AP1809" i="5"/>
  <c r="AN1810" i="5"/>
  <c r="AO1810" i="5"/>
  <c r="AP1810" i="5"/>
  <c r="AN1811" i="5"/>
  <c r="AO1811" i="5"/>
  <c r="AP1811" i="5"/>
  <c r="AN1812" i="5"/>
  <c r="AO1812" i="5"/>
  <c r="AP1812" i="5"/>
  <c r="AN1813" i="5"/>
  <c r="AO1813" i="5"/>
  <c r="AP1813" i="5"/>
  <c r="AN1814" i="5"/>
  <c r="AO1814" i="5"/>
  <c r="AP1814" i="5"/>
  <c r="AN1815" i="5"/>
  <c r="AO1815" i="5"/>
  <c r="AP1815" i="5"/>
  <c r="AN1816" i="5"/>
  <c r="AO1816" i="5"/>
  <c r="AP1816" i="5"/>
  <c r="AN1817" i="5"/>
  <c r="AO1817" i="5"/>
  <c r="AP1817" i="5"/>
  <c r="AN1818" i="5"/>
  <c r="AO1818" i="5"/>
  <c r="AP1818" i="5"/>
  <c r="AN1819" i="5"/>
  <c r="AO1819" i="5"/>
  <c r="AP1819" i="5"/>
  <c r="AN1820" i="5"/>
  <c r="AO1820" i="5"/>
  <c r="AP1820" i="5"/>
  <c r="AN1821" i="5"/>
  <c r="AO1821" i="5"/>
  <c r="AP1821" i="5"/>
  <c r="AN1822" i="5"/>
  <c r="AO1822" i="5"/>
  <c r="AP1822" i="5"/>
  <c r="AN1823" i="5"/>
  <c r="AO1823" i="5"/>
  <c r="AP1823" i="5"/>
  <c r="AN1824" i="5"/>
  <c r="AO1824" i="5"/>
  <c r="AP1824" i="5"/>
  <c r="AN1825" i="5"/>
  <c r="AO1825" i="5"/>
  <c r="AP1825" i="5"/>
  <c r="AP4" i="5"/>
  <c r="K43" i="1" s="1"/>
  <c r="AO4" i="5"/>
  <c r="J43" i="1" s="1"/>
  <c r="GM5" i="27"/>
  <c r="GM6" i="27"/>
  <c r="GN5" i="26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V321" i="25"/>
  <c r="V345" i="25"/>
  <c r="V369" i="25"/>
  <c r="V393" i="25"/>
  <c r="V403" i="25"/>
  <c r="V404" i="25"/>
  <c r="V405" i="25"/>
  <c r="M1093" i="11"/>
  <c r="N1093" i="11"/>
  <c r="O1093" i="11"/>
  <c r="M1094" i="11"/>
  <c r="N1094" i="11"/>
  <c r="O1094" i="11"/>
  <c r="M1095" i="11"/>
  <c r="N1095" i="11"/>
  <c r="O1095" i="11"/>
  <c r="M1096" i="11"/>
  <c r="N1096" i="11"/>
  <c r="O1096" i="11"/>
  <c r="M1097" i="11"/>
  <c r="N1097" i="11"/>
  <c r="O1097" i="11"/>
  <c r="M1098" i="11"/>
  <c r="N1098" i="11"/>
  <c r="O1098" i="11"/>
  <c r="M1099" i="11"/>
  <c r="N1099" i="11"/>
  <c r="O1099" i="11"/>
  <c r="M1100" i="11"/>
  <c r="N1100" i="11"/>
  <c r="O1100" i="11"/>
  <c r="M1101" i="11"/>
  <c r="N1101" i="11"/>
  <c r="O1101" i="11"/>
  <c r="D17" i="1"/>
  <c r="E23" i="1"/>
  <c r="AB39" i="25"/>
  <c r="AA61" i="25"/>
  <c r="AB65" i="25"/>
  <c r="AA84" i="25"/>
  <c r="AA85" i="25"/>
  <c r="AB96" i="25"/>
  <c r="AB124" i="25"/>
  <c r="AA144" i="25"/>
  <c r="AA145" i="25"/>
  <c r="AB147" i="25"/>
  <c r="AB148" i="25"/>
  <c r="AA168" i="25"/>
  <c r="AB172" i="25"/>
  <c r="AB219" i="25"/>
  <c r="AB220" i="25"/>
  <c r="AA228" i="25"/>
  <c r="AA229" i="25"/>
  <c r="AB243" i="25"/>
  <c r="AB244" i="25"/>
  <c r="AA288" i="25"/>
  <c r="AA290" i="25"/>
  <c r="AB303" i="25"/>
  <c r="AB304" i="25"/>
  <c r="AA312" i="25"/>
  <c r="AB327" i="25"/>
  <c r="AA350" i="25"/>
  <c r="AC372" i="25"/>
  <c r="AA373" i="25"/>
  <c r="AB387" i="25"/>
  <c r="AB388" i="25"/>
  <c r="AA407" i="25"/>
  <c r="AC2" i="25"/>
  <c r="K23" i="1" s="1"/>
  <c r="F24" i="1"/>
  <c r="AE90" i="25"/>
  <c r="S131" i="25"/>
  <c r="S378" i="25"/>
  <c r="S400" i="25"/>
  <c r="S407" i="25"/>
  <c r="F20" i="1"/>
  <c r="X7" i="25"/>
  <c r="X19" i="25"/>
  <c r="W33" i="25"/>
  <c r="W45" i="25"/>
  <c r="X43" i="25"/>
  <c r="W57" i="25"/>
  <c r="W69" i="25"/>
  <c r="V107" i="25"/>
  <c r="X127" i="25"/>
  <c r="X139" i="25"/>
  <c r="X151" i="25"/>
  <c r="X163" i="25"/>
  <c r="W177" i="25"/>
  <c r="X175" i="25"/>
  <c r="W189" i="25"/>
  <c r="V193" i="25"/>
  <c r="V197" i="25"/>
  <c r="V207" i="25"/>
  <c r="V208" i="25"/>
  <c r="V209" i="25"/>
  <c r="V210" i="25"/>
  <c r="V219" i="25"/>
  <c r="V220" i="25"/>
  <c r="V221" i="25"/>
  <c r="V222" i="25"/>
  <c r="V223" i="25"/>
  <c r="V224" i="25"/>
  <c r="V225" i="25"/>
  <c r="V231" i="25"/>
  <c r="V232" i="25"/>
  <c r="V233" i="25"/>
  <c r="V234" i="25"/>
  <c r="X235" i="25"/>
  <c r="V237" i="25"/>
  <c r="V243" i="25"/>
  <c r="V244" i="25"/>
  <c r="V245" i="25"/>
  <c r="V246" i="25"/>
  <c r="V255" i="25"/>
  <c r="V256" i="25"/>
  <c r="V257" i="25"/>
  <c r="V258" i="25"/>
  <c r="V260" i="25"/>
  <c r="V267" i="25"/>
  <c r="V268" i="25"/>
  <c r="V269" i="25"/>
  <c r="V270" i="25"/>
  <c r="X271" i="25"/>
  <c r="V271" i="25"/>
  <c r="V273" i="25"/>
  <c r="V279" i="25"/>
  <c r="V280" i="25"/>
  <c r="V281" i="25"/>
  <c r="V282" i="25"/>
  <c r="X283" i="25"/>
  <c r="V291" i="25"/>
  <c r="V292" i="25"/>
  <c r="V293" i="25"/>
  <c r="V294" i="25"/>
  <c r="X295" i="25"/>
  <c r="V303" i="25"/>
  <c r="V304" i="25"/>
  <c r="V305" i="25"/>
  <c r="V306" i="25"/>
  <c r="X307" i="25"/>
  <c r="V308" i="25"/>
  <c r="V309" i="25"/>
  <c r="V315" i="25"/>
  <c r="V316" i="25"/>
  <c r="V317" i="25"/>
  <c r="V318" i="25"/>
  <c r="W321" i="25"/>
  <c r="V319" i="25"/>
  <c r="V327" i="25"/>
  <c r="V328" i="25"/>
  <c r="V329" i="25"/>
  <c r="V330" i="25"/>
  <c r="W333" i="25"/>
  <c r="V339" i="25"/>
  <c r="V340" i="25"/>
  <c r="V341" i="25"/>
  <c r="V342" i="25"/>
  <c r="V343" i="25"/>
  <c r="V344" i="25"/>
  <c r="V351" i="25"/>
  <c r="V352" i="25"/>
  <c r="V353" i="25"/>
  <c r="V354" i="25"/>
  <c r="V355" i="25"/>
  <c r="V363" i="25"/>
  <c r="V364" i="25"/>
  <c r="V365" i="25"/>
  <c r="V366" i="25"/>
  <c r="X367" i="25"/>
  <c r="V368" i="25"/>
  <c r="V375" i="25"/>
  <c r="V376" i="25"/>
  <c r="V377" i="25"/>
  <c r="V378" i="25"/>
  <c r="V381" i="25"/>
  <c r="V387" i="25"/>
  <c r="V388" i="25"/>
  <c r="V389" i="25"/>
  <c r="V390" i="25"/>
  <c r="X391" i="25"/>
  <c r="V391" i="25"/>
  <c r="V399" i="25"/>
  <c r="V400" i="25"/>
  <c r="V401" i="25"/>
  <c r="V402" i="25"/>
  <c r="W403" i="25"/>
  <c r="X405" i="25"/>
  <c r="V2" i="25"/>
  <c r="I20" i="1" s="1"/>
  <c r="GN70" i="17"/>
  <c r="GN71" i="17"/>
  <c r="GN71" i="16"/>
  <c r="GN72" i="16"/>
  <c r="GN73" i="16"/>
  <c r="GN74" i="16"/>
  <c r="GN75" i="16"/>
  <c r="GN76" i="16"/>
  <c r="GN4" i="17"/>
  <c r="GM409" i="27"/>
  <c r="GM410" i="27"/>
  <c r="GM411" i="27"/>
  <c r="GM412" i="27"/>
  <c r="GM413" i="27"/>
  <c r="GM414" i="27"/>
  <c r="GM415" i="27"/>
  <c r="GM416" i="27"/>
  <c r="GM417" i="27"/>
  <c r="GM418" i="27"/>
  <c r="GM419" i="27"/>
  <c r="GM420" i="27"/>
  <c r="GM421" i="27"/>
  <c r="GM422" i="27"/>
  <c r="GM423" i="27"/>
  <c r="GM424" i="27"/>
  <c r="GM425" i="27"/>
  <c r="GM426" i="27"/>
  <c r="GM427" i="27"/>
  <c r="GM428" i="27"/>
  <c r="GM429" i="27"/>
  <c r="GM430" i="27"/>
  <c r="GM431" i="27"/>
  <c r="GM432" i="27"/>
  <c r="GM433" i="27"/>
  <c r="GM434" i="27"/>
  <c r="GM435" i="27"/>
  <c r="GM436" i="27"/>
  <c r="GM437" i="27"/>
  <c r="GM438" i="27"/>
  <c r="GM439" i="27"/>
  <c r="GM440" i="27"/>
  <c r="GM441" i="27"/>
  <c r="GM442" i="27"/>
  <c r="GM443" i="27"/>
  <c r="GM444" i="27"/>
  <c r="GM445" i="27"/>
  <c r="GM446" i="27"/>
  <c r="GM447" i="27"/>
  <c r="GM448" i="27"/>
  <c r="GM449" i="27"/>
  <c r="GM450" i="27"/>
  <c r="GM451" i="27"/>
  <c r="GM452" i="27"/>
  <c r="GM453" i="27"/>
  <c r="GM454" i="27"/>
  <c r="GM455" i="27"/>
  <c r="GM456" i="27"/>
  <c r="GM457" i="27"/>
  <c r="GM458" i="27"/>
  <c r="GM459" i="27"/>
  <c r="GM460" i="27"/>
  <c r="GM461" i="27"/>
  <c r="GM462" i="27"/>
  <c r="GM463" i="27"/>
  <c r="GM464" i="27"/>
  <c r="GM465" i="27"/>
  <c r="GM466" i="27"/>
  <c r="GM467" i="27"/>
  <c r="GM468" i="27"/>
  <c r="GM469" i="27"/>
  <c r="GM470" i="27"/>
  <c r="GM471" i="27"/>
  <c r="GM472" i="27"/>
  <c r="GM473" i="27"/>
  <c r="GM474" i="27"/>
  <c r="GM475" i="27"/>
  <c r="GM476" i="27"/>
  <c r="GM477" i="27"/>
  <c r="GM478" i="27"/>
  <c r="GM479" i="27"/>
  <c r="GM480" i="27"/>
  <c r="GM481" i="27"/>
  <c r="GM482" i="27"/>
  <c r="GM483" i="27"/>
  <c r="GM484" i="27"/>
  <c r="GM485" i="27"/>
  <c r="GM486" i="27"/>
  <c r="GM487" i="27"/>
  <c r="GM488" i="27"/>
  <c r="GM489" i="27"/>
  <c r="GM490" i="27"/>
  <c r="GM491" i="27"/>
  <c r="GM492" i="27"/>
  <c r="GM493" i="27"/>
  <c r="GM494" i="27"/>
  <c r="GM495" i="27"/>
  <c r="GM496" i="27"/>
  <c r="GM497" i="27"/>
  <c r="GM498" i="27"/>
  <c r="GM499" i="27"/>
  <c r="GM500" i="27"/>
  <c r="GM501" i="27"/>
  <c r="GM502" i="27"/>
  <c r="GM503" i="27"/>
  <c r="GM504" i="27"/>
  <c r="GM505" i="27"/>
  <c r="GM506" i="27"/>
  <c r="GM507" i="27"/>
  <c r="GM508" i="27"/>
  <c r="GM509" i="27"/>
  <c r="GM510" i="27"/>
  <c r="GM511" i="27"/>
  <c r="GM512" i="27"/>
  <c r="GM513" i="27"/>
  <c r="GM514" i="27"/>
  <c r="GM515" i="27"/>
  <c r="GM516" i="27"/>
  <c r="GM517" i="27"/>
  <c r="GM518" i="27"/>
  <c r="GM519" i="27"/>
  <c r="GM520" i="27"/>
  <c r="GM521" i="27"/>
  <c r="GM522" i="27"/>
  <c r="GM523" i="27"/>
  <c r="GM524" i="27"/>
  <c r="GM525" i="27"/>
  <c r="GM526" i="27"/>
  <c r="GM527" i="27"/>
  <c r="GM528" i="27"/>
  <c r="GM529" i="27"/>
  <c r="GM530" i="27"/>
  <c r="GM531" i="27"/>
  <c r="GM532" i="27"/>
  <c r="GM533" i="27"/>
  <c r="GM534" i="27"/>
  <c r="GM535" i="27"/>
  <c r="GM536" i="27"/>
  <c r="GM537" i="27"/>
  <c r="GM538" i="27"/>
  <c r="GM539" i="27"/>
  <c r="GM540" i="27"/>
  <c r="GM541" i="27"/>
  <c r="GM542" i="27"/>
  <c r="GM543" i="27"/>
  <c r="GM544" i="27"/>
  <c r="GM545" i="27"/>
  <c r="GM546" i="27"/>
  <c r="GM547" i="27"/>
  <c r="GM548" i="27"/>
  <c r="GM549" i="27"/>
  <c r="GM550" i="27"/>
  <c r="GM551" i="27"/>
  <c r="GM552" i="27"/>
  <c r="GM553" i="27"/>
  <c r="GM554" i="27"/>
  <c r="GM555" i="27"/>
  <c r="GM556" i="27"/>
  <c r="GM557" i="27"/>
  <c r="GM558" i="27"/>
  <c r="GM559" i="27"/>
  <c r="GM560" i="27"/>
  <c r="GM561" i="27"/>
  <c r="GM562" i="27"/>
  <c r="GM563" i="27"/>
  <c r="GM564" i="27"/>
  <c r="GM565" i="27"/>
  <c r="GM566" i="27"/>
  <c r="GM567" i="27"/>
  <c r="GM568" i="27"/>
  <c r="GM569" i="27"/>
  <c r="GM570" i="27"/>
  <c r="GM571" i="27"/>
  <c r="GM572" i="27"/>
  <c r="GM573" i="27"/>
  <c r="GM574" i="27"/>
  <c r="GM575" i="27"/>
  <c r="GM576" i="27"/>
  <c r="GM577" i="27"/>
  <c r="GM578" i="27"/>
  <c r="GM579" i="27"/>
  <c r="GM580" i="27"/>
  <c r="GM581" i="27"/>
  <c r="GM582" i="27"/>
  <c r="GM583" i="27"/>
  <c r="GM584" i="27"/>
  <c r="GM585" i="27"/>
  <c r="GM586" i="27"/>
  <c r="GM587" i="27"/>
  <c r="GM588" i="27"/>
  <c r="GM589" i="27"/>
  <c r="GM590" i="27"/>
  <c r="GM591" i="27"/>
  <c r="GM592" i="27"/>
  <c r="GM593" i="27"/>
  <c r="GM594" i="27"/>
  <c r="GM595" i="27"/>
  <c r="GM596" i="27"/>
  <c r="GM597" i="27"/>
  <c r="GM598" i="27"/>
  <c r="GM599" i="27"/>
  <c r="GM600" i="27"/>
  <c r="GM601" i="27"/>
  <c r="GM602" i="27"/>
  <c r="GM603" i="27"/>
  <c r="GM604" i="27"/>
  <c r="GM605" i="27"/>
  <c r="GM606" i="27"/>
  <c r="GM607" i="27"/>
  <c r="GM608" i="27"/>
  <c r="GM609" i="27"/>
  <c r="GM610" i="27"/>
  <c r="GM611" i="27"/>
  <c r="GM612" i="27"/>
  <c r="GM613" i="27"/>
  <c r="GM614" i="27"/>
  <c r="GM615" i="27"/>
  <c r="GM616" i="27"/>
  <c r="GM617" i="27"/>
  <c r="GM618" i="27"/>
  <c r="GM619" i="27"/>
  <c r="GM620" i="27"/>
  <c r="GM621" i="27"/>
  <c r="GM622" i="27"/>
  <c r="GM623" i="27"/>
  <c r="GM177" i="27"/>
  <c r="GM178" i="27"/>
  <c r="GM179" i="27"/>
  <c r="GM180" i="27"/>
  <c r="GM181" i="27"/>
  <c r="GM182" i="27"/>
  <c r="GM183" i="27"/>
  <c r="GM184" i="27"/>
  <c r="GM185" i="27"/>
  <c r="GM186" i="27"/>
  <c r="GM187" i="27"/>
  <c r="GM188" i="27"/>
  <c r="GM189" i="27"/>
  <c r="GM190" i="27"/>
  <c r="GM191" i="27"/>
  <c r="GM192" i="27"/>
  <c r="GM193" i="27"/>
  <c r="GM194" i="27"/>
  <c r="GM195" i="27"/>
  <c r="GM196" i="27"/>
  <c r="GM197" i="27"/>
  <c r="GM198" i="27"/>
  <c r="GM199" i="27"/>
  <c r="GM200" i="27"/>
  <c r="GM201" i="27"/>
  <c r="GM202" i="27"/>
  <c r="GM203" i="27"/>
  <c r="GM204" i="27"/>
  <c r="GM205" i="27"/>
  <c r="GM206" i="27"/>
  <c r="GM207" i="27"/>
  <c r="GM208" i="27"/>
  <c r="GM209" i="27"/>
  <c r="GM210" i="27"/>
  <c r="GM211" i="27"/>
  <c r="GM212" i="27"/>
  <c r="GM213" i="27"/>
  <c r="GM214" i="27"/>
  <c r="GM215" i="27"/>
  <c r="GM216" i="27"/>
  <c r="GM217" i="27"/>
  <c r="GM218" i="27"/>
  <c r="GM219" i="27"/>
  <c r="GM220" i="27"/>
  <c r="GM221" i="27"/>
  <c r="GM222" i="27"/>
  <c r="GM223" i="27"/>
  <c r="GM224" i="27"/>
  <c r="GM225" i="27"/>
  <c r="GM226" i="27"/>
  <c r="GM227" i="27"/>
  <c r="GM228" i="27"/>
  <c r="GM229" i="27"/>
  <c r="GM230" i="27"/>
  <c r="GM231" i="27"/>
  <c r="GM232" i="27"/>
  <c r="GM233" i="27"/>
  <c r="GM234" i="27"/>
  <c r="GM235" i="27"/>
  <c r="GM236" i="27"/>
  <c r="GM237" i="27"/>
  <c r="GM238" i="27"/>
  <c r="GM239" i="27"/>
  <c r="GM240" i="27"/>
  <c r="GM241" i="27"/>
  <c r="GM242" i="27"/>
  <c r="GM243" i="27"/>
  <c r="GM244" i="27"/>
  <c r="GM245" i="27"/>
  <c r="GM246" i="27"/>
  <c r="GM247" i="27"/>
  <c r="GM248" i="27"/>
  <c r="GM249" i="27"/>
  <c r="GM250" i="27"/>
  <c r="GM251" i="27"/>
  <c r="GM252" i="27"/>
  <c r="GM253" i="27"/>
  <c r="GM254" i="27"/>
  <c r="GM255" i="27"/>
  <c r="GM256" i="27"/>
  <c r="GM257" i="27"/>
  <c r="GM258" i="27"/>
  <c r="GM259" i="27"/>
  <c r="GM260" i="27"/>
  <c r="GM261" i="27"/>
  <c r="GM262" i="27"/>
  <c r="GM263" i="27"/>
  <c r="GM264" i="27"/>
  <c r="GM265" i="27"/>
  <c r="GM266" i="27"/>
  <c r="GM267" i="27"/>
  <c r="GM268" i="27"/>
  <c r="GM269" i="27"/>
  <c r="GM270" i="27"/>
  <c r="GM271" i="27"/>
  <c r="GM272" i="27"/>
  <c r="GM273" i="27"/>
  <c r="GM274" i="27"/>
  <c r="GM275" i="27"/>
  <c r="GM276" i="27"/>
  <c r="GM277" i="27"/>
  <c r="GM278" i="27"/>
  <c r="GM279" i="27"/>
  <c r="GM280" i="27"/>
  <c r="GM281" i="27"/>
  <c r="GM282" i="27"/>
  <c r="GM283" i="27"/>
  <c r="GM284" i="27"/>
  <c r="GM285" i="27"/>
  <c r="GM286" i="27"/>
  <c r="GM287" i="27"/>
  <c r="GM288" i="27"/>
  <c r="GM289" i="27"/>
  <c r="GM290" i="27"/>
  <c r="GM291" i="27"/>
  <c r="GM292" i="27"/>
  <c r="GM293" i="27"/>
  <c r="GM294" i="27"/>
  <c r="GM295" i="27"/>
  <c r="GM296" i="27"/>
  <c r="GM297" i="27"/>
  <c r="GM298" i="27"/>
  <c r="GM299" i="27"/>
  <c r="GM300" i="27"/>
  <c r="GM301" i="27"/>
  <c r="GM302" i="27"/>
  <c r="GM303" i="27"/>
  <c r="GM304" i="27"/>
  <c r="GM305" i="27"/>
  <c r="GM306" i="27"/>
  <c r="GM307" i="27"/>
  <c r="GM308" i="27"/>
  <c r="GM309" i="27"/>
  <c r="GM310" i="27"/>
  <c r="GM311" i="27"/>
  <c r="GM312" i="27"/>
  <c r="GM313" i="27"/>
  <c r="GM314" i="27"/>
  <c r="GM315" i="27"/>
  <c r="GM316" i="27"/>
  <c r="GM317" i="27"/>
  <c r="GM318" i="27"/>
  <c r="GM319" i="27"/>
  <c r="GM320" i="27"/>
  <c r="GM321" i="27"/>
  <c r="GM322" i="27"/>
  <c r="GM323" i="27"/>
  <c r="GM324" i="27"/>
  <c r="GM325" i="27"/>
  <c r="GM326" i="27"/>
  <c r="GM327" i="27"/>
  <c r="GM328" i="27"/>
  <c r="GM329" i="27"/>
  <c r="GM330" i="27"/>
  <c r="GM331" i="27"/>
  <c r="GM332" i="27"/>
  <c r="GM333" i="27"/>
  <c r="GM334" i="27"/>
  <c r="GM335" i="27"/>
  <c r="GM336" i="27"/>
  <c r="GM337" i="27"/>
  <c r="GM338" i="27"/>
  <c r="GM339" i="27"/>
  <c r="GM340" i="27"/>
  <c r="GM341" i="27"/>
  <c r="GM342" i="27"/>
  <c r="GM343" i="27"/>
  <c r="GM344" i="27"/>
  <c r="GM345" i="27"/>
  <c r="GM346" i="27"/>
  <c r="GM347" i="27"/>
  <c r="GM348" i="27"/>
  <c r="GM349" i="27"/>
  <c r="GM350" i="27"/>
  <c r="GM351" i="27"/>
  <c r="GM352" i="27"/>
  <c r="GM353" i="27"/>
  <c r="GM354" i="27"/>
  <c r="GM355" i="27"/>
  <c r="GM356" i="27"/>
  <c r="GM357" i="27"/>
  <c r="GM358" i="27"/>
  <c r="GM359" i="27"/>
  <c r="GM360" i="27"/>
  <c r="GM361" i="27"/>
  <c r="GM362" i="27"/>
  <c r="GM363" i="27"/>
  <c r="GM364" i="27"/>
  <c r="GM365" i="27"/>
  <c r="GM366" i="27"/>
  <c r="GM367" i="27"/>
  <c r="GM368" i="27"/>
  <c r="GM369" i="27"/>
  <c r="GM370" i="27"/>
  <c r="GM371" i="27"/>
  <c r="GM372" i="27"/>
  <c r="GM373" i="27"/>
  <c r="GM374" i="27"/>
  <c r="GM375" i="27"/>
  <c r="GM376" i="27"/>
  <c r="GM377" i="27"/>
  <c r="GM378" i="27"/>
  <c r="GM379" i="27"/>
  <c r="GM380" i="27"/>
  <c r="GM381" i="27"/>
  <c r="GM382" i="27"/>
  <c r="GM383" i="27"/>
  <c r="GM384" i="27"/>
  <c r="GM385" i="27"/>
  <c r="GM386" i="27"/>
  <c r="GM387" i="27"/>
  <c r="GM388" i="27"/>
  <c r="GM389" i="27"/>
  <c r="GM390" i="27"/>
  <c r="GM391" i="27"/>
  <c r="GM392" i="27"/>
  <c r="GM393" i="27"/>
  <c r="GM394" i="27"/>
  <c r="GM395" i="27"/>
  <c r="GM396" i="27"/>
  <c r="GM397" i="27"/>
  <c r="GM398" i="27"/>
  <c r="GM399" i="27"/>
  <c r="GM400" i="27"/>
  <c r="GM401" i="27"/>
  <c r="GM402" i="27"/>
  <c r="GM403" i="27"/>
  <c r="GM404" i="27"/>
  <c r="GM405" i="27"/>
  <c r="GM406" i="27"/>
  <c r="GM407" i="27"/>
  <c r="GM408" i="27"/>
  <c r="GM95" i="27"/>
  <c r="GM96" i="27"/>
  <c r="GM97" i="27"/>
  <c r="GM98" i="27"/>
  <c r="GM99" i="27"/>
  <c r="GM100" i="27"/>
  <c r="GM101" i="27"/>
  <c r="GM102" i="27"/>
  <c r="GM103" i="27"/>
  <c r="GM104" i="27"/>
  <c r="GM105" i="27"/>
  <c r="GM106" i="27"/>
  <c r="GM107" i="27"/>
  <c r="GM108" i="27"/>
  <c r="GM109" i="27"/>
  <c r="GM110" i="27"/>
  <c r="GM111" i="27"/>
  <c r="GM112" i="27"/>
  <c r="GM113" i="27"/>
  <c r="GM114" i="27"/>
  <c r="GM115" i="27"/>
  <c r="GM116" i="27"/>
  <c r="GM117" i="27"/>
  <c r="GM118" i="27"/>
  <c r="GM119" i="27"/>
  <c r="GM120" i="27"/>
  <c r="GM121" i="27"/>
  <c r="GM122" i="27"/>
  <c r="GM123" i="27"/>
  <c r="GM124" i="27"/>
  <c r="GM125" i="27"/>
  <c r="GM126" i="27"/>
  <c r="GM127" i="27"/>
  <c r="GM128" i="27"/>
  <c r="GM129" i="27"/>
  <c r="GM130" i="27"/>
  <c r="GM131" i="27"/>
  <c r="GM132" i="27"/>
  <c r="GM133" i="27"/>
  <c r="GM134" i="27"/>
  <c r="GM135" i="27"/>
  <c r="GM136" i="27"/>
  <c r="GM137" i="27"/>
  <c r="GM138" i="27"/>
  <c r="GM139" i="27"/>
  <c r="GM140" i="27"/>
  <c r="GM141" i="27"/>
  <c r="GM142" i="27"/>
  <c r="GM143" i="27"/>
  <c r="GM144" i="27"/>
  <c r="GM145" i="27"/>
  <c r="GM146" i="27"/>
  <c r="GM147" i="27"/>
  <c r="GM148" i="27"/>
  <c r="GM149" i="27"/>
  <c r="GM150" i="27"/>
  <c r="GM151" i="27"/>
  <c r="GM152" i="27"/>
  <c r="GM153" i="27"/>
  <c r="GM154" i="27"/>
  <c r="GM155" i="27"/>
  <c r="GM156" i="27"/>
  <c r="GM157" i="27"/>
  <c r="GM158" i="27"/>
  <c r="GM159" i="27"/>
  <c r="GM160" i="27"/>
  <c r="GM161" i="27"/>
  <c r="GM162" i="27"/>
  <c r="GM163" i="27"/>
  <c r="GM164" i="27"/>
  <c r="GM165" i="27"/>
  <c r="GM166" i="27"/>
  <c r="GM167" i="27"/>
  <c r="GM168" i="27"/>
  <c r="GM169" i="27"/>
  <c r="GM170" i="27"/>
  <c r="GM171" i="27"/>
  <c r="GM172" i="27"/>
  <c r="GM173" i="27"/>
  <c r="GM174" i="27"/>
  <c r="GM175" i="27"/>
  <c r="GM176" i="27"/>
  <c r="GM73" i="27"/>
  <c r="GM74" i="27"/>
  <c r="GM75" i="27"/>
  <c r="GM76" i="27"/>
  <c r="GM77" i="27"/>
  <c r="GM78" i="27"/>
  <c r="GM79" i="27"/>
  <c r="GM80" i="27"/>
  <c r="GM81" i="27"/>
  <c r="GM82" i="27"/>
  <c r="GM83" i="27"/>
  <c r="GM84" i="27"/>
  <c r="GM85" i="27"/>
  <c r="GM86" i="27"/>
  <c r="GM87" i="27"/>
  <c r="GM88" i="27"/>
  <c r="GM89" i="27"/>
  <c r="GM90" i="27"/>
  <c r="GM91" i="27"/>
  <c r="GM92" i="27"/>
  <c r="GM93" i="27"/>
  <c r="GM94" i="27"/>
  <c r="GM8" i="27"/>
  <c r="GM9" i="27"/>
  <c r="GM10" i="27"/>
  <c r="GM11" i="27"/>
  <c r="GM12" i="27"/>
  <c r="GM13" i="27"/>
  <c r="GM14" i="27"/>
  <c r="GM15" i="27"/>
  <c r="GM16" i="27"/>
  <c r="GM17" i="27"/>
  <c r="GM18" i="27"/>
  <c r="GM19" i="27"/>
  <c r="GM20" i="27"/>
  <c r="GM21" i="27"/>
  <c r="GM22" i="27"/>
  <c r="GM23" i="27"/>
  <c r="GM24" i="27"/>
  <c r="GM25" i="27"/>
  <c r="GM26" i="27"/>
  <c r="GM27" i="27"/>
  <c r="GM28" i="27"/>
  <c r="GM29" i="27"/>
  <c r="GM30" i="27"/>
  <c r="GM31" i="27"/>
  <c r="GM32" i="27"/>
  <c r="GM33" i="27"/>
  <c r="GM34" i="27"/>
  <c r="GM35" i="27"/>
  <c r="GM36" i="27"/>
  <c r="GM37" i="27"/>
  <c r="GM38" i="27"/>
  <c r="GM39" i="27"/>
  <c r="GM40" i="27"/>
  <c r="GM41" i="27"/>
  <c r="GM42" i="27"/>
  <c r="GM43" i="27"/>
  <c r="GM44" i="27"/>
  <c r="GM45" i="27"/>
  <c r="GM46" i="27"/>
  <c r="GM47" i="27"/>
  <c r="GM48" i="27"/>
  <c r="GM49" i="27"/>
  <c r="GM50" i="27"/>
  <c r="GM51" i="27"/>
  <c r="GM52" i="27"/>
  <c r="GM53" i="27"/>
  <c r="GM54" i="27"/>
  <c r="GM55" i="27"/>
  <c r="GM56" i="27"/>
  <c r="GM57" i="27"/>
  <c r="GM58" i="27"/>
  <c r="GM59" i="27"/>
  <c r="GM60" i="27"/>
  <c r="GM61" i="27"/>
  <c r="GM62" i="27"/>
  <c r="GM63" i="27"/>
  <c r="GM64" i="27"/>
  <c r="GM65" i="27"/>
  <c r="GM66" i="27"/>
  <c r="GM67" i="27"/>
  <c r="GM68" i="27"/>
  <c r="GM69" i="27"/>
  <c r="GM70" i="27"/>
  <c r="GM71" i="27"/>
  <c r="GM72" i="27"/>
  <c r="GM7" i="27"/>
  <c r="GN67" i="19"/>
  <c r="GN68" i="19"/>
  <c r="GN69" i="19"/>
  <c r="GN70" i="19"/>
  <c r="GL67" i="18"/>
  <c r="GL68" i="18"/>
  <c r="GL69" i="18"/>
  <c r="GL70" i="18"/>
  <c r="GN280" i="26"/>
  <c r="GN281" i="26"/>
  <c r="GN282" i="26"/>
  <c r="GN283" i="26"/>
  <c r="GN284" i="26"/>
  <c r="GN285" i="26"/>
  <c r="GN286" i="26"/>
  <c r="GN287" i="26"/>
  <c r="GN288" i="26"/>
  <c r="GN289" i="26"/>
  <c r="GN290" i="26"/>
  <c r="GN291" i="26"/>
  <c r="GN292" i="26"/>
  <c r="GN293" i="26"/>
  <c r="GN294" i="26"/>
  <c r="GN295" i="26"/>
  <c r="GN296" i="26"/>
  <c r="GN297" i="26"/>
  <c r="GN298" i="26"/>
  <c r="GN299" i="26"/>
  <c r="GN300" i="26"/>
  <c r="GN301" i="26"/>
  <c r="GN302" i="26"/>
  <c r="GN303" i="26"/>
  <c r="GN304" i="26"/>
  <c r="GN305" i="26"/>
  <c r="GN306" i="26"/>
  <c r="GN307" i="26"/>
  <c r="GN308" i="26"/>
  <c r="GN309" i="26"/>
  <c r="GN310" i="26"/>
  <c r="GN311" i="26"/>
  <c r="GN312" i="26"/>
  <c r="GN313" i="26"/>
  <c r="GN314" i="26"/>
  <c r="GN315" i="26"/>
  <c r="GN316" i="26"/>
  <c r="GN317" i="26"/>
  <c r="GN318" i="26"/>
  <c r="GN319" i="26"/>
  <c r="GN320" i="26"/>
  <c r="GN321" i="26"/>
  <c r="GN322" i="26"/>
  <c r="GN323" i="26"/>
  <c r="GN324" i="26"/>
  <c r="GN325" i="26"/>
  <c r="GN326" i="26"/>
  <c r="GN327" i="26"/>
  <c r="GN328" i="26"/>
  <c r="GN329" i="26"/>
  <c r="GN330" i="26"/>
  <c r="GN331" i="26"/>
  <c r="GN332" i="26"/>
  <c r="GN333" i="26"/>
  <c r="GN334" i="26"/>
  <c r="GN335" i="26"/>
  <c r="GN336" i="26"/>
  <c r="GN337" i="26"/>
  <c r="GN338" i="26"/>
  <c r="GN339" i="26"/>
  <c r="GN340" i="26"/>
  <c r="GN341" i="26"/>
  <c r="GN342" i="26"/>
  <c r="GN343" i="26"/>
  <c r="GN344" i="26"/>
  <c r="GN345" i="26"/>
  <c r="GN346" i="26"/>
  <c r="GN347" i="26"/>
  <c r="GN348" i="26"/>
  <c r="GN349" i="26"/>
  <c r="GN350" i="26"/>
  <c r="GN351" i="26"/>
  <c r="GN352" i="26"/>
  <c r="GN353" i="26"/>
  <c r="GN354" i="26"/>
  <c r="GN355" i="26"/>
  <c r="GN356" i="26"/>
  <c r="GN357" i="26"/>
  <c r="GN358" i="26"/>
  <c r="GN359" i="26"/>
  <c r="GN360" i="26"/>
  <c r="GN361" i="26"/>
  <c r="GN362" i="26"/>
  <c r="GN363" i="26"/>
  <c r="GN364" i="26"/>
  <c r="GN365" i="26"/>
  <c r="GN366" i="26"/>
  <c r="GN367" i="26"/>
  <c r="GN368" i="26"/>
  <c r="GN369" i="26"/>
  <c r="GN370" i="26"/>
  <c r="GN371" i="26"/>
  <c r="GN372" i="26"/>
  <c r="GN373" i="26"/>
  <c r="GN374" i="26"/>
  <c r="GN375" i="26"/>
  <c r="GN376" i="26"/>
  <c r="GN377" i="26"/>
  <c r="GN378" i="26"/>
  <c r="GN379" i="26"/>
  <c r="GN380" i="26"/>
  <c r="GN381" i="26"/>
  <c r="GN382" i="26"/>
  <c r="GN383" i="26"/>
  <c r="GN384" i="26"/>
  <c r="GN385" i="26"/>
  <c r="GN386" i="26"/>
  <c r="GN387" i="26"/>
  <c r="GN388" i="26"/>
  <c r="GN389" i="26"/>
  <c r="GN390" i="26"/>
  <c r="GN391" i="26"/>
  <c r="GN392" i="26"/>
  <c r="GN393" i="26"/>
  <c r="GN394" i="26"/>
  <c r="GN395" i="26"/>
  <c r="GN396" i="26"/>
  <c r="GN397" i="26"/>
  <c r="GN398" i="26"/>
  <c r="GN399" i="26"/>
  <c r="GN400" i="26"/>
  <c r="GN401" i="26"/>
  <c r="GN402" i="26"/>
  <c r="GN403" i="26"/>
  <c r="GN404" i="26"/>
  <c r="GN405" i="26"/>
  <c r="GN406" i="26"/>
  <c r="GN407" i="26"/>
  <c r="GN408" i="26"/>
  <c r="GN409" i="26"/>
  <c r="GN410" i="26"/>
  <c r="GN411" i="26"/>
  <c r="GN412" i="26"/>
  <c r="GN413" i="26"/>
  <c r="GN414" i="26"/>
  <c r="GN415" i="26"/>
  <c r="GN416" i="26"/>
  <c r="GN417" i="26"/>
  <c r="GN418" i="26"/>
  <c r="GN419" i="26"/>
  <c r="GN420" i="26"/>
  <c r="GN421" i="26"/>
  <c r="GN422" i="26"/>
  <c r="GN423" i="26"/>
  <c r="GN424" i="26"/>
  <c r="GN425" i="26"/>
  <c r="GN426" i="26"/>
  <c r="GN427" i="26"/>
  <c r="GN428" i="26"/>
  <c r="GN429" i="26"/>
  <c r="GN430" i="26"/>
  <c r="GN431" i="26"/>
  <c r="GN432" i="26"/>
  <c r="GN433" i="26"/>
  <c r="GN434" i="26"/>
  <c r="GN435" i="26"/>
  <c r="GN436" i="26"/>
  <c r="GN437" i="26"/>
  <c r="GN438" i="26"/>
  <c r="GN439" i="26"/>
  <c r="GN440" i="26"/>
  <c r="GN441" i="26"/>
  <c r="GN442" i="26"/>
  <c r="GN443" i="26"/>
  <c r="GN444" i="26"/>
  <c r="GN445" i="26"/>
  <c r="GN446" i="26"/>
  <c r="GN447" i="26"/>
  <c r="GN448" i="26"/>
  <c r="GN449" i="26"/>
  <c r="GN450" i="26"/>
  <c r="GN451" i="26"/>
  <c r="GN452" i="26"/>
  <c r="GN453" i="26"/>
  <c r="GN454" i="26"/>
  <c r="GN455" i="26"/>
  <c r="GN456" i="26"/>
  <c r="GN457" i="26"/>
  <c r="GN458" i="26"/>
  <c r="GN459" i="26"/>
  <c r="GN460" i="26"/>
  <c r="GN461" i="26"/>
  <c r="GN462" i="26"/>
  <c r="GN463" i="26"/>
  <c r="GN464" i="26"/>
  <c r="GN465" i="26"/>
  <c r="GN466" i="26"/>
  <c r="GN467" i="26"/>
  <c r="GN468" i="26"/>
  <c r="GN469" i="26"/>
  <c r="GN470" i="26"/>
  <c r="GN471" i="26"/>
  <c r="GN472" i="26"/>
  <c r="GN473" i="26"/>
  <c r="GN474" i="26"/>
  <c r="GN475" i="26"/>
  <c r="GN476" i="26"/>
  <c r="GN477" i="26"/>
  <c r="GN478" i="26"/>
  <c r="GN479" i="26"/>
  <c r="GN480" i="26"/>
  <c r="GN481" i="26"/>
  <c r="GN482" i="26"/>
  <c r="GN483" i="26"/>
  <c r="GN484" i="26"/>
  <c r="GN485" i="26"/>
  <c r="GN486" i="26"/>
  <c r="GN487" i="26"/>
  <c r="GN488" i="26"/>
  <c r="GN489" i="26"/>
  <c r="GN490" i="26"/>
  <c r="GN491" i="26"/>
  <c r="GN492" i="26"/>
  <c r="GN493" i="26"/>
  <c r="GN494" i="26"/>
  <c r="GN495" i="26"/>
  <c r="GN496" i="26"/>
  <c r="GN497" i="26"/>
  <c r="GN498" i="26"/>
  <c r="GN499" i="26"/>
  <c r="GN500" i="26"/>
  <c r="GN501" i="26"/>
  <c r="GN502" i="26"/>
  <c r="GN503" i="26"/>
  <c r="GN504" i="26"/>
  <c r="GN505" i="26"/>
  <c r="GN506" i="26"/>
  <c r="GN507" i="26"/>
  <c r="GN508" i="26"/>
  <c r="GN509" i="26"/>
  <c r="GN510" i="26"/>
  <c r="GN511" i="26"/>
  <c r="GN512" i="26"/>
  <c r="GN513" i="26"/>
  <c r="GN514" i="26"/>
  <c r="GN515" i="26"/>
  <c r="GN516" i="26"/>
  <c r="GN517" i="26"/>
  <c r="GN518" i="26"/>
  <c r="GN519" i="26"/>
  <c r="GN520" i="26"/>
  <c r="GN521" i="26"/>
  <c r="GN522" i="26"/>
  <c r="GN523" i="26"/>
  <c r="GN524" i="26"/>
  <c r="GN525" i="26"/>
  <c r="GN526" i="26"/>
  <c r="GN527" i="26"/>
  <c r="GN528" i="26"/>
  <c r="GN529" i="26"/>
  <c r="GN530" i="26"/>
  <c r="GN531" i="26"/>
  <c r="GN532" i="26"/>
  <c r="GN533" i="26"/>
  <c r="GN534" i="26"/>
  <c r="GN535" i="26"/>
  <c r="GN536" i="26"/>
  <c r="GN537" i="26"/>
  <c r="GN538" i="26"/>
  <c r="GN539" i="26"/>
  <c r="GN540" i="26"/>
  <c r="GN541" i="26"/>
  <c r="GN542" i="26"/>
  <c r="GN543" i="26"/>
  <c r="GN544" i="26"/>
  <c r="GN545" i="26"/>
  <c r="GN546" i="26"/>
  <c r="GN547" i="26"/>
  <c r="GN548" i="26"/>
  <c r="GN549" i="26"/>
  <c r="GN550" i="26"/>
  <c r="GN551" i="26"/>
  <c r="GN552" i="26"/>
  <c r="GN553" i="26"/>
  <c r="GN554" i="26"/>
  <c r="GN555" i="26"/>
  <c r="GN556" i="26"/>
  <c r="GN557" i="26"/>
  <c r="GN558" i="26"/>
  <c r="GN559" i="26"/>
  <c r="GN560" i="26"/>
  <c r="GN561" i="26"/>
  <c r="GN562" i="26"/>
  <c r="GN563" i="26"/>
  <c r="GN564" i="26"/>
  <c r="GN565" i="26"/>
  <c r="GN566" i="26"/>
  <c r="GN567" i="26"/>
  <c r="GN568" i="26"/>
  <c r="GN569" i="26"/>
  <c r="GN570" i="26"/>
  <c r="GN571" i="26"/>
  <c r="GN572" i="26"/>
  <c r="GN573" i="26"/>
  <c r="GN574" i="26"/>
  <c r="GN575" i="26"/>
  <c r="GN576" i="26"/>
  <c r="GN577" i="26"/>
  <c r="GN578" i="26"/>
  <c r="GN579" i="26"/>
  <c r="GN580" i="26"/>
  <c r="GN581" i="26"/>
  <c r="GN582" i="26"/>
  <c r="GN583" i="26"/>
  <c r="GN584" i="26"/>
  <c r="GN71" i="26"/>
  <c r="GN72" i="26"/>
  <c r="GN73" i="26"/>
  <c r="GN74" i="26"/>
  <c r="GN75" i="26"/>
  <c r="GN76" i="26"/>
  <c r="GN77" i="26"/>
  <c r="GN78" i="26"/>
  <c r="GN79" i="26"/>
  <c r="GN80" i="26"/>
  <c r="GN81" i="26"/>
  <c r="GN82" i="26"/>
  <c r="GN83" i="26"/>
  <c r="GN84" i="26"/>
  <c r="GN85" i="26"/>
  <c r="GN86" i="26"/>
  <c r="GN87" i="26"/>
  <c r="GN88" i="26"/>
  <c r="GN89" i="26"/>
  <c r="GN90" i="26"/>
  <c r="GN91" i="26"/>
  <c r="GN92" i="26"/>
  <c r="GN93" i="26"/>
  <c r="GN94" i="26"/>
  <c r="GN95" i="26"/>
  <c r="GN96" i="26"/>
  <c r="GN97" i="26"/>
  <c r="GN98" i="26"/>
  <c r="GN99" i="26"/>
  <c r="GN100" i="26"/>
  <c r="GN101" i="26"/>
  <c r="GN102" i="26"/>
  <c r="GN103" i="26"/>
  <c r="GN104" i="26"/>
  <c r="GN105" i="26"/>
  <c r="GN106" i="26"/>
  <c r="GN107" i="26"/>
  <c r="GN108" i="26"/>
  <c r="GN109" i="26"/>
  <c r="GN110" i="26"/>
  <c r="GN111" i="26"/>
  <c r="GN112" i="26"/>
  <c r="GN113" i="26"/>
  <c r="GN114" i="26"/>
  <c r="GN115" i="26"/>
  <c r="GN116" i="26"/>
  <c r="GN117" i="26"/>
  <c r="GN118" i="26"/>
  <c r="GN119" i="26"/>
  <c r="GN120" i="26"/>
  <c r="GN121" i="26"/>
  <c r="GN122" i="26"/>
  <c r="GN123" i="26"/>
  <c r="GN124" i="26"/>
  <c r="GN125" i="26"/>
  <c r="GN126" i="26"/>
  <c r="GN127" i="26"/>
  <c r="GN128" i="26"/>
  <c r="GN129" i="26"/>
  <c r="GN130" i="26"/>
  <c r="GN131" i="26"/>
  <c r="GN132" i="26"/>
  <c r="GN133" i="26"/>
  <c r="GN134" i="26"/>
  <c r="GN135" i="26"/>
  <c r="GN136" i="26"/>
  <c r="GN137" i="26"/>
  <c r="GN138" i="26"/>
  <c r="GN139" i="26"/>
  <c r="GN140" i="26"/>
  <c r="GN141" i="26"/>
  <c r="GN142" i="26"/>
  <c r="GN143" i="26"/>
  <c r="GN144" i="26"/>
  <c r="GN145" i="26"/>
  <c r="GN146" i="26"/>
  <c r="GN147" i="26"/>
  <c r="GN148" i="26"/>
  <c r="GN149" i="26"/>
  <c r="GN150" i="26"/>
  <c r="GN151" i="26"/>
  <c r="GN152" i="26"/>
  <c r="GN153" i="26"/>
  <c r="GN154" i="26"/>
  <c r="GN155" i="26"/>
  <c r="GN156" i="26"/>
  <c r="GN157" i="26"/>
  <c r="GN158" i="26"/>
  <c r="GN159" i="26"/>
  <c r="GN160" i="26"/>
  <c r="GN161" i="26"/>
  <c r="GN162" i="26"/>
  <c r="GN163" i="26"/>
  <c r="GN164" i="26"/>
  <c r="GN165" i="26"/>
  <c r="GN166" i="26"/>
  <c r="GN167" i="26"/>
  <c r="GN168" i="26"/>
  <c r="GN169" i="26"/>
  <c r="GN170" i="26"/>
  <c r="GN171" i="26"/>
  <c r="GN172" i="26"/>
  <c r="GN173" i="26"/>
  <c r="GN174" i="26"/>
  <c r="GN175" i="26"/>
  <c r="GN176" i="26"/>
  <c r="GN177" i="26"/>
  <c r="GN178" i="26"/>
  <c r="GN179" i="26"/>
  <c r="GN180" i="26"/>
  <c r="GN181" i="26"/>
  <c r="GN182" i="26"/>
  <c r="GN183" i="26"/>
  <c r="GN184" i="26"/>
  <c r="GN185" i="26"/>
  <c r="GN186" i="26"/>
  <c r="GN187" i="26"/>
  <c r="GN188" i="26"/>
  <c r="GN189" i="26"/>
  <c r="GN190" i="26"/>
  <c r="GN191" i="26"/>
  <c r="GN192" i="26"/>
  <c r="GN193" i="26"/>
  <c r="GN194" i="26"/>
  <c r="GN195" i="26"/>
  <c r="GN196" i="26"/>
  <c r="GN197" i="26"/>
  <c r="GN198" i="26"/>
  <c r="GN199" i="26"/>
  <c r="GN200" i="26"/>
  <c r="GN201" i="26"/>
  <c r="GN202" i="26"/>
  <c r="GN203" i="26"/>
  <c r="GN204" i="26"/>
  <c r="GN205" i="26"/>
  <c r="GN206" i="26"/>
  <c r="GN207" i="26"/>
  <c r="GN208" i="26"/>
  <c r="GN209" i="26"/>
  <c r="GN210" i="26"/>
  <c r="GN211" i="26"/>
  <c r="GN212" i="26"/>
  <c r="GN213" i="26"/>
  <c r="GN214" i="26"/>
  <c r="GN215" i="26"/>
  <c r="GN216" i="26"/>
  <c r="GN217" i="26"/>
  <c r="GN218" i="26"/>
  <c r="GN219" i="26"/>
  <c r="GN220" i="26"/>
  <c r="GN221" i="26"/>
  <c r="GN222" i="26"/>
  <c r="GN223" i="26"/>
  <c r="GN224" i="26"/>
  <c r="GN225" i="26"/>
  <c r="GN226" i="26"/>
  <c r="GN227" i="26"/>
  <c r="GN228" i="26"/>
  <c r="GN229" i="26"/>
  <c r="GN230" i="26"/>
  <c r="GN231" i="26"/>
  <c r="GN232" i="26"/>
  <c r="GN233" i="26"/>
  <c r="GN234" i="26"/>
  <c r="GN235" i="26"/>
  <c r="GN236" i="26"/>
  <c r="GN237" i="26"/>
  <c r="GN238" i="26"/>
  <c r="GN239" i="26"/>
  <c r="GN240" i="26"/>
  <c r="GN241" i="26"/>
  <c r="GN242" i="26"/>
  <c r="GN243" i="26"/>
  <c r="GN244" i="26"/>
  <c r="GN245" i="26"/>
  <c r="GN246" i="26"/>
  <c r="GN247" i="26"/>
  <c r="GN248" i="26"/>
  <c r="GN249" i="26"/>
  <c r="GN250" i="26"/>
  <c r="GN251" i="26"/>
  <c r="GN252" i="26"/>
  <c r="GN253" i="26"/>
  <c r="GN254" i="26"/>
  <c r="GN255" i="26"/>
  <c r="GN256" i="26"/>
  <c r="GN257" i="26"/>
  <c r="GN258" i="26"/>
  <c r="GN259" i="26"/>
  <c r="GN260" i="26"/>
  <c r="GN261" i="26"/>
  <c r="GN262" i="26"/>
  <c r="GN263" i="26"/>
  <c r="GN264" i="26"/>
  <c r="GN265" i="26"/>
  <c r="GN266" i="26"/>
  <c r="GN267" i="26"/>
  <c r="GN268" i="26"/>
  <c r="GN269" i="26"/>
  <c r="GN270" i="26"/>
  <c r="GN271" i="26"/>
  <c r="GN272" i="26"/>
  <c r="GN273" i="26"/>
  <c r="GN274" i="26"/>
  <c r="GN275" i="26"/>
  <c r="GN276" i="26"/>
  <c r="GN277" i="26"/>
  <c r="GN278" i="26"/>
  <c r="GN279" i="26"/>
  <c r="GL57" i="18"/>
  <c r="GL58" i="18"/>
  <c r="GL59" i="18"/>
  <c r="GL60" i="18"/>
  <c r="GL61" i="18"/>
  <c r="GL62" i="18"/>
  <c r="GL63" i="18"/>
  <c r="GL64" i="18"/>
  <c r="GL65" i="18"/>
  <c r="GL66" i="18"/>
  <c r="GN58" i="19"/>
  <c r="GN59" i="19"/>
  <c r="GN60" i="19"/>
  <c r="GN61" i="19"/>
  <c r="GN62" i="19"/>
  <c r="GN63" i="19"/>
  <c r="GN64" i="19"/>
  <c r="GN65" i="19"/>
  <c r="GN66" i="19"/>
  <c r="GN70" i="26"/>
  <c r="GN69" i="26"/>
  <c r="GN68" i="26"/>
  <c r="GN67" i="26"/>
  <c r="GN66" i="26"/>
  <c r="GN65" i="26"/>
  <c r="GN64" i="26"/>
  <c r="GN63" i="26"/>
  <c r="GN62" i="26"/>
  <c r="GN61" i="26"/>
  <c r="GN60" i="26"/>
  <c r="GN59" i="26"/>
  <c r="GN58" i="26"/>
  <c r="GN57" i="26"/>
  <c r="GN56" i="26"/>
  <c r="GN55" i="26"/>
  <c r="GN54" i="26"/>
  <c r="GN53" i="26"/>
  <c r="GN52" i="26"/>
  <c r="GN51" i="26"/>
  <c r="GN50" i="26"/>
  <c r="GN49" i="26"/>
  <c r="GN48" i="26"/>
  <c r="GN47" i="26"/>
  <c r="GN46" i="26"/>
  <c r="GN45" i="26"/>
  <c r="GN44" i="26"/>
  <c r="GN43" i="26"/>
  <c r="GN42" i="26"/>
  <c r="GN41" i="26"/>
  <c r="GN40" i="26"/>
  <c r="GN39" i="26"/>
  <c r="GN38" i="26"/>
  <c r="GN37" i="26"/>
  <c r="GN36" i="26"/>
  <c r="GN35" i="26"/>
  <c r="GN34" i="26"/>
  <c r="GN33" i="26"/>
  <c r="GN32" i="26"/>
  <c r="GN31" i="26"/>
  <c r="GN30" i="26"/>
  <c r="GN29" i="26"/>
  <c r="GN28" i="26"/>
  <c r="GN27" i="26"/>
  <c r="GN26" i="26"/>
  <c r="GN25" i="26"/>
  <c r="GN24" i="26"/>
  <c r="GN23" i="26"/>
  <c r="GN22" i="26"/>
  <c r="GN21" i="26"/>
  <c r="GN20" i="26"/>
  <c r="GN19" i="26"/>
  <c r="GN18" i="26"/>
  <c r="GN17" i="26"/>
  <c r="GN16" i="26"/>
  <c r="GN15" i="26"/>
  <c r="GN14" i="26"/>
  <c r="GN13" i="26"/>
  <c r="GN12" i="26"/>
  <c r="GN11" i="26"/>
  <c r="GN10" i="26"/>
  <c r="GN9" i="26"/>
  <c r="GN8" i="26"/>
  <c r="GN7" i="26"/>
  <c r="GN6" i="26"/>
  <c r="AR708" i="9" l="1"/>
  <c r="AS732" i="9"/>
  <c r="AS552" i="9"/>
  <c r="AS1034" i="9"/>
  <c r="AT278" i="9"/>
  <c r="AT566" i="9"/>
  <c r="AT710" i="9"/>
  <c r="AR389" i="9"/>
  <c r="AT504" i="9"/>
  <c r="AT677" i="9"/>
  <c r="AR821" i="9"/>
  <c r="AS207" i="9"/>
  <c r="AS888" i="9"/>
  <c r="AS446" i="9"/>
  <c r="AT492" i="9"/>
  <c r="AT950" i="9"/>
  <c r="AT461" i="9"/>
  <c r="AT833" i="9"/>
  <c r="AT135" i="9"/>
  <c r="AS250" i="9"/>
  <c r="AT648" i="9"/>
  <c r="AT396" i="9"/>
  <c r="AT830" i="9"/>
  <c r="AR142" i="9"/>
  <c r="AR1008" i="9"/>
  <c r="AT243" i="9"/>
  <c r="AR470" i="9"/>
  <c r="AS118" i="9"/>
  <c r="AT261" i="9"/>
  <c r="AT281" i="9"/>
  <c r="AR422" i="9"/>
  <c r="AR569" i="9"/>
  <c r="AR998" i="9"/>
  <c r="AT178" i="9"/>
  <c r="AR154" i="9"/>
  <c r="AS578" i="9"/>
  <c r="AS293" i="9"/>
  <c r="AT437" i="9"/>
  <c r="AR576" i="9"/>
  <c r="AT725" i="9"/>
  <c r="AT864" i="9"/>
  <c r="AR1013" i="9"/>
  <c r="AS122" i="9"/>
  <c r="AR492" i="9"/>
  <c r="AT857" i="9"/>
  <c r="AR984" i="9"/>
  <c r="AT290" i="9"/>
  <c r="AT722" i="9"/>
  <c r="AT866" i="9"/>
  <c r="AT588" i="9"/>
  <c r="AR737" i="9"/>
  <c r="AT881" i="9"/>
  <c r="AR1020" i="9"/>
  <c r="AR878" i="9"/>
  <c r="AT317" i="9"/>
  <c r="AT456" i="9"/>
  <c r="AR600" i="9"/>
  <c r="AT749" i="9"/>
  <c r="AR893" i="9"/>
  <c r="AR1032" i="9"/>
  <c r="AT146" i="9"/>
  <c r="AR238" i="9"/>
  <c r="AT166" i="9"/>
  <c r="AT1032" i="9"/>
  <c r="AT420" i="9"/>
  <c r="AT708" i="9"/>
  <c r="AT852" i="9"/>
  <c r="AT154" i="9"/>
  <c r="AT314" i="9"/>
  <c r="AT602" i="9"/>
  <c r="AT890" i="9"/>
  <c r="AT1034" i="9"/>
  <c r="AT329" i="9"/>
  <c r="AT473" i="9"/>
  <c r="AT612" i="9"/>
  <c r="AT761" i="9"/>
  <c r="AS900" i="9"/>
  <c r="AS15" i="9"/>
  <c r="AR158" i="9"/>
  <c r="AS372" i="9"/>
  <c r="AR226" i="9"/>
  <c r="AT552" i="9"/>
  <c r="AR288" i="9"/>
  <c r="AT326" i="9"/>
  <c r="AT470" i="9"/>
  <c r="AT758" i="9"/>
  <c r="AT336" i="9"/>
  <c r="AT480" i="9"/>
  <c r="AT629" i="9"/>
  <c r="AT773" i="9"/>
  <c r="AS914" i="9"/>
  <c r="AS26" i="9"/>
  <c r="AT170" i="9"/>
  <c r="AS516" i="9"/>
  <c r="AS528" i="9"/>
  <c r="AT190" i="9"/>
  <c r="AT338" i="9"/>
  <c r="AT231" i="9"/>
  <c r="AS989" i="9"/>
  <c r="AR348" i="9"/>
  <c r="AT353" i="9"/>
  <c r="AT497" i="9"/>
  <c r="AT641" i="9"/>
  <c r="AS785" i="9"/>
  <c r="AT929" i="9"/>
  <c r="AR38" i="9"/>
  <c r="AT182" i="9"/>
  <c r="AS672" i="9"/>
  <c r="AT202" i="9"/>
  <c r="AT842" i="9"/>
  <c r="AT996" i="9"/>
  <c r="AT365" i="9"/>
  <c r="AT509" i="9"/>
  <c r="AT797" i="9"/>
  <c r="AT941" i="9"/>
  <c r="AR51" i="9"/>
  <c r="AT194" i="9"/>
  <c r="AT792" i="9"/>
  <c r="AR82" i="9"/>
  <c r="AS816" i="9"/>
  <c r="AT214" i="9"/>
  <c r="AT854" i="9"/>
  <c r="AR551" i="9"/>
  <c r="AT636" i="9"/>
  <c r="AT377" i="9"/>
  <c r="AT521" i="9"/>
  <c r="AR665" i="9"/>
  <c r="AT809" i="9"/>
  <c r="AT953" i="9"/>
  <c r="AT63" i="9"/>
  <c r="AT207" i="9"/>
  <c r="AT936" i="9"/>
  <c r="AS960" i="9"/>
  <c r="AR950" i="9"/>
  <c r="AT440" i="9"/>
  <c r="AS440" i="9"/>
  <c r="AR440" i="9"/>
  <c r="AT406" i="9"/>
  <c r="AS406" i="9"/>
  <c r="AR406" i="9"/>
  <c r="AT982" i="9"/>
  <c r="AS982" i="9"/>
  <c r="AR982" i="9"/>
  <c r="AT79" i="9"/>
  <c r="AS79" i="9"/>
  <c r="AR79" i="9"/>
  <c r="AR372" i="9"/>
  <c r="AT875" i="9"/>
  <c r="AS875" i="9"/>
  <c r="AR875" i="9"/>
  <c r="AT840" i="9"/>
  <c r="AT635" i="9"/>
  <c r="AS635" i="9"/>
  <c r="AR635" i="9"/>
  <c r="AS96" i="9"/>
  <c r="AT96" i="9"/>
  <c r="AR96" i="9"/>
  <c r="AT277" i="9"/>
  <c r="AS277" i="9"/>
  <c r="AR277" i="9"/>
  <c r="AT687" i="9"/>
  <c r="AS687" i="9"/>
  <c r="AR687" i="9"/>
  <c r="AT532" i="9"/>
  <c r="AS532" i="9"/>
  <c r="AR532" i="9"/>
  <c r="AT269" i="9"/>
  <c r="AR159" i="9"/>
  <c r="AT308" i="9"/>
  <c r="AS308" i="9"/>
  <c r="AR308" i="9"/>
  <c r="AT452" i="9"/>
  <c r="AS452" i="9"/>
  <c r="AR452" i="9"/>
  <c r="AT596" i="9"/>
  <c r="AS596" i="9"/>
  <c r="AR596" i="9"/>
  <c r="AT740" i="9"/>
  <c r="AS740" i="9"/>
  <c r="AR740" i="9"/>
  <c r="AT333" i="9"/>
  <c r="AS333" i="9"/>
  <c r="AR333" i="9"/>
  <c r="AT477" i="9"/>
  <c r="AS477" i="9"/>
  <c r="AR477" i="9"/>
  <c r="AT621" i="9"/>
  <c r="AS621" i="9"/>
  <c r="AR621" i="9"/>
  <c r="AT765" i="9"/>
  <c r="AS765" i="9"/>
  <c r="AR765" i="9"/>
  <c r="AT909" i="9"/>
  <c r="AS909" i="9"/>
  <c r="AR909" i="9"/>
  <c r="AT274" i="9"/>
  <c r="AS274" i="9"/>
  <c r="AR274" i="9"/>
  <c r="AT418" i="9"/>
  <c r="AS418" i="9"/>
  <c r="AR418" i="9"/>
  <c r="AT562" i="9"/>
  <c r="AS562" i="9"/>
  <c r="AR562" i="9"/>
  <c r="AT706" i="9"/>
  <c r="AS706" i="9"/>
  <c r="AR706" i="9"/>
  <c r="AT850" i="9"/>
  <c r="AS850" i="9"/>
  <c r="AR850" i="9"/>
  <c r="AT994" i="9"/>
  <c r="AS994" i="9"/>
  <c r="AR994" i="9"/>
  <c r="AT926" i="9"/>
  <c r="AS926" i="9"/>
  <c r="AR926" i="9"/>
  <c r="AT402" i="9"/>
  <c r="AS402" i="9"/>
  <c r="AR402" i="9"/>
  <c r="AT546" i="9"/>
  <c r="AS546" i="9"/>
  <c r="AR546" i="9"/>
  <c r="AT690" i="9"/>
  <c r="AS690" i="9"/>
  <c r="AR690" i="9"/>
  <c r="AT834" i="9"/>
  <c r="AS834" i="9"/>
  <c r="AR834" i="9"/>
  <c r="AT978" i="9"/>
  <c r="AS978" i="9"/>
  <c r="AR978" i="9"/>
  <c r="AT88" i="9"/>
  <c r="AS88" i="9"/>
  <c r="AR88" i="9"/>
  <c r="AT232" i="9"/>
  <c r="AS232" i="9"/>
  <c r="AR232" i="9"/>
  <c r="AT151" i="9"/>
  <c r="AS151" i="9"/>
  <c r="AR151" i="9"/>
  <c r="AT1003" i="9"/>
  <c r="AS1003" i="9"/>
  <c r="AR1003" i="9"/>
  <c r="AT732" i="9"/>
  <c r="AR94" i="9"/>
  <c r="AT53" i="9"/>
  <c r="AS53" i="9"/>
  <c r="AR53" i="9"/>
  <c r="AT197" i="9"/>
  <c r="AS197" i="9"/>
  <c r="AR197" i="9"/>
  <c r="AT186" i="9"/>
  <c r="AS186" i="9"/>
  <c r="AR186" i="9"/>
  <c r="AT1019" i="9"/>
  <c r="AS1019" i="9"/>
  <c r="AR1019" i="9"/>
  <c r="AT372" i="9"/>
  <c r="AS708" i="9"/>
  <c r="AT34" i="9"/>
  <c r="AT87" i="9"/>
  <c r="AT198" i="9"/>
  <c r="AS198" i="9"/>
  <c r="AR198" i="9"/>
  <c r="AS1027" i="9"/>
  <c r="AT1027" i="9"/>
  <c r="AR1027" i="9"/>
  <c r="AT432" i="9"/>
  <c r="AT768" i="9"/>
  <c r="AS154" i="9"/>
  <c r="AS183" i="9"/>
  <c r="AT43" i="9"/>
  <c r="AS43" i="9"/>
  <c r="AR43" i="9"/>
  <c r="AT871" i="9"/>
  <c r="AS871" i="9"/>
  <c r="AR871" i="9"/>
  <c r="AS422" i="9"/>
  <c r="AR588" i="9"/>
  <c r="AR924" i="9"/>
  <c r="AS190" i="9"/>
  <c r="AT110" i="9"/>
  <c r="AR110" i="9"/>
  <c r="AS110" i="9"/>
  <c r="AT355" i="9"/>
  <c r="AS355" i="9"/>
  <c r="AR355" i="9"/>
  <c r="AT499" i="9"/>
  <c r="AS499" i="9"/>
  <c r="AR499" i="9"/>
  <c r="AT643" i="9"/>
  <c r="AS643" i="9"/>
  <c r="AR643" i="9"/>
  <c r="AT787" i="9"/>
  <c r="AS787" i="9"/>
  <c r="AR787" i="9"/>
  <c r="AT932" i="9"/>
  <c r="AS932" i="9"/>
  <c r="AR932" i="9"/>
  <c r="AT32" i="9"/>
  <c r="AS32" i="9"/>
  <c r="AR32" i="9"/>
  <c r="AT176" i="9"/>
  <c r="AS176" i="9"/>
  <c r="AR176" i="9"/>
  <c r="AT323" i="9"/>
  <c r="AS323" i="9"/>
  <c r="AR323" i="9"/>
  <c r="AT647" i="9"/>
  <c r="AS647" i="9"/>
  <c r="AR647" i="9"/>
  <c r="AT117" i="9"/>
  <c r="AS117" i="9"/>
  <c r="AR117" i="9"/>
  <c r="AS492" i="9"/>
  <c r="AT828" i="9"/>
  <c r="AR214" i="9"/>
  <c r="AT266" i="9"/>
  <c r="AR266" i="9"/>
  <c r="AS266" i="9"/>
  <c r="AT479" i="9"/>
  <c r="AS479" i="9"/>
  <c r="AR479" i="9"/>
  <c r="AT859" i="9"/>
  <c r="AS859" i="9"/>
  <c r="AR859" i="9"/>
  <c r="AT888" i="9"/>
  <c r="AS202" i="9"/>
  <c r="AS998" i="9"/>
  <c r="AR528" i="9"/>
  <c r="AR864" i="9"/>
  <c r="AT131" i="9"/>
  <c r="AS131" i="9"/>
  <c r="AR131" i="9"/>
  <c r="AT925" i="9"/>
  <c r="AS925" i="9"/>
  <c r="AR925" i="9"/>
  <c r="AT120" i="9"/>
  <c r="AS120" i="9"/>
  <c r="AR120" i="9"/>
  <c r="AT109" i="9"/>
  <c r="AS109" i="9"/>
  <c r="AR109" i="9"/>
  <c r="AT556" i="9"/>
  <c r="AS556" i="9"/>
  <c r="AR556" i="9"/>
  <c r="AS50" i="9"/>
  <c r="AR341" i="9"/>
  <c r="AR533" i="9"/>
  <c r="AR725" i="9"/>
  <c r="AR929" i="9"/>
  <c r="AT289" i="9"/>
  <c r="AS289" i="9"/>
  <c r="AR289" i="9"/>
  <c r="AT433" i="9"/>
  <c r="AS433" i="9"/>
  <c r="AR433" i="9"/>
  <c r="AT577" i="9"/>
  <c r="AS577" i="9"/>
  <c r="AR577" i="9"/>
  <c r="AT721" i="9"/>
  <c r="AS721" i="9"/>
  <c r="AR721" i="9"/>
  <c r="AT865" i="9"/>
  <c r="AS865" i="9"/>
  <c r="AR865" i="9"/>
  <c r="AT193" i="9"/>
  <c r="AS193" i="9"/>
  <c r="AR193" i="9"/>
  <c r="AT748" i="9"/>
  <c r="AS748" i="9"/>
  <c r="AR748" i="9"/>
  <c r="AS281" i="9"/>
  <c r="AS437" i="9"/>
  <c r="AS605" i="9"/>
  <c r="AS761" i="9"/>
  <c r="AS977" i="9"/>
  <c r="AT411" i="9"/>
  <c r="AS411" i="9"/>
  <c r="AR411" i="9"/>
  <c r="AT555" i="9"/>
  <c r="AS555" i="9"/>
  <c r="AR555" i="9"/>
  <c r="AT699" i="9"/>
  <c r="AS699" i="9"/>
  <c r="AR699" i="9"/>
  <c r="AT843" i="9"/>
  <c r="AS843" i="9"/>
  <c r="AR843" i="9"/>
  <c r="AT987" i="9"/>
  <c r="AR987" i="9"/>
  <c r="AS987" i="9"/>
  <c r="AT181" i="9"/>
  <c r="AS181" i="9"/>
  <c r="AR181" i="9"/>
  <c r="AT568" i="9"/>
  <c r="AS568" i="9"/>
  <c r="AR568" i="9"/>
  <c r="AR329" i="9"/>
  <c r="AR509" i="9"/>
  <c r="AR689" i="9"/>
  <c r="AR881" i="9"/>
  <c r="AS159" i="9"/>
  <c r="AR182" i="9"/>
  <c r="AR866" i="9"/>
  <c r="AR1034" i="9"/>
  <c r="AT753" i="9"/>
  <c r="AS753" i="9"/>
  <c r="AR753" i="9"/>
  <c r="AT782" i="9"/>
  <c r="AR782" i="9"/>
  <c r="AS782" i="9"/>
  <c r="AT966" i="9"/>
  <c r="AS966" i="9"/>
  <c r="AR966" i="9"/>
  <c r="AT1007" i="9"/>
  <c r="AS1007" i="9"/>
  <c r="AR1007" i="9"/>
  <c r="AS1031" i="9"/>
  <c r="AT1031" i="9"/>
  <c r="AR1031" i="9"/>
  <c r="AT343" i="9"/>
  <c r="AS343" i="9"/>
  <c r="AR343" i="9"/>
  <c r="AT467" i="9"/>
  <c r="AS467" i="9"/>
  <c r="AR467" i="9"/>
  <c r="AR202" i="9"/>
  <c r="AT1024" i="9"/>
  <c r="AS1024" i="9"/>
  <c r="AR1024" i="9"/>
  <c r="AT485" i="9"/>
  <c r="AT831" i="9"/>
  <c r="AS831" i="9"/>
  <c r="AR831" i="9"/>
  <c r="AT975" i="9"/>
  <c r="AS975" i="9"/>
  <c r="AR975" i="9"/>
  <c r="AT1012" i="9"/>
  <c r="AS1012" i="9"/>
  <c r="AR1012" i="9"/>
  <c r="AR338" i="9"/>
  <c r="AS866" i="9"/>
  <c r="AT320" i="9"/>
  <c r="AS320" i="9"/>
  <c r="AR320" i="9"/>
  <c r="AT464" i="9"/>
  <c r="AS464" i="9"/>
  <c r="AR464" i="9"/>
  <c r="AT608" i="9"/>
  <c r="AS608" i="9"/>
  <c r="AR608" i="9"/>
  <c r="AT752" i="9"/>
  <c r="AR752" i="9"/>
  <c r="AS752" i="9"/>
  <c r="AT345" i="9"/>
  <c r="AS345" i="9"/>
  <c r="AR345" i="9"/>
  <c r="AT489" i="9"/>
  <c r="AS489" i="9"/>
  <c r="AR489" i="9"/>
  <c r="AT633" i="9"/>
  <c r="AS633" i="9"/>
  <c r="AR633" i="9"/>
  <c r="AT777" i="9"/>
  <c r="AS777" i="9"/>
  <c r="AR777" i="9"/>
  <c r="AT921" i="9"/>
  <c r="AS921" i="9"/>
  <c r="AR921" i="9"/>
  <c r="AT286" i="9"/>
  <c r="AS286" i="9"/>
  <c r="AR286" i="9"/>
  <c r="AT430" i="9"/>
  <c r="AS430" i="9"/>
  <c r="AR430" i="9"/>
  <c r="AT574" i="9"/>
  <c r="AS574" i="9"/>
  <c r="AR574" i="9"/>
  <c r="AT718" i="9"/>
  <c r="AS718" i="9"/>
  <c r="AR718" i="9"/>
  <c r="AT862" i="9"/>
  <c r="AS862" i="9"/>
  <c r="AR862" i="9"/>
  <c r="AT1006" i="9"/>
  <c r="AS1006" i="9"/>
  <c r="AR1006" i="9"/>
  <c r="AT270" i="9"/>
  <c r="AS270" i="9"/>
  <c r="AR270" i="9"/>
  <c r="AT414" i="9"/>
  <c r="AS414" i="9"/>
  <c r="AR414" i="9"/>
  <c r="AT558" i="9"/>
  <c r="AS558" i="9"/>
  <c r="AR558" i="9"/>
  <c r="AT702" i="9"/>
  <c r="AS702" i="9"/>
  <c r="AR702" i="9"/>
  <c r="AT846" i="9"/>
  <c r="AS846" i="9"/>
  <c r="AR846" i="9"/>
  <c r="AT990" i="9"/>
  <c r="AS990" i="9"/>
  <c r="AR990" i="9"/>
  <c r="AT100" i="9"/>
  <c r="AS100" i="9"/>
  <c r="AR100" i="9"/>
  <c r="AT244" i="9"/>
  <c r="AS244" i="9"/>
  <c r="AR244" i="9"/>
  <c r="AT211" i="9"/>
  <c r="AS211" i="9"/>
  <c r="AR211" i="9"/>
  <c r="AT33" i="9"/>
  <c r="AS33" i="9"/>
  <c r="AR33" i="9"/>
  <c r="AR480" i="9"/>
  <c r="AT816" i="9"/>
  <c r="AS94" i="9"/>
  <c r="AT74" i="9"/>
  <c r="AR74" i="9"/>
  <c r="AS74" i="9"/>
  <c r="AT65" i="9"/>
  <c r="AS65" i="9"/>
  <c r="AR65" i="9"/>
  <c r="AT209" i="9"/>
  <c r="AS209" i="9"/>
  <c r="AR209" i="9"/>
  <c r="AT222" i="9"/>
  <c r="AS222" i="9"/>
  <c r="AR222" i="9"/>
  <c r="AT1015" i="9"/>
  <c r="AS1015" i="9"/>
  <c r="AR1015" i="9"/>
  <c r="AR219" i="9"/>
  <c r="AT246" i="9"/>
  <c r="AS246" i="9"/>
  <c r="AR246" i="9"/>
  <c r="AT45" i="9"/>
  <c r="AS45" i="9"/>
  <c r="AR45" i="9"/>
  <c r="AR516" i="9"/>
  <c r="AR852" i="9"/>
  <c r="AT183" i="9"/>
  <c r="AT55" i="9"/>
  <c r="AS55" i="9"/>
  <c r="AR55" i="9"/>
  <c r="AT935" i="9"/>
  <c r="AS935" i="9"/>
  <c r="AR935" i="9"/>
  <c r="AS588" i="9"/>
  <c r="AS924" i="9"/>
  <c r="AT254" i="9"/>
  <c r="AR254" i="9"/>
  <c r="AS254" i="9"/>
  <c r="AT367" i="9"/>
  <c r="AS367" i="9"/>
  <c r="AR367" i="9"/>
  <c r="AT511" i="9"/>
  <c r="AS511" i="9"/>
  <c r="AR511" i="9"/>
  <c r="AT655" i="9"/>
  <c r="AS655" i="9"/>
  <c r="AR655" i="9"/>
  <c r="AT799" i="9"/>
  <c r="AS799" i="9"/>
  <c r="AR799" i="9"/>
  <c r="AT944" i="9"/>
  <c r="AS944" i="9"/>
  <c r="AR944" i="9"/>
  <c r="AT44" i="9"/>
  <c r="AS44" i="9"/>
  <c r="AR44" i="9"/>
  <c r="AT188" i="9"/>
  <c r="AS188" i="9"/>
  <c r="AR188" i="9"/>
  <c r="AT347" i="9"/>
  <c r="AS347" i="9"/>
  <c r="AR347" i="9"/>
  <c r="AT683" i="9"/>
  <c r="AS683" i="9"/>
  <c r="AR683" i="9"/>
  <c r="AT237" i="9"/>
  <c r="AS237" i="9"/>
  <c r="AR237" i="9"/>
  <c r="AR912" i="9"/>
  <c r="AS214" i="9"/>
  <c r="AT410" i="9"/>
  <c r="AR410" i="9"/>
  <c r="AS410" i="9"/>
  <c r="AT503" i="9"/>
  <c r="AS503" i="9"/>
  <c r="AR503" i="9"/>
  <c r="AT911" i="9"/>
  <c r="AS911" i="9"/>
  <c r="AR911" i="9"/>
  <c r="AR312" i="9"/>
  <c r="AR648" i="9"/>
  <c r="AS1032" i="9"/>
  <c r="AT528" i="9"/>
  <c r="AS864" i="9"/>
  <c r="AR250" i="9"/>
  <c r="AR39" i="9"/>
  <c r="AT143" i="9"/>
  <c r="AS143" i="9"/>
  <c r="AR143" i="9"/>
  <c r="AT985" i="9"/>
  <c r="AS985" i="9"/>
  <c r="AR985" i="9"/>
  <c r="AT132" i="9"/>
  <c r="AS132" i="9"/>
  <c r="AR132" i="9"/>
  <c r="AT169" i="9"/>
  <c r="AS169" i="9"/>
  <c r="AR169" i="9"/>
  <c r="AT604" i="9"/>
  <c r="AS604" i="9"/>
  <c r="AR604" i="9"/>
  <c r="AR50" i="9"/>
  <c r="AS341" i="9"/>
  <c r="AS533" i="9"/>
  <c r="AS725" i="9"/>
  <c r="AS929" i="9"/>
  <c r="AT301" i="9"/>
  <c r="AS301" i="9"/>
  <c r="AR301" i="9"/>
  <c r="AT445" i="9"/>
  <c r="AS445" i="9"/>
  <c r="AR445" i="9"/>
  <c r="AT589" i="9"/>
  <c r="AS589" i="9"/>
  <c r="AR589" i="9"/>
  <c r="AT733" i="9"/>
  <c r="AS733" i="9"/>
  <c r="AR733" i="9"/>
  <c r="AT877" i="9"/>
  <c r="AS877" i="9"/>
  <c r="AR877" i="9"/>
  <c r="AT229" i="9"/>
  <c r="AS229" i="9"/>
  <c r="AR229" i="9"/>
  <c r="AT784" i="9"/>
  <c r="AS784" i="9"/>
  <c r="AR784" i="9"/>
  <c r="AT605" i="9"/>
  <c r="AT977" i="9"/>
  <c r="AT279" i="9"/>
  <c r="AS279" i="9"/>
  <c r="AR279" i="9"/>
  <c r="AT423" i="9"/>
  <c r="AS423" i="9"/>
  <c r="AR423" i="9"/>
  <c r="AT567" i="9"/>
  <c r="AS567" i="9"/>
  <c r="AR567" i="9"/>
  <c r="AT711" i="9"/>
  <c r="AS711" i="9"/>
  <c r="AR711" i="9"/>
  <c r="AT855" i="9"/>
  <c r="AS855" i="9"/>
  <c r="AR855" i="9"/>
  <c r="AT999" i="9"/>
  <c r="AR999" i="9"/>
  <c r="AS999" i="9"/>
  <c r="AT217" i="9"/>
  <c r="AS217" i="9"/>
  <c r="AR217" i="9"/>
  <c r="AT592" i="9"/>
  <c r="AS592" i="9"/>
  <c r="AR592" i="9"/>
  <c r="AS329" i="9"/>
  <c r="AS509" i="9"/>
  <c r="AS689" i="9"/>
  <c r="AS881" i="9"/>
  <c r="AT159" i="9"/>
  <c r="AR293" i="9"/>
  <c r="AR195" i="9"/>
  <c r="AS602" i="9"/>
  <c r="AS314" i="9"/>
  <c r="AS878" i="9"/>
  <c r="AS326" i="9"/>
  <c r="AS890" i="9"/>
  <c r="AT609" i="9"/>
  <c r="AS609" i="9"/>
  <c r="AR609" i="9"/>
  <c r="AS1041" i="9"/>
  <c r="AT1041" i="9"/>
  <c r="AR1041" i="9"/>
  <c r="AT822" i="9"/>
  <c r="AS822" i="9"/>
  <c r="AR822" i="9"/>
  <c r="AT150" i="9"/>
  <c r="AS150" i="9"/>
  <c r="AR150" i="9"/>
  <c r="AT775" i="9"/>
  <c r="AS775" i="9"/>
  <c r="AR775" i="9"/>
  <c r="AT863" i="9"/>
  <c r="AS863" i="9"/>
  <c r="AR863" i="9"/>
  <c r="AT508" i="9"/>
  <c r="AS508" i="9"/>
  <c r="AR508" i="9"/>
  <c r="AT665" i="9"/>
  <c r="AT543" i="9"/>
  <c r="AS543" i="9"/>
  <c r="AR543" i="9"/>
  <c r="AT145" i="9"/>
  <c r="AS145" i="9"/>
  <c r="AR145" i="9"/>
  <c r="AT653" i="9"/>
  <c r="AS497" i="9"/>
  <c r="AS182" i="9"/>
  <c r="AT332" i="9"/>
  <c r="AS332" i="9"/>
  <c r="AR332" i="9"/>
  <c r="AT476" i="9"/>
  <c r="AS476" i="9"/>
  <c r="AR476" i="9"/>
  <c r="AT620" i="9"/>
  <c r="AS620" i="9"/>
  <c r="AR620" i="9"/>
  <c r="AT764" i="9"/>
  <c r="AR764" i="9"/>
  <c r="AS764" i="9"/>
  <c r="AT357" i="9"/>
  <c r="AS357" i="9"/>
  <c r="AR357" i="9"/>
  <c r="AT501" i="9"/>
  <c r="AS501" i="9"/>
  <c r="AR501" i="9"/>
  <c r="AT645" i="9"/>
  <c r="AS645" i="9"/>
  <c r="AR645" i="9"/>
  <c r="AT789" i="9"/>
  <c r="AS789" i="9"/>
  <c r="AR789" i="9"/>
  <c r="AT933" i="9"/>
  <c r="AS933" i="9"/>
  <c r="AR933" i="9"/>
  <c r="AT298" i="9"/>
  <c r="AS298" i="9"/>
  <c r="AR298" i="9"/>
  <c r="AT442" i="9"/>
  <c r="AS442" i="9"/>
  <c r="AR442" i="9"/>
  <c r="AT586" i="9"/>
  <c r="AS586" i="9"/>
  <c r="AR586" i="9"/>
  <c r="AT730" i="9"/>
  <c r="AS730" i="9"/>
  <c r="AR730" i="9"/>
  <c r="AT874" i="9"/>
  <c r="AS874" i="9"/>
  <c r="AR874" i="9"/>
  <c r="AT1018" i="9"/>
  <c r="AS1018" i="9"/>
  <c r="AR1018" i="9"/>
  <c r="AT282" i="9"/>
  <c r="AS282" i="9"/>
  <c r="AR282" i="9"/>
  <c r="AT426" i="9"/>
  <c r="AS426" i="9"/>
  <c r="AR426" i="9"/>
  <c r="AT570" i="9"/>
  <c r="AS570" i="9"/>
  <c r="AR570" i="9"/>
  <c r="AT714" i="9"/>
  <c r="AS714" i="9"/>
  <c r="AR714" i="9"/>
  <c r="AT858" i="9"/>
  <c r="AS858" i="9"/>
  <c r="AR858" i="9"/>
  <c r="AT1002" i="9"/>
  <c r="AS1002" i="9"/>
  <c r="AR1002" i="9"/>
  <c r="AT112" i="9"/>
  <c r="AS112" i="9"/>
  <c r="AR112" i="9"/>
  <c r="AT256" i="9"/>
  <c r="AS256" i="9"/>
  <c r="AR256" i="9"/>
  <c r="AT259" i="9"/>
  <c r="AS259" i="9"/>
  <c r="AR259" i="9"/>
  <c r="AT153" i="9"/>
  <c r="AS153" i="9"/>
  <c r="AR153" i="9"/>
  <c r="AS480" i="9"/>
  <c r="AR816" i="9"/>
  <c r="AT94" i="9"/>
  <c r="AT218" i="9"/>
  <c r="AR218" i="9"/>
  <c r="AS218" i="9"/>
  <c r="AT77" i="9"/>
  <c r="AS77" i="9"/>
  <c r="AR77" i="9"/>
  <c r="AT221" i="9"/>
  <c r="AS221" i="9"/>
  <c r="AR221" i="9"/>
  <c r="AT258" i="9"/>
  <c r="AS258" i="9"/>
  <c r="AR258" i="9"/>
  <c r="AT57" i="9"/>
  <c r="AS57" i="9"/>
  <c r="AR57" i="9"/>
  <c r="AR456" i="9"/>
  <c r="AR792" i="9"/>
  <c r="AS142" i="9"/>
  <c r="AS219" i="9"/>
  <c r="AT91" i="9"/>
  <c r="AS91" i="9"/>
  <c r="AR91" i="9"/>
  <c r="AT105" i="9"/>
  <c r="AS105" i="9"/>
  <c r="AR105" i="9"/>
  <c r="AT516" i="9"/>
  <c r="AS852" i="9"/>
  <c r="AT67" i="9"/>
  <c r="AS67" i="9"/>
  <c r="AR67" i="9"/>
  <c r="AT931" i="9"/>
  <c r="AS931" i="9"/>
  <c r="AR931" i="9"/>
  <c r="AT422" i="9"/>
  <c r="AT924" i="9"/>
  <c r="AR917" i="9"/>
  <c r="AT398" i="9"/>
  <c r="AR398" i="9"/>
  <c r="AS398" i="9"/>
  <c r="AT379" i="9"/>
  <c r="AS379" i="9"/>
  <c r="AR379" i="9"/>
  <c r="AT523" i="9"/>
  <c r="AS523" i="9"/>
  <c r="AR523" i="9"/>
  <c r="AT667" i="9"/>
  <c r="AS667" i="9"/>
  <c r="AR667" i="9"/>
  <c r="AT811" i="9"/>
  <c r="AS811" i="9"/>
  <c r="AR811" i="9"/>
  <c r="AT956" i="9"/>
  <c r="AR956" i="9"/>
  <c r="AS956" i="9"/>
  <c r="AT56" i="9"/>
  <c r="AS56" i="9"/>
  <c r="AR56" i="9"/>
  <c r="AT200" i="9"/>
  <c r="AS200" i="9"/>
  <c r="AR200" i="9"/>
  <c r="AT371" i="9"/>
  <c r="AS371" i="9"/>
  <c r="AR371" i="9"/>
  <c r="AT695" i="9"/>
  <c r="AS695" i="9"/>
  <c r="AR695" i="9"/>
  <c r="AR261" i="9"/>
  <c r="AS912" i="9"/>
  <c r="AT554" i="9"/>
  <c r="AR554" i="9"/>
  <c r="AS554" i="9"/>
  <c r="AT527" i="9"/>
  <c r="AS527" i="9"/>
  <c r="AR527" i="9"/>
  <c r="AT907" i="9"/>
  <c r="AS907" i="9"/>
  <c r="AR907" i="9"/>
  <c r="AS312" i="9"/>
  <c r="AS648" i="9"/>
  <c r="AR905" i="9"/>
  <c r="AT998" i="9"/>
  <c r="AT11" i="9"/>
  <c r="AS11" i="9"/>
  <c r="AR11" i="9"/>
  <c r="AT155" i="9"/>
  <c r="AS155" i="9"/>
  <c r="AR155" i="9"/>
  <c r="AT1009" i="9"/>
  <c r="AS1009" i="9"/>
  <c r="AR1009" i="9"/>
  <c r="AT144" i="9"/>
  <c r="AS144" i="9"/>
  <c r="AR144" i="9"/>
  <c r="AT205" i="9"/>
  <c r="AS205" i="9"/>
  <c r="AR205" i="9"/>
  <c r="AT652" i="9"/>
  <c r="AS652" i="9"/>
  <c r="AR652" i="9"/>
  <c r="AT50" i="9"/>
  <c r="AT341" i="9"/>
  <c r="AT533" i="9"/>
  <c r="AT313" i="9"/>
  <c r="AS313" i="9"/>
  <c r="AR313" i="9"/>
  <c r="AT457" i="9"/>
  <c r="AS457" i="9"/>
  <c r="AR457" i="9"/>
  <c r="AT601" i="9"/>
  <c r="AS601" i="9"/>
  <c r="AR601" i="9"/>
  <c r="AT745" i="9"/>
  <c r="AS745" i="9"/>
  <c r="AR745" i="9"/>
  <c r="AT889" i="9"/>
  <c r="AS889" i="9"/>
  <c r="AR889" i="9"/>
  <c r="AT108" i="9"/>
  <c r="AS108" i="9"/>
  <c r="AR108" i="9"/>
  <c r="AT832" i="9"/>
  <c r="AS832" i="9"/>
  <c r="AR832" i="9"/>
  <c r="AR317" i="9"/>
  <c r="AR473" i="9"/>
  <c r="AR641" i="9"/>
  <c r="AR797" i="9"/>
  <c r="AT291" i="9"/>
  <c r="AS291" i="9"/>
  <c r="AR291" i="9"/>
  <c r="AT435" i="9"/>
  <c r="AS435" i="9"/>
  <c r="AR435" i="9"/>
  <c r="AT579" i="9"/>
  <c r="AS579" i="9"/>
  <c r="AR579" i="9"/>
  <c r="AT723" i="9"/>
  <c r="AS723" i="9"/>
  <c r="AR723" i="9"/>
  <c r="AT867" i="9"/>
  <c r="AS867" i="9"/>
  <c r="AR867" i="9"/>
  <c r="AT1011" i="9"/>
  <c r="AR1011" i="9"/>
  <c r="AS1011" i="9"/>
  <c r="AT253" i="9"/>
  <c r="AS253" i="9"/>
  <c r="AR253" i="9"/>
  <c r="AT628" i="9"/>
  <c r="AS628" i="9"/>
  <c r="AR628" i="9"/>
  <c r="AT689" i="9"/>
  <c r="AT304" i="9"/>
  <c r="AS304" i="9"/>
  <c r="AR304" i="9"/>
  <c r="AS569" i="9"/>
  <c r="AS821" i="9"/>
  <c r="AS195" i="9"/>
  <c r="AR602" i="9"/>
  <c r="AR314" i="9"/>
  <c r="AR326" i="9"/>
  <c r="AR890" i="9"/>
  <c r="AS170" i="9"/>
  <c r="AS758" i="9"/>
  <c r="AS950" i="9"/>
  <c r="AT296" i="9"/>
  <c r="AS296" i="9"/>
  <c r="AR296" i="9"/>
  <c r="AT838" i="9"/>
  <c r="AS838" i="9"/>
  <c r="AR838" i="9"/>
  <c r="AT41" i="9"/>
  <c r="AS41" i="9"/>
  <c r="AR41" i="9"/>
  <c r="AS34" i="9"/>
  <c r="AR183" i="9"/>
  <c r="AT299" i="9"/>
  <c r="AS299" i="9"/>
  <c r="AR299" i="9"/>
  <c r="AT130" i="9"/>
  <c r="AS166" i="9"/>
  <c r="AT700" i="9"/>
  <c r="AS700" i="9"/>
  <c r="AR700" i="9"/>
  <c r="AR972" i="9"/>
  <c r="AT344" i="9"/>
  <c r="AS344" i="9"/>
  <c r="AR344" i="9"/>
  <c r="AT488" i="9"/>
  <c r="AS488" i="9"/>
  <c r="AR488" i="9"/>
  <c r="AT632" i="9"/>
  <c r="AS632" i="9"/>
  <c r="AR632" i="9"/>
  <c r="AT776" i="9"/>
  <c r="AR776" i="9"/>
  <c r="AS776" i="9"/>
  <c r="AT369" i="9"/>
  <c r="AS369" i="9"/>
  <c r="AR369" i="9"/>
  <c r="AT513" i="9"/>
  <c r="AS513" i="9"/>
  <c r="AR513" i="9"/>
  <c r="AT657" i="9"/>
  <c r="AS657" i="9"/>
  <c r="AR657" i="9"/>
  <c r="AT801" i="9"/>
  <c r="AS801" i="9"/>
  <c r="AR801" i="9"/>
  <c r="AT945" i="9"/>
  <c r="AS945" i="9"/>
  <c r="AR945" i="9"/>
  <c r="AT310" i="9"/>
  <c r="AS310" i="9"/>
  <c r="AR310" i="9"/>
  <c r="AT454" i="9"/>
  <c r="AS454" i="9"/>
  <c r="AR454" i="9"/>
  <c r="AT598" i="9"/>
  <c r="AS598" i="9"/>
  <c r="AR598" i="9"/>
  <c r="AT742" i="9"/>
  <c r="AS742" i="9"/>
  <c r="AR742" i="9"/>
  <c r="AT886" i="9"/>
  <c r="AS886" i="9"/>
  <c r="AR886" i="9"/>
  <c r="AS1030" i="9"/>
  <c r="AT1030" i="9"/>
  <c r="AR1030" i="9"/>
  <c r="AT294" i="9"/>
  <c r="AS294" i="9"/>
  <c r="AR294" i="9"/>
  <c r="AT438" i="9"/>
  <c r="AS438" i="9"/>
  <c r="AR438" i="9"/>
  <c r="AT582" i="9"/>
  <c r="AS582" i="9"/>
  <c r="AR582" i="9"/>
  <c r="AT726" i="9"/>
  <c r="AS726" i="9"/>
  <c r="AR726" i="9"/>
  <c r="AT870" i="9"/>
  <c r="AS870" i="9"/>
  <c r="AR870" i="9"/>
  <c r="AT1014" i="9"/>
  <c r="AS1014" i="9"/>
  <c r="AR1014" i="9"/>
  <c r="AT124" i="9"/>
  <c r="AS124" i="9"/>
  <c r="AR124" i="9"/>
  <c r="AT662" i="9"/>
  <c r="AR662" i="9"/>
  <c r="AS662" i="9"/>
  <c r="AT587" i="9"/>
  <c r="AS587" i="9"/>
  <c r="AR587" i="9"/>
  <c r="AT213" i="9"/>
  <c r="AS213" i="9"/>
  <c r="AR213" i="9"/>
  <c r="AR178" i="9"/>
  <c r="AT362" i="9"/>
  <c r="AR362" i="9"/>
  <c r="AS362" i="9"/>
  <c r="AT89" i="9"/>
  <c r="AS89" i="9"/>
  <c r="AR89" i="9"/>
  <c r="AT233" i="9"/>
  <c r="AS233" i="9"/>
  <c r="AR233" i="9"/>
  <c r="AT103" i="9"/>
  <c r="AS103" i="9"/>
  <c r="AR103" i="9"/>
  <c r="AT129" i="9"/>
  <c r="AS129" i="9"/>
  <c r="AR129" i="9"/>
  <c r="AS456" i="9"/>
  <c r="AS792" i="9"/>
  <c r="AT142" i="9"/>
  <c r="AT219" i="9"/>
  <c r="AT163" i="9"/>
  <c r="AS163" i="9"/>
  <c r="AR163" i="9"/>
  <c r="AT225" i="9"/>
  <c r="AS225" i="9"/>
  <c r="AR225" i="9"/>
  <c r="AS238" i="9"/>
  <c r="AT242" i="9"/>
  <c r="AR242" i="9"/>
  <c r="AS242" i="9"/>
  <c r="AT115" i="9"/>
  <c r="AS115" i="9"/>
  <c r="AR115" i="9"/>
  <c r="AT983" i="9"/>
  <c r="AS983" i="9"/>
  <c r="AR983" i="9"/>
  <c r="AR336" i="9"/>
  <c r="AR672" i="9"/>
  <c r="AS996" i="9"/>
  <c r="AS917" i="9"/>
  <c r="AT542" i="9"/>
  <c r="AR542" i="9"/>
  <c r="AS542" i="9"/>
  <c r="AT391" i="9"/>
  <c r="AS391" i="9"/>
  <c r="AR391" i="9"/>
  <c r="AT535" i="9"/>
  <c r="AS535" i="9"/>
  <c r="AR535" i="9"/>
  <c r="AT679" i="9"/>
  <c r="AS679" i="9"/>
  <c r="AR679" i="9"/>
  <c r="AT824" i="9"/>
  <c r="AS824" i="9"/>
  <c r="AR824" i="9"/>
  <c r="AT968" i="9"/>
  <c r="AR968" i="9"/>
  <c r="AS968" i="9"/>
  <c r="AT68" i="9"/>
  <c r="AS68" i="9"/>
  <c r="AR68" i="9"/>
  <c r="AT212" i="9"/>
  <c r="AS212" i="9"/>
  <c r="AR212" i="9"/>
  <c r="AT395" i="9"/>
  <c r="AS395" i="9"/>
  <c r="AR395" i="9"/>
  <c r="AT731" i="9"/>
  <c r="AS731" i="9"/>
  <c r="AR731" i="9"/>
  <c r="AS261" i="9"/>
  <c r="AS576" i="9"/>
  <c r="AT912" i="9"/>
  <c r="AR941" i="9"/>
  <c r="AT698" i="9"/>
  <c r="AR698" i="9"/>
  <c r="AS698" i="9"/>
  <c r="AT563" i="9"/>
  <c r="AS563" i="9"/>
  <c r="AR563" i="9"/>
  <c r="AT971" i="9"/>
  <c r="AS971" i="9"/>
  <c r="AR971" i="9"/>
  <c r="AT312" i="9"/>
  <c r="AS905" i="9"/>
  <c r="AR612" i="9"/>
  <c r="AT948" i="9"/>
  <c r="AT250" i="9"/>
  <c r="AT23" i="9"/>
  <c r="AS23" i="9"/>
  <c r="AR23" i="9"/>
  <c r="AT167" i="9"/>
  <c r="AS167" i="9"/>
  <c r="AR167" i="9"/>
  <c r="AT1033" i="9"/>
  <c r="AS1033" i="9"/>
  <c r="AR1033" i="9"/>
  <c r="AT156" i="9"/>
  <c r="AS156" i="9"/>
  <c r="AR156" i="9"/>
  <c r="AT241" i="9"/>
  <c r="AS241" i="9"/>
  <c r="AR241" i="9"/>
  <c r="AT688" i="9"/>
  <c r="AS688" i="9"/>
  <c r="AR688" i="9"/>
  <c r="AS626" i="9"/>
  <c r="AR581" i="9"/>
  <c r="AR773" i="9"/>
  <c r="AT325" i="9"/>
  <c r="AS325" i="9"/>
  <c r="AR325" i="9"/>
  <c r="AT469" i="9"/>
  <c r="AS469" i="9"/>
  <c r="AR469" i="9"/>
  <c r="AT613" i="9"/>
  <c r="AS613" i="9"/>
  <c r="AR613" i="9"/>
  <c r="AT757" i="9"/>
  <c r="AS757" i="9"/>
  <c r="AR757" i="9"/>
  <c r="AT901" i="9"/>
  <c r="AS901" i="9"/>
  <c r="AR901" i="9"/>
  <c r="AT168" i="9"/>
  <c r="AS168" i="9"/>
  <c r="AR168" i="9"/>
  <c r="AT868" i="9"/>
  <c r="AS868" i="9"/>
  <c r="AR868" i="9"/>
  <c r="AS317" i="9"/>
  <c r="AS473" i="9"/>
  <c r="AS641" i="9"/>
  <c r="AS797" i="9"/>
  <c r="AS1013" i="9"/>
  <c r="AT303" i="9"/>
  <c r="AS303" i="9"/>
  <c r="AR303" i="9"/>
  <c r="AT447" i="9"/>
  <c r="AS447" i="9"/>
  <c r="AR447" i="9"/>
  <c r="AT591" i="9"/>
  <c r="AS591" i="9"/>
  <c r="AR591" i="9"/>
  <c r="AT735" i="9"/>
  <c r="AS735" i="9"/>
  <c r="AR735" i="9"/>
  <c r="AT879" i="9"/>
  <c r="AS879" i="9"/>
  <c r="AR879" i="9"/>
  <c r="AT1023" i="9"/>
  <c r="AS1023" i="9"/>
  <c r="AR1023" i="9"/>
  <c r="AT280" i="9"/>
  <c r="AS280" i="9"/>
  <c r="AR280" i="9"/>
  <c r="AT676" i="9"/>
  <c r="AS676" i="9"/>
  <c r="AR676" i="9"/>
  <c r="AS194" i="9"/>
  <c r="AR377" i="9"/>
  <c r="AR545" i="9"/>
  <c r="AR1001" i="9"/>
  <c r="AT436" i="9"/>
  <c r="AS436" i="9"/>
  <c r="AR436" i="9"/>
  <c r="AT293" i="9"/>
  <c r="AT569" i="9"/>
  <c r="AT821" i="9"/>
  <c r="AT195" i="9"/>
  <c r="AT878" i="9"/>
  <c r="AR170" i="9"/>
  <c r="AR758" i="9"/>
  <c r="AR122" i="9"/>
  <c r="AT728" i="9"/>
  <c r="AS728" i="9"/>
  <c r="AR728" i="9"/>
  <c r="AT390" i="9"/>
  <c r="AS390" i="9"/>
  <c r="AR390" i="9"/>
  <c r="AT895" i="9"/>
  <c r="AS895" i="9"/>
  <c r="AR895" i="9"/>
  <c r="AS768" i="9"/>
  <c r="AT631" i="9"/>
  <c r="AS631" i="9"/>
  <c r="AR631" i="9"/>
  <c r="AT134" i="9"/>
  <c r="AT565" i="9"/>
  <c r="AS565" i="9"/>
  <c r="AR565" i="9"/>
  <c r="AR437" i="9"/>
  <c r="AR830" i="9"/>
  <c r="AT356" i="9"/>
  <c r="AS356" i="9"/>
  <c r="AR356" i="9"/>
  <c r="AT500" i="9"/>
  <c r="AS500" i="9"/>
  <c r="AR500" i="9"/>
  <c r="AT644" i="9"/>
  <c r="AS644" i="9"/>
  <c r="AR644" i="9"/>
  <c r="AT788" i="9"/>
  <c r="AS788" i="9"/>
  <c r="AR788" i="9"/>
  <c r="AT381" i="9"/>
  <c r="AS381" i="9"/>
  <c r="AR381" i="9"/>
  <c r="AT525" i="9"/>
  <c r="AS525" i="9"/>
  <c r="AR525" i="9"/>
  <c r="AT669" i="9"/>
  <c r="AS669" i="9"/>
  <c r="AR669" i="9"/>
  <c r="AT813" i="9"/>
  <c r="AS813" i="9"/>
  <c r="AR813" i="9"/>
  <c r="AT957" i="9"/>
  <c r="AS957" i="9"/>
  <c r="AR957" i="9"/>
  <c r="AT322" i="9"/>
  <c r="AS322" i="9"/>
  <c r="AR322" i="9"/>
  <c r="AT466" i="9"/>
  <c r="AS466" i="9"/>
  <c r="AR466" i="9"/>
  <c r="AT610" i="9"/>
  <c r="AS610" i="9"/>
  <c r="AR610" i="9"/>
  <c r="AT754" i="9"/>
  <c r="AS754" i="9"/>
  <c r="AR754" i="9"/>
  <c r="AT898" i="9"/>
  <c r="AS898" i="9"/>
  <c r="AR898" i="9"/>
  <c r="AS1042" i="9"/>
  <c r="AT1042" i="9"/>
  <c r="AR1042" i="9"/>
  <c r="AT306" i="9"/>
  <c r="AS306" i="9"/>
  <c r="AR306" i="9"/>
  <c r="AT450" i="9"/>
  <c r="AS450" i="9"/>
  <c r="AR450" i="9"/>
  <c r="AT594" i="9"/>
  <c r="AS594" i="9"/>
  <c r="AR594" i="9"/>
  <c r="AT738" i="9"/>
  <c r="AS738" i="9"/>
  <c r="AR738" i="9"/>
  <c r="AT882" i="9"/>
  <c r="AS882" i="9"/>
  <c r="AR882" i="9"/>
  <c r="AS1026" i="9"/>
  <c r="AT1026" i="9"/>
  <c r="AR1026" i="9"/>
  <c r="AT136" i="9"/>
  <c r="AS136" i="9"/>
  <c r="AR136" i="9"/>
  <c r="AT42" i="9"/>
  <c r="AS42" i="9"/>
  <c r="AR42" i="9"/>
  <c r="AT767" i="9"/>
  <c r="AS767" i="9"/>
  <c r="AR767" i="9"/>
  <c r="AS566" i="9"/>
  <c r="AR564" i="9"/>
  <c r="AR900" i="9"/>
  <c r="AS178" i="9"/>
  <c r="AT506" i="9"/>
  <c r="AR506" i="9"/>
  <c r="AS506" i="9"/>
  <c r="AT101" i="9"/>
  <c r="AS101" i="9"/>
  <c r="AR101" i="9"/>
  <c r="AT245" i="9"/>
  <c r="AS245" i="9"/>
  <c r="AR245" i="9"/>
  <c r="AT139" i="9"/>
  <c r="AS139" i="9"/>
  <c r="AR139" i="9"/>
  <c r="AT201" i="9"/>
  <c r="AS201" i="9"/>
  <c r="AR201" i="9"/>
  <c r="AT230" i="9"/>
  <c r="AR230" i="9"/>
  <c r="AS230" i="9"/>
  <c r="AT199" i="9"/>
  <c r="AS199" i="9"/>
  <c r="AR199" i="9"/>
  <c r="AS278" i="9"/>
  <c r="AS936" i="9"/>
  <c r="AT238" i="9"/>
  <c r="AT386" i="9"/>
  <c r="AR386" i="9"/>
  <c r="AS386" i="9"/>
  <c r="AT127" i="9"/>
  <c r="AS127" i="9"/>
  <c r="AR127" i="9"/>
  <c r="AT979" i="9"/>
  <c r="AS979" i="9"/>
  <c r="AR979" i="9"/>
  <c r="AS336" i="9"/>
  <c r="AT672" i="9"/>
  <c r="AT917" i="9"/>
  <c r="AT686" i="9"/>
  <c r="AR686" i="9"/>
  <c r="AS686" i="9"/>
  <c r="AT403" i="9"/>
  <c r="AS403" i="9"/>
  <c r="AR403" i="9"/>
  <c r="AT547" i="9"/>
  <c r="AS547" i="9"/>
  <c r="AR547" i="9"/>
  <c r="AT691" i="9"/>
  <c r="AS691" i="9"/>
  <c r="AR691" i="9"/>
  <c r="AT836" i="9"/>
  <c r="AR836" i="9"/>
  <c r="AS836" i="9"/>
  <c r="AT980" i="9"/>
  <c r="AS980" i="9"/>
  <c r="AR980" i="9"/>
  <c r="AT80" i="9"/>
  <c r="AS80" i="9"/>
  <c r="AR80" i="9"/>
  <c r="AT224" i="9"/>
  <c r="AS224" i="9"/>
  <c r="AR224" i="9"/>
  <c r="AT407" i="9"/>
  <c r="AS407" i="9"/>
  <c r="AR407" i="9"/>
  <c r="AT743" i="9"/>
  <c r="AS743" i="9"/>
  <c r="AR743" i="9"/>
  <c r="AT576" i="9"/>
  <c r="AS984" i="9"/>
  <c r="AS941" i="9"/>
  <c r="AT275" i="9"/>
  <c r="AS275" i="9"/>
  <c r="AR275" i="9"/>
  <c r="AT623" i="9"/>
  <c r="AS623" i="9"/>
  <c r="AR623" i="9"/>
  <c r="AT967" i="9"/>
  <c r="AS967" i="9"/>
  <c r="AR967" i="9"/>
  <c r="AR384" i="9"/>
  <c r="AR720" i="9"/>
  <c r="AT905" i="9"/>
  <c r="AS288" i="9"/>
  <c r="AS612" i="9"/>
  <c r="AS948" i="9"/>
  <c r="AR965" i="9"/>
  <c r="AT35" i="9"/>
  <c r="AS35" i="9"/>
  <c r="AR35" i="9"/>
  <c r="AT179" i="9"/>
  <c r="AS179" i="9"/>
  <c r="AR179" i="9"/>
  <c r="AT12" i="9"/>
  <c r="AS12" i="9"/>
  <c r="AR12" i="9"/>
  <c r="AT180" i="9"/>
  <c r="AS180" i="9"/>
  <c r="AR180" i="9"/>
  <c r="AT292" i="9"/>
  <c r="AS292" i="9"/>
  <c r="AR292" i="9"/>
  <c r="AT736" i="9"/>
  <c r="AS736" i="9"/>
  <c r="AR736" i="9"/>
  <c r="AR626" i="9"/>
  <c r="AS389" i="9"/>
  <c r="AS581" i="9"/>
  <c r="AS773" i="9"/>
  <c r="AT337" i="9"/>
  <c r="AS337" i="9"/>
  <c r="AR337" i="9"/>
  <c r="AT481" i="9"/>
  <c r="AS481" i="9"/>
  <c r="AR481" i="9"/>
  <c r="AT625" i="9"/>
  <c r="AS625" i="9"/>
  <c r="AR625" i="9"/>
  <c r="AT769" i="9"/>
  <c r="AS769" i="9"/>
  <c r="AR769" i="9"/>
  <c r="AT913" i="9"/>
  <c r="AS913" i="9"/>
  <c r="AR913" i="9"/>
  <c r="AT204" i="9"/>
  <c r="AS204" i="9"/>
  <c r="AR204" i="9"/>
  <c r="AT904" i="9"/>
  <c r="AS904" i="9"/>
  <c r="AR904" i="9"/>
  <c r="AT1013" i="9"/>
  <c r="AT315" i="9"/>
  <c r="AS315" i="9"/>
  <c r="AR315" i="9"/>
  <c r="AT459" i="9"/>
  <c r="AS459" i="9"/>
  <c r="AR459" i="9"/>
  <c r="AT603" i="9"/>
  <c r="AS603" i="9"/>
  <c r="AR603" i="9"/>
  <c r="AT747" i="9"/>
  <c r="AS747" i="9"/>
  <c r="AR747" i="9"/>
  <c r="AT891" i="9"/>
  <c r="AS891" i="9"/>
  <c r="AR891" i="9"/>
  <c r="AT1035" i="9"/>
  <c r="AR1035" i="9"/>
  <c r="AS1035" i="9"/>
  <c r="AT316" i="9"/>
  <c r="AS316" i="9"/>
  <c r="AR316" i="9"/>
  <c r="AT712" i="9"/>
  <c r="AS712" i="9"/>
  <c r="AR712" i="9"/>
  <c r="AR194" i="9"/>
  <c r="AS377" i="9"/>
  <c r="AS545" i="9"/>
  <c r="AS737" i="9"/>
  <c r="AS1001" i="9"/>
  <c r="AT544" i="9"/>
  <c r="AS544" i="9"/>
  <c r="AR544" i="9"/>
  <c r="AR365" i="9"/>
  <c r="AR629" i="9"/>
  <c r="AS302" i="9"/>
  <c r="AS842" i="9"/>
  <c r="AS434" i="9"/>
  <c r="AS1010" i="9"/>
  <c r="AS458" i="9"/>
  <c r="AS158" i="9"/>
  <c r="AT122" i="9"/>
  <c r="AT897" i="9"/>
  <c r="AS897" i="9"/>
  <c r="AR897" i="9"/>
  <c r="AT76" i="9"/>
  <c r="AS76" i="9"/>
  <c r="AR76" i="9"/>
  <c r="AS396" i="9"/>
  <c r="AS87" i="9"/>
  <c r="AT21" i="9"/>
  <c r="AS21" i="9"/>
  <c r="AR21" i="9"/>
  <c r="AR854" i="9"/>
  <c r="AT157" i="9"/>
  <c r="AS157" i="9"/>
  <c r="AR157" i="9"/>
  <c r="AS243" i="9"/>
  <c r="AR290" i="9"/>
  <c r="AT368" i="9"/>
  <c r="AS368" i="9"/>
  <c r="AR368" i="9"/>
  <c r="AT512" i="9"/>
  <c r="AS512" i="9"/>
  <c r="AR512" i="9"/>
  <c r="AT656" i="9"/>
  <c r="AS656" i="9"/>
  <c r="AR656" i="9"/>
  <c r="AT800" i="9"/>
  <c r="AS800" i="9"/>
  <c r="AR800" i="9"/>
  <c r="AT393" i="9"/>
  <c r="AS393" i="9"/>
  <c r="AR393" i="9"/>
  <c r="AT537" i="9"/>
  <c r="AS537" i="9"/>
  <c r="AR537" i="9"/>
  <c r="AT681" i="9"/>
  <c r="AS681" i="9"/>
  <c r="AR681" i="9"/>
  <c r="AT825" i="9"/>
  <c r="AS825" i="9"/>
  <c r="AR825" i="9"/>
  <c r="AT969" i="9"/>
  <c r="AS969" i="9"/>
  <c r="AR969" i="9"/>
  <c r="AT334" i="9"/>
  <c r="AS334" i="9"/>
  <c r="AR334" i="9"/>
  <c r="AT478" i="9"/>
  <c r="AS478" i="9"/>
  <c r="AR478" i="9"/>
  <c r="AT622" i="9"/>
  <c r="AS622" i="9"/>
  <c r="AR622" i="9"/>
  <c r="AT766" i="9"/>
  <c r="AS766" i="9"/>
  <c r="AR766" i="9"/>
  <c r="AT910" i="9"/>
  <c r="AS910" i="9"/>
  <c r="AR910" i="9"/>
  <c r="AR996" i="9"/>
  <c r="AT318" i="9"/>
  <c r="AS318" i="9"/>
  <c r="AR318" i="9"/>
  <c r="AT462" i="9"/>
  <c r="AS462" i="9"/>
  <c r="AR462" i="9"/>
  <c r="AT606" i="9"/>
  <c r="AS606" i="9"/>
  <c r="AR606" i="9"/>
  <c r="AT750" i="9"/>
  <c r="AS750" i="9"/>
  <c r="AR750" i="9"/>
  <c r="AT894" i="9"/>
  <c r="AS894" i="9"/>
  <c r="AR894" i="9"/>
  <c r="AS1038" i="9"/>
  <c r="AT1038" i="9"/>
  <c r="AR1038" i="9"/>
  <c r="AT148" i="9"/>
  <c r="AS148" i="9"/>
  <c r="AR148" i="9"/>
  <c r="AT66" i="9"/>
  <c r="AS66" i="9"/>
  <c r="AR66" i="9"/>
  <c r="AT851" i="9"/>
  <c r="AS851" i="9"/>
  <c r="AR851" i="9"/>
  <c r="AR566" i="9"/>
  <c r="AS564" i="9"/>
  <c r="AT650" i="9"/>
  <c r="AR650" i="9"/>
  <c r="AS650" i="9"/>
  <c r="AT113" i="9"/>
  <c r="AS113" i="9"/>
  <c r="AR113" i="9"/>
  <c r="AT257" i="9"/>
  <c r="AS257" i="9"/>
  <c r="AR257" i="9"/>
  <c r="AT187" i="9"/>
  <c r="AS187" i="9"/>
  <c r="AR187" i="9"/>
  <c r="AS710" i="9"/>
  <c r="AR540" i="9"/>
  <c r="AR876" i="9"/>
  <c r="AS226" i="9"/>
  <c r="AT374" i="9"/>
  <c r="AR374" i="9"/>
  <c r="AS374" i="9"/>
  <c r="AT235" i="9"/>
  <c r="AS235" i="9"/>
  <c r="AR235" i="9"/>
  <c r="AR278" i="9"/>
  <c r="AS600" i="9"/>
  <c r="AR989" i="9"/>
  <c r="AT530" i="9"/>
  <c r="AR530" i="9"/>
  <c r="AS530" i="9"/>
  <c r="AT175" i="9"/>
  <c r="AS175" i="9"/>
  <c r="AR175" i="9"/>
  <c r="AT9" i="9"/>
  <c r="AS9" i="9"/>
  <c r="AR9" i="9"/>
  <c r="AR22" i="9"/>
  <c r="AR111" i="9"/>
  <c r="AT271" i="9"/>
  <c r="AS271" i="9"/>
  <c r="AR271" i="9"/>
  <c r="AT415" i="9"/>
  <c r="AS415" i="9"/>
  <c r="AR415" i="9"/>
  <c r="AT559" i="9"/>
  <c r="AS559" i="9"/>
  <c r="AR559" i="9"/>
  <c r="AT703" i="9"/>
  <c r="AS703" i="9"/>
  <c r="AR703" i="9"/>
  <c r="AT848" i="9"/>
  <c r="AR848" i="9"/>
  <c r="AS848" i="9"/>
  <c r="AT992" i="9"/>
  <c r="AS992" i="9"/>
  <c r="AR992" i="9"/>
  <c r="AT92" i="9"/>
  <c r="AS92" i="9"/>
  <c r="AR92" i="9"/>
  <c r="AT236" i="9"/>
  <c r="AS236" i="9"/>
  <c r="AR236" i="9"/>
  <c r="AT443" i="9"/>
  <c r="AS443" i="9"/>
  <c r="AR443" i="9"/>
  <c r="AT803" i="9"/>
  <c r="AS803" i="9"/>
  <c r="AR803" i="9"/>
  <c r="AR276" i="9"/>
  <c r="AR660" i="9"/>
  <c r="AT984" i="9"/>
  <c r="AT311" i="9"/>
  <c r="AS311" i="9"/>
  <c r="AR311" i="9"/>
  <c r="AT659" i="9"/>
  <c r="AS659" i="9"/>
  <c r="AR659" i="9"/>
  <c r="AS1043" i="9"/>
  <c r="AT1043" i="9"/>
  <c r="AR1043" i="9"/>
  <c r="AT384" i="9"/>
  <c r="AS720" i="9"/>
  <c r="AR123" i="9"/>
  <c r="AT288" i="9"/>
  <c r="AT960" i="9"/>
  <c r="AS965" i="9"/>
  <c r="AT47" i="9"/>
  <c r="AS47" i="9"/>
  <c r="AR47" i="9"/>
  <c r="AT191" i="9"/>
  <c r="AS191" i="9"/>
  <c r="AR191" i="9"/>
  <c r="AT24" i="9"/>
  <c r="AS24" i="9"/>
  <c r="AR24" i="9"/>
  <c r="AT192" i="9"/>
  <c r="AS192" i="9"/>
  <c r="AR192" i="9"/>
  <c r="AT328" i="9"/>
  <c r="AS328" i="9"/>
  <c r="AR328" i="9"/>
  <c r="AT772" i="9"/>
  <c r="AS772" i="9"/>
  <c r="AR772" i="9"/>
  <c r="AT626" i="9"/>
  <c r="AT389" i="9"/>
  <c r="AT581" i="9"/>
  <c r="AT349" i="9"/>
  <c r="AS349" i="9"/>
  <c r="AR349" i="9"/>
  <c r="AT493" i="9"/>
  <c r="AS493" i="9"/>
  <c r="AR493" i="9"/>
  <c r="AT637" i="9"/>
  <c r="AS637" i="9"/>
  <c r="AR637" i="9"/>
  <c r="AT781" i="9"/>
  <c r="AS781" i="9"/>
  <c r="AR781" i="9"/>
  <c r="AT937" i="9"/>
  <c r="AS937" i="9"/>
  <c r="AR937" i="9"/>
  <c r="AS228" i="9"/>
  <c r="AT228" i="9"/>
  <c r="AR228" i="9"/>
  <c r="AT400" i="9"/>
  <c r="AS400" i="9"/>
  <c r="AR400" i="9"/>
  <c r="AT952" i="9"/>
  <c r="AS952" i="9"/>
  <c r="AR952" i="9"/>
  <c r="AR353" i="9"/>
  <c r="AR521" i="9"/>
  <c r="AR677" i="9"/>
  <c r="AR845" i="9"/>
  <c r="AT327" i="9"/>
  <c r="AS327" i="9"/>
  <c r="AR327" i="9"/>
  <c r="AT471" i="9"/>
  <c r="AS471" i="9"/>
  <c r="AR471" i="9"/>
  <c r="AT615" i="9"/>
  <c r="AS615" i="9"/>
  <c r="AR615" i="9"/>
  <c r="AT759" i="9"/>
  <c r="AS759" i="9"/>
  <c r="AR759" i="9"/>
  <c r="AT903" i="9"/>
  <c r="AS903" i="9"/>
  <c r="AR903" i="9"/>
  <c r="AT25" i="9"/>
  <c r="AS25" i="9"/>
  <c r="AR25" i="9"/>
  <c r="AT340" i="9"/>
  <c r="AS340" i="9"/>
  <c r="AR340" i="9"/>
  <c r="AT760" i="9"/>
  <c r="AS760" i="9"/>
  <c r="AR760" i="9"/>
  <c r="AT545" i="9"/>
  <c r="AT737" i="9"/>
  <c r="AT1001" i="9"/>
  <c r="AT640" i="9"/>
  <c r="AS640" i="9"/>
  <c r="AR640" i="9"/>
  <c r="AS365" i="9"/>
  <c r="AS629" i="9"/>
  <c r="AS893" i="9"/>
  <c r="AR302" i="9"/>
  <c r="AR842" i="9"/>
  <c r="AR434" i="9"/>
  <c r="AR1010" i="9"/>
  <c r="AR458" i="9"/>
  <c r="AR974" i="9"/>
  <c r="AR26" i="9"/>
  <c r="AS98" i="9"/>
  <c r="AS734" i="9"/>
  <c r="AT550" i="9"/>
  <c r="AS550" i="9"/>
  <c r="AR550" i="9"/>
  <c r="AT162" i="9"/>
  <c r="AS162" i="9"/>
  <c r="AR162" i="9"/>
  <c r="AT263" i="9"/>
  <c r="AS263" i="9"/>
  <c r="AR263" i="9"/>
  <c r="AT399" i="9"/>
  <c r="AS399" i="9"/>
  <c r="AR399" i="9"/>
  <c r="AR722" i="9"/>
  <c r="AT380" i="9"/>
  <c r="AS380" i="9"/>
  <c r="AR380" i="9"/>
  <c r="AT524" i="9"/>
  <c r="AS524" i="9"/>
  <c r="AR524" i="9"/>
  <c r="AT668" i="9"/>
  <c r="AS668" i="9"/>
  <c r="AR668" i="9"/>
  <c r="AT812" i="9"/>
  <c r="AR812" i="9"/>
  <c r="AS812" i="9"/>
  <c r="AT405" i="9"/>
  <c r="AS405" i="9"/>
  <c r="AR405" i="9"/>
  <c r="AT549" i="9"/>
  <c r="AS549" i="9"/>
  <c r="AR549" i="9"/>
  <c r="AT693" i="9"/>
  <c r="AS693" i="9"/>
  <c r="AR693" i="9"/>
  <c r="AT837" i="9"/>
  <c r="AS837" i="9"/>
  <c r="AR837" i="9"/>
  <c r="AT981" i="9"/>
  <c r="AS981" i="9"/>
  <c r="AR981" i="9"/>
  <c r="AT346" i="9"/>
  <c r="AS346" i="9"/>
  <c r="AR346" i="9"/>
  <c r="AT490" i="9"/>
  <c r="AS490" i="9"/>
  <c r="AR490" i="9"/>
  <c r="AT634" i="9"/>
  <c r="AS634" i="9"/>
  <c r="AR634" i="9"/>
  <c r="AT778" i="9"/>
  <c r="AS778" i="9"/>
  <c r="AR778" i="9"/>
  <c r="AT922" i="9"/>
  <c r="AS922" i="9"/>
  <c r="AR922" i="9"/>
  <c r="AT62" i="9"/>
  <c r="AR62" i="9"/>
  <c r="AS62" i="9"/>
  <c r="AT330" i="9"/>
  <c r="AS330" i="9"/>
  <c r="AR330" i="9"/>
  <c r="AT474" i="9"/>
  <c r="AS474" i="9"/>
  <c r="AR474" i="9"/>
  <c r="AT618" i="9"/>
  <c r="AS618" i="9"/>
  <c r="AR618" i="9"/>
  <c r="AT762" i="9"/>
  <c r="AS762" i="9"/>
  <c r="AR762" i="9"/>
  <c r="AT906" i="9"/>
  <c r="AS906" i="9"/>
  <c r="AR906" i="9"/>
  <c r="AT16" i="9"/>
  <c r="AS16" i="9"/>
  <c r="AR16" i="9"/>
  <c r="AT160" i="9"/>
  <c r="AS160" i="9"/>
  <c r="AR160" i="9"/>
  <c r="AT102" i="9"/>
  <c r="AS102" i="9"/>
  <c r="AR102" i="9"/>
  <c r="AT847" i="9"/>
  <c r="AS847" i="9"/>
  <c r="AR847" i="9"/>
  <c r="AT564" i="9"/>
  <c r="AT900" i="9"/>
  <c r="AR262" i="9"/>
  <c r="AT794" i="9"/>
  <c r="AR794" i="9"/>
  <c r="AS794" i="9"/>
  <c r="AT125" i="9"/>
  <c r="AS125" i="9"/>
  <c r="AR125" i="9"/>
  <c r="AT86" i="9"/>
  <c r="AR86" i="9"/>
  <c r="AS86" i="9"/>
  <c r="AT223" i="9"/>
  <c r="AS223" i="9"/>
  <c r="AR223" i="9"/>
  <c r="AR710" i="9"/>
  <c r="AS540" i="9"/>
  <c r="AS876" i="9"/>
  <c r="AT226" i="9"/>
  <c r="AT518" i="9"/>
  <c r="AR518" i="9"/>
  <c r="AS518" i="9"/>
  <c r="AT575" i="9"/>
  <c r="AS575" i="9"/>
  <c r="AR575" i="9"/>
  <c r="AT600" i="9"/>
  <c r="AS972" i="9"/>
  <c r="AT674" i="9"/>
  <c r="AR674" i="9"/>
  <c r="AS674" i="9"/>
  <c r="AT247" i="9"/>
  <c r="AS247" i="9"/>
  <c r="AR247" i="9"/>
  <c r="AT8" i="9"/>
  <c r="AS8" i="9"/>
  <c r="AR8" i="9"/>
  <c r="AR420" i="9"/>
  <c r="AR756" i="9"/>
  <c r="AS22" i="9"/>
  <c r="AS111" i="9"/>
  <c r="AT283" i="9"/>
  <c r="AS283" i="9"/>
  <c r="AR283" i="9"/>
  <c r="AT427" i="9"/>
  <c r="AS427" i="9"/>
  <c r="AR427" i="9"/>
  <c r="AT571" i="9"/>
  <c r="AS571" i="9"/>
  <c r="AR571" i="9"/>
  <c r="AT715" i="9"/>
  <c r="AS715" i="9"/>
  <c r="AR715" i="9"/>
  <c r="AT860" i="9"/>
  <c r="AS860" i="9"/>
  <c r="AR860" i="9"/>
  <c r="AT1004" i="9"/>
  <c r="AR1004" i="9"/>
  <c r="AS1004" i="9"/>
  <c r="AT104" i="9"/>
  <c r="AS104" i="9"/>
  <c r="AR104" i="9"/>
  <c r="AT248" i="9"/>
  <c r="AS248" i="9"/>
  <c r="AR248" i="9"/>
  <c r="AT455" i="9"/>
  <c r="AS455" i="9"/>
  <c r="AR455" i="9"/>
  <c r="AT815" i="9"/>
  <c r="AS815" i="9"/>
  <c r="AR815" i="9"/>
  <c r="AS276" i="9"/>
  <c r="AT660" i="9"/>
  <c r="AR58" i="9"/>
  <c r="AR99" i="9"/>
  <c r="AT335" i="9"/>
  <c r="AS335" i="9"/>
  <c r="AR335" i="9"/>
  <c r="AT671" i="9"/>
  <c r="AS671" i="9"/>
  <c r="AR671" i="9"/>
  <c r="AS1039" i="9"/>
  <c r="AT1039" i="9"/>
  <c r="AR1039" i="9"/>
  <c r="AS384" i="9"/>
  <c r="AT720" i="9"/>
  <c r="AS82" i="9"/>
  <c r="AS123" i="9"/>
  <c r="AR360" i="9"/>
  <c r="AR696" i="9"/>
  <c r="AT965" i="9"/>
  <c r="AT59" i="9"/>
  <c r="AS59" i="9"/>
  <c r="AR59" i="9"/>
  <c r="AT203" i="9"/>
  <c r="AS203" i="9"/>
  <c r="AR203" i="9"/>
  <c r="AT36" i="9"/>
  <c r="AS36" i="9"/>
  <c r="AR36" i="9"/>
  <c r="AT216" i="9"/>
  <c r="AS216" i="9"/>
  <c r="AR216" i="9"/>
  <c r="AT352" i="9"/>
  <c r="AS352" i="9"/>
  <c r="AR352" i="9"/>
  <c r="AT820" i="9"/>
  <c r="AS820" i="9"/>
  <c r="AR820" i="9"/>
  <c r="AR449" i="9"/>
  <c r="AR617" i="9"/>
  <c r="AR809" i="9"/>
  <c r="AS39" i="9"/>
  <c r="AT361" i="9"/>
  <c r="AS361" i="9"/>
  <c r="AR361" i="9"/>
  <c r="AT505" i="9"/>
  <c r="AS505" i="9"/>
  <c r="AR505" i="9"/>
  <c r="AT649" i="9"/>
  <c r="AS649" i="9"/>
  <c r="AR649" i="9"/>
  <c r="AT793" i="9"/>
  <c r="AS793" i="9"/>
  <c r="AR793" i="9"/>
  <c r="AT949" i="9"/>
  <c r="AS949" i="9"/>
  <c r="AR949" i="9"/>
  <c r="AT252" i="9"/>
  <c r="AS252" i="9"/>
  <c r="AR252" i="9"/>
  <c r="AT472" i="9"/>
  <c r="AS472" i="9"/>
  <c r="AR472" i="9"/>
  <c r="AT988" i="9"/>
  <c r="AS988" i="9"/>
  <c r="AR988" i="9"/>
  <c r="AS353" i="9"/>
  <c r="AS521" i="9"/>
  <c r="AS677" i="9"/>
  <c r="AS845" i="9"/>
  <c r="AT15" i="9"/>
  <c r="AT339" i="9"/>
  <c r="AS339" i="9"/>
  <c r="AR339" i="9"/>
  <c r="AT483" i="9"/>
  <c r="AS483" i="9"/>
  <c r="AR483" i="9"/>
  <c r="AT627" i="9"/>
  <c r="AS627" i="9"/>
  <c r="AR627" i="9"/>
  <c r="AT771" i="9"/>
  <c r="AS771" i="9"/>
  <c r="AR771" i="9"/>
  <c r="AT915" i="9"/>
  <c r="AS915" i="9"/>
  <c r="AR915" i="9"/>
  <c r="AT37" i="9"/>
  <c r="AS37" i="9"/>
  <c r="AR37" i="9"/>
  <c r="AT364" i="9"/>
  <c r="AS364" i="9"/>
  <c r="AR364" i="9"/>
  <c r="AT796" i="9"/>
  <c r="AS796" i="9"/>
  <c r="AR796" i="9"/>
  <c r="AS770" i="9"/>
  <c r="AR413" i="9"/>
  <c r="AR593" i="9"/>
  <c r="AR785" i="9"/>
  <c r="AR1037" i="9"/>
  <c r="AT724" i="9"/>
  <c r="AS724" i="9"/>
  <c r="AR724" i="9"/>
  <c r="AT893" i="9"/>
  <c r="AT302" i="9"/>
  <c r="AT434" i="9"/>
  <c r="AT1010" i="9"/>
  <c r="AT458" i="9"/>
  <c r="AT158" i="9"/>
  <c r="AS974" i="9"/>
  <c r="AR98" i="9"/>
  <c r="AR734" i="9"/>
  <c r="AT694" i="9"/>
  <c r="AS694" i="9"/>
  <c r="AR694" i="9"/>
  <c r="AT185" i="9"/>
  <c r="AS185" i="9"/>
  <c r="AR185" i="9"/>
  <c r="AS432" i="9"/>
  <c r="AT20" i="9"/>
  <c r="AS20" i="9"/>
  <c r="AR20" i="9"/>
  <c r="AR977" i="9"/>
  <c r="AR146" i="9"/>
  <c r="AT392" i="9"/>
  <c r="AS392" i="9"/>
  <c r="AR392" i="9"/>
  <c r="AT536" i="9"/>
  <c r="AS536" i="9"/>
  <c r="AR536" i="9"/>
  <c r="AT680" i="9"/>
  <c r="AS680" i="9"/>
  <c r="AR680" i="9"/>
  <c r="AT273" i="9"/>
  <c r="AS273" i="9"/>
  <c r="AR273" i="9"/>
  <c r="AT417" i="9"/>
  <c r="AS417" i="9"/>
  <c r="AR417" i="9"/>
  <c r="AT561" i="9"/>
  <c r="AS561" i="9"/>
  <c r="AR561" i="9"/>
  <c r="AT705" i="9"/>
  <c r="AS705" i="9"/>
  <c r="AR705" i="9"/>
  <c r="AT849" i="9"/>
  <c r="AS849" i="9"/>
  <c r="AR849" i="9"/>
  <c r="AT993" i="9"/>
  <c r="AS993" i="9"/>
  <c r="AR993" i="9"/>
  <c r="AT358" i="9"/>
  <c r="AS358" i="9"/>
  <c r="AR358" i="9"/>
  <c r="AT502" i="9"/>
  <c r="AS502" i="9"/>
  <c r="AR502" i="9"/>
  <c r="AT646" i="9"/>
  <c r="AS646" i="9"/>
  <c r="AR646" i="9"/>
  <c r="AT790" i="9"/>
  <c r="AS790" i="9"/>
  <c r="AR790" i="9"/>
  <c r="AT934" i="9"/>
  <c r="AS934" i="9"/>
  <c r="AR934" i="9"/>
  <c r="AT206" i="9"/>
  <c r="AR206" i="9"/>
  <c r="AS206" i="9"/>
  <c r="AT342" i="9"/>
  <c r="AS342" i="9"/>
  <c r="AR342" i="9"/>
  <c r="AT486" i="9"/>
  <c r="AS486" i="9"/>
  <c r="AR486" i="9"/>
  <c r="AT630" i="9"/>
  <c r="AS630" i="9"/>
  <c r="AR630" i="9"/>
  <c r="AT774" i="9"/>
  <c r="AS774" i="9"/>
  <c r="AR774" i="9"/>
  <c r="AT918" i="9"/>
  <c r="AS918" i="9"/>
  <c r="AR918" i="9"/>
  <c r="AT28" i="9"/>
  <c r="AS28" i="9"/>
  <c r="AR28" i="9"/>
  <c r="AT172" i="9"/>
  <c r="AS172" i="9"/>
  <c r="AR172" i="9"/>
  <c r="AT138" i="9"/>
  <c r="AS138" i="9"/>
  <c r="AR138" i="9"/>
  <c r="AT887" i="9"/>
  <c r="AS887" i="9"/>
  <c r="AR887" i="9"/>
  <c r="AR324" i="9"/>
  <c r="AR636" i="9"/>
  <c r="AS1020" i="9"/>
  <c r="AS262" i="9"/>
  <c r="AT938" i="9"/>
  <c r="AR938" i="9"/>
  <c r="AS938" i="9"/>
  <c r="AT137" i="9"/>
  <c r="AS137" i="9"/>
  <c r="AR137" i="9"/>
  <c r="AT18" i="9"/>
  <c r="AS18" i="9"/>
  <c r="AR18" i="9"/>
  <c r="AT540" i="9"/>
  <c r="AT876" i="9"/>
  <c r="AR953" i="9"/>
  <c r="AT806" i="9"/>
  <c r="AR806" i="9"/>
  <c r="AS806" i="9"/>
  <c r="AT839" i="9"/>
  <c r="AS839" i="9"/>
  <c r="AR839" i="9"/>
  <c r="AR684" i="9"/>
  <c r="AT972" i="9"/>
  <c r="AT989" i="9"/>
  <c r="AT818" i="9"/>
  <c r="AR818" i="9"/>
  <c r="AS818" i="9"/>
  <c r="AT611" i="9"/>
  <c r="AS611" i="9"/>
  <c r="AR611" i="9"/>
  <c r="AT81" i="9"/>
  <c r="AS81" i="9"/>
  <c r="AR81" i="9"/>
  <c r="AS420" i="9"/>
  <c r="AS756" i="9"/>
  <c r="AT22" i="9"/>
  <c r="AT111" i="9"/>
  <c r="AT295" i="9"/>
  <c r="AS295" i="9"/>
  <c r="AR295" i="9"/>
  <c r="AT439" i="9"/>
  <c r="AS439" i="9"/>
  <c r="AR439" i="9"/>
  <c r="AT583" i="9"/>
  <c r="AS583" i="9"/>
  <c r="AR583" i="9"/>
  <c r="AT727" i="9"/>
  <c r="AS727" i="9"/>
  <c r="AR727" i="9"/>
  <c r="AT872" i="9"/>
  <c r="AS872" i="9"/>
  <c r="AR872" i="9"/>
  <c r="AT1016" i="9"/>
  <c r="AR1016" i="9"/>
  <c r="AS1016" i="9"/>
  <c r="AT116" i="9"/>
  <c r="AS116" i="9"/>
  <c r="AR116" i="9"/>
  <c r="AT260" i="9"/>
  <c r="AS260" i="9"/>
  <c r="AR260" i="9"/>
  <c r="AT491" i="9"/>
  <c r="AS491" i="9"/>
  <c r="AR491" i="9"/>
  <c r="AT923" i="9"/>
  <c r="AS923" i="9"/>
  <c r="AR923" i="9"/>
  <c r="AT276" i="9"/>
  <c r="AS660" i="9"/>
  <c r="AS58" i="9"/>
  <c r="AS99" i="9"/>
  <c r="AT359" i="9"/>
  <c r="AS359" i="9"/>
  <c r="AR359" i="9"/>
  <c r="AT707" i="9"/>
  <c r="AS707" i="9"/>
  <c r="AR707" i="9"/>
  <c r="AT69" i="9"/>
  <c r="AS69" i="9"/>
  <c r="AR69" i="9"/>
  <c r="AR468" i="9"/>
  <c r="AR804" i="9"/>
  <c r="AT82" i="9"/>
  <c r="AT123" i="9"/>
  <c r="AS360" i="9"/>
  <c r="AS696" i="9"/>
  <c r="AR70" i="9"/>
  <c r="AR75" i="9"/>
  <c r="AT71" i="9"/>
  <c r="AS71" i="9"/>
  <c r="AR71" i="9"/>
  <c r="AT215" i="9"/>
  <c r="AS215" i="9"/>
  <c r="AR215" i="9"/>
  <c r="AT48" i="9"/>
  <c r="AS48" i="9"/>
  <c r="AR48" i="9"/>
  <c r="AS240" i="9"/>
  <c r="AT240" i="9"/>
  <c r="AR240" i="9"/>
  <c r="AT376" i="9"/>
  <c r="AS376" i="9"/>
  <c r="AR376" i="9"/>
  <c r="AT856" i="9"/>
  <c r="AS856" i="9"/>
  <c r="AR856" i="9"/>
  <c r="AR914" i="9"/>
  <c r="AS449" i="9"/>
  <c r="AS617" i="9"/>
  <c r="AS809" i="9"/>
  <c r="AT39" i="9"/>
  <c r="AT373" i="9"/>
  <c r="AS373" i="9"/>
  <c r="AR373" i="9"/>
  <c r="AT517" i="9"/>
  <c r="AS517" i="9"/>
  <c r="AR517" i="9"/>
  <c r="AT661" i="9"/>
  <c r="AS661" i="9"/>
  <c r="AR661" i="9"/>
  <c r="AT805" i="9"/>
  <c r="AS805" i="9"/>
  <c r="AR805" i="9"/>
  <c r="AT961" i="9"/>
  <c r="AS961" i="9"/>
  <c r="AR961" i="9"/>
  <c r="AT13" i="9"/>
  <c r="AS13" i="9"/>
  <c r="AR13" i="9"/>
  <c r="AT520" i="9"/>
  <c r="AS520" i="9"/>
  <c r="AR520" i="9"/>
  <c r="AS1036" i="9"/>
  <c r="AT1036" i="9"/>
  <c r="AR1036" i="9"/>
  <c r="AT845" i="9"/>
  <c r="AR147" i="9"/>
  <c r="AT351" i="9"/>
  <c r="AS351" i="9"/>
  <c r="AR351" i="9"/>
  <c r="AT495" i="9"/>
  <c r="AS495" i="9"/>
  <c r="AR495" i="9"/>
  <c r="AT639" i="9"/>
  <c r="AS639" i="9"/>
  <c r="AR639" i="9"/>
  <c r="AT783" i="9"/>
  <c r="AS783" i="9"/>
  <c r="AR783" i="9"/>
  <c r="AT927" i="9"/>
  <c r="AS927" i="9"/>
  <c r="AR927" i="9"/>
  <c r="AT49" i="9"/>
  <c r="AS49" i="9"/>
  <c r="AR49" i="9"/>
  <c r="AT388" i="9"/>
  <c r="AS388" i="9"/>
  <c r="AR388" i="9"/>
  <c r="AT844" i="9"/>
  <c r="AS844" i="9"/>
  <c r="AR844" i="9"/>
  <c r="AR770" i="9"/>
  <c r="AS413" i="9"/>
  <c r="AS593" i="9"/>
  <c r="AT1037" i="9"/>
  <c r="AT808" i="9"/>
  <c r="AS808" i="9"/>
  <c r="AR808" i="9"/>
  <c r="AR425" i="9"/>
  <c r="AR701" i="9"/>
  <c r="AR1025" i="9"/>
  <c r="AR902" i="9"/>
  <c r="AS590" i="9"/>
  <c r="AR744" i="9"/>
  <c r="AT974" i="9"/>
  <c r="AT26" i="9"/>
  <c r="AT98" i="9"/>
  <c r="AT734" i="9"/>
  <c r="AT584" i="9"/>
  <c r="AS584" i="9"/>
  <c r="AR584" i="9"/>
  <c r="AT678" i="9"/>
  <c r="AS678" i="9"/>
  <c r="AR678" i="9"/>
  <c r="AT31" i="9"/>
  <c r="AS31" i="9"/>
  <c r="AR31" i="9"/>
  <c r="AT164" i="9"/>
  <c r="AS164" i="9"/>
  <c r="AR164" i="9"/>
  <c r="AT780" i="9"/>
  <c r="AT709" i="9"/>
  <c r="AS709" i="9"/>
  <c r="AR709" i="9"/>
  <c r="AR605" i="9"/>
  <c r="AT404" i="9"/>
  <c r="AS404" i="9"/>
  <c r="AR404" i="9"/>
  <c r="AT548" i="9"/>
  <c r="AS548" i="9"/>
  <c r="AR548" i="9"/>
  <c r="AT692" i="9"/>
  <c r="AS692" i="9"/>
  <c r="AR692" i="9"/>
  <c r="AT285" i="9"/>
  <c r="AS285" i="9"/>
  <c r="AR285" i="9"/>
  <c r="AT429" i="9"/>
  <c r="AS429" i="9"/>
  <c r="AR429" i="9"/>
  <c r="AT573" i="9"/>
  <c r="AS573" i="9"/>
  <c r="AR573" i="9"/>
  <c r="AT717" i="9"/>
  <c r="AS717" i="9"/>
  <c r="AR717" i="9"/>
  <c r="AT861" i="9"/>
  <c r="AS861" i="9"/>
  <c r="AR861" i="9"/>
  <c r="AT1005" i="9"/>
  <c r="AS1005" i="9"/>
  <c r="AR1005" i="9"/>
  <c r="AT370" i="9"/>
  <c r="AS370" i="9"/>
  <c r="AR370" i="9"/>
  <c r="AT514" i="9"/>
  <c r="AS514" i="9"/>
  <c r="AR514" i="9"/>
  <c r="AT658" i="9"/>
  <c r="AS658" i="9"/>
  <c r="AR658" i="9"/>
  <c r="AT802" i="9"/>
  <c r="AS802" i="9"/>
  <c r="AR802" i="9"/>
  <c r="AT946" i="9"/>
  <c r="AS946" i="9"/>
  <c r="AR946" i="9"/>
  <c r="AT350" i="9"/>
  <c r="AR350" i="9"/>
  <c r="AS350" i="9"/>
  <c r="AT354" i="9"/>
  <c r="AS354" i="9"/>
  <c r="AR354" i="9"/>
  <c r="AT498" i="9"/>
  <c r="AS498" i="9"/>
  <c r="AR498" i="9"/>
  <c r="AT642" i="9"/>
  <c r="AS642" i="9"/>
  <c r="AR642" i="9"/>
  <c r="AT786" i="9"/>
  <c r="AS786" i="9"/>
  <c r="AR786" i="9"/>
  <c r="AT930" i="9"/>
  <c r="AS930" i="9"/>
  <c r="AR930" i="9"/>
  <c r="AT40" i="9"/>
  <c r="AS40" i="9"/>
  <c r="AR40" i="9"/>
  <c r="AT184" i="9"/>
  <c r="AS184" i="9"/>
  <c r="AR184" i="9"/>
  <c r="AT174" i="9"/>
  <c r="AS174" i="9"/>
  <c r="AR174" i="9"/>
  <c r="AT883" i="9"/>
  <c r="AS883" i="9"/>
  <c r="AR883" i="9"/>
  <c r="AS324" i="9"/>
  <c r="AS636" i="9"/>
  <c r="AT1020" i="9"/>
  <c r="AT262" i="9"/>
  <c r="AT265" i="9"/>
  <c r="AS265" i="9"/>
  <c r="AR265" i="9"/>
  <c r="AT149" i="9"/>
  <c r="AS149" i="9"/>
  <c r="AR149" i="9"/>
  <c r="AT54" i="9"/>
  <c r="AS54" i="9"/>
  <c r="AR54" i="9"/>
  <c r="AS551" i="9"/>
  <c r="AR300" i="9"/>
  <c r="AR624" i="9"/>
  <c r="AS1008" i="9"/>
  <c r="AS953" i="9"/>
  <c r="AT30" i="9"/>
  <c r="AS30" i="9"/>
  <c r="AR30" i="9"/>
  <c r="AT835" i="9"/>
  <c r="AS835" i="9"/>
  <c r="AR835" i="9"/>
  <c r="AS348" i="9"/>
  <c r="AS684" i="9"/>
  <c r="AR46" i="9"/>
  <c r="AT962" i="9"/>
  <c r="AR962" i="9"/>
  <c r="AS962" i="9"/>
  <c r="AT779" i="9"/>
  <c r="AS779" i="9"/>
  <c r="AR779" i="9"/>
  <c r="AT93" i="9"/>
  <c r="AS93" i="9"/>
  <c r="AR93" i="9"/>
  <c r="AT756" i="9"/>
  <c r="AR106" i="9"/>
  <c r="AR255" i="9"/>
  <c r="AT307" i="9"/>
  <c r="AS307" i="9"/>
  <c r="AR307" i="9"/>
  <c r="AT451" i="9"/>
  <c r="AS451" i="9"/>
  <c r="AR451" i="9"/>
  <c r="AT595" i="9"/>
  <c r="AS595" i="9"/>
  <c r="AR595" i="9"/>
  <c r="AT739" i="9"/>
  <c r="AS739" i="9"/>
  <c r="AR739" i="9"/>
  <c r="AT884" i="9"/>
  <c r="AS884" i="9"/>
  <c r="AR884" i="9"/>
  <c r="AT1028" i="9"/>
  <c r="AS1028" i="9"/>
  <c r="AR1028" i="9"/>
  <c r="AT128" i="9"/>
  <c r="AS128" i="9"/>
  <c r="AR128" i="9"/>
  <c r="AR15" i="9"/>
  <c r="AT515" i="9"/>
  <c r="AS515" i="9"/>
  <c r="AR515" i="9"/>
  <c r="AT919" i="9"/>
  <c r="AS919" i="9"/>
  <c r="AR919" i="9"/>
  <c r="AR408" i="9"/>
  <c r="AS744" i="9"/>
  <c r="AT58" i="9"/>
  <c r="AT99" i="9"/>
  <c r="AT383" i="9"/>
  <c r="AS383" i="9"/>
  <c r="AR383" i="9"/>
  <c r="AT719" i="9"/>
  <c r="AS719" i="9"/>
  <c r="AR719" i="9"/>
  <c r="AT141" i="9"/>
  <c r="AS141" i="9"/>
  <c r="AR141" i="9"/>
  <c r="AS468" i="9"/>
  <c r="AT804" i="9"/>
  <c r="AR118" i="9"/>
  <c r="AR27" i="9"/>
  <c r="AT360" i="9"/>
  <c r="AT696" i="9"/>
  <c r="AS70" i="9"/>
  <c r="AS75" i="9"/>
  <c r="AT83" i="9"/>
  <c r="AS83" i="9"/>
  <c r="AR83" i="9"/>
  <c r="AT227" i="9"/>
  <c r="AS227" i="9"/>
  <c r="AR227" i="9"/>
  <c r="AT60" i="9"/>
  <c r="AS60" i="9"/>
  <c r="AR60" i="9"/>
  <c r="AT264" i="9"/>
  <c r="AS264" i="9"/>
  <c r="AR264" i="9"/>
  <c r="AT412" i="9"/>
  <c r="AS412" i="9"/>
  <c r="AR412" i="9"/>
  <c r="AT892" i="9"/>
  <c r="AS892" i="9"/>
  <c r="AR892" i="9"/>
  <c r="AT914" i="9"/>
  <c r="AT449" i="9"/>
  <c r="AT617" i="9"/>
  <c r="AR171" i="9"/>
  <c r="AT385" i="9"/>
  <c r="AS385" i="9"/>
  <c r="AR385" i="9"/>
  <c r="AT529" i="9"/>
  <c r="AS529" i="9"/>
  <c r="AR529" i="9"/>
  <c r="AT673" i="9"/>
  <c r="AS673" i="9"/>
  <c r="AR673" i="9"/>
  <c r="AT817" i="9"/>
  <c r="AS817" i="9"/>
  <c r="AR817" i="9"/>
  <c r="AT973" i="9"/>
  <c r="AS973" i="9"/>
  <c r="AR973" i="9"/>
  <c r="AT61" i="9"/>
  <c r="AS61" i="9"/>
  <c r="AR61" i="9"/>
  <c r="AT580" i="9"/>
  <c r="AS580" i="9"/>
  <c r="AR580" i="9"/>
  <c r="AS482" i="9"/>
  <c r="AR401" i="9"/>
  <c r="AR557" i="9"/>
  <c r="AR713" i="9"/>
  <c r="AR869" i="9"/>
  <c r="AS147" i="9"/>
  <c r="AT363" i="9"/>
  <c r="AS363" i="9"/>
  <c r="AR363" i="9"/>
  <c r="AT507" i="9"/>
  <c r="AS507" i="9"/>
  <c r="AR507" i="9"/>
  <c r="AT651" i="9"/>
  <c r="AS651" i="9"/>
  <c r="AR651" i="9"/>
  <c r="AT795" i="9"/>
  <c r="AS795" i="9"/>
  <c r="AR795" i="9"/>
  <c r="AT939" i="9"/>
  <c r="AR939" i="9"/>
  <c r="AS939" i="9"/>
  <c r="AT73" i="9"/>
  <c r="AS73" i="9"/>
  <c r="AR73" i="9"/>
  <c r="AT424" i="9"/>
  <c r="AS424" i="9"/>
  <c r="AR424" i="9"/>
  <c r="AT880" i="9"/>
  <c r="AS880" i="9"/>
  <c r="AR880" i="9"/>
  <c r="AT770" i="9"/>
  <c r="AT413" i="9"/>
  <c r="AT593" i="9"/>
  <c r="AT785" i="9"/>
  <c r="AS1037" i="9"/>
  <c r="AT916" i="9"/>
  <c r="AS916" i="9"/>
  <c r="AR916" i="9"/>
  <c r="AS425" i="9"/>
  <c r="AS701" i="9"/>
  <c r="AT1025" i="9"/>
  <c r="AR446" i="9"/>
  <c r="AS902" i="9"/>
  <c r="AR578" i="9"/>
  <c r="AS38" i="9"/>
  <c r="AR590" i="9"/>
  <c r="AR936" i="9"/>
  <c r="AR1022" i="9"/>
  <c r="AS614" i="9"/>
  <c r="AS746" i="9"/>
  <c r="AR14" i="9"/>
  <c r="AT465" i="9"/>
  <c r="AS465" i="9"/>
  <c r="AR465" i="9"/>
  <c r="AT220" i="9"/>
  <c r="AS220" i="9"/>
  <c r="AR220" i="9"/>
  <c r="AT249" i="9"/>
  <c r="AS249" i="9"/>
  <c r="AR249" i="9"/>
  <c r="AR190" i="9"/>
  <c r="AT920" i="9"/>
  <c r="AS920" i="9"/>
  <c r="AR920" i="9"/>
  <c r="AS828" i="9"/>
  <c r="AT444" i="9"/>
  <c r="AT421" i="9"/>
  <c r="AS421" i="9"/>
  <c r="AR421" i="9"/>
  <c r="AR281" i="9"/>
  <c r="AS63" i="9"/>
  <c r="AT272" i="9"/>
  <c r="AS272" i="9"/>
  <c r="AR272" i="9"/>
  <c r="AT416" i="9"/>
  <c r="AS416" i="9"/>
  <c r="AR416" i="9"/>
  <c r="AT560" i="9"/>
  <c r="AS560" i="9"/>
  <c r="AR560" i="9"/>
  <c r="AT704" i="9"/>
  <c r="AS704" i="9"/>
  <c r="AR704" i="9"/>
  <c r="AT297" i="9"/>
  <c r="AS297" i="9"/>
  <c r="AR297" i="9"/>
  <c r="AT441" i="9"/>
  <c r="AS441" i="9"/>
  <c r="AR441" i="9"/>
  <c r="AT585" i="9"/>
  <c r="AS585" i="9"/>
  <c r="AR585" i="9"/>
  <c r="AT729" i="9"/>
  <c r="AS729" i="9"/>
  <c r="AR729" i="9"/>
  <c r="AT873" i="9"/>
  <c r="AS873" i="9"/>
  <c r="AR873" i="9"/>
  <c r="AT1017" i="9"/>
  <c r="AS1017" i="9"/>
  <c r="AR1017" i="9"/>
  <c r="AT382" i="9"/>
  <c r="AS382" i="9"/>
  <c r="AR382" i="9"/>
  <c r="AT526" i="9"/>
  <c r="AS526" i="9"/>
  <c r="AR526" i="9"/>
  <c r="AT670" i="9"/>
  <c r="AS670" i="9"/>
  <c r="AR670" i="9"/>
  <c r="AT814" i="9"/>
  <c r="AS814" i="9"/>
  <c r="AR814" i="9"/>
  <c r="AT958" i="9"/>
  <c r="AS958" i="9"/>
  <c r="AR958" i="9"/>
  <c r="AT494" i="9"/>
  <c r="AR494" i="9"/>
  <c r="AS494" i="9"/>
  <c r="AT366" i="9"/>
  <c r="AS366" i="9"/>
  <c r="AR366" i="9"/>
  <c r="AT510" i="9"/>
  <c r="AS510" i="9"/>
  <c r="AR510" i="9"/>
  <c r="AT654" i="9"/>
  <c r="AS654" i="9"/>
  <c r="AR654" i="9"/>
  <c r="AT798" i="9"/>
  <c r="AS798" i="9"/>
  <c r="AR798" i="9"/>
  <c r="AT942" i="9"/>
  <c r="AS942" i="9"/>
  <c r="AR942" i="9"/>
  <c r="AT52" i="9"/>
  <c r="AS52" i="9"/>
  <c r="AR52" i="9"/>
  <c r="AT196" i="9"/>
  <c r="AS196" i="9"/>
  <c r="AR196" i="9"/>
  <c r="AT210" i="9"/>
  <c r="AS210" i="9"/>
  <c r="AR210" i="9"/>
  <c r="AT959" i="9"/>
  <c r="AS959" i="9"/>
  <c r="AR959" i="9"/>
  <c r="AT324" i="9"/>
  <c r="AR10" i="9"/>
  <c r="AR135" i="9"/>
  <c r="AT17" i="9"/>
  <c r="AS17" i="9"/>
  <c r="AR17" i="9"/>
  <c r="AT161" i="9"/>
  <c r="AS161" i="9"/>
  <c r="AR161" i="9"/>
  <c r="AT90" i="9"/>
  <c r="AS90" i="9"/>
  <c r="AR90" i="9"/>
  <c r="AT551" i="9"/>
  <c r="AS300" i="9"/>
  <c r="AS624" i="9"/>
  <c r="AT1008" i="9"/>
  <c r="AT78" i="9"/>
  <c r="AS78" i="9"/>
  <c r="AR78" i="9"/>
  <c r="AT947" i="9"/>
  <c r="AS947" i="9"/>
  <c r="AR947" i="9"/>
  <c r="AT348" i="9"/>
  <c r="AT684" i="9"/>
  <c r="AS46" i="9"/>
  <c r="AS51" i="9"/>
  <c r="AT267" i="9"/>
  <c r="AS267" i="9"/>
  <c r="AR267" i="9"/>
  <c r="AT827" i="9"/>
  <c r="AS827" i="9"/>
  <c r="AR827" i="9"/>
  <c r="AT165" i="9"/>
  <c r="AS165" i="9"/>
  <c r="AR165" i="9"/>
  <c r="AR504" i="9"/>
  <c r="AR840" i="9"/>
  <c r="AS106" i="9"/>
  <c r="AS255" i="9"/>
  <c r="AT319" i="9"/>
  <c r="AS319" i="9"/>
  <c r="AR319" i="9"/>
  <c r="AT463" i="9"/>
  <c r="AS463" i="9"/>
  <c r="AR463" i="9"/>
  <c r="AT607" i="9"/>
  <c r="AS607" i="9"/>
  <c r="AR607" i="9"/>
  <c r="AT751" i="9"/>
  <c r="AS751" i="9"/>
  <c r="AR751" i="9"/>
  <c r="AT896" i="9"/>
  <c r="AR896" i="9"/>
  <c r="AS896" i="9"/>
  <c r="AT1040" i="9"/>
  <c r="AS1040" i="9"/>
  <c r="AR1040" i="9"/>
  <c r="AT140" i="9"/>
  <c r="AS140" i="9"/>
  <c r="AR140" i="9"/>
  <c r="AT986" i="9"/>
  <c r="AR986" i="9"/>
  <c r="AS986" i="9"/>
  <c r="AT539" i="9"/>
  <c r="AS539" i="9"/>
  <c r="AR539" i="9"/>
  <c r="AT995" i="9"/>
  <c r="AS995" i="9"/>
  <c r="AR995" i="9"/>
  <c r="AS408" i="9"/>
  <c r="AT744" i="9"/>
  <c r="AR130" i="9"/>
  <c r="AR231" i="9"/>
  <c r="AT419" i="9"/>
  <c r="AS419" i="9"/>
  <c r="AR419" i="9"/>
  <c r="AT755" i="9"/>
  <c r="AS755" i="9"/>
  <c r="AR755" i="9"/>
  <c r="AT189" i="9"/>
  <c r="AS189" i="9"/>
  <c r="AR189" i="9"/>
  <c r="AT468" i="9"/>
  <c r="AS804" i="9"/>
  <c r="AS134" i="9"/>
  <c r="AR444" i="9"/>
  <c r="AR780" i="9"/>
  <c r="AT70" i="9"/>
  <c r="AT75" i="9"/>
  <c r="AT95" i="9"/>
  <c r="AS95" i="9"/>
  <c r="AR95" i="9"/>
  <c r="AT239" i="9"/>
  <c r="AS239" i="9"/>
  <c r="AR239" i="9"/>
  <c r="AT72" i="9"/>
  <c r="AS72" i="9"/>
  <c r="AR72" i="9"/>
  <c r="AT448" i="9"/>
  <c r="AS448" i="9"/>
  <c r="AR448" i="9"/>
  <c r="AT940" i="9"/>
  <c r="AS940" i="9"/>
  <c r="AR940" i="9"/>
  <c r="AR305" i="9"/>
  <c r="AR485" i="9"/>
  <c r="AR857" i="9"/>
  <c r="AS171" i="9"/>
  <c r="AT397" i="9"/>
  <c r="AS397" i="9"/>
  <c r="AR397" i="9"/>
  <c r="AT541" i="9"/>
  <c r="AS541" i="9"/>
  <c r="AR541" i="9"/>
  <c r="AT685" i="9"/>
  <c r="AS685" i="9"/>
  <c r="AR685" i="9"/>
  <c r="AT829" i="9"/>
  <c r="AS829" i="9"/>
  <c r="AR829" i="9"/>
  <c r="AT997" i="9"/>
  <c r="AS997" i="9"/>
  <c r="AR997" i="9"/>
  <c r="AT85" i="9"/>
  <c r="AS85" i="9"/>
  <c r="AR85" i="9"/>
  <c r="AT616" i="9"/>
  <c r="AS616" i="9"/>
  <c r="AR616" i="9"/>
  <c r="AR482" i="9"/>
  <c r="AS401" i="9"/>
  <c r="AS557" i="9"/>
  <c r="AS713" i="9"/>
  <c r="AS869" i="9"/>
  <c r="AT147" i="9"/>
  <c r="AT375" i="9"/>
  <c r="AS375" i="9"/>
  <c r="AR375" i="9"/>
  <c r="AT519" i="9"/>
  <c r="AS519" i="9"/>
  <c r="AR519" i="9"/>
  <c r="AT663" i="9"/>
  <c r="AS663" i="9"/>
  <c r="AR663" i="9"/>
  <c r="AT807" i="9"/>
  <c r="AS807" i="9"/>
  <c r="AR807" i="9"/>
  <c r="AT951" i="9"/>
  <c r="AR951" i="9"/>
  <c r="AS951" i="9"/>
  <c r="AT97" i="9"/>
  <c r="AS97" i="9"/>
  <c r="AR97" i="9"/>
  <c r="AT460" i="9"/>
  <c r="AS460" i="9"/>
  <c r="AR460" i="9"/>
  <c r="AT928" i="9"/>
  <c r="AS928" i="9"/>
  <c r="AR928" i="9"/>
  <c r="AR269" i="9"/>
  <c r="AR461" i="9"/>
  <c r="AR653" i="9"/>
  <c r="AR833" i="9"/>
  <c r="AS27" i="9"/>
  <c r="AT1000" i="9"/>
  <c r="AS1000" i="9"/>
  <c r="AR1000" i="9"/>
  <c r="AT425" i="9"/>
  <c r="AT701" i="9"/>
  <c r="AS1025" i="9"/>
  <c r="AT446" i="9"/>
  <c r="AT902" i="9"/>
  <c r="AT578" i="9"/>
  <c r="AT38" i="9"/>
  <c r="AT590" i="9"/>
  <c r="AR948" i="9"/>
  <c r="AS1022" i="9"/>
  <c r="AR614" i="9"/>
  <c r="AR746" i="9"/>
  <c r="AS14" i="9"/>
  <c r="AT321" i="9"/>
  <c r="AS321" i="9"/>
  <c r="AR321" i="9"/>
  <c r="AT534" i="9"/>
  <c r="AS534" i="9"/>
  <c r="AR534" i="9"/>
  <c r="AT10" i="9"/>
  <c r="AT487" i="9"/>
  <c r="AS487" i="9"/>
  <c r="AR487" i="9"/>
  <c r="AT119" i="9"/>
  <c r="AS119" i="9"/>
  <c r="AR119" i="9"/>
  <c r="AT853" i="9"/>
  <c r="AS853" i="9"/>
  <c r="AR853" i="9"/>
  <c r="AR761" i="9"/>
  <c r="AS749" i="9"/>
  <c r="AT284" i="9"/>
  <c r="AS284" i="9"/>
  <c r="AR284" i="9"/>
  <c r="AT428" i="9"/>
  <c r="AS428" i="9"/>
  <c r="AR428" i="9"/>
  <c r="AT572" i="9"/>
  <c r="AS572" i="9"/>
  <c r="AR572" i="9"/>
  <c r="AT716" i="9"/>
  <c r="AS716" i="9"/>
  <c r="AR716" i="9"/>
  <c r="AT309" i="9"/>
  <c r="AS309" i="9"/>
  <c r="AR309" i="9"/>
  <c r="AT453" i="9"/>
  <c r="AS453" i="9"/>
  <c r="AR453" i="9"/>
  <c r="AT597" i="9"/>
  <c r="AS597" i="9"/>
  <c r="AR597" i="9"/>
  <c r="AT741" i="9"/>
  <c r="AS741" i="9"/>
  <c r="AR741" i="9"/>
  <c r="AT885" i="9"/>
  <c r="AS885" i="9"/>
  <c r="AR885" i="9"/>
  <c r="AS1029" i="9"/>
  <c r="AT1029" i="9"/>
  <c r="AR1029" i="9"/>
  <c r="AT394" i="9"/>
  <c r="AS394" i="9"/>
  <c r="AR394" i="9"/>
  <c r="AT538" i="9"/>
  <c r="AS538" i="9"/>
  <c r="AR538" i="9"/>
  <c r="AT682" i="9"/>
  <c r="AS682" i="9"/>
  <c r="AR682" i="9"/>
  <c r="AT826" i="9"/>
  <c r="AS826" i="9"/>
  <c r="AR826" i="9"/>
  <c r="AT970" i="9"/>
  <c r="AS970" i="9"/>
  <c r="AR970" i="9"/>
  <c r="AT638" i="9"/>
  <c r="AR638" i="9"/>
  <c r="AS638" i="9"/>
  <c r="AT378" i="9"/>
  <c r="AS378" i="9"/>
  <c r="AR378" i="9"/>
  <c r="AT522" i="9"/>
  <c r="AS522" i="9"/>
  <c r="AR522" i="9"/>
  <c r="AT666" i="9"/>
  <c r="AS666" i="9"/>
  <c r="AR666" i="9"/>
  <c r="AT810" i="9"/>
  <c r="AS810" i="9"/>
  <c r="AR810" i="9"/>
  <c r="AT954" i="9"/>
  <c r="AS954" i="9"/>
  <c r="AR954" i="9"/>
  <c r="AT64" i="9"/>
  <c r="AS64" i="9"/>
  <c r="AR64" i="9"/>
  <c r="AT208" i="9"/>
  <c r="AS208" i="9"/>
  <c r="AR208" i="9"/>
  <c r="AT234" i="9"/>
  <c r="AS234" i="9"/>
  <c r="AR234" i="9"/>
  <c r="AT955" i="9"/>
  <c r="AS955" i="9"/>
  <c r="AR955" i="9"/>
  <c r="AR396" i="9"/>
  <c r="AR732" i="9"/>
  <c r="AS10" i="9"/>
  <c r="AS135" i="9"/>
  <c r="AT29" i="9"/>
  <c r="AS29" i="9"/>
  <c r="AR29" i="9"/>
  <c r="AT173" i="9"/>
  <c r="AS173" i="9"/>
  <c r="AR173" i="9"/>
  <c r="AT126" i="9"/>
  <c r="AS126" i="9"/>
  <c r="AR126" i="9"/>
  <c r="AT899" i="9"/>
  <c r="AS899" i="9"/>
  <c r="AR899" i="9"/>
  <c r="AT300" i="9"/>
  <c r="AT624" i="9"/>
  <c r="AR34" i="9"/>
  <c r="AR87" i="9"/>
  <c r="AT114" i="9"/>
  <c r="AS114" i="9"/>
  <c r="AR114" i="9"/>
  <c r="AT943" i="9"/>
  <c r="AS943" i="9"/>
  <c r="AR943" i="9"/>
  <c r="AR432" i="9"/>
  <c r="AR768" i="9"/>
  <c r="AT46" i="9"/>
  <c r="AT51" i="9"/>
  <c r="AT19" i="9"/>
  <c r="AS19" i="9"/>
  <c r="AR19" i="9"/>
  <c r="AT823" i="9"/>
  <c r="AS823" i="9"/>
  <c r="AR823" i="9"/>
  <c r="AT177" i="9"/>
  <c r="AS177" i="9"/>
  <c r="AR177" i="9"/>
  <c r="AS504" i="9"/>
  <c r="AS840" i="9"/>
  <c r="AT106" i="9"/>
  <c r="AT255" i="9"/>
  <c r="AT331" i="9"/>
  <c r="AS331" i="9"/>
  <c r="AR331" i="9"/>
  <c r="AT475" i="9"/>
  <c r="AS475" i="9"/>
  <c r="AR475" i="9"/>
  <c r="AT619" i="9"/>
  <c r="AS619" i="9"/>
  <c r="AR619" i="9"/>
  <c r="AT763" i="9"/>
  <c r="AS763" i="9"/>
  <c r="AR763" i="9"/>
  <c r="AT908" i="9"/>
  <c r="AR908" i="9"/>
  <c r="AS908" i="9"/>
  <c r="AT268" i="9"/>
  <c r="AS268" i="9"/>
  <c r="AR268" i="9"/>
  <c r="AT152" i="9"/>
  <c r="AS152" i="9"/>
  <c r="AR152" i="9"/>
  <c r="AT287" i="9"/>
  <c r="AS287" i="9"/>
  <c r="AR287" i="9"/>
  <c r="AT599" i="9"/>
  <c r="AS599" i="9"/>
  <c r="AR599" i="9"/>
  <c r="AT991" i="9"/>
  <c r="AS991" i="9"/>
  <c r="AR991" i="9"/>
  <c r="AT408" i="9"/>
  <c r="AR828" i="9"/>
  <c r="AS130" i="9"/>
  <c r="AS231" i="9"/>
  <c r="AT431" i="9"/>
  <c r="AS431" i="9"/>
  <c r="AR431" i="9"/>
  <c r="AT791" i="9"/>
  <c r="AS791" i="9"/>
  <c r="AR791" i="9"/>
  <c r="AS854" i="9"/>
  <c r="AR552" i="9"/>
  <c r="AR888" i="9"/>
  <c r="AT118" i="9"/>
  <c r="AR134" i="9"/>
  <c r="AS444" i="9"/>
  <c r="AS780" i="9"/>
  <c r="AR166" i="9"/>
  <c r="AR207" i="9"/>
  <c r="AT107" i="9"/>
  <c r="AS107" i="9"/>
  <c r="AR107" i="9"/>
  <c r="AT251" i="9"/>
  <c r="AS251" i="9"/>
  <c r="AR251" i="9"/>
  <c r="AS84" i="9"/>
  <c r="AT84" i="9"/>
  <c r="AR84" i="9"/>
  <c r="AT484" i="9"/>
  <c r="AS484" i="9"/>
  <c r="AR484" i="9"/>
  <c r="AT976" i="9"/>
  <c r="AS976" i="9"/>
  <c r="AR976" i="9"/>
  <c r="AS305" i="9"/>
  <c r="AS485" i="9"/>
  <c r="AS665" i="9"/>
  <c r="AS857" i="9"/>
  <c r="AT171" i="9"/>
  <c r="AT409" i="9"/>
  <c r="AS409" i="9"/>
  <c r="AR409" i="9"/>
  <c r="AT553" i="9"/>
  <c r="AS553" i="9"/>
  <c r="AR553" i="9"/>
  <c r="AT697" i="9"/>
  <c r="AS697" i="9"/>
  <c r="AR697" i="9"/>
  <c r="AT841" i="9"/>
  <c r="AS841" i="9"/>
  <c r="AR841" i="9"/>
  <c r="AT1021" i="9"/>
  <c r="AS1021" i="9"/>
  <c r="AR1021" i="9"/>
  <c r="AT133" i="9"/>
  <c r="AS133" i="9"/>
  <c r="AR133" i="9"/>
  <c r="AT664" i="9"/>
  <c r="AS664" i="9"/>
  <c r="AR664" i="9"/>
  <c r="AT482" i="9"/>
  <c r="AT401" i="9"/>
  <c r="AT557" i="9"/>
  <c r="AT713" i="9"/>
  <c r="AT869" i="9"/>
  <c r="AR243" i="9"/>
  <c r="AT387" i="9"/>
  <c r="AS387" i="9"/>
  <c r="AR387" i="9"/>
  <c r="AT531" i="9"/>
  <c r="AS531" i="9"/>
  <c r="AR531" i="9"/>
  <c r="AT675" i="9"/>
  <c r="AS675" i="9"/>
  <c r="AR675" i="9"/>
  <c r="AT819" i="9"/>
  <c r="AS819" i="9"/>
  <c r="AR819" i="9"/>
  <c r="AT963" i="9"/>
  <c r="AR963" i="9"/>
  <c r="AS963" i="9"/>
  <c r="AT121" i="9"/>
  <c r="AS121" i="9"/>
  <c r="AR121" i="9"/>
  <c r="AT496" i="9"/>
  <c r="AS496" i="9"/>
  <c r="AR496" i="9"/>
  <c r="AT964" i="9"/>
  <c r="AS964" i="9"/>
  <c r="AR964" i="9"/>
  <c r="AS269" i="9"/>
  <c r="AS461" i="9"/>
  <c r="AS653" i="9"/>
  <c r="AS833" i="9"/>
  <c r="AT27" i="9"/>
  <c r="AS338" i="9"/>
  <c r="AR497" i="9"/>
  <c r="AR749" i="9"/>
  <c r="AR63" i="9"/>
  <c r="AS470" i="9"/>
  <c r="AS146" i="9"/>
  <c r="AS722" i="9"/>
  <c r="AS290" i="9"/>
  <c r="AS830" i="9"/>
  <c r="AR960" i="9"/>
  <c r="AT1022" i="9"/>
  <c r="AT614" i="9"/>
  <c r="AT746" i="9"/>
  <c r="AT14" i="9"/>
  <c r="H1" i="15" a="1"/>
  <c r="H1" i="15" s="1"/>
  <c r="G1" i="15" a="1"/>
  <c r="G1" i="15" s="1"/>
  <c r="W398" i="25"/>
  <c r="X398" i="25"/>
  <c r="W374" i="25"/>
  <c r="X374" i="25"/>
  <c r="W350" i="25"/>
  <c r="X350" i="25"/>
  <c r="W326" i="25"/>
  <c r="X326" i="25"/>
  <c r="W290" i="25"/>
  <c r="X290" i="25"/>
  <c r="W254" i="25"/>
  <c r="X254" i="25"/>
  <c r="W218" i="25"/>
  <c r="X218" i="25"/>
  <c r="V182" i="25"/>
  <c r="W182" i="25"/>
  <c r="X182" i="25"/>
  <c r="V134" i="25"/>
  <c r="W134" i="25"/>
  <c r="X134" i="25"/>
  <c r="V98" i="25"/>
  <c r="W98" i="25"/>
  <c r="X98" i="25"/>
  <c r="V62" i="25"/>
  <c r="W62" i="25"/>
  <c r="X62" i="25"/>
  <c r="V26" i="25"/>
  <c r="W26" i="25"/>
  <c r="X26" i="25"/>
  <c r="X199" i="25"/>
  <c r="W385" i="25"/>
  <c r="X385" i="25"/>
  <c r="W361" i="25"/>
  <c r="X361" i="25"/>
  <c r="W337" i="25"/>
  <c r="X337" i="25"/>
  <c r="W301" i="25"/>
  <c r="X301" i="25"/>
  <c r="W277" i="25"/>
  <c r="X277" i="25"/>
  <c r="W241" i="25"/>
  <c r="X241" i="25"/>
  <c r="W217" i="25"/>
  <c r="X217" i="25"/>
  <c r="V181" i="25"/>
  <c r="W181" i="25"/>
  <c r="X181" i="25"/>
  <c r="V157" i="25"/>
  <c r="W157" i="25"/>
  <c r="X157" i="25"/>
  <c r="V121" i="25"/>
  <c r="W121" i="25"/>
  <c r="X121" i="25"/>
  <c r="V97" i="25"/>
  <c r="W97" i="25"/>
  <c r="X97" i="25"/>
  <c r="V61" i="25"/>
  <c r="W61" i="25"/>
  <c r="X61" i="25"/>
  <c r="V25" i="25"/>
  <c r="W25" i="25"/>
  <c r="X25" i="25"/>
  <c r="V380" i="25"/>
  <c r="V272" i="25"/>
  <c r="V236" i="25"/>
  <c r="V212" i="25"/>
  <c r="W384" i="25"/>
  <c r="X384" i="25"/>
  <c r="W336" i="25"/>
  <c r="X336" i="25"/>
  <c r="W288" i="25"/>
  <c r="X288" i="25"/>
  <c r="W216" i="25"/>
  <c r="X216" i="25"/>
  <c r="V84" i="25"/>
  <c r="W84" i="25"/>
  <c r="X84" i="25"/>
  <c r="V48" i="25"/>
  <c r="W48" i="25"/>
  <c r="X48" i="25"/>
  <c r="V24" i="25"/>
  <c r="W24" i="25"/>
  <c r="X24" i="25"/>
  <c r="V12" i="25"/>
  <c r="W12" i="25"/>
  <c r="X12" i="25"/>
  <c r="V283" i="25"/>
  <c r="W345" i="25"/>
  <c r="W407" i="25"/>
  <c r="X407" i="25"/>
  <c r="W395" i="25"/>
  <c r="X395" i="25"/>
  <c r="W383" i="25"/>
  <c r="X383" i="25"/>
  <c r="W371" i="25"/>
  <c r="X371" i="25"/>
  <c r="W359" i="25"/>
  <c r="X359" i="25"/>
  <c r="W347" i="25"/>
  <c r="X347" i="25"/>
  <c r="W335" i="25"/>
  <c r="X335" i="25"/>
  <c r="W323" i="25"/>
  <c r="X323" i="25"/>
  <c r="W311" i="25"/>
  <c r="X311" i="25"/>
  <c r="W299" i="25"/>
  <c r="X299" i="25"/>
  <c r="W287" i="25"/>
  <c r="X287" i="25"/>
  <c r="W275" i="25"/>
  <c r="X275" i="25"/>
  <c r="W263" i="25"/>
  <c r="X263" i="25"/>
  <c r="W251" i="25"/>
  <c r="X251" i="25"/>
  <c r="W239" i="25"/>
  <c r="X239" i="25"/>
  <c r="W227" i="25"/>
  <c r="X227" i="25"/>
  <c r="W215" i="25"/>
  <c r="X215" i="25"/>
  <c r="W203" i="25"/>
  <c r="X203" i="25"/>
  <c r="W191" i="25"/>
  <c r="X191" i="25"/>
  <c r="W179" i="25"/>
  <c r="X179" i="25"/>
  <c r="W167" i="25"/>
  <c r="X167" i="25"/>
  <c r="W155" i="25"/>
  <c r="X155" i="25"/>
  <c r="W143" i="25"/>
  <c r="X143" i="25"/>
  <c r="W131" i="25"/>
  <c r="X131" i="25"/>
  <c r="W119" i="25"/>
  <c r="X119" i="25"/>
  <c r="W107" i="25"/>
  <c r="X107" i="25"/>
  <c r="W95" i="25"/>
  <c r="X95" i="25"/>
  <c r="W83" i="25"/>
  <c r="X83" i="25"/>
  <c r="W71" i="25"/>
  <c r="X71" i="25"/>
  <c r="W59" i="25"/>
  <c r="X59" i="25"/>
  <c r="W47" i="25"/>
  <c r="X47" i="25"/>
  <c r="W35" i="25"/>
  <c r="X35" i="25"/>
  <c r="W23" i="25"/>
  <c r="X23" i="25"/>
  <c r="W11" i="25"/>
  <c r="X11" i="25"/>
  <c r="U404" i="25"/>
  <c r="V71" i="25"/>
  <c r="W338" i="25"/>
  <c r="X338" i="25"/>
  <c r="W302" i="25"/>
  <c r="X302" i="25"/>
  <c r="W266" i="25"/>
  <c r="X266" i="25"/>
  <c r="W230" i="25"/>
  <c r="X230" i="25"/>
  <c r="W194" i="25"/>
  <c r="X194" i="25"/>
  <c r="V158" i="25"/>
  <c r="W158" i="25"/>
  <c r="X158" i="25"/>
  <c r="V122" i="25"/>
  <c r="W122" i="25"/>
  <c r="X122" i="25"/>
  <c r="V86" i="25"/>
  <c r="W86" i="25"/>
  <c r="X86" i="25"/>
  <c r="V50" i="25"/>
  <c r="W50" i="25"/>
  <c r="X50" i="25"/>
  <c r="V333" i="25"/>
  <c r="V285" i="25"/>
  <c r="V249" i="25"/>
  <c r="W225" i="25"/>
  <c r="W81" i="25"/>
  <c r="X55" i="25"/>
  <c r="W325" i="25"/>
  <c r="X325" i="25"/>
  <c r="W253" i="25"/>
  <c r="X253" i="25"/>
  <c r="W193" i="25"/>
  <c r="X193" i="25"/>
  <c r="V133" i="25"/>
  <c r="W133" i="25"/>
  <c r="X133" i="25"/>
  <c r="V73" i="25"/>
  <c r="W73" i="25"/>
  <c r="X73" i="25"/>
  <c r="U406" i="25"/>
  <c r="V332" i="25"/>
  <c r="V296" i="25"/>
  <c r="V95" i="25"/>
  <c r="W213" i="25"/>
  <c r="X187" i="25"/>
  <c r="W372" i="25"/>
  <c r="X372" i="25"/>
  <c r="W324" i="25"/>
  <c r="X324" i="25"/>
  <c r="W300" i="25"/>
  <c r="X300" i="25"/>
  <c r="W264" i="25"/>
  <c r="X264" i="25"/>
  <c r="W240" i="25"/>
  <c r="X240" i="25"/>
  <c r="V204" i="25"/>
  <c r="W204" i="25"/>
  <c r="X204" i="25"/>
  <c r="V180" i="25"/>
  <c r="W180" i="25"/>
  <c r="X180" i="25"/>
  <c r="V156" i="25"/>
  <c r="W156" i="25"/>
  <c r="X156" i="25"/>
  <c r="V132" i="25"/>
  <c r="W132" i="25"/>
  <c r="X132" i="25"/>
  <c r="V108" i="25"/>
  <c r="W108" i="25"/>
  <c r="X108" i="25"/>
  <c r="V72" i="25"/>
  <c r="W72" i="25"/>
  <c r="X72" i="25"/>
  <c r="V36" i="25"/>
  <c r="W36" i="25"/>
  <c r="X36" i="25"/>
  <c r="V367" i="25"/>
  <c r="V331" i="25"/>
  <c r="V295" i="25"/>
  <c r="V235" i="25"/>
  <c r="V83" i="25"/>
  <c r="X31" i="25"/>
  <c r="W406" i="25"/>
  <c r="X406" i="25"/>
  <c r="W394" i="25"/>
  <c r="X394" i="25"/>
  <c r="W382" i="25"/>
  <c r="X382" i="25"/>
  <c r="W370" i="25"/>
  <c r="X370" i="25"/>
  <c r="W358" i="25"/>
  <c r="X358" i="25"/>
  <c r="W346" i="25"/>
  <c r="X346" i="25"/>
  <c r="W334" i="25"/>
  <c r="X334" i="25"/>
  <c r="W322" i="25"/>
  <c r="X322" i="25"/>
  <c r="W310" i="25"/>
  <c r="X310" i="25"/>
  <c r="W298" i="25"/>
  <c r="X298" i="25"/>
  <c r="W286" i="25"/>
  <c r="X286" i="25"/>
  <c r="W274" i="25"/>
  <c r="X274" i="25"/>
  <c r="W262" i="25"/>
  <c r="X262" i="25"/>
  <c r="W250" i="25"/>
  <c r="X250" i="25"/>
  <c r="W238" i="25"/>
  <c r="X238" i="25"/>
  <c r="W226" i="25"/>
  <c r="X226" i="25"/>
  <c r="W214" i="25"/>
  <c r="X214" i="25"/>
  <c r="W202" i="25"/>
  <c r="X202" i="25"/>
  <c r="W190" i="25"/>
  <c r="X190" i="25"/>
  <c r="W178" i="25"/>
  <c r="X178" i="25"/>
  <c r="V178" i="25"/>
  <c r="W166" i="25"/>
  <c r="X166" i="25"/>
  <c r="V166" i="25"/>
  <c r="W154" i="25"/>
  <c r="X154" i="25"/>
  <c r="V154" i="25"/>
  <c r="W142" i="25"/>
  <c r="X142" i="25"/>
  <c r="V142" i="25"/>
  <c r="W130" i="25"/>
  <c r="X130" i="25"/>
  <c r="V130" i="25"/>
  <c r="W118" i="25"/>
  <c r="X118" i="25"/>
  <c r="V118" i="25"/>
  <c r="W106" i="25"/>
  <c r="X106" i="25"/>
  <c r="V106" i="25"/>
  <c r="W94" i="25"/>
  <c r="X94" i="25"/>
  <c r="V94" i="25"/>
  <c r="W82" i="25"/>
  <c r="X82" i="25"/>
  <c r="V82" i="25"/>
  <c r="W70" i="25"/>
  <c r="X70" i="25"/>
  <c r="V70" i="25"/>
  <c r="W58" i="25"/>
  <c r="X58" i="25"/>
  <c r="V58" i="25"/>
  <c r="W46" i="25"/>
  <c r="X46" i="25"/>
  <c r="V46" i="25"/>
  <c r="W34" i="25"/>
  <c r="X34" i="25"/>
  <c r="V34" i="25"/>
  <c r="W22" i="25"/>
  <c r="X22" i="25"/>
  <c r="V22" i="25"/>
  <c r="W10" i="25"/>
  <c r="X10" i="25"/>
  <c r="V10" i="25"/>
  <c r="V191" i="25"/>
  <c r="V59" i="25"/>
  <c r="W386" i="25"/>
  <c r="X386" i="25"/>
  <c r="W362" i="25"/>
  <c r="X362" i="25"/>
  <c r="W314" i="25"/>
  <c r="X314" i="25"/>
  <c r="W278" i="25"/>
  <c r="X278" i="25"/>
  <c r="W242" i="25"/>
  <c r="X242" i="25"/>
  <c r="W206" i="25"/>
  <c r="X206" i="25"/>
  <c r="V170" i="25"/>
  <c r="W170" i="25"/>
  <c r="X170" i="25"/>
  <c r="V146" i="25"/>
  <c r="W146" i="25"/>
  <c r="X146" i="25"/>
  <c r="V110" i="25"/>
  <c r="W110" i="25"/>
  <c r="X110" i="25"/>
  <c r="V74" i="25"/>
  <c r="W74" i="25"/>
  <c r="X74" i="25"/>
  <c r="V38" i="25"/>
  <c r="W38" i="25"/>
  <c r="X38" i="25"/>
  <c r="V14" i="25"/>
  <c r="W14" i="25"/>
  <c r="X14" i="25"/>
  <c r="V357" i="25"/>
  <c r="V297" i="25"/>
  <c r="V261" i="25"/>
  <c r="V213" i="25"/>
  <c r="W369" i="25"/>
  <c r="X343" i="25"/>
  <c r="W397" i="25"/>
  <c r="X397" i="25"/>
  <c r="W373" i="25"/>
  <c r="X373" i="25"/>
  <c r="W349" i="25"/>
  <c r="X349" i="25"/>
  <c r="W313" i="25"/>
  <c r="X313" i="25"/>
  <c r="W289" i="25"/>
  <c r="X289" i="25"/>
  <c r="W265" i="25"/>
  <c r="X265" i="25"/>
  <c r="W229" i="25"/>
  <c r="X229" i="25"/>
  <c r="W205" i="25"/>
  <c r="X205" i="25"/>
  <c r="V169" i="25"/>
  <c r="W169" i="25"/>
  <c r="X169" i="25"/>
  <c r="V145" i="25"/>
  <c r="W145" i="25"/>
  <c r="X145" i="25"/>
  <c r="V109" i="25"/>
  <c r="W109" i="25"/>
  <c r="X109" i="25"/>
  <c r="V85" i="25"/>
  <c r="W85" i="25"/>
  <c r="X85" i="25"/>
  <c r="V49" i="25"/>
  <c r="W49" i="25"/>
  <c r="X49" i="25"/>
  <c r="V13" i="25"/>
  <c r="W13" i="25"/>
  <c r="X13" i="25"/>
  <c r="V392" i="25"/>
  <c r="V356" i="25"/>
  <c r="V320" i="25"/>
  <c r="V284" i="25"/>
  <c r="V248" i="25"/>
  <c r="V196" i="25"/>
  <c r="W357" i="25"/>
  <c r="X331" i="25"/>
  <c r="W396" i="25"/>
  <c r="X396" i="25"/>
  <c r="W360" i="25"/>
  <c r="X360" i="25"/>
  <c r="W312" i="25"/>
  <c r="X312" i="25"/>
  <c r="W252" i="25"/>
  <c r="X252" i="25"/>
  <c r="W228" i="25"/>
  <c r="X228" i="25"/>
  <c r="V192" i="25"/>
  <c r="W192" i="25"/>
  <c r="X192" i="25"/>
  <c r="V168" i="25"/>
  <c r="W168" i="25"/>
  <c r="X168" i="25"/>
  <c r="V144" i="25"/>
  <c r="W144" i="25"/>
  <c r="X144" i="25"/>
  <c r="V120" i="25"/>
  <c r="W120" i="25"/>
  <c r="X120" i="25"/>
  <c r="V96" i="25"/>
  <c r="W96" i="25"/>
  <c r="X96" i="25"/>
  <c r="V60" i="25"/>
  <c r="W60" i="25"/>
  <c r="X60" i="25"/>
  <c r="T405" i="25"/>
  <c r="V379" i="25"/>
  <c r="V307" i="25"/>
  <c r="V194" i="25"/>
  <c r="W201" i="25"/>
  <c r="X319" i="25"/>
  <c r="X393" i="25"/>
  <c r="X381" i="25"/>
  <c r="X369" i="25"/>
  <c r="X357" i="25"/>
  <c r="X345" i="25"/>
  <c r="X333" i="25"/>
  <c r="X321" i="25"/>
  <c r="X309" i="25"/>
  <c r="X297" i="25"/>
  <c r="X285" i="25"/>
  <c r="X273" i="25"/>
  <c r="X261" i="25"/>
  <c r="X249" i="25"/>
  <c r="X237" i="25"/>
  <c r="X225" i="25"/>
  <c r="X213" i="25"/>
  <c r="X201" i="25"/>
  <c r="V201" i="25"/>
  <c r="X189" i="25"/>
  <c r="V189" i="25"/>
  <c r="X177" i="25"/>
  <c r="V177" i="25"/>
  <c r="X165" i="25"/>
  <c r="V165" i="25"/>
  <c r="X153" i="25"/>
  <c r="V153" i="25"/>
  <c r="X141" i="25"/>
  <c r="V141" i="25"/>
  <c r="X129" i="25"/>
  <c r="V129" i="25"/>
  <c r="X117" i="25"/>
  <c r="V117" i="25"/>
  <c r="X105" i="25"/>
  <c r="V105" i="25"/>
  <c r="X93" i="25"/>
  <c r="V93" i="25"/>
  <c r="X81" i="25"/>
  <c r="V81" i="25"/>
  <c r="X69" i="25"/>
  <c r="V69" i="25"/>
  <c r="X57" i="25"/>
  <c r="V57" i="25"/>
  <c r="X45" i="25"/>
  <c r="V45" i="25"/>
  <c r="X33" i="25"/>
  <c r="V33" i="25"/>
  <c r="X21" i="25"/>
  <c r="V21" i="25"/>
  <c r="X9" i="25"/>
  <c r="V9" i="25"/>
  <c r="S402" i="25"/>
  <c r="V190" i="25"/>
  <c r="V47" i="25"/>
  <c r="W309" i="25"/>
  <c r="W165" i="25"/>
  <c r="W21" i="25"/>
  <c r="W348" i="25"/>
  <c r="X348" i="25"/>
  <c r="V211" i="25"/>
  <c r="X404" i="25"/>
  <c r="W404" i="25"/>
  <c r="X392" i="25"/>
  <c r="W392" i="25"/>
  <c r="X380" i="25"/>
  <c r="W380" i="25"/>
  <c r="X368" i="25"/>
  <c r="W368" i="25"/>
  <c r="X356" i="25"/>
  <c r="W356" i="25"/>
  <c r="X344" i="25"/>
  <c r="W344" i="25"/>
  <c r="X332" i="25"/>
  <c r="W332" i="25"/>
  <c r="X320" i="25"/>
  <c r="W320" i="25"/>
  <c r="X308" i="25"/>
  <c r="W308" i="25"/>
  <c r="X296" i="25"/>
  <c r="W296" i="25"/>
  <c r="X284" i="25"/>
  <c r="W284" i="25"/>
  <c r="X272" i="25"/>
  <c r="W272" i="25"/>
  <c r="X260" i="25"/>
  <c r="W260" i="25"/>
  <c r="X248" i="25"/>
  <c r="W248" i="25"/>
  <c r="X236" i="25"/>
  <c r="W236" i="25"/>
  <c r="X224" i="25"/>
  <c r="W224" i="25"/>
  <c r="X212" i="25"/>
  <c r="W212" i="25"/>
  <c r="X200" i="25"/>
  <c r="V200" i="25"/>
  <c r="W200" i="25"/>
  <c r="X188" i="25"/>
  <c r="V188" i="25"/>
  <c r="W188" i="25"/>
  <c r="X176" i="25"/>
  <c r="V176" i="25"/>
  <c r="W176" i="25"/>
  <c r="X164" i="25"/>
  <c r="V164" i="25"/>
  <c r="W164" i="25"/>
  <c r="X152" i="25"/>
  <c r="V152" i="25"/>
  <c r="W152" i="25"/>
  <c r="X140" i="25"/>
  <c r="V140" i="25"/>
  <c r="W140" i="25"/>
  <c r="X128" i="25"/>
  <c r="V128" i="25"/>
  <c r="W128" i="25"/>
  <c r="X116" i="25"/>
  <c r="V116" i="25"/>
  <c r="W116" i="25"/>
  <c r="X104" i="25"/>
  <c r="V104" i="25"/>
  <c r="W104" i="25"/>
  <c r="X92" i="25"/>
  <c r="V92" i="25"/>
  <c r="W92" i="25"/>
  <c r="X80" i="25"/>
  <c r="V80" i="25"/>
  <c r="W80" i="25"/>
  <c r="X68" i="25"/>
  <c r="V68" i="25"/>
  <c r="W68" i="25"/>
  <c r="X56" i="25"/>
  <c r="V56" i="25"/>
  <c r="W56" i="25"/>
  <c r="X44" i="25"/>
  <c r="V44" i="25"/>
  <c r="W44" i="25"/>
  <c r="X32" i="25"/>
  <c r="V32" i="25"/>
  <c r="W32" i="25"/>
  <c r="X20" i="25"/>
  <c r="V20" i="25"/>
  <c r="W20" i="25"/>
  <c r="X8" i="25"/>
  <c r="V8" i="25"/>
  <c r="W8" i="25"/>
  <c r="D20" i="1"/>
  <c r="G20" i="1" s="1"/>
  <c r="H20" i="1" s="1"/>
  <c r="V179" i="25"/>
  <c r="V35" i="25"/>
  <c r="W297" i="25"/>
  <c r="W153" i="25"/>
  <c r="W9" i="25"/>
  <c r="V37" i="25"/>
  <c r="W37" i="25"/>
  <c r="X37" i="25"/>
  <c r="W379" i="25"/>
  <c r="W331" i="25"/>
  <c r="W307" i="25"/>
  <c r="W295" i="25"/>
  <c r="W283" i="25"/>
  <c r="W271" i="25"/>
  <c r="W259" i="25"/>
  <c r="W247" i="25"/>
  <c r="V187" i="25"/>
  <c r="W187" i="25"/>
  <c r="V175" i="25"/>
  <c r="W175" i="25"/>
  <c r="V163" i="25"/>
  <c r="W163" i="25"/>
  <c r="V151" i="25"/>
  <c r="W151" i="25"/>
  <c r="V139" i="25"/>
  <c r="W139" i="25"/>
  <c r="V127" i="25"/>
  <c r="W127" i="25"/>
  <c r="V115" i="25"/>
  <c r="W115" i="25"/>
  <c r="V103" i="25"/>
  <c r="W103" i="25"/>
  <c r="V91" i="25"/>
  <c r="W91" i="25"/>
  <c r="V79" i="25"/>
  <c r="W79" i="25"/>
  <c r="V67" i="25"/>
  <c r="W67" i="25"/>
  <c r="V55" i="25"/>
  <c r="W55" i="25"/>
  <c r="V43" i="25"/>
  <c r="W43" i="25"/>
  <c r="V31" i="25"/>
  <c r="W31" i="25"/>
  <c r="V19" i="25"/>
  <c r="W19" i="25"/>
  <c r="V7" i="25"/>
  <c r="W7" i="25"/>
  <c r="T400" i="25"/>
  <c r="S388" i="25"/>
  <c r="S376" i="25"/>
  <c r="S364" i="25"/>
  <c r="S352" i="25"/>
  <c r="T340" i="25"/>
  <c r="S328" i="25"/>
  <c r="T316" i="25"/>
  <c r="S304" i="25"/>
  <c r="S292" i="25"/>
  <c r="T280" i="25"/>
  <c r="S268" i="25"/>
  <c r="T256" i="25"/>
  <c r="S244" i="25"/>
  <c r="S232" i="25"/>
  <c r="S220" i="25"/>
  <c r="S208" i="25"/>
  <c r="T196" i="25"/>
  <c r="S184" i="25"/>
  <c r="T172" i="25"/>
  <c r="S160" i="25"/>
  <c r="S148" i="25"/>
  <c r="T136" i="25"/>
  <c r="S124" i="25"/>
  <c r="T112" i="25"/>
  <c r="T100" i="25"/>
  <c r="S88" i="25"/>
  <c r="S76" i="25"/>
  <c r="S64" i="25"/>
  <c r="T52" i="25"/>
  <c r="S40" i="25"/>
  <c r="T28" i="25"/>
  <c r="U16" i="25"/>
  <c r="T4" i="25"/>
  <c r="E20" i="1"/>
  <c r="V398" i="25"/>
  <c r="V386" i="25"/>
  <c r="V374" i="25"/>
  <c r="V362" i="25"/>
  <c r="V350" i="25"/>
  <c r="V338" i="25"/>
  <c r="V326" i="25"/>
  <c r="V314" i="25"/>
  <c r="V302" i="25"/>
  <c r="V290" i="25"/>
  <c r="V278" i="25"/>
  <c r="V266" i="25"/>
  <c r="V254" i="25"/>
  <c r="V242" i="25"/>
  <c r="V230" i="25"/>
  <c r="V218" i="25"/>
  <c r="V206" i="25"/>
  <c r="V167" i="25"/>
  <c r="V23" i="25"/>
  <c r="W285" i="25"/>
  <c r="W141" i="25"/>
  <c r="X403" i="25"/>
  <c r="X259" i="25"/>
  <c r="X115" i="25"/>
  <c r="W276" i="25"/>
  <c r="X276" i="25"/>
  <c r="W343" i="25"/>
  <c r="W211" i="25"/>
  <c r="W402" i="25"/>
  <c r="X402" i="25"/>
  <c r="W390" i="25"/>
  <c r="X390" i="25"/>
  <c r="W378" i="25"/>
  <c r="X378" i="25"/>
  <c r="W366" i="25"/>
  <c r="X366" i="25"/>
  <c r="W354" i="25"/>
  <c r="X354" i="25"/>
  <c r="W342" i="25"/>
  <c r="X342" i="25"/>
  <c r="W330" i="25"/>
  <c r="X330" i="25"/>
  <c r="W318" i="25"/>
  <c r="X318" i="25"/>
  <c r="W306" i="25"/>
  <c r="X306" i="25"/>
  <c r="W294" i="25"/>
  <c r="X294" i="25"/>
  <c r="W282" i="25"/>
  <c r="X282" i="25"/>
  <c r="W270" i="25"/>
  <c r="X270" i="25"/>
  <c r="W258" i="25"/>
  <c r="X258" i="25"/>
  <c r="W246" i="25"/>
  <c r="X246" i="25"/>
  <c r="W234" i="25"/>
  <c r="X234" i="25"/>
  <c r="W222" i="25"/>
  <c r="X222" i="25"/>
  <c r="W210" i="25"/>
  <c r="X210" i="25"/>
  <c r="W198" i="25"/>
  <c r="X198" i="25"/>
  <c r="V186" i="25"/>
  <c r="W186" i="25"/>
  <c r="X186" i="25"/>
  <c r="V174" i="25"/>
  <c r="W174" i="25"/>
  <c r="X174" i="25"/>
  <c r="V162" i="25"/>
  <c r="W162" i="25"/>
  <c r="X162" i="25"/>
  <c r="V150" i="25"/>
  <c r="W150" i="25"/>
  <c r="X150" i="25"/>
  <c r="V138" i="25"/>
  <c r="W138" i="25"/>
  <c r="X138" i="25"/>
  <c r="V126" i="25"/>
  <c r="W126" i="25"/>
  <c r="X126" i="25"/>
  <c r="V114" i="25"/>
  <c r="W114" i="25"/>
  <c r="X114" i="25"/>
  <c r="V102" i="25"/>
  <c r="W102" i="25"/>
  <c r="X102" i="25"/>
  <c r="V90" i="25"/>
  <c r="W90" i="25"/>
  <c r="X90" i="25"/>
  <c r="V78" i="25"/>
  <c r="W78" i="25"/>
  <c r="X78" i="25"/>
  <c r="V66" i="25"/>
  <c r="W66" i="25"/>
  <c r="X66" i="25"/>
  <c r="V54" i="25"/>
  <c r="W54" i="25"/>
  <c r="X54" i="25"/>
  <c r="V42" i="25"/>
  <c r="W42" i="25"/>
  <c r="X42" i="25"/>
  <c r="V30" i="25"/>
  <c r="W30" i="25"/>
  <c r="X30" i="25"/>
  <c r="V18" i="25"/>
  <c r="W18" i="25"/>
  <c r="X18" i="25"/>
  <c r="V6" i="25"/>
  <c r="W6" i="25"/>
  <c r="X6" i="25"/>
  <c r="S112" i="25"/>
  <c r="V397" i="25"/>
  <c r="V385" i="25"/>
  <c r="V373" i="25"/>
  <c r="V361" i="25"/>
  <c r="V349" i="25"/>
  <c r="V337" i="25"/>
  <c r="V325" i="25"/>
  <c r="V313" i="25"/>
  <c r="V301" i="25"/>
  <c r="V289" i="25"/>
  <c r="V277" i="25"/>
  <c r="V265" i="25"/>
  <c r="V253" i="25"/>
  <c r="V241" i="25"/>
  <c r="V229" i="25"/>
  <c r="V217" i="25"/>
  <c r="V205" i="25"/>
  <c r="V155" i="25"/>
  <c r="V11" i="25"/>
  <c r="W273" i="25"/>
  <c r="W129" i="25"/>
  <c r="X247" i="25"/>
  <c r="X103" i="25"/>
  <c r="V247" i="25"/>
  <c r="W391" i="25"/>
  <c r="W319" i="25"/>
  <c r="V199" i="25"/>
  <c r="W199" i="25"/>
  <c r="W401" i="25"/>
  <c r="X401" i="25"/>
  <c r="W389" i="25"/>
  <c r="X389" i="25"/>
  <c r="W377" i="25"/>
  <c r="X377" i="25"/>
  <c r="W365" i="25"/>
  <c r="X365" i="25"/>
  <c r="W353" i="25"/>
  <c r="X353" i="25"/>
  <c r="W341" i="25"/>
  <c r="X341" i="25"/>
  <c r="W329" i="25"/>
  <c r="X329" i="25"/>
  <c r="W317" i="25"/>
  <c r="X317" i="25"/>
  <c r="W305" i="25"/>
  <c r="X305" i="25"/>
  <c r="W293" i="25"/>
  <c r="X293" i="25"/>
  <c r="W281" i="25"/>
  <c r="X281" i="25"/>
  <c r="W269" i="25"/>
  <c r="X269" i="25"/>
  <c r="W257" i="25"/>
  <c r="X257" i="25"/>
  <c r="W245" i="25"/>
  <c r="X245" i="25"/>
  <c r="W233" i="25"/>
  <c r="X233" i="25"/>
  <c r="W221" i="25"/>
  <c r="X221" i="25"/>
  <c r="W209" i="25"/>
  <c r="X209" i="25"/>
  <c r="W197" i="25"/>
  <c r="X197" i="25"/>
  <c r="V185" i="25"/>
  <c r="W185" i="25"/>
  <c r="X185" i="25"/>
  <c r="V173" i="25"/>
  <c r="W173" i="25"/>
  <c r="X173" i="25"/>
  <c r="V161" i="25"/>
  <c r="W161" i="25"/>
  <c r="X161" i="25"/>
  <c r="V149" i="25"/>
  <c r="W149" i="25"/>
  <c r="X149" i="25"/>
  <c r="V137" i="25"/>
  <c r="W137" i="25"/>
  <c r="X137" i="25"/>
  <c r="V125" i="25"/>
  <c r="W125" i="25"/>
  <c r="X125" i="25"/>
  <c r="V113" i="25"/>
  <c r="W113" i="25"/>
  <c r="X113" i="25"/>
  <c r="V101" i="25"/>
  <c r="W101" i="25"/>
  <c r="X101" i="25"/>
  <c r="V89" i="25"/>
  <c r="W89" i="25"/>
  <c r="X89" i="25"/>
  <c r="V77" i="25"/>
  <c r="W77" i="25"/>
  <c r="X77" i="25"/>
  <c r="V65" i="25"/>
  <c r="W65" i="25"/>
  <c r="X65" i="25"/>
  <c r="V53" i="25"/>
  <c r="W53" i="25"/>
  <c r="X53" i="25"/>
  <c r="V41" i="25"/>
  <c r="W41" i="25"/>
  <c r="X41" i="25"/>
  <c r="V29" i="25"/>
  <c r="W29" i="25"/>
  <c r="X29" i="25"/>
  <c r="V17" i="25"/>
  <c r="W17" i="25"/>
  <c r="X17" i="25"/>
  <c r="V5" i="25"/>
  <c r="W5" i="25"/>
  <c r="X5" i="25"/>
  <c r="S317" i="25"/>
  <c r="S296" i="25"/>
  <c r="V396" i="25"/>
  <c r="V384" i="25"/>
  <c r="V372" i="25"/>
  <c r="V360" i="25"/>
  <c r="V348" i="25"/>
  <c r="V336" i="25"/>
  <c r="V324" i="25"/>
  <c r="V312" i="25"/>
  <c r="V300" i="25"/>
  <c r="V288" i="25"/>
  <c r="V276" i="25"/>
  <c r="V264" i="25"/>
  <c r="V252" i="25"/>
  <c r="V240" i="25"/>
  <c r="V228" i="25"/>
  <c r="V216" i="25"/>
  <c r="V203" i="25"/>
  <c r="V143" i="25"/>
  <c r="W405" i="25"/>
  <c r="W261" i="25"/>
  <c r="W117" i="25"/>
  <c r="X379" i="25"/>
  <c r="X91" i="25"/>
  <c r="V259" i="25"/>
  <c r="W355" i="25"/>
  <c r="W223" i="25"/>
  <c r="W400" i="25"/>
  <c r="X400" i="25"/>
  <c r="W388" i="25"/>
  <c r="X388" i="25"/>
  <c r="W376" i="25"/>
  <c r="X376" i="25"/>
  <c r="W364" i="25"/>
  <c r="X364" i="25"/>
  <c r="W352" i="25"/>
  <c r="X352" i="25"/>
  <c r="W340" i="25"/>
  <c r="X340" i="25"/>
  <c r="W328" i="25"/>
  <c r="X328" i="25"/>
  <c r="W316" i="25"/>
  <c r="X316" i="25"/>
  <c r="W304" i="25"/>
  <c r="X304" i="25"/>
  <c r="W292" i="25"/>
  <c r="X292" i="25"/>
  <c r="W280" i="25"/>
  <c r="X280" i="25"/>
  <c r="W268" i="25"/>
  <c r="X268" i="25"/>
  <c r="W256" i="25"/>
  <c r="X256" i="25"/>
  <c r="W244" i="25"/>
  <c r="X244" i="25"/>
  <c r="W232" i="25"/>
  <c r="X232" i="25"/>
  <c r="W220" i="25"/>
  <c r="X220" i="25"/>
  <c r="W208" i="25"/>
  <c r="X208" i="25"/>
  <c r="W196" i="25"/>
  <c r="X196" i="25"/>
  <c r="V184" i="25"/>
  <c r="W184" i="25"/>
  <c r="X184" i="25"/>
  <c r="V172" i="25"/>
  <c r="W172" i="25"/>
  <c r="X172" i="25"/>
  <c r="V160" i="25"/>
  <c r="W160" i="25"/>
  <c r="X160" i="25"/>
  <c r="V148" i="25"/>
  <c r="W148" i="25"/>
  <c r="X148" i="25"/>
  <c r="V136" i="25"/>
  <c r="W136" i="25"/>
  <c r="X136" i="25"/>
  <c r="V124" i="25"/>
  <c r="W124" i="25"/>
  <c r="X124" i="25"/>
  <c r="V112" i="25"/>
  <c r="W112" i="25"/>
  <c r="X112" i="25"/>
  <c r="V100" i="25"/>
  <c r="W100" i="25"/>
  <c r="X100" i="25"/>
  <c r="V88" i="25"/>
  <c r="W88" i="25"/>
  <c r="X88" i="25"/>
  <c r="V76" i="25"/>
  <c r="W76" i="25"/>
  <c r="X76" i="25"/>
  <c r="V64" i="25"/>
  <c r="W64" i="25"/>
  <c r="X64" i="25"/>
  <c r="V52" i="25"/>
  <c r="W52" i="25"/>
  <c r="X52" i="25"/>
  <c r="V40" i="25"/>
  <c r="W40" i="25"/>
  <c r="X40" i="25"/>
  <c r="V28" i="25"/>
  <c r="W28" i="25"/>
  <c r="X28" i="25"/>
  <c r="V16" i="25"/>
  <c r="W16" i="25"/>
  <c r="X16" i="25"/>
  <c r="V4" i="25"/>
  <c r="W4" i="25"/>
  <c r="X4" i="25"/>
  <c r="V407" i="25"/>
  <c r="V395" i="25"/>
  <c r="V383" i="25"/>
  <c r="V371" i="25"/>
  <c r="V359" i="25"/>
  <c r="V347" i="25"/>
  <c r="V335" i="25"/>
  <c r="V323" i="25"/>
  <c r="V311" i="25"/>
  <c r="V299" i="25"/>
  <c r="V287" i="25"/>
  <c r="V275" i="25"/>
  <c r="V263" i="25"/>
  <c r="V251" i="25"/>
  <c r="V239" i="25"/>
  <c r="V227" i="25"/>
  <c r="V215" i="25"/>
  <c r="V202" i="25"/>
  <c r="V131" i="25"/>
  <c r="W393" i="25"/>
  <c r="W249" i="25"/>
  <c r="W105" i="25"/>
  <c r="X223" i="25"/>
  <c r="X79" i="25"/>
  <c r="W2" i="25"/>
  <c r="J20" i="1" s="1"/>
  <c r="X2" i="25"/>
  <c r="K20" i="1" s="1"/>
  <c r="W367" i="25"/>
  <c r="W235" i="25"/>
  <c r="W399" i="25"/>
  <c r="X399" i="25"/>
  <c r="W387" i="25"/>
  <c r="X387" i="25"/>
  <c r="W375" i="25"/>
  <c r="X375" i="25"/>
  <c r="W363" i="25"/>
  <c r="X363" i="25"/>
  <c r="W351" i="25"/>
  <c r="X351" i="25"/>
  <c r="W339" i="25"/>
  <c r="X339" i="25"/>
  <c r="W327" i="25"/>
  <c r="X327" i="25"/>
  <c r="W315" i="25"/>
  <c r="X315" i="25"/>
  <c r="W303" i="25"/>
  <c r="X303" i="25"/>
  <c r="W291" i="25"/>
  <c r="X291" i="25"/>
  <c r="W279" i="25"/>
  <c r="X279" i="25"/>
  <c r="W267" i="25"/>
  <c r="X267" i="25"/>
  <c r="W255" i="25"/>
  <c r="X255" i="25"/>
  <c r="W243" i="25"/>
  <c r="X243" i="25"/>
  <c r="W231" i="25"/>
  <c r="X231" i="25"/>
  <c r="W219" i="25"/>
  <c r="X219" i="25"/>
  <c r="W207" i="25"/>
  <c r="X207" i="25"/>
  <c r="V195" i="25"/>
  <c r="W195" i="25"/>
  <c r="X195" i="25"/>
  <c r="V183" i="25"/>
  <c r="W183" i="25"/>
  <c r="X183" i="25"/>
  <c r="V171" i="25"/>
  <c r="W171" i="25"/>
  <c r="X171" i="25"/>
  <c r="V159" i="25"/>
  <c r="W159" i="25"/>
  <c r="X159" i="25"/>
  <c r="V147" i="25"/>
  <c r="W147" i="25"/>
  <c r="X147" i="25"/>
  <c r="V135" i="25"/>
  <c r="W135" i="25"/>
  <c r="X135" i="25"/>
  <c r="V123" i="25"/>
  <c r="W123" i="25"/>
  <c r="X123" i="25"/>
  <c r="V111" i="25"/>
  <c r="W111" i="25"/>
  <c r="X111" i="25"/>
  <c r="V99" i="25"/>
  <c r="W99" i="25"/>
  <c r="X99" i="25"/>
  <c r="V87" i="25"/>
  <c r="W87" i="25"/>
  <c r="X87" i="25"/>
  <c r="V75" i="25"/>
  <c r="W75" i="25"/>
  <c r="X75" i="25"/>
  <c r="V63" i="25"/>
  <c r="W63" i="25"/>
  <c r="X63" i="25"/>
  <c r="V51" i="25"/>
  <c r="W51" i="25"/>
  <c r="X51" i="25"/>
  <c r="V39" i="25"/>
  <c r="W39" i="25"/>
  <c r="X39" i="25"/>
  <c r="V27" i="25"/>
  <c r="W27" i="25"/>
  <c r="X27" i="25"/>
  <c r="V15" i="25"/>
  <c r="W15" i="25"/>
  <c r="X15" i="25"/>
  <c r="V3" i="25"/>
  <c r="W3" i="25"/>
  <c r="X3" i="25"/>
  <c r="V406" i="25"/>
  <c r="V394" i="25"/>
  <c r="V382" i="25"/>
  <c r="V370" i="25"/>
  <c r="V358" i="25"/>
  <c r="V346" i="25"/>
  <c r="V334" i="25"/>
  <c r="V322" i="25"/>
  <c r="V310" i="25"/>
  <c r="V298" i="25"/>
  <c r="V286" i="25"/>
  <c r="V274" i="25"/>
  <c r="V262" i="25"/>
  <c r="V250" i="25"/>
  <c r="V238" i="25"/>
  <c r="V226" i="25"/>
  <c r="V214" i="25"/>
  <c r="V198" i="25"/>
  <c r="V119" i="25"/>
  <c r="W381" i="25"/>
  <c r="W237" i="25"/>
  <c r="W93" i="25"/>
  <c r="X355" i="25"/>
  <c r="X211" i="25"/>
  <c r="X67" i="25"/>
  <c r="S398" i="25"/>
  <c r="T398" i="25"/>
  <c r="U398" i="25"/>
  <c r="T394" i="25"/>
  <c r="S374" i="25"/>
  <c r="U374" i="25"/>
  <c r="S338" i="25"/>
  <c r="T338" i="25"/>
  <c r="U338" i="25"/>
  <c r="T332" i="25"/>
  <c r="S290" i="25"/>
  <c r="U290" i="25"/>
  <c r="T290" i="25"/>
  <c r="S254" i="25"/>
  <c r="T254" i="25"/>
  <c r="T249" i="25"/>
  <c r="U254" i="25"/>
  <c r="T250" i="25"/>
  <c r="S230" i="25"/>
  <c r="U230" i="25"/>
  <c r="T230" i="25"/>
  <c r="S194" i="25"/>
  <c r="T194" i="25"/>
  <c r="U194" i="25"/>
  <c r="T188" i="25"/>
  <c r="S182" i="25"/>
  <c r="S179" i="25"/>
  <c r="S180" i="25"/>
  <c r="T182" i="25"/>
  <c r="U182" i="25"/>
  <c r="S170" i="25"/>
  <c r="U170" i="25"/>
  <c r="T166" i="25"/>
  <c r="T170" i="25"/>
  <c r="S158" i="25"/>
  <c r="T158" i="25"/>
  <c r="U158" i="25"/>
  <c r="S154" i="25"/>
  <c r="S122" i="25"/>
  <c r="S118" i="25"/>
  <c r="S119" i="25"/>
  <c r="U122" i="25"/>
  <c r="T122" i="25"/>
  <c r="S110" i="25"/>
  <c r="T110" i="25"/>
  <c r="U110" i="25"/>
  <c r="T105" i="25"/>
  <c r="T106" i="25"/>
  <c r="S98" i="25"/>
  <c r="S96" i="25"/>
  <c r="U98" i="25"/>
  <c r="T98" i="25"/>
  <c r="S86" i="25"/>
  <c r="U86" i="25"/>
  <c r="S74" i="25"/>
  <c r="T74" i="25"/>
  <c r="U74" i="25"/>
  <c r="T64" i="25"/>
  <c r="S71" i="25"/>
  <c r="S62" i="25"/>
  <c r="S58" i="25"/>
  <c r="U62" i="25"/>
  <c r="T62" i="25"/>
  <c r="S50" i="25"/>
  <c r="T50" i="25"/>
  <c r="U50" i="25"/>
  <c r="T40" i="25"/>
  <c r="S38" i="25"/>
  <c r="S35" i="25"/>
  <c r="S36" i="25"/>
  <c r="T38" i="25"/>
  <c r="U38" i="25"/>
  <c r="S26" i="25"/>
  <c r="T26" i="25"/>
  <c r="U26" i="25"/>
  <c r="T16" i="25"/>
  <c r="AE2" i="25"/>
  <c r="J24" i="1" s="1"/>
  <c r="AF2" i="25"/>
  <c r="K24" i="1" s="1"/>
  <c r="AD2" i="25"/>
  <c r="I24" i="1" s="1"/>
  <c r="D24" i="1"/>
  <c r="G24" i="1" s="1"/>
  <c r="H24" i="1" s="1"/>
  <c r="AE396" i="25"/>
  <c r="AD396" i="25"/>
  <c r="AF396" i="25"/>
  <c r="AE384" i="25"/>
  <c r="AD384" i="25"/>
  <c r="AF384" i="25"/>
  <c r="AE372" i="25"/>
  <c r="AD372" i="25"/>
  <c r="AF372" i="25"/>
  <c r="AE360" i="25"/>
  <c r="AF360" i="25"/>
  <c r="AD360" i="25"/>
  <c r="AE348" i="25"/>
  <c r="AD348" i="25"/>
  <c r="AF348" i="25"/>
  <c r="AE336" i="25"/>
  <c r="AD336" i="25"/>
  <c r="AF336" i="25"/>
  <c r="AE324" i="25"/>
  <c r="AD324" i="25"/>
  <c r="AF324" i="25"/>
  <c r="AE312" i="25"/>
  <c r="AF312" i="25"/>
  <c r="AD312" i="25"/>
  <c r="AE300" i="25"/>
  <c r="AD300" i="25"/>
  <c r="AF300" i="25"/>
  <c r="AE288" i="25"/>
  <c r="AD288" i="25"/>
  <c r="AF288" i="25"/>
  <c r="AE276" i="25"/>
  <c r="AD276" i="25"/>
  <c r="AF276" i="25"/>
  <c r="AE264" i="25"/>
  <c r="AF264" i="25"/>
  <c r="AD264" i="25"/>
  <c r="AE252" i="25"/>
  <c r="AD252" i="25"/>
  <c r="AF252" i="25"/>
  <c r="AE240" i="25"/>
  <c r="AD240" i="25"/>
  <c r="AF240" i="25"/>
  <c r="AE228" i="25"/>
  <c r="AD228" i="25"/>
  <c r="AF228" i="25"/>
  <c r="AE216" i="25"/>
  <c r="AF216" i="25"/>
  <c r="AD216" i="25"/>
  <c r="AD213" i="25"/>
  <c r="AD204" i="25"/>
  <c r="AE204" i="25"/>
  <c r="AF204" i="25"/>
  <c r="AD168" i="25"/>
  <c r="AE168" i="25"/>
  <c r="AF168" i="25"/>
  <c r="AD156" i="25"/>
  <c r="AE156" i="25"/>
  <c r="AF156" i="25"/>
  <c r="AD132" i="25"/>
  <c r="AE132" i="25"/>
  <c r="AF132" i="25"/>
  <c r="AD120" i="25"/>
  <c r="AE120" i="25"/>
  <c r="AF120" i="25"/>
  <c r="AD108" i="25"/>
  <c r="AE108" i="25"/>
  <c r="AF108" i="25"/>
  <c r="AD96" i="25"/>
  <c r="AE96" i="25"/>
  <c r="AF96" i="25"/>
  <c r="AD84" i="25"/>
  <c r="AE84" i="25"/>
  <c r="AF84" i="25"/>
  <c r="AD72" i="25"/>
  <c r="AE72" i="25"/>
  <c r="AF72" i="25"/>
  <c r="AD60" i="25"/>
  <c r="AE60" i="25"/>
  <c r="AF60" i="25"/>
  <c r="AD48" i="25"/>
  <c r="AE48" i="25"/>
  <c r="AF48" i="25"/>
  <c r="AD36" i="25"/>
  <c r="AE36" i="25"/>
  <c r="AF36" i="25"/>
  <c r="AD24" i="25"/>
  <c r="AE24" i="25"/>
  <c r="AF24" i="25"/>
  <c r="AD12" i="25"/>
  <c r="AE12" i="25"/>
  <c r="AF12" i="25"/>
  <c r="AA406" i="25"/>
  <c r="AC406" i="25"/>
  <c r="AB406" i="25"/>
  <c r="AC394" i="25"/>
  <c r="AA394" i="25"/>
  <c r="AB394" i="25"/>
  <c r="AA382" i="25"/>
  <c r="AC382" i="25"/>
  <c r="AB382" i="25"/>
  <c r="AA370" i="25"/>
  <c r="AC370" i="25"/>
  <c r="AB370" i="25"/>
  <c r="AC358" i="25"/>
  <c r="AA358" i="25"/>
  <c r="AB358" i="25"/>
  <c r="AA349" i="25"/>
  <c r="AA346" i="25"/>
  <c r="AC346" i="25"/>
  <c r="AB346" i="25"/>
  <c r="AB344" i="25"/>
  <c r="AB345" i="25"/>
  <c r="AA334" i="25"/>
  <c r="AB334" i="25"/>
  <c r="AC334" i="25"/>
  <c r="AA322" i="25"/>
  <c r="AC322" i="25"/>
  <c r="AB322" i="25"/>
  <c r="AA310" i="25"/>
  <c r="AC310" i="25"/>
  <c r="AB310" i="25"/>
  <c r="AA298" i="25"/>
  <c r="AC298" i="25"/>
  <c r="AB298" i="25"/>
  <c r="AA286" i="25"/>
  <c r="AB286" i="25"/>
  <c r="AC286" i="25"/>
  <c r="AA274" i="25"/>
  <c r="AB274" i="25"/>
  <c r="AC274" i="25"/>
  <c r="AA266" i="25"/>
  <c r="AA270" i="25"/>
  <c r="AC262" i="25"/>
  <c r="AA262" i="25"/>
  <c r="AB261" i="25"/>
  <c r="AB262" i="25"/>
  <c r="AA250" i="25"/>
  <c r="AB250" i="25"/>
  <c r="AC250" i="25"/>
  <c r="AA238" i="25"/>
  <c r="AC238" i="25"/>
  <c r="AB238" i="25"/>
  <c r="AA226" i="25"/>
  <c r="AC226" i="25"/>
  <c r="AB226" i="25"/>
  <c r="AA214" i="25"/>
  <c r="AC214" i="25"/>
  <c r="AB214" i="25"/>
  <c r="AA202" i="25"/>
  <c r="AB202" i="25"/>
  <c r="AC202" i="25"/>
  <c r="AC190" i="25"/>
  <c r="AA190" i="25"/>
  <c r="AB190" i="25"/>
  <c r="AA189" i="25"/>
  <c r="AA186" i="25"/>
  <c r="AA187" i="25"/>
  <c r="AA178" i="25"/>
  <c r="AB178" i="25"/>
  <c r="AC178" i="25"/>
  <c r="AB171" i="25"/>
  <c r="AA166" i="25"/>
  <c r="AC166" i="25"/>
  <c r="AB166" i="25"/>
  <c r="AA165" i="25"/>
  <c r="AA154" i="25"/>
  <c r="AC154" i="25"/>
  <c r="AB154" i="25"/>
  <c r="AA142" i="25"/>
  <c r="AC142" i="25"/>
  <c r="AB142" i="25"/>
  <c r="AA130" i="25"/>
  <c r="AB130" i="25"/>
  <c r="AA126" i="25"/>
  <c r="AA127" i="25"/>
  <c r="AC130" i="25"/>
  <c r="AC118" i="25"/>
  <c r="AA118" i="25"/>
  <c r="AB118" i="25"/>
  <c r="AB106" i="25"/>
  <c r="AA106" i="25"/>
  <c r="AC106" i="25"/>
  <c r="AA103" i="25"/>
  <c r="AA105" i="25"/>
  <c r="AB94" i="25"/>
  <c r="AA94" i="25"/>
  <c r="AC94" i="25"/>
  <c r="AB82" i="25"/>
  <c r="AA82" i="25"/>
  <c r="AC82" i="25"/>
  <c r="AB70" i="25"/>
  <c r="AA70" i="25"/>
  <c r="AC70" i="25"/>
  <c r="AB64" i="25"/>
  <c r="AB58" i="25"/>
  <c r="AA58" i="25"/>
  <c r="AC58" i="25"/>
  <c r="AB46" i="25"/>
  <c r="AC46" i="25"/>
  <c r="AA46" i="25"/>
  <c r="AA43" i="25"/>
  <c r="AA45" i="25"/>
  <c r="AB34" i="25"/>
  <c r="AA34" i="25"/>
  <c r="AC34" i="25"/>
  <c r="AB22" i="25"/>
  <c r="AA22" i="25"/>
  <c r="AC22" i="25"/>
  <c r="AA21" i="25"/>
  <c r="AB10" i="25"/>
  <c r="AA10" i="25"/>
  <c r="AC10" i="25"/>
  <c r="S336" i="25"/>
  <c r="S90" i="25"/>
  <c r="S386" i="25"/>
  <c r="U386" i="25"/>
  <c r="T386" i="25"/>
  <c r="S242" i="25"/>
  <c r="S240" i="25"/>
  <c r="U242" i="25"/>
  <c r="T242" i="25"/>
  <c r="AD144" i="25"/>
  <c r="AE144" i="25"/>
  <c r="AF144" i="25"/>
  <c r="S70" i="25"/>
  <c r="U387" i="25"/>
  <c r="S387" i="25"/>
  <c r="T387" i="25"/>
  <c r="U363" i="25"/>
  <c r="S363" i="25"/>
  <c r="T363" i="25"/>
  <c r="U339" i="25"/>
  <c r="S339" i="25"/>
  <c r="T339" i="25"/>
  <c r="U315" i="25"/>
  <c r="S315" i="25"/>
  <c r="T315" i="25"/>
  <c r="U291" i="25"/>
  <c r="S291" i="25"/>
  <c r="T291" i="25"/>
  <c r="U267" i="25"/>
  <c r="S267" i="25"/>
  <c r="T267" i="25"/>
  <c r="U243" i="25"/>
  <c r="S243" i="25"/>
  <c r="T243" i="25"/>
  <c r="U219" i="25"/>
  <c r="S219" i="25"/>
  <c r="T219" i="25"/>
  <c r="U195" i="25"/>
  <c r="S195" i="25"/>
  <c r="T195" i="25"/>
  <c r="U171" i="25"/>
  <c r="S171" i="25"/>
  <c r="T171" i="25"/>
  <c r="U159" i="25"/>
  <c r="S159" i="25"/>
  <c r="T159" i="25"/>
  <c r="U135" i="25"/>
  <c r="S135" i="25"/>
  <c r="T135" i="25"/>
  <c r="U111" i="25"/>
  <c r="S111" i="25"/>
  <c r="T111" i="25"/>
  <c r="U87" i="25"/>
  <c r="S87" i="25"/>
  <c r="T87" i="25"/>
  <c r="U63" i="25"/>
  <c r="S63" i="25"/>
  <c r="T63" i="25"/>
  <c r="U39" i="25"/>
  <c r="S39" i="25"/>
  <c r="T39" i="25"/>
  <c r="U15" i="25"/>
  <c r="S15" i="25"/>
  <c r="T15" i="25"/>
  <c r="AF397" i="25"/>
  <c r="AD397" i="25"/>
  <c r="AE397" i="25"/>
  <c r="AF373" i="25"/>
  <c r="AD373" i="25"/>
  <c r="AE373" i="25"/>
  <c r="AF349" i="25"/>
  <c r="AE349" i="25"/>
  <c r="AD349" i="25"/>
  <c r="AF325" i="25"/>
  <c r="AD325" i="25"/>
  <c r="AE325" i="25"/>
  <c r="AF301" i="25"/>
  <c r="AD301" i="25"/>
  <c r="AE301" i="25"/>
  <c r="AF277" i="25"/>
  <c r="AE277" i="25"/>
  <c r="AD277" i="25"/>
  <c r="AF253" i="25"/>
  <c r="AD253" i="25"/>
  <c r="AE253" i="25"/>
  <c r="AF241" i="25"/>
  <c r="AE241" i="25"/>
  <c r="AD241" i="25"/>
  <c r="S362" i="25"/>
  <c r="T362" i="25"/>
  <c r="U362" i="25"/>
  <c r="S359" i="25"/>
  <c r="S326" i="25"/>
  <c r="T326" i="25"/>
  <c r="U326" i="25"/>
  <c r="S278" i="25"/>
  <c r="T278" i="25"/>
  <c r="U278" i="25"/>
  <c r="T270" i="25"/>
  <c r="S276" i="25"/>
  <c r="S218" i="25"/>
  <c r="T218" i="25"/>
  <c r="U218" i="25"/>
  <c r="T208" i="25"/>
  <c r="S215" i="25"/>
  <c r="S134" i="25"/>
  <c r="T134" i="25"/>
  <c r="T126" i="25"/>
  <c r="U134" i="25"/>
  <c r="S132" i="25"/>
  <c r="AD180" i="25"/>
  <c r="AE180" i="25"/>
  <c r="AF180" i="25"/>
  <c r="AD172" i="25"/>
  <c r="S396" i="25"/>
  <c r="S252" i="25"/>
  <c r="S108" i="25"/>
  <c r="AB152" i="25"/>
  <c r="S48" i="25"/>
  <c r="U399" i="25"/>
  <c r="S399" i="25"/>
  <c r="T399" i="25"/>
  <c r="U375" i="25"/>
  <c r="S375" i="25"/>
  <c r="T375" i="25"/>
  <c r="U351" i="25"/>
  <c r="S351" i="25"/>
  <c r="T351" i="25"/>
  <c r="U327" i="25"/>
  <c r="S327" i="25"/>
  <c r="T327" i="25"/>
  <c r="U303" i="25"/>
  <c r="S303" i="25"/>
  <c r="T303" i="25"/>
  <c r="U279" i="25"/>
  <c r="S279" i="25"/>
  <c r="T279" i="25"/>
  <c r="U255" i="25"/>
  <c r="S255" i="25"/>
  <c r="T255" i="25"/>
  <c r="U231" i="25"/>
  <c r="S231" i="25"/>
  <c r="T231" i="25"/>
  <c r="U207" i="25"/>
  <c r="S207" i="25"/>
  <c r="T207" i="25"/>
  <c r="U183" i="25"/>
  <c r="S183" i="25"/>
  <c r="T183" i="25"/>
  <c r="U147" i="25"/>
  <c r="S147" i="25"/>
  <c r="T147" i="25"/>
  <c r="U123" i="25"/>
  <c r="S123" i="25"/>
  <c r="T123" i="25"/>
  <c r="U99" i="25"/>
  <c r="S99" i="25"/>
  <c r="T99" i="25"/>
  <c r="U75" i="25"/>
  <c r="S75" i="25"/>
  <c r="T75" i="25"/>
  <c r="U51" i="25"/>
  <c r="S51" i="25"/>
  <c r="T51" i="25"/>
  <c r="U27" i="25"/>
  <c r="S27" i="25"/>
  <c r="T27" i="25"/>
  <c r="U3" i="25"/>
  <c r="S3" i="25"/>
  <c r="F17" i="1"/>
  <c r="G17" i="1" s="1"/>
  <c r="H17" i="1" s="1"/>
  <c r="E17" i="1"/>
  <c r="U2" i="25"/>
  <c r="K17" i="1" s="1"/>
  <c r="T3" i="25"/>
  <c r="S2" i="25"/>
  <c r="I17" i="1" s="1"/>
  <c r="AF385" i="25"/>
  <c r="AE385" i="25"/>
  <c r="AD385" i="25"/>
  <c r="AF361" i="25"/>
  <c r="AD361" i="25"/>
  <c r="AE361" i="25"/>
  <c r="AF337" i="25"/>
  <c r="AD337" i="25"/>
  <c r="AE337" i="25"/>
  <c r="AF313" i="25"/>
  <c r="AE313" i="25"/>
  <c r="AD313" i="25"/>
  <c r="AF289" i="25"/>
  <c r="AD289" i="25"/>
  <c r="AE289" i="25"/>
  <c r="AF265" i="25"/>
  <c r="AD265" i="25"/>
  <c r="AE265" i="25"/>
  <c r="AF229" i="25"/>
  <c r="AD229" i="25"/>
  <c r="AE229" i="25"/>
  <c r="S358" i="25"/>
  <c r="S350" i="25"/>
  <c r="U350" i="25"/>
  <c r="T350" i="25"/>
  <c r="S314" i="25"/>
  <c r="U314" i="25"/>
  <c r="T310" i="25"/>
  <c r="T314" i="25"/>
  <c r="S266" i="25"/>
  <c r="U266" i="25"/>
  <c r="T266" i="25"/>
  <c r="S206" i="25"/>
  <c r="S202" i="25"/>
  <c r="U206" i="25"/>
  <c r="T206" i="25"/>
  <c r="S146" i="25"/>
  <c r="U146" i="25"/>
  <c r="T146" i="25"/>
  <c r="AD192" i="25"/>
  <c r="AE192" i="25"/>
  <c r="AF192" i="25"/>
  <c r="S395" i="25"/>
  <c r="S335" i="25"/>
  <c r="S251" i="25"/>
  <c r="S191" i="25"/>
  <c r="S107" i="25"/>
  <c r="S47" i="25"/>
  <c r="S275" i="25"/>
  <c r="S29" i="25"/>
  <c r="S302" i="25"/>
  <c r="T302" i="25"/>
  <c r="U302" i="25"/>
  <c r="S298" i="25"/>
  <c r="S14" i="25"/>
  <c r="U14" i="25"/>
  <c r="T14" i="25"/>
  <c r="S10" i="25"/>
  <c r="S394" i="25"/>
  <c r="T370" i="25"/>
  <c r="T346" i="25"/>
  <c r="S334" i="25"/>
  <c r="T286" i="25"/>
  <c r="S274" i="25"/>
  <c r="S250" i="25"/>
  <c r="T226" i="25"/>
  <c r="T202" i="25"/>
  <c r="S190" i="25"/>
  <c r="T142" i="25"/>
  <c r="S130" i="25"/>
  <c r="S106" i="25"/>
  <c r="T82" i="25"/>
  <c r="T58" i="25"/>
  <c r="S46" i="25"/>
  <c r="T34" i="25"/>
  <c r="T10" i="25"/>
  <c r="AA330" i="25"/>
  <c r="S256" i="25"/>
  <c r="S8" i="25"/>
  <c r="U378" i="25"/>
  <c r="T369" i="25"/>
  <c r="T357" i="25"/>
  <c r="T345" i="25"/>
  <c r="U330" i="25"/>
  <c r="S318" i="25"/>
  <c r="T309" i="25"/>
  <c r="T292" i="25"/>
  <c r="T285" i="25"/>
  <c r="T272" i="25"/>
  <c r="T261" i="25"/>
  <c r="U234" i="25"/>
  <c r="T225" i="25"/>
  <c r="T213" i="25"/>
  <c r="T201" i="25"/>
  <c r="U186" i="25"/>
  <c r="S174" i="25"/>
  <c r="T165" i="25"/>
  <c r="T153" i="25"/>
  <c r="T141" i="25"/>
  <c r="T128" i="25"/>
  <c r="T117" i="25"/>
  <c r="T93" i="25"/>
  <c r="T81" i="25"/>
  <c r="U66" i="25"/>
  <c r="T57" i="25"/>
  <c r="U42" i="25"/>
  <c r="T33" i="25"/>
  <c r="T20" i="25"/>
  <c r="T9" i="25"/>
  <c r="S234" i="25"/>
  <c r="T393" i="25"/>
  <c r="U380" i="25"/>
  <c r="T356" i="25"/>
  <c r="U332" i="25"/>
  <c r="U308" i="25"/>
  <c r="T296" i="25"/>
  <c r="U272" i="25"/>
  <c r="U260" i="25"/>
  <c r="S248" i="25"/>
  <c r="U236" i="25"/>
  <c r="S224" i="25"/>
  <c r="T212" i="25"/>
  <c r="S200" i="25"/>
  <c r="U188" i="25"/>
  <c r="S176" i="25"/>
  <c r="U164" i="25"/>
  <c r="T152" i="25"/>
  <c r="U140" i="25"/>
  <c r="U128" i="25"/>
  <c r="U116" i="25"/>
  <c r="S104" i="25"/>
  <c r="U92" i="25"/>
  <c r="S80" i="25"/>
  <c r="T68" i="25"/>
  <c r="S56" i="25"/>
  <c r="T32" i="25"/>
  <c r="S20" i="25"/>
  <c r="T8" i="25"/>
  <c r="S214" i="25"/>
  <c r="T374" i="25"/>
  <c r="S392" i="25"/>
  <c r="S368" i="25"/>
  <c r="S344" i="25"/>
  <c r="S320" i="25"/>
  <c r="U284" i="25"/>
  <c r="U44" i="25"/>
  <c r="U391" i="25"/>
  <c r="U367" i="25"/>
  <c r="U343" i="25"/>
  <c r="U319" i="25"/>
  <c r="U295" i="25"/>
  <c r="U271" i="25"/>
  <c r="U247" i="25"/>
  <c r="U223" i="25"/>
  <c r="U199" i="25"/>
  <c r="U175" i="25"/>
  <c r="U151" i="25"/>
  <c r="U127" i="25"/>
  <c r="U103" i="25"/>
  <c r="U79" i="25"/>
  <c r="U55" i="25"/>
  <c r="S192" i="25"/>
  <c r="T352" i="25"/>
  <c r="U390" i="25"/>
  <c r="T378" i="25"/>
  <c r="S366" i="25"/>
  <c r="S354" i="25"/>
  <c r="S342" i="25"/>
  <c r="S330" i="25"/>
  <c r="T318" i="25"/>
  <c r="S306" i="25"/>
  <c r="T294" i="25"/>
  <c r="S282" i="25"/>
  <c r="U270" i="25"/>
  <c r="S258" i="25"/>
  <c r="U246" i="25"/>
  <c r="T234" i="25"/>
  <c r="S222" i="25"/>
  <c r="S210" i="25"/>
  <c r="S198" i="25"/>
  <c r="S186" i="25"/>
  <c r="T174" i="25"/>
  <c r="S162" i="25"/>
  <c r="T150" i="25"/>
  <c r="S138" i="25"/>
  <c r="U126" i="25"/>
  <c r="S114" i="25"/>
  <c r="U102" i="25"/>
  <c r="T90" i="25"/>
  <c r="S78" i="25"/>
  <c r="S66" i="25"/>
  <c r="U54" i="25"/>
  <c r="S42" i="25"/>
  <c r="U18" i="25"/>
  <c r="S6" i="25"/>
  <c r="AF352" i="25"/>
  <c r="S173" i="25"/>
  <c r="T86" i="25"/>
  <c r="S389" i="25"/>
  <c r="S377" i="25"/>
  <c r="S365" i="25"/>
  <c r="S353" i="25"/>
  <c r="S329" i="25"/>
  <c r="S305" i="25"/>
  <c r="S293" i="25"/>
  <c r="S281" i="25"/>
  <c r="S269" i="25"/>
  <c r="S245" i="25"/>
  <c r="S233" i="25"/>
  <c r="S221" i="25"/>
  <c r="S209" i="25"/>
  <c r="S185" i="25"/>
  <c r="S161" i="25"/>
  <c r="S149" i="25"/>
  <c r="S137" i="25"/>
  <c r="S125" i="25"/>
  <c r="S100" i="25"/>
  <c r="S89" i="25"/>
  <c r="S77" i="25"/>
  <c r="S65" i="25"/>
  <c r="S41" i="25"/>
  <c r="S16" i="25"/>
  <c r="S5" i="25"/>
  <c r="S152" i="25"/>
  <c r="AF217" i="25"/>
  <c r="AD217" i="25"/>
  <c r="AE217" i="25"/>
  <c r="AF205" i="25"/>
  <c r="AE205" i="25"/>
  <c r="AD205" i="25"/>
  <c r="AD193" i="25"/>
  <c r="AF193" i="25"/>
  <c r="AE193" i="25"/>
  <c r="AD181" i="25"/>
  <c r="AF181" i="25"/>
  <c r="AE181" i="25"/>
  <c r="AD169" i="25"/>
  <c r="AF169" i="25"/>
  <c r="AE169" i="25"/>
  <c r="AD157" i="25"/>
  <c r="AF157" i="25"/>
  <c r="AE157" i="25"/>
  <c r="AD145" i="25"/>
  <c r="AF145" i="25"/>
  <c r="AE145" i="25"/>
  <c r="AD133" i="25"/>
  <c r="AF133" i="25"/>
  <c r="AE133" i="25"/>
  <c r="AD121" i="25"/>
  <c r="AF121" i="25"/>
  <c r="AE121" i="25"/>
  <c r="AD109" i="25"/>
  <c r="AF109" i="25"/>
  <c r="AE109" i="25"/>
  <c r="AD97" i="25"/>
  <c r="AF97" i="25"/>
  <c r="AE97" i="25"/>
  <c r="AD85" i="25"/>
  <c r="AF85" i="25"/>
  <c r="AE85" i="25"/>
  <c r="AD73" i="25"/>
  <c r="AF73" i="25"/>
  <c r="AE73" i="25"/>
  <c r="AD61" i="25"/>
  <c r="AF61" i="25"/>
  <c r="AE61" i="25"/>
  <c r="AD49" i="25"/>
  <c r="AF49" i="25"/>
  <c r="AE49" i="25"/>
  <c r="AD37" i="25"/>
  <c r="AF37" i="25"/>
  <c r="AE37" i="25"/>
  <c r="AD25" i="25"/>
  <c r="AF25" i="25"/>
  <c r="AE25" i="25"/>
  <c r="AD13" i="25"/>
  <c r="AF13" i="25"/>
  <c r="AE13" i="25"/>
  <c r="AC395" i="25"/>
  <c r="AB395" i="25"/>
  <c r="AC383" i="25"/>
  <c r="AA383" i="25"/>
  <c r="AC371" i="25"/>
  <c r="AB371" i="25"/>
  <c r="AC359" i="25"/>
  <c r="AA359" i="25"/>
  <c r="AB359" i="25"/>
  <c r="AB347" i="25"/>
  <c r="AC347" i="25"/>
  <c r="AA347" i="25"/>
  <c r="AA335" i="25"/>
  <c r="AB335" i="25"/>
  <c r="AA323" i="25"/>
  <c r="AC323" i="25"/>
  <c r="AC311" i="25"/>
  <c r="AB311" i="25"/>
  <c r="AC299" i="25"/>
  <c r="AA299" i="25"/>
  <c r="AB299" i="25"/>
  <c r="AB287" i="25"/>
  <c r="AC287" i="25"/>
  <c r="AA287" i="25"/>
  <c r="AC275" i="25"/>
  <c r="AA275" i="25"/>
  <c r="AB275" i="25"/>
  <c r="AC263" i="25"/>
  <c r="AA263" i="25"/>
  <c r="AC251" i="25"/>
  <c r="AB251" i="25"/>
  <c r="AA239" i="25"/>
  <c r="AC227" i="25"/>
  <c r="AB227" i="25"/>
  <c r="AA215" i="25"/>
  <c r="AC215" i="25"/>
  <c r="AB215" i="25"/>
  <c r="AB203" i="25"/>
  <c r="AC203" i="25"/>
  <c r="AA203" i="25"/>
  <c r="AC191" i="25"/>
  <c r="AA191" i="25"/>
  <c r="AB191" i="25"/>
  <c r="AC179" i="25"/>
  <c r="AB179" i="25"/>
  <c r="AA179" i="25"/>
  <c r="AC167" i="25"/>
  <c r="AB167" i="25"/>
  <c r="AC155" i="25"/>
  <c r="AB155" i="25"/>
  <c r="AA155" i="25"/>
  <c r="AC143" i="25"/>
  <c r="AB143" i="25"/>
  <c r="AA143" i="25"/>
  <c r="AC131" i="25"/>
  <c r="AA131" i="25"/>
  <c r="AB131" i="25"/>
  <c r="AC119" i="25"/>
  <c r="AA119" i="25"/>
  <c r="AB119" i="25"/>
  <c r="AC107" i="25"/>
  <c r="AB107" i="25"/>
  <c r="AB95" i="25"/>
  <c r="AA95" i="25"/>
  <c r="AC83" i="25"/>
  <c r="AB83" i="25"/>
  <c r="AB71" i="25"/>
  <c r="AA71" i="25"/>
  <c r="AC71" i="25"/>
  <c r="AC59" i="25"/>
  <c r="AB59" i="25"/>
  <c r="AA59" i="25"/>
  <c r="AC47" i="25"/>
  <c r="AB47" i="25"/>
  <c r="AA47" i="25"/>
  <c r="AC35" i="25"/>
  <c r="AA35" i="25"/>
  <c r="AB23" i="25"/>
  <c r="AC23" i="25"/>
  <c r="AC11" i="25"/>
  <c r="AB11" i="25"/>
  <c r="AA11" i="25"/>
  <c r="S401" i="25"/>
  <c r="S380" i="25"/>
  <c r="S340" i="25"/>
  <c r="S257" i="25"/>
  <c r="S236" i="25"/>
  <c r="S196" i="25"/>
  <c r="S113" i="25"/>
  <c r="S92" i="25"/>
  <c r="S52" i="25"/>
  <c r="S30" i="25"/>
  <c r="T354" i="25"/>
  <c r="T333" i="25"/>
  <c r="T210" i="25"/>
  <c r="T189" i="25"/>
  <c r="T148" i="25"/>
  <c r="T66" i="25"/>
  <c r="T44" i="25"/>
  <c r="U402" i="25"/>
  <c r="U354" i="25"/>
  <c r="U306" i="25"/>
  <c r="U282" i="25"/>
  <c r="U258" i="25"/>
  <c r="U210" i="25"/>
  <c r="U162" i="25"/>
  <c r="U138" i="25"/>
  <c r="U114" i="25"/>
  <c r="U90" i="25"/>
  <c r="AA23" i="25"/>
  <c r="AC335" i="25"/>
  <c r="S397" i="25"/>
  <c r="T397" i="25"/>
  <c r="S385" i="25"/>
  <c r="T385" i="25"/>
  <c r="S373" i="25"/>
  <c r="T373" i="25"/>
  <c r="S361" i="25"/>
  <c r="T361" i="25"/>
  <c r="S349" i="25"/>
  <c r="T349" i="25"/>
  <c r="S337" i="25"/>
  <c r="T337" i="25"/>
  <c r="S325" i="25"/>
  <c r="T325" i="25"/>
  <c r="S313" i="25"/>
  <c r="T313" i="25"/>
  <c r="S301" i="25"/>
  <c r="T301" i="25"/>
  <c r="S289" i="25"/>
  <c r="T289" i="25"/>
  <c r="S277" i="25"/>
  <c r="T277" i="25"/>
  <c r="S265" i="25"/>
  <c r="T265" i="25"/>
  <c r="S253" i="25"/>
  <c r="T253" i="25"/>
  <c r="S241" i="25"/>
  <c r="T241" i="25"/>
  <c r="S229" i="25"/>
  <c r="T229" i="25"/>
  <c r="S217" i="25"/>
  <c r="T217" i="25"/>
  <c r="S205" i="25"/>
  <c r="T205" i="25"/>
  <c r="S193" i="25"/>
  <c r="T193" i="25"/>
  <c r="S181" i="25"/>
  <c r="T181" i="25"/>
  <c r="S169" i="25"/>
  <c r="T169" i="25"/>
  <c r="S157" i="25"/>
  <c r="T157" i="25"/>
  <c r="S145" i="25"/>
  <c r="T145" i="25"/>
  <c r="S133" i="25"/>
  <c r="T133" i="25"/>
  <c r="S121" i="25"/>
  <c r="T121" i="25"/>
  <c r="S109" i="25"/>
  <c r="T109" i="25"/>
  <c r="S97" i="25"/>
  <c r="T97" i="25"/>
  <c r="S85" i="25"/>
  <c r="T85" i="25"/>
  <c r="S73" i="25"/>
  <c r="T73" i="25"/>
  <c r="S61" i="25"/>
  <c r="T61" i="25"/>
  <c r="S49" i="25"/>
  <c r="T49" i="25"/>
  <c r="S37" i="25"/>
  <c r="T37" i="25"/>
  <c r="S25" i="25"/>
  <c r="T25" i="25"/>
  <c r="S13" i="25"/>
  <c r="U13" i="25"/>
  <c r="T13" i="25"/>
  <c r="AE407" i="25"/>
  <c r="AF407" i="25"/>
  <c r="AD407" i="25"/>
  <c r="AE395" i="25"/>
  <c r="AD395" i="25"/>
  <c r="AF395" i="25"/>
  <c r="AE383" i="25"/>
  <c r="AD383" i="25"/>
  <c r="AF383" i="25"/>
  <c r="AE371" i="25"/>
  <c r="AD371" i="25"/>
  <c r="AF371" i="25"/>
  <c r="AE359" i="25"/>
  <c r="AF359" i="25"/>
  <c r="AD359" i="25"/>
  <c r="AE347" i="25"/>
  <c r="AD347" i="25"/>
  <c r="AF347" i="25"/>
  <c r="AE335" i="25"/>
  <c r="AD335" i="25"/>
  <c r="AF335" i="25"/>
  <c r="AE323" i="25"/>
  <c r="AD323" i="25"/>
  <c r="AF323" i="25"/>
  <c r="AE311" i="25"/>
  <c r="AF311" i="25"/>
  <c r="AD311" i="25"/>
  <c r="AE299" i="25"/>
  <c r="AD299" i="25"/>
  <c r="AF299" i="25"/>
  <c r="AE287" i="25"/>
  <c r="AD287" i="25"/>
  <c r="AF287" i="25"/>
  <c r="AE275" i="25"/>
  <c r="AD275" i="25"/>
  <c r="AF275" i="25"/>
  <c r="AE263" i="25"/>
  <c r="AF263" i="25"/>
  <c r="AD263" i="25"/>
  <c r="AE251" i="25"/>
  <c r="AD251" i="25"/>
  <c r="AF251" i="25"/>
  <c r="AE239" i="25"/>
  <c r="AD239" i="25"/>
  <c r="AF239" i="25"/>
  <c r="AE227" i="25"/>
  <c r="AD227" i="25"/>
  <c r="AF227" i="25"/>
  <c r="AE215" i="25"/>
  <c r="AF215" i="25"/>
  <c r="AD215" i="25"/>
  <c r="AD203" i="25"/>
  <c r="AE203" i="25"/>
  <c r="AF203" i="25"/>
  <c r="AD191" i="25"/>
  <c r="AE191" i="25"/>
  <c r="AF191" i="25"/>
  <c r="AD179" i="25"/>
  <c r="AE179" i="25"/>
  <c r="AF179" i="25"/>
  <c r="AD167" i="25"/>
  <c r="AE167" i="25"/>
  <c r="AF167" i="25"/>
  <c r="AD155" i="25"/>
  <c r="AE155" i="25"/>
  <c r="AF155" i="25"/>
  <c r="AD143" i="25"/>
  <c r="AE143" i="25"/>
  <c r="AF143" i="25"/>
  <c r="AD131" i="25"/>
  <c r="AE131" i="25"/>
  <c r="AF131" i="25"/>
  <c r="AD119" i="25"/>
  <c r="AE119" i="25"/>
  <c r="AF119" i="25"/>
  <c r="AD107" i="25"/>
  <c r="AE107" i="25"/>
  <c r="AF107" i="25"/>
  <c r="AD95" i="25"/>
  <c r="AE95" i="25"/>
  <c r="AF95" i="25"/>
  <c r="AD83" i="25"/>
  <c r="AE83" i="25"/>
  <c r="AF83" i="25"/>
  <c r="AD71" i="25"/>
  <c r="AE71" i="25"/>
  <c r="AF71" i="25"/>
  <c r="AD59" i="25"/>
  <c r="AE59" i="25"/>
  <c r="AF59" i="25"/>
  <c r="AD47" i="25"/>
  <c r="AE47" i="25"/>
  <c r="AF47" i="25"/>
  <c r="AD35" i="25"/>
  <c r="AE35" i="25"/>
  <c r="AF35" i="25"/>
  <c r="AD23" i="25"/>
  <c r="AE23" i="25"/>
  <c r="AF23" i="25"/>
  <c r="AD11" i="25"/>
  <c r="AE11" i="25"/>
  <c r="AF11" i="25"/>
  <c r="AC405" i="25"/>
  <c r="AA405" i="25"/>
  <c r="AB393" i="25"/>
  <c r="AC393" i="25"/>
  <c r="AA381" i="25"/>
  <c r="AB381" i="25"/>
  <c r="AC369" i="25"/>
  <c r="AB369" i="25"/>
  <c r="AA369" i="25"/>
  <c r="AA357" i="25"/>
  <c r="AC357" i="25"/>
  <c r="AB357" i="25"/>
  <c r="AC345" i="25"/>
  <c r="AA345" i="25"/>
  <c r="AC333" i="25"/>
  <c r="AB333" i="25"/>
  <c r="AC321" i="25"/>
  <c r="AA321" i="25"/>
  <c r="AB321" i="25"/>
  <c r="AC309" i="25"/>
  <c r="AB309" i="25"/>
  <c r="AC297" i="25"/>
  <c r="AA297" i="25"/>
  <c r="AB297" i="25"/>
  <c r="AC285" i="25"/>
  <c r="AA285" i="25"/>
  <c r="AC273" i="25"/>
  <c r="AA273" i="25"/>
  <c r="AB273" i="25"/>
  <c r="AC261" i="25"/>
  <c r="AA261" i="25"/>
  <c r="AC249" i="25"/>
  <c r="AB249" i="25"/>
  <c r="AC237" i="25"/>
  <c r="AA237" i="25"/>
  <c r="AB237" i="25"/>
  <c r="AC225" i="25"/>
  <c r="AB225" i="25"/>
  <c r="AA225" i="25"/>
  <c r="AC213" i="25"/>
  <c r="AA201" i="25"/>
  <c r="AB189" i="25"/>
  <c r="AA177" i="25"/>
  <c r="AB165" i="25"/>
  <c r="AB141" i="25"/>
  <c r="AA117" i="25"/>
  <c r="AA93" i="25"/>
  <c r="AA81" i="25"/>
  <c r="AA57" i="25"/>
  <c r="AA33" i="25"/>
  <c r="S356" i="25"/>
  <c r="S316" i="25"/>
  <c r="S294" i="25"/>
  <c r="S212" i="25"/>
  <c r="S172" i="25"/>
  <c r="S150" i="25"/>
  <c r="S68" i="25"/>
  <c r="S28" i="25"/>
  <c r="T392" i="25"/>
  <c r="T330" i="25"/>
  <c r="T268" i="25"/>
  <c r="T248" i="25"/>
  <c r="T186" i="25"/>
  <c r="T124" i="25"/>
  <c r="T104" i="25"/>
  <c r="U397" i="25"/>
  <c r="U373" i="25"/>
  <c r="U349" i="25"/>
  <c r="U325" i="25"/>
  <c r="U301" i="25"/>
  <c r="U277" i="25"/>
  <c r="U253" i="25"/>
  <c r="U229" i="25"/>
  <c r="U205" i="25"/>
  <c r="U181" i="25"/>
  <c r="U157" i="25"/>
  <c r="U133" i="25"/>
  <c r="U109" i="25"/>
  <c r="U85" i="25"/>
  <c r="U61" i="25"/>
  <c r="U37" i="25"/>
  <c r="AA333" i="25"/>
  <c r="AA251" i="25"/>
  <c r="AB407" i="25"/>
  <c r="T396" i="25"/>
  <c r="T384" i="25"/>
  <c r="T372" i="25"/>
  <c r="T360" i="25"/>
  <c r="T348" i="25"/>
  <c r="T336" i="25"/>
  <c r="T324" i="25"/>
  <c r="T312" i="25"/>
  <c r="T300" i="25"/>
  <c r="T288" i="25"/>
  <c r="T276" i="25"/>
  <c r="T264" i="25"/>
  <c r="T252" i="25"/>
  <c r="T240" i="25"/>
  <c r="T228" i="25"/>
  <c r="T216" i="25"/>
  <c r="T204" i="25"/>
  <c r="T192" i="25"/>
  <c r="T180" i="25"/>
  <c r="T168" i="25"/>
  <c r="T156" i="25"/>
  <c r="T144" i="25"/>
  <c r="T132" i="25"/>
  <c r="T120" i="25"/>
  <c r="T108" i="25"/>
  <c r="T96" i="25"/>
  <c r="T84" i="25"/>
  <c r="T72" i="25"/>
  <c r="T60" i="25"/>
  <c r="T48" i="25"/>
  <c r="U36" i="25"/>
  <c r="T36" i="25"/>
  <c r="U24" i="25"/>
  <c r="T24" i="25"/>
  <c r="U12" i="25"/>
  <c r="T12" i="25"/>
  <c r="AE406" i="25"/>
  <c r="AF406" i="25"/>
  <c r="AD406" i="25"/>
  <c r="AE394" i="25"/>
  <c r="AF394" i="25"/>
  <c r="AD394" i="25"/>
  <c r="AE382" i="25"/>
  <c r="AF382" i="25"/>
  <c r="AD382" i="25"/>
  <c r="AE370" i="25"/>
  <c r="AF370" i="25"/>
  <c r="AD370" i="25"/>
  <c r="AE358" i="25"/>
  <c r="AF358" i="25"/>
  <c r="AD358" i="25"/>
  <c r="AE346" i="25"/>
  <c r="AF346" i="25"/>
  <c r="AD346" i="25"/>
  <c r="AE334" i="25"/>
  <c r="AF334" i="25"/>
  <c r="AD334" i="25"/>
  <c r="AE322" i="25"/>
  <c r="AF322" i="25"/>
  <c r="AD322" i="25"/>
  <c r="AE310" i="25"/>
  <c r="AF310" i="25"/>
  <c r="AD310" i="25"/>
  <c r="AE298" i="25"/>
  <c r="AF298" i="25"/>
  <c r="AD298" i="25"/>
  <c r="AE286" i="25"/>
  <c r="AF286" i="25"/>
  <c r="AD286" i="25"/>
  <c r="AE274" i="25"/>
  <c r="AF274" i="25"/>
  <c r="AD274" i="25"/>
  <c r="AE262" i="25"/>
  <c r="AF262" i="25"/>
  <c r="AD262" i="25"/>
  <c r="AE250" i="25"/>
  <c r="AF250" i="25"/>
  <c r="AD250" i="25"/>
  <c r="AE238" i="25"/>
  <c r="AF238" i="25"/>
  <c r="AD238" i="25"/>
  <c r="AE226" i="25"/>
  <c r="AF226" i="25"/>
  <c r="AD226" i="25"/>
  <c r="AE214" i="25"/>
  <c r="AF214" i="25"/>
  <c r="AD214" i="25"/>
  <c r="AD202" i="25"/>
  <c r="AE202" i="25"/>
  <c r="AF202" i="25"/>
  <c r="AD190" i="25"/>
  <c r="AE190" i="25"/>
  <c r="AF190" i="25"/>
  <c r="AD178" i="25"/>
  <c r="AE178" i="25"/>
  <c r="AF178" i="25"/>
  <c r="AD166" i="25"/>
  <c r="AE166" i="25"/>
  <c r="AF166" i="25"/>
  <c r="AD154" i="25"/>
  <c r="AE154" i="25"/>
  <c r="AF154" i="25"/>
  <c r="AD142" i="25"/>
  <c r="AE142" i="25"/>
  <c r="AF142" i="25"/>
  <c r="AD130" i="25"/>
  <c r="AE130" i="25"/>
  <c r="AF130" i="25"/>
  <c r="AD118" i="25"/>
  <c r="AE118" i="25"/>
  <c r="AF118" i="25"/>
  <c r="AD106" i="25"/>
  <c r="AE106" i="25"/>
  <c r="AF106" i="25"/>
  <c r="AD94" i="25"/>
  <c r="AE94" i="25"/>
  <c r="AF94" i="25"/>
  <c r="AD82" i="25"/>
  <c r="AE82" i="25"/>
  <c r="AF82" i="25"/>
  <c r="AD70" i="25"/>
  <c r="AE70" i="25"/>
  <c r="AF70" i="25"/>
  <c r="AD58" i="25"/>
  <c r="AE58" i="25"/>
  <c r="AF58" i="25"/>
  <c r="AD46" i="25"/>
  <c r="AE46" i="25"/>
  <c r="AF46" i="25"/>
  <c r="AD34" i="25"/>
  <c r="AE34" i="25"/>
  <c r="AF34" i="25"/>
  <c r="AD22" i="25"/>
  <c r="AE22" i="25"/>
  <c r="AF22" i="25"/>
  <c r="AD10" i="25"/>
  <c r="AE10" i="25"/>
  <c r="AF10" i="25"/>
  <c r="AC404" i="25"/>
  <c r="AA404" i="25"/>
  <c r="AA403" i="25"/>
  <c r="AB404" i="25"/>
  <c r="AC392" i="25"/>
  <c r="AA392" i="25"/>
  <c r="AB392" i="25"/>
  <c r="AC380" i="25"/>
  <c r="AA380" i="25"/>
  <c r="AB380" i="25"/>
  <c r="AC368" i="25"/>
  <c r="AA368" i="25"/>
  <c r="AC356" i="25"/>
  <c r="AA356" i="25"/>
  <c r="AB356" i="25"/>
  <c r="AC344" i="25"/>
  <c r="AA344" i="25"/>
  <c r="AA343" i="25"/>
  <c r="AC332" i="25"/>
  <c r="AA332" i="25"/>
  <c r="AB332" i="25"/>
  <c r="AC320" i="25"/>
  <c r="AA320" i="25"/>
  <c r="AA319" i="25"/>
  <c r="AB320" i="25"/>
  <c r="AC308" i="25"/>
  <c r="AA308" i="25"/>
  <c r="AB308" i="25"/>
  <c r="AC296" i="25"/>
  <c r="AA296" i="25"/>
  <c r="AB296" i="25"/>
  <c r="AC284" i="25"/>
  <c r="AA284" i="25"/>
  <c r="AC272" i="25"/>
  <c r="AA272" i="25"/>
  <c r="AB272" i="25"/>
  <c r="AC260" i="25"/>
  <c r="AA260" i="25"/>
  <c r="AA259" i="25"/>
  <c r="AB260" i="25"/>
  <c r="AC248" i="25"/>
  <c r="AA248" i="25"/>
  <c r="AB248" i="25"/>
  <c r="AC236" i="25"/>
  <c r="AA236" i="25"/>
  <c r="AB236" i="25"/>
  <c r="AC224" i="25"/>
  <c r="AA224" i="25"/>
  <c r="AC212" i="25"/>
  <c r="AA212" i="25"/>
  <c r="AB212" i="25"/>
  <c r="AC200" i="25"/>
  <c r="AA200" i="25"/>
  <c r="AA199" i="25"/>
  <c r="AC188" i="25"/>
  <c r="AA188" i="25"/>
  <c r="AB188" i="25"/>
  <c r="AC176" i="25"/>
  <c r="AA176" i="25"/>
  <c r="AA175" i="25"/>
  <c r="AC164" i="25"/>
  <c r="AA164" i="25"/>
  <c r="AB164" i="25"/>
  <c r="AC152" i="25"/>
  <c r="AA152" i="25"/>
  <c r="AC140" i="25"/>
  <c r="AA140" i="25"/>
  <c r="AB140" i="25"/>
  <c r="AC128" i="25"/>
  <c r="AA128" i="25"/>
  <c r="AB116" i="25"/>
  <c r="AC116" i="25"/>
  <c r="AA116" i="25"/>
  <c r="AA115" i="25"/>
  <c r="AB104" i="25"/>
  <c r="AC104" i="25"/>
  <c r="AA104" i="25"/>
  <c r="AB92" i="25"/>
  <c r="AC92" i="25"/>
  <c r="AA92" i="25"/>
  <c r="AB80" i="25"/>
  <c r="AC80" i="25"/>
  <c r="AA80" i="25"/>
  <c r="AB68" i="25"/>
  <c r="AC68" i="25"/>
  <c r="AA68" i="25"/>
  <c r="AB56" i="25"/>
  <c r="AC56" i="25"/>
  <c r="AA56" i="25"/>
  <c r="AA55" i="25"/>
  <c r="AB44" i="25"/>
  <c r="AC44" i="25"/>
  <c r="AA44" i="25"/>
  <c r="AB32" i="25"/>
  <c r="AC32" i="25"/>
  <c r="AA32" i="25"/>
  <c r="AA31" i="25"/>
  <c r="AB20" i="25"/>
  <c r="AC20" i="25"/>
  <c r="AA20" i="25"/>
  <c r="AB8" i="25"/>
  <c r="AC8" i="25"/>
  <c r="AA8" i="25"/>
  <c r="S312" i="25"/>
  <c r="S272" i="25"/>
  <c r="S168" i="25"/>
  <c r="S128" i="25"/>
  <c r="S24" i="25"/>
  <c r="T390" i="25"/>
  <c r="T328" i="25"/>
  <c r="T308" i="25"/>
  <c r="T246" i="25"/>
  <c r="T184" i="25"/>
  <c r="T164" i="25"/>
  <c r="T102" i="25"/>
  <c r="U396" i="25"/>
  <c r="U372" i="25"/>
  <c r="U348" i="25"/>
  <c r="U324" i="25"/>
  <c r="U300" i="25"/>
  <c r="U276" i="25"/>
  <c r="U252" i="25"/>
  <c r="U228" i="25"/>
  <c r="U204" i="25"/>
  <c r="U180" i="25"/>
  <c r="U156" i="25"/>
  <c r="U132" i="25"/>
  <c r="U108" i="25"/>
  <c r="U84" i="25"/>
  <c r="U60" i="25"/>
  <c r="U33" i="25"/>
  <c r="AA331" i="25"/>
  <c r="AA249" i="25"/>
  <c r="AA167" i="25"/>
  <c r="AB323" i="25"/>
  <c r="AB35" i="25"/>
  <c r="T407" i="25"/>
  <c r="U407" i="25"/>
  <c r="T395" i="25"/>
  <c r="U395" i="25"/>
  <c r="T383" i="25"/>
  <c r="U383" i="25"/>
  <c r="T371" i="25"/>
  <c r="U371" i="25"/>
  <c r="T359" i="25"/>
  <c r="U359" i="25"/>
  <c r="T347" i="25"/>
  <c r="U347" i="25"/>
  <c r="T335" i="25"/>
  <c r="U335" i="25"/>
  <c r="T323" i="25"/>
  <c r="U323" i="25"/>
  <c r="T311" i="25"/>
  <c r="U311" i="25"/>
  <c r="T299" i="25"/>
  <c r="U299" i="25"/>
  <c r="T287" i="25"/>
  <c r="U287" i="25"/>
  <c r="T275" i="25"/>
  <c r="U275" i="25"/>
  <c r="T263" i="25"/>
  <c r="U263" i="25"/>
  <c r="T251" i="25"/>
  <c r="U251" i="25"/>
  <c r="T239" i="25"/>
  <c r="U239" i="25"/>
  <c r="T227" i="25"/>
  <c r="U227" i="25"/>
  <c r="T215" i="25"/>
  <c r="U215" i="25"/>
  <c r="T203" i="25"/>
  <c r="U203" i="25"/>
  <c r="T191" i="25"/>
  <c r="U191" i="25"/>
  <c r="T179" i="25"/>
  <c r="U179" i="25"/>
  <c r="T167" i="25"/>
  <c r="U167" i="25"/>
  <c r="T155" i="25"/>
  <c r="U155" i="25"/>
  <c r="T143" i="25"/>
  <c r="U143" i="25"/>
  <c r="T131" i="25"/>
  <c r="U131" i="25"/>
  <c r="T119" i="25"/>
  <c r="U119" i="25"/>
  <c r="T107" i="25"/>
  <c r="U107" i="25"/>
  <c r="T95" i="25"/>
  <c r="U95" i="25"/>
  <c r="T83" i="25"/>
  <c r="U83" i="25"/>
  <c r="T71" i="25"/>
  <c r="U71" i="25"/>
  <c r="T59" i="25"/>
  <c r="U59" i="25"/>
  <c r="T47" i="25"/>
  <c r="U47" i="25"/>
  <c r="U35" i="25"/>
  <c r="T35" i="25"/>
  <c r="U23" i="25"/>
  <c r="T23" i="25"/>
  <c r="U11" i="25"/>
  <c r="T11" i="25"/>
  <c r="AE405" i="25"/>
  <c r="AF405" i="25"/>
  <c r="AD405" i="25"/>
  <c r="AE393" i="25"/>
  <c r="AF393" i="25"/>
  <c r="AD393" i="25"/>
  <c r="AE381" i="25"/>
  <c r="AF381" i="25"/>
  <c r="AD381" i="25"/>
  <c r="AE369" i="25"/>
  <c r="AF369" i="25"/>
  <c r="AD369" i="25"/>
  <c r="AE357" i="25"/>
  <c r="AF357" i="25"/>
  <c r="AE345" i="25"/>
  <c r="AF345" i="25"/>
  <c r="AD345" i="25"/>
  <c r="AE333" i="25"/>
  <c r="AF333" i="25"/>
  <c r="AD333" i="25"/>
  <c r="AE321" i="25"/>
  <c r="AF321" i="25"/>
  <c r="AD321" i="25"/>
  <c r="AE309" i="25"/>
  <c r="AF309" i="25"/>
  <c r="AD309" i="25"/>
  <c r="AD285" i="25"/>
  <c r="AD249" i="25"/>
  <c r="AA379" i="25"/>
  <c r="AA367" i="25"/>
  <c r="AA307" i="25"/>
  <c r="AA295" i="25"/>
  <c r="AA283" i="25"/>
  <c r="AA235" i="25"/>
  <c r="AA223" i="25"/>
  <c r="AA163" i="25"/>
  <c r="AA151" i="25"/>
  <c r="AA139" i="25"/>
  <c r="AB115" i="25"/>
  <c r="AB103" i="25"/>
  <c r="AA91" i="25"/>
  <c r="AB79" i="25"/>
  <c r="AB55" i="25"/>
  <c r="AA19" i="25"/>
  <c r="AA7" i="25"/>
  <c r="S372" i="25"/>
  <c r="S332" i="25"/>
  <c r="S311" i="25"/>
  <c r="S270" i="25"/>
  <c r="S228" i="25"/>
  <c r="S188" i="25"/>
  <c r="S167" i="25"/>
  <c r="S126" i="25"/>
  <c r="S84" i="25"/>
  <c r="S44" i="25"/>
  <c r="S23" i="25"/>
  <c r="S4" i="25"/>
  <c r="T388" i="25"/>
  <c r="T368" i="25"/>
  <c r="T306" i="25"/>
  <c r="T244" i="25"/>
  <c r="T224" i="25"/>
  <c r="T162" i="25"/>
  <c r="T80" i="25"/>
  <c r="U392" i="25"/>
  <c r="U368" i="25"/>
  <c r="U344" i="25"/>
  <c r="U320" i="25"/>
  <c r="U296" i="25"/>
  <c r="U248" i="25"/>
  <c r="U224" i="25"/>
  <c r="U200" i="25"/>
  <c r="U176" i="25"/>
  <c r="U152" i="25"/>
  <c r="U104" i="25"/>
  <c r="U80" i="25"/>
  <c r="U56" i="25"/>
  <c r="U28" i="25"/>
  <c r="AA247" i="25"/>
  <c r="AA83" i="25"/>
  <c r="AB405" i="25"/>
  <c r="AB239" i="25"/>
  <c r="AB31" i="25"/>
  <c r="AC239" i="25"/>
  <c r="U394" i="25"/>
  <c r="U382" i="25"/>
  <c r="U370" i="25"/>
  <c r="U358" i="25"/>
  <c r="U346" i="25"/>
  <c r="U334" i="25"/>
  <c r="U322" i="25"/>
  <c r="U310" i="25"/>
  <c r="U298" i="25"/>
  <c r="U286" i="25"/>
  <c r="U274" i="25"/>
  <c r="U262" i="25"/>
  <c r="U250" i="25"/>
  <c r="U238" i="25"/>
  <c r="U226" i="25"/>
  <c r="U214" i="25"/>
  <c r="U202" i="25"/>
  <c r="U190" i="25"/>
  <c r="U178" i="25"/>
  <c r="U166" i="25"/>
  <c r="U154" i="25"/>
  <c r="U142" i="25"/>
  <c r="U130" i="25"/>
  <c r="U118" i="25"/>
  <c r="U106" i="25"/>
  <c r="U94" i="25"/>
  <c r="U82" i="25"/>
  <c r="U70" i="25"/>
  <c r="U58" i="25"/>
  <c r="U46" i="25"/>
  <c r="U34" i="25"/>
  <c r="U22" i="25"/>
  <c r="U10" i="25"/>
  <c r="AE404" i="25"/>
  <c r="AF404" i="25"/>
  <c r="AD404" i="25"/>
  <c r="AE392" i="25"/>
  <c r="AF392" i="25"/>
  <c r="AE380" i="25"/>
  <c r="AF380" i="25"/>
  <c r="AD380" i="25"/>
  <c r="AE368" i="25"/>
  <c r="AF368" i="25"/>
  <c r="AE356" i="25"/>
  <c r="AF356" i="25"/>
  <c r="AD356" i="25"/>
  <c r="AE344" i="25"/>
  <c r="AF344" i="25"/>
  <c r="AD344" i="25"/>
  <c r="AE332" i="25"/>
  <c r="AF332" i="25"/>
  <c r="AD332" i="25"/>
  <c r="AE320" i="25"/>
  <c r="AF320" i="25"/>
  <c r="AD320" i="25"/>
  <c r="AE308" i="25"/>
  <c r="AF308" i="25"/>
  <c r="AD308" i="25"/>
  <c r="AE296" i="25"/>
  <c r="AF296" i="25"/>
  <c r="AD296" i="25"/>
  <c r="AE284" i="25"/>
  <c r="AF284" i="25"/>
  <c r="AD284" i="25"/>
  <c r="AE272" i="25"/>
  <c r="AF272" i="25"/>
  <c r="AD272" i="25"/>
  <c r="AE260" i="25"/>
  <c r="AF260" i="25"/>
  <c r="AD260" i="25"/>
  <c r="AE248" i="25"/>
  <c r="AF248" i="25"/>
  <c r="AD248" i="25"/>
  <c r="AE236" i="25"/>
  <c r="AF236" i="25"/>
  <c r="AD236" i="25"/>
  <c r="AE224" i="25"/>
  <c r="AF224" i="25"/>
  <c r="AE212" i="25"/>
  <c r="AF212" i="25"/>
  <c r="AD212" i="25"/>
  <c r="AE200" i="25"/>
  <c r="AF200" i="25"/>
  <c r="AD200" i="25"/>
  <c r="AE188" i="25"/>
  <c r="AF188" i="25"/>
  <c r="AD188" i="25"/>
  <c r="AE176" i="25"/>
  <c r="AF176" i="25"/>
  <c r="AD176" i="25"/>
  <c r="AE164" i="25"/>
  <c r="AF164" i="25"/>
  <c r="AD164" i="25"/>
  <c r="AE152" i="25"/>
  <c r="AF152" i="25"/>
  <c r="AD152" i="25"/>
  <c r="AE140" i="25"/>
  <c r="AF140" i="25"/>
  <c r="AD140" i="25"/>
  <c r="AE128" i="25"/>
  <c r="AF128" i="25"/>
  <c r="AD128" i="25"/>
  <c r="AE116" i="25"/>
  <c r="AF116" i="25"/>
  <c r="AD116" i="25"/>
  <c r="AE104" i="25"/>
  <c r="AF104" i="25"/>
  <c r="AD104" i="25"/>
  <c r="AE92" i="25"/>
  <c r="AF92" i="25"/>
  <c r="AD92" i="25"/>
  <c r="AE80" i="25"/>
  <c r="AF80" i="25"/>
  <c r="AD80" i="25"/>
  <c r="AE68" i="25"/>
  <c r="AF68" i="25"/>
  <c r="AD68" i="25"/>
  <c r="AE56" i="25"/>
  <c r="AF56" i="25"/>
  <c r="AD56" i="25"/>
  <c r="AE44" i="25"/>
  <c r="AF44" i="25"/>
  <c r="AD44" i="25"/>
  <c r="AE32" i="25"/>
  <c r="AF32" i="25"/>
  <c r="AD32" i="25"/>
  <c r="AE20" i="25"/>
  <c r="AF20" i="25"/>
  <c r="AD20" i="25"/>
  <c r="AE8" i="25"/>
  <c r="AF8" i="25"/>
  <c r="AD8" i="25"/>
  <c r="AC402" i="25"/>
  <c r="AA402" i="25"/>
  <c r="AB402" i="25"/>
  <c r="AC390" i="25"/>
  <c r="AB390" i="25"/>
  <c r="AA390" i="25"/>
  <c r="AC378" i="25"/>
  <c r="AA378" i="25"/>
  <c r="AB378" i="25"/>
  <c r="AC366" i="25"/>
  <c r="AA366" i="25"/>
  <c r="AC354" i="25"/>
  <c r="AB354" i="25"/>
  <c r="AC342" i="25"/>
  <c r="AA342" i="25"/>
  <c r="AB342" i="25"/>
  <c r="AC330" i="25"/>
  <c r="AB330" i="25"/>
  <c r="AC318" i="25"/>
  <c r="AA318" i="25"/>
  <c r="AB318" i="25"/>
  <c r="AC306" i="25"/>
  <c r="AA306" i="25"/>
  <c r="AC294" i="25"/>
  <c r="AA294" i="25"/>
  <c r="AB294" i="25"/>
  <c r="AC282" i="25"/>
  <c r="AA282" i="25"/>
  <c r="AC270" i="25"/>
  <c r="AB270" i="25"/>
  <c r="AC258" i="25"/>
  <c r="AA258" i="25"/>
  <c r="AB258" i="25"/>
  <c r="AC246" i="25"/>
  <c r="AB246" i="25"/>
  <c r="AA246" i="25"/>
  <c r="AC234" i="25"/>
  <c r="AA234" i="25"/>
  <c r="AB234" i="25"/>
  <c r="AC222" i="25"/>
  <c r="AB222" i="25"/>
  <c r="AA222" i="25"/>
  <c r="AC210" i="25"/>
  <c r="AB210" i="25"/>
  <c r="AC198" i="25"/>
  <c r="AB198" i="25"/>
  <c r="AA198" i="25"/>
  <c r="AC186" i="25"/>
  <c r="AB186" i="25"/>
  <c r="AC174" i="25"/>
  <c r="AB174" i="25"/>
  <c r="AA174" i="25"/>
  <c r="AC162" i="25"/>
  <c r="AB162" i="25"/>
  <c r="AA162" i="25"/>
  <c r="AC150" i="25"/>
  <c r="AB150" i="25"/>
  <c r="AA150" i="25"/>
  <c r="AC138" i="25"/>
  <c r="AB138" i="25"/>
  <c r="AA138" i="25"/>
  <c r="AC126" i="25"/>
  <c r="AB126" i="25"/>
  <c r="AC114" i="25"/>
  <c r="AB114" i="25"/>
  <c r="AA114" i="25"/>
  <c r="AC102" i="25"/>
  <c r="AB102" i="25"/>
  <c r="AA102" i="25"/>
  <c r="AC90" i="25"/>
  <c r="AA90" i="25"/>
  <c r="AB90" i="25"/>
  <c r="AC78" i="25"/>
  <c r="AB78" i="25"/>
  <c r="AA78" i="25"/>
  <c r="AC66" i="25"/>
  <c r="AB66" i="25"/>
  <c r="AC54" i="25"/>
  <c r="AA54" i="25"/>
  <c r="AB54" i="25"/>
  <c r="AC42" i="25"/>
  <c r="AB42" i="25"/>
  <c r="AC30" i="25"/>
  <c r="AB30" i="25"/>
  <c r="AA30" i="25"/>
  <c r="AC18" i="25"/>
  <c r="AB18" i="25"/>
  <c r="AA18" i="25"/>
  <c r="AC6" i="25"/>
  <c r="AA6" i="25"/>
  <c r="D23" i="1"/>
  <c r="S371" i="25"/>
  <c r="S310" i="25"/>
  <c r="S288" i="25"/>
  <c r="S227" i="25"/>
  <c r="S166" i="25"/>
  <c r="S144" i="25"/>
  <c r="S83" i="25"/>
  <c r="S22" i="25"/>
  <c r="T406" i="25"/>
  <c r="T366" i="25"/>
  <c r="T304" i="25"/>
  <c r="T284" i="25"/>
  <c r="T262" i="25"/>
  <c r="T222" i="25"/>
  <c r="T160" i="25"/>
  <c r="T140" i="25"/>
  <c r="T118" i="25"/>
  <c r="T78" i="25"/>
  <c r="AA395" i="25"/>
  <c r="AA146" i="25"/>
  <c r="AA66" i="25"/>
  <c r="AB306" i="25"/>
  <c r="AB224" i="25"/>
  <c r="AB128" i="25"/>
  <c r="AB6" i="25"/>
  <c r="S390" i="25"/>
  <c r="S370" i="25"/>
  <c r="S348" i="25"/>
  <c r="S308" i="25"/>
  <c r="S287" i="25"/>
  <c r="S246" i="25"/>
  <c r="S226" i="25"/>
  <c r="S204" i="25"/>
  <c r="S164" i="25"/>
  <c r="S143" i="25"/>
  <c r="S102" i="25"/>
  <c r="S82" i="25"/>
  <c r="S60" i="25"/>
  <c r="T364" i="25"/>
  <c r="T344" i="25"/>
  <c r="T322" i="25"/>
  <c r="T282" i="25"/>
  <c r="T220" i="25"/>
  <c r="T200" i="25"/>
  <c r="T178" i="25"/>
  <c r="T138" i="25"/>
  <c r="T76" i="25"/>
  <c r="T56" i="25"/>
  <c r="U366" i="25"/>
  <c r="U342" i="25"/>
  <c r="U318" i="25"/>
  <c r="U294" i="25"/>
  <c r="U222" i="25"/>
  <c r="U198" i="25"/>
  <c r="U174" i="25"/>
  <c r="U150" i="25"/>
  <c r="U78" i="25"/>
  <c r="U25" i="25"/>
  <c r="AA393" i="25"/>
  <c r="AA311" i="25"/>
  <c r="AA62" i="25"/>
  <c r="S369" i="25"/>
  <c r="U369" i="25"/>
  <c r="S321" i="25"/>
  <c r="U321" i="25"/>
  <c r="S273" i="25"/>
  <c r="U273" i="25"/>
  <c r="S225" i="25"/>
  <c r="U225" i="25"/>
  <c r="S177" i="25"/>
  <c r="U177" i="25"/>
  <c r="S129" i="25"/>
  <c r="U129" i="25"/>
  <c r="S81" i="25"/>
  <c r="U81" i="25"/>
  <c r="S45" i="25"/>
  <c r="U45" i="25"/>
  <c r="AE403" i="25"/>
  <c r="AF403" i="25"/>
  <c r="AD403" i="25"/>
  <c r="AE355" i="25"/>
  <c r="AF355" i="25"/>
  <c r="AD355" i="25"/>
  <c r="AE307" i="25"/>
  <c r="AF307" i="25"/>
  <c r="AD307" i="25"/>
  <c r="AE259" i="25"/>
  <c r="AF259" i="25"/>
  <c r="AD259" i="25"/>
  <c r="AE211" i="25"/>
  <c r="AF211" i="25"/>
  <c r="AD211" i="25"/>
  <c r="AE151" i="25"/>
  <c r="AF151" i="25"/>
  <c r="AD151" i="25"/>
  <c r="AE115" i="25"/>
  <c r="AF115" i="25"/>
  <c r="AD115" i="25"/>
  <c r="AE67" i="25"/>
  <c r="AF67" i="25"/>
  <c r="AD67" i="25"/>
  <c r="AE31" i="25"/>
  <c r="AF31" i="25"/>
  <c r="AD31" i="25"/>
  <c r="AB401" i="25"/>
  <c r="AC401" i="25"/>
  <c r="AA401" i="25"/>
  <c r="AB341" i="25"/>
  <c r="AA341" i="25"/>
  <c r="AC305" i="25"/>
  <c r="AB305" i="25"/>
  <c r="AA305" i="25"/>
  <c r="AC269" i="25"/>
  <c r="AB269" i="25"/>
  <c r="AA269" i="25"/>
  <c r="AC221" i="25"/>
  <c r="AB221" i="25"/>
  <c r="AA221" i="25"/>
  <c r="AC185" i="25"/>
  <c r="AB185" i="25"/>
  <c r="AA185" i="25"/>
  <c r="AC149" i="25"/>
  <c r="AB149" i="25"/>
  <c r="AA149" i="25"/>
  <c r="AC137" i="25"/>
  <c r="AB137" i="25"/>
  <c r="AA137" i="25"/>
  <c r="AC101" i="25"/>
  <c r="AA101" i="25"/>
  <c r="AC89" i="25"/>
  <c r="AA89" i="25"/>
  <c r="AB89" i="25"/>
  <c r="AC77" i="25"/>
  <c r="AB77" i="25"/>
  <c r="AA77" i="25"/>
  <c r="AC65" i="25"/>
  <c r="AA65" i="25"/>
  <c r="AC53" i="25"/>
  <c r="AB53" i="25"/>
  <c r="AA53" i="25"/>
  <c r="AC29" i="25"/>
  <c r="AB29" i="25"/>
  <c r="AA29" i="25"/>
  <c r="U32" i="25"/>
  <c r="U20" i="25"/>
  <c r="U8" i="25"/>
  <c r="AF402" i="25"/>
  <c r="AD402" i="25"/>
  <c r="AE402" i="25"/>
  <c r="AF390" i="25"/>
  <c r="AE390" i="25"/>
  <c r="AD390" i="25"/>
  <c r="AF378" i="25"/>
  <c r="AE378" i="25"/>
  <c r="AD378" i="25"/>
  <c r="AF366" i="25"/>
  <c r="AD366" i="25"/>
  <c r="AE366" i="25"/>
  <c r="AF354" i="25"/>
  <c r="AE354" i="25"/>
  <c r="AD354" i="25"/>
  <c r="AF342" i="25"/>
  <c r="AE342" i="25"/>
  <c r="AD342" i="25"/>
  <c r="AF330" i="25"/>
  <c r="AD330" i="25"/>
  <c r="AE330" i="25"/>
  <c r="AF318" i="25"/>
  <c r="AE318" i="25"/>
  <c r="AD318" i="25"/>
  <c r="AF306" i="25"/>
  <c r="AE306" i="25"/>
  <c r="AD306" i="25"/>
  <c r="AF294" i="25"/>
  <c r="AD294" i="25"/>
  <c r="AE294" i="25"/>
  <c r="AF282" i="25"/>
  <c r="AE282" i="25"/>
  <c r="AD282" i="25"/>
  <c r="AF270" i="25"/>
  <c r="AE270" i="25"/>
  <c r="AD270" i="25"/>
  <c r="AF258" i="25"/>
  <c r="AD258" i="25"/>
  <c r="AE258" i="25"/>
  <c r="AF246" i="25"/>
  <c r="AE246" i="25"/>
  <c r="AD246" i="25"/>
  <c r="AF234" i="25"/>
  <c r="AE234" i="25"/>
  <c r="AD234" i="25"/>
  <c r="AF222" i="25"/>
  <c r="AD222" i="25"/>
  <c r="AE222" i="25"/>
  <c r="AF210" i="25"/>
  <c r="AE210" i="25"/>
  <c r="AD210" i="25"/>
  <c r="AF198" i="25"/>
  <c r="AD198" i="25"/>
  <c r="AE198" i="25"/>
  <c r="AF186" i="25"/>
  <c r="AD186" i="25"/>
  <c r="AE186" i="25"/>
  <c r="AF174" i="25"/>
  <c r="AE174" i="25"/>
  <c r="AD174" i="25"/>
  <c r="AD162" i="25"/>
  <c r="AF162" i="25"/>
  <c r="AE162" i="25"/>
  <c r="AD150" i="25"/>
  <c r="AF150" i="25"/>
  <c r="AE150" i="25"/>
  <c r="AD138" i="25"/>
  <c r="AF138" i="25"/>
  <c r="AE138" i="25"/>
  <c r="AD126" i="25"/>
  <c r="AF126" i="25"/>
  <c r="AE126" i="25"/>
  <c r="AD114" i="25"/>
  <c r="AF114" i="25"/>
  <c r="AE114" i="25"/>
  <c r="AD102" i="25"/>
  <c r="AF102" i="25"/>
  <c r="AE102" i="25"/>
  <c r="AD90" i="25"/>
  <c r="AF90" i="25"/>
  <c r="AD78" i="25"/>
  <c r="AF78" i="25"/>
  <c r="AE78" i="25"/>
  <c r="AD66" i="25"/>
  <c r="AF66" i="25"/>
  <c r="AE66" i="25"/>
  <c r="AD54" i="25"/>
  <c r="AF54" i="25"/>
  <c r="AE54" i="25"/>
  <c r="AD42" i="25"/>
  <c r="AF42" i="25"/>
  <c r="AE42" i="25"/>
  <c r="AD30" i="25"/>
  <c r="AF30" i="25"/>
  <c r="AE30" i="25"/>
  <c r="AD18" i="25"/>
  <c r="AF18" i="25"/>
  <c r="AE18" i="25"/>
  <c r="AD6" i="25"/>
  <c r="AF6" i="25"/>
  <c r="AE6" i="25"/>
  <c r="AA400" i="25"/>
  <c r="AB400" i="25"/>
  <c r="AC400" i="25"/>
  <c r="AC388" i="25"/>
  <c r="AA388" i="25"/>
  <c r="AC376" i="25"/>
  <c r="AA376" i="25"/>
  <c r="AB376" i="25"/>
  <c r="AC364" i="25"/>
  <c r="AA364" i="25"/>
  <c r="AC352" i="25"/>
  <c r="AA352" i="25"/>
  <c r="AB352" i="25"/>
  <c r="AC340" i="25"/>
  <c r="AA340" i="25"/>
  <c r="AB340" i="25"/>
  <c r="AC328" i="25"/>
  <c r="AA328" i="25"/>
  <c r="AB328" i="25"/>
  <c r="AC316" i="25"/>
  <c r="AA316" i="25"/>
  <c r="AB316" i="25"/>
  <c r="AC304" i="25"/>
  <c r="AA304" i="25"/>
  <c r="AC292" i="25"/>
  <c r="AA292" i="25"/>
  <c r="AB292" i="25"/>
  <c r="AC280" i="25"/>
  <c r="AA280" i="25"/>
  <c r="AB280" i="25"/>
  <c r="AC268" i="25"/>
  <c r="AA268" i="25"/>
  <c r="AB268" i="25"/>
  <c r="AC256" i="25"/>
  <c r="AA256" i="25"/>
  <c r="AB256" i="25"/>
  <c r="AC244" i="25"/>
  <c r="AA244" i="25"/>
  <c r="AC232" i="25"/>
  <c r="AA232" i="25"/>
  <c r="AB232" i="25"/>
  <c r="AC220" i="25"/>
  <c r="AA220" i="25"/>
  <c r="AC208" i="25"/>
  <c r="AA208" i="25"/>
  <c r="AB208" i="25"/>
  <c r="AC196" i="25"/>
  <c r="AA196" i="25"/>
  <c r="AC184" i="25"/>
  <c r="AA184" i="25"/>
  <c r="AB184" i="25"/>
  <c r="AC172" i="25"/>
  <c r="AA172" i="25"/>
  <c r="AC160" i="25"/>
  <c r="AA160" i="25"/>
  <c r="AB160" i="25"/>
  <c r="AC148" i="25"/>
  <c r="AA148" i="25"/>
  <c r="AC136" i="25"/>
  <c r="AA136" i="25"/>
  <c r="AB136" i="25"/>
  <c r="AC124" i="25"/>
  <c r="AA124" i="25"/>
  <c r="AC112" i="25"/>
  <c r="AB112" i="25"/>
  <c r="AA112" i="25"/>
  <c r="AC100" i="25"/>
  <c r="AB100" i="25"/>
  <c r="AA100" i="25"/>
  <c r="AC88" i="25"/>
  <c r="AA88" i="25"/>
  <c r="AB88" i="25"/>
  <c r="AC76" i="25"/>
  <c r="AB76" i="25"/>
  <c r="AA76" i="25"/>
  <c r="AC64" i="25"/>
  <c r="AA64" i="25"/>
  <c r="AC52" i="25"/>
  <c r="AB52" i="25"/>
  <c r="AA52" i="25"/>
  <c r="AC40" i="25"/>
  <c r="AA40" i="25"/>
  <c r="AB40" i="25"/>
  <c r="AC28" i="25"/>
  <c r="AB28" i="25"/>
  <c r="AA28" i="25"/>
  <c r="AC16" i="25"/>
  <c r="AA16" i="25"/>
  <c r="AB16" i="25"/>
  <c r="AC4" i="25"/>
  <c r="AB4" i="25"/>
  <c r="AA4" i="25"/>
  <c r="E24" i="1"/>
  <c r="S347" i="25"/>
  <c r="S286" i="25"/>
  <c r="S264" i="25"/>
  <c r="S203" i="25"/>
  <c r="S142" i="25"/>
  <c r="S120" i="25"/>
  <c r="S101" i="25"/>
  <c r="S59" i="25"/>
  <c r="S18" i="25"/>
  <c r="T404" i="25"/>
  <c r="T382" i="25"/>
  <c r="T342" i="25"/>
  <c r="T321" i="25"/>
  <c r="T260" i="25"/>
  <c r="T238" i="25"/>
  <c r="T198" i="25"/>
  <c r="T177" i="25"/>
  <c r="T116" i="25"/>
  <c r="T94" i="25"/>
  <c r="AA391" i="25"/>
  <c r="AA309" i="25"/>
  <c r="AA227" i="25"/>
  <c r="AB383" i="25"/>
  <c r="AB123" i="25"/>
  <c r="AC407" i="25"/>
  <c r="AC95" i="25"/>
  <c r="S381" i="25"/>
  <c r="U381" i="25"/>
  <c r="S345" i="25"/>
  <c r="U345" i="25"/>
  <c r="S285" i="25"/>
  <c r="U285" i="25"/>
  <c r="S237" i="25"/>
  <c r="U237" i="25"/>
  <c r="S189" i="25"/>
  <c r="U189" i="25"/>
  <c r="S141" i="25"/>
  <c r="U141" i="25"/>
  <c r="S105" i="25"/>
  <c r="U105" i="25"/>
  <c r="S57" i="25"/>
  <c r="U57" i="25"/>
  <c r="S9" i="25"/>
  <c r="U9" i="25"/>
  <c r="AE367" i="25"/>
  <c r="AF367" i="25"/>
  <c r="AD367" i="25"/>
  <c r="AE319" i="25"/>
  <c r="AF319" i="25"/>
  <c r="AD319" i="25"/>
  <c r="AE271" i="25"/>
  <c r="AF271" i="25"/>
  <c r="AD271" i="25"/>
  <c r="AE223" i="25"/>
  <c r="AF223" i="25"/>
  <c r="AD223" i="25"/>
  <c r="AE187" i="25"/>
  <c r="AF187" i="25"/>
  <c r="AD187" i="25"/>
  <c r="AE139" i="25"/>
  <c r="AF139" i="25"/>
  <c r="AD139" i="25"/>
  <c r="AE103" i="25"/>
  <c r="AF103" i="25"/>
  <c r="AD103" i="25"/>
  <c r="AE55" i="25"/>
  <c r="AF55" i="25"/>
  <c r="AD55" i="25"/>
  <c r="AE19" i="25"/>
  <c r="AF19" i="25"/>
  <c r="AD19" i="25"/>
  <c r="AB389" i="25"/>
  <c r="AA389" i="25"/>
  <c r="AC389" i="25"/>
  <c r="AB353" i="25"/>
  <c r="AA353" i="25"/>
  <c r="AC353" i="25"/>
  <c r="AB329" i="25"/>
  <c r="AC329" i="25"/>
  <c r="AA329" i="25"/>
  <c r="AC293" i="25"/>
  <c r="AB293" i="25"/>
  <c r="AA293" i="25"/>
  <c r="AC257" i="25"/>
  <c r="AB257" i="25"/>
  <c r="AA257" i="25"/>
  <c r="AC233" i="25"/>
  <c r="AB233" i="25"/>
  <c r="AA233" i="25"/>
  <c r="AC197" i="25"/>
  <c r="AB197" i="25"/>
  <c r="AA197" i="25"/>
  <c r="AC173" i="25"/>
  <c r="AB173" i="25"/>
  <c r="AA173" i="25"/>
  <c r="AC125" i="25"/>
  <c r="AB125" i="25"/>
  <c r="AA125" i="25"/>
  <c r="AC17" i="25"/>
  <c r="AA17" i="25"/>
  <c r="AB17" i="25"/>
  <c r="S403" i="25"/>
  <c r="T403" i="25"/>
  <c r="S391" i="25"/>
  <c r="T391" i="25"/>
  <c r="S379" i="25"/>
  <c r="T379" i="25"/>
  <c r="S367" i="25"/>
  <c r="T367" i="25"/>
  <c r="S355" i="25"/>
  <c r="T355" i="25"/>
  <c r="S343" i="25"/>
  <c r="T343" i="25"/>
  <c r="S331" i="25"/>
  <c r="T331" i="25"/>
  <c r="S319" i="25"/>
  <c r="T319" i="25"/>
  <c r="S307" i="25"/>
  <c r="T307" i="25"/>
  <c r="S295" i="25"/>
  <c r="T295" i="25"/>
  <c r="S283" i="25"/>
  <c r="T283" i="25"/>
  <c r="S271" i="25"/>
  <c r="T271" i="25"/>
  <c r="S259" i="25"/>
  <c r="T259" i="25"/>
  <c r="S247" i="25"/>
  <c r="T247" i="25"/>
  <c r="S235" i="25"/>
  <c r="T235" i="25"/>
  <c r="S223" i="25"/>
  <c r="T223" i="25"/>
  <c r="S211" i="25"/>
  <c r="T211" i="25"/>
  <c r="S199" i="25"/>
  <c r="T199" i="25"/>
  <c r="S187" i="25"/>
  <c r="T187" i="25"/>
  <c r="S175" i="25"/>
  <c r="T175" i="25"/>
  <c r="S163" i="25"/>
  <c r="T163" i="25"/>
  <c r="S151" i="25"/>
  <c r="T151" i="25"/>
  <c r="S139" i="25"/>
  <c r="T139" i="25"/>
  <c r="S127" i="25"/>
  <c r="T127" i="25"/>
  <c r="S115" i="25"/>
  <c r="T115" i="25"/>
  <c r="S103" i="25"/>
  <c r="T103" i="25"/>
  <c r="S91" i="25"/>
  <c r="T91" i="25"/>
  <c r="S79" i="25"/>
  <c r="T79" i="25"/>
  <c r="S67" i="25"/>
  <c r="T67" i="25"/>
  <c r="S55" i="25"/>
  <c r="T55" i="25"/>
  <c r="S43" i="25"/>
  <c r="T43" i="25"/>
  <c r="S31" i="25"/>
  <c r="T31" i="25"/>
  <c r="U31" i="25"/>
  <c r="U19" i="25"/>
  <c r="S19" i="25"/>
  <c r="T19" i="25"/>
  <c r="S7" i="25"/>
  <c r="T7" i="25"/>
  <c r="U7" i="25"/>
  <c r="AF401" i="25"/>
  <c r="AD401" i="25"/>
  <c r="AE401" i="25"/>
  <c r="AF389" i="25"/>
  <c r="AE389" i="25"/>
  <c r="AD389" i="25"/>
  <c r="AF377" i="25"/>
  <c r="AE377" i="25"/>
  <c r="AD377" i="25"/>
  <c r="AF365" i="25"/>
  <c r="AD365" i="25"/>
  <c r="AE365" i="25"/>
  <c r="AF353" i="25"/>
  <c r="AE353" i="25"/>
  <c r="AD353" i="25"/>
  <c r="AF341" i="25"/>
  <c r="AE341" i="25"/>
  <c r="AD341" i="25"/>
  <c r="AF329" i="25"/>
  <c r="AD329" i="25"/>
  <c r="AE329" i="25"/>
  <c r="AF317" i="25"/>
  <c r="AE317" i="25"/>
  <c r="AD317" i="25"/>
  <c r="AF305" i="25"/>
  <c r="AE305" i="25"/>
  <c r="AD305" i="25"/>
  <c r="AF293" i="25"/>
  <c r="AD293" i="25"/>
  <c r="AE293" i="25"/>
  <c r="AF281" i="25"/>
  <c r="AE281" i="25"/>
  <c r="AD281" i="25"/>
  <c r="AF269" i="25"/>
  <c r="AE269" i="25"/>
  <c r="AD269" i="25"/>
  <c r="AF257" i="25"/>
  <c r="AD257" i="25"/>
  <c r="AE257" i="25"/>
  <c r="AF245" i="25"/>
  <c r="AE245" i="25"/>
  <c r="AD245" i="25"/>
  <c r="AF233" i="25"/>
  <c r="AE233" i="25"/>
  <c r="AD233" i="25"/>
  <c r="AF221" i="25"/>
  <c r="AD221" i="25"/>
  <c r="AE221" i="25"/>
  <c r="AF209" i="25"/>
  <c r="AE209" i="25"/>
  <c r="AD209" i="25"/>
  <c r="AE197" i="25"/>
  <c r="AF197" i="25"/>
  <c r="AD197" i="25"/>
  <c r="AE185" i="25"/>
  <c r="AF185" i="25"/>
  <c r="AD185" i="25"/>
  <c r="AE173" i="25"/>
  <c r="AF173" i="25"/>
  <c r="AD173" i="25"/>
  <c r="AE161" i="25"/>
  <c r="AF161" i="25"/>
  <c r="AD161" i="25"/>
  <c r="AE149" i="25"/>
  <c r="AF149" i="25"/>
  <c r="AD149" i="25"/>
  <c r="AE137" i="25"/>
  <c r="AF137" i="25"/>
  <c r="AD137" i="25"/>
  <c r="AE125" i="25"/>
  <c r="AF125" i="25"/>
  <c r="AD125" i="25"/>
  <c r="AE113" i="25"/>
  <c r="AF113" i="25"/>
  <c r="AD113" i="25"/>
  <c r="AE101" i="25"/>
  <c r="AF101" i="25"/>
  <c r="AD101" i="25"/>
  <c r="AE89" i="25"/>
  <c r="AF89" i="25"/>
  <c r="AD89" i="25"/>
  <c r="AE77" i="25"/>
  <c r="AF77" i="25"/>
  <c r="AD77" i="25"/>
  <c r="AE65" i="25"/>
  <c r="AF65" i="25"/>
  <c r="AD65" i="25"/>
  <c r="AE53" i="25"/>
  <c r="AF53" i="25"/>
  <c r="AD53" i="25"/>
  <c r="AE41" i="25"/>
  <c r="AF41" i="25"/>
  <c r="AD41" i="25"/>
  <c r="AE29" i="25"/>
  <c r="AF29" i="25"/>
  <c r="AD29" i="25"/>
  <c r="AE17" i="25"/>
  <c r="AF17" i="25"/>
  <c r="AD17" i="25"/>
  <c r="AE5" i="25"/>
  <c r="AF5" i="25"/>
  <c r="AD5" i="25"/>
  <c r="AA399" i="25"/>
  <c r="AB399" i="25"/>
  <c r="AC399" i="25"/>
  <c r="AA387" i="25"/>
  <c r="AC387" i="25"/>
  <c r="AC375" i="25"/>
  <c r="AA375" i="25"/>
  <c r="AB375" i="25"/>
  <c r="AA363" i="25"/>
  <c r="AC363" i="25"/>
  <c r="AB363" i="25"/>
  <c r="AA351" i="25"/>
  <c r="AC351" i="25"/>
  <c r="AB351" i="25"/>
  <c r="AC339" i="25"/>
  <c r="AA339" i="25"/>
  <c r="AB339" i="25"/>
  <c r="AC327" i="25"/>
  <c r="AA327" i="25"/>
  <c r="AC315" i="25"/>
  <c r="AA315" i="25"/>
  <c r="AB315" i="25"/>
  <c r="AC303" i="25"/>
  <c r="AA303" i="25"/>
  <c r="AC291" i="25"/>
  <c r="AA291" i="25"/>
  <c r="AB291" i="25"/>
  <c r="AC279" i="25"/>
  <c r="AA279" i="25"/>
  <c r="AB279" i="25"/>
  <c r="AC267" i="25"/>
  <c r="AA267" i="25"/>
  <c r="AB267" i="25"/>
  <c r="AC255" i="25"/>
  <c r="AA255" i="25"/>
  <c r="AB255" i="25"/>
  <c r="AC243" i="25"/>
  <c r="AA243" i="25"/>
  <c r="AC231" i="25"/>
  <c r="AA231" i="25"/>
  <c r="AB231" i="25"/>
  <c r="AC219" i="25"/>
  <c r="AA219" i="25"/>
  <c r="AC207" i="25"/>
  <c r="AA207" i="25"/>
  <c r="AB207" i="25"/>
  <c r="AC195" i="25"/>
  <c r="AA195" i="25"/>
  <c r="AC183" i="25"/>
  <c r="AA183" i="25"/>
  <c r="AB183" i="25"/>
  <c r="AC171" i="25"/>
  <c r="AA171" i="25"/>
  <c r="AC159" i="25"/>
  <c r="AA159" i="25"/>
  <c r="AB159" i="25"/>
  <c r="AC147" i="25"/>
  <c r="AA147" i="25"/>
  <c r="S346" i="25"/>
  <c r="S324" i="25"/>
  <c r="S284" i="25"/>
  <c r="S263" i="25"/>
  <c r="S140" i="25"/>
  <c r="S17" i="25"/>
  <c r="T402" i="25"/>
  <c r="T381" i="25"/>
  <c r="T320" i="25"/>
  <c r="T298" i="25"/>
  <c r="T258" i="25"/>
  <c r="T237" i="25"/>
  <c r="T176" i="25"/>
  <c r="T154" i="25"/>
  <c r="T114" i="25"/>
  <c r="U385" i="25"/>
  <c r="U361" i="25"/>
  <c r="U337" i="25"/>
  <c r="U313" i="25"/>
  <c r="U289" i="25"/>
  <c r="U265" i="25"/>
  <c r="U241" i="25"/>
  <c r="U217" i="25"/>
  <c r="U193" i="25"/>
  <c r="U169" i="25"/>
  <c r="U145" i="25"/>
  <c r="U121" i="25"/>
  <c r="U97" i="25"/>
  <c r="U73" i="25"/>
  <c r="U49" i="25"/>
  <c r="AA210" i="25"/>
  <c r="AB368" i="25"/>
  <c r="AB285" i="25"/>
  <c r="AB200" i="25"/>
  <c r="AB101" i="25"/>
  <c r="AC381" i="25"/>
  <c r="AD392" i="25"/>
  <c r="S393" i="25"/>
  <c r="U393" i="25"/>
  <c r="S333" i="25"/>
  <c r="U333" i="25"/>
  <c r="S297" i="25"/>
  <c r="U297" i="25"/>
  <c r="S249" i="25"/>
  <c r="U249" i="25"/>
  <c r="S201" i="25"/>
  <c r="U201" i="25"/>
  <c r="S165" i="25"/>
  <c r="U165" i="25"/>
  <c r="S117" i="25"/>
  <c r="U117" i="25"/>
  <c r="S69" i="25"/>
  <c r="U69" i="25"/>
  <c r="U21" i="25"/>
  <c r="S21" i="25"/>
  <c r="AE379" i="25"/>
  <c r="AF379" i="25"/>
  <c r="AD379" i="25"/>
  <c r="AE331" i="25"/>
  <c r="AF331" i="25"/>
  <c r="AD331" i="25"/>
  <c r="AE283" i="25"/>
  <c r="AF283" i="25"/>
  <c r="AD283" i="25"/>
  <c r="AE235" i="25"/>
  <c r="AF235" i="25"/>
  <c r="AD235" i="25"/>
  <c r="AE199" i="25"/>
  <c r="AF199" i="25"/>
  <c r="AD199" i="25"/>
  <c r="AE163" i="25"/>
  <c r="AF163" i="25"/>
  <c r="AD163" i="25"/>
  <c r="AE127" i="25"/>
  <c r="AF127" i="25"/>
  <c r="AD127" i="25"/>
  <c r="AE79" i="25"/>
  <c r="AF79" i="25"/>
  <c r="AD79" i="25"/>
  <c r="AE43" i="25"/>
  <c r="AF43" i="25"/>
  <c r="AD43" i="25"/>
  <c r="AE7" i="25"/>
  <c r="AF7" i="25"/>
  <c r="AD7" i="25"/>
  <c r="AB365" i="25"/>
  <c r="AA365" i="25"/>
  <c r="AC365" i="25"/>
  <c r="AB317" i="25"/>
  <c r="AC317" i="25"/>
  <c r="AA317" i="25"/>
  <c r="AC281" i="25"/>
  <c r="AB281" i="25"/>
  <c r="AA281" i="25"/>
  <c r="AC245" i="25"/>
  <c r="AB245" i="25"/>
  <c r="AA245" i="25"/>
  <c r="AC209" i="25"/>
  <c r="AB209" i="25"/>
  <c r="AA209" i="25"/>
  <c r="AC161" i="25"/>
  <c r="AB161" i="25"/>
  <c r="AA161" i="25"/>
  <c r="AC113" i="25"/>
  <c r="AB113" i="25"/>
  <c r="AA113" i="25"/>
  <c r="AC5" i="25"/>
  <c r="AB5" i="25"/>
  <c r="AA5" i="25"/>
  <c r="T54" i="25"/>
  <c r="T42" i="25"/>
  <c r="T30" i="25"/>
  <c r="U30" i="25"/>
  <c r="T18" i="25"/>
  <c r="T6" i="25"/>
  <c r="AE400" i="25"/>
  <c r="AD400" i="25"/>
  <c r="AF400" i="25"/>
  <c r="AE388" i="25"/>
  <c r="AD388" i="25"/>
  <c r="AF388" i="25"/>
  <c r="AE376" i="25"/>
  <c r="AF376" i="25"/>
  <c r="AD376" i="25"/>
  <c r="AE364" i="25"/>
  <c r="AF364" i="25"/>
  <c r="AD364" i="25"/>
  <c r="AE352" i="25"/>
  <c r="AD352" i="25"/>
  <c r="AE340" i="25"/>
  <c r="AD340" i="25"/>
  <c r="AF340" i="25"/>
  <c r="AE328" i="25"/>
  <c r="AF328" i="25"/>
  <c r="AD328" i="25"/>
  <c r="AE316" i="25"/>
  <c r="AF316" i="25"/>
  <c r="AD316" i="25"/>
  <c r="AE304" i="25"/>
  <c r="AD304" i="25"/>
  <c r="AF304" i="25"/>
  <c r="AE292" i="25"/>
  <c r="AD292" i="25"/>
  <c r="AF292" i="25"/>
  <c r="AE280" i="25"/>
  <c r="AF280" i="25"/>
  <c r="AD280" i="25"/>
  <c r="AE268" i="25"/>
  <c r="AF268" i="25"/>
  <c r="AD268" i="25"/>
  <c r="AE256" i="25"/>
  <c r="AD256" i="25"/>
  <c r="AF256" i="25"/>
  <c r="AE244" i="25"/>
  <c r="AD244" i="25"/>
  <c r="AF244" i="25"/>
  <c r="AE232" i="25"/>
  <c r="AF232" i="25"/>
  <c r="AD232" i="25"/>
  <c r="AE220" i="25"/>
  <c r="AF220" i="25"/>
  <c r="AD220" i="25"/>
  <c r="AE208" i="25"/>
  <c r="AD208" i="25"/>
  <c r="AF208" i="25"/>
  <c r="AE196" i="25"/>
  <c r="AF196" i="25"/>
  <c r="AD196" i="25"/>
  <c r="AE184" i="25"/>
  <c r="AD184" i="25"/>
  <c r="AF184" i="25"/>
  <c r="AE172" i="25"/>
  <c r="AF172" i="25"/>
  <c r="AE160" i="25"/>
  <c r="AD160" i="25"/>
  <c r="AF160" i="25"/>
  <c r="AE148" i="25"/>
  <c r="AD148" i="25"/>
  <c r="AF148" i="25"/>
  <c r="AE136" i="25"/>
  <c r="AF136" i="25"/>
  <c r="AD136" i="25"/>
  <c r="AE124" i="25"/>
  <c r="AF124" i="25"/>
  <c r="AD124" i="25"/>
  <c r="AE112" i="25"/>
  <c r="AD112" i="25"/>
  <c r="AF112" i="25"/>
  <c r="AE100" i="25"/>
  <c r="AF100" i="25"/>
  <c r="AD100" i="25"/>
  <c r="AE88" i="25"/>
  <c r="AD88" i="25"/>
  <c r="AF88" i="25"/>
  <c r="AE76" i="25"/>
  <c r="AD76" i="25"/>
  <c r="AF76" i="25"/>
  <c r="AE64" i="25"/>
  <c r="AD64" i="25"/>
  <c r="AF64" i="25"/>
  <c r="AE52" i="25"/>
  <c r="AD52" i="25"/>
  <c r="AF52" i="25"/>
  <c r="AE40" i="25"/>
  <c r="AD40" i="25"/>
  <c r="AF40" i="25"/>
  <c r="AE28" i="25"/>
  <c r="AF28" i="25"/>
  <c r="AD28" i="25"/>
  <c r="AE16" i="25"/>
  <c r="AD16" i="25"/>
  <c r="AF16" i="25"/>
  <c r="AE4" i="25"/>
  <c r="AF4" i="25"/>
  <c r="AD4" i="25"/>
  <c r="AB398" i="25"/>
  <c r="AA398" i="25"/>
  <c r="AC398" i="25"/>
  <c r="AC386" i="25"/>
  <c r="AB386" i="25"/>
  <c r="AA386" i="25"/>
  <c r="AC374" i="25"/>
  <c r="AB374" i="25"/>
  <c r="AA374" i="25"/>
  <c r="AB362" i="25"/>
  <c r="AA361" i="25"/>
  <c r="AA362" i="25"/>
  <c r="AC362" i="25"/>
  <c r="AC350" i="25"/>
  <c r="AB350" i="25"/>
  <c r="AC338" i="25"/>
  <c r="AB338" i="25"/>
  <c r="AA338" i="25"/>
  <c r="AB326" i="25"/>
  <c r="AC326" i="25"/>
  <c r="AA326" i="25"/>
  <c r="AB314" i="25"/>
  <c r="AA314" i="25"/>
  <c r="AC314" i="25"/>
  <c r="AC302" i="25"/>
  <c r="AB302" i="25"/>
  <c r="AA301" i="25"/>
  <c r="AA302" i="25"/>
  <c r="AC290" i="25"/>
  <c r="AB290" i="25"/>
  <c r="AC278" i="25"/>
  <c r="AB278" i="25"/>
  <c r="AA277" i="25"/>
  <c r="AA278" i="25"/>
  <c r="AC266" i="25"/>
  <c r="AB266" i="25"/>
  <c r="AC254" i="25"/>
  <c r="AB254" i="25"/>
  <c r="AA254" i="25"/>
  <c r="AC242" i="25"/>
  <c r="AB242" i="25"/>
  <c r="AA242" i="25"/>
  <c r="AC230" i="25"/>
  <c r="AB230" i="25"/>
  <c r="AA230" i="25"/>
  <c r="AC218" i="25"/>
  <c r="AB218" i="25"/>
  <c r="AA217" i="25"/>
  <c r="AA218" i="25"/>
  <c r="AC206" i="25"/>
  <c r="AB206" i="25"/>
  <c r="AC194" i="25"/>
  <c r="AB194" i="25"/>
  <c r="AA194" i="25"/>
  <c r="AC182" i="25"/>
  <c r="AB182" i="25"/>
  <c r="AA182" i="25"/>
  <c r="AC170" i="25"/>
  <c r="AB170" i="25"/>
  <c r="AA170" i="25"/>
  <c r="AC158" i="25"/>
  <c r="AB158" i="25"/>
  <c r="AA157" i="25"/>
  <c r="AA158" i="25"/>
  <c r="AC146" i="25"/>
  <c r="AB146" i="25"/>
  <c r="AC134" i="25"/>
  <c r="AB134" i="25"/>
  <c r="AA133" i="25"/>
  <c r="AA134" i="25"/>
  <c r="AC122" i="25"/>
  <c r="AB122" i="25"/>
  <c r="AC110" i="25"/>
  <c r="AA110" i="25"/>
  <c r="AB110" i="25"/>
  <c r="AC98" i="25"/>
  <c r="AB98" i="25"/>
  <c r="AA98" i="25"/>
  <c r="AC86" i="25"/>
  <c r="AB86" i="25"/>
  <c r="AA86" i="25"/>
  <c r="AC74" i="25"/>
  <c r="AB74" i="25"/>
  <c r="AA73" i="25"/>
  <c r="AA74" i="25"/>
  <c r="AC62" i="25"/>
  <c r="AB62" i="25"/>
  <c r="AC50" i="25"/>
  <c r="AA50" i="25"/>
  <c r="AB50" i="25"/>
  <c r="AC38" i="25"/>
  <c r="AB38" i="25"/>
  <c r="AA38" i="25"/>
  <c r="AC26" i="25"/>
  <c r="AA26" i="25"/>
  <c r="AB26" i="25"/>
  <c r="S406" i="25"/>
  <c r="S384" i="25"/>
  <c r="S323" i="25"/>
  <c r="S262" i="25"/>
  <c r="T380" i="25"/>
  <c r="T358" i="25"/>
  <c r="T297" i="25"/>
  <c r="T236" i="25"/>
  <c r="T214" i="25"/>
  <c r="T92" i="25"/>
  <c r="T70" i="25"/>
  <c r="U384" i="25"/>
  <c r="U360" i="25"/>
  <c r="U336" i="25"/>
  <c r="U312" i="25"/>
  <c r="U288" i="25"/>
  <c r="U264" i="25"/>
  <c r="U240" i="25"/>
  <c r="U216" i="25"/>
  <c r="U192" i="25"/>
  <c r="U168" i="25"/>
  <c r="U144" i="25"/>
  <c r="U120" i="25"/>
  <c r="U96" i="25"/>
  <c r="U72" i="25"/>
  <c r="U48" i="25"/>
  <c r="AA372" i="25"/>
  <c r="AA289" i="25"/>
  <c r="AA206" i="25"/>
  <c r="AB366" i="25"/>
  <c r="AB284" i="25"/>
  <c r="AB196" i="25"/>
  <c r="AB97" i="25"/>
  <c r="AC373" i="25"/>
  <c r="AD368" i="25"/>
  <c r="AA37" i="25"/>
  <c r="S404" i="25"/>
  <c r="S383" i="25"/>
  <c r="S322" i="25"/>
  <c r="S300" i="25"/>
  <c r="S260" i="25"/>
  <c r="S239" i="25"/>
  <c r="S178" i="25"/>
  <c r="S156" i="25"/>
  <c r="S116" i="25"/>
  <c r="S95" i="25"/>
  <c r="S54" i="25"/>
  <c r="S34" i="25"/>
  <c r="S12" i="25"/>
  <c r="T274" i="25"/>
  <c r="T130" i="25"/>
  <c r="T69" i="25"/>
  <c r="T46" i="25"/>
  <c r="T22" i="25"/>
  <c r="U356" i="25"/>
  <c r="U212" i="25"/>
  <c r="U68" i="25"/>
  <c r="U6" i="25"/>
  <c r="AA371" i="25"/>
  <c r="AA205" i="25"/>
  <c r="AA122" i="25"/>
  <c r="AA42" i="25"/>
  <c r="AB364" i="25"/>
  <c r="AB282" i="25"/>
  <c r="AB195" i="25"/>
  <c r="AD357" i="25"/>
  <c r="S405" i="25"/>
  <c r="U405" i="25"/>
  <c r="S357" i="25"/>
  <c r="U357" i="25"/>
  <c r="S309" i="25"/>
  <c r="U309" i="25"/>
  <c r="S261" i="25"/>
  <c r="U261" i="25"/>
  <c r="S213" i="25"/>
  <c r="U213" i="25"/>
  <c r="S153" i="25"/>
  <c r="U153" i="25"/>
  <c r="S93" i="25"/>
  <c r="U93" i="25"/>
  <c r="S33" i="25"/>
  <c r="AE391" i="25"/>
  <c r="AF391" i="25"/>
  <c r="AD391" i="25"/>
  <c r="AE343" i="25"/>
  <c r="AF343" i="25"/>
  <c r="AD343" i="25"/>
  <c r="AE295" i="25"/>
  <c r="AF295" i="25"/>
  <c r="AD295" i="25"/>
  <c r="AE247" i="25"/>
  <c r="AF247" i="25"/>
  <c r="AD247" i="25"/>
  <c r="AE175" i="25"/>
  <c r="AF175" i="25"/>
  <c r="AD175" i="25"/>
  <c r="AE91" i="25"/>
  <c r="AF91" i="25"/>
  <c r="AD91" i="25"/>
  <c r="AB377" i="25"/>
  <c r="AC377" i="25"/>
  <c r="AA377" i="25"/>
  <c r="AC41" i="25"/>
  <c r="AA41" i="25"/>
  <c r="AB41" i="25"/>
  <c r="T401" i="25"/>
  <c r="U401" i="25"/>
  <c r="T389" i="25"/>
  <c r="U389" i="25"/>
  <c r="T377" i="25"/>
  <c r="U377" i="25"/>
  <c r="T365" i="25"/>
  <c r="U365" i="25"/>
  <c r="T353" i="25"/>
  <c r="U353" i="25"/>
  <c r="T341" i="25"/>
  <c r="U341" i="25"/>
  <c r="T329" i="25"/>
  <c r="U329" i="25"/>
  <c r="T317" i="25"/>
  <c r="U317" i="25"/>
  <c r="T305" i="25"/>
  <c r="U305" i="25"/>
  <c r="T293" i="25"/>
  <c r="U293" i="25"/>
  <c r="T281" i="25"/>
  <c r="U281" i="25"/>
  <c r="T269" i="25"/>
  <c r="U269" i="25"/>
  <c r="T257" i="25"/>
  <c r="U257" i="25"/>
  <c r="T245" i="25"/>
  <c r="U245" i="25"/>
  <c r="T233" i="25"/>
  <c r="U233" i="25"/>
  <c r="T221" i="25"/>
  <c r="U221" i="25"/>
  <c r="T209" i="25"/>
  <c r="U209" i="25"/>
  <c r="T197" i="25"/>
  <c r="U197" i="25"/>
  <c r="T185" i="25"/>
  <c r="U185" i="25"/>
  <c r="T173" i="25"/>
  <c r="U173" i="25"/>
  <c r="T161" i="25"/>
  <c r="U161" i="25"/>
  <c r="T149" i="25"/>
  <c r="U149" i="25"/>
  <c r="T137" i="25"/>
  <c r="U137" i="25"/>
  <c r="T125" i="25"/>
  <c r="U125" i="25"/>
  <c r="T113" i="25"/>
  <c r="U113" i="25"/>
  <c r="T101" i="25"/>
  <c r="U101" i="25"/>
  <c r="T89" i="25"/>
  <c r="U89" i="25"/>
  <c r="T77" i="25"/>
  <c r="U77" i="25"/>
  <c r="T65" i="25"/>
  <c r="U65" i="25"/>
  <c r="T53" i="25"/>
  <c r="U53" i="25"/>
  <c r="T41" i="25"/>
  <c r="U41" i="25"/>
  <c r="U29" i="25"/>
  <c r="T29" i="25"/>
  <c r="U17" i="25"/>
  <c r="T17" i="25"/>
  <c r="U5" i="25"/>
  <c r="T5" i="25"/>
  <c r="AF399" i="25"/>
  <c r="AE399" i="25"/>
  <c r="AD399" i="25"/>
  <c r="AF387" i="25"/>
  <c r="AE387" i="25"/>
  <c r="AD387" i="25"/>
  <c r="AF375" i="25"/>
  <c r="AE375" i="25"/>
  <c r="AD375" i="25"/>
  <c r="AF363" i="25"/>
  <c r="AE363" i="25"/>
  <c r="AD363" i="25"/>
  <c r="AF351" i="25"/>
  <c r="AE351" i="25"/>
  <c r="AD351" i="25"/>
  <c r="AF339" i="25"/>
  <c r="AE339" i="25"/>
  <c r="AD339" i="25"/>
  <c r="AF327" i="25"/>
  <c r="AE327" i="25"/>
  <c r="AD327" i="25"/>
  <c r="AF315" i="25"/>
  <c r="AE315" i="25"/>
  <c r="AD315" i="25"/>
  <c r="AF303" i="25"/>
  <c r="AE303" i="25"/>
  <c r="AD303" i="25"/>
  <c r="AD147" i="25"/>
  <c r="AA325" i="25"/>
  <c r="AA265" i="25"/>
  <c r="AA181" i="25"/>
  <c r="AA121" i="25"/>
  <c r="U400" i="25"/>
  <c r="U388" i="25"/>
  <c r="U376" i="25"/>
  <c r="U364" i="25"/>
  <c r="U352" i="25"/>
  <c r="U340" i="25"/>
  <c r="U328" i="25"/>
  <c r="U316" i="25"/>
  <c r="U304" i="25"/>
  <c r="U292" i="25"/>
  <c r="U280" i="25"/>
  <c r="U268" i="25"/>
  <c r="U256" i="25"/>
  <c r="U244" i="25"/>
  <c r="U232" i="25"/>
  <c r="U220" i="25"/>
  <c r="U208" i="25"/>
  <c r="U196" i="25"/>
  <c r="U184" i="25"/>
  <c r="U172" i="25"/>
  <c r="U160" i="25"/>
  <c r="U148" i="25"/>
  <c r="U136" i="25"/>
  <c r="U124" i="25"/>
  <c r="U112" i="25"/>
  <c r="U100" i="25"/>
  <c r="U88" i="25"/>
  <c r="U76" i="25"/>
  <c r="U64" i="25"/>
  <c r="U52" i="25"/>
  <c r="U40" i="25"/>
  <c r="U4" i="25"/>
  <c r="AF398" i="25"/>
  <c r="AD398" i="25"/>
  <c r="AE398" i="25"/>
  <c r="AF386" i="25"/>
  <c r="AE386" i="25"/>
  <c r="AD386" i="25"/>
  <c r="AF374" i="25"/>
  <c r="AE374" i="25"/>
  <c r="AD374" i="25"/>
  <c r="AF362" i="25"/>
  <c r="AD362" i="25"/>
  <c r="AE362" i="25"/>
  <c r="AF350" i="25"/>
  <c r="AE350" i="25"/>
  <c r="AD350" i="25"/>
  <c r="AF338" i="25"/>
  <c r="AE338" i="25"/>
  <c r="AD338" i="25"/>
  <c r="AF326" i="25"/>
  <c r="AD326" i="25"/>
  <c r="AE326" i="25"/>
  <c r="AF314" i="25"/>
  <c r="AE314" i="25"/>
  <c r="AD314" i="25"/>
  <c r="AF302" i="25"/>
  <c r="AE302" i="25"/>
  <c r="AD302" i="25"/>
  <c r="AF290" i="25"/>
  <c r="AD290" i="25"/>
  <c r="AE290" i="25"/>
  <c r="AF278" i="25"/>
  <c r="AE278" i="25"/>
  <c r="AD278" i="25"/>
  <c r="AF266" i="25"/>
  <c r="AE266" i="25"/>
  <c r="AD266" i="25"/>
  <c r="AF254" i="25"/>
  <c r="AD254" i="25"/>
  <c r="AE254" i="25"/>
  <c r="AF242" i="25"/>
  <c r="AE242" i="25"/>
  <c r="AD242" i="25"/>
  <c r="AF230" i="25"/>
  <c r="AE230" i="25"/>
  <c r="AD230" i="25"/>
  <c r="AF218" i="25"/>
  <c r="AD218" i="25"/>
  <c r="AE218" i="25"/>
  <c r="AF206" i="25"/>
  <c r="AE206" i="25"/>
  <c r="AD206" i="25"/>
  <c r="AF194" i="25"/>
  <c r="AE194" i="25"/>
  <c r="AD194" i="25"/>
  <c r="AF182" i="25"/>
  <c r="AD182" i="25"/>
  <c r="AE182" i="25"/>
  <c r="AF170" i="25"/>
  <c r="AE170" i="25"/>
  <c r="AD170" i="25"/>
  <c r="AF158" i="25"/>
  <c r="AD158" i="25"/>
  <c r="AE158" i="25"/>
  <c r="AF146" i="25"/>
  <c r="AD146" i="25"/>
  <c r="AE146" i="25"/>
  <c r="AF134" i="25"/>
  <c r="AD134" i="25"/>
  <c r="AE134" i="25"/>
  <c r="AF122" i="25"/>
  <c r="AD122" i="25"/>
  <c r="AE122" i="25"/>
  <c r="AF110" i="25"/>
  <c r="AD110" i="25"/>
  <c r="AE110" i="25"/>
  <c r="AF98" i="25"/>
  <c r="AD98" i="25"/>
  <c r="AE98" i="25"/>
  <c r="AF86" i="25"/>
  <c r="AD86" i="25"/>
  <c r="AE86" i="25"/>
  <c r="AF74" i="25"/>
  <c r="AD74" i="25"/>
  <c r="AE74" i="25"/>
  <c r="AF62" i="25"/>
  <c r="AD62" i="25"/>
  <c r="AE62" i="25"/>
  <c r="AF50" i="25"/>
  <c r="AD50" i="25"/>
  <c r="AE50" i="25"/>
  <c r="AF38" i="25"/>
  <c r="AD38" i="25"/>
  <c r="AE38" i="25"/>
  <c r="AF26" i="25"/>
  <c r="AD26" i="25"/>
  <c r="AE26" i="25"/>
  <c r="AF14" i="25"/>
  <c r="AD14" i="25"/>
  <c r="AE14" i="25"/>
  <c r="AB2" i="25"/>
  <c r="J23" i="1" s="1"/>
  <c r="AA2" i="25"/>
  <c r="I23" i="1" s="1"/>
  <c r="AC396" i="25"/>
  <c r="AB396" i="25"/>
  <c r="AA396" i="25"/>
  <c r="AB384" i="25"/>
  <c r="AC384" i="25"/>
  <c r="AA384" i="25"/>
  <c r="AB372" i="25"/>
  <c r="AC360" i="25"/>
  <c r="AB360" i="25"/>
  <c r="AA360" i="25"/>
  <c r="AC348" i="25"/>
  <c r="AB348" i="25"/>
  <c r="AA348" i="25"/>
  <c r="AC336" i="25"/>
  <c r="AB336" i="25"/>
  <c r="AA336" i="25"/>
  <c r="AB324" i="25"/>
  <c r="AA324" i="25"/>
  <c r="AC324" i="25"/>
  <c r="AC312" i="25"/>
  <c r="AB312" i="25"/>
  <c r="AC300" i="25"/>
  <c r="AB300" i="25"/>
  <c r="AA300" i="25"/>
  <c r="AC288" i="25"/>
  <c r="AB288" i="25"/>
  <c r="AC276" i="25"/>
  <c r="AB276" i="25"/>
  <c r="AA276" i="25"/>
  <c r="AC264" i="25"/>
  <c r="AB264" i="25"/>
  <c r="AA264" i="25"/>
  <c r="AC252" i="25"/>
  <c r="AB252" i="25"/>
  <c r="AA252" i="25"/>
  <c r="AC240" i="25"/>
  <c r="AB240" i="25"/>
  <c r="AA240" i="25"/>
  <c r="AC228" i="25"/>
  <c r="AB228" i="25"/>
  <c r="AC216" i="25"/>
  <c r="AB216" i="25"/>
  <c r="AA216" i="25"/>
  <c r="AC204" i="25"/>
  <c r="AB204" i="25"/>
  <c r="AA204" i="25"/>
  <c r="AC192" i="25"/>
  <c r="AB192" i="25"/>
  <c r="AA192" i="25"/>
  <c r="AC180" i="25"/>
  <c r="AB180" i="25"/>
  <c r="AA180" i="25"/>
  <c r="AC168" i="25"/>
  <c r="AB168" i="25"/>
  <c r="AC156" i="25"/>
  <c r="AB156" i="25"/>
  <c r="AA156" i="25"/>
  <c r="AC144" i="25"/>
  <c r="AB144" i="25"/>
  <c r="AC132" i="25"/>
  <c r="AB132" i="25"/>
  <c r="AA132" i="25"/>
  <c r="AC120" i="25"/>
  <c r="AB120" i="25"/>
  <c r="AA120" i="25"/>
  <c r="AC108" i="25"/>
  <c r="AB108" i="25"/>
  <c r="AA108" i="25"/>
  <c r="AC96" i="25"/>
  <c r="AA96" i="25"/>
  <c r="AC84" i="25"/>
  <c r="AB84" i="25"/>
  <c r="AC72" i="25"/>
  <c r="AA72" i="25"/>
  <c r="AC60" i="25"/>
  <c r="AB60" i="25"/>
  <c r="AA60" i="25"/>
  <c r="AC48" i="25"/>
  <c r="AB48" i="25"/>
  <c r="AA48" i="25"/>
  <c r="AC36" i="25"/>
  <c r="AB36" i="25"/>
  <c r="AA36" i="25"/>
  <c r="AC24" i="25"/>
  <c r="AB24" i="25"/>
  <c r="AC12" i="25"/>
  <c r="AB12" i="25"/>
  <c r="AA12" i="25"/>
  <c r="S382" i="25"/>
  <c r="S360" i="25"/>
  <c r="S341" i="25"/>
  <c r="S299" i="25"/>
  <c r="S280" i="25"/>
  <c r="S238" i="25"/>
  <c r="S216" i="25"/>
  <c r="S197" i="25"/>
  <c r="S155" i="25"/>
  <c r="S136" i="25"/>
  <c r="S94" i="25"/>
  <c r="S72" i="25"/>
  <c r="S53" i="25"/>
  <c r="S32" i="25"/>
  <c r="S11" i="25"/>
  <c r="T376" i="25"/>
  <c r="T334" i="25"/>
  <c r="T273" i="25"/>
  <c r="T232" i="25"/>
  <c r="T190" i="25"/>
  <c r="T129" i="25"/>
  <c r="T88" i="25"/>
  <c r="T45" i="25"/>
  <c r="T21" i="25"/>
  <c r="U403" i="25"/>
  <c r="U379" i="25"/>
  <c r="U355" i="25"/>
  <c r="U331" i="25"/>
  <c r="U307" i="25"/>
  <c r="U283" i="25"/>
  <c r="U259" i="25"/>
  <c r="U235" i="25"/>
  <c r="U211" i="25"/>
  <c r="U187" i="25"/>
  <c r="U163" i="25"/>
  <c r="U139" i="25"/>
  <c r="U115" i="25"/>
  <c r="U91" i="25"/>
  <c r="U67" i="25"/>
  <c r="U43" i="25"/>
  <c r="AA354" i="25"/>
  <c r="AA271" i="25"/>
  <c r="AA107" i="25"/>
  <c r="AA24" i="25"/>
  <c r="AB263" i="25"/>
  <c r="AB176" i="25"/>
  <c r="AB72" i="25"/>
  <c r="AC341" i="25"/>
  <c r="AD224" i="25"/>
  <c r="AC135" i="25"/>
  <c r="AA135" i="25"/>
  <c r="AC123" i="25"/>
  <c r="AA123" i="25"/>
  <c r="AC111" i="25"/>
  <c r="AA111" i="25"/>
  <c r="AC99" i="25"/>
  <c r="AB99" i="25"/>
  <c r="AA99" i="25"/>
  <c r="AC87" i="25"/>
  <c r="AA87" i="25"/>
  <c r="AC75" i="25"/>
  <c r="AA75" i="25"/>
  <c r="AC63" i="25"/>
  <c r="AA63" i="25"/>
  <c r="AB63" i="25"/>
  <c r="AC51" i="25"/>
  <c r="AB51" i="25"/>
  <c r="AA51" i="25"/>
  <c r="AC39" i="25"/>
  <c r="AA39" i="25"/>
  <c r="AC27" i="25"/>
  <c r="AA27" i="25"/>
  <c r="AC15" i="25"/>
  <c r="AA15" i="25"/>
  <c r="AB15" i="25"/>
  <c r="AC3" i="25"/>
  <c r="AB3" i="25"/>
  <c r="AA3" i="25"/>
  <c r="F23" i="1"/>
  <c r="AB27" i="25"/>
  <c r="AC14" i="25"/>
  <c r="AB14" i="25"/>
  <c r="T2" i="25"/>
  <c r="J17" i="1" s="1"/>
  <c r="AA141" i="25"/>
  <c r="AA79" i="25"/>
  <c r="AF291" i="25"/>
  <c r="AE291" i="25"/>
  <c r="AD291" i="25"/>
  <c r="AF279" i="25"/>
  <c r="AE279" i="25"/>
  <c r="AD279" i="25"/>
  <c r="AF267" i="25"/>
  <c r="AE267" i="25"/>
  <c r="AD267" i="25"/>
  <c r="AF255" i="25"/>
  <c r="AE255" i="25"/>
  <c r="AD255" i="25"/>
  <c r="AF243" i="25"/>
  <c r="AE243" i="25"/>
  <c r="AD243" i="25"/>
  <c r="AF231" i="25"/>
  <c r="AE231" i="25"/>
  <c r="AD231" i="25"/>
  <c r="AF219" i="25"/>
  <c r="AE219" i="25"/>
  <c r="AD219" i="25"/>
  <c r="AF207" i="25"/>
  <c r="AE207" i="25"/>
  <c r="AD207" i="25"/>
  <c r="AF195" i="25"/>
  <c r="AE195" i="25"/>
  <c r="AD195" i="25"/>
  <c r="AF183" i="25"/>
  <c r="AE183" i="25"/>
  <c r="AD183" i="25"/>
  <c r="AF171" i="25"/>
  <c r="AE171" i="25"/>
  <c r="AD171" i="25"/>
  <c r="AF159" i="25"/>
  <c r="AE159" i="25"/>
  <c r="AD159" i="25"/>
  <c r="AF147" i="25"/>
  <c r="AE147" i="25"/>
  <c r="AF135" i="25"/>
  <c r="AE135" i="25"/>
  <c r="AD135" i="25"/>
  <c r="AF123" i="25"/>
  <c r="AE123" i="25"/>
  <c r="AD123" i="25"/>
  <c r="AF111" i="25"/>
  <c r="AE111" i="25"/>
  <c r="AD111" i="25"/>
  <c r="AF99" i="25"/>
  <c r="AE99" i="25"/>
  <c r="AD99" i="25"/>
  <c r="AF87" i="25"/>
  <c r="AE87" i="25"/>
  <c r="AD87" i="25"/>
  <c r="AF75" i="25"/>
  <c r="AE75" i="25"/>
  <c r="AD75" i="25"/>
  <c r="AF63" i="25"/>
  <c r="AE63" i="25"/>
  <c r="AD63" i="25"/>
  <c r="AF51" i="25"/>
  <c r="AE51" i="25"/>
  <c r="AD51" i="25"/>
  <c r="AF39" i="25"/>
  <c r="AE39" i="25"/>
  <c r="AF27" i="25"/>
  <c r="AE27" i="25"/>
  <c r="AD27" i="25"/>
  <c r="AF15" i="25"/>
  <c r="AE15" i="25"/>
  <c r="AD15" i="25"/>
  <c r="AF3" i="25"/>
  <c r="AE3" i="25"/>
  <c r="AD3" i="25"/>
  <c r="AB397" i="25"/>
  <c r="AC385" i="25"/>
  <c r="AB385" i="25"/>
  <c r="AB373" i="25"/>
  <c r="AB361" i="25"/>
  <c r="AC349" i="25"/>
  <c r="AB349" i="25"/>
  <c r="AC337" i="25"/>
  <c r="AB337" i="25"/>
  <c r="AC325" i="25"/>
  <c r="AB325" i="25"/>
  <c r="AC313" i="25"/>
  <c r="AB313" i="25"/>
  <c r="AC301" i="25"/>
  <c r="AB301" i="25"/>
  <c r="AC289" i="25"/>
  <c r="AB289" i="25"/>
  <c r="AC277" i="25"/>
  <c r="AB277" i="25"/>
  <c r="AC265" i="25"/>
  <c r="AB265" i="25"/>
  <c r="AC253" i="25"/>
  <c r="AB253" i="25"/>
  <c r="AC241" i="25"/>
  <c r="AB241" i="25"/>
  <c r="AC229" i="25"/>
  <c r="AB229" i="25"/>
  <c r="AC217" i="25"/>
  <c r="AB217" i="25"/>
  <c r="AC205" i="25"/>
  <c r="AB205" i="25"/>
  <c r="AC193" i="25"/>
  <c r="AB193" i="25"/>
  <c r="AC181" i="25"/>
  <c r="AB181" i="25"/>
  <c r="AC169" i="25"/>
  <c r="AB169" i="25"/>
  <c r="AC157" i="25"/>
  <c r="AB157" i="25"/>
  <c r="AC145" i="25"/>
  <c r="AB145" i="25"/>
  <c r="AC133" i="25"/>
  <c r="AB133" i="25"/>
  <c r="AC121" i="25"/>
  <c r="AB121" i="25"/>
  <c r="AC109" i="25"/>
  <c r="AB109" i="25"/>
  <c r="AC97" i="25"/>
  <c r="AC85" i="25"/>
  <c r="AB85" i="25"/>
  <c r="AC73" i="25"/>
  <c r="AC61" i="25"/>
  <c r="AB61" i="25"/>
  <c r="AC49" i="25"/>
  <c r="AC37" i="25"/>
  <c r="AB37" i="25"/>
  <c r="AC25" i="25"/>
  <c r="AC13" i="25"/>
  <c r="AB13" i="25"/>
  <c r="AA385" i="25"/>
  <c r="AA241" i="25"/>
  <c r="AA97" i="25"/>
  <c r="AA14" i="25"/>
  <c r="AB213" i="25"/>
  <c r="AB117" i="25"/>
  <c r="AB25" i="25"/>
  <c r="AA13" i="25"/>
  <c r="AB87" i="25"/>
  <c r="AC397" i="25"/>
  <c r="AC361" i="25"/>
  <c r="AD39" i="25"/>
  <c r="AB111" i="25"/>
  <c r="AB135" i="25"/>
  <c r="AB49" i="25"/>
  <c r="AC201" i="25"/>
  <c r="AC189" i="25"/>
  <c r="AC177" i="25"/>
  <c r="AC165" i="25"/>
  <c r="AC153" i="25"/>
  <c r="AC141" i="25"/>
  <c r="AC129" i="25"/>
  <c r="AC117" i="25"/>
  <c r="AC105" i="25"/>
  <c r="AC93" i="25"/>
  <c r="AB93" i="25"/>
  <c r="AB81" i="25"/>
  <c r="AC81" i="25"/>
  <c r="AB69" i="25"/>
  <c r="AC69" i="25"/>
  <c r="AB57" i="25"/>
  <c r="AC57" i="25"/>
  <c r="AB45" i="25"/>
  <c r="AC45" i="25"/>
  <c r="AB33" i="25"/>
  <c r="AC33" i="25"/>
  <c r="AB21" i="25"/>
  <c r="AC21" i="25"/>
  <c r="AB9" i="25"/>
  <c r="AC9" i="25"/>
  <c r="AA337" i="25"/>
  <c r="AA193" i="25"/>
  <c r="AA153" i="25"/>
  <c r="AA49" i="25"/>
  <c r="AA9" i="25"/>
  <c r="AB105" i="25"/>
  <c r="AB75" i="25"/>
  <c r="AA397" i="25"/>
  <c r="AA253" i="25"/>
  <c r="AA213" i="25"/>
  <c r="AA109" i="25"/>
  <c r="AA69" i="25"/>
  <c r="AE297" i="25"/>
  <c r="AF297" i="25"/>
  <c r="AD297" i="25"/>
  <c r="AE285" i="25"/>
  <c r="AF285" i="25"/>
  <c r="AE273" i="25"/>
  <c r="AF273" i="25"/>
  <c r="AD273" i="25"/>
  <c r="AE261" i="25"/>
  <c r="AF261" i="25"/>
  <c r="AD261" i="25"/>
  <c r="AE249" i="25"/>
  <c r="AF249" i="25"/>
  <c r="AE237" i="25"/>
  <c r="AF237" i="25"/>
  <c r="AD237" i="25"/>
  <c r="AE225" i="25"/>
  <c r="AF225" i="25"/>
  <c r="AD225" i="25"/>
  <c r="AE213" i="25"/>
  <c r="AF213" i="25"/>
  <c r="AD201" i="25"/>
  <c r="AE201" i="25"/>
  <c r="AF201" i="25"/>
  <c r="AD189" i="25"/>
  <c r="AE189" i="25"/>
  <c r="AF189" i="25"/>
  <c r="AD177" i="25"/>
  <c r="AE177" i="25"/>
  <c r="AF177" i="25"/>
  <c r="AD165" i="25"/>
  <c r="AE165" i="25"/>
  <c r="AF165" i="25"/>
  <c r="AD153" i="25"/>
  <c r="AE153" i="25"/>
  <c r="AF153" i="25"/>
  <c r="AD141" i="25"/>
  <c r="AE141" i="25"/>
  <c r="AF141" i="25"/>
  <c r="AD129" i="25"/>
  <c r="AE129" i="25"/>
  <c r="AF129" i="25"/>
  <c r="AD117" i="25"/>
  <c r="AE117" i="25"/>
  <c r="AF117" i="25"/>
  <c r="AD105" i="25"/>
  <c r="AE105" i="25"/>
  <c r="AF105" i="25"/>
  <c r="AD93" i="25"/>
  <c r="AE93" i="25"/>
  <c r="AF93" i="25"/>
  <c r="AD81" i="25"/>
  <c r="AE81" i="25"/>
  <c r="AF81" i="25"/>
  <c r="AD69" i="25"/>
  <c r="AE69" i="25"/>
  <c r="AF69" i="25"/>
  <c r="AD57" i="25"/>
  <c r="AE57" i="25"/>
  <c r="AF57" i="25"/>
  <c r="AD45" i="25"/>
  <c r="AE45" i="25"/>
  <c r="AF45" i="25"/>
  <c r="AD33" i="25"/>
  <c r="AE33" i="25"/>
  <c r="AF33" i="25"/>
  <c r="AD21" i="25"/>
  <c r="AE21" i="25"/>
  <c r="AF21" i="25"/>
  <c r="AD9" i="25"/>
  <c r="AE9" i="25"/>
  <c r="AF9" i="25"/>
  <c r="AC403" i="25"/>
  <c r="AB403" i="25"/>
  <c r="AC391" i="25"/>
  <c r="AB391" i="25"/>
  <c r="AC379" i="25"/>
  <c r="AB379" i="25"/>
  <c r="AC367" i="25"/>
  <c r="AB367" i="25"/>
  <c r="AC355" i="25"/>
  <c r="AB355" i="25"/>
  <c r="AC343" i="25"/>
  <c r="AB343" i="25"/>
  <c r="AC331" i="25"/>
  <c r="AB331" i="25"/>
  <c r="AC319" i="25"/>
  <c r="AB319" i="25"/>
  <c r="AC307" i="25"/>
  <c r="AB307" i="25"/>
  <c r="AC295" i="25"/>
  <c r="AB295" i="25"/>
  <c r="AC283" i="25"/>
  <c r="AB283" i="25"/>
  <c r="AC271" i="25"/>
  <c r="AB271" i="25"/>
  <c r="AC259" i="25"/>
  <c r="AB259" i="25"/>
  <c r="AC247" i="25"/>
  <c r="AB247" i="25"/>
  <c r="AC235" i="25"/>
  <c r="AB235" i="25"/>
  <c r="AC223" i="25"/>
  <c r="AB223" i="25"/>
  <c r="AC211" i="25"/>
  <c r="AB211" i="25"/>
  <c r="AC199" i="25"/>
  <c r="AB199" i="25"/>
  <c r="AC187" i="25"/>
  <c r="AB187" i="25"/>
  <c r="AC175" i="25"/>
  <c r="AB175" i="25"/>
  <c r="AC163" i="25"/>
  <c r="AB163" i="25"/>
  <c r="AC151" i="25"/>
  <c r="AB151" i="25"/>
  <c r="AC139" i="25"/>
  <c r="AB139" i="25"/>
  <c r="AC127" i="25"/>
  <c r="AB127" i="25"/>
  <c r="AC115" i="25"/>
  <c r="AC103" i="25"/>
  <c r="AC91" i="25"/>
  <c r="AB91" i="25"/>
  <c r="AC79" i="25"/>
  <c r="AC67" i="25"/>
  <c r="AB67" i="25"/>
  <c r="AC55" i="25"/>
  <c r="AC43" i="25"/>
  <c r="AB43" i="25"/>
  <c r="AC31" i="25"/>
  <c r="AC19" i="25"/>
  <c r="AB19" i="25"/>
  <c r="AC7" i="25"/>
  <c r="AA355" i="25"/>
  <c r="AA313" i="25"/>
  <c r="AA211" i="25"/>
  <c r="AA169" i="25"/>
  <c r="AA129" i="25"/>
  <c r="AA67" i="25"/>
  <c r="AA25" i="25"/>
  <c r="AB201" i="25"/>
  <c r="AB177" i="25"/>
  <c r="AB153" i="25"/>
  <c r="AB129" i="25"/>
  <c r="AB73" i="25"/>
  <c r="AB7" i="25"/>
  <c r="AW4" i="8" a="1"/>
  <c r="AW4" i="8" s="1"/>
  <c r="GN6" i="17"/>
  <c r="GN7" i="17"/>
  <c r="GN8" i="17"/>
  <c r="GN9" i="17"/>
  <c r="GN10" i="17"/>
  <c r="GN11" i="17"/>
  <c r="GN12" i="17"/>
  <c r="GN13" i="17"/>
  <c r="GN14" i="17"/>
  <c r="GN15" i="17"/>
  <c r="GN16" i="17"/>
  <c r="GN17" i="17"/>
  <c r="GN18" i="17"/>
  <c r="GN19" i="17"/>
  <c r="GN20" i="17"/>
  <c r="GN21" i="17"/>
  <c r="GN22" i="17"/>
  <c r="GN23" i="17"/>
  <c r="GN24" i="17"/>
  <c r="GN25" i="17"/>
  <c r="GN26" i="17"/>
  <c r="GN27" i="17"/>
  <c r="GN28" i="17"/>
  <c r="GN29" i="17"/>
  <c r="GN30" i="17"/>
  <c r="GN31" i="17"/>
  <c r="GN32" i="17"/>
  <c r="GN33" i="17"/>
  <c r="GN34" i="17"/>
  <c r="GN35" i="17"/>
  <c r="GN36" i="17"/>
  <c r="GN37" i="17"/>
  <c r="GN38" i="17"/>
  <c r="GN39" i="17"/>
  <c r="GN40" i="17"/>
  <c r="GN41" i="17"/>
  <c r="GN42" i="17"/>
  <c r="GN43" i="17"/>
  <c r="GN44" i="17"/>
  <c r="GN45" i="17"/>
  <c r="GN46" i="17"/>
  <c r="GN47" i="17"/>
  <c r="GN48" i="17"/>
  <c r="GN49" i="17"/>
  <c r="GN50" i="17"/>
  <c r="GN51" i="17"/>
  <c r="GN52" i="17"/>
  <c r="GN53" i="17"/>
  <c r="GN54" i="17"/>
  <c r="GN55" i="17"/>
  <c r="GN56" i="17"/>
  <c r="GN57" i="17"/>
  <c r="GN58" i="17"/>
  <c r="GN59" i="17"/>
  <c r="GN60" i="17"/>
  <c r="GN61" i="17"/>
  <c r="GN62" i="17"/>
  <c r="GN63" i="17"/>
  <c r="GN64" i="17"/>
  <c r="GN65" i="17"/>
  <c r="GN66" i="17"/>
  <c r="GN67" i="17"/>
  <c r="GN68" i="17"/>
  <c r="GN69" i="17"/>
  <c r="GN5" i="17"/>
  <c r="GN7" i="16"/>
  <c r="GN8" i="16"/>
  <c r="GN9" i="16"/>
  <c r="GN10" i="16"/>
  <c r="GN11" i="16"/>
  <c r="GN12" i="16"/>
  <c r="GN13" i="16"/>
  <c r="GN14" i="16"/>
  <c r="GN15" i="16"/>
  <c r="GN16" i="16"/>
  <c r="GN17" i="16"/>
  <c r="GN18" i="16"/>
  <c r="GN19" i="16"/>
  <c r="GN20" i="16"/>
  <c r="GN21" i="16"/>
  <c r="GN22" i="16"/>
  <c r="GN23" i="16"/>
  <c r="GN24" i="16"/>
  <c r="GN25" i="16"/>
  <c r="GN26" i="16"/>
  <c r="GN27" i="16"/>
  <c r="GN28" i="16"/>
  <c r="GN29" i="16"/>
  <c r="GN30" i="16"/>
  <c r="GN31" i="16"/>
  <c r="GN32" i="16"/>
  <c r="GN33" i="16"/>
  <c r="GN34" i="16"/>
  <c r="GN35" i="16"/>
  <c r="GN36" i="16"/>
  <c r="GN37" i="16"/>
  <c r="GN38" i="16"/>
  <c r="GN39" i="16"/>
  <c r="GN40" i="16"/>
  <c r="GN41" i="16"/>
  <c r="GN42" i="16"/>
  <c r="GN43" i="16"/>
  <c r="GN44" i="16"/>
  <c r="GN45" i="16"/>
  <c r="GN46" i="16"/>
  <c r="GN47" i="16"/>
  <c r="GN48" i="16"/>
  <c r="GN49" i="16"/>
  <c r="GN50" i="16"/>
  <c r="GN51" i="16"/>
  <c r="GN52" i="16"/>
  <c r="GN53" i="16"/>
  <c r="GN54" i="16"/>
  <c r="GN55" i="16"/>
  <c r="GN56" i="16"/>
  <c r="GN57" i="16"/>
  <c r="GN58" i="16"/>
  <c r="GN59" i="16"/>
  <c r="GN60" i="16"/>
  <c r="GN61" i="16"/>
  <c r="GN62" i="16"/>
  <c r="GN63" i="16"/>
  <c r="GN64" i="16"/>
  <c r="GN65" i="16"/>
  <c r="GN66" i="16"/>
  <c r="GN67" i="16"/>
  <c r="GN68" i="16"/>
  <c r="GN69" i="16"/>
  <c r="GN70" i="16"/>
  <c r="GN6" i="16"/>
  <c r="GN6" i="24"/>
  <c r="GN7" i="24"/>
  <c r="GN8" i="24"/>
  <c r="GN9" i="24"/>
  <c r="GN10" i="24"/>
  <c r="GN11" i="24"/>
  <c r="GN12" i="24"/>
  <c r="GN13" i="24"/>
  <c r="GN14" i="24"/>
  <c r="GN15" i="24"/>
  <c r="GN16" i="24"/>
  <c r="GN17" i="24"/>
  <c r="GN18" i="24"/>
  <c r="GN19" i="24"/>
  <c r="GN20" i="24"/>
  <c r="GN21" i="24"/>
  <c r="GN22" i="24"/>
  <c r="GN23" i="24"/>
  <c r="GN24" i="24"/>
  <c r="GN25" i="24"/>
  <c r="GN26" i="24"/>
  <c r="GN27" i="24"/>
  <c r="GN28" i="24"/>
  <c r="GN29" i="24"/>
  <c r="GN30" i="24"/>
  <c r="GN31" i="24"/>
  <c r="GN32" i="24"/>
  <c r="GN33" i="24"/>
  <c r="GN34" i="24"/>
  <c r="GN35" i="24"/>
  <c r="GN36" i="24"/>
  <c r="GN37" i="24"/>
  <c r="GN38" i="24"/>
  <c r="GN39" i="24"/>
  <c r="GN40" i="24"/>
  <c r="GN41" i="24"/>
  <c r="GN42" i="24"/>
  <c r="GN43" i="24"/>
  <c r="GN44" i="24"/>
  <c r="GN45" i="24"/>
  <c r="GN46" i="24"/>
  <c r="GN47" i="24"/>
  <c r="GN48" i="24"/>
  <c r="GN49" i="24"/>
  <c r="GN50" i="24"/>
  <c r="GN51" i="24"/>
  <c r="GN52" i="24"/>
  <c r="GN53" i="24"/>
  <c r="GN54" i="24"/>
  <c r="GN55" i="24"/>
  <c r="GN56" i="24"/>
  <c r="GN57" i="24"/>
  <c r="GN58" i="24"/>
  <c r="GN59" i="24"/>
  <c r="GN60" i="24"/>
  <c r="GN61" i="24"/>
  <c r="GN62" i="24"/>
  <c r="GN63" i="24"/>
  <c r="GN64" i="24"/>
  <c r="GN65" i="24"/>
  <c r="GN66" i="24"/>
  <c r="GN67" i="24"/>
  <c r="GN68" i="24"/>
  <c r="GN69" i="24"/>
  <c r="GN70" i="24"/>
  <c r="GN71" i="24"/>
  <c r="GN72" i="24"/>
  <c r="GN73" i="24"/>
  <c r="GN74" i="24"/>
  <c r="GN5" i="24"/>
  <c r="GL6" i="23"/>
  <c r="GL7" i="23"/>
  <c r="GL8" i="23"/>
  <c r="GL9" i="23"/>
  <c r="GL10" i="23"/>
  <c r="GL11" i="23"/>
  <c r="GL12" i="23"/>
  <c r="GL13" i="23"/>
  <c r="GL14" i="23"/>
  <c r="GL15" i="23"/>
  <c r="GL16" i="23"/>
  <c r="GL17" i="23"/>
  <c r="GL18" i="23"/>
  <c r="GL19" i="23"/>
  <c r="GL20" i="23"/>
  <c r="GL21" i="23"/>
  <c r="GL22" i="23"/>
  <c r="GL23" i="23"/>
  <c r="GL24" i="23"/>
  <c r="GL25" i="23"/>
  <c r="GL26" i="23"/>
  <c r="GL27" i="23"/>
  <c r="GL28" i="23"/>
  <c r="GL29" i="23"/>
  <c r="GL30" i="23"/>
  <c r="GL31" i="23"/>
  <c r="GL32" i="23"/>
  <c r="GL33" i="23"/>
  <c r="GL34" i="23"/>
  <c r="GL35" i="23"/>
  <c r="GL36" i="23"/>
  <c r="GL37" i="23"/>
  <c r="GL38" i="23"/>
  <c r="GL39" i="23"/>
  <c r="GL40" i="23"/>
  <c r="GL41" i="23"/>
  <c r="GL42" i="23"/>
  <c r="GL43" i="23"/>
  <c r="GL44" i="23"/>
  <c r="GL45" i="23"/>
  <c r="GL46" i="23"/>
  <c r="GL47" i="23"/>
  <c r="GL48" i="23"/>
  <c r="GL49" i="23"/>
  <c r="GL50" i="23"/>
  <c r="GL51" i="23"/>
  <c r="GL52" i="23"/>
  <c r="GL53" i="23"/>
  <c r="GL54" i="23"/>
  <c r="GL55" i="23"/>
  <c r="GL56" i="23"/>
  <c r="GL57" i="23"/>
  <c r="GL58" i="23"/>
  <c r="GL59" i="23"/>
  <c r="GL60" i="23"/>
  <c r="GL61" i="23"/>
  <c r="GL62" i="23"/>
  <c r="GL63" i="23"/>
  <c r="GL64" i="23"/>
  <c r="GL65" i="23"/>
  <c r="GL66" i="23"/>
  <c r="GL67" i="23"/>
  <c r="GL68" i="23"/>
  <c r="GL69" i="23"/>
  <c r="GL70" i="23"/>
  <c r="GL71" i="23"/>
  <c r="GL72" i="23"/>
  <c r="GL73" i="23"/>
  <c r="GL74" i="23"/>
  <c r="GL82" i="23"/>
  <c r="GL5" i="23"/>
  <c r="GN30" i="19"/>
  <c r="GN31" i="19"/>
  <c r="GN32" i="19"/>
  <c r="GN33" i="19"/>
  <c r="GN34" i="19"/>
  <c r="GN35" i="19"/>
  <c r="GN36" i="19"/>
  <c r="GN37" i="19"/>
  <c r="GN38" i="19"/>
  <c r="GN39" i="19"/>
  <c r="GN40" i="19"/>
  <c r="GN41" i="19"/>
  <c r="GN42" i="19"/>
  <c r="GN43" i="19"/>
  <c r="GN44" i="19"/>
  <c r="GN45" i="19"/>
  <c r="GN46" i="19"/>
  <c r="GN47" i="19"/>
  <c r="GN48" i="19"/>
  <c r="GN49" i="19"/>
  <c r="GN50" i="19"/>
  <c r="GN51" i="19"/>
  <c r="GN52" i="19"/>
  <c r="GN53" i="19"/>
  <c r="GN54" i="19"/>
  <c r="GN55" i="19"/>
  <c r="GN56" i="19"/>
  <c r="GN57" i="19"/>
  <c r="GN6" i="19"/>
  <c r="GN7" i="19"/>
  <c r="GN8" i="19"/>
  <c r="GN9" i="19"/>
  <c r="GN10" i="19"/>
  <c r="GN11" i="19"/>
  <c r="GN12" i="19"/>
  <c r="GN13" i="19"/>
  <c r="GN14" i="19"/>
  <c r="GN15" i="19"/>
  <c r="GN16" i="19"/>
  <c r="GN17" i="19"/>
  <c r="GN18" i="19"/>
  <c r="GN19" i="19"/>
  <c r="GN20" i="19"/>
  <c r="GN21" i="19"/>
  <c r="GN22" i="19"/>
  <c r="GN23" i="19"/>
  <c r="GN24" i="19"/>
  <c r="GN25" i="19"/>
  <c r="GN26" i="19"/>
  <c r="GN27" i="19"/>
  <c r="GN28" i="19"/>
  <c r="GN29" i="19"/>
  <c r="GN5" i="19"/>
  <c r="GL6" i="18"/>
  <c r="GL7" i="18"/>
  <c r="GL8" i="18"/>
  <c r="GL9" i="18"/>
  <c r="GL10" i="18"/>
  <c r="GL11" i="18"/>
  <c r="GL12" i="18"/>
  <c r="GL13" i="18"/>
  <c r="GL14" i="18"/>
  <c r="GL15" i="18"/>
  <c r="GL16" i="18"/>
  <c r="GL17" i="18"/>
  <c r="GL18" i="18"/>
  <c r="GL19" i="18"/>
  <c r="GL20" i="18"/>
  <c r="GL21" i="18"/>
  <c r="GL22" i="18"/>
  <c r="GL23" i="18"/>
  <c r="GL24" i="18"/>
  <c r="GL25" i="18"/>
  <c r="GL26" i="18"/>
  <c r="GL27" i="18"/>
  <c r="GL28" i="18"/>
  <c r="GL29" i="18"/>
  <c r="GL30" i="18"/>
  <c r="GL31" i="18"/>
  <c r="GL32" i="18"/>
  <c r="GL33" i="18"/>
  <c r="GL34" i="18"/>
  <c r="GL35" i="18"/>
  <c r="GL36" i="18"/>
  <c r="GL37" i="18"/>
  <c r="GL38" i="18"/>
  <c r="GL39" i="18"/>
  <c r="GL40" i="18"/>
  <c r="GL41" i="18"/>
  <c r="GL42" i="18"/>
  <c r="GL43" i="18"/>
  <c r="GL44" i="18"/>
  <c r="GL45" i="18"/>
  <c r="GL46" i="18"/>
  <c r="GL47" i="18"/>
  <c r="GL48" i="18"/>
  <c r="GL49" i="18"/>
  <c r="GL50" i="18"/>
  <c r="GL51" i="18"/>
  <c r="GL52" i="18"/>
  <c r="GL53" i="18"/>
  <c r="GL54" i="18"/>
  <c r="GL55" i="18"/>
  <c r="GL56" i="18"/>
  <c r="GL5" i="18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3" i="11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G8" i="9"/>
  <c r="K39" i="1" s="1"/>
  <c r="AF8" i="9"/>
  <c r="AE8" i="9"/>
  <c r="I39" i="1" s="1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8" i="9"/>
  <c r="AC9" i="9"/>
  <c r="AC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8" i="9"/>
  <c r="I38" i="1" s="1"/>
  <c r="S3" i="5"/>
  <c r="H3" i="12"/>
  <c r="G3" i="12"/>
  <c r="AN8" i="9" a="1"/>
  <c r="AN8" i="9" s="1"/>
  <c r="Y2" i="2" a="1"/>
  <c r="Y2" i="2" s="1"/>
  <c r="T3" i="3"/>
  <c r="U3" i="3"/>
  <c r="V3" i="3"/>
  <c r="T4" i="3"/>
  <c r="U4" i="3"/>
  <c r="V4" i="3"/>
  <c r="T5" i="3"/>
  <c r="U5" i="3"/>
  <c r="V5" i="3"/>
  <c r="T6" i="3"/>
  <c r="U6" i="3"/>
  <c r="V6" i="3"/>
  <c r="T7" i="3"/>
  <c r="U7" i="3"/>
  <c r="V7" i="3"/>
  <c r="T8" i="3"/>
  <c r="U8" i="3"/>
  <c r="V8" i="3"/>
  <c r="T9" i="3"/>
  <c r="U9" i="3"/>
  <c r="V9" i="3"/>
  <c r="T10" i="3"/>
  <c r="U10" i="3"/>
  <c r="V10" i="3"/>
  <c r="T11" i="3"/>
  <c r="U11" i="3"/>
  <c r="V11" i="3"/>
  <c r="T12" i="3"/>
  <c r="U12" i="3"/>
  <c r="V12" i="3"/>
  <c r="T13" i="3"/>
  <c r="U13" i="3"/>
  <c r="V13" i="3"/>
  <c r="T14" i="3"/>
  <c r="U14" i="3"/>
  <c r="V14" i="3"/>
  <c r="T15" i="3"/>
  <c r="U15" i="3"/>
  <c r="V15" i="3"/>
  <c r="T16" i="3"/>
  <c r="U16" i="3"/>
  <c r="V16" i="3"/>
  <c r="T17" i="3"/>
  <c r="U17" i="3"/>
  <c r="V17" i="3"/>
  <c r="T18" i="3"/>
  <c r="U18" i="3"/>
  <c r="V18" i="3"/>
  <c r="T19" i="3"/>
  <c r="U19" i="3"/>
  <c r="V19" i="3"/>
  <c r="T20" i="3"/>
  <c r="U20" i="3"/>
  <c r="V20" i="3"/>
  <c r="T21" i="3"/>
  <c r="U21" i="3"/>
  <c r="V21" i="3"/>
  <c r="T22" i="3"/>
  <c r="U22" i="3"/>
  <c r="V22" i="3"/>
  <c r="T23" i="3"/>
  <c r="U23" i="3"/>
  <c r="V23" i="3"/>
  <c r="T24" i="3"/>
  <c r="U24" i="3"/>
  <c r="V24" i="3"/>
  <c r="T25" i="3"/>
  <c r="U25" i="3"/>
  <c r="V25" i="3"/>
  <c r="T26" i="3"/>
  <c r="U26" i="3"/>
  <c r="V26" i="3"/>
  <c r="T27" i="3"/>
  <c r="U27" i="3"/>
  <c r="V27" i="3"/>
  <c r="T28" i="3"/>
  <c r="U28" i="3"/>
  <c r="V28" i="3"/>
  <c r="T29" i="3"/>
  <c r="U29" i="3"/>
  <c r="V29" i="3"/>
  <c r="T30" i="3"/>
  <c r="U30" i="3"/>
  <c r="V30" i="3"/>
  <c r="T31" i="3"/>
  <c r="U31" i="3"/>
  <c r="V31" i="3"/>
  <c r="T32" i="3"/>
  <c r="U32" i="3"/>
  <c r="V32" i="3"/>
  <c r="T33" i="3"/>
  <c r="U33" i="3"/>
  <c r="V33" i="3"/>
  <c r="T34" i="3"/>
  <c r="U34" i="3"/>
  <c r="V34" i="3"/>
  <c r="T35" i="3"/>
  <c r="U35" i="3"/>
  <c r="V35" i="3"/>
  <c r="T36" i="3"/>
  <c r="U36" i="3"/>
  <c r="V36" i="3"/>
  <c r="T37" i="3"/>
  <c r="U37" i="3"/>
  <c r="V37" i="3"/>
  <c r="T38" i="3"/>
  <c r="U38" i="3"/>
  <c r="V38" i="3"/>
  <c r="T39" i="3"/>
  <c r="U39" i="3"/>
  <c r="V39" i="3"/>
  <c r="T40" i="3"/>
  <c r="U40" i="3"/>
  <c r="V40" i="3"/>
  <c r="T41" i="3"/>
  <c r="U41" i="3"/>
  <c r="V41" i="3"/>
  <c r="T42" i="3"/>
  <c r="U42" i="3"/>
  <c r="V42" i="3"/>
  <c r="T43" i="3"/>
  <c r="U43" i="3"/>
  <c r="V43" i="3"/>
  <c r="T44" i="3"/>
  <c r="U44" i="3"/>
  <c r="V44" i="3"/>
  <c r="T45" i="3"/>
  <c r="U45" i="3"/>
  <c r="V45" i="3"/>
  <c r="T46" i="3"/>
  <c r="U46" i="3"/>
  <c r="V46" i="3"/>
  <c r="T47" i="3"/>
  <c r="U47" i="3"/>
  <c r="V47" i="3"/>
  <c r="T48" i="3"/>
  <c r="U48" i="3"/>
  <c r="V48" i="3"/>
  <c r="T49" i="3"/>
  <c r="U49" i="3"/>
  <c r="V49" i="3"/>
  <c r="T50" i="3"/>
  <c r="U50" i="3"/>
  <c r="V50" i="3"/>
  <c r="T51" i="3"/>
  <c r="U51" i="3"/>
  <c r="V51" i="3"/>
  <c r="T52" i="3"/>
  <c r="U52" i="3"/>
  <c r="V52" i="3"/>
  <c r="T53" i="3"/>
  <c r="U53" i="3"/>
  <c r="V53" i="3"/>
  <c r="T54" i="3"/>
  <c r="U54" i="3"/>
  <c r="V54" i="3"/>
  <c r="T55" i="3"/>
  <c r="U55" i="3"/>
  <c r="V55" i="3"/>
  <c r="T56" i="3"/>
  <c r="U56" i="3"/>
  <c r="V56" i="3"/>
  <c r="T57" i="3"/>
  <c r="U57" i="3"/>
  <c r="V57" i="3"/>
  <c r="T58" i="3"/>
  <c r="U58" i="3"/>
  <c r="V58" i="3"/>
  <c r="T59" i="3"/>
  <c r="U59" i="3"/>
  <c r="V59" i="3"/>
  <c r="T60" i="3"/>
  <c r="U60" i="3"/>
  <c r="V60" i="3"/>
  <c r="T61" i="3"/>
  <c r="U61" i="3"/>
  <c r="V61" i="3"/>
  <c r="T62" i="3"/>
  <c r="U62" i="3"/>
  <c r="V62" i="3"/>
  <c r="T63" i="3"/>
  <c r="U63" i="3"/>
  <c r="V63" i="3"/>
  <c r="T64" i="3"/>
  <c r="U64" i="3"/>
  <c r="V64" i="3"/>
  <c r="T65" i="3"/>
  <c r="U65" i="3"/>
  <c r="V65" i="3"/>
  <c r="T66" i="3"/>
  <c r="U66" i="3"/>
  <c r="V66" i="3"/>
  <c r="T67" i="3"/>
  <c r="U67" i="3"/>
  <c r="V67" i="3"/>
  <c r="T68" i="3"/>
  <c r="U68" i="3"/>
  <c r="V68" i="3"/>
  <c r="T69" i="3"/>
  <c r="U69" i="3"/>
  <c r="V69" i="3"/>
  <c r="T70" i="3"/>
  <c r="U70" i="3"/>
  <c r="V70" i="3"/>
  <c r="T71" i="3"/>
  <c r="U71" i="3"/>
  <c r="V71" i="3"/>
  <c r="T72" i="3"/>
  <c r="U72" i="3"/>
  <c r="V72" i="3"/>
  <c r="T73" i="3"/>
  <c r="U73" i="3"/>
  <c r="V73" i="3"/>
  <c r="T74" i="3"/>
  <c r="U74" i="3"/>
  <c r="V74" i="3"/>
  <c r="T75" i="3"/>
  <c r="U75" i="3"/>
  <c r="V75" i="3"/>
  <c r="T76" i="3"/>
  <c r="U76" i="3"/>
  <c r="V76" i="3"/>
  <c r="T77" i="3"/>
  <c r="U77" i="3"/>
  <c r="V77" i="3"/>
  <c r="T78" i="3"/>
  <c r="U78" i="3"/>
  <c r="V78" i="3"/>
  <c r="T79" i="3"/>
  <c r="U79" i="3"/>
  <c r="V79" i="3"/>
  <c r="T80" i="3"/>
  <c r="U80" i="3"/>
  <c r="V80" i="3"/>
  <c r="T81" i="3"/>
  <c r="U81" i="3"/>
  <c r="V81" i="3"/>
  <c r="T82" i="3"/>
  <c r="U82" i="3"/>
  <c r="V82" i="3"/>
  <c r="T83" i="3"/>
  <c r="U83" i="3"/>
  <c r="V83" i="3"/>
  <c r="T84" i="3"/>
  <c r="U84" i="3"/>
  <c r="V84" i="3"/>
  <c r="T85" i="3"/>
  <c r="U85" i="3"/>
  <c r="V85" i="3"/>
  <c r="T86" i="3"/>
  <c r="U86" i="3"/>
  <c r="V86" i="3"/>
  <c r="T87" i="3"/>
  <c r="U87" i="3"/>
  <c r="V87" i="3"/>
  <c r="T88" i="3"/>
  <c r="U88" i="3"/>
  <c r="V88" i="3"/>
  <c r="T89" i="3"/>
  <c r="U89" i="3"/>
  <c r="V89" i="3"/>
  <c r="T90" i="3"/>
  <c r="U90" i="3"/>
  <c r="V90" i="3"/>
  <c r="T91" i="3"/>
  <c r="U91" i="3"/>
  <c r="V91" i="3"/>
  <c r="T92" i="3"/>
  <c r="U92" i="3"/>
  <c r="V92" i="3"/>
  <c r="T93" i="3"/>
  <c r="U93" i="3"/>
  <c r="V93" i="3"/>
  <c r="T94" i="3"/>
  <c r="U94" i="3"/>
  <c r="V94" i="3"/>
  <c r="T95" i="3"/>
  <c r="U95" i="3"/>
  <c r="V95" i="3"/>
  <c r="T96" i="3"/>
  <c r="U96" i="3"/>
  <c r="V96" i="3"/>
  <c r="T97" i="3"/>
  <c r="U97" i="3"/>
  <c r="V97" i="3"/>
  <c r="T98" i="3"/>
  <c r="U98" i="3"/>
  <c r="V98" i="3"/>
  <c r="T99" i="3"/>
  <c r="U99" i="3"/>
  <c r="V99" i="3"/>
  <c r="T100" i="3"/>
  <c r="U100" i="3"/>
  <c r="V100" i="3"/>
  <c r="T101" i="3"/>
  <c r="U101" i="3"/>
  <c r="V101" i="3"/>
  <c r="T102" i="3"/>
  <c r="U102" i="3"/>
  <c r="V102" i="3"/>
  <c r="T103" i="3"/>
  <c r="U103" i="3"/>
  <c r="V103" i="3"/>
  <c r="T104" i="3"/>
  <c r="U104" i="3"/>
  <c r="V104" i="3"/>
  <c r="T105" i="3"/>
  <c r="U105" i="3"/>
  <c r="V105" i="3"/>
  <c r="T106" i="3"/>
  <c r="U106" i="3"/>
  <c r="V106" i="3"/>
  <c r="T107" i="3"/>
  <c r="U107" i="3"/>
  <c r="V107" i="3"/>
  <c r="T108" i="3"/>
  <c r="U108" i="3"/>
  <c r="V108" i="3"/>
  <c r="T109" i="3"/>
  <c r="U109" i="3"/>
  <c r="V109" i="3"/>
  <c r="T110" i="3"/>
  <c r="U110" i="3"/>
  <c r="V110" i="3"/>
  <c r="T111" i="3"/>
  <c r="U111" i="3"/>
  <c r="V111" i="3"/>
  <c r="T112" i="3"/>
  <c r="U112" i="3"/>
  <c r="V112" i="3"/>
  <c r="T113" i="3"/>
  <c r="U113" i="3"/>
  <c r="V113" i="3"/>
  <c r="T114" i="3"/>
  <c r="U114" i="3"/>
  <c r="V114" i="3"/>
  <c r="T115" i="3"/>
  <c r="U115" i="3"/>
  <c r="V115" i="3"/>
  <c r="T116" i="3"/>
  <c r="U116" i="3"/>
  <c r="V116" i="3"/>
  <c r="T117" i="3"/>
  <c r="U117" i="3"/>
  <c r="V117" i="3"/>
  <c r="T118" i="3"/>
  <c r="U118" i="3"/>
  <c r="V118" i="3"/>
  <c r="T119" i="3"/>
  <c r="U119" i="3"/>
  <c r="V119" i="3"/>
  <c r="T120" i="3"/>
  <c r="U120" i="3"/>
  <c r="V120" i="3"/>
  <c r="T121" i="3"/>
  <c r="U121" i="3"/>
  <c r="V121" i="3"/>
  <c r="T122" i="3"/>
  <c r="U122" i="3"/>
  <c r="V122" i="3"/>
  <c r="T123" i="3"/>
  <c r="U123" i="3"/>
  <c r="V123" i="3"/>
  <c r="T124" i="3"/>
  <c r="U124" i="3"/>
  <c r="V124" i="3"/>
  <c r="T125" i="3"/>
  <c r="U125" i="3"/>
  <c r="V125" i="3"/>
  <c r="T126" i="3"/>
  <c r="U126" i="3"/>
  <c r="V126" i="3"/>
  <c r="T127" i="3"/>
  <c r="U127" i="3"/>
  <c r="V127" i="3"/>
  <c r="T128" i="3"/>
  <c r="U128" i="3"/>
  <c r="V128" i="3"/>
  <c r="T129" i="3"/>
  <c r="U129" i="3"/>
  <c r="V129" i="3"/>
  <c r="T130" i="3"/>
  <c r="U130" i="3"/>
  <c r="V130" i="3"/>
  <c r="T131" i="3"/>
  <c r="U131" i="3"/>
  <c r="V131" i="3"/>
  <c r="T132" i="3"/>
  <c r="U132" i="3"/>
  <c r="V132" i="3"/>
  <c r="T133" i="3"/>
  <c r="U133" i="3"/>
  <c r="V133" i="3"/>
  <c r="T134" i="3"/>
  <c r="U134" i="3"/>
  <c r="V134" i="3"/>
  <c r="T135" i="3"/>
  <c r="U135" i="3"/>
  <c r="V135" i="3"/>
  <c r="T136" i="3"/>
  <c r="U136" i="3"/>
  <c r="V136" i="3"/>
  <c r="T137" i="3"/>
  <c r="U137" i="3"/>
  <c r="V137" i="3"/>
  <c r="T138" i="3"/>
  <c r="U138" i="3"/>
  <c r="V138" i="3"/>
  <c r="T139" i="3"/>
  <c r="U139" i="3"/>
  <c r="V139" i="3"/>
  <c r="T140" i="3"/>
  <c r="U140" i="3"/>
  <c r="V140" i="3"/>
  <c r="T141" i="3"/>
  <c r="U141" i="3"/>
  <c r="V141" i="3"/>
  <c r="T142" i="3"/>
  <c r="U142" i="3"/>
  <c r="V142" i="3"/>
  <c r="T143" i="3"/>
  <c r="U143" i="3"/>
  <c r="V143" i="3"/>
  <c r="T144" i="3"/>
  <c r="U144" i="3"/>
  <c r="V144" i="3"/>
  <c r="T145" i="3"/>
  <c r="U145" i="3"/>
  <c r="V145" i="3"/>
  <c r="T146" i="3"/>
  <c r="U146" i="3"/>
  <c r="V146" i="3"/>
  <c r="T147" i="3"/>
  <c r="U147" i="3"/>
  <c r="V147" i="3"/>
  <c r="T148" i="3"/>
  <c r="U148" i="3"/>
  <c r="V148" i="3"/>
  <c r="T149" i="3"/>
  <c r="U149" i="3"/>
  <c r="V149" i="3"/>
  <c r="T150" i="3"/>
  <c r="U150" i="3"/>
  <c r="V150" i="3"/>
  <c r="T151" i="3"/>
  <c r="U151" i="3"/>
  <c r="V151" i="3"/>
  <c r="T152" i="3"/>
  <c r="U152" i="3"/>
  <c r="V152" i="3"/>
  <c r="T153" i="3"/>
  <c r="U153" i="3"/>
  <c r="V153" i="3"/>
  <c r="T154" i="3"/>
  <c r="U154" i="3"/>
  <c r="V154" i="3"/>
  <c r="T155" i="3"/>
  <c r="U155" i="3"/>
  <c r="V155" i="3"/>
  <c r="T156" i="3"/>
  <c r="U156" i="3"/>
  <c r="V156" i="3"/>
  <c r="T157" i="3"/>
  <c r="U157" i="3"/>
  <c r="V157" i="3"/>
  <c r="T158" i="3"/>
  <c r="U158" i="3"/>
  <c r="V158" i="3"/>
  <c r="T159" i="3"/>
  <c r="U159" i="3"/>
  <c r="V159" i="3"/>
  <c r="T160" i="3"/>
  <c r="U160" i="3"/>
  <c r="V160" i="3"/>
  <c r="T161" i="3"/>
  <c r="U161" i="3"/>
  <c r="V161" i="3"/>
  <c r="T162" i="3"/>
  <c r="U162" i="3"/>
  <c r="V162" i="3"/>
  <c r="T163" i="3"/>
  <c r="U163" i="3"/>
  <c r="V163" i="3"/>
  <c r="T164" i="3"/>
  <c r="U164" i="3"/>
  <c r="V164" i="3"/>
  <c r="T165" i="3"/>
  <c r="U165" i="3"/>
  <c r="V165" i="3"/>
  <c r="T166" i="3"/>
  <c r="U166" i="3"/>
  <c r="V166" i="3"/>
  <c r="T167" i="3"/>
  <c r="U167" i="3"/>
  <c r="V167" i="3"/>
  <c r="T168" i="3"/>
  <c r="U168" i="3"/>
  <c r="V168" i="3"/>
  <c r="T169" i="3"/>
  <c r="U169" i="3"/>
  <c r="V169" i="3"/>
  <c r="T170" i="3"/>
  <c r="U170" i="3"/>
  <c r="V170" i="3"/>
  <c r="T171" i="3"/>
  <c r="U171" i="3"/>
  <c r="V171" i="3"/>
  <c r="T172" i="3"/>
  <c r="U172" i="3"/>
  <c r="V172" i="3"/>
  <c r="T173" i="3"/>
  <c r="U173" i="3"/>
  <c r="V173" i="3"/>
  <c r="T174" i="3"/>
  <c r="U174" i="3"/>
  <c r="V174" i="3"/>
  <c r="T175" i="3"/>
  <c r="U175" i="3"/>
  <c r="V175" i="3"/>
  <c r="T176" i="3"/>
  <c r="U176" i="3"/>
  <c r="V176" i="3"/>
  <c r="T177" i="3"/>
  <c r="U177" i="3"/>
  <c r="V177" i="3"/>
  <c r="T178" i="3"/>
  <c r="U178" i="3"/>
  <c r="V178" i="3"/>
  <c r="T179" i="3"/>
  <c r="U179" i="3"/>
  <c r="V179" i="3"/>
  <c r="T180" i="3"/>
  <c r="U180" i="3"/>
  <c r="V180" i="3"/>
  <c r="T181" i="3"/>
  <c r="U181" i="3"/>
  <c r="V181" i="3"/>
  <c r="T182" i="3"/>
  <c r="U182" i="3"/>
  <c r="V182" i="3"/>
  <c r="T183" i="3"/>
  <c r="U183" i="3"/>
  <c r="V183" i="3"/>
  <c r="T184" i="3"/>
  <c r="U184" i="3"/>
  <c r="V184" i="3"/>
  <c r="T185" i="3"/>
  <c r="U185" i="3"/>
  <c r="V185" i="3"/>
  <c r="T186" i="3"/>
  <c r="U186" i="3"/>
  <c r="V186" i="3"/>
  <c r="T187" i="3"/>
  <c r="U187" i="3"/>
  <c r="V187" i="3"/>
  <c r="T188" i="3"/>
  <c r="U188" i="3"/>
  <c r="V188" i="3"/>
  <c r="T189" i="3"/>
  <c r="U189" i="3"/>
  <c r="V189" i="3"/>
  <c r="T190" i="3"/>
  <c r="U190" i="3"/>
  <c r="V190" i="3"/>
  <c r="T191" i="3"/>
  <c r="U191" i="3"/>
  <c r="V191" i="3"/>
  <c r="T192" i="3"/>
  <c r="U192" i="3"/>
  <c r="V192" i="3"/>
  <c r="T193" i="3"/>
  <c r="U193" i="3"/>
  <c r="V193" i="3"/>
  <c r="T194" i="3"/>
  <c r="U194" i="3"/>
  <c r="V194" i="3"/>
  <c r="T195" i="3"/>
  <c r="U195" i="3"/>
  <c r="V195" i="3"/>
  <c r="T196" i="3"/>
  <c r="U196" i="3"/>
  <c r="V196" i="3"/>
  <c r="T197" i="3"/>
  <c r="U197" i="3"/>
  <c r="V197" i="3"/>
  <c r="T198" i="3"/>
  <c r="U198" i="3"/>
  <c r="V198" i="3"/>
  <c r="T199" i="3"/>
  <c r="U199" i="3"/>
  <c r="V199" i="3"/>
  <c r="T200" i="3"/>
  <c r="U200" i="3"/>
  <c r="V200" i="3"/>
  <c r="T201" i="3"/>
  <c r="U201" i="3"/>
  <c r="V201" i="3"/>
  <c r="T202" i="3"/>
  <c r="U202" i="3"/>
  <c r="V202" i="3"/>
  <c r="T203" i="3"/>
  <c r="U203" i="3"/>
  <c r="V203" i="3"/>
  <c r="T204" i="3"/>
  <c r="U204" i="3"/>
  <c r="V204" i="3"/>
  <c r="T205" i="3"/>
  <c r="U205" i="3"/>
  <c r="V205" i="3"/>
  <c r="T206" i="3"/>
  <c r="U206" i="3"/>
  <c r="V206" i="3"/>
  <c r="T207" i="3"/>
  <c r="U207" i="3"/>
  <c r="V207" i="3"/>
  <c r="T208" i="3"/>
  <c r="U208" i="3"/>
  <c r="V208" i="3"/>
  <c r="T209" i="3"/>
  <c r="U209" i="3"/>
  <c r="V209" i="3"/>
  <c r="T210" i="3"/>
  <c r="U210" i="3"/>
  <c r="V210" i="3"/>
  <c r="T211" i="3"/>
  <c r="U211" i="3"/>
  <c r="V211" i="3"/>
  <c r="T212" i="3"/>
  <c r="U212" i="3"/>
  <c r="V212" i="3"/>
  <c r="T213" i="3"/>
  <c r="U213" i="3"/>
  <c r="V213" i="3"/>
  <c r="T214" i="3"/>
  <c r="U214" i="3"/>
  <c r="V214" i="3"/>
  <c r="T215" i="3"/>
  <c r="U215" i="3"/>
  <c r="V215" i="3"/>
  <c r="T216" i="3"/>
  <c r="U216" i="3"/>
  <c r="V216" i="3"/>
  <c r="T217" i="3"/>
  <c r="U217" i="3"/>
  <c r="V217" i="3"/>
  <c r="T218" i="3"/>
  <c r="U218" i="3"/>
  <c r="V218" i="3"/>
  <c r="T219" i="3"/>
  <c r="U219" i="3"/>
  <c r="V219" i="3"/>
  <c r="T220" i="3"/>
  <c r="U220" i="3"/>
  <c r="V220" i="3"/>
  <c r="T221" i="3"/>
  <c r="U221" i="3"/>
  <c r="V221" i="3"/>
  <c r="T222" i="3"/>
  <c r="U222" i="3"/>
  <c r="V222" i="3"/>
  <c r="T223" i="3"/>
  <c r="U223" i="3"/>
  <c r="V223" i="3"/>
  <c r="T224" i="3"/>
  <c r="U224" i="3"/>
  <c r="V224" i="3"/>
  <c r="T225" i="3"/>
  <c r="U225" i="3"/>
  <c r="V225" i="3"/>
  <c r="T226" i="3"/>
  <c r="U226" i="3"/>
  <c r="V226" i="3"/>
  <c r="T227" i="3"/>
  <c r="U227" i="3"/>
  <c r="V227" i="3"/>
  <c r="T228" i="3"/>
  <c r="U228" i="3"/>
  <c r="V228" i="3"/>
  <c r="T229" i="3"/>
  <c r="U229" i="3"/>
  <c r="V229" i="3"/>
  <c r="T230" i="3"/>
  <c r="U230" i="3"/>
  <c r="V230" i="3"/>
  <c r="T231" i="3"/>
  <c r="U231" i="3"/>
  <c r="V231" i="3"/>
  <c r="T232" i="3"/>
  <c r="U232" i="3"/>
  <c r="V232" i="3"/>
  <c r="T233" i="3"/>
  <c r="U233" i="3"/>
  <c r="V233" i="3"/>
  <c r="T234" i="3"/>
  <c r="U234" i="3"/>
  <c r="V234" i="3"/>
  <c r="T235" i="3"/>
  <c r="U235" i="3"/>
  <c r="V235" i="3"/>
  <c r="T236" i="3"/>
  <c r="U236" i="3"/>
  <c r="V236" i="3"/>
  <c r="T237" i="3"/>
  <c r="U237" i="3"/>
  <c r="V237" i="3"/>
  <c r="T238" i="3"/>
  <c r="U238" i="3"/>
  <c r="V238" i="3"/>
  <c r="T239" i="3"/>
  <c r="U239" i="3"/>
  <c r="V239" i="3"/>
  <c r="T240" i="3"/>
  <c r="U240" i="3"/>
  <c r="V240" i="3"/>
  <c r="T241" i="3"/>
  <c r="U241" i="3"/>
  <c r="V241" i="3"/>
  <c r="T242" i="3"/>
  <c r="U242" i="3"/>
  <c r="V242" i="3"/>
  <c r="T243" i="3"/>
  <c r="U243" i="3"/>
  <c r="V243" i="3"/>
  <c r="T244" i="3"/>
  <c r="U244" i="3"/>
  <c r="V244" i="3"/>
  <c r="T245" i="3"/>
  <c r="U245" i="3"/>
  <c r="V245" i="3"/>
  <c r="T246" i="3"/>
  <c r="U246" i="3"/>
  <c r="V246" i="3"/>
  <c r="T247" i="3"/>
  <c r="U247" i="3"/>
  <c r="V247" i="3"/>
  <c r="T248" i="3"/>
  <c r="U248" i="3"/>
  <c r="V248" i="3"/>
  <c r="T249" i="3"/>
  <c r="U249" i="3"/>
  <c r="V249" i="3"/>
  <c r="T250" i="3"/>
  <c r="U250" i="3"/>
  <c r="V250" i="3"/>
  <c r="T251" i="3"/>
  <c r="U251" i="3"/>
  <c r="V251" i="3"/>
  <c r="T252" i="3"/>
  <c r="U252" i="3"/>
  <c r="V252" i="3"/>
  <c r="T253" i="3"/>
  <c r="U253" i="3"/>
  <c r="V253" i="3"/>
  <c r="T254" i="3"/>
  <c r="U254" i="3"/>
  <c r="V254" i="3"/>
  <c r="T255" i="3"/>
  <c r="U255" i="3"/>
  <c r="V255" i="3"/>
  <c r="T256" i="3"/>
  <c r="U256" i="3"/>
  <c r="V256" i="3"/>
  <c r="T257" i="3"/>
  <c r="U257" i="3"/>
  <c r="V257" i="3"/>
  <c r="T258" i="3"/>
  <c r="U258" i="3"/>
  <c r="V258" i="3"/>
  <c r="T259" i="3"/>
  <c r="U259" i="3"/>
  <c r="V259" i="3"/>
  <c r="T260" i="3"/>
  <c r="U260" i="3"/>
  <c r="V260" i="3"/>
  <c r="T261" i="3"/>
  <c r="U261" i="3"/>
  <c r="V261" i="3"/>
  <c r="T262" i="3"/>
  <c r="U262" i="3"/>
  <c r="V262" i="3"/>
  <c r="T263" i="3"/>
  <c r="U263" i="3"/>
  <c r="V263" i="3"/>
  <c r="T264" i="3"/>
  <c r="U264" i="3"/>
  <c r="V264" i="3"/>
  <c r="T265" i="3"/>
  <c r="U265" i="3"/>
  <c r="V265" i="3"/>
  <c r="T266" i="3"/>
  <c r="U266" i="3"/>
  <c r="V266" i="3"/>
  <c r="T267" i="3"/>
  <c r="U267" i="3"/>
  <c r="V267" i="3"/>
  <c r="T268" i="3"/>
  <c r="U268" i="3"/>
  <c r="V268" i="3"/>
  <c r="T269" i="3"/>
  <c r="U269" i="3"/>
  <c r="V269" i="3"/>
  <c r="T270" i="3"/>
  <c r="U270" i="3"/>
  <c r="V270" i="3"/>
  <c r="T271" i="3"/>
  <c r="U271" i="3"/>
  <c r="V271" i="3"/>
  <c r="T272" i="3"/>
  <c r="U272" i="3"/>
  <c r="V272" i="3"/>
  <c r="T273" i="3"/>
  <c r="U273" i="3"/>
  <c r="V273" i="3"/>
  <c r="T274" i="3"/>
  <c r="U274" i="3"/>
  <c r="V274" i="3"/>
  <c r="T275" i="3"/>
  <c r="U275" i="3"/>
  <c r="V275" i="3"/>
  <c r="T276" i="3"/>
  <c r="U276" i="3"/>
  <c r="V276" i="3"/>
  <c r="T277" i="3"/>
  <c r="U277" i="3"/>
  <c r="V277" i="3"/>
  <c r="T278" i="3"/>
  <c r="U278" i="3"/>
  <c r="V278" i="3"/>
  <c r="T279" i="3"/>
  <c r="U279" i="3"/>
  <c r="V279" i="3"/>
  <c r="T280" i="3"/>
  <c r="U280" i="3"/>
  <c r="V280" i="3"/>
  <c r="T281" i="3"/>
  <c r="U281" i="3"/>
  <c r="V281" i="3"/>
  <c r="T282" i="3"/>
  <c r="U282" i="3"/>
  <c r="V282" i="3"/>
  <c r="T283" i="3"/>
  <c r="U283" i="3"/>
  <c r="V283" i="3"/>
  <c r="T284" i="3"/>
  <c r="U284" i="3"/>
  <c r="V284" i="3"/>
  <c r="T285" i="3"/>
  <c r="U285" i="3"/>
  <c r="V285" i="3"/>
  <c r="T286" i="3"/>
  <c r="U286" i="3"/>
  <c r="V286" i="3"/>
  <c r="T287" i="3"/>
  <c r="U287" i="3"/>
  <c r="V287" i="3"/>
  <c r="T288" i="3"/>
  <c r="U288" i="3"/>
  <c r="V288" i="3"/>
  <c r="T289" i="3"/>
  <c r="U289" i="3"/>
  <c r="V289" i="3"/>
  <c r="T290" i="3"/>
  <c r="U290" i="3"/>
  <c r="V290" i="3"/>
  <c r="T291" i="3"/>
  <c r="U291" i="3"/>
  <c r="V291" i="3"/>
  <c r="T292" i="3"/>
  <c r="U292" i="3"/>
  <c r="V292" i="3"/>
  <c r="T293" i="3"/>
  <c r="U293" i="3"/>
  <c r="V293" i="3"/>
  <c r="T294" i="3"/>
  <c r="U294" i="3"/>
  <c r="V294" i="3"/>
  <c r="T295" i="3"/>
  <c r="U295" i="3"/>
  <c r="V295" i="3"/>
  <c r="T296" i="3"/>
  <c r="U296" i="3"/>
  <c r="V296" i="3"/>
  <c r="T297" i="3"/>
  <c r="U297" i="3"/>
  <c r="V297" i="3"/>
  <c r="T298" i="3"/>
  <c r="U298" i="3"/>
  <c r="V298" i="3"/>
  <c r="T299" i="3"/>
  <c r="U299" i="3"/>
  <c r="V299" i="3"/>
  <c r="T300" i="3"/>
  <c r="U300" i="3"/>
  <c r="V300" i="3"/>
  <c r="T301" i="3"/>
  <c r="U301" i="3"/>
  <c r="V301" i="3"/>
  <c r="T302" i="3"/>
  <c r="U302" i="3"/>
  <c r="V302" i="3"/>
  <c r="T303" i="3"/>
  <c r="U303" i="3"/>
  <c r="V303" i="3"/>
  <c r="T304" i="3"/>
  <c r="U304" i="3"/>
  <c r="V304" i="3"/>
  <c r="T305" i="3"/>
  <c r="U305" i="3"/>
  <c r="V305" i="3"/>
  <c r="T306" i="3"/>
  <c r="U306" i="3"/>
  <c r="V306" i="3"/>
  <c r="T307" i="3"/>
  <c r="U307" i="3"/>
  <c r="V307" i="3"/>
  <c r="T308" i="3"/>
  <c r="U308" i="3"/>
  <c r="V308" i="3"/>
  <c r="T309" i="3"/>
  <c r="U309" i="3"/>
  <c r="V309" i="3"/>
  <c r="T310" i="3"/>
  <c r="U310" i="3"/>
  <c r="V310" i="3"/>
  <c r="T311" i="3"/>
  <c r="U311" i="3"/>
  <c r="V311" i="3"/>
  <c r="T312" i="3"/>
  <c r="U312" i="3"/>
  <c r="V312" i="3"/>
  <c r="T313" i="3"/>
  <c r="U313" i="3"/>
  <c r="V313" i="3"/>
  <c r="T314" i="3"/>
  <c r="U314" i="3"/>
  <c r="V314" i="3"/>
  <c r="T315" i="3"/>
  <c r="U315" i="3"/>
  <c r="V315" i="3"/>
  <c r="T316" i="3"/>
  <c r="U316" i="3"/>
  <c r="V316" i="3"/>
  <c r="T317" i="3"/>
  <c r="U317" i="3"/>
  <c r="V317" i="3"/>
  <c r="T318" i="3"/>
  <c r="U318" i="3"/>
  <c r="V318" i="3"/>
  <c r="T319" i="3"/>
  <c r="U319" i="3"/>
  <c r="V319" i="3"/>
  <c r="T320" i="3"/>
  <c r="U320" i="3"/>
  <c r="V320" i="3"/>
  <c r="T321" i="3"/>
  <c r="U321" i="3"/>
  <c r="V321" i="3"/>
  <c r="T322" i="3"/>
  <c r="U322" i="3"/>
  <c r="V322" i="3"/>
  <c r="T323" i="3"/>
  <c r="U323" i="3"/>
  <c r="V323" i="3"/>
  <c r="T324" i="3"/>
  <c r="U324" i="3"/>
  <c r="V324" i="3"/>
  <c r="T325" i="3"/>
  <c r="U325" i="3"/>
  <c r="V325" i="3"/>
  <c r="T326" i="3"/>
  <c r="U326" i="3"/>
  <c r="V326" i="3"/>
  <c r="T327" i="3"/>
  <c r="U327" i="3"/>
  <c r="V327" i="3"/>
  <c r="T328" i="3"/>
  <c r="U328" i="3"/>
  <c r="V328" i="3"/>
  <c r="T329" i="3"/>
  <c r="U329" i="3"/>
  <c r="V329" i="3"/>
  <c r="T330" i="3"/>
  <c r="U330" i="3"/>
  <c r="V330" i="3"/>
  <c r="T331" i="3"/>
  <c r="U331" i="3"/>
  <c r="V331" i="3"/>
  <c r="T332" i="3"/>
  <c r="U332" i="3"/>
  <c r="V332" i="3"/>
  <c r="T333" i="3"/>
  <c r="U333" i="3"/>
  <c r="V333" i="3"/>
  <c r="T334" i="3"/>
  <c r="U334" i="3"/>
  <c r="V334" i="3"/>
  <c r="T335" i="3"/>
  <c r="U335" i="3"/>
  <c r="V335" i="3"/>
  <c r="T336" i="3"/>
  <c r="U336" i="3"/>
  <c r="V336" i="3"/>
  <c r="T337" i="3"/>
  <c r="U337" i="3"/>
  <c r="V337" i="3"/>
  <c r="T338" i="3"/>
  <c r="U338" i="3"/>
  <c r="V338" i="3"/>
  <c r="T339" i="3"/>
  <c r="U339" i="3"/>
  <c r="V339" i="3"/>
  <c r="T340" i="3"/>
  <c r="U340" i="3"/>
  <c r="V340" i="3"/>
  <c r="T341" i="3"/>
  <c r="U341" i="3"/>
  <c r="V341" i="3"/>
  <c r="T342" i="3"/>
  <c r="U342" i="3"/>
  <c r="V342" i="3"/>
  <c r="T343" i="3"/>
  <c r="U343" i="3"/>
  <c r="V343" i="3"/>
  <c r="T344" i="3"/>
  <c r="U344" i="3"/>
  <c r="V344" i="3"/>
  <c r="T345" i="3"/>
  <c r="U345" i="3"/>
  <c r="V345" i="3"/>
  <c r="T346" i="3"/>
  <c r="U346" i="3"/>
  <c r="V346" i="3"/>
  <c r="T347" i="3"/>
  <c r="U347" i="3"/>
  <c r="V347" i="3"/>
  <c r="T348" i="3"/>
  <c r="U348" i="3"/>
  <c r="V348" i="3"/>
  <c r="T349" i="3"/>
  <c r="U349" i="3"/>
  <c r="V349" i="3"/>
  <c r="T350" i="3"/>
  <c r="U350" i="3"/>
  <c r="V350" i="3"/>
  <c r="T351" i="3"/>
  <c r="U351" i="3"/>
  <c r="V351" i="3"/>
  <c r="T352" i="3"/>
  <c r="U352" i="3"/>
  <c r="V352" i="3"/>
  <c r="T353" i="3"/>
  <c r="U353" i="3"/>
  <c r="V353" i="3"/>
  <c r="T354" i="3"/>
  <c r="U354" i="3"/>
  <c r="V354" i="3"/>
  <c r="T355" i="3"/>
  <c r="U355" i="3"/>
  <c r="V355" i="3"/>
  <c r="T356" i="3"/>
  <c r="U356" i="3"/>
  <c r="V356" i="3"/>
  <c r="T357" i="3"/>
  <c r="U357" i="3"/>
  <c r="V357" i="3"/>
  <c r="T358" i="3"/>
  <c r="U358" i="3"/>
  <c r="V358" i="3"/>
  <c r="T359" i="3"/>
  <c r="U359" i="3"/>
  <c r="V359" i="3"/>
  <c r="T360" i="3"/>
  <c r="U360" i="3"/>
  <c r="V360" i="3"/>
  <c r="T361" i="3"/>
  <c r="U361" i="3"/>
  <c r="V361" i="3"/>
  <c r="T362" i="3"/>
  <c r="U362" i="3"/>
  <c r="V362" i="3"/>
  <c r="T363" i="3"/>
  <c r="U363" i="3"/>
  <c r="V363" i="3"/>
  <c r="T364" i="3"/>
  <c r="U364" i="3"/>
  <c r="V364" i="3"/>
  <c r="T365" i="3"/>
  <c r="U365" i="3"/>
  <c r="V365" i="3"/>
  <c r="T366" i="3"/>
  <c r="U366" i="3"/>
  <c r="V366" i="3"/>
  <c r="T367" i="3"/>
  <c r="U367" i="3"/>
  <c r="V367" i="3"/>
  <c r="T368" i="3"/>
  <c r="U368" i="3"/>
  <c r="V368" i="3"/>
  <c r="T369" i="3"/>
  <c r="U369" i="3"/>
  <c r="V369" i="3"/>
  <c r="T370" i="3"/>
  <c r="U370" i="3"/>
  <c r="V370" i="3"/>
  <c r="T371" i="3"/>
  <c r="U371" i="3"/>
  <c r="V371" i="3"/>
  <c r="T372" i="3"/>
  <c r="U372" i="3"/>
  <c r="V372" i="3"/>
  <c r="T373" i="3"/>
  <c r="U373" i="3"/>
  <c r="V373" i="3"/>
  <c r="T374" i="3"/>
  <c r="U374" i="3"/>
  <c r="V374" i="3"/>
  <c r="T375" i="3"/>
  <c r="U375" i="3"/>
  <c r="V375" i="3"/>
  <c r="T376" i="3"/>
  <c r="U376" i="3"/>
  <c r="V376" i="3"/>
  <c r="T377" i="3"/>
  <c r="U377" i="3"/>
  <c r="V377" i="3"/>
  <c r="T378" i="3"/>
  <c r="U378" i="3"/>
  <c r="V378" i="3"/>
  <c r="T379" i="3"/>
  <c r="U379" i="3"/>
  <c r="V379" i="3"/>
  <c r="T380" i="3"/>
  <c r="U380" i="3"/>
  <c r="V380" i="3"/>
  <c r="T381" i="3"/>
  <c r="U381" i="3"/>
  <c r="V381" i="3"/>
  <c r="T382" i="3"/>
  <c r="U382" i="3"/>
  <c r="V382" i="3"/>
  <c r="T383" i="3"/>
  <c r="U383" i="3"/>
  <c r="V383" i="3"/>
  <c r="T384" i="3"/>
  <c r="U384" i="3"/>
  <c r="V384" i="3"/>
  <c r="T385" i="3"/>
  <c r="U385" i="3"/>
  <c r="V385" i="3"/>
  <c r="T386" i="3"/>
  <c r="U386" i="3"/>
  <c r="V386" i="3"/>
  <c r="T387" i="3"/>
  <c r="U387" i="3"/>
  <c r="V387" i="3"/>
  <c r="T388" i="3"/>
  <c r="U388" i="3"/>
  <c r="V388" i="3"/>
  <c r="T389" i="3"/>
  <c r="U389" i="3"/>
  <c r="V389" i="3"/>
  <c r="T390" i="3"/>
  <c r="U390" i="3"/>
  <c r="V390" i="3"/>
  <c r="T391" i="3"/>
  <c r="U391" i="3"/>
  <c r="V391" i="3"/>
  <c r="T392" i="3"/>
  <c r="U392" i="3"/>
  <c r="V392" i="3"/>
  <c r="T393" i="3"/>
  <c r="U393" i="3"/>
  <c r="V393" i="3"/>
  <c r="T394" i="3"/>
  <c r="U394" i="3"/>
  <c r="V394" i="3"/>
  <c r="T395" i="3"/>
  <c r="U395" i="3"/>
  <c r="V395" i="3"/>
  <c r="T396" i="3"/>
  <c r="U396" i="3"/>
  <c r="V396" i="3"/>
  <c r="T397" i="3"/>
  <c r="U397" i="3"/>
  <c r="V397" i="3"/>
  <c r="T398" i="3"/>
  <c r="U398" i="3"/>
  <c r="V398" i="3"/>
  <c r="T399" i="3"/>
  <c r="U399" i="3"/>
  <c r="V399" i="3"/>
  <c r="T400" i="3"/>
  <c r="U400" i="3"/>
  <c r="V400" i="3"/>
  <c r="T401" i="3"/>
  <c r="U401" i="3"/>
  <c r="V401" i="3"/>
  <c r="T402" i="3"/>
  <c r="U402" i="3"/>
  <c r="V402" i="3"/>
  <c r="T403" i="3"/>
  <c r="U403" i="3"/>
  <c r="V403" i="3"/>
  <c r="T404" i="3"/>
  <c r="U404" i="3"/>
  <c r="V404" i="3"/>
  <c r="T405" i="3"/>
  <c r="U405" i="3"/>
  <c r="V405" i="3"/>
  <c r="T406" i="3"/>
  <c r="U406" i="3"/>
  <c r="V406" i="3"/>
  <c r="T407" i="3"/>
  <c r="U407" i="3"/>
  <c r="V407" i="3"/>
  <c r="T408" i="3"/>
  <c r="U408" i="3"/>
  <c r="V408" i="3"/>
  <c r="T409" i="3"/>
  <c r="U409" i="3"/>
  <c r="V409" i="3"/>
  <c r="T410" i="3"/>
  <c r="U410" i="3"/>
  <c r="V410" i="3"/>
  <c r="T411" i="3"/>
  <c r="U411" i="3"/>
  <c r="V411" i="3"/>
  <c r="T412" i="3"/>
  <c r="U412" i="3"/>
  <c r="V412" i="3"/>
  <c r="T413" i="3"/>
  <c r="U413" i="3"/>
  <c r="V413" i="3"/>
  <c r="T414" i="3"/>
  <c r="U414" i="3"/>
  <c r="V414" i="3"/>
  <c r="T415" i="3"/>
  <c r="U415" i="3"/>
  <c r="V415" i="3"/>
  <c r="T416" i="3"/>
  <c r="U416" i="3"/>
  <c r="V416" i="3"/>
  <c r="T417" i="3"/>
  <c r="U417" i="3"/>
  <c r="V417" i="3"/>
  <c r="T418" i="3"/>
  <c r="U418" i="3"/>
  <c r="V418" i="3"/>
  <c r="T419" i="3"/>
  <c r="U419" i="3"/>
  <c r="V419" i="3"/>
  <c r="T420" i="3"/>
  <c r="U420" i="3"/>
  <c r="V420" i="3"/>
  <c r="T421" i="3"/>
  <c r="U421" i="3"/>
  <c r="V421" i="3"/>
  <c r="T422" i="3"/>
  <c r="U422" i="3"/>
  <c r="V422" i="3"/>
  <c r="T423" i="3"/>
  <c r="U423" i="3"/>
  <c r="V423" i="3"/>
  <c r="T424" i="3"/>
  <c r="U424" i="3"/>
  <c r="V424" i="3"/>
  <c r="T425" i="3"/>
  <c r="U425" i="3"/>
  <c r="V425" i="3"/>
  <c r="T426" i="3"/>
  <c r="U426" i="3"/>
  <c r="V426" i="3"/>
  <c r="T427" i="3"/>
  <c r="U427" i="3"/>
  <c r="V427" i="3"/>
  <c r="T428" i="3"/>
  <c r="U428" i="3"/>
  <c r="V428" i="3"/>
  <c r="T429" i="3"/>
  <c r="U429" i="3"/>
  <c r="V429" i="3"/>
  <c r="T430" i="3"/>
  <c r="U430" i="3"/>
  <c r="V430" i="3"/>
  <c r="T431" i="3"/>
  <c r="U431" i="3"/>
  <c r="V431" i="3"/>
  <c r="T432" i="3"/>
  <c r="U432" i="3"/>
  <c r="V432" i="3"/>
  <c r="T433" i="3"/>
  <c r="U433" i="3"/>
  <c r="V433" i="3"/>
  <c r="T434" i="3"/>
  <c r="U434" i="3"/>
  <c r="V434" i="3"/>
  <c r="T435" i="3"/>
  <c r="U435" i="3"/>
  <c r="V435" i="3"/>
  <c r="T436" i="3"/>
  <c r="U436" i="3"/>
  <c r="V436" i="3"/>
  <c r="T437" i="3"/>
  <c r="U437" i="3"/>
  <c r="V437" i="3"/>
  <c r="T438" i="3"/>
  <c r="U438" i="3"/>
  <c r="V438" i="3"/>
  <c r="T439" i="3"/>
  <c r="U439" i="3"/>
  <c r="V439" i="3"/>
  <c r="V2" i="3"/>
  <c r="K10" i="1" s="1"/>
  <c r="U2" i="3"/>
  <c r="T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2" i="2"/>
  <c r="K3" i="1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2" i="2"/>
  <c r="I3" i="1" s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AI1826" i="5"/>
  <c r="AI1827" i="5"/>
  <c r="AI1828" i="5"/>
  <c r="AI1829" i="5"/>
  <c r="AI1830" i="5"/>
  <c r="AI1831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4" i="5"/>
  <c r="F43" i="1"/>
  <c r="E43" i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G4" i="8"/>
  <c r="F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4" i="8"/>
  <c r="F39" i="1"/>
  <c r="E39" i="1"/>
  <c r="F34" i="1"/>
  <c r="F33" i="1"/>
  <c r="F32" i="1"/>
  <c r="E34" i="1"/>
  <c r="E33" i="1"/>
  <c r="E32" i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2" i="3"/>
  <c r="F10" i="1"/>
  <c r="E10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2" i="2"/>
  <c r="F3" i="1"/>
  <c r="E3" i="1"/>
  <c r="J39" i="1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P4" i="8"/>
  <c r="O4" i="8"/>
  <c r="N4" i="8"/>
  <c r="M4" i="8"/>
  <c r="L4" i="8"/>
  <c r="K4" i="8"/>
  <c r="J4" i="8"/>
  <c r="I4" i="8"/>
  <c r="H4" i="8"/>
  <c r="J10" i="1"/>
  <c r="I10" i="1"/>
  <c r="J3" i="1"/>
  <c r="F493" i="11"/>
  <c r="F365" i="11"/>
  <c r="F366" i="11"/>
  <c r="F367" i="11"/>
  <c r="F368" i="11"/>
  <c r="F369" i="11"/>
  <c r="F370" i="11"/>
  <c r="F371" i="11"/>
  <c r="F372" i="11"/>
  <c r="F373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" i="11"/>
  <c r="D10" i="1"/>
  <c r="H2" i="3"/>
  <c r="J2" i="3"/>
  <c r="G10" i="1"/>
  <c r="H10" i="1" s="1"/>
  <c r="Z2" i="3" l="1" a="1"/>
  <c r="Z2" i="3" s="1"/>
  <c r="H15" i="1"/>
  <c r="X732" i="7"/>
  <c r="X573" i="7"/>
  <c r="X742" i="7"/>
  <c r="X501" i="7"/>
  <c r="Z130" i="7"/>
  <c r="Z394" i="7"/>
  <c r="X92" i="7"/>
  <c r="X765" i="7"/>
  <c r="X344" i="7"/>
  <c r="X835" i="7"/>
  <c r="X46" i="7"/>
  <c r="Z513" i="7"/>
  <c r="X8" i="7"/>
  <c r="X226" i="7"/>
  <c r="X31" i="7"/>
  <c r="X82" i="7"/>
  <c r="X525" i="7"/>
  <c r="Z128" i="7"/>
  <c r="X571" i="7"/>
  <c r="X57" i="7"/>
  <c r="X643" i="7"/>
  <c r="X151" i="7"/>
  <c r="X247" i="7"/>
  <c r="X1015" i="7"/>
  <c r="X200" i="7"/>
  <c r="Z1043" i="7"/>
  <c r="Z101" i="7"/>
  <c r="X1031" i="7"/>
  <c r="X630" i="7"/>
  <c r="Z894" i="7"/>
  <c r="X737" i="7"/>
  <c r="X1050" i="7"/>
  <c r="Y1050" i="7" s="1"/>
  <c r="X510" i="7"/>
  <c r="Z1048" i="7"/>
  <c r="X680" i="7"/>
  <c r="X1014" i="7"/>
  <c r="X463" i="7"/>
  <c r="Z596" i="7"/>
  <c r="X211" i="7"/>
  <c r="X799" i="7"/>
  <c r="Z380" i="7"/>
  <c r="X296" i="7"/>
  <c r="X739" i="7"/>
  <c r="X500" i="7"/>
  <c r="X928" i="7"/>
  <c r="X1001" i="7"/>
  <c r="X450" i="7"/>
  <c r="X54" i="7"/>
  <c r="X908" i="7"/>
  <c r="X524" i="7"/>
  <c r="X848" i="7"/>
  <c r="X880" i="7"/>
  <c r="X425" i="7"/>
  <c r="X1016" i="7"/>
  <c r="X568" i="7"/>
  <c r="X64" i="7"/>
  <c r="X976" i="7"/>
  <c r="X725" i="7"/>
  <c r="Z835" i="7"/>
  <c r="X40" i="7"/>
  <c r="X905" i="7"/>
  <c r="X667" i="7"/>
  <c r="X906" i="7"/>
  <c r="X953" i="7"/>
  <c r="X401" i="7"/>
  <c r="X206" i="7"/>
  <c r="X832" i="7"/>
  <c r="X956" i="7"/>
  <c r="Z1011" i="7"/>
  <c r="X869" i="7"/>
  <c r="Z848" i="7"/>
  <c r="X112" i="7"/>
  <c r="Z1026" i="7"/>
  <c r="Z870" i="7"/>
  <c r="Z844" i="7"/>
  <c r="X269" i="7"/>
  <c r="X700" i="7"/>
  <c r="X930" i="7"/>
  <c r="X451" i="7"/>
  <c r="X512" i="7"/>
  <c r="X509" i="7"/>
  <c r="Z872" i="7"/>
  <c r="Z1050" i="7"/>
  <c r="X632" i="7"/>
  <c r="X1004" i="7"/>
  <c r="X761" i="7"/>
  <c r="X764" i="7"/>
  <c r="X222" i="7"/>
  <c r="X365" i="7"/>
  <c r="Z1044" i="7"/>
  <c r="X750" i="7"/>
  <c r="Z869" i="7"/>
  <c r="X676" i="7"/>
  <c r="X1037" i="7"/>
  <c r="X137" i="7"/>
  <c r="X508" i="7"/>
  <c r="X702" i="7"/>
  <c r="Z114" i="7"/>
  <c r="X30" i="7"/>
  <c r="Z728" i="7"/>
  <c r="Z512" i="7"/>
  <c r="X380" i="7"/>
  <c r="X104" i="7"/>
  <c r="X235" i="7"/>
  <c r="X929" i="7"/>
  <c r="X608" i="7"/>
  <c r="Z296" i="7"/>
  <c r="X883" i="7"/>
  <c r="Z834" i="7"/>
  <c r="Z871" i="7"/>
  <c r="X1040" i="7"/>
  <c r="X581" i="7"/>
  <c r="X317" i="7"/>
  <c r="Z136" i="7"/>
  <c r="X462" i="7"/>
  <c r="Z126" i="7"/>
  <c r="Z102" i="7"/>
  <c r="X738" i="7"/>
  <c r="X1048" i="7"/>
  <c r="X716" i="7"/>
  <c r="X1012" i="7"/>
  <c r="X1007" i="7"/>
  <c r="X187" i="7"/>
  <c r="Z896" i="7"/>
  <c r="X499" i="7"/>
  <c r="X139" i="7"/>
  <c r="Z104" i="7"/>
  <c r="X652" i="7"/>
  <c r="Z388" i="7"/>
  <c r="X968" i="7"/>
  <c r="X330" i="7"/>
  <c r="X666" i="7"/>
  <c r="X980" i="7"/>
  <c r="X1025" i="7"/>
  <c r="X570" i="7"/>
  <c r="X606" i="7"/>
  <c r="X710" i="7"/>
  <c r="X1028" i="7"/>
  <c r="X485" i="7"/>
  <c r="X668" i="7"/>
  <c r="Z812" i="7"/>
  <c r="X593" i="7"/>
  <c r="X246" i="7"/>
  <c r="Z386" i="7"/>
  <c r="X102" i="7"/>
  <c r="X536" i="7"/>
  <c r="X808" i="7"/>
  <c r="Z824" i="7"/>
  <c r="X163" i="7"/>
  <c r="Z138" i="7"/>
  <c r="X546" i="7"/>
  <c r="X413" i="7"/>
  <c r="X796" i="7"/>
  <c r="X977" i="7"/>
  <c r="X342" i="7"/>
  <c r="Z1014" i="7"/>
  <c r="X812" i="7"/>
  <c r="X221" i="7"/>
  <c r="X498" i="7"/>
  <c r="Z1016" i="7"/>
  <c r="Z820" i="7"/>
  <c r="X402" i="7"/>
  <c r="X920" i="7"/>
  <c r="X152" i="7"/>
  <c r="Z858" i="7"/>
  <c r="X584" i="7"/>
  <c r="X150" i="7"/>
  <c r="X245" i="7"/>
  <c r="X244" i="7"/>
  <c r="X162" i="7"/>
  <c r="Z1049" i="7"/>
  <c r="Z1019" i="7"/>
  <c r="X174" i="7"/>
  <c r="Z726" i="7"/>
  <c r="X595" i="7"/>
  <c r="X966" i="7"/>
  <c r="Z724" i="7"/>
  <c r="Z113" i="7"/>
  <c r="X560" i="7"/>
  <c r="X979" i="7"/>
  <c r="X77" i="7"/>
  <c r="X295" i="7"/>
  <c r="X728" i="7"/>
  <c r="X887" i="7"/>
  <c r="X896" i="7"/>
  <c r="X594" i="7"/>
  <c r="X1044" i="7"/>
  <c r="X582" i="7"/>
  <c r="X932" i="7"/>
  <c r="X855" i="7"/>
  <c r="X91" i="7"/>
  <c r="Z810" i="7"/>
  <c r="Z881" i="7"/>
  <c r="X1038" i="7"/>
  <c r="X618" i="7"/>
  <c r="X354" i="7"/>
  <c r="Z887" i="7"/>
  <c r="Z124" i="7"/>
  <c r="X545" i="7"/>
  <c r="X473" i="7"/>
  <c r="X947" i="7"/>
  <c r="Z148" i="7"/>
  <c r="X884" i="7"/>
  <c r="X726" i="7"/>
  <c r="X1010" i="7"/>
  <c r="X940" i="7"/>
  <c r="X785" i="7"/>
  <c r="X198" i="7"/>
  <c r="X640" i="7"/>
  <c r="Z387" i="7"/>
  <c r="X701" i="7"/>
  <c r="X653" i="7"/>
  <c r="X521" i="7"/>
  <c r="X927" i="7"/>
  <c r="X711" i="7"/>
  <c r="Z846" i="7"/>
  <c r="X714" i="7"/>
  <c r="X990" i="7"/>
  <c r="Z893" i="7"/>
  <c r="X78" i="7"/>
  <c r="X424" i="7"/>
  <c r="X88" i="7"/>
  <c r="Z112" i="7"/>
  <c r="X752" i="7"/>
  <c r="Z378" i="7"/>
  <c r="X824" i="7"/>
  <c r="X447" i="7"/>
  <c r="Z807" i="7"/>
  <c r="X205" i="7"/>
  <c r="X17" i="7"/>
  <c r="X1000" i="7"/>
  <c r="Z860" i="7"/>
  <c r="X857" i="7"/>
  <c r="Z1031" i="7"/>
  <c r="X258" i="7"/>
  <c r="X894" i="7"/>
  <c r="X486" i="7"/>
  <c r="X858" i="7"/>
  <c r="X522" i="7"/>
  <c r="Z868" i="7"/>
  <c r="X800" i="7"/>
  <c r="X845" i="7"/>
  <c r="Z845" i="7"/>
  <c r="X1011" i="7"/>
  <c r="X184" i="7"/>
  <c r="X90" i="7"/>
  <c r="X567" i="7"/>
  <c r="Z818" i="7"/>
  <c r="X315" i="7"/>
  <c r="X459" i="7"/>
  <c r="Z1007" i="7"/>
  <c r="Z822" i="7"/>
  <c r="X651" i="7"/>
  <c r="Z147" i="7"/>
  <c r="X892" i="7"/>
  <c r="Z139" i="7"/>
  <c r="X280" i="7"/>
  <c r="X161" i="7"/>
  <c r="X1049" i="7"/>
  <c r="X438" i="7"/>
  <c r="X774" i="7"/>
  <c r="X692" i="7"/>
  <c r="X786" i="7"/>
  <c r="X1043" i="7"/>
  <c r="X556" i="7"/>
  <c r="Z100" i="7"/>
  <c r="X66" i="7"/>
  <c r="X580" i="7"/>
  <c r="X822" i="7"/>
  <c r="X136" i="7"/>
  <c r="X604" i="7"/>
  <c r="Z1040" i="7"/>
  <c r="X965" i="7"/>
  <c r="X389" i="7"/>
  <c r="X281" i="7"/>
  <c r="X795" i="7"/>
  <c r="X338" i="7"/>
  <c r="X689" i="7"/>
  <c r="X256" i="7"/>
  <c r="X373" i="7"/>
  <c r="X772" i="7"/>
  <c r="X914" i="7"/>
  <c r="X776" i="7"/>
  <c r="X712" i="7"/>
  <c r="Z857" i="7"/>
  <c r="X52" i="7"/>
  <c r="X128" i="7"/>
  <c r="X437" i="7"/>
  <c r="X740" i="7"/>
  <c r="X461" i="7"/>
  <c r="X834" i="7"/>
  <c r="X471" i="7"/>
  <c r="X426" i="7"/>
  <c r="X210" i="7"/>
  <c r="X569" i="7"/>
  <c r="X797" i="7"/>
  <c r="X532" i="7"/>
  <c r="X496" i="7"/>
  <c r="X290" i="7"/>
  <c r="X998" i="7"/>
  <c r="Z836" i="7"/>
  <c r="Z809" i="7"/>
  <c r="X1013" i="7"/>
  <c r="X412" i="7"/>
  <c r="Z800" i="7"/>
  <c r="X114" i="7"/>
  <c r="X724" i="7"/>
  <c r="X305" i="7"/>
  <c r="X978" i="7"/>
  <c r="X282" i="7"/>
  <c r="Z111" i="7"/>
  <c r="X377" i="7"/>
  <c r="Z884" i="7"/>
  <c r="X113" i="7"/>
  <c r="Z1037" i="7"/>
  <c r="X941" i="7"/>
  <c r="Z1023" i="7"/>
  <c r="Z832" i="7"/>
  <c r="X28" i="7"/>
  <c r="X629" i="7"/>
  <c r="X617" i="7"/>
  <c r="Z725" i="7"/>
  <c r="X833" i="7"/>
  <c r="X160" i="7"/>
  <c r="Z123" i="7"/>
  <c r="X148" i="7"/>
  <c r="X329" i="7"/>
  <c r="X748" i="7"/>
  <c r="X519" i="7"/>
  <c r="X100" i="7"/>
  <c r="Z843" i="7"/>
  <c r="X771" i="7"/>
  <c r="X770" i="7"/>
  <c r="X42" i="7"/>
  <c r="X195" i="7"/>
  <c r="X89" i="7"/>
  <c r="Z122" i="7"/>
  <c r="X688" i="7"/>
  <c r="X999" i="7"/>
  <c r="X349" i="7"/>
  <c r="X386" i="7"/>
  <c r="X807" i="7"/>
  <c r="Z1012" i="7"/>
  <c r="X782" i="7"/>
  <c r="Z842" i="7"/>
  <c r="X924" i="7"/>
  <c r="Z134" i="7"/>
  <c r="X603" i="7"/>
  <c r="X856" i="7"/>
  <c r="Z841" i="7"/>
  <c r="X257" i="7"/>
  <c r="X783" i="7"/>
  <c r="X614" i="7"/>
  <c r="Z1022" i="7"/>
  <c r="Z808" i="7"/>
  <c r="X474" i="7"/>
  <c r="X327" i="7"/>
  <c r="X484" i="7"/>
  <c r="X1046" i="7"/>
  <c r="Z854" i="7"/>
  <c r="Z390" i="7"/>
  <c r="Z389" i="7"/>
  <c r="Z1025" i="7"/>
  <c r="Z1038" i="7"/>
  <c r="X352" i="7"/>
  <c r="X481" i="7"/>
  <c r="X828" i="7"/>
  <c r="X233" i="7"/>
  <c r="Z891" i="7"/>
  <c r="X831" i="7"/>
  <c r="X182" i="7"/>
  <c r="Z1028" i="7"/>
  <c r="X773" i="7"/>
  <c r="X134" i="7"/>
  <c r="X1026" i="7"/>
  <c r="X337" i="7"/>
  <c r="X810" i="7"/>
  <c r="Z1013" i="7"/>
  <c r="X893" i="7"/>
  <c r="X844" i="7"/>
  <c r="X566" i="7"/>
  <c r="X944" i="7"/>
  <c r="X126" i="7"/>
  <c r="X306" i="7"/>
  <c r="X558" i="7"/>
  <c r="Z125" i="7"/>
  <c r="X294" i="7"/>
  <c r="X531" i="7"/>
  <c r="Z137" i="7"/>
  <c r="Z879" i="7"/>
  <c r="Z821" i="7"/>
  <c r="X843" i="7"/>
  <c r="X340" i="7"/>
  <c r="Z1047" i="7"/>
  <c r="X830" i="7"/>
  <c r="Z866" i="7"/>
  <c r="X172" i="7"/>
  <c r="Z882" i="7"/>
  <c r="X846" i="7"/>
  <c r="X868" i="7"/>
  <c r="X375" i="7"/>
  <c r="X14" i="7"/>
  <c r="X196" i="7"/>
  <c r="X350" i="7"/>
  <c r="Z878" i="7"/>
  <c r="X735" i="7"/>
  <c r="X76" i="7"/>
  <c r="X592" i="7"/>
  <c r="X578" i="7"/>
  <c r="Z877" i="7"/>
  <c r="X762" i="7"/>
  <c r="X760" i="7"/>
  <c r="X366" i="7"/>
  <c r="X820" i="7"/>
  <c r="X27" i="7"/>
  <c r="X962" i="7"/>
  <c r="X304" i="7"/>
  <c r="Z377" i="7"/>
  <c r="X138" i="7"/>
  <c r="X918" i="7"/>
  <c r="X351" i="7"/>
  <c r="X293" i="7"/>
  <c r="X1019" i="7"/>
  <c r="X53" i="7"/>
  <c r="X410" i="7"/>
  <c r="X867" i="7"/>
  <c r="Z833" i="7"/>
  <c r="X572" i="7"/>
  <c r="X520" i="7"/>
  <c r="X882" i="7"/>
  <c r="X747" i="7"/>
  <c r="X542" i="7"/>
  <c r="X1002" i="7"/>
  <c r="Z1024" i="7"/>
  <c r="Z720" i="7"/>
  <c r="X784" i="7"/>
  <c r="X902" i="7"/>
  <c r="X661" i="7"/>
  <c r="X146" i="7"/>
  <c r="X208" i="7"/>
  <c r="Z819" i="7"/>
  <c r="X218" i="7"/>
  <c r="X387" i="7"/>
  <c r="Z733" i="7"/>
  <c r="X507" i="7"/>
  <c r="X219" i="7"/>
  <c r="X818" i="7"/>
  <c r="X292" i="7"/>
  <c r="X917" i="7"/>
  <c r="X75" i="7"/>
  <c r="Z1036" i="7"/>
  <c r="X186" i="7"/>
  <c r="X915" i="7"/>
  <c r="X231" i="7"/>
  <c r="X325" i="7"/>
  <c r="Z831" i="7"/>
  <c r="Z1021" i="7"/>
  <c r="Z722" i="7"/>
  <c r="X804" i="7"/>
  <c r="X265" i="7"/>
  <c r="Z1010" i="7"/>
  <c r="X470" i="7"/>
  <c r="Z723" i="7"/>
  <c r="X109" i="7"/>
  <c r="Z119" i="7"/>
  <c r="X143" i="7"/>
  <c r="Z397" i="7"/>
  <c r="X939" i="7"/>
  <c r="Z852" i="7"/>
  <c r="X809" i="7"/>
  <c r="X628" i="7"/>
  <c r="X665" i="7"/>
  <c r="X434" i="7"/>
  <c r="X216" i="7"/>
  <c r="X414" i="7"/>
  <c r="X986" i="7"/>
  <c r="Z856" i="7"/>
  <c r="X123" i="7"/>
  <c r="X841" i="7"/>
  <c r="X992" i="7"/>
  <c r="X197" i="7"/>
  <c r="X316" i="7"/>
  <c r="X267" i="7"/>
  <c r="X171" i="7"/>
  <c r="X73" i="7"/>
  <c r="X625" i="7"/>
  <c r="Z817" i="7"/>
  <c r="X721" i="7"/>
  <c r="X38" i="7"/>
  <c r="X26" i="7"/>
  <c r="Z1046" i="7"/>
  <c r="X745" i="7"/>
  <c r="X548" i="7"/>
  <c r="X364" i="7"/>
  <c r="X220" i="7"/>
  <c r="Z840" i="7"/>
  <c r="Z99" i="7"/>
  <c r="Z385" i="7"/>
  <c r="X469" i="7"/>
  <c r="X974" i="7"/>
  <c r="Z1034" i="7"/>
  <c r="X806" i="7"/>
  <c r="X110" i="7"/>
  <c r="X504" i="7"/>
  <c r="X360" i="7"/>
  <c r="Z889" i="7"/>
  <c r="X960" i="7"/>
  <c r="X734" i="7"/>
  <c r="X577" i="7"/>
  <c r="Z867" i="7"/>
  <c r="Z135" i="7"/>
  <c r="X374" i="7"/>
  <c r="X544" i="7"/>
  <c r="X436" i="7"/>
  <c r="X926" i="7"/>
  <c r="X124" i="7"/>
  <c r="X458" i="7"/>
  <c r="X121" i="7"/>
  <c r="X878" i="7"/>
  <c r="X963" i="7"/>
  <c r="X819" i="7"/>
  <c r="X1021" i="7"/>
  <c r="X362" i="7"/>
  <c r="X180" i="7"/>
  <c r="Z376" i="7"/>
  <c r="X736" i="7"/>
  <c r="Z892" i="7"/>
  <c r="Z880" i="7"/>
  <c r="X194" i="7"/>
  <c r="Z398" i="7"/>
  <c r="Z1035" i="7"/>
  <c r="X985" i="7"/>
  <c r="X243" i="7"/>
  <c r="Z300" i="7"/>
  <c r="X972" i="7"/>
  <c r="X207" i="7"/>
  <c r="X277" i="7"/>
  <c r="X399" i="7"/>
  <c r="X805" i="7"/>
  <c r="X1045" i="7"/>
  <c r="X851" i="7"/>
  <c r="X946" i="7"/>
  <c r="X635" i="7"/>
  <c r="X336" i="7"/>
  <c r="Z732" i="7"/>
  <c r="X84" i="7"/>
  <c r="X898" i="7"/>
  <c r="X266" i="7"/>
  <c r="X612" i="7"/>
  <c r="X108" i="7"/>
  <c r="Z855" i="7"/>
  <c r="Z1020" i="7"/>
  <c r="X720" i="7"/>
  <c r="X131" i="7"/>
  <c r="X324" i="7"/>
  <c r="X646" i="7"/>
  <c r="X613" i="7"/>
  <c r="X600" i="7"/>
  <c r="Z133" i="7"/>
  <c r="X683" i="7"/>
  <c r="X16" i="7"/>
  <c r="X579" i="7"/>
  <c r="X411" i="7"/>
  <c r="X637" i="7"/>
  <c r="X936" i="7"/>
  <c r="X147" i="7"/>
  <c r="X422" i="7"/>
  <c r="X517" i="7"/>
  <c r="Z395" i="7"/>
  <c r="Z384" i="7"/>
  <c r="Z873" i="7"/>
  <c r="X1034" i="7"/>
  <c r="X541" i="7"/>
  <c r="Z826" i="7"/>
  <c r="X135" i="7"/>
  <c r="X995" i="7"/>
  <c r="Z1008" i="7"/>
  <c r="X950" i="7"/>
  <c r="Z829" i="7"/>
  <c r="X876" i="7"/>
  <c r="X1017" i="7"/>
  <c r="X397" i="7"/>
  <c r="X444" i="7"/>
  <c r="Z721" i="7"/>
  <c r="X254" i="7"/>
  <c r="X363" i="7"/>
  <c r="X170" i="7"/>
  <c r="X624" i="7"/>
  <c r="Z853" i="7"/>
  <c r="X891" i="7"/>
  <c r="Z830" i="7"/>
  <c r="Z890" i="7"/>
  <c r="X697" i="7"/>
  <c r="Z143" i="7"/>
  <c r="Z144" i="7"/>
  <c r="Z828" i="7"/>
  <c r="X61" i="7"/>
  <c r="X279" i="7"/>
  <c r="Z804" i="7"/>
  <c r="X722" i="7"/>
  <c r="X555" i="7"/>
  <c r="X1009" i="7"/>
  <c r="X516" i="7"/>
  <c r="X242" i="7"/>
  <c r="X303" i="7"/>
  <c r="X961" i="7"/>
  <c r="Z1033" i="7"/>
  <c r="X996" i="7"/>
  <c r="Z514" i="7"/>
  <c r="X671" i="7"/>
  <c r="Z900" i="7"/>
  <c r="Z864" i="7"/>
  <c r="X948" i="7"/>
  <c r="X204" i="7"/>
  <c r="X106" i="7"/>
  <c r="X854" i="7"/>
  <c r="X616" i="7"/>
  <c r="X1035" i="7"/>
  <c r="X675" i="7"/>
  <c r="X817" i="7"/>
  <c r="X323" i="7"/>
  <c r="Z1032" i="7"/>
  <c r="X877" i="7"/>
  <c r="Z816" i="7"/>
  <c r="Z1009" i="7"/>
  <c r="X443" i="7"/>
  <c r="X987" i="7"/>
  <c r="Z301" i="7"/>
  <c r="X518" i="7"/>
  <c r="Z876" i="7"/>
  <c r="Z898" i="7"/>
  <c r="X298" i="7"/>
  <c r="X159" i="7"/>
  <c r="X699" i="7"/>
  <c r="Z806" i="7"/>
  <c r="X506" i="7"/>
  <c r="X37" i="7"/>
  <c r="Z865" i="7"/>
  <c r="X599" i="7"/>
  <c r="X253" i="7"/>
  <c r="X384" i="7"/>
  <c r="X1008" i="7"/>
  <c r="X528" i="7"/>
  <c r="X48" i="7"/>
  <c r="X949" i="7"/>
  <c r="X505" i="7"/>
  <c r="X339" i="7"/>
  <c r="X191" i="7"/>
  <c r="X455" i="7"/>
  <c r="X264" i="7"/>
  <c r="X288" i="7"/>
  <c r="X255" i="7"/>
  <c r="X912" i="7"/>
  <c r="X733" i="7"/>
  <c r="X111" i="7"/>
  <c r="X935" i="7"/>
  <c r="X633" i="7"/>
  <c r="X335" i="7"/>
  <c r="X719" i="7"/>
  <c r="Z109" i="7"/>
  <c r="X647" i="7"/>
  <c r="X529" i="7"/>
  <c r="Z108" i="7"/>
  <c r="X385" i="7"/>
  <c r="Z863" i="7"/>
  <c r="X638" i="7"/>
  <c r="X576" i="7"/>
  <c r="Z121" i="7"/>
  <c r="X310" i="7"/>
  <c r="X1032" i="7"/>
  <c r="X889" i="7"/>
  <c r="X432" i="7"/>
  <c r="X62" i="7"/>
  <c r="X241" i="7"/>
  <c r="X445" i="7"/>
  <c r="X320" i="7"/>
  <c r="X423" i="7"/>
  <c r="X756" i="7"/>
  <c r="X984" i="7"/>
  <c r="Z851" i="7"/>
  <c r="X564" i="7"/>
  <c r="X361" i="7"/>
  <c r="X431" i="7"/>
  <c r="X433" i="7"/>
  <c r="X59" i="7"/>
  <c r="X169" i="7"/>
  <c r="Z110" i="7"/>
  <c r="X326" i="7"/>
  <c r="X421" i="7"/>
  <c r="Z838" i="7"/>
  <c r="Z805" i="7"/>
  <c r="X900" i="7"/>
  <c r="Z731" i="7"/>
  <c r="X446" i="7"/>
  <c r="X144" i="7"/>
  <c r="X97" i="7"/>
  <c r="X684" i="7"/>
  <c r="X372" i="7"/>
  <c r="Z145" i="7"/>
  <c r="X468" i="7"/>
  <c r="X275" i="7"/>
  <c r="X1020" i="7"/>
  <c r="X623" i="7"/>
  <c r="X276" i="7"/>
  <c r="X418" i="7"/>
  <c r="X193" i="7"/>
  <c r="X662" i="7"/>
  <c r="X457" i="7"/>
  <c r="X839" i="7"/>
  <c r="X755" i="7"/>
  <c r="X456" i="7"/>
  <c r="X814" i="7"/>
  <c r="X981" i="7"/>
  <c r="X25" i="7"/>
  <c r="X650" i="7"/>
  <c r="X913" i="7"/>
  <c r="X314" i="7"/>
  <c r="X398" i="7"/>
  <c r="X72" i="7"/>
  <c r="Z718" i="7"/>
  <c r="X587" i="7"/>
  <c r="Z96" i="7"/>
  <c r="X262" i="7"/>
  <c r="X575" i="7"/>
  <c r="X36" i="7"/>
  <c r="X554" i="7"/>
  <c r="X229" i="7"/>
  <c r="X203" i="7"/>
  <c r="X588" i="7"/>
  <c r="Z839" i="7"/>
  <c r="Z118" i="7"/>
  <c r="X695" i="7"/>
  <c r="X312" i="7"/>
  <c r="X118" i="7"/>
  <c r="Z146" i="7"/>
  <c r="X863" i="7"/>
  <c r="Z803" i="7"/>
  <c r="X997" i="7"/>
  <c r="X610" i="7"/>
  <c r="Z383" i="7"/>
  <c r="X598" i="7"/>
  <c r="X347" i="7"/>
  <c r="X287" i="7"/>
  <c r="Z120" i="7"/>
  <c r="X983" i="7"/>
  <c r="X829" i="7"/>
  <c r="X47" i="7"/>
  <c r="X1005" i="7"/>
  <c r="X973" i="7"/>
  <c r="Z827" i="7"/>
  <c r="X158" i="7"/>
  <c r="X49" i="7"/>
  <c r="Z93" i="7"/>
  <c r="X489" i="7"/>
  <c r="X850" i="7"/>
  <c r="X634" i="7"/>
  <c r="X355" i="7"/>
  <c r="X886" i="7"/>
  <c r="X686" i="7"/>
  <c r="X778" i="7"/>
  <c r="X648" i="7"/>
  <c r="X1018" i="7"/>
  <c r="X494" i="7"/>
  <c r="X717" i="7"/>
  <c r="X396" i="7"/>
  <c r="X586" i="7"/>
  <c r="X466" i="7"/>
  <c r="X562" i="7"/>
  <c r="Z131" i="7"/>
  <c r="X371" i="7"/>
  <c r="Z885" i="7"/>
  <c r="X827" i="7"/>
  <c r="X959" i="7"/>
  <c r="Z815" i="7"/>
  <c r="X540" i="7"/>
  <c r="Z298" i="7"/>
  <c r="X133" i="7"/>
  <c r="X300" i="7"/>
  <c r="X801" i="7"/>
  <c r="Z382" i="7"/>
  <c r="X478" i="7"/>
  <c r="X919" i="7"/>
  <c r="X743" i="7"/>
  <c r="Z1030" i="7"/>
  <c r="X744" i="7"/>
  <c r="X660" i="7"/>
  <c r="X602" i="7"/>
  <c r="X12" i="7"/>
  <c r="X250" i="7"/>
  <c r="Z1018" i="7"/>
  <c r="X673" i="7"/>
  <c r="X803" i="7"/>
  <c r="X565" i="7"/>
  <c r="X539" i="7"/>
  <c r="X911" i="7"/>
  <c r="X408" i="7"/>
  <c r="X11" i="7"/>
  <c r="Z107" i="7"/>
  <c r="X649" i="7"/>
  <c r="X873" i="7"/>
  <c r="X730" i="7"/>
  <c r="X488" i="7"/>
  <c r="X130" i="7"/>
  <c r="X779" i="7"/>
  <c r="X527" i="7"/>
  <c r="X311" i="7"/>
  <c r="Z299" i="7"/>
  <c r="X156" i="7"/>
  <c r="X35" i="7"/>
  <c r="Z1045" i="7"/>
  <c r="X514" i="7"/>
  <c r="X263" i="7"/>
  <c r="X589" i="7"/>
  <c r="Z97" i="7"/>
  <c r="Z901" i="7"/>
  <c r="Z899" i="7"/>
  <c r="X793" i="7"/>
  <c r="X658" i="7"/>
  <c r="Z132" i="7"/>
  <c r="X475" i="7"/>
  <c r="X515" i="7"/>
  <c r="X874" i="7"/>
  <c r="Z875" i="7"/>
  <c r="X381" i="7"/>
  <c r="X24" i="7"/>
  <c r="X217" i="7"/>
  <c r="Z396" i="7"/>
  <c r="X120" i="7"/>
  <c r="X993" i="7"/>
  <c r="X299" i="7"/>
  <c r="X888" i="7"/>
  <c r="Z888" i="7"/>
  <c r="X493" i="7"/>
  <c r="X228" i="7"/>
  <c r="X95" i="7"/>
  <c r="Z142" i="7"/>
  <c r="Z862" i="7"/>
  <c r="Z825" i="7"/>
  <c r="X346" i="7"/>
  <c r="X167" i="7"/>
  <c r="X238" i="7"/>
  <c r="Z1027" i="7"/>
  <c r="X890" i="7"/>
  <c r="X601" i="7"/>
  <c r="X538" i="7"/>
  <c r="X659" i="7"/>
  <c r="X454" i="7"/>
  <c r="X490" i="7"/>
  <c r="X407" i="7"/>
  <c r="Z850" i="7"/>
  <c r="X789" i="7"/>
  <c r="Z874" i="7"/>
  <c r="X358" i="7"/>
  <c r="X289" i="7"/>
  <c r="X934" i="7"/>
  <c r="Z1017" i="7"/>
  <c r="X1041" i="7"/>
  <c r="X440" i="7"/>
  <c r="X369" i="7"/>
  <c r="X693" i="7"/>
  <c r="X81" i="7"/>
  <c r="X967" i="7"/>
  <c r="X179" i="7"/>
  <c r="Z106" i="7"/>
  <c r="X1003" i="7"/>
  <c r="X465" i="7"/>
  <c r="X153" i="7"/>
  <c r="X792" i="7"/>
  <c r="X272" i="7"/>
  <c r="Z730" i="7"/>
  <c r="X261" i="7"/>
  <c r="X416" i="7"/>
  <c r="Z802" i="7"/>
  <c r="X383" i="7"/>
  <c r="X201" i="7"/>
  <c r="X142" i="7"/>
  <c r="Z140" i="7"/>
  <c r="X70" i="7"/>
  <c r="X297" i="7"/>
  <c r="Z129" i="7"/>
  <c r="X609" i="7"/>
  <c r="X214" i="7"/>
  <c r="X212" i="7"/>
  <c r="Z886" i="7"/>
  <c r="X141" i="7"/>
  <c r="X322" i="7"/>
  <c r="X897" i="7"/>
  <c r="X442" i="7"/>
  <c r="X359" i="7"/>
  <c r="Z814" i="7"/>
  <c r="X718" i="7"/>
  <c r="X679" i="7"/>
  <c r="Z127" i="7"/>
  <c r="Z1041" i="7"/>
  <c r="X622" i="7"/>
  <c r="X921" i="7"/>
  <c r="X334" i="7"/>
  <c r="X550" i="7"/>
  <c r="X826" i="7"/>
  <c r="Z837" i="7"/>
  <c r="X511" i="7"/>
  <c r="X837" i="7"/>
  <c r="X392" i="7"/>
  <c r="X332" i="7"/>
  <c r="X945" i="7"/>
  <c r="X875" i="7"/>
  <c r="X861" i="7"/>
  <c r="X176" i="7"/>
  <c r="X189" i="7"/>
  <c r="X251" i="7"/>
  <c r="X155" i="7"/>
  <c r="Z98" i="7"/>
  <c r="X503" i="7"/>
  <c r="X71" i="7"/>
  <c r="Z719" i="7"/>
  <c r="X958" i="7"/>
  <c r="X563" i="7"/>
  <c r="Z849" i="7"/>
  <c r="X766" i="7"/>
  <c r="X357" i="7"/>
  <c r="X80" i="7"/>
  <c r="X574" i="7"/>
  <c r="X274" i="7"/>
  <c r="X1030" i="7"/>
  <c r="X199" i="7"/>
  <c r="X227" i="7"/>
  <c r="Z297" i="7"/>
  <c r="X67" i="7"/>
  <c r="X1006" i="7"/>
  <c r="Z801" i="7"/>
  <c r="X631" i="7"/>
  <c r="X619" i="7"/>
  <c r="X93" i="7"/>
  <c r="X19" i="7"/>
  <c r="X657" i="7"/>
  <c r="Z859" i="7"/>
  <c r="X271" i="7"/>
  <c r="X248" i="7"/>
  <c r="X119" i="7"/>
  <c r="Z1042" i="7"/>
  <c r="X58" i="7"/>
  <c r="X790" i="7"/>
  <c r="X430" i="7"/>
  <c r="X585" i="7"/>
  <c r="X731" i="7"/>
  <c r="X971" i="7"/>
  <c r="X286" i="7"/>
  <c r="X215" i="7"/>
  <c r="X909" i="7"/>
  <c r="X871" i="7"/>
  <c r="X79" i="7"/>
  <c r="X537" i="7"/>
  <c r="X811" i="7"/>
  <c r="Z861" i="7"/>
  <c r="Z94" i="7"/>
  <c r="Z1006" i="7"/>
  <c r="X154" i="7"/>
  <c r="X417" i="7"/>
  <c r="Z729" i="7"/>
  <c r="X1029" i="7"/>
  <c r="X645" i="7"/>
  <c r="X343" i="7"/>
  <c r="X33" i="7"/>
  <c r="X1027" i="7"/>
  <c r="X815" i="7"/>
  <c r="X502" i="7"/>
  <c r="Z897" i="7"/>
  <c r="X791" i="7"/>
  <c r="X705" i="7"/>
  <c r="X669" i="7"/>
  <c r="Z847" i="7"/>
  <c r="X370" i="7"/>
  <c r="Z392" i="7"/>
  <c r="X907" i="7"/>
  <c r="X237" i="7"/>
  <c r="X583" i="7"/>
  <c r="X20" i="7"/>
  <c r="X239" i="7"/>
  <c r="X165" i="7"/>
  <c r="Z393" i="7"/>
  <c r="X83" i="7"/>
  <c r="Z381" i="7"/>
  <c r="X405" i="7"/>
  <c r="X190" i="7"/>
  <c r="X513" i="7"/>
  <c r="X175" i="7"/>
  <c r="Z1029" i="7"/>
  <c r="X273" i="7"/>
  <c r="Z115" i="7"/>
  <c r="X177" i="7"/>
  <c r="X477" i="7"/>
  <c r="X681" i="7"/>
  <c r="X922" i="7"/>
  <c r="X802" i="7"/>
  <c r="X754" i="7"/>
  <c r="X862" i="7"/>
  <c r="X849" i="7"/>
  <c r="X23" i="7"/>
  <c r="X140" i="7"/>
  <c r="Z95" i="7"/>
  <c r="X202" i="7"/>
  <c r="X427" i="7"/>
  <c r="X775" i="7"/>
  <c r="Z727" i="7"/>
  <c r="X105" i="7"/>
  <c r="X10" i="7"/>
  <c r="X68" i="7"/>
  <c r="Z883" i="7"/>
  <c r="Z597" i="7"/>
  <c r="X847" i="7"/>
  <c r="X969" i="7"/>
  <c r="Z813" i="7"/>
  <c r="X703" i="7"/>
  <c r="X655" i="7"/>
  <c r="X260" i="7"/>
  <c r="X393" i="7"/>
  <c r="X129" i="7"/>
  <c r="X943" i="7"/>
  <c r="X439" i="7"/>
  <c r="Z141" i="7"/>
  <c r="Z895" i="7"/>
  <c r="Z1015" i="7"/>
  <c r="X859" i="7"/>
  <c r="X895" i="7"/>
  <c r="X69" i="7"/>
  <c r="X249" i="7"/>
  <c r="X117" i="7"/>
  <c r="X777" i="7"/>
  <c r="Z117" i="7"/>
  <c r="X813" i="7"/>
  <c r="X597" i="7"/>
  <c r="X476" i="7"/>
  <c r="X55" i="7"/>
  <c r="X763" i="7"/>
  <c r="X103" i="7"/>
  <c r="X429" i="7"/>
  <c r="X787" i="7"/>
  <c r="X168" i="7"/>
  <c r="X885" i="7"/>
  <c r="X379" i="7"/>
  <c r="X727" i="7"/>
  <c r="X823" i="7"/>
  <c r="Z105" i="7"/>
  <c r="X825" i="7"/>
  <c r="Z811" i="7"/>
  <c r="X559" i="7"/>
  <c r="X178" i="7"/>
  <c r="X236" i="7"/>
  <c r="Z1039" i="7"/>
  <c r="X284" i="7"/>
  <c r="X116" i="7"/>
  <c r="Z823" i="7"/>
  <c r="X223" i="7"/>
  <c r="X955" i="7"/>
  <c r="Z116" i="7"/>
  <c r="X44" i="7"/>
  <c r="X523" i="7"/>
  <c r="Z103" i="7"/>
  <c r="X607" i="7"/>
  <c r="X367" i="7"/>
  <c r="Z391" i="7"/>
  <c r="Z379" i="7"/>
  <c r="Z755" i="7"/>
  <c r="Z780" i="7"/>
  <c r="Z744" i="7"/>
  <c r="Z741" i="7"/>
  <c r="Z746" i="7"/>
  <c r="Z777" i="7"/>
  <c r="Z756" i="7"/>
  <c r="Z738" i="7"/>
  <c r="Z788" i="7"/>
  <c r="Z761" i="7"/>
  <c r="Z760" i="7"/>
  <c r="Z735" i="7"/>
  <c r="Z754" i="7"/>
  <c r="Z787" i="7"/>
  <c r="Z765" i="7"/>
  <c r="Z770" i="7"/>
  <c r="Z791" i="7"/>
  <c r="Z764" i="7"/>
  <c r="Z793" i="7"/>
  <c r="Z743" i="7"/>
  <c r="Z749" i="7"/>
  <c r="Z748" i="7"/>
  <c r="Z742" i="7"/>
  <c r="Z775" i="7"/>
  <c r="Z734" i="7"/>
  <c r="Z767" i="7"/>
  <c r="Z758" i="7"/>
  <c r="Z737" i="7"/>
  <c r="Z781" i="7"/>
  <c r="Z774" i="7"/>
  <c r="Z784" i="7"/>
  <c r="Z740" i="7"/>
  <c r="Z771" i="7"/>
  <c r="Z752" i="7"/>
  <c r="Z782" i="7"/>
  <c r="Z736" i="7"/>
  <c r="Z769" i="7"/>
  <c r="Z763" i="7"/>
  <c r="Z762" i="7"/>
  <c r="Z759" i="7"/>
  <c r="Z794" i="7"/>
  <c r="Z798" i="7"/>
  <c r="Z757" i="7"/>
  <c r="Z785" i="7"/>
  <c r="Z783" i="7"/>
  <c r="Z779" i="7"/>
  <c r="Z753" i="7"/>
  <c r="Z786" i="7"/>
  <c r="Z797" i="7"/>
  <c r="Z796" i="7"/>
  <c r="Z745" i="7"/>
  <c r="Z790" i="7"/>
  <c r="Z751" i="7"/>
  <c r="Z778" i="7"/>
  <c r="Z768" i="7"/>
  <c r="Z795" i="7"/>
  <c r="Z792" i="7"/>
  <c r="Z776" i="7"/>
  <c r="Z739" i="7"/>
  <c r="Z789" i="7"/>
  <c r="Z750" i="7"/>
  <c r="Z773" i="7"/>
  <c r="Z772" i="7"/>
  <c r="Z747" i="7"/>
  <c r="Z766" i="7"/>
  <c r="X225" i="7"/>
  <c r="X691" i="7"/>
  <c r="Z799" i="7"/>
  <c r="Z258" i="7"/>
  <c r="Z256" i="7"/>
  <c r="Z242" i="7"/>
  <c r="Z262" i="7"/>
  <c r="Z247" i="7"/>
  <c r="Z281" i="7"/>
  <c r="Z276" i="7"/>
  <c r="Z275" i="7"/>
  <c r="Z284" i="7"/>
  <c r="Z246" i="7"/>
  <c r="Z244" i="7"/>
  <c r="Z250" i="7"/>
  <c r="Z269" i="7"/>
  <c r="Z277" i="7"/>
  <c r="Z264" i="7"/>
  <c r="Z263" i="7"/>
  <c r="Z273" i="7"/>
  <c r="Z272" i="7"/>
  <c r="Z279" i="7"/>
  <c r="Z238" i="7"/>
  <c r="Z257" i="7"/>
  <c r="Z265" i="7"/>
  <c r="Z252" i="7"/>
  <c r="Z251" i="7"/>
  <c r="Z261" i="7"/>
  <c r="Z260" i="7"/>
  <c r="Z267" i="7"/>
  <c r="Z240" i="7"/>
  <c r="Z245" i="7"/>
  <c r="Z278" i="7"/>
  <c r="Z253" i="7"/>
  <c r="Z239" i="7"/>
  <c r="Z249" i="7"/>
  <c r="Z248" i="7"/>
  <c r="Z255" i="7"/>
  <c r="Z266" i="7"/>
  <c r="Z283" i="7"/>
  <c r="Z282" i="7"/>
  <c r="Z280" i="7"/>
  <c r="Z241" i="7"/>
  <c r="Z237" i="7"/>
  <c r="Z271" i="7"/>
  <c r="Z243" i="7"/>
  <c r="Z254" i="7"/>
  <c r="Z274" i="7"/>
  <c r="Z270" i="7"/>
  <c r="Z268" i="7"/>
  <c r="Z259" i="7"/>
  <c r="X403" i="7"/>
  <c r="X415" i="7"/>
  <c r="Z286" i="7"/>
  <c r="Z288" i="7"/>
  <c r="Z291" i="7"/>
  <c r="Z289" i="7"/>
  <c r="Z287" i="7"/>
  <c r="Z295" i="7"/>
  <c r="Z294" i="7"/>
  <c r="Z292" i="7"/>
  <c r="Z290" i="7"/>
  <c r="Z293" i="7"/>
  <c r="Z285" i="7"/>
  <c r="X115" i="7"/>
  <c r="G23" i="1"/>
  <c r="H23" i="1" s="1"/>
  <c r="Z598" i="7"/>
  <c r="Z599" i="7"/>
  <c r="Z89" i="7"/>
  <c r="Z81" i="7"/>
  <c r="Z79" i="7"/>
  <c r="Z77" i="7"/>
  <c r="Z86" i="7"/>
  <c r="Z84" i="7"/>
  <c r="Z83" i="7"/>
  <c r="Z69" i="7"/>
  <c r="Z87" i="7"/>
  <c r="Z74" i="7"/>
  <c r="Z78" i="7"/>
  <c r="Z75" i="7"/>
  <c r="Z72" i="7"/>
  <c r="Z71" i="7"/>
  <c r="Z80" i="7"/>
  <c r="Z68" i="7"/>
  <c r="Z85" i="7"/>
  <c r="Z73" i="7"/>
  <c r="Z82" i="7"/>
  <c r="Z88" i="7"/>
  <c r="Z76" i="7"/>
  <c r="Z70" i="7"/>
  <c r="P391" i="12"/>
  <c r="O391" i="12"/>
  <c r="N391" i="12"/>
  <c r="P379" i="12"/>
  <c r="O379" i="12"/>
  <c r="N379" i="12"/>
  <c r="P367" i="12"/>
  <c r="O367" i="12"/>
  <c r="N367" i="12"/>
  <c r="P355" i="12"/>
  <c r="N355" i="12"/>
  <c r="O355" i="12"/>
  <c r="P343" i="12"/>
  <c r="O343" i="12"/>
  <c r="N343" i="12"/>
  <c r="P331" i="12"/>
  <c r="O331" i="12"/>
  <c r="N331" i="12"/>
  <c r="P319" i="12"/>
  <c r="O319" i="12"/>
  <c r="N319" i="12"/>
  <c r="P307" i="12"/>
  <c r="N307" i="12"/>
  <c r="O307" i="12"/>
  <c r="P295" i="12"/>
  <c r="O295" i="12"/>
  <c r="N295" i="12"/>
  <c r="P283" i="12"/>
  <c r="O283" i="12"/>
  <c r="N283" i="12"/>
  <c r="P271" i="12"/>
  <c r="O271" i="12"/>
  <c r="N271" i="12"/>
  <c r="P259" i="12"/>
  <c r="O259" i="12"/>
  <c r="N259" i="12"/>
  <c r="P247" i="12"/>
  <c r="O247" i="12"/>
  <c r="N247" i="12"/>
  <c r="P235" i="12"/>
  <c r="O235" i="12"/>
  <c r="N235" i="12"/>
  <c r="P223" i="12"/>
  <c r="O223" i="12"/>
  <c r="N223" i="12"/>
  <c r="P211" i="12"/>
  <c r="O211" i="12"/>
  <c r="N211" i="12"/>
  <c r="P199" i="12"/>
  <c r="O199" i="12"/>
  <c r="N199" i="12"/>
  <c r="P187" i="12"/>
  <c r="O187" i="12"/>
  <c r="N187" i="12"/>
  <c r="P175" i="12"/>
  <c r="O175" i="12"/>
  <c r="N175" i="12"/>
  <c r="P163" i="12"/>
  <c r="O163" i="12"/>
  <c r="N163" i="12"/>
  <c r="P151" i="12"/>
  <c r="N151" i="12"/>
  <c r="O151" i="12"/>
  <c r="P139" i="12"/>
  <c r="N139" i="12"/>
  <c r="O139" i="12"/>
  <c r="P127" i="12"/>
  <c r="N127" i="12"/>
  <c r="O127" i="12"/>
  <c r="P115" i="12"/>
  <c r="N115" i="12"/>
  <c r="O115" i="12"/>
  <c r="P103" i="12"/>
  <c r="N103" i="12"/>
  <c r="O103" i="12"/>
  <c r="P91" i="12"/>
  <c r="N91" i="12"/>
  <c r="O91" i="12"/>
  <c r="P79" i="12"/>
  <c r="N79" i="12"/>
  <c r="O79" i="12"/>
  <c r="P67" i="12"/>
  <c r="N67" i="12"/>
  <c r="O67" i="12"/>
  <c r="P55" i="12"/>
  <c r="N55" i="12"/>
  <c r="O55" i="12"/>
  <c r="P43" i="12"/>
  <c r="N43" i="12"/>
  <c r="O43" i="12"/>
  <c r="P31" i="12"/>
  <c r="N31" i="12"/>
  <c r="O31" i="12"/>
  <c r="P19" i="12"/>
  <c r="N19" i="12"/>
  <c r="O19" i="12"/>
  <c r="P7" i="12"/>
  <c r="N7" i="12"/>
  <c r="O7" i="12"/>
  <c r="M388" i="12"/>
  <c r="L388" i="12"/>
  <c r="K388" i="12"/>
  <c r="M376" i="12"/>
  <c r="L376" i="12"/>
  <c r="K376" i="12"/>
  <c r="M364" i="12"/>
  <c r="L364" i="12"/>
  <c r="K364" i="12"/>
  <c r="M352" i="12"/>
  <c r="L352" i="12"/>
  <c r="K352" i="12"/>
  <c r="M340" i="12"/>
  <c r="L340" i="12"/>
  <c r="K340" i="12"/>
  <c r="M328" i="12"/>
  <c r="L328" i="12"/>
  <c r="K328" i="12"/>
  <c r="M316" i="12"/>
  <c r="L316" i="12"/>
  <c r="K316" i="12"/>
  <c r="M304" i="12"/>
  <c r="L304" i="12"/>
  <c r="K304" i="12"/>
  <c r="M292" i="12"/>
  <c r="L292" i="12"/>
  <c r="K292" i="12"/>
  <c r="M280" i="12"/>
  <c r="L280" i="12"/>
  <c r="K280" i="12"/>
  <c r="M268" i="12"/>
  <c r="L268" i="12"/>
  <c r="K268" i="12"/>
  <c r="M256" i="12"/>
  <c r="L256" i="12"/>
  <c r="K256" i="12"/>
  <c r="M244" i="12"/>
  <c r="L244" i="12"/>
  <c r="K244" i="12"/>
  <c r="M232" i="12"/>
  <c r="L232" i="12"/>
  <c r="K232" i="12"/>
  <c r="M220" i="12"/>
  <c r="L220" i="12"/>
  <c r="K220" i="12"/>
  <c r="M208" i="12"/>
  <c r="L208" i="12"/>
  <c r="K208" i="12"/>
  <c r="M196" i="12"/>
  <c r="L196" i="12"/>
  <c r="K196" i="12"/>
  <c r="M184" i="12"/>
  <c r="L184" i="12"/>
  <c r="K184" i="12"/>
  <c r="M172" i="12"/>
  <c r="L172" i="12"/>
  <c r="K172" i="12"/>
  <c r="M160" i="12"/>
  <c r="L160" i="12"/>
  <c r="K160" i="12"/>
  <c r="M148" i="12"/>
  <c r="L148" i="12"/>
  <c r="K148" i="12"/>
  <c r="M136" i="12"/>
  <c r="L136" i="12"/>
  <c r="K136" i="12"/>
  <c r="M124" i="12"/>
  <c r="L124" i="12"/>
  <c r="K124" i="12"/>
  <c r="M112" i="12"/>
  <c r="K112" i="12"/>
  <c r="L112" i="12"/>
  <c r="L100" i="12"/>
  <c r="M100" i="12"/>
  <c r="K100" i="12"/>
  <c r="L88" i="12"/>
  <c r="M88" i="12"/>
  <c r="K88" i="12"/>
  <c r="L76" i="12"/>
  <c r="M76" i="12"/>
  <c r="K76" i="12"/>
  <c r="L64" i="12"/>
  <c r="M64" i="12"/>
  <c r="K64" i="12"/>
  <c r="L52" i="12"/>
  <c r="M52" i="12"/>
  <c r="K52" i="12"/>
  <c r="L40" i="12"/>
  <c r="M40" i="12"/>
  <c r="K40" i="12"/>
  <c r="L28" i="12"/>
  <c r="M28" i="12"/>
  <c r="K28" i="12"/>
  <c r="L16" i="12"/>
  <c r="M16" i="12"/>
  <c r="K16" i="12"/>
  <c r="L4" i="12"/>
  <c r="M4" i="12"/>
  <c r="K4" i="12"/>
  <c r="M3" i="12"/>
  <c r="L3" i="12"/>
  <c r="K3" i="12"/>
  <c r="O387" i="12"/>
  <c r="P387" i="12"/>
  <c r="N387" i="12"/>
  <c r="O375" i="12"/>
  <c r="N375" i="12"/>
  <c r="P375" i="12"/>
  <c r="O363" i="12"/>
  <c r="N363" i="12"/>
  <c r="P363" i="12"/>
  <c r="O351" i="12"/>
  <c r="N351" i="12"/>
  <c r="P351" i="12"/>
  <c r="O339" i="12"/>
  <c r="N339" i="12"/>
  <c r="P339" i="12"/>
  <c r="O327" i="12"/>
  <c r="N327" i="12"/>
  <c r="P327" i="12"/>
  <c r="O315" i="12"/>
  <c r="P315" i="12"/>
  <c r="N315" i="12"/>
  <c r="O303" i="12"/>
  <c r="N303" i="12"/>
  <c r="P303" i="12"/>
  <c r="O291" i="12"/>
  <c r="N291" i="12"/>
  <c r="P291" i="12"/>
  <c r="O279" i="12"/>
  <c r="N279" i="12"/>
  <c r="P279" i="12"/>
  <c r="O267" i="12"/>
  <c r="N267" i="12"/>
  <c r="P267" i="12"/>
  <c r="O255" i="12"/>
  <c r="N255" i="12"/>
  <c r="P255" i="12"/>
  <c r="O243" i="12"/>
  <c r="P243" i="12"/>
  <c r="N243" i="12"/>
  <c r="O231" i="12"/>
  <c r="N231" i="12"/>
  <c r="P231" i="12"/>
  <c r="O219" i="12"/>
  <c r="N219" i="12"/>
  <c r="P219" i="12"/>
  <c r="O207" i="12"/>
  <c r="P207" i="12"/>
  <c r="N207" i="12"/>
  <c r="O195" i="12"/>
  <c r="N195" i="12"/>
  <c r="P195" i="12"/>
  <c r="N183" i="12"/>
  <c r="O183" i="12"/>
  <c r="P183" i="12"/>
  <c r="N171" i="12"/>
  <c r="O171" i="12"/>
  <c r="P171" i="12"/>
  <c r="N159" i="12"/>
  <c r="O159" i="12"/>
  <c r="P159" i="12"/>
  <c r="N147" i="12"/>
  <c r="O147" i="12"/>
  <c r="P147" i="12"/>
  <c r="N135" i="12"/>
  <c r="O135" i="12"/>
  <c r="P135" i="12"/>
  <c r="N123" i="12"/>
  <c r="O123" i="12"/>
  <c r="P123" i="12"/>
  <c r="N111" i="12"/>
  <c r="O111" i="12"/>
  <c r="P111" i="12"/>
  <c r="N99" i="12"/>
  <c r="O99" i="12"/>
  <c r="P99" i="12"/>
  <c r="N87" i="12"/>
  <c r="O87" i="12"/>
  <c r="P87" i="12"/>
  <c r="N75" i="12"/>
  <c r="O75" i="12"/>
  <c r="P75" i="12"/>
  <c r="N63" i="12"/>
  <c r="O63" i="12"/>
  <c r="P63" i="12"/>
  <c r="N51" i="12"/>
  <c r="O51" i="12"/>
  <c r="P51" i="12"/>
  <c r="N39" i="12"/>
  <c r="O39" i="12"/>
  <c r="P39" i="12"/>
  <c r="N27" i="12"/>
  <c r="O27" i="12"/>
  <c r="P27" i="12"/>
  <c r="N15" i="12"/>
  <c r="O15" i="12"/>
  <c r="P15" i="12"/>
  <c r="M396" i="12"/>
  <c r="K396" i="12"/>
  <c r="L396" i="12"/>
  <c r="M384" i="12"/>
  <c r="K384" i="12"/>
  <c r="L384" i="12"/>
  <c r="K372" i="12"/>
  <c r="M372" i="12"/>
  <c r="L372" i="12"/>
  <c r="M360" i="12"/>
  <c r="K360" i="12"/>
  <c r="L360" i="12"/>
  <c r="M348" i="12"/>
  <c r="K348" i="12"/>
  <c r="L348" i="12"/>
  <c r="K336" i="12"/>
  <c r="M336" i="12"/>
  <c r="L336" i="12"/>
  <c r="K324" i="12"/>
  <c r="L324" i="12"/>
  <c r="M324" i="12"/>
  <c r="M312" i="12"/>
  <c r="K312" i="12"/>
  <c r="L312" i="12"/>
  <c r="K300" i="12"/>
  <c r="M300" i="12"/>
  <c r="L300" i="12"/>
  <c r="M288" i="12"/>
  <c r="K288" i="12"/>
  <c r="L288" i="12"/>
  <c r="M276" i="12"/>
  <c r="K276" i="12"/>
  <c r="L276" i="12"/>
  <c r="K264" i="12"/>
  <c r="M264" i="12"/>
  <c r="L264" i="12"/>
  <c r="M252" i="12"/>
  <c r="K252" i="12"/>
  <c r="L252" i="12"/>
  <c r="M240" i="12"/>
  <c r="K240" i="12"/>
  <c r="L240" i="12"/>
  <c r="K228" i="12"/>
  <c r="M228" i="12"/>
  <c r="L228" i="12"/>
  <c r="L216" i="12"/>
  <c r="M216" i="12"/>
  <c r="K216" i="12"/>
  <c r="M204" i="12"/>
  <c r="L204" i="12"/>
  <c r="K204" i="12"/>
  <c r="K192" i="12"/>
  <c r="M192" i="12"/>
  <c r="L192" i="12"/>
  <c r="M180" i="12"/>
  <c r="K180" i="12"/>
  <c r="L180" i="12"/>
  <c r="L168" i="12"/>
  <c r="M168" i="12"/>
  <c r="K168" i="12"/>
  <c r="L156" i="12"/>
  <c r="K156" i="12"/>
  <c r="M156" i="12"/>
  <c r="M144" i="12"/>
  <c r="K144" i="12"/>
  <c r="L144" i="12"/>
  <c r="M132" i="12"/>
  <c r="K132" i="12"/>
  <c r="L132" i="12"/>
  <c r="L120" i="12"/>
  <c r="K120" i="12"/>
  <c r="M120" i="12"/>
  <c r="M108" i="12"/>
  <c r="K108" i="12"/>
  <c r="L108" i="12"/>
  <c r="L96" i="12"/>
  <c r="M96" i="12"/>
  <c r="K96" i="12"/>
  <c r="K84" i="12"/>
  <c r="M84" i="12"/>
  <c r="L84" i="12"/>
  <c r="M72" i="12"/>
  <c r="L72" i="12"/>
  <c r="K72" i="12"/>
  <c r="L60" i="12"/>
  <c r="M60" i="12"/>
  <c r="K60" i="12"/>
  <c r="K48" i="12"/>
  <c r="M48" i="12"/>
  <c r="L48" i="12"/>
  <c r="L36" i="12"/>
  <c r="K36" i="12"/>
  <c r="M36" i="12"/>
  <c r="L24" i="12"/>
  <c r="M24" i="12"/>
  <c r="K24" i="12"/>
  <c r="K12" i="12"/>
  <c r="M12" i="12"/>
  <c r="L12" i="12"/>
  <c r="N77" i="12"/>
  <c r="O77" i="12"/>
  <c r="P77" i="12"/>
  <c r="O268" i="12"/>
  <c r="P268" i="12"/>
  <c r="N268" i="12"/>
  <c r="O386" i="12"/>
  <c r="P386" i="12"/>
  <c r="N386" i="12"/>
  <c r="O374" i="12"/>
  <c r="P374" i="12"/>
  <c r="N374" i="12"/>
  <c r="O362" i="12"/>
  <c r="P362" i="12"/>
  <c r="N362" i="12"/>
  <c r="O350" i="12"/>
  <c r="P350" i="12"/>
  <c r="N350" i="12"/>
  <c r="O338" i="12"/>
  <c r="P338" i="12"/>
  <c r="N338" i="12"/>
  <c r="O326" i="12"/>
  <c r="P326" i="12"/>
  <c r="N326" i="12"/>
  <c r="O314" i="12"/>
  <c r="P314" i="12"/>
  <c r="N314" i="12"/>
  <c r="O302" i="12"/>
  <c r="P302" i="12"/>
  <c r="N302" i="12"/>
  <c r="O290" i="12"/>
  <c r="P290" i="12"/>
  <c r="N290" i="12"/>
  <c r="O278" i="12"/>
  <c r="P278" i="12"/>
  <c r="N278" i="12"/>
  <c r="O266" i="12"/>
  <c r="P266" i="12"/>
  <c r="N266" i="12"/>
  <c r="O254" i="12"/>
  <c r="P254" i="12"/>
  <c r="N254" i="12"/>
  <c r="O242" i="12"/>
  <c r="P242" i="12"/>
  <c r="N242" i="12"/>
  <c r="O230" i="12"/>
  <c r="P230" i="12"/>
  <c r="N230" i="12"/>
  <c r="O218" i="12"/>
  <c r="P218" i="12"/>
  <c r="N218" i="12"/>
  <c r="O206" i="12"/>
  <c r="P206" i="12"/>
  <c r="N206" i="12"/>
  <c r="N194" i="12"/>
  <c r="O194" i="12"/>
  <c r="P194" i="12"/>
  <c r="N182" i="12"/>
  <c r="O182" i="12"/>
  <c r="P182" i="12"/>
  <c r="N170" i="12"/>
  <c r="O170" i="12"/>
  <c r="P170" i="12"/>
  <c r="N158" i="12"/>
  <c r="O158" i="12"/>
  <c r="P158" i="12"/>
  <c r="N146" i="12"/>
  <c r="O146" i="12"/>
  <c r="P146" i="12"/>
  <c r="N134" i="12"/>
  <c r="O134" i="12"/>
  <c r="P134" i="12"/>
  <c r="N122" i="12"/>
  <c r="O122" i="12"/>
  <c r="P122" i="12"/>
  <c r="N110" i="12"/>
  <c r="O110" i="12"/>
  <c r="P110" i="12"/>
  <c r="N98" i="12"/>
  <c r="O98" i="12"/>
  <c r="P98" i="12"/>
  <c r="N86" i="12"/>
  <c r="O86" i="12"/>
  <c r="P86" i="12"/>
  <c r="N74" i="12"/>
  <c r="O74" i="12"/>
  <c r="P74" i="12"/>
  <c r="N62" i="12"/>
  <c r="O62" i="12"/>
  <c r="P62" i="12"/>
  <c r="N50" i="12"/>
  <c r="O50" i="12"/>
  <c r="P50" i="12"/>
  <c r="N38" i="12"/>
  <c r="O38" i="12"/>
  <c r="P38" i="12"/>
  <c r="N26" i="12"/>
  <c r="O26" i="12"/>
  <c r="P26" i="12"/>
  <c r="N14" i="12"/>
  <c r="O14" i="12"/>
  <c r="P14" i="12"/>
  <c r="K395" i="12"/>
  <c r="M395" i="12"/>
  <c r="L395" i="12"/>
  <c r="M383" i="12"/>
  <c r="K383" i="12"/>
  <c r="L383" i="12"/>
  <c r="K371" i="12"/>
  <c r="L371" i="12"/>
  <c r="M371" i="12"/>
  <c r="K359" i="12"/>
  <c r="M359" i="12"/>
  <c r="L359" i="12"/>
  <c r="M347" i="12"/>
  <c r="K347" i="12"/>
  <c r="L347" i="12"/>
  <c r="K335" i="12"/>
  <c r="L335" i="12"/>
  <c r="M335" i="12"/>
  <c r="K323" i="12"/>
  <c r="M323" i="12"/>
  <c r="L323" i="12"/>
  <c r="M311" i="12"/>
  <c r="K311" i="12"/>
  <c r="L311" i="12"/>
  <c r="K299" i="12"/>
  <c r="L299" i="12"/>
  <c r="M299" i="12"/>
  <c r="K287" i="12"/>
  <c r="M287" i="12"/>
  <c r="L287" i="12"/>
  <c r="M275" i="12"/>
  <c r="K275" i="12"/>
  <c r="L275" i="12"/>
  <c r="K263" i="12"/>
  <c r="L263" i="12"/>
  <c r="M263" i="12"/>
  <c r="K251" i="12"/>
  <c r="M251" i="12"/>
  <c r="L251" i="12"/>
  <c r="M239" i="12"/>
  <c r="K239" i="12"/>
  <c r="L239" i="12"/>
  <c r="K227" i="12"/>
  <c r="M227" i="12"/>
  <c r="L227" i="12"/>
  <c r="L215" i="12"/>
  <c r="K215" i="12"/>
  <c r="M215" i="12"/>
  <c r="M203" i="12"/>
  <c r="L203" i="12"/>
  <c r="K203" i="12"/>
  <c r="K191" i="12"/>
  <c r="L191" i="12"/>
  <c r="M191" i="12"/>
  <c r="K179" i="12"/>
  <c r="M179" i="12"/>
  <c r="L179" i="12"/>
  <c r="L167" i="12"/>
  <c r="M167" i="12"/>
  <c r="K167" i="12"/>
  <c r="L155" i="12"/>
  <c r="K155" i="12"/>
  <c r="M155" i="12"/>
  <c r="K143" i="12"/>
  <c r="M143" i="12"/>
  <c r="L143" i="12"/>
  <c r="M131" i="12"/>
  <c r="K131" i="12"/>
  <c r="L131" i="12"/>
  <c r="L119" i="12"/>
  <c r="K119" i="12"/>
  <c r="M119" i="12"/>
  <c r="L107" i="12"/>
  <c r="K107" i="12"/>
  <c r="M107" i="12"/>
  <c r="L95" i="12"/>
  <c r="M95" i="12"/>
  <c r="K95" i="12"/>
  <c r="L83" i="12"/>
  <c r="K83" i="12"/>
  <c r="M83" i="12"/>
  <c r="L71" i="12"/>
  <c r="K71" i="12"/>
  <c r="M71" i="12"/>
  <c r="L59" i="12"/>
  <c r="M59" i="12"/>
  <c r="K59" i="12"/>
  <c r="L47" i="12"/>
  <c r="K47" i="12"/>
  <c r="M47" i="12"/>
  <c r="L35" i="12"/>
  <c r="K35" i="12"/>
  <c r="M35" i="12"/>
  <c r="L23" i="12"/>
  <c r="M23" i="12"/>
  <c r="K23" i="12"/>
  <c r="L11" i="12"/>
  <c r="K11" i="12"/>
  <c r="M11" i="12"/>
  <c r="P378" i="12"/>
  <c r="O378" i="12"/>
  <c r="N378" i="12"/>
  <c r="P354" i="12"/>
  <c r="N354" i="12"/>
  <c r="O354" i="12"/>
  <c r="P342" i="12"/>
  <c r="O342" i="12"/>
  <c r="N342" i="12"/>
  <c r="P318" i="12"/>
  <c r="N318" i="12"/>
  <c r="O318" i="12"/>
  <c r="P294" i="12"/>
  <c r="O294" i="12"/>
  <c r="N294" i="12"/>
  <c r="P270" i="12"/>
  <c r="N270" i="12"/>
  <c r="O270" i="12"/>
  <c r="P246" i="12"/>
  <c r="N246" i="12"/>
  <c r="O246" i="12"/>
  <c r="P222" i="12"/>
  <c r="N222" i="12"/>
  <c r="O222" i="12"/>
  <c r="P198" i="12"/>
  <c r="N198" i="12"/>
  <c r="O198" i="12"/>
  <c r="P162" i="12"/>
  <c r="N162" i="12"/>
  <c r="O162" i="12"/>
  <c r="P138" i="12"/>
  <c r="N138" i="12"/>
  <c r="O138" i="12"/>
  <c r="P126" i="12"/>
  <c r="N126" i="12"/>
  <c r="O126" i="12"/>
  <c r="P102" i="12"/>
  <c r="N102" i="12"/>
  <c r="O102" i="12"/>
  <c r="P78" i="12"/>
  <c r="N78" i="12"/>
  <c r="O78" i="12"/>
  <c r="P54" i="12"/>
  <c r="N54" i="12"/>
  <c r="O54" i="12"/>
  <c r="P42" i="12"/>
  <c r="N42" i="12"/>
  <c r="O42" i="12"/>
  <c r="P30" i="12"/>
  <c r="N30" i="12"/>
  <c r="O30" i="12"/>
  <c r="P6" i="12"/>
  <c r="N6" i="12"/>
  <c r="O6" i="12"/>
  <c r="M375" i="12"/>
  <c r="L375" i="12"/>
  <c r="K375" i="12"/>
  <c r="M363" i="12"/>
  <c r="K363" i="12"/>
  <c r="L363" i="12"/>
  <c r="M351" i="12"/>
  <c r="L351" i="12"/>
  <c r="K351" i="12"/>
  <c r="M339" i="12"/>
  <c r="K339" i="12"/>
  <c r="L339" i="12"/>
  <c r="M327" i="12"/>
  <c r="K327" i="12"/>
  <c r="L327" i="12"/>
  <c r="M315" i="12"/>
  <c r="L315" i="12"/>
  <c r="K315" i="12"/>
  <c r="M303" i="12"/>
  <c r="K303" i="12"/>
  <c r="L303" i="12"/>
  <c r="M291" i="12"/>
  <c r="K291" i="12"/>
  <c r="L291" i="12"/>
  <c r="M279" i="12"/>
  <c r="L279" i="12"/>
  <c r="K279" i="12"/>
  <c r="M267" i="12"/>
  <c r="L267" i="12"/>
  <c r="K267" i="12"/>
  <c r="M255" i="12"/>
  <c r="K255" i="12"/>
  <c r="L255" i="12"/>
  <c r="M243" i="12"/>
  <c r="L243" i="12"/>
  <c r="K243" i="12"/>
  <c r="M231" i="12"/>
  <c r="L231" i="12"/>
  <c r="K231" i="12"/>
  <c r="M219" i="12"/>
  <c r="L219" i="12"/>
  <c r="K219" i="12"/>
  <c r="M195" i="12"/>
  <c r="L195" i="12"/>
  <c r="K195" i="12"/>
  <c r="M183" i="12"/>
  <c r="L183" i="12"/>
  <c r="K183" i="12"/>
  <c r="M171" i="12"/>
  <c r="L171" i="12"/>
  <c r="K171" i="12"/>
  <c r="M159" i="12"/>
  <c r="L159" i="12"/>
  <c r="K159" i="12"/>
  <c r="M147" i="12"/>
  <c r="L147" i="12"/>
  <c r="K147" i="12"/>
  <c r="M135" i="12"/>
  <c r="L135" i="12"/>
  <c r="K135" i="12"/>
  <c r="M123" i="12"/>
  <c r="L123" i="12"/>
  <c r="K123" i="12"/>
  <c r="M111" i="12"/>
  <c r="K111" i="12"/>
  <c r="L111" i="12"/>
  <c r="M99" i="12"/>
  <c r="L99" i="12"/>
  <c r="K99" i="12"/>
  <c r="M87" i="12"/>
  <c r="L87" i="12"/>
  <c r="K87" i="12"/>
  <c r="M75" i="12"/>
  <c r="K75" i="12"/>
  <c r="L75" i="12"/>
  <c r="M63" i="12"/>
  <c r="L63" i="12"/>
  <c r="K63" i="12"/>
  <c r="M51" i="12"/>
  <c r="L51" i="12"/>
  <c r="K51" i="12"/>
  <c r="M39" i="12"/>
  <c r="L39" i="12"/>
  <c r="K39" i="12"/>
  <c r="M27" i="12"/>
  <c r="L27" i="12"/>
  <c r="K27" i="12"/>
  <c r="M15" i="12"/>
  <c r="L15" i="12"/>
  <c r="K15" i="12"/>
  <c r="O377" i="12"/>
  <c r="P377" i="12"/>
  <c r="N377" i="12"/>
  <c r="O365" i="12"/>
  <c r="N365" i="12"/>
  <c r="P365" i="12"/>
  <c r="O341" i="12"/>
  <c r="N341" i="12"/>
  <c r="P341" i="12"/>
  <c r="O329" i="12"/>
  <c r="P329" i="12"/>
  <c r="N329" i="12"/>
  <c r="O317" i="12"/>
  <c r="P317" i="12"/>
  <c r="N317" i="12"/>
  <c r="O305" i="12"/>
  <c r="P305" i="12"/>
  <c r="N305" i="12"/>
  <c r="O281" i="12"/>
  <c r="N281" i="12"/>
  <c r="P281" i="12"/>
  <c r="O269" i="12"/>
  <c r="N269" i="12"/>
  <c r="P269" i="12"/>
  <c r="O257" i="12"/>
  <c r="P257" i="12"/>
  <c r="N257" i="12"/>
  <c r="O245" i="12"/>
  <c r="P245" i="12"/>
  <c r="N245" i="12"/>
  <c r="O233" i="12"/>
  <c r="P233" i="12"/>
  <c r="N233" i="12"/>
  <c r="O221" i="12"/>
  <c r="P221" i="12"/>
  <c r="N221" i="12"/>
  <c r="O209" i="12"/>
  <c r="N209" i="12"/>
  <c r="P209" i="12"/>
  <c r="O197" i="12"/>
  <c r="N197" i="12"/>
  <c r="P197" i="12"/>
  <c r="O185" i="12"/>
  <c r="P185" i="12"/>
  <c r="N185" i="12"/>
  <c r="O173" i="12"/>
  <c r="P173" i="12"/>
  <c r="N173" i="12"/>
  <c r="N149" i="12"/>
  <c r="O149" i="12"/>
  <c r="P149" i="12"/>
  <c r="N137" i="12"/>
  <c r="O137" i="12"/>
  <c r="P137" i="12"/>
  <c r="N125" i="12"/>
  <c r="O125" i="12"/>
  <c r="P125" i="12"/>
  <c r="N113" i="12"/>
  <c r="O113" i="12"/>
  <c r="P113" i="12"/>
  <c r="N101" i="12"/>
  <c r="O101" i="12"/>
  <c r="P101" i="12"/>
  <c r="N89" i="12"/>
  <c r="O89" i="12"/>
  <c r="P89" i="12"/>
  <c r="N65" i="12"/>
  <c r="O65" i="12"/>
  <c r="P65" i="12"/>
  <c r="N29" i="12"/>
  <c r="O29" i="12"/>
  <c r="P29" i="12"/>
  <c r="N17" i="12"/>
  <c r="O17" i="12"/>
  <c r="P17" i="12"/>
  <c r="P5" i="12"/>
  <c r="N5" i="12"/>
  <c r="O5" i="12"/>
  <c r="M386" i="12"/>
  <c r="K386" i="12"/>
  <c r="L386" i="12"/>
  <c r="M374" i="12"/>
  <c r="K374" i="12"/>
  <c r="L374" i="12"/>
  <c r="M362" i="12"/>
  <c r="K362" i="12"/>
  <c r="L362" i="12"/>
  <c r="M350" i="12"/>
  <c r="K350" i="12"/>
  <c r="L350" i="12"/>
  <c r="M338" i="12"/>
  <c r="K338" i="12"/>
  <c r="L338" i="12"/>
  <c r="M326" i="12"/>
  <c r="K326" i="12"/>
  <c r="L326" i="12"/>
  <c r="M314" i="12"/>
  <c r="K314" i="12"/>
  <c r="L314" i="12"/>
  <c r="M302" i="12"/>
  <c r="K302" i="12"/>
  <c r="L302" i="12"/>
  <c r="M290" i="12"/>
  <c r="K290" i="12"/>
  <c r="L290" i="12"/>
  <c r="M278" i="12"/>
  <c r="K278" i="12"/>
  <c r="L278" i="12"/>
  <c r="M266" i="12"/>
  <c r="K266" i="12"/>
  <c r="L266" i="12"/>
  <c r="M254" i="12"/>
  <c r="K254" i="12"/>
  <c r="L254" i="12"/>
  <c r="M242" i="12"/>
  <c r="K242" i="12"/>
  <c r="L242" i="12"/>
  <c r="M230" i="12"/>
  <c r="L230" i="12"/>
  <c r="K230" i="12"/>
  <c r="M206" i="12"/>
  <c r="L206" i="12"/>
  <c r="K206" i="12"/>
  <c r="M194" i="12"/>
  <c r="K194" i="12"/>
  <c r="L194" i="12"/>
  <c r="M182" i="12"/>
  <c r="L182" i="12"/>
  <c r="K182" i="12"/>
  <c r="M170" i="12"/>
  <c r="L170" i="12"/>
  <c r="K170" i="12"/>
  <c r="M158" i="12"/>
  <c r="L158" i="12"/>
  <c r="K158" i="12"/>
  <c r="M146" i="12"/>
  <c r="K146" i="12"/>
  <c r="L146" i="12"/>
  <c r="M134" i="12"/>
  <c r="L134" i="12"/>
  <c r="K134" i="12"/>
  <c r="M122" i="12"/>
  <c r="L122" i="12"/>
  <c r="K122" i="12"/>
  <c r="M110" i="12"/>
  <c r="K110" i="12"/>
  <c r="L110" i="12"/>
  <c r="M98" i="12"/>
  <c r="L98" i="12"/>
  <c r="K98" i="12"/>
  <c r="M86" i="12"/>
  <c r="K86" i="12"/>
  <c r="L86" i="12"/>
  <c r="M74" i="12"/>
  <c r="L74" i="12"/>
  <c r="K74" i="12"/>
  <c r="M62" i="12"/>
  <c r="L62" i="12"/>
  <c r="K62" i="12"/>
  <c r="M50" i="12"/>
  <c r="K50" i="12"/>
  <c r="L50" i="12"/>
  <c r="M38" i="12"/>
  <c r="L38" i="12"/>
  <c r="K38" i="12"/>
  <c r="M26" i="12"/>
  <c r="L26" i="12"/>
  <c r="K26" i="12"/>
  <c r="M14" i="12"/>
  <c r="K14" i="12"/>
  <c r="L14" i="12"/>
  <c r="O388" i="12"/>
  <c r="P388" i="12"/>
  <c r="N388" i="12"/>
  <c r="O364" i="12"/>
  <c r="P364" i="12"/>
  <c r="N364" i="12"/>
  <c r="O340" i="12"/>
  <c r="P340" i="12"/>
  <c r="N340" i="12"/>
  <c r="O316" i="12"/>
  <c r="P316" i="12"/>
  <c r="N316" i="12"/>
  <c r="O292" i="12"/>
  <c r="P292" i="12"/>
  <c r="N292" i="12"/>
  <c r="O256" i="12"/>
  <c r="P256" i="12"/>
  <c r="N256" i="12"/>
  <c r="N232" i="12"/>
  <c r="O232" i="12"/>
  <c r="P232" i="12"/>
  <c r="N208" i="12"/>
  <c r="O208" i="12"/>
  <c r="P208" i="12"/>
  <c r="N184" i="12"/>
  <c r="O184" i="12"/>
  <c r="P184" i="12"/>
  <c r="N160" i="12"/>
  <c r="O160" i="12"/>
  <c r="P160" i="12"/>
  <c r="N136" i="12"/>
  <c r="O136" i="12"/>
  <c r="P136" i="12"/>
  <c r="N100" i="12"/>
  <c r="O100" i="12"/>
  <c r="P100" i="12"/>
  <c r="N76" i="12"/>
  <c r="O76" i="12"/>
  <c r="P76" i="12"/>
  <c r="N52" i="12"/>
  <c r="O52" i="12"/>
  <c r="P52" i="12"/>
  <c r="N4" i="12"/>
  <c r="O4" i="12"/>
  <c r="P4" i="12"/>
  <c r="M385" i="12"/>
  <c r="K385" i="12"/>
  <c r="L385" i="12"/>
  <c r="M361" i="12"/>
  <c r="K361" i="12"/>
  <c r="L361" i="12"/>
  <c r="M349" i="12"/>
  <c r="K349" i="12"/>
  <c r="L349" i="12"/>
  <c r="M337" i="12"/>
  <c r="K337" i="12"/>
  <c r="L337" i="12"/>
  <c r="M313" i="12"/>
  <c r="K313" i="12"/>
  <c r="L313" i="12"/>
  <c r="M301" i="12"/>
  <c r="K301" i="12"/>
  <c r="L301" i="12"/>
  <c r="M289" i="12"/>
  <c r="K289" i="12"/>
  <c r="L289" i="12"/>
  <c r="M277" i="12"/>
  <c r="K277" i="12"/>
  <c r="L277" i="12"/>
  <c r="M265" i="12"/>
  <c r="K265" i="12"/>
  <c r="L265" i="12"/>
  <c r="M253" i="12"/>
  <c r="K253" i="12"/>
  <c r="L253" i="12"/>
  <c r="M229" i="12"/>
  <c r="K229" i="12"/>
  <c r="L229" i="12"/>
  <c r="M217" i="12"/>
  <c r="L217" i="12"/>
  <c r="K217" i="12"/>
  <c r="M205" i="12"/>
  <c r="L205" i="12"/>
  <c r="K205" i="12"/>
  <c r="M193" i="12"/>
  <c r="K193" i="12"/>
  <c r="L193" i="12"/>
  <c r="M181" i="12"/>
  <c r="K181" i="12"/>
  <c r="L181" i="12"/>
  <c r="M169" i="12"/>
  <c r="L169" i="12"/>
  <c r="K169" i="12"/>
  <c r="M157" i="12"/>
  <c r="L157" i="12"/>
  <c r="K157" i="12"/>
  <c r="M145" i="12"/>
  <c r="K145" i="12"/>
  <c r="L145" i="12"/>
  <c r="M133" i="12"/>
  <c r="K133" i="12"/>
  <c r="L133" i="12"/>
  <c r="M121" i="12"/>
  <c r="L121" i="12"/>
  <c r="K121" i="12"/>
  <c r="M109" i="12"/>
  <c r="K109" i="12"/>
  <c r="L109" i="12"/>
  <c r="M97" i="12"/>
  <c r="L97" i="12"/>
  <c r="K97" i="12"/>
  <c r="M85" i="12"/>
  <c r="K85" i="12"/>
  <c r="L85" i="12"/>
  <c r="M73" i="12"/>
  <c r="L73" i="12"/>
  <c r="K73" i="12"/>
  <c r="M61" i="12"/>
  <c r="L61" i="12"/>
  <c r="K61" i="12"/>
  <c r="M49" i="12"/>
  <c r="K49" i="12"/>
  <c r="L49" i="12"/>
  <c r="M37" i="12"/>
  <c r="L37" i="12"/>
  <c r="K37" i="12"/>
  <c r="M13" i="12"/>
  <c r="K13" i="12"/>
  <c r="L13" i="12"/>
  <c r="J396" i="12"/>
  <c r="O385" i="12"/>
  <c r="P385" i="12"/>
  <c r="N385" i="12"/>
  <c r="O373" i="12"/>
  <c r="P373" i="12"/>
  <c r="N373" i="12"/>
  <c r="O361" i="12"/>
  <c r="P361" i="12"/>
  <c r="N361" i="12"/>
  <c r="O349" i="12"/>
  <c r="P349" i="12"/>
  <c r="N349" i="12"/>
  <c r="O337" i="12"/>
  <c r="P337" i="12"/>
  <c r="N337" i="12"/>
  <c r="O325" i="12"/>
  <c r="P325" i="12"/>
  <c r="N325" i="12"/>
  <c r="O313" i="12"/>
  <c r="P313" i="12"/>
  <c r="N313" i="12"/>
  <c r="O301" i="12"/>
  <c r="P301" i="12"/>
  <c r="N301" i="12"/>
  <c r="O289" i="12"/>
  <c r="P289" i="12"/>
  <c r="N289" i="12"/>
  <c r="O277" i="12"/>
  <c r="P277" i="12"/>
  <c r="N277" i="12"/>
  <c r="O265" i="12"/>
  <c r="P265" i="12"/>
  <c r="N265" i="12"/>
  <c r="O253" i="12"/>
  <c r="P253" i="12"/>
  <c r="N253" i="12"/>
  <c r="O241" i="12"/>
  <c r="P241" i="12"/>
  <c r="N241" i="12"/>
  <c r="O229" i="12"/>
  <c r="P229" i="12"/>
  <c r="N229" i="12"/>
  <c r="O217" i="12"/>
  <c r="P217" i="12"/>
  <c r="N217" i="12"/>
  <c r="O205" i="12"/>
  <c r="P205" i="12"/>
  <c r="N205" i="12"/>
  <c r="O193" i="12"/>
  <c r="P193" i="12"/>
  <c r="N193" i="12"/>
  <c r="N181" i="12"/>
  <c r="O181" i="12"/>
  <c r="P181" i="12"/>
  <c r="N169" i="12"/>
  <c r="O169" i="12"/>
  <c r="P169" i="12"/>
  <c r="N157" i="12"/>
  <c r="O157" i="12"/>
  <c r="P157" i="12"/>
  <c r="N145" i="12"/>
  <c r="O145" i="12"/>
  <c r="P145" i="12"/>
  <c r="N133" i="12"/>
  <c r="O133" i="12"/>
  <c r="P133" i="12"/>
  <c r="N121" i="12"/>
  <c r="O121" i="12"/>
  <c r="P121" i="12"/>
  <c r="N109" i="12"/>
  <c r="O109" i="12"/>
  <c r="P109" i="12"/>
  <c r="N97" i="12"/>
  <c r="O97" i="12"/>
  <c r="P97" i="12"/>
  <c r="N85" i="12"/>
  <c r="O85" i="12"/>
  <c r="P85" i="12"/>
  <c r="N73" i="12"/>
  <c r="O73" i="12"/>
  <c r="P73" i="12"/>
  <c r="N61" i="12"/>
  <c r="O61" i="12"/>
  <c r="P61" i="12"/>
  <c r="N49" i="12"/>
  <c r="O49" i="12"/>
  <c r="P49" i="12"/>
  <c r="N37" i="12"/>
  <c r="O37" i="12"/>
  <c r="P37" i="12"/>
  <c r="N25" i="12"/>
  <c r="O25" i="12"/>
  <c r="P25" i="12"/>
  <c r="N13" i="12"/>
  <c r="O13" i="12"/>
  <c r="P13" i="12"/>
  <c r="K394" i="12"/>
  <c r="M394" i="12"/>
  <c r="L394" i="12"/>
  <c r="M382" i="12"/>
  <c r="K382" i="12"/>
  <c r="L382" i="12"/>
  <c r="K370" i="12"/>
  <c r="L370" i="12"/>
  <c r="M370" i="12"/>
  <c r="K358" i="12"/>
  <c r="M358" i="12"/>
  <c r="L358" i="12"/>
  <c r="M346" i="12"/>
  <c r="K346" i="12"/>
  <c r="L346" i="12"/>
  <c r="K334" i="12"/>
  <c r="L334" i="12"/>
  <c r="M334" i="12"/>
  <c r="K322" i="12"/>
  <c r="M322" i="12"/>
  <c r="L322" i="12"/>
  <c r="M310" i="12"/>
  <c r="K310" i="12"/>
  <c r="L310" i="12"/>
  <c r="K298" i="12"/>
  <c r="L298" i="12"/>
  <c r="M298" i="12"/>
  <c r="K286" i="12"/>
  <c r="M286" i="12"/>
  <c r="L286" i="12"/>
  <c r="M274" i="12"/>
  <c r="K274" i="12"/>
  <c r="L274" i="12"/>
  <c r="K262" i="12"/>
  <c r="L262" i="12"/>
  <c r="M262" i="12"/>
  <c r="K250" i="12"/>
  <c r="M250" i="12"/>
  <c r="L250" i="12"/>
  <c r="L238" i="12"/>
  <c r="M238" i="12"/>
  <c r="K238" i="12"/>
  <c r="L226" i="12"/>
  <c r="K226" i="12"/>
  <c r="M226" i="12"/>
  <c r="L214" i="12"/>
  <c r="K214" i="12"/>
  <c r="M214" i="12"/>
  <c r="L202" i="12"/>
  <c r="M202" i="12"/>
  <c r="K202" i="12"/>
  <c r="L190" i="12"/>
  <c r="K190" i="12"/>
  <c r="M190" i="12"/>
  <c r="L178" i="12"/>
  <c r="K178" i="12"/>
  <c r="M178" i="12"/>
  <c r="L166" i="12"/>
  <c r="M166" i="12"/>
  <c r="K166" i="12"/>
  <c r="L154" i="12"/>
  <c r="K154" i="12"/>
  <c r="M154" i="12"/>
  <c r="L142" i="12"/>
  <c r="K142" i="12"/>
  <c r="M142" i="12"/>
  <c r="L130" i="12"/>
  <c r="M130" i="12"/>
  <c r="K130" i="12"/>
  <c r="L118" i="12"/>
  <c r="K118" i="12"/>
  <c r="M118" i="12"/>
  <c r="L106" i="12"/>
  <c r="K106" i="12"/>
  <c r="M106" i="12"/>
  <c r="L94" i="12"/>
  <c r="M94" i="12"/>
  <c r="K94" i="12"/>
  <c r="L82" i="12"/>
  <c r="K82" i="12"/>
  <c r="M82" i="12"/>
  <c r="L70" i="12"/>
  <c r="K70" i="12"/>
  <c r="M70" i="12"/>
  <c r="L58" i="12"/>
  <c r="M58" i="12"/>
  <c r="K58" i="12"/>
  <c r="L46" i="12"/>
  <c r="K46" i="12"/>
  <c r="M46" i="12"/>
  <c r="L34" i="12"/>
  <c r="K34" i="12"/>
  <c r="M34" i="12"/>
  <c r="L22" i="12"/>
  <c r="M22" i="12"/>
  <c r="K22" i="12"/>
  <c r="L10" i="12"/>
  <c r="K10" i="12"/>
  <c r="M10" i="12"/>
  <c r="O396" i="12"/>
  <c r="P396" i="12"/>
  <c r="N396" i="12"/>
  <c r="O384" i="12"/>
  <c r="P384" i="12"/>
  <c r="N384" i="12"/>
  <c r="O372" i="12"/>
  <c r="P372" i="12"/>
  <c r="N372" i="12"/>
  <c r="O360" i="12"/>
  <c r="P360" i="12"/>
  <c r="N360" i="12"/>
  <c r="O348" i="12"/>
  <c r="P348" i="12"/>
  <c r="N348" i="12"/>
  <c r="O336" i="12"/>
  <c r="P336" i="12"/>
  <c r="N336" i="12"/>
  <c r="O324" i="12"/>
  <c r="P324" i="12"/>
  <c r="N324" i="12"/>
  <c r="O312" i="12"/>
  <c r="P312" i="12"/>
  <c r="N312" i="12"/>
  <c r="O300" i="12"/>
  <c r="P300" i="12"/>
  <c r="N300" i="12"/>
  <c r="O288" i="12"/>
  <c r="P288" i="12"/>
  <c r="N288" i="12"/>
  <c r="O276" i="12"/>
  <c r="P276" i="12"/>
  <c r="N276" i="12"/>
  <c r="O264" i="12"/>
  <c r="P264" i="12"/>
  <c r="N264" i="12"/>
  <c r="O252" i="12"/>
  <c r="P252" i="12"/>
  <c r="N252" i="12"/>
  <c r="O240" i="12"/>
  <c r="P240" i="12"/>
  <c r="N240" i="12"/>
  <c r="N228" i="12"/>
  <c r="O228" i="12"/>
  <c r="P228" i="12"/>
  <c r="N216" i="12"/>
  <c r="O216" i="12"/>
  <c r="P216" i="12"/>
  <c r="N204" i="12"/>
  <c r="O204" i="12"/>
  <c r="P204" i="12"/>
  <c r="N192" i="12"/>
  <c r="O192" i="12"/>
  <c r="P192" i="12"/>
  <c r="N180" i="12"/>
  <c r="O180" i="12"/>
  <c r="P180" i="12"/>
  <c r="N168" i="12"/>
  <c r="O168" i="12"/>
  <c r="P168" i="12"/>
  <c r="N156" i="12"/>
  <c r="O156" i="12"/>
  <c r="P156" i="12"/>
  <c r="N144" i="12"/>
  <c r="O144" i="12"/>
  <c r="P144" i="12"/>
  <c r="N132" i="12"/>
  <c r="O132" i="12"/>
  <c r="P132" i="12"/>
  <c r="N120" i="12"/>
  <c r="O120" i="12"/>
  <c r="P120" i="12"/>
  <c r="N108" i="12"/>
  <c r="O108" i="12"/>
  <c r="P108" i="12"/>
  <c r="N96" i="12"/>
  <c r="O96" i="12"/>
  <c r="P96" i="12"/>
  <c r="N84" i="12"/>
  <c r="O84" i="12"/>
  <c r="P84" i="12"/>
  <c r="N72" i="12"/>
  <c r="O72" i="12"/>
  <c r="P72" i="12"/>
  <c r="N60" i="12"/>
  <c r="O60" i="12"/>
  <c r="P60" i="12"/>
  <c r="N48" i="12"/>
  <c r="O48" i="12"/>
  <c r="P48" i="12"/>
  <c r="N36" i="12"/>
  <c r="O36" i="12"/>
  <c r="P36" i="12"/>
  <c r="N24" i="12"/>
  <c r="O24" i="12"/>
  <c r="P24" i="12"/>
  <c r="N12" i="12"/>
  <c r="O12" i="12"/>
  <c r="P12" i="12"/>
  <c r="K393" i="12"/>
  <c r="M393" i="12"/>
  <c r="L393" i="12"/>
  <c r="M381" i="12"/>
  <c r="K381" i="12"/>
  <c r="L381" i="12"/>
  <c r="K369" i="12"/>
  <c r="L369" i="12"/>
  <c r="M369" i="12"/>
  <c r="K357" i="12"/>
  <c r="M357" i="12"/>
  <c r="L357" i="12"/>
  <c r="M345" i="12"/>
  <c r="K345" i="12"/>
  <c r="L345" i="12"/>
  <c r="K333" i="12"/>
  <c r="L333" i="12"/>
  <c r="M333" i="12"/>
  <c r="K321" i="12"/>
  <c r="M321" i="12"/>
  <c r="L321" i="12"/>
  <c r="M309" i="12"/>
  <c r="K309" i="12"/>
  <c r="L309" i="12"/>
  <c r="K297" i="12"/>
  <c r="L297" i="12"/>
  <c r="M297" i="12"/>
  <c r="K285" i="12"/>
  <c r="M285" i="12"/>
  <c r="L285" i="12"/>
  <c r="M273" i="12"/>
  <c r="K273" i="12"/>
  <c r="L273" i="12"/>
  <c r="K261" i="12"/>
  <c r="L261" i="12"/>
  <c r="M261" i="12"/>
  <c r="K249" i="12"/>
  <c r="M249" i="12"/>
  <c r="L249" i="12"/>
  <c r="L237" i="12"/>
  <c r="M237" i="12"/>
  <c r="K237" i="12"/>
  <c r="L225" i="12"/>
  <c r="K225" i="12"/>
  <c r="M225" i="12"/>
  <c r="L213" i="12"/>
  <c r="K213" i="12"/>
  <c r="M213" i="12"/>
  <c r="L201" i="12"/>
  <c r="M201" i="12"/>
  <c r="K201" i="12"/>
  <c r="L189" i="12"/>
  <c r="K189" i="12"/>
  <c r="M189" i="12"/>
  <c r="L177" i="12"/>
  <c r="K177" i="12"/>
  <c r="M177" i="12"/>
  <c r="L165" i="12"/>
  <c r="M165" i="12"/>
  <c r="K165" i="12"/>
  <c r="L153" i="12"/>
  <c r="K153" i="12"/>
  <c r="M153" i="12"/>
  <c r="L141" i="12"/>
  <c r="K141" i="12"/>
  <c r="M141" i="12"/>
  <c r="L129" i="12"/>
  <c r="M129" i="12"/>
  <c r="K129" i="12"/>
  <c r="L117" i="12"/>
  <c r="K117" i="12"/>
  <c r="M117" i="12"/>
  <c r="L105" i="12"/>
  <c r="K105" i="12"/>
  <c r="M105" i="12"/>
  <c r="L93" i="12"/>
  <c r="M93" i="12"/>
  <c r="K93" i="12"/>
  <c r="L81" i="12"/>
  <c r="K81" i="12"/>
  <c r="M81" i="12"/>
  <c r="L69" i="12"/>
  <c r="K69" i="12"/>
  <c r="M69" i="12"/>
  <c r="L57" i="12"/>
  <c r="M57" i="12"/>
  <c r="K57" i="12"/>
  <c r="L45" i="12"/>
  <c r="K45" i="12"/>
  <c r="M45" i="12"/>
  <c r="L33" i="12"/>
  <c r="K33" i="12"/>
  <c r="M33" i="12"/>
  <c r="L21" i="12"/>
  <c r="M21" i="12"/>
  <c r="K21" i="12"/>
  <c r="L9" i="12"/>
  <c r="K9" i="12"/>
  <c r="M9" i="12"/>
  <c r="P390" i="12"/>
  <c r="O390" i="12"/>
  <c r="N390" i="12"/>
  <c r="P366" i="12"/>
  <c r="N366" i="12"/>
  <c r="O366" i="12"/>
  <c r="P330" i="12"/>
  <c r="O330" i="12"/>
  <c r="N330" i="12"/>
  <c r="P306" i="12"/>
  <c r="N306" i="12"/>
  <c r="O306" i="12"/>
  <c r="P282" i="12"/>
  <c r="O282" i="12"/>
  <c r="N282" i="12"/>
  <c r="P258" i="12"/>
  <c r="N258" i="12"/>
  <c r="O258" i="12"/>
  <c r="P234" i="12"/>
  <c r="N234" i="12"/>
  <c r="O234" i="12"/>
  <c r="P210" i="12"/>
  <c r="N210" i="12"/>
  <c r="O210" i="12"/>
  <c r="P186" i="12"/>
  <c r="N186" i="12"/>
  <c r="O186" i="12"/>
  <c r="P174" i="12"/>
  <c r="N174" i="12"/>
  <c r="O174" i="12"/>
  <c r="P150" i="12"/>
  <c r="N150" i="12"/>
  <c r="O150" i="12"/>
  <c r="P114" i="12"/>
  <c r="N114" i="12"/>
  <c r="O114" i="12"/>
  <c r="P90" i="12"/>
  <c r="N90" i="12"/>
  <c r="O90" i="12"/>
  <c r="P66" i="12"/>
  <c r="N66" i="12"/>
  <c r="O66" i="12"/>
  <c r="P18" i="12"/>
  <c r="N18" i="12"/>
  <c r="O18" i="12"/>
  <c r="M387" i="12"/>
  <c r="L387" i="12"/>
  <c r="K387" i="12"/>
  <c r="M207" i="12"/>
  <c r="L207" i="12"/>
  <c r="K207" i="12"/>
  <c r="O389" i="12"/>
  <c r="P389" i="12"/>
  <c r="N389" i="12"/>
  <c r="O353" i="12"/>
  <c r="N353" i="12"/>
  <c r="P353" i="12"/>
  <c r="O293" i="12"/>
  <c r="N293" i="12"/>
  <c r="P293" i="12"/>
  <c r="N161" i="12"/>
  <c r="O161" i="12"/>
  <c r="P161" i="12"/>
  <c r="M218" i="12"/>
  <c r="L218" i="12"/>
  <c r="K218" i="12"/>
  <c r="O376" i="12"/>
  <c r="P376" i="12"/>
  <c r="N376" i="12"/>
  <c r="O352" i="12"/>
  <c r="P352" i="12"/>
  <c r="N352" i="12"/>
  <c r="O328" i="12"/>
  <c r="P328" i="12"/>
  <c r="N328" i="12"/>
  <c r="O304" i="12"/>
  <c r="P304" i="12"/>
  <c r="N304" i="12"/>
  <c r="O280" i="12"/>
  <c r="P280" i="12"/>
  <c r="N280" i="12"/>
  <c r="O244" i="12"/>
  <c r="P244" i="12"/>
  <c r="N244" i="12"/>
  <c r="N220" i="12"/>
  <c r="O220" i="12"/>
  <c r="P220" i="12"/>
  <c r="N196" i="12"/>
  <c r="O196" i="12"/>
  <c r="P196" i="12"/>
  <c r="N172" i="12"/>
  <c r="O172" i="12"/>
  <c r="P172" i="12"/>
  <c r="N148" i="12"/>
  <c r="O148" i="12"/>
  <c r="P148" i="12"/>
  <c r="N124" i="12"/>
  <c r="O124" i="12"/>
  <c r="P124" i="12"/>
  <c r="N88" i="12"/>
  <c r="O88" i="12"/>
  <c r="P88" i="12"/>
  <c r="N64" i="12"/>
  <c r="O64" i="12"/>
  <c r="P64" i="12"/>
  <c r="N40" i="12"/>
  <c r="O40" i="12"/>
  <c r="P40" i="12"/>
  <c r="N16" i="12"/>
  <c r="O16" i="12"/>
  <c r="P16" i="12"/>
  <c r="M373" i="12"/>
  <c r="K373" i="12"/>
  <c r="L373" i="12"/>
  <c r="M325" i="12"/>
  <c r="K325" i="12"/>
  <c r="L325" i="12"/>
  <c r="M241" i="12"/>
  <c r="K241" i="12"/>
  <c r="L241" i="12"/>
  <c r="M25" i="12"/>
  <c r="L25" i="12"/>
  <c r="K25" i="12"/>
  <c r="I395" i="12"/>
  <c r="O395" i="12"/>
  <c r="P395" i="12"/>
  <c r="N395" i="12"/>
  <c r="O383" i="12"/>
  <c r="P383" i="12"/>
  <c r="N383" i="12"/>
  <c r="O371" i="12"/>
  <c r="P371" i="12"/>
  <c r="N371" i="12"/>
  <c r="O359" i="12"/>
  <c r="P359" i="12"/>
  <c r="N359" i="12"/>
  <c r="O347" i="12"/>
  <c r="P347" i="12"/>
  <c r="N347" i="12"/>
  <c r="O335" i="12"/>
  <c r="P335" i="12"/>
  <c r="N335" i="12"/>
  <c r="O323" i="12"/>
  <c r="P323" i="12"/>
  <c r="N323" i="12"/>
  <c r="O311" i="12"/>
  <c r="P311" i="12"/>
  <c r="N311" i="12"/>
  <c r="O299" i="12"/>
  <c r="P299" i="12"/>
  <c r="N299" i="12"/>
  <c r="O287" i="12"/>
  <c r="P287" i="12"/>
  <c r="N287" i="12"/>
  <c r="O275" i="12"/>
  <c r="P275" i="12"/>
  <c r="N275" i="12"/>
  <c r="O263" i="12"/>
  <c r="P263" i="12"/>
  <c r="N263" i="12"/>
  <c r="O251" i="12"/>
  <c r="P251" i="12"/>
  <c r="N251" i="12"/>
  <c r="O239" i="12"/>
  <c r="P239" i="12"/>
  <c r="N239" i="12"/>
  <c r="O227" i="12"/>
  <c r="P227" i="12"/>
  <c r="N227" i="12"/>
  <c r="O215" i="12"/>
  <c r="P215" i="12"/>
  <c r="N215" i="12"/>
  <c r="O203" i="12"/>
  <c r="P203" i="12"/>
  <c r="N203" i="12"/>
  <c r="O191" i="12"/>
  <c r="P191" i="12"/>
  <c r="N191" i="12"/>
  <c r="O179" i="12"/>
  <c r="P179" i="12"/>
  <c r="N179" i="12"/>
  <c r="O167" i="12"/>
  <c r="P167" i="12"/>
  <c r="N167" i="12"/>
  <c r="O155" i="12"/>
  <c r="P155" i="12"/>
  <c r="N155" i="12"/>
  <c r="O143" i="12"/>
  <c r="P143" i="12"/>
  <c r="N143" i="12"/>
  <c r="O131" i="12"/>
  <c r="P131" i="12"/>
  <c r="N131" i="12"/>
  <c r="O119" i="12"/>
  <c r="P119" i="12"/>
  <c r="N119" i="12"/>
  <c r="O107" i="12"/>
  <c r="P107" i="12"/>
  <c r="N107" i="12"/>
  <c r="O95" i="12"/>
  <c r="P95" i="12"/>
  <c r="N95" i="12"/>
  <c r="O83" i="12"/>
  <c r="P83" i="12"/>
  <c r="N83" i="12"/>
  <c r="O71" i="12"/>
  <c r="P71" i="12"/>
  <c r="N71" i="12"/>
  <c r="O59" i="12"/>
  <c r="P59" i="12"/>
  <c r="N59" i="12"/>
  <c r="O47" i="12"/>
  <c r="P47" i="12"/>
  <c r="N47" i="12"/>
  <c r="O35" i="12"/>
  <c r="P35" i="12"/>
  <c r="N35" i="12"/>
  <c r="O23" i="12"/>
  <c r="P23" i="12"/>
  <c r="N23" i="12"/>
  <c r="O11" i="12"/>
  <c r="P11" i="12"/>
  <c r="N11" i="12"/>
  <c r="M392" i="12"/>
  <c r="K392" i="12"/>
  <c r="L392" i="12"/>
  <c r="M380" i="12"/>
  <c r="K380" i="12"/>
  <c r="L380" i="12"/>
  <c r="M368" i="12"/>
  <c r="K368" i="12"/>
  <c r="L368" i="12"/>
  <c r="M356" i="12"/>
  <c r="K356" i="12"/>
  <c r="L356" i="12"/>
  <c r="M344" i="12"/>
  <c r="K344" i="12"/>
  <c r="L344" i="12"/>
  <c r="M332" i="12"/>
  <c r="K332" i="12"/>
  <c r="L332" i="12"/>
  <c r="M320" i="12"/>
  <c r="K320" i="12"/>
  <c r="L320" i="12"/>
  <c r="M308" i="12"/>
  <c r="K308" i="12"/>
  <c r="L308" i="12"/>
  <c r="M296" i="12"/>
  <c r="K296" i="12"/>
  <c r="L296" i="12"/>
  <c r="M284" i="12"/>
  <c r="K284" i="12"/>
  <c r="L284" i="12"/>
  <c r="M272" i="12"/>
  <c r="K272" i="12"/>
  <c r="L272" i="12"/>
  <c r="M260" i="12"/>
  <c r="K260" i="12"/>
  <c r="L260" i="12"/>
  <c r="M248" i="12"/>
  <c r="K248" i="12"/>
  <c r="L248" i="12"/>
  <c r="L236" i="12"/>
  <c r="M236" i="12"/>
  <c r="K236" i="12"/>
  <c r="L224" i="12"/>
  <c r="M224" i="12"/>
  <c r="K224" i="12"/>
  <c r="L212" i="12"/>
  <c r="M212" i="12"/>
  <c r="K212" i="12"/>
  <c r="L200" i="12"/>
  <c r="M200" i="12"/>
  <c r="K200" i="12"/>
  <c r="L188" i="12"/>
  <c r="M188" i="12"/>
  <c r="K188" i="12"/>
  <c r="L176" i="12"/>
  <c r="M176" i="12"/>
  <c r="K176" i="12"/>
  <c r="L164" i="12"/>
  <c r="M164" i="12"/>
  <c r="K164" i="12"/>
  <c r="L152" i="12"/>
  <c r="M152" i="12"/>
  <c r="K152" i="12"/>
  <c r="L140" i="12"/>
  <c r="M140" i="12"/>
  <c r="K140" i="12"/>
  <c r="L128" i="12"/>
  <c r="M128" i="12"/>
  <c r="K128" i="12"/>
  <c r="L116" i="12"/>
  <c r="M116" i="12"/>
  <c r="K116" i="12"/>
  <c r="L104" i="12"/>
  <c r="M104" i="12"/>
  <c r="K104" i="12"/>
  <c r="L92" i="12"/>
  <c r="M92" i="12"/>
  <c r="K92" i="12"/>
  <c r="L80" i="12"/>
  <c r="M80" i="12"/>
  <c r="K80" i="12"/>
  <c r="L68" i="12"/>
  <c r="M68" i="12"/>
  <c r="K68" i="12"/>
  <c r="L56" i="12"/>
  <c r="M56" i="12"/>
  <c r="K56" i="12"/>
  <c r="L44" i="12"/>
  <c r="M44" i="12"/>
  <c r="K44" i="12"/>
  <c r="L32" i="12"/>
  <c r="M32" i="12"/>
  <c r="K32" i="12"/>
  <c r="L20" i="12"/>
  <c r="M20" i="12"/>
  <c r="K20" i="12"/>
  <c r="L8" i="12"/>
  <c r="M8" i="12"/>
  <c r="K8" i="12"/>
  <c r="N53" i="12"/>
  <c r="O53" i="12"/>
  <c r="P53" i="12"/>
  <c r="N112" i="12"/>
  <c r="O112" i="12"/>
  <c r="P112" i="12"/>
  <c r="O394" i="12"/>
  <c r="P394" i="12"/>
  <c r="N394" i="12"/>
  <c r="O382" i="12"/>
  <c r="P382" i="12"/>
  <c r="N382" i="12"/>
  <c r="O370" i="12"/>
  <c r="P370" i="12"/>
  <c r="N370" i="12"/>
  <c r="O358" i="12"/>
  <c r="P358" i="12"/>
  <c r="N358" i="12"/>
  <c r="O346" i="12"/>
  <c r="P346" i="12"/>
  <c r="N346" i="12"/>
  <c r="O334" i="12"/>
  <c r="P334" i="12"/>
  <c r="N334" i="12"/>
  <c r="O322" i="12"/>
  <c r="P322" i="12"/>
  <c r="N322" i="12"/>
  <c r="O310" i="12"/>
  <c r="P310" i="12"/>
  <c r="N310" i="12"/>
  <c r="O298" i="12"/>
  <c r="P298" i="12"/>
  <c r="N298" i="12"/>
  <c r="O286" i="12"/>
  <c r="P286" i="12"/>
  <c r="N286" i="12"/>
  <c r="O274" i="12"/>
  <c r="P274" i="12"/>
  <c r="N274" i="12"/>
  <c r="O262" i="12"/>
  <c r="P262" i="12"/>
  <c r="N262" i="12"/>
  <c r="O250" i="12"/>
  <c r="P250" i="12"/>
  <c r="N250" i="12"/>
  <c r="O238" i="12"/>
  <c r="P238" i="12"/>
  <c r="N238" i="12"/>
  <c r="O226" i="12"/>
  <c r="P226" i="12"/>
  <c r="N226" i="12"/>
  <c r="O214" i="12"/>
  <c r="P214" i="12"/>
  <c r="N214" i="12"/>
  <c r="O202" i="12"/>
  <c r="P202" i="12"/>
  <c r="N202" i="12"/>
  <c r="O190" i="12"/>
  <c r="P190" i="12"/>
  <c r="N190" i="12"/>
  <c r="O178" i="12"/>
  <c r="P178" i="12"/>
  <c r="N178" i="12"/>
  <c r="O166" i="12"/>
  <c r="P166" i="12"/>
  <c r="N166" i="12"/>
  <c r="O154" i="12"/>
  <c r="P154" i="12"/>
  <c r="N154" i="12"/>
  <c r="O142" i="12"/>
  <c r="P142" i="12"/>
  <c r="N142" i="12"/>
  <c r="O130" i="12"/>
  <c r="P130" i="12"/>
  <c r="N130" i="12"/>
  <c r="O118" i="12"/>
  <c r="P118" i="12"/>
  <c r="N118" i="12"/>
  <c r="O106" i="12"/>
  <c r="P106" i="12"/>
  <c r="N106" i="12"/>
  <c r="O94" i="12"/>
  <c r="P94" i="12"/>
  <c r="N94" i="12"/>
  <c r="O82" i="12"/>
  <c r="P82" i="12"/>
  <c r="N82" i="12"/>
  <c r="O70" i="12"/>
  <c r="P70" i="12"/>
  <c r="N70" i="12"/>
  <c r="O58" i="12"/>
  <c r="P58" i="12"/>
  <c r="N58" i="12"/>
  <c r="O46" i="12"/>
  <c r="P46" i="12"/>
  <c r="N46" i="12"/>
  <c r="O34" i="12"/>
  <c r="P34" i="12"/>
  <c r="N34" i="12"/>
  <c r="O22" i="12"/>
  <c r="P22" i="12"/>
  <c r="N22" i="12"/>
  <c r="O10" i="12"/>
  <c r="P10" i="12"/>
  <c r="N10" i="12"/>
  <c r="M391" i="12"/>
  <c r="L391" i="12"/>
  <c r="K391" i="12"/>
  <c r="M379" i="12"/>
  <c r="L379" i="12"/>
  <c r="K379" i="12"/>
  <c r="M367" i="12"/>
  <c r="L367" i="12"/>
  <c r="K367" i="12"/>
  <c r="M355" i="12"/>
  <c r="L355" i="12"/>
  <c r="K355" i="12"/>
  <c r="M343" i="12"/>
  <c r="L343" i="12"/>
  <c r="K343" i="12"/>
  <c r="M331" i="12"/>
  <c r="L331" i="12"/>
  <c r="K331" i="12"/>
  <c r="M319" i="12"/>
  <c r="L319" i="12"/>
  <c r="K319" i="12"/>
  <c r="M307" i="12"/>
  <c r="L307" i="12"/>
  <c r="K307" i="12"/>
  <c r="M295" i="12"/>
  <c r="L295" i="12"/>
  <c r="K295" i="12"/>
  <c r="M283" i="12"/>
  <c r="L283" i="12"/>
  <c r="K283" i="12"/>
  <c r="M271" i="12"/>
  <c r="L271" i="12"/>
  <c r="K271" i="12"/>
  <c r="M259" i="12"/>
  <c r="L259" i="12"/>
  <c r="K259" i="12"/>
  <c r="M247" i="12"/>
  <c r="L247" i="12"/>
  <c r="K247" i="12"/>
  <c r="M235" i="12"/>
  <c r="L235" i="12"/>
  <c r="K235" i="12"/>
  <c r="M223" i="12"/>
  <c r="K223" i="12"/>
  <c r="L223" i="12"/>
  <c r="M211" i="12"/>
  <c r="L211" i="12"/>
  <c r="K211" i="12"/>
  <c r="M199" i="12"/>
  <c r="L199" i="12"/>
  <c r="K199" i="12"/>
  <c r="M187" i="12"/>
  <c r="L187" i="12"/>
  <c r="K187" i="12"/>
  <c r="M175" i="12"/>
  <c r="K175" i="12"/>
  <c r="L175" i="12"/>
  <c r="M163" i="12"/>
  <c r="L163" i="12"/>
  <c r="K163" i="12"/>
  <c r="M151" i="12"/>
  <c r="L151" i="12"/>
  <c r="K151" i="12"/>
  <c r="M139" i="12"/>
  <c r="L139" i="12"/>
  <c r="K139" i="12"/>
  <c r="M127" i="12"/>
  <c r="K127" i="12"/>
  <c r="L127" i="12"/>
  <c r="L115" i="12"/>
  <c r="M115" i="12"/>
  <c r="K115" i="12"/>
  <c r="L103" i="12"/>
  <c r="M103" i="12"/>
  <c r="K103" i="12"/>
  <c r="L91" i="12"/>
  <c r="M91" i="12"/>
  <c r="K91" i="12"/>
  <c r="L79" i="12"/>
  <c r="M79" i="12"/>
  <c r="K79" i="12"/>
  <c r="L67" i="12"/>
  <c r="M67" i="12"/>
  <c r="K67" i="12"/>
  <c r="L55" i="12"/>
  <c r="M55" i="12"/>
  <c r="K55" i="12"/>
  <c r="L43" i="12"/>
  <c r="M43" i="12"/>
  <c r="K43" i="12"/>
  <c r="L31" i="12"/>
  <c r="M31" i="12"/>
  <c r="K31" i="12"/>
  <c r="L19" i="12"/>
  <c r="M19" i="12"/>
  <c r="K19" i="12"/>
  <c r="L7" i="12"/>
  <c r="M7" i="12"/>
  <c r="K7" i="12"/>
  <c r="I393" i="12"/>
  <c r="O393" i="12"/>
  <c r="P393" i="12"/>
  <c r="N393" i="12"/>
  <c r="O381" i="12"/>
  <c r="P381" i="12"/>
  <c r="N381" i="12"/>
  <c r="O369" i="12"/>
  <c r="P369" i="12"/>
  <c r="N369" i="12"/>
  <c r="O357" i="12"/>
  <c r="P357" i="12"/>
  <c r="N357" i="12"/>
  <c r="O345" i="12"/>
  <c r="P345" i="12"/>
  <c r="N345" i="12"/>
  <c r="O333" i="12"/>
  <c r="P333" i="12"/>
  <c r="N333" i="12"/>
  <c r="O321" i="12"/>
  <c r="P321" i="12"/>
  <c r="N321" i="12"/>
  <c r="O309" i="12"/>
  <c r="P309" i="12"/>
  <c r="N309" i="12"/>
  <c r="O297" i="12"/>
  <c r="P297" i="12"/>
  <c r="N297" i="12"/>
  <c r="O285" i="12"/>
  <c r="P285" i="12"/>
  <c r="N285" i="12"/>
  <c r="O273" i="12"/>
  <c r="P273" i="12"/>
  <c r="N273" i="12"/>
  <c r="O261" i="12"/>
  <c r="P261" i="12"/>
  <c r="N261" i="12"/>
  <c r="O249" i="12"/>
  <c r="P249" i="12"/>
  <c r="N249" i="12"/>
  <c r="O237" i="12"/>
  <c r="P237" i="12"/>
  <c r="N237" i="12"/>
  <c r="O225" i="12"/>
  <c r="P225" i="12"/>
  <c r="N225" i="12"/>
  <c r="O213" i="12"/>
  <c r="P213" i="12"/>
  <c r="N213" i="12"/>
  <c r="O201" i="12"/>
  <c r="P201" i="12"/>
  <c r="N201" i="12"/>
  <c r="O189" i="12"/>
  <c r="P189" i="12"/>
  <c r="N189" i="12"/>
  <c r="O177" i="12"/>
  <c r="P177" i="12"/>
  <c r="N177" i="12"/>
  <c r="O165" i="12"/>
  <c r="P165" i="12"/>
  <c r="N165" i="12"/>
  <c r="O153" i="12"/>
  <c r="P153" i="12"/>
  <c r="N153" i="12"/>
  <c r="O141" i="12"/>
  <c r="P141" i="12"/>
  <c r="N141" i="12"/>
  <c r="O129" i="12"/>
  <c r="P129" i="12"/>
  <c r="N129" i="12"/>
  <c r="O117" i="12"/>
  <c r="P117" i="12"/>
  <c r="N117" i="12"/>
  <c r="O105" i="12"/>
  <c r="P105" i="12"/>
  <c r="N105" i="12"/>
  <c r="O93" i="12"/>
  <c r="P93" i="12"/>
  <c r="N93" i="12"/>
  <c r="O81" i="12"/>
  <c r="P81" i="12"/>
  <c r="N81" i="12"/>
  <c r="O69" i="12"/>
  <c r="P69" i="12"/>
  <c r="N69" i="12"/>
  <c r="O57" i="12"/>
  <c r="P57" i="12"/>
  <c r="N57" i="12"/>
  <c r="O45" i="12"/>
  <c r="P45" i="12"/>
  <c r="N45" i="12"/>
  <c r="O33" i="12"/>
  <c r="P33" i="12"/>
  <c r="N33" i="12"/>
  <c r="O21" i="12"/>
  <c r="P21" i="12"/>
  <c r="N21" i="12"/>
  <c r="O9" i="12"/>
  <c r="P9" i="12"/>
  <c r="N9" i="12"/>
  <c r="M390" i="12"/>
  <c r="L390" i="12"/>
  <c r="K390" i="12"/>
  <c r="M378" i="12"/>
  <c r="L378" i="12"/>
  <c r="K378" i="12"/>
  <c r="M366" i="12"/>
  <c r="L366" i="12"/>
  <c r="K366" i="12"/>
  <c r="M354" i="12"/>
  <c r="L354" i="12"/>
  <c r="K354" i="12"/>
  <c r="M342" i="12"/>
  <c r="L342" i="12"/>
  <c r="K342" i="12"/>
  <c r="M330" i="12"/>
  <c r="L330" i="12"/>
  <c r="K330" i="12"/>
  <c r="M318" i="12"/>
  <c r="L318" i="12"/>
  <c r="K318" i="12"/>
  <c r="M306" i="12"/>
  <c r="L306" i="12"/>
  <c r="K306" i="12"/>
  <c r="M294" i="12"/>
  <c r="L294" i="12"/>
  <c r="K294" i="12"/>
  <c r="M282" i="12"/>
  <c r="L282" i="12"/>
  <c r="K282" i="12"/>
  <c r="M270" i="12"/>
  <c r="L270" i="12"/>
  <c r="K270" i="12"/>
  <c r="M258" i="12"/>
  <c r="L258" i="12"/>
  <c r="K258" i="12"/>
  <c r="M246" i="12"/>
  <c r="L246" i="12"/>
  <c r="K246" i="12"/>
  <c r="M234" i="12"/>
  <c r="L234" i="12"/>
  <c r="K234" i="12"/>
  <c r="M222" i="12"/>
  <c r="K222" i="12"/>
  <c r="L222" i="12"/>
  <c r="M210" i="12"/>
  <c r="K210" i="12"/>
  <c r="L210" i="12"/>
  <c r="M198" i="12"/>
  <c r="L198" i="12"/>
  <c r="K198" i="12"/>
  <c r="M186" i="12"/>
  <c r="L186" i="12"/>
  <c r="K186" i="12"/>
  <c r="M174" i="12"/>
  <c r="K174" i="12"/>
  <c r="L174" i="12"/>
  <c r="M162" i="12"/>
  <c r="L162" i="12"/>
  <c r="K162" i="12"/>
  <c r="M150" i="12"/>
  <c r="L150" i="12"/>
  <c r="K150" i="12"/>
  <c r="M138" i="12"/>
  <c r="L138" i="12"/>
  <c r="K138" i="12"/>
  <c r="M126" i="12"/>
  <c r="K126" i="12"/>
  <c r="L126" i="12"/>
  <c r="M114" i="12"/>
  <c r="L114" i="12"/>
  <c r="K114" i="12"/>
  <c r="M102" i="12"/>
  <c r="L102" i="12"/>
  <c r="K102" i="12"/>
  <c r="L90" i="12"/>
  <c r="M90" i="12"/>
  <c r="K90" i="12"/>
  <c r="L78" i="12"/>
  <c r="M78" i="12"/>
  <c r="K78" i="12"/>
  <c r="L66" i="12"/>
  <c r="M66" i="12"/>
  <c r="K66" i="12"/>
  <c r="L54" i="12"/>
  <c r="M54" i="12"/>
  <c r="K54" i="12"/>
  <c r="L42" i="12"/>
  <c r="M42" i="12"/>
  <c r="K42" i="12"/>
  <c r="L30" i="12"/>
  <c r="M30" i="12"/>
  <c r="K30" i="12"/>
  <c r="L18" i="12"/>
  <c r="M18" i="12"/>
  <c r="K18" i="12"/>
  <c r="L6" i="12"/>
  <c r="M6" i="12"/>
  <c r="K6" i="12"/>
  <c r="N41" i="12"/>
  <c r="O41" i="12"/>
  <c r="P41" i="12"/>
  <c r="N28" i="12"/>
  <c r="O28" i="12"/>
  <c r="P28" i="12"/>
  <c r="P392" i="12"/>
  <c r="O392" i="12"/>
  <c r="N392" i="12"/>
  <c r="P380" i="12"/>
  <c r="O380" i="12"/>
  <c r="N380" i="12"/>
  <c r="P368" i="12"/>
  <c r="O368" i="12"/>
  <c r="N368" i="12"/>
  <c r="P356" i="12"/>
  <c r="N356" i="12"/>
  <c r="O356" i="12"/>
  <c r="P344" i="12"/>
  <c r="O344" i="12"/>
  <c r="N344" i="12"/>
  <c r="P332" i="12"/>
  <c r="O332" i="12"/>
  <c r="N332" i="12"/>
  <c r="P320" i="12"/>
  <c r="O320" i="12"/>
  <c r="N320" i="12"/>
  <c r="P308" i="12"/>
  <c r="N308" i="12"/>
  <c r="O308" i="12"/>
  <c r="P296" i="12"/>
  <c r="O296" i="12"/>
  <c r="N296" i="12"/>
  <c r="P284" i="12"/>
  <c r="O284" i="12"/>
  <c r="N284" i="12"/>
  <c r="P272" i="12"/>
  <c r="O272" i="12"/>
  <c r="N272" i="12"/>
  <c r="P260" i="12"/>
  <c r="N260" i="12"/>
  <c r="O260" i="12"/>
  <c r="P248" i="12"/>
  <c r="N248" i="12"/>
  <c r="O248" i="12"/>
  <c r="P236" i="12"/>
  <c r="O236" i="12"/>
  <c r="N236" i="12"/>
  <c r="P224" i="12"/>
  <c r="O224" i="12"/>
  <c r="N224" i="12"/>
  <c r="P212" i="12"/>
  <c r="N212" i="12"/>
  <c r="O212" i="12"/>
  <c r="P200" i="12"/>
  <c r="N200" i="12"/>
  <c r="O200" i="12"/>
  <c r="P188" i="12"/>
  <c r="N188" i="12"/>
  <c r="O188" i="12"/>
  <c r="P176" i="12"/>
  <c r="N176" i="12"/>
  <c r="O176" i="12"/>
  <c r="P164" i="12"/>
  <c r="N164" i="12"/>
  <c r="O164" i="12"/>
  <c r="P152" i="12"/>
  <c r="N152" i="12"/>
  <c r="O152" i="12"/>
  <c r="P140" i="12"/>
  <c r="N140" i="12"/>
  <c r="O140" i="12"/>
  <c r="P128" i="12"/>
  <c r="N128" i="12"/>
  <c r="O128" i="12"/>
  <c r="P116" i="12"/>
  <c r="N116" i="12"/>
  <c r="O116" i="12"/>
  <c r="P104" i="12"/>
  <c r="N104" i="12"/>
  <c r="O104" i="12"/>
  <c r="P92" i="12"/>
  <c r="N92" i="12"/>
  <c r="O92" i="12"/>
  <c r="P80" i="12"/>
  <c r="N80" i="12"/>
  <c r="O80" i="12"/>
  <c r="P68" i="12"/>
  <c r="N68" i="12"/>
  <c r="O68" i="12"/>
  <c r="P56" i="12"/>
  <c r="N56" i="12"/>
  <c r="O56" i="12"/>
  <c r="P44" i="12"/>
  <c r="N44" i="12"/>
  <c r="O44" i="12"/>
  <c r="P32" i="12"/>
  <c r="N32" i="12"/>
  <c r="O32" i="12"/>
  <c r="P20" i="12"/>
  <c r="N20" i="12"/>
  <c r="O20" i="12"/>
  <c r="P8" i="12"/>
  <c r="N8" i="12"/>
  <c r="O8" i="12"/>
  <c r="M389" i="12"/>
  <c r="L389" i="12"/>
  <c r="K389" i="12"/>
  <c r="M377" i="12"/>
  <c r="L377" i="12"/>
  <c r="K377" i="12"/>
  <c r="M365" i="12"/>
  <c r="L365" i="12"/>
  <c r="K365" i="12"/>
  <c r="M353" i="12"/>
  <c r="L353" i="12"/>
  <c r="K353" i="12"/>
  <c r="M341" i="12"/>
  <c r="L341" i="12"/>
  <c r="K341" i="12"/>
  <c r="M329" i="12"/>
  <c r="L329" i="12"/>
  <c r="K329" i="12"/>
  <c r="M317" i="12"/>
  <c r="L317" i="12"/>
  <c r="K317" i="12"/>
  <c r="M305" i="12"/>
  <c r="L305" i="12"/>
  <c r="K305" i="12"/>
  <c r="M293" i="12"/>
  <c r="L293" i="12"/>
  <c r="K293" i="12"/>
  <c r="M281" i="12"/>
  <c r="L281" i="12"/>
  <c r="K281" i="12"/>
  <c r="M269" i="12"/>
  <c r="L269" i="12"/>
  <c r="K269" i="12"/>
  <c r="M257" i="12"/>
  <c r="L257" i="12"/>
  <c r="K257" i="12"/>
  <c r="M245" i="12"/>
  <c r="L245" i="12"/>
  <c r="K245" i="12"/>
  <c r="M233" i="12"/>
  <c r="L233" i="12"/>
  <c r="K233" i="12"/>
  <c r="M221" i="12"/>
  <c r="L221" i="12"/>
  <c r="K221" i="12"/>
  <c r="M209" i="12"/>
  <c r="L209" i="12"/>
  <c r="K209" i="12"/>
  <c r="M197" i="12"/>
  <c r="L197" i="12"/>
  <c r="K197" i="12"/>
  <c r="M185" i="12"/>
  <c r="L185" i="12"/>
  <c r="K185" i="12"/>
  <c r="M173" i="12"/>
  <c r="L173" i="12"/>
  <c r="K173" i="12"/>
  <c r="M161" i="12"/>
  <c r="L161" i="12"/>
  <c r="K161" i="12"/>
  <c r="M149" i="12"/>
  <c r="L149" i="12"/>
  <c r="K149" i="12"/>
  <c r="M137" i="12"/>
  <c r="L137" i="12"/>
  <c r="K137" i="12"/>
  <c r="M125" i="12"/>
  <c r="L125" i="12"/>
  <c r="K125" i="12"/>
  <c r="M113" i="12"/>
  <c r="L113" i="12"/>
  <c r="K113" i="12"/>
  <c r="M101" i="12"/>
  <c r="L101" i="12"/>
  <c r="K101" i="12"/>
  <c r="L89" i="12"/>
  <c r="M89" i="12"/>
  <c r="K89" i="12"/>
  <c r="L77" i="12"/>
  <c r="M77" i="12"/>
  <c r="K77" i="12"/>
  <c r="L65" i="12"/>
  <c r="M65" i="12"/>
  <c r="K65" i="12"/>
  <c r="L53" i="12"/>
  <c r="M53" i="12"/>
  <c r="K53" i="12"/>
  <c r="L41" i="12"/>
  <c r="M41" i="12"/>
  <c r="K41" i="12"/>
  <c r="L29" i="12"/>
  <c r="M29" i="12"/>
  <c r="K29" i="12"/>
  <c r="L17" i="12"/>
  <c r="M17" i="12"/>
  <c r="K17" i="12"/>
  <c r="L5" i="12"/>
  <c r="M5" i="12"/>
  <c r="K5" i="12"/>
  <c r="P3" i="12"/>
  <c r="O3" i="12"/>
  <c r="N3" i="12"/>
  <c r="L292" i="11"/>
  <c r="K292" i="11"/>
  <c r="J292" i="11"/>
  <c r="L160" i="11"/>
  <c r="K160" i="11"/>
  <c r="J160" i="11"/>
  <c r="J16" i="11"/>
  <c r="K16" i="11"/>
  <c r="L16" i="11"/>
  <c r="L1006" i="11"/>
  <c r="K1006" i="11"/>
  <c r="J1006" i="11"/>
  <c r="L898" i="11"/>
  <c r="K898" i="11"/>
  <c r="J898" i="11"/>
  <c r="L790" i="11"/>
  <c r="K790" i="11"/>
  <c r="J790" i="11"/>
  <c r="L658" i="11"/>
  <c r="K658" i="11"/>
  <c r="J658" i="11"/>
  <c r="L537" i="11"/>
  <c r="K537" i="11"/>
  <c r="J537" i="11"/>
  <c r="L427" i="11"/>
  <c r="K427" i="11"/>
  <c r="J427" i="11"/>
  <c r="N312" i="11"/>
  <c r="O312" i="11"/>
  <c r="M312" i="11"/>
  <c r="K351" i="11"/>
  <c r="L351" i="11"/>
  <c r="J351" i="11"/>
  <c r="L231" i="11"/>
  <c r="K231" i="11"/>
  <c r="J231" i="11"/>
  <c r="L75" i="11"/>
  <c r="K75" i="11"/>
  <c r="J75" i="11"/>
  <c r="L1053" i="11"/>
  <c r="J1053" i="11"/>
  <c r="K1053" i="11"/>
  <c r="L921" i="11"/>
  <c r="J921" i="11"/>
  <c r="K921" i="11"/>
  <c r="L801" i="11"/>
  <c r="K801" i="11"/>
  <c r="J801" i="11"/>
  <c r="L705" i="11"/>
  <c r="K705" i="11"/>
  <c r="J705" i="11"/>
  <c r="L609" i="11"/>
  <c r="K609" i="11"/>
  <c r="J609" i="11"/>
  <c r="L512" i="11"/>
  <c r="J512" i="11"/>
  <c r="K512" i="11"/>
  <c r="L402" i="11"/>
  <c r="K402" i="11"/>
  <c r="J402" i="11"/>
  <c r="M1091" i="11"/>
  <c r="O1091" i="11"/>
  <c r="N1091" i="11"/>
  <c r="N1007" i="11"/>
  <c r="O1007" i="11"/>
  <c r="M1007" i="11"/>
  <c r="O899" i="11"/>
  <c r="M899" i="11"/>
  <c r="N899" i="11"/>
  <c r="M791" i="11"/>
  <c r="O791" i="11"/>
  <c r="N791" i="11"/>
  <c r="O659" i="11"/>
  <c r="M659" i="11"/>
  <c r="N659" i="11"/>
  <c r="M539" i="11"/>
  <c r="N539" i="11"/>
  <c r="O539" i="11"/>
  <c r="M407" i="11"/>
  <c r="N407" i="11"/>
  <c r="O407" i="11"/>
  <c r="M263" i="11"/>
  <c r="N263" i="11"/>
  <c r="O263" i="11"/>
  <c r="M119" i="11"/>
  <c r="N119" i="11"/>
  <c r="O119" i="11"/>
  <c r="L362" i="11"/>
  <c r="J362" i="11"/>
  <c r="K362" i="11"/>
  <c r="L350" i="11"/>
  <c r="J350" i="11"/>
  <c r="K350" i="11"/>
  <c r="L338" i="11"/>
  <c r="J338" i="11"/>
  <c r="K338" i="11"/>
  <c r="L326" i="11"/>
  <c r="J326" i="11"/>
  <c r="K326" i="11"/>
  <c r="L314" i="11"/>
  <c r="J314" i="11"/>
  <c r="K314" i="11"/>
  <c r="L302" i="11"/>
  <c r="J302" i="11"/>
  <c r="K302" i="11"/>
  <c r="L290" i="11"/>
  <c r="J290" i="11"/>
  <c r="K290" i="11"/>
  <c r="L278" i="11"/>
  <c r="J278" i="11"/>
  <c r="K278" i="11"/>
  <c r="L266" i="11"/>
  <c r="J266" i="11"/>
  <c r="K266" i="11"/>
  <c r="L254" i="11"/>
  <c r="J254" i="11"/>
  <c r="K254" i="11"/>
  <c r="L242" i="11"/>
  <c r="J242" i="11"/>
  <c r="K242" i="11"/>
  <c r="L230" i="11"/>
  <c r="J230" i="11"/>
  <c r="K230" i="11"/>
  <c r="L218" i="11"/>
  <c r="J218" i="11"/>
  <c r="K218" i="11"/>
  <c r="L206" i="11"/>
  <c r="J206" i="11"/>
  <c r="K206" i="11"/>
  <c r="L194" i="11"/>
  <c r="J194" i="11"/>
  <c r="K194" i="11"/>
  <c r="L182" i="11"/>
  <c r="J182" i="11"/>
  <c r="K182" i="11"/>
  <c r="L170" i="11"/>
  <c r="J170" i="11"/>
  <c r="K170" i="11"/>
  <c r="L158" i="11"/>
  <c r="K158" i="11"/>
  <c r="J158" i="11"/>
  <c r="L146" i="11"/>
  <c r="J146" i="11"/>
  <c r="K146" i="11"/>
  <c r="L134" i="11"/>
  <c r="J134" i="11"/>
  <c r="K134" i="11"/>
  <c r="L122" i="11"/>
  <c r="K122" i="11"/>
  <c r="J122" i="11"/>
  <c r="L110" i="11"/>
  <c r="J110" i="11"/>
  <c r="K110" i="11"/>
  <c r="L98" i="11"/>
  <c r="K98" i="11"/>
  <c r="J98" i="11"/>
  <c r="L86" i="11"/>
  <c r="J86" i="11"/>
  <c r="K86" i="11"/>
  <c r="L74" i="11"/>
  <c r="K74" i="11"/>
  <c r="J74" i="11"/>
  <c r="L62" i="11"/>
  <c r="J62" i="11"/>
  <c r="K62" i="11"/>
  <c r="L50" i="11"/>
  <c r="J50" i="11"/>
  <c r="K50" i="11"/>
  <c r="L38" i="11"/>
  <c r="K38" i="11"/>
  <c r="J38" i="11"/>
  <c r="L26" i="11"/>
  <c r="J26" i="11"/>
  <c r="K26" i="11"/>
  <c r="L14" i="11"/>
  <c r="J14" i="11"/>
  <c r="K14" i="11"/>
  <c r="L1100" i="11"/>
  <c r="K1100" i="11"/>
  <c r="J1100" i="11"/>
  <c r="L1088" i="11"/>
  <c r="K1088" i="11"/>
  <c r="J1088" i="11"/>
  <c r="L1076" i="11"/>
  <c r="K1076" i="11"/>
  <c r="J1076" i="11"/>
  <c r="L1064" i="11"/>
  <c r="K1064" i="11"/>
  <c r="J1064" i="11"/>
  <c r="L1052" i="11"/>
  <c r="K1052" i="11"/>
  <c r="J1052" i="11"/>
  <c r="L1040" i="11"/>
  <c r="J1040" i="11"/>
  <c r="K1040" i="11"/>
  <c r="L1028" i="11"/>
  <c r="K1028" i="11"/>
  <c r="J1028" i="11"/>
  <c r="L1016" i="11"/>
  <c r="J1016" i="11"/>
  <c r="K1016" i="11"/>
  <c r="L1004" i="11"/>
  <c r="J1004" i="11"/>
  <c r="K1004" i="11"/>
  <c r="L992" i="11"/>
  <c r="K992" i="11"/>
  <c r="J992" i="11"/>
  <c r="L980" i="11"/>
  <c r="K980" i="11"/>
  <c r="J980" i="11"/>
  <c r="L968" i="11"/>
  <c r="K968" i="11"/>
  <c r="J968" i="11"/>
  <c r="L956" i="11"/>
  <c r="K956" i="11"/>
  <c r="J956" i="11"/>
  <c r="L944" i="11"/>
  <c r="K944" i="11"/>
  <c r="J944" i="11"/>
  <c r="L932" i="11"/>
  <c r="J932" i="11"/>
  <c r="K932" i="11"/>
  <c r="L920" i="11"/>
  <c r="K920" i="11"/>
  <c r="J920" i="11"/>
  <c r="L908" i="11"/>
  <c r="K908" i="11"/>
  <c r="J908" i="11"/>
  <c r="L896" i="11"/>
  <c r="J896" i="11"/>
  <c r="K896" i="11"/>
  <c r="L884" i="11"/>
  <c r="K884" i="11"/>
  <c r="J884" i="11"/>
  <c r="L872" i="11"/>
  <c r="J872" i="11"/>
  <c r="K872" i="11"/>
  <c r="L860" i="11"/>
  <c r="J860" i="11"/>
  <c r="K860" i="11"/>
  <c r="L848" i="11"/>
  <c r="K848" i="11"/>
  <c r="J848" i="11"/>
  <c r="L836" i="11"/>
  <c r="K836" i="11"/>
  <c r="J836" i="11"/>
  <c r="L824" i="11"/>
  <c r="K824" i="11"/>
  <c r="J824" i="11"/>
  <c r="L812" i="11"/>
  <c r="K812" i="11"/>
  <c r="J812" i="11"/>
  <c r="L800" i="11"/>
  <c r="K800" i="11"/>
  <c r="J800" i="11"/>
  <c r="L788" i="11"/>
  <c r="K788" i="11"/>
  <c r="J788" i="11"/>
  <c r="L776" i="11"/>
  <c r="K776" i="11"/>
  <c r="J776" i="11"/>
  <c r="L764" i="11"/>
  <c r="K764" i="11"/>
  <c r="J764" i="11"/>
  <c r="L752" i="11"/>
  <c r="K752" i="11"/>
  <c r="J752" i="11"/>
  <c r="L740" i="11"/>
  <c r="K740" i="11"/>
  <c r="J740" i="11"/>
  <c r="L728" i="11"/>
  <c r="J728" i="11"/>
  <c r="K728" i="11"/>
  <c r="L716" i="11"/>
  <c r="J716" i="11"/>
  <c r="K716" i="11"/>
  <c r="L704" i="11"/>
  <c r="K704" i="11"/>
  <c r="J704" i="11"/>
  <c r="L692" i="11"/>
  <c r="K692" i="11"/>
  <c r="J692" i="11"/>
  <c r="L680" i="11"/>
  <c r="J680" i="11"/>
  <c r="K680" i="11"/>
  <c r="L668" i="11"/>
  <c r="K668" i="11"/>
  <c r="J668" i="11"/>
  <c r="L656" i="11"/>
  <c r="J656" i="11"/>
  <c r="K656" i="11"/>
  <c r="L644" i="11"/>
  <c r="K644" i="11"/>
  <c r="J644" i="11"/>
  <c r="L632" i="11"/>
  <c r="K632" i="11"/>
  <c r="J632" i="11"/>
  <c r="L620" i="11"/>
  <c r="J620" i="11"/>
  <c r="K620" i="11"/>
  <c r="L608" i="11"/>
  <c r="K608" i="11"/>
  <c r="J608" i="11"/>
  <c r="L596" i="11"/>
  <c r="K596" i="11"/>
  <c r="J596" i="11"/>
  <c r="L584" i="11"/>
  <c r="J584" i="11"/>
  <c r="K584" i="11"/>
  <c r="L571" i="11"/>
  <c r="K571" i="11"/>
  <c r="J571" i="11"/>
  <c r="L559" i="11"/>
  <c r="J559" i="11"/>
  <c r="K559" i="11"/>
  <c r="L547" i="11"/>
  <c r="K547" i="11"/>
  <c r="J547" i="11"/>
  <c r="L535" i="11"/>
  <c r="K535" i="11"/>
  <c r="J535" i="11"/>
  <c r="L523" i="11"/>
  <c r="J523" i="11"/>
  <c r="K523" i="11"/>
  <c r="L511" i="11"/>
  <c r="K511" i="11"/>
  <c r="J511" i="11"/>
  <c r="L499" i="11"/>
  <c r="K499" i="11"/>
  <c r="J499" i="11"/>
  <c r="L485" i="11"/>
  <c r="J485" i="11"/>
  <c r="K485" i="11"/>
  <c r="L473" i="11"/>
  <c r="J473" i="11"/>
  <c r="K473" i="11"/>
  <c r="L461" i="11"/>
  <c r="K461" i="11"/>
  <c r="J461" i="11"/>
  <c r="L449" i="11"/>
  <c r="J449" i="11"/>
  <c r="K449" i="11"/>
  <c r="K437" i="11"/>
  <c r="L437" i="11"/>
  <c r="J437" i="11"/>
  <c r="L425" i="11"/>
  <c r="K425" i="11"/>
  <c r="J425" i="11"/>
  <c r="L413" i="11"/>
  <c r="J413" i="11"/>
  <c r="K413" i="11"/>
  <c r="L401" i="11"/>
  <c r="K401" i="11"/>
  <c r="J401" i="11"/>
  <c r="J389" i="11"/>
  <c r="K389" i="11"/>
  <c r="L389" i="11"/>
  <c r="L377" i="11"/>
  <c r="J377" i="11"/>
  <c r="K377" i="11"/>
  <c r="M1090" i="11"/>
  <c r="N1090" i="11"/>
  <c r="O1090" i="11"/>
  <c r="M1078" i="11"/>
  <c r="N1078" i="11"/>
  <c r="O1078" i="11"/>
  <c r="M1066" i="11"/>
  <c r="N1066" i="11"/>
  <c r="O1066" i="11"/>
  <c r="M1054" i="11"/>
  <c r="N1054" i="11"/>
  <c r="O1054" i="11"/>
  <c r="M1042" i="11"/>
  <c r="N1042" i="11"/>
  <c r="O1042" i="11"/>
  <c r="M1030" i="11"/>
  <c r="N1030" i="11"/>
  <c r="O1030" i="11"/>
  <c r="M1018" i="11"/>
  <c r="N1018" i="11"/>
  <c r="O1018" i="11"/>
  <c r="M1006" i="11"/>
  <c r="N1006" i="11"/>
  <c r="O1006" i="11"/>
  <c r="M994" i="11"/>
  <c r="N994" i="11"/>
  <c r="O994" i="11"/>
  <c r="M982" i="11"/>
  <c r="N982" i="11"/>
  <c r="O982" i="11"/>
  <c r="M970" i="11"/>
  <c r="N970" i="11"/>
  <c r="O970" i="11"/>
  <c r="M958" i="11"/>
  <c r="N958" i="11"/>
  <c r="O958" i="11"/>
  <c r="M946" i="11"/>
  <c r="N946" i="11"/>
  <c r="O946" i="11"/>
  <c r="M934" i="11"/>
  <c r="N934" i="11"/>
  <c r="O934" i="11"/>
  <c r="M922" i="11"/>
  <c r="N922" i="11"/>
  <c r="O922" i="11"/>
  <c r="M910" i="11"/>
  <c r="N910" i="11"/>
  <c r="O910" i="11"/>
  <c r="M898" i="11"/>
  <c r="N898" i="11"/>
  <c r="O898" i="11"/>
  <c r="M886" i="11"/>
  <c r="N886" i="11"/>
  <c r="O886" i="11"/>
  <c r="M874" i="11"/>
  <c r="N874" i="11"/>
  <c r="O874" i="11"/>
  <c r="M862" i="11"/>
  <c r="N862" i="11"/>
  <c r="O862" i="11"/>
  <c r="M850" i="11"/>
  <c r="N850" i="11"/>
  <c r="O850" i="11"/>
  <c r="M838" i="11"/>
  <c r="N838" i="11"/>
  <c r="O838" i="11"/>
  <c r="M826" i="11"/>
  <c r="N826" i="11"/>
  <c r="O826" i="11"/>
  <c r="M814" i="11"/>
  <c r="N814" i="11"/>
  <c r="O814" i="11"/>
  <c r="M802" i="11"/>
  <c r="N802" i="11"/>
  <c r="O802" i="11"/>
  <c r="M790" i="11"/>
  <c r="O790" i="11"/>
  <c r="N790" i="11"/>
  <c r="M778" i="11"/>
  <c r="N778" i="11"/>
  <c r="O778" i="11"/>
  <c r="M766" i="11"/>
  <c r="O766" i="11"/>
  <c r="N766" i="11"/>
  <c r="M754" i="11"/>
  <c r="N754" i="11"/>
  <c r="O754" i="11"/>
  <c r="M742" i="11"/>
  <c r="N742" i="11"/>
  <c r="O742" i="11"/>
  <c r="M730" i="11"/>
  <c r="N730" i="11"/>
  <c r="O730" i="11"/>
  <c r="M718" i="11"/>
  <c r="N718" i="11"/>
  <c r="O718" i="11"/>
  <c r="M706" i="11"/>
  <c r="N706" i="11"/>
  <c r="O706" i="11"/>
  <c r="M694" i="11"/>
  <c r="N694" i="11"/>
  <c r="O694" i="11"/>
  <c r="M682" i="11"/>
  <c r="N682" i="11"/>
  <c r="O682" i="11"/>
  <c r="M670" i="11"/>
  <c r="N670" i="11"/>
  <c r="O670" i="11"/>
  <c r="M658" i="11"/>
  <c r="O658" i="11"/>
  <c r="N658" i="11"/>
  <c r="M646" i="11"/>
  <c r="N646" i="11"/>
  <c r="O646" i="11"/>
  <c r="M634" i="11"/>
  <c r="N634" i="11"/>
  <c r="O634" i="11"/>
  <c r="M622" i="11"/>
  <c r="N622" i="11"/>
  <c r="O622" i="11"/>
  <c r="M610" i="11"/>
  <c r="N610" i="11"/>
  <c r="O610" i="11"/>
  <c r="M598" i="11"/>
  <c r="N598" i="11"/>
  <c r="O598" i="11"/>
  <c r="M586" i="11"/>
  <c r="N586" i="11"/>
  <c r="O586" i="11"/>
  <c r="M574" i="11"/>
  <c r="N574" i="11"/>
  <c r="O574" i="11"/>
  <c r="M562" i="11"/>
  <c r="N562" i="11"/>
  <c r="O562" i="11"/>
  <c r="M550" i="11"/>
  <c r="N550" i="11"/>
  <c r="O550" i="11"/>
  <c r="M538" i="11"/>
  <c r="N538" i="11"/>
  <c r="O538" i="11"/>
  <c r="O526" i="11"/>
  <c r="M526" i="11"/>
  <c r="N526" i="11"/>
  <c r="M514" i="11"/>
  <c r="N514" i="11"/>
  <c r="O514" i="11"/>
  <c r="N502" i="11"/>
  <c r="O502" i="11"/>
  <c r="M502" i="11"/>
  <c r="M490" i="11"/>
  <c r="N490" i="11"/>
  <c r="O490" i="11"/>
  <c r="O478" i="11"/>
  <c r="M478" i="11"/>
  <c r="N478" i="11"/>
  <c r="M466" i="11"/>
  <c r="N466" i="11"/>
  <c r="O466" i="11"/>
  <c r="O454" i="11"/>
  <c r="N454" i="11"/>
  <c r="M454" i="11"/>
  <c r="M442" i="11"/>
  <c r="N442" i="11"/>
  <c r="O442" i="11"/>
  <c r="O430" i="11"/>
  <c r="M430" i="11"/>
  <c r="N430" i="11"/>
  <c r="M418" i="11"/>
  <c r="N418" i="11"/>
  <c r="O418" i="11"/>
  <c r="M406" i="11"/>
  <c r="O406" i="11"/>
  <c r="N406" i="11"/>
  <c r="O394" i="11"/>
  <c r="N394" i="11"/>
  <c r="M394" i="11"/>
  <c r="M382" i="11"/>
  <c r="N382" i="11"/>
  <c r="O382" i="11"/>
  <c r="O370" i="11"/>
  <c r="M370" i="11"/>
  <c r="N370" i="11"/>
  <c r="M358" i="11"/>
  <c r="N358" i="11"/>
  <c r="O358" i="11"/>
  <c r="O346" i="11"/>
  <c r="M346" i="11"/>
  <c r="N346" i="11"/>
  <c r="M334" i="11"/>
  <c r="N334" i="11"/>
  <c r="O334" i="11"/>
  <c r="M322" i="11"/>
  <c r="N322" i="11"/>
  <c r="O322" i="11"/>
  <c r="M310" i="11"/>
  <c r="N310" i="11"/>
  <c r="O310" i="11"/>
  <c r="M298" i="11"/>
  <c r="N298" i="11"/>
  <c r="O298" i="11"/>
  <c r="M286" i="11"/>
  <c r="N286" i="11"/>
  <c r="O286" i="11"/>
  <c r="M274" i="11"/>
  <c r="N274" i="11"/>
  <c r="O274" i="11"/>
  <c r="M262" i="11"/>
  <c r="N262" i="11"/>
  <c r="O262" i="11"/>
  <c r="M250" i="11"/>
  <c r="N250" i="11"/>
  <c r="O250" i="11"/>
  <c r="M238" i="11"/>
  <c r="N238" i="11"/>
  <c r="O238" i="11"/>
  <c r="M226" i="11"/>
  <c r="N226" i="11"/>
  <c r="O226" i="11"/>
  <c r="M214" i="11"/>
  <c r="N214" i="11"/>
  <c r="O214" i="11"/>
  <c r="M202" i="11"/>
  <c r="N202" i="11"/>
  <c r="O202" i="11"/>
  <c r="M190" i="11"/>
  <c r="N190" i="11"/>
  <c r="O190" i="11"/>
  <c r="M178" i="11"/>
  <c r="N178" i="11"/>
  <c r="O178" i="11"/>
  <c r="M166" i="11"/>
  <c r="N166" i="11"/>
  <c r="O166" i="11"/>
  <c r="M154" i="11"/>
  <c r="N154" i="11"/>
  <c r="O154" i="11"/>
  <c r="M142" i="11"/>
  <c r="N142" i="11"/>
  <c r="O142" i="11"/>
  <c r="M130" i="11"/>
  <c r="N130" i="11"/>
  <c r="O130" i="11"/>
  <c r="M118" i="11"/>
  <c r="N118" i="11"/>
  <c r="O118" i="11"/>
  <c r="M106" i="11"/>
  <c r="N106" i="11"/>
  <c r="O106" i="11"/>
  <c r="M94" i="11"/>
  <c r="N94" i="11"/>
  <c r="O94" i="11"/>
  <c r="M82" i="11"/>
  <c r="N82" i="11"/>
  <c r="O82" i="11"/>
  <c r="M70" i="11"/>
  <c r="N70" i="11"/>
  <c r="O70" i="11"/>
  <c r="M58" i="11"/>
  <c r="N58" i="11"/>
  <c r="O58" i="11"/>
  <c r="M46" i="11"/>
  <c r="N46" i="11"/>
  <c r="O46" i="11"/>
  <c r="M34" i="11"/>
  <c r="N34" i="11"/>
  <c r="O34" i="11"/>
  <c r="M22" i="11"/>
  <c r="N22" i="11"/>
  <c r="O22" i="11"/>
  <c r="M10" i="11"/>
  <c r="N10" i="11"/>
  <c r="O10" i="11"/>
  <c r="L256" i="11"/>
  <c r="K256" i="11"/>
  <c r="J256" i="11"/>
  <c r="L136" i="11"/>
  <c r="K136" i="11"/>
  <c r="J136" i="11"/>
  <c r="L64" i="11"/>
  <c r="K64" i="11"/>
  <c r="J64" i="11"/>
  <c r="L1078" i="11"/>
  <c r="K1078" i="11"/>
  <c r="J1078" i="11"/>
  <c r="L958" i="11"/>
  <c r="K958" i="11"/>
  <c r="J958" i="11"/>
  <c r="L862" i="11"/>
  <c r="K862" i="11"/>
  <c r="J862" i="11"/>
  <c r="L766" i="11"/>
  <c r="K766" i="11"/>
  <c r="J766" i="11"/>
  <c r="L694" i="11"/>
  <c r="K694" i="11"/>
  <c r="J694" i="11"/>
  <c r="L610" i="11"/>
  <c r="K610" i="11"/>
  <c r="J610" i="11"/>
  <c r="K501" i="11"/>
  <c r="L501" i="11"/>
  <c r="J501" i="11"/>
  <c r="L415" i="11"/>
  <c r="J415" i="11"/>
  <c r="K415" i="11"/>
  <c r="M1080" i="11"/>
  <c r="N1080" i="11"/>
  <c r="O1080" i="11"/>
  <c r="M1032" i="11"/>
  <c r="N1032" i="11"/>
  <c r="O1032" i="11"/>
  <c r="M984" i="11"/>
  <c r="N984" i="11"/>
  <c r="O984" i="11"/>
  <c r="M948" i="11"/>
  <c r="N948" i="11"/>
  <c r="O948" i="11"/>
  <c r="M912" i="11"/>
  <c r="N912" i="11"/>
  <c r="O912" i="11"/>
  <c r="M888" i="11"/>
  <c r="N888" i="11"/>
  <c r="O888" i="11"/>
  <c r="M852" i="11"/>
  <c r="N852" i="11"/>
  <c r="O852" i="11"/>
  <c r="M816" i="11"/>
  <c r="N816" i="11"/>
  <c r="O816" i="11"/>
  <c r="O780" i="11"/>
  <c r="M780" i="11"/>
  <c r="N780" i="11"/>
  <c r="N744" i="11"/>
  <c r="O744" i="11"/>
  <c r="M744" i="11"/>
  <c r="N720" i="11"/>
  <c r="O720" i="11"/>
  <c r="M720" i="11"/>
  <c r="N684" i="11"/>
  <c r="O684" i="11"/>
  <c r="M684" i="11"/>
  <c r="M636" i="11"/>
  <c r="N636" i="11"/>
  <c r="O636" i="11"/>
  <c r="M600" i="11"/>
  <c r="O600" i="11"/>
  <c r="N600" i="11"/>
  <c r="M576" i="11"/>
  <c r="N576" i="11"/>
  <c r="O576" i="11"/>
  <c r="N540" i="11"/>
  <c r="O540" i="11"/>
  <c r="M540" i="11"/>
  <c r="M504" i="11"/>
  <c r="N504" i="11"/>
  <c r="O504" i="11"/>
  <c r="M480" i="11"/>
  <c r="N480" i="11"/>
  <c r="O480" i="11"/>
  <c r="N444" i="11"/>
  <c r="O444" i="11"/>
  <c r="M444" i="11"/>
  <c r="M408" i="11"/>
  <c r="N408" i="11"/>
  <c r="O408" i="11"/>
  <c r="N336" i="11"/>
  <c r="O336" i="11"/>
  <c r="M336" i="11"/>
  <c r="N264" i="11"/>
  <c r="O264" i="11"/>
  <c r="M264" i="11"/>
  <c r="N252" i="11"/>
  <c r="O252" i="11"/>
  <c r="M252" i="11"/>
  <c r="N228" i="11"/>
  <c r="O228" i="11"/>
  <c r="M228" i="11"/>
  <c r="N192" i="11"/>
  <c r="O192" i="11"/>
  <c r="M192" i="11"/>
  <c r="N156" i="11"/>
  <c r="O156" i="11"/>
  <c r="M156" i="11"/>
  <c r="N132" i="11"/>
  <c r="O132" i="11"/>
  <c r="M132" i="11"/>
  <c r="N96" i="11"/>
  <c r="O96" i="11"/>
  <c r="M96" i="11"/>
  <c r="N72" i="11"/>
  <c r="O72" i="11"/>
  <c r="M72" i="11"/>
  <c r="N36" i="11"/>
  <c r="O36" i="11"/>
  <c r="M36" i="11"/>
  <c r="N12" i="11"/>
  <c r="O12" i="11"/>
  <c r="M12" i="11"/>
  <c r="K303" i="11"/>
  <c r="L303" i="11"/>
  <c r="J303" i="11"/>
  <c r="L183" i="11"/>
  <c r="K183" i="11"/>
  <c r="J183" i="11"/>
  <c r="L63" i="11"/>
  <c r="K63" i="11"/>
  <c r="J63" i="11"/>
  <c r="L1029" i="11"/>
  <c r="K1029" i="11"/>
  <c r="J1029" i="11"/>
  <c r="L909" i="11"/>
  <c r="J909" i="11"/>
  <c r="K909" i="11"/>
  <c r="L777" i="11"/>
  <c r="K777" i="11"/>
  <c r="J777" i="11"/>
  <c r="L645" i="11"/>
  <c r="K645" i="11"/>
  <c r="J645" i="11"/>
  <c r="L474" i="11"/>
  <c r="K474" i="11"/>
  <c r="J474" i="11"/>
  <c r="N971" i="11"/>
  <c r="O971" i="11"/>
  <c r="M971" i="11"/>
  <c r="N863" i="11"/>
  <c r="O863" i="11"/>
  <c r="M863" i="11"/>
  <c r="O719" i="11"/>
  <c r="M719" i="11"/>
  <c r="N719" i="11"/>
  <c r="O635" i="11"/>
  <c r="M635" i="11"/>
  <c r="N635" i="11"/>
  <c r="M527" i="11"/>
  <c r="N527" i="11"/>
  <c r="O527" i="11"/>
  <c r="M443" i="11"/>
  <c r="N443" i="11"/>
  <c r="O443" i="11"/>
  <c r="M335" i="11"/>
  <c r="N335" i="11"/>
  <c r="O335" i="11"/>
  <c r="M251" i="11"/>
  <c r="N251" i="11"/>
  <c r="O251" i="11"/>
  <c r="M131" i="11"/>
  <c r="N131" i="11"/>
  <c r="O131" i="11"/>
  <c r="M95" i="11"/>
  <c r="N95" i="11"/>
  <c r="O95" i="11"/>
  <c r="L361" i="11"/>
  <c r="K361" i="11"/>
  <c r="J361" i="11"/>
  <c r="L349" i="11"/>
  <c r="J349" i="11"/>
  <c r="K349" i="11"/>
  <c r="L337" i="11"/>
  <c r="K337" i="11"/>
  <c r="J337" i="11"/>
  <c r="L325" i="11"/>
  <c r="K325" i="11"/>
  <c r="J325" i="11"/>
  <c r="L313" i="11"/>
  <c r="K313" i="11"/>
  <c r="J313" i="11"/>
  <c r="L301" i="11"/>
  <c r="K301" i="11"/>
  <c r="J301" i="11"/>
  <c r="L289" i="11"/>
  <c r="K289" i="11"/>
  <c r="J289" i="11"/>
  <c r="L277" i="11"/>
  <c r="K277" i="11"/>
  <c r="J277" i="11"/>
  <c r="L265" i="11"/>
  <c r="K265" i="11"/>
  <c r="J265" i="11"/>
  <c r="L253" i="11"/>
  <c r="J253" i="11"/>
  <c r="K253" i="11"/>
  <c r="L241" i="11"/>
  <c r="K241" i="11"/>
  <c r="J241" i="11"/>
  <c r="L229" i="11"/>
  <c r="K229" i="11"/>
  <c r="J229" i="11"/>
  <c r="L217" i="11"/>
  <c r="K217" i="11"/>
  <c r="J217" i="11"/>
  <c r="L205" i="11"/>
  <c r="J205" i="11"/>
  <c r="K205" i="11"/>
  <c r="L193" i="11"/>
  <c r="J193" i="11"/>
  <c r="K193" i="11"/>
  <c r="L181" i="11"/>
  <c r="K181" i="11"/>
  <c r="J181" i="11"/>
  <c r="L169" i="11"/>
  <c r="K169" i="11"/>
  <c r="J169" i="11"/>
  <c r="L157" i="11"/>
  <c r="K157" i="11"/>
  <c r="J157" i="11"/>
  <c r="L145" i="11"/>
  <c r="K145" i="11"/>
  <c r="J145" i="11"/>
  <c r="L133" i="11"/>
  <c r="K133" i="11"/>
  <c r="J133" i="11"/>
  <c r="L121" i="11"/>
  <c r="K121" i="11"/>
  <c r="J121" i="11"/>
  <c r="L109" i="11"/>
  <c r="K109" i="11"/>
  <c r="J109" i="11"/>
  <c r="L97" i="11"/>
  <c r="K97" i="11"/>
  <c r="J97" i="11"/>
  <c r="L85" i="11"/>
  <c r="K85" i="11"/>
  <c r="J85" i="11"/>
  <c r="L73" i="11"/>
  <c r="K73" i="11"/>
  <c r="J73" i="11"/>
  <c r="L61" i="11"/>
  <c r="K61" i="11"/>
  <c r="J61" i="11"/>
  <c r="L49" i="11"/>
  <c r="K49" i="11"/>
  <c r="J49" i="11"/>
  <c r="L37" i="11"/>
  <c r="K37" i="11"/>
  <c r="J37" i="11"/>
  <c r="L25" i="11"/>
  <c r="K25" i="11"/>
  <c r="J25" i="11"/>
  <c r="L13" i="11"/>
  <c r="K13" i="11"/>
  <c r="J13" i="11"/>
  <c r="L1099" i="11"/>
  <c r="K1099" i="11"/>
  <c r="J1099" i="11"/>
  <c r="L1087" i="11"/>
  <c r="K1087" i="11"/>
  <c r="J1087" i="11"/>
  <c r="L1075" i="11"/>
  <c r="K1075" i="11"/>
  <c r="J1075" i="11"/>
  <c r="L1063" i="11"/>
  <c r="K1063" i="11"/>
  <c r="J1063" i="11"/>
  <c r="L1051" i="11"/>
  <c r="K1051" i="11"/>
  <c r="J1051" i="11"/>
  <c r="L1039" i="11"/>
  <c r="J1039" i="11"/>
  <c r="K1039" i="11"/>
  <c r="L1027" i="11"/>
  <c r="J1027" i="11"/>
  <c r="K1027" i="11"/>
  <c r="L1015" i="11"/>
  <c r="K1015" i="11"/>
  <c r="J1015" i="11"/>
  <c r="L1003" i="11"/>
  <c r="J1003" i="11"/>
  <c r="K1003" i="11"/>
  <c r="L991" i="11"/>
  <c r="J991" i="11"/>
  <c r="K991" i="11"/>
  <c r="L979" i="11"/>
  <c r="K979" i="11"/>
  <c r="J979" i="11"/>
  <c r="L967" i="11"/>
  <c r="K967" i="11"/>
  <c r="J967" i="11"/>
  <c r="L955" i="11"/>
  <c r="J955" i="11"/>
  <c r="K955" i="11"/>
  <c r="L943" i="11"/>
  <c r="K943" i="11"/>
  <c r="J943" i="11"/>
  <c r="L931" i="11"/>
  <c r="J931" i="11"/>
  <c r="K931" i="11"/>
  <c r="L919" i="11"/>
  <c r="K919" i="11"/>
  <c r="J919" i="11"/>
  <c r="L907" i="11"/>
  <c r="K907" i="11"/>
  <c r="J907" i="11"/>
  <c r="L895" i="11"/>
  <c r="K895" i="11"/>
  <c r="J895" i="11"/>
  <c r="L883" i="11"/>
  <c r="K883" i="11"/>
  <c r="J883" i="11"/>
  <c r="L871" i="11"/>
  <c r="K871" i="11"/>
  <c r="J871" i="11"/>
  <c r="L859" i="11"/>
  <c r="J859" i="11"/>
  <c r="K859" i="11"/>
  <c r="L847" i="11"/>
  <c r="K847" i="11"/>
  <c r="J847" i="11"/>
  <c r="L835" i="11"/>
  <c r="K835" i="11"/>
  <c r="J835" i="11"/>
  <c r="L823" i="11"/>
  <c r="K823" i="11"/>
  <c r="J823" i="11"/>
  <c r="L811" i="11"/>
  <c r="J811" i="11"/>
  <c r="K811" i="11"/>
  <c r="L799" i="11"/>
  <c r="K799" i="11"/>
  <c r="J799" i="11"/>
  <c r="L787" i="11"/>
  <c r="K787" i="11"/>
  <c r="J787" i="11"/>
  <c r="L775" i="11"/>
  <c r="J775" i="11"/>
  <c r="K775" i="11"/>
  <c r="L763" i="11"/>
  <c r="K763" i="11"/>
  <c r="J763" i="11"/>
  <c r="L751" i="11"/>
  <c r="K751" i="11"/>
  <c r="J751" i="11"/>
  <c r="L739" i="11"/>
  <c r="J739" i="11"/>
  <c r="K739" i="11"/>
  <c r="L727" i="11"/>
  <c r="J727" i="11"/>
  <c r="K727" i="11"/>
  <c r="L715" i="11"/>
  <c r="K715" i="11"/>
  <c r="J715" i="11"/>
  <c r="L703" i="11"/>
  <c r="J703" i="11"/>
  <c r="K703" i="11"/>
  <c r="L691" i="11"/>
  <c r="K691" i="11"/>
  <c r="J691" i="11"/>
  <c r="L679" i="11"/>
  <c r="K679" i="11"/>
  <c r="J679" i="11"/>
  <c r="L667" i="11"/>
  <c r="J667" i="11"/>
  <c r="K667" i="11"/>
  <c r="L655" i="11"/>
  <c r="K655" i="11"/>
  <c r="J655" i="11"/>
  <c r="L643" i="11"/>
  <c r="K643" i="11"/>
  <c r="J643" i="11"/>
  <c r="L631" i="11"/>
  <c r="J631" i="11"/>
  <c r="K631" i="11"/>
  <c r="L619" i="11"/>
  <c r="K619" i="11"/>
  <c r="J619" i="11"/>
  <c r="L607" i="11"/>
  <c r="K607" i="11"/>
  <c r="J607" i="11"/>
  <c r="L595" i="11"/>
  <c r="K595" i="11"/>
  <c r="J595" i="11"/>
  <c r="L583" i="11"/>
  <c r="J583" i="11"/>
  <c r="K583" i="11"/>
  <c r="K570" i="11"/>
  <c r="J570" i="11"/>
  <c r="L570" i="11"/>
  <c r="J558" i="11"/>
  <c r="L558" i="11"/>
  <c r="K558" i="11"/>
  <c r="K546" i="11"/>
  <c r="J546" i="11"/>
  <c r="L546" i="11"/>
  <c r="K534" i="11"/>
  <c r="L534" i="11"/>
  <c r="J534" i="11"/>
  <c r="L522" i="11"/>
  <c r="J522" i="11"/>
  <c r="K522" i="11"/>
  <c r="L510" i="11"/>
  <c r="K510" i="11"/>
  <c r="J510" i="11"/>
  <c r="L498" i="11"/>
  <c r="K498" i="11"/>
  <c r="J498" i="11"/>
  <c r="L484" i="11"/>
  <c r="J484" i="11"/>
  <c r="K484" i="11"/>
  <c r="L472" i="11"/>
  <c r="K472" i="11"/>
  <c r="J472" i="11"/>
  <c r="J460" i="11"/>
  <c r="L460" i="11"/>
  <c r="K460" i="11"/>
  <c r="L448" i="11"/>
  <c r="J448" i="11"/>
  <c r="K448" i="11"/>
  <c r="K436" i="11"/>
  <c r="L436" i="11"/>
  <c r="J436" i="11"/>
  <c r="L424" i="11"/>
  <c r="K424" i="11"/>
  <c r="J424" i="11"/>
  <c r="L412" i="11"/>
  <c r="J412" i="11"/>
  <c r="K412" i="11"/>
  <c r="K400" i="11"/>
  <c r="J400" i="11"/>
  <c r="L400" i="11"/>
  <c r="L388" i="11"/>
  <c r="J388" i="11"/>
  <c r="K388" i="11"/>
  <c r="L374" i="11"/>
  <c r="L376" i="11"/>
  <c r="K375" i="11"/>
  <c r="K376" i="11"/>
  <c r="J374" i="11"/>
  <c r="J375" i="11"/>
  <c r="J376" i="11"/>
  <c r="K374" i="11"/>
  <c r="L375" i="11"/>
  <c r="M1089" i="11"/>
  <c r="N1089" i="11"/>
  <c r="O1089" i="11"/>
  <c r="M1077" i="11"/>
  <c r="N1077" i="11"/>
  <c r="O1077" i="11"/>
  <c r="M1065" i="11"/>
  <c r="O1065" i="11"/>
  <c r="N1065" i="11"/>
  <c r="M1053" i="11"/>
  <c r="N1053" i="11"/>
  <c r="O1053" i="11"/>
  <c r="M1041" i="11"/>
  <c r="N1041" i="11"/>
  <c r="O1041" i="11"/>
  <c r="M1029" i="11"/>
  <c r="O1029" i="11"/>
  <c r="N1029" i="11"/>
  <c r="M1017" i="11"/>
  <c r="N1017" i="11"/>
  <c r="O1017" i="11"/>
  <c r="O1005" i="11"/>
  <c r="N1005" i="11"/>
  <c r="M1005" i="11"/>
  <c r="O993" i="11"/>
  <c r="N993" i="11"/>
  <c r="M993" i="11"/>
  <c r="O981" i="11"/>
  <c r="M981" i="11"/>
  <c r="N981" i="11"/>
  <c r="O969" i="11"/>
  <c r="M969" i="11"/>
  <c r="N969" i="11"/>
  <c r="O957" i="11"/>
  <c r="N957" i="11"/>
  <c r="M957" i="11"/>
  <c r="O945" i="11"/>
  <c r="N945" i="11"/>
  <c r="M945" i="11"/>
  <c r="O933" i="11"/>
  <c r="N933" i="11"/>
  <c r="M933" i="11"/>
  <c r="O921" i="11"/>
  <c r="M921" i="11"/>
  <c r="N921" i="11"/>
  <c r="O909" i="11"/>
  <c r="N909" i="11"/>
  <c r="M909" i="11"/>
  <c r="O897" i="11"/>
  <c r="N897" i="11"/>
  <c r="M897" i="11"/>
  <c r="O885" i="11"/>
  <c r="M885" i="11"/>
  <c r="N885" i="11"/>
  <c r="O873" i="11"/>
  <c r="M873" i="11"/>
  <c r="N873" i="11"/>
  <c r="O861" i="11"/>
  <c r="N861" i="11"/>
  <c r="M861" i="11"/>
  <c r="O849" i="11"/>
  <c r="N849" i="11"/>
  <c r="M849" i="11"/>
  <c r="O837" i="11"/>
  <c r="M837" i="11"/>
  <c r="N837" i="11"/>
  <c r="O825" i="11"/>
  <c r="M825" i="11"/>
  <c r="N825" i="11"/>
  <c r="O813" i="11"/>
  <c r="N813" i="11"/>
  <c r="M813" i="11"/>
  <c r="N801" i="11"/>
  <c r="O801" i="11"/>
  <c r="M801" i="11"/>
  <c r="M789" i="11"/>
  <c r="N789" i="11"/>
  <c r="O789" i="11"/>
  <c r="N777" i="11"/>
  <c r="O777" i="11"/>
  <c r="M777" i="11"/>
  <c r="M765" i="11"/>
  <c r="N765" i="11"/>
  <c r="O765" i="11"/>
  <c r="M753" i="11"/>
  <c r="N753" i="11"/>
  <c r="O753" i="11"/>
  <c r="O741" i="11"/>
  <c r="N741" i="11"/>
  <c r="M741" i="11"/>
  <c r="O729" i="11"/>
  <c r="M729" i="11"/>
  <c r="N729" i="11"/>
  <c r="O717" i="11"/>
  <c r="M717" i="11"/>
  <c r="N717" i="11"/>
  <c r="O705" i="11"/>
  <c r="N705" i="11"/>
  <c r="M705" i="11"/>
  <c r="O693" i="11"/>
  <c r="M693" i="11"/>
  <c r="N693" i="11"/>
  <c r="O681" i="11"/>
  <c r="M681" i="11"/>
  <c r="N681" i="11"/>
  <c r="O669" i="11"/>
  <c r="N669" i="11"/>
  <c r="M669" i="11"/>
  <c r="M657" i="11"/>
  <c r="O657" i="11"/>
  <c r="N657" i="11"/>
  <c r="N645" i="11"/>
  <c r="O645" i="11"/>
  <c r="M645" i="11"/>
  <c r="M633" i="11"/>
  <c r="N633" i="11"/>
  <c r="O633" i="11"/>
  <c r="M621" i="11"/>
  <c r="N621" i="11"/>
  <c r="O621" i="11"/>
  <c r="M609" i="11"/>
  <c r="N609" i="11"/>
  <c r="O609" i="11"/>
  <c r="M597" i="11"/>
  <c r="N597" i="11"/>
  <c r="O597" i="11"/>
  <c r="M585" i="11"/>
  <c r="N585" i="11"/>
  <c r="O585" i="11"/>
  <c r="M573" i="11"/>
  <c r="N573" i="11"/>
  <c r="O573" i="11"/>
  <c r="M561" i="11"/>
  <c r="N561" i="11"/>
  <c r="O561" i="11"/>
  <c r="M549" i="11"/>
  <c r="N549" i="11"/>
  <c r="O549" i="11"/>
  <c r="M537" i="11"/>
  <c r="N537" i="11"/>
  <c r="O537" i="11"/>
  <c r="M525" i="11"/>
  <c r="N525" i="11"/>
  <c r="O525" i="11"/>
  <c r="M513" i="11"/>
  <c r="N513" i="11"/>
  <c r="O513" i="11"/>
  <c r="M501" i="11"/>
  <c r="N501" i="11"/>
  <c r="O501" i="11"/>
  <c r="M489" i="11"/>
  <c r="N489" i="11"/>
  <c r="O489" i="11"/>
  <c r="M477" i="11"/>
  <c r="N477" i="11"/>
  <c r="O477" i="11"/>
  <c r="M465" i="11"/>
  <c r="N465" i="11"/>
  <c r="O465" i="11"/>
  <c r="M453" i="11"/>
  <c r="N453" i="11"/>
  <c r="O453" i="11"/>
  <c r="M441" i="11"/>
  <c r="N441" i="11"/>
  <c r="O441" i="11"/>
  <c r="M429" i="11"/>
  <c r="N429" i="11"/>
  <c r="O429" i="11"/>
  <c r="M417" i="11"/>
  <c r="N417" i="11"/>
  <c r="O417" i="11"/>
  <c r="M405" i="11"/>
  <c r="N405" i="11"/>
  <c r="O405" i="11"/>
  <c r="M393" i="11"/>
  <c r="N393" i="11"/>
  <c r="O393" i="11"/>
  <c r="M381" i="11"/>
  <c r="N381" i="11"/>
  <c r="O381" i="11"/>
  <c r="M369" i="11"/>
  <c r="N369" i="11"/>
  <c r="O369" i="11"/>
  <c r="M357" i="11"/>
  <c r="N357" i="11"/>
  <c r="O357" i="11"/>
  <c r="M345" i="11"/>
  <c r="N345" i="11"/>
  <c r="O345" i="11"/>
  <c r="M333" i="11"/>
  <c r="N333" i="11"/>
  <c r="O333" i="11"/>
  <c r="M321" i="11"/>
  <c r="N321" i="11"/>
  <c r="O321" i="11"/>
  <c r="M309" i="11"/>
  <c r="N309" i="11"/>
  <c r="O309" i="11"/>
  <c r="M297" i="11"/>
  <c r="N297" i="11"/>
  <c r="O297" i="11"/>
  <c r="M285" i="11"/>
  <c r="N285" i="11"/>
  <c r="O285" i="11"/>
  <c r="M273" i="11"/>
  <c r="N273" i="11"/>
  <c r="O273" i="11"/>
  <c r="M261" i="11"/>
  <c r="N261" i="11"/>
  <c r="O261" i="11"/>
  <c r="M249" i="11"/>
  <c r="N249" i="11"/>
  <c r="O249" i="11"/>
  <c r="M237" i="11"/>
  <c r="N237" i="11"/>
  <c r="O237" i="11"/>
  <c r="M225" i="11"/>
  <c r="N225" i="11"/>
  <c r="O225" i="11"/>
  <c r="M213" i="11"/>
  <c r="N213" i="11"/>
  <c r="O213" i="11"/>
  <c r="M201" i="11"/>
  <c r="N201" i="11"/>
  <c r="O201" i="11"/>
  <c r="M189" i="11"/>
  <c r="N189" i="11"/>
  <c r="O189" i="11"/>
  <c r="M177" i="11"/>
  <c r="N177" i="11"/>
  <c r="O177" i="11"/>
  <c r="M165" i="11"/>
  <c r="N165" i="11"/>
  <c r="O165" i="11"/>
  <c r="M153" i="11"/>
  <c r="N153" i="11"/>
  <c r="O153" i="11"/>
  <c r="M141" i="11"/>
  <c r="N141" i="11"/>
  <c r="O141" i="11"/>
  <c r="M129" i="11"/>
  <c r="N129" i="11"/>
  <c r="O129" i="11"/>
  <c r="M117" i="11"/>
  <c r="N117" i="11"/>
  <c r="O117" i="11"/>
  <c r="M105" i="11"/>
  <c r="N105" i="11"/>
  <c r="O105" i="11"/>
  <c r="M93" i="11"/>
  <c r="N93" i="11"/>
  <c r="O93" i="11"/>
  <c r="M81" i="11"/>
  <c r="N81" i="11"/>
  <c r="O81" i="11"/>
  <c r="M69" i="11"/>
  <c r="N69" i="11"/>
  <c r="O69" i="11"/>
  <c r="M57" i="11"/>
  <c r="N57" i="11"/>
  <c r="O57" i="11"/>
  <c r="M45" i="11"/>
  <c r="N45" i="11"/>
  <c r="O45" i="11"/>
  <c r="M33" i="11"/>
  <c r="N33" i="11"/>
  <c r="O33" i="11"/>
  <c r="M21" i="11"/>
  <c r="N21" i="11"/>
  <c r="O21" i="11"/>
  <c r="M9" i="11"/>
  <c r="N9" i="11"/>
  <c r="O9" i="11"/>
  <c r="K268" i="11"/>
  <c r="L268" i="11"/>
  <c r="J268" i="11"/>
  <c r="K196" i="11"/>
  <c r="L196" i="11"/>
  <c r="J196" i="11"/>
  <c r="J124" i="11"/>
  <c r="L124" i="11"/>
  <c r="K124" i="11"/>
  <c r="L52" i="11"/>
  <c r="J52" i="11"/>
  <c r="K52" i="11"/>
  <c r="L1030" i="11"/>
  <c r="K1030" i="11"/>
  <c r="J1030" i="11"/>
  <c r="L910" i="11"/>
  <c r="K910" i="11"/>
  <c r="J910" i="11"/>
  <c r="L778" i="11"/>
  <c r="K778" i="11"/>
  <c r="J778" i="11"/>
  <c r="L682" i="11"/>
  <c r="K682" i="11"/>
  <c r="J682" i="11"/>
  <c r="L622" i="11"/>
  <c r="K622" i="11"/>
  <c r="J622" i="11"/>
  <c r="L513" i="11"/>
  <c r="K513" i="11"/>
  <c r="J513" i="11"/>
  <c r="L365" i="11"/>
  <c r="K365" i="11"/>
  <c r="J365" i="11"/>
  <c r="M1092" i="11"/>
  <c r="N1092" i="11"/>
  <c r="O1092" i="11"/>
  <c r="M1056" i="11"/>
  <c r="N1056" i="11"/>
  <c r="O1056" i="11"/>
  <c r="M1020" i="11"/>
  <c r="N1020" i="11"/>
  <c r="O1020" i="11"/>
  <c r="M996" i="11"/>
  <c r="N996" i="11"/>
  <c r="O996" i="11"/>
  <c r="M960" i="11"/>
  <c r="N960" i="11"/>
  <c r="O960" i="11"/>
  <c r="M936" i="11"/>
  <c r="N936" i="11"/>
  <c r="O936" i="11"/>
  <c r="M900" i="11"/>
  <c r="N900" i="11"/>
  <c r="O900" i="11"/>
  <c r="M864" i="11"/>
  <c r="N864" i="11"/>
  <c r="O864" i="11"/>
  <c r="M828" i="11"/>
  <c r="N828" i="11"/>
  <c r="O828" i="11"/>
  <c r="O792" i="11"/>
  <c r="N792" i="11"/>
  <c r="M792" i="11"/>
  <c r="O768" i="11"/>
  <c r="N768" i="11"/>
  <c r="M768" i="11"/>
  <c r="N732" i="11"/>
  <c r="O732" i="11"/>
  <c r="M732" i="11"/>
  <c r="N708" i="11"/>
  <c r="O708" i="11"/>
  <c r="M708" i="11"/>
  <c r="N672" i="11"/>
  <c r="O672" i="11"/>
  <c r="M672" i="11"/>
  <c r="M648" i="11"/>
  <c r="N648" i="11"/>
  <c r="O648" i="11"/>
  <c r="M624" i="11"/>
  <c r="N624" i="11"/>
  <c r="O624" i="11"/>
  <c r="M588" i="11"/>
  <c r="N588" i="11"/>
  <c r="O588" i="11"/>
  <c r="N552" i="11"/>
  <c r="O552" i="11"/>
  <c r="M552" i="11"/>
  <c r="O516" i="11"/>
  <c r="M516" i="11"/>
  <c r="N516" i="11"/>
  <c r="N492" i="11"/>
  <c r="O492" i="11"/>
  <c r="M492" i="11"/>
  <c r="O456" i="11"/>
  <c r="M456" i="11"/>
  <c r="N456" i="11"/>
  <c r="N420" i="11"/>
  <c r="O420" i="11"/>
  <c r="M420" i="11"/>
  <c r="M384" i="11"/>
  <c r="O384" i="11"/>
  <c r="N384" i="11"/>
  <c r="M348" i="11"/>
  <c r="N348" i="11"/>
  <c r="O348" i="11"/>
  <c r="N276" i="11"/>
  <c r="O276" i="11"/>
  <c r="M276" i="11"/>
  <c r="N240" i="11"/>
  <c r="O240" i="11"/>
  <c r="M240" i="11"/>
  <c r="N216" i="11"/>
  <c r="O216" i="11"/>
  <c r="M216" i="11"/>
  <c r="N168" i="11"/>
  <c r="O168" i="11"/>
  <c r="M168" i="11"/>
  <c r="N144" i="11"/>
  <c r="O144" i="11"/>
  <c r="M144" i="11"/>
  <c r="N120" i="11"/>
  <c r="O120" i="11"/>
  <c r="M120" i="11"/>
  <c r="N108" i="11"/>
  <c r="O108" i="11"/>
  <c r="M108" i="11"/>
  <c r="N84" i="11"/>
  <c r="O84" i="11"/>
  <c r="M84" i="11"/>
  <c r="N48" i="11"/>
  <c r="O48" i="11"/>
  <c r="M48" i="11"/>
  <c r="N24" i="11"/>
  <c r="O24" i="11"/>
  <c r="M24" i="11"/>
  <c r="L255" i="11"/>
  <c r="K255" i="11"/>
  <c r="J255" i="11"/>
  <c r="L135" i="11"/>
  <c r="K135" i="11"/>
  <c r="J135" i="11"/>
  <c r="K15" i="11"/>
  <c r="L15" i="11"/>
  <c r="J15" i="11"/>
  <c r="L981" i="11"/>
  <c r="J981" i="11"/>
  <c r="K981" i="11"/>
  <c r="L861" i="11"/>
  <c r="J861" i="11"/>
  <c r="K861" i="11"/>
  <c r="L765" i="11"/>
  <c r="K765" i="11"/>
  <c r="J765" i="11"/>
  <c r="L657" i="11"/>
  <c r="K657" i="11"/>
  <c r="J657" i="11"/>
  <c r="L536" i="11"/>
  <c r="K536" i="11"/>
  <c r="J536" i="11"/>
  <c r="L378" i="11"/>
  <c r="J378" i="11"/>
  <c r="K378" i="11"/>
  <c r="M1055" i="11"/>
  <c r="O1055" i="11"/>
  <c r="N1055" i="11"/>
  <c r="O947" i="11"/>
  <c r="M947" i="11"/>
  <c r="N947" i="11"/>
  <c r="N827" i="11"/>
  <c r="O827" i="11"/>
  <c r="M827" i="11"/>
  <c r="O731" i="11"/>
  <c r="M731" i="11"/>
  <c r="N731" i="11"/>
  <c r="N587" i="11"/>
  <c r="M587" i="11"/>
  <c r="O587" i="11"/>
  <c r="M467" i="11"/>
  <c r="N467" i="11"/>
  <c r="O467" i="11"/>
  <c r="M371" i="11"/>
  <c r="N371" i="11"/>
  <c r="O371" i="11"/>
  <c r="M275" i="11"/>
  <c r="N275" i="11"/>
  <c r="O275" i="11"/>
  <c r="M191" i="11"/>
  <c r="N191" i="11"/>
  <c r="O191" i="11"/>
  <c r="M71" i="11"/>
  <c r="N71" i="11"/>
  <c r="O71" i="11"/>
  <c r="L360" i="11"/>
  <c r="J360" i="11"/>
  <c r="K360" i="11"/>
  <c r="L348" i="11"/>
  <c r="J348" i="11"/>
  <c r="K348" i="11"/>
  <c r="L336" i="11"/>
  <c r="J336" i="11"/>
  <c r="K336" i="11"/>
  <c r="K324" i="11"/>
  <c r="L324" i="11"/>
  <c r="J324" i="11"/>
  <c r="L312" i="11"/>
  <c r="K312" i="11"/>
  <c r="J312" i="11"/>
  <c r="L300" i="11"/>
  <c r="K300" i="11"/>
  <c r="J300" i="11"/>
  <c r="L288" i="11"/>
  <c r="J288" i="11"/>
  <c r="K288" i="11"/>
  <c r="J276" i="11"/>
  <c r="L276" i="11"/>
  <c r="K276" i="11"/>
  <c r="L264" i="11"/>
  <c r="K264" i="11"/>
  <c r="J264" i="11"/>
  <c r="L252" i="11"/>
  <c r="J252" i="11"/>
  <c r="K252" i="11"/>
  <c r="L240" i="11"/>
  <c r="K240" i="11"/>
  <c r="J240" i="11"/>
  <c r="L228" i="11"/>
  <c r="K228" i="11"/>
  <c r="J228" i="11"/>
  <c r="L216" i="11"/>
  <c r="J216" i="11"/>
  <c r="K216" i="11"/>
  <c r="L204" i="11"/>
  <c r="J204" i="11"/>
  <c r="K204" i="11"/>
  <c r="L192" i="11"/>
  <c r="J192" i="11"/>
  <c r="K192" i="11"/>
  <c r="L180" i="11"/>
  <c r="K180" i="11"/>
  <c r="J180" i="11"/>
  <c r="K168" i="11"/>
  <c r="J168" i="11"/>
  <c r="L168" i="11"/>
  <c r="K156" i="11"/>
  <c r="L156" i="11"/>
  <c r="J156" i="11"/>
  <c r="K144" i="11"/>
  <c r="L144" i="11"/>
  <c r="J144" i="11"/>
  <c r="K132" i="11"/>
  <c r="L132" i="11"/>
  <c r="J132" i="11"/>
  <c r="K120" i="11"/>
  <c r="L120" i="11"/>
  <c r="J120" i="11"/>
  <c r="K108" i="11"/>
  <c r="L108" i="11"/>
  <c r="J108" i="11"/>
  <c r="K96" i="11"/>
  <c r="L96" i="11"/>
  <c r="J96" i="11"/>
  <c r="K84" i="11"/>
  <c r="L84" i="11"/>
  <c r="J84" i="11"/>
  <c r="K72" i="11"/>
  <c r="L72" i="11"/>
  <c r="J72" i="11"/>
  <c r="K60" i="11"/>
  <c r="J60" i="11"/>
  <c r="L60" i="11"/>
  <c r="K48" i="11"/>
  <c r="L48" i="11"/>
  <c r="J48" i="11"/>
  <c r="K36" i="11"/>
  <c r="L36" i="11"/>
  <c r="J36" i="11"/>
  <c r="K24" i="11"/>
  <c r="L24" i="11"/>
  <c r="J24" i="11"/>
  <c r="K12" i="11"/>
  <c r="L12" i="11"/>
  <c r="J12" i="11"/>
  <c r="K1098" i="11"/>
  <c r="J1098" i="11"/>
  <c r="L1098" i="11"/>
  <c r="K1086" i="11"/>
  <c r="L1086" i="11"/>
  <c r="J1086" i="11"/>
  <c r="L1074" i="11"/>
  <c r="K1074" i="11"/>
  <c r="J1074" i="11"/>
  <c r="L1062" i="11"/>
  <c r="K1062" i="11"/>
  <c r="J1062" i="11"/>
  <c r="L1050" i="11"/>
  <c r="K1050" i="11"/>
  <c r="J1050" i="11"/>
  <c r="L1038" i="11"/>
  <c r="K1038" i="11"/>
  <c r="J1038" i="11"/>
  <c r="K1026" i="11"/>
  <c r="L1026" i="11"/>
  <c r="J1026" i="11"/>
  <c r="K1014" i="11"/>
  <c r="L1014" i="11"/>
  <c r="J1014" i="11"/>
  <c r="J1002" i="11"/>
  <c r="K1002" i="11"/>
  <c r="L1002" i="11"/>
  <c r="L990" i="11"/>
  <c r="J990" i="11"/>
  <c r="K990" i="11"/>
  <c r="K978" i="11"/>
  <c r="L978" i="11"/>
  <c r="J978" i="11"/>
  <c r="K966" i="11"/>
  <c r="J966" i="11"/>
  <c r="L966" i="11"/>
  <c r="L954" i="11"/>
  <c r="J954" i="11"/>
  <c r="K954" i="11"/>
  <c r="K942" i="11"/>
  <c r="L942" i="11"/>
  <c r="J942" i="11"/>
  <c r="L930" i="11"/>
  <c r="J930" i="11"/>
  <c r="K930" i="11"/>
  <c r="L918" i="11"/>
  <c r="K918" i="11"/>
  <c r="J918" i="11"/>
  <c r="K906" i="11"/>
  <c r="L906" i="11"/>
  <c r="J906" i="11"/>
  <c r="L894" i="11"/>
  <c r="K894" i="11"/>
  <c r="J894" i="11"/>
  <c r="K882" i="11"/>
  <c r="J882" i="11"/>
  <c r="L882" i="11"/>
  <c r="L870" i="11"/>
  <c r="K870" i="11"/>
  <c r="J870" i="11"/>
  <c r="L858" i="11"/>
  <c r="K858" i="11"/>
  <c r="J858" i="11"/>
  <c r="J846" i="11"/>
  <c r="L846" i="11"/>
  <c r="K846" i="11"/>
  <c r="K834" i="11"/>
  <c r="L834" i="11"/>
  <c r="J834" i="11"/>
  <c r="K822" i="11"/>
  <c r="L822" i="11"/>
  <c r="J822" i="11"/>
  <c r="L810" i="11"/>
  <c r="J810" i="11"/>
  <c r="K810" i="11"/>
  <c r="K798" i="11"/>
  <c r="J798" i="11"/>
  <c r="L798" i="11"/>
  <c r="K786" i="11"/>
  <c r="J786" i="11"/>
  <c r="L786" i="11"/>
  <c r="J774" i="11"/>
  <c r="L774" i="11"/>
  <c r="K774" i="11"/>
  <c r="K762" i="11"/>
  <c r="L762" i="11"/>
  <c r="J762" i="11"/>
  <c r="K750" i="11"/>
  <c r="L750" i="11"/>
  <c r="J750" i="11"/>
  <c r="J738" i="11"/>
  <c r="L738" i="11"/>
  <c r="K738" i="11"/>
  <c r="K726" i="11"/>
  <c r="L726" i="11"/>
  <c r="J726" i="11"/>
  <c r="K714" i="11"/>
  <c r="J714" i="11"/>
  <c r="L714" i="11"/>
  <c r="J702" i="11"/>
  <c r="L702" i="11"/>
  <c r="K702" i="11"/>
  <c r="K690" i="11"/>
  <c r="J690" i="11"/>
  <c r="L690" i="11"/>
  <c r="K678" i="11"/>
  <c r="L678" i="11"/>
  <c r="J678" i="11"/>
  <c r="L666" i="11"/>
  <c r="J666" i="11"/>
  <c r="K666" i="11"/>
  <c r="K654" i="11"/>
  <c r="L654" i="11"/>
  <c r="J654" i="11"/>
  <c r="K642" i="11"/>
  <c r="J642" i="11"/>
  <c r="L642" i="11"/>
  <c r="J630" i="11"/>
  <c r="L630" i="11"/>
  <c r="K630" i="11"/>
  <c r="K618" i="11"/>
  <c r="L618" i="11"/>
  <c r="J618" i="11"/>
  <c r="K606" i="11"/>
  <c r="J606" i="11"/>
  <c r="L606" i="11"/>
  <c r="L594" i="11"/>
  <c r="J594" i="11"/>
  <c r="K594" i="11"/>
  <c r="K581" i="11"/>
  <c r="K582" i="11"/>
  <c r="J581" i="11"/>
  <c r="J582" i="11"/>
  <c r="L581" i="11"/>
  <c r="L582" i="11"/>
  <c r="L569" i="11"/>
  <c r="K569" i="11"/>
  <c r="J569" i="11"/>
  <c r="J557" i="11"/>
  <c r="L557" i="11"/>
  <c r="K557" i="11"/>
  <c r="K545" i="11"/>
  <c r="J545" i="11"/>
  <c r="L545" i="11"/>
  <c r="J533" i="11"/>
  <c r="L533" i="11"/>
  <c r="K533" i="11"/>
  <c r="L521" i="11"/>
  <c r="J521" i="11"/>
  <c r="K521" i="11"/>
  <c r="K509" i="11"/>
  <c r="J509" i="11"/>
  <c r="L509" i="11"/>
  <c r="L497" i="11"/>
  <c r="K497" i="11"/>
  <c r="J497" i="11"/>
  <c r="L483" i="11"/>
  <c r="K483" i="11"/>
  <c r="J483" i="11"/>
  <c r="L471" i="11"/>
  <c r="K471" i="11"/>
  <c r="J471" i="11"/>
  <c r="K459" i="11"/>
  <c r="L459" i="11"/>
  <c r="J459" i="11"/>
  <c r="L447" i="11"/>
  <c r="K447" i="11"/>
  <c r="J447" i="11"/>
  <c r="L435" i="11"/>
  <c r="K435" i="11"/>
  <c r="J435" i="11"/>
  <c r="K423" i="11"/>
  <c r="J423" i="11"/>
  <c r="L423" i="11"/>
  <c r="K411" i="11"/>
  <c r="L411" i="11"/>
  <c r="J411" i="11"/>
  <c r="K399" i="11"/>
  <c r="L399" i="11"/>
  <c r="J399" i="11"/>
  <c r="L387" i="11"/>
  <c r="K387" i="11"/>
  <c r="J387" i="11"/>
  <c r="L373" i="11"/>
  <c r="K373" i="11"/>
  <c r="J373" i="11"/>
  <c r="M1088" i="11"/>
  <c r="N1088" i="11"/>
  <c r="O1088" i="11"/>
  <c r="M1076" i="11"/>
  <c r="N1076" i="11"/>
  <c r="O1076" i="11"/>
  <c r="M1064" i="11"/>
  <c r="N1064" i="11"/>
  <c r="O1064" i="11"/>
  <c r="M1052" i="11"/>
  <c r="N1052" i="11"/>
  <c r="O1052" i="11"/>
  <c r="M1040" i="11"/>
  <c r="N1040" i="11"/>
  <c r="O1040" i="11"/>
  <c r="M1028" i="11"/>
  <c r="N1028" i="11"/>
  <c r="O1028" i="11"/>
  <c r="M1016" i="11"/>
  <c r="N1016" i="11"/>
  <c r="O1016" i="11"/>
  <c r="M1004" i="11"/>
  <c r="N1004" i="11"/>
  <c r="O1004" i="11"/>
  <c r="M992" i="11"/>
  <c r="N992" i="11"/>
  <c r="O992" i="11"/>
  <c r="M980" i="11"/>
  <c r="N980" i="11"/>
  <c r="O980" i="11"/>
  <c r="M968" i="11"/>
  <c r="N968" i="11"/>
  <c r="O968" i="11"/>
  <c r="M956" i="11"/>
  <c r="N956" i="11"/>
  <c r="O956" i="11"/>
  <c r="M944" i="11"/>
  <c r="N944" i="11"/>
  <c r="O944" i="11"/>
  <c r="M932" i="11"/>
  <c r="N932" i="11"/>
  <c r="O932" i="11"/>
  <c r="M920" i="11"/>
  <c r="N920" i="11"/>
  <c r="O920" i="11"/>
  <c r="M908" i="11"/>
  <c r="N908" i="11"/>
  <c r="O908" i="11"/>
  <c r="M896" i="11"/>
  <c r="N896" i="11"/>
  <c r="O896" i="11"/>
  <c r="M884" i="11"/>
  <c r="N884" i="11"/>
  <c r="O884" i="11"/>
  <c r="M872" i="11"/>
  <c r="N872" i="11"/>
  <c r="O872" i="11"/>
  <c r="M860" i="11"/>
  <c r="N860" i="11"/>
  <c r="O860" i="11"/>
  <c r="M848" i="11"/>
  <c r="N848" i="11"/>
  <c r="O848" i="11"/>
  <c r="M836" i="11"/>
  <c r="N836" i="11"/>
  <c r="O836" i="11"/>
  <c r="M824" i="11"/>
  <c r="N824" i="11"/>
  <c r="O824" i="11"/>
  <c r="M812" i="11"/>
  <c r="N812" i="11"/>
  <c r="O812" i="11"/>
  <c r="M800" i="11"/>
  <c r="N800" i="11"/>
  <c r="O800" i="11"/>
  <c r="O788" i="11"/>
  <c r="M788" i="11"/>
  <c r="N788" i="11"/>
  <c r="O776" i="11"/>
  <c r="M776" i="11"/>
  <c r="N776" i="11"/>
  <c r="O764" i="11"/>
  <c r="M764" i="11"/>
  <c r="N764" i="11"/>
  <c r="O752" i="11"/>
  <c r="M752" i="11"/>
  <c r="N752" i="11"/>
  <c r="N740" i="11"/>
  <c r="O740" i="11"/>
  <c r="M740" i="11"/>
  <c r="N728" i="11"/>
  <c r="O728" i="11"/>
  <c r="M728" i="11"/>
  <c r="N716" i="11"/>
  <c r="O716" i="11"/>
  <c r="M716" i="11"/>
  <c r="N704" i="11"/>
  <c r="O704" i="11"/>
  <c r="M704" i="11"/>
  <c r="N692" i="11"/>
  <c r="O692" i="11"/>
  <c r="M692" i="11"/>
  <c r="N680" i="11"/>
  <c r="O680" i="11"/>
  <c r="M680" i="11"/>
  <c r="M668" i="11"/>
  <c r="N668" i="11"/>
  <c r="O668" i="11"/>
  <c r="M656" i="11"/>
  <c r="N656" i="11"/>
  <c r="O656" i="11"/>
  <c r="M644" i="11"/>
  <c r="N644" i="11"/>
  <c r="O644" i="11"/>
  <c r="M632" i="11"/>
  <c r="N632" i="11"/>
  <c r="O632" i="11"/>
  <c r="N620" i="11"/>
  <c r="O620" i="11"/>
  <c r="M620" i="11"/>
  <c r="N608" i="11"/>
  <c r="O608" i="11"/>
  <c r="M608" i="11"/>
  <c r="N596" i="11"/>
  <c r="O596" i="11"/>
  <c r="M596" i="11"/>
  <c r="N584" i="11"/>
  <c r="O584" i="11"/>
  <c r="M584" i="11"/>
  <c r="N572" i="11"/>
  <c r="O572" i="11"/>
  <c r="M572" i="11"/>
  <c r="N560" i="11"/>
  <c r="O560" i="11"/>
  <c r="M560" i="11"/>
  <c r="M548" i="11"/>
  <c r="N548" i="11"/>
  <c r="O548" i="11"/>
  <c r="O536" i="11"/>
  <c r="N536" i="11"/>
  <c r="M536" i="11"/>
  <c r="M524" i="11"/>
  <c r="O524" i="11"/>
  <c r="N524" i="11"/>
  <c r="O512" i="11"/>
  <c r="N512" i="11"/>
  <c r="M512" i="11"/>
  <c r="M500" i="11"/>
  <c r="N500" i="11"/>
  <c r="O500" i="11"/>
  <c r="M488" i="11"/>
  <c r="N488" i="11"/>
  <c r="O488" i="11"/>
  <c r="M476" i="11"/>
  <c r="O476" i="11"/>
  <c r="N476" i="11"/>
  <c r="O464" i="11"/>
  <c r="M464" i="11"/>
  <c r="N464" i="11"/>
  <c r="M452" i="11"/>
  <c r="N452" i="11"/>
  <c r="O452" i="11"/>
  <c r="O440" i="11"/>
  <c r="N440" i="11"/>
  <c r="M440" i="11"/>
  <c r="M428" i="11"/>
  <c r="O428" i="11"/>
  <c r="N428" i="11"/>
  <c r="O416" i="11"/>
  <c r="M416" i="11"/>
  <c r="N416" i="11"/>
  <c r="M404" i="11"/>
  <c r="O404" i="11"/>
  <c r="N404" i="11"/>
  <c r="M392" i="11"/>
  <c r="N392" i="11"/>
  <c r="O392" i="11"/>
  <c r="M380" i="11"/>
  <c r="O380" i="11"/>
  <c r="N380" i="11"/>
  <c r="M368" i="11"/>
  <c r="O368" i="11"/>
  <c r="N368" i="11"/>
  <c r="M356" i="11"/>
  <c r="O356" i="11"/>
  <c r="N356" i="11"/>
  <c r="M344" i="11"/>
  <c r="N344" i="11"/>
  <c r="O344" i="11"/>
  <c r="N332" i="11"/>
  <c r="O332" i="11"/>
  <c r="M332" i="11"/>
  <c r="N320" i="11"/>
  <c r="O320" i="11"/>
  <c r="M320" i="11"/>
  <c r="N308" i="11"/>
  <c r="O308" i="11"/>
  <c r="M308" i="11"/>
  <c r="N296" i="11"/>
  <c r="O296" i="11"/>
  <c r="M296" i="11"/>
  <c r="N284" i="11"/>
  <c r="O284" i="11"/>
  <c r="M284" i="11"/>
  <c r="N272" i="11"/>
  <c r="O272" i="11"/>
  <c r="M272" i="11"/>
  <c r="N260" i="11"/>
  <c r="O260" i="11"/>
  <c r="M260" i="11"/>
  <c r="N248" i="11"/>
  <c r="O248" i="11"/>
  <c r="M248" i="11"/>
  <c r="N236" i="11"/>
  <c r="O236" i="11"/>
  <c r="M236" i="11"/>
  <c r="N224" i="11"/>
  <c r="O224" i="11"/>
  <c r="M224" i="11"/>
  <c r="N212" i="11"/>
  <c r="O212" i="11"/>
  <c r="M212" i="11"/>
  <c r="N200" i="11"/>
  <c r="O200" i="11"/>
  <c r="M200" i="11"/>
  <c r="N188" i="11"/>
  <c r="O188" i="11"/>
  <c r="M188" i="11"/>
  <c r="N176" i="11"/>
  <c r="O176" i="11"/>
  <c r="M176" i="11"/>
  <c r="N164" i="11"/>
  <c r="O164" i="11"/>
  <c r="M164" i="11"/>
  <c r="N152" i="11"/>
  <c r="O152" i="11"/>
  <c r="M152" i="11"/>
  <c r="N140" i="11"/>
  <c r="O140" i="11"/>
  <c r="M140" i="11"/>
  <c r="N128" i="11"/>
  <c r="O128" i="11"/>
  <c r="M128" i="11"/>
  <c r="N116" i="11"/>
  <c r="O116" i="11"/>
  <c r="M116" i="11"/>
  <c r="N104" i="11"/>
  <c r="O104" i="11"/>
  <c r="M104" i="11"/>
  <c r="N92" i="11"/>
  <c r="O92" i="11"/>
  <c r="M92" i="11"/>
  <c r="N80" i="11"/>
  <c r="O80" i="11"/>
  <c r="M80" i="11"/>
  <c r="N68" i="11"/>
  <c r="O68" i="11"/>
  <c r="M68" i="11"/>
  <c r="N56" i="11"/>
  <c r="O56" i="11"/>
  <c r="M56" i="11"/>
  <c r="N44" i="11"/>
  <c r="O44" i="11"/>
  <c r="M44" i="11"/>
  <c r="N32" i="11"/>
  <c r="O32" i="11"/>
  <c r="M32" i="11"/>
  <c r="N20" i="11"/>
  <c r="O20" i="11"/>
  <c r="M20" i="11"/>
  <c r="N8" i="11"/>
  <c r="O8" i="11"/>
  <c r="M8" i="11"/>
  <c r="L316" i="11"/>
  <c r="K316" i="11"/>
  <c r="J316" i="11"/>
  <c r="L208" i="11"/>
  <c r="K208" i="11"/>
  <c r="J208" i="11"/>
  <c r="L76" i="11"/>
  <c r="K76" i="11"/>
  <c r="J76" i="11"/>
  <c r="L1042" i="11"/>
  <c r="K1042" i="11"/>
  <c r="J1042" i="11"/>
  <c r="L934" i="11"/>
  <c r="K934" i="11"/>
  <c r="J934" i="11"/>
  <c r="L826" i="11"/>
  <c r="K826" i="11"/>
  <c r="J826" i="11"/>
  <c r="L730" i="11"/>
  <c r="K730" i="11"/>
  <c r="J730" i="11"/>
  <c r="L598" i="11"/>
  <c r="K598" i="11"/>
  <c r="J598" i="11"/>
  <c r="L463" i="11"/>
  <c r="K463" i="11"/>
  <c r="J463" i="11"/>
  <c r="M1068" i="11"/>
  <c r="N1068" i="11"/>
  <c r="O1068" i="11"/>
  <c r="M1044" i="11"/>
  <c r="N1044" i="11"/>
  <c r="O1044" i="11"/>
  <c r="M1008" i="11"/>
  <c r="N1008" i="11"/>
  <c r="O1008" i="11"/>
  <c r="M972" i="11"/>
  <c r="N972" i="11"/>
  <c r="O972" i="11"/>
  <c r="M924" i="11"/>
  <c r="N924" i="11"/>
  <c r="O924" i="11"/>
  <c r="M876" i="11"/>
  <c r="N876" i="11"/>
  <c r="O876" i="11"/>
  <c r="M840" i="11"/>
  <c r="N840" i="11"/>
  <c r="O840" i="11"/>
  <c r="M804" i="11"/>
  <c r="N804" i="11"/>
  <c r="O804" i="11"/>
  <c r="O756" i="11"/>
  <c r="M756" i="11"/>
  <c r="N756" i="11"/>
  <c r="N696" i="11"/>
  <c r="O696" i="11"/>
  <c r="M696" i="11"/>
  <c r="M660" i="11"/>
  <c r="N660" i="11"/>
  <c r="O660" i="11"/>
  <c r="M612" i="11"/>
  <c r="N612" i="11"/>
  <c r="O612" i="11"/>
  <c r="M564" i="11"/>
  <c r="O564" i="11"/>
  <c r="N564" i="11"/>
  <c r="M528" i="11"/>
  <c r="N528" i="11"/>
  <c r="O528" i="11"/>
  <c r="N468" i="11"/>
  <c r="O468" i="11"/>
  <c r="M468" i="11"/>
  <c r="M396" i="11"/>
  <c r="N396" i="11"/>
  <c r="O396" i="11"/>
  <c r="N324" i="11"/>
  <c r="O324" i="11"/>
  <c r="M324" i="11"/>
  <c r="N204" i="11"/>
  <c r="O204" i="11"/>
  <c r="M204" i="11"/>
  <c r="N60" i="11"/>
  <c r="O60" i="11"/>
  <c r="M60" i="11"/>
  <c r="L291" i="11"/>
  <c r="K291" i="11"/>
  <c r="J291" i="11"/>
  <c r="L171" i="11"/>
  <c r="K171" i="11"/>
  <c r="J171" i="11"/>
  <c r="K51" i="11"/>
  <c r="L51" i="11"/>
  <c r="J51" i="11"/>
  <c r="J1041" i="11"/>
  <c r="L1041" i="11"/>
  <c r="K1041" i="11"/>
  <c r="L933" i="11"/>
  <c r="J933" i="11"/>
  <c r="K933" i="11"/>
  <c r="L837" i="11"/>
  <c r="K837" i="11"/>
  <c r="J837" i="11"/>
  <c r="L753" i="11"/>
  <c r="K753" i="11"/>
  <c r="J753" i="11"/>
  <c r="L633" i="11"/>
  <c r="K633" i="11"/>
  <c r="J633" i="11"/>
  <c r="L462" i="11"/>
  <c r="K462" i="11"/>
  <c r="J462" i="11"/>
  <c r="M1031" i="11"/>
  <c r="O1031" i="11"/>
  <c r="N1031" i="11"/>
  <c r="N911" i="11"/>
  <c r="O911" i="11"/>
  <c r="M911" i="11"/>
  <c r="M779" i="11"/>
  <c r="N779" i="11"/>
  <c r="O779" i="11"/>
  <c r="N599" i="11"/>
  <c r="M599" i="11"/>
  <c r="O599" i="11"/>
  <c r="M419" i="11"/>
  <c r="N419" i="11"/>
  <c r="O419" i="11"/>
  <c r="M239" i="11"/>
  <c r="N239" i="11"/>
  <c r="O239" i="11"/>
  <c r="M83" i="11"/>
  <c r="N83" i="11"/>
  <c r="O83" i="11"/>
  <c r="L359" i="11"/>
  <c r="K359" i="11"/>
  <c r="J359" i="11"/>
  <c r="L347" i="11"/>
  <c r="K347" i="11"/>
  <c r="J347" i="11"/>
  <c r="K335" i="11"/>
  <c r="L335" i="11"/>
  <c r="J335" i="11"/>
  <c r="L323" i="11"/>
  <c r="K323" i="11"/>
  <c r="J323" i="11"/>
  <c r="L311" i="11"/>
  <c r="K311" i="11"/>
  <c r="J311" i="11"/>
  <c r="L299" i="11"/>
  <c r="K299" i="11"/>
  <c r="J299" i="11"/>
  <c r="K287" i="11"/>
  <c r="L287" i="11"/>
  <c r="J287" i="11"/>
  <c r="K275" i="11"/>
  <c r="L275" i="11"/>
  <c r="J275" i="11"/>
  <c r="L263" i="11"/>
  <c r="K263" i="11"/>
  <c r="J263" i="11"/>
  <c r="K251" i="11"/>
  <c r="J251" i="11"/>
  <c r="L251" i="11"/>
  <c r="L239" i="11"/>
  <c r="K239" i="11"/>
  <c r="J239" i="11"/>
  <c r="K227" i="11"/>
  <c r="L227" i="11"/>
  <c r="J227" i="11"/>
  <c r="L215" i="11"/>
  <c r="K215" i="11"/>
  <c r="J215" i="11"/>
  <c r="L203" i="11"/>
  <c r="K203" i="11"/>
  <c r="J203" i="11"/>
  <c r="K191" i="11"/>
  <c r="J191" i="11"/>
  <c r="L191" i="11"/>
  <c r="K179" i="11"/>
  <c r="L179" i="11"/>
  <c r="J179" i="11"/>
  <c r="J167" i="11"/>
  <c r="L167" i="11"/>
  <c r="K167" i="11"/>
  <c r="K155" i="11"/>
  <c r="L155" i="11"/>
  <c r="J155" i="11"/>
  <c r="J143" i="11"/>
  <c r="L143" i="11"/>
  <c r="K143" i="11"/>
  <c r="L131" i="11"/>
  <c r="J131" i="11"/>
  <c r="K131" i="11"/>
  <c r="K119" i="11"/>
  <c r="L119" i="11"/>
  <c r="J119" i="11"/>
  <c r="L107" i="11"/>
  <c r="K107" i="11"/>
  <c r="J107" i="11"/>
  <c r="L95" i="11"/>
  <c r="J95" i="11"/>
  <c r="K95" i="11"/>
  <c r="K83" i="11"/>
  <c r="J83" i="11"/>
  <c r="L83" i="11"/>
  <c r="L71" i="11"/>
  <c r="K71" i="11"/>
  <c r="J71" i="11"/>
  <c r="K59" i="11"/>
  <c r="J59" i="11"/>
  <c r="L59" i="11"/>
  <c r="L47" i="11"/>
  <c r="K47" i="11"/>
  <c r="J47" i="11"/>
  <c r="K35" i="11"/>
  <c r="L35" i="11"/>
  <c r="J35" i="11"/>
  <c r="L23" i="11"/>
  <c r="J23" i="11"/>
  <c r="K23" i="11"/>
  <c r="K11" i="11"/>
  <c r="L11" i="11"/>
  <c r="J11" i="11"/>
  <c r="L1097" i="11"/>
  <c r="K1097" i="11"/>
  <c r="J1097" i="11"/>
  <c r="L1085" i="11"/>
  <c r="J1085" i="11"/>
  <c r="K1085" i="11"/>
  <c r="L1073" i="11"/>
  <c r="K1073" i="11"/>
  <c r="J1073" i="11"/>
  <c r="L1061" i="11"/>
  <c r="K1061" i="11"/>
  <c r="J1061" i="11"/>
  <c r="L1049" i="11"/>
  <c r="K1049" i="11"/>
  <c r="J1049" i="11"/>
  <c r="L1037" i="11"/>
  <c r="K1037" i="11"/>
  <c r="J1037" i="11"/>
  <c r="L1025" i="11"/>
  <c r="K1025" i="11"/>
  <c r="J1025" i="11"/>
  <c r="L1013" i="11"/>
  <c r="K1013" i="11"/>
  <c r="J1013" i="11"/>
  <c r="K1001" i="11"/>
  <c r="J1001" i="11"/>
  <c r="L1001" i="11"/>
  <c r="L989" i="11"/>
  <c r="J989" i="11"/>
  <c r="K989" i="11"/>
  <c r="L977" i="11"/>
  <c r="J977" i="11"/>
  <c r="K977" i="11"/>
  <c r="K965" i="11"/>
  <c r="J965" i="11"/>
  <c r="L965" i="11"/>
  <c r="L953" i="11"/>
  <c r="K953" i="11"/>
  <c r="J953" i="11"/>
  <c r="L941" i="11"/>
  <c r="K941" i="11"/>
  <c r="J941" i="11"/>
  <c r="K929" i="11"/>
  <c r="J929" i="11"/>
  <c r="L929" i="11"/>
  <c r="L917" i="11"/>
  <c r="K917" i="11"/>
  <c r="J917" i="11"/>
  <c r="L905" i="11"/>
  <c r="K905" i="11"/>
  <c r="J905" i="11"/>
  <c r="L893" i="11"/>
  <c r="K893" i="11"/>
  <c r="J893" i="11"/>
  <c r="K881" i="11"/>
  <c r="J881" i="11"/>
  <c r="L881" i="11"/>
  <c r="L869" i="11"/>
  <c r="K869" i="11"/>
  <c r="J869" i="11"/>
  <c r="K857" i="11"/>
  <c r="L857" i="11"/>
  <c r="J857" i="11"/>
  <c r="J845" i="11"/>
  <c r="K845" i="11"/>
  <c r="L845" i="11"/>
  <c r="K833" i="11"/>
  <c r="L833" i="11"/>
  <c r="J833" i="11"/>
  <c r="L821" i="11"/>
  <c r="K821" i="11"/>
  <c r="J821" i="11"/>
  <c r="L809" i="11"/>
  <c r="J809" i="11"/>
  <c r="K809" i="11"/>
  <c r="K797" i="11"/>
  <c r="J797" i="11"/>
  <c r="L797" i="11"/>
  <c r="K785" i="11"/>
  <c r="J785" i="11"/>
  <c r="L785" i="11"/>
  <c r="L773" i="11"/>
  <c r="J773" i="11"/>
  <c r="K773" i="11"/>
  <c r="K761" i="11"/>
  <c r="L761" i="11"/>
  <c r="J761" i="11"/>
  <c r="K749" i="11"/>
  <c r="L749" i="11"/>
  <c r="J749" i="11"/>
  <c r="J737" i="11"/>
  <c r="L737" i="11"/>
  <c r="K737" i="11"/>
  <c r="K725" i="11"/>
  <c r="L725" i="11"/>
  <c r="J725" i="11"/>
  <c r="L713" i="11"/>
  <c r="K713" i="11"/>
  <c r="J713" i="11"/>
  <c r="J701" i="11"/>
  <c r="L701" i="11"/>
  <c r="K701" i="11"/>
  <c r="K689" i="11"/>
  <c r="J689" i="11"/>
  <c r="L689" i="11"/>
  <c r="J677" i="11"/>
  <c r="K677" i="11"/>
  <c r="L677" i="11"/>
  <c r="L665" i="11"/>
  <c r="J665" i="11"/>
  <c r="K665" i="11"/>
  <c r="K653" i="11"/>
  <c r="L653" i="11"/>
  <c r="J653" i="11"/>
  <c r="K641" i="11"/>
  <c r="J641" i="11"/>
  <c r="L641" i="11"/>
  <c r="L629" i="11"/>
  <c r="J629" i="11"/>
  <c r="K629" i="11"/>
  <c r="J617" i="11"/>
  <c r="K617" i="11"/>
  <c r="L617" i="11"/>
  <c r="K605" i="11"/>
  <c r="J605" i="11"/>
  <c r="L605" i="11"/>
  <c r="L593" i="11"/>
  <c r="J593" i="11"/>
  <c r="K593" i="11"/>
  <c r="L580" i="11"/>
  <c r="K580" i="11"/>
  <c r="J580" i="11"/>
  <c r="L568" i="11"/>
  <c r="K568" i="11"/>
  <c r="J568" i="11"/>
  <c r="L556" i="11"/>
  <c r="J556" i="11"/>
  <c r="K556" i="11"/>
  <c r="L544" i="11"/>
  <c r="K544" i="11"/>
  <c r="J544" i="11"/>
  <c r="L532" i="11"/>
  <c r="J532" i="11"/>
  <c r="K532" i="11"/>
  <c r="L520" i="11"/>
  <c r="J520" i="11"/>
  <c r="K520" i="11"/>
  <c r="K508" i="11"/>
  <c r="J508" i="11"/>
  <c r="L508" i="11"/>
  <c r="L496" i="11"/>
  <c r="K496" i="11"/>
  <c r="J496" i="11"/>
  <c r="L482" i="11"/>
  <c r="J482" i="11"/>
  <c r="K482" i="11"/>
  <c r="L470" i="11"/>
  <c r="J470" i="11"/>
  <c r="K470" i="11"/>
  <c r="L458" i="11"/>
  <c r="J458" i="11"/>
  <c r="K458" i="11"/>
  <c r="L446" i="11"/>
  <c r="J446" i="11"/>
  <c r="K446" i="11"/>
  <c r="L434" i="11"/>
  <c r="J434" i="11"/>
  <c r="K434" i="11"/>
  <c r="L422" i="11"/>
  <c r="J422" i="11"/>
  <c r="K422" i="11"/>
  <c r="L410" i="11"/>
  <c r="J410" i="11"/>
  <c r="K410" i="11"/>
  <c r="L398" i="11"/>
  <c r="J398" i="11"/>
  <c r="K398" i="11"/>
  <c r="L386" i="11"/>
  <c r="J386" i="11"/>
  <c r="K386" i="11"/>
  <c r="K372" i="11"/>
  <c r="J372" i="11"/>
  <c r="L372" i="11"/>
  <c r="O1087" i="11"/>
  <c r="N1087" i="11"/>
  <c r="M1087" i="11"/>
  <c r="O1075" i="11"/>
  <c r="M1075" i="11"/>
  <c r="N1075" i="11"/>
  <c r="O1063" i="11"/>
  <c r="M1063" i="11"/>
  <c r="N1063" i="11"/>
  <c r="O1051" i="11"/>
  <c r="N1051" i="11"/>
  <c r="M1051" i="11"/>
  <c r="O1039" i="11"/>
  <c r="M1039" i="11"/>
  <c r="N1039" i="11"/>
  <c r="O1027" i="11"/>
  <c r="M1027" i="11"/>
  <c r="N1027" i="11"/>
  <c r="O1015" i="11"/>
  <c r="N1015" i="11"/>
  <c r="M1015" i="11"/>
  <c r="M1003" i="11"/>
  <c r="N1003" i="11"/>
  <c r="O1003" i="11"/>
  <c r="O991" i="11"/>
  <c r="N991" i="11"/>
  <c r="M991" i="11"/>
  <c r="M979" i="11"/>
  <c r="O979" i="11"/>
  <c r="N979" i="11"/>
  <c r="M967" i="11"/>
  <c r="N967" i="11"/>
  <c r="O967" i="11"/>
  <c r="M955" i="11"/>
  <c r="N955" i="11"/>
  <c r="O955" i="11"/>
  <c r="O943" i="11"/>
  <c r="M943" i="11"/>
  <c r="N943" i="11"/>
  <c r="M931" i="11"/>
  <c r="O931" i="11"/>
  <c r="N931" i="11"/>
  <c r="M919" i="11"/>
  <c r="N919" i="11"/>
  <c r="O919" i="11"/>
  <c r="M907" i="11"/>
  <c r="N907" i="11"/>
  <c r="O907" i="11"/>
  <c r="O895" i="11"/>
  <c r="M895" i="11"/>
  <c r="N895" i="11"/>
  <c r="M883" i="11"/>
  <c r="O883" i="11"/>
  <c r="N883" i="11"/>
  <c r="M871" i="11"/>
  <c r="N871" i="11"/>
  <c r="O871" i="11"/>
  <c r="M859" i="11"/>
  <c r="N859" i="11"/>
  <c r="O859" i="11"/>
  <c r="O847" i="11"/>
  <c r="N847" i="11"/>
  <c r="M847" i="11"/>
  <c r="M835" i="11"/>
  <c r="O835" i="11"/>
  <c r="N835" i="11"/>
  <c r="M823" i="11"/>
  <c r="N823" i="11"/>
  <c r="O823" i="11"/>
  <c r="M811" i="11"/>
  <c r="N811" i="11"/>
  <c r="O811" i="11"/>
  <c r="O799" i="11"/>
  <c r="N799" i="11"/>
  <c r="M799" i="11"/>
  <c r="O787" i="11"/>
  <c r="M787" i="11"/>
  <c r="N787" i="11"/>
  <c r="N775" i="11"/>
  <c r="O775" i="11"/>
  <c r="M775" i="11"/>
  <c r="O763" i="11"/>
  <c r="N763" i="11"/>
  <c r="M763" i="11"/>
  <c r="M751" i="11"/>
  <c r="N751" i="11"/>
  <c r="O751" i="11"/>
  <c r="O739" i="11"/>
  <c r="M739" i="11"/>
  <c r="N739" i="11"/>
  <c r="O727" i="11"/>
  <c r="M727" i="11"/>
  <c r="N727" i="11"/>
  <c r="O715" i="11"/>
  <c r="M715" i="11"/>
  <c r="N715" i="11"/>
  <c r="O703" i="11"/>
  <c r="M703" i="11"/>
  <c r="N703" i="11"/>
  <c r="O691" i="11"/>
  <c r="M691" i="11"/>
  <c r="N691" i="11"/>
  <c r="O679" i="11"/>
  <c r="M679" i="11"/>
  <c r="N679" i="11"/>
  <c r="O667" i="11"/>
  <c r="M667" i="11"/>
  <c r="N667" i="11"/>
  <c r="O655" i="11"/>
  <c r="N655" i="11"/>
  <c r="M655" i="11"/>
  <c r="O643" i="11"/>
  <c r="M643" i="11"/>
  <c r="N643" i="11"/>
  <c r="O631" i="11"/>
  <c r="M631" i="11"/>
  <c r="N631" i="11"/>
  <c r="N619" i="11"/>
  <c r="M619" i="11"/>
  <c r="O619" i="11"/>
  <c r="N607" i="11"/>
  <c r="M607" i="11"/>
  <c r="O607" i="11"/>
  <c r="N595" i="11"/>
  <c r="M595" i="11"/>
  <c r="O595" i="11"/>
  <c r="N583" i="11"/>
  <c r="O583" i="11"/>
  <c r="M583" i="11"/>
  <c r="N571" i="11"/>
  <c r="M571" i="11"/>
  <c r="O571" i="11"/>
  <c r="N559" i="11"/>
  <c r="O559" i="11"/>
  <c r="M559" i="11"/>
  <c r="M547" i="11"/>
  <c r="N547" i="11"/>
  <c r="O547" i="11"/>
  <c r="M535" i="11"/>
  <c r="N535" i="11"/>
  <c r="O535" i="11"/>
  <c r="M523" i="11"/>
  <c r="N523" i="11"/>
  <c r="O523" i="11"/>
  <c r="M511" i="11"/>
  <c r="N511" i="11"/>
  <c r="O511" i="11"/>
  <c r="M499" i="11"/>
  <c r="N499" i="11"/>
  <c r="O499" i="11"/>
  <c r="M487" i="11"/>
  <c r="N487" i="11"/>
  <c r="O487" i="11"/>
  <c r="M475" i="11"/>
  <c r="N475" i="11"/>
  <c r="O475" i="11"/>
  <c r="M463" i="11"/>
  <c r="N463" i="11"/>
  <c r="O463" i="11"/>
  <c r="M451" i="11"/>
  <c r="N451" i="11"/>
  <c r="O451" i="11"/>
  <c r="M439" i="11"/>
  <c r="N439" i="11"/>
  <c r="O439" i="11"/>
  <c r="M427" i="11"/>
  <c r="N427" i="11"/>
  <c r="O427" i="11"/>
  <c r="M415" i="11"/>
  <c r="N415" i="11"/>
  <c r="O415" i="11"/>
  <c r="M403" i="11"/>
  <c r="N403" i="11"/>
  <c r="O403" i="11"/>
  <c r="M391" i="11"/>
  <c r="N391" i="11"/>
  <c r="O391" i="11"/>
  <c r="M379" i="11"/>
  <c r="N379" i="11"/>
  <c r="O379" i="11"/>
  <c r="M367" i="11"/>
  <c r="N367" i="11"/>
  <c r="O367" i="11"/>
  <c r="M355" i="11"/>
  <c r="N355" i="11"/>
  <c r="O355" i="11"/>
  <c r="M343" i="11"/>
  <c r="N343" i="11"/>
  <c r="O343" i="11"/>
  <c r="M331" i="11"/>
  <c r="N331" i="11"/>
  <c r="O331" i="11"/>
  <c r="M319" i="11"/>
  <c r="N319" i="11"/>
  <c r="O319" i="11"/>
  <c r="M307" i="11"/>
  <c r="N307" i="11"/>
  <c r="O307" i="11"/>
  <c r="M295" i="11"/>
  <c r="N295" i="11"/>
  <c r="O295" i="11"/>
  <c r="M283" i="11"/>
  <c r="N283" i="11"/>
  <c r="O283" i="11"/>
  <c r="M271" i="11"/>
  <c r="N271" i="11"/>
  <c r="O271" i="11"/>
  <c r="M259" i="11"/>
  <c r="N259" i="11"/>
  <c r="O259" i="11"/>
  <c r="M247" i="11"/>
  <c r="N247" i="11"/>
  <c r="O247" i="11"/>
  <c r="M235" i="11"/>
  <c r="N235" i="11"/>
  <c r="O235" i="11"/>
  <c r="M223" i="11"/>
  <c r="N223" i="11"/>
  <c r="O223" i="11"/>
  <c r="M211" i="11"/>
  <c r="N211" i="11"/>
  <c r="O211" i="11"/>
  <c r="M199" i="11"/>
  <c r="N199" i="11"/>
  <c r="O199" i="11"/>
  <c r="M187" i="11"/>
  <c r="N187" i="11"/>
  <c r="O187" i="11"/>
  <c r="M175" i="11"/>
  <c r="N175" i="11"/>
  <c r="O175" i="11"/>
  <c r="M163" i="11"/>
  <c r="N163" i="11"/>
  <c r="O163" i="11"/>
  <c r="M151" i="11"/>
  <c r="N151" i="11"/>
  <c r="O151" i="11"/>
  <c r="M139" i="11"/>
  <c r="N139" i="11"/>
  <c r="O139" i="11"/>
  <c r="M127" i="11"/>
  <c r="N127" i="11"/>
  <c r="O127" i="11"/>
  <c r="M115" i="11"/>
  <c r="N115" i="11"/>
  <c r="O115" i="11"/>
  <c r="M103" i="11"/>
  <c r="N103" i="11"/>
  <c r="O103" i="11"/>
  <c r="M91" i="11"/>
  <c r="N91" i="11"/>
  <c r="O91" i="11"/>
  <c r="M79" i="11"/>
  <c r="N79" i="11"/>
  <c r="O79" i="11"/>
  <c r="M67" i="11"/>
  <c r="N67" i="11"/>
  <c r="O67" i="11"/>
  <c r="M55" i="11"/>
  <c r="N55" i="11"/>
  <c r="O55" i="11"/>
  <c r="M43" i="11"/>
  <c r="N43" i="11"/>
  <c r="O43" i="11"/>
  <c r="M31" i="11"/>
  <c r="N31" i="11"/>
  <c r="O31" i="11"/>
  <c r="M19" i="11"/>
  <c r="N19" i="11"/>
  <c r="O19" i="11"/>
  <c r="M7" i="11"/>
  <c r="N7" i="11"/>
  <c r="O7" i="11"/>
  <c r="K304" i="11"/>
  <c r="L304" i="11"/>
  <c r="J304" i="11"/>
  <c r="L184" i="11"/>
  <c r="K184" i="11"/>
  <c r="J184" i="11"/>
  <c r="L40" i="11"/>
  <c r="K40" i="11"/>
  <c r="J40" i="11"/>
  <c r="L1018" i="11"/>
  <c r="K1018" i="11"/>
  <c r="J1018" i="11"/>
  <c r="L886" i="11"/>
  <c r="K886" i="11"/>
  <c r="J886" i="11"/>
  <c r="L742" i="11"/>
  <c r="K742" i="11"/>
  <c r="J742" i="11"/>
  <c r="L586" i="11"/>
  <c r="K586" i="11"/>
  <c r="J586" i="11"/>
  <c r="L475" i="11"/>
  <c r="K475" i="11"/>
  <c r="J475" i="11"/>
  <c r="N180" i="11"/>
  <c r="O180" i="11"/>
  <c r="M180" i="11"/>
  <c r="L363" i="11"/>
  <c r="K363" i="11"/>
  <c r="J363" i="11"/>
  <c r="L243" i="11"/>
  <c r="K243" i="11"/>
  <c r="J243" i="11"/>
  <c r="L123" i="11"/>
  <c r="K123" i="11"/>
  <c r="J123" i="11"/>
  <c r="L1101" i="11"/>
  <c r="K1101" i="11"/>
  <c r="J1101" i="11"/>
  <c r="L993" i="11"/>
  <c r="K993" i="11"/>
  <c r="J993" i="11"/>
  <c r="L873" i="11"/>
  <c r="J873" i="11"/>
  <c r="K873" i="11"/>
  <c r="L741" i="11"/>
  <c r="K741" i="11"/>
  <c r="J741" i="11"/>
  <c r="L621" i="11"/>
  <c r="K621" i="11"/>
  <c r="J621" i="11"/>
  <c r="L524" i="11"/>
  <c r="K524" i="11"/>
  <c r="J524" i="11"/>
  <c r="L414" i="11"/>
  <c r="J414" i="11"/>
  <c r="K414" i="11"/>
  <c r="M1043" i="11"/>
  <c r="O1043" i="11"/>
  <c r="N1043" i="11"/>
  <c r="M935" i="11"/>
  <c r="N935" i="11"/>
  <c r="O935" i="11"/>
  <c r="N815" i="11"/>
  <c r="O815" i="11"/>
  <c r="M815" i="11"/>
  <c r="O683" i="11"/>
  <c r="M683" i="11"/>
  <c r="N683" i="11"/>
  <c r="M551" i="11"/>
  <c r="N551" i="11"/>
  <c r="O551" i="11"/>
  <c r="M431" i="11"/>
  <c r="N431" i="11"/>
  <c r="O431" i="11"/>
  <c r="M323" i="11"/>
  <c r="N323" i="11"/>
  <c r="O323" i="11"/>
  <c r="M155" i="11"/>
  <c r="N155" i="11"/>
  <c r="O155" i="11"/>
  <c r="M107" i="11"/>
  <c r="N107" i="11"/>
  <c r="O107" i="11"/>
  <c r="K358" i="11"/>
  <c r="L358" i="11"/>
  <c r="J358" i="11"/>
  <c r="L346" i="11"/>
  <c r="K346" i="11"/>
  <c r="J346" i="11"/>
  <c r="K334" i="11"/>
  <c r="L334" i="11"/>
  <c r="J334" i="11"/>
  <c r="L322" i="11"/>
  <c r="K322" i="11"/>
  <c r="J322" i="11"/>
  <c r="K310" i="11"/>
  <c r="J310" i="11"/>
  <c r="L310" i="11"/>
  <c r="L298" i="11"/>
  <c r="K298" i="11"/>
  <c r="J298" i="11"/>
  <c r="K286" i="11"/>
  <c r="L286" i="11"/>
  <c r="J286" i="11"/>
  <c r="L274" i="11"/>
  <c r="K274" i="11"/>
  <c r="J274" i="11"/>
  <c r="L262" i="11"/>
  <c r="K262" i="11"/>
  <c r="J262" i="11"/>
  <c r="K250" i="11"/>
  <c r="L250" i="11"/>
  <c r="J250" i="11"/>
  <c r="L238" i="11"/>
  <c r="K238" i="11"/>
  <c r="J238" i="11"/>
  <c r="L226" i="11"/>
  <c r="K226" i="11"/>
  <c r="J226" i="11"/>
  <c r="K214" i="11"/>
  <c r="J214" i="11"/>
  <c r="L214" i="11"/>
  <c r="L202" i="11"/>
  <c r="K202" i="11"/>
  <c r="J202" i="11"/>
  <c r="L190" i="11"/>
  <c r="K190" i="11"/>
  <c r="J190" i="11"/>
  <c r="L178" i="11"/>
  <c r="K178" i="11"/>
  <c r="J178" i="11"/>
  <c r="L166" i="11"/>
  <c r="K166" i="11"/>
  <c r="J166" i="11"/>
  <c r="L154" i="11"/>
  <c r="K154" i="11"/>
  <c r="J154" i="11"/>
  <c r="K142" i="11"/>
  <c r="L142" i="11"/>
  <c r="J142" i="11"/>
  <c r="L130" i="11"/>
  <c r="J130" i="11"/>
  <c r="K130" i="11"/>
  <c r="L118" i="11"/>
  <c r="J118" i="11"/>
  <c r="K118" i="11"/>
  <c r="K106" i="11"/>
  <c r="L106" i="11"/>
  <c r="J106" i="11"/>
  <c r="L94" i="11"/>
  <c r="J94" i="11"/>
  <c r="K94" i="11"/>
  <c r="L82" i="11"/>
  <c r="K82" i="11"/>
  <c r="J82" i="11"/>
  <c r="L70" i="11"/>
  <c r="J70" i="11"/>
  <c r="K70" i="11"/>
  <c r="L58" i="11"/>
  <c r="K58" i="11"/>
  <c r="J58" i="11"/>
  <c r="L46" i="11"/>
  <c r="K46" i="11"/>
  <c r="J46" i="11"/>
  <c r="L34" i="11"/>
  <c r="K34" i="11"/>
  <c r="J34" i="11"/>
  <c r="L22" i="11"/>
  <c r="K22" i="11"/>
  <c r="J22" i="11"/>
  <c r="L10" i="11"/>
  <c r="K10" i="11"/>
  <c r="J10" i="11"/>
  <c r="L1096" i="11"/>
  <c r="J1096" i="11"/>
  <c r="K1096" i="11"/>
  <c r="L1084" i="11"/>
  <c r="J1084" i="11"/>
  <c r="K1084" i="11"/>
  <c r="K1072" i="11"/>
  <c r="J1072" i="11"/>
  <c r="L1072" i="11"/>
  <c r="J1060" i="11"/>
  <c r="L1060" i="11"/>
  <c r="K1060" i="11"/>
  <c r="L1048" i="11"/>
  <c r="J1048" i="11"/>
  <c r="K1048" i="11"/>
  <c r="L1036" i="11"/>
  <c r="J1036" i="11"/>
  <c r="K1036" i="11"/>
  <c r="L1024" i="11"/>
  <c r="J1024" i="11"/>
  <c r="K1024" i="11"/>
  <c r="L1012" i="11"/>
  <c r="J1012" i="11"/>
  <c r="K1012" i="11"/>
  <c r="L1000" i="11"/>
  <c r="K1000" i="11"/>
  <c r="J1000" i="11"/>
  <c r="L988" i="11"/>
  <c r="J988" i="11"/>
  <c r="K988" i="11"/>
  <c r="L976" i="11"/>
  <c r="J976" i="11"/>
  <c r="K976" i="11"/>
  <c r="L964" i="11"/>
  <c r="J964" i="11"/>
  <c r="K964" i="11"/>
  <c r="L952" i="11"/>
  <c r="J952" i="11"/>
  <c r="K952" i="11"/>
  <c r="L940" i="11"/>
  <c r="J940" i="11"/>
  <c r="K940" i="11"/>
  <c r="L928" i="11"/>
  <c r="K928" i="11"/>
  <c r="J928" i="11"/>
  <c r="L916" i="11"/>
  <c r="J916" i="11"/>
  <c r="K916" i="11"/>
  <c r="L904" i="11"/>
  <c r="J904" i="11"/>
  <c r="K904" i="11"/>
  <c r="L892" i="11"/>
  <c r="J892" i="11"/>
  <c r="K892" i="11"/>
  <c r="L880" i="11"/>
  <c r="J880" i="11"/>
  <c r="K880" i="11"/>
  <c r="L868" i="11"/>
  <c r="J868" i="11"/>
  <c r="K868" i="11"/>
  <c r="L856" i="11"/>
  <c r="K856" i="11"/>
  <c r="J856" i="11"/>
  <c r="L844" i="11"/>
  <c r="J844" i="11"/>
  <c r="K844" i="11"/>
  <c r="L832" i="11"/>
  <c r="J832" i="11"/>
  <c r="K832" i="11"/>
  <c r="L820" i="11"/>
  <c r="J820" i="11"/>
  <c r="K820" i="11"/>
  <c r="L808" i="11"/>
  <c r="J808" i="11"/>
  <c r="K808" i="11"/>
  <c r="L796" i="11"/>
  <c r="J796" i="11"/>
  <c r="K796" i="11"/>
  <c r="L784" i="11"/>
  <c r="J784" i="11"/>
  <c r="K784" i="11"/>
  <c r="L772" i="11"/>
  <c r="J772" i="11"/>
  <c r="K772" i="11"/>
  <c r="L760" i="11"/>
  <c r="J760" i="11"/>
  <c r="K760" i="11"/>
  <c r="L748" i="11"/>
  <c r="J748" i="11"/>
  <c r="K748" i="11"/>
  <c r="L736" i="11"/>
  <c r="J736" i="11"/>
  <c r="K736" i="11"/>
  <c r="L724" i="11"/>
  <c r="K724" i="11"/>
  <c r="J724" i="11"/>
  <c r="L712" i="11"/>
  <c r="K712" i="11"/>
  <c r="J712" i="11"/>
  <c r="L700" i="11"/>
  <c r="J700" i="11"/>
  <c r="K700" i="11"/>
  <c r="L688" i="11"/>
  <c r="K688" i="11"/>
  <c r="J688" i="11"/>
  <c r="L676" i="11"/>
  <c r="J676" i="11"/>
  <c r="K676" i="11"/>
  <c r="L664" i="11"/>
  <c r="J664" i="11"/>
  <c r="K664" i="11"/>
  <c r="L652" i="11"/>
  <c r="K652" i="11"/>
  <c r="J652" i="11"/>
  <c r="L640" i="11"/>
  <c r="K640" i="11"/>
  <c r="J640" i="11"/>
  <c r="L628" i="11"/>
  <c r="J628" i="11"/>
  <c r="K628" i="11"/>
  <c r="L616" i="11"/>
  <c r="K616" i="11"/>
  <c r="J616" i="11"/>
  <c r="L604" i="11"/>
  <c r="J604" i="11"/>
  <c r="K604" i="11"/>
  <c r="L592" i="11"/>
  <c r="J592" i="11"/>
  <c r="K592" i="11"/>
  <c r="L579" i="11"/>
  <c r="K579" i="11"/>
  <c r="J579" i="11"/>
  <c r="L567" i="11"/>
  <c r="K567" i="11"/>
  <c r="J567" i="11"/>
  <c r="L555" i="11"/>
  <c r="K555" i="11"/>
  <c r="J555" i="11"/>
  <c r="L543" i="11"/>
  <c r="K543" i="11"/>
  <c r="J543" i="11"/>
  <c r="L531" i="11"/>
  <c r="K531" i="11"/>
  <c r="J531" i="11"/>
  <c r="L519" i="11"/>
  <c r="K519" i="11"/>
  <c r="J519" i="11"/>
  <c r="L507" i="11"/>
  <c r="K507" i="11"/>
  <c r="J507" i="11"/>
  <c r="K495" i="11"/>
  <c r="J495" i="11"/>
  <c r="L495" i="11"/>
  <c r="L481" i="11"/>
  <c r="K481" i="11"/>
  <c r="J481" i="11"/>
  <c r="L469" i="11"/>
  <c r="K469" i="11"/>
  <c r="J469" i="11"/>
  <c r="L457" i="11"/>
  <c r="K457" i="11"/>
  <c r="J457" i="11"/>
  <c r="L445" i="11"/>
  <c r="K445" i="11"/>
  <c r="J445" i="11"/>
  <c r="L433" i="11"/>
  <c r="J433" i="11"/>
  <c r="K433" i="11"/>
  <c r="L421" i="11"/>
  <c r="K421" i="11"/>
  <c r="J421" i="11"/>
  <c r="L409" i="11"/>
  <c r="K409" i="11"/>
  <c r="J409" i="11"/>
  <c r="L397" i="11"/>
  <c r="K397" i="11"/>
  <c r="J397" i="11"/>
  <c r="L385" i="11"/>
  <c r="K385" i="11"/>
  <c r="J385" i="11"/>
  <c r="L371" i="11"/>
  <c r="K371" i="11"/>
  <c r="J371" i="11"/>
  <c r="M1086" i="11"/>
  <c r="N1086" i="11"/>
  <c r="O1086" i="11"/>
  <c r="M1074" i="11"/>
  <c r="N1074" i="11"/>
  <c r="O1074" i="11"/>
  <c r="M1062" i="11"/>
  <c r="N1062" i="11"/>
  <c r="O1062" i="11"/>
  <c r="M1050" i="11"/>
  <c r="N1050" i="11"/>
  <c r="O1050" i="11"/>
  <c r="M1038" i="11"/>
  <c r="N1038" i="11"/>
  <c r="O1038" i="11"/>
  <c r="M1026" i="11"/>
  <c r="N1026" i="11"/>
  <c r="O1026" i="11"/>
  <c r="M1014" i="11"/>
  <c r="N1014" i="11"/>
  <c r="O1014" i="11"/>
  <c r="M1002" i="11"/>
  <c r="N1002" i="11"/>
  <c r="O1002" i="11"/>
  <c r="M990" i="11"/>
  <c r="N990" i="11"/>
  <c r="O990" i="11"/>
  <c r="M978" i="11"/>
  <c r="N978" i="11"/>
  <c r="O978" i="11"/>
  <c r="M966" i="11"/>
  <c r="N966" i="11"/>
  <c r="O966" i="11"/>
  <c r="M954" i="11"/>
  <c r="N954" i="11"/>
  <c r="O954" i="11"/>
  <c r="M942" i="11"/>
  <c r="N942" i="11"/>
  <c r="O942" i="11"/>
  <c r="M930" i="11"/>
  <c r="N930" i="11"/>
  <c r="O930" i="11"/>
  <c r="M918" i="11"/>
  <c r="N918" i="11"/>
  <c r="O918" i="11"/>
  <c r="M906" i="11"/>
  <c r="N906" i="11"/>
  <c r="O906" i="11"/>
  <c r="M894" i="11"/>
  <c r="N894" i="11"/>
  <c r="O894" i="11"/>
  <c r="M882" i="11"/>
  <c r="N882" i="11"/>
  <c r="O882" i="11"/>
  <c r="M870" i="11"/>
  <c r="N870" i="11"/>
  <c r="O870" i="11"/>
  <c r="M858" i="11"/>
  <c r="N858" i="11"/>
  <c r="O858" i="11"/>
  <c r="M846" i="11"/>
  <c r="N846" i="11"/>
  <c r="O846" i="11"/>
  <c r="M834" i="11"/>
  <c r="N834" i="11"/>
  <c r="O834" i="11"/>
  <c r="M822" i="11"/>
  <c r="N822" i="11"/>
  <c r="O822" i="11"/>
  <c r="M810" i="11"/>
  <c r="N810" i="11"/>
  <c r="O810" i="11"/>
  <c r="M798" i="11"/>
  <c r="N798" i="11"/>
  <c r="O798" i="11"/>
  <c r="M786" i="11"/>
  <c r="N786" i="11"/>
  <c r="O786" i="11"/>
  <c r="M774" i="11"/>
  <c r="N774" i="11"/>
  <c r="O774" i="11"/>
  <c r="M762" i="11"/>
  <c r="N762" i="11"/>
  <c r="O762" i="11"/>
  <c r="M750" i="11"/>
  <c r="N750" i="11"/>
  <c r="O750" i="11"/>
  <c r="M738" i="11"/>
  <c r="N738" i="11"/>
  <c r="O738" i="11"/>
  <c r="M726" i="11"/>
  <c r="N726" i="11"/>
  <c r="O726" i="11"/>
  <c r="M714" i="11"/>
  <c r="N714" i="11"/>
  <c r="O714" i="11"/>
  <c r="M702" i="11"/>
  <c r="N702" i="11"/>
  <c r="O702" i="11"/>
  <c r="M690" i="11"/>
  <c r="N690" i="11"/>
  <c r="O690" i="11"/>
  <c r="M678" i="11"/>
  <c r="N678" i="11"/>
  <c r="O678" i="11"/>
  <c r="M666" i="11"/>
  <c r="N666" i="11"/>
  <c r="O666" i="11"/>
  <c r="M654" i="11"/>
  <c r="N654" i="11"/>
  <c r="O654" i="11"/>
  <c r="M642" i="11"/>
  <c r="N642" i="11"/>
  <c r="O642" i="11"/>
  <c r="M630" i="11"/>
  <c r="N630" i="11"/>
  <c r="O630" i="11"/>
  <c r="N618" i="11"/>
  <c r="M618" i="11"/>
  <c r="O618" i="11"/>
  <c r="N606" i="11"/>
  <c r="M606" i="11"/>
  <c r="O606" i="11"/>
  <c r="N594" i="11"/>
  <c r="O594" i="11"/>
  <c r="M594" i="11"/>
  <c r="N582" i="11"/>
  <c r="M582" i="11"/>
  <c r="O582" i="11"/>
  <c r="N570" i="11"/>
  <c r="O570" i="11"/>
  <c r="M570" i="11"/>
  <c r="N558" i="11"/>
  <c r="O558" i="11"/>
  <c r="M558" i="11"/>
  <c r="N546" i="11"/>
  <c r="O546" i="11"/>
  <c r="M546" i="11"/>
  <c r="M534" i="11"/>
  <c r="N534" i="11"/>
  <c r="O534" i="11"/>
  <c r="M522" i="11"/>
  <c r="N522" i="11"/>
  <c r="O522" i="11"/>
  <c r="N510" i="11"/>
  <c r="M510" i="11"/>
  <c r="O510" i="11"/>
  <c r="M498" i="11"/>
  <c r="N498" i="11"/>
  <c r="O498" i="11"/>
  <c r="M486" i="11"/>
  <c r="N486" i="11"/>
  <c r="O486" i="11"/>
  <c r="M474" i="11"/>
  <c r="N474" i="11"/>
  <c r="O474" i="11"/>
  <c r="M462" i="11"/>
  <c r="N462" i="11"/>
  <c r="O462" i="11"/>
  <c r="M450" i="11"/>
  <c r="N450" i="11"/>
  <c r="O450" i="11"/>
  <c r="M438" i="11"/>
  <c r="N438" i="11"/>
  <c r="O438" i="11"/>
  <c r="M426" i="11"/>
  <c r="N426" i="11"/>
  <c r="O426" i="11"/>
  <c r="M414" i="11"/>
  <c r="N414" i="11"/>
  <c r="O414" i="11"/>
  <c r="M402" i="11"/>
  <c r="N402" i="11"/>
  <c r="O402" i="11"/>
  <c r="N390" i="11"/>
  <c r="O390" i="11"/>
  <c r="M390" i="11"/>
  <c r="O378" i="11"/>
  <c r="M378" i="11"/>
  <c r="N378" i="11"/>
  <c r="N366" i="11"/>
  <c r="O366" i="11"/>
  <c r="M366" i="11"/>
  <c r="M354" i="11"/>
  <c r="N354" i="11"/>
  <c r="O354" i="11"/>
  <c r="M342" i="11"/>
  <c r="N342" i="11"/>
  <c r="O342" i="11"/>
  <c r="M330" i="11"/>
  <c r="N330" i="11"/>
  <c r="O330" i="11"/>
  <c r="M318" i="11"/>
  <c r="N318" i="11"/>
  <c r="O318" i="11"/>
  <c r="M306" i="11"/>
  <c r="N306" i="11"/>
  <c r="O306" i="11"/>
  <c r="M294" i="11"/>
  <c r="N294" i="11"/>
  <c r="O294" i="11"/>
  <c r="M282" i="11"/>
  <c r="N282" i="11"/>
  <c r="O282" i="11"/>
  <c r="M270" i="11"/>
  <c r="N270" i="11"/>
  <c r="O270" i="11"/>
  <c r="M258" i="11"/>
  <c r="N258" i="11"/>
  <c r="O258" i="11"/>
  <c r="M246" i="11"/>
  <c r="N246" i="11"/>
  <c r="O246" i="11"/>
  <c r="M234" i="11"/>
  <c r="N234" i="11"/>
  <c r="O234" i="11"/>
  <c r="M222" i="11"/>
  <c r="N222" i="11"/>
  <c r="O222" i="11"/>
  <c r="M210" i="11"/>
  <c r="N210" i="11"/>
  <c r="O210" i="11"/>
  <c r="M198" i="11"/>
  <c r="N198" i="11"/>
  <c r="O198" i="11"/>
  <c r="M186" i="11"/>
  <c r="N186" i="11"/>
  <c r="O186" i="11"/>
  <c r="M174" i="11"/>
  <c r="N174" i="11"/>
  <c r="O174" i="11"/>
  <c r="M162" i="11"/>
  <c r="N162" i="11"/>
  <c r="O162" i="11"/>
  <c r="M150" i="11"/>
  <c r="N150" i="11"/>
  <c r="O150" i="11"/>
  <c r="M138" i="11"/>
  <c r="N138" i="11"/>
  <c r="O138" i="11"/>
  <c r="M126" i="11"/>
  <c r="N126" i="11"/>
  <c r="O126" i="11"/>
  <c r="M114" i="11"/>
  <c r="N114" i="11"/>
  <c r="O114" i="11"/>
  <c r="M102" i="11"/>
  <c r="N102" i="11"/>
  <c r="O102" i="11"/>
  <c r="M90" i="11"/>
  <c r="N90" i="11"/>
  <c r="O90" i="11"/>
  <c r="M78" i="11"/>
  <c r="N78" i="11"/>
  <c r="O78" i="11"/>
  <c r="M66" i="11"/>
  <c r="N66" i="11"/>
  <c r="O66" i="11"/>
  <c r="M54" i="11"/>
  <c r="N54" i="11"/>
  <c r="O54" i="11"/>
  <c r="M42" i="11"/>
  <c r="N42" i="11"/>
  <c r="O42" i="11"/>
  <c r="M30" i="11"/>
  <c r="N30" i="11"/>
  <c r="O30" i="11"/>
  <c r="M18" i="11"/>
  <c r="N18" i="11"/>
  <c r="O18" i="11"/>
  <c r="M6" i="11"/>
  <c r="N6" i="11"/>
  <c r="O6" i="11"/>
  <c r="L280" i="11"/>
  <c r="K280" i="11"/>
  <c r="J280" i="11"/>
  <c r="L148" i="11"/>
  <c r="J148" i="11"/>
  <c r="K148" i="11"/>
  <c r="L4" i="11"/>
  <c r="K4" i="11"/>
  <c r="J4" i="11"/>
  <c r="L970" i="11"/>
  <c r="K970" i="11"/>
  <c r="J970" i="11"/>
  <c r="L838" i="11"/>
  <c r="K838" i="11"/>
  <c r="J838" i="11"/>
  <c r="L706" i="11"/>
  <c r="K706" i="11"/>
  <c r="J706" i="11"/>
  <c r="L561" i="11"/>
  <c r="K561" i="11"/>
  <c r="J561" i="11"/>
  <c r="L379" i="11"/>
  <c r="K379" i="11"/>
  <c r="J379" i="11"/>
  <c r="M360" i="11"/>
  <c r="N360" i="11"/>
  <c r="O360" i="11"/>
  <c r="L279" i="11"/>
  <c r="K279" i="11"/>
  <c r="J279" i="11"/>
  <c r="L159" i="11"/>
  <c r="J159" i="11"/>
  <c r="K159" i="11"/>
  <c r="L27" i="11"/>
  <c r="K27" i="11"/>
  <c r="J27" i="11"/>
  <c r="L1005" i="11"/>
  <c r="J1005" i="11"/>
  <c r="K1005" i="11"/>
  <c r="L885" i="11"/>
  <c r="K885" i="11"/>
  <c r="J885" i="11"/>
  <c r="L729" i="11"/>
  <c r="K729" i="11"/>
  <c r="J729" i="11"/>
  <c r="L597" i="11"/>
  <c r="K597" i="11"/>
  <c r="J597" i="11"/>
  <c r="L500" i="11"/>
  <c r="K500" i="11"/>
  <c r="J500" i="11"/>
  <c r="K390" i="11"/>
  <c r="J390" i="11"/>
  <c r="L390" i="11"/>
  <c r="M1019" i="11"/>
  <c r="O1019" i="11"/>
  <c r="N1019" i="11"/>
  <c r="N875" i="11"/>
  <c r="O875" i="11"/>
  <c r="M875" i="11"/>
  <c r="M755" i="11"/>
  <c r="O755" i="11"/>
  <c r="N755" i="11"/>
  <c r="O647" i="11"/>
  <c r="M647" i="11"/>
  <c r="N647" i="11"/>
  <c r="M515" i="11"/>
  <c r="N515" i="11"/>
  <c r="O515" i="11"/>
  <c r="M359" i="11"/>
  <c r="N359" i="11"/>
  <c r="O359" i="11"/>
  <c r="M227" i="11"/>
  <c r="N227" i="11"/>
  <c r="O227" i="11"/>
  <c r="M143" i="11"/>
  <c r="N143" i="11"/>
  <c r="O143" i="11"/>
  <c r="M59" i="11"/>
  <c r="N59" i="11"/>
  <c r="O59" i="11"/>
  <c r="K357" i="11"/>
  <c r="L357" i="11"/>
  <c r="J357" i="11"/>
  <c r="L345" i="11"/>
  <c r="K345" i="11"/>
  <c r="J345" i="11"/>
  <c r="L333" i="11"/>
  <c r="K333" i="11"/>
  <c r="J333" i="11"/>
  <c r="L321" i="11"/>
  <c r="K321" i="11"/>
  <c r="J321" i="11"/>
  <c r="K309" i="11"/>
  <c r="J309" i="11"/>
  <c r="L309" i="11"/>
  <c r="L297" i="11"/>
  <c r="K297" i="11"/>
  <c r="J297" i="11"/>
  <c r="K285" i="11"/>
  <c r="L285" i="11"/>
  <c r="J285" i="11"/>
  <c r="L273" i="11"/>
  <c r="K273" i="11"/>
  <c r="J273" i="11"/>
  <c r="L261" i="11"/>
  <c r="K261" i="11"/>
  <c r="J261" i="11"/>
  <c r="L249" i="11"/>
  <c r="K249" i="11"/>
  <c r="J249" i="11"/>
  <c r="L237" i="11"/>
  <c r="K237" i="11"/>
  <c r="J237" i="11"/>
  <c r="L225" i="11"/>
  <c r="K225" i="11"/>
  <c r="J225" i="11"/>
  <c r="L213" i="11"/>
  <c r="K213" i="11"/>
  <c r="J213" i="11"/>
  <c r="L201" i="11"/>
  <c r="K201" i="11"/>
  <c r="J201" i="11"/>
  <c r="L189" i="11"/>
  <c r="K189" i="11"/>
  <c r="J189" i="11"/>
  <c r="L177" i="11"/>
  <c r="K177" i="11"/>
  <c r="J177" i="11"/>
  <c r="L165" i="11"/>
  <c r="K165" i="11"/>
  <c r="J165" i="11"/>
  <c r="L153" i="11"/>
  <c r="K153" i="11"/>
  <c r="J153" i="11"/>
  <c r="L141" i="11"/>
  <c r="K141" i="11"/>
  <c r="J141" i="11"/>
  <c r="L129" i="11"/>
  <c r="K129" i="11"/>
  <c r="J129" i="11"/>
  <c r="L117" i="11"/>
  <c r="J117" i="11"/>
  <c r="K117" i="11"/>
  <c r="L105" i="11"/>
  <c r="K105" i="11"/>
  <c r="J105" i="11"/>
  <c r="L93" i="11"/>
  <c r="J93" i="11"/>
  <c r="K93" i="11"/>
  <c r="L81" i="11"/>
  <c r="K81" i="11"/>
  <c r="J81" i="11"/>
  <c r="L69" i="11"/>
  <c r="K69" i="11"/>
  <c r="J69" i="11"/>
  <c r="L57" i="11"/>
  <c r="K57" i="11"/>
  <c r="J57" i="11"/>
  <c r="L45" i="11"/>
  <c r="J45" i="11"/>
  <c r="K45" i="11"/>
  <c r="L33" i="11"/>
  <c r="K33" i="11"/>
  <c r="J33" i="11"/>
  <c r="L21" i="11"/>
  <c r="K21" i="11"/>
  <c r="J21" i="11"/>
  <c r="L9" i="11"/>
  <c r="J9" i="11"/>
  <c r="K9" i="11"/>
  <c r="K1095" i="11"/>
  <c r="J1095" i="11"/>
  <c r="L1095" i="11"/>
  <c r="L1083" i="11"/>
  <c r="J1083" i="11"/>
  <c r="K1083" i="11"/>
  <c r="K1071" i="11"/>
  <c r="L1071" i="11"/>
  <c r="J1071" i="11"/>
  <c r="K1059" i="11"/>
  <c r="L1059" i="11"/>
  <c r="J1059" i="11"/>
  <c r="L1047" i="11"/>
  <c r="K1047" i="11"/>
  <c r="J1047" i="11"/>
  <c r="L1035" i="11"/>
  <c r="K1035" i="11"/>
  <c r="J1035" i="11"/>
  <c r="L1023" i="11"/>
  <c r="K1023" i="11"/>
  <c r="J1023" i="11"/>
  <c r="L1011" i="11"/>
  <c r="J1011" i="11"/>
  <c r="K1011" i="11"/>
  <c r="L999" i="11"/>
  <c r="J999" i="11"/>
  <c r="K999" i="11"/>
  <c r="L987" i="11"/>
  <c r="K987" i="11"/>
  <c r="J987" i="11"/>
  <c r="L975" i="11"/>
  <c r="K975" i="11"/>
  <c r="J975" i="11"/>
  <c r="L963" i="11"/>
  <c r="K963" i="11"/>
  <c r="J963" i="11"/>
  <c r="L951" i="11"/>
  <c r="K951" i="11"/>
  <c r="J951" i="11"/>
  <c r="L939" i="11"/>
  <c r="K939" i="11"/>
  <c r="J939" i="11"/>
  <c r="L927" i="11"/>
  <c r="J927" i="11"/>
  <c r="K927" i="11"/>
  <c r="L915" i="11"/>
  <c r="K915" i="11"/>
  <c r="J915" i="11"/>
  <c r="L903" i="11"/>
  <c r="K903" i="11"/>
  <c r="J903" i="11"/>
  <c r="L891" i="11"/>
  <c r="J891" i="11"/>
  <c r="K891" i="11"/>
  <c r="L879" i="11"/>
  <c r="K879" i="11"/>
  <c r="J879" i="11"/>
  <c r="L867" i="11"/>
  <c r="K867" i="11"/>
  <c r="J867" i="11"/>
  <c r="L855" i="11"/>
  <c r="K855" i="11"/>
  <c r="J855" i="11"/>
  <c r="L843" i="11"/>
  <c r="J843" i="11"/>
  <c r="K843" i="11"/>
  <c r="L831" i="11"/>
  <c r="K831" i="11"/>
  <c r="J831" i="11"/>
  <c r="L819" i="11"/>
  <c r="K819" i="11"/>
  <c r="J819" i="11"/>
  <c r="L807" i="11"/>
  <c r="K807" i="11"/>
  <c r="J807" i="11"/>
  <c r="L795" i="11"/>
  <c r="K795" i="11"/>
  <c r="J795" i="11"/>
  <c r="L783" i="11"/>
  <c r="K783" i="11"/>
  <c r="J783" i="11"/>
  <c r="L771" i="11"/>
  <c r="K771" i="11"/>
  <c r="J771" i="11"/>
  <c r="L759" i="11"/>
  <c r="K759" i="11"/>
  <c r="J759" i="11"/>
  <c r="L747" i="11"/>
  <c r="K747" i="11"/>
  <c r="J747" i="11"/>
  <c r="L735" i="11"/>
  <c r="K735" i="11"/>
  <c r="J735" i="11"/>
  <c r="L723" i="11"/>
  <c r="K723" i="11"/>
  <c r="J723" i="11"/>
  <c r="L711" i="11"/>
  <c r="K711" i="11"/>
  <c r="J711" i="11"/>
  <c r="L699" i="11"/>
  <c r="K699" i="11"/>
  <c r="J699" i="11"/>
  <c r="L687" i="11"/>
  <c r="K687" i="11"/>
  <c r="J687" i="11"/>
  <c r="L675" i="11"/>
  <c r="K675" i="11"/>
  <c r="J675" i="11"/>
  <c r="L663" i="11"/>
  <c r="K663" i="11"/>
  <c r="J663" i="11"/>
  <c r="L651" i="11"/>
  <c r="K651" i="11"/>
  <c r="J651" i="11"/>
  <c r="L639" i="11"/>
  <c r="K639" i="11"/>
  <c r="J639" i="11"/>
  <c r="L627" i="11"/>
  <c r="K627" i="11"/>
  <c r="J627" i="11"/>
  <c r="L615" i="11"/>
  <c r="K615" i="11"/>
  <c r="J615" i="11"/>
  <c r="L603" i="11"/>
  <c r="K603" i="11"/>
  <c r="J603" i="11"/>
  <c r="L591" i="11"/>
  <c r="K591" i="11"/>
  <c r="J591" i="11"/>
  <c r="L578" i="11"/>
  <c r="J578" i="11"/>
  <c r="K578" i="11"/>
  <c r="L566" i="11"/>
  <c r="J566" i="11"/>
  <c r="K566" i="11"/>
  <c r="L554" i="11"/>
  <c r="J554" i="11"/>
  <c r="K554" i="11"/>
  <c r="L542" i="11"/>
  <c r="J542" i="11"/>
  <c r="K542" i="11"/>
  <c r="L530" i="11"/>
  <c r="J530" i="11"/>
  <c r="K530" i="11"/>
  <c r="L518" i="11"/>
  <c r="J518" i="11"/>
  <c r="K518" i="11"/>
  <c r="L506" i="11"/>
  <c r="J506" i="11"/>
  <c r="K506" i="11"/>
  <c r="L494" i="11"/>
  <c r="J494" i="11"/>
  <c r="K494" i="11"/>
  <c r="J480" i="11"/>
  <c r="L480" i="11"/>
  <c r="K480" i="11"/>
  <c r="L468" i="11"/>
  <c r="K468" i="11"/>
  <c r="J468" i="11"/>
  <c r="L456" i="11"/>
  <c r="K456" i="11"/>
  <c r="J456" i="11"/>
  <c r="L444" i="11"/>
  <c r="J444" i="11"/>
  <c r="K444" i="11"/>
  <c r="L432" i="11"/>
  <c r="K432" i="11"/>
  <c r="J432" i="11"/>
  <c r="J420" i="11"/>
  <c r="K420" i="11"/>
  <c r="L420" i="11"/>
  <c r="L408" i="11"/>
  <c r="J408" i="11"/>
  <c r="K408" i="11"/>
  <c r="L396" i="11"/>
  <c r="K396" i="11"/>
  <c r="J396" i="11"/>
  <c r="L384" i="11"/>
  <c r="K384" i="11"/>
  <c r="J384" i="11"/>
  <c r="L370" i="11"/>
  <c r="K370" i="11"/>
  <c r="J370" i="11"/>
  <c r="M1085" i="11"/>
  <c r="O1085" i="11"/>
  <c r="N1085" i="11"/>
  <c r="M1073" i="11"/>
  <c r="O1073" i="11"/>
  <c r="N1073" i="11"/>
  <c r="M1061" i="11"/>
  <c r="O1061" i="11"/>
  <c r="N1061" i="11"/>
  <c r="M1049" i="11"/>
  <c r="O1049" i="11"/>
  <c r="N1049" i="11"/>
  <c r="M1037" i="11"/>
  <c r="O1037" i="11"/>
  <c r="N1037" i="11"/>
  <c r="M1025" i="11"/>
  <c r="O1025" i="11"/>
  <c r="N1025" i="11"/>
  <c r="M1013" i="11"/>
  <c r="O1013" i="11"/>
  <c r="N1013" i="11"/>
  <c r="O1001" i="11"/>
  <c r="M1001" i="11"/>
  <c r="N1001" i="11"/>
  <c r="O989" i="11"/>
  <c r="M989" i="11"/>
  <c r="N989" i="11"/>
  <c r="O977" i="11"/>
  <c r="M977" i="11"/>
  <c r="N977" i="11"/>
  <c r="O965" i="11"/>
  <c r="M965" i="11"/>
  <c r="N965" i="11"/>
  <c r="O953" i="11"/>
  <c r="M953" i="11"/>
  <c r="N953" i="11"/>
  <c r="O941" i="11"/>
  <c r="M941" i="11"/>
  <c r="N941" i="11"/>
  <c r="O929" i="11"/>
  <c r="N929" i="11"/>
  <c r="M929" i="11"/>
  <c r="O917" i="11"/>
  <c r="M917" i="11"/>
  <c r="N917" i="11"/>
  <c r="O905" i="11"/>
  <c r="M905" i="11"/>
  <c r="N905" i="11"/>
  <c r="O893" i="11"/>
  <c r="M893" i="11"/>
  <c r="N893" i="11"/>
  <c r="O881" i="11"/>
  <c r="M881" i="11"/>
  <c r="N881" i="11"/>
  <c r="O869" i="11"/>
  <c r="M869" i="11"/>
  <c r="N869" i="11"/>
  <c r="O857" i="11"/>
  <c r="M857" i="11"/>
  <c r="N857" i="11"/>
  <c r="O845" i="11"/>
  <c r="M845" i="11"/>
  <c r="N845" i="11"/>
  <c r="O833" i="11"/>
  <c r="M833" i="11"/>
  <c r="N833" i="11"/>
  <c r="O821" i="11"/>
  <c r="M821" i="11"/>
  <c r="N821" i="11"/>
  <c r="O809" i="11"/>
  <c r="M809" i="11"/>
  <c r="N809" i="11"/>
  <c r="M797" i="11"/>
  <c r="N797" i="11"/>
  <c r="O797" i="11"/>
  <c r="O785" i="11"/>
  <c r="N785" i="11"/>
  <c r="M785" i="11"/>
  <c r="N773" i="11"/>
  <c r="O773" i="11"/>
  <c r="M773" i="11"/>
  <c r="O761" i="11"/>
  <c r="M761" i="11"/>
  <c r="N761" i="11"/>
  <c r="N749" i="11"/>
  <c r="O749" i="11"/>
  <c r="M749" i="11"/>
  <c r="N737" i="11"/>
  <c r="O737" i="11"/>
  <c r="M737" i="11"/>
  <c r="M725" i="11"/>
  <c r="N725" i="11"/>
  <c r="O725" i="11"/>
  <c r="N713" i="11"/>
  <c r="O713" i="11"/>
  <c r="M713" i="11"/>
  <c r="M701" i="11"/>
  <c r="N701" i="11"/>
  <c r="O701" i="11"/>
  <c r="O689" i="11"/>
  <c r="N689" i="11"/>
  <c r="M689" i="11"/>
  <c r="M677" i="11"/>
  <c r="N677" i="11"/>
  <c r="O677" i="11"/>
  <c r="O665" i="11"/>
  <c r="M665" i="11"/>
  <c r="N665" i="11"/>
  <c r="M653" i="11"/>
  <c r="N653" i="11"/>
  <c r="O653" i="11"/>
  <c r="N641" i="11"/>
  <c r="O641" i="11"/>
  <c r="M641" i="11"/>
  <c r="M629" i="11"/>
  <c r="N629" i="11"/>
  <c r="O629" i="11"/>
  <c r="M617" i="11"/>
  <c r="N617" i="11"/>
  <c r="O617" i="11"/>
  <c r="M605" i="11"/>
  <c r="N605" i="11"/>
  <c r="O605" i="11"/>
  <c r="M593" i="11"/>
  <c r="N593" i="11"/>
  <c r="O593" i="11"/>
  <c r="M581" i="11"/>
  <c r="N581" i="11"/>
  <c r="O581" i="11"/>
  <c r="M569" i="11"/>
  <c r="N569" i="11"/>
  <c r="O569" i="11"/>
  <c r="M557" i="11"/>
  <c r="N557" i="11"/>
  <c r="O557" i="11"/>
  <c r="M545" i="11"/>
  <c r="N545" i="11"/>
  <c r="O545" i="11"/>
  <c r="M533" i="11"/>
  <c r="N533" i="11"/>
  <c r="O533" i="11"/>
  <c r="M521" i="11"/>
  <c r="N521" i="11"/>
  <c r="O521" i="11"/>
  <c r="M509" i="11"/>
  <c r="N509" i="11"/>
  <c r="O509" i="11"/>
  <c r="M497" i="11"/>
  <c r="N497" i="11"/>
  <c r="O497" i="11"/>
  <c r="M485" i="11"/>
  <c r="N485" i="11"/>
  <c r="O485" i="11"/>
  <c r="M473" i="11"/>
  <c r="N473" i="11"/>
  <c r="O473" i="11"/>
  <c r="M461" i="11"/>
  <c r="N461" i="11"/>
  <c r="O461" i="11"/>
  <c r="M449" i="11"/>
  <c r="N449" i="11"/>
  <c r="O449" i="11"/>
  <c r="M437" i="11"/>
  <c r="N437" i="11"/>
  <c r="O437" i="11"/>
  <c r="M425" i="11"/>
  <c r="N425" i="11"/>
  <c r="O425" i="11"/>
  <c r="M413" i="11"/>
  <c r="N413" i="11"/>
  <c r="O413" i="11"/>
  <c r="M401" i="11"/>
  <c r="N401" i="11"/>
  <c r="O401" i="11"/>
  <c r="M389" i="11"/>
  <c r="N389" i="11"/>
  <c r="O389" i="11"/>
  <c r="M377" i="11"/>
  <c r="N377" i="11"/>
  <c r="O377" i="11"/>
  <c r="M365" i="11"/>
  <c r="N365" i="11"/>
  <c r="O365" i="11"/>
  <c r="M353" i="11"/>
  <c r="N353" i="11"/>
  <c r="O353" i="11"/>
  <c r="M341" i="11"/>
  <c r="N341" i="11"/>
  <c r="O341" i="11"/>
  <c r="M329" i="11"/>
  <c r="N329" i="11"/>
  <c r="O329" i="11"/>
  <c r="M317" i="11"/>
  <c r="N317" i="11"/>
  <c r="O317" i="11"/>
  <c r="M305" i="11"/>
  <c r="N305" i="11"/>
  <c r="O305" i="11"/>
  <c r="M293" i="11"/>
  <c r="N293" i="11"/>
  <c r="O293" i="11"/>
  <c r="M281" i="11"/>
  <c r="N281" i="11"/>
  <c r="O281" i="11"/>
  <c r="M269" i="11"/>
  <c r="N269" i="11"/>
  <c r="O269" i="11"/>
  <c r="M257" i="11"/>
  <c r="N257" i="11"/>
  <c r="O257" i="11"/>
  <c r="M245" i="11"/>
  <c r="N245" i="11"/>
  <c r="O245" i="11"/>
  <c r="M233" i="11"/>
  <c r="N233" i="11"/>
  <c r="O233" i="11"/>
  <c r="M221" i="11"/>
  <c r="N221" i="11"/>
  <c r="O221" i="11"/>
  <c r="M209" i="11"/>
  <c r="N209" i="11"/>
  <c r="O209" i="11"/>
  <c r="M197" i="11"/>
  <c r="N197" i="11"/>
  <c r="O197" i="11"/>
  <c r="M185" i="11"/>
  <c r="N185" i="11"/>
  <c r="O185" i="11"/>
  <c r="M173" i="11"/>
  <c r="N173" i="11"/>
  <c r="O173" i="11"/>
  <c r="M161" i="11"/>
  <c r="N161" i="11"/>
  <c r="O161" i="11"/>
  <c r="M149" i="11"/>
  <c r="N149" i="11"/>
  <c r="O149" i="11"/>
  <c r="M137" i="11"/>
  <c r="N137" i="11"/>
  <c r="O137" i="11"/>
  <c r="M125" i="11"/>
  <c r="N125" i="11"/>
  <c r="O125" i="11"/>
  <c r="M113" i="11"/>
  <c r="N113" i="11"/>
  <c r="O113" i="11"/>
  <c r="M101" i="11"/>
  <c r="N101" i="11"/>
  <c r="O101" i="11"/>
  <c r="M89" i="11"/>
  <c r="N89" i="11"/>
  <c r="O89" i="11"/>
  <c r="M77" i="11"/>
  <c r="N77" i="11"/>
  <c r="O77" i="11"/>
  <c r="M65" i="11"/>
  <c r="N65" i="11"/>
  <c r="O65" i="11"/>
  <c r="M53" i="11"/>
  <c r="N53" i="11"/>
  <c r="O53" i="11"/>
  <c r="M41" i="11"/>
  <c r="N41" i="11"/>
  <c r="O41" i="11"/>
  <c r="M29" i="11"/>
  <c r="N29" i="11"/>
  <c r="O29" i="11"/>
  <c r="M17" i="11"/>
  <c r="N17" i="11"/>
  <c r="O17" i="11"/>
  <c r="M5" i="11"/>
  <c r="N5" i="11"/>
  <c r="O5" i="11"/>
  <c r="K352" i="11"/>
  <c r="L352" i="11"/>
  <c r="J352" i="11"/>
  <c r="K232" i="11"/>
  <c r="J232" i="11"/>
  <c r="L232" i="11"/>
  <c r="L88" i="11"/>
  <c r="J88" i="11"/>
  <c r="K88" i="11"/>
  <c r="L1054" i="11"/>
  <c r="K1054" i="11"/>
  <c r="J1054" i="11"/>
  <c r="L922" i="11"/>
  <c r="K922" i="11"/>
  <c r="J922" i="11"/>
  <c r="L802" i="11"/>
  <c r="K802" i="11"/>
  <c r="J802" i="11"/>
  <c r="L646" i="11"/>
  <c r="K646" i="11"/>
  <c r="J646" i="11"/>
  <c r="L525" i="11"/>
  <c r="K525" i="11"/>
  <c r="J525" i="11"/>
  <c r="L403" i="11"/>
  <c r="K403" i="11"/>
  <c r="J403" i="11"/>
  <c r="N300" i="11"/>
  <c r="O300" i="11"/>
  <c r="M300" i="11"/>
  <c r="K327" i="11"/>
  <c r="J327" i="11"/>
  <c r="L327" i="11"/>
  <c r="L207" i="11"/>
  <c r="K207" i="11"/>
  <c r="J207" i="11"/>
  <c r="L87" i="11"/>
  <c r="J87" i="11"/>
  <c r="K87" i="11"/>
  <c r="L1065" i="11"/>
  <c r="K1065" i="11"/>
  <c r="J1065" i="11"/>
  <c r="L945" i="11"/>
  <c r="J945" i="11"/>
  <c r="K945" i="11"/>
  <c r="L813" i="11"/>
  <c r="K813" i="11"/>
  <c r="J813" i="11"/>
  <c r="L681" i="11"/>
  <c r="K681" i="11"/>
  <c r="J681" i="11"/>
  <c r="L560" i="11"/>
  <c r="K560" i="11"/>
  <c r="J560" i="11"/>
  <c r="L438" i="11"/>
  <c r="K438" i="11"/>
  <c r="J438" i="11"/>
  <c r="M983" i="11"/>
  <c r="N983" i="11"/>
  <c r="O983" i="11"/>
  <c r="M839" i="11"/>
  <c r="N839" i="11"/>
  <c r="O839" i="11"/>
  <c r="O695" i="11"/>
  <c r="N695" i="11"/>
  <c r="M695" i="11"/>
  <c r="N611" i="11"/>
  <c r="O611" i="11"/>
  <c r="M611" i="11"/>
  <c r="M503" i="11"/>
  <c r="N503" i="11"/>
  <c r="O503" i="11"/>
  <c r="M395" i="11"/>
  <c r="N395" i="11"/>
  <c r="O395" i="11"/>
  <c r="M299" i="11"/>
  <c r="N299" i="11"/>
  <c r="O299" i="11"/>
  <c r="M215" i="11"/>
  <c r="N215" i="11"/>
  <c r="O215" i="11"/>
  <c r="M47" i="11"/>
  <c r="N47" i="11"/>
  <c r="O47" i="11"/>
  <c r="L356" i="11"/>
  <c r="K356" i="11"/>
  <c r="J356" i="11"/>
  <c r="L344" i="11"/>
  <c r="K344" i="11"/>
  <c r="J344" i="11"/>
  <c r="L332" i="11"/>
  <c r="J332" i="11"/>
  <c r="K332" i="11"/>
  <c r="L320" i="11"/>
  <c r="K320" i="11"/>
  <c r="J320" i="11"/>
  <c r="L308" i="11"/>
  <c r="K308" i="11"/>
  <c r="J308" i="11"/>
  <c r="L296" i="11"/>
  <c r="J296" i="11"/>
  <c r="K296" i="11"/>
  <c r="L284" i="11"/>
  <c r="J284" i="11"/>
  <c r="K284" i="11"/>
  <c r="L272" i="11"/>
  <c r="K272" i="11"/>
  <c r="J272" i="11"/>
  <c r="L260" i="11"/>
  <c r="K260" i="11"/>
  <c r="J260" i="11"/>
  <c r="L248" i="11"/>
  <c r="K248" i="11"/>
  <c r="J248" i="11"/>
  <c r="L236" i="11"/>
  <c r="K236" i="11"/>
  <c r="J236" i="11"/>
  <c r="L224" i="11"/>
  <c r="J224" i="11"/>
  <c r="K224" i="11"/>
  <c r="L212" i="11"/>
  <c r="J212" i="11"/>
  <c r="K212" i="11"/>
  <c r="L200" i="11"/>
  <c r="K200" i="11"/>
  <c r="J200" i="11"/>
  <c r="L188" i="11"/>
  <c r="J188" i="11"/>
  <c r="K188" i="11"/>
  <c r="L176" i="11"/>
  <c r="K176" i="11"/>
  <c r="J176" i="11"/>
  <c r="L164" i="11"/>
  <c r="K164" i="11"/>
  <c r="J164" i="11"/>
  <c r="L152" i="11"/>
  <c r="K152" i="11"/>
  <c r="J152" i="11"/>
  <c r="L140" i="11"/>
  <c r="K140" i="11"/>
  <c r="J140" i="11"/>
  <c r="L128" i="11"/>
  <c r="K128" i="11"/>
  <c r="J128" i="11"/>
  <c r="L116" i="11"/>
  <c r="J116" i="11"/>
  <c r="K116" i="11"/>
  <c r="L104" i="11"/>
  <c r="K104" i="11"/>
  <c r="J104" i="11"/>
  <c r="L92" i="11"/>
  <c r="K92" i="11"/>
  <c r="J92" i="11"/>
  <c r="L80" i="11"/>
  <c r="J80" i="11"/>
  <c r="K80" i="11"/>
  <c r="L68" i="11"/>
  <c r="J68" i="11"/>
  <c r="K68" i="11"/>
  <c r="L56" i="11"/>
  <c r="K56" i="11"/>
  <c r="J56" i="11"/>
  <c r="L44" i="11"/>
  <c r="J44" i="11"/>
  <c r="K44" i="11"/>
  <c r="L32" i="11"/>
  <c r="K32" i="11"/>
  <c r="J32" i="11"/>
  <c r="L20" i="11"/>
  <c r="K20" i="11"/>
  <c r="J20" i="11"/>
  <c r="L8" i="11"/>
  <c r="J8" i="11"/>
  <c r="K8" i="11"/>
  <c r="L1094" i="11"/>
  <c r="K1094" i="11"/>
  <c r="J1094" i="11"/>
  <c r="L1082" i="11"/>
  <c r="K1082" i="11"/>
  <c r="J1082" i="11"/>
  <c r="L1070" i="11"/>
  <c r="J1070" i="11"/>
  <c r="K1070" i="11"/>
  <c r="L1058" i="11"/>
  <c r="K1058" i="11"/>
  <c r="J1058" i="11"/>
  <c r="L1046" i="11"/>
  <c r="J1046" i="11"/>
  <c r="K1046" i="11"/>
  <c r="L1034" i="11"/>
  <c r="K1034" i="11"/>
  <c r="J1034" i="11"/>
  <c r="L1022" i="11"/>
  <c r="K1022" i="11"/>
  <c r="J1022" i="11"/>
  <c r="L1010" i="11"/>
  <c r="K1010" i="11"/>
  <c r="J1010" i="11"/>
  <c r="L998" i="11"/>
  <c r="K998" i="11"/>
  <c r="J998" i="11"/>
  <c r="L986" i="11"/>
  <c r="K986" i="11"/>
  <c r="J986" i="11"/>
  <c r="L974" i="11"/>
  <c r="K974" i="11"/>
  <c r="J974" i="11"/>
  <c r="L962" i="11"/>
  <c r="J962" i="11"/>
  <c r="K962" i="11"/>
  <c r="L950" i="11"/>
  <c r="K950" i="11"/>
  <c r="J950" i="11"/>
  <c r="L938" i="11"/>
  <c r="K938" i="11"/>
  <c r="J938" i="11"/>
  <c r="L926" i="11"/>
  <c r="J926" i="11"/>
  <c r="K926" i="11"/>
  <c r="L914" i="11"/>
  <c r="K914" i="11"/>
  <c r="J914" i="11"/>
  <c r="L902" i="11"/>
  <c r="K902" i="11"/>
  <c r="J902" i="11"/>
  <c r="L890" i="11"/>
  <c r="K890" i="11"/>
  <c r="J890" i="11"/>
  <c r="L878" i="11"/>
  <c r="K878" i="11"/>
  <c r="J878" i="11"/>
  <c r="L866" i="11"/>
  <c r="K866" i="11"/>
  <c r="J866" i="11"/>
  <c r="L854" i="11"/>
  <c r="K854" i="11"/>
  <c r="J854" i="11"/>
  <c r="L842" i="11"/>
  <c r="K842" i="11"/>
  <c r="J842" i="11"/>
  <c r="L830" i="11"/>
  <c r="J830" i="11"/>
  <c r="K830" i="11"/>
  <c r="L818" i="11"/>
  <c r="K818" i="11"/>
  <c r="J818" i="11"/>
  <c r="L806" i="11"/>
  <c r="K806" i="11"/>
  <c r="J806" i="11"/>
  <c r="L794" i="11"/>
  <c r="J794" i="11"/>
  <c r="K794" i="11"/>
  <c r="L782" i="11"/>
  <c r="K782" i="11"/>
  <c r="J782" i="11"/>
  <c r="L770" i="11"/>
  <c r="K770" i="11"/>
  <c r="J770" i="11"/>
  <c r="L758" i="11"/>
  <c r="J758" i="11"/>
  <c r="K758" i="11"/>
  <c r="L746" i="11"/>
  <c r="J746" i="11"/>
  <c r="K746" i="11"/>
  <c r="L734" i="11"/>
  <c r="J734" i="11"/>
  <c r="K734" i="11"/>
  <c r="L722" i="11"/>
  <c r="J722" i="11"/>
  <c r="K722" i="11"/>
  <c r="L710" i="11"/>
  <c r="J710" i="11"/>
  <c r="K710" i="11"/>
  <c r="L698" i="11"/>
  <c r="J698" i="11"/>
  <c r="K698" i="11"/>
  <c r="L686" i="11"/>
  <c r="J686" i="11"/>
  <c r="K686" i="11"/>
  <c r="L674" i="11"/>
  <c r="J674" i="11"/>
  <c r="K674" i="11"/>
  <c r="L662" i="11"/>
  <c r="J662" i="11"/>
  <c r="K662" i="11"/>
  <c r="L650" i="11"/>
  <c r="J650" i="11"/>
  <c r="K650" i="11"/>
  <c r="L638" i="11"/>
  <c r="J638" i="11"/>
  <c r="K638" i="11"/>
  <c r="L626" i="11"/>
  <c r="J626" i="11"/>
  <c r="K626" i="11"/>
  <c r="L614" i="11"/>
  <c r="J614" i="11"/>
  <c r="K614" i="11"/>
  <c r="L602" i="11"/>
  <c r="J602" i="11"/>
  <c r="K602" i="11"/>
  <c r="L590" i="11"/>
  <c r="J590" i="11"/>
  <c r="K590" i="11"/>
  <c r="L577" i="11"/>
  <c r="J577" i="11"/>
  <c r="K577" i="11"/>
  <c r="L565" i="11"/>
  <c r="K565" i="11"/>
  <c r="J565" i="11"/>
  <c r="L553" i="11"/>
  <c r="K553" i="11"/>
  <c r="J553" i="11"/>
  <c r="L541" i="11"/>
  <c r="J541" i="11"/>
  <c r="K541" i="11"/>
  <c r="L529" i="11"/>
  <c r="K529" i="11"/>
  <c r="J529" i="11"/>
  <c r="K517" i="11"/>
  <c r="J517" i="11"/>
  <c r="L517" i="11"/>
  <c r="L505" i="11"/>
  <c r="J505" i="11"/>
  <c r="K505" i="11"/>
  <c r="L491" i="11"/>
  <c r="K491" i="11"/>
  <c r="J491" i="11"/>
  <c r="K479" i="11"/>
  <c r="J479" i="11"/>
  <c r="L479" i="11"/>
  <c r="L467" i="11"/>
  <c r="K467" i="11"/>
  <c r="J467" i="11"/>
  <c r="L455" i="11"/>
  <c r="K455" i="11"/>
  <c r="J455" i="11"/>
  <c r="L443" i="11"/>
  <c r="K443" i="11"/>
  <c r="J443" i="11"/>
  <c r="K431" i="11"/>
  <c r="L431" i="11"/>
  <c r="J431" i="11"/>
  <c r="L419" i="11"/>
  <c r="K419" i="11"/>
  <c r="J419" i="11"/>
  <c r="L407" i="11"/>
  <c r="K407" i="11"/>
  <c r="J407" i="11"/>
  <c r="L395" i="11"/>
  <c r="K395" i="11"/>
  <c r="J395" i="11"/>
  <c r="K383" i="11"/>
  <c r="L383" i="11"/>
  <c r="J383" i="11"/>
  <c r="L369" i="11"/>
  <c r="K369" i="11"/>
  <c r="J369" i="11"/>
  <c r="M1084" i="11"/>
  <c r="N1084" i="11"/>
  <c r="O1084" i="11"/>
  <c r="M1072" i="11"/>
  <c r="N1072" i="11"/>
  <c r="O1072" i="11"/>
  <c r="M1060" i="11"/>
  <c r="N1060" i="11"/>
  <c r="O1060" i="11"/>
  <c r="M1048" i="11"/>
  <c r="N1048" i="11"/>
  <c r="O1048" i="11"/>
  <c r="M1036" i="11"/>
  <c r="N1036" i="11"/>
  <c r="O1036" i="11"/>
  <c r="M1024" i="11"/>
  <c r="N1024" i="11"/>
  <c r="O1024" i="11"/>
  <c r="M1012" i="11"/>
  <c r="N1012" i="11"/>
  <c r="O1012" i="11"/>
  <c r="M1000" i="11"/>
  <c r="N1000" i="11"/>
  <c r="O1000" i="11"/>
  <c r="M988" i="11"/>
  <c r="N988" i="11"/>
  <c r="O988" i="11"/>
  <c r="M976" i="11"/>
  <c r="N976" i="11"/>
  <c r="O976" i="11"/>
  <c r="M964" i="11"/>
  <c r="N964" i="11"/>
  <c r="O964" i="11"/>
  <c r="M952" i="11"/>
  <c r="N952" i="11"/>
  <c r="O952" i="11"/>
  <c r="M940" i="11"/>
  <c r="N940" i="11"/>
  <c r="O940" i="11"/>
  <c r="M928" i="11"/>
  <c r="N928" i="11"/>
  <c r="O928" i="11"/>
  <c r="M916" i="11"/>
  <c r="N916" i="11"/>
  <c r="O916" i="11"/>
  <c r="M904" i="11"/>
  <c r="N904" i="11"/>
  <c r="O904" i="11"/>
  <c r="M892" i="11"/>
  <c r="N892" i="11"/>
  <c r="O892" i="11"/>
  <c r="M880" i="11"/>
  <c r="N880" i="11"/>
  <c r="O880" i="11"/>
  <c r="M868" i="11"/>
  <c r="N868" i="11"/>
  <c r="O868" i="11"/>
  <c r="M856" i="11"/>
  <c r="N856" i="11"/>
  <c r="O856" i="11"/>
  <c r="M844" i="11"/>
  <c r="N844" i="11"/>
  <c r="O844" i="11"/>
  <c r="M832" i="11"/>
  <c r="N832" i="11"/>
  <c r="O832" i="11"/>
  <c r="M820" i="11"/>
  <c r="N820" i="11"/>
  <c r="O820" i="11"/>
  <c r="M808" i="11"/>
  <c r="N808" i="11"/>
  <c r="O808" i="11"/>
  <c r="N796" i="11"/>
  <c r="O796" i="11"/>
  <c r="M796" i="11"/>
  <c r="O784" i="11"/>
  <c r="M784" i="11"/>
  <c r="N784" i="11"/>
  <c r="O772" i="11"/>
  <c r="M772" i="11"/>
  <c r="N772" i="11"/>
  <c r="O760" i="11"/>
  <c r="M760" i="11"/>
  <c r="N760" i="11"/>
  <c r="O748" i="11"/>
  <c r="M748" i="11"/>
  <c r="N748" i="11"/>
  <c r="N736" i="11"/>
  <c r="O736" i="11"/>
  <c r="M736" i="11"/>
  <c r="N724" i="11"/>
  <c r="O724" i="11"/>
  <c r="M724" i="11"/>
  <c r="N712" i="11"/>
  <c r="O712" i="11"/>
  <c r="M712" i="11"/>
  <c r="N700" i="11"/>
  <c r="O700" i="11"/>
  <c r="M700" i="11"/>
  <c r="N688" i="11"/>
  <c r="O688" i="11"/>
  <c r="M688" i="11"/>
  <c r="N676" i="11"/>
  <c r="O676" i="11"/>
  <c r="M676" i="11"/>
  <c r="M664" i="11"/>
  <c r="N664" i="11"/>
  <c r="O664" i="11"/>
  <c r="M652" i="11"/>
  <c r="N652" i="11"/>
  <c r="O652" i="11"/>
  <c r="M640" i="11"/>
  <c r="N640" i="11"/>
  <c r="O640" i="11"/>
  <c r="M628" i="11"/>
  <c r="N628" i="11"/>
  <c r="O628" i="11"/>
  <c r="M616" i="11"/>
  <c r="N616" i="11"/>
  <c r="O616" i="11"/>
  <c r="M604" i="11"/>
  <c r="N604" i="11"/>
  <c r="O604" i="11"/>
  <c r="M592" i="11"/>
  <c r="N592" i="11"/>
  <c r="O592" i="11"/>
  <c r="M580" i="11"/>
  <c r="O580" i="11"/>
  <c r="N580" i="11"/>
  <c r="M568" i="11"/>
  <c r="N568" i="11"/>
  <c r="O568" i="11"/>
  <c r="M556" i="11"/>
  <c r="N556" i="11"/>
  <c r="O556" i="11"/>
  <c r="N544" i="11"/>
  <c r="M544" i="11"/>
  <c r="O544" i="11"/>
  <c r="M532" i="11"/>
  <c r="N532" i="11"/>
  <c r="O532" i="11"/>
  <c r="M520" i="11"/>
  <c r="N520" i="11"/>
  <c r="O520" i="11"/>
  <c r="M508" i="11"/>
  <c r="O508" i="11"/>
  <c r="N508" i="11"/>
  <c r="N496" i="11"/>
  <c r="O496" i="11"/>
  <c r="M496" i="11"/>
  <c r="N484" i="11"/>
  <c r="O484" i="11"/>
  <c r="M484" i="11"/>
  <c r="M472" i="11"/>
  <c r="N472" i="11"/>
  <c r="O472" i="11"/>
  <c r="M460" i="11"/>
  <c r="N460" i="11"/>
  <c r="O460" i="11"/>
  <c r="M448" i="11"/>
  <c r="N448" i="11"/>
  <c r="O448" i="11"/>
  <c r="M436" i="11"/>
  <c r="N436" i="11"/>
  <c r="O436" i="11"/>
  <c r="M424" i="11"/>
  <c r="N424" i="11"/>
  <c r="O424" i="11"/>
  <c r="M412" i="11"/>
  <c r="N412" i="11"/>
  <c r="O412" i="11"/>
  <c r="M400" i="11"/>
  <c r="N400" i="11"/>
  <c r="O400" i="11"/>
  <c r="M388" i="11"/>
  <c r="N388" i="11"/>
  <c r="O388" i="11"/>
  <c r="M376" i="11"/>
  <c r="N376" i="11"/>
  <c r="O376" i="11"/>
  <c r="M364" i="11"/>
  <c r="N364" i="11"/>
  <c r="O364" i="11"/>
  <c r="M352" i="11"/>
  <c r="N352" i="11"/>
  <c r="O352" i="11"/>
  <c r="N340" i="11"/>
  <c r="O340" i="11"/>
  <c r="M340" i="11"/>
  <c r="N328" i="11"/>
  <c r="O328" i="11"/>
  <c r="M328" i="11"/>
  <c r="N316" i="11"/>
  <c r="O316" i="11"/>
  <c r="M316" i="11"/>
  <c r="N304" i="11"/>
  <c r="O304" i="11"/>
  <c r="M304" i="11"/>
  <c r="N292" i="11"/>
  <c r="O292" i="11"/>
  <c r="M292" i="11"/>
  <c r="N280" i="11"/>
  <c r="O280" i="11"/>
  <c r="M280" i="11"/>
  <c r="N268" i="11"/>
  <c r="O268" i="11"/>
  <c r="M268" i="11"/>
  <c r="N256" i="11"/>
  <c r="O256" i="11"/>
  <c r="M256" i="11"/>
  <c r="N244" i="11"/>
  <c r="O244" i="11"/>
  <c r="M244" i="11"/>
  <c r="N232" i="11"/>
  <c r="O232" i="11"/>
  <c r="M232" i="11"/>
  <c r="N220" i="11"/>
  <c r="O220" i="11"/>
  <c r="M220" i="11"/>
  <c r="N208" i="11"/>
  <c r="O208" i="11"/>
  <c r="M208" i="11"/>
  <c r="N196" i="11"/>
  <c r="O196" i="11"/>
  <c r="M196" i="11"/>
  <c r="N184" i="11"/>
  <c r="O184" i="11"/>
  <c r="M184" i="11"/>
  <c r="N172" i="11"/>
  <c r="O172" i="11"/>
  <c r="M172" i="11"/>
  <c r="N160" i="11"/>
  <c r="O160" i="11"/>
  <c r="M160" i="11"/>
  <c r="N148" i="11"/>
  <c r="O148" i="11"/>
  <c r="M148" i="11"/>
  <c r="N136" i="11"/>
  <c r="O136" i="11"/>
  <c r="M136" i="11"/>
  <c r="N124" i="11"/>
  <c r="O124" i="11"/>
  <c r="M124" i="11"/>
  <c r="N112" i="11"/>
  <c r="O112" i="11"/>
  <c r="M112" i="11"/>
  <c r="N100" i="11"/>
  <c r="O100" i="11"/>
  <c r="M100" i="11"/>
  <c r="N88" i="11"/>
  <c r="O88" i="11"/>
  <c r="M88" i="11"/>
  <c r="N76" i="11"/>
  <c r="O76" i="11"/>
  <c r="M76" i="11"/>
  <c r="N64" i="11"/>
  <c r="O64" i="11"/>
  <c r="M64" i="11"/>
  <c r="N52" i="11"/>
  <c r="O52" i="11"/>
  <c r="M52" i="11"/>
  <c r="N40" i="11"/>
  <c r="O40" i="11"/>
  <c r="M40" i="11"/>
  <c r="N28" i="11"/>
  <c r="O28" i="11"/>
  <c r="M28" i="11"/>
  <c r="N16" i="11"/>
  <c r="O16" i="11"/>
  <c r="M16" i="11"/>
  <c r="N4" i="11"/>
  <c r="O4" i="11"/>
  <c r="M4" i="11"/>
  <c r="L364" i="11"/>
  <c r="K364" i="11"/>
  <c r="J364" i="11"/>
  <c r="L244" i="11"/>
  <c r="K244" i="11"/>
  <c r="J244" i="11"/>
  <c r="L112" i="11"/>
  <c r="J112" i="11"/>
  <c r="K112" i="11"/>
  <c r="L1090" i="11"/>
  <c r="K1090" i="11"/>
  <c r="J1090" i="11"/>
  <c r="L994" i="11"/>
  <c r="K994" i="11"/>
  <c r="J994" i="11"/>
  <c r="L874" i="11"/>
  <c r="K874" i="11"/>
  <c r="J874" i="11"/>
  <c r="L754" i="11"/>
  <c r="K754" i="11"/>
  <c r="J754" i="11"/>
  <c r="L634" i="11"/>
  <c r="K634" i="11"/>
  <c r="J634" i="11"/>
  <c r="L487" i="11"/>
  <c r="J487" i="11"/>
  <c r="K487" i="11"/>
  <c r="L391" i="11"/>
  <c r="K391" i="11"/>
  <c r="J391" i="11"/>
  <c r="M432" i="11"/>
  <c r="N432" i="11"/>
  <c r="O432" i="11"/>
  <c r="K315" i="11"/>
  <c r="L315" i="11"/>
  <c r="J315" i="11"/>
  <c r="L195" i="11"/>
  <c r="K195" i="11"/>
  <c r="J195" i="11"/>
  <c r="L99" i="11"/>
  <c r="K99" i="11"/>
  <c r="J99" i="11"/>
  <c r="L1077" i="11"/>
  <c r="K1077" i="11"/>
  <c r="J1077" i="11"/>
  <c r="L957" i="11"/>
  <c r="K957" i="11"/>
  <c r="J957" i="11"/>
  <c r="L825" i="11"/>
  <c r="K825" i="11"/>
  <c r="J825" i="11"/>
  <c r="L693" i="11"/>
  <c r="K693" i="11"/>
  <c r="J693" i="11"/>
  <c r="L572" i="11"/>
  <c r="J572" i="11"/>
  <c r="K572" i="11"/>
  <c r="L450" i="11"/>
  <c r="J450" i="11"/>
  <c r="K450" i="11"/>
  <c r="M1079" i="11"/>
  <c r="O1079" i="11"/>
  <c r="N1079" i="11"/>
  <c r="N959" i="11"/>
  <c r="O959" i="11"/>
  <c r="M959" i="11"/>
  <c r="O851" i="11"/>
  <c r="N851" i="11"/>
  <c r="M851" i="11"/>
  <c r="O743" i="11"/>
  <c r="N743" i="11"/>
  <c r="M743" i="11"/>
  <c r="N623" i="11"/>
  <c r="M623" i="11"/>
  <c r="O623" i="11"/>
  <c r="M491" i="11"/>
  <c r="N491" i="11"/>
  <c r="O491" i="11"/>
  <c r="M383" i="11"/>
  <c r="N383" i="11"/>
  <c r="O383" i="11"/>
  <c r="M287" i="11"/>
  <c r="N287" i="11"/>
  <c r="O287" i="11"/>
  <c r="M179" i="11"/>
  <c r="N179" i="11"/>
  <c r="O179" i="11"/>
  <c r="M35" i="11"/>
  <c r="N35" i="11"/>
  <c r="O35" i="11"/>
  <c r="L355" i="11"/>
  <c r="J355" i="11"/>
  <c r="K355" i="11"/>
  <c r="L343" i="11"/>
  <c r="K343" i="11"/>
  <c r="J343" i="11"/>
  <c r="L331" i="11"/>
  <c r="K331" i="11"/>
  <c r="J331" i="11"/>
  <c r="L319" i="11"/>
  <c r="K319" i="11"/>
  <c r="J319" i="11"/>
  <c r="L307" i="11"/>
  <c r="K307" i="11"/>
  <c r="J307" i="11"/>
  <c r="L295" i="11"/>
  <c r="J295" i="11"/>
  <c r="K295" i="11"/>
  <c r="L283" i="11"/>
  <c r="J283" i="11"/>
  <c r="K283" i="11"/>
  <c r="L271" i="11"/>
  <c r="J271" i="11"/>
  <c r="K271" i="11"/>
  <c r="L259" i="11"/>
  <c r="K259" i="11"/>
  <c r="J259" i="11"/>
  <c r="L247" i="11"/>
  <c r="K247" i="11"/>
  <c r="J247" i="11"/>
  <c r="L235" i="11"/>
  <c r="K235" i="11"/>
  <c r="J235" i="11"/>
  <c r="L223" i="11"/>
  <c r="K223" i="11"/>
  <c r="J223" i="11"/>
  <c r="L211" i="11"/>
  <c r="J211" i="11"/>
  <c r="K211" i="11"/>
  <c r="L199" i="11"/>
  <c r="K199" i="11"/>
  <c r="J199" i="11"/>
  <c r="L187" i="11"/>
  <c r="K187" i="11"/>
  <c r="J187" i="11"/>
  <c r="L175" i="11"/>
  <c r="K175" i="11"/>
  <c r="J175" i="11"/>
  <c r="L163" i="11"/>
  <c r="K163" i="11"/>
  <c r="J163" i="11"/>
  <c r="L151" i="11"/>
  <c r="K151" i="11"/>
  <c r="J151" i="11"/>
  <c r="L139" i="11"/>
  <c r="K139" i="11"/>
  <c r="J139" i="11"/>
  <c r="L127" i="11"/>
  <c r="K127" i="11"/>
  <c r="J127" i="11"/>
  <c r="L115" i="11"/>
  <c r="K115" i="11"/>
  <c r="J115" i="11"/>
  <c r="L103" i="11"/>
  <c r="K103" i="11"/>
  <c r="J103" i="11"/>
  <c r="L91" i="11"/>
  <c r="K91" i="11"/>
  <c r="J91" i="11"/>
  <c r="L79" i="11"/>
  <c r="K79" i="11"/>
  <c r="J79" i="11"/>
  <c r="L67" i="11"/>
  <c r="K67" i="11"/>
  <c r="J67" i="11"/>
  <c r="L55" i="11"/>
  <c r="K55" i="11"/>
  <c r="J55" i="11"/>
  <c r="L43" i="11"/>
  <c r="K43" i="11"/>
  <c r="J43" i="11"/>
  <c r="L31" i="11"/>
  <c r="K31" i="11"/>
  <c r="J31" i="11"/>
  <c r="L19" i="11"/>
  <c r="K19" i="11"/>
  <c r="J19" i="11"/>
  <c r="L7" i="11"/>
  <c r="K7" i="11"/>
  <c r="J7" i="11"/>
  <c r="L1093" i="11"/>
  <c r="J1093" i="11"/>
  <c r="K1093" i="11"/>
  <c r="L1081" i="11"/>
  <c r="K1081" i="11"/>
  <c r="J1081" i="11"/>
  <c r="L1069" i="11"/>
  <c r="K1069" i="11"/>
  <c r="J1069" i="11"/>
  <c r="L1057" i="11"/>
  <c r="J1057" i="11"/>
  <c r="K1057" i="11"/>
  <c r="K1045" i="11"/>
  <c r="J1045" i="11"/>
  <c r="L1045" i="11"/>
  <c r="K1033" i="11"/>
  <c r="J1033" i="11"/>
  <c r="L1033" i="11"/>
  <c r="L1021" i="11"/>
  <c r="K1021" i="11"/>
  <c r="J1021" i="11"/>
  <c r="K1009" i="11"/>
  <c r="L1009" i="11"/>
  <c r="J1009" i="11"/>
  <c r="L997" i="11"/>
  <c r="K997" i="11"/>
  <c r="J997" i="11"/>
  <c r="L985" i="11"/>
  <c r="K985" i="11"/>
  <c r="J985" i="11"/>
  <c r="K973" i="11"/>
  <c r="L973" i="11"/>
  <c r="J973" i="11"/>
  <c r="J961" i="11"/>
  <c r="L961" i="11"/>
  <c r="K961" i="11"/>
  <c r="K949" i="11"/>
  <c r="L949" i="11"/>
  <c r="J949" i="11"/>
  <c r="L937" i="11"/>
  <c r="K937" i="11"/>
  <c r="J937" i="11"/>
  <c r="K925" i="11"/>
  <c r="J925" i="11"/>
  <c r="L925" i="11"/>
  <c r="L913" i="11"/>
  <c r="K913" i="11"/>
  <c r="J913" i="11"/>
  <c r="K901" i="11"/>
  <c r="L901" i="11"/>
  <c r="J901" i="11"/>
  <c r="K889" i="11"/>
  <c r="J889" i="11"/>
  <c r="L889" i="11"/>
  <c r="J877" i="11"/>
  <c r="K877" i="11"/>
  <c r="L877" i="11"/>
  <c r="K865" i="11"/>
  <c r="J865" i="11"/>
  <c r="L865" i="11"/>
  <c r="L853" i="11"/>
  <c r="K853" i="11"/>
  <c r="J853" i="11"/>
  <c r="L841" i="11"/>
  <c r="K841" i="11"/>
  <c r="J841" i="11"/>
  <c r="L829" i="11"/>
  <c r="J829" i="11"/>
  <c r="K829" i="11"/>
  <c r="L817" i="11"/>
  <c r="K817" i="11"/>
  <c r="J817" i="11"/>
  <c r="K805" i="11"/>
  <c r="L805" i="11"/>
  <c r="J805" i="11"/>
  <c r="L793" i="11"/>
  <c r="J793" i="11"/>
  <c r="K793" i="11"/>
  <c r="L781" i="11"/>
  <c r="K781" i="11"/>
  <c r="J781" i="11"/>
  <c r="L769" i="11"/>
  <c r="K769" i="11"/>
  <c r="J769" i="11"/>
  <c r="L757" i="11"/>
  <c r="J757" i="11"/>
  <c r="K757" i="11"/>
  <c r="L745" i="11"/>
  <c r="K745" i="11"/>
  <c r="J745" i="11"/>
  <c r="K733" i="11"/>
  <c r="L733" i="11"/>
  <c r="J733" i="11"/>
  <c r="L721" i="11"/>
  <c r="J721" i="11"/>
  <c r="K721" i="11"/>
  <c r="L709" i="11"/>
  <c r="K709" i="11"/>
  <c r="J709" i="11"/>
  <c r="L697" i="11"/>
  <c r="K697" i="11"/>
  <c r="J697" i="11"/>
  <c r="L685" i="11"/>
  <c r="K685" i="11"/>
  <c r="J685" i="11"/>
  <c r="L673" i="11"/>
  <c r="K673" i="11"/>
  <c r="J673" i="11"/>
  <c r="K661" i="11"/>
  <c r="J661" i="11"/>
  <c r="L661" i="11"/>
  <c r="L649" i="11"/>
  <c r="J649" i="11"/>
  <c r="K649" i="11"/>
  <c r="L637" i="11"/>
  <c r="K637" i="11"/>
  <c r="J637" i="11"/>
  <c r="L625" i="11"/>
  <c r="K625" i="11"/>
  <c r="J625" i="11"/>
  <c r="L613" i="11"/>
  <c r="K613" i="11"/>
  <c r="J613" i="11"/>
  <c r="L601" i="11"/>
  <c r="K601" i="11"/>
  <c r="J601" i="11"/>
  <c r="K589" i="11"/>
  <c r="L589" i="11"/>
  <c r="J589" i="11"/>
  <c r="L576" i="11"/>
  <c r="K576" i="11"/>
  <c r="J576" i="11"/>
  <c r="J564" i="11"/>
  <c r="L564" i="11"/>
  <c r="K564" i="11"/>
  <c r="L552" i="11"/>
  <c r="K552" i="11"/>
  <c r="J552" i="11"/>
  <c r="L540" i="11"/>
  <c r="J540" i="11"/>
  <c r="K540" i="11"/>
  <c r="L528" i="11"/>
  <c r="K528" i="11"/>
  <c r="J528" i="11"/>
  <c r="L516" i="11"/>
  <c r="K516" i="11"/>
  <c r="J516" i="11"/>
  <c r="L504" i="11"/>
  <c r="J504" i="11"/>
  <c r="K504" i="11"/>
  <c r="L490" i="11"/>
  <c r="K490" i="11"/>
  <c r="J490" i="11"/>
  <c r="L478" i="11"/>
  <c r="K478" i="11"/>
  <c r="J478" i="11"/>
  <c r="K466" i="11"/>
  <c r="J466" i="11"/>
  <c r="L466" i="11"/>
  <c r="L454" i="11"/>
  <c r="K454" i="11"/>
  <c r="J454" i="11"/>
  <c r="L442" i="11"/>
  <c r="K442" i="11"/>
  <c r="J442" i="11"/>
  <c r="K430" i="11"/>
  <c r="L430" i="11"/>
  <c r="J430" i="11"/>
  <c r="L418" i="11"/>
  <c r="K418" i="11"/>
  <c r="J418" i="11"/>
  <c r="K406" i="11"/>
  <c r="L406" i="11"/>
  <c r="J406" i="11"/>
  <c r="L394" i="11"/>
  <c r="K394" i="11"/>
  <c r="J394" i="11"/>
  <c r="K382" i="11"/>
  <c r="L382" i="11"/>
  <c r="J382" i="11"/>
  <c r="L368" i="11"/>
  <c r="J368" i="11"/>
  <c r="K368" i="11"/>
  <c r="M1083" i="11"/>
  <c r="O1083" i="11"/>
  <c r="N1083" i="11"/>
  <c r="M1071" i="11"/>
  <c r="N1071" i="11"/>
  <c r="O1071" i="11"/>
  <c r="M1059" i="11"/>
  <c r="N1059" i="11"/>
  <c r="O1059" i="11"/>
  <c r="M1047" i="11"/>
  <c r="N1047" i="11"/>
  <c r="O1047" i="11"/>
  <c r="M1035" i="11"/>
  <c r="N1035" i="11"/>
  <c r="O1035" i="11"/>
  <c r="M1023" i="11"/>
  <c r="N1023" i="11"/>
  <c r="O1023" i="11"/>
  <c r="M1011" i="11"/>
  <c r="O1011" i="11"/>
  <c r="N1011" i="11"/>
  <c r="M999" i="11"/>
  <c r="N999" i="11"/>
  <c r="O999" i="11"/>
  <c r="M987" i="11"/>
  <c r="N987" i="11"/>
  <c r="O987" i="11"/>
  <c r="N975" i="11"/>
  <c r="O975" i="11"/>
  <c r="M975" i="11"/>
  <c r="M963" i="11"/>
  <c r="N963" i="11"/>
  <c r="O963" i="11"/>
  <c r="M951" i="11"/>
  <c r="N951" i="11"/>
  <c r="O951" i="11"/>
  <c r="M939" i="11"/>
  <c r="N939" i="11"/>
  <c r="O939" i="11"/>
  <c r="N927" i="11"/>
  <c r="O927" i="11"/>
  <c r="M927" i="11"/>
  <c r="M915" i="11"/>
  <c r="N915" i="11"/>
  <c r="O915" i="11"/>
  <c r="M903" i="11"/>
  <c r="N903" i="11"/>
  <c r="O903" i="11"/>
  <c r="M891" i="11"/>
  <c r="N891" i="11"/>
  <c r="O891" i="11"/>
  <c r="N879" i="11"/>
  <c r="O879" i="11"/>
  <c r="M879" i="11"/>
  <c r="M867" i="11"/>
  <c r="O867" i="11"/>
  <c r="N867" i="11"/>
  <c r="M855" i="11"/>
  <c r="N855" i="11"/>
  <c r="O855" i="11"/>
  <c r="M843" i="11"/>
  <c r="N843" i="11"/>
  <c r="O843" i="11"/>
  <c r="N831" i="11"/>
  <c r="O831" i="11"/>
  <c r="M831" i="11"/>
  <c r="M819" i="11"/>
  <c r="N819" i="11"/>
  <c r="O819" i="11"/>
  <c r="M807" i="11"/>
  <c r="N807" i="11"/>
  <c r="O807" i="11"/>
  <c r="N795" i="11"/>
  <c r="O795" i="11"/>
  <c r="M795" i="11"/>
  <c r="M783" i="11"/>
  <c r="N783" i="11"/>
  <c r="O783" i="11"/>
  <c r="N771" i="11"/>
  <c r="O771" i="11"/>
  <c r="M771" i="11"/>
  <c r="M759" i="11"/>
  <c r="N759" i="11"/>
  <c r="O759" i="11"/>
  <c r="N747" i="11"/>
  <c r="O747" i="11"/>
  <c r="M747" i="11"/>
  <c r="O735" i="11"/>
  <c r="N735" i="11"/>
  <c r="M735" i="11"/>
  <c r="O723" i="11"/>
  <c r="N723" i="11"/>
  <c r="M723" i="11"/>
  <c r="O711" i="11"/>
  <c r="N711" i="11"/>
  <c r="M711" i="11"/>
  <c r="O699" i="11"/>
  <c r="N699" i="11"/>
  <c r="M699" i="11"/>
  <c r="O687" i="11"/>
  <c r="N687" i="11"/>
  <c r="M687" i="11"/>
  <c r="O675" i="11"/>
  <c r="N675" i="11"/>
  <c r="M675" i="11"/>
  <c r="O663" i="11"/>
  <c r="M663" i="11"/>
  <c r="N663" i="11"/>
  <c r="O651" i="11"/>
  <c r="N651" i="11"/>
  <c r="M651" i="11"/>
  <c r="O639" i="11"/>
  <c r="M639" i="11"/>
  <c r="N639" i="11"/>
  <c r="N627" i="11"/>
  <c r="M627" i="11"/>
  <c r="O627" i="11"/>
  <c r="N615" i="11"/>
  <c r="M615" i="11"/>
  <c r="O615" i="11"/>
  <c r="N603" i="11"/>
  <c r="M603" i="11"/>
  <c r="O603" i="11"/>
  <c r="N591" i="11"/>
  <c r="M591" i="11"/>
  <c r="O591" i="11"/>
  <c r="N579" i="11"/>
  <c r="M579" i="11"/>
  <c r="O579" i="11"/>
  <c r="N567" i="11"/>
  <c r="M567" i="11"/>
  <c r="O567" i="11"/>
  <c r="M555" i="11"/>
  <c r="N555" i="11"/>
  <c r="O555" i="11"/>
  <c r="M543" i="11"/>
  <c r="N543" i="11"/>
  <c r="O543" i="11"/>
  <c r="M531" i="11"/>
  <c r="N531" i="11"/>
  <c r="O531" i="11"/>
  <c r="M519" i="11"/>
  <c r="N519" i="11"/>
  <c r="O519" i="11"/>
  <c r="M507" i="11"/>
  <c r="N507" i="11"/>
  <c r="O507" i="11"/>
  <c r="M495" i="11"/>
  <c r="N495" i="11"/>
  <c r="O495" i="11"/>
  <c r="M483" i="11"/>
  <c r="N483" i="11"/>
  <c r="O483" i="11"/>
  <c r="M471" i="11"/>
  <c r="N471" i="11"/>
  <c r="O471" i="11"/>
  <c r="M459" i="11"/>
  <c r="N459" i="11"/>
  <c r="O459" i="11"/>
  <c r="M447" i="11"/>
  <c r="N447" i="11"/>
  <c r="O447" i="11"/>
  <c r="M435" i="11"/>
  <c r="N435" i="11"/>
  <c r="O435" i="11"/>
  <c r="M423" i="11"/>
  <c r="N423" i="11"/>
  <c r="O423" i="11"/>
  <c r="M411" i="11"/>
  <c r="N411" i="11"/>
  <c r="O411" i="11"/>
  <c r="M399" i="11"/>
  <c r="N399" i="11"/>
  <c r="O399" i="11"/>
  <c r="M387" i="11"/>
  <c r="N387" i="11"/>
  <c r="O387" i="11"/>
  <c r="M375" i="11"/>
  <c r="N375" i="11"/>
  <c r="O375" i="11"/>
  <c r="M363" i="11"/>
  <c r="N363" i="11"/>
  <c r="O363" i="11"/>
  <c r="M351" i="11"/>
  <c r="N351" i="11"/>
  <c r="O351" i="11"/>
  <c r="M339" i="11"/>
  <c r="N339" i="11"/>
  <c r="O339" i="11"/>
  <c r="M327" i="11"/>
  <c r="N327" i="11"/>
  <c r="O327" i="11"/>
  <c r="M315" i="11"/>
  <c r="N315" i="11"/>
  <c r="O315" i="11"/>
  <c r="M303" i="11"/>
  <c r="N303" i="11"/>
  <c r="O303" i="11"/>
  <c r="M291" i="11"/>
  <c r="N291" i="11"/>
  <c r="O291" i="11"/>
  <c r="M279" i="11"/>
  <c r="N279" i="11"/>
  <c r="O279" i="11"/>
  <c r="M267" i="11"/>
  <c r="N267" i="11"/>
  <c r="O267" i="11"/>
  <c r="M255" i="11"/>
  <c r="N255" i="11"/>
  <c r="O255" i="11"/>
  <c r="M243" i="11"/>
  <c r="N243" i="11"/>
  <c r="O243" i="11"/>
  <c r="M231" i="11"/>
  <c r="N231" i="11"/>
  <c r="O231" i="11"/>
  <c r="M219" i="11"/>
  <c r="N219" i="11"/>
  <c r="O219" i="11"/>
  <c r="M207" i="11"/>
  <c r="N207" i="11"/>
  <c r="O207" i="11"/>
  <c r="M195" i="11"/>
  <c r="N195" i="11"/>
  <c r="O195" i="11"/>
  <c r="M183" i="11"/>
  <c r="N183" i="11"/>
  <c r="O183" i="11"/>
  <c r="M171" i="11"/>
  <c r="N171" i="11"/>
  <c r="O171" i="11"/>
  <c r="M159" i="11"/>
  <c r="N159" i="11"/>
  <c r="O159" i="11"/>
  <c r="M147" i="11"/>
  <c r="N147" i="11"/>
  <c r="O147" i="11"/>
  <c r="M135" i="11"/>
  <c r="N135" i="11"/>
  <c r="O135" i="11"/>
  <c r="M123" i="11"/>
  <c r="N123" i="11"/>
  <c r="O123" i="11"/>
  <c r="M111" i="11"/>
  <c r="N111" i="11"/>
  <c r="O111" i="11"/>
  <c r="M99" i="11"/>
  <c r="N99" i="11"/>
  <c r="O99" i="11"/>
  <c r="M87" i="11"/>
  <c r="N87" i="11"/>
  <c r="O87" i="11"/>
  <c r="M75" i="11"/>
  <c r="N75" i="11"/>
  <c r="O75" i="11"/>
  <c r="M63" i="11"/>
  <c r="N63" i="11"/>
  <c r="O63" i="11"/>
  <c r="M51" i="11"/>
  <c r="N51" i="11"/>
  <c r="O51" i="11"/>
  <c r="M39" i="11"/>
  <c r="N39" i="11"/>
  <c r="O39" i="11"/>
  <c r="M27" i="11"/>
  <c r="N27" i="11"/>
  <c r="O27" i="11"/>
  <c r="M15" i="11"/>
  <c r="N15" i="11"/>
  <c r="O15" i="11"/>
  <c r="L340" i="11"/>
  <c r="K340" i="11"/>
  <c r="J340" i="11"/>
  <c r="L220" i="11"/>
  <c r="K220" i="11"/>
  <c r="J220" i="11"/>
  <c r="L100" i="11"/>
  <c r="J100" i="11"/>
  <c r="K100" i="11"/>
  <c r="L1066" i="11"/>
  <c r="K1066" i="11"/>
  <c r="J1066" i="11"/>
  <c r="L946" i="11"/>
  <c r="K946" i="11"/>
  <c r="J946" i="11"/>
  <c r="L814" i="11"/>
  <c r="K814" i="11"/>
  <c r="J814" i="11"/>
  <c r="L670" i="11"/>
  <c r="K670" i="11"/>
  <c r="J670" i="11"/>
  <c r="L549" i="11"/>
  <c r="K549" i="11"/>
  <c r="J549" i="11"/>
  <c r="L439" i="11"/>
  <c r="J439" i="11"/>
  <c r="K439" i="11"/>
  <c r="M372" i="11"/>
  <c r="N372" i="11"/>
  <c r="O372" i="11"/>
  <c r="L339" i="11"/>
  <c r="K339" i="11"/>
  <c r="J339" i="11"/>
  <c r="L219" i="11"/>
  <c r="K219" i="11"/>
  <c r="J219" i="11"/>
  <c r="L111" i="11"/>
  <c r="J111" i="11"/>
  <c r="K111" i="11"/>
  <c r="L1089" i="11"/>
  <c r="K1089" i="11"/>
  <c r="J1089" i="11"/>
  <c r="L969" i="11"/>
  <c r="J969" i="11"/>
  <c r="K969" i="11"/>
  <c r="L849" i="11"/>
  <c r="K849" i="11"/>
  <c r="J849" i="11"/>
  <c r="L717" i="11"/>
  <c r="K717" i="11"/>
  <c r="J717" i="11"/>
  <c r="L585" i="11"/>
  <c r="K585" i="11"/>
  <c r="J585" i="11"/>
  <c r="L486" i="11"/>
  <c r="J486" i="11"/>
  <c r="K486" i="11"/>
  <c r="L492" i="11"/>
  <c r="K492" i="11"/>
  <c r="J492" i="11"/>
  <c r="K493" i="11"/>
  <c r="J493" i="11"/>
  <c r="L493" i="11"/>
  <c r="M1067" i="11"/>
  <c r="O1067" i="11"/>
  <c r="N1067" i="11"/>
  <c r="N923" i="11"/>
  <c r="O923" i="11"/>
  <c r="M923" i="11"/>
  <c r="O803" i="11"/>
  <c r="M803" i="11"/>
  <c r="N803" i="11"/>
  <c r="O707" i="11"/>
  <c r="M707" i="11"/>
  <c r="N707" i="11"/>
  <c r="N563" i="11"/>
  <c r="M563" i="11"/>
  <c r="O563" i="11"/>
  <c r="M455" i="11"/>
  <c r="N455" i="11"/>
  <c r="O455" i="11"/>
  <c r="M311" i="11"/>
  <c r="N311" i="11"/>
  <c r="O311" i="11"/>
  <c r="M167" i="11"/>
  <c r="N167" i="11"/>
  <c r="O167" i="11"/>
  <c r="M11" i="11"/>
  <c r="N11" i="11"/>
  <c r="O11" i="11"/>
  <c r="L354" i="11"/>
  <c r="K354" i="11"/>
  <c r="J354" i="11"/>
  <c r="J342" i="11"/>
  <c r="K342" i="11"/>
  <c r="L342" i="11"/>
  <c r="L330" i="11"/>
  <c r="K330" i="11"/>
  <c r="J330" i="11"/>
  <c r="L318" i="11"/>
  <c r="K318" i="11"/>
  <c r="J318" i="11"/>
  <c r="L306" i="11"/>
  <c r="K306" i="11"/>
  <c r="J306" i="11"/>
  <c r="L294" i="11"/>
  <c r="J294" i="11"/>
  <c r="K294" i="11"/>
  <c r="L282" i="11"/>
  <c r="J282" i="11"/>
  <c r="K282" i="11"/>
  <c r="L270" i="11"/>
  <c r="K270" i="11"/>
  <c r="J270" i="11"/>
  <c r="L258" i="11"/>
  <c r="K258" i="11"/>
  <c r="J258" i="11"/>
  <c r="L246" i="11"/>
  <c r="K246" i="11"/>
  <c r="J246" i="11"/>
  <c r="L234" i="11"/>
  <c r="K234" i="11"/>
  <c r="J234" i="11"/>
  <c r="L222" i="11"/>
  <c r="K222" i="11"/>
  <c r="J222" i="11"/>
  <c r="L210" i="11"/>
  <c r="J210" i="11"/>
  <c r="K210" i="11"/>
  <c r="L198" i="11"/>
  <c r="J198" i="11"/>
  <c r="K198" i="11"/>
  <c r="K186" i="11"/>
  <c r="L186" i="11"/>
  <c r="J186" i="11"/>
  <c r="L174" i="11"/>
  <c r="J174" i="11"/>
  <c r="K174" i="11"/>
  <c r="L162" i="11"/>
  <c r="K162" i="11"/>
  <c r="J162" i="11"/>
  <c r="L150" i="11"/>
  <c r="K150" i="11"/>
  <c r="J150" i="11"/>
  <c r="L138" i="11"/>
  <c r="J138" i="11"/>
  <c r="K138" i="11"/>
  <c r="L126" i="11"/>
  <c r="K126" i="11"/>
  <c r="J126" i="11"/>
  <c r="K114" i="11"/>
  <c r="L114" i="11"/>
  <c r="J114" i="11"/>
  <c r="L102" i="11"/>
  <c r="J102" i="11"/>
  <c r="K102" i="11"/>
  <c r="L90" i="11"/>
  <c r="K90" i="11"/>
  <c r="J90" i="11"/>
  <c r="K78" i="11"/>
  <c r="J78" i="11"/>
  <c r="L78" i="11"/>
  <c r="L66" i="11"/>
  <c r="K66" i="11"/>
  <c r="J66" i="11"/>
  <c r="L54" i="11"/>
  <c r="J54" i="11"/>
  <c r="K54" i="11"/>
  <c r="L42" i="11"/>
  <c r="K42" i="11"/>
  <c r="J42" i="11"/>
  <c r="L30" i="11"/>
  <c r="K30" i="11"/>
  <c r="J30" i="11"/>
  <c r="L18" i="11"/>
  <c r="K18" i="11"/>
  <c r="J18" i="11"/>
  <c r="L6" i="11"/>
  <c r="J6" i="11"/>
  <c r="K6" i="11"/>
  <c r="L1092" i="11"/>
  <c r="J1092" i="11"/>
  <c r="K1092" i="11"/>
  <c r="L1080" i="11"/>
  <c r="K1080" i="11"/>
  <c r="J1080" i="11"/>
  <c r="L1068" i="11"/>
  <c r="K1068" i="11"/>
  <c r="J1068" i="11"/>
  <c r="L1056" i="11"/>
  <c r="J1056" i="11"/>
  <c r="K1056" i="11"/>
  <c r="K1044" i="11"/>
  <c r="J1044" i="11"/>
  <c r="L1044" i="11"/>
  <c r="L1032" i="11"/>
  <c r="K1032" i="11"/>
  <c r="J1032" i="11"/>
  <c r="L1020" i="11"/>
  <c r="J1020" i="11"/>
  <c r="K1020" i="11"/>
  <c r="L1008" i="11"/>
  <c r="K1008" i="11"/>
  <c r="J1008" i="11"/>
  <c r="L996" i="11"/>
  <c r="K996" i="11"/>
  <c r="J996" i="11"/>
  <c r="L984" i="11"/>
  <c r="K984" i="11"/>
  <c r="J984" i="11"/>
  <c r="K972" i="11"/>
  <c r="J972" i="11"/>
  <c r="L972" i="11"/>
  <c r="L960" i="11"/>
  <c r="J960" i="11"/>
  <c r="K960" i="11"/>
  <c r="K948" i="11"/>
  <c r="L948" i="11"/>
  <c r="J948" i="11"/>
  <c r="L936" i="11"/>
  <c r="K936" i="11"/>
  <c r="J936" i="11"/>
  <c r="K924" i="11"/>
  <c r="J924" i="11"/>
  <c r="L924" i="11"/>
  <c r="L912" i="11"/>
  <c r="K912" i="11"/>
  <c r="J912" i="11"/>
  <c r="K900" i="11"/>
  <c r="L900" i="11"/>
  <c r="J900" i="11"/>
  <c r="L888" i="11"/>
  <c r="K888" i="11"/>
  <c r="J888" i="11"/>
  <c r="L876" i="11"/>
  <c r="J876" i="11"/>
  <c r="K876" i="11"/>
  <c r="L864" i="11"/>
  <c r="K864" i="11"/>
  <c r="J864" i="11"/>
  <c r="L852" i="11"/>
  <c r="K852" i="11"/>
  <c r="J852" i="11"/>
  <c r="L840" i="11"/>
  <c r="K840" i="11"/>
  <c r="J840" i="11"/>
  <c r="L828" i="11"/>
  <c r="J828" i="11"/>
  <c r="K828" i="11"/>
  <c r="L816" i="11"/>
  <c r="K816" i="11"/>
  <c r="J816" i="11"/>
  <c r="L804" i="11"/>
  <c r="K804" i="11"/>
  <c r="J804" i="11"/>
  <c r="L792" i="11"/>
  <c r="K792" i="11"/>
  <c r="J792" i="11"/>
  <c r="L780" i="11"/>
  <c r="K780" i="11"/>
  <c r="J780" i="11"/>
  <c r="L768" i="11"/>
  <c r="K768" i="11"/>
  <c r="J768" i="11"/>
  <c r="L756" i="11"/>
  <c r="K756" i="11"/>
  <c r="J756" i="11"/>
  <c r="L744" i="11"/>
  <c r="K744" i="11"/>
  <c r="J744" i="11"/>
  <c r="L732" i="11"/>
  <c r="K732" i="11"/>
  <c r="J732" i="11"/>
  <c r="L720" i="11"/>
  <c r="J720" i="11"/>
  <c r="K720" i="11"/>
  <c r="J708" i="11"/>
  <c r="L708" i="11"/>
  <c r="K708" i="11"/>
  <c r="L696" i="11"/>
  <c r="K696" i="11"/>
  <c r="J696" i="11"/>
  <c r="L684" i="11"/>
  <c r="K684" i="11"/>
  <c r="J684" i="11"/>
  <c r="L672" i="11"/>
  <c r="K672" i="11"/>
  <c r="J672" i="11"/>
  <c r="L660" i="11"/>
  <c r="J660" i="11"/>
  <c r="K660" i="11"/>
  <c r="L648" i="11"/>
  <c r="J648" i="11"/>
  <c r="K648" i="11"/>
  <c r="L636" i="11"/>
  <c r="K636" i="11"/>
  <c r="J636" i="11"/>
  <c r="L624" i="11"/>
  <c r="J624" i="11"/>
  <c r="K624" i="11"/>
  <c r="L612" i="11"/>
  <c r="K612" i="11"/>
  <c r="J612" i="11"/>
  <c r="L600" i="11"/>
  <c r="K600" i="11"/>
  <c r="J600" i="11"/>
  <c r="L588" i="11"/>
  <c r="J588" i="11"/>
  <c r="K588" i="11"/>
  <c r="L575" i="11"/>
  <c r="K575" i="11"/>
  <c r="J575" i="11"/>
  <c r="L563" i="11"/>
  <c r="K563" i="11"/>
  <c r="J563" i="11"/>
  <c r="L551" i="11"/>
  <c r="K551" i="11"/>
  <c r="J551" i="11"/>
  <c r="L539" i="11"/>
  <c r="K539" i="11"/>
  <c r="J539" i="11"/>
  <c r="L527" i="11"/>
  <c r="K527" i="11"/>
  <c r="J527" i="11"/>
  <c r="L515" i="11"/>
  <c r="K515" i="11"/>
  <c r="J515" i="11"/>
  <c r="K503" i="11"/>
  <c r="L503" i="11"/>
  <c r="J503" i="11"/>
  <c r="K489" i="11"/>
  <c r="L489" i="11"/>
  <c r="J489" i="11"/>
  <c r="L477" i="11"/>
  <c r="K477" i="11"/>
  <c r="J477" i="11"/>
  <c r="K465" i="11"/>
  <c r="J465" i="11"/>
  <c r="L465" i="11"/>
  <c r="L453" i="11"/>
  <c r="K453" i="11"/>
  <c r="J453" i="11"/>
  <c r="L441" i="11"/>
  <c r="K441" i="11"/>
  <c r="J441" i="11"/>
  <c r="L429" i="11"/>
  <c r="K429" i="11"/>
  <c r="J429" i="11"/>
  <c r="L417" i="11"/>
  <c r="K417" i="11"/>
  <c r="J417" i="11"/>
  <c r="K405" i="11"/>
  <c r="L405" i="11"/>
  <c r="J405" i="11"/>
  <c r="L393" i="11"/>
  <c r="K393" i="11"/>
  <c r="J393" i="11"/>
  <c r="K381" i="11"/>
  <c r="L381" i="11"/>
  <c r="J381" i="11"/>
  <c r="L367" i="11"/>
  <c r="J367" i="11"/>
  <c r="K367" i="11"/>
  <c r="M1082" i="11"/>
  <c r="N1082" i="11"/>
  <c r="O1082" i="11"/>
  <c r="M1070" i="11"/>
  <c r="N1070" i="11"/>
  <c r="O1070" i="11"/>
  <c r="M1058" i="11"/>
  <c r="N1058" i="11"/>
  <c r="O1058" i="11"/>
  <c r="M1046" i="11"/>
  <c r="N1046" i="11"/>
  <c r="O1046" i="11"/>
  <c r="M1034" i="11"/>
  <c r="N1034" i="11"/>
  <c r="O1034" i="11"/>
  <c r="M1022" i="11"/>
  <c r="N1022" i="11"/>
  <c r="O1022" i="11"/>
  <c r="M1010" i="11"/>
  <c r="N1010" i="11"/>
  <c r="O1010" i="11"/>
  <c r="M998" i="11"/>
  <c r="N998" i="11"/>
  <c r="O998" i="11"/>
  <c r="M986" i="11"/>
  <c r="N986" i="11"/>
  <c r="O986" i="11"/>
  <c r="M974" i="11"/>
  <c r="N974" i="11"/>
  <c r="O974" i="11"/>
  <c r="M962" i="11"/>
  <c r="N962" i="11"/>
  <c r="O962" i="11"/>
  <c r="M950" i="11"/>
  <c r="N950" i="11"/>
  <c r="O950" i="11"/>
  <c r="M938" i="11"/>
  <c r="N938" i="11"/>
  <c r="O938" i="11"/>
  <c r="M926" i="11"/>
  <c r="N926" i="11"/>
  <c r="O926" i="11"/>
  <c r="M914" i="11"/>
  <c r="N914" i="11"/>
  <c r="O914" i="11"/>
  <c r="M902" i="11"/>
  <c r="N902" i="11"/>
  <c r="O902" i="11"/>
  <c r="M890" i="11"/>
  <c r="N890" i="11"/>
  <c r="O890" i="11"/>
  <c r="M878" i="11"/>
  <c r="N878" i="11"/>
  <c r="O878" i="11"/>
  <c r="M866" i="11"/>
  <c r="N866" i="11"/>
  <c r="O866" i="11"/>
  <c r="M854" i="11"/>
  <c r="N854" i="11"/>
  <c r="O854" i="11"/>
  <c r="M842" i="11"/>
  <c r="N842" i="11"/>
  <c r="O842" i="11"/>
  <c r="M830" i="11"/>
  <c r="N830" i="11"/>
  <c r="O830" i="11"/>
  <c r="M818" i="11"/>
  <c r="N818" i="11"/>
  <c r="O818" i="11"/>
  <c r="M806" i="11"/>
  <c r="N806" i="11"/>
  <c r="O806" i="11"/>
  <c r="M794" i="11"/>
  <c r="N794" i="11"/>
  <c r="O794" i="11"/>
  <c r="M782" i="11"/>
  <c r="O782" i="11"/>
  <c r="N782" i="11"/>
  <c r="M770" i="11"/>
  <c r="N770" i="11"/>
  <c r="O770" i="11"/>
  <c r="M758" i="11"/>
  <c r="O758" i="11"/>
  <c r="N758" i="11"/>
  <c r="M746" i="11"/>
  <c r="N746" i="11"/>
  <c r="O746" i="11"/>
  <c r="M734" i="11"/>
  <c r="N734" i="11"/>
  <c r="O734" i="11"/>
  <c r="M722" i="11"/>
  <c r="N722" i="11"/>
  <c r="O722" i="11"/>
  <c r="M710" i="11"/>
  <c r="O710" i="11"/>
  <c r="N710" i="11"/>
  <c r="M698" i="11"/>
  <c r="N698" i="11"/>
  <c r="O698" i="11"/>
  <c r="M686" i="11"/>
  <c r="N686" i="11"/>
  <c r="O686" i="11"/>
  <c r="M674" i="11"/>
  <c r="N674" i="11"/>
  <c r="O674" i="11"/>
  <c r="M662" i="11"/>
  <c r="O662" i="11"/>
  <c r="N662" i="11"/>
  <c r="M650" i="11"/>
  <c r="N650" i="11"/>
  <c r="O650" i="11"/>
  <c r="M638" i="11"/>
  <c r="N638" i="11"/>
  <c r="O638" i="11"/>
  <c r="O626" i="11"/>
  <c r="M626" i="11"/>
  <c r="N626" i="11"/>
  <c r="O614" i="11"/>
  <c r="M614" i="11"/>
  <c r="N614" i="11"/>
  <c r="O602" i="11"/>
  <c r="M602" i="11"/>
  <c r="N602" i="11"/>
  <c r="O590" i="11"/>
  <c r="N590" i="11"/>
  <c r="M590" i="11"/>
  <c r="O578" i="11"/>
  <c r="M578" i="11"/>
  <c r="N578" i="11"/>
  <c r="O566" i="11"/>
  <c r="M566" i="11"/>
  <c r="N566" i="11"/>
  <c r="N554" i="11"/>
  <c r="O554" i="11"/>
  <c r="M554" i="11"/>
  <c r="M542" i="11"/>
  <c r="N542" i="11"/>
  <c r="O542" i="11"/>
  <c r="O530" i="11"/>
  <c r="M530" i="11"/>
  <c r="N530" i="11"/>
  <c r="N518" i="11"/>
  <c r="O518" i="11"/>
  <c r="M518" i="11"/>
  <c r="N506" i="11"/>
  <c r="O506" i="11"/>
  <c r="M506" i="11"/>
  <c r="M494" i="11"/>
  <c r="N494" i="11"/>
  <c r="O494" i="11"/>
  <c r="N482" i="11"/>
  <c r="O482" i="11"/>
  <c r="M482" i="11"/>
  <c r="O470" i="11"/>
  <c r="M470" i="11"/>
  <c r="N470" i="11"/>
  <c r="N458" i="11"/>
  <c r="O458" i="11"/>
  <c r="M458" i="11"/>
  <c r="M446" i="11"/>
  <c r="N446" i="11"/>
  <c r="O446" i="11"/>
  <c r="N434" i="11"/>
  <c r="O434" i="11"/>
  <c r="M434" i="11"/>
  <c r="N422" i="11"/>
  <c r="O422" i="11"/>
  <c r="M422" i="11"/>
  <c r="M410" i="11"/>
  <c r="N410" i="11"/>
  <c r="O410" i="11"/>
  <c r="N398" i="11"/>
  <c r="O398" i="11"/>
  <c r="M398" i="11"/>
  <c r="M386" i="11"/>
  <c r="N386" i="11"/>
  <c r="O386" i="11"/>
  <c r="M374" i="11"/>
  <c r="N374" i="11"/>
  <c r="O374" i="11"/>
  <c r="M362" i="11"/>
  <c r="N362" i="11"/>
  <c r="O362" i="11"/>
  <c r="M350" i="11"/>
  <c r="N350" i="11"/>
  <c r="O350" i="11"/>
  <c r="M338" i="11"/>
  <c r="N338" i="11"/>
  <c r="O338" i="11"/>
  <c r="M326" i="11"/>
  <c r="N326" i="11"/>
  <c r="O326" i="11"/>
  <c r="M314" i="11"/>
  <c r="N314" i="11"/>
  <c r="O314" i="11"/>
  <c r="M302" i="11"/>
  <c r="N302" i="11"/>
  <c r="O302" i="11"/>
  <c r="M290" i="11"/>
  <c r="N290" i="11"/>
  <c r="O290" i="11"/>
  <c r="M278" i="11"/>
  <c r="N278" i="11"/>
  <c r="O278" i="11"/>
  <c r="M266" i="11"/>
  <c r="N266" i="11"/>
  <c r="O266" i="11"/>
  <c r="M254" i="11"/>
  <c r="N254" i="11"/>
  <c r="O254" i="11"/>
  <c r="M242" i="11"/>
  <c r="N242" i="11"/>
  <c r="O242" i="11"/>
  <c r="M230" i="11"/>
  <c r="N230" i="11"/>
  <c r="O230" i="11"/>
  <c r="M218" i="11"/>
  <c r="N218" i="11"/>
  <c r="O218" i="11"/>
  <c r="M206" i="11"/>
  <c r="N206" i="11"/>
  <c r="O206" i="11"/>
  <c r="M194" i="11"/>
  <c r="N194" i="11"/>
  <c r="O194" i="11"/>
  <c r="M182" i="11"/>
  <c r="N182" i="11"/>
  <c r="O182" i="11"/>
  <c r="M170" i="11"/>
  <c r="N170" i="11"/>
  <c r="O170" i="11"/>
  <c r="M158" i="11"/>
  <c r="N158" i="11"/>
  <c r="O158" i="11"/>
  <c r="M146" i="11"/>
  <c r="N146" i="11"/>
  <c r="O146" i="11"/>
  <c r="M134" i="11"/>
  <c r="N134" i="11"/>
  <c r="O134" i="11"/>
  <c r="M122" i="11"/>
  <c r="N122" i="11"/>
  <c r="O122" i="11"/>
  <c r="M110" i="11"/>
  <c r="N110" i="11"/>
  <c r="O110" i="11"/>
  <c r="M98" i="11"/>
  <c r="N98" i="11"/>
  <c r="O98" i="11"/>
  <c r="M86" i="11"/>
  <c r="N86" i="11"/>
  <c r="O86" i="11"/>
  <c r="M74" i="11"/>
  <c r="N74" i="11"/>
  <c r="O74" i="11"/>
  <c r="M62" i="11"/>
  <c r="N62" i="11"/>
  <c r="O62" i="11"/>
  <c r="M50" i="11"/>
  <c r="N50" i="11"/>
  <c r="O50" i="11"/>
  <c r="M38" i="11"/>
  <c r="N38" i="11"/>
  <c r="O38" i="11"/>
  <c r="M26" i="11"/>
  <c r="N26" i="11"/>
  <c r="O26" i="11"/>
  <c r="M14" i="11"/>
  <c r="N14" i="11"/>
  <c r="O14" i="11"/>
  <c r="L328" i="11"/>
  <c r="K328" i="11"/>
  <c r="J328" i="11"/>
  <c r="L172" i="11"/>
  <c r="K172" i="11"/>
  <c r="J172" i="11"/>
  <c r="L28" i="11"/>
  <c r="K28" i="11"/>
  <c r="J28" i="11"/>
  <c r="L982" i="11"/>
  <c r="K982" i="11"/>
  <c r="J982" i="11"/>
  <c r="L850" i="11"/>
  <c r="K850" i="11"/>
  <c r="J850" i="11"/>
  <c r="L718" i="11"/>
  <c r="K718" i="11"/>
  <c r="J718" i="11"/>
  <c r="L573" i="11"/>
  <c r="K573" i="11"/>
  <c r="J573" i="11"/>
  <c r="L451" i="11"/>
  <c r="K451" i="11"/>
  <c r="J451" i="11"/>
  <c r="N288" i="11"/>
  <c r="O288" i="11"/>
  <c r="M288" i="11"/>
  <c r="L267" i="11"/>
  <c r="K267" i="11"/>
  <c r="J267" i="11"/>
  <c r="L147" i="11"/>
  <c r="J147" i="11"/>
  <c r="K147" i="11"/>
  <c r="K39" i="11"/>
  <c r="L39" i="11"/>
  <c r="J39" i="11"/>
  <c r="L1017" i="11"/>
  <c r="J1017" i="11"/>
  <c r="K1017" i="11"/>
  <c r="L897" i="11"/>
  <c r="J897" i="11"/>
  <c r="K897" i="11"/>
  <c r="L789" i="11"/>
  <c r="K789" i="11"/>
  <c r="J789" i="11"/>
  <c r="L669" i="11"/>
  <c r="K669" i="11"/>
  <c r="J669" i="11"/>
  <c r="L548" i="11"/>
  <c r="J548" i="11"/>
  <c r="K548" i="11"/>
  <c r="L426" i="11"/>
  <c r="K426" i="11"/>
  <c r="J426" i="11"/>
  <c r="O995" i="11"/>
  <c r="N995" i="11"/>
  <c r="M995" i="11"/>
  <c r="M887" i="11"/>
  <c r="N887" i="11"/>
  <c r="O887" i="11"/>
  <c r="M767" i="11"/>
  <c r="N767" i="11"/>
  <c r="O767" i="11"/>
  <c r="O671" i="11"/>
  <c r="N671" i="11"/>
  <c r="M671" i="11"/>
  <c r="N575" i="11"/>
  <c r="O575" i="11"/>
  <c r="M575" i="11"/>
  <c r="M479" i="11"/>
  <c r="N479" i="11"/>
  <c r="O479" i="11"/>
  <c r="M347" i="11"/>
  <c r="N347" i="11"/>
  <c r="O347" i="11"/>
  <c r="M203" i="11"/>
  <c r="N203" i="11"/>
  <c r="O203" i="11"/>
  <c r="M23" i="11"/>
  <c r="N23" i="11"/>
  <c r="O23" i="11"/>
  <c r="L3" i="11"/>
  <c r="K3" i="11"/>
  <c r="J3" i="11"/>
  <c r="I13" i="1" s="1"/>
  <c r="L353" i="11"/>
  <c r="K353" i="11"/>
  <c r="J353" i="11"/>
  <c r="K341" i="11"/>
  <c r="L341" i="11"/>
  <c r="J341" i="11"/>
  <c r="L329" i="11"/>
  <c r="J329" i="11"/>
  <c r="K329" i="11"/>
  <c r="L317" i="11"/>
  <c r="K317" i="11"/>
  <c r="J317" i="11"/>
  <c r="L305" i="11"/>
  <c r="K305" i="11"/>
  <c r="J305" i="11"/>
  <c r="L293" i="11"/>
  <c r="J293" i="11"/>
  <c r="K293" i="11"/>
  <c r="L281" i="11"/>
  <c r="K281" i="11"/>
  <c r="J281" i="11"/>
  <c r="K269" i="11"/>
  <c r="J269" i="11"/>
  <c r="L269" i="11"/>
  <c r="J257" i="11"/>
  <c r="L257" i="11"/>
  <c r="K257" i="11"/>
  <c r="L245" i="11"/>
  <c r="J245" i="11"/>
  <c r="K245" i="11"/>
  <c r="K233" i="11"/>
  <c r="J233" i="11"/>
  <c r="L233" i="11"/>
  <c r="L221" i="11"/>
  <c r="K221" i="11"/>
  <c r="J221" i="11"/>
  <c r="K209" i="11"/>
  <c r="J209" i="11"/>
  <c r="L209" i="11"/>
  <c r="L197" i="11"/>
  <c r="K197" i="11"/>
  <c r="J197" i="11"/>
  <c r="J185" i="11"/>
  <c r="L185" i="11"/>
  <c r="K185" i="11"/>
  <c r="L173" i="11"/>
  <c r="J173" i="11"/>
  <c r="K173" i="11"/>
  <c r="L161" i="11"/>
  <c r="K161" i="11"/>
  <c r="J161" i="11"/>
  <c r="K149" i="11"/>
  <c r="L149" i="11"/>
  <c r="J149" i="11"/>
  <c r="K137" i="11"/>
  <c r="L137" i="11"/>
  <c r="J137" i="11"/>
  <c r="J125" i="11"/>
  <c r="L125" i="11"/>
  <c r="K125" i="11"/>
  <c r="K113" i="11"/>
  <c r="L113" i="11"/>
  <c r="J113" i="11"/>
  <c r="K101" i="11"/>
  <c r="L101" i="11"/>
  <c r="J101" i="11"/>
  <c r="L89" i="11"/>
  <c r="K89" i="11"/>
  <c r="J89" i="11"/>
  <c r="L77" i="11"/>
  <c r="K77" i="11"/>
  <c r="J77" i="11"/>
  <c r="K65" i="11"/>
  <c r="L65" i="11"/>
  <c r="J65" i="11"/>
  <c r="L53" i="11"/>
  <c r="J53" i="11"/>
  <c r="K53" i="11"/>
  <c r="K41" i="11"/>
  <c r="L41" i="11"/>
  <c r="J41" i="11"/>
  <c r="K29" i="11"/>
  <c r="L29" i="11"/>
  <c r="J29" i="11"/>
  <c r="J17" i="11"/>
  <c r="K17" i="11"/>
  <c r="L17" i="11"/>
  <c r="L5" i="11"/>
  <c r="K5" i="11"/>
  <c r="J5" i="11"/>
  <c r="K1091" i="11"/>
  <c r="L1091" i="11"/>
  <c r="J1091" i="11"/>
  <c r="K1079" i="11"/>
  <c r="J1079" i="11"/>
  <c r="L1079" i="11"/>
  <c r="L1067" i="11"/>
  <c r="K1067" i="11"/>
  <c r="J1067" i="11"/>
  <c r="K1055" i="11"/>
  <c r="L1055" i="11"/>
  <c r="J1055" i="11"/>
  <c r="K1043" i="11"/>
  <c r="J1043" i="11"/>
  <c r="L1043" i="11"/>
  <c r="L1031" i="11"/>
  <c r="K1031" i="11"/>
  <c r="J1031" i="11"/>
  <c r="L1019" i="11"/>
  <c r="K1019" i="11"/>
  <c r="J1019" i="11"/>
  <c r="L1007" i="11"/>
  <c r="K1007" i="11"/>
  <c r="J1007" i="11"/>
  <c r="L995" i="11"/>
  <c r="K995" i="11"/>
  <c r="J995" i="11"/>
  <c r="L983" i="11"/>
  <c r="K983" i="11"/>
  <c r="J983" i="11"/>
  <c r="L971" i="11"/>
  <c r="K971" i="11"/>
  <c r="J971" i="11"/>
  <c r="L959" i="11"/>
  <c r="K959" i="11"/>
  <c r="J959" i="11"/>
  <c r="L947" i="11"/>
  <c r="K947" i="11"/>
  <c r="J947" i="11"/>
  <c r="L935" i="11"/>
  <c r="K935" i="11"/>
  <c r="J935" i="11"/>
  <c r="L923" i="11"/>
  <c r="K923" i="11"/>
  <c r="J923" i="11"/>
  <c r="L911" i="11"/>
  <c r="K911" i="11"/>
  <c r="J911" i="11"/>
  <c r="L899" i="11"/>
  <c r="K899" i="11"/>
  <c r="J899" i="11"/>
  <c r="L887" i="11"/>
  <c r="K887" i="11"/>
  <c r="J887" i="11"/>
  <c r="L875" i="11"/>
  <c r="K875" i="11"/>
  <c r="J875" i="11"/>
  <c r="L863" i="11"/>
  <c r="K863" i="11"/>
  <c r="J863" i="11"/>
  <c r="L851" i="11"/>
  <c r="K851" i="11"/>
  <c r="J851" i="11"/>
  <c r="L839" i="11"/>
  <c r="K839" i="11"/>
  <c r="J839" i="11"/>
  <c r="L827" i="11"/>
  <c r="K827" i="11"/>
  <c r="J827" i="11"/>
  <c r="L815" i="11"/>
  <c r="K815" i="11"/>
  <c r="J815" i="11"/>
  <c r="L803" i="11"/>
  <c r="K803" i="11"/>
  <c r="J803" i="11"/>
  <c r="L791" i="11"/>
  <c r="K791" i="11"/>
  <c r="J791" i="11"/>
  <c r="L779" i="11"/>
  <c r="K779" i="11"/>
  <c r="J779" i="11"/>
  <c r="L767" i="11"/>
  <c r="K767" i="11"/>
  <c r="J767" i="11"/>
  <c r="L755" i="11"/>
  <c r="K755" i="11"/>
  <c r="J755" i="11"/>
  <c r="L743" i="11"/>
  <c r="K743" i="11"/>
  <c r="J743" i="11"/>
  <c r="L731" i="11"/>
  <c r="K731" i="11"/>
  <c r="J731" i="11"/>
  <c r="L719" i="11"/>
  <c r="K719" i="11"/>
  <c r="J719" i="11"/>
  <c r="L707" i="11"/>
  <c r="K707" i="11"/>
  <c r="J707" i="11"/>
  <c r="L695" i="11"/>
  <c r="K695" i="11"/>
  <c r="J695" i="11"/>
  <c r="L683" i="11"/>
  <c r="K683" i="11"/>
  <c r="J683" i="11"/>
  <c r="L671" i="11"/>
  <c r="K671" i="11"/>
  <c r="J671" i="11"/>
  <c r="L659" i="11"/>
  <c r="K659" i="11"/>
  <c r="J659" i="11"/>
  <c r="L647" i="11"/>
  <c r="K647" i="11"/>
  <c r="J647" i="11"/>
  <c r="L635" i="11"/>
  <c r="K635" i="11"/>
  <c r="J635" i="11"/>
  <c r="L623" i="11"/>
  <c r="K623" i="11"/>
  <c r="J623" i="11"/>
  <c r="L611" i="11"/>
  <c r="K611" i="11"/>
  <c r="J611" i="11"/>
  <c r="L599" i="11"/>
  <c r="K599" i="11"/>
  <c r="J599" i="11"/>
  <c r="L587" i="11"/>
  <c r="K587" i="11"/>
  <c r="J587" i="11"/>
  <c r="L574" i="11"/>
  <c r="K574" i="11"/>
  <c r="J574" i="11"/>
  <c r="L562" i="11"/>
  <c r="K562" i="11"/>
  <c r="J562" i="11"/>
  <c r="L550" i="11"/>
  <c r="K550" i="11"/>
  <c r="J550" i="11"/>
  <c r="L538" i="11"/>
  <c r="K538" i="11"/>
  <c r="J538" i="11"/>
  <c r="L526" i="11"/>
  <c r="K526" i="11"/>
  <c r="J526" i="11"/>
  <c r="L514" i="11"/>
  <c r="K514" i="11"/>
  <c r="J514" i="11"/>
  <c r="K502" i="11"/>
  <c r="L502" i="11"/>
  <c r="J502" i="11"/>
  <c r="L488" i="11"/>
  <c r="K488" i="11"/>
  <c r="J488" i="11"/>
  <c r="L476" i="11"/>
  <c r="K476" i="11"/>
  <c r="J476" i="11"/>
  <c r="L464" i="11"/>
  <c r="K464" i="11"/>
  <c r="J464" i="11"/>
  <c r="K452" i="11"/>
  <c r="J452" i="11"/>
  <c r="L452" i="11"/>
  <c r="L440" i="11"/>
  <c r="J440" i="11"/>
  <c r="K440" i="11"/>
  <c r="L428" i="11"/>
  <c r="J428" i="11"/>
  <c r="K428" i="11"/>
  <c r="L416" i="11"/>
  <c r="K416" i="11"/>
  <c r="J416" i="11"/>
  <c r="L404" i="11"/>
  <c r="J404" i="11"/>
  <c r="K404" i="11"/>
  <c r="L392" i="11"/>
  <c r="K392" i="11"/>
  <c r="J392" i="11"/>
  <c r="L380" i="11"/>
  <c r="K380" i="11"/>
  <c r="J380" i="11"/>
  <c r="L366" i="11"/>
  <c r="K366" i="11"/>
  <c r="J366" i="11"/>
  <c r="O3" i="11"/>
  <c r="N3" i="11"/>
  <c r="M3" i="11"/>
  <c r="O1081" i="11"/>
  <c r="M1081" i="11"/>
  <c r="N1081" i="11"/>
  <c r="O1069" i="11"/>
  <c r="N1069" i="11"/>
  <c r="M1069" i="11"/>
  <c r="O1057" i="11"/>
  <c r="M1057" i="11"/>
  <c r="N1057" i="11"/>
  <c r="O1045" i="11"/>
  <c r="M1045" i="11"/>
  <c r="N1045" i="11"/>
  <c r="O1033" i="11"/>
  <c r="M1033" i="11"/>
  <c r="N1033" i="11"/>
  <c r="O1021" i="11"/>
  <c r="M1021" i="11"/>
  <c r="N1021" i="11"/>
  <c r="O1009" i="11"/>
  <c r="N1009" i="11"/>
  <c r="M1009" i="11"/>
  <c r="O997" i="11"/>
  <c r="M997" i="11"/>
  <c r="N997" i="11"/>
  <c r="O985" i="11"/>
  <c r="M985" i="11"/>
  <c r="N985" i="11"/>
  <c r="O973" i="11"/>
  <c r="M973" i="11"/>
  <c r="N973" i="11"/>
  <c r="O961" i="11"/>
  <c r="N961" i="11"/>
  <c r="M961" i="11"/>
  <c r="O949" i="11"/>
  <c r="M949" i="11"/>
  <c r="N949" i="11"/>
  <c r="O937" i="11"/>
  <c r="M937" i="11"/>
  <c r="N937" i="11"/>
  <c r="O925" i="11"/>
  <c r="M925" i="11"/>
  <c r="N925" i="11"/>
  <c r="O913" i="11"/>
  <c r="N913" i="11"/>
  <c r="M913" i="11"/>
  <c r="O901" i="11"/>
  <c r="M901" i="11"/>
  <c r="N901" i="11"/>
  <c r="O889" i="11"/>
  <c r="M889" i="11"/>
  <c r="N889" i="11"/>
  <c r="O877" i="11"/>
  <c r="M877" i="11"/>
  <c r="N877" i="11"/>
  <c r="O865" i="11"/>
  <c r="N865" i="11"/>
  <c r="M865" i="11"/>
  <c r="O853" i="11"/>
  <c r="M853" i="11"/>
  <c r="N853" i="11"/>
  <c r="O841" i="11"/>
  <c r="M841" i="11"/>
  <c r="N841" i="11"/>
  <c r="O829" i="11"/>
  <c r="M829" i="11"/>
  <c r="N829" i="11"/>
  <c r="O817" i="11"/>
  <c r="N817" i="11"/>
  <c r="M817" i="11"/>
  <c r="O805" i="11"/>
  <c r="M805" i="11"/>
  <c r="N805" i="11"/>
  <c r="M793" i="11"/>
  <c r="N793" i="11"/>
  <c r="O793" i="11"/>
  <c r="M781" i="11"/>
  <c r="N781" i="11"/>
  <c r="O781" i="11"/>
  <c r="M769" i="11"/>
  <c r="N769" i="11"/>
  <c r="O769" i="11"/>
  <c r="M757" i="11"/>
  <c r="N757" i="11"/>
  <c r="O757" i="11"/>
  <c r="M745" i="11"/>
  <c r="N745" i="11"/>
  <c r="O745" i="11"/>
  <c r="M733" i="11"/>
  <c r="N733" i="11"/>
  <c r="O733" i="11"/>
  <c r="M721" i="11"/>
  <c r="N721" i="11"/>
  <c r="O721" i="11"/>
  <c r="M709" i="11"/>
  <c r="N709" i="11"/>
  <c r="O709" i="11"/>
  <c r="M697" i="11"/>
  <c r="N697" i="11"/>
  <c r="O697" i="11"/>
  <c r="M685" i="11"/>
  <c r="N685" i="11"/>
  <c r="O685" i="11"/>
  <c r="M673" i="11"/>
  <c r="N673" i="11"/>
  <c r="O673" i="11"/>
  <c r="N661" i="11"/>
  <c r="O661" i="11"/>
  <c r="M661" i="11"/>
  <c r="N649" i="11"/>
  <c r="O649" i="11"/>
  <c r="M649" i="11"/>
  <c r="N637" i="11"/>
  <c r="O637" i="11"/>
  <c r="M637" i="11"/>
  <c r="M625" i="11"/>
  <c r="N625" i="11"/>
  <c r="O625" i="11"/>
  <c r="M613" i="11"/>
  <c r="N613" i="11"/>
  <c r="O613" i="11"/>
  <c r="M601" i="11"/>
  <c r="N601" i="11"/>
  <c r="O601" i="11"/>
  <c r="M589" i="11"/>
  <c r="N589" i="11"/>
  <c r="O589" i="11"/>
  <c r="M577" i="11"/>
  <c r="N577" i="11"/>
  <c r="O577" i="11"/>
  <c r="M565" i="11"/>
  <c r="N565" i="11"/>
  <c r="O565" i="11"/>
  <c r="M553" i="11"/>
  <c r="N553" i="11"/>
  <c r="O553" i="11"/>
  <c r="M541" i="11"/>
  <c r="N541" i="11"/>
  <c r="O541" i="11"/>
  <c r="M529" i="11"/>
  <c r="N529" i="11"/>
  <c r="O529" i="11"/>
  <c r="M517" i="11"/>
  <c r="N517" i="11"/>
  <c r="O517" i="11"/>
  <c r="M505" i="11"/>
  <c r="N505" i="11"/>
  <c r="O505" i="11"/>
  <c r="M493" i="11"/>
  <c r="N493" i="11"/>
  <c r="O493" i="11"/>
  <c r="M481" i="11"/>
  <c r="N481" i="11"/>
  <c r="O481" i="11"/>
  <c r="M469" i="11"/>
  <c r="N469" i="11"/>
  <c r="O469" i="11"/>
  <c r="M457" i="11"/>
  <c r="N457" i="11"/>
  <c r="O457" i="11"/>
  <c r="M445" i="11"/>
  <c r="N445" i="11"/>
  <c r="O445" i="11"/>
  <c r="M433" i="11"/>
  <c r="N433" i="11"/>
  <c r="O433" i="11"/>
  <c r="M421" i="11"/>
  <c r="N421" i="11"/>
  <c r="O421" i="11"/>
  <c r="M409" i="11"/>
  <c r="N409" i="11"/>
  <c r="O409" i="11"/>
  <c r="M397" i="11"/>
  <c r="N397" i="11"/>
  <c r="O397" i="11"/>
  <c r="M385" i="11"/>
  <c r="N385" i="11"/>
  <c r="O385" i="11"/>
  <c r="M373" i="11"/>
  <c r="N373" i="11"/>
  <c r="O373" i="11"/>
  <c r="M361" i="11"/>
  <c r="N361" i="11"/>
  <c r="O361" i="11"/>
  <c r="M349" i="11"/>
  <c r="N349" i="11"/>
  <c r="O349" i="11"/>
  <c r="M337" i="11"/>
  <c r="N337" i="11"/>
  <c r="O337" i="11"/>
  <c r="M325" i="11"/>
  <c r="N325" i="11"/>
  <c r="O325" i="11"/>
  <c r="M313" i="11"/>
  <c r="N313" i="11"/>
  <c r="O313" i="11"/>
  <c r="M301" i="11"/>
  <c r="N301" i="11"/>
  <c r="O301" i="11"/>
  <c r="M289" i="11"/>
  <c r="N289" i="11"/>
  <c r="O289" i="11"/>
  <c r="M277" i="11"/>
  <c r="N277" i="11"/>
  <c r="O277" i="11"/>
  <c r="M265" i="11"/>
  <c r="N265" i="11"/>
  <c r="O265" i="11"/>
  <c r="M253" i="11"/>
  <c r="N253" i="11"/>
  <c r="O253" i="11"/>
  <c r="M241" i="11"/>
  <c r="N241" i="11"/>
  <c r="O241" i="11"/>
  <c r="M229" i="11"/>
  <c r="N229" i="11"/>
  <c r="O229" i="11"/>
  <c r="M217" i="11"/>
  <c r="N217" i="11"/>
  <c r="O217" i="11"/>
  <c r="M205" i="11"/>
  <c r="N205" i="11"/>
  <c r="O205" i="11"/>
  <c r="M193" i="11"/>
  <c r="N193" i="11"/>
  <c r="O193" i="11"/>
  <c r="M181" i="11"/>
  <c r="N181" i="11"/>
  <c r="O181" i="11"/>
  <c r="M169" i="11"/>
  <c r="N169" i="11"/>
  <c r="O169" i="11"/>
  <c r="M157" i="11"/>
  <c r="N157" i="11"/>
  <c r="O157" i="11"/>
  <c r="M145" i="11"/>
  <c r="N145" i="11"/>
  <c r="O145" i="11"/>
  <c r="M133" i="11"/>
  <c r="N133" i="11"/>
  <c r="O133" i="11"/>
  <c r="M121" i="11"/>
  <c r="N121" i="11"/>
  <c r="O121" i="11"/>
  <c r="M109" i="11"/>
  <c r="N109" i="11"/>
  <c r="O109" i="11"/>
  <c r="M97" i="11"/>
  <c r="N97" i="11"/>
  <c r="O97" i="11"/>
  <c r="M85" i="11"/>
  <c r="N85" i="11"/>
  <c r="O85" i="11"/>
  <c r="M73" i="11"/>
  <c r="N73" i="11"/>
  <c r="O73" i="11"/>
  <c r="M61" i="11"/>
  <c r="N61" i="11"/>
  <c r="O61" i="11"/>
  <c r="M49" i="11"/>
  <c r="N49" i="11"/>
  <c r="O49" i="11"/>
  <c r="M37" i="11"/>
  <c r="N37" i="11"/>
  <c r="O37" i="11"/>
  <c r="M25" i="11"/>
  <c r="N25" i="11"/>
  <c r="O25" i="11"/>
  <c r="M13" i="11"/>
  <c r="N13" i="11"/>
  <c r="O13" i="11"/>
  <c r="Z374" i="7"/>
  <c r="Z371" i="7"/>
  <c r="Z373" i="7"/>
  <c r="Z368" i="7"/>
  <c r="Z372" i="7"/>
  <c r="Z370" i="7"/>
  <c r="Z369" i="7"/>
  <c r="Z528" i="7"/>
  <c r="Z516" i="7"/>
  <c r="Z524" i="7"/>
  <c r="Z522" i="7"/>
  <c r="Z518" i="7"/>
  <c r="Z521" i="7"/>
  <c r="Z526" i="7"/>
  <c r="Z529" i="7"/>
  <c r="Z527" i="7"/>
  <c r="Z523" i="7"/>
  <c r="Z519" i="7"/>
  <c r="Z517" i="7"/>
  <c r="Z515" i="7"/>
  <c r="Z525" i="7"/>
  <c r="Z520" i="7"/>
  <c r="X551" i="7"/>
  <c r="X98" i="7"/>
  <c r="X122" i="7"/>
  <c r="X937" i="7"/>
  <c r="X672" i="7"/>
  <c r="X85" i="7"/>
  <c r="X18" i="7"/>
  <c r="X356" i="7"/>
  <c r="X388" i="7"/>
  <c r="X479" i="7"/>
  <c r="X209" i="7"/>
  <c r="X838" i="7"/>
  <c r="X798" i="7"/>
  <c r="X318" i="7"/>
  <c r="X497" i="7"/>
  <c r="X96" i="7"/>
  <c r="Z375" i="7"/>
  <c r="X951" i="7"/>
  <c r="X644" i="7"/>
  <c r="X663" i="7"/>
  <c r="X547" i="7"/>
  <c r="X307" i="7"/>
  <c r="Z611" i="7"/>
  <c r="Z636" i="7"/>
  <c r="Z632" i="7"/>
  <c r="Z610" i="7"/>
  <c r="Z631" i="7"/>
  <c r="Z606" i="7"/>
  <c r="Z608" i="7"/>
  <c r="Z633" i="7"/>
  <c r="Z629" i="7"/>
  <c r="Z626" i="7"/>
  <c r="Z619" i="7"/>
  <c r="Z609" i="7"/>
  <c r="Z614" i="7"/>
  <c r="Z637" i="7"/>
  <c r="Z612" i="7"/>
  <c r="Z617" i="7"/>
  <c r="Z607" i="7"/>
  <c r="Z624" i="7"/>
  <c r="Z602" i="7"/>
  <c r="Z625" i="7"/>
  <c r="Z605" i="7"/>
  <c r="Z628" i="7"/>
  <c r="Z623" i="7"/>
  <c r="Z620" i="7"/>
  <c r="Z613" i="7"/>
  <c r="Z600" i="7"/>
  <c r="Z635" i="7"/>
  <c r="Z616" i="7"/>
  <c r="Z634" i="7"/>
  <c r="Z621" i="7"/>
  <c r="Z630" i="7"/>
  <c r="Z627" i="7"/>
  <c r="Z601" i="7"/>
  <c r="Z604" i="7"/>
  <c r="Z615" i="7"/>
  <c r="Z622" i="7"/>
  <c r="Z618" i="7"/>
  <c r="Z603" i="7"/>
  <c r="Z537" i="7"/>
  <c r="Z534" i="7"/>
  <c r="Z557" i="7"/>
  <c r="Z577" i="7"/>
  <c r="Z538" i="7"/>
  <c r="Z563" i="7"/>
  <c r="Z588" i="7"/>
  <c r="Z545" i="7"/>
  <c r="Z580" i="7"/>
  <c r="Z579" i="7"/>
  <c r="Z542" i="7"/>
  <c r="Z572" i="7"/>
  <c r="Z547" i="7"/>
  <c r="Z565" i="7"/>
  <c r="Z540" i="7"/>
  <c r="Z576" i="7"/>
  <c r="Z585" i="7"/>
  <c r="Z533" i="7"/>
  <c r="Z568" i="7"/>
  <c r="Z567" i="7"/>
  <c r="Z530" i="7"/>
  <c r="Z535" i="7"/>
  <c r="Z582" i="7"/>
  <c r="Z560" i="7"/>
  <c r="Z553" i="7"/>
  <c r="Z586" i="7"/>
  <c r="Z561" i="7"/>
  <c r="Z556" i="7"/>
  <c r="Z555" i="7"/>
  <c r="Z541" i="7"/>
  <c r="Z564" i="7"/>
  <c r="Z570" i="7"/>
  <c r="Z548" i="7"/>
  <c r="Z574" i="7"/>
  <c r="Z549" i="7"/>
  <c r="Z544" i="7"/>
  <c r="Z543" i="7"/>
  <c r="Z578" i="7"/>
  <c r="Z583" i="7"/>
  <c r="Z558" i="7"/>
  <c r="Z581" i="7"/>
  <c r="Z536" i="7"/>
  <c r="Z531" i="7"/>
  <c r="Z562" i="7"/>
  <c r="Z575" i="7"/>
  <c r="Z532" i="7"/>
  <c r="Z566" i="7"/>
  <c r="Z539" i="7"/>
  <c r="Z571" i="7"/>
  <c r="Z552" i="7"/>
  <c r="Z551" i="7"/>
  <c r="Z587" i="7"/>
  <c r="Z546" i="7"/>
  <c r="Z569" i="7"/>
  <c r="Z550" i="7"/>
  <c r="Z573" i="7"/>
  <c r="Z554" i="7"/>
  <c r="Z584" i="7"/>
  <c r="Z559" i="7"/>
  <c r="Z589" i="7"/>
  <c r="Z593" i="7"/>
  <c r="Z590" i="7"/>
  <c r="Z594" i="7"/>
  <c r="Z592" i="7"/>
  <c r="Z591" i="7"/>
  <c r="X769" i="7"/>
  <c r="X866" i="7"/>
  <c r="X482" i="7"/>
  <c r="X259" i="7"/>
  <c r="X865" i="7"/>
  <c r="X753" i="7"/>
  <c r="X596" i="7"/>
  <c r="X1042" i="7"/>
  <c r="X13" i="7"/>
  <c r="X759" i="7"/>
  <c r="X975" i="7"/>
  <c r="X495" i="7"/>
  <c r="X853" i="7"/>
  <c r="X1036" i="7"/>
  <c r="X435" i="7"/>
  <c r="X767" i="7"/>
  <c r="X9" i="7"/>
  <c r="X41" i="7"/>
  <c r="X664" i="7"/>
  <c r="X696" i="7"/>
  <c r="X480" i="7"/>
  <c r="X910" i="7"/>
  <c r="X901" i="7"/>
  <c r="Z595" i="7"/>
  <c r="X65" i="7"/>
  <c r="X376" i="7"/>
  <c r="X685" i="7"/>
  <c r="X690" i="7"/>
  <c r="X879" i="7"/>
  <c r="X899" i="7"/>
  <c r="X549" i="7"/>
  <c r="X954" i="7"/>
  <c r="X348" i="7"/>
  <c r="X341" i="7"/>
  <c r="X1024" i="7"/>
  <c r="X188" i="7"/>
  <c r="X713" i="7"/>
  <c r="Z90" i="7"/>
  <c r="Z91" i="7"/>
  <c r="X903" i="7"/>
  <c r="X29" i="7"/>
  <c r="X674" i="7"/>
  <c r="X636" i="7"/>
  <c r="X319" i="7"/>
  <c r="X395" i="7"/>
  <c r="X860" i="7"/>
  <c r="X34" i="7"/>
  <c r="X285" i="7"/>
  <c r="X301" i="7"/>
  <c r="X406" i="7"/>
  <c r="X591" i="7"/>
  <c r="X698" i="7"/>
  <c r="X353" i="7"/>
  <c r="X145" i="7"/>
  <c r="X270" i="7"/>
  <c r="X321" i="7"/>
  <c r="X1022" i="7"/>
  <c r="X620" i="7"/>
  <c r="X864" i="7"/>
  <c r="X21" i="7"/>
  <c r="Z92" i="7"/>
  <c r="X982" i="7"/>
  <c r="X964" i="7"/>
  <c r="X534" i="7"/>
  <c r="X99" i="7"/>
  <c r="X988" i="7"/>
  <c r="X453" i="7"/>
  <c r="X994" i="7"/>
  <c r="X181" i="7"/>
  <c r="X394" i="7"/>
  <c r="X50" i="7"/>
  <c r="X707" i="7"/>
  <c r="X654" i="7"/>
  <c r="X788" i="7"/>
  <c r="X626" i="7"/>
  <c r="X51" i="7"/>
  <c r="X942" i="7"/>
  <c r="X390" i="7"/>
  <c r="X715" i="7"/>
  <c r="X313" i="7"/>
  <c r="X1023" i="7"/>
  <c r="X232" i="7"/>
  <c r="X526" i="7"/>
  <c r="X173" i="7"/>
  <c r="X723" i="7"/>
  <c r="X989" i="7"/>
  <c r="X60" i="7"/>
  <c r="X1039" i="7"/>
  <c r="X916" i="7"/>
  <c r="X464" i="7"/>
  <c r="X400" i="7"/>
  <c r="X709" i="7"/>
  <c r="X15" i="7"/>
  <c r="X467" i="7"/>
  <c r="X149" i="7"/>
  <c r="X419" i="7"/>
  <c r="X746" i="7"/>
  <c r="X641" i="7"/>
  <c r="X268" i="7"/>
  <c r="X492" i="7"/>
  <c r="X904" i="7"/>
  <c r="X409" i="7"/>
  <c r="X758" i="7"/>
  <c r="X682" i="7"/>
  <c r="X87" i="7"/>
  <c r="X615" i="7"/>
  <c r="X678" i="7"/>
  <c r="X183" i="7"/>
  <c r="X328" i="7"/>
  <c r="X39" i="7"/>
  <c r="X291" i="7"/>
  <c r="X872" i="7"/>
  <c r="X751" i="7"/>
  <c r="X448" i="7"/>
  <c r="X441" i="7"/>
  <c r="X460" i="7"/>
  <c r="X557" i="7"/>
  <c r="X234" i="7"/>
  <c r="X533" i="7"/>
  <c r="X308" i="7"/>
  <c r="X816" i="7"/>
  <c r="X164" i="7"/>
  <c r="X185" i="7"/>
  <c r="X741" i="7"/>
  <c r="X101" i="7"/>
  <c r="X821" i="7"/>
  <c r="X157" i="7"/>
  <c r="X86" i="7"/>
  <c r="X611" i="7"/>
  <c r="X1047" i="7"/>
  <c r="X780" i="7"/>
  <c r="X553" i="7"/>
  <c r="X881" i="7"/>
  <c r="X382" i="7"/>
  <c r="X794" i="7"/>
  <c r="X166" i="7"/>
  <c r="X278" i="7"/>
  <c r="X449" i="7"/>
  <c r="X605" i="7"/>
  <c r="X63" i="7"/>
  <c r="X923" i="7"/>
  <c r="X768" i="7"/>
  <c r="X452" i="7"/>
  <c r="X309" i="7"/>
  <c r="X45" i="7"/>
  <c r="X590" i="7"/>
  <c r="X552" i="7"/>
  <c r="X192" i="7"/>
  <c r="X127" i="7"/>
  <c r="X870" i="7"/>
  <c r="X677" i="7"/>
  <c r="X757" i="7"/>
  <c r="X1033" i="7"/>
  <c r="X925" i="7"/>
  <c r="X404" i="7"/>
  <c r="X991" i="7"/>
  <c r="X240" i="7"/>
  <c r="X230" i="7"/>
  <c r="X840" i="7"/>
  <c r="X933" i="7"/>
  <c r="X781" i="7"/>
  <c r="X706" i="7"/>
  <c r="X704" i="7"/>
  <c r="X842" i="7"/>
  <c r="X283" i="7"/>
  <c r="X252" i="7"/>
  <c r="X472" i="7"/>
  <c r="X530" i="7"/>
  <c r="X483" i="7"/>
  <c r="X749" i="7"/>
  <c r="X224" i="7"/>
  <c r="X952" i="7"/>
  <c r="X970" i="7"/>
  <c r="X302" i="7"/>
  <c r="X107" i="7"/>
  <c r="X938" i="7"/>
  <c r="X729" i="7"/>
  <c r="X627" i="7"/>
  <c r="X708" i="7"/>
  <c r="X639" i="7"/>
  <c r="X543" i="7"/>
  <c r="X687" i="7"/>
  <c r="X852" i="7"/>
  <c r="X670" i="7"/>
  <c r="X656" i="7"/>
  <c r="X836" i="7"/>
  <c r="X694" i="7"/>
  <c r="X74" i="7"/>
  <c r="X94" i="7"/>
  <c r="X213" i="7"/>
  <c r="X125" i="7"/>
  <c r="G1083" i="11"/>
  <c r="I394" i="12"/>
  <c r="I381" i="12"/>
  <c r="G305" i="11"/>
  <c r="G827" i="11"/>
  <c r="I392" i="12"/>
  <c r="I388" i="12"/>
  <c r="I73" i="12"/>
  <c r="AX4" i="8" a="1"/>
  <c r="AX4" i="8" s="1"/>
  <c r="D8" i="1"/>
  <c r="I1" i="15" a="1"/>
  <c r="I1" i="15" s="1"/>
  <c r="I365" i="12"/>
  <c r="I317" i="12"/>
  <c r="I269" i="12"/>
  <c r="I205" i="12"/>
  <c r="I157" i="12"/>
  <c r="I141" i="12"/>
  <c r="I109" i="12"/>
  <c r="I61" i="12"/>
  <c r="I13" i="12"/>
  <c r="I380" i="12"/>
  <c r="I364" i="12"/>
  <c r="I348" i="12"/>
  <c r="I332" i="12"/>
  <c r="I316" i="12"/>
  <c r="I300" i="12"/>
  <c r="I284" i="12"/>
  <c r="I268" i="12"/>
  <c r="I252" i="12"/>
  <c r="I236" i="12"/>
  <c r="I220" i="12"/>
  <c r="I204" i="12"/>
  <c r="I188" i="12"/>
  <c r="I172" i="12"/>
  <c r="I156" i="12"/>
  <c r="I140" i="12"/>
  <c r="I124" i="12"/>
  <c r="I108" i="12"/>
  <c r="I92" i="12"/>
  <c r="I76" i="12"/>
  <c r="I60" i="12"/>
  <c r="I44" i="12"/>
  <c r="I28" i="12"/>
  <c r="I12" i="12"/>
  <c r="J306" i="12"/>
  <c r="I349" i="12"/>
  <c r="I333" i="12"/>
  <c r="I253" i="12"/>
  <c r="I189" i="12"/>
  <c r="I173" i="12"/>
  <c r="I125" i="12"/>
  <c r="I93" i="12"/>
  <c r="I77" i="12"/>
  <c r="I45" i="12"/>
  <c r="I29" i="12"/>
  <c r="I379" i="12"/>
  <c r="I363" i="12"/>
  <c r="I347" i="12"/>
  <c r="I331" i="12"/>
  <c r="I315" i="12"/>
  <c r="I299" i="12"/>
  <c r="I283" i="12"/>
  <c r="I267" i="12"/>
  <c r="I251" i="12"/>
  <c r="I235" i="12"/>
  <c r="I219" i="12"/>
  <c r="I203" i="12"/>
  <c r="I187" i="12"/>
  <c r="I171" i="12"/>
  <c r="I155" i="12"/>
  <c r="I139" i="12"/>
  <c r="I123" i="12"/>
  <c r="I107" i="12"/>
  <c r="I91" i="12"/>
  <c r="I75" i="12"/>
  <c r="I59" i="12"/>
  <c r="I43" i="12"/>
  <c r="I27" i="12"/>
  <c r="I11" i="12"/>
  <c r="I378" i="12"/>
  <c r="I362" i="12"/>
  <c r="I346" i="12"/>
  <c r="I330" i="12"/>
  <c r="I314" i="12"/>
  <c r="I298" i="12"/>
  <c r="I282" i="12"/>
  <c r="I266" i="12"/>
  <c r="I250" i="12"/>
  <c r="I234" i="12"/>
  <c r="I218" i="12"/>
  <c r="I202" i="12"/>
  <c r="I186" i="12"/>
  <c r="I170" i="12"/>
  <c r="I154" i="12"/>
  <c r="I138" i="12"/>
  <c r="I122" i="12"/>
  <c r="I106" i="12"/>
  <c r="I90" i="12"/>
  <c r="I74" i="12"/>
  <c r="I58" i="12"/>
  <c r="I42" i="12"/>
  <c r="I26" i="12"/>
  <c r="I10" i="12"/>
  <c r="I377" i="12"/>
  <c r="I345" i="12"/>
  <c r="I329" i="12"/>
  <c r="I313" i="12"/>
  <c r="I297" i="12"/>
  <c r="I281" i="12"/>
  <c r="I279" i="12"/>
  <c r="I249" i="12"/>
  <c r="I233" i="12"/>
  <c r="I217" i="12"/>
  <c r="I201" i="12"/>
  <c r="I185" i="12"/>
  <c r="I169" i="12"/>
  <c r="I153" i="12"/>
  <c r="I151" i="12"/>
  <c r="I121" i="12"/>
  <c r="I105" i="12"/>
  <c r="I89" i="12"/>
  <c r="I87" i="12"/>
  <c r="I57" i="12"/>
  <c r="I41" i="12"/>
  <c r="I25" i="12"/>
  <c r="I9" i="12"/>
  <c r="I7" i="12"/>
  <c r="I237" i="12"/>
  <c r="I376" i="12"/>
  <c r="I360" i="12"/>
  <c r="I358" i="12"/>
  <c r="I328" i="12"/>
  <c r="I312" i="12"/>
  <c r="I296" i="12"/>
  <c r="I278" i="12"/>
  <c r="I248" i="12"/>
  <c r="I232" i="12"/>
  <c r="I216" i="12"/>
  <c r="I200" i="12"/>
  <c r="I184" i="12"/>
  <c r="I182" i="12"/>
  <c r="I152" i="12"/>
  <c r="I150" i="12"/>
  <c r="I120" i="12"/>
  <c r="I104" i="12"/>
  <c r="I88" i="12"/>
  <c r="I72" i="12"/>
  <c r="I56" i="12"/>
  <c r="I40" i="12"/>
  <c r="I24" i="12"/>
  <c r="I8" i="12"/>
  <c r="I6" i="12"/>
  <c r="I389" i="12"/>
  <c r="I373" i="12"/>
  <c r="I357" i="12"/>
  <c r="I341" i="12"/>
  <c r="I325" i="12"/>
  <c r="I309" i="12"/>
  <c r="I293" i="12"/>
  <c r="I277" i="12"/>
  <c r="I261" i="12"/>
  <c r="I245" i="12"/>
  <c r="I229" i="12"/>
  <c r="I213" i="12"/>
  <c r="I197" i="12"/>
  <c r="I181" i="12"/>
  <c r="I165" i="12"/>
  <c r="I149" i="12"/>
  <c r="I133" i="12"/>
  <c r="I117" i="12"/>
  <c r="I101" i="12"/>
  <c r="I85" i="12"/>
  <c r="I69" i="12"/>
  <c r="I53" i="12"/>
  <c r="I37" i="12"/>
  <c r="I21" i="12"/>
  <c r="I5" i="12"/>
  <c r="I301" i="12"/>
  <c r="I372" i="12"/>
  <c r="I356" i="12"/>
  <c r="I340" i="12"/>
  <c r="I324" i="12"/>
  <c r="I308" i="12"/>
  <c r="I292" i="12"/>
  <c r="I276" i="12"/>
  <c r="I260" i="12"/>
  <c r="I244" i="12"/>
  <c r="I228" i="12"/>
  <c r="I212" i="12"/>
  <c r="I196" i="12"/>
  <c r="I180" i="12"/>
  <c r="I164" i="12"/>
  <c r="I148" i="12"/>
  <c r="I132" i="12"/>
  <c r="I116" i="12"/>
  <c r="I100" i="12"/>
  <c r="I84" i="12"/>
  <c r="I68" i="12"/>
  <c r="I52" i="12"/>
  <c r="I36" i="12"/>
  <c r="I20" i="12"/>
  <c r="I4" i="12"/>
  <c r="I285" i="12"/>
  <c r="I387" i="12"/>
  <c r="I371" i="12"/>
  <c r="I355" i="12"/>
  <c r="I339" i="12"/>
  <c r="I323" i="12"/>
  <c r="I307" i="12"/>
  <c r="I291" i="12"/>
  <c r="I275" i="12"/>
  <c r="I259" i="12"/>
  <c r="I243" i="12"/>
  <c r="I227" i="12"/>
  <c r="I211" i="12"/>
  <c r="I195" i="12"/>
  <c r="I179" i="12"/>
  <c r="I163" i="12"/>
  <c r="I147" i="12"/>
  <c r="I131" i="12"/>
  <c r="I115" i="12"/>
  <c r="I99" i="12"/>
  <c r="I83" i="12"/>
  <c r="I67" i="12"/>
  <c r="I51" i="12"/>
  <c r="I35" i="12"/>
  <c r="I19" i="12"/>
  <c r="I386" i="12"/>
  <c r="I370" i="12"/>
  <c r="I354" i="12"/>
  <c r="I338" i="12"/>
  <c r="I322" i="12"/>
  <c r="I306" i="12"/>
  <c r="I290" i="12"/>
  <c r="I274" i="12"/>
  <c r="I258" i="12"/>
  <c r="I242" i="12"/>
  <c r="I226" i="12"/>
  <c r="I210" i="12"/>
  <c r="I194" i="12"/>
  <c r="I178" i="12"/>
  <c r="I162" i="12"/>
  <c r="I146" i="12"/>
  <c r="I130" i="12"/>
  <c r="I114" i="12"/>
  <c r="I98" i="12"/>
  <c r="I82" i="12"/>
  <c r="I66" i="12"/>
  <c r="I50" i="12"/>
  <c r="I34" i="12"/>
  <c r="I18" i="12"/>
  <c r="I385" i="12"/>
  <c r="I369" i="12"/>
  <c r="I353" i="12"/>
  <c r="I337" i="12"/>
  <c r="I321" i="12"/>
  <c r="I305" i="12"/>
  <c r="I289" i="12"/>
  <c r="I273" i="12"/>
  <c r="I257" i="12"/>
  <c r="I241" i="12"/>
  <c r="I225" i="12"/>
  <c r="I209" i="12"/>
  <c r="I193" i="12"/>
  <c r="I177" i="12"/>
  <c r="I161" i="12"/>
  <c r="I145" i="12"/>
  <c r="I129" i="12"/>
  <c r="I113" i="12"/>
  <c r="I97" i="12"/>
  <c r="I81" i="12"/>
  <c r="I65" i="12"/>
  <c r="I49" i="12"/>
  <c r="I33" i="12"/>
  <c r="I17" i="12"/>
  <c r="I384" i="12"/>
  <c r="I368" i="12"/>
  <c r="I352" i="12"/>
  <c r="I336" i="12"/>
  <c r="I320" i="12"/>
  <c r="I304" i="12"/>
  <c r="I272" i="12"/>
  <c r="I256" i="12"/>
  <c r="I240" i="12"/>
  <c r="I224" i="12"/>
  <c r="I192" i="12"/>
  <c r="I160" i="12"/>
  <c r="I144" i="12"/>
  <c r="I128" i="12"/>
  <c r="I96" i="12"/>
  <c r="I64" i="12"/>
  <c r="I48" i="12"/>
  <c r="I32" i="12"/>
  <c r="I16" i="12"/>
  <c r="I319" i="12"/>
  <c r="I239" i="12"/>
  <c r="I191" i="12"/>
  <c r="I143" i="12"/>
  <c r="I127" i="12"/>
  <c r="I63" i="12"/>
  <c r="I15" i="12"/>
  <c r="I221" i="12"/>
  <c r="I382" i="12"/>
  <c r="I366" i="12"/>
  <c r="I350" i="12"/>
  <c r="I334" i="12"/>
  <c r="I318" i="12"/>
  <c r="I302" i="12"/>
  <c r="I286" i="12"/>
  <c r="I270" i="12"/>
  <c r="I254" i="12"/>
  <c r="I238" i="12"/>
  <c r="I222" i="12"/>
  <c r="I206" i="12"/>
  <c r="I190" i="12"/>
  <c r="I158" i="12"/>
  <c r="I142" i="12"/>
  <c r="I126" i="12"/>
  <c r="I110" i="12"/>
  <c r="I94" i="12"/>
  <c r="I78" i="12"/>
  <c r="I62" i="12"/>
  <c r="I46" i="12"/>
  <c r="I30" i="12"/>
  <c r="I14" i="12"/>
  <c r="I137" i="12"/>
  <c r="I264" i="12"/>
  <c r="I136" i="12"/>
  <c r="I391" i="12"/>
  <c r="I375" i="12"/>
  <c r="I359" i="12"/>
  <c r="I343" i="12"/>
  <c r="I327" i="12"/>
  <c r="I311" i="12"/>
  <c r="I295" i="12"/>
  <c r="I263" i="12"/>
  <c r="I247" i="12"/>
  <c r="I231" i="12"/>
  <c r="I215" i="12"/>
  <c r="I199" i="12"/>
  <c r="I183" i="12"/>
  <c r="I167" i="12"/>
  <c r="I135" i="12"/>
  <c r="I119" i="12"/>
  <c r="I103" i="12"/>
  <c r="I71" i="12"/>
  <c r="I55" i="12"/>
  <c r="I39" i="12"/>
  <c r="I23" i="12"/>
  <c r="I344" i="12"/>
  <c r="I168" i="12"/>
  <c r="J257" i="12"/>
  <c r="I390" i="12"/>
  <c r="I374" i="12"/>
  <c r="I342" i="12"/>
  <c r="I326" i="12"/>
  <c r="I310" i="12"/>
  <c r="I294" i="12"/>
  <c r="I262" i="12"/>
  <c r="I246" i="12"/>
  <c r="I230" i="12"/>
  <c r="I214" i="12"/>
  <c r="I198" i="12"/>
  <c r="I166" i="12"/>
  <c r="I134" i="12"/>
  <c r="I118" i="12"/>
  <c r="I102" i="12"/>
  <c r="I86" i="12"/>
  <c r="I70" i="12"/>
  <c r="I54" i="12"/>
  <c r="I38" i="12"/>
  <c r="I22" i="12"/>
  <c r="I265" i="12"/>
  <c r="I280" i="12"/>
  <c r="J129" i="12"/>
  <c r="I288" i="12"/>
  <c r="I208" i="12"/>
  <c r="I176" i="12"/>
  <c r="I112" i="12"/>
  <c r="I80" i="12"/>
  <c r="I383" i="12"/>
  <c r="I367" i="12"/>
  <c r="I351" i="12"/>
  <c r="I335" i="12"/>
  <c r="I303" i="12"/>
  <c r="I287" i="12"/>
  <c r="I271" i="12"/>
  <c r="I255" i="12"/>
  <c r="I223" i="12"/>
  <c r="I207" i="12"/>
  <c r="I175" i="12"/>
  <c r="I159" i="12"/>
  <c r="I111" i="12"/>
  <c r="I95" i="12"/>
  <c r="I79" i="12"/>
  <c r="I47" i="12"/>
  <c r="I31" i="12"/>
  <c r="I174" i="12"/>
  <c r="J64" i="12"/>
  <c r="I361" i="12"/>
  <c r="J65" i="12"/>
  <c r="J256" i="12"/>
  <c r="I396" i="12"/>
  <c r="J321" i="12"/>
  <c r="G209" i="11"/>
  <c r="G364" i="11"/>
  <c r="G363" i="11"/>
  <c r="G81" i="11"/>
  <c r="G337" i="11"/>
  <c r="G907" i="11"/>
  <c r="G374" i="11"/>
  <c r="F38" i="1"/>
  <c r="E38" i="1"/>
  <c r="J320" i="12"/>
  <c r="J50" i="12"/>
  <c r="J383" i="12"/>
  <c r="J368" i="12"/>
  <c r="J352" i="12"/>
  <c r="J336" i="12"/>
  <c r="J304" i="12"/>
  <c r="J288" i="12"/>
  <c r="J272" i="12"/>
  <c r="J240" i="12"/>
  <c r="J224" i="12"/>
  <c r="J208" i="12"/>
  <c r="J176" i="12"/>
  <c r="J160" i="12"/>
  <c r="J144" i="12"/>
  <c r="J112" i="12"/>
  <c r="J96" i="12"/>
  <c r="J80" i="12"/>
  <c r="J48" i="12"/>
  <c r="J32" i="12"/>
  <c r="J16" i="12"/>
  <c r="J258" i="12"/>
  <c r="J335" i="12"/>
  <c r="J223" i="12"/>
  <c r="J127" i="12"/>
  <c r="J31" i="12"/>
  <c r="J334" i="12"/>
  <c r="J286" i="12"/>
  <c r="J238" i="12"/>
  <c r="J206" i="12"/>
  <c r="J158" i="12"/>
  <c r="J94" i="12"/>
  <c r="J62" i="12"/>
  <c r="J14" i="12"/>
  <c r="J365" i="12"/>
  <c r="J301" i="12"/>
  <c r="J237" i="12"/>
  <c r="J189" i="12"/>
  <c r="J157" i="12"/>
  <c r="J109" i="12"/>
  <c r="J77" i="12"/>
  <c r="J61" i="12"/>
  <c r="J29" i="12"/>
  <c r="J242" i="12"/>
  <c r="J380" i="12"/>
  <c r="J364" i="12"/>
  <c r="J348" i="12"/>
  <c r="J332" i="12"/>
  <c r="J316" i="12"/>
  <c r="J300" i="12"/>
  <c r="J284" i="12"/>
  <c r="J268" i="12"/>
  <c r="J252" i="12"/>
  <c r="J236" i="12"/>
  <c r="J220" i="12"/>
  <c r="J204" i="12"/>
  <c r="J188" i="12"/>
  <c r="J172" i="12"/>
  <c r="J156" i="12"/>
  <c r="J140" i="12"/>
  <c r="J124" i="12"/>
  <c r="J108" i="12"/>
  <c r="J92" i="12"/>
  <c r="J76" i="12"/>
  <c r="J60" i="12"/>
  <c r="J44" i="12"/>
  <c r="J28" i="12"/>
  <c r="J12" i="12"/>
  <c r="J194" i="12"/>
  <c r="J351" i="12"/>
  <c r="J303" i="12"/>
  <c r="J255" i="12"/>
  <c r="J191" i="12"/>
  <c r="J159" i="12"/>
  <c r="J79" i="12"/>
  <c r="J382" i="12"/>
  <c r="J302" i="12"/>
  <c r="J222" i="12"/>
  <c r="J126" i="12"/>
  <c r="J46" i="12"/>
  <c r="J349" i="12"/>
  <c r="J285" i="12"/>
  <c r="J205" i="12"/>
  <c r="J125" i="12"/>
  <c r="J45" i="12"/>
  <c r="J395" i="12"/>
  <c r="J379" i="12"/>
  <c r="J363" i="12"/>
  <c r="J347" i="12"/>
  <c r="J331" i="12"/>
  <c r="J315" i="12"/>
  <c r="J299" i="12"/>
  <c r="J283" i="12"/>
  <c r="J267" i="12"/>
  <c r="J251" i="12"/>
  <c r="J235" i="12"/>
  <c r="J219" i="12"/>
  <c r="J203" i="12"/>
  <c r="J187" i="12"/>
  <c r="J171" i="12"/>
  <c r="J155" i="12"/>
  <c r="J139" i="12"/>
  <c r="J123" i="12"/>
  <c r="J107" i="12"/>
  <c r="J91" i="12"/>
  <c r="J75" i="12"/>
  <c r="J59" i="12"/>
  <c r="J43" i="12"/>
  <c r="J27" i="12"/>
  <c r="J11" i="12"/>
  <c r="J193" i="12"/>
  <c r="J394" i="12"/>
  <c r="J378" i="12"/>
  <c r="J362" i="12"/>
  <c r="J346" i="12"/>
  <c r="J330" i="12"/>
  <c r="J314" i="12"/>
  <c r="J298" i="12"/>
  <c r="J282" i="12"/>
  <c r="J266" i="12"/>
  <c r="J250" i="12"/>
  <c r="J234" i="12"/>
  <c r="J218" i="12"/>
  <c r="J202" i="12"/>
  <c r="J186" i="12"/>
  <c r="J170" i="12"/>
  <c r="J154" i="12"/>
  <c r="J138" i="12"/>
  <c r="J122" i="12"/>
  <c r="J106" i="12"/>
  <c r="J90" i="12"/>
  <c r="J74" i="12"/>
  <c r="J58" i="12"/>
  <c r="J42" i="12"/>
  <c r="J26" i="12"/>
  <c r="J10" i="12"/>
  <c r="J192" i="12"/>
  <c r="J367" i="12"/>
  <c r="J319" i="12"/>
  <c r="J271" i="12"/>
  <c r="J239" i="12"/>
  <c r="J175" i="12"/>
  <c r="J143" i="12"/>
  <c r="J95" i="12"/>
  <c r="J63" i="12"/>
  <c r="J15" i="12"/>
  <c r="J350" i="12"/>
  <c r="J270" i="12"/>
  <c r="J174" i="12"/>
  <c r="J110" i="12"/>
  <c r="J30" i="12"/>
  <c r="J333" i="12"/>
  <c r="J269" i="12"/>
  <c r="J221" i="12"/>
  <c r="J141" i="12"/>
  <c r="J13" i="12"/>
  <c r="J393" i="12"/>
  <c r="J377" i="12"/>
  <c r="J361" i="12"/>
  <c r="J345" i="12"/>
  <c r="J329" i="12"/>
  <c r="J313" i="12"/>
  <c r="J297" i="12"/>
  <c r="J281" i="12"/>
  <c r="J265" i="12"/>
  <c r="J249" i="12"/>
  <c r="J233" i="12"/>
  <c r="J217" i="12"/>
  <c r="J201" i="12"/>
  <c r="J185" i="12"/>
  <c r="J169" i="12"/>
  <c r="J153" i="12"/>
  <c r="J137" i="12"/>
  <c r="J121" i="12"/>
  <c r="J105" i="12"/>
  <c r="J89" i="12"/>
  <c r="J73" i="12"/>
  <c r="J57" i="12"/>
  <c r="J41" i="12"/>
  <c r="J25" i="12"/>
  <c r="J9" i="12"/>
  <c r="J178" i="12"/>
  <c r="J392" i="12"/>
  <c r="J376" i="12"/>
  <c r="J360" i="12"/>
  <c r="J344" i="12"/>
  <c r="J328" i="12"/>
  <c r="J312" i="12"/>
  <c r="J296" i="12"/>
  <c r="J280" i="12"/>
  <c r="J264" i="12"/>
  <c r="J248" i="12"/>
  <c r="J232" i="12"/>
  <c r="J216" i="12"/>
  <c r="J200" i="12"/>
  <c r="J184" i="12"/>
  <c r="J168" i="12"/>
  <c r="J152" i="12"/>
  <c r="J136" i="12"/>
  <c r="J120" i="12"/>
  <c r="J104" i="12"/>
  <c r="J88" i="12"/>
  <c r="J72" i="12"/>
  <c r="J56" i="12"/>
  <c r="J40" i="12"/>
  <c r="J24" i="12"/>
  <c r="J8" i="12"/>
  <c r="J386" i="12"/>
  <c r="J130" i="12"/>
  <c r="J391" i="12"/>
  <c r="J375" i="12"/>
  <c r="J359" i="12"/>
  <c r="J343" i="12"/>
  <c r="J327" i="12"/>
  <c r="J311" i="12"/>
  <c r="J295" i="12"/>
  <c r="J279" i="12"/>
  <c r="J263" i="12"/>
  <c r="J247" i="12"/>
  <c r="J231" i="12"/>
  <c r="J215" i="12"/>
  <c r="J199" i="12"/>
  <c r="J183" i="12"/>
  <c r="J167" i="12"/>
  <c r="J151" i="12"/>
  <c r="J135" i="12"/>
  <c r="J119" i="12"/>
  <c r="J103" i="12"/>
  <c r="J87" i="12"/>
  <c r="J71" i="12"/>
  <c r="J55" i="12"/>
  <c r="J39" i="12"/>
  <c r="J23" i="12"/>
  <c r="J7" i="12"/>
  <c r="J385" i="12"/>
  <c r="J390" i="12"/>
  <c r="J374" i="12"/>
  <c r="J358" i="12"/>
  <c r="J342" i="12"/>
  <c r="J326" i="12"/>
  <c r="J310" i="12"/>
  <c r="J294" i="12"/>
  <c r="J278" i="12"/>
  <c r="J262" i="12"/>
  <c r="J246" i="12"/>
  <c r="J230" i="12"/>
  <c r="J214" i="12"/>
  <c r="J198" i="12"/>
  <c r="J182" i="12"/>
  <c r="J166" i="12"/>
  <c r="J150" i="12"/>
  <c r="J134" i="12"/>
  <c r="J118" i="12"/>
  <c r="J102" i="12"/>
  <c r="J86" i="12"/>
  <c r="J70" i="12"/>
  <c r="J54" i="12"/>
  <c r="J38" i="12"/>
  <c r="J22" i="12"/>
  <c r="J6" i="12"/>
  <c r="J384" i="12"/>
  <c r="J128" i="12"/>
  <c r="J287" i="12"/>
  <c r="J207" i="12"/>
  <c r="J111" i="12"/>
  <c r="J47" i="12"/>
  <c r="J366" i="12"/>
  <c r="J318" i="12"/>
  <c r="J254" i="12"/>
  <c r="J190" i="12"/>
  <c r="J142" i="12"/>
  <c r="J78" i="12"/>
  <c r="J381" i="12"/>
  <c r="J317" i="12"/>
  <c r="J253" i="12"/>
  <c r="J173" i="12"/>
  <c r="J93" i="12"/>
  <c r="J389" i="12"/>
  <c r="J373" i="12"/>
  <c r="J357" i="12"/>
  <c r="J341" i="12"/>
  <c r="J325" i="12"/>
  <c r="J309" i="12"/>
  <c r="J293" i="12"/>
  <c r="J277" i="12"/>
  <c r="J261" i="12"/>
  <c r="J245" i="12"/>
  <c r="J229" i="12"/>
  <c r="J213" i="12"/>
  <c r="J197" i="12"/>
  <c r="J181" i="12"/>
  <c r="J165" i="12"/>
  <c r="J149" i="12"/>
  <c r="J133" i="12"/>
  <c r="J117" i="12"/>
  <c r="J101" i="12"/>
  <c r="J85" i="12"/>
  <c r="J69" i="12"/>
  <c r="J53" i="12"/>
  <c r="J37" i="12"/>
  <c r="J21" i="12"/>
  <c r="J5" i="12"/>
  <c r="J370" i="12"/>
  <c r="J114" i="12"/>
  <c r="J388" i="12"/>
  <c r="J372" i="12"/>
  <c r="J356" i="12"/>
  <c r="J340" i="12"/>
  <c r="J324" i="12"/>
  <c r="J308" i="12"/>
  <c r="J292" i="12"/>
  <c r="J276" i="12"/>
  <c r="J260" i="12"/>
  <c r="J244" i="12"/>
  <c r="J228" i="12"/>
  <c r="J212" i="12"/>
  <c r="J196" i="12"/>
  <c r="J180" i="12"/>
  <c r="J164" i="12"/>
  <c r="J148" i="12"/>
  <c r="J132" i="12"/>
  <c r="J116" i="12"/>
  <c r="J100" i="12"/>
  <c r="J84" i="12"/>
  <c r="J68" i="12"/>
  <c r="J52" i="12"/>
  <c r="J36" i="12"/>
  <c r="J20" i="12"/>
  <c r="J4" i="12"/>
  <c r="J322" i="12"/>
  <c r="J66" i="12"/>
  <c r="J387" i="12"/>
  <c r="J371" i="12"/>
  <c r="J355" i="12"/>
  <c r="J339" i="12"/>
  <c r="J323" i="12"/>
  <c r="J307" i="12"/>
  <c r="J291" i="12"/>
  <c r="J275" i="12"/>
  <c r="J259" i="12"/>
  <c r="J243" i="12"/>
  <c r="J227" i="12"/>
  <c r="J211" i="12"/>
  <c r="J195" i="12"/>
  <c r="J179" i="12"/>
  <c r="J163" i="12"/>
  <c r="J147" i="12"/>
  <c r="J131" i="12"/>
  <c r="J115" i="12"/>
  <c r="J99" i="12"/>
  <c r="J83" i="12"/>
  <c r="J67" i="12"/>
  <c r="J51" i="12"/>
  <c r="J35" i="12"/>
  <c r="J19" i="12"/>
  <c r="J354" i="12"/>
  <c r="J338" i="12"/>
  <c r="J290" i="12"/>
  <c r="J274" i="12"/>
  <c r="J226" i="12"/>
  <c r="J210" i="12"/>
  <c r="J162" i="12"/>
  <c r="J146" i="12"/>
  <c r="J98" i="12"/>
  <c r="J82" i="12"/>
  <c r="J34" i="12"/>
  <c r="J18" i="12"/>
  <c r="J369" i="12"/>
  <c r="J353" i="12"/>
  <c r="J337" i="12"/>
  <c r="J305" i="12"/>
  <c r="J289" i="12"/>
  <c r="J273" i="12"/>
  <c r="J241" i="12"/>
  <c r="J225" i="12"/>
  <c r="J209" i="12"/>
  <c r="J177" i="12"/>
  <c r="J161" i="12"/>
  <c r="J145" i="12"/>
  <c r="J113" i="12"/>
  <c r="J97" i="12"/>
  <c r="J81" i="12"/>
  <c r="J49" i="12"/>
  <c r="J33" i="12"/>
  <c r="J17" i="12"/>
  <c r="G273" i="11"/>
  <c r="G225" i="11"/>
  <c r="G113" i="11"/>
  <c r="G1051" i="11"/>
  <c r="G987" i="11"/>
  <c r="G891" i="11"/>
  <c r="G795" i="11"/>
  <c r="G283" i="11"/>
  <c r="G354" i="11"/>
  <c r="G338" i="11"/>
  <c r="G322" i="11"/>
  <c r="G306" i="11"/>
  <c r="G290" i="11"/>
  <c r="G274" i="11"/>
  <c r="G258" i="11"/>
  <c r="G242" i="11"/>
  <c r="G226" i="11"/>
  <c r="G210" i="11"/>
  <c r="G194" i="11"/>
  <c r="G178" i="11"/>
  <c r="G162" i="11"/>
  <c r="G146" i="11"/>
  <c r="G130" i="11"/>
  <c r="G114" i="11"/>
  <c r="G98" i="11"/>
  <c r="G82" i="11"/>
  <c r="G66" i="11"/>
  <c r="G50" i="11"/>
  <c r="G34" i="11"/>
  <c r="G18" i="11"/>
  <c r="G1084" i="11"/>
  <c r="G1068" i="11"/>
  <c r="G1052" i="11"/>
  <c r="G1036" i="11"/>
  <c r="G1020" i="11"/>
  <c r="G1004" i="11"/>
  <c r="G988" i="11"/>
  <c r="G972" i="11"/>
  <c r="G956" i="11"/>
  <c r="G940" i="11"/>
  <c r="G924" i="11"/>
  <c r="G908" i="11"/>
  <c r="G892" i="11"/>
  <c r="G876" i="11"/>
  <c r="G860" i="11"/>
  <c r="G844" i="11"/>
  <c r="G828" i="11"/>
  <c r="G812" i="11"/>
  <c r="G796" i="11"/>
  <c r="G489" i="11"/>
  <c r="G473" i="11"/>
  <c r="G457" i="11"/>
  <c r="G441" i="11"/>
  <c r="G425" i="11"/>
  <c r="G409" i="11"/>
  <c r="G393" i="11"/>
  <c r="G377" i="11"/>
  <c r="G352" i="11"/>
  <c r="G336" i="11"/>
  <c r="G320" i="11"/>
  <c r="G304" i="11"/>
  <c r="G288" i="11"/>
  <c r="G272" i="11"/>
  <c r="G256" i="11"/>
  <c r="G240" i="11"/>
  <c r="G224" i="11"/>
  <c r="G208" i="11"/>
  <c r="G192" i="11"/>
  <c r="G176" i="11"/>
  <c r="G160" i="11"/>
  <c r="G144" i="11"/>
  <c r="G128" i="11"/>
  <c r="G112" i="11"/>
  <c r="G96" i="11"/>
  <c r="G80" i="11"/>
  <c r="G64" i="11"/>
  <c r="G48" i="11"/>
  <c r="G32" i="11"/>
  <c r="G16" i="11"/>
  <c r="G1082" i="11"/>
  <c r="G1066" i="11"/>
  <c r="G1050" i="11"/>
  <c r="G1034" i="11"/>
  <c r="G1018" i="11"/>
  <c r="G1002" i="11"/>
  <c r="G986" i="11"/>
  <c r="G970" i="11"/>
  <c r="G954" i="11"/>
  <c r="G938" i="11"/>
  <c r="G922" i="11"/>
  <c r="G906" i="11"/>
  <c r="G890" i="11"/>
  <c r="G874" i="11"/>
  <c r="G858" i="11"/>
  <c r="G842" i="11"/>
  <c r="G826" i="11"/>
  <c r="G810" i="11"/>
  <c r="G794" i="11"/>
  <c r="G778" i="11"/>
  <c r="G569" i="11"/>
  <c r="G553" i="11"/>
  <c r="G537" i="11"/>
  <c r="G521" i="11"/>
  <c r="G505" i="11"/>
  <c r="G351" i="11"/>
  <c r="G335" i="11"/>
  <c r="G319" i="11"/>
  <c r="G303" i="11"/>
  <c r="G287" i="11"/>
  <c r="G271" i="11"/>
  <c r="G255" i="11"/>
  <c r="G239" i="11"/>
  <c r="G223" i="11"/>
  <c r="G207" i="11"/>
  <c r="G191" i="11"/>
  <c r="G175" i="11"/>
  <c r="G159" i="11"/>
  <c r="G143" i="11"/>
  <c r="G127" i="11"/>
  <c r="G111" i="11"/>
  <c r="G95" i="11"/>
  <c r="G79" i="11"/>
  <c r="G63" i="11"/>
  <c r="G47" i="11"/>
  <c r="G31" i="11"/>
  <c r="G15" i="11"/>
  <c r="G1081" i="11"/>
  <c r="G1065" i="11"/>
  <c r="G1049" i="11"/>
  <c r="G1033" i="11"/>
  <c r="G1017" i="11"/>
  <c r="G1001" i="11"/>
  <c r="G985" i="11"/>
  <c r="G969" i="11"/>
  <c r="G953" i="11"/>
  <c r="G937" i="11"/>
  <c r="G921" i="11"/>
  <c r="G905" i="11"/>
  <c r="G889" i="11"/>
  <c r="G873" i="11"/>
  <c r="G857" i="11"/>
  <c r="G841" i="11"/>
  <c r="G825" i="11"/>
  <c r="G809" i="11"/>
  <c r="G793" i="11"/>
  <c r="G777" i="11"/>
  <c r="G761" i="11"/>
  <c r="G745" i="11"/>
  <c r="G729" i="11"/>
  <c r="G713" i="11"/>
  <c r="G697" i="11"/>
  <c r="G681" i="11"/>
  <c r="G665" i="11"/>
  <c r="G649" i="11"/>
  <c r="G633" i="11"/>
  <c r="G617" i="11"/>
  <c r="G601" i="11"/>
  <c r="G585" i="11"/>
  <c r="G486" i="11"/>
  <c r="G470" i="11"/>
  <c r="G454" i="11"/>
  <c r="G438" i="11"/>
  <c r="G422" i="11"/>
  <c r="G406" i="11"/>
  <c r="G390" i="11"/>
  <c r="G350" i="11"/>
  <c r="G334" i="11"/>
  <c r="G318" i="11"/>
  <c r="G302" i="11"/>
  <c r="G286" i="11"/>
  <c r="G270" i="11"/>
  <c r="G254" i="11"/>
  <c r="G238" i="11"/>
  <c r="G222" i="11"/>
  <c r="G206" i="11"/>
  <c r="G190" i="11"/>
  <c r="G174" i="11"/>
  <c r="G158" i="11"/>
  <c r="G142" i="11"/>
  <c r="G126" i="11"/>
  <c r="G110" i="11"/>
  <c r="G94" i="11"/>
  <c r="G78" i="11"/>
  <c r="G62" i="11"/>
  <c r="G46" i="11"/>
  <c r="G30" i="11"/>
  <c r="G14" i="11"/>
  <c r="G1080" i="11"/>
  <c r="G1064" i="11"/>
  <c r="G1048" i="11"/>
  <c r="G1032" i="11"/>
  <c r="G1016" i="11"/>
  <c r="G1000" i="11"/>
  <c r="G984" i="11"/>
  <c r="G968" i="11"/>
  <c r="G952" i="11"/>
  <c r="G936" i="11"/>
  <c r="G920" i="11"/>
  <c r="G904" i="11"/>
  <c r="G888" i="11"/>
  <c r="G872" i="11"/>
  <c r="G856" i="11"/>
  <c r="G840" i="11"/>
  <c r="G824" i="11"/>
  <c r="G808" i="11"/>
  <c r="G792" i="11"/>
  <c r="G776" i="11"/>
  <c r="G760" i="11"/>
  <c r="G744" i="11"/>
  <c r="G728" i="11"/>
  <c r="G712" i="11"/>
  <c r="G696" i="11"/>
  <c r="G680" i="11"/>
  <c r="G664" i="11"/>
  <c r="G648" i="11"/>
  <c r="G632" i="11"/>
  <c r="G616" i="11"/>
  <c r="G600" i="11"/>
  <c r="G584" i="11"/>
  <c r="J13" i="1"/>
  <c r="G3" i="11"/>
  <c r="F13" i="1"/>
  <c r="E13" i="1"/>
  <c r="G349" i="11"/>
  <c r="G333" i="11"/>
  <c r="G317" i="11"/>
  <c r="G301" i="11"/>
  <c r="G285" i="11"/>
  <c r="G269" i="11"/>
  <c r="G253" i="11"/>
  <c r="G237" i="11"/>
  <c r="G221" i="11"/>
  <c r="G205" i="11"/>
  <c r="G189" i="11"/>
  <c r="G173" i="11"/>
  <c r="G157" i="11"/>
  <c r="G141" i="11"/>
  <c r="G125" i="11"/>
  <c r="G109" i="11"/>
  <c r="G93" i="11"/>
  <c r="G77" i="11"/>
  <c r="G61" i="11"/>
  <c r="G45" i="11"/>
  <c r="G29" i="11"/>
  <c r="G13" i="11"/>
  <c r="G1079" i="11"/>
  <c r="G1063" i="11"/>
  <c r="G1047" i="11"/>
  <c r="G1031" i="11"/>
  <c r="G1015" i="11"/>
  <c r="G999" i="11"/>
  <c r="G983" i="11"/>
  <c r="G967" i="11"/>
  <c r="G951" i="11"/>
  <c r="G935" i="11"/>
  <c r="G919" i="11"/>
  <c r="G903" i="11"/>
  <c r="G887" i="11"/>
  <c r="G871" i="11"/>
  <c r="G855" i="11"/>
  <c r="G839" i="11"/>
  <c r="G823" i="11"/>
  <c r="G807" i="11"/>
  <c r="G791" i="11"/>
  <c r="G775" i="11"/>
  <c r="G759" i="11"/>
  <c r="G743" i="11"/>
  <c r="G727" i="11"/>
  <c r="G566" i="11"/>
  <c r="G550" i="11"/>
  <c r="G518" i="11"/>
  <c r="G348" i="11"/>
  <c r="G332" i="11"/>
  <c r="G316" i="11"/>
  <c r="G300" i="11"/>
  <c r="G284" i="11"/>
  <c r="G268" i="11"/>
  <c r="G252" i="11"/>
  <c r="G236" i="11"/>
  <c r="G220" i="11"/>
  <c r="G204" i="11"/>
  <c r="G188" i="11"/>
  <c r="G172" i="11"/>
  <c r="G156" i="11"/>
  <c r="G140" i="11"/>
  <c r="G124" i="11"/>
  <c r="G108" i="11"/>
  <c r="G92" i="11"/>
  <c r="G76" i="11"/>
  <c r="G60" i="11"/>
  <c r="G44" i="11"/>
  <c r="G28" i="11"/>
  <c r="G12" i="11"/>
  <c r="G1078" i="11"/>
  <c r="G1062" i="11"/>
  <c r="G1046" i="11"/>
  <c r="G1030" i="11"/>
  <c r="G1014" i="11"/>
  <c r="G998" i="11"/>
  <c r="G982" i="11"/>
  <c r="G966" i="11"/>
  <c r="G950" i="11"/>
  <c r="G934" i="11"/>
  <c r="G918" i="11"/>
  <c r="G902" i="11"/>
  <c r="G886" i="11"/>
  <c r="G870" i="11"/>
  <c r="G854" i="11"/>
  <c r="G838" i="11"/>
  <c r="G822" i="11"/>
  <c r="G806" i="11"/>
  <c r="G790" i="11"/>
  <c r="G774" i="11"/>
  <c r="G758" i="11"/>
  <c r="G742" i="11"/>
  <c r="G710" i="11"/>
  <c r="G694" i="11"/>
  <c r="G678" i="11"/>
  <c r="G646" i="11"/>
  <c r="G614" i="11"/>
  <c r="G241" i="11"/>
  <c r="G65" i="11"/>
  <c r="G843" i="11"/>
  <c r="G315" i="11"/>
  <c r="G219" i="11"/>
  <c r="G203" i="11"/>
  <c r="G187" i="11"/>
  <c r="G171" i="11"/>
  <c r="G43" i="11"/>
  <c r="G27" i="11"/>
  <c r="G11" i="11"/>
  <c r="G1077" i="11"/>
  <c r="G1061" i="11"/>
  <c r="G1045" i="11"/>
  <c r="G1029" i="11"/>
  <c r="G1013" i="11"/>
  <c r="G997" i="11"/>
  <c r="G981" i="11"/>
  <c r="G965" i="11"/>
  <c r="G949" i="11"/>
  <c r="G933" i="11"/>
  <c r="G917" i="11"/>
  <c r="G901" i="11"/>
  <c r="G885" i="11"/>
  <c r="G869" i="11"/>
  <c r="G853" i="11"/>
  <c r="G837" i="11"/>
  <c r="G821" i="11"/>
  <c r="G805" i="11"/>
  <c r="G789" i="11"/>
  <c r="G773" i="11"/>
  <c r="G757" i="11"/>
  <c r="G741" i="11"/>
  <c r="G725" i="11"/>
  <c r="G709" i="11"/>
  <c r="G693" i="11"/>
  <c r="G677" i="11"/>
  <c r="G661" i="11"/>
  <c r="G645" i="11"/>
  <c r="G629" i="11"/>
  <c r="G613" i="11"/>
  <c r="G597" i="11"/>
  <c r="G580" i="11"/>
  <c r="G564" i="11"/>
  <c r="G548" i="11"/>
  <c r="G532" i="11"/>
  <c r="G516" i="11"/>
  <c r="G500" i="11"/>
  <c r="G482" i="11"/>
  <c r="G466" i="11"/>
  <c r="G450" i="11"/>
  <c r="G434" i="11"/>
  <c r="G418" i="11"/>
  <c r="G402" i="11"/>
  <c r="G386" i="11"/>
  <c r="G368" i="11"/>
  <c r="G321" i="11"/>
  <c r="G257" i="11"/>
  <c r="G177" i="11"/>
  <c r="G97" i="11"/>
  <c r="G1067" i="11"/>
  <c r="G1003" i="11"/>
  <c r="G955" i="11"/>
  <c r="G747" i="11"/>
  <c r="G331" i="11"/>
  <c r="G59" i="11"/>
  <c r="G362" i="11"/>
  <c r="G346" i="11"/>
  <c r="G330" i="11"/>
  <c r="G314" i="11"/>
  <c r="G298" i="11"/>
  <c r="G282" i="11"/>
  <c r="G266" i="11"/>
  <c r="G250" i="11"/>
  <c r="G234" i="11"/>
  <c r="G218" i="11"/>
  <c r="G202" i="11"/>
  <c r="G186" i="11"/>
  <c r="G170" i="11"/>
  <c r="G154" i="11"/>
  <c r="G138" i="11"/>
  <c r="G122" i="11"/>
  <c r="G106" i="11"/>
  <c r="G90" i="11"/>
  <c r="G74" i="11"/>
  <c r="G58" i="11"/>
  <c r="G42" i="11"/>
  <c r="G26" i="11"/>
  <c r="G10" i="11"/>
  <c r="G1076" i="11"/>
  <c r="G1060" i="11"/>
  <c r="G1044" i="11"/>
  <c r="G1028" i="11"/>
  <c r="G1012" i="11"/>
  <c r="G996" i="11"/>
  <c r="G980" i="11"/>
  <c r="G964" i="11"/>
  <c r="G948" i="11"/>
  <c r="G932" i="11"/>
  <c r="G916" i="11"/>
  <c r="G900" i="11"/>
  <c r="G884" i="11"/>
  <c r="G868" i="11"/>
  <c r="G852" i="11"/>
  <c r="G836" i="11"/>
  <c r="G820" i="11"/>
  <c r="G804" i="11"/>
  <c r="G788" i="11"/>
  <c r="G772" i="11"/>
  <c r="G756" i="11"/>
  <c r="G740" i="11"/>
  <c r="G724" i="11"/>
  <c r="G708" i="11"/>
  <c r="G692" i="11"/>
  <c r="G676" i="11"/>
  <c r="G660" i="11"/>
  <c r="G644" i="11"/>
  <c r="G628" i="11"/>
  <c r="G612" i="11"/>
  <c r="G596" i="11"/>
  <c r="G579" i="11"/>
  <c r="G563" i="11"/>
  <c r="G547" i="11"/>
  <c r="G531" i="11"/>
  <c r="G515" i="11"/>
  <c r="G499" i="11"/>
  <c r="G481" i="11"/>
  <c r="G465" i="11"/>
  <c r="G449" i="11"/>
  <c r="G433" i="11"/>
  <c r="G417" i="11"/>
  <c r="G401" i="11"/>
  <c r="G385" i="11"/>
  <c r="G367" i="11"/>
  <c r="G129" i="11"/>
  <c r="G33" i="11"/>
  <c r="G1035" i="11"/>
  <c r="G939" i="11"/>
  <c r="G779" i="11"/>
  <c r="G75" i="11"/>
  <c r="G361" i="11"/>
  <c r="G345" i="11"/>
  <c r="G329" i="11"/>
  <c r="G313" i="11"/>
  <c r="G297" i="11"/>
  <c r="G281" i="11"/>
  <c r="G265" i="11"/>
  <c r="G249" i="11"/>
  <c r="G233" i="11"/>
  <c r="G217" i="11"/>
  <c r="G201" i="11"/>
  <c r="G185" i="11"/>
  <c r="G169" i="11"/>
  <c r="G153" i="11"/>
  <c r="G137" i="11"/>
  <c r="G121" i="11"/>
  <c r="G105" i="11"/>
  <c r="G89" i="11"/>
  <c r="G73" i="11"/>
  <c r="G57" i="11"/>
  <c r="G41" i="11"/>
  <c r="G25" i="11"/>
  <c r="G9" i="11"/>
  <c r="G1091" i="11"/>
  <c r="G1075" i="11"/>
  <c r="G1059" i="11"/>
  <c r="G1043" i="11"/>
  <c r="G1027" i="11"/>
  <c r="G1011" i="11"/>
  <c r="G995" i="11"/>
  <c r="G979" i="11"/>
  <c r="G963" i="11"/>
  <c r="G947" i="11"/>
  <c r="G931" i="11"/>
  <c r="G915" i="11"/>
  <c r="G899" i="11"/>
  <c r="G883" i="11"/>
  <c r="G867" i="11"/>
  <c r="G851" i="11"/>
  <c r="G835" i="11"/>
  <c r="G819" i="11"/>
  <c r="G803" i="11"/>
  <c r="G787" i="11"/>
  <c r="G771" i="11"/>
  <c r="G755" i="11"/>
  <c r="G739" i="11"/>
  <c r="G723" i="11"/>
  <c r="G707" i="11"/>
  <c r="G691" i="11"/>
  <c r="G675" i="11"/>
  <c r="G659" i="11"/>
  <c r="G643" i="11"/>
  <c r="G627" i="11"/>
  <c r="G611" i="11"/>
  <c r="G595" i="11"/>
  <c r="G578" i="11"/>
  <c r="G562" i="11"/>
  <c r="G546" i="11"/>
  <c r="G193" i="11"/>
  <c r="G49" i="11"/>
  <c r="G971" i="11"/>
  <c r="G859" i="11"/>
  <c r="G763" i="11"/>
  <c r="G267" i="11"/>
  <c r="G91" i="11"/>
  <c r="G360" i="11"/>
  <c r="G344" i="11"/>
  <c r="G328" i="11"/>
  <c r="G312" i="11"/>
  <c r="G296" i="11"/>
  <c r="G280" i="11"/>
  <c r="G264" i="11"/>
  <c r="G248" i="11"/>
  <c r="G232" i="11"/>
  <c r="G216" i="11"/>
  <c r="G200" i="11"/>
  <c r="G184" i="11"/>
  <c r="G168" i="11"/>
  <c r="G152" i="11"/>
  <c r="G136" i="11"/>
  <c r="G120" i="11"/>
  <c r="G104" i="11"/>
  <c r="G88" i="11"/>
  <c r="G72" i="11"/>
  <c r="G56" i="11"/>
  <c r="G40" i="11"/>
  <c r="G24" i="11"/>
  <c r="G8" i="11"/>
  <c r="G1090" i="11"/>
  <c r="G1074" i="11"/>
  <c r="G1058" i="11"/>
  <c r="G1042" i="11"/>
  <c r="G1026" i="11"/>
  <c r="G1010" i="11"/>
  <c r="G994" i="11"/>
  <c r="G978" i="11"/>
  <c r="G962" i="11"/>
  <c r="G946" i="11"/>
  <c r="G930" i="11"/>
  <c r="G914" i="11"/>
  <c r="G898" i="11"/>
  <c r="G882" i="11"/>
  <c r="G866" i="11"/>
  <c r="G850" i="11"/>
  <c r="G834" i="11"/>
  <c r="G818" i="11"/>
  <c r="G235" i="11"/>
  <c r="G123" i="11"/>
  <c r="G359" i="11"/>
  <c r="G343" i="11"/>
  <c r="G327" i="11"/>
  <c r="G311" i="11"/>
  <c r="G295" i="11"/>
  <c r="G279" i="11"/>
  <c r="G263" i="11"/>
  <c r="G247" i="11"/>
  <c r="G231" i="11"/>
  <c r="G215" i="11"/>
  <c r="G199" i="11"/>
  <c r="G183" i="11"/>
  <c r="G167" i="11"/>
  <c r="G151" i="11"/>
  <c r="G135" i="11"/>
  <c r="G119" i="11"/>
  <c r="G103" i="11"/>
  <c r="G87" i="11"/>
  <c r="G71" i="11"/>
  <c r="G55" i="11"/>
  <c r="G39" i="11"/>
  <c r="G23" i="11"/>
  <c r="G7" i="11"/>
  <c r="G1089" i="11"/>
  <c r="G1073" i="11"/>
  <c r="G1057" i="11"/>
  <c r="G1041" i="11"/>
  <c r="G1025" i="11"/>
  <c r="G1009" i="11"/>
  <c r="G993" i="11"/>
  <c r="G977" i="11"/>
  <c r="G961" i="11"/>
  <c r="G945" i="11"/>
  <c r="G929" i="11"/>
  <c r="G913" i="11"/>
  <c r="G897" i="11"/>
  <c r="G881" i="11"/>
  <c r="G865" i="11"/>
  <c r="G289" i="11"/>
  <c r="G145" i="11"/>
  <c r="G17" i="11"/>
  <c r="G1019" i="11"/>
  <c r="G923" i="11"/>
  <c r="G811" i="11"/>
  <c r="G299" i="11"/>
  <c r="G139" i="11"/>
  <c r="G358" i="11"/>
  <c r="G342" i="11"/>
  <c r="G326" i="11"/>
  <c r="G310" i="11"/>
  <c r="G294" i="11"/>
  <c r="G278" i="11"/>
  <c r="G262" i="11"/>
  <c r="G246" i="11"/>
  <c r="G230" i="11"/>
  <c r="G214" i="11"/>
  <c r="G198" i="11"/>
  <c r="G182" i="11"/>
  <c r="G166" i="11"/>
  <c r="G150" i="11"/>
  <c r="G134" i="11"/>
  <c r="G118" i="11"/>
  <c r="G102" i="11"/>
  <c r="G86" i="11"/>
  <c r="G70" i="11"/>
  <c r="G54" i="11"/>
  <c r="G38" i="11"/>
  <c r="G22" i="11"/>
  <c r="G6" i="11"/>
  <c r="G1088" i="11"/>
  <c r="G1072" i="11"/>
  <c r="G1056" i="11"/>
  <c r="G1040" i="11"/>
  <c r="G1024" i="11"/>
  <c r="G1008" i="11"/>
  <c r="G992" i="11"/>
  <c r="G976" i="11"/>
  <c r="G960" i="11"/>
  <c r="G944" i="11"/>
  <c r="G928" i="11"/>
  <c r="G912" i="11"/>
  <c r="G896" i="11"/>
  <c r="G880" i="11"/>
  <c r="G864" i="11"/>
  <c r="G848" i="11"/>
  <c r="G832" i="11"/>
  <c r="G816" i="11"/>
  <c r="G800" i="11"/>
  <c r="G784" i="11"/>
  <c r="G768" i="11"/>
  <c r="G752" i="11"/>
  <c r="G736" i="11"/>
  <c r="G347" i="11"/>
  <c r="G107" i="11"/>
  <c r="G357" i="11"/>
  <c r="G341" i="11"/>
  <c r="G325" i="11"/>
  <c r="G309" i="11"/>
  <c r="G293" i="11"/>
  <c r="G277" i="11"/>
  <c r="G261" i="11"/>
  <c r="G245" i="11"/>
  <c r="G229" i="11"/>
  <c r="G213" i="11"/>
  <c r="G197" i="11"/>
  <c r="G181" i="11"/>
  <c r="G165" i="11"/>
  <c r="G149" i="11"/>
  <c r="G133" i="11"/>
  <c r="G117" i="11"/>
  <c r="G101" i="11"/>
  <c r="G85" i="11"/>
  <c r="G69" i="11"/>
  <c r="G53" i="11"/>
  <c r="G37" i="11"/>
  <c r="G21" i="11"/>
  <c r="G5" i="11"/>
  <c r="G1087" i="11"/>
  <c r="G1071" i="11"/>
  <c r="G1055" i="11"/>
  <c r="G1039" i="11"/>
  <c r="G1023" i="11"/>
  <c r="G1007" i="11"/>
  <c r="G991" i="11"/>
  <c r="G975" i="11"/>
  <c r="G959" i="11"/>
  <c r="G943" i="11"/>
  <c r="G927" i="11"/>
  <c r="G911" i="11"/>
  <c r="G895" i="11"/>
  <c r="G879" i="11"/>
  <c r="G863" i="11"/>
  <c r="G847" i="11"/>
  <c r="G831" i="11"/>
  <c r="G815" i="11"/>
  <c r="G251" i="11"/>
  <c r="G155" i="11"/>
  <c r="G356" i="11"/>
  <c r="G340" i="11"/>
  <c r="G324" i="11"/>
  <c r="G308" i="11"/>
  <c r="G292" i="11"/>
  <c r="G276" i="11"/>
  <c r="G260" i="11"/>
  <c r="G244" i="11"/>
  <c r="G228" i="11"/>
  <c r="G212" i="11"/>
  <c r="G196" i="11"/>
  <c r="G180" i="11"/>
  <c r="G164" i="11"/>
  <c r="G148" i="11"/>
  <c r="G132" i="11"/>
  <c r="G116" i="11"/>
  <c r="G100" i="11"/>
  <c r="G84" i="11"/>
  <c r="G68" i="11"/>
  <c r="G52" i="11"/>
  <c r="G36" i="11"/>
  <c r="G20" i="11"/>
  <c r="G4" i="11"/>
  <c r="G1086" i="11"/>
  <c r="G1070" i="11"/>
  <c r="G1054" i="11"/>
  <c r="G1038" i="11"/>
  <c r="G1022" i="11"/>
  <c r="G1006" i="11"/>
  <c r="G990" i="11"/>
  <c r="G974" i="11"/>
  <c r="G958" i="11"/>
  <c r="G942" i="11"/>
  <c r="G926" i="11"/>
  <c r="G910" i="11"/>
  <c r="G894" i="11"/>
  <c r="G878" i="11"/>
  <c r="G862" i="11"/>
  <c r="G846" i="11"/>
  <c r="G830" i="11"/>
  <c r="G814" i="11"/>
  <c r="G798" i="11"/>
  <c r="G782" i="11"/>
  <c r="G766" i="11"/>
  <c r="G353" i="11"/>
  <c r="G161" i="11"/>
  <c r="G875" i="11"/>
  <c r="G355" i="11"/>
  <c r="G339" i="11"/>
  <c r="G323" i="11"/>
  <c r="G307" i="11"/>
  <c r="G291" i="11"/>
  <c r="G275" i="11"/>
  <c r="G259" i="11"/>
  <c r="G243" i="11"/>
  <c r="G227" i="11"/>
  <c r="G211" i="11"/>
  <c r="G195" i="11"/>
  <c r="G179" i="11"/>
  <c r="G163" i="11"/>
  <c r="G147" i="11"/>
  <c r="G131" i="11"/>
  <c r="G115" i="11"/>
  <c r="G99" i="11"/>
  <c r="G83" i="11"/>
  <c r="G67" i="11"/>
  <c r="G51" i="11"/>
  <c r="G35" i="11"/>
  <c r="G19" i="11"/>
  <c r="G1085" i="11"/>
  <c r="G1069" i="11"/>
  <c r="G1053" i="11"/>
  <c r="G1037" i="11"/>
  <c r="G1021" i="11"/>
  <c r="G1005" i="11"/>
  <c r="G989" i="11"/>
  <c r="G973" i="11"/>
  <c r="G957" i="11"/>
  <c r="G941" i="11"/>
  <c r="G925" i="11"/>
  <c r="G909" i="11"/>
  <c r="G893" i="11"/>
  <c r="G877" i="11"/>
  <c r="G861" i="11"/>
  <c r="G845" i="11"/>
  <c r="G829" i="11"/>
  <c r="G813" i="11"/>
  <c r="G797" i="11"/>
  <c r="G781" i="11"/>
  <c r="G765" i="11"/>
  <c r="G749" i="11"/>
  <c r="G733" i="11"/>
  <c r="G717" i="11"/>
  <c r="G568" i="11"/>
  <c r="G552" i="11"/>
  <c r="G536" i="11"/>
  <c r="G520" i="11"/>
  <c r="G504" i="11"/>
  <c r="G372" i="11"/>
  <c r="G567" i="11"/>
  <c r="G551" i="11"/>
  <c r="G535" i="11"/>
  <c r="G519" i="11"/>
  <c r="G503" i="11"/>
  <c r="G485" i="11"/>
  <c r="G469" i="11"/>
  <c r="G453" i="11"/>
  <c r="G437" i="11"/>
  <c r="G421" i="11"/>
  <c r="G405" i="11"/>
  <c r="G389" i="11"/>
  <c r="G371" i="11"/>
  <c r="G711" i="11"/>
  <c r="G695" i="11"/>
  <c r="G679" i="11"/>
  <c r="G663" i="11"/>
  <c r="G647" i="11"/>
  <c r="G631" i="11"/>
  <c r="G615" i="11"/>
  <c r="G599" i="11"/>
  <c r="G583" i="11"/>
  <c r="G484" i="11"/>
  <c r="G468" i="11"/>
  <c r="G452" i="11"/>
  <c r="G436" i="11"/>
  <c r="G420" i="11"/>
  <c r="G404" i="11"/>
  <c r="G388" i="11"/>
  <c r="G370" i="11"/>
  <c r="G581" i="11"/>
  <c r="G565" i="11"/>
  <c r="G549" i="11"/>
  <c r="G533" i="11"/>
  <c r="G517" i="11"/>
  <c r="G501" i="11"/>
  <c r="G483" i="11"/>
  <c r="G467" i="11"/>
  <c r="G451" i="11"/>
  <c r="G435" i="11"/>
  <c r="G419" i="11"/>
  <c r="G403" i="11"/>
  <c r="G387" i="11"/>
  <c r="G369" i="11"/>
  <c r="G662" i="11"/>
  <c r="G534" i="11"/>
  <c r="G530" i="11"/>
  <c r="G514" i="11"/>
  <c r="G498" i="11"/>
  <c r="G480" i="11"/>
  <c r="G464" i="11"/>
  <c r="G448" i="11"/>
  <c r="G432" i="11"/>
  <c r="G416" i="11"/>
  <c r="G400" i="11"/>
  <c r="G384" i="11"/>
  <c r="G366" i="11"/>
  <c r="G802" i="11"/>
  <c r="G786" i="11"/>
  <c r="G770" i="11"/>
  <c r="G754" i="11"/>
  <c r="G738" i="11"/>
  <c r="G722" i="11"/>
  <c r="G706" i="11"/>
  <c r="G690" i="11"/>
  <c r="G674" i="11"/>
  <c r="G658" i="11"/>
  <c r="G642" i="11"/>
  <c r="G626" i="11"/>
  <c r="G610" i="11"/>
  <c r="G594" i="11"/>
  <c r="G577" i="11"/>
  <c r="G561" i="11"/>
  <c r="G545" i="11"/>
  <c r="G529" i="11"/>
  <c r="G513" i="11"/>
  <c r="G497" i="11"/>
  <c r="G479" i="11"/>
  <c r="G463" i="11"/>
  <c r="G447" i="11"/>
  <c r="G431" i="11"/>
  <c r="G415" i="11"/>
  <c r="G399" i="11"/>
  <c r="G383" i="11"/>
  <c r="G365" i="11"/>
  <c r="G849" i="11"/>
  <c r="G833" i="11"/>
  <c r="G817" i="11"/>
  <c r="G801" i="11"/>
  <c r="G785" i="11"/>
  <c r="G769" i="11"/>
  <c r="G753" i="11"/>
  <c r="G737" i="11"/>
  <c r="G721" i="11"/>
  <c r="G705" i="11"/>
  <c r="G689" i="11"/>
  <c r="G673" i="11"/>
  <c r="G657" i="11"/>
  <c r="G641" i="11"/>
  <c r="G625" i="11"/>
  <c r="G609" i="11"/>
  <c r="G593" i="11"/>
  <c r="G576" i="11"/>
  <c r="G560" i="11"/>
  <c r="G544" i="11"/>
  <c r="G528" i="11"/>
  <c r="G512" i="11"/>
  <c r="G496" i="11"/>
  <c r="G478" i="11"/>
  <c r="G462" i="11"/>
  <c r="G446" i="11"/>
  <c r="G430" i="11"/>
  <c r="G414" i="11"/>
  <c r="G398" i="11"/>
  <c r="G382" i="11"/>
  <c r="G492" i="11"/>
  <c r="G493" i="11"/>
  <c r="G630" i="11"/>
  <c r="G502" i="11"/>
  <c r="G720" i="11"/>
  <c r="G704" i="11"/>
  <c r="G688" i="11"/>
  <c r="G672" i="11"/>
  <c r="G656" i="11"/>
  <c r="G640" i="11"/>
  <c r="G624" i="11"/>
  <c r="G608" i="11"/>
  <c r="G592" i="11"/>
  <c r="G575" i="11"/>
  <c r="G559" i="11"/>
  <c r="G543" i="11"/>
  <c r="G527" i="11"/>
  <c r="G511" i="11"/>
  <c r="G495" i="11"/>
  <c r="G477" i="11"/>
  <c r="G461" i="11"/>
  <c r="G445" i="11"/>
  <c r="G429" i="11"/>
  <c r="G413" i="11"/>
  <c r="G397" i="11"/>
  <c r="G381" i="11"/>
  <c r="G799" i="11"/>
  <c r="G783" i="11"/>
  <c r="G767" i="11"/>
  <c r="G751" i="11"/>
  <c r="G735" i="11"/>
  <c r="G719" i="11"/>
  <c r="G703" i="11"/>
  <c r="G687" i="11"/>
  <c r="G671" i="11"/>
  <c r="G655" i="11"/>
  <c r="G639" i="11"/>
  <c r="G623" i="11"/>
  <c r="G607" i="11"/>
  <c r="G591" i="11"/>
  <c r="G574" i="11"/>
  <c r="G558" i="11"/>
  <c r="G542" i="11"/>
  <c r="G526" i="11"/>
  <c r="G510" i="11"/>
  <c r="G494" i="11"/>
  <c r="G476" i="11"/>
  <c r="G460" i="11"/>
  <c r="G444" i="11"/>
  <c r="G428" i="11"/>
  <c r="G412" i="11"/>
  <c r="G396" i="11"/>
  <c r="G380" i="11"/>
  <c r="G750" i="11"/>
  <c r="G734" i="11"/>
  <c r="G718" i="11"/>
  <c r="G702" i="11"/>
  <c r="G686" i="11"/>
  <c r="G670" i="11"/>
  <c r="G654" i="11"/>
  <c r="G638" i="11"/>
  <c r="G622" i="11"/>
  <c r="G606" i="11"/>
  <c r="G590" i="11"/>
  <c r="G573" i="11"/>
  <c r="G557" i="11"/>
  <c r="G541" i="11"/>
  <c r="G525" i="11"/>
  <c r="G509" i="11"/>
  <c r="G491" i="11"/>
  <c r="G475" i="11"/>
  <c r="G459" i="11"/>
  <c r="G443" i="11"/>
  <c r="G427" i="11"/>
  <c r="G411" i="11"/>
  <c r="G395" i="11"/>
  <c r="G379" i="11"/>
  <c r="G701" i="11"/>
  <c r="G685" i="11"/>
  <c r="G669" i="11"/>
  <c r="G653" i="11"/>
  <c r="G637" i="11"/>
  <c r="G621" i="11"/>
  <c r="G605" i="11"/>
  <c r="G589" i="11"/>
  <c r="G572" i="11"/>
  <c r="G556" i="11"/>
  <c r="G540" i="11"/>
  <c r="G524" i="11"/>
  <c r="G508" i="11"/>
  <c r="G490" i="11"/>
  <c r="G474" i="11"/>
  <c r="G458" i="11"/>
  <c r="G442" i="11"/>
  <c r="G426" i="11"/>
  <c r="G410" i="11"/>
  <c r="G394" i="11"/>
  <c r="G378" i="11"/>
  <c r="G726" i="11"/>
  <c r="G598" i="11"/>
  <c r="G780" i="11"/>
  <c r="G764" i="11"/>
  <c r="G748" i="11"/>
  <c r="G732" i="11"/>
  <c r="G716" i="11"/>
  <c r="G700" i="11"/>
  <c r="G684" i="11"/>
  <c r="G668" i="11"/>
  <c r="G652" i="11"/>
  <c r="G636" i="11"/>
  <c r="G620" i="11"/>
  <c r="G604" i="11"/>
  <c r="G588" i="11"/>
  <c r="G571" i="11"/>
  <c r="G555" i="11"/>
  <c r="G539" i="11"/>
  <c r="G523" i="11"/>
  <c r="G507" i="11"/>
  <c r="G731" i="11"/>
  <c r="G715" i="11"/>
  <c r="G699" i="11"/>
  <c r="G683" i="11"/>
  <c r="G667" i="11"/>
  <c r="G651" i="11"/>
  <c r="G635" i="11"/>
  <c r="G619" i="11"/>
  <c r="G603" i="11"/>
  <c r="G587" i="11"/>
  <c r="G570" i="11"/>
  <c r="G554" i="11"/>
  <c r="G538" i="11"/>
  <c r="G522" i="11"/>
  <c r="G506" i="11"/>
  <c r="G488" i="11"/>
  <c r="G472" i="11"/>
  <c r="G456" i="11"/>
  <c r="G440" i="11"/>
  <c r="G424" i="11"/>
  <c r="G408" i="11"/>
  <c r="G392" i="11"/>
  <c r="G375" i="11"/>
  <c r="G376" i="11"/>
  <c r="G582" i="11"/>
  <c r="G762" i="11"/>
  <c r="G746" i="11"/>
  <c r="G730" i="11"/>
  <c r="G714" i="11"/>
  <c r="G698" i="11"/>
  <c r="G682" i="11"/>
  <c r="G666" i="11"/>
  <c r="G650" i="11"/>
  <c r="G634" i="11"/>
  <c r="G618" i="11"/>
  <c r="G602" i="11"/>
  <c r="G586" i="11"/>
  <c r="G487" i="11"/>
  <c r="G471" i="11"/>
  <c r="G455" i="11"/>
  <c r="G439" i="11"/>
  <c r="G423" i="11"/>
  <c r="G407" i="11"/>
  <c r="G391" i="11"/>
  <c r="G373" i="11"/>
  <c r="K13" i="1"/>
  <c r="D9" i="1"/>
  <c r="J38" i="1"/>
  <c r="K38" i="1"/>
  <c r="J794" i="3"/>
  <c r="J998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Y2" i="3" s="1" a="1"/>
  <c r="Y2" i="3" s="1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Y1049" i="7" l="1"/>
  <c r="Y1048" i="7"/>
  <c r="X56" i="7"/>
  <c r="Y54" i="7" s="1"/>
  <c r="X621" i="7"/>
  <c r="Y570" i="7" s="1"/>
  <c r="Z224" i="7"/>
  <c r="Z231" i="7"/>
  <c r="Z235" i="7"/>
  <c r="Z218" i="7"/>
  <c r="Z221" i="7"/>
  <c r="Z220" i="7"/>
  <c r="Z219" i="7"/>
  <c r="Z229" i="7"/>
  <c r="Z216" i="7"/>
  <c r="Z223" i="7"/>
  <c r="Z233" i="7"/>
  <c r="Z227" i="7"/>
  <c r="Z226" i="7"/>
  <c r="Z228" i="7"/>
  <c r="Z222" i="7"/>
  <c r="Z234" i="7"/>
  <c r="Z215" i="7"/>
  <c r="Z232" i="7"/>
  <c r="Z225" i="7"/>
  <c r="Z236" i="7"/>
  <c r="Z230" i="7"/>
  <c r="Z217" i="7"/>
  <c r="X420" i="7"/>
  <c r="Z977" i="7"/>
  <c r="Z981" i="7"/>
  <c r="Z976" i="7"/>
  <c r="Z994" i="7"/>
  <c r="Z998" i="7"/>
  <c r="Z974" i="7"/>
  <c r="Z993" i="7"/>
  <c r="Z996" i="7"/>
  <c r="Z973" i="7"/>
  <c r="Z975" i="7"/>
  <c r="Z984" i="7"/>
  <c r="Z992" i="7"/>
  <c r="Z979" i="7"/>
  <c r="Z995" i="7"/>
  <c r="Z972" i="7"/>
  <c r="Z987" i="7"/>
  <c r="Z1004" i="7"/>
  <c r="Z1005" i="7"/>
  <c r="Z999" i="7"/>
  <c r="Z971" i="7"/>
  <c r="Z1001" i="7"/>
  <c r="Z989" i="7"/>
  <c r="Z970" i="7"/>
  <c r="Z986" i="7"/>
  <c r="Z1000" i="7"/>
  <c r="Z988" i="7"/>
  <c r="Z969" i="7"/>
  <c r="Z983" i="7"/>
  <c r="Z985" i="7"/>
  <c r="Z990" i="7"/>
  <c r="Z997" i="7"/>
  <c r="Z982" i="7"/>
  <c r="Z980" i="7"/>
  <c r="Z978" i="7"/>
  <c r="Z968" i="7"/>
  <c r="Z991" i="7"/>
  <c r="Z1002" i="7"/>
  <c r="Z1003" i="7"/>
  <c r="X957" i="7"/>
  <c r="Y954" i="7" s="1"/>
  <c r="Z701" i="7"/>
  <c r="Z688" i="7"/>
  <c r="Z668" i="7"/>
  <c r="Z669" i="7"/>
  <c r="Z646" i="7"/>
  <c r="Z656" i="7"/>
  <c r="Z664" i="7"/>
  <c r="Z678" i="7"/>
  <c r="Z675" i="7"/>
  <c r="Z677" i="7"/>
  <c r="Z695" i="7"/>
  <c r="Z641" i="7"/>
  <c r="Z660" i="7"/>
  <c r="Z696" i="7"/>
  <c r="Z672" i="7"/>
  <c r="Z693" i="7"/>
  <c r="Z649" i="7"/>
  <c r="Z640" i="7"/>
  <c r="Z642" i="7"/>
  <c r="Z657" i="7"/>
  <c r="Z665" i="7"/>
  <c r="Z686" i="7"/>
  <c r="Z670" i="7"/>
  <c r="Z671" i="7"/>
  <c r="Z653" i="7"/>
  <c r="Z663" i="7"/>
  <c r="Z690" i="7"/>
  <c r="Z680" i="7"/>
  <c r="Z662" i="7"/>
  <c r="Z700" i="7"/>
  <c r="Z674" i="7"/>
  <c r="Z698" i="7"/>
  <c r="Z694" i="7"/>
  <c r="Z652" i="7"/>
  <c r="Z644" i="7"/>
  <c r="Z650" i="7"/>
  <c r="Z658" i="7"/>
  <c r="Z654" i="7"/>
  <c r="Z666" i="7"/>
  <c r="Z682" i="7"/>
  <c r="Z691" i="7"/>
  <c r="Z648" i="7"/>
  <c r="Z643" i="7"/>
  <c r="Z687" i="7"/>
  <c r="Z676" i="7"/>
  <c r="Z683" i="7"/>
  <c r="Z673" i="7"/>
  <c r="Z638" i="7"/>
  <c r="Z647" i="7"/>
  <c r="Z703" i="7"/>
  <c r="Z645" i="7"/>
  <c r="Z639" i="7"/>
  <c r="Z659" i="7"/>
  <c r="Z679" i="7"/>
  <c r="Z689" i="7"/>
  <c r="Z702" i="7"/>
  <c r="Z684" i="7"/>
  <c r="Z699" i="7"/>
  <c r="Z667" i="7"/>
  <c r="Z681" i="7"/>
  <c r="Z661" i="7"/>
  <c r="Z692" i="7"/>
  <c r="Z685" i="7"/>
  <c r="Z697" i="7"/>
  <c r="Z651" i="7"/>
  <c r="Z655" i="7"/>
  <c r="X931" i="7"/>
  <c r="Y870" i="7" s="1"/>
  <c r="X428" i="7"/>
  <c r="X345" i="7"/>
  <c r="X378" i="7"/>
  <c r="X43" i="7"/>
  <c r="Y39" i="7" s="1"/>
  <c r="X561" i="7"/>
  <c r="Y546" i="7" s="1"/>
  <c r="Z150" i="7"/>
  <c r="Z198" i="7"/>
  <c r="Z205" i="7"/>
  <c r="Z172" i="7"/>
  <c r="Z182" i="7"/>
  <c r="Z159" i="7"/>
  <c r="Z186" i="7"/>
  <c r="Z160" i="7"/>
  <c r="Z161" i="7"/>
  <c r="Z193" i="7"/>
  <c r="Z199" i="7"/>
  <c r="Z153" i="7"/>
  <c r="Z173" i="7"/>
  <c r="Z194" i="7"/>
  <c r="Z157" i="7"/>
  <c r="Z155" i="7"/>
  <c r="Z189" i="7"/>
  <c r="Z214" i="7"/>
  <c r="Z196" i="7"/>
  <c r="Z185" i="7"/>
  <c r="Z183" i="7"/>
  <c r="Z203" i="7"/>
  <c r="Z163" i="7"/>
  <c r="Z152" i="7"/>
  <c r="Z184" i="7"/>
  <c r="Z207" i="7"/>
  <c r="Z156" i="7"/>
  <c r="Z204" i="7"/>
  <c r="Z200" i="7"/>
  <c r="Z149" i="7"/>
  <c r="Z162" i="7"/>
  <c r="Z169" i="7"/>
  <c r="Z208" i="7"/>
  <c r="Z213" i="7"/>
  <c r="Z195" i="7"/>
  <c r="Z197" i="7"/>
  <c r="Z165" i="7"/>
  <c r="Z209" i="7"/>
  <c r="Z170" i="7"/>
  <c r="Z164" i="7"/>
  <c r="Z212" i="7"/>
  <c r="Z154" i="7"/>
  <c r="Z151" i="7"/>
  <c r="Z174" i="7"/>
  <c r="Z171" i="7"/>
  <c r="Z192" i="7"/>
  <c r="Z211" i="7"/>
  <c r="Z167" i="7"/>
  <c r="Z166" i="7"/>
  <c r="Z178" i="7"/>
  <c r="Z176" i="7"/>
  <c r="Z187" i="7"/>
  <c r="Z210" i="7"/>
  <c r="Z158" i="7"/>
  <c r="Z180" i="7"/>
  <c r="Z168" i="7"/>
  <c r="Z177" i="7"/>
  <c r="Z188" i="7"/>
  <c r="Z175" i="7"/>
  <c r="Z206" i="7"/>
  <c r="Z181" i="7"/>
  <c r="Z179" i="7"/>
  <c r="Z191" i="7"/>
  <c r="Z201" i="7"/>
  <c r="Z202" i="7"/>
  <c r="Z190" i="7"/>
  <c r="X535" i="7"/>
  <c r="Y496" i="7" s="1"/>
  <c r="X491" i="7"/>
  <c r="Z711" i="7"/>
  <c r="Z704" i="7"/>
  <c r="Z705" i="7"/>
  <c r="Z708" i="7"/>
  <c r="Z706" i="7"/>
  <c r="Z716" i="7"/>
  <c r="Z707" i="7"/>
  <c r="Z712" i="7"/>
  <c r="Z710" i="7"/>
  <c r="Z713" i="7"/>
  <c r="Z717" i="7"/>
  <c r="Z709" i="7"/>
  <c r="Z714" i="7"/>
  <c r="Z715" i="7"/>
  <c r="Z468" i="7"/>
  <c r="Z487" i="7"/>
  <c r="Z478" i="7"/>
  <c r="Z485" i="7"/>
  <c r="Z506" i="7"/>
  <c r="Z482" i="7"/>
  <c r="Z491" i="7"/>
  <c r="Z474" i="7"/>
  <c r="Z475" i="7"/>
  <c r="Z499" i="7"/>
  <c r="Z508" i="7"/>
  <c r="Z507" i="7"/>
  <c r="Z465" i="7"/>
  <c r="Z466" i="7"/>
  <c r="Z495" i="7"/>
  <c r="Z471" i="7"/>
  <c r="Z473" i="7"/>
  <c r="Z488" i="7"/>
  <c r="Z479" i="7"/>
  <c r="Z470" i="7"/>
  <c r="Z484" i="7"/>
  <c r="Z486" i="7"/>
  <c r="Z500" i="7"/>
  <c r="Z483" i="7"/>
  <c r="Z502" i="7"/>
  <c r="Z489" i="7"/>
  <c r="Z469" i="7"/>
  <c r="Z477" i="7"/>
  <c r="Z510" i="7"/>
  <c r="Z509" i="7"/>
  <c r="Z505" i="7"/>
  <c r="Z493" i="7"/>
  <c r="Z467" i="7"/>
  <c r="Z481" i="7"/>
  <c r="Z496" i="7"/>
  <c r="Z480" i="7"/>
  <c r="Z501" i="7"/>
  <c r="Z498" i="7"/>
  <c r="Z494" i="7"/>
  <c r="Z492" i="7"/>
  <c r="Z490" i="7"/>
  <c r="Z476" i="7"/>
  <c r="Z497" i="7"/>
  <c r="Z503" i="7"/>
  <c r="Z504" i="7"/>
  <c r="Z511" i="7"/>
  <c r="Z472" i="7"/>
  <c r="X368" i="7"/>
  <c r="Z908" i="7"/>
  <c r="Z936" i="7"/>
  <c r="Z922" i="7"/>
  <c r="Z907" i="7"/>
  <c r="Z965" i="7"/>
  <c r="Z952" i="7"/>
  <c r="Z950" i="7"/>
  <c r="Z928" i="7"/>
  <c r="Z913" i="7"/>
  <c r="Z911" i="7"/>
  <c r="Z964" i="7"/>
  <c r="Z943" i="7"/>
  <c r="Z960" i="7"/>
  <c r="Z918" i="7"/>
  <c r="Z929" i="7"/>
  <c r="Z925" i="7"/>
  <c r="Z924" i="7"/>
  <c r="Z961" i="7"/>
  <c r="Z949" i="7"/>
  <c r="Z902" i="7"/>
  <c r="Z937" i="7"/>
  <c r="Z926" i="7"/>
  <c r="Z931" i="7"/>
  <c r="Z967" i="7"/>
  <c r="Z955" i="7"/>
  <c r="Z948" i="7"/>
  <c r="Z963" i="7"/>
  <c r="Z909" i="7"/>
  <c r="Z904" i="7"/>
  <c r="Z916" i="7"/>
  <c r="Z951" i="7"/>
  <c r="Z947" i="7"/>
  <c r="Z906" i="7"/>
  <c r="Z920" i="7"/>
  <c r="Z915" i="7"/>
  <c r="Z954" i="7"/>
  <c r="Z942" i="7"/>
  <c r="Z903" i="7"/>
  <c r="Z946" i="7"/>
  <c r="Z966" i="7"/>
  <c r="Z905" i="7"/>
  <c r="Z935" i="7"/>
  <c r="Z910" i="7"/>
  <c r="Z945" i="7"/>
  <c r="Z941" i="7"/>
  <c r="Z927" i="7"/>
  <c r="Z933" i="7"/>
  <c r="Z959" i="7"/>
  <c r="Z940" i="7"/>
  <c r="Z917" i="7"/>
  <c r="Z914" i="7"/>
  <c r="Z934" i="7"/>
  <c r="Z919" i="7"/>
  <c r="Z962" i="7"/>
  <c r="Z958" i="7"/>
  <c r="Z944" i="7"/>
  <c r="Z930" i="7"/>
  <c r="Z932" i="7"/>
  <c r="Z923" i="7"/>
  <c r="Z912" i="7"/>
  <c r="Z921" i="7"/>
  <c r="Z939" i="7"/>
  <c r="Z938" i="7"/>
  <c r="Z956" i="7"/>
  <c r="Z953" i="7"/>
  <c r="Z957" i="7"/>
  <c r="X132" i="7"/>
  <c r="Y124" i="7" s="1"/>
  <c r="X642" i="7"/>
  <c r="Y630" i="7" s="1"/>
  <c r="X391" i="7"/>
  <c r="Z455" i="7"/>
  <c r="Z451" i="7"/>
  <c r="Z413" i="7"/>
  <c r="Z410" i="7"/>
  <c r="Z446" i="7"/>
  <c r="Z429" i="7"/>
  <c r="Z426" i="7"/>
  <c r="Z421" i="7"/>
  <c r="Z420" i="7"/>
  <c r="Z399" i="7"/>
  <c r="Z401" i="7"/>
  <c r="Z452" i="7"/>
  <c r="Z440" i="7"/>
  <c r="Z424" i="7"/>
  <c r="Z415" i="7"/>
  <c r="Z430" i="7"/>
  <c r="Z438" i="7"/>
  <c r="Z448" i="7"/>
  <c r="Z406" i="7"/>
  <c r="Z453" i="7"/>
  <c r="Z445" i="7"/>
  <c r="Z419" i="7"/>
  <c r="Z412" i="7"/>
  <c r="Z464" i="7"/>
  <c r="Z456" i="7"/>
  <c r="Z454" i="7"/>
  <c r="Z400" i="7"/>
  <c r="Z411" i="7"/>
  <c r="Z405" i="7"/>
  <c r="Z450" i="7"/>
  <c r="Z457" i="7"/>
  <c r="Z449" i="7"/>
  <c r="Z436" i="7"/>
  <c r="Z428" i="7"/>
  <c r="Z435" i="7"/>
  <c r="Z409" i="7"/>
  <c r="Z458" i="7"/>
  <c r="Z425" i="7"/>
  <c r="Z431" i="7"/>
  <c r="Z442" i="7"/>
  <c r="Z441" i="7"/>
  <c r="Z460" i="7"/>
  <c r="Z404" i="7"/>
  <c r="Z427" i="7"/>
  <c r="Z447" i="7"/>
  <c r="Z432" i="7"/>
  <c r="Z444" i="7"/>
  <c r="Z414" i="7"/>
  <c r="Z402" i="7"/>
  <c r="Z408" i="7"/>
  <c r="Z417" i="7"/>
  <c r="Z462" i="7"/>
  <c r="Z437" i="7"/>
  <c r="Z422" i="7"/>
  <c r="Z423" i="7"/>
  <c r="Z416" i="7"/>
  <c r="Z434" i="7"/>
  <c r="Z407" i="7"/>
  <c r="Z403" i="7"/>
  <c r="Z418" i="7"/>
  <c r="Z461" i="7"/>
  <c r="Z459" i="7"/>
  <c r="Z443" i="7"/>
  <c r="Z433" i="7"/>
  <c r="Z439" i="7"/>
  <c r="Z463" i="7"/>
  <c r="X32" i="7"/>
  <c r="Z317" i="7"/>
  <c r="Z333" i="7"/>
  <c r="Z366" i="7"/>
  <c r="Z347" i="7"/>
  <c r="Z307" i="7"/>
  <c r="Z342" i="7"/>
  <c r="Z315" i="7"/>
  <c r="Z343" i="7"/>
  <c r="Z365" i="7"/>
  <c r="Z309" i="7"/>
  <c r="Z303" i="7"/>
  <c r="Z339" i="7"/>
  <c r="Z312" i="7"/>
  <c r="Z313" i="7"/>
  <c r="Z362" i="7"/>
  <c r="Z302" i="7"/>
  <c r="Z304" i="7"/>
  <c r="Z336" i="7"/>
  <c r="Z332" i="7"/>
  <c r="Z323" i="7"/>
  <c r="Z349" i="7"/>
  <c r="Z321" i="7"/>
  <c r="Z314" i="7"/>
  <c r="Z356" i="7"/>
  <c r="Z351" i="7"/>
  <c r="Z331" i="7"/>
  <c r="Z334" i="7"/>
  <c r="Z364" i="7"/>
  <c r="Z341" i="7"/>
  <c r="Z320" i="7"/>
  <c r="Z354" i="7"/>
  <c r="Z305" i="7"/>
  <c r="Z338" i="7"/>
  <c r="Z344" i="7"/>
  <c r="Z357" i="7"/>
  <c r="Z353" i="7"/>
  <c r="Z311" i="7"/>
  <c r="Z340" i="7"/>
  <c r="Z348" i="7"/>
  <c r="Z363" i="7"/>
  <c r="Z330" i="7"/>
  <c r="Z337" i="7"/>
  <c r="Z346" i="7"/>
  <c r="Z350" i="7"/>
  <c r="Z326" i="7"/>
  <c r="Z329" i="7"/>
  <c r="Z322" i="7"/>
  <c r="Z367" i="7"/>
  <c r="Z310" i="7"/>
  <c r="Z306" i="7"/>
  <c r="Z327" i="7"/>
  <c r="Z328" i="7"/>
  <c r="Z359" i="7"/>
  <c r="Z308" i="7"/>
  <c r="Z324" i="7"/>
  <c r="Z325" i="7"/>
  <c r="Z345" i="7"/>
  <c r="Z319" i="7"/>
  <c r="Z335" i="7"/>
  <c r="Z360" i="7"/>
  <c r="Z352" i="7"/>
  <c r="Z318" i="7"/>
  <c r="Z316" i="7"/>
  <c r="Z355" i="7"/>
  <c r="Z361" i="7"/>
  <c r="Z358" i="7"/>
  <c r="X22" i="7"/>
  <c r="Z19" i="7"/>
  <c r="Z12" i="7"/>
  <c r="Z10" i="7"/>
  <c r="Z18" i="7"/>
  <c r="Z11" i="7"/>
  <c r="Z8" i="7"/>
  <c r="Z16" i="7"/>
  <c r="Z15" i="7"/>
  <c r="Z13" i="7"/>
  <c r="Z14" i="7"/>
  <c r="Z17" i="7"/>
  <c r="Z9" i="7"/>
  <c r="X333" i="7"/>
  <c r="Z21" i="7"/>
  <c r="Z22" i="7"/>
  <c r="Z40" i="7"/>
  <c r="Z61" i="7"/>
  <c r="Z67" i="7"/>
  <c r="Z34" i="7"/>
  <c r="Z54" i="7"/>
  <c r="Z25" i="7"/>
  <c r="Z52" i="7"/>
  <c r="Z29" i="7"/>
  <c r="Z44" i="7"/>
  <c r="Z66" i="7"/>
  <c r="Z39" i="7"/>
  <c r="Z48" i="7"/>
  <c r="Z30" i="7"/>
  <c r="Z63" i="7"/>
  <c r="Z37" i="7"/>
  <c r="Z50" i="7"/>
  <c r="Z47" i="7"/>
  <c r="Z35" i="7"/>
  <c r="Z46" i="7"/>
  <c r="Z60" i="7"/>
  <c r="Z31" i="7"/>
  <c r="Z26" i="7"/>
  <c r="Z59" i="7"/>
  <c r="Z27" i="7"/>
  <c r="Z23" i="7"/>
  <c r="Z64" i="7"/>
  <c r="Z65" i="7"/>
  <c r="Z45" i="7"/>
  <c r="Z49" i="7"/>
  <c r="Z43" i="7"/>
  <c r="Z36" i="7"/>
  <c r="Z58" i="7"/>
  <c r="Z62" i="7"/>
  <c r="Z41" i="7"/>
  <c r="Z24" i="7"/>
  <c r="Z32" i="7"/>
  <c r="Z28" i="7"/>
  <c r="Z56" i="7"/>
  <c r="Z55" i="7"/>
  <c r="Z51" i="7"/>
  <c r="Z42" i="7"/>
  <c r="Z20" i="7"/>
  <c r="Z57" i="7"/>
  <c r="Z38" i="7"/>
  <c r="Z53" i="7"/>
  <c r="Z33" i="7"/>
  <c r="X331" i="7"/>
  <c r="Y272" i="7" s="1"/>
  <c r="X487" i="7"/>
  <c r="Y1045" i="7"/>
  <c r="Y815" i="7"/>
  <c r="Y856" i="7"/>
  <c r="Y966" i="7"/>
  <c r="Y1044" i="7"/>
  <c r="Y977" i="7"/>
  <c r="Y819" i="7"/>
  <c r="Y138" i="7"/>
  <c r="Y1035" i="7"/>
  <c r="Y242" i="7"/>
  <c r="Y1009" i="7"/>
  <c r="Y170" i="7"/>
  <c r="Y996" i="7"/>
  <c r="Y196" i="7"/>
  <c r="Y197" i="7"/>
  <c r="Y833" i="7"/>
  <c r="Y858" i="7"/>
  <c r="Y816" i="7"/>
  <c r="Y177" i="7"/>
  <c r="Y1022" i="7"/>
  <c r="Y1032" i="7"/>
  <c r="Y146" i="7"/>
  <c r="Y136" i="7"/>
  <c r="Y708" i="7"/>
  <c r="Y798" i="7"/>
  <c r="Y861" i="7"/>
  <c r="Y650" i="7"/>
  <c r="Y802" i="7"/>
  <c r="Y853" i="7"/>
  <c r="Y646" i="7"/>
  <c r="Y750" i="7"/>
  <c r="Y817" i="7"/>
  <c r="Y846" i="7"/>
  <c r="Y837" i="7"/>
  <c r="Y791" i="7"/>
  <c r="Y710" i="7"/>
  <c r="Y841" i="7"/>
  <c r="Y728" i="7"/>
  <c r="Y984" i="7"/>
  <c r="Y851" i="7"/>
  <c r="Y806" i="7"/>
  <c r="Y1005" i="7"/>
  <c r="Y763" i="7"/>
  <c r="Y757" i="7"/>
  <c r="Y792" i="7"/>
  <c r="Y804" i="7"/>
  <c r="Y822" i="7"/>
  <c r="Y810" i="7"/>
  <c r="Y645" i="7"/>
  <c r="Y832" i="7"/>
  <c r="Y980" i="7"/>
  <c r="Y978" i="7"/>
  <c r="Y130" i="7"/>
  <c r="Y1024" i="7"/>
  <c r="Y746" i="7"/>
  <c r="Y712" i="7"/>
  <c r="Y647" i="7"/>
  <c r="Y797" i="7"/>
  <c r="Y843" i="7"/>
  <c r="Y834" i="7"/>
  <c r="Y823" i="7"/>
  <c r="Y176" i="7"/>
  <c r="Y686" i="7"/>
  <c r="Y803" i="7"/>
  <c r="Y779" i="7"/>
  <c r="Y137" i="7"/>
  <c r="Y1028" i="7"/>
  <c r="Y134" i="7"/>
  <c r="Y1037" i="7"/>
  <c r="Y175" i="7"/>
  <c r="Y794" i="7"/>
  <c r="Y748" i="7"/>
  <c r="Y156" i="7"/>
  <c r="Y826" i="7"/>
  <c r="Y667" i="7"/>
  <c r="Y174" i="7"/>
  <c r="Y157" i="7"/>
  <c r="Y737" i="7"/>
  <c r="Y849" i="7"/>
  <c r="Y682" i="7"/>
  <c r="Y990" i="7"/>
  <c r="Y702" i="7"/>
  <c r="Y159" i="7"/>
  <c r="Y828" i="7"/>
  <c r="Y995" i="7"/>
  <c r="Y671" i="7"/>
  <c r="Y776" i="7"/>
  <c r="Y259" i="7"/>
  <c r="Y60" i="7"/>
  <c r="Y958" i="7"/>
  <c r="Y194" i="7"/>
  <c r="Y764" i="7"/>
  <c r="Y231" i="7"/>
  <c r="Y986" i="7"/>
  <c r="Y786" i="7"/>
  <c r="Y976" i="7"/>
  <c r="Y209" i="7"/>
  <c r="Y688" i="7"/>
  <c r="Y245" i="7"/>
  <c r="Y669" i="7"/>
  <c r="Y221" i="7"/>
  <c r="Y243" i="7"/>
  <c r="Y981" i="7"/>
  <c r="Y208" i="7"/>
  <c r="Y769" i="7"/>
  <c r="Y180" i="7"/>
  <c r="Y705" i="7"/>
  <c r="Y1014" i="7"/>
  <c r="Y965" i="7"/>
  <c r="Y972" i="7"/>
  <c r="Y959" i="7"/>
  <c r="Y664" i="7"/>
  <c r="Y1003" i="7"/>
  <c r="Y991" i="7"/>
  <c r="Y687" i="7"/>
  <c r="Y163" i="7"/>
  <c r="Y721" i="7"/>
  <c r="Y691" i="7"/>
  <c r="Y681" i="7"/>
  <c r="Y736" i="7"/>
  <c r="Y765" i="7"/>
  <c r="Y1013" i="7"/>
  <c r="Y149" i="7"/>
  <c r="Y171" i="7"/>
  <c r="Y1042" i="7"/>
  <c r="Y1001" i="7"/>
  <c r="Y65" i="7"/>
  <c r="Y662" i="7"/>
  <c r="Y697" i="7"/>
  <c r="Y988" i="7"/>
  <c r="Y723" i="7"/>
  <c r="Y1019" i="7"/>
  <c r="Y962" i="7"/>
  <c r="Y62" i="7"/>
  <c r="Y240" i="7"/>
  <c r="Y1010" i="7"/>
  <c r="Y738" i="7"/>
  <c r="Y749" i="7"/>
  <c r="Y742" i="7"/>
  <c r="Y787" i="7"/>
  <c r="Y192" i="7"/>
  <c r="Y703" i="7"/>
  <c r="Y151" i="7"/>
  <c r="Y690" i="7"/>
  <c r="Y685" i="7"/>
  <c r="Y707" i="7"/>
  <c r="Y235" i="7"/>
  <c r="Y220" i="7"/>
  <c r="Y997" i="7"/>
  <c r="Y1047" i="7"/>
  <c r="Y758" i="7"/>
  <c r="Y857" i="7"/>
  <c r="Y744" i="7"/>
  <c r="Y963" i="7"/>
  <c r="Y762" i="7"/>
  <c r="Y842" i="7"/>
  <c r="Y1007" i="7"/>
  <c r="Y689" i="7"/>
  <c r="Y1033" i="7"/>
  <c r="Y168" i="7"/>
  <c r="Y975" i="7"/>
  <c r="Y666" i="7"/>
  <c r="Y677" i="7"/>
  <c r="Y1025" i="7"/>
  <c r="Y715" i="7"/>
  <c r="Y793" i="7"/>
  <c r="Y144" i="7"/>
  <c r="Y694" i="7"/>
  <c r="Y228" i="7"/>
  <c r="Y676" i="7"/>
  <c r="Y782" i="7"/>
  <c r="Y741" i="7"/>
  <c r="Y210" i="7"/>
  <c r="Y1012" i="7"/>
  <c r="Y148" i="7"/>
  <c r="Y695" i="7"/>
  <c r="Y866" i="7"/>
  <c r="Y198" i="7"/>
  <c r="Y785" i="7"/>
  <c r="Y1000" i="7"/>
  <c r="Y735" i="7"/>
  <c r="Y1043" i="7"/>
  <c r="Y1031" i="7"/>
  <c r="Y989" i="7"/>
  <c r="Y844" i="7"/>
  <c r="Y214" i="7"/>
  <c r="Y236" i="7"/>
  <c r="Y783" i="7"/>
  <c r="Y696" i="7"/>
  <c r="Y863" i="7"/>
  <c r="Y246" i="7"/>
  <c r="Y184" i="7"/>
  <c r="Y961" i="7"/>
  <c r="Y831" i="7"/>
  <c r="Y795" i="7"/>
  <c r="Y971" i="7"/>
  <c r="Y183" i="7"/>
  <c r="Y199" i="7"/>
  <c r="Y179" i="7"/>
  <c r="Y262" i="7"/>
  <c r="Y811" i="7"/>
  <c r="Y731" i="7"/>
  <c r="Y1041" i="7"/>
  <c r="Y756" i="7"/>
  <c r="Y64" i="7"/>
  <c r="Y674" i="7"/>
  <c r="Y753" i="7"/>
  <c r="Y1017" i="7"/>
  <c r="Y1030" i="7"/>
  <c r="Y713" i="7"/>
  <c r="Y663" i="7"/>
  <c r="Y845" i="7"/>
  <c r="Y700" i="7"/>
  <c r="Y218" i="7"/>
  <c r="Y142" i="7"/>
  <c r="Y164" i="7"/>
  <c r="Y970" i="7"/>
  <c r="Y1008" i="7"/>
  <c r="Y827" i="7"/>
  <c r="Y726" i="7"/>
  <c r="Y139" i="7"/>
  <c r="Y202" i="7"/>
  <c r="Y225" i="7"/>
  <c r="Y1027" i="7"/>
  <c r="Y778" i="7"/>
  <c r="Y260" i="7"/>
  <c r="Y1015" i="7"/>
  <c r="Y998" i="7"/>
  <c r="Y734" i="7"/>
  <c r="Y66" i="7"/>
  <c r="Y725" i="7"/>
  <c r="Y747" i="7"/>
  <c r="Y781" i="7"/>
  <c r="Y960" i="7"/>
  <c r="Y1034" i="7"/>
  <c r="Y994" i="7"/>
  <c r="Y720" i="7"/>
  <c r="Y186" i="7"/>
  <c r="Y701" i="7"/>
  <c r="Y253" i="7"/>
  <c r="Y999" i="7"/>
  <c r="Y982" i="7"/>
  <c r="Y711" i="7"/>
  <c r="Y1046" i="7"/>
  <c r="Y864" i="7"/>
  <c r="Y195" i="7"/>
  <c r="Y654" i="7"/>
  <c r="Y238" i="7"/>
  <c r="Y67" i="7"/>
  <c r="Y226" i="7"/>
  <c r="Y1021" i="7"/>
  <c r="Y1016" i="7"/>
  <c r="Y188" i="7"/>
  <c r="Y673" i="7"/>
  <c r="Y854" i="7"/>
  <c r="Y987" i="7"/>
  <c r="Y653" i="7"/>
  <c r="Y796" i="7"/>
  <c r="Y675" i="7"/>
  <c r="Y709" i="7"/>
  <c r="Y974" i="7"/>
  <c r="Y693" i="7"/>
  <c r="Y719" i="7"/>
  <c r="Y784" i="7"/>
  <c r="Y230" i="7"/>
  <c r="Y850" i="7"/>
  <c r="Y683" i="7"/>
  <c r="Y181" i="7"/>
  <c r="Y215" i="7"/>
  <c r="Y704" i="7"/>
  <c r="Y855" i="7"/>
  <c r="Y838" i="7"/>
  <c r="Y257" i="7"/>
  <c r="Y203" i="7"/>
  <c r="Y983" i="7"/>
  <c r="Y848" i="7"/>
  <c r="Y1029" i="7"/>
  <c r="Y205" i="7"/>
  <c r="Y182" i="7"/>
  <c r="Y237" i="7"/>
  <c r="Y805" i="7"/>
  <c r="Y212" i="7"/>
  <c r="Y200" i="7"/>
  <c r="Y789" i="7"/>
  <c r="Y659" i="7"/>
  <c r="Y732" i="7"/>
  <c r="Y824" i="7"/>
  <c r="Y724" i="7"/>
  <c r="Y830" i="7"/>
  <c r="Y1040" i="7"/>
  <c r="Y812" i="7"/>
  <c r="Y158" i="7"/>
  <c r="Y813" i="7"/>
  <c r="Y1006" i="7"/>
  <c r="Y219" i="7"/>
  <c r="Y973" i="7"/>
  <c r="Y143" i="7"/>
  <c r="Y660" i="7"/>
  <c r="Y969" i="7"/>
  <c r="Y788" i="7"/>
  <c r="Y185" i="7"/>
  <c r="Y1020" i="7"/>
  <c r="Y839" i="7"/>
  <c r="Y1036" i="7"/>
  <c r="Y1018" i="7"/>
  <c r="Y133" i="7"/>
  <c r="Y189" i="7"/>
  <c r="Y539" i="7"/>
  <c r="Y140" i="7"/>
  <c r="Y216" i="7"/>
  <c r="Y714" i="7"/>
  <c r="Y716" i="7"/>
  <c r="Y652" i="7"/>
  <c r="Y684" i="7"/>
  <c r="Y680" i="7"/>
  <c r="Y1023" i="7"/>
  <c r="Y993" i="7"/>
  <c r="Y862" i="7"/>
  <c r="Y992" i="7"/>
  <c r="Y147" i="7"/>
  <c r="Y979" i="7"/>
  <c r="Y729" i="7"/>
  <c r="Y825" i="7"/>
  <c r="Y1004" i="7"/>
  <c r="Y1026" i="7"/>
  <c r="Y207" i="7"/>
  <c r="Y241" i="7"/>
  <c r="Y852" i="7"/>
  <c r="Y840" i="7"/>
  <c r="Y964" i="7"/>
  <c r="Y818" i="7"/>
  <c r="Y1011" i="7"/>
  <c r="Y233" i="7"/>
  <c r="Y968" i="7"/>
  <c r="Y668" i="7"/>
  <c r="Y232" i="7"/>
  <c r="Y860" i="7"/>
  <c r="Y799" i="7"/>
  <c r="Y847" i="7"/>
  <c r="Y985" i="7"/>
  <c r="Y800" i="7"/>
  <c r="Y829" i="7"/>
  <c r="Y790" i="7"/>
  <c r="Y249" i="7"/>
  <c r="Y835" i="7"/>
  <c r="Y780" i="7"/>
  <c r="Y1038" i="7"/>
  <c r="Y63" i="7"/>
  <c r="Y657" i="7"/>
  <c r="Y1002" i="7"/>
  <c r="Y836" i="7"/>
  <c r="Y213" i="7"/>
  <c r="Y706" i="7"/>
  <c r="Y173" i="7"/>
  <c r="Y770" i="7"/>
  <c r="Y150" i="7"/>
  <c r="Y809" i="7"/>
  <c r="Y160" i="7"/>
  <c r="Y193" i="7"/>
  <c r="Y752" i="7"/>
  <c r="Y775" i="7"/>
  <c r="Y187" i="7"/>
  <c r="Y247" i="7"/>
  <c r="Y217" i="7"/>
  <c r="Y229" i="7"/>
  <c r="Y739" i="7"/>
  <c r="Y656" i="7"/>
  <c r="Y777" i="7"/>
  <c r="Y774" i="7"/>
  <c r="Y557" i="7"/>
  <c r="Y772" i="7"/>
  <c r="Y651" i="7"/>
  <c r="Y252" i="7"/>
  <c r="Y718" i="7"/>
  <c r="Y678" i="7"/>
  <c r="Y234" i="7"/>
  <c r="Y244" i="7"/>
  <c r="Y768" i="7"/>
  <c r="Y692" i="7"/>
  <c r="Y665" i="7"/>
  <c r="Y865" i="7"/>
  <c r="Y204" i="7"/>
  <c r="Y670" i="7"/>
  <c r="Y141" i="7"/>
  <c r="Y227" i="7"/>
  <c r="Y154" i="7"/>
  <c r="Y251" i="7"/>
  <c r="Y165" i="7"/>
  <c r="Y967" i="7"/>
  <c r="Y263" i="7"/>
  <c r="Y190" i="7"/>
  <c r="Y1039" i="7"/>
  <c r="Y206" i="7"/>
  <c r="Y801" i="7"/>
  <c r="Y814" i="7"/>
  <c r="Y162" i="7"/>
  <c r="Y821" i="7"/>
  <c r="Y172" i="7"/>
  <c r="Y808" i="7"/>
  <c r="Y201" i="7"/>
  <c r="Y211" i="7"/>
  <c r="Y155" i="7"/>
  <c r="Y248" i="7"/>
  <c r="Y559" i="7"/>
  <c r="Y698" i="7"/>
  <c r="Y191" i="7"/>
  <c r="Y178" i="7"/>
  <c r="Y727" i="7"/>
  <c r="Y255" i="7"/>
  <c r="Y655" i="7"/>
  <c r="Y57" i="7"/>
  <c r="Y250" i="7"/>
  <c r="Y751" i="7"/>
  <c r="Y554" i="7"/>
  <c r="Y733" i="7"/>
  <c r="Y743" i="7"/>
  <c r="Y430" i="7"/>
  <c r="Y672" i="7"/>
  <c r="Y256" i="7"/>
  <c r="Y135" i="7"/>
  <c r="Y169" i="7"/>
  <c r="Y820" i="7"/>
  <c r="Y699" i="7"/>
  <c r="Y717" i="7"/>
  <c r="Y767" i="7"/>
  <c r="Y859" i="7"/>
  <c r="Y264" i="7"/>
  <c r="Y730" i="7"/>
  <c r="Y679" i="7"/>
  <c r="Y649" i="7"/>
  <c r="Y661" i="7"/>
  <c r="Y766" i="7"/>
  <c r="Y754" i="7"/>
  <c r="Y658" i="7"/>
  <c r="Y261" i="7"/>
  <c r="Y740" i="7"/>
  <c r="Y577" i="7"/>
  <c r="Y254" i="7"/>
  <c r="Y644" i="7"/>
  <c r="Y258" i="7"/>
  <c r="Y761" i="7"/>
  <c r="Y755" i="7"/>
  <c r="Y807" i="7"/>
  <c r="Y771" i="7"/>
  <c r="Y161" i="7"/>
  <c r="Y61" i="7"/>
  <c r="Y239" i="7"/>
  <c r="Y166" i="7"/>
  <c r="Y643" i="7"/>
  <c r="Y48" i="7"/>
  <c r="Y58" i="7"/>
  <c r="Y224" i="7"/>
  <c r="Y266" i="7"/>
  <c r="Y153" i="7"/>
  <c r="Y223" i="7"/>
  <c r="Y745" i="7"/>
  <c r="Y59" i="7"/>
  <c r="Y648" i="7"/>
  <c r="Y167" i="7"/>
  <c r="Y145" i="7"/>
  <c r="Y152" i="7"/>
  <c r="Y759" i="7"/>
  <c r="Y773" i="7"/>
  <c r="Y722" i="7"/>
  <c r="Y760" i="7"/>
  <c r="Y222" i="7"/>
  <c r="Y265" i="7"/>
  <c r="O2" i="3"/>
  <c r="I1296" i="3"/>
  <c r="P2" i="3"/>
  <c r="K8" i="1" s="1"/>
  <c r="Q259" i="3"/>
  <c r="R259" i="3"/>
  <c r="S259" i="3"/>
  <c r="Q434" i="3"/>
  <c r="R434" i="3"/>
  <c r="S434" i="3"/>
  <c r="R98" i="3"/>
  <c r="S98" i="3"/>
  <c r="Q98" i="3"/>
  <c r="Q409" i="3"/>
  <c r="R409" i="3"/>
  <c r="S409" i="3"/>
  <c r="Q337" i="3"/>
  <c r="S337" i="3"/>
  <c r="R337" i="3"/>
  <c r="Q265" i="3"/>
  <c r="R265" i="3"/>
  <c r="S265" i="3"/>
  <c r="Q205" i="3"/>
  <c r="R205" i="3"/>
  <c r="S205" i="3"/>
  <c r="Q133" i="3"/>
  <c r="R133" i="3"/>
  <c r="S133" i="3"/>
  <c r="Q73" i="3"/>
  <c r="R73" i="3"/>
  <c r="S73" i="3"/>
  <c r="Q13" i="3"/>
  <c r="R13" i="3"/>
  <c r="S13" i="3"/>
  <c r="P402" i="3"/>
  <c r="O402" i="3"/>
  <c r="N402" i="3"/>
  <c r="P354" i="3"/>
  <c r="N354" i="3"/>
  <c r="O354" i="3"/>
  <c r="N318" i="3"/>
  <c r="P318" i="3"/>
  <c r="O318" i="3"/>
  <c r="O282" i="3"/>
  <c r="N282" i="3"/>
  <c r="P282" i="3"/>
  <c r="N246" i="3"/>
  <c r="P246" i="3"/>
  <c r="O246" i="3"/>
  <c r="N210" i="3"/>
  <c r="O210" i="3"/>
  <c r="P210" i="3"/>
  <c r="P162" i="3"/>
  <c r="N162" i="3"/>
  <c r="O162" i="3"/>
  <c r="P126" i="3"/>
  <c r="N126" i="3"/>
  <c r="O126" i="3"/>
  <c r="N90" i="3"/>
  <c r="O90" i="3"/>
  <c r="P90" i="3"/>
  <c r="P30" i="3"/>
  <c r="O30" i="3"/>
  <c r="N30" i="3"/>
  <c r="Q429" i="3"/>
  <c r="R429" i="3"/>
  <c r="S429" i="3"/>
  <c r="Q417" i="3"/>
  <c r="R417" i="3"/>
  <c r="S417" i="3"/>
  <c r="Q405" i="3"/>
  <c r="R405" i="3"/>
  <c r="S405" i="3"/>
  <c r="Q393" i="3"/>
  <c r="R393" i="3"/>
  <c r="S393" i="3"/>
  <c r="Q381" i="3"/>
  <c r="R381" i="3"/>
  <c r="S381" i="3"/>
  <c r="Q369" i="3"/>
  <c r="R369" i="3"/>
  <c r="S369" i="3"/>
  <c r="Q357" i="3"/>
  <c r="S357" i="3"/>
  <c r="R357" i="3"/>
  <c r="Q345" i="3"/>
  <c r="R345" i="3"/>
  <c r="S345" i="3"/>
  <c r="Q333" i="3"/>
  <c r="S333" i="3"/>
  <c r="R333" i="3"/>
  <c r="Q321" i="3"/>
  <c r="R321" i="3"/>
  <c r="S321" i="3"/>
  <c r="Q309" i="3"/>
  <c r="R309" i="3"/>
  <c r="S309" i="3"/>
  <c r="Q297" i="3"/>
  <c r="R297" i="3"/>
  <c r="S297" i="3"/>
  <c r="Q285" i="3"/>
  <c r="R285" i="3"/>
  <c r="S285" i="3"/>
  <c r="Q273" i="3"/>
  <c r="R273" i="3"/>
  <c r="S273" i="3"/>
  <c r="Q261" i="3"/>
  <c r="R261" i="3"/>
  <c r="S261" i="3"/>
  <c r="Q249" i="3"/>
  <c r="R249" i="3"/>
  <c r="S249" i="3"/>
  <c r="Q237" i="3"/>
  <c r="R237" i="3"/>
  <c r="S237" i="3"/>
  <c r="Q225" i="3"/>
  <c r="R225" i="3"/>
  <c r="S225" i="3"/>
  <c r="Q213" i="3"/>
  <c r="R213" i="3"/>
  <c r="S213" i="3"/>
  <c r="Q201" i="3"/>
  <c r="R201" i="3"/>
  <c r="S201" i="3"/>
  <c r="Q189" i="3"/>
  <c r="R189" i="3"/>
  <c r="S189" i="3"/>
  <c r="Q177" i="3"/>
  <c r="R177" i="3"/>
  <c r="S177" i="3"/>
  <c r="Q165" i="3"/>
  <c r="R165" i="3"/>
  <c r="S165" i="3"/>
  <c r="Q153" i="3"/>
  <c r="R153" i="3"/>
  <c r="S153" i="3"/>
  <c r="Q141" i="3"/>
  <c r="R141" i="3"/>
  <c r="S141" i="3"/>
  <c r="Q129" i="3"/>
  <c r="R129" i="3"/>
  <c r="S129" i="3"/>
  <c r="Q117" i="3"/>
  <c r="R117" i="3"/>
  <c r="S117" i="3"/>
  <c r="Q105" i="3"/>
  <c r="R105" i="3"/>
  <c r="S105" i="3"/>
  <c r="Q93" i="3"/>
  <c r="R93" i="3"/>
  <c r="S93" i="3"/>
  <c r="Q81" i="3"/>
  <c r="R81" i="3"/>
  <c r="S81" i="3"/>
  <c r="Q69" i="3"/>
  <c r="R69" i="3"/>
  <c r="S69" i="3"/>
  <c r="Q57" i="3"/>
  <c r="R57" i="3"/>
  <c r="S57" i="3"/>
  <c r="Q45" i="3"/>
  <c r="R45" i="3"/>
  <c r="S45" i="3"/>
  <c r="Q33" i="3"/>
  <c r="R33" i="3"/>
  <c r="S33" i="3"/>
  <c r="Q21" i="3"/>
  <c r="R21" i="3"/>
  <c r="S21" i="3"/>
  <c r="Q9" i="3"/>
  <c r="R9" i="3"/>
  <c r="S9" i="3"/>
  <c r="P434" i="3"/>
  <c r="O434" i="3"/>
  <c r="N434" i="3"/>
  <c r="P422" i="3"/>
  <c r="O422" i="3"/>
  <c r="N422" i="3"/>
  <c r="P410" i="3"/>
  <c r="O410" i="3"/>
  <c r="N410" i="3"/>
  <c r="P398" i="3"/>
  <c r="N398" i="3"/>
  <c r="O398" i="3"/>
  <c r="P386" i="3"/>
  <c r="O386" i="3"/>
  <c r="N386" i="3"/>
  <c r="O374" i="3"/>
  <c r="P374" i="3"/>
  <c r="N374" i="3"/>
  <c r="P362" i="3"/>
  <c r="O362" i="3"/>
  <c r="N362" i="3"/>
  <c r="P350" i="3"/>
  <c r="O350" i="3"/>
  <c r="N350" i="3"/>
  <c r="O338" i="3"/>
  <c r="P338" i="3"/>
  <c r="N338" i="3"/>
  <c r="P326" i="3"/>
  <c r="O326" i="3"/>
  <c r="N326" i="3"/>
  <c r="P314" i="3"/>
  <c r="O314" i="3"/>
  <c r="N314" i="3"/>
  <c r="P302" i="3"/>
  <c r="O302" i="3"/>
  <c r="N302" i="3"/>
  <c r="N290" i="3"/>
  <c r="P290" i="3"/>
  <c r="O290" i="3"/>
  <c r="P278" i="3"/>
  <c r="O278" i="3"/>
  <c r="N278" i="3"/>
  <c r="O266" i="3"/>
  <c r="P266" i="3"/>
  <c r="N266" i="3"/>
  <c r="O254" i="3"/>
  <c r="P254" i="3"/>
  <c r="N254" i="3"/>
  <c r="P242" i="3"/>
  <c r="O242" i="3"/>
  <c r="N242" i="3"/>
  <c r="O230" i="3"/>
  <c r="P230" i="3"/>
  <c r="N230" i="3"/>
  <c r="P218" i="3"/>
  <c r="O218" i="3"/>
  <c r="N218" i="3"/>
  <c r="P206" i="3"/>
  <c r="O206" i="3"/>
  <c r="N206" i="3"/>
  <c r="P194" i="3"/>
  <c r="O194" i="3"/>
  <c r="N194" i="3"/>
  <c r="P182" i="3"/>
  <c r="O182" i="3"/>
  <c r="N182" i="3"/>
  <c r="P170" i="3"/>
  <c r="O170" i="3"/>
  <c r="N170" i="3"/>
  <c r="O158" i="3"/>
  <c r="N158" i="3"/>
  <c r="P158" i="3"/>
  <c r="P146" i="3"/>
  <c r="N146" i="3"/>
  <c r="O146" i="3"/>
  <c r="O134" i="3"/>
  <c r="N134" i="3"/>
  <c r="P134" i="3"/>
  <c r="P122" i="3"/>
  <c r="O122" i="3"/>
  <c r="N122" i="3"/>
  <c r="P110" i="3"/>
  <c r="N110" i="3"/>
  <c r="O110" i="3"/>
  <c r="P98" i="3"/>
  <c r="O98" i="3"/>
  <c r="N98" i="3"/>
  <c r="O86" i="3"/>
  <c r="P86" i="3"/>
  <c r="N86" i="3"/>
  <c r="N74" i="3"/>
  <c r="P74" i="3"/>
  <c r="O74" i="3"/>
  <c r="O62" i="3"/>
  <c r="P62" i="3"/>
  <c r="N62" i="3"/>
  <c r="O50" i="3"/>
  <c r="N50" i="3"/>
  <c r="P50" i="3"/>
  <c r="O38" i="3"/>
  <c r="P38" i="3"/>
  <c r="N38" i="3"/>
  <c r="P26" i="3"/>
  <c r="N26" i="3"/>
  <c r="O26" i="3"/>
  <c r="O14" i="3"/>
  <c r="N14" i="3"/>
  <c r="P14" i="3"/>
  <c r="R62" i="3"/>
  <c r="S62" i="3"/>
  <c r="Q62" i="3"/>
  <c r="Q433" i="3"/>
  <c r="R433" i="3"/>
  <c r="S433" i="3"/>
  <c r="Q361" i="3"/>
  <c r="R361" i="3"/>
  <c r="S361" i="3"/>
  <c r="Q289" i="3"/>
  <c r="R289" i="3"/>
  <c r="S289" i="3"/>
  <c r="Q229" i="3"/>
  <c r="R229" i="3"/>
  <c r="S229" i="3"/>
  <c r="Q157" i="3"/>
  <c r="R157" i="3"/>
  <c r="S157" i="3"/>
  <c r="Q85" i="3"/>
  <c r="R85" i="3"/>
  <c r="S85" i="3"/>
  <c r="Q25" i="3"/>
  <c r="R25" i="3"/>
  <c r="S25" i="3"/>
  <c r="P414" i="3"/>
  <c r="N414" i="3"/>
  <c r="O414" i="3"/>
  <c r="N18" i="3"/>
  <c r="P18" i="3"/>
  <c r="O18" i="3"/>
  <c r="Q428" i="3"/>
  <c r="R428" i="3"/>
  <c r="S428" i="3"/>
  <c r="Q416" i="3"/>
  <c r="R416" i="3"/>
  <c r="S416" i="3"/>
  <c r="Q404" i="3"/>
  <c r="R404" i="3"/>
  <c r="S404" i="3"/>
  <c r="Q392" i="3"/>
  <c r="R392" i="3"/>
  <c r="S392" i="3"/>
  <c r="Q380" i="3"/>
  <c r="R380" i="3"/>
  <c r="S380" i="3"/>
  <c r="Q368" i="3"/>
  <c r="R368" i="3"/>
  <c r="S368" i="3"/>
  <c r="Q356" i="3"/>
  <c r="R356" i="3"/>
  <c r="S356" i="3"/>
  <c r="Q344" i="3"/>
  <c r="R344" i="3"/>
  <c r="S344" i="3"/>
  <c r="Q332" i="3"/>
  <c r="R332" i="3"/>
  <c r="S332" i="3"/>
  <c r="R320" i="3"/>
  <c r="S320" i="3"/>
  <c r="Q320" i="3"/>
  <c r="R308" i="3"/>
  <c r="S308" i="3"/>
  <c r="Q308" i="3"/>
  <c r="R296" i="3"/>
  <c r="S296" i="3"/>
  <c r="Q296" i="3"/>
  <c r="R284" i="3"/>
  <c r="S284" i="3"/>
  <c r="Q284" i="3"/>
  <c r="R272" i="3"/>
  <c r="S272" i="3"/>
  <c r="Q272" i="3"/>
  <c r="R260" i="3"/>
  <c r="S260" i="3"/>
  <c r="Q260" i="3"/>
  <c r="R248" i="3"/>
  <c r="S248" i="3"/>
  <c r="Q248" i="3"/>
  <c r="R236" i="3"/>
  <c r="S236" i="3"/>
  <c r="Q236" i="3"/>
  <c r="Q224" i="3"/>
  <c r="R224" i="3"/>
  <c r="S224" i="3"/>
  <c r="Q212" i="3"/>
  <c r="R212" i="3"/>
  <c r="S212" i="3"/>
  <c r="Q200" i="3"/>
  <c r="R200" i="3"/>
  <c r="S200" i="3"/>
  <c r="Q188" i="3"/>
  <c r="R188" i="3"/>
  <c r="S188" i="3"/>
  <c r="Q176" i="3"/>
  <c r="R176" i="3"/>
  <c r="S176" i="3"/>
  <c r="R164" i="3"/>
  <c r="S164" i="3"/>
  <c r="Q164" i="3"/>
  <c r="R152" i="3"/>
  <c r="S152" i="3"/>
  <c r="Q152" i="3"/>
  <c r="R140" i="3"/>
  <c r="S140" i="3"/>
  <c r="Q140" i="3"/>
  <c r="R128" i="3"/>
  <c r="S128" i="3"/>
  <c r="Q128" i="3"/>
  <c r="R116" i="3"/>
  <c r="S116" i="3"/>
  <c r="Q116" i="3"/>
  <c r="R104" i="3"/>
  <c r="S104" i="3"/>
  <c r="Q104" i="3"/>
  <c r="R92" i="3"/>
  <c r="S92" i="3"/>
  <c r="Q92" i="3"/>
  <c r="R80" i="3"/>
  <c r="S80" i="3"/>
  <c r="Q80" i="3"/>
  <c r="R68" i="3"/>
  <c r="S68" i="3"/>
  <c r="Q68" i="3"/>
  <c r="R56" i="3"/>
  <c r="S56" i="3"/>
  <c r="Q56" i="3"/>
  <c r="R44" i="3"/>
  <c r="S44" i="3"/>
  <c r="Q44" i="3"/>
  <c r="R32" i="3"/>
  <c r="S32" i="3"/>
  <c r="Q32" i="3"/>
  <c r="R20" i="3"/>
  <c r="S20" i="3"/>
  <c r="Q20" i="3"/>
  <c r="R8" i="3"/>
  <c r="S8" i="3"/>
  <c r="Q8" i="3"/>
  <c r="O433" i="3"/>
  <c r="N433" i="3"/>
  <c r="P433" i="3"/>
  <c r="P421" i="3"/>
  <c r="N421" i="3"/>
  <c r="O421" i="3"/>
  <c r="P409" i="3"/>
  <c r="O409" i="3"/>
  <c r="N409" i="3"/>
  <c r="P397" i="3"/>
  <c r="O397" i="3"/>
  <c r="N397" i="3"/>
  <c r="P385" i="3"/>
  <c r="O385" i="3"/>
  <c r="N385" i="3"/>
  <c r="O373" i="3"/>
  <c r="P373" i="3"/>
  <c r="N373" i="3"/>
  <c r="P361" i="3"/>
  <c r="O361" i="3"/>
  <c r="N361" i="3"/>
  <c r="P349" i="3"/>
  <c r="O349" i="3"/>
  <c r="N349" i="3"/>
  <c r="P337" i="3"/>
  <c r="O337" i="3"/>
  <c r="N337" i="3"/>
  <c r="O325" i="3"/>
  <c r="P325" i="3"/>
  <c r="N325" i="3"/>
  <c r="P313" i="3"/>
  <c r="O313" i="3"/>
  <c r="N313" i="3"/>
  <c r="P301" i="3"/>
  <c r="O301" i="3"/>
  <c r="N301" i="3"/>
  <c r="N289" i="3"/>
  <c r="P289" i="3"/>
  <c r="O289" i="3"/>
  <c r="O277" i="3"/>
  <c r="P277" i="3"/>
  <c r="N277" i="3"/>
  <c r="O265" i="3"/>
  <c r="P265" i="3"/>
  <c r="N265" i="3"/>
  <c r="P253" i="3"/>
  <c r="O253" i="3"/>
  <c r="N253" i="3"/>
  <c r="P241" i="3"/>
  <c r="N241" i="3"/>
  <c r="O241" i="3"/>
  <c r="O229" i="3"/>
  <c r="P229" i="3"/>
  <c r="N229" i="3"/>
  <c r="N217" i="3"/>
  <c r="O217" i="3"/>
  <c r="P217" i="3"/>
  <c r="P205" i="3"/>
  <c r="O205" i="3"/>
  <c r="N205" i="3"/>
  <c r="P193" i="3"/>
  <c r="O193" i="3"/>
  <c r="N193" i="3"/>
  <c r="O181" i="3"/>
  <c r="P181" i="3"/>
  <c r="N181" i="3"/>
  <c r="P169" i="3"/>
  <c r="N169" i="3"/>
  <c r="O169" i="3"/>
  <c r="P157" i="3"/>
  <c r="O157" i="3"/>
  <c r="N157" i="3"/>
  <c r="P145" i="3"/>
  <c r="N145" i="3"/>
  <c r="O145" i="3"/>
  <c r="N133" i="3"/>
  <c r="O133" i="3"/>
  <c r="P133" i="3"/>
  <c r="O121" i="3"/>
  <c r="N121" i="3"/>
  <c r="P121" i="3"/>
  <c r="P109" i="3"/>
  <c r="N109" i="3"/>
  <c r="O109" i="3"/>
  <c r="O97" i="3"/>
  <c r="P97" i="3"/>
  <c r="N97" i="3"/>
  <c r="P85" i="3"/>
  <c r="O85" i="3"/>
  <c r="N85" i="3"/>
  <c r="O73" i="3"/>
  <c r="N73" i="3"/>
  <c r="P73" i="3"/>
  <c r="P61" i="3"/>
  <c r="O61" i="3"/>
  <c r="N61" i="3"/>
  <c r="O49" i="3"/>
  <c r="N49" i="3"/>
  <c r="P49" i="3"/>
  <c r="O37" i="3"/>
  <c r="N37" i="3"/>
  <c r="P37" i="3"/>
  <c r="P25" i="3"/>
  <c r="N25" i="3"/>
  <c r="O25" i="3"/>
  <c r="P13" i="3"/>
  <c r="O13" i="3"/>
  <c r="N13" i="3"/>
  <c r="P24" i="3"/>
  <c r="N24" i="3"/>
  <c r="O24" i="3"/>
  <c r="K1280" i="3"/>
  <c r="K1256" i="3"/>
  <c r="K1196" i="3"/>
  <c r="K1184" i="3"/>
  <c r="K1112" i="3"/>
  <c r="K979" i="3"/>
  <c r="K895" i="3"/>
  <c r="Q438" i="3"/>
  <c r="R438" i="3"/>
  <c r="S438" i="3"/>
  <c r="Q426" i="3"/>
  <c r="R426" i="3"/>
  <c r="S426" i="3"/>
  <c r="Q414" i="3"/>
  <c r="R414" i="3"/>
  <c r="S414" i="3"/>
  <c r="Q402" i="3"/>
  <c r="R402" i="3"/>
  <c r="S402" i="3"/>
  <c r="Q390" i="3"/>
  <c r="R390" i="3"/>
  <c r="S390" i="3"/>
  <c r="Q378" i="3"/>
  <c r="R378" i="3"/>
  <c r="S378" i="3"/>
  <c r="Q366" i="3"/>
  <c r="R366" i="3"/>
  <c r="S366" i="3"/>
  <c r="Q354" i="3"/>
  <c r="R354" i="3"/>
  <c r="S354" i="3"/>
  <c r="Q342" i="3"/>
  <c r="R342" i="3"/>
  <c r="S342" i="3"/>
  <c r="R330" i="3"/>
  <c r="Q330" i="3"/>
  <c r="S330" i="3"/>
  <c r="K318" i="3"/>
  <c r="R318" i="3"/>
  <c r="S318" i="3"/>
  <c r="Q318" i="3"/>
  <c r="K306" i="3"/>
  <c r="R306" i="3"/>
  <c r="S306" i="3"/>
  <c r="Q306" i="3"/>
  <c r="R294" i="3"/>
  <c r="S294" i="3"/>
  <c r="Q294" i="3"/>
  <c r="R282" i="3"/>
  <c r="S282" i="3"/>
  <c r="Q282" i="3"/>
  <c r="K270" i="3"/>
  <c r="R270" i="3"/>
  <c r="S270" i="3"/>
  <c r="Q270" i="3"/>
  <c r="R258" i="3"/>
  <c r="S258" i="3"/>
  <c r="Q258" i="3"/>
  <c r="R246" i="3"/>
  <c r="S246" i="3"/>
  <c r="Q246" i="3"/>
  <c r="R234" i="3"/>
  <c r="S234" i="3"/>
  <c r="Q234" i="3"/>
  <c r="K222" i="3"/>
  <c r="Q222" i="3"/>
  <c r="R222" i="3"/>
  <c r="S222" i="3"/>
  <c r="Q210" i="3"/>
  <c r="R210" i="3"/>
  <c r="S210" i="3"/>
  <c r="Q198" i="3"/>
  <c r="R198" i="3"/>
  <c r="S198" i="3"/>
  <c r="Q186" i="3"/>
  <c r="R186" i="3"/>
  <c r="S186" i="3"/>
  <c r="Q174" i="3"/>
  <c r="R174" i="3"/>
  <c r="S174" i="3"/>
  <c r="R162" i="3"/>
  <c r="S162" i="3"/>
  <c r="Q162" i="3"/>
  <c r="R150" i="3"/>
  <c r="S150" i="3"/>
  <c r="Q150" i="3"/>
  <c r="R138" i="3"/>
  <c r="S138" i="3"/>
  <c r="Q138" i="3"/>
  <c r="R126" i="3"/>
  <c r="S126" i="3"/>
  <c r="Q126" i="3"/>
  <c r="R114" i="3"/>
  <c r="S114" i="3"/>
  <c r="Q114" i="3"/>
  <c r="R102" i="3"/>
  <c r="S102" i="3"/>
  <c r="Q102" i="3"/>
  <c r="R90" i="3"/>
  <c r="S90" i="3"/>
  <c r="Q90" i="3"/>
  <c r="R78" i="3"/>
  <c r="S78" i="3"/>
  <c r="Q78" i="3"/>
  <c r="R66" i="3"/>
  <c r="S66" i="3"/>
  <c r="Q66" i="3"/>
  <c r="R54" i="3"/>
  <c r="S54" i="3"/>
  <c r="Q54" i="3"/>
  <c r="R42" i="3"/>
  <c r="S42" i="3"/>
  <c r="Q42" i="3"/>
  <c r="R30" i="3"/>
  <c r="S30" i="3"/>
  <c r="Q30" i="3"/>
  <c r="R18" i="3"/>
  <c r="S18" i="3"/>
  <c r="Q18" i="3"/>
  <c r="R6" i="3"/>
  <c r="S6" i="3"/>
  <c r="Q6" i="3"/>
  <c r="I1295" i="3"/>
  <c r="I899" i="3"/>
  <c r="I647" i="3"/>
  <c r="I635" i="3"/>
  <c r="I623" i="3"/>
  <c r="O431" i="3"/>
  <c r="N431" i="3"/>
  <c r="P431" i="3"/>
  <c r="P419" i="3"/>
  <c r="O419" i="3"/>
  <c r="N419" i="3"/>
  <c r="P407" i="3"/>
  <c r="O407" i="3"/>
  <c r="N407" i="3"/>
  <c r="N395" i="3"/>
  <c r="O395" i="3"/>
  <c r="P395" i="3"/>
  <c r="O383" i="3"/>
  <c r="P383" i="3"/>
  <c r="N383" i="3"/>
  <c r="P371" i="3"/>
  <c r="N371" i="3"/>
  <c r="O371" i="3"/>
  <c r="O359" i="3"/>
  <c r="P359" i="3"/>
  <c r="N359" i="3"/>
  <c r="P347" i="3"/>
  <c r="O347" i="3"/>
  <c r="N347" i="3"/>
  <c r="P335" i="3"/>
  <c r="N335" i="3"/>
  <c r="O335" i="3"/>
  <c r="P323" i="3"/>
  <c r="N323" i="3"/>
  <c r="O323" i="3"/>
  <c r="O311" i="3"/>
  <c r="N311" i="3"/>
  <c r="P311" i="3"/>
  <c r="O299" i="3"/>
  <c r="P299" i="3"/>
  <c r="N299" i="3"/>
  <c r="O287" i="3"/>
  <c r="P287" i="3"/>
  <c r="N287" i="3"/>
  <c r="P275" i="3"/>
  <c r="N275" i="3"/>
  <c r="O275" i="3"/>
  <c r="P263" i="3"/>
  <c r="N263" i="3"/>
  <c r="O263" i="3"/>
  <c r="O251" i="3"/>
  <c r="N251" i="3"/>
  <c r="P251" i="3"/>
  <c r="O239" i="3"/>
  <c r="P239" i="3"/>
  <c r="N239" i="3"/>
  <c r="P227" i="3"/>
  <c r="O227" i="3"/>
  <c r="N227" i="3"/>
  <c r="O215" i="3"/>
  <c r="P215" i="3"/>
  <c r="N215" i="3"/>
  <c r="O203" i="3"/>
  <c r="P203" i="3"/>
  <c r="N203" i="3"/>
  <c r="O191" i="3"/>
  <c r="P191" i="3"/>
  <c r="N191" i="3"/>
  <c r="P179" i="3"/>
  <c r="N179" i="3"/>
  <c r="O179" i="3"/>
  <c r="O167" i="3"/>
  <c r="P167" i="3"/>
  <c r="N167" i="3"/>
  <c r="O155" i="3"/>
  <c r="P155" i="3"/>
  <c r="N155" i="3"/>
  <c r="O143" i="3"/>
  <c r="P143" i="3"/>
  <c r="N143" i="3"/>
  <c r="P131" i="3"/>
  <c r="N131" i="3"/>
  <c r="O131" i="3"/>
  <c r="O119" i="3"/>
  <c r="N119" i="3"/>
  <c r="P119" i="3"/>
  <c r="P107" i="3"/>
  <c r="O107" i="3"/>
  <c r="N107" i="3"/>
  <c r="P95" i="3"/>
  <c r="O95" i="3"/>
  <c r="N95" i="3"/>
  <c r="N83" i="3"/>
  <c r="P83" i="3"/>
  <c r="O83" i="3"/>
  <c r="O71" i="3"/>
  <c r="N71" i="3"/>
  <c r="P71" i="3"/>
  <c r="O59" i="3"/>
  <c r="N59" i="3"/>
  <c r="P59" i="3"/>
  <c r="P47" i="3"/>
  <c r="O47" i="3"/>
  <c r="N47" i="3"/>
  <c r="N35" i="3"/>
  <c r="O35" i="3"/>
  <c r="P35" i="3"/>
  <c r="O23" i="3"/>
  <c r="P23" i="3"/>
  <c r="N23" i="3"/>
  <c r="O11" i="3"/>
  <c r="P11" i="3"/>
  <c r="N11" i="3"/>
  <c r="N2" i="3"/>
  <c r="Q439" i="3"/>
  <c r="R439" i="3"/>
  <c r="S439" i="3"/>
  <c r="Q415" i="3"/>
  <c r="R415" i="3"/>
  <c r="S415" i="3"/>
  <c r="Q391" i="3"/>
  <c r="R391" i="3"/>
  <c r="S391" i="3"/>
  <c r="Q367" i="3"/>
  <c r="R367" i="3"/>
  <c r="S367" i="3"/>
  <c r="Q343" i="3"/>
  <c r="R343" i="3"/>
  <c r="S343" i="3"/>
  <c r="Q307" i="3"/>
  <c r="R307" i="3"/>
  <c r="S307" i="3"/>
  <c r="Q235" i="3"/>
  <c r="R235" i="3"/>
  <c r="S235" i="3"/>
  <c r="Q163" i="3"/>
  <c r="R163" i="3"/>
  <c r="S163" i="3"/>
  <c r="Q7" i="3"/>
  <c r="R7" i="3"/>
  <c r="S7" i="3"/>
  <c r="O276" i="3"/>
  <c r="P276" i="3"/>
  <c r="N276" i="3"/>
  <c r="K1292" i="3"/>
  <c r="Q437" i="3"/>
  <c r="R437" i="3"/>
  <c r="S437" i="3"/>
  <c r="Q425" i="3"/>
  <c r="S425" i="3"/>
  <c r="R425" i="3"/>
  <c r="Q413" i="3"/>
  <c r="R413" i="3"/>
  <c r="S413" i="3"/>
  <c r="Q401" i="3"/>
  <c r="S401" i="3"/>
  <c r="R401" i="3"/>
  <c r="Q389" i="3"/>
  <c r="S389" i="3"/>
  <c r="R389" i="3"/>
  <c r="Q377" i="3"/>
  <c r="R377" i="3"/>
  <c r="S377" i="3"/>
  <c r="Q365" i="3"/>
  <c r="S365" i="3"/>
  <c r="R365" i="3"/>
  <c r="Q353" i="3"/>
  <c r="S353" i="3"/>
  <c r="R353" i="3"/>
  <c r="Q341" i="3"/>
  <c r="S341" i="3"/>
  <c r="R341" i="3"/>
  <c r="R329" i="3"/>
  <c r="S329" i="3"/>
  <c r="Q329" i="3"/>
  <c r="Q317" i="3"/>
  <c r="R317" i="3"/>
  <c r="S317" i="3"/>
  <c r="Q305" i="3"/>
  <c r="R305" i="3"/>
  <c r="S305" i="3"/>
  <c r="Q293" i="3"/>
  <c r="R293" i="3"/>
  <c r="S293" i="3"/>
  <c r="Q281" i="3"/>
  <c r="R281" i="3"/>
  <c r="S281" i="3"/>
  <c r="Q269" i="3"/>
  <c r="R269" i="3"/>
  <c r="S269" i="3"/>
  <c r="Q257" i="3"/>
  <c r="R257" i="3"/>
  <c r="S257" i="3"/>
  <c r="Q245" i="3"/>
  <c r="R245" i="3"/>
  <c r="S245" i="3"/>
  <c r="Q233" i="3"/>
  <c r="R233" i="3"/>
  <c r="S233" i="3"/>
  <c r="Q221" i="3"/>
  <c r="R221" i="3"/>
  <c r="S221" i="3"/>
  <c r="Q209" i="3"/>
  <c r="R209" i="3"/>
  <c r="S209" i="3"/>
  <c r="Q197" i="3"/>
  <c r="R197" i="3"/>
  <c r="S197" i="3"/>
  <c r="Q185" i="3"/>
  <c r="R185" i="3"/>
  <c r="S185" i="3"/>
  <c r="Q173" i="3"/>
  <c r="R173" i="3"/>
  <c r="S173" i="3"/>
  <c r="Q161" i="3"/>
  <c r="R161" i="3"/>
  <c r="S161" i="3"/>
  <c r="Q149" i="3"/>
  <c r="R149" i="3"/>
  <c r="S149" i="3"/>
  <c r="Q137" i="3"/>
  <c r="R137" i="3"/>
  <c r="S137" i="3"/>
  <c r="Q125" i="3"/>
  <c r="R125" i="3"/>
  <c r="S125" i="3"/>
  <c r="Q113" i="3"/>
  <c r="R113" i="3"/>
  <c r="S113" i="3"/>
  <c r="Q101" i="3"/>
  <c r="R101" i="3"/>
  <c r="S101" i="3"/>
  <c r="Q89" i="3"/>
  <c r="R89" i="3"/>
  <c r="S89" i="3"/>
  <c r="Q77" i="3"/>
  <c r="R77" i="3"/>
  <c r="S77" i="3"/>
  <c r="Q65" i="3"/>
  <c r="R65" i="3"/>
  <c r="S65" i="3"/>
  <c r="Q53" i="3"/>
  <c r="R53" i="3"/>
  <c r="S53" i="3"/>
  <c r="Q41" i="3"/>
  <c r="R41" i="3"/>
  <c r="S41" i="3"/>
  <c r="Q29" i="3"/>
  <c r="R29" i="3"/>
  <c r="S29" i="3"/>
  <c r="Q17" i="3"/>
  <c r="R17" i="3"/>
  <c r="S17" i="3"/>
  <c r="Q5" i="3"/>
  <c r="R5" i="3"/>
  <c r="S5" i="3"/>
  <c r="P430" i="3"/>
  <c r="O430" i="3"/>
  <c r="N430" i="3"/>
  <c r="P418" i="3"/>
  <c r="O418" i="3"/>
  <c r="N418" i="3"/>
  <c r="P406" i="3"/>
  <c r="O406" i="3"/>
  <c r="N406" i="3"/>
  <c r="P394" i="3"/>
  <c r="N394" i="3"/>
  <c r="O394" i="3"/>
  <c r="P382" i="3"/>
  <c r="O382" i="3"/>
  <c r="N382" i="3"/>
  <c r="P370" i="3"/>
  <c r="N370" i="3"/>
  <c r="O370" i="3"/>
  <c r="P358" i="3"/>
  <c r="O358" i="3"/>
  <c r="N358" i="3"/>
  <c r="P346" i="3"/>
  <c r="O346" i="3"/>
  <c r="N346" i="3"/>
  <c r="P334" i="3"/>
  <c r="N334" i="3"/>
  <c r="O334" i="3"/>
  <c r="P322" i="3"/>
  <c r="N322" i="3"/>
  <c r="O322" i="3"/>
  <c r="P310" i="3"/>
  <c r="O310" i="3"/>
  <c r="N310" i="3"/>
  <c r="P298" i="3"/>
  <c r="O298" i="3"/>
  <c r="N298" i="3"/>
  <c r="P286" i="3"/>
  <c r="O286" i="3"/>
  <c r="N286" i="3"/>
  <c r="P274" i="3"/>
  <c r="N274" i="3"/>
  <c r="O274" i="3"/>
  <c r="P262" i="3"/>
  <c r="O262" i="3"/>
  <c r="N262" i="3"/>
  <c r="P250" i="3"/>
  <c r="O250" i="3"/>
  <c r="N250" i="3"/>
  <c r="P238" i="3"/>
  <c r="O238" i="3"/>
  <c r="N238" i="3"/>
  <c r="P226" i="3"/>
  <c r="O226" i="3"/>
  <c r="N226" i="3"/>
  <c r="P214" i="3"/>
  <c r="O214" i="3"/>
  <c r="N214" i="3"/>
  <c r="P202" i="3"/>
  <c r="N202" i="3"/>
  <c r="O202" i="3"/>
  <c r="P190" i="3"/>
  <c r="O190" i="3"/>
  <c r="N190" i="3"/>
  <c r="P178" i="3"/>
  <c r="O178" i="3"/>
  <c r="N178" i="3"/>
  <c r="P166" i="3"/>
  <c r="O166" i="3"/>
  <c r="N166" i="3"/>
  <c r="P154" i="3"/>
  <c r="O154" i="3"/>
  <c r="N154" i="3"/>
  <c r="P142" i="3"/>
  <c r="O142" i="3"/>
  <c r="N142" i="3"/>
  <c r="P130" i="3"/>
  <c r="N130" i="3"/>
  <c r="O130" i="3"/>
  <c r="P118" i="3"/>
  <c r="O118" i="3"/>
  <c r="N118" i="3"/>
  <c r="P106" i="3"/>
  <c r="O106" i="3"/>
  <c r="N106" i="3"/>
  <c r="P94" i="3"/>
  <c r="O94" i="3"/>
  <c r="N94" i="3"/>
  <c r="P82" i="3"/>
  <c r="N82" i="3"/>
  <c r="O82" i="3"/>
  <c r="P70" i="3"/>
  <c r="O70" i="3"/>
  <c r="N70" i="3"/>
  <c r="P58" i="3"/>
  <c r="N58" i="3"/>
  <c r="O58" i="3"/>
  <c r="P46" i="3"/>
  <c r="O46" i="3"/>
  <c r="N46" i="3"/>
  <c r="P34" i="3"/>
  <c r="O34" i="3"/>
  <c r="N34" i="3"/>
  <c r="P22" i="3"/>
  <c r="N22" i="3"/>
  <c r="O22" i="3"/>
  <c r="P10" i="3"/>
  <c r="O10" i="3"/>
  <c r="N10" i="3"/>
  <c r="Q427" i="3"/>
  <c r="R427" i="3"/>
  <c r="S427" i="3"/>
  <c r="Q403" i="3"/>
  <c r="R403" i="3"/>
  <c r="S403" i="3"/>
  <c r="Q379" i="3"/>
  <c r="R379" i="3"/>
  <c r="S379" i="3"/>
  <c r="Q355" i="3"/>
  <c r="R355" i="3"/>
  <c r="S355" i="3"/>
  <c r="Q331" i="3"/>
  <c r="R331" i="3"/>
  <c r="S331" i="3"/>
  <c r="Q283" i="3"/>
  <c r="R283" i="3"/>
  <c r="S283" i="3"/>
  <c r="Q247" i="3"/>
  <c r="R247" i="3"/>
  <c r="S247" i="3"/>
  <c r="Q223" i="3"/>
  <c r="R223" i="3"/>
  <c r="S223" i="3"/>
  <c r="Q211" i="3"/>
  <c r="R211" i="3"/>
  <c r="S211" i="3"/>
  <c r="Q199" i="3"/>
  <c r="R199" i="3"/>
  <c r="S199" i="3"/>
  <c r="Q187" i="3"/>
  <c r="R187" i="3"/>
  <c r="S187" i="3"/>
  <c r="Q175" i="3"/>
  <c r="R175" i="3"/>
  <c r="S175" i="3"/>
  <c r="Q151" i="3"/>
  <c r="R151" i="3"/>
  <c r="S151" i="3"/>
  <c r="Q139" i="3"/>
  <c r="R139" i="3"/>
  <c r="S139" i="3"/>
  <c r="Q127" i="3"/>
  <c r="R127" i="3"/>
  <c r="S127" i="3"/>
  <c r="Q115" i="3"/>
  <c r="R115" i="3"/>
  <c r="S115" i="3"/>
  <c r="Q103" i="3"/>
  <c r="R103" i="3"/>
  <c r="S103" i="3"/>
  <c r="Q91" i="3"/>
  <c r="R91" i="3"/>
  <c r="S91" i="3"/>
  <c r="Q79" i="3"/>
  <c r="R79" i="3"/>
  <c r="S79" i="3"/>
  <c r="Q67" i="3"/>
  <c r="R67" i="3"/>
  <c r="S67" i="3"/>
  <c r="Q55" i="3"/>
  <c r="R55" i="3"/>
  <c r="S55" i="3"/>
  <c r="Q43" i="3"/>
  <c r="R43" i="3"/>
  <c r="S43" i="3"/>
  <c r="Q31" i="3"/>
  <c r="R31" i="3"/>
  <c r="S31" i="3"/>
  <c r="Q19" i="3"/>
  <c r="R19" i="3"/>
  <c r="S19" i="3"/>
  <c r="P432" i="3"/>
  <c r="O432" i="3"/>
  <c r="N432" i="3"/>
  <c r="P420" i="3"/>
  <c r="N420" i="3"/>
  <c r="O420" i="3"/>
  <c r="P408" i="3"/>
  <c r="O408" i="3"/>
  <c r="N408" i="3"/>
  <c r="P396" i="3"/>
  <c r="N396" i="3"/>
  <c r="O396" i="3"/>
  <c r="P384" i="3"/>
  <c r="O384" i="3"/>
  <c r="N384" i="3"/>
  <c r="P372" i="3"/>
  <c r="O372" i="3"/>
  <c r="N372" i="3"/>
  <c r="O360" i="3"/>
  <c r="P360" i="3"/>
  <c r="N360" i="3"/>
  <c r="P348" i="3"/>
  <c r="O348" i="3"/>
  <c r="N348" i="3"/>
  <c r="P336" i="3"/>
  <c r="O336" i="3"/>
  <c r="N336" i="3"/>
  <c r="O324" i="3"/>
  <c r="P324" i="3"/>
  <c r="N324" i="3"/>
  <c r="P312" i="3"/>
  <c r="O312" i="3"/>
  <c r="N312" i="3"/>
  <c r="O300" i="3"/>
  <c r="P300" i="3"/>
  <c r="N300" i="3"/>
  <c r="N288" i="3"/>
  <c r="P288" i="3"/>
  <c r="O288" i="3"/>
  <c r="P264" i="3"/>
  <c r="N264" i="3"/>
  <c r="O264" i="3"/>
  <c r="P252" i="3"/>
  <c r="O252" i="3"/>
  <c r="N252" i="3"/>
  <c r="P240" i="3"/>
  <c r="O240" i="3"/>
  <c r="N240" i="3"/>
  <c r="P228" i="3"/>
  <c r="O228" i="3"/>
  <c r="N228" i="3"/>
  <c r="P216" i="3"/>
  <c r="N216" i="3"/>
  <c r="O216" i="3"/>
  <c r="P204" i="3"/>
  <c r="O204" i="3"/>
  <c r="N204" i="3"/>
  <c r="O192" i="3"/>
  <c r="P192" i="3"/>
  <c r="N192" i="3"/>
  <c r="P180" i="3"/>
  <c r="N180" i="3"/>
  <c r="O180" i="3"/>
  <c r="O168" i="3"/>
  <c r="P168" i="3"/>
  <c r="N168" i="3"/>
  <c r="P156" i="3"/>
  <c r="O156" i="3"/>
  <c r="N156" i="3"/>
  <c r="P144" i="3"/>
  <c r="N144" i="3"/>
  <c r="O144" i="3"/>
  <c r="O132" i="3"/>
  <c r="P132" i="3"/>
  <c r="N132" i="3"/>
  <c r="P120" i="3"/>
  <c r="O120" i="3"/>
  <c r="N120" i="3"/>
  <c r="P108" i="3"/>
  <c r="O108" i="3"/>
  <c r="N108" i="3"/>
  <c r="P96" i="3"/>
  <c r="O96" i="3"/>
  <c r="N96" i="3"/>
  <c r="P84" i="3"/>
  <c r="O84" i="3"/>
  <c r="N84" i="3"/>
  <c r="P72" i="3"/>
  <c r="O72" i="3"/>
  <c r="N72" i="3"/>
  <c r="P60" i="3"/>
  <c r="O60" i="3"/>
  <c r="N60" i="3"/>
  <c r="P48" i="3"/>
  <c r="O48" i="3"/>
  <c r="N48" i="3"/>
  <c r="P36" i="3"/>
  <c r="N36" i="3"/>
  <c r="O36" i="3"/>
  <c r="P12" i="3"/>
  <c r="O12" i="3"/>
  <c r="N12" i="3"/>
  <c r="K1268" i="3"/>
  <c r="Q436" i="3"/>
  <c r="R436" i="3"/>
  <c r="S436" i="3"/>
  <c r="Q424" i="3"/>
  <c r="R424" i="3"/>
  <c r="S424" i="3"/>
  <c r="Q412" i="3"/>
  <c r="R412" i="3"/>
  <c r="S412" i="3"/>
  <c r="Q400" i="3"/>
  <c r="R400" i="3"/>
  <c r="S400" i="3"/>
  <c r="Q388" i="3"/>
  <c r="R388" i="3"/>
  <c r="S388" i="3"/>
  <c r="Q376" i="3"/>
  <c r="R376" i="3"/>
  <c r="S376" i="3"/>
  <c r="Q364" i="3"/>
  <c r="R364" i="3"/>
  <c r="S364" i="3"/>
  <c r="Q352" i="3"/>
  <c r="R352" i="3"/>
  <c r="S352" i="3"/>
  <c r="Q340" i="3"/>
  <c r="R340" i="3"/>
  <c r="S340" i="3"/>
  <c r="R328" i="3"/>
  <c r="S328" i="3"/>
  <c r="Q328" i="3"/>
  <c r="R316" i="3"/>
  <c r="S316" i="3"/>
  <c r="Q316" i="3"/>
  <c r="R304" i="3"/>
  <c r="S304" i="3"/>
  <c r="Q304" i="3"/>
  <c r="R292" i="3"/>
  <c r="S292" i="3"/>
  <c r="Q292" i="3"/>
  <c r="R280" i="3"/>
  <c r="S280" i="3"/>
  <c r="Q280" i="3"/>
  <c r="R268" i="3"/>
  <c r="S268" i="3"/>
  <c r="Q268" i="3"/>
  <c r="R256" i="3"/>
  <c r="S256" i="3"/>
  <c r="Q256" i="3"/>
  <c r="R244" i="3"/>
  <c r="S244" i="3"/>
  <c r="Q244" i="3"/>
  <c r="Q232" i="3"/>
  <c r="R232" i="3"/>
  <c r="S232" i="3"/>
  <c r="Q220" i="3"/>
  <c r="R220" i="3"/>
  <c r="S220" i="3"/>
  <c r="Q208" i="3"/>
  <c r="R208" i="3"/>
  <c r="S208" i="3"/>
  <c r="Q196" i="3"/>
  <c r="R196" i="3"/>
  <c r="S196" i="3"/>
  <c r="Q184" i="3"/>
  <c r="R184" i="3"/>
  <c r="S184" i="3"/>
  <c r="Q172" i="3"/>
  <c r="R172" i="3"/>
  <c r="S172" i="3"/>
  <c r="R160" i="3"/>
  <c r="S160" i="3"/>
  <c r="Q160" i="3"/>
  <c r="R148" i="3"/>
  <c r="S148" i="3"/>
  <c r="Q148" i="3"/>
  <c r="R136" i="3"/>
  <c r="S136" i="3"/>
  <c r="Q136" i="3"/>
  <c r="R124" i="3"/>
  <c r="S124" i="3"/>
  <c r="Q124" i="3"/>
  <c r="R112" i="3"/>
  <c r="S112" i="3"/>
  <c r="Q112" i="3"/>
  <c r="R100" i="3"/>
  <c r="S100" i="3"/>
  <c r="Q100" i="3"/>
  <c r="R88" i="3"/>
  <c r="S88" i="3"/>
  <c r="Q88" i="3"/>
  <c r="R76" i="3"/>
  <c r="S76" i="3"/>
  <c r="Q76" i="3"/>
  <c r="R64" i="3"/>
  <c r="S64" i="3"/>
  <c r="Q64" i="3"/>
  <c r="R52" i="3"/>
  <c r="S52" i="3"/>
  <c r="Q52" i="3"/>
  <c r="R40" i="3"/>
  <c r="S40" i="3"/>
  <c r="Q40" i="3"/>
  <c r="R28" i="3"/>
  <c r="S28" i="3"/>
  <c r="Q28" i="3"/>
  <c r="R16" i="3"/>
  <c r="S16" i="3"/>
  <c r="Q16" i="3"/>
  <c r="R4" i="3"/>
  <c r="S4" i="3"/>
  <c r="Q4" i="3"/>
  <c r="P429" i="3"/>
  <c r="N429" i="3"/>
  <c r="O429" i="3"/>
  <c r="P417" i="3"/>
  <c r="O417" i="3"/>
  <c r="N417" i="3"/>
  <c r="P405" i="3"/>
  <c r="O405" i="3"/>
  <c r="N405" i="3"/>
  <c r="P393" i="3"/>
  <c r="N393" i="3"/>
  <c r="O393" i="3"/>
  <c r="P381" i="3"/>
  <c r="O381" i="3"/>
  <c r="N381" i="3"/>
  <c r="P369" i="3"/>
  <c r="O369" i="3"/>
  <c r="N369" i="3"/>
  <c r="P357" i="3"/>
  <c r="O357" i="3"/>
  <c r="N357" i="3"/>
  <c r="P345" i="3"/>
  <c r="O345" i="3"/>
  <c r="N345" i="3"/>
  <c r="P333" i="3"/>
  <c r="O333" i="3"/>
  <c r="N333" i="3"/>
  <c r="P321" i="3"/>
  <c r="N321" i="3"/>
  <c r="O321" i="3"/>
  <c r="P309" i="3"/>
  <c r="O309" i="3"/>
  <c r="N309" i="3"/>
  <c r="P297" i="3"/>
  <c r="O297" i="3"/>
  <c r="N297" i="3"/>
  <c r="P285" i="3"/>
  <c r="O285" i="3"/>
  <c r="N285" i="3"/>
  <c r="P273" i="3"/>
  <c r="N273" i="3"/>
  <c r="O273" i="3"/>
  <c r="P261" i="3"/>
  <c r="N261" i="3"/>
  <c r="O261" i="3"/>
  <c r="P249" i="3"/>
  <c r="O249" i="3"/>
  <c r="N249" i="3"/>
  <c r="P237" i="3"/>
  <c r="O237" i="3"/>
  <c r="N237" i="3"/>
  <c r="P225" i="3"/>
  <c r="O225" i="3"/>
  <c r="N225" i="3"/>
  <c r="P213" i="3"/>
  <c r="N213" i="3"/>
  <c r="O213" i="3"/>
  <c r="P201" i="3"/>
  <c r="O201" i="3"/>
  <c r="N201" i="3"/>
  <c r="P189" i="3"/>
  <c r="O189" i="3"/>
  <c r="N189" i="3"/>
  <c r="P177" i="3"/>
  <c r="O177" i="3"/>
  <c r="N177" i="3"/>
  <c r="O165" i="3"/>
  <c r="P165" i="3"/>
  <c r="N165" i="3"/>
  <c r="O153" i="3"/>
  <c r="P153" i="3"/>
  <c r="N153" i="3"/>
  <c r="O141" i="3"/>
  <c r="P141" i="3"/>
  <c r="N141" i="3"/>
  <c r="O129" i="3"/>
  <c r="P129" i="3"/>
  <c r="N129" i="3"/>
  <c r="O117" i="3"/>
  <c r="P117" i="3"/>
  <c r="N117" i="3"/>
  <c r="O105" i="3"/>
  <c r="P105" i="3"/>
  <c r="N105" i="3"/>
  <c r="O93" i="3"/>
  <c r="P93" i="3"/>
  <c r="N93" i="3"/>
  <c r="O81" i="3"/>
  <c r="P81" i="3"/>
  <c r="N81" i="3"/>
  <c r="O69" i="3"/>
  <c r="P69" i="3"/>
  <c r="N69" i="3"/>
  <c r="O57" i="3"/>
  <c r="P57" i="3"/>
  <c r="N57" i="3"/>
  <c r="O45" i="3"/>
  <c r="P45" i="3"/>
  <c r="N45" i="3"/>
  <c r="O33" i="3"/>
  <c r="P33" i="3"/>
  <c r="N33" i="3"/>
  <c r="O21" i="3"/>
  <c r="P21" i="3"/>
  <c r="N21" i="3"/>
  <c r="O9" i="3"/>
  <c r="P9" i="3"/>
  <c r="N9" i="3"/>
  <c r="Q319" i="3"/>
  <c r="R319" i="3"/>
  <c r="S319" i="3"/>
  <c r="K880" i="3"/>
  <c r="Q435" i="3"/>
  <c r="R435" i="3"/>
  <c r="S435" i="3"/>
  <c r="Q423" i="3"/>
  <c r="R423" i="3"/>
  <c r="S423" i="3"/>
  <c r="Q411" i="3"/>
  <c r="R411" i="3"/>
  <c r="S411" i="3"/>
  <c r="Q399" i="3"/>
  <c r="R399" i="3"/>
  <c r="S399" i="3"/>
  <c r="Q387" i="3"/>
  <c r="R387" i="3"/>
  <c r="S387" i="3"/>
  <c r="Q375" i="3"/>
  <c r="R375" i="3"/>
  <c r="S375" i="3"/>
  <c r="Q363" i="3"/>
  <c r="R363" i="3"/>
  <c r="S363" i="3"/>
  <c r="Q351" i="3"/>
  <c r="R351" i="3"/>
  <c r="S351" i="3"/>
  <c r="Q339" i="3"/>
  <c r="R339" i="3"/>
  <c r="S339" i="3"/>
  <c r="Q327" i="3"/>
  <c r="R327" i="3"/>
  <c r="S327" i="3"/>
  <c r="Q315" i="3"/>
  <c r="R315" i="3"/>
  <c r="S315" i="3"/>
  <c r="Q303" i="3"/>
  <c r="R303" i="3"/>
  <c r="S303" i="3"/>
  <c r="Q291" i="3"/>
  <c r="R291" i="3"/>
  <c r="S291" i="3"/>
  <c r="Q279" i="3"/>
  <c r="R279" i="3"/>
  <c r="S279" i="3"/>
  <c r="Q267" i="3"/>
  <c r="R267" i="3"/>
  <c r="S267" i="3"/>
  <c r="Q255" i="3"/>
  <c r="R255" i="3"/>
  <c r="S255" i="3"/>
  <c r="Q243" i="3"/>
  <c r="R243" i="3"/>
  <c r="S243" i="3"/>
  <c r="Q231" i="3"/>
  <c r="R231" i="3"/>
  <c r="S231" i="3"/>
  <c r="Q219" i="3"/>
  <c r="R219" i="3"/>
  <c r="S219" i="3"/>
  <c r="Q207" i="3"/>
  <c r="R207" i="3"/>
  <c r="S207" i="3"/>
  <c r="Q195" i="3"/>
  <c r="R195" i="3"/>
  <c r="S195" i="3"/>
  <c r="Q183" i="3"/>
  <c r="R183" i="3"/>
  <c r="S183" i="3"/>
  <c r="Q171" i="3"/>
  <c r="R171" i="3"/>
  <c r="S171" i="3"/>
  <c r="Q159" i="3"/>
  <c r="R159" i="3"/>
  <c r="S159" i="3"/>
  <c r="Q147" i="3"/>
  <c r="R147" i="3"/>
  <c r="S147" i="3"/>
  <c r="Q135" i="3"/>
  <c r="R135" i="3"/>
  <c r="S135" i="3"/>
  <c r="Q123" i="3"/>
  <c r="R123" i="3"/>
  <c r="S123" i="3"/>
  <c r="Q111" i="3"/>
  <c r="R111" i="3"/>
  <c r="S111" i="3"/>
  <c r="Q99" i="3"/>
  <c r="R99" i="3"/>
  <c r="S99" i="3"/>
  <c r="Q87" i="3"/>
  <c r="R87" i="3"/>
  <c r="S87" i="3"/>
  <c r="Q75" i="3"/>
  <c r="R75" i="3"/>
  <c r="S75" i="3"/>
  <c r="Q63" i="3"/>
  <c r="R63" i="3"/>
  <c r="S63" i="3"/>
  <c r="Q51" i="3"/>
  <c r="R51" i="3"/>
  <c r="S51" i="3"/>
  <c r="Q39" i="3"/>
  <c r="R39" i="3"/>
  <c r="S39" i="3"/>
  <c r="Q27" i="3"/>
  <c r="R27" i="3"/>
  <c r="S27" i="3"/>
  <c r="Q15" i="3"/>
  <c r="R15" i="3"/>
  <c r="S15" i="3"/>
  <c r="P3" i="3"/>
  <c r="O3" i="3"/>
  <c r="N3" i="3"/>
  <c r="P428" i="3"/>
  <c r="N428" i="3"/>
  <c r="O428" i="3"/>
  <c r="P416" i="3"/>
  <c r="O416" i="3"/>
  <c r="N416" i="3"/>
  <c r="P404" i="3"/>
  <c r="O404" i="3"/>
  <c r="N404" i="3"/>
  <c r="O392" i="3"/>
  <c r="N392" i="3"/>
  <c r="P392" i="3"/>
  <c r="P380" i="3"/>
  <c r="O380" i="3"/>
  <c r="N380" i="3"/>
  <c r="P368" i="3"/>
  <c r="N368" i="3"/>
  <c r="O368" i="3"/>
  <c r="N356" i="3"/>
  <c r="P356" i="3"/>
  <c r="O356" i="3"/>
  <c r="N344" i="3"/>
  <c r="O344" i="3"/>
  <c r="P344" i="3"/>
  <c r="P332" i="3"/>
  <c r="O332" i="3"/>
  <c r="N332" i="3"/>
  <c r="P320" i="3"/>
  <c r="N320" i="3"/>
  <c r="O320" i="3"/>
  <c r="P308" i="3"/>
  <c r="O308" i="3"/>
  <c r="N308" i="3"/>
  <c r="P296" i="3"/>
  <c r="N296" i="3"/>
  <c r="O296" i="3"/>
  <c r="P284" i="3"/>
  <c r="O284" i="3"/>
  <c r="N284" i="3"/>
  <c r="O272" i="3"/>
  <c r="P272" i="3"/>
  <c r="N272" i="3"/>
  <c r="P260" i="3"/>
  <c r="N260" i="3"/>
  <c r="O260" i="3"/>
  <c r="O248" i="3"/>
  <c r="N248" i="3"/>
  <c r="P248" i="3"/>
  <c r="P236" i="3"/>
  <c r="O236" i="3"/>
  <c r="N236" i="3"/>
  <c r="P224" i="3"/>
  <c r="O224" i="3"/>
  <c r="N224" i="3"/>
  <c r="P212" i="3"/>
  <c r="N212" i="3"/>
  <c r="O212" i="3"/>
  <c r="O200" i="3"/>
  <c r="P200" i="3"/>
  <c r="N200" i="3"/>
  <c r="P188" i="3"/>
  <c r="O188" i="3"/>
  <c r="N188" i="3"/>
  <c r="O176" i="3"/>
  <c r="N176" i="3"/>
  <c r="P176" i="3"/>
  <c r="P164" i="3"/>
  <c r="N164" i="3"/>
  <c r="O164" i="3"/>
  <c r="O152" i="3"/>
  <c r="P152" i="3"/>
  <c r="N152" i="3"/>
  <c r="P140" i="3"/>
  <c r="O140" i="3"/>
  <c r="N140" i="3"/>
  <c r="P128" i="3"/>
  <c r="O128" i="3"/>
  <c r="N128" i="3"/>
  <c r="N116" i="3"/>
  <c r="O116" i="3"/>
  <c r="P116" i="3"/>
  <c r="P104" i="3"/>
  <c r="O104" i="3"/>
  <c r="N104" i="3"/>
  <c r="P92" i="3"/>
  <c r="O92" i="3"/>
  <c r="N92" i="3"/>
  <c r="O80" i="3"/>
  <c r="N80" i="3"/>
  <c r="P80" i="3"/>
  <c r="N68" i="3"/>
  <c r="O68" i="3"/>
  <c r="P68" i="3"/>
  <c r="N56" i="3"/>
  <c r="P56" i="3"/>
  <c r="O56" i="3"/>
  <c r="N44" i="3"/>
  <c r="P44" i="3"/>
  <c r="O44" i="3"/>
  <c r="N32" i="3"/>
  <c r="O32" i="3"/>
  <c r="P32" i="3"/>
  <c r="N20" i="3"/>
  <c r="P20" i="3"/>
  <c r="O20" i="3"/>
  <c r="N8" i="3"/>
  <c r="O8" i="3"/>
  <c r="P8" i="3"/>
  <c r="Q422" i="3"/>
  <c r="R422" i="3"/>
  <c r="S422" i="3"/>
  <c r="Q410" i="3"/>
  <c r="R410" i="3"/>
  <c r="S410" i="3"/>
  <c r="Q398" i="3"/>
  <c r="R398" i="3"/>
  <c r="S398" i="3"/>
  <c r="Q386" i="3"/>
  <c r="R386" i="3"/>
  <c r="S386" i="3"/>
  <c r="Q374" i="3"/>
  <c r="R374" i="3"/>
  <c r="S374" i="3"/>
  <c r="Q362" i="3"/>
  <c r="R362" i="3"/>
  <c r="S362" i="3"/>
  <c r="Q350" i="3"/>
  <c r="R350" i="3"/>
  <c r="S350" i="3"/>
  <c r="Q338" i="3"/>
  <c r="R338" i="3"/>
  <c r="S338" i="3"/>
  <c r="R326" i="3"/>
  <c r="S326" i="3"/>
  <c r="Q326" i="3"/>
  <c r="R314" i="3"/>
  <c r="S314" i="3"/>
  <c r="Q314" i="3"/>
  <c r="R302" i="3"/>
  <c r="S302" i="3"/>
  <c r="Q302" i="3"/>
  <c r="R290" i="3"/>
  <c r="S290" i="3"/>
  <c r="Q290" i="3"/>
  <c r="R278" i="3"/>
  <c r="S278" i="3"/>
  <c r="Q278" i="3"/>
  <c r="R266" i="3"/>
  <c r="S266" i="3"/>
  <c r="Q266" i="3"/>
  <c r="R254" i="3"/>
  <c r="S254" i="3"/>
  <c r="Q254" i="3"/>
  <c r="R242" i="3"/>
  <c r="S242" i="3"/>
  <c r="Q242" i="3"/>
  <c r="Q230" i="3"/>
  <c r="R230" i="3"/>
  <c r="S230" i="3"/>
  <c r="Q218" i="3"/>
  <c r="R218" i="3"/>
  <c r="S218" i="3"/>
  <c r="Q206" i="3"/>
  <c r="R206" i="3"/>
  <c r="S206" i="3"/>
  <c r="Q194" i="3"/>
  <c r="R194" i="3"/>
  <c r="S194" i="3"/>
  <c r="Q182" i="3"/>
  <c r="R182" i="3"/>
  <c r="S182" i="3"/>
  <c r="R170" i="3"/>
  <c r="S170" i="3"/>
  <c r="Q170" i="3"/>
  <c r="R158" i="3"/>
  <c r="S158" i="3"/>
  <c r="Q158" i="3"/>
  <c r="R146" i="3"/>
  <c r="S146" i="3"/>
  <c r="Q146" i="3"/>
  <c r="R134" i="3"/>
  <c r="S134" i="3"/>
  <c r="Q134" i="3"/>
  <c r="R122" i="3"/>
  <c r="S122" i="3"/>
  <c r="Q122" i="3"/>
  <c r="R110" i="3"/>
  <c r="S110" i="3"/>
  <c r="Q110" i="3"/>
  <c r="R38" i="3"/>
  <c r="S38" i="3"/>
  <c r="Q38" i="3"/>
  <c r="R26" i="3"/>
  <c r="S26" i="3"/>
  <c r="Q26" i="3"/>
  <c r="R14" i="3"/>
  <c r="S14" i="3"/>
  <c r="Q14" i="3"/>
  <c r="P439" i="3"/>
  <c r="N439" i="3"/>
  <c r="O439" i="3"/>
  <c r="N427" i="3"/>
  <c r="O427" i="3"/>
  <c r="P427" i="3"/>
  <c r="O415" i="3"/>
  <c r="N415" i="3"/>
  <c r="P415" i="3"/>
  <c r="P403" i="3"/>
  <c r="O403" i="3"/>
  <c r="N403" i="3"/>
  <c r="N391" i="3"/>
  <c r="O391" i="3"/>
  <c r="P391" i="3"/>
  <c r="O379" i="3"/>
  <c r="N379" i="3"/>
  <c r="P379" i="3"/>
  <c r="P367" i="3"/>
  <c r="N367" i="3"/>
  <c r="O367" i="3"/>
  <c r="O355" i="3"/>
  <c r="N355" i="3"/>
  <c r="P355" i="3"/>
  <c r="P343" i="3"/>
  <c r="N343" i="3"/>
  <c r="O343" i="3"/>
  <c r="P331" i="3"/>
  <c r="O331" i="3"/>
  <c r="N331" i="3"/>
  <c r="N319" i="3"/>
  <c r="P319" i="3"/>
  <c r="O319" i="3"/>
  <c r="N307" i="3"/>
  <c r="P307" i="3"/>
  <c r="O307" i="3"/>
  <c r="P295" i="3"/>
  <c r="N295" i="3"/>
  <c r="O295" i="3"/>
  <c r="O283" i="3"/>
  <c r="N283" i="3"/>
  <c r="P283" i="3"/>
  <c r="N271" i="3"/>
  <c r="O271" i="3"/>
  <c r="P271" i="3"/>
  <c r="P259" i="3"/>
  <c r="N259" i="3"/>
  <c r="O259" i="3"/>
  <c r="O247" i="3"/>
  <c r="N247" i="3"/>
  <c r="P247" i="3"/>
  <c r="P235" i="3"/>
  <c r="O235" i="3"/>
  <c r="N235" i="3"/>
  <c r="P223" i="3"/>
  <c r="N223" i="3"/>
  <c r="O223" i="3"/>
  <c r="O211" i="3"/>
  <c r="N211" i="3"/>
  <c r="P211" i="3"/>
  <c r="P199" i="3"/>
  <c r="N199" i="3"/>
  <c r="O199" i="3"/>
  <c r="P187" i="3"/>
  <c r="N187" i="3"/>
  <c r="O187" i="3"/>
  <c r="O175" i="3"/>
  <c r="N175" i="3"/>
  <c r="P175" i="3"/>
  <c r="P163" i="3"/>
  <c r="N163" i="3"/>
  <c r="O163" i="3"/>
  <c r="O151" i="3"/>
  <c r="N151" i="3"/>
  <c r="P151" i="3"/>
  <c r="P139" i="3"/>
  <c r="O139" i="3"/>
  <c r="N139" i="3"/>
  <c r="P127" i="3"/>
  <c r="N127" i="3"/>
  <c r="O127" i="3"/>
  <c r="O115" i="3"/>
  <c r="N115" i="3"/>
  <c r="P115" i="3"/>
  <c r="P103" i="3"/>
  <c r="O103" i="3"/>
  <c r="N103" i="3"/>
  <c r="P91" i="3"/>
  <c r="N91" i="3"/>
  <c r="O91" i="3"/>
  <c r="P79" i="3"/>
  <c r="O79" i="3"/>
  <c r="N79" i="3"/>
  <c r="O67" i="3"/>
  <c r="P67" i="3"/>
  <c r="N67" i="3"/>
  <c r="P55" i="3"/>
  <c r="O55" i="3"/>
  <c r="N55" i="3"/>
  <c r="P43" i="3"/>
  <c r="N43" i="3"/>
  <c r="O43" i="3"/>
  <c r="N31" i="3"/>
  <c r="O31" i="3"/>
  <c r="P31" i="3"/>
  <c r="P19" i="3"/>
  <c r="O19" i="3"/>
  <c r="N19" i="3"/>
  <c r="P7" i="3"/>
  <c r="O7" i="3"/>
  <c r="N7" i="3"/>
  <c r="N6" i="3"/>
  <c r="O6" i="3"/>
  <c r="P6" i="3"/>
  <c r="X2" i="3" a="1"/>
  <c r="X2" i="3" s="1"/>
  <c r="R86" i="3"/>
  <c r="S86" i="3"/>
  <c r="Q86" i="3"/>
  <c r="Q397" i="3"/>
  <c r="R397" i="3"/>
  <c r="S397" i="3"/>
  <c r="Q325" i="3"/>
  <c r="R325" i="3"/>
  <c r="S325" i="3"/>
  <c r="Q253" i="3"/>
  <c r="R253" i="3"/>
  <c r="S253" i="3"/>
  <c r="Q169" i="3"/>
  <c r="R169" i="3"/>
  <c r="S169" i="3"/>
  <c r="Q97" i="3"/>
  <c r="R97" i="3"/>
  <c r="S97" i="3"/>
  <c r="Q37" i="3"/>
  <c r="R37" i="3"/>
  <c r="S37" i="3"/>
  <c r="P378" i="3"/>
  <c r="N378" i="3"/>
  <c r="O378" i="3"/>
  <c r="P66" i="3"/>
  <c r="N66" i="3"/>
  <c r="O66" i="3"/>
  <c r="Q432" i="3"/>
  <c r="R432" i="3"/>
  <c r="S432" i="3"/>
  <c r="Q420" i="3"/>
  <c r="R420" i="3"/>
  <c r="S420" i="3"/>
  <c r="Q408" i="3"/>
  <c r="R408" i="3"/>
  <c r="S408" i="3"/>
  <c r="Q396" i="3"/>
  <c r="R396" i="3"/>
  <c r="S396" i="3"/>
  <c r="Q384" i="3"/>
  <c r="R384" i="3"/>
  <c r="S384" i="3"/>
  <c r="Q372" i="3"/>
  <c r="R372" i="3"/>
  <c r="S372" i="3"/>
  <c r="Q360" i="3"/>
  <c r="R360" i="3"/>
  <c r="S360" i="3"/>
  <c r="Q348" i="3"/>
  <c r="R348" i="3"/>
  <c r="S348" i="3"/>
  <c r="Q336" i="3"/>
  <c r="R336" i="3"/>
  <c r="S336" i="3"/>
  <c r="R324" i="3"/>
  <c r="S324" i="3"/>
  <c r="Q324" i="3"/>
  <c r="R312" i="3"/>
  <c r="S312" i="3"/>
  <c r="Q312" i="3"/>
  <c r="R300" i="3"/>
  <c r="S300" i="3"/>
  <c r="Q300" i="3"/>
  <c r="R288" i="3"/>
  <c r="S288" i="3"/>
  <c r="Q288" i="3"/>
  <c r="R276" i="3"/>
  <c r="S276" i="3"/>
  <c r="Q276" i="3"/>
  <c r="R264" i="3"/>
  <c r="S264" i="3"/>
  <c r="Q264" i="3"/>
  <c r="R252" i="3"/>
  <c r="S252" i="3"/>
  <c r="Q252" i="3"/>
  <c r="R240" i="3"/>
  <c r="S240" i="3"/>
  <c r="Q240" i="3"/>
  <c r="Q228" i="3"/>
  <c r="R228" i="3"/>
  <c r="S228" i="3"/>
  <c r="Q216" i="3"/>
  <c r="R216" i="3"/>
  <c r="S216" i="3"/>
  <c r="Q204" i="3"/>
  <c r="R204" i="3"/>
  <c r="S204" i="3"/>
  <c r="Q192" i="3"/>
  <c r="R192" i="3"/>
  <c r="S192" i="3"/>
  <c r="Q180" i="3"/>
  <c r="R180" i="3"/>
  <c r="S180" i="3"/>
  <c r="R168" i="3"/>
  <c r="S168" i="3"/>
  <c r="Q168" i="3"/>
  <c r="R156" i="3"/>
  <c r="S156" i="3"/>
  <c r="Q156" i="3"/>
  <c r="R144" i="3"/>
  <c r="S144" i="3"/>
  <c r="Q144" i="3"/>
  <c r="R132" i="3"/>
  <c r="S132" i="3"/>
  <c r="Q132" i="3"/>
  <c r="R120" i="3"/>
  <c r="S120" i="3"/>
  <c r="Q120" i="3"/>
  <c r="R108" i="3"/>
  <c r="S108" i="3"/>
  <c r="Q108" i="3"/>
  <c r="R96" i="3"/>
  <c r="S96" i="3"/>
  <c r="Q96" i="3"/>
  <c r="R84" i="3"/>
  <c r="S84" i="3"/>
  <c r="Q84" i="3"/>
  <c r="R72" i="3"/>
  <c r="S72" i="3"/>
  <c r="Q72" i="3"/>
  <c r="R60" i="3"/>
  <c r="S60" i="3"/>
  <c r="Q60" i="3"/>
  <c r="R48" i="3"/>
  <c r="S48" i="3"/>
  <c r="Q48" i="3"/>
  <c r="R36" i="3"/>
  <c r="S36" i="3"/>
  <c r="Q36" i="3"/>
  <c r="R24" i="3"/>
  <c r="S24" i="3"/>
  <c r="Q24" i="3"/>
  <c r="R12" i="3"/>
  <c r="S12" i="3"/>
  <c r="Q12" i="3"/>
  <c r="P437" i="3"/>
  <c r="O437" i="3"/>
  <c r="N437" i="3"/>
  <c r="O425" i="3"/>
  <c r="P425" i="3"/>
  <c r="N425" i="3"/>
  <c r="P413" i="3"/>
  <c r="O413" i="3"/>
  <c r="N413" i="3"/>
  <c r="P401" i="3"/>
  <c r="O401" i="3"/>
  <c r="N401" i="3"/>
  <c r="O389" i="3"/>
  <c r="P389" i="3"/>
  <c r="N389" i="3"/>
  <c r="P377" i="3"/>
  <c r="O377" i="3"/>
  <c r="N377" i="3"/>
  <c r="P365" i="3"/>
  <c r="O365" i="3"/>
  <c r="N365" i="3"/>
  <c r="O353" i="3"/>
  <c r="P353" i="3"/>
  <c r="N353" i="3"/>
  <c r="O341" i="3"/>
  <c r="P341" i="3"/>
  <c r="N341" i="3"/>
  <c r="P329" i="3"/>
  <c r="O329" i="3"/>
  <c r="N329" i="3"/>
  <c r="P317" i="3"/>
  <c r="O317" i="3"/>
  <c r="N317" i="3"/>
  <c r="O305" i="3"/>
  <c r="N305" i="3"/>
  <c r="P305" i="3"/>
  <c r="N293" i="3"/>
  <c r="P293" i="3"/>
  <c r="O293" i="3"/>
  <c r="P281" i="3"/>
  <c r="O281" i="3"/>
  <c r="N281" i="3"/>
  <c r="P269" i="3"/>
  <c r="O269" i="3"/>
  <c r="N269" i="3"/>
  <c r="O257" i="3"/>
  <c r="P257" i="3"/>
  <c r="N257" i="3"/>
  <c r="P245" i="3"/>
  <c r="N245" i="3"/>
  <c r="O245" i="3"/>
  <c r="P233" i="3"/>
  <c r="N233" i="3"/>
  <c r="O233" i="3"/>
  <c r="P221" i="3"/>
  <c r="O221" i="3"/>
  <c r="N221" i="3"/>
  <c r="P209" i="3"/>
  <c r="O209" i="3"/>
  <c r="N209" i="3"/>
  <c r="O197" i="3"/>
  <c r="P197" i="3"/>
  <c r="N197" i="3"/>
  <c r="O185" i="3"/>
  <c r="P185" i="3"/>
  <c r="N185" i="3"/>
  <c r="P173" i="3"/>
  <c r="O173" i="3"/>
  <c r="N173" i="3"/>
  <c r="O161" i="3"/>
  <c r="N161" i="3"/>
  <c r="P161" i="3"/>
  <c r="P149" i="3"/>
  <c r="O149" i="3"/>
  <c r="N149" i="3"/>
  <c r="P137" i="3"/>
  <c r="N137" i="3"/>
  <c r="O137" i="3"/>
  <c r="P125" i="3"/>
  <c r="O125" i="3"/>
  <c r="N125" i="3"/>
  <c r="P113" i="3"/>
  <c r="O113" i="3"/>
  <c r="N113" i="3"/>
  <c r="N101" i="3"/>
  <c r="P101" i="3"/>
  <c r="O101" i="3"/>
  <c r="O89" i="3"/>
  <c r="P89" i="3"/>
  <c r="N89" i="3"/>
  <c r="P77" i="3"/>
  <c r="N77" i="3"/>
  <c r="O77" i="3"/>
  <c r="P65" i="3"/>
  <c r="O65" i="3"/>
  <c r="N65" i="3"/>
  <c r="O53" i="3"/>
  <c r="N53" i="3"/>
  <c r="P53" i="3"/>
  <c r="P41" i="3"/>
  <c r="O41" i="3"/>
  <c r="N41" i="3"/>
  <c r="P29" i="3"/>
  <c r="O29" i="3"/>
  <c r="N29" i="3"/>
  <c r="O17" i="3"/>
  <c r="N17" i="3"/>
  <c r="P17" i="3"/>
  <c r="N5" i="3"/>
  <c r="P5" i="3"/>
  <c r="O5" i="3"/>
  <c r="Q271" i="3"/>
  <c r="R271" i="3"/>
  <c r="S271" i="3"/>
  <c r="R74" i="3"/>
  <c r="S74" i="3"/>
  <c r="Q74" i="3"/>
  <c r="Q385" i="3"/>
  <c r="S385" i="3"/>
  <c r="R385" i="3"/>
  <c r="Q349" i="3"/>
  <c r="S349" i="3"/>
  <c r="R349" i="3"/>
  <c r="Q313" i="3"/>
  <c r="R313" i="3"/>
  <c r="S313" i="3"/>
  <c r="Q277" i="3"/>
  <c r="R277" i="3"/>
  <c r="S277" i="3"/>
  <c r="Q217" i="3"/>
  <c r="R217" i="3"/>
  <c r="S217" i="3"/>
  <c r="Q193" i="3"/>
  <c r="R193" i="3"/>
  <c r="S193" i="3"/>
  <c r="Q145" i="3"/>
  <c r="R145" i="3"/>
  <c r="S145" i="3"/>
  <c r="Q109" i="3"/>
  <c r="R109" i="3"/>
  <c r="S109" i="3"/>
  <c r="Q61" i="3"/>
  <c r="R61" i="3"/>
  <c r="S61" i="3"/>
  <c r="O426" i="3"/>
  <c r="N426" i="3"/>
  <c r="P426" i="3"/>
  <c r="O366" i="3"/>
  <c r="P366" i="3"/>
  <c r="N366" i="3"/>
  <c r="P330" i="3"/>
  <c r="N330" i="3"/>
  <c r="O330" i="3"/>
  <c r="O294" i="3"/>
  <c r="P294" i="3"/>
  <c r="N294" i="3"/>
  <c r="N270" i="3"/>
  <c r="O270" i="3"/>
  <c r="P270" i="3"/>
  <c r="P234" i="3"/>
  <c r="N234" i="3"/>
  <c r="O234" i="3"/>
  <c r="N198" i="3"/>
  <c r="P198" i="3"/>
  <c r="O198" i="3"/>
  <c r="O174" i="3"/>
  <c r="N174" i="3"/>
  <c r="P174" i="3"/>
  <c r="P138" i="3"/>
  <c r="O138" i="3"/>
  <c r="N138" i="3"/>
  <c r="P102" i="3"/>
  <c r="O102" i="3"/>
  <c r="N102" i="3"/>
  <c r="P42" i="3"/>
  <c r="N42" i="3"/>
  <c r="O42" i="3"/>
  <c r="Q431" i="3"/>
  <c r="S431" i="3"/>
  <c r="R431" i="3"/>
  <c r="Q419" i="3"/>
  <c r="R419" i="3"/>
  <c r="S419" i="3"/>
  <c r="Q407" i="3"/>
  <c r="R407" i="3"/>
  <c r="S407" i="3"/>
  <c r="Q395" i="3"/>
  <c r="R395" i="3"/>
  <c r="S395" i="3"/>
  <c r="Q383" i="3"/>
  <c r="R383" i="3"/>
  <c r="S383" i="3"/>
  <c r="Q371" i="3"/>
  <c r="R371" i="3"/>
  <c r="S371" i="3"/>
  <c r="Q359" i="3"/>
  <c r="R359" i="3"/>
  <c r="S359" i="3"/>
  <c r="Q347" i="3"/>
  <c r="R347" i="3"/>
  <c r="S347" i="3"/>
  <c r="Q335" i="3"/>
  <c r="R335" i="3"/>
  <c r="S335" i="3"/>
  <c r="Q323" i="3"/>
  <c r="R323" i="3"/>
  <c r="S323" i="3"/>
  <c r="Q311" i="3"/>
  <c r="R311" i="3"/>
  <c r="S311" i="3"/>
  <c r="Q299" i="3"/>
  <c r="R299" i="3"/>
  <c r="S299" i="3"/>
  <c r="Q287" i="3"/>
  <c r="R287" i="3"/>
  <c r="S287" i="3"/>
  <c r="Q275" i="3"/>
  <c r="R275" i="3"/>
  <c r="S275" i="3"/>
  <c r="Q263" i="3"/>
  <c r="R263" i="3"/>
  <c r="S263" i="3"/>
  <c r="Q251" i="3"/>
  <c r="R251" i="3"/>
  <c r="S251" i="3"/>
  <c r="Q239" i="3"/>
  <c r="R239" i="3"/>
  <c r="S239" i="3"/>
  <c r="Q227" i="3"/>
  <c r="R227" i="3"/>
  <c r="S227" i="3"/>
  <c r="Q215" i="3"/>
  <c r="R215" i="3"/>
  <c r="S215" i="3"/>
  <c r="Q203" i="3"/>
  <c r="R203" i="3"/>
  <c r="S203" i="3"/>
  <c r="Q191" i="3"/>
  <c r="R191" i="3"/>
  <c r="S191" i="3"/>
  <c r="Q179" i="3"/>
  <c r="R179" i="3"/>
  <c r="S179" i="3"/>
  <c r="Q167" i="3"/>
  <c r="R167" i="3"/>
  <c r="S167" i="3"/>
  <c r="Q155" i="3"/>
  <c r="R155" i="3"/>
  <c r="S155" i="3"/>
  <c r="Q143" i="3"/>
  <c r="R143" i="3"/>
  <c r="S143" i="3"/>
  <c r="Q131" i="3"/>
  <c r="R131" i="3"/>
  <c r="S131" i="3"/>
  <c r="Q119" i="3"/>
  <c r="R119" i="3"/>
  <c r="S119" i="3"/>
  <c r="Q107" i="3"/>
  <c r="R107" i="3"/>
  <c r="S107" i="3"/>
  <c r="Q95" i="3"/>
  <c r="R95" i="3"/>
  <c r="S95" i="3"/>
  <c r="Q83" i="3"/>
  <c r="R83" i="3"/>
  <c r="S83" i="3"/>
  <c r="Q71" i="3"/>
  <c r="R71" i="3"/>
  <c r="S71" i="3"/>
  <c r="Q59" i="3"/>
  <c r="R59" i="3"/>
  <c r="S59" i="3"/>
  <c r="Q47" i="3"/>
  <c r="R47" i="3"/>
  <c r="S47" i="3"/>
  <c r="Q35" i="3"/>
  <c r="R35" i="3"/>
  <c r="S35" i="3"/>
  <c r="Q23" i="3"/>
  <c r="R23" i="3"/>
  <c r="S23" i="3"/>
  <c r="Q11" i="3"/>
  <c r="R11" i="3"/>
  <c r="S11" i="3"/>
  <c r="P436" i="3"/>
  <c r="O436" i="3"/>
  <c r="N436" i="3"/>
  <c r="P424" i="3"/>
  <c r="O424" i="3"/>
  <c r="N424" i="3"/>
  <c r="O412" i="3"/>
  <c r="P412" i="3"/>
  <c r="N412" i="3"/>
  <c r="P400" i="3"/>
  <c r="O400" i="3"/>
  <c r="N400" i="3"/>
  <c r="O388" i="3"/>
  <c r="P388" i="3"/>
  <c r="N388" i="3"/>
  <c r="O376" i="3"/>
  <c r="P376" i="3"/>
  <c r="N376" i="3"/>
  <c r="P364" i="3"/>
  <c r="O364" i="3"/>
  <c r="N364" i="3"/>
  <c r="P352" i="3"/>
  <c r="O352" i="3"/>
  <c r="N352" i="3"/>
  <c r="O340" i="3"/>
  <c r="P340" i="3"/>
  <c r="N340" i="3"/>
  <c r="O328" i="3"/>
  <c r="P328" i="3"/>
  <c r="N328" i="3"/>
  <c r="O316" i="3"/>
  <c r="P316" i="3"/>
  <c r="N316" i="3"/>
  <c r="O304" i="3"/>
  <c r="N304" i="3"/>
  <c r="P304" i="3"/>
  <c r="O292" i="3"/>
  <c r="P292" i="3"/>
  <c r="N292" i="3"/>
  <c r="O280" i="3"/>
  <c r="P280" i="3"/>
  <c r="N280" i="3"/>
  <c r="O268" i="3"/>
  <c r="P268" i="3"/>
  <c r="N268" i="3"/>
  <c r="O256" i="3"/>
  <c r="P256" i="3"/>
  <c r="N256" i="3"/>
  <c r="O244" i="3"/>
  <c r="P244" i="3"/>
  <c r="N244" i="3"/>
  <c r="O232" i="3"/>
  <c r="P232" i="3"/>
  <c r="N232" i="3"/>
  <c r="O220" i="3"/>
  <c r="P220" i="3"/>
  <c r="N220" i="3"/>
  <c r="O208" i="3"/>
  <c r="P208" i="3"/>
  <c r="N208" i="3"/>
  <c r="O196" i="3"/>
  <c r="P196" i="3"/>
  <c r="N196" i="3"/>
  <c r="O184" i="3"/>
  <c r="P184" i="3"/>
  <c r="N184" i="3"/>
  <c r="O172" i="3"/>
  <c r="P172" i="3"/>
  <c r="N172" i="3"/>
  <c r="O160" i="3"/>
  <c r="P160" i="3"/>
  <c r="N160" i="3"/>
  <c r="O148" i="3"/>
  <c r="P148" i="3"/>
  <c r="N148" i="3"/>
  <c r="O136" i="3"/>
  <c r="P136" i="3"/>
  <c r="N136" i="3"/>
  <c r="O124" i="3"/>
  <c r="P124" i="3"/>
  <c r="N124" i="3"/>
  <c r="O112" i="3"/>
  <c r="P112" i="3"/>
  <c r="N112" i="3"/>
  <c r="O100" i="3"/>
  <c r="P100" i="3"/>
  <c r="N100" i="3"/>
  <c r="O88" i="3"/>
  <c r="P88" i="3"/>
  <c r="N88" i="3"/>
  <c r="O76" i="3"/>
  <c r="P76" i="3"/>
  <c r="N76" i="3"/>
  <c r="O64" i="3"/>
  <c r="P64" i="3"/>
  <c r="N64" i="3"/>
  <c r="O52" i="3"/>
  <c r="P52" i="3"/>
  <c r="N52" i="3"/>
  <c r="O40" i="3"/>
  <c r="P40" i="3"/>
  <c r="N40" i="3"/>
  <c r="O28" i="3"/>
  <c r="P28" i="3"/>
  <c r="N28" i="3"/>
  <c r="O16" i="3"/>
  <c r="P16" i="3"/>
  <c r="N16" i="3"/>
  <c r="O4" i="3"/>
  <c r="P4" i="3"/>
  <c r="N4" i="3"/>
  <c r="Q295" i="3"/>
  <c r="R295" i="3"/>
  <c r="S295" i="3"/>
  <c r="R50" i="3"/>
  <c r="S50" i="3"/>
  <c r="Q50" i="3"/>
  <c r="Q421" i="3"/>
  <c r="R421" i="3"/>
  <c r="S421" i="3"/>
  <c r="Q373" i="3"/>
  <c r="S373" i="3"/>
  <c r="R373" i="3"/>
  <c r="Q301" i="3"/>
  <c r="R301" i="3"/>
  <c r="S301" i="3"/>
  <c r="Q241" i="3"/>
  <c r="R241" i="3"/>
  <c r="S241" i="3"/>
  <c r="Q181" i="3"/>
  <c r="R181" i="3"/>
  <c r="S181" i="3"/>
  <c r="Q121" i="3"/>
  <c r="R121" i="3"/>
  <c r="S121" i="3"/>
  <c r="Q49" i="3"/>
  <c r="R49" i="3"/>
  <c r="S49" i="3"/>
  <c r="P438" i="3"/>
  <c r="N438" i="3"/>
  <c r="O438" i="3"/>
  <c r="O390" i="3"/>
  <c r="N390" i="3"/>
  <c r="P390" i="3"/>
  <c r="N342" i="3"/>
  <c r="O342" i="3"/>
  <c r="P342" i="3"/>
  <c r="N306" i="3"/>
  <c r="P306" i="3"/>
  <c r="O306" i="3"/>
  <c r="P258" i="3"/>
  <c r="N258" i="3"/>
  <c r="O258" i="3"/>
  <c r="P222" i="3"/>
  <c r="N222" i="3"/>
  <c r="O222" i="3"/>
  <c r="N186" i="3"/>
  <c r="P186" i="3"/>
  <c r="O186" i="3"/>
  <c r="O150" i="3"/>
  <c r="N150" i="3"/>
  <c r="P150" i="3"/>
  <c r="N114" i="3"/>
  <c r="O114" i="3"/>
  <c r="P114" i="3"/>
  <c r="N78" i="3"/>
  <c r="P78" i="3"/>
  <c r="O78" i="3"/>
  <c r="O54" i="3"/>
  <c r="N54" i="3"/>
  <c r="P54" i="3"/>
  <c r="Q430" i="3"/>
  <c r="R430" i="3"/>
  <c r="S430" i="3"/>
  <c r="Q418" i="3"/>
  <c r="R418" i="3"/>
  <c r="S418" i="3"/>
  <c r="Q406" i="3"/>
  <c r="R406" i="3"/>
  <c r="S406" i="3"/>
  <c r="Q394" i="3"/>
  <c r="R394" i="3"/>
  <c r="S394" i="3"/>
  <c r="Q382" i="3"/>
  <c r="R382" i="3"/>
  <c r="S382" i="3"/>
  <c r="Q370" i="3"/>
  <c r="R370" i="3"/>
  <c r="S370" i="3"/>
  <c r="Q358" i="3"/>
  <c r="R358" i="3"/>
  <c r="S358" i="3"/>
  <c r="Q346" i="3"/>
  <c r="R346" i="3"/>
  <c r="S346" i="3"/>
  <c r="Q334" i="3"/>
  <c r="R334" i="3"/>
  <c r="S334" i="3"/>
  <c r="R322" i="3"/>
  <c r="S322" i="3"/>
  <c r="Q322" i="3"/>
  <c r="R310" i="3"/>
  <c r="S310" i="3"/>
  <c r="Q310" i="3"/>
  <c r="R298" i="3"/>
  <c r="S298" i="3"/>
  <c r="Q298" i="3"/>
  <c r="R286" i="3"/>
  <c r="S286" i="3"/>
  <c r="Q286" i="3"/>
  <c r="R274" i="3"/>
  <c r="S274" i="3"/>
  <c r="Q274" i="3"/>
  <c r="R262" i="3"/>
  <c r="S262" i="3"/>
  <c r="Q262" i="3"/>
  <c r="R250" i="3"/>
  <c r="S250" i="3"/>
  <c r="Q250" i="3"/>
  <c r="R238" i="3"/>
  <c r="S238" i="3"/>
  <c r="Q238" i="3"/>
  <c r="Q226" i="3"/>
  <c r="R226" i="3"/>
  <c r="S226" i="3"/>
  <c r="Q214" i="3"/>
  <c r="R214" i="3"/>
  <c r="S214" i="3"/>
  <c r="Q202" i="3"/>
  <c r="R202" i="3"/>
  <c r="S202" i="3"/>
  <c r="Q190" i="3"/>
  <c r="R190" i="3"/>
  <c r="S190" i="3"/>
  <c r="Q178" i="3"/>
  <c r="R178" i="3"/>
  <c r="S178" i="3"/>
  <c r="R166" i="3"/>
  <c r="S166" i="3"/>
  <c r="Q166" i="3"/>
  <c r="R154" i="3"/>
  <c r="S154" i="3"/>
  <c r="Q154" i="3"/>
  <c r="R142" i="3"/>
  <c r="S142" i="3"/>
  <c r="Q142" i="3"/>
  <c r="R130" i="3"/>
  <c r="S130" i="3"/>
  <c r="Q130" i="3"/>
  <c r="R118" i="3"/>
  <c r="S118" i="3"/>
  <c r="Q118" i="3"/>
  <c r="R106" i="3"/>
  <c r="S106" i="3"/>
  <c r="Q106" i="3"/>
  <c r="R94" i="3"/>
  <c r="S94" i="3"/>
  <c r="Q94" i="3"/>
  <c r="R82" i="3"/>
  <c r="S82" i="3"/>
  <c r="Q82" i="3"/>
  <c r="R70" i="3"/>
  <c r="S70" i="3"/>
  <c r="Q70" i="3"/>
  <c r="R58" i="3"/>
  <c r="S58" i="3"/>
  <c r="Q58" i="3"/>
  <c r="R46" i="3"/>
  <c r="S46" i="3"/>
  <c r="Q46" i="3"/>
  <c r="R34" i="3"/>
  <c r="S34" i="3"/>
  <c r="Q34" i="3"/>
  <c r="R22" i="3"/>
  <c r="S22" i="3"/>
  <c r="Q22" i="3"/>
  <c r="R10" i="3"/>
  <c r="S10" i="3"/>
  <c r="Q10" i="3"/>
  <c r="P435" i="3"/>
  <c r="O435" i="3"/>
  <c r="N435" i="3"/>
  <c r="P423" i="3"/>
  <c r="O423" i="3"/>
  <c r="N423" i="3"/>
  <c r="P411" i="3"/>
  <c r="O411" i="3"/>
  <c r="N411" i="3"/>
  <c r="P399" i="3"/>
  <c r="O399" i="3"/>
  <c r="N399" i="3"/>
  <c r="P387" i="3"/>
  <c r="O387" i="3"/>
  <c r="N387" i="3"/>
  <c r="P375" i="3"/>
  <c r="O375" i="3"/>
  <c r="N375" i="3"/>
  <c r="P363" i="3"/>
  <c r="O363" i="3"/>
  <c r="N363" i="3"/>
  <c r="P351" i="3"/>
  <c r="O351" i="3"/>
  <c r="N351" i="3"/>
  <c r="P339" i="3"/>
  <c r="O339" i="3"/>
  <c r="N339" i="3"/>
  <c r="P327" i="3"/>
  <c r="O327" i="3"/>
  <c r="N327" i="3"/>
  <c r="P315" i="3"/>
  <c r="O315" i="3"/>
  <c r="N315" i="3"/>
  <c r="P303" i="3"/>
  <c r="O303" i="3"/>
  <c r="N303" i="3"/>
  <c r="P291" i="3"/>
  <c r="O291" i="3"/>
  <c r="N291" i="3"/>
  <c r="P279" i="3"/>
  <c r="O279" i="3"/>
  <c r="N279" i="3"/>
  <c r="P267" i="3"/>
  <c r="O267" i="3"/>
  <c r="N267" i="3"/>
  <c r="P255" i="3"/>
  <c r="O255" i="3"/>
  <c r="N255" i="3"/>
  <c r="P243" i="3"/>
  <c r="O243" i="3"/>
  <c r="N243" i="3"/>
  <c r="P231" i="3"/>
  <c r="O231" i="3"/>
  <c r="N231" i="3"/>
  <c r="P219" i="3"/>
  <c r="O219" i="3"/>
  <c r="N219" i="3"/>
  <c r="P207" i="3"/>
  <c r="O207" i="3"/>
  <c r="N207" i="3"/>
  <c r="P195" i="3"/>
  <c r="O195" i="3"/>
  <c r="N195" i="3"/>
  <c r="P183" i="3"/>
  <c r="O183" i="3"/>
  <c r="N183" i="3"/>
  <c r="P171" i="3"/>
  <c r="O171" i="3"/>
  <c r="N171" i="3"/>
  <c r="P159" i="3"/>
  <c r="O159" i="3"/>
  <c r="N159" i="3"/>
  <c r="P147" i="3"/>
  <c r="O147" i="3"/>
  <c r="N147" i="3"/>
  <c r="P135" i="3"/>
  <c r="O135" i="3"/>
  <c r="N135" i="3"/>
  <c r="P123" i="3"/>
  <c r="O123" i="3"/>
  <c r="N123" i="3"/>
  <c r="P111" i="3"/>
  <c r="O111" i="3"/>
  <c r="N111" i="3"/>
  <c r="P99" i="3"/>
  <c r="O99" i="3"/>
  <c r="N99" i="3"/>
  <c r="P87" i="3"/>
  <c r="O87" i="3"/>
  <c r="N87" i="3"/>
  <c r="P75" i="3"/>
  <c r="O75" i="3"/>
  <c r="N75" i="3"/>
  <c r="P63" i="3"/>
  <c r="O63" i="3"/>
  <c r="N63" i="3"/>
  <c r="P51" i="3"/>
  <c r="O51" i="3"/>
  <c r="N51" i="3"/>
  <c r="P39" i="3"/>
  <c r="O39" i="3"/>
  <c r="N39" i="3"/>
  <c r="P27" i="3"/>
  <c r="O27" i="3"/>
  <c r="N27" i="3"/>
  <c r="P15" i="3"/>
  <c r="O15" i="3"/>
  <c r="N15" i="3"/>
  <c r="K1124" i="3"/>
  <c r="K991" i="3"/>
  <c r="K859" i="3"/>
  <c r="K666" i="3"/>
  <c r="K570" i="3"/>
  <c r="K330" i="3"/>
  <c r="K42" i="3"/>
  <c r="I1211" i="3"/>
  <c r="I1127" i="3"/>
  <c r="I1043" i="3"/>
  <c r="I947" i="3"/>
  <c r="I851" i="3"/>
  <c r="I743" i="3"/>
  <c r="I515" i="3"/>
  <c r="K1207" i="3"/>
  <c r="K918" i="3"/>
  <c r="I1174" i="3"/>
  <c r="K1277" i="3"/>
  <c r="K1217" i="3"/>
  <c r="K1181" i="3"/>
  <c r="K1133" i="3"/>
  <c r="K1073" i="3"/>
  <c r="K1049" i="3"/>
  <c r="K964" i="3"/>
  <c r="K940" i="3"/>
  <c r="K892" i="3"/>
  <c r="K1232" i="3"/>
  <c r="K1136" i="3"/>
  <c r="K1100" i="3"/>
  <c r="K1004" i="3"/>
  <c r="K967" i="3"/>
  <c r="K871" i="3"/>
  <c r="K762" i="3"/>
  <c r="K726" i="3"/>
  <c r="K654" i="3"/>
  <c r="K642" i="3"/>
  <c r="K594" i="3"/>
  <c r="K534" i="3"/>
  <c r="K486" i="3"/>
  <c r="K414" i="3"/>
  <c r="K234" i="3"/>
  <c r="K868" i="3"/>
  <c r="K54" i="3"/>
  <c r="I1271" i="3"/>
  <c r="I1103" i="3"/>
  <c r="I1019" i="3"/>
  <c r="I911" i="3"/>
  <c r="I791" i="3"/>
  <c r="I503" i="3"/>
  <c r="K1219" i="3"/>
  <c r="K1123" i="3"/>
  <c r="K1039" i="3"/>
  <c r="K966" i="3"/>
  <c r="K870" i="3"/>
  <c r="K810" i="3"/>
  <c r="K713" i="3"/>
  <c r="K509" i="3"/>
  <c r="I1138" i="3"/>
  <c r="K624" i="3"/>
  <c r="K907" i="3"/>
  <c r="K66" i="3"/>
  <c r="I1223" i="3"/>
  <c r="I1151" i="3"/>
  <c r="I983" i="3"/>
  <c r="I839" i="3"/>
  <c r="I467" i="3"/>
  <c r="K1231" i="3"/>
  <c r="K1147" i="3"/>
  <c r="K1063" i="3"/>
  <c r="K990" i="3"/>
  <c r="K930" i="3"/>
  <c r="K858" i="3"/>
  <c r="K798" i="3"/>
  <c r="K749" i="3"/>
  <c r="K689" i="3"/>
  <c r="K617" i="3"/>
  <c r="K533" i="3"/>
  <c r="K437" i="3"/>
  <c r="K353" i="3"/>
  <c r="K305" i="3"/>
  <c r="K197" i="3"/>
  <c r="K89" i="3"/>
  <c r="I1090" i="3"/>
  <c r="K1237" i="3"/>
  <c r="K823" i="3"/>
  <c r="K1159" i="3"/>
  <c r="I1126" i="3"/>
  <c r="K1265" i="3"/>
  <c r="K1241" i="3"/>
  <c r="K1169" i="3"/>
  <c r="K1109" i="3"/>
  <c r="K1061" i="3"/>
  <c r="K1013" i="3"/>
  <c r="K952" i="3"/>
  <c r="K916" i="3"/>
  <c r="K1286" i="3"/>
  <c r="K1238" i="3"/>
  <c r="K1202" i="3"/>
  <c r="K1190" i="3"/>
  <c r="K1154" i="3"/>
  <c r="K1094" i="3"/>
  <c r="K1058" i="3"/>
  <c r="K997" i="3"/>
  <c r="K949" i="3"/>
  <c r="K901" i="3"/>
  <c r="K792" i="3"/>
  <c r="K1225" i="3"/>
  <c r="K1220" i="3"/>
  <c r="K1160" i="3"/>
  <c r="K1064" i="3"/>
  <c r="K1040" i="3"/>
  <c r="K931" i="3"/>
  <c r="K883" i="3"/>
  <c r="K786" i="3"/>
  <c r="K738" i="3"/>
  <c r="K690" i="3"/>
  <c r="K630" i="3"/>
  <c r="K582" i="3"/>
  <c r="K522" i="3"/>
  <c r="K474" i="3"/>
  <c r="K426" i="3"/>
  <c r="K390" i="3"/>
  <c r="K342" i="3"/>
  <c r="K258" i="3"/>
  <c r="K198" i="3"/>
  <c r="K150" i="3"/>
  <c r="K90" i="3"/>
  <c r="K18" i="3"/>
  <c r="I1247" i="3"/>
  <c r="I1199" i="3"/>
  <c r="I1163" i="3"/>
  <c r="I1079" i="3"/>
  <c r="I1067" i="3"/>
  <c r="I1031" i="3"/>
  <c r="I995" i="3"/>
  <c r="I935" i="3"/>
  <c r="I875" i="3"/>
  <c r="I815" i="3"/>
  <c r="I767" i="3"/>
  <c r="I719" i="3"/>
  <c r="I671" i="3"/>
  <c r="I599" i="3"/>
  <c r="I491" i="3"/>
  <c r="K1291" i="3"/>
  <c r="K1243" i="3"/>
  <c r="K1183" i="3"/>
  <c r="K1111" i="3"/>
  <c r="K1051" i="3"/>
  <c r="K1015" i="3"/>
  <c r="K954" i="3"/>
  <c r="K882" i="3"/>
  <c r="K834" i="3"/>
  <c r="K785" i="3"/>
  <c r="K725" i="3"/>
  <c r="K701" i="3"/>
  <c r="K641" i="3"/>
  <c r="K605" i="3"/>
  <c r="K557" i="3"/>
  <c r="K497" i="3"/>
  <c r="K449" i="3"/>
  <c r="K389" i="3"/>
  <c r="K329" i="3"/>
  <c r="K281" i="3"/>
  <c r="K233" i="3"/>
  <c r="K173" i="3"/>
  <c r="K137" i="3"/>
  <c r="K101" i="3"/>
  <c r="K53" i="3"/>
  <c r="K29" i="3"/>
  <c r="I1294" i="3"/>
  <c r="I1234" i="3"/>
  <c r="I1042" i="3"/>
  <c r="K1229" i="3"/>
  <c r="K1193" i="3"/>
  <c r="K1145" i="3"/>
  <c r="K1121" i="3"/>
  <c r="K1085" i="3"/>
  <c r="K1025" i="3"/>
  <c r="K976" i="3"/>
  <c r="K904" i="3"/>
  <c r="K1250" i="3"/>
  <c r="K1214" i="3"/>
  <c r="K1178" i="3"/>
  <c r="K1142" i="3"/>
  <c r="K1118" i="3"/>
  <c r="K1082" i="3"/>
  <c r="K1046" i="3"/>
  <c r="K1022" i="3"/>
  <c r="K985" i="3"/>
  <c r="K961" i="3"/>
  <c r="K925" i="3"/>
  <c r="K889" i="3"/>
  <c r="K853" i="3"/>
  <c r="K829" i="3"/>
  <c r="K817" i="3"/>
  <c r="K780" i="3"/>
  <c r="K756" i="3"/>
  <c r="K708" i="3"/>
  <c r="K684" i="3"/>
  <c r="K660" i="3"/>
  <c r="K648" i="3"/>
  <c r="K1297" i="3"/>
  <c r="K1261" i="3"/>
  <c r="K1208" i="3"/>
  <c r="K1172" i="3"/>
  <c r="K1088" i="3"/>
  <c r="K1016" i="3"/>
  <c r="K955" i="3"/>
  <c r="K835" i="3"/>
  <c r="K774" i="3"/>
  <c r="K750" i="3"/>
  <c r="K678" i="3"/>
  <c r="K618" i="3"/>
  <c r="K606" i="3"/>
  <c r="K510" i="3"/>
  <c r="K498" i="3"/>
  <c r="K438" i="3"/>
  <c r="K366" i="3"/>
  <c r="K282" i="3"/>
  <c r="K186" i="3"/>
  <c r="K138" i="3"/>
  <c r="K102" i="3"/>
  <c r="K6" i="3"/>
  <c r="I1259" i="3"/>
  <c r="I1187" i="3"/>
  <c r="I1175" i="3"/>
  <c r="I1091" i="3"/>
  <c r="I1055" i="3"/>
  <c r="I971" i="3"/>
  <c r="I887" i="3"/>
  <c r="I827" i="3"/>
  <c r="I755" i="3"/>
  <c r="I707" i="3"/>
  <c r="I695" i="3"/>
  <c r="I683" i="3"/>
  <c r="I611" i="3"/>
  <c r="I455" i="3"/>
  <c r="K1255" i="3"/>
  <c r="K1195" i="3"/>
  <c r="K1135" i="3"/>
  <c r="K1075" i="3"/>
  <c r="K1027" i="3"/>
  <c r="K978" i="3"/>
  <c r="K942" i="3"/>
  <c r="K894" i="3"/>
  <c r="K846" i="3"/>
  <c r="K773" i="3"/>
  <c r="K737" i="3"/>
  <c r="K665" i="3"/>
  <c r="K593" i="3"/>
  <c r="K545" i="3"/>
  <c r="K473" i="3"/>
  <c r="K425" i="3"/>
  <c r="K377" i="3"/>
  <c r="K293" i="3"/>
  <c r="K209" i="3"/>
  <c r="K41" i="3"/>
  <c r="K1289" i="3"/>
  <c r="K1253" i="3"/>
  <c r="K1205" i="3"/>
  <c r="K1157" i="3"/>
  <c r="K1097" i="3"/>
  <c r="K1037" i="3"/>
  <c r="K1001" i="3"/>
  <c r="K988" i="3"/>
  <c r="K928" i="3"/>
  <c r="K1298" i="3"/>
  <c r="K1274" i="3"/>
  <c r="K1262" i="3"/>
  <c r="K1226" i="3"/>
  <c r="K1166" i="3"/>
  <c r="K1130" i="3"/>
  <c r="K1106" i="3"/>
  <c r="K1070" i="3"/>
  <c r="K1034" i="3"/>
  <c r="K1010" i="3"/>
  <c r="K973" i="3"/>
  <c r="K937" i="3"/>
  <c r="K913" i="3"/>
  <c r="K877" i="3"/>
  <c r="K865" i="3"/>
  <c r="K841" i="3"/>
  <c r="K805" i="3"/>
  <c r="K768" i="3"/>
  <c r="K744" i="3"/>
  <c r="K732" i="3"/>
  <c r="K720" i="3"/>
  <c r="K696" i="3"/>
  <c r="K672" i="3"/>
  <c r="K636" i="3"/>
  <c r="K1285" i="3"/>
  <c r="K1273" i="3"/>
  <c r="K1249" i="3"/>
  <c r="K1244" i="3"/>
  <c r="K1148" i="3"/>
  <c r="K1076" i="3"/>
  <c r="K1028" i="3"/>
  <c r="K943" i="3"/>
  <c r="K847" i="3"/>
  <c r="K799" i="3"/>
  <c r="K714" i="3"/>
  <c r="K546" i="3"/>
  <c r="K462" i="3"/>
  <c r="K450" i="3"/>
  <c r="K378" i="3"/>
  <c r="K354" i="3"/>
  <c r="K246" i="3"/>
  <c r="K210" i="3"/>
  <c r="K126" i="3"/>
  <c r="K1279" i="3"/>
  <c r="K653" i="3"/>
  <c r="K629" i="3"/>
  <c r="K581" i="3"/>
  <c r="K521" i="3"/>
  <c r="K461" i="3"/>
  <c r="K401" i="3"/>
  <c r="K365" i="3"/>
  <c r="K317" i="3"/>
  <c r="K257" i="3"/>
  <c r="K245" i="3"/>
  <c r="K185" i="3"/>
  <c r="K149" i="3"/>
  <c r="K125" i="3"/>
  <c r="K77" i="3"/>
  <c r="K5" i="3"/>
  <c r="I1270" i="3"/>
  <c r="I1246" i="3"/>
  <c r="I1222" i="3"/>
  <c r="I1198" i="3"/>
  <c r="I1162" i="3"/>
  <c r="I1114" i="3"/>
  <c r="I1054" i="3"/>
  <c r="K1293" i="3"/>
  <c r="K1281" i="3"/>
  <c r="K1269" i="3"/>
  <c r="K1257" i="3"/>
  <c r="K1245" i="3"/>
  <c r="K1233" i="3"/>
  <c r="K1221" i="3"/>
  <c r="K1209" i="3"/>
  <c r="K1197" i="3"/>
  <c r="K1185" i="3"/>
  <c r="K1173" i="3"/>
  <c r="K1161" i="3"/>
  <c r="K1149" i="3"/>
  <c r="K1137" i="3"/>
  <c r="K1125" i="3"/>
  <c r="K1113" i="3"/>
  <c r="K1101" i="3"/>
  <c r="K1089" i="3"/>
  <c r="K1077" i="3"/>
  <c r="K1065" i="3"/>
  <c r="K1053" i="3"/>
  <c r="K1041" i="3"/>
  <c r="K1029" i="3"/>
  <c r="K1017" i="3"/>
  <c r="K1005" i="3"/>
  <c r="K992" i="3"/>
  <c r="K980" i="3"/>
  <c r="K968" i="3"/>
  <c r="K956" i="3"/>
  <c r="K944" i="3"/>
  <c r="K932" i="3"/>
  <c r="K920" i="3"/>
  <c r="K908" i="3"/>
  <c r="K896" i="3"/>
  <c r="K884" i="3"/>
  <c r="K872" i="3"/>
  <c r="K860" i="3"/>
  <c r="K848" i="3"/>
  <c r="K836" i="3"/>
  <c r="K824" i="3"/>
  <c r="K812" i="3"/>
  <c r="K800" i="3"/>
  <c r="K787" i="3"/>
  <c r="K775" i="3"/>
  <c r="K763" i="3"/>
  <c r="K751" i="3"/>
  <c r="K739" i="3"/>
  <c r="K727" i="3"/>
  <c r="K715" i="3"/>
  <c r="K703" i="3"/>
  <c r="K691" i="3"/>
  <c r="K679" i="3"/>
  <c r="K667" i="3"/>
  <c r="K655" i="3"/>
  <c r="K643" i="3"/>
  <c r="K631" i="3"/>
  <c r="K619" i="3"/>
  <c r="K607" i="3"/>
  <c r="K595" i="3"/>
  <c r="K583" i="3"/>
  <c r="K571" i="3"/>
  <c r="K559" i="3"/>
  <c r="K547" i="3"/>
  <c r="K535" i="3"/>
  <c r="K523" i="3"/>
  <c r="K511" i="3"/>
  <c r="K499" i="3"/>
  <c r="K487" i="3"/>
  <c r="K475" i="3"/>
  <c r="K463" i="3"/>
  <c r="K451" i="3"/>
  <c r="K439" i="3"/>
  <c r="K174" i="3"/>
  <c r="K78" i="3"/>
  <c r="I1283" i="3"/>
  <c r="I1115" i="3"/>
  <c r="I959" i="3"/>
  <c r="I863" i="3"/>
  <c r="I779" i="3"/>
  <c r="I731" i="3"/>
  <c r="I659" i="3"/>
  <c r="I587" i="3"/>
  <c r="I575" i="3"/>
  <c r="I563" i="3"/>
  <c r="I551" i="3"/>
  <c r="I539" i="3"/>
  <c r="I479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K1052" i="3"/>
  <c r="K919" i="3"/>
  <c r="K811" i="3"/>
  <c r="K702" i="3"/>
  <c r="K558" i="3"/>
  <c r="K402" i="3"/>
  <c r="K294" i="3"/>
  <c r="K162" i="3"/>
  <c r="K114" i="3"/>
  <c r="K30" i="3"/>
  <c r="I1235" i="3"/>
  <c r="I1139" i="3"/>
  <c r="I1007" i="3"/>
  <c r="I923" i="3"/>
  <c r="I803" i="3"/>
  <c r="I527" i="3"/>
  <c r="K1267" i="3"/>
  <c r="K1171" i="3"/>
  <c r="K1087" i="3"/>
  <c r="K1003" i="3"/>
  <c r="K906" i="3"/>
  <c r="K822" i="3"/>
  <c r="K761" i="3"/>
  <c r="K677" i="3"/>
  <c r="K569" i="3"/>
  <c r="K485" i="3"/>
  <c r="K413" i="3"/>
  <c r="K341" i="3"/>
  <c r="K269" i="3"/>
  <c r="K221" i="3"/>
  <c r="K161" i="3"/>
  <c r="K113" i="3"/>
  <c r="K65" i="3"/>
  <c r="K17" i="3"/>
  <c r="I1282" i="3"/>
  <c r="I1258" i="3"/>
  <c r="I1210" i="3"/>
  <c r="I1186" i="3"/>
  <c r="I1102" i="3"/>
  <c r="I1078" i="3"/>
  <c r="I1066" i="3"/>
  <c r="I1030" i="3"/>
  <c r="K1099" i="3"/>
  <c r="I1150" i="3"/>
  <c r="K1290" i="3"/>
  <c r="K1278" i="3"/>
  <c r="K1266" i="3"/>
  <c r="K1254" i="3"/>
  <c r="K1242" i="3"/>
  <c r="K1230" i="3"/>
  <c r="K1218" i="3"/>
  <c r="K519" i="3"/>
  <c r="K856" i="3"/>
  <c r="K832" i="3"/>
  <c r="K808" i="3"/>
  <c r="K783" i="3"/>
  <c r="K759" i="3"/>
  <c r="K735" i="3"/>
  <c r="K711" i="3"/>
  <c r="K687" i="3"/>
  <c r="K663" i="3"/>
  <c r="K639" i="3"/>
  <c r="K615" i="3"/>
  <c r="K591" i="3"/>
  <c r="K567" i="3"/>
  <c r="K555" i="3"/>
  <c r="K531" i="3"/>
  <c r="K1288" i="3"/>
  <c r="K1264" i="3"/>
  <c r="K1240" i="3"/>
  <c r="K1216" i="3"/>
  <c r="K1192" i="3"/>
  <c r="K1168" i="3"/>
  <c r="K1156" i="3"/>
  <c r="K1144" i="3"/>
  <c r="K1132" i="3"/>
  <c r="K1120" i="3"/>
  <c r="K1108" i="3"/>
  <c r="K1096" i="3"/>
  <c r="K1084" i="3"/>
  <c r="K1072" i="3"/>
  <c r="K1060" i="3"/>
  <c r="K1048" i="3"/>
  <c r="K1036" i="3"/>
  <c r="K1024" i="3"/>
  <c r="K1012" i="3"/>
  <c r="K1000" i="3"/>
  <c r="K987" i="3"/>
  <c r="K975" i="3"/>
  <c r="K963" i="3"/>
  <c r="K951" i="3"/>
  <c r="K939" i="3"/>
  <c r="K927" i="3"/>
  <c r="K915" i="3"/>
  <c r="K903" i="3"/>
  <c r="K891" i="3"/>
  <c r="K879" i="3"/>
  <c r="K867" i="3"/>
  <c r="K855" i="3"/>
  <c r="K843" i="3"/>
  <c r="K831" i="3"/>
  <c r="K819" i="3"/>
  <c r="K807" i="3"/>
  <c r="K795" i="3"/>
  <c r="K782" i="3"/>
  <c r="K770" i="3"/>
  <c r="K758" i="3"/>
  <c r="K746" i="3"/>
  <c r="K734" i="3"/>
  <c r="K722" i="3"/>
  <c r="K710" i="3"/>
  <c r="K698" i="3"/>
  <c r="K686" i="3"/>
  <c r="K674" i="3"/>
  <c r="K662" i="3"/>
  <c r="K650" i="3"/>
  <c r="K638" i="3"/>
  <c r="K626" i="3"/>
  <c r="K844" i="3"/>
  <c r="K820" i="3"/>
  <c r="K796" i="3"/>
  <c r="K771" i="3"/>
  <c r="K747" i="3"/>
  <c r="K723" i="3"/>
  <c r="K699" i="3"/>
  <c r="K675" i="3"/>
  <c r="K651" i="3"/>
  <c r="K627" i="3"/>
  <c r="K603" i="3"/>
  <c r="K579" i="3"/>
  <c r="K543" i="3"/>
  <c r="K1300" i="3"/>
  <c r="K1276" i="3"/>
  <c r="K1252" i="3"/>
  <c r="K1228" i="3"/>
  <c r="K1204" i="3"/>
  <c r="K1180" i="3"/>
  <c r="K1299" i="3"/>
  <c r="K1287" i="3"/>
  <c r="K1275" i="3"/>
  <c r="K1263" i="3"/>
  <c r="K1251" i="3"/>
  <c r="K1239" i="3"/>
  <c r="K1227" i="3"/>
  <c r="K1215" i="3"/>
  <c r="K1203" i="3"/>
  <c r="K1191" i="3"/>
  <c r="K1179" i="3"/>
  <c r="K1167" i="3"/>
  <c r="K1155" i="3"/>
  <c r="K1143" i="3"/>
  <c r="K1131" i="3"/>
  <c r="K1119" i="3"/>
  <c r="K1107" i="3"/>
  <c r="K1095" i="3"/>
  <c r="K1083" i="3"/>
  <c r="K1071" i="3"/>
  <c r="K1059" i="3"/>
  <c r="K1047" i="3"/>
  <c r="K1035" i="3"/>
  <c r="K1023" i="3"/>
  <c r="K1011" i="3"/>
  <c r="K999" i="3"/>
  <c r="K986" i="3"/>
  <c r="K974" i="3"/>
  <c r="K962" i="3"/>
  <c r="K950" i="3"/>
  <c r="K938" i="3"/>
  <c r="K926" i="3"/>
  <c r="K914" i="3"/>
  <c r="K902" i="3"/>
  <c r="K890" i="3"/>
  <c r="K878" i="3"/>
  <c r="K866" i="3"/>
  <c r="K854" i="3"/>
  <c r="K842" i="3"/>
  <c r="K830" i="3"/>
  <c r="K818" i="3"/>
  <c r="K806" i="3"/>
  <c r="K793" i="3"/>
  <c r="K781" i="3"/>
  <c r="K769" i="3"/>
  <c r="K757" i="3"/>
  <c r="K745" i="3"/>
  <c r="K733" i="3"/>
  <c r="K721" i="3"/>
  <c r="K709" i="3"/>
  <c r="K697" i="3"/>
  <c r="K685" i="3"/>
  <c r="K673" i="3"/>
  <c r="K661" i="3"/>
  <c r="K649" i="3"/>
  <c r="K637" i="3"/>
  <c r="K625" i="3"/>
  <c r="K613" i="3"/>
  <c r="K601" i="3"/>
  <c r="K589" i="3"/>
  <c r="K577" i="3"/>
  <c r="K565" i="3"/>
  <c r="K553" i="3"/>
  <c r="K541" i="3"/>
  <c r="K529" i="3"/>
  <c r="K517" i="3"/>
  <c r="K612" i="3"/>
  <c r="K600" i="3"/>
  <c r="K588" i="3"/>
  <c r="K576" i="3"/>
  <c r="K564" i="3"/>
  <c r="K552" i="3"/>
  <c r="K540" i="3"/>
  <c r="K528" i="3"/>
  <c r="K516" i="3"/>
  <c r="K504" i="3"/>
  <c r="K492" i="3"/>
  <c r="K480" i="3"/>
  <c r="K468" i="3"/>
  <c r="K456" i="3"/>
  <c r="K444" i="3"/>
  <c r="K432" i="3"/>
  <c r="K420" i="3"/>
  <c r="K408" i="3"/>
  <c r="K396" i="3"/>
  <c r="K384" i="3"/>
  <c r="K372" i="3"/>
  <c r="K360" i="3"/>
  <c r="K348" i="3"/>
  <c r="K336" i="3"/>
  <c r="K324" i="3"/>
  <c r="K312" i="3"/>
  <c r="K300" i="3"/>
  <c r="K288" i="3"/>
  <c r="K276" i="3"/>
  <c r="K264" i="3"/>
  <c r="K252" i="3"/>
  <c r="K240" i="3"/>
  <c r="K228" i="3"/>
  <c r="K216" i="3"/>
  <c r="K204" i="3"/>
  <c r="K192" i="3"/>
  <c r="K180" i="3"/>
  <c r="K168" i="3"/>
  <c r="K156" i="3"/>
  <c r="K144" i="3"/>
  <c r="K132" i="3"/>
  <c r="K120" i="3"/>
  <c r="K108" i="3"/>
  <c r="K96" i="3"/>
  <c r="K84" i="3"/>
  <c r="K72" i="3"/>
  <c r="K60" i="3"/>
  <c r="K48" i="3"/>
  <c r="K36" i="3"/>
  <c r="K24" i="3"/>
  <c r="K12" i="3"/>
  <c r="I1289" i="3"/>
  <c r="I1277" i="3"/>
  <c r="I1265" i="3"/>
  <c r="I1253" i="3"/>
  <c r="I1241" i="3"/>
  <c r="I1229" i="3"/>
  <c r="I1217" i="3"/>
  <c r="K1201" i="3"/>
  <c r="K1189" i="3"/>
  <c r="K1177" i="3"/>
  <c r="K1165" i="3"/>
  <c r="K1153" i="3"/>
  <c r="K1141" i="3"/>
  <c r="K1129" i="3"/>
  <c r="K1117" i="3"/>
  <c r="K1105" i="3"/>
  <c r="K1093" i="3"/>
  <c r="K1081" i="3"/>
  <c r="K1069" i="3"/>
  <c r="K1057" i="3"/>
  <c r="K1045" i="3"/>
  <c r="K1033" i="3"/>
  <c r="K1021" i="3"/>
  <c r="K1009" i="3"/>
  <c r="K996" i="3"/>
  <c r="K984" i="3"/>
  <c r="K972" i="3"/>
  <c r="K960" i="3"/>
  <c r="K948" i="3"/>
  <c r="K936" i="3"/>
  <c r="K924" i="3"/>
  <c r="K912" i="3"/>
  <c r="K900" i="3"/>
  <c r="K888" i="3"/>
  <c r="K876" i="3"/>
  <c r="K864" i="3"/>
  <c r="K852" i="3"/>
  <c r="K840" i="3"/>
  <c r="K828" i="3"/>
  <c r="K816" i="3"/>
  <c r="K804" i="3"/>
  <c r="K791" i="3"/>
  <c r="K779" i="3"/>
  <c r="K767" i="3"/>
  <c r="K755" i="3"/>
  <c r="K743" i="3"/>
  <c r="K731" i="3"/>
  <c r="K719" i="3"/>
  <c r="K707" i="3"/>
  <c r="K695" i="3"/>
  <c r="K683" i="3"/>
  <c r="K671" i="3"/>
  <c r="K659" i="3"/>
  <c r="K647" i="3"/>
  <c r="K635" i="3"/>
  <c r="K623" i="3"/>
  <c r="K611" i="3"/>
  <c r="K599" i="3"/>
  <c r="K587" i="3"/>
  <c r="K575" i="3"/>
  <c r="K563" i="3"/>
  <c r="K551" i="3"/>
  <c r="K539" i="3"/>
  <c r="K527" i="3"/>
  <c r="K515" i="3"/>
  <c r="K503" i="3"/>
  <c r="K491" i="3"/>
  <c r="K479" i="3"/>
  <c r="K467" i="3"/>
  <c r="K455" i="3"/>
  <c r="K443" i="3"/>
  <c r="K431" i="3"/>
  <c r="K419" i="3"/>
  <c r="K1284" i="3"/>
  <c r="K1248" i="3"/>
  <c r="K1224" i="3"/>
  <c r="K1188" i="3"/>
  <c r="K1164" i="3"/>
  <c r="K1140" i="3"/>
  <c r="K1116" i="3"/>
  <c r="K1104" i="3"/>
  <c r="K1092" i="3"/>
  <c r="K1068" i="3"/>
  <c r="K1044" i="3"/>
  <c r="K1020" i="3"/>
  <c r="K995" i="3"/>
  <c r="K971" i="3"/>
  <c r="K947" i="3"/>
  <c r="K923" i="3"/>
  <c r="K899" i="3"/>
  <c r="K875" i="3"/>
  <c r="K851" i="3"/>
  <c r="K827" i="3"/>
  <c r="K803" i="3"/>
  <c r="K778" i="3"/>
  <c r="K754" i="3"/>
  <c r="K718" i="3"/>
  <c r="K694" i="3"/>
  <c r="K670" i="3"/>
  <c r="K646" i="3"/>
  <c r="K622" i="3"/>
  <c r="K598" i="3"/>
  <c r="K574" i="3"/>
  <c r="K550" i="3"/>
  <c r="K526" i="3"/>
  <c r="K502" i="3"/>
  <c r="K478" i="3"/>
  <c r="K454" i="3"/>
  <c r="K442" i="3"/>
  <c r="K430" i="3"/>
  <c r="K418" i="3"/>
  <c r="K406" i="3"/>
  <c r="K394" i="3"/>
  <c r="K382" i="3"/>
  <c r="K370" i="3"/>
  <c r="K346" i="3"/>
  <c r="K334" i="3"/>
  <c r="K322" i="3"/>
  <c r="K310" i="3"/>
  <c r="K298" i="3"/>
  <c r="K286" i="3"/>
  <c r="K274" i="3"/>
  <c r="K262" i="3"/>
  <c r="K250" i="3"/>
  <c r="K238" i="3"/>
  <c r="K226" i="3"/>
  <c r="K214" i="3"/>
  <c r="K202" i="3"/>
  <c r="K190" i="3"/>
  <c r="K178" i="3"/>
  <c r="K166" i="3"/>
  <c r="K154" i="3"/>
  <c r="K142" i="3"/>
  <c r="K130" i="3"/>
  <c r="K118" i="3"/>
  <c r="K106" i="3"/>
  <c r="K94" i="3"/>
  <c r="K82" i="3"/>
  <c r="K70" i="3"/>
  <c r="K58" i="3"/>
  <c r="K46" i="3"/>
  <c r="K34" i="3"/>
  <c r="K22" i="3"/>
  <c r="K10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K1213" i="3"/>
  <c r="K1272" i="3"/>
  <c r="K1236" i="3"/>
  <c r="K1200" i="3"/>
  <c r="K1176" i="3"/>
  <c r="K1152" i="3"/>
  <c r="K1128" i="3"/>
  <c r="K1080" i="3"/>
  <c r="K1056" i="3"/>
  <c r="K1032" i="3"/>
  <c r="K1008" i="3"/>
  <c r="K983" i="3"/>
  <c r="K959" i="3"/>
  <c r="K935" i="3"/>
  <c r="K911" i="3"/>
  <c r="K887" i="3"/>
  <c r="K863" i="3"/>
  <c r="K839" i="3"/>
  <c r="K815" i="3"/>
  <c r="K790" i="3"/>
  <c r="K766" i="3"/>
  <c r="K742" i="3"/>
  <c r="K730" i="3"/>
  <c r="K706" i="3"/>
  <c r="K682" i="3"/>
  <c r="K658" i="3"/>
  <c r="K634" i="3"/>
  <c r="K610" i="3"/>
  <c r="K586" i="3"/>
  <c r="K562" i="3"/>
  <c r="K538" i="3"/>
  <c r="K514" i="3"/>
  <c r="K490" i="3"/>
  <c r="K466" i="3"/>
  <c r="K358" i="3"/>
  <c r="K1295" i="3"/>
  <c r="K1283" i="3"/>
  <c r="K1271" i="3"/>
  <c r="K1259" i="3"/>
  <c r="K1247" i="3"/>
  <c r="K1235" i="3"/>
  <c r="K1223" i="3"/>
  <c r="K1211" i="3"/>
  <c r="K1199" i="3"/>
  <c r="K1187" i="3"/>
  <c r="K1175" i="3"/>
  <c r="K1163" i="3"/>
  <c r="K1151" i="3"/>
  <c r="K1139" i="3"/>
  <c r="K1127" i="3"/>
  <c r="K1115" i="3"/>
  <c r="K1103" i="3"/>
  <c r="K1091" i="3"/>
  <c r="K1079" i="3"/>
  <c r="K1067" i="3"/>
  <c r="K1055" i="3"/>
  <c r="K1043" i="3"/>
  <c r="K1031" i="3"/>
  <c r="K1019" i="3"/>
  <c r="K1007" i="3"/>
  <c r="K994" i="3"/>
  <c r="K982" i="3"/>
  <c r="K970" i="3"/>
  <c r="K958" i="3"/>
  <c r="K946" i="3"/>
  <c r="K934" i="3"/>
  <c r="K922" i="3"/>
  <c r="K910" i="3"/>
  <c r="K898" i="3"/>
  <c r="K886" i="3"/>
  <c r="K874" i="3"/>
  <c r="K862" i="3"/>
  <c r="K850" i="3"/>
  <c r="K838" i="3"/>
  <c r="K826" i="3"/>
  <c r="K814" i="3"/>
  <c r="K802" i="3"/>
  <c r="K789" i="3"/>
  <c r="K777" i="3"/>
  <c r="K765" i="3"/>
  <c r="K753" i="3"/>
  <c r="K741" i="3"/>
  <c r="K729" i="3"/>
  <c r="K717" i="3"/>
  <c r="K705" i="3"/>
  <c r="K693" i="3"/>
  <c r="K681" i="3"/>
  <c r="K669" i="3"/>
  <c r="K657" i="3"/>
  <c r="K645" i="3"/>
  <c r="K1296" i="3"/>
  <c r="K1260" i="3"/>
  <c r="K1212" i="3"/>
  <c r="K1294" i="3"/>
  <c r="K1282" i="3"/>
  <c r="K1270" i="3"/>
  <c r="K1258" i="3"/>
  <c r="K1246" i="3"/>
  <c r="K1234" i="3"/>
  <c r="K1222" i="3"/>
  <c r="K1210" i="3"/>
  <c r="K1198" i="3"/>
  <c r="K1186" i="3"/>
  <c r="K1174" i="3"/>
  <c r="K1162" i="3"/>
  <c r="K1150" i="3"/>
  <c r="K1138" i="3"/>
  <c r="K1126" i="3"/>
  <c r="K1114" i="3"/>
  <c r="K1102" i="3"/>
  <c r="K1090" i="3"/>
  <c r="K1078" i="3"/>
  <c r="K1066" i="3"/>
  <c r="K1054" i="3"/>
  <c r="K1042" i="3"/>
  <c r="K1030" i="3"/>
  <c r="K1018" i="3"/>
  <c r="K1006" i="3"/>
  <c r="K993" i="3"/>
  <c r="K981" i="3"/>
  <c r="K969" i="3"/>
  <c r="K957" i="3"/>
  <c r="K945" i="3"/>
  <c r="K933" i="3"/>
  <c r="K921" i="3"/>
  <c r="K909" i="3"/>
  <c r="K897" i="3"/>
  <c r="K885" i="3"/>
  <c r="K873" i="3"/>
  <c r="K861" i="3"/>
  <c r="K849" i="3"/>
  <c r="K837" i="3"/>
  <c r="K825" i="3"/>
  <c r="K813" i="3"/>
  <c r="K801" i="3"/>
  <c r="K788" i="3"/>
  <c r="K776" i="3"/>
  <c r="K764" i="3"/>
  <c r="K752" i="3"/>
  <c r="K740" i="3"/>
  <c r="K728" i="3"/>
  <c r="K716" i="3"/>
  <c r="K704" i="3"/>
  <c r="K692" i="3"/>
  <c r="K680" i="3"/>
  <c r="K668" i="3"/>
  <c r="K656" i="3"/>
  <c r="K644" i="3"/>
  <c r="K632" i="3"/>
  <c r="K620" i="3"/>
  <c r="K608" i="3"/>
  <c r="K596" i="3"/>
  <c r="K584" i="3"/>
  <c r="K572" i="3"/>
  <c r="K560" i="3"/>
  <c r="K548" i="3"/>
  <c r="K536" i="3"/>
  <c r="K524" i="3"/>
  <c r="K512" i="3"/>
  <c r="K500" i="3"/>
  <c r="K488" i="3"/>
  <c r="K476" i="3"/>
  <c r="K464" i="3"/>
  <c r="K452" i="3"/>
  <c r="K440" i="3"/>
  <c r="K428" i="3"/>
  <c r="K416" i="3"/>
  <c r="K404" i="3"/>
  <c r="K392" i="3"/>
  <c r="K380" i="3"/>
  <c r="K368" i="3"/>
  <c r="K356" i="3"/>
  <c r="K427" i="3"/>
  <c r="K415" i="3"/>
  <c r="K403" i="3"/>
  <c r="K391" i="3"/>
  <c r="K379" i="3"/>
  <c r="K367" i="3"/>
  <c r="K355" i="3"/>
  <c r="K343" i="3"/>
  <c r="K331" i="3"/>
  <c r="K319" i="3"/>
  <c r="K307" i="3"/>
  <c r="K295" i="3"/>
  <c r="K283" i="3"/>
  <c r="K271" i="3"/>
  <c r="K259" i="3"/>
  <c r="K247" i="3"/>
  <c r="K235" i="3"/>
  <c r="K223" i="3"/>
  <c r="K211" i="3"/>
  <c r="K199" i="3"/>
  <c r="K187" i="3"/>
  <c r="K175" i="3"/>
  <c r="K163" i="3"/>
  <c r="K151" i="3"/>
  <c r="K139" i="3"/>
  <c r="K127" i="3"/>
  <c r="K115" i="3"/>
  <c r="K103" i="3"/>
  <c r="K91" i="3"/>
  <c r="K79" i="3"/>
  <c r="K67" i="3"/>
  <c r="K55" i="3"/>
  <c r="K43" i="3"/>
  <c r="K31" i="3"/>
  <c r="K19" i="3"/>
  <c r="K7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K1206" i="3"/>
  <c r="K1194" i="3"/>
  <c r="K1182" i="3"/>
  <c r="K1170" i="3"/>
  <c r="K1158" i="3"/>
  <c r="K1146" i="3"/>
  <c r="K1134" i="3"/>
  <c r="K1122" i="3"/>
  <c r="K1110" i="3"/>
  <c r="K1098" i="3"/>
  <c r="K1086" i="3"/>
  <c r="K1074" i="3"/>
  <c r="K1062" i="3"/>
  <c r="K1050" i="3"/>
  <c r="K1038" i="3"/>
  <c r="K1026" i="3"/>
  <c r="K1014" i="3"/>
  <c r="K1002" i="3"/>
  <c r="K989" i="3"/>
  <c r="K977" i="3"/>
  <c r="K965" i="3"/>
  <c r="K953" i="3"/>
  <c r="K941" i="3"/>
  <c r="K929" i="3"/>
  <c r="K917" i="3"/>
  <c r="K905" i="3"/>
  <c r="K893" i="3"/>
  <c r="K881" i="3"/>
  <c r="K869" i="3"/>
  <c r="K857" i="3"/>
  <c r="K845" i="3"/>
  <c r="K833" i="3"/>
  <c r="K821" i="3"/>
  <c r="K809" i="3"/>
  <c r="K797" i="3"/>
  <c r="K784" i="3"/>
  <c r="K772" i="3"/>
  <c r="K760" i="3"/>
  <c r="K748" i="3"/>
  <c r="K736" i="3"/>
  <c r="K724" i="3"/>
  <c r="K712" i="3"/>
  <c r="K700" i="3"/>
  <c r="K688" i="3"/>
  <c r="K676" i="3"/>
  <c r="K664" i="3"/>
  <c r="K652" i="3"/>
  <c r="K640" i="3"/>
  <c r="K628" i="3"/>
  <c r="K616" i="3"/>
  <c r="K604" i="3"/>
  <c r="K592" i="3"/>
  <c r="K580" i="3"/>
  <c r="K568" i="3"/>
  <c r="K556" i="3"/>
  <c r="K544" i="3"/>
  <c r="K532" i="3"/>
  <c r="K520" i="3"/>
  <c r="K508" i="3"/>
  <c r="K496" i="3"/>
  <c r="K484" i="3"/>
  <c r="K472" i="3"/>
  <c r="K460" i="3"/>
  <c r="K448" i="3"/>
  <c r="K436" i="3"/>
  <c r="K424" i="3"/>
  <c r="K412" i="3"/>
  <c r="K400" i="3"/>
  <c r="K388" i="3"/>
  <c r="K376" i="3"/>
  <c r="K364" i="3"/>
  <c r="K352" i="3"/>
  <c r="K340" i="3"/>
  <c r="K328" i="3"/>
  <c r="K316" i="3"/>
  <c r="K304" i="3"/>
  <c r="K292" i="3"/>
  <c r="K280" i="3"/>
  <c r="K268" i="3"/>
  <c r="K507" i="3"/>
  <c r="K495" i="3"/>
  <c r="K483" i="3"/>
  <c r="K471" i="3"/>
  <c r="K459" i="3"/>
  <c r="K447" i="3"/>
  <c r="K435" i="3"/>
  <c r="K423" i="3"/>
  <c r="K411" i="3"/>
  <c r="K399" i="3"/>
  <c r="K387" i="3"/>
  <c r="K375" i="3"/>
  <c r="K363" i="3"/>
  <c r="K351" i="3"/>
  <c r="K339" i="3"/>
  <c r="K327" i="3"/>
  <c r="K315" i="3"/>
  <c r="K303" i="3"/>
  <c r="K291" i="3"/>
  <c r="K279" i="3"/>
  <c r="K267" i="3"/>
  <c r="K255" i="3"/>
  <c r="K243" i="3"/>
  <c r="K231" i="3"/>
  <c r="K219" i="3"/>
  <c r="K207" i="3"/>
  <c r="K195" i="3"/>
  <c r="K183" i="3"/>
  <c r="K171" i="3"/>
  <c r="K159" i="3"/>
  <c r="K147" i="3"/>
  <c r="K135" i="3"/>
  <c r="K123" i="3"/>
  <c r="K111" i="3"/>
  <c r="K99" i="3"/>
  <c r="K87" i="3"/>
  <c r="K75" i="3"/>
  <c r="K63" i="3"/>
  <c r="K51" i="3"/>
  <c r="K39" i="3"/>
  <c r="K27" i="3"/>
  <c r="K15" i="3"/>
  <c r="I3" i="3"/>
  <c r="E8" i="1"/>
  <c r="I2" i="3"/>
  <c r="G8" i="1" s="1"/>
  <c r="H8" i="1" s="1"/>
  <c r="F8" i="1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K614" i="3"/>
  <c r="K602" i="3"/>
  <c r="K590" i="3"/>
  <c r="K578" i="3"/>
  <c r="K566" i="3"/>
  <c r="K554" i="3"/>
  <c r="K542" i="3"/>
  <c r="K530" i="3"/>
  <c r="K518" i="3"/>
  <c r="K506" i="3"/>
  <c r="K494" i="3"/>
  <c r="K482" i="3"/>
  <c r="K470" i="3"/>
  <c r="K458" i="3"/>
  <c r="K446" i="3"/>
  <c r="K434" i="3"/>
  <c r="K422" i="3"/>
  <c r="K410" i="3"/>
  <c r="K398" i="3"/>
  <c r="K386" i="3"/>
  <c r="K374" i="3"/>
  <c r="K362" i="3"/>
  <c r="K350" i="3"/>
  <c r="K338" i="3"/>
  <c r="K326" i="3"/>
  <c r="K314" i="3"/>
  <c r="K302" i="3"/>
  <c r="K290" i="3"/>
  <c r="K278" i="3"/>
  <c r="K266" i="3"/>
  <c r="K254" i="3"/>
  <c r="K242" i="3"/>
  <c r="K230" i="3"/>
  <c r="K218" i="3"/>
  <c r="K206" i="3"/>
  <c r="K194" i="3"/>
  <c r="K182" i="3"/>
  <c r="K170" i="3"/>
  <c r="K158" i="3"/>
  <c r="K146" i="3"/>
  <c r="K134" i="3"/>
  <c r="K122" i="3"/>
  <c r="K110" i="3"/>
  <c r="K98" i="3"/>
  <c r="K86" i="3"/>
  <c r="K74" i="3"/>
  <c r="K62" i="3"/>
  <c r="K50" i="3"/>
  <c r="K38" i="3"/>
  <c r="K26" i="3"/>
  <c r="K14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K505" i="3"/>
  <c r="K493" i="3"/>
  <c r="K481" i="3"/>
  <c r="K469" i="3"/>
  <c r="K457" i="3"/>
  <c r="K445" i="3"/>
  <c r="K433" i="3"/>
  <c r="K421" i="3"/>
  <c r="K409" i="3"/>
  <c r="K397" i="3"/>
  <c r="K385" i="3"/>
  <c r="K373" i="3"/>
  <c r="K361" i="3"/>
  <c r="K349" i="3"/>
  <c r="K337" i="3"/>
  <c r="K325" i="3"/>
  <c r="K313" i="3"/>
  <c r="K301" i="3"/>
  <c r="K289" i="3"/>
  <c r="K277" i="3"/>
  <c r="K265" i="3"/>
  <c r="K253" i="3"/>
  <c r="K241" i="3"/>
  <c r="K229" i="3"/>
  <c r="K217" i="3"/>
  <c r="K205" i="3"/>
  <c r="K193" i="3"/>
  <c r="K181" i="3"/>
  <c r="K169" i="3"/>
  <c r="K157" i="3"/>
  <c r="K145" i="3"/>
  <c r="K133" i="3"/>
  <c r="K121" i="3"/>
  <c r="K109" i="3"/>
  <c r="K97" i="3"/>
  <c r="K85" i="3"/>
  <c r="K73" i="3"/>
  <c r="K61" i="3"/>
  <c r="K49" i="3"/>
  <c r="K37" i="3"/>
  <c r="K25" i="3"/>
  <c r="K13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5" i="3"/>
  <c r="K407" i="3"/>
  <c r="K395" i="3"/>
  <c r="K383" i="3"/>
  <c r="K371" i="3"/>
  <c r="K359" i="3"/>
  <c r="K347" i="3"/>
  <c r="K335" i="3"/>
  <c r="K323" i="3"/>
  <c r="K311" i="3"/>
  <c r="K299" i="3"/>
  <c r="K287" i="3"/>
  <c r="K275" i="3"/>
  <c r="K263" i="3"/>
  <c r="K251" i="3"/>
  <c r="K239" i="3"/>
  <c r="K227" i="3"/>
  <c r="K215" i="3"/>
  <c r="K203" i="3"/>
  <c r="K191" i="3"/>
  <c r="K179" i="3"/>
  <c r="K167" i="3"/>
  <c r="K155" i="3"/>
  <c r="K143" i="3"/>
  <c r="K131" i="3"/>
  <c r="K119" i="3"/>
  <c r="K107" i="3"/>
  <c r="K95" i="3"/>
  <c r="K83" i="3"/>
  <c r="K71" i="3"/>
  <c r="K59" i="3"/>
  <c r="K47" i="3"/>
  <c r="K35" i="3"/>
  <c r="K23" i="3"/>
  <c r="K11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K998" i="3"/>
  <c r="K633" i="3"/>
  <c r="K621" i="3"/>
  <c r="K609" i="3"/>
  <c r="K597" i="3"/>
  <c r="K585" i="3"/>
  <c r="K573" i="3"/>
  <c r="K561" i="3"/>
  <c r="K549" i="3"/>
  <c r="K537" i="3"/>
  <c r="K525" i="3"/>
  <c r="K513" i="3"/>
  <c r="K501" i="3"/>
  <c r="K489" i="3"/>
  <c r="K477" i="3"/>
  <c r="K465" i="3"/>
  <c r="K453" i="3"/>
  <c r="K441" i="3"/>
  <c r="K429" i="3"/>
  <c r="K417" i="3"/>
  <c r="K405" i="3"/>
  <c r="K393" i="3"/>
  <c r="K381" i="3"/>
  <c r="K369" i="3"/>
  <c r="K357" i="3"/>
  <c r="K345" i="3"/>
  <c r="K333" i="3"/>
  <c r="K321" i="3"/>
  <c r="K309" i="3"/>
  <c r="K297" i="3"/>
  <c r="K285" i="3"/>
  <c r="K273" i="3"/>
  <c r="K261" i="3"/>
  <c r="K249" i="3"/>
  <c r="K237" i="3"/>
  <c r="K225" i="3"/>
  <c r="K213" i="3"/>
  <c r="K201" i="3"/>
  <c r="K189" i="3"/>
  <c r="K177" i="3"/>
  <c r="K165" i="3"/>
  <c r="K153" i="3"/>
  <c r="K141" i="3"/>
  <c r="K129" i="3"/>
  <c r="K117" i="3"/>
  <c r="K105" i="3"/>
  <c r="K93" i="3"/>
  <c r="K81" i="3"/>
  <c r="K69" i="3"/>
  <c r="K57" i="3"/>
  <c r="K45" i="3"/>
  <c r="K33" i="3"/>
  <c r="K21" i="3"/>
  <c r="K9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K344" i="3"/>
  <c r="K332" i="3"/>
  <c r="K320" i="3"/>
  <c r="K308" i="3"/>
  <c r="K296" i="3"/>
  <c r="K284" i="3"/>
  <c r="K272" i="3"/>
  <c r="K260" i="3"/>
  <c r="K248" i="3"/>
  <c r="K236" i="3"/>
  <c r="K224" i="3"/>
  <c r="K212" i="3"/>
  <c r="K200" i="3"/>
  <c r="K188" i="3"/>
  <c r="K176" i="3"/>
  <c r="K164" i="3"/>
  <c r="K152" i="3"/>
  <c r="K140" i="3"/>
  <c r="K128" i="3"/>
  <c r="K116" i="3"/>
  <c r="K104" i="3"/>
  <c r="K92" i="3"/>
  <c r="K80" i="3"/>
  <c r="K68" i="3"/>
  <c r="K56" i="3"/>
  <c r="K44" i="3"/>
  <c r="K32" i="3"/>
  <c r="K20" i="3"/>
  <c r="K8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K256" i="3"/>
  <c r="K244" i="3"/>
  <c r="K232" i="3"/>
  <c r="K220" i="3"/>
  <c r="K208" i="3"/>
  <c r="K196" i="3"/>
  <c r="K184" i="3"/>
  <c r="K172" i="3"/>
  <c r="K160" i="3"/>
  <c r="K148" i="3"/>
  <c r="K136" i="3"/>
  <c r="K124" i="3"/>
  <c r="K112" i="3"/>
  <c r="K100" i="3"/>
  <c r="K88" i="3"/>
  <c r="K76" i="3"/>
  <c r="K64" i="3"/>
  <c r="K52" i="3"/>
  <c r="K40" i="3"/>
  <c r="K28" i="3"/>
  <c r="K16" i="3"/>
  <c r="K4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K794" i="3"/>
  <c r="J8" i="1"/>
  <c r="I8" i="1"/>
  <c r="J3" i="3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31" i="8"/>
  <c r="AS132" i="8"/>
  <c r="AS133" i="8"/>
  <c r="AS134" i="8"/>
  <c r="AS135" i="8"/>
  <c r="AS136" i="8"/>
  <c r="AS137" i="8"/>
  <c r="AS138" i="8"/>
  <c r="AS139" i="8"/>
  <c r="AS140" i="8"/>
  <c r="AS141" i="8"/>
  <c r="AS142" i="8"/>
  <c r="AS143" i="8"/>
  <c r="AS144" i="8"/>
  <c r="AS145" i="8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S158" i="8"/>
  <c r="AS159" i="8"/>
  <c r="AS160" i="8"/>
  <c r="AS161" i="8"/>
  <c r="AS162" i="8"/>
  <c r="AS163" i="8"/>
  <c r="AS164" i="8"/>
  <c r="AS165" i="8"/>
  <c r="AS166" i="8"/>
  <c r="AS167" i="8"/>
  <c r="AS168" i="8"/>
  <c r="AS169" i="8"/>
  <c r="AS170" i="8"/>
  <c r="AS171" i="8"/>
  <c r="AS172" i="8"/>
  <c r="AS173" i="8"/>
  <c r="AS174" i="8"/>
  <c r="AS175" i="8"/>
  <c r="AS176" i="8"/>
  <c r="AS177" i="8"/>
  <c r="AS178" i="8"/>
  <c r="AS179" i="8"/>
  <c r="AS180" i="8"/>
  <c r="AS181" i="8"/>
  <c r="AS182" i="8"/>
  <c r="AS183" i="8"/>
  <c r="AS184" i="8"/>
  <c r="AS185" i="8"/>
  <c r="AS186" i="8"/>
  <c r="AS187" i="8"/>
  <c r="AS188" i="8"/>
  <c r="AS189" i="8"/>
  <c r="AS190" i="8"/>
  <c r="AS191" i="8"/>
  <c r="AS192" i="8"/>
  <c r="AS193" i="8"/>
  <c r="AS194" i="8"/>
  <c r="AS195" i="8"/>
  <c r="AS196" i="8"/>
  <c r="AS197" i="8"/>
  <c r="AS198" i="8"/>
  <c r="AS199" i="8"/>
  <c r="AS200" i="8"/>
  <c r="AS201" i="8"/>
  <c r="AS202" i="8"/>
  <c r="AS203" i="8"/>
  <c r="AS204" i="8"/>
  <c r="AS205" i="8"/>
  <c r="AS206" i="8"/>
  <c r="AS207" i="8"/>
  <c r="AS208" i="8"/>
  <c r="AS209" i="8"/>
  <c r="AS210" i="8"/>
  <c r="AS211" i="8"/>
  <c r="AS212" i="8"/>
  <c r="AS213" i="8"/>
  <c r="AS214" i="8"/>
  <c r="AS215" i="8"/>
  <c r="AS216" i="8"/>
  <c r="AS217" i="8"/>
  <c r="AS218" i="8"/>
  <c r="AS219" i="8"/>
  <c r="AS220" i="8"/>
  <c r="AS221" i="8"/>
  <c r="AS222" i="8"/>
  <c r="AS223" i="8"/>
  <c r="AS224" i="8"/>
  <c r="AS225" i="8"/>
  <c r="AS226" i="8"/>
  <c r="AS227" i="8"/>
  <c r="AS228" i="8"/>
  <c r="AS229" i="8"/>
  <c r="AS230" i="8"/>
  <c r="AS231" i="8"/>
  <c r="AS232" i="8"/>
  <c r="AS233" i="8"/>
  <c r="AS234" i="8"/>
  <c r="AS235" i="8"/>
  <c r="AS236" i="8"/>
  <c r="AS237" i="8"/>
  <c r="AS238" i="8"/>
  <c r="AS239" i="8"/>
  <c r="AS240" i="8"/>
  <c r="AS241" i="8"/>
  <c r="AS242" i="8"/>
  <c r="AS243" i="8"/>
  <c r="AS244" i="8"/>
  <c r="AS245" i="8"/>
  <c r="AS246" i="8"/>
  <c r="AS247" i="8"/>
  <c r="AS248" i="8"/>
  <c r="AS249" i="8"/>
  <c r="AS250" i="8"/>
  <c r="AS251" i="8"/>
  <c r="AS252" i="8"/>
  <c r="AS253" i="8"/>
  <c r="AS254" i="8"/>
  <c r="AS255" i="8"/>
  <c r="AS256" i="8"/>
  <c r="AS257" i="8"/>
  <c r="AS258" i="8"/>
  <c r="AS259" i="8"/>
  <c r="AS260" i="8"/>
  <c r="AS261" i="8"/>
  <c r="AS262" i="8"/>
  <c r="AS263" i="8"/>
  <c r="AS264" i="8"/>
  <c r="AS265" i="8"/>
  <c r="AS266" i="8"/>
  <c r="AS267" i="8"/>
  <c r="AS268" i="8"/>
  <c r="AS269" i="8"/>
  <c r="AS270" i="8"/>
  <c r="AS271" i="8"/>
  <c r="AS272" i="8"/>
  <c r="AS273" i="8"/>
  <c r="AS274" i="8"/>
  <c r="AS275" i="8"/>
  <c r="AS276" i="8"/>
  <c r="AS277" i="8"/>
  <c r="AS278" i="8"/>
  <c r="AS279" i="8"/>
  <c r="AS280" i="8"/>
  <c r="AS281" i="8"/>
  <c r="AS282" i="8"/>
  <c r="AS283" i="8"/>
  <c r="AS284" i="8"/>
  <c r="AS285" i="8"/>
  <c r="AS286" i="8"/>
  <c r="AS287" i="8"/>
  <c r="AS288" i="8"/>
  <c r="AS289" i="8"/>
  <c r="AS290" i="8"/>
  <c r="AS291" i="8"/>
  <c r="AS292" i="8"/>
  <c r="AS293" i="8"/>
  <c r="AS294" i="8"/>
  <c r="AS295" i="8"/>
  <c r="AS296" i="8"/>
  <c r="AS297" i="8"/>
  <c r="AS298" i="8"/>
  <c r="AS299" i="8"/>
  <c r="AS300" i="8"/>
  <c r="AS301" i="8"/>
  <c r="AS302" i="8"/>
  <c r="AS303" i="8"/>
  <c r="AS304" i="8"/>
  <c r="AS305" i="8"/>
  <c r="AS306" i="8"/>
  <c r="AS307" i="8"/>
  <c r="AS308" i="8"/>
  <c r="AS309" i="8"/>
  <c r="AS310" i="8"/>
  <c r="AS311" i="8"/>
  <c r="AS312" i="8"/>
  <c r="AS313" i="8"/>
  <c r="AS314" i="8"/>
  <c r="AS315" i="8"/>
  <c r="AS316" i="8"/>
  <c r="AS317" i="8"/>
  <c r="AS318" i="8"/>
  <c r="AS319" i="8"/>
  <c r="AS320" i="8"/>
  <c r="AS321" i="8"/>
  <c r="AS322" i="8"/>
  <c r="AS323" i="8"/>
  <c r="AS324" i="8"/>
  <c r="AS325" i="8"/>
  <c r="AS326" i="8"/>
  <c r="AS327" i="8"/>
  <c r="AS328" i="8"/>
  <c r="AS329" i="8"/>
  <c r="AS330" i="8"/>
  <c r="AS331" i="8"/>
  <c r="AS332" i="8"/>
  <c r="AS333" i="8"/>
  <c r="AS334" i="8"/>
  <c r="AS335" i="8"/>
  <c r="AS336" i="8"/>
  <c r="AS337" i="8"/>
  <c r="AS338" i="8"/>
  <c r="AS339" i="8"/>
  <c r="AS340" i="8"/>
  <c r="AS341" i="8"/>
  <c r="AS342" i="8"/>
  <c r="AS343" i="8"/>
  <c r="AS344" i="8"/>
  <c r="AS345" i="8"/>
  <c r="AS346" i="8"/>
  <c r="AS347" i="8"/>
  <c r="AS348" i="8"/>
  <c r="AS349" i="8"/>
  <c r="AS350" i="8"/>
  <c r="AS351" i="8"/>
  <c r="AS352" i="8"/>
  <c r="AS353" i="8"/>
  <c r="AS354" i="8"/>
  <c r="AS355" i="8"/>
  <c r="AS356" i="8"/>
  <c r="AS357" i="8"/>
  <c r="AS358" i="8"/>
  <c r="AS359" i="8"/>
  <c r="AS360" i="8"/>
  <c r="AS361" i="8"/>
  <c r="AS362" i="8"/>
  <c r="AS363" i="8"/>
  <c r="AS364" i="8"/>
  <c r="AS365" i="8"/>
  <c r="AS366" i="8"/>
  <c r="AS367" i="8"/>
  <c r="AS368" i="8"/>
  <c r="AS369" i="8"/>
  <c r="AS370" i="8"/>
  <c r="AS371" i="8"/>
  <c r="AS372" i="8"/>
  <c r="AS373" i="8"/>
  <c r="AS374" i="8"/>
  <c r="AS375" i="8"/>
  <c r="AS376" i="8"/>
  <c r="AS377" i="8"/>
  <c r="AS378" i="8"/>
  <c r="AS379" i="8"/>
  <c r="AS380" i="8"/>
  <c r="AS381" i="8"/>
  <c r="AS382" i="8"/>
  <c r="AS383" i="8"/>
  <c r="AS384" i="8"/>
  <c r="AS385" i="8"/>
  <c r="AS386" i="8"/>
  <c r="AS387" i="8"/>
  <c r="AS388" i="8"/>
  <c r="AS389" i="8"/>
  <c r="AS390" i="8"/>
  <c r="AS391" i="8"/>
  <c r="AS392" i="8"/>
  <c r="AS393" i="8"/>
  <c r="AS394" i="8"/>
  <c r="AS395" i="8"/>
  <c r="AS396" i="8"/>
  <c r="AS397" i="8"/>
  <c r="AS398" i="8"/>
  <c r="AS399" i="8"/>
  <c r="AS400" i="8"/>
  <c r="AS401" i="8"/>
  <c r="AS402" i="8"/>
  <c r="AS403" i="8"/>
  <c r="AS404" i="8"/>
  <c r="AS405" i="8"/>
  <c r="AS406" i="8"/>
  <c r="AS407" i="8"/>
  <c r="AS408" i="8"/>
  <c r="AS409" i="8"/>
  <c r="AS410" i="8"/>
  <c r="AS411" i="8"/>
  <c r="AS412" i="8"/>
  <c r="AS413" i="8"/>
  <c r="AS414" i="8"/>
  <c r="AS415" i="8"/>
  <c r="AS416" i="8"/>
  <c r="AS417" i="8"/>
  <c r="AS418" i="8"/>
  <c r="AS419" i="8"/>
  <c r="AS420" i="8"/>
  <c r="AS421" i="8"/>
  <c r="AS422" i="8"/>
  <c r="AS423" i="8"/>
  <c r="AS424" i="8"/>
  <c r="AS425" i="8"/>
  <c r="AS426" i="8"/>
  <c r="AS427" i="8"/>
  <c r="AS428" i="8"/>
  <c r="AS429" i="8"/>
  <c r="AS430" i="8"/>
  <c r="AS431" i="8"/>
  <c r="AS432" i="8"/>
  <c r="AS433" i="8"/>
  <c r="AS434" i="8"/>
  <c r="AS435" i="8"/>
  <c r="AS436" i="8"/>
  <c r="AS437" i="8"/>
  <c r="AS438" i="8"/>
  <c r="AS439" i="8"/>
  <c r="AS440" i="8"/>
  <c r="AS441" i="8"/>
  <c r="AS442" i="8"/>
  <c r="AS443" i="8"/>
  <c r="AS444" i="8"/>
  <c r="AS445" i="8"/>
  <c r="AS446" i="8"/>
  <c r="AS447" i="8"/>
  <c r="AS448" i="8"/>
  <c r="AS449" i="8"/>
  <c r="AS450" i="8"/>
  <c r="AS451" i="8"/>
  <c r="AS452" i="8"/>
  <c r="AS453" i="8"/>
  <c r="AS454" i="8"/>
  <c r="AS455" i="8"/>
  <c r="AS456" i="8"/>
  <c r="AS457" i="8"/>
  <c r="AS458" i="8"/>
  <c r="AS459" i="8"/>
  <c r="AS460" i="8"/>
  <c r="AS461" i="8"/>
  <c r="AS462" i="8"/>
  <c r="AS463" i="8"/>
  <c r="AS464" i="8"/>
  <c r="AS465" i="8"/>
  <c r="AS466" i="8"/>
  <c r="AS467" i="8"/>
  <c r="AS468" i="8"/>
  <c r="AS469" i="8"/>
  <c r="AS470" i="8"/>
  <c r="AS471" i="8"/>
  <c r="AS472" i="8"/>
  <c r="AS473" i="8"/>
  <c r="AS474" i="8"/>
  <c r="AS475" i="8"/>
  <c r="AS476" i="8"/>
  <c r="AS477" i="8"/>
  <c r="AS478" i="8"/>
  <c r="AS479" i="8"/>
  <c r="AS480" i="8"/>
  <c r="AS481" i="8"/>
  <c r="AS482" i="8"/>
  <c r="AS483" i="8"/>
  <c r="AS484" i="8"/>
  <c r="AS485" i="8"/>
  <c r="AS486" i="8"/>
  <c r="AS487" i="8"/>
  <c r="AS488" i="8"/>
  <c r="AS489" i="8"/>
  <c r="AS490" i="8"/>
  <c r="AS491" i="8"/>
  <c r="AS492" i="8"/>
  <c r="AS493" i="8"/>
  <c r="AS494" i="8"/>
  <c r="AS495" i="8"/>
  <c r="AS496" i="8"/>
  <c r="AS497" i="8"/>
  <c r="AS498" i="8"/>
  <c r="AS499" i="8"/>
  <c r="AS500" i="8"/>
  <c r="AS501" i="8"/>
  <c r="AS502" i="8"/>
  <c r="AS503" i="8"/>
  <c r="AS504" i="8"/>
  <c r="AS505" i="8"/>
  <c r="AS506" i="8"/>
  <c r="AS507" i="8"/>
  <c r="AS508" i="8"/>
  <c r="AS509" i="8"/>
  <c r="AS510" i="8"/>
  <c r="AS511" i="8"/>
  <c r="AS512" i="8"/>
  <c r="AS513" i="8"/>
  <c r="AS514" i="8"/>
  <c r="AS515" i="8"/>
  <c r="AS516" i="8"/>
  <c r="AS517" i="8"/>
  <c r="AS518" i="8"/>
  <c r="AS519" i="8"/>
  <c r="AS520" i="8"/>
  <c r="AS521" i="8"/>
  <c r="AS522" i="8"/>
  <c r="AS523" i="8"/>
  <c r="AS524" i="8"/>
  <c r="AS525" i="8"/>
  <c r="AS526" i="8"/>
  <c r="AS527" i="8"/>
  <c r="AS528" i="8"/>
  <c r="AS529" i="8"/>
  <c r="AS530" i="8"/>
  <c r="AS531" i="8"/>
  <c r="AS532" i="8"/>
  <c r="AS533" i="8"/>
  <c r="AS534" i="8"/>
  <c r="AS535" i="8"/>
  <c r="AS536" i="8"/>
  <c r="AS537" i="8"/>
  <c r="AS538" i="8"/>
  <c r="AS539" i="8"/>
  <c r="AS540" i="8"/>
  <c r="AS541" i="8"/>
  <c r="AS542" i="8"/>
  <c r="AS543" i="8"/>
  <c r="AS544" i="8"/>
  <c r="AS545" i="8"/>
  <c r="AS546" i="8"/>
  <c r="AS547" i="8"/>
  <c r="AS548" i="8"/>
  <c r="AS549" i="8"/>
  <c r="AS550" i="8"/>
  <c r="AS551" i="8"/>
  <c r="AS552" i="8"/>
  <c r="AS553" i="8"/>
  <c r="AS554" i="8"/>
  <c r="AS555" i="8"/>
  <c r="AS556" i="8"/>
  <c r="AS557" i="8"/>
  <c r="AS558" i="8"/>
  <c r="AS559" i="8"/>
  <c r="AS560" i="8"/>
  <c r="AS561" i="8"/>
  <c r="AS562" i="8"/>
  <c r="AS563" i="8"/>
  <c r="AS564" i="8"/>
  <c r="AS565" i="8"/>
  <c r="AS566" i="8"/>
  <c r="AS567" i="8"/>
  <c r="AS568" i="8"/>
  <c r="AS569" i="8"/>
  <c r="AS570" i="8"/>
  <c r="AS571" i="8"/>
  <c r="AS572" i="8"/>
  <c r="AS573" i="8"/>
  <c r="AS574" i="8"/>
  <c r="AS575" i="8"/>
  <c r="AS576" i="8"/>
  <c r="AS577" i="8"/>
  <c r="AS578" i="8"/>
  <c r="AS579" i="8"/>
  <c r="AS580" i="8"/>
  <c r="AS581" i="8"/>
  <c r="AS582" i="8"/>
  <c r="AS583" i="8"/>
  <c r="AS584" i="8"/>
  <c r="AS585" i="8"/>
  <c r="AS586" i="8"/>
  <c r="AS587" i="8"/>
  <c r="AS588" i="8"/>
  <c r="AS589" i="8"/>
  <c r="AS590" i="8"/>
  <c r="AS591" i="8"/>
  <c r="AS592" i="8"/>
  <c r="AS593" i="8"/>
  <c r="AS594" i="8"/>
  <c r="AS595" i="8"/>
  <c r="AS596" i="8"/>
  <c r="AS597" i="8"/>
  <c r="AS598" i="8"/>
  <c r="AS599" i="8"/>
  <c r="AS600" i="8"/>
  <c r="AS601" i="8"/>
  <c r="AS602" i="8"/>
  <c r="AS603" i="8"/>
  <c r="AS604" i="8"/>
  <c r="AS605" i="8"/>
  <c r="AS606" i="8"/>
  <c r="AS607" i="8"/>
  <c r="AS608" i="8"/>
  <c r="AS609" i="8"/>
  <c r="AS610" i="8"/>
  <c r="AS611" i="8"/>
  <c r="AS612" i="8"/>
  <c r="AS613" i="8"/>
  <c r="AS614" i="8"/>
  <c r="AS615" i="8"/>
  <c r="AS616" i="8"/>
  <c r="AS617" i="8"/>
  <c r="AS618" i="8"/>
  <c r="AS619" i="8"/>
  <c r="AS620" i="8"/>
  <c r="AS621" i="8"/>
  <c r="AS622" i="8"/>
  <c r="AS623" i="8"/>
  <c r="AS624" i="8"/>
  <c r="AS625" i="8"/>
  <c r="AS626" i="8"/>
  <c r="AS627" i="8"/>
  <c r="AS628" i="8"/>
  <c r="AS629" i="8"/>
  <c r="AS630" i="8"/>
  <c r="AS631" i="8"/>
  <c r="AS632" i="8"/>
  <c r="AS633" i="8"/>
  <c r="AS634" i="8"/>
  <c r="AS635" i="8"/>
  <c r="AS636" i="8"/>
  <c r="AS637" i="8"/>
  <c r="AS638" i="8"/>
  <c r="AS639" i="8"/>
  <c r="AS640" i="8"/>
  <c r="AS641" i="8"/>
  <c r="AS642" i="8"/>
  <c r="AS643" i="8"/>
  <c r="AS644" i="8"/>
  <c r="AS645" i="8"/>
  <c r="AS646" i="8"/>
  <c r="AS647" i="8"/>
  <c r="AS648" i="8"/>
  <c r="AS649" i="8"/>
  <c r="AS650" i="8"/>
  <c r="AS651" i="8"/>
  <c r="AS652" i="8"/>
  <c r="AS653" i="8"/>
  <c r="AS654" i="8"/>
  <c r="AS655" i="8"/>
  <c r="AS656" i="8"/>
  <c r="AS657" i="8"/>
  <c r="AS658" i="8"/>
  <c r="AS659" i="8"/>
  <c r="AS660" i="8"/>
  <c r="AS661" i="8"/>
  <c r="AS662" i="8"/>
  <c r="AS663" i="8"/>
  <c r="AS664" i="8"/>
  <c r="AS665" i="8"/>
  <c r="AS666" i="8"/>
  <c r="AS667" i="8"/>
  <c r="AS668" i="8"/>
  <c r="AS669" i="8"/>
  <c r="AS670" i="8"/>
  <c r="AS671" i="8"/>
  <c r="AS672" i="8"/>
  <c r="AS673" i="8"/>
  <c r="AS674" i="8"/>
  <c r="AS675" i="8"/>
  <c r="AS676" i="8"/>
  <c r="AS677" i="8"/>
  <c r="AS678" i="8"/>
  <c r="AS679" i="8"/>
  <c r="AS680" i="8"/>
  <c r="AS681" i="8"/>
  <c r="AS682" i="8"/>
  <c r="AS683" i="8"/>
  <c r="AS684" i="8"/>
  <c r="AS685" i="8"/>
  <c r="AS686" i="8"/>
  <c r="AS687" i="8"/>
  <c r="AS688" i="8"/>
  <c r="AS689" i="8"/>
  <c r="AS690" i="8"/>
  <c r="AS691" i="8"/>
  <c r="AS692" i="8"/>
  <c r="AS693" i="8"/>
  <c r="AS694" i="8"/>
  <c r="AS695" i="8"/>
  <c r="AS696" i="8"/>
  <c r="AS697" i="8"/>
  <c r="AS698" i="8"/>
  <c r="AS699" i="8"/>
  <c r="AS700" i="8"/>
  <c r="AS701" i="8"/>
  <c r="AS702" i="8"/>
  <c r="AS703" i="8"/>
  <c r="AS704" i="8"/>
  <c r="AS705" i="8"/>
  <c r="AS706" i="8"/>
  <c r="AS707" i="8"/>
  <c r="AS708" i="8"/>
  <c r="AS709" i="8"/>
  <c r="AS710" i="8"/>
  <c r="AS711" i="8"/>
  <c r="AS712" i="8"/>
  <c r="AS713" i="8"/>
  <c r="AS714" i="8"/>
  <c r="AS715" i="8"/>
  <c r="AS716" i="8"/>
  <c r="AS717" i="8"/>
  <c r="AS718" i="8"/>
  <c r="AS719" i="8"/>
  <c r="AS720" i="8"/>
  <c r="AS721" i="8"/>
  <c r="AS722" i="8"/>
  <c r="AS723" i="8"/>
  <c r="AS724" i="8"/>
  <c r="AS725" i="8"/>
  <c r="AS726" i="8"/>
  <c r="AS727" i="8"/>
  <c r="AS728" i="8"/>
  <c r="AS729" i="8"/>
  <c r="AS730" i="8"/>
  <c r="AS731" i="8"/>
  <c r="AS732" i="8"/>
  <c r="AS733" i="8"/>
  <c r="AS734" i="8"/>
  <c r="AS735" i="8"/>
  <c r="AS736" i="8"/>
  <c r="AS737" i="8"/>
  <c r="AS738" i="8"/>
  <c r="AS739" i="8"/>
  <c r="AS740" i="8"/>
  <c r="AS741" i="8"/>
  <c r="AS742" i="8"/>
  <c r="AS743" i="8"/>
  <c r="AS744" i="8"/>
  <c r="AS745" i="8"/>
  <c r="AS746" i="8"/>
  <c r="AS747" i="8"/>
  <c r="AS748" i="8"/>
  <c r="AS749" i="8"/>
  <c r="AS750" i="8"/>
  <c r="AS751" i="8"/>
  <c r="AS752" i="8"/>
  <c r="AS753" i="8"/>
  <c r="AS754" i="8"/>
  <c r="AS755" i="8"/>
  <c r="AS756" i="8"/>
  <c r="AS757" i="8"/>
  <c r="AS758" i="8"/>
  <c r="AS759" i="8"/>
  <c r="AS760" i="8"/>
  <c r="AS761" i="8"/>
  <c r="AS762" i="8"/>
  <c r="AS763" i="8"/>
  <c r="AS764" i="8"/>
  <c r="AS765" i="8"/>
  <c r="AS766" i="8"/>
  <c r="AS767" i="8"/>
  <c r="AS768" i="8"/>
  <c r="AS769" i="8"/>
  <c r="AS770" i="8"/>
  <c r="AS771" i="8"/>
  <c r="AS772" i="8"/>
  <c r="AS773" i="8"/>
  <c r="AS774" i="8"/>
  <c r="AS775" i="8"/>
  <c r="AS776" i="8"/>
  <c r="AS777" i="8"/>
  <c r="AS778" i="8"/>
  <c r="AS779" i="8"/>
  <c r="AS780" i="8"/>
  <c r="AS781" i="8"/>
  <c r="AS782" i="8"/>
  <c r="AS783" i="8"/>
  <c r="AS784" i="8"/>
  <c r="AS785" i="8"/>
  <c r="AS786" i="8"/>
  <c r="AS787" i="8"/>
  <c r="AS788" i="8"/>
  <c r="AS789" i="8"/>
  <c r="AS790" i="8"/>
  <c r="AS791" i="8"/>
  <c r="AS792" i="8"/>
  <c r="AS793" i="8"/>
  <c r="AS794" i="8"/>
  <c r="AS795" i="8"/>
  <c r="AS796" i="8"/>
  <c r="AS797" i="8"/>
  <c r="AS798" i="8"/>
  <c r="AS799" i="8"/>
  <c r="AS800" i="8"/>
  <c r="AS801" i="8"/>
  <c r="AS802" i="8"/>
  <c r="AS803" i="8"/>
  <c r="AS804" i="8"/>
  <c r="AS805" i="8"/>
  <c r="AS806" i="8"/>
  <c r="AS807" i="8"/>
  <c r="AS808" i="8"/>
  <c r="AS809" i="8"/>
  <c r="AS810" i="8"/>
  <c r="AS811" i="8"/>
  <c r="AS812" i="8"/>
  <c r="AS813" i="8"/>
  <c r="AS814" i="8"/>
  <c r="AS815" i="8"/>
  <c r="AS816" i="8"/>
  <c r="AS817" i="8"/>
  <c r="AS818" i="8"/>
  <c r="AS819" i="8"/>
  <c r="AS820" i="8"/>
  <c r="AS821" i="8"/>
  <c r="AS822" i="8"/>
  <c r="AS823" i="8"/>
  <c r="AS824" i="8"/>
  <c r="AS825" i="8"/>
  <c r="AS826" i="8"/>
  <c r="AS827" i="8"/>
  <c r="AS828" i="8"/>
  <c r="AS829" i="8"/>
  <c r="AS830" i="8"/>
  <c r="AS831" i="8"/>
  <c r="AS832" i="8"/>
  <c r="AS833" i="8"/>
  <c r="AS834" i="8"/>
  <c r="AS835" i="8"/>
  <c r="AS836" i="8"/>
  <c r="AS837" i="8"/>
  <c r="AS838" i="8"/>
  <c r="AS839" i="8"/>
  <c r="AS840" i="8"/>
  <c r="AS841" i="8"/>
  <c r="AS842" i="8"/>
  <c r="AS843" i="8"/>
  <c r="AS844" i="8"/>
  <c r="AS845" i="8"/>
  <c r="AS846" i="8"/>
  <c r="AS847" i="8"/>
  <c r="AS848" i="8"/>
  <c r="AS849" i="8"/>
  <c r="AS850" i="8"/>
  <c r="AS851" i="8"/>
  <c r="AS852" i="8"/>
  <c r="AS853" i="8"/>
  <c r="AS854" i="8"/>
  <c r="AS855" i="8"/>
  <c r="AS856" i="8"/>
  <c r="AS857" i="8"/>
  <c r="AS858" i="8"/>
  <c r="AS859" i="8"/>
  <c r="AS860" i="8"/>
  <c r="AS861" i="8"/>
  <c r="AS862" i="8"/>
  <c r="AS863" i="8"/>
  <c r="AS864" i="8"/>
  <c r="AS865" i="8"/>
  <c r="AS866" i="8"/>
  <c r="AS867" i="8"/>
  <c r="AS868" i="8"/>
  <c r="AS869" i="8"/>
  <c r="AS870" i="8"/>
  <c r="AS871" i="8"/>
  <c r="AS872" i="8"/>
  <c r="AS873" i="8"/>
  <c r="AS874" i="8"/>
  <c r="AS875" i="8"/>
  <c r="AS876" i="8"/>
  <c r="AS877" i="8"/>
  <c r="AS878" i="8"/>
  <c r="AS879" i="8"/>
  <c r="AS880" i="8"/>
  <c r="AS881" i="8"/>
  <c r="AS882" i="8"/>
  <c r="AS883" i="8"/>
  <c r="AS884" i="8"/>
  <c r="AS885" i="8"/>
  <c r="AS886" i="8"/>
  <c r="AS887" i="8"/>
  <c r="AS888" i="8"/>
  <c r="AS889" i="8"/>
  <c r="AS890" i="8"/>
  <c r="AS891" i="8"/>
  <c r="AS892" i="8"/>
  <c r="AS893" i="8"/>
  <c r="AS894" i="8"/>
  <c r="AS895" i="8"/>
  <c r="AS896" i="8"/>
  <c r="AS897" i="8"/>
  <c r="AS898" i="8"/>
  <c r="AS899" i="8"/>
  <c r="AS900" i="8"/>
  <c r="AS901" i="8"/>
  <c r="AS902" i="8"/>
  <c r="AS903" i="8"/>
  <c r="AS904" i="8"/>
  <c r="AS905" i="8"/>
  <c r="AS906" i="8"/>
  <c r="AS907" i="8"/>
  <c r="AS908" i="8"/>
  <c r="AS909" i="8"/>
  <c r="AS910" i="8"/>
  <c r="AS911" i="8"/>
  <c r="AS912" i="8"/>
  <c r="AS913" i="8"/>
  <c r="AS914" i="8"/>
  <c r="AS915" i="8"/>
  <c r="AS916" i="8"/>
  <c r="AS917" i="8"/>
  <c r="AS918" i="8"/>
  <c r="AS919" i="8"/>
  <c r="AS920" i="8"/>
  <c r="AS921" i="8"/>
  <c r="AS922" i="8"/>
  <c r="AS923" i="8"/>
  <c r="AS924" i="8"/>
  <c r="AS925" i="8"/>
  <c r="AS926" i="8"/>
  <c r="AS927" i="8"/>
  <c r="AS928" i="8"/>
  <c r="AS929" i="8"/>
  <c r="AS930" i="8"/>
  <c r="AS931" i="8"/>
  <c r="AS932" i="8"/>
  <c r="AS933" i="8"/>
  <c r="AS934" i="8"/>
  <c r="AS935" i="8"/>
  <c r="AS936" i="8"/>
  <c r="AS937" i="8"/>
  <c r="AS938" i="8"/>
  <c r="AS939" i="8"/>
  <c r="AS940" i="8"/>
  <c r="AS941" i="8"/>
  <c r="AS942" i="8"/>
  <c r="AS943" i="8"/>
  <c r="AS944" i="8"/>
  <c r="AS945" i="8"/>
  <c r="AS946" i="8"/>
  <c r="AS947" i="8"/>
  <c r="AS948" i="8"/>
  <c r="AS949" i="8"/>
  <c r="AS950" i="8"/>
  <c r="AS951" i="8"/>
  <c r="AS952" i="8"/>
  <c r="AS953" i="8"/>
  <c r="AS954" i="8"/>
  <c r="AS955" i="8"/>
  <c r="AS956" i="8"/>
  <c r="AS957" i="8"/>
  <c r="AS958" i="8"/>
  <c r="AS959" i="8"/>
  <c r="AS960" i="8"/>
  <c r="AS961" i="8"/>
  <c r="AS962" i="8"/>
  <c r="AS963" i="8"/>
  <c r="AS964" i="8"/>
  <c r="AS965" i="8"/>
  <c r="AS966" i="8"/>
  <c r="AS967" i="8"/>
  <c r="AS968" i="8"/>
  <c r="AS969" i="8"/>
  <c r="AS970" i="8"/>
  <c r="AS971" i="8"/>
  <c r="AS972" i="8"/>
  <c r="AS973" i="8"/>
  <c r="AS974" i="8"/>
  <c r="AS975" i="8"/>
  <c r="AS976" i="8"/>
  <c r="AS977" i="8"/>
  <c r="AS978" i="8"/>
  <c r="AS979" i="8"/>
  <c r="AS980" i="8"/>
  <c r="AS981" i="8"/>
  <c r="AS982" i="8"/>
  <c r="AS983" i="8"/>
  <c r="AS984" i="8"/>
  <c r="AS985" i="8"/>
  <c r="AS986" i="8"/>
  <c r="AS987" i="8"/>
  <c r="AS988" i="8"/>
  <c r="AS989" i="8"/>
  <c r="AS990" i="8"/>
  <c r="AS991" i="8"/>
  <c r="AS992" i="8"/>
  <c r="AS993" i="8"/>
  <c r="AS994" i="8"/>
  <c r="AS995" i="8"/>
  <c r="AS996" i="8"/>
  <c r="AS997" i="8"/>
  <c r="AS998" i="8"/>
  <c r="AS999" i="8"/>
  <c r="AS1000" i="8"/>
  <c r="AS1001" i="8"/>
  <c r="AS1002" i="8"/>
  <c r="AS1003" i="8"/>
  <c r="AS1004" i="8"/>
  <c r="AS1005" i="8"/>
  <c r="AS1006" i="8"/>
  <c r="AS1007" i="8"/>
  <c r="AS1008" i="8"/>
  <c r="AS1009" i="8"/>
  <c r="AS1010" i="8"/>
  <c r="AS1011" i="8"/>
  <c r="AS1012" i="8"/>
  <c r="AS1013" i="8"/>
  <c r="AS1014" i="8"/>
  <c r="AS1015" i="8"/>
  <c r="AS1016" i="8"/>
  <c r="AS1017" i="8"/>
  <c r="AS1018" i="8"/>
  <c r="AS1019" i="8"/>
  <c r="AS1020" i="8"/>
  <c r="AS1021" i="8"/>
  <c r="AS1022" i="8"/>
  <c r="AS1023" i="8"/>
  <c r="AS1024" i="8"/>
  <c r="AS1025" i="8"/>
  <c r="AS1026" i="8"/>
  <c r="AS1027" i="8"/>
  <c r="AS1028" i="8"/>
  <c r="AS1029" i="8"/>
  <c r="AS1030" i="8"/>
  <c r="AS1031" i="8"/>
  <c r="AS1032" i="8"/>
  <c r="AS1033" i="8"/>
  <c r="AS1034" i="8"/>
  <c r="AS1035" i="8"/>
  <c r="AS1036" i="8"/>
  <c r="AS1037" i="8"/>
  <c r="AS1038" i="8"/>
  <c r="AS1039" i="8"/>
  <c r="AS1040" i="8"/>
  <c r="AS1041" i="8"/>
  <c r="AS1042" i="8"/>
  <c r="AS1043" i="8"/>
  <c r="AS1044" i="8"/>
  <c r="AS1045" i="8"/>
  <c r="AS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103" i="8"/>
  <c r="AR104" i="8"/>
  <c r="AR105" i="8"/>
  <c r="AR106" i="8"/>
  <c r="AR107" i="8"/>
  <c r="AR108" i="8"/>
  <c r="AR109" i="8"/>
  <c r="AR110" i="8"/>
  <c r="AR111" i="8"/>
  <c r="AR112" i="8"/>
  <c r="AR113" i="8"/>
  <c r="AR114" i="8"/>
  <c r="AR115" i="8"/>
  <c r="AR116" i="8"/>
  <c r="AR117" i="8"/>
  <c r="AR118" i="8"/>
  <c r="AR119" i="8"/>
  <c r="AR120" i="8"/>
  <c r="AR121" i="8"/>
  <c r="AR122" i="8"/>
  <c r="AR123" i="8"/>
  <c r="AR124" i="8"/>
  <c r="AR125" i="8"/>
  <c r="AR126" i="8"/>
  <c r="AR127" i="8"/>
  <c r="AR128" i="8"/>
  <c r="AR129" i="8"/>
  <c r="AR130" i="8"/>
  <c r="AR131" i="8"/>
  <c r="AR132" i="8"/>
  <c r="AR133" i="8"/>
  <c r="AR134" i="8"/>
  <c r="AR135" i="8"/>
  <c r="AR136" i="8"/>
  <c r="AR137" i="8"/>
  <c r="AR138" i="8"/>
  <c r="AR139" i="8"/>
  <c r="AR140" i="8"/>
  <c r="AR141" i="8"/>
  <c r="AR142" i="8"/>
  <c r="AR143" i="8"/>
  <c r="AR144" i="8"/>
  <c r="AR145" i="8"/>
  <c r="AR146" i="8"/>
  <c r="AR147" i="8"/>
  <c r="AR148" i="8"/>
  <c r="AR149" i="8"/>
  <c r="AR150" i="8"/>
  <c r="AR151" i="8"/>
  <c r="AR152" i="8"/>
  <c r="AR153" i="8"/>
  <c r="AR154" i="8"/>
  <c r="AR155" i="8"/>
  <c r="AR156" i="8"/>
  <c r="AR157" i="8"/>
  <c r="AR158" i="8"/>
  <c r="AR159" i="8"/>
  <c r="AR160" i="8"/>
  <c r="AR161" i="8"/>
  <c r="AR162" i="8"/>
  <c r="AR163" i="8"/>
  <c r="AR164" i="8"/>
  <c r="AR165" i="8"/>
  <c r="AR166" i="8"/>
  <c r="AR167" i="8"/>
  <c r="AR168" i="8"/>
  <c r="AR169" i="8"/>
  <c r="AR170" i="8"/>
  <c r="AR171" i="8"/>
  <c r="AR172" i="8"/>
  <c r="AR173" i="8"/>
  <c r="AR174" i="8"/>
  <c r="AR175" i="8"/>
  <c r="AR176" i="8"/>
  <c r="AR177" i="8"/>
  <c r="AR178" i="8"/>
  <c r="AR179" i="8"/>
  <c r="AR180" i="8"/>
  <c r="AR181" i="8"/>
  <c r="AR182" i="8"/>
  <c r="AR183" i="8"/>
  <c r="AR184" i="8"/>
  <c r="AR185" i="8"/>
  <c r="AR186" i="8"/>
  <c r="AR187" i="8"/>
  <c r="AR188" i="8"/>
  <c r="AR189" i="8"/>
  <c r="AR190" i="8"/>
  <c r="AR191" i="8"/>
  <c r="AR192" i="8"/>
  <c r="AR193" i="8"/>
  <c r="AR194" i="8"/>
  <c r="AR195" i="8"/>
  <c r="AR196" i="8"/>
  <c r="AR197" i="8"/>
  <c r="AR198" i="8"/>
  <c r="AR199" i="8"/>
  <c r="AR200" i="8"/>
  <c r="AR201" i="8"/>
  <c r="AR202" i="8"/>
  <c r="AR203" i="8"/>
  <c r="AR204" i="8"/>
  <c r="AR205" i="8"/>
  <c r="AR206" i="8"/>
  <c r="AR207" i="8"/>
  <c r="AR208" i="8"/>
  <c r="AR209" i="8"/>
  <c r="AR210" i="8"/>
  <c r="AR211" i="8"/>
  <c r="AR212" i="8"/>
  <c r="AR213" i="8"/>
  <c r="AR214" i="8"/>
  <c r="AR215" i="8"/>
  <c r="AR216" i="8"/>
  <c r="AR217" i="8"/>
  <c r="AR218" i="8"/>
  <c r="AR219" i="8"/>
  <c r="AR220" i="8"/>
  <c r="AR221" i="8"/>
  <c r="AR222" i="8"/>
  <c r="AR223" i="8"/>
  <c r="AR224" i="8"/>
  <c r="AR225" i="8"/>
  <c r="AR226" i="8"/>
  <c r="AR227" i="8"/>
  <c r="AR228" i="8"/>
  <c r="AR229" i="8"/>
  <c r="AR230" i="8"/>
  <c r="AR231" i="8"/>
  <c r="AR232" i="8"/>
  <c r="AR233" i="8"/>
  <c r="AR234" i="8"/>
  <c r="AR235" i="8"/>
  <c r="AR236" i="8"/>
  <c r="AR237" i="8"/>
  <c r="AR238" i="8"/>
  <c r="AR239" i="8"/>
  <c r="AR240" i="8"/>
  <c r="AR241" i="8"/>
  <c r="AR242" i="8"/>
  <c r="AR243" i="8"/>
  <c r="AR244" i="8"/>
  <c r="AR245" i="8"/>
  <c r="AR246" i="8"/>
  <c r="AR247" i="8"/>
  <c r="AR248" i="8"/>
  <c r="AR249" i="8"/>
  <c r="AR250" i="8"/>
  <c r="AR251" i="8"/>
  <c r="AR252" i="8"/>
  <c r="AR253" i="8"/>
  <c r="AR254" i="8"/>
  <c r="AR255" i="8"/>
  <c r="AR256" i="8"/>
  <c r="AR257" i="8"/>
  <c r="AR258" i="8"/>
  <c r="AR259" i="8"/>
  <c r="AR260" i="8"/>
  <c r="AR261" i="8"/>
  <c r="AR262" i="8"/>
  <c r="AR263" i="8"/>
  <c r="AR264" i="8"/>
  <c r="AR265" i="8"/>
  <c r="AR266" i="8"/>
  <c r="AR267" i="8"/>
  <c r="AR268" i="8"/>
  <c r="AR269" i="8"/>
  <c r="AR270" i="8"/>
  <c r="AR271" i="8"/>
  <c r="AR272" i="8"/>
  <c r="AR273" i="8"/>
  <c r="AR274" i="8"/>
  <c r="AR275" i="8"/>
  <c r="AR276" i="8"/>
  <c r="AR277" i="8"/>
  <c r="AR278" i="8"/>
  <c r="AR279" i="8"/>
  <c r="AR280" i="8"/>
  <c r="AR281" i="8"/>
  <c r="AR282" i="8"/>
  <c r="AR283" i="8"/>
  <c r="AR284" i="8"/>
  <c r="AR285" i="8"/>
  <c r="AR286" i="8"/>
  <c r="AR287" i="8"/>
  <c r="AR288" i="8"/>
  <c r="AR289" i="8"/>
  <c r="AR290" i="8"/>
  <c r="AR291" i="8"/>
  <c r="AR292" i="8"/>
  <c r="AR293" i="8"/>
  <c r="AR294" i="8"/>
  <c r="AR295" i="8"/>
  <c r="AR296" i="8"/>
  <c r="AR297" i="8"/>
  <c r="AR298" i="8"/>
  <c r="AR299" i="8"/>
  <c r="AR300" i="8"/>
  <c r="AR301" i="8"/>
  <c r="AR302" i="8"/>
  <c r="AR303" i="8"/>
  <c r="AR304" i="8"/>
  <c r="AR305" i="8"/>
  <c r="AR306" i="8"/>
  <c r="AR307" i="8"/>
  <c r="AR308" i="8"/>
  <c r="AR309" i="8"/>
  <c r="AR310" i="8"/>
  <c r="AR311" i="8"/>
  <c r="AR312" i="8"/>
  <c r="AR313" i="8"/>
  <c r="AR314" i="8"/>
  <c r="AR315" i="8"/>
  <c r="AR316" i="8"/>
  <c r="AR317" i="8"/>
  <c r="AR318" i="8"/>
  <c r="AR319" i="8"/>
  <c r="AR320" i="8"/>
  <c r="AR321" i="8"/>
  <c r="AR322" i="8"/>
  <c r="AR323" i="8"/>
  <c r="AR324" i="8"/>
  <c r="AR325" i="8"/>
  <c r="AR326" i="8"/>
  <c r="AR327" i="8"/>
  <c r="AR328" i="8"/>
  <c r="AR329" i="8"/>
  <c r="AR330" i="8"/>
  <c r="AR331" i="8"/>
  <c r="AR332" i="8"/>
  <c r="AR333" i="8"/>
  <c r="AR334" i="8"/>
  <c r="AR335" i="8"/>
  <c r="AR336" i="8"/>
  <c r="AR337" i="8"/>
  <c r="AR338" i="8"/>
  <c r="AR339" i="8"/>
  <c r="AR340" i="8"/>
  <c r="AR341" i="8"/>
  <c r="AR342" i="8"/>
  <c r="AR343" i="8"/>
  <c r="AR344" i="8"/>
  <c r="AR345" i="8"/>
  <c r="AR346" i="8"/>
  <c r="AR347" i="8"/>
  <c r="AR348" i="8"/>
  <c r="AR349" i="8"/>
  <c r="AR350" i="8"/>
  <c r="AR351" i="8"/>
  <c r="AR352" i="8"/>
  <c r="AR353" i="8"/>
  <c r="AR354" i="8"/>
  <c r="AR355" i="8"/>
  <c r="AR356" i="8"/>
  <c r="AR357" i="8"/>
  <c r="AR358" i="8"/>
  <c r="AR359" i="8"/>
  <c r="AR360" i="8"/>
  <c r="AR361" i="8"/>
  <c r="AR362" i="8"/>
  <c r="AR363" i="8"/>
  <c r="AR364" i="8"/>
  <c r="AR365" i="8"/>
  <c r="AR366" i="8"/>
  <c r="AR367" i="8"/>
  <c r="AR368" i="8"/>
  <c r="AR369" i="8"/>
  <c r="AR370" i="8"/>
  <c r="AR371" i="8"/>
  <c r="AR372" i="8"/>
  <c r="AR373" i="8"/>
  <c r="AR374" i="8"/>
  <c r="AR375" i="8"/>
  <c r="AR376" i="8"/>
  <c r="AR377" i="8"/>
  <c r="AR378" i="8"/>
  <c r="AR379" i="8"/>
  <c r="AR380" i="8"/>
  <c r="AR381" i="8"/>
  <c r="AR382" i="8"/>
  <c r="AR383" i="8"/>
  <c r="AR384" i="8"/>
  <c r="AR385" i="8"/>
  <c r="AR386" i="8"/>
  <c r="AR387" i="8"/>
  <c r="AR388" i="8"/>
  <c r="AR389" i="8"/>
  <c r="AR390" i="8"/>
  <c r="AR391" i="8"/>
  <c r="AR392" i="8"/>
  <c r="AR393" i="8"/>
  <c r="AR394" i="8"/>
  <c r="AR395" i="8"/>
  <c r="AR396" i="8"/>
  <c r="AR397" i="8"/>
  <c r="AR398" i="8"/>
  <c r="AR399" i="8"/>
  <c r="AR400" i="8"/>
  <c r="AR401" i="8"/>
  <c r="AR402" i="8"/>
  <c r="AR403" i="8"/>
  <c r="AR404" i="8"/>
  <c r="AR405" i="8"/>
  <c r="AR406" i="8"/>
  <c r="AR407" i="8"/>
  <c r="AR408" i="8"/>
  <c r="AR409" i="8"/>
  <c r="AR410" i="8"/>
  <c r="AR411" i="8"/>
  <c r="AR412" i="8"/>
  <c r="AR413" i="8"/>
  <c r="AR414" i="8"/>
  <c r="AR415" i="8"/>
  <c r="AR416" i="8"/>
  <c r="AR417" i="8"/>
  <c r="AR418" i="8"/>
  <c r="AR419" i="8"/>
  <c r="AR420" i="8"/>
  <c r="AR421" i="8"/>
  <c r="AR422" i="8"/>
  <c r="AR423" i="8"/>
  <c r="AR424" i="8"/>
  <c r="AR425" i="8"/>
  <c r="AR426" i="8"/>
  <c r="AR427" i="8"/>
  <c r="AR428" i="8"/>
  <c r="AR429" i="8"/>
  <c r="AR430" i="8"/>
  <c r="AR431" i="8"/>
  <c r="AR432" i="8"/>
  <c r="AR433" i="8"/>
  <c r="AR434" i="8"/>
  <c r="AR435" i="8"/>
  <c r="AR436" i="8"/>
  <c r="AR437" i="8"/>
  <c r="AR438" i="8"/>
  <c r="AR439" i="8"/>
  <c r="AR440" i="8"/>
  <c r="AR441" i="8"/>
  <c r="AR442" i="8"/>
  <c r="AR443" i="8"/>
  <c r="AR444" i="8"/>
  <c r="AR445" i="8"/>
  <c r="AR446" i="8"/>
  <c r="AR447" i="8"/>
  <c r="AR448" i="8"/>
  <c r="AR449" i="8"/>
  <c r="AR450" i="8"/>
  <c r="AR451" i="8"/>
  <c r="AR452" i="8"/>
  <c r="AR453" i="8"/>
  <c r="AR454" i="8"/>
  <c r="AR455" i="8"/>
  <c r="AR456" i="8"/>
  <c r="AR457" i="8"/>
  <c r="AR458" i="8"/>
  <c r="AR459" i="8"/>
  <c r="AR460" i="8"/>
  <c r="AR461" i="8"/>
  <c r="AR462" i="8"/>
  <c r="AR463" i="8"/>
  <c r="AR464" i="8"/>
  <c r="AR465" i="8"/>
  <c r="AR466" i="8"/>
  <c r="AR467" i="8"/>
  <c r="AR468" i="8"/>
  <c r="AR469" i="8"/>
  <c r="AR470" i="8"/>
  <c r="AR471" i="8"/>
  <c r="AR472" i="8"/>
  <c r="AR473" i="8"/>
  <c r="AR474" i="8"/>
  <c r="AR475" i="8"/>
  <c r="AR476" i="8"/>
  <c r="AR477" i="8"/>
  <c r="AR478" i="8"/>
  <c r="AR479" i="8"/>
  <c r="AR480" i="8"/>
  <c r="AR481" i="8"/>
  <c r="AR482" i="8"/>
  <c r="AR483" i="8"/>
  <c r="AR484" i="8"/>
  <c r="AR485" i="8"/>
  <c r="AR486" i="8"/>
  <c r="AR487" i="8"/>
  <c r="AR488" i="8"/>
  <c r="AR489" i="8"/>
  <c r="AR490" i="8"/>
  <c r="AR491" i="8"/>
  <c r="AR492" i="8"/>
  <c r="AR493" i="8"/>
  <c r="AR494" i="8"/>
  <c r="AR495" i="8"/>
  <c r="AR496" i="8"/>
  <c r="AR497" i="8"/>
  <c r="AR498" i="8"/>
  <c r="AR499" i="8"/>
  <c r="AR500" i="8"/>
  <c r="AR501" i="8"/>
  <c r="AR502" i="8"/>
  <c r="AR503" i="8"/>
  <c r="AR504" i="8"/>
  <c r="AR505" i="8"/>
  <c r="AR506" i="8"/>
  <c r="AR507" i="8"/>
  <c r="AR508" i="8"/>
  <c r="AR509" i="8"/>
  <c r="AR510" i="8"/>
  <c r="AR511" i="8"/>
  <c r="AR512" i="8"/>
  <c r="AR513" i="8"/>
  <c r="AR514" i="8"/>
  <c r="AR515" i="8"/>
  <c r="AR516" i="8"/>
  <c r="AR517" i="8"/>
  <c r="AR518" i="8"/>
  <c r="AR519" i="8"/>
  <c r="AR520" i="8"/>
  <c r="AR521" i="8"/>
  <c r="AR522" i="8"/>
  <c r="AR523" i="8"/>
  <c r="AR524" i="8"/>
  <c r="AR525" i="8"/>
  <c r="AR526" i="8"/>
  <c r="AR527" i="8"/>
  <c r="AR528" i="8"/>
  <c r="AR529" i="8"/>
  <c r="AR530" i="8"/>
  <c r="AR531" i="8"/>
  <c r="AR532" i="8"/>
  <c r="AR533" i="8"/>
  <c r="AR534" i="8"/>
  <c r="AR535" i="8"/>
  <c r="AR536" i="8"/>
  <c r="AR537" i="8"/>
  <c r="AR538" i="8"/>
  <c r="AR539" i="8"/>
  <c r="AR540" i="8"/>
  <c r="AR541" i="8"/>
  <c r="AR542" i="8"/>
  <c r="AR543" i="8"/>
  <c r="AR544" i="8"/>
  <c r="AR545" i="8"/>
  <c r="AR546" i="8"/>
  <c r="AR547" i="8"/>
  <c r="AR548" i="8"/>
  <c r="AR549" i="8"/>
  <c r="AR550" i="8"/>
  <c r="AR551" i="8"/>
  <c r="AR552" i="8"/>
  <c r="AR553" i="8"/>
  <c r="AR554" i="8"/>
  <c r="AR555" i="8"/>
  <c r="AR556" i="8"/>
  <c r="AR557" i="8"/>
  <c r="AR558" i="8"/>
  <c r="AR559" i="8"/>
  <c r="AR560" i="8"/>
  <c r="AR561" i="8"/>
  <c r="AR562" i="8"/>
  <c r="AR563" i="8"/>
  <c r="AR564" i="8"/>
  <c r="AR565" i="8"/>
  <c r="AR566" i="8"/>
  <c r="AR567" i="8"/>
  <c r="AR568" i="8"/>
  <c r="AR569" i="8"/>
  <c r="AR570" i="8"/>
  <c r="AR571" i="8"/>
  <c r="AR572" i="8"/>
  <c r="AR573" i="8"/>
  <c r="AR574" i="8"/>
  <c r="AR575" i="8"/>
  <c r="AR576" i="8"/>
  <c r="AR577" i="8"/>
  <c r="AR578" i="8"/>
  <c r="AR579" i="8"/>
  <c r="AR580" i="8"/>
  <c r="AR581" i="8"/>
  <c r="AR582" i="8"/>
  <c r="AR583" i="8"/>
  <c r="AR584" i="8"/>
  <c r="AR585" i="8"/>
  <c r="AR586" i="8"/>
  <c r="AR587" i="8"/>
  <c r="AR588" i="8"/>
  <c r="AR589" i="8"/>
  <c r="AR590" i="8"/>
  <c r="AR591" i="8"/>
  <c r="AR592" i="8"/>
  <c r="AR593" i="8"/>
  <c r="AR594" i="8"/>
  <c r="AR595" i="8"/>
  <c r="AR596" i="8"/>
  <c r="AR597" i="8"/>
  <c r="AR598" i="8"/>
  <c r="AR599" i="8"/>
  <c r="AR600" i="8"/>
  <c r="AR601" i="8"/>
  <c r="AR602" i="8"/>
  <c r="AR603" i="8"/>
  <c r="AR604" i="8"/>
  <c r="AR605" i="8"/>
  <c r="AR606" i="8"/>
  <c r="AR607" i="8"/>
  <c r="AR608" i="8"/>
  <c r="AR609" i="8"/>
  <c r="AR610" i="8"/>
  <c r="AR611" i="8"/>
  <c r="AR612" i="8"/>
  <c r="AR613" i="8"/>
  <c r="AR614" i="8"/>
  <c r="AR615" i="8"/>
  <c r="AR616" i="8"/>
  <c r="AR617" i="8"/>
  <c r="AR618" i="8"/>
  <c r="AR619" i="8"/>
  <c r="AR620" i="8"/>
  <c r="AR621" i="8"/>
  <c r="AR622" i="8"/>
  <c r="AR623" i="8"/>
  <c r="AR624" i="8"/>
  <c r="AR625" i="8"/>
  <c r="AR626" i="8"/>
  <c r="AR627" i="8"/>
  <c r="AR628" i="8"/>
  <c r="AR629" i="8"/>
  <c r="AR630" i="8"/>
  <c r="AR631" i="8"/>
  <c r="AR632" i="8"/>
  <c r="AR633" i="8"/>
  <c r="AR634" i="8"/>
  <c r="AR635" i="8"/>
  <c r="AR636" i="8"/>
  <c r="AR637" i="8"/>
  <c r="AR638" i="8"/>
  <c r="AR639" i="8"/>
  <c r="AR640" i="8"/>
  <c r="AR641" i="8"/>
  <c r="AR642" i="8"/>
  <c r="AR643" i="8"/>
  <c r="AR644" i="8"/>
  <c r="AR645" i="8"/>
  <c r="AR646" i="8"/>
  <c r="AR647" i="8"/>
  <c r="AR648" i="8"/>
  <c r="AR649" i="8"/>
  <c r="AR650" i="8"/>
  <c r="AR651" i="8"/>
  <c r="AR652" i="8"/>
  <c r="AR653" i="8"/>
  <c r="AR654" i="8"/>
  <c r="AR655" i="8"/>
  <c r="AR656" i="8"/>
  <c r="AR657" i="8"/>
  <c r="AR658" i="8"/>
  <c r="AR659" i="8"/>
  <c r="AR660" i="8"/>
  <c r="AR661" i="8"/>
  <c r="AR662" i="8"/>
  <c r="AR663" i="8"/>
  <c r="AR664" i="8"/>
  <c r="AR665" i="8"/>
  <c r="AR666" i="8"/>
  <c r="AR667" i="8"/>
  <c r="AR668" i="8"/>
  <c r="AR669" i="8"/>
  <c r="AR670" i="8"/>
  <c r="AR671" i="8"/>
  <c r="AR672" i="8"/>
  <c r="AR673" i="8"/>
  <c r="AR674" i="8"/>
  <c r="AR675" i="8"/>
  <c r="AR676" i="8"/>
  <c r="AR677" i="8"/>
  <c r="AR678" i="8"/>
  <c r="AR679" i="8"/>
  <c r="AR680" i="8"/>
  <c r="AR681" i="8"/>
  <c r="AR682" i="8"/>
  <c r="AR683" i="8"/>
  <c r="AR684" i="8"/>
  <c r="AR685" i="8"/>
  <c r="AR686" i="8"/>
  <c r="AR687" i="8"/>
  <c r="AR688" i="8"/>
  <c r="AR689" i="8"/>
  <c r="AR690" i="8"/>
  <c r="AR691" i="8"/>
  <c r="AR692" i="8"/>
  <c r="AR693" i="8"/>
  <c r="AR694" i="8"/>
  <c r="AR695" i="8"/>
  <c r="AR696" i="8"/>
  <c r="AR697" i="8"/>
  <c r="AR698" i="8"/>
  <c r="AR699" i="8"/>
  <c r="AR700" i="8"/>
  <c r="AR701" i="8"/>
  <c r="AR702" i="8"/>
  <c r="AR703" i="8"/>
  <c r="AR704" i="8"/>
  <c r="AR705" i="8"/>
  <c r="AR706" i="8"/>
  <c r="AR707" i="8"/>
  <c r="AR708" i="8"/>
  <c r="AR709" i="8"/>
  <c r="AR710" i="8"/>
  <c r="AR711" i="8"/>
  <c r="AR712" i="8"/>
  <c r="AR713" i="8"/>
  <c r="AR714" i="8"/>
  <c r="AR715" i="8"/>
  <c r="AR716" i="8"/>
  <c r="AR717" i="8"/>
  <c r="AR718" i="8"/>
  <c r="AR719" i="8"/>
  <c r="AR720" i="8"/>
  <c r="AR721" i="8"/>
  <c r="AR722" i="8"/>
  <c r="AR723" i="8"/>
  <c r="AR724" i="8"/>
  <c r="AR725" i="8"/>
  <c r="AR726" i="8"/>
  <c r="AR727" i="8"/>
  <c r="AR728" i="8"/>
  <c r="AR729" i="8"/>
  <c r="AR730" i="8"/>
  <c r="AR731" i="8"/>
  <c r="AR732" i="8"/>
  <c r="AR733" i="8"/>
  <c r="AR734" i="8"/>
  <c r="AR735" i="8"/>
  <c r="AR736" i="8"/>
  <c r="AR737" i="8"/>
  <c r="AR738" i="8"/>
  <c r="AR739" i="8"/>
  <c r="AR740" i="8"/>
  <c r="AR741" i="8"/>
  <c r="AR742" i="8"/>
  <c r="AR743" i="8"/>
  <c r="AR744" i="8"/>
  <c r="AR745" i="8"/>
  <c r="AR746" i="8"/>
  <c r="AR747" i="8"/>
  <c r="AR748" i="8"/>
  <c r="AR749" i="8"/>
  <c r="AR750" i="8"/>
  <c r="AR751" i="8"/>
  <c r="AR752" i="8"/>
  <c r="AR753" i="8"/>
  <c r="AR754" i="8"/>
  <c r="AR755" i="8"/>
  <c r="AR756" i="8"/>
  <c r="AR757" i="8"/>
  <c r="AR758" i="8"/>
  <c r="AR759" i="8"/>
  <c r="AR760" i="8"/>
  <c r="AR761" i="8"/>
  <c r="AR762" i="8"/>
  <c r="AR763" i="8"/>
  <c r="AR764" i="8"/>
  <c r="AR765" i="8"/>
  <c r="AR766" i="8"/>
  <c r="AR767" i="8"/>
  <c r="AR768" i="8"/>
  <c r="AR769" i="8"/>
  <c r="AR770" i="8"/>
  <c r="AR771" i="8"/>
  <c r="AR772" i="8"/>
  <c r="AR773" i="8"/>
  <c r="AR774" i="8"/>
  <c r="AR775" i="8"/>
  <c r="AR776" i="8"/>
  <c r="AR777" i="8"/>
  <c r="AR778" i="8"/>
  <c r="AR779" i="8"/>
  <c r="AR780" i="8"/>
  <c r="AR781" i="8"/>
  <c r="AR782" i="8"/>
  <c r="AR783" i="8"/>
  <c r="AR784" i="8"/>
  <c r="AR785" i="8"/>
  <c r="AR786" i="8"/>
  <c r="AR787" i="8"/>
  <c r="AR788" i="8"/>
  <c r="AR789" i="8"/>
  <c r="AR790" i="8"/>
  <c r="AR791" i="8"/>
  <c r="AR792" i="8"/>
  <c r="AR793" i="8"/>
  <c r="AR794" i="8"/>
  <c r="AR795" i="8"/>
  <c r="AR796" i="8"/>
  <c r="AR797" i="8"/>
  <c r="AR798" i="8"/>
  <c r="AR799" i="8"/>
  <c r="AR800" i="8"/>
  <c r="AR801" i="8"/>
  <c r="AR802" i="8"/>
  <c r="AR803" i="8"/>
  <c r="AR804" i="8"/>
  <c r="AR805" i="8"/>
  <c r="AR806" i="8"/>
  <c r="AR807" i="8"/>
  <c r="AR808" i="8"/>
  <c r="AR809" i="8"/>
  <c r="AR810" i="8"/>
  <c r="AR811" i="8"/>
  <c r="AR812" i="8"/>
  <c r="AR813" i="8"/>
  <c r="AR814" i="8"/>
  <c r="AR815" i="8"/>
  <c r="AR816" i="8"/>
  <c r="AR817" i="8"/>
  <c r="AR818" i="8"/>
  <c r="AR819" i="8"/>
  <c r="AR820" i="8"/>
  <c r="AR821" i="8"/>
  <c r="AR822" i="8"/>
  <c r="AR823" i="8"/>
  <c r="AR824" i="8"/>
  <c r="AR825" i="8"/>
  <c r="AR826" i="8"/>
  <c r="AR827" i="8"/>
  <c r="AR828" i="8"/>
  <c r="AR829" i="8"/>
  <c r="AR830" i="8"/>
  <c r="AR831" i="8"/>
  <c r="AR832" i="8"/>
  <c r="AR833" i="8"/>
  <c r="AR834" i="8"/>
  <c r="AR835" i="8"/>
  <c r="AR836" i="8"/>
  <c r="AR837" i="8"/>
  <c r="AR838" i="8"/>
  <c r="AR839" i="8"/>
  <c r="AR840" i="8"/>
  <c r="AR841" i="8"/>
  <c r="AR842" i="8"/>
  <c r="AR843" i="8"/>
  <c r="AR844" i="8"/>
  <c r="AR845" i="8"/>
  <c r="AR846" i="8"/>
  <c r="AR847" i="8"/>
  <c r="AR848" i="8"/>
  <c r="AR849" i="8"/>
  <c r="AR850" i="8"/>
  <c r="AR851" i="8"/>
  <c r="AR852" i="8"/>
  <c r="AR853" i="8"/>
  <c r="AR854" i="8"/>
  <c r="AR855" i="8"/>
  <c r="AR856" i="8"/>
  <c r="AR857" i="8"/>
  <c r="AR858" i="8"/>
  <c r="AR859" i="8"/>
  <c r="AR860" i="8"/>
  <c r="AR861" i="8"/>
  <c r="AR862" i="8"/>
  <c r="AR863" i="8"/>
  <c r="AR864" i="8"/>
  <c r="AR865" i="8"/>
  <c r="AR866" i="8"/>
  <c r="AR867" i="8"/>
  <c r="AR868" i="8"/>
  <c r="AR869" i="8"/>
  <c r="AR870" i="8"/>
  <c r="AR871" i="8"/>
  <c r="AR872" i="8"/>
  <c r="AR873" i="8"/>
  <c r="AR874" i="8"/>
  <c r="AR875" i="8"/>
  <c r="AR876" i="8"/>
  <c r="AR877" i="8"/>
  <c r="AR878" i="8"/>
  <c r="AR879" i="8"/>
  <c r="AR880" i="8"/>
  <c r="AR881" i="8"/>
  <c r="AR882" i="8"/>
  <c r="AR883" i="8"/>
  <c r="AR884" i="8"/>
  <c r="AR885" i="8"/>
  <c r="AR886" i="8"/>
  <c r="AR887" i="8"/>
  <c r="AR888" i="8"/>
  <c r="AR889" i="8"/>
  <c r="AR890" i="8"/>
  <c r="AR891" i="8"/>
  <c r="AR892" i="8"/>
  <c r="AR893" i="8"/>
  <c r="AR894" i="8"/>
  <c r="AR895" i="8"/>
  <c r="AR896" i="8"/>
  <c r="AR897" i="8"/>
  <c r="AR898" i="8"/>
  <c r="AR899" i="8"/>
  <c r="AR900" i="8"/>
  <c r="AR901" i="8"/>
  <c r="AR902" i="8"/>
  <c r="AR903" i="8"/>
  <c r="AR904" i="8"/>
  <c r="AR905" i="8"/>
  <c r="AR906" i="8"/>
  <c r="AR907" i="8"/>
  <c r="AR908" i="8"/>
  <c r="AR909" i="8"/>
  <c r="AR910" i="8"/>
  <c r="AR911" i="8"/>
  <c r="AR912" i="8"/>
  <c r="AR913" i="8"/>
  <c r="AR914" i="8"/>
  <c r="AR915" i="8"/>
  <c r="AR916" i="8"/>
  <c r="AR917" i="8"/>
  <c r="AR918" i="8"/>
  <c r="AR919" i="8"/>
  <c r="AR920" i="8"/>
  <c r="AR921" i="8"/>
  <c r="AR922" i="8"/>
  <c r="AR923" i="8"/>
  <c r="AR924" i="8"/>
  <c r="AR925" i="8"/>
  <c r="AR926" i="8"/>
  <c r="AR927" i="8"/>
  <c r="AR928" i="8"/>
  <c r="AR929" i="8"/>
  <c r="AR930" i="8"/>
  <c r="AR931" i="8"/>
  <c r="AR932" i="8"/>
  <c r="AR933" i="8"/>
  <c r="AR934" i="8"/>
  <c r="AR935" i="8"/>
  <c r="AR936" i="8"/>
  <c r="AR937" i="8"/>
  <c r="AR938" i="8"/>
  <c r="AR939" i="8"/>
  <c r="AR940" i="8"/>
  <c r="AR941" i="8"/>
  <c r="AR942" i="8"/>
  <c r="AR943" i="8"/>
  <c r="AR944" i="8"/>
  <c r="AR945" i="8"/>
  <c r="AT945" i="8" s="1"/>
  <c r="AR946" i="8"/>
  <c r="AR947" i="8"/>
  <c r="AR948" i="8"/>
  <c r="AR949" i="8"/>
  <c r="AR950" i="8"/>
  <c r="AR951" i="8"/>
  <c r="AR952" i="8"/>
  <c r="AR953" i="8"/>
  <c r="AR954" i="8"/>
  <c r="AR955" i="8"/>
  <c r="AR956" i="8"/>
  <c r="AR957" i="8"/>
  <c r="AR958" i="8"/>
  <c r="AR959" i="8"/>
  <c r="AR960" i="8"/>
  <c r="AR961" i="8"/>
  <c r="AR962" i="8"/>
  <c r="AR963" i="8"/>
  <c r="AR964" i="8"/>
  <c r="AR965" i="8"/>
  <c r="AR966" i="8"/>
  <c r="AR967" i="8"/>
  <c r="AR968" i="8"/>
  <c r="AR969" i="8"/>
  <c r="AT969" i="8" s="1"/>
  <c r="AR970" i="8"/>
  <c r="AR971" i="8"/>
  <c r="AR972" i="8"/>
  <c r="AR973" i="8"/>
  <c r="AR974" i="8"/>
  <c r="AR975" i="8"/>
  <c r="AR976" i="8"/>
  <c r="AR977" i="8"/>
  <c r="AR978" i="8"/>
  <c r="AR979" i="8"/>
  <c r="AR980" i="8"/>
  <c r="AR981" i="8"/>
  <c r="AT981" i="8" s="1"/>
  <c r="AR982" i="8"/>
  <c r="AR983" i="8"/>
  <c r="AR984" i="8"/>
  <c r="AR985" i="8"/>
  <c r="AR986" i="8"/>
  <c r="AR987" i="8"/>
  <c r="AR988" i="8"/>
  <c r="AR989" i="8"/>
  <c r="AR990" i="8"/>
  <c r="AR991" i="8"/>
  <c r="AR992" i="8"/>
  <c r="AR993" i="8"/>
  <c r="AR994" i="8"/>
  <c r="AR995" i="8"/>
  <c r="AR996" i="8"/>
  <c r="AR997" i="8"/>
  <c r="AR998" i="8"/>
  <c r="AR999" i="8"/>
  <c r="AR1000" i="8"/>
  <c r="AR1001" i="8"/>
  <c r="AR1002" i="8"/>
  <c r="AR1003" i="8"/>
  <c r="AR1004" i="8"/>
  <c r="AR1005" i="8"/>
  <c r="AR1006" i="8"/>
  <c r="AR1007" i="8"/>
  <c r="AR1008" i="8"/>
  <c r="AR1009" i="8"/>
  <c r="AR1010" i="8"/>
  <c r="AR1011" i="8"/>
  <c r="AR1012" i="8"/>
  <c r="AR1013" i="8"/>
  <c r="AR1014" i="8"/>
  <c r="AR1015" i="8"/>
  <c r="AR1016" i="8"/>
  <c r="AR1017" i="8"/>
  <c r="AT1017" i="8" s="1"/>
  <c r="AR1018" i="8"/>
  <c r="AR1019" i="8"/>
  <c r="AR1020" i="8"/>
  <c r="AR1021" i="8"/>
  <c r="AR1022" i="8"/>
  <c r="AR1023" i="8"/>
  <c r="AR1024" i="8"/>
  <c r="AR1025" i="8"/>
  <c r="AR1026" i="8"/>
  <c r="AR1027" i="8"/>
  <c r="AR1028" i="8"/>
  <c r="AR1029" i="8"/>
  <c r="AR1030" i="8"/>
  <c r="AR1031" i="8"/>
  <c r="AR1032" i="8"/>
  <c r="AR1033" i="8"/>
  <c r="AR1034" i="8"/>
  <c r="AR1035" i="8"/>
  <c r="AR1036" i="8"/>
  <c r="AR1037" i="8"/>
  <c r="AR1038" i="8"/>
  <c r="AR1039" i="8"/>
  <c r="AR1040" i="8"/>
  <c r="AR1041" i="8"/>
  <c r="AT1041" i="8" s="1"/>
  <c r="AR1042" i="8"/>
  <c r="AR1043" i="8"/>
  <c r="AR1044" i="8"/>
  <c r="AR1045" i="8"/>
  <c r="AR4" i="8"/>
  <c r="AN507" i="8"/>
  <c r="AN508" i="8"/>
  <c r="AN509" i="8"/>
  <c r="AN510" i="8"/>
  <c r="AN511" i="8"/>
  <c r="AN512" i="8"/>
  <c r="AN513" i="8"/>
  <c r="AN514" i="8"/>
  <c r="AN515" i="8"/>
  <c r="AN516" i="8"/>
  <c r="AN517" i="8"/>
  <c r="AN518" i="8"/>
  <c r="AN519" i="8"/>
  <c r="AN520" i="8"/>
  <c r="AN521" i="8"/>
  <c r="AN522" i="8"/>
  <c r="AN523" i="8"/>
  <c r="AN524" i="8"/>
  <c r="AN525" i="8"/>
  <c r="AN526" i="8"/>
  <c r="AN527" i="8"/>
  <c r="AN528" i="8"/>
  <c r="AN529" i="8"/>
  <c r="AN530" i="8"/>
  <c r="AN531" i="8"/>
  <c r="AN532" i="8"/>
  <c r="AN533" i="8"/>
  <c r="AN534" i="8"/>
  <c r="AN535" i="8"/>
  <c r="AN536" i="8"/>
  <c r="AN537" i="8"/>
  <c r="AN538" i="8"/>
  <c r="AN539" i="8"/>
  <c r="AN540" i="8"/>
  <c r="AN541" i="8"/>
  <c r="AN542" i="8"/>
  <c r="AN543" i="8"/>
  <c r="AN544" i="8"/>
  <c r="AN545" i="8"/>
  <c r="AN546" i="8"/>
  <c r="AN547" i="8"/>
  <c r="AN548" i="8"/>
  <c r="AN549" i="8"/>
  <c r="AN550" i="8"/>
  <c r="AN551" i="8"/>
  <c r="AN552" i="8"/>
  <c r="AN553" i="8"/>
  <c r="AN554" i="8"/>
  <c r="AN555" i="8"/>
  <c r="AN556" i="8"/>
  <c r="AN557" i="8"/>
  <c r="AN558" i="8"/>
  <c r="AN559" i="8"/>
  <c r="AN560" i="8"/>
  <c r="AN561" i="8"/>
  <c r="AN562" i="8"/>
  <c r="AN563" i="8"/>
  <c r="AN564" i="8"/>
  <c r="AN565" i="8"/>
  <c r="AN566" i="8"/>
  <c r="AN567" i="8"/>
  <c r="AN568" i="8"/>
  <c r="AN569" i="8"/>
  <c r="AN570" i="8"/>
  <c r="AN571" i="8"/>
  <c r="AN572" i="8"/>
  <c r="AN573" i="8"/>
  <c r="AN574" i="8"/>
  <c r="AN575" i="8"/>
  <c r="AN576" i="8"/>
  <c r="AN577" i="8"/>
  <c r="AN578" i="8"/>
  <c r="AN579" i="8"/>
  <c r="AN580" i="8"/>
  <c r="AN581" i="8"/>
  <c r="AN582" i="8"/>
  <c r="AN583" i="8"/>
  <c r="AN584" i="8"/>
  <c r="AN585" i="8"/>
  <c r="AN586" i="8"/>
  <c r="AN587" i="8"/>
  <c r="AN588" i="8"/>
  <c r="AN589" i="8"/>
  <c r="AN590" i="8"/>
  <c r="AN591" i="8"/>
  <c r="AN592" i="8"/>
  <c r="AN593" i="8"/>
  <c r="AN594" i="8"/>
  <c r="AN595" i="8"/>
  <c r="AN596" i="8"/>
  <c r="AN597" i="8"/>
  <c r="AN598" i="8"/>
  <c r="AN599" i="8"/>
  <c r="AN600" i="8"/>
  <c r="AN601" i="8"/>
  <c r="AN602" i="8"/>
  <c r="AN603" i="8"/>
  <c r="AN604" i="8"/>
  <c r="AN605" i="8"/>
  <c r="AN606" i="8"/>
  <c r="AN607" i="8"/>
  <c r="AN608" i="8"/>
  <c r="AN609" i="8"/>
  <c r="AN610" i="8"/>
  <c r="AN611" i="8"/>
  <c r="AN612" i="8"/>
  <c r="AN613" i="8"/>
  <c r="AN614" i="8"/>
  <c r="AN615" i="8"/>
  <c r="AN616" i="8"/>
  <c r="AN617" i="8"/>
  <c r="AN618" i="8"/>
  <c r="AN619" i="8"/>
  <c r="AN620" i="8"/>
  <c r="AN621" i="8"/>
  <c r="AN622" i="8"/>
  <c r="AN623" i="8"/>
  <c r="AN624" i="8"/>
  <c r="AN625" i="8"/>
  <c r="AN626" i="8"/>
  <c r="AN627" i="8"/>
  <c r="AN628" i="8"/>
  <c r="AN629" i="8"/>
  <c r="AN630" i="8"/>
  <c r="AN631" i="8"/>
  <c r="AN632" i="8"/>
  <c r="AN633" i="8"/>
  <c r="AN634" i="8"/>
  <c r="AN635" i="8"/>
  <c r="AN636" i="8"/>
  <c r="AN637" i="8"/>
  <c r="AN638" i="8"/>
  <c r="AN639" i="8"/>
  <c r="AN640" i="8"/>
  <c r="AN641" i="8"/>
  <c r="AN642" i="8"/>
  <c r="AN643" i="8"/>
  <c r="AN644" i="8"/>
  <c r="AN645" i="8"/>
  <c r="AN646" i="8"/>
  <c r="AN647" i="8"/>
  <c r="AN648" i="8"/>
  <c r="AN649" i="8"/>
  <c r="AN650" i="8"/>
  <c r="AN651" i="8"/>
  <c r="AN652" i="8"/>
  <c r="AN653" i="8"/>
  <c r="AN654" i="8"/>
  <c r="AN655" i="8"/>
  <c r="AN656" i="8"/>
  <c r="AN657" i="8"/>
  <c r="AN658" i="8"/>
  <c r="AN659" i="8"/>
  <c r="AN660" i="8"/>
  <c r="AN661" i="8"/>
  <c r="AN662" i="8"/>
  <c r="AN663" i="8"/>
  <c r="AN664" i="8"/>
  <c r="AN665" i="8"/>
  <c r="AN666" i="8"/>
  <c r="AN667" i="8"/>
  <c r="AN668" i="8"/>
  <c r="AN669" i="8"/>
  <c r="AN670" i="8"/>
  <c r="AN671" i="8"/>
  <c r="AN672" i="8"/>
  <c r="AN673" i="8"/>
  <c r="AN674" i="8"/>
  <c r="AN675" i="8"/>
  <c r="AN676" i="8"/>
  <c r="AN677" i="8"/>
  <c r="AN678" i="8"/>
  <c r="AN679" i="8"/>
  <c r="AN680" i="8"/>
  <c r="AN681" i="8"/>
  <c r="AN682" i="8"/>
  <c r="AN683" i="8"/>
  <c r="AN684" i="8"/>
  <c r="AN685" i="8"/>
  <c r="AN686" i="8"/>
  <c r="AN687" i="8"/>
  <c r="AN688" i="8"/>
  <c r="AN689" i="8"/>
  <c r="AN690" i="8"/>
  <c r="AN691" i="8"/>
  <c r="AN692" i="8"/>
  <c r="AN693" i="8"/>
  <c r="AN694" i="8"/>
  <c r="AN695" i="8"/>
  <c r="AN696" i="8"/>
  <c r="AN697" i="8"/>
  <c r="AN698" i="8"/>
  <c r="AN699" i="8"/>
  <c r="AN700" i="8"/>
  <c r="AN701" i="8"/>
  <c r="AN702" i="8"/>
  <c r="AN703" i="8"/>
  <c r="AN704" i="8"/>
  <c r="AN705" i="8"/>
  <c r="AN706" i="8"/>
  <c r="AN707" i="8"/>
  <c r="AN708" i="8"/>
  <c r="AN709" i="8"/>
  <c r="AN710" i="8"/>
  <c r="AN711" i="8"/>
  <c r="AN712" i="8"/>
  <c r="AN713" i="8"/>
  <c r="AN714" i="8"/>
  <c r="AN715" i="8"/>
  <c r="AN716" i="8"/>
  <c r="AN717" i="8"/>
  <c r="AN718" i="8"/>
  <c r="AN719" i="8"/>
  <c r="AN720" i="8"/>
  <c r="AN721" i="8"/>
  <c r="AN722" i="8"/>
  <c r="AN723" i="8"/>
  <c r="AN724" i="8"/>
  <c r="AN725" i="8"/>
  <c r="AN726" i="8"/>
  <c r="AN727" i="8"/>
  <c r="AN728" i="8"/>
  <c r="AN729" i="8"/>
  <c r="AN730" i="8"/>
  <c r="AN731" i="8"/>
  <c r="AN732" i="8"/>
  <c r="AN733" i="8"/>
  <c r="AN734" i="8"/>
  <c r="AN735" i="8"/>
  <c r="AN736" i="8"/>
  <c r="AN737" i="8"/>
  <c r="AN738" i="8"/>
  <c r="AN739" i="8"/>
  <c r="AN740" i="8"/>
  <c r="AN741" i="8"/>
  <c r="AN742" i="8"/>
  <c r="AN743" i="8"/>
  <c r="AN744" i="8"/>
  <c r="AN745" i="8"/>
  <c r="AN746" i="8"/>
  <c r="AN747" i="8"/>
  <c r="AN748" i="8"/>
  <c r="AN749" i="8"/>
  <c r="AN750" i="8"/>
  <c r="AN751" i="8"/>
  <c r="AN752" i="8"/>
  <c r="AN753" i="8"/>
  <c r="AN754" i="8"/>
  <c r="AN755" i="8"/>
  <c r="AN756" i="8"/>
  <c r="AN757" i="8"/>
  <c r="AN758" i="8"/>
  <c r="AN759" i="8"/>
  <c r="AN760" i="8"/>
  <c r="AN761" i="8"/>
  <c r="AN762" i="8"/>
  <c r="AN763" i="8"/>
  <c r="AN764" i="8"/>
  <c r="AN765" i="8"/>
  <c r="AN766" i="8"/>
  <c r="AN767" i="8"/>
  <c r="AN768" i="8"/>
  <c r="AN769" i="8"/>
  <c r="AN770" i="8"/>
  <c r="AN771" i="8"/>
  <c r="AN772" i="8"/>
  <c r="AN773" i="8"/>
  <c r="AN774" i="8"/>
  <c r="AN775" i="8"/>
  <c r="AN776" i="8"/>
  <c r="AN777" i="8"/>
  <c r="AN778" i="8"/>
  <c r="AN779" i="8"/>
  <c r="AN780" i="8"/>
  <c r="AN781" i="8"/>
  <c r="AN782" i="8"/>
  <c r="AN783" i="8"/>
  <c r="AN784" i="8"/>
  <c r="AN785" i="8"/>
  <c r="AN786" i="8"/>
  <c r="AN787" i="8"/>
  <c r="AN788" i="8"/>
  <c r="AN789" i="8"/>
  <c r="AN790" i="8"/>
  <c r="AN791" i="8"/>
  <c r="AN792" i="8"/>
  <c r="AN793" i="8"/>
  <c r="AN794" i="8"/>
  <c r="AN795" i="8"/>
  <c r="AN796" i="8"/>
  <c r="AN797" i="8"/>
  <c r="AN798" i="8"/>
  <c r="AN799" i="8"/>
  <c r="AN800" i="8"/>
  <c r="AN801" i="8"/>
  <c r="AN802" i="8"/>
  <c r="AN803" i="8"/>
  <c r="AN804" i="8"/>
  <c r="AN805" i="8"/>
  <c r="AN806" i="8"/>
  <c r="AN807" i="8"/>
  <c r="AN808" i="8"/>
  <c r="AN809" i="8"/>
  <c r="AN810" i="8"/>
  <c r="AN811" i="8"/>
  <c r="AN812" i="8"/>
  <c r="AN813" i="8"/>
  <c r="AN814" i="8"/>
  <c r="AN815" i="8"/>
  <c r="AN816" i="8"/>
  <c r="AN817" i="8"/>
  <c r="AN818" i="8"/>
  <c r="AN819" i="8"/>
  <c r="AN820" i="8"/>
  <c r="AN821" i="8"/>
  <c r="AN822" i="8"/>
  <c r="AN823" i="8"/>
  <c r="AN824" i="8"/>
  <c r="AN825" i="8"/>
  <c r="AN826" i="8"/>
  <c r="AN827" i="8"/>
  <c r="AN828" i="8"/>
  <c r="AN829" i="8"/>
  <c r="AN830" i="8"/>
  <c r="AN831" i="8"/>
  <c r="AN832" i="8"/>
  <c r="AN833" i="8"/>
  <c r="AN834" i="8"/>
  <c r="AN835" i="8"/>
  <c r="AN836" i="8"/>
  <c r="AN837" i="8"/>
  <c r="AN838" i="8"/>
  <c r="AN839" i="8"/>
  <c r="AN840" i="8"/>
  <c r="AN841" i="8"/>
  <c r="AN842" i="8"/>
  <c r="AN843" i="8"/>
  <c r="AN844" i="8"/>
  <c r="AN845" i="8"/>
  <c r="AN846" i="8"/>
  <c r="AN847" i="8"/>
  <c r="AN848" i="8"/>
  <c r="AN849" i="8"/>
  <c r="AN850" i="8"/>
  <c r="AN851" i="8"/>
  <c r="AN852" i="8"/>
  <c r="AN853" i="8"/>
  <c r="AN854" i="8"/>
  <c r="AN855" i="8"/>
  <c r="AN856" i="8"/>
  <c r="AN857" i="8"/>
  <c r="AN858" i="8"/>
  <c r="AN859" i="8"/>
  <c r="AN860" i="8"/>
  <c r="AN861" i="8"/>
  <c r="AN862" i="8"/>
  <c r="AN863" i="8"/>
  <c r="AN864" i="8"/>
  <c r="AN865" i="8"/>
  <c r="AN866" i="8"/>
  <c r="AN867" i="8"/>
  <c r="AN868" i="8"/>
  <c r="AN869" i="8"/>
  <c r="AN870" i="8"/>
  <c r="AN871" i="8"/>
  <c r="AN872" i="8"/>
  <c r="AN873" i="8"/>
  <c r="AN874" i="8"/>
  <c r="AN875" i="8"/>
  <c r="AN876" i="8"/>
  <c r="AN877" i="8"/>
  <c r="AN878" i="8"/>
  <c r="AN879" i="8"/>
  <c r="AN880" i="8"/>
  <c r="AN881" i="8"/>
  <c r="AN882" i="8"/>
  <c r="AN883" i="8"/>
  <c r="AN884" i="8"/>
  <c r="AN885" i="8"/>
  <c r="AN886" i="8"/>
  <c r="AN887" i="8"/>
  <c r="AN888" i="8"/>
  <c r="AN889" i="8"/>
  <c r="AN890" i="8"/>
  <c r="AN891" i="8"/>
  <c r="AN892" i="8"/>
  <c r="AN893" i="8"/>
  <c r="AN894" i="8"/>
  <c r="AN895" i="8"/>
  <c r="AN896" i="8"/>
  <c r="AN897" i="8"/>
  <c r="AN898" i="8"/>
  <c r="AN899" i="8"/>
  <c r="AN900" i="8"/>
  <c r="AN901" i="8"/>
  <c r="AN902" i="8"/>
  <c r="AN903" i="8"/>
  <c r="AN904" i="8"/>
  <c r="AN905" i="8"/>
  <c r="AN906" i="8"/>
  <c r="AN907" i="8"/>
  <c r="AN908" i="8"/>
  <c r="AN909" i="8"/>
  <c r="AN910" i="8"/>
  <c r="AN911" i="8"/>
  <c r="AN912" i="8"/>
  <c r="AN913" i="8"/>
  <c r="AN914" i="8"/>
  <c r="AN915" i="8"/>
  <c r="AN916" i="8"/>
  <c r="AN917" i="8"/>
  <c r="AN918" i="8"/>
  <c r="AN919" i="8"/>
  <c r="AN920" i="8"/>
  <c r="AN921" i="8"/>
  <c r="AN922" i="8"/>
  <c r="AN923" i="8"/>
  <c r="AN924" i="8"/>
  <c r="AN925" i="8"/>
  <c r="AN926" i="8"/>
  <c r="AN927" i="8"/>
  <c r="AN928" i="8"/>
  <c r="AN929" i="8"/>
  <c r="AN930" i="8"/>
  <c r="AN931" i="8"/>
  <c r="AN932" i="8"/>
  <c r="AN933" i="8"/>
  <c r="AN934" i="8"/>
  <c r="AN935" i="8"/>
  <c r="AN936" i="8"/>
  <c r="AN937" i="8"/>
  <c r="AN938" i="8"/>
  <c r="AN939" i="8"/>
  <c r="AN940" i="8"/>
  <c r="AN941" i="8"/>
  <c r="AN942" i="8"/>
  <c r="AN943" i="8"/>
  <c r="AN944" i="8"/>
  <c r="AN945" i="8"/>
  <c r="AN946" i="8"/>
  <c r="AN947" i="8"/>
  <c r="AN948" i="8"/>
  <c r="AN949" i="8"/>
  <c r="AN950" i="8"/>
  <c r="AN951" i="8"/>
  <c r="AN952" i="8"/>
  <c r="AN953" i="8"/>
  <c r="AN954" i="8"/>
  <c r="AN955" i="8"/>
  <c r="AN956" i="8"/>
  <c r="AN957" i="8"/>
  <c r="AN958" i="8"/>
  <c r="AN959" i="8"/>
  <c r="AN960" i="8"/>
  <c r="AN961" i="8"/>
  <c r="AN962" i="8"/>
  <c r="AN963" i="8"/>
  <c r="AN964" i="8"/>
  <c r="AN965" i="8"/>
  <c r="AN966" i="8"/>
  <c r="AN967" i="8"/>
  <c r="AN968" i="8"/>
  <c r="AN969" i="8"/>
  <c r="AN970" i="8"/>
  <c r="AN971" i="8"/>
  <c r="AN972" i="8"/>
  <c r="AN973" i="8"/>
  <c r="AN974" i="8"/>
  <c r="AN975" i="8"/>
  <c r="AN976" i="8"/>
  <c r="AN977" i="8"/>
  <c r="AN978" i="8"/>
  <c r="AN979" i="8"/>
  <c r="AN980" i="8"/>
  <c r="AN981" i="8"/>
  <c r="AN982" i="8"/>
  <c r="AN983" i="8"/>
  <c r="AN984" i="8"/>
  <c r="AN985" i="8"/>
  <c r="AN986" i="8"/>
  <c r="AN987" i="8"/>
  <c r="AN988" i="8"/>
  <c r="AN989" i="8"/>
  <c r="AN990" i="8"/>
  <c r="AN991" i="8"/>
  <c r="AN992" i="8"/>
  <c r="AN993" i="8"/>
  <c r="AN994" i="8"/>
  <c r="AN995" i="8"/>
  <c r="AN996" i="8"/>
  <c r="AN997" i="8"/>
  <c r="AN998" i="8"/>
  <c r="AN999" i="8"/>
  <c r="AN1000" i="8"/>
  <c r="AN1001" i="8"/>
  <c r="AN1002" i="8"/>
  <c r="AN1003" i="8"/>
  <c r="AN1004" i="8"/>
  <c r="AN1005" i="8"/>
  <c r="AN1006" i="8"/>
  <c r="AN1007" i="8"/>
  <c r="AN1008" i="8"/>
  <c r="AN1009" i="8"/>
  <c r="AN1010" i="8"/>
  <c r="AN1011" i="8"/>
  <c r="AN1012" i="8"/>
  <c r="AN1013" i="8"/>
  <c r="AN1014" i="8"/>
  <c r="AN1015" i="8"/>
  <c r="AN1016" i="8"/>
  <c r="AN1017" i="8"/>
  <c r="AN1018" i="8"/>
  <c r="AN1019" i="8"/>
  <c r="AN1020" i="8"/>
  <c r="AN1021" i="8"/>
  <c r="AN1022" i="8"/>
  <c r="AN1023" i="8"/>
  <c r="AN1024" i="8"/>
  <c r="AN1025" i="8"/>
  <c r="AN1026" i="8"/>
  <c r="AN1027" i="8"/>
  <c r="AN1028" i="8"/>
  <c r="AN1029" i="8"/>
  <c r="AN1030" i="8"/>
  <c r="AN1031" i="8"/>
  <c r="AN1032" i="8"/>
  <c r="AN1033" i="8"/>
  <c r="AN1034" i="8"/>
  <c r="AN1035" i="8"/>
  <c r="AN1036" i="8"/>
  <c r="AN1037" i="8"/>
  <c r="AN1038" i="8"/>
  <c r="AN1039" i="8"/>
  <c r="AN1040" i="8"/>
  <c r="AN1041" i="8"/>
  <c r="AN1042" i="8"/>
  <c r="AN1043" i="8"/>
  <c r="AN1044" i="8"/>
  <c r="AN1045" i="8"/>
  <c r="AN1046" i="8"/>
  <c r="AM507" i="8"/>
  <c r="AM508" i="8"/>
  <c r="AM509" i="8"/>
  <c r="AM510" i="8"/>
  <c r="AM511" i="8"/>
  <c r="AM512" i="8"/>
  <c r="AM513" i="8"/>
  <c r="AO513" i="8" s="1"/>
  <c r="AM514" i="8"/>
  <c r="AM515" i="8"/>
  <c r="AM516" i="8"/>
  <c r="AM517" i="8"/>
  <c r="AM518" i="8"/>
  <c r="AM519" i="8"/>
  <c r="AM520" i="8"/>
  <c r="AM521" i="8"/>
  <c r="AM522" i="8"/>
  <c r="AM523" i="8"/>
  <c r="AM524" i="8"/>
  <c r="AM525" i="8"/>
  <c r="AM526" i="8"/>
  <c r="AM527" i="8"/>
  <c r="AM528" i="8"/>
  <c r="AM529" i="8"/>
  <c r="AM530" i="8"/>
  <c r="AM531" i="8"/>
  <c r="AO531" i="8" s="1"/>
  <c r="AM532" i="8"/>
  <c r="AM533" i="8"/>
  <c r="AM534" i="8"/>
  <c r="AM535" i="8"/>
  <c r="AM536" i="8"/>
  <c r="AM537" i="8"/>
  <c r="AM538" i="8"/>
  <c r="AM539" i="8"/>
  <c r="AM540" i="8"/>
  <c r="AM541" i="8"/>
  <c r="AM542" i="8"/>
  <c r="AM543" i="8"/>
  <c r="AM544" i="8"/>
  <c r="AM545" i="8"/>
  <c r="AM546" i="8"/>
  <c r="AO546" i="8" s="1"/>
  <c r="AM547" i="8"/>
  <c r="AM548" i="8"/>
  <c r="AM549" i="8"/>
  <c r="AM550" i="8"/>
  <c r="AM551" i="8"/>
  <c r="AM552" i="8"/>
  <c r="AM553" i="8"/>
  <c r="AM554" i="8"/>
  <c r="AM555" i="8"/>
  <c r="AM556" i="8"/>
  <c r="AM557" i="8"/>
  <c r="AM558" i="8"/>
  <c r="AM559" i="8"/>
  <c r="AM560" i="8"/>
  <c r="AM561" i="8"/>
  <c r="AM562" i="8"/>
  <c r="AM563" i="8"/>
  <c r="AM564" i="8"/>
  <c r="AM565" i="8"/>
  <c r="AO565" i="8" s="1"/>
  <c r="AM566" i="8"/>
  <c r="AM567" i="8"/>
  <c r="AM568" i="8"/>
  <c r="AM569" i="8"/>
  <c r="AM570" i="8"/>
  <c r="AM571" i="8"/>
  <c r="AM572" i="8"/>
  <c r="AM573" i="8"/>
  <c r="AO573" i="8" s="1"/>
  <c r="AM574" i="8"/>
  <c r="AM575" i="8"/>
  <c r="AM576" i="8"/>
  <c r="AM577" i="8"/>
  <c r="AM578" i="8"/>
  <c r="AM579" i="8"/>
  <c r="AM580" i="8"/>
  <c r="AM581" i="8"/>
  <c r="AM582" i="8"/>
  <c r="AM583" i="8"/>
  <c r="AM584" i="8"/>
  <c r="AM585" i="8"/>
  <c r="AM586" i="8"/>
  <c r="AM587" i="8"/>
  <c r="AM588" i="8"/>
  <c r="AM589" i="8"/>
  <c r="AM590" i="8"/>
  <c r="AM591" i="8"/>
  <c r="AM592" i="8"/>
  <c r="AM593" i="8"/>
  <c r="AM594" i="8"/>
  <c r="AM595" i="8"/>
  <c r="AM596" i="8"/>
  <c r="AO596" i="8" s="1"/>
  <c r="AM597" i="8"/>
  <c r="AM598" i="8"/>
  <c r="AM599" i="8"/>
  <c r="AM600" i="8"/>
  <c r="AM601" i="8"/>
  <c r="AM602" i="8"/>
  <c r="AM603" i="8"/>
  <c r="AM604" i="8"/>
  <c r="AO604" i="8" s="1"/>
  <c r="AM605" i="8"/>
  <c r="AM606" i="8"/>
  <c r="AM607" i="8"/>
  <c r="AM608" i="8"/>
  <c r="AM609" i="8"/>
  <c r="AM610" i="8"/>
  <c r="AM611" i="8"/>
  <c r="AM612" i="8"/>
  <c r="AM613" i="8"/>
  <c r="AM614" i="8"/>
  <c r="AM615" i="8"/>
  <c r="AM616" i="8"/>
  <c r="AM617" i="8"/>
  <c r="AM618" i="8"/>
  <c r="AM619" i="8"/>
  <c r="AM620" i="8"/>
  <c r="AO620" i="8" s="1"/>
  <c r="AM621" i="8"/>
  <c r="AM622" i="8"/>
  <c r="AM623" i="8"/>
  <c r="AM624" i="8"/>
  <c r="AM625" i="8"/>
  <c r="AM626" i="8"/>
  <c r="AM627" i="8"/>
  <c r="AM628" i="8"/>
  <c r="AM629" i="8"/>
  <c r="AM630" i="8"/>
  <c r="AM631" i="8"/>
  <c r="AM632" i="8"/>
  <c r="AM633" i="8"/>
  <c r="AM634" i="8"/>
  <c r="AM635" i="8"/>
  <c r="AM636" i="8"/>
  <c r="AM637" i="8"/>
  <c r="AM638" i="8"/>
  <c r="AM639" i="8"/>
  <c r="AM640" i="8"/>
  <c r="AM641" i="8"/>
  <c r="AM642" i="8"/>
  <c r="AM643" i="8"/>
  <c r="AM644" i="8"/>
  <c r="AM645" i="8"/>
  <c r="AM646" i="8"/>
  <c r="AM647" i="8"/>
  <c r="AM648" i="8"/>
  <c r="AM649" i="8"/>
  <c r="AM650" i="8"/>
  <c r="AM651" i="8"/>
  <c r="AM652" i="8"/>
  <c r="AM653" i="8"/>
  <c r="AM654" i="8"/>
  <c r="AO654" i="8" s="1"/>
  <c r="AM655" i="8"/>
  <c r="AM656" i="8"/>
  <c r="AM657" i="8"/>
  <c r="AM658" i="8"/>
  <c r="AM659" i="8"/>
  <c r="AM660" i="8"/>
  <c r="AM661" i="8"/>
  <c r="AM662" i="8"/>
  <c r="AM663" i="8"/>
  <c r="AM664" i="8"/>
  <c r="AM665" i="8"/>
  <c r="AM666" i="8"/>
  <c r="AM667" i="8"/>
  <c r="AM668" i="8"/>
  <c r="AM669" i="8"/>
  <c r="AM670" i="8"/>
  <c r="AM671" i="8"/>
  <c r="AM672" i="8"/>
  <c r="AM673" i="8"/>
  <c r="AM674" i="8"/>
  <c r="AM675" i="8"/>
  <c r="AM676" i="8"/>
  <c r="AM677" i="8"/>
  <c r="AM678" i="8"/>
  <c r="AM679" i="8"/>
  <c r="AM680" i="8"/>
  <c r="AM681" i="8"/>
  <c r="AM682" i="8"/>
  <c r="AM683" i="8"/>
  <c r="AM684" i="8"/>
  <c r="AM685" i="8"/>
  <c r="AM686" i="8"/>
  <c r="AM687" i="8"/>
  <c r="AM688" i="8"/>
  <c r="AM689" i="8"/>
  <c r="AM690" i="8"/>
  <c r="AM691" i="8"/>
  <c r="AM692" i="8"/>
  <c r="AM693" i="8"/>
  <c r="AM694" i="8"/>
  <c r="AM695" i="8"/>
  <c r="AM696" i="8"/>
  <c r="AM697" i="8"/>
  <c r="AM698" i="8"/>
  <c r="AM699" i="8"/>
  <c r="AM700" i="8"/>
  <c r="AM701" i="8"/>
  <c r="AM702" i="8"/>
  <c r="AM703" i="8"/>
  <c r="AM704" i="8"/>
  <c r="AM705" i="8"/>
  <c r="AM706" i="8"/>
  <c r="AM707" i="8"/>
  <c r="AM708" i="8"/>
  <c r="AM709" i="8"/>
  <c r="AM710" i="8"/>
  <c r="AM711" i="8"/>
  <c r="AM712" i="8"/>
  <c r="AM713" i="8"/>
  <c r="AM714" i="8"/>
  <c r="AM715" i="8"/>
  <c r="AM716" i="8"/>
  <c r="AM717" i="8"/>
  <c r="AO717" i="8" s="1"/>
  <c r="AM718" i="8"/>
  <c r="AM719" i="8"/>
  <c r="AM720" i="8"/>
  <c r="AM721" i="8"/>
  <c r="AM722" i="8"/>
  <c r="AM723" i="8"/>
  <c r="AM724" i="8"/>
  <c r="AM725" i="8"/>
  <c r="AM726" i="8"/>
  <c r="AM727" i="8"/>
  <c r="AM728" i="8"/>
  <c r="AM729" i="8"/>
  <c r="AM730" i="8"/>
  <c r="AM731" i="8"/>
  <c r="AM732" i="8"/>
  <c r="AM733" i="8"/>
  <c r="AM734" i="8"/>
  <c r="AM735" i="8"/>
  <c r="AM736" i="8"/>
  <c r="AM737" i="8"/>
  <c r="AM738" i="8"/>
  <c r="AM739" i="8"/>
  <c r="AM740" i="8"/>
  <c r="AM741" i="8"/>
  <c r="AM742" i="8"/>
  <c r="AM743" i="8"/>
  <c r="AM744" i="8"/>
  <c r="AM745" i="8"/>
  <c r="AM746" i="8"/>
  <c r="AM747" i="8"/>
  <c r="AM748" i="8"/>
  <c r="AM749" i="8"/>
  <c r="AM750" i="8"/>
  <c r="AM751" i="8"/>
  <c r="AM752" i="8"/>
  <c r="AM753" i="8"/>
  <c r="AM754" i="8"/>
  <c r="AM755" i="8"/>
  <c r="AM756" i="8"/>
  <c r="AM757" i="8"/>
  <c r="AM758" i="8"/>
  <c r="AM759" i="8"/>
  <c r="AM760" i="8"/>
  <c r="AM761" i="8"/>
  <c r="AM762" i="8"/>
  <c r="AM763" i="8"/>
  <c r="AM764" i="8"/>
  <c r="AM765" i="8"/>
  <c r="AM766" i="8"/>
  <c r="AM767" i="8"/>
  <c r="AM768" i="8"/>
  <c r="AM769" i="8"/>
  <c r="AM770" i="8"/>
  <c r="AM771" i="8"/>
  <c r="AM772" i="8"/>
  <c r="AO772" i="8" s="1"/>
  <c r="AM773" i="8"/>
  <c r="AM774" i="8"/>
  <c r="AM775" i="8"/>
  <c r="AM776" i="8"/>
  <c r="AM777" i="8"/>
  <c r="AM778" i="8"/>
  <c r="AM779" i="8"/>
  <c r="AM780" i="8"/>
  <c r="AM781" i="8"/>
  <c r="AM782" i="8"/>
  <c r="AM783" i="8"/>
  <c r="AM784" i="8"/>
  <c r="AO784" i="8" s="1"/>
  <c r="AM785" i="8"/>
  <c r="AM786" i="8"/>
  <c r="AM787" i="8"/>
  <c r="AM788" i="8"/>
  <c r="AM789" i="8"/>
  <c r="AM790" i="8"/>
  <c r="AM791" i="8"/>
  <c r="AM792" i="8"/>
  <c r="AM793" i="8"/>
  <c r="AM794" i="8"/>
  <c r="AM795" i="8"/>
  <c r="AM796" i="8"/>
  <c r="AM797" i="8"/>
  <c r="AM798" i="8"/>
  <c r="AM799" i="8"/>
  <c r="AM800" i="8"/>
  <c r="AM801" i="8"/>
  <c r="AM802" i="8"/>
  <c r="AM803" i="8"/>
  <c r="AM804" i="8"/>
  <c r="AM805" i="8"/>
  <c r="AM806" i="8"/>
  <c r="AM807" i="8"/>
  <c r="AM808" i="8"/>
  <c r="AM809" i="8"/>
  <c r="AM810" i="8"/>
  <c r="AM811" i="8"/>
  <c r="AM812" i="8"/>
  <c r="AM813" i="8"/>
  <c r="AM814" i="8"/>
  <c r="AM815" i="8"/>
  <c r="AM816" i="8"/>
  <c r="AM817" i="8"/>
  <c r="AM818" i="8"/>
  <c r="AM819" i="8"/>
  <c r="AM820" i="8"/>
  <c r="AM821" i="8"/>
  <c r="AM822" i="8"/>
  <c r="AM823" i="8"/>
  <c r="AM824" i="8"/>
  <c r="AM825" i="8"/>
  <c r="AM826" i="8"/>
  <c r="AM827" i="8"/>
  <c r="AM828" i="8"/>
  <c r="AM829" i="8"/>
  <c r="AM830" i="8"/>
  <c r="AM831" i="8"/>
  <c r="AM832" i="8"/>
  <c r="AO832" i="8" s="1"/>
  <c r="AM833" i="8"/>
  <c r="AM834" i="8"/>
  <c r="AM835" i="8"/>
  <c r="AM836" i="8"/>
  <c r="AM837" i="8"/>
  <c r="AM838" i="8"/>
  <c r="AM839" i="8"/>
  <c r="AM840" i="8"/>
  <c r="AM841" i="8"/>
  <c r="AM842" i="8"/>
  <c r="AM843" i="8"/>
  <c r="AM844" i="8"/>
  <c r="AM845" i="8"/>
  <c r="AM846" i="8"/>
  <c r="AM847" i="8"/>
  <c r="AM848" i="8"/>
  <c r="AM849" i="8"/>
  <c r="AM850" i="8"/>
  <c r="AM851" i="8"/>
  <c r="AM852" i="8"/>
  <c r="AM853" i="8"/>
  <c r="AO853" i="8" s="1"/>
  <c r="AM854" i="8"/>
  <c r="AM855" i="8"/>
  <c r="AM856" i="8"/>
  <c r="AM857" i="8"/>
  <c r="AM858" i="8"/>
  <c r="AM859" i="8"/>
  <c r="AM860" i="8"/>
  <c r="AM861" i="8"/>
  <c r="AO861" i="8" s="1"/>
  <c r="AM862" i="8"/>
  <c r="AM863" i="8"/>
  <c r="AM864" i="8"/>
  <c r="AM865" i="8"/>
  <c r="AM866" i="8"/>
  <c r="AM867" i="8"/>
  <c r="AM868" i="8"/>
  <c r="AM869" i="8"/>
  <c r="AM870" i="8"/>
  <c r="AM871" i="8"/>
  <c r="AM872" i="8"/>
  <c r="AM873" i="8"/>
  <c r="AM874" i="8"/>
  <c r="AM875" i="8"/>
  <c r="AM876" i="8"/>
  <c r="AM877" i="8"/>
  <c r="AO877" i="8" s="1"/>
  <c r="AM878" i="8"/>
  <c r="AM879" i="8"/>
  <c r="AM880" i="8"/>
  <c r="AM881" i="8"/>
  <c r="AM882" i="8"/>
  <c r="AM883" i="8"/>
  <c r="AM884" i="8"/>
  <c r="AM885" i="8"/>
  <c r="AM886" i="8"/>
  <c r="AM887" i="8"/>
  <c r="AM888" i="8"/>
  <c r="AM889" i="8"/>
  <c r="AM890" i="8"/>
  <c r="AM891" i="8"/>
  <c r="AM892" i="8"/>
  <c r="AO892" i="8" s="1"/>
  <c r="AM893" i="8"/>
  <c r="AM894" i="8"/>
  <c r="AM895" i="8"/>
  <c r="AM896" i="8"/>
  <c r="AM897" i="8"/>
  <c r="AM898" i="8"/>
  <c r="AM899" i="8"/>
  <c r="AM900" i="8"/>
  <c r="AM901" i="8"/>
  <c r="AM902" i="8"/>
  <c r="AM903" i="8"/>
  <c r="AM904" i="8"/>
  <c r="AM905" i="8"/>
  <c r="AM906" i="8"/>
  <c r="AM907" i="8"/>
  <c r="AM908" i="8"/>
  <c r="AO908" i="8" s="1"/>
  <c r="AM909" i="8"/>
  <c r="AM910" i="8"/>
  <c r="AM911" i="8"/>
  <c r="AM912" i="8"/>
  <c r="AM913" i="8"/>
  <c r="AM914" i="8"/>
  <c r="AM915" i="8"/>
  <c r="AM916" i="8"/>
  <c r="AM917" i="8"/>
  <c r="AM918" i="8"/>
  <c r="AM919" i="8"/>
  <c r="AM920" i="8"/>
  <c r="AM921" i="8"/>
  <c r="AM922" i="8"/>
  <c r="AM923" i="8"/>
  <c r="AM924" i="8"/>
  <c r="AM925" i="8"/>
  <c r="AM926" i="8"/>
  <c r="AM927" i="8"/>
  <c r="AM928" i="8"/>
  <c r="AM929" i="8"/>
  <c r="AM930" i="8"/>
  <c r="AM931" i="8"/>
  <c r="AM932" i="8"/>
  <c r="AM933" i="8"/>
  <c r="AM934" i="8"/>
  <c r="AM935" i="8"/>
  <c r="AM936" i="8"/>
  <c r="AM937" i="8"/>
  <c r="AM938" i="8"/>
  <c r="AM939" i="8"/>
  <c r="AM940" i="8"/>
  <c r="AM941" i="8"/>
  <c r="AM942" i="8"/>
  <c r="AM943" i="8"/>
  <c r="AM944" i="8"/>
  <c r="AM945" i="8"/>
  <c r="AM946" i="8"/>
  <c r="AM947" i="8"/>
  <c r="AM948" i="8"/>
  <c r="AM949" i="8"/>
  <c r="AM950" i="8"/>
  <c r="AM951" i="8"/>
  <c r="AM952" i="8"/>
  <c r="AM953" i="8"/>
  <c r="AM954" i="8"/>
  <c r="AM955" i="8"/>
  <c r="AM956" i="8"/>
  <c r="AM957" i="8"/>
  <c r="AM958" i="8"/>
  <c r="AM959" i="8"/>
  <c r="AM960" i="8"/>
  <c r="AM961" i="8"/>
  <c r="AM962" i="8"/>
  <c r="AM963" i="8"/>
  <c r="AM964" i="8"/>
  <c r="AM965" i="8"/>
  <c r="AM966" i="8"/>
  <c r="AM967" i="8"/>
  <c r="AM968" i="8"/>
  <c r="AM969" i="8"/>
  <c r="AM970" i="8"/>
  <c r="AM971" i="8"/>
  <c r="AM972" i="8"/>
  <c r="AM973" i="8"/>
  <c r="AM974" i="8"/>
  <c r="AM975" i="8"/>
  <c r="AO975" i="8" s="1"/>
  <c r="AM976" i="8"/>
  <c r="AM977" i="8"/>
  <c r="AM978" i="8"/>
  <c r="AM979" i="8"/>
  <c r="AM980" i="8"/>
  <c r="AM981" i="8"/>
  <c r="AM982" i="8"/>
  <c r="AM983" i="8"/>
  <c r="AM984" i="8"/>
  <c r="AM985" i="8"/>
  <c r="AM986" i="8"/>
  <c r="AM987" i="8"/>
  <c r="AM988" i="8"/>
  <c r="AM989" i="8"/>
  <c r="AM990" i="8"/>
  <c r="AM991" i="8"/>
  <c r="AM992" i="8"/>
  <c r="AM993" i="8"/>
  <c r="AM994" i="8"/>
  <c r="AM995" i="8"/>
  <c r="AM996" i="8"/>
  <c r="AM997" i="8"/>
  <c r="AM998" i="8"/>
  <c r="AM999" i="8"/>
  <c r="AM1000" i="8"/>
  <c r="AM1001" i="8"/>
  <c r="AM1002" i="8"/>
  <c r="AM1003" i="8"/>
  <c r="AM1004" i="8"/>
  <c r="AM1005" i="8"/>
  <c r="AM1006" i="8"/>
  <c r="AM1007" i="8"/>
  <c r="AM1008" i="8"/>
  <c r="AM1009" i="8"/>
  <c r="AM1010" i="8"/>
  <c r="AM1011" i="8"/>
  <c r="AM1012" i="8"/>
  <c r="AM1013" i="8"/>
  <c r="AM1014" i="8"/>
  <c r="AM1015" i="8"/>
  <c r="AM1016" i="8"/>
  <c r="AM1017" i="8"/>
  <c r="AM1018" i="8"/>
  <c r="AM1019" i="8"/>
  <c r="AM1020" i="8"/>
  <c r="AM1021" i="8"/>
  <c r="AM1022" i="8"/>
  <c r="AM1023" i="8"/>
  <c r="AM1024" i="8"/>
  <c r="AM1025" i="8"/>
  <c r="AM1026" i="8"/>
  <c r="AM1027" i="8"/>
  <c r="AM1028" i="8"/>
  <c r="AM1029" i="8"/>
  <c r="AM1030" i="8"/>
  <c r="AM1031" i="8"/>
  <c r="AM1032" i="8"/>
  <c r="AM1033" i="8"/>
  <c r="AM1034" i="8"/>
  <c r="AM1035" i="8"/>
  <c r="AM1036" i="8"/>
  <c r="AM1037" i="8"/>
  <c r="AM1038" i="8"/>
  <c r="AM1039" i="8"/>
  <c r="AM1040" i="8"/>
  <c r="AM1041" i="8"/>
  <c r="AM1042" i="8"/>
  <c r="AM1043" i="8"/>
  <c r="AM1044" i="8"/>
  <c r="AM1045" i="8"/>
  <c r="AM1046" i="8"/>
  <c r="AI527" i="8"/>
  <c r="AI528" i="8"/>
  <c r="AI529" i="8"/>
  <c r="AI530" i="8"/>
  <c r="AI531" i="8"/>
  <c r="AI532" i="8"/>
  <c r="AI533" i="8"/>
  <c r="AI534" i="8"/>
  <c r="AI535" i="8"/>
  <c r="AI536" i="8"/>
  <c r="AI537" i="8"/>
  <c r="AI538" i="8"/>
  <c r="AI539" i="8"/>
  <c r="AI540" i="8"/>
  <c r="AI541" i="8"/>
  <c r="AI542" i="8"/>
  <c r="AI543" i="8"/>
  <c r="AI544" i="8"/>
  <c r="AI545" i="8"/>
  <c r="AI546" i="8"/>
  <c r="AI547" i="8"/>
  <c r="AI548" i="8"/>
  <c r="AI549" i="8"/>
  <c r="AI550" i="8"/>
  <c r="AI551" i="8"/>
  <c r="AI552" i="8"/>
  <c r="AI553" i="8"/>
  <c r="AI554" i="8"/>
  <c r="AI555" i="8"/>
  <c r="AI556" i="8"/>
  <c r="AI557" i="8"/>
  <c r="AI558" i="8"/>
  <c r="AI559" i="8"/>
  <c r="AI560" i="8"/>
  <c r="AI561" i="8"/>
  <c r="AI562" i="8"/>
  <c r="AI563" i="8"/>
  <c r="AI564" i="8"/>
  <c r="AI565" i="8"/>
  <c r="AI566" i="8"/>
  <c r="AI567" i="8"/>
  <c r="AI568" i="8"/>
  <c r="AI569" i="8"/>
  <c r="AI570" i="8"/>
  <c r="AI571" i="8"/>
  <c r="AI572" i="8"/>
  <c r="AI573" i="8"/>
  <c r="AI574" i="8"/>
  <c r="AI575" i="8"/>
  <c r="AI576" i="8"/>
  <c r="AI577" i="8"/>
  <c r="AI578" i="8"/>
  <c r="AI579" i="8"/>
  <c r="AI580" i="8"/>
  <c r="AI581" i="8"/>
  <c r="AI582" i="8"/>
  <c r="AI583" i="8"/>
  <c r="AI584" i="8"/>
  <c r="AI585" i="8"/>
  <c r="AI586" i="8"/>
  <c r="AI587" i="8"/>
  <c r="AI588" i="8"/>
  <c r="AI589" i="8"/>
  <c r="AI590" i="8"/>
  <c r="AI591" i="8"/>
  <c r="AI592" i="8"/>
  <c r="AI593" i="8"/>
  <c r="AI594" i="8"/>
  <c r="AI595" i="8"/>
  <c r="AI596" i="8"/>
  <c r="AI597" i="8"/>
  <c r="AI598" i="8"/>
  <c r="AI599" i="8"/>
  <c r="AI600" i="8"/>
  <c r="AI601" i="8"/>
  <c r="AI602" i="8"/>
  <c r="AI603" i="8"/>
  <c r="AI604" i="8"/>
  <c r="AI605" i="8"/>
  <c r="AI606" i="8"/>
  <c r="AI607" i="8"/>
  <c r="AI608" i="8"/>
  <c r="AI609" i="8"/>
  <c r="AI610" i="8"/>
  <c r="AI611" i="8"/>
  <c r="AI612" i="8"/>
  <c r="AI613" i="8"/>
  <c r="AI614" i="8"/>
  <c r="AI615" i="8"/>
  <c r="AI616" i="8"/>
  <c r="AI617" i="8"/>
  <c r="AI618" i="8"/>
  <c r="AI619" i="8"/>
  <c r="AI620" i="8"/>
  <c r="AI621" i="8"/>
  <c r="AI622" i="8"/>
  <c r="AI623" i="8"/>
  <c r="AI624" i="8"/>
  <c r="AI625" i="8"/>
  <c r="AI626" i="8"/>
  <c r="AI627" i="8"/>
  <c r="AI628" i="8"/>
  <c r="AI629" i="8"/>
  <c r="AI630" i="8"/>
  <c r="AI631" i="8"/>
  <c r="AI632" i="8"/>
  <c r="AI633" i="8"/>
  <c r="AI634" i="8"/>
  <c r="AI635" i="8"/>
  <c r="AI636" i="8"/>
  <c r="AI637" i="8"/>
  <c r="AI638" i="8"/>
  <c r="AI639" i="8"/>
  <c r="AI640" i="8"/>
  <c r="AI641" i="8"/>
  <c r="AI642" i="8"/>
  <c r="AI643" i="8"/>
  <c r="AI644" i="8"/>
  <c r="AI645" i="8"/>
  <c r="AI646" i="8"/>
  <c r="AI647" i="8"/>
  <c r="AI648" i="8"/>
  <c r="AI649" i="8"/>
  <c r="AI650" i="8"/>
  <c r="AI651" i="8"/>
  <c r="AI652" i="8"/>
  <c r="AI653" i="8"/>
  <c r="AI654" i="8"/>
  <c r="AI655" i="8"/>
  <c r="AI656" i="8"/>
  <c r="AI657" i="8"/>
  <c r="AI658" i="8"/>
  <c r="AI659" i="8"/>
  <c r="AI660" i="8"/>
  <c r="AI661" i="8"/>
  <c r="AI662" i="8"/>
  <c r="AI663" i="8"/>
  <c r="AI664" i="8"/>
  <c r="AI665" i="8"/>
  <c r="AI666" i="8"/>
  <c r="AI667" i="8"/>
  <c r="AI668" i="8"/>
  <c r="AI669" i="8"/>
  <c r="AI670" i="8"/>
  <c r="AI671" i="8"/>
  <c r="AI672" i="8"/>
  <c r="AI673" i="8"/>
  <c r="AI674" i="8"/>
  <c r="AI675" i="8"/>
  <c r="AI676" i="8"/>
  <c r="AI677" i="8"/>
  <c r="AI678" i="8"/>
  <c r="AI679" i="8"/>
  <c r="AI680" i="8"/>
  <c r="AI681" i="8"/>
  <c r="AI682" i="8"/>
  <c r="AI683" i="8"/>
  <c r="AI684" i="8"/>
  <c r="AI685" i="8"/>
  <c r="AI686" i="8"/>
  <c r="AI687" i="8"/>
  <c r="AI688" i="8"/>
  <c r="AI689" i="8"/>
  <c r="AI690" i="8"/>
  <c r="AI691" i="8"/>
  <c r="AI692" i="8"/>
  <c r="AI693" i="8"/>
  <c r="AI694" i="8"/>
  <c r="AI695" i="8"/>
  <c r="AI696" i="8"/>
  <c r="AI697" i="8"/>
  <c r="AI698" i="8"/>
  <c r="AI699" i="8"/>
  <c r="AI700" i="8"/>
  <c r="AI701" i="8"/>
  <c r="AI702" i="8"/>
  <c r="AI703" i="8"/>
  <c r="AI704" i="8"/>
  <c r="AI705" i="8"/>
  <c r="AI706" i="8"/>
  <c r="AI707" i="8"/>
  <c r="AI708" i="8"/>
  <c r="AI709" i="8"/>
  <c r="AI710" i="8"/>
  <c r="AI711" i="8"/>
  <c r="AI712" i="8"/>
  <c r="AI713" i="8"/>
  <c r="AI714" i="8"/>
  <c r="AI715" i="8"/>
  <c r="AI716" i="8"/>
  <c r="AI717" i="8"/>
  <c r="AI718" i="8"/>
  <c r="AI719" i="8"/>
  <c r="AI720" i="8"/>
  <c r="AI721" i="8"/>
  <c r="AI722" i="8"/>
  <c r="AI723" i="8"/>
  <c r="AI724" i="8"/>
  <c r="AI725" i="8"/>
  <c r="AI726" i="8"/>
  <c r="AI727" i="8"/>
  <c r="AI728" i="8"/>
  <c r="AI729" i="8"/>
  <c r="AI730" i="8"/>
  <c r="AI731" i="8"/>
  <c r="AI732" i="8"/>
  <c r="AI733" i="8"/>
  <c r="AI734" i="8"/>
  <c r="AI735" i="8"/>
  <c r="AI736" i="8"/>
  <c r="AI737" i="8"/>
  <c r="AI738" i="8"/>
  <c r="AI739" i="8"/>
  <c r="AI740" i="8"/>
  <c r="AI741" i="8"/>
  <c r="AI742" i="8"/>
  <c r="AI743" i="8"/>
  <c r="AI744" i="8"/>
  <c r="AI745" i="8"/>
  <c r="AI746" i="8"/>
  <c r="AI747" i="8"/>
  <c r="AI748" i="8"/>
  <c r="AI749" i="8"/>
  <c r="AI750" i="8"/>
  <c r="AI751" i="8"/>
  <c r="AI752" i="8"/>
  <c r="AI753" i="8"/>
  <c r="AI754" i="8"/>
  <c r="AI755" i="8"/>
  <c r="AI756" i="8"/>
  <c r="AI757" i="8"/>
  <c r="AI758" i="8"/>
  <c r="AI759" i="8"/>
  <c r="AI760" i="8"/>
  <c r="AI761" i="8"/>
  <c r="AI762" i="8"/>
  <c r="AI763" i="8"/>
  <c r="AI764" i="8"/>
  <c r="AI765" i="8"/>
  <c r="AI766" i="8"/>
  <c r="AI767" i="8"/>
  <c r="AI768" i="8"/>
  <c r="AI769" i="8"/>
  <c r="AI770" i="8"/>
  <c r="AI771" i="8"/>
  <c r="AI772" i="8"/>
  <c r="AI773" i="8"/>
  <c r="AI774" i="8"/>
  <c r="AI775" i="8"/>
  <c r="AI776" i="8"/>
  <c r="AI777" i="8"/>
  <c r="AI778" i="8"/>
  <c r="AI779" i="8"/>
  <c r="AI780" i="8"/>
  <c r="AI781" i="8"/>
  <c r="AI782" i="8"/>
  <c r="AI783" i="8"/>
  <c r="AI784" i="8"/>
  <c r="AI785" i="8"/>
  <c r="AI786" i="8"/>
  <c r="AI787" i="8"/>
  <c r="AI788" i="8"/>
  <c r="AI789" i="8"/>
  <c r="AI790" i="8"/>
  <c r="AI791" i="8"/>
  <c r="AI792" i="8"/>
  <c r="AI793" i="8"/>
  <c r="AI794" i="8"/>
  <c r="AI795" i="8"/>
  <c r="AI796" i="8"/>
  <c r="AI797" i="8"/>
  <c r="AI798" i="8"/>
  <c r="AI799" i="8"/>
  <c r="AI800" i="8"/>
  <c r="AI801" i="8"/>
  <c r="AI802" i="8"/>
  <c r="AI803" i="8"/>
  <c r="AI804" i="8"/>
  <c r="AI805" i="8"/>
  <c r="AI806" i="8"/>
  <c r="AI807" i="8"/>
  <c r="AI808" i="8"/>
  <c r="AI809" i="8"/>
  <c r="AI810" i="8"/>
  <c r="AI811" i="8"/>
  <c r="AI812" i="8"/>
  <c r="AI813" i="8"/>
  <c r="AI814" i="8"/>
  <c r="AI815" i="8"/>
  <c r="AI816" i="8"/>
  <c r="AI817" i="8"/>
  <c r="AI818" i="8"/>
  <c r="AI819" i="8"/>
  <c r="AI820" i="8"/>
  <c r="AI821" i="8"/>
  <c r="AI822" i="8"/>
  <c r="AI823" i="8"/>
  <c r="AI824" i="8"/>
  <c r="AI825" i="8"/>
  <c r="AI826" i="8"/>
  <c r="AI827" i="8"/>
  <c r="AI828" i="8"/>
  <c r="AI829" i="8"/>
  <c r="AI830" i="8"/>
  <c r="AI831" i="8"/>
  <c r="AI832" i="8"/>
  <c r="AI833" i="8"/>
  <c r="AI834" i="8"/>
  <c r="AI835" i="8"/>
  <c r="AI836" i="8"/>
  <c r="AI837" i="8"/>
  <c r="AI838" i="8"/>
  <c r="AI839" i="8"/>
  <c r="AI840" i="8"/>
  <c r="AI841" i="8"/>
  <c r="AI842" i="8"/>
  <c r="AI843" i="8"/>
  <c r="AI844" i="8"/>
  <c r="AI845" i="8"/>
  <c r="AI846" i="8"/>
  <c r="AI847" i="8"/>
  <c r="AI848" i="8"/>
  <c r="AI849" i="8"/>
  <c r="AI850" i="8"/>
  <c r="AI851" i="8"/>
  <c r="AI852" i="8"/>
  <c r="AI853" i="8"/>
  <c r="AI854" i="8"/>
  <c r="AI855" i="8"/>
  <c r="AI856" i="8"/>
  <c r="AI857" i="8"/>
  <c r="AI858" i="8"/>
  <c r="AI859" i="8"/>
  <c r="AI860" i="8"/>
  <c r="AI861" i="8"/>
  <c r="AI862" i="8"/>
  <c r="AI863" i="8"/>
  <c r="AI864" i="8"/>
  <c r="AI865" i="8"/>
  <c r="AI866" i="8"/>
  <c r="AI867" i="8"/>
  <c r="AI868" i="8"/>
  <c r="AI869" i="8"/>
  <c r="AI870" i="8"/>
  <c r="AI871" i="8"/>
  <c r="AI872" i="8"/>
  <c r="AI873" i="8"/>
  <c r="AI874" i="8"/>
  <c r="AI875" i="8"/>
  <c r="AI876" i="8"/>
  <c r="AI877" i="8"/>
  <c r="AI878" i="8"/>
  <c r="AI879" i="8"/>
  <c r="AI880" i="8"/>
  <c r="AI881" i="8"/>
  <c r="AI882" i="8"/>
  <c r="AI883" i="8"/>
  <c r="AI884" i="8"/>
  <c r="AI885" i="8"/>
  <c r="AI886" i="8"/>
  <c r="AI887" i="8"/>
  <c r="AI888" i="8"/>
  <c r="AI889" i="8"/>
  <c r="AI890" i="8"/>
  <c r="AI891" i="8"/>
  <c r="AI892" i="8"/>
  <c r="AI893" i="8"/>
  <c r="AI894" i="8"/>
  <c r="AI895" i="8"/>
  <c r="AI896" i="8"/>
  <c r="AI897" i="8"/>
  <c r="AI898" i="8"/>
  <c r="AI899" i="8"/>
  <c r="AI900" i="8"/>
  <c r="AI901" i="8"/>
  <c r="AI902" i="8"/>
  <c r="AI903" i="8"/>
  <c r="AI904" i="8"/>
  <c r="AI905" i="8"/>
  <c r="AI906" i="8"/>
  <c r="AI907" i="8"/>
  <c r="AI908" i="8"/>
  <c r="AI909" i="8"/>
  <c r="AI910" i="8"/>
  <c r="AI911" i="8"/>
  <c r="AI912" i="8"/>
  <c r="AI913" i="8"/>
  <c r="AI914" i="8"/>
  <c r="AI915" i="8"/>
  <c r="AI916" i="8"/>
  <c r="AI917" i="8"/>
  <c r="AI918" i="8"/>
  <c r="AI919" i="8"/>
  <c r="AI920" i="8"/>
  <c r="AI921" i="8"/>
  <c r="AI922" i="8"/>
  <c r="AI923" i="8"/>
  <c r="AI924" i="8"/>
  <c r="AI925" i="8"/>
  <c r="AI926" i="8"/>
  <c r="AI927" i="8"/>
  <c r="AI928" i="8"/>
  <c r="AI929" i="8"/>
  <c r="AI930" i="8"/>
  <c r="AI931" i="8"/>
  <c r="AI932" i="8"/>
  <c r="AI933" i="8"/>
  <c r="AI934" i="8"/>
  <c r="AI935" i="8"/>
  <c r="AI936" i="8"/>
  <c r="AI937" i="8"/>
  <c r="AI938" i="8"/>
  <c r="AI939" i="8"/>
  <c r="AI940" i="8"/>
  <c r="AI941" i="8"/>
  <c r="AI942" i="8"/>
  <c r="AI943" i="8"/>
  <c r="AI944" i="8"/>
  <c r="AI945" i="8"/>
  <c r="AI946" i="8"/>
  <c r="AI947" i="8"/>
  <c r="AI948" i="8"/>
  <c r="AI949" i="8"/>
  <c r="AI950" i="8"/>
  <c r="AI951" i="8"/>
  <c r="AI952" i="8"/>
  <c r="AI953" i="8"/>
  <c r="AI954" i="8"/>
  <c r="AI955" i="8"/>
  <c r="AI956" i="8"/>
  <c r="AI957" i="8"/>
  <c r="AI958" i="8"/>
  <c r="AI959" i="8"/>
  <c r="AI960" i="8"/>
  <c r="AI961" i="8"/>
  <c r="AI962" i="8"/>
  <c r="AI963" i="8"/>
  <c r="AI964" i="8"/>
  <c r="AI965" i="8"/>
  <c r="AI966" i="8"/>
  <c r="AI967" i="8"/>
  <c r="AI968" i="8"/>
  <c r="AI969" i="8"/>
  <c r="AI970" i="8"/>
  <c r="AI971" i="8"/>
  <c r="AI972" i="8"/>
  <c r="AI973" i="8"/>
  <c r="AI974" i="8"/>
  <c r="AI975" i="8"/>
  <c r="AI976" i="8"/>
  <c r="AI977" i="8"/>
  <c r="AI978" i="8"/>
  <c r="AI979" i="8"/>
  <c r="AI980" i="8"/>
  <c r="AI981" i="8"/>
  <c r="AI982" i="8"/>
  <c r="AI983" i="8"/>
  <c r="AI984" i="8"/>
  <c r="AI985" i="8"/>
  <c r="AI986" i="8"/>
  <c r="AI987" i="8"/>
  <c r="AI988" i="8"/>
  <c r="AI989" i="8"/>
  <c r="AI990" i="8"/>
  <c r="AI991" i="8"/>
  <c r="AI992" i="8"/>
  <c r="AI993" i="8"/>
  <c r="AI994" i="8"/>
  <c r="AI995" i="8"/>
  <c r="AI996" i="8"/>
  <c r="AI997" i="8"/>
  <c r="AI998" i="8"/>
  <c r="AI999" i="8"/>
  <c r="AI1000" i="8"/>
  <c r="AI1001" i="8"/>
  <c r="AI1002" i="8"/>
  <c r="AI1003" i="8"/>
  <c r="AI1004" i="8"/>
  <c r="AI1005" i="8"/>
  <c r="AI1006" i="8"/>
  <c r="AI1007" i="8"/>
  <c r="AI1008" i="8"/>
  <c r="AI1009" i="8"/>
  <c r="AI1010" i="8"/>
  <c r="AI1011" i="8"/>
  <c r="AI1012" i="8"/>
  <c r="AI1013" i="8"/>
  <c r="AI1014" i="8"/>
  <c r="AI1015" i="8"/>
  <c r="AI1016" i="8"/>
  <c r="AI1017" i="8"/>
  <c r="AI1018" i="8"/>
  <c r="AI1019" i="8"/>
  <c r="AI1020" i="8"/>
  <c r="AI1021" i="8"/>
  <c r="AI1022" i="8"/>
  <c r="AI1023" i="8"/>
  <c r="AI1024" i="8"/>
  <c r="AI1025" i="8"/>
  <c r="AI1026" i="8"/>
  <c r="AI1027" i="8"/>
  <c r="AI1028" i="8"/>
  <c r="AI1029" i="8"/>
  <c r="AI1030" i="8"/>
  <c r="AI1031" i="8"/>
  <c r="AI1032" i="8"/>
  <c r="AI1033" i="8"/>
  <c r="AI1034" i="8"/>
  <c r="AI1035" i="8"/>
  <c r="AI1036" i="8"/>
  <c r="AI1037" i="8"/>
  <c r="AI1038" i="8"/>
  <c r="AI1039" i="8"/>
  <c r="AI1040" i="8"/>
  <c r="AI1041" i="8"/>
  <c r="AI1042" i="8"/>
  <c r="AI1043" i="8"/>
  <c r="AI1044" i="8"/>
  <c r="AI1045" i="8"/>
  <c r="AI1046" i="8"/>
  <c r="AH527" i="8"/>
  <c r="AH528" i="8"/>
  <c r="AH529" i="8"/>
  <c r="AH530" i="8"/>
  <c r="AH531" i="8"/>
  <c r="AH532" i="8"/>
  <c r="AH533" i="8"/>
  <c r="AH534" i="8"/>
  <c r="AH535" i="8"/>
  <c r="AH536" i="8"/>
  <c r="AH537" i="8"/>
  <c r="AH538" i="8"/>
  <c r="AH539" i="8"/>
  <c r="AH540" i="8"/>
  <c r="AH541" i="8"/>
  <c r="AH542" i="8"/>
  <c r="AH543" i="8"/>
  <c r="AH544" i="8"/>
  <c r="AH545" i="8"/>
  <c r="AH546" i="8"/>
  <c r="AH547" i="8"/>
  <c r="AH548" i="8"/>
  <c r="AH549" i="8"/>
  <c r="AH550" i="8"/>
  <c r="AH551" i="8"/>
  <c r="AH552" i="8"/>
  <c r="AH553" i="8"/>
  <c r="AH554" i="8"/>
  <c r="AH555" i="8"/>
  <c r="AH556" i="8"/>
  <c r="AH557" i="8"/>
  <c r="AH558" i="8"/>
  <c r="AH559" i="8"/>
  <c r="AH560" i="8"/>
  <c r="AH561" i="8"/>
  <c r="AH562" i="8"/>
  <c r="AH563" i="8"/>
  <c r="AH564" i="8"/>
  <c r="AH565" i="8"/>
  <c r="AH566" i="8"/>
  <c r="AH567" i="8"/>
  <c r="AH568" i="8"/>
  <c r="AH569" i="8"/>
  <c r="AH570" i="8"/>
  <c r="AH571" i="8"/>
  <c r="AH572" i="8"/>
  <c r="AH573" i="8"/>
  <c r="AH574" i="8"/>
  <c r="AH575" i="8"/>
  <c r="AH576" i="8"/>
  <c r="AH577" i="8"/>
  <c r="AH578" i="8"/>
  <c r="AH579" i="8"/>
  <c r="AH580" i="8"/>
  <c r="AH581" i="8"/>
  <c r="AH582" i="8"/>
  <c r="AH583" i="8"/>
  <c r="AH584" i="8"/>
  <c r="AH585" i="8"/>
  <c r="AH586" i="8"/>
  <c r="AH587" i="8"/>
  <c r="AH588" i="8"/>
  <c r="AH589" i="8"/>
  <c r="AH590" i="8"/>
  <c r="AH591" i="8"/>
  <c r="AH592" i="8"/>
  <c r="AH593" i="8"/>
  <c r="AH594" i="8"/>
  <c r="AH595" i="8"/>
  <c r="AH596" i="8"/>
  <c r="AH597" i="8"/>
  <c r="AH598" i="8"/>
  <c r="AH599" i="8"/>
  <c r="AH600" i="8"/>
  <c r="AH601" i="8"/>
  <c r="AH602" i="8"/>
  <c r="AH603" i="8"/>
  <c r="AH604" i="8"/>
  <c r="AH605" i="8"/>
  <c r="AH606" i="8"/>
  <c r="AH607" i="8"/>
  <c r="AH608" i="8"/>
  <c r="AH609" i="8"/>
  <c r="AH610" i="8"/>
  <c r="AH611" i="8"/>
  <c r="AH612" i="8"/>
  <c r="AH613" i="8"/>
  <c r="AH614" i="8"/>
  <c r="AH615" i="8"/>
  <c r="AH616" i="8"/>
  <c r="AH617" i="8"/>
  <c r="AH618" i="8"/>
  <c r="AH619" i="8"/>
  <c r="AH620" i="8"/>
  <c r="AH621" i="8"/>
  <c r="AH622" i="8"/>
  <c r="AH623" i="8"/>
  <c r="AH624" i="8"/>
  <c r="AH625" i="8"/>
  <c r="AH626" i="8"/>
  <c r="AH627" i="8"/>
  <c r="AH628" i="8"/>
  <c r="AH629" i="8"/>
  <c r="AH630" i="8"/>
  <c r="AH631" i="8"/>
  <c r="AH632" i="8"/>
  <c r="AH633" i="8"/>
  <c r="AH634" i="8"/>
  <c r="AH635" i="8"/>
  <c r="AH636" i="8"/>
  <c r="AH637" i="8"/>
  <c r="AH638" i="8"/>
  <c r="AH639" i="8"/>
  <c r="AH640" i="8"/>
  <c r="AH641" i="8"/>
  <c r="AH642" i="8"/>
  <c r="AH643" i="8"/>
  <c r="AH644" i="8"/>
  <c r="AH645" i="8"/>
  <c r="AH646" i="8"/>
  <c r="AH647" i="8"/>
  <c r="AH648" i="8"/>
  <c r="AH649" i="8"/>
  <c r="AH650" i="8"/>
  <c r="AH651" i="8"/>
  <c r="AH652" i="8"/>
  <c r="AH653" i="8"/>
  <c r="AH654" i="8"/>
  <c r="AH655" i="8"/>
  <c r="AH656" i="8"/>
  <c r="AH657" i="8"/>
  <c r="AH658" i="8"/>
  <c r="AH659" i="8"/>
  <c r="AH660" i="8"/>
  <c r="AH661" i="8"/>
  <c r="AH662" i="8"/>
  <c r="AH663" i="8"/>
  <c r="AH664" i="8"/>
  <c r="AH665" i="8"/>
  <c r="AH666" i="8"/>
  <c r="AH667" i="8"/>
  <c r="AH668" i="8"/>
  <c r="AH669" i="8"/>
  <c r="AH670" i="8"/>
  <c r="AH671" i="8"/>
  <c r="AH672" i="8"/>
  <c r="AH673" i="8"/>
  <c r="AH674" i="8"/>
  <c r="AH675" i="8"/>
  <c r="AH676" i="8"/>
  <c r="AH677" i="8"/>
  <c r="AH678" i="8"/>
  <c r="AH679" i="8"/>
  <c r="AH680" i="8"/>
  <c r="AH681" i="8"/>
  <c r="AH682" i="8"/>
  <c r="AH683" i="8"/>
  <c r="AH684" i="8"/>
  <c r="AH685" i="8"/>
  <c r="AH686" i="8"/>
  <c r="AH687" i="8"/>
  <c r="AH688" i="8"/>
  <c r="AH689" i="8"/>
  <c r="AH690" i="8"/>
  <c r="AH691" i="8"/>
  <c r="AH692" i="8"/>
  <c r="AH693" i="8"/>
  <c r="AH694" i="8"/>
  <c r="AH695" i="8"/>
  <c r="AH696" i="8"/>
  <c r="AH697" i="8"/>
  <c r="AH698" i="8"/>
  <c r="AH699" i="8"/>
  <c r="AH700" i="8"/>
  <c r="AH701" i="8"/>
  <c r="AH702" i="8"/>
  <c r="AH703" i="8"/>
  <c r="AH704" i="8"/>
  <c r="AH705" i="8"/>
  <c r="AH706" i="8"/>
  <c r="AH707" i="8"/>
  <c r="AH708" i="8"/>
  <c r="AH709" i="8"/>
  <c r="AH710" i="8"/>
  <c r="AH711" i="8"/>
  <c r="AH712" i="8"/>
  <c r="AH713" i="8"/>
  <c r="AH714" i="8"/>
  <c r="AH715" i="8"/>
  <c r="AH716" i="8"/>
  <c r="AH717" i="8"/>
  <c r="AH718" i="8"/>
  <c r="AH719" i="8"/>
  <c r="AH720" i="8"/>
  <c r="AH721" i="8"/>
  <c r="AH722" i="8"/>
  <c r="AH723" i="8"/>
  <c r="AH724" i="8"/>
  <c r="AH725" i="8"/>
  <c r="AH726" i="8"/>
  <c r="AH727" i="8"/>
  <c r="AH728" i="8"/>
  <c r="AH729" i="8"/>
  <c r="AH730" i="8"/>
  <c r="AH731" i="8"/>
  <c r="AH732" i="8"/>
  <c r="AH733" i="8"/>
  <c r="AH734" i="8"/>
  <c r="AH735" i="8"/>
  <c r="AH736" i="8"/>
  <c r="AH737" i="8"/>
  <c r="AH738" i="8"/>
  <c r="AH739" i="8"/>
  <c r="AH740" i="8"/>
  <c r="AH741" i="8"/>
  <c r="AH742" i="8"/>
  <c r="AH743" i="8"/>
  <c r="AH744" i="8"/>
  <c r="AH745" i="8"/>
  <c r="AH746" i="8"/>
  <c r="AH747" i="8"/>
  <c r="AH748" i="8"/>
  <c r="AH749" i="8"/>
  <c r="AH750" i="8"/>
  <c r="AH751" i="8"/>
  <c r="AH752" i="8"/>
  <c r="AH753" i="8"/>
  <c r="AH754" i="8"/>
  <c r="AH755" i="8"/>
  <c r="AH756" i="8"/>
  <c r="AH757" i="8"/>
  <c r="AH758" i="8"/>
  <c r="AH759" i="8"/>
  <c r="AH760" i="8"/>
  <c r="AH761" i="8"/>
  <c r="AH762" i="8"/>
  <c r="AH763" i="8"/>
  <c r="AH764" i="8"/>
  <c r="AH765" i="8"/>
  <c r="AH766" i="8"/>
  <c r="AH767" i="8"/>
  <c r="AH768" i="8"/>
  <c r="AH769" i="8"/>
  <c r="AH770" i="8"/>
  <c r="AH771" i="8"/>
  <c r="AH772" i="8"/>
  <c r="AH773" i="8"/>
  <c r="AH774" i="8"/>
  <c r="AH775" i="8"/>
  <c r="AH776" i="8"/>
  <c r="AH777" i="8"/>
  <c r="AH778" i="8"/>
  <c r="AH779" i="8"/>
  <c r="AH780" i="8"/>
  <c r="AH781" i="8"/>
  <c r="AH782" i="8"/>
  <c r="AH783" i="8"/>
  <c r="AH784" i="8"/>
  <c r="AH785" i="8"/>
  <c r="AH786" i="8"/>
  <c r="AH787" i="8"/>
  <c r="AH788" i="8"/>
  <c r="AH789" i="8"/>
  <c r="AH790" i="8"/>
  <c r="AH791" i="8"/>
  <c r="AH792" i="8"/>
  <c r="AH793" i="8"/>
  <c r="AH794" i="8"/>
  <c r="AH795" i="8"/>
  <c r="AH796" i="8"/>
  <c r="AH797" i="8"/>
  <c r="AH798" i="8"/>
  <c r="AH799" i="8"/>
  <c r="AH800" i="8"/>
  <c r="AH801" i="8"/>
  <c r="AH802" i="8"/>
  <c r="AH803" i="8"/>
  <c r="AH804" i="8"/>
  <c r="AH805" i="8"/>
  <c r="AH806" i="8"/>
  <c r="AH807" i="8"/>
  <c r="AH808" i="8"/>
  <c r="AH809" i="8"/>
  <c r="AH810" i="8"/>
  <c r="AH811" i="8"/>
  <c r="AH812" i="8"/>
  <c r="AH813" i="8"/>
  <c r="AH814" i="8"/>
  <c r="AH815" i="8"/>
  <c r="AH816" i="8"/>
  <c r="AH817" i="8"/>
  <c r="AH818" i="8"/>
  <c r="AH819" i="8"/>
  <c r="AH820" i="8"/>
  <c r="AH821" i="8"/>
  <c r="AH822" i="8"/>
  <c r="AH823" i="8"/>
  <c r="AH824" i="8"/>
  <c r="AH825" i="8"/>
  <c r="AH826" i="8"/>
  <c r="AH827" i="8"/>
  <c r="AH828" i="8"/>
  <c r="AH829" i="8"/>
  <c r="AH830" i="8"/>
  <c r="AH831" i="8"/>
  <c r="AH832" i="8"/>
  <c r="AH833" i="8"/>
  <c r="AH834" i="8"/>
  <c r="AH835" i="8"/>
  <c r="AH836" i="8"/>
  <c r="AH837" i="8"/>
  <c r="AH838" i="8"/>
  <c r="AH839" i="8"/>
  <c r="AH840" i="8"/>
  <c r="AH841" i="8"/>
  <c r="AH842" i="8"/>
  <c r="AH843" i="8"/>
  <c r="AH844" i="8"/>
  <c r="AH845" i="8"/>
  <c r="AH846" i="8"/>
  <c r="AH847" i="8"/>
  <c r="AH848" i="8"/>
  <c r="AH849" i="8"/>
  <c r="AH850" i="8"/>
  <c r="AH851" i="8"/>
  <c r="AH852" i="8"/>
  <c r="AH853" i="8"/>
  <c r="AH854" i="8"/>
  <c r="AH855" i="8"/>
  <c r="AH856" i="8"/>
  <c r="AH857" i="8"/>
  <c r="AH858" i="8"/>
  <c r="AH859" i="8"/>
  <c r="AH860" i="8"/>
  <c r="AH861" i="8"/>
  <c r="AH862" i="8"/>
  <c r="AH863" i="8"/>
  <c r="AH864" i="8"/>
  <c r="AH865" i="8"/>
  <c r="AH866" i="8"/>
  <c r="AH867" i="8"/>
  <c r="AH868" i="8"/>
  <c r="AH869" i="8"/>
  <c r="AH870" i="8"/>
  <c r="AH871" i="8"/>
  <c r="AH872" i="8"/>
  <c r="AH873" i="8"/>
  <c r="AH874" i="8"/>
  <c r="AH875" i="8"/>
  <c r="AH876" i="8"/>
  <c r="AH877" i="8"/>
  <c r="AH878" i="8"/>
  <c r="AH879" i="8"/>
  <c r="AH880" i="8"/>
  <c r="AH881" i="8"/>
  <c r="AH882" i="8"/>
  <c r="AH883" i="8"/>
  <c r="AH884" i="8"/>
  <c r="AH885" i="8"/>
  <c r="AH886" i="8"/>
  <c r="AH887" i="8"/>
  <c r="AH888" i="8"/>
  <c r="AH889" i="8"/>
  <c r="AH890" i="8"/>
  <c r="AH891" i="8"/>
  <c r="AH892" i="8"/>
  <c r="AH893" i="8"/>
  <c r="AH894" i="8"/>
  <c r="AH895" i="8"/>
  <c r="AH896" i="8"/>
  <c r="AH897" i="8"/>
  <c r="AH898" i="8"/>
  <c r="AH899" i="8"/>
  <c r="AH900" i="8"/>
  <c r="AH901" i="8"/>
  <c r="AH902" i="8"/>
  <c r="AH903" i="8"/>
  <c r="AH904" i="8"/>
  <c r="AH905" i="8"/>
  <c r="AH906" i="8"/>
  <c r="AH907" i="8"/>
  <c r="AH908" i="8"/>
  <c r="AH909" i="8"/>
  <c r="AH910" i="8"/>
  <c r="AH911" i="8"/>
  <c r="AH912" i="8"/>
  <c r="AH913" i="8"/>
  <c r="AH914" i="8"/>
  <c r="AH915" i="8"/>
  <c r="AH916" i="8"/>
  <c r="AH917" i="8"/>
  <c r="AH918" i="8"/>
  <c r="AH919" i="8"/>
  <c r="AH920" i="8"/>
  <c r="AH921" i="8"/>
  <c r="AH922" i="8"/>
  <c r="AH923" i="8"/>
  <c r="AH924" i="8"/>
  <c r="AH925" i="8"/>
  <c r="AH926" i="8"/>
  <c r="AH927" i="8"/>
  <c r="AH928" i="8"/>
  <c r="AH929" i="8"/>
  <c r="AH930" i="8"/>
  <c r="AH931" i="8"/>
  <c r="AH932" i="8"/>
  <c r="AH933" i="8"/>
  <c r="AH934" i="8"/>
  <c r="AH935" i="8"/>
  <c r="AH936" i="8"/>
  <c r="AH937" i="8"/>
  <c r="AH938" i="8"/>
  <c r="AH939" i="8"/>
  <c r="AH940" i="8"/>
  <c r="AH941" i="8"/>
  <c r="AH942" i="8"/>
  <c r="AH943" i="8"/>
  <c r="AH944" i="8"/>
  <c r="AH945" i="8"/>
  <c r="AH946" i="8"/>
  <c r="AH947" i="8"/>
  <c r="AH948" i="8"/>
  <c r="AH949" i="8"/>
  <c r="AH950" i="8"/>
  <c r="AH951" i="8"/>
  <c r="AH952" i="8"/>
  <c r="AH953" i="8"/>
  <c r="AH954" i="8"/>
  <c r="AH955" i="8"/>
  <c r="AH956" i="8"/>
  <c r="AH957" i="8"/>
  <c r="AH958" i="8"/>
  <c r="AH959" i="8"/>
  <c r="AH960" i="8"/>
  <c r="AH961" i="8"/>
  <c r="AH962" i="8"/>
  <c r="AH963" i="8"/>
  <c r="AH964" i="8"/>
  <c r="AH965" i="8"/>
  <c r="AH966" i="8"/>
  <c r="AH967" i="8"/>
  <c r="AH968" i="8"/>
  <c r="AH969" i="8"/>
  <c r="AH970" i="8"/>
  <c r="AH971" i="8"/>
  <c r="AH972" i="8"/>
  <c r="AH973" i="8"/>
  <c r="AH974" i="8"/>
  <c r="AH975" i="8"/>
  <c r="AH976" i="8"/>
  <c r="AH977" i="8"/>
  <c r="AH978" i="8"/>
  <c r="AH979" i="8"/>
  <c r="AH980" i="8"/>
  <c r="AH981" i="8"/>
  <c r="AH982" i="8"/>
  <c r="AH983" i="8"/>
  <c r="AH984" i="8"/>
  <c r="AH985" i="8"/>
  <c r="AH986" i="8"/>
  <c r="AH987" i="8"/>
  <c r="AH988" i="8"/>
  <c r="AH989" i="8"/>
  <c r="AH990" i="8"/>
  <c r="AH991" i="8"/>
  <c r="AH992" i="8"/>
  <c r="AH993" i="8"/>
  <c r="AH994" i="8"/>
  <c r="AH995" i="8"/>
  <c r="AH996" i="8"/>
  <c r="AH997" i="8"/>
  <c r="AH998" i="8"/>
  <c r="AH999" i="8"/>
  <c r="AH1000" i="8"/>
  <c r="AH1001" i="8"/>
  <c r="AH1002" i="8"/>
  <c r="AH1003" i="8"/>
  <c r="AH1004" i="8"/>
  <c r="AH1005" i="8"/>
  <c r="AH1006" i="8"/>
  <c r="AH1007" i="8"/>
  <c r="AH1008" i="8"/>
  <c r="AH1009" i="8"/>
  <c r="AH1010" i="8"/>
  <c r="AH1011" i="8"/>
  <c r="AH1012" i="8"/>
  <c r="AH1013" i="8"/>
  <c r="AH1014" i="8"/>
  <c r="AH1015" i="8"/>
  <c r="AH1016" i="8"/>
  <c r="AH1017" i="8"/>
  <c r="AH1018" i="8"/>
  <c r="AH1019" i="8"/>
  <c r="AH1020" i="8"/>
  <c r="AH1021" i="8"/>
  <c r="AH1022" i="8"/>
  <c r="AH1023" i="8"/>
  <c r="AH1024" i="8"/>
  <c r="AH1025" i="8"/>
  <c r="AH1026" i="8"/>
  <c r="AH1027" i="8"/>
  <c r="AH1028" i="8"/>
  <c r="AH1029" i="8"/>
  <c r="AH1030" i="8"/>
  <c r="AH1031" i="8"/>
  <c r="AH1032" i="8"/>
  <c r="AH1033" i="8"/>
  <c r="AH1034" i="8"/>
  <c r="AH1035" i="8"/>
  <c r="AH1036" i="8"/>
  <c r="AH1037" i="8"/>
  <c r="AH1038" i="8"/>
  <c r="AH1039" i="8"/>
  <c r="AH1040" i="8"/>
  <c r="AH1041" i="8"/>
  <c r="AH1042" i="8"/>
  <c r="AH1043" i="8"/>
  <c r="AH1044" i="8"/>
  <c r="AH1045" i="8"/>
  <c r="AH1046" i="8"/>
  <c r="AH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H269" i="8"/>
  <c r="AH270" i="8"/>
  <c r="AH271" i="8"/>
  <c r="AH272" i="8"/>
  <c r="AH273" i="8"/>
  <c r="AH274" i="8"/>
  <c r="AH275" i="8"/>
  <c r="AH276" i="8"/>
  <c r="AH277" i="8"/>
  <c r="AH278" i="8"/>
  <c r="AH279" i="8"/>
  <c r="AH280" i="8"/>
  <c r="AH281" i="8"/>
  <c r="AH282" i="8"/>
  <c r="AH283" i="8"/>
  <c r="AH284" i="8"/>
  <c r="AH285" i="8"/>
  <c r="AH286" i="8"/>
  <c r="AH287" i="8"/>
  <c r="AH288" i="8"/>
  <c r="AH289" i="8"/>
  <c r="AH290" i="8"/>
  <c r="AH291" i="8"/>
  <c r="AH292" i="8"/>
  <c r="AH293" i="8"/>
  <c r="AH294" i="8"/>
  <c r="AH295" i="8"/>
  <c r="AH296" i="8"/>
  <c r="AH297" i="8"/>
  <c r="AH298" i="8"/>
  <c r="AH299" i="8"/>
  <c r="AH300" i="8"/>
  <c r="AH301" i="8"/>
  <c r="AH302" i="8"/>
  <c r="AH303" i="8"/>
  <c r="AH304" i="8"/>
  <c r="AH305" i="8"/>
  <c r="AH306" i="8"/>
  <c r="AH307" i="8"/>
  <c r="AH308" i="8"/>
  <c r="AH309" i="8"/>
  <c r="AH310" i="8"/>
  <c r="AH311" i="8"/>
  <c r="AH312" i="8"/>
  <c r="AH313" i="8"/>
  <c r="AH314" i="8"/>
  <c r="AH315" i="8"/>
  <c r="AH316" i="8"/>
  <c r="AH317" i="8"/>
  <c r="AH318" i="8"/>
  <c r="AH319" i="8"/>
  <c r="AH320" i="8"/>
  <c r="AH321" i="8"/>
  <c r="AH322" i="8"/>
  <c r="AH323" i="8"/>
  <c r="AH324" i="8"/>
  <c r="AH325" i="8"/>
  <c r="AH326" i="8"/>
  <c r="AH327" i="8"/>
  <c r="AH328" i="8"/>
  <c r="AH329" i="8"/>
  <c r="AH330" i="8"/>
  <c r="AH331" i="8"/>
  <c r="AH332" i="8"/>
  <c r="AH333" i="8"/>
  <c r="AH334" i="8"/>
  <c r="AH335" i="8"/>
  <c r="AH336" i="8"/>
  <c r="AH337" i="8"/>
  <c r="AH338" i="8"/>
  <c r="AH339" i="8"/>
  <c r="AH340" i="8"/>
  <c r="AH341" i="8"/>
  <c r="AH342" i="8"/>
  <c r="AH343" i="8"/>
  <c r="AH344" i="8"/>
  <c r="AH345" i="8"/>
  <c r="AH346" i="8"/>
  <c r="AH347" i="8"/>
  <c r="AH348" i="8"/>
  <c r="AH349" i="8"/>
  <c r="AH350" i="8"/>
  <c r="AH351" i="8"/>
  <c r="AH352" i="8"/>
  <c r="AH353" i="8"/>
  <c r="AH354" i="8"/>
  <c r="AH355" i="8"/>
  <c r="AH356" i="8"/>
  <c r="AH357" i="8"/>
  <c r="AH358" i="8"/>
  <c r="AH359" i="8"/>
  <c r="AH360" i="8"/>
  <c r="AH361" i="8"/>
  <c r="AH362" i="8"/>
  <c r="AH363" i="8"/>
  <c r="AH364" i="8"/>
  <c r="AH365" i="8"/>
  <c r="AH366" i="8"/>
  <c r="AH367" i="8"/>
  <c r="AH368" i="8"/>
  <c r="AH369" i="8"/>
  <c r="AH370" i="8"/>
  <c r="AH371" i="8"/>
  <c r="AH372" i="8"/>
  <c r="AH373" i="8"/>
  <c r="AH374" i="8"/>
  <c r="AH375" i="8"/>
  <c r="AH376" i="8"/>
  <c r="AH377" i="8"/>
  <c r="AH378" i="8"/>
  <c r="AH379" i="8"/>
  <c r="AH380" i="8"/>
  <c r="AH381" i="8"/>
  <c r="AH382" i="8"/>
  <c r="AH383" i="8"/>
  <c r="AH384" i="8"/>
  <c r="AH385" i="8"/>
  <c r="AH386" i="8"/>
  <c r="AH387" i="8"/>
  <c r="AH388" i="8"/>
  <c r="AH389" i="8"/>
  <c r="AH390" i="8"/>
  <c r="AH391" i="8"/>
  <c r="AH392" i="8"/>
  <c r="AH393" i="8"/>
  <c r="AH394" i="8"/>
  <c r="AH395" i="8"/>
  <c r="AH396" i="8"/>
  <c r="AH397" i="8"/>
  <c r="AH398" i="8"/>
  <c r="AH399" i="8"/>
  <c r="AH400" i="8"/>
  <c r="AH401" i="8"/>
  <c r="AH402" i="8"/>
  <c r="AH403" i="8"/>
  <c r="AH404" i="8"/>
  <c r="AH405" i="8"/>
  <c r="AH406" i="8"/>
  <c r="AH407" i="8"/>
  <c r="AH408" i="8"/>
  <c r="AH409" i="8"/>
  <c r="AH410" i="8"/>
  <c r="AH411" i="8"/>
  <c r="AH412" i="8"/>
  <c r="AH413" i="8"/>
  <c r="AH414" i="8"/>
  <c r="AH415" i="8"/>
  <c r="AH416" i="8"/>
  <c r="AH417" i="8"/>
  <c r="AH418" i="8"/>
  <c r="AH419" i="8"/>
  <c r="AH420" i="8"/>
  <c r="AH421" i="8"/>
  <c r="AH422" i="8"/>
  <c r="AH423" i="8"/>
  <c r="AH424" i="8"/>
  <c r="AH425" i="8"/>
  <c r="AH426" i="8"/>
  <c r="AH427" i="8"/>
  <c r="AH428" i="8"/>
  <c r="AH429" i="8"/>
  <c r="AH430" i="8"/>
  <c r="AH431" i="8"/>
  <c r="AH432" i="8"/>
  <c r="AH433" i="8"/>
  <c r="AH434" i="8"/>
  <c r="AH435" i="8"/>
  <c r="AH436" i="8"/>
  <c r="AH437" i="8"/>
  <c r="AH438" i="8"/>
  <c r="AH439" i="8"/>
  <c r="AH440" i="8"/>
  <c r="AH441" i="8"/>
  <c r="AH442" i="8"/>
  <c r="AH443" i="8"/>
  <c r="AH444" i="8"/>
  <c r="AH445" i="8"/>
  <c r="AH446" i="8"/>
  <c r="AH447" i="8"/>
  <c r="AH448" i="8"/>
  <c r="AH449" i="8"/>
  <c r="AH450" i="8"/>
  <c r="AH451" i="8"/>
  <c r="AH452" i="8"/>
  <c r="AH453" i="8"/>
  <c r="AH454" i="8"/>
  <c r="AH455" i="8"/>
  <c r="AH456" i="8"/>
  <c r="AH457" i="8"/>
  <c r="AH458" i="8"/>
  <c r="AH459" i="8"/>
  <c r="AH460" i="8"/>
  <c r="AH461" i="8"/>
  <c r="AH462" i="8"/>
  <c r="AH463" i="8"/>
  <c r="AH464" i="8"/>
  <c r="AH465" i="8"/>
  <c r="AH466" i="8"/>
  <c r="AH467" i="8"/>
  <c r="AH468" i="8"/>
  <c r="AH469" i="8"/>
  <c r="AH470" i="8"/>
  <c r="AH471" i="8"/>
  <c r="AH472" i="8"/>
  <c r="AH473" i="8"/>
  <c r="AH474" i="8"/>
  <c r="AH475" i="8"/>
  <c r="AH476" i="8"/>
  <c r="AH477" i="8"/>
  <c r="AH478" i="8"/>
  <c r="AH479" i="8"/>
  <c r="AH480" i="8"/>
  <c r="AH481" i="8"/>
  <c r="AH482" i="8"/>
  <c r="AH483" i="8"/>
  <c r="AH484" i="8"/>
  <c r="AH485" i="8"/>
  <c r="AH486" i="8"/>
  <c r="AH487" i="8"/>
  <c r="AH488" i="8"/>
  <c r="AH489" i="8"/>
  <c r="AH490" i="8"/>
  <c r="AH491" i="8"/>
  <c r="AH492" i="8"/>
  <c r="AH493" i="8"/>
  <c r="AH494" i="8"/>
  <c r="AH495" i="8"/>
  <c r="AH496" i="8"/>
  <c r="AH497" i="8"/>
  <c r="AH498" i="8"/>
  <c r="AH499" i="8"/>
  <c r="AH500" i="8"/>
  <c r="AH501" i="8"/>
  <c r="AH502" i="8"/>
  <c r="AH503" i="8"/>
  <c r="AH504" i="8"/>
  <c r="AH505" i="8"/>
  <c r="AH506" i="8"/>
  <c r="AH507" i="8"/>
  <c r="AH508" i="8"/>
  <c r="AH509" i="8"/>
  <c r="AH510" i="8"/>
  <c r="AH511" i="8"/>
  <c r="AH512" i="8"/>
  <c r="AH513" i="8"/>
  <c r="AH514" i="8"/>
  <c r="AH515" i="8"/>
  <c r="AH516" i="8"/>
  <c r="AH517" i="8"/>
  <c r="AH518" i="8"/>
  <c r="AH519" i="8"/>
  <c r="AH520" i="8"/>
  <c r="AH521" i="8"/>
  <c r="AH522" i="8"/>
  <c r="AH523" i="8"/>
  <c r="AH524" i="8"/>
  <c r="AH525" i="8"/>
  <c r="AH526" i="8"/>
  <c r="AD527" i="8"/>
  <c r="AD528" i="8"/>
  <c r="AD529" i="8"/>
  <c r="AD530" i="8"/>
  <c r="AD531" i="8"/>
  <c r="AD532" i="8"/>
  <c r="AD533" i="8"/>
  <c r="AD534" i="8"/>
  <c r="AD535" i="8"/>
  <c r="AD536" i="8"/>
  <c r="AD537" i="8"/>
  <c r="AD538" i="8"/>
  <c r="AD539" i="8"/>
  <c r="AD540" i="8"/>
  <c r="AD541" i="8"/>
  <c r="AD542" i="8"/>
  <c r="AD543" i="8"/>
  <c r="AD544" i="8"/>
  <c r="AD545" i="8"/>
  <c r="AD546" i="8"/>
  <c r="AD547" i="8"/>
  <c r="AD548" i="8"/>
  <c r="AD549" i="8"/>
  <c r="AD550" i="8"/>
  <c r="AD551" i="8"/>
  <c r="AD552" i="8"/>
  <c r="AD553" i="8"/>
  <c r="AD554" i="8"/>
  <c r="AD555" i="8"/>
  <c r="AD556" i="8"/>
  <c r="AD557" i="8"/>
  <c r="AD558" i="8"/>
  <c r="AD559" i="8"/>
  <c r="AD560" i="8"/>
  <c r="AD561" i="8"/>
  <c r="AD562" i="8"/>
  <c r="AD563" i="8"/>
  <c r="AD564" i="8"/>
  <c r="AD565" i="8"/>
  <c r="AD566" i="8"/>
  <c r="AD567" i="8"/>
  <c r="AD568" i="8"/>
  <c r="AD569" i="8"/>
  <c r="AD570" i="8"/>
  <c r="AD571" i="8"/>
  <c r="AD572" i="8"/>
  <c r="AD573" i="8"/>
  <c r="AD574" i="8"/>
  <c r="AD575" i="8"/>
  <c r="AD576" i="8"/>
  <c r="AD577" i="8"/>
  <c r="AD578" i="8"/>
  <c r="AD579" i="8"/>
  <c r="AD580" i="8"/>
  <c r="AD581" i="8"/>
  <c r="AD582" i="8"/>
  <c r="AD583" i="8"/>
  <c r="AD584" i="8"/>
  <c r="AD585" i="8"/>
  <c r="AD586" i="8"/>
  <c r="AD587" i="8"/>
  <c r="AD588" i="8"/>
  <c r="AD589" i="8"/>
  <c r="AD590" i="8"/>
  <c r="AD591" i="8"/>
  <c r="AD592" i="8"/>
  <c r="AD593" i="8"/>
  <c r="AD594" i="8"/>
  <c r="AD595" i="8"/>
  <c r="AD596" i="8"/>
  <c r="AD597" i="8"/>
  <c r="AD598" i="8"/>
  <c r="AD599" i="8"/>
  <c r="AD600" i="8"/>
  <c r="AD601" i="8"/>
  <c r="AD602" i="8"/>
  <c r="AD603" i="8"/>
  <c r="AD604" i="8"/>
  <c r="AD605" i="8"/>
  <c r="AD606" i="8"/>
  <c r="AD607" i="8"/>
  <c r="AD608" i="8"/>
  <c r="AD609" i="8"/>
  <c r="AD610" i="8"/>
  <c r="AD611" i="8"/>
  <c r="AD612" i="8"/>
  <c r="AD613" i="8"/>
  <c r="AD614" i="8"/>
  <c r="AD615" i="8"/>
  <c r="AD616" i="8"/>
  <c r="AD617" i="8"/>
  <c r="AD618" i="8"/>
  <c r="AD619" i="8"/>
  <c r="AD620" i="8"/>
  <c r="AD621" i="8"/>
  <c r="AD622" i="8"/>
  <c r="AD623" i="8"/>
  <c r="AD624" i="8"/>
  <c r="AD625" i="8"/>
  <c r="AD626" i="8"/>
  <c r="AD627" i="8"/>
  <c r="AD628" i="8"/>
  <c r="AD629" i="8"/>
  <c r="AD630" i="8"/>
  <c r="AD631" i="8"/>
  <c r="AD632" i="8"/>
  <c r="AD633" i="8"/>
  <c r="AD634" i="8"/>
  <c r="AD635" i="8"/>
  <c r="AD636" i="8"/>
  <c r="AD637" i="8"/>
  <c r="AD638" i="8"/>
  <c r="AD639" i="8"/>
  <c r="AD640" i="8"/>
  <c r="AD641" i="8"/>
  <c r="AD642" i="8"/>
  <c r="AD643" i="8"/>
  <c r="AD644" i="8"/>
  <c r="AD645" i="8"/>
  <c r="AD646" i="8"/>
  <c r="AD647" i="8"/>
  <c r="AD648" i="8"/>
  <c r="AD649" i="8"/>
  <c r="AD650" i="8"/>
  <c r="AD651" i="8"/>
  <c r="AD652" i="8"/>
  <c r="AD653" i="8"/>
  <c r="AD654" i="8"/>
  <c r="AD655" i="8"/>
  <c r="AD656" i="8"/>
  <c r="AD657" i="8"/>
  <c r="AD658" i="8"/>
  <c r="AD659" i="8"/>
  <c r="AD660" i="8"/>
  <c r="AD661" i="8"/>
  <c r="AD662" i="8"/>
  <c r="AD663" i="8"/>
  <c r="AD664" i="8"/>
  <c r="AD665" i="8"/>
  <c r="AD666" i="8"/>
  <c r="AD667" i="8"/>
  <c r="AD668" i="8"/>
  <c r="AD669" i="8"/>
  <c r="AD670" i="8"/>
  <c r="AD671" i="8"/>
  <c r="AD672" i="8"/>
  <c r="AD673" i="8"/>
  <c r="AD674" i="8"/>
  <c r="AD675" i="8"/>
  <c r="AD676" i="8"/>
  <c r="AD677" i="8"/>
  <c r="AD678" i="8"/>
  <c r="AD679" i="8"/>
  <c r="AD680" i="8"/>
  <c r="AD681" i="8"/>
  <c r="AD682" i="8"/>
  <c r="AD683" i="8"/>
  <c r="AD684" i="8"/>
  <c r="AD685" i="8"/>
  <c r="AD686" i="8"/>
  <c r="AD687" i="8"/>
  <c r="AD688" i="8"/>
  <c r="AD689" i="8"/>
  <c r="AD690" i="8"/>
  <c r="AD691" i="8"/>
  <c r="AD692" i="8"/>
  <c r="AD693" i="8"/>
  <c r="AD694" i="8"/>
  <c r="AD695" i="8"/>
  <c r="AD696" i="8"/>
  <c r="AD697" i="8"/>
  <c r="AD698" i="8"/>
  <c r="AD699" i="8"/>
  <c r="AD700" i="8"/>
  <c r="AD701" i="8"/>
  <c r="AD702" i="8"/>
  <c r="AD703" i="8"/>
  <c r="AD704" i="8"/>
  <c r="AD705" i="8"/>
  <c r="AD706" i="8"/>
  <c r="AD707" i="8"/>
  <c r="AD708" i="8"/>
  <c r="AD709" i="8"/>
  <c r="AD710" i="8"/>
  <c r="AD711" i="8"/>
  <c r="AD712" i="8"/>
  <c r="AD713" i="8"/>
  <c r="AD714" i="8"/>
  <c r="AD715" i="8"/>
  <c r="AD716" i="8"/>
  <c r="AD717" i="8"/>
  <c r="AD718" i="8"/>
  <c r="AD719" i="8"/>
  <c r="AD720" i="8"/>
  <c r="AD721" i="8"/>
  <c r="AD722" i="8"/>
  <c r="AD723" i="8"/>
  <c r="AD724" i="8"/>
  <c r="AD725" i="8"/>
  <c r="AD726" i="8"/>
  <c r="AD727" i="8"/>
  <c r="AD728" i="8"/>
  <c r="AD729" i="8"/>
  <c r="AD730" i="8"/>
  <c r="AD731" i="8"/>
  <c r="AD732" i="8"/>
  <c r="AD733" i="8"/>
  <c r="AD734" i="8"/>
  <c r="AD735" i="8"/>
  <c r="AD736" i="8"/>
  <c r="AD737" i="8"/>
  <c r="AD738" i="8"/>
  <c r="AD739" i="8"/>
  <c r="AD740" i="8"/>
  <c r="AD741" i="8"/>
  <c r="AD742" i="8"/>
  <c r="AD743" i="8"/>
  <c r="AD744" i="8"/>
  <c r="AD745" i="8"/>
  <c r="AD746" i="8"/>
  <c r="AD747" i="8"/>
  <c r="AD748" i="8"/>
  <c r="AD749" i="8"/>
  <c r="AD750" i="8"/>
  <c r="AD751" i="8"/>
  <c r="AD752" i="8"/>
  <c r="AD753" i="8"/>
  <c r="AD754" i="8"/>
  <c r="AD755" i="8"/>
  <c r="AD756" i="8"/>
  <c r="AD757" i="8"/>
  <c r="AD758" i="8"/>
  <c r="AD759" i="8"/>
  <c r="AD760" i="8"/>
  <c r="AD761" i="8"/>
  <c r="AD762" i="8"/>
  <c r="AD763" i="8"/>
  <c r="AD764" i="8"/>
  <c r="AD765" i="8"/>
  <c r="AD766" i="8"/>
  <c r="AD767" i="8"/>
  <c r="AD768" i="8"/>
  <c r="AD769" i="8"/>
  <c r="AD770" i="8"/>
  <c r="AD771" i="8"/>
  <c r="AD772" i="8"/>
  <c r="AD773" i="8"/>
  <c r="AD774" i="8"/>
  <c r="AD775" i="8"/>
  <c r="AD776" i="8"/>
  <c r="AD777" i="8"/>
  <c r="AD778" i="8"/>
  <c r="AD779" i="8"/>
  <c r="AD780" i="8"/>
  <c r="AD781" i="8"/>
  <c r="AD782" i="8"/>
  <c r="AD783" i="8"/>
  <c r="AD784" i="8"/>
  <c r="AD785" i="8"/>
  <c r="AD786" i="8"/>
  <c r="AD787" i="8"/>
  <c r="AD788" i="8"/>
  <c r="AD789" i="8"/>
  <c r="AD790" i="8"/>
  <c r="AD791" i="8"/>
  <c r="AD792" i="8"/>
  <c r="AD793" i="8"/>
  <c r="AD794" i="8"/>
  <c r="AD795" i="8"/>
  <c r="AD796" i="8"/>
  <c r="AD797" i="8"/>
  <c r="AD798" i="8"/>
  <c r="AD799" i="8"/>
  <c r="AD800" i="8"/>
  <c r="AD801" i="8"/>
  <c r="AD802" i="8"/>
  <c r="AD803" i="8"/>
  <c r="AD804" i="8"/>
  <c r="AD805" i="8"/>
  <c r="AD806" i="8"/>
  <c r="AD807" i="8"/>
  <c r="AD808" i="8"/>
  <c r="AD809" i="8"/>
  <c r="AD810" i="8"/>
  <c r="AD811" i="8"/>
  <c r="AD812" i="8"/>
  <c r="AD813" i="8"/>
  <c r="AD814" i="8"/>
  <c r="AD815" i="8"/>
  <c r="AD816" i="8"/>
  <c r="AD817" i="8"/>
  <c r="AD818" i="8"/>
  <c r="AD819" i="8"/>
  <c r="AD820" i="8"/>
  <c r="AD821" i="8"/>
  <c r="AD822" i="8"/>
  <c r="AD823" i="8"/>
  <c r="AD824" i="8"/>
  <c r="AD825" i="8"/>
  <c r="AD826" i="8"/>
  <c r="AD827" i="8"/>
  <c r="AD828" i="8"/>
  <c r="AD829" i="8"/>
  <c r="AD830" i="8"/>
  <c r="AD831" i="8"/>
  <c r="AD832" i="8"/>
  <c r="AD833" i="8"/>
  <c r="AD834" i="8"/>
  <c r="AD835" i="8"/>
  <c r="AD836" i="8"/>
  <c r="AD837" i="8"/>
  <c r="AD838" i="8"/>
  <c r="AD839" i="8"/>
  <c r="AD840" i="8"/>
  <c r="AD841" i="8"/>
  <c r="AD842" i="8"/>
  <c r="AD843" i="8"/>
  <c r="AD844" i="8"/>
  <c r="AD845" i="8"/>
  <c r="AD846" i="8"/>
  <c r="AD847" i="8"/>
  <c r="AD848" i="8"/>
  <c r="AD849" i="8"/>
  <c r="AD850" i="8"/>
  <c r="AD851" i="8"/>
  <c r="AD852" i="8"/>
  <c r="AD853" i="8"/>
  <c r="AD854" i="8"/>
  <c r="AD855" i="8"/>
  <c r="AD856" i="8"/>
  <c r="AD857" i="8"/>
  <c r="AD858" i="8"/>
  <c r="AD859" i="8"/>
  <c r="AD860" i="8"/>
  <c r="AD861" i="8"/>
  <c r="AD862" i="8"/>
  <c r="AD863" i="8"/>
  <c r="AD864" i="8"/>
  <c r="AD865" i="8"/>
  <c r="AD866" i="8"/>
  <c r="AD867" i="8"/>
  <c r="AD868" i="8"/>
  <c r="AD869" i="8"/>
  <c r="AD870" i="8"/>
  <c r="AD871" i="8"/>
  <c r="AD872" i="8"/>
  <c r="AD873" i="8"/>
  <c r="AD874" i="8"/>
  <c r="AD875" i="8"/>
  <c r="AD876" i="8"/>
  <c r="AD877" i="8"/>
  <c r="AD878" i="8"/>
  <c r="AD879" i="8"/>
  <c r="AD880" i="8"/>
  <c r="AD881" i="8"/>
  <c r="AD882" i="8"/>
  <c r="AD883" i="8"/>
  <c r="AD884" i="8"/>
  <c r="AD885" i="8"/>
  <c r="AD886" i="8"/>
  <c r="AD887" i="8"/>
  <c r="AD888" i="8"/>
  <c r="AD889" i="8"/>
  <c r="AD890" i="8"/>
  <c r="AD891" i="8"/>
  <c r="AD892" i="8"/>
  <c r="AD893" i="8"/>
  <c r="AD894" i="8"/>
  <c r="AD895" i="8"/>
  <c r="AD896" i="8"/>
  <c r="AD897" i="8"/>
  <c r="AD898" i="8"/>
  <c r="AD899" i="8"/>
  <c r="AD900" i="8"/>
  <c r="AD901" i="8"/>
  <c r="AD902" i="8"/>
  <c r="AD903" i="8"/>
  <c r="AD904" i="8"/>
  <c r="AD905" i="8"/>
  <c r="AD906" i="8"/>
  <c r="AD907" i="8"/>
  <c r="AD908" i="8"/>
  <c r="AD909" i="8"/>
  <c r="AD910" i="8"/>
  <c r="AD911" i="8"/>
  <c r="AD912" i="8"/>
  <c r="AD913" i="8"/>
  <c r="AD914" i="8"/>
  <c r="AD915" i="8"/>
  <c r="AD916" i="8"/>
  <c r="AD917" i="8"/>
  <c r="AD918" i="8"/>
  <c r="AD919" i="8"/>
  <c r="AD920" i="8"/>
  <c r="AD921" i="8"/>
  <c r="AD922" i="8"/>
  <c r="AD923" i="8"/>
  <c r="AD924" i="8"/>
  <c r="AD925" i="8"/>
  <c r="AD926" i="8"/>
  <c r="AD927" i="8"/>
  <c r="AD928" i="8"/>
  <c r="AD929" i="8"/>
  <c r="AD930" i="8"/>
  <c r="AD931" i="8"/>
  <c r="AD932" i="8"/>
  <c r="AD933" i="8"/>
  <c r="AD934" i="8"/>
  <c r="AD935" i="8"/>
  <c r="AD936" i="8"/>
  <c r="AD937" i="8"/>
  <c r="AD938" i="8"/>
  <c r="AD939" i="8"/>
  <c r="AD940" i="8"/>
  <c r="AD941" i="8"/>
  <c r="AD942" i="8"/>
  <c r="AD943" i="8"/>
  <c r="AD944" i="8"/>
  <c r="AD945" i="8"/>
  <c r="AD946" i="8"/>
  <c r="AD947" i="8"/>
  <c r="AD948" i="8"/>
  <c r="AD949" i="8"/>
  <c r="AD950" i="8"/>
  <c r="AD951" i="8"/>
  <c r="AD952" i="8"/>
  <c r="AD953" i="8"/>
  <c r="AD954" i="8"/>
  <c r="AD955" i="8"/>
  <c r="AD956" i="8"/>
  <c r="AD957" i="8"/>
  <c r="AD958" i="8"/>
  <c r="AD959" i="8"/>
  <c r="AD960" i="8"/>
  <c r="AD961" i="8"/>
  <c r="AD962" i="8"/>
  <c r="AD963" i="8"/>
  <c r="AD964" i="8"/>
  <c r="AD965" i="8"/>
  <c r="AD966" i="8"/>
  <c r="AD967" i="8"/>
  <c r="AD968" i="8"/>
  <c r="AD969" i="8"/>
  <c r="AD970" i="8"/>
  <c r="AD971" i="8"/>
  <c r="AD972" i="8"/>
  <c r="AD973" i="8"/>
  <c r="AD974" i="8"/>
  <c r="AD975" i="8"/>
  <c r="AD976" i="8"/>
  <c r="AD977" i="8"/>
  <c r="AD978" i="8"/>
  <c r="AD979" i="8"/>
  <c r="AD980" i="8"/>
  <c r="AD981" i="8"/>
  <c r="AD982" i="8"/>
  <c r="AD983" i="8"/>
  <c r="AD984" i="8"/>
  <c r="AD985" i="8"/>
  <c r="AD986" i="8"/>
  <c r="AD987" i="8"/>
  <c r="AD988" i="8"/>
  <c r="AD989" i="8"/>
  <c r="AD990" i="8"/>
  <c r="AD991" i="8"/>
  <c r="AD992" i="8"/>
  <c r="AD993" i="8"/>
  <c r="AD994" i="8"/>
  <c r="AD995" i="8"/>
  <c r="AD996" i="8"/>
  <c r="AD997" i="8"/>
  <c r="AD998" i="8"/>
  <c r="AD999" i="8"/>
  <c r="AD1000" i="8"/>
  <c r="AD1001" i="8"/>
  <c r="AD1002" i="8"/>
  <c r="AD1003" i="8"/>
  <c r="AD1004" i="8"/>
  <c r="AD1005" i="8"/>
  <c r="AD1006" i="8"/>
  <c r="AD1007" i="8"/>
  <c r="AD1008" i="8"/>
  <c r="AD1009" i="8"/>
  <c r="AD1010" i="8"/>
  <c r="AD1011" i="8"/>
  <c r="AD1012" i="8"/>
  <c r="AD1013" i="8"/>
  <c r="AD1014" i="8"/>
  <c r="AD1015" i="8"/>
  <c r="AD1016" i="8"/>
  <c r="AD1017" i="8"/>
  <c r="AD1018" i="8"/>
  <c r="AD1019" i="8"/>
  <c r="AD1020" i="8"/>
  <c r="AD1021" i="8"/>
  <c r="AD1022" i="8"/>
  <c r="AD1023" i="8"/>
  <c r="AD1024" i="8"/>
  <c r="AD1025" i="8"/>
  <c r="AD1026" i="8"/>
  <c r="AD1027" i="8"/>
  <c r="AD1028" i="8"/>
  <c r="AD1029" i="8"/>
  <c r="AD1030" i="8"/>
  <c r="AD1031" i="8"/>
  <c r="AD1032" i="8"/>
  <c r="AD1033" i="8"/>
  <c r="AD1034" i="8"/>
  <c r="AD1035" i="8"/>
  <c r="AD1036" i="8"/>
  <c r="AD1037" i="8"/>
  <c r="AD1038" i="8"/>
  <c r="AD1039" i="8"/>
  <c r="AD1040" i="8"/>
  <c r="AD1041" i="8"/>
  <c r="AD1042" i="8"/>
  <c r="AD1043" i="8"/>
  <c r="AD1044" i="8"/>
  <c r="AD1045" i="8"/>
  <c r="AD1046" i="8"/>
  <c r="AD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16" i="8"/>
  <c r="AC1017" i="8"/>
  <c r="AC1018" i="8"/>
  <c r="AC1019" i="8"/>
  <c r="AC1020" i="8"/>
  <c r="AC1021" i="8"/>
  <c r="AC1022" i="8"/>
  <c r="AC1023" i="8"/>
  <c r="AC1024" i="8"/>
  <c r="AC1025" i="8"/>
  <c r="AC1026" i="8"/>
  <c r="AC1027" i="8"/>
  <c r="AC1028" i="8"/>
  <c r="AC1029" i="8"/>
  <c r="AC1030" i="8"/>
  <c r="AC1031" i="8"/>
  <c r="AC1032" i="8"/>
  <c r="AC1033" i="8"/>
  <c r="AC1034" i="8"/>
  <c r="AC1035" i="8"/>
  <c r="AC1036" i="8"/>
  <c r="AC1037" i="8"/>
  <c r="AC1038" i="8"/>
  <c r="AC1039" i="8"/>
  <c r="AC1040" i="8"/>
  <c r="AC1041" i="8"/>
  <c r="AC1042" i="8"/>
  <c r="AC1043" i="8"/>
  <c r="AC1044" i="8"/>
  <c r="AC1045" i="8"/>
  <c r="AC1046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3" i="8"/>
  <c r="AD414" i="8"/>
  <c r="AD415" i="8"/>
  <c r="AD416" i="8"/>
  <c r="AD417" i="8"/>
  <c r="AD418" i="8"/>
  <c r="AD419" i="8"/>
  <c r="AD420" i="8"/>
  <c r="AD421" i="8"/>
  <c r="AD422" i="8"/>
  <c r="AD423" i="8"/>
  <c r="AD424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D468" i="8"/>
  <c r="AD469" i="8"/>
  <c r="AD470" i="8"/>
  <c r="AD471" i="8"/>
  <c r="AD472" i="8"/>
  <c r="AD473" i="8"/>
  <c r="AD474" i="8"/>
  <c r="AD475" i="8"/>
  <c r="AD476" i="8"/>
  <c r="AD477" i="8"/>
  <c r="AD478" i="8"/>
  <c r="AD479" i="8"/>
  <c r="AD480" i="8"/>
  <c r="AD481" i="8"/>
  <c r="AD482" i="8"/>
  <c r="AD483" i="8"/>
  <c r="AD484" i="8"/>
  <c r="AD485" i="8"/>
  <c r="AD486" i="8"/>
  <c r="AD487" i="8"/>
  <c r="AD488" i="8"/>
  <c r="AD489" i="8"/>
  <c r="AD490" i="8"/>
  <c r="AD491" i="8"/>
  <c r="AD492" i="8"/>
  <c r="AD493" i="8"/>
  <c r="AD494" i="8"/>
  <c r="AD495" i="8"/>
  <c r="AD496" i="8"/>
  <c r="AD497" i="8"/>
  <c r="AD498" i="8"/>
  <c r="AD499" i="8"/>
  <c r="AD500" i="8"/>
  <c r="AD501" i="8"/>
  <c r="AD502" i="8"/>
  <c r="AD503" i="8"/>
  <c r="AD504" i="8"/>
  <c r="AD505" i="8"/>
  <c r="AD506" i="8"/>
  <c r="AD507" i="8"/>
  <c r="AD508" i="8"/>
  <c r="AD509" i="8"/>
  <c r="AD510" i="8"/>
  <c r="AD511" i="8"/>
  <c r="AD512" i="8"/>
  <c r="AD513" i="8"/>
  <c r="AD514" i="8"/>
  <c r="AD515" i="8"/>
  <c r="AD516" i="8"/>
  <c r="AD517" i="8"/>
  <c r="AD518" i="8"/>
  <c r="AD519" i="8"/>
  <c r="AD520" i="8"/>
  <c r="AD521" i="8"/>
  <c r="AD522" i="8"/>
  <c r="AD523" i="8"/>
  <c r="AD524" i="8"/>
  <c r="AD525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302" i="8"/>
  <c r="AN303" i="8"/>
  <c r="AN304" i="8"/>
  <c r="AN305" i="8"/>
  <c r="AN306" i="8"/>
  <c r="AN307" i="8"/>
  <c r="AN308" i="8"/>
  <c r="AN309" i="8"/>
  <c r="AN310" i="8"/>
  <c r="AN311" i="8"/>
  <c r="AN312" i="8"/>
  <c r="AN313" i="8"/>
  <c r="AN314" i="8"/>
  <c r="AN315" i="8"/>
  <c r="AN316" i="8"/>
  <c r="AN317" i="8"/>
  <c r="AN318" i="8"/>
  <c r="AN319" i="8"/>
  <c r="AN320" i="8"/>
  <c r="AN321" i="8"/>
  <c r="AN322" i="8"/>
  <c r="AN323" i="8"/>
  <c r="AN324" i="8"/>
  <c r="AN325" i="8"/>
  <c r="AN326" i="8"/>
  <c r="AN327" i="8"/>
  <c r="AN328" i="8"/>
  <c r="AN329" i="8"/>
  <c r="AN330" i="8"/>
  <c r="AN331" i="8"/>
  <c r="AN332" i="8"/>
  <c r="AN333" i="8"/>
  <c r="AN334" i="8"/>
  <c r="AN335" i="8"/>
  <c r="AN336" i="8"/>
  <c r="AN337" i="8"/>
  <c r="AN338" i="8"/>
  <c r="AN339" i="8"/>
  <c r="AN340" i="8"/>
  <c r="AN341" i="8"/>
  <c r="AN342" i="8"/>
  <c r="AN343" i="8"/>
  <c r="AN344" i="8"/>
  <c r="AN345" i="8"/>
  <c r="AN346" i="8"/>
  <c r="AN347" i="8"/>
  <c r="AN348" i="8"/>
  <c r="AN349" i="8"/>
  <c r="AN350" i="8"/>
  <c r="AN351" i="8"/>
  <c r="AN352" i="8"/>
  <c r="AN353" i="8"/>
  <c r="AN354" i="8"/>
  <c r="AN355" i="8"/>
  <c r="AN356" i="8"/>
  <c r="AN357" i="8"/>
  <c r="AN358" i="8"/>
  <c r="AN359" i="8"/>
  <c r="AN360" i="8"/>
  <c r="AN361" i="8"/>
  <c r="AN362" i="8"/>
  <c r="AN363" i="8"/>
  <c r="AN364" i="8"/>
  <c r="AN365" i="8"/>
  <c r="AN366" i="8"/>
  <c r="AN367" i="8"/>
  <c r="AN368" i="8"/>
  <c r="AN369" i="8"/>
  <c r="AN370" i="8"/>
  <c r="AN371" i="8"/>
  <c r="AN372" i="8"/>
  <c r="AN373" i="8"/>
  <c r="AN374" i="8"/>
  <c r="AN375" i="8"/>
  <c r="AN376" i="8"/>
  <c r="AN377" i="8"/>
  <c r="AN378" i="8"/>
  <c r="AN379" i="8"/>
  <c r="AN380" i="8"/>
  <c r="AN381" i="8"/>
  <c r="AN382" i="8"/>
  <c r="AN383" i="8"/>
  <c r="AN384" i="8"/>
  <c r="AN385" i="8"/>
  <c r="AN386" i="8"/>
  <c r="AN387" i="8"/>
  <c r="AN388" i="8"/>
  <c r="AN389" i="8"/>
  <c r="AN390" i="8"/>
  <c r="AN391" i="8"/>
  <c r="AN392" i="8"/>
  <c r="AN393" i="8"/>
  <c r="AN394" i="8"/>
  <c r="AN395" i="8"/>
  <c r="AN396" i="8"/>
  <c r="AN397" i="8"/>
  <c r="AN398" i="8"/>
  <c r="AN399" i="8"/>
  <c r="AN400" i="8"/>
  <c r="AN401" i="8"/>
  <c r="AN402" i="8"/>
  <c r="AN403" i="8"/>
  <c r="AN404" i="8"/>
  <c r="AN405" i="8"/>
  <c r="AN406" i="8"/>
  <c r="AN407" i="8"/>
  <c r="AN408" i="8"/>
  <c r="AN409" i="8"/>
  <c r="AN410" i="8"/>
  <c r="AN411" i="8"/>
  <c r="AN412" i="8"/>
  <c r="AN413" i="8"/>
  <c r="AN414" i="8"/>
  <c r="AN415" i="8"/>
  <c r="AN416" i="8"/>
  <c r="AN417" i="8"/>
  <c r="AN418" i="8"/>
  <c r="AN419" i="8"/>
  <c r="AN420" i="8"/>
  <c r="AN421" i="8"/>
  <c r="AN422" i="8"/>
  <c r="AN423" i="8"/>
  <c r="AN424" i="8"/>
  <c r="AN425" i="8"/>
  <c r="AN426" i="8"/>
  <c r="AN427" i="8"/>
  <c r="AN428" i="8"/>
  <c r="AN429" i="8"/>
  <c r="AN430" i="8"/>
  <c r="AN431" i="8"/>
  <c r="AN432" i="8"/>
  <c r="AN433" i="8"/>
  <c r="AN434" i="8"/>
  <c r="AN435" i="8"/>
  <c r="AN436" i="8"/>
  <c r="AN437" i="8"/>
  <c r="AN438" i="8"/>
  <c r="AN439" i="8"/>
  <c r="AN440" i="8"/>
  <c r="AN441" i="8"/>
  <c r="AN442" i="8"/>
  <c r="AN443" i="8"/>
  <c r="AN444" i="8"/>
  <c r="AN445" i="8"/>
  <c r="AN446" i="8"/>
  <c r="AN447" i="8"/>
  <c r="AN448" i="8"/>
  <c r="AN449" i="8"/>
  <c r="AN450" i="8"/>
  <c r="AN451" i="8"/>
  <c r="AN452" i="8"/>
  <c r="AN453" i="8"/>
  <c r="AN454" i="8"/>
  <c r="AN455" i="8"/>
  <c r="AN456" i="8"/>
  <c r="AN457" i="8"/>
  <c r="AN458" i="8"/>
  <c r="AN459" i="8"/>
  <c r="AN460" i="8"/>
  <c r="AN461" i="8"/>
  <c r="AN462" i="8"/>
  <c r="AN463" i="8"/>
  <c r="AN464" i="8"/>
  <c r="AN465" i="8"/>
  <c r="AN466" i="8"/>
  <c r="AN467" i="8"/>
  <c r="AN468" i="8"/>
  <c r="AN469" i="8"/>
  <c r="AN470" i="8"/>
  <c r="AN471" i="8"/>
  <c r="AN472" i="8"/>
  <c r="AN473" i="8"/>
  <c r="AN474" i="8"/>
  <c r="AN475" i="8"/>
  <c r="AN476" i="8"/>
  <c r="AN477" i="8"/>
  <c r="AN478" i="8"/>
  <c r="AN479" i="8"/>
  <c r="AN480" i="8"/>
  <c r="AN481" i="8"/>
  <c r="AN482" i="8"/>
  <c r="AN483" i="8"/>
  <c r="AN484" i="8"/>
  <c r="AN485" i="8"/>
  <c r="AN486" i="8"/>
  <c r="AN487" i="8"/>
  <c r="AN488" i="8"/>
  <c r="AN489" i="8"/>
  <c r="AN490" i="8"/>
  <c r="AN491" i="8"/>
  <c r="AN492" i="8"/>
  <c r="AN493" i="8"/>
  <c r="AN494" i="8"/>
  <c r="AN495" i="8"/>
  <c r="AN496" i="8"/>
  <c r="AN497" i="8"/>
  <c r="AN498" i="8"/>
  <c r="AN499" i="8"/>
  <c r="AN500" i="8"/>
  <c r="AN501" i="8"/>
  <c r="AN502" i="8"/>
  <c r="AN503" i="8"/>
  <c r="AN504" i="8"/>
  <c r="AN505" i="8"/>
  <c r="AN506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461" i="8"/>
  <c r="AM462" i="8"/>
  <c r="AM463" i="8"/>
  <c r="AM464" i="8"/>
  <c r="AM465" i="8"/>
  <c r="AM466" i="8"/>
  <c r="AM467" i="8"/>
  <c r="AM468" i="8"/>
  <c r="AM469" i="8"/>
  <c r="AM470" i="8"/>
  <c r="AM471" i="8"/>
  <c r="AM472" i="8"/>
  <c r="AM473" i="8"/>
  <c r="AM474" i="8"/>
  <c r="AM475" i="8"/>
  <c r="AM476" i="8"/>
  <c r="AM477" i="8"/>
  <c r="AM478" i="8"/>
  <c r="AM479" i="8"/>
  <c r="AM480" i="8"/>
  <c r="AM481" i="8"/>
  <c r="AM482" i="8"/>
  <c r="AM483" i="8"/>
  <c r="AM484" i="8"/>
  <c r="AM485" i="8"/>
  <c r="AM486" i="8"/>
  <c r="AM487" i="8"/>
  <c r="AM488" i="8"/>
  <c r="AM489" i="8"/>
  <c r="AM490" i="8"/>
  <c r="AM491" i="8"/>
  <c r="AM492" i="8"/>
  <c r="AM493" i="8"/>
  <c r="AM494" i="8"/>
  <c r="AM495" i="8"/>
  <c r="AM496" i="8"/>
  <c r="AM497" i="8"/>
  <c r="AM498" i="8"/>
  <c r="AM499" i="8"/>
  <c r="AM500" i="8"/>
  <c r="AM501" i="8"/>
  <c r="AM502" i="8"/>
  <c r="AM503" i="8"/>
  <c r="AM504" i="8"/>
  <c r="AM505" i="8"/>
  <c r="AM506" i="8"/>
  <c r="AN4" i="8"/>
  <c r="F49" i="1" s="1"/>
  <c r="AM4" i="8"/>
  <c r="AI5" i="8"/>
  <c r="AI6" i="8"/>
  <c r="AI7" i="8"/>
  <c r="AI8" i="8"/>
  <c r="AJ8" i="8" s="1"/>
  <c r="AI9" i="8"/>
  <c r="AI10" i="8"/>
  <c r="AI11" i="8"/>
  <c r="AI12" i="8"/>
  <c r="AI13" i="8"/>
  <c r="AI14" i="8"/>
  <c r="AI15" i="8"/>
  <c r="AI16" i="8"/>
  <c r="AI17" i="8"/>
  <c r="AI18" i="8"/>
  <c r="AI19" i="8"/>
  <c r="AI20" i="8"/>
  <c r="AJ20" i="8" s="1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J33" i="8" s="1"/>
  <c r="AI34" i="8"/>
  <c r="AJ34" i="8" s="1"/>
  <c r="AI35" i="8"/>
  <c r="AI36" i="8"/>
  <c r="AI37" i="8"/>
  <c r="AI38" i="8"/>
  <c r="AI39" i="8"/>
  <c r="AI40" i="8"/>
  <c r="AI41" i="8"/>
  <c r="AI42" i="8"/>
  <c r="AI43" i="8"/>
  <c r="AI44" i="8"/>
  <c r="AJ44" i="8" s="1"/>
  <c r="AI45" i="8"/>
  <c r="AJ45" i="8" s="1"/>
  <c r="AI46" i="8"/>
  <c r="AJ46" i="8" s="1"/>
  <c r="AI47" i="8"/>
  <c r="AI48" i="8"/>
  <c r="AI49" i="8"/>
  <c r="AI50" i="8"/>
  <c r="AI51" i="8"/>
  <c r="AI52" i="8"/>
  <c r="AI53" i="8"/>
  <c r="AI54" i="8"/>
  <c r="AI55" i="8"/>
  <c r="AI56" i="8"/>
  <c r="AI57" i="8"/>
  <c r="AJ57" i="8" s="1"/>
  <c r="AI58" i="8"/>
  <c r="AJ58" i="8" s="1"/>
  <c r="AI59" i="8"/>
  <c r="AI60" i="8"/>
  <c r="AI61" i="8"/>
  <c r="AI62" i="8"/>
  <c r="AI63" i="8"/>
  <c r="AI64" i="8"/>
  <c r="AI65" i="8"/>
  <c r="AI66" i="8"/>
  <c r="AI67" i="8"/>
  <c r="AI68" i="8"/>
  <c r="AJ68" i="8" s="1"/>
  <c r="AI69" i="8"/>
  <c r="AJ69" i="8" s="1"/>
  <c r="AI70" i="8"/>
  <c r="AJ70" i="8" s="1"/>
  <c r="AI71" i="8"/>
  <c r="AI72" i="8"/>
  <c r="AI73" i="8"/>
  <c r="AI74" i="8"/>
  <c r="AI75" i="8"/>
  <c r="AI76" i="8"/>
  <c r="AI77" i="8"/>
  <c r="AI78" i="8"/>
  <c r="AI79" i="8"/>
  <c r="AI80" i="8"/>
  <c r="AI81" i="8"/>
  <c r="AJ81" i="8" s="1"/>
  <c r="AI82" i="8"/>
  <c r="AJ82" i="8" s="1"/>
  <c r="AI83" i="8"/>
  <c r="AI84" i="8"/>
  <c r="AI85" i="8"/>
  <c r="AI86" i="8"/>
  <c r="AI87" i="8"/>
  <c r="AI88" i="8"/>
  <c r="AI89" i="8"/>
  <c r="AI90" i="8"/>
  <c r="AI91" i="8"/>
  <c r="AJ91" i="8" s="1"/>
  <c r="AI92" i="8"/>
  <c r="AJ92" i="8" s="1"/>
  <c r="AI93" i="8"/>
  <c r="AJ93" i="8" s="1"/>
  <c r="AI94" i="8"/>
  <c r="AJ94" i="8" s="1"/>
  <c r="AI95" i="8"/>
  <c r="AI96" i="8"/>
  <c r="AI97" i="8"/>
  <c r="AI98" i="8"/>
  <c r="AI99" i="8"/>
  <c r="AI100" i="8"/>
  <c r="AI101" i="8"/>
  <c r="AI102" i="8"/>
  <c r="AI103" i="8"/>
  <c r="AI104" i="8"/>
  <c r="AI105" i="8"/>
  <c r="AJ105" i="8" s="1"/>
  <c r="AI106" i="8"/>
  <c r="AJ106" i="8" s="1"/>
  <c r="AI107" i="8"/>
  <c r="AI108" i="8"/>
  <c r="AI109" i="8"/>
  <c r="AI110" i="8"/>
  <c r="AI111" i="8"/>
  <c r="AI112" i="8"/>
  <c r="AI113" i="8"/>
  <c r="AI114" i="8"/>
  <c r="AI115" i="8"/>
  <c r="AI116" i="8"/>
  <c r="AI117" i="8"/>
  <c r="AJ117" i="8" s="1"/>
  <c r="AI118" i="8"/>
  <c r="AJ118" i="8" s="1"/>
  <c r="AI119" i="8"/>
  <c r="AI120" i="8"/>
  <c r="AI121" i="8"/>
  <c r="AI122" i="8"/>
  <c r="AI123" i="8"/>
  <c r="AI124" i="8"/>
  <c r="AI125" i="8"/>
  <c r="AI126" i="8"/>
  <c r="AI127" i="8"/>
  <c r="AI128" i="8"/>
  <c r="AJ128" i="8" s="1"/>
  <c r="AI129" i="8"/>
  <c r="AJ129" i="8" s="1"/>
  <c r="AI130" i="8"/>
  <c r="AJ130" i="8" s="1"/>
  <c r="AI131" i="8"/>
  <c r="AI132" i="8"/>
  <c r="AI133" i="8"/>
  <c r="AI134" i="8"/>
  <c r="AI135" i="8"/>
  <c r="AI136" i="8"/>
  <c r="AI137" i="8"/>
  <c r="AI138" i="8"/>
  <c r="AI139" i="8"/>
  <c r="AI140" i="8"/>
  <c r="AI141" i="8"/>
  <c r="AJ141" i="8" s="1"/>
  <c r="AI142" i="8"/>
  <c r="AJ142" i="8" s="1"/>
  <c r="AI143" i="8"/>
  <c r="AI144" i="8"/>
  <c r="AI145" i="8"/>
  <c r="AI146" i="8"/>
  <c r="AI147" i="8"/>
  <c r="AI148" i="8"/>
  <c r="AI149" i="8"/>
  <c r="AI150" i="8"/>
  <c r="AI151" i="8"/>
  <c r="AI152" i="8"/>
  <c r="AJ152" i="8" s="1"/>
  <c r="AI153" i="8"/>
  <c r="AJ153" i="8" s="1"/>
  <c r="AI154" i="8"/>
  <c r="AJ154" i="8" s="1"/>
  <c r="AI155" i="8"/>
  <c r="AI156" i="8"/>
  <c r="AI157" i="8"/>
  <c r="AI158" i="8"/>
  <c r="AI159" i="8"/>
  <c r="AI160" i="8"/>
  <c r="AI161" i="8"/>
  <c r="AI162" i="8"/>
  <c r="AI163" i="8"/>
  <c r="AI164" i="8"/>
  <c r="AI165" i="8"/>
  <c r="AJ165" i="8" s="1"/>
  <c r="AI166" i="8"/>
  <c r="AJ166" i="8" s="1"/>
  <c r="AI167" i="8"/>
  <c r="AI168" i="8"/>
  <c r="AI169" i="8"/>
  <c r="AI170" i="8"/>
  <c r="AI171" i="8"/>
  <c r="AI172" i="8"/>
  <c r="AJ172" i="8" s="1"/>
  <c r="AI173" i="8"/>
  <c r="AI174" i="8"/>
  <c r="AI175" i="8"/>
  <c r="AJ175" i="8" s="1"/>
  <c r="AI176" i="8"/>
  <c r="AI177" i="8"/>
  <c r="AJ177" i="8" s="1"/>
  <c r="AI178" i="8"/>
  <c r="AJ178" i="8" s="1"/>
  <c r="AI179" i="8"/>
  <c r="AI180" i="8"/>
  <c r="AI181" i="8"/>
  <c r="AI182" i="8"/>
  <c r="AI183" i="8"/>
  <c r="AI184" i="8"/>
  <c r="AI185" i="8"/>
  <c r="AI186" i="8"/>
  <c r="AI187" i="8"/>
  <c r="AI188" i="8"/>
  <c r="AI189" i="8"/>
  <c r="AJ189" i="8" s="1"/>
  <c r="AI190" i="8"/>
  <c r="AJ190" i="8" s="1"/>
  <c r="AI191" i="8"/>
  <c r="AI192" i="8"/>
  <c r="AI193" i="8"/>
  <c r="AI194" i="8"/>
  <c r="AI195" i="8"/>
  <c r="AI196" i="8"/>
  <c r="AI197" i="8"/>
  <c r="AI198" i="8"/>
  <c r="AI199" i="8"/>
  <c r="AJ199" i="8" s="1"/>
  <c r="AI200" i="8"/>
  <c r="AJ200" i="8" s="1"/>
  <c r="AI201" i="8"/>
  <c r="AJ201" i="8" s="1"/>
  <c r="AI202" i="8"/>
  <c r="AJ202" i="8" s="1"/>
  <c r="AI203" i="8"/>
  <c r="AI204" i="8"/>
  <c r="AI205" i="8"/>
  <c r="AI206" i="8"/>
  <c r="AI207" i="8"/>
  <c r="AI208" i="8"/>
  <c r="AI209" i="8"/>
  <c r="AI210" i="8"/>
  <c r="AI211" i="8"/>
  <c r="AI212" i="8"/>
  <c r="AJ212" i="8" s="1"/>
  <c r="AI213" i="8"/>
  <c r="AJ213" i="8" s="1"/>
  <c r="AI214" i="8"/>
  <c r="AJ214" i="8" s="1"/>
  <c r="AI215" i="8"/>
  <c r="AI216" i="8"/>
  <c r="AI217" i="8"/>
  <c r="AI218" i="8"/>
  <c r="AI219" i="8"/>
  <c r="AI220" i="8"/>
  <c r="AI221" i="8"/>
  <c r="AI222" i="8"/>
  <c r="AI223" i="8"/>
  <c r="AI224" i="8"/>
  <c r="AI225" i="8"/>
  <c r="AJ225" i="8" s="1"/>
  <c r="AI226" i="8"/>
  <c r="AJ226" i="8" s="1"/>
  <c r="AI227" i="8"/>
  <c r="AI228" i="8"/>
  <c r="AI229" i="8"/>
  <c r="AI230" i="8"/>
  <c r="AI231" i="8"/>
  <c r="AI232" i="8"/>
  <c r="AI233" i="8"/>
  <c r="AI234" i="8"/>
  <c r="AI235" i="8"/>
  <c r="AJ235" i="8" s="1"/>
  <c r="AI236" i="8"/>
  <c r="AJ236" i="8" s="1"/>
  <c r="AI237" i="8"/>
  <c r="AJ237" i="8" s="1"/>
  <c r="AI238" i="8"/>
  <c r="AJ238" i="8" s="1"/>
  <c r="AI239" i="8"/>
  <c r="AI240" i="8"/>
  <c r="AI241" i="8"/>
  <c r="AI242" i="8"/>
  <c r="AI243" i="8"/>
  <c r="AI244" i="8"/>
  <c r="AI245" i="8"/>
  <c r="AI246" i="8"/>
  <c r="AI247" i="8"/>
  <c r="AI248" i="8"/>
  <c r="AI249" i="8"/>
  <c r="AJ249" i="8" s="1"/>
  <c r="AI250" i="8"/>
  <c r="AJ250" i="8" s="1"/>
  <c r="AI251" i="8"/>
  <c r="AI252" i="8"/>
  <c r="AI253" i="8"/>
  <c r="AI254" i="8"/>
  <c r="AI255" i="8"/>
  <c r="AI256" i="8"/>
  <c r="AI257" i="8"/>
  <c r="AI258" i="8"/>
  <c r="AI259" i="8"/>
  <c r="AJ259" i="8" s="1"/>
  <c r="AI260" i="8"/>
  <c r="AI261" i="8"/>
  <c r="AJ261" i="8" s="1"/>
  <c r="AI262" i="8"/>
  <c r="AJ262" i="8" s="1"/>
  <c r="AI263" i="8"/>
  <c r="AI264" i="8"/>
  <c r="AI265" i="8"/>
  <c r="AI266" i="8"/>
  <c r="AI267" i="8"/>
  <c r="AI268" i="8"/>
  <c r="AI269" i="8"/>
  <c r="AI270" i="8"/>
  <c r="AI271" i="8"/>
  <c r="AI272" i="8"/>
  <c r="AI273" i="8"/>
  <c r="AJ273" i="8" s="1"/>
  <c r="AI274" i="8"/>
  <c r="AJ274" i="8" s="1"/>
  <c r="AI275" i="8"/>
  <c r="AI276" i="8"/>
  <c r="AI277" i="8"/>
  <c r="AI278" i="8"/>
  <c r="AI279" i="8"/>
  <c r="AI280" i="8"/>
  <c r="AI281" i="8"/>
  <c r="AI282" i="8"/>
  <c r="AI283" i="8"/>
  <c r="AI284" i="8"/>
  <c r="AI285" i="8"/>
  <c r="AJ285" i="8" s="1"/>
  <c r="AI286" i="8"/>
  <c r="AJ286" i="8" s="1"/>
  <c r="AI287" i="8"/>
  <c r="AI288" i="8"/>
  <c r="AI289" i="8"/>
  <c r="AI290" i="8"/>
  <c r="AI291" i="8"/>
  <c r="AI292" i="8"/>
  <c r="AI293" i="8"/>
  <c r="AI294" i="8"/>
  <c r="AJ294" i="8" s="1"/>
  <c r="AI295" i="8"/>
  <c r="AI296" i="8"/>
  <c r="AI297" i="8"/>
  <c r="AJ297" i="8" s="1"/>
  <c r="AI298" i="8"/>
  <c r="AJ298" i="8" s="1"/>
  <c r="AI299" i="8"/>
  <c r="AI300" i="8"/>
  <c r="AI301" i="8"/>
  <c r="AI302" i="8"/>
  <c r="AI303" i="8"/>
  <c r="AI304" i="8"/>
  <c r="AI305" i="8"/>
  <c r="AI306" i="8"/>
  <c r="AI307" i="8"/>
  <c r="AJ307" i="8" s="1"/>
  <c r="AI308" i="8"/>
  <c r="AJ308" i="8" s="1"/>
  <c r="AI309" i="8"/>
  <c r="AJ309" i="8" s="1"/>
  <c r="AI310" i="8"/>
  <c r="AJ310" i="8" s="1"/>
  <c r="AI311" i="8"/>
  <c r="AI312" i="8"/>
  <c r="AI313" i="8"/>
  <c r="AI314" i="8"/>
  <c r="AI315" i="8"/>
  <c r="AI316" i="8"/>
  <c r="AI317" i="8"/>
  <c r="AI318" i="8"/>
  <c r="AI319" i="8"/>
  <c r="AJ319" i="8" s="1"/>
  <c r="AI320" i="8"/>
  <c r="AJ320" i="8" s="1"/>
  <c r="AI321" i="8"/>
  <c r="AJ321" i="8" s="1"/>
  <c r="AI322" i="8"/>
  <c r="AJ322" i="8" s="1"/>
  <c r="AI323" i="8"/>
  <c r="AI324" i="8"/>
  <c r="AI325" i="8"/>
  <c r="AI326" i="8"/>
  <c r="AI327" i="8"/>
  <c r="AI328" i="8"/>
  <c r="AI329" i="8"/>
  <c r="AI330" i="8"/>
  <c r="AI331" i="8"/>
  <c r="AI332" i="8"/>
  <c r="AI333" i="8"/>
  <c r="AJ333" i="8" s="1"/>
  <c r="AI334" i="8"/>
  <c r="AJ334" i="8" s="1"/>
  <c r="AI335" i="8"/>
  <c r="AI336" i="8"/>
  <c r="AI337" i="8"/>
  <c r="AI338" i="8"/>
  <c r="AI339" i="8"/>
  <c r="AI340" i="8"/>
  <c r="AI341" i="8"/>
  <c r="AI342" i="8"/>
  <c r="AI343" i="8"/>
  <c r="AI344" i="8"/>
  <c r="AI345" i="8"/>
  <c r="AJ345" i="8" s="1"/>
  <c r="AI346" i="8"/>
  <c r="AJ346" i="8" s="1"/>
  <c r="AI347" i="8"/>
  <c r="AI348" i="8"/>
  <c r="AI349" i="8"/>
  <c r="AI350" i="8"/>
  <c r="AI351" i="8"/>
  <c r="AI352" i="8"/>
  <c r="AI353" i="8"/>
  <c r="AI354" i="8"/>
  <c r="AI355" i="8"/>
  <c r="AI356" i="8"/>
  <c r="AJ356" i="8" s="1"/>
  <c r="AI357" i="8"/>
  <c r="AJ357" i="8" s="1"/>
  <c r="AI358" i="8"/>
  <c r="AJ358" i="8" s="1"/>
  <c r="AI359" i="8"/>
  <c r="AI360" i="8"/>
  <c r="AI361" i="8"/>
  <c r="AI362" i="8"/>
  <c r="AI363" i="8"/>
  <c r="AI364" i="8"/>
  <c r="AI365" i="8"/>
  <c r="AI366" i="8"/>
  <c r="AI367" i="8"/>
  <c r="AJ367" i="8" s="1"/>
  <c r="AI368" i="8"/>
  <c r="AJ368" i="8" s="1"/>
  <c r="AI369" i="8"/>
  <c r="AJ369" i="8" s="1"/>
  <c r="AI370" i="8"/>
  <c r="AJ370" i="8" s="1"/>
  <c r="AI371" i="8"/>
  <c r="AI372" i="8"/>
  <c r="AI373" i="8"/>
  <c r="AI374" i="8"/>
  <c r="AI375" i="8"/>
  <c r="AI376" i="8"/>
  <c r="AI377" i="8"/>
  <c r="AI378" i="8"/>
  <c r="AI379" i="8"/>
  <c r="AI380" i="8"/>
  <c r="AI381" i="8"/>
  <c r="AJ381" i="8" s="1"/>
  <c r="AI382" i="8"/>
  <c r="AJ382" i="8" s="1"/>
  <c r="AI383" i="8"/>
  <c r="AI384" i="8"/>
  <c r="AI385" i="8"/>
  <c r="AI386" i="8"/>
  <c r="AI387" i="8"/>
  <c r="AI388" i="8"/>
  <c r="AI389" i="8"/>
  <c r="AI390" i="8"/>
  <c r="AJ390" i="8" s="1"/>
  <c r="AI391" i="8"/>
  <c r="AJ391" i="8" s="1"/>
  <c r="AI392" i="8"/>
  <c r="AJ392" i="8" s="1"/>
  <c r="AI393" i="8"/>
  <c r="AJ393" i="8" s="1"/>
  <c r="AI394" i="8"/>
  <c r="AJ394" i="8" s="1"/>
  <c r="AI395" i="8"/>
  <c r="AI396" i="8"/>
  <c r="AI397" i="8"/>
  <c r="AI398" i="8"/>
  <c r="AI399" i="8"/>
  <c r="AI400" i="8"/>
  <c r="AI401" i="8"/>
  <c r="AI402" i="8"/>
  <c r="AI403" i="8"/>
  <c r="AJ403" i="8" s="1"/>
  <c r="AI404" i="8"/>
  <c r="AI405" i="8"/>
  <c r="AJ405" i="8" s="1"/>
  <c r="AI406" i="8"/>
  <c r="AJ406" i="8" s="1"/>
  <c r="AI407" i="8"/>
  <c r="AI408" i="8"/>
  <c r="AI409" i="8"/>
  <c r="AI410" i="8"/>
  <c r="AI411" i="8"/>
  <c r="AI412" i="8"/>
  <c r="AI413" i="8"/>
  <c r="AI414" i="8"/>
  <c r="AI415" i="8"/>
  <c r="AI416" i="8"/>
  <c r="AI417" i="8"/>
  <c r="AJ417" i="8" s="1"/>
  <c r="AI418" i="8"/>
  <c r="AJ418" i="8" s="1"/>
  <c r="AI419" i="8"/>
  <c r="AI420" i="8"/>
  <c r="AI421" i="8"/>
  <c r="AI422" i="8"/>
  <c r="AI423" i="8"/>
  <c r="AI424" i="8"/>
  <c r="AI425" i="8"/>
  <c r="AI426" i="8"/>
  <c r="AI427" i="8"/>
  <c r="AI428" i="8"/>
  <c r="AJ428" i="8" s="1"/>
  <c r="AI429" i="8"/>
  <c r="AJ429" i="8" s="1"/>
  <c r="AI430" i="8"/>
  <c r="AJ430" i="8" s="1"/>
  <c r="AI431" i="8"/>
  <c r="AI432" i="8"/>
  <c r="AI433" i="8"/>
  <c r="AI434" i="8"/>
  <c r="AI435" i="8"/>
  <c r="AI436" i="8"/>
  <c r="AI437" i="8"/>
  <c r="AI438" i="8"/>
  <c r="AI439" i="8"/>
  <c r="AI440" i="8"/>
  <c r="AI441" i="8"/>
  <c r="AJ441" i="8" s="1"/>
  <c r="AI442" i="8"/>
  <c r="AJ442" i="8" s="1"/>
  <c r="AI443" i="8"/>
  <c r="AI444" i="8"/>
  <c r="AI445" i="8"/>
  <c r="AI446" i="8"/>
  <c r="AI447" i="8"/>
  <c r="AI448" i="8"/>
  <c r="AI449" i="8"/>
  <c r="AI450" i="8"/>
  <c r="AJ450" i="8" s="1"/>
  <c r="AI451" i="8"/>
  <c r="AJ451" i="8" s="1"/>
  <c r="AI452" i="8"/>
  <c r="AJ452" i="8" s="1"/>
  <c r="AI453" i="8"/>
  <c r="AJ453" i="8" s="1"/>
  <c r="AI454" i="8"/>
  <c r="AJ454" i="8" s="1"/>
  <c r="AI455" i="8"/>
  <c r="AI456" i="8"/>
  <c r="AI457" i="8"/>
  <c r="AI458" i="8"/>
  <c r="AI459" i="8"/>
  <c r="AI460" i="8"/>
  <c r="AI461" i="8"/>
  <c r="AI462" i="8"/>
  <c r="AI463" i="8"/>
  <c r="AJ463" i="8" s="1"/>
  <c r="AI464" i="8"/>
  <c r="AI465" i="8"/>
  <c r="AJ465" i="8" s="1"/>
  <c r="AI466" i="8"/>
  <c r="AJ466" i="8" s="1"/>
  <c r="AI467" i="8"/>
  <c r="AI468" i="8"/>
  <c r="AI469" i="8"/>
  <c r="AI470" i="8"/>
  <c r="AI471" i="8"/>
  <c r="AI472" i="8"/>
  <c r="AI473" i="8"/>
  <c r="AI474" i="8"/>
  <c r="AI475" i="8"/>
  <c r="AI476" i="8"/>
  <c r="AI477" i="8"/>
  <c r="AJ477" i="8" s="1"/>
  <c r="AI478" i="8"/>
  <c r="AJ478" i="8" s="1"/>
  <c r="AI479" i="8"/>
  <c r="AI480" i="8"/>
  <c r="AI481" i="8"/>
  <c r="AI482" i="8"/>
  <c r="AI483" i="8"/>
  <c r="AI484" i="8"/>
  <c r="AI485" i="8"/>
  <c r="AI486" i="8"/>
  <c r="AI487" i="8"/>
  <c r="AI488" i="8"/>
  <c r="AI489" i="8"/>
  <c r="AJ489" i="8" s="1"/>
  <c r="AI490" i="8"/>
  <c r="AJ490" i="8" s="1"/>
  <c r="AI491" i="8"/>
  <c r="AI492" i="8"/>
  <c r="AI493" i="8"/>
  <c r="AI494" i="8"/>
  <c r="AI495" i="8"/>
  <c r="AI496" i="8"/>
  <c r="AI497" i="8"/>
  <c r="AI498" i="8"/>
  <c r="AI499" i="8"/>
  <c r="AJ499" i="8" s="1"/>
  <c r="AI500" i="8"/>
  <c r="AJ500" i="8" s="1"/>
  <c r="AI501" i="8"/>
  <c r="AJ501" i="8" s="1"/>
  <c r="AI502" i="8"/>
  <c r="AJ502" i="8" s="1"/>
  <c r="AI503" i="8"/>
  <c r="AI504" i="8"/>
  <c r="AI505" i="8"/>
  <c r="AI506" i="8"/>
  <c r="AI507" i="8"/>
  <c r="AI508" i="8"/>
  <c r="AI509" i="8"/>
  <c r="AI510" i="8"/>
  <c r="AI511" i="8"/>
  <c r="AI512" i="8"/>
  <c r="AI513" i="8"/>
  <c r="AJ513" i="8" s="1"/>
  <c r="AI514" i="8"/>
  <c r="AJ514" i="8" s="1"/>
  <c r="AI515" i="8"/>
  <c r="AI516" i="8"/>
  <c r="AI517" i="8"/>
  <c r="AI518" i="8"/>
  <c r="AI519" i="8"/>
  <c r="AI520" i="8"/>
  <c r="AI521" i="8"/>
  <c r="AI522" i="8"/>
  <c r="AI523" i="8"/>
  <c r="AI524" i="8"/>
  <c r="AI525" i="8"/>
  <c r="AJ525" i="8" s="1"/>
  <c r="AI526" i="8"/>
  <c r="AJ526" i="8" s="1"/>
  <c r="AI4" i="8"/>
  <c r="AH4" i="8"/>
  <c r="AD4" i="8"/>
  <c r="AC4" i="8"/>
  <c r="G48" i="1"/>
  <c r="F48" i="1"/>
  <c r="E48" i="1"/>
  <c r="D48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I1091" i="11"/>
  <c r="I1092" i="11"/>
  <c r="J3" i="12"/>
  <c r="I3" i="12"/>
  <c r="D39" i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2" i="2"/>
  <c r="AH1826" i="5"/>
  <c r="AH1827" i="5"/>
  <c r="AH1828" i="5"/>
  <c r="AH1829" i="5"/>
  <c r="AH1830" i="5"/>
  <c r="AH1831" i="5"/>
  <c r="G43" i="1"/>
  <c r="H43" i="1" s="1"/>
  <c r="D43" i="1"/>
  <c r="G39" i="1"/>
  <c r="H39" i="1" s="1"/>
  <c r="D38" i="1"/>
  <c r="G32" i="1"/>
  <c r="H32" i="1" s="1"/>
  <c r="G34" i="1"/>
  <c r="H34" i="1" s="1"/>
  <c r="G33" i="1"/>
  <c r="H33" i="1" s="1"/>
  <c r="D34" i="1"/>
  <c r="D33" i="1"/>
  <c r="D32" i="1"/>
  <c r="Y40" i="7" l="1"/>
  <c r="Y76" i="7"/>
  <c r="Y111" i="7"/>
  <c r="Y415" i="7"/>
  <c r="AE303" i="8"/>
  <c r="AE279" i="8"/>
  <c r="AE159" i="8"/>
  <c r="AE147" i="8"/>
  <c r="AE135" i="8"/>
  <c r="AE15" i="8"/>
  <c r="AE1038" i="8"/>
  <c r="AE990" i="8"/>
  <c r="AE978" i="8"/>
  <c r="AE966" i="8"/>
  <c r="AE954" i="8"/>
  <c r="AE930" i="8"/>
  <c r="AE906" i="8"/>
  <c r="AE882" i="8"/>
  <c r="AE870" i="8"/>
  <c r="AE858" i="8"/>
  <c r="AE834" i="8"/>
  <c r="AE822" i="8"/>
  <c r="AE810" i="8"/>
  <c r="AE774" i="8"/>
  <c r="AE762" i="8"/>
  <c r="AE726" i="8"/>
  <c r="AE714" i="8"/>
  <c r="AE678" i="8"/>
  <c r="AE666" i="8"/>
  <c r="AE642" i="8"/>
  <c r="AE630" i="8"/>
  <c r="AE618" i="8"/>
  <c r="AE582" i="8"/>
  <c r="AE570" i="8"/>
  <c r="AE558" i="8"/>
  <c r="AE546" i="8"/>
  <c r="Y945" i="7"/>
  <c r="Y50" i="7"/>
  <c r="Y566" i="7"/>
  <c r="Y934" i="7"/>
  <c r="Y951" i="7"/>
  <c r="Y307" i="7"/>
  <c r="Y53" i="7"/>
  <c r="Y51" i="7"/>
  <c r="Y55" i="7"/>
  <c r="Y33" i="7"/>
  <c r="Y43" i="7"/>
  <c r="Y558" i="7"/>
  <c r="Y41" i="7"/>
  <c r="Y564" i="7"/>
  <c r="Y47" i="7"/>
  <c r="Y562" i="7"/>
  <c r="Y943" i="7"/>
  <c r="Y545" i="7"/>
  <c r="Y44" i="7"/>
  <c r="Y49" i="7"/>
  <c r="Y544" i="7"/>
  <c r="Y950" i="7"/>
  <c r="Y38" i="7"/>
  <c r="Y34" i="7"/>
  <c r="Y555" i="7"/>
  <c r="Y949" i="7"/>
  <c r="Y576" i="7"/>
  <c r="Y938" i="7"/>
  <c r="Y571" i="7"/>
  <c r="Y572" i="7"/>
  <c r="Y567" i="7"/>
  <c r="Y940" i="7"/>
  <c r="Y538" i="7"/>
  <c r="Y955" i="7"/>
  <c r="Y556" i="7"/>
  <c r="Y540" i="7"/>
  <c r="Y933" i="7"/>
  <c r="Y904" i="7"/>
  <c r="Y515" i="7"/>
  <c r="Y928" i="7"/>
  <c r="Y939" i="7"/>
  <c r="Y332" i="7"/>
  <c r="Y946" i="7"/>
  <c r="Y548" i="7"/>
  <c r="Y948" i="7"/>
  <c r="Y537" i="7"/>
  <c r="Y13" i="7"/>
  <c r="Y401" i="7"/>
  <c r="Y636" i="7"/>
  <c r="Y80" i="7"/>
  <c r="Y81" i="7"/>
  <c r="Y91" i="7"/>
  <c r="Y589" i="7"/>
  <c r="Y115" i="7"/>
  <c r="Y119" i="7"/>
  <c r="Y101" i="7"/>
  <c r="Y52" i="7"/>
  <c r="Y29" i="7"/>
  <c r="Y94" i="7"/>
  <c r="Y84" i="7"/>
  <c r="Y404" i="7"/>
  <c r="Y56" i="7"/>
  <c r="Y35" i="7"/>
  <c r="Y90" i="7"/>
  <c r="Y131" i="7"/>
  <c r="Y573" i="7"/>
  <c r="Y46" i="7"/>
  <c r="Y88" i="7"/>
  <c r="Y574" i="7"/>
  <c r="Y89" i="7"/>
  <c r="Y598" i="7"/>
  <c r="Y322" i="7"/>
  <c r="Y639" i="7"/>
  <c r="Y585" i="7"/>
  <c r="Y117" i="7"/>
  <c r="Y605" i="7"/>
  <c r="Y118" i="7"/>
  <c r="Y586" i="7"/>
  <c r="Y583" i="7"/>
  <c r="Y604" i="7"/>
  <c r="Y595" i="7"/>
  <c r="Y594" i="7"/>
  <c r="Y593" i="7"/>
  <c r="Y12" i="7"/>
  <c r="Y592" i="7"/>
  <c r="Y628" i="7"/>
  <c r="Y582" i="7"/>
  <c r="Y640" i="7"/>
  <c r="Y615" i="7"/>
  <c r="Y622" i="7"/>
  <c r="Y610" i="7"/>
  <c r="Y14" i="7"/>
  <c r="Y606" i="7"/>
  <c r="Y631" i="7"/>
  <c r="Y339" i="7"/>
  <c r="Y268" i="7"/>
  <c r="Y11" i="7"/>
  <c r="Y931" i="7"/>
  <c r="Y877" i="7"/>
  <c r="Y884" i="7"/>
  <c r="Y348" i="7"/>
  <c r="Y926" i="7"/>
  <c r="Y920" i="7"/>
  <c r="Y929" i="7"/>
  <c r="Y893" i="7"/>
  <c r="Y334" i="7"/>
  <c r="Y495" i="7"/>
  <c r="Y505" i="7"/>
  <c r="Y895" i="7"/>
  <c r="Y879" i="7"/>
  <c r="Y885" i="7"/>
  <c r="Y896" i="7"/>
  <c r="Y343" i="7"/>
  <c r="Y872" i="7"/>
  <c r="Y905" i="7"/>
  <c r="Y525" i="7"/>
  <c r="Y917" i="7"/>
  <c r="Y900" i="7"/>
  <c r="Y924" i="7"/>
  <c r="Y883" i="7"/>
  <c r="Y878" i="7"/>
  <c r="Y493" i="7"/>
  <c r="Y901" i="7"/>
  <c r="Y532" i="7"/>
  <c r="Y500" i="7"/>
  <c r="Y890" i="7"/>
  <c r="Y898" i="7"/>
  <c r="Y876" i="7"/>
  <c r="Y476" i="7"/>
  <c r="Y522" i="7"/>
  <c r="Y511" i="7"/>
  <c r="Y908" i="7"/>
  <c r="Y902" i="7"/>
  <c r="Y880" i="7"/>
  <c r="Y891" i="7"/>
  <c r="Y921" i="7"/>
  <c r="Y514" i="7"/>
  <c r="Y389" i="7"/>
  <c r="Y523" i="7"/>
  <c r="Y490" i="7"/>
  <c r="Y910" i="7"/>
  <c r="Y897" i="7"/>
  <c r="Y887" i="7"/>
  <c r="Y881" i="7"/>
  <c r="Y494" i="7"/>
  <c r="Y393" i="7"/>
  <c r="Y432" i="7"/>
  <c r="Y386" i="7"/>
  <c r="Y549" i="7"/>
  <c r="Y521" i="7"/>
  <c r="Y936" i="7"/>
  <c r="Y947" i="7"/>
  <c r="Y478" i="7"/>
  <c r="Y385" i="7"/>
  <c r="Y388" i="7"/>
  <c r="Y433" i="7"/>
  <c r="Y419" i="7"/>
  <c r="Y408" i="7"/>
  <c r="Y450" i="7"/>
  <c r="Y373" i="7"/>
  <c r="Y411" i="7"/>
  <c r="Y445" i="7"/>
  <c r="Y378" i="7"/>
  <c r="Y452" i="7"/>
  <c r="Y437" i="7"/>
  <c r="Y399" i="7"/>
  <c r="Y637" i="7"/>
  <c r="Y869" i="7"/>
  <c r="Y609" i="7"/>
  <c r="Y398" i="7"/>
  <c r="Y405" i="7"/>
  <c r="Y391" i="7"/>
  <c r="Y376" i="7"/>
  <c r="Y439" i="7"/>
  <c r="Y368" i="7"/>
  <c r="Y394" i="7"/>
  <c r="Y417" i="7"/>
  <c r="Y629" i="7"/>
  <c r="Y632" i="7"/>
  <c r="Y625" i="7"/>
  <c r="Y352" i="7"/>
  <c r="Y414" i="7"/>
  <c r="Y428" i="7"/>
  <c r="Y347" i="7"/>
  <c r="Y422" i="7"/>
  <c r="Y400" i="7"/>
  <c r="Y26" i="7"/>
  <c r="Y403" i="7"/>
  <c r="Y366" i="7"/>
  <c r="Y369" i="7"/>
  <c r="Y392" i="7"/>
  <c r="Y370" i="7"/>
  <c r="Y382" i="7"/>
  <c r="Y407" i="7"/>
  <c r="Y471" i="7"/>
  <c r="Y444" i="7"/>
  <c r="Y420" i="7"/>
  <c r="Y410" i="7"/>
  <c r="Y377" i="7"/>
  <c r="Y413" i="7"/>
  <c r="Y406" i="7"/>
  <c r="Y395" i="7"/>
  <c r="Y409" i="7"/>
  <c r="Y416" i="7"/>
  <c r="Y277" i="7"/>
  <c r="Y397" i="7"/>
  <c r="Y596" i="7"/>
  <c r="Y75" i="7"/>
  <c r="Y509" i="7"/>
  <c r="Y109" i="7"/>
  <c r="Y591" i="7"/>
  <c r="Y127" i="7"/>
  <c r="Y916" i="7"/>
  <c r="Y402" i="7"/>
  <c r="Y513" i="7"/>
  <c r="Y621" i="7"/>
  <c r="Y45" i="7"/>
  <c r="Y412" i="7"/>
  <c r="Y534" i="7"/>
  <c r="Y923" i="7"/>
  <c r="Y37" i="7"/>
  <c r="Y565" i="7"/>
  <c r="Y937" i="7"/>
  <c r="Y506" i="7"/>
  <c r="Y952" i="7"/>
  <c r="Y372" i="7"/>
  <c r="Y489" i="7"/>
  <c r="Y915" i="7"/>
  <c r="Y903" i="7"/>
  <c r="Y536" i="7"/>
  <c r="Y309" i="7"/>
  <c r="Y603" i="7"/>
  <c r="Y510" i="7"/>
  <c r="Y868" i="7"/>
  <c r="Y507" i="7"/>
  <c r="Y925" i="7"/>
  <c r="Y276" i="7"/>
  <c r="Y568" i="7"/>
  <c r="Y517" i="7"/>
  <c r="Y944" i="7"/>
  <c r="Y873" i="7"/>
  <c r="Y889" i="7"/>
  <c r="Y498" i="7"/>
  <c r="Y383" i="7"/>
  <c r="Y882" i="7"/>
  <c r="Y892" i="7"/>
  <c r="Y126" i="7"/>
  <c r="Y888" i="7"/>
  <c r="Y528" i="7"/>
  <c r="Y497" i="7"/>
  <c r="Y529" i="7"/>
  <c r="Y579" i="7"/>
  <c r="Y867" i="7"/>
  <c r="Y912" i="7"/>
  <c r="Y633" i="7"/>
  <c r="Y442" i="7"/>
  <c r="Y894" i="7"/>
  <c r="Y328" i="7"/>
  <c r="Y355" i="7"/>
  <c r="Y374" i="7"/>
  <c r="Y886" i="7"/>
  <c r="Y612" i="7"/>
  <c r="Y563" i="7"/>
  <c r="Y340" i="7"/>
  <c r="Y578" i="7"/>
  <c r="Y19" i="7"/>
  <c r="Y341" i="7"/>
  <c r="Y600" i="7"/>
  <c r="Y587" i="7"/>
  <c r="Y371" i="7"/>
  <c r="Y599" i="7"/>
  <c r="Y569" i="7"/>
  <c r="Y335" i="7"/>
  <c r="Y21" i="7"/>
  <c r="Y317" i="7"/>
  <c r="Y429" i="7"/>
  <c r="Y280" i="7"/>
  <c r="Y284" i="7"/>
  <c r="Y457" i="7"/>
  <c r="Y483" i="7"/>
  <c r="Y300" i="7"/>
  <c r="Y274" i="7"/>
  <c r="Y362" i="7"/>
  <c r="Y295" i="7"/>
  <c r="Y455" i="7"/>
  <c r="Y270" i="7"/>
  <c r="Y282" i="7"/>
  <c r="Y463" i="7"/>
  <c r="Y456" i="7"/>
  <c r="Y427" i="7"/>
  <c r="Y83" i="7"/>
  <c r="Y541" i="7"/>
  <c r="Y331" i="7"/>
  <c r="Y31" i="7"/>
  <c r="Y116" i="7"/>
  <c r="Y129" i="7"/>
  <c r="Y344" i="7"/>
  <c r="Y519" i="7"/>
  <c r="Y533" i="7"/>
  <c r="Y499" i="7"/>
  <c r="Y105" i="7"/>
  <c r="Y520" i="7"/>
  <c r="Y619" i="7"/>
  <c r="Y575" i="7"/>
  <c r="Y467" i="7"/>
  <c r="Y441" i="7"/>
  <c r="Y100" i="7"/>
  <c r="Y108" i="7"/>
  <c r="Y28" i="7"/>
  <c r="Y472" i="7"/>
  <c r="Y423" i="7"/>
  <c r="Y553" i="7"/>
  <c r="Y551" i="7"/>
  <c r="Y354" i="7"/>
  <c r="Y469" i="7"/>
  <c r="Y285" i="7"/>
  <c r="Y602" i="7"/>
  <c r="Y624" i="7"/>
  <c r="Y36" i="7"/>
  <c r="Y613" i="7"/>
  <c r="Y375" i="7"/>
  <c r="Y531" i="7"/>
  <c r="Y911" i="7"/>
  <c r="Y8" i="7"/>
  <c r="Y17" i="7"/>
  <c r="Y919" i="7"/>
  <c r="Y918" i="7"/>
  <c r="Y914" i="7"/>
  <c r="Y297" i="7"/>
  <c r="Y68" i="7"/>
  <c r="Y32" i="7"/>
  <c r="Y907" i="7"/>
  <c r="Y351" i="7"/>
  <c r="Y103" i="7"/>
  <c r="Y273" i="7"/>
  <c r="Y23" i="7"/>
  <c r="Y601" i="7"/>
  <c r="Y611" i="7"/>
  <c r="Y871" i="7"/>
  <c r="Y581" i="7"/>
  <c r="Y922" i="7"/>
  <c r="Y381" i="7"/>
  <c r="Y361" i="7"/>
  <c r="Y518" i="7"/>
  <c r="Y875" i="7"/>
  <c r="Y588" i="7"/>
  <c r="Y584" i="7"/>
  <c r="Y384" i="7"/>
  <c r="Y642" i="7"/>
  <c r="Y608" i="7"/>
  <c r="Y614" i="7"/>
  <c r="Y475" i="7"/>
  <c r="Y535" i="7"/>
  <c r="Y913" i="7"/>
  <c r="Y342" i="7"/>
  <c r="Y358" i="7"/>
  <c r="Y635" i="7"/>
  <c r="Y623" i="7"/>
  <c r="Y336" i="7"/>
  <c r="Y104" i="7"/>
  <c r="Y333" i="7"/>
  <c r="Y360" i="7"/>
  <c r="Y337" i="7"/>
  <c r="Y638" i="7"/>
  <c r="Y607" i="7"/>
  <c r="Y504" i="7"/>
  <c r="Y626" i="7"/>
  <c r="Y106" i="7"/>
  <c r="Y73" i="7"/>
  <c r="Y96" i="7"/>
  <c r="Y492" i="7"/>
  <c r="Y597" i="7"/>
  <c r="Y353" i="7"/>
  <c r="Y102" i="7"/>
  <c r="Y641" i="7"/>
  <c r="Y627" i="7"/>
  <c r="Y874" i="7"/>
  <c r="Y294" i="7"/>
  <c r="Y128" i="7"/>
  <c r="Y296" i="7"/>
  <c r="Y271" i="7"/>
  <c r="Y93" i="7"/>
  <c r="Y132" i="7"/>
  <c r="Y24" i="7"/>
  <c r="Y326" i="7"/>
  <c r="Y97" i="7"/>
  <c r="Y78" i="7"/>
  <c r="Y956" i="7"/>
  <c r="Y957" i="7"/>
  <c r="Y92" i="7"/>
  <c r="Y953" i="7"/>
  <c r="Y590" i="7"/>
  <c r="Y617" i="7"/>
  <c r="Y932" i="7"/>
  <c r="Y22" i="7"/>
  <c r="Y477" i="7"/>
  <c r="Y482" i="7"/>
  <c r="Y72" i="7"/>
  <c r="Y288" i="7"/>
  <c r="Y85" i="7"/>
  <c r="Y123" i="7"/>
  <c r="Y302" i="7"/>
  <c r="Y110" i="7"/>
  <c r="Y42" i="7"/>
  <c r="Y449" i="7"/>
  <c r="Y501" i="7"/>
  <c r="Y70" i="7"/>
  <c r="Y526" i="7"/>
  <c r="Y356" i="7"/>
  <c r="Y935" i="7"/>
  <c r="Y634" i="7"/>
  <c r="Y327" i="7"/>
  <c r="Y447" i="7"/>
  <c r="Y301" i="7"/>
  <c r="Y95" i="7"/>
  <c r="Y435" i="7"/>
  <c r="Y464" i="7"/>
  <c r="Y120" i="7"/>
  <c r="Y561" i="7"/>
  <c r="Y304" i="7"/>
  <c r="Y466" i="7"/>
  <c r="Y113" i="7"/>
  <c r="Y465" i="7"/>
  <c r="Y82" i="7"/>
  <c r="Y20" i="7"/>
  <c r="Y543" i="7"/>
  <c r="Y71" i="7"/>
  <c r="Y524" i="7"/>
  <c r="Y114" i="7"/>
  <c r="Y899" i="7"/>
  <c r="Y306" i="7"/>
  <c r="Y503" i="7"/>
  <c r="Y927" i="7"/>
  <c r="Y552" i="7"/>
  <c r="Y550" i="7"/>
  <c r="Y909" i="7"/>
  <c r="Y942" i="7"/>
  <c r="Y122" i="7"/>
  <c r="Y560" i="7"/>
  <c r="Y345" i="7"/>
  <c r="Y530" i="7"/>
  <c r="Y512" i="7"/>
  <c r="Y112" i="7"/>
  <c r="Y436" i="7"/>
  <c r="Y516" i="7"/>
  <c r="Y620" i="7"/>
  <c r="Y547" i="7"/>
  <c r="Y616" i="7"/>
  <c r="Y618" i="7"/>
  <c r="Y542" i="7"/>
  <c r="Y941" i="7"/>
  <c r="Y329" i="7"/>
  <c r="Y298" i="7"/>
  <c r="Y480" i="7"/>
  <c r="Y453" i="7"/>
  <c r="Y438" i="7"/>
  <c r="Y359" i="7"/>
  <c r="Y30" i="7"/>
  <c r="Y508" i="7"/>
  <c r="Y25" i="7"/>
  <c r="Y468" i="7"/>
  <c r="Y365" i="7"/>
  <c r="Y287" i="7"/>
  <c r="Y269" i="7"/>
  <c r="Y451" i="7"/>
  <c r="Y357" i="7"/>
  <c r="Y74" i="7"/>
  <c r="Y107" i="7"/>
  <c r="Y16" i="7"/>
  <c r="Y308" i="7"/>
  <c r="Y906" i="7"/>
  <c r="Y502" i="7"/>
  <c r="Y580" i="7"/>
  <c r="Y930" i="7"/>
  <c r="Y121" i="7"/>
  <c r="Y363" i="7"/>
  <c r="Y325" i="7"/>
  <c r="Y286" i="7"/>
  <c r="Y69" i="7"/>
  <c r="Y98" i="7"/>
  <c r="Y323" i="7"/>
  <c r="Y291" i="7"/>
  <c r="Y318" i="7"/>
  <c r="Y316" i="7"/>
  <c r="Y312" i="7"/>
  <c r="Y305" i="7"/>
  <c r="Y292" i="7"/>
  <c r="Y293" i="7"/>
  <c r="Y349" i="7"/>
  <c r="Y290" i="7"/>
  <c r="Y79" i="7"/>
  <c r="Y434" i="7"/>
  <c r="Y324" i="7"/>
  <c r="Y460" i="7"/>
  <c r="Y390" i="7"/>
  <c r="Y418" i="7"/>
  <c r="Y379" i="7"/>
  <c r="Y424" i="7"/>
  <c r="Y311" i="7"/>
  <c r="Y443" i="7"/>
  <c r="Y487" i="7"/>
  <c r="Y380" i="7"/>
  <c r="Y488" i="7"/>
  <c r="Y387" i="7"/>
  <c r="Y461" i="7"/>
  <c r="Y431" i="7"/>
  <c r="Y367" i="7"/>
  <c r="Y364" i="7"/>
  <c r="Y421" i="7"/>
  <c r="Y491" i="7"/>
  <c r="Y396" i="7"/>
  <c r="Y454" i="7"/>
  <c r="Y440" i="7"/>
  <c r="Y486" i="7"/>
  <c r="Y267" i="7"/>
  <c r="Y279" i="7"/>
  <c r="Y485" i="7"/>
  <c r="Y458" i="7"/>
  <c r="Y9" i="7"/>
  <c r="Y310" i="7"/>
  <c r="Y299" i="7"/>
  <c r="Y99" i="7"/>
  <c r="Y125" i="7"/>
  <c r="Y346" i="7"/>
  <c r="Y527" i="7"/>
  <c r="Y338" i="7"/>
  <c r="Y479" i="7"/>
  <c r="Y10" i="7"/>
  <c r="Y481" i="7"/>
  <c r="Y27" i="7"/>
  <c r="Y283" i="7"/>
  <c r="Y303" i="7"/>
  <c r="Y320" i="7"/>
  <c r="Y278" i="7"/>
  <c r="Y459" i="7"/>
  <c r="Y321" i="7"/>
  <c r="Y425" i="7"/>
  <c r="Y18" i="7"/>
  <c r="Y446" i="7"/>
  <c r="Y77" i="7"/>
  <c r="Y87" i="7"/>
  <c r="Y15" i="7"/>
  <c r="Y86" i="7"/>
  <c r="Y314" i="7"/>
  <c r="Y275" i="7"/>
  <c r="Y281" i="7"/>
  <c r="Y289" i="7"/>
  <c r="Y315" i="7"/>
  <c r="Y330" i="7"/>
  <c r="Y319" i="7"/>
  <c r="Y313" i="7"/>
  <c r="Y484" i="7"/>
  <c r="Y473" i="7"/>
  <c r="Y448" i="7"/>
  <c r="Y474" i="7"/>
  <c r="Y470" i="7"/>
  <c r="Y350" i="7"/>
  <c r="Y462" i="7"/>
  <c r="Y426" i="7"/>
  <c r="Z2" i="2" a="1"/>
  <c r="Z2" i="2" s="1"/>
  <c r="AA2" i="2" a="1"/>
  <c r="AA2" i="2" s="1"/>
  <c r="AJ127" i="8"/>
  <c r="AT922" i="8"/>
  <c r="AT910" i="8"/>
  <c r="AT874" i="8"/>
  <c r="AT862" i="8"/>
  <c r="AT802" i="8"/>
  <c r="AT790" i="8"/>
  <c r="AT766" i="8"/>
  <c r="AT754" i="8"/>
  <c r="AT694" i="8"/>
  <c r="AT682" i="8"/>
  <c r="AT658" i="8"/>
  <c r="AT646" i="8"/>
  <c r="AT586" i="8"/>
  <c r="AT550" i="8"/>
  <c r="AT526" i="8"/>
  <c r="AT382" i="8"/>
  <c r="AT322" i="8"/>
  <c r="AT250" i="8"/>
  <c r="AT190" i="8"/>
  <c r="AT178" i="8"/>
  <c r="AT106" i="8"/>
  <c r="AT46" i="8"/>
  <c r="Q3" i="3"/>
  <c r="R3" i="3"/>
  <c r="S3" i="3"/>
  <c r="S2" i="3"/>
  <c r="R2" i="3"/>
  <c r="Q2" i="3"/>
  <c r="AT567" i="8"/>
  <c r="AT531" i="8"/>
  <c r="AT507" i="8"/>
  <c r="AT435" i="8"/>
  <c r="AT423" i="8"/>
  <c r="AT387" i="8"/>
  <c r="AT363" i="8"/>
  <c r="AT339" i="8"/>
  <c r="AT315" i="8"/>
  <c r="AT279" i="8"/>
  <c r="AT267" i="8"/>
  <c r="AT195" i="8"/>
  <c r="AT171" i="8"/>
  <c r="AT135" i="8"/>
  <c r="AT123" i="8"/>
  <c r="AT63" i="8"/>
  <c r="AT51" i="8"/>
  <c r="AT27" i="8"/>
  <c r="I1087" i="11"/>
  <c r="I1085" i="11"/>
  <c r="I1082" i="11"/>
  <c r="I922" i="11"/>
  <c r="I890" i="11"/>
  <c r="I874" i="11"/>
  <c r="I650" i="11"/>
  <c r="I362" i="11"/>
  <c r="I282" i="11"/>
  <c r="I250" i="11"/>
  <c r="I90" i="11"/>
  <c r="I74" i="11"/>
  <c r="I42" i="11"/>
  <c r="V266" i="2"/>
  <c r="T266" i="2"/>
  <c r="U266" i="2"/>
  <c r="M266" i="2"/>
  <c r="V38" i="2"/>
  <c r="U38" i="2"/>
  <c r="T38" i="2"/>
  <c r="M38" i="2"/>
  <c r="Q244" i="2"/>
  <c r="S244" i="2"/>
  <c r="R244" i="2"/>
  <c r="J244" i="2"/>
  <c r="Q172" i="2"/>
  <c r="S172" i="2"/>
  <c r="R172" i="2"/>
  <c r="J172" i="2"/>
  <c r="Q124" i="2"/>
  <c r="S124" i="2"/>
  <c r="J124" i="2"/>
  <c r="R124" i="2"/>
  <c r="Q40" i="2"/>
  <c r="S40" i="2"/>
  <c r="J40" i="2"/>
  <c r="R40" i="2"/>
  <c r="V301" i="2"/>
  <c r="T301" i="2"/>
  <c r="U301" i="2"/>
  <c r="M301" i="2"/>
  <c r="V289" i="2"/>
  <c r="T289" i="2"/>
  <c r="U289" i="2"/>
  <c r="M289" i="2"/>
  <c r="V277" i="2"/>
  <c r="T277" i="2"/>
  <c r="U277" i="2"/>
  <c r="M277" i="2"/>
  <c r="V265" i="2"/>
  <c r="T265" i="2"/>
  <c r="U265" i="2"/>
  <c r="M265" i="2"/>
  <c r="V253" i="2"/>
  <c r="U253" i="2"/>
  <c r="T253" i="2"/>
  <c r="M253" i="2"/>
  <c r="V241" i="2"/>
  <c r="U241" i="2"/>
  <c r="T241" i="2"/>
  <c r="M241" i="2"/>
  <c r="V229" i="2"/>
  <c r="T229" i="2"/>
  <c r="U229" i="2"/>
  <c r="M229" i="2"/>
  <c r="V217" i="2"/>
  <c r="U217" i="2"/>
  <c r="T217" i="2"/>
  <c r="M217" i="2"/>
  <c r="V205" i="2"/>
  <c r="T205" i="2"/>
  <c r="U205" i="2"/>
  <c r="M205" i="2"/>
  <c r="V193" i="2"/>
  <c r="T193" i="2"/>
  <c r="M193" i="2"/>
  <c r="U193" i="2"/>
  <c r="V181" i="2"/>
  <c r="U181" i="2"/>
  <c r="T181" i="2"/>
  <c r="M181" i="2"/>
  <c r="V169" i="2"/>
  <c r="U169" i="2"/>
  <c r="T169" i="2"/>
  <c r="M169" i="2"/>
  <c r="V157" i="2"/>
  <c r="U157" i="2"/>
  <c r="T157" i="2"/>
  <c r="M157" i="2"/>
  <c r="V145" i="2"/>
  <c r="U145" i="2"/>
  <c r="T145" i="2"/>
  <c r="M145" i="2"/>
  <c r="V133" i="2"/>
  <c r="U133" i="2"/>
  <c r="T133" i="2"/>
  <c r="M133" i="2"/>
  <c r="V121" i="2"/>
  <c r="U121" i="2"/>
  <c r="T121" i="2"/>
  <c r="M121" i="2"/>
  <c r="V109" i="2"/>
  <c r="U109" i="2"/>
  <c r="T109" i="2"/>
  <c r="M109" i="2"/>
  <c r="V97" i="2"/>
  <c r="U97" i="2"/>
  <c r="T97" i="2"/>
  <c r="M97" i="2"/>
  <c r="V85" i="2"/>
  <c r="U85" i="2"/>
  <c r="T85" i="2"/>
  <c r="M85" i="2"/>
  <c r="V73" i="2"/>
  <c r="U73" i="2"/>
  <c r="T73" i="2"/>
  <c r="M73" i="2"/>
  <c r="V61" i="2"/>
  <c r="U61" i="2"/>
  <c r="T61" i="2"/>
  <c r="M61" i="2"/>
  <c r="V49" i="2"/>
  <c r="U49" i="2"/>
  <c r="T49" i="2"/>
  <c r="M49" i="2"/>
  <c r="V37" i="2"/>
  <c r="U37" i="2"/>
  <c r="T37" i="2"/>
  <c r="M37" i="2"/>
  <c r="V25" i="2"/>
  <c r="U25" i="2"/>
  <c r="T25" i="2"/>
  <c r="M25" i="2"/>
  <c r="V13" i="2"/>
  <c r="U13" i="2"/>
  <c r="T13" i="2"/>
  <c r="M13" i="2"/>
  <c r="S303" i="2"/>
  <c r="R303" i="2"/>
  <c r="Q303" i="2"/>
  <c r="J303" i="2"/>
  <c r="S291" i="2"/>
  <c r="R291" i="2"/>
  <c r="Q291" i="2"/>
  <c r="J291" i="2"/>
  <c r="S279" i="2"/>
  <c r="R279" i="2"/>
  <c r="Q279" i="2"/>
  <c r="J279" i="2"/>
  <c r="S267" i="2"/>
  <c r="R267" i="2"/>
  <c r="J267" i="2"/>
  <c r="Q267" i="2"/>
  <c r="Q255" i="2"/>
  <c r="S255" i="2"/>
  <c r="R255" i="2"/>
  <c r="J255" i="2"/>
  <c r="Q243" i="2"/>
  <c r="S243" i="2"/>
  <c r="R243" i="2"/>
  <c r="J243" i="2"/>
  <c r="Q231" i="2"/>
  <c r="S231" i="2"/>
  <c r="R231" i="2"/>
  <c r="J231" i="2"/>
  <c r="Q219" i="2"/>
  <c r="S219" i="2"/>
  <c r="R219" i="2"/>
  <c r="J219" i="2"/>
  <c r="Q207" i="2"/>
  <c r="S207" i="2"/>
  <c r="R207" i="2"/>
  <c r="J207" i="2"/>
  <c r="Q195" i="2"/>
  <c r="S195" i="2"/>
  <c r="R195" i="2"/>
  <c r="J195" i="2"/>
  <c r="Q183" i="2"/>
  <c r="S183" i="2"/>
  <c r="R183" i="2"/>
  <c r="J183" i="2"/>
  <c r="Q171" i="2"/>
  <c r="S171" i="2"/>
  <c r="R171" i="2"/>
  <c r="J171" i="2"/>
  <c r="Q159" i="2"/>
  <c r="S159" i="2"/>
  <c r="R159" i="2"/>
  <c r="J159" i="2"/>
  <c r="Q147" i="2"/>
  <c r="S147" i="2"/>
  <c r="R147" i="2"/>
  <c r="J147" i="2"/>
  <c r="Q135" i="2"/>
  <c r="S135" i="2"/>
  <c r="R135" i="2"/>
  <c r="J135" i="2"/>
  <c r="Q123" i="2"/>
  <c r="S123" i="2"/>
  <c r="R123" i="2"/>
  <c r="J123" i="2"/>
  <c r="S111" i="2"/>
  <c r="Q111" i="2"/>
  <c r="R111" i="2"/>
  <c r="J111" i="2"/>
  <c r="S99" i="2"/>
  <c r="Q99" i="2"/>
  <c r="R99" i="2"/>
  <c r="J99" i="2"/>
  <c r="S87" i="2"/>
  <c r="Q87" i="2"/>
  <c r="R87" i="2"/>
  <c r="J87" i="2"/>
  <c r="S75" i="2"/>
  <c r="Q75" i="2"/>
  <c r="R75" i="2"/>
  <c r="J75" i="2"/>
  <c r="S63" i="2"/>
  <c r="Q63" i="2"/>
  <c r="R63" i="2"/>
  <c r="J63" i="2"/>
  <c r="S51" i="2"/>
  <c r="Q51" i="2"/>
  <c r="R51" i="2"/>
  <c r="J51" i="2"/>
  <c r="S39" i="2"/>
  <c r="Q39" i="2"/>
  <c r="R39" i="2"/>
  <c r="J39" i="2"/>
  <c r="S27" i="2"/>
  <c r="Q27" i="2"/>
  <c r="R27" i="2"/>
  <c r="J27" i="2"/>
  <c r="S15" i="2"/>
  <c r="Q15" i="2"/>
  <c r="R15" i="2"/>
  <c r="J15" i="2"/>
  <c r="S3" i="2"/>
  <c r="Q3" i="2"/>
  <c r="R3" i="2"/>
  <c r="J3" i="2"/>
  <c r="V303" i="2"/>
  <c r="U303" i="2"/>
  <c r="T303" i="2"/>
  <c r="M303" i="2"/>
  <c r="V267" i="2"/>
  <c r="U267" i="2"/>
  <c r="T267" i="2"/>
  <c r="M267" i="2"/>
  <c r="V219" i="2"/>
  <c r="U219" i="2"/>
  <c r="T219" i="2"/>
  <c r="M219" i="2"/>
  <c r="V183" i="2"/>
  <c r="U183" i="2"/>
  <c r="T183" i="2"/>
  <c r="M183" i="2"/>
  <c r="V123" i="2"/>
  <c r="U123" i="2"/>
  <c r="T123" i="2"/>
  <c r="M123" i="2"/>
  <c r="V75" i="2"/>
  <c r="U75" i="2"/>
  <c r="T75" i="2"/>
  <c r="M75" i="2"/>
  <c r="V15" i="2"/>
  <c r="U15" i="2"/>
  <c r="T15" i="2"/>
  <c r="M15" i="2"/>
  <c r="R17" i="2"/>
  <c r="Q17" i="2"/>
  <c r="S17" i="2"/>
  <c r="J17" i="2"/>
  <c r="V302" i="2"/>
  <c r="T302" i="2"/>
  <c r="U302" i="2"/>
  <c r="M302" i="2"/>
  <c r="V254" i="2"/>
  <c r="T254" i="2"/>
  <c r="U254" i="2"/>
  <c r="M254" i="2"/>
  <c r="V194" i="2"/>
  <c r="T194" i="2"/>
  <c r="U194" i="2"/>
  <c r="M194" i="2"/>
  <c r="V146" i="2"/>
  <c r="U146" i="2"/>
  <c r="T146" i="2"/>
  <c r="M146" i="2"/>
  <c r="V86" i="2"/>
  <c r="U86" i="2"/>
  <c r="T86" i="2"/>
  <c r="M86" i="2"/>
  <c r="V26" i="2"/>
  <c r="U26" i="2"/>
  <c r="T26" i="2"/>
  <c r="M26" i="2"/>
  <c r="S268" i="2"/>
  <c r="R268" i="2"/>
  <c r="J268" i="2"/>
  <c r="Q268" i="2"/>
  <c r="Q208" i="2"/>
  <c r="S208" i="2"/>
  <c r="R208" i="2"/>
  <c r="J208" i="2"/>
  <c r="S64" i="2"/>
  <c r="Q64" i="2"/>
  <c r="R64" i="2"/>
  <c r="J64" i="2"/>
  <c r="V300" i="2"/>
  <c r="U300" i="2"/>
  <c r="M300" i="2"/>
  <c r="T300" i="2"/>
  <c r="V288" i="2"/>
  <c r="T288" i="2"/>
  <c r="U288" i="2"/>
  <c r="M288" i="2"/>
  <c r="V276" i="2"/>
  <c r="U276" i="2"/>
  <c r="T276" i="2"/>
  <c r="M276" i="2"/>
  <c r="V264" i="2"/>
  <c r="T264" i="2"/>
  <c r="U264" i="2"/>
  <c r="M264" i="2"/>
  <c r="V252" i="2"/>
  <c r="U252" i="2"/>
  <c r="T252" i="2"/>
  <c r="M252" i="2"/>
  <c r="V240" i="2"/>
  <c r="T240" i="2"/>
  <c r="U240" i="2"/>
  <c r="M240" i="2"/>
  <c r="V228" i="2"/>
  <c r="T228" i="2"/>
  <c r="U228" i="2"/>
  <c r="M228" i="2"/>
  <c r="V216" i="2"/>
  <c r="U216" i="2"/>
  <c r="M216" i="2"/>
  <c r="T216" i="2"/>
  <c r="V204" i="2"/>
  <c r="T204" i="2"/>
  <c r="U204" i="2"/>
  <c r="M204" i="2"/>
  <c r="V192" i="2"/>
  <c r="T192" i="2"/>
  <c r="U192" i="2"/>
  <c r="M192" i="2"/>
  <c r="V180" i="2"/>
  <c r="U180" i="2"/>
  <c r="T180" i="2"/>
  <c r="M180" i="2"/>
  <c r="V168" i="2"/>
  <c r="T168" i="2"/>
  <c r="U168" i="2"/>
  <c r="M168" i="2"/>
  <c r="V156" i="2"/>
  <c r="U156" i="2"/>
  <c r="T156" i="2"/>
  <c r="M156" i="2"/>
  <c r="V144" i="2"/>
  <c r="T144" i="2"/>
  <c r="U144" i="2"/>
  <c r="M144" i="2"/>
  <c r="V132" i="2"/>
  <c r="U132" i="2"/>
  <c r="T132" i="2"/>
  <c r="M132" i="2"/>
  <c r="V120" i="2"/>
  <c r="U120" i="2"/>
  <c r="T120" i="2"/>
  <c r="M120" i="2"/>
  <c r="V108" i="2"/>
  <c r="U108" i="2"/>
  <c r="M108" i="2"/>
  <c r="T108" i="2"/>
  <c r="V96" i="2"/>
  <c r="U96" i="2"/>
  <c r="T96" i="2"/>
  <c r="M96" i="2"/>
  <c r="V84" i="2"/>
  <c r="U84" i="2"/>
  <c r="T84" i="2"/>
  <c r="M84" i="2"/>
  <c r="V72" i="2"/>
  <c r="U72" i="2"/>
  <c r="T72" i="2"/>
  <c r="M72" i="2"/>
  <c r="V60" i="2"/>
  <c r="U60" i="2"/>
  <c r="T60" i="2"/>
  <c r="M60" i="2"/>
  <c r="V48" i="2"/>
  <c r="U48" i="2"/>
  <c r="T48" i="2"/>
  <c r="M48" i="2"/>
  <c r="V36" i="2"/>
  <c r="U36" i="2"/>
  <c r="T36" i="2"/>
  <c r="M36" i="2"/>
  <c r="V24" i="2"/>
  <c r="U24" i="2"/>
  <c r="T24" i="2"/>
  <c r="M24" i="2"/>
  <c r="V12" i="2"/>
  <c r="U12" i="2"/>
  <c r="T12" i="2"/>
  <c r="M12" i="2"/>
  <c r="R302" i="2"/>
  <c r="Q302" i="2"/>
  <c r="J302" i="2"/>
  <c r="S302" i="2"/>
  <c r="R290" i="2"/>
  <c r="Q290" i="2"/>
  <c r="J290" i="2"/>
  <c r="S290" i="2"/>
  <c r="R278" i="2"/>
  <c r="Q278" i="2"/>
  <c r="J278" i="2"/>
  <c r="S278" i="2"/>
  <c r="R266" i="2"/>
  <c r="J266" i="2"/>
  <c r="S266" i="2"/>
  <c r="Q266" i="2"/>
  <c r="R254" i="2"/>
  <c r="Q254" i="2"/>
  <c r="J254" i="2"/>
  <c r="S254" i="2"/>
  <c r="R242" i="2"/>
  <c r="J242" i="2"/>
  <c r="S242" i="2"/>
  <c r="Q242" i="2"/>
  <c r="R230" i="2"/>
  <c r="J230" i="2"/>
  <c r="Q230" i="2"/>
  <c r="S230" i="2"/>
  <c r="R218" i="2"/>
  <c r="J218" i="2"/>
  <c r="Q218" i="2"/>
  <c r="S218" i="2"/>
  <c r="R206" i="2"/>
  <c r="J206" i="2"/>
  <c r="Q206" i="2"/>
  <c r="S206" i="2"/>
  <c r="R194" i="2"/>
  <c r="J194" i="2"/>
  <c r="S194" i="2"/>
  <c r="Q194" i="2"/>
  <c r="R182" i="2"/>
  <c r="J182" i="2"/>
  <c r="Q182" i="2"/>
  <c r="S182" i="2"/>
  <c r="R170" i="2"/>
  <c r="Q170" i="2"/>
  <c r="J170" i="2"/>
  <c r="S170" i="2"/>
  <c r="R158" i="2"/>
  <c r="J158" i="2"/>
  <c r="S158" i="2"/>
  <c r="Q158" i="2"/>
  <c r="R146" i="2"/>
  <c r="J146" i="2"/>
  <c r="Q146" i="2"/>
  <c r="S146" i="2"/>
  <c r="R134" i="2"/>
  <c r="J134" i="2"/>
  <c r="S134" i="2"/>
  <c r="Q134" i="2"/>
  <c r="R122" i="2"/>
  <c r="J122" i="2"/>
  <c r="S122" i="2"/>
  <c r="Q122" i="2"/>
  <c r="S110" i="2"/>
  <c r="R110" i="2"/>
  <c r="Q110" i="2"/>
  <c r="J110" i="2"/>
  <c r="S98" i="2"/>
  <c r="R98" i="2"/>
  <c r="J98" i="2"/>
  <c r="Q98" i="2"/>
  <c r="S86" i="2"/>
  <c r="R86" i="2"/>
  <c r="J86" i="2"/>
  <c r="Q86" i="2"/>
  <c r="S74" i="2"/>
  <c r="R74" i="2"/>
  <c r="J74" i="2"/>
  <c r="Q74" i="2"/>
  <c r="S62" i="2"/>
  <c r="R62" i="2"/>
  <c r="J62" i="2"/>
  <c r="Q62" i="2"/>
  <c r="S50" i="2"/>
  <c r="R50" i="2"/>
  <c r="J50" i="2"/>
  <c r="Q50" i="2"/>
  <c r="S38" i="2"/>
  <c r="R38" i="2"/>
  <c r="J38" i="2"/>
  <c r="Q38" i="2"/>
  <c r="S26" i="2"/>
  <c r="R26" i="2"/>
  <c r="Q26" i="2"/>
  <c r="J26" i="2"/>
  <c r="S14" i="2"/>
  <c r="R14" i="2"/>
  <c r="J14" i="2"/>
  <c r="Q14" i="2"/>
  <c r="S2" i="2"/>
  <c r="K4" i="1" s="1"/>
  <c r="Q2" i="2"/>
  <c r="I4" i="1" s="1"/>
  <c r="R2" i="2"/>
  <c r="J4" i="1" s="1"/>
  <c r="J2" i="2"/>
  <c r="F4" i="1"/>
  <c r="D4" i="1"/>
  <c r="E4" i="1"/>
  <c r="V279" i="2"/>
  <c r="U279" i="2"/>
  <c r="T279" i="2"/>
  <c r="M279" i="2"/>
  <c r="V255" i="2"/>
  <c r="U255" i="2"/>
  <c r="T255" i="2"/>
  <c r="M255" i="2"/>
  <c r="V231" i="2"/>
  <c r="U231" i="2"/>
  <c r="T231" i="2"/>
  <c r="M231" i="2"/>
  <c r="V207" i="2"/>
  <c r="U207" i="2"/>
  <c r="T207" i="2"/>
  <c r="M207" i="2"/>
  <c r="V171" i="2"/>
  <c r="U171" i="2"/>
  <c r="T171" i="2"/>
  <c r="M171" i="2"/>
  <c r="V159" i="2"/>
  <c r="U159" i="2"/>
  <c r="T159" i="2"/>
  <c r="M159" i="2"/>
  <c r="V135" i="2"/>
  <c r="U135" i="2"/>
  <c r="T135" i="2"/>
  <c r="M135" i="2"/>
  <c r="V111" i="2"/>
  <c r="U111" i="2"/>
  <c r="T111" i="2"/>
  <c r="M111" i="2"/>
  <c r="V87" i="2"/>
  <c r="U87" i="2"/>
  <c r="T87" i="2"/>
  <c r="M87" i="2"/>
  <c r="V63" i="2"/>
  <c r="U63" i="2"/>
  <c r="T63" i="2"/>
  <c r="M63" i="2"/>
  <c r="V51" i="2"/>
  <c r="U51" i="2"/>
  <c r="T51" i="2"/>
  <c r="M51" i="2"/>
  <c r="V27" i="2"/>
  <c r="U27" i="2"/>
  <c r="T27" i="2"/>
  <c r="M27" i="2"/>
  <c r="V3" i="2"/>
  <c r="U3" i="2"/>
  <c r="T3" i="2"/>
  <c r="M3" i="2"/>
  <c r="R281" i="2"/>
  <c r="S281" i="2"/>
  <c r="Q281" i="2"/>
  <c r="J281" i="2"/>
  <c r="R269" i="2"/>
  <c r="S269" i="2"/>
  <c r="J269" i="2"/>
  <c r="Q269" i="2"/>
  <c r="R257" i="2"/>
  <c r="Q257" i="2"/>
  <c r="S257" i="2"/>
  <c r="J257" i="2"/>
  <c r="R245" i="2"/>
  <c r="Q245" i="2"/>
  <c r="S245" i="2"/>
  <c r="J245" i="2"/>
  <c r="R233" i="2"/>
  <c r="Q233" i="2"/>
  <c r="S233" i="2"/>
  <c r="J233" i="2"/>
  <c r="R221" i="2"/>
  <c r="Q221" i="2"/>
  <c r="S221" i="2"/>
  <c r="J221" i="2"/>
  <c r="R209" i="2"/>
  <c r="Q209" i="2"/>
  <c r="S209" i="2"/>
  <c r="J209" i="2"/>
  <c r="R197" i="2"/>
  <c r="Q197" i="2"/>
  <c r="S197" i="2"/>
  <c r="J197" i="2"/>
  <c r="R185" i="2"/>
  <c r="Q185" i="2"/>
  <c r="S185" i="2"/>
  <c r="J185" i="2"/>
  <c r="R173" i="2"/>
  <c r="Q173" i="2"/>
  <c r="S173" i="2"/>
  <c r="J173" i="2"/>
  <c r="R161" i="2"/>
  <c r="Q161" i="2"/>
  <c r="S161" i="2"/>
  <c r="J161" i="2"/>
  <c r="R149" i="2"/>
  <c r="Q149" i="2"/>
  <c r="S149" i="2"/>
  <c r="J149" i="2"/>
  <c r="R137" i="2"/>
  <c r="Q137" i="2"/>
  <c r="S137" i="2"/>
  <c r="J137" i="2"/>
  <c r="R125" i="2"/>
  <c r="Q125" i="2"/>
  <c r="S125" i="2"/>
  <c r="J125" i="2"/>
  <c r="R113" i="2"/>
  <c r="Q113" i="2"/>
  <c r="S113" i="2"/>
  <c r="J113" i="2"/>
  <c r="R101" i="2"/>
  <c r="S101" i="2"/>
  <c r="Q101" i="2"/>
  <c r="J101" i="2"/>
  <c r="R89" i="2"/>
  <c r="Q89" i="2"/>
  <c r="J89" i="2"/>
  <c r="S89" i="2"/>
  <c r="R77" i="2"/>
  <c r="Q77" i="2"/>
  <c r="S77" i="2"/>
  <c r="J77" i="2"/>
  <c r="R65" i="2"/>
  <c r="S65" i="2"/>
  <c r="Q65" i="2"/>
  <c r="J65" i="2"/>
  <c r="R53" i="2"/>
  <c r="Q53" i="2"/>
  <c r="J53" i="2"/>
  <c r="S53" i="2"/>
  <c r="R29" i="2"/>
  <c r="S29" i="2"/>
  <c r="Q29" i="2"/>
  <c r="J29" i="2"/>
  <c r="S5" i="2"/>
  <c r="R5" i="2"/>
  <c r="Q5" i="2"/>
  <c r="J5" i="2"/>
  <c r="V278" i="2"/>
  <c r="T278" i="2"/>
  <c r="U278" i="2"/>
  <c r="M278" i="2"/>
  <c r="V230" i="2"/>
  <c r="T230" i="2"/>
  <c r="U230" i="2"/>
  <c r="M230" i="2"/>
  <c r="V182" i="2"/>
  <c r="U182" i="2"/>
  <c r="T182" i="2"/>
  <c r="M182" i="2"/>
  <c r="V134" i="2"/>
  <c r="U134" i="2"/>
  <c r="T134" i="2"/>
  <c r="M134" i="2"/>
  <c r="V98" i="2"/>
  <c r="U98" i="2"/>
  <c r="T98" i="2"/>
  <c r="M98" i="2"/>
  <c r="V50" i="2"/>
  <c r="U50" i="2"/>
  <c r="T50" i="2"/>
  <c r="M50" i="2"/>
  <c r="S292" i="2"/>
  <c r="Q292" i="2"/>
  <c r="J292" i="2"/>
  <c r="R292" i="2"/>
  <c r="Q52" i="2"/>
  <c r="J52" i="2"/>
  <c r="R52" i="2"/>
  <c r="S52" i="2"/>
  <c r="V299" i="2"/>
  <c r="U299" i="2"/>
  <c r="M299" i="2"/>
  <c r="T299" i="2"/>
  <c r="V287" i="2"/>
  <c r="U287" i="2"/>
  <c r="T287" i="2"/>
  <c r="M287" i="2"/>
  <c r="V275" i="2"/>
  <c r="U275" i="2"/>
  <c r="T275" i="2"/>
  <c r="M275" i="2"/>
  <c r="V263" i="2"/>
  <c r="U263" i="2"/>
  <c r="T263" i="2"/>
  <c r="M263" i="2"/>
  <c r="V251" i="2"/>
  <c r="U251" i="2"/>
  <c r="T251" i="2"/>
  <c r="M251" i="2"/>
  <c r="V239" i="2"/>
  <c r="U239" i="2"/>
  <c r="T239" i="2"/>
  <c r="M239" i="2"/>
  <c r="V227" i="2"/>
  <c r="U227" i="2"/>
  <c r="T227" i="2"/>
  <c r="M227" i="2"/>
  <c r="V215" i="2"/>
  <c r="U215" i="2"/>
  <c r="M215" i="2"/>
  <c r="T215" i="2"/>
  <c r="V203" i="2"/>
  <c r="U203" i="2"/>
  <c r="T203" i="2"/>
  <c r="M203" i="2"/>
  <c r="V191" i="2"/>
  <c r="U191" i="2"/>
  <c r="T191" i="2"/>
  <c r="M191" i="2"/>
  <c r="V179" i="2"/>
  <c r="U179" i="2"/>
  <c r="T179" i="2"/>
  <c r="M179" i="2"/>
  <c r="V167" i="2"/>
  <c r="U167" i="2"/>
  <c r="T167" i="2"/>
  <c r="M167" i="2"/>
  <c r="V155" i="2"/>
  <c r="U155" i="2"/>
  <c r="T155" i="2"/>
  <c r="M155" i="2"/>
  <c r="V143" i="2"/>
  <c r="U143" i="2"/>
  <c r="T143" i="2"/>
  <c r="M143" i="2"/>
  <c r="V131" i="2"/>
  <c r="U131" i="2"/>
  <c r="T131" i="2"/>
  <c r="M131" i="2"/>
  <c r="V119" i="2"/>
  <c r="U119" i="2"/>
  <c r="T119" i="2"/>
  <c r="M119" i="2"/>
  <c r="V107" i="2"/>
  <c r="U107" i="2"/>
  <c r="M107" i="2"/>
  <c r="T107" i="2"/>
  <c r="V95" i="2"/>
  <c r="U95" i="2"/>
  <c r="T95" i="2"/>
  <c r="M95" i="2"/>
  <c r="V83" i="2"/>
  <c r="U83" i="2"/>
  <c r="T83" i="2"/>
  <c r="M83" i="2"/>
  <c r="V71" i="2"/>
  <c r="U71" i="2"/>
  <c r="T71" i="2"/>
  <c r="M71" i="2"/>
  <c r="V59" i="2"/>
  <c r="U59" i="2"/>
  <c r="T59" i="2"/>
  <c r="M59" i="2"/>
  <c r="V47" i="2"/>
  <c r="U47" i="2"/>
  <c r="T47" i="2"/>
  <c r="M47" i="2"/>
  <c r="V35" i="2"/>
  <c r="U35" i="2"/>
  <c r="T35" i="2"/>
  <c r="M35" i="2"/>
  <c r="V23" i="2"/>
  <c r="U23" i="2"/>
  <c r="T23" i="2"/>
  <c r="M23" i="2"/>
  <c r="V11" i="2"/>
  <c r="U11" i="2"/>
  <c r="T11" i="2"/>
  <c r="M11" i="2"/>
  <c r="R301" i="2"/>
  <c r="J301" i="2"/>
  <c r="S301" i="2"/>
  <c r="Q301" i="2"/>
  <c r="R289" i="2"/>
  <c r="Q289" i="2"/>
  <c r="J289" i="2"/>
  <c r="S289" i="2"/>
  <c r="R277" i="2"/>
  <c r="Q277" i="2"/>
  <c r="J277" i="2"/>
  <c r="S277" i="2"/>
  <c r="R265" i="2"/>
  <c r="Q265" i="2"/>
  <c r="J265" i="2"/>
  <c r="S265" i="2"/>
  <c r="R253" i="2"/>
  <c r="Q253" i="2"/>
  <c r="J253" i="2"/>
  <c r="S253" i="2"/>
  <c r="R241" i="2"/>
  <c r="Q241" i="2"/>
  <c r="J241" i="2"/>
  <c r="S241" i="2"/>
  <c r="R229" i="2"/>
  <c r="Q229" i="2"/>
  <c r="J229" i="2"/>
  <c r="S229" i="2"/>
  <c r="R217" i="2"/>
  <c r="Q217" i="2"/>
  <c r="J217" i="2"/>
  <c r="S217" i="2"/>
  <c r="R205" i="2"/>
  <c r="Q205" i="2"/>
  <c r="J205" i="2"/>
  <c r="S205" i="2"/>
  <c r="R193" i="2"/>
  <c r="Q193" i="2"/>
  <c r="J193" i="2"/>
  <c r="S193" i="2"/>
  <c r="R181" i="2"/>
  <c r="Q181" i="2"/>
  <c r="J181" i="2"/>
  <c r="S181" i="2"/>
  <c r="R169" i="2"/>
  <c r="Q169" i="2"/>
  <c r="J169" i="2"/>
  <c r="S169" i="2"/>
  <c r="R157" i="2"/>
  <c r="Q157" i="2"/>
  <c r="J157" i="2"/>
  <c r="S157" i="2"/>
  <c r="R145" i="2"/>
  <c r="Q145" i="2"/>
  <c r="J145" i="2"/>
  <c r="S145" i="2"/>
  <c r="R133" i="2"/>
  <c r="Q133" i="2"/>
  <c r="J133" i="2"/>
  <c r="S133" i="2"/>
  <c r="R121" i="2"/>
  <c r="Q121" i="2"/>
  <c r="J121" i="2"/>
  <c r="S121" i="2"/>
  <c r="R109" i="2"/>
  <c r="Q109" i="2"/>
  <c r="J109" i="2"/>
  <c r="S109" i="2"/>
  <c r="R97" i="2"/>
  <c r="Q97" i="2"/>
  <c r="J97" i="2"/>
  <c r="S97" i="2"/>
  <c r="S85" i="2"/>
  <c r="R85" i="2"/>
  <c r="Q85" i="2"/>
  <c r="J85" i="2"/>
  <c r="R73" i="2"/>
  <c r="Q73" i="2"/>
  <c r="J73" i="2"/>
  <c r="S73" i="2"/>
  <c r="R61" i="2"/>
  <c r="Q61" i="2"/>
  <c r="S61" i="2"/>
  <c r="J61" i="2"/>
  <c r="S49" i="2"/>
  <c r="R49" i="2"/>
  <c r="Q49" i="2"/>
  <c r="J49" i="2"/>
  <c r="R37" i="2"/>
  <c r="Q37" i="2"/>
  <c r="J37" i="2"/>
  <c r="S37" i="2"/>
  <c r="R25" i="2"/>
  <c r="Q25" i="2"/>
  <c r="J25" i="2"/>
  <c r="S25" i="2"/>
  <c r="S13" i="2"/>
  <c r="R13" i="2"/>
  <c r="Q13" i="2"/>
  <c r="J13" i="2"/>
  <c r="V291" i="2"/>
  <c r="U291" i="2"/>
  <c r="T291" i="2"/>
  <c r="M291" i="2"/>
  <c r="V243" i="2"/>
  <c r="U243" i="2"/>
  <c r="T243" i="2"/>
  <c r="M243" i="2"/>
  <c r="V195" i="2"/>
  <c r="U195" i="2"/>
  <c r="T195" i="2"/>
  <c r="M195" i="2"/>
  <c r="V147" i="2"/>
  <c r="U147" i="2"/>
  <c r="T147" i="2"/>
  <c r="M147" i="2"/>
  <c r="V99" i="2"/>
  <c r="U99" i="2"/>
  <c r="T99" i="2"/>
  <c r="M99" i="2"/>
  <c r="V39" i="2"/>
  <c r="U39" i="2"/>
  <c r="T39" i="2"/>
  <c r="M39" i="2"/>
  <c r="R293" i="2"/>
  <c r="S293" i="2"/>
  <c r="Q293" i="2"/>
  <c r="J293" i="2"/>
  <c r="R41" i="2"/>
  <c r="Q41" i="2"/>
  <c r="S41" i="2"/>
  <c r="J41" i="2"/>
  <c r="V290" i="2"/>
  <c r="T290" i="2"/>
  <c r="U290" i="2"/>
  <c r="M290" i="2"/>
  <c r="V242" i="2"/>
  <c r="T242" i="2"/>
  <c r="U242" i="2"/>
  <c r="M242" i="2"/>
  <c r="V206" i="2"/>
  <c r="T206" i="2"/>
  <c r="U206" i="2"/>
  <c r="M206" i="2"/>
  <c r="V170" i="2"/>
  <c r="U170" i="2"/>
  <c r="T170" i="2"/>
  <c r="M170" i="2"/>
  <c r="V122" i="2"/>
  <c r="U122" i="2"/>
  <c r="T122" i="2"/>
  <c r="M122" i="2"/>
  <c r="V62" i="2"/>
  <c r="U62" i="2"/>
  <c r="T62" i="2"/>
  <c r="M62" i="2"/>
  <c r="S280" i="2"/>
  <c r="Q280" i="2"/>
  <c r="J280" i="2"/>
  <c r="R280" i="2"/>
  <c r="Q196" i="2"/>
  <c r="S196" i="2"/>
  <c r="J196" i="2"/>
  <c r="R196" i="2"/>
  <c r="Q76" i="2"/>
  <c r="S76" i="2"/>
  <c r="J76" i="2"/>
  <c r="R76" i="2"/>
  <c r="V298" i="2"/>
  <c r="U298" i="2"/>
  <c r="T298" i="2"/>
  <c r="M298" i="2"/>
  <c r="V286" i="2"/>
  <c r="U286" i="2"/>
  <c r="T286" i="2"/>
  <c r="M286" i="2"/>
  <c r="V274" i="2"/>
  <c r="U274" i="2"/>
  <c r="T274" i="2"/>
  <c r="M274" i="2"/>
  <c r="V262" i="2"/>
  <c r="U262" i="2"/>
  <c r="T262" i="2"/>
  <c r="M262" i="2"/>
  <c r="V250" i="2"/>
  <c r="U250" i="2"/>
  <c r="T250" i="2"/>
  <c r="M250" i="2"/>
  <c r="V238" i="2"/>
  <c r="U238" i="2"/>
  <c r="T238" i="2"/>
  <c r="M238" i="2"/>
  <c r="V226" i="2"/>
  <c r="U226" i="2"/>
  <c r="T226" i="2"/>
  <c r="M226" i="2"/>
  <c r="V214" i="2"/>
  <c r="U214" i="2"/>
  <c r="T214" i="2"/>
  <c r="M214" i="2"/>
  <c r="V202" i="2"/>
  <c r="U202" i="2"/>
  <c r="T202" i="2"/>
  <c r="M202" i="2"/>
  <c r="V190" i="2"/>
  <c r="U190" i="2"/>
  <c r="T190" i="2"/>
  <c r="M190" i="2"/>
  <c r="V178" i="2"/>
  <c r="U178" i="2"/>
  <c r="T178" i="2"/>
  <c r="M178" i="2"/>
  <c r="V166" i="2"/>
  <c r="U166" i="2"/>
  <c r="T166" i="2"/>
  <c r="M166" i="2"/>
  <c r="V154" i="2"/>
  <c r="U154" i="2"/>
  <c r="T154" i="2"/>
  <c r="M154" i="2"/>
  <c r="V142" i="2"/>
  <c r="U142" i="2"/>
  <c r="T142" i="2"/>
  <c r="M142" i="2"/>
  <c r="V130" i="2"/>
  <c r="U130" i="2"/>
  <c r="T130" i="2"/>
  <c r="M130" i="2"/>
  <c r="V118" i="2"/>
  <c r="U118" i="2"/>
  <c r="T118" i="2"/>
  <c r="M118" i="2"/>
  <c r="V106" i="2"/>
  <c r="U106" i="2"/>
  <c r="T106" i="2"/>
  <c r="M106" i="2"/>
  <c r="V94" i="2"/>
  <c r="U94" i="2"/>
  <c r="T94" i="2"/>
  <c r="M94" i="2"/>
  <c r="V82" i="2"/>
  <c r="U82" i="2"/>
  <c r="T82" i="2"/>
  <c r="M82" i="2"/>
  <c r="V70" i="2"/>
  <c r="U70" i="2"/>
  <c r="T70" i="2"/>
  <c r="M70" i="2"/>
  <c r="V58" i="2"/>
  <c r="U58" i="2"/>
  <c r="T58" i="2"/>
  <c r="M58" i="2"/>
  <c r="V46" i="2"/>
  <c r="U46" i="2"/>
  <c r="T46" i="2"/>
  <c r="M46" i="2"/>
  <c r="V34" i="2"/>
  <c r="U34" i="2"/>
  <c r="T34" i="2"/>
  <c r="M34" i="2"/>
  <c r="V22" i="2"/>
  <c r="U22" i="2"/>
  <c r="T22" i="2"/>
  <c r="M22" i="2"/>
  <c r="V10" i="2"/>
  <c r="U10" i="2"/>
  <c r="T10" i="2"/>
  <c r="M10" i="2"/>
  <c r="S300" i="2"/>
  <c r="R300" i="2"/>
  <c r="J300" i="2"/>
  <c r="Q300" i="2"/>
  <c r="S288" i="2"/>
  <c r="R288" i="2"/>
  <c r="Q288" i="2"/>
  <c r="J288" i="2"/>
  <c r="Q276" i="2"/>
  <c r="R276" i="2"/>
  <c r="S276" i="2"/>
  <c r="J276" i="2"/>
  <c r="Q264" i="2"/>
  <c r="S264" i="2"/>
  <c r="R264" i="2"/>
  <c r="J264" i="2"/>
  <c r="Q252" i="2"/>
  <c r="R252" i="2"/>
  <c r="S252" i="2"/>
  <c r="J252" i="2"/>
  <c r="Q240" i="2"/>
  <c r="R240" i="2"/>
  <c r="S240" i="2"/>
  <c r="J240" i="2"/>
  <c r="Q228" i="2"/>
  <c r="S228" i="2"/>
  <c r="R228" i="2"/>
  <c r="J228" i="2"/>
  <c r="Q216" i="2"/>
  <c r="R216" i="2"/>
  <c r="S216" i="2"/>
  <c r="J216" i="2"/>
  <c r="Q204" i="2"/>
  <c r="S204" i="2"/>
  <c r="R204" i="2"/>
  <c r="J204" i="2"/>
  <c r="Q192" i="2"/>
  <c r="S192" i="2"/>
  <c r="R192" i="2"/>
  <c r="J192" i="2"/>
  <c r="Q180" i="2"/>
  <c r="R180" i="2"/>
  <c r="S180" i="2"/>
  <c r="J180" i="2"/>
  <c r="Q168" i="2"/>
  <c r="S168" i="2"/>
  <c r="R168" i="2"/>
  <c r="J168" i="2"/>
  <c r="Q156" i="2"/>
  <c r="S156" i="2"/>
  <c r="R156" i="2"/>
  <c r="J156" i="2"/>
  <c r="Q144" i="2"/>
  <c r="R144" i="2"/>
  <c r="S144" i="2"/>
  <c r="J144" i="2"/>
  <c r="Q132" i="2"/>
  <c r="S132" i="2"/>
  <c r="R132" i="2"/>
  <c r="J132" i="2"/>
  <c r="Q120" i="2"/>
  <c r="S120" i="2"/>
  <c r="R120" i="2"/>
  <c r="J120" i="2"/>
  <c r="Q108" i="2"/>
  <c r="R108" i="2"/>
  <c r="J108" i="2"/>
  <c r="S108" i="2"/>
  <c r="Q96" i="2"/>
  <c r="S96" i="2"/>
  <c r="R96" i="2"/>
  <c r="J96" i="2"/>
  <c r="S84" i="2"/>
  <c r="Q84" i="2"/>
  <c r="R84" i="2"/>
  <c r="J84" i="2"/>
  <c r="Q72" i="2"/>
  <c r="S72" i="2"/>
  <c r="R72" i="2"/>
  <c r="J72" i="2"/>
  <c r="Q60" i="2"/>
  <c r="S60" i="2"/>
  <c r="R60" i="2"/>
  <c r="J60" i="2"/>
  <c r="S48" i="2"/>
  <c r="Q48" i="2"/>
  <c r="R48" i="2"/>
  <c r="J48" i="2"/>
  <c r="Q36" i="2"/>
  <c r="R36" i="2"/>
  <c r="S36" i="2"/>
  <c r="J36" i="2"/>
  <c r="Q24" i="2"/>
  <c r="S24" i="2"/>
  <c r="R24" i="2"/>
  <c r="J24" i="2"/>
  <c r="S12" i="2"/>
  <c r="Q12" i="2"/>
  <c r="R12" i="2"/>
  <c r="J12" i="2"/>
  <c r="V218" i="2"/>
  <c r="T218" i="2"/>
  <c r="U218" i="2"/>
  <c r="M218" i="2"/>
  <c r="V14" i="2"/>
  <c r="U14" i="2"/>
  <c r="T14" i="2"/>
  <c r="M14" i="2"/>
  <c r="Q256" i="2"/>
  <c r="S256" i="2"/>
  <c r="J256" i="2"/>
  <c r="R256" i="2"/>
  <c r="Q160" i="2"/>
  <c r="S160" i="2"/>
  <c r="J160" i="2"/>
  <c r="R160" i="2"/>
  <c r="Q112" i="2"/>
  <c r="S112" i="2"/>
  <c r="J112" i="2"/>
  <c r="R112" i="2"/>
  <c r="Q16" i="2"/>
  <c r="S16" i="2"/>
  <c r="J16" i="2"/>
  <c r="R16" i="2"/>
  <c r="V297" i="2"/>
  <c r="U297" i="2"/>
  <c r="T297" i="2"/>
  <c r="M297" i="2"/>
  <c r="V285" i="2"/>
  <c r="U285" i="2"/>
  <c r="T285" i="2"/>
  <c r="M285" i="2"/>
  <c r="V273" i="2"/>
  <c r="U273" i="2"/>
  <c r="T273" i="2"/>
  <c r="M273" i="2"/>
  <c r="V261" i="2"/>
  <c r="U261" i="2"/>
  <c r="T261" i="2"/>
  <c r="M261" i="2"/>
  <c r="V249" i="2"/>
  <c r="U249" i="2"/>
  <c r="T249" i="2"/>
  <c r="M249" i="2"/>
  <c r="V237" i="2"/>
  <c r="U237" i="2"/>
  <c r="T237" i="2"/>
  <c r="M237" i="2"/>
  <c r="V225" i="2"/>
  <c r="U225" i="2"/>
  <c r="T225" i="2"/>
  <c r="M225" i="2"/>
  <c r="V213" i="2"/>
  <c r="U213" i="2"/>
  <c r="T213" i="2"/>
  <c r="M213" i="2"/>
  <c r="V201" i="2"/>
  <c r="U201" i="2"/>
  <c r="T201" i="2"/>
  <c r="M201" i="2"/>
  <c r="V189" i="2"/>
  <c r="U189" i="2"/>
  <c r="T189" i="2"/>
  <c r="M189" i="2"/>
  <c r="V177" i="2"/>
  <c r="U177" i="2"/>
  <c r="T177" i="2"/>
  <c r="M177" i="2"/>
  <c r="V165" i="2"/>
  <c r="U165" i="2"/>
  <c r="T165" i="2"/>
  <c r="M165" i="2"/>
  <c r="V153" i="2"/>
  <c r="U153" i="2"/>
  <c r="T153" i="2"/>
  <c r="M153" i="2"/>
  <c r="V141" i="2"/>
  <c r="U141" i="2"/>
  <c r="T141" i="2"/>
  <c r="M141" i="2"/>
  <c r="V129" i="2"/>
  <c r="U129" i="2"/>
  <c r="T129" i="2"/>
  <c r="M129" i="2"/>
  <c r="V117" i="2"/>
  <c r="U117" i="2"/>
  <c r="T117" i="2"/>
  <c r="M117" i="2"/>
  <c r="V105" i="2"/>
  <c r="U105" i="2"/>
  <c r="T105" i="2"/>
  <c r="M105" i="2"/>
  <c r="V93" i="2"/>
  <c r="U93" i="2"/>
  <c r="T93" i="2"/>
  <c r="M93" i="2"/>
  <c r="V81" i="2"/>
  <c r="U81" i="2"/>
  <c r="T81" i="2"/>
  <c r="M81" i="2"/>
  <c r="V69" i="2"/>
  <c r="U69" i="2"/>
  <c r="T69" i="2"/>
  <c r="M69" i="2"/>
  <c r="V57" i="2"/>
  <c r="U57" i="2"/>
  <c r="T57" i="2"/>
  <c r="M57" i="2"/>
  <c r="V45" i="2"/>
  <c r="U45" i="2"/>
  <c r="T45" i="2"/>
  <c r="M45" i="2"/>
  <c r="V33" i="2"/>
  <c r="U33" i="2"/>
  <c r="T33" i="2"/>
  <c r="M33" i="2"/>
  <c r="V21" i="2"/>
  <c r="U21" i="2"/>
  <c r="T21" i="2"/>
  <c r="M21" i="2"/>
  <c r="V9" i="2"/>
  <c r="U9" i="2"/>
  <c r="T9" i="2"/>
  <c r="M9" i="2"/>
  <c r="S299" i="2"/>
  <c r="R299" i="2"/>
  <c r="Q299" i="2"/>
  <c r="J299" i="2"/>
  <c r="S287" i="2"/>
  <c r="R287" i="2"/>
  <c r="Q287" i="2"/>
  <c r="J287" i="2"/>
  <c r="S275" i="2"/>
  <c r="Q275" i="2"/>
  <c r="R275" i="2"/>
  <c r="J275" i="2"/>
  <c r="S263" i="2"/>
  <c r="Q263" i="2"/>
  <c r="R263" i="2"/>
  <c r="J263" i="2"/>
  <c r="S251" i="2"/>
  <c r="Q251" i="2"/>
  <c r="R251" i="2"/>
  <c r="J251" i="2"/>
  <c r="S239" i="2"/>
  <c r="Q239" i="2"/>
  <c r="R239" i="2"/>
  <c r="J239" i="2"/>
  <c r="S227" i="2"/>
  <c r="Q227" i="2"/>
  <c r="R227" i="2"/>
  <c r="J227" i="2"/>
  <c r="S215" i="2"/>
  <c r="Q215" i="2"/>
  <c r="R215" i="2"/>
  <c r="J215" i="2"/>
  <c r="S203" i="2"/>
  <c r="Q203" i="2"/>
  <c r="R203" i="2"/>
  <c r="J203" i="2"/>
  <c r="S191" i="2"/>
  <c r="Q191" i="2"/>
  <c r="R191" i="2"/>
  <c r="J191" i="2"/>
  <c r="S179" i="2"/>
  <c r="Q179" i="2"/>
  <c r="R179" i="2"/>
  <c r="J179" i="2"/>
  <c r="S167" i="2"/>
  <c r="Q167" i="2"/>
  <c r="J167" i="2"/>
  <c r="R167" i="2"/>
  <c r="S155" i="2"/>
  <c r="Q155" i="2"/>
  <c r="R155" i="2"/>
  <c r="J155" i="2"/>
  <c r="S143" i="2"/>
  <c r="Q143" i="2"/>
  <c r="R143" i="2"/>
  <c r="J143" i="2"/>
  <c r="S131" i="2"/>
  <c r="Q131" i="2"/>
  <c r="R131" i="2"/>
  <c r="J131" i="2"/>
  <c r="S119" i="2"/>
  <c r="Q119" i="2"/>
  <c r="R119" i="2"/>
  <c r="J119" i="2"/>
  <c r="Q107" i="2"/>
  <c r="R107" i="2"/>
  <c r="S107" i="2"/>
  <c r="J107" i="2"/>
  <c r="Q95" i="2"/>
  <c r="S95" i="2"/>
  <c r="J95" i="2"/>
  <c r="R95" i="2"/>
  <c r="S83" i="2"/>
  <c r="Q83" i="2"/>
  <c r="R83" i="2"/>
  <c r="J83" i="2"/>
  <c r="Q71" i="2"/>
  <c r="S71" i="2"/>
  <c r="R71" i="2"/>
  <c r="J71" i="2"/>
  <c r="Q59" i="2"/>
  <c r="S59" i="2"/>
  <c r="J59" i="2"/>
  <c r="R59" i="2"/>
  <c r="S47" i="2"/>
  <c r="Q47" i="2"/>
  <c r="R47" i="2"/>
  <c r="J47" i="2"/>
  <c r="Q35" i="2"/>
  <c r="R35" i="2"/>
  <c r="S35" i="2"/>
  <c r="J35" i="2"/>
  <c r="Q23" i="2"/>
  <c r="S23" i="2"/>
  <c r="J23" i="2"/>
  <c r="R23" i="2"/>
  <c r="S11" i="2"/>
  <c r="Q11" i="2"/>
  <c r="R11" i="2"/>
  <c r="J11" i="2"/>
  <c r="V110" i="2"/>
  <c r="U110" i="2"/>
  <c r="T110" i="2"/>
  <c r="M110" i="2"/>
  <c r="Q232" i="2"/>
  <c r="S232" i="2"/>
  <c r="J232" i="2"/>
  <c r="R232" i="2"/>
  <c r="Q184" i="2"/>
  <c r="S184" i="2"/>
  <c r="J184" i="2"/>
  <c r="R184" i="2"/>
  <c r="Q136" i="2"/>
  <c r="S136" i="2"/>
  <c r="R136" i="2"/>
  <c r="J136" i="2"/>
  <c r="S100" i="2"/>
  <c r="Q100" i="2"/>
  <c r="R100" i="2"/>
  <c r="J100" i="2"/>
  <c r="S28" i="2"/>
  <c r="Q28" i="2"/>
  <c r="R28" i="2"/>
  <c r="J28" i="2"/>
  <c r="U296" i="2"/>
  <c r="T296" i="2"/>
  <c r="V296" i="2"/>
  <c r="M296" i="2"/>
  <c r="U284" i="2"/>
  <c r="T284" i="2"/>
  <c r="V284" i="2"/>
  <c r="M284" i="2"/>
  <c r="U272" i="2"/>
  <c r="T272" i="2"/>
  <c r="V272" i="2"/>
  <c r="M272" i="2"/>
  <c r="U260" i="2"/>
  <c r="T260" i="2"/>
  <c r="V260" i="2"/>
  <c r="M260" i="2"/>
  <c r="U248" i="2"/>
  <c r="T248" i="2"/>
  <c r="V248" i="2"/>
  <c r="M248" i="2"/>
  <c r="U236" i="2"/>
  <c r="T236" i="2"/>
  <c r="V236" i="2"/>
  <c r="M236" i="2"/>
  <c r="U224" i="2"/>
  <c r="T224" i="2"/>
  <c r="V224" i="2"/>
  <c r="M224" i="2"/>
  <c r="U212" i="2"/>
  <c r="T212" i="2"/>
  <c r="V212" i="2"/>
  <c r="M212" i="2"/>
  <c r="U200" i="2"/>
  <c r="T200" i="2"/>
  <c r="V200" i="2"/>
  <c r="M200" i="2"/>
  <c r="U188" i="2"/>
  <c r="T188" i="2"/>
  <c r="V188" i="2"/>
  <c r="M188" i="2"/>
  <c r="U176" i="2"/>
  <c r="T176" i="2"/>
  <c r="V176" i="2"/>
  <c r="M176" i="2"/>
  <c r="U164" i="2"/>
  <c r="T164" i="2"/>
  <c r="M164" i="2"/>
  <c r="V164" i="2"/>
  <c r="U152" i="2"/>
  <c r="T152" i="2"/>
  <c r="M152" i="2"/>
  <c r="V152" i="2"/>
  <c r="U140" i="2"/>
  <c r="T140" i="2"/>
  <c r="M140" i="2"/>
  <c r="V140" i="2"/>
  <c r="U128" i="2"/>
  <c r="T128" i="2"/>
  <c r="V128" i="2"/>
  <c r="M128" i="2"/>
  <c r="U116" i="2"/>
  <c r="T116" i="2"/>
  <c r="V116" i="2"/>
  <c r="M116" i="2"/>
  <c r="U104" i="2"/>
  <c r="T104" i="2"/>
  <c r="V104" i="2"/>
  <c r="M104" i="2"/>
  <c r="U92" i="2"/>
  <c r="T92" i="2"/>
  <c r="V92" i="2"/>
  <c r="M92" i="2"/>
  <c r="U80" i="2"/>
  <c r="T80" i="2"/>
  <c r="V80" i="2"/>
  <c r="M80" i="2"/>
  <c r="U68" i="2"/>
  <c r="T68" i="2"/>
  <c r="M68" i="2"/>
  <c r="V68" i="2"/>
  <c r="U56" i="2"/>
  <c r="T56" i="2"/>
  <c r="V56" i="2"/>
  <c r="M56" i="2"/>
  <c r="U44" i="2"/>
  <c r="T44" i="2"/>
  <c r="V44" i="2"/>
  <c r="M44" i="2"/>
  <c r="U32" i="2"/>
  <c r="T32" i="2"/>
  <c r="V32" i="2"/>
  <c r="M32" i="2"/>
  <c r="U20" i="2"/>
  <c r="T20" i="2"/>
  <c r="M20" i="2"/>
  <c r="V20" i="2"/>
  <c r="U8" i="2"/>
  <c r="T8" i="2"/>
  <c r="M8" i="2"/>
  <c r="V8" i="2"/>
  <c r="S298" i="2"/>
  <c r="R298" i="2"/>
  <c r="Q298" i="2"/>
  <c r="J298" i="2"/>
  <c r="S286" i="2"/>
  <c r="R286" i="2"/>
  <c r="Q286" i="2"/>
  <c r="J286" i="2"/>
  <c r="S274" i="2"/>
  <c r="Q274" i="2"/>
  <c r="R274" i="2"/>
  <c r="J274" i="2"/>
  <c r="S262" i="2"/>
  <c r="Q262" i="2"/>
  <c r="R262" i="2"/>
  <c r="J262" i="2"/>
  <c r="S250" i="2"/>
  <c r="R250" i="2"/>
  <c r="J250" i="2"/>
  <c r="Q250" i="2"/>
  <c r="S238" i="2"/>
  <c r="Q238" i="2"/>
  <c r="J238" i="2"/>
  <c r="R238" i="2"/>
  <c r="S226" i="2"/>
  <c r="Q226" i="2"/>
  <c r="R226" i="2"/>
  <c r="J226" i="2"/>
  <c r="S214" i="2"/>
  <c r="R214" i="2"/>
  <c r="Q214" i="2"/>
  <c r="J214" i="2"/>
  <c r="S202" i="2"/>
  <c r="Q202" i="2"/>
  <c r="R202" i="2"/>
  <c r="J202" i="2"/>
  <c r="S190" i="2"/>
  <c r="R190" i="2"/>
  <c r="J190" i="2"/>
  <c r="Q190" i="2"/>
  <c r="S178" i="2"/>
  <c r="R178" i="2"/>
  <c r="Q178" i="2"/>
  <c r="J178" i="2"/>
  <c r="S166" i="2"/>
  <c r="Q166" i="2"/>
  <c r="R166" i="2"/>
  <c r="J166" i="2"/>
  <c r="S154" i="2"/>
  <c r="R154" i="2"/>
  <c r="Q154" i="2"/>
  <c r="J154" i="2"/>
  <c r="S142" i="2"/>
  <c r="R142" i="2"/>
  <c r="Q142" i="2"/>
  <c r="J142" i="2"/>
  <c r="S130" i="2"/>
  <c r="R130" i="2"/>
  <c r="Q130" i="2"/>
  <c r="J130" i="2"/>
  <c r="S118" i="2"/>
  <c r="Q118" i="2"/>
  <c r="R118" i="2"/>
  <c r="J118" i="2"/>
  <c r="S106" i="2"/>
  <c r="R106" i="2"/>
  <c r="J106" i="2"/>
  <c r="Q106" i="2"/>
  <c r="S94" i="2"/>
  <c r="Q94" i="2"/>
  <c r="R94" i="2"/>
  <c r="J94" i="2"/>
  <c r="S82" i="2"/>
  <c r="Q82" i="2"/>
  <c r="R82" i="2"/>
  <c r="J82" i="2"/>
  <c r="S70" i="2"/>
  <c r="R70" i="2"/>
  <c r="Q70" i="2"/>
  <c r="J70" i="2"/>
  <c r="S58" i="2"/>
  <c r="Q58" i="2"/>
  <c r="R58" i="2"/>
  <c r="J58" i="2"/>
  <c r="S46" i="2"/>
  <c r="R46" i="2"/>
  <c r="J46" i="2"/>
  <c r="Q46" i="2"/>
  <c r="S34" i="2"/>
  <c r="R34" i="2"/>
  <c r="Q34" i="2"/>
  <c r="J34" i="2"/>
  <c r="S22" i="2"/>
  <c r="Q22" i="2"/>
  <c r="R22" i="2"/>
  <c r="J22" i="2"/>
  <c r="S10" i="2"/>
  <c r="R10" i="2"/>
  <c r="Q10" i="2"/>
  <c r="J10" i="2"/>
  <c r="V295" i="2"/>
  <c r="U295" i="2"/>
  <c r="T295" i="2"/>
  <c r="M295" i="2"/>
  <c r="V283" i="2"/>
  <c r="U283" i="2"/>
  <c r="T283" i="2"/>
  <c r="M283" i="2"/>
  <c r="V271" i="2"/>
  <c r="U271" i="2"/>
  <c r="M271" i="2"/>
  <c r="T271" i="2"/>
  <c r="V259" i="2"/>
  <c r="T259" i="2"/>
  <c r="U259" i="2"/>
  <c r="M259" i="2"/>
  <c r="V247" i="2"/>
  <c r="U247" i="2"/>
  <c r="T247" i="2"/>
  <c r="M247" i="2"/>
  <c r="V235" i="2"/>
  <c r="T235" i="2"/>
  <c r="U235" i="2"/>
  <c r="M235" i="2"/>
  <c r="V223" i="2"/>
  <c r="U223" i="2"/>
  <c r="T223" i="2"/>
  <c r="M223" i="2"/>
  <c r="T211" i="2"/>
  <c r="V211" i="2"/>
  <c r="U211" i="2"/>
  <c r="M211" i="2"/>
  <c r="T199" i="2"/>
  <c r="V199" i="2"/>
  <c r="U199" i="2"/>
  <c r="M199" i="2"/>
  <c r="T187" i="2"/>
  <c r="V187" i="2"/>
  <c r="U187" i="2"/>
  <c r="M187" i="2"/>
  <c r="T175" i="2"/>
  <c r="V175" i="2"/>
  <c r="U175" i="2"/>
  <c r="M175" i="2"/>
  <c r="T163" i="2"/>
  <c r="V163" i="2"/>
  <c r="U163" i="2"/>
  <c r="M163" i="2"/>
  <c r="T151" i="2"/>
  <c r="V151" i="2"/>
  <c r="U151" i="2"/>
  <c r="M151" i="2"/>
  <c r="T139" i="2"/>
  <c r="V139" i="2"/>
  <c r="M139" i="2"/>
  <c r="U139" i="2"/>
  <c r="T127" i="2"/>
  <c r="V127" i="2"/>
  <c r="M127" i="2"/>
  <c r="U127" i="2"/>
  <c r="T115" i="2"/>
  <c r="V115" i="2"/>
  <c r="U115" i="2"/>
  <c r="M115" i="2"/>
  <c r="T103" i="2"/>
  <c r="V103" i="2"/>
  <c r="U103" i="2"/>
  <c r="M103" i="2"/>
  <c r="T91" i="2"/>
  <c r="V91" i="2"/>
  <c r="U91" i="2"/>
  <c r="M91" i="2"/>
  <c r="T79" i="2"/>
  <c r="V79" i="2"/>
  <c r="U79" i="2"/>
  <c r="M79" i="2"/>
  <c r="T67" i="2"/>
  <c r="V67" i="2"/>
  <c r="U67" i="2"/>
  <c r="M67" i="2"/>
  <c r="T55" i="2"/>
  <c r="V55" i="2"/>
  <c r="U55" i="2"/>
  <c r="M55" i="2"/>
  <c r="T43" i="2"/>
  <c r="V43" i="2"/>
  <c r="U43" i="2"/>
  <c r="M43" i="2"/>
  <c r="T31" i="2"/>
  <c r="V31" i="2"/>
  <c r="U31" i="2"/>
  <c r="M31" i="2"/>
  <c r="T19" i="2"/>
  <c r="V19" i="2"/>
  <c r="U19" i="2"/>
  <c r="M19" i="2"/>
  <c r="T7" i="2"/>
  <c r="V7" i="2"/>
  <c r="U7" i="2"/>
  <c r="M7" i="2"/>
  <c r="S297" i="2"/>
  <c r="Q297" i="2"/>
  <c r="J297" i="2"/>
  <c r="R297" i="2"/>
  <c r="S285" i="2"/>
  <c r="R285" i="2"/>
  <c r="Q285" i="2"/>
  <c r="J285" i="2"/>
  <c r="S273" i="2"/>
  <c r="R273" i="2"/>
  <c r="J273" i="2"/>
  <c r="Q273" i="2"/>
  <c r="S261" i="2"/>
  <c r="Q261" i="2"/>
  <c r="R261" i="2"/>
  <c r="J261" i="2"/>
  <c r="S249" i="2"/>
  <c r="R249" i="2"/>
  <c r="J249" i="2"/>
  <c r="Q249" i="2"/>
  <c r="S237" i="2"/>
  <c r="Q237" i="2"/>
  <c r="J237" i="2"/>
  <c r="R237" i="2"/>
  <c r="S225" i="2"/>
  <c r="Q225" i="2"/>
  <c r="R225" i="2"/>
  <c r="J225" i="2"/>
  <c r="S213" i="2"/>
  <c r="R213" i="2"/>
  <c r="Q213" i="2"/>
  <c r="J213" i="2"/>
  <c r="S201" i="2"/>
  <c r="R201" i="2"/>
  <c r="Q201" i="2"/>
  <c r="J201" i="2"/>
  <c r="S189" i="2"/>
  <c r="R189" i="2"/>
  <c r="J189" i="2"/>
  <c r="Q189" i="2"/>
  <c r="S177" i="2"/>
  <c r="R177" i="2"/>
  <c r="Q177" i="2"/>
  <c r="J177" i="2"/>
  <c r="S165" i="2"/>
  <c r="R165" i="2"/>
  <c r="J165" i="2"/>
  <c r="Q165" i="2"/>
  <c r="S153" i="2"/>
  <c r="R153" i="2"/>
  <c r="Q153" i="2"/>
  <c r="J153" i="2"/>
  <c r="S141" i="2"/>
  <c r="R141" i="2"/>
  <c r="Q141" i="2"/>
  <c r="J141" i="2"/>
  <c r="S129" i="2"/>
  <c r="R129" i="2"/>
  <c r="Q129" i="2"/>
  <c r="J129" i="2"/>
  <c r="S117" i="2"/>
  <c r="R117" i="2"/>
  <c r="Q117" i="2"/>
  <c r="J117" i="2"/>
  <c r="S105" i="2"/>
  <c r="R105" i="2"/>
  <c r="J105" i="2"/>
  <c r="Q105" i="2"/>
  <c r="S93" i="2"/>
  <c r="R93" i="2"/>
  <c r="Q93" i="2"/>
  <c r="J93" i="2"/>
  <c r="S81" i="2"/>
  <c r="R81" i="2"/>
  <c r="Q81" i="2"/>
  <c r="J81" i="2"/>
  <c r="S69" i="2"/>
  <c r="R69" i="2"/>
  <c r="Q69" i="2"/>
  <c r="J69" i="2"/>
  <c r="S57" i="2"/>
  <c r="R57" i="2"/>
  <c r="Q57" i="2"/>
  <c r="J57" i="2"/>
  <c r="S45" i="2"/>
  <c r="R45" i="2"/>
  <c r="J45" i="2"/>
  <c r="Q45" i="2"/>
  <c r="S33" i="2"/>
  <c r="R33" i="2"/>
  <c r="Q33" i="2"/>
  <c r="J33" i="2"/>
  <c r="S21" i="2"/>
  <c r="R21" i="2"/>
  <c r="J21" i="2"/>
  <c r="Q21" i="2"/>
  <c r="S9" i="2"/>
  <c r="R9" i="2"/>
  <c r="Q9" i="2"/>
  <c r="J9" i="2"/>
  <c r="V74" i="2"/>
  <c r="U74" i="2"/>
  <c r="T74" i="2"/>
  <c r="M74" i="2"/>
  <c r="V294" i="2"/>
  <c r="U294" i="2"/>
  <c r="T294" i="2"/>
  <c r="M294" i="2"/>
  <c r="V282" i="2"/>
  <c r="U282" i="2"/>
  <c r="T282" i="2"/>
  <c r="M282" i="2"/>
  <c r="V270" i="2"/>
  <c r="U270" i="2"/>
  <c r="T270" i="2"/>
  <c r="M270" i="2"/>
  <c r="V258" i="2"/>
  <c r="U258" i="2"/>
  <c r="M258" i="2"/>
  <c r="T258" i="2"/>
  <c r="V246" i="2"/>
  <c r="U246" i="2"/>
  <c r="T246" i="2"/>
  <c r="M246" i="2"/>
  <c r="V234" i="2"/>
  <c r="U234" i="2"/>
  <c r="T234" i="2"/>
  <c r="M234" i="2"/>
  <c r="V222" i="2"/>
  <c r="U222" i="2"/>
  <c r="T222" i="2"/>
  <c r="M222" i="2"/>
  <c r="V210" i="2"/>
  <c r="U210" i="2"/>
  <c r="T210" i="2"/>
  <c r="M210" i="2"/>
  <c r="V198" i="2"/>
  <c r="U198" i="2"/>
  <c r="T198" i="2"/>
  <c r="M198" i="2"/>
  <c r="V186" i="2"/>
  <c r="U186" i="2"/>
  <c r="T186" i="2"/>
  <c r="M186" i="2"/>
  <c r="V174" i="2"/>
  <c r="U174" i="2"/>
  <c r="T174" i="2"/>
  <c r="M174" i="2"/>
  <c r="V162" i="2"/>
  <c r="U162" i="2"/>
  <c r="T162" i="2"/>
  <c r="M162" i="2"/>
  <c r="V150" i="2"/>
  <c r="U150" i="2"/>
  <c r="T150" i="2"/>
  <c r="M150" i="2"/>
  <c r="V138" i="2"/>
  <c r="U138" i="2"/>
  <c r="T138" i="2"/>
  <c r="M138" i="2"/>
  <c r="V126" i="2"/>
  <c r="U126" i="2"/>
  <c r="T126" i="2"/>
  <c r="M126" i="2"/>
  <c r="V114" i="2"/>
  <c r="U114" i="2"/>
  <c r="T114" i="2"/>
  <c r="M114" i="2"/>
  <c r="V102" i="2"/>
  <c r="U102" i="2"/>
  <c r="T102" i="2"/>
  <c r="M102" i="2"/>
  <c r="V90" i="2"/>
  <c r="U90" i="2"/>
  <c r="T90" i="2"/>
  <c r="M90" i="2"/>
  <c r="V78" i="2"/>
  <c r="U78" i="2"/>
  <c r="T78" i="2"/>
  <c r="M78" i="2"/>
  <c r="V66" i="2"/>
  <c r="U66" i="2"/>
  <c r="T66" i="2"/>
  <c r="M66" i="2"/>
  <c r="V54" i="2"/>
  <c r="U54" i="2"/>
  <c r="T54" i="2"/>
  <c r="M54" i="2"/>
  <c r="V42" i="2"/>
  <c r="U42" i="2"/>
  <c r="T42" i="2"/>
  <c r="M42" i="2"/>
  <c r="V30" i="2"/>
  <c r="U30" i="2"/>
  <c r="T30" i="2"/>
  <c r="M30" i="2"/>
  <c r="V18" i="2"/>
  <c r="U18" i="2"/>
  <c r="T18" i="2"/>
  <c r="M18" i="2"/>
  <c r="V6" i="2"/>
  <c r="U6" i="2"/>
  <c r="T6" i="2"/>
  <c r="M6" i="2"/>
  <c r="S296" i="2"/>
  <c r="R296" i="2"/>
  <c r="Q296" i="2"/>
  <c r="J296" i="2"/>
  <c r="S284" i="2"/>
  <c r="R284" i="2"/>
  <c r="Q284" i="2"/>
  <c r="J284" i="2"/>
  <c r="S272" i="2"/>
  <c r="R272" i="2"/>
  <c r="J272" i="2"/>
  <c r="Q272" i="2"/>
  <c r="S260" i="2"/>
  <c r="R260" i="2"/>
  <c r="Q260" i="2"/>
  <c r="J260" i="2"/>
  <c r="S248" i="2"/>
  <c r="R248" i="2"/>
  <c r="J248" i="2"/>
  <c r="Q248" i="2"/>
  <c r="S236" i="2"/>
  <c r="R236" i="2"/>
  <c r="Q236" i="2"/>
  <c r="J236" i="2"/>
  <c r="S224" i="2"/>
  <c r="R224" i="2"/>
  <c r="J224" i="2"/>
  <c r="Q224" i="2"/>
  <c r="S212" i="2"/>
  <c r="R212" i="2"/>
  <c r="Q212" i="2"/>
  <c r="J212" i="2"/>
  <c r="S200" i="2"/>
  <c r="R200" i="2"/>
  <c r="Q200" i="2"/>
  <c r="J200" i="2"/>
  <c r="S188" i="2"/>
  <c r="R188" i="2"/>
  <c r="J188" i="2"/>
  <c r="Q188" i="2"/>
  <c r="S176" i="2"/>
  <c r="R176" i="2"/>
  <c r="Q176" i="2"/>
  <c r="J176" i="2"/>
  <c r="S164" i="2"/>
  <c r="R164" i="2"/>
  <c r="J164" i="2"/>
  <c r="Q164" i="2"/>
  <c r="S152" i="2"/>
  <c r="R152" i="2"/>
  <c r="Q152" i="2"/>
  <c r="J152" i="2"/>
  <c r="S140" i="2"/>
  <c r="R140" i="2"/>
  <c r="Q140" i="2"/>
  <c r="J140" i="2"/>
  <c r="S128" i="2"/>
  <c r="R128" i="2"/>
  <c r="Q128" i="2"/>
  <c r="J128" i="2"/>
  <c r="S116" i="2"/>
  <c r="R116" i="2"/>
  <c r="Q116" i="2"/>
  <c r="J116" i="2"/>
  <c r="S104" i="2"/>
  <c r="R104" i="2"/>
  <c r="J104" i="2"/>
  <c r="Q104" i="2"/>
  <c r="S92" i="2"/>
  <c r="R92" i="2"/>
  <c r="Q92" i="2"/>
  <c r="J92" i="2"/>
  <c r="S80" i="2"/>
  <c r="R80" i="2"/>
  <c r="J80" i="2"/>
  <c r="Q80" i="2"/>
  <c r="S68" i="2"/>
  <c r="R68" i="2"/>
  <c r="Q68" i="2"/>
  <c r="J68" i="2"/>
  <c r="S56" i="2"/>
  <c r="R56" i="2"/>
  <c r="Q56" i="2"/>
  <c r="J56" i="2"/>
  <c r="S44" i="2"/>
  <c r="R44" i="2"/>
  <c r="J44" i="2"/>
  <c r="Q44" i="2"/>
  <c r="S32" i="2"/>
  <c r="R32" i="2"/>
  <c r="Q32" i="2"/>
  <c r="J32" i="2"/>
  <c r="S20" i="2"/>
  <c r="R20" i="2"/>
  <c r="J20" i="2"/>
  <c r="Q20" i="2"/>
  <c r="S8" i="2"/>
  <c r="R8" i="2"/>
  <c r="Q8" i="2"/>
  <c r="J8" i="2"/>
  <c r="V293" i="2"/>
  <c r="U293" i="2"/>
  <c r="T293" i="2"/>
  <c r="M293" i="2"/>
  <c r="V281" i="2"/>
  <c r="U281" i="2"/>
  <c r="T281" i="2"/>
  <c r="M281" i="2"/>
  <c r="V269" i="2"/>
  <c r="U269" i="2"/>
  <c r="T269" i="2"/>
  <c r="M269" i="2"/>
  <c r="V257" i="2"/>
  <c r="U257" i="2"/>
  <c r="T257" i="2"/>
  <c r="M257" i="2"/>
  <c r="V245" i="2"/>
  <c r="U245" i="2"/>
  <c r="T245" i="2"/>
  <c r="M245" i="2"/>
  <c r="V233" i="2"/>
  <c r="U233" i="2"/>
  <c r="T233" i="2"/>
  <c r="M233" i="2"/>
  <c r="V221" i="2"/>
  <c r="U221" i="2"/>
  <c r="T221" i="2"/>
  <c r="M221" i="2"/>
  <c r="V209" i="2"/>
  <c r="U209" i="2"/>
  <c r="T209" i="2"/>
  <c r="M209" i="2"/>
  <c r="V197" i="2"/>
  <c r="U197" i="2"/>
  <c r="T197" i="2"/>
  <c r="M197" i="2"/>
  <c r="V185" i="2"/>
  <c r="U185" i="2"/>
  <c r="T185" i="2"/>
  <c r="M185" i="2"/>
  <c r="V173" i="2"/>
  <c r="U173" i="2"/>
  <c r="T173" i="2"/>
  <c r="M173" i="2"/>
  <c r="V161" i="2"/>
  <c r="U161" i="2"/>
  <c r="T161" i="2"/>
  <c r="M161" i="2"/>
  <c r="V149" i="2"/>
  <c r="U149" i="2"/>
  <c r="T149" i="2"/>
  <c r="M149" i="2"/>
  <c r="V137" i="2"/>
  <c r="U137" i="2"/>
  <c r="T137" i="2"/>
  <c r="M137" i="2"/>
  <c r="V125" i="2"/>
  <c r="U125" i="2"/>
  <c r="T125" i="2"/>
  <c r="M125" i="2"/>
  <c r="V113" i="2"/>
  <c r="U113" i="2"/>
  <c r="T113" i="2"/>
  <c r="M113" i="2"/>
  <c r="V101" i="2"/>
  <c r="U101" i="2"/>
  <c r="T101" i="2"/>
  <c r="M101" i="2"/>
  <c r="V89" i="2"/>
  <c r="U89" i="2"/>
  <c r="T89" i="2"/>
  <c r="M89" i="2"/>
  <c r="V77" i="2"/>
  <c r="U77" i="2"/>
  <c r="T77" i="2"/>
  <c r="M77" i="2"/>
  <c r="V65" i="2"/>
  <c r="U65" i="2"/>
  <c r="T65" i="2"/>
  <c r="M65" i="2"/>
  <c r="V53" i="2"/>
  <c r="U53" i="2"/>
  <c r="T53" i="2"/>
  <c r="M53" i="2"/>
  <c r="V41" i="2"/>
  <c r="U41" i="2"/>
  <c r="T41" i="2"/>
  <c r="M41" i="2"/>
  <c r="V29" i="2"/>
  <c r="U29" i="2"/>
  <c r="T29" i="2"/>
  <c r="M29" i="2"/>
  <c r="V17" i="2"/>
  <c r="U17" i="2"/>
  <c r="T17" i="2"/>
  <c r="M17" i="2"/>
  <c r="V5" i="2"/>
  <c r="U5" i="2"/>
  <c r="T5" i="2"/>
  <c r="M5" i="2"/>
  <c r="S295" i="2"/>
  <c r="R295" i="2"/>
  <c r="Q295" i="2"/>
  <c r="J295" i="2"/>
  <c r="S283" i="2"/>
  <c r="R283" i="2"/>
  <c r="Q283" i="2"/>
  <c r="J283" i="2"/>
  <c r="S271" i="2"/>
  <c r="R271" i="2"/>
  <c r="J271" i="2"/>
  <c r="Q271" i="2"/>
  <c r="S259" i="2"/>
  <c r="R259" i="2"/>
  <c r="Q259" i="2"/>
  <c r="J259" i="2"/>
  <c r="S247" i="2"/>
  <c r="R247" i="2"/>
  <c r="J247" i="2"/>
  <c r="Q247" i="2"/>
  <c r="S235" i="2"/>
  <c r="R235" i="2"/>
  <c r="Q235" i="2"/>
  <c r="J235" i="2"/>
  <c r="S223" i="2"/>
  <c r="R223" i="2"/>
  <c r="J223" i="2"/>
  <c r="Q223" i="2"/>
  <c r="S211" i="2"/>
  <c r="R211" i="2"/>
  <c r="Q211" i="2"/>
  <c r="J211" i="2"/>
  <c r="S199" i="2"/>
  <c r="R199" i="2"/>
  <c r="Q199" i="2"/>
  <c r="J199" i="2"/>
  <c r="S187" i="2"/>
  <c r="R187" i="2"/>
  <c r="J187" i="2"/>
  <c r="Q187" i="2"/>
  <c r="S175" i="2"/>
  <c r="R175" i="2"/>
  <c r="Q175" i="2"/>
  <c r="J175" i="2"/>
  <c r="S163" i="2"/>
  <c r="R163" i="2"/>
  <c r="J163" i="2"/>
  <c r="Q163" i="2"/>
  <c r="S151" i="2"/>
  <c r="R151" i="2"/>
  <c r="Q151" i="2"/>
  <c r="J151" i="2"/>
  <c r="S139" i="2"/>
  <c r="R139" i="2"/>
  <c r="J139" i="2"/>
  <c r="Q139" i="2"/>
  <c r="S127" i="2"/>
  <c r="R127" i="2"/>
  <c r="Q127" i="2"/>
  <c r="J127" i="2"/>
  <c r="S115" i="2"/>
  <c r="R115" i="2"/>
  <c r="Q115" i="2"/>
  <c r="J115" i="2"/>
  <c r="R103" i="2"/>
  <c r="S103" i="2"/>
  <c r="J103" i="2"/>
  <c r="Q103" i="2"/>
  <c r="R91" i="2"/>
  <c r="S91" i="2"/>
  <c r="Q91" i="2"/>
  <c r="J91" i="2"/>
  <c r="S79" i="2"/>
  <c r="R79" i="2"/>
  <c r="J79" i="2"/>
  <c r="Q79" i="2"/>
  <c r="R67" i="2"/>
  <c r="S67" i="2"/>
  <c r="Q67" i="2"/>
  <c r="J67" i="2"/>
  <c r="R55" i="2"/>
  <c r="S55" i="2"/>
  <c r="Q55" i="2"/>
  <c r="J55" i="2"/>
  <c r="S43" i="2"/>
  <c r="R43" i="2"/>
  <c r="J43" i="2"/>
  <c r="Q43" i="2"/>
  <c r="R31" i="2"/>
  <c r="S31" i="2"/>
  <c r="Q31" i="2"/>
  <c r="J31" i="2"/>
  <c r="R19" i="2"/>
  <c r="S19" i="2"/>
  <c r="J19" i="2"/>
  <c r="Q19" i="2"/>
  <c r="S7" i="2"/>
  <c r="R7" i="2"/>
  <c r="Q7" i="2"/>
  <c r="J7" i="2"/>
  <c r="V158" i="2"/>
  <c r="U158" i="2"/>
  <c r="T158" i="2"/>
  <c r="M158" i="2"/>
  <c r="Q220" i="2"/>
  <c r="S220" i="2"/>
  <c r="J220" i="2"/>
  <c r="R220" i="2"/>
  <c r="Q148" i="2"/>
  <c r="S148" i="2"/>
  <c r="J148" i="2"/>
  <c r="R148" i="2"/>
  <c r="Q88" i="2"/>
  <c r="J88" i="2"/>
  <c r="S88" i="2"/>
  <c r="R88" i="2"/>
  <c r="Q4" i="2"/>
  <c r="S4" i="2"/>
  <c r="J4" i="2"/>
  <c r="R4" i="2"/>
  <c r="V2" i="2"/>
  <c r="K5" i="1" s="1"/>
  <c r="U2" i="2"/>
  <c r="T2" i="2"/>
  <c r="M2" i="2"/>
  <c r="G5" i="1" s="1"/>
  <c r="H5" i="1" s="1"/>
  <c r="F5" i="1"/>
  <c r="E5" i="1"/>
  <c r="V292" i="2"/>
  <c r="U292" i="2"/>
  <c r="T292" i="2"/>
  <c r="M292" i="2"/>
  <c r="V280" i="2"/>
  <c r="U280" i="2"/>
  <c r="T280" i="2"/>
  <c r="M280" i="2"/>
  <c r="V268" i="2"/>
  <c r="U268" i="2"/>
  <c r="T268" i="2"/>
  <c r="M268" i="2"/>
  <c r="V256" i="2"/>
  <c r="U256" i="2"/>
  <c r="T256" i="2"/>
  <c r="M256" i="2"/>
  <c r="V244" i="2"/>
  <c r="U244" i="2"/>
  <c r="T244" i="2"/>
  <c r="M244" i="2"/>
  <c r="V232" i="2"/>
  <c r="U232" i="2"/>
  <c r="T232" i="2"/>
  <c r="M232" i="2"/>
  <c r="V220" i="2"/>
  <c r="U220" i="2"/>
  <c r="T220" i="2"/>
  <c r="M220" i="2"/>
  <c r="V208" i="2"/>
  <c r="U208" i="2"/>
  <c r="T208" i="2"/>
  <c r="M208" i="2"/>
  <c r="V196" i="2"/>
  <c r="U196" i="2"/>
  <c r="T196" i="2"/>
  <c r="M196" i="2"/>
  <c r="V184" i="2"/>
  <c r="U184" i="2"/>
  <c r="T184" i="2"/>
  <c r="M184" i="2"/>
  <c r="V172" i="2"/>
  <c r="U172" i="2"/>
  <c r="T172" i="2"/>
  <c r="M172" i="2"/>
  <c r="V160" i="2"/>
  <c r="U160" i="2"/>
  <c r="T160" i="2"/>
  <c r="M160" i="2"/>
  <c r="V148" i="2"/>
  <c r="U148" i="2"/>
  <c r="T148" i="2"/>
  <c r="M148" i="2"/>
  <c r="V136" i="2"/>
  <c r="U136" i="2"/>
  <c r="T136" i="2"/>
  <c r="M136" i="2"/>
  <c r="V124" i="2"/>
  <c r="U124" i="2"/>
  <c r="T124" i="2"/>
  <c r="M124" i="2"/>
  <c r="V112" i="2"/>
  <c r="U112" i="2"/>
  <c r="T112" i="2"/>
  <c r="M112" i="2"/>
  <c r="V100" i="2"/>
  <c r="U100" i="2"/>
  <c r="T100" i="2"/>
  <c r="M100" i="2"/>
  <c r="V88" i="2"/>
  <c r="U88" i="2"/>
  <c r="T88" i="2"/>
  <c r="M88" i="2"/>
  <c r="V76" i="2"/>
  <c r="U76" i="2"/>
  <c r="T76" i="2"/>
  <c r="M76" i="2"/>
  <c r="V64" i="2"/>
  <c r="U64" i="2"/>
  <c r="T64" i="2"/>
  <c r="M64" i="2"/>
  <c r="V52" i="2"/>
  <c r="U52" i="2"/>
  <c r="T52" i="2"/>
  <c r="M52" i="2"/>
  <c r="V40" i="2"/>
  <c r="U40" i="2"/>
  <c r="T40" i="2"/>
  <c r="M40" i="2"/>
  <c r="V28" i="2"/>
  <c r="U28" i="2"/>
  <c r="T28" i="2"/>
  <c r="M28" i="2"/>
  <c r="V16" i="2"/>
  <c r="U16" i="2"/>
  <c r="T16" i="2"/>
  <c r="M16" i="2"/>
  <c r="V4" i="2"/>
  <c r="U4" i="2"/>
  <c r="T4" i="2"/>
  <c r="M4" i="2"/>
  <c r="R294" i="2"/>
  <c r="S294" i="2"/>
  <c r="Q294" i="2"/>
  <c r="J294" i="2"/>
  <c r="R282" i="2"/>
  <c r="Q282" i="2"/>
  <c r="J282" i="2"/>
  <c r="S282" i="2"/>
  <c r="R270" i="2"/>
  <c r="Q270" i="2"/>
  <c r="S270" i="2"/>
  <c r="J270" i="2"/>
  <c r="R258" i="2"/>
  <c r="Q258" i="2"/>
  <c r="S258" i="2"/>
  <c r="J258" i="2"/>
  <c r="R246" i="2"/>
  <c r="Q246" i="2"/>
  <c r="J246" i="2"/>
  <c r="S246" i="2"/>
  <c r="R234" i="2"/>
  <c r="Q234" i="2"/>
  <c r="S234" i="2"/>
  <c r="J234" i="2"/>
  <c r="R222" i="2"/>
  <c r="Q222" i="2"/>
  <c r="S222" i="2"/>
  <c r="J222" i="2"/>
  <c r="R210" i="2"/>
  <c r="Q210" i="2"/>
  <c r="J210" i="2"/>
  <c r="S210" i="2"/>
  <c r="R198" i="2"/>
  <c r="Q198" i="2"/>
  <c r="S198" i="2"/>
  <c r="J198" i="2"/>
  <c r="R186" i="2"/>
  <c r="Q186" i="2"/>
  <c r="S186" i="2"/>
  <c r="J186" i="2"/>
  <c r="R174" i="2"/>
  <c r="Q174" i="2"/>
  <c r="J174" i="2"/>
  <c r="S174" i="2"/>
  <c r="R162" i="2"/>
  <c r="Q162" i="2"/>
  <c r="S162" i="2"/>
  <c r="J162" i="2"/>
  <c r="R150" i="2"/>
  <c r="Q150" i="2"/>
  <c r="S150" i="2"/>
  <c r="J150" i="2"/>
  <c r="R138" i="2"/>
  <c r="Q138" i="2"/>
  <c r="J138" i="2"/>
  <c r="S138" i="2"/>
  <c r="R126" i="2"/>
  <c r="Q126" i="2"/>
  <c r="S126" i="2"/>
  <c r="J126" i="2"/>
  <c r="R114" i="2"/>
  <c r="Q114" i="2"/>
  <c r="S114" i="2"/>
  <c r="J114" i="2"/>
  <c r="R102" i="2"/>
  <c r="S102" i="2"/>
  <c r="Q102" i="2"/>
  <c r="J102" i="2"/>
  <c r="R90" i="2"/>
  <c r="Q90" i="2"/>
  <c r="J90" i="2"/>
  <c r="S90" i="2"/>
  <c r="R78" i="2"/>
  <c r="Q78" i="2"/>
  <c r="S78" i="2"/>
  <c r="J78" i="2"/>
  <c r="R66" i="2"/>
  <c r="S66" i="2"/>
  <c r="Q66" i="2"/>
  <c r="J66" i="2"/>
  <c r="R54" i="2"/>
  <c r="Q54" i="2"/>
  <c r="J54" i="2"/>
  <c r="S54" i="2"/>
  <c r="R42" i="2"/>
  <c r="Q42" i="2"/>
  <c r="J42" i="2"/>
  <c r="S42" i="2"/>
  <c r="R30" i="2"/>
  <c r="S30" i="2"/>
  <c r="Q30" i="2"/>
  <c r="J30" i="2"/>
  <c r="R18" i="2"/>
  <c r="Q18" i="2"/>
  <c r="S18" i="2"/>
  <c r="J18" i="2"/>
  <c r="S6" i="2"/>
  <c r="R6" i="2"/>
  <c r="Q6" i="2"/>
  <c r="J6" i="2"/>
  <c r="K3" i="3"/>
  <c r="F9" i="1"/>
  <c r="K2" i="3"/>
  <c r="G9" i="1" s="1"/>
  <c r="H9" i="1" s="1"/>
  <c r="E9" i="1"/>
  <c r="AT897" i="8"/>
  <c r="AT861" i="8"/>
  <c r="AT825" i="8"/>
  <c r="AT789" i="8"/>
  <c r="AT753" i="8"/>
  <c r="AT717" i="8"/>
  <c r="AT681" i="8"/>
  <c r="AT645" i="8"/>
  <c r="AT609" i="8"/>
  <c r="AT573" i="8"/>
  <c r="I58" i="11"/>
  <c r="I1083" i="11"/>
  <c r="I1067" i="11"/>
  <c r="I1051" i="11"/>
  <c r="I1035" i="11"/>
  <c r="I1019" i="11"/>
  <c r="I1003" i="11"/>
  <c r="I987" i="11"/>
  <c r="I971" i="11"/>
  <c r="I955" i="11"/>
  <c r="I939" i="11"/>
  <c r="I923" i="11"/>
  <c r="I907" i="11"/>
  <c r="I891" i="11"/>
  <c r="I875" i="11"/>
  <c r="I859" i="11"/>
  <c r="I843" i="11"/>
  <c r="I827" i="11"/>
  <c r="I811" i="11"/>
  <c r="I795" i="11"/>
  <c r="I779" i="11"/>
  <c r="I763" i="11"/>
  <c r="I747" i="11"/>
  <c r="I731" i="11"/>
  <c r="I715" i="11"/>
  <c r="I699" i="11"/>
  <c r="I683" i="11"/>
  <c r="I667" i="11"/>
  <c r="I651" i="11"/>
  <c r="I635" i="11"/>
  <c r="I619" i="11"/>
  <c r="I603" i="11"/>
  <c r="I587" i="11"/>
  <c r="I571" i="11"/>
  <c r="I555" i="11"/>
  <c r="I539" i="11"/>
  <c r="I523" i="11"/>
  <c r="I507" i="11"/>
  <c r="I491" i="11"/>
  <c r="I475" i="11"/>
  <c r="I459" i="11"/>
  <c r="I443" i="11"/>
  <c r="I427" i="11"/>
  <c r="I411" i="11"/>
  <c r="I395" i="11"/>
  <c r="I379" i="11"/>
  <c r="I363" i="11"/>
  <c r="I347" i="11"/>
  <c r="I331" i="11"/>
  <c r="I315" i="11"/>
  <c r="I299" i="11"/>
  <c r="I283" i="11"/>
  <c r="I267" i="11"/>
  <c r="I251" i="11"/>
  <c r="I235" i="11"/>
  <c r="I219" i="11"/>
  <c r="I203" i="11"/>
  <c r="I187" i="11"/>
  <c r="I171" i="11"/>
  <c r="I155" i="11"/>
  <c r="I139" i="11"/>
  <c r="I123" i="11"/>
  <c r="I107" i="11"/>
  <c r="I91" i="11"/>
  <c r="I75" i="11"/>
  <c r="I59" i="11"/>
  <c r="I43" i="11"/>
  <c r="I27" i="11"/>
  <c r="I11" i="11"/>
  <c r="I1002" i="11"/>
  <c r="I842" i="11"/>
  <c r="I682" i="11"/>
  <c r="I570" i="11"/>
  <c r="I426" i="11"/>
  <c r="I266" i="11"/>
  <c r="I1081" i="11"/>
  <c r="I1065" i="11"/>
  <c r="I1049" i="11"/>
  <c r="I1033" i="11"/>
  <c r="I1017" i="11"/>
  <c r="I1001" i="11"/>
  <c r="I985" i="11"/>
  <c r="I969" i="11"/>
  <c r="I953" i="11"/>
  <c r="I937" i="11"/>
  <c r="I921" i="11"/>
  <c r="I905" i="11"/>
  <c r="I889" i="11"/>
  <c r="I873" i="11"/>
  <c r="I857" i="11"/>
  <c r="I841" i="11"/>
  <c r="I825" i="11"/>
  <c r="I809" i="11"/>
  <c r="I793" i="11"/>
  <c r="I777" i="11"/>
  <c r="I761" i="11"/>
  <c r="I745" i="11"/>
  <c r="I729" i="11"/>
  <c r="I713" i="11"/>
  <c r="I697" i="11"/>
  <c r="I681" i="11"/>
  <c r="I665" i="11"/>
  <c r="I649" i="11"/>
  <c r="I633" i="11"/>
  <c r="I617" i="11"/>
  <c r="I601" i="11"/>
  <c r="I585" i="11"/>
  <c r="I569" i="11"/>
  <c r="I553" i="11"/>
  <c r="I537" i="11"/>
  <c r="I521" i="11"/>
  <c r="I505" i="11"/>
  <c r="I489" i="11"/>
  <c r="I473" i="11"/>
  <c r="I457" i="11"/>
  <c r="I441" i="11"/>
  <c r="I425" i="11"/>
  <c r="I409" i="11"/>
  <c r="I393" i="11"/>
  <c r="I377" i="11"/>
  <c r="I361" i="11"/>
  <c r="I345" i="11"/>
  <c r="I329" i="11"/>
  <c r="I313" i="11"/>
  <c r="I297" i="11"/>
  <c r="I281" i="11"/>
  <c r="I265" i="11"/>
  <c r="I249" i="11"/>
  <c r="I233" i="11"/>
  <c r="I217" i="11"/>
  <c r="I201" i="11"/>
  <c r="I185" i="11"/>
  <c r="I169" i="11"/>
  <c r="I153" i="11"/>
  <c r="I137" i="11"/>
  <c r="I121" i="11"/>
  <c r="I105" i="11"/>
  <c r="I89" i="11"/>
  <c r="I73" i="11"/>
  <c r="I57" i="11"/>
  <c r="I41" i="11"/>
  <c r="I25" i="11"/>
  <c r="I9" i="11"/>
  <c r="I1080" i="11"/>
  <c r="I1064" i="11"/>
  <c r="I1048" i="11"/>
  <c r="I1032" i="11"/>
  <c r="I1016" i="11"/>
  <c r="I1000" i="11"/>
  <c r="I984" i="11"/>
  <c r="I968" i="11"/>
  <c r="I952" i="11"/>
  <c r="I936" i="11"/>
  <c r="I920" i="11"/>
  <c r="I904" i="11"/>
  <c r="I888" i="11"/>
  <c r="I872" i="11"/>
  <c r="I856" i="11"/>
  <c r="I840" i="11"/>
  <c r="I824" i="11"/>
  <c r="I808" i="11"/>
  <c r="I792" i="11"/>
  <c r="I776" i="11"/>
  <c r="I760" i="11"/>
  <c r="I744" i="11"/>
  <c r="I728" i="11"/>
  <c r="I712" i="11"/>
  <c r="I696" i="11"/>
  <c r="I680" i="11"/>
  <c r="I664" i="11"/>
  <c r="I648" i="11"/>
  <c r="I632" i="11"/>
  <c r="I616" i="11"/>
  <c r="I600" i="11"/>
  <c r="I584" i="11"/>
  <c r="I568" i="11"/>
  <c r="I552" i="11"/>
  <c r="I536" i="11"/>
  <c r="I520" i="11"/>
  <c r="I504" i="11"/>
  <c r="I488" i="11"/>
  <c r="I472" i="11"/>
  <c r="I456" i="11"/>
  <c r="I440" i="11"/>
  <c r="I424" i="11"/>
  <c r="I408" i="11"/>
  <c r="I392" i="11"/>
  <c r="I376" i="11"/>
  <c r="I360" i="11"/>
  <c r="I344" i="11"/>
  <c r="I328" i="11"/>
  <c r="I312" i="11"/>
  <c r="I296" i="11"/>
  <c r="I280" i="11"/>
  <c r="I264" i="11"/>
  <c r="I248" i="11"/>
  <c r="I232" i="11"/>
  <c r="I216" i="11"/>
  <c r="I200" i="11"/>
  <c r="I184" i="11"/>
  <c r="I168" i="11"/>
  <c r="I152" i="11"/>
  <c r="I136" i="11"/>
  <c r="I120" i="11"/>
  <c r="I104" i="11"/>
  <c r="I88" i="11"/>
  <c r="I72" i="11"/>
  <c r="I56" i="11"/>
  <c r="I40" i="11"/>
  <c r="I24" i="11"/>
  <c r="I8" i="11"/>
  <c r="I1066" i="11"/>
  <c r="I1079" i="11"/>
  <c r="I1063" i="11"/>
  <c r="I1047" i="11"/>
  <c r="I1031" i="11"/>
  <c r="I1015" i="11"/>
  <c r="I999" i="11"/>
  <c r="I983" i="11"/>
  <c r="I967" i="11"/>
  <c r="I951" i="11"/>
  <c r="I935" i="11"/>
  <c r="I919" i="11"/>
  <c r="I903" i="11"/>
  <c r="I887" i="11"/>
  <c r="I871" i="11"/>
  <c r="I855" i="11"/>
  <c r="I839" i="11"/>
  <c r="I823" i="11"/>
  <c r="I807" i="11"/>
  <c r="I791" i="11"/>
  <c r="I775" i="11"/>
  <c r="I759" i="11"/>
  <c r="I743" i="11"/>
  <c r="I727" i="11"/>
  <c r="I711" i="11"/>
  <c r="I695" i="11"/>
  <c r="I679" i="11"/>
  <c r="I663" i="11"/>
  <c r="I647" i="11"/>
  <c r="I631" i="11"/>
  <c r="I615" i="11"/>
  <c r="I599" i="11"/>
  <c r="I583" i="11"/>
  <c r="I567" i="11"/>
  <c r="I551" i="11"/>
  <c r="I535" i="11"/>
  <c r="I519" i="11"/>
  <c r="I503" i="11"/>
  <c r="I487" i="11"/>
  <c r="I471" i="11"/>
  <c r="I455" i="11"/>
  <c r="I439" i="11"/>
  <c r="I423" i="11"/>
  <c r="I407" i="11"/>
  <c r="I391" i="11"/>
  <c r="I375" i="11"/>
  <c r="I359" i="11"/>
  <c r="I343" i="11"/>
  <c r="I327" i="11"/>
  <c r="I311" i="11"/>
  <c r="I295" i="11"/>
  <c r="I279" i="11"/>
  <c r="I263" i="11"/>
  <c r="I247" i="11"/>
  <c r="I231" i="11"/>
  <c r="I215" i="11"/>
  <c r="I199" i="11"/>
  <c r="I183" i="11"/>
  <c r="I167" i="11"/>
  <c r="I151" i="11"/>
  <c r="I135" i="11"/>
  <c r="I119" i="11"/>
  <c r="I103" i="11"/>
  <c r="I87" i="11"/>
  <c r="I71" i="11"/>
  <c r="I55" i="11"/>
  <c r="I39" i="11"/>
  <c r="I23" i="11"/>
  <c r="I7" i="11"/>
  <c r="I1078" i="11"/>
  <c r="I1062" i="11"/>
  <c r="I1046" i="11"/>
  <c r="I1030" i="11"/>
  <c r="I1014" i="11"/>
  <c r="I998" i="11"/>
  <c r="I982" i="11"/>
  <c r="I966" i="11"/>
  <c r="I950" i="11"/>
  <c r="I934" i="11"/>
  <c r="I918" i="11"/>
  <c r="I902" i="11"/>
  <c r="I886" i="11"/>
  <c r="I870" i="11"/>
  <c r="I854" i="11"/>
  <c r="I838" i="11"/>
  <c r="I822" i="11"/>
  <c r="I806" i="11"/>
  <c r="I790" i="11"/>
  <c r="I774" i="11"/>
  <c r="I758" i="11"/>
  <c r="I742" i="11"/>
  <c r="I726" i="11"/>
  <c r="I710" i="11"/>
  <c r="I694" i="11"/>
  <c r="I678" i="11"/>
  <c r="I662" i="11"/>
  <c r="I646" i="11"/>
  <c r="I630" i="11"/>
  <c r="I614" i="11"/>
  <c r="I598" i="11"/>
  <c r="I582" i="11"/>
  <c r="I566" i="11"/>
  <c r="I550" i="11"/>
  <c r="I534" i="11"/>
  <c r="I518" i="11"/>
  <c r="I502" i="11"/>
  <c r="I486" i="11"/>
  <c r="I470" i="11"/>
  <c r="I454" i="11"/>
  <c r="I438" i="11"/>
  <c r="I422" i="11"/>
  <c r="I406" i="11"/>
  <c r="I390" i="11"/>
  <c r="I374" i="11"/>
  <c r="I358" i="11"/>
  <c r="I342" i="11"/>
  <c r="I326" i="11"/>
  <c r="I310" i="11"/>
  <c r="I294" i="11"/>
  <c r="I278" i="11"/>
  <c r="I262" i="11"/>
  <c r="I246" i="11"/>
  <c r="I230" i="11"/>
  <c r="I214" i="11"/>
  <c r="I198" i="11"/>
  <c r="I182" i="11"/>
  <c r="I166" i="11"/>
  <c r="I150" i="11"/>
  <c r="I134" i="11"/>
  <c r="I118" i="11"/>
  <c r="I102" i="11"/>
  <c r="I86" i="11"/>
  <c r="I70" i="11"/>
  <c r="I54" i="11"/>
  <c r="I38" i="11"/>
  <c r="I22" i="11"/>
  <c r="I6" i="11"/>
  <c r="I938" i="11"/>
  <c r="I746" i="11"/>
  <c r="I506" i="11"/>
  <c r="I186" i="11"/>
  <c r="I3" i="11"/>
  <c r="G14" i="1" s="1"/>
  <c r="H14" i="1" s="1"/>
  <c r="F14" i="1"/>
  <c r="E14" i="1"/>
  <c r="I1077" i="11"/>
  <c r="I1061" i="11"/>
  <c r="I1045" i="11"/>
  <c r="I1029" i="11"/>
  <c r="I1013" i="11"/>
  <c r="I997" i="11"/>
  <c r="I981" i="11"/>
  <c r="I965" i="11"/>
  <c r="I949" i="11"/>
  <c r="I933" i="11"/>
  <c r="I917" i="11"/>
  <c r="I901" i="11"/>
  <c r="I885" i="11"/>
  <c r="I869" i="11"/>
  <c r="I853" i="11"/>
  <c r="I837" i="11"/>
  <c r="I821" i="11"/>
  <c r="I805" i="11"/>
  <c r="I789" i="11"/>
  <c r="I773" i="11"/>
  <c r="I757" i="11"/>
  <c r="I741" i="11"/>
  <c r="I725" i="11"/>
  <c r="I709" i="11"/>
  <c r="I693" i="11"/>
  <c r="I677" i="11"/>
  <c r="I661" i="11"/>
  <c r="I645" i="11"/>
  <c r="I629" i="11"/>
  <c r="I613" i="11"/>
  <c r="I597" i="11"/>
  <c r="I581" i="11"/>
  <c r="I565" i="11"/>
  <c r="I549" i="11"/>
  <c r="I533" i="11"/>
  <c r="I517" i="11"/>
  <c r="I501" i="11"/>
  <c r="I485" i="11"/>
  <c r="I469" i="11"/>
  <c r="I453" i="11"/>
  <c r="I437" i="11"/>
  <c r="I421" i="11"/>
  <c r="I405" i="11"/>
  <c r="I389" i="11"/>
  <c r="I373" i="11"/>
  <c r="I357" i="11"/>
  <c r="I341" i="11"/>
  <c r="I325" i="11"/>
  <c r="I309" i="11"/>
  <c r="I293" i="11"/>
  <c r="I277" i="11"/>
  <c r="I261" i="11"/>
  <c r="I245" i="11"/>
  <c r="I229" i="11"/>
  <c r="I213" i="11"/>
  <c r="I197" i="11"/>
  <c r="I181" i="11"/>
  <c r="I165" i="11"/>
  <c r="I149" i="11"/>
  <c r="I133" i="11"/>
  <c r="I117" i="11"/>
  <c r="I101" i="11"/>
  <c r="I85" i="11"/>
  <c r="I69" i="11"/>
  <c r="I53" i="11"/>
  <c r="I37" i="11"/>
  <c r="I21" i="11"/>
  <c r="I5" i="11"/>
  <c r="I1018" i="11"/>
  <c r="I858" i="11"/>
  <c r="I666" i="11"/>
  <c r="I522" i="11"/>
  <c r="I378" i="11"/>
  <c r="I170" i="11"/>
  <c r="I1076" i="11"/>
  <c r="I1060" i="11"/>
  <c r="I1044" i="11"/>
  <c r="I1028" i="11"/>
  <c r="I1012" i="11"/>
  <c r="I996" i="11"/>
  <c r="I980" i="11"/>
  <c r="I964" i="11"/>
  <c r="I948" i="11"/>
  <c r="I932" i="11"/>
  <c r="I916" i="11"/>
  <c r="I900" i="11"/>
  <c r="I884" i="11"/>
  <c r="I868" i="11"/>
  <c r="I852" i="11"/>
  <c r="I836" i="11"/>
  <c r="I820" i="11"/>
  <c r="I804" i="11"/>
  <c r="I788" i="11"/>
  <c r="I772" i="11"/>
  <c r="I756" i="11"/>
  <c r="I740" i="11"/>
  <c r="I724" i="11"/>
  <c r="I708" i="11"/>
  <c r="I692" i="11"/>
  <c r="I676" i="11"/>
  <c r="I660" i="11"/>
  <c r="I644" i="11"/>
  <c r="I628" i="11"/>
  <c r="I612" i="11"/>
  <c r="I596" i="11"/>
  <c r="I580" i="11"/>
  <c r="I564" i="11"/>
  <c r="I548" i="11"/>
  <c r="I532" i="11"/>
  <c r="I516" i="11"/>
  <c r="I500" i="11"/>
  <c r="I484" i="11"/>
  <c r="I468" i="11"/>
  <c r="I452" i="11"/>
  <c r="I436" i="11"/>
  <c r="I420" i="11"/>
  <c r="I404" i="11"/>
  <c r="I388" i="11"/>
  <c r="I372" i="11"/>
  <c r="I356" i="11"/>
  <c r="I340" i="11"/>
  <c r="I324" i="11"/>
  <c r="I308" i="11"/>
  <c r="I292" i="11"/>
  <c r="I276" i="11"/>
  <c r="I260" i="11"/>
  <c r="I244" i="11"/>
  <c r="I228" i="11"/>
  <c r="I212" i="11"/>
  <c r="I196" i="11"/>
  <c r="I180" i="11"/>
  <c r="I164" i="11"/>
  <c r="I148" i="11"/>
  <c r="I132" i="11"/>
  <c r="I116" i="11"/>
  <c r="I100" i="11"/>
  <c r="I84" i="11"/>
  <c r="I68" i="11"/>
  <c r="I52" i="11"/>
  <c r="I36" i="11"/>
  <c r="I20" i="11"/>
  <c r="I4" i="11"/>
  <c r="I778" i="11"/>
  <c r="I1075" i="11"/>
  <c r="I1059" i="11"/>
  <c r="I1043" i="11"/>
  <c r="I1027" i="11"/>
  <c r="I1011" i="11"/>
  <c r="I995" i="11"/>
  <c r="I979" i="11"/>
  <c r="I963" i="11"/>
  <c r="I947" i="11"/>
  <c r="I931" i="11"/>
  <c r="I915" i="11"/>
  <c r="I899" i="11"/>
  <c r="I883" i="11"/>
  <c r="I867" i="11"/>
  <c r="I851" i="11"/>
  <c r="I835" i="11"/>
  <c r="I819" i="11"/>
  <c r="I803" i="11"/>
  <c r="I787" i="11"/>
  <c r="I771" i="11"/>
  <c r="I755" i="11"/>
  <c r="I739" i="11"/>
  <c r="I723" i="11"/>
  <c r="I707" i="11"/>
  <c r="I691" i="11"/>
  <c r="I675" i="11"/>
  <c r="I659" i="11"/>
  <c r="I643" i="11"/>
  <c r="I627" i="11"/>
  <c r="I611" i="11"/>
  <c r="I595" i="11"/>
  <c r="I579" i="11"/>
  <c r="I563" i="11"/>
  <c r="I547" i="11"/>
  <c r="I531" i="11"/>
  <c r="I515" i="11"/>
  <c r="I499" i="11"/>
  <c r="I483" i="11"/>
  <c r="I467" i="11"/>
  <c r="I451" i="11"/>
  <c r="I435" i="11"/>
  <c r="I419" i="11"/>
  <c r="I403" i="11"/>
  <c r="I387" i="11"/>
  <c r="I371" i="11"/>
  <c r="I355" i="11"/>
  <c r="I339" i="11"/>
  <c r="I323" i="11"/>
  <c r="I307" i="11"/>
  <c r="I291" i="11"/>
  <c r="I275" i="11"/>
  <c r="I259" i="11"/>
  <c r="I243" i="11"/>
  <c r="I227" i="11"/>
  <c r="I211" i="11"/>
  <c r="I195" i="11"/>
  <c r="I179" i="11"/>
  <c r="I163" i="11"/>
  <c r="I147" i="11"/>
  <c r="I131" i="11"/>
  <c r="I115" i="11"/>
  <c r="I99" i="11"/>
  <c r="I83" i="11"/>
  <c r="I67" i="11"/>
  <c r="I51" i="11"/>
  <c r="I35" i="11"/>
  <c r="I19" i="11"/>
  <c r="I954" i="11"/>
  <c r="I810" i="11"/>
  <c r="I714" i="11"/>
  <c r="I634" i="11"/>
  <c r="I554" i="11"/>
  <c r="I474" i="11"/>
  <c r="I394" i="11"/>
  <c r="I346" i="11"/>
  <c r="I298" i="11"/>
  <c r="I234" i="11"/>
  <c r="I154" i="11"/>
  <c r="I10" i="11"/>
  <c r="I1090" i="11"/>
  <c r="I1074" i="11"/>
  <c r="I1058" i="11"/>
  <c r="I1042" i="11"/>
  <c r="I1026" i="11"/>
  <c r="I1010" i="11"/>
  <c r="I994" i="11"/>
  <c r="I978" i="11"/>
  <c r="I962" i="11"/>
  <c r="I946" i="11"/>
  <c r="I930" i="11"/>
  <c r="I914" i="11"/>
  <c r="I898" i="11"/>
  <c r="I882" i="11"/>
  <c r="I866" i="11"/>
  <c r="I850" i="11"/>
  <c r="I834" i="11"/>
  <c r="I818" i="11"/>
  <c r="I802" i="11"/>
  <c r="I786" i="11"/>
  <c r="I770" i="11"/>
  <c r="I754" i="11"/>
  <c r="I738" i="11"/>
  <c r="I722" i="11"/>
  <c r="I706" i="11"/>
  <c r="I690" i="11"/>
  <c r="I674" i="11"/>
  <c r="I658" i="11"/>
  <c r="I642" i="11"/>
  <c r="I626" i="11"/>
  <c r="I610" i="11"/>
  <c r="I594" i="11"/>
  <c r="I578" i="11"/>
  <c r="I562" i="11"/>
  <c r="I546" i="11"/>
  <c r="I530" i="11"/>
  <c r="I514" i="11"/>
  <c r="I498" i="11"/>
  <c r="I482" i="11"/>
  <c r="I466" i="11"/>
  <c r="I450" i="11"/>
  <c r="I434" i="11"/>
  <c r="I418" i="11"/>
  <c r="I402" i="11"/>
  <c r="I386" i="11"/>
  <c r="I370" i="11"/>
  <c r="I354" i="11"/>
  <c r="I338" i="11"/>
  <c r="I322" i="11"/>
  <c r="I306" i="11"/>
  <c r="I290" i="11"/>
  <c r="I274" i="11"/>
  <c r="I258" i="11"/>
  <c r="I242" i="11"/>
  <c r="I226" i="11"/>
  <c r="I210" i="11"/>
  <c r="I194" i="11"/>
  <c r="I178" i="11"/>
  <c r="I162" i="11"/>
  <c r="I146" i="11"/>
  <c r="I130" i="11"/>
  <c r="I114" i="11"/>
  <c r="I98" i="11"/>
  <c r="I82" i="11"/>
  <c r="I66" i="11"/>
  <c r="I50" i="11"/>
  <c r="I34" i="11"/>
  <c r="I18" i="11"/>
  <c r="I986" i="11"/>
  <c r="I826" i="11"/>
  <c r="I698" i="11"/>
  <c r="I586" i="11"/>
  <c r="I442" i="11"/>
  <c r="I202" i="11"/>
  <c r="I1089" i="11"/>
  <c r="I1073" i="11"/>
  <c r="I1057" i="11"/>
  <c r="I1041" i="11"/>
  <c r="I1025" i="11"/>
  <c r="I1009" i="11"/>
  <c r="I993" i="11"/>
  <c r="I977" i="11"/>
  <c r="I961" i="11"/>
  <c r="I945" i="11"/>
  <c r="I929" i="11"/>
  <c r="I913" i="11"/>
  <c r="I897" i="11"/>
  <c r="I881" i="11"/>
  <c r="I865" i="11"/>
  <c r="I849" i="11"/>
  <c r="I833" i="11"/>
  <c r="I817" i="11"/>
  <c r="I801" i="11"/>
  <c r="I785" i="11"/>
  <c r="I769" i="11"/>
  <c r="I753" i="11"/>
  <c r="I737" i="11"/>
  <c r="I721" i="11"/>
  <c r="I705" i="11"/>
  <c r="I689" i="11"/>
  <c r="I673" i="11"/>
  <c r="I657" i="11"/>
  <c r="I641" i="11"/>
  <c r="I625" i="11"/>
  <c r="I609" i="11"/>
  <c r="I593" i="11"/>
  <c r="I577" i="11"/>
  <c r="I561" i="11"/>
  <c r="I545" i="11"/>
  <c r="I529" i="11"/>
  <c r="I513" i="11"/>
  <c r="I497" i="11"/>
  <c r="I481" i="11"/>
  <c r="I465" i="11"/>
  <c r="I449" i="11"/>
  <c r="I433" i="11"/>
  <c r="I417" i="11"/>
  <c r="I401" i="11"/>
  <c r="I385" i="11"/>
  <c r="I369" i="11"/>
  <c r="I353" i="11"/>
  <c r="I337" i="11"/>
  <c r="I321" i="11"/>
  <c r="I305" i="11"/>
  <c r="I289" i="11"/>
  <c r="I273" i="11"/>
  <c r="I257" i="11"/>
  <c r="I241" i="11"/>
  <c r="I225" i="11"/>
  <c r="I209" i="11"/>
  <c r="I193" i="11"/>
  <c r="I177" i="11"/>
  <c r="I161" i="11"/>
  <c r="I145" i="11"/>
  <c r="I129" i="11"/>
  <c r="I113" i="11"/>
  <c r="I97" i="11"/>
  <c r="I81" i="11"/>
  <c r="I65" i="11"/>
  <c r="I49" i="11"/>
  <c r="I33" i="11"/>
  <c r="I17" i="11"/>
  <c r="I1050" i="11"/>
  <c r="I1088" i="11"/>
  <c r="I1072" i="11"/>
  <c r="I1056" i="11"/>
  <c r="I1040" i="11"/>
  <c r="I1024" i="11"/>
  <c r="I1008" i="11"/>
  <c r="I992" i="11"/>
  <c r="I976" i="11"/>
  <c r="I960" i="11"/>
  <c r="I944" i="11"/>
  <c r="I928" i="11"/>
  <c r="I912" i="11"/>
  <c r="I896" i="11"/>
  <c r="I880" i="11"/>
  <c r="I864" i="11"/>
  <c r="I848" i="11"/>
  <c r="I832" i="11"/>
  <c r="I816" i="11"/>
  <c r="I800" i="11"/>
  <c r="I784" i="11"/>
  <c r="I768" i="11"/>
  <c r="I752" i="11"/>
  <c r="I736" i="11"/>
  <c r="I720" i="11"/>
  <c r="I704" i="11"/>
  <c r="I688" i="11"/>
  <c r="I672" i="11"/>
  <c r="I656" i="11"/>
  <c r="I640" i="11"/>
  <c r="I624" i="11"/>
  <c r="I608" i="11"/>
  <c r="I592" i="11"/>
  <c r="I576" i="11"/>
  <c r="I560" i="11"/>
  <c r="I544" i="11"/>
  <c r="I528" i="11"/>
  <c r="I512" i="11"/>
  <c r="I496" i="11"/>
  <c r="I480" i="11"/>
  <c r="I464" i="11"/>
  <c r="I448" i="11"/>
  <c r="I432" i="11"/>
  <c r="I416" i="11"/>
  <c r="I400" i="11"/>
  <c r="I384" i="11"/>
  <c r="I368" i="11"/>
  <c r="I352" i="11"/>
  <c r="I336" i="11"/>
  <c r="I320" i="11"/>
  <c r="I304" i="11"/>
  <c r="I288" i="11"/>
  <c r="I272" i="11"/>
  <c r="I256" i="11"/>
  <c r="I240" i="11"/>
  <c r="I224" i="11"/>
  <c r="I208" i="11"/>
  <c r="I192" i="11"/>
  <c r="I176" i="11"/>
  <c r="I160" i="11"/>
  <c r="I144" i="11"/>
  <c r="I128" i="11"/>
  <c r="I112" i="11"/>
  <c r="I96" i="11"/>
  <c r="I80" i="11"/>
  <c r="I64" i="11"/>
  <c r="I48" i="11"/>
  <c r="I32" i="11"/>
  <c r="I16" i="11"/>
  <c r="I602" i="11"/>
  <c r="I138" i="11"/>
  <c r="I1071" i="11"/>
  <c r="I1055" i="11"/>
  <c r="I1039" i="11"/>
  <c r="I1023" i="11"/>
  <c r="I1007" i="11"/>
  <c r="I991" i="11"/>
  <c r="I975" i="11"/>
  <c r="I959" i="11"/>
  <c r="I943" i="11"/>
  <c r="I927" i="11"/>
  <c r="I911" i="11"/>
  <c r="I895" i="11"/>
  <c r="I879" i="11"/>
  <c r="I863" i="11"/>
  <c r="I847" i="11"/>
  <c r="I831" i="11"/>
  <c r="I815" i="11"/>
  <c r="I799" i="11"/>
  <c r="I783" i="11"/>
  <c r="I767" i="11"/>
  <c r="I751" i="11"/>
  <c r="I735" i="11"/>
  <c r="I719" i="11"/>
  <c r="I703" i="11"/>
  <c r="I687" i="11"/>
  <c r="I671" i="11"/>
  <c r="I655" i="11"/>
  <c r="I639" i="11"/>
  <c r="I623" i="11"/>
  <c r="I607" i="11"/>
  <c r="I591" i="11"/>
  <c r="I575" i="11"/>
  <c r="I559" i="11"/>
  <c r="I543" i="11"/>
  <c r="I527" i="11"/>
  <c r="I511" i="11"/>
  <c r="I495" i="11"/>
  <c r="I479" i="11"/>
  <c r="I463" i="11"/>
  <c r="I447" i="11"/>
  <c r="I431" i="11"/>
  <c r="I415" i="11"/>
  <c r="I399" i="11"/>
  <c r="I383" i="11"/>
  <c r="I367" i="11"/>
  <c r="I351" i="11"/>
  <c r="I335" i="11"/>
  <c r="I319" i="11"/>
  <c r="I303" i="11"/>
  <c r="I287" i="11"/>
  <c r="I271" i="11"/>
  <c r="I255" i="11"/>
  <c r="I239" i="11"/>
  <c r="I223" i="11"/>
  <c r="I207" i="11"/>
  <c r="I191" i="11"/>
  <c r="I175" i="11"/>
  <c r="I159" i="11"/>
  <c r="I143" i="11"/>
  <c r="I127" i="11"/>
  <c r="I111" i="11"/>
  <c r="I95" i="11"/>
  <c r="I79" i="11"/>
  <c r="I63" i="11"/>
  <c r="I47" i="11"/>
  <c r="I31" i="11"/>
  <c r="I15" i="11"/>
  <c r="I970" i="11"/>
  <c r="I794" i="11"/>
  <c r="I730" i="11"/>
  <c r="I618" i="11"/>
  <c r="I538" i="11"/>
  <c r="I458" i="11"/>
  <c r="I410" i="11"/>
  <c r="I330" i="11"/>
  <c r="I314" i="11"/>
  <c r="I218" i="11"/>
  <c r="I106" i="11"/>
  <c r="I26" i="11"/>
  <c r="I1086" i="11"/>
  <c r="I1070" i="11"/>
  <c r="I1054" i="11"/>
  <c r="I1038" i="11"/>
  <c r="I1022" i="11"/>
  <c r="I1006" i="11"/>
  <c r="I990" i="11"/>
  <c r="I974" i="11"/>
  <c r="I958" i="11"/>
  <c r="I942" i="11"/>
  <c r="I926" i="11"/>
  <c r="I910" i="11"/>
  <c r="I894" i="11"/>
  <c r="I878" i="11"/>
  <c r="I862" i="11"/>
  <c r="I846" i="11"/>
  <c r="I830" i="11"/>
  <c r="I814" i="11"/>
  <c r="I798" i="11"/>
  <c r="I782" i="11"/>
  <c r="I766" i="11"/>
  <c r="I750" i="11"/>
  <c r="I734" i="11"/>
  <c r="I718" i="11"/>
  <c r="I702" i="11"/>
  <c r="I686" i="11"/>
  <c r="I670" i="11"/>
  <c r="I654" i="11"/>
  <c r="I638" i="11"/>
  <c r="I622" i="11"/>
  <c r="I606" i="11"/>
  <c r="I590" i="11"/>
  <c r="I574" i="11"/>
  <c r="I558" i="11"/>
  <c r="I542" i="11"/>
  <c r="I526" i="11"/>
  <c r="I510" i="11"/>
  <c r="I494" i="11"/>
  <c r="I478" i="11"/>
  <c r="I462" i="11"/>
  <c r="I446" i="11"/>
  <c r="I430" i="11"/>
  <c r="I414" i="11"/>
  <c r="I398" i="11"/>
  <c r="I382" i="11"/>
  <c r="I366" i="11"/>
  <c r="I350" i="11"/>
  <c r="I334" i="11"/>
  <c r="I318" i="11"/>
  <c r="I302" i="11"/>
  <c r="I286" i="11"/>
  <c r="I270" i="11"/>
  <c r="I254" i="11"/>
  <c r="I238" i="11"/>
  <c r="I222" i="11"/>
  <c r="I206" i="11"/>
  <c r="I190" i="11"/>
  <c r="I174" i="11"/>
  <c r="I158" i="11"/>
  <c r="I142" i="11"/>
  <c r="I126" i="11"/>
  <c r="I110" i="11"/>
  <c r="I94" i="11"/>
  <c r="I78" i="11"/>
  <c r="I62" i="11"/>
  <c r="I46" i="11"/>
  <c r="I30" i="11"/>
  <c r="I14" i="11"/>
  <c r="I1069" i="11"/>
  <c r="I1053" i="11"/>
  <c r="I1037" i="11"/>
  <c r="I1021" i="11"/>
  <c r="I1005" i="11"/>
  <c r="I989" i="11"/>
  <c r="I973" i="11"/>
  <c r="I957" i="11"/>
  <c r="I941" i="11"/>
  <c r="I925" i="11"/>
  <c r="I909" i="11"/>
  <c r="I893" i="11"/>
  <c r="I877" i="11"/>
  <c r="I861" i="11"/>
  <c r="I845" i="11"/>
  <c r="I829" i="11"/>
  <c r="I813" i="11"/>
  <c r="I797" i="11"/>
  <c r="I781" i="11"/>
  <c r="I765" i="11"/>
  <c r="I749" i="11"/>
  <c r="I733" i="11"/>
  <c r="I717" i="11"/>
  <c r="I701" i="11"/>
  <c r="I685" i="11"/>
  <c r="I669" i="11"/>
  <c r="I653" i="11"/>
  <c r="I637" i="11"/>
  <c r="I621" i="11"/>
  <c r="I605" i="11"/>
  <c r="I589" i="11"/>
  <c r="I573" i="11"/>
  <c r="I557" i="11"/>
  <c r="I541" i="11"/>
  <c r="I525" i="11"/>
  <c r="I509" i="11"/>
  <c r="I493" i="11"/>
  <c r="I477" i="11"/>
  <c r="I461" i="11"/>
  <c r="I445" i="11"/>
  <c r="I429" i="11"/>
  <c r="I413" i="11"/>
  <c r="I397" i="11"/>
  <c r="I381" i="11"/>
  <c r="I365" i="11"/>
  <c r="I349" i="11"/>
  <c r="I333" i="11"/>
  <c r="I317" i="11"/>
  <c r="I301" i="11"/>
  <c r="I285" i="11"/>
  <c r="I269" i="11"/>
  <c r="I253" i="11"/>
  <c r="I237" i="11"/>
  <c r="I221" i="11"/>
  <c r="I205" i="11"/>
  <c r="I189" i="11"/>
  <c r="I173" i="11"/>
  <c r="I157" i="11"/>
  <c r="I141" i="11"/>
  <c r="I125" i="11"/>
  <c r="I109" i="11"/>
  <c r="I93" i="11"/>
  <c r="I77" i="11"/>
  <c r="I61" i="11"/>
  <c r="I45" i="11"/>
  <c r="I29" i="11"/>
  <c r="I13" i="11"/>
  <c r="I1034" i="11"/>
  <c r="I906" i="11"/>
  <c r="I762" i="11"/>
  <c r="I490" i="11"/>
  <c r="I122" i="11"/>
  <c r="I1084" i="11"/>
  <c r="I1068" i="11"/>
  <c r="I1052" i="11"/>
  <c r="I1036" i="11"/>
  <c r="I1020" i="11"/>
  <c r="I1004" i="11"/>
  <c r="I988" i="11"/>
  <c r="I972" i="11"/>
  <c r="I956" i="11"/>
  <c r="I940" i="11"/>
  <c r="I924" i="11"/>
  <c r="I908" i="11"/>
  <c r="I892" i="11"/>
  <c r="I876" i="11"/>
  <c r="I860" i="11"/>
  <c r="I844" i="11"/>
  <c r="I828" i="11"/>
  <c r="I812" i="11"/>
  <c r="I796" i="11"/>
  <c r="I780" i="11"/>
  <c r="I764" i="11"/>
  <c r="I748" i="11"/>
  <c r="I732" i="11"/>
  <c r="I716" i="11"/>
  <c r="I700" i="11"/>
  <c r="I684" i="11"/>
  <c r="I668" i="11"/>
  <c r="I652" i="11"/>
  <c r="I636" i="11"/>
  <c r="I620" i="11"/>
  <c r="I604" i="11"/>
  <c r="I588" i="11"/>
  <c r="I572" i="11"/>
  <c r="I556" i="11"/>
  <c r="I540" i="11"/>
  <c r="I524" i="11"/>
  <c r="I508" i="11"/>
  <c r="I492" i="11"/>
  <c r="I476" i="11"/>
  <c r="I460" i="11"/>
  <c r="I444" i="11"/>
  <c r="I428" i="11"/>
  <c r="I412" i="11"/>
  <c r="I396" i="11"/>
  <c r="I380" i="11"/>
  <c r="I364" i="11"/>
  <c r="I348" i="11"/>
  <c r="I332" i="11"/>
  <c r="I316" i="11"/>
  <c r="I300" i="11"/>
  <c r="I284" i="11"/>
  <c r="I268" i="11"/>
  <c r="I252" i="11"/>
  <c r="I236" i="11"/>
  <c r="I220" i="11"/>
  <c r="I204" i="11"/>
  <c r="I188" i="11"/>
  <c r="I172" i="11"/>
  <c r="I156" i="11"/>
  <c r="I140" i="11"/>
  <c r="I124" i="11"/>
  <c r="I108" i="11"/>
  <c r="I92" i="11"/>
  <c r="I76" i="11"/>
  <c r="I60" i="11"/>
  <c r="I44" i="11"/>
  <c r="I28" i="11"/>
  <c r="I12" i="11"/>
  <c r="J5" i="1"/>
  <c r="I5" i="1"/>
  <c r="K14" i="1"/>
  <c r="J14" i="1"/>
  <c r="I14" i="1"/>
  <c r="I9" i="1"/>
  <c r="J9" i="1"/>
  <c r="K9" i="1"/>
  <c r="AJ572" i="8"/>
  <c r="AJ560" i="8"/>
  <c r="AJ548" i="8"/>
  <c r="AT1016" i="8"/>
  <c r="AT980" i="8"/>
  <c r="AT944" i="8"/>
  <c r="AT908" i="8"/>
  <c r="AT872" i="8"/>
  <c r="AT836" i="8"/>
  <c r="AT800" i="8"/>
  <c r="AT764" i="8"/>
  <c r="AT728" i="8"/>
  <c r="AT692" i="8"/>
  <c r="AT656" i="8"/>
  <c r="AT620" i="8"/>
  <c r="AT584" i="8"/>
  <c r="AT536" i="8"/>
  <c r="AT524" i="8"/>
  <c r="AT488" i="8"/>
  <c r="AT452" i="8"/>
  <c r="AT428" i="8"/>
  <c r="AT368" i="8"/>
  <c r="AT344" i="8"/>
  <c r="AT320" i="8"/>
  <c r="AT260" i="8"/>
  <c r="AT200" i="8"/>
  <c r="AT176" i="8"/>
  <c r="AT116" i="8"/>
  <c r="AT56" i="8"/>
  <c r="AT32" i="8"/>
  <c r="AE584" i="8"/>
  <c r="AE572" i="8"/>
  <c r="AE536" i="8"/>
  <c r="AT1009" i="8"/>
  <c r="AT997" i="8"/>
  <c r="AT985" i="8"/>
  <c r="AT973" i="8"/>
  <c r="AT961" i="8"/>
  <c r="AT949" i="8"/>
  <c r="AT937" i="8"/>
  <c r="AT925" i="8"/>
  <c r="AT913" i="8"/>
  <c r="AT901" i="8"/>
  <c r="AT889" i="8"/>
  <c r="AT877" i="8"/>
  <c r="AT865" i="8"/>
  <c r="AT853" i="8"/>
  <c r="AT841" i="8"/>
  <c r="AT829" i="8"/>
  <c r="AT817" i="8"/>
  <c r="AT805" i="8"/>
  <c r="AT793" i="8"/>
  <c r="AT781" i="8"/>
  <c r="AT769" i="8"/>
  <c r="AT757" i="8"/>
  <c r="AT745" i="8"/>
  <c r="AT733" i="8"/>
  <c r="AT721" i="8"/>
  <c r="AT709" i="8"/>
  <c r="AT697" i="8"/>
  <c r="AT685" i="8"/>
  <c r="AT673" i="8"/>
  <c r="AT661" i="8"/>
  <c r="AT649" i="8"/>
  <c r="AT637" i="8"/>
  <c r="AT625" i="8"/>
  <c r="AT613" i="8"/>
  <c r="AT601" i="8"/>
  <c r="AT589" i="8"/>
  <c r="AT577" i="8"/>
  <c r="AT565" i="8"/>
  <c r="AT553" i="8"/>
  <c r="AT541" i="8"/>
  <c r="AT529" i="8"/>
  <c r="AT517" i="8"/>
  <c r="AT505" i="8"/>
  <c r="AT493" i="8"/>
  <c r="AT481" i="8"/>
  <c r="AT469" i="8"/>
  <c r="AT457" i="8"/>
  <c r="AT445" i="8"/>
  <c r="AT433" i="8"/>
  <c r="AT421" i="8"/>
  <c r="AT409" i="8"/>
  <c r="AT397" i="8"/>
  <c r="AT385" i="8"/>
  <c r="AT373" i="8"/>
  <c r="AT361" i="8"/>
  <c r="AT349" i="8"/>
  <c r="AT337" i="8"/>
  <c r="AT325" i="8"/>
  <c r="AT313" i="8"/>
  <c r="AT301" i="8"/>
  <c r="AT289" i="8"/>
  <c r="AT277" i="8"/>
  <c r="AT265" i="8"/>
  <c r="AT253" i="8"/>
  <c r="AT241" i="8"/>
  <c r="AT229" i="8"/>
  <c r="AT217" i="8"/>
  <c r="AT205" i="8"/>
  <c r="AT193" i="8"/>
  <c r="AT181" i="8"/>
  <c r="AT169" i="8"/>
  <c r="AT157" i="8"/>
  <c r="AT145" i="8"/>
  <c r="AT133" i="8"/>
  <c r="AT121" i="8"/>
  <c r="AT109" i="8"/>
  <c r="AT97" i="8"/>
  <c r="AT85" i="8"/>
  <c r="AT73" i="8"/>
  <c r="AT61" i="8"/>
  <c r="AT49" i="8"/>
  <c r="AT37" i="8"/>
  <c r="AT25" i="8"/>
  <c r="AT13" i="8"/>
  <c r="AT996" i="8"/>
  <c r="AT960" i="8"/>
  <c r="AT852" i="8"/>
  <c r="AT816" i="8"/>
  <c r="AT780" i="8"/>
  <c r="AT744" i="8"/>
  <c r="AT708" i="8"/>
  <c r="AT672" i="8"/>
  <c r="AT636" i="8"/>
  <c r="AT600" i="8"/>
  <c r="AT564" i="8"/>
  <c r="AT504" i="8"/>
  <c r="AT444" i="8"/>
  <c r="AT372" i="8"/>
  <c r="AT928" i="8"/>
  <c r="AT916" i="8"/>
  <c r="AT904" i="8"/>
  <c r="AT892" i="8"/>
  <c r="AT880" i="8"/>
  <c r="AT868" i="8"/>
  <c r="AT856" i="8"/>
  <c r="AT844" i="8"/>
  <c r="AT832" i="8"/>
  <c r="AT820" i="8"/>
  <c r="AT808" i="8"/>
  <c r="AT796" i="8"/>
  <c r="AT784" i="8"/>
  <c r="AT772" i="8"/>
  <c r="AT760" i="8"/>
  <c r="AT748" i="8"/>
  <c r="AT736" i="8"/>
  <c r="AT724" i="8"/>
  <c r="AT712" i="8"/>
  <c r="AT700" i="8"/>
  <c r="AT688" i="8"/>
  <c r="AT676" i="8"/>
  <c r="AT664" i="8"/>
  <c r="AT652" i="8"/>
  <c r="AT640" i="8"/>
  <c r="AT628" i="8"/>
  <c r="AT616" i="8"/>
  <c r="AT604" i="8"/>
  <c r="AT592" i="8"/>
  <c r="AT580" i="8"/>
  <c r="AT568" i="8"/>
  <c r="AT556" i="8"/>
  <c r="AT544" i="8"/>
  <c r="AT532" i="8"/>
  <c r="AT520" i="8"/>
  <c r="AT508" i="8"/>
  <c r="AJ423" i="8"/>
  <c r="AE685" i="8"/>
  <c r="AE720" i="8"/>
  <c r="AE337" i="8"/>
  <c r="AE325" i="8"/>
  <c r="AE313" i="8"/>
  <c r="AE301" i="8"/>
  <c r="AE289" i="8"/>
  <c r="AE277" i="8"/>
  <c r="AE265" i="8"/>
  <c r="AE253" i="8"/>
  <c r="AE229" i="8"/>
  <c r="AE217" i="8"/>
  <c r="AE193" i="8"/>
  <c r="AE181" i="8"/>
  <c r="AE169" i="8"/>
  <c r="AE157" i="8"/>
  <c r="AE145" i="8"/>
  <c r="AE133" i="8"/>
  <c r="AE121" i="8"/>
  <c r="AE85" i="8"/>
  <c r="AE73" i="8"/>
  <c r="AE49" i="8"/>
  <c r="AE37" i="8"/>
  <c r="AE13" i="8"/>
  <c r="AT496" i="8"/>
  <c r="AT484" i="8"/>
  <c r="AT472" i="8"/>
  <c r="AT460" i="8"/>
  <c r="AT448" i="8"/>
  <c r="AT436" i="8"/>
  <c r="AT424" i="8"/>
  <c r="AT412" i="8"/>
  <c r="AT400" i="8"/>
  <c r="AT388" i="8"/>
  <c r="AT376" i="8"/>
  <c r="AT364" i="8"/>
  <c r="AT352" i="8"/>
  <c r="AT340" i="8"/>
  <c r="AT328" i="8"/>
  <c r="AT316" i="8"/>
  <c r="AT304" i="8"/>
  <c r="AT292" i="8"/>
  <c r="AT280" i="8"/>
  <c r="AT268" i="8"/>
  <c r="AT256" i="8"/>
  <c r="AT244" i="8"/>
  <c r="AT232" i="8"/>
  <c r="AT220" i="8"/>
  <c r="AT208" i="8"/>
  <c r="AT196" i="8"/>
  <c r="AT184" i="8"/>
  <c r="AT172" i="8"/>
  <c r="AT160" i="8"/>
  <c r="AT148" i="8"/>
  <c r="AT136" i="8"/>
  <c r="AT124" i="8"/>
  <c r="AT112" i="8"/>
  <c r="AT100" i="8"/>
  <c r="AT88" i="8"/>
  <c r="AT76" i="8"/>
  <c r="AT64" i="8"/>
  <c r="AT52" i="8"/>
  <c r="AT40" i="8"/>
  <c r="AT28" i="8"/>
  <c r="AT16" i="8"/>
  <c r="AE172" i="8"/>
  <c r="AE16" i="8"/>
  <c r="AE1046" i="8"/>
  <c r="AF1046" i="8" s="1"/>
  <c r="AE998" i="8"/>
  <c r="AE986" i="8"/>
  <c r="AE974" i="8"/>
  <c r="AE938" i="8"/>
  <c r="AE926" i="8"/>
  <c r="AE890" i="8"/>
  <c r="AE878" i="8"/>
  <c r="AE842" i="8"/>
  <c r="AE818" i="8"/>
  <c r="AE782" i="8"/>
  <c r="AE770" i="8"/>
  <c r="AE734" i="8"/>
  <c r="AE722" i="8"/>
  <c r="AE674" i="8"/>
  <c r="AE638" i="8"/>
  <c r="AE626" i="8"/>
  <c r="AE590" i="8"/>
  <c r="AE578" i="8"/>
  <c r="AE530" i="8"/>
  <c r="AJ835" i="8"/>
  <c r="AJ787" i="8"/>
  <c r="AJ739" i="8"/>
  <c r="AJ727" i="8"/>
  <c r="AJ703" i="8"/>
  <c r="AJ691" i="8"/>
  <c r="AJ679" i="8"/>
  <c r="AJ643" i="8"/>
  <c r="AJ619" i="8"/>
  <c r="AJ607" i="8"/>
  <c r="AJ595" i="8"/>
  <c r="AJ583" i="8"/>
  <c r="AJ571" i="8"/>
  <c r="AJ559" i="8"/>
  <c r="AJ547" i="8"/>
  <c r="AO723" i="8"/>
  <c r="AE514" i="8"/>
  <c r="AE502" i="8"/>
  <c r="AE490" i="8"/>
  <c r="AE454" i="8"/>
  <c r="AE442" i="8"/>
  <c r="AE430" i="8"/>
  <c r="AE406" i="8"/>
  <c r="AE370" i="8"/>
  <c r="AE358" i="8"/>
  <c r="AE334" i="8"/>
  <c r="AE322" i="8"/>
  <c r="AE298" i="8"/>
  <c r="AE286" i="8"/>
  <c r="AE274" i="8"/>
  <c r="AE250" i="8"/>
  <c r="AE226" i="8"/>
  <c r="AE190" i="8"/>
  <c r="AE178" i="8"/>
  <c r="AE154" i="8"/>
  <c r="AE142" i="8"/>
  <c r="AE106" i="8"/>
  <c r="AE82" i="8"/>
  <c r="AE46" i="8"/>
  <c r="AE34" i="8"/>
  <c r="AE10" i="8"/>
  <c r="AE937" i="8"/>
  <c r="AE877" i="8"/>
  <c r="AE745" i="8"/>
  <c r="AE733" i="8"/>
  <c r="AE709" i="8"/>
  <c r="AE649" i="8"/>
  <c r="AE541" i="8"/>
  <c r="AJ485" i="8"/>
  <c r="AJ449" i="8"/>
  <c r="AJ413" i="8"/>
  <c r="AJ389" i="8"/>
  <c r="AJ341" i="8"/>
  <c r="AJ293" i="8"/>
  <c r="AJ233" i="8"/>
  <c r="AJ149" i="8"/>
  <c r="AJ125" i="8"/>
  <c r="AJ65" i="8"/>
  <c r="AJ29" i="8"/>
  <c r="AE393" i="8"/>
  <c r="AE369" i="8"/>
  <c r="AE237" i="8"/>
  <c r="AE201" i="8"/>
  <c r="AE57" i="8"/>
  <c r="AJ520" i="8"/>
  <c r="AJ508" i="8"/>
  <c r="AJ496" i="8"/>
  <c r="AJ484" i="8"/>
  <c r="AJ472" i="8"/>
  <c r="AJ460" i="8"/>
  <c r="AJ448" i="8"/>
  <c r="AJ436" i="8"/>
  <c r="AJ424" i="8"/>
  <c r="AJ412" i="8"/>
  <c r="AJ400" i="8"/>
  <c r="AJ388" i="8"/>
  <c r="AJ376" i="8"/>
  <c r="AJ364" i="8"/>
  <c r="AJ352" i="8"/>
  <c r="AJ340" i="8"/>
  <c r="AJ328" i="8"/>
  <c r="AJ292" i="8"/>
  <c r="AJ280" i="8"/>
  <c r="AJ268" i="8"/>
  <c r="AJ244" i="8"/>
  <c r="AJ232" i="8"/>
  <c r="AJ220" i="8"/>
  <c r="AJ196" i="8"/>
  <c r="AJ160" i="8"/>
  <c r="AJ148" i="8"/>
  <c r="AJ124" i="8"/>
  <c r="AJ112" i="8"/>
  <c r="AJ100" i="8"/>
  <c r="AJ88" i="8"/>
  <c r="AJ76" i="8"/>
  <c r="AJ64" i="8"/>
  <c r="AJ28" i="8"/>
  <c r="AJ908" i="8"/>
  <c r="AJ515" i="8"/>
  <c r="AJ503" i="8"/>
  <c r="AJ491" i="8"/>
  <c r="AJ479" i="8"/>
  <c r="AJ467" i="8"/>
  <c r="AJ455" i="8"/>
  <c r="AJ443" i="8"/>
  <c r="AJ431" i="8"/>
  <c r="AJ419" i="8"/>
  <c r="AJ407" i="8"/>
  <c r="AJ395" i="8"/>
  <c r="AJ383" i="8"/>
  <c r="AJ371" i="8"/>
  <c r="AJ359" i="8"/>
  <c r="AJ347" i="8"/>
  <c r="AJ335" i="8"/>
  <c r="AJ323" i="8"/>
  <c r="AJ311" i="8"/>
  <c r="AJ299" i="8"/>
  <c r="AJ287" i="8"/>
  <c r="AJ275" i="8"/>
  <c r="AJ263" i="8"/>
  <c r="AJ251" i="8"/>
  <c r="AJ239" i="8"/>
  <c r="AJ227" i="8"/>
  <c r="AJ215" i="8"/>
  <c r="AJ203" i="8"/>
  <c r="AJ191" i="8"/>
  <c r="AJ179" i="8"/>
  <c r="AJ167" i="8"/>
  <c r="AJ155" i="8"/>
  <c r="AJ143" i="8"/>
  <c r="AJ131" i="8"/>
  <c r="AJ119" i="8"/>
  <c r="AJ107" i="8"/>
  <c r="AJ95" i="8"/>
  <c r="AJ83" i="8"/>
  <c r="AJ71" i="8"/>
  <c r="AJ59" i="8"/>
  <c r="AJ47" i="8"/>
  <c r="AJ35" i="8"/>
  <c r="AJ241" i="8"/>
  <c r="AE209" i="8"/>
  <c r="AO976" i="8"/>
  <c r="AO964" i="8"/>
  <c r="AO844" i="8"/>
  <c r="AO700" i="8"/>
  <c r="AO688" i="8"/>
  <c r="AO580" i="8"/>
  <c r="AO556" i="8"/>
  <c r="AO544" i="8"/>
  <c r="AO496" i="8"/>
  <c r="AO484" i="8"/>
  <c r="AO472" i="8"/>
  <c r="AO460" i="8"/>
  <c r="AO867" i="8"/>
  <c r="AJ1041" i="8"/>
  <c r="AJ1029" i="8"/>
  <c r="AJ1017" i="8"/>
  <c r="AJ1005" i="8"/>
  <c r="AJ848" i="8"/>
  <c r="AE211" i="8"/>
  <c r="AE91" i="8"/>
  <c r="AE55" i="8"/>
  <c r="AE198" i="8"/>
  <c r="AE18" i="8"/>
  <c r="AE661" i="8"/>
  <c r="AJ1045" i="8"/>
  <c r="AJ985" i="8"/>
  <c r="AJ973" i="8"/>
  <c r="AJ961" i="8"/>
  <c r="AJ949" i="8"/>
  <c r="AJ901" i="8"/>
  <c r="AJ889" i="8"/>
  <c r="AJ877" i="8"/>
  <c r="AJ841" i="8"/>
  <c r="AJ829" i="8"/>
  <c r="AJ793" i="8"/>
  <c r="AJ781" i="8"/>
  <c r="AJ745" i="8"/>
  <c r="AJ733" i="8"/>
  <c r="AJ697" i="8"/>
  <c r="AJ685" i="8"/>
  <c r="AJ649" i="8"/>
  <c r="AJ637" i="8"/>
  <c r="AJ601" i="8"/>
  <c r="AJ589" i="8"/>
  <c r="AJ553" i="8"/>
  <c r="AJ541" i="8"/>
  <c r="AJ60" i="8"/>
  <c r="AE1027" i="8"/>
  <c r="AE547" i="8"/>
  <c r="AO208" i="8"/>
  <c r="AO196" i="8"/>
  <c r="AO184" i="8"/>
  <c r="AO172" i="8"/>
  <c r="AO160" i="8"/>
  <c r="AO148" i="8"/>
  <c r="AO136" i="8"/>
  <c r="AO124" i="8"/>
  <c r="AO112" i="8"/>
  <c r="AO100" i="8"/>
  <c r="AO88" i="8"/>
  <c r="AO76" i="8"/>
  <c r="AO64" i="8"/>
  <c r="AO52" i="8"/>
  <c r="AO40" i="8"/>
  <c r="AO28" i="8"/>
  <c r="AO16" i="8"/>
  <c r="AE507" i="8"/>
  <c r="AE495" i="8"/>
  <c r="AE447" i="8"/>
  <c r="AE411" i="8"/>
  <c r="AE656" i="8"/>
  <c r="AE644" i="8"/>
  <c r="AE596" i="8"/>
  <c r="AE560" i="8"/>
  <c r="AE548" i="8"/>
  <c r="AT1037" i="8"/>
  <c r="AT1025" i="8"/>
  <c r="AT1013" i="8"/>
  <c r="AT1001" i="8"/>
  <c r="AT989" i="8"/>
  <c r="AT977" i="8"/>
  <c r="AT965" i="8"/>
  <c r="AT953" i="8"/>
  <c r="AT941" i="8"/>
  <c r="AT929" i="8"/>
  <c r="AT917" i="8"/>
  <c r="AT905" i="8"/>
  <c r="AT893" i="8"/>
  <c r="AT881" i="8"/>
  <c r="AT869" i="8"/>
  <c r="AT857" i="8"/>
  <c r="AE481" i="8"/>
  <c r="AE421" i="8"/>
  <c r="AE397" i="8"/>
  <c r="AE25" i="8"/>
  <c r="AJ1042" i="8"/>
  <c r="AJ946" i="8"/>
  <c r="AJ886" i="8"/>
  <c r="AJ814" i="8"/>
  <c r="AJ778" i="8"/>
  <c r="AJ682" i="8"/>
  <c r="AJ586" i="8"/>
  <c r="AO1036" i="8"/>
  <c r="AO1024" i="8"/>
  <c r="AO1012" i="8"/>
  <c r="AO988" i="8"/>
  <c r="AO940" i="8"/>
  <c r="AO928" i="8"/>
  <c r="AO916" i="8"/>
  <c r="AO880" i="8"/>
  <c r="AO868" i="8"/>
  <c r="AO820" i="8"/>
  <c r="AO796" i="8"/>
  <c r="AO748" i="8"/>
  <c r="AO724" i="8"/>
  <c r="AO676" i="8"/>
  <c r="AO652" i="8"/>
  <c r="AO640" i="8"/>
  <c r="AO592" i="8"/>
  <c r="AO532" i="8"/>
  <c r="AO508" i="8"/>
  <c r="AJ469" i="8"/>
  <c r="AJ433" i="8"/>
  <c r="AJ289" i="8"/>
  <c r="AJ205" i="8"/>
  <c r="AJ169" i="8"/>
  <c r="AJ121" i="8"/>
  <c r="AJ993" i="8"/>
  <c r="AJ981" i="8"/>
  <c r="AJ969" i="8"/>
  <c r="AJ957" i="8"/>
  <c r="AJ945" i="8"/>
  <c r="AJ933" i="8"/>
  <c r="AJ921" i="8"/>
  <c r="AJ909" i="8"/>
  <c r="AJ897" i="8"/>
  <c r="AJ885" i="8"/>
  <c r="AJ873" i="8"/>
  <c r="AJ861" i="8"/>
  <c r="AJ849" i="8"/>
  <c r="AJ837" i="8"/>
  <c r="AJ825" i="8"/>
  <c r="AJ813" i="8"/>
  <c r="AJ801" i="8"/>
  <c r="AJ789" i="8"/>
  <c r="AJ777" i="8"/>
  <c r="AJ765" i="8"/>
  <c r="AJ753" i="8"/>
  <c r="AJ741" i="8"/>
  <c r="AJ729" i="8"/>
  <c r="AJ717" i="8"/>
  <c r="AJ705" i="8"/>
  <c r="AJ693" i="8"/>
  <c r="AJ681" i="8"/>
  <c r="AJ669" i="8"/>
  <c r="AJ657" i="8"/>
  <c r="AJ645" i="8"/>
  <c r="AJ633" i="8"/>
  <c r="AJ621" i="8"/>
  <c r="AJ609" i="8"/>
  <c r="AJ597" i="8"/>
  <c r="AJ585" i="8"/>
  <c r="AJ573" i="8"/>
  <c r="AJ561" i="8"/>
  <c r="AJ549" i="8"/>
  <c r="AJ537" i="8"/>
  <c r="AO1023" i="8"/>
  <c r="AO963" i="8"/>
  <c r="AO927" i="8"/>
  <c r="AO915" i="8"/>
  <c r="AO879" i="8"/>
  <c r="AO831" i="8"/>
  <c r="AO819" i="8"/>
  <c r="AO783" i="8"/>
  <c r="AO771" i="8"/>
  <c r="AO675" i="8"/>
  <c r="AO639" i="8"/>
  <c r="AO591" i="8"/>
  <c r="AO543" i="8"/>
  <c r="AJ516" i="8"/>
  <c r="AJ504" i="8"/>
  <c r="AJ492" i="8"/>
  <c r="AJ480" i="8"/>
  <c r="AJ468" i="8"/>
  <c r="AJ456" i="8"/>
  <c r="AJ444" i="8"/>
  <c r="AJ432" i="8"/>
  <c r="AJ420" i="8"/>
  <c r="AJ408" i="8"/>
  <c r="AJ396" i="8"/>
  <c r="AJ384" i="8"/>
  <c r="AJ372" i="8"/>
  <c r="AJ360" i="8"/>
  <c r="AJ312" i="8"/>
  <c r="AJ300" i="8"/>
  <c r="AJ288" i="8"/>
  <c r="AJ276" i="8"/>
  <c r="AJ240" i="8"/>
  <c r="AJ204" i="8"/>
  <c r="AJ192" i="8"/>
  <c r="AJ168" i="8"/>
  <c r="AJ120" i="8"/>
  <c r="AJ36" i="8"/>
  <c r="AE185" i="8"/>
  <c r="AE53" i="8"/>
  <c r="AE41" i="8"/>
  <c r="AE1018" i="8"/>
  <c r="AE994" i="8"/>
  <c r="AE934" i="8"/>
  <c r="AE826" i="8"/>
  <c r="AE790" i="8"/>
  <c r="AE766" i="8"/>
  <c r="AE754" i="8"/>
  <c r="AE742" i="8"/>
  <c r="AE730" i="8"/>
  <c r="AE706" i="8"/>
  <c r="AE694" i="8"/>
  <c r="AE682" i="8"/>
  <c r="AE622" i="8"/>
  <c r="AE586" i="8"/>
  <c r="AE574" i="8"/>
  <c r="AE538" i="8"/>
  <c r="AE1011" i="8"/>
  <c r="AE999" i="8"/>
  <c r="AE939" i="8"/>
  <c r="AE927" i="8"/>
  <c r="AE891" i="8"/>
  <c r="AE879" i="8"/>
  <c r="AE831" i="8"/>
  <c r="AE795" i="8"/>
  <c r="AE783" i="8"/>
  <c r="AE747" i="8"/>
  <c r="AE735" i="8"/>
  <c r="AE687" i="8"/>
  <c r="AE639" i="8"/>
  <c r="AE591" i="8"/>
  <c r="AJ632" i="8"/>
  <c r="AE52" i="8"/>
  <c r="AJ1011" i="8"/>
  <c r="AJ999" i="8"/>
  <c r="AJ987" i="8"/>
  <c r="AJ975" i="8"/>
  <c r="AJ963" i="8"/>
  <c r="AJ903" i="8"/>
  <c r="AJ831" i="8"/>
  <c r="AJ795" i="8"/>
  <c r="AJ747" i="8"/>
  <c r="AJ699" i="8"/>
  <c r="AJ651" i="8"/>
  <c r="AJ555" i="8"/>
  <c r="AO589" i="8"/>
  <c r="AE889" i="8"/>
  <c r="AE829" i="8"/>
  <c r="AE781" i="8"/>
  <c r="AE769" i="8"/>
  <c r="AE721" i="8"/>
  <c r="AE613" i="8"/>
  <c r="AE601" i="8"/>
  <c r="AE589" i="8"/>
  <c r="AJ998" i="8"/>
  <c r="AJ974" i="8"/>
  <c r="AJ950" i="8"/>
  <c r="AJ938" i="8"/>
  <c r="AJ902" i="8"/>
  <c r="AJ890" i="8"/>
  <c r="AJ878" i="8"/>
  <c r="AJ842" i="8"/>
  <c r="AJ794" i="8"/>
  <c r="AJ722" i="8"/>
  <c r="AJ698" i="8"/>
  <c r="AJ686" i="8"/>
  <c r="AJ626" i="8"/>
  <c r="AJ602" i="8"/>
  <c r="AJ590" i="8"/>
  <c r="AJ554" i="8"/>
  <c r="AJ530" i="8"/>
  <c r="AE329" i="8"/>
  <c r="AE65" i="8"/>
  <c r="AT1039" i="8"/>
  <c r="AT1027" i="8"/>
  <c r="AT1003" i="8"/>
  <c r="AT967" i="8"/>
  <c r="AT955" i="8"/>
  <c r="AT931" i="8"/>
  <c r="AT907" i="8"/>
  <c r="AT895" i="8"/>
  <c r="AT871" i="8"/>
  <c r="AT859" i="8"/>
  <c r="AT835" i="8"/>
  <c r="AT823" i="8"/>
  <c r="AT799" i="8"/>
  <c r="AT787" i="8"/>
  <c r="AT763" i="8"/>
  <c r="AT751" i="8"/>
  <c r="AT727" i="8"/>
  <c r="AT715" i="8"/>
  <c r="AT691" i="8"/>
  <c r="AT679" i="8"/>
  <c r="AT655" i="8"/>
  <c r="AT643" i="8"/>
  <c r="AT619" i="8"/>
  <c r="AT607" i="8"/>
  <c r="AT583" i="8"/>
  <c r="AT571" i="8"/>
  <c r="AT547" i="8"/>
  <c r="AT535" i="8"/>
  <c r="AT511" i="8"/>
  <c r="AT475" i="8"/>
  <c r="AT463" i="8"/>
  <c r="AT451" i="8"/>
  <c r="AT427" i="8"/>
  <c r="AT403" i="8"/>
  <c r="AT391" i="8"/>
  <c r="AT367" i="8"/>
  <c r="AT343" i="8"/>
  <c r="AT319" i="8"/>
  <c r="AT307" i="8"/>
  <c r="AT295" i="8"/>
  <c r="AT259" i="8"/>
  <c r="AT235" i="8"/>
  <c r="AT223" i="8"/>
  <c r="AT199" i="8"/>
  <c r="AT175" i="8"/>
  <c r="AT163" i="8"/>
  <c r="AT151" i="8"/>
  <c r="AT115" i="8"/>
  <c r="AT91" i="8"/>
  <c r="AT79" i="8"/>
  <c r="AT55" i="8"/>
  <c r="AT31" i="8"/>
  <c r="AT19" i="8"/>
  <c r="AT7" i="8"/>
  <c r="AO801" i="8"/>
  <c r="AO361" i="8"/>
  <c r="AO349" i="8"/>
  <c r="AO337" i="8"/>
  <c r="AO313" i="8"/>
  <c r="AO301" i="8"/>
  <c r="AO289" i="8"/>
  <c r="AO193" i="8"/>
  <c r="AO181" i="8"/>
  <c r="AO109" i="8"/>
  <c r="AO85" i="8"/>
  <c r="AO73" i="8"/>
  <c r="AO61" i="8"/>
  <c r="AO13" i="8"/>
  <c r="AE504" i="8"/>
  <c r="AE480" i="8"/>
  <c r="AE384" i="8"/>
  <c r="AE372" i="8"/>
  <c r="AE360" i="8"/>
  <c r="AE348" i="8"/>
  <c r="AE336" i="8"/>
  <c r="AE312" i="8"/>
  <c r="AE300" i="8"/>
  <c r="AE264" i="8"/>
  <c r="AE240" i="8"/>
  <c r="AE228" i="8"/>
  <c r="AE216" i="8"/>
  <c r="AE204" i="8"/>
  <c r="AE192" i="8"/>
  <c r="AE168" i="8"/>
  <c r="AE144" i="8"/>
  <c r="AE12" i="8"/>
  <c r="AO1005" i="8"/>
  <c r="AO740" i="8"/>
  <c r="AO506" i="8"/>
  <c r="AE419" i="8"/>
  <c r="AE478" i="8"/>
  <c r="AE394" i="8"/>
  <c r="AE238" i="8"/>
  <c r="AE94" i="8"/>
  <c r="AE405" i="8"/>
  <c r="AE381" i="8"/>
  <c r="AE345" i="8"/>
  <c r="AE249" i="8"/>
  <c r="AE105" i="8"/>
  <c r="AE93" i="8"/>
  <c r="AE459" i="8"/>
  <c r="AE524" i="8"/>
  <c r="AE512" i="8"/>
  <c r="AE500" i="8"/>
  <c r="AE488" i="8"/>
  <c r="AE476" i="8"/>
  <c r="AE464" i="8"/>
  <c r="AE452" i="8"/>
  <c r="AE440" i="8"/>
  <c r="AE428" i="8"/>
  <c r="AE416" i="8"/>
  <c r="AE404" i="8"/>
  <c r="AE392" i="8"/>
  <c r="AE380" i="8"/>
  <c r="AE368" i="8"/>
  <c r="AE356" i="8"/>
  <c r="AE344" i="8"/>
  <c r="AE332" i="8"/>
  <c r="AE320" i="8"/>
  <c r="AE308" i="8"/>
  <c r="AE296" i="8"/>
  <c r="AE284" i="8"/>
  <c r="AE272" i="8"/>
  <c r="AE260" i="8"/>
  <c r="AE248" i="8"/>
  <c r="AE236" i="8"/>
  <c r="AE224" i="8"/>
  <c r="AE212" i="8"/>
  <c r="AE200" i="8"/>
  <c r="AE188" i="8"/>
  <c r="AE176" i="8"/>
  <c r="AE164" i="8"/>
  <c r="AE152" i="8"/>
  <c r="AE140" i="8"/>
  <c r="AE128" i="8"/>
  <c r="AE116" i="8"/>
  <c r="AE104" i="8"/>
  <c r="AE92" i="8"/>
  <c r="AE80" i="8"/>
  <c r="AE68" i="8"/>
  <c r="AE56" i="8"/>
  <c r="AE44" i="8"/>
  <c r="AE32" i="8"/>
  <c r="AE20" i="8"/>
  <c r="AE8" i="8"/>
  <c r="AE523" i="8"/>
  <c r="AE511" i="8"/>
  <c r="AE499" i="8"/>
  <c r="AE487" i="8"/>
  <c r="AE475" i="8"/>
  <c r="AE463" i="8"/>
  <c r="AE451" i="8"/>
  <c r="AE439" i="8"/>
  <c r="AE427" i="8"/>
  <c r="AE415" i="8"/>
  <c r="AE403" i="8"/>
  <c r="AE391" i="8"/>
  <c r="AE379" i="8"/>
  <c r="AE367" i="8"/>
  <c r="AE355" i="8"/>
  <c r="AE517" i="8"/>
  <c r="AE505" i="8"/>
  <c r="AE493" i="8"/>
  <c r="AE469" i="8"/>
  <c r="AE457" i="8"/>
  <c r="AE445" i="8"/>
  <c r="AE433" i="8"/>
  <c r="AE409" i="8"/>
  <c r="AE373" i="8"/>
  <c r="AE361" i="8"/>
  <c r="AE366" i="8"/>
  <c r="AE227" i="8"/>
  <c r="AE71" i="8"/>
  <c r="AE59" i="8"/>
  <c r="AE35" i="8"/>
  <c r="AO898" i="8"/>
  <c r="AE343" i="8"/>
  <c r="AE331" i="8"/>
  <c r="AE319" i="8"/>
  <c r="AE307" i="8"/>
  <c r="AE295" i="8"/>
  <c r="AE283" i="8"/>
  <c r="AE271" i="8"/>
  <c r="AE259" i="8"/>
  <c r="AE175" i="8"/>
  <c r="AE79" i="8"/>
  <c r="AJ1040" i="8"/>
  <c r="AJ1004" i="8"/>
  <c r="AJ980" i="8"/>
  <c r="AJ968" i="8"/>
  <c r="AJ944" i="8"/>
  <c r="AJ920" i="8"/>
  <c r="AJ896" i="8"/>
  <c r="AJ812" i="8"/>
  <c r="AJ800" i="8"/>
  <c r="AJ764" i="8"/>
  <c r="AJ752" i="8"/>
  <c r="AJ728" i="8"/>
  <c r="AJ716" i="8"/>
  <c r="AJ668" i="8"/>
  <c r="AJ584" i="8"/>
  <c r="AJ536" i="8"/>
  <c r="AO594" i="8"/>
  <c r="AO558" i="8"/>
  <c r="AO510" i="8"/>
  <c r="AT1038" i="8"/>
  <c r="AT1002" i="8"/>
  <c r="AT966" i="8"/>
  <c r="AT930" i="8"/>
  <c r="AT894" i="8"/>
  <c r="AT882" i="8"/>
  <c r="AT858" i="8"/>
  <c r="AT846" i="8"/>
  <c r="AT822" i="8"/>
  <c r="AT810" i="8"/>
  <c r="AT786" i="8"/>
  <c r="AT774" i="8"/>
  <c r="AT750" i="8"/>
  <c r="AT738" i="8"/>
  <c r="AT714" i="8"/>
  <c r="AT702" i="8"/>
  <c r="AT678" i="8"/>
  <c r="AT666" i="8"/>
  <c r="AT642" i="8"/>
  <c r="AT630" i="8"/>
  <c r="AT606" i="8"/>
  <c r="AT594" i="8"/>
  <c r="AT570" i="8"/>
  <c r="AT558" i="8"/>
  <c r="AT546" i="8"/>
  <c r="AT510" i="8"/>
  <c r="AT486" i="8"/>
  <c r="AT474" i="8"/>
  <c r="AT450" i="8"/>
  <c r="AT414" i="8"/>
  <c r="AT402" i="8"/>
  <c r="AT390" i="8"/>
  <c r="AT366" i="8"/>
  <c r="AT318" i="8"/>
  <c r="AT294" i="8"/>
  <c r="AT282" i="8"/>
  <c r="AT258" i="8"/>
  <c r="AT234" i="8"/>
  <c r="AT222" i="8"/>
  <c r="AT210" i="8"/>
  <c r="AT174" i="8"/>
  <c r="AT150" i="8"/>
  <c r="AT138" i="8"/>
  <c r="AT114" i="8"/>
  <c r="AT90" i="8"/>
  <c r="AT78" i="8"/>
  <c r="AT66" i="8"/>
  <c r="AT30" i="8"/>
  <c r="AT6" i="8"/>
  <c r="AE342" i="8"/>
  <c r="AE210" i="8"/>
  <c r="AE186" i="8"/>
  <c r="AE54" i="8"/>
  <c r="AE925" i="8"/>
  <c r="AE793" i="8"/>
  <c r="AE637" i="8"/>
  <c r="AJ823" i="8"/>
  <c r="AJ799" i="8"/>
  <c r="AJ775" i="8"/>
  <c r="AO749" i="8"/>
  <c r="AO737" i="8"/>
  <c r="AO725" i="8"/>
  <c r="AO701" i="8"/>
  <c r="AO689" i="8"/>
  <c r="AO677" i="8"/>
  <c r="AO653" i="8"/>
  <c r="AO641" i="8"/>
  <c r="AO629" i="8"/>
  <c r="AO605" i="8"/>
  <c r="AO593" i="8"/>
  <c r="AO581" i="8"/>
  <c r="AO557" i="8"/>
  <c r="AO545" i="8"/>
  <c r="AO533" i="8"/>
  <c r="AO509" i="8"/>
  <c r="AE173" i="8"/>
  <c r="AE29" i="8"/>
  <c r="AE1032" i="8"/>
  <c r="AE1020" i="8"/>
  <c r="AE1008" i="8"/>
  <c r="AE960" i="8"/>
  <c r="AE936" i="8"/>
  <c r="AE900" i="8"/>
  <c r="AE888" i="8"/>
  <c r="AE852" i="8"/>
  <c r="AE840" i="8"/>
  <c r="AE792" i="8"/>
  <c r="AE756" i="8"/>
  <c r="AE744" i="8"/>
  <c r="AE708" i="8"/>
  <c r="AE696" i="8"/>
  <c r="AE648" i="8"/>
  <c r="AE636" i="8"/>
  <c r="AE600" i="8"/>
  <c r="AE588" i="8"/>
  <c r="AE552" i="8"/>
  <c r="AJ1038" i="8"/>
  <c r="AJ1026" i="8"/>
  <c r="AJ1014" i="8"/>
  <c r="AJ1002" i="8"/>
  <c r="AJ990" i="8"/>
  <c r="AJ978" i="8"/>
  <c r="AJ966" i="8"/>
  <c r="AJ954" i="8"/>
  <c r="AJ942" i="8"/>
  <c r="AJ930" i="8"/>
  <c r="AJ918" i="8"/>
  <c r="AJ906" i="8"/>
  <c r="AJ894" i="8"/>
  <c r="AJ882" i="8"/>
  <c r="AJ870" i="8"/>
  <c r="AJ858" i="8"/>
  <c r="AJ846" i="8"/>
  <c r="AJ834" i="8"/>
  <c r="AJ822" i="8"/>
  <c r="AJ810" i="8"/>
  <c r="AJ798" i="8"/>
  <c r="AJ786" i="8"/>
  <c r="AJ774" i="8"/>
  <c r="AJ762" i="8"/>
  <c r="AJ750" i="8"/>
  <c r="AJ738" i="8"/>
  <c r="AJ726" i="8"/>
  <c r="AJ714" i="8"/>
  <c r="AJ702" i="8"/>
  <c r="AJ690" i="8"/>
  <c r="AJ678" i="8"/>
  <c r="AJ666" i="8"/>
  <c r="AJ654" i="8"/>
  <c r="AJ642" i="8"/>
  <c r="AJ630" i="8"/>
  <c r="AJ618" i="8"/>
  <c r="AJ606" i="8"/>
  <c r="AJ594" i="8"/>
  <c r="AJ582" i="8"/>
  <c r="AJ570" i="8"/>
  <c r="AJ558" i="8"/>
  <c r="AJ546" i="8"/>
  <c r="AJ534" i="8"/>
  <c r="AO736" i="8"/>
  <c r="AO628" i="8"/>
  <c r="AE899" i="8"/>
  <c r="AE851" i="8"/>
  <c r="AE803" i="8"/>
  <c r="AE719" i="8"/>
  <c r="AE635" i="8"/>
  <c r="AE611" i="8"/>
  <c r="AE599" i="8"/>
  <c r="AE587" i="8"/>
  <c r="AE563" i="8"/>
  <c r="AE551" i="8"/>
  <c r="AE539" i="8"/>
  <c r="AJ519" i="8"/>
  <c r="AJ507" i="8"/>
  <c r="AJ495" i="8"/>
  <c r="AJ483" i="8"/>
  <c r="AJ471" i="8"/>
  <c r="AJ459" i="8"/>
  <c r="AJ447" i="8"/>
  <c r="AJ435" i="8"/>
  <c r="AJ411" i="8"/>
  <c r="AJ399" i="8"/>
  <c r="AJ387" i="8"/>
  <c r="AJ375" i="8"/>
  <c r="AJ363" i="8"/>
  <c r="AJ351" i="8"/>
  <c r="AJ339" i="8"/>
  <c r="AJ327" i="8"/>
  <c r="AJ315" i="8"/>
  <c r="AJ279" i="8"/>
  <c r="AJ267" i="8"/>
  <c r="AJ255" i="8"/>
  <c r="AJ243" i="8"/>
  <c r="AJ231" i="8"/>
  <c r="AJ219" i="8"/>
  <c r="AJ195" i="8"/>
  <c r="AJ183" i="8"/>
  <c r="AJ159" i="8"/>
  <c r="AJ147" i="8"/>
  <c r="AJ135" i="8"/>
  <c r="AJ111" i="8"/>
  <c r="AJ87" i="8"/>
  <c r="AJ75" i="8"/>
  <c r="AJ51" i="8"/>
  <c r="AJ39" i="8"/>
  <c r="AJ1037" i="8"/>
  <c r="AJ1025" i="8"/>
  <c r="AJ1001" i="8"/>
  <c r="AJ989" i="8"/>
  <c r="AJ929" i="8"/>
  <c r="AJ905" i="8"/>
  <c r="AJ857" i="8"/>
  <c r="AJ797" i="8"/>
  <c r="AJ785" i="8"/>
  <c r="AJ749" i="8"/>
  <c r="AJ737" i="8"/>
  <c r="AJ713" i="8"/>
  <c r="AJ665" i="8"/>
  <c r="AJ653" i="8"/>
  <c r="AJ641" i="8"/>
  <c r="AJ617" i="8"/>
  <c r="AJ593" i="8"/>
  <c r="AJ557" i="8"/>
  <c r="AJ545" i="8"/>
  <c r="AO1011" i="8"/>
  <c r="AO735" i="8"/>
  <c r="AO687" i="8"/>
  <c r="AO627" i="8"/>
  <c r="AO579" i="8"/>
  <c r="AE327" i="8"/>
  <c r="AE315" i="8"/>
  <c r="AE183" i="8"/>
  <c r="AE171" i="8"/>
  <c r="AE123" i="8"/>
  <c r="AE39" i="8"/>
  <c r="AE893" i="8"/>
  <c r="AJ1036" i="8"/>
  <c r="AJ1024" i="8"/>
  <c r="AJ1012" i="8"/>
  <c r="AJ1000" i="8"/>
  <c r="AJ988" i="8"/>
  <c r="AJ976" i="8"/>
  <c r="AJ964" i="8"/>
  <c r="AJ952" i="8"/>
  <c r="AJ940" i="8"/>
  <c r="AJ928" i="8"/>
  <c r="AJ916" i="8"/>
  <c r="AJ904" i="8"/>
  <c r="AJ892" i="8"/>
  <c r="AJ880" i="8"/>
  <c r="AJ868" i="8"/>
  <c r="AJ856" i="8"/>
  <c r="AJ844" i="8"/>
  <c r="AJ832" i="8"/>
  <c r="AJ820" i="8"/>
  <c r="AJ808" i="8"/>
  <c r="AJ796" i="8"/>
  <c r="AJ784" i="8"/>
  <c r="AJ772" i="8"/>
  <c r="AJ760" i="8"/>
  <c r="AJ748" i="8"/>
  <c r="AJ736" i="8"/>
  <c r="AJ724" i="8"/>
  <c r="AJ712" i="8"/>
  <c r="AJ700" i="8"/>
  <c r="AJ688" i="8"/>
  <c r="AJ676" i="8"/>
  <c r="AJ664" i="8"/>
  <c r="AJ652" i="8"/>
  <c r="AJ640" i="8"/>
  <c r="AE1012" i="8"/>
  <c r="AE1041" i="8"/>
  <c r="AE1029" i="8"/>
  <c r="AE1017" i="8"/>
  <c r="AE1005" i="8"/>
  <c r="AE993" i="8"/>
  <c r="AE981" i="8"/>
  <c r="AE969" i="8"/>
  <c r="AE957" i="8"/>
  <c r="AE945" i="8"/>
  <c r="AE933" i="8"/>
  <c r="AE921" i="8"/>
  <c r="AE909" i="8"/>
  <c r="AE897" i="8"/>
  <c r="AE885" i="8"/>
  <c r="AE873" i="8"/>
  <c r="AE861" i="8"/>
  <c r="AE849" i="8"/>
  <c r="AE837" i="8"/>
  <c r="AE825" i="8"/>
  <c r="AE813" i="8"/>
  <c r="AE801" i="8"/>
  <c r="AE789" i="8"/>
  <c r="AE777" i="8"/>
  <c r="AE765" i="8"/>
  <c r="AE753" i="8"/>
  <c r="AE741" i="8"/>
  <c r="AE729" i="8"/>
  <c r="AE717" i="8"/>
  <c r="AE705" i="8"/>
  <c r="AE693" i="8"/>
  <c r="AE681" i="8"/>
  <c r="AE669" i="8"/>
  <c r="AE657" i="8"/>
  <c r="AE645" i="8"/>
  <c r="AE633" i="8"/>
  <c r="AE621" i="8"/>
  <c r="AE609" i="8"/>
  <c r="AE597" i="8"/>
  <c r="AE585" i="8"/>
  <c r="AE573" i="8"/>
  <c r="AE561" i="8"/>
  <c r="AE549" i="8"/>
  <c r="AE537" i="8"/>
  <c r="AE109" i="8"/>
  <c r="AE987" i="8"/>
  <c r="AE675" i="8"/>
  <c r="AE627" i="8"/>
  <c r="AE1040" i="8"/>
  <c r="AE1028" i="8"/>
  <c r="AE1016" i="8"/>
  <c r="AE1004" i="8"/>
  <c r="AE992" i="8"/>
  <c r="AE980" i="8"/>
  <c r="AE968" i="8"/>
  <c r="AE956" i="8"/>
  <c r="AE944" i="8"/>
  <c r="AE932" i="8"/>
  <c r="AE920" i="8"/>
  <c r="AE908" i="8"/>
  <c r="AE896" i="8"/>
  <c r="AE884" i="8"/>
  <c r="AE872" i="8"/>
  <c r="AE860" i="8"/>
  <c r="AE848" i="8"/>
  <c r="AE824" i="8"/>
  <c r="AE812" i="8"/>
  <c r="AE800" i="8"/>
  <c r="AE776" i="8"/>
  <c r="AE764" i="8"/>
  <c r="AE752" i="8"/>
  <c r="AE740" i="8"/>
  <c r="AE728" i="8"/>
  <c r="AE716" i="8"/>
  <c r="AE704" i="8"/>
  <c r="AE692" i="8"/>
  <c r="AE680" i="8"/>
  <c r="AE668" i="8"/>
  <c r="AE620" i="8"/>
  <c r="AE84" i="8"/>
  <c r="AE72" i="8"/>
  <c r="AE60" i="8"/>
  <c r="AE48" i="8"/>
  <c r="AE24" i="8"/>
  <c r="AE466" i="8"/>
  <c r="AE418" i="8"/>
  <c r="AE382" i="8"/>
  <c r="AE346" i="8"/>
  <c r="AE310" i="8"/>
  <c r="AE262" i="8"/>
  <c r="AE214" i="8"/>
  <c r="AE202" i="8"/>
  <c r="AE166" i="8"/>
  <c r="AE130" i="8"/>
  <c r="AE118" i="8"/>
  <c r="AE70" i="8"/>
  <c r="AE58" i="8"/>
  <c r="AE22" i="8"/>
  <c r="AO4" i="8"/>
  <c r="AO494" i="8"/>
  <c r="AO482" i="8"/>
  <c r="AO470" i="8"/>
  <c r="AO458" i="8"/>
  <c r="AO446" i="8"/>
  <c r="AO434" i="8"/>
  <c r="AO422" i="8"/>
  <c r="AO410" i="8"/>
  <c r="AO398" i="8"/>
  <c r="AO386" i="8"/>
  <c r="AO374" i="8"/>
  <c r="AO362" i="8"/>
  <c r="AO350" i="8"/>
  <c r="AO338" i="8"/>
  <c r="AO326" i="8"/>
  <c r="AO314" i="8"/>
  <c r="AO302" i="8"/>
  <c r="AO290" i="8"/>
  <c r="AO278" i="8"/>
  <c r="AO266" i="8"/>
  <c r="AO254" i="8"/>
  <c r="AO242" i="8"/>
  <c r="AO230" i="8"/>
  <c r="AO218" i="8"/>
  <c r="AO206" i="8"/>
  <c r="AO170" i="8"/>
  <c r="AO158" i="8"/>
  <c r="AO146" i="8"/>
  <c r="AO134" i="8"/>
  <c r="AO122" i="8"/>
  <c r="AO110" i="8"/>
  <c r="AO98" i="8"/>
  <c r="AO86" i="8"/>
  <c r="AO74" i="8"/>
  <c r="AO62" i="8"/>
  <c r="AO50" i="8"/>
  <c r="AO38" i="8"/>
  <c r="AO26" i="8"/>
  <c r="AO14" i="8"/>
  <c r="AE525" i="8"/>
  <c r="AE513" i="8"/>
  <c r="AE501" i="8"/>
  <c r="AE489" i="8"/>
  <c r="AE477" i="8"/>
  <c r="AE465" i="8"/>
  <c r="AE453" i="8"/>
  <c r="AE441" i="8"/>
  <c r="AE429" i="8"/>
  <c r="AE417" i="8"/>
  <c r="AE357" i="8"/>
  <c r="AE333" i="8"/>
  <c r="AE321" i="8"/>
  <c r="AE309" i="8"/>
  <c r="AE297" i="8"/>
  <c r="AE285" i="8"/>
  <c r="AE273" i="8"/>
  <c r="AE261" i="8"/>
  <c r="AE225" i="8"/>
  <c r="AE213" i="8"/>
  <c r="AE189" i="8"/>
  <c r="AE177" i="8"/>
  <c r="AE165" i="8"/>
  <c r="AE153" i="8"/>
  <c r="AE141" i="8"/>
  <c r="AE129" i="8"/>
  <c r="AE117" i="8"/>
  <c r="AE81" i="8"/>
  <c r="AE247" i="8"/>
  <c r="AE235" i="8"/>
  <c r="AE223" i="8"/>
  <c r="AO505" i="8"/>
  <c r="AO493" i="8"/>
  <c r="AO481" i="8"/>
  <c r="AO469" i="8"/>
  <c r="AO457" i="8"/>
  <c r="AO445" i="8"/>
  <c r="AO433" i="8"/>
  <c r="AO421" i="8"/>
  <c r="AO409" i="8"/>
  <c r="AO325" i="8"/>
  <c r="AO253" i="8"/>
  <c r="AO229" i="8"/>
  <c r="AO217" i="8"/>
  <c r="AO205" i="8"/>
  <c r="AO97" i="8"/>
  <c r="AE522" i="8"/>
  <c r="AE510" i="8"/>
  <c r="AE498" i="8"/>
  <c r="AE486" i="8"/>
  <c r="AE474" i="8"/>
  <c r="AE462" i="8"/>
  <c r="AE450" i="8"/>
  <c r="AE438" i="8"/>
  <c r="AE426" i="8"/>
  <c r="AE414" i="8"/>
  <c r="AE402" i="8"/>
  <c r="AE390" i="8"/>
  <c r="AE378" i="8"/>
  <c r="AE354" i="8"/>
  <c r="AE330" i="8"/>
  <c r="AE318" i="8"/>
  <c r="AE306" i="8"/>
  <c r="AE294" i="8"/>
  <c r="AE282" i="8"/>
  <c r="AE270" i="8"/>
  <c r="AE258" i="8"/>
  <c r="AE246" i="8"/>
  <c r="AE234" i="8"/>
  <c r="AE222" i="8"/>
  <c r="AE174" i="8"/>
  <c r="AE162" i="8"/>
  <c r="AE150" i="8"/>
  <c r="AE138" i="8"/>
  <c r="AE126" i="8"/>
  <c r="AE114" i="8"/>
  <c r="AE102" i="8"/>
  <c r="AE90" i="8"/>
  <c r="AE78" i="8"/>
  <c r="AE66" i="8"/>
  <c r="AE42" i="8"/>
  <c r="AE30" i="8"/>
  <c r="AE6" i="8"/>
  <c r="AE1042" i="8"/>
  <c r="AE1030" i="8"/>
  <c r="AE1006" i="8"/>
  <c r="AE982" i="8"/>
  <c r="AE970" i="8"/>
  <c r="AE958" i="8"/>
  <c r="AE910" i="8"/>
  <c r="AE898" i="8"/>
  <c r="AE886" i="8"/>
  <c r="AE874" i="8"/>
  <c r="AE862" i="8"/>
  <c r="AE850" i="8"/>
  <c r="AE838" i="8"/>
  <c r="AE814" i="8"/>
  <c r="AE610" i="8"/>
  <c r="AE598" i="8"/>
  <c r="AE562" i="8"/>
  <c r="AE550" i="8"/>
  <c r="AE519" i="8"/>
  <c r="AE483" i="8"/>
  <c r="AE471" i="8"/>
  <c r="AE435" i="8"/>
  <c r="AE423" i="8"/>
  <c r="AE399" i="8"/>
  <c r="AE387" i="8"/>
  <c r="AE375" i="8"/>
  <c r="AE363" i="8"/>
  <c r="AE351" i="8"/>
  <c r="AE339" i="8"/>
  <c r="AE291" i="8"/>
  <c r="AE267" i="8"/>
  <c r="AE255" i="8"/>
  <c r="AE243" i="8"/>
  <c r="AE231" i="8"/>
  <c r="AE219" i="8"/>
  <c r="AE207" i="8"/>
  <c r="AE195" i="8"/>
  <c r="AE111" i="8"/>
  <c r="AE99" i="8"/>
  <c r="AE87" i="8"/>
  <c r="AE75" i="8"/>
  <c r="AE63" i="8"/>
  <c r="AE51" i="8"/>
  <c r="AE27" i="8"/>
  <c r="AE847" i="8"/>
  <c r="AE703" i="8"/>
  <c r="AE655" i="8"/>
  <c r="AE1026" i="8"/>
  <c r="AE1014" i="8"/>
  <c r="AE1002" i="8"/>
  <c r="AE942" i="8"/>
  <c r="AE918" i="8"/>
  <c r="AE846" i="8"/>
  <c r="AE798" i="8"/>
  <c r="AE786" i="8"/>
  <c r="AE738" i="8"/>
  <c r="AE702" i="8"/>
  <c r="AE690" i="8"/>
  <c r="AE654" i="8"/>
  <c r="AE594" i="8"/>
  <c r="AE534" i="8"/>
  <c r="AE385" i="8"/>
  <c r="AE349" i="8"/>
  <c r="AE241" i="8"/>
  <c r="AE205" i="8"/>
  <c r="AE97" i="8"/>
  <c r="AE61" i="8"/>
  <c r="AE1013" i="8"/>
  <c r="AE749" i="8"/>
  <c r="AE689" i="8"/>
  <c r="AE526" i="8"/>
  <c r="AE516" i="8"/>
  <c r="AE492" i="8"/>
  <c r="AE468" i="8"/>
  <c r="AE456" i="8"/>
  <c r="AE444" i="8"/>
  <c r="AE432" i="8"/>
  <c r="AE420" i="8"/>
  <c r="AE408" i="8"/>
  <c r="AE396" i="8"/>
  <c r="AE324" i="8"/>
  <c r="AE288" i="8"/>
  <c r="AE276" i="8"/>
  <c r="AE252" i="8"/>
  <c r="AE180" i="8"/>
  <c r="AE156" i="8"/>
  <c r="AE132" i="8"/>
  <c r="AE120" i="8"/>
  <c r="AE108" i="8"/>
  <c r="AE96" i="8"/>
  <c r="AE36" i="8"/>
  <c r="AE521" i="8"/>
  <c r="AE509" i="8"/>
  <c r="AE497" i="8"/>
  <c r="AE485" i="8"/>
  <c r="AE473" i="8"/>
  <c r="AE461" i="8"/>
  <c r="AE449" i="8"/>
  <c r="AE437" i="8"/>
  <c r="AE425" i="8"/>
  <c r="AE413" i="8"/>
  <c r="AE401" i="8"/>
  <c r="AE389" i="8"/>
  <c r="AE377" i="8"/>
  <c r="AE365" i="8"/>
  <c r="AE353" i="8"/>
  <c r="AE341" i="8"/>
  <c r="AE317" i="8"/>
  <c r="AE305" i="8"/>
  <c r="AE293" i="8"/>
  <c r="AE281" i="8"/>
  <c r="AE269" i="8"/>
  <c r="AE257" i="8"/>
  <c r="AE245" i="8"/>
  <c r="AE233" i="8"/>
  <c r="AE221" i="8"/>
  <c r="AE197" i="8"/>
  <c r="AE161" i="8"/>
  <c r="AE149" i="8"/>
  <c r="AE137" i="8"/>
  <c r="AE125" i="8"/>
  <c r="AE113" i="8"/>
  <c r="AE101" i="8"/>
  <c r="AE89" i="8"/>
  <c r="AE77" i="8"/>
  <c r="AE17" i="8"/>
  <c r="AE5" i="8"/>
  <c r="AE1034" i="8"/>
  <c r="AE1022" i="8"/>
  <c r="AE1010" i="8"/>
  <c r="AE962" i="8"/>
  <c r="AE950" i="8"/>
  <c r="AE914" i="8"/>
  <c r="AE902" i="8"/>
  <c r="AE866" i="8"/>
  <c r="AE806" i="8"/>
  <c r="AE794" i="8"/>
  <c r="AE758" i="8"/>
  <c r="AE746" i="8"/>
  <c r="AE698" i="8"/>
  <c r="AE662" i="8"/>
  <c r="AE650" i="8"/>
  <c r="AE614" i="8"/>
  <c r="AE602" i="8"/>
  <c r="AE554" i="8"/>
  <c r="AO1037" i="8"/>
  <c r="AO1025" i="8"/>
  <c r="AO1013" i="8"/>
  <c r="AO989" i="8"/>
  <c r="AO977" i="8"/>
  <c r="AO965" i="8"/>
  <c r="AO941" i="8"/>
  <c r="AO929" i="8"/>
  <c r="AO917" i="8"/>
  <c r="AO893" i="8"/>
  <c r="AO881" i="8"/>
  <c r="AO869" i="8"/>
  <c r="AO845" i="8"/>
  <c r="AO833" i="8"/>
  <c r="AO821" i="8"/>
  <c r="AO797" i="8"/>
  <c r="AO785" i="8"/>
  <c r="AO773" i="8"/>
  <c r="AJ98" i="8"/>
  <c r="AO501" i="8"/>
  <c r="AO489" i="8"/>
  <c r="AO477" i="8"/>
  <c r="AO465" i="8"/>
  <c r="AO453" i="8"/>
  <c r="AO441" i="8"/>
  <c r="AO429" i="8"/>
  <c r="AO417" i="8"/>
  <c r="AO405" i="8"/>
  <c r="AO393" i="8"/>
  <c r="AO381" i="8"/>
  <c r="AO369" i="8"/>
  <c r="AO357" i="8"/>
  <c r="AO345" i="8"/>
  <c r="AO333" i="8"/>
  <c r="AO321" i="8"/>
  <c r="AO309" i="8"/>
  <c r="AO297" i="8"/>
  <c r="AO285" i="8"/>
  <c r="AO273" i="8"/>
  <c r="AO261" i="8"/>
  <c r="AO249" i="8"/>
  <c r="AO237" i="8"/>
  <c r="AO225" i="8"/>
  <c r="AO213" i="8"/>
  <c r="AO201" i="8"/>
  <c r="AO189" i="8"/>
  <c r="AO177" i="8"/>
  <c r="AO165" i="8"/>
  <c r="AO153" i="8"/>
  <c r="AO141" i="8"/>
  <c r="AO129" i="8"/>
  <c r="AO117" i="8"/>
  <c r="AO105" i="8"/>
  <c r="AO93" i="8"/>
  <c r="AO81" i="8"/>
  <c r="AO69" i="8"/>
  <c r="AO57" i="8"/>
  <c r="AO45" i="8"/>
  <c r="AO33" i="8"/>
  <c r="AO21" i="8"/>
  <c r="AO9" i="8"/>
  <c r="AE515" i="8"/>
  <c r="AE503" i="8"/>
  <c r="AE491" i="8"/>
  <c r="AE479" i="8"/>
  <c r="AE467" i="8"/>
  <c r="AE455" i="8"/>
  <c r="AE443" i="8"/>
  <c r="AE431" i="8"/>
  <c r="AE407" i="8"/>
  <c r="AE395" i="8"/>
  <c r="AE383" i="8"/>
  <c r="AE371" i="8"/>
  <c r="AE335" i="8"/>
  <c r="AE311" i="8"/>
  <c r="AE299" i="8"/>
  <c r="AE287" i="8"/>
  <c r="AE275" i="8"/>
  <c r="AE263" i="8"/>
  <c r="AE251" i="8"/>
  <c r="AE239" i="8"/>
  <c r="AE191" i="8"/>
  <c r="AE167" i="8"/>
  <c r="AE155" i="8"/>
  <c r="AE143" i="8"/>
  <c r="AE131" i="8"/>
  <c r="AE119" i="8"/>
  <c r="AE107" i="8"/>
  <c r="AE95" i="8"/>
  <c r="AE83" i="8"/>
  <c r="AE47" i="8"/>
  <c r="AE23" i="8"/>
  <c r="AE11" i="8"/>
  <c r="AE520" i="8"/>
  <c r="AE508" i="8"/>
  <c r="AE496" i="8"/>
  <c r="AE484" i="8"/>
  <c r="AE472" i="8"/>
  <c r="AE460" i="8"/>
  <c r="AE448" i="8"/>
  <c r="AE436" i="8"/>
  <c r="AE424" i="8"/>
  <c r="AE412" i="8"/>
  <c r="AE400" i="8"/>
  <c r="AE388" i="8"/>
  <c r="AE376" i="8"/>
  <c r="AE364" i="8"/>
  <c r="AE352" i="8"/>
  <c r="AE340" i="8"/>
  <c r="AE328" i="8"/>
  <c r="AE316" i="8"/>
  <c r="AE304" i="8"/>
  <c r="AE292" i="8"/>
  <c r="AE280" i="8"/>
  <c r="AE268" i="8"/>
  <c r="AE256" i="8"/>
  <c r="AE244" i="8"/>
  <c r="AE232" i="8"/>
  <c r="AE220" i="8"/>
  <c r="AE208" i="8"/>
  <c r="AE196" i="8"/>
  <c r="AE184" i="8"/>
  <c r="AE160" i="8"/>
  <c r="AE148" i="8"/>
  <c r="AE136" i="8"/>
  <c r="AE124" i="8"/>
  <c r="AE112" i="8"/>
  <c r="AE100" i="8"/>
  <c r="AE88" i="8"/>
  <c r="AE76" i="8"/>
  <c r="AE64" i="8"/>
  <c r="AE40" i="8"/>
  <c r="AE28" i="8"/>
  <c r="AE836" i="8"/>
  <c r="AE788" i="8"/>
  <c r="AE1045" i="8"/>
  <c r="AE1033" i="8"/>
  <c r="AE1021" i="8"/>
  <c r="AE1009" i="8"/>
  <c r="AE997" i="8"/>
  <c r="AE985" i="8"/>
  <c r="AE973" i="8"/>
  <c r="AE961" i="8"/>
  <c r="AE949" i="8"/>
  <c r="AE913" i="8"/>
  <c r="AE901" i="8"/>
  <c r="AE865" i="8"/>
  <c r="AE853" i="8"/>
  <c r="AE841" i="8"/>
  <c r="AE817" i="8"/>
  <c r="AE805" i="8"/>
  <c r="AE757" i="8"/>
  <c r="AE697" i="8"/>
  <c r="AE673" i="8"/>
  <c r="AE625" i="8"/>
  <c r="AE577" i="8"/>
  <c r="AE565" i="8"/>
  <c r="AE553" i="8"/>
  <c r="AE529" i="8"/>
  <c r="AJ1013" i="8"/>
  <c r="AJ977" i="8"/>
  <c r="AJ845" i="8"/>
  <c r="AJ1039" i="8"/>
  <c r="AJ1027" i="8"/>
  <c r="AJ1015" i="8"/>
  <c r="AJ1003" i="8"/>
  <c r="AJ991" i="8"/>
  <c r="AJ979" i="8"/>
  <c r="AJ967" i="8"/>
  <c r="AJ955" i="8"/>
  <c r="AJ943" i="8"/>
  <c r="AJ931" i="8"/>
  <c r="AJ919" i="8"/>
  <c r="AJ907" i="8"/>
  <c r="AJ895" i="8"/>
  <c r="AJ883" i="8"/>
  <c r="AJ871" i="8"/>
  <c r="AJ859" i="8"/>
  <c r="AJ847" i="8"/>
  <c r="AJ811" i="8"/>
  <c r="AJ763" i="8"/>
  <c r="AJ751" i="8"/>
  <c r="AJ715" i="8"/>
  <c r="AJ667" i="8"/>
  <c r="AJ655" i="8"/>
  <c r="AJ631" i="8"/>
  <c r="AJ535" i="8"/>
  <c r="AE718" i="8"/>
  <c r="AE670" i="8"/>
  <c r="AE646" i="8"/>
  <c r="AJ628" i="8"/>
  <c r="AJ616" i="8"/>
  <c r="AJ604" i="8"/>
  <c r="AJ592" i="8"/>
  <c r="AJ580" i="8"/>
  <c r="AJ568" i="8"/>
  <c r="AJ556" i="8"/>
  <c r="AJ544" i="8"/>
  <c r="AJ532" i="8"/>
  <c r="AE1039" i="8"/>
  <c r="AE1015" i="8"/>
  <c r="AE1003" i="8"/>
  <c r="AE991" i="8"/>
  <c r="AE979" i="8"/>
  <c r="AE967" i="8"/>
  <c r="AE955" i="8"/>
  <c r="AE943" i="8"/>
  <c r="AE931" i="8"/>
  <c r="AE919" i="8"/>
  <c r="AE907" i="8"/>
  <c r="AE895" i="8"/>
  <c r="AE883" i="8"/>
  <c r="AE871" i="8"/>
  <c r="AE859" i="8"/>
  <c r="AE835" i="8"/>
  <c r="AE823" i="8"/>
  <c r="AE811" i="8"/>
  <c r="AE799" i="8"/>
  <c r="AE787" i="8"/>
  <c r="AE775" i="8"/>
  <c r="AE763" i="8"/>
  <c r="AE751" i="8"/>
  <c r="AE739" i="8"/>
  <c r="AE727" i="8"/>
  <c r="AE715" i="8"/>
  <c r="AE691" i="8"/>
  <c r="AE679" i="8"/>
  <c r="AE667" i="8"/>
  <c r="AE69" i="8"/>
  <c r="AE45" i="8"/>
  <c r="AE33" i="8"/>
  <c r="AE21" i="8"/>
  <c r="AE9" i="8"/>
  <c r="AE894" i="8"/>
  <c r="AE750" i="8"/>
  <c r="AE606" i="8"/>
  <c r="AE1044" i="8"/>
  <c r="AE996" i="8"/>
  <c r="AE984" i="8"/>
  <c r="AE972" i="8"/>
  <c r="AE924" i="8"/>
  <c r="AE912" i="8"/>
  <c r="AE876" i="8"/>
  <c r="AE864" i="8"/>
  <c r="AE816" i="8"/>
  <c r="AE780" i="8"/>
  <c r="AE768" i="8"/>
  <c r="AE732" i="8"/>
  <c r="AE672" i="8"/>
  <c r="AE624" i="8"/>
  <c r="AE612" i="8"/>
  <c r="AE576" i="8"/>
  <c r="AE564" i="8"/>
  <c r="AE528" i="8"/>
  <c r="AE1037" i="8"/>
  <c r="AE1025" i="8"/>
  <c r="AE1001" i="8"/>
  <c r="AE989" i="8"/>
  <c r="AE977" i="8"/>
  <c r="AE965" i="8"/>
  <c r="AE953" i="8"/>
  <c r="AE941" i="8"/>
  <c r="AE929" i="8"/>
  <c r="AE917" i="8"/>
  <c r="AE905" i="8"/>
  <c r="AE881" i="8"/>
  <c r="AE869" i="8"/>
  <c r="AE857" i="8"/>
  <c r="AE845" i="8"/>
  <c r="AE833" i="8"/>
  <c r="AE821" i="8"/>
  <c r="AE809" i="8"/>
  <c r="AE797" i="8"/>
  <c r="AE785" i="8"/>
  <c r="AE773" i="8"/>
  <c r="AE761" i="8"/>
  <c r="AE737" i="8"/>
  <c r="AE725" i="8"/>
  <c r="AE713" i="8"/>
  <c r="AE701" i="8"/>
  <c r="AE677" i="8"/>
  <c r="AE665" i="8"/>
  <c r="AE653" i="8"/>
  <c r="AE641" i="8"/>
  <c r="AE629" i="8"/>
  <c r="AE617" i="8"/>
  <c r="AE605" i="8"/>
  <c r="AE593" i="8"/>
  <c r="AE581" i="8"/>
  <c r="AE569" i="8"/>
  <c r="AE557" i="8"/>
  <c r="AE545" i="8"/>
  <c r="AE533" i="8"/>
  <c r="AO1028" i="8"/>
  <c r="AE199" i="8"/>
  <c r="AE187" i="8"/>
  <c r="AE163" i="8"/>
  <c r="AE151" i="8"/>
  <c r="AE139" i="8"/>
  <c r="AE127" i="8"/>
  <c r="AE115" i="8"/>
  <c r="AE103" i="8"/>
  <c r="AE67" i="8"/>
  <c r="AE43" i="8"/>
  <c r="AE31" i="8"/>
  <c r="AE19" i="8"/>
  <c r="AE7" i="8"/>
  <c r="AE947" i="8"/>
  <c r="AE923" i="8"/>
  <c r="AE911" i="8"/>
  <c r="AE887" i="8"/>
  <c r="AE875" i="8"/>
  <c r="AE863" i="8"/>
  <c r="AE839" i="8"/>
  <c r="AE827" i="8"/>
  <c r="AE779" i="8"/>
  <c r="AE767" i="8"/>
  <c r="AE755" i="8"/>
  <c r="AE743" i="8"/>
  <c r="AE731" i="8"/>
  <c r="AE707" i="8"/>
  <c r="AE695" i="8"/>
  <c r="AE683" i="8"/>
  <c r="AE659" i="8"/>
  <c r="AE623" i="8"/>
  <c r="AE575" i="8"/>
  <c r="AE1000" i="8"/>
  <c r="AE988" i="8"/>
  <c r="AJ1028" i="8"/>
  <c r="AJ1016" i="8"/>
  <c r="AJ992" i="8"/>
  <c r="AJ956" i="8"/>
  <c r="AJ932" i="8"/>
  <c r="AJ884" i="8"/>
  <c r="AJ872" i="8"/>
  <c r="AJ860" i="8"/>
  <c r="AJ836" i="8"/>
  <c r="AJ824" i="8"/>
  <c r="AJ788" i="8"/>
  <c r="AJ776" i="8"/>
  <c r="AJ740" i="8"/>
  <c r="AJ704" i="8"/>
  <c r="AJ692" i="8"/>
  <c r="AJ680" i="8"/>
  <c r="AJ656" i="8"/>
  <c r="AJ644" i="8"/>
  <c r="AJ620" i="8"/>
  <c r="AJ608" i="8"/>
  <c r="AJ596" i="8"/>
  <c r="AJ972" i="8"/>
  <c r="AE1035" i="8"/>
  <c r="AE1023" i="8"/>
  <c r="AE975" i="8"/>
  <c r="AE963" i="8"/>
  <c r="AE951" i="8"/>
  <c r="AE915" i="8"/>
  <c r="AE903" i="8"/>
  <c r="AE855" i="8"/>
  <c r="AE819" i="8"/>
  <c r="AE807" i="8"/>
  <c r="AE771" i="8"/>
  <c r="AE759" i="8"/>
  <c r="AE711" i="8"/>
  <c r="AE663" i="8"/>
  <c r="AE651" i="8"/>
  <c r="AE615" i="8"/>
  <c r="AE603" i="8"/>
  <c r="AE567" i="8"/>
  <c r="AE543" i="8"/>
  <c r="AE531" i="8"/>
  <c r="AO1038" i="8"/>
  <c r="AO1026" i="8"/>
  <c r="AO990" i="8"/>
  <c r="AO978" i="8"/>
  <c r="AO942" i="8"/>
  <c r="AO930" i="8"/>
  <c r="AO894" i="8"/>
  <c r="AO882" i="8"/>
  <c r="AO846" i="8"/>
  <c r="AO834" i="8"/>
  <c r="AO798" i="8"/>
  <c r="AO786" i="8"/>
  <c r="AO750" i="8"/>
  <c r="AO738" i="8"/>
  <c r="AO702" i="8"/>
  <c r="AO690" i="8"/>
  <c r="AO642" i="8"/>
  <c r="AO606" i="8"/>
  <c r="AE632" i="8"/>
  <c r="AE608" i="8"/>
  <c r="AJ1018" i="8"/>
  <c r="AJ982" i="8"/>
  <c r="AJ970" i="8"/>
  <c r="AJ958" i="8"/>
  <c r="AJ934" i="8"/>
  <c r="AJ922" i="8"/>
  <c r="AJ898" i="8"/>
  <c r="AJ874" i="8"/>
  <c r="AJ862" i="8"/>
  <c r="AJ838" i="8"/>
  <c r="AJ826" i="8"/>
  <c r="AJ790" i="8"/>
  <c r="AJ766" i="8"/>
  <c r="AJ742" i="8"/>
  <c r="AJ730" i="8"/>
  <c r="AJ718" i="8"/>
  <c r="AJ694" i="8"/>
  <c r="AJ670" i="8"/>
  <c r="AJ646" i="8"/>
  <c r="AJ634" i="8"/>
  <c r="AJ622" i="8"/>
  <c r="AJ598" i="8"/>
  <c r="AJ574" i="8"/>
  <c r="AJ550" i="8"/>
  <c r="AJ538" i="8"/>
  <c r="AJ818" i="8"/>
  <c r="AJ782" i="8"/>
  <c r="AO1000" i="8"/>
  <c r="AO952" i="8"/>
  <c r="AO904" i="8"/>
  <c r="AO856" i="8"/>
  <c r="AO808" i="8"/>
  <c r="AO760" i="8"/>
  <c r="AO712" i="8"/>
  <c r="AO664" i="8"/>
  <c r="AO616" i="8"/>
  <c r="AO568" i="8"/>
  <c r="AO520" i="8"/>
  <c r="AE643" i="8"/>
  <c r="AE631" i="8"/>
  <c r="AE619" i="8"/>
  <c r="AE607" i="8"/>
  <c r="AE595" i="8"/>
  <c r="AE583" i="8"/>
  <c r="AE571" i="8"/>
  <c r="AE559" i="8"/>
  <c r="AE535" i="8"/>
  <c r="AO1035" i="8"/>
  <c r="AO999" i="8"/>
  <c r="AO987" i="8"/>
  <c r="AO951" i="8"/>
  <c r="AO939" i="8"/>
  <c r="AO903" i="8"/>
  <c r="AO891" i="8"/>
  <c r="AO855" i="8"/>
  <c r="AO843" i="8"/>
  <c r="AO807" i="8"/>
  <c r="AO795" i="8"/>
  <c r="AO759" i="8"/>
  <c r="AO747" i="8"/>
  <c r="AO711" i="8"/>
  <c r="AO699" i="8"/>
  <c r="AO663" i="8"/>
  <c r="AO651" i="8"/>
  <c r="AO615" i="8"/>
  <c r="AO603" i="8"/>
  <c r="AO567" i="8"/>
  <c r="AO555" i="8"/>
  <c r="AO519" i="8"/>
  <c r="AO507" i="8"/>
  <c r="AT1012" i="8"/>
  <c r="AT1000" i="8"/>
  <c r="AT988" i="8"/>
  <c r="AT976" i="8"/>
  <c r="AT964" i="8"/>
  <c r="AT952" i="8"/>
  <c r="AT940" i="8"/>
  <c r="AT1034" i="8"/>
  <c r="AT1022" i="8"/>
  <c r="AT1010" i="8"/>
  <c r="AT998" i="8"/>
  <c r="AT986" i="8"/>
  <c r="AT974" i="8"/>
  <c r="AT962" i="8"/>
  <c r="AT950" i="8"/>
  <c r="AT938" i="8"/>
  <c r="AT926" i="8"/>
  <c r="AT914" i="8"/>
  <c r="AT902" i="8"/>
  <c r="AT890" i="8"/>
  <c r="AT878" i="8"/>
  <c r="AT866" i="8"/>
  <c r="AT854" i="8"/>
  <c r="AT842" i="8"/>
  <c r="AT830" i="8"/>
  <c r="AT818" i="8"/>
  <c r="AT806" i="8"/>
  <c r="AT794" i="8"/>
  <c r="AO1046" i="8"/>
  <c r="AP1046" i="8" s="1"/>
  <c r="AO1034" i="8"/>
  <c r="AO1022" i="8"/>
  <c r="AO1010" i="8"/>
  <c r="AO998" i="8"/>
  <c r="AO986" i="8"/>
  <c r="AO974" i="8"/>
  <c r="AO962" i="8"/>
  <c r="AO950" i="8"/>
  <c r="AO938" i="8"/>
  <c r="AO926" i="8"/>
  <c r="AO914" i="8"/>
  <c r="AO902" i="8"/>
  <c r="AO890" i="8"/>
  <c r="AO878" i="8"/>
  <c r="AO866" i="8"/>
  <c r="AO854" i="8"/>
  <c r="AO842" i="8"/>
  <c r="AO830" i="8"/>
  <c r="AO818" i="8"/>
  <c r="AO806" i="8"/>
  <c r="AO794" i="8"/>
  <c r="AO782" i="8"/>
  <c r="AO770" i="8"/>
  <c r="AO758" i="8"/>
  <c r="AO746" i="8"/>
  <c r="AO734" i="8"/>
  <c r="AO722" i="8"/>
  <c r="AO710" i="8"/>
  <c r="AO698" i="8"/>
  <c r="AO686" i="8"/>
  <c r="AO674" i="8"/>
  <c r="AO662" i="8"/>
  <c r="AO650" i="8"/>
  <c r="AO638" i="8"/>
  <c r="AO626" i="8"/>
  <c r="AO614" i="8"/>
  <c r="AO602" i="8"/>
  <c r="AO590" i="8"/>
  <c r="AO578" i="8"/>
  <c r="AO566" i="8"/>
  <c r="AO554" i="8"/>
  <c r="AO542" i="8"/>
  <c r="AO530" i="8"/>
  <c r="AO518" i="8"/>
  <c r="AO541" i="8"/>
  <c r="AO517" i="8"/>
  <c r="AT1032" i="8"/>
  <c r="AT924" i="8"/>
  <c r="AT516" i="8"/>
  <c r="AT468" i="8"/>
  <c r="AT360" i="8"/>
  <c r="AT1043" i="8"/>
  <c r="AT1031" i="8"/>
  <c r="AT1019" i="8"/>
  <c r="AT1007" i="8"/>
  <c r="AO923" i="8"/>
  <c r="AO911" i="8"/>
  <c r="AO899" i="8"/>
  <c r="AO887" i="8"/>
  <c r="AO875" i="8"/>
  <c r="AO863" i="8"/>
  <c r="AO851" i="8"/>
  <c r="AO839" i="8"/>
  <c r="AO827" i="8"/>
  <c r="AO815" i="8"/>
  <c r="AO803" i="8"/>
  <c r="AO791" i="8"/>
  <c r="AO779" i="8"/>
  <c r="AO767" i="8"/>
  <c r="AO755" i="8"/>
  <c r="AO743" i="8"/>
  <c r="AO731" i="8"/>
  <c r="AO719" i="8"/>
  <c r="AO707" i="8"/>
  <c r="AO695" i="8"/>
  <c r="AO683" i="8"/>
  <c r="AO671" i="8"/>
  <c r="AO659" i="8"/>
  <c r="AO647" i="8"/>
  <c r="AO635" i="8"/>
  <c r="AO623" i="8"/>
  <c r="AO611" i="8"/>
  <c r="AO599" i="8"/>
  <c r="AO587" i="8"/>
  <c r="AO575" i="8"/>
  <c r="AO563" i="8"/>
  <c r="AO551" i="8"/>
  <c r="AO539" i="8"/>
  <c r="AO527" i="8"/>
  <c r="AO515" i="8"/>
  <c r="AT898" i="8"/>
  <c r="AT574" i="8"/>
  <c r="AT454" i="8"/>
  <c r="AT406" i="8"/>
  <c r="AO610" i="8"/>
  <c r="AO1041" i="8"/>
  <c r="AO993" i="8"/>
  <c r="AO957" i="8"/>
  <c r="AO945" i="8"/>
  <c r="AO909" i="8"/>
  <c r="AO897" i="8"/>
  <c r="AO849" i="8"/>
  <c r="AO813" i="8"/>
  <c r="AO765" i="8"/>
  <c r="AO753" i="8"/>
  <c r="AO705" i="8"/>
  <c r="AO669" i="8"/>
  <c r="AO657" i="8"/>
  <c r="AO621" i="8"/>
  <c r="AO609" i="8"/>
  <c r="AO561" i="8"/>
  <c r="AO525" i="8"/>
  <c r="AT848" i="8"/>
  <c r="AT824" i="8"/>
  <c r="AT812" i="8"/>
  <c r="AT464" i="8"/>
  <c r="AT392" i="8"/>
  <c r="AT380" i="8"/>
  <c r="AT308" i="8"/>
  <c r="AT284" i="8"/>
  <c r="AT248" i="8"/>
  <c r="AT236" i="8"/>
  <c r="AT164" i="8"/>
  <c r="AT140" i="8"/>
  <c r="AT104" i="8"/>
  <c r="AT92" i="8"/>
  <c r="AT20" i="8"/>
  <c r="AO788" i="8"/>
  <c r="AO764" i="8"/>
  <c r="AO716" i="8"/>
  <c r="AO692" i="8"/>
  <c r="AO668" i="8"/>
  <c r="AO644" i="8"/>
  <c r="AO572" i="8"/>
  <c r="AO548" i="8"/>
  <c r="AO524" i="8"/>
  <c r="AO667" i="8"/>
  <c r="AO1014" i="8"/>
  <c r="AO1002" i="8"/>
  <c r="AO966" i="8"/>
  <c r="AO954" i="8"/>
  <c r="AO918" i="8"/>
  <c r="AO906" i="8"/>
  <c r="AO870" i="8"/>
  <c r="AO858" i="8"/>
  <c r="AO822" i="8"/>
  <c r="AO810" i="8"/>
  <c r="AO774" i="8"/>
  <c r="AO762" i="8"/>
  <c r="AO726" i="8"/>
  <c r="AO714" i="8"/>
  <c r="AO678" i="8"/>
  <c r="AO666" i="8"/>
  <c r="AO630" i="8"/>
  <c r="AO618" i="8"/>
  <c r="AO582" i="8"/>
  <c r="AO570" i="8"/>
  <c r="AO534" i="8"/>
  <c r="AO522" i="8"/>
  <c r="AO1001" i="8"/>
  <c r="AO953" i="8"/>
  <c r="AO905" i="8"/>
  <c r="AO857" i="8"/>
  <c r="AO809" i="8"/>
  <c r="AO761" i="8"/>
  <c r="AO713" i="8"/>
  <c r="AO665" i="8"/>
  <c r="AO617" i="8"/>
  <c r="AO569" i="8"/>
  <c r="AO521" i="8"/>
  <c r="AT995" i="8"/>
  <c r="AT983" i="8"/>
  <c r="AT971" i="8"/>
  <c r="AT959" i="8"/>
  <c r="AT947" i="8"/>
  <c r="AT935" i="8"/>
  <c r="AT923" i="8"/>
  <c r="AT911" i="8"/>
  <c r="AT899" i="8"/>
  <c r="AT887" i="8"/>
  <c r="AT875" i="8"/>
  <c r="AT863" i="8"/>
  <c r="AT851" i="8"/>
  <c r="AT839" i="8"/>
  <c r="AT827" i="8"/>
  <c r="AT815" i="8"/>
  <c r="AT803" i="8"/>
  <c r="AT791" i="8"/>
  <c r="AT779" i="8"/>
  <c r="AT767" i="8"/>
  <c r="AT755" i="8"/>
  <c r="AT743" i="8"/>
  <c r="AT731" i="8"/>
  <c r="AT719" i="8"/>
  <c r="AT707" i="8"/>
  <c r="AT695" i="8"/>
  <c r="AT683" i="8"/>
  <c r="AT671" i="8"/>
  <c r="AT659" i="8"/>
  <c r="AT647" i="8"/>
  <c r="AT635" i="8"/>
  <c r="AT623" i="8"/>
  <c r="AT611" i="8"/>
  <c r="AT599" i="8"/>
  <c r="AT587" i="8"/>
  <c r="AT575" i="8"/>
  <c r="AT563" i="8"/>
  <c r="AT551" i="8"/>
  <c r="AT539" i="8"/>
  <c r="AT527" i="8"/>
  <c r="AT515" i="8"/>
  <c r="AT503" i="8"/>
  <c r="AT491" i="8"/>
  <c r="AT479" i="8"/>
  <c r="AT467" i="8"/>
  <c r="AT455" i="8"/>
  <c r="AT443" i="8"/>
  <c r="AT431" i="8"/>
  <c r="AT419" i="8"/>
  <c r="AT407" i="8"/>
  <c r="AT395" i="8"/>
  <c r="AT383" i="8"/>
  <c r="AT371" i="8"/>
  <c r="AT359" i="8"/>
  <c r="AT347" i="8"/>
  <c r="AT335" i="8"/>
  <c r="AT323" i="8"/>
  <c r="AT311" i="8"/>
  <c r="AT299" i="8"/>
  <c r="AT287" i="8"/>
  <c r="AT275" i="8"/>
  <c r="AT263" i="8"/>
  <c r="AT251" i="8"/>
  <c r="AT239" i="8"/>
  <c r="AT227" i="8"/>
  <c r="AT215" i="8"/>
  <c r="AT203" i="8"/>
  <c r="AT191" i="8"/>
  <c r="AT179" i="8"/>
  <c r="AT167" i="8"/>
  <c r="AT155" i="8"/>
  <c r="AT143" i="8"/>
  <c r="AT131" i="8"/>
  <c r="AT119" i="8"/>
  <c r="AT107" i="8"/>
  <c r="AT95" i="8"/>
  <c r="AT83" i="8"/>
  <c r="AT71" i="8"/>
  <c r="AT59" i="8"/>
  <c r="AT47" i="8"/>
  <c r="AT35" i="8"/>
  <c r="AT23" i="8"/>
  <c r="AT11" i="8"/>
  <c r="AT466" i="8"/>
  <c r="AT442" i="8"/>
  <c r="AT430" i="8"/>
  <c r="AT418" i="8"/>
  <c r="AT394" i="8"/>
  <c r="AT370" i="8"/>
  <c r="AT358" i="8"/>
  <c r="AT346" i="8"/>
  <c r="AT334" i="8"/>
  <c r="AT310" i="8"/>
  <c r="AT298" i="8"/>
  <c r="AT286" i="8"/>
  <c r="AT274" i="8"/>
  <c r="AT262" i="8"/>
  <c r="AT238" i="8"/>
  <c r="AT226" i="8"/>
  <c r="AT214" i="8"/>
  <c r="AT202" i="8"/>
  <c r="AT166" i="8"/>
  <c r="AT154" i="8"/>
  <c r="AT142" i="8"/>
  <c r="AT130" i="8"/>
  <c r="AT118" i="8"/>
  <c r="AT94" i="8"/>
  <c r="AT82" i="8"/>
  <c r="AT70" i="8"/>
  <c r="AT58" i="8"/>
  <c r="AT34" i="8"/>
  <c r="AT22" i="8"/>
  <c r="AT10" i="8"/>
  <c r="AT705" i="8"/>
  <c r="AT693" i="8"/>
  <c r="AT669" i="8"/>
  <c r="AT657" i="8"/>
  <c r="AT633" i="8"/>
  <c r="AT621" i="8"/>
  <c r="AT597" i="8"/>
  <c r="AT585" i="8"/>
  <c r="AT561" i="8"/>
  <c r="AT788" i="8"/>
  <c r="AT776" i="8"/>
  <c r="AT752" i="8"/>
  <c r="AT740" i="8"/>
  <c r="AT716" i="8"/>
  <c r="AT704" i="8"/>
  <c r="AT680" i="8"/>
  <c r="AT668" i="8"/>
  <c r="AT644" i="8"/>
  <c r="AT632" i="8"/>
  <c r="AT608" i="8"/>
  <c r="AT596" i="8"/>
  <c r="AT572" i="8"/>
  <c r="AT560" i="8"/>
  <c r="AT548" i="8"/>
  <c r="AT512" i="8"/>
  <c r="AT500" i="8"/>
  <c r="AT476" i="8"/>
  <c r="AT440" i="8"/>
  <c r="AT416" i="8"/>
  <c r="AT404" i="8"/>
  <c r="AT356" i="8"/>
  <c r="AT332" i="8"/>
  <c r="AT296" i="8"/>
  <c r="AT272" i="8"/>
  <c r="AT224" i="8"/>
  <c r="AT212" i="8"/>
  <c r="AT188" i="8"/>
  <c r="AT152" i="8"/>
  <c r="AT128" i="8"/>
  <c r="AT80" i="8"/>
  <c r="AT68" i="8"/>
  <c r="AT44" i="8"/>
  <c r="AT8" i="8"/>
  <c r="AT845" i="8"/>
  <c r="AT833" i="8"/>
  <c r="AT821" i="8"/>
  <c r="AT809" i="8"/>
  <c r="AT797" i="8"/>
  <c r="AT785" i="8"/>
  <c r="AT773" i="8"/>
  <c r="AT761" i="8"/>
  <c r="AT749" i="8"/>
  <c r="AT737" i="8"/>
  <c r="AT725" i="8"/>
  <c r="AT713" i="8"/>
  <c r="AT701" i="8"/>
  <c r="AT497" i="8"/>
  <c r="AT485" i="8"/>
  <c r="AT449" i="8"/>
  <c r="AT425" i="8"/>
  <c r="AT353" i="8"/>
  <c r="AT782" i="8"/>
  <c r="AT770" i="8"/>
  <c r="AT758" i="8"/>
  <c r="AT746" i="8"/>
  <c r="AT734" i="8"/>
  <c r="AT722" i="8"/>
  <c r="AT710" i="8"/>
  <c r="AT698" i="8"/>
  <c r="AT686" i="8"/>
  <c r="AT674" i="8"/>
  <c r="AT662" i="8"/>
  <c r="AT650" i="8"/>
  <c r="AT638" i="8"/>
  <c r="AT626" i="8"/>
  <c r="AT614" i="8"/>
  <c r="AT602" i="8"/>
  <c r="AT590" i="8"/>
  <c r="AT578" i="8"/>
  <c r="AT566" i="8"/>
  <c r="AT554" i="8"/>
  <c r="AT542" i="8"/>
  <c r="AT530" i="8"/>
  <c r="AT518" i="8"/>
  <c r="AT506" i="8"/>
  <c r="AT494" i="8"/>
  <c r="AT482" i="8"/>
  <c r="AT470" i="8"/>
  <c r="AT458" i="8"/>
  <c r="AT984" i="8"/>
  <c r="AT888" i="8"/>
  <c r="AJ4" i="8"/>
  <c r="E49" i="1"/>
  <c r="AE1036" i="8"/>
  <c r="AE1024" i="8"/>
  <c r="AE976" i="8"/>
  <c r="AE964" i="8"/>
  <c r="AE952" i="8"/>
  <c r="AE940" i="8"/>
  <c r="AE928" i="8"/>
  <c r="AE916" i="8"/>
  <c r="AE904" i="8"/>
  <c r="AE892" i="8"/>
  <c r="AE880" i="8"/>
  <c r="AE868" i="8"/>
  <c r="AE856" i="8"/>
  <c r="AE844" i="8"/>
  <c r="AE832" i="8"/>
  <c r="AE820" i="8"/>
  <c r="AE518" i="8"/>
  <c r="AE506" i="8"/>
  <c r="AE494" i="8"/>
  <c r="AE482" i="8"/>
  <c r="AE470" i="8"/>
  <c r="AE458" i="8"/>
  <c r="AE446" i="8"/>
  <c r="AE434" i="8"/>
  <c r="AE422" i="8"/>
  <c r="AE359" i="8"/>
  <c r="AE347" i="8"/>
  <c r="AE323" i="8"/>
  <c r="AE215" i="8"/>
  <c r="AE203" i="8"/>
  <c r="AE179" i="8"/>
  <c r="AE867" i="8"/>
  <c r="AE843" i="8"/>
  <c r="AE723" i="8"/>
  <c r="AE699" i="8"/>
  <c r="AE579" i="8"/>
  <c r="AE555" i="8"/>
  <c r="AJ915" i="8"/>
  <c r="AJ891" i="8"/>
  <c r="AJ843" i="8"/>
  <c r="AJ603" i="8"/>
  <c r="AE410" i="8"/>
  <c r="AE398" i="8"/>
  <c r="AE386" i="8"/>
  <c r="AE374" i="8"/>
  <c r="AE362" i="8"/>
  <c r="AE350" i="8"/>
  <c r="AE338" i="8"/>
  <c r="AE326" i="8"/>
  <c r="AE314" i="8"/>
  <c r="AE302" i="8"/>
  <c r="AE290" i="8"/>
  <c r="AE278" i="8"/>
  <c r="AE266" i="8"/>
  <c r="AE254" i="8"/>
  <c r="AE242" i="8"/>
  <c r="AE230" i="8"/>
  <c r="AE218" i="8"/>
  <c r="AE206" i="8"/>
  <c r="AE194" i="8"/>
  <c r="AE182" i="8"/>
  <c r="AE170" i="8"/>
  <c r="AE158" i="8"/>
  <c r="AE146" i="8"/>
  <c r="AE134" i="8"/>
  <c r="AE122" i="8"/>
  <c r="AE110" i="8"/>
  <c r="AE98" i="8"/>
  <c r="AE86" i="8"/>
  <c r="AE74" i="8"/>
  <c r="AE62" i="8"/>
  <c r="AE50" i="8"/>
  <c r="AE38" i="8"/>
  <c r="AE26" i="8"/>
  <c r="AE14" i="8"/>
  <c r="AE854" i="8"/>
  <c r="AE830" i="8"/>
  <c r="AE710" i="8"/>
  <c r="AE686" i="8"/>
  <c r="AE566" i="8"/>
  <c r="AE542" i="8"/>
  <c r="AJ1046" i="8"/>
  <c r="AK1046" i="8" s="1"/>
  <c r="AJ1034" i="8"/>
  <c r="AJ1022" i="8"/>
  <c r="AJ1010" i="8"/>
  <c r="AJ986" i="8"/>
  <c r="AJ962" i="8"/>
  <c r="AJ926" i="8"/>
  <c r="AJ914" i="8"/>
  <c r="AJ866" i="8"/>
  <c r="AJ854" i="8"/>
  <c r="AJ830" i="8"/>
  <c r="AJ806" i="8"/>
  <c r="AJ770" i="8"/>
  <c r="AJ758" i="8"/>
  <c r="AJ746" i="8"/>
  <c r="AJ734" i="8"/>
  <c r="AJ710" i="8"/>
  <c r="AJ674" i="8"/>
  <c r="AJ662" i="8"/>
  <c r="AJ650" i="8"/>
  <c r="AJ638" i="8"/>
  <c r="AJ614" i="8"/>
  <c r="AJ578" i="8"/>
  <c r="AJ566" i="8"/>
  <c r="AJ542" i="8"/>
  <c r="AO495" i="8"/>
  <c r="AO483" i="8"/>
  <c r="AO471" i="8"/>
  <c r="AO459" i="8"/>
  <c r="AO447" i="8"/>
  <c r="AO435" i="8"/>
  <c r="AO423" i="8"/>
  <c r="AO411" i="8"/>
  <c r="AO399" i="8"/>
  <c r="AO387" i="8"/>
  <c r="AO375" i="8"/>
  <c r="AO363" i="8"/>
  <c r="AO351" i="8"/>
  <c r="AO339" i="8"/>
  <c r="AO327" i="8"/>
  <c r="AO315" i="8"/>
  <c r="AO303" i="8"/>
  <c r="AO291" i="8"/>
  <c r="AO279" i="8"/>
  <c r="AO267" i="8"/>
  <c r="AO255" i="8"/>
  <c r="AO243" i="8"/>
  <c r="AO231" i="8"/>
  <c r="AO219" i="8"/>
  <c r="AO207" i="8"/>
  <c r="AO195" i="8"/>
  <c r="AO183" i="8"/>
  <c r="AO171" i="8"/>
  <c r="AO159" i="8"/>
  <c r="AO147" i="8"/>
  <c r="AO135" i="8"/>
  <c r="AO123" i="8"/>
  <c r="AO111" i="8"/>
  <c r="AO99" i="8"/>
  <c r="AO87" i="8"/>
  <c r="AO75" i="8"/>
  <c r="AO63" i="8"/>
  <c r="AO51" i="8"/>
  <c r="AO39" i="8"/>
  <c r="AO27" i="8"/>
  <c r="AO15" i="8"/>
  <c r="AO1045" i="8"/>
  <c r="AO1021" i="8"/>
  <c r="AO997" i="8"/>
  <c r="AO973" i="8"/>
  <c r="AO949" i="8"/>
  <c r="AO925" i="8"/>
  <c r="AO901" i="8"/>
  <c r="AO829" i="8"/>
  <c r="AO805" i="8"/>
  <c r="AO781" i="8"/>
  <c r="AO757" i="8"/>
  <c r="AO733" i="8"/>
  <c r="AO709" i="8"/>
  <c r="AO685" i="8"/>
  <c r="AO661" i="8"/>
  <c r="AO637" i="8"/>
  <c r="AO613" i="8"/>
  <c r="AE948" i="8"/>
  <c r="AE828" i="8"/>
  <c r="AE804" i="8"/>
  <c r="AE684" i="8"/>
  <c r="AE660" i="8"/>
  <c r="AE540" i="8"/>
  <c r="AJ1044" i="8"/>
  <c r="AJ1032" i="8"/>
  <c r="AJ1020" i="8"/>
  <c r="AJ1008" i="8"/>
  <c r="AJ996" i="8"/>
  <c r="AJ984" i="8"/>
  <c r="AJ960" i="8"/>
  <c r="AO397" i="8"/>
  <c r="AO385" i="8"/>
  <c r="AO373" i="8"/>
  <c r="AO277" i="8"/>
  <c r="AO265" i="8"/>
  <c r="AO241" i="8"/>
  <c r="AO169" i="8"/>
  <c r="AO157" i="8"/>
  <c r="AO145" i="8"/>
  <c r="AO133" i="8"/>
  <c r="AO121" i="8"/>
  <c r="AO49" i="8"/>
  <c r="AO37" i="8"/>
  <c r="AO25" i="8"/>
  <c r="AE1043" i="8"/>
  <c r="AE1031" i="8"/>
  <c r="AE1019" i="8"/>
  <c r="AE1007" i="8"/>
  <c r="AE995" i="8"/>
  <c r="AE983" i="8"/>
  <c r="AE971" i="8"/>
  <c r="AE959" i="8"/>
  <c r="AE935" i="8"/>
  <c r="AE815" i="8"/>
  <c r="AE791" i="8"/>
  <c r="AE671" i="8"/>
  <c r="AE647" i="8"/>
  <c r="AE527" i="8"/>
  <c r="AE946" i="8"/>
  <c r="AE922" i="8"/>
  <c r="AE802" i="8"/>
  <c r="AE778" i="8"/>
  <c r="AE658" i="8"/>
  <c r="AE634" i="8"/>
  <c r="AJ1030" i="8"/>
  <c r="AJ1006" i="8"/>
  <c r="AJ994" i="8"/>
  <c r="AJ910" i="8"/>
  <c r="AJ850" i="8"/>
  <c r="AJ802" i="8"/>
  <c r="AJ754" i="8"/>
  <c r="AJ706" i="8"/>
  <c r="AJ658" i="8"/>
  <c r="AJ610" i="8"/>
  <c r="AJ562" i="8"/>
  <c r="AO1039" i="8"/>
  <c r="AO1027" i="8"/>
  <c r="AO1015" i="8"/>
  <c r="AO1003" i="8"/>
  <c r="AO991" i="8"/>
  <c r="AO979" i="8"/>
  <c r="AO967" i="8"/>
  <c r="AO955" i="8"/>
  <c r="AO943" i="8"/>
  <c r="AO931" i="8"/>
  <c r="AO919" i="8"/>
  <c r="AO907" i="8"/>
  <c r="AO895" i="8"/>
  <c r="AO883" i="8"/>
  <c r="AO871" i="8"/>
  <c r="AO859" i="8"/>
  <c r="AO847" i="8"/>
  <c r="AO835" i="8"/>
  <c r="AO823" i="8"/>
  <c r="AO811" i="8"/>
  <c r="AO799" i="8"/>
  <c r="AO787" i="8"/>
  <c r="AO775" i="8"/>
  <c r="AO763" i="8"/>
  <c r="AO751" i="8"/>
  <c r="AO739" i="8"/>
  <c r="AO727" i="8"/>
  <c r="AO715" i="8"/>
  <c r="AO703" i="8"/>
  <c r="AO691" i="8"/>
  <c r="AO679" i="8"/>
  <c r="AO655" i="8"/>
  <c r="AO643" i="8"/>
  <c r="AO631" i="8"/>
  <c r="AO619" i="8"/>
  <c r="AO607" i="8"/>
  <c r="AO559" i="8"/>
  <c r="AJ965" i="8"/>
  <c r="AJ953" i="8"/>
  <c r="AJ941" i="8"/>
  <c r="AJ917" i="8"/>
  <c r="AJ893" i="8"/>
  <c r="AJ881" i="8"/>
  <c r="AJ869" i="8"/>
  <c r="AJ833" i="8"/>
  <c r="AJ821" i="8"/>
  <c r="AJ809" i="8"/>
  <c r="AJ773" i="8"/>
  <c r="AJ761" i="8"/>
  <c r="AJ725" i="8"/>
  <c r="AJ701" i="8"/>
  <c r="AJ689" i="8"/>
  <c r="AJ677" i="8"/>
  <c r="AJ629" i="8"/>
  <c r="AJ605" i="8"/>
  <c r="AJ581" i="8"/>
  <c r="AJ569" i="8"/>
  <c r="AJ533" i="8"/>
  <c r="AE808" i="8"/>
  <c r="AE796" i="8"/>
  <c r="AE784" i="8"/>
  <c r="AE772" i="8"/>
  <c r="AE760" i="8"/>
  <c r="AE748" i="8"/>
  <c r="AE736" i="8"/>
  <c r="AE724" i="8"/>
  <c r="AE712" i="8"/>
  <c r="AE700" i="8"/>
  <c r="AE688" i="8"/>
  <c r="AE676" i="8"/>
  <c r="AE664" i="8"/>
  <c r="AE652" i="8"/>
  <c r="AE640" i="8"/>
  <c r="AE628" i="8"/>
  <c r="AE616" i="8"/>
  <c r="AE604" i="8"/>
  <c r="AE592" i="8"/>
  <c r="AE580" i="8"/>
  <c r="AE568" i="8"/>
  <c r="AE556" i="8"/>
  <c r="AE544" i="8"/>
  <c r="AE532" i="8"/>
  <c r="AJ314" i="8"/>
  <c r="AJ206" i="8"/>
  <c r="AJ182" i="8"/>
  <c r="AJ1035" i="8"/>
  <c r="AJ1023" i="8"/>
  <c r="AJ951" i="8"/>
  <c r="AJ939" i="8"/>
  <c r="AJ927" i="8"/>
  <c r="AJ879" i="8"/>
  <c r="AJ867" i="8"/>
  <c r="AJ855" i="8"/>
  <c r="AJ819" i="8"/>
  <c r="AJ807" i="8"/>
  <c r="AJ783" i="8"/>
  <c r="AJ771" i="8"/>
  <c r="AJ759" i="8"/>
  <c r="AJ735" i="8"/>
  <c r="AJ723" i="8"/>
  <c r="AJ711" i="8"/>
  <c r="AJ687" i="8"/>
  <c r="AJ675" i="8"/>
  <c r="AJ663" i="8"/>
  <c r="AJ639" i="8"/>
  <c r="AJ627" i="8"/>
  <c r="AJ615" i="8"/>
  <c r="AJ591" i="8"/>
  <c r="AJ579" i="8"/>
  <c r="AJ567" i="8"/>
  <c r="AJ543" i="8"/>
  <c r="AJ531" i="8"/>
  <c r="AJ1033" i="8"/>
  <c r="AJ1021" i="8"/>
  <c r="AJ1009" i="8"/>
  <c r="AJ997" i="8"/>
  <c r="AJ937" i="8"/>
  <c r="AJ925" i="8"/>
  <c r="AJ913" i="8"/>
  <c r="AJ865" i="8"/>
  <c r="AJ853" i="8"/>
  <c r="AJ817" i="8"/>
  <c r="AJ805" i="8"/>
  <c r="AJ769" i="8"/>
  <c r="AJ757" i="8"/>
  <c r="AJ721" i="8"/>
  <c r="AJ709" i="8"/>
  <c r="AJ673" i="8"/>
  <c r="AJ661" i="8"/>
  <c r="AJ625" i="8"/>
  <c r="AJ613" i="8"/>
  <c r="AJ577" i="8"/>
  <c r="AJ565" i="8"/>
  <c r="AJ529" i="8"/>
  <c r="AO1042" i="8"/>
  <c r="AO1030" i="8"/>
  <c r="AO1018" i="8"/>
  <c r="AO1006" i="8"/>
  <c r="AO994" i="8"/>
  <c r="AO982" i="8"/>
  <c r="AO970" i="8"/>
  <c r="AO958" i="8"/>
  <c r="AO946" i="8"/>
  <c r="AO934" i="8"/>
  <c r="AO922" i="8"/>
  <c r="AO910" i="8"/>
  <c r="AO886" i="8"/>
  <c r="AO874" i="8"/>
  <c r="AO862" i="8"/>
  <c r="AO850" i="8"/>
  <c r="AO838" i="8"/>
  <c r="AO826" i="8"/>
  <c r="AO814" i="8"/>
  <c r="AO802" i="8"/>
  <c r="AO790" i="8"/>
  <c r="AO778" i="8"/>
  <c r="AO766" i="8"/>
  <c r="AO754" i="8"/>
  <c r="AO742" i="8"/>
  <c r="AO730" i="8"/>
  <c r="AO718" i="8"/>
  <c r="AO706" i="8"/>
  <c r="AO694" i="8"/>
  <c r="AO682" i="8"/>
  <c r="AO670" i="8"/>
  <c r="AO658" i="8"/>
  <c r="AO646" i="8"/>
  <c r="AO634" i="8"/>
  <c r="AO622" i="8"/>
  <c r="AO586" i="8"/>
  <c r="AO574" i="8"/>
  <c r="AO562" i="8"/>
  <c r="AO538" i="8"/>
  <c r="AO526" i="8"/>
  <c r="AO514" i="8"/>
  <c r="AO1004" i="8"/>
  <c r="AO980" i="8"/>
  <c r="AO956" i="8"/>
  <c r="AO932" i="8"/>
  <c r="AO884" i="8"/>
  <c r="AO860" i="8"/>
  <c r="AO836" i="8"/>
  <c r="AO812" i="8"/>
  <c r="AO595" i="8"/>
  <c r="AO583" i="8"/>
  <c r="AO571" i="8"/>
  <c r="AO547" i="8"/>
  <c r="AO535" i="8"/>
  <c r="AO523" i="8"/>
  <c r="AO511" i="8"/>
  <c r="AJ948" i="8"/>
  <c r="AJ936" i="8"/>
  <c r="AJ924" i="8"/>
  <c r="AJ912" i="8"/>
  <c r="AJ900" i="8"/>
  <c r="AJ888" i="8"/>
  <c r="AJ876" i="8"/>
  <c r="AJ864" i="8"/>
  <c r="AJ852" i="8"/>
  <c r="AJ840" i="8"/>
  <c r="AJ828" i="8"/>
  <c r="AJ816" i="8"/>
  <c r="AJ804" i="8"/>
  <c r="AJ792" i="8"/>
  <c r="AJ780" i="8"/>
  <c r="AJ768" i="8"/>
  <c r="AJ756" i="8"/>
  <c r="AJ744" i="8"/>
  <c r="AJ732" i="8"/>
  <c r="AJ720" i="8"/>
  <c r="AJ708" i="8"/>
  <c r="AJ696" i="8"/>
  <c r="AJ684" i="8"/>
  <c r="AJ672" i="8"/>
  <c r="AJ660" i="8"/>
  <c r="AJ648" i="8"/>
  <c r="AJ636" i="8"/>
  <c r="AJ624" i="8"/>
  <c r="AJ612" i="8"/>
  <c r="AJ600" i="8"/>
  <c r="AJ588" i="8"/>
  <c r="AJ576" i="8"/>
  <c r="AJ564" i="8"/>
  <c r="AJ552" i="8"/>
  <c r="AJ540" i="8"/>
  <c r="AJ528" i="8"/>
  <c r="AJ1043" i="8"/>
  <c r="AJ1031" i="8"/>
  <c r="AJ1019" i="8"/>
  <c r="AJ1007" i="8"/>
  <c r="AJ995" i="8"/>
  <c r="AJ983" i="8"/>
  <c r="AJ971" i="8"/>
  <c r="AJ959" i="8"/>
  <c r="AJ947" i="8"/>
  <c r="AJ935" i="8"/>
  <c r="AJ923" i="8"/>
  <c r="AJ911" i="8"/>
  <c r="AJ899" i="8"/>
  <c r="AJ887" i="8"/>
  <c r="AJ875" i="8"/>
  <c r="AJ863" i="8"/>
  <c r="AJ851" i="8"/>
  <c r="AJ839" i="8"/>
  <c r="AJ827" i="8"/>
  <c r="AJ815" i="8"/>
  <c r="AJ803" i="8"/>
  <c r="AJ791" i="8"/>
  <c r="AJ779" i="8"/>
  <c r="AJ767" i="8"/>
  <c r="AJ755" i="8"/>
  <c r="AJ743" i="8"/>
  <c r="AJ731" i="8"/>
  <c r="AJ719" i="8"/>
  <c r="AJ707" i="8"/>
  <c r="AJ695" i="8"/>
  <c r="AJ683" i="8"/>
  <c r="AJ671" i="8"/>
  <c r="AJ659" i="8"/>
  <c r="AJ647" i="8"/>
  <c r="AJ635" i="8"/>
  <c r="AJ623" i="8"/>
  <c r="AJ611" i="8"/>
  <c r="AJ599" i="8"/>
  <c r="AJ587" i="8"/>
  <c r="AJ575" i="8"/>
  <c r="AJ563" i="8"/>
  <c r="AJ551" i="8"/>
  <c r="AJ539" i="8"/>
  <c r="AJ527" i="8"/>
  <c r="AO1033" i="8"/>
  <c r="AO1009" i="8"/>
  <c r="AO985" i="8"/>
  <c r="AO961" i="8"/>
  <c r="AO937" i="8"/>
  <c r="AO913" i="8"/>
  <c r="AO889" i="8"/>
  <c r="AO865" i="8"/>
  <c r="AO841" i="8"/>
  <c r="AO817" i="8"/>
  <c r="AO793" i="8"/>
  <c r="AO769" i="8"/>
  <c r="AO745" i="8"/>
  <c r="AO721" i="8"/>
  <c r="AO697" i="8"/>
  <c r="AO673" i="8"/>
  <c r="AO649" i="8"/>
  <c r="AO625" i="8"/>
  <c r="AO601" i="8"/>
  <c r="AO577" i="8"/>
  <c r="AO553" i="8"/>
  <c r="AO529" i="8"/>
  <c r="AO1044" i="8"/>
  <c r="AO1032" i="8"/>
  <c r="AO1020" i="8"/>
  <c r="AO1008" i="8"/>
  <c r="AO996" i="8"/>
  <c r="AO984" i="8"/>
  <c r="AO972" i="8"/>
  <c r="AO960" i="8"/>
  <c r="AO948" i="8"/>
  <c r="AO936" i="8"/>
  <c r="AO924" i="8"/>
  <c r="AO912" i="8"/>
  <c r="AO900" i="8"/>
  <c r="AO888" i="8"/>
  <c r="AO876" i="8"/>
  <c r="AO864" i="8"/>
  <c r="AO852" i="8"/>
  <c r="AO840" i="8"/>
  <c r="AO828" i="8"/>
  <c r="AO816" i="8"/>
  <c r="AO804" i="8"/>
  <c r="AO792" i="8"/>
  <c r="AO780" i="8"/>
  <c r="AO768" i="8"/>
  <c r="AO756" i="8"/>
  <c r="AO744" i="8"/>
  <c r="AO732" i="8"/>
  <c r="AO720" i="8"/>
  <c r="AO708" i="8"/>
  <c r="AO696" i="8"/>
  <c r="AO684" i="8"/>
  <c r="AO672" i="8"/>
  <c r="AO660" i="8"/>
  <c r="AO648" i="8"/>
  <c r="AO636" i="8"/>
  <c r="AO624" i="8"/>
  <c r="AO612" i="8"/>
  <c r="AO600" i="8"/>
  <c r="AO588" i="8"/>
  <c r="AO576" i="8"/>
  <c r="AO564" i="8"/>
  <c r="AO552" i="8"/>
  <c r="AO540" i="8"/>
  <c r="AO528" i="8"/>
  <c r="AO516" i="8"/>
  <c r="AO1043" i="8"/>
  <c r="AO1031" i="8"/>
  <c r="AO1019" i="8"/>
  <c r="AO1007" i="8"/>
  <c r="AO995" i="8"/>
  <c r="AO983" i="8"/>
  <c r="AO971" i="8"/>
  <c r="AO959" i="8"/>
  <c r="AO947" i="8"/>
  <c r="AO935" i="8"/>
  <c r="AO598" i="8"/>
  <c r="AO550" i="8"/>
  <c r="AO1029" i="8"/>
  <c r="AO1017" i="8"/>
  <c r="AO981" i="8"/>
  <c r="AO969" i="8"/>
  <c r="AO933" i="8"/>
  <c r="AO921" i="8"/>
  <c r="AO885" i="8"/>
  <c r="AO873" i="8"/>
  <c r="AO837" i="8"/>
  <c r="AO825" i="8"/>
  <c r="AO789" i="8"/>
  <c r="AO777" i="8"/>
  <c r="AO741" i="8"/>
  <c r="AO729" i="8"/>
  <c r="AO693" i="8"/>
  <c r="AO681" i="8"/>
  <c r="AO645" i="8"/>
  <c r="AO633" i="8"/>
  <c r="AO597" i="8"/>
  <c r="AO585" i="8"/>
  <c r="AO549" i="8"/>
  <c r="AO537" i="8"/>
  <c r="AO1040" i="8"/>
  <c r="AO1016" i="8"/>
  <c r="AO992" i="8"/>
  <c r="AO968" i="8"/>
  <c r="AO944" i="8"/>
  <c r="AO920" i="8"/>
  <c r="AO896" i="8"/>
  <c r="AO872" i="8"/>
  <c r="AO848" i="8"/>
  <c r="AO824" i="8"/>
  <c r="AO800" i="8"/>
  <c r="AO776" i="8"/>
  <c r="AO752" i="8"/>
  <c r="AO728" i="8"/>
  <c r="AO704" i="8"/>
  <c r="AO680" i="8"/>
  <c r="AO656" i="8"/>
  <c r="AO632" i="8"/>
  <c r="AO608" i="8"/>
  <c r="AO584" i="8"/>
  <c r="AO560" i="8"/>
  <c r="AO536" i="8"/>
  <c r="AO512" i="8"/>
  <c r="AT994" i="8"/>
  <c r="AT838" i="8"/>
  <c r="AT826" i="8"/>
  <c r="AT730" i="8"/>
  <c r="AT718" i="8"/>
  <c r="AT622" i="8"/>
  <c r="AT610" i="8"/>
  <c r="AT1040" i="8"/>
  <c r="AT1028" i="8"/>
  <c r="AT1004" i="8"/>
  <c r="AT992" i="8"/>
  <c r="AT968" i="8"/>
  <c r="AT956" i="8"/>
  <c r="AT932" i="8"/>
  <c r="AT920" i="8"/>
  <c r="AT896" i="8"/>
  <c r="AT884" i="8"/>
  <c r="AT860" i="8"/>
  <c r="AT1024" i="8"/>
  <c r="AT1011" i="8"/>
  <c r="AT999" i="8"/>
  <c r="AT975" i="8"/>
  <c r="AT939" i="8"/>
  <c r="AT927" i="8"/>
  <c r="AT891" i="8"/>
  <c r="AT855" i="8"/>
  <c r="AT819" i="8"/>
  <c r="AT783" i="8"/>
  <c r="AT747" i="8"/>
  <c r="AT711" i="8"/>
  <c r="AT675" i="8"/>
  <c r="AT639" i="8"/>
  <c r="AT603" i="8"/>
  <c r="AT1045" i="8"/>
  <c r="AU1045" i="8" s="1"/>
  <c r="AT1033" i="8"/>
  <c r="AT1021" i="8"/>
  <c r="G49" i="1"/>
  <c r="AT4" i="8"/>
  <c r="AT446" i="8"/>
  <c r="AT434" i="8"/>
  <c r="AT422" i="8"/>
  <c r="AT410" i="8"/>
  <c r="AT398" i="8"/>
  <c r="AT386" i="8"/>
  <c r="AT374" i="8"/>
  <c r="AT1044" i="8"/>
  <c r="AT1020" i="8"/>
  <c r="AT1008" i="8"/>
  <c r="AT972" i="8"/>
  <c r="AT948" i="8"/>
  <c r="AT936" i="8"/>
  <c r="AT912" i="8"/>
  <c r="AT900" i="8"/>
  <c r="AT876" i="8"/>
  <c r="AT864" i="8"/>
  <c r="AT840" i="8"/>
  <c r="AT828" i="8"/>
  <c r="AT804" i="8"/>
  <c r="AT792" i="8"/>
  <c r="AT768" i="8"/>
  <c r="AT756" i="8"/>
  <c r="AT732" i="8"/>
  <c r="AT720" i="8"/>
  <c r="AT696" i="8"/>
  <c r="AT684" i="8"/>
  <c r="AT660" i="8"/>
  <c r="AT648" i="8"/>
  <c r="AT624" i="8"/>
  <c r="AT612" i="8"/>
  <c r="AT588" i="8"/>
  <c r="AT576" i="8"/>
  <c r="AT552" i="8"/>
  <c r="AT540" i="8"/>
  <c r="AT528" i="8"/>
  <c r="AT492" i="8"/>
  <c r="AT480" i="8"/>
  <c r="AT456" i="8"/>
  <c r="AT432" i="8"/>
  <c r="AT420" i="8"/>
  <c r="AT408" i="8"/>
  <c r="AT396" i="8"/>
  <c r="AT384" i="8"/>
  <c r="AT1042" i="8"/>
  <c r="AT1030" i="8"/>
  <c r="AT1018" i="8"/>
  <c r="AT1006" i="8"/>
  <c r="AT982" i="8"/>
  <c r="AT970" i="8"/>
  <c r="AT958" i="8"/>
  <c r="AT946" i="8"/>
  <c r="AT934" i="8"/>
  <c r="AT886" i="8"/>
  <c r="AT850" i="8"/>
  <c r="AT814" i="8"/>
  <c r="AT778" i="8"/>
  <c r="AT742" i="8"/>
  <c r="AT706" i="8"/>
  <c r="AT670" i="8"/>
  <c r="AT634" i="8"/>
  <c r="AT598" i="8"/>
  <c r="AT562" i="8"/>
  <c r="AT538" i="8"/>
  <c r="AT514" i="8"/>
  <c r="AT502" i="8"/>
  <c r="AT490" i="8"/>
  <c r="AT478" i="8"/>
  <c r="AT1029" i="8"/>
  <c r="AT1005" i="8"/>
  <c r="AT993" i="8"/>
  <c r="AT957" i="8"/>
  <c r="AT933" i="8"/>
  <c r="AT921" i="8"/>
  <c r="AT909" i="8"/>
  <c r="AT885" i="8"/>
  <c r="AT873" i="8"/>
  <c r="AT849" i="8"/>
  <c r="AT837" i="8"/>
  <c r="AT813" i="8"/>
  <c r="AT801" i="8"/>
  <c r="AT777" i="8"/>
  <c r="AT765" i="8"/>
  <c r="AT741" i="8"/>
  <c r="AT729" i="8"/>
  <c r="AT1015" i="8"/>
  <c r="AT991" i="8"/>
  <c r="AT979" i="8"/>
  <c r="AT943" i="8"/>
  <c r="AT919" i="8"/>
  <c r="AT883" i="8"/>
  <c r="AT847" i="8"/>
  <c r="AT811" i="8"/>
  <c r="AT775" i="8"/>
  <c r="AT739" i="8"/>
  <c r="AT703" i="8"/>
  <c r="AT667" i="8"/>
  <c r="AT631" i="8"/>
  <c r="AT595" i="8"/>
  <c r="AT559" i="8"/>
  <c r="AT523" i="8"/>
  <c r="AT499" i="8"/>
  <c r="AT487" i="8"/>
  <c r="AT439" i="8"/>
  <c r="AT415" i="8"/>
  <c r="AT379" i="8"/>
  <c r="AT355" i="8"/>
  <c r="AT331" i="8"/>
  <c r="AT283" i="8"/>
  <c r="AT271" i="8"/>
  <c r="AT247" i="8"/>
  <c r="AT211" i="8"/>
  <c r="AT187" i="8"/>
  <c r="AT139" i="8"/>
  <c r="AT127" i="8"/>
  <c r="AT103" i="8"/>
  <c r="AT67" i="8"/>
  <c r="AT43" i="8"/>
  <c r="AT1026" i="8"/>
  <c r="AT1014" i="8"/>
  <c r="AT990" i="8"/>
  <c r="AT978" i="8"/>
  <c r="AT954" i="8"/>
  <c r="AT942" i="8"/>
  <c r="AT918" i="8"/>
  <c r="AT906" i="8"/>
  <c r="AT870" i="8"/>
  <c r="AT834" i="8"/>
  <c r="AT798" i="8"/>
  <c r="AT762" i="8"/>
  <c r="AT726" i="8"/>
  <c r="AT690" i="8"/>
  <c r="AT654" i="8"/>
  <c r="AT618" i="8"/>
  <c r="AT582" i="8"/>
  <c r="AT534" i="8"/>
  <c r="AT522" i="8"/>
  <c r="AT498" i="8"/>
  <c r="AT462" i="8"/>
  <c r="AT438" i="8"/>
  <c r="AT426" i="8"/>
  <c r="AT378" i="8"/>
  <c r="AT354" i="8"/>
  <c r="AT342" i="8"/>
  <c r="AT330" i="8"/>
  <c r="AT306" i="8"/>
  <c r="AT270" i="8"/>
  <c r="AT246" i="8"/>
  <c r="AT198" i="8"/>
  <c r="AT186" i="8"/>
  <c r="AT162" i="8"/>
  <c r="AT126" i="8"/>
  <c r="AT102" i="8"/>
  <c r="AT54" i="8"/>
  <c r="AT42" i="8"/>
  <c r="AT18" i="8"/>
  <c r="AT689" i="8"/>
  <c r="AT677" i="8"/>
  <c r="AT665" i="8"/>
  <c r="AT653" i="8"/>
  <c r="AT641" i="8"/>
  <c r="AT629" i="8"/>
  <c r="AT617" i="8"/>
  <c r="AT605" i="8"/>
  <c r="AT593" i="8"/>
  <c r="AT581" i="8"/>
  <c r="AT569" i="8"/>
  <c r="AT557" i="8"/>
  <c r="AT545" i="8"/>
  <c r="AT533" i="8"/>
  <c r="AT521" i="8"/>
  <c r="AT509" i="8"/>
  <c r="AT473" i="8"/>
  <c r="AT461" i="8"/>
  <c r="AT437" i="8"/>
  <c r="AT413" i="8"/>
  <c r="AT401" i="8"/>
  <c r="AT389" i="8"/>
  <c r="AT377" i="8"/>
  <c r="AT365" i="8"/>
  <c r="AT341" i="8"/>
  <c r="AT329" i="8"/>
  <c r="AT317" i="8"/>
  <c r="AT305" i="8"/>
  <c r="AT293" i="8"/>
  <c r="AT281" i="8"/>
  <c r="AT269" i="8"/>
  <c r="AT257" i="8"/>
  <c r="AT245" i="8"/>
  <c r="AT233" i="8"/>
  <c r="AT221" i="8"/>
  <c r="AT209" i="8"/>
  <c r="AT197" i="8"/>
  <c r="AT185" i="8"/>
  <c r="AT173" i="8"/>
  <c r="AT161" i="8"/>
  <c r="AT149" i="8"/>
  <c r="AT137" i="8"/>
  <c r="AT125" i="8"/>
  <c r="AT113" i="8"/>
  <c r="AT101" i="8"/>
  <c r="AT89" i="8"/>
  <c r="AT77" i="8"/>
  <c r="AT65" i="8"/>
  <c r="AT53" i="8"/>
  <c r="AT41" i="8"/>
  <c r="AT29" i="8"/>
  <c r="AT17" i="8"/>
  <c r="AT5" i="8"/>
  <c r="AT1036" i="8"/>
  <c r="AT1035" i="8"/>
  <c r="AT1023" i="8"/>
  <c r="AT987" i="8"/>
  <c r="AT963" i="8"/>
  <c r="AT951" i="8"/>
  <c r="AT915" i="8"/>
  <c r="AT903" i="8"/>
  <c r="AT879" i="8"/>
  <c r="AT867" i="8"/>
  <c r="AT843" i="8"/>
  <c r="AT831" i="8"/>
  <c r="AT807" i="8"/>
  <c r="AT795" i="8"/>
  <c r="AT771" i="8"/>
  <c r="AT759" i="8"/>
  <c r="AT735" i="8"/>
  <c r="AT723" i="8"/>
  <c r="AT699" i="8"/>
  <c r="AT687" i="8"/>
  <c r="AT663" i="8"/>
  <c r="AT651" i="8"/>
  <c r="AT627" i="8"/>
  <c r="AT615" i="8"/>
  <c r="AT591" i="8"/>
  <c r="AT579" i="8"/>
  <c r="AT555" i="8"/>
  <c r="AT543" i="8"/>
  <c r="AT519" i="8"/>
  <c r="AT495" i="8"/>
  <c r="AT483" i="8"/>
  <c r="AT471" i="8"/>
  <c r="AT459" i="8"/>
  <c r="AT447" i="8"/>
  <c r="AT411" i="8"/>
  <c r="AT399" i="8"/>
  <c r="AT375" i="8"/>
  <c r="AT351" i="8"/>
  <c r="AT327" i="8"/>
  <c r="AT303" i="8"/>
  <c r="AT291" i="8"/>
  <c r="AT255" i="8"/>
  <c r="AT243" i="8"/>
  <c r="AT231" i="8"/>
  <c r="AT219" i="8"/>
  <c r="AT207" i="8"/>
  <c r="AT183" i="8"/>
  <c r="AT159" i="8"/>
  <c r="AT147" i="8"/>
  <c r="AT111" i="8"/>
  <c r="AT99" i="8"/>
  <c r="AT87" i="8"/>
  <c r="AT75" i="8"/>
  <c r="AT39" i="8"/>
  <c r="AT15" i="8"/>
  <c r="AT348" i="8"/>
  <c r="AT336" i="8"/>
  <c r="AT324" i="8"/>
  <c r="AT312" i="8"/>
  <c r="AT300" i="8"/>
  <c r="AT288" i="8"/>
  <c r="AT276" i="8"/>
  <c r="AT264" i="8"/>
  <c r="AT252" i="8"/>
  <c r="AT240" i="8"/>
  <c r="AT228" i="8"/>
  <c r="AT216" i="8"/>
  <c r="AT204" i="8"/>
  <c r="AT192" i="8"/>
  <c r="AT180" i="8"/>
  <c r="AT168" i="8"/>
  <c r="AT156" i="8"/>
  <c r="AT144" i="8"/>
  <c r="AT132" i="8"/>
  <c r="AT120" i="8"/>
  <c r="AT108" i="8"/>
  <c r="AT96" i="8"/>
  <c r="AT84" i="8"/>
  <c r="AT72" i="8"/>
  <c r="AT60" i="8"/>
  <c r="AT48" i="8"/>
  <c r="AT36" i="8"/>
  <c r="AT24" i="8"/>
  <c r="AT12" i="8"/>
  <c r="AT549" i="8"/>
  <c r="AT537" i="8"/>
  <c r="AT525" i="8"/>
  <c r="AT513" i="8"/>
  <c r="AT501" i="8"/>
  <c r="AT489" i="8"/>
  <c r="AT477" i="8"/>
  <c r="AT465" i="8"/>
  <c r="AT453" i="8"/>
  <c r="AT441" i="8"/>
  <c r="AT429" i="8"/>
  <c r="AT417" i="8"/>
  <c r="AT405" i="8"/>
  <c r="AT393" i="8"/>
  <c r="AT381" i="8"/>
  <c r="AT369" i="8"/>
  <c r="AT357" i="8"/>
  <c r="AT345" i="8"/>
  <c r="AT333" i="8"/>
  <c r="AT321" i="8"/>
  <c r="AT309" i="8"/>
  <c r="AT297" i="8"/>
  <c r="AT285" i="8"/>
  <c r="AT273" i="8"/>
  <c r="AT261" i="8"/>
  <c r="AT249" i="8"/>
  <c r="AT237" i="8"/>
  <c r="AT225" i="8"/>
  <c r="AT213" i="8"/>
  <c r="AT201" i="8"/>
  <c r="AT189" i="8"/>
  <c r="AT177" i="8"/>
  <c r="AT165" i="8"/>
  <c r="AT153" i="8"/>
  <c r="AT141" i="8"/>
  <c r="AT129" i="8"/>
  <c r="AT117" i="8"/>
  <c r="AT105" i="8"/>
  <c r="AT93" i="8"/>
  <c r="AT81" i="8"/>
  <c r="AT69" i="8"/>
  <c r="AT57" i="8"/>
  <c r="AT45" i="8"/>
  <c r="AT33" i="8"/>
  <c r="AT21" i="8"/>
  <c r="AT9" i="8"/>
  <c r="AT362" i="8"/>
  <c r="AT350" i="8"/>
  <c r="AT338" i="8"/>
  <c r="AT326" i="8"/>
  <c r="AT314" i="8"/>
  <c r="AT302" i="8"/>
  <c r="AT290" i="8"/>
  <c r="AT278" i="8"/>
  <c r="AT266" i="8"/>
  <c r="AT254" i="8"/>
  <c r="AT242" i="8"/>
  <c r="AT230" i="8"/>
  <c r="AT218" i="8"/>
  <c r="AT206" i="8"/>
  <c r="AT194" i="8"/>
  <c r="AT182" i="8"/>
  <c r="AT170" i="8"/>
  <c r="AT158" i="8"/>
  <c r="AT146" i="8"/>
  <c r="AT134" i="8"/>
  <c r="AT122" i="8"/>
  <c r="AT110" i="8"/>
  <c r="AT98" i="8"/>
  <c r="AT86" i="8"/>
  <c r="AT74" i="8"/>
  <c r="AT62" i="8"/>
  <c r="AT50" i="8"/>
  <c r="AT38" i="8"/>
  <c r="AT26" i="8"/>
  <c r="AT14" i="8"/>
  <c r="AJ517" i="8"/>
  <c r="AJ505" i="8"/>
  <c r="AJ493" i="8"/>
  <c r="AJ481" i="8"/>
  <c r="AJ457" i="8"/>
  <c r="AJ445" i="8"/>
  <c r="AJ421" i="8"/>
  <c r="AJ409" i="8"/>
  <c r="AJ397" i="8"/>
  <c r="AJ97" i="8"/>
  <c r="AJ61" i="8"/>
  <c r="AJ12" i="8"/>
  <c r="AJ385" i="8"/>
  <c r="AJ373" i="8"/>
  <c r="AJ325" i="8"/>
  <c r="AJ313" i="8"/>
  <c r="AJ301" i="8"/>
  <c r="AJ217" i="8"/>
  <c r="AJ133" i="8"/>
  <c r="AJ109" i="8"/>
  <c r="AJ85" i="8"/>
  <c r="AJ73" i="8"/>
  <c r="AJ49" i="8"/>
  <c r="AJ37" i="8"/>
  <c r="AO235" i="8"/>
  <c r="AO223" i="8"/>
  <c r="AO211" i="8"/>
  <c r="AO199" i="8"/>
  <c r="AO187" i="8"/>
  <c r="AO175" i="8"/>
  <c r="AO163" i="8"/>
  <c r="AO151" i="8"/>
  <c r="AO139" i="8"/>
  <c r="AO127" i="8"/>
  <c r="AO115" i="8"/>
  <c r="AO103" i="8"/>
  <c r="AO91" i="8"/>
  <c r="AO79" i="8"/>
  <c r="AO67" i="8"/>
  <c r="AO55" i="8"/>
  <c r="AO43" i="8"/>
  <c r="AO31" i="8"/>
  <c r="AO19" i="8"/>
  <c r="AO7" i="8"/>
  <c r="AJ379" i="8"/>
  <c r="AJ247" i="8"/>
  <c r="AJ163" i="8"/>
  <c r="AJ103" i="8"/>
  <c r="AJ43" i="8"/>
  <c r="AJ522" i="8"/>
  <c r="AJ510" i="8"/>
  <c r="AJ498" i="8"/>
  <c r="AJ486" i="8"/>
  <c r="AJ474" i="8"/>
  <c r="AJ462" i="8"/>
  <c r="AJ438" i="8"/>
  <c r="AJ426" i="8"/>
  <c r="AJ414" i="8"/>
  <c r="AJ402" i="8"/>
  <c r="AJ378" i="8"/>
  <c r="AJ366" i="8"/>
  <c r="AJ354" i="8"/>
  <c r="AJ342" i="8"/>
  <c r="AJ330" i="8"/>
  <c r="AJ318" i="8"/>
  <c r="AJ306" i="8"/>
  <c r="AJ282" i="8"/>
  <c r="AJ270" i="8"/>
  <c r="AJ258" i="8"/>
  <c r="AJ246" i="8"/>
  <c r="AJ234" i="8"/>
  <c r="AJ509" i="8"/>
  <c r="AJ497" i="8"/>
  <c r="AJ473" i="8"/>
  <c r="AJ461" i="8"/>
  <c r="AJ437" i="8"/>
  <c r="AJ425" i="8"/>
  <c r="AJ401" i="8"/>
  <c r="AJ377" i="8"/>
  <c r="AJ365" i="8"/>
  <c r="AJ353" i="8"/>
  <c r="AJ281" i="8"/>
  <c r="AJ245" i="8"/>
  <c r="AJ161" i="8"/>
  <c r="AJ89" i="8"/>
  <c r="AJ41" i="8"/>
  <c r="AO503" i="8"/>
  <c r="AO491" i="8"/>
  <c r="AO479" i="8"/>
  <c r="AO467" i="8"/>
  <c r="AO455" i="8"/>
  <c r="AO443" i="8"/>
  <c r="AO431" i="8"/>
  <c r="AO419" i="8"/>
  <c r="AO407" i="8"/>
  <c r="AO395" i="8"/>
  <c r="AO383" i="8"/>
  <c r="AO371" i="8"/>
  <c r="AO359" i="8"/>
  <c r="AO347" i="8"/>
  <c r="AO335" i="8"/>
  <c r="AO323" i="8"/>
  <c r="AO311" i="8"/>
  <c r="AO299" i="8"/>
  <c r="AO287" i="8"/>
  <c r="AO275" i="8"/>
  <c r="AO263" i="8"/>
  <c r="AO251" i="8"/>
  <c r="AO239" i="8"/>
  <c r="AO227" i="8"/>
  <c r="AO215" i="8"/>
  <c r="AO203" i="8"/>
  <c r="AO191" i="8"/>
  <c r="AO179" i="8"/>
  <c r="AO167" i="8"/>
  <c r="AO155" i="8"/>
  <c r="AO143" i="8"/>
  <c r="AO131" i="8"/>
  <c r="AO119" i="8"/>
  <c r="AO107" i="8"/>
  <c r="AO95" i="8"/>
  <c r="AO83" i="8"/>
  <c r="AO71" i="8"/>
  <c r="AO59" i="8"/>
  <c r="AO47" i="8"/>
  <c r="AO35" i="8"/>
  <c r="AO23" i="8"/>
  <c r="AO11" i="8"/>
  <c r="AO502" i="8"/>
  <c r="AO490" i="8"/>
  <c r="AO478" i="8"/>
  <c r="AO466" i="8"/>
  <c r="AO454" i="8"/>
  <c r="AO442" i="8"/>
  <c r="AO430" i="8"/>
  <c r="AO418" i="8"/>
  <c r="AO406" i="8"/>
  <c r="AO394" i="8"/>
  <c r="AO382" i="8"/>
  <c r="AO370" i="8"/>
  <c r="AO358" i="8"/>
  <c r="AO346" i="8"/>
  <c r="AO334" i="8"/>
  <c r="AO322" i="8"/>
  <c r="AO310" i="8"/>
  <c r="AO298" i="8"/>
  <c r="AO286" i="8"/>
  <c r="AO274" i="8"/>
  <c r="AO262" i="8"/>
  <c r="AO250" i="8"/>
  <c r="AO238" i="8"/>
  <c r="AO226" i="8"/>
  <c r="AO214" i="8"/>
  <c r="AO202" i="8"/>
  <c r="AO190" i="8"/>
  <c r="AO178" i="8"/>
  <c r="AO166" i="8"/>
  <c r="AO154" i="8"/>
  <c r="AO142" i="8"/>
  <c r="AO130" i="8"/>
  <c r="AO118" i="8"/>
  <c r="AO106" i="8"/>
  <c r="AO94" i="8"/>
  <c r="AO82" i="8"/>
  <c r="AO70" i="8"/>
  <c r="AO58" i="8"/>
  <c r="AO46" i="8"/>
  <c r="AO34" i="8"/>
  <c r="AO22" i="8"/>
  <c r="AO10" i="8"/>
  <c r="AJ524" i="8"/>
  <c r="AJ512" i="8"/>
  <c r="AJ488" i="8"/>
  <c r="AJ476" i="8"/>
  <c r="AJ464" i="8"/>
  <c r="AJ440" i="8"/>
  <c r="AJ416" i="8"/>
  <c r="AJ404" i="8"/>
  <c r="AJ380" i="8"/>
  <c r="AJ344" i="8"/>
  <c r="AJ332" i="8"/>
  <c r="AJ296" i="8"/>
  <c r="AJ284" i="8"/>
  <c r="AJ272" i="8"/>
  <c r="AJ260" i="8"/>
  <c r="AJ248" i="8"/>
  <c r="AJ188" i="8"/>
  <c r="AJ176" i="8"/>
  <c r="AJ164" i="8"/>
  <c r="AJ140" i="8"/>
  <c r="AJ116" i="8"/>
  <c r="AJ104" i="8"/>
  <c r="AJ56" i="8"/>
  <c r="AJ25" i="8"/>
  <c r="AJ26" i="8"/>
  <c r="AO224" i="8"/>
  <c r="AO212" i="8"/>
  <c r="AO200" i="8"/>
  <c r="AO188" i="8"/>
  <c r="AO176" i="8"/>
  <c r="AO164" i="8"/>
  <c r="AO152" i="8"/>
  <c r="AO140" i="8"/>
  <c r="AO128" i="8"/>
  <c r="AO116" i="8"/>
  <c r="AO104" i="8"/>
  <c r="AO92" i="8"/>
  <c r="AO80" i="8"/>
  <c r="AO68" i="8"/>
  <c r="AO56" i="8"/>
  <c r="AO44" i="8"/>
  <c r="AO32" i="8"/>
  <c r="AO20" i="8"/>
  <c r="AO8" i="8"/>
  <c r="D49" i="1"/>
  <c r="AE4" i="8"/>
  <c r="AJ338" i="8"/>
  <c r="AJ326" i="8"/>
  <c r="AJ302" i="8"/>
  <c r="AJ254" i="8"/>
  <c r="AJ218" i="8"/>
  <c r="AJ146" i="8"/>
  <c r="AJ134" i="8"/>
  <c r="AJ74" i="8"/>
  <c r="AJ50" i="8"/>
  <c r="AJ13" i="8"/>
  <c r="AJ23" i="8"/>
  <c r="AJ11" i="8"/>
  <c r="AJ22" i="8"/>
  <c r="AJ10" i="8"/>
  <c r="AJ21" i="8"/>
  <c r="AJ9" i="8"/>
  <c r="AJ523" i="8"/>
  <c r="AJ511" i="8"/>
  <c r="AJ487" i="8"/>
  <c r="AJ475" i="8"/>
  <c r="AJ439" i="8"/>
  <c r="AJ427" i="8"/>
  <c r="AJ415" i="8"/>
  <c r="AJ521" i="8"/>
  <c r="AJ355" i="8"/>
  <c r="AJ343" i="8"/>
  <c r="AJ331" i="8"/>
  <c r="AJ295" i="8"/>
  <c r="AJ283" i="8"/>
  <c r="AJ271" i="8"/>
  <c r="AJ223" i="8"/>
  <c r="AJ211" i="8"/>
  <c r="AJ187" i="8"/>
  <c r="AJ151" i="8"/>
  <c r="AJ139" i="8"/>
  <c r="AJ115" i="8"/>
  <c r="AJ79" i="8"/>
  <c r="AJ67" i="8"/>
  <c r="AJ55" i="8"/>
  <c r="AJ31" i="8"/>
  <c r="AJ19" i="8"/>
  <c r="AJ7" i="8"/>
  <c r="AJ222" i="8"/>
  <c r="AJ210" i="8"/>
  <c r="AJ198" i="8"/>
  <c r="AJ186" i="8"/>
  <c r="AJ174" i="8"/>
  <c r="AJ162" i="8"/>
  <c r="AJ150" i="8"/>
  <c r="AJ138" i="8"/>
  <c r="AJ126" i="8"/>
  <c r="AJ114" i="8"/>
  <c r="AJ102" i="8"/>
  <c r="AJ90" i="8"/>
  <c r="AJ78" i="8"/>
  <c r="AJ66" i="8"/>
  <c r="AJ54" i="8"/>
  <c r="AJ42" i="8"/>
  <c r="AJ30" i="8"/>
  <c r="AJ18" i="8"/>
  <c r="AJ6" i="8"/>
  <c r="AJ329" i="8"/>
  <c r="AJ317" i="8"/>
  <c r="AJ305" i="8"/>
  <c r="AJ269" i="8"/>
  <c r="AJ257" i="8"/>
  <c r="AJ221" i="8"/>
  <c r="AJ209" i="8"/>
  <c r="AJ197" i="8"/>
  <c r="AJ185" i="8"/>
  <c r="AJ173" i="8"/>
  <c r="AJ137" i="8"/>
  <c r="AJ113" i="8"/>
  <c r="AJ101" i="8"/>
  <c r="AJ77" i="8"/>
  <c r="AJ53" i="8"/>
  <c r="AJ17" i="8"/>
  <c r="AJ5" i="8"/>
  <c r="AJ316" i="8"/>
  <c r="AJ304" i="8"/>
  <c r="AJ256" i="8"/>
  <c r="AJ208" i="8"/>
  <c r="AJ136" i="8"/>
  <c r="AJ52" i="8"/>
  <c r="AJ16" i="8"/>
  <c r="AJ303" i="8"/>
  <c r="AJ291" i="8"/>
  <c r="AJ207" i="8"/>
  <c r="AJ123" i="8"/>
  <c r="AJ99" i="8"/>
  <c r="AJ63" i="8"/>
  <c r="AJ15" i="8"/>
  <c r="AJ518" i="8"/>
  <c r="AJ506" i="8"/>
  <c r="AJ494" i="8"/>
  <c r="AJ482" i="8"/>
  <c r="AJ470" i="8"/>
  <c r="AJ458" i="8"/>
  <c r="AJ446" i="8"/>
  <c r="AJ434" i="8"/>
  <c r="AJ422" i="8"/>
  <c r="AJ410" i="8"/>
  <c r="AJ398" i="8"/>
  <c r="AJ386" i="8"/>
  <c r="AJ374" i="8"/>
  <c r="AJ362" i="8"/>
  <c r="AJ350" i="8"/>
  <c r="AJ290" i="8"/>
  <c r="AJ278" i="8"/>
  <c r="AJ266" i="8"/>
  <c r="AJ242" i="8"/>
  <c r="AJ230" i="8"/>
  <c r="AJ194" i="8"/>
  <c r="AJ170" i="8"/>
  <c r="AJ158" i="8"/>
  <c r="AJ122" i="8"/>
  <c r="AJ110" i="8"/>
  <c r="AJ86" i="8"/>
  <c r="AJ62" i="8"/>
  <c r="AJ38" i="8"/>
  <c r="AJ14" i="8"/>
  <c r="AJ361" i="8"/>
  <c r="AJ349" i="8"/>
  <c r="AJ337" i="8"/>
  <c r="AJ277" i="8"/>
  <c r="AJ265" i="8"/>
  <c r="AJ253" i="8"/>
  <c r="AJ229" i="8"/>
  <c r="AJ193" i="8"/>
  <c r="AJ181" i="8"/>
  <c r="AJ157" i="8"/>
  <c r="AJ145" i="8"/>
  <c r="AJ348" i="8"/>
  <c r="AJ336" i="8"/>
  <c r="AJ324" i="8"/>
  <c r="AJ264" i="8"/>
  <c r="AJ252" i="8"/>
  <c r="AJ228" i="8"/>
  <c r="AJ216" i="8"/>
  <c r="AJ180" i="8"/>
  <c r="AJ156" i="8"/>
  <c r="AJ144" i="8"/>
  <c r="AJ132" i="8"/>
  <c r="AJ108" i="8"/>
  <c r="AJ96" i="8"/>
  <c r="AJ84" i="8"/>
  <c r="AJ72" i="8"/>
  <c r="AJ48" i="8"/>
  <c r="AJ24" i="8"/>
  <c r="AJ224" i="8"/>
  <c r="AJ80" i="8"/>
  <c r="AJ32" i="8"/>
  <c r="AO497" i="8"/>
  <c r="AO485" i="8"/>
  <c r="AO473" i="8"/>
  <c r="AO461" i="8"/>
  <c r="AO449" i="8"/>
  <c r="AO437" i="8"/>
  <c r="AO425" i="8"/>
  <c r="AO413" i="8"/>
  <c r="AO448" i="8"/>
  <c r="AO436" i="8"/>
  <c r="AO424" i="8"/>
  <c r="AO412" i="8"/>
  <c r="AO400" i="8"/>
  <c r="AO388" i="8"/>
  <c r="AO376" i="8"/>
  <c r="AO364" i="8"/>
  <c r="AO352" i="8"/>
  <c r="AO340" i="8"/>
  <c r="AO328" i="8"/>
  <c r="AO316" i="8"/>
  <c r="AO304" i="8"/>
  <c r="AO292" i="8"/>
  <c r="AO280" i="8"/>
  <c r="AO268" i="8"/>
  <c r="AO256" i="8"/>
  <c r="AO244" i="8"/>
  <c r="AO232" i="8"/>
  <c r="AO220" i="8"/>
  <c r="AJ184" i="8"/>
  <c r="AJ40" i="8"/>
  <c r="AJ171" i="8"/>
  <c r="AJ27" i="8"/>
  <c r="AO194" i="8"/>
  <c r="AO182" i="8"/>
  <c r="AO504" i="8"/>
  <c r="AO492" i="8"/>
  <c r="AO480" i="8"/>
  <c r="AO468" i="8"/>
  <c r="AO456" i="8"/>
  <c r="AO444" i="8"/>
  <c r="AO432" i="8"/>
  <c r="AO420" i="8"/>
  <c r="AO408" i="8"/>
  <c r="AO396" i="8"/>
  <c r="AO384" i="8"/>
  <c r="AO372" i="8"/>
  <c r="AO360" i="8"/>
  <c r="AO348" i="8"/>
  <c r="AO336" i="8"/>
  <c r="AO324" i="8"/>
  <c r="AO312" i="8"/>
  <c r="AO300" i="8"/>
  <c r="AO288" i="8"/>
  <c r="AO276" i="8"/>
  <c r="AO264" i="8"/>
  <c r="AO252" i="8"/>
  <c r="AO240" i="8"/>
  <c r="AO228" i="8"/>
  <c r="AO216" i="8"/>
  <c r="AO204" i="8"/>
  <c r="AO192" i="8"/>
  <c r="AO180" i="8"/>
  <c r="AO168" i="8"/>
  <c r="AO156" i="8"/>
  <c r="AO144" i="8"/>
  <c r="AO132" i="8"/>
  <c r="AO120" i="8"/>
  <c r="AO108" i="8"/>
  <c r="AO96" i="8"/>
  <c r="AO84" i="8"/>
  <c r="AO72" i="8"/>
  <c r="AO60" i="8"/>
  <c r="AO48" i="8"/>
  <c r="AO36" i="8"/>
  <c r="AO24" i="8"/>
  <c r="AO12" i="8"/>
  <c r="AO500" i="8"/>
  <c r="AO488" i="8"/>
  <c r="AO476" i="8"/>
  <c r="AO464" i="8"/>
  <c r="AO452" i="8"/>
  <c r="AO440" i="8"/>
  <c r="AO428" i="8"/>
  <c r="AO416" i="8"/>
  <c r="AO404" i="8"/>
  <c r="AO392" i="8"/>
  <c r="AO380" i="8"/>
  <c r="AO368" i="8"/>
  <c r="AO356" i="8"/>
  <c r="AO344" i="8"/>
  <c r="AO332" i="8"/>
  <c r="AO320" i="8"/>
  <c r="AO308" i="8"/>
  <c r="AO296" i="8"/>
  <c r="AO284" i="8"/>
  <c r="AO272" i="8"/>
  <c r="AO260" i="8"/>
  <c r="AO248" i="8"/>
  <c r="AO236" i="8"/>
  <c r="AO499" i="8"/>
  <c r="AO487" i="8"/>
  <c r="AO475" i="8"/>
  <c r="AO463" i="8"/>
  <c r="AO451" i="8"/>
  <c r="AO439" i="8"/>
  <c r="AO427" i="8"/>
  <c r="AO415" i="8"/>
  <c r="AO403" i="8"/>
  <c r="AO391" i="8"/>
  <c r="AO379" i="8"/>
  <c r="AO367" i="8"/>
  <c r="AO355" i="8"/>
  <c r="AO343" i="8"/>
  <c r="AO331" i="8"/>
  <c r="AO319" i="8"/>
  <c r="AO307" i="8"/>
  <c r="AO295" i="8"/>
  <c r="AO283" i="8"/>
  <c r="AO271" i="8"/>
  <c r="AO259" i="8"/>
  <c r="AO247" i="8"/>
  <c r="AO498" i="8"/>
  <c r="AO486" i="8"/>
  <c r="AO474" i="8"/>
  <c r="AO462" i="8"/>
  <c r="AO450" i="8"/>
  <c r="AO438" i="8"/>
  <c r="AO426" i="8"/>
  <c r="AO414" i="8"/>
  <c r="AO402" i="8"/>
  <c r="AO390" i="8"/>
  <c r="AO378" i="8"/>
  <c r="AO366" i="8"/>
  <c r="AO354" i="8"/>
  <c r="AO342" i="8"/>
  <c r="AO330" i="8"/>
  <c r="AO318" i="8"/>
  <c r="AO306" i="8"/>
  <c r="AO294" i="8"/>
  <c r="AO282" i="8"/>
  <c r="AO270" i="8"/>
  <c r="AO258" i="8"/>
  <c r="AO246" i="8"/>
  <c r="AO234" i="8"/>
  <c r="AO222" i="8"/>
  <c r="AO210" i="8"/>
  <c r="AO198" i="8"/>
  <c r="AO186" i="8"/>
  <c r="AO174" i="8"/>
  <c r="AO162" i="8"/>
  <c r="AO150" i="8"/>
  <c r="AO138" i="8"/>
  <c r="AO126" i="8"/>
  <c r="AO114" i="8"/>
  <c r="AO102" i="8"/>
  <c r="AO90" i="8"/>
  <c r="AO78" i="8"/>
  <c r="AO66" i="8"/>
  <c r="AO54" i="8"/>
  <c r="AO42" i="8"/>
  <c r="AO30" i="8"/>
  <c r="AO18" i="8"/>
  <c r="AO6" i="8"/>
  <c r="AO401" i="8"/>
  <c r="AO389" i="8"/>
  <c r="AO377" i="8"/>
  <c r="AO365" i="8"/>
  <c r="AO353" i="8"/>
  <c r="AO341" i="8"/>
  <c r="AO329" i="8"/>
  <c r="AO317" i="8"/>
  <c r="AO305" i="8"/>
  <c r="AO293" i="8"/>
  <c r="AO281" i="8"/>
  <c r="AO269" i="8"/>
  <c r="AO257" i="8"/>
  <c r="AO245" i="8"/>
  <c r="AO233" i="8"/>
  <c r="AO221" i="8"/>
  <c r="AO209" i="8"/>
  <c r="AO197" i="8"/>
  <c r="AO185" i="8"/>
  <c r="AO173" i="8"/>
  <c r="AO161" i="8"/>
  <c r="AO149" i="8"/>
  <c r="AO137" i="8"/>
  <c r="AO125" i="8"/>
  <c r="AO113" i="8"/>
  <c r="AO101" i="8"/>
  <c r="AO89" i="8"/>
  <c r="AO77" i="8"/>
  <c r="AO65" i="8"/>
  <c r="AO53" i="8"/>
  <c r="AO41" i="8"/>
  <c r="AO29" i="8"/>
  <c r="AO17" i="8"/>
  <c r="AO5" i="8"/>
  <c r="D5" i="1"/>
  <c r="D14" i="1"/>
  <c r="D13" i="1"/>
  <c r="G13" i="1"/>
  <c r="H13" i="1" s="1"/>
  <c r="AJ8" i="9" a="1"/>
  <c r="AJ8" i="9" s="1"/>
  <c r="AK8" i="9" s="1" a="1"/>
  <c r="AK8" i="9" s="1"/>
  <c r="AJ6" i="9" a="1"/>
  <c r="AJ6" i="9" s="1"/>
  <c r="D29" i="1" s="1"/>
  <c r="AJ5" i="9"/>
  <c r="AJ7" i="9" a="1"/>
  <c r="AJ7" i="9" s="1"/>
  <c r="D28" i="1" s="1"/>
  <c r="AJ4" i="9"/>
  <c r="AJ9" i="9" a="1"/>
  <c r="AJ9" i="9" s="1"/>
  <c r="AK9" i="9" s="1" a="1"/>
  <c r="AK9" i="9" s="1"/>
  <c r="G38" i="1"/>
  <c r="H38" i="1" s="1"/>
  <c r="AF1045" i="8" l="1"/>
  <c r="AP1037" i="8"/>
  <c r="AF350" i="8"/>
  <c r="AF465" i="8"/>
  <c r="AF330" i="8"/>
  <c r="AF161" i="8"/>
  <c r="AF352" i="8"/>
  <c r="AF518" i="8"/>
  <c r="AF287" i="8"/>
  <c r="AF479" i="8"/>
  <c r="AF381" i="8"/>
  <c r="AF272" i="8"/>
  <c r="AF171" i="8"/>
  <c r="AF329" i="8"/>
  <c r="AF184" i="8"/>
  <c r="AF521" i="8"/>
  <c r="AF324" i="8"/>
  <c r="AF139" i="8"/>
  <c r="AF430" i="8"/>
  <c r="AF339" i="8"/>
  <c r="AK526" i="8"/>
  <c r="AF158" i="8"/>
  <c r="AF119" i="8"/>
  <c r="AF308" i="8"/>
  <c r="AF501" i="8"/>
  <c r="AF162" i="8"/>
  <c r="AF491" i="8"/>
  <c r="AF76" i="8"/>
  <c r="AF71" i="8"/>
  <c r="AF59" i="8"/>
  <c r="AF165" i="8"/>
  <c r="AF456" i="8"/>
  <c r="AF475" i="8"/>
  <c r="AF1034" i="8"/>
  <c r="AF50" i="8"/>
  <c r="AF191" i="8"/>
  <c r="AF335" i="8"/>
  <c r="AF284" i="8"/>
  <c r="AK775" i="8"/>
  <c r="AF440" i="8"/>
  <c r="AF251" i="8"/>
  <c r="AF108" i="8"/>
  <c r="AF202" i="8"/>
  <c r="AF109" i="8"/>
  <c r="AF489" i="8"/>
  <c r="AF116" i="8"/>
  <c r="AF514" i="8"/>
  <c r="AF343" i="8"/>
  <c r="AF439" i="8"/>
  <c r="AF199" i="8"/>
  <c r="AF344" i="8"/>
  <c r="AF238" i="8"/>
  <c r="AF212" i="8"/>
  <c r="AF496" i="8"/>
  <c r="AF331" i="8"/>
  <c r="AP1044" i="8"/>
  <c r="AF346" i="8"/>
  <c r="AF419" i="8"/>
  <c r="AF34" i="8"/>
  <c r="AF21" i="8"/>
  <c r="AF138" i="8"/>
  <c r="AF95" i="8"/>
  <c r="AF369" i="8"/>
  <c r="AF79" i="8"/>
  <c r="AF56" i="8"/>
  <c r="AK525" i="8"/>
  <c r="AF507" i="8"/>
  <c r="AF499" i="8"/>
  <c r="AF498" i="8"/>
  <c r="AF286" i="8"/>
  <c r="AF156" i="8"/>
  <c r="AF140" i="8"/>
  <c r="AU1044" i="8"/>
  <c r="AF516" i="8"/>
  <c r="AF520" i="8"/>
  <c r="AF285" i="8"/>
  <c r="AF169" i="8"/>
  <c r="AF302" i="8"/>
  <c r="AF337" i="8"/>
  <c r="AF296" i="8"/>
  <c r="AF431" i="8"/>
  <c r="AF462" i="8"/>
  <c r="AF505" i="8"/>
  <c r="AF144" i="8"/>
  <c r="AF312" i="8"/>
  <c r="AF480" i="8"/>
  <c r="AF157" i="8"/>
  <c r="AF325" i="8"/>
  <c r="AF493" i="8"/>
  <c r="AF146" i="8"/>
  <c r="AF314" i="8"/>
  <c r="AF506" i="8"/>
  <c r="AF159" i="8"/>
  <c r="AF327" i="8"/>
  <c r="AF495" i="8"/>
  <c r="AF148" i="8"/>
  <c r="AF340" i="8"/>
  <c r="AF508" i="8"/>
  <c r="AF149" i="8"/>
  <c r="AF317" i="8"/>
  <c r="AF485" i="8"/>
  <c r="AF150" i="8"/>
  <c r="AF318" i="8"/>
  <c r="AF486" i="8"/>
  <c r="AF127" i="8"/>
  <c r="AF295" i="8"/>
  <c r="AF487" i="8"/>
  <c r="AF128" i="8"/>
  <c r="AF107" i="8"/>
  <c r="AF275" i="8"/>
  <c r="AF443" i="8"/>
  <c r="AF260" i="8"/>
  <c r="AF453" i="8"/>
  <c r="AF224" i="8"/>
  <c r="AF417" i="8"/>
  <c r="AF106" i="8"/>
  <c r="AF333" i="8"/>
  <c r="AF382" i="8"/>
  <c r="AF488" i="8"/>
  <c r="AP1014" i="8"/>
  <c r="AF482" i="8"/>
  <c r="AF35" i="8"/>
  <c r="AF182" i="8"/>
  <c r="AF326" i="8"/>
  <c r="AF24" i="8"/>
  <c r="AF168" i="8"/>
  <c r="AF336" i="8"/>
  <c r="AF13" i="8"/>
  <c r="AF181" i="8"/>
  <c r="AF349" i="8"/>
  <c r="AF517" i="8"/>
  <c r="AF170" i="8"/>
  <c r="AF362" i="8"/>
  <c r="AF15" i="8"/>
  <c r="AF183" i="8"/>
  <c r="AF351" i="8"/>
  <c r="AF519" i="8"/>
  <c r="AF196" i="8"/>
  <c r="AF364" i="8"/>
  <c r="AF5" i="8"/>
  <c r="AF173" i="8"/>
  <c r="AF341" i="8"/>
  <c r="AF6" i="8"/>
  <c r="AF174" i="8"/>
  <c r="AF342" i="8"/>
  <c r="AF510" i="8"/>
  <c r="AF151" i="8"/>
  <c r="AF511" i="8"/>
  <c r="AF152" i="8"/>
  <c r="AF131" i="8"/>
  <c r="AF299" i="8"/>
  <c r="AF356" i="8"/>
  <c r="AF82" i="8"/>
  <c r="AF320" i="8"/>
  <c r="AF513" i="8"/>
  <c r="AF332" i="8"/>
  <c r="AF429" i="8"/>
  <c r="AF478" i="8"/>
  <c r="AP923" i="8"/>
  <c r="AF36" i="8"/>
  <c r="AF180" i="8"/>
  <c r="AF372" i="8"/>
  <c r="AF25" i="8"/>
  <c r="AF193" i="8"/>
  <c r="AF361" i="8"/>
  <c r="AF14" i="8"/>
  <c r="AF206" i="8"/>
  <c r="AF374" i="8"/>
  <c r="AF27" i="8"/>
  <c r="AF195" i="8"/>
  <c r="AF363" i="8"/>
  <c r="AF40" i="8"/>
  <c r="AF208" i="8"/>
  <c r="AF376" i="8"/>
  <c r="AF17" i="8"/>
  <c r="AF185" i="8"/>
  <c r="AF377" i="8"/>
  <c r="AF18" i="8"/>
  <c r="AF186" i="8"/>
  <c r="AF354" i="8"/>
  <c r="AF522" i="8"/>
  <c r="AF187" i="8"/>
  <c r="AF355" i="8"/>
  <c r="AF523" i="8"/>
  <c r="AF164" i="8"/>
  <c r="AF143" i="8"/>
  <c r="AF503" i="8"/>
  <c r="AF404" i="8"/>
  <c r="AF154" i="8"/>
  <c r="AF368" i="8"/>
  <c r="AF177" i="8"/>
  <c r="AF380" i="8"/>
  <c r="AF477" i="8"/>
  <c r="AF201" i="8"/>
  <c r="AF338" i="8"/>
  <c r="AF48" i="8"/>
  <c r="AF192" i="8"/>
  <c r="AF384" i="8"/>
  <c r="AF37" i="8"/>
  <c r="AF205" i="8"/>
  <c r="AF373" i="8"/>
  <c r="AF26" i="8"/>
  <c r="AF218" i="8"/>
  <c r="AF386" i="8"/>
  <c r="AF39" i="8"/>
  <c r="AF207" i="8"/>
  <c r="AF375" i="8"/>
  <c r="AF52" i="8"/>
  <c r="AF220" i="8"/>
  <c r="AF388" i="8"/>
  <c r="AF29" i="8"/>
  <c r="AF197" i="8"/>
  <c r="AF389" i="8"/>
  <c r="AF30" i="8"/>
  <c r="AF198" i="8"/>
  <c r="AF366" i="8"/>
  <c r="AF7" i="8"/>
  <c r="AF367" i="8"/>
  <c r="AF8" i="8"/>
  <c r="AF176" i="8"/>
  <c r="AF155" i="8"/>
  <c r="AF347" i="8"/>
  <c r="AF515" i="8"/>
  <c r="AF452" i="8"/>
  <c r="AF214" i="8"/>
  <c r="AF416" i="8"/>
  <c r="AF226" i="8"/>
  <c r="AF428" i="8"/>
  <c r="AF525" i="8"/>
  <c r="AF297" i="8"/>
  <c r="AF414" i="8"/>
  <c r="AF60" i="8"/>
  <c r="AF228" i="8"/>
  <c r="AF396" i="8"/>
  <c r="AF49" i="8"/>
  <c r="AF217" i="8"/>
  <c r="AF385" i="8"/>
  <c r="AF62" i="8"/>
  <c r="AF230" i="8"/>
  <c r="AF398" i="8"/>
  <c r="AF51" i="8"/>
  <c r="AF219" i="8"/>
  <c r="AF411" i="8"/>
  <c r="AF64" i="8"/>
  <c r="AF232" i="8"/>
  <c r="AF400" i="8"/>
  <c r="AF41" i="8"/>
  <c r="AF233" i="8"/>
  <c r="AF401" i="8"/>
  <c r="AF42" i="8"/>
  <c r="AF210" i="8"/>
  <c r="AF378" i="8"/>
  <c r="AF43" i="8"/>
  <c r="AF211" i="8"/>
  <c r="AF379" i="8"/>
  <c r="AF20" i="8"/>
  <c r="AF188" i="8"/>
  <c r="AF359" i="8"/>
  <c r="AF141" i="8"/>
  <c r="AF500" i="8"/>
  <c r="AF262" i="8"/>
  <c r="AF22" i="8"/>
  <c r="AF274" i="8"/>
  <c r="AF476" i="8"/>
  <c r="AF58" i="8"/>
  <c r="AF467" i="8"/>
  <c r="AF72" i="8"/>
  <c r="AF240" i="8"/>
  <c r="AF408" i="8"/>
  <c r="AF61" i="8"/>
  <c r="AF229" i="8"/>
  <c r="AF397" i="8"/>
  <c r="AF74" i="8"/>
  <c r="AF242" i="8"/>
  <c r="AF410" i="8"/>
  <c r="AF63" i="8"/>
  <c r="AF231" i="8"/>
  <c r="AF423" i="8"/>
  <c r="AF244" i="8"/>
  <c r="AF412" i="8"/>
  <c r="AF53" i="8"/>
  <c r="AF245" i="8"/>
  <c r="AF413" i="8"/>
  <c r="AF54" i="8"/>
  <c r="AF222" i="8"/>
  <c r="AF390" i="8"/>
  <c r="AF55" i="8"/>
  <c r="AF223" i="8"/>
  <c r="AF391" i="8"/>
  <c r="AF32" i="8"/>
  <c r="AF11" i="8"/>
  <c r="AF203" i="8"/>
  <c r="AF371" i="8"/>
  <c r="AF9" i="8"/>
  <c r="AF310" i="8"/>
  <c r="AF94" i="8"/>
  <c r="AF322" i="8"/>
  <c r="AF524" i="8"/>
  <c r="AF345" i="8"/>
  <c r="AF57" i="8"/>
  <c r="AF633" i="8"/>
  <c r="AF105" i="8"/>
  <c r="AF237" i="8"/>
  <c r="AF365" i="8"/>
  <c r="AF179" i="8"/>
  <c r="AF190" i="8"/>
  <c r="AF84" i="8"/>
  <c r="AF252" i="8"/>
  <c r="AF420" i="8"/>
  <c r="AF73" i="8"/>
  <c r="AF241" i="8"/>
  <c r="AF433" i="8"/>
  <c r="AF86" i="8"/>
  <c r="AF254" i="8"/>
  <c r="AF422" i="8"/>
  <c r="AF75" i="8"/>
  <c r="AF267" i="8"/>
  <c r="AF435" i="8"/>
  <c r="AF88" i="8"/>
  <c r="AF256" i="8"/>
  <c r="AF424" i="8"/>
  <c r="AF89" i="8"/>
  <c r="AF257" i="8"/>
  <c r="AF425" i="8"/>
  <c r="AF66" i="8"/>
  <c r="AF234" i="8"/>
  <c r="AF426" i="8"/>
  <c r="AF67" i="8"/>
  <c r="AF235" i="8"/>
  <c r="AF403" i="8"/>
  <c r="AF44" i="8"/>
  <c r="AF47" i="8"/>
  <c r="AF215" i="8"/>
  <c r="AF383" i="8"/>
  <c r="AF298" i="8"/>
  <c r="AF81" i="8"/>
  <c r="AF454" i="8"/>
  <c r="AF166" i="8"/>
  <c r="AF370" i="8"/>
  <c r="AF249" i="8"/>
  <c r="AF393" i="8"/>
  <c r="AF248" i="8"/>
  <c r="AF111" i="8"/>
  <c r="AF261" i="8"/>
  <c r="AF406" i="8"/>
  <c r="AF200" i="8"/>
  <c r="AK523" i="8"/>
  <c r="AF96" i="8"/>
  <c r="AF264" i="8"/>
  <c r="AF432" i="8"/>
  <c r="AF85" i="8"/>
  <c r="AF253" i="8"/>
  <c r="AF445" i="8"/>
  <c r="AF98" i="8"/>
  <c r="AF266" i="8"/>
  <c r="AF434" i="8"/>
  <c r="AF87" i="8"/>
  <c r="AF279" i="8"/>
  <c r="AF447" i="8"/>
  <c r="AF100" i="8"/>
  <c r="AF268" i="8"/>
  <c r="AF436" i="8"/>
  <c r="AF101" i="8"/>
  <c r="AF269" i="8"/>
  <c r="AF437" i="8"/>
  <c r="AF78" i="8"/>
  <c r="AF246" i="8"/>
  <c r="AF438" i="8"/>
  <c r="AF247" i="8"/>
  <c r="AF415" i="8"/>
  <c r="AF227" i="8"/>
  <c r="AF395" i="8"/>
  <c r="AF153" i="8"/>
  <c r="AF502" i="8"/>
  <c r="AF225" i="8"/>
  <c r="AF418" i="8"/>
  <c r="AF441" i="8"/>
  <c r="AF46" i="8"/>
  <c r="AU541" i="8"/>
  <c r="AU758" i="8"/>
  <c r="AU986" i="8"/>
  <c r="AK607" i="8"/>
  <c r="AF126" i="8"/>
  <c r="AF270" i="8"/>
  <c r="AF213" i="8"/>
  <c r="AF497" i="8"/>
  <c r="AF1044" i="8"/>
  <c r="AF276" i="8"/>
  <c r="AF444" i="8"/>
  <c r="AF97" i="8"/>
  <c r="AF289" i="8"/>
  <c r="AF457" i="8"/>
  <c r="AF110" i="8"/>
  <c r="AF278" i="8"/>
  <c r="AF446" i="8"/>
  <c r="AF123" i="8"/>
  <c r="AF291" i="8"/>
  <c r="AF459" i="8"/>
  <c r="AF112" i="8"/>
  <c r="AF280" i="8"/>
  <c r="AF472" i="8"/>
  <c r="AF113" i="8"/>
  <c r="AF281" i="8"/>
  <c r="AF449" i="8"/>
  <c r="AF90" i="8"/>
  <c r="AF282" i="8"/>
  <c r="AF450" i="8"/>
  <c r="AF91" i="8"/>
  <c r="AF259" i="8"/>
  <c r="AF427" i="8"/>
  <c r="AF92" i="8"/>
  <c r="AF239" i="8"/>
  <c r="AF407" i="8"/>
  <c r="AF394" i="8"/>
  <c r="AF309" i="8"/>
  <c r="AF273" i="8"/>
  <c r="AF466" i="8"/>
  <c r="AF45" i="8"/>
  <c r="AF133" i="8"/>
  <c r="AP1045" i="8"/>
  <c r="AF142" i="8"/>
  <c r="AF323" i="8"/>
  <c r="AF512" i="8"/>
  <c r="AK524" i="8"/>
  <c r="AF120" i="8"/>
  <c r="AF288" i="8"/>
  <c r="AF301" i="8"/>
  <c r="AF469" i="8"/>
  <c r="AF122" i="8"/>
  <c r="AF290" i="8"/>
  <c r="AF458" i="8"/>
  <c r="AF135" i="8"/>
  <c r="AF303" i="8"/>
  <c r="AF471" i="8"/>
  <c r="AF124" i="8"/>
  <c r="AF292" i="8"/>
  <c r="AF484" i="8"/>
  <c r="AF125" i="8"/>
  <c r="AF293" i="8"/>
  <c r="AF461" i="8"/>
  <c r="AF102" i="8"/>
  <c r="AF294" i="8"/>
  <c r="AF103" i="8"/>
  <c r="AF271" i="8"/>
  <c r="AF104" i="8"/>
  <c r="AF83" i="8"/>
  <c r="AF442" i="8"/>
  <c r="AF357" i="8"/>
  <c r="AF93" i="8"/>
  <c r="AF321" i="8"/>
  <c r="AF117" i="8"/>
  <c r="AF392" i="8"/>
  <c r="AF132" i="8"/>
  <c r="AF300" i="8"/>
  <c r="AF468" i="8"/>
  <c r="AF145" i="8"/>
  <c r="AF313" i="8"/>
  <c r="AF481" i="8"/>
  <c r="AF134" i="8"/>
  <c r="AF494" i="8"/>
  <c r="AF147" i="8"/>
  <c r="AF315" i="8"/>
  <c r="AF483" i="8"/>
  <c r="AF136" i="8"/>
  <c r="AF328" i="8"/>
  <c r="AF137" i="8"/>
  <c r="AF305" i="8"/>
  <c r="AF473" i="8"/>
  <c r="AF306" i="8"/>
  <c r="AF474" i="8"/>
  <c r="AF115" i="8"/>
  <c r="AF283" i="8"/>
  <c r="AF263" i="8"/>
  <c r="AF405" i="8"/>
  <c r="AF334" i="8"/>
  <c r="AF938" i="8"/>
  <c r="AF23" i="8"/>
  <c r="AF167" i="8"/>
  <c r="AF311" i="8"/>
  <c r="AF358" i="8"/>
  <c r="AF204" i="8"/>
  <c r="AF348" i="8"/>
  <c r="AF492" i="8"/>
  <c r="AF121" i="8"/>
  <c r="AF265" i="8"/>
  <c r="AF409" i="8"/>
  <c r="AF38" i="8"/>
  <c r="AF470" i="8"/>
  <c r="AF99" i="8"/>
  <c r="AF243" i="8"/>
  <c r="AF387" i="8"/>
  <c r="AF16" i="8"/>
  <c r="AF160" i="8"/>
  <c r="AF304" i="8"/>
  <c r="AF448" i="8"/>
  <c r="AF65" i="8"/>
  <c r="AF209" i="8"/>
  <c r="AF353" i="8"/>
  <c r="AF114" i="8"/>
  <c r="AF258" i="8"/>
  <c r="AF402" i="8"/>
  <c r="AF19" i="8"/>
  <c r="AF163" i="8"/>
  <c r="AF307" i="8"/>
  <c r="AF451" i="8"/>
  <c r="AF68" i="8"/>
  <c r="AF455" i="8"/>
  <c r="AF70" i="8"/>
  <c r="AF464" i="8"/>
  <c r="AF33" i="8"/>
  <c r="AF178" i="8"/>
  <c r="AF189" i="8"/>
  <c r="AF118" i="8"/>
  <c r="AF129" i="8"/>
  <c r="AU556" i="8"/>
  <c r="AU700" i="8"/>
  <c r="AU4" i="8"/>
  <c r="G50" i="1" s="1"/>
  <c r="AU931" i="8"/>
  <c r="AF745" i="8"/>
  <c r="AK503" i="8"/>
  <c r="AF216" i="8"/>
  <c r="AF360" i="8"/>
  <c r="AF504" i="8"/>
  <c r="AF277" i="8"/>
  <c r="AF421" i="8"/>
  <c r="AF194" i="8"/>
  <c r="AF255" i="8"/>
  <c r="AF399" i="8"/>
  <c r="AF28" i="8"/>
  <c r="AF172" i="8"/>
  <c r="AF316" i="8"/>
  <c r="AF460" i="8"/>
  <c r="AF77" i="8"/>
  <c r="AF221" i="8"/>
  <c r="AF509" i="8"/>
  <c r="AF31" i="8"/>
  <c r="AF175" i="8"/>
  <c r="AF319" i="8"/>
  <c r="AF463" i="8"/>
  <c r="AF80" i="8"/>
  <c r="AF236" i="8"/>
  <c r="AU278" i="8"/>
  <c r="AU489" i="8"/>
  <c r="AU66" i="8"/>
  <c r="AU226" i="8"/>
  <c r="AU494" i="8"/>
  <c r="AU220" i="8"/>
  <c r="AU566" i="8"/>
  <c r="AU722" i="8"/>
  <c r="AU1025" i="8"/>
  <c r="AU754" i="8"/>
  <c r="AP1013" i="8"/>
  <c r="AP1043" i="8"/>
  <c r="AK727" i="8"/>
  <c r="AP731" i="8"/>
  <c r="AF605" i="8"/>
  <c r="AF754" i="8"/>
  <c r="AF837" i="8"/>
  <c r="AU776" i="8"/>
  <c r="AU1001" i="8"/>
  <c r="AU922" i="8"/>
  <c r="AK837" i="8"/>
  <c r="AK982" i="8"/>
  <c r="AF620" i="8"/>
  <c r="AF771" i="8"/>
  <c r="AU106" i="8"/>
  <c r="AU592" i="8"/>
  <c r="AU796" i="8"/>
  <c r="AU794" i="8"/>
  <c r="AP783" i="8"/>
  <c r="AP513" i="8"/>
  <c r="AP665" i="8"/>
  <c r="AP954" i="8"/>
  <c r="AF1032" i="8"/>
  <c r="AU90" i="8"/>
  <c r="AU232" i="8"/>
  <c r="AU553" i="8"/>
  <c r="AU767" i="8"/>
  <c r="AU602" i="8"/>
  <c r="AU382" i="8"/>
  <c r="AU825" i="8"/>
  <c r="AU844" i="8"/>
  <c r="AU585" i="8"/>
  <c r="AK553" i="8"/>
  <c r="AF644" i="8"/>
  <c r="AF963" i="8"/>
  <c r="AU37" i="8"/>
  <c r="AU181" i="8"/>
  <c r="AU104" i="8"/>
  <c r="AU578" i="8"/>
  <c r="AU786" i="8"/>
  <c r="AU123" i="8"/>
  <c r="AU267" i="8"/>
  <c r="AU779" i="8"/>
  <c r="AP820" i="8"/>
  <c r="AP690" i="8"/>
  <c r="AP642" i="8"/>
  <c r="AF775" i="8"/>
  <c r="AU114" i="8"/>
  <c r="AU260" i="8"/>
  <c r="AU143" i="8"/>
  <c r="AU590" i="8"/>
  <c r="AU460" i="8"/>
  <c r="AU171" i="8"/>
  <c r="AU919" i="8"/>
  <c r="AU1039" i="8"/>
  <c r="AF615" i="8"/>
  <c r="AU205" i="8"/>
  <c r="AU128" i="8"/>
  <c r="AU272" i="8"/>
  <c r="AU11" i="8"/>
  <c r="AU292" i="8"/>
  <c r="AU872" i="8"/>
  <c r="AU668" i="8"/>
  <c r="AK633" i="8"/>
  <c r="AK772" i="8"/>
  <c r="AF490" i="8"/>
  <c r="AF878" i="8"/>
  <c r="AU140" i="8"/>
  <c r="AU282" i="8"/>
  <c r="AU23" i="8"/>
  <c r="AU166" i="8"/>
  <c r="AU621" i="8"/>
  <c r="AU839" i="8"/>
  <c r="AU504" i="8"/>
  <c r="AU564" i="8"/>
  <c r="AU407" i="8"/>
  <c r="AP743" i="8"/>
  <c r="AK516" i="8"/>
  <c r="AU152" i="8"/>
  <c r="AU296" i="8"/>
  <c r="AU440" i="8"/>
  <c r="AU34" i="8"/>
  <c r="AU650" i="8"/>
  <c r="AU853" i="8"/>
  <c r="AU952" i="8"/>
  <c r="AU680" i="8"/>
  <c r="AK795" i="8"/>
  <c r="AK945" i="8"/>
  <c r="AF979" i="8"/>
  <c r="AU94" i="8"/>
  <c r="AU20" i="8"/>
  <c r="AU308" i="8"/>
  <c r="AU450" i="8"/>
  <c r="AU47" i="8"/>
  <c r="AU190" i="8"/>
  <c r="AU335" i="8"/>
  <c r="AU692" i="8"/>
  <c r="AU428" i="8"/>
  <c r="AK685" i="8"/>
  <c r="AF679" i="8"/>
  <c r="AF575" i="8"/>
  <c r="AU107" i="8"/>
  <c r="AU251" i="8"/>
  <c r="AU32" i="8"/>
  <c r="AU174" i="8"/>
  <c r="AU320" i="8"/>
  <c r="AU59" i="8"/>
  <c r="AU203" i="8"/>
  <c r="AU347" i="8"/>
  <c r="AU458" i="8"/>
  <c r="AU196" i="8"/>
  <c r="AU339" i="8"/>
  <c r="AU544" i="8"/>
  <c r="AU728" i="8"/>
  <c r="AU491" i="8"/>
  <c r="AU713" i="8"/>
  <c r="AU935" i="8"/>
  <c r="AU821" i="8"/>
  <c r="AP678" i="8"/>
  <c r="AP572" i="8"/>
  <c r="AP759" i="8"/>
  <c r="AP788" i="8"/>
  <c r="AK1033" i="8"/>
  <c r="AU122" i="8"/>
  <c r="AU266" i="8"/>
  <c r="AU265" i="8"/>
  <c r="AU45" i="8"/>
  <c r="AU189" i="8"/>
  <c r="AU333" i="8"/>
  <c r="AU477" i="8"/>
  <c r="AU72" i="8"/>
  <c r="AU71" i="8"/>
  <c r="AU216" i="8"/>
  <c r="AU215" i="8"/>
  <c r="AU250" i="8"/>
  <c r="AU219" i="8"/>
  <c r="AU459" i="8"/>
  <c r="AU663" i="8"/>
  <c r="AU661" i="8"/>
  <c r="AU662" i="8"/>
  <c r="AU879" i="8"/>
  <c r="AU877" i="8"/>
  <c r="AU878" i="8"/>
  <c r="AU30" i="8"/>
  <c r="AU5" i="8"/>
  <c r="AU149" i="8"/>
  <c r="AU148" i="8"/>
  <c r="AU293" i="8"/>
  <c r="AU473" i="8"/>
  <c r="AU472" i="8"/>
  <c r="AU641" i="8"/>
  <c r="AU636" i="8"/>
  <c r="AU162" i="8"/>
  <c r="AU462" i="8"/>
  <c r="AU870" i="8"/>
  <c r="AU869" i="8"/>
  <c r="AU176" i="8"/>
  <c r="AU127" i="8"/>
  <c r="AU487" i="8"/>
  <c r="AU485" i="8"/>
  <c r="AU486" i="8"/>
  <c r="AU883" i="8"/>
  <c r="AU881" i="8"/>
  <c r="AU882" i="8"/>
  <c r="AU68" i="8"/>
  <c r="AU813" i="8"/>
  <c r="AU430" i="8"/>
  <c r="AU742" i="8"/>
  <c r="AU1030" i="8"/>
  <c r="AU528" i="8"/>
  <c r="AU527" i="8"/>
  <c r="AU526" i="8"/>
  <c r="AU732" i="8"/>
  <c r="AU731" i="8"/>
  <c r="AU948" i="8"/>
  <c r="AU446" i="8"/>
  <c r="AU445" i="8"/>
  <c r="AU442" i="8"/>
  <c r="AU711" i="8"/>
  <c r="AU708" i="8"/>
  <c r="AU709" i="8"/>
  <c r="AU707" i="8"/>
  <c r="AP527" i="8"/>
  <c r="AU574" i="8"/>
  <c r="AU858" i="8"/>
  <c r="AP569" i="8"/>
  <c r="AU469" i="8"/>
  <c r="AP704" i="8"/>
  <c r="AP699" i="8"/>
  <c r="AP992" i="8"/>
  <c r="AP987" i="8"/>
  <c r="AP989" i="8"/>
  <c r="AP681" i="8"/>
  <c r="AP969" i="8"/>
  <c r="AP659" i="8"/>
  <c r="AU679" i="8"/>
  <c r="AK645" i="8"/>
  <c r="AK784" i="8"/>
  <c r="AK928" i="8"/>
  <c r="AU649" i="8"/>
  <c r="AP525" i="8"/>
  <c r="AP602" i="8"/>
  <c r="AK835" i="8"/>
  <c r="AF788" i="8"/>
  <c r="AU134" i="8"/>
  <c r="AU133" i="8"/>
  <c r="AU231" i="8"/>
  <c r="AU687" i="8"/>
  <c r="AU685" i="8"/>
  <c r="AU686" i="8"/>
  <c r="AU305" i="8"/>
  <c r="AU476" i="8"/>
  <c r="AU380" i="8"/>
  <c r="AU778" i="8"/>
  <c r="AU419" i="8"/>
  <c r="AU540" i="8"/>
  <c r="AU539" i="8"/>
  <c r="AU756" i="8"/>
  <c r="AU751" i="8"/>
  <c r="AU753" i="8"/>
  <c r="AU755" i="8"/>
  <c r="AU748" i="8"/>
  <c r="AU752" i="8"/>
  <c r="AU749" i="8"/>
  <c r="AU750" i="8"/>
  <c r="AU734" i="8"/>
  <c r="AU208" i="8"/>
  <c r="AU484" i="8"/>
  <c r="AU747" i="8"/>
  <c r="AU744" i="8"/>
  <c r="AU743" i="8"/>
  <c r="AU745" i="8"/>
  <c r="AU488" i="8"/>
  <c r="AP712" i="8"/>
  <c r="AU763" i="8"/>
  <c r="AP891" i="8"/>
  <c r="AP849" i="8"/>
  <c r="AP506" i="8"/>
  <c r="AU146" i="8"/>
  <c r="AU145" i="8"/>
  <c r="AU290" i="8"/>
  <c r="AU69" i="8"/>
  <c r="AU213" i="8"/>
  <c r="AU212" i="8"/>
  <c r="AU357" i="8"/>
  <c r="AU501" i="8"/>
  <c r="AU96" i="8"/>
  <c r="AU95" i="8"/>
  <c r="AU240" i="8"/>
  <c r="AU239" i="8"/>
  <c r="AU15" i="8"/>
  <c r="AU243" i="8"/>
  <c r="AU483" i="8"/>
  <c r="AU482" i="8"/>
  <c r="AU481" i="8"/>
  <c r="AU699" i="8"/>
  <c r="AU697" i="8"/>
  <c r="AU698" i="8"/>
  <c r="AU915" i="8"/>
  <c r="AU913" i="8"/>
  <c r="AU29" i="8"/>
  <c r="AU27" i="8"/>
  <c r="AU173" i="8"/>
  <c r="AU172" i="8"/>
  <c r="AU317" i="8"/>
  <c r="AU315" i="8"/>
  <c r="AU316" i="8"/>
  <c r="AU521" i="8"/>
  <c r="AU520" i="8"/>
  <c r="AU665" i="8"/>
  <c r="AU664" i="8"/>
  <c r="AU198" i="8"/>
  <c r="AU522" i="8"/>
  <c r="AU918" i="8"/>
  <c r="AU916" i="8"/>
  <c r="AU917" i="8"/>
  <c r="AU187" i="8"/>
  <c r="AU523" i="8"/>
  <c r="AU943" i="8"/>
  <c r="AU500" i="8"/>
  <c r="AU22" i="8"/>
  <c r="AU478" i="8"/>
  <c r="AU814" i="8"/>
  <c r="AU191" i="8"/>
  <c r="AU431" i="8"/>
  <c r="AU551" i="8"/>
  <c r="AU766" i="8"/>
  <c r="AU746" i="8"/>
  <c r="AU783" i="8"/>
  <c r="AU781" i="8"/>
  <c r="AU782" i="8"/>
  <c r="AU1024" i="8"/>
  <c r="AU893" i="8"/>
  <c r="AU780" i="8"/>
  <c r="AU121" i="8"/>
  <c r="AP983" i="8"/>
  <c r="AU846" i="8"/>
  <c r="AK667" i="8"/>
  <c r="AK812" i="8"/>
  <c r="AK957" i="8"/>
  <c r="AK564" i="8"/>
  <c r="AK708" i="8"/>
  <c r="AK691" i="8"/>
  <c r="AK668" i="8"/>
  <c r="AK690" i="8"/>
  <c r="AK852" i="8"/>
  <c r="AK800" i="8"/>
  <c r="AK808" i="8"/>
  <c r="AK769" i="8"/>
  <c r="AP626" i="8"/>
  <c r="AP782" i="8"/>
  <c r="AP930" i="8"/>
  <c r="AK549" i="8"/>
  <c r="AK541" i="8"/>
  <c r="AU57" i="8"/>
  <c r="AU55" i="8"/>
  <c r="AU201" i="8"/>
  <c r="AU345" i="8"/>
  <c r="AU343" i="8"/>
  <c r="AU84" i="8"/>
  <c r="AU83" i="8"/>
  <c r="AU228" i="8"/>
  <c r="AU227" i="8"/>
  <c r="AU464" i="8"/>
  <c r="AU471" i="8"/>
  <c r="AU467" i="8"/>
  <c r="AU470" i="8"/>
  <c r="AU903" i="8"/>
  <c r="AU901" i="8"/>
  <c r="AU17" i="8"/>
  <c r="AU161" i="8"/>
  <c r="AU160" i="8"/>
  <c r="AU509" i="8"/>
  <c r="AU505" i="8"/>
  <c r="AU507" i="8"/>
  <c r="AU508" i="8"/>
  <c r="AU653" i="8"/>
  <c r="AU186" i="8"/>
  <c r="AU498" i="8"/>
  <c r="AU497" i="8"/>
  <c r="AU496" i="8"/>
  <c r="AU906" i="8"/>
  <c r="AU905" i="8"/>
  <c r="AU904" i="8"/>
  <c r="AU200" i="8"/>
  <c r="AU139" i="8"/>
  <c r="AU138" i="8"/>
  <c r="AU499" i="8"/>
  <c r="AU80" i="8"/>
  <c r="AU597" i="8"/>
  <c r="AU837" i="8"/>
  <c r="AU836" i="8"/>
  <c r="AU835" i="8"/>
  <c r="AU214" i="8"/>
  <c r="AU466" i="8"/>
  <c r="AU1042" i="8"/>
  <c r="AU1041" i="8"/>
  <c r="AU155" i="8"/>
  <c r="AU972" i="8"/>
  <c r="AU971" i="8"/>
  <c r="AP539" i="8"/>
  <c r="AU910" i="8"/>
  <c r="AP617" i="8"/>
  <c r="AU109" i="8"/>
  <c r="AU529" i="8"/>
  <c r="AU964" i="8"/>
  <c r="AP671" i="8"/>
  <c r="AU822" i="8"/>
  <c r="AP624" i="8"/>
  <c r="AP621" i="8"/>
  <c r="AP620" i="8"/>
  <c r="AP623" i="8"/>
  <c r="AP615" i="8"/>
  <c r="AP618" i="8"/>
  <c r="AP768" i="8"/>
  <c r="AP765" i="8"/>
  <c r="AP762" i="8"/>
  <c r="AP761" i="8"/>
  <c r="AP767" i="8"/>
  <c r="AP764" i="8"/>
  <c r="AU769" i="8"/>
  <c r="AU14" i="8"/>
  <c r="AU13" i="8"/>
  <c r="AU158" i="8"/>
  <c r="AU157" i="8"/>
  <c r="AU302" i="8"/>
  <c r="AU301" i="8"/>
  <c r="AU81" i="8"/>
  <c r="AU79" i="8"/>
  <c r="AU225" i="8"/>
  <c r="AU222" i="8"/>
  <c r="AU223" i="8"/>
  <c r="AU369" i="8"/>
  <c r="AU366" i="8"/>
  <c r="AU367" i="8"/>
  <c r="AU513" i="8"/>
  <c r="AU511" i="8"/>
  <c r="AU108" i="8"/>
  <c r="AU252" i="8"/>
  <c r="AU39" i="8"/>
  <c r="AU255" i="8"/>
  <c r="AU495" i="8"/>
  <c r="AU493" i="8"/>
  <c r="AU723" i="8"/>
  <c r="AU721" i="8"/>
  <c r="AU951" i="8"/>
  <c r="AU949" i="8"/>
  <c r="AU950" i="8"/>
  <c r="AU41" i="8"/>
  <c r="AU185" i="8"/>
  <c r="AU184" i="8"/>
  <c r="AU329" i="8"/>
  <c r="AU328" i="8"/>
  <c r="AU533" i="8"/>
  <c r="AU532" i="8"/>
  <c r="AU530" i="8"/>
  <c r="AU677" i="8"/>
  <c r="AU246" i="8"/>
  <c r="AU534" i="8"/>
  <c r="AU942" i="8"/>
  <c r="AU940" i="8"/>
  <c r="AU211" i="8"/>
  <c r="AU210" i="8"/>
  <c r="AU559" i="8"/>
  <c r="AU979" i="8"/>
  <c r="AU512" i="8"/>
  <c r="AU657" i="8"/>
  <c r="AU873" i="8"/>
  <c r="AU871" i="8"/>
  <c r="AU238" i="8"/>
  <c r="AU490" i="8"/>
  <c r="AU850" i="8"/>
  <c r="AU848" i="8"/>
  <c r="AU443" i="8"/>
  <c r="AU571" i="8"/>
  <c r="AU790" i="8"/>
  <c r="AU506" i="8"/>
  <c r="AU16" i="8"/>
  <c r="AU819" i="8"/>
  <c r="AU815" i="8"/>
  <c r="AU818" i="8"/>
  <c r="AU817" i="8"/>
  <c r="AU78" i="8"/>
  <c r="AU334" i="8"/>
  <c r="AU816" i="8"/>
  <c r="AU851" i="8"/>
  <c r="AP773" i="8"/>
  <c r="AP736" i="8"/>
  <c r="AP724" i="8"/>
  <c r="AU1038" i="8"/>
  <c r="AU857" i="8"/>
  <c r="AK538" i="8"/>
  <c r="AK679" i="8"/>
  <c r="AK822" i="8"/>
  <c r="AK969" i="8"/>
  <c r="AP574" i="8"/>
  <c r="AP566" i="8"/>
  <c r="AP568" i="8"/>
  <c r="AP573" i="8"/>
  <c r="AP570" i="8"/>
  <c r="AP565" i="8"/>
  <c r="AP742" i="8"/>
  <c r="AP726" i="8"/>
  <c r="AP713" i="8"/>
  <c r="AP740" i="8"/>
  <c r="AP886" i="8"/>
  <c r="AP854" i="8"/>
  <c r="AP1042" i="8"/>
  <c r="AP1036" i="8"/>
  <c r="AP1024" i="8"/>
  <c r="AP1038" i="8"/>
  <c r="AP1034" i="8"/>
  <c r="AP1022" i="8"/>
  <c r="AP1010" i="8"/>
  <c r="AP1041" i="8"/>
  <c r="AP1035" i="8"/>
  <c r="AF716" i="8"/>
  <c r="AP638" i="8"/>
  <c r="AP794" i="8"/>
  <c r="AF69" i="8"/>
  <c r="AF795" i="8"/>
  <c r="AP912" i="8"/>
  <c r="AP904" i="8"/>
  <c r="AP903" i="8"/>
  <c r="AP909" i="8"/>
  <c r="AP906" i="8"/>
  <c r="AP504" i="8"/>
  <c r="AU26" i="8"/>
  <c r="AU25" i="8"/>
  <c r="AU170" i="8"/>
  <c r="AU169" i="8"/>
  <c r="AU314" i="8"/>
  <c r="AU313" i="8"/>
  <c r="AU93" i="8"/>
  <c r="AU237" i="8"/>
  <c r="AU236" i="8"/>
  <c r="AU381" i="8"/>
  <c r="AU525" i="8"/>
  <c r="AU524" i="8"/>
  <c r="AU120" i="8"/>
  <c r="AU264" i="8"/>
  <c r="AU75" i="8"/>
  <c r="AU291" i="8"/>
  <c r="AU519" i="8"/>
  <c r="AU516" i="8"/>
  <c r="AU517" i="8"/>
  <c r="AU518" i="8"/>
  <c r="AU735" i="8"/>
  <c r="AU733" i="8"/>
  <c r="AU963" i="8"/>
  <c r="AU959" i="8"/>
  <c r="AU962" i="8"/>
  <c r="AU961" i="8"/>
  <c r="AU960" i="8"/>
  <c r="AU150" i="8"/>
  <c r="AU53" i="8"/>
  <c r="AU197" i="8"/>
  <c r="AU195" i="8"/>
  <c r="AU341" i="8"/>
  <c r="AU340" i="8"/>
  <c r="AU545" i="8"/>
  <c r="AU689" i="8"/>
  <c r="AU270" i="8"/>
  <c r="AU582" i="8"/>
  <c r="AU954" i="8"/>
  <c r="AU953" i="8"/>
  <c r="AU344" i="8"/>
  <c r="AU247" i="8"/>
  <c r="AU595" i="8"/>
  <c r="AU594" i="8"/>
  <c r="AU991" i="8"/>
  <c r="AU188" i="8"/>
  <c r="AU560" i="8"/>
  <c r="AU669" i="8"/>
  <c r="AU885" i="8"/>
  <c r="AU58" i="8"/>
  <c r="AU262" i="8"/>
  <c r="AU502" i="8"/>
  <c r="AU886" i="8"/>
  <c r="AU384" i="8"/>
  <c r="AU383" i="8"/>
  <c r="AU588" i="8"/>
  <c r="AU587" i="8"/>
  <c r="AU584" i="8"/>
  <c r="AU586" i="8"/>
  <c r="AU583" i="8"/>
  <c r="AU804" i="8"/>
  <c r="AU803" i="8"/>
  <c r="AU802" i="8"/>
  <c r="AU554" i="8"/>
  <c r="AU28" i="8"/>
  <c r="AU387" i="8"/>
  <c r="AU256" i="8"/>
  <c r="AU568" i="8"/>
  <c r="AU258" i="8"/>
  <c r="AU932" i="8"/>
  <c r="AU929" i="8"/>
  <c r="AU930" i="8"/>
  <c r="AU928" i="8"/>
  <c r="AU606" i="8"/>
  <c r="AU863" i="8"/>
  <c r="AP522" i="8"/>
  <c r="AU193" i="8"/>
  <c r="AP508" i="8"/>
  <c r="AP723" i="8"/>
  <c r="AU676" i="8"/>
  <c r="AP801" i="8"/>
  <c r="AP755" i="8"/>
  <c r="AU941" i="8"/>
  <c r="AP590" i="8"/>
  <c r="AP798" i="8"/>
  <c r="AP806" i="8"/>
  <c r="AP950" i="8"/>
  <c r="AU38" i="8"/>
  <c r="AU182" i="8"/>
  <c r="AU326" i="8"/>
  <c r="AU325" i="8"/>
  <c r="AU105" i="8"/>
  <c r="AU249" i="8"/>
  <c r="AU393" i="8"/>
  <c r="AU392" i="8"/>
  <c r="AU391" i="8"/>
  <c r="AU537" i="8"/>
  <c r="AU535" i="8"/>
  <c r="AU536" i="8"/>
  <c r="AU132" i="8"/>
  <c r="AU276" i="8"/>
  <c r="AU87" i="8"/>
  <c r="AU303" i="8"/>
  <c r="AU543" i="8"/>
  <c r="AU542" i="8"/>
  <c r="AU759" i="8"/>
  <c r="AU757" i="8"/>
  <c r="AU987" i="8"/>
  <c r="AU985" i="8"/>
  <c r="AU983" i="8"/>
  <c r="AU65" i="8"/>
  <c r="AU209" i="8"/>
  <c r="AU365" i="8"/>
  <c r="AU363" i="8"/>
  <c r="AU557" i="8"/>
  <c r="AU164" i="8"/>
  <c r="AU306" i="8"/>
  <c r="AU618" i="8"/>
  <c r="AU978" i="8"/>
  <c r="AU973" i="8"/>
  <c r="AU977" i="8"/>
  <c r="AU976" i="8"/>
  <c r="AU368" i="8"/>
  <c r="AU271" i="8"/>
  <c r="AU631" i="8"/>
  <c r="AU630" i="8"/>
  <c r="AU1015" i="8"/>
  <c r="AU1013" i="8"/>
  <c r="AU1010" i="8"/>
  <c r="AU224" i="8"/>
  <c r="AU572" i="8"/>
  <c r="AU693" i="8"/>
  <c r="AU909" i="8"/>
  <c r="AU908" i="8"/>
  <c r="AU907" i="8"/>
  <c r="AU70" i="8"/>
  <c r="AU274" i="8"/>
  <c r="AU514" i="8"/>
  <c r="AU934" i="8"/>
  <c r="AU263" i="8"/>
  <c r="AU396" i="8"/>
  <c r="AU394" i="8"/>
  <c r="AU612" i="8"/>
  <c r="AU828" i="8"/>
  <c r="AU827" i="8"/>
  <c r="AU248" i="8"/>
  <c r="AU806" i="8"/>
  <c r="AU40" i="8"/>
  <c r="AU531" i="8"/>
  <c r="AU580" i="8"/>
  <c r="AU861" i="8"/>
  <c r="AU503" i="8"/>
  <c r="AP630" i="8"/>
  <c r="AP536" i="8"/>
  <c r="AP532" i="8"/>
  <c r="AP533" i="8"/>
  <c r="AP531" i="8"/>
  <c r="AP530" i="8"/>
  <c r="AP824" i="8"/>
  <c r="AP822" i="8"/>
  <c r="AP821" i="8"/>
  <c r="AP789" i="8"/>
  <c r="AU688" i="8"/>
  <c r="AP827" i="8"/>
  <c r="AP528" i="8"/>
  <c r="AP518" i="8"/>
  <c r="AP517" i="8"/>
  <c r="AP521" i="8"/>
  <c r="AP524" i="8"/>
  <c r="AP672" i="8"/>
  <c r="AP669" i="8"/>
  <c r="AP663" i="8"/>
  <c r="AP662" i="8"/>
  <c r="AP668" i="8"/>
  <c r="AP816" i="8"/>
  <c r="AP815" i="8"/>
  <c r="AP813" i="8"/>
  <c r="AP960" i="8"/>
  <c r="AP951" i="8"/>
  <c r="AP650" i="8"/>
  <c r="AP509" i="8"/>
  <c r="AP879" i="8"/>
  <c r="AK606" i="8"/>
  <c r="AP100" i="8"/>
  <c r="AP243" i="8"/>
  <c r="AP385" i="8"/>
  <c r="AP410" i="8"/>
  <c r="AU50" i="8"/>
  <c r="AU49" i="8"/>
  <c r="AU194" i="8"/>
  <c r="AU338" i="8"/>
  <c r="AU337" i="8"/>
  <c r="AU117" i="8"/>
  <c r="AU115" i="8"/>
  <c r="AU261" i="8"/>
  <c r="AU259" i="8"/>
  <c r="AU405" i="8"/>
  <c r="AU402" i="8"/>
  <c r="AU549" i="8"/>
  <c r="AU547" i="8"/>
  <c r="AU548" i="8"/>
  <c r="AU144" i="8"/>
  <c r="AU288" i="8"/>
  <c r="AU99" i="8"/>
  <c r="AU327" i="8"/>
  <c r="AU555" i="8"/>
  <c r="AU771" i="8"/>
  <c r="AU770" i="8"/>
  <c r="AU1023" i="8"/>
  <c r="AU1022" i="8"/>
  <c r="AU234" i="8"/>
  <c r="AU77" i="8"/>
  <c r="AU221" i="8"/>
  <c r="AU377" i="8"/>
  <c r="AU569" i="8"/>
  <c r="AU563" i="8"/>
  <c r="AU565" i="8"/>
  <c r="AU360" i="8"/>
  <c r="AU330" i="8"/>
  <c r="AU654" i="8"/>
  <c r="AU990" i="8"/>
  <c r="AU989" i="8"/>
  <c r="AU988" i="8"/>
  <c r="AU609" i="8"/>
  <c r="AU596" i="8"/>
  <c r="AU705" i="8"/>
  <c r="AU921" i="8"/>
  <c r="AU82" i="8"/>
  <c r="AU286" i="8"/>
  <c r="AU538" i="8"/>
  <c r="AU946" i="8"/>
  <c r="AU945" i="8"/>
  <c r="AU944" i="8"/>
  <c r="AU275" i="8"/>
  <c r="AU866" i="8"/>
  <c r="AU984" i="8"/>
  <c r="AU567" i="8"/>
  <c r="AU304" i="8"/>
  <c r="AU927" i="8"/>
  <c r="AU925" i="8"/>
  <c r="AU923" i="8"/>
  <c r="AU510" i="8"/>
  <c r="AU897" i="8"/>
  <c r="AU715" i="8"/>
  <c r="AU515" i="8"/>
  <c r="AU947" i="8"/>
  <c r="AP666" i="8"/>
  <c r="AU277" i="8"/>
  <c r="AP560" i="8"/>
  <c r="AP557" i="8"/>
  <c r="AP556" i="8"/>
  <c r="AP555" i="8"/>
  <c r="AP848" i="8"/>
  <c r="AP846" i="8"/>
  <c r="AP843" i="8"/>
  <c r="AP845" i="8"/>
  <c r="AP537" i="8"/>
  <c r="AP825" i="8"/>
  <c r="AP839" i="8"/>
  <c r="AP540" i="8"/>
  <c r="AP684" i="8"/>
  <c r="AP683" i="8"/>
  <c r="AP770" i="8"/>
  <c r="AK575" i="8"/>
  <c r="AK572" i="8"/>
  <c r="AK570" i="8"/>
  <c r="AK574" i="8"/>
  <c r="AK573" i="8"/>
  <c r="AK571" i="8"/>
  <c r="AK719" i="8"/>
  <c r="AK718" i="8"/>
  <c r="AK714" i="8"/>
  <c r="AK712" i="8"/>
  <c r="AK717" i="8"/>
  <c r="AK716" i="8"/>
  <c r="AK713" i="8"/>
  <c r="AK715" i="8"/>
  <c r="AK863" i="8"/>
  <c r="AK862" i="8"/>
  <c r="AK861" i="8"/>
  <c r="AK856" i="8"/>
  <c r="AK857" i="8"/>
  <c r="AK860" i="8"/>
  <c r="AK859" i="8"/>
  <c r="AK858" i="8"/>
  <c r="AK1007" i="8"/>
  <c r="AK1004" i="8"/>
  <c r="AK612" i="8"/>
  <c r="AK601" i="8"/>
  <c r="AK756" i="8"/>
  <c r="AK728" i="8"/>
  <c r="AK740" i="8"/>
  <c r="AK900" i="8"/>
  <c r="AK897" i="8"/>
  <c r="AK894" i="8"/>
  <c r="AK898" i="8"/>
  <c r="AK889" i="8"/>
  <c r="AK884" i="8"/>
  <c r="AK736" i="8"/>
  <c r="AF966" i="8"/>
  <c r="AU62" i="8"/>
  <c r="AU61" i="8"/>
  <c r="AU206" i="8"/>
  <c r="AU350" i="8"/>
  <c r="AU129" i="8"/>
  <c r="AU273" i="8"/>
  <c r="AU417" i="8"/>
  <c r="AU12" i="8"/>
  <c r="AU10" i="8"/>
  <c r="AU156" i="8"/>
  <c r="AU300" i="8"/>
  <c r="AU111" i="8"/>
  <c r="AU351" i="8"/>
  <c r="AU579" i="8"/>
  <c r="AU577" i="8"/>
  <c r="AU795" i="8"/>
  <c r="AU793" i="8"/>
  <c r="AU787" i="8"/>
  <c r="AU1035" i="8"/>
  <c r="AU1034" i="8"/>
  <c r="AU294" i="8"/>
  <c r="AU178" i="8"/>
  <c r="AU331" i="8"/>
  <c r="AU703" i="8"/>
  <c r="AU645" i="8"/>
  <c r="AU608" i="8"/>
  <c r="AU729" i="8"/>
  <c r="AU727" i="8"/>
  <c r="AU933" i="8"/>
  <c r="AU298" i="8"/>
  <c r="AU562" i="8"/>
  <c r="AU958" i="8"/>
  <c r="AU287" i="8"/>
  <c r="AU890" i="8"/>
  <c r="AU1021" i="8"/>
  <c r="AU52" i="8"/>
  <c r="AU364" i="8"/>
  <c r="AU640" i="8"/>
  <c r="AU939" i="8"/>
  <c r="AU937" i="8"/>
  <c r="AU938" i="8"/>
  <c r="AU546" i="8"/>
  <c r="AU730" i="8"/>
  <c r="AU599" i="8"/>
  <c r="AU1007" i="8"/>
  <c r="AU289" i="8"/>
  <c r="AP549" i="8"/>
  <c r="AP548" i="8"/>
  <c r="AP542" i="8"/>
  <c r="AP541" i="8"/>
  <c r="AP546" i="8"/>
  <c r="AP837" i="8"/>
  <c r="AP830" i="8"/>
  <c r="AU784" i="8"/>
  <c r="AP701" i="8"/>
  <c r="AP899" i="8"/>
  <c r="AP552" i="8"/>
  <c r="AP696" i="8"/>
  <c r="AP686" i="8"/>
  <c r="AP687" i="8"/>
  <c r="AP688" i="8"/>
  <c r="AP695" i="8"/>
  <c r="AP840" i="8"/>
  <c r="AP984" i="8"/>
  <c r="AU91" i="8"/>
  <c r="AP818" i="8"/>
  <c r="AP646" i="8"/>
  <c r="AP628" i="8"/>
  <c r="AP790" i="8"/>
  <c r="AP946" i="8"/>
  <c r="AU74" i="8"/>
  <c r="AU73" i="8"/>
  <c r="AU218" i="8"/>
  <c r="AU217" i="8"/>
  <c r="AU362" i="8"/>
  <c r="AU361" i="8"/>
  <c r="AU359" i="8"/>
  <c r="AU141" i="8"/>
  <c r="AU285" i="8"/>
  <c r="AU429" i="8"/>
  <c r="AU427" i="8"/>
  <c r="AU24" i="8"/>
  <c r="AU168" i="8"/>
  <c r="AU167" i="8"/>
  <c r="AU312" i="8"/>
  <c r="AU311" i="8"/>
  <c r="AU147" i="8"/>
  <c r="AU375" i="8"/>
  <c r="AU372" i="8"/>
  <c r="AU371" i="8"/>
  <c r="AU591" i="8"/>
  <c r="AU807" i="8"/>
  <c r="AU805" i="8"/>
  <c r="AU390" i="8"/>
  <c r="AU101" i="8"/>
  <c r="AU100" i="8"/>
  <c r="AU245" i="8"/>
  <c r="AU244" i="8"/>
  <c r="AU401" i="8"/>
  <c r="AU593" i="8"/>
  <c r="AU42" i="8"/>
  <c r="AU354" i="8"/>
  <c r="AU353" i="8"/>
  <c r="AU352" i="8"/>
  <c r="AU726" i="8"/>
  <c r="AU724" i="8"/>
  <c r="AU725" i="8"/>
  <c r="AU1026" i="8"/>
  <c r="AU924" i="8"/>
  <c r="AU355" i="8"/>
  <c r="AU739" i="8"/>
  <c r="AU736" i="8"/>
  <c r="AU737" i="8"/>
  <c r="AU738" i="8"/>
  <c r="AU332" i="8"/>
  <c r="AU632" i="8"/>
  <c r="AU741" i="8"/>
  <c r="AU740" i="8"/>
  <c r="AU957" i="8"/>
  <c r="AU118" i="8"/>
  <c r="AU310" i="8"/>
  <c r="AU598" i="8"/>
  <c r="AU970" i="8"/>
  <c r="AU969" i="8"/>
  <c r="AU299" i="8"/>
  <c r="AU655" i="8"/>
  <c r="AU902" i="8"/>
  <c r="AU64" i="8"/>
  <c r="AU376" i="8"/>
  <c r="AU652" i="8"/>
  <c r="AU558" i="8"/>
  <c r="AU826" i="8"/>
  <c r="AU823" i="8"/>
  <c r="AU820" i="8"/>
  <c r="AU611" i="8"/>
  <c r="AU1031" i="8"/>
  <c r="AP858" i="8"/>
  <c r="AU349" i="8"/>
  <c r="AP725" i="8"/>
  <c r="AP911" i="8"/>
  <c r="AU1032" i="8"/>
  <c r="AU199" i="8"/>
  <c r="AP625" i="8"/>
  <c r="AP913" i="8"/>
  <c r="AP938" i="8"/>
  <c r="AP544" i="8"/>
  <c r="AK753" i="8"/>
  <c r="AK548" i="8"/>
  <c r="AP853" i="8"/>
  <c r="AP503" i="8"/>
  <c r="AU86" i="8"/>
  <c r="AU85" i="8"/>
  <c r="AU230" i="8"/>
  <c r="AU229" i="8"/>
  <c r="AU9" i="8"/>
  <c r="AU7" i="8"/>
  <c r="AU153" i="8"/>
  <c r="AU151" i="8"/>
  <c r="AU297" i="8"/>
  <c r="AU295" i="8"/>
  <c r="AU441" i="8"/>
  <c r="AU36" i="8"/>
  <c r="AU35" i="8"/>
  <c r="AU468" i="8"/>
  <c r="AU113" i="8"/>
  <c r="AU112" i="8"/>
  <c r="AU257" i="8"/>
  <c r="AU413" i="8"/>
  <c r="AU605" i="8"/>
  <c r="AU604" i="8"/>
  <c r="AU600" i="8"/>
  <c r="AU601" i="8"/>
  <c r="AU54" i="8"/>
  <c r="AU378" i="8"/>
  <c r="AU762" i="8"/>
  <c r="AU760" i="8"/>
  <c r="AU43" i="8"/>
  <c r="AU379" i="8"/>
  <c r="AU775" i="8"/>
  <c r="AU773" i="8"/>
  <c r="AU772" i="8"/>
  <c r="AU774" i="8"/>
  <c r="AU284" i="8"/>
  <c r="AU356" i="8"/>
  <c r="AU644" i="8"/>
  <c r="AU765" i="8"/>
  <c r="AU764" i="8"/>
  <c r="AU993" i="8"/>
  <c r="AU130" i="8"/>
  <c r="AU346" i="8"/>
  <c r="AU634" i="8"/>
  <c r="AU633" i="8"/>
  <c r="AU982" i="8"/>
  <c r="AU981" i="8"/>
  <c r="AU980" i="8"/>
  <c r="AU456" i="8"/>
  <c r="AU454" i="8"/>
  <c r="AU455" i="8"/>
  <c r="AU684" i="8"/>
  <c r="AU678" i="8"/>
  <c r="AU681" i="8"/>
  <c r="AU900" i="8"/>
  <c r="AU888" i="8"/>
  <c r="AU898" i="8"/>
  <c r="AU899" i="8"/>
  <c r="AU887" i="8"/>
  <c r="AU410" i="8"/>
  <c r="AU409" i="8"/>
  <c r="AU406" i="8"/>
  <c r="AU638" i="8"/>
  <c r="AU914" i="8"/>
  <c r="AU76" i="8"/>
  <c r="AU400" i="8"/>
  <c r="AU701" i="8"/>
  <c r="AU1028" i="8"/>
  <c r="AU1027" i="8"/>
  <c r="AU659" i="8"/>
  <c r="AU1043" i="8"/>
  <c r="AP870" i="8"/>
  <c r="AU373" i="8"/>
  <c r="AP917" i="8"/>
  <c r="AP578" i="8"/>
  <c r="AP869" i="8"/>
  <c r="AP551" i="8"/>
  <c r="AU570" i="8"/>
  <c r="AP719" i="8"/>
  <c r="AP863" i="8"/>
  <c r="AU235" i="8"/>
  <c r="AP998" i="8"/>
  <c r="AP1004" i="8"/>
  <c r="AP1002" i="8"/>
  <c r="AP999" i="8"/>
  <c r="AP1000" i="8"/>
  <c r="AK558" i="8"/>
  <c r="AF527" i="8"/>
  <c r="AF526" i="8"/>
  <c r="AF1031" i="8"/>
  <c r="AF1027" i="8"/>
  <c r="AF1030" i="8"/>
  <c r="AF1028" i="8"/>
  <c r="AF1026" i="8"/>
  <c r="AF1025" i="8"/>
  <c r="AF1018" i="8"/>
  <c r="AF845" i="8"/>
  <c r="AF1022" i="8"/>
  <c r="AF1001" i="8"/>
  <c r="AF866" i="8"/>
  <c r="AF1023" i="8"/>
  <c r="AF1029" i="8"/>
  <c r="AP757" i="8"/>
  <c r="AP505" i="8"/>
  <c r="AU98" i="8"/>
  <c r="AU97" i="8"/>
  <c r="AU242" i="8"/>
  <c r="AU241" i="8"/>
  <c r="AU21" i="8"/>
  <c r="AU19" i="8"/>
  <c r="AU165" i="8"/>
  <c r="AU163" i="8"/>
  <c r="AU309" i="8"/>
  <c r="AU307" i="8"/>
  <c r="AU453" i="8"/>
  <c r="AU448" i="8"/>
  <c r="AU449" i="8"/>
  <c r="AU451" i="8"/>
  <c r="AU452" i="8"/>
  <c r="AU48" i="8"/>
  <c r="AU192" i="8"/>
  <c r="AU336" i="8"/>
  <c r="AU183" i="8"/>
  <c r="AU411" i="8"/>
  <c r="AU627" i="8"/>
  <c r="AU626" i="8"/>
  <c r="AU620" i="8"/>
  <c r="AU625" i="8"/>
  <c r="AU843" i="8"/>
  <c r="AU842" i="8"/>
  <c r="AU841" i="8"/>
  <c r="AU1036" i="8"/>
  <c r="AU474" i="8"/>
  <c r="AU125" i="8"/>
  <c r="AU269" i="8"/>
  <c r="AU268" i="8"/>
  <c r="AU437" i="8"/>
  <c r="AU436" i="8"/>
  <c r="AU435" i="8"/>
  <c r="AU617" i="8"/>
  <c r="AU616" i="8"/>
  <c r="AU102" i="8"/>
  <c r="AU426" i="8"/>
  <c r="AU425" i="8"/>
  <c r="AU423" i="8"/>
  <c r="AU798" i="8"/>
  <c r="AU797" i="8"/>
  <c r="AU56" i="8"/>
  <c r="AU67" i="8"/>
  <c r="AU415" i="8"/>
  <c r="AU414" i="8"/>
  <c r="AU811" i="8"/>
  <c r="AU810" i="8"/>
  <c r="AU809" i="8"/>
  <c r="AU808" i="8"/>
  <c r="AU8" i="8"/>
  <c r="AU404" i="8"/>
  <c r="AU92" i="8"/>
  <c r="AU777" i="8"/>
  <c r="AU1005" i="8"/>
  <c r="AU997" i="8"/>
  <c r="AU995" i="8"/>
  <c r="AU1003" i="8"/>
  <c r="AU996" i="8"/>
  <c r="AU998" i="8"/>
  <c r="AU1002" i="8"/>
  <c r="AU142" i="8"/>
  <c r="AU358" i="8"/>
  <c r="AU119" i="8"/>
  <c r="AU480" i="8"/>
  <c r="AU479" i="8"/>
  <c r="AU696" i="8"/>
  <c r="AU691" i="8"/>
  <c r="AU912" i="8"/>
  <c r="AU911" i="8"/>
  <c r="AU422" i="8"/>
  <c r="AU421" i="8"/>
  <c r="AU418" i="8"/>
  <c r="AU926" i="8"/>
  <c r="AU51" i="8"/>
  <c r="AU124" i="8"/>
  <c r="AU412" i="8"/>
  <c r="AU635" i="8"/>
  <c r="AU812" i="8"/>
  <c r="AU1040" i="8"/>
  <c r="AU1037" i="8"/>
  <c r="AU683" i="8"/>
  <c r="AP738" i="8"/>
  <c r="AU385" i="8"/>
  <c r="AP656" i="8"/>
  <c r="AP652" i="8"/>
  <c r="AP653" i="8"/>
  <c r="AP944" i="8"/>
  <c r="AP916" i="8"/>
  <c r="AU868" i="8"/>
  <c r="AP575" i="8"/>
  <c r="AU702" i="8"/>
  <c r="AP580" i="8"/>
  <c r="AP875" i="8"/>
  <c r="AU403" i="8"/>
  <c r="AP786" i="8"/>
  <c r="AK623" i="8"/>
  <c r="AK618" i="8"/>
  <c r="AK616" i="8"/>
  <c r="AK617" i="8"/>
  <c r="AK622" i="8"/>
  <c r="AK619" i="8"/>
  <c r="AK620" i="8"/>
  <c r="AK621" i="8"/>
  <c r="AK767" i="8"/>
  <c r="AK762" i="8"/>
  <c r="AK765" i="8"/>
  <c r="AK766" i="8"/>
  <c r="AK763" i="8"/>
  <c r="AK764" i="8"/>
  <c r="AK911" i="8"/>
  <c r="AK906" i="8"/>
  <c r="AK904" i="8"/>
  <c r="AK901" i="8"/>
  <c r="AK905" i="8"/>
  <c r="AK902" i="8"/>
  <c r="AK907" i="8"/>
  <c r="AK908" i="8"/>
  <c r="AK909" i="8"/>
  <c r="AU682" i="8"/>
  <c r="AK643" i="8"/>
  <c r="AF532" i="8"/>
  <c r="AF529" i="8"/>
  <c r="AF530" i="8"/>
  <c r="AF528" i="8"/>
  <c r="AF531" i="8"/>
  <c r="AF676" i="8"/>
  <c r="AF675" i="8"/>
  <c r="AF673" i="8"/>
  <c r="AF674" i="8"/>
  <c r="AF672" i="8"/>
  <c r="AP640" i="8"/>
  <c r="AK954" i="8"/>
  <c r="AU110" i="8"/>
  <c r="AU254" i="8"/>
  <c r="AU253" i="8"/>
  <c r="AU33" i="8"/>
  <c r="AU31" i="8"/>
  <c r="AU177" i="8"/>
  <c r="AU175" i="8"/>
  <c r="AU321" i="8"/>
  <c r="AU319" i="8"/>
  <c r="AU318" i="8"/>
  <c r="AU465" i="8"/>
  <c r="AU463" i="8"/>
  <c r="AU60" i="8"/>
  <c r="AU204" i="8"/>
  <c r="AU202" i="8"/>
  <c r="AU348" i="8"/>
  <c r="AU207" i="8"/>
  <c r="AU447" i="8"/>
  <c r="AU651" i="8"/>
  <c r="AU867" i="8"/>
  <c r="AU865" i="8"/>
  <c r="AU6" i="8"/>
  <c r="AU46" i="8"/>
  <c r="AU137" i="8"/>
  <c r="AU135" i="8"/>
  <c r="AU281" i="8"/>
  <c r="AU280" i="8"/>
  <c r="AU279" i="8"/>
  <c r="AU461" i="8"/>
  <c r="AU629" i="8"/>
  <c r="AU628" i="8"/>
  <c r="AU126" i="8"/>
  <c r="AU438" i="8"/>
  <c r="AU834" i="8"/>
  <c r="AU833" i="8"/>
  <c r="AU832" i="8"/>
  <c r="AU116" i="8"/>
  <c r="AU103" i="8"/>
  <c r="AU439" i="8"/>
  <c r="AU847" i="8"/>
  <c r="AU845" i="8"/>
  <c r="AU44" i="8"/>
  <c r="AU416" i="8"/>
  <c r="AU561" i="8"/>
  <c r="AU801" i="8"/>
  <c r="AU799" i="8"/>
  <c r="AU800" i="8"/>
  <c r="AU1029" i="8"/>
  <c r="AU154" i="8"/>
  <c r="AU370" i="8"/>
  <c r="AU131" i="8"/>
  <c r="AU395" i="8"/>
  <c r="AU492" i="8"/>
  <c r="AU720" i="8"/>
  <c r="AU719" i="8"/>
  <c r="AU717" i="8"/>
  <c r="AU936" i="8"/>
  <c r="AU434" i="8"/>
  <c r="AU433" i="8"/>
  <c r="AU710" i="8"/>
  <c r="AU974" i="8"/>
  <c r="AU63" i="8"/>
  <c r="AU136" i="8"/>
  <c r="AU424" i="8"/>
  <c r="AU675" i="8"/>
  <c r="AU671" i="8"/>
  <c r="AU672" i="8"/>
  <c r="AU674" i="8"/>
  <c r="AU673" i="8"/>
  <c r="AP515" i="8"/>
  <c r="AU761" i="8"/>
  <c r="AU824" i="8"/>
  <c r="AU694" i="8"/>
  <c r="AU444" i="8"/>
  <c r="AU695" i="8"/>
  <c r="AP819" i="8"/>
  <c r="AU457" i="8"/>
  <c r="AP680" i="8"/>
  <c r="AP675" i="8"/>
  <c r="AP677" i="8"/>
  <c r="AP674" i="8"/>
  <c r="AP676" i="8"/>
  <c r="AP968" i="8"/>
  <c r="AP964" i="8"/>
  <c r="AP966" i="8"/>
  <c r="AP962" i="8"/>
  <c r="AP963" i="8"/>
  <c r="AP965" i="8"/>
  <c r="AP644" i="8"/>
  <c r="AU880" i="8"/>
  <c r="AP587" i="8"/>
  <c r="AU714" i="8"/>
  <c r="AU475" i="8"/>
  <c r="AP519" i="8"/>
  <c r="AU589" i="8"/>
  <c r="AP592" i="8"/>
  <c r="AP612" i="8"/>
  <c r="AP609" i="8"/>
  <c r="AP756" i="8"/>
  <c r="AP900" i="8"/>
  <c r="AP793" i="8"/>
  <c r="AP791" i="8"/>
  <c r="AP746" i="8"/>
  <c r="AP926" i="8"/>
  <c r="AP629" i="8"/>
  <c r="AP711" i="8"/>
  <c r="AK563" i="8"/>
  <c r="AK707" i="8"/>
  <c r="AK851" i="8"/>
  <c r="AK846" i="8"/>
  <c r="AK995" i="8"/>
  <c r="AK989" i="8"/>
  <c r="AK552" i="8"/>
  <c r="AK546" i="8"/>
  <c r="AK545" i="8"/>
  <c r="AK696" i="8"/>
  <c r="AK692" i="8"/>
  <c r="AK688" i="8"/>
  <c r="AK840" i="8"/>
  <c r="AP750" i="8"/>
  <c r="AP980" i="8"/>
  <c r="AP562" i="8"/>
  <c r="AP730" i="8"/>
  <c r="AP874" i="8"/>
  <c r="AP1030" i="8"/>
  <c r="AK757" i="8"/>
  <c r="AK675" i="8"/>
  <c r="AK879" i="8"/>
  <c r="AK877" i="8"/>
  <c r="AK878" i="8"/>
  <c r="AK676" i="8"/>
  <c r="AF747" i="8"/>
  <c r="AF663" i="8"/>
  <c r="AF807" i="8"/>
  <c r="AK534" i="8"/>
  <c r="AK942" i="8"/>
  <c r="AK537" i="8"/>
  <c r="AK825" i="8"/>
  <c r="AK802" i="8"/>
  <c r="AK798" i="8"/>
  <c r="AK793" i="8"/>
  <c r="AK797" i="8"/>
  <c r="AK796" i="8"/>
  <c r="AK794" i="8"/>
  <c r="AF1012" i="8"/>
  <c r="AK1044" i="8"/>
  <c r="AK1042" i="8"/>
  <c r="AK1040" i="8"/>
  <c r="AK1037" i="8"/>
  <c r="AK1041" i="8"/>
  <c r="AP733" i="8"/>
  <c r="AK790" i="8"/>
  <c r="AF555" i="8"/>
  <c r="AF545" i="8"/>
  <c r="AF549" i="8"/>
  <c r="AF552" i="8"/>
  <c r="AF546" i="8"/>
  <c r="AF550" i="8"/>
  <c r="AF553" i="8"/>
  <c r="AF547" i="8"/>
  <c r="AF930" i="8"/>
  <c r="AF728" i="8"/>
  <c r="AF844" i="8"/>
  <c r="AF1024" i="8"/>
  <c r="AF1011" i="8"/>
  <c r="AF1020" i="8"/>
  <c r="AF1021" i="8"/>
  <c r="AF1008" i="8"/>
  <c r="AF1009" i="8"/>
  <c r="AF985" i="8"/>
  <c r="AF994" i="8"/>
  <c r="AF1016" i="8"/>
  <c r="AU180" i="8"/>
  <c r="AU324" i="8"/>
  <c r="AU159" i="8"/>
  <c r="AU399" i="8"/>
  <c r="AU615" i="8"/>
  <c r="AU613" i="8"/>
  <c r="AU831" i="8"/>
  <c r="AU89" i="8"/>
  <c r="AU233" i="8"/>
  <c r="AU389" i="8"/>
  <c r="AU388" i="8"/>
  <c r="AU581" i="8"/>
  <c r="AU18" i="8"/>
  <c r="AU342" i="8"/>
  <c r="AU690" i="8"/>
  <c r="AU1014" i="8"/>
  <c r="AU283" i="8"/>
  <c r="AU667" i="8"/>
  <c r="AU573" i="8"/>
  <c r="AU849" i="8"/>
  <c r="AU670" i="8"/>
  <c r="AU1006" i="8"/>
  <c r="AU408" i="8"/>
  <c r="AU624" i="8"/>
  <c r="AU840" i="8"/>
  <c r="AU374" i="8"/>
  <c r="AU830" i="8"/>
  <c r="AU975" i="8"/>
  <c r="AU716" i="8"/>
  <c r="AU956" i="8"/>
  <c r="AU838" i="8"/>
  <c r="AU623" i="8"/>
  <c r="AU791" i="8"/>
  <c r="AP729" i="8"/>
  <c r="AP1017" i="8"/>
  <c r="AP1007" i="8"/>
  <c r="AP784" i="8"/>
  <c r="AP636" i="8"/>
  <c r="AP780" i="8"/>
  <c r="AP924" i="8"/>
  <c r="AK751" i="8"/>
  <c r="AU955" i="8"/>
  <c r="AP553" i="8"/>
  <c r="AP841" i="8"/>
  <c r="AP867" i="8"/>
  <c r="AP795" i="8"/>
  <c r="AK587" i="8"/>
  <c r="AK585" i="8"/>
  <c r="AK584" i="8"/>
  <c r="AK586" i="8"/>
  <c r="AK731" i="8"/>
  <c r="AK730" i="8"/>
  <c r="AK724" i="8"/>
  <c r="AK729" i="8"/>
  <c r="AK726" i="8"/>
  <c r="AK875" i="8"/>
  <c r="AK868" i="8"/>
  <c r="AK873" i="8"/>
  <c r="AK871" i="8"/>
  <c r="AK874" i="8"/>
  <c r="AK1019" i="8"/>
  <c r="AK1016" i="8"/>
  <c r="AK1011" i="8"/>
  <c r="AK1015" i="8"/>
  <c r="AK1017" i="8"/>
  <c r="AK1012" i="8"/>
  <c r="AK1014" i="8"/>
  <c r="AK1013" i="8"/>
  <c r="AK1018" i="8"/>
  <c r="AK576" i="8"/>
  <c r="AK720" i="8"/>
  <c r="AK864" i="8"/>
  <c r="AK823" i="8"/>
  <c r="AP520" i="8"/>
  <c r="AP523" i="8"/>
  <c r="AP586" i="8"/>
  <c r="AP581" i="8"/>
  <c r="AP754" i="8"/>
  <c r="AP753" i="8"/>
  <c r="AP910" i="8"/>
  <c r="AP908" i="8"/>
  <c r="AK805" i="8"/>
  <c r="AP929" i="8"/>
  <c r="AK938" i="8"/>
  <c r="AK748" i="8"/>
  <c r="AF544" i="8"/>
  <c r="AF543" i="8"/>
  <c r="AF688" i="8"/>
  <c r="AF682" i="8"/>
  <c r="AF685" i="8"/>
  <c r="AF680" i="8"/>
  <c r="AF678" i="8"/>
  <c r="AK964" i="8"/>
  <c r="AK582" i="8"/>
  <c r="AP749" i="8"/>
  <c r="AK536" i="8"/>
  <c r="AP897" i="8"/>
  <c r="AK609" i="8"/>
  <c r="AF647" i="8"/>
  <c r="AF641" i="8"/>
  <c r="AF646" i="8"/>
  <c r="AF642" i="8"/>
  <c r="AF643" i="8"/>
  <c r="AF645" i="8"/>
  <c r="AF1043" i="8"/>
  <c r="AF1038" i="8"/>
  <c r="AF1040" i="8"/>
  <c r="AF1042" i="8"/>
  <c r="AF1039" i="8"/>
  <c r="AF1037" i="8"/>
  <c r="AF1041" i="8"/>
  <c r="AK608" i="8"/>
  <c r="AF804" i="8"/>
  <c r="AF798" i="8"/>
  <c r="AF801" i="8"/>
  <c r="AF803" i="8"/>
  <c r="AF797" i="8"/>
  <c r="AF542" i="8"/>
  <c r="AF541" i="8"/>
  <c r="AF693" i="8"/>
  <c r="AF862" i="8"/>
  <c r="AF651" i="8"/>
  <c r="AF839" i="8"/>
  <c r="AU706" i="8"/>
  <c r="AU704" i="8"/>
  <c r="AU1018" i="8"/>
  <c r="AU1016" i="8"/>
  <c r="AU420" i="8"/>
  <c r="AU648" i="8"/>
  <c r="AU864" i="8"/>
  <c r="AU862" i="8"/>
  <c r="AU386" i="8"/>
  <c r="AU968" i="8"/>
  <c r="AU967" i="8"/>
  <c r="AP582" i="8"/>
  <c r="AP918" i="8"/>
  <c r="AP608" i="8"/>
  <c r="AP896" i="8"/>
  <c r="AP741" i="8"/>
  <c r="AP1029" i="8"/>
  <c r="AP1028" i="8"/>
  <c r="AP1023" i="8"/>
  <c r="AP1026" i="8"/>
  <c r="AP1019" i="8"/>
  <c r="AU965" i="8"/>
  <c r="AP577" i="8"/>
  <c r="AP865" i="8"/>
  <c r="AP807" i="8"/>
  <c r="AK599" i="8"/>
  <c r="AK593" i="8"/>
  <c r="AK598" i="8"/>
  <c r="AK597" i="8"/>
  <c r="AK596" i="8"/>
  <c r="AK743" i="8"/>
  <c r="AK742" i="8"/>
  <c r="AK739" i="8"/>
  <c r="AK741" i="8"/>
  <c r="AK738" i="8"/>
  <c r="AK737" i="8"/>
  <c r="AK887" i="8"/>
  <c r="AK882" i="8"/>
  <c r="AK885" i="8"/>
  <c r="AK886" i="8"/>
  <c r="AK1031" i="8"/>
  <c r="AK588" i="8"/>
  <c r="AK732" i="8"/>
  <c r="AK876" i="8"/>
  <c r="AP641" i="8"/>
  <c r="AP535" i="8"/>
  <c r="AP534" i="8"/>
  <c r="AK547" i="8"/>
  <c r="AK531" i="8"/>
  <c r="AK530" i="8"/>
  <c r="AK723" i="8"/>
  <c r="AK951" i="8"/>
  <c r="AK949" i="8"/>
  <c r="AK950" i="8"/>
  <c r="AK761" i="8"/>
  <c r="AK760" i="8"/>
  <c r="AK594" i="8"/>
  <c r="AP607" i="8"/>
  <c r="AP763" i="8"/>
  <c r="AP758" i="8"/>
  <c r="AP760" i="8"/>
  <c r="AP907" i="8"/>
  <c r="AP905" i="8"/>
  <c r="AP902" i="8"/>
  <c r="AK988" i="8"/>
  <c r="AF671" i="8"/>
  <c r="AF666" i="8"/>
  <c r="AF670" i="8"/>
  <c r="AF667" i="8"/>
  <c r="AF665" i="8"/>
  <c r="AF669" i="8"/>
  <c r="AF828" i="8"/>
  <c r="AF824" i="8"/>
  <c r="AF826" i="8"/>
  <c r="AF816" i="8"/>
  <c r="AF827" i="8"/>
  <c r="AF823" i="8"/>
  <c r="AF822" i="8"/>
  <c r="AF821" i="8"/>
  <c r="AF825" i="8"/>
  <c r="AK710" i="8"/>
  <c r="AK986" i="8"/>
  <c r="AK985" i="8"/>
  <c r="AF723" i="8"/>
  <c r="AF711" i="8"/>
  <c r="AF715" i="8"/>
  <c r="AF713" i="8"/>
  <c r="AF719" i="8"/>
  <c r="AF718" i="8"/>
  <c r="AF717" i="8"/>
  <c r="AF722" i="8"/>
  <c r="AF554" i="8"/>
  <c r="AF873" i="8"/>
  <c r="AF548" i="8"/>
  <c r="AU432" i="8"/>
  <c r="AU660" i="8"/>
  <c r="AU658" i="8"/>
  <c r="AU876" i="8"/>
  <c r="AU875" i="8"/>
  <c r="AU398" i="8"/>
  <c r="AU854" i="8"/>
  <c r="AU639" i="8"/>
  <c r="AU1011" i="8"/>
  <c r="AU789" i="8"/>
  <c r="AU992" i="8"/>
  <c r="AU874" i="8"/>
  <c r="AU647" i="8"/>
  <c r="AP632" i="8"/>
  <c r="AP920" i="8"/>
  <c r="AP1011" i="8"/>
  <c r="AP777" i="8"/>
  <c r="AU1012" i="8"/>
  <c r="AP887" i="8"/>
  <c r="AP1031" i="8"/>
  <c r="AP516" i="8"/>
  <c r="AP660" i="8"/>
  <c r="AP804" i="8"/>
  <c r="AP948" i="8"/>
  <c r="AP601" i="8"/>
  <c r="AP889" i="8"/>
  <c r="AP974" i="8"/>
  <c r="AP507" i="8"/>
  <c r="AU637" i="8"/>
  <c r="AP748" i="8"/>
  <c r="AP547" i="8"/>
  <c r="AP545" i="8"/>
  <c r="AP543" i="8"/>
  <c r="AK595" i="8"/>
  <c r="AK543" i="8"/>
  <c r="AK735" i="8"/>
  <c r="AK1023" i="8"/>
  <c r="AK799" i="8"/>
  <c r="AK773" i="8"/>
  <c r="AK589" i="8"/>
  <c r="AP619" i="8"/>
  <c r="AP616" i="8"/>
  <c r="AP614" i="8"/>
  <c r="AP775" i="8"/>
  <c r="AP919" i="8"/>
  <c r="AK583" i="8"/>
  <c r="AP945" i="8"/>
  <c r="AK1006" i="8"/>
  <c r="AK1000" i="8"/>
  <c r="AK998" i="8"/>
  <c r="AK1001" i="8"/>
  <c r="AK999" i="8"/>
  <c r="AK1003" i="8"/>
  <c r="AK1005" i="8"/>
  <c r="AK1002" i="8"/>
  <c r="AF791" i="8"/>
  <c r="AF789" i="8"/>
  <c r="AF790" i="8"/>
  <c r="AF787" i="8"/>
  <c r="AK644" i="8"/>
  <c r="AK734" i="8"/>
  <c r="AK733" i="8"/>
  <c r="AK1010" i="8"/>
  <c r="AF250" i="8"/>
  <c r="AF843" i="8"/>
  <c r="AF838" i="8"/>
  <c r="AF834" i="8"/>
  <c r="AF835" i="8"/>
  <c r="AF833" i="8"/>
  <c r="AF841" i="8"/>
  <c r="AF836" i="8"/>
  <c r="AF840" i="8"/>
  <c r="AF842" i="8"/>
  <c r="AF758" i="8"/>
  <c r="AF855" i="8"/>
  <c r="AK699" i="8"/>
  <c r="AK577" i="8"/>
  <c r="AK865" i="8"/>
  <c r="AF574" i="8"/>
  <c r="AK809" i="8"/>
  <c r="AP631" i="8"/>
  <c r="AP627" i="8"/>
  <c r="AP787" i="8"/>
  <c r="AP785" i="8"/>
  <c r="AP931" i="8"/>
  <c r="AP928" i="8"/>
  <c r="AP927" i="8"/>
  <c r="AK1030" i="8"/>
  <c r="AK1025" i="8"/>
  <c r="AK1029" i="8"/>
  <c r="AK1027" i="8"/>
  <c r="AK1026" i="8"/>
  <c r="AK1024" i="8"/>
  <c r="AF815" i="8"/>
  <c r="AF814" i="8"/>
  <c r="AF813" i="8"/>
  <c r="AF812" i="8"/>
  <c r="AF811" i="8"/>
  <c r="AF810" i="8"/>
  <c r="AF809" i="8"/>
  <c r="AF805" i="8"/>
  <c r="AP606" i="8"/>
  <c r="AP901" i="8"/>
  <c r="AF710" i="8"/>
  <c r="AF709" i="8"/>
  <c r="AF708" i="8"/>
  <c r="AF707" i="8"/>
  <c r="AF701" i="8"/>
  <c r="AF703" i="8"/>
  <c r="AF702" i="8"/>
  <c r="AF704" i="8"/>
  <c r="AF706" i="8"/>
  <c r="AK845" i="8"/>
  <c r="AF757" i="8"/>
  <c r="AF895" i="8"/>
  <c r="AF785" i="8"/>
  <c r="AP828" i="8"/>
  <c r="AP972" i="8"/>
  <c r="AK635" i="8"/>
  <c r="AK632" i="8"/>
  <c r="AK630" i="8"/>
  <c r="AK631" i="8"/>
  <c r="AK634" i="8"/>
  <c r="AK779" i="8"/>
  <c r="AK774" i="8"/>
  <c r="AK923" i="8"/>
  <c r="AK922" i="8"/>
  <c r="AK918" i="8"/>
  <c r="AK920" i="8"/>
  <c r="AK921" i="8"/>
  <c r="AK919" i="8"/>
  <c r="AK624" i="8"/>
  <c r="AK768" i="8"/>
  <c r="AK912" i="8"/>
  <c r="AP898" i="8"/>
  <c r="AP812" i="8"/>
  <c r="AP658" i="8"/>
  <c r="AP802" i="8"/>
  <c r="AP958" i="8"/>
  <c r="AP957" i="8"/>
  <c r="AK613" i="8"/>
  <c r="AK913" i="8"/>
  <c r="AK544" i="8"/>
  <c r="AF592" i="8"/>
  <c r="AF583" i="8"/>
  <c r="AF581" i="8"/>
  <c r="AF585" i="8"/>
  <c r="AF590" i="8"/>
  <c r="AF559" i="8"/>
  <c r="AF588" i="8"/>
  <c r="AF586" i="8"/>
  <c r="AF591" i="8"/>
  <c r="AF587" i="8"/>
  <c r="AF582" i="8"/>
  <c r="AF584" i="8"/>
  <c r="AF736" i="8"/>
  <c r="AF726" i="8"/>
  <c r="AF727" i="8"/>
  <c r="AF725" i="8"/>
  <c r="AF731" i="8"/>
  <c r="AF729" i="8"/>
  <c r="AF732" i="8"/>
  <c r="AF735" i="8"/>
  <c r="AF733" i="8"/>
  <c r="AK533" i="8"/>
  <c r="AK532" i="8"/>
  <c r="AK821" i="8"/>
  <c r="AK820" i="8"/>
  <c r="AK649" i="8"/>
  <c r="AK702" i="8"/>
  <c r="AP643" i="8"/>
  <c r="AP799" i="8"/>
  <c r="AP797" i="8"/>
  <c r="AP796" i="8"/>
  <c r="AP942" i="8"/>
  <c r="AP943" i="8"/>
  <c r="AP939" i="8"/>
  <c r="AP940" i="8"/>
  <c r="AF721" i="8"/>
  <c r="AK657" i="8"/>
  <c r="AP610" i="8"/>
  <c r="AF634" i="8"/>
  <c r="AF630" i="8"/>
  <c r="AF631" i="8"/>
  <c r="AF629" i="8"/>
  <c r="AF632" i="8"/>
  <c r="AF932" i="8"/>
  <c r="AK776" i="8"/>
  <c r="AP925" i="8"/>
  <c r="AF830" i="8"/>
  <c r="AF829" i="8"/>
  <c r="AF130" i="8"/>
  <c r="AF749" i="8"/>
  <c r="AF751" i="8"/>
  <c r="AF909" i="8"/>
  <c r="AP673" i="8"/>
  <c r="AP961" i="8"/>
  <c r="AP603" i="8"/>
  <c r="AK647" i="8"/>
  <c r="AK641" i="8"/>
  <c r="AK646" i="8"/>
  <c r="AK642" i="8"/>
  <c r="AK791" i="8"/>
  <c r="AK787" i="8"/>
  <c r="AK785" i="8"/>
  <c r="AK788" i="8"/>
  <c r="AK935" i="8"/>
  <c r="AK930" i="8"/>
  <c r="AK929" i="8"/>
  <c r="AK933" i="8"/>
  <c r="AK931" i="8"/>
  <c r="AK934" i="8"/>
  <c r="AK636" i="8"/>
  <c r="AK780" i="8"/>
  <c r="AK924" i="8"/>
  <c r="AP595" i="8"/>
  <c r="AP593" i="8"/>
  <c r="AP591" i="8"/>
  <c r="AP589" i="8"/>
  <c r="AP836" i="8"/>
  <c r="AP831" i="8"/>
  <c r="AK556" i="8"/>
  <c r="AK940" i="8"/>
  <c r="AF604" i="8"/>
  <c r="AF597" i="8"/>
  <c r="AF596" i="8"/>
  <c r="AF603" i="8"/>
  <c r="AF600" i="8"/>
  <c r="AF601" i="8"/>
  <c r="AF594" i="8"/>
  <c r="AF599" i="8"/>
  <c r="AF602" i="8"/>
  <c r="AF598" i="8"/>
  <c r="AF593" i="8"/>
  <c r="AF748" i="8"/>
  <c r="AF739" i="8"/>
  <c r="AF744" i="8"/>
  <c r="AF737" i="8"/>
  <c r="AF743" i="8"/>
  <c r="AF741" i="8"/>
  <c r="AF746" i="8"/>
  <c r="AF740" i="8"/>
  <c r="AF738" i="8"/>
  <c r="AK569" i="8"/>
  <c r="AK833" i="8"/>
  <c r="AK832" i="8"/>
  <c r="AK829" i="8"/>
  <c r="AK831" i="8"/>
  <c r="AK697" i="8"/>
  <c r="AK786" i="8"/>
  <c r="AP655" i="8"/>
  <c r="AP654" i="8"/>
  <c r="AP647" i="8"/>
  <c r="AP811" i="8"/>
  <c r="AP808" i="8"/>
  <c r="AP809" i="8"/>
  <c r="AP955" i="8"/>
  <c r="AK811" i="8"/>
  <c r="AP976" i="8"/>
  <c r="AK693" i="8"/>
  <c r="AK562" i="8"/>
  <c r="AK555" i="8"/>
  <c r="AK554" i="8"/>
  <c r="AK557" i="8"/>
  <c r="AK561" i="8"/>
  <c r="AK560" i="8"/>
  <c r="AF658" i="8"/>
  <c r="AF649" i="8"/>
  <c r="AF654" i="8"/>
  <c r="AF653" i="8"/>
  <c r="AF650" i="8"/>
  <c r="AF656" i="8"/>
  <c r="AF657" i="8"/>
  <c r="AF655" i="8"/>
  <c r="AF956" i="8"/>
  <c r="AK984" i="8"/>
  <c r="AK974" i="8"/>
  <c r="AK976" i="8"/>
  <c r="AK981" i="8"/>
  <c r="AK978" i="8"/>
  <c r="AP613" i="8"/>
  <c r="AK542" i="8"/>
  <c r="AK770" i="8"/>
  <c r="AF783" i="8"/>
  <c r="AF786" i="8"/>
  <c r="AF687" i="8"/>
  <c r="AF730" i="8"/>
  <c r="AF928" i="8"/>
  <c r="AK1045" i="8"/>
  <c r="AU397" i="8"/>
  <c r="AP728" i="8"/>
  <c r="AP1016" i="8"/>
  <c r="AP1012" i="8"/>
  <c r="AU892" i="8"/>
  <c r="AP550" i="8"/>
  <c r="AP599" i="8"/>
  <c r="AP697" i="8"/>
  <c r="AP985" i="8"/>
  <c r="AP866" i="8"/>
  <c r="AK659" i="8"/>
  <c r="AK653" i="8"/>
  <c r="AK654" i="8"/>
  <c r="AK655" i="8"/>
  <c r="AK651" i="8"/>
  <c r="AK803" i="8"/>
  <c r="AK947" i="8"/>
  <c r="AK944" i="8"/>
  <c r="AK946" i="8"/>
  <c r="AK943" i="8"/>
  <c r="AK648" i="8"/>
  <c r="AK792" i="8"/>
  <c r="AK936" i="8"/>
  <c r="AP894" i="8"/>
  <c r="AP953" i="8"/>
  <c r="AP860" i="8"/>
  <c r="AK615" i="8"/>
  <c r="AK807" i="8"/>
  <c r="AK568" i="8"/>
  <c r="AK1036" i="8"/>
  <c r="AF616" i="8"/>
  <c r="AF608" i="8"/>
  <c r="AF613" i="8"/>
  <c r="AF606" i="8"/>
  <c r="AF612" i="8"/>
  <c r="AF610" i="8"/>
  <c r="AF611" i="8"/>
  <c r="AF609" i="8"/>
  <c r="AF614" i="8"/>
  <c r="AF607" i="8"/>
  <c r="AF760" i="8"/>
  <c r="AF755" i="8"/>
  <c r="AF750" i="8"/>
  <c r="AF753" i="8"/>
  <c r="AF752" i="8"/>
  <c r="AF759" i="8"/>
  <c r="AF756" i="8"/>
  <c r="AK841" i="8"/>
  <c r="AK883" i="8"/>
  <c r="AK778" i="8"/>
  <c r="AK705" i="8"/>
  <c r="AK610" i="8"/>
  <c r="AF778" i="8"/>
  <c r="AF777" i="8"/>
  <c r="AF774" i="8"/>
  <c r="AF776" i="8"/>
  <c r="AF773" i="8"/>
  <c r="AF971" i="8"/>
  <c r="AF965" i="8"/>
  <c r="AF960" i="8"/>
  <c r="AF957" i="8"/>
  <c r="AF951" i="8"/>
  <c r="AF961" i="8"/>
  <c r="AF962" i="8"/>
  <c r="AF968" i="8"/>
  <c r="AF970" i="8"/>
  <c r="AF967" i="8"/>
  <c r="AK996" i="8"/>
  <c r="AK932" i="8"/>
  <c r="AP637" i="8"/>
  <c r="AP973" i="8"/>
  <c r="AK566" i="8"/>
  <c r="AK806" i="8"/>
  <c r="AK842" i="8"/>
  <c r="AF551" i="8"/>
  <c r="AF937" i="8"/>
  <c r="AF720" i="8"/>
  <c r="AF742" i="8"/>
  <c r="AF872" i="8"/>
  <c r="AF940" i="8"/>
  <c r="AF931" i="8"/>
  <c r="AF934" i="8"/>
  <c r="AF939" i="8"/>
  <c r="AF929" i="8"/>
  <c r="AF933" i="8"/>
  <c r="AF936" i="8"/>
  <c r="AF589" i="8"/>
  <c r="AF884" i="8"/>
  <c r="AF924" i="8"/>
  <c r="AU1017" i="8"/>
  <c r="AU860" i="8"/>
  <c r="AU856" i="8"/>
  <c r="AU550" i="8"/>
  <c r="AU610" i="8"/>
  <c r="AP597" i="8"/>
  <c r="AP596" i="8"/>
  <c r="AP885" i="8"/>
  <c r="AP598" i="8"/>
  <c r="AP611" i="8"/>
  <c r="AP779" i="8"/>
  <c r="AP947" i="8"/>
  <c r="AP576" i="8"/>
  <c r="AP720" i="8"/>
  <c r="AP864" i="8"/>
  <c r="AP1008" i="8"/>
  <c r="AU859" i="8"/>
  <c r="AP834" i="8"/>
  <c r="AP721" i="8"/>
  <c r="AP1009" i="8"/>
  <c r="AP710" i="8"/>
  <c r="AP878" i="8"/>
  <c r="AP651" i="8"/>
  <c r="AK527" i="8"/>
  <c r="AK671" i="8"/>
  <c r="AK669" i="8"/>
  <c r="AK664" i="8"/>
  <c r="AK665" i="8"/>
  <c r="AK815" i="8"/>
  <c r="AK810" i="8"/>
  <c r="AK813" i="8"/>
  <c r="AK959" i="8"/>
  <c r="AK958" i="8"/>
  <c r="AK955" i="8"/>
  <c r="AP868" i="8"/>
  <c r="AK660" i="8"/>
  <c r="AK804" i="8"/>
  <c r="AK948" i="8"/>
  <c r="AP717" i="8"/>
  <c r="AP884" i="8"/>
  <c r="AP882" i="8"/>
  <c r="AP692" i="8"/>
  <c r="AK627" i="8"/>
  <c r="AK626" i="8"/>
  <c r="AK819" i="8"/>
  <c r="AK818" i="8"/>
  <c r="AK580" i="8"/>
  <c r="AF628" i="8"/>
  <c r="AF621" i="8"/>
  <c r="AF626" i="8"/>
  <c r="AF627" i="8"/>
  <c r="AF624" i="8"/>
  <c r="AF622" i="8"/>
  <c r="AF623" i="8"/>
  <c r="AF619" i="8"/>
  <c r="AF625" i="8"/>
  <c r="AF617" i="8"/>
  <c r="AF772" i="8"/>
  <c r="AF770" i="8"/>
  <c r="AF761" i="8"/>
  <c r="AF768" i="8"/>
  <c r="AF765" i="8"/>
  <c r="AF766" i="8"/>
  <c r="AF767" i="8"/>
  <c r="AF764" i="8"/>
  <c r="AF762" i="8"/>
  <c r="AF763" i="8"/>
  <c r="AK602" i="8"/>
  <c r="AK880" i="8"/>
  <c r="AU1009" i="8"/>
  <c r="AK834" i="8"/>
  <c r="AP832" i="8"/>
  <c r="AP978" i="8"/>
  <c r="AP561" i="8"/>
  <c r="AK814" i="8"/>
  <c r="AK777" i="8"/>
  <c r="AK656" i="8"/>
  <c r="AF800" i="8"/>
  <c r="AF983" i="8"/>
  <c r="AF982" i="8"/>
  <c r="AF978" i="8"/>
  <c r="AF981" i="8"/>
  <c r="AF972" i="8"/>
  <c r="AF980" i="8"/>
  <c r="AF977" i="8"/>
  <c r="AK956" i="8"/>
  <c r="AP661" i="8"/>
  <c r="AP997" i="8"/>
  <c r="AK670" i="8"/>
  <c r="AF10" i="8"/>
  <c r="AK890" i="8"/>
  <c r="AF570" i="8"/>
  <c r="AF648" i="8"/>
  <c r="AK559" i="8"/>
  <c r="AF908" i="8"/>
  <c r="AK652" i="8"/>
  <c r="AK666" i="8"/>
  <c r="AF734" i="8"/>
  <c r="AU552" i="8"/>
  <c r="AU768" i="8"/>
  <c r="AU1008" i="8"/>
  <c r="AU614" i="8"/>
  <c r="AU88" i="8"/>
  <c r="AU852" i="8"/>
  <c r="AU884" i="8"/>
  <c r="AU619" i="8"/>
  <c r="AP774" i="8"/>
  <c r="AP772" i="8"/>
  <c r="AP776" i="8"/>
  <c r="AP633" i="8"/>
  <c r="AP921" i="8"/>
  <c r="AP594" i="8"/>
  <c r="AP803" i="8"/>
  <c r="AP959" i="8"/>
  <c r="AU642" i="8"/>
  <c r="AP588" i="8"/>
  <c r="AP732" i="8"/>
  <c r="AP876" i="8"/>
  <c r="AP1020" i="8"/>
  <c r="AU607" i="8"/>
  <c r="AP915" i="8"/>
  <c r="AP745" i="8"/>
  <c r="AP1033" i="8"/>
  <c r="AP722" i="8"/>
  <c r="AP890" i="8"/>
  <c r="AP579" i="8"/>
  <c r="AK539" i="8"/>
  <c r="AK535" i="8"/>
  <c r="AK683" i="8"/>
  <c r="AK681" i="8"/>
  <c r="AK680" i="8"/>
  <c r="AK682" i="8"/>
  <c r="AK678" i="8"/>
  <c r="AK827" i="8"/>
  <c r="AK826" i="8"/>
  <c r="AK824" i="8"/>
  <c r="AK971" i="8"/>
  <c r="AK970" i="8"/>
  <c r="AK968" i="8"/>
  <c r="AK967" i="8"/>
  <c r="AK966" i="8"/>
  <c r="AK528" i="8"/>
  <c r="AK672" i="8"/>
  <c r="AK816" i="8"/>
  <c r="AP771" i="8"/>
  <c r="AP526" i="8"/>
  <c r="AP706" i="8"/>
  <c r="AP705" i="8"/>
  <c r="AP850" i="8"/>
  <c r="AP1006" i="8"/>
  <c r="AP1005" i="8"/>
  <c r="AK709" i="8"/>
  <c r="AK1009" i="8"/>
  <c r="AK639" i="8"/>
  <c r="AK855" i="8"/>
  <c r="AK592" i="8"/>
  <c r="AF640" i="8"/>
  <c r="AF638" i="8"/>
  <c r="AF636" i="8"/>
  <c r="AF637" i="8"/>
  <c r="AF635" i="8"/>
  <c r="AF639" i="8"/>
  <c r="AF784" i="8"/>
  <c r="AF780" i="8"/>
  <c r="AF782" i="8"/>
  <c r="AF781" i="8"/>
  <c r="AF779" i="8"/>
  <c r="AK629" i="8"/>
  <c r="AK628" i="8"/>
  <c r="AK893" i="8"/>
  <c r="AK892" i="8"/>
  <c r="AP702" i="8"/>
  <c r="AP703" i="8"/>
  <c r="AP700" i="8"/>
  <c r="AP698" i="8"/>
  <c r="AP847" i="8"/>
  <c r="AP844" i="8"/>
  <c r="AP842" i="8"/>
  <c r="AP990" i="8"/>
  <c r="AP991" i="8"/>
  <c r="AP988" i="8"/>
  <c r="AP986" i="8"/>
  <c r="AK979" i="8"/>
  <c r="AP657" i="8"/>
  <c r="AK848" i="8"/>
  <c r="AK789" i="8"/>
  <c r="AK703" i="8"/>
  <c r="AF919" i="8"/>
  <c r="AK1028" i="8"/>
  <c r="AK694" i="8"/>
  <c r="AF12" i="8"/>
  <c r="AF618" i="8"/>
  <c r="AF696" i="8"/>
  <c r="AF949" i="8"/>
  <c r="AK872" i="8"/>
  <c r="AF818" i="8"/>
  <c r="AF769" i="8"/>
  <c r="AK990" i="8"/>
  <c r="AF705" i="8"/>
  <c r="AU179" i="8"/>
  <c r="AU323" i="8"/>
  <c r="AU576" i="8"/>
  <c r="AU792" i="8"/>
  <c r="AU785" i="8"/>
  <c r="AU788" i="8"/>
  <c r="AU1020" i="8"/>
  <c r="AU1019" i="8"/>
  <c r="AU891" i="8"/>
  <c r="AU889" i="8"/>
  <c r="AU656" i="8"/>
  <c r="AU322" i="8"/>
  <c r="AU896" i="8"/>
  <c r="AU894" i="8"/>
  <c r="AU646" i="8"/>
  <c r="AU718" i="8"/>
  <c r="AU712" i="8"/>
  <c r="AU575" i="8"/>
  <c r="AP810" i="8"/>
  <c r="AP512" i="8"/>
  <c r="AP800" i="8"/>
  <c r="AP645" i="8"/>
  <c r="AP933" i="8"/>
  <c r="AP635" i="8"/>
  <c r="AP971" i="8"/>
  <c r="AU666" i="8"/>
  <c r="AU966" i="8"/>
  <c r="AP600" i="8"/>
  <c r="AP744" i="8"/>
  <c r="AP888" i="8"/>
  <c r="AP1032" i="8"/>
  <c r="AU643" i="8"/>
  <c r="AU895" i="8"/>
  <c r="AP941" i="8"/>
  <c r="AP769" i="8"/>
  <c r="AP734" i="8"/>
  <c r="AP914" i="8"/>
  <c r="AP605" i="8"/>
  <c r="AK550" i="8"/>
  <c r="AK836" i="8"/>
  <c r="AK975" i="8"/>
  <c r="AP639" i="8"/>
  <c r="AP952" i="8"/>
  <c r="AP604" i="8"/>
  <c r="AP975" i="8"/>
  <c r="AP956" i="8"/>
  <c r="AP538" i="8"/>
  <c r="AP718" i="8"/>
  <c r="AP716" i="8"/>
  <c r="AP862" i="8"/>
  <c r="AP861" i="8"/>
  <c r="AP1018" i="8"/>
  <c r="AK721" i="8"/>
  <c r="AK1021" i="8"/>
  <c r="AK663" i="8"/>
  <c r="AK867" i="8"/>
  <c r="AK640" i="8"/>
  <c r="AK677" i="8"/>
  <c r="AK917" i="8"/>
  <c r="AK916" i="8"/>
  <c r="AU829" i="8"/>
  <c r="AK870" i="8"/>
  <c r="AP715" i="8"/>
  <c r="AP714" i="8"/>
  <c r="AP707" i="8"/>
  <c r="AP859" i="8"/>
  <c r="AP856" i="8"/>
  <c r="AP855" i="8"/>
  <c r="AP851" i="8"/>
  <c r="AP857" i="8"/>
  <c r="AP1001" i="8"/>
  <c r="AP1003" i="8"/>
  <c r="AK991" i="8"/>
  <c r="AK847" i="8"/>
  <c r="AK801" i="8"/>
  <c r="AK754" i="8"/>
  <c r="AK745" i="8"/>
  <c r="AK750" i="8"/>
  <c r="AK749" i="8"/>
  <c r="AK752" i="8"/>
  <c r="AK747" i="8"/>
  <c r="AF946" i="8"/>
  <c r="AF945" i="8"/>
  <c r="AF943" i="8"/>
  <c r="AF942" i="8"/>
  <c r="AF944" i="8"/>
  <c r="AF941" i="8"/>
  <c r="AF540" i="8"/>
  <c r="AF536" i="8"/>
  <c r="AF534" i="8"/>
  <c r="AF535" i="8"/>
  <c r="AF533" i="8"/>
  <c r="AF537" i="8"/>
  <c r="AF538" i="8"/>
  <c r="AF539" i="8"/>
  <c r="AK637" i="8"/>
  <c r="AF668" i="8"/>
  <c r="AF714" i="8"/>
  <c r="AF792" i="8"/>
  <c r="AK992" i="8"/>
  <c r="AF595" i="8"/>
  <c r="AK722" i="8"/>
  <c r="AF969" i="8"/>
  <c r="AF891" i="8"/>
  <c r="AF893" i="8"/>
  <c r="AF577" i="8"/>
  <c r="AF832" i="8"/>
  <c r="AF976" i="8"/>
  <c r="AK604" i="8"/>
  <c r="AK698" i="8"/>
  <c r="AF1017" i="8"/>
  <c r="AF912" i="8"/>
  <c r="AF897" i="8"/>
  <c r="AP571" i="8"/>
  <c r="AP670" i="8"/>
  <c r="AP814" i="8"/>
  <c r="AP970" i="8"/>
  <c r="AK625" i="8"/>
  <c r="AK925" i="8"/>
  <c r="AK567" i="8"/>
  <c r="AK759" i="8"/>
  <c r="AK1035" i="8"/>
  <c r="AF556" i="8"/>
  <c r="AF700" i="8"/>
  <c r="AK689" i="8"/>
  <c r="AK941" i="8"/>
  <c r="AP727" i="8"/>
  <c r="AP871" i="8"/>
  <c r="AP1015" i="8"/>
  <c r="AK850" i="8"/>
  <c r="AP977" i="8"/>
  <c r="AF995" i="8"/>
  <c r="AK1008" i="8"/>
  <c r="AF948" i="8"/>
  <c r="AP781" i="8"/>
  <c r="AK578" i="8"/>
  <c r="AK830" i="8"/>
  <c r="AK838" i="8"/>
  <c r="AF854" i="8"/>
  <c r="AP833" i="8"/>
  <c r="AF867" i="8"/>
  <c r="AK977" i="8"/>
  <c r="AF973" i="8"/>
  <c r="AF902" i="8"/>
  <c r="AF856" i="8"/>
  <c r="AF1036" i="8"/>
  <c r="AF887" i="8"/>
  <c r="AF991" i="8"/>
  <c r="AF920" i="8"/>
  <c r="AF889" i="8"/>
  <c r="AF988" i="8"/>
  <c r="AF881" i="8"/>
  <c r="AF984" i="8"/>
  <c r="AU1033" i="8"/>
  <c r="AU603" i="8"/>
  <c r="AU999" i="8"/>
  <c r="AU1004" i="8"/>
  <c r="AU994" i="8"/>
  <c r="AP584" i="8"/>
  <c r="AP872" i="8"/>
  <c r="AP693" i="8"/>
  <c r="AP981" i="8"/>
  <c r="AP563" i="8"/>
  <c r="AP995" i="8"/>
  <c r="AP564" i="8"/>
  <c r="AP708" i="8"/>
  <c r="AP852" i="8"/>
  <c r="AP996" i="8"/>
  <c r="AP649" i="8"/>
  <c r="AP937" i="8"/>
  <c r="AP567" i="8"/>
  <c r="AK611" i="8"/>
  <c r="AK755" i="8"/>
  <c r="AK899" i="8"/>
  <c r="AK1043" i="8"/>
  <c r="AK600" i="8"/>
  <c r="AK744" i="8"/>
  <c r="AK888" i="8"/>
  <c r="AP583" i="8"/>
  <c r="AP682" i="8"/>
  <c r="AP826" i="8"/>
  <c r="AP982" i="8"/>
  <c r="AK661" i="8"/>
  <c r="AK937" i="8"/>
  <c r="AK579" i="8"/>
  <c r="AK771" i="8"/>
  <c r="AF568" i="8"/>
  <c r="AF712" i="8"/>
  <c r="AK980" i="8"/>
  <c r="AK701" i="8"/>
  <c r="AK953" i="8"/>
  <c r="AP739" i="8"/>
  <c r="AP735" i="8"/>
  <c r="AP737" i="8"/>
  <c r="AP883" i="8"/>
  <c r="AP881" i="8"/>
  <c r="AP1027" i="8"/>
  <c r="AP1025" i="8"/>
  <c r="AK896" i="8"/>
  <c r="AK910" i="8"/>
  <c r="AF1007" i="8"/>
  <c r="AF1006" i="8"/>
  <c r="AK1020" i="8"/>
  <c r="AP805" i="8"/>
  <c r="AF697" i="8"/>
  <c r="AK614" i="8"/>
  <c r="AK854" i="8"/>
  <c r="AK849" i="8"/>
  <c r="AF1013" i="8"/>
  <c r="AF852" i="8"/>
  <c r="AF1014" i="8"/>
  <c r="AP877" i="8"/>
  <c r="AF914" i="8"/>
  <c r="AF906" i="8"/>
  <c r="AF819" i="8"/>
  <c r="AF692" i="8"/>
  <c r="AF868" i="8"/>
  <c r="AF947" i="8"/>
  <c r="AF661" i="8"/>
  <c r="AK700" i="8"/>
  <c r="AF1003" i="8"/>
  <c r="AF885" i="8"/>
  <c r="AF925" i="8"/>
  <c r="AF1000" i="8"/>
  <c r="AF799" i="8"/>
  <c r="AF986" i="8"/>
  <c r="AP514" i="8"/>
  <c r="AP694" i="8"/>
  <c r="AP838" i="8"/>
  <c r="AP994" i="8"/>
  <c r="AK673" i="8"/>
  <c r="AK997" i="8"/>
  <c r="AK591" i="8"/>
  <c r="AK783" i="8"/>
  <c r="AF580" i="8"/>
  <c r="AF724" i="8"/>
  <c r="AK725" i="8"/>
  <c r="AK965" i="8"/>
  <c r="AP558" i="8"/>
  <c r="AP559" i="8"/>
  <c r="AP751" i="8"/>
  <c r="AP892" i="8"/>
  <c r="AP895" i="8"/>
  <c r="AP1039" i="8"/>
  <c r="AK994" i="8"/>
  <c r="AF1019" i="8"/>
  <c r="AK1032" i="8"/>
  <c r="AP829" i="8"/>
  <c r="AK638" i="8"/>
  <c r="AK866" i="8"/>
  <c r="AK603" i="8"/>
  <c r="AF562" i="8"/>
  <c r="AF888" i="8"/>
  <c r="AF853" i="8"/>
  <c r="AF690" i="8"/>
  <c r="AF950" i="8"/>
  <c r="AF880" i="8"/>
  <c r="AF918" i="8"/>
  <c r="AF1015" i="8"/>
  <c r="AP667" i="8"/>
  <c r="AF1002" i="8"/>
  <c r="AF681" i="8"/>
  <c r="AK895" i="8"/>
  <c r="AK903" i="8"/>
  <c r="AF989" i="8"/>
  <c r="AF997" i="8"/>
  <c r="AF817" i="8"/>
  <c r="AK650" i="8"/>
  <c r="AK914" i="8"/>
  <c r="AK843" i="8"/>
  <c r="AF858" i="8"/>
  <c r="AF900" i="8"/>
  <c r="AF563" i="8"/>
  <c r="AF865" i="8"/>
  <c r="AF662" i="8"/>
  <c r="AF903" i="8"/>
  <c r="AF892" i="8"/>
  <c r="AF659" i="8"/>
  <c r="AF831" i="8"/>
  <c r="AF857" i="8"/>
  <c r="AF564" i="8"/>
  <c r="AF999" i="8"/>
  <c r="AP664" i="8"/>
  <c r="AK1038" i="8"/>
  <c r="AF921" i="8"/>
  <c r="AK963" i="8"/>
  <c r="AF576" i="8"/>
  <c r="AF998" i="8"/>
  <c r="AF926" i="8"/>
  <c r="AK662" i="8"/>
  <c r="AK926" i="8"/>
  <c r="AK891" i="8"/>
  <c r="AF851" i="8"/>
  <c r="AF870" i="8"/>
  <c r="AF901" i="8"/>
  <c r="AF698" i="8"/>
  <c r="AF567" i="8"/>
  <c r="AF915" i="8"/>
  <c r="AF904" i="8"/>
  <c r="AF683" i="8"/>
  <c r="AK782" i="8"/>
  <c r="AF874" i="8"/>
  <c r="AF677" i="8"/>
  <c r="AF869" i="8"/>
  <c r="AK844" i="8"/>
  <c r="AF859" i="8"/>
  <c r="AF992" i="8"/>
  <c r="AF863" i="8"/>
  <c r="AF990" i="8"/>
  <c r="AP949" i="8"/>
  <c r="AK674" i="8"/>
  <c r="AK962" i="8"/>
  <c r="AK915" i="8"/>
  <c r="AF899" i="8"/>
  <c r="AF882" i="8"/>
  <c r="AF913" i="8"/>
  <c r="AF689" i="8"/>
  <c r="AF1010" i="8"/>
  <c r="AF694" i="8"/>
  <c r="AF916" i="8"/>
  <c r="AF695" i="8"/>
  <c r="AF910" i="8"/>
  <c r="AF905" i="8"/>
  <c r="AF954" i="8"/>
  <c r="AF691" i="8"/>
  <c r="AF871" i="8"/>
  <c r="AF987" i="8"/>
  <c r="AK987" i="8"/>
  <c r="AF850" i="8"/>
  <c r="AF875" i="8"/>
  <c r="AF955" i="8"/>
  <c r="AF1004" i="8"/>
  <c r="AF847" i="8"/>
  <c r="AF917" i="8"/>
  <c r="AF883" i="8"/>
  <c r="AF846" i="8"/>
  <c r="AK590" i="8"/>
  <c r="AF573" i="8"/>
  <c r="AF886" i="8"/>
  <c r="AF911" i="8"/>
  <c r="AF578" i="8"/>
  <c r="AF848" i="8"/>
  <c r="AF907" i="8"/>
  <c r="AF877" i="8"/>
  <c r="AF898" i="8"/>
  <c r="AF923" i="8"/>
  <c r="AF849" i="8"/>
  <c r="AU855" i="8"/>
  <c r="AU920" i="8"/>
  <c r="AU622" i="8"/>
  <c r="AP752" i="8"/>
  <c r="AP1040" i="8"/>
  <c r="AP585" i="8"/>
  <c r="AP873" i="8"/>
  <c r="AU1000" i="8"/>
  <c r="AP935" i="8"/>
  <c r="AP648" i="8"/>
  <c r="AP792" i="8"/>
  <c r="AP936" i="8"/>
  <c r="AP529" i="8"/>
  <c r="AP817" i="8"/>
  <c r="AP554" i="8"/>
  <c r="AP893" i="8"/>
  <c r="AP747" i="8"/>
  <c r="AK551" i="8"/>
  <c r="AK695" i="8"/>
  <c r="AK839" i="8"/>
  <c r="AK983" i="8"/>
  <c r="AK540" i="8"/>
  <c r="AK684" i="8"/>
  <c r="AK828" i="8"/>
  <c r="AP510" i="8"/>
  <c r="AP511" i="8"/>
  <c r="AP932" i="8"/>
  <c r="AP622" i="8"/>
  <c r="AP766" i="8"/>
  <c r="AP922" i="8"/>
  <c r="AK529" i="8"/>
  <c r="AK817" i="8"/>
  <c r="AK687" i="8"/>
  <c r="AK927" i="8"/>
  <c r="AF652" i="8"/>
  <c r="AF796" i="8"/>
  <c r="AK581" i="8"/>
  <c r="AK869" i="8"/>
  <c r="AP679" i="8"/>
  <c r="AP823" i="8"/>
  <c r="AP967" i="8"/>
  <c r="AK658" i="8"/>
  <c r="AF802" i="8"/>
  <c r="AF935" i="8"/>
  <c r="AP880" i="8"/>
  <c r="AF660" i="8"/>
  <c r="AP685" i="8"/>
  <c r="AP1021" i="8"/>
  <c r="AK746" i="8"/>
  <c r="AK1022" i="8"/>
  <c r="AF566" i="8"/>
  <c r="AF565" i="8"/>
  <c r="AF579" i="8"/>
  <c r="AK993" i="8"/>
  <c r="AF793" i="8"/>
  <c r="AF794" i="8"/>
  <c r="AF1033" i="8"/>
  <c r="AF1035" i="8"/>
  <c r="AF952" i="8"/>
  <c r="AF557" i="8"/>
  <c r="AF953" i="8"/>
  <c r="AF996" i="8"/>
  <c r="AK952" i="8"/>
  <c r="AF571" i="8"/>
  <c r="AK961" i="8"/>
  <c r="AF993" i="8"/>
  <c r="AK1039" i="8"/>
  <c r="AF927" i="8"/>
  <c r="AF864" i="8"/>
  <c r="AF974" i="8"/>
  <c r="AF861" i="8"/>
  <c r="AP634" i="8"/>
  <c r="AP778" i="8"/>
  <c r="AP934" i="8"/>
  <c r="AK565" i="8"/>
  <c r="AK853" i="8"/>
  <c r="AK711" i="8"/>
  <c r="AK939" i="8"/>
  <c r="AF664" i="8"/>
  <c r="AF808" i="8"/>
  <c r="AK605" i="8"/>
  <c r="AK881" i="8"/>
  <c r="AK781" i="8"/>
  <c r="AP691" i="8"/>
  <c r="AP689" i="8"/>
  <c r="AP835" i="8"/>
  <c r="AP979" i="8"/>
  <c r="AP993" i="8"/>
  <c r="AK706" i="8"/>
  <c r="AF922" i="8"/>
  <c r="AF959" i="8"/>
  <c r="AF958" i="8"/>
  <c r="AK960" i="8"/>
  <c r="AK704" i="8"/>
  <c r="AF684" i="8"/>
  <c r="AP709" i="8"/>
  <c r="AK758" i="8"/>
  <c r="AK1034" i="8"/>
  <c r="AF686" i="8"/>
  <c r="AF699" i="8"/>
  <c r="AF890" i="8"/>
  <c r="AF860" i="8"/>
  <c r="AF572" i="8"/>
  <c r="AF806" i="8"/>
  <c r="AK972" i="8"/>
  <c r="AF820" i="8"/>
  <c r="AF964" i="8"/>
  <c r="AF569" i="8"/>
  <c r="AF894" i="8"/>
  <c r="AK973" i="8"/>
  <c r="AK686" i="8"/>
  <c r="AF558" i="8"/>
  <c r="AF1005" i="8"/>
  <c r="AF560" i="8"/>
  <c r="AF975" i="8"/>
  <c r="AF876" i="8"/>
  <c r="AF561" i="8"/>
  <c r="AF896" i="8"/>
  <c r="AF879" i="8"/>
  <c r="AK405" i="8"/>
  <c r="AK417" i="8"/>
  <c r="AK519" i="8"/>
  <c r="AK522" i="8"/>
  <c r="AK426" i="8"/>
  <c r="AP223" i="8"/>
  <c r="AP289" i="8"/>
  <c r="AP434" i="8"/>
  <c r="AP299" i="8"/>
  <c r="AP446" i="8"/>
  <c r="AK24" i="8"/>
  <c r="AK414" i="8"/>
  <c r="AP142" i="8"/>
  <c r="AP438" i="8"/>
  <c r="AP249" i="8"/>
  <c r="AK206" i="8"/>
  <c r="AP134" i="8"/>
  <c r="AK440" i="8"/>
  <c r="AP487" i="8"/>
  <c r="AP500" i="8"/>
  <c r="AP273" i="8"/>
  <c r="AP417" i="8"/>
  <c r="AK333" i="8"/>
  <c r="AK301" i="8"/>
  <c r="AP160" i="8"/>
  <c r="AP159" i="8"/>
  <c r="AP499" i="8"/>
  <c r="AP351" i="8"/>
  <c r="AK460" i="8"/>
  <c r="AP28" i="8"/>
  <c r="AP171" i="8"/>
  <c r="AP479" i="8"/>
  <c r="AP460" i="8"/>
  <c r="AK103" i="8"/>
  <c r="AP274" i="8"/>
  <c r="AP261" i="8"/>
  <c r="AP40" i="8"/>
  <c r="AP183" i="8"/>
  <c r="AP327" i="8"/>
  <c r="AP498" i="8"/>
  <c r="AP166" i="8"/>
  <c r="AP230" i="8"/>
  <c r="AP375" i="8"/>
  <c r="AK57" i="8"/>
  <c r="AK476" i="8"/>
  <c r="AP52" i="8"/>
  <c r="AP196" i="8"/>
  <c r="AP339" i="8"/>
  <c r="AP178" i="8"/>
  <c r="AK142" i="8"/>
  <c r="AK502" i="8"/>
  <c r="AP82" i="8"/>
  <c r="AP191" i="8"/>
  <c r="AK237" i="8"/>
  <c r="AP118" i="8"/>
  <c r="AP269" i="8"/>
  <c r="AP294" i="8"/>
  <c r="AP393" i="8"/>
  <c r="AP475" i="8"/>
  <c r="AP207" i="8"/>
  <c r="AK411" i="8"/>
  <c r="AP73" i="8"/>
  <c r="AP219" i="8"/>
  <c r="AP362" i="8"/>
  <c r="AP490" i="8"/>
  <c r="AP266" i="8"/>
  <c r="AP411" i="8"/>
  <c r="AK229" i="8"/>
  <c r="AK339" i="8"/>
  <c r="AP405" i="8"/>
  <c r="AP88" i="8"/>
  <c r="AP374" i="8"/>
  <c r="AP213" i="8"/>
  <c r="AP357" i="8"/>
  <c r="AK212" i="8"/>
  <c r="AK389" i="8"/>
  <c r="AK308" i="8"/>
  <c r="AK217" i="8"/>
  <c r="AK182" i="8"/>
  <c r="AP113" i="8"/>
  <c r="AP111" i="8"/>
  <c r="AP257" i="8"/>
  <c r="AP401" i="8"/>
  <c r="AP138" i="8"/>
  <c r="AP282" i="8"/>
  <c r="AP426" i="8"/>
  <c r="AP67" i="8"/>
  <c r="AP68" i="8"/>
  <c r="AP175" i="8"/>
  <c r="AP319" i="8"/>
  <c r="AP463" i="8"/>
  <c r="AP105" i="8"/>
  <c r="AP152" i="8"/>
  <c r="AP296" i="8"/>
  <c r="AP440" i="8"/>
  <c r="AP130" i="8"/>
  <c r="AP155" i="8"/>
  <c r="AP443" i="8"/>
  <c r="AP12" i="8"/>
  <c r="AP156" i="8"/>
  <c r="AP300" i="8"/>
  <c r="AP444" i="8"/>
  <c r="AP442" i="8"/>
  <c r="AP181" i="8"/>
  <c r="AP182" i="8"/>
  <c r="AP133" i="8"/>
  <c r="AP242" i="8"/>
  <c r="AP99" i="8"/>
  <c r="AP291" i="8"/>
  <c r="AP459" i="8"/>
  <c r="AP136" i="8"/>
  <c r="AP280" i="8"/>
  <c r="AP424" i="8"/>
  <c r="AP421" i="8"/>
  <c r="AP437" i="8"/>
  <c r="AP501" i="8"/>
  <c r="AK228" i="8"/>
  <c r="AK225" i="8"/>
  <c r="AK193" i="8"/>
  <c r="AK191" i="8"/>
  <c r="AK189" i="8"/>
  <c r="AK192" i="8"/>
  <c r="AK190" i="8"/>
  <c r="AK110" i="8"/>
  <c r="AK374" i="8"/>
  <c r="AK365" i="8"/>
  <c r="AK372" i="8"/>
  <c r="AK364" i="8"/>
  <c r="AK373" i="8"/>
  <c r="AK370" i="8"/>
  <c r="AK363" i="8"/>
  <c r="AK366" i="8"/>
  <c r="AK371" i="8"/>
  <c r="AK518" i="8"/>
  <c r="AK513" i="8"/>
  <c r="AK514" i="8"/>
  <c r="AK517" i="8"/>
  <c r="AK512" i="8"/>
  <c r="AK52" i="8"/>
  <c r="AK51" i="8"/>
  <c r="AP418" i="8"/>
  <c r="AK173" i="8"/>
  <c r="AK172" i="8"/>
  <c r="AK6" i="8"/>
  <c r="AK150" i="8"/>
  <c r="AK149" i="8"/>
  <c r="AK148" i="8"/>
  <c r="AK55" i="8"/>
  <c r="AK331" i="8"/>
  <c r="AK147" i="8"/>
  <c r="AK395" i="8"/>
  <c r="AP80" i="8"/>
  <c r="AP331" i="8"/>
  <c r="AP308" i="8"/>
  <c r="AP286" i="8"/>
  <c r="AP24" i="8"/>
  <c r="AP312" i="8"/>
  <c r="AK122" i="8"/>
  <c r="AK117" i="8"/>
  <c r="AK121" i="8"/>
  <c r="AK116" i="8"/>
  <c r="AK119" i="8"/>
  <c r="AK118" i="8"/>
  <c r="AK160" i="8"/>
  <c r="AK367" i="8"/>
  <c r="AK58" i="8"/>
  <c r="AK100" i="8"/>
  <c r="AF4" i="8"/>
  <c r="D50" i="1" s="1"/>
  <c r="AP18" i="8"/>
  <c r="AP450" i="8"/>
  <c r="AP106" i="8"/>
  <c r="AP343" i="8"/>
  <c r="AP129" i="8"/>
  <c r="AP320" i="8"/>
  <c r="AP154" i="8"/>
  <c r="AP179" i="8"/>
  <c r="AP467" i="8"/>
  <c r="AP324" i="8"/>
  <c r="AP14" i="8"/>
  <c r="AP482" i="8"/>
  <c r="AP315" i="8"/>
  <c r="AP237" i="8"/>
  <c r="AK158" i="8"/>
  <c r="AK208" i="8"/>
  <c r="AK195" i="8"/>
  <c r="AK174" i="8"/>
  <c r="AK355" i="8"/>
  <c r="AK285" i="8"/>
  <c r="AP5" i="8"/>
  <c r="AP149" i="8"/>
  <c r="AP293" i="8"/>
  <c r="AP30" i="8"/>
  <c r="AP174" i="8"/>
  <c r="AP318" i="8"/>
  <c r="AP462" i="8"/>
  <c r="AP103" i="8"/>
  <c r="AP104" i="8"/>
  <c r="AP211" i="8"/>
  <c r="AP355" i="8"/>
  <c r="AP141" i="8"/>
  <c r="AP188" i="8"/>
  <c r="AP332" i="8"/>
  <c r="AP476" i="8"/>
  <c r="AP310" i="8"/>
  <c r="AP335" i="8"/>
  <c r="AP48" i="8"/>
  <c r="AP192" i="8"/>
  <c r="AP336" i="8"/>
  <c r="AP334" i="8"/>
  <c r="AP480" i="8"/>
  <c r="AP478" i="8"/>
  <c r="AP37" i="8"/>
  <c r="AP494" i="8"/>
  <c r="AP172" i="8"/>
  <c r="AP316" i="8"/>
  <c r="AP473" i="8"/>
  <c r="AP469" i="8"/>
  <c r="AP470" i="8"/>
  <c r="AK72" i="8"/>
  <c r="AK70" i="8"/>
  <c r="AK68" i="8"/>
  <c r="AK324" i="8"/>
  <c r="AK323" i="8"/>
  <c r="AK320" i="8"/>
  <c r="AK321" i="8"/>
  <c r="AK319" i="8"/>
  <c r="AK318" i="8"/>
  <c r="AK265" i="8"/>
  <c r="AK170" i="8"/>
  <c r="AK168" i="8"/>
  <c r="AK167" i="8"/>
  <c r="AK163" i="8"/>
  <c r="AK164" i="8"/>
  <c r="AK166" i="8"/>
  <c r="AK410" i="8"/>
  <c r="AK404" i="8"/>
  <c r="AK401" i="8"/>
  <c r="AK400" i="8"/>
  <c r="AK408" i="8"/>
  <c r="AK403" i="8"/>
  <c r="AK409" i="8"/>
  <c r="AK399" i="8"/>
  <c r="AK407" i="8"/>
  <c r="AK402" i="8"/>
  <c r="AK99" i="8"/>
  <c r="AK97" i="8"/>
  <c r="AK98" i="8"/>
  <c r="AK256" i="8"/>
  <c r="AK255" i="8"/>
  <c r="AK209" i="8"/>
  <c r="AK41" i="8"/>
  <c r="AK120" i="8"/>
  <c r="AK282" i="8"/>
  <c r="AK427" i="8"/>
  <c r="AK424" i="8"/>
  <c r="AK423" i="8"/>
  <c r="AP4" i="8"/>
  <c r="F50" i="1" s="1"/>
  <c r="AK507" i="8"/>
  <c r="AK328" i="8"/>
  <c r="AK326" i="8"/>
  <c r="AK325" i="8"/>
  <c r="AK464" i="8"/>
  <c r="AK515" i="8"/>
  <c r="AK486" i="8"/>
  <c r="AP125" i="8"/>
  <c r="AP123" i="8"/>
  <c r="AP6" i="8"/>
  <c r="AP150" i="8"/>
  <c r="AP79" i="8"/>
  <c r="AP94" i="8"/>
  <c r="AP117" i="8"/>
  <c r="AP452" i="8"/>
  <c r="AP167" i="8"/>
  <c r="AP311" i="8"/>
  <c r="AP455" i="8"/>
  <c r="AP168" i="8"/>
  <c r="AP456" i="8"/>
  <c r="AP193" i="8"/>
  <c r="AP194" i="8"/>
  <c r="AP206" i="8"/>
  <c r="AP254" i="8"/>
  <c r="AP458" i="8"/>
  <c r="AP135" i="8"/>
  <c r="AP303" i="8"/>
  <c r="AP121" i="8"/>
  <c r="AP148" i="8"/>
  <c r="AP292" i="8"/>
  <c r="AP436" i="8"/>
  <c r="AP449" i="8"/>
  <c r="AP225" i="8"/>
  <c r="AP369" i="8"/>
  <c r="AK252" i="8"/>
  <c r="AK244" i="8"/>
  <c r="AK250" i="8"/>
  <c r="AK243" i="8"/>
  <c r="AK231" i="8"/>
  <c r="AK247" i="8"/>
  <c r="AK248" i="8"/>
  <c r="AK245" i="8"/>
  <c r="AK251" i="8"/>
  <c r="AK15" i="8"/>
  <c r="AP430" i="8"/>
  <c r="AK249" i="8"/>
  <c r="AP281" i="8"/>
  <c r="AP162" i="8"/>
  <c r="AP91" i="8"/>
  <c r="AP199" i="8"/>
  <c r="AP36" i="8"/>
  <c r="AP97" i="8"/>
  <c r="AP147" i="8"/>
  <c r="AP304" i="8"/>
  <c r="AP381" i="8"/>
  <c r="AK264" i="8"/>
  <c r="AK263" i="8"/>
  <c r="AK262" i="8"/>
  <c r="AK261" i="8"/>
  <c r="AK260" i="8"/>
  <c r="AK259" i="8"/>
  <c r="AK63" i="8"/>
  <c r="AP454" i="8"/>
  <c r="AK30" i="8"/>
  <c r="AK28" i="8"/>
  <c r="AK29" i="8"/>
  <c r="AK79" i="8"/>
  <c r="AK246" i="8"/>
  <c r="AK351" i="8"/>
  <c r="AP17" i="8"/>
  <c r="AP161" i="8"/>
  <c r="AP305" i="8"/>
  <c r="AP42" i="8"/>
  <c r="AP186" i="8"/>
  <c r="AP330" i="8"/>
  <c r="AP474" i="8"/>
  <c r="AP115" i="8"/>
  <c r="AP116" i="8"/>
  <c r="AP11" i="8"/>
  <c r="AP367" i="8"/>
  <c r="AP9" i="8"/>
  <c r="AP153" i="8"/>
  <c r="AP200" i="8"/>
  <c r="AP344" i="8"/>
  <c r="AP488" i="8"/>
  <c r="AP322" i="8"/>
  <c r="AP203" i="8"/>
  <c r="AP347" i="8"/>
  <c r="AP491" i="8"/>
  <c r="AP60" i="8"/>
  <c r="AP204" i="8"/>
  <c r="AP348" i="8"/>
  <c r="AP492" i="8"/>
  <c r="AP409" i="8"/>
  <c r="AP49" i="8"/>
  <c r="AP302" i="8"/>
  <c r="AP184" i="8"/>
  <c r="AP328" i="8"/>
  <c r="AP472" i="8"/>
  <c r="AP485" i="8"/>
  <c r="AP483" i="8"/>
  <c r="AP481" i="8"/>
  <c r="AK84" i="8"/>
  <c r="AK82" i="8"/>
  <c r="AK81" i="8"/>
  <c r="AK336" i="8"/>
  <c r="AK334" i="8"/>
  <c r="AK335" i="8"/>
  <c r="AK332" i="8"/>
  <c r="AK277" i="8"/>
  <c r="AK276" i="8"/>
  <c r="AK274" i="8"/>
  <c r="AK270" i="8"/>
  <c r="AK272" i="8"/>
  <c r="AK275" i="8"/>
  <c r="AK273" i="8"/>
  <c r="AK194" i="8"/>
  <c r="AK422" i="8"/>
  <c r="AK419" i="8"/>
  <c r="AK421" i="8"/>
  <c r="AK416" i="8"/>
  <c r="AK420" i="8"/>
  <c r="AK418" i="8"/>
  <c r="AK123" i="8"/>
  <c r="AP502" i="8"/>
  <c r="AK221" i="8"/>
  <c r="AK220" i="8"/>
  <c r="AK219" i="8"/>
  <c r="AK54" i="8"/>
  <c r="AK198" i="8"/>
  <c r="AK139" i="8"/>
  <c r="AK288" i="8"/>
  <c r="AK354" i="8"/>
  <c r="AK435" i="8"/>
  <c r="AK369" i="8"/>
  <c r="AK226" i="8"/>
  <c r="AK352" i="8"/>
  <c r="AK338" i="8"/>
  <c r="AP187" i="8"/>
  <c r="AP164" i="8"/>
  <c r="AK386" i="8"/>
  <c r="AK381" i="8"/>
  <c r="AK380" i="8"/>
  <c r="AK376" i="8"/>
  <c r="AK385" i="8"/>
  <c r="AK382" i="8"/>
  <c r="AK375" i="8"/>
  <c r="AK384" i="8"/>
  <c r="AK136" i="8"/>
  <c r="AK133" i="8"/>
  <c r="AK340" i="8"/>
  <c r="AK379" i="8"/>
  <c r="AK368" i="8"/>
  <c r="AP137" i="8"/>
  <c r="AP306" i="8"/>
  <c r="AP92" i="8"/>
  <c r="AP176" i="8"/>
  <c r="AP464" i="8"/>
  <c r="AP298" i="8"/>
  <c r="AP323" i="8"/>
  <c r="AP180" i="8"/>
  <c r="AP468" i="8"/>
  <c r="AP466" i="8"/>
  <c r="AP277" i="8"/>
  <c r="AP16" i="8"/>
  <c r="AP448" i="8"/>
  <c r="AP461" i="8"/>
  <c r="AP457" i="8"/>
  <c r="AK48" i="8"/>
  <c r="AK44" i="8"/>
  <c r="AK47" i="8"/>
  <c r="AK46" i="8"/>
  <c r="AK43" i="8"/>
  <c r="AK45" i="8"/>
  <c r="AK253" i="8"/>
  <c r="AK398" i="8"/>
  <c r="AK387" i="8"/>
  <c r="AK391" i="8"/>
  <c r="AK392" i="8"/>
  <c r="AK388" i="8"/>
  <c r="AK397" i="8"/>
  <c r="AK394" i="8"/>
  <c r="AK396" i="8"/>
  <c r="AK393" i="8"/>
  <c r="AK169" i="8"/>
  <c r="AK130" i="8"/>
  <c r="AK112" i="8"/>
  <c r="AK104" i="8"/>
  <c r="AP29" i="8"/>
  <c r="AP173" i="8"/>
  <c r="AP317" i="8"/>
  <c r="AP54" i="8"/>
  <c r="AP198" i="8"/>
  <c r="AP342" i="8"/>
  <c r="AP486" i="8"/>
  <c r="AP127" i="8"/>
  <c r="AP128" i="8"/>
  <c r="AP23" i="8"/>
  <c r="AP235" i="8"/>
  <c r="AP379" i="8"/>
  <c r="AP21" i="8"/>
  <c r="AP165" i="8"/>
  <c r="AP212" i="8"/>
  <c r="AP356" i="8"/>
  <c r="AP190" i="8"/>
  <c r="AP50" i="8"/>
  <c r="AP215" i="8"/>
  <c r="AP359" i="8"/>
  <c r="AP72" i="8"/>
  <c r="AP216" i="8"/>
  <c r="AP360" i="8"/>
  <c r="AK27" i="8"/>
  <c r="AK25" i="8"/>
  <c r="AK26" i="8"/>
  <c r="AP74" i="8"/>
  <c r="AP314" i="8"/>
  <c r="AP15" i="8"/>
  <c r="AP340" i="8"/>
  <c r="AP337" i="8"/>
  <c r="AP338" i="8"/>
  <c r="AP484" i="8"/>
  <c r="AP497" i="8"/>
  <c r="AP495" i="8"/>
  <c r="AK96" i="8"/>
  <c r="AK94" i="8"/>
  <c r="AK92" i="8"/>
  <c r="AK91" i="8"/>
  <c r="AK95" i="8"/>
  <c r="AK348" i="8"/>
  <c r="AK347" i="8"/>
  <c r="AK345" i="8"/>
  <c r="AK342" i="8"/>
  <c r="AK337" i="8"/>
  <c r="AK230" i="8"/>
  <c r="AK434" i="8"/>
  <c r="AK433" i="8"/>
  <c r="AK429" i="8"/>
  <c r="AK431" i="8"/>
  <c r="AK428" i="8"/>
  <c r="AK207" i="8"/>
  <c r="AK203" i="8"/>
  <c r="AK201" i="8"/>
  <c r="AK204" i="8"/>
  <c r="AK205" i="8"/>
  <c r="AK202" i="8"/>
  <c r="AK199" i="8"/>
  <c r="AK316" i="8"/>
  <c r="AK306" i="8"/>
  <c r="AK315" i="8"/>
  <c r="AK311" i="8"/>
  <c r="AK307" i="8"/>
  <c r="AK309" i="8"/>
  <c r="AK314" i="8"/>
  <c r="AK313" i="8"/>
  <c r="AK310" i="8"/>
  <c r="AK5" i="8"/>
  <c r="AK257" i="8"/>
  <c r="AK151" i="8"/>
  <c r="AK161" i="8"/>
  <c r="AK378" i="8"/>
  <c r="AK475" i="8"/>
  <c r="AK471" i="8"/>
  <c r="AK9" i="8"/>
  <c r="AK8" i="8"/>
  <c r="AP229" i="8"/>
  <c r="AK322" i="8"/>
  <c r="AK312" i="8"/>
  <c r="AK472" i="8"/>
  <c r="AP41" i="8"/>
  <c r="AP185" i="8"/>
  <c r="AP329" i="8"/>
  <c r="AP66" i="8"/>
  <c r="AP210" i="8"/>
  <c r="AP354" i="8"/>
  <c r="AP139" i="8"/>
  <c r="AP10" i="8"/>
  <c r="AP35" i="8"/>
  <c r="AP247" i="8"/>
  <c r="AP391" i="8"/>
  <c r="AP33" i="8"/>
  <c r="AP177" i="8"/>
  <c r="AP224" i="8"/>
  <c r="AP368" i="8"/>
  <c r="AP146" i="8"/>
  <c r="AP202" i="8"/>
  <c r="AP83" i="8"/>
  <c r="AP227" i="8"/>
  <c r="AP371" i="8"/>
  <c r="AP445" i="8"/>
  <c r="AP84" i="8"/>
  <c r="AP228" i="8"/>
  <c r="AP372" i="8"/>
  <c r="AP86" i="8"/>
  <c r="AK171" i="8"/>
  <c r="AP85" i="8"/>
  <c r="AP325" i="8"/>
  <c r="AP27" i="8"/>
  <c r="AP195" i="8"/>
  <c r="AP363" i="8"/>
  <c r="AP64" i="8"/>
  <c r="AP208" i="8"/>
  <c r="AP352" i="8"/>
  <c r="AP496" i="8"/>
  <c r="AK32" i="8"/>
  <c r="AP285" i="8"/>
  <c r="AP429" i="8"/>
  <c r="AK108" i="8"/>
  <c r="AK106" i="8"/>
  <c r="AK105" i="8"/>
  <c r="AK107" i="8"/>
  <c r="AK49" i="8"/>
  <c r="AK235" i="8"/>
  <c r="AP346" i="8"/>
  <c r="AK267" i="8"/>
  <c r="AK78" i="8"/>
  <c r="AK222" i="8"/>
  <c r="AK353" i="8"/>
  <c r="AK20" i="8"/>
  <c r="AP241" i="8"/>
  <c r="AK346" i="8"/>
  <c r="AK360" i="8"/>
  <c r="AK297" i="8"/>
  <c r="AP53" i="8"/>
  <c r="AP197" i="8"/>
  <c r="AP341" i="8"/>
  <c r="AP78" i="8"/>
  <c r="AP222" i="8"/>
  <c r="AP366" i="8"/>
  <c r="AP7" i="8"/>
  <c r="AP8" i="8"/>
  <c r="AP22" i="8"/>
  <c r="AP47" i="8"/>
  <c r="AP259" i="8"/>
  <c r="AP403" i="8"/>
  <c r="AP45" i="8"/>
  <c r="AP38" i="8"/>
  <c r="AP236" i="8"/>
  <c r="AP380" i="8"/>
  <c r="AP278" i="8"/>
  <c r="AP214" i="8"/>
  <c r="AP95" i="8"/>
  <c r="AP239" i="8"/>
  <c r="AP383" i="8"/>
  <c r="AP493" i="8"/>
  <c r="AP96" i="8"/>
  <c r="AP240" i="8"/>
  <c r="AP384" i="8"/>
  <c r="AP26" i="8"/>
  <c r="AP98" i="8"/>
  <c r="AP110" i="8"/>
  <c r="AP39" i="8"/>
  <c r="AP76" i="8"/>
  <c r="AP220" i="8"/>
  <c r="AP364" i="8"/>
  <c r="AK80" i="8"/>
  <c r="AP297" i="8"/>
  <c r="AP441" i="8"/>
  <c r="AK132" i="8"/>
  <c r="AK129" i="8"/>
  <c r="AK131" i="8"/>
  <c r="AK85" i="8"/>
  <c r="AK361" i="8"/>
  <c r="AK359" i="8"/>
  <c r="AK357" i="8"/>
  <c r="AK358" i="8"/>
  <c r="AK356" i="8"/>
  <c r="AK266" i="8"/>
  <c r="AK458" i="8"/>
  <c r="AK457" i="8"/>
  <c r="AK447" i="8"/>
  <c r="AK452" i="8"/>
  <c r="AK449" i="8"/>
  <c r="AK456" i="8"/>
  <c r="AK453" i="8"/>
  <c r="AK451" i="8"/>
  <c r="AK455" i="8"/>
  <c r="AK454" i="8"/>
  <c r="AK448" i="8"/>
  <c r="AK303" i="8"/>
  <c r="AK286" i="8"/>
  <c r="AK300" i="8"/>
  <c r="AP358" i="8"/>
  <c r="AK53" i="8"/>
  <c r="AK305" i="8"/>
  <c r="AK90" i="8"/>
  <c r="AK87" i="8"/>
  <c r="AK88" i="8"/>
  <c r="AK258" i="8"/>
  <c r="AK211" i="8"/>
  <c r="AK377" i="8"/>
  <c r="AK474" i="8"/>
  <c r="AK511" i="8"/>
  <c r="AK510" i="8"/>
  <c r="AK508" i="8"/>
  <c r="AK406" i="8"/>
  <c r="AK71" i="8"/>
  <c r="AK241" i="8"/>
  <c r="AP65" i="8"/>
  <c r="AP62" i="8"/>
  <c r="AP61" i="8"/>
  <c r="AP209" i="8"/>
  <c r="AP353" i="8"/>
  <c r="AP90" i="8"/>
  <c r="AP234" i="8"/>
  <c r="AP378" i="8"/>
  <c r="AP19" i="8"/>
  <c r="AP20" i="8"/>
  <c r="AP34" i="8"/>
  <c r="AP59" i="8"/>
  <c r="AP271" i="8"/>
  <c r="AP415" i="8"/>
  <c r="AP57" i="8"/>
  <c r="AP248" i="8"/>
  <c r="AP392" i="8"/>
  <c r="AP13" i="8"/>
  <c r="AP226" i="8"/>
  <c r="AP107" i="8"/>
  <c r="AP251" i="8"/>
  <c r="AP395" i="8"/>
  <c r="AP290" i="8"/>
  <c r="AP108" i="8"/>
  <c r="AP252" i="8"/>
  <c r="AP396" i="8"/>
  <c r="AP109" i="8"/>
  <c r="AP205" i="8"/>
  <c r="AP145" i="8"/>
  <c r="AP51" i="8"/>
  <c r="AP387" i="8"/>
  <c r="AP232" i="8"/>
  <c r="AP376" i="8"/>
  <c r="AP373" i="8"/>
  <c r="AP122" i="8"/>
  <c r="AK224" i="8"/>
  <c r="AP309" i="8"/>
  <c r="AP453" i="8"/>
  <c r="AK144" i="8"/>
  <c r="AK143" i="8"/>
  <c r="AK140" i="8"/>
  <c r="AK109" i="8"/>
  <c r="AK14" i="8"/>
  <c r="AK12" i="8"/>
  <c r="AK278" i="8"/>
  <c r="AK470" i="8"/>
  <c r="AK467" i="8"/>
  <c r="AK468" i="8"/>
  <c r="AK459" i="8"/>
  <c r="AK469" i="8"/>
  <c r="AK465" i="8"/>
  <c r="AK463" i="8"/>
  <c r="AK462" i="8"/>
  <c r="AK466" i="8"/>
  <c r="AK188" i="8"/>
  <c r="AP370" i="8"/>
  <c r="AK77" i="8"/>
  <c r="AK76" i="8"/>
  <c r="AK75" i="8"/>
  <c r="AK317" i="8"/>
  <c r="AK330" i="8"/>
  <c r="AK425" i="8"/>
  <c r="AK69" i="8"/>
  <c r="AP471" i="8"/>
  <c r="AK430" i="8"/>
  <c r="AK83" i="8"/>
  <c r="AK89" i="8"/>
  <c r="AP77" i="8"/>
  <c r="AP221" i="8"/>
  <c r="AP365" i="8"/>
  <c r="AP102" i="8"/>
  <c r="AP246" i="8"/>
  <c r="AP390" i="8"/>
  <c r="AP31" i="8"/>
  <c r="AP32" i="8"/>
  <c r="AP46" i="8"/>
  <c r="AP71" i="8"/>
  <c r="AP283" i="8"/>
  <c r="AP427" i="8"/>
  <c r="AP69" i="8"/>
  <c r="AP217" i="8"/>
  <c r="AP260" i="8"/>
  <c r="AP404" i="8"/>
  <c r="AP157" i="8"/>
  <c r="AP238" i="8"/>
  <c r="AP119" i="8"/>
  <c r="AP263" i="8"/>
  <c r="AP407" i="8"/>
  <c r="AP25" i="8"/>
  <c r="AP120" i="8"/>
  <c r="AP264" i="8"/>
  <c r="AP408" i="8"/>
  <c r="AP253" i="8"/>
  <c r="AP158" i="8"/>
  <c r="AP63" i="8"/>
  <c r="AP231" i="8"/>
  <c r="AP423" i="8"/>
  <c r="AP244" i="8"/>
  <c r="AP388" i="8"/>
  <c r="AP349" i="8"/>
  <c r="AP350" i="8"/>
  <c r="AP321" i="8"/>
  <c r="AP465" i="8"/>
  <c r="AK156" i="8"/>
  <c r="AK155" i="8"/>
  <c r="AK153" i="8"/>
  <c r="AK152" i="8"/>
  <c r="AK154" i="8"/>
  <c r="AK145" i="8"/>
  <c r="AK34" i="8"/>
  <c r="AK287" i="8"/>
  <c r="AK478" i="8"/>
  <c r="AK284" i="8"/>
  <c r="AP382" i="8"/>
  <c r="AK101" i="8"/>
  <c r="AK329" i="8"/>
  <c r="AK327" i="8"/>
  <c r="AK114" i="8"/>
  <c r="AK461" i="8"/>
  <c r="AK127" i="8"/>
  <c r="AK93" i="8"/>
  <c r="AK390" i="8"/>
  <c r="AK442" i="8"/>
  <c r="AK227" i="8"/>
  <c r="AP89" i="8"/>
  <c r="AP233" i="8"/>
  <c r="AP377" i="8"/>
  <c r="AP114" i="8"/>
  <c r="AP258" i="8"/>
  <c r="AP402" i="8"/>
  <c r="AP43" i="8"/>
  <c r="AP44" i="8"/>
  <c r="AP58" i="8"/>
  <c r="AP151" i="8"/>
  <c r="AP295" i="8"/>
  <c r="AP439" i="8"/>
  <c r="AP81" i="8"/>
  <c r="AP361" i="8"/>
  <c r="AP272" i="8"/>
  <c r="AP416" i="8"/>
  <c r="AP301" i="8"/>
  <c r="AP250" i="8"/>
  <c r="AP131" i="8"/>
  <c r="AP275" i="8"/>
  <c r="AP419" i="8"/>
  <c r="AP169" i="8"/>
  <c r="AP132" i="8"/>
  <c r="AP276" i="8"/>
  <c r="AP420" i="8"/>
  <c r="AP397" i="8"/>
  <c r="AK40" i="8"/>
  <c r="AK33" i="8"/>
  <c r="AK39" i="8"/>
  <c r="AP170" i="8"/>
  <c r="AP398" i="8"/>
  <c r="AP75" i="8"/>
  <c r="AP435" i="8"/>
  <c r="AP112" i="8"/>
  <c r="AP256" i="8"/>
  <c r="AP255" i="8"/>
  <c r="AP400" i="8"/>
  <c r="AP399" i="8"/>
  <c r="AP413" i="8"/>
  <c r="AP189" i="8"/>
  <c r="AP333" i="8"/>
  <c r="AP477" i="8"/>
  <c r="AK180" i="8"/>
  <c r="AK179" i="8"/>
  <c r="AK176" i="8"/>
  <c r="AK178" i="8"/>
  <c r="AK177" i="8"/>
  <c r="AK175" i="8"/>
  <c r="AK157" i="8"/>
  <c r="AK62" i="8"/>
  <c r="AK61" i="8"/>
  <c r="AK60" i="8"/>
  <c r="AK56" i="8"/>
  <c r="AK59" i="8"/>
  <c r="AK350" i="8"/>
  <c r="AK494" i="8"/>
  <c r="AK493" i="8"/>
  <c r="AK489" i="8"/>
  <c r="AK492" i="8"/>
  <c r="AK491" i="8"/>
  <c r="AK479" i="8"/>
  <c r="AK490" i="8"/>
  <c r="AK488" i="8"/>
  <c r="AK344" i="8"/>
  <c r="AP394" i="8"/>
  <c r="AK113" i="8"/>
  <c r="AK111" i="8"/>
  <c r="AK124" i="8"/>
  <c r="AK19" i="8"/>
  <c r="AK283" i="8"/>
  <c r="AK280" i="8"/>
  <c r="AK279" i="8"/>
  <c r="AK281" i="8"/>
  <c r="AK473" i="8"/>
  <c r="AK432" i="8"/>
  <c r="AK128" i="8"/>
  <c r="AK141" i="8"/>
  <c r="AK450" i="8"/>
  <c r="AK239" i="8"/>
  <c r="AP101" i="8"/>
  <c r="AP245" i="8"/>
  <c r="AP389" i="8"/>
  <c r="AP126" i="8"/>
  <c r="AP270" i="8"/>
  <c r="AP414" i="8"/>
  <c r="AP55" i="8"/>
  <c r="AP56" i="8"/>
  <c r="AP70" i="8"/>
  <c r="AP163" i="8"/>
  <c r="AP307" i="8"/>
  <c r="AP451" i="8"/>
  <c r="AP93" i="8"/>
  <c r="AP140" i="8"/>
  <c r="AP284" i="8"/>
  <c r="AP428" i="8"/>
  <c r="AP386" i="8"/>
  <c r="AP262" i="8"/>
  <c r="AP143" i="8"/>
  <c r="AP287" i="8"/>
  <c r="AP431" i="8"/>
  <c r="AP313" i="8"/>
  <c r="AP144" i="8"/>
  <c r="AP288" i="8"/>
  <c r="AP432" i="8"/>
  <c r="AP326" i="8"/>
  <c r="AK184" i="8"/>
  <c r="AK183" i="8"/>
  <c r="AP218" i="8"/>
  <c r="AP422" i="8"/>
  <c r="AP87" i="8"/>
  <c r="AP279" i="8"/>
  <c r="AP447" i="8"/>
  <c r="AP124" i="8"/>
  <c r="AP268" i="8"/>
  <c r="AP267" i="8"/>
  <c r="AP265" i="8"/>
  <c r="AP412" i="8"/>
  <c r="AP425" i="8"/>
  <c r="AP201" i="8"/>
  <c r="AP345" i="8"/>
  <c r="AP489" i="8"/>
  <c r="AK216" i="8"/>
  <c r="AK213" i="8"/>
  <c r="AK214" i="8"/>
  <c r="AK215" i="8"/>
  <c r="AK181" i="8"/>
  <c r="AK86" i="8"/>
  <c r="AK362" i="8"/>
  <c r="AK506" i="8"/>
  <c r="AK501" i="8"/>
  <c r="AK504" i="8"/>
  <c r="AK499" i="8"/>
  <c r="AK500" i="8"/>
  <c r="AK496" i="8"/>
  <c r="AK498" i="8"/>
  <c r="AK497" i="8"/>
  <c r="AK495" i="8"/>
  <c r="AK505" i="8"/>
  <c r="AK4" i="8"/>
  <c r="E50" i="1" s="1"/>
  <c r="AK16" i="8"/>
  <c r="AP406" i="8"/>
  <c r="AP433" i="8"/>
  <c r="AK294" i="8"/>
  <c r="AK509" i="8"/>
  <c r="AK485" i="8"/>
  <c r="AK200" i="8"/>
  <c r="AK165" i="8"/>
  <c r="AK135" i="8"/>
  <c r="AK383" i="8"/>
  <c r="AK66" i="8"/>
  <c r="AK210" i="8"/>
  <c r="AK115" i="8"/>
  <c r="AK437" i="8"/>
  <c r="AK293" i="8"/>
  <c r="AK487" i="8"/>
  <c r="AK483" i="8"/>
  <c r="AK292" i="8"/>
  <c r="AK302" i="8"/>
  <c r="AK341" i="8"/>
  <c r="AK125" i="8"/>
  <c r="AK296" i="8"/>
  <c r="AK349" i="8"/>
  <c r="AK242" i="8"/>
  <c r="AK446" i="8"/>
  <c r="AK291" i="8"/>
  <c r="AK304" i="8"/>
  <c r="AK137" i="8"/>
  <c r="AK102" i="8"/>
  <c r="AK187" i="8"/>
  <c r="AK10" i="8"/>
  <c r="AK159" i="8"/>
  <c r="AK240" i="8"/>
  <c r="AK484" i="8"/>
  <c r="AK22" i="8"/>
  <c r="AK185" i="8"/>
  <c r="AK126" i="8"/>
  <c r="AK223" i="8"/>
  <c r="AK521" i="8"/>
  <c r="AK438" i="8"/>
  <c r="AK443" i="8"/>
  <c r="AK441" i="8"/>
  <c r="AK38" i="8"/>
  <c r="AK290" i="8"/>
  <c r="AK482" i="8"/>
  <c r="AK197" i="8"/>
  <c r="AK138" i="8"/>
  <c r="AK7" i="8"/>
  <c r="AK271" i="8"/>
  <c r="AK233" i="8"/>
  <c r="AK299" i="8"/>
  <c r="AK196" i="8"/>
  <c r="AK444" i="8"/>
  <c r="AK50" i="8"/>
  <c r="AK520" i="8"/>
  <c r="AK74" i="8"/>
  <c r="AK18" i="8"/>
  <c r="AK162" i="8"/>
  <c r="AK31" i="8"/>
  <c r="AK295" i="8"/>
  <c r="AK234" i="8"/>
  <c r="AK415" i="8"/>
  <c r="AK238" i="8"/>
  <c r="AK65" i="8"/>
  <c r="AK11" i="8"/>
  <c r="AK232" i="8"/>
  <c r="AK480" i="8"/>
  <c r="AK413" i="8"/>
  <c r="AK445" i="8"/>
  <c r="AK134" i="8"/>
  <c r="AK289" i="8"/>
  <c r="AK477" i="8"/>
  <c r="AK23" i="8"/>
  <c r="AK13" i="8"/>
  <c r="AK146" i="8"/>
  <c r="AK412" i="8"/>
  <c r="AK17" i="8"/>
  <c r="AK269" i="8"/>
  <c r="AK42" i="8"/>
  <c r="AK186" i="8"/>
  <c r="AK67" i="8"/>
  <c r="AK343" i="8"/>
  <c r="AK36" i="8"/>
  <c r="AK439" i="8"/>
  <c r="AK236" i="8"/>
  <c r="AK21" i="8"/>
  <c r="AK35" i="8"/>
  <c r="AK64" i="8"/>
  <c r="AK268" i="8"/>
  <c r="AK37" i="8"/>
  <c r="AK481" i="8"/>
  <c r="AK218" i="8"/>
  <c r="AK73" i="8"/>
  <c r="AK254" i="8"/>
  <c r="AK298" i="8"/>
  <c r="AK436" i="8"/>
  <c r="AL10" i="9" a="1"/>
  <c r="AL10" i="9" s="1"/>
  <c r="AL9" i="9" a="1"/>
  <c r="AL9" i="9" s="1"/>
  <c r="AL8" i="9" a="1"/>
  <c r="AL8" i="9" s="1"/>
  <c r="I2" i="2"/>
  <c r="H2" i="2"/>
  <c r="G4" i="1"/>
  <c r="H4" i="1" s="1"/>
  <c r="G3" i="1"/>
  <c r="H3" i="1" s="1"/>
  <c r="D3" i="1"/>
  <c r="S1825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2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AE5" i="5" l="1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A6" i="5"/>
  <c r="AC8" i="5"/>
  <c r="Z11" i="5"/>
  <c r="AB13" i="5"/>
  <c r="Y16" i="5"/>
  <c r="AA18" i="5"/>
  <c r="AC20" i="5"/>
  <c r="Z23" i="5"/>
  <c r="AB25" i="5"/>
  <c r="Y28" i="5"/>
  <c r="AA30" i="5"/>
  <c r="AC32" i="5"/>
  <c r="Z35" i="5"/>
  <c r="V37" i="5"/>
  <c r="Y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B6" i="5"/>
  <c r="Y9" i="5"/>
  <c r="AA11" i="5"/>
  <c r="AC13" i="5"/>
  <c r="Z16" i="5"/>
  <c r="AB18" i="5"/>
  <c r="Y21" i="5"/>
  <c r="AA23" i="5"/>
  <c r="AC25" i="5"/>
  <c r="Z28" i="5"/>
  <c r="AB30" i="5"/>
  <c r="Y33" i="5"/>
  <c r="AA35" i="5"/>
  <c r="W37" i="5"/>
  <c r="Z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C6" i="5"/>
  <c r="Z9" i="5"/>
  <c r="AB11" i="5"/>
  <c r="Y14" i="5"/>
  <c r="AA16" i="5"/>
  <c r="AC18" i="5"/>
  <c r="Z21" i="5"/>
  <c r="AB23" i="5"/>
  <c r="Y26" i="5"/>
  <c r="AA28" i="5"/>
  <c r="AC30" i="5"/>
  <c r="Z33" i="5"/>
  <c r="AB35" i="5"/>
  <c r="Y37" i="5"/>
  <c r="AA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Y7" i="5"/>
  <c r="AA9" i="5"/>
  <c r="AC11" i="5"/>
  <c r="Z14" i="5"/>
  <c r="AB16" i="5"/>
  <c r="Y19" i="5"/>
  <c r="AA21" i="5"/>
  <c r="AC23" i="5"/>
  <c r="Z26" i="5"/>
  <c r="AB28" i="5"/>
  <c r="Y31" i="5"/>
  <c r="AA33" i="5"/>
  <c r="AC35" i="5"/>
  <c r="Z37" i="5"/>
  <c r="AB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Z7" i="5"/>
  <c r="AB9" i="5"/>
  <c r="Y12" i="5"/>
  <c r="AA14" i="5"/>
  <c r="AC16" i="5"/>
  <c r="Z19" i="5"/>
  <c r="AB21" i="5"/>
  <c r="Y24" i="5"/>
  <c r="AA26" i="5"/>
  <c r="AC28" i="5"/>
  <c r="Z31" i="5"/>
  <c r="AB33" i="5"/>
  <c r="V36" i="5"/>
  <c r="AA37" i="5"/>
  <c r="AC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Y5" i="5"/>
  <c r="AA7" i="5"/>
  <c r="AC9" i="5"/>
  <c r="Z12" i="5"/>
  <c r="AB14" i="5"/>
  <c r="Y17" i="5"/>
  <c r="AA19" i="5"/>
  <c r="AC21" i="5"/>
  <c r="Z24" i="5"/>
  <c r="AB26" i="5"/>
  <c r="Y29" i="5"/>
  <c r="AA31" i="5"/>
  <c r="AC33" i="5"/>
  <c r="Y36" i="5"/>
  <c r="AB37" i="5"/>
  <c r="AD38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Z6" i="5"/>
  <c r="AB8" i="5"/>
  <c r="Y11" i="5"/>
  <c r="AA13" i="5"/>
  <c r="AC15" i="5"/>
  <c r="Z18" i="5"/>
  <c r="AB20" i="5"/>
  <c r="Y23" i="5"/>
  <c r="AA25" i="5"/>
  <c r="AC27" i="5"/>
  <c r="Z30" i="5"/>
  <c r="AB32" i="5"/>
  <c r="Y35" i="5"/>
  <c r="U37" i="5"/>
  <c r="X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0" i="5"/>
  <c r="AA15" i="5"/>
  <c r="Y22" i="5"/>
  <c r="Z27" i="5"/>
  <c r="AA32" i="5"/>
  <c r="AD37" i="5"/>
  <c r="X40" i="5"/>
  <c r="U43" i="5"/>
  <c r="W45" i="5"/>
  <c r="Y47" i="5"/>
  <c r="V50" i="5"/>
  <c r="X52" i="5"/>
  <c r="U55" i="5"/>
  <c r="W57" i="5"/>
  <c r="Y59" i="5"/>
  <c r="V62" i="5"/>
  <c r="X64" i="5"/>
  <c r="U67" i="5"/>
  <c r="W69" i="5"/>
  <c r="Y71" i="5"/>
  <c r="V74" i="5"/>
  <c r="X76" i="5"/>
  <c r="U79" i="5"/>
  <c r="W81" i="5"/>
  <c r="Y83" i="5"/>
  <c r="V86" i="5"/>
  <c r="X88" i="5"/>
  <c r="U91" i="5"/>
  <c r="W93" i="5"/>
  <c r="Y95" i="5"/>
  <c r="V98" i="5"/>
  <c r="X100" i="5"/>
  <c r="U103" i="5"/>
  <c r="W105" i="5"/>
  <c r="Y107" i="5"/>
  <c r="V110" i="5"/>
  <c r="X112" i="5"/>
  <c r="U115" i="5"/>
  <c r="W117" i="5"/>
  <c r="Y119" i="5"/>
  <c r="V122" i="5"/>
  <c r="X124" i="5"/>
  <c r="U127" i="5"/>
  <c r="W129" i="5"/>
  <c r="Y131" i="5"/>
  <c r="Y133" i="5"/>
  <c r="Y135" i="5"/>
  <c r="Y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Z5" i="5"/>
  <c r="AA10" i="5"/>
  <c r="AB15" i="5"/>
  <c r="Z22" i="5"/>
  <c r="AA27" i="5"/>
  <c r="Y34" i="5"/>
  <c r="U38" i="5"/>
  <c r="Y40" i="5"/>
  <c r="V43" i="5"/>
  <c r="X45" i="5"/>
  <c r="U48" i="5"/>
  <c r="W50" i="5"/>
  <c r="Y52" i="5"/>
  <c r="V55" i="5"/>
  <c r="X57" i="5"/>
  <c r="U60" i="5"/>
  <c r="W62" i="5"/>
  <c r="Y64" i="5"/>
  <c r="V67" i="5"/>
  <c r="X69" i="5"/>
  <c r="U72" i="5"/>
  <c r="W74" i="5"/>
  <c r="Y76" i="5"/>
  <c r="V79" i="5"/>
  <c r="X81" i="5"/>
  <c r="U84" i="5"/>
  <c r="W86" i="5"/>
  <c r="Y88" i="5"/>
  <c r="V91" i="5"/>
  <c r="X93" i="5"/>
  <c r="U96" i="5"/>
  <c r="W98" i="5"/>
  <c r="Y100" i="5"/>
  <c r="V103" i="5"/>
  <c r="X105" i="5"/>
  <c r="U108" i="5"/>
  <c r="W110" i="5"/>
  <c r="Y112" i="5"/>
  <c r="V115" i="5"/>
  <c r="X117" i="5"/>
  <c r="U120" i="5"/>
  <c r="W122" i="5"/>
  <c r="Y124" i="5"/>
  <c r="V127" i="5"/>
  <c r="X129" i="5"/>
  <c r="AB131" i="5"/>
  <c r="AB133" i="5"/>
  <c r="AB135" i="5"/>
  <c r="AB137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AA5" i="5"/>
  <c r="AB10" i="5"/>
  <c r="Z17" i="5"/>
  <c r="AA22" i="5"/>
  <c r="AB27" i="5"/>
  <c r="Z34" i="5"/>
  <c r="V38" i="5"/>
  <c r="U41" i="5"/>
  <c r="W43" i="5"/>
  <c r="Y45" i="5"/>
  <c r="V48" i="5"/>
  <c r="X50" i="5"/>
  <c r="U53" i="5"/>
  <c r="W55" i="5"/>
  <c r="Y57" i="5"/>
  <c r="V60" i="5"/>
  <c r="X62" i="5"/>
  <c r="U65" i="5"/>
  <c r="W67" i="5"/>
  <c r="Y69" i="5"/>
  <c r="V72" i="5"/>
  <c r="X74" i="5"/>
  <c r="U77" i="5"/>
  <c r="W79" i="5"/>
  <c r="Y81" i="5"/>
  <c r="V84" i="5"/>
  <c r="X86" i="5"/>
  <c r="U89" i="5"/>
  <c r="W91" i="5"/>
  <c r="Y93" i="5"/>
  <c r="V96" i="5"/>
  <c r="X98" i="5"/>
  <c r="U101" i="5"/>
  <c r="W103" i="5"/>
  <c r="Y105" i="5"/>
  <c r="V108" i="5"/>
  <c r="X110" i="5"/>
  <c r="U113" i="5"/>
  <c r="W115" i="5"/>
  <c r="Y117" i="5"/>
  <c r="V120" i="5"/>
  <c r="X122" i="5"/>
  <c r="U125" i="5"/>
  <c r="W127" i="5"/>
  <c r="Y129" i="5"/>
  <c r="U132" i="5"/>
  <c r="U134" i="5"/>
  <c r="U136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AB5" i="5"/>
  <c r="AC10" i="5"/>
  <c r="AA17" i="5"/>
  <c r="AB22" i="5"/>
  <c r="Z29" i="5"/>
  <c r="AA34" i="5"/>
  <c r="W38" i="5"/>
  <c r="V41" i="5"/>
  <c r="X43" i="5"/>
  <c r="U46" i="5"/>
  <c r="W48" i="5"/>
  <c r="Y50" i="5"/>
  <c r="V53" i="5"/>
  <c r="X55" i="5"/>
  <c r="U58" i="5"/>
  <c r="W60" i="5"/>
  <c r="Y62" i="5"/>
  <c r="V65" i="5"/>
  <c r="X67" i="5"/>
  <c r="U70" i="5"/>
  <c r="W72" i="5"/>
  <c r="Y74" i="5"/>
  <c r="V77" i="5"/>
  <c r="X79" i="5"/>
  <c r="U82" i="5"/>
  <c r="W84" i="5"/>
  <c r="Y86" i="5"/>
  <c r="V89" i="5"/>
  <c r="X91" i="5"/>
  <c r="U94" i="5"/>
  <c r="W96" i="5"/>
  <c r="Y98" i="5"/>
  <c r="V101" i="5"/>
  <c r="X103" i="5"/>
  <c r="U106" i="5"/>
  <c r="W108" i="5"/>
  <c r="Y110" i="5"/>
  <c r="V113" i="5"/>
  <c r="X115" i="5"/>
  <c r="U118" i="5"/>
  <c r="W120" i="5"/>
  <c r="Y122" i="5"/>
  <c r="V125" i="5"/>
  <c r="X127" i="5"/>
  <c r="U130" i="5"/>
  <c r="V132" i="5"/>
  <c r="V134" i="5"/>
  <c r="V136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AC5" i="5"/>
  <c r="AA12" i="5"/>
  <c r="AB17" i="5"/>
  <c r="AC22" i="5"/>
  <c r="AA29" i="5"/>
  <c r="AB34" i="5"/>
  <c r="U39" i="5"/>
  <c r="W41" i="5"/>
  <c r="Y43" i="5"/>
  <c r="V46" i="5"/>
  <c r="X48" i="5"/>
  <c r="U51" i="5"/>
  <c r="W53" i="5"/>
  <c r="Y55" i="5"/>
  <c r="V58" i="5"/>
  <c r="X60" i="5"/>
  <c r="U63" i="5"/>
  <c r="W65" i="5"/>
  <c r="Y67" i="5"/>
  <c r="V70" i="5"/>
  <c r="X72" i="5"/>
  <c r="U75" i="5"/>
  <c r="W77" i="5"/>
  <c r="Y79" i="5"/>
  <c r="V82" i="5"/>
  <c r="X84" i="5"/>
  <c r="U87" i="5"/>
  <c r="W89" i="5"/>
  <c r="Y91" i="5"/>
  <c r="V94" i="5"/>
  <c r="X96" i="5"/>
  <c r="U99" i="5"/>
  <c r="W101" i="5"/>
  <c r="Y103" i="5"/>
  <c r="V106" i="5"/>
  <c r="X108" i="5"/>
  <c r="U111" i="5"/>
  <c r="W113" i="5"/>
  <c r="Y115" i="5"/>
  <c r="V118" i="5"/>
  <c r="X120" i="5"/>
  <c r="U123" i="5"/>
  <c r="W125" i="5"/>
  <c r="Y127" i="5"/>
  <c r="V130" i="5"/>
  <c r="W132" i="5"/>
  <c r="W134" i="5"/>
  <c r="W136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Y6" i="5"/>
  <c r="AB12" i="5"/>
  <c r="AC17" i="5"/>
  <c r="AA24" i="5"/>
  <c r="AB29" i="5"/>
  <c r="AC34" i="5"/>
  <c r="V39" i="5"/>
  <c r="X41" i="5"/>
  <c r="U44" i="5"/>
  <c r="W46" i="5"/>
  <c r="Y48" i="5"/>
  <c r="V51" i="5"/>
  <c r="X53" i="5"/>
  <c r="U56" i="5"/>
  <c r="W58" i="5"/>
  <c r="Y60" i="5"/>
  <c r="V63" i="5"/>
  <c r="X65" i="5"/>
  <c r="U68" i="5"/>
  <c r="W70" i="5"/>
  <c r="Y72" i="5"/>
  <c r="V75" i="5"/>
  <c r="X77" i="5"/>
  <c r="U80" i="5"/>
  <c r="W82" i="5"/>
  <c r="Y84" i="5"/>
  <c r="V87" i="5"/>
  <c r="X89" i="5"/>
  <c r="U92" i="5"/>
  <c r="W94" i="5"/>
  <c r="Y96" i="5"/>
  <c r="V99" i="5"/>
  <c r="X101" i="5"/>
  <c r="U104" i="5"/>
  <c r="W106" i="5"/>
  <c r="Y108" i="5"/>
  <c r="V111" i="5"/>
  <c r="X113" i="5"/>
  <c r="U116" i="5"/>
  <c r="W118" i="5"/>
  <c r="Y120" i="5"/>
  <c r="V123" i="5"/>
  <c r="X125" i="5"/>
  <c r="U128" i="5"/>
  <c r="W130" i="5"/>
  <c r="X132" i="5"/>
  <c r="X134" i="5"/>
  <c r="X136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Y10" i="5"/>
  <c r="Z15" i="5"/>
  <c r="AA20" i="5"/>
  <c r="Y27" i="5"/>
  <c r="Z32" i="5"/>
  <c r="AC37" i="5"/>
  <c r="W40" i="5"/>
  <c r="Y42" i="5"/>
  <c r="V45" i="5"/>
  <c r="X47" i="5"/>
  <c r="U50" i="5"/>
  <c r="W52" i="5"/>
  <c r="Y54" i="5"/>
  <c r="V57" i="5"/>
  <c r="X59" i="5"/>
  <c r="U62" i="5"/>
  <c r="W64" i="5"/>
  <c r="Y66" i="5"/>
  <c r="V69" i="5"/>
  <c r="X71" i="5"/>
  <c r="U74" i="5"/>
  <c r="W76" i="5"/>
  <c r="Y78" i="5"/>
  <c r="V81" i="5"/>
  <c r="X83" i="5"/>
  <c r="U86" i="5"/>
  <c r="W88" i="5"/>
  <c r="Y90" i="5"/>
  <c r="V93" i="5"/>
  <c r="X95" i="5"/>
  <c r="U98" i="5"/>
  <c r="W100" i="5"/>
  <c r="Y102" i="5"/>
  <c r="V105" i="5"/>
  <c r="X107" i="5"/>
  <c r="U110" i="5"/>
  <c r="W112" i="5"/>
  <c r="Y114" i="5"/>
  <c r="V117" i="5"/>
  <c r="X119" i="5"/>
  <c r="U122" i="5"/>
  <c r="W124" i="5"/>
  <c r="Y126" i="5"/>
  <c r="V129" i="5"/>
  <c r="X131" i="5"/>
  <c r="X133" i="5"/>
  <c r="X135" i="5"/>
  <c r="X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Y18" i="5"/>
  <c r="AB31" i="5"/>
  <c r="V40" i="5"/>
  <c r="Y46" i="5"/>
  <c r="U52" i="5"/>
  <c r="X58" i="5"/>
  <c r="Y63" i="5"/>
  <c r="U69" i="5"/>
  <c r="X75" i="5"/>
  <c r="Y80" i="5"/>
  <c r="W87" i="5"/>
  <c r="X92" i="5"/>
  <c r="Y97" i="5"/>
  <c r="W104" i="5"/>
  <c r="X109" i="5"/>
  <c r="V116" i="5"/>
  <c r="W121" i="5"/>
  <c r="X126" i="5"/>
  <c r="AB132" i="5"/>
  <c r="V137" i="5"/>
  <c r="Y140" i="5"/>
  <c r="AA142" i="5"/>
  <c r="AC144" i="5"/>
  <c r="Z147" i="5"/>
  <c r="AB149" i="5"/>
  <c r="Y152" i="5"/>
  <c r="AA154" i="5"/>
  <c r="AC156" i="5"/>
  <c r="Z159" i="5"/>
  <c r="AB161" i="5"/>
  <c r="Y164" i="5"/>
  <c r="AA166" i="5"/>
  <c r="AC168" i="5"/>
  <c r="Z171" i="5"/>
  <c r="AB173" i="5"/>
  <c r="Y176" i="5"/>
  <c r="AA178" i="5"/>
  <c r="AC180" i="5"/>
  <c r="Z183" i="5"/>
  <c r="AB185" i="5"/>
  <c r="Y188" i="5"/>
  <c r="AA190" i="5"/>
  <c r="AC192" i="5"/>
  <c r="Z195" i="5"/>
  <c r="AB197" i="5"/>
  <c r="Y200" i="5"/>
  <c r="AA202" i="5"/>
  <c r="AC204" i="5"/>
  <c r="Z207" i="5"/>
  <c r="AB209" i="5"/>
  <c r="Y212" i="5"/>
  <c r="AA214" i="5"/>
  <c r="AC216" i="5"/>
  <c r="Z219" i="5"/>
  <c r="AB221" i="5"/>
  <c r="Y224" i="5"/>
  <c r="AA226" i="5"/>
  <c r="AC228" i="5"/>
  <c r="AD230" i="5"/>
  <c r="AC232" i="5"/>
  <c r="AA234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AB19" i="5"/>
  <c r="AC31" i="5"/>
  <c r="Y41" i="5"/>
  <c r="U47" i="5"/>
  <c r="V52" i="5"/>
  <c r="Y58" i="5"/>
  <c r="U64" i="5"/>
  <c r="X70" i="5"/>
  <c r="Y75" i="5"/>
  <c r="U81" i="5"/>
  <c r="X87" i="5"/>
  <c r="Y92" i="5"/>
  <c r="W99" i="5"/>
  <c r="X104" i="5"/>
  <c r="Y109" i="5"/>
  <c r="W116" i="5"/>
  <c r="X121" i="5"/>
  <c r="V128" i="5"/>
  <c r="U133" i="5"/>
  <c r="W137" i="5"/>
  <c r="Z140" i="5"/>
  <c r="AB142" i="5"/>
  <c r="Y145" i="5"/>
  <c r="AA147" i="5"/>
  <c r="AC149" i="5"/>
  <c r="Z152" i="5"/>
  <c r="AB154" i="5"/>
  <c r="Y157" i="5"/>
  <c r="AA159" i="5"/>
  <c r="AC161" i="5"/>
  <c r="Z164" i="5"/>
  <c r="AB166" i="5"/>
  <c r="Y169" i="5"/>
  <c r="AA171" i="5"/>
  <c r="AC173" i="5"/>
  <c r="Z176" i="5"/>
  <c r="AB178" i="5"/>
  <c r="Y181" i="5"/>
  <c r="AA183" i="5"/>
  <c r="AC185" i="5"/>
  <c r="Z188" i="5"/>
  <c r="AB190" i="5"/>
  <c r="Y193" i="5"/>
  <c r="AA195" i="5"/>
  <c r="AC197" i="5"/>
  <c r="Z200" i="5"/>
  <c r="AB202" i="5"/>
  <c r="Y205" i="5"/>
  <c r="AA207" i="5"/>
  <c r="AC209" i="5"/>
  <c r="Z212" i="5"/>
  <c r="AB214" i="5"/>
  <c r="Y217" i="5"/>
  <c r="AA219" i="5"/>
  <c r="AC221" i="5"/>
  <c r="Z224" i="5"/>
  <c r="AB226" i="5"/>
  <c r="Y229" i="5"/>
  <c r="Y231" i="5"/>
  <c r="AD232" i="5"/>
  <c r="AB234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AB7" i="5"/>
  <c r="AC19" i="5"/>
  <c r="Y32" i="5"/>
  <c r="U42" i="5"/>
  <c r="V47" i="5"/>
  <c r="Y53" i="5"/>
  <c r="U59" i="5"/>
  <c r="V64" i="5"/>
  <c r="Y70" i="5"/>
  <c r="U76" i="5"/>
  <c r="X82" i="5"/>
  <c r="Y87" i="5"/>
  <c r="U93" i="5"/>
  <c r="X99" i="5"/>
  <c r="Y104" i="5"/>
  <c r="W111" i="5"/>
  <c r="X116" i="5"/>
  <c r="Y121" i="5"/>
  <c r="W128" i="5"/>
  <c r="V133" i="5"/>
  <c r="Y138" i="5"/>
  <c r="AA140" i="5"/>
  <c r="AC142" i="5"/>
  <c r="Z145" i="5"/>
  <c r="AB147" i="5"/>
  <c r="Y150" i="5"/>
  <c r="AA152" i="5"/>
  <c r="AC154" i="5"/>
  <c r="Z157" i="5"/>
  <c r="AB159" i="5"/>
  <c r="Y162" i="5"/>
  <c r="AA164" i="5"/>
  <c r="AC166" i="5"/>
  <c r="Z169" i="5"/>
  <c r="AB171" i="5"/>
  <c r="Y174" i="5"/>
  <c r="AA176" i="5"/>
  <c r="AC178" i="5"/>
  <c r="Z181" i="5"/>
  <c r="AB183" i="5"/>
  <c r="Y186" i="5"/>
  <c r="AA188" i="5"/>
  <c r="AC190" i="5"/>
  <c r="Z193" i="5"/>
  <c r="AB195" i="5"/>
  <c r="Y198" i="5"/>
  <c r="AA200" i="5"/>
  <c r="AC202" i="5"/>
  <c r="Z205" i="5"/>
  <c r="AB207" i="5"/>
  <c r="Y210" i="5"/>
  <c r="AA212" i="5"/>
  <c r="AC214" i="5"/>
  <c r="Z217" i="5"/>
  <c r="AB219" i="5"/>
  <c r="Y222" i="5"/>
  <c r="AA224" i="5"/>
  <c r="AC226" i="5"/>
  <c r="Z229" i="5"/>
  <c r="Z231" i="5"/>
  <c r="X233" i="5"/>
  <c r="AC234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AC7" i="5"/>
  <c r="Y20" i="5"/>
  <c r="Z36" i="5"/>
  <c r="V42" i="5"/>
  <c r="W47" i="5"/>
  <c r="U54" i="5"/>
  <c r="V59" i="5"/>
  <c r="Y65" i="5"/>
  <c r="U71" i="5"/>
  <c r="V76" i="5"/>
  <c r="Y82" i="5"/>
  <c r="U88" i="5"/>
  <c r="X94" i="5"/>
  <c r="Y99" i="5"/>
  <c r="U105" i="5"/>
  <c r="X111" i="5"/>
  <c r="Y116" i="5"/>
  <c r="W123" i="5"/>
  <c r="X128" i="5"/>
  <c r="W133" i="5"/>
  <c r="Z138" i="5"/>
  <c r="AB140" i="5"/>
  <c r="Y143" i="5"/>
  <c r="AA145" i="5"/>
  <c r="AC147" i="5"/>
  <c r="Z150" i="5"/>
  <c r="AB152" i="5"/>
  <c r="Y155" i="5"/>
  <c r="AA157" i="5"/>
  <c r="AC159" i="5"/>
  <c r="Z162" i="5"/>
  <c r="AB164" i="5"/>
  <c r="Y167" i="5"/>
  <c r="AA169" i="5"/>
  <c r="AC171" i="5"/>
  <c r="Z174" i="5"/>
  <c r="AB176" i="5"/>
  <c r="Y179" i="5"/>
  <c r="AA181" i="5"/>
  <c r="AC183" i="5"/>
  <c r="Z186" i="5"/>
  <c r="AB188" i="5"/>
  <c r="Y191" i="5"/>
  <c r="AA193" i="5"/>
  <c r="AC195" i="5"/>
  <c r="Z198" i="5"/>
  <c r="AB200" i="5"/>
  <c r="Y203" i="5"/>
  <c r="AA205" i="5"/>
  <c r="AC207" i="5"/>
  <c r="Z210" i="5"/>
  <c r="AB212" i="5"/>
  <c r="Y215" i="5"/>
  <c r="AA217" i="5"/>
  <c r="AC219" i="5"/>
  <c r="Z222" i="5"/>
  <c r="AB224" i="5"/>
  <c r="Y227" i="5"/>
  <c r="AA229" i="5"/>
  <c r="AA231" i="5"/>
  <c r="Y233" i="5"/>
  <c r="AD234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8" i="5"/>
  <c r="Z20" i="5"/>
  <c r="AA36" i="5"/>
  <c r="W42" i="5"/>
  <c r="U49" i="5"/>
  <c r="V54" i="5"/>
  <c r="W59" i="5"/>
  <c r="U66" i="5"/>
  <c r="V71" i="5"/>
  <c r="Y77" i="5"/>
  <c r="U83" i="5"/>
  <c r="V88" i="5"/>
  <c r="Y94" i="5"/>
  <c r="U100" i="5"/>
  <c r="X106" i="5"/>
  <c r="Y111" i="5"/>
  <c r="U117" i="5"/>
  <c r="X123" i="5"/>
  <c r="Y128" i="5"/>
  <c r="Y134" i="5"/>
  <c r="AA138" i="5"/>
  <c r="AC140" i="5"/>
  <c r="Z143" i="5"/>
  <c r="AB145" i="5"/>
  <c r="Y148" i="5"/>
  <c r="AA150" i="5"/>
  <c r="AC152" i="5"/>
  <c r="Z155" i="5"/>
  <c r="AB157" i="5"/>
  <c r="Y160" i="5"/>
  <c r="AA162" i="5"/>
  <c r="AC164" i="5"/>
  <c r="Z167" i="5"/>
  <c r="AB169" i="5"/>
  <c r="Y172" i="5"/>
  <c r="AA174" i="5"/>
  <c r="AC176" i="5"/>
  <c r="Z179" i="5"/>
  <c r="AB181" i="5"/>
  <c r="Y184" i="5"/>
  <c r="AA186" i="5"/>
  <c r="AC188" i="5"/>
  <c r="Z191" i="5"/>
  <c r="AB193" i="5"/>
  <c r="Y196" i="5"/>
  <c r="AA198" i="5"/>
  <c r="AC200" i="5"/>
  <c r="Z203" i="5"/>
  <c r="AB205" i="5"/>
  <c r="Y208" i="5"/>
  <c r="AA210" i="5"/>
  <c r="AC212" i="5"/>
  <c r="Z215" i="5"/>
  <c r="AB217" i="5"/>
  <c r="Y220" i="5"/>
  <c r="AA222" i="5"/>
  <c r="AC224" i="5"/>
  <c r="Z227" i="5"/>
  <c r="AB229" i="5"/>
  <c r="AB231" i="5"/>
  <c r="Z233" i="5"/>
  <c r="X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8" i="5"/>
  <c r="AB24" i="5"/>
  <c r="AB36" i="5"/>
  <c r="X42" i="5"/>
  <c r="V49" i="5"/>
  <c r="W54" i="5"/>
  <c r="U61" i="5"/>
  <c r="V66" i="5"/>
  <c r="W71" i="5"/>
  <c r="U78" i="5"/>
  <c r="V83" i="5"/>
  <c r="Y89" i="5"/>
  <c r="U95" i="5"/>
  <c r="V100" i="5"/>
  <c r="Y106" i="5"/>
  <c r="U112" i="5"/>
  <c r="X118" i="5"/>
  <c r="Y123" i="5"/>
  <c r="U129" i="5"/>
  <c r="AB134" i="5"/>
  <c r="AB138" i="5"/>
  <c r="Y141" i="5"/>
  <c r="AA143" i="5"/>
  <c r="AC145" i="5"/>
  <c r="Z148" i="5"/>
  <c r="AB150" i="5"/>
  <c r="Y153" i="5"/>
  <c r="AA155" i="5"/>
  <c r="AC157" i="5"/>
  <c r="Z160" i="5"/>
  <c r="AB162" i="5"/>
  <c r="Y165" i="5"/>
  <c r="AA167" i="5"/>
  <c r="AC169" i="5"/>
  <c r="Z172" i="5"/>
  <c r="AB174" i="5"/>
  <c r="Y177" i="5"/>
  <c r="AA179" i="5"/>
  <c r="AC181" i="5"/>
  <c r="Z184" i="5"/>
  <c r="AB186" i="5"/>
  <c r="Y189" i="5"/>
  <c r="AA191" i="5"/>
  <c r="AC193" i="5"/>
  <c r="Z196" i="5"/>
  <c r="AB198" i="5"/>
  <c r="Y201" i="5"/>
  <c r="AA203" i="5"/>
  <c r="AC205" i="5"/>
  <c r="Z208" i="5"/>
  <c r="AB210" i="5"/>
  <c r="Y213" i="5"/>
  <c r="AA215" i="5"/>
  <c r="AC217" i="5"/>
  <c r="Z220" i="5"/>
  <c r="AB222" i="5"/>
  <c r="Y225" i="5"/>
  <c r="AA227" i="5"/>
  <c r="AC229" i="5"/>
  <c r="AC231" i="5"/>
  <c r="AA233" i="5"/>
  <c r="Y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Y15" i="5"/>
  <c r="Y30" i="5"/>
  <c r="U40" i="5"/>
  <c r="X46" i="5"/>
  <c r="Y51" i="5"/>
  <c r="U57" i="5"/>
  <c r="X63" i="5"/>
  <c r="Y68" i="5"/>
  <c r="W75" i="5"/>
  <c r="X80" i="5"/>
  <c r="Y85" i="5"/>
  <c r="W92" i="5"/>
  <c r="X97" i="5"/>
  <c r="V104" i="5"/>
  <c r="W109" i="5"/>
  <c r="X114" i="5"/>
  <c r="V121" i="5"/>
  <c r="W126" i="5"/>
  <c r="Y132" i="5"/>
  <c r="U137" i="5"/>
  <c r="AC139" i="5"/>
  <c r="Z142" i="5"/>
  <c r="AB144" i="5"/>
  <c r="Y147" i="5"/>
  <c r="AA149" i="5"/>
  <c r="AC151" i="5"/>
  <c r="Z154" i="5"/>
  <c r="AB156" i="5"/>
  <c r="Y159" i="5"/>
  <c r="AA161" i="5"/>
  <c r="AC163" i="5"/>
  <c r="Z166" i="5"/>
  <c r="AB168" i="5"/>
  <c r="Y171" i="5"/>
  <c r="AA173" i="5"/>
  <c r="AC175" i="5"/>
  <c r="Z178" i="5"/>
  <c r="AB180" i="5"/>
  <c r="Y183" i="5"/>
  <c r="AA185" i="5"/>
  <c r="AC187" i="5"/>
  <c r="Z190" i="5"/>
  <c r="AB192" i="5"/>
  <c r="Y195" i="5"/>
  <c r="AA197" i="5"/>
  <c r="AC199" i="5"/>
  <c r="Z202" i="5"/>
  <c r="AB204" i="5"/>
  <c r="Y207" i="5"/>
  <c r="AA209" i="5"/>
  <c r="AC211" i="5"/>
  <c r="Z214" i="5"/>
  <c r="AB216" i="5"/>
  <c r="Y219" i="5"/>
  <c r="AA221" i="5"/>
  <c r="AC223" i="5"/>
  <c r="Z226" i="5"/>
  <c r="AB228" i="5"/>
  <c r="AC230" i="5"/>
  <c r="AB232" i="5"/>
  <c r="Z234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AC14" i="5"/>
  <c r="W44" i="5"/>
  <c r="X56" i="5"/>
  <c r="U73" i="5"/>
  <c r="V85" i="5"/>
  <c r="W97" i="5"/>
  <c r="Y113" i="5"/>
  <c r="U126" i="5"/>
  <c r="AC138" i="5"/>
  <c r="Y144" i="5"/>
  <c r="Z149" i="5"/>
  <c r="AC155" i="5"/>
  <c r="Y161" i="5"/>
  <c r="AB167" i="5"/>
  <c r="AC172" i="5"/>
  <c r="Y178" i="5"/>
  <c r="AB184" i="5"/>
  <c r="AC189" i="5"/>
  <c r="AA196" i="5"/>
  <c r="AB201" i="5"/>
  <c r="AC206" i="5"/>
  <c r="AA213" i="5"/>
  <c r="AB218" i="5"/>
  <c r="Z225" i="5"/>
  <c r="Z230" i="5"/>
  <c r="Y234" i="5"/>
  <c r="AC237" i="5"/>
  <c r="AE239" i="5"/>
  <c r="AB242" i="5"/>
  <c r="AD244" i="5"/>
  <c r="T247" i="5"/>
  <c r="AC249" i="5"/>
  <c r="AE251" i="5"/>
  <c r="AB254" i="5"/>
  <c r="AD256" i="5"/>
  <c r="T259" i="5"/>
  <c r="AC261" i="5"/>
  <c r="AE263" i="5"/>
  <c r="AB266" i="5"/>
  <c r="AD268" i="5"/>
  <c r="T271" i="5"/>
  <c r="AC273" i="5"/>
  <c r="AE275" i="5"/>
  <c r="AB278" i="5"/>
  <c r="AD280" i="5"/>
  <c r="T283" i="5"/>
  <c r="AC285" i="5"/>
  <c r="AE287" i="5"/>
  <c r="AB290" i="5"/>
  <c r="AD292" i="5"/>
  <c r="T295" i="5"/>
  <c r="AC297" i="5"/>
  <c r="AE299" i="5"/>
  <c r="AB302" i="5"/>
  <c r="AD304" i="5"/>
  <c r="T307" i="5"/>
  <c r="AC309" i="5"/>
  <c r="AE311" i="5"/>
  <c r="AB314" i="5"/>
  <c r="AD316" i="5"/>
  <c r="T319" i="5"/>
  <c r="AC321" i="5"/>
  <c r="AE323" i="5"/>
  <c r="AB326" i="5"/>
  <c r="AD328" i="5"/>
  <c r="T331" i="5"/>
  <c r="AC333" i="5"/>
  <c r="AE335" i="5"/>
  <c r="AB338" i="5"/>
  <c r="AD340" i="5"/>
  <c r="T343" i="5"/>
  <c r="AC345" i="5"/>
  <c r="AE347" i="5"/>
  <c r="AB350" i="5"/>
  <c r="AD352" i="5"/>
  <c r="T355" i="5"/>
  <c r="AC357" i="5"/>
  <c r="AE359" i="5"/>
  <c r="AB362" i="5"/>
  <c r="AD364" i="5"/>
  <c r="T367" i="5"/>
  <c r="AC369" i="5"/>
  <c r="AE371" i="5"/>
  <c r="AB374" i="5"/>
  <c r="AD376" i="5"/>
  <c r="T379" i="5"/>
  <c r="AC381" i="5"/>
  <c r="AE383" i="5"/>
  <c r="AB386" i="5"/>
  <c r="AD388" i="5"/>
  <c r="T391" i="5"/>
  <c r="AC393" i="5"/>
  <c r="AE395" i="5"/>
  <c r="AB398" i="5"/>
  <c r="AD400" i="5"/>
  <c r="T403" i="5"/>
  <c r="AC405" i="5"/>
  <c r="AE407" i="5"/>
  <c r="AB410" i="5"/>
  <c r="AD412" i="5"/>
  <c r="T415" i="5"/>
  <c r="AC417" i="5"/>
  <c r="AE419" i="5"/>
  <c r="AB422" i="5"/>
  <c r="AD424" i="5"/>
  <c r="T427" i="5"/>
  <c r="AC429" i="5"/>
  <c r="AE431" i="5"/>
  <c r="T434" i="5"/>
  <c r="T436" i="5"/>
  <c r="T438" i="5"/>
  <c r="T440" i="5"/>
  <c r="T442" i="5"/>
  <c r="T444" i="5"/>
  <c r="T446" i="5"/>
  <c r="T448" i="5"/>
  <c r="T450" i="5"/>
  <c r="T452" i="5"/>
  <c r="T454" i="5"/>
  <c r="T456" i="5"/>
  <c r="T458" i="5"/>
  <c r="T460" i="5"/>
  <c r="T462" i="5"/>
  <c r="T464" i="5"/>
  <c r="T466" i="5"/>
  <c r="T468" i="5"/>
  <c r="T470" i="5"/>
  <c r="T472" i="5"/>
  <c r="T474" i="5"/>
  <c r="T476" i="5"/>
  <c r="T478" i="5"/>
  <c r="T480" i="5"/>
  <c r="T482" i="5"/>
  <c r="T484" i="5"/>
  <c r="T486" i="5"/>
  <c r="T488" i="5"/>
  <c r="T490" i="5"/>
  <c r="T492" i="5"/>
  <c r="T494" i="5"/>
  <c r="T496" i="5"/>
  <c r="T498" i="5"/>
  <c r="AE499" i="5"/>
  <c r="AC501" i="5"/>
  <c r="AA503" i="5"/>
  <c r="T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AC24" i="5"/>
  <c r="X44" i="5"/>
  <c r="Y56" i="5"/>
  <c r="V73" i="5"/>
  <c r="W85" i="5"/>
  <c r="Y101" i="5"/>
  <c r="U114" i="5"/>
  <c r="V126" i="5"/>
  <c r="Y139" i="5"/>
  <c r="Z144" i="5"/>
  <c r="AC150" i="5"/>
  <c r="Y156" i="5"/>
  <c r="Z161" i="5"/>
  <c r="AC167" i="5"/>
  <c r="Y173" i="5"/>
  <c r="AB179" i="5"/>
  <c r="AC184" i="5"/>
  <c r="Y190" i="5"/>
  <c r="AB196" i="5"/>
  <c r="AC201" i="5"/>
  <c r="AA208" i="5"/>
  <c r="AB213" i="5"/>
  <c r="AC218" i="5"/>
  <c r="AA225" i="5"/>
  <c r="AA230" i="5"/>
  <c r="Z235" i="5"/>
  <c r="AD237" i="5"/>
  <c r="T240" i="5"/>
  <c r="AC242" i="5"/>
  <c r="AE244" i="5"/>
  <c r="AB247" i="5"/>
  <c r="AD249" i="5"/>
  <c r="T252" i="5"/>
  <c r="AC254" i="5"/>
  <c r="AE256" i="5"/>
  <c r="AB259" i="5"/>
  <c r="AD261" i="5"/>
  <c r="T264" i="5"/>
  <c r="AC266" i="5"/>
  <c r="AE268" i="5"/>
  <c r="AB271" i="5"/>
  <c r="AD273" i="5"/>
  <c r="T276" i="5"/>
  <c r="AC278" i="5"/>
  <c r="AE280" i="5"/>
  <c r="AB283" i="5"/>
  <c r="AD285" i="5"/>
  <c r="T288" i="5"/>
  <c r="AC290" i="5"/>
  <c r="AE292" i="5"/>
  <c r="AB295" i="5"/>
  <c r="AD297" i="5"/>
  <c r="T300" i="5"/>
  <c r="AC302" i="5"/>
  <c r="AE304" i="5"/>
  <c r="AB307" i="5"/>
  <c r="AD309" i="5"/>
  <c r="T312" i="5"/>
  <c r="AC314" i="5"/>
  <c r="AE316" i="5"/>
  <c r="AB319" i="5"/>
  <c r="AD321" i="5"/>
  <c r="T324" i="5"/>
  <c r="AC326" i="5"/>
  <c r="AE328" i="5"/>
  <c r="AB331" i="5"/>
  <c r="AD333" i="5"/>
  <c r="T336" i="5"/>
  <c r="AC338" i="5"/>
  <c r="AE340" i="5"/>
  <c r="AB343" i="5"/>
  <c r="AD345" i="5"/>
  <c r="T348" i="5"/>
  <c r="AC350" i="5"/>
  <c r="AE352" i="5"/>
  <c r="AB355" i="5"/>
  <c r="AD357" i="5"/>
  <c r="T360" i="5"/>
  <c r="AC362" i="5"/>
  <c r="AE364" i="5"/>
  <c r="AB367" i="5"/>
  <c r="AD369" i="5"/>
  <c r="T372" i="5"/>
  <c r="AC374" i="5"/>
  <c r="AE376" i="5"/>
  <c r="AB379" i="5"/>
  <c r="AD381" i="5"/>
  <c r="T384" i="5"/>
  <c r="AC386" i="5"/>
  <c r="AE388" i="5"/>
  <c r="AB391" i="5"/>
  <c r="AD393" i="5"/>
  <c r="T396" i="5"/>
  <c r="AC398" i="5"/>
  <c r="AE400" i="5"/>
  <c r="AB403" i="5"/>
  <c r="AD405" i="5"/>
  <c r="T408" i="5"/>
  <c r="AC410" i="5"/>
  <c r="AE412" i="5"/>
  <c r="AB415" i="5"/>
  <c r="AD417" i="5"/>
  <c r="T420" i="5"/>
  <c r="AC422" i="5"/>
  <c r="AE424" i="5"/>
  <c r="AB427" i="5"/>
  <c r="AD429" i="5"/>
  <c r="T432" i="5"/>
  <c r="AA434" i="5"/>
  <c r="AA436" i="5"/>
  <c r="AA438" i="5"/>
  <c r="AA440" i="5"/>
  <c r="AA442" i="5"/>
  <c r="AA444" i="5"/>
  <c r="AA446" i="5"/>
  <c r="AA448" i="5"/>
  <c r="AA450" i="5"/>
  <c r="AA452" i="5"/>
  <c r="AA454" i="5"/>
  <c r="AA456" i="5"/>
  <c r="AA458" i="5"/>
  <c r="AA460" i="5"/>
  <c r="AA462" i="5"/>
  <c r="AA464" i="5"/>
  <c r="AA466" i="5"/>
  <c r="AA468" i="5"/>
  <c r="AA470" i="5"/>
  <c r="AA472" i="5"/>
  <c r="AA474" i="5"/>
  <c r="AA476" i="5"/>
  <c r="AA478" i="5"/>
  <c r="AA480" i="5"/>
  <c r="AA482" i="5"/>
  <c r="AA484" i="5"/>
  <c r="AA486" i="5"/>
  <c r="AA488" i="5"/>
  <c r="AA490" i="5"/>
  <c r="AA492" i="5"/>
  <c r="AA494" i="5"/>
  <c r="AA496" i="5"/>
  <c r="AA498" i="5"/>
  <c r="T500" i="5"/>
  <c r="AD501" i="5"/>
  <c r="AB503" i="5"/>
  <c r="U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Y25" i="5"/>
  <c r="Y44" i="5"/>
  <c r="V61" i="5"/>
  <c r="W73" i="5"/>
  <c r="X85" i="5"/>
  <c r="U102" i="5"/>
  <c r="V114" i="5"/>
  <c r="X130" i="5"/>
  <c r="Z139" i="5"/>
  <c r="AA144" i="5"/>
  <c r="Y151" i="5"/>
  <c r="Z156" i="5"/>
  <c r="AC162" i="5"/>
  <c r="Y168" i="5"/>
  <c r="Z173" i="5"/>
  <c r="AC179" i="5"/>
  <c r="Y185" i="5"/>
  <c r="AB191" i="5"/>
  <c r="AC196" i="5"/>
  <c r="Y202" i="5"/>
  <c r="AB208" i="5"/>
  <c r="AC213" i="5"/>
  <c r="AA220" i="5"/>
  <c r="AB225" i="5"/>
  <c r="AB230" i="5"/>
  <c r="AA235" i="5"/>
  <c r="AE237" i="5"/>
  <c r="AB240" i="5"/>
  <c r="AD242" i="5"/>
  <c r="T245" i="5"/>
  <c r="AC247" i="5"/>
  <c r="AE249" i="5"/>
  <c r="AB252" i="5"/>
  <c r="AD254" i="5"/>
  <c r="T257" i="5"/>
  <c r="AC259" i="5"/>
  <c r="AE261" i="5"/>
  <c r="AB264" i="5"/>
  <c r="AD266" i="5"/>
  <c r="T269" i="5"/>
  <c r="AC271" i="5"/>
  <c r="AE273" i="5"/>
  <c r="AB276" i="5"/>
  <c r="AD278" i="5"/>
  <c r="T281" i="5"/>
  <c r="AC283" i="5"/>
  <c r="AE285" i="5"/>
  <c r="AB288" i="5"/>
  <c r="AD290" i="5"/>
  <c r="T293" i="5"/>
  <c r="AC295" i="5"/>
  <c r="AE297" i="5"/>
  <c r="AB300" i="5"/>
  <c r="AD302" i="5"/>
  <c r="T305" i="5"/>
  <c r="AC307" i="5"/>
  <c r="AE309" i="5"/>
  <c r="AB312" i="5"/>
  <c r="AD314" i="5"/>
  <c r="T317" i="5"/>
  <c r="AC319" i="5"/>
  <c r="AE321" i="5"/>
  <c r="AB324" i="5"/>
  <c r="AD326" i="5"/>
  <c r="T329" i="5"/>
  <c r="AC331" i="5"/>
  <c r="AE333" i="5"/>
  <c r="AB336" i="5"/>
  <c r="AD338" i="5"/>
  <c r="T341" i="5"/>
  <c r="AC343" i="5"/>
  <c r="AE345" i="5"/>
  <c r="AB348" i="5"/>
  <c r="AD350" i="5"/>
  <c r="T353" i="5"/>
  <c r="AC355" i="5"/>
  <c r="AE357" i="5"/>
  <c r="AB360" i="5"/>
  <c r="AD362" i="5"/>
  <c r="T365" i="5"/>
  <c r="AC367" i="5"/>
  <c r="AE369" i="5"/>
  <c r="AB372" i="5"/>
  <c r="AD374" i="5"/>
  <c r="T377" i="5"/>
  <c r="AC379" i="5"/>
  <c r="AE381" i="5"/>
  <c r="AB384" i="5"/>
  <c r="AD386" i="5"/>
  <c r="T389" i="5"/>
  <c r="AC391" i="5"/>
  <c r="AE393" i="5"/>
  <c r="AB396" i="5"/>
  <c r="AD398" i="5"/>
  <c r="T401" i="5"/>
  <c r="AC403" i="5"/>
  <c r="AE405" i="5"/>
  <c r="AB408" i="5"/>
  <c r="AD410" i="5"/>
  <c r="T413" i="5"/>
  <c r="AC415" i="5"/>
  <c r="AE417" i="5"/>
  <c r="AB420" i="5"/>
  <c r="AD422" i="5"/>
  <c r="T425" i="5"/>
  <c r="AC427" i="5"/>
  <c r="AE429" i="5"/>
  <c r="AB432" i="5"/>
  <c r="AB434" i="5"/>
  <c r="AB436" i="5"/>
  <c r="AB438" i="5"/>
  <c r="AB440" i="5"/>
  <c r="AB442" i="5"/>
  <c r="AB444" i="5"/>
  <c r="AB446" i="5"/>
  <c r="AB448" i="5"/>
  <c r="AB450" i="5"/>
  <c r="AB452" i="5"/>
  <c r="AB454" i="5"/>
  <c r="AB456" i="5"/>
  <c r="AB458" i="5"/>
  <c r="AB460" i="5"/>
  <c r="AB462" i="5"/>
  <c r="AB464" i="5"/>
  <c r="AB466" i="5"/>
  <c r="AB468" i="5"/>
  <c r="AB470" i="5"/>
  <c r="AB472" i="5"/>
  <c r="AB474" i="5"/>
  <c r="AB476" i="5"/>
  <c r="AB478" i="5"/>
  <c r="AB480" i="5"/>
  <c r="AB482" i="5"/>
  <c r="AB484" i="5"/>
  <c r="AB486" i="5"/>
  <c r="AB488" i="5"/>
  <c r="AB490" i="5"/>
  <c r="AB492" i="5"/>
  <c r="AB494" i="5"/>
  <c r="AB496" i="5"/>
  <c r="AB498" i="5"/>
  <c r="Z500" i="5"/>
  <c r="AE501" i="5"/>
  <c r="AC503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Z25" i="5"/>
  <c r="U45" i="5"/>
  <c r="W61" i="5"/>
  <c r="X73" i="5"/>
  <c r="U90" i="5"/>
  <c r="V102" i="5"/>
  <c r="W114" i="5"/>
  <c r="Y130" i="5"/>
  <c r="AA139" i="5"/>
  <c r="Y146" i="5"/>
  <c r="Z151" i="5"/>
  <c r="AA156" i="5"/>
  <c r="Y163" i="5"/>
  <c r="Z168" i="5"/>
  <c r="AC174" i="5"/>
  <c r="Y180" i="5"/>
  <c r="Z185" i="5"/>
  <c r="AC191" i="5"/>
  <c r="Y197" i="5"/>
  <c r="AB203" i="5"/>
  <c r="AC208" i="5"/>
  <c r="Y214" i="5"/>
  <c r="AB220" i="5"/>
  <c r="AC225" i="5"/>
  <c r="AD231" i="5"/>
  <c r="AB235" i="5"/>
  <c r="T238" i="5"/>
  <c r="AC240" i="5"/>
  <c r="AE242" i="5"/>
  <c r="AB245" i="5"/>
  <c r="AD247" i="5"/>
  <c r="T250" i="5"/>
  <c r="AC252" i="5"/>
  <c r="AE254" i="5"/>
  <c r="AB257" i="5"/>
  <c r="AD259" i="5"/>
  <c r="T262" i="5"/>
  <c r="AC264" i="5"/>
  <c r="AE266" i="5"/>
  <c r="AB269" i="5"/>
  <c r="AD271" i="5"/>
  <c r="T274" i="5"/>
  <c r="AC276" i="5"/>
  <c r="AE278" i="5"/>
  <c r="AB281" i="5"/>
  <c r="AD283" i="5"/>
  <c r="T286" i="5"/>
  <c r="AC288" i="5"/>
  <c r="AE290" i="5"/>
  <c r="AB293" i="5"/>
  <c r="AD295" i="5"/>
  <c r="T298" i="5"/>
  <c r="AC300" i="5"/>
  <c r="AE302" i="5"/>
  <c r="AB305" i="5"/>
  <c r="AD307" i="5"/>
  <c r="T310" i="5"/>
  <c r="AC312" i="5"/>
  <c r="AE314" i="5"/>
  <c r="AB317" i="5"/>
  <c r="AD319" i="5"/>
  <c r="T322" i="5"/>
  <c r="AC324" i="5"/>
  <c r="AE326" i="5"/>
  <c r="AB329" i="5"/>
  <c r="AD331" i="5"/>
  <c r="T334" i="5"/>
  <c r="AC336" i="5"/>
  <c r="AE338" i="5"/>
  <c r="AB341" i="5"/>
  <c r="AD343" i="5"/>
  <c r="T346" i="5"/>
  <c r="AC348" i="5"/>
  <c r="AE350" i="5"/>
  <c r="AB353" i="5"/>
  <c r="AD355" i="5"/>
  <c r="T358" i="5"/>
  <c r="AC360" i="5"/>
  <c r="AE362" i="5"/>
  <c r="AB365" i="5"/>
  <c r="AD367" i="5"/>
  <c r="T370" i="5"/>
  <c r="AC372" i="5"/>
  <c r="AE374" i="5"/>
  <c r="AB377" i="5"/>
  <c r="AD379" i="5"/>
  <c r="T382" i="5"/>
  <c r="AC384" i="5"/>
  <c r="AE386" i="5"/>
  <c r="AB389" i="5"/>
  <c r="AD391" i="5"/>
  <c r="T394" i="5"/>
  <c r="AC396" i="5"/>
  <c r="AE398" i="5"/>
  <c r="AB401" i="5"/>
  <c r="AD403" i="5"/>
  <c r="T406" i="5"/>
  <c r="AC408" i="5"/>
  <c r="AE410" i="5"/>
  <c r="AB413" i="5"/>
  <c r="AD415" i="5"/>
  <c r="T418" i="5"/>
  <c r="AC420" i="5"/>
  <c r="AE422" i="5"/>
  <c r="AB425" i="5"/>
  <c r="AD427" i="5"/>
  <c r="T430" i="5"/>
  <c r="AC432" i="5"/>
  <c r="AC434" i="5"/>
  <c r="AC436" i="5"/>
  <c r="AC438" i="5"/>
  <c r="AC440" i="5"/>
  <c r="AC442" i="5"/>
  <c r="AC444" i="5"/>
  <c r="AC446" i="5"/>
  <c r="AC448" i="5"/>
  <c r="AC450" i="5"/>
  <c r="AC452" i="5"/>
  <c r="AC454" i="5"/>
  <c r="AC456" i="5"/>
  <c r="AC458" i="5"/>
  <c r="AC460" i="5"/>
  <c r="AC462" i="5"/>
  <c r="AC464" i="5"/>
  <c r="AC466" i="5"/>
  <c r="AC468" i="5"/>
  <c r="AC470" i="5"/>
  <c r="AC472" i="5"/>
  <c r="AC474" i="5"/>
  <c r="AC476" i="5"/>
  <c r="AC478" i="5"/>
  <c r="AC480" i="5"/>
  <c r="AC482" i="5"/>
  <c r="AC484" i="5"/>
  <c r="AC486" i="5"/>
  <c r="AC488" i="5"/>
  <c r="AC490" i="5"/>
  <c r="AC492" i="5"/>
  <c r="AC494" i="5"/>
  <c r="AC496" i="5"/>
  <c r="AC498" i="5"/>
  <c r="AA500" i="5"/>
  <c r="T502" i="5"/>
  <c r="AD503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AC26" i="5"/>
  <c r="W49" i="5"/>
  <c r="X61" i="5"/>
  <c r="Y73" i="5"/>
  <c r="V90" i="5"/>
  <c r="W102" i="5"/>
  <c r="Y118" i="5"/>
  <c r="U131" i="5"/>
  <c r="AB139" i="5"/>
  <c r="Z146" i="5"/>
  <c r="AA151" i="5"/>
  <c r="Y158" i="5"/>
  <c r="Z163" i="5"/>
  <c r="AA168" i="5"/>
  <c r="Y175" i="5"/>
  <c r="Z180" i="5"/>
  <c r="AC186" i="5"/>
  <c r="Y192" i="5"/>
  <c r="Z197" i="5"/>
  <c r="AC203" i="5"/>
  <c r="Y209" i="5"/>
  <c r="AB215" i="5"/>
  <c r="AC220" i="5"/>
  <c r="Y226" i="5"/>
  <c r="X232" i="5"/>
  <c r="AC235" i="5"/>
  <c r="AB238" i="5"/>
  <c r="AD240" i="5"/>
  <c r="T243" i="5"/>
  <c r="AC245" i="5"/>
  <c r="AE247" i="5"/>
  <c r="AB250" i="5"/>
  <c r="AD252" i="5"/>
  <c r="T255" i="5"/>
  <c r="AC257" i="5"/>
  <c r="AE259" i="5"/>
  <c r="AB262" i="5"/>
  <c r="AD264" i="5"/>
  <c r="T267" i="5"/>
  <c r="AC269" i="5"/>
  <c r="AE271" i="5"/>
  <c r="AB274" i="5"/>
  <c r="AD276" i="5"/>
  <c r="T279" i="5"/>
  <c r="AC281" i="5"/>
  <c r="AE283" i="5"/>
  <c r="AB286" i="5"/>
  <c r="AD288" i="5"/>
  <c r="T291" i="5"/>
  <c r="AC293" i="5"/>
  <c r="AE295" i="5"/>
  <c r="AB298" i="5"/>
  <c r="AD300" i="5"/>
  <c r="T303" i="5"/>
  <c r="AC305" i="5"/>
  <c r="AE307" i="5"/>
  <c r="AB310" i="5"/>
  <c r="AD312" i="5"/>
  <c r="T315" i="5"/>
  <c r="AC317" i="5"/>
  <c r="AE319" i="5"/>
  <c r="AB322" i="5"/>
  <c r="AD324" i="5"/>
  <c r="T327" i="5"/>
  <c r="AC329" i="5"/>
  <c r="AE331" i="5"/>
  <c r="AB334" i="5"/>
  <c r="AD336" i="5"/>
  <c r="T339" i="5"/>
  <c r="AC341" i="5"/>
  <c r="AE343" i="5"/>
  <c r="AB346" i="5"/>
  <c r="AD348" i="5"/>
  <c r="T351" i="5"/>
  <c r="AC353" i="5"/>
  <c r="AE355" i="5"/>
  <c r="AB358" i="5"/>
  <c r="AD360" i="5"/>
  <c r="T363" i="5"/>
  <c r="AC365" i="5"/>
  <c r="AE367" i="5"/>
  <c r="AB370" i="5"/>
  <c r="AD372" i="5"/>
  <c r="T375" i="5"/>
  <c r="AC377" i="5"/>
  <c r="AE379" i="5"/>
  <c r="AB382" i="5"/>
  <c r="AD384" i="5"/>
  <c r="T387" i="5"/>
  <c r="AC389" i="5"/>
  <c r="AE391" i="5"/>
  <c r="AB394" i="5"/>
  <c r="AD396" i="5"/>
  <c r="T399" i="5"/>
  <c r="AC401" i="5"/>
  <c r="AE403" i="5"/>
  <c r="AB406" i="5"/>
  <c r="AD408" i="5"/>
  <c r="T411" i="5"/>
  <c r="AC413" i="5"/>
  <c r="AE415" i="5"/>
  <c r="AB418" i="5"/>
  <c r="AD420" i="5"/>
  <c r="T423" i="5"/>
  <c r="AC425" i="5"/>
  <c r="AE427" i="5"/>
  <c r="AB430" i="5"/>
  <c r="AD432" i="5"/>
  <c r="AD434" i="5"/>
  <c r="AD436" i="5"/>
  <c r="AD438" i="5"/>
  <c r="AD440" i="5"/>
  <c r="AD442" i="5"/>
  <c r="AD444" i="5"/>
  <c r="AD446" i="5"/>
  <c r="AD448" i="5"/>
  <c r="AD450" i="5"/>
  <c r="AD452" i="5"/>
  <c r="AD454" i="5"/>
  <c r="AD456" i="5"/>
  <c r="AD458" i="5"/>
  <c r="AD460" i="5"/>
  <c r="AD462" i="5"/>
  <c r="AD464" i="5"/>
  <c r="AD466" i="5"/>
  <c r="AD468" i="5"/>
  <c r="AD470" i="5"/>
  <c r="AD472" i="5"/>
  <c r="AD474" i="5"/>
  <c r="AD476" i="5"/>
  <c r="AD478" i="5"/>
  <c r="AD480" i="5"/>
  <c r="AD482" i="5"/>
  <c r="AD484" i="5"/>
  <c r="AD486" i="5"/>
  <c r="AD488" i="5"/>
  <c r="AD490" i="5"/>
  <c r="AD492" i="5"/>
  <c r="AD494" i="5"/>
  <c r="AD496" i="5"/>
  <c r="AD498" i="5"/>
  <c r="AB500" i="5"/>
  <c r="Z502" i="5"/>
  <c r="AE503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C29" i="5"/>
  <c r="X49" i="5"/>
  <c r="Y61" i="5"/>
  <c r="V78" i="5"/>
  <c r="W90" i="5"/>
  <c r="X102" i="5"/>
  <c r="U119" i="5"/>
  <c r="V131" i="5"/>
  <c r="Z141" i="5"/>
  <c r="AA146" i="5"/>
  <c r="AB151" i="5"/>
  <c r="Z158" i="5"/>
  <c r="AA163" i="5"/>
  <c r="Y170" i="5"/>
  <c r="Z175" i="5"/>
  <c r="AA180" i="5"/>
  <c r="Y187" i="5"/>
  <c r="Z192" i="5"/>
  <c r="AC198" i="5"/>
  <c r="Y204" i="5"/>
  <c r="Z209" i="5"/>
  <c r="AC215" i="5"/>
  <c r="Y221" i="5"/>
  <c r="AB227" i="5"/>
  <c r="Y232" i="5"/>
  <c r="AD235" i="5"/>
  <c r="AC238" i="5"/>
  <c r="AE240" i="5"/>
  <c r="AB243" i="5"/>
  <c r="AD245" i="5"/>
  <c r="T248" i="5"/>
  <c r="AC250" i="5"/>
  <c r="AE252" i="5"/>
  <c r="AB255" i="5"/>
  <c r="AD257" i="5"/>
  <c r="T260" i="5"/>
  <c r="AC262" i="5"/>
  <c r="AE264" i="5"/>
  <c r="AB267" i="5"/>
  <c r="AD269" i="5"/>
  <c r="T272" i="5"/>
  <c r="AC274" i="5"/>
  <c r="AE276" i="5"/>
  <c r="AB279" i="5"/>
  <c r="AD281" i="5"/>
  <c r="T284" i="5"/>
  <c r="AC286" i="5"/>
  <c r="AE288" i="5"/>
  <c r="AB291" i="5"/>
  <c r="AD293" i="5"/>
  <c r="T296" i="5"/>
  <c r="AC298" i="5"/>
  <c r="AE300" i="5"/>
  <c r="AB303" i="5"/>
  <c r="AD305" i="5"/>
  <c r="T308" i="5"/>
  <c r="AC310" i="5"/>
  <c r="AE312" i="5"/>
  <c r="AB315" i="5"/>
  <c r="AD317" i="5"/>
  <c r="T320" i="5"/>
  <c r="AC322" i="5"/>
  <c r="AE324" i="5"/>
  <c r="AB327" i="5"/>
  <c r="AD329" i="5"/>
  <c r="T332" i="5"/>
  <c r="AC334" i="5"/>
  <c r="AE336" i="5"/>
  <c r="AB339" i="5"/>
  <c r="AD341" i="5"/>
  <c r="T344" i="5"/>
  <c r="AC346" i="5"/>
  <c r="AE348" i="5"/>
  <c r="AB351" i="5"/>
  <c r="AD353" i="5"/>
  <c r="T356" i="5"/>
  <c r="AC358" i="5"/>
  <c r="AE360" i="5"/>
  <c r="AB363" i="5"/>
  <c r="AD365" i="5"/>
  <c r="T368" i="5"/>
  <c r="AC370" i="5"/>
  <c r="AE372" i="5"/>
  <c r="AB375" i="5"/>
  <c r="AD377" i="5"/>
  <c r="T380" i="5"/>
  <c r="AC382" i="5"/>
  <c r="AE384" i="5"/>
  <c r="AB387" i="5"/>
  <c r="AD389" i="5"/>
  <c r="T392" i="5"/>
  <c r="AC394" i="5"/>
  <c r="AE396" i="5"/>
  <c r="AB399" i="5"/>
  <c r="AD401" i="5"/>
  <c r="T404" i="5"/>
  <c r="AC406" i="5"/>
  <c r="AE408" i="5"/>
  <c r="AB411" i="5"/>
  <c r="AD413" i="5"/>
  <c r="T416" i="5"/>
  <c r="AC418" i="5"/>
  <c r="AE420" i="5"/>
  <c r="AB423" i="5"/>
  <c r="AD425" i="5"/>
  <c r="T428" i="5"/>
  <c r="AC430" i="5"/>
  <c r="AE432" i="5"/>
  <c r="AE434" i="5"/>
  <c r="AE436" i="5"/>
  <c r="AE438" i="5"/>
  <c r="AE440" i="5"/>
  <c r="AE442" i="5"/>
  <c r="AE444" i="5"/>
  <c r="AE446" i="5"/>
  <c r="AE448" i="5"/>
  <c r="AE450" i="5"/>
  <c r="AE452" i="5"/>
  <c r="AE454" i="5"/>
  <c r="AE456" i="5"/>
  <c r="AE458" i="5"/>
  <c r="AE460" i="5"/>
  <c r="AE462" i="5"/>
  <c r="AE464" i="5"/>
  <c r="AE466" i="5"/>
  <c r="AE468" i="5"/>
  <c r="AE470" i="5"/>
  <c r="AE472" i="5"/>
  <c r="AE474" i="5"/>
  <c r="AE476" i="5"/>
  <c r="AE478" i="5"/>
  <c r="AE480" i="5"/>
  <c r="AE482" i="5"/>
  <c r="AE484" i="5"/>
  <c r="AE486" i="5"/>
  <c r="AE488" i="5"/>
  <c r="AE490" i="5"/>
  <c r="AE492" i="5"/>
  <c r="AE494" i="5"/>
  <c r="AE496" i="5"/>
  <c r="AE498" i="5"/>
  <c r="AC500" i="5"/>
  <c r="AA502" i="5"/>
  <c r="T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C36" i="5"/>
  <c r="Y49" i="5"/>
  <c r="W63" i="5"/>
  <c r="W78" i="5"/>
  <c r="X90" i="5"/>
  <c r="U107" i="5"/>
  <c r="V119" i="5"/>
  <c r="W131" i="5"/>
  <c r="AA141" i="5"/>
  <c r="AB146" i="5"/>
  <c r="Z153" i="5"/>
  <c r="AA158" i="5"/>
  <c r="AB163" i="5"/>
  <c r="Z170" i="5"/>
  <c r="AA175" i="5"/>
  <c r="Y182" i="5"/>
  <c r="Z187" i="5"/>
  <c r="AA192" i="5"/>
  <c r="Y199" i="5"/>
  <c r="Z204" i="5"/>
  <c r="AC210" i="5"/>
  <c r="Y216" i="5"/>
  <c r="Z221" i="5"/>
  <c r="AC227" i="5"/>
  <c r="Z232" i="5"/>
  <c r="AB236" i="5"/>
  <c r="AD238" i="5"/>
  <c r="T241" i="5"/>
  <c r="AC243" i="5"/>
  <c r="AE245" i="5"/>
  <c r="AB248" i="5"/>
  <c r="AD250" i="5"/>
  <c r="T253" i="5"/>
  <c r="AC255" i="5"/>
  <c r="AE257" i="5"/>
  <c r="AB260" i="5"/>
  <c r="AD262" i="5"/>
  <c r="T265" i="5"/>
  <c r="AC267" i="5"/>
  <c r="AE269" i="5"/>
  <c r="AB272" i="5"/>
  <c r="AD274" i="5"/>
  <c r="T277" i="5"/>
  <c r="AC279" i="5"/>
  <c r="AE281" i="5"/>
  <c r="AB284" i="5"/>
  <c r="AD286" i="5"/>
  <c r="T289" i="5"/>
  <c r="AC291" i="5"/>
  <c r="AE293" i="5"/>
  <c r="AB296" i="5"/>
  <c r="AD298" i="5"/>
  <c r="T301" i="5"/>
  <c r="AC303" i="5"/>
  <c r="AE305" i="5"/>
  <c r="AB308" i="5"/>
  <c r="AD310" i="5"/>
  <c r="T313" i="5"/>
  <c r="AC315" i="5"/>
  <c r="AE317" i="5"/>
  <c r="AB320" i="5"/>
  <c r="AD322" i="5"/>
  <c r="T325" i="5"/>
  <c r="AC327" i="5"/>
  <c r="AE329" i="5"/>
  <c r="AB332" i="5"/>
  <c r="AD334" i="5"/>
  <c r="T337" i="5"/>
  <c r="AC339" i="5"/>
  <c r="AE341" i="5"/>
  <c r="AB344" i="5"/>
  <c r="AD346" i="5"/>
  <c r="T349" i="5"/>
  <c r="AC351" i="5"/>
  <c r="AE353" i="5"/>
  <c r="AB356" i="5"/>
  <c r="AD358" i="5"/>
  <c r="T361" i="5"/>
  <c r="AC363" i="5"/>
  <c r="AE365" i="5"/>
  <c r="AB368" i="5"/>
  <c r="AD370" i="5"/>
  <c r="T373" i="5"/>
  <c r="AC375" i="5"/>
  <c r="AE377" i="5"/>
  <c r="AB380" i="5"/>
  <c r="AD382" i="5"/>
  <c r="T385" i="5"/>
  <c r="AC387" i="5"/>
  <c r="AE389" i="5"/>
  <c r="AB392" i="5"/>
  <c r="AD394" i="5"/>
  <c r="T397" i="5"/>
  <c r="AC399" i="5"/>
  <c r="AE401" i="5"/>
  <c r="AB404" i="5"/>
  <c r="AD406" i="5"/>
  <c r="T409" i="5"/>
  <c r="AC411" i="5"/>
  <c r="AE413" i="5"/>
  <c r="AB416" i="5"/>
  <c r="AD418" i="5"/>
  <c r="T421" i="5"/>
  <c r="AC423" i="5"/>
  <c r="AE425" i="5"/>
  <c r="AB428" i="5"/>
  <c r="AD430" i="5"/>
  <c r="T433" i="5"/>
  <c r="T435" i="5"/>
  <c r="T437" i="5"/>
  <c r="T439" i="5"/>
  <c r="T441" i="5"/>
  <c r="T443" i="5"/>
  <c r="T445" i="5"/>
  <c r="T447" i="5"/>
  <c r="T449" i="5"/>
  <c r="T451" i="5"/>
  <c r="T453" i="5"/>
  <c r="T455" i="5"/>
  <c r="T457" i="5"/>
  <c r="T459" i="5"/>
  <c r="T461" i="5"/>
  <c r="T463" i="5"/>
  <c r="T465" i="5"/>
  <c r="T467" i="5"/>
  <c r="T469" i="5"/>
  <c r="T471" i="5"/>
  <c r="T473" i="5"/>
  <c r="T475" i="5"/>
  <c r="T477" i="5"/>
  <c r="T479" i="5"/>
  <c r="T481" i="5"/>
  <c r="T483" i="5"/>
  <c r="T485" i="5"/>
  <c r="T487" i="5"/>
  <c r="T489" i="5"/>
  <c r="T491" i="5"/>
  <c r="T493" i="5"/>
  <c r="T495" i="5"/>
  <c r="T497" i="5"/>
  <c r="T499" i="5"/>
  <c r="AD500" i="5"/>
  <c r="AB502" i="5"/>
  <c r="Z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Z13" i="5"/>
  <c r="V44" i="5"/>
  <c r="W56" i="5"/>
  <c r="X68" i="5"/>
  <c r="U85" i="5"/>
  <c r="V97" i="5"/>
  <c r="V112" i="5"/>
  <c r="Y125" i="5"/>
  <c r="AB136" i="5"/>
  <c r="AC143" i="5"/>
  <c r="Y149" i="5"/>
  <c r="AB155" i="5"/>
  <c r="AC160" i="5"/>
  <c r="Y166" i="5"/>
  <c r="AB172" i="5"/>
  <c r="AC177" i="5"/>
  <c r="AA184" i="5"/>
  <c r="AB189" i="5"/>
  <c r="AC194" i="5"/>
  <c r="AA201" i="5"/>
  <c r="AB206" i="5"/>
  <c r="Z213" i="5"/>
  <c r="AA218" i="5"/>
  <c r="AB223" i="5"/>
  <c r="Y230" i="5"/>
  <c r="X234" i="5"/>
  <c r="AB237" i="5"/>
  <c r="AD239" i="5"/>
  <c r="T242" i="5"/>
  <c r="AC244" i="5"/>
  <c r="AE246" i="5"/>
  <c r="AB249" i="5"/>
  <c r="AD251" i="5"/>
  <c r="T254" i="5"/>
  <c r="AC256" i="5"/>
  <c r="AE258" i="5"/>
  <c r="AB261" i="5"/>
  <c r="AD263" i="5"/>
  <c r="T266" i="5"/>
  <c r="AC268" i="5"/>
  <c r="AE270" i="5"/>
  <c r="AB273" i="5"/>
  <c r="AD275" i="5"/>
  <c r="T278" i="5"/>
  <c r="AC280" i="5"/>
  <c r="AE282" i="5"/>
  <c r="AB285" i="5"/>
  <c r="AD287" i="5"/>
  <c r="T290" i="5"/>
  <c r="AC292" i="5"/>
  <c r="AE294" i="5"/>
  <c r="AB297" i="5"/>
  <c r="AD299" i="5"/>
  <c r="T302" i="5"/>
  <c r="AC304" i="5"/>
  <c r="AE306" i="5"/>
  <c r="AB309" i="5"/>
  <c r="AD311" i="5"/>
  <c r="T314" i="5"/>
  <c r="AC316" i="5"/>
  <c r="AE318" i="5"/>
  <c r="AB321" i="5"/>
  <c r="AD323" i="5"/>
  <c r="T326" i="5"/>
  <c r="AC328" i="5"/>
  <c r="AE330" i="5"/>
  <c r="AB333" i="5"/>
  <c r="AD335" i="5"/>
  <c r="T338" i="5"/>
  <c r="AC340" i="5"/>
  <c r="AE342" i="5"/>
  <c r="AB345" i="5"/>
  <c r="AD347" i="5"/>
  <c r="T350" i="5"/>
  <c r="AC352" i="5"/>
  <c r="AE354" i="5"/>
  <c r="AB357" i="5"/>
  <c r="AD359" i="5"/>
  <c r="T362" i="5"/>
  <c r="AC364" i="5"/>
  <c r="AE366" i="5"/>
  <c r="AB369" i="5"/>
  <c r="AD371" i="5"/>
  <c r="T374" i="5"/>
  <c r="AC376" i="5"/>
  <c r="AE378" i="5"/>
  <c r="AB381" i="5"/>
  <c r="AD383" i="5"/>
  <c r="T386" i="5"/>
  <c r="AC388" i="5"/>
  <c r="AE390" i="5"/>
  <c r="AB393" i="5"/>
  <c r="AD395" i="5"/>
  <c r="T398" i="5"/>
  <c r="AC400" i="5"/>
  <c r="AE402" i="5"/>
  <c r="AB405" i="5"/>
  <c r="AD407" i="5"/>
  <c r="T410" i="5"/>
  <c r="AC412" i="5"/>
  <c r="AE414" i="5"/>
  <c r="AB417" i="5"/>
  <c r="AD419" i="5"/>
  <c r="T422" i="5"/>
  <c r="AC424" i="5"/>
  <c r="AE426" i="5"/>
  <c r="AB429" i="5"/>
  <c r="AD431" i="5"/>
  <c r="AE433" i="5"/>
  <c r="AE435" i="5"/>
  <c r="AE437" i="5"/>
  <c r="AE439" i="5"/>
  <c r="AE441" i="5"/>
  <c r="AE443" i="5"/>
  <c r="AE445" i="5"/>
  <c r="AE447" i="5"/>
  <c r="AE449" i="5"/>
  <c r="AE451" i="5"/>
  <c r="AE453" i="5"/>
  <c r="AE455" i="5"/>
  <c r="AE457" i="5"/>
  <c r="AE459" i="5"/>
  <c r="AE461" i="5"/>
  <c r="AE463" i="5"/>
  <c r="AE465" i="5"/>
  <c r="AE467" i="5"/>
  <c r="AE469" i="5"/>
  <c r="AE471" i="5"/>
  <c r="AE473" i="5"/>
  <c r="AE475" i="5"/>
  <c r="AE477" i="5"/>
  <c r="AE479" i="5"/>
  <c r="AE481" i="5"/>
  <c r="AE483" i="5"/>
  <c r="AE485" i="5"/>
  <c r="AE487" i="5"/>
  <c r="AE489" i="5"/>
  <c r="AE491" i="5"/>
  <c r="AE493" i="5"/>
  <c r="AE495" i="5"/>
  <c r="AE497" i="5"/>
  <c r="AD499" i="5"/>
  <c r="AB501" i="5"/>
  <c r="Z503" i="5"/>
  <c r="AE504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" i="5"/>
  <c r="U97" i="5"/>
  <c r="Y136" i="5"/>
  <c r="Y154" i="5"/>
  <c r="AA172" i="5"/>
  <c r="AA189" i="5"/>
  <c r="AA206" i="5"/>
  <c r="AA223" i="5"/>
  <c r="T237" i="5"/>
  <c r="AB244" i="5"/>
  <c r="AC251" i="5"/>
  <c r="AD258" i="5"/>
  <c r="AE265" i="5"/>
  <c r="T273" i="5"/>
  <c r="AB280" i="5"/>
  <c r="AC287" i="5"/>
  <c r="AD294" i="5"/>
  <c r="AE301" i="5"/>
  <c r="T309" i="5"/>
  <c r="AB316" i="5"/>
  <c r="AC323" i="5"/>
  <c r="AD330" i="5"/>
  <c r="AE337" i="5"/>
  <c r="T345" i="5"/>
  <c r="AB352" i="5"/>
  <c r="AC359" i="5"/>
  <c r="AD366" i="5"/>
  <c r="AE373" i="5"/>
  <c r="T381" i="5"/>
  <c r="AB388" i="5"/>
  <c r="AC395" i="5"/>
  <c r="AD402" i="5"/>
  <c r="AE409" i="5"/>
  <c r="T417" i="5"/>
  <c r="AB424" i="5"/>
  <c r="AC431" i="5"/>
  <c r="AD437" i="5"/>
  <c r="AD443" i="5"/>
  <c r="AD449" i="5"/>
  <c r="AD455" i="5"/>
  <c r="AD461" i="5"/>
  <c r="AD467" i="5"/>
  <c r="AD473" i="5"/>
  <c r="AD479" i="5"/>
  <c r="AD485" i="5"/>
  <c r="AD491" i="5"/>
  <c r="AD497" i="5"/>
  <c r="T503" i="5"/>
  <c r="U507" i="5"/>
  <c r="U510" i="5"/>
  <c r="U513" i="5"/>
  <c r="U516" i="5"/>
  <c r="U519" i="5"/>
  <c r="U522" i="5"/>
  <c r="U525" i="5"/>
  <c r="U528" i="5"/>
  <c r="AD530" i="5"/>
  <c r="T533" i="5"/>
  <c r="AC535" i="5"/>
  <c r="AE537" i="5"/>
  <c r="U540" i="5"/>
  <c r="AD542" i="5"/>
  <c r="T545" i="5"/>
  <c r="AC547" i="5"/>
  <c r="W549" i="5"/>
  <c r="AE550" i="5"/>
  <c r="W552" i="5"/>
  <c r="AB553" i="5"/>
  <c r="AE554" i="5"/>
  <c r="W556" i="5"/>
  <c r="AB557" i="5"/>
  <c r="AE558" i="5"/>
  <c r="W560" i="5"/>
  <c r="AB561" i="5"/>
  <c r="AD562" i="5"/>
  <c r="T564" i="5"/>
  <c r="U565" i="5"/>
  <c r="V566" i="5"/>
  <c r="W567" i="5"/>
  <c r="X568" i="5"/>
  <c r="Z569" i="5"/>
  <c r="AA570" i="5"/>
  <c r="AB571" i="5"/>
  <c r="AC572" i="5"/>
  <c r="AD573" i="5"/>
  <c r="AE574" i="5"/>
  <c r="T576" i="5"/>
  <c r="U577" i="5"/>
  <c r="V578" i="5"/>
  <c r="W579" i="5"/>
  <c r="X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W66" i="5"/>
  <c r="V107" i="5"/>
  <c r="AB141" i="5"/>
  <c r="AB158" i="5"/>
  <c r="AB175" i="5"/>
  <c r="Y194" i="5"/>
  <c r="Y211" i="5"/>
  <c r="Y228" i="5"/>
  <c r="AE238" i="5"/>
  <c r="T246" i="5"/>
  <c r="AB253" i="5"/>
  <c r="AC260" i="5"/>
  <c r="AD267" i="5"/>
  <c r="AE274" i="5"/>
  <c r="T282" i="5"/>
  <c r="AB289" i="5"/>
  <c r="AC296" i="5"/>
  <c r="AD303" i="5"/>
  <c r="AE310" i="5"/>
  <c r="T318" i="5"/>
  <c r="AB325" i="5"/>
  <c r="AC332" i="5"/>
  <c r="AD339" i="5"/>
  <c r="AE346" i="5"/>
  <c r="T354" i="5"/>
  <c r="AB361" i="5"/>
  <c r="AC368" i="5"/>
  <c r="AD375" i="5"/>
  <c r="AE382" i="5"/>
  <c r="T390" i="5"/>
  <c r="AB397" i="5"/>
  <c r="AC404" i="5"/>
  <c r="AD411" i="5"/>
  <c r="AE418" i="5"/>
  <c r="T426" i="5"/>
  <c r="AA433" i="5"/>
  <c r="AA439" i="5"/>
  <c r="AA445" i="5"/>
  <c r="AA451" i="5"/>
  <c r="AA457" i="5"/>
  <c r="AA463" i="5"/>
  <c r="AA469" i="5"/>
  <c r="AA475" i="5"/>
  <c r="AA481" i="5"/>
  <c r="AA487" i="5"/>
  <c r="AA493" i="5"/>
  <c r="Z499" i="5"/>
  <c r="AA504" i="5"/>
  <c r="AD507" i="5"/>
  <c r="AD510" i="5"/>
  <c r="AD513" i="5"/>
  <c r="AD516" i="5"/>
  <c r="AD519" i="5"/>
  <c r="AD522" i="5"/>
  <c r="AD525" i="5"/>
  <c r="AC528" i="5"/>
  <c r="AE530" i="5"/>
  <c r="U533" i="5"/>
  <c r="AD535" i="5"/>
  <c r="T538" i="5"/>
  <c r="AC540" i="5"/>
  <c r="AE542" i="5"/>
  <c r="U545" i="5"/>
  <c r="AD547" i="5"/>
  <c r="AA549" i="5"/>
  <c r="T551" i="5"/>
  <c r="Z552" i="5"/>
  <c r="AC553" i="5"/>
  <c r="T555" i="5"/>
  <c r="Z556" i="5"/>
  <c r="AC557" i="5"/>
  <c r="T559" i="5"/>
  <c r="Z560" i="5"/>
  <c r="AC561" i="5"/>
  <c r="AE562" i="5"/>
  <c r="U564" i="5"/>
  <c r="V565" i="5"/>
  <c r="W566" i="5"/>
  <c r="X567" i="5"/>
  <c r="Z568" i="5"/>
  <c r="AA569" i="5"/>
  <c r="AB570" i="5"/>
  <c r="AC571" i="5"/>
  <c r="AD572" i="5"/>
  <c r="AE573" i="5"/>
  <c r="T575" i="5"/>
  <c r="U576" i="5"/>
  <c r="V577" i="5"/>
  <c r="W578" i="5"/>
  <c r="X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AA8" i="5"/>
  <c r="X66" i="5"/>
  <c r="W107" i="5"/>
  <c r="AC141" i="5"/>
  <c r="AC158" i="5"/>
  <c r="Z177" i="5"/>
  <c r="Z194" i="5"/>
  <c r="Z211" i="5"/>
  <c r="Z228" i="5"/>
  <c r="T239" i="5"/>
  <c r="AB246" i="5"/>
  <c r="AC253" i="5"/>
  <c r="AD260" i="5"/>
  <c r="AE267" i="5"/>
  <c r="T275" i="5"/>
  <c r="AB282" i="5"/>
  <c r="AC289" i="5"/>
  <c r="AD296" i="5"/>
  <c r="AE303" i="5"/>
  <c r="T311" i="5"/>
  <c r="AB318" i="5"/>
  <c r="AC325" i="5"/>
  <c r="AD332" i="5"/>
  <c r="AE339" i="5"/>
  <c r="T347" i="5"/>
  <c r="AB354" i="5"/>
  <c r="AC361" i="5"/>
  <c r="AD368" i="5"/>
  <c r="AE375" i="5"/>
  <c r="T383" i="5"/>
  <c r="AB390" i="5"/>
  <c r="AC397" i="5"/>
  <c r="AD404" i="5"/>
  <c r="AE411" i="5"/>
  <c r="T419" i="5"/>
  <c r="AB426" i="5"/>
  <c r="AB433" i="5"/>
  <c r="AB439" i="5"/>
  <c r="AB445" i="5"/>
  <c r="AB451" i="5"/>
  <c r="AB457" i="5"/>
  <c r="AB463" i="5"/>
  <c r="AB469" i="5"/>
  <c r="AB475" i="5"/>
  <c r="AB481" i="5"/>
  <c r="AB487" i="5"/>
  <c r="AB493" i="5"/>
  <c r="AA499" i="5"/>
  <c r="AB504" i="5"/>
  <c r="AE507" i="5"/>
  <c r="AE510" i="5"/>
  <c r="AE513" i="5"/>
  <c r="AE516" i="5"/>
  <c r="AE519" i="5"/>
  <c r="AE522" i="5"/>
  <c r="AE525" i="5"/>
  <c r="AD528" i="5"/>
  <c r="T531" i="5"/>
  <c r="AC533" i="5"/>
  <c r="AE535" i="5"/>
  <c r="U538" i="5"/>
  <c r="AD540" i="5"/>
  <c r="T543" i="5"/>
  <c r="AC545" i="5"/>
  <c r="AE547" i="5"/>
  <c r="AC549" i="5"/>
  <c r="U551" i="5"/>
  <c r="AA552" i="5"/>
  <c r="AD553" i="5"/>
  <c r="U555" i="5"/>
  <c r="AA556" i="5"/>
  <c r="AD557" i="5"/>
  <c r="U559" i="5"/>
  <c r="AA560" i="5"/>
  <c r="AD561" i="5"/>
  <c r="T563" i="5"/>
  <c r="V564" i="5"/>
  <c r="W565" i="5"/>
  <c r="X566" i="5"/>
  <c r="Z567" i="5"/>
  <c r="AA568" i="5"/>
  <c r="AB569" i="5"/>
  <c r="AC570" i="5"/>
  <c r="AD571" i="5"/>
  <c r="AE572" i="5"/>
  <c r="T574" i="5"/>
  <c r="U575" i="5"/>
  <c r="V576" i="5"/>
  <c r="W577" i="5"/>
  <c r="X578" i="5"/>
  <c r="Z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C12" i="5"/>
  <c r="V68" i="5"/>
  <c r="U109" i="5"/>
  <c r="Y142" i="5"/>
  <c r="AA160" i="5"/>
  <c r="AA177" i="5"/>
  <c r="AA194" i="5"/>
  <c r="AA211" i="5"/>
  <c r="AA228" i="5"/>
  <c r="AB239" i="5"/>
  <c r="AC246" i="5"/>
  <c r="AD253" i="5"/>
  <c r="AE260" i="5"/>
  <c r="T268" i="5"/>
  <c r="AB275" i="5"/>
  <c r="AC282" i="5"/>
  <c r="AD289" i="5"/>
  <c r="AE296" i="5"/>
  <c r="T304" i="5"/>
  <c r="AB311" i="5"/>
  <c r="AC318" i="5"/>
  <c r="AD325" i="5"/>
  <c r="AE332" i="5"/>
  <c r="T340" i="5"/>
  <c r="AB347" i="5"/>
  <c r="AC354" i="5"/>
  <c r="AD361" i="5"/>
  <c r="AE368" i="5"/>
  <c r="T376" i="5"/>
  <c r="AB383" i="5"/>
  <c r="AC390" i="5"/>
  <c r="AD397" i="5"/>
  <c r="AE404" i="5"/>
  <c r="T412" i="5"/>
  <c r="AB419" i="5"/>
  <c r="AC426" i="5"/>
  <c r="AC433" i="5"/>
  <c r="AC439" i="5"/>
  <c r="AC445" i="5"/>
  <c r="AC451" i="5"/>
  <c r="AC457" i="5"/>
  <c r="AC463" i="5"/>
  <c r="AC469" i="5"/>
  <c r="AC475" i="5"/>
  <c r="AC481" i="5"/>
  <c r="AC487" i="5"/>
  <c r="AC493" i="5"/>
  <c r="AB499" i="5"/>
  <c r="AC504" i="5"/>
  <c r="T508" i="5"/>
  <c r="T511" i="5"/>
  <c r="T514" i="5"/>
  <c r="T517" i="5"/>
  <c r="T520" i="5"/>
  <c r="T523" i="5"/>
  <c r="T526" i="5"/>
  <c r="AE528" i="5"/>
  <c r="U531" i="5"/>
  <c r="AD533" i="5"/>
  <c r="T536" i="5"/>
  <c r="AC538" i="5"/>
  <c r="AE540" i="5"/>
  <c r="U543" i="5"/>
  <c r="AD545" i="5"/>
  <c r="T548" i="5"/>
  <c r="AD549" i="5"/>
  <c r="W551" i="5"/>
  <c r="AB552" i="5"/>
  <c r="AE553" i="5"/>
  <c r="W555" i="5"/>
  <c r="AB556" i="5"/>
  <c r="AE557" i="5"/>
  <c r="W559" i="5"/>
  <c r="AB560" i="5"/>
  <c r="AE561" i="5"/>
  <c r="U563" i="5"/>
  <c r="W564" i="5"/>
  <c r="X565" i="5"/>
  <c r="Z566" i="5"/>
  <c r="AA567" i="5"/>
  <c r="AB568" i="5"/>
  <c r="AC569" i="5"/>
  <c r="AD570" i="5"/>
  <c r="AE571" i="5"/>
  <c r="T573" i="5"/>
  <c r="U574" i="5"/>
  <c r="V575" i="5"/>
  <c r="W576" i="5"/>
  <c r="X577" i="5"/>
  <c r="Z578" i="5"/>
  <c r="AA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Y13" i="5"/>
  <c r="W68" i="5"/>
  <c r="V109" i="5"/>
  <c r="AB143" i="5"/>
  <c r="AB160" i="5"/>
  <c r="AB177" i="5"/>
  <c r="AB194" i="5"/>
  <c r="AB211" i="5"/>
  <c r="AD229" i="5"/>
  <c r="AC239" i="5"/>
  <c r="AD246" i="5"/>
  <c r="AE253" i="5"/>
  <c r="T261" i="5"/>
  <c r="AB268" i="5"/>
  <c r="AC275" i="5"/>
  <c r="AD282" i="5"/>
  <c r="AE289" i="5"/>
  <c r="T297" i="5"/>
  <c r="AB304" i="5"/>
  <c r="AC311" i="5"/>
  <c r="AD318" i="5"/>
  <c r="AE325" i="5"/>
  <c r="T333" i="5"/>
  <c r="AB340" i="5"/>
  <c r="AC347" i="5"/>
  <c r="AD354" i="5"/>
  <c r="AE361" i="5"/>
  <c r="T369" i="5"/>
  <c r="AB376" i="5"/>
  <c r="AC383" i="5"/>
  <c r="AD390" i="5"/>
  <c r="AE397" i="5"/>
  <c r="T405" i="5"/>
  <c r="AB412" i="5"/>
  <c r="AC419" i="5"/>
  <c r="AD426" i="5"/>
  <c r="AD433" i="5"/>
  <c r="AD439" i="5"/>
  <c r="AD445" i="5"/>
  <c r="AD451" i="5"/>
  <c r="AD457" i="5"/>
  <c r="AD463" i="5"/>
  <c r="AD469" i="5"/>
  <c r="AD475" i="5"/>
  <c r="AD481" i="5"/>
  <c r="AD487" i="5"/>
  <c r="AD493" i="5"/>
  <c r="AC499" i="5"/>
  <c r="AD504" i="5"/>
  <c r="U508" i="5"/>
  <c r="U511" i="5"/>
  <c r="U514" i="5"/>
  <c r="U517" i="5"/>
  <c r="U520" i="5"/>
  <c r="U523" i="5"/>
  <c r="U526" i="5"/>
  <c r="T529" i="5"/>
  <c r="AC531" i="5"/>
  <c r="AE533" i="5"/>
  <c r="U536" i="5"/>
  <c r="AD538" i="5"/>
  <c r="T541" i="5"/>
  <c r="AC543" i="5"/>
  <c r="AE545" i="5"/>
  <c r="U548" i="5"/>
  <c r="AE549" i="5"/>
  <c r="Z551" i="5"/>
  <c r="AC552" i="5"/>
  <c r="T554" i="5"/>
  <c r="Z555" i="5"/>
  <c r="AC556" i="5"/>
  <c r="T558" i="5"/>
  <c r="Z559" i="5"/>
  <c r="AC560" i="5"/>
  <c r="T562" i="5"/>
  <c r="V563" i="5"/>
  <c r="X564" i="5"/>
  <c r="Z565" i="5"/>
  <c r="AA566" i="5"/>
  <c r="AB567" i="5"/>
  <c r="AC568" i="5"/>
  <c r="AD569" i="5"/>
  <c r="AE570" i="5"/>
  <c r="T572" i="5"/>
  <c r="U573" i="5"/>
  <c r="V574" i="5"/>
  <c r="W575" i="5"/>
  <c r="X576" i="5"/>
  <c r="Z577" i="5"/>
  <c r="AA578" i="5"/>
  <c r="AB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D36" i="5"/>
  <c r="X78" i="5"/>
  <c r="W119" i="5"/>
  <c r="AC146" i="5"/>
  <c r="Z165" i="5"/>
  <c r="Z182" i="5"/>
  <c r="Z199" i="5"/>
  <c r="Z216" i="5"/>
  <c r="AA232" i="5"/>
  <c r="AB241" i="5"/>
  <c r="AC248" i="5"/>
  <c r="AD255" i="5"/>
  <c r="AE262" i="5"/>
  <c r="T270" i="5"/>
  <c r="AB277" i="5"/>
  <c r="AC284" i="5"/>
  <c r="AD291" i="5"/>
  <c r="AE298" i="5"/>
  <c r="T306" i="5"/>
  <c r="AB313" i="5"/>
  <c r="AC320" i="5"/>
  <c r="AD327" i="5"/>
  <c r="AE334" i="5"/>
  <c r="T342" i="5"/>
  <c r="AB349" i="5"/>
  <c r="AC356" i="5"/>
  <c r="AD363" i="5"/>
  <c r="AE370" i="5"/>
  <c r="T378" i="5"/>
  <c r="AB385" i="5"/>
  <c r="AC392" i="5"/>
  <c r="AD399" i="5"/>
  <c r="AE406" i="5"/>
  <c r="T414" i="5"/>
  <c r="AB421" i="5"/>
  <c r="AC428" i="5"/>
  <c r="AA435" i="5"/>
  <c r="AA441" i="5"/>
  <c r="AA447" i="5"/>
  <c r="AA453" i="5"/>
  <c r="AA459" i="5"/>
  <c r="AA465" i="5"/>
  <c r="AA471" i="5"/>
  <c r="AA477" i="5"/>
  <c r="AA483" i="5"/>
  <c r="AA489" i="5"/>
  <c r="AA495" i="5"/>
  <c r="AE500" i="5"/>
  <c r="AD505" i="5"/>
  <c r="AD508" i="5"/>
  <c r="AD511" i="5"/>
  <c r="AD514" i="5"/>
  <c r="AD517" i="5"/>
  <c r="AD520" i="5"/>
  <c r="AD523" i="5"/>
  <c r="AD526" i="5"/>
  <c r="U529" i="5"/>
  <c r="AD531" i="5"/>
  <c r="T534" i="5"/>
  <c r="AC536" i="5"/>
  <c r="AE538" i="5"/>
  <c r="U541" i="5"/>
  <c r="AD543" i="5"/>
  <c r="T546" i="5"/>
  <c r="W548" i="5"/>
  <c r="T550" i="5"/>
  <c r="AA551" i="5"/>
  <c r="AD552" i="5"/>
  <c r="U554" i="5"/>
  <c r="AA555" i="5"/>
  <c r="AD556" i="5"/>
  <c r="U558" i="5"/>
  <c r="AA559" i="5"/>
  <c r="AD560" i="5"/>
  <c r="U562" i="5"/>
  <c r="W563" i="5"/>
  <c r="Z564" i="5"/>
  <c r="AA565" i="5"/>
  <c r="AB566" i="5"/>
  <c r="AC567" i="5"/>
  <c r="AD568" i="5"/>
  <c r="AE569" i="5"/>
  <c r="T571" i="5"/>
  <c r="U572" i="5"/>
  <c r="V573" i="5"/>
  <c r="W574" i="5"/>
  <c r="X575" i="5"/>
  <c r="Z576" i="5"/>
  <c r="AA577" i="5"/>
  <c r="AB578" i="5"/>
  <c r="AC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X54" i="5"/>
  <c r="W95" i="5"/>
  <c r="W135" i="5"/>
  <c r="AC153" i="5"/>
  <c r="AC170" i="5"/>
  <c r="Z189" i="5"/>
  <c r="Z206" i="5"/>
  <c r="Z223" i="5"/>
  <c r="AE236" i="5"/>
  <c r="T244" i="5"/>
  <c r="AB251" i="5"/>
  <c r="AC258" i="5"/>
  <c r="AD265" i="5"/>
  <c r="AE272" i="5"/>
  <c r="T280" i="5"/>
  <c r="AB287" i="5"/>
  <c r="AC294" i="5"/>
  <c r="AD301" i="5"/>
  <c r="AE308" i="5"/>
  <c r="T316" i="5"/>
  <c r="AB323" i="5"/>
  <c r="AC330" i="5"/>
  <c r="AD337" i="5"/>
  <c r="AE344" i="5"/>
  <c r="T352" i="5"/>
  <c r="AB359" i="5"/>
  <c r="AC366" i="5"/>
  <c r="AD373" i="5"/>
  <c r="AE380" i="5"/>
  <c r="T388" i="5"/>
  <c r="AB395" i="5"/>
  <c r="AC402" i="5"/>
  <c r="AD409" i="5"/>
  <c r="AE416" i="5"/>
  <c r="T424" i="5"/>
  <c r="AB431" i="5"/>
  <c r="AC437" i="5"/>
  <c r="AC443" i="5"/>
  <c r="AC449" i="5"/>
  <c r="AC455" i="5"/>
  <c r="AC461" i="5"/>
  <c r="AC467" i="5"/>
  <c r="AC473" i="5"/>
  <c r="AC479" i="5"/>
  <c r="AC485" i="5"/>
  <c r="AC491" i="5"/>
  <c r="AC497" i="5"/>
  <c r="AE502" i="5"/>
  <c r="T507" i="5"/>
  <c r="T510" i="5"/>
  <c r="T513" i="5"/>
  <c r="T516" i="5"/>
  <c r="T519" i="5"/>
  <c r="T522" i="5"/>
  <c r="T525" i="5"/>
  <c r="T528" i="5"/>
  <c r="AC530" i="5"/>
  <c r="AE532" i="5"/>
  <c r="U535" i="5"/>
  <c r="AD537" i="5"/>
  <c r="T540" i="5"/>
  <c r="AC542" i="5"/>
  <c r="AE544" i="5"/>
  <c r="U547" i="5"/>
  <c r="U549" i="5"/>
  <c r="AD550" i="5"/>
  <c r="U552" i="5"/>
  <c r="AA553" i="5"/>
  <c r="AD554" i="5"/>
  <c r="U556" i="5"/>
  <c r="AA557" i="5"/>
  <c r="AD558" i="5"/>
  <c r="U560" i="5"/>
  <c r="AA561" i="5"/>
  <c r="AC562" i="5"/>
  <c r="AE563" i="5"/>
  <c r="T565" i="5"/>
  <c r="U566" i="5"/>
  <c r="V567" i="5"/>
  <c r="W568" i="5"/>
  <c r="X569" i="5"/>
  <c r="Z570" i="5"/>
  <c r="AA571" i="5"/>
  <c r="AB572" i="5"/>
  <c r="AC573" i="5"/>
  <c r="AD574" i="5"/>
  <c r="AE575" i="5"/>
  <c r="T577" i="5"/>
  <c r="U578" i="5"/>
  <c r="V579" i="5"/>
  <c r="W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W80" i="5"/>
  <c r="AA153" i="5"/>
  <c r="AA199" i="5"/>
  <c r="AD233" i="5"/>
  <c r="T251" i="5"/>
  <c r="AC270" i="5"/>
  <c r="AE286" i="5"/>
  <c r="AB306" i="5"/>
  <c r="T321" i="5"/>
  <c r="AC337" i="5"/>
  <c r="AE356" i="5"/>
  <c r="AB373" i="5"/>
  <c r="AD392" i="5"/>
  <c r="AC407" i="5"/>
  <c r="AE423" i="5"/>
  <c r="AC441" i="5"/>
  <c r="AA455" i="5"/>
  <c r="AB471" i="5"/>
  <c r="AD483" i="5"/>
  <c r="AB497" i="5"/>
  <c r="T509" i="5"/>
  <c r="AD515" i="5"/>
  <c r="AE523" i="5"/>
  <c r="AE529" i="5"/>
  <c r="T535" i="5"/>
  <c r="AD541" i="5"/>
  <c r="AE546" i="5"/>
  <c r="AB551" i="5"/>
  <c r="AA554" i="5"/>
  <c r="Z557" i="5"/>
  <c r="T561" i="5"/>
  <c r="AC563" i="5"/>
  <c r="AC566" i="5"/>
  <c r="U569" i="5"/>
  <c r="Z571" i="5"/>
  <c r="Z574" i="5"/>
  <c r="AD576" i="5"/>
  <c r="AD579" i="5"/>
  <c r="U582" i="5"/>
  <c r="W584" i="5"/>
  <c r="T587" i="5"/>
  <c r="V589" i="5"/>
  <c r="AE591" i="5"/>
  <c r="U594" i="5"/>
  <c r="W596" i="5"/>
  <c r="T599" i="5"/>
  <c r="V601" i="5"/>
  <c r="AE603" i="5"/>
  <c r="U606" i="5"/>
  <c r="W608" i="5"/>
  <c r="T611" i="5"/>
  <c r="V613" i="5"/>
  <c r="AE615" i="5"/>
  <c r="U618" i="5"/>
  <c r="W620" i="5"/>
  <c r="T623" i="5"/>
  <c r="V625" i="5"/>
  <c r="AE627" i="5"/>
  <c r="U630" i="5"/>
  <c r="W632" i="5"/>
  <c r="T635" i="5"/>
  <c r="V637" i="5"/>
  <c r="AE639" i="5"/>
  <c r="U642" i="5"/>
  <c r="W644" i="5"/>
  <c r="T647" i="5"/>
  <c r="V649" i="5"/>
  <c r="AE651" i="5"/>
  <c r="U654" i="5"/>
  <c r="W656" i="5"/>
  <c r="T659" i="5"/>
  <c r="V661" i="5"/>
  <c r="AE663" i="5"/>
  <c r="U666" i="5"/>
  <c r="W668" i="5"/>
  <c r="T671" i="5"/>
  <c r="V673" i="5"/>
  <c r="AE675" i="5"/>
  <c r="U678" i="5"/>
  <c r="W680" i="5"/>
  <c r="T683" i="5"/>
  <c r="V685" i="5"/>
  <c r="AE687" i="5"/>
  <c r="U690" i="5"/>
  <c r="W692" i="5"/>
  <c r="T695" i="5"/>
  <c r="V697" i="5"/>
  <c r="AE699" i="5"/>
  <c r="U702" i="5"/>
  <c r="W704" i="5"/>
  <c r="T707" i="5"/>
  <c r="V709" i="5"/>
  <c r="AE711" i="5"/>
  <c r="U714" i="5"/>
  <c r="W716" i="5"/>
  <c r="T719" i="5"/>
  <c r="V721" i="5"/>
  <c r="AE723" i="5"/>
  <c r="U726" i="5"/>
  <c r="W728" i="5"/>
  <c r="T731" i="5"/>
  <c r="V733" i="5"/>
  <c r="AE735" i="5"/>
  <c r="U738" i="5"/>
  <c r="W740" i="5"/>
  <c r="T743" i="5"/>
  <c r="V745" i="5"/>
  <c r="AE747" i="5"/>
  <c r="U750" i="5"/>
  <c r="W752" i="5"/>
  <c r="T755" i="5"/>
  <c r="V757" i="5"/>
  <c r="AE759" i="5"/>
  <c r="U762" i="5"/>
  <c r="W764" i="5"/>
  <c r="T767" i="5"/>
  <c r="V769" i="5"/>
  <c r="AE771" i="5"/>
  <c r="U774" i="5"/>
  <c r="W776" i="5"/>
  <c r="T779" i="5"/>
  <c r="V781" i="5"/>
  <c r="AE783" i="5"/>
  <c r="U786" i="5"/>
  <c r="W788" i="5"/>
  <c r="T791" i="5"/>
  <c r="V793" i="5"/>
  <c r="AE795" i="5"/>
  <c r="U798" i="5"/>
  <c r="W800" i="5"/>
  <c r="T803" i="5"/>
  <c r="V805" i="5"/>
  <c r="AE807" i="5"/>
  <c r="U810" i="5"/>
  <c r="W812" i="5"/>
  <c r="T815" i="5"/>
  <c r="V817" i="5"/>
  <c r="AE819" i="5"/>
  <c r="U822" i="5"/>
  <c r="U824" i="5"/>
  <c r="U826" i="5"/>
  <c r="U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W83" i="5"/>
  <c r="AB153" i="5"/>
  <c r="AB199" i="5"/>
  <c r="AC236" i="5"/>
  <c r="AE255" i="5"/>
  <c r="AD270" i="5"/>
  <c r="T287" i="5"/>
  <c r="AC306" i="5"/>
  <c r="AE322" i="5"/>
  <c r="AB342" i="5"/>
  <c r="T357" i="5"/>
  <c r="AC373" i="5"/>
  <c r="AE392" i="5"/>
  <c r="AB409" i="5"/>
  <c r="AD428" i="5"/>
  <c r="AD441" i="5"/>
  <c r="AB455" i="5"/>
  <c r="AC471" i="5"/>
  <c r="AA485" i="5"/>
  <c r="T501" i="5"/>
  <c r="U509" i="5"/>
  <c r="AE515" i="5"/>
  <c r="T524" i="5"/>
  <c r="T530" i="5"/>
  <c r="AD536" i="5"/>
  <c r="AE541" i="5"/>
  <c r="T547" i="5"/>
  <c r="AC551" i="5"/>
  <c r="AB554" i="5"/>
  <c r="W558" i="5"/>
  <c r="U561" i="5"/>
  <c r="AD563" i="5"/>
  <c r="AD566" i="5"/>
  <c r="V569" i="5"/>
  <c r="V572" i="5"/>
  <c r="AA574" i="5"/>
  <c r="AE576" i="5"/>
  <c r="AE579" i="5"/>
  <c r="V582" i="5"/>
  <c r="AE584" i="5"/>
  <c r="U587" i="5"/>
  <c r="W589" i="5"/>
  <c r="T592" i="5"/>
  <c r="V594" i="5"/>
  <c r="AE596" i="5"/>
  <c r="U599" i="5"/>
  <c r="W601" i="5"/>
  <c r="T604" i="5"/>
  <c r="V606" i="5"/>
  <c r="AE608" i="5"/>
  <c r="U611" i="5"/>
  <c r="W613" i="5"/>
  <c r="T616" i="5"/>
  <c r="V618" i="5"/>
  <c r="AE620" i="5"/>
  <c r="U623" i="5"/>
  <c r="W625" i="5"/>
  <c r="T628" i="5"/>
  <c r="V630" i="5"/>
  <c r="AE632" i="5"/>
  <c r="U635" i="5"/>
  <c r="W637" i="5"/>
  <c r="T640" i="5"/>
  <c r="V642" i="5"/>
  <c r="AE644" i="5"/>
  <c r="U647" i="5"/>
  <c r="W649" i="5"/>
  <c r="T652" i="5"/>
  <c r="V654" i="5"/>
  <c r="AE656" i="5"/>
  <c r="U659" i="5"/>
  <c r="W661" i="5"/>
  <c r="T664" i="5"/>
  <c r="V666" i="5"/>
  <c r="AE668" i="5"/>
  <c r="U671" i="5"/>
  <c r="W673" i="5"/>
  <c r="T676" i="5"/>
  <c r="V678" i="5"/>
  <c r="AE680" i="5"/>
  <c r="U683" i="5"/>
  <c r="W685" i="5"/>
  <c r="T688" i="5"/>
  <c r="V690" i="5"/>
  <c r="AE692" i="5"/>
  <c r="U695" i="5"/>
  <c r="W697" i="5"/>
  <c r="T700" i="5"/>
  <c r="V702" i="5"/>
  <c r="AE704" i="5"/>
  <c r="U707" i="5"/>
  <c r="W709" i="5"/>
  <c r="T712" i="5"/>
  <c r="V714" i="5"/>
  <c r="AE716" i="5"/>
  <c r="U719" i="5"/>
  <c r="W721" i="5"/>
  <c r="T724" i="5"/>
  <c r="V726" i="5"/>
  <c r="AE728" i="5"/>
  <c r="U731" i="5"/>
  <c r="W733" i="5"/>
  <c r="T736" i="5"/>
  <c r="V738" i="5"/>
  <c r="AE740" i="5"/>
  <c r="U743" i="5"/>
  <c r="W745" i="5"/>
  <c r="T748" i="5"/>
  <c r="V750" i="5"/>
  <c r="AE752" i="5"/>
  <c r="U755" i="5"/>
  <c r="W757" i="5"/>
  <c r="T760" i="5"/>
  <c r="V762" i="5"/>
  <c r="AE764" i="5"/>
  <c r="U767" i="5"/>
  <c r="W769" i="5"/>
  <c r="T772" i="5"/>
  <c r="V774" i="5"/>
  <c r="AE776" i="5"/>
  <c r="U779" i="5"/>
  <c r="W781" i="5"/>
  <c r="T784" i="5"/>
  <c r="V786" i="5"/>
  <c r="AE788" i="5"/>
  <c r="U791" i="5"/>
  <c r="W793" i="5"/>
  <c r="T796" i="5"/>
  <c r="V798" i="5"/>
  <c r="AE800" i="5"/>
  <c r="U803" i="5"/>
  <c r="W805" i="5"/>
  <c r="T808" i="5"/>
  <c r="V810" i="5"/>
  <c r="AE812" i="5"/>
  <c r="U815" i="5"/>
  <c r="W817" i="5"/>
  <c r="T820" i="5"/>
  <c r="V822" i="5"/>
  <c r="V824" i="5"/>
  <c r="V826" i="5"/>
  <c r="V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V92" i="5"/>
  <c r="AA165" i="5"/>
  <c r="Z201" i="5"/>
  <c r="AD236" i="5"/>
  <c r="T256" i="5"/>
  <c r="AC272" i="5"/>
  <c r="AE291" i="5"/>
  <c r="AD306" i="5"/>
  <c r="T323" i="5"/>
  <c r="AC342" i="5"/>
  <c r="AE358" i="5"/>
  <c r="AB378" i="5"/>
  <c r="T393" i="5"/>
  <c r="AC409" i="5"/>
  <c r="AE428" i="5"/>
  <c r="AA443" i="5"/>
  <c r="AB459" i="5"/>
  <c r="AD471" i="5"/>
  <c r="AB485" i="5"/>
  <c r="Z501" i="5"/>
  <c r="AD509" i="5"/>
  <c r="AE517" i="5"/>
  <c r="U524" i="5"/>
  <c r="U530" i="5"/>
  <c r="AE536" i="5"/>
  <c r="T542" i="5"/>
  <c r="AA548" i="5"/>
  <c r="AD551" i="5"/>
  <c r="AC554" i="5"/>
  <c r="Z558" i="5"/>
  <c r="W561" i="5"/>
  <c r="AA564" i="5"/>
  <c r="AE566" i="5"/>
  <c r="W569" i="5"/>
  <c r="W572" i="5"/>
  <c r="AB574" i="5"/>
  <c r="AB577" i="5"/>
  <c r="T580" i="5"/>
  <c r="W582" i="5"/>
  <c r="T585" i="5"/>
  <c r="V587" i="5"/>
  <c r="AE589" i="5"/>
  <c r="U592" i="5"/>
  <c r="W594" i="5"/>
  <c r="T597" i="5"/>
  <c r="V599" i="5"/>
  <c r="AE601" i="5"/>
  <c r="U604" i="5"/>
  <c r="W606" i="5"/>
  <c r="T609" i="5"/>
  <c r="V611" i="5"/>
  <c r="AE613" i="5"/>
  <c r="U616" i="5"/>
  <c r="W618" i="5"/>
  <c r="T621" i="5"/>
  <c r="V623" i="5"/>
  <c r="AE625" i="5"/>
  <c r="U628" i="5"/>
  <c r="W630" i="5"/>
  <c r="T633" i="5"/>
  <c r="V635" i="5"/>
  <c r="AE637" i="5"/>
  <c r="U640" i="5"/>
  <c r="W642" i="5"/>
  <c r="T645" i="5"/>
  <c r="V647" i="5"/>
  <c r="AE649" i="5"/>
  <c r="U652" i="5"/>
  <c r="W654" i="5"/>
  <c r="T657" i="5"/>
  <c r="V659" i="5"/>
  <c r="AE661" i="5"/>
  <c r="U664" i="5"/>
  <c r="W666" i="5"/>
  <c r="T669" i="5"/>
  <c r="V671" i="5"/>
  <c r="AE673" i="5"/>
  <c r="U676" i="5"/>
  <c r="W678" i="5"/>
  <c r="T681" i="5"/>
  <c r="V683" i="5"/>
  <c r="AE685" i="5"/>
  <c r="U688" i="5"/>
  <c r="W690" i="5"/>
  <c r="T693" i="5"/>
  <c r="V695" i="5"/>
  <c r="AE697" i="5"/>
  <c r="U700" i="5"/>
  <c r="W702" i="5"/>
  <c r="T705" i="5"/>
  <c r="V707" i="5"/>
  <c r="AE709" i="5"/>
  <c r="U712" i="5"/>
  <c r="W714" i="5"/>
  <c r="T717" i="5"/>
  <c r="V719" i="5"/>
  <c r="AE721" i="5"/>
  <c r="U724" i="5"/>
  <c r="W726" i="5"/>
  <c r="T729" i="5"/>
  <c r="V731" i="5"/>
  <c r="AE733" i="5"/>
  <c r="U736" i="5"/>
  <c r="W738" i="5"/>
  <c r="T741" i="5"/>
  <c r="V743" i="5"/>
  <c r="AE745" i="5"/>
  <c r="U748" i="5"/>
  <c r="W750" i="5"/>
  <c r="T753" i="5"/>
  <c r="V755" i="5"/>
  <c r="AE757" i="5"/>
  <c r="U760" i="5"/>
  <c r="W762" i="5"/>
  <c r="T765" i="5"/>
  <c r="V767" i="5"/>
  <c r="AE769" i="5"/>
  <c r="U772" i="5"/>
  <c r="W774" i="5"/>
  <c r="T777" i="5"/>
  <c r="V779" i="5"/>
  <c r="AE781" i="5"/>
  <c r="U784" i="5"/>
  <c r="W786" i="5"/>
  <c r="T789" i="5"/>
  <c r="V791" i="5"/>
  <c r="AE793" i="5"/>
  <c r="U796" i="5"/>
  <c r="W798" i="5"/>
  <c r="T801" i="5"/>
  <c r="V803" i="5"/>
  <c r="AE805" i="5"/>
  <c r="U808" i="5"/>
  <c r="W810" i="5"/>
  <c r="T813" i="5"/>
  <c r="V815" i="5"/>
  <c r="AE817" i="5"/>
  <c r="U820" i="5"/>
  <c r="W822" i="5"/>
  <c r="W824" i="5"/>
  <c r="W826" i="5"/>
  <c r="W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V95" i="5"/>
  <c r="AB165" i="5"/>
  <c r="AA204" i="5"/>
  <c r="AC241" i="5"/>
  <c r="AB256" i="5"/>
  <c r="AD272" i="5"/>
  <c r="T292" i="5"/>
  <c r="AC308" i="5"/>
  <c r="AE327" i="5"/>
  <c r="AD342" i="5"/>
  <c r="T359" i="5"/>
  <c r="AC378" i="5"/>
  <c r="AE394" i="5"/>
  <c r="AB414" i="5"/>
  <c r="T429" i="5"/>
  <c r="AB443" i="5"/>
  <c r="AC459" i="5"/>
  <c r="AA473" i="5"/>
  <c r="AB489" i="5"/>
  <c r="AA501" i="5"/>
  <c r="AE509" i="5"/>
  <c r="T518" i="5"/>
  <c r="AD524" i="5"/>
  <c r="AE531" i="5"/>
  <c r="T537" i="5"/>
  <c r="U542" i="5"/>
  <c r="AC548" i="5"/>
  <c r="AE551" i="5"/>
  <c r="AB555" i="5"/>
  <c r="AA558" i="5"/>
  <c r="Z561" i="5"/>
  <c r="AB564" i="5"/>
  <c r="T567" i="5"/>
  <c r="T570" i="5"/>
  <c r="X572" i="5"/>
  <c r="AC574" i="5"/>
  <c r="AC577" i="5"/>
  <c r="U580" i="5"/>
  <c r="AE582" i="5"/>
  <c r="U585" i="5"/>
  <c r="W587" i="5"/>
  <c r="T590" i="5"/>
  <c r="V592" i="5"/>
  <c r="AE594" i="5"/>
  <c r="U597" i="5"/>
  <c r="W599" i="5"/>
  <c r="T602" i="5"/>
  <c r="V604" i="5"/>
  <c r="AE606" i="5"/>
  <c r="U609" i="5"/>
  <c r="W611" i="5"/>
  <c r="T614" i="5"/>
  <c r="V616" i="5"/>
  <c r="AE618" i="5"/>
  <c r="U621" i="5"/>
  <c r="W623" i="5"/>
  <c r="T626" i="5"/>
  <c r="V628" i="5"/>
  <c r="AE630" i="5"/>
  <c r="U633" i="5"/>
  <c r="W635" i="5"/>
  <c r="T638" i="5"/>
  <c r="V640" i="5"/>
  <c r="AE642" i="5"/>
  <c r="U645" i="5"/>
  <c r="W647" i="5"/>
  <c r="T650" i="5"/>
  <c r="V652" i="5"/>
  <c r="AE654" i="5"/>
  <c r="U657" i="5"/>
  <c r="W659" i="5"/>
  <c r="T662" i="5"/>
  <c r="V664" i="5"/>
  <c r="AE666" i="5"/>
  <c r="U669" i="5"/>
  <c r="W671" i="5"/>
  <c r="T674" i="5"/>
  <c r="V676" i="5"/>
  <c r="AE678" i="5"/>
  <c r="U681" i="5"/>
  <c r="W683" i="5"/>
  <c r="T686" i="5"/>
  <c r="V688" i="5"/>
  <c r="AE690" i="5"/>
  <c r="U693" i="5"/>
  <c r="W695" i="5"/>
  <c r="T698" i="5"/>
  <c r="V700" i="5"/>
  <c r="AE702" i="5"/>
  <c r="U705" i="5"/>
  <c r="W707" i="5"/>
  <c r="T710" i="5"/>
  <c r="V712" i="5"/>
  <c r="AE714" i="5"/>
  <c r="U717" i="5"/>
  <c r="W719" i="5"/>
  <c r="T722" i="5"/>
  <c r="V724" i="5"/>
  <c r="AE726" i="5"/>
  <c r="U729" i="5"/>
  <c r="W731" i="5"/>
  <c r="T734" i="5"/>
  <c r="V736" i="5"/>
  <c r="AE738" i="5"/>
  <c r="U741" i="5"/>
  <c r="W743" i="5"/>
  <c r="T746" i="5"/>
  <c r="V748" i="5"/>
  <c r="AE750" i="5"/>
  <c r="U753" i="5"/>
  <c r="W755" i="5"/>
  <c r="T758" i="5"/>
  <c r="V760" i="5"/>
  <c r="AE762" i="5"/>
  <c r="U765" i="5"/>
  <c r="W767" i="5"/>
  <c r="T770" i="5"/>
  <c r="V772" i="5"/>
  <c r="AE774" i="5"/>
  <c r="U777" i="5"/>
  <c r="W779" i="5"/>
  <c r="T782" i="5"/>
  <c r="V784" i="5"/>
  <c r="AE786" i="5"/>
  <c r="U789" i="5"/>
  <c r="W791" i="5"/>
  <c r="T794" i="5"/>
  <c r="V796" i="5"/>
  <c r="AE798" i="5"/>
  <c r="U801" i="5"/>
  <c r="W803" i="5"/>
  <c r="T806" i="5"/>
  <c r="V808" i="5"/>
  <c r="AE810" i="5"/>
  <c r="U813" i="5"/>
  <c r="W815" i="5"/>
  <c r="T818" i="5"/>
  <c r="V820" i="5"/>
  <c r="AB822" i="5"/>
  <c r="AB824" i="5"/>
  <c r="AB826" i="5"/>
  <c r="AB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U121" i="5"/>
  <c r="AC165" i="5"/>
  <c r="Y206" i="5"/>
  <c r="AD241" i="5"/>
  <c r="T258" i="5"/>
  <c r="AC277" i="5"/>
  <c r="AB292" i="5"/>
  <c r="AD308" i="5"/>
  <c r="T328" i="5"/>
  <c r="AC344" i="5"/>
  <c r="AE363" i="5"/>
  <c r="AD378" i="5"/>
  <c r="T395" i="5"/>
  <c r="AC414" i="5"/>
  <c r="AE430" i="5"/>
  <c r="AB447" i="5"/>
  <c r="AD459" i="5"/>
  <c r="AB473" i="5"/>
  <c r="AC489" i="5"/>
  <c r="AC502" i="5"/>
  <c r="AE511" i="5"/>
  <c r="U518" i="5"/>
  <c r="AE524" i="5"/>
  <c r="T532" i="5"/>
  <c r="U537" i="5"/>
  <c r="AE543" i="5"/>
  <c r="AD548" i="5"/>
  <c r="T552" i="5"/>
  <c r="AC555" i="5"/>
  <c r="AB558" i="5"/>
  <c r="V562" i="5"/>
  <c r="AC564" i="5"/>
  <c r="U567" i="5"/>
  <c r="U570" i="5"/>
  <c r="Z572" i="5"/>
  <c r="Z575" i="5"/>
  <c r="AD577" i="5"/>
  <c r="V580" i="5"/>
  <c r="T583" i="5"/>
  <c r="V585" i="5"/>
  <c r="AE587" i="5"/>
  <c r="U590" i="5"/>
  <c r="W592" i="5"/>
  <c r="T595" i="5"/>
  <c r="V597" i="5"/>
  <c r="AE599" i="5"/>
  <c r="U602" i="5"/>
  <c r="W604" i="5"/>
  <c r="T607" i="5"/>
  <c r="V609" i="5"/>
  <c r="AE611" i="5"/>
  <c r="U614" i="5"/>
  <c r="W616" i="5"/>
  <c r="T619" i="5"/>
  <c r="V621" i="5"/>
  <c r="AE623" i="5"/>
  <c r="U626" i="5"/>
  <c r="W628" i="5"/>
  <c r="T631" i="5"/>
  <c r="V633" i="5"/>
  <c r="AE635" i="5"/>
  <c r="U638" i="5"/>
  <c r="W640" i="5"/>
  <c r="T643" i="5"/>
  <c r="V645" i="5"/>
  <c r="AE647" i="5"/>
  <c r="U650" i="5"/>
  <c r="W652" i="5"/>
  <c r="T655" i="5"/>
  <c r="V657" i="5"/>
  <c r="AE659" i="5"/>
  <c r="U662" i="5"/>
  <c r="W664" i="5"/>
  <c r="T667" i="5"/>
  <c r="V669" i="5"/>
  <c r="AE671" i="5"/>
  <c r="U674" i="5"/>
  <c r="W676" i="5"/>
  <c r="T679" i="5"/>
  <c r="V681" i="5"/>
  <c r="AE683" i="5"/>
  <c r="U686" i="5"/>
  <c r="W688" i="5"/>
  <c r="T691" i="5"/>
  <c r="V693" i="5"/>
  <c r="AE695" i="5"/>
  <c r="U698" i="5"/>
  <c r="W700" i="5"/>
  <c r="T703" i="5"/>
  <c r="V705" i="5"/>
  <c r="AE707" i="5"/>
  <c r="U710" i="5"/>
  <c r="W712" i="5"/>
  <c r="T715" i="5"/>
  <c r="V717" i="5"/>
  <c r="AE719" i="5"/>
  <c r="U722" i="5"/>
  <c r="W724" i="5"/>
  <c r="T727" i="5"/>
  <c r="V729" i="5"/>
  <c r="AE731" i="5"/>
  <c r="U734" i="5"/>
  <c r="W736" i="5"/>
  <c r="T739" i="5"/>
  <c r="V741" i="5"/>
  <c r="AE743" i="5"/>
  <c r="U746" i="5"/>
  <c r="W748" i="5"/>
  <c r="T751" i="5"/>
  <c r="V753" i="5"/>
  <c r="AE755" i="5"/>
  <c r="U758" i="5"/>
  <c r="W760" i="5"/>
  <c r="T763" i="5"/>
  <c r="V765" i="5"/>
  <c r="AE767" i="5"/>
  <c r="U770" i="5"/>
  <c r="W772" i="5"/>
  <c r="T775" i="5"/>
  <c r="V777" i="5"/>
  <c r="AE779" i="5"/>
  <c r="U782" i="5"/>
  <c r="W784" i="5"/>
  <c r="T787" i="5"/>
  <c r="V789" i="5"/>
  <c r="AE791" i="5"/>
  <c r="U794" i="5"/>
  <c r="W796" i="5"/>
  <c r="T799" i="5"/>
  <c r="V801" i="5"/>
  <c r="AE803" i="5"/>
  <c r="U806" i="5"/>
  <c r="W808" i="5"/>
  <c r="T811" i="5"/>
  <c r="V813" i="5"/>
  <c r="AE815" i="5"/>
  <c r="U818" i="5"/>
  <c r="W820" i="5"/>
  <c r="AE822" i="5"/>
  <c r="AE824" i="5"/>
  <c r="AE826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U124" i="5"/>
  <c r="AA170" i="5"/>
  <c r="AA216" i="5"/>
  <c r="AE241" i="5"/>
  <c r="AB258" i="5"/>
  <c r="AD277" i="5"/>
  <c r="T294" i="5"/>
  <c r="AC313" i="5"/>
  <c r="AB328" i="5"/>
  <c r="AD344" i="5"/>
  <c r="T364" i="5"/>
  <c r="AC380" i="5"/>
  <c r="AE399" i="5"/>
  <c r="AD414" i="5"/>
  <c r="T431" i="5"/>
  <c r="AC447" i="5"/>
  <c r="AA461" i="5"/>
  <c r="AB477" i="5"/>
  <c r="AD489" i="5"/>
  <c r="AD502" i="5"/>
  <c r="T512" i="5"/>
  <c r="AD518" i="5"/>
  <c r="AE526" i="5"/>
  <c r="U532" i="5"/>
  <c r="AC537" i="5"/>
  <c r="T544" i="5"/>
  <c r="AE548" i="5"/>
  <c r="AE552" i="5"/>
  <c r="AD555" i="5"/>
  <c r="AC558" i="5"/>
  <c r="W562" i="5"/>
  <c r="AD564" i="5"/>
  <c r="AD567" i="5"/>
  <c r="V570" i="5"/>
  <c r="AA572" i="5"/>
  <c r="AA575" i="5"/>
  <c r="AE577" i="5"/>
  <c r="AE580" i="5"/>
  <c r="U583" i="5"/>
  <c r="W585" i="5"/>
  <c r="T588" i="5"/>
  <c r="V590" i="5"/>
  <c r="AE592" i="5"/>
  <c r="U595" i="5"/>
  <c r="W597" i="5"/>
  <c r="T600" i="5"/>
  <c r="V602" i="5"/>
  <c r="AE604" i="5"/>
  <c r="U607" i="5"/>
  <c r="W609" i="5"/>
  <c r="T612" i="5"/>
  <c r="V614" i="5"/>
  <c r="AE616" i="5"/>
  <c r="U619" i="5"/>
  <c r="W621" i="5"/>
  <c r="T624" i="5"/>
  <c r="V626" i="5"/>
  <c r="AE628" i="5"/>
  <c r="U631" i="5"/>
  <c r="W633" i="5"/>
  <c r="T636" i="5"/>
  <c r="V638" i="5"/>
  <c r="AE640" i="5"/>
  <c r="U643" i="5"/>
  <c r="W645" i="5"/>
  <c r="T648" i="5"/>
  <c r="V650" i="5"/>
  <c r="AE652" i="5"/>
  <c r="U655" i="5"/>
  <c r="W657" i="5"/>
  <c r="T660" i="5"/>
  <c r="V662" i="5"/>
  <c r="AE664" i="5"/>
  <c r="U667" i="5"/>
  <c r="W669" i="5"/>
  <c r="T672" i="5"/>
  <c r="V674" i="5"/>
  <c r="AE676" i="5"/>
  <c r="U679" i="5"/>
  <c r="W681" i="5"/>
  <c r="T684" i="5"/>
  <c r="V686" i="5"/>
  <c r="AE688" i="5"/>
  <c r="U691" i="5"/>
  <c r="W693" i="5"/>
  <c r="T696" i="5"/>
  <c r="V698" i="5"/>
  <c r="AE700" i="5"/>
  <c r="U703" i="5"/>
  <c r="W705" i="5"/>
  <c r="T708" i="5"/>
  <c r="V710" i="5"/>
  <c r="AE712" i="5"/>
  <c r="U715" i="5"/>
  <c r="W717" i="5"/>
  <c r="T720" i="5"/>
  <c r="V722" i="5"/>
  <c r="AE724" i="5"/>
  <c r="U727" i="5"/>
  <c r="W729" i="5"/>
  <c r="T732" i="5"/>
  <c r="V734" i="5"/>
  <c r="AE736" i="5"/>
  <c r="U739" i="5"/>
  <c r="W741" i="5"/>
  <c r="T744" i="5"/>
  <c r="V746" i="5"/>
  <c r="AE748" i="5"/>
  <c r="U751" i="5"/>
  <c r="W753" i="5"/>
  <c r="T756" i="5"/>
  <c r="V758" i="5"/>
  <c r="AE760" i="5"/>
  <c r="U763" i="5"/>
  <c r="W765" i="5"/>
  <c r="T768" i="5"/>
  <c r="V770" i="5"/>
  <c r="AE772" i="5"/>
  <c r="U775" i="5"/>
  <c r="W777" i="5"/>
  <c r="T780" i="5"/>
  <c r="V782" i="5"/>
  <c r="AE784" i="5"/>
  <c r="U787" i="5"/>
  <c r="W789" i="5"/>
  <c r="T792" i="5"/>
  <c r="V794" i="5"/>
  <c r="AE796" i="5"/>
  <c r="U799" i="5"/>
  <c r="W801" i="5"/>
  <c r="T804" i="5"/>
  <c r="V806" i="5"/>
  <c r="AE808" i="5"/>
  <c r="U811" i="5"/>
  <c r="W813" i="5"/>
  <c r="T816" i="5"/>
  <c r="V818" i="5"/>
  <c r="AE820" i="5"/>
  <c r="T823" i="5"/>
  <c r="T825" i="5"/>
  <c r="T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W39" i="5"/>
  <c r="V124" i="5"/>
  <c r="AB170" i="5"/>
  <c r="Y218" i="5"/>
  <c r="AD243" i="5"/>
  <c r="T263" i="5"/>
  <c r="AE277" i="5"/>
  <c r="AB294" i="5"/>
  <c r="AD313" i="5"/>
  <c r="T330" i="5"/>
  <c r="AC349" i="5"/>
  <c r="AB364" i="5"/>
  <c r="AD380" i="5"/>
  <c r="T400" i="5"/>
  <c r="AC416" i="5"/>
  <c r="AB435" i="5"/>
  <c r="AD447" i="5"/>
  <c r="AB461" i="5"/>
  <c r="AC477" i="5"/>
  <c r="AA491" i="5"/>
  <c r="AE505" i="5"/>
  <c r="U512" i="5"/>
  <c r="AE518" i="5"/>
  <c r="T527" i="5"/>
  <c r="AC532" i="5"/>
  <c r="T539" i="5"/>
  <c r="U544" i="5"/>
  <c r="T549" i="5"/>
  <c r="T553" i="5"/>
  <c r="AE555" i="5"/>
  <c r="AB559" i="5"/>
  <c r="Z562" i="5"/>
  <c r="AE564" i="5"/>
  <c r="AE567" i="5"/>
  <c r="W570" i="5"/>
  <c r="W573" i="5"/>
  <c r="AB575" i="5"/>
  <c r="T578" i="5"/>
  <c r="T581" i="5"/>
  <c r="V583" i="5"/>
  <c r="AE585" i="5"/>
  <c r="U588" i="5"/>
  <c r="W590" i="5"/>
  <c r="T593" i="5"/>
  <c r="V595" i="5"/>
  <c r="AE597" i="5"/>
  <c r="U600" i="5"/>
  <c r="W602" i="5"/>
  <c r="T605" i="5"/>
  <c r="V607" i="5"/>
  <c r="AE609" i="5"/>
  <c r="U612" i="5"/>
  <c r="W614" i="5"/>
  <c r="T617" i="5"/>
  <c r="V619" i="5"/>
  <c r="AE621" i="5"/>
  <c r="U624" i="5"/>
  <c r="W626" i="5"/>
  <c r="T629" i="5"/>
  <c r="V631" i="5"/>
  <c r="AE633" i="5"/>
  <c r="U636" i="5"/>
  <c r="W638" i="5"/>
  <c r="T641" i="5"/>
  <c r="V643" i="5"/>
  <c r="AE645" i="5"/>
  <c r="U648" i="5"/>
  <c r="W650" i="5"/>
  <c r="T653" i="5"/>
  <c r="V655" i="5"/>
  <c r="AE657" i="5"/>
  <c r="U660" i="5"/>
  <c r="W662" i="5"/>
  <c r="T665" i="5"/>
  <c r="V667" i="5"/>
  <c r="AE669" i="5"/>
  <c r="U672" i="5"/>
  <c r="W674" i="5"/>
  <c r="T677" i="5"/>
  <c r="V679" i="5"/>
  <c r="AE681" i="5"/>
  <c r="U684" i="5"/>
  <c r="W686" i="5"/>
  <c r="T689" i="5"/>
  <c r="V691" i="5"/>
  <c r="AE693" i="5"/>
  <c r="U696" i="5"/>
  <c r="W698" i="5"/>
  <c r="T701" i="5"/>
  <c r="V703" i="5"/>
  <c r="AE705" i="5"/>
  <c r="U708" i="5"/>
  <c r="W710" i="5"/>
  <c r="T713" i="5"/>
  <c r="V715" i="5"/>
  <c r="AE717" i="5"/>
  <c r="U720" i="5"/>
  <c r="W722" i="5"/>
  <c r="T725" i="5"/>
  <c r="V727" i="5"/>
  <c r="AE729" i="5"/>
  <c r="U732" i="5"/>
  <c r="W734" i="5"/>
  <c r="T737" i="5"/>
  <c r="V739" i="5"/>
  <c r="AE741" i="5"/>
  <c r="U744" i="5"/>
  <c r="W746" i="5"/>
  <c r="T749" i="5"/>
  <c r="V751" i="5"/>
  <c r="AE753" i="5"/>
  <c r="U756" i="5"/>
  <c r="W758" i="5"/>
  <c r="T761" i="5"/>
  <c r="V763" i="5"/>
  <c r="AE765" i="5"/>
  <c r="U768" i="5"/>
  <c r="W770" i="5"/>
  <c r="T773" i="5"/>
  <c r="V775" i="5"/>
  <c r="AE777" i="5"/>
  <c r="U780" i="5"/>
  <c r="W782" i="5"/>
  <c r="T785" i="5"/>
  <c r="V787" i="5"/>
  <c r="AE789" i="5"/>
  <c r="U792" i="5"/>
  <c r="W794" i="5"/>
  <c r="T797" i="5"/>
  <c r="V799" i="5"/>
  <c r="AE801" i="5"/>
  <c r="U804" i="5"/>
  <c r="W806" i="5"/>
  <c r="T809" i="5"/>
  <c r="V811" i="5"/>
  <c r="AE813" i="5"/>
  <c r="U816" i="5"/>
  <c r="W818" i="5"/>
  <c r="T821" i="5"/>
  <c r="U823" i="5"/>
  <c r="U825" i="5"/>
  <c r="U827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V80" i="5"/>
  <c r="AC148" i="5"/>
  <c r="AB187" i="5"/>
  <c r="AC233" i="5"/>
  <c r="AE250" i="5"/>
  <c r="AB270" i="5"/>
  <c r="T285" i="5"/>
  <c r="AC301" i="5"/>
  <c r="AE320" i="5"/>
  <c r="AB337" i="5"/>
  <c r="AD356" i="5"/>
  <c r="AC371" i="5"/>
  <c r="AE387" i="5"/>
  <c r="AB407" i="5"/>
  <c r="AD423" i="5"/>
  <c r="AB441" i="5"/>
  <c r="AD453" i="5"/>
  <c r="AB467" i="5"/>
  <c r="AC483" i="5"/>
  <c r="AA497" i="5"/>
  <c r="AE508" i="5"/>
  <c r="U515" i="5"/>
  <c r="AE521" i="5"/>
  <c r="AD529" i="5"/>
  <c r="AE534" i="5"/>
  <c r="AC541" i="5"/>
  <c r="AD546" i="5"/>
  <c r="AC550" i="5"/>
  <c r="Z554" i="5"/>
  <c r="W557" i="5"/>
  <c r="AE560" i="5"/>
  <c r="AB563" i="5"/>
  <c r="T566" i="5"/>
  <c r="T569" i="5"/>
  <c r="X571" i="5"/>
  <c r="X574" i="5"/>
  <c r="AC576" i="5"/>
  <c r="U579" i="5"/>
  <c r="T582" i="5"/>
  <c r="V584" i="5"/>
  <c r="AE586" i="5"/>
  <c r="U589" i="5"/>
  <c r="W591" i="5"/>
  <c r="T594" i="5"/>
  <c r="V596" i="5"/>
  <c r="AE598" i="5"/>
  <c r="U601" i="5"/>
  <c r="W603" i="5"/>
  <c r="T606" i="5"/>
  <c r="V608" i="5"/>
  <c r="AE610" i="5"/>
  <c r="U613" i="5"/>
  <c r="W615" i="5"/>
  <c r="T618" i="5"/>
  <c r="V620" i="5"/>
  <c r="AE622" i="5"/>
  <c r="U625" i="5"/>
  <c r="W627" i="5"/>
  <c r="T630" i="5"/>
  <c r="V632" i="5"/>
  <c r="AE634" i="5"/>
  <c r="U637" i="5"/>
  <c r="W639" i="5"/>
  <c r="T642" i="5"/>
  <c r="V644" i="5"/>
  <c r="AE646" i="5"/>
  <c r="U649" i="5"/>
  <c r="W651" i="5"/>
  <c r="T654" i="5"/>
  <c r="V656" i="5"/>
  <c r="AE658" i="5"/>
  <c r="U661" i="5"/>
  <c r="W663" i="5"/>
  <c r="T666" i="5"/>
  <c r="V668" i="5"/>
  <c r="AE670" i="5"/>
  <c r="U673" i="5"/>
  <c r="W675" i="5"/>
  <c r="T678" i="5"/>
  <c r="V680" i="5"/>
  <c r="AE682" i="5"/>
  <c r="U685" i="5"/>
  <c r="W687" i="5"/>
  <c r="T690" i="5"/>
  <c r="V692" i="5"/>
  <c r="AE694" i="5"/>
  <c r="U697" i="5"/>
  <c r="W699" i="5"/>
  <c r="T702" i="5"/>
  <c r="V704" i="5"/>
  <c r="AE706" i="5"/>
  <c r="U709" i="5"/>
  <c r="W711" i="5"/>
  <c r="T714" i="5"/>
  <c r="V716" i="5"/>
  <c r="AE718" i="5"/>
  <c r="U721" i="5"/>
  <c r="W723" i="5"/>
  <c r="T726" i="5"/>
  <c r="V728" i="5"/>
  <c r="AE730" i="5"/>
  <c r="U733" i="5"/>
  <c r="W735" i="5"/>
  <c r="T738" i="5"/>
  <c r="V740" i="5"/>
  <c r="AE742" i="5"/>
  <c r="U745" i="5"/>
  <c r="W747" i="5"/>
  <c r="T750" i="5"/>
  <c r="V752" i="5"/>
  <c r="AE754" i="5"/>
  <c r="U757" i="5"/>
  <c r="W759" i="5"/>
  <c r="T762" i="5"/>
  <c r="V764" i="5"/>
  <c r="AE766" i="5"/>
  <c r="U769" i="5"/>
  <c r="W771" i="5"/>
  <c r="T774" i="5"/>
  <c r="V776" i="5"/>
  <c r="AE778" i="5"/>
  <c r="U781" i="5"/>
  <c r="W783" i="5"/>
  <c r="T786" i="5"/>
  <c r="V788" i="5"/>
  <c r="AE790" i="5"/>
  <c r="U793" i="5"/>
  <c r="W795" i="5"/>
  <c r="T798" i="5"/>
  <c r="V800" i="5"/>
  <c r="AE802" i="5"/>
  <c r="U805" i="5"/>
  <c r="W807" i="5"/>
  <c r="T810" i="5"/>
  <c r="V812" i="5"/>
  <c r="AE814" i="5"/>
  <c r="U817" i="5"/>
  <c r="W819" i="5"/>
  <c r="T822" i="5"/>
  <c r="T824" i="5"/>
  <c r="T826" i="5"/>
  <c r="T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AB182" i="5"/>
  <c r="AC263" i="5"/>
  <c r="AD315" i="5"/>
  <c r="AB366" i="5"/>
  <c r="AC421" i="5"/>
  <c r="AC465" i="5"/>
  <c r="U506" i="5"/>
  <c r="AD527" i="5"/>
  <c r="AD544" i="5"/>
  <c r="AE556" i="5"/>
  <c r="AC565" i="5"/>
  <c r="Z573" i="5"/>
  <c r="V581" i="5"/>
  <c r="W588" i="5"/>
  <c r="AE595" i="5"/>
  <c r="T603" i="5"/>
  <c r="U610" i="5"/>
  <c r="V617" i="5"/>
  <c r="W624" i="5"/>
  <c r="AE631" i="5"/>
  <c r="T639" i="5"/>
  <c r="U646" i="5"/>
  <c r="V653" i="5"/>
  <c r="W660" i="5"/>
  <c r="AE667" i="5"/>
  <c r="T675" i="5"/>
  <c r="U682" i="5"/>
  <c r="V689" i="5"/>
  <c r="W696" i="5"/>
  <c r="AE703" i="5"/>
  <c r="T711" i="5"/>
  <c r="U718" i="5"/>
  <c r="V725" i="5"/>
  <c r="W732" i="5"/>
  <c r="AE739" i="5"/>
  <c r="T747" i="5"/>
  <c r="U754" i="5"/>
  <c r="V761" i="5"/>
  <c r="W768" i="5"/>
  <c r="AE775" i="5"/>
  <c r="T783" i="5"/>
  <c r="U790" i="5"/>
  <c r="V797" i="5"/>
  <c r="W804" i="5"/>
  <c r="AE811" i="5"/>
  <c r="T819" i="5"/>
  <c r="W825" i="5"/>
  <c r="V830" i="5"/>
  <c r="V833" i="5"/>
  <c r="V836" i="5"/>
  <c r="V839" i="5"/>
  <c r="V842" i="5"/>
  <c r="V845" i="5"/>
  <c r="V848" i="5"/>
  <c r="T851" i="5"/>
  <c r="V853" i="5"/>
  <c r="X855" i="5"/>
  <c r="U858" i="5"/>
  <c r="W860" i="5"/>
  <c r="T863" i="5"/>
  <c r="V865" i="5"/>
  <c r="X867" i="5"/>
  <c r="U870" i="5"/>
  <c r="W872" i="5"/>
  <c r="T875" i="5"/>
  <c r="V877" i="5"/>
  <c r="X879" i="5"/>
  <c r="U882" i="5"/>
  <c r="W884" i="5"/>
  <c r="T887" i="5"/>
  <c r="V889" i="5"/>
  <c r="X891" i="5"/>
  <c r="U894" i="5"/>
  <c r="W896" i="5"/>
  <c r="T899" i="5"/>
  <c r="V901" i="5"/>
  <c r="X903" i="5"/>
  <c r="U906" i="5"/>
  <c r="W908" i="5"/>
  <c r="T911" i="5"/>
  <c r="V913" i="5"/>
  <c r="X915" i="5"/>
  <c r="U918" i="5"/>
  <c r="W920" i="5"/>
  <c r="T923" i="5"/>
  <c r="V925" i="5"/>
  <c r="X927" i="5"/>
  <c r="U930" i="5"/>
  <c r="W932" i="5"/>
  <c r="T935" i="5"/>
  <c r="V937" i="5"/>
  <c r="X939" i="5"/>
  <c r="U942" i="5"/>
  <c r="W944" i="5"/>
  <c r="T947" i="5"/>
  <c r="V949" i="5"/>
  <c r="X951" i="5"/>
  <c r="U954" i="5"/>
  <c r="W956" i="5"/>
  <c r="T959" i="5"/>
  <c r="V961" i="5"/>
  <c r="X963" i="5"/>
  <c r="U966" i="5"/>
  <c r="W968" i="5"/>
  <c r="T971" i="5"/>
  <c r="V973" i="5"/>
  <c r="X975" i="5"/>
  <c r="U978" i="5"/>
  <c r="W980" i="5"/>
  <c r="T983" i="5"/>
  <c r="V985" i="5"/>
  <c r="X987" i="5"/>
  <c r="U990" i="5"/>
  <c r="W992" i="5"/>
  <c r="T995" i="5"/>
  <c r="V997" i="5"/>
  <c r="X999" i="5"/>
  <c r="U1002" i="5"/>
  <c r="W1004" i="5"/>
  <c r="T1007" i="5"/>
  <c r="V1009" i="5"/>
  <c r="X1011" i="5"/>
  <c r="U1014" i="5"/>
  <c r="W1016" i="5"/>
  <c r="T1019" i="5"/>
  <c r="V1021" i="5"/>
  <c r="X1023" i="5"/>
  <c r="U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C182" i="5"/>
  <c r="AB265" i="5"/>
  <c r="AE315" i="5"/>
  <c r="T371" i="5"/>
  <c r="AD421" i="5"/>
  <c r="AD465" i="5"/>
  <c r="AD506" i="5"/>
  <c r="AE527" i="5"/>
  <c r="U546" i="5"/>
  <c r="T557" i="5"/>
  <c r="AD565" i="5"/>
  <c r="AA573" i="5"/>
  <c r="W581" i="5"/>
  <c r="AE588" i="5"/>
  <c r="T596" i="5"/>
  <c r="U603" i="5"/>
  <c r="V610" i="5"/>
  <c r="W617" i="5"/>
  <c r="AE624" i="5"/>
  <c r="T632" i="5"/>
  <c r="U639" i="5"/>
  <c r="V646" i="5"/>
  <c r="W653" i="5"/>
  <c r="AE660" i="5"/>
  <c r="T668" i="5"/>
  <c r="U675" i="5"/>
  <c r="V682" i="5"/>
  <c r="W689" i="5"/>
  <c r="AE696" i="5"/>
  <c r="T704" i="5"/>
  <c r="U711" i="5"/>
  <c r="V718" i="5"/>
  <c r="W725" i="5"/>
  <c r="AE732" i="5"/>
  <c r="T740" i="5"/>
  <c r="U747" i="5"/>
  <c r="V754" i="5"/>
  <c r="W761" i="5"/>
  <c r="AE768" i="5"/>
  <c r="T776" i="5"/>
  <c r="U783" i="5"/>
  <c r="V790" i="5"/>
  <c r="W797" i="5"/>
  <c r="AE804" i="5"/>
  <c r="T812" i="5"/>
  <c r="U819" i="5"/>
  <c r="AB825" i="5"/>
  <c r="W830" i="5"/>
  <c r="W833" i="5"/>
  <c r="W836" i="5"/>
  <c r="W839" i="5"/>
  <c r="W842" i="5"/>
  <c r="W845" i="5"/>
  <c r="W848" i="5"/>
  <c r="U851" i="5"/>
  <c r="W853" i="5"/>
  <c r="T856" i="5"/>
  <c r="V858" i="5"/>
  <c r="X860" i="5"/>
  <c r="U863" i="5"/>
  <c r="W865" i="5"/>
  <c r="T868" i="5"/>
  <c r="V870" i="5"/>
  <c r="X872" i="5"/>
  <c r="U875" i="5"/>
  <c r="W877" i="5"/>
  <c r="T880" i="5"/>
  <c r="V882" i="5"/>
  <c r="X884" i="5"/>
  <c r="U887" i="5"/>
  <c r="W889" i="5"/>
  <c r="T892" i="5"/>
  <c r="V894" i="5"/>
  <c r="X896" i="5"/>
  <c r="U899" i="5"/>
  <c r="W901" i="5"/>
  <c r="T904" i="5"/>
  <c r="V906" i="5"/>
  <c r="X908" i="5"/>
  <c r="U911" i="5"/>
  <c r="W913" i="5"/>
  <c r="T916" i="5"/>
  <c r="V918" i="5"/>
  <c r="X920" i="5"/>
  <c r="U923" i="5"/>
  <c r="W925" i="5"/>
  <c r="T928" i="5"/>
  <c r="V930" i="5"/>
  <c r="X932" i="5"/>
  <c r="U935" i="5"/>
  <c r="W937" i="5"/>
  <c r="T940" i="5"/>
  <c r="V942" i="5"/>
  <c r="X944" i="5"/>
  <c r="U947" i="5"/>
  <c r="W949" i="5"/>
  <c r="T952" i="5"/>
  <c r="V954" i="5"/>
  <c r="X956" i="5"/>
  <c r="U959" i="5"/>
  <c r="W961" i="5"/>
  <c r="T964" i="5"/>
  <c r="V966" i="5"/>
  <c r="X968" i="5"/>
  <c r="U971" i="5"/>
  <c r="W973" i="5"/>
  <c r="T976" i="5"/>
  <c r="V978" i="5"/>
  <c r="X980" i="5"/>
  <c r="U983" i="5"/>
  <c r="W985" i="5"/>
  <c r="T988" i="5"/>
  <c r="V990" i="5"/>
  <c r="X992" i="5"/>
  <c r="U995" i="5"/>
  <c r="W997" i="5"/>
  <c r="T1000" i="5"/>
  <c r="V1002" i="5"/>
  <c r="X1004" i="5"/>
  <c r="U1007" i="5"/>
  <c r="W1009" i="5"/>
  <c r="T1012" i="5"/>
  <c r="V1014" i="5"/>
  <c r="X1016" i="5"/>
  <c r="U1019" i="5"/>
  <c r="W1021" i="5"/>
  <c r="T1024" i="5"/>
  <c r="V1026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AA187" i="5"/>
  <c r="AC265" i="5"/>
  <c r="AD320" i="5"/>
  <c r="AB371" i="5"/>
  <c r="AE421" i="5"/>
  <c r="AA467" i="5"/>
  <c r="AE506" i="5"/>
  <c r="AC529" i="5"/>
  <c r="AC546" i="5"/>
  <c r="U557" i="5"/>
  <c r="AE565" i="5"/>
  <c r="AB573" i="5"/>
  <c r="AE581" i="5"/>
  <c r="T589" i="5"/>
  <c r="U596" i="5"/>
  <c r="V603" i="5"/>
  <c r="W610" i="5"/>
  <c r="AE617" i="5"/>
  <c r="T625" i="5"/>
  <c r="U632" i="5"/>
  <c r="V639" i="5"/>
  <c r="W646" i="5"/>
  <c r="AE653" i="5"/>
  <c r="T661" i="5"/>
  <c r="U668" i="5"/>
  <c r="V675" i="5"/>
  <c r="W682" i="5"/>
  <c r="AE689" i="5"/>
  <c r="T697" i="5"/>
  <c r="U704" i="5"/>
  <c r="V711" i="5"/>
  <c r="W718" i="5"/>
  <c r="AE725" i="5"/>
  <c r="T733" i="5"/>
  <c r="U740" i="5"/>
  <c r="V747" i="5"/>
  <c r="W754" i="5"/>
  <c r="AE761" i="5"/>
  <c r="T769" i="5"/>
  <c r="U776" i="5"/>
  <c r="V783" i="5"/>
  <c r="W790" i="5"/>
  <c r="AE797" i="5"/>
  <c r="T805" i="5"/>
  <c r="U812" i="5"/>
  <c r="V819" i="5"/>
  <c r="AE825" i="5"/>
  <c r="X830" i="5"/>
  <c r="X833" i="5"/>
  <c r="X836" i="5"/>
  <c r="X839" i="5"/>
  <c r="X842" i="5"/>
  <c r="X845" i="5"/>
  <c r="X848" i="5"/>
  <c r="V851" i="5"/>
  <c r="X853" i="5"/>
  <c r="U856" i="5"/>
  <c r="W858" i="5"/>
  <c r="T861" i="5"/>
  <c r="V863" i="5"/>
  <c r="X865" i="5"/>
  <c r="U868" i="5"/>
  <c r="W870" i="5"/>
  <c r="T873" i="5"/>
  <c r="V875" i="5"/>
  <c r="X877" i="5"/>
  <c r="U880" i="5"/>
  <c r="W882" i="5"/>
  <c r="T885" i="5"/>
  <c r="V887" i="5"/>
  <c r="X889" i="5"/>
  <c r="U892" i="5"/>
  <c r="W894" i="5"/>
  <c r="T897" i="5"/>
  <c r="V899" i="5"/>
  <c r="X901" i="5"/>
  <c r="U904" i="5"/>
  <c r="W906" i="5"/>
  <c r="T909" i="5"/>
  <c r="V911" i="5"/>
  <c r="X913" i="5"/>
  <c r="U916" i="5"/>
  <c r="W918" i="5"/>
  <c r="T921" i="5"/>
  <c r="V923" i="5"/>
  <c r="X925" i="5"/>
  <c r="U928" i="5"/>
  <c r="W930" i="5"/>
  <c r="T933" i="5"/>
  <c r="V935" i="5"/>
  <c r="X937" i="5"/>
  <c r="U940" i="5"/>
  <c r="W942" i="5"/>
  <c r="T945" i="5"/>
  <c r="V947" i="5"/>
  <c r="X949" i="5"/>
  <c r="U952" i="5"/>
  <c r="W954" i="5"/>
  <c r="T957" i="5"/>
  <c r="V959" i="5"/>
  <c r="X961" i="5"/>
  <c r="U964" i="5"/>
  <c r="W966" i="5"/>
  <c r="T969" i="5"/>
  <c r="V971" i="5"/>
  <c r="X973" i="5"/>
  <c r="U976" i="5"/>
  <c r="W978" i="5"/>
  <c r="T981" i="5"/>
  <c r="V983" i="5"/>
  <c r="X985" i="5"/>
  <c r="U988" i="5"/>
  <c r="W990" i="5"/>
  <c r="T993" i="5"/>
  <c r="V995" i="5"/>
  <c r="X997" i="5"/>
  <c r="U1000" i="5"/>
  <c r="W1002" i="5"/>
  <c r="T1005" i="5"/>
  <c r="V1007" i="5"/>
  <c r="X1009" i="5"/>
  <c r="U1012" i="5"/>
  <c r="W1014" i="5"/>
  <c r="T1017" i="5"/>
  <c r="V1019" i="5"/>
  <c r="X1021" i="5"/>
  <c r="U1024" i="5"/>
  <c r="W1026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X39" i="5"/>
  <c r="Z218" i="5"/>
  <c r="AD279" i="5"/>
  <c r="AB330" i="5"/>
  <c r="AC385" i="5"/>
  <c r="AC435" i="5"/>
  <c r="AD477" i="5"/>
  <c r="AD512" i="5"/>
  <c r="AD532" i="5"/>
  <c r="U550" i="5"/>
  <c r="AC559" i="5"/>
  <c r="T568" i="5"/>
  <c r="AC575" i="5"/>
  <c r="W583" i="5"/>
  <c r="AE590" i="5"/>
  <c r="T598" i="5"/>
  <c r="U605" i="5"/>
  <c r="V612" i="5"/>
  <c r="W619" i="5"/>
  <c r="AE626" i="5"/>
  <c r="T634" i="5"/>
  <c r="U641" i="5"/>
  <c r="V648" i="5"/>
  <c r="W655" i="5"/>
  <c r="AE662" i="5"/>
  <c r="T670" i="5"/>
  <c r="U677" i="5"/>
  <c r="V684" i="5"/>
  <c r="W691" i="5"/>
  <c r="AE698" i="5"/>
  <c r="T706" i="5"/>
  <c r="U713" i="5"/>
  <c r="V720" i="5"/>
  <c r="W727" i="5"/>
  <c r="AE734" i="5"/>
  <c r="T742" i="5"/>
  <c r="U749" i="5"/>
  <c r="V756" i="5"/>
  <c r="W763" i="5"/>
  <c r="AE770" i="5"/>
  <c r="T778" i="5"/>
  <c r="U785" i="5"/>
  <c r="V792" i="5"/>
  <c r="W799" i="5"/>
  <c r="AE806" i="5"/>
  <c r="T814" i="5"/>
  <c r="U821" i="5"/>
  <c r="V827" i="5"/>
  <c r="U831" i="5"/>
  <c r="U834" i="5"/>
  <c r="U837" i="5"/>
  <c r="U840" i="5"/>
  <c r="U843" i="5"/>
  <c r="U846" i="5"/>
  <c r="U849" i="5"/>
  <c r="W851" i="5"/>
  <c r="T854" i="5"/>
  <c r="V856" i="5"/>
  <c r="X858" i="5"/>
  <c r="U861" i="5"/>
  <c r="W863" i="5"/>
  <c r="T866" i="5"/>
  <c r="V868" i="5"/>
  <c r="X870" i="5"/>
  <c r="U873" i="5"/>
  <c r="W875" i="5"/>
  <c r="T878" i="5"/>
  <c r="V880" i="5"/>
  <c r="X882" i="5"/>
  <c r="U885" i="5"/>
  <c r="W887" i="5"/>
  <c r="T890" i="5"/>
  <c r="V892" i="5"/>
  <c r="X894" i="5"/>
  <c r="U897" i="5"/>
  <c r="W899" i="5"/>
  <c r="T902" i="5"/>
  <c r="V904" i="5"/>
  <c r="X906" i="5"/>
  <c r="U909" i="5"/>
  <c r="W911" i="5"/>
  <c r="T914" i="5"/>
  <c r="V916" i="5"/>
  <c r="X918" i="5"/>
  <c r="U921" i="5"/>
  <c r="W923" i="5"/>
  <c r="T926" i="5"/>
  <c r="V928" i="5"/>
  <c r="X930" i="5"/>
  <c r="U933" i="5"/>
  <c r="W935" i="5"/>
  <c r="T938" i="5"/>
  <c r="V940" i="5"/>
  <c r="X942" i="5"/>
  <c r="U945" i="5"/>
  <c r="W947" i="5"/>
  <c r="T950" i="5"/>
  <c r="V952" i="5"/>
  <c r="X954" i="5"/>
  <c r="U957" i="5"/>
  <c r="W959" i="5"/>
  <c r="T962" i="5"/>
  <c r="V964" i="5"/>
  <c r="X966" i="5"/>
  <c r="U969" i="5"/>
  <c r="W971" i="5"/>
  <c r="T974" i="5"/>
  <c r="V976" i="5"/>
  <c r="X978" i="5"/>
  <c r="U981" i="5"/>
  <c r="W983" i="5"/>
  <c r="T986" i="5"/>
  <c r="V988" i="5"/>
  <c r="X990" i="5"/>
  <c r="U993" i="5"/>
  <c r="W995" i="5"/>
  <c r="T998" i="5"/>
  <c r="V1000" i="5"/>
  <c r="X1002" i="5"/>
  <c r="U1005" i="5"/>
  <c r="W1007" i="5"/>
  <c r="T1010" i="5"/>
  <c r="V1012" i="5"/>
  <c r="X1014" i="5"/>
  <c r="U1017" i="5"/>
  <c r="W1019" i="5"/>
  <c r="T1022" i="5"/>
  <c r="V1024" i="5"/>
  <c r="X1026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Y39" i="5"/>
  <c r="AC222" i="5"/>
  <c r="AE279" i="5"/>
  <c r="T335" i="5"/>
  <c r="AD385" i="5"/>
  <c r="AD435" i="5"/>
  <c r="AA479" i="5"/>
  <c r="AE512" i="5"/>
  <c r="U534" i="5"/>
  <c r="W550" i="5"/>
  <c r="AD559" i="5"/>
  <c r="U568" i="5"/>
  <c r="AD575" i="5"/>
  <c r="AE583" i="5"/>
  <c r="T591" i="5"/>
  <c r="U598" i="5"/>
  <c r="V605" i="5"/>
  <c r="W612" i="5"/>
  <c r="AE619" i="5"/>
  <c r="T627" i="5"/>
  <c r="U634" i="5"/>
  <c r="V641" i="5"/>
  <c r="W648" i="5"/>
  <c r="AE655" i="5"/>
  <c r="T663" i="5"/>
  <c r="U670" i="5"/>
  <c r="V677" i="5"/>
  <c r="W684" i="5"/>
  <c r="AE691" i="5"/>
  <c r="T699" i="5"/>
  <c r="U706" i="5"/>
  <c r="V713" i="5"/>
  <c r="W720" i="5"/>
  <c r="AE727" i="5"/>
  <c r="T735" i="5"/>
  <c r="U742" i="5"/>
  <c r="V749" i="5"/>
  <c r="W756" i="5"/>
  <c r="AE763" i="5"/>
  <c r="T771" i="5"/>
  <c r="U778" i="5"/>
  <c r="V785" i="5"/>
  <c r="W792" i="5"/>
  <c r="AE799" i="5"/>
  <c r="T807" i="5"/>
  <c r="U814" i="5"/>
  <c r="V821" i="5"/>
  <c r="W827" i="5"/>
  <c r="V831" i="5"/>
  <c r="V834" i="5"/>
  <c r="V837" i="5"/>
  <c r="V840" i="5"/>
  <c r="V843" i="5"/>
  <c r="V846" i="5"/>
  <c r="V849" i="5"/>
  <c r="X851" i="5"/>
  <c r="U854" i="5"/>
  <c r="W856" i="5"/>
  <c r="T859" i="5"/>
  <c r="V861" i="5"/>
  <c r="X863" i="5"/>
  <c r="U866" i="5"/>
  <c r="W868" i="5"/>
  <c r="T871" i="5"/>
  <c r="V873" i="5"/>
  <c r="X875" i="5"/>
  <c r="U878" i="5"/>
  <c r="W880" i="5"/>
  <c r="T883" i="5"/>
  <c r="V885" i="5"/>
  <c r="X887" i="5"/>
  <c r="U890" i="5"/>
  <c r="W892" i="5"/>
  <c r="T895" i="5"/>
  <c r="V897" i="5"/>
  <c r="X899" i="5"/>
  <c r="U902" i="5"/>
  <c r="W904" i="5"/>
  <c r="T907" i="5"/>
  <c r="V909" i="5"/>
  <c r="X911" i="5"/>
  <c r="U914" i="5"/>
  <c r="W916" i="5"/>
  <c r="T919" i="5"/>
  <c r="V921" i="5"/>
  <c r="X923" i="5"/>
  <c r="U926" i="5"/>
  <c r="W928" i="5"/>
  <c r="T931" i="5"/>
  <c r="V933" i="5"/>
  <c r="X935" i="5"/>
  <c r="U938" i="5"/>
  <c r="W940" i="5"/>
  <c r="T943" i="5"/>
  <c r="V945" i="5"/>
  <c r="X947" i="5"/>
  <c r="U950" i="5"/>
  <c r="W952" i="5"/>
  <c r="T955" i="5"/>
  <c r="V957" i="5"/>
  <c r="X959" i="5"/>
  <c r="U962" i="5"/>
  <c r="W964" i="5"/>
  <c r="T967" i="5"/>
  <c r="V969" i="5"/>
  <c r="X971" i="5"/>
  <c r="U974" i="5"/>
  <c r="W976" i="5"/>
  <c r="T979" i="5"/>
  <c r="V981" i="5"/>
  <c r="X983" i="5"/>
  <c r="U986" i="5"/>
  <c r="W988" i="5"/>
  <c r="T991" i="5"/>
  <c r="V993" i="5"/>
  <c r="X995" i="5"/>
  <c r="U998" i="5"/>
  <c r="W1000" i="5"/>
  <c r="T1003" i="5"/>
  <c r="V1005" i="5"/>
  <c r="X1007" i="5"/>
  <c r="U1010" i="5"/>
  <c r="W1012" i="5"/>
  <c r="T1015" i="5"/>
  <c r="V1017" i="5"/>
  <c r="X1019" i="5"/>
  <c r="U1022" i="5"/>
  <c r="W1024" i="5"/>
  <c r="T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51" i="5"/>
  <c r="Y223" i="5"/>
  <c r="AD284" i="5"/>
  <c r="AB335" i="5"/>
  <c r="AE385" i="5"/>
  <c r="AA437" i="5"/>
  <c r="AB479" i="5"/>
  <c r="AE514" i="5"/>
  <c r="AC534" i="5"/>
  <c r="AA550" i="5"/>
  <c r="AE559" i="5"/>
  <c r="V568" i="5"/>
  <c r="AA576" i="5"/>
  <c r="T584" i="5"/>
  <c r="U591" i="5"/>
  <c r="V598" i="5"/>
  <c r="W605" i="5"/>
  <c r="AE612" i="5"/>
  <c r="T620" i="5"/>
  <c r="U627" i="5"/>
  <c r="V634" i="5"/>
  <c r="W641" i="5"/>
  <c r="AE648" i="5"/>
  <c r="T656" i="5"/>
  <c r="U663" i="5"/>
  <c r="V670" i="5"/>
  <c r="W677" i="5"/>
  <c r="AE684" i="5"/>
  <c r="T692" i="5"/>
  <c r="U699" i="5"/>
  <c r="V706" i="5"/>
  <c r="W713" i="5"/>
  <c r="AE720" i="5"/>
  <c r="T728" i="5"/>
  <c r="U735" i="5"/>
  <c r="V742" i="5"/>
  <c r="W749" i="5"/>
  <c r="AE756" i="5"/>
  <c r="T764" i="5"/>
  <c r="U771" i="5"/>
  <c r="V778" i="5"/>
  <c r="W785" i="5"/>
  <c r="AE792" i="5"/>
  <c r="T800" i="5"/>
  <c r="U807" i="5"/>
  <c r="V814" i="5"/>
  <c r="W821" i="5"/>
  <c r="AB827" i="5"/>
  <c r="W831" i="5"/>
  <c r="W834" i="5"/>
  <c r="W837" i="5"/>
  <c r="W840" i="5"/>
  <c r="W843" i="5"/>
  <c r="W846" i="5"/>
  <c r="W849" i="5"/>
  <c r="T852" i="5"/>
  <c r="V854" i="5"/>
  <c r="X856" i="5"/>
  <c r="U859" i="5"/>
  <c r="W861" i="5"/>
  <c r="T864" i="5"/>
  <c r="V866" i="5"/>
  <c r="X868" i="5"/>
  <c r="U871" i="5"/>
  <c r="W873" i="5"/>
  <c r="T876" i="5"/>
  <c r="V878" i="5"/>
  <c r="X880" i="5"/>
  <c r="U883" i="5"/>
  <c r="W885" i="5"/>
  <c r="T888" i="5"/>
  <c r="V890" i="5"/>
  <c r="X892" i="5"/>
  <c r="U895" i="5"/>
  <c r="W897" i="5"/>
  <c r="T900" i="5"/>
  <c r="V902" i="5"/>
  <c r="X904" i="5"/>
  <c r="U907" i="5"/>
  <c r="W909" i="5"/>
  <c r="T912" i="5"/>
  <c r="V914" i="5"/>
  <c r="X916" i="5"/>
  <c r="U919" i="5"/>
  <c r="W921" i="5"/>
  <c r="T924" i="5"/>
  <c r="V926" i="5"/>
  <c r="X928" i="5"/>
  <c r="U931" i="5"/>
  <c r="W933" i="5"/>
  <c r="T936" i="5"/>
  <c r="V938" i="5"/>
  <c r="X940" i="5"/>
  <c r="U943" i="5"/>
  <c r="W945" i="5"/>
  <c r="T948" i="5"/>
  <c r="V950" i="5"/>
  <c r="X952" i="5"/>
  <c r="U955" i="5"/>
  <c r="W957" i="5"/>
  <c r="T960" i="5"/>
  <c r="V962" i="5"/>
  <c r="X964" i="5"/>
  <c r="U967" i="5"/>
  <c r="W969" i="5"/>
  <c r="T972" i="5"/>
  <c r="V974" i="5"/>
  <c r="X976" i="5"/>
  <c r="U979" i="5"/>
  <c r="W981" i="5"/>
  <c r="T984" i="5"/>
  <c r="V986" i="5"/>
  <c r="X988" i="5"/>
  <c r="U991" i="5"/>
  <c r="W993" i="5"/>
  <c r="T996" i="5"/>
  <c r="V998" i="5"/>
  <c r="X1000" i="5"/>
  <c r="U1003" i="5"/>
  <c r="W1005" i="5"/>
  <c r="T1008" i="5"/>
  <c r="V1010" i="5"/>
  <c r="X1012" i="5"/>
  <c r="U1015" i="5"/>
  <c r="W1017" i="5"/>
  <c r="T1020" i="5"/>
  <c r="V1022" i="5"/>
  <c r="X1024" i="5"/>
  <c r="U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51" i="5"/>
  <c r="AB233" i="5"/>
  <c r="AE284" i="5"/>
  <c r="AC335" i="5"/>
  <c r="AD387" i="5"/>
  <c r="AB437" i="5"/>
  <c r="AB483" i="5"/>
  <c r="T515" i="5"/>
  <c r="AD534" i="5"/>
  <c r="AB550" i="5"/>
  <c r="T560" i="5"/>
  <c r="AE568" i="5"/>
  <c r="AB576" i="5"/>
  <c r="U584" i="5"/>
  <c r="V591" i="5"/>
  <c r="W598" i="5"/>
  <c r="AE605" i="5"/>
  <c r="T613" i="5"/>
  <c r="U620" i="5"/>
  <c r="V627" i="5"/>
  <c r="W634" i="5"/>
  <c r="AE641" i="5"/>
  <c r="T649" i="5"/>
  <c r="U656" i="5"/>
  <c r="V663" i="5"/>
  <c r="W670" i="5"/>
  <c r="AE677" i="5"/>
  <c r="T685" i="5"/>
  <c r="U692" i="5"/>
  <c r="V699" i="5"/>
  <c r="W706" i="5"/>
  <c r="AE713" i="5"/>
  <c r="T721" i="5"/>
  <c r="U728" i="5"/>
  <c r="V735" i="5"/>
  <c r="W742" i="5"/>
  <c r="AE749" i="5"/>
  <c r="T757" i="5"/>
  <c r="U764" i="5"/>
  <c r="V771" i="5"/>
  <c r="W778" i="5"/>
  <c r="AE785" i="5"/>
  <c r="T793" i="5"/>
  <c r="U800" i="5"/>
  <c r="V807" i="5"/>
  <c r="W814" i="5"/>
  <c r="AE821" i="5"/>
  <c r="AE827" i="5"/>
  <c r="X831" i="5"/>
  <c r="X834" i="5"/>
  <c r="X837" i="5"/>
  <c r="X840" i="5"/>
  <c r="X843" i="5"/>
  <c r="X846" i="5"/>
  <c r="X849" i="5"/>
  <c r="U852" i="5"/>
  <c r="W854" i="5"/>
  <c r="T857" i="5"/>
  <c r="V859" i="5"/>
  <c r="X861" i="5"/>
  <c r="U864" i="5"/>
  <c r="W866" i="5"/>
  <c r="T869" i="5"/>
  <c r="V871" i="5"/>
  <c r="X873" i="5"/>
  <c r="U876" i="5"/>
  <c r="W878" i="5"/>
  <c r="T881" i="5"/>
  <c r="V883" i="5"/>
  <c r="X885" i="5"/>
  <c r="U888" i="5"/>
  <c r="W890" i="5"/>
  <c r="T893" i="5"/>
  <c r="V895" i="5"/>
  <c r="X897" i="5"/>
  <c r="U900" i="5"/>
  <c r="W902" i="5"/>
  <c r="T905" i="5"/>
  <c r="V907" i="5"/>
  <c r="X909" i="5"/>
  <c r="U912" i="5"/>
  <c r="W914" i="5"/>
  <c r="T917" i="5"/>
  <c r="V919" i="5"/>
  <c r="X921" i="5"/>
  <c r="U924" i="5"/>
  <c r="W926" i="5"/>
  <c r="T929" i="5"/>
  <c r="V931" i="5"/>
  <c r="X933" i="5"/>
  <c r="U936" i="5"/>
  <c r="W938" i="5"/>
  <c r="T941" i="5"/>
  <c r="V943" i="5"/>
  <c r="X945" i="5"/>
  <c r="U948" i="5"/>
  <c r="W950" i="5"/>
  <c r="T953" i="5"/>
  <c r="V955" i="5"/>
  <c r="X957" i="5"/>
  <c r="U960" i="5"/>
  <c r="W962" i="5"/>
  <c r="T965" i="5"/>
  <c r="V967" i="5"/>
  <c r="X969" i="5"/>
  <c r="U972" i="5"/>
  <c r="W974" i="5"/>
  <c r="T977" i="5"/>
  <c r="V979" i="5"/>
  <c r="X981" i="5"/>
  <c r="U984" i="5"/>
  <c r="W986" i="5"/>
  <c r="T989" i="5"/>
  <c r="V991" i="5"/>
  <c r="X993" i="5"/>
  <c r="U996" i="5"/>
  <c r="W998" i="5"/>
  <c r="T1001" i="5"/>
  <c r="V1003" i="5"/>
  <c r="X1005" i="5"/>
  <c r="U1008" i="5"/>
  <c r="W1010" i="5"/>
  <c r="T1013" i="5"/>
  <c r="V1015" i="5"/>
  <c r="X1017" i="5"/>
  <c r="U1020" i="5"/>
  <c r="W1022" i="5"/>
  <c r="T1025" i="5"/>
  <c r="V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U135" i="5"/>
  <c r="AE243" i="5"/>
  <c r="T299" i="5"/>
  <c r="AD349" i="5"/>
  <c r="AB400" i="5"/>
  <c r="AA449" i="5"/>
  <c r="AB491" i="5"/>
  <c r="AE520" i="5"/>
  <c r="U539" i="5"/>
  <c r="U553" i="5"/>
  <c r="AA562" i="5"/>
  <c r="X570" i="5"/>
  <c r="AC578" i="5"/>
  <c r="T586" i="5"/>
  <c r="U593" i="5"/>
  <c r="V600" i="5"/>
  <c r="W607" i="5"/>
  <c r="AE614" i="5"/>
  <c r="T622" i="5"/>
  <c r="U629" i="5"/>
  <c r="V636" i="5"/>
  <c r="W643" i="5"/>
  <c r="AE650" i="5"/>
  <c r="T658" i="5"/>
  <c r="U665" i="5"/>
  <c r="V672" i="5"/>
  <c r="W679" i="5"/>
  <c r="AE686" i="5"/>
  <c r="T694" i="5"/>
  <c r="U701" i="5"/>
  <c r="V708" i="5"/>
  <c r="W715" i="5"/>
  <c r="AE722" i="5"/>
  <c r="T730" i="5"/>
  <c r="U737" i="5"/>
  <c r="V744" i="5"/>
  <c r="W751" i="5"/>
  <c r="AE758" i="5"/>
  <c r="T766" i="5"/>
  <c r="U773" i="5"/>
  <c r="V780" i="5"/>
  <c r="W787" i="5"/>
  <c r="AE794" i="5"/>
  <c r="T802" i="5"/>
  <c r="U809" i="5"/>
  <c r="V816" i="5"/>
  <c r="V823" i="5"/>
  <c r="U829" i="5"/>
  <c r="U832" i="5"/>
  <c r="U835" i="5"/>
  <c r="U838" i="5"/>
  <c r="U841" i="5"/>
  <c r="U844" i="5"/>
  <c r="U847" i="5"/>
  <c r="T850" i="5"/>
  <c r="V852" i="5"/>
  <c r="X854" i="5"/>
  <c r="U857" i="5"/>
  <c r="W859" i="5"/>
  <c r="T862" i="5"/>
  <c r="V864" i="5"/>
  <c r="X866" i="5"/>
  <c r="U869" i="5"/>
  <c r="W871" i="5"/>
  <c r="T874" i="5"/>
  <c r="V876" i="5"/>
  <c r="X878" i="5"/>
  <c r="U881" i="5"/>
  <c r="W883" i="5"/>
  <c r="T886" i="5"/>
  <c r="V888" i="5"/>
  <c r="X890" i="5"/>
  <c r="U893" i="5"/>
  <c r="W895" i="5"/>
  <c r="T898" i="5"/>
  <c r="V900" i="5"/>
  <c r="X902" i="5"/>
  <c r="U905" i="5"/>
  <c r="W907" i="5"/>
  <c r="T910" i="5"/>
  <c r="V912" i="5"/>
  <c r="X914" i="5"/>
  <c r="U917" i="5"/>
  <c r="W919" i="5"/>
  <c r="T922" i="5"/>
  <c r="V924" i="5"/>
  <c r="X926" i="5"/>
  <c r="U929" i="5"/>
  <c r="W931" i="5"/>
  <c r="T934" i="5"/>
  <c r="V936" i="5"/>
  <c r="X938" i="5"/>
  <c r="U941" i="5"/>
  <c r="AA182" i="5"/>
  <c r="AB263" i="5"/>
  <c r="AE313" i="5"/>
  <c r="T366" i="5"/>
  <c r="AD416" i="5"/>
  <c r="AB465" i="5"/>
  <c r="T506" i="5"/>
  <c r="U527" i="5"/>
  <c r="AC544" i="5"/>
  <c r="T556" i="5"/>
  <c r="AB565" i="5"/>
  <c r="X573" i="5"/>
  <c r="U581" i="5"/>
  <c r="V588" i="5"/>
  <c r="W595" i="5"/>
  <c r="AE602" i="5"/>
  <c r="T610" i="5"/>
  <c r="U617" i="5"/>
  <c r="V624" i="5"/>
  <c r="W631" i="5"/>
  <c r="AE638" i="5"/>
  <c r="T646" i="5"/>
  <c r="U653" i="5"/>
  <c r="V660" i="5"/>
  <c r="W667" i="5"/>
  <c r="AE674" i="5"/>
  <c r="T682" i="5"/>
  <c r="U689" i="5"/>
  <c r="V696" i="5"/>
  <c r="W703" i="5"/>
  <c r="AE710" i="5"/>
  <c r="T718" i="5"/>
  <c r="U725" i="5"/>
  <c r="V732" i="5"/>
  <c r="W739" i="5"/>
  <c r="AE746" i="5"/>
  <c r="T754" i="5"/>
  <c r="U761" i="5"/>
  <c r="V768" i="5"/>
  <c r="W775" i="5"/>
  <c r="AE782" i="5"/>
  <c r="T790" i="5"/>
  <c r="U797" i="5"/>
  <c r="V804" i="5"/>
  <c r="W811" i="5"/>
  <c r="AE818" i="5"/>
  <c r="V825" i="5"/>
  <c r="U830" i="5"/>
  <c r="U833" i="5"/>
  <c r="U836" i="5"/>
  <c r="U839" i="5"/>
  <c r="U842" i="5"/>
  <c r="U845" i="5"/>
  <c r="U848" i="5"/>
  <c r="X850" i="5"/>
  <c r="U853" i="5"/>
  <c r="W855" i="5"/>
  <c r="T858" i="5"/>
  <c r="V860" i="5"/>
  <c r="X862" i="5"/>
  <c r="U865" i="5"/>
  <c r="W867" i="5"/>
  <c r="T870" i="5"/>
  <c r="V872" i="5"/>
  <c r="X874" i="5"/>
  <c r="U877" i="5"/>
  <c r="W879" i="5"/>
  <c r="T882" i="5"/>
  <c r="V884" i="5"/>
  <c r="X886" i="5"/>
  <c r="U889" i="5"/>
  <c r="W891" i="5"/>
  <c r="T894" i="5"/>
  <c r="V896" i="5"/>
  <c r="X898" i="5"/>
  <c r="U901" i="5"/>
  <c r="W903" i="5"/>
  <c r="T906" i="5"/>
  <c r="V908" i="5"/>
  <c r="X910" i="5"/>
  <c r="U913" i="5"/>
  <c r="W915" i="5"/>
  <c r="T918" i="5"/>
  <c r="V920" i="5"/>
  <c r="X922" i="5"/>
  <c r="U925" i="5"/>
  <c r="W927" i="5"/>
  <c r="T930" i="5"/>
  <c r="V932" i="5"/>
  <c r="X934" i="5"/>
  <c r="U937" i="5"/>
  <c r="W939" i="5"/>
  <c r="T942" i="5"/>
  <c r="V944" i="5"/>
  <c r="X946" i="5"/>
  <c r="U949" i="5"/>
  <c r="W951" i="5"/>
  <c r="T954" i="5"/>
  <c r="V956" i="5"/>
  <c r="X958" i="5"/>
  <c r="U961" i="5"/>
  <c r="W963" i="5"/>
  <c r="T966" i="5"/>
  <c r="V968" i="5"/>
  <c r="X970" i="5"/>
  <c r="U973" i="5"/>
  <c r="W975" i="5"/>
  <c r="T978" i="5"/>
  <c r="V980" i="5"/>
  <c r="X982" i="5"/>
  <c r="U985" i="5"/>
  <c r="W987" i="5"/>
  <c r="T990" i="5"/>
  <c r="V992" i="5"/>
  <c r="X994" i="5"/>
  <c r="U997" i="5"/>
  <c r="W999" i="5"/>
  <c r="T1002" i="5"/>
  <c r="V1004" i="5"/>
  <c r="X1006" i="5"/>
  <c r="U1009" i="5"/>
  <c r="W1011" i="5"/>
  <c r="T1014" i="5"/>
  <c r="V1016" i="5"/>
  <c r="X1018" i="5"/>
  <c r="U1021" i="5"/>
  <c r="W1023" i="5"/>
  <c r="T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A148" i="5"/>
  <c r="AB402" i="5"/>
  <c r="AD539" i="5"/>
  <c r="AE578" i="5"/>
  <c r="T608" i="5"/>
  <c r="AE636" i="5"/>
  <c r="W665" i="5"/>
  <c r="V694" i="5"/>
  <c r="U723" i="5"/>
  <c r="T752" i="5"/>
  <c r="AE780" i="5"/>
  <c r="W809" i="5"/>
  <c r="W832" i="5"/>
  <c r="W844" i="5"/>
  <c r="U855" i="5"/>
  <c r="X864" i="5"/>
  <c r="V874" i="5"/>
  <c r="T884" i="5"/>
  <c r="W893" i="5"/>
  <c r="U903" i="5"/>
  <c r="X912" i="5"/>
  <c r="V922" i="5"/>
  <c r="T932" i="5"/>
  <c r="W941" i="5"/>
  <c r="X948" i="5"/>
  <c r="T956" i="5"/>
  <c r="U963" i="5"/>
  <c r="V970" i="5"/>
  <c r="W977" i="5"/>
  <c r="X984" i="5"/>
  <c r="T992" i="5"/>
  <c r="U999" i="5"/>
  <c r="V1006" i="5"/>
  <c r="W1013" i="5"/>
  <c r="X1020" i="5"/>
  <c r="Y1027" i="5"/>
  <c r="AB1030" i="5"/>
  <c r="AB1033" i="5"/>
  <c r="AB1036" i="5"/>
  <c r="AB1039" i="5"/>
  <c r="AB1042" i="5"/>
  <c r="AB1045" i="5"/>
  <c r="AB1048" i="5"/>
  <c r="AB1051" i="5"/>
  <c r="AB1054" i="5"/>
  <c r="AB1057" i="5"/>
  <c r="AB1060" i="5"/>
  <c r="AB1063" i="5"/>
  <c r="AB1066" i="5"/>
  <c r="AB1069" i="5"/>
  <c r="AB1072" i="5"/>
  <c r="AB1075" i="5"/>
  <c r="AB1078" i="5"/>
  <c r="AB1081" i="5"/>
  <c r="AB1084" i="5"/>
  <c r="AB1087" i="5"/>
  <c r="AB1090" i="5"/>
  <c r="AB1093" i="5"/>
  <c r="AB1096" i="5"/>
  <c r="AB1099" i="5"/>
  <c r="AB1102" i="5"/>
  <c r="AB1105" i="5"/>
  <c r="AB1108" i="5"/>
  <c r="AB1111" i="5"/>
  <c r="AB1114" i="5"/>
  <c r="AB1117" i="5"/>
  <c r="AB1120" i="5"/>
  <c r="AB1123" i="5"/>
  <c r="AB1126" i="5"/>
  <c r="AB1129" i="5"/>
  <c r="AB1132" i="5"/>
  <c r="AB1135" i="5"/>
  <c r="AB1138" i="5"/>
  <c r="AB1141" i="5"/>
  <c r="AB1144" i="5"/>
  <c r="AB1147" i="5"/>
  <c r="AB1150" i="5"/>
  <c r="AB1153" i="5"/>
  <c r="AB1156" i="5"/>
  <c r="AB1159" i="5"/>
  <c r="AB1162" i="5"/>
  <c r="AB1165" i="5"/>
  <c r="AB1168" i="5"/>
  <c r="AB1171" i="5"/>
  <c r="AB1174" i="5"/>
  <c r="AB1177" i="5"/>
  <c r="AB1180" i="5"/>
  <c r="AB1183" i="5"/>
  <c r="AB1186" i="5"/>
  <c r="AB1189" i="5"/>
  <c r="AB1192" i="5"/>
  <c r="AB1195" i="5"/>
  <c r="AB1198" i="5"/>
  <c r="AB1201" i="5"/>
  <c r="AB1204" i="5"/>
  <c r="AB1207" i="5"/>
  <c r="AB1210" i="5"/>
  <c r="AB1213" i="5"/>
  <c r="AB1216" i="5"/>
  <c r="AB1219" i="5"/>
  <c r="AB1222" i="5"/>
  <c r="AB1225" i="5"/>
  <c r="AB1228" i="5"/>
  <c r="AB1231" i="5"/>
  <c r="AB1234" i="5"/>
  <c r="AB1237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AB148" i="5"/>
  <c r="T407" i="5"/>
  <c r="AE539" i="5"/>
  <c r="T579" i="5"/>
  <c r="U608" i="5"/>
  <c r="T637" i="5"/>
  <c r="AE665" i="5"/>
  <c r="W694" i="5"/>
  <c r="V723" i="5"/>
  <c r="U752" i="5"/>
  <c r="T781" i="5"/>
  <c r="AE809" i="5"/>
  <c r="X832" i="5"/>
  <c r="X844" i="5"/>
  <c r="V855" i="5"/>
  <c r="T865" i="5"/>
  <c r="W874" i="5"/>
  <c r="U884" i="5"/>
  <c r="X893" i="5"/>
  <c r="V903" i="5"/>
  <c r="T913" i="5"/>
  <c r="W922" i="5"/>
  <c r="U932" i="5"/>
  <c r="X941" i="5"/>
  <c r="T949" i="5"/>
  <c r="U956" i="5"/>
  <c r="V963" i="5"/>
  <c r="W970" i="5"/>
  <c r="X977" i="5"/>
  <c r="T985" i="5"/>
  <c r="U992" i="5"/>
  <c r="V999" i="5"/>
  <c r="W1006" i="5"/>
  <c r="X1013" i="5"/>
  <c r="T1021" i="5"/>
  <c r="AC1027" i="5"/>
  <c r="AC1030" i="5"/>
  <c r="AC1033" i="5"/>
  <c r="AC1036" i="5"/>
  <c r="AC1039" i="5"/>
  <c r="AC1042" i="5"/>
  <c r="AC1045" i="5"/>
  <c r="AC1048" i="5"/>
  <c r="AC1051" i="5"/>
  <c r="AC1054" i="5"/>
  <c r="AC1057" i="5"/>
  <c r="AC1060" i="5"/>
  <c r="AC1063" i="5"/>
  <c r="AC1066" i="5"/>
  <c r="AC1069" i="5"/>
  <c r="AC1072" i="5"/>
  <c r="AC1075" i="5"/>
  <c r="AC1078" i="5"/>
  <c r="AC1081" i="5"/>
  <c r="AC1084" i="5"/>
  <c r="AC1087" i="5"/>
  <c r="AC1090" i="5"/>
  <c r="AC1093" i="5"/>
  <c r="AC1096" i="5"/>
  <c r="AC1099" i="5"/>
  <c r="AC1102" i="5"/>
  <c r="AC1105" i="5"/>
  <c r="AC1108" i="5"/>
  <c r="AC1111" i="5"/>
  <c r="AC1114" i="5"/>
  <c r="AC1117" i="5"/>
  <c r="AC1120" i="5"/>
  <c r="AC1123" i="5"/>
  <c r="AC1126" i="5"/>
  <c r="AC1129" i="5"/>
  <c r="AC1132" i="5"/>
  <c r="AC1135" i="5"/>
  <c r="AC1138" i="5"/>
  <c r="AC1141" i="5"/>
  <c r="AC1144" i="5"/>
  <c r="AC1147" i="5"/>
  <c r="AC1150" i="5"/>
  <c r="AC1153" i="5"/>
  <c r="AC1156" i="5"/>
  <c r="AC1159" i="5"/>
  <c r="AC1162" i="5"/>
  <c r="AC1165" i="5"/>
  <c r="AC1168" i="5"/>
  <c r="AC1171" i="5"/>
  <c r="AC1174" i="5"/>
  <c r="AC1177" i="5"/>
  <c r="AC1180" i="5"/>
  <c r="AC1183" i="5"/>
  <c r="AC1186" i="5"/>
  <c r="AC1189" i="5"/>
  <c r="AC1192" i="5"/>
  <c r="AC1195" i="5"/>
  <c r="AC1198" i="5"/>
  <c r="AC1201" i="5"/>
  <c r="AC1204" i="5"/>
  <c r="AC1207" i="5"/>
  <c r="AC1210" i="5"/>
  <c r="AC1213" i="5"/>
  <c r="AC1216" i="5"/>
  <c r="AC1219" i="5"/>
  <c r="AC1222" i="5"/>
  <c r="AC1225" i="5"/>
  <c r="AC1228" i="5"/>
  <c r="AC1231" i="5"/>
  <c r="AC1234" i="5"/>
  <c r="AC1237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AD248" i="5"/>
  <c r="AB449" i="5"/>
  <c r="W553" i="5"/>
  <c r="U586" i="5"/>
  <c r="T615" i="5"/>
  <c r="AE643" i="5"/>
  <c r="W672" i="5"/>
  <c r="V701" i="5"/>
  <c r="U730" i="5"/>
  <c r="T759" i="5"/>
  <c r="AE787" i="5"/>
  <c r="W816" i="5"/>
  <c r="V835" i="5"/>
  <c r="V847" i="5"/>
  <c r="V857" i="5"/>
  <c r="T867" i="5"/>
  <c r="W876" i="5"/>
  <c r="U886" i="5"/>
  <c r="X895" i="5"/>
  <c r="V905" i="5"/>
  <c r="T915" i="5"/>
  <c r="W924" i="5"/>
  <c r="U934" i="5"/>
  <c r="W943" i="5"/>
  <c r="X950" i="5"/>
  <c r="T958" i="5"/>
  <c r="U965" i="5"/>
  <c r="V972" i="5"/>
  <c r="W979" i="5"/>
  <c r="X986" i="5"/>
  <c r="T994" i="5"/>
  <c r="U1001" i="5"/>
  <c r="V1008" i="5"/>
  <c r="W1015" i="5"/>
  <c r="X1022" i="5"/>
  <c r="Z1028" i="5"/>
  <c r="Z1031" i="5"/>
  <c r="Z1034" i="5"/>
  <c r="Z1037" i="5"/>
  <c r="Z1040" i="5"/>
  <c r="Z1043" i="5"/>
  <c r="Z1046" i="5"/>
  <c r="Z1049" i="5"/>
  <c r="Z1052" i="5"/>
  <c r="Z1055" i="5"/>
  <c r="Z1058" i="5"/>
  <c r="Z1061" i="5"/>
  <c r="Z1064" i="5"/>
  <c r="Z1067" i="5"/>
  <c r="Z1070" i="5"/>
  <c r="Z1073" i="5"/>
  <c r="Z1076" i="5"/>
  <c r="Z1079" i="5"/>
  <c r="Z1082" i="5"/>
  <c r="Z1085" i="5"/>
  <c r="Z1088" i="5"/>
  <c r="Z1091" i="5"/>
  <c r="Z1094" i="5"/>
  <c r="Z1097" i="5"/>
  <c r="Z1100" i="5"/>
  <c r="Z1103" i="5"/>
  <c r="Z1106" i="5"/>
  <c r="Z1109" i="5"/>
  <c r="Z1112" i="5"/>
  <c r="Z1115" i="5"/>
  <c r="Z1118" i="5"/>
  <c r="Z1121" i="5"/>
  <c r="Z1124" i="5"/>
  <c r="Z1127" i="5"/>
  <c r="Z1130" i="5"/>
  <c r="Z1133" i="5"/>
  <c r="Z1136" i="5"/>
  <c r="Z1139" i="5"/>
  <c r="Z1142" i="5"/>
  <c r="Z1145" i="5"/>
  <c r="Z1148" i="5"/>
  <c r="Z1151" i="5"/>
  <c r="Z1154" i="5"/>
  <c r="Z1157" i="5"/>
  <c r="Z1160" i="5"/>
  <c r="Z1163" i="5"/>
  <c r="Z1166" i="5"/>
  <c r="Z1169" i="5"/>
  <c r="Z1172" i="5"/>
  <c r="Z1175" i="5"/>
  <c r="Z1178" i="5"/>
  <c r="Z1181" i="5"/>
  <c r="Z1184" i="5"/>
  <c r="Z1187" i="5"/>
  <c r="Z1190" i="5"/>
  <c r="Z1193" i="5"/>
  <c r="Z1196" i="5"/>
  <c r="Z1199" i="5"/>
  <c r="Z1202" i="5"/>
  <c r="Z1205" i="5"/>
  <c r="Z1208" i="5"/>
  <c r="Z1211" i="5"/>
  <c r="Z1214" i="5"/>
  <c r="Z1217" i="5"/>
  <c r="Z1220" i="5"/>
  <c r="Z1223" i="5"/>
  <c r="Z1226" i="5"/>
  <c r="Z1229" i="5"/>
  <c r="Z1232" i="5"/>
  <c r="Z1235" i="5"/>
  <c r="W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AE248" i="5"/>
  <c r="AB453" i="5"/>
  <c r="Z553" i="5"/>
  <c r="V586" i="5"/>
  <c r="U615" i="5"/>
  <c r="T644" i="5"/>
  <c r="AE672" i="5"/>
  <c r="W701" i="5"/>
  <c r="V730" i="5"/>
  <c r="U759" i="5"/>
  <c r="T788" i="5"/>
  <c r="AE816" i="5"/>
  <c r="W835" i="5"/>
  <c r="W847" i="5"/>
  <c r="W857" i="5"/>
  <c r="U867" i="5"/>
  <c r="X876" i="5"/>
  <c r="V886" i="5"/>
  <c r="T896" i="5"/>
  <c r="W905" i="5"/>
  <c r="U915" i="5"/>
  <c r="X924" i="5"/>
  <c r="V934" i="5"/>
  <c r="X943" i="5"/>
  <c r="T951" i="5"/>
  <c r="U958" i="5"/>
  <c r="V965" i="5"/>
  <c r="W972" i="5"/>
  <c r="X979" i="5"/>
  <c r="T987" i="5"/>
  <c r="U994" i="5"/>
  <c r="V1001" i="5"/>
  <c r="W1008" i="5"/>
  <c r="X1015" i="5"/>
  <c r="T1023" i="5"/>
  <c r="AA1028" i="5"/>
  <c r="AA1031" i="5"/>
  <c r="AA1034" i="5"/>
  <c r="AA1037" i="5"/>
  <c r="AA1040" i="5"/>
  <c r="AA1043" i="5"/>
  <c r="AA1046" i="5"/>
  <c r="AA1049" i="5"/>
  <c r="AA1052" i="5"/>
  <c r="AA1055" i="5"/>
  <c r="AA1058" i="5"/>
  <c r="AA1061" i="5"/>
  <c r="AA1064" i="5"/>
  <c r="AA1067" i="5"/>
  <c r="AA1070" i="5"/>
  <c r="AA1073" i="5"/>
  <c r="AA1076" i="5"/>
  <c r="AA1079" i="5"/>
  <c r="AA1082" i="5"/>
  <c r="AA1085" i="5"/>
  <c r="AA1088" i="5"/>
  <c r="AA1091" i="5"/>
  <c r="AA1094" i="5"/>
  <c r="AA1097" i="5"/>
  <c r="AA1100" i="5"/>
  <c r="AA1103" i="5"/>
  <c r="AA1106" i="5"/>
  <c r="AA1109" i="5"/>
  <c r="AA1112" i="5"/>
  <c r="AA1115" i="5"/>
  <c r="AA1118" i="5"/>
  <c r="AA1121" i="5"/>
  <c r="AA1124" i="5"/>
  <c r="AA1127" i="5"/>
  <c r="AA1130" i="5"/>
  <c r="AA1133" i="5"/>
  <c r="AA1136" i="5"/>
  <c r="AA1139" i="5"/>
  <c r="AA1142" i="5"/>
  <c r="AA1145" i="5"/>
  <c r="AA1148" i="5"/>
  <c r="AA1151" i="5"/>
  <c r="AA1154" i="5"/>
  <c r="AA1157" i="5"/>
  <c r="AA1160" i="5"/>
  <c r="AA1163" i="5"/>
  <c r="AA1166" i="5"/>
  <c r="AA1169" i="5"/>
  <c r="AA1172" i="5"/>
  <c r="AA1175" i="5"/>
  <c r="AA1178" i="5"/>
  <c r="AA1181" i="5"/>
  <c r="AA1184" i="5"/>
  <c r="AA1187" i="5"/>
  <c r="AA1190" i="5"/>
  <c r="AA1193" i="5"/>
  <c r="AA1196" i="5"/>
  <c r="AA1199" i="5"/>
  <c r="AA1202" i="5"/>
  <c r="AA1205" i="5"/>
  <c r="AA1208" i="5"/>
  <c r="AA1211" i="5"/>
  <c r="AA1214" i="5"/>
  <c r="AA1217" i="5"/>
  <c r="AA1220" i="5"/>
  <c r="AA1223" i="5"/>
  <c r="AA1226" i="5"/>
  <c r="AA1229" i="5"/>
  <c r="AA1232" i="5"/>
  <c r="AA1235" i="5"/>
  <c r="X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T249" i="5"/>
  <c r="AC453" i="5"/>
  <c r="W554" i="5"/>
  <c r="W586" i="5"/>
  <c r="V615" i="5"/>
  <c r="U644" i="5"/>
  <c r="T673" i="5"/>
  <c r="AE701" i="5"/>
  <c r="W730" i="5"/>
  <c r="V759" i="5"/>
  <c r="U788" i="5"/>
  <c r="T817" i="5"/>
  <c r="X835" i="5"/>
  <c r="X847" i="5"/>
  <c r="X857" i="5"/>
  <c r="V867" i="5"/>
  <c r="T877" i="5"/>
  <c r="W886" i="5"/>
  <c r="U896" i="5"/>
  <c r="X905" i="5"/>
  <c r="V915" i="5"/>
  <c r="T925" i="5"/>
  <c r="W934" i="5"/>
  <c r="T944" i="5"/>
  <c r="U951" i="5"/>
  <c r="V958" i="5"/>
  <c r="W965" i="5"/>
  <c r="X972" i="5"/>
  <c r="T980" i="5"/>
  <c r="U987" i="5"/>
  <c r="V994" i="5"/>
  <c r="W1001" i="5"/>
  <c r="X1008" i="5"/>
  <c r="T1016" i="5"/>
  <c r="U1023" i="5"/>
  <c r="AB1028" i="5"/>
  <c r="AB1031" i="5"/>
  <c r="AB1034" i="5"/>
  <c r="AB1037" i="5"/>
  <c r="AB1040" i="5"/>
  <c r="AB1043" i="5"/>
  <c r="AB1046" i="5"/>
  <c r="AB1049" i="5"/>
  <c r="AB1052" i="5"/>
  <c r="AB1055" i="5"/>
  <c r="AB1058" i="5"/>
  <c r="AB1061" i="5"/>
  <c r="AB1064" i="5"/>
  <c r="AB1067" i="5"/>
  <c r="AB1070" i="5"/>
  <c r="AB1073" i="5"/>
  <c r="AB1076" i="5"/>
  <c r="AB1079" i="5"/>
  <c r="AB1082" i="5"/>
  <c r="AB1085" i="5"/>
  <c r="AB1088" i="5"/>
  <c r="AB1091" i="5"/>
  <c r="AB1094" i="5"/>
  <c r="AB1097" i="5"/>
  <c r="AB1100" i="5"/>
  <c r="AB1103" i="5"/>
  <c r="AB1106" i="5"/>
  <c r="AB1109" i="5"/>
  <c r="AB1112" i="5"/>
  <c r="AB1115" i="5"/>
  <c r="AB1118" i="5"/>
  <c r="AB1121" i="5"/>
  <c r="AB1124" i="5"/>
  <c r="AB1127" i="5"/>
  <c r="AB1130" i="5"/>
  <c r="AB1133" i="5"/>
  <c r="AB1136" i="5"/>
  <c r="AB1139" i="5"/>
  <c r="AB1142" i="5"/>
  <c r="AB1145" i="5"/>
  <c r="AB1148" i="5"/>
  <c r="AB1151" i="5"/>
  <c r="AB1154" i="5"/>
  <c r="AB1157" i="5"/>
  <c r="AB1160" i="5"/>
  <c r="AB1163" i="5"/>
  <c r="AB1166" i="5"/>
  <c r="AB1169" i="5"/>
  <c r="AB1172" i="5"/>
  <c r="AB1175" i="5"/>
  <c r="AB1178" i="5"/>
  <c r="AB1181" i="5"/>
  <c r="AB1184" i="5"/>
  <c r="AB1187" i="5"/>
  <c r="AB1190" i="5"/>
  <c r="AB1193" i="5"/>
  <c r="AB1196" i="5"/>
  <c r="AB1199" i="5"/>
  <c r="AB1202" i="5"/>
  <c r="AB1205" i="5"/>
  <c r="AB1208" i="5"/>
  <c r="AB1211" i="5"/>
  <c r="AB1214" i="5"/>
  <c r="AB1217" i="5"/>
  <c r="AB1220" i="5"/>
  <c r="AB1223" i="5"/>
  <c r="AB1226" i="5"/>
  <c r="AB1229" i="5"/>
  <c r="AB1232" i="5"/>
  <c r="AB1235" i="5"/>
  <c r="Z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B299" i="5"/>
  <c r="AB495" i="5"/>
  <c r="AB562" i="5"/>
  <c r="V593" i="5"/>
  <c r="U622" i="5"/>
  <c r="T651" i="5"/>
  <c r="AE679" i="5"/>
  <c r="W708" i="5"/>
  <c r="V737" i="5"/>
  <c r="U766" i="5"/>
  <c r="T795" i="5"/>
  <c r="W823" i="5"/>
  <c r="V838" i="5"/>
  <c r="U850" i="5"/>
  <c r="X859" i="5"/>
  <c r="V869" i="5"/>
  <c r="T879" i="5"/>
  <c r="W888" i="5"/>
  <c r="U898" i="5"/>
  <c r="X907" i="5"/>
  <c r="V917" i="5"/>
  <c r="T927" i="5"/>
  <c r="W936" i="5"/>
  <c r="U944" i="5"/>
  <c r="V951" i="5"/>
  <c r="W958" i="5"/>
  <c r="X965" i="5"/>
  <c r="T973" i="5"/>
  <c r="U980" i="5"/>
  <c r="V987" i="5"/>
  <c r="W994" i="5"/>
  <c r="X1001" i="5"/>
  <c r="T1009" i="5"/>
  <c r="U1016" i="5"/>
  <c r="V1023" i="5"/>
  <c r="AC1028" i="5"/>
  <c r="AC1031" i="5"/>
  <c r="AC1034" i="5"/>
  <c r="AC1037" i="5"/>
  <c r="AC1040" i="5"/>
  <c r="AC1043" i="5"/>
  <c r="AC1046" i="5"/>
  <c r="AC1049" i="5"/>
  <c r="AC1052" i="5"/>
  <c r="AC1055" i="5"/>
  <c r="AC1058" i="5"/>
  <c r="AC1061" i="5"/>
  <c r="AC1064" i="5"/>
  <c r="AC1067" i="5"/>
  <c r="AC1070" i="5"/>
  <c r="AC1073" i="5"/>
  <c r="AC1076" i="5"/>
  <c r="AC1079" i="5"/>
  <c r="AC1082" i="5"/>
  <c r="AC1085" i="5"/>
  <c r="AC1088" i="5"/>
  <c r="AC1091" i="5"/>
  <c r="AC1094" i="5"/>
  <c r="AC1097" i="5"/>
  <c r="AC1100" i="5"/>
  <c r="AC1103" i="5"/>
  <c r="AC1106" i="5"/>
  <c r="AC1109" i="5"/>
  <c r="AC1112" i="5"/>
  <c r="AC1115" i="5"/>
  <c r="AC1118" i="5"/>
  <c r="AC1121" i="5"/>
  <c r="AC1124" i="5"/>
  <c r="AC1127" i="5"/>
  <c r="AC1130" i="5"/>
  <c r="AC1133" i="5"/>
  <c r="AC1136" i="5"/>
  <c r="AC1139" i="5"/>
  <c r="AC1142" i="5"/>
  <c r="AC1145" i="5"/>
  <c r="AC1148" i="5"/>
  <c r="AC1151" i="5"/>
  <c r="AC1154" i="5"/>
  <c r="AC1157" i="5"/>
  <c r="AC1160" i="5"/>
  <c r="AC1163" i="5"/>
  <c r="AC1166" i="5"/>
  <c r="AC1169" i="5"/>
  <c r="AC1172" i="5"/>
  <c r="AC1175" i="5"/>
  <c r="AC1178" i="5"/>
  <c r="AC1181" i="5"/>
  <c r="AC1184" i="5"/>
  <c r="AC1187" i="5"/>
  <c r="AC1190" i="5"/>
  <c r="AC1193" i="5"/>
  <c r="AC1196" i="5"/>
  <c r="AC1199" i="5"/>
  <c r="AC1202" i="5"/>
  <c r="AC1205" i="5"/>
  <c r="AC1208" i="5"/>
  <c r="AC1211" i="5"/>
  <c r="AC1214" i="5"/>
  <c r="AC1217" i="5"/>
  <c r="AC1220" i="5"/>
  <c r="AC1223" i="5"/>
  <c r="AC1226" i="5"/>
  <c r="AC1229" i="5"/>
  <c r="AC1232" i="5"/>
  <c r="AC1235" i="5"/>
  <c r="AA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C299" i="5"/>
  <c r="AC495" i="5"/>
  <c r="Z563" i="5"/>
  <c r="W593" i="5"/>
  <c r="V622" i="5"/>
  <c r="U651" i="5"/>
  <c r="T680" i="5"/>
  <c r="AE708" i="5"/>
  <c r="W737" i="5"/>
  <c r="V766" i="5"/>
  <c r="U795" i="5"/>
  <c r="AB823" i="5"/>
  <c r="W838" i="5"/>
  <c r="V850" i="5"/>
  <c r="T860" i="5"/>
  <c r="W869" i="5"/>
  <c r="U879" i="5"/>
  <c r="X888" i="5"/>
  <c r="V898" i="5"/>
  <c r="T908" i="5"/>
  <c r="W917" i="5"/>
  <c r="U927" i="5"/>
  <c r="X936" i="5"/>
  <c r="T946" i="5"/>
  <c r="U953" i="5"/>
  <c r="V960" i="5"/>
  <c r="W967" i="5"/>
  <c r="X974" i="5"/>
  <c r="T982" i="5"/>
  <c r="U989" i="5"/>
  <c r="V996" i="5"/>
  <c r="W1003" i="5"/>
  <c r="X1010" i="5"/>
  <c r="T1018" i="5"/>
  <c r="U1025" i="5"/>
  <c r="Z1029" i="5"/>
  <c r="Z1032" i="5"/>
  <c r="Z1035" i="5"/>
  <c r="Z1038" i="5"/>
  <c r="Z1041" i="5"/>
  <c r="Z1044" i="5"/>
  <c r="Z1047" i="5"/>
  <c r="Z1050" i="5"/>
  <c r="Z1053" i="5"/>
  <c r="Z1056" i="5"/>
  <c r="Z1059" i="5"/>
  <c r="Z1062" i="5"/>
  <c r="Z1065" i="5"/>
  <c r="Z1068" i="5"/>
  <c r="Z1071" i="5"/>
  <c r="Z1074" i="5"/>
  <c r="Z1077" i="5"/>
  <c r="Z1080" i="5"/>
  <c r="Z1083" i="5"/>
  <c r="Z1086" i="5"/>
  <c r="Z1089" i="5"/>
  <c r="Z1092" i="5"/>
  <c r="Z1095" i="5"/>
  <c r="Z1098" i="5"/>
  <c r="Z1101" i="5"/>
  <c r="Z1104" i="5"/>
  <c r="Z1107" i="5"/>
  <c r="Z1110" i="5"/>
  <c r="Z1113" i="5"/>
  <c r="Z1116" i="5"/>
  <c r="Z1119" i="5"/>
  <c r="Z1122" i="5"/>
  <c r="Z1125" i="5"/>
  <c r="Z1128" i="5"/>
  <c r="Z1131" i="5"/>
  <c r="Z1134" i="5"/>
  <c r="Z1137" i="5"/>
  <c r="Z1140" i="5"/>
  <c r="Z1143" i="5"/>
  <c r="Z1146" i="5"/>
  <c r="Z1149" i="5"/>
  <c r="Z1152" i="5"/>
  <c r="Z1155" i="5"/>
  <c r="Z1158" i="5"/>
  <c r="Z1161" i="5"/>
  <c r="Z1164" i="5"/>
  <c r="Z1167" i="5"/>
  <c r="Z1170" i="5"/>
  <c r="Z1173" i="5"/>
  <c r="Z1176" i="5"/>
  <c r="Z1179" i="5"/>
  <c r="Z1182" i="5"/>
  <c r="Z1185" i="5"/>
  <c r="Z1188" i="5"/>
  <c r="Z1191" i="5"/>
  <c r="Z1194" i="5"/>
  <c r="AB301" i="5"/>
  <c r="AD495" i="5"/>
  <c r="AA563" i="5"/>
  <c r="AE593" i="5"/>
  <c r="W622" i="5"/>
  <c r="V651" i="5"/>
  <c r="U680" i="5"/>
  <c r="T709" i="5"/>
  <c r="AE737" i="5"/>
  <c r="W766" i="5"/>
  <c r="V795" i="5"/>
  <c r="AE823" i="5"/>
  <c r="X838" i="5"/>
  <c r="W850" i="5"/>
  <c r="U860" i="5"/>
  <c r="X869" i="5"/>
  <c r="V879" i="5"/>
  <c r="T889" i="5"/>
  <c r="W898" i="5"/>
  <c r="U908" i="5"/>
  <c r="X917" i="5"/>
  <c r="V927" i="5"/>
  <c r="T937" i="5"/>
  <c r="U946" i="5"/>
  <c r="V953" i="5"/>
  <c r="W960" i="5"/>
  <c r="X967" i="5"/>
  <c r="T975" i="5"/>
  <c r="U982" i="5"/>
  <c r="V989" i="5"/>
  <c r="W996" i="5"/>
  <c r="X1003" i="5"/>
  <c r="T1011" i="5"/>
  <c r="U1018" i="5"/>
  <c r="V1025" i="5"/>
  <c r="AA1029" i="5"/>
  <c r="AA1032" i="5"/>
  <c r="AA1035" i="5"/>
  <c r="AA1038" i="5"/>
  <c r="AA1041" i="5"/>
  <c r="AA1044" i="5"/>
  <c r="AA1047" i="5"/>
  <c r="AA1050" i="5"/>
  <c r="AA1053" i="5"/>
  <c r="AA1056" i="5"/>
  <c r="AA1059" i="5"/>
  <c r="AA1062" i="5"/>
  <c r="AA1065" i="5"/>
  <c r="AA1068" i="5"/>
  <c r="AA1071" i="5"/>
  <c r="AA1074" i="5"/>
  <c r="AA1077" i="5"/>
  <c r="AA1080" i="5"/>
  <c r="AA1083" i="5"/>
  <c r="AA1086" i="5"/>
  <c r="AA1089" i="5"/>
  <c r="AA1092" i="5"/>
  <c r="AA1095" i="5"/>
  <c r="AA1098" i="5"/>
  <c r="AA1101" i="5"/>
  <c r="AA1104" i="5"/>
  <c r="AA1107" i="5"/>
  <c r="AA1110" i="5"/>
  <c r="AA1113" i="5"/>
  <c r="AA1116" i="5"/>
  <c r="AA1119" i="5"/>
  <c r="AA1122" i="5"/>
  <c r="AA1125" i="5"/>
  <c r="AA1128" i="5"/>
  <c r="AA1131" i="5"/>
  <c r="AA1134" i="5"/>
  <c r="AA1137" i="5"/>
  <c r="AA1140" i="5"/>
  <c r="AA1143" i="5"/>
  <c r="AA1146" i="5"/>
  <c r="AA1149" i="5"/>
  <c r="AA1152" i="5"/>
  <c r="AA1155" i="5"/>
  <c r="AA1158" i="5"/>
  <c r="AA1161" i="5"/>
  <c r="AA1164" i="5"/>
  <c r="AA1167" i="5"/>
  <c r="AA1170" i="5"/>
  <c r="AA1173" i="5"/>
  <c r="AA1176" i="5"/>
  <c r="AA1179" i="5"/>
  <c r="AA1182" i="5"/>
  <c r="AA1185" i="5"/>
  <c r="AA1188" i="5"/>
  <c r="AA1191" i="5"/>
  <c r="AA1194" i="5"/>
  <c r="AA1197" i="5"/>
  <c r="AA1200" i="5"/>
  <c r="AA1203" i="5"/>
  <c r="AA1206" i="5"/>
  <c r="AA1209" i="5"/>
  <c r="AA1212" i="5"/>
  <c r="AA1215" i="5"/>
  <c r="AA1218" i="5"/>
  <c r="AA1221" i="5"/>
  <c r="AA1224" i="5"/>
  <c r="AA1227" i="5"/>
  <c r="AA1230" i="5"/>
  <c r="AA1233" i="5"/>
  <c r="AA1236" i="5"/>
  <c r="AC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V135" i="5"/>
  <c r="T402" i="5"/>
  <c r="AC539" i="5"/>
  <c r="AD578" i="5"/>
  <c r="AE607" i="5"/>
  <c r="W636" i="5"/>
  <c r="V665" i="5"/>
  <c r="U694" i="5"/>
  <c r="T723" i="5"/>
  <c r="AE751" i="5"/>
  <c r="W780" i="5"/>
  <c r="V809" i="5"/>
  <c r="V832" i="5"/>
  <c r="V844" i="5"/>
  <c r="T855" i="5"/>
  <c r="W864" i="5"/>
  <c r="U874" i="5"/>
  <c r="X883" i="5"/>
  <c r="V893" i="5"/>
  <c r="T903" i="5"/>
  <c r="W912" i="5"/>
  <c r="U922" i="5"/>
  <c r="X931" i="5"/>
  <c r="V941" i="5"/>
  <c r="W948" i="5"/>
  <c r="X955" i="5"/>
  <c r="T963" i="5"/>
  <c r="U970" i="5"/>
  <c r="V977" i="5"/>
  <c r="W984" i="5"/>
  <c r="X991" i="5"/>
  <c r="T999" i="5"/>
  <c r="U1006" i="5"/>
  <c r="V1013" i="5"/>
  <c r="W1020" i="5"/>
  <c r="X1027" i="5"/>
  <c r="AA1030" i="5"/>
  <c r="AA1033" i="5"/>
  <c r="AA1036" i="5"/>
  <c r="AA1039" i="5"/>
  <c r="AA1042" i="5"/>
  <c r="AA1045" i="5"/>
  <c r="AA1048" i="5"/>
  <c r="AA1051" i="5"/>
  <c r="AA1054" i="5"/>
  <c r="AA1057" i="5"/>
  <c r="AA1060" i="5"/>
  <c r="AA1063" i="5"/>
  <c r="AA1066" i="5"/>
  <c r="AA1069" i="5"/>
  <c r="AA1072" i="5"/>
  <c r="AA1075" i="5"/>
  <c r="AA1078" i="5"/>
  <c r="AA1081" i="5"/>
  <c r="AA1084" i="5"/>
  <c r="AA1087" i="5"/>
  <c r="AA1090" i="5"/>
  <c r="AA1093" i="5"/>
  <c r="AA1096" i="5"/>
  <c r="AA1099" i="5"/>
  <c r="AA1102" i="5"/>
  <c r="AA1105" i="5"/>
  <c r="AA1108" i="5"/>
  <c r="AA1111" i="5"/>
  <c r="AA1114" i="5"/>
  <c r="AA1117" i="5"/>
  <c r="AA1120" i="5"/>
  <c r="AA1123" i="5"/>
  <c r="AA1126" i="5"/>
  <c r="AA1129" i="5"/>
  <c r="AA1132" i="5"/>
  <c r="AA1135" i="5"/>
  <c r="AA1138" i="5"/>
  <c r="AA1141" i="5"/>
  <c r="AA1144" i="5"/>
  <c r="AA1147" i="5"/>
  <c r="AA1150" i="5"/>
  <c r="AA1153" i="5"/>
  <c r="AA1156" i="5"/>
  <c r="AA1159" i="5"/>
  <c r="AA1162" i="5"/>
  <c r="AA1165" i="5"/>
  <c r="AA1168" i="5"/>
  <c r="AA1171" i="5"/>
  <c r="AA1174" i="5"/>
  <c r="AA1177" i="5"/>
  <c r="AA1180" i="5"/>
  <c r="AA1183" i="5"/>
  <c r="AA1186" i="5"/>
  <c r="AA1189" i="5"/>
  <c r="AA1192" i="5"/>
  <c r="AA1195" i="5"/>
  <c r="AA1198" i="5"/>
  <c r="AA1201" i="5"/>
  <c r="AA1204" i="5"/>
  <c r="AA1207" i="5"/>
  <c r="AA1210" i="5"/>
  <c r="AA1213" i="5"/>
  <c r="AA1216" i="5"/>
  <c r="AA1219" i="5"/>
  <c r="AA1222" i="5"/>
  <c r="AA1225" i="5"/>
  <c r="AA1228" i="5"/>
  <c r="AA1231" i="5"/>
  <c r="AA1234" i="5"/>
  <c r="AA1237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T521" i="5"/>
  <c r="U658" i="5"/>
  <c r="V773" i="5"/>
  <c r="W852" i="5"/>
  <c r="T891" i="5"/>
  <c r="V929" i="5"/>
  <c r="X960" i="5"/>
  <c r="W989" i="5"/>
  <c r="V1018" i="5"/>
  <c r="AB1035" i="5"/>
  <c r="AB1047" i="5"/>
  <c r="AB1059" i="5"/>
  <c r="AB1071" i="5"/>
  <c r="AB1083" i="5"/>
  <c r="AB1095" i="5"/>
  <c r="AB1107" i="5"/>
  <c r="AB1119" i="5"/>
  <c r="AB1131" i="5"/>
  <c r="AB1143" i="5"/>
  <c r="AB1155" i="5"/>
  <c r="AB1167" i="5"/>
  <c r="AB1179" i="5"/>
  <c r="AB1191" i="5"/>
  <c r="AC1200" i="5"/>
  <c r="AC1209" i="5"/>
  <c r="AC1218" i="5"/>
  <c r="AC1227" i="5"/>
  <c r="AC1236" i="5"/>
  <c r="T1241" i="5"/>
  <c r="T1244" i="5"/>
  <c r="T1247" i="5"/>
  <c r="T1250" i="5"/>
  <c r="T1253" i="5"/>
  <c r="T1256" i="5"/>
  <c r="T1259" i="5"/>
  <c r="T1262" i="5"/>
  <c r="T1265" i="5"/>
  <c r="T1268" i="5"/>
  <c r="T1271" i="5"/>
  <c r="T1274" i="5"/>
  <c r="T1277" i="5"/>
  <c r="T1280" i="5"/>
  <c r="T1283" i="5"/>
  <c r="T1286" i="5"/>
  <c r="T1289" i="5"/>
  <c r="T1292" i="5"/>
  <c r="T1295" i="5"/>
  <c r="T1298" i="5"/>
  <c r="T1301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X4" i="5"/>
  <c r="U521" i="5"/>
  <c r="V658" i="5"/>
  <c r="W773" i="5"/>
  <c r="X852" i="5"/>
  <c r="U891" i="5"/>
  <c r="W929" i="5"/>
  <c r="T961" i="5"/>
  <c r="X989" i="5"/>
  <c r="W1018" i="5"/>
  <c r="AC1035" i="5"/>
  <c r="AC1047" i="5"/>
  <c r="AC1059" i="5"/>
  <c r="AC1071" i="5"/>
  <c r="AC1083" i="5"/>
  <c r="AC1095" i="5"/>
  <c r="AC1107" i="5"/>
  <c r="AC1119" i="5"/>
  <c r="AC1131" i="5"/>
  <c r="AC1143" i="5"/>
  <c r="AC1155" i="5"/>
  <c r="AC1167" i="5"/>
  <c r="AC1179" i="5"/>
  <c r="AC1191" i="5"/>
  <c r="Z1201" i="5"/>
  <c r="Z1210" i="5"/>
  <c r="Z1219" i="5"/>
  <c r="Z1228" i="5"/>
  <c r="Z1237" i="5"/>
  <c r="U1241" i="5"/>
  <c r="U1244" i="5"/>
  <c r="U1247" i="5"/>
  <c r="U1250" i="5"/>
  <c r="U1253" i="5"/>
  <c r="U1256" i="5"/>
  <c r="U1259" i="5"/>
  <c r="U1262" i="5"/>
  <c r="U1265" i="5"/>
  <c r="U1268" i="5"/>
  <c r="U1271" i="5"/>
  <c r="U1274" i="5"/>
  <c r="U1277" i="5"/>
  <c r="U1280" i="5"/>
  <c r="U1283" i="5"/>
  <c r="U1286" i="5"/>
  <c r="U1289" i="5"/>
  <c r="U1292" i="5"/>
  <c r="U1295" i="5"/>
  <c r="U1298" i="5"/>
  <c r="U1301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Y4" i="5"/>
  <c r="AD521" i="5"/>
  <c r="W658" i="5"/>
  <c r="AE773" i="5"/>
  <c r="T853" i="5"/>
  <c r="V891" i="5"/>
  <c r="X929" i="5"/>
  <c r="X962" i="5"/>
  <c r="W991" i="5"/>
  <c r="V1020" i="5"/>
  <c r="Z1036" i="5"/>
  <c r="Z1048" i="5"/>
  <c r="Z1060" i="5"/>
  <c r="Z1072" i="5"/>
  <c r="Z1084" i="5"/>
  <c r="Z1096" i="5"/>
  <c r="Z1108" i="5"/>
  <c r="Z1120" i="5"/>
  <c r="Z1132" i="5"/>
  <c r="Z1144" i="5"/>
  <c r="Z1156" i="5"/>
  <c r="Z1168" i="5"/>
  <c r="Z1180" i="5"/>
  <c r="Z1192" i="5"/>
  <c r="Z1203" i="5"/>
  <c r="Z1212" i="5"/>
  <c r="Z1221" i="5"/>
  <c r="Z1230" i="5"/>
  <c r="AB1238" i="5"/>
  <c r="AC1241" i="5"/>
  <c r="AC1244" i="5"/>
  <c r="AC1247" i="5"/>
  <c r="AC1250" i="5"/>
  <c r="AC1253" i="5"/>
  <c r="AC1256" i="5"/>
  <c r="AC1259" i="5"/>
  <c r="AC1262" i="5"/>
  <c r="AC1265" i="5"/>
  <c r="AC1268" i="5"/>
  <c r="AC1271" i="5"/>
  <c r="AC1274" i="5"/>
  <c r="AC1277" i="5"/>
  <c r="AC1280" i="5"/>
  <c r="AC1283" i="5"/>
  <c r="AC1286" i="5"/>
  <c r="AC1289" i="5"/>
  <c r="AC1292" i="5"/>
  <c r="AC1295" i="5"/>
  <c r="AC1298" i="5"/>
  <c r="AC1301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Z4" i="5"/>
  <c r="U571" i="5"/>
  <c r="T687" i="5"/>
  <c r="U802" i="5"/>
  <c r="U862" i="5"/>
  <c r="W900" i="5"/>
  <c r="T939" i="5"/>
  <c r="T968" i="5"/>
  <c r="X996" i="5"/>
  <c r="W1025" i="5"/>
  <c r="AB1038" i="5"/>
  <c r="AB1050" i="5"/>
  <c r="AB1062" i="5"/>
  <c r="AB1074" i="5"/>
  <c r="AB1086" i="5"/>
  <c r="AB1098" i="5"/>
  <c r="AB1110" i="5"/>
  <c r="AB1122" i="5"/>
  <c r="AB1134" i="5"/>
  <c r="AB1146" i="5"/>
  <c r="AB1158" i="5"/>
  <c r="AB1170" i="5"/>
  <c r="AB1182" i="5"/>
  <c r="AB1194" i="5"/>
  <c r="AB1203" i="5"/>
  <c r="AB1212" i="5"/>
  <c r="AB1221" i="5"/>
  <c r="AB1230" i="5"/>
  <c r="AD1238" i="5"/>
  <c r="AE1241" i="5"/>
  <c r="AE1244" i="5"/>
  <c r="AE1247" i="5"/>
  <c r="AE1250" i="5"/>
  <c r="AE1253" i="5"/>
  <c r="AE1256" i="5"/>
  <c r="AE1259" i="5"/>
  <c r="AE1262" i="5"/>
  <c r="AE1265" i="5"/>
  <c r="AE1268" i="5"/>
  <c r="AE1271" i="5"/>
  <c r="AE1274" i="5"/>
  <c r="AE1277" i="5"/>
  <c r="AE1280" i="5"/>
  <c r="AE1283" i="5"/>
  <c r="AE1286" i="5"/>
  <c r="AE1289" i="5"/>
  <c r="AE1292" i="5"/>
  <c r="AE1295" i="5"/>
  <c r="AE1298" i="5"/>
  <c r="AE1301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AA4" i="5"/>
  <c r="V571" i="5"/>
  <c r="U687" i="5"/>
  <c r="V802" i="5"/>
  <c r="V862" i="5"/>
  <c r="X900" i="5"/>
  <c r="U939" i="5"/>
  <c r="U968" i="5"/>
  <c r="T997" i="5"/>
  <c r="X1025" i="5"/>
  <c r="AC1038" i="5"/>
  <c r="AC1050" i="5"/>
  <c r="AC1062" i="5"/>
  <c r="AC1074" i="5"/>
  <c r="AC1086" i="5"/>
  <c r="AC1098" i="5"/>
  <c r="AC1110" i="5"/>
  <c r="AC1122" i="5"/>
  <c r="AC1134" i="5"/>
  <c r="AC1146" i="5"/>
  <c r="AC1158" i="5"/>
  <c r="AC1170" i="5"/>
  <c r="AC1182" i="5"/>
  <c r="AC1194" i="5"/>
  <c r="AC1203" i="5"/>
  <c r="AC1212" i="5"/>
  <c r="AC1221" i="5"/>
  <c r="AC1230" i="5"/>
  <c r="T1239" i="5"/>
  <c r="T1242" i="5"/>
  <c r="T1245" i="5"/>
  <c r="T1248" i="5"/>
  <c r="T1251" i="5"/>
  <c r="T1254" i="5"/>
  <c r="T1257" i="5"/>
  <c r="T1260" i="5"/>
  <c r="T1263" i="5"/>
  <c r="T1266" i="5"/>
  <c r="T1269" i="5"/>
  <c r="T1272" i="5"/>
  <c r="T1275" i="5"/>
  <c r="T1278" i="5"/>
  <c r="T1281" i="5"/>
  <c r="T1284" i="5"/>
  <c r="T1287" i="5"/>
  <c r="T1290" i="5"/>
  <c r="T1293" i="5"/>
  <c r="T1296" i="5"/>
  <c r="T1299" i="5"/>
  <c r="T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B4" i="5"/>
  <c r="W571" i="5"/>
  <c r="V687" i="5"/>
  <c r="W802" i="5"/>
  <c r="W862" i="5"/>
  <c r="T901" i="5"/>
  <c r="V939" i="5"/>
  <c r="T970" i="5"/>
  <c r="X998" i="5"/>
  <c r="W1027" i="5"/>
  <c r="Z1039" i="5"/>
  <c r="Z1051" i="5"/>
  <c r="Z1063" i="5"/>
  <c r="Z1075" i="5"/>
  <c r="Z1087" i="5"/>
  <c r="Z1099" i="5"/>
  <c r="Z1111" i="5"/>
  <c r="Z1123" i="5"/>
  <c r="Z1135" i="5"/>
  <c r="Z1147" i="5"/>
  <c r="Z1159" i="5"/>
  <c r="Z1171" i="5"/>
  <c r="Z1183" i="5"/>
  <c r="Z1195" i="5"/>
  <c r="Z1204" i="5"/>
  <c r="Z1213" i="5"/>
  <c r="Z1222" i="5"/>
  <c r="Z1231" i="5"/>
  <c r="U1239" i="5"/>
  <c r="U1242" i="5"/>
  <c r="U1245" i="5"/>
  <c r="U1248" i="5"/>
  <c r="U1251" i="5"/>
  <c r="U1254" i="5"/>
  <c r="U1257" i="5"/>
  <c r="U1260" i="5"/>
  <c r="U1263" i="5"/>
  <c r="U1266" i="5"/>
  <c r="U1269" i="5"/>
  <c r="U1272" i="5"/>
  <c r="U1275" i="5"/>
  <c r="U1278" i="5"/>
  <c r="U1281" i="5"/>
  <c r="U1284" i="5"/>
  <c r="U1287" i="5"/>
  <c r="U1290" i="5"/>
  <c r="U1293" i="5"/>
  <c r="U1296" i="5"/>
  <c r="U1299" i="5"/>
  <c r="U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C4" i="5"/>
  <c r="W600" i="5"/>
  <c r="AE715" i="5"/>
  <c r="V829" i="5"/>
  <c r="X871" i="5"/>
  <c r="U910" i="5"/>
  <c r="V946" i="5"/>
  <c r="U975" i="5"/>
  <c r="T1004" i="5"/>
  <c r="AB1029" i="5"/>
  <c r="AB1041" i="5"/>
  <c r="AB1053" i="5"/>
  <c r="AB1065" i="5"/>
  <c r="AB1077" i="5"/>
  <c r="AB1089" i="5"/>
  <c r="AB1101" i="5"/>
  <c r="AB1113" i="5"/>
  <c r="AB1125" i="5"/>
  <c r="AB1137" i="5"/>
  <c r="AB1149" i="5"/>
  <c r="AB1161" i="5"/>
  <c r="AB1173" i="5"/>
  <c r="AB1185" i="5"/>
  <c r="Z1197" i="5"/>
  <c r="Z1206" i="5"/>
  <c r="Z1215" i="5"/>
  <c r="Z1224" i="5"/>
  <c r="Z1233" i="5"/>
  <c r="AC1239" i="5"/>
  <c r="AC1242" i="5"/>
  <c r="AC1245" i="5"/>
  <c r="AC1248" i="5"/>
  <c r="AC1251" i="5"/>
  <c r="AC1254" i="5"/>
  <c r="AC1257" i="5"/>
  <c r="AC1260" i="5"/>
  <c r="AC1263" i="5"/>
  <c r="AC1266" i="5"/>
  <c r="AC1269" i="5"/>
  <c r="AC1272" i="5"/>
  <c r="AC1275" i="5"/>
  <c r="AC1278" i="5"/>
  <c r="AC1281" i="5"/>
  <c r="AC1284" i="5"/>
  <c r="AC1287" i="5"/>
  <c r="AC1290" i="5"/>
  <c r="AC1293" i="5"/>
  <c r="AC1296" i="5"/>
  <c r="AC1299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D4" i="5"/>
  <c r="AE600" i="5"/>
  <c r="T716" i="5"/>
  <c r="W829" i="5"/>
  <c r="T872" i="5"/>
  <c r="V910" i="5"/>
  <c r="W946" i="5"/>
  <c r="V975" i="5"/>
  <c r="U1004" i="5"/>
  <c r="AC1029" i="5"/>
  <c r="AC1041" i="5"/>
  <c r="AC1053" i="5"/>
  <c r="AC1065" i="5"/>
  <c r="AC1077" i="5"/>
  <c r="AC1089" i="5"/>
  <c r="AC1101" i="5"/>
  <c r="AC1113" i="5"/>
  <c r="AC1125" i="5"/>
  <c r="AC1137" i="5"/>
  <c r="AC1149" i="5"/>
  <c r="AC1161" i="5"/>
  <c r="AC1173" i="5"/>
  <c r="AC1185" i="5"/>
  <c r="AB1197" i="5"/>
  <c r="AB1206" i="5"/>
  <c r="AB1215" i="5"/>
  <c r="AB1224" i="5"/>
  <c r="AB1233" i="5"/>
  <c r="AE1239" i="5"/>
  <c r="AE1242" i="5"/>
  <c r="AE1245" i="5"/>
  <c r="AE1248" i="5"/>
  <c r="AE1251" i="5"/>
  <c r="AE1254" i="5"/>
  <c r="AE1257" i="5"/>
  <c r="AE1260" i="5"/>
  <c r="AE1263" i="5"/>
  <c r="AE1266" i="5"/>
  <c r="AE1269" i="5"/>
  <c r="AE1272" i="5"/>
  <c r="AE1275" i="5"/>
  <c r="AE1278" i="5"/>
  <c r="AE1281" i="5"/>
  <c r="AE1284" i="5"/>
  <c r="AE1287" i="5"/>
  <c r="AE1290" i="5"/>
  <c r="AE1293" i="5"/>
  <c r="AE1296" i="5"/>
  <c r="AE1299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E351" i="5"/>
  <c r="AE629" i="5"/>
  <c r="T745" i="5"/>
  <c r="X841" i="5"/>
  <c r="X881" i="5"/>
  <c r="U920" i="5"/>
  <c r="W955" i="5"/>
  <c r="V984" i="5"/>
  <c r="U1013" i="5"/>
  <c r="Z1033" i="5"/>
  <c r="Z1045" i="5"/>
  <c r="Z1057" i="5"/>
  <c r="Z1069" i="5"/>
  <c r="Z1081" i="5"/>
  <c r="Z1093" i="5"/>
  <c r="Z1105" i="5"/>
  <c r="Z1117" i="5"/>
  <c r="Z1129" i="5"/>
  <c r="Z1141" i="5"/>
  <c r="Z1153" i="5"/>
  <c r="Z1165" i="5"/>
  <c r="Z1177" i="5"/>
  <c r="Z1189" i="5"/>
  <c r="AB1200" i="5"/>
  <c r="AB1209" i="5"/>
  <c r="AB1218" i="5"/>
  <c r="AB1227" i="5"/>
  <c r="AB1236" i="5"/>
  <c r="AE1240" i="5"/>
  <c r="AE1243" i="5"/>
  <c r="AE1246" i="5"/>
  <c r="AE1249" i="5"/>
  <c r="AE1252" i="5"/>
  <c r="AE1255" i="5"/>
  <c r="AE1258" i="5"/>
  <c r="AE1261" i="5"/>
  <c r="AE1264" i="5"/>
  <c r="AE1267" i="5"/>
  <c r="AE1270" i="5"/>
  <c r="AE1273" i="5"/>
  <c r="AE1276" i="5"/>
  <c r="AE1279" i="5"/>
  <c r="AE1282" i="5"/>
  <c r="AE1285" i="5"/>
  <c r="AE1288" i="5"/>
  <c r="AE1291" i="5"/>
  <c r="AE1294" i="5"/>
  <c r="AE1297" i="5"/>
  <c r="AE1300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W4" i="5"/>
  <c r="W629" i="5"/>
  <c r="T920" i="5"/>
  <c r="AC1032" i="5"/>
  <c r="AC1080" i="5"/>
  <c r="AC1128" i="5"/>
  <c r="AC1176" i="5"/>
  <c r="Z1218" i="5"/>
  <c r="AC1243" i="5"/>
  <c r="AC1255" i="5"/>
  <c r="AC1267" i="5"/>
  <c r="AC1279" i="5"/>
  <c r="AC1291" i="5"/>
  <c r="U1303" i="5"/>
  <c r="U1307" i="5"/>
  <c r="U1311" i="5"/>
  <c r="U1315" i="5"/>
  <c r="U1319" i="5"/>
  <c r="U1323" i="5"/>
  <c r="U1327" i="5"/>
  <c r="U1331" i="5"/>
  <c r="U1335" i="5"/>
  <c r="U1339" i="5"/>
  <c r="U1343" i="5"/>
  <c r="U1347" i="5"/>
  <c r="U1351" i="5"/>
  <c r="U1355" i="5"/>
  <c r="U1359" i="5"/>
  <c r="U1363" i="5"/>
  <c r="U1367" i="5"/>
  <c r="U1371" i="5"/>
  <c r="U1375" i="5"/>
  <c r="U1379" i="5"/>
  <c r="U1383" i="5"/>
  <c r="U1387" i="5"/>
  <c r="U1391" i="5"/>
  <c r="U1395" i="5"/>
  <c r="U1399" i="5"/>
  <c r="U1403" i="5"/>
  <c r="U1407" i="5"/>
  <c r="U1411" i="5"/>
  <c r="U1415" i="5"/>
  <c r="U1419" i="5"/>
  <c r="U1423" i="5"/>
  <c r="U1427" i="5"/>
  <c r="U1431" i="5"/>
  <c r="U1435" i="5"/>
  <c r="U1439" i="5"/>
  <c r="U1443" i="5"/>
  <c r="U1447" i="5"/>
  <c r="U1451" i="5"/>
  <c r="U1455" i="5"/>
  <c r="U1459" i="5"/>
  <c r="U1463" i="5"/>
  <c r="U1467" i="5"/>
  <c r="U1471" i="5"/>
  <c r="U1475" i="5"/>
  <c r="U1479" i="5"/>
  <c r="U1483" i="5"/>
  <c r="U1487" i="5"/>
  <c r="U1491" i="5"/>
  <c r="U1495" i="5"/>
  <c r="U1499" i="5"/>
  <c r="U1503" i="5"/>
  <c r="U1507" i="5"/>
  <c r="U1511" i="5"/>
  <c r="U1515" i="5"/>
  <c r="U1519" i="5"/>
  <c r="U1523" i="5"/>
  <c r="U1527" i="5"/>
  <c r="U1531" i="5"/>
  <c r="U1535" i="5"/>
  <c r="U1539" i="5"/>
  <c r="U1543" i="5"/>
  <c r="U1547" i="5"/>
  <c r="U1551" i="5"/>
  <c r="U1555" i="5"/>
  <c r="U1559" i="5"/>
  <c r="U1563" i="5"/>
  <c r="U1567" i="5"/>
  <c r="U1571" i="5"/>
  <c r="U1575" i="5"/>
  <c r="U1579" i="5"/>
  <c r="U1583" i="5"/>
  <c r="U1587" i="5"/>
  <c r="U1591" i="5"/>
  <c r="T1595" i="5"/>
  <c r="T1598" i="5"/>
  <c r="T1601" i="5"/>
  <c r="T1604" i="5"/>
  <c r="T1607" i="5"/>
  <c r="T1610" i="5"/>
  <c r="T1613" i="5"/>
  <c r="T1616" i="5"/>
  <c r="T1619" i="5"/>
  <c r="T1622" i="5"/>
  <c r="T1625" i="5"/>
  <c r="T1628" i="5"/>
  <c r="T1631" i="5"/>
  <c r="T1634" i="5"/>
  <c r="T1637" i="5"/>
  <c r="T1640" i="5"/>
  <c r="T1643" i="5"/>
  <c r="T1646" i="5"/>
  <c r="T1649" i="5"/>
  <c r="T1652" i="5"/>
  <c r="T1655" i="5"/>
  <c r="T1658" i="5"/>
  <c r="T1661" i="5"/>
  <c r="T1664" i="5"/>
  <c r="T1667" i="5"/>
  <c r="T1670" i="5"/>
  <c r="T1673" i="5"/>
  <c r="T1676" i="5"/>
  <c r="T1679" i="5"/>
  <c r="T1682" i="5"/>
  <c r="T1685" i="5"/>
  <c r="T1688" i="5"/>
  <c r="T1691" i="5"/>
  <c r="T1694" i="5"/>
  <c r="T1697" i="5"/>
  <c r="T1700" i="5"/>
  <c r="T1703" i="5"/>
  <c r="T1706" i="5"/>
  <c r="T1709" i="5"/>
  <c r="T1712" i="5"/>
  <c r="T1715" i="5"/>
  <c r="T1718" i="5"/>
  <c r="T1721" i="5"/>
  <c r="T1724" i="5"/>
  <c r="T1727" i="5"/>
  <c r="T1730" i="5"/>
  <c r="T1733" i="5"/>
  <c r="T1736" i="5"/>
  <c r="T1739" i="5"/>
  <c r="T1742" i="5"/>
  <c r="T1745" i="5"/>
  <c r="T1748" i="5"/>
  <c r="T1751" i="5"/>
  <c r="T1754" i="5"/>
  <c r="T1757" i="5"/>
  <c r="T1760" i="5"/>
  <c r="T1763" i="5"/>
  <c r="T1766" i="5"/>
  <c r="T1769" i="5"/>
  <c r="T1772" i="5"/>
  <c r="T1775" i="5"/>
  <c r="T1778" i="5"/>
  <c r="T1781" i="5"/>
  <c r="T1784" i="5"/>
  <c r="T1787" i="5"/>
  <c r="T1790" i="5"/>
  <c r="T1793" i="5"/>
  <c r="T1796" i="5"/>
  <c r="T1799" i="5"/>
  <c r="T1802" i="5"/>
  <c r="T1805" i="5"/>
  <c r="T1808" i="5"/>
  <c r="T1811" i="5"/>
  <c r="T1814" i="5"/>
  <c r="T1817" i="5"/>
  <c r="T1820" i="5"/>
  <c r="T1823" i="5"/>
  <c r="U4" i="5"/>
  <c r="AC1068" i="5"/>
  <c r="AC1164" i="5"/>
  <c r="AC1252" i="5"/>
  <c r="AC1288" i="5"/>
  <c r="U1314" i="5"/>
  <c r="U1326" i="5"/>
  <c r="U1338" i="5"/>
  <c r="U1350" i="5"/>
  <c r="U1366" i="5"/>
  <c r="U1382" i="5"/>
  <c r="U1394" i="5"/>
  <c r="U1402" i="5"/>
  <c r="U1414" i="5"/>
  <c r="U1422" i="5"/>
  <c r="U1434" i="5"/>
  <c r="U1442" i="5"/>
  <c r="U1454" i="5"/>
  <c r="U1462" i="5"/>
  <c r="U1474" i="5"/>
  <c r="U1482" i="5"/>
  <c r="U1494" i="5"/>
  <c r="U1502" i="5"/>
  <c r="U1514" i="5"/>
  <c r="U1526" i="5"/>
  <c r="U1538" i="5"/>
  <c r="U1546" i="5"/>
  <c r="U1554" i="5"/>
  <c r="U1570" i="5"/>
  <c r="U1578" i="5"/>
  <c r="U1586" i="5"/>
  <c r="U1597" i="5"/>
  <c r="U1600" i="5"/>
  <c r="U1609" i="5"/>
  <c r="U1618" i="5"/>
  <c r="U1624" i="5"/>
  <c r="U1636" i="5"/>
  <c r="U1642" i="5"/>
  <c r="U1651" i="5"/>
  <c r="U1657" i="5"/>
  <c r="U1663" i="5"/>
  <c r="U1672" i="5"/>
  <c r="U1678" i="5"/>
  <c r="U1687" i="5"/>
  <c r="U1693" i="5"/>
  <c r="U1699" i="5"/>
  <c r="U1708" i="5"/>
  <c r="U1714" i="5"/>
  <c r="U1726" i="5"/>
  <c r="U1738" i="5"/>
  <c r="U1747" i="5"/>
  <c r="U1753" i="5"/>
  <c r="U1765" i="5"/>
  <c r="U1771" i="5"/>
  <c r="U1777" i="5"/>
  <c r="U1786" i="5"/>
  <c r="U1792" i="5"/>
  <c r="U1798" i="5"/>
  <c r="U1813" i="5"/>
  <c r="U1822" i="5"/>
  <c r="T601" i="5"/>
  <c r="AH601" i="5" s="1"/>
  <c r="Z1126" i="5"/>
  <c r="T1243" i="5"/>
  <c r="T1279" i="5"/>
  <c r="AE1302" i="5"/>
  <c r="AE1314" i="5"/>
  <c r="AE1326" i="5"/>
  <c r="AE1334" i="5"/>
  <c r="AE1342" i="5"/>
  <c r="AE1354" i="5"/>
  <c r="AE1362" i="5"/>
  <c r="AE1374" i="5"/>
  <c r="AE1382" i="5"/>
  <c r="AE1390" i="5"/>
  <c r="AE1402" i="5"/>
  <c r="AE1406" i="5"/>
  <c r="AE1414" i="5"/>
  <c r="AE1426" i="5"/>
  <c r="AE1434" i="5"/>
  <c r="AE1446" i="5"/>
  <c r="AE1454" i="5"/>
  <c r="AE1462" i="5"/>
  <c r="AE1474" i="5"/>
  <c r="AE1482" i="5"/>
  <c r="AE1494" i="5"/>
  <c r="AE1502" i="5"/>
  <c r="AE1514" i="5"/>
  <c r="AE1522" i="5"/>
  <c r="AE1534" i="5"/>
  <c r="AE1542" i="5"/>
  <c r="AE1550" i="5"/>
  <c r="AE1562" i="5"/>
  <c r="AE1566" i="5"/>
  <c r="AE1574" i="5"/>
  <c r="AE1586" i="5"/>
  <c r="AD1594" i="5"/>
  <c r="AD1603" i="5"/>
  <c r="AD1609" i="5"/>
  <c r="AD1615" i="5"/>
  <c r="AD1624" i="5"/>
  <c r="AD1630" i="5"/>
  <c r="AD1639" i="5"/>
  <c r="AD1648" i="5"/>
  <c r="AD1654" i="5"/>
  <c r="AD1663" i="5"/>
  <c r="AD1669" i="5"/>
  <c r="AD1681" i="5"/>
  <c r="AD1687" i="5"/>
  <c r="AD1696" i="5"/>
  <c r="AD1702" i="5"/>
  <c r="AD1708" i="5"/>
  <c r="AD1714" i="5"/>
  <c r="AD1723" i="5"/>
  <c r="AD1729" i="5"/>
  <c r="AD1735" i="5"/>
  <c r="AD1744" i="5"/>
  <c r="AD1750" i="5"/>
  <c r="AD1756" i="5"/>
  <c r="AD1762" i="5"/>
  <c r="AD1771" i="5"/>
  <c r="AD1777" i="5"/>
  <c r="AD1783" i="5"/>
  <c r="AD1789" i="5"/>
  <c r="AD1795" i="5"/>
  <c r="AD1804" i="5"/>
  <c r="AD1810" i="5"/>
  <c r="AD1816" i="5"/>
  <c r="AD1822" i="5"/>
  <c r="U716" i="5"/>
  <c r="V948" i="5"/>
  <c r="Z1042" i="5"/>
  <c r="Z1090" i="5"/>
  <c r="Z1138" i="5"/>
  <c r="Z1186" i="5"/>
  <c r="AC1224" i="5"/>
  <c r="T1246" i="5"/>
  <c r="T1258" i="5"/>
  <c r="T1270" i="5"/>
  <c r="T1282" i="5"/>
  <c r="T1294" i="5"/>
  <c r="AE1303" i="5"/>
  <c r="AE1307" i="5"/>
  <c r="AE1311" i="5"/>
  <c r="AE1315" i="5"/>
  <c r="AE1319" i="5"/>
  <c r="AE1323" i="5"/>
  <c r="AE1327" i="5"/>
  <c r="AE1331" i="5"/>
  <c r="AE1335" i="5"/>
  <c r="AE1339" i="5"/>
  <c r="AE1343" i="5"/>
  <c r="AE1347" i="5"/>
  <c r="AE1351" i="5"/>
  <c r="AE1355" i="5"/>
  <c r="AE1359" i="5"/>
  <c r="AE1363" i="5"/>
  <c r="AE1367" i="5"/>
  <c r="AE1371" i="5"/>
  <c r="AE1375" i="5"/>
  <c r="AE1379" i="5"/>
  <c r="AE1383" i="5"/>
  <c r="AE1387" i="5"/>
  <c r="AE1391" i="5"/>
  <c r="AE1395" i="5"/>
  <c r="AE1399" i="5"/>
  <c r="AE1403" i="5"/>
  <c r="AE1407" i="5"/>
  <c r="AE1411" i="5"/>
  <c r="AE1415" i="5"/>
  <c r="AE1419" i="5"/>
  <c r="AE1423" i="5"/>
  <c r="AE1427" i="5"/>
  <c r="AE1431" i="5"/>
  <c r="AE1435" i="5"/>
  <c r="AE1439" i="5"/>
  <c r="AE1443" i="5"/>
  <c r="AE1447" i="5"/>
  <c r="AE1451" i="5"/>
  <c r="AE1455" i="5"/>
  <c r="AE1459" i="5"/>
  <c r="AE1463" i="5"/>
  <c r="AE1467" i="5"/>
  <c r="AE1471" i="5"/>
  <c r="AE1475" i="5"/>
  <c r="AE1479" i="5"/>
  <c r="AE1483" i="5"/>
  <c r="AE1487" i="5"/>
  <c r="AE1491" i="5"/>
  <c r="AE1495" i="5"/>
  <c r="AE1499" i="5"/>
  <c r="AE1503" i="5"/>
  <c r="AE1507" i="5"/>
  <c r="AE1511" i="5"/>
  <c r="AE1515" i="5"/>
  <c r="AE1519" i="5"/>
  <c r="AE1523" i="5"/>
  <c r="AE1527" i="5"/>
  <c r="AE1531" i="5"/>
  <c r="AE1535" i="5"/>
  <c r="AE1539" i="5"/>
  <c r="AE1543" i="5"/>
  <c r="AE1547" i="5"/>
  <c r="AE1551" i="5"/>
  <c r="AE1555" i="5"/>
  <c r="AE1559" i="5"/>
  <c r="AE1563" i="5"/>
  <c r="AE1567" i="5"/>
  <c r="AE1571" i="5"/>
  <c r="AE1575" i="5"/>
  <c r="AE1579" i="5"/>
  <c r="AE1583" i="5"/>
  <c r="AE1587" i="5"/>
  <c r="AE1591" i="5"/>
  <c r="U1595" i="5"/>
  <c r="U1598" i="5"/>
  <c r="U1601" i="5"/>
  <c r="U1604" i="5"/>
  <c r="U1607" i="5"/>
  <c r="U1610" i="5"/>
  <c r="U1613" i="5"/>
  <c r="U1616" i="5"/>
  <c r="U1619" i="5"/>
  <c r="U1622" i="5"/>
  <c r="U1625" i="5"/>
  <c r="U1628" i="5"/>
  <c r="U1631" i="5"/>
  <c r="U1634" i="5"/>
  <c r="U1637" i="5"/>
  <c r="U1640" i="5"/>
  <c r="U1643" i="5"/>
  <c r="U1646" i="5"/>
  <c r="U1649" i="5"/>
  <c r="U1652" i="5"/>
  <c r="U1655" i="5"/>
  <c r="U1658" i="5"/>
  <c r="U1661" i="5"/>
  <c r="U1664" i="5"/>
  <c r="U1667" i="5"/>
  <c r="U1670" i="5"/>
  <c r="U1673" i="5"/>
  <c r="U1676" i="5"/>
  <c r="U1679" i="5"/>
  <c r="U1682" i="5"/>
  <c r="U1685" i="5"/>
  <c r="U1688" i="5"/>
  <c r="U1691" i="5"/>
  <c r="U1694" i="5"/>
  <c r="U1697" i="5"/>
  <c r="U1700" i="5"/>
  <c r="U1703" i="5"/>
  <c r="U1706" i="5"/>
  <c r="U1709" i="5"/>
  <c r="U1712" i="5"/>
  <c r="U1715" i="5"/>
  <c r="U1718" i="5"/>
  <c r="U1721" i="5"/>
  <c r="U1724" i="5"/>
  <c r="U1727" i="5"/>
  <c r="U1730" i="5"/>
  <c r="U1733" i="5"/>
  <c r="U1736" i="5"/>
  <c r="U1739" i="5"/>
  <c r="U1742" i="5"/>
  <c r="U1745" i="5"/>
  <c r="U1748" i="5"/>
  <c r="U1751" i="5"/>
  <c r="U1754" i="5"/>
  <c r="U1757" i="5"/>
  <c r="U1760" i="5"/>
  <c r="U1763" i="5"/>
  <c r="U1766" i="5"/>
  <c r="U1769" i="5"/>
  <c r="U1772" i="5"/>
  <c r="U1775" i="5"/>
  <c r="U1778" i="5"/>
  <c r="U1781" i="5"/>
  <c r="U1784" i="5"/>
  <c r="U1787" i="5"/>
  <c r="U1790" i="5"/>
  <c r="U1793" i="5"/>
  <c r="U1796" i="5"/>
  <c r="U1799" i="5"/>
  <c r="U1802" i="5"/>
  <c r="U1805" i="5"/>
  <c r="U1808" i="5"/>
  <c r="U1811" i="5"/>
  <c r="U1814" i="5"/>
  <c r="U1817" i="5"/>
  <c r="U1820" i="5"/>
  <c r="U1823" i="5"/>
  <c r="V4" i="5"/>
  <c r="AD351" i="5"/>
  <c r="Z1209" i="5"/>
  <c r="AC1264" i="5"/>
  <c r="AC1300" i="5"/>
  <c r="U1310" i="5"/>
  <c r="U1322" i="5"/>
  <c r="U1334" i="5"/>
  <c r="U1346" i="5"/>
  <c r="U1354" i="5"/>
  <c r="U1370" i="5"/>
  <c r="U1386" i="5"/>
  <c r="U1398" i="5"/>
  <c r="U1410" i="5"/>
  <c r="U1418" i="5"/>
  <c r="U1430" i="5"/>
  <c r="U1438" i="5"/>
  <c r="U1450" i="5"/>
  <c r="U1458" i="5"/>
  <c r="U1470" i="5"/>
  <c r="U1478" i="5"/>
  <c r="U1498" i="5"/>
  <c r="U1506" i="5"/>
  <c r="U1522" i="5"/>
  <c r="U1530" i="5"/>
  <c r="U1542" i="5"/>
  <c r="U1550" i="5"/>
  <c r="U1566" i="5"/>
  <c r="U1574" i="5"/>
  <c r="U1582" i="5"/>
  <c r="U1594" i="5"/>
  <c r="U1603" i="5"/>
  <c r="U1612" i="5"/>
  <c r="U1621" i="5"/>
  <c r="U1627" i="5"/>
  <c r="U1633" i="5"/>
  <c r="U1639" i="5"/>
  <c r="U1648" i="5"/>
  <c r="U1654" i="5"/>
  <c r="U1660" i="5"/>
  <c r="U1669" i="5"/>
  <c r="U1675" i="5"/>
  <c r="U1681" i="5"/>
  <c r="U1690" i="5"/>
  <c r="U1696" i="5"/>
  <c r="U1705" i="5"/>
  <c r="U1711" i="5"/>
  <c r="U1720" i="5"/>
  <c r="U1729" i="5"/>
  <c r="U1735" i="5"/>
  <c r="U1744" i="5"/>
  <c r="U1750" i="5"/>
  <c r="U1759" i="5"/>
  <c r="U1768" i="5"/>
  <c r="U1774" i="5"/>
  <c r="U1780" i="5"/>
  <c r="U1789" i="5"/>
  <c r="U1795" i="5"/>
  <c r="U1801" i="5"/>
  <c r="U1810" i="5"/>
  <c r="U1819" i="5"/>
  <c r="U1825" i="5"/>
  <c r="Z1030" i="5"/>
  <c r="Z1078" i="5"/>
  <c r="Z1174" i="5"/>
  <c r="T1255" i="5"/>
  <c r="T1291" i="5"/>
  <c r="AE1310" i="5"/>
  <c r="AE1318" i="5"/>
  <c r="AE1330" i="5"/>
  <c r="AE1338" i="5"/>
  <c r="AE1350" i="5"/>
  <c r="AE1358" i="5"/>
  <c r="AE1366" i="5"/>
  <c r="AE1378" i="5"/>
  <c r="AE1386" i="5"/>
  <c r="AE1398" i="5"/>
  <c r="AE1410" i="5"/>
  <c r="AE1418" i="5"/>
  <c r="AE1430" i="5"/>
  <c r="AE1438" i="5"/>
  <c r="AE1450" i="5"/>
  <c r="AE1458" i="5"/>
  <c r="AE1470" i="5"/>
  <c r="AE1478" i="5"/>
  <c r="AE1490" i="5"/>
  <c r="AE1498" i="5"/>
  <c r="AE1506" i="5"/>
  <c r="AE1518" i="5"/>
  <c r="AE1526" i="5"/>
  <c r="AE1538" i="5"/>
  <c r="AE1546" i="5"/>
  <c r="AE1558" i="5"/>
  <c r="AE1570" i="5"/>
  <c r="AE1582" i="5"/>
  <c r="AE1590" i="5"/>
  <c r="AD1597" i="5"/>
  <c r="AD1606" i="5"/>
  <c r="AD1612" i="5"/>
  <c r="AD1621" i="5"/>
  <c r="AD1627" i="5"/>
  <c r="AD1633" i="5"/>
  <c r="AD1642" i="5"/>
  <c r="AD1645" i="5"/>
  <c r="AD1651" i="5"/>
  <c r="AD1660" i="5"/>
  <c r="AD1666" i="5"/>
  <c r="AD1672" i="5"/>
  <c r="AD1678" i="5"/>
  <c r="AD1684" i="5"/>
  <c r="AD1690" i="5"/>
  <c r="AD1699" i="5"/>
  <c r="AD1705" i="5"/>
  <c r="AD1711" i="5"/>
  <c r="AD1720" i="5"/>
  <c r="AD1726" i="5"/>
  <c r="AD1732" i="5"/>
  <c r="AD1738" i="5"/>
  <c r="AD1747" i="5"/>
  <c r="AD1753" i="5"/>
  <c r="AD1759" i="5"/>
  <c r="AD1765" i="5"/>
  <c r="AD1774" i="5"/>
  <c r="AD1780" i="5"/>
  <c r="AD1786" i="5"/>
  <c r="AD1792" i="5"/>
  <c r="AD1798" i="5"/>
  <c r="AD1807" i="5"/>
  <c r="AD1813" i="5"/>
  <c r="AD1819" i="5"/>
  <c r="AD1825" i="5"/>
  <c r="W744" i="5"/>
  <c r="W953" i="5"/>
  <c r="AB1044" i="5"/>
  <c r="AB1092" i="5"/>
  <c r="AB1140" i="5"/>
  <c r="AB1188" i="5"/>
  <c r="Z1225" i="5"/>
  <c r="U1246" i="5"/>
  <c r="U1258" i="5"/>
  <c r="U1270" i="5"/>
  <c r="U1282" i="5"/>
  <c r="U1294" i="5"/>
  <c r="T1304" i="5"/>
  <c r="T1308" i="5"/>
  <c r="T1312" i="5"/>
  <c r="T1316" i="5"/>
  <c r="T1320" i="5"/>
  <c r="T1324" i="5"/>
  <c r="T1328" i="5"/>
  <c r="T1332" i="5"/>
  <c r="T1336" i="5"/>
  <c r="T1340" i="5"/>
  <c r="T1344" i="5"/>
  <c r="T1348" i="5"/>
  <c r="T1352" i="5"/>
  <c r="T1356" i="5"/>
  <c r="T1360" i="5"/>
  <c r="T1364" i="5"/>
  <c r="T1368" i="5"/>
  <c r="T1372" i="5"/>
  <c r="T1376" i="5"/>
  <c r="T1380" i="5"/>
  <c r="T1384" i="5"/>
  <c r="T1388" i="5"/>
  <c r="T1392" i="5"/>
  <c r="T1396" i="5"/>
  <c r="T1400" i="5"/>
  <c r="T1404" i="5"/>
  <c r="T1408" i="5"/>
  <c r="T1412" i="5"/>
  <c r="T1416" i="5"/>
  <c r="T1420" i="5"/>
  <c r="T1424" i="5"/>
  <c r="T1428" i="5"/>
  <c r="T1432" i="5"/>
  <c r="T1436" i="5"/>
  <c r="T1440" i="5"/>
  <c r="T1444" i="5"/>
  <c r="T1448" i="5"/>
  <c r="T1452" i="5"/>
  <c r="T1456" i="5"/>
  <c r="T1460" i="5"/>
  <c r="T1464" i="5"/>
  <c r="T1468" i="5"/>
  <c r="T1472" i="5"/>
  <c r="T1476" i="5"/>
  <c r="T1480" i="5"/>
  <c r="T1484" i="5"/>
  <c r="T1488" i="5"/>
  <c r="T1492" i="5"/>
  <c r="T1496" i="5"/>
  <c r="T1500" i="5"/>
  <c r="T1504" i="5"/>
  <c r="T1508" i="5"/>
  <c r="T1512" i="5"/>
  <c r="T1516" i="5"/>
  <c r="T1520" i="5"/>
  <c r="T1524" i="5"/>
  <c r="T1528" i="5"/>
  <c r="T1532" i="5"/>
  <c r="T1536" i="5"/>
  <c r="T1540" i="5"/>
  <c r="T1544" i="5"/>
  <c r="T1548" i="5"/>
  <c r="T1552" i="5"/>
  <c r="T1556" i="5"/>
  <c r="T1560" i="5"/>
  <c r="T1564" i="5"/>
  <c r="T1568" i="5"/>
  <c r="T1572" i="5"/>
  <c r="T1576" i="5"/>
  <c r="T1580" i="5"/>
  <c r="T1584" i="5"/>
  <c r="T1588" i="5"/>
  <c r="T1592" i="5"/>
  <c r="AD1595" i="5"/>
  <c r="AD1598" i="5"/>
  <c r="AD1601" i="5"/>
  <c r="AD1604" i="5"/>
  <c r="AD1607" i="5"/>
  <c r="AD1610" i="5"/>
  <c r="AD1613" i="5"/>
  <c r="AD1616" i="5"/>
  <c r="AD1619" i="5"/>
  <c r="AD1622" i="5"/>
  <c r="AD1625" i="5"/>
  <c r="AD1628" i="5"/>
  <c r="AD1631" i="5"/>
  <c r="AD1634" i="5"/>
  <c r="AD1637" i="5"/>
  <c r="AD1640" i="5"/>
  <c r="AD1643" i="5"/>
  <c r="AD1646" i="5"/>
  <c r="AD1649" i="5"/>
  <c r="AD1652" i="5"/>
  <c r="AD1655" i="5"/>
  <c r="AD1658" i="5"/>
  <c r="AD1661" i="5"/>
  <c r="AD1664" i="5"/>
  <c r="AD1667" i="5"/>
  <c r="AD1670" i="5"/>
  <c r="AD1673" i="5"/>
  <c r="AD1676" i="5"/>
  <c r="AD1679" i="5"/>
  <c r="AD1682" i="5"/>
  <c r="AD1685" i="5"/>
  <c r="AD1688" i="5"/>
  <c r="AD1691" i="5"/>
  <c r="AD1694" i="5"/>
  <c r="AD1697" i="5"/>
  <c r="AD1700" i="5"/>
  <c r="AD1703" i="5"/>
  <c r="AD1706" i="5"/>
  <c r="AD1709" i="5"/>
  <c r="AD1712" i="5"/>
  <c r="AD1715" i="5"/>
  <c r="AD1718" i="5"/>
  <c r="AD1721" i="5"/>
  <c r="AD1724" i="5"/>
  <c r="AD1727" i="5"/>
  <c r="AD1730" i="5"/>
  <c r="AD1733" i="5"/>
  <c r="AD1736" i="5"/>
  <c r="AD1739" i="5"/>
  <c r="AD1742" i="5"/>
  <c r="AD1745" i="5"/>
  <c r="AD1748" i="5"/>
  <c r="AD1751" i="5"/>
  <c r="AD1754" i="5"/>
  <c r="AD1757" i="5"/>
  <c r="AD1760" i="5"/>
  <c r="AD1763" i="5"/>
  <c r="AD1766" i="5"/>
  <c r="AD1769" i="5"/>
  <c r="AD1772" i="5"/>
  <c r="AD1775" i="5"/>
  <c r="AD1778" i="5"/>
  <c r="AD1781" i="5"/>
  <c r="AD1784" i="5"/>
  <c r="AD1787" i="5"/>
  <c r="AD1790" i="5"/>
  <c r="AD1793" i="5"/>
  <c r="AD1796" i="5"/>
  <c r="AD1799" i="5"/>
  <c r="AD1802" i="5"/>
  <c r="AD1805" i="5"/>
  <c r="AD1808" i="5"/>
  <c r="AD1811" i="5"/>
  <c r="AD1814" i="5"/>
  <c r="AD1817" i="5"/>
  <c r="AD1820" i="5"/>
  <c r="AD1823" i="5"/>
  <c r="AE4" i="5"/>
  <c r="U1490" i="5"/>
  <c r="U1717" i="5"/>
  <c r="AE744" i="5"/>
  <c r="X953" i="5"/>
  <c r="AC1044" i="5"/>
  <c r="AC1092" i="5"/>
  <c r="AC1140" i="5"/>
  <c r="AC1188" i="5"/>
  <c r="Z1227" i="5"/>
  <c r="AC1246" i="5"/>
  <c r="AC1258" i="5"/>
  <c r="AC1270" i="5"/>
  <c r="AC1282" i="5"/>
  <c r="AC1294" i="5"/>
  <c r="U1304" i="5"/>
  <c r="U1308" i="5"/>
  <c r="U1312" i="5"/>
  <c r="U1316" i="5"/>
  <c r="U1320" i="5"/>
  <c r="U1324" i="5"/>
  <c r="U1328" i="5"/>
  <c r="U1332" i="5"/>
  <c r="U1336" i="5"/>
  <c r="U1340" i="5"/>
  <c r="U1344" i="5"/>
  <c r="U1348" i="5"/>
  <c r="U1352" i="5"/>
  <c r="U1356" i="5"/>
  <c r="U1360" i="5"/>
  <c r="U1364" i="5"/>
  <c r="U1368" i="5"/>
  <c r="U1372" i="5"/>
  <c r="U1376" i="5"/>
  <c r="U1380" i="5"/>
  <c r="U1384" i="5"/>
  <c r="U1388" i="5"/>
  <c r="U1392" i="5"/>
  <c r="U1396" i="5"/>
  <c r="U1400" i="5"/>
  <c r="U1404" i="5"/>
  <c r="U1408" i="5"/>
  <c r="U1412" i="5"/>
  <c r="U1416" i="5"/>
  <c r="U1420" i="5"/>
  <c r="U1424" i="5"/>
  <c r="U1428" i="5"/>
  <c r="U1432" i="5"/>
  <c r="U1436" i="5"/>
  <c r="U1440" i="5"/>
  <c r="U1444" i="5"/>
  <c r="U1448" i="5"/>
  <c r="U1452" i="5"/>
  <c r="U1456" i="5"/>
  <c r="U1460" i="5"/>
  <c r="U1464" i="5"/>
  <c r="U1468" i="5"/>
  <c r="U1472" i="5"/>
  <c r="U1476" i="5"/>
  <c r="U1480" i="5"/>
  <c r="U1484" i="5"/>
  <c r="U1488" i="5"/>
  <c r="U1492" i="5"/>
  <c r="U1496" i="5"/>
  <c r="U1500" i="5"/>
  <c r="U1504" i="5"/>
  <c r="U1508" i="5"/>
  <c r="U1512" i="5"/>
  <c r="U1516" i="5"/>
  <c r="U1520" i="5"/>
  <c r="U1524" i="5"/>
  <c r="U1528" i="5"/>
  <c r="U1532" i="5"/>
  <c r="U1536" i="5"/>
  <c r="U1540" i="5"/>
  <c r="U1544" i="5"/>
  <c r="U1548" i="5"/>
  <c r="U1552" i="5"/>
  <c r="U1556" i="5"/>
  <c r="U1560" i="5"/>
  <c r="U1564" i="5"/>
  <c r="U1568" i="5"/>
  <c r="U1572" i="5"/>
  <c r="U1576" i="5"/>
  <c r="U1580" i="5"/>
  <c r="U1584" i="5"/>
  <c r="U1588" i="5"/>
  <c r="U1592" i="5"/>
  <c r="AE1595" i="5"/>
  <c r="AE1598" i="5"/>
  <c r="AE1601" i="5"/>
  <c r="AE1604" i="5"/>
  <c r="AE1607" i="5"/>
  <c r="AE1610" i="5"/>
  <c r="AE1613" i="5"/>
  <c r="AE1616" i="5"/>
  <c r="AE1619" i="5"/>
  <c r="AE1622" i="5"/>
  <c r="AE1625" i="5"/>
  <c r="AE1628" i="5"/>
  <c r="AE1631" i="5"/>
  <c r="AE1634" i="5"/>
  <c r="AE1637" i="5"/>
  <c r="AE1640" i="5"/>
  <c r="AE1643" i="5"/>
  <c r="AE1646" i="5"/>
  <c r="AE1649" i="5"/>
  <c r="AE1652" i="5"/>
  <c r="AE1655" i="5"/>
  <c r="AE1658" i="5"/>
  <c r="AE1661" i="5"/>
  <c r="AE1664" i="5"/>
  <c r="AE1667" i="5"/>
  <c r="AE1670" i="5"/>
  <c r="AE1673" i="5"/>
  <c r="AE1676" i="5"/>
  <c r="AE1679" i="5"/>
  <c r="AE1682" i="5"/>
  <c r="AE1685" i="5"/>
  <c r="AE1688" i="5"/>
  <c r="AE1691" i="5"/>
  <c r="AE1694" i="5"/>
  <c r="AE1697" i="5"/>
  <c r="AE1700" i="5"/>
  <c r="AE1703" i="5"/>
  <c r="AE1706" i="5"/>
  <c r="AE1709" i="5"/>
  <c r="AE1712" i="5"/>
  <c r="AE1715" i="5"/>
  <c r="AE1718" i="5"/>
  <c r="AE1721" i="5"/>
  <c r="AE1724" i="5"/>
  <c r="AE1727" i="5"/>
  <c r="AE1730" i="5"/>
  <c r="AE1733" i="5"/>
  <c r="AE1736" i="5"/>
  <c r="AE1739" i="5"/>
  <c r="AE1742" i="5"/>
  <c r="AE1745" i="5"/>
  <c r="AE1748" i="5"/>
  <c r="AE1751" i="5"/>
  <c r="AE1754" i="5"/>
  <c r="AE1757" i="5"/>
  <c r="AE1760" i="5"/>
  <c r="AE1763" i="5"/>
  <c r="AE1766" i="5"/>
  <c r="AE1769" i="5"/>
  <c r="AE1772" i="5"/>
  <c r="AE1775" i="5"/>
  <c r="AE1778" i="5"/>
  <c r="AE1781" i="5"/>
  <c r="AE1784" i="5"/>
  <c r="AE1787" i="5"/>
  <c r="AE1790" i="5"/>
  <c r="AE1793" i="5"/>
  <c r="AE1796" i="5"/>
  <c r="AE1799" i="5"/>
  <c r="AE1802" i="5"/>
  <c r="AE1805" i="5"/>
  <c r="AE1808" i="5"/>
  <c r="AE1811" i="5"/>
  <c r="AE1814" i="5"/>
  <c r="AE1817" i="5"/>
  <c r="AE1820" i="5"/>
  <c r="AE1823" i="5"/>
  <c r="T4" i="5"/>
  <c r="U1518" i="5"/>
  <c r="U1732" i="5"/>
  <c r="X829" i="5"/>
  <c r="U977" i="5"/>
  <c r="Z1054" i="5"/>
  <c r="Z1102" i="5"/>
  <c r="Z1150" i="5"/>
  <c r="AC1197" i="5"/>
  <c r="AC1233" i="5"/>
  <c r="T1249" i="5"/>
  <c r="T1261" i="5"/>
  <c r="T1273" i="5"/>
  <c r="T1285" i="5"/>
  <c r="T1297" i="5"/>
  <c r="AE1304" i="5"/>
  <c r="AE1308" i="5"/>
  <c r="AE1312" i="5"/>
  <c r="AE1316" i="5"/>
  <c r="AE1320" i="5"/>
  <c r="AE1324" i="5"/>
  <c r="AE1328" i="5"/>
  <c r="AE1332" i="5"/>
  <c r="AE1336" i="5"/>
  <c r="AE1340" i="5"/>
  <c r="AE1344" i="5"/>
  <c r="AE1348" i="5"/>
  <c r="AE1352" i="5"/>
  <c r="AE1356" i="5"/>
  <c r="AE1360" i="5"/>
  <c r="AE1364" i="5"/>
  <c r="AE1368" i="5"/>
  <c r="AE1372" i="5"/>
  <c r="AE1376" i="5"/>
  <c r="AE1380" i="5"/>
  <c r="AE1384" i="5"/>
  <c r="AE1388" i="5"/>
  <c r="AE1392" i="5"/>
  <c r="AE1396" i="5"/>
  <c r="AE1400" i="5"/>
  <c r="AE1404" i="5"/>
  <c r="AE1408" i="5"/>
  <c r="AE1412" i="5"/>
  <c r="AE1416" i="5"/>
  <c r="AE1420" i="5"/>
  <c r="AE1424" i="5"/>
  <c r="AE1428" i="5"/>
  <c r="AE1432" i="5"/>
  <c r="AE1436" i="5"/>
  <c r="AE1440" i="5"/>
  <c r="AE1444" i="5"/>
  <c r="AE1448" i="5"/>
  <c r="AE1452" i="5"/>
  <c r="AE1456" i="5"/>
  <c r="AE1460" i="5"/>
  <c r="AE1464" i="5"/>
  <c r="AE1468" i="5"/>
  <c r="AE1472" i="5"/>
  <c r="AE1476" i="5"/>
  <c r="AE1480" i="5"/>
  <c r="AE1484" i="5"/>
  <c r="AE1488" i="5"/>
  <c r="AE1492" i="5"/>
  <c r="AE1496" i="5"/>
  <c r="AE1500" i="5"/>
  <c r="AE1504" i="5"/>
  <c r="AE1508" i="5"/>
  <c r="AE1512" i="5"/>
  <c r="AE1516" i="5"/>
  <c r="AE1520" i="5"/>
  <c r="AE1524" i="5"/>
  <c r="AE1528" i="5"/>
  <c r="AE1532" i="5"/>
  <c r="AE1536" i="5"/>
  <c r="AE1540" i="5"/>
  <c r="AE1544" i="5"/>
  <c r="AE1548" i="5"/>
  <c r="AE1552" i="5"/>
  <c r="AE1556" i="5"/>
  <c r="AE1560" i="5"/>
  <c r="AE1564" i="5"/>
  <c r="AE1568" i="5"/>
  <c r="AE1572" i="5"/>
  <c r="AE1576" i="5"/>
  <c r="AE1580" i="5"/>
  <c r="AE1584" i="5"/>
  <c r="AE1588" i="5"/>
  <c r="AE1592" i="5"/>
  <c r="T1596" i="5"/>
  <c r="T1599" i="5"/>
  <c r="T1602" i="5"/>
  <c r="T1605" i="5"/>
  <c r="T1608" i="5"/>
  <c r="T1611" i="5"/>
  <c r="T1614" i="5"/>
  <c r="T1617" i="5"/>
  <c r="T1620" i="5"/>
  <c r="T1623" i="5"/>
  <c r="T1626" i="5"/>
  <c r="T1629" i="5"/>
  <c r="T1632" i="5"/>
  <c r="T1635" i="5"/>
  <c r="T1638" i="5"/>
  <c r="T1641" i="5"/>
  <c r="T1644" i="5"/>
  <c r="T1647" i="5"/>
  <c r="T1650" i="5"/>
  <c r="T1653" i="5"/>
  <c r="T1656" i="5"/>
  <c r="T1659" i="5"/>
  <c r="T1662" i="5"/>
  <c r="T1665" i="5"/>
  <c r="T1668" i="5"/>
  <c r="T1671" i="5"/>
  <c r="T1674" i="5"/>
  <c r="T1677" i="5"/>
  <c r="T1680" i="5"/>
  <c r="T1683" i="5"/>
  <c r="T1686" i="5"/>
  <c r="T1689" i="5"/>
  <c r="T1692" i="5"/>
  <c r="T1695" i="5"/>
  <c r="T1698" i="5"/>
  <c r="T1701" i="5"/>
  <c r="T1704" i="5"/>
  <c r="T1707" i="5"/>
  <c r="T1710" i="5"/>
  <c r="T1713" i="5"/>
  <c r="T1716" i="5"/>
  <c r="T1719" i="5"/>
  <c r="T1722" i="5"/>
  <c r="T1725" i="5"/>
  <c r="T1728" i="5"/>
  <c r="T1731" i="5"/>
  <c r="T1734" i="5"/>
  <c r="T1737" i="5"/>
  <c r="T1740" i="5"/>
  <c r="T1743" i="5"/>
  <c r="T1746" i="5"/>
  <c r="T1749" i="5"/>
  <c r="T1752" i="5"/>
  <c r="T1755" i="5"/>
  <c r="T1758" i="5"/>
  <c r="T1761" i="5"/>
  <c r="T1764" i="5"/>
  <c r="T1767" i="5"/>
  <c r="T1770" i="5"/>
  <c r="T1773" i="5"/>
  <c r="T1776" i="5"/>
  <c r="T1779" i="5"/>
  <c r="T1782" i="5"/>
  <c r="T1785" i="5"/>
  <c r="T1788" i="5"/>
  <c r="T1791" i="5"/>
  <c r="T1794" i="5"/>
  <c r="T1797" i="5"/>
  <c r="T1800" i="5"/>
  <c r="T1803" i="5"/>
  <c r="T1806" i="5"/>
  <c r="T1809" i="5"/>
  <c r="T1812" i="5"/>
  <c r="T1815" i="5"/>
  <c r="T1818" i="5"/>
  <c r="T1821" i="5"/>
  <c r="T1824" i="5"/>
  <c r="U1378" i="5"/>
  <c r="U1630" i="5"/>
  <c r="V841" i="5"/>
  <c r="V982" i="5"/>
  <c r="AB1056" i="5"/>
  <c r="AB1104" i="5"/>
  <c r="AB1152" i="5"/>
  <c r="Z1198" i="5"/>
  <c r="Z1234" i="5"/>
  <c r="U1249" i="5"/>
  <c r="U1261" i="5"/>
  <c r="U1273" i="5"/>
  <c r="U1285" i="5"/>
  <c r="U1297" i="5"/>
  <c r="T1305" i="5"/>
  <c r="T1309" i="5"/>
  <c r="T1313" i="5"/>
  <c r="T1317" i="5"/>
  <c r="T1321" i="5"/>
  <c r="T1325" i="5"/>
  <c r="T1329" i="5"/>
  <c r="T1333" i="5"/>
  <c r="T1337" i="5"/>
  <c r="T1341" i="5"/>
  <c r="T1345" i="5"/>
  <c r="T1349" i="5"/>
  <c r="T1353" i="5"/>
  <c r="T1357" i="5"/>
  <c r="T1361" i="5"/>
  <c r="T1365" i="5"/>
  <c r="T1369" i="5"/>
  <c r="T1373" i="5"/>
  <c r="T1377" i="5"/>
  <c r="T1381" i="5"/>
  <c r="T1385" i="5"/>
  <c r="T1389" i="5"/>
  <c r="T1393" i="5"/>
  <c r="T1397" i="5"/>
  <c r="T1401" i="5"/>
  <c r="T1405" i="5"/>
  <c r="T1409" i="5"/>
  <c r="T1413" i="5"/>
  <c r="T1417" i="5"/>
  <c r="T1421" i="5"/>
  <c r="T1425" i="5"/>
  <c r="T1429" i="5"/>
  <c r="T1433" i="5"/>
  <c r="T1437" i="5"/>
  <c r="T1441" i="5"/>
  <c r="T1445" i="5"/>
  <c r="T1449" i="5"/>
  <c r="T1453" i="5"/>
  <c r="T1457" i="5"/>
  <c r="T1461" i="5"/>
  <c r="T1465" i="5"/>
  <c r="T1469" i="5"/>
  <c r="T1473" i="5"/>
  <c r="T1477" i="5"/>
  <c r="T1481" i="5"/>
  <c r="T1485" i="5"/>
  <c r="T1489" i="5"/>
  <c r="T1493" i="5"/>
  <c r="T1497" i="5"/>
  <c r="T1501" i="5"/>
  <c r="T1505" i="5"/>
  <c r="T1509" i="5"/>
  <c r="T1513" i="5"/>
  <c r="T1517" i="5"/>
  <c r="T1521" i="5"/>
  <c r="T1525" i="5"/>
  <c r="T1529" i="5"/>
  <c r="T1533" i="5"/>
  <c r="T1537" i="5"/>
  <c r="T1541" i="5"/>
  <c r="T1545" i="5"/>
  <c r="T1549" i="5"/>
  <c r="T1553" i="5"/>
  <c r="T1557" i="5"/>
  <c r="T1561" i="5"/>
  <c r="T1565" i="5"/>
  <c r="T1569" i="5"/>
  <c r="T1573" i="5"/>
  <c r="T1577" i="5"/>
  <c r="T1581" i="5"/>
  <c r="T1585" i="5"/>
  <c r="T1589" i="5"/>
  <c r="T1593" i="5"/>
  <c r="U1596" i="5"/>
  <c r="U1599" i="5"/>
  <c r="U1602" i="5"/>
  <c r="U1605" i="5"/>
  <c r="U1608" i="5"/>
  <c r="U1611" i="5"/>
  <c r="U1614" i="5"/>
  <c r="U1617" i="5"/>
  <c r="U1620" i="5"/>
  <c r="U1623" i="5"/>
  <c r="U1626" i="5"/>
  <c r="U1629" i="5"/>
  <c r="U1632" i="5"/>
  <c r="U1635" i="5"/>
  <c r="U1638" i="5"/>
  <c r="U1641" i="5"/>
  <c r="U1644" i="5"/>
  <c r="U1647" i="5"/>
  <c r="U1650" i="5"/>
  <c r="U1653" i="5"/>
  <c r="U1656" i="5"/>
  <c r="U1659" i="5"/>
  <c r="U1662" i="5"/>
  <c r="U1665" i="5"/>
  <c r="U1668" i="5"/>
  <c r="U1671" i="5"/>
  <c r="U1674" i="5"/>
  <c r="U1677" i="5"/>
  <c r="U1680" i="5"/>
  <c r="U1683" i="5"/>
  <c r="U1686" i="5"/>
  <c r="U1689" i="5"/>
  <c r="U1692" i="5"/>
  <c r="U1695" i="5"/>
  <c r="U1698" i="5"/>
  <c r="U1701" i="5"/>
  <c r="U1704" i="5"/>
  <c r="U1707" i="5"/>
  <c r="U1710" i="5"/>
  <c r="U1713" i="5"/>
  <c r="U1716" i="5"/>
  <c r="U1719" i="5"/>
  <c r="U1722" i="5"/>
  <c r="U1725" i="5"/>
  <c r="U1728" i="5"/>
  <c r="U1731" i="5"/>
  <c r="U1734" i="5"/>
  <c r="U1737" i="5"/>
  <c r="U1740" i="5"/>
  <c r="U1743" i="5"/>
  <c r="U1746" i="5"/>
  <c r="U1749" i="5"/>
  <c r="U1752" i="5"/>
  <c r="U1755" i="5"/>
  <c r="U1758" i="5"/>
  <c r="U1761" i="5"/>
  <c r="U1764" i="5"/>
  <c r="U1767" i="5"/>
  <c r="U1770" i="5"/>
  <c r="U1773" i="5"/>
  <c r="U1776" i="5"/>
  <c r="U1779" i="5"/>
  <c r="U1782" i="5"/>
  <c r="U1785" i="5"/>
  <c r="U1788" i="5"/>
  <c r="U1791" i="5"/>
  <c r="U1794" i="5"/>
  <c r="U1797" i="5"/>
  <c r="U1800" i="5"/>
  <c r="U1803" i="5"/>
  <c r="U1806" i="5"/>
  <c r="U1809" i="5"/>
  <c r="U1812" i="5"/>
  <c r="U1815" i="5"/>
  <c r="U1818" i="5"/>
  <c r="U1821" i="5"/>
  <c r="U1824" i="5"/>
  <c r="W841" i="5"/>
  <c r="W982" i="5"/>
  <c r="AC1056" i="5"/>
  <c r="AC1104" i="5"/>
  <c r="AC1152" i="5"/>
  <c r="Z1200" i="5"/>
  <c r="Z1236" i="5"/>
  <c r="AC1249" i="5"/>
  <c r="AC1261" i="5"/>
  <c r="AC1273" i="5"/>
  <c r="AC1285" i="5"/>
  <c r="AC1297" i="5"/>
  <c r="U1305" i="5"/>
  <c r="U1309" i="5"/>
  <c r="U1313" i="5"/>
  <c r="U1317" i="5"/>
  <c r="U1321" i="5"/>
  <c r="U1325" i="5"/>
  <c r="U1329" i="5"/>
  <c r="U1333" i="5"/>
  <c r="U1337" i="5"/>
  <c r="U1341" i="5"/>
  <c r="U1345" i="5"/>
  <c r="U1349" i="5"/>
  <c r="U1353" i="5"/>
  <c r="U1357" i="5"/>
  <c r="U1361" i="5"/>
  <c r="U1365" i="5"/>
  <c r="U1369" i="5"/>
  <c r="U1373" i="5"/>
  <c r="U1377" i="5"/>
  <c r="U1381" i="5"/>
  <c r="U1385" i="5"/>
  <c r="U1389" i="5"/>
  <c r="U1393" i="5"/>
  <c r="U1397" i="5"/>
  <c r="U1401" i="5"/>
  <c r="U1405" i="5"/>
  <c r="U1409" i="5"/>
  <c r="U1413" i="5"/>
  <c r="U1417" i="5"/>
  <c r="U1421" i="5"/>
  <c r="U1425" i="5"/>
  <c r="U1429" i="5"/>
  <c r="U1433" i="5"/>
  <c r="U1437" i="5"/>
  <c r="U1441" i="5"/>
  <c r="U1445" i="5"/>
  <c r="U1449" i="5"/>
  <c r="U1453" i="5"/>
  <c r="U1457" i="5"/>
  <c r="U1461" i="5"/>
  <c r="U1465" i="5"/>
  <c r="U1469" i="5"/>
  <c r="U1473" i="5"/>
  <c r="U1477" i="5"/>
  <c r="U1481" i="5"/>
  <c r="U1485" i="5"/>
  <c r="U1489" i="5"/>
  <c r="U1493" i="5"/>
  <c r="U1497" i="5"/>
  <c r="U1501" i="5"/>
  <c r="U1505" i="5"/>
  <c r="U1509" i="5"/>
  <c r="U1513" i="5"/>
  <c r="U1517" i="5"/>
  <c r="U1521" i="5"/>
  <c r="U1525" i="5"/>
  <c r="U1529" i="5"/>
  <c r="U1533" i="5"/>
  <c r="U1537" i="5"/>
  <c r="U1541" i="5"/>
  <c r="U1545" i="5"/>
  <c r="U1549" i="5"/>
  <c r="U1553" i="5"/>
  <c r="U1557" i="5"/>
  <c r="U1561" i="5"/>
  <c r="U1565" i="5"/>
  <c r="U1569" i="5"/>
  <c r="U1573" i="5"/>
  <c r="U1577" i="5"/>
  <c r="U1581" i="5"/>
  <c r="U1585" i="5"/>
  <c r="U1589" i="5"/>
  <c r="U1593" i="5"/>
  <c r="AD1596" i="5"/>
  <c r="AD1599" i="5"/>
  <c r="AD1602" i="5"/>
  <c r="AD1605" i="5"/>
  <c r="AD1608" i="5"/>
  <c r="AD1611" i="5"/>
  <c r="AD1614" i="5"/>
  <c r="AD1617" i="5"/>
  <c r="AD1620" i="5"/>
  <c r="AD1623" i="5"/>
  <c r="AD1626" i="5"/>
  <c r="AD1629" i="5"/>
  <c r="AD1632" i="5"/>
  <c r="AD1635" i="5"/>
  <c r="AD1638" i="5"/>
  <c r="AD1641" i="5"/>
  <c r="AD1644" i="5"/>
  <c r="AD1647" i="5"/>
  <c r="AD1650" i="5"/>
  <c r="AD1653" i="5"/>
  <c r="AD1656" i="5"/>
  <c r="AD1659" i="5"/>
  <c r="AD1662" i="5"/>
  <c r="AD1665" i="5"/>
  <c r="AD1668" i="5"/>
  <c r="AD1671" i="5"/>
  <c r="AD1674" i="5"/>
  <c r="AD1677" i="5"/>
  <c r="AD1680" i="5"/>
  <c r="AD1683" i="5"/>
  <c r="AD1686" i="5"/>
  <c r="AD1689" i="5"/>
  <c r="AD1692" i="5"/>
  <c r="AD1695" i="5"/>
  <c r="AD1698" i="5"/>
  <c r="AD1701" i="5"/>
  <c r="AD1704" i="5"/>
  <c r="AD1707" i="5"/>
  <c r="AD1710" i="5"/>
  <c r="AD1713" i="5"/>
  <c r="AD1716" i="5"/>
  <c r="AD1719" i="5"/>
  <c r="AD1722" i="5"/>
  <c r="AD1725" i="5"/>
  <c r="AD1728" i="5"/>
  <c r="AD1731" i="5"/>
  <c r="AD1734" i="5"/>
  <c r="AD1737" i="5"/>
  <c r="AD1740" i="5"/>
  <c r="AD1743" i="5"/>
  <c r="AD1746" i="5"/>
  <c r="AD1749" i="5"/>
  <c r="AD1752" i="5"/>
  <c r="AD1755" i="5"/>
  <c r="AD1758" i="5"/>
  <c r="AD1761" i="5"/>
  <c r="AD1764" i="5"/>
  <c r="AD1767" i="5"/>
  <c r="AD1770" i="5"/>
  <c r="AD1773" i="5"/>
  <c r="AD1776" i="5"/>
  <c r="AD1779" i="5"/>
  <c r="AD1782" i="5"/>
  <c r="AD1785" i="5"/>
  <c r="AD1788" i="5"/>
  <c r="AD1791" i="5"/>
  <c r="AD1794" i="5"/>
  <c r="AD1797" i="5"/>
  <c r="AD1800" i="5"/>
  <c r="AD1803" i="5"/>
  <c r="AD1806" i="5"/>
  <c r="AD1809" i="5"/>
  <c r="AD1812" i="5"/>
  <c r="AD1815" i="5"/>
  <c r="AD1818" i="5"/>
  <c r="AD1821" i="5"/>
  <c r="AD1824" i="5"/>
  <c r="U1362" i="5"/>
  <c r="U1606" i="5"/>
  <c r="U1816" i="5"/>
  <c r="U872" i="5"/>
  <c r="T1006" i="5"/>
  <c r="Z1066" i="5"/>
  <c r="Z1114" i="5"/>
  <c r="Z1162" i="5"/>
  <c r="AC1206" i="5"/>
  <c r="T1240" i="5"/>
  <c r="T1252" i="5"/>
  <c r="T1264" i="5"/>
  <c r="T1276" i="5"/>
  <c r="T1288" i="5"/>
  <c r="T1300" i="5"/>
  <c r="AE1305" i="5"/>
  <c r="AE1309" i="5"/>
  <c r="AE1313" i="5"/>
  <c r="AE1317" i="5"/>
  <c r="AE1321" i="5"/>
  <c r="AE1325" i="5"/>
  <c r="AE1329" i="5"/>
  <c r="AE1333" i="5"/>
  <c r="AE1337" i="5"/>
  <c r="AE1341" i="5"/>
  <c r="AE1345" i="5"/>
  <c r="AE1349" i="5"/>
  <c r="AE1353" i="5"/>
  <c r="AE1357" i="5"/>
  <c r="AE1361" i="5"/>
  <c r="AE1365" i="5"/>
  <c r="AE1369" i="5"/>
  <c r="AE1373" i="5"/>
  <c r="AE1377" i="5"/>
  <c r="AE1381" i="5"/>
  <c r="AE1385" i="5"/>
  <c r="AE1389" i="5"/>
  <c r="AE1393" i="5"/>
  <c r="AE1397" i="5"/>
  <c r="AE1401" i="5"/>
  <c r="AE1405" i="5"/>
  <c r="AE1409" i="5"/>
  <c r="AE1413" i="5"/>
  <c r="AE1417" i="5"/>
  <c r="AE1421" i="5"/>
  <c r="AE1425" i="5"/>
  <c r="AE1429" i="5"/>
  <c r="AE1433" i="5"/>
  <c r="AE1437" i="5"/>
  <c r="AE1441" i="5"/>
  <c r="AE1445" i="5"/>
  <c r="AE1449" i="5"/>
  <c r="AE1453" i="5"/>
  <c r="AE1457" i="5"/>
  <c r="AE1461" i="5"/>
  <c r="AE1465" i="5"/>
  <c r="AE1469" i="5"/>
  <c r="AE1473" i="5"/>
  <c r="AE1477" i="5"/>
  <c r="AE1481" i="5"/>
  <c r="AE1485" i="5"/>
  <c r="AE1489" i="5"/>
  <c r="AE1493" i="5"/>
  <c r="AE1497" i="5"/>
  <c r="AE1501" i="5"/>
  <c r="AE1505" i="5"/>
  <c r="AE1509" i="5"/>
  <c r="AE1513" i="5"/>
  <c r="AE1517" i="5"/>
  <c r="AE1521" i="5"/>
  <c r="AE1525" i="5"/>
  <c r="AE1529" i="5"/>
  <c r="AE1533" i="5"/>
  <c r="AE1537" i="5"/>
  <c r="AE1541" i="5"/>
  <c r="AE1545" i="5"/>
  <c r="AE1549" i="5"/>
  <c r="AE1553" i="5"/>
  <c r="AE1557" i="5"/>
  <c r="AE1561" i="5"/>
  <c r="AE1565" i="5"/>
  <c r="AE1569" i="5"/>
  <c r="AE1573" i="5"/>
  <c r="AE1577" i="5"/>
  <c r="AE1581" i="5"/>
  <c r="AE1585" i="5"/>
  <c r="AE1589" i="5"/>
  <c r="AE1593" i="5"/>
  <c r="AE1596" i="5"/>
  <c r="AE1599" i="5"/>
  <c r="AE1602" i="5"/>
  <c r="AE1605" i="5"/>
  <c r="AE1608" i="5"/>
  <c r="AE1611" i="5"/>
  <c r="AE1614" i="5"/>
  <c r="AE1617" i="5"/>
  <c r="AE1620" i="5"/>
  <c r="AE1623" i="5"/>
  <c r="AE1626" i="5"/>
  <c r="AE1629" i="5"/>
  <c r="AE1632" i="5"/>
  <c r="AE1635" i="5"/>
  <c r="AE1638" i="5"/>
  <c r="AE1641" i="5"/>
  <c r="AE1644" i="5"/>
  <c r="AE1647" i="5"/>
  <c r="AE1650" i="5"/>
  <c r="AE1653" i="5"/>
  <c r="AE1656" i="5"/>
  <c r="AE1659" i="5"/>
  <c r="AE1662" i="5"/>
  <c r="AE1665" i="5"/>
  <c r="AE1668" i="5"/>
  <c r="AE1671" i="5"/>
  <c r="AE1674" i="5"/>
  <c r="AE1677" i="5"/>
  <c r="AE1680" i="5"/>
  <c r="AE1683" i="5"/>
  <c r="AE1686" i="5"/>
  <c r="AE1689" i="5"/>
  <c r="AE1692" i="5"/>
  <c r="AE1695" i="5"/>
  <c r="AE1698" i="5"/>
  <c r="AE1701" i="5"/>
  <c r="AE1704" i="5"/>
  <c r="AE1707" i="5"/>
  <c r="AE1710" i="5"/>
  <c r="AE1713" i="5"/>
  <c r="AE1716" i="5"/>
  <c r="AE1719" i="5"/>
  <c r="AE1722" i="5"/>
  <c r="AE1725" i="5"/>
  <c r="AE1728" i="5"/>
  <c r="AE1731" i="5"/>
  <c r="AE1734" i="5"/>
  <c r="AE1737" i="5"/>
  <c r="AE1740" i="5"/>
  <c r="AE1743" i="5"/>
  <c r="AE1746" i="5"/>
  <c r="AE1749" i="5"/>
  <c r="AE1752" i="5"/>
  <c r="AE1755" i="5"/>
  <c r="AE1758" i="5"/>
  <c r="AE1761" i="5"/>
  <c r="AE1764" i="5"/>
  <c r="AE1767" i="5"/>
  <c r="AE1770" i="5"/>
  <c r="AE1773" i="5"/>
  <c r="AE1776" i="5"/>
  <c r="AE1779" i="5"/>
  <c r="AE1782" i="5"/>
  <c r="AE1785" i="5"/>
  <c r="AE1788" i="5"/>
  <c r="AE1791" i="5"/>
  <c r="AE1794" i="5"/>
  <c r="AE1797" i="5"/>
  <c r="AE1800" i="5"/>
  <c r="AE1803" i="5"/>
  <c r="AE1806" i="5"/>
  <c r="AE1809" i="5"/>
  <c r="AE1812" i="5"/>
  <c r="AE1815" i="5"/>
  <c r="AE1818" i="5"/>
  <c r="AE1821" i="5"/>
  <c r="AE1824" i="5"/>
  <c r="AE349" i="5"/>
  <c r="V881" i="5"/>
  <c r="U1011" i="5"/>
  <c r="AB1068" i="5"/>
  <c r="AB1116" i="5"/>
  <c r="AB1164" i="5"/>
  <c r="Z1207" i="5"/>
  <c r="U1240" i="5"/>
  <c r="U1252" i="5"/>
  <c r="U1264" i="5"/>
  <c r="U1276" i="5"/>
  <c r="U1288" i="5"/>
  <c r="U1300" i="5"/>
  <c r="T1306" i="5"/>
  <c r="T1310" i="5"/>
  <c r="T1314" i="5"/>
  <c r="T1318" i="5"/>
  <c r="T1322" i="5"/>
  <c r="T1326" i="5"/>
  <c r="T1330" i="5"/>
  <c r="T1334" i="5"/>
  <c r="T1338" i="5"/>
  <c r="T1342" i="5"/>
  <c r="T1346" i="5"/>
  <c r="T1350" i="5"/>
  <c r="T1354" i="5"/>
  <c r="T1358" i="5"/>
  <c r="T1362" i="5"/>
  <c r="T1366" i="5"/>
  <c r="T1370" i="5"/>
  <c r="T1374" i="5"/>
  <c r="T1378" i="5"/>
  <c r="T1382" i="5"/>
  <c r="T1386" i="5"/>
  <c r="T1390" i="5"/>
  <c r="T1394" i="5"/>
  <c r="T1398" i="5"/>
  <c r="T1402" i="5"/>
  <c r="T1406" i="5"/>
  <c r="T1410" i="5"/>
  <c r="T1414" i="5"/>
  <c r="T1418" i="5"/>
  <c r="T1422" i="5"/>
  <c r="T1426" i="5"/>
  <c r="T1430" i="5"/>
  <c r="T1434" i="5"/>
  <c r="T1438" i="5"/>
  <c r="T1442" i="5"/>
  <c r="T1446" i="5"/>
  <c r="T1450" i="5"/>
  <c r="T1454" i="5"/>
  <c r="T1458" i="5"/>
  <c r="T1462" i="5"/>
  <c r="T1466" i="5"/>
  <c r="T1470" i="5"/>
  <c r="T1474" i="5"/>
  <c r="T1478" i="5"/>
  <c r="T1482" i="5"/>
  <c r="T1486" i="5"/>
  <c r="T1490" i="5"/>
  <c r="T1494" i="5"/>
  <c r="T1498" i="5"/>
  <c r="T1502" i="5"/>
  <c r="T1506" i="5"/>
  <c r="T1510" i="5"/>
  <c r="T1514" i="5"/>
  <c r="T1518" i="5"/>
  <c r="T1522" i="5"/>
  <c r="T1526" i="5"/>
  <c r="T1530" i="5"/>
  <c r="T1534" i="5"/>
  <c r="T1538" i="5"/>
  <c r="T1542" i="5"/>
  <c r="T1546" i="5"/>
  <c r="T1550" i="5"/>
  <c r="T1554" i="5"/>
  <c r="T1558" i="5"/>
  <c r="T1562" i="5"/>
  <c r="T1566" i="5"/>
  <c r="T1570" i="5"/>
  <c r="T1574" i="5"/>
  <c r="T1578" i="5"/>
  <c r="T1582" i="5"/>
  <c r="T1586" i="5"/>
  <c r="T1590" i="5"/>
  <c r="T1594" i="5"/>
  <c r="T1597" i="5"/>
  <c r="T1600" i="5"/>
  <c r="T1603" i="5"/>
  <c r="T1606" i="5"/>
  <c r="T1609" i="5"/>
  <c r="T1612" i="5"/>
  <c r="T1615" i="5"/>
  <c r="T1618" i="5"/>
  <c r="T1621" i="5"/>
  <c r="T1624" i="5"/>
  <c r="T1627" i="5"/>
  <c r="T1630" i="5"/>
  <c r="T1633" i="5"/>
  <c r="T1636" i="5"/>
  <c r="T1639" i="5"/>
  <c r="T1642" i="5"/>
  <c r="T1645" i="5"/>
  <c r="T1648" i="5"/>
  <c r="T1651" i="5"/>
  <c r="T1654" i="5"/>
  <c r="T1657" i="5"/>
  <c r="T1660" i="5"/>
  <c r="T1663" i="5"/>
  <c r="T1666" i="5"/>
  <c r="T1669" i="5"/>
  <c r="T1672" i="5"/>
  <c r="T1675" i="5"/>
  <c r="T1678" i="5"/>
  <c r="T1681" i="5"/>
  <c r="T1684" i="5"/>
  <c r="T1687" i="5"/>
  <c r="T1690" i="5"/>
  <c r="T1693" i="5"/>
  <c r="T1696" i="5"/>
  <c r="T1699" i="5"/>
  <c r="T1702" i="5"/>
  <c r="T1705" i="5"/>
  <c r="T1708" i="5"/>
  <c r="T1711" i="5"/>
  <c r="T1714" i="5"/>
  <c r="T1717" i="5"/>
  <c r="T1720" i="5"/>
  <c r="T1723" i="5"/>
  <c r="T1726" i="5"/>
  <c r="T1729" i="5"/>
  <c r="T1732" i="5"/>
  <c r="T1735" i="5"/>
  <c r="T1738" i="5"/>
  <c r="T1741" i="5"/>
  <c r="T1744" i="5"/>
  <c r="T1747" i="5"/>
  <c r="T1750" i="5"/>
  <c r="T1753" i="5"/>
  <c r="T1756" i="5"/>
  <c r="T1759" i="5"/>
  <c r="T1762" i="5"/>
  <c r="T1765" i="5"/>
  <c r="T1768" i="5"/>
  <c r="T1771" i="5"/>
  <c r="T1774" i="5"/>
  <c r="T1777" i="5"/>
  <c r="T1780" i="5"/>
  <c r="T1783" i="5"/>
  <c r="T1786" i="5"/>
  <c r="T1789" i="5"/>
  <c r="T1792" i="5"/>
  <c r="T1795" i="5"/>
  <c r="T1798" i="5"/>
  <c r="T1801" i="5"/>
  <c r="T1804" i="5"/>
  <c r="T1807" i="5"/>
  <c r="T1810" i="5"/>
  <c r="T1813" i="5"/>
  <c r="T1816" i="5"/>
  <c r="T1819" i="5"/>
  <c r="T1822" i="5"/>
  <c r="T1825" i="5"/>
  <c r="W881" i="5"/>
  <c r="AC1116" i="5"/>
  <c r="AC1240" i="5"/>
  <c r="AC1276" i="5"/>
  <c r="U1306" i="5"/>
  <c r="U1318" i="5"/>
  <c r="U1330" i="5"/>
  <c r="U1342" i="5"/>
  <c r="U1358" i="5"/>
  <c r="U1374" i="5"/>
  <c r="U1390" i="5"/>
  <c r="U1406" i="5"/>
  <c r="U1426" i="5"/>
  <c r="U1446" i="5"/>
  <c r="U1466" i="5"/>
  <c r="U1486" i="5"/>
  <c r="U1510" i="5"/>
  <c r="U1534" i="5"/>
  <c r="U1558" i="5"/>
  <c r="U1590" i="5"/>
  <c r="U1615" i="5"/>
  <c r="U1645" i="5"/>
  <c r="U1666" i="5"/>
  <c r="U1684" i="5"/>
  <c r="U1702" i="5"/>
  <c r="U1723" i="5"/>
  <c r="U1741" i="5"/>
  <c r="U1762" i="5"/>
  <c r="U1783" i="5"/>
  <c r="U1804" i="5"/>
  <c r="W910" i="5"/>
  <c r="AC1215" i="5"/>
  <c r="T1267" i="5"/>
  <c r="AE1306" i="5"/>
  <c r="AE1322" i="5"/>
  <c r="AE1346" i="5"/>
  <c r="AE1370" i="5"/>
  <c r="AE1394" i="5"/>
  <c r="AE1422" i="5"/>
  <c r="AE1442" i="5"/>
  <c r="AE1466" i="5"/>
  <c r="AE1486" i="5"/>
  <c r="AE1510" i="5"/>
  <c r="AE1530" i="5"/>
  <c r="AE1554" i="5"/>
  <c r="AE1578" i="5"/>
  <c r="AD1600" i="5"/>
  <c r="AD1618" i="5"/>
  <c r="AD1636" i="5"/>
  <c r="AD1657" i="5"/>
  <c r="AD1675" i="5"/>
  <c r="AD1693" i="5"/>
  <c r="AD1717" i="5"/>
  <c r="AD1741" i="5"/>
  <c r="AD1768" i="5"/>
  <c r="AD1801" i="5"/>
  <c r="U1807" i="5"/>
  <c r="V629" i="5"/>
  <c r="X919" i="5"/>
  <c r="AB1032" i="5"/>
  <c r="AB1080" i="5"/>
  <c r="AB1128" i="5"/>
  <c r="AB1176" i="5"/>
  <c r="Z1216" i="5"/>
  <c r="U1243" i="5"/>
  <c r="U1255" i="5"/>
  <c r="U1267" i="5"/>
  <c r="U1279" i="5"/>
  <c r="U1291" i="5"/>
  <c r="T1303" i="5"/>
  <c r="T1307" i="5"/>
  <c r="T1311" i="5"/>
  <c r="T1315" i="5"/>
  <c r="T1319" i="5"/>
  <c r="T1323" i="5"/>
  <c r="T1327" i="5"/>
  <c r="T1331" i="5"/>
  <c r="T1335" i="5"/>
  <c r="T1339" i="5"/>
  <c r="T1343" i="5"/>
  <c r="T1347" i="5"/>
  <c r="T1351" i="5"/>
  <c r="T1355" i="5"/>
  <c r="T1359" i="5"/>
  <c r="T1363" i="5"/>
  <c r="T1367" i="5"/>
  <c r="T1371" i="5"/>
  <c r="T1375" i="5"/>
  <c r="T1379" i="5"/>
  <c r="T1383" i="5"/>
  <c r="T1387" i="5"/>
  <c r="T1391" i="5"/>
  <c r="T1395" i="5"/>
  <c r="T1399" i="5"/>
  <c r="T1403" i="5"/>
  <c r="T1407" i="5"/>
  <c r="T1411" i="5"/>
  <c r="T1415" i="5"/>
  <c r="T1419" i="5"/>
  <c r="T1423" i="5"/>
  <c r="T1427" i="5"/>
  <c r="T1431" i="5"/>
  <c r="T1435" i="5"/>
  <c r="T1439" i="5"/>
  <c r="T1443" i="5"/>
  <c r="T1447" i="5"/>
  <c r="T1451" i="5"/>
  <c r="T1455" i="5"/>
  <c r="T1459" i="5"/>
  <c r="T1463" i="5"/>
  <c r="T1467" i="5"/>
  <c r="T1471" i="5"/>
  <c r="T1475" i="5"/>
  <c r="T1479" i="5"/>
  <c r="T1483" i="5"/>
  <c r="T1487" i="5"/>
  <c r="T1491" i="5"/>
  <c r="T1495" i="5"/>
  <c r="T1499" i="5"/>
  <c r="T1503" i="5"/>
  <c r="T1507" i="5"/>
  <c r="T1511" i="5"/>
  <c r="T1515" i="5"/>
  <c r="T1519" i="5"/>
  <c r="T1523" i="5"/>
  <c r="T1527" i="5"/>
  <c r="T1531" i="5"/>
  <c r="T1535" i="5"/>
  <c r="T1539" i="5"/>
  <c r="T1543" i="5"/>
  <c r="T1547" i="5"/>
  <c r="T1551" i="5"/>
  <c r="T1555" i="5"/>
  <c r="T1559" i="5"/>
  <c r="T1563" i="5"/>
  <c r="T1567" i="5"/>
  <c r="T1571" i="5"/>
  <c r="T1575" i="5"/>
  <c r="T1579" i="5"/>
  <c r="T1583" i="5"/>
  <c r="T1587" i="5"/>
  <c r="T1591" i="5"/>
  <c r="AE1594" i="5"/>
  <c r="AE1597" i="5"/>
  <c r="AE1600" i="5"/>
  <c r="AE1603" i="5"/>
  <c r="AE1606" i="5"/>
  <c r="AE1609" i="5"/>
  <c r="AE1612" i="5"/>
  <c r="AE1615" i="5"/>
  <c r="AE1618" i="5"/>
  <c r="AE1621" i="5"/>
  <c r="AE1624" i="5"/>
  <c r="AE1627" i="5"/>
  <c r="AE1630" i="5"/>
  <c r="AE1633" i="5"/>
  <c r="AE1636" i="5"/>
  <c r="AE1639" i="5"/>
  <c r="AE1642" i="5"/>
  <c r="AE1645" i="5"/>
  <c r="AE1648" i="5"/>
  <c r="AE1651" i="5"/>
  <c r="AE1654" i="5"/>
  <c r="AE1657" i="5"/>
  <c r="AE1660" i="5"/>
  <c r="AE1663" i="5"/>
  <c r="AE1666" i="5"/>
  <c r="AE1669" i="5"/>
  <c r="AE1672" i="5"/>
  <c r="AE1675" i="5"/>
  <c r="AE1678" i="5"/>
  <c r="AE1681" i="5"/>
  <c r="AE1684" i="5"/>
  <c r="AE1687" i="5"/>
  <c r="AE1690" i="5"/>
  <c r="AE1693" i="5"/>
  <c r="AE1696" i="5"/>
  <c r="AE1699" i="5"/>
  <c r="AE1702" i="5"/>
  <c r="AE1705" i="5"/>
  <c r="AE1708" i="5"/>
  <c r="AE1711" i="5"/>
  <c r="AE1714" i="5"/>
  <c r="AE1717" i="5"/>
  <c r="AE1720" i="5"/>
  <c r="AE1723" i="5"/>
  <c r="AE1726" i="5"/>
  <c r="AE1729" i="5"/>
  <c r="AE1732" i="5"/>
  <c r="AE1735" i="5"/>
  <c r="AE1738" i="5"/>
  <c r="AE1741" i="5"/>
  <c r="AE1744" i="5"/>
  <c r="AE1747" i="5"/>
  <c r="AE1750" i="5"/>
  <c r="AE1753" i="5"/>
  <c r="AE1756" i="5"/>
  <c r="AE1759" i="5"/>
  <c r="AE1762" i="5"/>
  <c r="AE1765" i="5"/>
  <c r="AE1768" i="5"/>
  <c r="AE1771" i="5"/>
  <c r="AE1774" i="5"/>
  <c r="AE1777" i="5"/>
  <c r="AE1780" i="5"/>
  <c r="AE1783" i="5"/>
  <c r="AE1786" i="5"/>
  <c r="AE1789" i="5"/>
  <c r="AE1792" i="5"/>
  <c r="AE1795" i="5"/>
  <c r="AE1798" i="5"/>
  <c r="AE1801" i="5"/>
  <c r="AE1804" i="5"/>
  <c r="AE1807" i="5"/>
  <c r="AE1810" i="5"/>
  <c r="AE1813" i="5"/>
  <c r="AE1816" i="5"/>
  <c r="AE1819" i="5"/>
  <c r="AE1822" i="5"/>
  <c r="AE1825" i="5"/>
  <c r="V1011" i="5"/>
  <c r="U1562" i="5"/>
  <c r="U1756" i="5"/>
  <c r="T3" i="5"/>
  <c r="AD3" i="5"/>
  <c r="AC3" i="5"/>
  <c r="AB3" i="5"/>
  <c r="AA3" i="5"/>
  <c r="Z3" i="5"/>
  <c r="Y3" i="5"/>
  <c r="X3" i="5"/>
  <c r="W3" i="5"/>
  <c r="V3" i="5"/>
  <c r="U3" i="5"/>
  <c r="AE3" i="5"/>
  <c r="AH1788" i="5" l="1"/>
  <c r="AH1644" i="5"/>
  <c r="AH1824" i="5"/>
  <c r="AH1680" i="5"/>
  <c r="AH1716" i="5"/>
  <c r="AH1752" i="5"/>
  <c r="AH1608" i="5"/>
  <c r="AH1581" i="5"/>
  <c r="AH354" i="5"/>
  <c r="AH1527" i="5"/>
  <c r="AH1335" i="5"/>
  <c r="AH1533" i="5"/>
  <c r="AH1437" i="5"/>
  <c r="AH1584" i="5"/>
  <c r="AH1536" i="5"/>
  <c r="AH1488" i="5"/>
  <c r="AH1440" i="5"/>
  <c r="AH1383" i="5"/>
  <c r="AH1389" i="5"/>
  <c r="AH1575" i="5"/>
  <c r="AH1479" i="5"/>
  <c r="AH1485" i="5"/>
  <c r="AH1754" i="5"/>
  <c r="AH1431" i="5"/>
  <c r="AH1341" i="5"/>
  <c r="AH1771" i="5"/>
  <c r="AH1699" i="5"/>
  <c r="AH1627" i="5"/>
  <c r="AH1542" i="5"/>
  <c r="AH1446" i="5"/>
  <c r="AH1398" i="5"/>
  <c r="AH1240" i="5"/>
  <c r="AH1492" i="5"/>
  <c r="AH1444" i="5"/>
  <c r="AH1348" i="5"/>
  <c r="AH1571" i="5"/>
  <c r="AH1427" i="5"/>
  <c r="AH1379" i="5"/>
  <c r="AH1538" i="5"/>
  <c r="AH1442" i="5"/>
  <c r="AH1346" i="5"/>
  <c r="AH1577" i="5"/>
  <c r="AH1529" i="5"/>
  <c r="AH1481" i="5"/>
  <c r="AH1433" i="5"/>
  <c r="AH1337" i="5"/>
  <c r="AH1392" i="5"/>
  <c r="AH1344" i="5"/>
  <c r="AH1823" i="5"/>
  <c r="AH1787" i="5"/>
  <c r="AH1807" i="5"/>
  <c r="AH1735" i="5"/>
  <c r="AH1663" i="5"/>
  <c r="AH1590" i="5"/>
  <c r="AH1494" i="5"/>
  <c r="AH1350" i="5"/>
  <c r="AH1588" i="5"/>
  <c r="AH1540" i="5"/>
  <c r="AH1396" i="5"/>
  <c r="AH1790" i="5"/>
  <c r="AH1523" i="5"/>
  <c r="AH1475" i="5"/>
  <c r="AH1331" i="5"/>
  <c r="AH1586" i="5"/>
  <c r="AH1490" i="5"/>
  <c r="AH1394" i="5"/>
  <c r="AH1385" i="5"/>
  <c r="AH579" i="5"/>
  <c r="AH1718" i="5"/>
  <c r="AH1682" i="5"/>
  <c r="AH1646" i="5"/>
  <c r="AH1610" i="5"/>
  <c r="AH1296" i="5"/>
  <c r="AH1260" i="5"/>
  <c r="AH1295" i="5"/>
  <c r="AH1259" i="5"/>
  <c r="AH795" i="5"/>
  <c r="AH249" i="5"/>
  <c r="AH615" i="5"/>
  <c r="AH978" i="5"/>
  <c r="AH900" i="5"/>
  <c r="AH907" i="5"/>
  <c r="AH974" i="5"/>
  <c r="AH897" i="5"/>
  <c r="AH589" i="5"/>
  <c r="AH1228" i="5"/>
  <c r="AH1216" i="5"/>
  <c r="AH1204" i="5"/>
  <c r="AH1192" i="5"/>
  <c r="AH1180" i="5"/>
  <c r="AH1168" i="5"/>
  <c r="AH1156" i="5"/>
  <c r="AH1144" i="5"/>
  <c r="AH1132" i="5"/>
  <c r="AH1108" i="5"/>
  <c r="AH1096" i="5"/>
  <c r="AH1084" i="5"/>
  <c r="AH1072" i="5"/>
  <c r="AH1060" i="5"/>
  <c r="AH1048" i="5"/>
  <c r="AH1036" i="5"/>
  <c r="AH904" i="5"/>
  <c r="AH971" i="5"/>
  <c r="AH639" i="5"/>
  <c r="AH750" i="5"/>
  <c r="AH606" i="5"/>
  <c r="AH838" i="5"/>
  <c r="AH593" i="5"/>
  <c r="AH720" i="5"/>
  <c r="AH787" i="5"/>
  <c r="AH643" i="5"/>
  <c r="AH552" i="5"/>
  <c r="AH710" i="5"/>
  <c r="AH693" i="5"/>
  <c r="AH393" i="5"/>
  <c r="AH820" i="5"/>
  <c r="AH676" i="5"/>
  <c r="AH803" i="5"/>
  <c r="AH659" i="5"/>
  <c r="AH510" i="5"/>
  <c r="AH378" i="5"/>
  <c r="AH554" i="5"/>
  <c r="AH529" i="5"/>
  <c r="AH405" i="5"/>
  <c r="AH520" i="5"/>
  <c r="AH531" i="5"/>
  <c r="AH239" i="5"/>
  <c r="AH290" i="5"/>
  <c r="AH457" i="5"/>
  <c r="AH289" i="5"/>
  <c r="AH368" i="5"/>
  <c r="AH327" i="5"/>
  <c r="AH322" i="5"/>
  <c r="AH389" i="5"/>
  <c r="AH245" i="5"/>
  <c r="AH480" i="5"/>
  <c r="AH456" i="5"/>
  <c r="AH403" i="5"/>
  <c r="AH259" i="5"/>
  <c r="AH218" i="5"/>
  <c r="AH206" i="5"/>
  <c r="AH194" i="5"/>
  <c r="AH182" i="5"/>
  <c r="AH170" i="5"/>
  <c r="AH158" i="5"/>
  <c r="AH146" i="5"/>
  <c r="AH131" i="5"/>
  <c r="AH119" i="5"/>
  <c r="AH83" i="5"/>
  <c r="AH59" i="5"/>
  <c r="AH29" i="5"/>
  <c r="AH17" i="5"/>
  <c r="AH5" i="5"/>
  <c r="AH1751" i="5"/>
  <c r="AH1715" i="5"/>
  <c r="AH1679" i="5"/>
  <c r="AH1643" i="5"/>
  <c r="AH1607" i="5"/>
  <c r="AH968" i="5"/>
  <c r="AH1292" i="5"/>
  <c r="AH1256" i="5"/>
  <c r="AH908" i="5"/>
  <c r="AH944" i="5"/>
  <c r="AH918" i="5"/>
  <c r="AH977" i="5"/>
  <c r="AH984" i="5"/>
  <c r="AH764" i="5"/>
  <c r="AH991" i="5"/>
  <c r="AH699" i="5"/>
  <c r="AH981" i="5"/>
  <c r="AH1227" i="5"/>
  <c r="AH1215" i="5"/>
  <c r="AH1203" i="5"/>
  <c r="AH1191" i="5"/>
  <c r="AH1179" i="5"/>
  <c r="AH1167" i="5"/>
  <c r="AH1155" i="5"/>
  <c r="AH1143" i="5"/>
  <c r="AH1131" i="5"/>
  <c r="AH1119" i="5"/>
  <c r="AH1107" i="5"/>
  <c r="AH1095" i="5"/>
  <c r="AH1083" i="5"/>
  <c r="AH1071" i="5"/>
  <c r="AH1059" i="5"/>
  <c r="AH1047" i="5"/>
  <c r="AH1035" i="5"/>
  <c r="AH988" i="5"/>
  <c r="AH776" i="5"/>
  <c r="AH371" i="5"/>
  <c r="AH911" i="5"/>
  <c r="AH690" i="5"/>
  <c r="AH364" i="5"/>
  <c r="AH583" i="5"/>
  <c r="AH292" i="5"/>
  <c r="AH760" i="5"/>
  <c r="AH616" i="5"/>
  <c r="AH507" i="5"/>
  <c r="AH352" i="5"/>
  <c r="AH376" i="5"/>
  <c r="AH559" i="5"/>
  <c r="AH538" i="5"/>
  <c r="AH455" i="5"/>
  <c r="AH308" i="5"/>
  <c r="AH267" i="5"/>
  <c r="AH329" i="5"/>
  <c r="AH229" i="5"/>
  <c r="AH217" i="5"/>
  <c r="AH193" i="5"/>
  <c r="AH181" i="5"/>
  <c r="AH169" i="5"/>
  <c r="AH130" i="5"/>
  <c r="AH70" i="5"/>
  <c r="AH46" i="5"/>
  <c r="AH28" i="5"/>
  <c r="AH680" i="5"/>
  <c r="AH584" i="5"/>
  <c r="AH1238" i="5"/>
  <c r="AH596" i="5"/>
  <c r="AH995" i="5"/>
  <c r="AH851" i="5"/>
  <c r="AH711" i="5"/>
  <c r="AH848" i="5"/>
  <c r="AH617" i="5"/>
  <c r="AH667" i="5"/>
  <c r="AH514" i="5"/>
  <c r="AH392" i="5"/>
  <c r="AH351" i="5"/>
  <c r="AH476" i="5"/>
  <c r="AH452" i="5"/>
  <c r="AH192" i="5"/>
  <c r="AH156" i="5"/>
  <c r="AH68" i="5"/>
  <c r="AH90" i="5"/>
  <c r="AH906" i="5"/>
  <c r="AH976" i="5"/>
  <c r="AH822" i="5"/>
  <c r="AH844" i="5"/>
  <c r="AH399" i="5"/>
  <c r="AH1749" i="5"/>
  <c r="AH1645" i="5"/>
  <c r="AH1326" i="5"/>
  <c r="AH1509" i="5"/>
  <c r="AH1372" i="5"/>
  <c r="AH1282" i="5"/>
  <c r="AH1808" i="5"/>
  <c r="AH1579" i="5"/>
  <c r="AH1531" i="5"/>
  <c r="AH1483" i="5"/>
  <c r="AH1435" i="5"/>
  <c r="AH1387" i="5"/>
  <c r="AH1339" i="5"/>
  <c r="AH1810" i="5"/>
  <c r="AH1774" i="5"/>
  <c r="AH1738" i="5"/>
  <c r="AH1702" i="5"/>
  <c r="AH1666" i="5"/>
  <c r="AH1630" i="5"/>
  <c r="AH1594" i="5"/>
  <c r="AH1546" i="5"/>
  <c r="AH1498" i="5"/>
  <c r="AH1450" i="5"/>
  <c r="AH1402" i="5"/>
  <c r="AH1354" i="5"/>
  <c r="AH1306" i="5"/>
  <c r="AH1252" i="5"/>
  <c r="AH1585" i="5"/>
  <c r="AH1537" i="5"/>
  <c r="AH1489" i="5"/>
  <c r="AH1441" i="5"/>
  <c r="AH1393" i="5"/>
  <c r="AH1345" i="5"/>
  <c r="AH1791" i="5"/>
  <c r="AH1755" i="5"/>
  <c r="AH1719" i="5"/>
  <c r="AH1683" i="5"/>
  <c r="AH1647" i="5"/>
  <c r="AH1611" i="5"/>
  <c r="AH1592" i="5"/>
  <c r="AH1544" i="5"/>
  <c r="AH1496" i="5"/>
  <c r="AH1448" i="5"/>
  <c r="AH1400" i="5"/>
  <c r="AH1352" i="5"/>
  <c r="AH1304" i="5"/>
  <c r="AH1793" i="5"/>
  <c r="AH1757" i="5"/>
  <c r="AH1721" i="5"/>
  <c r="AH1685" i="5"/>
  <c r="AH1649" i="5"/>
  <c r="AH1613" i="5"/>
  <c r="AH1299" i="5"/>
  <c r="AH1263" i="5"/>
  <c r="AH1298" i="5"/>
  <c r="AH1262" i="5"/>
  <c r="AH402" i="5"/>
  <c r="AH1018" i="5"/>
  <c r="AH752" i="5"/>
  <c r="AH894" i="5"/>
  <c r="AH754" i="5"/>
  <c r="AH886" i="5"/>
  <c r="AH730" i="5"/>
  <c r="AH953" i="5"/>
  <c r="AH757" i="5"/>
  <c r="AH960" i="5"/>
  <c r="AH692" i="5"/>
  <c r="AH967" i="5"/>
  <c r="AH627" i="5"/>
  <c r="AH890" i="5"/>
  <c r="AH742" i="5"/>
  <c r="AH568" i="5"/>
  <c r="AH957" i="5"/>
  <c r="AH769" i="5"/>
  <c r="AH1229" i="5"/>
  <c r="AH1217" i="5"/>
  <c r="AH1205" i="5"/>
  <c r="AH1193" i="5"/>
  <c r="AH1181" i="5"/>
  <c r="AH1169" i="5"/>
  <c r="AH1157" i="5"/>
  <c r="AH1145" i="5"/>
  <c r="AH1133" i="5"/>
  <c r="AH1121" i="5"/>
  <c r="AH1109" i="5"/>
  <c r="AH1097" i="5"/>
  <c r="AH1085" i="5"/>
  <c r="AH1073" i="5"/>
  <c r="AH1061" i="5"/>
  <c r="AH1049" i="5"/>
  <c r="AH1037" i="5"/>
  <c r="AH964" i="5"/>
  <c r="AH704" i="5"/>
  <c r="AH887" i="5"/>
  <c r="AH819" i="5"/>
  <c r="AH810" i="5"/>
  <c r="AH666" i="5"/>
  <c r="AH839" i="5"/>
  <c r="AH797" i="5"/>
  <c r="AH653" i="5"/>
  <c r="AH780" i="5"/>
  <c r="AH636" i="5"/>
  <c r="AH703" i="5"/>
  <c r="AH258" i="5"/>
  <c r="AH770" i="5"/>
  <c r="AH626" i="5"/>
  <c r="AH567" i="5"/>
  <c r="AH753" i="5"/>
  <c r="AH609" i="5"/>
  <c r="AH580" i="5"/>
  <c r="AH542" i="5"/>
  <c r="AH736" i="5"/>
  <c r="AH592" i="5"/>
  <c r="AH287" i="5"/>
  <c r="AH719" i="5"/>
  <c r="AH513" i="5"/>
  <c r="AH280" i="5"/>
  <c r="AH550" i="5"/>
  <c r="AH523" i="5"/>
  <c r="AH304" i="5"/>
  <c r="AH419" i="5"/>
  <c r="AH575" i="5"/>
  <c r="AH381" i="5"/>
  <c r="AH350" i="5"/>
  <c r="AH483" i="5"/>
  <c r="AH459" i="5"/>
  <c r="AH435" i="5"/>
  <c r="AH349" i="5"/>
  <c r="AH428" i="5"/>
  <c r="AH284" i="5"/>
  <c r="AH387" i="5"/>
  <c r="AH243" i="5"/>
  <c r="AH382" i="5"/>
  <c r="AH238" i="5"/>
  <c r="AH305" i="5"/>
  <c r="AH360" i="5"/>
  <c r="AH505" i="5"/>
  <c r="AH482" i="5"/>
  <c r="AH458" i="5"/>
  <c r="AH434" i="5"/>
  <c r="AH319" i="5"/>
  <c r="AH231" i="5"/>
  <c r="AH219" i="5"/>
  <c r="AH207" i="5"/>
  <c r="AH195" i="5"/>
  <c r="AH183" i="5"/>
  <c r="AH171" i="5"/>
  <c r="AH159" i="5"/>
  <c r="AH147" i="5"/>
  <c r="AH132" i="5"/>
  <c r="AH120" i="5"/>
  <c r="AH108" i="5"/>
  <c r="AH96" i="5"/>
  <c r="AH84" i="5"/>
  <c r="AH72" i="5"/>
  <c r="AH60" i="5"/>
  <c r="AH48" i="5"/>
  <c r="AH30" i="5"/>
  <c r="AH18" i="5"/>
  <c r="AH6" i="5"/>
  <c r="AH433" i="5"/>
  <c r="AH1768" i="5"/>
  <c r="AH1821" i="5"/>
  <c r="AH853" i="5"/>
  <c r="AH914" i="5"/>
  <c r="AH821" i="5"/>
  <c r="AH727" i="5"/>
  <c r="AH794" i="5"/>
  <c r="AH777" i="5"/>
  <c r="AH545" i="5"/>
  <c r="AH373" i="5"/>
  <c r="AH411" i="5"/>
  <c r="AH454" i="5"/>
  <c r="AH1567" i="5"/>
  <c r="AH1423" i="5"/>
  <c r="AH1327" i="5"/>
  <c r="AH1801" i="5"/>
  <c r="AH1729" i="5"/>
  <c r="AH1621" i="5"/>
  <c r="AH1534" i="5"/>
  <c r="AH1486" i="5"/>
  <c r="AH1390" i="5"/>
  <c r="AH1573" i="5"/>
  <c r="AH1429" i="5"/>
  <c r="AH1333" i="5"/>
  <c r="AH1782" i="5"/>
  <c r="AH1710" i="5"/>
  <c r="AH1638" i="5"/>
  <c r="AH1580" i="5"/>
  <c r="AH1484" i="5"/>
  <c r="AH1340" i="5"/>
  <c r="AH1784" i="5"/>
  <c r="AH1712" i="5"/>
  <c r="AH1640" i="5"/>
  <c r="AH1290" i="5"/>
  <c r="AH1289" i="5"/>
  <c r="AH1009" i="5"/>
  <c r="AH951" i="5"/>
  <c r="AH1002" i="5"/>
  <c r="AH858" i="5"/>
  <c r="AH556" i="5"/>
  <c r="AH850" i="5"/>
  <c r="AH917" i="5"/>
  <c r="AH560" i="5"/>
  <c r="AH931" i="5"/>
  <c r="AH998" i="5"/>
  <c r="AH1214" i="5"/>
  <c r="AH1190" i="5"/>
  <c r="AH1166" i="5"/>
  <c r="AH1142" i="5"/>
  <c r="AH1118" i="5"/>
  <c r="AH1094" i="5"/>
  <c r="AH1070" i="5"/>
  <c r="AH1046" i="5"/>
  <c r="AH761" i="5"/>
  <c r="AH263" i="5"/>
  <c r="AH600" i="5"/>
  <c r="AH811" i="5"/>
  <c r="AH683" i="5"/>
  <c r="AH321" i="5"/>
  <c r="AH311" i="5"/>
  <c r="AH426" i="5"/>
  <c r="AH453" i="5"/>
  <c r="AH427" i="5"/>
  <c r="AH216" i="5"/>
  <c r="AH204" i="5"/>
  <c r="AH180" i="5"/>
  <c r="AH129" i="5"/>
  <c r="AH105" i="5"/>
  <c r="AH81" i="5"/>
  <c r="AH45" i="5"/>
  <c r="AH1563" i="5"/>
  <c r="AH1515" i="5"/>
  <c r="AH1467" i="5"/>
  <c r="AH1419" i="5"/>
  <c r="AH1371" i="5"/>
  <c r="AH1323" i="5"/>
  <c r="AH1798" i="5"/>
  <c r="AH1762" i="5"/>
  <c r="AH1726" i="5"/>
  <c r="AH1690" i="5"/>
  <c r="AH1654" i="5"/>
  <c r="AH1618" i="5"/>
  <c r="AH1578" i="5"/>
  <c r="AH1530" i="5"/>
  <c r="AH1482" i="5"/>
  <c r="AH1434" i="5"/>
  <c r="AH1386" i="5"/>
  <c r="AH1338" i="5"/>
  <c r="AH1569" i="5"/>
  <c r="AH1521" i="5"/>
  <c r="AH1473" i="5"/>
  <c r="AH1425" i="5"/>
  <c r="AH1377" i="5"/>
  <c r="AH1329" i="5"/>
  <c r="AH1815" i="5"/>
  <c r="AH1779" i="5"/>
  <c r="AH1743" i="5"/>
  <c r="AH1707" i="5"/>
  <c r="AH1671" i="5"/>
  <c r="AH1635" i="5"/>
  <c r="AH1599" i="5"/>
  <c r="AH1576" i="5"/>
  <c r="AH1528" i="5"/>
  <c r="AH1480" i="5"/>
  <c r="AH1432" i="5"/>
  <c r="AH1384" i="5"/>
  <c r="AH1336" i="5"/>
  <c r="AH1817" i="5"/>
  <c r="AH1781" i="5"/>
  <c r="AH1745" i="5"/>
  <c r="AH1709" i="5"/>
  <c r="AH1673" i="5"/>
  <c r="AH1637" i="5"/>
  <c r="AH1601" i="5"/>
  <c r="AH1287" i="5"/>
  <c r="AH1251" i="5"/>
  <c r="AH997" i="5"/>
  <c r="AH1286" i="5"/>
  <c r="AH1250" i="5"/>
  <c r="AH937" i="5"/>
  <c r="AH1016" i="5"/>
  <c r="AH925" i="5"/>
  <c r="AH958" i="5"/>
  <c r="AH865" i="5"/>
  <c r="AH884" i="5"/>
  <c r="AH942" i="5"/>
  <c r="AH934" i="5"/>
  <c r="AH1001" i="5"/>
  <c r="AH857" i="5"/>
  <c r="AH1008" i="5"/>
  <c r="AH864" i="5"/>
  <c r="AH1015" i="5"/>
  <c r="AH871" i="5"/>
  <c r="AH771" i="5"/>
  <c r="AH335" i="5"/>
  <c r="AH938" i="5"/>
  <c r="AH1005" i="5"/>
  <c r="AH861" i="5"/>
  <c r="AH1237" i="5"/>
  <c r="AH1225" i="5"/>
  <c r="AH1213" i="5"/>
  <c r="AH1201" i="5"/>
  <c r="AH1189" i="5"/>
  <c r="AH1177" i="5"/>
  <c r="AH1165" i="5"/>
  <c r="AH1153" i="5"/>
  <c r="AH1141" i="5"/>
  <c r="AH1129" i="5"/>
  <c r="AH1117" i="5"/>
  <c r="AH1105" i="5"/>
  <c r="AH1093" i="5"/>
  <c r="AH1081" i="5"/>
  <c r="AH1069" i="5"/>
  <c r="AH1057" i="5"/>
  <c r="AH1045" i="5"/>
  <c r="AH1033" i="5"/>
  <c r="AH1012" i="5"/>
  <c r="AH868" i="5"/>
  <c r="AH935" i="5"/>
  <c r="AH828" i="5"/>
  <c r="AH714" i="5"/>
  <c r="AH569" i="5"/>
  <c r="AH847" i="5"/>
  <c r="AH835" i="5"/>
  <c r="AH701" i="5"/>
  <c r="AH553" i="5"/>
  <c r="AH827" i="5"/>
  <c r="AH684" i="5"/>
  <c r="AH512" i="5"/>
  <c r="AH751" i="5"/>
  <c r="AH607" i="5"/>
  <c r="AH395" i="5"/>
  <c r="AH818" i="5"/>
  <c r="AH674" i="5"/>
  <c r="AH801" i="5"/>
  <c r="AH657" i="5"/>
  <c r="AH784" i="5"/>
  <c r="AH640" i="5"/>
  <c r="AH547" i="5"/>
  <c r="AH767" i="5"/>
  <c r="AH623" i="5"/>
  <c r="AH424" i="5"/>
  <c r="AH270" i="5"/>
  <c r="AH297" i="5"/>
  <c r="AH511" i="5"/>
  <c r="AH246" i="5"/>
  <c r="AH398" i="5"/>
  <c r="AH254" i="5"/>
  <c r="AH499" i="5"/>
  <c r="AH475" i="5"/>
  <c r="AH451" i="5"/>
  <c r="AH397" i="5"/>
  <c r="AH253" i="5"/>
  <c r="AH332" i="5"/>
  <c r="AH291" i="5"/>
  <c r="AH502" i="5"/>
  <c r="AH430" i="5"/>
  <c r="AH286" i="5"/>
  <c r="AH353" i="5"/>
  <c r="AH408" i="5"/>
  <c r="AH264" i="5"/>
  <c r="AH498" i="5"/>
  <c r="AH474" i="5"/>
  <c r="AH450" i="5"/>
  <c r="AH367" i="5"/>
  <c r="AH227" i="5"/>
  <c r="AH215" i="5"/>
  <c r="AH203" i="5"/>
  <c r="AH191" i="5"/>
  <c r="AH179" i="5"/>
  <c r="AH167" i="5"/>
  <c r="AH155" i="5"/>
  <c r="AH143" i="5"/>
  <c r="AH128" i="5"/>
  <c r="AH116" i="5"/>
  <c r="AH104" i="5"/>
  <c r="AH92" i="5"/>
  <c r="AH80" i="5"/>
  <c r="AH56" i="5"/>
  <c r="AH44" i="5"/>
  <c r="AH38" i="5"/>
  <c r="AH26" i="5"/>
  <c r="AH14" i="5"/>
  <c r="AH737" i="5"/>
  <c r="AH564" i="5"/>
  <c r="AH481" i="5"/>
  <c r="AH300" i="5"/>
  <c r="AH1732" i="5"/>
  <c r="AH1605" i="5"/>
  <c r="AH745" i="5"/>
  <c r="AH1257" i="5"/>
  <c r="AH637" i="5"/>
  <c r="AH814" i="5"/>
  <c r="AH849" i="5"/>
  <c r="AH804" i="5"/>
  <c r="AH660" i="5"/>
  <c r="AH633" i="5"/>
  <c r="AH743" i="5"/>
  <c r="AH548" i="5"/>
  <c r="AH374" i="5"/>
  <c r="AH479" i="5"/>
  <c r="AH406" i="5"/>
  <c r="AH384" i="5"/>
  <c r="AH478" i="5"/>
  <c r="AH343" i="5"/>
  <c r="AH1519" i="5"/>
  <c r="AH1471" i="5"/>
  <c r="AH1375" i="5"/>
  <c r="AH1765" i="5"/>
  <c r="AH1693" i="5"/>
  <c r="AH1582" i="5"/>
  <c r="AH1438" i="5"/>
  <c r="AH1342" i="5"/>
  <c r="AH1525" i="5"/>
  <c r="AH1477" i="5"/>
  <c r="AH1381" i="5"/>
  <c r="AH1818" i="5"/>
  <c r="AH1746" i="5"/>
  <c r="AH1674" i="5"/>
  <c r="AH1602" i="5"/>
  <c r="AH1532" i="5"/>
  <c r="AH1388" i="5"/>
  <c r="AH1820" i="5"/>
  <c r="AH1748" i="5"/>
  <c r="AH1676" i="5"/>
  <c r="AH1604" i="5"/>
  <c r="AH1254" i="5"/>
  <c r="AH939" i="5"/>
  <c r="AH1253" i="5"/>
  <c r="AH992" i="5"/>
  <c r="AH646" i="5"/>
  <c r="AH622" i="5"/>
  <c r="AH649" i="5"/>
  <c r="AH924" i="5"/>
  <c r="AH854" i="5"/>
  <c r="AH634" i="5"/>
  <c r="AH921" i="5"/>
  <c r="AH661" i="5"/>
  <c r="AH1226" i="5"/>
  <c r="AH1202" i="5"/>
  <c r="AH1178" i="5"/>
  <c r="AH1154" i="5"/>
  <c r="AH1130" i="5"/>
  <c r="AH1106" i="5"/>
  <c r="AH1082" i="5"/>
  <c r="AH1058" i="5"/>
  <c r="AH1034" i="5"/>
  <c r="AH928" i="5"/>
  <c r="AH774" i="5"/>
  <c r="AH630" i="5"/>
  <c r="AH836" i="5"/>
  <c r="AH744" i="5"/>
  <c r="AH734" i="5"/>
  <c r="AH590" i="5"/>
  <c r="AH717" i="5"/>
  <c r="AH700" i="5"/>
  <c r="AH509" i="5"/>
  <c r="AH273" i="5"/>
  <c r="AH314" i="5"/>
  <c r="AH477" i="5"/>
  <c r="AH313" i="5"/>
  <c r="AH248" i="5"/>
  <c r="AH346" i="5"/>
  <c r="AH413" i="5"/>
  <c r="AH269" i="5"/>
  <c r="AH324" i="5"/>
  <c r="AH283" i="5"/>
  <c r="AH228" i="5"/>
  <c r="AH168" i="5"/>
  <c r="AH144" i="5"/>
  <c r="AH117" i="5"/>
  <c r="AH93" i="5"/>
  <c r="AH69" i="5"/>
  <c r="AH57" i="5"/>
  <c r="AH1559" i="5"/>
  <c r="AH1511" i="5"/>
  <c r="AH1463" i="5"/>
  <c r="AH1415" i="5"/>
  <c r="AH1367" i="5"/>
  <c r="AH1319" i="5"/>
  <c r="AH1795" i="5"/>
  <c r="AH1759" i="5"/>
  <c r="AH1723" i="5"/>
  <c r="AH1687" i="5"/>
  <c r="AH1651" i="5"/>
  <c r="AH1615" i="5"/>
  <c r="AH1574" i="5"/>
  <c r="AH1526" i="5"/>
  <c r="AH1478" i="5"/>
  <c r="AH1430" i="5"/>
  <c r="AH1382" i="5"/>
  <c r="AH1334" i="5"/>
  <c r="AH1565" i="5"/>
  <c r="AH1517" i="5"/>
  <c r="AH1469" i="5"/>
  <c r="AH1421" i="5"/>
  <c r="AH1373" i="5"/>
  <c r="AH1325" i="5"/>
  <c r="AH1812" i="5"/>
  <c r="AH1776" i="5"/>
  <c r="AH1740" i="5"/>
  <c r="AH1704" i="5"/>
  <c r="AH1668" i="5"/>
  <c r="AH1632" i="5"/>
  <c r="AH1596" i="5"/>
  <c r="AH1572" i="5"/>
  <c r="AH1524" i="5"/>
  <c r="AH1476" i="5"/>
  <c r="AH1428" i="5"/>
  <c r="AH1380" i="5"/>
  <c r="AH1332" i="5"/>
  <c r="AH1291" i="5"/>
  <c r="AH1814" i="5"/>
  <c r="AH1778" i="5"/>
  <c r="AH1742" i="5"/>
  <c r="AH1706" i="5"/>
  <c r="AH1670" i="5"/>
  <c r="AH1634" i="5"/>
  <c r="AH1598" i="5"/>
  <c r="AH872" i="5"/>
  <c r="AH1284" i="5"/>
  <c r="AH1248" i="5"/>
  <c r="AH1283" i="5"/>
  <c r="AH1247" i="5"/>
  <c r="AH723" i="5"/>
  <c r="AH982" i="5"/>
  <c r="AH1023" i="5"/>
  <c r="AH788" i="5"/>
  <c r="AH608" i="5"/>
  <c r="AH1026" i="5"/>
  <c r="AH882" i="5"/>
  <c r="AH718" i="5"/>
  <c r="AH874" i="5"/>
  <c r="AH694" i="5"/>
  <c r="AH941" i="5"/>
  <c r="AH721" i="5"/>
  <c r="AH948" i="5"/>
  <c r="AH656" i="5"/>
  <c r="AH955" i="5"/>
  <c r="AH591" i="5"/>
  <c r="AH1022" i="5"/>
  <c r="AH878" i="5"/>
  <c r="AH706" i="5"/>
  <c r="AH945" i="5"/>
  <c r="AH733" i="5"/>
  <c r="AH1236" i="5"/>
  <c r="AH1224" i="5"/>
  <c r="AH1212" i="5"/>
  <c r="AH1200" i="5"/>
  <c r="AH1188" i="5"/>
  <c r="AH1176" i="5"/>
  <c r="AH1164" i="5"/>
  <c r="AH1152" i="5"/>
  <c r="AH1140" i="5"/>
  <c r="AH1128" i="5"/>
  <c r="AH1116" i="5"/>
  <c r="AH1104" i="5"/>
  <c r="AH1092" i="5"/>
  <c r="AH1080" i="5"/>
  <c r="AH1068" i="5"/>
  <c r="AH1056" i="5"/>
  <c r="AH1044" i="5"/>
  <c r="AH1032" i="5"/>
  <c r="AH952" i="5"/>
  <c r="AH668" i="5"/>
  <c r="AH1019" i="5"/>
  <c r="AH875" i="5"/>
  <c r="AH783" i="5"/>
  <c r="AH826" i="5"/>
  <c r="AH798" i="5"/>
  <c r="AH654" i="5"/>
  <c r="AH566" i="5"/>
  <c r="AH846" i="5"/>
  <c r="AH834" i="5"/>
  <c r="AH785" i="5"/>
  <c r="AH641" i="5"/>
  <c r="AH549" i="5"/>
  <c r="AH825" i="5"/>
  <c r="AH768" i="5"/>
  <c r="AH624" i="5"/>
  <c r="AH691" i="5"/>
  <c r="AH532" i="5"/>
  <c r="AH758" i="5"/>
  <c r="AH614" i="5"/>
  <c r="AH741" i="5"/>
  <c r="AH597" i="5"/>
  <c r="AH323" i="5"/>
  <c r="AH724" i="5"/>
  <c r="AH707" i="5"/>
  <c r="AH561" i="5"/>
  <c r="AH244" i="5"/>
  <c r="AH508" i="5"/>
  <c r="AH268" i="5"/>
  <c r="AH383" i="5"/>
  <c r="AH555" i="5"/>
  <c r="AH503" i="5"/>
  <c r="AH345" i="5"/>
  <c r="AH338" i="5"/>
  <c r="AH497" i="5"/>
  <c r="AH473" i="5"/>
  <c r="AH449" i="5"/>
  <c r="AH337" i="5"/>
  <c r="AH416" i="5"/>
  <c r="AH272" i="5"/>
  <c r="AH375" i="5"/>
  <c r="AH370" i="5"/>
  <c r="AH293" i="5"/>
  <c r="AH348" i="5"/>
  <c r="AH496" i="5"/>
  <c r="AH472" i="5"/>
  <c r="AH448" i="5"/>
  <c r="AH307" i="5"/>
  <c r="AH226" i="5"/>
  <c r="AH214" i="5"/>
  <c r="AH202" i="5"/>
  <c r="AH190" i="5"/>
  <c r="AH178" i="5"/>
  <c r="AH166" i="5"/>
  <c r="AH154" i="5"/>
  <c r="AH142" i="5"/>
  <c r="AH127" i="5"/>
  <c r="AH115" i="5"/>
  <c r="AH103" i="5"/>
  <c r="AH91" i="5"/>
  <c r="AH79" i="5"/>
  <c r="AH67" i="5"/>
  <c r="AH55" i="5"/>
  <c r="AH43" i="5"/>
  <c r="AH37" i="5"/>
  <c r="AH25" i="5"/>
  <c r="AH13" i="5"/>
  <c r="AH1804" i="5"/>
  <c r="AH1785" i="5"/>
  <c r="AH985" i="5"/>
  <c r="AH1555" i="5"/>
  <c r="AH1507" i="5"/>
  <c r="AH1459" i="5"/>
  <c r="AH1411" i="5"/>
  <c r="AH1363" i="5"/>
  <c r="AH1315" i="5"/>
  <c r="AH1792" i="5"/>
  <c r="AH1756" i="5"/>
  <c r="AH1720" i="5"/>
  <c r="AH1684" i="5"/>
  <c r="AH1648" i="5"/>
  <c r="AH1612" i="5"/>
  <c r="AH1570" i="5"/>
  <c r="AH1522" i="5"/>
  <c r="AH1474" i="5"/>
  <c r="AH1426" i="5"/>
  <c r="AH1378" i="5"/>
  <c r="AH1330" i="5"/>
  <c r="AH1006" i="5"/>
  <c r="AH1561" i="5"/>
  <c r="AH1513" i="5"/>
  <c r="AH1465" i="5"/>
  <c r="AH1417" i="5"/>
  <c r="AH1369" i="5"/>
  <c r="AH1321" i="5"/>
  <c r="AH1809" i="5"/>
  <c r="AH1773" i="5"/>
  <c r="AH1737" i="5"/>
  <c r="AH1701" i="5"/>
  <c r="AH1665" i="5"/>
  <c r="AH1629" i="5"/>
  <c r="AH1568" i="5"/>
  <c r="AH1520" i="5"/>
  <c r="AH1472" i="5"/>
  <c r="AH1424" i="5"/>
  <c r="AH1376" i="5"/>
  <c r="AH1328" i="5"/>
  <c r="AH1255" i="5"/>
  <c r="AH1294" i="5"/>
  <c r="AH1811" i="5"/>
  <c r="AH1775" i="5"/>
  <c r="AH1739" i="5"/>
  <c r="AH1703" i="5"/>
  <c r="AH1667" i="5"/>
  <c r="AH1631" i="5"/>
  <c r="AH1595" i="5"/>
  <c r="AH920" i="5"/>
  <c r="AH1281" i="5"/>
  <c r="AH1245" i="5"/>
  <c r="AH1280" i="5"/>
  <c r="AH1244" i="5"/>
  <c r="AH999" i="5"/>
  <c r="AH903" i="5"/>
  <c r="AH1011" i="5"/>
  <c r="AH651" i="5"/>
  <c r="AH407" i="5"/>
  <c r="AH966" i="5"/>
  <c r="AH506" i="5"/>
  <c r="AH1025" i="5"/>
  <c r="AH881" i="5"/>
  <c r="AH515" i="5"/>
  <c r="AH888" i="5"/>
  <c r="AH895" i="5"/>
  <c r="AH962" i="5"/>
  <c r="AH885" i="5"/>
  <c r="AH1235" i="5"/>
  <c r="AH1223" i="5"/>
  <c r="AH1211" i="5"/>
  <c r="AH1199" i="5"/>
  <c r="AH1187" i="5"/>
  <c r="AH1175" i="5"/>
  <c r="AH1163" i="5"/>
  <c r="AH1151" i="5"/>
  <c r="AH1139" i="5"/>
  <c r="AH1127" i="5"/>
  <c r="AH1115" i="5"/>
  <c r="AH1103" i="5"/>
  <c r="AH1091" i="5"/>
  <c r="AH1079" i="5"/>
  <c r="AH1067" i="5"/>
  <c r="AH1055" i="5"/>
  <c r="AH1043" i="5"/>
  <c r="AH1031" i="5"/>
  <c r="AH892" i="5"/>
  <c r="AH959" i="5"/>
  <c r="AH603" i="5"/>
  <c r="AH824" i="5"/>
  <c r="AH738" i="5"/>
  <c r="AH594" i="5"/>
  <c r="AH845" i="5"/>
  <c r="AH833" i="5"/>
  <c r="AH725" i="5"/>
  <c r="AH581" i="5"/>
  <c r="AH823" i="5"/>
  <c r="AH708" i="5"/>
  <c r="AH294" i="5"/>
  <c r="AH775" i="5"/>
  <c r="AH631" i="5"/>
  <c r="AH698" i="5"/>
  <c r="AH429" i="5"/>
  <c r="AH681" i="5"/>
  <c r="AH808" i="5"/>
  <c r="AH664" i="5"/>
  <c r="AH791" i="5"/>
  <c r="AH647" i="5"/>
  <c r="AH342" i="5"/>
  <c r="AH369" i="5"/>
  <c r="AH573" i="5"/>
  <c r="AH318" i="5"/>
  <c r="AH422" i="5"/>
  <c r="AH278" i="5"/>
  <c r="AH495" i="5"/>
  <c r="AH471" i="5"/>
  <c r="AH447" i="5"/>
  <c r="AH421" i="5"/>
  <c r="AH277" i="5"/>
  <c r="AH356" i="5"/>
  <c r="AH315" i="5"/>
  <c r="AH310" i="5"/>
  <c r="AH377" i="5"/>
  <c r="AH432" i="5"/>
  <c r="AH288" i="5"/>
  <c r="AH494" i="5"/>
  <c r="AH470" i="5"/>
  <c r="AH446" i="5"/>
  <c r="AH391" i="5"/>
  <c r="AH247" i="5"/>
  <c r="AH225" i="5"/>
  <c r="AH213" i="5"/>
  <c r="AH201" i="5"/>
  <c r="AH189" i="5"/>
  <c r="AH177" i="5"/>
  <c r="AH165" i="5"/>
  <c r="AH153" i="5"/>
  <c r="AH141" i="5"/>
  <c r="AH138" i="5"/>
  <c r="AH126" i="5"/>
  <c r="AH114" i="5"/>
  <c r="AH102" i="5"/>
  <c r="AH78" i="5"/>
  <c r="AH66" i="5"/>
  <c r="AH54" i="5"/>
  <c r="AH42" i="5"/>
  <c r="AH36" i="5"/>
  <c r="AH24" i="5"/>
  <c r="AH12" i="5"/>
  <c r="AH893" i="5"/>
  <c r="AH1713" i="5"/>
  <c r="AH817" i="5"/>
  <c r="AH867" i="5"/>
  <c r="AH16" i="5"/>
  <c r="AH27" i="5"/>
  <c r="AH1503" i="5"/>
  <c r="AH1825" i="5"/>
  <c r="AH1470" i="5"/>
  <c r="AH1413" i="5"/>
  <c r="AH1662" i="5"/>
  <c r="AH1297" i="5"/>
  <c r="AH1468" i="5"/>
  <c r="AH1628" i="5"/>
  <c r="AH716" i="5"/>
  <c r="AH1278" i="5"/>
  <c r="AH687" i="5"/>
  <c r="AH1277" i="5"/>
  <c r="AH1241" i="5"/>
  <c r="AH891" i="5"/>
  <c r="AH709" i="5"/>
  <c r="AH860" i="5"/>
  <c r="AH879" i="5"/>
  <c r="AH673" i="5"/>
  <c r="AH949" i="5"/>
  <c r="AH790" i="5"/>
  <c r="AH898" i="5"/>
  <c r="AH766" i="5"/>
  <c r="AH299" i="5"/>
  <c r="AH965" i="5"/>
  <c r="AH793" i="5"/>
  <c r="AH972" i="5"/>
  <c r="AH728" i="5"/>
  <c r="AH979" i="5"/>
  <c r="AH663" i="5"/>
  <c r="AH902" i="5"/>
  <c r="AH778" i="5"/>
  <c r="AH969" i="5"/>
  <c r="AH805" i="5"/>
  <c r="AH1234" i="5"/>
  <c r="AH1222" i="5"/>
  <c r="AH1210" i="5"/>
  <c r="AH1198" i="5"/>
  <c r="AH1186" i="5"/>
  <c r="AH1174" i="5"/>
  <c r="AH1162" i="5"/>
  <c r="AH1150" i="5"/>
  <c r="AH1138" i="5"/>
  <c r="AH1126" i="5"/>
  <c r="AH1114" i="5"/>
  <c r="AH1102" i="5"/>
  <c r="AH1090" i="5"/>
  <c r="AH1078" i="5"/>
  <c r="AH1066" i="5"/>
  <c r="AH1054" i="5"/>
  <c r="AH1042" i="5"/>
  <c r="AH1030" i="5"/>
  <c r="AH740" i="5"/>
  <c r="AH899" i="5"/>
  <c r="AH678" i="5"/>
  <c r="AH285" i="5"/>
  <c r="AH832" i="5"/>
  <c r="AH809" i="5"/>
  <c r="AH665" i="5"/>
  <c r="AH578" i="5"/>
  <c r="AH539" i="5"/>
  <c r="AH400" i="5"/>
  <c r="AH792" i="5"/>
  <c r="AH648" i="5"/>
  <c r="AH715" i="5"/>
  <c r="AH782" i="5"/>
  <c r="AH638" i="5"/>
  <c r="AH765" i="5"/>
  <c r="AH621" i="5"/>
  <c r="AH748" i="5"/>
  <c r="AH604" i="5"/>
  <c r="AH530" i="5"/>
  <c r="AH731" i="5"/>
  <c r="AH587" i="5"/>
  <c r="AH251" i="5"/>
  <c r="AH528" i="5"/>
  <c r="AH316" i="5"/>
  <c r="AH571" i="5"/>
  <c r="AH534" i="5"/>
  <c r="AH562" i="5"/>
  <c r="AH536" i="5"/>
  <c r="AH340" i="5"/>
  <c r="AH563" i="5"/>
  <c r="AH533" i="5"/>
  <c r="AH417" i="5"/>
  <c r="AH362" i="5"/>
  <c r="AH493" i="5"/>
  <c r="AH469" i="5"/>
  <c r="AH445" i="5"/>
  <c r="AH361" i="5"/>
  <c r="AH296" i="5"/>
  <c r="AH255" i="5"/>
  <c r="AH394" i="5"/>
  <c r="AH250" i="5"/>
  <c r="AH317" i="5"/>
  <c r="AH372" i="5"/>
  <c r="AH492" i="5"/>
  <c r="AH468" i="5"/>
  <c r="AH444" i="5"/>
  <c r="AH331" i="5"/>
  <c r="AH236" i="5"/>
  <c r="AH224" i="5"/>
  <c r="AH212" i="5"/>
  <c r="AH200" i="5"/>
  <c r="AH188" i="5"/>
  <c r="AH176" i="5"/>
  <c r="AH164" i="5"/>
  <c r="AH152" i="5"/>
  <c r="AH140" i="5"/>
  <c r="AH137" i="5"/>
  <c r="AH125" i="5"/>
  <c r="AH113" i="5"/>
  <c r="AH101" i="5"/>
  <c r="AH89" i="5"/>
  <c r="AH77" i="5"/>
  <c r="AH65" i="5"/>
  <c r="AH53" i="5"/>
  <c r="AH41" i="5"/>
  <c r="AH35" i="5"/>
  <c r="AH23" i="5"/>
  <c r="AH11" i="5"/>
  <c r="AH1120" i="5"/>
  <c r="AH1624" i="5"/>
  <c r="AH1436" i="5"/>
  <c r="AH1455" i="5"/>
  <c r="AH1753" i="5"/>
  <c r="AH1374" i="5"/>
  <c r="AH1557" i="5"/>
  <c r="AH1770" i="5"/>
  <c r="AH1564" i="5"/>
  <c r="AH1772" i="5"/>
  <c r="AH1547" i="5"/>
  <c r="AH1499" i="5"/>
  <c r="AH1451" i="5"/>
  <c r="AH1403" i="5"/>
  <c r="AH1355" i="5"/>
  <c r="AH1307" i="5"/>
  <c r="AH1822" i="5"/>
  <c r="AH1786" i="5"/>
  <c r="AH1750" i="5"/>
  <c r="AH1714" i="5"/>
  <c r="AH1678" i="5"/>
  <c r="AH1642" i="5"/>
  <c r="AH1606" i="5"/>
  <c r="AH1562" i="5"/>
  <c r="AH1514" i="5"/>
  <c r="AH1466" i="5"/>
  <c r="AH1418" i="5"/>
  <c r="AH1370" i="5"/>
  <c r="AH1322" i="5"/>
  <c r="AH1300" i="5"/>
  <c r="AH1553" i="5"/>
  <c r="AH1505" i="5"/>
  <c r="AH1457" i="5"/>
  <c r="AH1409" i="5"/>
  <c r="AH1361" i="5"/>
  <c r="AH1313" i="5"/>
  <c r="AH1803" i="5"/>
  <c r="AH1767" i="5"/>
  <c r="AH1731" i="5"/>
  <c r="AH1695" i="5"/>
  <c r="AH1659" i="5"/>
  <c r="AH1623" i="5"/>
  <c r="AH1285" i="5"/>
  <c r="AH1560" i="5"/>
  <c r="AH1512" i="5"/>
  <c r="AH1464" i="5"/>
  <c r="AH1416" i="5"/>
  <c r="AH1368" i="5"/>
  <c r="AH1320" i="5"/>
  <c r="AH1270" i="5"/>
  <c r="AH1805" i="5"/>
  <c r="AH1769" i="5"/>
  <c r="AH1733" i="5"/>
  <c r="AH1697" i="5"/>
  <c r="AH1661" i="5"/>
  <c r="AH1625" i="5"/>
  <c r="AH970" i="5"/>
  <c r="AH1275" i="5"/>
  <c r="AH1239" i="5"/>
  <c r="AH961" i="5"/>
  <c r="AH1274" i="5"/>
  <c r="AH973" i="5"/>
  <c r="AH759" i="5"/>
  <c r="AH956" i="5"/>
  <c r="AH990" i="5"/>
  <c r="AH610" i="5"/>
  <c r="AH586" i="5"/>
  <c r="AH905" i="5"/>
  <c r="AH613" i="5"/>
  <c r="AH912" i="5"/>
  <c r="AH919" i="5"/>
  <c r="AH986" i="5"/>
  <c r="AH598" i="5"/>
  <c r="AH909" i="5"/>
  <c r="AH625" i="5"/>
  <c r="AH1233" i="5"/>
  <c r="AH1221" i="5"/>
  <c r="AH1209" i="5"/>
  <c r="AH1197" i="5"/>
  <c r="AH1185" i="5"/>
  <c r="AH1173" i="5"/>
  <c r="AH1161" i="5"/>
  <c r="AH1149" i="5"/>
  <c r="AH1137" i="5"/>
  <c r="AH1125" i="5"/>
  <c r="AH1113" i="5"/>
  <c r="AH1101" i="5"/>
  <c r="AH1089" i="5"/>
  <c r="AH1077" i="5"/>
  <c r="AH1065" i="5"/>
  <c r="AH1053" i="5"/>
  <c r="AH1041" i="5"/>
  <c r="AH1029" i="5"/>
  <c r="AH916" i="5"/>
  <c r="AH557" i="5"/>
  <c r="AH983" i="5"/>
  <c r="AH675" i="5"/>
  <c r="AH762" i="5"/>
  <c r="AH618" i="5"/>
  <c r="AH843" i="5"/>
  <c r="AH831" i="5"/>
  <c r="AH749" i="5"/>
  <c r="AH605" i="5"/>
  <c r="AH732" i="5"/>
  <c r="AH588" i="5"/>
  <c r="AH799" i="5"/>
  <c r="AH655" i="5"/>
  <c r="AH328" i="5"/>
  <c r="AH722" i="5"/>
  <c r="AH537" i="5"/>
  <c r="AH705" i="5"/>
  <c r="AH688" i="5"/>
  <c r="AH524" i="5"/>
  <c r="AH357" i="5"/>
  <c r="AH815" i="5"/>
  <c r="AH671" i="5"/>
  <c r="AH525" i="5"/>
  <c r="AH414" i="5"/>
  <c r="AH541" i="5"/>
  <c r="AH543" i="5"/>
  <c r="AH275" i="5"/>
  <c r="AH551" i="5"/>
  <c r="AH390" i="5"/>
  <c r="AH237" i="5"/>
  <c r="AH302" i="5"/>
  <c r="AH491" i="5"/>
  <c r="AH467" i="5"/>
  <c r="AH443" i="5"/>
  <c r="AH301" i="5"/>
  <c r="AH380" i="5"/>
  <c r="AH339" i="5"/>
  <c r="AH334" i="5"/>
  <c r="AH401" i="5"/>
  <c r="AH257" i="5"/>
  <c r="AH500" i="5"/>
  <c r="AH312" i="5"/>
  <c r="AH490" i="5"/>
  <c r="AH466" i="5"/>
  <c r="AH442" i="5"/>
  <c r="AH415" i="5"/>
  <c r="AH271" i="5"/>
  <c r="AH235" i="5"/>
  <c r="AH223" i="5"/>
  <c r="AH211" i="5"/>
  <c r="AH199" i="5"/>
  <c r="AH187" i="5"/>
  <c r="AH175" i="5"/>
  <c r="AH163" i="5"/>
  <c r="AH151" i="5"/>
  <c r="AH139" i="5"/>
  <c r="AH136" i="5"/>
  <c r="AH124" i="5"/>
  <c r="AH112" i="5"/>
  <c r="AH100" i="5"/>
  <c r="AH88" i="5"/>
  <c r="AH76" i="5"/>
  <c r="AH64" i="5"/>
  <c r="AH52" i="5"/>
  <c r="AH40" i="5"/>
  <c r="AH34" i="5"/>
  <c r="AH22" i="5"/>
  <c r="AH10" i="5"/>
  <c r="AH1660" i="5"/>
  <c r="AH1293" i="5"/>
  <c r="AH1407" i="5"/>
  <c r="AH1717" i="5"/>
  <c r="AH1518" i="5"/>
  <c r="AH1365" i="5"/>
  <c r="AH1698" i="5"/>
  <c r="AH1700" i="5"/>
  <c r="AH1591" i="5"/>
  <c r="AH1543" i="5"/>
  <c r="AH1495" i="5"/>
  <c r="AH1447" i="5"/>
  <c r="AH1399" i="5"/>
  <c r="AH1351" i="5"/>
  <c r="AH1303" i="5"/>
  <c r="AH1819" i="5"/>
  <c r="AH1783" i="5"/>
  <c r="AH1747" i="5"/>
  <c r="AH1711" i="5"/>
  <c r="AH1675" i="5"/>
  <c r="AH1639" i="5"/>
  <c r="AH1603" i="5"/>
  <c r="AH1558" i="5"/>
  <c r="AH1510" i="5"/>
  <c r="AH1462" i="5"/>
  <c r="AH1414" i="5"/>
  <c r="AH1366" i="5"/>
  <c r="AH1318" i="5"/>
  <c r="AH1288" i="5"/>
  <c r="AH1549" i="5"/>
  <c r="AH1501" i="5"/>
  <c r="AH1453" i="5"/>
  <c r="AH1405" i="5"/>
  <c r="AH1357" i="5"/>
  <c r="AH1309" i="5"/>
  <c r="AH1800" i="5"/>
  <c r="AH1764" i="5"/>
  <c r="AH1728" i="5"/>
  <c r="AH1692" i="5"/>
  <c r="AH1656" i="5"/>
  <c r="AH1620" i="5"/>
  <c r="AH1273" i="5"/>
  <c r="AH4" i="5"/>
  <c r="AH1556" i="5"/>
  <c r="AH1508" i="5"/>
  <c r="AH1460" i="5"/>
  <c r="AH1412" i="5"/>
  <c r="AH1364" i="5"/>
  <c r="AH1316" i="5"/>
  <c r="AH1258" i="5"/>
  <c r="AH1802" i="5"/>
  <c r="AH1766" i="5"/>
  <c r="AH1730" i="5"/>
  <c r="AH1694" i="5"/>
  <c r="AH1658" i="5"/>
  <c r="AH1622" i="5"/>
  <c r="AH1272" i="5"/>
  <c r="AH1271" i="5"/>
  <c r="AH889" i="5"/>
  <c r="AH980" i="5"/>
  <c r="AH877" i="5"/>
  <c r="AH896" i="5"/>
  <c r="AH915" i="5"/>
  <c r="AH1021" i="5"/>
  <c r="AH781" i="5"/>
  <c r="AH930" i="5"/>
  <c r="AH366" i="5"/>
  <c r="AH922" i="5"/>
  <c r="AH989" i="5"/>
  <c r="AH996" i="5"/>
  <c r="AH852" i="5"/>
  <c r="AH800" i="5"/>
  <c r="AH1003" i="5"/>
  <c r="AH859" i="5"/>
  <c r="AH735" i="5"/>
  <c r="AH926" i="5"/>
  <c r="AH993" i="5"/>
  <c r="AH1232" i="5"/>
  <c r="AH1220" i="5"/>
  <c r="AH1208" i="5"/>
  <c r="AH1196" i="5"/>
  <c r="AH1184" i="5"/>
  <c r="AH1172" i="5"/>
  <c r="AH1160" i="5"/>
  <c r="AH1148" i="5"/>
  <c r="AH1136" i="5"/>
  <c r="AH1124" i="5"/>
  <c r="AH1112" i="5"/>
  <c r="AH1100" i="5"/>
  <c r="AH1088" i="5"/>
  <c r="AH1076" i="5"/>
  <c r="AH1064" i="5"/>
  <c r="AH1052" i="5"/>
  <c r="AH1040" i="5"/>
  <c r="AH1028" i="5"/>
  <c r="AH1000" i="5"/>
  <c r="AH856" i="5"/>
  <c r="AH812" i="5"/>
  <c r="AH923" i="5"/>
  <c r="AH702" i="5"/>
  <c r="AH842" i="5"/>
  <c r="AH830" i="5"/>
  <c r="AH689" i="5"/>
  <c r="AH527" i="5"/>
  <c r="AH816" i="5"/>
  <c r="AH672" i="5"/>
  <c r="AH739" i="5"/>
  <c r="AH595" i="5"/>
  <c r="AH806" i="5"/>
  <c r="AH662" i="5"/>
  <c r="AH789" i="5"/>
  <c r="AH645" i="5"/>
  <c r="AH256" i="5"/>
  <c r="AH772" i="5"/>
  <c r="AH628" i="5"/>
  <c r="AH755" i="5"/>
  <c r="AH611" i="5"/>
  <c r="AH522" i="5"/>
  <c r="AH388" i="5"/>
  <c r="AH261" i="5"/>
  <c r="AH412" i="5"/>
  <c r="AH574" i="5"/>
  <c r="AH386" i="5"/>
  <c r="AH242" i="5"/>
  <c r="AH489" i="5"/>
  <c r="AH465" i="5"/>
  <c r="AH441" i="5"/>
  <c r="AH385" i="5"/>
  <c r="AH241" i="5"/>
  <c r="AH320" i="5"/>
  <c r="AH423" i="5"/>
  <c r="AH279" i="5"/>
  <c r="AH418" i="5"/>
  <c r="AH274" i="5"/>
  <c r="AH341" i="5"/>
  <c r="AH396" i="5"/>
  <c r="AH252" i="5"/>
  <c r="AH488" i="5"/>
  <c r="AH464" i="5"/>
  <c r="AH440" i="5"/>
  <c r="AH355" i="5"/>
  <c r="AH234" i="5"/>
  <c r="AH222" i="5"/>
  <c r="AH210" i="5"/>
  <c r="AH198" i="5"/>
  <c r="AH186" i="5"/>
  <c r="AH174" i="5"/>
  <c r="AH162" i="5"/>
  <c r="AH150" i="5"/>
  <c r="AH135" i="5"/>
  <c r="AH123" i="5"/>
  <c r="AH111" i="5"/>
  <c r="AH99" i="5"/>
  <c r="AH87" i="5"/>
  <c r="AH75" i="5"/>
  <c r="AH63" i="5"/>
  <c r="AH51" i="5"/>
  <c r="AH33" i="5"/>
  <c r="AH21" i="5"/>
  <c r="AH9" i="5"/>
  <c r="AH230" i="5"/>
  <c r="AH107" i="5"/>
  <c r="AH95" i="5"/>
  <c r="AH71" i="5"/>
  <c r="AH47" i="5"/>
  <c r="AH1641" i="5"/>
  <c r="AH927" i="5"/>
  <c r="AH910" i="5"/>
  <c r="AH802" i="5"/>
  <c r="AH837" i="5"/>
  <c r="AH677" i="5"/>
  <c r="AH650" i="5"/>
  <c r="AH599" i="5"/>
  <c r="AH540" i="5"/>
  <c r="AH546" i="5"/>
  <c r="AH517" i="5"/>
  <c r="AH576" i="5"/>
  <c r="AH262" i="5"/>
  <c r="AH240" i="5"/>
  <c r="AH205" i="5"/>
  <c r="AH157" i="5"/>
  <c r="AH145" i="5"/>
  <c r="AH118" i="5"/>
  <c r="AH106" i="5"/>
  <c r="AH94" i="5"/>
  <c r="AH82" i="5"/>
  <c r="AH58" i="5"/>
  <c r="AH1657" i="5"/>
  <c r="AH15" i="5"/>
  <c r="AH1551" i="5"/>
  <c r="AH1359" i="5"/>
  <c r="AH1789" i="5"/>
  <c r="AH1681" i="5"/>
  <c r="AH1609" i="5"/>
  <c r="AH1422" i="5"/>
  <c r="AH1317" i="5"/>
  <c r="AH1806" i="5"/>
  <c r="AH1626" i="5"/>
  <c r="AH1516" i="5"/>
  <c r="AH1324" i="5"/>
  <c r="AH1664" i="5"/>
  <c r="AH1242" i="5"/>
  <c r="AH1587" i="5"/>
  <c r="AH1539" i="5"/>
  <c r="AH1491" i="5"/>
  <c r="AH1443" i="5"/>
  <c r="AH1395" i="5"/>
  <c r="AH1347" i="5"/>
  <c r="AH1267" i="5"/>
  <c r="AH1816" i="5"/>
  <c r="AH1780" i="5"/>
  <c r="AH1744" i="5"/>
  <c r="AH1708" i="5"/>
  <c r="AH1672" i="5"/>
  <c r="AH1636" i="5"/>
  <c r="AH1600" i="5"/>
  <c r="AH1554" i="5"/>
  <c r="AH1506" i="5"/>
  <c r="AH1458" i="5"/>
  <c r="AH1410" i="5"/>
  <c r="AH1362" i="5"/>
  <c r="AH1314" i="5"/>
  <c r="AH1276" i="5"/>
  <c r="AH1593" i="5"/>
  <c r="AH1545" i="5"/>
  <c r="AH1497" i="5"/>
  <c r="AH1449" i="5"/>
  <c r="AH1401" i="5"/>
  <c r="AH1353" i="5"/>
  <c r="AH1305" i="5"/>
  <c r="AH1797" i="5"/>
  <c r="AH1761" i="5"/>
  <c r="AH1725" i="5"/>
  <c r="AH1689" i="5"/>
  <c r="AH1653" i="5"/>
  <c r="AH1617" i="5"/>
  <c r="AH1261" i="5"/>
  <c r="AH1552" i="5"/>
  <c r="AH1504" i="5"/>
  <c r="AH1456" i="5"/>
  <c r="AH1408" i="5"/>
  <c r="AH1360" i="5"/>
  <c r="AH1312" i="5"/>
  <c r="AH1246" i="5"/>
  <c r="AH1279" i="5"/>
  <c r="AH1799" i="5"/>
  <c r="AH1763" i="5"/>
  <c r="AH1727" i="5"/>
  <c r="AH1691" i="5"/>
  <c r="AH1655" i="5"/>
  <c r="AH1619" i="5"/>
  <c r="AH1004" i="5"/>
  <c r="AH901" i="5"/>
  <c r="AH1269" i="5"/>
  <c r="AH1268" i="5"/>
  <c r="AH946" i="5"/>
  <c r="AH987" i="5"/>
  <c r="AH644" i="5"/>
  <c r="AH1014" i="5"/>
  <c r="AH870" i="5"/>
  <c r="AH682" i="5"/>
  <c r="AH862" i="5"/>
  <c r="AH658" i="5"/>
  <c r="AH929" i="5"/>
  <c r="AH685" i="5"/>
  <c r="AH936" i="5"/>
  <c r="AH620" i="5"/>
  <c r="AH943" i="5"/>
  <c r="AH1010" i="5"/>
  <c r="AH866" i="5"/>
  <c r="AH670" i="5"/>
  <c r="AH933" i="5"/>
  <c r="AH697" i="5"/>
  <c r="AH1231" i="5"/>
  <c r="AH1219" i="5"/>
  <c r="AH1207" i="5"/>
  <c r="AH1195" i="5"/>
  <c r="AH1183" i="5"/>
  <c r="AH1171" i="5"/>
  <c r="AH1159" i="5"/>
  <c r="AH1147" i="5"/>
  <c r="AH1135" i="5"/>
  <c r="AH1123" i="5"/>
  <c r="AH1111" i="5"/>
  <c r="AH1099" i="5"/>
  <c r="AH1087" i="5"/>
  <c r="AH1075" i="5"/>
  <c r="AH1063" i="5"/>
  <c r="AH1051" i="5"/>
  <c r="AH1039" i="5"/>
  <c r="AH940" i="5"/>
  <c r="AH632" i="5"/>
  <c r="AH1007" i="5"/>
  <c r="AH863" i="5"/>
  <c r="AH747" i="5"/>
  <c r="AH786" i="5"/>
  <c r="AH642" i="5"/>
  <c r="AH841" i="5"/>
  <c r="AH829" i="5"/>
  <c r="AH773" i="5"/>
  <c r="AH629" i="5"/>
  <c r="AH756" i="5"/>
  <c r="AH612" i="5"/>
  <c r="AH431" i="5"/>
  <c r="AH679" i="5"/>
  <c r="AH746" i="5"/>
  <c r="AH602" i="5"/>
  <c r="AH359" i="5"/>
  <c r="AH729" i="5"/>
  <c r="AH585" i="5"/>
  <c r="AH712" i="5"/>
  <c r="AH695" i="5"/>
  <c r="AH565" i="5"/>
  <c r="AH519" i="5"/>
  <c r="AH572" i="5"/>
  <c r="AH558" i="5"/>
  <c r="AH347" i="5"/>
  <c r="AH309" i="5"/>
  <c r="AH326" i="5"/>
  <c r="AH487" i="5"/>
  <c r="AH463" i="5"/>
  <c r="AH439" i="5"/>
  <c r="AH325" i="5"/>
  <c r="AH504" i="5"/>
  <c r="AH404" i="5"/>
  <c r="AH260" i="5"/>
  <c r="AH363" i="5"/>
  <c r="AH358" i="5"/>
  <c r="AH425" i="5"/>
  <c r="AH281" i="5"/>
  <c r="AH336" i="5"/>
  <c r="AH486" i="5"/>
  <c r="AH462" i="5"/>
  <c r="AH438" i="5"/>
  <c r="AH295" i="5"/>
  <c r="AH233" i="5"/>
  <c r="AH221" i="5"/>
  <c r="AH209" i="5"/>
  <c r="AH197" i="5"/>
  <c r="AH185" i="5"/>
  <c r="AH173" i="5"/>
  <c r="AH161" i="5"/>
  <c r="AH149" i="5"/>
  <c r="AH134" i="5"/>
  <c r="AH122" i="5"/>
  <c r="AH110" i="5"/>
  <c r="AH98" i="5"/>
  <c r="AH86" i="5"/>
  <c r="AH74" i="5"/>
  <c r="AH62" i="5"/>
  <c r="AH50" i="5"/>
  <c r="AH32" i="5"/>
  <c r="AH20" i="5"/>
  <c r="AH8" i="5"/>
  <c r="AH1696" i="5"/>
  <c r="AH1677" i="5"/>
  <c r="AH39" i="5"/>
  <c r="AH1311" i="5"/>
  <c r="AH1566" i="5"/>
  <c r="AH1461" i="5"/>
  <c r="AH1734" i="5"/>
  <c r="AH1420" i="5"/>
  <c r="AH1736" i="5"/>
  <c r="AH1583" i="5"/>
  <c r="AH1535" i="5"/>
  <c r="AH1487" i="5"/>
  <c r="AH1439" i="5"/>
  <c r="AH1391" i="5"/>
  <c r="AH1343" i="5"/>
  <c r="AH1813" i="5"/>
  <c r="AH1777" i="5"/>
  <c r="AH1741" i="5"/>
  <c r="AH1705" i="5"/>
  <c r="AH1669" i="5"/>
  <c r="AH1633" i="5"/>
  <c r="AH1597" i="5"/>
  <c r="AH1550" i="5"/>
  <c r="AH1502" i="5"/>
  <c r="AH1454" i="5"/>
  <c r="AH1406" i="5"/>
  <c r="AH1358" i="5"/>
  <c r="AH1310" i="5"/>
  <c r="AH1264" i="5"/>
  <c r="AH1589" i="5"/>
  <c r="AH1541" i="5"/>
  <c r="AH1493" i="5"/>
  <c r="AH1445" i="5"/>
  <c r="AH1397" i="5"/>
  <c r="AH1349" i="5"/>
  <c r="AH1794" i="5"/>
  <c r="AH1758" i="5"/>
  <c r="AH1722" i="5"/>
  <c r="AH1686" i="5"/>
  <c r="AH1650" i="5"/>
  <c r="AH1614" i="5"/>
  <c r="AH1249" i="5"/>
  <c r="AH1548" i="5"/>
  <c r="AH1500" i="5"/>
  <c r="AH1452" i="5"/>
  <c r="AH1404" i="5"/>
  <c r="AH1356" i="5"/>
  <c r="AH1308" i="5"/>
  <c r="AH1243" i="5"/>
  <c r="AH1796" i="5"/>
  <c r="AH1760" i="5"/>
  <c r="AH1724" i="5"/>
  <c r="AH1688" i="5"/>
  <c r="AH1652" i="5"/>
  <c r="AH1616" i="5"/>
  <c r="AH1302" i="5"/>
  <c r="AH1266" i="5"/>
  <c r="AH1301" i="5"/>
  <c r="AH1265" i="5"/>
  <c r="AH521" i="5"/>
  <c r="AH963" i="5"/>
  <c r="AH855" i="5"/>
  <c r="AH975" i="5"/>
  <c r="AH994" i="5"/>
  <c r="AH913" i="5"/>
  <c r="AH932" i="5"/>
  <c r="AH954" i="5"/>
  <c r="AH1013" i="5"/>
  <c r="AH869" i="5"/>
  <c r="AH1020" i="5"/>
  <c r="AH876" i="5"/>
  <c r="AH1027" i="5"/>
  <c r="AH883" i="5"/>
  <c r="AH807" i="5"/>
  <c r="AH950" i="5"/>
  <c r="AH1017" i="5"/>
  <c r="AH873" i="5"/>
  <c r="AH1230" i="5"/>
  <c r="AH1218" i="5"/>
  <c r="AH1206" i="5"/>
  <c r="AH1194" i="5"/>
  <c r="AH1182" i="5"/>
  <c r="AH1170" i="5"/>
  <c r="AH1158" i="5"/>
  <c r="AH1146" i="5"/>
  <c r="AH1134" i="5"/>
  <c r="AH1122" i="5"/>
  <c r="AH1110" i="5"/>
  <c r="AH1098" i="5"/>
  <c r="AH1086" i="5"/>
  <c r="AH1074" i="5"/>
  <c r="AH1062" i="5"/>
  <c r="AH1050" i="5"/>
  <c r="AH1038" i="5"/>
  <c r="AH1024" i="5"/>
  <c r="AH880" i="5"/>
  <c r="AH947" i="5"/>
  <c r="AH726" i="5"/>
  <c r="AH582" i="5"/>
  <c r="AH840" i="5"/>
  <c r="AH713" i="5"/>
  <c r="AH330" i="5"/>
  <c r="AH696" i="5"/>
  <c r="AH544" i="5"/>
  <c r="AH763" i="5"/>
  <c r="AH619" i="5"/>
  <c r="AH686" i="5"/>
  <c r="AH570" i="5"/>
  <c r="AH518" i="5"/>
  <c r="AH813" i="5"/>
  <c r="AH669" i="5"/>
  <c r="AH796" i="5"/>
  <c r="AH652" i="5"/>
  <c r="AH501" i="5"/>
  <c r="AH779" i="5"/>
  <c r="AH635" i="5"/>
  <c r="AH535" i="5"/>
  <c r="AH577" i="5"/>
  <c r="AH516" i="5"/>
  <c r="AH306" i="5"/>
  <c r="AH333" i="5"/>
  <c r="AH526" i="5"/>
  <c r="AH282" i="5"/>
  <c r="AH410" i="5"/>
  <c r="AH266" i="5"/>
  <c r="AH485" i="5"/>
  <c r="AH461" i="5"/>
  <c r="AH437" i="5"/>
  <c r="AH409" i="5"/>
  <c r="AH265" i="5"/>
  <c r="AH344" i="5"/>
  <c r="AH303" i="5"/>
  <c r="AH298" i="5"/>
  <c r="AH365" i="5"/>
  <c r="AH420" i="5"/>
  <c r="AH276" i="5"/>
  <c r="AH484" i="5"/>
  <c r="AH460" i="5"/>
  <c r="AH436" i="5"/>
  <c r="AH379" i="5"/>
  <c r="AH232" i="5"/>
  <c r="AH220" i="5"/>
  <c r="AH208" i="5"/>
  <c r="AH196" i="5"/>
  <c r="AH184" i="5"/>
  <c r="AH172" i="5"/>
  <c r="AH160" i="5"/>
  <c r="AH148" i="5"/>
  <c r="AH133" i="5"/>
  <c r="AH121" i="5"/>
  <c r="AH109" i="5"/>
  <c r="AH97" i="5"/>
  <c r="AH85" i="5"/>
  <c r="AH73" i="5"/>
  <c r="AH61" i="5"/>
  <c r="AH49" i="5"/>
  <c r="AH31" i="5"/>
  <c r="AH19" i="5"/>
  <c r="AH7" i="5"/>
  <c r="AK601" i="5" l="1"/>
  <c r="AM669" i="5"/>
  <c r="AL669" i="5"/>
  <c r="AK669" i="5"/>
  <c r="AM679" i="5"/>
  <c r="AL679" i="5"/>
  <c r="AK679" i="5"/>
  <c r="AM1681" i="5"/>
  <c r="AL1681" i="5"/>
  <c r="AK1681" i="5"/>
  <c r="AM576" i="5"/>
  <c r="AL576" i="5"/>
  <c r="AK576" i="5"/>
  <c r="AM230" i="5"/>
  <c r="AL230" i="5"/>
  <c r="AK230" i="5"/>
  <c r="AM198" i="5"/>
  <c r="AL198" i="5"/>
  <c r="AK198" i="5"/>
  <c r="AM241" i="5"/>
  <c r="AL241" i="5"/>
  <c r="AK241" i="5"/>
  <c r="AM256" i="5"/>
  <c r="AL256" i="5"/>
  <c r="AK256" i="5"/>
  <c r="AM856" i="5"/>
  <c r="AL856" i="5"/>
  <c r="AK856" i="5"/>
  <c r="AM1196" i="5"/>
  <c r="AL1196" i="5"/>
  <c r="AK1196" i="5"/>
  <c r="AM781" i="5"/>
  <c r="AL781" i="5"/>
  <c r="AK781" i="5"/>
  <c r="AM1316" i="5"/>
  <c r="AL1316" i="5"/>
  <c r="AK1316" i="5"/>
  <c r="AM1405" i="5"/>
  <c r="AL1405" i="5"/>
  <c r="AK1405" i="5"/>
  <c r="AM1783" i="5"/>
  <c r="AL1783" i="5"/>
  <c r="AK1783" i="5"/>
  <c r="AM1660" i="5"/>
  <c r="AL1660" i="5"/>
  <c r="AK1660" i="5"/>
  <c r="AM175" i="5"/>
  <c r="AL175" i="5"/>
  <c r="AK175" i="5"/>
  <c r="AM339" i="5"/>
  <c r="AL339" i="5"/>
  <c r="AK339" i="5"/>
  <c r="AM815" i="5"/>
  <c r="AK815" i="5"/>
  <c r="AL815" i="5"/>
  <c r="AM618" i="5"/>
  <c r="AL618" i="5"/>
  <c r="AK618" i="5"/>
  <c r="AM1149" i="5"/>
  <c r="AL1149" i="5"/>
  <c r="AK1149" i="5"/>
  <c r="AM586" i="5"/>
  <c r="AL586" i="5"/>
  <c r="AK586" i="5"/>
  <c r="AM1805" i="5"/>
  <c r="AL1805" i="5"/>
  <c r="AK1805" i="5"/>
  <c r="AM1361" i="5"/>
  <c r="AL1361" i="5"/>
  <c r="AK1361" i="5"/>
  <c r="AM1750" i="5"/>
  <c r="AL1750" i="5"/>
  <c r="AK1750" i="5"/>
  <c r="AM1436" i="5"/>
  <c r="AL1436" i="5"/>
  <c r="AK1436" i="5"/>
  <c r="AM152" i="5"/>
  <c r="AL152" i="5"/>
  <c r="AK152" i="5"/>
  <c r="AM255" i="5"/>
  <c r="AL255" i="5"/>
  <c r="AK255" i="5"/>
  <c r="AM528" i="5"/>
  <c r="AL528" i="5"/>
  <c r="AK528" i="5"/>
  <c r="AM578" i="5"/>
  <c r="AL578" i="5"/>
  <c r="AK578" i="5"/>
  <c r="AM1126" i="5"/>
  <c r="AL1126" i="5"/>
  <c r="AK1126" i="5"/>
  <c r="AM728" i="5"/>
  <c r="AL728" i="5"/>
  <c r="AK728" i="5"/>
  <c r="AM687" i="5"/>
  <c r="AL687" i="5"/>
  <c r="AK687" i="5"/>
  <c r="AM893" i="5"/>
  <c r="AL893" i="5"/>
  <c r="AK893" i="5"/>
  <c r="AM189" i="5"/>
  <c r="AL189" i="5"/>
  <c r="AK189" i="5"/>
  <c r="AM421" i="5"/>
  <c r="AL421" i="5"/>
  <c r="AK421" i="5"/>
  <c r="AM698" i="5"/>
  <c r="AL698" i="5"/>
  <c r="AK698" i="5"/>
  <c r="AM1031" i="5"/>
  <c r="AL1031" i="5"/>
  <c r="AK1031" i="5"/>
  <c r="AM1223" i="5"/>
  <c r="AL1223" i="5"/>
  <c r="AK1223" i="5"/>
  <c r="AM1244" i="5"/>
  <c r="AL1244" i="5"/>
  <c r="AK1244" i="5"/>
  <c r="AM1424" i="5"/>
  <c r="AL1424" i="5"/>
  <c r="AK1424" i="5"/>
  <c r="AM1006" i="5"/>
  <c r="AL1006" i="5"/>
  <c r="AK1006" i="5"/>
  <c r="AM1459" i="5"/>
  <c r="AL1459" i="5"/>
  <c r="AK1459" i="5"/>
  <c r="AM127" i="5"/>
  <c r="AL127" i="5"/>
  <c r="AK127" i="5"/>
  <c r="AM375" i="5"/>
  <c r="AL375" i="5"/>
  <c r="AK375" i="5"/>
  <c r="AM707" i="5"/>
  <c r="AL707" i="5"/>
  <c r="AK707" i="5"/>
  <c r="AM846" i="5"/>
  <c r="AL846" i="5"/>
  <c r="AK846" i="5"/>
  <c r="AM1104" i="5"/>
  <c r="AL1104" i="5"/>
  <c r="AK1104" i="5"/>
  <c r="AM1022" i="5"/>
  <c r="AL1022" i="5"/>
  <c r="AK1022" i="5"/>
  <c r="AM723" i="5"/>
  <c r="AL723" i="5"/>
  <c r="AK723" i="5"/>
  <c r="AM1428" i="5"/>
  <c r="AL1428" i="5"/>
  <c r="AK1428" i="5"/>
  <c r="AM1565" i="5"/>
  <c r="AL1565" i="5"/>
  <c r="AK1565" i="5"/>
  <c r="AM1463" i="5"/>
  <c r="AL1463" i="5"/>
  <c r="AK1463" i="5"/>
  <c r="AM313" i="5"/>
  <c r="AL313" i="5"/>
  <c r="AK313" i="5"/>
  <c r="AM1082" i="5"/>
  <c r="AL1082" i="5"/>
  <c r="AK1082" i="5"/>
  <c r="AM1253" i="5"/>
  <c r="AL1253" i="5"/>
  <c r="AK1253" i="5"/>
  <c r="AM1342" i="5"/>
  <c r="AL1342" i="5"/>
  <c r="AK1342" i="5"/>
  <c r="AM633" i="5"/>
  <c r="AL633" i="5"/>
  <c r="AK633" i="5"/>
  <c r="AM38" i="5"/>
  <c r="AL38" i="5"/>
  <c r="AK38" i="5"/>
  <c r="AM367" i="5"/>
  <c r="AL367" i="5"/>
  <c r="AK367" i="5"/>
  <c r="AM499" i="5"/>
  <c r="AL499" i="5"/>
  <c r="AK499" i="5"/>
  <c r="AM818" i="5"/>
  <c r="AL818" i="5"/>
  <c r="AK818" i="5"/>
  <c r="AM1012" i="5"/>
  <c r="AL1012" i="5"/>
  <c r="AK1012" i="5"/>
  <c r="AM1213" i="5"/>
  <c r="AL1213" i="5"/>
  <c r="AK1213" i="5"/>
  <c r="AM884" i="5"/>
  <c r="AL884" i="5"/>
  <c r="AK884" i="5"/>
  <c r="AM1781" i="5"/>
  <c r="AL1781" i="5"/>
  <c r="AK1781" i="5"/>
  <c r="AM1377" i="5"/>
  <c r="AL1377" i="5"/>
  <c r="AK1377" i="5"/>
  <c r="AM1798" i="5"/>
  <c r="AL1798" i="5"/>
  <c r="AK1798" i="5"/>
  <c r="AM426" i="5"/>
  <c r="AL426" i="5"/>
  <c r="AK426" i="5"/>
  <c r="AM998" i="5"/>
  <c r="AL998" i="5"/>
  <c r="AK998" i="5"/>
  <c r="AM1484" i="5"/>
  <c r="AL1484" i="5"/>
  <c r="AK1484" i="5"/>
  <c r="AM1567" i="5"/>
  <c r="AK1567" i="5"/>
  <c r="AL1567" i="5"/>
  <c r="AM30" i="5"/>
  <c r="AK30" i="5"/>
  <c r="AL30" i="5"/>
  <c r="AM231" i="5"/>
  <c r="AL231" i="5"/>
  <c r="AK231" i="5"/>
  <c r="AM459" i="5"/>
  <c r="AL459" i="5"/>
  <c r="AK459" i="5"/>
  <c r="AM580" i="5"/>
  <c r="AL580" i="5"/>
  <c r="AK580" i="5"/>
  <c r="AM887" i="5"/>
  <c r="AL887" i="5"/>
  <c r="AK887" i="5"/>
  <c r="AM1193" i="5"/>
  <c r="AL1193" i="5"/>
  <c r="AK1193" i="5"/>
  <c r="AM886" i="5"/>
  <c r="AL886" i="5"/>
  <c r="AK886" i="5"/>
  <c r="AM1304" i="5"/>
  <c r="AL1304" i="5"/>
  <c r="AK1304" i="5"/>
  <c r="AM1489" i="5"/>
  <c r="AL1489" i="5"/>
  <c r="AK1489" i="5"/>
  <c r="AM1810" i="5"/>
  <c r="AL1810" i="5"/>
  <c r="AK1810" i="5"/>
  <c r="AM822" i="5"/>
  <c r="AL822" i="5"/>
  <c r="AK822" i="5"/>
  <c r="AM851" i="5"/>
  <c r="AL851" i="5"/>
  <c r="AK851" i="5"/>
  <c r="AM267" i="5"/>
  <c r="AL267" i="5"/>
  <c r="AK267" i="5"/>
  <c r="AM776" i="5"/>
  <c r="AL776" i="5"/>
  <c r="AK776" i="5"/>
  <c r="AM1203" i="5"/>
  <c r="AL1203" i="5"/>
  <c r="AK1203" i="5"/>
  <c r="AM1643" i="5"/>
  <c r="AL1643" i="5"/>
  <c r="AK1643" i="5"/>
  <c r="AM206" i="5"/>
  <c r="AL206" i="5"/>
  <c r="AK206" i="5"/>
  <c r="AM520" i="5"/>
  <c r="AL520" i="5"/>
  <c r="AK520" i="5"/>
  <c r="AM720" i="5"/>
  <c r="AL720" i="5"/>
  <c r="AK720" i="5"/>
  <c r="AM1144" i="5"/>
  <c r="AL1144" i="5"/>
  <c r="AK1144" i="5"/>
  <c r="AM795" i="5"/>
  <c r="AL795" i="5"/>
  <c r="AK795" i="5"/>
  <c r="AM1523" i="5"/>
  <c r="AL1523" i="5"/>
  <c r="AK1523" i="5"/>
  <c r="AM1433" i="5"/>
  <c r="AL1433" i="5"/>
  <c r="AK1433" i="5"/>
  <c r="AM1542" i="5"/>
  <c r="AL1542" i="5"/>
  <c r="AK1542" i="5"/>
  <c r="AM1437" i="5"/>
  <c r="AL1437" i="5"/>
  <c r="AK1437" i="5"/>
  <c r="AM19" i="5"/>
  <c r="AL19" i="5"/>
  <c r="AK19" i="5"/>
  <c r="AM187" i="5"/>
  <c r="AL187" i="5"/>
  <c r="AK187" i="5"/>
  <c r="AM251" i="5"/>
  <c r="AL251" i="5"/>
  <c r="AK251" i="5"/>
  <c r="AM1235" i="5"/>
  <c r="AL1235" i="5"/>
  <c r="AK1235" i="5"/>
  <c r="AM1507" i="5"/>
  <c r="AL1507" i="5"/>
  <c r="AK1507" i="5"/>
  <c r="AM566" i="5"/>
  <c r="AL566" i="5"/>
  <c r="AK566" i="5"/>
  <c r="AM1476" i="5"/>
  <c r="AL1476" i="5"/>
  <c r="AK1476" i="5"/>
  <c r="AM1106" i="5"/>
  <c r="AL1106" i="5"/>
  <c r="AK1106" i="5"/>
  <c r="AM44" i="5"/>
  <c r="AL44" i="5"/>
  <c r="AK44" i="5"/>
  <c r="AM1033" i="5"/>
  <c r="AL1033" i="5"/>
  <c r="AK1033" i="5"/>
  <c r="AM1425" i="5"/>
  <c r="AL1425" i="5"/>
  <c r="AK1425" i="5"/>
  <c r="AM1580" i="5"/>
  <c r="AL1580" i="5"/>
  <c r="AK1580" i="5"/>
  <c r="AM483" i="5"/>
  <c r="AL483" i="5"/>
  <c r="AK483" i="5"/>
  <c r="AM754" i="5"/>
  <c r="AL754" i="5"/>
  <c r="AK754" i="5"/>
  <c r="AM976" i="5"/>
  <c r="AL976" i="5"/>
  <c r="AK976" i="5"/>
  <c r="AM988" i="5"/>
  <c r="AL988" i="5"/>
  <c r="AK988" i="5"/>
  <c r="AM218" i="5"/>
  <c r="AK218" i="5"/>
  <c r="AL218" i="5"/>
  <c r="AM593" i="5"/>
  <c r="AL593" i="5"/>
  <c r="AK593" i="5"/>
  <c r="AM1259" i="5"/>
  <c r="AL1259" i="5"/>
  <c r="AK1259" i="5"/>
  <c r="AM1790" i="5"/>
  <c r="AL1790" i="5"/>
  <c r="AK1790" i="5"/>
  <c r="AM1481" i="5"/>
  <c r="AL1481" i="5"/>
  <c r="AK1481" i="5"/>
  <c r="AM1627" i="5"/>
  <c r="AK1627" i="5"/>
  <c r="AL1627" i="5"/>
  <c r="AM208" i="5"/>
  <c r="AL208" i="5"/>
  <c r="AK208" i="5"/>
  <c r="AM1545" i="5"/>
  <c r="AL1545" i="5"/>
  <c r="AK1545" i="5"/>
  <c r="AM1230" i="5"/>
  <c r="AL1230" i="5"/>
  <c r="AK1230" i="5"/>
  <c r="AM933" i="5"/>
  <c r="AL933" i="5"/>
  <c r="AK933" i="5"/>
  <c r="AM385" i="5"/>
  <c r="AL385" i="5"/>
  <c r="AK385" i="5"/>
  <c r="AM380" i="5"/>
  <c r="AL380" i="5"/>
  <c r="AK380" i="5"/>
  <c r="AM610" i="5"/>
  <c r="AL610" i="5"/>
  <c r="AK610" i="5"/>
  <c r="AM1270" i="5"/>
  <c r="AL1270" i="5"/>
  <c r="AK1270" i="5"/>
  <c r="AM1409" i="5"/>
  <c r="AL1409" i="5"/>
  <c r="AK1409" i="5"/>
  <c r="AM1138" i="5"/>
  <c r="AL1138" i="5"/>
  <c r="AK1138" i="5"/>
  <c r="AM1280" i="5"/>
  <c r="AL1280" i="5"/>
  <c r="AK1280" i="5"/>
  <c r="AM1472" i="5"/>
  <c r="AL1472" i="5"/>
  <c r="AK1472" i="5"/>
  <c r="AM1330" i="5"/>
  <c r="AL1330" i="5"/>
  <c r="AK1330" i="5"/>
  <c r="AM142" i="5"/>
  <c r="AL142" i="5"/>
  <c r="AK142" i="5"/>
  <c r="AM272" i="5"/>
  <c r="AL272" i="5"/>
  <c r="AK272" i="5"/>
  <c r="AM724" i="5"/>
  <c r="AL724" i="5"/>
  <c r="AK724" i="5"/>
  <c r="AM1116" i="5"/>
  <c r="AL1116" i="5"/>
  <c r="AK1116" i="5"/>
  <c r="AM591" i="5"/>
  <c r="AL591" i="5"/>
  <c r="AK591" i="5"/>
  <c r="AM1247" i="5"/>
  <c r="AL1247" i="5"/>
  <c r="AK1247" i="5"/>
  <c r="AM1334" i="5"/>
  <c r="AL1334" i="5"/>
  <c r="AK1334" i="5"/>
  <c r="AM1511" i="5"/>
  <c r="AL1511" i="5"/>
  <c r="AK1511" i="5"/>
  <c r="AM477" i="5"/>
  <c r="AL477" i="5"/>
  <c r="AK477" i="5"/>
  <c r="AM939" i="5"/>
  <c r="AL939" i="5"/>
  <c r="AK939" i="5"/>
  <c r="AM1438" i="5"/>
  <c r="AL1438" i="5"/>
  <c r="AK1438" i="5"/>
  <c r="AM660" i="5"/>
  <c r="AL660" i="5"/>
  <c r="AK660" i="5"/>
  <c r="AM450" i="5"/>
  <c r="AL450" i="5"/>
  <c r="AK450" i="5"/>
  <c r="AM254" i="5"/>
  <c r="AL254" i="5"/>
  <c r="AK254" i="5"/>
  <c r="AM395" i="5"/>
  <c r="AL395" i="5"/>
  <c r="AK395" i="5"/>
  <c r="AM1225" i="5"/>
  <c r="AL1225" i="5"/>
  <c r="AK1225" i="5"/>
  <c r="AM865" i="5"/>
  <c r="AL865" i="5"/>
  <c r="AK865" i="5"/>
  <c r="AM1817" i="5"/>
  <c r="AL1817" i="5"/>
  <c r="AK1817" i="5"/>
  <c r="AM1323" i="5"/>
  <c r="AL1323" i="5"/>
  <c r="AK1323" i="5"/>
  <c r="AL311" i="5"/>
  <c r="AM311" i="5"/>
  <c r="AK311" i="5"/>
  <c r="AM931" i="5"/>
  <c r="AL931" i="5"/>
  <c r="AK931" i="5"/>
  <c r="AM454" i="5"/>
  <c r="AL454" i="5"/>
  <c r="AK454" i="5"/>
  <c r="AM48" i="5"/>
  <c r="AL48" i="5"/>
  <c r="AK48" i="5"/>
  <c r="AM319" i="5"/>
  <c r="AL319" i="5"/>
  <c r="AK319" i="5"/>
  <c r="AM609" i="5"/>
  <c r="AL609" i="5"/>
  <c r="AK609" i="5"/>
  <c r="AM704" i="5"/>
  <c r="AL704" i="5"/>
  <c r="AK704" i="5"/>
  <c r="AM1205" i="5"/>
  <c r="AL1205" i="5"/>
  <c r="AK1205" i="5"/>
  <c r="AM1352" i="5"/>
  <c r="AL1352" i="5"/>
  <c r="AK1352" i="5"/>
  <c r="AM1537" i="5"/>
  <c r="AL1537" i="5"/>
  <c r="AK1537" i="5"/>
  <c r="AM1339" i="5"/>
  <c r="AL1339" i="5"/>
  <c r="AK1339" i="5"/>
  <c r="AM995" i="5"/>
  <c r="AL995" i="5"/>
  <c r="AK995" i="5"/>
  <c r="AM308" i="5"/>
  <c r="AL308" i="5"/>
  <c r="AK308" i="5"/>
  <c r="AM1215" i="5"/>
  <c r="AK1215" i="5"/>
  <c r="AL1215" i="5"/>
  <c r="AM1679" i="5"/>
  <c r="AK1679" i="5"/>
  <c r="AL1679" i="5"/>
  <c r="AM405" i="5"/>
  <c r="AL405" i="5"/>
  <c r="AK405" i="5"/>
  <c r="AM1156" i="5"/>
  <c r="AL1156" i="5"/>
  <c r="AK1156" i="5"/>
  <c r="AM1533" i="5"/>
  <c r="AL1533" i="5"/>
  <c r="AK1533" i="5"/>
  <c r="AM31" i="5"/>
  <c r="AL31" i="5"/>
  <c r="AK31" i="5"/>
  <c r="AM232" i="5"/>
  <c r="AL232" i="5"/>
  <c r="AK232" i="5"/>
  <c r="AM266" i="5"/>
  <c r="AL266" i="5"/>
  <c r="AK266" i="5"/>
  <c r="AM518" i="5"/>
  <c r="AL518" i="5"/>
  <c r="AK518" i="5"/>
  <c r="AM1050" i="5"/>
  <c r="AL1050" i="5"/>
  <c r="AK1050" i="5"/>
  <c r="AM873" i="5"/>
  <c r="AL873" i="5"/>
  <c r="AK873" i="5"/>
  <c r="AM963" i="5"/>
  <c r="AL963" i="5"/>
  <c r="AK963" i="5"/>
  <c r="AM1452" i="5"/>
  <c r="AL1452" i="5"/>
  <c r="AK1452" i="5"/>
  <c r="AM1264" i="5"/>
  <c r="AL1264" i="5"/>
  <c r="AK1264" i="5"/>
  <c r="AM1439" i="5"/>
  <c r="AK1439" i="5"/>
  <c r="AL1439" i="5"/>
  <c r="AM50" i="5"/>
  <c r="AL50" i="5"/>
  <c r="AK50" i="5"/>
  <c r="AL295" i="5"/>
  <c r="AK295" i="5"/>
  <c r="AM295" i="5"/>
  <c r="AM326" i="5"/>
  <c r="AL326" i="5"/>
  <c r="AK326" i="5"/>
  <c r="AM612" i="5"/>
  <c r="AL612" i="5"/>
  <c r="AK612" i="5"/>
  <c r="AM1075" i="5"/>
  <c r="AL1075" i="5"/>
  <c r="AK1075" i="5"/>
  <c r="AM670" i="5"/>
  <c r="AL670" i="5"/>
  <c r="AK670" i="5"/>
  <c r="AM1268" i="5"/>
  <c r="AL1268" i="5"/>
  <c r="AK1268" i="5"/>
  <c r="AM1504" i="5"/>
  <c r="AL1504" i="5"/>
  <c r="AK1504" i="5"/>
  <c r="AM1276" i="5"/>
  <c r="AL1276" i="5"/>
  <c r="AK1276" i="5"/>
  <c r="AM1395" i="5"/>
  <c r="AL1395" i="5"/>
  <c r="AK1395" i="5"/>
  <c r="AM1359" i="5"/>
  <c r="AK1359" i="5"/>
  <c r="AL1359" i="5"/>
  <c r="AM546" i="5"/>
  <c r="AL546" i="5"/>
  <c r="AK546" i="5"/>
  <c r="AM21" i="5"/>
  <c r="AL21" i="5"/>
  <c r="AK21" i="5"/>
  <c r="AM222" i="5"/>
  <c r="AK222" i="5"/>
  <c r="AL222" i="5"/>
  <c r="AM441" i="5"/>
  <c r="AL441" i="5"/>
  <c r="AK441" i="5"/>
  <c r="AM789" i="5"/>
  <c r="AL789" i="5"/>
  <c r="AK789" i="5"/>
  <c r="AM1028" i="5"/>
  <c r="AL1028" i="5"/>
  <c r="AK1028" i="5"/>
  <c r="AM1220" i="5"/>
  <c r="AL1220" i="5"/>
  <c r="AK1220" i="5"/>
  <c r="AM915" i="5"/>
  <c r="AL915" i="5"/>
  <c r="AK915" i="5"/>
  <c r="AM1412" i="5"/>
  <c r="AL1412" i="5"/>
  <c r="AK1412" i="5"/>
  <c r="AM1501" i="5"/>
  <c r="AL1501" i="5"/>
  <c r="AK1501" i="5"/>
  <c r="AM1303" i="5"/>
  <c r="AL1303" i="5"/>
  <c r="AK1303" i="5"/>
  <c r="AM22" i="5"/>
  <c r="AL22" i="5"/>
  <c r="AK22" i="5"/>
  <c r="AM199" i="5"/>
  <c r="AL199" i="5"/>
  <c r="AK199" i="5"/>
  <c r="AM301" i="5"/>
  <c r="AL301" i="5"/>
  <c r="AK301" i="5"/>
  <c r="AM524" i="5"/>
  <c r="AL524" i="5"/>
  <c r="AK524" i="5"/>
  <c r="AM675" i="5"/>
  <c r="AL675" i="5"/>
  <c r="AK675" i="5"/>
  <c r="AM1173" i="5"/>
  <c r="AL1173" i="5"/>
  <c r="AK1173" i="5"/>
  <c r="AM990" i="5"/>
  <c r="AL990" i="5"/>
  <c r="AK990" i="5"/>
  <c r="AM1320" i="5"/>
  <c r="AL1320" i="5"/>
  <c r="AK1320" i="5"/>
  <c r="AM1457" i="5"/>
  <c r="AL1457" i="5"/>
  <c r="AK1457" i="5"/>
  <c r="AI1822" i="5"/>
  <c r="AM1822" i="5"/>
  <c r="AL1822" i="5"/>
  <c r="AK1822" i="5"/>
  <c r="AM1120" i="5"/>
  <c r="AL1120" i="5"/>
  <c r="AK1120" i="5"/>
  <c r="AM176" i="5"/>
  <c r="AL176" i="5"/>
  <c r="AK176" i="5"/>
  <c r="AM361" i="5"/>
  <c r="AL361" i="5"/>
  <c r="AK361" i="5"/>
  <c r="AM587" i="5"/>
  <c r="AL587" i="5"/>
  <c r="AK587" i="5"/>
  <c r="AM809" i="5"/>
  <c r="AL809" i="5"/>
  <c r="AK809" i="5"/>
  <c r="AM1150" i="5"/>
  <c r="AL1150" i="5"/>
  <c r="AK1150" i="5"/>
  <c r="AM793" i="5"/>
  <c r="AL793" i="5"/>
  <c r="AK793" i="5"/>
  <c r="AM716" i="5"/>
  <c r="AL716" i="5"/>
  <c r="AK716" i="5"/>
  <c r="AM24" i="5"/>
  <c r="AL24" i="5"/>
  <c r="AK24" i="5"/>
  <c r="AM213" i="5"/>
  <c r="AL213" i="5"/>
  <c r="AK213" i="5"/>
  <c r="AM471" i="5"/>
  <c r="AL471" i="5"/>
  <c r="AK471" i="5"/>
  <c r="AL775" i="5"/>
  <c r="AM775" i="5"/>
  <c r="AK775" i="5"/>
  <c r="AM1055" i="5"/>
  <c r="AK1055" i="5"/>
  <c r="AL1055" i="5"/>
  <c r="AM885" i="5"/>
  <c r="AL885" i="5"/>
  <c r="AK885" i="5"/>
  <c r="AM1245" i="5"/>
  <c r="AL1245" i="5"/>
  <c r="AK1245" i="5"/>
  <c r="AM1520" i="5"/>
  <c r="AL1520" i="5"/>
  <c r="AK1520" i="5"/>
  <c r="AM1378" i="5"/>
  <c r="AL1378" i="5"/>
  <c r="AK1378" i="5"/>
  <c r="AM1555" i="5"/>
  <c r="AL1555" i="5"/>
  <c r="AK1555" i="5"/>
  <c r="AM154" i="5"/>
  <c r="AL154" i="5"/>
  <c r="AK154" i="5"/>
  <c r="AM416" i="5"/>
  <c r="AL416" i="5"/>
  <c r="AK416" i="5"/>
  <c r="AM323" i="5"/>
  <c r="AL323" i="5"/>
  <c r="AK323" i="5"/>
  <c r="AM654" i="5"/>
  <c r="AL654" i="5"/>
  <c r="AK654" i="5"/>
  <c r="AM1128" i="5"/>
  <c r="AL1128" i="5"/>
  <c r="AK1128" i="5"/>
  <c r="AM955" i="5"/>
  <c r="AL955" i="5"/>
  <c r="AK955" i="5"/>
  <c r="AM1283" i="5"/>
  <c r="AL1283" i="5"/>
  <c r="AK1283" i="5"/>
  <c r="AM1524" i="5"/>
  <c r="AL1524" i="5"/>
  <c r="AK1524" i="5"/>
  <c r="AM1382" i="5"/>
  <c r="AL1382" i="5"/>
  <c r="AK1382" i="5"/>
  <c r="AM1559" i="5"/>
  <c r="AL1559" i="5"/>
  <c r="AK1559" i="5"/>
  <c r="AM314" i="5"/>
  <c r="AK314" i="5"/>
  <c r="AL314" i="5"/>
  <c r="AM1130" i="5"/>
  <c r="AL1130" i="5"/>
  <c r="AK1130" i="5"/>
  <c r="AM1254" i="5"/>
  <c r="AL1254" i="5"/>
  <c r="AK1254" i="5"/>
  <c r="AM1582" i="5"/>
  <c r="AL1582" i="5"/>
  <c r="AK1582" i="5"/>
  <c r="AM804" i="5"/>
  <c r="AL804" i="5"/>
  <c r="AK804" i="5"/>
  <c r="AM56" i="5"/>
  <c r="AL56" i="5"/>
  <c r="AK56" i="5"/>
  <c r="AM474" i="5"/>
  <c r="AL474" i="5"/>
  <c r="AK474" i="5"/>
  <c r="AM398" i="5"/>
  <c r="AL398" i="5"/>
  <c r="AK398" i="5"/>
  <c r="AM607" i="5"/>
  <c r="AL607" i="5"/>
  <c r="AK607" i="5"/>
  <c r="AM1045" i="5"/>
  <c r="AL1045" i="5"/>
  <c r="AK1045" i="5"/>
  <c r="AM1237" i="5"/>
  <c r="AL1237" i="5"/>
  <c r="AK1237" i="5"/>
  <c r="AM958" i="5"/>
  <c r="AL958" i="5"/>
  <c r="AK958" i="5"/>
  <c r="AM1336" i="5"/>
  <c r="AL1336" i="5"/>
  <c r="AK1336" i="5"/>
  <c r="AM1473" i="5"/>
  <c r="AL1473" i="5"/>
  <c r="AK1473" i="5"/>
  <c r="AM1371" i="5"/>
  <c r="AK1371" i="5"/>
  <c r="AL1371" i="5"/>
  <c r="AM321" i="5"/>
  <c r="AL321" i="5"/>
  <c r="AK321" i="5"/>
  <c r="AM560" i="5"/>
  <c r="AL560" i="5"/>
  <c r="AK560" i="5"/>
  <c r="AM1638" i="5"/>
  <c r="AL1638" i="5"/>
  <c r="AK1638" i="5"/>
  <c r="AM411" i="5"/>
  <c r="AL411" i="5"/>
  <c r="AK411" i="5"/>
  <c r="AM60" i="5"/>
  <c r="AL60" i="5"/>
  <c r="AK60" i="5"/>
  <c r="AM434" i="5"/>
  <c r="AL434" i="5"/>
  <c r="AK434" i="5"/>
  <c r="AM350" i="5"/>
  <c r="AL350" i="5"/>
  <c r="AK350" i="5"/>
  <c r="AM753" i="5"/>
  <c r="AL753" i="5"/>
  <c r="AK753" i="5"/>
  <c r="AM964" i="5"/>
  <c r="AL964" i="5"/>
  <c r="AK964" i="5"/>
  <c r="AM1217" i="5"/>
  <c r="AL1217" i="5"/>
  <c r="AK1217" i="5"/>
  <c r="AM894" i="5"/>
  <c r="AL894" i="5"/>
  <c r="AK894" i="5"/>
  <c r="AL1400" i="5"/>
  <c r="AK1400" i="5"/>
  <c r="AM1400" i="5"/>
  <c r="AM1585" i="5"/>
  <c r="AL1585" i="5"/>
  <c r="AK1585" i="5"/>
  <c r="AM1387" i="5"/>
  <c r="AL1387" i="5"/>
  <c r="AK1387" i="5"/>
  <c r="AM906" i="5"/>
  <c r="AL906" i="5"/>
  <c r="AK906" i="5"/>
  <c r="AM596" i="5"/>
  <c r="AL596" i="5"/>
  <c r="AK596" i="5"/>
  <c r="AM455" i="5"/>
  <c r="AL455" i="5"/>
  <c r="AK455" i="5"/>
  <c r="AM1035" i="5"/>
  <c r="AL1035" i="5"/>
  <c r="AK1035" i="5"/>
  <c r="AM1227" i="5"/>
  <c r="AK1227" i="5"/>
  <c r="AL1227" i="5"/>
  <c r="AM1715" i="5"/>
  <c r="AL1715" i="5"/>
  <c r="AK1715" i="5"/>
  <c r="AM259" i="5"/>
  <c r="AL259" i="5"/>
  <c r="AK259" i="5"/>
  <c r="AM529" i="5"/>
  <c r="AL529" i="5"/>
  <c r="AK529" i="5"/>
  <c r="AM838" i="5"/>
  <c r="AL838" i="5"/>
  <c r="AK838" i="5"/>
  <c r="AM1168" i="5"/>
  <c r="AL1168" i="5"/>
  <c r="AK1168" i="5"/>
  <c r="AM1295" i="5"/>
  <c r="AK1295" i="5"/>
  <c r="AL1295" i="5"/>
  <c r="AM1396" i="5"/>
  <c r="AL1396" i="5"/>
  <c r="AK1396" i="5"/>
  <c r="AM1529" i="5"/>
  <c r="AL1529" i="5"/>
  <c r="AK1529" i="5"/>
  <c r="AM1699" i="5"/>
  <c r="AL1699" i="5"/>
  <c r="AK1699" i="5"/>
  <c r="AM1335" i="5"/>
  <c r="AL1335" i="5"/>
  <c r="AK1335" i="5"/>
  <c r="AM987" i="5"/>
  <c r="AK987" i="5"/>
  <c r="AL987" i="5"/>
  <c r="AM233" i="5"/>
  <c r="AL233" i="5"/>
  <c r="AK233" i="5"/>
  <c r="AM9" i="5"/>
  <c r="AL9" i="5"/>
  <c r="AK9" i="5"/>
  <c r="AM762" i="5"/>
  <c r="AL762" i="5"/>
  <c r="AK762" i="5"/>
  <c r="AM665" i="5"/>
  <c r="AL665" i="5"/>
  <c r="AK665" i="5"/>
  <c r="AM410" i="5"/>
  <c r="AL410" i="5"/>
  <c r="AK410" i="5"/>
  <c r="AM1087" i="5"/>
  <c r="AK1087" i="5"/>
  <c r="AL1087" i="5"/>
  <c r="AM465" i="5"/>
  <c r="AL465" i="5"/>
  <c r="AK465" i="5"/>
  <c r="AM34" i="5"/>
  <c r="AL34" i="5"/>
  <c r="AK34" i="5"/>
  <c r="AM1505" i="5"/>
  <c r="AL1505" i="5"/>
  <c r="AK1505" i="5"/>
  <c r="AM1162" i="5"/>
  <c r="AL1162" i="5"/>
  <c r="AK1162" i="5"/>
  <c r="AM1281" i="5"/>
  <c r="AL1281" i="5"/>
  <c r="AK1281" i="5"/>
  <c r="AM656" i="5"/>
  <c r="AL656" i="5"/>
  <c r="AK656" i="5"/>
  <c r="AM1604" i="5"/>
  <c r="AL1604" i="5"/>
  <c r="AK1604" i="5"/>
  <c r="AM498" i="5"/>
  <c r="AL498" i="5"/>
  <c r="AK498" i="5"/>
  <c r="AM925" i="5"/>
  <c r="AL925" i="5"/>
  <c r="AK925" i="5"/>
  <c r="AM1710" i="5"/>
  <c r="AL1710" i="5"/>
  <c r="AK1710" i="5"/>
  <c r="AM381" i="5"/>
  <c r="AL381" i="5"/>
  <c r="AK381" i="5"/>
  <c r="AM1037" i="5"/>
  <c r="AL1037" i="5"/>
  <c r="AK1037" i="5"/>
  <c r="AM752" i="5"/>
  <c r="AL752" i="5"/>
  <c r="AK752" i="5"/>
  <c r="AM1448" i="5"/>
  <c r="AL1448" i="5"/>
  <c r="AK1448" i="5"/>
  <c r="AM1252" i="5"/>
  <c r="AL1252" i="5"/>
  <c r="AK1252" i="5"/>
  <c r="AM1435" i="5"/>
  <c r="AL1435" i="5"/>
  <c r="AK1435" i="5"/>
  <c r="AM90" i="5"/>
  <c r="AL90" i="5"/>
  <c r="AK90" i="5"/>
  <c r="AM1238" i="5"/>
  <c r="AL1238" i="5"/>
  <c r="AK1238" i="5"/>
  <c r="AM538" i="5"/>
  <c r="AL538" i="5"/>
  <c r="AK538" i="5"/>
  <c r="AM1527" i="5"/>
  <c r="AL1527" i="5"/>
  <c r="AK1527" i="5"/>
  <c r="AM61" i="5"/>
  <c r="AL61" i="5"/>
  <c r="AK61" i="5"/>
  <c r="AM436" i="5"/>
  <c r="AL436" i="5"/>
  <c r="AK436" i="5"/>
  <c r="AM282" i="5"/>
  <c r="AL282" i="5"/>
  <c r="AK282" i="5"/>
  <c r="AM686" i="5"/>
  <c r="AL686" i="5"/>
  <c r="AK686" i="5"/>
  <c r="AM1074" i="5"/>
  <c r="AL1074" i="5"/>
  <c r="AK1074" i="5"/>
  <c r="AM950" i="5"/>
  <c r="AL950" i="5"/>
  <c r="AK950" i="5"/>
  <c r="AM1265" i="5"/>
  <c r="AL1265" i="5"/>
  <c r="AK1265" i="5"/>
  <c r="AM1548" i="5"/>
  <c r="AL1548" i="5"/>
  <c r="AK1548" i="5"/>
  <c r="AM1358" i="5"/>
  <c r="AL1358" i="5"/>
  <c r="AK1358" i="5"/>
  <c r="AM1535" i="5"/>
  <c r="AK1535" i="5"/>
  <c r="AL1535" i="5"/>
  <c r="AM74" i="5"/>
  <c r="AL74" i="5"/>
  <c r="AK74" i="5"/>
  <c r="AM462" i="5"/>
  <c r="AL462" i="5"/>
  <c r="AK462" i="5"/>
  <c r="AM347" i="5"/>
  <c r="AL347" i="5"/>
  <c r="AK347" i="5"/>
  <c r="AM629" i="5"/>
  <c r="AL629" i="5"/>
  <c r="AK629" i="5"/>
  <c r="AM1099" i="5"/>
  <c r="AK1099" i="5"/>
  <c r="AL1099" i="5"/>
  <c r="AM1010" i="5"/>
  <c r="AL1010" i="5"/>
  <c r="AK1010" i="5"/>
  <c r="AM901" i="5"/>
  <c r="AL901" i="5"/>
  <c r="AK901" i="5"/>
  <c r="AM1261" i="5"/>
  <c r="AL1261" i="5"/>
  <c r="AK1261" i="5"/>
  <c r="AM1362" i="5"/>
  <c r="AL1362" i="5"/>
  <c r="AK1362" i="5"/>
  <c r="AM1491" i="5"/>
  <c r="AL1491" i="5"/>
  <c r="AK1491" i="5"/>
  <c r="AM15" i="5"/>
  <c r="AL15" i="5"/>
  <c r="AK15" i="5"/>
  <c r="AL599" i="5"/>
  <c r="AM599" i="5"/>
  <c r="AK599" i="5"/>
  <c r="AM51" i="5"/>
  <c r="AL51" i="5"/>
  <c r="AK51" i="5"/>
  <c r="AM355" i="5"/>
  <c r="AL355" i="5"/>
  <c r="AK355" i="5"/>
  <c r="AM489" i="5"/>
  <c r="AL489" i="5"/>
  <c r="AK489" i="5"/>
  <c r="AM806" i="5"/>
  <c r="AL806" i="5"/>
  <c r="AK806" i="5"/>
  <c r="AM1052" i="5"/>
  <c r="AL1052" i="5"/>
  <c r="AK1052" i="5"/>
  <c r="AM993" i="5"/>
  <c r="AL993" i="5"/>
  <c r="AK993" i="5"/>
  <c r="AM877" i="5"/>
  <c r="AL877" i="5"/>
  <c r="AK877" i="5"/>
  <c r="AM1508" i="5"/>
  <c r="AL1508" i="5"/>
  <c r="AK1508" i="5"/>
  <c r="AM1288" i="5"/>
  <c r="AL1288" i="5"/>
  <c r="AK1288" i="5"/>
  <c r="AM1399" i="5"/>
  <c r="AL1399" i="5"/>
  <c r="AK1399" i="5"/>
  <c r="AM40" i="5"/>
  <c r="AL40" i="5"/>
  <c r="AK40" i="5"/>
  <c r="AM223" i="5"/>
  <c r="AL223" i="5"/>
  <c r="AK223" i="5"/>
  <c r="AM467" i="5"/>
  <c r="AL467" i="5"/>
  <c r="AK467" i="5"/>
  <c r="AM705" i="5"/>
  <c r="AL705" i="5"/>
  <c r="AK705" i="5"/>
  <c r="AM557" i="5"/>
  <c r="AL557" i="5"/>
  <c r="AK557" i="5"/>
  <c r="AM1197" i="5"/>
  <c r="AL1197" i="5"/>
  <c r="AK1197" i="5"/>
  <c r="AM759" i="5"/>
  <c r="AL759" i="5"/>
  <c r="AK759" i="5"/>
  <c r="AL1416" i="5"/>
  <c r="AM1416" i="5"/>
  <c r="AK1416" i="5"/>
  <c r="AM1553" i="5"/>
  <c r="AL1553" i="5"/>
  <c r="AK1553" i="5"/>
  <c r="AM1355" i="5"/>
  <c r="AK1355" i="5"/>
  <c r="AL1355" i="5"/>
  <c r="AL23" i="5"/>
  <c r="AM23" i="5"/>
  <c r="AK23" i="5"/>
  <c r="AM200" i="5"/>
  <c r="AL200" i="5"/>
  <c r="AK200" i="5"/>
  <c r="AM469" i="5"/>
  <c r="AL469" i="5"/>
  <c r="AK469" i="5"/>
  <c r="AM530" i="5"/>
  <c r="AL530" i="5"/>
  <c r="AK530" i="5"/>
  <c r="AM285" i="5"/>
  <c r="AL285" i="5"/>
  <c r="AK285" i="5"/>
  <c r="AM1174" i="5"/>
  <c r="AL1174" i="5"/>
  <c r="AK1174" i="5"/>
  <c r="AM299" i="5"/>
  <c r="AL299" i="5"/>
  <c r="AK299" i="5"/>
  <c r="AM1468" i="5"/>
  <c r="AL1468" i="5"/>
  <c r="AK1468" i="5"/>
  <c r="AM42" i="5"/>
  <c r="AK42" i="5"/>
  <c r="AL42" i="5"/>
  <c r="AM247" i="5"/>
  <c r="AL247" i="5"/>
  <c r="AK247" i="5"/>
  <c r="AM278" i="5"/>
  <c r="AL278" i="5"/>
  <c r="AK278" i="5"/>
  <c r="AM708" i="5"/>
  <c r="AL708" i="5"/>
  <c r="AK708" i="5"/>
  <c r="AM1079" i="5"/>
  <c r="AL1079" i="5"/>
  <c r="AK1079" i="5"/>
  <c r="AM895" i="5"/>
  <c r="AK895" i="5"/>
  <c r="AL895" i="5"/>
  <c r="AM920" i="5"/>
  <c r="AL920" i="5"/>
  <c r="AK920" i="5"/>
  <c r="AM1629" i="5"/>
  <c r="AL1629" i="5"/>
  <c r="AK1629" i="5"/>
  <c r="AM1474" i="5"/>
  <c r="AL1474" i="5"/>
  <c r="AK1474" i="5"/>
  <c r="AM1785" i="5"/>
  <c r="AL1785" i="5"/>
  <c r="AK1785" i="5"/>
  <c r="AM178" i="5"/>
  <c r="AL178" i="5"/>
  <c r="AK178" i="5"/>
  <c r="AM449" i="5"/>
  <c r="AL449" i="5"/>
  <c r="AK449" i="5"/>
  <c r="AM741" i="5"/>
  <c r="AL741" i="5"/>
  <c r="AK741" i="5"/>
  <c r="AM826" i="5"/>
  <c r="AL826" i="5"/>
  <c r="AK826" i="5"/>
  <c r="AM1152" i="5"/>
  <c r="AL1152" i="5"/>
  <c r="AK1152" i="5"/>
  <c r="AM948" i="5"/>
  <c r="AL948" i="5"/>
  <c r="AK948" i="5"/>
  <c r="AM1284" i="5"/>
  <c r="AL1284" i="5"/>
  <c r="AK1284" i="5"/>
  <c r="AL1596" i="5"/>
  <c r="AK1596" i="5"/>
  <c r="AM1596" i="5"/>
  <c r="AM1478" i="5"/>
  <c r="AL1478" i="5"/>
  <c r="AK1478" i="5"/>
  <c r="AM69" i="5"/>
  <c r="AL69" i="5"/>
  <c r="AK69" i="5"/>
  <c r="AM509" i="5"/>
  <c r="AL509" i="5"/>
  <c r="AK509" i="5"/>
  <c r="AM1178" i="5"/>
  <c r="AL1178" i="5"/>
  <c r="AK1178" i="5"/>
  <c r="AM1676" i="5"/>
  <c r="AL1676" i="5"/>
  <c r="AK1676" i="5"/>
  <c r="AM1765" i="5"/>
  <c r="AL1765" i="5"/>
  <c r="AK1765" i="5"/>
  <c r="AM814" i="5"/>
  <c r="AL814" i="5"/>
  <c r="AK814" i="5"/>
  <c r="AM92" i="5"/>
  <c r="AL92" i="5"/>
  <c r="AK92" i="5"/>
  <c r="AM264" i="5"/>
  <c r="AL264" i="5"/>
  <c r="AK264" i="5"/>
  <c r="AM511" i="5"/>
  <c r="AL511" i="5"/>
  <c r="AK511" i="5"/>
  <c r="AM512" i="5"/>
  <c r="AL512" i="5"/>
  <c r="AK512" i="5"/>
  <c r="AM1069" i="5"/>
  <c r="AL1069" i="5"/>
  <c r="AK1069" i="5"/>
  <c r="AM1005" i="5"/>
  <c r="AL1005" i="5"/>
  <c r="AK1005" i="5"/>
  <c r="AM1016" i="5"/>
  <c r="AL1016" i="5"/>
  <c r="AK1016" i="5"/>
  <c r="AL1432" i="5"/>
  <c r="AK1432" i="5"/>
  <c r="AM1432" i="5"/>
  <c r="AM1569" i="5"/>
  <c r="AL1569" i="5"/>
  <c r="AK1569" i="5"/>
  <c r="AM1467" i="5"/>
  <c r="AL1467" i="5"/>
  <c r="AK1467" i="5"/>
  <c r="AM811" i="5"/>
  <c r="AL811" i="5"/>
  <c r="AK811" i="5"/>
  <c r="AM850" i="5"/>
  <c r="AL850" i="5"/>
  <c r="AK850" i="5"/>
  <c r="AM1782" i="5"/>
  <c r="AL1782" i="5"/>
  <c r="AK1782" i="5"/>
  <c r="AM545" i="5"/>
  <c r="AL545" i="5"/>
  <c r="AK545" i="5"/>
  <c r="AM84" i="5"/>
  <c r="AL84" i="5"/>
  <c r="AK84" i="5"/>
  <c r="AM482" i="5"/>
  <c r="AL482" i="5"/>
  <c r="AK482" i="5"/>
  <c r="AM575" i="5"/>
  <c r="AL575" i="5"/>
  <c r="AK575" i="5"/>
  <c r="AM626" i="5"/>
  <c r="AL626" i="5"/>
  <c r="AK626" i="5"/>
  <c r="AM1049" i="5"/>
  <c r="AL1049" i="5"/>
  <c r="AK1049" i="5"/>
  <c r="AM769" i="5"/>
  <c r="AL769" i="5"/>
  <c r="AK769" i="5"/>
  <c r="AM1018" i="5"/>
  <c r="AL1018" i="5"/>
  <c r="AK1018" i="5"/>
  <c r="AM1496" i="5"/>
  <c r="AL1496" i="5"/>
  <c r="AK1496" i="5"/>
  <c r="AM1306" i="5"/>
  <c r="AL1306" i="5"/>
  <c r="AK1306" i="5"/>
  <c r="AM1483" i="5"/>
  <c r="AK1483" i="5"/>
  <c r="AL1483" i="5"/>
  <c r="AM68" i="5"/>
  <c r="AL68" i="5"/>
  <c r="AK68" i="5"/>
  <c r="AM584" i="5"/>
  <c r="AL584" i="5"/>
  <c r="AK584" i="5"/>
  <c r="AM559" i="5"/>
  <c r="AL559" i="5"/>
  <c r="AK559" i="5"/>
  <c r="AM1059" i="5"/>
  <c r="AL1059" i="5"/>
  <c r="AK1059" i="5"/>
  <c r="AM699" i="5"/>
  <c r="AL699" i="5"/>
  <c r="AK699" i="5"/>
  <c r="AM5" i="5"/>
  <c r="AL5" i="5"/>
  <c r="AK5" i="5"/>
  <c r="AM456" i="5"/>
  <c r="AL456" i="5"/>
  <c r="AK456" i="5"/>
  <c r="AM378" i="5"/>
  <c r="AK378" i="5"/>
  <c r="AL378" i="5"/>
  <c r="AM750" i="5"/>
  <c r="AL750" i="5"/>
  <c r="AK750" i="5"/>
  <c r="AM1192" i="5"/>
  <c r="AL1192" i="5"/>
  <c r="AK1192" i="5"/>
  <c r="AM1296" i="5"/>
  <c r="AL1296" i="5"/>
  <c r="AK1296" i="5"/>
  <c r="AM1588" i="5"/>
  <c r="AL1588" i="5"/>
  <c r="AK1588" i="5"/>
  <c r="AM1346" i="5"/>
  <c r="AL1346" i="5"/>
  <c r="AK1346" i="5"/>
  <c r="AM1341" i="5"/>
  <c r="AL1341" i="5"/>
  <c r="AK1341" i="5"/>
  <c r="AM354" i="5"/>
  <c r="AL354" i="5"/>
  <c r="AK354" i="5"/>
  <c r="AM1541" i="5"/>
  <c r="AL1541" i="5"/>
  <c r="AK1541" i="5"/>
  <c r="AM431" i="5"/>
  <c r="AL431" i="5"/>
  <c r="AK431" i="5"/>
  <c r="AM1453" i="5"/>
  <c r="AL1453" i="5"/>
  <c r="AK1453" i="5"/>
  <c r="AM447" i="5"/>
  <c r="AL447" i="5"/>
  <c r="AK447" i="5"/>
  <c r="AM1017" i="5"/>
  <c r="AL1017" i="5"/>
  <c r="AK1017" i="5"/>
  <c r="AM866" i="5"/>
  <c r="AL866" i="5"/>
  <c r="AK866" i="5"/>
  <c r="AM662" i="5"/>
  <c r="AL662" i="5"/>
  <c r="AK662" i="5"/>
  <c r="AM1351" i="5"/>
  <c r="AL1351" i="5"/>
  <c r="AK1351" i="5"/>
  <c r="AM11" i="5"/>
  <c r="AL11" i="5"/>
  <c r="AK11" i="5"/>
  <c r="AM1628" i="5"/>
  <c r="AL1628" i="5"/>
  <c r="AK1628" i="5"/>
  <c r="AM1426" i="5"/>
  <c r="AL1426" i="5"/>
  <c r="AK1426" i="5"/>
  <c r="AM1430" i="5"/>
  <c r="AL1430" i="5"/>
  <c r="AK1430" i="5"/>
  <c r="AM246" i="5"/>
  <c r="AL246" i="5"/>
  <c r="AK246" i="5"/>
  <c r="AM373" i="5"/>
  <c r="AL373" i="5"/>
  <c r="AK373" i="5"/>
  <c r="AM1180" i="5"/>
  <c r="AL1180" i="5"/>
  <c r="AK1180" i="5"/>
  <c r="AM86" i="5"/>
  <c r="AL86" i="5"/>
  <c r="AK86" i="5"/>
  <c r="AM440" i="5"/>
  <c r="AL440" i="5"/>
  <c r="AK440" i="5"/>
  <c r="AM52" i="5"/>
  <c r="AL52" i="5"/>
  <c r="AK52" i="5"/>
  <c r="AM1464" i="5"/>
  <c r="AL1464" i="5"/>
  <c r="AK1464" i="5"/>
  <c r="AM35" i="5"/>
  <c r="AL35" i="5"/>
  <c r="AK35" i="5"/>
  <c r="AM212" i="5"/>
  <c r="AL212" i="5"/>
  <c r="AK212" i="5"/>
  <c r="AM493" i="5"/>
  <c r="AL493" i="5"/>
  <c r="AK493" i="5"/>
  <c r="AM391" i="5"/>
  <c r="AL391" i="5"/>
  <c r="AK391" i="5"/>
  <c r="AM888" i="5"/>
  <c r="AL888" i="5"/>
  <c r="AK888" i="5"/>
  <c r="AM1595" i="5"/>
  <c r="AL1595" i="5"/>
  <c r="AK1595" i="5"/>
  <c r="AM1665" i="5"/>
  <c r="AL1665" i="5"/>
  <c r="AK1665" i="5"/>
  <c r="AM1804" i="5"/>
  <c r="AL1804" i="5"/>
  <c r="AK1804" i="5"/>
  <c r="AM190" i="5"/>
  <c r="AL190" i="5"/>
  <c r="AK190" i="5"/>
  <c r="AM473" i="5"/>
  <c r="AL473" i="5"/>
  <c r="AK473" i="5"/>
  <c r="AM614" i="5"/>
  <c r="AL614" i="5"/>
  <c r="AK614" i="5"/>
  <c r="AM783" i="5"/>
  <c r="AL783" i="5"/>
  <c r="AK783" i="5"/>
  <c r="AM1164" i="5"/>
  <c r="AL1164" i="5"/>
  <c r="AK1164" i="5"/>
  <c r="AM721" i="5"/>
  <c r="AL721" i="5"/>
  <c r="AK721" i="5"/>
  <c r="AM872" i="5"/>
  <c r="AL872" i="5"/>
  <c r="AK872" i="5"/>
  <c r="AM1632" i="5"/>
  <c r="AL1632" i="5"/>
  <c r="AK1632" i="5"/>
  <c r="AM1526" i="5"/>
  <c r="AL1526" i="5"/>
  <c r="AK1526" i="5"/>
  <c r="AM93" i="5"/>
  <c r="AL93" i="5"/>
  <c r="AK93" i="5"/>
  <c r="AM700" i="5"/>
  <c r="AL700" i="5"/>
  <c r="AK700" i="5"/>
  <c r="AM1202" i="5"/>
  <c r="AL1202" i="5"/>
  <c r="AK1202" i="5"/>
  <c r="AM1748" i="5"/>
  <c r="AL1748" i="5"/>
  <c r="AK1748" i="5"/>
  <c r="AM1375" i="5"/>
  <c r="AL1375" i="5"/>
  <c r="AK1375" i="5"/>
  <c r="AM637" i="5"/>
  <c r="AL637" i="5"/>
  <c r="AK637" i="5"/>
  <c r="AM104" i="5"/>
  <c r="AL104" i="5"/>
  <c r="AK104" i="5"/>
  <c r="AM408" i="5"/>
  <c r="AL408" i="5"/>
  <c r="AK408" i="5"/>
  <c r="AM297" i="5"/>
  <c r="AL297" i="5"/>
  <c r="AK297" i="5"/>
  <c r="AM684" i="5"/>
  <c r="AL684" i="5"/>
  <c r="AK684" i="5"/>
  <c r="AM1081" i="5"/>
  <c r="AL1081" i="5"/>
  <c r="AK1081" i="5"/>
  <c r="AM938" i="5"/>
  <c r="AL938" i="5"/>
  <c r="AK938" i="5"/>
  <c r="AM937" i="5"/>
  <c r="AL937" i="5"/>
  <c r="AK937" i="5"/>
  <c r="AM1480" i="5"/>
  <c r="AL1480" i="5"/>
  <c r="AK1480" i="5"/>
  <c r="AM1338" i="5"/>
  <c r="AL1338" i="5"/>
  <c r="AK1338" i="5"/>
  <c r="AL1515" i="5"/>
  <c r="AK1515" i="5"/>
  <c r="AM1515" i="5"/>
  <c r="AM600" i="5"/>
  <c r="AL600" i="5"/>
  <c r="AK600" i="5"/>
  <c r="AM556" i="5"/>
  <c r="AL556" i="5"/>
  <c r="AK556" i="5"/>
  <c r="AM1333" i="5"/>
  <c r="AL1333" i="5"/>
  <c r="AK1333" i="5"/>
  <c r="AM777" i="5"/>
  <c r="AL777" i="5"/>
  <c r="AK777" i="5"/>
  <c r="AM96" i="5"/>
  <c r="AL96" i="5"/>
  <c r="AK96" i="5"/>
  <c r="AM505" i="5"/>
  <c r="AL505" i="5"/>
  <c r="AK505" i="5"/>
  <c r="AM419" i="5"/>
  <c r="AL419" i="5"/>
  <c r="AK419" i="5"/>
  <c r="AM770" i="5"/>
  <c r="AL770" i="5"/>
  <c r="AK770" i="5"/>
  <c r="AM1061" i="5"/>
  <c r="AL1061" i="5"/>
  <c r="AK1061" i="5"/>
  <c r="AM957" i="5"/>
  <c r="AL957" i="5"/>
  <c r="AK957" i="5"/>
  <c r="AM402" i="5"/>
  <c r="AL402" i="5"/>
  <c r="AK402" i="5"/>
  <c r="AM1544" i="5"/>
  <c r="AL1544" i="5"/>
  <c r="AK1544" i="5"/>
  <c r="AM1354" i="5"/>
  <c r="AL1354" i="5"/>
  <c r="AK1354" i="5"/>
  <c r="AM1531" i="5"/>
  <c r="AL1531" i="5"/>
  <c r="AK1531" i="5"/>
  <c r="AM156" i="5"/>
  <c r="AL156" i="5"/>
  <c r="AK156" i="5"/>
  <c r="AM680" i="5"/>
  <c r="AL680" i="5"/>
  <c r="AK680" i="5"/>
  <c r="AM376" i="5"/>
  <c r="AL376" i="5"/>
  <c r="AK376" i="5"/>
  <c r="AM1071" i="5"/>
  <c r="AK1071" i="5"/>
  <c r="AL1071" i="5"/>
  <c r="AM991" i="5"/>
  <c r="AL991" i="5"/>
  <c r="AK991" i="5"/>
  <c r="AM17" i="5"/>
  <c r="AL17" i="5"/>
  <c r="AK17" i="5"/>
  <c r="AM480" i="5"/>
  <c r="AL480" i="5"/>
  <c r="AK480" i="5"/>
  <c r="AM510" i="5"/>
  <c r="AL510" i="5"/>
  <c r="AK510" i="5"/>
  <c r="AM639" i="5"/>
  <c r="AL639" i="5"/>
  <c r="AK639" i="5"/>
  <c r="AM1204" i="5"/>
  <c r="AL1204" i="5"/>
  <c r="AK1204" i="5"/>
  <c r="AM1610" i="5"/>
  <c r="AL1610" i="5"/>
  <c r="AK1610" i="5"/>
  <c r="AM1350" i="5"/>
  <c r="AL1350" i="5"/>
  <c r="AK1350" i="5"/>
  <c r="AM1442" i="5"/>
  <c r="AL1442" i="5"/>
  <c r="AK1442" i="5"/>
  <c r="AM1431" i="5"/>
  <c r="AL1431" i="5"/>
  <c r="AK1431" i="5"/>
  <c r="AM1581" i="5"/>
  <c r="AL1581" i="5"/>
  <c r="AK1581" i="5"/>
  <c r="AM1343" i="5"/>
  <c r="AK1343" i="5"/>
  <c r="AL1343" i="5"/>
  <c r="AM855" i="5"/>
  <c r="AL855" i="5"/>
  <c r="AK855" i="5"/>
  <c r="AM210" i="5"/>
  <c r="AL210" i="5"/>
  <c r="AK210" i="5"/>
  <c r="AM1043" i="5"/>
  <c r="AL1043" i="5"/>
  <c r="AK1043" i="5"/>
  <c r="AM570" i="5"/>
  <c r="AL570" i="5"/>
  <c r="AK570" i="5"/>
  <c r="AM756" i="5"/>
  <c r="AL756" i="5"/>
  <c r="AK756" i="5"/>
  <c r="AM33" i="5"/>
  <c r="AL33" i="5"/>
  <c r="AK33" i="5"/>
  <c r="AM1460" i="5"/>
  <c r="AL1460" i="5"/>
  <c r="AK1460" i="5"/>
  <c r="AM1368" i="5"/>
  <c r="AL1368" i="5"/>
  <c r="AK1368" i="5"/>
  <c r="AM965" i="5"/>
  <c r="AL965" i="5"/>
  <c r="AK965" i="5"/>
  <c r="AM166" i="5"/>
  <c r="AL166" i="5"/>
  <c r="AK166" i="5"/>
  <c r="AM1154" i="5"/>
  <c r="AL1154" i="5"/>
  <c r="AK1154" i="5"/>
  <c r="AM1419" i="5"/>
  <c r="AL1419" i="5"/>
  <c r="AK1419" i="5"/>
  <c r="AM1260" i="5"/>
  <c r="AL1260" i="5"/>
  <c r="AK1260" i="5"/>
  <c r="AM73" i="5"/>
  <c r="AL73" i="5"/>
  <c r="AK73" i="5"/>
  <c r="AM1406" i="5"/>
  <c r="AL1406" i="5"/>
  <c r="AK1406" i="5"/>
  <c r="AM1657" i="5"/>
  <c r="AL1657" i="5"/>
  <c r="AK1657" i="5"/>
  <c r="AM235" i="5"/>
  <c r="AL235" i="5"/>
  <c r="AK235" i="5"/>
  <c r="AM1522" i="5"/>
  <c r="AL1522" i="5"/>
  <c r="AK1522" i="5"/>
  <c r="AM85" i="5"/>
  <c r="AL85" i="5"/>
  <c r="AK85" i="5"/>
  <c r="AM484" i="5"/>
  <c r="AL484" i="5"/>
  <c r="AK484" i="5"/>
  <c r="AM333" i="5"/>
  <c r="AL333" i="5"/>
  <c r="AK333" i="5"/>
  <c r="AM763" i="5"/>
  <c r="AL763" i="5"/>
  <c r="AK763" i="5"/>
  <c r="AM1098" i="5"/>
  <c r="AL1098" i="5"/>
  <c r="AK1098" i="5"/>
  <c r="AM883" i="5"/>
  <c r="AL883" i="5"/>
  <c r="AK883" i="5"/>
  <c r="AM1266" i="5"/>
  <c r="AL1266" i="5"/>
  <c r="AK1266" i="5"/>
  <c r="AM1614" i="5"/>
  <c r="AL1614" i="5"/>
  <c r="AK1614" i="5"/>
  <c r="AM1454" i="5"/>
  <c r="AL1454" i="5"/>
  <c r="AK1454" i="5"/>
  <c r="AM1736" i="5"/>
  <c r="AL1736" i="5"/>
  <c r="AK1736" i="5"/>
  <c r="AM98" i="5"/>
  <c r="AL98" i="5"/>
  <c r="AK98" i="5"/>
  <c r="AM336" i="5"/>
  <c r="AL336" i="5"/>
  <c r="AK336" i="5"/>
  <c r="AM572" i="5"/>
  <c r="AL572" i="5"/>
  <c r="AK572" i="5"/>
  <c r="AM829" i="5"/>
  <c r="AL829" i="5"/>
  <c r="AK829" i="5"/>
  <c r="AM1123" i="5"/>
  <c r="AL1123" i="5"/>
  <c r="AK1123" i="5"/>
  <c r="AM620" i="5"/>
  <c r="AL620" i="5"/>
  <c r="AK620" i="5"/>
  <c r="AM1619" i="5"/>
  <c r="AL1619" i="5"/>
  <c r="AK1619" i="5"/>
  <c r="AM1653" i="5"/>
  <c r="AL1653" i="5"/>
  <c r="AK1653" i="5"/>
  <c r="AM1458" i="5"/>
  <c r="AL1458" i="5"/>
  <c r="AK1458" i="5"/>
  <c r="AM1587" i="5"/>
  <c r="AL1587" i="5"/>
  <c r="AK1587" i="5"/>
  <c r="AM58" i="5"/>
  <c r="AK58" i="5"/>
  <c r="AL58" i="5"/>
  <c r="AM677" i="5"/>
  <c r="AL677" i="5"/>
  <c r="AK677" i="5"/>
  <c r="AM75" i="5"/>
  <c r="AL75" i="5"/>
  <c r="AK75" i="5"/>
  <c r="AM464" i="5"/>
  <c r="AL464" i="5"/>
  <c r="AK464" i="5"/>
  <c r="AM386" i="5"/>
  <c r="AL386" i="5"/>
  <c r="AK386" i="5"/>
  <c r="AM739" i="5"/>
  <c r="AL739" i="5"/>
  <c r="AK739" i="5"/>
  <c r="AM1076" i="5"/>
  <c r="AL1076" i="5"/>
  <c r="AK1076" i="5"/>
  <c r="AM735" i="5"/>
  <c r="AL735" i="5"/>
  <c r="AK735" i="5"/>
  <c r="AM889" i="5"/>
  <c r="AL889" i="5"/>
  <c r="AK889" i="5"/>
  <c r="AM4" i="5"/>
  <c r="AL4" i="5"/>
  <c r="AK4" i="5"/>
  <c r="AM1366" i="5"/>
  <c r="AL1366" i="5"/>
  <c r="AK1366" i="5"/>
  <c r="AM1495" i="5"/>
  <c r="AL1495" i="5"/>
  <c r="AK1495" i="5"/>
  <c r="AM64" i="5"/>
  <c r="AL64" i="5"/>
  <c r="AK64" i="5"/>
  <c r="AM271" i="5"/>
  <c r="AL271" i="5"/>
  <c r="AK271" i="5"/>
  <c r="AM302" i="5"/>
  <c r="AL302" i="5"/>
  <c r="AK302" i="5"/>
  <c r="AM722" i="5"/>
  <c r="AL722" i="5"/>
  <c r="AK722" i="5"/>
  <c r="AM1029" i="5"/>
  <c r="AL1029" i="5"/>
  <c r="AK1029" i="5"/>
  <c r="AM1221" i="5"/>
  <c r="AL1221" i="5"/>
  <c r="AK1221" i="5"/>
  <c r="AM1274" i="5"/>
  <c r="AL1274" i="5"/>
  <c r="AK1274" i="5"/>
  <c r="AL1512" i="5"/>
  <c r="AM1512" i="5"/>
  <c r="AK1512" i="5"/>
  <c r="AM1322" i="5"/>
  <c r="AL1322" i="5"/>
  <c r="AK1322" i="5"/>
  <c r="AM1451" i="5"/>
  <c r="AL1451" i="5"/>
  <c r="AK1451" i="5"/>
  <c r="AM41" i="5"/>
  <c r="AL41" i="5"/>
  <c r="AK41" i="5"/>
  <c r="AM224" i="5"/>
  <c r="AL224" i="5"/>
  <c r="AK224" i="5"/>
  <c r="AM362" i="5"/>
  <c r="AL362" i="5"/>
  <c r="AK362" i="5"/>
  <c r="AM748" i="5"/>
  <c r="AL748" i="5"/>
  <c r="AK748" i="5"/>
  <c r="AM899" i="5"/>
  <c r="AL899" i="5"/>
  <c r="AK899" i="5"/>
  <c r="AM1198" i="5"/>
  <c r="AL1198" i="5"/>
  <c r="AK1198" i="5"/>
  <c r="AM898" i="5"/>
  <c r="AL898" i="5"/>
  <c r="AK898" i="5"/>
  <c r="AM1662" i="5"/>
  <c r="AL1662" i="5"/>
  <c r="AK1662" i="5"/>
  <c r="AM66" i="5"/>
  <c r="AL66" i="5"/>
  <c r="AK66" i="5"/>
  <c r="AM446" i="5"/>
  <c r="AL446" i="5"/>
  <c r="AK446" i="5"/>
  <c r="AM318" i="5"/>
  <c r="AL318" i="5"/>
  <c r="AK318" i="5"/>
  <c r="AM581" i="5"/>
  <c r="AL581" i="5"/>
  <c r="AK581" i="5"/>
  <c r="AM1103" i="5"/>
  <c r="AK1103" i="5"/>
  <c r="AL1103" i="5"/>
  <c r="AM515" i="5"/>
  <c r="AL515" i="5"/>
  <c r="AK515" i="5"/>
  <c r="AM1631" i="5"/>
  <c r="AL1631" i="5"/>
  <c r="AK1631" i="5"/>
  <c r="AM1701" i="5"/>
  <c r="AL1701" i="5"/>
  <c r="AK1701" i="5"/>
  <c r="AM1570" i="5"/>
  <c r="AL1570" i="5"/>
  <c r="AK1570" i="5"/>
  <c r="AM13" i="5"/>
  <c r="AL13" i="5"/>
  <c r="AK13" i="5"/>
  <c r="AM202" i="5"/>
  <c r="AK202" i="5"/>
  <c r="AL202" i="5"/>
  <c r="AM497" i="5"/>
  <c r="AL497" i="5"/>
  <c r="AK497" i="5"/>
  <c r="AM758" i="5"/>
  <c r="AL758" i="5"/>
  <c r="AK758" i="5"/>
  <c r="AM875" i="5"/>
  <c r="AL875" i="5"/>
  <c r="AK875" i="5"/>
  <c r="AM1176" i="5"/>
  <c r="AL1176" i="5"/>
  <c r="AK1176" i="5"/>
  <c r="AM941" i="5"/>
  <c r="AL941" i="5"/>
  <c r="AK941" i="5"/>
  <c r="AM1598" i="5"/>
  <c r="AL1598" i="5"/>
  <c r="AK1598" i="5"/>
  <c r="AM1668" i="5"/>
  <c r="AL1668" i="5"/>
  <c r="AK1668" i="5"/>
  <c r="AM1574" i="5"/>
  <c r="AL1574" i="5"/>
  <c r="AK1574" i="5"/>
  <c r="AM117" i="5"/>
  <c r="AL117" i="5"/>
  <c r="AK117" i="5"/>
  <c r="AM717" i="5"/>
  <c r="AL717" i="5"/>
  <c r="AK717" i="5"/>
  <c r="AM1226" i="5"/>
  <c r="AL1226" i="5"/>
  <c r="AK1226" i="5"/>
  <c r="AM1820" i="5"/>
  <c r="AL1820" i="5"/>
  <c r="AK1820" i="5"/>
  <c r="AM1471" i="5"/>
  <c r="AK1471" i="5"/>
  <c r="AL1471" i="5"/>
  <c r="AM1257" i="5"/>
  <c r="AL1257" i="5"/>
  <c r="AK1257" i="5"/>
  <c r="AM116" i="5"/>
  <c r="AL116" i="5"/>
  <c r="AK116" i="5"/>
  <c r="AM353" i="5"/>
  <c r="AL353" i="5"/>
  <c r="AK353" i="5"/>
  <c r="AM270" i="5"/>
  <c r="AL270" i="5"/>
  <c r="AK270" i="5"/>
  <c r="AM827" i="5"/>
  <c r="AL827" i="5"/>
  <c r="AK827" i="5"/>
  <c r="AM1093" i="5"/>
  <c r="AL1093" i="5"/>
  <c r="AK1093" i="5"/>
  <c r="AM335" i="5"/>
  <c r="AL335" i="5"/>
  <c r="AK335" i="5"/>
  <c r="AM1250" i="5"/>
  <c r="AL1250" i="5"/>
  <c r="AK1250" i="5"/>
  <c r="AL1528" i="5"/>
  <c r="AM1528" i="5"/>
  <c r="AK1528" i="5"/>
  <c r="AM1386" i="5"/>
  <c r="AL1386" i="5"/>
  <c r="AK1386" i="5"/>
  <c r="AM1563" i="5"/>
  <c r="AL1563" i="5"/>
  <c r="AK1563" i="5"/>
  <c r="AL263" i="5"/>
  <c r="AM263" i="5"/>
  <c r="AK263" i="5"/>
  <c r="AM858" i="5"/>
  <c r="AL858" i="5"/>
  <c r="AK858" i="5"/>
  <c r="AM1429" i="5"/>
  <c r="AL1429" i="5"/>
  <c r="AK1429" i="5"/>
  <c r="AM794" i="5"/>
  <c r="AL794" i="5"/>
  <c r="AK794" i="5"/>
  <c r="AM108" i="5"/>
  <c r="AL108" i="5"/>
  <c r="AK108" i="5"/>
  <c r="AM360" i="5"/>
  <c r="AL360" i="5"/>
  <c r="AK360" i="5"/>
  <c r="AM304" i="5"/>
  <c r="AL304" i="5"/>
  <c r="AK304" i="5"/>
  <c r="AM258" i="5"/>
  <c r="AL258" i="5"/>
  <c r="AK258" i="5"/>
  <c r="AM1073" i="5"/>
  <c r="AL1073" i="5"/>
  <c r="AK1073" i="5"/>
  <c r="AM568" i="5"/>
  <c r="AL568" i="5"/>
  <c r="AK568" i="5"/>
  <c r="AM1262" i="5"/>
  <c r="AL1262" i="5"/>
  <c r="AK1262" i="5"/>
  <c r="AL1592" i="5"/>
  <c r="AM1592" i="5"/>
  <c r="AK1592" i="5"/>
  <c r="AM1402" i="5"/>
  <c r="AL1402" i="5"/>
  <c r="AK1402" i="5"/>
  <c r="AM1579" i="5"/>
  <c r="AL1579" i="5"/>
  <c r="AK1579" i="5"/>
  <c r="AM192" i="5"/>
  <c r="AL192" i="5"/>
  <c r="AK192" i="5"/>
  <c r="AM28" i="5"/>
  <c r="AL28" i="5"/>
  <c r="AK28" i="5"/>
  <c r="AM352" i="5"/>
  <c r="AL352" i="5"/>
  <c r="AK352" i="5"/>
  <c r="AM1083" i="5"/>
  <c r="AL1083" i="5"/>
  <c r="AK1083" i="5"/>
  <c r="AM764" i="5"/>
  <c r="AL764" i="5"/>
  <c r="AK764" i="5"/>
  <c r="AM29" i="5"/>
  <c r="AL29" i="5"/>
  <c r="AK29" i="5"/>
  <c r="AM245" i="5"/>
  <c r="AL245" i="5"/>
  <c r="AK245" i="5"/>
  <c r="AM659" i="5"/>
  <c r="AL659" i="5"/>
  <c r="AK659" i="5"/>
  <c r="AM971" i="5"/>
  <c r="AK971" i="5"/>
  <c r="AL971" i="5"/>
  <c r="AM1216" i="5"/>
  <c r="AL1216" i="5"/>
  <c r="AK1216" i="5"/>
  <c r="AM1646" i="5"/>
  <c r="AL1646" i="5"/>
  <c r="AK1646" i="5"/>
  <c r="AM1494" i="5"/>
  <c r="AL1494" i="5"/>
  <c r="AK1494" i="5"/>
  <c r="AM1538" i="5"/>
  <c r="AL1538" i="5"/>
  <c r="AK1538" i="5"/>
  <c r="AM1754" i="5"/>
  <c r="AL1754" i="5"/>
  <c r="AK1754" i="5"/>
  <c r="AL1608" i="5"/>
  <c r="AM1608" i="5"/>
  <c r="AK1608" i="5"/>
  <c r="AM1051" i="5"/>
  <c r="AL1051" i="5"/>
  <c r="AK1051" i="5"/>
  <c r="AM485" i="5"/>
  <c r="AL485" i="5"/>
  <c r="AK485" i="5"/>
  <c r="AM1063" i="5"/>
  <c r="AL1063" i="5"/>
  <c r="AK1063" i="5"/>
  <c r="AM1208" i="5"/>
  <c r="AL1208" i="5"/>
  <c r="AK1208" i="5"/>
  <c r="AM296" i="5"/>
  <c r="AL296" i="5"/>
  <c r="AK296" i="5"/>
  <c r="AM1487" i="5"/>
  <c r="AK1487" i="5"/>
  <c r="AL1487" i="5"/>
  <c r="AM688" i="5"/>
  <c r="AL688" i="5"/>
  <c r="AK688" i="5"/>
  <c r="AM798" i="5"/>
  <c r="AL798" i="5"/>
  <c r="AK798" i="5"/>
  <c r="AM1540" i="5"/>
  <c r="AL1540" i="5"/>
  <c r="AK1540" i="5"/>
  <c r="AM460" i="5"/>
  <c r="AL460" i="5"/>
  <c r="AK460" i="5"/>
  <c r="AM1249" i="5"/>
  <c r="AL1249" i="5"/>
  <c r="AK1249" i="5"/>
  <c r="AM943" i="5"/>
  <c r="AK943" i="5"/>
  <c r="AL943" i="5"/>
  <c r="AM242" i="5"/>
  <c r="AL242" i="5"/>
  <c r="AK242" i="5"/>
  <c r="AM1556" i="5"/>
  <c r="AL1556" i="5"/>
  <c r="AK1556" i="5"/>
  <c r="AM491" i="5"/>
  <c r="AL491" i="5"/>
  <c r="AK491" i="5"/>
  <c r="AM1209" i="5"/>
  <c r="AL1209" i="5"/>
  <c r="AK1209" i="5"/>
  <c r="AM1300" i="5"/>
  <c r="AL1300" i="5"/>
  <c r="AK1300" i="5"/>
  <c r="AM604" i="5"/>
  <c r="AL604" i="5"/>
  <c r="AK604" i="5"/>
  <c r="AM276" i="5"/>
  <c r="AL276" i="5"/>
  <c r="AK276" i="5"/>
  <c r="AM1502" i="5"/>
  <c r="AL1502" i="5"/>
  <c r="AK1502" i="5"/>
  <c r="AM110" i="5"/>
  <c r="AL110" i="5"/>
  <c r="AK110" i="5"/>
  <c r="AM841" i="5"/>
  <c r="AL841" i="5"/>
  <c r="AK841" i="5"/>
  <c r="AM1135" i="5"/>
  <c r="AK1135" i="5"/>
  <c r="AL1135" i="5"/>
  <c r="AM936" i="5"/>
  <c r="AL936" i="5"/>
  <c r="AK936" i="5"/>
  <c r="AM1655" i="5"/>
  <c r="AL1655" i="5"/>
  <c r="AK1655" i="5"/>
  <c r="AM1689" i="5"/>
  <c r="AL1689" i="5"/>
  <c r="AK1689" i="5"/>
  <c r="AM1506" i="5"/>
  <c r="AL1506" i="5"/>
  <c r="AK1506" i="5"/>
  <c r="AM1242" i="5"/>
  <c r="AL1242" i="5"/>
  <c r="AK1242" i="5"/>
  <c r="AM82" i="5"/>
  <c r="AL82" i="5"/>
  <c r="AK82" i="5"/>
  <c r="AM837" i="5"/>
  <c r="AL837" i="5"/>
  <c r="AK837" i="5"/>
  <c r="AL87" i="5"/>
  <c r="AM87" i="5"/>
  <c r="AK87" i="5"/>
  <c r="AM488" i="5"/>
  <c r="AL488" i="5"/>
  <c r="AK488" i="5"/>
  <c r="AM574" i="5"/>
  <c r="AL574" i="5"/>
  <c r="AK574" i="5"/>
  <c r="AM672" i="5"/>
  <c r="AL672" i="5"/>
  <c r="AK672" i="5"/>
  <c r="AM1088" i="5"/>
  <c r="AL1088" i="5"/>
  <c r="AK1088" i="5"/>
  <c r="AM859" i="5"/>
  <c r="AK859" i="5"/>
  <c r="AL859" i="5"/>
  <c r="AM1271" i="5"/>
  <c r="AL1271" i="5"/>
  <c r="AK1271" i="5"/>
  <c r="AM1273" i="5"/>
  <c r="AL1273" i="5"/>
  <c r="AK1273" i="5"/>
  <c r="AM1414" i="5"/>
  <c r="AL1414" i="5"/>
  <c r="AK1414" i="5"/>
  <c r="AM1543" i="5"/>
  <c r="AL1543" i="5"/>
  <c r="AK1543" i="5"/>
  <c r="AM76" i="5"/>
  <c r="AL76" i="5"/>
  <c r="AK76" i="5"/>
  <c r="AM415" i="5"/>
  <c r="AL415" i="5"/>
  <c r="AK415" i="5"/>
  <c r="AM237" i="5"/>
  <c r="AL237" i="5"/>
  <c r="AK237" i="5"/>
  <c r="AM328" i="5"/>
  <c r="AL328" i="5"/>
  <c r="AK328" i="5"/>
  <c r="AM1041" i="5"/>
  <c r="AL1041" i="5"/>
  <c r="AK1041" i="5"/>
  <c r="AM1233" i="5"/>
  <c r="AL1233" i="5"/>
  <c r="AK1233" i="5"/>
  <c r="AM961" i="5"/>
  <c r="AL961" i="5"/>
  <c r="AK961" i="5"/>
  <c r="AM1560" i="5"/>
  <c r="AL1560" i="5"/>
  <c r="AK1560" i="5"/>
  <c r="AM1370" i="5"/>
  <c r="AL1370" i="5"/>
  <c r="AK1370" i="5"/>
  <c r="AM1499" i="5"/>
  <c r="AK1499" i="5"/>
  <c r="AL1499" i="5"/>
  <c r="AM53" i="5"/>
  <c r="AL53" i="5"/>
  <c r="AK53" i="5"/>
  <c r="AM236" i="5"/>
  <c r="AL236" i="5"/>
  <c r="AK236" i="5"/>
  <c r="AM417" i="5"/>
  <c r="AL417" i="5"/>
  <c r="AK417" i="5"/>
  <c r="AM621" i="5"/>
  <c r="AL621" i="5"/>
  <c r="AK621" i="5"/>
  <c r="AM740" i="5"/>
  <c r="AL740" i="5"/>
  <c r="AK740" i="5"/>
  <c r="AM1210" i="5"/>
  <c r="AL1210" i="5"/>
  <c r="AK1210" i="5"/>
  <c r="AM790" i="5"/>
  <c r="AL790" i="5"/>
  <c r="AK790" i="5"/>
  <c r="AM1413" i="5"/>
  <c r="AL1413" i="5"/>
  <c r="AK1413" i="5"/>
  <c r="AM78" i="5"/>
  <c r="AL78" i="5"/>
  <c r="AK78" i="5"/>
  <c r="AM470" i="5"/>
  <c r="AL470" i="5"/>
  <c r="AK470" i="5"/>
  <c r="AM573" i="5"/>
  <c r="AL573" i="5"/>
  <c r="AK573" i="5"/>
  <c r="AM725" i="5"/>
  <c r="AL725" i="5"/>
  <c r="AK725" i="5"/>
  <c r="AM1115" i="5"/>
  <c r="AK1115" i="5"/>
  <c r="AL1115" i="5"/>
  <c r="AM881" i="5"/>
  <c r="AL881" i="5"/>
  <c r="AK881" i="5"/>
  <c r="AM1667" i="5"/>
  <c r="AL1667" i="5"/>
  <c r="AK1667" i="5"/>
  <c r="AM1737" i="5"/>
  <c r="AL1737" i="5"/>
  <c r="AK1737" i="5"/>
  <c r="AL1612" i="5"/>
  <c r="AM1612" i="5"/>
  <c r="AK1612" i="5"/>
  <c r="AM25" i="5"/>
  <c r="AL25" i="5"/>
  <c r="AK25" i="5"/>
  <c r="AM214" i="5"/>
  <c r="AL214" i="5"/>
  <c r="AK214" i="5"/>
  <c r="AM338" i="5"/>
  <c r="AL338" i="5"/>
  <c r="AK338" i="5"/>
  <c r="AM532" i="5"/>
  <c r="AL532" i="5"/>
  <c r="AK532" i="5"/>
  <c r="AM1019" i="5"/>
  <c r="AL1019" i="5"/>
  <c r="AK1019" i="5"/>
  <c r="AM1188" i="5"/>
  <c r="AL1188" i="5"/>
  <c r="AK1188" i="5"/>
  <c r="AM694" i="5"/>
  <c r="AL694" i="5"/>
  <c r="AK694" i="5"/>
  <c r="AM1634" i="5"/>
  <c r="AL1634" i="5"/>
  <c r="AK1634" i="5"/>
  <c r="AL1704" i="5"/>
  <c r="AM1704" i="5"/>
  <c r="AK1704" i="5"/>
  <c r="AM1615" i="5"/>
  <c r="AK1615" i="5"/>
  <c r="AL1615" i="5"/>
  <c r="AM144" i="5"/>
  <c r="AL144" i="5"/>
  <c r="AK144" i="5"/>
  <c r="AM590" i="5"/>
  <c r="AL590" i="5"/>
  <c r="AK590" i="5"/>
  <c r="AM661" i="5"/>
  <c r="AL661" i="5"/>
  <c r="AK661" i="5"/>
  <c r="AM1388" i="5"/>
  <c r="AL1388" i="5"/>
  <c r="AK1388" i="5"/>
  <c r="AM1519" i="5"/>
  <c r="AK1519" i="5"/>
  <c r="AL1519" i="5"/>
  <c r="AM745" i="5"/>
  <c r="AL745" i="5"/>
  <c r="AK745" i="5"/>
  <c r="AM128" i="5"/>
  <c r="AL128" i="5"/>
  <c r="AK128" i="5"/>
  <c r="AM286" i="5"/>
  <c r="AL286" i="5"/>
  <c r="AK286" i="5"/>
  <c r="AM424" i="5"/>
  <c r="AL424" i="5"/>
  <c r="AK424" i="5"/>
  <c r="AM553" i="5"/>
  <c r="AL553" i="5"/>
  <c r="AK553" i="5"/>
  <c r="AM1105" i="5"/>
  <c r="AL1105" i="5"/>
  <c r="AK1105" i="5"/>
  <c r="AM771" i="5"/>
  <c r="AL771" i="5"/>
  <c r="AK771" i="5"/>
  <c r="AM1286" i="5"/>
  <c r="AL1286" i="5"/>
  <c r="AK1286" i="5"/>
  <c r="AM1576" i="5"/>
  <c r="AL1576" i="5"/>
  <c r="AK1576" i="5"/>
  <c r="AM1434" i="5"/>
  <c r="AL1434" i="5"/>
  <c r="AK1434" i="5"/>
  <c r="AM45" i="5"/>
  <c r="AL45" i="5"/>
  <c r="AK45" i="5"/>
  <c r="AM761" i="5"/>
  <c r="AL761" i="5"/>
  <c r="AK761" i="5"/>
  <c r="AM1002" i="5"/>
  <c r="AL1002" i="5"/>
  <c r="AK1002" i="5"/>
  <c r="AM1573" i="5"/>
  <c r="AL1573" i="5"/>
  <c r="AK1573" i="5"/>
  <c r="AM727" i="5"/>
  <c r="AL727" i="5"/>
  <c r="AK727" i="5"/>
  <c r="AM120" i="5"/>
  <c r="AL120" i="5"/>
  <c r="AK120" i="5"/>
  <c r="AM305" i="5"/>
  <c r="AL305" i="5"/>
  <c r="AK305" i="5"/>
  <c r="AM523" i="5"/>
  <c r="AL523" i="5"/>
  <c r="AK523" i="5"/>
  <c r="AM703" i="5"/>
  <c r="AL703" i="5"/>
  <c r="AK703" i="5"/>
  <c r="AM1085" i="5"/>
  <c r="AL1085" i="5"/>
  <c r="AK1085" i="5"/>
  <c r="AM742" i="5"/>
  <c r="AL742" i="5"/>
  <c r="AK742" i="5"/>
  <c r="AM1298" i="5"/>
  <c r="AL1298" i="5"/>
  <c r="AK1298" i="5"/>
  <c r="AM1611" i="5"/>
  <c r="AK1611" i="5"/>
  <c r="AL1611" i="5"/>
  <c r="AM1450" i="5"/>
  <c r="AL1450" i="5"/>
  <c r="AK1450" i="5"/>
  <c r="AM1808" i="5"/>
  <c r="AL1808" i="5"/>
  <c r="AK1808" i="5"/>
  <c r="AM452" i="5"/>
  <c r="AL452" i="5"/>
  <c r="AK452" i="5"/>
  <c r="AM46" i="5"/>
  <c r="AK46" i="5"/>
  <c r="AL46" i="5"/>
  <c r="AM507" i="5"/>
  <c r="AL507" i="5"/>
  <c r="AK507" i="5"/>
  <c r="AM1095" i="5"/>
  <c r="AL1095" i="5"/>
  <c r="AK1095" i="5"/>
  <c r="AM984" i="5"/>
  <c r="AL984" i="5"/>
  <c r="AK984" i="5"/>
  <c r="AM59" i="5"/>
  <c r="AL59" i="5"/>
  <c r="AK59" i="5"/>
  <c r="AM389" i="5"/>
  <c r="AL389" i="5"/>
  <c r="AK389" i="5"/>
  <c r="AM803" i="5"/>
  <c r="AL803" i="5"/>
  <c r="AK803" i="5"/>
  <c r="AM904" i="5"/>
  <c r="AL904" i="5"/>
  <c r="AK904" i="5"/>
  <c r="AM1228" i="5"/>
  <c r="AL1228" i="5"/>
  <c r="AK1228" i="5"/>
  <c r="AM1682" i="5"/>
  <c r="AL1682" i="5"/>
  <c r="AK1682" i="5"/>
  <c r="AM1590" i="5"/>
  <c r="AL1590" i="5"/>
  <c r="AK1590" i="5"/>
  <c r="AM1379" i="5"/>
  <c r="AL1379" i="5"/>
  <c r="AK1379" i="5"/>
  <c r="AM1485" i="5"/>
  <c r="AL1485" i="5"/>
  <c r="AK1485" i="5"/>
  <c r="AM1752" i="5"/>
  <c r="AL1752" i="5"/>
  <c r="AK1752" i="5"/>
  <c r="AM1024" i="5"/>
  <c r="AL1024" i="5"/>
  <c r="AK1024" i="5"/>
  <c r="AM221" i="5"/>
  <c r="AL221" i="5"/>
  <c r="AK221" i="5"/>
  <c r="AM220" i="5"/>
  <c r="AL220" i="5"/>
  <c r="AK220" i="5"/>
  <c r="AM1456" i="5"/>
  <c r="AL1456" i="5"/>
  <c r="AK1456" i="5"/>
  <c r="AM1021" i="5"/>
  <c r="AL1021" i="5"/>
  <c r="AK1021" i="5"/>
  <c r="AL1624" i="5"/>
  <c r="AM1624" i="5"/>
  <c r="AK1624" i="5"/>
  <c r="AM1551" i="5"/>
  <c r="AK1551" i="5"/>
  <c r="AL1551" i="5"/>
  <c r="AM294" i="5"/>
  <c r="AL294" i="5"/>
  <c r="AK294" i="5"/>
  <c r="AM981" i="5"/>
  <c r="AL981" i="5"/>
  <c r="AK981" i="5"/>
  <c r="AM773" i="5"/>
  <c r="AL773" i="5"/>
  <c r="AK773" i="5"/>
  <c r="AM766" i="5"/>
  <c r="AL766" i="5"/>
  <c r="AK766" i="5"/>
  <c r="AM1110" i="5"/>
  <c r="AL1110" i="5"/>
  <c r="AK1110" i="5"/>
  <c r="AL519" i="5"/>
  <c r="AM519" i="5"/>
  <c r="AK519" i="5"/>
  <c r="AM420" i="5"/>
  <c r="AL420" i="5"/>
  <c r="AK420" i="5"/>
  <c r="AM516" i="5"/>
  <c r="AL516" i="5"/>
  <c r="AK516" i="5"/>
  <c r="AM696" i="5"/>
  <c r="AL696" i="5"/>
  <c r="AK696" i="5"/>
  <c r="AM1122" i="5"/>
  <c r="AL1122" i="5"/>
  <c r="AK1122" i="5"/>
  <c r="AM876" i="5"/>
  <c r="AL876" i="5"/>
  <c r="AK876" i="5"/>
  <c r="AM1616" i="5"/>
  <c r="AL1616" i="5"/>
  <c r="AK1616" i="5"/>
  <c r="AM1686" i="5"/>
  <c r="AL1686" i="5"/>
  <c r="AK1686" i="5"/>
  <c r="AM1550" i="5"/>
  <c r="AL1550" i="5"/>
  <c r="AK1550" i="5"/>
  <c r="AM1734" i="5"/>
  <c r="AL1734" i="5"/>
  <c r="AK1734" i="5"/>
  <c r="AM122" i="5"/>
  <c r="AK122" i="5"/>
  <c r="AL122" i="5"/>
  <c r="AM425" i="5"/>
  <c r="AL425" i="5"/>
  <c r="AK425" i="5"/>
  <c r="AM565" i="5"/>
  <c r="AL565" i="5"/>
  <c r="AK565" i="5"/>
  <c r="AM642" i="5"/>
  <c r="AL642" i="5"/>
  <c r="AK642" i="5"/>
  <c r="AM1147" i="5"/>
  <c r="AL1147" i="5"/>
  <c r="AK1147" i="5"/>
  <c r="AM685" i="5"/>
  <c r="AL685" i="5"/>
  <c r="AK685" i="5"/>
  <c r="AM1691" i="5"/>
  <c r="AL1691" i="5"/>
  <c r="AK1691" i="5"/>
  <c r="AM1725" i="5"/>
  <c r="AL1725" i="5"/>
  <c r="AK1725" i="5"/>
  <c r="AM1554" i="5"/>
  <c r="AL1554" i="5"/>
  <c r="AK1554" i="5"/>
  <c r="AM1664" i="5"/>
  <c r="AL1664" i="5"/>
  <c r="AK1664" i="5"/>
  <c r="AM94" i="5"/>
  <c r="AL94" i="5"/>
  <c r="AK94" i="5"/>
  <c r="AM802" i="5"/>
  <c r="AL802" i="5"/>
  <c r="AK802" i="5"/>
  <c r="AM99" i="5"/>
  <c r="AL99" i="5"/>
  <c r="AK99" i="5"/>
  <c r="AM252" i="5"/>
  <c r="AL252" i="5"/>
  <c r="AK252" i="5"/>
  <c r="AM412" i="5"/>
  <c r="AL412" i="5"/>
  <c r="AK412" i="5"/>
  <c r="AM816" i="5"/>
  <c r="AL816" i="5"/>
  <c r="AK816" i="5"/>
  <c r="AM1100" i="5"/>
  <c r="AL1100" i="5"/>
  <c r="AK1100" i="5"/>
  <c r="AM1003" i="5"/>
  <c r="AL1003" i="5"/>
  <c r="AK1003" i="5"/>
  <c r="AM1272" i="5"/>
  <c r="AL1272" i="5"/>
  <c r="AK1272" i="5"/>
  <c r="AM1620" i="5"/>
  <c r="AL1620" i="5"/>
  <c r="AK1620" i="5"/>
  <c r="AM1462" i="5"/>
  <c r="AL1462" i="5"/>
  <c r="AK1462" i="5"/>
  <c r="AM1591" i="5"/>
  <c r="AL1591" i="5"/>
  <c r="AK1591" i="5"/>
  <c r="AM88" i="5"/>
  <c r="AL88" i="5"/>
  <c r="AK88" i="5"/>
  <c r="AM442" i="5"/>
  <c r="AL442" i="5"/>
  <c r="AK442" i="5"/>
  <c r="AM390" i="5"/>
  <c r="AL390" i="5"/>
  <c r="AK390" i="5"/>
  <c r="AM655" i="5"/>
  <c r="AL655" i="5"/>
  <c r="AK655" i="5"/>
  <c r="AM1053" i="5"/>
  <c r="AL1053" i="5"/>
  <c r="AK1053" i="5"/>
  <c r="AM625" i="5"/>
  <c r="AL625" i="5"/>
  <c r="AK625" i="5"/>
  <c r="AM1239" i="5"/>
  <c r="AL1239" i="5"/>
  <c r="AK1239" i="5"/>
  <c r="AM1285" i="5"/>
  <c r="AL1285" i="5"/>
  <c r="AK1285" i="5"/>
  <c r="AM1418" i="5"/>
  <c r="AL1418" i="5"/>
  <c r="AK1418" i="5"/>
  <c r="AM1547" i="5"/>
  <c r="AL1547" i="5"/>
  <c r="AK1547" i="5"/>
  <c r="AM65" i="5"/>
  <c r="AL65" i="5"/>
  <c r="AK65" i="5"/>
  <c r="AM331" i="5"/>
  <c r="AL331" i="5"/>
  <c r="AK331" i="5"/>
  <c r="AM533" i="5"/>
  <c r="AL533" i="5"/>
  <c r="AK533" i="5"/>
  <c r="AM765" i="5"/>
  <c r="AL765" i="5"/>
  <c r="AK765" i="5"/>
  <c r="AM1030" i="5"/>
  <c r="AL1030" i="5"/>
  <c r="AK1030" i="5"/>
  <c r="AM1222" i="5"/>
  <c r="AL1222" i="5"/>
  <c r="AK1222" i="5"/>
  <c r="AM949" i="5"/>
  <c r="AL949" i="5"/>
  <c r="AK949" i="5"/>
  <c r="AM1470" i="5"/>
  <c r="AL1470" i="5"/>
  <c r="AK1470" i="5"/>
  <c r="AM102" i="5"/>
  <c r="AL102" i="5"/>
  <c r="AK102" i="5"/>
  <c r="AM494" i="5"/>
  <c r="AL494" i="5"/>
  <c r="AK494" i="5"/>
  <c r="AM369" i="5"/>
  <c r="AL369" i="5"/>
  <c r="AK369" i="5"/>
  <c r="AM833" i="5"/>
  <c r="AL833" i="5"/>
  <c r="AK833" i="5"/>
  <c r="AM1127" i="5"/>
  <c r="AL1127" i="5"/>
  <c r="AK1127" i="5"/>
  <c r="AM1025" i="5"/>
  <c r="AL1025" i="5"/>
  <c r="AK1025" i="5"/>
  <c r="AM1703" i="5"/>
  <c r="AL1703" i="5"/>
  <c r="AK1703" i="5"/>
  <c r="AM1773" i="5"/>
  <c r="AL1773" i="5"/>
  <c r="AK1773" i="5"/>
  <c r="AM1648" i="5"/>
  <c r="AL1648" i="5"/>
  <c r="AK1648" i="5"/>
  <c r="AM37" i="5"/>
  <c r="AL37" i="5"/>
  <c r="AK37" i="5"/>
  <c r="AM226" i="5"/>
  <c r="AL226" i="5"/>
  <c r="AK226" i="5"/>
  <c r="AM345" i="5"/>
  <c r="AL345" i="5"/>
  <c r="AK345" i="5"/>
  <c r="AM691" i="5"/>
  <c r="AL691" i="5"/>
  <c r="AK691" i="5"/>
  <c r="AM668" i="5"/>
  <c r="AL668" i="5"/>
  <c r="AK668" i="5"/>
  <c r="AM1200" i="5"/>
  <c r="AL1200" i="5"/>
  <c r="AK1200" i="5"/>
  <c r="AM874" i="5"/>
  <c r="AL874" i="5"/>
  <c r="AK874" i="5"/>
  <c r="AM1670" i="5"/>
  <c r="AL1670" i="5"/>
  <c r="AK1670" i="5"/>
  <c r="AM1740" i="5"/>
  <c r="AL1740" i="5"/>
  <c r="AK1740" i="5"/>
  <c r="AM1651" i="5"/>
  <c r="AL1651" i="5"/>
  <c r="AK1651" i="5"/>
  <c r="AM168" i="5"/>
  <c r="AL168" i="5"/>
  <c r="AK168" i="5"/>
  <c r="AM734" i="5"/>
  <c r="AL734" i="5"/>
  <c r="AK734" i="5"/>
  <c r="AM921" i="5"/>
  <c r="AL921" i="5"/>
  <c r="AK921" i="5"/>
  <c r="AL1532" i="5"/>
  <c r="AK1532" i="5"/>
  <c r="AM1532" i="5"/>
  <c r="AL343" i="5"/>
  <c r="AM343" i="5"/>
  <c r="AK343" i="5"/>
  <c r="AM1605" i="5"/>
  <c r="AL1605" i="5"/>
  <c r="AK1605" i="5"/>
  <c r="AM143" i="5"/>
  <c r="AL143" i="5"/>
  <c r="AK143" i="5"/>
  <c r="AM430" i="5"/>
  <c r="AL430" i="5"/>
  <c r="AK430" i="5"/>
  <c r="AM623" i="5"/>
  <c r="AL623" i="5"/>
  <c r="AK623" i="5"/>
  <c r="AM701" i="5"/>
  <c r="AL701" i="5"/>
  <c r="AK701" i="5"/>
  <c r="AM1117" i="5"/>
  <c r="AL1117" i="5"/>
  <c r="AK1117" i="5"/>
  <c r="AM871" i="5"/>
  <c r="AL871" i="5"/>
  <c r="AK871" i="5"/>
  <c r="AM997" i="5"/>
  <c r="AL997" i="5"/>
  <c r="AK997" i="5"/>
  <c r="AM1599" i="5"/>
  <c r="AK1599" i="5"/>
  <c r="AL1599" i="5"/>
  <c r="AM1482" i="5"/>
  <c r="AL1482" i="5"/>
  <c r="AK1482" i="5"/>
  <c r="AM81" i="5"/>
  <c r="AL81" i="5"/>
  <c r="AK81" i="5"/>
  <c r="AM1046" i="5"/>
  <c r="AL1046" i="5"/>
  <c r="AK1046" i="5"/>
  <c r="AM951" i="5"/>
  <c r="AL951" i="5"/>
  <c r="AK951" i="5"/>
  <c r="AM1390" i="5"/>
  <c r="AL1390" i="5"/>
  <c r="AK1390" i="5"/>
  <c r="AM821" i="5"/>
  <c r="AL821" i="5"/>
  <c r="AK821" i="5"/>
  <c r="AM132" i="5"/>
  <c r="AL132" i="5"/>
  <c r="AK132" i="5"/>
  <c r="AM238" i="5"/>
  <c r="AL238" i="5"/>
  <c r="AK238" i="5"/>
  <c r="AM550" i="5"/>
  <c r="AL550" i="5"/>
  <c r="AK550" i="5"/>
  <c r="AM636" i="5"/>
  <c r="AL636" i="5"/>
  <c r="AK636" i="5"/>
  <c r="AM1097" i="5"/>
  <c r="AL1097" i="5"/>
  <c r="AK1097" i="5"/>
  <c r="AM890" i="5"/>
  <c r="AL890" i="5"/>
  <c r="AK890" i="5"/>
  <c r="AM1263" i="5"/>
  <c r="AK1263" i="5"/>
  <c r="AL1263" i="5"/>
  <c r="AM1647" i="5"/>
  <c r="AK1647" i="5"/>
  <c r="AL1647" i="5"/>
  <c r="AM1498" i="5"/>
  <c r="AL1498" i="5"/>
  <c r="AK1498" i="5"/>
  <c r="AM1282" i="5"/>
  <c r="AL1282" i="5"/>
  <c r="AK1282" i="5"/>
  <c r="AM476" i="5"/>
  <c r="AL476" i="5"/>
  <c r="AK476" i="5"/>
  <c r="AM70" i="5"/>
  <c r="AL70" i="5"/>
  <c r="AK70" i="5"/>
  <c r="AM616" i="5"/>
  <c r="AL616" i="5"/>
  <c r="AK616" i="5"/>
  <c r="AM1107" i="5"/>
  <c r="AL1107" i="5"/>
  <c r="AK1107" i="5"/>
  <c r="AM977" i="5"/>
  <c r="AL977" i="5"/>
  <c r="AK977" i="5"/>
  <c r="AM83" i="5"/>
  <c r="AL83" i="5"/>
  <c r="AK83" i="5"/>
  <c r="AM322" i="5"/>
  <c r="AL322" i="5"/>
  <c r="AK322" i="5"/>
  <c r="AM676" i="5"/>
  <c r="AL676" i="5"/>
  <c r="AK676" i="5"/>
  <c r="AM1036" i="5"/>
  <c r="AL1036" i="5"/>
  <c r="AK1036" i="5"/>
  <c r="AM589" i="5"/>
  <c r="AL589" i="5"/>
  <c r="AK589" i="5"/>
  <c r="AM1718" i="5"/>
  <c r="AL1718" i="5"/>
  <c r="AK1718" i="5"/>
  <c r="AM1663" i="5"/>
  <c r="AK1663" i="5"/>
  <c r="AL1663" i="5"/>
  <c r="AM1427" i="5"/>
  <c r="AL1427" i="5"/>
  <c r="AK1427" i="5"/>
  <c r="AM1479" i="5"/>
  <c r="AL1479" i="5"/>
  <c r="AK1479" i="5"/>
  <c r="AM1716" i="5"/>
  <c r="AL1716" i="5"/>
  <c r="AK1716" i="5"/>
  <c r="AM1218" i="5"/>
  <c r="AL1218" i="5"/>
  <c r="AK1218" i="5"/>
  <c r="AM463" i="5"/>
  <c r="AL463" i="5"/>
  <c r="AK463" i="5"/>
  <c r="AM1038" i="5"/>
  <c r="AL1038" i="5"/>
  <c r="AK1038" i="5"/>
  <c r="AM1593" i="5"/>
  <c r="AL1593" i="5"/>
  <c r="AK1593" i="5"/>
  <c r="AM10" i="5"/>
  <c r="AL10" i="5"/>
  <c r="AK10" i="5"/>
  <c r="AM1278" i="5"/>
  <c r="AL1278" i="5"/>
  <c r="AK1278" i="5"/>
  <c r="AM379" i="5"/>
  <c r="AL379" i="5"/>
  <c r="AK379" i="5"/>
  <c r="AM62" i="5"/>
  <c r="AL62" i="5"/>
  <c r="AK62" i="5"/>
  <c r="AM1443" i="5"/>
  <c r="AL1443" i="5"/>
  <c r="AK1443" i="5"/>
  <c r="AM1232" i="5"/>
  <c r="AL1232" i="5"/>
  <c r="AK1232" i="5"/>
  <c r="AM956" i="5"/>
  <c r="AL956" i="5"/>
  <c r="AK956" i="5"/>
  <c r="AM731" i="5"/>
  <c r="AL731" i="5"/>
  <c r="AK731" i="5"/>
  <c r="AM962" i="5"/>
  <c r="AL962" i="5"/>
  <c r="AK962" i="5"/>
  <c r="AM1140" i="5"/>
  <c r="AL1140" i="5"/>
  <c r="AK1140" i="5"/>
  <c r="AM273" i="5"/>
  <c r="AL273" i="5"/>
  <c r="AK273" i="5"/>
  <c r="AM80" i="5"/>
  <c r="AL80" i="5"/>
  <c r="AK80" i="5"/>
  <c r="AM1057" i="5"/>
  <c r="AL1057" i="5"/>
  <c r="AK1057" i="5"/>
  <c r="AM683" i="5"/>
  <c r="AL683" i="5"/>
  <c r="AK683" i="5"/>
  <c r="AM458" i="5"/>
  <c r="AL458" i="5"/>
  <c r="AK458" i="5"/>
  <c r="AM1229" i="5"/>
  <c r="AL1229" i="5"/>
  <c r="AK1229" i="5"/>
  <c r="AM606" i="5"/>
  <c r="AL606" i="5"/>
  <c r="AK606" i="5"/>
  <c r="AL807" i="5"/>
  <c r="AK807" i="5"/>
  <c r="AM807" i="5"/>
  <c r="AM1004" i="5"/>
  <c r="AL1004" i="5"/>
  <c r="AK1004" i="5"/>
  <c r="AM595" i="5"/>
  <c r="AL595" i="5"/>
  <c r="AK595" i="5"/>
  <c r="AM537" i="5"/>
  <c r="AL537" i="5"/>
  <c r="AK537" i="5"/>
  <c r="AM678" i="5"/>
  <c r="AL678" i="5"/>
  <c r="AK678" i="5"/>
  <c r="AM544" i="5"/>
  <c r="AL544" i="5"/>
  <c r="AK544" i="5"/>
  <c r="AM281" i="5"/>
  <c r="AL281" i="5"/>
  <c r="AK281" i="5"/>
  <c r="AM109" i="5"/>
  <c r="AL109" i="5"/>
  <c r="AK109" i="5"/>
  <c r="AM121" i="5"/>
  <c r="AL121" i="5"/>
  <c r="AK121" i="5"/>
  <c r="AM365" i="5"/>
  <c r="AL365" i="5"/>
  <c r="AK365" i="5"/>
  <c r="AM577" i="5"/>
  <c r="AL577" i="5"/>
  <c r="AK577" i="5"/>
  <c r="AM330" i="5"/>
  <c r="AL330" i="5"/>
  <c r="AK330" i="5"/>
  <c r="AM1134" i="5"/>
  <c r="AL1134" i="5"/>
  <c r="AK1134" i="5"/>
  <c r="AM1020" i="5"/>
  <c r="AL1020" i="5"/>
  <c r="AK1020" i="5"/>
  <c r="AM1652" i="5"/>
  <c r="AL1652" i="5"/>
  <c r="AK1652" i="5"/>
  <c r="AM1722" i="5"/>
  <c r="AL1722" i="5"/>
  <c r="AK1722" i="5"/>
  <c r="AM1597" i="5"/>
  <c r="AL1597" i="5"/>
  <c r="AK1597" i="5"/>
  <c r="AM1461" i="5"/>
  <c r="AL1461" i="5"/>
  <c r="AK1461" i="5"/>
  <c r="AM134" i="5"/>
  <c r="AL134" i="5"/>
  <c r="AK134" i="5"/>
  <c r="AM358" i="5"/>
  <c r="AL358" i="5"/>
  <c r="AK358" i="5"/>
  <c r="AM695" i="5"/>
  <c r="AL695" i="5"/>
  <c r="AK695" i="5"/>
  <c r="AM786" i="5"/>
  <c r="AL786" i="5"/>
  <c r="AK786" i="5"/>
  <c r="AM1159" i="5"/>
  <c r="AL1159" i="5"/>
  <c r="AK1159" i="5"/>
  <c r="AM929" i="5"/>
  <c r="AL929" i="5"/>
  <c r="AK929" i="5"/>
  <c r="AM1727" i="5"/>
  <c r="AK1727" i="5"/>
  <c r="AL1727" i="5"/>
  <c r="AM1761" i="5"/>
  <c r="AL1761" i="5"/>
  <c r="AK1761" i="5"/>
  <c r="AM1600" i="5"/>
  <c r="AL1600" i="5"/>
  <c r="AK1600" i="5"/>
  <c r="AM1324" i="5"/>
  <c r="AL1324" i="5"/>
  <c r="AK1324" i="5"/>
  <c r="AM106" i="5"/>
  <c r="AL106" i="5"/>
  <c r="AK106" i="5"/>
  <c r="AM910" i="5"/>
  <c r="AL910" i="5"/>
  <c r="AK910" i="5"/>
  <c r="AM111" i="5"/>
  <c r="AL111" i="5"/>
  <c r="AK111" i="5"/>
  <c r="AM396" i="5"/>
  <c r="AL396" i="5"/>
  <c r="AK396" i="5"/>
  <c r="AM261" i="5"/>
  <c r="AL261" i="5"/>
  <c r="AK261" i="5"/>
  <c r="AM527" i="5"/>
  <c r="AL527" i="5"/>
  <c r="AK527" i="5"/>
  <c r="AM1112" i="5"/>
  <c r="AL1112" i="5"/>
  <c r="AK1112" i="5"/>
  <c r="AM800" i="5"/>
  <c r="AL800" i="5"/>
  <c r="AK800" i="5"/>
  <c r="AM1622" i="5"/>
  <c r="AL1622" i="5"/>
  <c r="AK1622" i="5"/>
  <c r="AM1656" i="5"/>
  <c r="AL1656" i="5"/>
  <c r="AK1656" i="5"/>
  <c r="AM1510" i="5"/>
  <c r="AL1510" i="5"/>
  <c r="AK1510" i="5"/>
  <c r="AM1700" i="5"/>
  <c r="AL1700" i="5"/>
  <c r="AK1700" i="5"/>
  <c r="AM100" i="5"/>
  <c r="AL100" i="5"/>
  <c r="AK100" i="5"/>
  <c r="AM466" i="5"/>
  <c r="AL466" i="5"/>
  <c r="AK466" i="5"/>
  <c r="AL551" i="5"/>
  <c r="AM551" i="5"/>
  <c r="AK551" i="5"/>
  <c r="AM799" i="5"/>
  <c r="AK799" i="5"/>
  <c r="AL799" i="5"/>
  <c r="AM1065" i="5"/>
  <c r="AL1065" i="5"/>
  <c r="AK1065" i="5"/>
  <c r="AM909" i="5"/>
  <c r="AL909" i="5"/>
  <c r="AK909" i="5"/>
  <c r="AM1275" i="5"/>
  <c r="AL1275" i="5"/>
  <c r="AK1275" i="5"/>
  <c r="AM1623" i="5"/>
  <c r="AL1623" i="5"/>
  <c r="AK1623" i="5"/>
  <c r="AM1466" i="5"/>
  <c r="AL1466" i="5"/>
  <c r="AK1466" i="5"/>
  <c r="AM1772" i="5"/>
  <c r="AL1772" i="5"/>
  <c r="AK1772" i="5"/>
  <c r="AM77" i="5"/>
  <c r="AL77" i="5"/>
  <c r="AK77" i="5"/>
  <c r="AM444" i="5"/>
  <c r="AL444" i="5"/>
  <c r="AK444" i="5"/>
  <c r="AM563" i="5"/>
  <c r="AL563" i="5"/>
  <c r="AK563" i="5"/>
  <c r="AM638" i="5"/>
  <c r="AL638" i="5"/>
  <c r="AK638" i="5"/>
  <c r="AM1042" i="5"/>
  <c r="AL1042" i="5"/>
  <c r="AK1042" i="5"/>
  <c r="AM1234" i="5"/>
  <c r="AL1234" i="5"/>
  <c r="AK1234" i="5"/>
  <c r="AM673" i="5"/>
  <c r="AL673" i="5"/>
  <c r="AK673" i="5"/>
  <c r="AI1825" i="5"/>
  <c r="AM1825" i="5"/>
  <c r="AL1825" i="5"/>
  <c r="AK1825" i="5"/>
  <c r="AM114" i="5"/>
  <c r="AL114" i="5"/>
  <c r="AK114" i="5"/>
  <c r="AM288" i="5"/>
  <c r="AL288" i="5"/>
  <c r="AK288" i="5"/>
  <c r="AM342" i="5"/>
  <c r="AL342" i="5"/>
  <c r="AK342" i="5"/>
  <c r="AM845" i="5"/>
  <c r="AL845" i="5"/>
  <c r="AK845" i="5"/>
  <c r="AM1139" i="5"/>
  <c r="AL1139" i="5"/>
  <c r="AK1139" i="5"/>
  <c r="AM506" i="5"/>
  <c r="AL506" i="5"/>
  <c r="AK506" i="5"/>
  <c r="AM1739" i="5"/>
  <c r="AK1739" i="5"/>
  <c r="AL1739" i="5"/>
  <c r="AM1809" i="5"/>
  <c r="AL1809" i="5"/>
  <c r="AK1809" i="5"/>
  <c r="AM1684" i="5"/>
  <c r="AL1684" i="5"/>
  <c r="AK1684" i="5"/>
  <c r="AM43" i="5"/>
  <c r="AL43" i="5"/>
  <c r="AK43" i="5"/>
  <c r="AM307" i="5"/>
  <c r="AL307" i="5"/>
  <c r="AK307" i="5"/>
  <c r="AM503" i="5"/>
  <c r="AL503" i="5"/>
  <c r="AK503" i="5"/>
  <c r="AM624" i="5"/>
  <c r="AL624" i="5"/>
  <c r="AK624" i="5"/>
  <c r="AM952" i="5"/>
  <c r="AL952" i="5"/>
  <c r="AK952" i="5"/>
  <c r="AM1212" i="5"/>
  <c r="AL1212" i="5"/>
  <c r="AK1212" i="5"/>
  <c r="AM718" i="5"/>
  <c r="AL718" i="5"/>
  <c r="AK718" i="5"/>
  <c r="AM1706" i="5"/>
  <c r="AL1706" i="5"/>
  <c r="AK1706" i="5"/>
  <c r="AM1776" i="5"/>
  <c r="AL1776" i="5"/>
  <c r="AK1776" i="5"/>
  <c r="AM1687" i="5"/>
  <c r="AL1687" i="5"/>
  <c r="AK1687" i="5"/>
  <c r="AM228" i="5"/>
  <c r="AL228" i="5"/>
  <c r="AK228" i="5"/>
  <c r="AM744" i="5"/>
  <c r="AL744" i="5"/>
  <c r="AK744" i="5"/>
  <c r="AM634" i="5"/>
  <c r="AL634" i="5"/>
  <c r="AK634" i="5"/>
  <c r="AM1602" i="5"/>
  <c r="AL1602" i="5"/>
  <c r="AK1602" i="5"/>
  <c r="AM478" i="5"/>
  <c r="AL478" i="5"/>
  <c r="AK478" i="5"/>
  <c r="AM1732" i="5"/>
  <c r="AL1732" i="5"/>
  <c r="AK1732" i="5"/>
  <c r="AM155" i="5"/>
  <c r="AL155" i="5"/>
  <c r="AK155" i="5"/>
  <c r="AM502" i="5"/>
  <c r="AL502" i="5"/>
  <c r="AK502" i="5"/>
  <c r="AM767" i="5"/>
  <c r="AL767" i="5"/>
  <c r="AK767" i="5"/>
  <c r="AM835" i="5"/>
  <c r="AL835" i="5"/>
  <c r="AK835" i="5"/>
  <c r="AM1129" i="5"/>
  <c r="AL1129" i="5"/>
  <c r="AK1129" i="5"/>
  <c r="AM1015" i="5"/>
  <c r="AL1015" i="5"/>
  <c r="AK1015" i="5"/>
  <c r="AM1251" i="5"/>
  <c r="AL1251" i="5"/>
  <c r="AK1251" i="5"/>
  <c r="AM1635" i="5"/>
  <c r="AL1635" i="5"/>
  <c r="AK1635" i="5"/>
  <c r="AM1530" i="5"/>
  <c r="AL1530" i="5"/>
  <c r="AK1530" i="5"/>
  <c r="AM105" i="5"/>
  <c r="AL105" i="5"/>
  <c r="AK105" i="5"/>
  <c r="AM1070" i="5"/>
  <c r="AL1070" i="5"/>
  <c r="AK1070" i="5"/>
  <c r="AM1009" i="5"/>
  <c r="AL1009" i="5"/>
  <c r="AK1009" i="5"/>
  <c r="AM1486" i="5"/>
  <c r="AL1486" i="5"/>
  <c r="AK1486" i="5"/>
  <c r="AM914" i="5"/>
  <c r="AL914" i="5"/>
  <c r="AK914" i="5"/>
  <c r="AM147" i="5"/>
  <c r="AL147" i="5"/>
  <c r="AK147" i="5"/>
  <c r="AM382" i="5"/>
  <c r="AL382" i="5"/>
  <c r="AK382" i="5"/>
  <c r="AM280" i="5"/>
  <c r="AL280" i="5"/>
  <c r="AK280" i="5"/>
  <c r="AM780" i="5"/>
  <c r="AL780" i="5"/>
  <c r="AK780" i="5"/>
  <c r="AM1109" i="5"/>
  <c r="AL1109" i="5"/>
  <c r="AK1109" i="5"/>
  <c r="AM627" i="5"/>
  <c r="AL627" i="5"/>
  <c r="AK627" i="5"/>
  <c r="AM1299" i="5"/>
  <c r="AL1299" i="5"/>
  <c r="AK1299" i="5"/>
  <c r="AM1683" i="5"/>
  <c r="AL1683" i="5"/>
  <c r="AK1683" i="5"/>
  <c r="AM1546" i="5"/>
  <c r="AL1546" i="5"/>
  <c r="AK1546" i="5"/>
  <c r="AM1372" i="5"/>
  <c r="AL1372" i="5"/>
  <c r="AK1372" i="5"/>
  <c r="AM351" i="5"/>
  <c r="AL351" i="5"/>
  <c r="AK351" i="5"/>
  <c r="AM130" i="5"/>
  <c r="AL130" i="5"/>
  <c r="AK130" i="5"/>
  <c r="AM760" i="5"/>
  <c r="AL760" i="5"/>
  <c r="AK760" i="5"/>
  <c r="AM1119" i="5"/>
  <c r="AL1119" i="5"/>
  <c r="AK1119" i="5"/>
  <c r="AM918" i="5"/>
  <c r="AL918" i="5"/>
  <c r="AK918" i="5"/>
  <c r="AM119" i="5"/>
  <c r="AL119" i="5"/>
  <c r="AK119" i="5"/>
  <c r="AL327" i="5"/>
  <c r="AM327" i="5"/>
  <c r="AK327" i="5"/>
  <c r="AM820" i="5"/>
  <c r="AL820" i="5"/>
  <c r="AK820" i="5"/>
  <c r="AM1048" i="5"/>
  <c r="AL1048" i="5"/>
  <c r="AK1048" i="5"/>
  <c r="AM897" i="5"/>
  <c r="AL897" i="5"/>
  <c r="AK897" i="5"/>
  <c r="AM579" i="5"/>
  <c r="AL579" i="5"/>
  <c r="AK579" i="5"/>
  <c r="AM1735" i="5"/>
  <c r="AL1735" i="5"/>
  <c r="AK1735" i="5"/>
  <c r="AM1571" i="5"/>
  <c r="AL1571" i="5"/>
  <c r="AK1571" i="5"/>
  <c r="AM1575" i="5"/>
  <c r="AL1575" i="5"/>
  <c r="AK1575" i="5"/>
  <c r="AM1680" i="5"/>
  <c r="AL1680" i="5"/>
  <c r="AK1680" i="5"/>
  <c r="AM975" i="5"/>
  <c r="AK975" i="5"/>
  <c r="AL975" i="5"/>
  <c r="AM813" i="5"/>
  <c r="AL813" i="5"/>
  <c r="AK813" i="5"/>
  <c r="AM1789" i="5"/>
  <c r="AL1789" i="5"/>
  <c r="AK1789" i="5"/>
  <c r="AM357" i="5"/>
  <c r="AL357" i="5"/>
  <c r="AK357" i="5"/>
  <c r="AM972" i="5"/>
  <c r="AL972" i="5"/>
  <c r="AK972" i="5"/>
  <c r="AM521" i="5"/>
  <c r="AL521" i="5"/>
  <c r="AK521" i="5"/>
  <c r="AM1314" i="5"/>
  <c r="AL1314" i="5"/>
  <c r="AK1314" i="5"/>
  <c r="AM1549" i="5"/>
  <c r="AL1549" i="5"/>
  <c r="AK1549" i="5"/>
  <c r="AM1307" i="5"/>
  <c r="AL1307" i="5"/>
  <c r="AK1307" i="5"/>
  <c r="AM36" i="5"/>
  <c r="AL36" i="5"/>
  <c r="AK36" i="5"/>
  <c r="AM337" i="5"/>
  <c r="AL337" i="5"/>
  <c r="AK337" i="5"/>
  <c r="AM1693" i="5"/>
  <c r="AL1693" i="5"/>
  <c r="AK1693" i="5"/>
  <c r="AM1521" i="5"/>
  <c r="AL1521" i="5"/>
  <c r="AK1521" i="5"/>
  <c r="AM1047" i="5"/>
  <c r="AL1047" i="5"/>
  <c r="AK1047" i="5"/>
  <c r="AM1410" i="5"/>
  <c r="AL1410" i="5"/>
  <c r="AK1410" i="5"/>
  <c r="AM54" i="5"/>
  <c r="AL54" i="5"/>
  <c r="AK54" i="5"/>
  <c r="AM97" i="5"/>
  <c r="AL97" i="5"/>
  <c r="AK97" i="5"/>
  <c r="AM1650" i="5"/>
  <c r="AL1650" i="5"/>
  <c r="AK1650" i="5"/>
  <c r="AL1420" i="5"/>
  <c r="AM1420" i="5"/>
  <c r="AK1420" i="5"/>
  <c r="AM133" i="5"/>
  <c r="AL133" i="5"/>
  <c r="AK133" i="5"/>
  <c r="AM298" i="5"/>
  <c r="AL298" i="5"/>
  <c r="AK298" i="5"/>
  <c r="AL535" i="5"/>
  <c r="AM535" i="5"/>
  <c r="AK535" i="5"/>
  <c r="AM713" i="5"/>
  <c r="AL713" i="5"/>
  <c r="AK713" i="5"/>
  <c r="AM1146" i="5"/>
  <c r="AL1146" i="5"/>
  <c r="AK1146" i="5"/>
  <c r="AM869" i="5"/>
  <c r="AL869" i="5"/>
  <c r="AK869" i="5"/>
  <c r="AL1688" i="5"/>
  <c r="AM1688" i="5"/>
  <c r="AK1688" i="5"/>
  <c r="AM1758" i="5"/>
  <c r="AL1758" i="5"/>
  <c r="AK1758" i="5"/>
  <c r="AM1633" i="5"/>
  <c r="AL1633" i="5"/>
  <c r="AK1633" i="5"/>
  <c r="AM1566" i="5"/>
  <c r="AL1566" i="5"/>
  <c r="AK1566" i="5"/>
  <c r="AM149" i="5"/>
  <c r="AL149" i="5"/>
  <c r="AK149" i="5"/>
  <c r="AM363" i="5"/>
  <c r="AL363" i="5"/>
  <c r="AK363" i="5"/>
  <c r="AM712" i="5"/>
  <c r="AL712" i="5"/>
  <c r="AK712" i="5"/>
  <c r="AM747" i="5"/>
  <c r="AL747" i="5"/>
  <c r="AK747" i="5"/>
  <c r="AM1171" i="5"/>
  <c r="AL1171" i="5"/>
  <c r="AK1171" i="5"/>
  <c r="AM658" i="5"/>
  <c r="AL658" i="5"/>
  <c r="AK658" i="5"/>
  <c r="AM1763" i="5"/>
  <c r="AL1763" i="5"/>
  <c r="AK1763" i="5"/>
  <c r="AM1797" i="5"/>
  <c r="AL1797" i="5"/>
  <c r="AK1797" i="5"/>
  <c r="AM1636" i="5"/>
  <c r="AL1636" i="5"/>
  <c r="AK1636" i="5"/>
  <c r="AM1516" i="5"/>
  <c r="AL1516" i="5"/>
  <c r="AK1516" i="5"/>
  <c r="AM118" i="5"/>
  <c r="AL118" i="5"/>
  <c r="AK118" i="5"/>
  <c r="AM927" i="5"/>
  <c r="AK927" i="5"/>
  <c r="AL927" i="5"/>
  <c r="AM123" i="5"/>
  <c r="AL123" i="5"/>
  <c r="AK123" i="5"/>
  <c r="AM341" i="5"/>
  <c r="AL341" i="5"/>
  <c r="AK341" i="5"/>
  <c r="AM388" i="5"/>
  <c r="AL388" i="5"/>
  <c r="AK388" i="5"/>
  <c r="AM689" i="5"/>
  <c r="AL689" i="5"/>
  <c r="AK689" i="5"/>
  <c r="AM1124" i="5"/>
  <c r="AL1124" i="5"/>
  <c r="AK1124" i="5"/>
  <c r="AM852" i="5"/>
  <c r="AL852" i="5"/>
  <c r="AK852" i="5"/>
  <c r="AM1658" i="5"/>
  <c r="AL1658" i="5"/>
  <c r="AK1658" i="5"/>
  <c r="AL1692" i="5"/>
  <c r="AM1692" i="5"/>
  <c r="AK1692" i="5"/>
  <c r="AM1558" i="5"/>
  <c r="AL1558" i="5"/>
  <c r="AK1558" i="5"/>
  <c r="AM1698" i="5"/>
  <c r="AL1698" i="5"/>
  <c r="AK1698" i="5"/>
  <c r="AM112" i="5"/>
  <c r="AL112" i="5"/>
  <c r="AK112" i="5"/>
  <c r="AM490" i="5"/>
  <c r="AL490" i="5"/>
  <c r="AK490" i="5"/>
  <c r="AM275" i="5"/>
  <c r="AL275" i="5"/>
  <c r="AK275" i="5"/>
  <c r="AM588" i="5"/>
  <c r="AL588" i="5"/>
  <c r="AK588" i="5"/>
  <c r="AM1077" i="5"/>
  <c r="AL1077" i="5"/>
  <c r="AK1077" i="5"/>
  <c r="AM598" i="5"/>
  <c r="AL598" i="5"/>
  <c r="AK598" i="5"/>
  <c r="AM970" i="5"/>
  <c r="AL970" i="5"/>
  <c r="AK970" i="5"/>
  <c r="AM1659" i="5"/>
  <c r="AL1659" i="5"/>
  <c r="AK1659" i="5"/>
  <c r="AM1514" i="5"/>
  <c r="AL1514" i="5"/>
  <c r="AK1514" i="5"/>
  <c r="AM1564" i="5"/>
  <c r="AL1564" i="5"/>
  <c r="AK1564" i="5"/>
  <c r="AM89" i="5"/>
  <c r="AL89" i="5"/>
  <c r="AK89" i="5"/>
  <c r="AM468" i="5"/>
  <c r="AL468" i="5"/>
  <c r="AK468" i="5"/>
  <c r="AM340" i="5"/>
  <c r="AL340" i="5"/>
  <c r="AK340" i="5"/>
  <c r="AM782" i="5"/>
  <c r="AL782" i="5"/>
  <c r="AK782" i="5"/>
  <c r="AM1054" i="5"/>
  <c r="AL1054" i="5"/>
  <c r="AK1054" i="5"/>
  <c r="AM805" i="5"/>
  <c r="AL805" i="5"/>
  <c r="AK805" i="5"/>
  <c r="AM879" i="5"/>
  <c r="AK879" i="5"/>
  <c r="AL879" i="5"/>
  <c r="AM1503" i="5"/>
  <c r="AL1503" i="5"/>
  <c r="AK1503" i="5"/>
  <c r="AM126" i="5"/>
  <c r="AL126" i="5"/>
  <c r="AK126" i="5"/>
  <c r="AM432" i="5"/>
  <c r="AL432" i="5"/>
  <c r="AK432" i="5"/>
  <c r="AM647" i="5"/>
  <c r="AL647" i="5"/>
  <c r="AK647" i="5"/>
  <c r="AM594" i="5"/>
  <c r="AL594" i="5"/>
  <c r="AK594" i="5"/>
  <c r="AM1151" i="5"/>
  <c r="AK1151" i="5"/>
  <c r="AL1151" i="5"/>
  <c r="AM966" i="5"/>
  <c r="AL966" i="5"/>
  <c r="AK966" i="5"/>
  <c r="AM1775" i="5"/>
  <c r="AK1775" i="5"/>
  <c r="AL1775" i="5"/>
  <c r="AM1321" i="5"/>
  <c r="AL1321" i="5"/>
  <c r="AK1321" i="5"/>
  <c r="AM1720" i="5"/>
  <c r="AL1720" i="5"/>
  <c r="AK1720" i="5"/>
  <c r="AL55" i="5"/>
  <c r="AM55" i="5"/>
  <c r="AK55" i="5"/>
  <c r="AM448" i="5"/>
  <c r="AL448" i="5"/>
  <c r="AK448" i="5"/>
  <c r="AM555" i="5"/>
  <c r="AL555" i="5"/>
  <c r="AK555" i="5"/>
  <c r="AM768" i="5"/>
  <c r="AL768" i="5"/>
  <c r="AK768" i="5"/>
  <c r="AM1032" i="5"/>
  <c r="AL1032" i="5"/>
  <c r="AK1032" i="5"/>
  <c r="AM1224" i="5"/>
  <c r="AL1224" i="5"/>
  <c r="AK1224" i="5"/>
  <c r="AM882" i="5"/>
  <c r="AL882" i="5"/>
  <c r="AK882" i="5"/>
  <c r="AM1742" i="5"/>
  <c r="AL1742" i="5"/>
  <c r="AK1742" i="5"/>
  <c r="AM1812" i="5"/>
  <c r="AL1812" i="5"/>
  <c r="AK1812" i="5"/>
  <c r="AM1723" i="5"/>
  <c r="AL1723" i="5"/>
  <c r="AK1723" i="5"/>
  <c r="AM283" i="5"/>
  <c r="AL283" i="5"/>
  <c r="AK283" i="5"/>
  <c r="AM836" i="5"/>
  <c r="AL836" i="5"/>
  <c r="AK836" i="5"/>
  <c r="AM854" i="5"/>
  <c r="AL854" i="5"/>
  <c r="AK854" i="5"/>
  <c r="AM1674" i="5"/>
  <c r="AL1674" i="5"/>
  <c r="AK1674" i="5"/>
  <c r="AM384" i="5"/>
  <c r="AL384" i="5"/>
  <c r="AK384" i="5"/>
  <c r="AM300" i="5"/>
  <c r="AL300" i="5"/>
  <c r="AK300" i="5"/>
  <c r="AM167" i="5"/>
  <c r="AL167" i="5"/>
  <c r="AK167" i="5"/>
  <c r="AM291" i="5"/>
  <c r="AL291" i="5"/>
  <c r="AK291" i="5"/>
  <c r="AM547" i="5"/>
  <c r="AL547" i="5"/>
  <c r="AK547" i="5"/>
  <c r="AM847" i="5"/>
  <c r="AK847" i="5"/>
  <c r="AL847" i="5"/>
  <c r="AM1141" i="5"/>
  <c r="AL1141" i="5"/>
  <c r="AK1141" i="5"/>
  <c r="AM864" i="5"/>
  <c r="AL864" i="5"/>
  <c r="AK864" i="5"/>
  <c r="AM1287" i="5"/>
  <c r="AL1287" i="5"/>
  <c r="AK1287" i="5"/>
  <c r="AM1671" i="5"/>
  <c r="AL1671" i="5"/>
  <c r="AK1671" i="5"/>
  <c r="AM1578" i="5"/>
  <c r="AL1578" i="5"/>
  <c r="AK1578" i="5"/>
  <c r="AM129" i="5"/>
  <c r="AL129" i="5"/>
  <c r="AK129" i="5"/>
  <c r="AM1094" i="5"/>
  <c r="AL1094" i="5"/>
  <c r="AK1094" i="5"/>
  <c r="AM1289" i="5"/>
  <c r="AL1289" i="5"/>
  <c r="AK1289" i="5"/>
  <c r="AM1534" i="5"/>
  <c r="AL1534" i="5"/>
  <c r="AK1534" i="5"/>
  <c r="AM853" i="5"/>
  <c r="AL853" i="5"/>
  <c r="AK853" i="5"/>
  <c r="AM159" i="5"/>
  <c r="AL159" i="5"/>
  <c r="AK159" i="5"/>
  <c r="AM243" i="5"/>
  <c r="AL243" i="5"/>
  <c r="AK243" i="5"/>
  <c r="AM513" i="5"/>
  <c r="AL513" i="5"/>
  <c r="AK513" i="5"/>
  <c r="AM653" i="5"/>
  <c r="AL653" i="5"/>
  <c r="AK653" i="5"/>
  <c r="AM1121" i="5"/>
  <c r="AL1121" i="5"/>
  <c r="AK1121" i="5"/>
  <c r="AM967" i="5"/>
  <c r="AL967" i="5"/>
  <c r="AK967" i="5"/>
  <c r="AM1613" i="5"/>
  <c r="AL1613" i="5"/>
  <c r="AK1613" i="5"/>
  <c r="AM1719" i="5"/>
  <c r="AL1719" i="5"/>
  <c r="AK1719" i="5"/>
  <c r="AM1594" i="5"/>
  <c r="AL1594" i="5"/>
  <c r="AK1594" i="5"/>
  <c r="AM1509" i="5"/>
  <c r="AL1509" i="5"/>
  <c r="AK1509" i="5"/>
  <c r="AM392" i="5"/>
  <c r="AL392" i="5"/>
  <c r="AK392" i="5"/>
  <c r="AM169" i="5"/>
  <c r="AL169" i="5"/>
  <c r="AK169" i="5"/>
  <c r="AM292" i="5"/>
  <c r="AL292" i="5"/>
  <c r="AK292" i="5"/>
  <c r="AM1131" i="5"/>
  <c r="AL1131" i="5"/>
  <c r="AK1131" i="5"/>
  <c r="AM944" i="5"/>
  <c r="AL944" i="5"/>
  <c r="AK944" i="5"/>
  <c r="AM131" i="5"/>
  <c r="AL131" i="5"/>
  <c r="AK131" i="5"/>
  <c r="AM368" i="5"/>
  <c r="AL368" i="5"/>
  <c r="AK368" i="5"/>
  <c r="AM393" i="5"/>
  <c r="AL393" i="5"/>
  <c r="AK393" i="5"/>
  <c r="AM1060" i="5"/>
  <c r="AL1060" i="5"/>
  <c r="AK1060" i="5"/>
  <c r="AM974" i="5"/>
  <c r="AL974" i="5"/>
  <c r="AK974" i="5"/>
  <c r="AM1385" i="5"/>
  <c r="AL1385" i="5"/>
  <c r="AK1385" i="5"/>
  <c r="AM1807" i="5"/>
  <c r="AK1807" i="5"/>
  <c r="AL1807" i="5"/>
  <c r="AM1348" i="5"/>
  <c r="AL1348" i="5"/>
  <c r="AK1348" i="5"/>
  <c r="AM1389" i="5"/>
  <c r="AL1389" i="5"/>
  <c r="AK1389" i="5"/>
  <c r="AM1824" i="5"/>
  <c r="AL1824" i="5"/>
  <c r="AK1824" i="5"/>
  <c r="AM461" i="5"/>
  <c r="AK461" i="5"/>
  <c r="AL461" i="5"/>
  <c r="AM1408" i="5"/>
  <c r="AL1408" i="5"/>
  <c r="AK1408" i="5"/>
  <c r="AM32" i="5"/>
  <c r="AL32" i="5"/>
  <c r="AK32" i="5"/>
  <c r="AM517" i="5"/>
  <c r="AL517" i="5"/>
  <c r="AK517" i="5"/>
  <c r="AM1161" i="5"/>
  <c r="AL1161" i="5"/>
  <c r="AK1161" i="5"/>
  <c r="AM12" i="5"/>
  <c r="AL12" i="5"/>
  <c r="AK12" i="5"/>
  <c r="AM438" i="5"/>
  <c r="AL438" i="5"/>
  <c r="AK438" i="5"/>
  <c r="AM234" i="5"/>
  <c r="AL234" i="5"/>
  <c r="AK234" i="5"/>
  <c r="AM211" i="5"/>
  <c r="AL211" i="5"/>
  <c r="AK211" i="5"/>
  <c r="AM188" i="5"/>
  <c r="AL188" i="5"/>
  <c r="AK188" i="5"/>
  <c r="AM225" i="5"/>
  <c r="AL225" i="5"/>
  <c r="AK225" i="5"/>
  <c r="AM985" i="5"/>
  <c r="AL985" i="5"/>
  <c r="AK985" i="5"/>
  <c r="AM1248" i="5"/>
  <c r="AL1248" i="5"/>
  <c r="AK1248" i="5"/>
  <c r="AM849" i="5"/>
  <c r="AL849" i="5"/>
  <c r="AK849" i="5"/>
  <c r="AM861" i="5"/>
  <c r="AL861" i="5"/>
  <c r="AK861" i="5"/>
  <c r="AM917" i="5"/>
  <c r="AL917" i="5"/>
  <c r="AK917" i="5"/>
  <c r="AL567" i="5"/>
  <c r="AM567" i="5"/>
  <c r="AK567" i="5"/>
  <c r="AM403" i="5"/>
  <c r="AL403" i="5"/>
  <c r="AK403" i="5"/>
  <c r="AM1086" i="5"/>
  <c r="AL1086" i="5"/>
  <c r="AK1086" i="5"/>
  <c r="AM1539" i="5"/>
  <c r="AL1539" i="5"/>
  <c r="AK1539" i="5"/>
  <c r="AM1318" i="5"/>
  <c r="AL1318" i="5"/>
  <c r="AK1318" i="5"/>
  <c r="AM823" i="5"/>
  <c r="AL823" i="5"/>
  <c r="AK823" i="5"/>
  <c r="AM635" i="5"/>
  <c r="AL635" i="5"/>
  <c r="AK635" i="5"/>
  <c r="AM1158" i="5"/>
  <c r="AL1158" i="5"/>
  <c r="AK1158" i="5"/>
  <c r="AM1013" i="5"/>
  <c r="AL1013" i="5"/>
  <c r="AK1013" i="5"/>
  <c r="AM1724" i="5"/>
  <c r="AL1724" i="5"/>
  <c r="AK1724" i="5"/>
  <c r="AM1794" i="5"/>
  <c r="AL1794" i="5"/>
  <c r="AK1794" i="5"/>
  <c r="AM1669" i="5"/>
  <c r="AL1669" i="5"/>
  <c r="AK1669" i="5"/>
  <c r="AM1311" i="5"/>
  <c r="AK1311" i="5"/>
  <c r="AL1311" i="5"/>
  <c r="AM161" i="5"/>
  <c r="AL161" i="5"/>
  <c r="AK161" i="5"/>
  <c r="AM260" i="5"/>
  <c r="AL260" i="5"/>
  <c r="AK260" i="5"/>
  <c r="AM585" i="5"/>
  <c r="AL585" i="5"/>
  <c r="AK585" i="5"/>
  <c r="AM863" i="5"/>
  <c r="AL863" i="5"/>
  <c r="AK863" i="5"/>
  <c r="AM1183" i="5"/>
  <c r="AK1183" i="5"/>
  <c r="AL1183" i="5"/>
  <c r="AM862" i="5"/>
  <c r="AL862" i="5"/>
  <c r="AK862" i="5"/>
  <c r="AM1799" i="5"/>
  <c r="AL1799" i="5"/>
  <c r="AK1799" i="5"/>
  <c r="AM1305" i="5"/>
  <c r="AL1305" i="5"/>
  <c r="AK1305" i="5"/>
  <c r="AM1672" i="5"/>
  <c r="AL1672" i="5"/>
  <c r="AK1672" i="5"/>
  <c r="AM1626" i="5"/>
  <c r="AL1626" i="5"/>
  <c r="AK1626" i="5"/>
  <c r="AM145" i="5"/>
  <c r="AL145" i="5"/>
  <c r="AK145" i="5"/>
  <c r="AM1641" i="5"/>
  <c r="AL1641" i="5"/>
  <c r="AK1641" i="5"/>
  <c r="AM135" i="5"/>
  <c r="AL135" i="5"/>
  <c r="AK135" i="5"/>
  <c r="AM274" i="5"/>
  <c r="AL274" i="5"/>
  <c r="AK274" i="5"/>
  <c r="AM522" i="5"/>
  <c r="AL522" i="5"/>
  <c r="AK522" i="5"/>
  <c r="AM830" i="5"/>
  <c r="AL830" i="5"/>
  <c r="AK830" i="5"/>
  <c r="AM1136" i="5"/>
  <c r="AL1136" i="5"/>
  <c r="AK1136" i="5"/>
  <c r="AM996" i="5"/>
  <c r="AL996" i="5"/>
  <c r="AK996" i="5"/>
  <c r="AM1694" i="5"/>
  <c r="AL1694" i="5"/>
  <c r="AK1694" i="5"/>
  <c r="AM1728" i="5"/>
  <c r="AL1728" i="5"/>
  <c r="AK1728" i="5"/>
  <c r="AM1603" i="5"/>
  <c r="AL1603" i="5"/>
  <c r="AK1603" i="5"/>
  <c r="AM1365" i="5"/>
  <c r="AL1365" i="5"/>
  <c r="AK1365" i="5"/>
  <c r="AM124" i="5"/>
  <c r="AL124" i="5"/>
  <c r="AK124" i="5"/>
  <c r="AM312" i="5"/>
  <c r="AL312" i="5"/>
  <c r="AK312" i="5"/>
  <c r="AM543" i="5"/>
  <c r="AL543" i="5"/>
  <c r="AK543" i="5"/>
  <c r="AM732" i="5"/>
  <c r="AL732" i="5"/>
  <c r="AK732" i="5"/>
  <c r="AM1089" i="5"/>
  <c r="AL1089" i="5"/>
  <c r="AK1089" i="5"/>
  <c r="AM986" i="5"/>
  <c r="AL986" i="5"/>
  <c r="AK986" i="5"/>
  <c r="AM1625" i="5"/>
  <c r="AL1625" i="5"/>
  <c r="AK1625" i="5"/>
  <c r="AM1695" i="5"/>
  <c r="AK1695" i="5"/>
  <c r="AL1695" i="5"/>
  <c r="AM1562" i="5"/>
  <c r="AL1562" i="5"/>
  <c r="AK1562" i="5"/>
  <c r="AM1770" i="5"/>
  <c r="AL1770" i="5"/>
  <c r="AK1770" i="5"/>
  <c r="AM101" i="5"/>
  <c r="AL101" i="5"/>
  <c r="AK101" i="5"/>
  <c r="AM492" i="5"/>
  <c r="AL492" i="5"/>
  <c r="AK492" i="5"/>
  <c r="AM536" i="5"/>
  <c r="AL536" i="5"/>
  <c r="AK536" i="5"/>
  <c r="AM715" i="5"/>
  <c r="AL715" i="5"/>
  <c r="AK715" i="5"/>
  <c r="AM1066" i="5"/>
  <c r="AL1066" i="5"/>
  <c r="AK1066" i="5"/>
  <c r="AM969" i="5"/>
  <c r="AL969" i="5"/>
  <c r="AK969" i="5"/>
  <c r="AM860" i="5"/>
  <c r="AL860" i="5"/>
  <c r="AK860" i="5"/>
  <c r="AM27" i="5"/>
  <c r="AL27" i="5"/>
  <c r="AK27" i="5"/>
  <c r="AM138" i="5"/>
  <c r="AK138" i="5"/>
  <c r="AL138" i="5"/>
  <c r="AM377" i="5"/>
  <c r="AL377" i="5"/>
  <c r="AK377" i="5"/>
  <c r="AL791" i="5"/>
  <c r="AM791" i="5"/>
  <c r="AK791" i="5"/>
  <c r="AM738" i="5"/>
  <c r="AL738" i="5"/>
  <c r="AK738" i="5"/>
  <c r="AM1163" i="5"/>
  <c r="AL1163" i="5"/>
  <c r="AK1163" i="5"/>
  <c r="AM407" i="5"/>
  <c r="AL407" i="5"/>
  <c r="AK407" i="5"/>
  <c r="AM1811" i="5"/>
  <c r="AL1811" i="5"/>
  <c r="AK1811" i="5"/>
  <c r="AM1369" i="5"/>
  <c r="AL1369" i="5"/>
  <c r="AK1369" i="5"/>
  <c r="AM1756" i="5"/>
  <c r="AL1756" i="5"/>
  <c r="AK1756" i="5"/>
  <c r="AM67" i="5"/>
  <c r="AL67" i="5"/>
  <c r="AK67" i="5"/>
  <c r="AM472" i="5"/>
  <c r="AL472" i="5"/>
  <c r="AK472" i="5"/>
  <c r="AM383" i="5"/>
  <c r="AL383" i="5"/>
  <c r="AK383" i="5"/>
  <c r="AM825" i="5"/>
  <c r="AL825" i="5"/>
  <c r="AK825" i="5"/>
  <c r="AM1044" i="5"/>
  <c r="AL1044" i="5"/>
  <c r="AK1044" i="5"/>
  <c r="AM1236" i="5"/>
  <c r="AL1236" i="5"/>
  <c r="AK1236" i="5"/>
  <c r="AM1026" i="5"/>
  <c r="AL1026" i="5"/>
  <c r="AK1026" i="5"/>
  <c r="AM1778" i="5"/>
  <c r="AL1778" i="5"/>
  <c r="AK1778" i="5"/>
  <c r="AM1325" i="5"/>
  <c r="AL1325" i="5"/>
  <c r="AK1325" i="5"/>
  <c r="AM1759" i="5"/>
  <c r="AL1759" i="5"/>
  <c r="AK1759" i="5"/>
  <c r="AM324" i="5"/>
  <c r="AL324" i="5"/>
  <c r="AK324" i="5"/>
  <c r="AM630" i="5"/>
  <c r="AL630" i="5"/>
  <c r="AK630" i="5"/>
  <c r="AM924" i="5"/>
  <c r="AL924" i="5"/>
  <c r="AK924" i="5"/>
  <c r="AM1746" i="5"/>
  <c r="AL1746" i="5"/>
  <c r="AK1746" i="5"/>
  <c r="AM406" i="5"/>
  <c r="AL406" i="5"/>
  <c r="AK406" i="5"/>
  <c r="AM481" i="5"/>
  <c r="AL481" i="5"/>
  <c r="AK481" i="5"/>
  <c r="AM179" i="5"/>
  <c r="AL179" i="5"/>
  <c r="AK179" i="5"/>
  <c r="AM332" i="5"/>
  <c r="AL332" i="5"/>
  <c r="AK332" i="5"/>
  <c r="AM640" i="5"/>
  <c r="AL640" i="5"/>
  <c r="AK640" i="5"/>
  <c r="AM569" i="5"/>
  <c r="AL569" i="5"/>
  <c r="AK569" i="5"/>
  <c r="AM1153" i="5"/>
  <c r="AL1153" i="5"/>
  <c r="AK1153" i="5"/>
  <c r="AM1008" i="5"/>
  <c r="AL1008" i="5"/>
  <c r="AK1008" i="5"/>
  <c r="AM1601" i="5"/>
  <c r="AL1601" i="5"/>
  <c r="AK1601" i="5"/>
  <c r="AM1707" i="5"/>
  <c r="AL1707" i="5"/>
  <c r="AK1707" i="5"/>
  <c r="AM1618" i="5"/>
  <c r="AL1618" i="5"/>
  <c r="AK1618" i="5"/>
  <c r="AM180" i="5"/>
  <c r="AL180" i="5"/>
  <c r="AK180" i="5"/>
  <c r="AM1118" i="5"/>
  <c r="AL1118" i="5"/>
  <c r="AK1118" i="5"/>
  <c r="AM1290" i="5"/>
  <c r="AL1290" i="5"/>
  <c r="AK1290" i="5"/>
  <c r="AM1621" i="5"/>
  <c r="AL1621" i="5"/>
  <c r="AK1621" i="5"/>
  <c r="AM1821" i="5"/>
  <c r="AL1821" i="5"/>
  <c r="AK1821" i="5"/>
  <c r="AM171" i="5"/>
  <c r="AL171" i="5"/>
  <c r="AK171" i="5"/>
  <c r="AM387" i="5"/>
  <c r="AL387" i="5"/>
  <c r="AK387" i="5"/>
  <c r="AM719" i="5"/>
  <c r="AL719" i="5"/>
  <c r="AK719" i="5"/>
  <c r="AM797" i="5"/>
  <c r="AL797" i="5"/>
  <c r="AK797" i="5"/>
  <c r="AM1133" i="5"/>
  <c r="AL1133" i="5"/>
  <c r="AK1133" i="5"/>
  <c r="AM692" i="5"/>
  <c r="AL692" i="5"/>
  <c r="AK692" i="5"/>
  <c r="AM1649" i="5"/>
  <c r="AL1649" i="5"/>
  <c r="AK1649" i="5"/>
  <c r="AM1755" i="5"/>
  <c r="AK1755" i="5"/>
  <c r="AL1755" i="5"/>
  <c r="AM1630" i="5"/>
  <c r="AL1630" i="5"/>
  <c r="AK1630" i="5"/>
  <c r="AM1326" i="5"/>
  <c r="AL1326" i="5"/>
  <c r="AK1326" i="5"/>
  <c r="AM514" i="5"/>
  <c r="AL514" i="5"/>
  <c r="AK514" i="5"/>
  <c r="AM181" i="5"/>
  <c r="AL181" i="5"/>
  <c r="AK181" i="5"/>
  <c r="AL583" i="5"/>
  <c r="AM583" i="5"/>
  <c r="AK583" i="5"/>
  <c r="AM1143" i="5"/>
  <c r="AL1143" i="5"/>
  <c r="AK1143" i="5"/>
  <c r="AM908" i="5"/>
  <c r="AL908" i="5"/>
  <c r="AK908" i="5"/>
  <c r="AM146" i="5"/>
  <c r="AL146" i="5"/>
  <c r="AK146" i="5"/>
  <c r="AM289" i="5"/>
  <c r="AL289" i="5"/>
  <c r="AK289" i="5"/>
  <c r="AM693" i="5"/>
  <c r="AL693" i="5"/>
  <c r="AK693" i="5"/>
  <c r="AM1072" i="5"/>
  <c r="AL1072" i="5"/>
  <c r="AK1072" i="5"/>
  <c r="AM907" i="5"/>
  <c r="AL907" i="5"/>
  <c r="AK907" i="5"/>
  <c r="AM1394" i="5"/>
  <c r="AL1394" i="5"/>
  <c r="AK1394" i="5"/>
  <c r="AM1787" i="5"/>
  <c r="AL1787" i="5"/>
  <c r="AK1787" i="5"/>
  <c r="AM1444" i="5"/>
  <c r="AL1444" i="5"/>
  <c r="AK1444" i="5"/>
  <c r="AM1383" i="5"/>
  <c r="AL1383" i="5"/>
  <c r="AK1383" i="5"/>
  <c r="AM1644" i="5"/>
  <c r="AL1644" i="5"/>
  <c r="AK1644" i="5"/>
  <c r="AL7" i="5"/>
  <c r="AM7" i="5"/>
  <c r="AK7" i="5"/>
  <c r="AM1267" i="5"/>
  <c r="AL1267" i="5"/>
  <c r="AK1267" i="5"/>
  <c r="AM1589" i="5"/>
  <c r="AL1589" i="5"/>
  <c r="AK1589" i="5"/>
  <c r="AM946" i="5"/>
  <c r="AL946" i="5"/>
  <c r="AK946" i="5"/>
  <c r="AM1000" i="5"/>
  <c r="AL1000" i="5"/>
  <c r="AK1000" i="5"/>
  <c r="AM1786" i="5"/>
  <c r="AL1786" i="5"/>
  <c r="AK1786" i="5"/>
  <c r="AM1552" i="5"/>
  <c r="AL1552" i="5"/>
  <c r="AK1552" i="5"/>
  <c r="AM495" i="5"/>
  <c r="AL495" i="5"/>
  <c r="AK495" i="5"/>
  <c r="AM1751" i="5"/>
  <c r="AL1751" i="5"/>
  <c r="AK1751" i="5"/>
  <c r="AM486" i="5"/>
  <c r="AL486" i="5"/>
  <c r="AK486" i="5"/>
  <c r="AM1297" i="5"/>
  <c r="AL1297" i="5"/>
  <c r="AK1297" i="5"/>
  <c r="AM1027" i="5"/>
  <c r="AL1027" i="5"/>
  <c r="AK1027" i="5"/>
  <c r="AM303" i="5"/>
  <c r="AL303" i="5"/>
  <c r="AK303" i="5"/>
  <c r="AM840" i="5"/>
  <c r="AL840" i="5"/>
  <c r="AK840" i="5"/>
  <c r="AM160" i="5"/>
  <c r="AL160" i="5"/>
  <c r="AK160" i="5"/>
  <c r="AM344" i="5"/>
  <c r="AL344" i="5"/>
  <c r="AK344" i="5"/>
  <c r="AM779" i="5"/>
  <c r="AL779" i="5"/>
  <c r="AK779" i="5"/>
  <c r="AM582" i="5"/>
  <c r="AL582" i="5"/>
  <c r="AK582" i="5"/>
  <c r="AM1170" i="5"/>
  <c r="AL1170" i="5"/>
  <c r="AK1170" i="5"/>
  <c r="AM954" i="5"/>
  <c r="AL954" i="5"/>
  <c r="AK954" i="5"/>
  <c r="AM1760" i="5"/>
  <c r="AL1760" i="5"/>
  <c r="AK1760" i="5"/>
  <c r="AM1349" i="5"/>
  <c r="AL1349" i="5"/>
  <c r="AK1349" i="5"/>
  <c r="AM1705" i="5"/>
  <c r="AL1705" i="5"/>
  <c r="AK1705" i="5"/>
  <c r="AL39" i="5"/>
  <c r="AK39" i="5"/>
  <c r="AM39" i="5"/>
  <c r="AM173" i="5"/>
  <c r="AL173" i="5"/>
  <c r="AK173" i="5"/>
  <c r="AM404" i="5"/>
  <c r="AL404" i="5"/>
  <c r="AK404" i="5"/>
  <c r="AM729" i="5"/>
  <c r="AL729" i="5"/>
  <c r="AK729" i="5"/>
  <c r="AM1007" i="5"/>
  <c r="AK1007" i="5"/>
  <c r="AL1007" i="5"/>
  <c r="AM1195" i="5"/>
  <c r="AL1195" i="5"/>
  <c r="AK1195" i="5"/>
  <c r="AM682" i="5"/>
  <c r="AL682" i="5"/>
  <c r="AK682" i="5"/>
  <c r="AM1279" i="5"/>
  <c r="AK1279" i="5"/>
  <c r="AL1279" i="5"/>
  <c r="AM1353" i="5"/>
  <c r="AL1353" i="5"/>
  <c r="AK1353" i="5"/>
  <c r="AM1708" i="5"/>
  <c r="AL1708" i="5"/>
  <c r="AK1708" i="5"/>
  <c r="AM1806" i="5"/>
  <c r="AL1806" i="5"/>
  <c r="AK1806" i="5"/>
  <c r="AM157" i="5"/>
  <c r="AL157" i="5"/>
  <c r="AK157" i="5"/>
  <c r="AM47" i="5"/>
  <c r="AL47" i="5"/>
  <c r="AK47" i="5"/>
  <c r="AM150" i="5"/>
  <c r="AL150" i="5"/>
  <c r="AK150" i="5"/>
  <c r="AM418" i="5"/>
  <c r="AL418" i="5"/>
  <c r="AK418" i="5"/>
  <c r="AM611" i="5"/>
  <c r="AL611" i="5"/>
  <c r="AK611" i="5"/>
  <c r="AM842" i="5"/>
  <c r="AL842" i="5"/>
  <c r="AK842" i="5"/>
  <c r="AM1148" i="5"/>
  <c r="AL1148" i="5"/>
  <c r="AK1148" i="5"/>
  <c r="AM989" i="5"/>
  <c r="AL989" i="5"/>
  <c r="AK989" i="5"/>
  <c r="AM1730" i="5"/>
  <c r="AL1730" i="5"/>
  <c r="AK1730" i="5"/>
  <c r="AM1764" i="5"/>
  <c r="AL1764" i="5"/>
  <c r="AK1764" i="5"/>
  <c r="AM1639" i="5"/>
  <c r="AL1639" i="5"/>
  <c r="AK1639" i="5"/>
  <c r="AM1518" i="5"/>
  <c r="AL1518" i="5"/>
  <c r="AK1518" i="5"/>
  <c r="AM136" i="5"/>
  <c r="AL136" i="5"/>
  <c r="AK136" i="5"/>
  <c r="AM500" i="5"/>
  <c r="AL500" i="5"/>
  <c r="AK500" i="5"/>
  <c r="AM541" i="5"/>
  <c r="AL541" i="5"/>
  <c r="AK541" i="5"/>
  <c r="AM605" i="5"/>
  <c r="AL605" i="5"/>
  <c r="AK605" i="5"/>
  <c r="AM1101" i="5"/>
  <c r="AL1101" i="5"/>
  <c r="AK1101" i="5"/>
  <c r="AM919" i="5"/>
  <c r="AL919" i="5"/>
  <c r="AK919" i="5"/>
  <c r="AM1661" i="5"/>
  <c r="AL1661" i="5"/>
  <c r="AK1661" i="5"/>
  <c r="AM1731" i="5"/>
  <c r="AL1731" i="5"/>
  <c r="AK1731" i="5"/>
  <c r="AM1606" i="5"/>
  <c r="AL1606" i="5"/>
  <c r="AK1606" i="5"/>
  <c r="AM1557" i="5"/>
  <c r="AL1557" i="5"/>
  <c r="AK1557" i="5"/>
  <c r="AM113" i="5"/>
  <c r="AL113" i="5"/>
  <c r="AK113" i="5"/>
  <c r="AM372" i="5"/>
  <c r="AL372" i="5"/>
  <c r="AK372" i="5"/>
  <c r="AM562" i="5"/>
  <c r="AL562" i="5"/>
  <c r="AK562" i="5"/>
  <c r="AM648" i="5"/>
  <c r="AL648" i="5"/>
  <c r="AK648" i="5"/>
  <c r="AM1078" i="5"/>
  <c r="AL1078" i="5"/>
  <c r="AK1078" i="5"/>
  <c r="AM778" i="5"/>
  <c r="AL778" i="5"/>
  <c r="AK778" i="5"/>
  <c r="AM709" i="5"/>
  <c r="AL709" i="5"/>
  <c r="AK709" i="5"/>
  <c r="AM16" i="5"/>
  <c r="AL16" i="5"/>
  <c r="AK16" i="5"/>
  <c r="AM141" i="5"/>
  <c r="AL141" i="5"/>
  <c r="AK141" i="5"/>
  <c r="AM310" i="5"/>
  <c r="AL310" i="5"/>
  <c r="AK310" i="5"/>
  <c r="AM664" i="5"/>
  <c r="AL664" i="5"/>
  <c r="AK664" i="5"/>
  <c r="AM824" i="5"/>
  <c r="AL824" i="5"/>
  <c r="AK824" i="5"/>
  <c r="AM1175" i="5"/>
  <c r="AL1175" i="5"/>
  <c r="AK1175" i="5"/>
  <c r="AM651" i="5"/>
  <c r="AL651" i="5"/>
  <c r="AK651" i="5"/>
  <c r="AM1294" i="5"/>
  <c r="AL1294" i="5"/>
  <c r="AK1294" i="5"/>
  <c r="AM1417" i="5"/>
  <c r="AL1417" i="5"/>
  <c r="AK1417" i="5"/>
  <c r="AM1792" i="5"/>
  <c r="AL1792" i="5"/>
  <c r="AK1792" i="5"/>
  <c r="AM79" i="5"/>
  <c r="AL79" i="5"/>
  <c r="AK79" i="5"/>
  <c r="AM496" i="5"/>
  <c r="AL496" i="5"/>
  <c r="AK496" i="5"/>
  <c r="AM268" i="5"/>
  <c r="AL268" i="5"/>
  <c r="AK268" i="5"/>
  <c r="AM549" i="5"/>
  <c r="AL549" i="5"/>
  <c r="AK549" i="5"/>
  <c r="AM1056" i="5"/>
  <c r="AL1056" i="5"/>
  <c r="AK1056" i="5"/>
  <c r="AM733" i="5"/>
  <c r="AL733" i="5"/>
  <c r="AK733" i="5"/>
  <c r="AM608" i="5"/>
  <c r="AL608" i="5"/>
  <c r="AK608" i="5"/>
  <c r="AM1814" i="5"/>
  <c r="AL1814" i="5"/>
  <c r="AK1814" i="5"/>
  <c r="AM1373" i="5"/>
  <c r="AL1373" i="5"/>
  <c r="AK1373" i="5"/>
  <c r="AM1795" i="5"/>
  <c r="AL1795" i="5"/>
  <c r="AK1795" i="5"/>
  <c r="AM269" i="5"/>
  <c r="AL269" i="5"/>
  <c r="AK269" i="5"/>
  <c r="AM774" i="5"/>
  <c r="AL774" i="5"/>
  <c r="AK774" i="5"/>
  <c r="AM649" i="5"/>
  <c r="AL649" i="5"/>
  <c r="AK649" i="5"/>
  <c r="AM1818" i="5"/>
  <c r="AL1818" i="5"/>
  <c r="AK1818" i="5"/>
  <c r="AM479" i="5"/>
  <c r="AL479" i="5"/>
  <c r="AK479" i="5"/>
  <c r="AM564" i="5"/>
  <c r="AL564" i="5"/>
  <c r="AK564" i="5"/>
  <c r="AM191" i="5"/>
  <c r="AL191" i="5"/>
  <c r="AK191" i="5"/>
  <c r="AM253" i="5"/>
  <c r="AL253" i="5"/>
  <c r="AK253" i="5"/>
  <c r="AM784" i="5"/>
  <c r="AL784" i="5"/>
  <c r="AK784" i="5"/>
  <c r="AM714" i="5"/>
  <c r="AL714" i="5"/>
  <c r="AK714" i="5"/>
  <c r="AM1165" i="5"/>
  <c r="AL1165" i="5"/>
  <c r="AK1165" i="5"/>
  <c r="AM857" i="5"/>
  <c r="AL857" i="5"/>
  <c r="AK857" i="5"/>
  <c r="AM1637" i="5"/>
  <c r="AL1637" i="5"/>
  <c r="AK1637" i="5"/>
  <c r="AM1743" i="5"/>
  <c r="AK1743" i="5"/>
  <c r="AL1743" i="5"/>
  <c r="AM1654" i="5"/>
  <c r="AL1654" i="5"/>
  <c r="AK1654" i="5"/>
  <c r="AM204" i="5"/>
  <c r="AL204" i="5"/>
  <c r="AK204" i="5"/>
  <c r="AM1142" i="5"/>
  <c r="AL1142" i="5"/>
  <c r="AK1142" i="5"/>
  <c r="AM1640" i="5"/>
  <c r="AL1640" i="5"/>
  <c r="AK1640" i="5"/>
  <c r="AM1729" i="5"/>
  <c r="AL1729" i="5"/>
  <c r="AK1729" i="5"/>
  <c r="AL1768" i="5"/>
  <c r="AM1768" i="5"/>
  <c r="AK1768" i="5"/>
  <c r="AM183" i="5"/>
  <c r="AL183" i="5"/>
  <c r="AK183" i="5"/>
  <c r="AM284" i="5"/>
  <c r="AL284" i="5"/>
  <c r="AK284" i="5"/>
  <c r="AM287" i="5"/>
  <c r="AL287" i="5"/>
  <c r="AK287" i="5"/>
  <c r="AM839" i="5"/>
  <c r="AL839" i="5"/>
  <c r="AK839" i="5"/>
  <c r="AM1145" i="5"/>
  <c r="AL1145" i="5"/>
  <c r="AK1145" i="5"/>
  <c r="AM960" i="5"/>
  <c r="AL960" i="5"/>
  <c r="AK960" i="5"/>
  <c r="AM1685" i="5"/>
  <c r="AL1685" i="5"/>
  <c r="AK1685" i="5"/>
  <c r="AM1791" i="5"/>
  <c r="AK1791" i="5"/>
  <c r="AL1791" i="5"/>
  <c r="AM1666" i="5"/>
  <c r="AL1666" i="5"/>
  <c r="AK1666" i="5"/>
  <c r="AM1645" i="5"/>
  <c r="AL1645" i="5"/>
  <c r="AK1645" i="5"/>
  <c r="AM667" i="5"/>
  <c r="AL667" i="5"/>
  <c r="AK667" i="5"/>
  <c r="AM193" i="5"/>
  <c r="AL193" i="5"/>
  <c r="AK193" i="5"/>
  <c r="AM364" i="5"/>
  <c r="AL364" i="5"/>
  <c r="AK364" i="5"/>
  <c r="AM1155" i="5"/>
  <c r="AL1155" i="5"/>
  <c r="AK1155" i="5"/>
  <c r="AM1256" i="5"/>
  <c r="AL1256" i="5"/>
  <c r="AK1256" i="5"/>
  <c r="AM158" i="5"/>
  <c r="AL158" i="5"/>
  <c r="AK158" i="5"/>
  <c r="AM457" i="5"/>
  <c r="AL457" i="5"/>
  <c r="AK457" i="5"/>
  <c r="AM710" i="5"/>
  <c r="AL710" i="5"/>
  <c r="AK710" i="5"/>
  <c r="AM1084" i="5"/>
  <c r="AL1084" i="5"/>
  <c r="AK1084" i="5"/>
  <c r="AM900" i="5"/>
  <c r="AL900" i="5"/>
  <c r="AK900" i="5"/>
  <c r="AM1490" i="5"/>
  <c r="AL1490" i="5"/>
  <c r="AK1490" i="5"/>
  <c r="AM1823" i="5"/>
  <c r="AK1823" i="5"/>
  <c r="AL1823" i="5"/>
  <c r="AM1492" i="5"/>
  <c r="AL1492" i="5"/>
  <c r="AK1492" i="5"/>
  <c r="AM1440" i="5"/>
  <c r="AL1440" i="5"/>
  <c r="AK1440" i="5"/>
  <c r="AL1788" i="5"/>
  <c r="AM1788" i="5"/>
  <c r="AK1788" i="5"/>
  <c r="AM1356" i="5"/>
  <c r="AL1356" i="5"/>
  <c r="AK1356" i="5"/>
  <c r="AM487" i="5"/>
  <c r="AL487" i="5"/>
  <c r="AK487" i="5"/>
  <c r="AM1364" i="5"/>
  <c r="AL1364" i="5"/>
  <c r="AK1364" i="5"/>
  <c r="AM201" i="5"/>
  <c r="AL201" i="5"/>
  <c r="AK201" i="5"/>
  <c r="AM1062" i="5"/>
  <c r="AL1062" i="5"/>
  <c r="AK1062" i="5"/>
  <c r="AM309" i="5"/>
  <c r="AL309" i="5"/>
  <c r="AK309" i="5"/>
  <c r="AM540" i="5"/>
  <c r="AL540" i="5"/>
  <c r="AK540" i="5"/>
  <c r="AM896" i="5"/>
  <c r="AL896" i="5"/>
  <c r="AK896" i="5"/>
  <c r="AM1185" i="5"/>
  <c r="AL1185" i="5"/>
  <c r="AK1185" i="5"/>
  <c r="AM832" i="5"/>
  <c r="AL832" i="5"/>
  <c r="AK832" i="5"/>
  <c r="AM1568" i="5"/>
  <c r="AL1568" i="5"/>
  <c r="AK1568" i="5"/>
  <c r="AM1572" i="5"/>
  <c r="AL1572" i="5"/>
  <c r="AK1572" i="5"/>
  <c r="AM751" i="5"/>
  <c r="AL751" i="5"/>
  <c r="AK751" i="5"/>
  <c r="AM72" i="5"/>
  <c r="AL72" i="5"/>
  <c r="AK72" i="5"/>
  <c r="AM554" i="5"/>
  <c r="AL554" i="5"/>
  <c r="AK554" i="5"/>
  <c r="AM526" i="5"/>
  <c r="AL526" i="5"/>
  <c r="AK526" i="5"/>
  <c r="AM558" i="5"/>
  <c r="AL558" i="5"/>
  <c r="AK558" i="5"/>
  <c r="AM926" i="5"/>
  <c r="AL926" i="5"/>
  <c r="AK926" i="5"/>
  <c r="AM1091" i="5"/>
  <c r="AL1091" i="5"/>
  <c r="AK1091" i="5"/>
  <c r="AM501" i="5"/>
  <c r="AL501" i="5"/>
  <c r="AK501" i="5"/>
  <c r="AM1182" i="5"/>
  <c r="AL1182" i="5"/>
  <c r="AK1182" i="5"/>
  <c r="AM932" i="5"/>
  <c r="AL932" i="5"/>
  <c r="AK932" i="5"/>
  <c r="AM1796" i="5"/>
  <c r="AL1796" i="5"/>
  <c r="AK1796" i="5"/>
  <c r="AM1397" i="5"/>
  <c r="AL1397" i="5"/>
  <c r="AK1397" i="5"/>
  <c r="AM1741" i="5"/>
  <c r="AL1741" i="5"/>
  <c r="AK1741" i="5"/>
  <c r="AM1677" i="5"/>
  <c r="AL1677" i="5"/>
  <c r="AK1677" i="5"/>
  <c r="AM185" i="5"/>
  <c r="AL185" i="5"/>
  <c r="AK185" i="5"/>
  <c r="AM504" i="5"/>
  <c r="AL504" i="5"/>
  <c r="AK504" i="5"/>
  <c r="AL359" i="5"/>
  <c r="AM359" i="5"/>
  <c r="AK359" i="5"/>
  <c r="AM632" i="5"/>
  <c r="AL632" i="5"/>
  <c r="AK632" i="5"/>
  <c r="AM1207" i="5"/>
  <c r="AL1207" i="5"/>
  <c r="AK1207" i="5"/>
  <c r="AM870" i="5"/>
  <c r="AL870" i="5"/>
  <c r="AK870" i="5"/>
  <c r="AM1246" i="5"/>
  <c r="AL1246" i="5"/>
  <c r="AK1246" i="5"/>
  <c r="AM1401" i="5"/>
  <c r="AL1401" i="5"/>
  <c r="AK1401" i="5"/>
  <c r="AM1744" i="5"/>
  <c r="AL1744" i="5"/>
  <c r="AK1744" i="5"/>
  <c r="AM1317" i="5"/>
  <c r="AL1317" i="5"/>
  <c r="AK1317" i="5"/>
  <c r="AM205" i="5"/>
  <c r="AL205" i="5"/>
  <c r="AK205" i="5"/>
  <c r="AL71" i="5"/>
  <c r="AM71" i="5"/>
  <c r="AK71" i="5"/>
  <c r="AM162" i="5"/>
  <c r="AL162" i="5"/>
  <c r="AK162" i="5"/>
  <c r="AL279" i="5"/>
  <c r="AM279" i="5"/>
  <c r="AK279" i="5"/>
  <c r="AM755" i="5"/>
  <c r="AL755" i="5"/>
  <c r="AK755" i="5"/>
  <c r="AM702" i="5"/>
  <c r="AL702" i="5"/>
  <c r="AK702" i="5"/>
  <c r="AM1160" i="5"/>
  <c r="AL1160" i="5"/>
  <c r="AK1160" i="5"/>
  <c r="AM922" i="5"/>
  <c r="AL922" i="5"/>
  <c r="AK922" i="5"/>
  <c r="AM1766" i="5"/>
  <c r="AL1766" i="5"/>
  <c r="AK1766" i="5"/>
  <c r="AM1800" i="5"/>
  <c r="AL1800" i="5"/>
  <c r="AK1800" i="5"/>
  <c r="AM1675" i="5"/>
  <c r="AL1675" i="5"/>
  <c r="AK1675" i="5"/>
  <c r="AM1717" i="5"/>
  <c r="AL1717" i="5"/>
  <c r="AK1717" i="5"/>
  <c r="AM139" i="5"/>
  <c r="AL139" i="5"/>
  <c r="AK139" i="5"/>
  <c r="AM257" i="5"/>
  <c r="AL257" i="5"/>
  <c r="AK257" i="5"/>
  <c r="AM414" i="5"/>
  <c r="AL414" i="5"/>
  <c r="AK414" i="5"/>
  <c r="AM749" i="5"/>
  <c r="AL749" i="5"/>
  <c r="AK749" i="5"/>
  <c r="AM1113" i="5"/>
  <c r="AL1113" i="5"/>
  <c r="AK1113" i="5"/>
  <c r="AM912" i="5"/>
  <c r="AL912" i="5"/>
  <c r="AK912" i="5"/>
  <c r="AM1697" i="5"/>
  <c r="AL1697" i="5"/>
  <c r="AK1697" i="5"/>
  <c r="AM1767" i="5"/>
  <c r="AL1767" i="5"/>
  <c r="AK1767" i="5"/>
  <c r="AM1642" i="5"/>
  <c r="AL1642" i="5"/>
  <c r="AK1642" i="5"/>
  <c r="AM1374" i="5"/>
  <c r="AL1374" i="5"/>
  <c r="AK1374" i="5"/>
  <c r="AM125" i="5"/>
  <c r="AL125" i="5"/>
  <c r="AK125" i="5"/>
  <c r="AM317" i="5"/>
  <c r="AL317" i="5"/>
  <c r="AK317" i="5"/>
  <c r="AM534" i="5"/>
  <c r="AL534" i="5"/>
  <c r="AK534" i="5"/>
  <c r="AM792" i="5"/>
  <c r="AL792" i="5"/>
  <c r="AK792" i="5"/>
  <c r="AM1090" i="5"/>
  <c r="AL1090" i="5"/>
  <c r="AK1090" i="5"/>
  <c r="AM902" i="5"/>
  <c r="AL902" i="5"/>
  <c r="AK902" i="5"/>
  <c r="AM891" i="5"/>
  <c r="AL891" i="5"/>
  <c r="AK891" i="5"/>
  <c r="AM867" i="5"/>
  <c r="AL867" i="5"/>
  <c r="AK867" i="5"/>
  <c r="AM153" i="5"/>
  <c r="AL153" i="5"/>
  <c r="AK153" i="5"/>
  <c r="AM315" i="5"/>
  <c r="AL315" i="5"/>
  <c r="AK315" i="5"/>
  <c r="AM808" i="5"/>
  <c r="AL808" i="5"/>
  <c r="AK808" i="5"/>
  <c r="AM603" i="5"/>
  <c r="AL603" i="5"/>
  <c r="AK603" i="5"/>
  <c r="AM1187" i="5"/>
  <c r="AL1187" i="5"/>
  <c r="AK1187" i="5"/>
  <c r="AM1011" i="5"/>
  <c r="AL1011" i="5"/>
  <c r="AK1011" i="5"/>
  <c r="AM1255" i="5"/>
  <c r="AL1255" i="5"/>
  <c r="AK1255" i="5"/>
  <c r="AM1465" i="5"/>
  <c r="AL1465" i="5"/>
  <c r="AK1465" i="5"/>
  <c r="AM1315" i="5"/>
  <c r="AL1315" i="5"/>
  <c r="AK1315" i="5"/>
  <c r="AM91" i="5"/>
  <c r="AL91" i="5"/>
  <c r="AK91" i="5"/>
  <c r="AM348" i="5"/>
  <c r="AL348" i="5"/>
  <c r="AK348" i="5"/>
  <c r="AM508" i="5"/>
  <c r="AL508" i="5"/>
  <c r="AK508" i="5"/>
  <c r="AM641" i="5"/>
  <c r="AL641" i="5"/>
  <c r="AK641" i="5"/>
  <c r="AM1068" i="5"/>
  <c r="AL1068" i="5"/>
  <c r="AK1068" i="5"/>
  <c r="AM945" i="5"/>
  <c r="AL945" i="5"/>
  <c r="AK945" i="5"/>
  <c r="AM788" i="5"/>
  <c r="AL788" i="5"/>
  <c r="AK788" i="5"/>
  <c r="AM1291" i="5"/>
  <c r="AL1291" i="5"/>
  <c r="AK1291" i="5"/>
  <c r="AM1421" i="5"/>
  <c r="AL1421" i="5"/>
  <c r="AK1421" i="5"/>
  <c r="AM1319" i="5"/>
  <c r="AL1319" i="5"/>
  <c r="AK1319" i="5"/>
  <c r="AM413" i="5"/>
  <c r="AL413" i="5"/>
  <c r="AK413" i="5"/>
  <c r="AM928" i="5"/>
  <c r="AL928" i="5"/>
  <c r="AK928" i="5"/>
  <c r="AM622" i="5"/>
  <c r="AL622" i="5"/>
  <c r="AK622" i="5"/>
  <c r="AM1381" i="5"/>
  <c r="AL1381" i="5"/>
  <c r="AK1381" i="5"/>
  <c r="AM374" i="5"/>
  <c r="AL374" i="5"/>
  <c r="AK374" i="5"/>
  <c r="AM737" i="5"/>
  <c r="AL737" i="5"/>
  <c r="AK737" i="5"/>
  <c r="AM203" i="5"/>
  <c r="AL203" i="5"/>
  <c r="AK203" i="5"/>
  <c r="AM397" i="5"/>
  <c r="AL397" i="5"/>
  <c r="AK397" i="5"/>
  <c r="AM657" i="5"/>
  <c r="AL657" i="5"/>
  <c r="AK657" i="5"/>
  <c r="AM828" i="5"/>
  <c r="AL828" i="5"/>
  <c r="AK828" i="5"/>
  <c r="AM1177" i="5"/>
  <c r="AL1177" i="5"/>
  <c r="AK1177" i="5"/>
  <c r="AM1001" i="5"/>
  <c r="AL1001" i="5"/>
  <c r="AK1001" i="5"/>
  <c r="AM1673" i="5"/>
  <c r="AL1673" i="5"/>
  <c r="AK1673" i="5"/>
  <c r="AM1779" i="5"/>
  <c r="AL1779" i="5"/>
  <c r="AK1779" i="5"/>
  <c r="AM1690" i="5"/>
  <c r="AL1690" i="5"/>
  <c r="AK1690" i="5"/>
  <c r="AM216" i="5"/>
  <c r="AL216" i="5"/>
  <c r="AK216" i="5"/>
  <c r="AM1166" i="5"/>
  <c r="AL1166" i="5"/>
  <c r="AK1166" i="5"/>
  <c r="AM1712" i="5"/>
  <c r="AL1712" i="5"/>
  <c r="AK1712" i="5"/>
  <c r="AM1801" i="5"/>
  <c r="AL1801" i="5"/>
  <c r="AK1801" i="5"/>
  <c r="AM433" i="5"/>
  <c r="AL433" i="5"/>
  <c r="AK433" i="5"/>
  <c r="AM195" i="5"/>
  <c r="AL195" i="5"/>
  <c r="AK195" i="5"/>
  <c r="AM428" i="5"/>
  <c r="AL428" i="5"/>
  <c r="AK428" i="5"/>
  <c r="AM592" i="5"/>
  <c r="AL592" i="5"/>
  <c r="AK592" i="5"/>
  <c r="AM666" i="5"/>
  <c r="AL666" i="5"/>
  <c r="AK666" i="5"/>
  <c r="AM1157" i="5"/>
  <c r="AL1157" i="5"/>
  <c r="AK1157" i="5"/>
  <c r="AM757" i="5"/>
  <c r="AL757" i="5"/>
  <c r="AK757" i="5"/>
  <c r="AM1721" i="5"/>
  <c r="AL1721" i="5"/>
  <c r="AK1721" i="5"/>
  <c r="AM1345" i="5"/>
  <c r="AL1345" i="5"/>
  <c r="AK1345" i="5"/>
  <c r="AM1702" i="5"/>
  <c r="AL1702" i="5"/>
  <c r="AK1702" i="5"/>
  <c r="AM1749" i="5"/>
  <c r="AL1749" i="5"/>
  <c r="AK1749" i="5"/>
  <c r="AM617" i="5"/>
  <c r="AL617" i="5"/>
  <c r="AK617" i="5"/>
  <c r="AM217" i="5"/>
  <c r="AL217" i="5"/>
  <c r="AK217" i="5"/>
  <c r="AM690" i="5"/>
  <c r="AL690" i="5"/>
  <c r="AK690" i="5"/>
  <c r="AM1167" i="5"/>
  <c r="AK1167" i="5"/>
  <c r="AL1167" i="5"/>
  <c r="AM1292" i="5"/>
  <c r="AL1292" i="5"/>
  <c r="AK1292" i="5"/>
  <c r="AM170" i="5"/>
  <c r="AL170" i="5"/>
  <c r="AK170" i="5"/>
  <c r="AM290" i="5"/>
  <c r="AL290" i="5"/>
  <c r="AK290" i="5"/>
  <c r="AM552" i="5"/>
  <c r="AL552" i="5"/>
  <c r="AK552" i="5"/>
  <c r="AM1096" i="5"/>
  <c r="AL1096" i="5"/>
  <c r="AK1096" i="5"/>
  <c r="AM978" i="5"/>
  <c r="AL978" i="5"/>
  <c r="AK978" i="5"/>
  <c r="AM1586" i="5"/>
  <c r="AL1586" i="5"/>
  <c r="AK1586" i="5"/>
  <c r="AM1344" i="5"/>
  <c r="AL1344" i="5"/>
  <c r="AK1344" i="5"/>
  <c r="AM1240" i="5"/>
  <c r="AL1240" i="5"/>
  <c r="AK1240" i="5"/>
  <c r="AM1488" i="5"/>
  <c r="AL1488" i="5"/>
  <c r="AK1488" i="5"/>
  <c r="AM20" i="5"/>
  <c r="AL20" i="5"/>
  <c r="AK20" i="5"/>
  <c r="AM1391" i="5"/>
  <c r="AK1391" i="5"/>
  <c r="AL1391" i="5"/>
  <c r="AM645" i="5"/>
  <c r="AL645" i="5"/>
  <c r="AK645" i="5"/>
  <c r="AM631" i="5"/>
  <c r="AL631" i="5"/>
  <c r="AK631" i="5"/>
  <c r="AM49" i="5"/>
  <c r="AL49" i="5"/>
  <c r="AK49" i="5"/>
  <c r="AM1310" i="5"/>
  <c r="AL1310" i="5"/>
  <c r="AK1310" i="5"/>
  <c r="AM1269" i="5"/>
  <c r="AL1269" i="5"/>
  <c r="AK1269" i="5"/>
  <c r="AM1040" i="5"/>
  <c r="AL1040" i="5"/>
  <c r="AK1040" i="5"/>
  <c r="AM983" i="5"/>
  <c r="AL983" i="5"/>
  <c r="AK983" i="5"/>
  <c r="AM445" i="5"/>
  <c r="AL445" i="5"/>
  <c r="AK445" i="5"/>
  <c r="AM1067" i="5"/>
  <c r="AL1067" i="5"/>
  <c r="AK1067" i="5"/>
  <c r="AM57" i="5"/>
  <c r="AL57" i="5"/>
  <c r="AK57" i="5"/>
  <c r="AL1384" i="5"/>
  <c r="AM1384" i="5"/>
  <c r="AK1384" i="5"/>
  <c r="AL1771" i="5"/>
  <c r="AM1771" i="5"/>
  <c r="AK1771" i="5"/>
  <c r="AM1301" i="5"/>
  <c r="AL1301" i="5"/>
  <c r="AK1301" i="5"/>
  <c r="AM1111" i="5"/>
  <c r="AL1111" i="5"/>
  <c r="AK1111" i="5"/>
  <c r="AM650" i="5"/>
  <c r="AL650" i="5"/>
  <c r="AK650" i="5"/>
  <c r="AM1064" i="5"/>
  <c r="AL1064" i="5"/>
  <c r="AK1064" i="5"/>
  <c r="AM1447" i="5"/>
  <c r="AL1447" i="5"/>
  <c r="AK1447" i="5"/>
  <c r="AM916" i="5"/>
  <c r="AL916" i="5"/>
  <c r="AK916" i="5"/>
  <c r="AM1403" i="5"/>
  <c r="AL1403" i="5"/>
  <c r="AK1403" i="5"/>
  <c r="AM1186" i="5"/>
  <c r="AL1186" i="5"/>
  <c r="AK1186" i="5"/>
  <c r="AM1302" i="5"/>
  <c r="AL1302" i="5"/>
  <c r="AK1302" i="5"/>
  <c r="AM172" i="5"/>
  <c r="AL172" i="5"/>
  <c r="AK172" i="5"/>
  <c r="AM726" i="5"/>
  <c r="AL726" i="5"/>
  <c r="AK726" i="5"/>
  <c r="AM184" i="5"/>
  <c r="AL184" i="5"/>
  <c r="AK184" i="5"/>
  <c r="AM409" i="5"/>
  <c r="AL409" i="5"/>
  <c r="AK409" i="5"/>
  <c r="AM652" i="5"/>
  <c r="AL652" i="5"/>
  <c r="AK652" i="5"/>
  <c r="AM947" i="5"/>
  <c r="AL947" i="5"/>
  <c r="AK947" i="5"/>
  <c r="AM1194" i="5"/>
  <c r="AL1194" i="5"/>
  <c r="AK1194" i="5"/>
  <c r="AM913" i="5"/>
  <c r="AL913" i="5"/>
  <c r="AK913" i="5"/>
  <c r="AM1243" i="5"/>
  <c r="AK1243" i="5"/>
  <c r="AL1243" i="5"/>
  <c r="AM1445" i="5"/>
  <c r="AL1445" i="5"/>
  <c r="AK1445" i="5"/>
  <c r="AM1777" i="5"/>
  <c r="AL1777" i="5"/>
  <c r="AK1777" i="5"/>
  <c r="AM1696" i="5"/>
  <c r="AL1696" i="5"/>
  <c r="AK1696" i="5"/>
  <c r="AM197" i="5"/>
  <c r="AL197" i="5"/>
  <c r="AK197" i="5"/>
  <c r="AM325" i="5"/>
  <c r="AL325" i="5"/>
  <c r="AK325" i="5"/>
  <c r="AM602" i="5"/>
  <c r="AL602" i="5"/>
  <c r="AK602" i="5"/>
  <c r="AM940" i="5"/>
  <c r="AL940" i="5"/>
  <c r="AK940" i="5"/>
  <c r="AM1219" i="5"/>
  <c r="AL1219" i="5"/>
  <c r="AK1219" i="5"/>
  <c r="AM1014" i="5"/>
  <c r="AL1014" i="5"/>
  <c r="AK1014" i="5"/>
  <c r="AM1312" i="5"/>
  <c r="AL1312" i="5"/>
  <c r="AK1312" i="5"/>
  <c r="AM1449" i="5"/>
  <c r="AL1449" i="5"/>
  <c r="AK1449" i="5"/>
  <c r="AM1780" i="5"/>
  <c r="AL1780" i="5"/>
  <c r="AK1780" i="5"/>
  <c r="AM1422" i="5"/>
  <c r="AL1422" i="5"/>
  <c r="AK1422" i="5"/>
  <c r="AM240" i="5"/>
  <c r="AL240" i="5"/>
  <c r="AK240" i="5"/>
  <c r="AM95" i="5"/>
  <c r="AL95" i="5"/>
  <c r="AK95" i="5"/>
  <c r="AM174" i="5"/>
  <c r="AL174" i="5"/>
  <c r="AK174" i="5"/>
  <c r="AM423" i="5"/>
  <c r="AL423" i="5"/>
  <c r="AK423" i="5"/>
  <c r="AM628" i="5"/>
  <c r="AL628" i="5"/>
  <c r="AK628" i="5"/>
  <c r="AM923" i="5"/>
  <c r="AL923" i="5"/>
  <c r="AK923" i="5"/>
  <c r="AM1172" i="5"/>
  <c r="AL1172" i="5"/>
  <c r="AK1172" i="5"/>
  <c r="AM366" i="5"/>
  <c r="AL366" i="5"/>
  <c r="AK366" i="5"/>
  <c r="AM1802" i="5"/>
  <c r="AL1802" i="5"/>
  <c r="AK1802" i="5"/>
  <c r="AM1309" i="5"/>
  <c r="AL1309" i="5"/>
  <c r="AK1309" i="5"/>
  <c r="AM1711" i="5"/>
  <c r="AK1711" i="5"/>
  <c r="AL1711" i="5"/>
  <c r="AM1407" i="5"/>
  <c r="AK1407" i="5"/>
  <c r="AL1407" i="5"/>
  <c r="AM151" i="5"/>
  <c r="AL151" i="5"/>
  <c r="AK151" i="5"/>
  <c r="AM401" i="5"/>
  <c r="AL401" i="5"/>
  <c r="AK401" i="5"/>
  <c r="AM525" i="5"/>
  <c r="AL525" i="5"/>
  <c r="AK525" i="5"/>
  <c r="AM831" i="5"/>
  <c r="AK831" i="5"/>
  <c r="AL831" i="5"/>
  <c r="AM1125" i="5"/>
  <c r="AL1125" i="5"/>
  <c r="AK1125" i="5"/>
  <c r="AM613" i="5"/>
  <c r="AL613" i="5"/>
  <c r="AK613" i="5"/>
  <c r="AM1733" i="5"/>
  <c r="AL1733" i="5"/>
  <c r="AK1733" i="5"/>
  <c r="AM1803" i="5"/>
  <c r="AL1803" i="5"/>
  <c r="AK1803" i="5"/>
  <c r="AM1678" i="5"/>
  <c r="AL1678" i="5"/>
  <c r="AK1678" i="5"/>
  <c r="AM1753" i="5"/>
  <c r="AL1753" i="5"/>
  <c r="AK1753" i="5"/>
  <c r="AM137" i="5"/>
  <c r="AL137" i="5"/>
  <c r="AK137" i="5"/>
  <c r="AM250" i="5"/>
  <c r="AL250" i="5"/>
  <c r="AK250" i="5"/>
  <c r="AM571" i="5"/>
  <c r="AL571" i="5"/>
  <c r="AK571" i="5"/>
  <c r="AM400" i="5"/>
  <c r="AL400" i="5"/>
  <c r="AK400" i="5"/>
  <c r="AM1102" i="5"/>
  <c r="AL1102" i="5"/>
  <c r="AK1102" i="5"/>
  <c r="AM663" i="5"/>
  <c r="AL663" i="5"/>
  <c r="AK663" i="5"/>
  <c r="AM1241" i="5"/>
  <c r="AL1241" i="5"/>
  <c r="AK1241" i="5"/>
  <c r="AM817" i="5"/>
  <c r="AL817" i="5"/>
  <c r="AK817" i="5"/>
  <c r="AM165" i="5"/>
  <c r="AL165" i="5"/>
  <c r="AK165" i="5"/>
  <c r="AM356" i="5"/>
  <c r="AL356" i="5"/>
  <c r="AK356" i="5"/>
  <c r="AM681" i="5"/>
  <c r="AL681" i="5"/>
  <c r="AK681" i="5"/>
  <c r="AM959" i="5"/>
  <c r="AK959" i="5"/>
  <c r="AL959" i="5"/>
  <c r="AM1199" i="5"/>
  <c r="AK1199" i="5"/>
  <c r="AL1199" i="5"/>
  <c r="AM903" i="5"/>
  <c r="AL903" i="5"/>
  <c r="AK903" i="5"/>
  <c r="AM1328" i="5"/>
  <c r="AL1328" i="5"/>
  <c r="AK1328" i="5"/>
  <c r="AM1513" i="5"/>
  <c r="AL1513" i="5"/>
  <c r="AK1513" i="5"/>
  <c r="AM1363" i="5"/>
  <c r="AL1363" i="5"/>
  <c r="AK1363" i="5"/>
  <c r="AL103" i="5"/>
  <c r="AK103" i="5"/>
  <c r="AM103" i="5"/>
  <c r="AM293" i="5"/>
  <c r="AL293" i="5"/>
  <c r="AK293" i="5"/>
  <c r="AM244" i="5"/>
  <c r="AL244" i="5"/>
  <c r="AK244" i="5"/>
  <c r="AM785" i="5"/>
  <c r="AL785" i="5"/>
  <c r="AK785" i="5"/>
  <c r="AM1080" i="5"/>
  <c r="AL1080" i="5"/>
  <c r="AK1080" i="5"/>
  <c r="AM706" i="5"/>
  <c r="AL706" i="5"/>
  <c r="AK706" i="5"/>
  <c r="AM1023" i="5"/>
  <c r="AK1023" i="5"/>
  <c r="AL1023" i="5"/>
  <c r="AM1332" i="5"/>
  <c r="AL1332" i="5"/>
  <c r="AK1332" i="5"/>
  <c r="AM1469" i="5"/>
  <c r="AL1469" i="5"/>
  <c r="AK1469" i="5"/>
  <c r="AM1367" i="5"/>
  <c r="AL1367" i="5"/>
  <c r="AK1367" i="5"/>
  <c r="AM346" i="5"/>
  <c r="AL346" i="5"/>
  <c r="AK346" i="5"/>
  <c r="AM1034" i="5"/>
  <c r="AL1034" i="5"/>
  <c r="AK1034" i="5"/>
  <c r="AM646" i="5"/>
  <c r="AL646" i="5"/>
  <c r="AK646" i="5"/>
  <c r="AM1477" i="5"/>
  <c r="AL1477" i="5"/>
  <c r="AK1477" i="5"/>
  <c r="AM548" i="5"/>
  <c r="AL548" i="5"/>
  <c r="AK548" i="5"/>
  <c r="AM14" i="5"/>
  <c r="AL14" i="5"/>
  <c r="AK14" i="5"/>
  <c r="AM215" i="5"/>
  <c r="AL215" i="5"/>
  <c r="AK215" i="5"/>
  <c r="AM451" i="5"/>
  <c r="AL451" i="5"/>
  <c r="AK451" i="5"/>
  <c r="AM801" i="5"/>
  <c r="AL801" i="5"/>
  <c r="AK801" i="5"/>
  <c r="AM935" i="5"/>
  <c r="AL935" i="5"/>
  <c r="AK935" i="5"/>
  <c r="AM1189" i="5"/>
  <c r="AL1189" i="5"/>
  <c r="AK1189" i="5"/>
  <c r="AM934" i="5"/>
  <c r="AL934" i="5"/>
  <c r="AK934" i="5"/>
  <c r="AM1709" i="5"/>
  <c r="AL1709" i="5"/>
  <c r="AK1709" i="5"/>
  <c r="AM1815" i="5"/>
  <c r="AL1815" i="5"/>
  <c r="AK1815" i="5"/>
  <c r="AM1726" i="5"/>
  <c r="AL1726" i="5"/>
  <c r="AK1726" i="5"/>
  <c r="AM427" i="5"/>
  <c r="AL427" i="5"/>
  <c r="AK427" i="5"/>
  <c r="AM1190" i="5"/>
  <c r="AL1190" i="5"/>
  <c r="AK1190" i="5"/>
  <c r="AL1784" i="5"/>
  <c r="AM1784" i="5"/>
  <c r="AK1784" i="5"/>
  <c r="AM1327" i="5"/>
  <c r="AK1327" i="5"/>
  <c r="AL1327" i="5"/>
  <c r="AM6" i="5"/>
  <c r="AL6" i="5"/>
  <c r="AK6" i="5"/>
  <c r="AM207" i="5"/>
  <c r="AL207" i="5"/>
  <c r="AK207" i="5"/>
  <c r="AM349" i="5"/>
  <c r="AL349" i="5"/>
  <c r="AK349" i="5"/>
  <c r="AM736" i="5"/>
  <c r="AL736" i="5"/>
  <c r="AK736" i="5"/>
  <c r="AM810" i="5"/>
  <c r="AL810" i="5"/>
  <c r="AK810" i="5"/>
  <c r="AM1169" i="5"/>
  <c r="AL1169" i="5"/>
  <c r="AK1169" i="5"/>
  <c r="AM953" i="5"/>
  <c r="AL953" i="5"/>
  <c r="AK953" i="5"/>
  <c r="AM1757" i="5"/>
  <c r="AL1757" i="5"/>
  <c r="AK1757" i="5"/>
  <c r="AM1393" i="5"/>
  <c r="AL1393" i="5"/>
  <c r="AK1393" i="5"/>
  <c r="AM1738" i="5"/>
  <c r="AL1738" i="5"/>
  <c r="AK1738" i="5"/>
  <c r="AM399" i="5"/>
  <c r="AL399" i="5"/>
  <c r="AK399" i="5"/>
  <c r="AM848" i="5"/>
  <c r="AL848" i="5"/>
  <c r="AK848" i="5"/>
  <c r="AM229" i="5"/>
  <c r="AL229" i="5"/>
  <c r="AK229" i="5"/>
  <c r="AM911" i="5"/>
  <c r="AK911" i="5"/>
  <c r="AL911" i="5"/>
  <c r="AM1179" i="5"/>
  <c r="AL1179" i="5"/>
  <c r="AK1179" i="5"/>
  <c r="AM968" i="5"/>
  <c r="AL968" i="5"/>
  <c r="AK968" i="5"/>
  <c r="AM182" i="5"/>
  <c r="AL182" i="5"/>
  <c r="AK182" i="5"/>
  <c r="AM239" i="5"/>
  <c r="AL239" i="5"/>
  <c r="AK239" i="5"/>
  <c r="AM643" i="5"/>
  <c r="AL643" i="5"/>
  <c r="AK643" i="5"/>
  <c r="AM1108" i="5"/>
  <c r="AL1108" i="5"/>
  <c r="AK1108" i="5"/>
  <c r="AL615" i="5"/>
  <c r="AM615" i="5"/>
  <c r="AK615" i="5"/>
  <c r="AM1331" i="5"/>
  <c r="AL1331" i="5"/>
  <c r="AK1331" i="5"/>
  <c r="AM1392" i="5"/>
  <c r="AL1392" i="5"/>
  <c r="AK1392" i="5"/>
  <c r="AM1398" i="5"/>
  <c r="AL1398" i="5"/>
  <c r="AK1398" i="5"/>
  <c r="AM1536" i="5"/>
  <c r="AL1536" i="5"/>
  <c r="AK1536" i="5"/>
  <c r="AL601" i="5"/>
  <c r="AM697" i="5"/>
  <c r="AL697" i="5"/>
  <c r="AK697" i="5"/>
  <c r="AM1404" i="5"/>
  <c r="AL1404" i="5"/>
  <c r="AK1404" i="5"/>
  <c r="AM1347" i="5"/>
  <c r="AL1347" i="5"/>
  <c r="AK1347" i="5"/>
  <c r="AM1819" i="5"/>
  <c r="AL1819" i="5"/>
  <c r="AK1819" i="5"/>
  <c r="AM164" i="5"/>
  <c r="AL164" i="5"/>
  <c r="AK164" i="5"/>
  <c r="AM1500" i="5"/>
  <c r="AL1500" i="5"/>
  <c r="AK1500" i="5"/>
  <c r="AM443" i="5"/>
  <c r="AL443" i="5"/>
  <c r="AK443" i="5"/>
  <c r="AM597" i="5"/>
  <c r="AL597" i="5"/>
  <c r="AK597" i="5"/>
  <c r="AM1577" i="5"/>
  <c r="AL1577" i="5"/>
  <c r="AK1577" i="5"/>
  <c r="AM619" i="5"/>
  <c r="AL619" i="5"/>
  <c r="AK619" i="5"/>
  <c r="AM1583" i="5"/>
  <c r="AK1583" i="5"/>
  <c r="AL1583" i="5"/>
  <c r="AM1617" i="5"/>
  <c r="AL1617" i="5"/>
  <c r="AK1617" i="5"/>
  <c r="AM63" i="5"/>
  <c r="AL63" i="5"/>
  <c r="AK63" i="5"/>
  <c r="AM980" i="5"/>
  <c r="AL980" i="5"/>
  <c r="AK980" i="5"/>
  <c r="AM973" i="5"/>
  <c r="AL973" i="5"/>
  <c r="AK973" i="5"/>
  <c r="AM422" i="5"/>
  <c r="AL422" i="5"/>
  <c r="AK422" i="5"/>
  <c r="AM306" i="5"/>
  <c r="AL306" i="5"/>
  <c r="AK306" i="5"/>
  <c r="AM148" i="5"/>
  <c r="AL148" i="5"/>
  <c r="AK148" i="5"/>
  <c r="AM265" i="5"/>
  <c r="AL265" i="5"/>
  <c r="AK265" i="5"/>
  <c r="AM196" i="5"/>
  <c r="AL196" i="5"/>
  <c r="AK196" i="5"/>
  <c r="AM437" i="5"/>
  <c r="AL437" i="5"/>
  <c r="AK437" i="5"/>
  <c r="AM796" i="5"/>
  <c r="AL796" i="5"/>
  <c r="AK796" i="5"/>
  <c r="AM880" i="5"/>
  <c r="AL880" i="5"/>
  <c r="AK880" i="5"/>
  <c r="AM1206" i="5"/>
  <c r="AL1206" i="5"/>
  <c r="AK1206" i="5"/>
  <c r="AM994" i="5"/>
  <c r="AL994" i="5"/>
  <c r="AK994" i="5"/>
  <c r="AM1308" i="5"/>
  <c r="AL1308" i="5"/>
  <c r="AK1308" i="5"/>
  <c r="AM1493" i="5"/>
  <c r="AL1493" i="5"/>
  <c r="AK1493" i="5"/>
  <c r="AM1813" i="5"/>
  <c r="AL1813" i="5"/>
  <c r="AK1813" i="5"/>
  <c r="AM8" i="5"/>
  <c r="AL8" i="5"/>
  <c r="AK8" i="5"/>
  <c r="AM209" i="5"/>
  <c r="AL209" i="5"/>
  <c r="AK209" i="5"/>
  <c r="AM439" i="5"/>
  <c r="AL439" i="5"/>
  <c r="AK439" i="5"/>
  <c r="AM746" i="5"/>
  <c r="AL746" i="5"/>
  <c r="AK746" i="5"/>
  <c r="AM1039" i="5"/>
  <c r="AK1039" i="5"/>
  <c r="AL1039" i="5"/>
  <c r="AM1231" i="5"/>
  <c r="AK1231" i="5"/>
  <c r="AL1231" i="5"/>
  <c r="AM644" i="5"/>
  <c r="AL644" i="5"/>
  <c r="AK644" i="5"/>
  <c r="AM1360" i="5"/>
  <c r="AL1360" i="5"/>
  <c r="AK1360" i="5"/>
  <c r="AM1497" i="5"/>
  <c r="AL1497" i="5"/>
  <c r="AK1497" i="5"/>
  <c r="AM1816" i="5"/>
  <c r="AL1816" i="5"/>
  <c r="AK1816" i="5"/>
  <c r="AM1609" i="5"/>
  <c r="AL1609" i="5"/>
  <c r="AK1609" i="5"/>
  <c r="AM262" i="5"/>
  <c r="AL262" i="5"/>
  <c r="AK262" i="5"/>
  <c r="AM107" i="5"/>
  <c r="AL107" i="5"/>
  <c r="AK107" i="5"/>
  <c r="AM186" i="5"/>
  <c r="AL186" i="5"/>
  <c r="AK186" i="5"/>
  <c r="AM320" i="5"/>
  <c r="AL320" i="5"/>
  <c r="AK320" i="5"/>
  <c r="AM772" i="5"/>
  <c r="AL772" i="5"/>
  <c r="AK772" i="5"/>
  <c r="AM812" i="5"/>
  <c r="AL812" i="5"/>
  <c r="AK812" i="5"/>
  <c r="AM1184" i="5"/>
  <c r="AL1184" i="5"/>
  <c r="AK1184" i="5"/>
  <c r="AM930" i="5"/>
  <c r="AL930" i="5"/>
  <c r="AK930" i="5"/>
  <c r="AM1258" i="5"/>
  <c r="AL1258" i="5"/>
  <c r="AK1258" i="5"/>
  <c r="AM1357" i="5"/>
  <c r="AL1357" i="5"/>
  <c r="AK1357" i="5"/>
  <c r="AM1747" i="5"/>
  <c r="AL1747" i="5"/>
  <c r="AK1747" i="5"/>
  <c r="AM1293" i="5"/>
  <c r="AL1293" i="5"/>
  <c r="AK1293" i="5"/>
  <c r="AM163" i="5"/>
  <c r="AL163" i="5"/>
  <c r="AK163" i="5"/>
  <c r="AM334" i="5"/>
  <c r="AL334" i="5"/>
  <c r="AK334" i="5"/>
  <c r="AM671" i="5"/>
  <c r="AL671" i="5"/>
  <c r="AK671" i="5"/>
  <c r="AM843" i="5"/>
  <c r="AK843" i="5"/>
  <c r="AL843" i="5"/>
  <c r="AM1137" i="5"/>
  <c r="AL1137" i="5"/>
  <c r="AK1137" i="5"/>
  <c r="AM905" i="5"/>
  <c r="AL905" i="5"/>
  <c r="AK905" i="5"/>
  <c r="AM1769" i="5"/>
  <c r="AL1769" i="5"/>
  <c r="AK1769" i="5"/>
  <c r="AM1313" i="5"/>
  <c r="AL1313" i="5"/>
  <c r="AK1313" i="5"/>
  <c r="AM1714" i="5"/>
  <c r="AL1714" i="5"/>
  <c r="AK1714" i="5"/>
  <c r="AM1455" i="5"/>
  <c r="AK1455" i="5"/>
  <c r="AL1455" i="5"/>
  <c r="AM140" i="5"/>
  <c r="AL140" i="5"/>
  <c r="AK140" i="5"/>
  <c r="AM394" i="5"/>
  <c r="AL394" i="5"/>
  <c r="AK394" i="5"/>
  <c r="AM316" i="5"/>
  <c r="AL316" i="5"/>
  <c r="AK316" i="5"/>
  <c r="AM539" i="5"/>
  <c r="AL539" i="5"/>
  <c r="AK539" i="5"/>
  <c r="AM1114" i="5"/>
  <c r="AL1114" i="5"/>
  <c r="AK1114" i="5"/>
  <c r="AM979" i="5"/>
  <c r="AL979" i="5"/>
  <c r="AK979" i="5"/>
  <c r="AM1277" i="5"/>
  <c r="AL1277" i="5"/>
  <c r="AK1277" i="5"/>
  <c r="AM1713" i="5"/>
  <c r="AL1713" i="5"/>
  <c r="AK1713" i="5"/>
  <c r="AM177" i="5"/>
  <c r="AL177" i="5"/>
  <c r="AK177" i="5"/>
  <c r="AM277" i="5"/>
  <c r="AL277" i="5"/>
  <c r="AK277" i="5"/>
  <c r="AM429" i="5"/>
  <c r="AL429" i="5"/>
  <c r="AK429" i="5"/>
  <c r="AM892" i="5"/>
  <c r="AL892" i="5"/>
  <c r="AK892" i="5"/>
  <c r="AM1211" i="5"/>
  <c r="AL1211" i="5"/>
  <c r="AK1211" i="5"/>
  <c r="AM999" i="5"/>
  <c r="AL999" i="5"/>
  <c r="AK999" i="5"/>
  <c r="AM1376" i="5"/>
  <c r="AL1376" i="5"/>
  <c r="AK1376" i="5"/>
  <c r="AM1561" i="5"/>
  <c r="AL1561" i="5"/>
  <c r="AK1561" i="5"/>
  <c r="AM1411" i="5"/>
  <c r="AL1411" i="5"/>
  <c r="AK1411" i="5"/>
  <c r="AM115" i="5"/>
  <c r="AL115" i="5"/>
  <c r="AK115" i="5"/>
  <c r="AM370" i="5"/>
  <c r="AL370" i="5"/>
  <c r="AK370" i="5"/>
  <c r="AM561" i="5"/>
  <c r="AL561" i="5"/>
  <c r="AK561" i="5"/>
  <c r="AM834" i="5"/>
  <c r="AL834" i="5"/>
  <c r="AK834" i="5"/>
  <c r="AM1092" i="5"/>
  <c r="AL1092" i="5"/>
  <c r="AK1092" i="5"/>
  <c r="AM878" i="5"/>
  <c r="AL878" i="5"/>
  <c r="AK878" i="5"/>
  <c r="AM982" i="5"/>
  <c r="AL982" i="5"/>
  <c r="AK982" i="5"/>
  <c r="AM1380" i="5"/>
  <c r="AL1380" i="5"/>
  <c r="AK1380" i="5"/>
  <c r="AM1517" i="5"/>
  <c r="AL1517" i="5"/>
  <c r="AK1517" i="5"/>
  <c r="AM1415" i="5"/>
  <c r="AL1415" i="5"/>
  <c r="AK1415" i="5"/>
  <c r="AM248" i="5"/>
  <c r="AL248" i="5"/>
  <c r="AK248" i="5"/>
  <c r="AM1058" i="5"/>
  <c r="AL1058" i="5"/>
  <c r="AK1058" i="5"/>
  <c r="AM992" i="5"/>
  <c r="AL992" i="5"/>
  <c r="AK992" i="5"/>
  <c r="AM1525" i="5"/>
  <c r="AL1525" i="5"/>
  <c r="AK1525" i="5"/>
  <c r="AM743" i="5"/>
  <c r="AL743" i="5"/>
  <c r="AK743" i="5"/>
  <c r="AM26" i="5"/>
  <c r="AK26" i="5"/>
  <c r="AL26" i="5"/>
  <c r="AM227" i="5"/>
  <c r="AL227" i="5"/>
  <c r="AK227" i="5"/>
  <c r="AM475" i="5"/>
  <c r="AL475" i="5"/>
  <c r="AK475" i="5"/>
  <c r="AM674" i="5"/>
  <c r="AL674" i="5"/>
  <c r="AK674" i="5"/>
  <c r="AM868" i="5"/>
  <c r="AL868" i="5"/>
  <c r="AK868" i="5"/>
  <c r="AM1201" i="5"/>
  <c r="AL1201" i="5"/>
  <c r="AK1201" i="5"/>
  <c r="AM942" i="5"/>
  <c r="AL942" i="5"/>
  <c r="AK942" i="5"/>
  <c r="AM1745" i="5"/>
  <c r="AL1745" i="5"/>
  <c r="AK1745" i="5"/>
  <c r="AM1329" i="5"/>
  <c r="AL1329" i="5"/>
  <c r="AK1329" i="5"/>
  <c r="AM1762" i="5"/>
  <c r="AL1762" i="5"/>
  <c r="AK1762" i="5"/>
  <c r="AM453" i="5"/>
  <c r="AL453" i="5"/>
  <c r="AK453" i="5"/>
  <c r="AM1214" i="5"/>
  <c r="AL1214" i="5"/>
  <c r="AK1214" i="5"/>
  <c r="AM1340" i="5"/>
  <c r="AL1340" i="5"/>
  <c r="AK1340" i="5"/>
  <c r="AM1423" i="5"/>
  <c r="AK1423" i="5"/>
  <c r="AL1423" i="5"/>
  <c r="AM18" i="5"/>
  <c r="AL18" i="5"/>
  <c r="AK18" i="5"/>
  <c r="AM219" i="5"/>
  <c r="AL219" i="5"/>
  <c r="AK219" i="5"/>
  <c r="AM435" i="5"/>
  <c r="AL435" i="5"/>
  <c r="AK435" i="5"/>
  <c r="AM542" i="5"/>
  <c r="AL542" i="5"/>
  <c r="AK542" i="5"/>
  <c r="AM819" i="5"/>
  <c r="AL819" i="5"/>
  <c r="AK819" i="5"/>
  <c r="AM1181" i="5"/>
  <c r="AL1181" i="5"/>
  <c r="AK1181" i="5"/>
  <c r="AM730" i="5"/>
  <c r="AL730" i="5"/>
  <c r="AK730" i="5"/>
  <c r="AM1793" i="5"/>
  <c r="AL1793" i="5"/>
  <c r="AK1793" i="5"/>
  <c r="AM1441" i="5"/>
  <c r="AL1441" i="5"/>
  <c r="AK1441" i="5"/>
  <c r="AM1774" i="5"/>
  <c r="AL1774" i="5"/>
  <c r="AK1774" i="5"/>
  <c r="AM844" i="5"/>
  <c r="AL844" i="5"/>
  <c r="AK844" i="5"/>
  <c r="AM711" i="5"/>
  <c r="AL711" i="5"/>
  <c r="AK711" i="5"/>
  <c r="AM329" i="5"/>
  <c r="AL329" i="5"/>
  <c r="AK329" i="5"/>
  <c r="AM371" i="5"/>
  <c r="AL371" i="5"/>
  <c r="AK371" i="5"/>
  <c r="AM1191" i="5"/>
  <c r="AL1191" i="5"/>
  <c r="AK1191" i="5"/>
  <c r="AM1607" i="5"/>
  <c r="AL1607" i="5"/>
  <c r="AK1607" i="5"/>
  <c r="AM194" i="5"/>
  <c r="AL194" i="5"/>
  <c r="AK194" i="5"/>
  <c r="AM531" i="5"/>
  <c r="AL531" i="5"/>
  <c r="AK531" i="5"/>
  <c r="AM787" i="5"/>
  <c r="AL787" i="5"/>
  <c r="AK787" i="5"/>
  <c r="AM1132" i="5"/>
  <c r="AL1132" i="5"/>
  <c r="AK1132" i="5"/>
  <c r="AM249" i="5"/>
  <c r="AL249" i="5"/>
  <c r="AK249" i="5"/>
  <c r="AM1475" i="5"/>
  <c r="AL1475" i="5"/>
  <c r="AK1475" i="5"/>
  <c r="AM1337" i="5"/>
  <c r="AL1337" i="5"/>
  <c r="AK1337" i="5"/>
  <c r="AM1446" i="5"/>
  <c r="AL1446" i="5"/>
  <c r="AK1446" i="5"/>
  <c r="AM1584" i="5"/>
  <c r="AL1584" i="5"/>
  <c r="AK1584" i="5"/>
  <c r="AM601" i="5"/>
  <c r="AI501" i="5"/>
  <c r="AI932" i="5"/>
  <c r="AI1741" i="5"/>
  <c r="AI504" i="5"/>
  <c r="AI1207" i="5"/>
  <c r="AI1401" i="5"/>
  <c r="AI172" i="5"/>
  <c r="AI726" i="5"/>
  <c r="AI1796" i="5"/>
  <c r="AI1677" i="5"/>
  <c r="AI1803" i="5"/>
  <c r="AI1816" i="5"/>
  <c r="AI265" i="5"/>
  <c r="AI1182" i="5"/>
  <c r="AI1397" i="5"/>
  <c r="AI1819" i="5"/>
  <c r="AI1815" i="5"/>
  <c r="AI1802" i="5"/>
  <c r="AI755" i="5"/>
  <c r="AI1194" i="5"/>
  <c r="AI95" i="5"/>
  <c r="AI831" i="5"/>
  <c r="AI817" i="5"/>
  <c r="AI1023" i="5"/>
  <c r="AI801" i="5"/>
  <c r="AI6" i="5"/>
  <c r="AI399" i="5"/>
  <c r="AI848" i="5"/>
  <c r="AI437" i="5"/>
  <c r="AI1609" i="5"/>
  <c r="AI1747" i="5"/>
  <c r="AI140" i="5"/>
  <c r="AI316" i="5"/>
  <c r="AI1114" i="5"/>
  <c r="AI1561" i="5"/>
  <c r="AI1411" i="5"/>
  <c r="AI115" i="5"/>
  <c r="AI370" i="5"/>
  <c r="AI561" i="5"/>
  <c r="AI834" i="5"/>
  <c r="AI1092" i="5"/>
  <c r="AI878" i="5"/>
  <c r="AI982" i="5"/>
  <c r="AI1380" i="5"/>
  <c r="AI1517" i="5"/>
  <c r="AI1415" i="5"/>
  <c r="AI248" i="5"/>
  <c r="AI1058" i="5"/>
  <c r="AI992" i="5"/>
  <c r="AI1525" i="5"/>
  <c r="AI743" i="5"/>
  <c r="AI26" i="5"/>
  <c r="AI227" i="5"/>
  <c r="AI475" i="5"/>
  <c r="AI674" i="5"/>
  <c r="AI868" i="5"/>
  <c r="AI1201" i="5"/>
  <c r="AI942" i="5"/>
  <c r="AI1745" i="5"/>
  <c r="AI1329" i="5"/>
  <c r="AI1762" i="5"/>
  <c r="AI453" i="5"/>
  <c r="AI1214" i="5"/>
  <c r="AI1340" i="5"/>
  <c r="AI1423" i="5"/>
  <c r="AI18" i="5"/>
  <c r="AI219" i="5"/>
  <c r="AI435" i="5"/>
  <c r="AI542" i="5"/>
  <c r="AI819" i="5"/>
  <c r="AI1181" i="5"/>
  <c r="AI730" i="5"/>
  <c r="AI1793" i="5"/>
  <c r="AI1441" i="5"/>
  <c r="AI1774" i="5"/>
  <c r="AI844" i="5"/>
  <c r="AI711" i="5"/>
  <c r="AI329" i="5"/>
  <c r="AI371" i="5"/>
  <c r="AI1191" i="5"/>
  <c r="AI1607" i="5"/>
  <c r="AI194" i="5"/>
  <c r="AI531" i="5"/>
  <c r="AI787" i="5"/>
  <c r="AI1132" i="5"/>
  <c r="AI249" i="5"/>
  <c r="AI1475" i="5"/>
  <c r="AI1337" i="5"/>
  <c r="AI1446" i="5"/>
  <c r="AI1584" i="5"/>
  <c r="AI947" i="5"/>
  <c r="AI602" i="5"/>
  <c r="AI601" i="5"/>
  <c r="AI628" i="5"/>
  <c r="AI613" i="5"/>
  <c r="AI959" i="5"/>
  <c r="AI346" i="5"/>
  <c r="AI207" i="5"/>
  <c r="AI1392" i="5"/>
  <c r="AI880" i="5"/>
  <c r="AI644" i="5"/>
  <c r="AI1184" i="5"/>
  <c r="AI843" i="5"/>
  <c r="AI394" i="5"/>
  <c r="AI539" i="5"/>
  <c r="AI7" i="5"/>
  <c r="AI669" i="5"/>
  <c r="AI1024" i="5"/>
  <c r="AI1218" i="5"/>
  <c r="AI975" i="5"/>
  <c r="AI1356" i="5"/>
  <c r="AI1541" i="5"/>
  <c r="AI1343" i="5"/>
  <c r="AI20" i="5"/>
  <c r="AI221" i="5"/>
  <c r="AI463" i="5"/>
  <c r="AI679" i="5"/>
  <c r="AI1051" i="5"/>
  <c r="AI697" i="5"/>
  <c r="AI987" i="5"/>
  <c r="AI1408" i="5"/>
  <c r="AI1545" i="5"/>
  <c r="AI1267" i="5"/>
  <c r="AI1681" i="5"/>
  <c r="AI576" i="5"/>
  <c r="AI230" i="5"/>
  <c r="AI198" i="5"/>
  <c r="AI241" i="5"/>
  <c r="AI256" i="5"/>
  <c r="AI856" i="5"/>
  <c r="AI1196" i="5"/>
  <c r="AI781" i="5"/>
  <c r="AI1316" i="5"/>
  <c r="AI1405" i="5"/>
  <c r="AI1783" i="5"/>
  <c r="AI1246" i="5"/>
  <c r="AI652" i="5"/>
  <c r="AI1219" i="5"/>
  <c r="AI1172" i="5"/>
  <c r="AI1678" i="5"/>
  <c r="AI1328" i="5"/>
  <c r="AI1367" i="5"/>
  <c r="AI427" i="5"/>
  <c r="AI1108" i="5"/>
  <c r="AI196" i="5"/>
  <c r="AI1039" i="5"/>
  <c r="AI812" i="5"/>
  <c r="AI905" i="5"/>
  <c r="AI892" i="5"/>
  <c r="AI813" i="5"/>
  <c r="AI1038" i="5"/>
  <c r="AI1230" i="5"/>
  <c r="AI855" i="5"/>
  <c r="AI1404" i="5"/>
  <c r="AI1589" i="5"/>
  <c r="AI1391" i="5"/>
  <c r="AI32" i="5"/>
  <c r="AI233" i="5"/>
  <c r="AI487" i="5"/>
  <c r="AI431" i="5"/>
  <c r="AI1063" i="5"/>
  <c r="AI933" i="5"/>
  <c r="AI946" i="5"/>
  <c r="AI1456" i="5"/>
  <c r="AI1593" i="5"/>
  <c r="AI1347" i="5"/>
  <c r="AI1789" i="5"/>
  <c r="AI517" i="5"/>
  <c r="AI9" i="5"/>
  <c r="AI210" i="5"/>
  <c r="AI385" i="5"/>
  <c r="AI645" i="5"/>
  <c r="AI1000" i="5"/>
  <c r="AI1208" i="5"/>
  <c r="AI1021" i="5"/>
  <c r="AI1364" i="5"/>
  <c r="AI1453" i="5"/>
  <c r="AI10" i="5"/>
  <c r="AI187" i="5"/>
  <c r="AI380" i="5"/>
  <c r="AI357" i="5"/>
  <c r="AI762" i="5"/>
  <c r="AI870" i="5"/>
  <c r="AI325" i="5"/>
  <c r="AI923" i="5"/>
  <c r="AI1733" i="5"/>
  <c r="AI681" i="5"/>
  <c r="AI451" i="5"/>
  <c r="AI1536" i="5"/>
  <c r="AI439" i="5"/>
  <c r="AI320" i="5"/>
  <c r="AI1769" i="5"/>
  <c r="AI429" i="5"/>
  <c r="AI518" i="5"/>
  <c r="AI1439" i="5"/>
  <c r="AI326" i="5"/>
  <c r="AI612" i="5"/>
  <c r="AI1075" i="5"/>
  <c r="AI670" i="5"/>
  <c r="AI1268" i="5"/>
  <c r="AI1504" i="5"/>
  <c r="AI1276" i="5"/>
  <c r="AI1395" i="5"/>
  <c r="AI1359" i="5"/>
  <c r="AI546" i="5"/>
  <c r="AI21" i="5"/>
  <c r="AI222" i="5"/>
  <c r="AI441" i="5"/>
  <c r="AI789" i="5"/>
  <c r="AI1028" i="5"/>
  <c r="AI1220" i="5"/>
  <c r="AI915" i="5"/>
  <c r="AI1412" i="5"/>
  <c r="AI1501" i="5"/>
  <c r="AI1303" i="5"/>
  <c r="AI22" i="5"/>
  <c r="AI199" i="5"/>
  <c r="AI301" i="5"/>
  <c r="AI524" i="5"/>
  <c r="AI675" i="5"/>
  <c r="AI1173" i="5"/>
  <c r="AI990" i="5"/>
  <c r="AI1320" i="5"/>
  <c r="AI1457" i="5"/>
  <c r="AI1120" i="5"/>
  <c r="AI176" i="5"/>
  <c r="AI359" i="5"/>
  <c r="AI922" i="5"/>
  <c r="AI409" i="5"/>
  <c r="AI940" i="5"/>
  <c r="AI366" i="5"/>
  <c r="AI250" i="5"/>
  <c r="AI293" i="5"/>
  <c r="AI1393" i="5"/>
  <c r="AI911" i="5"/>
  <c r="AI1493" i="5"/>
  <c r="AI107" i="5"/>
  <c r="AI1137" i="5"/>
  <c r="AI277" i="5"/>
  <c r="AI220" i="5"/>
  <c r="AI963" i="5"/>
  <c r="AI410" i="5"/>
  <c r="AI570" i="5"/>
  <c r="AI1062" i="5"/>
  <c r="AI1017" i="5"/>
  <c r="AI521" i="5"/>
  <c r="AI1500" i="5"/>
  <c r="AI1310" i="5"/>
  <c r="AI1487" i="5"/>
  <c r="AI62" i="5"/>
  <c r="AI438" i="5"/>
  <c r="AI309" i="5"/>
  <c r="AI756" i="5"/>
  <c r="AI1087" i="5"/>
  <c r="AI866" i="5"/>
  <c r="AI1269" i="5"/>
  <c r="AI1552" i="5"/>
  <c r="AI1314" i="5"/>
  <c r="AI1443" i="5"/>
  <c r="AI1551" i="5"/>
  <c r="AI540" i="5"/>
  <c r="AI33" i="5"/>
  <c r="AI234" i="5"/>
  <c r="AI465" i="5"/>
  <c r="AI662" i="5"/>
  <c r="AI1040" i="5"/>
  <c r="AI1232" i="5"/>
  <c r="AI896" i="5"/>
  <c r="AI1460" i="5"/>
  <c r="AI1549" i="5"/>
  <c r="AI1351" i="5"/>
  <c r="AI34" i="5"/>
  <c r="AI211" i="5"/>
  <c r="AI443" i="5"/>
  <c r="AI1317" i="5"/>
  <c r="AI1777" i="5"/>
  <c r="AI1422" i="5"/>
  <c r="AI1309" i="5"/>
  <c r="AI571" i="5"/>
  <c r="AI903" i="5"/>
  <c r="AI1469" i="5"/>
  <c r="AI934" i="5"/>
  <c r="AI1757" i="5"/>
  <c r="AI182" i="5"/>
  <c r="AI1357" i="5"/>
  <c r="AI1455" i="5"/>
  <c r="AI979" i="5"/>
  <c r="AI19" i="5"/>
  <c r="AI873" i="5"/>
  <c r="AI61" i="5"/>
  <c r="AI282" i="5"/>
  <c r="AI686" i="5"/>
  <c r="AI1074" i="5"/>
  <c r="AI950" i="5"/>
  <c r="AI1265" i="5"/>
  <c r="AI1548" i="5"/>
  <c r="AI1358" i="5"/>
  <c r="AI1535" i="5"/>
  <c r="AI74" i="5"/>
  <c r="AI462" i="5"/>
  <c r="AI347" i="5"/>
  <c r="AI629" i="5"/>
  <c r="AI1099" i="5"/>
  <c r="AI1010" i="5"/>
  <c r="AI901" i="5"/>
  <c r="AI1261" i="5"/>
  <c r="AI1362" i="5"/>
  <c r="AI1491" i="5"/>
  <c r="AI15" i="5"/>
  <c r="AI599" i="5"/>
  <c r="AI51" i="5"/>
  <c r="AI355" i="5"/>
  <c r="AI489" i="5"/>
  <c r="AI806" i="5"/>
  <c r="AI1052" i="5"/>
  <c r="AI993" i="5"/>
  <c r="AI877" i="5"/>
  <c r="AI1508" i="5"/>
  <c r="AI1766" i="5"/>
  <c r="AI1696" i="5"/>
  <c r="AI240" i="5"/>
  <c r="AI1407" i="5"/>
  <c r="AI1753" i="5"/>
  <c r="AI356" i="5"/>
  <c r="AI1080" i="5"/>
  <c r="AI646" i="5"/>
  <c r="AI1190" i="5"/>
  <c r="AI1398" i="5"/>
  <c r="AI1206" i="5"/>
  <c r="AI1231" i="5"/>
  <c r="AI1258" i="5"/>
  <c r="AI1277" i="5"/>
  <c r="AI461" i="5"/>
  <c r="AI1050" i="5"/>
  <c r="AI73" i="5"/>
  <c r="AI1086" i="5"/>
  <c r="AI807" i="5"/>
  <c r="AI1301" i="5"/>
  <c r="AI1249" i="5"/>
  <c r="AI1406" i="5"/>
  <c r="AI1583" i="5"/>
  <c r="AI86" i="5"/>
  <c r="AI486" i="5"/>
  <c r="AI558" i="5"/>
  <c r="AI773" i="5"/>
  <c r="AI1111" i="5"/>
  <c r="AI943" i="5"/>
  <c r="AI1004" i="5"/>
  <c r="AI1617" i="5"/>
  <c r="AI1410" i="5"/>
  <c r="AI1539" i="5"/>
  <c r="AI1657" i="5"/>
  <c r="AI650" i="5"/>
  <c r="AI63" i="5"/>
  <c r="AI440" i="5"/>
  <c r="AI242" i="5"/>
  <c r="AI595" i="5"/>
  <c r="AI1064" i="5"/>
  <c r="AI926" i="5"/>
  <c r="AI980" i="5"/>
  <c r="AI162" i="5"/>
  <c r="AI1243" i="5"/>
  <c r="AI137" i="5"/>
  <c r="AI1199" i="5"/>
  <c r="AI1332" i="5"/>
  <c r="AI935" i="5"/>
  <c r="AI1784" i="5"/>
  <c r="AI1738" i="5"/>
  <c r="AI229" i="5"/>
  <c r="AI746" i="5"/>
  <c r="AI772" i="5"/>
  <c r="AI1313" i="5"/>
  <c r="AI1211" i="5"/>
  <c r="AI31" i="5"/>
  <c r="AI1452" i="5"/>
  <c r="AI379" i="5"/>
  <c r="AI526" i="5"/>
  <c r="AI763" i="5"/>
  <c r="AI1266" i="5"/>
  <c r="AI1736" i="5"/>
  <c r="AI336" i="5"/>
  <c r="AI829" i="5"/>
  <c r="AI1123" i="5"/>
  <c r="AI620" i="5"/>
  <c r="AI1619" i="5"/>
  <c r="AI1653" i="5"/>
  <c r="AI1458" i="5"/>
  <c r="AI1587" i="5"/>
  <c r="AI58" i="5"/>
  <c r="AI677" i="5"/>
  <c r="AI75" i="5"/>
  <c r="AI464" i="5"/>
  <c r="AI386" i="5"/>
  <c r="AI739" i="5"/>
  <c r="AI1076" i="5"/>
  <c r="AI735" i="5"/>
  <c r="AI889" i="5"/>
  <c r="AI4" i="5"/>
  <c r="E42" i="1"/>
  <c r="AI1366" i="5"/>
  <c r="AI1495" i="5"/>
  <c r="AI64" i="5"/>
  <c r="AI271" i="5"/>
  <c r="AI302" i="5"/>
  <c r="AI722" i="5"/>
  <c r="AI1029" i="5"/>
  <c r="AI1221" i="5"/>
  <c r="AI1274" i="5"/>
  <c r="AI1512" i="5"/>
  <c r="AI1322" i="5"/>
  <c r="AI632" i="5"/>
  <c r="AI1160" i="5"/>
  <c r="AI913" i="5"/>
  <c r="AI1780" i="5"/>
  <c r="AI151" i="5"/>
  <c r="AI663" i="5"/>
  <c r="AI244" i="5"/>
  <c r="AI215" i="5"/>
  <c r="AI349" i="5"/>
  <c r="AI615" i="5"/>
  <c r="AI796" i="5"/>
  <c r="AI1497" i="5"/>
  <c r="AI163" i="5"/>
  <c r="AI1376" i="5"/>
  <c r="AI232" i="5"/>
  <c r="AI50" i="5"/>
  <c r="AI436" i="5"/>
  <c r="AI619" i="5"/>
  <c r="AI484" i="5"/>
  <c r="AI1098" i="5"/>
  <c r="AI1614" i="5"/>
  <c r="AI98" i="5"/>
  <c r="AI97" i="5"/>
  <c r="AI544" i="5"/>
  <c r="AI1027" i="5"/>
  <c r="AI1502" i="5"/>
  <c r="AI110" i="5"/>
  <c r="AI519" i="5"/>
  <c r="AI841" i="5"/>
  <c r="AI1135" i="5"/>
  <c r="AI936" i="5"/>
  <c r="AI1655" i="5"/>
  <c r="AI1689" i="5"/>
  <c r="AI1506" i="5"/>
  <c r="AI1242" i="5"/>
  <c r="AI82" i="5"/>
  <c r="AI837" i="5"/>
  <c r="AI87" i="5"/>
  <c r="AI488" i="5"/>
  <c r="AI574" i="5"/>
  <c r="AI672" i="5"/>
  <c r="AI71" i="5"/>
  <c r="AI184" i="5"/>
  <c r="AI1312" i="5"/>
  <c r="AI165" i="5"/>
  <c r="AI706" i="5"/>
  <c r="AI1189" i="5"/>
  <c r="AI810" i="5"/>
  <c r="AI968" i="5"/>
  <c r="AI1308" i="5"/>
  <c r="AI186" i="5"/>
  <c r="AI1713" i="5"/>
  <c r="AI208" i="5"/>
  <c r="AI1264" i="5"/>
  <c r="AI49" i="5"/>
  <c r="AI460" i="5"/>
  <c r="AI85" i="5"/>
  <c r="AI333" i="5"/>
  <c r="AI883" i="5"/>
  <c r="AI1454" i="5"/>
  <c r="AI572" i="5"/>
  <c r="AI276" i="5"/>
  <c r="AI306" i="5"/>
  <c r="AI1110" i="5"/>
  <c r="AI1302" i="5"/>
  <c r="AI1650" i="5"/>
  <c r="AI1420" i="5"/>
  <c r="AI281" i="5"/>
  <c r="AI109" i="5"/>
  <c r="AI420" i="5"/>
  <c r="AI516" i="5"/>
  <c r="AI696" i="5"/>
  <c r="AI1122" i="5"/>
  <c r="AI876" i="5"/>
  <c r="AI1616" i="5"/>
  <c r="AI1686" i="5"/>
  <c r="AI1550" i="5"/>
  <c r="AI1734" i="5"/>
  <c r="AI122" i="5"/>
  <c r="AI425" i="5"/>
  <c r="AI565" i="5"/>
  <c r="AI642" i="5"/>
  <c r="AI1147" i="5"/>
  <c r="AI685" i="5"/>
  <c r="AI1691" i="5"/>
  <c r="AI1725" i="5"/>
  <c r="AI1554" i="5"/>
  <c r="AI1664" i="5"/>
  <c r="AI94" i="5"/>
  <c r="AI802" i="5"/>
  <c r="AI99" i="5"/>
  <c r="AI252" i="5"/>
  <c r="AI412" i="5"/>
  <c r="AI816" i="5"/>
  <c r="AI1100" i="5"/>
  <c r="AI1003" i="5"/>
  <c r="AI1272" i="5"/>
  <c r="AI1620" i="5"/>
  <c r="AI1462" i="5"/>
  <c r="AI185" i="5"/>
  <c r="AI205" i="5"/>
  <c r="AI1014" i="5"/>
  <c r="AI525" i="5"/>
  <c r="AI1513" i="5"/>
  <c r="AI14" i="5"/>
  <c r="AI736" i="5"/>
  <c r="AI1331" i="5"/>
  <c r="AI1813" i="5"/>
  <c r="AI262" i="5"/>
  <c r="AI671" i="5"/>
  <c r="AI999" i="5"/>
  <c r="AI266" i="5"/>
  <c r="AI295" i="5"/>
  <c r="AI121" i="5"/>
  <c r="AI365" i="5"/>
  <c r="AI577" i="5"/>
  <c r="AI330" i="5"/>
  <c r="AI1134" i="5"/>
  <c r="AI1020" i="5"/>
  <c r="AI1652" i="5"/>
  <c r="AI1722" i="5"/>
  <c r="AI1597" i="5"/>
  <c r="AI1461" i="5"/>
  <c r="AI134" i="5"/>
  <c r="AI358" i="5"/>
  <c r="AI695" i="5"/>
  <c r="AI786" i="5"/>
  <c r="AI1159" i="5"/>
  <c r="AI929" i="5"/>
  <c r="AI1727" i="5"/>
  <c r="AI1761" i="5"/>
  <c r="AI1600" i="5"/>
  <c r="AI1324" i="5"/>
  <c r="AI106" i="5"/>
  <c r="AI910" i="5"/>
  <c r="AI111" i="5"/>
  <c r="AI396" i="5"/>
  <c r="AI261" i="5"/>
  <c r="AI527" i="5"/>
  <c r="AI1112" i="5"/>
  <c r="AI800" i="5"/>
  <c r="AI1622" i="5"/>
  <c r="AI1656" i="5"/>
  <c r="AI1510" i="5"/>
  <c r="AI1700" i="5"/>
  <c r="AI100" i="5"/>
  <c r="AI466" i="5"/>
  <c r="AI1744" i="5"/>
  <c r="AI1449" i="5"/>
  <c r="AI1711" i="5"/>
  <c r="AI1102" i="5"/>
  <c r="AI103" i="5"/>
  <c r="AI1477" i="5"/>
  <c r="AI1327" i="5"/>
  <c r="AI643" i="5"/>
  <c r="AI994" i="5"/>
  <c r="AI1360" i="5"/>
  <c r="AI930" i="5"/>
  <c r="AI1714" i="5"/>
  <c r="AI177" i="5"/>
  <c r="AI485" i="5"/>
  <c r="AI133" i="5"/>
  <c r="AI298" i="5"/>
  <c r="AI535" i="5"/>
  <c r="AI713" i="5"/>
  <c r="AI1146" i="5"/>
  <c r="AI869" i="5"/>
  <c r="AI1688" i="5"/>
  <c r="AI1758" i="5"/>
  <c r="AI1633" i="5"/>
  <c r="AI1566" i="5"/>
  <c r="AI149" i="5"/>
  <c r="AI363" i="5"/>
  <c r="AI712" i="5"/>
  <c r="AI747" i="5"/>
  <c r="AI1171" i="5"/>
  <c r="AI658" i="5"/>
  <c r="AI1763" i="5"/>
  <c r="AI1797" i="5"/>
  <c r="AI1636" i="5"/>
  <c r="AI1516" i="5"/>
  <c r="AI118" i="5"/>
  <c r="AI927" i="5"/>
  <c r="AI123" i="5"/>
  <c r="AI341" i="5"/>
  <c r="AI388" i="5"/>
  <c r="AI689" i="5"/>
  <c r="AI1124" i="5"/>
  <c r="AI852" i="5"/>
  <c r="AI1658" i="5"/>
  <c r="AI1692" i="5"/>
  <c r="AI1558" i="5"/>
  <c r="AI279" i="5"/>
  <c r="AI1445" i="5"/>
  <c r="AI423" i="5"/>
  <c r="AI401" i="5"/>
  <c r="AI400" i="5"/>
  <c r="AI1363" i="5"/>
  <c r="AI1034" i="5"/>
  <c r="AI1709" i="5"/>
  <c r="AI1169" i="5"/>
  <c r="AI239" i="5"/>
  <c r="AI209" i="5"/>
  <c r="AI334" i="5"/>
  <c r="AI303" i="5"/>
  <c r="AI840" i="5"/>
  <c r="AI1013" i="5"/>
  <c r="AI1794" i="5"/>
  <c r="AI1311" i="5"/>
  <c r="AI260" i="5"/>
  <c r="AI863" i="5"/>
  <c r="AI862" i="5"/>
  <c r="AI1799" i="5"/>
  <c r="AI1305" i="5"/>
  <c r="AI1626" i="5"/>
  <c r="AI145" i="5"/>
  <c r="AI1641" i="5"/>
  <c r="AI135" i="5"/>
  <c r="AI274" i="5"/>
  <c r="AI522" i="5"/>
  <c r="AI830" i="5"/>
  <c r="AI1136" i="5"/>
  <c r="AI996" i="5"/>
  <c r="AI1694" i="5"/>
  <c r="AI1728" i="5"/>
  <c r="AI1603" i="5"/>
  <c r="AI1365" i="5"/>
  <c r="AI124" i="5"/>
  <c r="AI312" i="5"/>
  <c r="AI543" i="5"/>
  <c r="AI732" i="5"/>
  <c r="AI1089" i="5"/>
  <c r="AI986" i="5"/>
  <c r="AI1625" i="5"/>
  <c r="AI1695" i="5"/>
  <c r="AI1562" i="5"/>
  <c r="AI1770" i="5"/>
  <c r="AI101" i="5"/>
  <c r="AI492" i="5"/>
  <c r="AI536" i="5"/>
  <c r="AI715" i="5"/>
  <c r="AI1066" i="5"/>
  <c r="AI969" i="5"/>
  <c r="AI860" i="5"/>
  <c r="AI27" i="5"/>
  <c r="AI138" i="5"/>
  <c r="AI377" i="5"/>
  <c r="AI791" i="5"/>
  <c r="AI738" i="5"/>
  <c r="AI1163" i="5"/>
  <c r="AI407" i="5"/>
  <c r="AI1811" i="5"/>
  <c r="AI1369" i="5"/>
  <c r="AI1756" i="5"/>
  <c r="AI67" i="5"/>
  <c r="AI472" i="5"/>
  <c r="AI383" i="5"/>
  <c r="AI825" i="5"/>
  <c r="AI1044" i="5"/>
  <c r="AI1236" i="5"/>
  <c r="AI1026" i="5"/>
  <c r="AI1778" i="5"/>
  <c r="AI1325" i="5"/>
  <c r="AI1759" i="5"/>
  <c r="AI702" i="5"/>
  <c r="AI197" i="5"/>
  <c r="AI174" i="5"/>
  <c r="AI1125" i="5"/>
  <c r="AI1241" i="5"/>
  <c r="AI785" i="5"/>
  <c r="AI548" i="5"/>
  <c r="AI1726" i="5"/>
  <c r="AI953" i="5"/>
  <c r="AI1179" i="5"/>
  <c r="AI8" i="5"/>
  <c r="AI1293" i="5"/>
  <c r="AI148" i="5"/>
  <c r="AI635" i="5"/>
  <c r="AI1158" i="5"/>
  <c r="AI1724" i="5"/>
  <c r="AI1669" i="5"/>
  <c r="AI161" i="5"/>
  <c r="AI585" i="5"/>
  <c r="AI1183" i="5"/>
  <c r="AI1672" i="5"/>
  <c r="AI160" i="5"/>
  <c r="AI344" i="5"/>
  <c r="AI779" i="5"/>
  <c r="AI582" i="5"/>
  <c r="AI1170" i="5"/>
  <c r="AI954" i="5"/>
  <c r="AI1760" i="5"/>
  <c r="AI1349" i="5"/>
  <c r="AI1705" i="5"/>
  <c r="AI39" i="5"/>
  <c r="AI173" i="5"/>
  <c r="AI404" i="5"/>
  <c r="AI729" i="5"/>
  <c r="AI1007" i="5"/>
  <c r="AI1195" i="5"/>
  <c r="AI682" i="5"/>
  <c r="AI1279" i="5"/>
  <c r="AI1353" i="5"/>
  <c r="AI1708" i="5"/>
  <c r="AI1806" i="5"/>
  <c r="AI157" i="5"/>
  <c r="AI47" i="5"/>
  <c r="AI150" i="5"/>
  <c r="AI418" i="5"/>
  <c r="AI611" i="5"/>
  <c r="AI842" i="5"/>
  <c r="AI1148" i="5"/>
  <c r="AI989" i="5"/>
  <c r="AI1660" i="5"/>
  <c r="AI175" i="5"/>
  <c r="AI339" i="5"/>
  <c r="AI815" i="5"/>
  <c r="AI618" i="5"/>
  <c r="AI1149" i="5"/>
  <c r="AI586" i="5"/>
  <c r="AI1805" i="5"/>
  <c r="AI1361" i="5"/>
  <c r="AI1750" i="5"/>
  <c r="AI1436" i="5"/>
  <c r="AI152" i="5"/>
  <c r="AI255" i="5"/>
  <c r="AI528" i="5"/>
  <c r="AI578" i="5"/>
  <c r="AI1126" i="5"/>
  <c r="AI728" i="5"/>
  <c r="AI687" i="5"/>
  <c r="AI893" i="5"/>
  <c r="AI189" i="5"/>
  <c r="AI421" i="5"/>
  <c r="AI698" i="5"/>
  <c r="AI1031" i="5"/>
  <c r="AI1223" i="5"/>
  <c r="AI1244" i="5"/>
  <c r="AI1424" i="5"/>
  <c r="AI1006" i="5"/>
  <c r="AI1459" i="5"/>
  <c r="AI127" i="5"/>
  <c r="AI375" i="5"/>
  <c r="AI707" i="5"/>
  <c r="AI846" i="5"/>
  <c r="AI1104" i="5"/>
  <c r="AI1022" i="5"/>
  <c r="AI723" i="5"/>
  <c r="AI1428" i="5"/>
  <c r="AI1565" i="5"/>
  <c r="AI1463" i="5"/>
  <c r="AI313" i="5"/>
  <c r="AI1082" i="5"/>
  <c r="AI1253" i="5"/>
  <c r="AI1342" i="5"/>
  <c r="AI633" i="5"/>
  <c r="AI38" i="5"/>
  <c r="AI367" i="5"/>
  <c r="AI499" i="5"/>
  <c r="AI818" i="5"/>
  <c r="AI1012" i="5"/>
  <c r="AI1213" i="5"/>
  <c r="AI884" i="5"/>
  <c r="AI1781" i="5"/>
  <c r="AI1377" i="5"/>
  <c r="AI1798" i="5"/>
  <c r="AI426" i="5"/>
  <c r="AI998" i="5"/>
  <c r="AI1484" i="5"/>
  <c r="AI1567" i="5"/>
  <c r="AI30" i="5"/>
  <c r="AI231" i="5"/>
  <c r="AI459" i="5"/>
  <c r="AI580" i="5"/>
  <c r="AI887" i="5"/>
  <c r="AI1193" i="5"/>
  <c r="AI886" i="5"/>
  <c r="AI1304" i="5"/>
  <c r="AI1489" i="5"/>
  <c r="AI1810" i="5"/>
  <c r="AI822" i="5"/>
  <c r="AI851" i="5"/>
  <c r="AI267" i="5"/>
  <c r="AI776" i="5"/>
  <c r="AI1203" i="5"/>
  <c r="AI1643" i="5"/>
  <c r="AI206" i="5"/>
  <c r="AI520" i="5"/>
  <c r="AI720" i="5"/>
  <c r="AI1144" i="5"/>
  <c r="AI795" i="5"/>
  <c r="AI1523" i="5"/>
  <c r="AI1433" i="5"/>
  <c r="AI1542" i="5"/>
  <c r="AI1437" i="5"/>
  <c r="AI1161" i="5"/>
  <c r="AI610" i="5"/>
  <c r="AI1270" i="5"/>
  <c r="AI1409" i="5"/>
  <c r="AI1786" i="5"/>
  <c r="AI1624" i="5"/>
  <c r="AI164" i="5"/>
  <c r="AI296" i="5"/>
  <c r="AI251" i="5"/>
  <c r="AI665" i="5"/>
  <c r="AI1138" i="5"/>
  <c r="AI972" i="5"/>
  <c r="AI1278" i="5"/>
  <c r="AI12" i="5"/>
  <c r="AI201" i="5"/>
  <c r="AI447" i="5"/>
  <c r="AI631" i="5"/>
  <c r="AI1043" i="5"/>
  <c r="AI1235" i="5"/>
  <c r="AI1280" i="5"/>
  <c r="AI1472" i="5"/>
  <c r="AI1330" i="5"/>
  <c r="AI1507" i="5"/>
  <c r="AI142" i="5"/>
  <c r="AI272" i="5"/>
  <c r="AI724" i="5"/>
  <c r="AI566" i="5"/>
  <c r="AI1116" i="5"/>
  <c r="AI591" i="5"/>
  <c r="AI1247" i="5"/>
  <c r="AI1476" i="5"/>
  <c r="AI1334" i="5"/>
  <c r="AI1511" i="5"/>
  <c r="AI477" i="5"/>
  <c r="AI1106" i="5"/>
  <c r="AI939" i="5"/>
  <c r="AI1438" i="5"/>
  <c r="AI660" i="5"/>
  <c r="AI44" i="5"/>
  <c r="AI450" i="5"/>
  <c r="AI254" i="5"/>
  <c r="AI395" i="5"/>
  <c r="AI1033" i="5"/>
  <c r="AI1225" i="5"/>
  <c r="AI865" i="5"/>
  <c r="AI1817" i="5"/>
  <c r="AI1425" i="5"/>
  <c r="AI1323" i="5"/>
  <c r="AI311" i="5"/>
  <c r="AI931" i="5"/>
  <c r="AI1580" i="5"/>
  <c r="AI454" i="5"/>
  <c r="AI48" i="5"/>
  <c r="AI319" i="5"/>
  <c r="AI483" i="5"/>
  <c r="AI609" i="5"/>
  <c r="AI704" i="5"/>
  <c r="AI1205" i="5"/>
  <c r="AI754" i="5"/>
  <c r="AI1352" i="5"/>
  <c r="AI1537" i="5"/>
  <c r="AI1339" i="5"/>
  <c r="AI976" i="5"/>
  <c r="AI995" i="5"/>
  <c r="AI308" i="5"/>
  <c r="AI988" i="5"/>
  <c r="AI1215" i="5"/>
  <c r="AI1679" i="5"/>
  <c r="AI218" i="5"/>
  <c r="AI405" i="5"/>
  <c r="AI593" i="5"/>
  <c r="AI1156" i="5"/>
  <c r="AI1259" i="5"/>
  <c r="AI1790" i="5"/>
  <c r="AI1481" i="5"/>
  <c r="AI1627" i="5"/>
  <c r="AI1533" i="5"/>
  <c r="AI361" i="5"/>
  <c r="AI587" i="5"/>
  <c r="AI809" i="5"/>
  <c r="AI1150" i="5"/>
  <c r="AI793" i="5"/>
  <c r="AI716" i="5"/>
  <c r="AI24" i="5"/>
  <c r="AI213" i="5"/>
  <c r="AI471" i="5"/>
  <c r="AI775" i="5"/>
  <c r="AI1055" i="5"/>
  <c r="AI885" i="5"/>
  <c r="AI1245" i="5"/>
  <c r="AI1520" i="5"/>
  <c r="AI1378" i="5"/>
  <c r="AI1555" i="5"/>
  <c r="AI154" i="5"/>
  <c r="AI416" i="5"/>
  <c r="AI323" i="5"/>
  <c r="AI654" i="5"/>
  <c r="AI1128" i="5"/>
  <c r="AI955" i="5"/>
  <c r="AI1283" i="5"/>
  <c r="AI1524" i="5"/>
  <c r="AI1382" i="5"/>
  <c r="AI1559" i="5"/>
  <c r="AI314" i="5"/>
  <c r="AI1130" i="5"/>
  <c r="AI1254" i="5"/>
  <c r="AI1582" i="5"/>
  <c r="AI804" i="5"/>
  <c r="AI56" i="5"/>
  <c r="AI474" i="5"/>
  <c r="AI398" i="5"/>
  <c r="AI607" i="5"/>
  <c r="AI1045" i="5"/>
  <c r="AI1237" i="5"/>
  <c r="AI958" i="5"/>
  <c r="AI1336" i="5"/>
  <c r="AI1473" i="5"/>
  <c r="AI1371" i="5"/>
  <c r="AI321" i="5"/>
  <c r="AI560" i="5"/>
  <c r="AI1638" i="5"/>
  <c r="AI411" i="5"/>
  <c r="AI60" i="5"/>
  <c r="AI434" i="5"/>
  <c r="AI350" i="5"/>
  <c r="AI753" i="5"/>
  <c r="AI964" i="5"/>
  <c r="AI1217" i="5"/>
  <c r="AI894" i="5"/>
  <c r="AI1400" i="5"/>
  <c r="AI1585" i="5"/>
  <c r="AI1387" i="5"/>
  <c r="AI906" i="5"/>
  <c r="AI596" i="5"/>
  <c r="AI455" i="5"/>
  <c r="AI1035" i="5"/>
  <c r="AI1227" i="5"/>
  <c r="AI1715" i="5"/>
  <c r="AI259" i="5"/>
  <c r="AI529" i="5"/>
  <c r="AI838" i="5"/>
  <c r="AI1168" i="5"/>
  <c r="AI1295" i="5"/>
  <c r="AI1396" i="5"/>
  <c r="AI1529" i="5"/>
  <c r="AI1699" i="5"/>
  <c r="AI1335" i="5"/>
  <c r="AI688" i="5"/>
  <c r="AI983" i="5"/>
  <c r="AI1185" i="5"/>
  <c r="AI956" i="5"/>
  <c r="AI1368" i="5"/>
  <c r="AI1505" i="5"/>
  <c r="AI1307" i="5"/>
  <c r="AI11" i="5"/>
  <c r="AI188" i="5"/>
  <c r="AI445" i="5"/>
  <c r="AI731" i="5"/>
  <c r="AI832" i="5"/>
  <c r="AI1162" i="5"/>
  <c r="AI965" i="5"/>
  <c r="AI1628" i="5"/>
  <c r="AI36" i="5"/>
  <c r="AI225" i="5"/>
  <c r="AI495" i="5"/>
  <c r="AI294" i="5"/>
  <c r="AI1067" i="5"/>
  <c r="AI962" i="5"/>
  <c r="AI1281" i="5"/>
  <c r="AI1568" i="5"/>
  <c r="AI1426" i="5"/>
  <c r="AI985" i="5"/>
  <c r="AI166" i="5"/>
  <c r="AI337" i="5"/>
  <c r="AI597" i="5"/>
  <c r="AI798" i="5"/>
  <c r="AI1140" i="5"/>
  <c r="AI656" i="5"/>
  <c r="AI1248" i="5"/>
  <c r="AI1572" i="5"/>
  <c r="AI1430" i="5"/>
  <c r="AI57" i="5"/>
  <c r="AI273" i="5"/>
  <c r="AI1154" i="5"/>
  <c r="AI1604" i="5"/>
  <c r="AI1693" i="5"/>
  <c r="AI849" i="5"/>
  <c r="AI80" i="5"/>
  <c r="AI498" i="5"/>
  <c r="AI246" i="5"/>
  <c r="AI751" i="5"/>
  <c r="AI1057" i="5"/>
  <c r="AI861" i="5"/>
  <c r="AI925" i="5"/>
  <c r="AI1384" i="5"/>
  <c r="AI1521" i="5"/>
  <c r="AI1419" i="5"/>
  <c r="AI683" i="5"/>
  <c r="AI917" i="5"/>
  <c r="AI1710" i="5"/>
  <c r="AI373" i="5"/>
  <c r="AI72" i="5"/>
  <c r="AI458" i="5"/>
  <c r="AI381" i="5"/>
  <c r="AI567" i="5"/>
  <c r="AI1037" i="5"/>
  <c r="AI1229" i="5"/>
  <c r="AI752" i="5"/>
  <c r="AI1448" i="5"/>
  <c r="AI1252" i="5"/>
  <c r="AI1435" i="5"/>
  <c r="AI90" i="5"/>
  <c r="AI1238" i="5"/>
  <c r="AI538" i="5"/>
  <c r="AI1047" i="5"/>
  <c r="AI981" i="5"/>
  <c r="AI1751" i="5"/>
  <c r="AI403" i="5"/>
  <c r="AI554" i="5"/>
  <c r="AI606" i="5"/>
  <c r="AI1180" i="5"/>
  <c r="AI1260" i="5"/>
  <c r="AI1540" i="5"/>
  <c r="AI1577" i="5"/>
  <c r="AI1771" i="5"/>
  <c r="AI1527" i="5"/>
  <c r="AI1288" i="5"/>
  <c r="AI1399" i="5"/>
  <c r="AI40" i="5"/>
  <c r="AI223" i="5"/>
  <c r="AI467" i="5"/>
  <c r="AI705" i="5"/>
  <c r="AI557" i="5"/>
  <c r="AI1197" i="5"/>
  <c r="AI759" i="5"/>
  <c r="AI1416" i="5"/>
  <c r="AI1553" i="5"/>
  <c r="AI1355" i="5"/>
  <c r="AI23" i="5"/>
  <c r="AI200" i="5"/>
  <c r="AI469" i="5"/>
  <c r="AI530" i="5"/>
  <c r="AI285" i="5"/>
  <c r="AI1174" i="5"/>
  <c r="AI299" i="5"/>
  <c r="AI1468" i="5"/>
  <c r="AI42" i="5"/>
  <c r="AI247" i="5"/>
  <c r="AI278" i="5"/>
  <c r="AI708" i="5"/>
  <c r="AI1079" i="5"/>
  <c r="AI895" i="5"/>
  <c r="AI920" i="5"/>
  <c r="AI1629" i="5"/>
  <c r="AI1474" i="5"/>
  <c r="AI1785" i="5"/>
  <c r="AI178" i="5"/>
  <c r="AI449" i="5"/>
  <c r="AI741" i="5"/>
  <c r="AI826" i="5"/>
  <c r="AI1152" i="5"/>
  <c r="AI948" i="5"/>
  <c r="AI1284" i="5"/>
  <c r="AI1596" i="5"/>
  <c r="AI1478" i="5"/>
  <c r="AI69" i="5"/>
  <c r="AI509" i="5"/>
  <c r="AI1178" i="5"/>
  <c r="AI1676" i="5"/>
  <c r="AI1765" i="5"/>
  <c r="AI814" i="5"/>
  <c r="AI92" i="5"/>
  <c r="AI264" i="5"/>
  <c r="AI511" i="5"/>
  <c r="AI512" i="5"/>
  <c r="AI1069" i="5"/>
  <c r="AI1005" i="5"/>
  <c r="AI1016" i="5"/>
  <c r="AI1432" i="5"/>
  <c r="AI1569" i="5"/>
  <c r="AI1467" i="5"/>
  <c r="AI811" i="5"/>
  <c r="AI850" i="5"/>
  <c r="AI1782" i="5"/>
  <c r="AI545" i="5"/>
  <c r="AI84" i="5"/>
  <c r="AI482" i="5"/>
  <c r="AI575" i="5"/>
  <c r="AI626" i="5"/>
  <c r="AI1049" i="5"/>
  <c r="AI769" i="5"/>
  <c r="AI1018" i="5"/>
  <c r="AI1496" i="5"/>
  <c r="AI1306" i="5"/>
  <c r="AI1483" i="5"/>
  <c r="AI68" i="5"/>
  <c r="AI584" i="5"/>
  <c r="AI559" i="5"/>
  <c r="AI1059" i="5"/>
  <c r="AI699" i="5"/>
  <c r="AI5" i="5"/>
  <c r="AI456" i="5"/>
  <c r="AI378" i="5"/>
  <c r="AI750" i="5"/>
  <c r="AI1192" i="5"/>
  <c r="AI1296" i="5"/>
  <c r="AI1588" i="5"/>
  <c r="AI1346" i="5"/>
  <c r="AI1341" i="5"/>
  <c r="AI354" i="5"/>
  <c r="AI1556" i="5"/>
  <c r="AI1318" i="5"/>
  <c r="AI1447" i="5"/>
  <c r="AI52" i="5"/>
  <c r="AI235" i="5"/>
  <c r="AI491" i="5"/>
  <c r="AI537" i="5"/>
  <c r="AI916" i="5"/>
  <c r="AI1209" i="5"/>
  <c r="AI973" i="5"/>
  <c r="AI1464" i="5"/>
  <c r="AI1300" i="5"/>
  <c r="AI1403" i="5"/>
  <c r="AI35" i="5"/>
  <c r="AI212" i="5"/>
  <c r="AI493" i="5"/>
  <c r="AI604" i="5"/>
  <c r="AI678" i="5"/>
  <c r="AI1186" i="5"/>
  <c r="AI766" i="5"/>
  <c r="AI1297" i="5"/>
  <c r="AI54" i="5"/>
  <c r="AI391" i="5"/>
  <c r="AI422" i="5"/>
  <c r="AI823" i="5"/>
  <c r="AI1091" i="5"/>
  <c r="AI888" i="5"/>
  <c r="AI1595" i="5"/>
  <c r="AI1665" i="5"/>
  <c r="AI1522" i="5"/>
  <c r="AI1804" i="5"/>
  <c r="AI190" i="5"/>
  <c r="AI473" i="5"/>
  <c r="AI614" i="5"/>
  <c r="AI783" i="5"/>
  <c r="AI1164" i="5"/>
  <c r="AI721" i="5"/>
  <c r="AI872" i="5"/>
  <c r="AI1632" i="5"/>
  <c r="AI1526" i="5"/>
  <c r="AI93" i="5"/>
  <c r="AI700" i="5"/>
  <c r="AI1202" i="5"/>
  <c r="AI1748" i="5"/>
  <c r="AI1375" i="5"/>
  <c r="AI637" i="5"/>
  <c r="AI104" i="5"/>
  <c r="AI408" i="5"/>
  <c r="AI297" i="5"/>
  <c r="AI684" i="5"/>
  <c r="AI1081" i="5"/>
  <c r="AI938" i="5"/>
  <c r="AI937" i="5"/>
  <c r="AI1480" i="5"/>
  <c r="AI1338" i="5"/>
  <c r="AI1515" i="5"/>
  <c r="AI600" i="5"/>
  <c r="AI556" i="5"/>
  <c r="AI1333" i="5"/>
  <c r="AI777" i="5"/>
  <c r="AI96" i="5"/>
  <c r="AI505" i="5"/>
  <c r="AI419" i="5"/>
  <c r="AI770" i="5"/>
  <c r="AI1061" i="5"/>
  <c r="AI957" i="5"/>
  <c r="AI402" i="5"/>
  <c r="AI1544" i="5"/>
  <c r="AI1354" i="5"/>
  <c r="AI1531" i="5"/>
  <c r="AI156" i="5"/>
  <c r="AI680" i="5"/>
  <c r="AI376" i="5"/>
  <c r="AI1071" i="5"/>
  <c r="AI991" i="5"/>
  <c r="AI17" i="5"/>
  <c r="AI480" i="5"/>
  <c r="AI510" i="5"/>
  <c r="AI639" i="5"/>
  <c r="AI1204" i="5"/>
  <c r="AI1610" i="5"/>
  <c r="AI1350" i="5"/>
  <c r="AI1442" i="5"/>
  <c r="AI1431" i="5"/>
  <c r="AI1581" i="5"/>
  <c r="AI1451" i="5"/>
  <c r="AI41" i="5"/>
  <c r="AI224" i="5"/>
  <c r="AI362" i="5"/>
  <c r="AI748" i="5"/>
  <c r="AI899" i="5"/>
  <c r="AI1198" i="5"/>
  <c r="AI898" i="5"/>
  <c r="AI1662" i="5"/>
  <c r="AI66" i="5"/>
  <c r="AI446" i="5"/>
  <c r="AI318" i="5"/>
  <c r="AI581" i="5"/>
  <c r="AI1103" i="5"/>
  <c r="AI515" i="5"/>
  <c r="AI1631" i="5"/>
  <c r="AI1701" i="5"/>
  <c r="AI1570" i="5"/>
  <c r="AI13" i="5"/>
  <c r="AI202" i="5"/>
  <c r="AI497" i="5"/>
  <c r="AI758" i="5"/>
  <c r="AI875" i="5"/>
  <c r="AI1176" i="5"/>
  <c r="AI941" i="5"/>
  <c r="AI1598" i="5"/>
  <c r="AI1668" i="5"/>
  <c r="AI1574" i="5"/>
  <c r="AI117" i="5"/>
  <c r="AI717" i="5"/>
  <c r="AI1226" i="5"/>
  <c r="AI1820" i="5"/>
  <c r="AI1471" i="5"/>
  <c r="AI1257" i="5"/>
  <c r="AI116" i="5"/>
  <c r="AI353" i="5"/>
  <c r="AI270" i="5"/>
  <c r="AI827" i="5"/>
  <c r="AI1093" i="5"/>
  <c r="AI335" i="5"/>
  <c r="AI1250" i="5"/>
  <c r="AI1528" i="5"/>
  <c r="AI1386" i="5"/>
  <c r="AI1563" i="5"/>
  <c r="AI263" i="5"/>
  <c r="AI858" i="5"/>
  <c r="AI1429" i="5"/>
  <c r="AI794" i="5"/>
  <c r="AI108" i="5"/>
  <c r="AI360" i="5"/>
  <c r="AI304" i="5"/>
  <c r="AI258" i="5"/>
  <c r="AI1073" i="5"/>
  <c r="AI568" i="5"/>
  <c r="AI1262" i="5"/>
  <c r="AI1592" i="5"/>
  <c r="AI1402" i="5"/>
  <c r="AI1579" i="5"/>
  <c r="AI192" i="5"/>
  <c r="AI28" i="5"/>
  <c r="AI352" i="5"/>
  <c r="AI1083" i="5"/>
  <c r="AI764" i="5"/>
  <c r="AI29" i="5"/>
  <c r="AI245" i="5"/>
  <c r="AI659" i="5"/>
  <c r="AI971" i="5"/>
  <c r="AI1216" i="5"/>
  <c r="AI1646" i="5"/>
  <c r="AI1494" i="5"/>
  <c r="AI1538" i="5"/>
  <c r="AI1754" i="5"/>
  <c r="AI1608" i="5"/>
  <c r="AI1088" i="5"/>
  <c r="AI859" i="5"/>
  <c r="AI1271" i="5"/>
  <c r="AI1273" i="5"/>
  <c r="AI1414" i="5"/>
  <c r="AI1543" i="5"/>
  <c r="AI76" i="5"/>
  <c r="AI415" i="5"/>
  <c r="AI237" i="5"/>
  <c r="AI328" i="5"/>
  <c r="AI1041" i="5"/>
  <c r="AI1233" i="5"/>
  <c r="AI961" i="5"/>
  <c r="AI1560" i="5"/>
  <c r="AI1370" i="5"/>
  <c r="AI1499" i="5"/>
  <c r="AI53" i="5"/>
  <c r="AI236" i="5"/>
  <c r="AI417" i="5"/>
  <c r="AI621" i="5"/>
  <c r="AI740" i="5"/>
  <c r="AI1210" i="5"/>
  <c r="AI790" i="5"/>
  <c r="AI1413" i="5"/>
  <c r="AI78" i="5"/>
  <c r="AI470" i="5"/>
  <c r="AI573" i="5"/>
  <c r="AI725" i="5"/>
  <c r="AI1115" i="5"/>
  <c r="AI881" i="5"/>
  <c r="AI1667" i="5"/>
  <c r="AI1737" i="5"/>
  <c r="AI1612" i="5"/>
  <c r="AI25" i="5"/>
  <c r="AI214" i="5"/>
  <c r="AI338" i="5"/>
  <c r="AI532" i="5"/>
  <c r="AI1019" i="5"/>
  <c r="AI1188" i="5"/>
  <c r="AI694" i="5"/>
  <c r="AI1634" i="5"/>
  <c r="AI1704" i="5"/>
  <c r="AI1615" i="5"/>
  <c r="AI144" i="5"/>
  <c r="AI590" i="5"/>
  <c r="AI661" i="5"/>
  <c r="AI1388" i="5"/>
  <c r="AI1519" i="5"/>
  <c r="AI745" i="5"/>
  <c r="AI128" i="5"/>
  <c r="AI286" i="5"/>
  <c r="AI424" i="5"/>
  <c r="AI553" i="5"/>
  <c r="AI1105" i="5"/>
  <c r="AI771" i="5"/>
  <c r="AI1286" i="5"/>
  <c r="AI1576" i="5"/>
  <c r="AI1434" i="5"/>
  <c r="AI45" i="5"/>
  <c r="AI761" i="5"/>
  <c r="AI1002" i="5"/>
  <c r="AI1573" i="5"/>
  <c r="AI727" i="5"/>
  <c r="AI120" i="5"/>
  <c r="AI305" i="5"/>
  <c r="AI523" i="5"/>
  <c r="AI703" i="5"/>
  <c r="AI1085" i="5"/>
  <c r="AI742" i="5"/>
  <c r="AI1298" i="5"/>
  <c r="AI1611" i="5"/>
  <c r="AI1450" i="5"/>
  <c r="AI1808" i="5"/>
  <c r="AI452" i="5"/>
  <c r="AI46" i="5"/>
  <c r="AI507" i="5"/>
  <c r="AI1095" i="5"/>
  <c r="AI984" i="5"/>
  <c r="AI59" i="5"/>
  <c r="AI389" i="5"/>
  <c r="AI803" i="5"/>
  <c r="AI904" i="5"/>
  <c r="AI1228" i="5"/>
  <c r="AI1682" i="5"/>
  <c r="AI1590" i="5"/>
  <c r="AI1379" i="5"/>
  <c r="AI1485" i="5"/>
  <c r="AI1752" i="5"/>
  <c r="AI1591" i="5"/>
  <c r="AI88" i="5"/>
  <c r="AI442" i="5"/>
  <c r="AI390" i="5"/>
  <c r="AI655" i="5"/>
  <c r="AI1053" i="5"/>
  <c r="AI625" i="5"/>
  <c r="AI1239" i="5"/>
  <c r="AI1285" i="5"/>
  <c r="AI1418" i="5"/>
  <c r="AI1547" i="5"/>
  <c r="AI65" i="5"/>
  <c r="AI331" i="5"/>
  <c r="AI533" i="5"/>
  <c r="AI765" i="5"/>
  <c r="AI1030" i="5"/>
  <c r="AI1222" i="5"/>
  <c r="AI949" i="5"/>
  <c r="AI1470" i="5"/>
  <c r="AI102" i="5"/>
  <c r="AI494" i="5"/>
  <c r="AI369" i="5"/>
  <c r="AI833" i="5"/>
  <c r="AI1127" i="5"/>
  <c r="AI1025" i="5"/>
  <c r="AI1703" i="5"/>
  <c r="AI1773" i="5"/>
  <c r="AI1648" i="5"/>
  <c r="AI37" i="5"/>
  <c r="AI226" i="5"/>
  <c r="AI345" i="5"/>
  <c r="AI691" i="5"/>
  <c r="AI668" i="5"/>
  <c r="AI1200" i="5"/>
  <c r="AI874" i="5"/>
  <c r="AI1670" i="5"/>
  <c r="AI1740" i="5"/>
  <c r="AI1651" i="5"/>
  <c r="AI168" i="5"/>
  <c r="AI734" i="5"/>
  <c r="AI921" i="5"/>
  <c r="AI1532" i="5"/>
  <c r="AI343" i="5"/>
  <c r="AI1605" i="5"/>
  <c r="AI143" i="5"/>
  <c r="AI430" i="5"/>
  <c r="AI623" i="5"/>
  <c r="AI701" i="5"/>
  <c r="AI1117" i="5"/>
  <c r="AI871" i="5"/>
  <c r="AI997" i="5"/>
  <c r="AI1599" i="5"/>
  <c r="AI1482" i="5"/>
  <c r="AI81" i="5"/>
  <c r="AI1046" i="5"/>
  <c r="AI951" i="5"/>
  <c r="AI1390" i="5"/>
  <c r="AI821" i="5"/>
  <c r="AI132" i="5"/>
  <c r="AI238" i="5"/>
  <c r="AI550" i="5"/>
  <c r="AI636" i="5"/>
  <c r="AI1097" i="5"/>
  <c r="AI890" i="5"/>
  <c r="AI1263" i="5"/>
  <c r="AI1647" i="5"/>
  <c r="AI1498" i="5"/>
  <c r="AI1282" i="5"/>
  <c r="AI476" i="5"/>
  <c r="AI70" i="5"/>
  <c r="AI616" i="5"/>
  <c r="AI1107" i="5"/>
  <c r="AI977" i="5"/>
  <c r="AI83" i="5"/>
  <c r="AI322" i="5"/>
  <c r="AI676" i="5"/>
  <c r="AI1036" i="5"/>
  <c r="AI589" i="5"/>
  <c r="AI1718" i="5"/>
  <c r="AI1663" i="5"/>
  <c r="AI1427" i="5"/>
  <c r="AI1479" i="5"/>
  <c r="AI1716" i="5"/>
  <c r="AI551" i="5"/>
  <c r="AI799" i="5"/>
  <c r="AI1065" i="5"/>
  <c r="AI909" i="5"/>
  <c r="AI1275" i="5"/>
  <c r="AI1623" i="5"/>
  <c r="AI1466" i="5"/>
  <c r="AI1772" i="5"/>
  <c r="AI77" i="5"/>
  <c r="AI444" i="5"/>
  <c r="AI563" i="5"/>
  <c r="AI638" i="5"/>
  <c r="AI1042" i="5"/>
  <c r="AI1234" i="5"/>
  <c r="AI673" i="5"/>
  <c r="AI114" i="5"/>
  <c r="AI288" i="5"/>
  <c r="AI342" i="5"/>
  <c r="AI845" i="5"/>
  <c r="AI1139" i="5"/>
  <c r="AI506" i="5"/>
  <c r="AI1739" i="5"/>
  <c r="AI1809" i="5"/>
  <c r="AI1684" i="5"/>
  <c r="AI43" i="5"/>
  <c r="AI307" i="5"/>
  <c r="AI503" i="5"/>
  <c r="AI624" i="5"/>
  <c r="AI952" i="5"/>
  <c r="AI1212" i="5"/>
  <c r="AI718" i="5"/>
  <c r="AI1706" i="5"/>
  <c r="AI1776" i="5"/>
  <c r="AI1687" i="5"/>
  <c r="AI228" i="5"/>
  <c r="AI744" i="5"/>
  <c r="AI634" i="5"/>
  <c r="AI1602" i="5"/>
  <c r="AI478" i="5"/>
  <c r="AI1732" i="5"/>
  <c r="AI155" i="5"/>
  <c r="AI502" i="5"/>
  <c r="AI767" i="5"/>
  <c r="AI835" i="5"/>
  <c r="AI1129" i="5"/>
  <c r="AI1015" i="5"/>
  <c r="AI1251" i="5"/>
  <c r="AI1635" i="5"/>
  <c r="AI1530" i="5"/>
  <c r="AI105" i="5"/>
  <c r="AI1070" i="5"/>
  <c r="AI1009" i="5"/>
  <c r="AI1486" i="5"/>
  <c r="AI914" i="5"/>
  <c r="AI147" i="5"/>
  <c r="AI382" i="5"/>
  <c r="AI280" i="5"/>
  <c r="AI780" i="5"/>
  <c r="AI1109" i="5"/>
  <c r="AI627" i="5"/>
  <c r="AI1299" i="5"/>
  <c r="AI1683" i="5"/>
  <c r="AI1546" i="5"/>
  <c r="AI1372" i="5"/>
  <c r="AI351" i="5"/>
  <c r="AI130" i="5"/>
  <c r="AI760" i="5"/>
  <c r="AI1119" i="5"/>
  <c r="AI918" i="5"/>
  <c r="AI119" i="5"/>
  <c r="AI327" i="5"/>
  <c r="AI820" i="5"/>
  <c r="AI1048" i="5"/>
  <c r="AI897" i="5"/>
  <c r="AI579" i="5"/>
  <c r="AI1735" i="5"/>
  <c r="AI1571" i="5"/>
  <c r="AI1575" i="5"/>
  <c r="AI1680" i="5"/>
  <c r="AI1698" i="5"/>
  <c r="AI112" i="5"/>
  <c r="AI490" i="5"/>
  <c r="AI275" i="5"/>
  <c r="AI588" i="5"/>
  <c r="AI1077" i="5"/>
  <c r="AI598" i="5"/>
  <c r="AI970" i="5"/>
  <c r="AI1659" i="5"/>
  <c r="AI1514" i="5"/>
  <c r="AI1564" i="5"/>
  <c r="AI89" i="5"/>
  <c r="AI468" i="5"/>
  <c r="AI340" i="5"/>
  <c r="AI782" i="5"/>
  <c r="AI1054" i="5"/>
  <c r="AI805" i="5"/>
  <c r="AI879" i="5"/>
  <c r="AI1503" i="5"/>
  <c r="AI126" i="5"/>
  <c r="AI432" i="5"/>
  <c r="AI647" i="5"/>
  <c r="AI594" i="5"/>
  <c r="AI1151" i="5"/>
  <c r="AI966" i="5"/>
  <c r="AI1775" i="5"/>
  <c r="AI1321" i="5"/>
  <c r="AI1720" i="5"/>
  <c r="AI55" i="5"/>
  <c r="AI448" i="5"/>
  <c r="AI555" i="5"/>
  <c r="AI768" i="5"/>
  <c r="AI1032" i="5"/>
  <c r="AI1224" i="5"/>
  <c r="AI882" i="5"/>
  <c r="AI1742" i="5"/>
  <c r="AI1812" i="5"/>
  <c r="AI1723" i="5"/>
  <c r="AI283" i="5"/>
  <c r="AI836" i="5"/>
  <c r="AI854" i="5"/>
  <c r="AI1674" i="5"/>
  <c r="AI384" i="5"/>
  <c r="AI300" i="5"/>
  <c r="AI167" i="5"/>
  <c r="AI291" i="5"/>
  <c r="AI547" i="5"/>
  <c r="AI847" i="5"/>
  <c r="AI1141" i="5"/>
  <c r="AI864" i="5"/>
  <c r="AI1287" i="5"/>
  <c r="AI1671" i="5"/>
  <c r="AI1578" i="5"/>
  <c r="AI129" i="5"/>
  <c r="AI1094" i="5"/>
  <c r="AI1289" i="5"/>
  <c r="AI1534" i="5"/>
  <c r="AI853" i="5"/>
  <c r="AI159" i="5"/>
  <c r="AI243" i="5"/>
  <c r="AI513" i="5"/>
  <c r="AI653" i="5"/>
  <c r="AI1121" i="5"/>
  <c r="AI967" i="5"/>
  <c r="AI1613" i="5"/>
  <c r="AI1719" i="5"/>
  <c r="AI1594" i="5"/>
  <c r="AI1509" i="5"/>
  <c r="AI392" i="5"/>
  <c r="AI169" i="5"/>
  <c r="AI292" i="5"/>
  <c r="AI1131" i="5"/>
  <c r="AI944" i="5"/>
  <c r="AI131" i="5"/>
  <c r="AI368" i="5"/>
  <c r="AI393" i="5"/>
  <c r="AI1060" i="5"/>
  <c r="AI974" i="5"/>
  <c r="AI1385" i="5"/>
  <c r="AI1807" i="5"/>
  <c r="AI1348" i="5"/>
  <c r="AI1389" i="5"/>
  <c r="AI1824" i="5"/>
  <c r="AI324" i="5"/>
  <c r="AI630" i="5"/>
  <c r="AI924" i="5"/>
  <c r="AI1746" i="5"/>
  <c r="AI406" i="5"/>
  <c r="AI481" i="5"/>
  <c r="AI179" i="5"/>
  <c r="AI332" i="5"/>
  <c r="AI640" i="5"/>
  <c r="AI569" i="5"/>
  <c r="AI1153" i="5"/>
  <c r="AI1008" i="5"/>
  <c r="AI1601" i="5"/>
  <c r="AI1707" i="5"/>
  <c r="AI1618" i="5"/>
  <c r="AI180" i="5"/>
  <c r="AI1118" i="5"/>
  <c r="AI1290" i="5"/>
  <c r="AI1621" i="5"/>
  <c r="AI1821" i="5"/>
  <c r="AI171" i="5"/>
  <c r="AI387" i="5"/>
  <c r="AI719" i="5"/>
  <c r="AI797" i="5"/>
  <c r="AI1133" i="5"/>
  <c r="AI692" i="5"/>
  <c r="AI1649" i="5"/>
  <c r="AI1755" i="5"/>
  <c r="AI1630" i="5"/>
  <c r="AI1326" i="5"/>
  <c r="AI514" i="5"/>
  <c r="AI181" i="5"/>
  <c r="AI583" i="5"/>
  <c r="AI1143" i="5"/>
  <c r="AI908" i="5"/>
  <c r="AI146" i="5"/>
  <c r="AI289" i="5"/>
  <c r="AI693" i="5"/>
  <c r="AI1072" i="5"/>
  <c r="AI907" i="5"/>
  <c r="AI1394" i="5"/>
  <c r="AI1787" i="5"/>
  <c r="AI1444" i="5"/>
  <c r="AI1383" i="5"/>
  <c r="AI1644" i="5"/>
  <c r="AI1730" i="5"/>
  <c r="AI1764" i="5"/>
  <c r="AI1639" i="5"/>
  <c r="AI1518" i="5"/>
  <c r="AI136" i="5"/>
  <c r="AI500" i="5"/>
  <c r="AI541" i="5"/>
  <c r="AI605" i="5"/>
  <c r="AI1101" i="5"/>
  <c r="AI919" i="5"/>
  <c r="AI1661" i="5"/>
  <c r="AI1731" i="5"/>
  <c r="AI1606" i="5"/>
  <c r="AI1557" i="5"/>
  <c r="AI113" i="5"/>
  <c r="AI372" i="5"/>
  <c r="AI562" i="5"/>
  <c r="AI648" i="5"/>
  <c r="AI1078" i="5"/>
  <c r="AI778" i="5"/>
  <c r="AI709" i="5"/>
  <c r="AI16" i="5"/>
  <c r="AI141" i="5"/>
  <c r="AI310" i="5"/>
  <c r="AI664" i="5"/>
  <c r="AI824" i="5"/>
  <c r="AI1175" i="5"/>
  <c r="AI651" i="5"/>
  <c r="AI1294" i="5"/>
  <c r="AI1417" i="5"/>
  <c r="AI1792" i="5"/>
  <c r="AI79" i="5"/>
  <c r="AI496" i="5"/>
  <c r="AI268" i="5"/>
  <c r="AI549" i="5"/>
  <c r="AI1056" i="5"/>
  <c r="AI733" i="5"/>
  <c r="AI608" i="5"/>
  <c r="AI1814" i="5"/>
  <c r="AI1373" i="5"/>
  <c r="AI1795" i="5"/>
  <c r="AI269" i="5"/>
  <c r="AI774" i="5"/>
  <c r="AI649" i="5"/>
  <c r="AI1818" i="5"/>
  <c r="AI479" i="5"/>
  <c r="AI564" i="5"/>
  <c r="AI191" i="5"/>
  <c r="AI253" i="5"/>
  <c r="AI784" i="5"/>
  <c r="AI714" i="5"/>
  <c r="AI1165" i="5"/>
  <c r="AI857" i="5"/>
  <c r="AI1637" i="5"/>
  <c r="AI1743" i="5"/>
  <c r="AI1654" i="5"/>
  <c r="AI204" i="5"/>
  <c r="AI1142" i="5"/>
  <c r="AI1640" i="5"/>
  <c r="AI1729" i="5"/>
  <c r="AI1768" i="5"/>
  <c r="AI183" i="5"/>
  <c r="AI284" i="5"/>
  <c r="AI287" i="5"/>
  <c r="AI839" i="5"/>
  <c r="AI1145" i="5"/>
  <c r="AI960" i="5"/>
  <c r="AI1685" i="5"/>
  <c r="AI1791" i="5"/>
  <c r="AI1666" i="5"/>
  <c r="AI1645" i="5"/>
  <c r="AI667" i="5"/>
  <c r="AI193" i="5"/>
  <c r="AI364" i="5"/>
  <c r="AI1155" i="5"/>
  <c r="AI1256" i="5"/>
  <c r="AI158" i="5"/>
  <c r="AI457" i="5"/>
  <c r="AI710" i="5"/>
  <c r="AI1084" i="5"/>
  <c r="AI900" i="5"/>
  <c r="AI1490" i="5"/>
  <c r="AI1823" i="5"/>
  <c r="AI1492" i="5"/>
  <c r="AI1440" i="5"/>
  <c r="AI1788" i="5"/>
  <c r="AI1800" i="5"/>
  <c r="AI1675" i="5"/>
  <c r="AI1717" i="5"/>
  <c r="AI139" i="5"/>
  <c r="AI257" i="5"/>
  <c r="AI414" i="5"/>
  <c r="AI749" i="5"/>
  <c r="AI1113" i="5"/>
  <c r="AI912" i="5"/>
  <c r="AI1697" i="5"/>
  <c r="AI1767" i="5"/>
  <c r="AI1642" i="5"/>
  <c r="AI1374" i="5"/>
  <c r="AI125" i="5"/>
  <c r="AI317" i="5"/>
  <c r="AI534" i="5"/>
  <c r="AI792" i="5"/>
  <c r="AI1090" i="5"/>
  <c r="AI902" i="5"/>
  <c r="AI891" i="5"/>
  <c r="AI867" i="5"/>
  <c r="AI153" i="5"/>
  <c r="AI315" i="5"/>
  <c r="AI808" i="5"/>
  <c r="AI603" i="5"/>
  <c r="AI1187" i="5"/>
  <c r="AI1011" i="5"/>
  <c r="AI1255" i="5"/>
  <c r="AI1465" i="5"/>
  <c r="AI1315" i="5"/>
  <c r="AI91" i="5"/>
  <c r="AI348" i="5"/>
  <c r="AI508" i="5"/>
  <c r="AI641" i="5"/>
  <c r="AI1068" i="5"/>
  <c r="AI945" i="5"/>
  <c r="AI788" i="5"/>
  <c r="AI1291" i="5"/>
  <c r="AI1421" i="5"/>
  <c r="AI1319" i="5"/>
  <c r="AI413" i="5"/>
  <c r="AI928" i="5"/>
  <c r="AI622" i="5"/>
  <c r="AI1381" i="5"/>
  <c r="AI374" i="5"/>
  <c r="AI737" i="5"/>
  <c r="AI203" i="5"/>
  <c r="AI397" i="5"/>
  <c r="AI657" i="5"/>
  <c r="AI828" i="5"/>
  <c r="AI1177" i="5"/>
  <c r="AI1001" i="5"/>
  <c r="AI1673" i="5"/>
  <c r="AI1779" i="5"/>
  <c r="AI1690" i="5"/>
  <c r="AI216" i="5"/>
  <c r="AI1166" i="5"/>
  <c r="AI1712" i="5"/>
  <c r="AI1801" i="5"/>
  <c r="AI433" i="5"/>
  <c r="AI195" i="5"/>
  <c r="AI428" i="5"/>
  <c r="AI592" i="5"/>
  <c r="AI666" i="5"/>
  <c r="AI1157" i="5"/>
  <c r="AI757" i="5"/>
  <c r="AI1721" i="5"/>
  <c r="AI1345" i="5"/>
  <c r="AI1702" i="5"/>
  <c r="AI1749" i="5"/>
  <c r="AI617" i="5"/>
  <c r="AI217" i="5"/>
  <c r="AI690" i="5"/>
  <c r="AI1167" i="5"/>
  <c r="AI1292" i="5"/>
  <c r="AI170" i="5"/>
  <c r="AI290" i="5"/>
  <c r="AI552" i="5"/>
  <c r="AI1096" i="5"/>
  <c r="AI978" i="5"/>
  <c r="AI1586" i="5"/>
  <c r="AI1344" i="5"/>
  <c r="AI1240" i="5"/>
  <c r="AI1488" i="5"/>
  <c r="I42" i="1"/>
  <c r="J42" i="1"/>
  <c r="K42" i="1"/>
  <c r="F42" i="1"/>
  <c r="G42" i="1"/>
  <c r="H4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<sst xmlns="http://schemas.openxmlformats.org/spreadsheetml/2006/main" count="6052" uniqueCount="2798">
  <si>
    <t>Category</t>
  </si>
  <si>
    <t>Metric</t>
  </si>
  <si>
    <t>Last</t>
  </si>
  <si>
    <t>Median (1Y)</t>
  </si>
  <si>
    <t>Average (1Y)</t>
  </si>
  <si>
    <t>Comparative score</t>
  </si>
  <si>
    <t>Mean Reverse Prob.</t>
  </si>
  <si>
    <t xml:space="preserve">1M </t>
  </si>
  <si>
    <t xml:space="preserve">3M </t>
  </si>
  <si>
    <t>6M</t>
  </si>
  <si>
    <t>Speculator Net Position(1y)</t>
  </si>
  <si>
    <t>Spec % of total OI(1y)</t>
  </si>
  <si>
    <t>Long/Short OI(1y)</t>
  </si>
  <si>
    <t>CoT</t>
  </si>
  <si>
    <t>Speculator net position</t>
  </si>
  <si>
    <t>Spec % of total OI</t>
  </si>
  <si>
    <t>Long/Short OI</t>
  </si>
  <si>
    <t>Clearing px(3M)</t>
  </si>
  <si>
    <t>Cover ratio</t>
  </si>
  <si>
    <t>Auction</t>
  </si>
  <si>
    <t>Premium/discount (%) - clearing px</t>
  </si>
  <si>
    <t>Premium/discount (%) - median bid px</t>
  </si>
  <si>
    <t>Median (6M)</t>
  </si>
  <si>
    <t>Average (6M)</t>
  </si>
  <si>
    <t xml:space="preserve">Price Chart </t>
  </si>
  <si>
    <t>Options</t>
  </si>
  <si>
    <t>Options OI % total OI -agg</t>
  </si>
  <si>
    <t>Call/Put ratio-agg</t>
  </si>
  <si>
    <t>Hist Vol - 1Y</t>
  </si>
  <si>
    <t>Prompt Dec Option OI% vs. Total OI</t>
  </si>
  <si>
    <t>50 Delta iVol-Dec</t>
  </si>
  <si>
    <t>25 delta risk reversal (Call - Put)-Dec</t>
  </si>
  <si>
    <t>Call/Put ratio-Prompt Dec</t>
  </si>
  <si>
    <t>Butterfly-Dec</t>
  </si>
  <si>
    <t>Prompt Option OI% total OI vs. Total OI</t>
  </si>
  <si>
    <t>Call/Put ratio-Prompt</t>
  </si>
  <si>
    <t>50 Delta iVol-Prompt</t>
  </si>
  <si>
    <t>25 delta risk reversal (Call - Put)-Prompt</t>
  </si>
  <si>
    <t>Butterfly-Prompt</t>
  </si>
  <si>
    <t>Biggest call contract - moneyness</t>
  </si>
  <si>
    <t>Biggest put contract - moneyness</t>
  </si>
  <si>
    <t>Technicals</t>
  </si>
  <si>
    <t>RSI</t>
  </si>
  <si>
    <t>MACD</t>
  </si>
  <si>
    <t>BB %</t>
  </si>
  <si>
    <t>BB%</t>
  </si>
  <si>
    <t>MA20</t>
  </si>
  <si>
    <t>MA50</t>
  </si>
  <si>
    <t>Volume</t>
  </si>
  <si>
    <t>MA200</t>
  </si>
  <si>
    <t>Intraday H/L spread % yesterday settle</t>
  </si>
  <si>
    <t>Volume(K)</t>
  </si>
  <si>
    <t>Fundamentals</t>
  </si>
  <si>
    <t>Renewables % total output</t>
  </si>
  <si>
    <t>Gas storage % full</t>
  </si>
  <si>
    <t>5DAY</t>
  </si>
  <si>
    <t>20DAY</t>
  </si>
  <si>
    <t>60DAY</t>
  </si>
  <si>
    <t>200DAY</t>
  </si>
  <si>
    <t>Gas</t>
  </si>
  <si>
    <t>TTF correlation (rolling XX days)</t>
  </si>
  <si>
    <t>Price return % - TTF</t>
  </si>
  <si>
    <t>Price return % - TTF vs EUA (Z score)</t>
  </si>
  <si>
    <t>Fuel switching (tbc)</t>
  </si>
  <si>
    <t>Emissions trend</t>
  </si>
  <si>
    <t>Emissions trend SA</t>
  </si>
  <si>
    <t>Date</t>
  </si>
  <si>
    <t>IU34VSQW Index - Last Price (R2)</t>
  </si>
  <si>
    <t>IU34APAC Index - Last Price (R1)</t>
  </si>
  <si>
    <t>IU34QXFY Index - Last Price (L1)</t>
  </si>
  <si>
    <t>average OI</t>
  </si>
  <si>
    <t>Z net</t>
  </si>
  <si>
    <t>Z long</t>
  </si>
  <si>
    <t>Z short</t>
  </si>
  <si>
    <t>Z ave OI</t>
  </si>
  <si>
    <t>Long/Short</t>
  </si>
  <si>
    <t>longshort Z</t>
  </si>
  <si>
    <t>1M Trend</t>
  </si>
  <si>
    <t>3M Trend</t>
  </si>
  <si>
    <t>6M Trend</t>
  </si>
  <si>
    <t>C1</t>
  </si>
  <si>
    <t>C2</t>
  </si>
  <si>
    <t>C3</t>
  </si>
  <si>
    <t>Aggregate Put Open Interest  (R1)</t>
  </si>
  <si>
    <t>Aggregate Call Open Interest  (R1)</t>
  </si>
  <si>
    <t>Aggregate Open Interest  (L1)</t>
  </si>
  <si>
    <t>OPTION OI%</t>
  </si>
  <si>
    <t>Option OI%Z</t>
  </si>
  <si>
    <t>PUT/CALL OI</t>
  </si>
  <si>
    <t>PUT/CALL OI Z</t>
  </si>
  <si>
    <t>1st Month Call Imp Vol 25 Delta LIVE  (R2)</t>
  </si>
  <si>
    <t>1st Month Put Imp Vol 25 Delta LIVE  (L2)</t>
  </si>
  <si>
    <t>1st Month Call Imp Vol 50 Delta LIVE  (R1)</t>
  </si>
  <si>
    <t>1st Month Put Imp Vol 50 Delta LIVE  (L1)</t>
  </si>
  <si>
    <t>Butterfly</t>
  </si>
  <si>
    <t>Reversal</t>
  </si>
  <si>
    <t>Butterfly Z</t>
  </si>
  <si>
    <t>Reversal Z</t>
  </si>
  <si>
    <t>ACDERRTL Index  (L1)</t>
  </si>
  <si>
    <t>ACDESSIN Index  (R1)</t>
  </si>
  <si>
    <t>ACDEWOTL Index  (L2)</t>
  </si>
  <si>
    <t>ACDEWSTL Index  (R3)</t>
  </si>
  <si>
    <t>EXTLASDT Index  (L3)</t>
  </si>
  <si>
    <t>ACDEBITL Index  (R4)</t>
  </si>
  <si>
    <t>ACDEGATL Index  (L4)</t>
  </si>
  <si>
    <t>ACDELITL Index  (R1)</t>
  </si>
  <si>
    <t>ACDECOTL Index  (R1)</t>
  </si>
  <si>
    <t>ACDEGSTL Index  (R1)</t>
  </si>
  <si>
    <t>ACDEOITL Index  (R1)</t>
  </si>
  <si>
    <t>ACDEPSTL Index  (R1)</t>
  </si>
  <si>
    <t>.SSGEM U Index  (R1)</t>
  </si>
  <si>
    <t>.DSGEM U Index  (R1)</t>
  </si>
  <si>
    <t>CGIEEUFU Index -  on 7/24/24  (R2)</t>
  </si>
  <si>
    <t>Total</t>
  </si>
  <si>
    <t>Run of River Hydro</t>
  </si>
  <si>
    <t>Seasonal Storage Hydro</t>
  </si>
  <si>
    <t>Offshore Wind</t>
  </si>
  <si>
    <t>Onshore Wind</t>
  </si>
  <si>
    <t>Solar Production</t>
  </si>
  <si>
    <t>Biomass</t>
  </si>
  <si>
    <t>Energy From Waste</t>
  </si>
  <si>
    <t>Lignite</t>
  </si>
  <si>
    <t>Coal</t>
  </si>
  <si>
    <t>Oil</t>
  </si>
  <si>
    <t>Pumped Hydro</t>
  </si>
  <si>
    <t>Gas Z</t>
  </si>
  <si>
    <t xml:space="preserve">Reneable </t>
  </si>
  <si>
    <t>Spark Germen</t>
  </si>
  <si>
    <t>Dark Germen</t>
  </si>
  <si>
    <t>Gas full</t>
  </si>
  <si>
    <t>CGIEEUFU Index -  on 7/2/24  (R2)</t>
  </si>
  <si>
    <t>Dec Contract</t>
  </si>
  <si>
    <t>50D</t>
  </si>
  <si>
    <t>Hist Vol</t>
  </si>
  <si>
    <t>25DC</t>
  </si>
  <si>
    <t>25DP</t>
  </si>
  <si>
    <t>50D-Hist Vol</t>
  </si>
  <si>
    <t>25D Spread</t>
  </si>
  <si>
    <t>butterfly</t>
  </si>
  <si>
    <t xml:space="preserve">Prompt Contract </t>
  </si>
  <si>
    <t>07/25/24</t>
  </si>
  <si>
    <t>07/24/24</t>
  </si>
  <si>
    <t>07/23/24</t>
  </si>
  <si>
    <t>07/22/24</t>
  </si>
  <si>
    <t>07/19/24</t>
  </si>
  <si>
    <t>07/18/24</t>
  </si>
  <si>
    <t>07/17/24</t>
  </si>
  <si>
    <t>07/16/24</t>
  </si>
  <si>
    <t>07/15/24</t>
  </si>
  <si>
    <t>06/28/24</t>
  </si>
  <si>
    <t>06/27/24</t>
  </si>
  <si>
    <t>06/26/24</t>
  </si>
  <si>
    <t>06/25/24</t>
  </si>
  <si>
    <t>06/24/24</t>
  </si>
  <si>
    <t>06/21/24</t>
  </si>
  <si>
    <t>06/20/24</t>
  </si>
  <si>
    <t>06/19/24</t>
  </si>
  <si>
    <t>06/18/24</t>
  </si>
  <si>
    <t>06/17/24</t>
  </si>
  <si>
    <t>06/14/24</t>
  </si>
  <si>
    <t>06/13/24</t>
  </si>
  <si>
    <t>05/31/24</t>
  </si>
  <si>
    <t>05/30/24</t>
  </si>
  <si>
    <t>05/29/24</t>
  </si>
  <si>
    <t>05/28/24</t>
  </si>
  <si>
    <t>05/27/24</t>
  </si>
  <si>
    <t>05/24/24</t>
  </si>
  <si>
    <t>05/23/24</t>
  </si>
  <si>
    <t>05/22/24</t>
  </si>
  <si>
    <t>05/21/24</t>
  </si>
  <si>
    <t>05/20/24</t>
  </si>
  <si>
    <t>05/17/24</t>
  </si>
  <si>
    <t>05/16/24</t>
  </si>
  <si>
    <t>05/15/24</t>
  </si>
  <si>
    <t>05/14/24</t>
  </si>
  <si>
    <t>05/13/24</t>
  </si>
  <si>
    <t>04/30/24</t>
  </si>
  <si>
    <t>04/29/24</t>
  </si>
  <si>
    <t>04/26/24</t>
  </si>
  <si>
    <t>04/25/24</t>
  </si>
  <si>
    <t>04/24/24</t>
  </si>
  <si>
    <t>04/23/24</t>
  </si>
  <si>
    <t>04/22/24</t>
  </si>
  <si>
    <t>04/19/24</t>
  </si>
  <si>
    <t>04/18/24</t>
  </si>
  <si>
    <t>04/17/24</t>
  </si>
  <si>
    <t>04/16/24</t>
  </si>
  <si>
    <t>04/15/24</t>
  </si>
  <si>
    <t>03/28/24</t>
  </si>
  <si>
    <t xml:space="preserve"> </t>
  </si>
  <si>
    <t>03/27/24</t>
  </si>
  <si>
    <t>03/29/24</t>
  </si>
  <si>
    <t>03/26/24</t>
  </si>
  <si>
    <t>03/25/24</t>
  </si>
  <si>
    <t>03/22/24</t>
  </si>
  <si>
    <t>03/21/24</t>
  </si>
  <si>
    <t>03/20/24</t>
  </si>
  <si>
    <t>03/19/24</t>
  </si>
  <si>
    <t>03/18/24</t>
  </si>
  <si>
    <t>03/15/24</t>
  </si>
  <si>
    <t>03/14/24</t>
  </si>
  <si>
    <t>03/13/24</t>
  </si>
  <si>
    <t>02/29/24</t>
  </si>
  <si>
    <t>02/28/24</t>
  </si>
  <si>
    <t>02/27/24</t>
  </si>
  <si>
    <t>02/26/24</t>
  </si>
  <si>
    <t>02/23/24</t>
  </si>
  <si>
    <t>02/22/24</t>
  </si>
  <si>
    <t>02/21/24</t>
  </si>
  <si>
    <t>02/20/24</t>
  </si>
  <si>
    <t>02/19/24</t>
  </si>
  <si>
    <t>02/16/24</t>
  </si>
  <si>
    <t>02/15/24</t>
  </si>
  <si>
    <t>02/14/24</t>
  </si>
  <si>
    <t>02/13/24</t>
  </si>
  <si>
    <t>01/31/24</t>
  </si>
  <si>
    <t>01/30/24</t>
  </si>
  <si>
    <t>01/29/24</t>
  </si>
  <si>
    <t>01/26/24</t>
  </si>
  <si>
    <t>01/25/24</t>
  </si>
  <si>
    <t>01/24/24</t>
  </si>
  <si>
    <t>01/23/24</t>
  </si>
  <si>
    <t>01/22/24</t>
  </si>
  <si>
    <t>01/19/24</t>
  </si>
  <si>
    <t>01/18/24</t>
  </si>
  <si>
    <t>01/17/24</t>
  </si>
  <si>
    <t>01/16/24</t>
  </si>
  <si>
    <t>01/15/24</t>
  </si>
  <si>
    <t>12/29/23</t>
  </si>
  <si>
    <t>12/28/23</t>
  </si>
  <si>
    <t>12/27/23</t>
  </si>
  <si>
    <t>12/22/23</t>
  </si>
  <si>
    <t>12/21/23</t>
  </si>
  <si>
    <t>12/20/23</t>
  </si>
  <si>
    <t>12/19/23</t>
  </si>
  <si>
    <t>12/26/23</t>
  </si>
  <si>
    <t>12/18/23</t>
  </si>
  <si>
    <t>12/25/23</t>
  </si>
  <si>
    <t>12/15/23</t>
  </si>
  <si>
    <t>12/14/23</t>
  </si>
  <si>
    <t>12/13/23</t>
  </si>
  <si>
    <t>11/30/23</t>
  </si>
  <si>
    <t>11/29/23</t>
  </si>
  <si>
    <t>11/28/23</t>
  </si>
  <si>
    <t>11/27/23</t>
  </si>
  <si>
    <t>11/24/23</t>
  </si>
  <si>
    <t>11/23/23</t>
  </si>
  <si>
    <t>11/22/23</t>
  </si>
  <si>
    <t>11/21/23</t>
  </si>
  <si>
    <t>11/20/23</t>
  </si>
  <si>
    <t>11/17/23</t>
  </si>
  <si>
    <t>11/16/23</t>
  </si>
  <si>
    <t>11/15/23</t>
  </si>
  <si>
    <t>11/14/23</t>
  </si>
  <si>
    <t>11/13/23</t>
  </si>
  <si>
    <t>10/31/23</t>
  </si>
  <si>
    <t>10/30/23</t>
  </si>
  <si>
    <t>10/27/23</t>
  </si>
  <si>
    <t>10/26/23</t>
  </si>
  <si>
    <t>10/25/23</t>
  </si>
  <si>
    <t>10/24/23</t>
  </si>
  <si>
    <t>10/23/23</t>
  </si>
  <si>
    <t>10/20/23</t>
  </si>
  <si>
    <t>10/19/23</t>
  </si>
  <si>
    <t>10/18/23</t>
  </si>
  <si>
    <t>10/17/23</t>
  </si>
  <si>
    <t>10/16/23</t>
  </si>
  <si>
    <t>10/13/23</t>
  </si>
  <si>
    <t>09/29/23</t>
  </si>
  <si>
    <t>09/28/23</t>
  </si>
  <si>
    <t>09/27/23</t>
  </si>
  <si>
    <t>09/26/23</t>
  </si>
  <si>
    <t>09/25/23</t>
  </si>
  <si>
    <t>09/22/23</t>
  </si>
  <si>
    <t>09/21/23</t>
  </si>
  <si>
    <t>09/20/23</t>
  </si>
  <si>
    <t>09/19/23</t>
  </si>
  <si>
    <t>09/18/23</t>
  </si>
  <si>
    <t>09/15/23</t>
  </si>
  <si>
    <t>09/14/23</t>
  </si>
  <si>
    <t>09/13/23</t>
  </si>
  <si>
    <t>08/31/23</t>
  </si>
  <si>
    <t>08/30/23</t>
  </si>
  <si>
    <t>08/29/23</t>
  </si>
  <si>
    <t>08/28/23</t>
  </si>
  <si>
    <t>08/25/23</t>
  </si>
  <si>
    <t>08/24/23</t>
  </si>
  <si>
    <t>08/23/23</t>
  </si>
  <si>
    <t>08/22/23</t>
  </si>
  <si>
    <t>08/21/23</t>
  </si>
  <si>
    <t>08/18/23</t>
  </si>
  <si>
    <t>08/17/23</t>
  </si>
  <si>
    <t>08/16/23</t>
  </si>
  <si>
    <t>08/15/23</t>
  </si>
  <si>
    <t>08/14/23</t>
  </si>
  <si>
    <t>07/31/23</t>
  </si>
  <si>
    <t>07/28/23</t>
  </si>
  <si>
    <t>07/27/23</t>
  </si>
  <si>
    <t>07/26/23</t>
  </si>
  <si>
    <t>07/25/23</t>
  </si>
  <si>
    <t>07/24/23</t>
  </si>
  <si>
    <t>07/21/23</t>
  </si>
  <si>
    <t>07/20/23</t>
  </si>
  <si>
    <t>07/19/23</t>
  </si>
  <si>
    <t>07/18/23</t>
  </si>
  <si>
    <t>07/17/23</t>
  </si>
  <si>
    <t>07/14/23</t>
  </si>
  <si>
    <t>07/13/23</t>
  </si>
  <si>
    <t>06/30/23</t>
  </si>
  <si>
    <t>06/29/23</t>
  </si>
  <si>
    <t>06/28/23</t>
  </si>
  <si>
    <t>06/27/23</t>
  </si>
  <si>
    <t>06/26/23</t>
  </si>
  <si>
    <t>06/23/23</t>
  </si>
  <si>
    <t>06/22/23</t>
  </si>
  <si>
    <t>06/21/23</t>
  </si>
  <si>
    <t>06/20/23</t>
  </si>
  <si>
    <t>06/19/23</t>
  </si>
  <si>
    <t>06/16/23</t>
  </si>
  <si>
    <t>06/15/23</t>
  </si>
  <si>
    <t>06/14/23</t>
  </si>
  <si>
    <t>06/13/23</t>
  </si>
  <si>
    <t>05/31/23</t>
  </si>
  <si>
    <t>05/30/23</t>
  </si>
  <si>
    <t>05/29/23</t>
  </si>
  <si>
    <t>05/26/23</t>
  </si>
  <si>
    <t>05/25/23</t>
  </si>
  <si>
    <t>05/24/23</t>
  </si>
  <si>
    <t>05/23/23</t>
  </si>
  <si>
    <t>05/22/23</t>
  </si>
  <si>
    <t>05/19/23</t>
  </si>
  <si>
    <t>05/18/23</t>
  </si>
  <si>
    <t>05/17/23</t>
  </si>
  <si>
    <t>05/16/23</t>
  </si>
  <si>
    <t>05/15/23</t>
  </si>
  <si>
    <t>04/28/23</t>
  </si>
  <si>
    <t>04/27/23</t>
  </si>
  <si>
    <t>04/26/23</t>
  </si>
  <si>
    <t>04/25/23</t>
  </si>
  <si>
    <t>04/24/23</t>
  </si>
  <si>
    <t>04/21/23</t>
  </si>
  <si>
    <t>04/20/23</t>
  </si>
  <si>
    <t>04/19/23</t>
  </si>
  <si>
    <t>04/18/23</t>
  </si>
  <si>
    <t>04/17/23</t>
  </si>
  <si>
    <t>04/14/23</t>
  </si>
  <si>
    <t>04/13/23</t>
  </si>
  <si>
    <t>03/31/23</t>
  </si>
  <si>
    <t>03/30/23</t>
  </si>
  <si>
    <t>03/29/23</t>
  </si>
  <si>
    <t>03/28/23</t>
  </si>
  <si>
    <t>03/27/23</t>
  </si>
  <si>
    <t>03/24/23</t>
  </si>
  <si>
    <t>03/23/23</t>
  </si>
  <si>
    <t>03/22/23</t>
  </si>
  <si>
    <t>03/21/23</t>
  </si>
  <si>
    <t>03/20/23</t>
  </si>
  <si>
    <t>03/17/23</t>
  </si>
  <si>
    <t>03/16/23</t>
  </si>
  <si>
    <t>03/15/23</t>
  </si>
  <si>
    <t>03/14/23</t>
  </si>
  <si>
    <t>03/13/23</t>
  </si>
  <si>
    <t>02/28/23</t>
  </si>
  <si>
    <t>02/27/23</t>
  </si>
  <si>
    <t>02/24/23</t>
  </si>
  <si>
    <t>02/23/23</t>
  </si>
  <si>
    <t>02/22/23</t>
  </si>
  <si>
    <t>02/21/23</t>
  </si>
  <si>
    <t>02/20/23</t>
  </si>
  <si>
    <t>02/17/23</t>
  </si>
  <si>
    <t>02/16/23</t>
  </si>
  <si>
    <t>02/15/23</t>
  </si>
  <si>
    <t>02/14/23</t>
  </si>
  <si>
    <t>02/13/23</t>
  </si>
  <si>
    <t>01/31/23</t>
  </si>
  <si>
    <t>01/30/23</t>
  </si>
  <si>
    <t>01/27/23</t>
  </si>
  <si>
    <t>01/26/23</t>
  </si>
  <si>
    <t>01/25/23</t>
  </si>
  <si>
    <t>01/24/23</t>
  </si>
  <si>
    <t>01/23/23</t>
  </si>
  <si>
    <t>01/20/23</t>
  </si>
  <si>
    <t>01/19/23</t>
  </si>
  <si>
    <t>01/18/23</t>
  </si>
  <si>
    <t>01/17/23</t>
  </si>
  <si>
    <t>01/16/23</t>
  </si>
  <si>
    <t>01/13/23</t>
  </si>
  <si>
    <t>auction price</t>
  </si>
  <si>
    <t>median price</t>
  </si>
  <si>
    <t>cover ratio</t>
  </si>
  <si>
    <t>date</t>
  </si>
  <si>
    <t>Spot.value</t>
  </si>
  <si>
    <t>Auction.Spot.diff</t>
  </si>
  <si>
    <t>Median.Spot.diff</t>
  </si>
  <si>
    <t>Premium/discount-settle</t>
  </si>
  <si>
    <t>z settle</t>
  </si>
  <si>
    <t>Premium/discount-median</t>
  </si>
  <si>
    <t>z Median</t>
  </si>
  <si>
    <t>z cover ratio</t>
  </si>
  <si>
    <t>C2-not using</t>
  </si>
  <si>
    <t>EUA-MACD</t>
  </si>
  <si>
    <t>EUA-RSI</t>
  </si>
  <si>
    <t>EUA-BB</t>
  </si>
  <si>
    <t>Z-macd</t>
  </si>
  <si>
    <t>Z-RSI</t>
  </si>
  <si>
    <t>Z-BB</t>
  </si>
  <si>
    <t>EUA-TTF-5</t>
  </si>
  <si>
    <t>EUA-TTF-30</t>
  </si>
  <si>
    <t>EUA-TTF-60</t>
  </si>
  <si>
    <t>EUA-TTF-200</t>
  </si>
  <si>
    <t>eua_directional</t>
  </si>
  <si>
    <t>TTF_directional</t>
  </si>
  <si>
    <t>EUA-WTCL</t>
  </si>
  <si>
    <t>TTF-WTCL</t>
  </si>
  <si>
    <t>eua 5</t>
  </si>
  <si>
    <t>ttf 5</t>
  </si>
  <si>
    <t>difference</t>
  </si>
  <si>
    <t>diff z</t>
  </si>
  <si>
    <t>eua 20</t>
  </si>
  <si>
    <t>ttf20</t>
  </si>
  <si>
    <t>eua 60</t>
  </si>
  <si>
    <t>ttf60</t>
  </si>
  <si>
    <t>eua 200</t>
  </si>
  <si>
    <t>ttf 200</t>
  </si>
  <si>
    <t>MACD(%ECF Z!-ICN;B, 12, 26, 9).DIFF</t>
  </si>
  <si>
    <t>RSI(%ECF Z!-ICN;B.Last, 14)</t>
  </si>
  <si>
    <t>PCNTB(%ECF Z!-ICN;B, 20, 2, Simple)</t>
  </si>
  <si>
    <t>CORR(%ECF Z!-ICN.Settle, %TTF 1!.Settle, 5).PLOT</t>
  </si>
  <si>
    <t>CORR(%ECF Z!-ICN.Settle, %TTF 1!.Settle, 30).PLOT</t>
  </si>
  <si>
    <t>CORR(%ECF Z!-ICN.Settle, %TTF 1!.Settle, 60).PLOT</t>
  </si>
  <si>
    <t>CORR(%ECF Z!-ICN.Settle, %TTF 1!.Settle, 200).PLOT</t>
  </si>
  <si>
    <t>DMI(%ECF Z!-ICN, High, Low, Last, 14).PDI</t>
  </si>
  <si>
    <t>DMI(%TTF 1!, High, Low, Last, 14).PDI</t>
  </si>
  <si>
    <t>WTCL(%ECF Z!-ICN, Last, High, Low).PLOT</t>
  </si>
  <si>
    <t>WTCL(%TTF 1!, Last, High, Low).PLOT</t>
  </si>
  <si>
    <t>EUA-MA20</t>
  </si>
  <si>
    <t>EUA-MA50</t>
  </si>
  <si>
    <t>EUA-MA200</t>
  </si>
  <si>
    <t>eua</t>
  </si>
  <si>
    <t>EUA</t>
  </si>
  <si>
    <t>MA(%ECF Z!-ICN;B.Close, 20)</t>
  </si>
  <si>
    <t>MA(%ECF Z!-ICN;B.Close, 50)</t>
  </si>
  <si>
    <t>MA(%ECF Z!-ICN;B.Close, 200)</t>
  </si>
  <si>
    <t>%ECF Z!-ICN.Close</t>
  </si>
  <si>
    <t>EFO-ICN U24</t>
  </si>
  <si>
    <t>Symbol</t>
  </si>
  <si>
    <t>Calls</t>
  </si>
  <si>
    <t>Puts</t>
  </si>
  <si>
    <t>%ECF Z!-ICN</t>
  </si>
  <si>
    <t>%TTF 1!</t>
  </si>
  <si>
    <t>Open Interest</t>
  </si>
  <si>
    <t>Strike</t>
  </si>
  <si>
    <t>ImpVol</t>
  </si>
  <si>
    <t>Delta</t>
  </si>
  <si>
    <t>Open</t>
  </si>
  <si>
    <t>High</t>
  </si>
  <si>
    <t>Low</t>
  </si>
  <si>
    <t>Close</t>
  </si>
  <si>
    <t>INT</t>
  </si>
  <si>
    <t>Z INT</t>
  </si>
  <si>
    <t>z Volume</t>
  </si>
  <si>
    <t>ECF 24Z-ICN</t>
  </si>
  <si>
    <t>Time Series</t>
  </si>
  <si>
    <t>PUT OI</t>
  </si>
  <si>
    <t>Call OI</t>
  </si>
  <si>
    <t>EUA return</t>
  </si>
  <si>
    <t>His.Vol</t>
  </si>
  <si>
    <t/>
  </si>
  <si>
    <t>EUA FUTURES - EUA - DEC24</t>
  </si>
  <si>
    <t>DUTCH TTF NATURAL GAS CALENDAR MONTH</t>
  </si>
  <si>
    <t>PUT Strike</t>
  </si>
  <si>
    <t>Call Strike</t>
  </si>
  <si>
    <t>25D Call</t>
  </si>
  <si>
    <t>25D Put</t>
  </si>
  <si>
    <t>ATM</t>
  </si>
  <si>
    <t>EFO 24UC2000-ICN</t>
  </si>
  <si>
    <t>EFO 24UP2000-ICN</t>
  </si>
  <si>
    <t>EFO 24UC2050-ICN</t>
  </si>
  <si>
    <t>EFO 24UP2050-ICN</t>
  </si>
  <si>
    <t>EFO 24UC2100-ICN</t>
  </si>
  <si>
    <t>EFO 24UP2100-ICN</t>
  </si>
  <si>
    <t>EFO 24UC2150-ICN</t>
  </si>
  <si>
    <t>EFO 24UP2150-ICN</t>
  </si>
  <si>
    <t>EFO 24UC2200-ICN</t>
  </si>
  <si>
    <t>EFO 24UP2200-ICN</t>
  </si>
  <si>
    <t>EFO 24UC2250-ICN</t>
  </si>
  <si>
    <t>EFO 24UP2250-ICN</t>
  </si>
  <si>
    <t>EFO 24UC2300-ICN</t>
  </si>
  <si>
    <t>EFO 24UP2300-ICN</t>
  </si>
  <si>
    <t>EFO 24UC2350-ICN</t>
  </si>
  <si>
    <t>EFO 24UP2350-ICN</t>
  </si>
  <si>
    <t>EFO 24UC2400-ICN</t>
  </si>
  <si>
    <t>EFO 24UP2400-ICN</t>
  </si>
  <si>
    <t>EFO 24UC2450-ICN</t>
  </si>
  <si>
    <t>EFO 24UP2450-ICN</t>
  </si>
  <si>
    <t>EFO 24UC2500-ICN</t>
  </si>
  <si>
    <t>EFO 24UP2500-ICN</t>
  </si>
  <si>
    <t>EFO 24UC2550-ICN</t>
  </si>
  <si>
    <t>EFO 24UP2550-ICN</t>
  </si>
  <si>
    <t>EFO 24UC2600-ICN</t>
  </si>
  <si>
    <t>EFO 24UP2600-ICN</t>
  </si>
  <si>
    <t>EFO 24UC2650-ICN</t>
  </si>
  <si>
    <t>EFO 24UP2650-ICN</t>
  </si>
  <si>
    <t>EFO 24UC2700-ICN</t>
  </si>
  <si>
    <t>EFO 24UP2700-ICN</t>
  </si>
  <si>
    <t>EFO 24UC2750-ICN</t>
  </si>
  <si>
    <t>EFO 24UP2750-ICN</t>
  </si>
  <si>
    <t>EFO 24UC2800-ICN</t>
  </si>
  <si>
    <t>EFO 24UP2800-ICN</t>
  </si>
  <si>
    <t>EFO 24UC2850-ICN</t>
  </si>
  <si>
    <t>EFO 24UP2850-ICN</t>
  </si>
  <si>
    <t>EFO 24UC2900-ICN</t>
  </si>
  <si>
    <t>EFO 24UP2900-ICN</t>
  </si>
  <si>
    <t>EFO 24UC2950-ICN</t>
  </si>
  <si>
    <t>EFO 24UP2950-ICN</t>
  </si>
  <si>
    <t>EFO 24UC3000-ICN</t>
  </si>
  <si>
    <t>EFO 24UP3000-ICN</t>
  </si>
  <si>
    <t>EFO 24UC3050-ICN</t>
  </si>
  <si>
    <t>EFO 24UP3050-ICN</t>
  </si>
  <si>
    <t>EFO 24UC3100-ICN</t>
  </si>
  <si>
    <t>EFO 24UP3100-ICN</t>
  </si>
  <si>
    <t>EFO 24UC3150-ICN</t>
  </si>
  <si>
    <t>EFO 24UP3150-ICN</t>
  </si>
  <si>
    <t>EFO 24UC3200-ICN</t>
  </si>
  <si>
    <t>EFO 24UP3200-ICN</t>
  </si>
  <si>
    <t>EFO 24UC3250-ICN</t>
  </si>
  <si>
    <t>EFO 24UP3250-ICN</t>
  </si>
  <si>
    <t>EFO 24UC3300-ICN</t>
  </si>
  <si>
    <t>EFO 24UP3300-ICN</t>
  </si>
  <si>
    <t>EFO 24UC3350-ICN</t>
  </si>
  <si>
    <t>EFO 24UP3350-ICN</t>
  </si>
  <si>
    <t>EFO 24UC3400-ICN</t>
  </si>
  <si>
    <t>EFO 24UP3400-ICN</t>
  </si>
  <si>
    <t>EFO 24UC3450-ICN</t>
  </si>
  <si>
    <t>EFO 24UP3450-ICN</t>
  </si>
  <si>
    <t>EFO 24UC3500-ICN</t>
  </si>
  <si>
    <t>EFO 24UP3500-ICN</t>
  </si>
  <si>
    <t>EFO 24UC3550-ICN</t>
  </si>
  <si>
    <t>EFO 24UP3550-ICN</t>
  </si>
  <si>
    <t>EFO 24UC3600-ICN</t>
  </si>
  <si>
    <t>EFO 24UP3600-ICN</t>
  </si>
  <si>
    <t>EFO 24UC3650-ICN</t>
  </si>
  <si>
    <t>EFO 24UP3650-ICN</t>
  </si>
  <si>
    <t>EFO 24UC3700-ICN</t>
  </si>
  <si>
    <t>EFO 24UP3700-ICN</t>
  </si>
  <si>
    <t>EFO 24UC3750-ICN</t>
  </si>
  <si>
    <t>EFO 24UP3750-ICN</t>
  </si>
  <si>
    <t>EFO 24UC3800-ICN</t>
  </si>
  <si>
    <t>EFO 24UP3800-ICN</t>
  </si>
  <si>
    <t>EFO 24UC3850-ICN</t>
  </si>
  <si>
    <t>EFO 24UP3850-ICN</t>
  </si>
  <si>
    <t>EFO 24UC3900-ICN</t>
  </si>
  <si>
    <t>EFO 24UP3900-ICN</t>
  </si>
  <si>
    <t>EFO 24UC3950-ICN</t>
  </si>
  <si>
    <t>EFO 24UP3950-ICN</t>
  </si>
  <si>
    <t>EFO 24UC4000-ICN</t>
  </si>
  <si>
    <t>EFO 24UP4000-ICN</t>
  </si>
  <si>
    <t>EFO 24UC4050-ICN</t>
  </si>
  <si>
    <t>EFO 24UP4050-ICN</t>
  </si>
  <si>
    <t>EFO 24UC4100-ICN</t>
  </si>
  <si>
    <t>EFO 24UP4100-ICN</t>
  </si>
  <si>
    <t>EFO 24UC4150-ICN</t>
  </si>
  <si>
    <t>EFO 24UP4150-ICN</t>
  </si>
  <si>
    <t>EFO 24UC4200-ICN</t>
  </si>
  <si>
    <t>EFO 24UP4200-ICN</t>
  </si>
  <si>
    <t>EFO 24UC4250-ICN</t>
  </si>
  <si>
    <t>EFO 24UP4250-ICN</t>
  </si>
  <si>
    <t>EFO 24UC4300-ICN</t>
  </si>
  <si>
    <t>EFO 24UP4300-ICN</t>
  </si>
  <si>
    <t>EFO 24UC4350-ICN</t>
  </si>
  <si>
    <t>EFO 24UP4350-ICN</t>
  </si>
  <si>
    <t>EFO 24UC4400-ICN</t>
  </si>
  <si>
    <t>EFO 24UP4400-ICN</t>
  </si>
  <si>
    <t>EFO 24UC4450-ICN</t>
  </si>
  <si>
    <t>EFO 24UP4450-ICN</t>
  </si>
  <si>
    <t>EFO 24UC4500-ICN</t>
  </si>
  <si>
    <t>EFO 24UP4500-ICN</t>
  </si>
  <si>
    <t>EFO 24UC4550-ICN</t>
  </si>
  <si>
    <t>EFO 24UP4550-ICN</t>
  </si>
  <si>
    <t>EFO 24UC4600-ICN</t>
  </si>
  <si>
    <t>EFO 24UP4600-ICN</t>
  </si>
  <si>
    <t>EFO 24UC4650-ICN</t>
  </si>
  <si>
    <t>EFO 24UP4650-ICN</t>
  </si>
  <si>
    <t>EFO 24UC4700-ICN</t>
  </si>
  <si>
    <t>EFO 24UP4700-ICN</t>
  </si>
  <si>
    <t>EFO 24UC4750-ICN</t>
  </si>
  <si>
    <t>EFO 24UP4750-ICN</t>
  </si>
  <si>
    <t>EFO 24UC4800-ICN</t>
  </si>
  <si>
    <t>EFO 24UP4800-ICN</t>
  </si>
  <si>
    <t>EFO 24UC4850-ICN</t>
  </si>
  <si>
    <t>EFO 24UP4850-ICN</t>
  </si>
  <si>
    <t>EFO 24UC4900-ICN</t>
  </si>
  <si>
    <t>EFO 24UP4900-ICN</t>
  </si>
  <si>
    <t>EFO 24UC4950-ICN</t>
  </si>
  <si>
    <t>EFO 24UP4950-ICN</t>
  </si>
  <si>
    <t>EFO 24UC5000-ICN</t>
  </si>
  <si>
    <t>EFO 24UP5000-ICN</t>
  </si>
  <si>
    <t>EFO 24UC5050-ICN</t>
  </si>
  <si>
    <t>EFO 24UP5050-ICN</t>
  </si>
  <si>
    <t>EFO 24UC5100-ICN</t>
  </si>
  <si>
    <t>EFO 24UP5100-ICN</t>
  </si>
  <si>
    <t>EFO 24UC5150-ICN</t>
  </si>
  <si>
    <t>EFO 24UP5150-ICN</t>
  </si>
  <si>
    <t>EFO 24UC5200-ICN</t>
  </si>
  <si>
    <t>EFO 24UP5200-ICN</t>
  </si>
  <si>
    <t>EFO 24UC5250-ICN</t>
  </si>
  <si>
    <t>EFO 24UP5250-ICN</t>
  </si>
  <si>
    <t>EFO 24UC5300-ICN</t>
  </si>
  <si>
    <t>EFO 24UP5300-ICN</t>
  </si>
  <si>
    <t>EFO 24UC5350-ICN</t>
  </si>
  <si>
    <t>EFO 24UP5350-ICN</t>
  </si>
  <si>
    <t>EFO 24UC5400-ICN</t>
  </si>
  <si>
    <t>EFO 24UP5400-ICN</t>
  </si>
  <si>
    <t>EFO 24UC5450-ICN</t>
  </si>
  <si>
    <t>EFO 24UP5450-ICN</t>
  </si>
  <si>
    <t>EFO 24UC5500-ICN</t>
  </si>
  <si>
    <t>EFO 24UP5500-ICN</t>
  </si>
  <si>
    <t>EFO 24UC5550-ICN</t>
  </si>
  <si>
    <t>EFO 24UP5550-ICN</t>
  </si>
  <si>
    <t>EFO 24UC5600-ICN</t>
  </si>
  <si>
    <t>EFO 24UP5600-ICN</t>
  </si>
  <si>
    <t>EFO 24UC5650-ICN</t>
  </si>
  <si>
    <t>EFO 24UP5650-ICN</t>
  </si>
  <si>
    <t>EFO 24UC5700-ICN</t>
  </si>
  <si>
    <t>EFO 24UP5700-ICN</t>
  </si>
  <si>
    <t>EFO 24UC5750-ICN</t>
  </si>
  <si>
    <t>EFO 24UP5750-ICN</t>
  </si>
  <si>
    <t>EFO 24UC5800-ICN</t>
  </si>
  <si>
    <t>EFO 24UP5800-ICN</t>
  </si>
  <si>
    <t>EFO 24UC5850-ICN</t>
  </si>
  <si>
    <t>EFO 24UP5850-ICN</t>
  </si>
  <si>
    <t>EFO 24UC5900-ICN</t>
  </si>
  <si>
    <t>EFO 24UP5900-ICN</t>
  </si>
  <si>
    <t>EFO 24UC5950-ICN</t>
  </si>
  <si>
    <t>EFO 24UP5950-ICN</t>
  </si>
  <si>
    <t>EFO 24UC6000-ICN</t>
  </si>
  <si>
    <t>EFO 24UP6000-ICN</t>
  </si>
  <si>
    <t>EFO 24UC6050-ICN</t>
  </si>
  <si>
    <t>EFO 24UP6050-ICN</t>
  </si>
  <si>
    <t>EFO 24UC6100-ICN</t>
  </si>
  <si>
    <t>EFO 24UP6100-ICN</t>
  </si>
  <si>
    <t>EFO 24UC6150-ICN</t>
  </si>
  <si>
    <t>EFO 24UP6150-ICN</t>
  </si>
  <si>
    <t>EFO 24UC6200-ICN</t>
  </si>
  <si>
    <t>EFO 24UP6200-ICN</t>
  </si>
  <si>
    <t>EFO 24UC6250-ICN</t>
  </si>
  <si>
    <t>EFO 24UP6250-ICN</t>
  </si>
  <si>
    <t>EFO 24UC6300-ICN</t>
  </si>
  <si>
    <t>EFO 24UP6300-ICN</t>
  </si>
  <si>
    <t>EFO 24UC6350-ICN</t>
  </si>
  <si>
    <t>EFO 24UP6350-ICN</t>
  </si>
  <si>
    <t>EFO 24UC6400-ICN</t>
  </si>
  <si>
    <t>EFO 24UP6400-ICN</t>
  </si>
  <si>
    <t>EFO 24UC6450-ICN</t>
  </si>
  <si>
    <t>EFO 24UP6450-ICN</t>
  </si>
  <si>
    <t>EFO 24UC6500-ICN</t>
  </si>
  <si>
    <t>EFO 24UP6500-ICN</t>
  </si>
  <si>
    <t>EFO 24UC6550-ICN</t>
  </si>
  <si>
    <t>EFO 24UP6550-ICN</t>
  </si>
  <si>
    <t>EFO 24UC6600-ICN</t>
  </si>
  <si>
    <t>EFO 24UP6600-ICN</t>
  </si>
  <si>
    <t>EFO 24UC6650-ICN</t>
  </si>
  <si>
    <t>EFO 24UP6650-ICN</t>
  </si>
  <si>
    <t>EFO 24UC6700-ICN</t>
  </si>
  <si>
    <t>EFO 24UP6700-ICN</t>
  </si>
  <si>
    <t>EFO 24UC6750-ICN</t>
  </si>
  <si>
    <t>EFO 24UP6750-ICN</t>
  </si>
  <si>
    <t>EFO 24UC6800-ICN</t>
  </si>
  <si>
    <t>EFO 24UP6800-ICN</t>
  </si>
  <si>
    <t>EFO 24UC6850-ICN</t>
  </si>
  <si>
    <t>EFO 24UP6850-ICN</t>
  </si>
  <si>
    <t>EFO 24UC6900-ICN</t>
  </si>
  <si>
    <t>EFO 24UP6900-ICN</t>
  </si>
  <si>
    <t>EFO 24UC6950-ICN</t>
  </si>
  <si>
    <t>EFO 24UP6950-ICN</t>
  </si>
  <si>
    <t>EFO 24UC7000-ICN</t>
  </si>
  <si>
    <t>EFO 24UP7000-ICN</t>
  </si>
  <si>
    <t>EFO 24UC7050-ICN</t>
  </si>
  <si>
    <t>EFO 24UP7050-ICN</t>
  </si>
  <si>
    <t>EFO 24UC7100-ICN</t>
  </si>
  <si>
    <t>EFO 24UP7100-ICN</t>
  </si>
  <si>
    <t>EFO 24UC7150-ICN</t>
  </si>
  <si>
    <t>EFO 24UP7150-ICN</t>
  </si>
  <si>
    <t>EFO 24UC7200-ICN</t>
  </si>
  <si>
    <t>EFO 24UP7200-ICN</t>
  </si>
  <si>
    <t>EFO 24UC7250-ICN</t>
  </si>
  <si>
    <t>EFO 24UP7250-ICN</t>
  </si>
  <si>
    <t>EFO 24UC7300-ICN</t>
  </si>
  <si>
    <t>EFO 24UP7300-ICN</t>
  </si>
  <si>
    <t>EFO 24UC7350-ICN</t>
  </si>
  <si>
    <t>EFO 24UP7350-ICN</t>
  </si>
  <si>
    <t>EFO 24UC7400-ICN</t>
  </si>
  <si>
    <t>EFO 24UP7400-ICN</t>
  </si>
  <si>
    <t>EFO 24UC7450-ICN</t>
  </si>
  <si>
    <t>EFO 24UP7450-ICN</t>
  </si>
  <si>
    <t>EFO 24UC7500-ICN</t>
  </si>
  <si>
    <t>EFO 24UP7500-ICN</t>
  </si>
  <si>
    <t>EFO 24UC7550-ICN</t>
  </si>
  <si>
    <t>EFO 24UP7550-ICN</t>
  </si>
  <si>
    <t>EFO 24UC7600-ICN</t>
  </si>
  <si>
    <t>EFO 24UP7600-ICN</t>
  </si>
  <si>
    <t>EFO 24UC7650-ICN</t>
  </si>
  <si>
    <t>EFO 24UP7650-ICN</t>
  </si>
  <si>
    <t>EFO 24UC7700-ICN</t>
  </si>
  <si>
    <t>EFO 24UP7700-ICN</t>
  </si>
  <si>
    <t>EFO 24UC7750-ICN</t>
  </si>
  <si>
    <t>EFO 24UP7750-ICN</t>
  </si>
  <si>
    <t>EFO 24UC7800-ICN</t>
  </si>
  <si>
    <t>EFO 24UP7800-ICN</t>
  </si>
  <si>
    <t>EFO 24UC7850-ICN</t>
  </si>
  <si>
    <t>EFO 24UP7850-ICN</t>
  </si>
  <si>
    <t>EFO 24UC7900-ICN</t>
  </si>
  <si>
    <t>EFO 24UP7900-ICN</t>
  </si>
  <si>
    <t>EFO 24UC7950-ICN</t>
  </si>
  <si>
    <t>EFO 24UP7950-ICN</t>
  </si>
  <si>
    <t>EFO 24UC8000-ICN</t>
  </si>
  <si>
    <t>EFO 24UP8000-ICN</t>
  </si>
  <si>
    <t>EFO 24UC8050-ICN</t>
  </si>
  <si>
    <t>EFO 24UP8050-ICN</t>
  </si>
  <si>
    <t>EFO 24UC8100-ICN</t>
  </si>
  <si>
    <t>EFO 24UP8100-ICN</t>
  </si>
  <si>
    <t>EFO 24UC8150-ICN</t>
  </si>
  <si>
    <t>EFO 24UP8150-ICN</t>
  </si>
  <si>
    <t>EFO 24UC8200-ICN</t>
  </si>
  <si>
    <t>EFO 24UP8200-ICN</t>
  </si>
  <si>
    <t>EFO 24UC8250-ICN</t>
  </si>
  <si>
    <t>EFO 24UP8250-ICN</t>
  </si>
  <si>
    <t>EFO 24UC8300-ICN</t>
  </si>
  <si>
    <t>EFO 24UP8300-ICN</t>
  </si>
  <si>
    <t>EFO 24UC8350-ICN</t>
  </si>
  <si>
    <t>EFO 24UP8350-ICN</t>
  </si>
  <si>
    <t>EFO 24UC8400-ICN</t>
  </si>
  <si>
    <t>EFO 24UP8400-ICN</t>
  </si>
  <si>
    <t>EFO 24UC8450-ICN</t>
  </si>
  <si>
    <t>EFO 24UP8450-ICN</t>
  </si>
  <si>
    <t>EFO 24UC8500-ICN</t>
  </si>
  <si>
    <t>EFO 24UP8500-ICN</t>
  </si>
  <si>
    <t>EFO 24UC8550-ICN</t>
  </si>
  <si>
    <t>EFO 24UP8550-ICN</t>
  </si>
  <si>
    <t>EFO 24UC8600-ICN</t>
  </si>
  <si>
    <t>EFO 24UP8600-ICN</t>
  </si>
  <si>
    <t>EFO 24UC8650-ICN</t>
  </si>
  <si>
    <t>EFO 24UP8650-ICN</t>
  </si>
  <si>
    <t>EFO 24UC8700-ICN</t>
  </si>
  <si>
    <t>EFO 24UP8700-ICN</t>
  </si>
  <si>
    <t>EFO 24UC8750-ICN</t>
  </si>
  <si>
    <t>EFO 24UP8750-ICN</t>
  </si>
  <si>
    <t>EFO 24UC8800-ICN</t>
  </si>
  <si>
    <t>EFO 24UP8800-ICN</t>
  </si>
  <si>
    <t>EFO 24UC8850-ICN</t>
  </si>
  <si>
    <t>EFO 24UP8850-ICN</t>
  </si>
  <si>
    <t>EFO 24UC8900-ICN</t>
  </si>
  <si>
    <t>EFO 24UP8900-ICN</t>
  </si>
  <si>
    <t>EFO 24UC8950-ICN</t>
  </si>
  <si>
    <t>EFO 24UP8950-ICN</t>
  </si>
  <si>
    <t>EFO 24UC9000-ICN</t>
  </si>
  <si>
    <t>EFO 24UP9000-ICN</t>
  </si>
  <si>
    <t>EFO 24UC9050-ICN</t>
  </si>
  <si>
    <t>EFO 24UP9050-ICN</t>
  </si>
  <si>
    <t>EFO 24UC9100-ICN</t>
  </si>
  <si>
    <t>EFO 24UP9100-ICN</t>
  </si>
  <si>
    <t>EFO 24UC9150-ICN</t>
  </si>
  <si>
    <t>EFO 24UP9150-ICN</t>
  </si>
  <si>
    <t>EFO 24UC9200-ICN</t>
  </si>
  <si>
    <t>EFO 24UP9200-ICN</t>
  </si>
  <si>
    <t>EFO 24UC9250-ICN</t>
  </si>
  <si>
    <t>EFO 24UP9250-ICN</t>
  </si>
  <si>
    <t>EFO 24UC9300-ICN</t>
  </si>
  <si>
    <t>EFO 24UP9300-ICN</t>
  </si>
  <si>
    <t>EFO 24UC9350-ICN</t>
  </si>
  <si>
    <t>EFO 24UP9350-ICN</t>
  </si>
  <si>
    <t>EFO 24UC9400-ICN</t>
  </si>
  <si>
    <t>EFO 24UP9400-ICN</t>
  </si>
  <si>
    <t>EFO 24UC9450-ICN</t>
  </si>
  <si>
    <t>EFO 24UP9450-ICN</t>
  </si>
  <si>
    <t>EFO 24UC9500-ICN</t>
  </si>
  <si>
    <t>EFO 24UP9500-ICN</t>
  </si>
  <si>
    <t>EFO 24UC9550-ICN</t>
  </si>
  <si>
    <t>EFO 24UP9550-ICN</t>
  </si>
  <si>
    <t>EFO 24UC9600-ICN</t>
  </si>
  <si>
    <t>EFO 24UP9600-ICN</t>
  </si>
  <si>
    <t>EFO 24UC9650-ICN</t>
  </si>
  <si>
    <t>EFO 24UP9650-ICN</t>
  </si>
  <si>
    <t>EFO 24UC9700-ICN</t>
  </si>
  <si>
    <t>EFO 24UP9700-ICN</t>
  </si>
  <si>
    <t>EFO 24UC9750-ICN</t>
  </si>
  <si>
    <t>EFO 24UP9750-ICN</t>
  </si>
  <si>
    <t>EFO 24UC9800-ICN</t>
  </si>
  <si>
    <t>EFO 24UP9800-ICN</t>
  </si>
  <si>
    <t>EFO 24UC9850-ICN</t>
  </si>
  <si>
    <t>EFO 24UP9850-ICN</t>
  </si>
  <si>
    <t>EFO 24UC9900-ICN</t>
  </si>
  <si>
    <t>EFO 24UP9900-ICN</t>
  </si>
  <si>
    <t>EFO 24UC9950-ICN</t>
  </si>
  <si>
    <t>EFO 24UP9950-ICN</t>
  </si>
  <si>
    <t>EFO 24UC10000-ICN</t>
  </si>
  <si>
    <t>EFO 24UP10000-ICN</t>
  </si>
  <si>
    <t>EFO 24UC10050-ICN</t>
  </si>
  <si>
    <t>EFO 24UP10050-ICN</t>
  </si>
  <si>
    <t>EFO 24UC10100-ICN</t>
  </si>
  <si>
    <t>EFO 24UP10100-ICN</t>
  </si>
  <si>
    <t>EFO 24UC10150-ICN</t>
  </si>
  <si>
    <t>EFO 24UP10150-ICN</t>
  </si>
  <si>
    <t>EFO 24UC10200-ICN</t>
  </si>
  <si>
    <t>EFO 24UP10200-ICN</t>
  </si>
  <si>
    <t>EFO 24UC10250-ICN</t>
  </si>
  <si>
    <t>EFO 24UP10250-ICN</t>
  </si>
  <si>
    <t>EFO 24UC10300-ICN</t>
  </si>
  <si>
    <t>EFO 24UP10300-ICN</t>
  </si>
  <si>
    <t>EFO 24UC10350-ICN</t>
  </si>
  <si>
    <t>EFO 24UP10350-ICN</t>
  </si>
  <si>
    <t>EFO 24UC10400-ICN</t>
  </si>
  <si>
    <t>EFO 24UP10400-ICN</t>
  </si>
  <si>
    <t>EFO 24UC10450-ICN</t>
  </si>
  <si>
    <t>EFO 24UP10450-ICN</t>
  </si>
  <si>
    <t>EFO 24UC10500-ICN</t>
  </si>
  <si>
    <t>EFO 24UP10500-ICN</t>
  </si>
  <si>
    <t>EFO 24UC10550-ICN</t>
  </si>
  <si>
    <t>EFO 24UP10550-ICN</t>
  </si>
  <si>
    <t>EFO 24UC10600-ICN</t>
  </si>
  <si>
    <t>EFO 24UP10600-ICN</t>
  </si>
  <si>
    <t>EFO 24UC10650-ICN</t>
  </si>
  <si>
    <t>EFO 24UP10650-ICN</t>
  </si>
  <si>
    <t>EFO 24UC10700-ICN</t>
  </si>
  <si>
    <t>EFO 24UP10700-ICN</t>
  </si>
  <si>
    <t>EFO 24UC10750-ICN</t>
  </si>
  <si>
    <t>EFO 24UP10750-ICN</t>
  </si>
  <si>
    <t>EFO 24UC10800-ICN</t>
  </si>
  <si>
    <t>EFO 24UP10800-ICN</t>
  </si>
  <si>
    <t>EFO 24UC10850-ICN</t>
  </si>
  <si>
    <t>EFO 24UP10850-ICN</t>
  </si>
  <si>
    <t>EFO 24UC10900-ICN</t>
  </si>
  <si>
    <t>EFO 24UP10900-ICN</t>
  </si>
  <si>
    <t>EFO 24UC10950-ICN</t>
  </si>
  <si>
    <t>EFO 24UP10950-ICN</t>
  </si>
  <si>
    <t>EFO 24UC11000-ICN</t>
  </si>
  <si>
    <t>EFO 24UP11000-ICN</t>
  </si>
  <si>
    <t>EFO 24UC11050-ICN</t>
  </si>
  <si>
    <t>EFO 24UP11050-ICN</t>
  </si>
  <si>
    <t>EFO 24UC11100-ICN</t>
  </si>
  <si>
    <t>EFO 24UP11100-ICN</t>
  </si>
  <si>
    <t>EFO 24UC11150-ICN</t>
  </si>
  <si>
    <t>EFO 24UP11150-ICN</t>
  </si>
  <si>
    <t>EFO 24UC11200-ICN</t>
  </si>
  <si>
    <t>EFO 24UP11200-ICN</t>
  </si>
  <si>
    <t>EFO 24UC11250-ICN</t>
  </si>
  <si>
    <t>EFO 24UP11250-ICN</t>
  </si>
  <si>
    <t>EFO 24UC11300-ICN</t>
  </si>
  <si>
    <t>EFO 24UP11300-ICN</t>
  </si>
  <si>
    <t>EFO 24UC11350-ICN</t>
  </si>
  <si>
    <t>EFO 24UP11350-ICN</t>
  </si>
  <si>
    <t>EFO 24UC11400-ICN</t>
  </si>
  <si>
    <t>EFO 24UP11400-ICN</t>
  </si>
  <si>
    <t>EFO 24UC11450-ICN</t>
  </si>
  <si>
    <t>EFO 24UP11450-ICN</t>
  </si>
  <si>
    <t>EFO 24UC11500-ICN</t>
  </si>
  <si>
    <t>EFO 24UP11500-ICN</t>
  </si>
  <si>
    <t>EFO 24UC11550-ICN</t>
  </si>
  <si>
    <t>EFO 24UP11550-ICN</t>
  </si>
  <si>
    <t>EFO 24UC11600-ICN</t>
  </si>
  <si>
    <t>EFO 24UP11600-ICN</t>
  </si>
  <si>
    <t>EFO 24UC11650-ICN</t>
  </si>
  <si>
    <t>EFO 24UP11650-ICN</t>
  </si>
  <si>
    <t>Call_OI-Prompt</t>
  </si>
  <si>
    <t>Put_OI-Prompt</t>
  </si>
  <si>
    <t>Dec_OI</t>
  </si>
  <si>
    <t>Call/Put</t>
  </si>
  <si>
    <t>Option%</t>
  </si>
  <si>
    <t>Put</t>
  </si>
  <si>
    <t>Prompt Dec</t>
  </si>
  <si>
    <t>Prompt Month</t>
  </si>
  <si>
    <t>ECF 24Z-ICN 09/25/24 20 C</t>
  </si>
  <si>
    <t>ECF 24Z-ICN 09/25/24 20.5 C</t>
  </si>
  <si>
    <t>ECF 24Z-ICN 09/25/24 21 C</t>
  </si>
  <si>
    <t>ECF 24Z-ICN 09/25/24 21.5 C</t>
  </si>
  <si>
    <t>ECF 24Z-ICN 09/25/24 22 C</t>
  </si>
  <si>
    <t>ECF 24Z-ICN 09/25/24 22.5 C</t>
  </si>
  <si>
    <t>ECF 24Z-ICN 09/25/24 23 C</t>
  </si>
  <si>
    <t>ECF 24Z-ICN 09/25/24 23.5 C</t>
  </si>
  <si>
    <t>ECF 24Z-ICN 09/25/24 24 C</t>
  </si>
  <si>
    <t>ECF 24Z-ICN 09/25/24 24.5 C</t>
  </si>
  <si>
    <t>ECF 24Z-ICN 09/25/24 25 C</t>
  </si>
  <si>
    <t>ECF 24Z-ICN 09/25/24 25.5 C</t>
  </si>
  <si>
    <t>ECF 24Z-ICN 09/25/24 26 C</t>
  </si>
  <si>
    <t>ECF 24Z-ICN 09/25/24 26.5 C</t>
  </si>
  <si>
    <t>ECF 24Z-ICN 09/25/24 27 C</t>
  </si>
  <si>
    <t>ECF 24Z-ICN 09/25/24 27.5 C</t>
  </si>
  <si>
    <t>ECF 24Z-ICN 09/25/24 28 C</t>
  </si>
  <si>
    <t>ECF 24Z-ICN 09/25/24 28.5 C</t>
  </si>
  <si>
    <t>ECF 24Z-ICN 09/25/24 29 C</t>
  </si>
  <si>
    <t>ECF 24Z-ICN 09/25/24 29.5 C</t>
  </si>
  <si>
    <t>ECF 24Z-ICN 09/25/24 30 C</t>
  </si>
  <si>
    <t>ECF 24Z-ICN 09/25/24 30.5 C</t>
  </si>
  <si>
    <t>ECF 24Z-ICN 09/25/24 31 C</t>
  </si>
  <si>
    <t>ECF 24Z-ICN 09/25/24 31.5 C</t>
  </si>
  <si>
    <t>ECF 24Z-ICN 09/25/24 32 C</t>
  </si>
  <si>
    <t>ECF 24Z-ICN 09/25/24 32.5 C</t>
  </si>
  <si>
    <t>ECF 24Z-ICN 09/25/24 33 C</t>
  </si>
  <si>
    <t>ECF 24Z-ICN 09/25/24 33.5 C</t>
  </si>
  <si>
    <t>ECF 24Z-ICN 09/25/24 34 C</t>
  </si>
  <si>
    <t>ECF 24Z-ICN 09/25/24 34.5 C</t>
  </si>
  <si>
    <t>ECF 24Z-ICN 09/25/24 35 C</t>
  </si>
  <si>
    <t>ECF 24Z-ICN 09/25/24 35.5 C</t>
  </si>
  <si>
    <t>ECF 24Z-ICN 09/25/24 36 C</t>
  </si>
  <si>
    <t>ECF 24Z-ICN 09/25/24 36.5 C</t>
  </si>
  <si>
    <t>ECF 24Z-ICN 09/25/24 37 C</t>
  </si>
  <si>
    <t>ECF 24Z-ICN 09/25/24 37.5 C</t>
  </si>
  <si>
    <t>ECF 24Z-ICN 09/25/24 38 C</t>
  </si>
  <si>
    <t>ECF 24Z-ICN 09/25/24 38.5 C</t>
  </si>
  <si>
    <t>ECF 24Z-ICN 09/25/24 39 C</t>
  </si>
  <si>
    <t>ECF 24Z-ICN 09/25/24 39.5 C</t>
  </si>
  <si>
    <t>ECF 24Z-ICN 09/25/24 40 C</t>
  </si>
  <si>
    <t>ECF 24Z-ICN 09/25/24 40.5 C</t>
  </si>
  <si>
    <t>ECF 24Z-ICN 09/25/24 41 C</t>
  </si>
  <si>
    <t>ECF 24Z-ICN 09/25/24 41.5 C</t>
  </si>
  <si>
    <t>ECF 24Z-ICN 09/25/24 42 C</t>
  </si>
  <si>
    <t>ECF 24Z-ICN 09/25/24 42.5 C</t>
  </si>
  <si>
    <t>ECF 24Z-ICN 09/25/24 43 C</t>
  </si>
  <si>
    <t>ECF 24Z-ICN 09/25/24 43.5 C</t>
  </si>
  <si>
    <t>ECF 24Z-ICN 09/25/24 44 C</t>
  </si>
  <si>
    <t>ECF 24Z-ICN 09/25/24 44.5 C</t>
  </si>
  <si>
    <t>ECF 24Z-ICN 09/25/24 45 C</t>
  </si>
  <si>
    <t>ECF 24Z-ICN 09/25/24 45.5 C</t>
  </si>
  <si>
    <t>ECF 24Z-ICN 09/25/24 46 C</t>
  </si>
  <si>
    <t>ECF 24Z-ICN 09/25/24 46.5 C</t>
  </si>
  <si>
    <t>ECF 24Z-ICN 09/25/24 47 C</t>
  </si>
  <si>
    <t>ECF 24Z-ICN 09/25/24 47.5 C</t>
  </si>
  <si>
    <t>ECF 24Z-ICN 09/25/24 48 C</t>
  </si>
  <si>
    <t>ECF 24Z-ICN 09/25/24 48.5 C</t>
  </si>
  <si>
    <t>ECF 24Z-ICN 09/25/24 49 C</t>
  </si>
  <si>
    <t>ECF 24Z-ICN 09/25/24 49.5 C</t>
  </si>
  <si>
    <t>ECF 24Z-ICN 09/25/24 50 C</t>
  </si>
  <si>
    <t>ECF 24Z-ICN 09/25/24 50.5 C</t>
  </si>
  <si>
    <t>ECF 24Z-ICN 09/25/24 51 C</t>
  </si>
  <si>
    <t>ECF 24Z-ICN 09/25/24 51.5 C</t>
  </si>
  <si>
    <t>ECF 24Z-ICN 09/25/24 52 C</t>
  </si>
  <si>
    <t>ECF 24Z-ICN 09/25/24 52.5 C</t>
  </si>
  <si>
    <t>ECF 24Z-ICN 09/25/24 53 C</t>
  </si>
  <si>
    <t>ECF 24Z-ICN 09/25/24 53.5 C</t>
  </si>
  <si>
    <t>ECF 24Z-ICN 09/25/24 54 C</t>
  </si>
  <si>
    <t>ECF 24Z-ICN 09/25/24 54.5 C</t>
  </si>
  <si>
    <t>ECF 24Z-ICN 09/25/24 55 C</t>
  </si>
  <si>
    <t>ECF 24Z-ICN 09/25/24 55.5 C</t>
  </si>
  <si>
    <t>ECF 24Z-ICN 09/25/24 56 C</t>
  </si>
  <si>
    <t>ECF 24Z-ICN 09/25/24 56.5 C</t>
  </si>
  <si>
    <t>ECF 24Z-ICN 09/25/24 57 C</t>
  </si>
  <si>
    <t>ECF 24Z-ICN 09/25/24 57.5 C</t>
  </si>
  <si>
    <t>ECF 24Z-ICN 09/25/24 58 C</t>
  </si>
  <si>
    <t>ECF 24Z-ICN 09/25/24 58.5 C</t>
  </si>
  <si>
    <t>ECF 24Z-ICN 09/25/24 59 C</t>
  </si>
  <si>
    <t>ECF 24Z-ICN 09/25/24 59.5 C</t>
  </si>
  <si>
    <t>ECF 24Z-ICN 09/25/24 60 C</t>
  </si>
  <si>
    <t>ECF 24Z-ICN 09/25/24 60.5 C</t>
  </si>
  <si>
    <t>ECF 24Z-ICN 09/25/24 61 C</t>
  </si>
  <si>
    <t>ECF 24Z-ICN 09/25/24 61.5 C</t>
  </si>
  <si>
    <t>ECF 24Z-ICN 09/25/24 62 C</t>
  </si>
  <si>
    <t>ECF 24Z-ICN 09/25/24 62.5 C</t>
  </si>
  <si>
    <t>ECF 24Z-ICN 09/25/24 63 C</t>
  </si>
  <si>
    <t>ECF 24Z-ICN 09/25/24 63.5 C</t>
  </si>
  <si>
    <t>ECF 24Z-ICN 09/25/24 64 C</t>
  </si>
  <si>
    <t>ECF 24Z-ICN 09/25/24 64.5 C</t>
  </si>
  <si>
    <t>ECF 24Z-ICN 09/25/24 65 C</t>
  </si>
  <si>
    <t>ECF 24Z-ICN 09/25/24 65.5 C</t>
  </si>
  <si>
    <t>ECF 24Z-ICN 09/25/24 66 C</t>
  </si>
  <si>
    <t>ECF 24Z-ICN 09/25/24 66.5 C</t>
  </si>
  <si>
    <t>ECF 24Z-ICN 09/25/24 67 C</t>
  </si>
  <si>
    <t>ECF 24Z-ICN 09/25/24 67.5 C</t>
  </si>
  <si>
    <t>ECF 24Z-ICN 09/25/24 68 C</t>
  </si>
  <si>
    <t>ECF 24Z-ICN 09/25/24 68.5 C</t>
  </si>
  <si>
    <t>ECF 24Z-ICN 09/25/24 69 C</t>
  </si>
  <si>
    <t>ECF 24Z-ICN 09/25/24 69.5 C</t>
  </si>
  <si>
    <t>ECF 24Z-ICN 09/25/24 70 C</t>
  </si>
  <si>
    <t>ECF 24Z-ICN 09/25/24 70.5 C</t>
  </si>
  <si>
    <t>ECF 24Z-ICN 09/25/24 71 C</t>
  </si>
  <si>
    <t>ECF 24Z-ICN 09/25/24 71.5 C</t>
  </si>
  <si>
    <t>ECF 24Z-ICN 09/25/24 72 C</t>
  </si>
  <si>
    <t>ECF 24Z-ICN 09/25/24 72.5 C</t>
  </si>
  <si>
    <t>ECF 24Z-ICN 09/25/24 73 C</t>
  </si>
  <si>
    <t>ECF 24Z-ICN 09/25/24 73.5 C</t>
  </si>
  <si>
    <t>ECF 24Z-ICN 09/25/24 74 C</t>
  </si>
  <si>
    <t>ECF 24Z-ICN 09/25/24 74.5 C</t>
  </si>
  <si>
    <t>ECF 24Z-ICN 09/25/24 75 C</t>
  </si>
  <si>
    <t>ECF 24Z-ICN 09/25/24 75.5 C</t>
  </si>
  <si>
    <t>ECF 24Z-ICN 09/25/24 76 C</t>
  </si>
  <si>
    <t>ECF 24Z-ICN 09/25/24 76.5 C</t>
  </si>
  <si>
    <t>ECF 24Z-ICN 09/25/24 77 C</t>
  </si>
  <si>
    <t>ECF 24Z-ICN 09/25/24 77.5 C</t>
  </si>
  <si>
    <t>ECF 24Z-ICN 09/25/24 78 C</t>
  </si>
  <si>
    <t>ECF 24Z-ICN 09/25/24 78.5 C</t>
  </si>
  <si>
    <t>ECF 24Z-ICN 09/25/24 79 C</t>
  </si>
  <si>
    <t>ECF 24Z-ICN 09/25/24 79.5 C</t>
  </si>
  <si>
    <t>ECF 24Z-ICN 09/25/24 80 C</t>
  </si>
  <si>
    <t>ECF 24Z-ICN 09/25/24 80.5 C</t>
  </si>
  <si>
    <t>ECF 24Z-ICN 09/25/24 81 C</t>
  </si>
  <si>
    <t>ECF 24Z-ICN 09/25/24 81.5 C</t>
  </si>
  <si>
    <t>ECF 24Z-ICN 09/25/24 82 C</t>
  </si>
  <si>
    <t>ECF 24Z-ICN 09/25/24 82.5 C</t>
  </si>
  <si>
    <t>ECF 24Z-ICN 09/25/24 83 C</t>
  </si>
  <si>
    <t>ECF 24Z-ICN 09/25/24 83.5 C</t>
  </si>
  <si>
    <t>ECF 24Z-ICN 09/25/24 84 C</t>
  </si>
  <si>
    <t>ECF 24Z-ICN 09/25/24 84.5 C</t>
  </si>
  <si>
    <t>ECF 24Z-ICN 09/25/24 85 C</t>
  </si>
  <si>
    <t>ECF 24Z-ICN 09/25/24 85.5 C</t>
  </si>
  <si>
    <t>ECF 24Z-ICN 09/25/24 86 C</t>
  </si>
  <si>
    <t>ECF 24Z-ICN 09/25/24 86.5 C</t>
  </si>
  <si>
    <t>ECF 24Z-ICN 09/25/24 87 C</t>
  </si>
  <si>
    <t>ECF 24Z-ICN 09/25/24 87.5 C</t>
  </si>
  <si>
    <t>ECF 24Z-ICN 09/25/24 88 C</t>
  </si>
  <si>
    <t>ECF 24Z-ICN 09/25/24 88.5 C</t>
  </si>
  <si>
    <t>ECF 24Z-ICN 09/25/24 89 C</t>
  </si>
  <si>
    <t>ECF 24Z-ICN 09/25/24 89.5 C</t>
  </si>
  <si>
    <t>ECF 24Z-ICN 09/25/24 90 C</t>
  </si>
  <si>
    <t>ECF 24Z-ICN 09/25/24 90.5 C</t>
  </si>
  <si>
    <t>ECF 24Z-ICN 09/25/24 91 C</t>
  </si>
  <si>
    <t>ECF 24Z-ICN 09/25/24 91.5 C</t>
  </si>
  <si>
    <t>ECF 24Z-ICN 09/25/24 92 C</t>
  </si>
  <si>
    <t>ECF 24Z-ICN 09/25/24 92.5 C</t>
  </si>
  <si>
    <t>ECF 24Z-ICN 09/25/24 93 C</t>
  </si>
  <si>
    <t>ECF 24Z-ICN 09/25/24 93.5 C</t>
  </si>
  <si>
    <t>ECF 24Z-ICN 09/25/24 94 C</t>
  </si>
  <si>
    <t>ECF 24Z-ICN 09/25/24 94.5 C</t>
  </si>
  <si>
    <t>ECF 24Z-ICN 09/25/24 95 C</t>
  </si>
  <si>
    <t>ECF 24Z-ICN 09/25/24 95.5 C</t>
  </si>
  <si>
    <t>ECF 24Z-ICN 09/25/24 96 C</t>
  </si>
  <si>
    <t>ECF 24Z-ICN 09/25/24 96.5 C</t>
  </si>
  <si>
    <t>ECF 24Z-ICN 09/25/24 97 C</t>
  </si>
  <si>
    <t>ECF 24Z-ICN 09/25/24 97.5 C</t>
  </si>
  <si>
    <t>ECF 24Z-ICN 09/25/24 98 C</t>
  </si>
  <si>
    <t>ECF 24Z-ICN 09/25/24 98.5 C</t>
  </si>
  <si>
    <t>ECF 24Z-ICN 09/25/24 99 C</t>
  </si>
  <si>
    <t>ECF 24Z-ICN 09/25/24 99.5 C</t>
  </si>
  <si>
    <t>ECF 24Z-ICN 09/25/24 100 C</t>
  </si>
  <si>
    <t>ECF 24Z-ICN 09/25/24 100.5 C</t>
  </si>
  <si>
    <t>ECF 24Z-ICN 09/25/24 101 C</t>
  </si>
  <si>
    <t>ECF 24Z-ICN 09/25/24 101.5 C</t>
  </si>
  <si>
    <t>ECF 24Z-ICN 09/25/24 102 C</t>
  </si>
  <si>
    <t>ECF 24Z-ICN 09/25/24 102.5 C</t>
  </si>
  <si>
    <t>ECF 24Z-ICN 09/25/24 103 C</t>
  </si>
  <si>
    <t>ECF 24Z-ICN 09/25/24 103.5 C</t>
  </si>
  <si>
    <t>ECF 24Z-ICN 09/25/24 104 C</t>
  </si>
  <si>
    <t>ECF 24Z-ICN 09/25/24 104.5 C</t>
  </si>
  <si>
    <t>ECF 24Z-ICN 09/25/24 105 C</t>
  </si>
  <si>
    <t>ECF 24Z-ICN 09/25/24 105.5 C</t>
  </si>
  <si>
    <t>ECF 24Z-ICN 09/25/24 106 C</t>
  </si>
  <si>
    <t>ECF 24Z-ICN 09/25/24 106.5 C</t>
  </si>
  <si>
    <t>ECF 24Z-ICN 09/25/24 107 C</t>
  </si>
  <si>
    <t>ECF 24Z-ICN 09/25/24 107.5 C</t>
  </si>
  <si>
    <t>ECF 24Z-ICN 09/25/24 108 C</t>
  </si>
  <si>
    <t>ECF 24Z-ICN 09/25/24 108.5 C</t>
  </si>
  <si>
    <t>ECF 24Z-ICN 09/25/24 109 C</t>
  </si>
  <si>
    <t>ECF 24Z-ICN 09/25/24 109.5 C</t>
  </si>
  <si>
    <t>ECF 24Z-ICN 09/25/24 110 C</t>
  </si>
  <si>
    <t>ECF 24Z-ICN 09/25/24 110.5 C</t>
  </si>
  <si>
    <t>ECF 24Z-ICN 09/25/24 111 C</t>
  </si>
  <si>
    <t>ECF 24Z-ICN 09/25/24 111.5 C</t>
  </si>
  <si>
    <t>ECF 24Z-ICN 09/25/24 112 C</t>
  </si>
  <si>
    <t>ECF 24Z-ICN 09/25/24 112.5 C</t>
  </si>
  <si>
    <t>ECF 24Z-ICN 09/25/24 113 C</t>
  </si>
  <si>
    <t>ECF 24Z-ICN 09/25/24 113.5 C</t>
  </si>
  <si>
    <t>ECF 24Z-ICN 09/25/24 114 C</t>
  </si>
  <si>
    <t>ECF 24Z-ICN 09/25/24 114.5 C</t>
  </si>
  <si>
    <t>ECF 24Z-ICN 09/25/24 115 C</t>
  </si>
  <si>
    <t>ECF 24Z-ICN 09/25/24 115.5 C</t>
  </si>
  <si>
    <t>ECF 24Z-ICN 09/25/24 116 C</t>
  </si>
  <si>
    <t>ECF 24Z-ICN 09/25/24 20 P</t>
  </si>
  <si>
    <t>ECF 24Z-ICN 09/25/24 20.5 P</t>
  </si>
  <si>
    <t>ECF 24Z-ICN 09/25/24 21 P</t>
  </si>
  <si>
    <t>ECF 24Z-ICN 09/25/24 21.5 P</t>
  </si>
  <si>
    <t>ECF 24Z-ICN 09/25/24 22 P</t>
  </si>
  <si>
    <t>ECF 24Z-ICN 09/25/24 22.5 P</t>
  </si>
  <si>
    <t>ECF 24Z-ICN 09/25/24 23 P</t>
  </si>
  <si>
    <t>ECF 24Z-ICN 09/25/24 23.5 P</t>
  </si>
  <si>
    <t>ECF 24Z-ICN 09/25/24 24 P</t>
  </si>
  <si>
    <t>ECF 24Z-ICN 09/25/24 24.5 P</t>
  </si>
  <si>
    <t>ECF 24Z-ICN 09/25/24 25 P</t>
  </si>
  <si>
    <t>ECF 24Z-ICN 09/25/24 25.5 P</t>
  </si>
  <si>
    <t>ECF 24Z-ICN 09/25/24 26 P</t>
  </si>
  <si>
    <t>ECF 24Z-ICN 09/25/24 26.5 P</t>
  </si>
  <si>
    <t>ECF 24Z-ICN 09/25/24 27 P</t>
  </si>
  <si>
    <t>ECF 24Z-ICN 09/25/24 27.5 P</t>
  </si>
  <si>
    <t>ECF 24Z-ICN 09/25/24 28 P</t>
  </si>
  <si>
    <t>ECF 24Z-ICN 09/25/24 28.5 P</t>
  </si>
  <si>
    <t>ECF 24Z-ICN 09/25/24 29 P</t>
  </si>
  <si>
    <t>ECF 24Z-ICN 09/25/24 29.5 P</t>
  </si>
  <si>
    <t>ECF 24Z-ICN 09/25/24 30 P</t>
  </si>
  <si>
    <t>ECF 24Z-ICN 09/25/24 30.5 P</t>
  </si>
  <si>
    <t>ECF 24Z-ICN 09/25/24 31 P</t>
  </si>
  <si>
    <t>ECF 24Z-ICN 09/25/24 31.5 P</t>
  </si>
  <si>
    <t>ECF 24Z-ICN 09/25/24 32 P</t>
  </si>
  <si>
    <t>ECF 24Z-ICN 09/25/24 32.5 P</t>
  </si>
  <si>
    <t>ECF 24Z-ICN 09/25/24 33 P</t>
  </si>
  <si>
    <t>ECF 24Z-ICN 09/25/24 33.5 P</t>
  </si>
  <si>
    <t>ECF 24Z-ICN 09/25/24 34 P</t>
  </si>
  <si>
    <t>ECF 24Z-ICN 09/25/24 34.5 P</t>
  </si>
  <si>
    <t>ECF 24Z-ICN 09/25/24 35 P</t>
  </si>
  <si>
    <t>ECF 24Z-ICN 09/25/24 35.5 P</t>
  </si>
  <si>
    <t>ECF 24Z-ICN 09/25/24 36 P</t>
  </si>
  <si>
    <t>ECF 24Z-ICN 09/25/24 36.5 P</t>
  </si>
  <si>
    <t>ECF 24Z-ICN 09/25/24 37 P</t>
  </si>
  <si>
    <t>ECF 24Z-ICN 09/25/24 37.5 P</t>
  </si>
  <si>
    <t>ECF 24Z-ICN 09/25/24 38 P</t>
  </si>
  <si>
    <t>ECF 24Z-ICN 09/25/24 38.5 P</t>
  </si>
  <si>
    <t>ECF 24Z-ICN 09/25/24 39 P</t>
  </si>
  <si>
    <t>ECF 24Z-ICN 09/25/24 39.5 P</t>
  </si>
  <si>
    <t>ECF 24Z-ICN 09/25/24 40 P</t>
  </si>
  <si>
    <t>ECF 24Z-ICN 09/25/24 40.5 P</t>
  </si>
  <si>
    <t>ECF 24Z-ICN 09/25/24 41 P</t>
  </si>
  <si>
    <t>ECF 24Z-ICN 09/25/24 41.5 P</t>
  </si>
  <si>
    <t>ECF 24Z-ICN 09/25/24 42 P</t>
  </si>
  <si>
    <t>ECF 24Z-ICN 09/25/24 42.5 P</t>
  </si>
  <si>
    <t>ECF 24Z-ICN 09/25/24 43 P</t>
  </si>
  <si>
    <t>ECF 24Z-ICN 09/25/24 43.5 P</t>
  </si>
  <si>
    <t>ECF 24Z-ICN 09/25/24 44 P</t>
  </si>
  <si>
    <t>ECF 24Z-ICN 09/25/24 44.5 P</t>
  </si>
  <si>
    <t>ECF 24Z-ICN 09/25/24 45 P</t>
  </si>
  <si>
    <t>ECF 24Z-ICN 09/25/24 45.5 P</t>
  </si>
  <si>
    <t>ECF 24Z-ICN 09/25/24 46 P</t>
  </si>
  <si>
    <t>ECF 24Z-ICN 09/25/24 46.5 P</t>
  </si>
  <si>
    <t>ECF 24Z-ICN 09/25/24 47 P</t>
  </si>
  <si>
    <t>ECF 24Z-ICN 09/25/24 47.5 P</t>
  </si>
  <si>
    <t>ECF 24Z-ICN 09/25/24 48 P</t>
  </si>
  <si>
    <t>ECF 24Z-ICN 09/25/24 48.5 P</t>
  </si>
  <si>
    <t>ECF 24Z-ICN 09/25/24 49 P</t>
  </si>
  <si>
    <t>ECF 24Z-ICN 09/25/24 49.5 P</t>
  </si>
  <si>
    <t>ECF 24Z-ICN 09/25/24 50 P</t>
  </si>
  <si>
    <t>ECF 24Z-ICN 09/25/24 50.5 P</t>
  </si>
  <si>
    <t>ECF 24Z-ICN 09/25/24 51 P</t>
  </si>
  <si>
    <t>ECF 24Z-ICN 09/25/24 51.5 P</t>
  </si>
  <si>
    <t>ECF 24Z-ICN 09/25/24 52 P</t>
  </si>
  <si>
    <t>ECF 24Z-ICN 09/25/24 52.5 P</t>
  </si>
  <si>
    <t>ECF 24Z-ICN 09/25/24 53 P</t>
  </si>
  <si>
    <t>ECF 24Z-ICN 09/25/24 53.5 P</t>
  </si>
  <si>
    <t>ECF 24Z-ICN 09/25/24 54 P</t>
  </si>
  <si>
    <t>ECF 24Z-ICN 09/25/24 54.5 P</t>
  </si>
  <si>
    <t>ECF 24Z-ICN 09/25/24 55 P</t>
  </si>
  <si>
    <t>ECF 24Z-ICN 09/25/24 55.5 P</t>
  </si>
  <si>
    <t>ECF 24Z-ICN 09/25/24 56 P</t>
  </si>
  <si>
    <t>ECF 24Z-ICN 09/25/24 56.5 P</t>
  </si>
  <si>
    <t>ECF 24Z-ICN 09/25/24 57 P</t>
  </si>
  <si>
    <t>ECF 24Z-ICN 09/25/24 57.5 P</t>
  </si>
  <si>
    <t>ECF 24Z-ICN 09/25/24 58 P</t>
  </si>
  <si>
    <t>ECF 24Z-ICN 09/25/24 58.5 P</t>
  </si>
  <si>
    <t>ECF 24Z-ICN 09/25/24 59 P</t>
  </si>
  <si>
    <t>ECF 24Z-ICN 09/25/24 59.5 P</t>
  </si>
  <si>
    <t>ECF 24Z-ICN 09/25/24 60 P</t>
  </si>
  <si>
    <t>ECF 24Z-ICN 09/25/24 60.5 P</t>
  </si>
  <si>
    <t>ECF 24Z-ICN 09/25/24 61 P</t>
  </si>
  <si>
    <t>ECF 24Z-ICN 09/25/24 61.5 P</t>
  </si>
  <si>
    <t>ECF 24Z-ICN 09/25/24 62 P</t>
  </si>
  <si>
    <t>ECF 24Z-ICN 09/25/24 62.5 P</t>
  </si>
  <si>
    <t>ECF 24Z-ICN 09/25/24 63 P</t>
  </si>
  <si>
    <t>ECF 24Z-ICN 09/25/24 63.5 P</t>
  </si>
  <si>
    <t>ECF 24Z-ICN 09/25/24 64 P</t>
  </si>
  <si>
    <t>ECF 24Z-ICN 09/25/24 64.5 P</t>
  </si>
  <si>
    <t>ECF 24Z-ICN 09/25/24 65 P</t>
  </si>
  <si>
    <t>ECF 24Z-ICN 09/25/24 65.5 P</t>
  </si>
  <si>
    <t>ECF 24Z-ICN 09/25/24 66 P</t>
  </si>
  <si>
    <t>ECF 24Z-ICN 09/25/24 66.5 P</t>
  </si>
  <si>
    <t>ECF 24Z-ICN 09/25/24 67 P</t>
  </si>
  <si>
    <t>ECF 24Z-ICN 09/25/24 67.5 P</t>
  </si>
  <si>
    <t>ECF 24Z-ICN 09/25/24 68 P</t>
  </si>
  <si>
    <t>ECF 24Z-ICN 09/25/24 68.5 P</t>
  </si>
  <si>
    <t>ECF 24Z-ICN 09/25/24 69 P</t>
  </si>
  <si>
    <t>ECF 24Z-ICN 09/25/24 69.5 P</t>
  </si>
  <si>
    <t>ECF 24Z-ICN 09/25/24 70 P</t>
  </si>
  <si>
    <t>ECF 24Z-ICN 09/25/24 70.5 P</t>
  </si>
  <si>
    <t>ECF 24Z-ICN 09/25/24 71 P</t>
  </si>
  <si>
    <t>ECF 24Z-ICN 09/25/24 71.5 P</t>
  </si>
  <si>
    <t>ECF 24Z-ICN 09/25/24 72 P</t>
  </si>
  <si>
    <t>ECF 24Z-ICN 09/25/24 72.5 P</t>
  </si>
  <si>
    <t>ECF 24Z-ICN 09/25/24 73 P</t>
  </si>
  <si>
    <t>ECF 24Z-ICN 09/25/24 73.5 P</t>
  </si>
  <si>
    <t>ECF 24Z-ICN 09/25/24 74 P</t>
  </si>
  <si>
    <t>ECF 24Z-ICN 09/25/24 74.5 P</t>
  </si>
  <si>
    <t>ECF 24Z-ICN 09/25/24 75 P</t>
  </si>
  <si>
    <t>ECF 24Z-ICN 09/25/24 75.5 P</t>
  </si>
  <si>
    <t>ECF 24Z-ICN 09/25/24 76 P</t>
  </si>
  <si>
    <t>ECF 24Z-ICN 09/25/24 76.5 P</t>
  </si>
  <si>
    <t>ECF 24Z-ICN 09/25/24 77 P</t>
  </si>
  <si>
    <t>ECF 24Z-ICN 09/25/24 77.5 P</t>
  </si>
  <si>
    <t>ECF 24Z-ICN 09/25/24 78 P</t>
  </si>
  <si>
    <t>ECF 24Z-ICN 09/25/24 78.5 P</t>
  </si>
  <si>
    <t>ECF 24Z-ICN 09/25/24 79 P</t>
  </si>
  <si>
    <t>ECF 24Z-ICN 09/25/24 79.5 P</t>
  </si>
  <si>
    <t>ECF 24Z-ICN 09/25/24 80 P</t>
  </si>
  <si>
    <t>ECF 24Z-ICN 09/25/24 80.5 P</t>
  </si>
  <si>
    <t>ECF 24Z-ICN 09/25/24 81 P</t>
  </si>
  <si>
    <t>ECF 24Z-ICN 09/25/24 81.5 P</t>
  </si>
  <si>
    <t>ECF 24Z-ICN 09/25/24 82 P</t>
  </si>
  <si>
    <t>ECF 24Z-ICN 09/25/24 82.5 P</t>
  </si>
  <si>
    <t>ECF 24Z-ICN 09/25/24 83 P</t>
  </si>
  <si>
    <t>ECF 24Z-ICN 09/25/24 83.5 P</t>
  </si>
  <si>
    <t>ECF 24Z-ICN 09/25/24 84 P</t>
  </si>
  <si>
    <t>ECF 24Z-ICN 09/25/24 84.5 P</t>
  </si>
  <si>
    <t>ECF 24Z-ICN 09/25/24 85 P</t>
  </si>
  <si>
    <t>ECF 24Z-ICN 09/25/24 85.5 P</t>
  </si>
  <si>
    <t>ECF 24Z-ICN 09/25/24 86 P</t>
  </si>
  <si>
    <t>ECF 24Z-ICN 09/25/24 86.5 P</t>
  </si>
  <si>
    <t>ECF 24Z-ICN 09/25/24 87 P</t>
  </si>
  <si>
    <t>ECF 24Z-ICN 09/25/24 87.5 P</t>
  </si>
  <si>
    <t>ECF 24Z-ICN 09/25/24 88 P</t>
  </si>
  <si>
    <t>ECF 24Z-ICN 09/25/24 88.5 P</t>
  </si>
  <si>
    <t>ECF 24Z-ICN 09/25/24 89 P</t>
  </si>
  <si>
    <t>ECF 24Z-ICN 09/25/24 89.5 P</t>
  </si>
  <si>
    <t>ECF 24Z-ICN 09/25/24 90 P</t>
  </si>
  <si>
    <t>ECF 24Z-ICN 09/25/24 90.5 P</t>
  </si>
  <si>
    <t>ECF 24Z-ICN 09/25/24 91 P</t>
  </si>
  <si>
    <t>ECF 24Z-ICN 09/25/24 91.5 P</t>
  </si>
  <si>
    <t>ECF 24Z-ICN 09/25/24 92 P</t>
  </si>
  <si>
    <t>ECF 24Z-ICN 09/25/24 92.5 P</t>
  </si>
  <si>
    <t>ECF 24Z-ICN 09/25/24 93 P</t>
  </si>
  <si>
    <t>ECF 24Z-ICN 09/25/24 93.5 P</t>
  </si>
  <si>
    <t>ECF 24Z-ICN 09/25/24 94 P</t>
  </si>
  <si>
    <t>ECF 24Z-ICN 09/25/24 94.5 P</t>
  </si>
  <si>
    <t>ECF 24Z-ICN 09/25/24 95 P</t>
  </si>
  <si>
    <t>ECF 24Z-ICN 09/25/24 95.5 P</t>
  </si>
  <si>
    <t>ECF 24Z-ICN 09/25/24 96 P</t>
  </si>
  <si>
    <t>ECF 24Z-ICN 09/25/24 96.5 P</t>
  </si>
  <si>
    <t>ECF 24Z-ICN 09/25/24 97 P</t>
  </si>
  <si>
    <t>ECF 24Z-ICN 09/25/24 97.5 P</t>
  </si>
  <si>
    <t>ECF 24Z-ICN 09/25/24 98 P</t>
  </si>
  <si>
    <t>ECF 24Z-ICN 09/25/24 98.5 P</t>
  </si>
  <si>
    <t>ECF 24Z-ICN 09/25/24 99 P</t>
  </si>
  <si>
    <t>ECF 24Z-ICN 09/25/24 99.5 P</t>
  </si>
  <si>
    <t>ECF 24Z-ICN 09/25/24 100 P</t>
  </si>
  <si>
    <t>ECF 24Z-ICN 09/25/24 100.5 P</t>
  </si>
  <si>
    <t>ECF 24Z-ICN 09/25/24 101 P</t>
  </si>
  <si>
    <t>ECF 24Z-ICN 09/25/24 101.5 P</t>
  </si>
  <si>
    <t>ECF 24Z-ICN 09/25/24 102 P</t>
  </si>
  <si>
    <t>ECF 24Z-ICN 09/25/24 102.5 P</t>
  </si>
  <si>
    <t>ECF 24Z-ICN 09/25/24 103 P</t>
  </si>
  <si>
    <t>ECF 24Z-ICN 09/25/24 103.5 P</t>
  </si>
  <si>
    <t>ECF 24Z-ICN 09/25/24 104 P</t>
  </si>
  <si>
    <t>ECF 24Z-ICN 09/25/24 104.5 P</t>
  </si>
  <si>
    <t>ECF 24Z-ICN 09/25/24 105 P</t>
  </si>
  <si>
    <t>ECF 24Z-ICN 09/25/24 105.5 P</t>
  </si>
  <si>
    <t>ECF 24Z-ICN 09/25/24 106 P</t>
  </si>
  <si>
    <t>ECF 24Z-ICN 09/25/24 106.5 P</t>
  </si>
  <si>
    <t>ECF 24Z-ICN 09/25/24 107 P</t>
  </si>
  <si>
    <t>ECF 24Z-ICN 09/25/24 107.5 P</t>
  </si>
  <si>
    <t>ECF 24Z-ICN 09/25/24 108 P</t>
  </si>
  <si>
    <t>ECF 24Z-ICN 09/25/24 108.5 P</t>
  </si>
  <si>
    <t>ECF 24Z-ICN 09/25/24 109 P</t>
  </si>
  <si>
    <t>ECF 24Z-ICN 09/25/24 109.5 P</t>
  </si>
  <si>
    <t>ECF 24Z-ICN 09/25/24 110 P</t>
  </si>
  <si>
    <t>ECF 24Z-ICN 09/25/24 110.5 P</t>
  </si>
  <si>
    <t>ECF 24Z-ICN 09/25/24 111 P</t>
  </si>
  <si>
    <t>ECF 24Z-ICN 09/25/24 111.5 P</t>
  </si>
  <si>
    <t>ECF 24Z-ICN 09/25/24 112 P</t>
  </si>
  <si>
    <t>ECF 24Z-ICN 09/25/24 112.5 P</t>
  </si>
  <si>
    <t>ECF 24Z-ICN 09/25/24 113 P</t>
  </si>
  <si>
    <t>ECF 24Z-ICN 09/25/24 113.5 P</t>
  </si>
  <si>
    <t>ECF 24Z-ICN 09/25/24 114 P</t>
  </si>
  <si>
    <t>ECF 24Z-ICN 09/25/24 114.5 P</t>
  </si>
  <si>
    <t>ECF 24Z-ICN 09/25/24 115 P</t>
  </si>
  <si>
    <t>ECF 24Z-ICN 09/25/24 115.5 P</t>
  </si>
  <si>
    <t>ECF 24Z-ICN 09/25/24 116 P</t>
  </si>
  <si>
    <t>ECF 23Z-ICN</t>
  </si>
  <si>
    <t>EFO 24ZC2000-ICN</t>
  </si>
  <si>
    <t>EFO 24ZC2050-ICN</t>
  </si>
  <si>
    <t>EFO 24ZC2100-ICN</t>
  </si>
  <si>
    <t>EFO 24ZC2150-ICN</t>
  </si>
  <si>
    <t>EFO 24ZC2200-ICN</t>
  </si>
  <si>
    <t>EFO 24ZC2250-ICN</t>
  </si>
  <si>
    <t>EFO 24ZC2300-ICN</t>
  </si>
  <si>
    <t>EFO 24ZC2350-ICN</t>
  </si>
  <si>
    <t>EFO 24ZC2400-ICN</t>
  </si>
  <si>
    <t>EFO 24ZC2450-ICN</t>
  </si>
  <si>
    <t>EFO 24ZC2500-ICN</t>
  </si>
  <si>
    <t>EFO 24ZC2550-ICN</t>
  </si>
  <si>
    <t>EFO 24ZC2600-ICN</t>
  </si>
  <si>
    <t>EFO 24ZC2650-ICN</t>
  </si>
  <si>
    <t>EFO 24ZC2700-ICN</t>
  </si>
  <si>
    <t>EFO 24ZC2750-ICN</t>
  </si>
  <si>
    <t>EFO 24ZC2800-ICN</t>
  </si>
  <si>
    <t>EFO 24ZC2850-ICN</t>
  </si>
  <si>
    <t>EFO 24ZC2900-ICN</t>
  </si>
  <si>
    <t>EFO 24ZC2950-ICN</t>
  </si>
  <si>
    <t>EFO 24ZC3000-ICN</t>
  </si>
  <si>
    <t>EFO 24ZC3050-ICN</t>
  </si>
  <si>
    <t>EFO 24ZC3100-ICN</t>
  </si>
  <si>
    <t>EFO 24ZC3150-ICN</t>
  </si>
  <si>
    <t>EFO 24ZC3200-ICN</t>
  </si>
  <si>
    <t>EFO 24ZC3250-ICN</t>
  </si>
  <si>
    <t>EFO 24ZC3300-ICN</t>
  </si>
  <si>
    <t>EFO 24ZC3350-ICN</t>
  </si>
  <si>
    <t>EFO 24ZC3400-ICN</t>
  </si>
  <si>
    <t>EFO 24ZC3450-ICN</t>
  </si>
  <si>
    <t>EFO 24ZC3500-ICN</t>
  </si>
  <si>
    <t>EFO 24ZC3550-ICN</t>
  </si>
  <si>
    <t>EFO 24ZC3600-ICN</t>
  </si>
  <si>
    <t>EFO 24ZC3650-ICN</t>
  </si>
  <si>
    <t>EFO 24ZC3700-ICN</t>
  </si>
  <si>
    <t>EFO 24ZC3750-ICN</t>
  </si>
  <si>
    <t>EFO 24ZC3800-ICN</t>
  </si>
  <si>
    <t>EFO 24ZC3850-ICN</t>
  </si>
  <si>
    <t>EFO 24ZC3900-ICN</t>
  </si>
  <si>
    <t>EFO 24ZC3950-ICN</t>
  </si>
  <si>
    <t>EFO 24ZC4000-ICN</t>
  </si>
  <si>
    <t>EFO 24ZC4050-ICN</t>
  </si>
  <si>
    <t>EFO 24ZC4100-ICN</t>
  </si>
  <si>
    <t>EFO 24ZC4150-ICN</t>
  </si>
  <si>
    <t>EFO 24ZC4200-ICN</t>
  </si>
  <si>
    <t>EFO 24ZC4250-ICN</t>
  </si>
  <si>
    <t>EFO 24ZC4300-ICN</t>
  </si>
  <si>
    <t>EFO 24ZC4350-ICN</t>
  </si>
  <si>
    <t>EFO 24ZC4400-ICN</t>
  </si>
  <si>
    <t>EFO 24ZC4450-ICN</t>
  </si>
  <si>
    <t>EFO 24ZC4500-ICN</t>
  </si>
  <si>
    <t>EFO 24ZC4550-ICN</t>
  </si>
  <si>
    <t>EFO 24ZC4600-ICN</t>
  </si>
  <si>
    <t>EFO 24ZC4650-ICN</t>
  </si>
  <si>
    <t>EFO 24ZC4700-ICN</t>
  </si>
  <si>
    <t>EFO 24ZC4750-ICN</t>
  </si>
  <si>
    <t>EFO 24ZC4800-ICN</t>
  </si>
  <si>
    <t>EFO 24ZC4850-ICN</t>
  </si>
  <si>
    <t>EFO 24ZC4900-ICN</t>
  </si>
  <si>
    <t>EFO 24ZC4950-ICN</t>
  </si>
  <si>
    <t>EFO 24ZC5000-ICN</t>
  </si>
  <si>
    <t>EFO 24ZC5050-ICN</t>
  </si>
  <si>
    <t>EFO 24ZC5100-ICN</t>
  </si>
  <si>
    <t>EFO 24ZC5150-ICN</t>
  </si>
  <si>
    <t>EFO 24ZC5200-ICN</t>
  </si>
  <si>
    <t>EFO 24ZC5250-ICN</t>
  </si>
  <si>
    <t>EFO 24ZC5300-ICN</t>
  </si>
  <si>
    <t>EFO 24ZC5350-ICN</t>
  </si>
  <si>
    <t>EFO 24ZC5400-ICN</t>
  </si>
  <si>
    <t>EFO 24ZC5450-ICN</t>
  </si>
  <si>
    <t>EFO 24ZC5500-ICN</t>
  </si>
  <si>
    <t>EFO 24ZC5550-ICN</t>
  </si>
  <si>
    <t>EFO 24ZC5600-ICN</t>
  </si>
  <si>
    <t>EFO 24ZC5650-ICN</t>
  </si>
  <si>
    <t>EFO 24ZC5700-ICN</t>
  </si>
  <si>
    <t>EFO 24ZC5750-ICN</t>
  </si>
  <si>
    <t>EFO 24ZC5800-ICN</t>
  </si>
  <si>
    <t>EFO 24ZC5850-ICN</t>
  </si>
  <si>
    <t>EFO 24ZC5900-ICN</t>
  </si>
  <si>
    <t>EFO 24ZC5950-ICN</t>
  </si>
  <si>
    <t>EFO 24ZC6000-ICN</t>
  </si>
  <si>
    <t>EFO 24ZC6050-ICN</t>
  </si>
  <si>
    <t>EFO 24ZC6100-ICN</t>
  </si>
  <si>
    <t>EFO 24ZC6150-ICN</t>
  </si>
  <si>
    <t>EFO 24ZC6200-ICN</t>
  </si>
  <si>
    <t>EFO 24ZC6250-ICN</t>
  </si>
  <si>
    <t>EFO 24ZC6300-ICN</t>
  </si>
  <si>
    <t>EFO 24ZC6350-ICN</t>
  </si>
  <si>
    <t>EFO 24ZC6400-ICN</t>
  </si>
  <si>
    <t>EFO 24ZC6450-ICN</t>
  </si>
  <si>
    <t>EFO 24ZC6500-ICN</t>
  </si>
  <si>
    <t>EFO 24ZC6550-ICN</t>
  </si>
  <si>
    <t>EFO 24ZC6600-ICN</t>
  </si>
  <si>
    <t>EFO 24ZC6650-ICN</t>
  </si>
  <si>
    <t>EFO 24ZC6700-ICN</t>
  </si>
  <si>
    <t>EFO 24ZC6750-ICN</t>
  </si>
  <si>
    <t>EFO 24ZC6800-ICN</t>
  </si>
  <si>
    <t>EFO 24ZC6850-ICN</t>
  </si>
  <si>
    <t>EFO 24ZC6900-ICN</t>
  </si>
  <si>
    <t>EFO 24ZC6950-ICN</t>
  </si>
  <si>
    <t>EFO 24ZC7000-ICN</t>
  </si>
  <si>
    <t>EFO 24ZC7050-ICN</t>
  </si>
  <si>
    <t>EFO 24ZC7100-ICN</t>
  </si>
  <si>
    <t>EFO 24ZC7150-ICN</t>
  </si>
  <si>
    <t>EFO 24ZC7200-ICN</t>
  </si>
  <si>
    <t>EFO 24ZC7250-ICN</t>
  </si>
  <si>
    <t>EFO 24ZC7300-ICN</t>
  </si>
  <si>
    <t>EFO 24ZC7350-ICN</t>
  </si>
  <si>
    <t>EFO 24ZC7400-ICN</t>
  </si>
  <si>
    <t>EFO 24ZC7450-ICN</t>
  </si>
  <si>
    <t>EFO 24ZC7500-ICN</t>
  </si>
  <si>
    <t>EFO 24ZC7550-ICN</t>
  </si>
  <si>
    <t>EFO 24ZC7600-ICN</t>
  </si>
  <si>
    <t>EFO 24ZC7650-ICN</t>
  </si>
  <si>
    <t>EFO 24ZC7700-ICN</t>
  </si>
  <si>
    <t>EFO 24ZC7750-ICN</t>
  </si>
  <si>
    <t>EFO 24ZC7800-ICN</t>
  </si>
  <si>
    <t>EFO 24ZC7850-ICN</t>
  </si>
  <si>
    <t>EFO 24ZC7900-ICN</t>
  </si>
  <si>
    <t>EFO 24ZC7950-ICN</t>
  </si>
  <si>
    <t>EFO 24ZC8000-ICN</t>
  </si>
  <si>
    <t>EFO 24ZC8050-ICN</t>
  </si>
  <si>
    <t>EFO 24ZC8100-ICN</t>
  </si>
  <si>
    <t>EFO 24ZC8150-ICN</t>
  </si>
  <si>
    <t>EFO 24ZC8200-ICN</t>
  </si>
  <si>
    <t>EFO 24ZC8250-ICN</t>
  </si>
  <si>
    <t>EFO 24ZC8300-ICN</t>
  </si>
  <si>
    <t>EFO 24ZC8350-ICN</t>
  </si>
  <si>
    <t>EFO 24ZC8400-ICN</t>
  </si>
  <si>
    <t>EFO 24ZC8450-ICN</t>
  </si>
  <si>
    <t>EFO 24ZC8500-ICN</t>
  </si>
  <si>
    <t>EFO 24ZC8550-ICN</t>
  </si>
  <si>
    <t>EFO 24ZC8600-ICN</t>
  </si>
  <si>
    <t>EFO 24ZC8650-ICN</t>
  </si>
  <si>
    <t>EFO 24ZC8700-ICN</t>
  </si>
  <si>
    <t>EFO 24ZC8750-ICN</t>
  </si>
  <si>
    <t>EFO 24ZC8800-ICN</t>
  </si>
  <si>
    <t>EFO 24ZC8850-ICN</t>
  </si>
  <si>
    <t>EFO 24ZC8900-ICN</t>
  </si>
  <si>
    <t>EFO 24ZC8950-ICN</t>
  </si>
  <si>
    <t>EFO 24ZC9000-ICN</t>
  </si>
  <si>
    <t>EFO 24ZC9050-ICN</t>
  </si>
  <si>
    <t>EFO 24ZC9100-ICN</t>
  </si>
  <si>
    <t>EFO 24ZC9150-ICN</t>
  </si>
  <si>
    <t>EFO 24ZC9200-ICN</t>
  </si>
  <si>
    <t>EFO 24ZC9250-ICN</t>
  </si>
  <si>
    <t>EFO 24ZC9300-ICN</t>
  </si>
  <si>
    <t>EFO 24ZC9350-ICN</t>
  </si>
  <si>
    <t>EFO 24ZC9400-ICN</t>
  </si>
  <si>
    <t>EFO 24ZC9450-ICN</t>
  </si>
  <si>
    <t>EFO 24ZC9500-ICN</t>
  </si>
  <si>
    <t>EFO 24ZC9550-ICN</t>
  </si>
  <si>
    <t>EFO 24ZC9600-ICN</t>
  </si>
  <si>
    <t>EFO 24ZC9650-ICN</t>
  </si>
  <si>
    <t>EFO 24ZC9700-ICN</t>
  </si>
  <si>
    <t>EFO 24ZC9750-ICN</t>
  </si>
  <si>
    <t>EFO 24ZC9800-ICN</t>
  </si>
  <si>
    <t>EFO 24ZC9850-ICN</t>
  </si>
  <si>
    <t>EFO 24ZC9900-ICN</t>
  </si>
  <si>
    <t>EFO 24ZC9950-ICN</t>
  </si>
  <si>
    <t>EFO 24ZC10000-ICN</t>
  </si>
  <si>
    <t>EFO 24ZC10050-ICN</t>
  </si>
  <si>
    <t>EFO 24ZC10100-ICN</t>
  </si>
  <si>
    <t>EFO 24ZC10150-ICN</t>
  </si>
  <si>
    <t>EFO 24ZC10200-ICN</t>
  </si>
  <si>
    <t>EFO 24ZC10250-ICN</t>
  </si>
  <si>
    <t>EFO 24ZC10300-ICN</t>
  </si>
  <si>
    <t>EFO 24ZC10350-ICN</t>
  </si>
  <si>
    <t>EFO 24ZC10400-ICN</t>
  </si>
  <si>
    <t>EFO 24ZC10450-ICN</t>
  </si>
  <si>
    <t>EFO 24ZC10500-ICN</t>
  </si>
  <si>
    <t>EFO 24ZC10550-ICN</t>
  </si>
  <si>
    <t>EFO 24ZC10600-ICN</t>
  </si>
  <si>
    <t>EFO 24ZC10650-ICN</t>
  </si>
  <si>
    <t>EFO 24ZC10700-ICN</t>
  </si>
  <si>
    <t>EFO 24ZC10750-ICN</t>
  </si>
  <si>
    <t>EFO 24ZC10800-ICN</t>
  </si>
  <si>
    <t>EFO 24ZC10850-ICN</t>
  </si>
  <si>
    <t>EFO 24ZC10900-ICN</t>
  </si>
  <si>
    <t>EFO 24ZC10950-ICN</t>
  </si>
  <si>
    <t>EFO 24ZC11000-ICN</t>
  </si>
  <si>
    <t>EFO 24ZC11050-ICN</t>
  </si>
  <si>
    <t>EFO 24ZC11100-ICN</t>
  </si>
  <si>
    <t>EFO 24ZC11150-ICN</t>
  </si>
  <si>
    <t>EFO 24ZC11200-ICN</t>
  </si>
  <si>
    <t>EFO 24ZC11250-ICN</t>
  </si>
  <si>
    <t>EFO 24ZC11300-ICN</t>
  </si>
  <si>
    <t>EFO 24ZC11350-ICN</t>
  </si>
  <si>
    <t>EFO 24ZC11400-ICN</t>
  </si>
  <si>
    <t>EFO 24ZC11450-ICN</t>
  </si>
  <si>
    <t>EFO 24ZC11500-ICN</t>
  </si>
  <si>
    <t>EFO 24ZC11550-ICN</t>
  </si>
  <si>
    <t>EFO 24ZC11600-ICN</t>
  </si>
  <si>
    <t>EUA FUTURES</t>
  </si>
  <si>
    <t>ECF 24Z-ICN 12/11/24 20 C</t>
  </si>
  <si>
    <t>ECF 24Z-ICN 12/11/24 20.5 C</t>
  </si>
  <si>
    <t>ECF 24Z-ICN 12/11/24 21 C</t>
  </si>
  <si>
    <t>ECF 24Z-ICN 12/11/24 21.5 C</t>
  </si>
  <si>
    <t>ECF 24Z-ICN 12/11/24 22 C</t>
  </si>
  <si>
    <t>ECF 24Z-ICN 12/11/24 22.5 C</t>
  </si>
  <si>
    <t>ECF 24Z-ICN 12/11/24 23 C</t>
  </si>
  <si>
    <t>ECF 24Z-ICN 12/11/24 23.5 C</t>
  </si>
  <si>
    <t>ECF 24Z-ICN 12/11/24 24 C</t>
  </si>
  <si>
    <t>ECF 24Z-ICN 12/11/24 24.5 C</t>
  </si>
  <si>
    <t>ECF 24Z-ICN 12/11/24 25 C</t>
  </si>
  <si>
    <t>ECF 24Z-ICN 12/11/24 25.5 C</t>
  </si>
  <si>
    <t>ECF 24Z-ICN 12/11/24 26 C</t>
  </si>
  <si>
    <t>ECF 24Z-ICN 12/11/24 26.5 C</t>
  </si>
  <si>
    <t>ECF 24Z-ICN 12/11/24 27 C</t>
  </si>
  <si>
    <t>ECF 24Z-ICN 12/11/24 27.5 C</t>
  </si>
  <si>
    <t>ECF 24Z-ICN 12/11/24 28 C</t>
  </si>
  <si>
    <t>ECF 24Z-ICN 12/11/24 28.5 C</t>
  </si>
  <si>
    <t>ECF 24Z-ICN 12/11/24 29 C</t>
  </si>
  <si>
    <t>ECF 24Z-ICN 12/11/24 29.5 C</t>
  </si>
  <si>
    <t>ECF 24Z-ICN 12/11/24 30 C</t>
  </si>
  <si>
    <t>ECF 24Z-ICN 12/11/24 30.5 C</t>
  </si>
  <si>
    <t>ECF 24Z-ICN 12/11/24 31 C</t>
  </si>
  <si>
    <t>ECF 24Z-ICN 12/11/24 31.5 C</t>
  </si>
  <si>
    <t>ECF 24Z-ICN 12/11/24 32 C</t>
  </si>
  <si>
    <t>ECF 24Z-ICN 12/11/24 32.5 C</t>
  </si>
  <si>
    <t>ECF 24Z-ICN 12/11/24 33 C</t>
  </si>
  <si>
    <t>ECF 24Z-ICN 12/11/24 33.5 C</t>
  </si>
  <si>
    <t>ECF 24Z-ICN 12/11/24 34 C</t>
  </si>
  <si>
    <t>ECF 24Z-ICN 12/11/24 34.5 C</t>
  </si>
  <si>
    <t>ECF 24Z-ICN 12/11/24 35 C</t>
  </si>
  <si>
    <t>ECF 24Z-ICN 12/11/24 35.5 C</t>
  </si>
  <si>
    <t>ECF 24Z-ICN 12/11/24 36 C</t>
  </si>
  <si>
    <t>ECF 24Z-ICN 12/11/24 36.5 C</t>
  </si>
  <si>
    <t>ECF 24Z-ICN 12/11/24 37 C</t>
  </si>
  <si>
    <t>ECF 24Z-ICN 12/11/24 37.5 C</t>
  </si>
  <si>
    <t>ECF 24Z-ICN 12/11/24 38 C</t>
  </si>
  <si>
    <t>ECF 24Z-ICN 12/11/24 38.5 C</t>
  </si>
  <si>
    <t>ECF 24Z-ICN 12/11/24 39 C</t>
  </si>
  <si>
    <t>ECF 24Z-ICN 12/11/24 39.5 C</t>
  </si>
  <si>
    <t>ECF 24Z-ICN 12/11/24 40 C</t>
  </si>
  <si>
    <t>ECF 24Z-ICN 12/11/24 40.5 C</t>
  </si>
  <si>
    <t>ECF 24Z-ICN 12/11/24 41 C</t>
  </si>
  <si>
    <t>ECF 24Z-ICN 12/11/24 41.5 C</t>
  </si>
  <si>
    <t>ECF 24Z-ICN 12/11/24 42 C</t>
  </si>
  <si>
    <t>ECF 24Z-ICN 12/11/24 42.5 C</t>
  </si>
  <si>
    <t>ECF 24Z-ICN 12/11/24 43 C</t>
  </si>
  <si>
    <t>ECF 24Z-ICN 12/11/24 43.5 C</t>
  </si>
  <si>
    <t>ECF 24Z-ICN 12/11/24 44 C</t>
  </si>
  <si>
    <t>ECF 24Z-ICN 12/11/24 44.5 C</t>
  </si>
  <si>
    <t>ECF 24Z-ICN 12/11/24 45 C</t>
  </si>
  <si>
    <t>ECF 24Z-ICN 12/11/24 45.5 C</t>
  </si>
  <si>
    <t>ECF 24Z-ICN 12/11/24 46 C</t>
  </si>
  <si>
    <t>ECF 24Z-ICN 12/11/24 46.5 C</t>
  </si>
  <si>
    <t>ECF 24Z-ICN 12/11/24 47 C</t>
  </si>
  <si>
    <t>ECF 24Z-ICN 12/11/24 47.5 C</t>
  </si>
  <si>
    <t>ECF 24Z-ICN 12/11/24 48 C</t>
  </si>
  <si>
    <t>ECF 24Z-ICN 12/11/24 48.5 C</t>
  </si>
  <si>
    <t>ECF 24Z-ICN 12/11/24 49 C</t>
  </si>
  <si>
    <t>ECF 24Z-ICN 12/11/24 49.5 C</t>
  </si>
  <si>
    <t>ECF 24Z-ICN 12/11/24 50 C</t>
  </si>
  <si>
    <t>ECF 24Z-ICN 12/11/24 50.5 C</t>
  </si>
  <si>
    <t>ECF 24Z-ICN 12/11/24 51 C</t>
  </si>
  <si>
    <t>ECF 24Z-ICN 12/11/24 51.5 C</t>
  </si>
  <si>
    <t>ECF 24Z-ICN 12/11/24 52 C</t>
  </si>
  <si>
    <t>ECF 24Z-ICN 12/11/24 52.5 C</t>
  </si>
  <si>
    <t>ECF 24Z-ICN 12/11/24 53 C</t>
  </si>
  <si>
    <t>ECF 24Z-ICN 12/11/24 53.5 C</t>
  </si>
  <si>
    <t>ECF 24Z-ICN 12/11/24 54 C</t>
  </si>
  <si>
    <t>ECF 24Z-ICN 12/11/24 54.5 C</t>
  </si>
  <si>
    <t>ECF 24Z-ICN 12/11/24 55 C</t>
  </si>
  <si>
    <t>ECF 24Z-ICN 12/11/24 55.5 C</t>
  </si>
  <si>
    <t>ECF 24Z-ICN 12/11/24 56 C</t>
  </si>
  <si>
    <t>ECF 24Z-ICN 12/11/24 56.5 C</t>
  </si>
  <si>
    <t>ECF 24Z-ICN 12/11/24 57 C</t>
  </si>
  <si>
    <t>ECF 24Z-ICN 12/11/24 57.5 C</t>
  </si>
  <si>
    <t>ECF 24Z-ICN 12/11/24 58 C</t>
  </si>
  <si>
    <t>ECF 24Z-ICN 12/11/24 58.5 C</t>
  </si>
  <si>
    <t>ECF 24Z-ICN 12/11/24 59 C</t>
  </si>
  <si>
    <t>ECF 24Z-ICN 12/11/24 59.5 C</t>
  </si>
  <si>
    <t>ECF 24Z-ICN 12/11/24 60 C</t>
  </si>
  <si>
    <t>ECF 24Z-ICN 12/11/24 60.5 C</t>
  </si>
  <si>
    <t>ECF 24Z-ICN 12/11/24 61 C</t>
  </si>
  <si>
    <t>ECF 24Z-ICN 12/11/24 61.5 C</t>
  </si>
  <si>
    <t>ECF 24Z-ICN 12/11/24 62 C</t>
  </si>
  <si>
    <t>ECF 24Z-ICN 12/11/24 62.5 C</t>
  </si>
  <si>
    <t>ECF 24Z-ICN 12/11/24 63 C</t>
  </si>
  <si>
    <t>ECF 24Z-ICN 12/11/24 63.5 C</t>
  </si>
  <si>
    <t>ECF 24Z-ICN 12/11/24 64 C</t>
  </si>
  <si>
    <t>ECF 24Z-ICN 12/11/24 64.5 C</t>
  </si>
  <si>
    <t>ECF 24Z-ICN 12/11/24 65 C</t>
  </si>
  <si>
    <t>ECF 24Z-ICN 12/11/24 65.5 C</t>
  </si>
  <si>
    <t>ECF 24Z-ICN 12/11/24 66 C</t>
  </si>
  <si>
    <t>ECF 24Z-ICN 12/11/24 66.5 C</t>
  </si>
  <si>
    <t>ECF 24Z-ICN 12/11/24 67 C</t>
  </si>
  <si>
    <t>ECF 24Z-ICN 12/11/24 67.5 C</t>
  </si>
  <si>
    <t>ECF 24Z-ICN 12/11/24 68 C</t>
  </si>
  <si>
    <t>ECF 24Z-ICN 12/11/24 68.5 C</t>
  </si>
  <si>
    <t>ECF 24Z-ICN 12/11/24 69 C</t>
  </si>
  <si>
    <t>ECF 24Z-ICN 12/11/24 69.5 C</t>
  </si>
  <si>
    <t>ECF 24Z-ICN 12/11/24 70 C</t>
  </si>
  <si>
    <t>ECF 24Z-ICN 12/11/24 70.5 C</t>
  </si>
  <si>
    <t>ECF 24Z-ICN 12/11/24 71 C</t>
  </si>
  <si>
    <t>ECF 24Z-ICN 12/11/24 71.5 C</t>
  </si>
  <si>
    <t>ECF 24Z-ICN 12/11/24 72 C</t>
  </si>
  <si>
    <t>ECF 24Z-ICN 12/11/24 72.5 C</t>
  </si>
  <si>
    <t>ECF 24Z-ICN 12/11/24 73 C</t>
  </si>
  <si>
    <t>ECF 24Z-ICN 12/11/24 73.5 C</t>
  </si>
  <si>
    <t>ECF 24Z-ICN 12/11/24 74 C</t>
  </si>
  <si>
    <t>ECF 24Z-ICN 12/11/24 74.5 C</t>
  </si>
  <si>
    <t>ECF 24Z-ICN 12/11/24 75 C</t>
  </si>
  <si>
    <t>ECF 24Z-ICN 12/11/24 75.5 C</t>
  </si>
  <si>
    <t>ECF 24Z-ICN 12/11/24 76 C</t>
  </si>
  <si>
    <t>ECF 24Z-ICN 12/11/24 76.5 C</t>
  </si>
  <si>
    <t>ECF 24Z-ICN 12/11/24 77 C</t>
  </si>
  <si>
    <t>ECF 24Z-ICN 12/11/24 77.5 C</t>
  </si>
  <si>
    <t>ECF 24Z-ICN 12/11/24 78 C</t>
  </si>
  <si>
    <t>ECF 24Z-ICN 12/11/24 78.5 C</t>
  </si>
  <si>
    <t>ECF 24Z-ICN 12/11/24 79 C</t>
  </si>
  <si>
    <t>ECF 24Z-ICN 12/11/24 79.5 C</t>
  </si>
  <si>
    <t>ECF 24Z-ICN 12/11/24 80 C</t>
  </si>
  <si>
    <t>ECF 24Z-ICN 12/11/24 80.5 C</t>
  </si>
  <si>
    <t>ECF 24Z-ICN 12/11/24 81 C</t>
  </si>
  <si>
    <t>ECF 24Z-ICN 12/11/24 81.5 C</t>
  </si>
  <si>
    <t>ECF 24Z-ICN 12/11/24 82 C</t>
  </si>
  <si>
    <t>ECF 24Z-ICN 12/11/24 82.5 C</t>
  </si>
  <si>
    <t>ECF 24Z-ICN 12/11/24 83 C</t>
  </si>
  <si>
    <t>ECF 24Z-ICN 12/11/24 83.5 C</t>
  </si>
  <si>
    <t>ECF 24Z-ICN 12/11/24 84 C</t>
  </si>
  <si>
    <t>ECF 24Z-ICN 12/11/24 84.5 C</t>
  </si>
  <si>
    <t>ECF 24Z-ICN 12/11/24 85 C</t>
  </si>
  <si>
    <t>ECF 24Z-ICN 12/11/24 85.5 C</t>
  </si>
  <si>
    <t>ECF 24Z-ICN 12/11/24 86 C</t>
  </si>
  <si>
    <t>ECF 24Z-ICN 12/11/24 86.5 C</t>
  </si>
  <si>
    <t>ECF 24Z-ICN 12/11/24 87 C</t>
  </si>
  <si>
    <t>ECF 24Z-ICN 12/11/24 87.5 C</t>
  </si>
  <si>
    <t>ECF 24Z-ICN 12/11/24 88 C</t>
  </si>
  <si>
    <t>ECF 24Z-ICN 12/11/24 88.5 C</t>
  </si>
  <si>
    <t>ECF 24Z-ICN 12/11/24 89 C</t>
  </si>
  <si>
    <t>ECF 24Z-ICN 12/11/24 89.5 C</t>
  </si>
  <si>
    <t>ECF 24Z-ICN 12/11/24 90 C</t>
  </si>
  <si>
    <t>ECF 24Z-ICN 12/11/24 90.5 C</t>
  </si>
  <si>
    <t>ECF 24Z-ICN 12/11/24 91 C</t>
  </si>
  <si>
    <t>ECF 24Z-ICN 12/11/24 91.5 C</t>
  </si>
  <si>
    <t>ECF 24Z-ICN 12/11/24 92 C</t>
  </si>
  <si>
    <t>ECF 24Z-ICN 12/11/24 92.5 C</t>
  </si>
  <si>
    <t>ECF 24Z-ICN 12/11/24 93 C</t>
  </si>
  <si>
    <t>ECF 24Z-ICN 12/11/24 93.5 C</t>
  </si>
  <si>
    <t>ECF 24Z-ICN 12/11/24 94 C</t>
  </si>
  <si>
    <t>ECF 24Z-ICN 12/11/24 94.5 C</t>
  </si>
  <si>
    <t>ECF 24Z-ICN 12/11/24 95 C</t>
  </si>
  <si>
    <t>ECF 24Z-ICN 12/11/24 95.5 C</t>
  </si>
  <si>
    <t>ECF 24Z-ICN 12/11/24 96 C</t>
  </si>
  <si>
    <t>ECF 24Z-ICN 12/11/24 96.5 C</t>
  </si>
  <si>
    <t>ECF 24Z-ICN 12/11/24 97 C</t>
  </si>
  <si>
    <t>ECF 24Z-ICN 12/11/24 97.5 C</t>
  </si>
  <si>
    <t>ECF 24Z-ICN 12/11/24 98 C</t>
  </si>
  <si>
    <t>ECF 24Z-ICN 12/11/24 98.5 C</t>
  </si>
  <si>
    <t>ECF 24Z-ICN 12/11/24 99 C</t>
  </si>
  <si>
    <t>ECF 24Z-ICN 12/11/24 99.5 C</t>
  </si>
  <si>
    <t>ECF 24Z-ICN 12/11/24 100 C</t>
  </si>
  <si>
    <t>ECF 24Z-ICN 12/11/24 100.5 C</t>
  </si>
  <si>
    <t>ECF 24Z-ICN 12/11/24 101 C</t>
  </si>
  <si>
    <t>ECF 24Z-ICN 12/11/24 101.5 C</t>
  </si>
  <si>
    <t>ECF 24Z-ICN 12/11/24 102 C</t>
  </si>
  <si>
    <t>ECF 24Z-ICN 12/11/24 102.5 C</t>
  </si>
  <si>
    <t>ECF 24Z-ICN 12/11/24 103 C</t>
  </si>
  <si>
    <t>ECF 24Z-ICN 12/11/24 103.5 C</t>
  </si>
  <si>
    <t>ECF 24Z-ICN 12/11/24 104 C</t>
  </si>
  <si>
    <t>ECF 24Z-ICN 12/11/24 104.5 C</t>
  </si>
  <si>
    <t>ECF 24Z-ICN 12/11/24 105 C</t>
  </si>
  <si>
    <t>ECF 24Z-ICN 12/11/24 105.5 C</t>
  </si>
  <si>
    <t>ECF 24Z-ICN 12/11/24 106 C</t>
  </si>
  <si>
    <t>ECF 24Z-ICN 12/11/24 106.5 C</t>
  </si>
  <si>
    <t>ECF 24Z-ICN 12/11/24 107 C</t>
  </si>
  <si>
    <t>ECF 24Z-ICN 12/11/24 107.5 C</t>
  </si>
  <si>
    <t>ECF 24Z-ICN 12/11/24 108 C</t>
  </si>
  <si>
    <t>ECF 24Z-ICN 12/11/24 108.5 C</t>
  </si>
  <si>
    <t>ECF 24Z-ICN 12/11/24 109 C</t>
  </si>
  <si>
    <t>ECF 24Z-ICN 12/11/24 109.5 C</t>
  </si>
  <si>
    <t>ECF 24Z-ICN 12/11/24 110 C</t>
  </si>
  <si>
    <t>ECF 24Z-ICN 12/11/24 110.5 C</t>
  </si>
  <si>
    <t>ECF 24Z-ICN 12/11/24 111 C</t>
  </si>
  <si>
    <t>ECF 24Z-ICN 12/11/24 111.5 C</t>
  </si>
  <si>
    <t>ECF 24Z-ICN 12/11/24 112 C</t>
  </si>
  <si>
    <t>ECF 24Z-ICN 12/11/24 112.5 C</t>
  </si>
  <si>
    <t>ECF 24Z-ICN 12/11/24 113 C</t>
  </si>
  <si>
    <t>ECF 24Z-ICN 12/11/24 113.5 C</t>
  </si>
  <si>
    <t>ECF 24Z-ICN 12/11/24 114 C</t>
  </si>
  <si>
    <t>ECF 24Z-ICN 12/11/24 114.5 C</t>
  </si>
  <si>
    <t>ECF 24Z-ICN 12/11/24 115 C</t>
  </si>
  <si>
    <t>ECF 24Z-ICN 12/11/24 115.5 C</t>
  </si>
  <si>
    <t>ECF 24Z-ICN 12/11/24 116 C</t>
  </si>
  <si>
    <t>EFO 24ZP2000-ICN</t>
  </si>
  <si>
    <t>EFO 24ZP2050-ICN</t>
  </si>
  <si>
    <t>EFO 24ZP2100-ICN</t>
  </si>
  <si>
    <t>EFO 24ZP2150-ICN</t>
  </si>
  <si>
    <t>EFO 24ZP2200-ICN</t>
  </si>
  <si>
    <t>EFO 24ZP2250-ICN</t>
  </si>
  <si>
    <t>EFO 24ZP2300-ICN</t>
  </si>
  <si>
    <t>EFO 24ZP2350-ICN</t>
  </si>
  <si>
    <t>EFO 24ZP2400-ICN</t>
  </si>
  <si>
    <t>EFO 24ZP2450-ICN</t>
  </si>
  <si>
    <t>EFO 24ZP2500-ICN</t>
  </si>
  <si>
    <t>EFO 24ZP2550-ICN</t>
  </si>
  <si>
    <t>EFO 24ZP2600-ICN</t>
  </si>
  <si>
    <t>EFO 24ZP2650-ICN</t>
  </si>
  <si>
    <t>EFO 24ZP2700-ICN</t>
  </si>
  <si>
    <t>EFO 24ZP2750-ICN</t>
  </si>
  <si>
    <t>EFO 24ZP2800-ICN</t>
  </si>
  <si>
    <t>EFO 24ZP2850-ICN</t>
  </si>
  <si>
    <t>EFO 24ZP2900-ICN</t>
  </si>
  <si>
    <t>EFO 24ZP2950-ICN</t>
  </si>
  <si>
    <t>EFO 24ZP3000-ICN</t>
  </si>
  <si>
    <t>EFO 24ZP3050-ICN</t>
  </si>
  <si>
    <t>EFO 24ZP3100-ICN</t>
  </si>
  <si>
    <t>EFO 24ZP3150-ICN</t>
  </si>
  <si>
    <t>EFO 24ZP3200-ICN</t>
  </si>
  <si>
    <t>EFO 24ZP3250-ICN</t>
  </si>
  <si>
    <t>EFO 24ZP3300-ICN</t>
  </si>
  <si>
    <t>EFO 24ZP3350-ICN</t>
  </si>
  <si>
    <t>EFO 24ZP3400-ICN</t>
  </si>
  <si>
    <t>EFO 24ZP3450-ICN</t>
  </si>
  <si>
    <t>EFO 24ZP3500-ICN</t>
  </si>
  <si>
    <t>EFO 24ZP3550-ICN</t>
  </si>
  <si>
    <t>EFO 24ZP3600-ICN</t>
  </si>
  <si>
    <t>EFO 24ZP3650-ICN</t>
  </si>
  <si>
    <t>EFO 24ZP3700-ICN</t>
  </si>
  <si>
    <t>EFO 24ZP3750-ICN</t>
  </si>
  <si>
    <t>EFO 24ZP3800-ICN</t>
  </si>
  <si>
    <t>EFO 24ZP3850-ICN</t>
  </si>
  <si>
    <t>EFO 24ZP3900-ICN</t>
  </si>
  <si>
    <t>EFO 24ZP3950-ICN</t>
  </si>
  <si>
    <t>EFO 24ZP4000-ICN</t>
  </si>
  <si>
    <t>EFO 24ZP4050-ICN</t>
  </si>
  <si>
    <t>EFO 24ZP4100-ICN</t>
  </si>
  <si>
    <t>EFO 24ZP4150-ICN</t>
  </si>
  <si>
    <t>EFO 24ZP4200-ICN</t>
  </si>
  <si>
    <t>EFO 24ZP4250-ICN</t>
  </si>
  <si>
    <t>EFO 24ZP4300-ICN</t>
  </si>
  <si>
    <t>EFO 24ZP4350-ICN</t>
  </si>
  <si>
    <t>EFO 24ZP4400-ICN</t>
  </si>
  <si>
    <t>EFO 24ZP4450-ICN</t>
  </si>
  <si>
    <t>EFO 24ZP4500-ICN</t>
  </si>
  <si>
    <t>EFO 24ZP4550-ICN</t>
  </si>
  <si>
    <t>EFO 24ZP4600-ICN</t>
  </si>
  <si>
    <t>EFO 24ZP4650-ICN</t>
  </si>
  <si>
    <t>EFO 24ZP4700-ICN</t>
  </si>
  <si>
    <t>EFO 24ZP4750-ICN</t>
  </si>
  <si>
    <t>EFO 24ZP4800-ICN</t>
  </si>
  <si>
    <t>EFO 24ZP4850-ICN</t>
  </si>
  <si>
    <t>EFO 24ZP4900-ICN</t>
  </si>
  <si>
    <t>EFO 24ZP4950-ICN</t>
  </si>
  <si>
    <t>EFO 24ZP5000-ICN</t>
  </si>
  <si>
    <t>EFO 24ZP5050-ICN</t>
  </si>
  <si>
    <t>EFO 24ZP5100-ICN</t>
  </si>
  <si>
    <t>EFO 24ZP5150-ICN</t>
  </si>
  <si>
    <t>EFO 24ZP5200-ICN</t>
  </si>
  <si>
    <t>EFO 24ZP5250-ICN</t>
  </si>
  <si>
    <t>EFO 24ZP5300-ICN</t>
  </si>
  <si>
    <t>EFO 24ZP5350-ICN</t>
  </si>
  <si>
    <t>EFO 24ZP5400-ICN</t>
  </si>
  <si>
    <t>EFO 24ZP5450-ICN</t>
  </si>
  <si>
    <t>EFO 24ZP5500-ICN</t>
  </si>
  <si>
    <t>EFO 24ZP5550-ICN</t>
  </si>
  <si>
    <t>EFO 24ZP5600-ICN</t>
  </si>
  <si>
    <t>EFO 24ZP5650-ICN</t>
  </si>
  <si>
    <t>EFO 24ZP5700-ICN</t>
  </si>
  <si>
    <t>EFO 24ZP5750-ICN</t>
  </si>
  <si>
    <t>EFO 24ZP5800-ICN</t>
  </si>
  <si>
    <t>EFO 24ZP5850-ICN</t>
  </si>
  <si>
    <t>EFO 24ZP5900-ICN</t>
  </si>
  <si>
    <t>EFO 24ZP5950-ICN</t>
  </si>
  <si>
    <t>EFO 24ZP6000-ICN</t>
  </si>
  <si>
    <t>EFO 24ZP6050-ICN</t>
  </si>
  <si>
    <t>EFO 24ZP6100-ICN</t>
  </si>
  <si>
    <t>EFO 24ZP6150-ICN</t>
  </si>
  <si>
    <t>EFO 24ZP6200-ICN</t>
  </si>
  <si>
    <t>EFO 24ZP6250-ICN</t>
  </si>
  <si>
    <t>EFO 24ZP6300-ICN</t>
  </si>
  <si>
    <t>EFO 24ZP6350-ICN</t>
  </si>
  <si>
    <t>EFO 24ZP6400-ICN</t>
  </si>
  <si>
    <t>EFO 24ZP6450-ICN</t>
  </si>
  <si>
    <t>EFO 24ZP6500-ICN</t>
  </si>
  <si>
    <t>EFO 24ZP6550-ICN</t>
  </si>
  <si>
    <t>EFO 24ZP6600-ICN</t>
  </si>
  <si>
    <t>EFO 24ZP6650-ICN</t>
  </si>
  <si>
    <t>EFO 24ZP6700-ICN</t>
  </si>
  <si>
    <t>EFO 24ZP6750-ICN</t>
  </si>
  <si>
    <t>EFO 24ZP6800-ICN</t>
  </si>
  <si>
    <t>EFO 24ZP6850-ICN</t>
  </si>
  <si>
    <t>EFO 24ZP6900-ICN</t>
  </si>
  <si>
    <t>EFO 24ZP6950-ICN</t>
  </si>
  <si>
    <t>EFO 24ZP7000-ICN</t>
  </si>
  <si>
    <t>EFO 24ZP7050-ICN</t>
  </si>
  <si>
    <t>EFO 24ZP7100-ICN</t>
  </si>
  <si>
    <t>EFO 24ZP7150-ICN</t>
  </si>
  <si>
    <t>EFO 24ZP7200-ICN</t>
  </si>
  <si>
    <t>EFO 24ZP7250-ICN</t>
  </si>
  <si>
    <t>EFO 24ZP7300-ICN</t>
  </si>
  <si>
    <t>EFO 24ZP7350-ICN</t>
  </si>
  <si>
    <t>EFO 24ZP7400-ICN</t>
  </si>
  <si>
    <t>EFO 24ZP7450-ICN</t>
  </si>
  <si>
    <t>EFO 24ZP7500-ICN</t>
  </si>
  <si>
    <t>EFO 24ZP7550-ICN</t>
  </si>
  <si>
    <t>EFO 24ZP7600-ICN</t>
  </si>
  <si>
    <t>EFO 24ZP7650-ICN</t>
  </si>
  <si>
    <t>EFO 24ZP7700-ICN</t>
  </si>
  <si>
    <t>EFO 24ZP7750-ICN</t>
  </si>
  <si>
    <t>EFO 24ZP7800-ICN</t>
  </si>
  <si>
    <t>EFO 24ZP7850-ICN</t>
  </si>
  <si>
    <t>EFO 24ZP7900-ICN</t>
  </si>
  <si>
    <t>EFO 24ZP7950-ICN</t>
  </si>
  <si>
    <t>EFO 24ZP8000-ICN</t>
  </si>
  <si>
    <t>EFO 24ZP8050-ICN</t>
  </si>
  <si>
    <t>EFO 24ZP8100-ICN</t>
  </si>
  <si>
    <t>EFO 24ZP8150-ICN</t>
  </si>
  <si>
    <t>EFO 24ZP8200-ICN</t>
  </si>
  <si>
    <t>EFO 24ZP8250-ICN</t>
  </si>
  <si>
    <t>EFO 24ZP8300-ICN</t>
  </si>
  <si>
    <t>EFO 24ZP8350-ICN</t>
  </si>
  <si>
    <t>EFO 24ZP8400-ICN</t>
  </si>
  <si>
    <t>EFO 24ZP8450-ICN</t>
  </si>
  <si>
    <t>EFO 24ZP8500-ICN</t>
  </si>
  <si>
    <t>EFO 24ZP8550-ICN</t>
  </si>
  <si>
    <t>EFO 24ZP8600-ICN</t>
  </si>
  <si>
    <t>EFO 24ZP8650-ICN</t>
  </si>
  <si>
    <t>EFO 24ZP8700-ICN</t>
  </si>
  <si>
    <t>EFO 24ZP8750-ICN</t>
  </si>
  <si>
    <t>EFO 24ZP8800-ICN</t>
  </si>
  <si>
    <t>EFO 24ZP8850-ICN</t>
  </si>
  <si>
    <t>EFO 24ZP8900-ICN</t>
  </si>
  <si>
    <t>EFO 24ZP8950-ICN</t>
  </si>
  <si>
    <t>EFO 24ZP9000-ICN</t>
  </si>
  <si>
    <t>EFO 24ZP9050-ICN</t>
  </si>
  <si>
    <t>EFO 24ZP9100-ICN</t>
  </si>
  <si>
    <t>EFO 24ZP9150-ICN</t>
  </si>
  <si>
    <t>EFO 24ZP9200-ICN</t>
  </si>
  <si>
    <t>EFO 24ZP9250-ICN</t>
  </si>
  <si>
    <t>EFO 24ZP9300-ICN</t>
  </si>
  <si>
    <t>EFO 24ZP9350-ICN</t>
  </si>
  <si>
    <t>EFO 24ZP9400-ICN</t>
  </si>
  <si>
    <t>EFO 24ZP9450-ICN</t>
  </si>
  <si>
    <t>EFO 24ZP9500-ICN</t>
  </si>
  <si>
    <t>EFO 24ZP9550-ICN</t>
  </si>
  <si>
    <t>EFO 24ZP9600-ICN</t>
  </si>
  <si>
    <t>EFO 24ZP9650-ICN</t>
  </si>
  <si>
    <t>EFO 24ZP9700-ICN</t>
  </si>
  <si>
    <t>EFO 24ZP9750-ICN</t>
  </si>
  <si>
    <t>EFO 24ZP9800-ICN</t>
  </si>
  <si>
    <t>EFO 24ZP9850-ICN</t>
  </si>
  <si>
    <t>EFO 24ZP9900-ICN</t>
  </si>
  <si>
    <t>EFO 24ZP9950-ICN</t>
  </si>
  <si>
    <t>EFO 24ZP10000-ICN</t>
  </si>
  <si>
    <t>EFO 24ZP10050-ICN</t>
  </si>
  <si>
    <t>EFO 24ZP10100-ICN</t>
  </si>
  <si>
    <t>EFO 24ZP10150-ICN</t>
  </si>
  <si>
    <t>EFO 24ZP10200-ICN</t>
  </si>
  <si>
    <t>EFO 24ZP10250-ICN</t>
  </si>
  <si>
    <t>EFO 24ZP10300-ICN</t>
  </si>
  <si>
    <t>EFO 24ZP10350-ICN</t>
  </si>
  <si>
    <t>EFO 24ZP10400-ICN</t>
  </si>
  <si>
    <t>EFO 24ZP10450-ICN</t>
  </si>
  <si>
    <t>EFO 24ZP10500-ICN</t>
  </si>
  <si>
    <t>EFO 24ZP10550-ICN</t>
  </si>
  <si>
    <t>EFO 24ZP10600-ICN</t>
  </si>
  <si>
    <t>EFO 24ZP10650-ICN</t>
  </si>
  <si>
    <t>EFO 24ZP10700-ICN</t>
  </si>
  <si>
    <t>EFO 24ZP10750-ICN</t>
  </si>
  <si>
    <t>EFO 24ZP10800-ICN</t>
  </si>
  <si>
    <t>EFO 24ZP10850-ICN</t>
  </si>
  <si>
    <t>EFO 24ZP10900-ICN</t>
  </si>
  <si>
    <t>EFO 24ZP10950-ICN</t>
  </si>
  <si>
    <t>EFO 24ZP11000-ICN</t>
  </si>
  <si>
    <t>EFO 24ZP11050-ICN</t>
  </si>
  <si>
    <t>EFO 24ZP11100-ICN</t>
  </si>
  <si>
    <t>EFO 24ZP11150-ICN</t>
  </si>
  <si>
    <t>EFO 24ZP11200-ICN</t>
  </si>
  <si>
    <t>EFO 24ZP11250-ICN</t>
  </si>
  <si>
    <t>EFO 24ZP11300-ICN</t>
  </si>
  <si>
    <t>EFO 24ZP11350-ICN</t>
  </si>
  <si>
    <t>EFO 24ZP11400-ICN</t>
  </si>
  <si>
    <t>EFO 24ZP11450-ICN</t>
  </si>
  <si>
    <t>EFO 24ZP11500-ICN</t>
  </si>
  <si>
    <t>EFO 24ZP11550-ICN</t>
  </si>
  <si>
    <t>ECF 24Z-ICN 12/11/24 20 P</t>
  </si>
  <si>
    <t>ECF 24Z-ICN 12/11/24 20.5 P</t>
  </si>
  <si>
    <t>ECF 24Z-ICN 12/11/24 21 P</t>
  </si>
  <si>
    <t>ECF 24Z-ICN 12/11/24 21.5 P</t>
  </si>
  <si>
    <t>ECF 24Z-ICN 12/11/24 22 P</t>
  </si>
  <si>
    <t>ECF 24Z-ICN 12/11/24 22.5 P</t>
  </si>
  <si>
    <t>ECF 24Z-ICN 12/11/24 23 P</t>
  </si>
  <si>
    <t>ECF 24Z-ICN 12/11/24 23.5 P</t>
  </si>
  <si>
    <t>ECF 24Z-ICN 12/11/24 24 P</t>
  </si>
  <si>
    <t>ECF 24Z-ICN 12/11/24 24.5 P</t>
  </si>
  <si>
    <t>ECF 24Z-ICN 12/11/24 25 P</t>
  </si>
  <si>
    <t>ECF 24Z-ICN 12/11/24 25.5 P</t>
  </si>
  <si>
    <t>ECF 24Z-ICN 12/11/24 26 P</t>
  </si>
  <si>
    <t>ECF 24Z-ICN 12/11/24 26.5 P</t>
  </si>
  <si>
    <t>ECF 24Z-ICN 12/11/24 27 P</t>
  </si>
  <si>
    <t>ECF 24Z-ICN 12/11/24 27.5 P</t>
  </si>
  <si>
    <t>ECF 24Z-ICN 12/11/24 28 P</t>
  </si>
  <si>
    <t>ECF 24Z-ICN 12/11/24 28.5 P</t>
  </si>
  <si>
    <t>ECF 24Z-ICN 12/11/24 29 P</t>
  </si>
  <si>
    <t>ECF 24Z-ICN 12/11/24 29.5 P</t>
  </si>
  <si>
    <t>ECF 24Z-ICN 12/11/24 30 P</t>
  </si>
  <si>
    <t>ECF 24Z-ICN 12/11/24 30.5 P</t>
  </si>
  <si>
    <t>ECF 24Z-ICN 12/11/24 31 P</t>
  </si>
  <si>
    <t>ECF 24Z-ICN 12/11/24 31.5 P</t>
  </si>
  <si>
    <t>ECF 24Z-ICN 12/11/24 32 P</t>
  </si>
  <si>
    <t>ECF 24Z-ICN 12/11/24 32.5 P</t>
  </si>
  <si>
    <t>ECF 24Z-ICN 12/11/24 33 P</t>
  </si>
  <si>
    <t>ECF 24Z-ICN 12/11/24 33.5 P</t>
  </si>
  <si>
    <t>ECF 24Z-ICN 12/11/24 34 P</t>
  </si>
  <si>
    <t>ECF 24Z-ICN 12/11/24 34.5 P</t>
  </si>
  <si>
    <t>ECF 24Z-ICN 12/11/24 35 P</t>
  </si>
  <si>
    <t>ECF 24Z-ICN 12/11/24 35.5 P</t>
  </si>
  <si>
    <t>ECF 24Z-ICN 12/11/24 36 P</t>
  </si>
  <si>
    <t>ECF 24Z-ICN 12/11/24 36.5 P</t>
  </si>
  <si>
    <t>ECF 24Z-ICN 12/11/24 37 P</t>
  </si>
  <si>
    <t>ECF 24Z-ICN 12/11/24 37.5 P</t>
  </si>
  <si>
    <t>ECF 24Z-ICN 12/11/24 38 P</t>
  </si>
  <si>
    <t>ECF 24Z-ICN 12/11/24 38.5 P</t>
  </si>
  <si>
    <t>ECF 24Z-ICN 12/11/24 39 P</t>
  </si>
  <si>
    <t>ECF 24Z-ICN 12/11/24 39.5 P</t>
  </si>
  <si>
    <t>ECF 24Z-ICN 12/11/24 40 P</t>
  </si>
  <si>
    <t>ECF 24Z-ICN 12/11/24 40.5 P</t>
  </si>
  <si>
    <t>ECF 24Z-ICN 12/11/24 41 P</t>
  </si>
  <si>
    <t>ECF 24Z-ICN 12/11/24 41.5 P</t>
  </si>
  <si>
    <t>ECF 24Z-ICN 12/11/24 42 P</t>
  </si>
  <si>
    <t>ECF 24Z-ICN 12/11/24 42.5 P</t>
  </si>
  <si>
    <t>ECF 24Z-ICN 12/11/24 43 P</t>
  </si>
  <si>
    <t>ECF 24Z-ICN 12/11/24 43.5 P</t>
  </si>
  <si>
    <t>ECF 24Z-ICN 12/11/24 44 P</t>
  </si>
  <si>
    <t>ECF 24Z-ICN 12/11/24 44.5 P</t>
  </si>
  <si>
    <t>ECF 24Z-ICN 12/11/24 45 P</t>
  </si>
  <si>
    <t>ECF 24Z-ICN 12/11/24 45.5 P</t>
  </si>
  <si>
    <t>ECF 24Z-ICN 12/11/24 46 P</t>
  </si>
  <si>
    <t>ECF 24Z-ICN 12/11/24 46.5 P</t>
  </si>
  <si>
    <t>ECF 24Z-ICN 12/11/24 47 P</t>
  </si>
  <si>
    <t>ECF 24Z-ICN 12/11/24 47.5 P</t>
  </si>
  <si>
    <t>ECF 24Z-ICN 12/11/24 48 P</t>
  </si>
  <si>
    <t>ECF 24Z-ICN 12/11/24 48.5 P</t>
  </si>
  <si>
    <t>ECF 24Z-ICN 12/11/24 49 P</t>
  </si>
  <si>
    <t>ECF 24Z-ICN 12/11/24 49.5 P</t>
  </si>
  <si>
    <t>ECF 24Z-ICN 12/11/24 50 P</t>
  </si>
  <si>
    <t>ECF 24Z-ICN 12/11/24 50.5 P</t>
  </si>
  <si>
    <t>ECF 24Z-ICN 12/11/24 51 P</t>
  </si>
  <si>
    <t>ECF 24Z-ICN 12/11/24 51.5 P</t>
  </si>
  <si>
    <t>ECF 24Z-ICN 12/11/24 52 P</t>
  </si>
  <si>
    <t>ECF 24Z-ICN 12/11/24 52.5 P</t>
  </si>
  <si>
    <t>ECF 24Z-ICN 12/11/24 53 P</t>
  </si>
  <si>
    <t>ECF 24Z-ICN 12/11/24 53.5 P</t>
  </si>
  <si>
    <t>ECF 24Z-ICN 12/11/24 54 P</t>
  </si>
  <si>
    <t>ECF 24Z-ICN 12/11/24 54.5 P</t>
  </si>
  <si>
    <t>ECF 24Z-ICN 12/11/24 55 P</t>
  </si>
  <si>
    <t>ECF 24Z-ICN 12/11/24 55.5 P</t>
  </si>
  <si>
    <t>ECF 24Z-ICN 12/11/24 56 P</t>
  </si>
  <si>
    <t>ECF 24Z-ICN 12/11/24 56.5 P</t>
  </si>
  <si>
    <t>ECF 24Z-ICN 12/11/24 57 P</t>
  </si>
  <si>
    <t>ECF 24Z-ICN 12/11/24 57.5 P</t>
  </si>
  <si>
    <t>ECF 24Z-ICN 12/11/24 58 P</t>
  </si>
  <si>
    <t>ECF 24Z-ICN 12/11/24 58.5 P</t>
  </si>
  <si>
    <t>ECF 24Z-ICN 12/11/24 59 P</t>
  </si>
  <si>
    <t>ECF 24Z-ICN 12/11/24 59.5 P</t>
  </si>
  <si>
    <t>ECF 24Z-ICN 12/11/24 60 P</t>
  </si>
  <si>
    <t>ECF 24Z-ICN 12/11/24 60.5 P</t>
  </si>
  <si>
    <t>ECF 24Z-ICN 12/11/24 61 P</t>
  </si>
  <si>
    <t>ECF 24Z-ICN 12/11/24 61.5 P</t>
  </si>
  <si>
    <t>ECF 24Z-ICN 12/11/24 62 P</t>
  </si>
  <si>
    <t>ECF 24Z-ICN 12/11/24 62.5 P</t>
  </si>
  <si>
    <t>ECF 24Z-ICN 12/11/24 63 P</t>
  </si>
  <si>
    <t>ECF 24Z-ICN 12/11/24 63.5 P</t>
  </si>
  <si>
    <t>ECF 24Z-ICN 12/11/24 64 P</t>
  </si>
  <si>
    <t>ECF 24Z-ICN 12/11/24 64.5 P</t>
  </si>
  <si>
    <t>ECF 24Z-ICN 12/11/24 65 P</t>
  </si>
  <si>
    <t>ECF 24Z-ICN 12/11/24 65.5 P</t>
  </si>
  <si>
    <t>ECF 24Z-ICN 12/11/24 66 P</t>
  </si>
  <si>
    <t>ECF 24Z-ICN 12/11/24 66.5 P</t>
  </si>
  <si>
    <t>ECF 24Z-ICN 12/11/24 67 P</t>
  </si>
  <si>
    <t>ECF 24Z-ICN 12/11/24 67.5 P</t>
  </si>
  <si>
    <t>ECF 24Z-ICN 12/11/24 68 P</t>
  </si>
  <si>
    <t>ECF 24Z-ICN 12/11/24 68.5 P</t>
  </si>
  <si>
    <t>ECF 24Z-ICN 12/11/24 69 P</t>
  </si>
  <si>
    <t>ECF 24Z-ICN 12/11/24 69.5 P</t>
  </si>
  <si>
    <t>ECF 24Z-ICN 12/11/24 70 P</t>
  </si>
  <si>
    <t>ECF 24Z-ICN 12/11/24 70.5 P</t>
  </si>
  <si>
    <t>ECF 24Z-ICN 12/11/24 71 P</t>
  </si>
  <si>
    <t>ECF 24Z-ICN 12/11/24 71.5 P</t>
  </si>
  <si>
    <t>ECF 24Z-ICN 12/11/24 72 P</t>
  </si>
  <si>
    <t>ECF 24Z-ICN 12/11/24 72.5 P</t>
  </si>
  <si>
    <t>ECF 24Z-ICN 12/11/24 73 P</t>
  </si>
  <si>
    <t>ECF 24Z-ICN 12/11/24 73.5 P</t>
  </si>
  <si>
    <t>ECF 24Z-ICN 12/11/24 74 P</t>
  </si>
  <si>
    <t>ECF 24Z-ICN 12/11/24 74.5 P</t>
  </si>
  <si>
    <t>ECF 24Z-ICN 12/11/24 75 P</t>
  </si>
  <si>
    <t>ECF 24Z-ICN 12/11/24 75.5 P</t>
  </si>
  <si>
    <t>ECF 24Z-ICN 12/11/24 76 P</t>
  </si>
  <si>
    <t>ECF 24Z-ICN 12/11/24 76.5 P</t>
  </si>
  <si>
    <t>ECF 24Z-ICN 12/11/24 77 P</t>
  </si>
  <si>
    <t>ECF 24Z-ICN 12/11/24 77.5 P</t>
  </si>
  <si>
    <t>ECF 24Z-ICN 12/11/24 78 P</t>
  </si>
  <si>
    <t>ECF 24Z-ICN 12/11/24 78.5 P</t>
  </si>
  <si>
    <t>ECF 24Z-ICN 12/11/24 79 P</t>
  </si>
  <si>
    <t>ECF 24Z-ICN 12/11/24 79.5 P</t>
  </si>
  <si>
    <t>ECF 24Z-ICN 12/11/24 80 P</t>
  </si>
  <si>
    <t>ECF 24Z-ICN 12/11/24 80.5 P</t>
  </si>
  <si>
    <t>ECF 24Z-ICN 12/11/24 81 P</t>
  </si>
  <si>
    <t>ECF 24Z-ICN 12/11/24 81.5 P</t>
  </si>
  <si>
    <t>ECF 24Z-ICN 12/11/24 82 P</t>
  </si>
  <si>
    <t>ECF 24Z-ICN 12/11/24 82.5 P</t>
  </si>
  <si>
    <t>ECF 24Z-ICN 12/11/24 83 P</t>
  </si>
  <si>
    <t>ECF 24Z-ICN 12/11/24 83.5 P</t>
  </si>
  <si>
    <t>ECF 24Z-ICN 12/11/24 84 P</t>
  </si>
  <si>
    <t>ECF 24Z-ICN 12/11/24 84.5 P</t>
  </si>
  <si>
    <t>ECF 24Z-ICN 12/11/24 85 P</t>
  </si>
  <si>
    <t>ECF 24Z-ICN 12/11/24 85.5 P</t>
  </si>
  <si>
    <t>ECF 24Z-ICN 12/11/24 86 P</t>
  </si>
  <si>
    <t>ECF 24Z-ICN 12/11/24 86.5 P</t>
  </si>
  <si>
    <t>ECF 24Z-ICN 12/11/24 87 P</t>
  </si>
  <si>
    <t>ECF 24Z-ICN 12/11/24 87.5 P</t>
  </si>
  <si>
    <t>ECF 24Z-ICN 12/11/24 88 P</t>
  </si>
  <si>
    <t>ECF 24Z-ICN 12/11/24 88.5 P</t>
  </si>
  <si>
    <t>ECF 24Z-ICN 12/11/24 89 P</t>
  </si>
  <si>
    <t>ECF 24Z-ICN 12/11/24 89.5 P</t>
  </si>
  <si>
    <t>ECF 24Z-ICN 12/11/24 90 P</t>
  </si>
  <si>
    <t>ECF 24Z-ICN 12/11/24 90.5 P</t>
  </si>
  <si>
    <t>ECF 24Z-ICN 12/11/24 91 P</t>
  </si>
  <si>
    <t>ECF 24Z-ICN 12/11/24 91.5 P</t>
  </si>
  <si>
    <t>ECF 24Z-ICN 12/11/24 92 P</t>
  </si>
  <si>
    <t>ECF 24Z-ICN 12/11/24 92.5 P</t>
  </si>
  <si>
    <t>ECF 24Z-ICN 12/11/24 93 P</t>
  </si>
  <si>
    <t>ECF 24Z-ICN 12/11/24 93.5 P</t>
  </si>
  <si>
    <t>ECF 24Z-ICN 12/11/24 94 P</t>
  </si>
  <si>
    <t>ECF 24Z-ICN 12/11/24 94.5 P</t>
  </si>
  <si>
    <t>ECF 24Z-ICN 12/11/24 95 P</t>
  </si>
  <si>
    <t>ECF 24Z-ICN 12/11/24 95.5 P</t>
  </si>
  <si>
    <t>ECF 24Z-ICN 12/11/24 96 P</t>
  </si>
  <si>
    <t>ECF 24Z-ICN 12/11/24 96.5 P</t>
  </si>
  <si>
    <t>ECF 24Z-ICN 12/11/24 97 P</t>
  </si>
  <si>
    <t>ECF 24Z-ICN 12/11/24 97.5 P</t>
  </si>
  <si>
    <t>ECF 24Z-ICN 12/11/24 98 P</t>
  </si>
  <si>
    <t>ECF 24Z-ICN 12/11/24 98.5 P</t>
  </si>
  <si>
    <t>ECF 24Z-ICN 12/11/24 99 P</t>
  </si>
  <si>
    <t>ECF 24Z-ICN 12/11/24 99.5 P</t>
  </si>
  <si>
    <t>ECF 24Z-ICN 12/11/24 100 P</t>
  </si>
  <si>
    <t>ECF 24Z-ICN 12/11/24 100.5 P</t>
  </si>
  <si>
    <t>ECF 24Z-ICN 12/11/24 101 P</t>
  </si>
  <si>
    <t>ECF 24Z-ICN 12/11/24 101.5 P</t>
  </si>
  <si>
    <t>ECF 24Z-ICN 12/11/24 102 P</t>
  </si>
  <si>
    <t>ECF 24Z-ICN 12/11/24 102.5 P</t>
  </si>
  <si>
    <t>ECF 24Z-ICN 12/11/24 103 P</t>
  </si>
  <si>
    <t>ECF 24Z-ICN 12/11/24 103.5 P</t>
  </si>
  <si>
    <t>ECF 24Z-ICN 12/11/24 104 P</t>
  </si>
  <si>
    <t>ECF 24Z-ICN 12/11/24 104.5 P</t>
  </si>
  <si>
    <t>ECF 24Z-ICN 12/11/24 105 P</t>
  </si>
  <si>
    <t>ECF 24Z-ICN 12/11/24 105.5 P</t>
  </si>
  <si>
    <t>ECF 24Z-ICN 12/11/24 106 P</t>
  </si>
  <si>
    <t>ECF 24Z-ICN 12/11/24 106.5 P</t>
  </si>
  <si>
    <t>ECF 24Z-ICN 12/11/24 107 P</t>
  </si>
  <si>
    <t>ECF 24Z-ICN 12/11/24 107.5 P</t>
  </si>
  <si>
    <t>ECF 24Z-ICN 12/11/24 108 P</t>
  </si>
  <si>
    <t>ECF 24Z-ICN 12/11/24 108.5 P</t>
  </si>
  <si>
    <t>ECF 24Z-ICN 12/11/24 109 P</t>
  </si>
  <si>
    <t>ECF 24Z-ICN 12/11/24 109.5 P</t>
  </si>
  <si>
    <t>ECF 24Z-ICN 12/11/24 110 P</t>
  </si>
  <si>
    <t>ECF 24Z-ICN 12/11/24 110.5 P</t>
  </si>
  <si>
    <t>ECF 24Z-ICN 12/11/24 111 P</t>
  </si>
  <si>
    <t>ECF 24Z-ICN 12/11/24 111.5 P</t>
  </si>
  <si>
    <t>ECF 24Z-ICN 12/11/24 112 P</t>
  </si>
  <si>
    <t>ECF 24Z-ICN 12/11/24 112.5 P</t>
  </si>
  <si>
    <t>ECF 24Z-ICN 12/11/24 113 P</t>
  </si>
  <si>
    <t>ECF 24Z-ICN 12/11/24 113.5 P</t>
  </si>
  <si>
    <t>ECF 24Z-ICN 12/11/24 114 P</t>
  </si>
  <si>
    <t>ECF 24Z-ICN 12/11/24 114.5 P</t>
  </si>
  <si>
    <t>ECF 24Z-ICN 12/11/24 115 P</t>
  </si>
  <si>
    <t>ECF 24Z-ICN 12/11/24 115.5 P</t>
  </si>
  <si>
    <t>EFO 23HC2000-ICN</t>
  </si>
  <si>
    <t>EFO 23HC2050-ICN</t>
  </si>
  <si>
    <t>EFO 23HC2100-ICN</t>
  </si>
  <si>
    <t>EFO 23HC2150-ICN</t>
  </si>
  <si>
    <t>EFO 23HC2200-ICN</t>
  </si>
  <si>
    <t>EFO 23HC2250-ICN</t>
  </si>
  <si>
    <t>EFO 23HC2300-ICN</t>
  </si>
  <si>
    <t>EFO 23HC2350-ICN</t>
  </si>
  <si>
    <t>EFO 23HC2400-ICN</t>
  </si>
  <si>
    <t>EFO 23HC2450-ICN</t>
  </si>
  <si>
    <t>EFO 23HC2500-ICN</t>
  </si>
  <si>
    <t>EFO 23HC2550-ICN</t>
  </si>
  <si>
    <t>EFO 23HC2600-ICN</t>
  </si>
  <si>
    <t>EFO 23HC2650-ICN</t>
  </si>
  <si>
    <t>EFO 23HC2700-ICN</t>
  </si>
  <si>
    <t>EFO 23HC2750-ICN</t>
  </si>
  <si>
    <t>EFO 23HC2800-ICN</t>
  </si>
  <si>
    <t>EFO 23HC2850-ICN</t>
  </si>
  <si>
    <t>EFO 23HC2900-ICN</t>
  </si>
  <si>
    <t>EFO 23HC2950-ICN</t>
  </si>
  <si>
    <t>EFO 23HC3000-ICN</t>
  </si>
  <si>
    <t>EFO 23HC3050-ICN</t>
  </si>
  <si>
    <t>EFO 23HC3100-ICN</t>
  </si>
  <si>
    <t>EFO 23HC3150-ICN</t>
  </si>
  <si>
    <t>EFO 23HC3200-ICN</t>
  </si>
  <si>
    <t>EFO 23HC3250-ICN</t>
  </si>
  <si>
    <t>EFO 23HC3300-ICN</t>
  </si>
  <si>
    <t>EFO 23HC3350-ICN</t>
  </si>
  <si>
    <t>EFO 23HC3400-ICN</t>
  </si>
  <si>
    <t>EFO 23HC3450-ICN</t>
  </si>
  <si>
    <t>EFO 23HC3500-ICN</t>
  </si>
  <si>
    <t>EFO 23HC3550-ICN</t>
  </si>
  <si>
    <t>EFO 23HC3600-ICN</t>
  </si>
  <si>
    <t>EFO 23HC3650-ICN</t>
  </si>
  <si>
    <t>EFO 23HC3700-ICN</t>
  </si>
  <si>
    <t>EFO 23HC3750-ICN</t>
  </si>
  <si>
    <t>EFO 23HC3800-ICN</t>
  </si>
  <si>
    <t>EFO 23HC3850-ICN</t>
  </si>
  <si>
    <t>EFO 23HC3900-ICN</t>
  </si>
  <si>
    <t>EFO 23HC3950-ICN</t>
  </si>
  <si>
    <t>EFO 23HC4000-ICN</t>
  </si>
  <si>
    <t>EFO 23HC4050-ICN</t>
  </si>
  <si>
    <t>EFO 23HC4100-ICN</t>
  </si>
  <si>
    <t>EFO 23HC4150-ICN</t>
  </si>
  <si>
    <t>EFO 23HC4200-ICN</t>
  </si>
  <si>
    <t>EFO 23HC4250-ICN</t>
  </si>
  <si>
    <t>EFO 23HC4300-ICN</t>
  </si>
  <si>
    <t>EFO 23HC4350-ICN</t>
  </si>
  <si>
    <t>EFO 23HC4400-ICN</t>
  </si>
  <si>
    <t>EFO 23HC4450-ICN</t>
  </si>
  <si>
    <t>EFO 23HC4500-ICN</t>
  </si>
  <si>
    <t>EFO 23HC4550-ICN</t>
  </si>
  <si>
    <t>EFO 23HC4600-ICN</t>
  </si>
  <si>
    <t>EFO 23HC4650-ICN</t>
  </si>
  <si>
    <t>EFO 23HC4700-ICN</t>
  </si>
  <si>
    <t>EFO 23HC4750-ICN</t>
  </si>
  <si>
    <t>EFO 23HC4800-ICN</t>
  </si>
  <si>
    <t>EFO 23HC4850-ICN</t>
  </si>
  <si>
    <t>EFO 23HC4900-ICN</t>
  </si>
  <si>
    <t>EFO 23HC4950-ICN</t>
  </si>
  <si>
    <t>EFO 23HC5000-ICN</t>
  </si>
  <si>
    <t>EFO 23HC5050-ICN</t>
  </si>
  <si>
    <t>EFO 23HC5100-ICN</t>
  </si>
  <si>
    <t>EFO 23HC5150-ICN</t>
  </si>
  <si>
    <t>EFO 23HC5200-ICN</t>
  </si>
  <si>
    <t>EFO 23HC5250-ICN</t>
  </si>
  <si>
    <t>EFO 23HC5300-ICN</t>
  </si>
  <si>
    <t>EFO 23HC5350-ICN</t>
  </si>
  <si>
    <t>EFO 23HC5400-ICN</t>
  </si>
  <si>
    <t>EFO 23HC5450-ICN</t>
  </si>
  <si>
    <t>EFO 23HC5500-ICN</t>
  </si>
  <si>
    <t>EFO 23HC5550-ICN</t>
  </si>
  <si>
    <t>EFO 23HC5600-ICN</t>
  </si>
  <si>
    <t>EFO 23HC5650-ICN</t>
  </si>
  <si>
    <t>EFO 23HC5700-ICN</t>
  </si>
  <si>
    <t>EFO 23HC5750-ICN</t>
  </si>
  <si>
    <t>EFO 23HC5800-ICN</t>
  </si>
  <si>
    <t>EFO 23HC5850-ICN</t>
  </si>
  <si>
    <t>EFO 23HC5900-ICN</t>
  </si>
  <si>
    <t>EFO 23HC5950-ICN</t>
  </si>
  <si>
    <t>EFO 23HC6000-ICN</t>
  </si>
  <si>
    <t>EFO 23HC6050-ICN</t>
  </si>
  <si>
    <t>EFO 23HC6100-ICN</t>
  </si>
  <si>
    <t>EFO 23HC6150-ICN</t>
  </si>
  <si>
    <t>EFO 23HC6200-ICN</t>
  </si>
  <si>
    <t>EFO 23HC6250-ICN</t>
  </si>
  <si>
    <t>EFO 23HC6300-ICN</t>
  </si>
  <si>
    <t>EFO 23HC6350-ICN</t>
  </si>
  <si>
    <t>EFO 23HC6400-ICN</t>
  </si>
  <si>
    <t>EFO 23HC6450-ICN</t>
  </si>
  <si>
    <t>EFO 23HC6500-ICN</t>
  </si>
  <si>
    <t>EFO 23HC6550-ICN</t>
  </si>
  <si>
    <t>EFO 23HC6600-ICN</t>
  </si>
  <si>
    <t>EFO 23HC6650-ICN</t>
  </si>
  <si>
    <t>EFO 23HC6700-ICN</t>
  </si>
  <si>
    <t>EFO 23HC6750-ICN</t>
  </si>
  <si>
    <t>EFO 23HC6800-ICN</t>
  </si>
  <si>
    <t>EFO 23HC6850-ICN</t>
  </si>
  <si>
    <t>EFO 23HC6900-ICN</t>
  </si>
  <si>
    <t>EFO 23HC6950-ICN</t>
  </si>
  <si>
    <t>EFO 23HC7000-ICN</t>
  </si>
  <si>
    <t>EFO 23HC7050-ICN</t>
  </si>
  <si>
    <t>EFO 23HC7100-ICN</t>
  </si>
  <si>
    <t>EFO 23HC7150-ICN</t>
  </si>
  <si>
    <t>EFO 23HC7200-ICN</t>
  </si>
  <si>
    <t>EFO 23HC7250-ICN</t>
  </si>
  <si>
    <t>EFO 23HC7300-ICN</t>
  </si>
  <si>
    <t>EFO 23HC7350-ICN</t>
  </si>
  <si>
    <t>EFO 23HC7400-ICN</t>
  </si>
  <si>
    <t>EFO 23HC7450-ICN</t>
  </si>
  <si>
    <t>EFO 23HC7500-ICN</t>
  </si>
  <si>
    <t>EFO 23HC7550-ICN</t>
  </si>
  <si>
    <t>EFO 23HC7600-ICN</t>
  </si>
  <si>
    <t>EFO 23HC7650-ICN</t>
  </si>
  <si>
    <t>EFO 23HC7700-ICN</t>
  </si>
  <si>
    <t>EFO 23HC7750-ICN</t>
  </si>
  <si>
    <t>EFO 23HC7800-ICN</t>
  </si>
  <si>
    <t>EFO 23HC7850-ICN</t>
  </si>
  <si>
    <t>EFO 23HC7900-ICN</t>
  </si>
  <si>
    <t>EFO 23HC7950-ICN</t>
  </si>
  <si>
    <t>EFO 23HC8000-ICN</t>
  </si>
  <si>
    <t>EFO 23HC8050-ICN</t>
  </si>
  <si>
    <t>EFO 23HC8100-ICN</t>
  </si>
  <si>
    <t>EFO 23HC8150-ICN</t>
  </si>
  <si>
    <t>EFO 23HC8200-ICN</t>
  </si>
  <si>
    <t>EFO 23HC8250-ICN</t>
  </si>
  <si>
    <t>EFO 23HC8300-ICN</t>
  </si>
  <si>
    <t>EFO 23HC8350-ICN</t>
  </si>
  <si>
    <t>EFO 23HC8400-ICN</t>
  </si>
  <si>
    <t>EFO 23HC8450-ICN</t>
  </si>
  <si>
    <t>EFO 23HC8500-ICN</t>
  </si>
  <si>
    <t>EFO 23HC8550-ICN</t>
  </si>
  <si>
    <t>EFO 23HC8600-ICN</t>
  </si>
  <si>
    <t>EFO 23HC8650-ICN</t>
  </si>
  <si>
    <t>EFO 23HC8700-ICN</t>
  </si>
  <si>
    <t>EFO 23HC8750-ICN</t>
  </si>
  <si>
    <t>EFO 23HC8800-ICN</t>
  </si>
  <si>
    <t>EFO 23HC8850-ICN</t>
  </si>
  <si>
    <t>EFO 23HC8900-ICN</t>
  </si>
  <si>
    <t>EFO 23HC8950-ICN</t>
  </si>
  <si>
    <t>EFO 23HC9000-ICN</t>
  </si>
  <si>
    <t>EFO 23HC9050-ICN</t>
  </si>
  <si>
    <t>EFO 23HC9100-ICN</t>
  </si>
  <si>
    <t>EFO 23HC9150-ICN</t>
  </si>
  <si>
    <t>EFO 23HC9200-ICN</t>
  </si>
  <si>
    <t>EFO 23HC9250-ICN</t>
  </si>
  <si>
    <t>EFO 23HC9300-ICN</t>
  </si>
  <si>
    <t>EFO 23HC9350-ICN</t>
  </si>
  <si>
    <t>EFO 23HC9400-ICN</t>
  </si>
  <si>
    <t>EFO 23HC9450-ICN</t>
  </si>
  <si>
    <t>EFO 23HC9500-ICN</t>
  </si>
  <si>
    <t>EFO 23HC9550-ICN</t>
  </si>
  <si>
    <t>EFO 23HC9600-ICN</t>
  </si>
  <si>
    <t>EFO 23HC9650-ICN</t>
  </si>
  <si>
    <t>EFO 23HC9700-ICN</t>
  </si>
  <si>
    <t>EFO 23HC9750-ICN</t>
  </si>
  <si>
    <t>EFO 23HC9800-ICN</t>
  </si>
  <si>
    <t>EFO 23HC9850-ICN</t>
  </si>
  <si>
    <t>EFO 23HC9900-ICN</t>
  </si>
  <si>
    <t>EFO 23HC9950-ICN</t>
  </si>
  <si>
    <t>EFO 23HC10000-ICN</t>
  </si>
  <si>
    <t>EFO 23HC10050-ICN</t>
  </si>
  <si>
    <t>EFO 23HC10100-ICN</t>
  </si>
  <si>
    <t>EFO 23HC10150-ICN</t>
  </si>
  <si>
    <t>EFO 23HC10200-ICN</t>
  </si>
  <si>
    <t>EFO 23HC10250-ICN</t>
  </si>
  <si>
    <t>EFO 23HC10300-ICN</t>
  </si>
  <si>
    <t>EFO 23HC10350-ICN</t>
  </si>
  <si>
    <t>EFO 23HC10400-ICN</t>
  </si>
  <si>
    <t>EFO 23HC10450-ICN</t>
  </si>
  <si>
    <t>EFO 23HC10500-ICN</t>
  </si>
  <si>
    <t>EFO 23HC10550-ICN</t>
  </si>
  <si>
    <t>EFO 23HC10600-ICN</t>
  </si>
  <si>
    <t>EFO 23HC10650-ICN</t>
  </si>
  <si>
    <t>EFO 23HC10700-ICN</t>
  </si>
  <si>
    <t>EFO 23HC10750-ICN</t>
  </si>
  <si>
    <t>EFO 23HC10800-ICN</t>
  </si>
  <si>
    <t>EFO 23HC10850-ICN</t>
  </si>
  <si>
    <t>EFO 23HC10900-ICN</t>
  </si>
  <si>
    <t>EFO 23HC10950-ICN</t>
  </si>
  <si>
    <t>EFO 23HC11000-ICN</t>
  </si>
  <si>
    <t>EFO 23HC11050-ICN</t>
  </si>
  <si>
    <t>EFO 23HC11100-ICN</t>
  </si>
  <si>
    <t>EFO 23HC11150-ICN</t>
  </si>
  <si>
    <t>EFO 23HC11200-ICN</t>
  </si>
  <si>
    <t>EFO 23HC11250-ICN</t>
  </si>
  <si>
    <t>EFO 23HC11300-ICN</t>
  </si>
  <si>
    <t>EFO 23HC11350-ICN</t>
  </si>
  <si>
    <t>EFO 23HC11400-ICN</t>
  </si>
  <si>
    <t>EFO 23HC11450-ICN</t>
  </si>
  <si>
    <t>EFO 23HC11500-ICN</t>
  </si>
  <si>
    <t>ICE-ENDEX FUTURES</t>
  </si>
  <si>
    <t>EFO 23HP2000-ICN</t>
  </si>
  <si>
    <t>EFO 23HP2050-ICN</t>
  </si>
  <si>
    <t>EFO 23HP2100-ICN</t>
  </si>
  <si>
    <t>EFO 23HP2150-ICN</t>
  </si>
  <si>
    <t>EFO 23HP2200-ICN</t>
  </si>
  <si>
    <t>EFO 23HP2250-ICN</t>
  </si>
  <si>
    <t>EFO 23HP2300-ICN</t>
  </si>
  <si>
    <t>EFO 23HP2350-ICN</t>
  </si>
  <si>
    <t>EFO 23HP2400-ICN</t>
  </si>
  <si>
    <t>EFO 23HP2450-ICN</t>
  </si>
  <si>
    <t>EFO 23HP2500-ICN</t>
  </si>
  <si>
    <t>EFO 23HP2550-ICN</t>
  </si>
  <si>
    <t>EFO 23HP2600-ICN</t>
  </si>
  <si>
    <t>EFO 23HP2650-ICN</t>
  </si>
  <si>
    <t>EFO 23HP2700-ICN</t>
  </si>
  <si>
    <t>EFO 23HP2750-ICN</t>
  </si>
  <si>
    <t>EFO 23HP2800-ICN</t>
  </si>
  <si>
    <t>EFO 23HP2850-ICN</t>
  </si>
  <si>
    <t>EFO 23HP2900-ICN</t>
  </si>
  <si>
    <t>EFO 23HP2950-ICN</t>
  </si>
  <si>
    <t>EFO 23HP3000-ICN</t>
  </si>
  <si>
    <t>EFO 23HP3050-ICN</t>
  </si>
  <si>
    <t>EFO 23HP3100-ICN</t>
  </si>
  <si>
    <t>EFO 23HP3150-ICN</t>
  </si>
  <si>
    <t>EFO 23HP3200-ICN</t>
  </si>
  <si>
    <t>EFO 23HP3250-ICN</t>
  </si>
  <si>
    <t>EFO 23HP3300-ICN</t>
  </si>
  <si>
    <t>EFO 23HP3350-ICN</t>
  </si>
  <si>
    <t>EFO 23HP3400-ICN</t>
  </si>
  <si>
    <t>EFO 23HP3450-ICN</t>
  </si>
  <si>
    <t>EFO 23HP3500-ICN</t>
  </si>
  <si>
    <t>EFO 23HP3550-ICN</t>
  </si>
  <si>
    <t>EFO 23HP3600-ICN</t>
  </si>
  <si>
    <t>EFO 23HP3650-ICN</t>
  </si>
  <si>
    <t>EFO 23HP3700-ICN</t>
  </si>
  <si>
    <t>EFO 23HP3750-ICN</t>
  </si>
  <si>
    <t>EFO 23HP3800-ICN</t>
  </si>
  <si>
    <t>EFO 23HP3850-ICN</t>
  </si>
  <si>
    <t>EFO 23HP3900-ICN</t>
  </si>
  <si>
    <t>EFO 23HP3950-ICN</t>
  </si>
  <si>
    <t>EFO 23HP4000-ICN</t>
  </si>
  <si>
    <t>EFO 23HP4050-ICN</t>
  </si>
  <si>
    <t>EFO 23HP4100-ICN</t>
  </si>
  <si>
    <t>EFO 23HP4150-ICN</t>
  </si>
  <si>
    <t>EFO 23HP4200-ICN</t>
  </si>
  <si>
    <t>EFO 23HP4250-ICN</t>
  </si>
  <si>
    <t>EFO 23HP4300-ICN</t>
  </si>
  <si>
    <t>EFO 23HP4350-ICN</t>
  </si>
  <si>
    <t>EFO 23HP4400-ICN</t>
  </si>
  <si>
    <t>EFO 23HP4450-ICN</t>
  </si>
  <si>
    <t>EFO 23HP4500-ICN</t>
  </si>
  <si>
    <t>EFO 23HP4550-ICN</t>
  </si>
  <si>
    <t>EFO 23HP4600-ICN</t>
  </si>
  <si>
    <t>EFO 23HP4650-ICN</t>
  </si>
  <si>
    <t>EFO 23HP4700-ICN</t>
  </si>
  <si>
    <t>EFO 23HP4750-ICN</t>
  </si>
  <si>
    <t>EFO 23HP4800-ICN</t>
  </si>
  <si>
    <t>EFO 23HP4850-ICN</t>
  </si>
  <si>
    <t>EFO 23HP4900-ICN</t>
  </si>
  <si>
    <t>EFO 23HP4950-ICN</t>
  </si>
  <si>
    <t>EFO 23HP5000-ICN</t>
  </si>
  <si>
    <t>EFO 23HP5050-ICN</t>
  </si>
  <si>
    <t>EFO 23HP5100-ICN</t>
  </si>
  <si>
    <t>EFO 23HP5150-ICN</t>
  </si>
  <si>
    <t>EFO 23HP5200-ICN</t>
  </si>
  <si>
    <t>EFO 23HP5250-ICN</t>
  </si>
  <si>
    <t>EFO 23HP5300-ICN</t>
  </si>
  <si>
    <t>EFO 23HP5350-ICN</t>
  </si>
  <si>
    <t>EFO 23HP5400-ICN</t>
  </si>
  <si>
    <t>EFO 23HP5450-ICN</t>
  </si>
  <si>
    <t>EFO 23HP5500-ICN</t>
  </si>
  <si>
    <t>EFO 23HP5550-ICN</t>
  </si>
  <si>
    <t>EFO 23HP5600-ICN</t>
  </si>
  <si>
    <t>EFO 23HP5650-ICN</t>
  </si>
  <si>
    <t>EFO 23HP5700-ICN</t>
  </si>
  <si>
    <t>EFO 23HP5750-ICN</t>
  </si>
  <si>
    <t>EFO 23HP5800-ICN</t>
  </si>
  <si>
    <t>EFO 23HP5850-ICN</t>
  </si>
  <si>
    <t>EFO 23HP5900-ICN</t>
  </si>
  <si>
    <t>EFO 23HP5950-ICN</t>
  </si>
  <si>
    <t>EFO 23HP6000-ICN</t>
  </si>
  <si>
    <t>EFO 23HP6050-ICN</t>
  </si>
  <si>
    <t>EFO 23HP6100-ICN</t>
  </si>
  <si>
    <t>EFO 23HP6150-ICN</t>
  </si>
  <si>
    <t>EFO 23HP6200-ICN</t>
  </si>
  <si>
    <t>EFO 23HP6250-ICN</t>
  </si>
  <si>
    <t>EFO 23HP6300-ICN</t>
  </si>
  <si>
    <t>EFO 23HP6350-ICN</t>
  </si>
  <si>
    <t>EFO 23HP6400-ICN</t>
  </si>
  <si>
    <t>EFO 23HP6450-ICN</t>
  </si>
  <si>
    <t>EFO 23HP6500-ICN</t>
  </si>
  <si>
    <t>EFO 23HP6550-ICN</t>
  </si>
  <si>
    <t>EFO 23HP6600-ICN</t>
  </si>
  <si>
    <t>EFO 23HP6650-ICN</t>
  </si>
  <si>
    <t>EFO 23HP6700-ICN</t>
  </si>
  <si>
    <t>EFO 23HP6750-ICN</t>
  </si>
  <si>
    <t>EFO 23HP6800-ICN</t>
  </si>
  <si>
    <t>EFO 23HP6850-ICN</t>
  </si>
  <si>
    <t>EFO 23HP6900-ICN</t>
  </si>
  <si>
    <t>EFO 23HP6950-ICN</t>
  </si>
  <si>
    <t>EFO 23HP7000-ICN</t>
  </si>
  <si>
    <t>EFO 23HP7050-ICN</t>
  </si>
  <si>
    <t>EFO 23HP7100-ICN</t>
  </si>
  <si>
    <t>EFO 23HP7150-ICN</t>
  </si>
  <si>
    <t>EFO 23HP7200-ICN</t>
  </si>
  <si>
    <t>EFO 23HP7250-ICN</t>
  </si>
  <si>
    <t>EFO 23HP7300-ICN</t>
  </si>
  <si>
    <t>EFO 23HP7350-ICN</t>
  </si>
  <si>
    <t>EFO 23HP7400-ICN</t>
  </si>
  <si>
    <t>EFO 23HP7450-ICN</t>
  </si>
  <si>
    <t>EFO 23HP7500-ICN</t>
  </si>
  <si>
    <t>EFO 23HP7550-ICN</t>
  </si>
  <si>
    <t>EFO 23HP7600-ICN</t>
  </si>
  <si>
    <t>EFO 23HP7650-ICN</t>
  </si>
  <si>
    <t>EFO 23HP7700-ICN</t>
  </si>
  <si>
    <t>EFO 23HP7750-ICN</t>
  </si>
  <si>
    <t>EFO 23HP7800-ICN</t>
  </si>
  <si>
    <t>EFO 23HP7850-ICN</t>
  </si>
  <si>
    <t>EFO 23HP7900-ICN</t>
  </si>
  <si>
    <t>EFO 23HP7950-ICN</t>
  </si>
  <si>
    <t>EFO 23HP8000-ICN</t>
  </si>
  <si>
    <t>EFO 23HP8050-ICN</t>
  </si>
  <si>
    <t>EFO 23HP8100-ICN</t>
  </si>
  <si>
    <t>EFO 23HP8150-ICN</t>
  </si>
  <si>
    <t>EFO 23HP8200-ICN</t>
  </si>
  <si>
    <t>EFO 23HP8250-ICN</t>
  </si>
  <si>
    <t>EFO 23HP8300-ICN</t>
  </si>
  <si>
    <t>EFO 23HP8350-ICN</t>
  </si>
  <si>
    <t>EFO 23HP8400-ICN</t>
  </si>
  <si>
    <t>EFO 23HP8450-ICN</t>
  </si>
  <si>
    <t>EFO 23HP8500-ICN</t>
  </si>
  <si>
    <t>EFO 23HP8550-ICN</t>
  </si>
  <si>
    <t>EFO 23HP8600-ICN</t>
  </si>
  <si>
    <t>EFO 23HP8650-ICN</t>
  </si>
  <si>
    <t>EFO 23HP8700-ICN</t>
  </si>
  <si>
    <t>EFO 23HP8750-ICN</t>
  </si>
  <si>
    <t>EFO 23HP8800-ICN</t>
  </si>
  <si>
    <t>EFO 23HP8850-ICN</t>
  </si>
  <si>
    <t>EFO 23HP8900-ICN</t>
  </si>
  <si>
    <t>EFO 23HP8950-ICN</t>
  </si>
  <si>
    <t>EFO 23HP9000-ICN</t>
  </si>
  <si>
    <t>EFO 23HP9050-ICN</t>
  </si>
  <si>
    <t>EFO 23HP9100-ICN</t>
  </si>
  <si>
    <t>EFO 23HP9150-ICN</t>
  </si>
  <si>
    <t>EFO 23HP9200-ICN</t>
  </si>
  <si>
    <t>EFO 23HP9250-ICN</t>
  </si>
  <si>
    <t>EFO 23HP9300-ICN</t>
  </si>
  <si>
    <t>EFO 23HP9350-ICN</t>
  </si>
  <si>
    <t>EFO 23HP9400-ICN</t>
  </si>
  <si>
    <t>EFO 23HP9450-ICN</t>
  </si>
  <si>
    <t>EFO 23HP9500-ICN</t>
  </si>
  <si>
    <t>EFO 23HP9550-ICN</t>
  </si>
  <si>
    <t>EFO 23HP9600-ICN</t>
  </si>
  <si>
    <t>EFO 23HP9650-ICN</t>
  </si>
  <si>
    <t>EFO 23HP9700-ICN</t>
  </si>
  <si>
    <t>EFO 23HP9750-ICN</t>
  </si>
  <si>
    <t>EFO 23HP9800-ICN</t>
  </si>
  <si>
    <t>EFO 23HP9850-ICN</t>
  </si>
  <si>
    <t>EFO 23HP9900-ICN</t>
  </si>
  <si>
    <t>EFO 23HP9950-ICN</t>
  </si>
  <si>
    <t>EFO 23HP10000-ICN</t>
  </si>
  <si>
    <t>EFO 23HP10050-ICN</t>
  </si>
  <si>
    <t>EFO 23HP10100-ICN</t>
  </si>
  <si>
    <t>EFO 23HP10150-ICN</t>
  </si>
  <si>
    <t>EFO 23HP10200-ICN</t>
  </si>
  <si>
    <t>EFO 23HP10250-ICN</t>
  </si>
  <si>
    <t>EFO 23HP10300-ICN</t>
  </si>
  <si>
    <t>EFO 23HP10350-ICN</t>
  </si>
  <si>
    <t>EFO 23HP10400-ICN</t>
  </si>
  <si>
    <t>EFO 23HP10450-ICN</t>
  </si>
  <si>
    <t>EFO 23HP10500-ICN</t>
  </si>
  <si>
    <t>EFO 23HP10550-ICN</t>
  </si>
  <si>
    <t>EFO 23HP10600-ICN</t>
  </si>
  <si>
    <t>EFO 23HP10650-ICN</t>
  </si>
  <si>
    <t>EFO 23HP10700-ICN</t>
  </si>
  <si>
    <t>EFO 23HP10750-ICN</t>
  </si>
  <si>
    <t>EFO 23HP10800-ICN</t>
  </si>
  <si>
    <t>EFO 23HP10850-ICN</t>
  </si>
  <si>
    <t>EFO 23HP10900-ICN</t>
  </si>
  <si>
    <t>EFO 23HP10950-ICN</t>
  </si>
  <si>
    <t>EFO 23HP11000-ICN</t>
  </si>
  <si>
    <t>EFO 23HP11050-ICN</t>
  </si>
  <si>
    <t>EFO 23HP11100-ICN</t>
  </si>
  <si>
    <t>EFO 23HP11150-ICN</t>
  </si>
  <si>
    <t>EFO 23HP11200-ICN</t>
  </si>
  <si>
    <t>EFO 23HP11250-ICN</t>
  </si>
  <si>
    <t>EFO 23HP11300-ICN</t>
  </si>
  <si>
    <t>EFO 23HP11350-ICN</t>
  </si>
  <si>
    <t>EFO 23HP11400-ICN</t>
  </si>
  <si>
    <t>EFO 23HP11450-ICN</t>
  </si>
  <si>
    <t>EFO 23HP11500-ICN</t>
  </si>
  <si>
    <t>EFO 23HP11550-ICN</t>
  </si>
  <si>
    <t>EFO 23HP11600-ICN</t>
  </si>
  <si>
    <t>EFO 23MC2000-ICN</t>
  </si>
  <si>
    <t>EFO 23MC2050-ICN</t>
  </si>
  <si>
    <t>EFO 23MC2100-ICN</t>
  </si>
  <si>
    <t>EFO 23MC2150-ICN</t>
  </si>
  <si>
    <t>EFO 23MC2200-ICN</t>
  </si>
  <si>
    <t>EFO 23MC2250-ICN</t>
  </si>
  <si>
    <t>EFO 23MC2300-ICN</t>
  </si>
  <si>
    <t>EFO 23MC2350-ICN</t>
  </si>
  <si>
    <t>EFO 23MC2400-ICN</t>
  </si>
  <si>
    <t>EFO 23MC2450-ICN</t>
  </si>
  <si>
    <t>EFO 23MC2500-ICN</t>
  </si>
  <si>
    <t>EFO 23MC2550-ICN</t>
  </si>
  <si>
    <t>EFO 23MC2600-ICN</t>
  </si>
  <si>
    <t>EFO 23MC2650-ICN</t>
  </si>
  <si>
    <t>EFO 23MC2700-ICN</t>
  </si>
  <si>
    <t>EFO 23MC2750-ICN</t>
  </si>
  <si>
    <t>EFO 23MC2800-ICN</t>
  </si>
  <si>
    <t>EFO 23MC2850-ICN</t>
  </si>
  <si>
    <t>EFO 23MC2900-ICN</t>
  </si>
  <si>
    <t>EFO 23MC2950-ICN</t>
  </si>
  <si>
    <t>EFO 23MC3000-ICN</t>
  </si>
  <si>
    <t>EFO 23MC3050-ICN</t>
  </si>
  <si>
    <t>EFO 23MC3100-ICN</t>
  </si>
  <si>
    <t>EFO 23MC3150-ICN</t>
  </si>
  <si>
    <t>EFO 23MC3200-ICN</t>
  </si>
  <si>
    <t>EFO 23MC3250-ICN</t>
  </si>
  <si>
    <t>EFO 23MC3300-ICN</t>
  </si>
  <si>
    <t>EFO 23MC3350-ICN</t>
  </si>
  <si>
    <t>EFO 23MC3400-ICN</t>
  </si>
  <si>
    <t>EFO 23MC3450-ICN</t>
  </si>
  <si>
    <t>EFO 23MC3500-ICN</t>
  </si>
  <si>
    <t>EFO 23MC3550-ICN</t>
  </si>
  <si>
    <t>EFO 23MC3600-ICN</t>
  </si>
  <si>
    <t>EFO 23MC3650-ICN</t>
  </si>
  <si>
    <t>EFO 23MC3700-ICN</t>
  </si>
  <si>
    <t>EFO 23MC3750-ICN</t>
  </si>
  <si>
    <t>EFO 23MC3800-ICN</t>
  </si>
  <si>
    <t>EFO 23MC3850-ICN</t>
  </si>
  <si>
    <t>EFO 23MC3900-ICN</t>
  </si>
  <si>
    <t>EFO 23MC3950-ICN</t>
  </si>
  <si>
    <t>EFO 23MC4000-ICN</t>
  </si>
  <si>
    <t>EFO 23MC4050-ICN</t>
  </si>
  <si>
    <t>EFO 23MC4100-ICN</t>
  </si>
  <si>
    <t>EFO 23MC4150-ICN</t>
  </si>
  <si>
    <t>EFO 23MC4200-ICN</t>
  </si>
  <si>
    <t>EFO 23MC4250-ICN</t>
  </si>
  <si>
    <t>EFO 23MC4300-ICN</t>
  </si>
  <si>
    <t>EFO 23MC4350-ICN</t>
  </si>
  <si>
    <t>EFO 23MC4400-ICN</t>
  </si>
  <si>
    <t>EFO 23MC4450-ICN</t>
  </si>
  <si>
    <t>EFO 23MC4500-ICN</t>
  </si>
  <si>
    <t>EFO 23MC4550-ICN</t>
  </si>
  <si>
    <t>EFO 23MC4600-ICN</t>
  </si>
  <si>
    <t>EFO 23MC4650-ICN</t>
  </si>
  <si>
    <t>EFO 23MC4700-ICN</t>
  </si>
  <si>
    <t>EFO 23MC4750-ICN</t>
  </si>
  <si>
    <t>EFO 23MC4800-ICN</t>
  </si>
  <si>
    <t>EFO 23MC4850-ICN</t>
  </si>
  <si>
    <t>EFO 23MC4900-ICN</t>
  </si>
  <si>
    <t>EFO 23MC4950-ICN</t>
  </si>
  <si>
    <t>EFO 23MC5000-ICN</t>
  </si>
  <si>
    <t>EFO 23MC5050-ICN</t>
  </si>
  <si>
    <t>EFO 23MC5100-ICN</t>
  </si>
  <si>
    <t>EFO 23MC5150-ICN</t>
  </si>
  <si>
    <t>EFO 23MC5200-ICN</t>
  </si>
  <si>
    <t>EFO 23MC5250-ICN</t>
  </si>
  <si>
    <t>EFO 23MC5300-ICN</t>
  </si>
  <si>
    <t>EFO 23MC5350-ICN</t>
  </si>
  <si>
    <t>EFO 23MC5400-ICN</t>
  </si>
  <si>
    <t>EFO 23MC5450-ICN</t>
  </si>
  <si>
    <t>EFO 23MC5500-ICN</t>
  </si>
  <si>
    <t>EFO 23MC5550-ICN</t>
  </si>
  <si>
    <t>EFO 23MC5600-ICN</t>
  </si>
  <si>
    <t>EFO 23MC5650-ICN</t>
  </si>
  <si>
    <t>EFO 23MC5700-ICN</t>
  </si>
  <si>
    <t>EFO 23MC5750-ICN</t>
  </si>
  <si>
    <t>EFO 23MC5800-ICN</t>
  </si>
  <si>
    <t>EFO 23MC5850-ICN</t>
  </si>
  <si>
    <t>EFO 23MC5900-ICN</t>
  </si>
  <si>
    <t>EFO 23MC5950-ICN</t>
  </si>
  <si>
    <t>EFO 23MC6000-ICN</t>
  </si>
  <si>
    <t>EFO 23MC6050-ICN</t>
  </si>
  <si>
    <t>EFO 23MC6100-ICN</t>
  </si>
  <si>
    <t>EFO 23MC6150-ICN</t>
  </si>
  <si>
    <t>EFO 23MC6200-ICN</t>
  </si>
  <si>
    <t>EFO 23MC6250-ICN</t>
  </si>
  <si>
    <t>EFO 23MC6300-ICN</t>
  </si>
  <si>
    <t>EFO 23MC6350-ICN</t>
  </si>
  <si>
    <t>EFO 23MC6400-ICN</t>
  </si>
  <si>
    <t>EFO 23MC6450-ICN</t>
  </si>
  <si>
    <t>EFO 23MC6500-ICN</t>
  </si>
  <si>
    <t>EFO 23MC6550-ICN</t>
  </si>
  <si>
    <t>EFO 23MC6600-ICN</t>
  </si>
  <si>
    <t>EFO 23MC6650-ICN</t>
  </si>
  <si>
    <t>EFO 23MC6700-ICN</t>
  </si>
  <si>
    <t>EFO 23MC6750-ICN</t>
  </si>
  <si>
    <t>EFO 23MC6800-ICN</t>
  </si>
  <si>
    <t>EFO 23MC6850-ICN</t>
  </si>
  <si>
    <t>EFO 23MC6900-ICN</t>
  </si>
  <si>
    <t>EFO 23MC6950-ICN</t>
  </si>
  <si>
    <t>EFO 23MC7000-ICN</t>
  </si>
  <si>
    <t>EFO 23MC7050-ICN</t>
  </si>
  <si>
    <t>EFO 23MC7100-ICN</t>
  </si>
  <si>
    <t>EFO 23MC7150-ICN</t>
  </si>
  <si>
    <t>EFO 23MC7200-ICN</t>
  </si>
  <si>
    <t>EFO 23MC7250-ICN</t>
  </si>
  <si>
    <t>EFO 23MC7300-ICN</t>
  </si>
  <si>
    <t>EFO 23MC7350-ICN</t>
  </si>
  <si>
    <t>EFO 23MC7400-ICN</t>
  </si>
  <si>
    <t>EFO 23MC7450-ICN</t>
  </si>
  <si>
    <t>EFO 23MC7500-ICN</t>
  </si>
  <si>
    <t>EFO 23MC7550-ICN</t>
  </si>
  <si>
    <t>EFO 23MC7600-ICN</t>
  </si>
  <si>
    <t>EFO 23MC7650-ICN</t>
  </si>
  <si>
    <t>EFO 23MC7700-ICN</t>
  </si>
  <si>
    <t>EFO 23MC7750-ICN</t>
  </si>
  <si>
    <t>EFO 23MC7800-ICN</t>
  </si>
  <si>
    <t>EFO 23MC7850-ICN</t>
  </si>
  <si>
    <t>EFO 23MC7900-ICN</t>
  </si>
  <si>
    <t>EFO 23MC7950-ICN</t>
  </si>
  <si>
    <t>EFO 23MC8000-ICN</t>
  </si>
  <si>
    <t>EFO 23MC8050-ICN</t>
  </si>
  <si>
    <t>EFO 23MC8100-ICN</t>
  </si>
  <si>
    <t>EFO 23MC8150-ICN</t>
  </si>
  <si>
    <t>EFO 23MC8200-ICN</t>
  </si>
  <si>
    <t>EFO 23MC8250-ICN</t>
  </si>
  <si>
    <t>EFO 23MC8300-ICN</t>
  </si>
  <si>
    <t>EFO 23MC8350-ICN</t>
  </si>
  <si>
    <t>EFO 23MC8400-ICN</t>
  </si>
  <si>
    <t>EFO 23MC8450-ICN</t>
  </si>
  <si>
    <t>EFO 23MC8500-ICN</t>
  </si>
  <si>
    <t>EFO 23MC8550-ICN</t>
  </si>
  <si>
    <t>EFO 23MC8600-ICN</t>
  </si>
  <si>
    <t>EFO 23MC8650-ICN</t>
  </si>
  <si>
    <t>EFO 23MC8700-ICN</t>
  </si>
  <si>
    <t>EFO 23MC8750-ICN</t>
  </si>
  <si>
    <t>EFO 23MC8800-ICN</t>
  </si>
  <si>
    <t>EFO 23MC8850-ICN</t>
  </si>
  <si>
    <t>EFO 23MC8900-ICN</t>
  </si>
  <si>
    <t>EFO 23MC8950-ICN</t>
  </si>
  <si>
    <t>EFO 23MC9000-ICN</t>
  </si>
  <si>
    <t>EFO 23MC9050-ICN</t>
  </si>
  <si>
    <t>EFO 23MC9100-ICN</t>
  </si>
  <si>
    <t>EFO 23MC9150-ICN</t>
  </si>
  <si>
    <t>EFO 23MC9200-ICN</t>
  </si>
  <si>
    <t>EFO 23MC9250-ICN</t>
  </si>
  <si>
    <t>EFO 23MC9300-ICN</t>
  </si>
  <si>
    <t>EFO 23MC9350-ICN</t>
  </si>
  <si>
    <t>EFO 23MC9400-ICN</t>
  </si>
  <si>
    <t>EFO 23MC9450-ICN</t>
  </si>
  <si>
    <t>EFO 23MC9500-ICN</t>
  </si>
  <si>
    <t>EFO 23MC9550-ICN</t>
  </si>
  <si>
    <t>EFO 23MC9600-ICN</t>
  </si>
  <si>
    <t>EFO 23MC9650-ICN</t>
  </si>
  <si>
    <t>EFO 23MC9700-ICN</t>
  </si>
  <si>
    <t>EFO 23MC9750-ICN</t>
  </si>
  <si>
    <t>EFO 23MC9800-ICN</t>
  </si>
  <si>
    <t>EFO 23MC9850-ICN</t>
  </si>
  <si>
    <t>EFO 23MC9900-ICN</t>
  </si>
  <si>
    <t>EFO 23MC9950-ICN</t>
  </si>
  <si>
    <t>EFO 23MC10000-ICN</t>
  </si>
  <si>
    <t>EFO 23MC10050-ICN</t>
  </si>
  <si>
    <t>EFO 23MC10100-ICN</t>
  </si>
  <si>
    <t>EFO 23MC10150-ICN</t>
  </si>
  <si>
    <t>EFO 23MC10200-ICN</t>
  </si>
  <si>
    <t>EFO 23MC10250-ICN</t>
  </si>
  <si>
    <t>EFO 23MC10300-ICN</t>
  </si>
  <si>
    <t>EFO 23MC10350-ICN</t>
  </si>
  <si>
    <t>EFO 23MC10400-ICN</t>
  </si>
  <si>
    <t>EFO 23MC10450-ICN</t>
  </si>
  <si>
    <t>EFO 23MC10500-ICN</t>
  </si>
  <si>
    <t>EFO 23MC10550-ICN</t>
  </si>
  <si>
    <t>EFO 23MC10600-ICN</t>
  </si>
  <si>
    <t>EFO 23MC10650-ICN</t>
  </si>
  <si>
    <t>EFO 23MC10700-ICN</t>
  </si>
  <si>
    <t>EFO 23MC10750-ICN</t>
  </si>
  <si>
    <t>EFO 23MC10800-ICN</t>
  </si>
  <si>
    <t>EFO 23MC10850-ICN</t>
  </si>
  <si>
    <t>EFO 23MC10900-ICN</t>
  </si>
  <si>
    <t>EFO 23MC10950-ICN</t>
  </si>
  <si>
    <t>EFO 23MC11000-ICN</t>
  </si>
  <si>
    <t>EFO 23MC11050-ICN</t>
  </si>
  <si>
    <t>EFO 23MC11100-ICN</t>
  </si>
  <si>
    <t>EFO 23MC11150-ICN</t>
  </si>
  <si>
    <t>EFO 23MC11200-ICN</t>
  </si>
  <si>
    <t>EFO 23MC11250-ICN</t>
  </si>
  <si>
    <t>EFO 23MC11300-ICN</t>
  </si>
  <si>
    <t>EFO 23MC11350-ICN</t>
  </si>
  <si>
    <t>EFO 23MC11400-ICN</t>
  </si>
  <si>
    <t>EFO 23MC11450-ICN</t>
  </si>
  <si>
    <t>EFO 23MC11500-ICN</t>
  </si>
  <si>
    <t>EFO 23MP2000-ICN</t>
  </si>
  <si>
    <t>EFO 23MP2050-ICN</t>
  </si>
  <si>
    <t>EFO 23MP2100-ICN</t>
  </si>
  <si>
    <t>EFO 23MP2150-ICN</t>
  </si>
  <si>
    <t>EFO 23MP2200-ICN</t>
  </si>
  <si>
    <t>EFO 23MP2250-ICN</t>
  </si>
  <si>
    <t>EFO 23MP2300-ICN</t>
  </si>
  <si>
    <t>EFO 23MP2350-ICN</t>
  </si>
  <si>
    <t>EFO 23MP2400-ICN</t>
  </si>
  <si>
    <t>EFO 23MP2450-ICN</t>
  </si>
  <si>
    <t>EFO 23MP2500-ICN</t>
  </si>
  <si>
    <t>EFO 23MP2550-ICN</t>
  </si>
  <si>
    <t>EFO 23MP2600-ICN</t>
  </si>
  <si>
    <t>EFO 23MP2650-ICN</t>
  </si>
  <si>
    <t>EFO 23MP2700-ICN</t>
  </si>
  <si>
    <t>EFO 23MP2750-ICN</t>
  </si>
  <si>
    <t>EFO 23MP2800-ICN</t>
  </si>
  <si>
    <t>EFO 23MP2850-ICN</t>
  </si>
  <si>
    <t>EFO 23MP2900-ICN</t>
  </si>
  <si>
    <t>EFO 23MP2950-ICN</t>
  </si>
  <si>
    <t>EFO 23MP3000-ICN</t>
  </si>
  <si>
    <t>EFO 23MP3050-ICN</t>
  </si>
  <si>
    <t>EFO 23MP3100-ICN</t>
  </si>
  <si>
    <t>EFO 23MP3150-ICN</t>
  </si>
  <si>
    <t>EFO 23MP3200-ICN</t>
  </si>
  <si>
    <t>EFO 23MP3250-ICN</t>
  </si>
  <si>
    <t>EFO 23MP3300-ICN</t>
  </si>
  <si>
    <t>EFO 23MP3350-ICN</t>
  </si>
  <si>
    <t>EFO 23MP3400-ICN</t>
  </si>
  <si>
    <t>EFO 23MP3450-ICN</t>
  </si>
  <si>
    <t>EFO 23MP3500-ICN</t>
  </si>
  <si>
    <t>EFO 23MP3550-ICN</t>
  </si>
  <si>
    <t>EFO 23MP3600-ICN</t>
  </si>
  <si>
    <t>EFO 23MP3650-ICN</t>
  </si>
  <si>
    <t>EFO 23MP3700-ICN</t>
  </si>
  <si>
    <t>EFO 23MP3750-ICN</t>
  </si>
  <si>
    <t>EFO 23MP3800-ICN</t>
  </si>
  <si>
    <t>EFO 23MP3850-ICN</t>
  </si>
  <si>
    <t>EFO 23MP3900-ICN</t>
  </si>
  <si>
    <t>EFO 23MP3950-ICN</t>
  </si>
  <si>
    <t>EFO 23MP4000-ICN</t>
  </si>
  <si>
    <t>EFO 23MP4050-ICN</t>
  </si>
  <si>
    <t>EFO 23MP4100-ICN</t>
  </si>
  <si>
    <t>EFO 23MP4150-ICN</t>
  </si>
  <si>
    <t>EFO 23MP4200-ICN</t>
  </si>
  <si>
    <t>EFO 23MP4250-ICN</t>
  </si>
  <si>
    <t>EFO 23MP4300-ICN</t>
  </si>
  <si>
    <t>EFO 23MP4350-ICN</t>
  </si>
  <si>
    <t>EFO 23MP4400-ICN</t>
  </si>
  <si>
    <t>EFO 23MP4450-ICN</t>
  </si>
  <si>
    <t>EFO 23MP4500-ICN</t>
  </si>
  <si>
    <t>EFO 23MP4550-ICN</t>
  </si>
  <si>
    <t>EFO 23MP4600-ICN</t>
  </si>
  <si>
    <t>EFO 23MP4650-ICN</t>
  </si>
  <si>
    <t>EFO 23MP4700-ICN</t>
  </si>
  <si>
    <t>EFO 23MP4750-ICN</t>
  </si>
  <si>
    <t>EFO 23MP4800-ICN</t>
  </si>
  <si>
    <t>EFO 23MP4850-ICN</t>
  </si>
  <si>
    <t>EFO 23MP4900-ICN</t>
  </si>
  <si>
    <t>EFO 23MP4950-ICN</t>
  </si>
  <si>
    <t>EFO 23MP5000-ICN</t>
  </si>
  <si>
    <t>EFO 23MP5050-ICN</t>
  </si>
  <si>
    <t>EFO 23MP5100-ICN</t>
  </si>
  <si>
    <t>EFO 23MP5150-ICN</t>
  </si>
  <si>
    <t>EFO 23MP5200-ICN</t>
  </si>
  <si>
    <t>EFO 23MP5250-ICN</t>
  </si>
  <si>
    <t>EFO 23MP5300-ICN</t>
  </si>
  <si>
    <t>EFO 23MP5350-ICN</t>
  </si>
  <si>
    <t>EFO 23MP5400-ICN</t>
  </si>
  <si>
    <t>EFO 23MP5450-ICN</t>
  </si>
  <si>
    <t>EFO 23MP5500-ICN</t>
  </si>
  <si>
    <t>EFO 23MP5550-ICN</t>
  </si>
  <si>
    <t>EFO 23MP5600-ICN</t>
  </si>
  <si>
    <t>EFO 23MP5650-ICN</t>
  </si>
  <si>
    <t>EFO 23MP5700-ICN</t>
  </si>
  <si>
    <t>EFO 23MP5750-ICN</t>
  </si>
  <si>
    <t>EFO 23MP5800-ICN</t>
  </si>
  <si>
    <t>EFO 23MP5850-ICN</t>
  </si>
  <si>
    <t>EFO 23MP5900-ICN</t>
  </si>
  <si>
    <t>EFO 23MP5950-ICN</t>
  </si>
  <si>
    <t>EFO 23MP6000-ICN</t>
  </si>
  <si>
    <t>EFO 23MP6050-ICN</t>
  </si>
  <si>
    <t>EFO 23MP6100-ICN</t>
  </si>
  <si>
    <t>EFO 23MP6150-ICN</t>
  </si>
  <si>
    <t>EFO 23MP6200-ICN</t>
  </si>
  <si>
    <t>EFO 23MP6250-ICN</t>
  </si>
  <si>
    <t>EFO 23MP6300-ICN</t>
  </si>
  <si>
    <t>EFO 23MP6350-ICN</t>
  </si>
  <si>
    <t>EFO 23MP6400-ICN</t>
  </si>
  <si>
    <t>EFO 23MP6450-ICN</t>
  </si>
  <si>
    <t>EFO 23MP6500-ICN</t>
  </si>
  <si>
    <t>EFO 23MP6550-ICN</t>
  </si>
  <si>
    <t>EFO 23MP6600-ICN</t>
  </si>
  <si>
    <t>EFO 23MP6650-ICN</t>
  </si>
  <si>
    <t>EFO 23MP6700-ICN</t>
  </si>
  <si>
    <t>EFO 23MP6750-ICN</t>
  </si>
  <si>
    <t>EFO 23MP6800-ICN</t>
  </si>
  <si>
    <t>EFO 23MP6850-ICN</t>
  </si>
  <si>
    <t>EFO 23MP6900-ICN</t>
  </si>
  <si>
    <t>EFO 23MP6950-ICN</t>
  </si>
  <si>
    <t>EFO 23MP7000-ICN</t>
  </si>
  <si>
    <t>EFO 23MP7050-ICN</t>
  </si>
  <si>
    <t>EFO 23MP7100-ICN</t>
  </si>
  <si>
    <t>EFO 23MP7150-ICN</t>
  </si>
  <si>
    <t>EFO 23MP7200-ICN</t>
  </si>
  <si>
    <t>EFO 23MP7250-ICN</t>
  </si>
  <si>
    <t>EFO 23MP7300-ICN</t>
  </si>
  <si>
    <t>EFO 23MP7350-ICN</t>
  </si>
  <si>
    <t>EFO 23MP7400-ICN</t>
  </si>
  <si>
    <t>EFO 23MP7450-ICN</t>
  </si>
  <si>
    <t>EFO 23MP7500-ICN</t>
  </si>
  <si>
    <t>EFO 23MP7550-ICN</t>
  </si>
  <si>
    <t>EFO 23MP7600-ICN</t>
  </si>
  <si>
    <t>EFO 23MP7650-ICN</t>
  </si>
  <si>
    <t>EFO 23MP7700-ICN</t>
  </si>
  <si>
    <t>EFO 23MP7750-ICN</t>
  </si>
  <si>
    <t>EFO 23MP7800-ICN</t>
  </si>
  <si>
    <t>EFO 23MP7850-ICN</t>
  </si>
  <si>
    <t>EFO 23MP7900-ICN</t>
  </si>
  <si>
    <t>EFO 23MP7950-ICN</t>
  </si>
  <si>
    <t>EFO 23MP8000-ICN</t>
  </si>
  <si>
    <t>EFO 23MP8050-ICN</t>
  </si>
  <si>
    <t>EFO 23MP8100-ICN</t>
  </si>
  <si>
    <t>EFO 23MP8150-ICN</t>
  </si>
  <si>
    <t>EFO 23MP8200-ICN</t>
  </si>
  <si>
    <t>EFO 23MP8250-ICN</t>
  </si>
  <si>
    <t>EFO 23MP8300-ICN</t>
  </si>
  <si>
    <t>EFO 23MP8350-ICN</t>
  </si>
  <si>
    <t>EFO 23MP8400-ICN</t>
  </si>
  <si>
    <t>EFO 23MP8450-ICN</t>
  </si>
  <si>
    <t>EFO 23MP8500-ICN</t>
  </si>
  <si>
    <t>EFO 23MP8550-ICN</t>
  </si>
  <si>
    <t>EFO 23MP8600-ICN</t>
  </si>
  <si>
    <t>EFO 23MP8650-ICN</t>
  </si>
  <si>
    <t>EFO 23MP8700-ICN</t>
  </si>
  <si>
    <t>EFO 23MP8750-ICN</t>
  </si>
  <si>
    <t>EFO 23MP8800-ICN</t>
  </si>
  <si>
    <t>EFO 23MP8850-ICN</t>
  </si>
  <si>
    <t>EFO 23MP8900-ICN</t>
  </si>
  <si>
    <t>EFO 23MP8950-ICN</t>
  </si>
  <si>
    <t>EFO 23MP9000-ICN</t>
  </si>
  <si>
    <t>EFO 23MP9050-ICN</t>
  </si>
  <si>
    <t>EFO 23MP9100-ICN</t>
  </si>
  <si>
    <t>EFO 23MP9150-ICN</t>
  </si>
  <si>
    <t>EFO 23MP9200-ICN</t>
  </si>
  <si>
    <t>EFO 23MP9250-ICN</t>
  </si>
  <si>
    <t>EFO 23MP9300-ICN</t>
  </si>
  <si>
    <t>EFO 23MP9350-ICN</t>
  </si>
  <si>
    <t>EFO 23MP9400-ICN</t>
  </si>
  <si>
    <t>EFO 23MP9450-ICN</t>
  </si>
  <si>
    <t>EFO 23MP9500-ICN</t>
  </si>
  <si>
    <t>EFO 23MP9550-ICN</t>
  </si>
  <si>
    <t>EFO 23MP9600-ICN</t>
  </si>
  <si>
    <t>EFO 23MP9650-ICN</t>
  </si>
  <si>
    <t>EFO 23MP9700-ICN</t>
  </si>
  <si>
    <t>EFO 23MP9750-ICN</t>
  </si>
  <si>
    <t>EFO 23MP9800-ICN</t>
  </si>
  <si>
    <t>EFO 23MP9850-ICN</t>
  </si>
  <si>
    <t>EFO 23MP9900-ICN</t>
  </si>
  <si>
    <t>EFO 23MP9950-ICN</t>
  </si>
  <si>
    <t>EFO 23MP10000-ICN</t>
  </si>
  <si>
    <t>EFO 23MP10050-ICN</t>
  </si>
  <si>
    <t>EFO 23MP10100-ICN</t>
  </si>
  <si>
    <t>EFO 23MP10150-ICN</t>
  </si>
  <si>
    <t>EFO 23MP10200-ICN</t>
  </si>
  <si>
    <t>EFO 23MP10250-ICN</t>
  </si>
  <si>
    <t>EFO 23MP10300-ICN</t>
  </si>
  <si>
    <t>EFO 23MP10350-ICN</t>
  </si>
  <si>
    <t>EFO 23MP10400-ICN</t>
  </si>
  <si>
    <t>EFO 23MP10450-ICN</t>
  </si>
  <si>
    <t>EFO 23MP10500-ICN</t>
  </si>
  <si>
    <t>EFO 23MP10550-ICN</t>
  </si>
  <si>
    <t>EFO 23MP10600-ICN</t>
  </si>
  <si>
    <t>EFO 23MP10650-ICN</t>
  </si>
  <si>
    <t>EFO 23MP10700-ICN</t>
  </si>
  <si>
    <t>EFO 23MP10750-ICN</t>
  </si>
  <si>
    <t>EFO 23MP10800-ICN</t>
  </si>
  <si>
    <t>EFO 23MP10850-ICN</t>
  </si>
  <si>
    <t>EFO 23MP10900-ICN</t>
  </si>
  <si>
    <t>EFO 23MP10950-ICN</t>
  </si>
  <si>
    <t>EFO 23MP11000-ICN</t>
  </si>
  <si>
    <t>EFO 23MP11050-ICN</t>
  </si>
  <si>
    <t>EFO 23MP11100-ICN</t>
  </si>
  <si>
    <t>EFO 23MP11150-ICN</t>
  </si>
  <si>
    <t>EFO 23MP11200-ICN</t>
  </si>
  <si>
    <t>EFO 23MP11250-ICN</t>
  </si>
  <si>
    <t>EFO 23MP11300-ICN</t>
  </si>
  <si>
    <t>EFO 23MP11350-ICN</t>
  </si>
  <si>
    <t>EFO 23MP11400-ICN</t>
  </si>
  <si>
    <t>EFO 23MP11450-ICN</t>
  </si>
  <si>
    <t>EFO 23MP11500-ICN</t>
  </si>
  <si>
    <t>EFO 23MP11550-ICN</t>
  </si>
  <si>
    <t>EFO 23MP11600-ICN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</si>
</sst>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"/>
    <numFmt numFmtId="165" formatCode="mm/dd/yyyy"/>
    <numFmt numFmtId="166" formatCode="_-* #,##0.0000_-;\-* #,##0.0000_-;_-* &quot;-&quot;??_-;_-@_-"/>
    <numFmt numFmtId="167" formatCode="0.000"/>
    <numFmt numFmtId="168" formatCode="_-* #,##0_-;\-* #,##0_-;_-* &quot;-&quot;??_-;_-@_-"/>
    <numFmt numFmtId="169" formatCode="0.0%"/>
    <numFmt numFmtId="170" formatCode="0.000000000"/>
  </numFmts>
  <fonts count="4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2" applyNumberFormat="1" applyFont="1"/>
    <xf numFmtId="2" fontId="0" fillId="0" borderId="0" xfId="1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4" xfId="0" applyBorder="1"/>
    <xf numFmtId="43" fontId="0" fillId="0" borderId="0" xfId="1" applyFont="1" applyBorder="1"/>
    <xf numFmtId="10" fontId="0" fillId="0" borderId="0" xfId="0" applyNumberFormat="1"/>
    <xf numFmtId="2" fontId="0" fillId="0" borderId="5" xfId="1" applyNumberFormat="1" applyFont="1" applyFill="1" applyBorder="1"/>
    <xf numFmtId="0" fontId="0" fillId="0" borderId="6" xfId="0" applyBorder="1"/>
    <xf numFmtId="0" fontId="0" fillId="0" borderId="7" xfId="0" applyBorder="1"/>
    <xf numFmtId="167" fontId="0" fillId="0" borderId="7" xfId="0" applyNumberFormat="1" applyBorder="1"/>
    <xf numFmtId="2" fontId="0" fillId="0" borderId="8" xfId="1" applyNumberFormat="1" applyFont="1" applyBorder="1"/>
    <xf numFmtId="0" fontId="0" fillId="0" borderId="1" xfId="0" applyBorder="1"/>
    <xf numFmtId="0" fontId="0" fillId="0" borderId="2" xfId="0" applyBorder="1"/>
    <xf numFmtId="10" fontId="0" fillId="0" borderId="2" xfId="2" applyNumberFormat="1" applyFont="1" applyFill="1" applyBorder="1"/>
    <xf numFmtId="10" fontId="0" fillId="0" borderId="2" xfId="2" applyNumberFormat="1" applyFont="1" applyBorder="1"/>
    <xf numFmtId="2" fontId="0" fillId="0" borderId="3" xfId="1" applyNumberFormat="1" applyFont="1" applyFill="1" applyBorder="1"/>
    <xf numFmtId="10" fontId="0" fillId="0" borderId="0" xfId="2" applyNumberFormat="1" applyFont="1" applyFill="1" applyBorder="1"/>
    <xf numFmtId="10" fontId="0" fillId="0" borderId="0" xfId="2" applyNumberFormat="1" applyFont="1" applyBorder="1"/>
    <xf numFmtId="2" fontId="0" fillId="0" borderId="2" xfId="0" applyNumberFormat="1" applyBorder="1"/>
    <xf numFmtId="2" fontId="0" fillId="0" borderId="0" xfId="0" applyNumberFormat="1"/>
    <xf numFmtId="2" fontId="0" fillId="0" borderId="7" xfId="0" applyNumberFormat="1" applyBorder="1"/>
    <xf numFmtId="10" fontId="0" fillId="0" borderId="7" xfId="2" applyNumberFormat="1" applyFont="1" applyBorder="1"/>
    <xf numFmtId="10" fontId="0" fillId="0" borderId="2" xfId="0" applyNumberFormat="1" applyBorder="1"/>
    <xf numFmtId="166" fontId="0" fillId="0" borderId="2" xfId="1" applyNumberFormat="1" applyFont="1" applyBorder="1"/>
    <xf numFmtId="166" fontId="0" fillId="0" borderId="3" xfId="1" applyNumberFormat="1" applyFont="1" applyBorder="1"/>
    <xf numFmtId="164" fontId="0" fillId="0" borderId="7" xfId="0" applyNumberFormat="1" applyBorder="1"/>
    <xf numFmtId="164" fontId="0" fillId="0" borderId="8" xfId="1" applyNumberFormat="1" applyFont="1" applyBorder="1"/>
    <xf numFmtId="10" fontId="0" fillId="0" borderId="5" xfId="2" applyNumberFormat="1" applyFont="1" applyBorder="1"/>
    <xf numFmtId="14" fontId="0" fillId="3" borderId="0" xfId="0" applyNumberFormat="1" applyFill="1"/>
    <xf numFmtId="2" fontId="0" fillId="3" borderId="0" xfId="0" applyNumberFormat="1" applyFill="1"/>
    <xf numFmtId="9" fontId="0" fillId="0" borderId="0" xfId="2" applyFont="1"/>
    <xf numFmtId="166" fontId="0" fillId="0" borderId="0" xfId="1" applyNumberFormat="1" applyFont="1"/>
    <xf numFmtId="43" fontId="0" fillId="0" borderId="7" xfId="1" applyFont="1" applyBorder="1"/>
    <xf numFmtId="0" fontId="3" fillId="5" borderId="0" xfId="0" applyFont="1" applyFill="1"/>
    <xf numFmtId="2" fontId="0" fillId="0" borderId="0" xfId="1" applyNumberFormat="1" applyFont="1" applyBorder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/>
    <xf numFmtId="0" fontId="0" fillId="0" borderId="8" xfId="0" applyBorder="1"/>
    <xf numFmtId="2" fontId="0" fillId="0" borderId="2" xfId="1" applyNumberFormat="1" applyFont="1" applyFill="1" applyBorder="1"/>
    <xf numFmtId="2" fontId="0" fillId="0" borderId="0" xfId="1" applyNumberFormat="1" applyFont="1" applyFill="1" applyBorder="1"/>
    <xf numFmtId="2" fontId="0" fillId="0" borderId="7" xfId="1" applyNumberFormat="1" applyFont="1" applyFill="1" applyBorder="1"/>
    <xf numFmtId="2" fontId="0" fillId="0" borderId="2" xfId="1" applyNumberFormat="1" applyFont="1" applyBorder="1"/>
    <xf numFmtId="2" fontId="0" fillId="0" borderId="7" xfId="1" applyNumberFormat="1" applyFont="1" applyBorder="1"/>
    <xf numFmtId="0" fontId="3" fillId="5" borderId="4" xfId="0" applyFont="1" applyFill="1" applyBorder="1"/>
    <xf numFmtId="0" fontId="3" fillId="5" borderId="5" xfId="0" applyFont="1" applyFill="1" applyBorder="1"/>
    <xf numFmtId="167" fontId="0" fillId="0" borderId="0" xfId="0" applyNumberFormat="1"/>
    <xf numFmtId="0" fontId="3" fillId="5" borderId="1" xfId="0" applyFont="1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vertical="center"/>
    </xf>
    <xf numFmtId="2" fontId="0" fillId="0" borderId="0" xfId="1" applyNumberFormat="1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43" fontId="0" fillId="0" borderId="7" xfId="1" applyFont="1" applyBorder="1" applyAlignment="1">
      <alignment vertical="center"/>
    </xf>
    <xf numFmtId="2" fontId="0" fillId="0" borderId="7" xfId="1" applyNumberFormat="1" applyFont="1" applyBorder="1" applyAlignment="1">
      <alignment vertical="center"/>
    </xf>
    <xf numFmtId="168" fontId="0" fillId="0" borderId="0" xfId="1" applyNumberFormat="1" applyFont="1" applyAlignment="1">
      <alignment vertical="center"/>
    </xf>
    <xf numFmtId="10" fontId="0" fillId="0" borderId="0" xfId="2" applyNumberFormat="1" applyFont="1" applyAlignment="1">
      <alignment vertical="center"/>
    </xf>
    <xf numFmtId="10" fontId="0" fillId="0" borderId="4" xfId="2" applyNumberFormat="1" applyFont="1" applyBorder="1" applyAlignment="1">
      <alignment vertical="center"/>
    </xf>
    <xf numFmtId="10" fontId="0" fillId="0" borderId="0" xfId="2" applyNumberFormat="1" applyFont="1" applyBorder="1" applyAlignment="1">
      <alignment vertical="center"/>
    </xf>
    <xf numFmtId="10" fontId="0" fillId="0" borderId="5" xfId="2" applyNumberFormat="1" applyFont="1" applyBorder="1" applyAlignment="1">
      <alignment vertical="center"/>
    </xf>
    <xf numFmtId="168" fontId="0" fillId="0" borderId="1" xfId="1" applyNumberFormat="1" applyFont="1" applyBorder="1" applyAlignment="1">
      <alignment vertical="center"/>
    </xf>
    <xf numFmtId="168" fontId="0" fillId="0" borderId="2" xfId="1" applyNumberFormat="1" applyFont="1" applyBorder="1" applyAlignment="1">
      <alignment vertical="center"/>
    </xf>
    <xf numFmtId="168" fontId="0" fillId="0" borderId="3" xfId="1" applyNumberFormat="1" applyFont="1" applyBorder="1" applyAlignment="1">
      <alignment vertical="center"/>
    </xf>
    <xf numFmtId="2" fontId="0" fillId="0" borderId="8" xfId="1" applyNumberFormat="1" applyFont="1" applyBorder="1" applyAlignment="1">
      <alignment vertical="center"/>
    </xf>
    <xf numFmtId="10" fontId="0" fillId="0" borderId="1" xfId="2" applyNumberFormat="1" applyFont="1" applyBorder="1"/>
    <xf numFmtId="10" fontId="0" fillId="0" borderId="3" xfId="2" applyNumberFormat="1" applyFont="1" applyBorder="1"/>
    <xf numFmtId="10" fontId="0" fillId="0" borderId="4" xfId="2" applyNumberFormat="1" applyFont="1" applyBorder="1"/>
    <xf numFmtId="10" fontId="0" fillId="0" borderId="6" xfId="2" applyNumberFormat="1" applyFont="1" applyBorder="1"/>
    <xf numFmtId="10" fontId="0" fillId="0" borderId="8" xfId="2" applyNumberFormat="1" applyFont="1" applyBorder="1"/>
    <xf numFmtId="168" fontId="0" fillId="0" borderId="0" xfId="1" applyNumberFormat="1" applyFont="1"/>
    <xf numFmtId="168" fontId="0" fillId="0" borderId="6" xfId="1" applyNumberFormat="1" applyFont="1" applyBorder="1"/>
    <xf numFmtId="168" fontId="0" fillId="0" borderId="7" xfId="1" applyNumberFormat="1" applyFont="1" applyBorder="1"/>
    <xf numFmtId="168" fontId="0" fillId="0" borderId="8" xfId="1" applyNumberFormat="1" applyFont="1" applyBorder="1"/>
    <xf numFmtId="165" fontId="0" fillId="4" borderId="0" xfId="0" applyNumberFormat="1" applyFill="1"/>
    <xf numFmtId="43" fontId="0" fillId="0" borderId="0" xfId="1" applyFont="1" applyFill="1" applyBorder="1"/>
    <xf numFmtId="43" fontId="0" fillId="0" borderId="0" xfId="1" applyFont="1"/>
    <xf numFmtId="10" fontId="0" fillId="0" borderId="0" xfId="1" applyNumberFormat="1" applyFont="1" applyFill="1" applyBorder="1"/>
    <xf numFmtId="169" fontId="0" fillId="0" borderId="1" xfId="2" applyNumberFormat="1" applyFont="1" applyBorder="1"/>
    <xf numFmtId="169" fontId="0" fillId="0" borderId="2" xfId="2" applyNumberFormat="1" applyFont="1" applyBorder="1"/>
    <xf numFmtId="169" fontId="0" fillId="0" borderId="3" xfId="2" applyNumberFormat="1" applyFont="1" applyBorder="1"/>
    <xf numFmtId="169" fontId="0" fillId="0" borderId="4" xfId="2" applyNumberFormat="1" applyFont="1" applyBorder="1"/>
    <xf numFmtId="169" fontId="0" fillId="0" borderId="0" xfId="2" applyNumberFormat="1" applyFont="1"/>
    <xf numFmtId="169" fontId="0" fillId="0" borderId="5" xfId="2" applyNumberFormat="1" applyFont="1" applyBorder="1"/>
    <xf numFmtId="10" fontId="0" fillId="0" borderId="4" xfId="0" applyNumberFormat="1" applyBorder="1"/>
    <xf numFmtId="10" fontId="0" fillId="0" borderId="5" xfId="0" applyNumberFormat="1" applyBorder="1"/>
    <xf numFmtId="166" fontId="0" fillId="0" borderId="0" xfId="1" applyNumberFormat="1" applyFont="1" applyBorder="1"/>
    <xf numFmtId="164" fontId="0" fillId="0" borderId="0" xfId="1" applyNumberFormat="1" applyFont="1" applyBorder="1"/>
    <xf numFmtId="169" fontId="0" fillId="0" borderId="0" xfId="2" applyNumberFormat="1" applyFont="1" applyBorder="1" applyAlignment="1">
      <alignment vertical="center"/>
    </xf>
    <xf numFmtId="170" fontId="0" fillId="0" borderId="0" xfId="0" applyNumberFormat="1"/>
    <xf numFmtId="169" fontId="0" fillId="0" borderId="8" xfId="2" applyNumberFormat="1" applyFont="1" applyBorder="1" applyAlignment="1">
      <alignment vertical="center"/>
    </xf>
    <xf numFmtId="169" fontId="0" fillId="0" borderId="9" xfId="2" applyNumberFormat="1" applyFont="1" applyBorder="1" applyAlignment="1">
      <alignment vertical="center"/>
    </xf>
    <xf numFmtId="2" fontId="0" fillId="0" borderId="5" xfId="1" applyNumberFormat="1" applyFont="1" applyBorder="1"/>
    <xf numFmtId="10" fontId="0" fillId="0" borderId="0" xfId="2" applyNumberFormat="1" applyFont="1" applyFill="1"/>
    <xf numFmtId="169" fontId="0" fillId="0" borderId="5" xfId="2" applyNumberFormat="1" applyFont="1" applyFill="1" applyBorder="1" applyAlignment="1">
      <alignment vertical="center"/>
    </xf>
    <xf numFmtId="10" fontId="0" fillId="0" borderId="1" xfId="2" applyNumberFormat="1" applyFont="1" applyFill="1" applyBorder="1"/>
    <xf numFmtId="10" fontId="0" fillId="0" borderId="3" xfId="2" applyNumberFormat="1" applyFont="1" applyFill="1" applyBorder="1"/>
    <xf numFmtId="14" fontId="0" fillId="0" borderId="0" xfId="0" applyNumberFormat="1" applyAlignment="1">
      <alignment horizontal="left"/>
    </xf>
    <xf numFmtId="169" fontId="0" fillId="0" borderId="0" xfId="2" applyNumberFormat="1" applyFont="1" applyAlignment="1">
      <alignment vertical="center"/>
    </xf>
    <xf numFmtId="0" fontId="0" fillId="0" borderId="0" xfId="0" applyAlignment="1">
      <alignment horizontal="center"/>
    </xf>
    <xf numFmtId="14" fontId="3" fillId="5" borderId="3" xfId="0" applyNumberFormat="1" applyFont="1" applyFill="1" applyBorder="1" applyAlignment="1">
      <alignment horizontal="center" vertical="center"/>
    </xf>
    <xf numFmtId="14" fontId="3" fillId="5" borderId="5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0" xfId="0" applyFont="1"/>
    <xf numFmtId="0" fontId="0" fillId="0" borderId="0" xfId="0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MA20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MA!$K$1:$K$265</c:f>
              <c:numCache>
                <c:formatCode>m/d/yyyy</c:formatCode>
                <c:ptCount val="265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45138</c:v>
                </c:pt>
                <c:pt idx="4">
                  <c:v>45139</c:v>
                </c:pt>
                <c:pt idx="5">
                  <c:v>45140</c:v>
                </c:pt>
                <c:pt idx="6">
                  <c:v>45141</c:v>
                </c:pt>
                <c:pt idx="7">
                  <c:v>45142</c:v>
                </c:pt>
                <c:pt idx="8">
                  <c:v>45145</c:v>
                </c:pt>
                <c:pt idx="9">
                  <c:v>45146</c:v>
                </c:pt>
                <c:pt idx="10">
                  <c:v>45147</c:v>
                </c:pt>
                <c:pt idx="11">
                  <c:v>45148</c:v>
                </c:pt>
                <c:pt idx="12">
                  <c:v>45149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45159</c:v>
                </c:pt>
                <c:pt idx="19">
                  <c:v>45160</c:v>
                </c:pt>
                <c:pt idx="20">
                  <c:v>45161</c:v>
                </c:pt>
                <c:pt idx="21">
                  <c:v>45162</c:v>
                </c:pt>
                <c:pt idx="22">
                  <c:v>45163</c:v>
                </c:pt>
                <c:pt idx="23">
                  <c:v>45166</c:v>
                </c:pt>
                <c:pt idx="24">
                  <c:v>45167</c:v>
                </c:pt>
                <c:pt idx="25">
                  <c:v>45168</c:v>
                </c:pt>
                <c:pt idx="26">
                  <c:v>45169</c:v>
                </c:pt>
                <c:pt idx="27">
                  <c:v>45170</c:v>
                </c:pt>
                <c:pt idx="28">
                  <c:v>45173</c:v>
                </c:pt>
                <c:pt idx="29">
                  <c:v>45174</c:v>
                </c:pt>
                <c:pt idx="30">
                  <c:v>45175</c:v>
                </c:pt>
                <c:pt idx="31">
                  <c:v>45176</c:v>
                </c:pt>
                <c:pt idx="32">
                  <c:v>45177</c:v>
                </c:pt>
                <c:pt idx="33">
                  <c:v>45180</c:v>
                </c:pt>
                <c:pt idx="34">
                  <c:v>45181</c:v>
                </c:pt>
                <c:pt idx="35">
                  <c:v>45182</c:v>
                </c:pt>
                <c:pt idx="36">
                  <c:v>45183</c:v>
                </c:pt>
                <c:pt idx="37">
                  <c:v>45184</c:v>
                </c:pt>
                <c:pt idx="38">
                  <c:v>45187</c:v>
                </c:pt>
                <c:pt idx="39">
                  <c:v>45188</c:v>
                </c:pt>
                <c:pt idx="40">
                  <c:v>45189</c:v>
                </c:pt>
                <c:pt idx="41">
                  <c:v>45190</c:v>
                </c:pt>
                <c:pt idx="42">
                  <c:v>45191</c:v>
                </c:pt>
                <c:pt idx="43">
                  <c:v>45194</c:v>
                </c:pt>
                <c:pt idx="44">
                  <c:v>45195</c:v>
                </c:pt>
                <c:pt idx="45">
                  <c:v>45196</c:v>
                </c:pt>
                <c:pt idx="46">
                  <c:v>45197</c:v>
                </c:pt>
                <c:pt idx="47">
                  <c:v>45198</c:v>
                </c:pt>
                <c:pt idx="48">
                  <c:v>45201</c:v>
                </c:pt>
                <c:pt idx="49">
                  <c:v>45202</c:v>
                </c:pt>
                <c:pt idx="50">
                  <c:v>45203</c:v>
                </c:pt>
                <c:pt idx="51">
                  <c:v>45204</c:v>
                </c:pt>
                <c:pt idx="52">
                  <c:v>45205</c:v>
                </c:pt>
                <c:pt idx="53">
                  <c:v>45208</c:v>
                </c:pt>
                <c:pt idx="54">
                  <c:v>45209</c:v>
                </c:pt>
                <c:pt idx="55">
                  <c:v>45210</c:v>
                </c:pt>
                <c:pt idx="56">
                  <c:v>45211</c:v>
                </c:pt>
                <c:pt idx="57">
                  <c:v>45212</c:v>
                </c:pt>
                <c:pt idx="58">
                  <c:v>45215</c:v>
                </c:pt>
                <c:pt idx="59">
                  <c:v>45216</c:v>
                </c:pt>
                <c:pt idx="60">
                  <c:v>45217</c:v>
                </c:pt>
                <c:pt idx="61">
                  <c:v>45218</c:v>
                </c:pt>
                <c:pt idx="62">
                  <c:v>45219</c:v>
                </c:pt>
                <c:pt idx="63">
                  <c:v>45222</c:v>
                </c:pt>
                <c:pt idx="64">
                  <c:v>45223</c:v>
                </c:pt>
                <c:pt idx="65">
                  <c:v>45224</c:v>
                </c:pt>
                <c:pt idx="66">
                  <c:v>45225</c:v>
                </c:pt>
                <c:pt idx="67">
                  <c:v>45226</c:v>
                </c:pt>
                <c:pt idx="68">
                  <c:v>45229</c:v>
                </c:pt>
                <c:pt idx="69">
                  <c:v>45230</c:v>
                </c:pt>
                <c:pt idx="70">
                  <c:v>45231</c:v>
                </c:pt>
                <c:pt idx="71">
                  <c:v>45232</c:v>
                </c:pt>
                <c:pt idx="72">
                  <c:v>45233</c:v>
                </c:pt>
                <c:pt idx="73">
                  <c:v>45236</c:v>
                </c:pt>
                <c:pt idx="74">
                  <c:v>45237</c:v>
                </c:pt>
                <c:pt idx="75">
                  <c:v>45238</c:v>
                </c:pt>
                <c:pt idx="76">
                  <c:v>45239</c:v>
                </c:pt>
                <c:pt idx="77">
                  <c:v>45240</c:v>
                </c:pt>
                <c:pt idx="78">
                  <c:v>45243</c:v>
                </c:pt>
                <c:pt idx="79">
                  <c:v>45244</c:v>
                </c:pt>
                <c:pt idx="80">
                  <c:v>45245</c:v>
                </c:pt>
                <c:pt idx="81">
                  <c:v>45246</c:v>
                </c:pt>
                <c:pt idx="82">
                  <c:v>45247</c:v>
                </c:pt>
                <c:pt idx="83">
                  <c:v>45250</c:v>
                </c:pt>
                <c:pt idx="84">
                  <c:v>45251</c:v>
                </c:pt>
                <c:pt idx="85">
                  <c:v>45252</c:v>
                </c:pt>
                <c:pt idx="86">
                  <c:v>45253</c:v>
                </c:pt>
                <c:pt idx="87">
                  <c:v>45254</c:v>
                </c:pt>
                <c:pt idx="88">
                  <c:v>45257</c:v>
                </c:pt>
                <c:pt idx="89">
                  <c:v>45258</c:v>
                </c:pt>
                <c:pt idx="90">
                  <c:v>45259</c:v>
                </c:pt>
                <c:pt idx="91">
                  <c:v>45260</c:v>
                </c:pt>
                <c:pt idx="92">
                  <c:v>45261</c:v>
                </c:pt>
                <c:pt idx="93">
                  <c:v>45264</c:v>
                </c:pt>
                <c:pt idx="94">
                  <c:v>45265</c:v>
                </c:pt>
                <c:pt idx="95">
                  <c:v>45266</c:v>
                </c:pt>
                <c:pt idx="96">
                  <c:v>45267</c:v>
                </c:pt>
                <c:pt idx="97">
                  <c:v>45268</c:v>
                </c:pt>
                <c:pt idx="98">
                  <c:v>45271</c:v>
                </c:pt>
                <c:pt idx="99">
                  <c:v>45272</c:v>
                </c:pt>
                <c:pt idx="100">
                  <c:v>45273</c:v>
                </c:pt>
                <c:pt idx="101">
                  <c:v>45274</c:v>
                </c:pt>
                <c:pt idx="102">
                  <c:v>45275</c:v>
                </c:pt>
                <c:pt idx="103">
                  <c:v>45278</c:v>
                </c:pt>
                <c:pt idx="104">
                  <c:v>45279</c:v>
                </c:pt>
                <c:pt idx="105">
                  <c:v>45280</c:v>
                </c:pt>
                <c:pt idx="106">
                  <c:v>45281</c:v>
                </c:pt>
                <c:pt idx="107">
                  <c:v>45282</c:v>
                </c:pt>
                <c:pt idx="108">
                  <c:v>45285</c:v>
                </c:pt>
                <c:pt idx="109">
                  <c:v>45286</c:v>
                </c:pt>
                <c:pt idx="110">
                  <c:v>45287</c:v>
                </c:pt>
                <c:pt idx="111">
                  <c:v>45288</c:v>
                </c:pt>
                <c:pt idx="112">
                  <c:v>45289</c:v>
                </c:pt>
                <c:pt idx="113">
                  <c:v>45292</c:v>
                </c:pt>
                <c:pt idx="114">
                  <c:v>45293</c:v>
                </c:pt>
                <c:pt idx="115">
                  <c:v>45294</c:v>
                </c:pt>
                <c:pt idx="116">
                  <c:v>45295</c:v>
                </c:pt>
                <c:pt idx="117">
                  <c:v>45296</c:v>
                </c:pt>
                <c:pt idx="118">
                  <c:v>45299</c:v>
                </c:pt>
                <c:pt idx="119">
                  <c:v>45300</c:v>
                </c:pt>
                <c:pt idx="120">
                  <c:v>45301</c:v>
                </c:pt>
                <c:pt idx="121">
                  <c:v>45302</c:v>
                </c:pt>
                <c:pt idx="122">
                  <c:v>45303</c:v>
                </c:pt>
                <c:pt idx="123">
                  <c:v>45306</c:v>
                </c:pt>
                <c:pt idx="124">
                  <c:v>45307</c:v>
                </c:pt>
                <c:pt idx="125">
                  <c:v>45308</c:v>
                </c:pt>
                <c:pt idx="126">
                  <c:v>45309</c:v>
                </c:pt>
                <c:pt idx="127">
                  <c:v>45310</c:v>
                </c:pt>
                <c:pt idx="128">
                  <c:v>45313</c:v>
                </c:pt>
                <c:pt idx="129">
                  <c:v>45314</c:v>
                </c:pt>
                <c:pt idx="130">
                  <c:v>45315</c:v>
                </c:pt>
                <c:pt idx="131">
                  <c:v>45316</c:v>
                </c:pt>
                <c:pt idx="132">
                  <c:v>45317</c:v>
                </c:pt>
                <c:pt idx="133">
                  <c:v>45320</c:v>
                </c:pt>
                <c:pt idx="134">
                  <c:v>45321</c:v>
                </c:pt>
                <c:pt idx="135">
                  <c:v>45322</c:v>
                </c:pt>
                <c:pt idx="136">
                  <c:v>45323</c:v>
                </c:pt>
                <c:pt idx="137">
                  <c:v>45324</c:v>
                </c:pt>
                <c:pt idx="138">
                  <c:v>45327</c:v>
                </c:pt>
                <c:pt idx="139">
                  <c:v>45328</c:v>
                </c:pt>
                <c:pt idx="140">
                  <c:v>45329</c:v>
                </c:pt>
                <c:pt idx="141">
                  <c:v>45330</c:v>
                </c:pt>
                <c:pt idx="142">
                  <c:v>45331</c:v>
                </c:pt>
                <c:pt idx="143">
                  <c:v>45334</c:v>
                </c:pt>
                <c:pt idx="144">
                  <c:v>45335</c:v>
                </c:pt>
                <c:pt idx="145">
                  <c:v>45336</c:v>
                </c:pt>
                <c:pt idx="146">
                  <c:v>45337</c:v>
                </c:pt>
                <c:pt idx="147">
                  <c:v>45338</c:v>
                </c:pt>
                <c:pt idx="148">
                  <c:v>45341</c:v>
                </c:pt>
                <c:pt idx="149">
                  <c:v>45342</c:v>
                </c:pt>
                <c:pt idx="150">
                  <c:v>45343</c:v>
                </c:pt>
                <c:pt idx="151">
                  <c:v>45344</c:v>
                </c:pt>
                <c:pt idx="152">
                  <c:v>45345</c:v>
                </c:pt>
                <c:pt idx="153">
                  <c:v>45348</c:v>
                </c:pt>
                <c:pt idx="154">
                  <c:v>45349</c:v>
                </c:pt>
                <c:pt idx="155">
                  <c:v>45350</c:v>
                </c:pt>
                <c:pt idx="156">
                  <c:v>45351</c:v>
                </c:pt>
                <c:pt idx="157">
                  <c:v>45352</c:v>
                </c:pt>
                <c:pt idx="158">
                  <c:v>45355</c:v>
                </c:pt>
                <c:pt idx="159">
                  <c:v>45356</c:v>
                </c:pt>
                <c:pt idx="160">
                  <c:v>45357</c:v>
                </c:pt>
                <c:pt idx="161">
                  <c:v>45358</c:v>
                </c:pt>
                <c:pt idx="162">
                  <c:v>45359</c:v>
                </c:pt>
                <c:pt idx="163">
                  <c:v>45362</c:v>
                </c:pt>
                <c:pt idx="164">
                  <c:v>45363</c:v>
                </c:pt>
                <c:pt idx="165">
                  <c:v>45364</c:v>
                </c:pt>
                <c:pt idx="166">
                  <c:v>45365</c:v>
                </c:pt>
                <c:pt idx="167">
                  <c:v>45366</c:v>
                </c:pt>
                <c:pt idx="168">
                  <c:v>45369</c:v>
                </c:pt>
                <c:pt idx="169">
                  <c:v>45370</c:v>
                </c:pt>
                <c:pt idx="170">
                  <c:v>45371</c:v>
                </c:pt>
                <c:pt idx="171">
                  <c:v>45372</c:v>
                </c:pt>
                <c:pt idx="172">
                  <c:v>45373</c:v>
                </c:pt>
                <c:pt idx="173">
                  <c:v>45376</c:v>
                </c:pt>
                <c:pt idx="174">
                  <c:v>45377</c:v>
                </c:pt>
                <c:pt idx="175">
                  <c:v>45378</c:v>
                </c:pt>
                <c:pt idx="176">
                  <c:v>45379</c:v>
                </c:pt>
                <c:pt idx="177">
                  <c:v>45380</c:v>
                </c:pt>
                <c:pt idx="178">
                  <c:v>45383</c:v>
                </c:pt>
                <c:pt idx="179">
                  <c:v>45384</c:v>
                </c:pt>
                <c:pt idx="180">
                  <c:v>45385</c:v>
                </c:pt>
                <c:pt idx="181">
                  <c:v>45386</c:v>
                </c:pt>
                <c:pt idx="182">
                  <c:v>45387</c:v>
                </c:pt>
                <c:pt idx="183">
                  <c:v>45390</c:v>
                </c:pt>
                <c:pt idx="184">
                  <c:v>45391</c:v>
                </c:pt>
                <c:pt idx="185">
                  <c:v>45392</c:v>
                </c:pt>
                <c:pt idx="186">
                  <c:v>45393</c:v>
                </c:pt>
                <c:pt idx="187">
                  <c:v>45394</c:v>
                </c:pt>
                <c:pt idx="188">
                  <c:v>45397</c:v>
                </c:pt>
                <c:pt idx="189">
                  <c:v>45398</c:v>
                </c:pt>
                <c:pt idx="190">
                  <c:v>45399</c:v>
                </c:pt>
                <c:pt idx="191">
                  <c:v>45400</c:v>
                </c:pt>
                <c:pt idx="192">
                  <c:v>45401</c:v>
                </c:pt>
                <c:pt idx="193">
                  <c:v>45404</c:v>
                </c:pt>
                <c:pt idx="194">
                  <c:v>45405</c:v>
                </c:pt>
                <c:pt idx="195">
                  <c:v>45406</c:v>
                </c:pt>
                <c:pt idx="196">
                  <c:v>45407</c:v>
                </c:pt>
                <c:pt idx="197">
                  <c:v>45408</c:v>
                </c:pt>
                <c:pt idx="198">
                  <c:v>45411</c:v>
                </c:pt>
                <c:pt idx="199">
                  <c:v>45412</c:v>
                </c:pt>
                <c:pt idx="200">
                  <c:v>45413</c:v>
                </c:pt>
                <c:pt idx="201">
                  <c:v>45414</c:v>
                </c:pt>
                <c:pt idx="202">
                  <c:v>45415</c:v>
                </c:pt>
                <c:pt idx="203">
                  <c:v>45418</c:v>
                </c:pt>
                <c:pt idx="204">
                  <c:v>45419</c:v>
                </c:pt>
                <c:pt idx="205">
                  <c:v>45420</c:v>
                </c:pt>
                <c:pt idx="206">
                  <c:v>45421</c:v>
                </c:pt>
                <c:pt idx="207">
                  <c:v>45422</c:v>
                </c:pt>
                <c:pt idx="208">
                  <c:v>45425</c:v>
                </c:pt>
                <c:pt idx="209">
                  <c:v>45426</c:v>
                </c:pt>
                <c:pt idx="210">
                  <c:v>45427</c:v>
                </c:pt>
                <c:pt idx="211">
                  <c:v>45428</c:v>
                </c:pt>
                <c:pt idx="212">
                  <c:v>45429</c:v>
                </c:pt>
                <c:pt idx="213">
                  <c:v>45432</c:v>
                </c:pt>
                <c:pt idx="214">
                  <c:v>45433</c:v>
                </c:pt>
                <c:pt idx="215">
                  <c:v>45434</c:v>
                </c:pt>
                <c:pt idx="216">
                  <c:v>45435</c:v>
                </c:pt>
                <c:pt idx="217">
                  <c:v>45436</c:v>
                </c:pt>
                <c:pt idx="218">
                  <c:v>45439</c:v>
                </c:pt>
                <c:pt idx="219">
                  <c:v>45440</c:v>
                </c:pt>
                <c:pt idx="220">
                  <c:v>45441</c:v>
                </c:pt>
                <c:pt idx="221">
                  <c:v>45442</c:v>
                </c:pt>
                <c:pt idx="222">
                  <c:v>45443</c:v>
                </c:pt>
                <c:pt idx="223">
                  <c:v>45446</c:v>
                </c:pt>
                <c:pt idx="224">
                  <c:v>45447</c:v>
                </c:pt>
                <c:pt idx="225">
                  <c:v>45448</c:v>
                </c:pt>
                <c:pt idx="226">
                  <c:v>45449</c:v>
                </c:pt>
                <c:pt idx="227">
                  <c:v>45450</c:v>
                </c:pt>
                <c:pt idx="228">
                  <c:v>45453</c:v>
                </c:pt>
                <c:pt idx="229">
                  <c:v>45454</c:v>
                </c:pt>
                <c:pt idx="230">
                  <c:v>45455</c:v>
                </c:pt>
                <c:pt idx="231">
                  <c:v>45456</c:v>
                </c:pt>
                <c:pt idx="232">
                  <c:v>45457</c:v>
                </c:pt>
                <c:pt idx="233">
                  <c:v>45460</c:v>
                </c:pt>
                <c:pt idx="234">
                  <c:v>45461</c:v>
                </c:pt>
                <c:pt idx="235">
                  <c:v>45462</c:v>
                </c:pt>
                <c:pt idx="236">
                  <c:v>45463</c:v>
                </c:pt>
                <c:pt idx="237">
                  <c:v>45464</c:v>
                </c:pt>
                <c:pt idx="238">
                  <c:v>45467</c:v>
                </c:pt>
                <c:pt idx="239">
                  <c:v>45468</c:v>
                </c:pt>
                <c:pt idx="240">
                  <c:v>45469</c:v>
                </c:pt>
                <c:pt idx="241">
                  <c:v>45470</c:v>
                </c:pt>
                <c:pt idx="242">
                  <c:v>45471</c:v>
                </c:pt>
                <c:pt idx="243">
                  <c:v>45474</c:v>
                </c:pt>
                <c:pt idx="244">
                  <c:v>45475</c:v>
                </c:pt>
                <c:pt idx="245">
                  <c:v>45476</c:v>
                </c:pt>
                <c:pt idx="246">
                  <c:v>45477</c:v>
                </c:pt>
                <c:pt idx="247">
                  <c:v>45478</c:v>
                </c:pt>
                <c:pt idx="248">
                  <c:v>45481</c:v>
                </c:pt>
                <c:pt idx="249">
                  <c:v>45482</c:v>
                </c:pt>
                <c:pt idx="250">
                  <c:v>45483</c:v>
                </c:pt>
                <c:pt idx="251">
                  <c:v>45484</c:v>
                </c:pt>
                <c:pt idx="252">
                  <c:v>45485</c:v>
                </c:pt>
                <c:pt idx="253">
                  <c:v>45488</c:v>
                </c:pt>
                <c:pt idx="254">
                  <c:v>45489</c:v>
                </c:pt>
                <c:pt idx="255">
                  <c:v>45490</c:v>
                </c:pt>
                <c:pt idx="256">
                  <c:v>45491</c:v>
                </c:pt>
                <c:pt idx="257">
                  <c:v>45492</c:v>
                </c:pt>
                <c:pt idx="258">
                  <c:v>45495</c:v>
                </c:pt>
                <c:pt idx="259">
                  <c:v>45496</c:v>
                </c:pt>
                <c:pt idx="260">
                  <c:v>45497</c:v>
                </c:pt>
                <c:pt idx="261">
                  <c:v>45498</c:v>
                </c:pt>
              </c:numCache>
            </c:numRef>
          </c:cat>
          <c:val>
            <c:numRef>
              <c:f>MA!$G$1:$G$265</c:f>
              <c:numCache>
                <c:formatCode>General</c:formatCode>
                <c:ptCount val="265"/>
                <c:pt idx="0">
                  <c:v>91.099500000000006</c:v>
                </c:pt>
                <c:pt idx="1">
                  <c:v>91.239000000000004</c:v>
                </c:pt>
                <c:pt idx="2">
                  <c:v>91.19550000000001</c:v>
                </c:pt>
                <c:pt idx="3">
                  <c:v>91.156999999999996</c:v>
                </c:pt>
                <c:pt idx="4">
                  <c:v>91.003500000000003</c:v>
                </c:pt>
                <c:pt idx="5">
                  <c:v>90.873000000000005</c:v>
                </c:pt>
                <c:pt idx="6">
                  <c:v>90.778999999999968</c:v>
                </c:pt>
                <c:pt idx="7">
                  <c:v>90.641999999999996</c:v>
                </c:pt>
                <c:pt idx="8">
                  <c:v>90.460999999999984</c:v>
                </c:pt>
                <c:pt idx="9">
                  <c:v>90.306999999999974</c:v>
                </c:pt>
                <c:pt idx="10">
                  <c:v>90.210499999999982</c:v>
                </c:pt>
                <c:pt idx="11">
                  <c:v>90.144000000000005</c:v>
                </c:pt>
                <c:pt idx="12">
                  <c:v>90.166499999999999</c:v>
                </c:pt>
                <c:pt idx="13">
                  <c:v>90.224999999999994</c:v>
                </c:pt>
                <c:pt idx="14">
                  <c:v>90.159500000000008</c:v>
                </c:pt>
                <c:pt idx="15">
                  <c:v>90.139499999999998</c:v>
                </c:pt>
                <c:pt idx="16">
                  <c:v>90.039999999999992</c:v>
                </c:pt>
                <c:pt idx="17">
                  <c:v>89.851500000000016</c:v>
                </c:pt>
                <c:pt idx="18">
                  <c:v>89.67949999999999</c:v>
                </c:pt>
                <c:pt idx="19">
                  <c:v>89.563000000000002</c:v>
                </c:pt>
                <c:pt idx="20">
                  <c:v>89.424500000000009</c:v>
                </c:pt>
                <c:pt idx="21">
                  <c:v>89.139000000000024</c:v>
                </c:pt>
                <c:pt idx="22">
                  <c:v>88.966500000000025</c:v>
                </c:pt>
                <c:pt idx="23">
                  <c:v>88.90600000000002</c:v>
                </c:pt>
                <c:pt idx="24">
                  <c:v>88.925000000000026</c:v>
                </c:pt>
                <c:pt idx="25">
                  <c:v>89.065000000000026</c:v>
                </c:pt>
                <c:pt idx="26">
                  <c:v>89.146000000000015</c:v>
                </c:pt>
                <c:pt idx="27">
                  <c:v>89.257500000000022</c:v>
                </c:pt>
                <c:pt idx="28">
                  <c:v>89.329500000000024</c:v>
                </c:pt>
                <c:pt idx="29">
                  <c:v>89.32650000000001</c:v>
                </c:pt>
                <c:pt idx="30">
                  <c:v>89.316500000000005</c:v>
                </c:pt>
                <c:pt idx="31">
                  <c:v>89.253500000000003</c:v>
                </c:pt>
                <c:pt idx="32">
                  <c:v>88.994500000000002</c:v>
                </c:pt>
                <c:pt idx="33">
                  <c:v>88.683500000000009</c:v>
                </c:pt>
                <c:pt idx="34">
                  <c:v>88.396000000000001</c:v>
                </c:pt>
                <c:pt idx="35">
                  <c:v>88.154999999999987</c:v>
                </c:pt>
                <c:pt idx="36">
                  <c:v>87.859000000000009</c:v>
                </c:pt>
                <c:pt idx="37">
                  <c:v>87.561499999999995</c:v>
                </c:pt>
                <c:pt idx="38">
                  <c:v>87.212999999999994</c:v>
                </c:pt>
                <c:pt idx="39">
                  <c:v>86.777500000000003</c:v>
                </c:pt>
                <c:pt idx="40">
                  <c:v>86.515500000000003</c:v>
                </c:pt>
                <c:pt idx="41">
                  <c:v>86.476500000000016</c:v>
                </c:pt>
                <c:pt idx="42">
                  <c:v>86.478999999999999</c:v>
                </c:pt>
                <c:pt idx="43">
                  <c:v>86.4435</c:v>
                </c:pt>
                <c:pt idx="44">
                  <c:v>86.318999999999988</c:v>
                </c:pt>
                <c:pt idx="45">
                  <c:v>86.111999999999995</c:v>
                </c:pt>
                <c:pt idx="46">
                  <c:v>85.965999999999994</c:v>
                </c:pt>
                <c:pt idx="47">
                  <c:v>85.756500000000003</c:v>
                </c:pt>
                <c:pt idx="48">
                  <c:v>85.587499999999977</c:v>
                </c:pt>
                <c:pt idx="49">
                  <c:v>85.381999999999977</c:v>
                </c:pt>
                <c:pt idx="50">
                  <c:v>85.287999999999982</c:v>
                </c:pt>
                <c:pt idx="51">
                  <c:v>85.166499999999985</c:v>
                </c:pt>
                <c:pt idx="52">
                  <c:v>85.116500000000002</c:v>
                </c:pt>
                <c:pt idx="53">
                  <c:v>85.111500000000007</c:v>
                </c:pt>
                <c:pt idx="54">
                  <c:v>85.292500000000004</c:v>
                </c:pt>
                <c:pt idx="55">
                  <c:v>85.293500000000009</c:v>
                </c:pt>
                <c:pt idx="56">
                  <c:v>85.419499999999999</c:v>
                </c:pt>
                <c:pt idx="57">
                  <c:v>85.597500000000011</c:v>
                </c:pt>
                <c:pt idx="58">
                  <c:v>85.72399999999999</c:v>
                </c:pt>
                <c:pt idx="59">
                  <c:v>85.791499999999999</c:v>
                </c:pt>
                <c:pt idx="60">
                  <c:v>85.742999999999981</c:v>
                </c:pt>
                <c:pt idx="61">
                  <c:v>85.621499999999997</c:v>
                </c:pt>
                <c:pt idx="62">
                  <c:v>85.44</c:v>
                </c:pt>
                <c:pt idx="63">
                  <c:v>85.210499999999996</c:v>
                </c:pt>
                <c:pt idx="64">
                  <c:v>85.117999999999981</c:v>
                </c:pt>
                <c:pt idx="65">
                  <c:v>85.021499999999975</c:v>
                </c:pt>
                <c:pt idx="66">
                  <c:v>84.844999999999985</c:v>
                </c:pt>
                <c:pt idx="67">
                  <c:v>84.740499999999997</c:v>
                </c:pt>
                <c:pt idx="68">
                  <c:v>84.644499999999994</c:v>
                </c:pt>
                <c:pt idx="69">
                  <c:v>84.625</c:v>
                </c:pt>
                <c:pt idx="70">
                  <c:v>84.466999999999985</c:v>
                </c:pt>
                <c:pt idx="71">
                  <c:v>84.376999999999981</c:v>
                </c:pt>
                <c:pt idx="72">
                  <c:v>84.205999999999989</c:v>
                </c:pt>
                <c:pt idx="73">
                  <c:v>83.918499999999995</c:v>
                </c:pt>
                <c:pt idx="74">
                  <c:v>83.4495</c:v>
                </c:pt>
                <c:pt idx="75">
                  <c:v>83.030499999999989</c:v>
                </c:pt>
                <c:pt idx="76">
                  <c:v>82.623000000000005</c:v>
                </c:pt>
                <c:pt idx="77">
                  <c:v>82.265000000000015</c:v>
                </c:pt>
                <c:pt idx="78">
                  <c:v>81.946500000000015</c:v>
                </c:pt>
                <c:pt idx="79">
                  <c:v>81.742499999999993</c:v>
                </c:pt>
                <c:pt idx="80">
                  <c:v>81.643000000000001</c:v>
                </c:pt>
                <c:pt idx="81">
                  <c:v>81.402999999999992</c:v>
                </c:pt>
                <c:pt idx="82">
                  <c:v>81.131000000000029</c:v>
                </c:pt>
                <c:pt idx="83">
                  <c:v>80.949000000000012</c:v>
                </c:pt>
                <c:pt idx="84">
                  <c:v>80.676500000000004</c:v>
                </c:pt>
                <c:pt idx="85">
                  <c:v>80.435000000000016</c:v>
                </c:pt>
                <c:pt idx="86">
                  <c:v>80.284499999999994</c:v>
                </c:pt>
                <c:pt idx="87">
                  <c:v>80.139499999999984</c:v>
                </c:pt>
                <c:pt idx="88">
                  <c:v>79.853999999999999</c:v>
                </c:pt>
                <c:pt idx="89">
                  <c:v>79.508500000000012</c:v>
                </c:pt>
                <c:pt idx="90">
                  <c:v>79.114499999999992</c:v>
                </c:pt>
                <c:pt idx="91">
                  <c:v>78.688999999999993</c:v>
                </c:pt>
                <c:pt idx="92">
                  <c:v>78.45150000000001</c:v>
                </c:pt>
                <c:pt idx="93">
                  <c:v>78.179000000000002</c:v>
                </c:pt>
                <c:pt idx="94">
                  <c:v>77.856499999999997</c:v>
                </c:pt>
                <c:pt idx="95">
                  <c:v>77.534500000000008</c:v>
                </c:pt>
                <c:pt idx="96">
                  <c:v>77.168000000000006</c:v>
                </c:pt>
                <c:pt idx="97">
                  <c:v>76.674000000000007</c:v>
                </c:pt>
                <c:pt idx="98">
                  <c:v>76.188999999999993</c:v>
                </c:pt>
                <c:pt idx="99">
                  <c:v>75.672500000000014</c:v>
                </c:pt>
                <c:pt idx="100">
                  <c:v>75.126499999999993</c:v>
                </c:pt>
                <c:pt idx="101">
                  <c:v>74.603000000000023</c:v>
                </c:pt>
                <c:pt idx="102">
                  <c:v>74.170000000000016</c:v>
                </c:pt>
                <c:pt idx="103">
                  <c:v>73.778500000000022</c:v>
                </c:pt>
                <c:pt idx="104">
                  <c:v>73.46850000000002</c:v>
                </c:pt>
                <c:pt idx="105">
                  <c:v>73.33550000000001</c:v>
                </c:pt>
                <c:pt idx="106">
                  <c:v>73.268000000000001</c:v>
                </c:pt>
                <c:pt idx="107">
                  <c:v>73.256000000000014</c:v>
                </c:pt>
                <c:pt idx="108">
                  <c:v>73.256000000000014</c:v>
                </c:pt>
                <c:pt idx="109">
                  <c:v>73.256000000000014</c:v>
                </c:pt>
                <c:pt idx="110">
                  <c:v>73.458500000000001</c:v>
                </c:pt>
                <c:pt idx="111">
                  <c:v>73.6995</c:v>
                </c:pt>
                <c:pt idx="112">
                  <c:v>74.024000000000001</c:v>
                </c:pt>
                <c:pt idx="113">
                  <c:v>74.024000000000001</c:v>
                </c:pt>
                <c:pt idx="114">
                  <c:v>74.159000000000006</c:v>
                </c:pt>
                <c:pt idx="115">
                  <c:v>74.265000000000015</c:v>
                </c:pt>
                <c:pt idx="116">
                  <c:v>74.391000000000005</c:v>
                </c:pt>
                <c:pt idx="117">
                  <c:v>74.606500000000011</c:v>
                </c:pt>
                <c:pt idx="118">
                  <c:v>74.615000000000009</c:v>
                </c:pt>
                <c:pt idx="119">
                  <c:v>74.573499999999996</c:v>
                </c:pt>
                <c:pt idx="120">
                  <c:v>74.496999999999986</c:v>
                </c:pt>
                <c:pt idx="121">
                  <c:v>74.378999999999991</c:v>
                </c:pt>
                <c:pt idx="122">
                  <c:v>74.111499999999978</c:v>
                </c:pt>
                <c:pt idx="123">
                  <c:v>73.866500000000002</c:v>
                </c:pt>
                <c:pt idx="124">
                  <c:v>73.658500000000004</c:v>
                </c:pt>
                <c:pt idx="125">
                  <c:v>73.299499999999995</c:v>
                </c:pt>
                <c:pt idx="126">
                  <c:v>72.876000000000005</c:v>
                </c:pt>
                <c:pt idx="127">
                  <c:v>72.450500000000005</c:v>
                </c:pt>
                <c:pt idx="128">
                  <c:v>71.803000000000011</c:v>
                </c:pt>
                <c:pt idx="129">
                  <c:v>71.0595</c:v>
                </c:pt>
                <c:pt idx="130">
                  <c:v>70.392500000000013</c:v>
                </c:pt>
                <c:pt idx="131">
                  <c:v>69.561000000000007</c:v>
                </c:pt>
                <c:pt idx="132">
                  <c:v>68.704000000000008</c:v>
                </c:pt>
                <c:pt idx="133">
                  <c:v>67.783000000000001</c:v>
                </c:pt>
                <c:pt idx="134">
                  <c:v>67.175499999999985</c:v>
                </c:pt>
                <c:pt idx="135">
                  <c:v>66.520999999999987</c:v>
                </c:pt>
                <c:pt idx="136">
                  <c:v>65.843499999999992</c:v>
                </c:pt>
                <c:pt idx="137">
                  <c:v>65.211499999999987</c:v>
                </c:pt>
                <c:pt idx="138">
                  <c:v>64.738499999999988</c:v>
                </c:pt>
                <c:pt idx="139">
                  <c:v>64.309999999999988</c:v>
                </c:pt>
                <c:pt idx="140">
                  <c:v>63.925499999999985</c:v>
                </c:pt>
                <c:pt idx="141">
                  <c:v>63.565999999999988</c:v>
                </c:pt>
                <c:pt idx="142">
                  <c:v>63.215499999999999</c:v>
                </c:pt>
                <c:pt idx="143">
                  <c:v>62.730499999999992</c:v>
                </c:pt>
                <c:pt idx="144">
                  <c:v>62.288500000000013</c:v>
                </c:pt>
                <c:pt idx="145">
                  <c:v>61.945000000000014</c:v>
                </c:pt>
                <c:pt idx="146">
                  <c:v>61.678500000000021</c:v>
                </c:pt>
                <c:pt idx="147">
                  <c:v>61.363</c:v>
                </c:pt>
                <c:pt idx="148">
                  <c:v>60.89950000000001</c:v>
                </c:pt>
                <c:pt idx="149">
                  <c:v>60.4465</c:v>
                </c:pt>
                <c:pt idx="150">
                  <c:v>59.882000000000005</c:v>
                </c:pt>
                <c:pt idx="151">
                  <c:v>59.340999999999994</c:v>
                </c:pt>
                <c:pt idx="152">
                  <c:v>58.811500000000009</c:v>
                </c:pt>
                <c:pt idx="153">
                  <c:v>58.414499999999997</c:v>
                </c:pt>
                <c:pt idx="154">
                  <c:v>58.011499999999998</c:v>
                </c:pt>
                <c:pt idx="155">
                  <c:v>57.652000000000008</c:v>
                </c:pt>
                <c:pt idx="156">
                  <c:v>57.358000000000018</c:v>
                </c:pt>
                <c:pt idx="157">
                  <c:v>56.998500000000014</c:v>
                </c:pt>
                <c:pt idx="158">
                  <c:v>56.733000000000004</c:v>
                </c:pt>
                <c:pt idx="159">
                  <c:v>56.558500000000002</c:v>
                </c:pt>
                <c:pt idx="160">
                  <c:v>56.382000000000005</c:v>
                </c:pt>
                <c:pt idx="161">
                  <c:v>56.318499999999993</c:v>
                </c:pt>
                <c:pt idx="162">
                  <c:v>56.303500000000007</c:v>
                </c:pt>
                <c:pt idx="163">
                  <c:v>56.25</c:v>
                </c:pt>
                <c:pt idx="164">
                  <c:v>56.267500000000005</c:v>
                </c:pt>
                <c:pt idx="165">
                  <c:v>56.23899999999999</c:v>
                </c:pt>
                <c:pt idx="166">
                  <c:v>56.28149999999998</c:v>
                </c:pt>
                <c:pt idx="167">
                  <c:v>56.395000000000003</c:v>
                </c:pt>
                <c:pt idx="168">
                  <c:v>56.80899999999999</c:v>
                </c:pt>
                <c:pt idx="169">
                  <c:v>57.164000000000001</c:v>
                </c:pt>
                <c:pt idx="170">
                  <c:v>57.438999999999986</c:v>
                </c:pt>
                <c:pt idx="171">
                  <c:v>57.777999999999984</c:v>
                </c:pt>
                <c:pt idx="172">
                  <c:v>58.227499999999999</c:v>
                </c:pt>
                <c:pt idx="173">
                  <c:v>58.777999999999984</c:v>
                </c:pt>
                <c:pt idx="174">
                  <c:v>59.129999999999981</c:v>
                </c:pt>
                <c:pt idx="175">
                  <c:v>59.399999999999977</c:v>
                </c:pt>
                <c:pt idx="176">
                  <c:v>59.674499999999988</c:v>
                </c:pt>
                <c:pt idx="177">
                  <c:v>59.674499999999988</c:v>
                </c:pt>
                <c:pt idx="178">
                  <c:v>59.851578947368409</c:v>
                </c:pt>
                <c:pt idx="179">
                  <c:v>59.936842105263153</c:v>
                </c:pt>
                <c:pt idx="180">
                  <c:v>59.807894736842115</c:v>
                </c:pt>
                <c:pt idx="181">
                  <c:v>59.786842105263169</c:v>
                </c:pt>
                <c:pt idx="182">
                  <c:v>59.869473684210526</c:v>
                </c:pt>
                <c:pt idx="183">
                  <c:v>60.126842105263165</c:v>
                </c:pt>
                <c:pt idx="184">
                  <c:v>60.538947368421056</c:v>
                </c:pt>
                <c:pt idx="185">
                  <c:v>60.846842105263157</c:v>
                </c:pt>
                <c:pt idx="186">
                  <c:v>61.528947368421051</c:v>
                </c:pt>
                <c:pt idx="187">
                  <c:v>62.204736842105255</c:v>
                </c:pt>
                <c:pt idx="188">
                  <c:v>62.77210526315789</c:v>
                </c:pt>
                <c:pt idx="189">
                  <c:v>63.44736842105263</c:v>
                </c:pt>
                <c:pt idx="190">
                  <c:v>63.922105263157903</c:v>
                </c:pt>
                <c:pt idx="191">
                  <c:v>64.529473684210529</c:v>
                </c:pt>
                <c:pt idx="192">
                  <c:v>65.011052631578949</c:v>
                </c:pt>
                <c:pt idx="193">
                  <c:v>65.268947368421053</c:v>
                </c:pt>
                <c:pt idx="194">
                  <c:v>65.350000000000023</c:v>
                </c:pt>
                <c:pt idx="195">
                  <c:v>65.55263157894737</c:v>
                </c:pt>
                <c:pt idx="196">
                  <c:v>65.857894736842113</c:v>
                </c:pt>
                <c:pt idx="197">
                  <c:v>66.151578947368421</c:v>
                </c:pt>
                <c:pt idx="198">
                  <c:v>66.133999999999986</c:v>
                </c:pt>
                <c:pt idx="199">
                  <c:v>66.648999999999987</c:v>
                </c:pt>
                <c:pt idx="200">
                  <c:v>67.167000000000002</c:v>
                </c:pt>
                <c:pt idx="201">
                  <c:v>67.882000000000005</c:v>
                </c:pt>
                <c:pt idx="202">
                  <c:v>68.423500000000004</c:v>
                </c:pt>
                <c:pt idx="203">
                  <c:v>68.9375</c:v>
                </c:pt>
                <c:pt idx="204">
                  <c:v>69.281999999999996</c:v>
                </c:pt>
                <c:pt idx="205">
                  <c:v>69.735500000000002</c:v>
                </c:pt>
                <c:pt idx="206">
                  <c:v>69.974999999999994</c:v>
                </c:pt>
                <c:pt idx="207">
                  <c:v>69.972499999999997</c:v>
                </c:pt>
                <c:pt idx="208">
                  <c:v>69.967999999999989</c:v>
                </c:pt>
                <c:pt idx="209">
                  <c:v>69.760499999999979</c:v>
                </c:pt>
                <c:pt idx="210">
                  <c:v>69.703499999999991</c:v>
                </c:pt>
                <c:pt idx="211">
                  <c:v>69.66549999999998</c:v>
                </c:pt>
                <c:pt idx="212">
                  <c:v>69.765499999999975</c:v>
                </c:pt>
                <c:pt idx="213">
                  <c:v>70.157499999999985</c:v>
                </c:pt>
                <c:pt idx="214">
                  <c:v>70.648499999999984</c:v>
                </c:pt>
                <c:pt idx="215">
                  <c:v>71.139499999999998</c:v>
                </c:pt>
                <c:pt idx="216">
                  <c:v>71.523999999999987</c:v>
                </c:pt>
                <c:pt idx="217">
                  <c:v>71.937499999999986</c:v>
                </c:pt>
                <c:pt idx="218">
                  <c:v>72.472999999999999</c:v>
                </c:pt>
                <c:pt idx="219">
                  <c:v>72.742999999999995</c:v>
                </c:pt>
                <c:pt idx="220">
                  <c:v>73.044999999999987</c:v>
                </c:pt>
                <c:pt idx="221">
                  <c:v>73.17049999999999</c:v>
                </c:pt>
                <c:pt idx="222">
                  <c:v>73.281999999999996</c:v>
                </c:pt>
                <c:pt idx="223">
                  <c:v>73.33</c:v>
                </c:pt>
                <c:pt idx="224">
                  <c:v>73.416499999999999</c:v>
                </c:pt>
                <c:pt idx="225">
                  <c:v>73.42049999999999</c:v>
                </c:pt>
                <c:pt idx="226">
                  <c:v>73.315999999999988</c:v>
                </c:pt>
                <c:pt idx="227">
                  <c:v>73.307500000000005</c:v>
                </c:pt>
                <c:pt idx="228">
                  <c:v>73.349500000000006</c:v>
                </c:pt>
                <c:pt idx="229">
                  <c:v>73.365000000000023</c:v>
                </c:pt>
                <c:pt idx="230">
                  <c:v>73.420500000000018</c:v>
                </c:pt>
                <c:pt idx="231">
                  <c:v>73.424500000000009</c:v>
                </c:pt>
                <c:pt idx="232">
                  <c:v>73.325000000000017</c:v>
                </c:pt>
                <c:pt idx="233">
                  <c:v>73.021000000000015</c:v>
                </c:pt>
                <c:pt idx="234">
                  <c:v>72.630000000000024</c:v>
                </c:pt>
                <c:pt idx="235">
                  <c:v>72.333499999999987</c:v>
                </c:pt>
                <c:pt idx="236">
                  <c:v>71.988000000000028</c:v>
                </c:pt>
                <c:pt idx="237">
                  <c:v>71.601500000000001</c:v>
                </c:pt>
                <c:pt idx="238">
                  <c:v>71.153999999999982</c:v>
                </c:pt>
                <c:pt idx="239">
                  <c:v>70.813999999999993</c:v>
                </c:pt>
                <c:pt idx="240">
                  <c:v>70.47799999999998</c:v>
                </c:pt>
                <c:pt idx="241">
                  <c:v>70.04249999999999</c:v>
                </c:pt>
                <c:pt idx="242">
                  <c:v>69.706999999999979</c:v>
                </c:pt>
                <c:pt idx="243">
                  <c:v>69.391999999999982</c:v>
                </c:pt>
                <c:pt idx="244">
                  <c:v>69.309499999999986</c:v>
                </c:pt>
                <c:pt idx="245">
                  <c:v>69.254999999999995</c:v>
                </c:pt>
                <c:pt idx="246">
                  <c:v>69.1875</c:v>
                </c:pt>
                <c:pt idx="247">
                  <c:v>69.133999999999986</c:v>
                </c:pt>
                <c:pt idx="248">
                  <c:v>69.04049999999998</c:v>
                </c:pt>
                <c:pt idx="249">
                  <c:v>68.945999999999998</c:v>
                </c:pt>
                <c:pt idx="250">
                  <c:v>68.829000000000008</c:v>
                </c:pt>
                <c:pt idx="251">
                  <c:v>68.711500000000001</c:v>
                </c:pt>
                <c:pt idx="252">
                  <c:v>68.752499999999984</c:v>
                </c:pt>
                <c:pt idx="253">
                  <c:v>68.723499999999973</c:v>
                </c:pt>
                <c:pt idx="254">
                  <c:v>68.70150000000001</c:v>
                </c:pt>
                <c:pt idx="255">
                  <c:v>68.485500000000002</c:v>
                </c:pt>
                <c:pt idx="256">
                  <c:v>68.331499999999977</c:v>
                </c:pt>
                <c:pt idx="257">
                  <c:v>68.228999999999999</c:v>
                </c:pt>
                <c:pt idx="258">
                  <c:v>68.090499999999992</c:v>
                </c:pt>
                <c:pt idx="259">
                  <c:v>67.989999999999995</c:v>
                </c:pt>
                <c:pt idx="260">
                  <c:v>68.073499999999996</c:v>
                </c:pt>
                <c:pt idx="261">
                  <c:v>68.102999999999994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0-4910-9F61-D4A6CA1D7204}"/>
            </c:ext>
          </c:extLst>
        </c:ser>
        <c:ser>
          <c:idx val="1"/>
          <c:order val="1"/>
          <c:tx>
            <c:v>MA50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MA!$K$1:$K$265</c:f>
              <c:numCache>
                <c:formatCode>m/d/yyyy</c:formatCode>
                <c:ptCount val="265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45138</c:v>
                </c:pt>
                <c:pt idx="4">
                  <c:v>45139</c:v>
                </c:pt>
                <c:pt idx="5">
                  <c:v>45140</c:v>
                </c:pt>
                <c:pt idx="6">
                  <c:v>45141</c:v>
                </c:pt>
                <c:pt idx="7">
                  <c:v>45142</c:v>
                </c:pt>
                <c:pt idx="8">
                  <c:v>45145</c:v>
                </c:pt>
                <c:pt idx="9">
                  <c:v>45146</c:v>
                </c:pt>
                <c:pt idx="10">
                  <c:v>45147</c:v>
                </c:pt>
                <c:pt idx="11">
                  <c:v>45148</c:v>
                </c:pt>
                <c:pt idx="12">
                  <c:v>45149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45159</c:v>
                </c:pt>
                <c:pt idx="19">
                  <c:v>45160</c:v>
                </c:pt>
                <c:pt idx="20">
                  <c:v>45161</c:v>
                </c:pt>
                <c:pt idx="21">
                  <c:v>45162</c:v>
                </c:pt>
                <c:pt idx="22">
                  <c:v>45163</c:v>
                </c:pt>
                <c:pt idx="23">
                  <c:v>45166</c:v>
                </c:pt>
                <c:pt idx="24">
                  <c:v>45167</c:v>
                </c:pt>
                <c:pt idx="25">
                  <c:v>45168</c:v>
                </c:pt>
                <c:pt idx="26">
                  <c:v>45169</c:v>
                </c:pt>
                <c:pt idx="27">
                  <c:v>45170</c:v>
                </c:pt>
                <c:pt idx="28">
                  <c:v>45173</c:v>
                </c:pt>
                <c:pt idx="29">
                  <c:v>45174</c:v>
                </c:pt>
                <c:pt idx="30">
                  <c:v>45175</c:v>
                </c:pt>
                <c:pt idx="31">
                  <c:v>45176</c:v>
                </c:pt>
                <c:pt idx="32">
                  <c:v>45177</c:v>
                </c:pt>
                <c:pt idx="33">
                  <c:v>45180</c:v>
                </c:pt>
                <c:pt idx="34">
                  <c:v>45181</c:v>
                </c:pt>
                <c:pt idx="35">
                  <c:v>45182</c:v>
                </c:pt>
                <c:pt idx="36">
                  <c:v>45183</c:v>
                </c:pt>
                <c:pt idx="37">
                  <c:v>45184</c:v>
                </c:pt>
                <c:pt idx="38">
                  <c:v>45187</c:v>
                </c:pt>
                <c:pt idx="39">
                  <c:v>45188</c:v>
                </c:pt>
                <c:pt idx="40">
                  <c:v>45189</c:v>
                </c:pt>
                <c:pt idx="41">
                  <c:v>45190</c:v>
                </c:pt>
                <c:pt idx="42">
                  <c:v>45191</c:v>
                </c:pt>
                <c:pt idx="43">
                  <c:v>45194</c:v>
                </c:pt>
                <c:pt idx="44">
                  <c:v>45195</c:v>
                </c:pt>
                <c:pt idx="45">
                  <c:v>45196</c:v>
                </c:pt>
                <c:pt idx="46">
                  <c:v>45197</c:v>
                </c:pt>
                <c:pt idx="47">
                  <c:v>45198</c:v>
                </c:pt>
                <c:pt idx="48">
                  <c:v>45201</c:v>
                </c:pt>
                <c:pt idx="49">
                  <c:v>45202</c:v>
                </c:pt>
                <c:pt idx="50">
                  <c:v>45203</c:v>
                </c:pt>
                <c:pt idx="51">
                  <c:v>45204</c:v>
                </c:pt>
                <c:pt idx="52">
                  <c:v>45205</c:v>
                </c:pt>
                <c:pt idx="53">
                  <c:v>45208</c:v>
                </c:pt>
                <c:pt idx="54">
                  <c:v>45209</c:v>
                </c:pt>
                <c:pt idx="55">
                  <c:v>45210</c:v>
                </c:pt>
                <c:pt idx="56">
                  <c:v>45211</c:v>
                </c:pt>
                <c:pt idx="57">
                  <c:v>45212</c:v>
                </c:pt>
                <c:pt idx="58">
                  <c:v>45215</c:v>
                </c:pt>
                <c:pt idx="59">
                  <c:v>45216</c:v>
                </c:pt>
                <c:pt idx="60">
                  <c:v>45217</c:v>
                </c:pt>
                <c:pt idx="61">
                  <c:v>45218</c:v>
                </c:pt>
                <c:pt idx="62">
                  <c:v>45219</c:v>
                </c:pt>
                <c:pt idx="63">
                  <c:v>45222</c:v>
                </c:pt>
                <c:pt idx="64">
                  <c:v>45223</c:v>
                </c:pt>
                <c:pt idx="65">
                  <c:v>45224</c:v>
                </c:pt>
                <c:pt idx="66">
                  <c:v>45225</c:v>
                </c:pt>
                <c:pt idx="67">
                  <c:v>45226</c:v>
                </c:pt>
                <c:pt idx="68">
                  <c:v>45229</c:v>
                </c:pt>
                <c:pt idx="69">
                  <c:v>45230</c:v>
                </c:pt>
                <c:pt idx="70">
                  <c:v>45231</c:v>
                </c:pt>
                <c:pt idx="71">
                  <c:v>45232</c:v>
                </c:pt>
                <c:pt idx="72">
                  <c:v>45233</c:v>
                </c:pt>
                <c:pt idx="73">
                  <c:v>45236</c:v>
                </c:pt>
                <c:pt idx="74">
                  <c:v>45237</c:v>
                </c:pt>
                <c:pt idx="75">
                  <c:v>45238</c:v>
                </c:pt>
                <c:pt idx="76">
                  <c:v>45239</c:v>
                </c:pt>
                <c:pt idx="77">
                  <c:v>45240</c:v>
                </c:pt>
                <c:pt idx="78">
                  <c:v>45243</c:v>
                </c:pt>
                <c:pt idx="79">
                  <c:v>45244</c:v>
                </c:pt>
                <c:pt idx="80">
                  <c:v>45245</c:v>
                </c:pt>
                <c:pt idx="81">
                  <c:v>45246</c:v>
                </c:pt>
                <c:pt idx="82">
                  <c:v>45247</c:v>
                </c:pt>
                <c:pt idx="83">
                  <c:v>45250</c:v>
                </c:pt>
                <c:pt idx="84">
                  <c:v>45251</c:v>
                </c:pt>
                <c:pt idx="85">
                  <c:v>45252</c:v>
                </c:pt>
                <c:pt idx="86">
                  <c:v>45253</c:v>
                </c:pt>
                <c:pt idx="87">
                  <c:v>45254</c:v>
                </c:pt>
                <c:pt idx="88">
                  <c:v>45257</c:v>
                </c:pt>
                <c:pt idx="89">
                  <c:v>45258</c:v>
                </c:pt>
                <c:pt idx="90">
                  <c:v>45259</c:v>
                </c:pt>
                <c:pt idx="91">
                  <c:v>45260</c:v>
                </c:pt>
                <c:pt idx="92">
                  <c:v>45261</c:v>
                </c:pt>
                <c:pt idx="93">
                  <c:v>45264</c:v>
                </c:pt>
                <c:pt idx="94">
                  <c:v>45265</c:v>
                </c:pt>
                <c:pt idx="95">
                  <c:v>45266</c:v>
                </c:pt>
                <c:pt idx="96">
                  <c:v>45267</c:v>
                </c:pt>
                <c:pt idx="97">
                  <c:v>45268</c:v>
                </c:pt>
                <c:pt idx="98">
                  <c:v>45271</c:v>
                </c:pt>
                <c:pt idx="99">
                  <c:v>45272</c:v>
                </c:pt>
                <c:pt idx="100">
                  <c:v>45273</c:v>
                </c:pt>
                <c:pt idx="101">
                  <c:v>45274</c:v>
                </c:pt>
                <c:pt idx="102">
                  <c:v>45275</c:v>
                </c:pt>
                <c:pt idx="103">
                  <c:v>45278</c:v>
                </c:pt>
                <c:pt idx="104">
                  <c:v>45279</c:v>
                </c:pt>
                <c:pt idx="105">
                  <c:v>45280</c:v>
                </c:pt>
                <c:pt idx="106">
                  <c:v>45281</c:v>
                </c:pt>
                <c:pt idx="107">
                  <c:v>45282</c:v>
                </c:pt>
                <c:pt idx="108">
                  <c:v>45285</c:v>
                </c:pt>
                <c:pt idx="109">
                  <c:v>45286</c:v>
                </c:pt>
                <c:pt idx="110">
                  <c:v>45287</c:v>
                </c:pt>
                <c:pt idx="111">
                  <c:v>45288</c:v>
                </c:pt>
                <c:pt idx="112">
                  <c:v>45289</c:v>
                </c:pt>
                <c:pt idx="113">
                  <c:v>45292</c:v>
                </c:pt>
                <c:pt idx="114">
                  <c:v>45293</c:v>
                </c:pt>
                <c:pt idx="115">
                  <c:v>45294</c:v>
                </c:pt>
                <c:pt idx="116">
                  <c:v>45295</c:v>
                </c:pt>
                <c:pt idx="117">
                  <c:v>45296</c:v>
                </c:pt>
                <c:pt idx="118">
                  <c:v>45299</c:v>
                </c:pt>
                <c:pt idx="119">
                  <c:v>45300</c:v>
                </c:pt>
                <c:pt idx="120">
                  <c:v>45301</c:v>
                </c:pt>
                <c:pt idx="121">
                  <c:v>45302</c:v>
                </c:pt>
                <c:pt idx="122">
                  <c:v>45303</c:v>
                </c:pt>
                <c:pt idx="123">
                  <c:v>45306</c:v>
                </c:pt>
                <c:pt idx="124">
                  <c:v>45307</c:v>
                </c:pt>
                <c:pt idx="125">
                  <c:v>45308</c:v>
                </c:pt>
                <c:pt idx="126">
                  <c:v>45309</c:v>
                </c:pt>
                <c:pt idx="127">
                  <c:v>45310</c:v>
                </c:pt>
                <c:pt idx="128">
                  <c:v>45313</c:v>
                </c:pt>
                <c:pt idx="129">
                  <c:v>45314</c:v>
                </c:pt>
                <c:pt idx="130">
                  <c:v>45315</c:v>
                </c:pt>
                <c:pt idx="131">
                  <c:v>45316</c:v>
                </c:pt>
                <c:pt idx="132">
                  <c:v>45317</c:v>
                </c:pt>
                <c:pt idx="133">
                  <c:v>45320</c:v>
                </c:pt>
                <c:pt idx="134">
                  <c:v>45321</c:v>
                </c:pt>
                <c:pt idx="135">
                  <c:v>45322</c:v>
                </c:pt>
                <c:pt idx="136">
                  <c:v>45323</c:v>
                </c:pt>
                <c:pt idx="137">
                  <c:v>45324</c:v>
                </c:pt>
                <c:pt idx="138">
                  <c:v>45327</c:v>
                </c:pt>
                <c:pt idx="139">
                  <c:v>45328</c:v>
                </c:pt>
                <c:pt idx="140">
                  <c:v>45329</c:v>
                </c:pt>
                <c:pt idx="141">
                  <c:v>45330</c:v>
                </c:pt>
                <c:pt idx="142">
                  <c:v>45331</c:v>
                </c:pt>
                <c:pt idx="143">
                  <c:v>45334</c:v>
                </c:pt>
                <c:pt idx="144">
                  <c:v>45335</c:v>
                </c:pt>
                <c:pt idx="145">
                  <c:v>45336</c:v>
                </c:pt>
                <c:pt idx="146">
                  <c:v>45337</c:v>
                </c:pt>
                <c:pt idx="147">
                  <c:v>45338</c:v>
                </c:pt>
                <c:pt idx="148">
                  <c:v>45341</c:v>
                </c:pt>
                <c:pt idx="149">
                  <c:v>45342</c:v>
                </c:pt>
                <c:pt idx="150">
                  <c:v>45343</c:v>
                </c:pt>
                <c:pt idx="151">
                  <c:v>45344</c:v>
                </c:pt>
                <c:pt idx="152">
                  <c:v>45345</c:v>
                </c:pt>
                <c:pt idx="153">
                  <c:v>45348</c:v>
                </c:pt>
                <c:pt idx="154">
                  <c:v>45349</c:v>
                </c:pt>
                <c:pt idx="155">
                  <c:v>45350</c:v>
                </c:pt>
                <c:pt idx="156">
                  <c:v>45351</c:v>
                </c:pt>
                <c:pt idx="157">
                  <c:v>45352</c:v>
                </c:pt>
                <c:pt idx="158">
                  <c:v>45355</c:v>
                </c:pt>
                <c:pt idx="159">
                  <c:v>45356</c:v>
                </c:pt>
                <c:pt idx="160">
                  <c:v>45357</c:v>
                </c:pt>
                <c:pt idx="161">
                  <c:v>45358</c:v>
                </c:pt>
                <c:pt idx="162">
                  <c:v>45359</c:v>
                </c:pt>
                <c:pt idx="163">
                  <c:v>45362</c:v>
                </c:pt>
                <c:pt idx="164">
                  <c:v>45363</c:v>
                </c:pt>
                <c:pt idx="165">
                  <c:v>45364</c:v>
                </c:pt>
                <c:pt idx="166">
                  <c:v>45365</c:v>
                </c:pt>
                <c:pt idx="167">
                  <c:v>45366</c:v>
                </c:pt>
                <c:pt idx="168">
                  <c:v>45369</c:v>
                </c:pt>
                <c:pt idx="169">
                  <c:v>45370</c:v>
                </c:pt>
                <c:pt idx="170">
                  <c:v>45371</c:v>
                </c:pt>
                <c:pt idx="171">
                  <c:v>45372</c:v>
                </c:pt>
                <c:pt idx="172">
                  <c:v>45373</c:v>
                </c:pt>
                <c:pt idx="173">
                  <c:v>45376</c:v>
                </c:pt>
                <c:pt idx="174">
                  <c:v>45377</c:v>
                </c:pt>
                <c:pt idx="175">
                  <c:v>45378</c:v>
                </c:pt>
                <c:pt idx="176">
                  <c:v>45379</c:v>
                </c:pt>
                <c:pt idx="177">
                  <c:v>45380</c:v>
                </c:pt>
                <c:pt idx="178">
                  <c:v>45383</c:v>
                </c:pt>
                <c:pt idx="179">
                  <c:v>45384</c:v>
                </c:pt>
                <c:pt idx="180">
                  <c:v>45385</c:v>
                </c:pt>
                <c:pt idx="181">
                  <c:v>45386</c:v>
                </c:pt>
                <c:pt idx="182">
                  <c:v>45387</c:v>
                </c:pt>
                <c:pt idx="183">
                  <c:v>45390</c:v>
                </c:pt>
                <c:pt idx="184">
                  <c:v>45391</c:v>
                </c:pt>
                <c:pt idx="185">
                  <c:v>45392</c:v>
                </c:pt>
                <c:pt idx="186">
                  <c:v>45393</c:v>
                </c:pt>
                <c:pt idx="187">
                  <c:v>45394</c:v>
                </c:pt>
                <c:pt idx="188">
                  <c:v>45397</c:v>
                </c:pt>
                <c:pt idx="189">
                  <c:v>45398</c:v>
                </c:pt>
                <c:pt idx="190">
                  <c:v>45399</c:v>
                </c:pt>
                <c:pt idx="191">
                  <c:v>45400</c:v>
                </c:pt>
                <c:pt idx="192">
                  <c:v>45401</c:v>
                </c:pt>
                <c:pt idx="193">
                  <c:v>45404</c:v>
                </c:pt>
                <c:pt idx="194">
                  <c:v>45405</c:v>
                </c:pt>
                <c:pt idx="195">
                  <c:v>45406</c:v>
                </c:pt>
                <c:pt idx="196">
                  <c:v>45407</c:v>
                </c:pt>
                <c:pt idx="197">
                  <c:v>45408</c:v>
                </c:pt>
                <c:pt idx="198">
                  <c:v>45411</c:v>
                </c:pt>
                <c:pt idx="199">
                  <c:v>45412</c:v>
                </c:pt>
                <c:pt idx="200">
                  <c:v>45413</c:v>
                </c:pt>
                <c:pt idx="201">
                  <c:v>45414</c:v>
                </c:pt>
                <c:pt idx="202">
                  <c:v>45415</c:v>
                </c:pt>
                <c:pt idx="203">
                  <c:v>45418</c:v>
                </c:pt>
                <c:pt idx="204">
                  <c:v>45419</c:v>
                </c:pt>
                <c:pt idx="205">
                  <c:v>45420</c:v>
                </c:pt>
                <c:pt idx="206">
                  <c:v>45421</c:v>
                </c:pt>
                <c:pt idx="207">
                  <c:v>45422</c:v>
                </c:pt>
                <c:pt idx="208">
                  <c:v>45425</c:v>
                </c:pt>
                <c:pt idx="209">
                  <c:v>45426</c:v>
                </c:pt>
                <c:pt idx="210">
                  <c:v>45427</c:v>
                </c:pt>
                <c:pt idx="211">
                  <c:v>45428</c:v>
                </c:pt>
                <c:pt idx="212">
                  <c:v>45429</c:v>
                </c:pt>
                <c:pt idx="213">
                  <c:v>45432</c:v>
                </c:pt>
                <c:pt idx="214">
                  <c:v>45433</c:v>
                </c:pt>
                <c:pt idx="215">
                  <c:v>45434</c:v>
                </c:pt>
                <c:pt idx="216">
                  <c:v>45435</c:v>
                </c:pt>
                <c:pt idx="217">
                  <c:v>45436</c:v>
                </c:pt>
                <c:pt idx="218">
                  <c:v>45439</c:v>
                </c:pt>
                <c:pt idx="219">
                  <c:v>45440</c:v>
                </c:pt>
                <c:pt idx="220">
                  <c:v>45441</c:v>
                </c:pt>
                <c:pt idx="221">
                  <c:v>45442</c:v>
                </c:pt>
                <c:pt idx="222">
                  <c:v>45443</c:v>
                </c:pt>
                <c:pt idx="223">
                  <c:v>45446</c:v>
                </c:pt>
                <c:pt idx="224">
                  <c:v>45447</c:v>
                </c:pt>
                <c:pt idx="225">
                  <c:v>45448</c:v>
                </c:pt>
                <c:pt idx="226">
                  <c:v>45449</c:v>
                </c:pt>
                <c:pt idx="227">
                  <c:v>45450</c:v>
                </c:pt>
                <c:pt idx="228">
                  <c:v>45453</c:v>
                </c:pt>
                <c:pt idx="229">
                  <c:v>45454</c:v>
                </c:pt>
                <c:pt idx="230">
                  <c:v>45455</c:v>
                </c:pt>
                <c:pt idx="231">
                  <c:v>45456</c:v>
                </c:pt>
                <c:pt idx="232">
                  <c:v>45457</c:v>
                </c:pt>
                <c:pt idx="233">
                  <c:v>45460</c:v>
                </c:pt>
                <c:pt idx="234">
                  <c:v>45461</c:v>
                </c:pt>
                <c:pt idx="235">
                  <c:v>45462</c:v>
                </c:pt>
                <c:pt idx="236">
                  <c:v>45463</c:v>
                </c:pt>
                <c:pt idx="237">
                  <c:v>45464</c:v>
                </c:pt>
                <c:pt idx="238">
                  <c:v>45467</c:v>
                </c:pt>
                <c:pt idx="239">
                  <c:v>45468</c:v>
                </c:pt>
                <c:pt idx="240">
                  <c:v>45469</c:v>
                </c:pt>
                <c:pt idx="241">
                  <c:v>45470</c:v>
                </c:pt>
                <c:pt idx="242">
                  <c:v>45471</c:v>
                </c:pt>
                <c:pt idx="243">
                  <c:v>45474</c:v>
                </c:pt>
                <c:pt idx="244">
                  <c:v>45475</c:v>
                </c:pt>
                <c:pt idx="245">
                  <c:v>45476</c:v>
                </c:pt>
                <c:pt idx="246">
                  <c:v>45477</c:v>
                </c:pt>
                <c:pt idx="247">
                  <c:v>45478</c:v>
                </c:pt>
                <c:pt idx="248">
                  <c:v>45481</c:v>
                </c:pt>
                <c:pt idx="249">
                  <c:v>45482</c:v>
                </c:pt>
                <c:pt idx="250">
                  <c:v>45483</c:v>
                </c:pt>
                <c:pt idx="251">
                  <c:v>45484</c:v>
                </c:pt>
                <c:pt idx="252">
                  <c:v>45485</c:v>
                </c:pt>
                <c:pt idx="253">
                  <c:v>45488</c:v>
                </c:pt>
                <c:pt idx="254">
                  <c:v>45489</c:v>
                </c:pt>
                <c:pt idx="255">
                  <c:v>45490</c:v>
                </c:pt>
                <c:pt idx="256">
                  <c:v>45491</c:v>
                </c:pt>
                <c:pt idx="257">
                  <c:v>45492</c:v>
                </c:pt>
                <c:pt idx="258">
                  <c:v>45495</c:v>
                </c:pt>
                <c:pt idx="259">
                  <c:v>45496</c:v>
                </c:pt>
                <c:pt idx="260">
                  <c:v>45497</c:v>
                </c:pt>
                <c:pt idx="261">
                  <c:v>45498</c:v>
                </c:pt>
              </c:numCache>
            </c:numRef>
          </c:cat>
          <c:val>
            <c:numRef>
              <c:f>MA!$H$1:$H$265</c:f>
              <c:numCache>
                <c:formatCode>General</c:formatCode>
                <c:ptCount val="265"/>
                <c:pt idx="0">
                  <c:v>90.20059999999998</c:v>
                </c:pt>
                <c:pt idx="1">
                  <c:v>90.225999999999985</c:v>
                </c:pt>
                <c:pt idx="2">
                  <c:v>90.211399999999998</c:v>
                </c:pt>
                <c:pt idx="3">
                  <c:v>90.20259999999999</c:v>
                </c:pt>
                <c:pt idx="4">
                  <c:v>90.178999999999974</c:v>
                </c:pt>
                <c:pt idx="5">
                  <c:v>90.147199999999998</c:v>
                </c:pt>
                <c:pt idx="6">
                  <c:v>90.182799999999986</c:v>
                </c:pt>
                <c:pt idx="7">
                  <c:v>90.188400000000001</c:v>
                </c:pt>
                <c:pt idx="8">
                  <c:v>90.18119999999999</c:v>
                </c:pt>
                <c:pt idx="9">
                  <c:v>90.253000000000014</c:v>
                </c:pt>
                <c:pt idx="10">
                  <c:v>90.315600000000018</c:v>
                </c:pt>
                <c:pt idx="11">
                  <c:v>90.427600000000027</c:v>
                </c:pt>
                <c:pt idx="12">
                  <c:v>90.593200000000039</c:v>
                </c:pt>
                <c:pt idx="13">
                  <c:v>90.694999999999993</c:v>
                </c:pt>
                <c:pt idx="14">
                  <c:v>90.799599999999998</c:v>
                </c:pt>
                <c:pt idx="15">
                  <c:v>90.893999999999991</c:v>
                </c:pt>
                <c:pt idx="16">
                  <c:v>91.003999999999991</c:v>
                </c:pt>
                <c:pt idx="17">
                  <c:v>91.042200000000008</c:v>
                </c:pt>
                <c:pt idx="18">
                  <c:v>91.034800000000018</c:v>
                </c:pt>
                <c:pt idx="19">
                  <c:v>91.020600000000016</c:v>
                </c:pt>
                <c:pt idx="20">
                  <c:v>90.908200000000022</c:v>
                </c:pt>
                <c:pt idx="21">
                  <c:v>90.753800000000012</c:v>
                </c:pt>
                <c:pt idx="22">
                  <c:v>90.620400000000004</c:v>
                </c:pt>
                <c:pt idx="23">
                  <c:v>90.467800000000011</c:v>
                </c:pt>
                <c:pt idx="24">
                  <c:v>90.277599999999978</c:v>
                </c:pt>
                <c:pt idx="25">
                  <c:v>90.18059999999997</c:v>
                </c:pt>
                <c:pt idx="26">
                  <c:v>90.0822</c:v>
                </c:pt>
                <c:pt idx="27">
                  <c:v>90.043999999999997</c:v>
                </c:pt>
                <c:pt idx="28">
                  <c:v>89.995800000000003</c:v>
                </c:pt>
                <c:pt idx="29">
                  <c:v>89.892199999999974</c:v>
                </c:pt>
                <c:pt idx="30">
                  <c:v>89.801999999999964</c:v>
                </c:pt>
                <c:pt idx="31">
                  <c:v>89.705199999999991</c:v>
                </c:pt>
                <c:pt idx="32">
                  <c:v>89.546199999999985</c:v>
                </c:pt>
                <c:pt idx="33">
                  <c:v>89.429199999999966</c:v>
                </c:pt>
                <c:pt idx="34">
                  <c:v>89.297799999999967</c:v>
                </c:pt>
                <c:pt idx="35">
                  <c:v>89.256799999999984</c:v>
                </c:pt>
                <c:pt idx="36">
                  <c:v>89.18959999999997</c:v>
                </c:pt>
                <c:pt idx="37">
                  <c:v>89.10860000000001</c:v>
                </c:pt>
                <c:pt idx="38">
                  <c:v>89.000999999999991</c:v>
                </c:pt>
                <c:pt idx="39">
                  <c:v>88.88600000000001</c:v>
                </c:pt>
                <c:pt idx="40">
                  <c:v>88.824600000000004</c:v>
                </c:pt>
                <c:pt idx="41">
                  <c:v>88.795600000000007</c:v>
                </c:pt>
                <c:pt idx="42">
                  <c:v>88.774600000000007</c:v>
                </c:pt>
                <c:pt idx="43">
                  <c:v>88.736800000000017</c:v>
                </c:pt>
                <c:pt idx="44">
                  <c:v>88.623400000000004</c:v>
                </c:pt>
                <c:pt idx="45">
                  <c:v>88.481000000000009</c:v>
                </c:pt>
                <c:pt idx="46">
                  <c:v>88.326399999999992</c:v>
                </c:pt>
                <c:pt idx="47">
                  <c:v>88.119</c:v>
                </c:pt>
                <c:pt idx="48">
                  <c:v>87.907199999999975</c:v>
                </c:pt>
                <c:pt idx="49">
                  <c:v>87.656399999999977</c:v>
                </c:pt>
                <c:pt idx="50">
                  <c:v>87.477400000000003</c:v>
                </c:pt>
                <c:pt idx="51">
                  <c:v>87.276199999999989</c:v>
                </c:pt>
                <c:pt idx="52">
                  <c:v>87.114599999999996</c:v>
                </c:pt>
                <c:pt idx="53">
                  <c:v>87.010999999999981</c:v>
                </c:pt>
                <c:pt idx="54">
                  <c:v>87.01339999999999</c:v>
                </c:pt>
                <c:pt idx="55">
                  <c:v>87.024999999999977</c:v>
                </c:pt>
                <c:pt idx="56">
                  <c:v>87.045799999999986</c:v>
                </c:pt>
                <c:pt idx="57">
                  <c:v>87.090799999999987</c:v>
                </c:pt>
                <c:pt idx="58">
                  <c:v>87.106199999999973</c:v>
                </c:pt>
                <c:pt idx="59">
                  <c:v>87.079799999999977</c:v>
                </c:pt>
                <c:pt idx="60">
                  <c:v>87.037599999999983</c:v>
                </c:pt>
                <c:pt idx="61">
                  <c:v>86.986599999999967</c:v>
                </c:pt>
                <c:pt idx="62">
                  <c:v>86.883999999999972</c:v>
                </c:pt>
                <c:pt idx="63">
                  <c:v>86.73099999999998</c:v>
                </c:pt>
                <c:pt idx="64">
                  <c:v>86.606799999999978</c:v>
                </c:pt>
                <c:pt idx="65">
                  <c:v>86.433799999999977</c:v>
                </c:pt>
                <c:pt idx="66">
                  <c:v>86.24839999999999</c:v>
                </c:pt>
                <c:pt idx="67">
                  <c:v>86.07459999999999</c:v>
                </c:pt>
                <c:pt idx="68">
                  <c:v>85.893199999999965</c:v>
                </c:pt>
                <c:pt idx="69">
                  <c:v>85.681199999999976</c:v>
                </c:pt>
                <c:pt idx="70">
                  <c:v>85.494399999999985</c:v>
                </c:pt>
                <c:pt idx="71">
                  <c:v>85.37139999999998</c:v>
                </c:pt>
                <c:pt idx="72">
                  <c:v>85.210399999999979</c:v>
                </c:pt>
                <c:pt idx="73">
                  <c:v>85.015999999999963</c:v>
                </c:pt>
                <c:pt idx="74">
                  <c:v>84.823199999999986</c:v>
                </c:pt>
                <c:pt idx="75">
                  <c:v>84.611199999999968</c:v>
                </c:pt>
                <c:pt idx="76">
                  <c:v>84.436599999999984</c:v>
                </c:pt>
                <c:pt idx="77">
                  <c:v>84.29379999999999</c:v>
                </c:pt>
                <c:pt idx="78">
                  <c:v>84.152999999999992</c:v>
                </c:pt>
                <c:pt idx="79">
                  <c:v>84.04619999999997</c:v>
                </c:pt>
                <c:pt idx="80">
                  <c:v>83.968199999999982</c:v>
                </c:pt>
                <c:pt idx="81">
                  <c:v>83.846399999999988</c:v>
                </c:pt>
                <c:pt idx="82">
                  <c:v>83.738599999999991</c:v>
                </c:pt>
                <c:pt idx="83">
                  <c:v>83.637199999999993</c:v>
                </c:pt>
                <c:pt idx="84">
                  <c:v>83.518999999999991</c:v>
                </c:pt>
                <c:pt idx="85">
                  <c:v>83.345799999999997</c:v>
                </c:pt>
                <c:pt idx="86">
                  <c:v>83.218599999999981</c:v>
                </c:pt>
                <c:pt idx="87">
                  <c:v>83.105799999999988</c:v>
                </c:pt>
                <c:pt idx="88">
                  <c:v>82.949599999999975</c:v>
                </c:pt>
                <c:pt idx="89">
                  <c:v>82.773599999999988</c:v>
                </c:pt>
                <c:pt idx="90">
                  <c:v>82.533999999999963</c:v>
                </c:pt>
                <c:pt idx="91">
                  <c:v>82.256399999999999</c:v>
                </c:pt>
                <c:pt idx="92">
                  <c:v>81.99939999999998</c:v>
                </c:pt>
                <c:pt idx="93">
                  <c:v>81.710199999999972</c:v>
                </c:pt>
                <c:pt idx="94">
                  <c:v>81.438199999999966</c:v>
                </c:pt>
                <c:pt idx="95">
                  <c:v>81.180199999999957</c:v>
                </c:pt>
                <c:pt idx="96">
                  <c:v>80.917399999999972</c:v>
                </c:pt>
                <c:pt idx="97">
                  <c:v>80.660799999999981</c:v>
                </c:pt>
                <c:pt idx="98">
                  <c:v>80.393599999999992</c:v>
                </c:pt>
                <c:pt idx="99">
                  <c:v>80.162399999999991</c:v>
                </c:pt>
                <c:pt idx="100">
                  <c:v>79.903599999999983</c:v>
                </c:pt>
                <c:pt idx="101">
                  <c:v>79.620999999999967</c:v>
                </c:pt>
                <c:pt idx="102">
                  <c:v>79.359999999999971</c:v>
                </c:pt>
                <c:pt idx="103">
                  <c:v>79.103999999999971</c:v>
                </c:pt>
                <c:pt idx="104">
                  <c:v>78.789399999999972</c:v>
                </c:pt>
                <c:pt idx="105">
                  <c:v>78.562599999999975</c:v>
                </c:pt>
                <c:pt idx="106">
                  <c:v>78.35799999999999</c:v>
                </c:pt>
                <c:pt idx="107">
                  <c:v>78.169199999999989</c:v>
                </c:pt>
                <c:pt idx="108">
                  <c:v>78.169199999999989</c:v>
                </c:pt>
                <c:pt idx="109">
                  <c:v>78.169199999999989</c:v>
                </c:pt>
                <c:pt idx="110">
                  <c:v>78.043399999999977</c:v>
                </c:pt>
                <c:pt idx="111">
                  <c:v>77.936799999999963</c:v>
                </c:pt>
                <c:pt idx="112">
                  <c:v>77.846399999999974</c:v>
                </c:pt>
                <c:pt idx="113">
                  <c:v>77.846399999999974</c:v>
                </c:pt>
                <c:pt idx="114">
                  <c:v>77.671399999999977</c:v>
                </c:pt>
                <c:pt idx="115">
                  <c:v>77.529399999999981</c:v>
                </c:pt>
                <c:pt idx="116">
                  <c:v>77.382399999999976</c:v>
                </c:pt>
                <c:pt idx="117">
                  <c:v>77.233599999999967</c:v>
                </c:pt>
                <c:pt idx="118">
                  <c:v>77.017599999999987</c:v>
                </c:pt>
                <c:pt idx="119">
                  <c:v>76.808799999999977</c:v>
                </c:pt>
                <c:pt idx="120">
                  <c:v>76.563399999999987</c:v>
                </c:pt>
                <c:pt idx="121">
                  <c:v>76.287399999999991</c:v>
                </c:pt>
                <c:pt idx="122">
                  <c:v>75.956999999999994</c:v>
                </c:pt>
                <c:pt idx="123">
                  <c:v>75.663399999999996</c:v>
                </c:pt>
                <c:pt idx="124">
                  <c:v>75.33359999999999</c:v>
                </c:pt>
                <c:pt idx="125">
                  <c:v>74.997399999999985</c:v>
                </c:pt>
                <c:pt idx="126">
                  <c:v>74.686999999999983</c:v>
                </c:pt>
                <c:pt idx="127">
                  <c:v>74.38979999999998</c:v>
                </c:pt>
                <c:pt idx="128">
                  <c:v>74.071599999999989</c:v>
                </c:pt>
                <c:pt idx="129">
                  <c:v>73.732599999999991</c:v>
                </c:pt>
                <c:pt idx="130">
                  <c:v>73.420200000000008</c:v>
                </c:pt>
                <c:pt idx="131">
                  <c:v>73.089199999999991</c:v>
                </c:pt>
                <c:pt idx="132">
                  <c:v>72.721400000000003</c:v>
                </c:pt>
                <c:pt idx="133">
                  <c:v>72.302399999999992</c:v>
                </c:pt>
                <c:pt idx="134">
                  <c:v>71.980400000000003</c:v>
                </c:pt>
                <c:pt idx="135">
                  <c:v>71.685400000000016</c:v>
                </c:pt>
                <c:pt idx="136">
                  <c:v>71.34020000000001</c:v>
                </c:pt>
                <c:pt idx="137">
                  <c:v>71.047600000000003</c:v>
                </c:pt>
                <c:pt idx="138">
                  <c:v>70.739000000000019</c:v>
                </c:pt>
                <c:pt idx="139">
                  <c:v>70.419000000000011</c:v>
                </c:pt>
                <c:pt idx="140">
                  <c:v>70.077800000000011</c:v>
                </c:pt>
                <c:pt idx="141">
                  <c:v>69.772200000000026</c:v>
                </c:pt>
                <c:pt idx="142">
                  <c:v>69.43980000000002</c:v>
                </c:pt>
                <c:pt idx="143">
                  <c:v>69.109800000000007</c:v>
                </c:pt>
                <c:pt idx="144">
                  <c:v>68.773400000000009</c:v>
                </c:pt>
                <c:pt idx="145">
                  <c:v>68.394800000000018</c:v>
                </c:pt>
                <c:pt idx="146">
                  <c:v>68.086799999999997</c:v>
                </c:pt>
                <c:pt idx="147">
                  <c:v>67.792400000000015</c:v>
                </c:pt>
                <c:pt idx="148">
                  <c:v>67.417600000000007</c:v>
                </c:pt>
                <c:pt idx="149">
                  <c:v>67.044000000000011</c:v>
                </c:pt>
                <c:pt idx="150">
                  <c:v>66.703400000000016</c:v>
                </c:pt>
                <c:pt idx="151">
                  <c:v>66.350000000000009</c:v>
                </c:pt>
                <c:pt idx="152">
                  <c:v>65.977000000000018</c:v>
                </c:pt>
                <c:pt idx="153">
                  <c:v>65.61760000000001</c:v>
                </c:pt>
                <c:pt idx="154">
                  <c:v>65.343800000000016</c:v>
                </c:pt>
                <c:pt idx="155">
                  <c:v>65.078200000000024</c:v>
                </c:pt>
                <c:pt idx="156">
                  <c:v>64.77200000000002</c:v>
                </c:pt>
                <c:pt idx="157">
                  <c:v>64.459600000000023</c:v>
                </c:pt>
                <c:pt idx="158">
                  <c:v>64.098000000000013</c:v>
                </c:pt>
                <c:pt idx="159">
                  <c:v>63.73520000000002</c:v>
                </c:pt>
                <c:pt idx="160">
                  <c:v>63.328200000000024</c:v>
                </c:pt>
                <c:pt idx="161">
                  <c:v>62.916200000000011</c:v>
                </c:pt>
                <c:pt idx="162">
                  <c:v>62.481400000000022</c:v>
                </c:pt>
                <c:pt idx="163">
                  <c:v>62.000200000000014</c:v>
                </c:pt>
                <c:pt idx="164">
                  <c:v>61.616800000000012</c:v>
                </c:pt>
                <c:pt idx="165">
                  <c:v>61.184400000000011</c:v>
                </c:pt>
                <c:pt idx="166">
                  <c:v>60.843000000000018</c:v>
                </c:pt>
                <c:pt idx="167">
                  <c:v>60.507800000000024</c:v>
                </c:pt>
                <c:pt idx="168">
                  <c:v>60.295200000000015</c:v>
                </c:pt>
                <c:pt idx="169">
                  <c:v>60.080200000000012</c:v>
                </c:pt>
                <c:pt idx="170">
                  <c:v>59.880200000000016</c:v>
                </c:pt>
                <c:pt idx="171">
                  <c:v>59.709600000000009</c:v>
                </c:pt>
                <c:pt idx="172">
                  <c:v>59.623400000000011</c:v>
                </c:pt>
                <c:pt idx="173">
                  <c:v>59.582200000000022</c:v>
                </c:pt>
                <c:pt idx="174">
                  <c:v>59.532400000000024</c:v>
                </c:pt>
                <c:pt idx="175">
                  <c:v>59.518400000000021</c:v>
                </c:pt>
                <c:pt idx="176">
                  <c:v>59.491400000000013</c:v>
                </c:pt>
                <c:pt idx="177">
                  <c:v>59.491400000000013</c:v>
                </c:pt>
                <c:pt idx="178">
                  <c:v>59.411224489795927</c:v>
                </c:pt>
                <c:pt idx="179">
                  <c:v>59.339591836734719</c:v>
                </c:pt>
                <c:pt idx="180">
                  <c:v>59.222857142857151</c:v>
                </c:pt>
                <c:pt idx="181">
                  <c:v>59.071632653061236</c:v>
                </c:pt>
                <c:pt idx="182">
                  <c:v>59.02265306122451</c:v>
                </c:pt>
                <c:pt idx="183">
                  <c:v>59.028571428571439</c:v>
                </c:pt>
                <c:pt idx="184">
                  <c:v>59.073265306122458</c:v>
                </c:pt>
                <c:pt idx="185">
                  <c:v>59.049387755102053</c:v>
                </c:pt>
                <c:pt idx="186">
                  <c:v>59.139795918367355</c:v>
                </c:pt>
                <c:pt idx="187">
                  <c:v>59.33</c:v>
                </c:pt>
                <c:pt idx="188">
                  <c:v>59.465918367346944</c:v>
                </c:pt>
                <c:pt idx="189">
                  <c:v>59.703877551020405</c:v>
                </c:pt>
                <c:pt idx="190">
                  <c:v>59.8434693877551</c:v>
                </c:pt>
                <c:pt idx="191">
                  <c:v>60.031836734693869</c:v>
                </c:pt>
                <c:pt idx="192">
                  <c:v>60.191224489795907</c:v>
                </c:pt>
                <c:pt idx="193">
                  <c:v>60.346326530612238</c:v>
                </c:pt>
                <c:pt idx="194">
                  <c:v>60.533673469387757</c:v>
                </c:pt>
                <c:pt idx="195">
                  <c:v>60.741836734693877</c:v>
                </c:pt>
                <c:pt idx="196">
                  <c:v>60.986122448979579</c:v>
                </c:pt>
                <c:pt idx="197">
                  <c:v>61.181224489795909</c:v>
                </c:pt>
                <c:pt idx="198">
                  <c:v>61.358571428571423</c:v>
                </c:pt>
                <c:pt idx="199">
                  <c:v>61.686326530612249</c:v>
                </c:pt>
                <c:pt idx="200">
                  <c:v>61.965918367346937</c:v>
                </c:pt>
                <c:pt idx="201">
                  <c:v>62.336938775510191</c:v>
                </c:pt>
                <c:pt idx="202">
                  <c:v>62.729795918367344</c:v>
                </c:pt>
                <c:pt idx="203">
                  <c:v>63.161632653061226</c:v>
                </c:pt>
                <c:pt idx="204">
                  <c:v>63.508979591836734</c:v>
                </c:pt>
                <c:pt idx="205">
                  <c:v>63.834693877551025</c:v>
                </c:pt>
                <c:pt idx="206">
                  <c:v>64.169591836734696</c:v>
                </c:pt>
                <c:pt idx="207">
                  <c:v>64.478775510204088</c:v>
                </c:pt>
                <c:pt idx="208">
                  <c:v>64.759591836734714</c:v>
                </c:pt>
                <c:pt idx="209">
                  <c:v>65.021224489795927</c:v>
                </c:pt>
                <c:pt idx="210">
                  <c:v>65.208775510204092</c:v>
                </c:pt>
                <c:pt idx="211">
                  <c:v>65.453673469387766</c:v>
                </c:pt>
                <c:pt idx="212">
                  <c:v>65.679795918367361</c:v>
                </c:pt>
                <c:pt idx="213">
                  <c:v>66.001020408163271</c:v>
                </c:pt>
                <c:pt idx="214">
                  <c:v>66.410612244897962</c:v>
                </c:pt>
                <c:pt idx="215">
                  <c:v>66.81204081632653</c:v>
                </c:pt>
                <c:pt idx="216">
                  <c:v>67.224897959183679</c:v>
                </c:pt>
                <c:pt idx="217">
                  <c:v>67.571428571428555</c:v>
                </c:pt>
                <c:pt idx="218">
                  <c:v>67.921020408163272</c:v>
                </c:pt>
                <c:pt idx="219">
                  <c:v>68.19</c:v>
                </c:pt>
                <c:pt idx="220">
                  <c:v>68.447959183673476</c:v>
                </c:pt>
                <c:pt idx="221">
                  <c:v>68.757959183673464</c:v>
                </c:pt>
                <c:pt idx="222">
                  <c:v>69.057959183673475</c:v>
                </c:pt>
                <c:pt idx="223">
                  <c:v>69.325918367346929</c:v>
                </c:pt>
                <c:pt idx="224">
                  <c:v>69.483877551020413</c:v>
                </c:pt>
                <c:pt idx="225">
                  <c:v>69.667551020408169</c:v>
                </c:pt>
                <c:pt idx="226">
                  <c:v>69.849591836734703</c:v>
                </c:pt>
                <c:pt idx="227">
                  <c:v>70.04326530612245</c:v>
                </c:pt>
                <c:pt idx="228">
                  <c:v>70.060599999999994</c:v>
                </c:pt>
                <c:pt idx="229">
                  <c:v>70.29079999999999</c:v>
                </c:pt>
                <c:pt idx="230">
                  <c:v>70.545799999999986</c:v>
                </c:pt>
                <c:pt idx="231">
                  <c:v>70.795400000000001</c:v>
                </c:pt>
                <c:pt idx="232">
                  <c:v>70.945799999999991</c:v>
                </c:pt>
                <c:pt idx="233">
                  <c:v>71.041200000000003</c:v>
                </c:pt>
                <c:pt idx="234">
                  <c:v>71.129599999999996</c:v>
                </c:pt>
                <c:pt idx="235">
                  <c:v>71.287399999999991</c:v>
                </c:pt>
                <c:pt idx="236">
                  <c:v>71.294600000000003</c:v>
                </c:pt>
                <c:pt idx="237">
                  <c:v>71.222800000000007</c:v>
                </c:pt>
                <c:pt idx="238">
                  <c:v>71.170800000000014</c:v>
                </c:pt>
                <c:pt idx="239">
                  <c:v>71.041800000000009</c:v>
                </c:pt>
                <c:pt idx="240">
                  <c:v>70.979799999999997</c:v>
                </c:pt>
                <c:pt idx="241">
                  <c:v>70.878599999999992</c:v>
                </c:pt>
                <c:pt idx="242">
                  <c:v>70.855399999999989</c:v>
                </c:pt>
                <c:pt idx="243">
                  <c:v>70.893999999999991</c:v>
                </c:pt>
                <c:pt idx="244">
                  <c:v>70.984999999999999</c:v>
                </c:pt>
                <c:pt idx="245">
                  <c:v>71.066199999999995</c:v>
                </c:pt>
                <c:pt idx="246">
                  <c:v>71.101599999999991</c:v>
                </c:pt>
                <c:pt idx="247">
                  <c:v>71.158399999999986</c:v>
                </c:pt>
                <c:pt idx="248">
                  <c:v>71.223199999999991</c:v>
                </c:pt>
                <c:pt idx="249">
                  <c:v>71.20959999999998</c:v>
                </c:pt>
                <c:pt idx="250">
                  <c:v>71.210599999999999</c:v>
                </c:pt>
                <c:pt idx="251">
                  <c:v>71.127199999999988</c:v>
                </c:pt>
                <c:pt idx="252">
                  <c:v>71.077399999999983</c:v>
                </c:pt>
                <c:pt idx="253">
                  <c:v>70.95559999999999</c:v>
                </c:pt>
                <c:pt idx="254">
                  <c:v>70.89739999999999</c:v>
                </c:pt>
                <c:pt idx="255">
                  <c:v>70.787399999999991</c:v>
                </c:pt>
                <c:pt idx="256">
                  <c:v>70.637199999999993</c:v>
                </c:pt>
                <c:pt idx="257">
                  <c:v>70.525399999999991</c:v>
                </c:pt>
                <c:pt idx="258">
                  <c:v>70.419799999999981</c:v>
                </c:pt>
                <c:pt idx="259">
                  <c:v>70.33359999999999</c:v>
                </c:pt>
                <c:pt idx="260">
                  <c:v>70.327799999999996</c:v>
                </c:pt>
                <c:pt idx="261">
                  <c:v>70.253599999999992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0-4910-9F61-D4A6CA1D7204}"/>
            </c:ext>
          </c:extLst>
        </c:ser>
        <c:ser>
          <c:idx val="2"/>
          <c:order val="2"/>
          <c:tx>
            <c:v>MA200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MA!$K$1:$K$265</c:f>
              <c:numCache>
                <c:formatCode>m/d/yyyy</c:formatCode>
                <c:ptCount val="265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45138</c:v>
                </c:pt>
                <c:pt idx="4">
                  <c:v>45139</c:v>
                </c:pt>
                <c:pt idx="5">
                  <c:v>45140</c:v>
                </c:pt>
                <c:pt idx="6">
                  <c:v>45141</c:v>
                </c:pt>
                <c:pt idx="7">
                  <c:v>45142</c:v>
                </c:pt>
                <c:pt idx="8">
                  <c:v>45145</c:v>
                </c:pt>
                <c:pt idx="9">
                  <c:v>45146</c:v>
                </c:pt>
                <c:pt idx="10">
                  <c:v>45147</c:v>
                </c:pt>
                <c:pt idx="11">
                  <c:v>45148</c:v>
                </c:pt>
                <c:pt idx="12">
                  <c:v>45149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45159</c:v>
                </c:pt>
                <c:pt idx="19">
                  <c:v>45160</c:v>
                </c:pt>
                <c:pt idx="20">
                  <c:v>45161</c:v>
                </c:pt>
                <c:pt idx="21">
                  <c:v>45162</c:v>
                </c:pt>
                <c:pt idx="22">
                  <c:v>45163</c:v>
                </c:pt>
                <c:pt idx="23">
                  <c:v>45166</c:v>
                </c:pt>
                <c:pt idx="24">
                  <c:v>45167</c:v>
                </c:pt>
                <c:pt idx="25">
                  <c:v>45168</c:v>
                </c:pt>
                <c:pt idx="26">
                  <c:v>45169</c:v>
                </c:pt>
                <c:pt idx="27">
                  <c:v>45170</c:v>
                </c:pt>
                <c:pt idx="28">
                  <c:v>45173</c:v>
                </c:pt>
                <c:pt idx="29">
                  <c:v>45174</c:v>
                </c:pt>
                <c:pt idx="30">
                  <c:v>45175</c:v>
                </c:pt>
                <c:pt idx="31">
                  <c:v>45176</c:v>
                </c:pt>
                <c:pt idx="32">
                  <c:v>45177</c:v>
                </c:pt>
                <c:pt idx="33">
                  <c:v>45180</c:v>
                </c:pt>
                <c:pt idx="34">
                  <c:v>45181</c:v>
                </c:pt>
                <c:pt idx="35">
                  <c:v>45182</c:v>
                </c:pt>
                <c:pt idx="36">
                  <c:v>45183</c:v>
                </c:pt>
                <c:pt idx="37">
                  <c:v>45184</c:v>
                </c:pt>
                <c:pt idx="38">
                  <c:v>45187</c:v>
                </c:pt>
                <c:pt idx="39">
                  <c:v>45188</c:v>
                </c:pt>
                <c:pt idx="40">
                  <c:v>45189</c:v>
                </c:pt>
                <c:pt idx="41">
                  <c:v>45190</c:v>
                </c:pt>
                <c:pt idx="42">
                  <c:v>45191</c:v>
                </c:pt>
                <c:pt idx="43">
                  <c:v>45194</c:v>
                </c:pt>
                <c:pt idx="44">
                  <c:v>45195</c:v>
                </c:pt>
                <c:pt idx="45">
                  <c:v>45196</c:v>
                </c:pt>
                <c:pt idx="46">
                  <c:v>45197</c:v>
                </c:pt>
                <c:pt idx="47">
                  <c:v>45198</c:v>
                </c:pt>
                <c:pt idx="48">
                  <c:v>45201</c:v>
                </c:pt>
                <c:pt idx="49">
                  <c:v>45202</c:v>
                </c:pt>
                <c:pt idx="50">
                  <c:v>45203</c:v>
                </c:pt>
                <c:pt idx="51">
                  <c:v>45204</c:v>
                </c:pt>
                <c:pt idx="52">
                  <c:v>45205</c:v>
                </c:pt>
                <c:pt idx="53">
                  <c:v>45208</c:v>
                </c:pt>
                <c:pt idx="54">
                  <c:v>45209</c:v>
                </c:pt>
                <c:pt idx="55">
                  <c:v>45210</c:v>
                </c:pt>
                <c:pt idx="56">
                  <c:v>45211</c:v>
                </c:pt>
                <c:pt idx="57">
                  <c:v>45212</c:v>
                </c:pt>
                <c:pt idx="58">
                  <c:v>45215</c:v>
                </c:pt>
                <c:pt idx="59">
                  <c:v>45216</c:v>
                </c:pt>
                <c:pt idx="60">
                  <c:v>45217</c:v>
                </c:pt>
                <c:pt idx="61">
                  <c:v>45218</c:v>
                </c:pt>
                <c:pt idx="62">
                  <c:v>45219</c:v>
                </c:pt>
                <c:pt idx="63">
                  <c:v>45222</c:v>
                </c:pt>
                <c:pt idx="64">
                  <c:v>45223</c:v>
                </c:pt>
                <c:pt idx="65">
                  <c:v>45224</c:v>
                </c:pt>
                <c:pt idx="66">
                  <c:v>45225</c:v>
                </c:pt>
                <c:pt idx="67">
                  <c:v>45226</c:v>
                </c:pt>
                <c:pt idx="68">
                  <c:v>45229</c:v>
                </c:pt>
                <c:pt idx="69">
                  <c:v>45230</c:v>
                </c:pt>
                <c:pt idx="70">
                  <c:v>45231</c:v>
                </c:pt>
                <c:pt idx="71">
                  <c:v>45232</c:v>
                </c:pt>
                <c:pt idx="72">
                  <c:v>45233</c:v>
                </c:pt>
                <c:pt idx="73">
                  <c:v>45236</c:v>
                </c:pt>
                <c:pt idx="74">
                  <c:v>45237</c:v>
                </c:pt>
                <c:pt idx="75">
                  <c:v>45238</c:v>
                </c:pt>
                <c:pt idx="76">
                  <c:v>45239</c:v>
                </c:pt>
                <c:pt idx="77">
                  <c:v>45240</c:v>
                </c:pt>
                <c:pt idx="78">
                  <c:v>45243</c:v>
                </c:pt>
                <c:pt idx="79">
                  <c:v>45244</c:v>
                </c:pt>
                <c:pt idx="80">
                  <c:v>45245</c:v>
                </c:pt>
                <c:pt idx="81">
                  <c:v>45246</c:v>
                </c:pt>
                <c:pt idx="82">
                  <c:v>45247</c:v>
                </c:pt>
                <c:pt idx="83">
                  <c:v>45250</c:v>
                </c:pt>
                <c:pt idx="84">
                  <c:v>45251</c:v>
                </c:pt>
                <c:pt idx="85">
                  <c:v>45252</c:v>
                </c:pt>
                <c:pt idx="86">
                  <c:v>45253</c:v>
                </c:pt>
                <c:pt idx="87">
                  <c:v>45254</c:v>
                </c:pt>
                <c:pt idx="88">
                  <c:v>45257</c:v>
                </c:pt>
                <c:pt idx="89">
                  <c:v>45258</c:v>
                </c:pt>
                <c:pt idx="90">
                  <c:v>45259</c:v>
                </c:pt>
                <c:pt idx="91">
                  <c:v>45260</c:v>
                </c:pt>
                <c:pt idx="92">
                  <c:v>45261</c:v>
                </c:pt>
                <c:pt idx="93">
                  <c:v>45264</c:v>
                </c:pt>
                <c:pt idx="94">
                  <c:v>45265</c:v>
                </c:pt>
                <c:pt idx="95">
                  <c:v>45266</c:v>
                </c:pt>
                <c:pt idx="96">
                  <c:v>45267</c:v>
                </c:pt>
                <c:pt idx="97">
                  <c:v>45268</c:v>
                </c:pt>
                <c:pt idx="98">
                  <c:v>45271</c:v>
                </c:pt>
                <c:pt idx="99">
                  <c:v>45272</c:v>
                </c:pt>
                <c:pt idx="100">
                  <c:v>45273</c:v>
                </c:pt>
                <c:pt idx="101">
                  <c:v>45274</c:v>
                </c:pt>
                <c:pt idx="102">
                  <c:v>45275</c:v>
                </c:pt>
                <c:pt idx="103">
                  <c:v>45278</c:v>
                </c:pt>
                <c:pt idx="104">
                  <c:v>45279</c:v>
                </c:pt>
                <c:pt idx="105">
                  <c:v>45280</c:v>
                </c:pt>
                <c:pt idx="106">
                  <c:v>45281</c:v>
                </c:pt>
                <c:pt idx="107">
                  <c:v>45282</c:v>
                </c:pt>
                <c:pt idx="108">
                  <c:v>45285</c:v>
                </c:pt>
                <c:pt idx="109">
                  <c:v>45286</c:v>
                </c:pt>
                <c:pt idx="110">
                  <c:v>45287</c:v>
                </c:pt>
                <c:pt idx="111">
                  <c:v>45288</c:v>
                </c:pt>
                <c:pt idx="112">
                  <c:v>45289</c:v>
                </c:pt>
                <c:pt idx="113">
                  <c:v>45292</c:v>
                </c:pt>
                <c:pt idx="114">
                  <c:v>45293</c:v>
                </c:pt>
                <c:pt idx="115">
                  <c:v>45294</c:v>
                </c:pt>
                <c:pt idx="116">
                  <c:v>45295</c:v>
                </c:pt>
                <c:pt idx="117">
                  <c:v>45296</c:v>
                </c:pt>
                <c:pt idx="118">
                  <c:v>45299</c:v>
                </c:pt>
                <c:pt idx="119">
                  <c:v>45300</c:v>
                </c:pt>
                <c:pt idx="120">
                  <c:v>45301</c:v>
                </c:pt>
                <c:pt idx="121">
                  <c:v>45302</c:v>
                </c:pt>
                <c:pt idx="122">
                  <c:v>45303</c:v>
                </c:pt>
                <c:pt idx="123">
                  <c:v>45306</c:v>
                </c:pt>
                <c:pt idx="124">
                  <c:v>45307</c:v>
                </c:pt>
                <c:pt idx="125">
                  <c:v>45308</c:v>
                </c:pt>
                <c:pt idx="126">
                  <c:v>45309</c:v>
                </c:pt>
                <c:pt idx="127">
                  <c:v>45310</c:v>
                </c:pt>
                <c:pt idx="128">
                  <c:v>45313</c:v>
                </c:pt>
                <c:pt idx="129">
                  <c:v>45314</c:v>
                </c:pt>
                <c:pt idx="130">
                  <c:v>45315</c:v>
                </c:pt>
                <c:pt idx="131">
                  <c:v>45316</c:v>
                </c:pt>
                <c:pt idx="132">
                  <c:v>45317</c:v>
                </c:pt>
                <c:pt idx="133">
                  <c:v>45320</c:v>
                </c:pt>
                <c:pt idx="134">
                  <c:v>45321</c:v>
                </c:pt>
                <c:pt idx="135">
                  <c:v>45322</c:v>
                </c:pt>
                <c:pt idx="136">
                  <c:v>45323</c:v>
                </c:pt>
                <c:pt idx="137">
                  <c:v>45324</c:v>
                </c:pt>
                <c:pt idx="138">
                  <c:v>45327</c:v>
                </c:pt>
                <c:pt idx="139">
                  <c:v>45328</c:v>
                </c:pt>
                <c:pt idx="140">
                  <c:v>45329</c:v>
                </c:pt>
                <c:pt idx="141">
                  <c:v>45330</c:v>
                </c:pt>
                <c:pt idx="142">
                  <c:v>45331</c:v>
                </c:pt>
                <c:pt idx="143">
                  <c:v>45334</c:v>
                </c:pt>
                <c:pt idx="144">
                  <c:v>45335</c:v>
                </c:pt>
                <c:pt idx="145">
                  <c:v>45336</c:v>
                </c:pt>
                <c:pt idx="146">
                  <c:v>45337</c:v>
                </c:pt>
                <c:pt idx="147">
                  <c:v>45338</c:v>
                </c:pt>
                <c:pt idx="148">
                  <c:v>45341</c:v>
                </c:pt>
                <c:pt idx="149">
                  <c:v>45342</c:v>
                </c:pt>
                <c:pt idx="150">
                  <c:v>45343</c:v>
                </c:pt>
                <c:pt idx="151">
                  <c:v>45344</c:v>
                </c:pt>
                <c:pt idx="152">
                  <c:v>45345</c:v>
                </c:pt>
                <c:pt idx="153">
                  <c:v>45348</c:v>
                </c:pt>
                <c:pt idx="154">
                  <c:v>45349</c:v>
                </c:pt>
                <c:pt idx="155">
                  <c:v>45350</c:v>
                </c:pt>
                <c:pt idx="156">
                  <c:v>45351</c:v>
                </c:pt>
                <c:pt idx="157">
                  <c:v>45352</c:v>
                </c:pt>
                <c:pt idx="158">
                  <c:v>45355</c:v>
                </c:pt>
                <c:pt idx="159">
                  <c:v>45356</c:v>
                </c:pt>
                <c:pt idx="160">
                  <c:v>45357</c:v>
                </c:pt>
                <c:pt idx="161">
                  <c:v>45358</c:v>
                </c:pt>
                <c:pt idx="162">
                  <c:v>45359</c:v>
                </c:pt>
                <c:pt idx="163">
                  <c:v>45362</c:v>
                </c:pt>
                <c:pt idx="164">
                  <c:v>45363</c:v>
                </c:pt>
                <c:pt idx="165">
                  <c:v>45364</c:v>
                </c:pt>
                <c:pt idx="166">
                  <c:v>45365</c:v>
                </c:pt>
                <c:pt idx="167">
                  <c:v>45366</c:v>
                </c:pt>
                <c:pt idx="168">
                  <c:v>45369</c:v>
                </c:pt>
                <c:pt idx="169">
                  <c:v>45370</c:v>
                </c:pt>
                <c:pt idx="170">
                  <c:v>45371</c:v>
                </c:pt>
                <c:pt idx="171">
                  <c:v>45372</c:v>
                </c:pt>
                <c:pt idx="172">
                  <c:v>45373</c:v>
                </c:pt>
                <c:pt idx="173">
                  <c:v>45376</c:v>
                </c:pt>
                <c:pt idx="174">
                  <c:v>45377</c:v>
                </c:pt>
                <c:pt idx="175">
                  <c:v>45378</c:v>
                </c:pt>
                <c:pt idx="176">
                  <c:v>45379</c:v>
                </c:pt>
                <c:pt idx="177">
                  <c:v>45380</c:v>
                </c:pt>
                <c:pt idx="178">
                  <c:v>45383</c:v>
                </c:pt>
                <c:pt idx="179">
                  <c:v>45384</c:v>
                </c:pt>
                <c:pt idx="180">
                  <c:v>45385</c:v>
                </c:pt>
                <c:pt idx="181">
                  <c:v>45386</c:v>
                </c:pt>
                <c:pt idx="182">
                  <c:v>45387</c:v>
                </c:pt>
                <c:pt idx="183">
                  <c:v>45390</c:v>
                </c:pt>
                <c:pt idx="184">
                  <c:v>45391</c:v>
                </c:pt>
                <c:pt idx="185">
                  <c:v>45392</c:v>
                </c:pt>
                <c:pt idx="186">
                  <c:v>45393</c:v>
                </c:pt>
                <c:pt idx="187">
                  <c:v>45394</c:v>
                </c:pt>
                <c:pt idx="188">
                  <c:v>45397</c:v>
                </c:pt>
                <c:pt idx="189">
                  <c:v>45398</c:v>
                </c:pt>
                <c:pt idx="190">
                  <c:v>45399</c:v>
                </c:pt>
                <c:pt idx="191">
                  <c:v>45400</c:v>
                </c:pt>
                <c:pt idx="192">
                  <c:v>45401</c:v>
                </c:pt>
                <c:pt idx="193">
                  <c:v>45404</c:v>
                </c:pt>
                <c:pt idx="194">
                  <c:v>45405</c:v>
                </c:pt>
                <c:pt idx="195">
                  <c:v>45406</c:v>
                </c:pt>
                <c:pt idx="196">
                  <c:v>45407</c:v>
                </c:pt>
                <c:pt idx="197">
                  <c:v>45408</c:v>
                </c:pt>
                <c:pt idx="198">
                  <c:v>45411</c:v>
                </c:pt>
                <c:pt idx="199">
                  <c:v>45412</c:v>
                </c:pt>
                <c:pt idx="200">
                  <c:v>45413</c:v>
                </c:pt>
                <c:pt idx="201">
                  <c:v>45414</c:v>
                </c:pt>
                <c:pt idx="202">
                  <c:v>45415</c:v>
                </c:pt>
                <c:pt idx="203">
                  <c:v>45418</c:v>
                </c:pt>
                <c:pt idx="204">
                  <c:v>45419</c:v>
                </c:pt>
                <c:pt idx="205">
                  <c:v>45420</c:v>
                </c:pt>
                <c:pt idx="206">
                  <c:v>45421</c:v>
                </c:pt>
                <c:pt idx="207">
                  <c:v>45422</c:v>
                </c:pt>
                <c:pt idx="208">
                  <c:v>45425</c:v>
                </c:pt>
                <c:pt idx="209">
                  <c:v>45426</c:v>
                </c:pt>
                <c:pt idx="210">
                  <c:v>45427</c:v>
                </c:pt>
                <c:pt idx="211">
                  <c:v>45428</c:v>
                </c:pt>
                <c:pt idx="212">
                  <c:v>45429</c:v>
                </c:pt>
                <c:pt idx="213">
                  <c:v>45432</c:v>
                </c:pt>
                <c:pt idx="214">
                  <c:v>45433</c:v>
                </c:pt>
                <c:pt idx="215">
                  <c:v>45434</c:v>
                </c:pt>
                <c:pt idx="216">
                  <c:v>45435</c:v>
                </c:pt>
                <c:pt idx="217">
                  <c:v>45436</c:v>
                </c:pt>
                <c:pt idx="218">
                  <c:v>45439</c:v>
                </c:pt>
                <c:pt idx="219">
                  <c:v>45440</c:v>
                </c:pt>
                <c:pt idx="220">
                  <c:v>45441</c:v>
                </c:pt>
                <c:pt idx="221">
                  <c:v>45442</c:v>
                </c:pt>
                <c:pt idx="222">
                  <c:v>45443</c:v>
                </c:pt>
                <c:pt idx="223">
                  <c:v>45446</c:v>
                </c:pt>
                <c:pt idx="224">
                  <c:v>45447</c:v>
                </c:pt>
                <c:pt idx="225">
                  <c:v>45448</c:v>
                </c:pt>
                <c:pt idx="226">
                  <c:v>45449</c:v>
                </c:pt>
                <c:pt idx="227">
                  <c:v>45450</c:v>
                </c:pt>
                <c:pt idx="228">
                  <c:v>45453</c:v>
                </c:pt>
                <c:pt idx="229">
                  <c:v>45454</c:v>
                </c:pt>
                <c:pt idx="230">
                  <c:v>45455</c:v>
                </c:pt>
                <c:pt idx="231">
                  <c:v>45456</c:v>
                </c:pt>
                <c:pt idx="232">
                  <c:v>45457</c:v>
                </c:pt>
                <c:pt idx="233">
                  <c:v>45460</c:v>
                </c:pt>
                <c:pt idx="234">
                  <c:v>45461</c:v>
                </c:pt>
                <c:pt idx="235">
                  <c:v>45462</c:v>
                </c:pt>
                <c:pt idx="236">
                  <c:v>45463</c:v>
                </c:pt>
                <c:pt idx="237">
                  <c:v>45464</c:v>
                </c:pt>
                <c:pt idx="238">
                  <c:v>45467</c:v>
                </c:pt>
                <c:pt idx="239">
                  <c:v>45468</c:v>
                </c:pt>
                <c:pt idx="240">
                  <c:v>45469</c:v>
                </c:pt>
                <c:pt idx="241">
                  <c:v>45470</c:v>
                </c:pt>
                <c:pt idx="242">
                  <c:v>45471</c:v>
                </c:pt>
                <c:pt idx="243">
                  <c:v>45474</c:v>
                </c:pt>
                <c:pt idx="244">
                  <c:v>45475</c:v>
                </c:pt>
                <c:pt idx="245">
                  <c:v>45476</c:v>
                </c:pt>
                <c:pt idx="246">
                  <c:v>45477</c:v>
                </c:pt>
                <c:pt idx="247">
                  <c:v>45478</c:v>
                </c:pt>
                <c:pt idx="248">
                  <c:v>45481</c:v>
                </c:pt>
                <c:pt idx="249">
                  <c:v>45482</c:v>
                </c:pt>
                <c:pt idx="250">
                  <c:v>45483</c:v>
                </c:pt>
                <c:pt idx="251">
                  <c:v>45484</c:v>
                </c:pt>
                <c:pt idx="252">
                  <c:v>45485</c:v>
                </c:pt>
                <c:pt idx="253">
                  <c:v>45488</c:v>
                </c:pt>
                <c:pt idx="254">
                  <c:v>45489</c:v>
                </c:pt>
                <c:pt idx="255">
                  <c:v>45490</c:v>
                </c:pt>
                <c:pt idx="256">
                  <c:v>45491</c:v>
                </c:pt>
                <c:pt idx="257">
                  <c:v>45492</c:v>
                </c:pt>
                <c:pt idx="258">
                  <c:v>45495</c:v>
                </c:pt>
                <c:pt idx="259">
                  <c:v>45496</c:v>
                </c:pt>
                <c:pt idx="260">
                  <c:v>45497</c:v>
                </c:pt>
                <c:pt idx="261">
                  <c:v>45498</c:v>
                </c:pt>
              </c:numCache>
            </c:numRef>
          </c:cat>
          <c:val>
            <c:numRef>
              <c:f>MA!$I$1:$I$265</c:f>
              <c:numCache>
                <c:formatCode>General</c:formatCode>
                <c:ptCount val="265"/>
                <c:pt idx="0">
                  <c:v>90.278549999999996</c:v>
                </c:pt>
                <c:pt idx="1">
                  <c:v>90.379349999999974</c:v>
                </c:pt>
                <c:pt idx="2">
                  <c:v>90.469449999999995</c:v>
                </c:pt>
                <c:pt idx="3">
                  <c:v>90.550449999999984</c:v>
                </c:pt>
                <c:pt idx="4">
                  <c:v>90.623799999999989</c:v>
                </c:pt>
                <c:pt idx="5">
                  <c:v>90.678199999999975</c:v>
                </c:pt>
                <c:pt idx="6">
                  <c:v>90.722099999999998</c:v>
                </c:pt>
                <c:pt idx="7">
                  <c:v>90.738849999999999</c:v>
                </c:pt>
                <c:pt idx="8">
                  <c:v>90.759749999999983</c:v>
                </c:pt>
                <c:pt idx="9">
                  <c:v>90.758499999999984</c:v>
                </c:pt>
                <c:pt idx="10">
                  <c:v>90.753899999999973</c:v>
                </c:pt>
                <c:pt idx="11">
                  <c:v>90.762499999999989</c:v>
                </c:pt>
                <c:pt idx="12">
                  <c:v>90.794499999999985</c:v>
                </c:pt>
                <c:pt idx="13">
                  <c:v>90.833699999999993</c:v>
                </c:pt>
                <c:pt idx="14">
                  <c:v>90.86869999999999</c:v>
                </c:pt>
                <c:pt idx="15">
                  <c:v>90.913200000000003</c:v>
                </c:pt>
                <c:pt idx="16">
                  <c:v>90.95235000000001</c:v>
                </c:pt>
                <c:pt idx="17">
                  <c:v>90.994599999999991</c:v>
                </c:pt>
                <c:pt idx="18">
                  <c:v>91.054699999999997</c:v>
                </c:pt>
                <c:pt idx="19">
                  <c:v>91.122799999999984</c:v>
                </c:pt>
                <c:pt idx="20">
                  <c:v>91.167749999999998</c:v>
                </c:pt>
                <c:pt idx="21">
                  <c:v>91.202550000000016</c:v>
                </c:pt>
                <c:pt idx="22">
                  <c:v>91.226949999999974</c:v>
                </c:pt>
                <c:pt idx="23">
                  <c:v>91.271799999999999</c:v>
                </c:pt>
                <c:pt idx="24">
                  <c:v>91.320700000000002</c:v>
                </c:pt>
                <c:pt idx="25">
                  <c:v>91.373799999999989</c:v>
                </c:pt>
                <c:pt idx="26">
                  <c:v>91.416449999999998</c:v>
                </c:pt>
                <c:pt idx="27">
                  <c:v>91.459200000000024</c:v>
                </c:pt>
                <c:pt idx="28">
                  <c:v>91.484150000000014</c:v>
                </c:pt>
                <c:pt idx="29">
                  <c:v>91.494149999999991</c:v>
                </c:pt>
                <c:pt idx="30">
                  <c:v>91.501699999999985</c:v>
                </c:pt>
                <c:pt idx="31">
                  <c:v>91.509099999999975</c:v>
                </c:pt>
                <c:pt idx="32">
                  <c:v>91.494149999999991</c:v>
                </c:pt>
                <c:pt idx="33">
                  <c:v>91.462199999999996</c:v>
                </c:pt>
                <c:pt idx="34">
                  <c:v>91.427299999999974</c:v>
                </c:pt>
                <c:pt idx="35">
                  <c:v>91.39009999999999</c:v>
                </c:pt>
                <c:pt idx="36">
                  <c:v>91.352799999999974</c:v>
                </c:pt>
                <c:pt idx="37">
                  <c:v>91.304149999999979</c:v>
                </c:pt>
                <c:pt idx="38">
                  <c:v>91.251499999999965</c:v>
                </c:pt>
                <c:pt idx="39">
                  <c:v>91.197249999999983</c:v>
                </c:pt>
                <c:pt idx="40">
                  <c:v>91.156299999999973</c:v>
                </c:pt>
                <c:pt idx="41">
                  <c:v>91.113299999999967</c:v>
                </c:pt>
                <c:pt idx="42">
                  <c:v>91.078749999999985</c:v>
                </c:pt>
                <c:pt idx="43">
                  <c:v>91.056149999999974</c:v>
                </c:pt>
                <c:pt idx="44">
                  <c:v>91.026600000000002</c:v>
                </c:pt>
                <c:pt idx="45">
                  <c:v>91.001399999999975</c:v>
                </c:pt>
                <c:pt idx="46">
                  <c:v>90.980949999999993</c:v>
                </c:pt>
                <c:pt idx="47">
                  <c:v>90.941699999999983</c:v>
                </c:pt>
                <c:pt idx="48">
                  <c:v>90.906699999999987</c:v>
                </c:pt>
                <c:pt idx="49">
                  <c:v>90.859899999999982</c:v>
                </c:pt>
                <c:pt idx="50">
                  <c:v>90.822149999999979</c:v>
                </c:pt>
                <c:pt idx="51">
                  <c:v>90.784449999999978</c:v>
                </c:pt>
                <c:pt idx="52">
                  <c:v>90.756599999999978</c:v>
                </c:pt>
                <c:pt idx="53">
                  <c:v>90.743699999999976</c:v>
                </c:pt>
                <c:pt idx="54">
                  <c:v>90.756099999999975</c:v>
                </c:pt>
                <c:pt idx="55">
                  <c:v>90.748399999999961</c:v>
                </c:pt>
                <c:pt idx="56">
                  <c:v>90.76094999999998</c:v>
                </c:pt>
                <c:pt idx="57">
                  <c:v>90.801749999999998</c:v>
                </c:pt>
                <c:pt idx="58">
                  <c:v>90.826149999999998</c:v>
                </c:pt>
                <c:pt idx="59">
                  <c:v>90.851300000000009</c:v>
                </c:pt>
                <c:pt idx="60">
                  <c:v>90.855249999999998</c:v>
                </c:pt>
                <c:pt idx="61">
                  <c:v>90.86124999999997</c:v>
                </c:pt>
                <c:pt idx="62">
                  <c:v>90.874449999999982</c:v>
                </c:pt>
                <c:pt idx="63">
                  <c:v>90.875100000000003</c:v>
                </c:pt>
                <c:pt idx="64">
                  <c:v>90.880250000000018</c:v>
                </c:pt>
                <c:pt idx="65">
                  <c:v>90.892299999999992</c:v>
                </c:pt>
                <c:pt idx="66">
                  <c:v>90.893099999999976</c:v>
                </c:pt>
                <c:pt idx="67">
                  <c:v>90.870799999999974</c:v>
                </c:pt>
                <c:pt idx="68">
                  <c:v>90.843400000000003</c:v>
                </c:pt>
                <c:pt idx="69">
                  <c:v>90.81500000000004</c:v>
                </c:pt>
                <c:pt idx="70">
                  <c:v>90.786000000000044</c:v>
                </c:pt>
                <c:pt idx="71">
                  <c:v>90.771450000000044</c:v>
                </c:pt>
                <c:pt idx="72">
                  <c:v>90.733950000000036</c:v>
                </c:pt>
                <c:pt idx="73">
                  <c:v>90.666400000000024</c:v>
                </c:pt>
                <c:pt idx="74">
                  <c:v>90.595450000000042</c:v>
                </c:pt>
                <c:pt idx="75">
                  <c:v>90.523400000000038</c:v>
                </c:pt>
                <c:pt idx="76">
                  <c:v>90.444900000000032</c:v>
                </c:pt>
                <c:pt idx="77">
                  <c:v>90.359400000000022</c:v>
                </c:pt>
                <c:pt idx="78">
                  <c:v>90.276650000000032</c:v>
                </c:pt>
                <c:pt idx="79">
                  <c:v>90.201150000000013</c:v>
                </c:pt>
                <c:pt idx="80">
                  <c:v>90.144250000000028</c:v>
                </c:pt>
                <c:pt idx="81">
                  <c:v>90.077750000000037</c:v>
                </c:pt>
                <c:pt idx="82">
                  <c:v>90.006950000000032</c:v>
                </c:pt>
                <c:pt idx="83">
                  <c:v>89.933650000000029</c:v>
                </c:pt>
                <c:pt idx="84">
                  <c:v>89.843100000000035</c:v>
                </c:pt>
                <c:pt idx="85">
                  <c:v>89.756400000000028</c:v>
                </c:pt>
                <c:pt idx="86">
                  <c:v>89.682300000000055</c:v>
                </c:pt>
                <c:pt idx="87">
                  <c:v>89.591650000000087</c:v>
                </c:pt>
                <c:pt idx="88">
                  <c:v>89.467750000000066</c:v>
                </c:pt>
                <c:pt idx="89">
                  <c:v>89.350100000000054</c:v>
                </c:pt>
                <c:pt idx="90">
                  <c:v>89.212500000000048</c:v>
                </c:pt>
                <c:pt idx="91">
                  <c:v>89.064650000000057</c:v>
                </c:pt>
                <c:pt idx="92">
                  <c:v>88.945400000000063</c:v>
                </c:pt>
                <c:pt idx="93">
                  <c:v>88.814100000000067</c:v>
                </c:pt>
                <c:pt idx="94">
                  <c:v>88.669400000000081</c:v>
                </c:pt>
                <c:pt idx="95">
                  <c:v>88.512750000000082</c:v>
                </c:pt>
                <c:pt idx="96">
                  <c:v>88.364900000000091</c:v>
                </c:pt>
                <c:pt idx="97">
                  <c:v>88.22245000000008</c:v>
                </c:pt>
                <c:pt idx="98">
                  <c:v>88.094150000000084</c:v>
                </c:pt>
                <c:pt idx="99">
                  <c:v>87.974000000000089</c:v>
                </c:pt>
                <c:pt idx="100">
                  <c:v>87.853650000000073</c:v>
                </c:pt>
                <c:pt idx="101">
                  <c:v>87.707600000000056</c:v>
                </c:pt>
                <c:pt idx="102">
                  <c:v>87.556300000000064</c:v>
                </c:pt>
                <c:pt idx="103">
                  <c:v>87.403950000000066</c:v>
                </c:pt>
                <c:pt idx="104">
                  <c:v>87.248150000000038</c:v>
                </c:pt>
                <c:pt idx="105">
                  <c:v>87.132800000000046</c:v>
                </c:pt>
                <c:pt idx="106">
                  <c:v>87.044550000000029</c:v>
                </c:pt>
                <c:pt idx="107">
                  <c:v>86.97950000000003</c:v>
                </c:pt>
                <c:pt idx="108">
                  <c:v>86.97950000000003</c:v>
                </c:pt>
                <c:pt idx="109">
                  <c:v>86.97950000000003</c:v>
                </c:pt>
                <c:pt idx="110">
                  <c:v>86.925800000000052</c:v>
                </c:pt>
                <c:pt idx="111">
                  <c:v>86.870400000000046</c:v>
                </c:pt>
                <c:pt idx="112">
                  <c:v>86.817500000000038</c:v>
                </c:pt>
                <c:pt idx="113">
                  <c:v>86.817500000000038</c:v>
                </c:pt>
                <c:pt idx="114">
                  <c:v>86.731550000000027</c:v>
                </c:pt>
                <c:pt idx="115">
                  <c:v>86.655850000000044</c:v>
                </c:pt>
                <c:pt idx="116">
                  <c:v>86.555100000000039</c:v>
                </c:pt>
                <c:pt idx="117">
                  <c:v>86.482000000000042</c:v>
                </c:pt>
                <c:pt idx="118">
                  <c:v>86.387</c:v>
                </c:pt>
                <c:pt idx="119">
                  <c:v>86.28570000000002</c:v>
                </c:pt>
                <c:pt idx="120">
                  <c:v>86.171050000000008</c:v>
                </c:pt>
                <c:pt idx="121">
                  <c:v>86.041950000000014</c:v>
                </c:pt>
                <c:pt idx="122">
                  <c:v>85.897650000000027</c:v>
                </c:pt>
                <c:pt idx="123">
                  <c:v>85.737550000000027</c:v>
                </c:pt>
                <c:pt idx="124">
                  <c:v>85.575500000000034</c:v>
                </c:pt>
                <c:pt idx="125">
                  <c:v>85.392400000000052</c:v>
                </c:pt>
                <c:pt idx="126">
                  <c:v>85.210450000000051</c:v>
                </c:pt>
                <c:pt idx="127">
                  <c:v>85.025600000000054</c:v>
                </c:pt>
                <c:pt idx="128">
                  <c:v>84.84170000000006</c:v>
                </c:pt>
                <c:pt idx="129">
                  <c:v>84.671500000000009</c:v>
                </c:pt>
                <c:pt idx="130">
                  <c:v>84.515350000000041</c:v>
                </c:pt>
                <c:pt idx="131">
                  <c:v>84.353250000000003</c:v>
                </c:pt>
                <c:pt idx="132">
                  <c:v>84.178399999999996</c:v>
                </c:pt>
                <c:pt idx="133">
                  <c:v>84.000699999999981</c:v>
                </c:pt>
                <c:pt idx="134">
                  <c:v>83.847499999999997</c:v>
                </c:pt>
                <c:pt idx="135">
                  <c:v>83.705600000000018</c:v>
                </c:pt>
                <c:pt idx="136">
                  <c:v>83.55980000000001</c:v>
                </c:pt>
                <c:pt idx="137">
                  <c:v>83.428650000000019</c:v>
                </c:pt>
                <c:pt idx="138">
                  <c:v>83.295800000000014</c:v>
                </c:pt>
                <c:pt idx="139">
                  <c:v>83.165250000000029</c:v>
                </c:pt>
                <c:pt idx="140">
                  <c:v>83.024000000000029</c:v>
                </c:pt>
                <c:pt idx="141">
                  <c:v>82.884800000000013</c:v>
                </c:pt>
                <c:pt idx="142">
                  <c:v>82.721600000000024</c:v>
                </c:pt>
                <c:pt idx="143">
                  <c:v>82.567250000000001</c:v>
                </c:pt>
                <c:pt idx="144">
                  <c:v>82.413400000000024</c:v>
                </c:pt>
                <c:pt idx="145">
                  <c:v>82.256199999999993</c:v>
                </c:pt>
                <c:pt idx="146">
                  <c:v>82.103400000000008</c:v>
                </c:pt>
                <c:pt idx="147">
                  <c:v>81.936799999999991</c:v>
                </c:pt>
                <c:pt idx="148">
                  <c:v>81.742599999999982</c:v>
                </c:pt>
                <c:pt idx="149">
                  <c:v>81.556200000000004</c:v>
                </c:pt>
                <c:pt idx="150">
                  <c:v>81.369500000000002</c:v>
                </c:pt>
                <c:pt idx="151">
                  <c:v>81.182150000000007</c:v>
                </c:pt>
                <c:pt idx="152">
                  <c:v>80.98545</c:v>
                </c:pt>
                <c:pt idx="153">
                  <c:v>80.799800000000005</c:v>
                </c:pt>
                <c:pt idx="154">
                  <c:v>80.616749999999996</c:v>
                </c:pt>
                <c:pt idx="155">
                  <c:v>80.441050000000004</c:v>
                </c:pt>
                <c:pt idx="156">
                  <c:v>80.272400000000005</c:v>
                </c:pt>
                <c:pt idx="157">
                  <c:v>80.110349999999997</c:v>
                </c:pt>
                <c:pt idx="158">
                  <c:v>79.958200000000005</c:v>
                </c:pt>
                <c:pt idx="159">
                  <c:v>79.830449999999999</c:v>
                </c:pt>
                <c:pt idx="160">
                  <c:v>79.694150000000008</c:v>
                </c:pt>
                <c:pt idx="161">
                  <c:v>79.561750000000004</c:v>
                </c:pt>
                <c:pt idx="162">
                  <c:v>79.437750000000008</c:v>
                </c:pt>
                <c:pt idx="163">
                  <c:v>79.299949999999995</c:v>
                </c:pt>
                <c:pt idx="164">
                  <c:v>79.175599999999989</c:v>
                </c:pt>
                <c:pt idx="165">
                  <c:v>79.047750000000008</c:v>
                </c:pt>
                <c:pt idx="166">
                  <c:v>78.912849999999992</c:v>
                </c:pt>
                <c:pt idx="167">
                  <c:v>78.78694999999999</c:v>
                </c:pt>
                <c:pt idx="168">
                  <c:v>78.660149999999973</c:v>
                </c:pt>
                <c:pt idx="169">
                  <c:v>78.53534999999998</c:v>
                </c:pt>
                <c:pt idx="170">
                  <c:v>78.39009999999999</c:v>
                </c:pt>
                <c:pt idx="171">
                  <c:v>78.231249999999989</c:v>
                </c:pt>
                <c:pt idx="172">
                  <c:v>78.070549999999983</c:v>
                </c:pt>
                <c:pt idx="173">
                  <c:v>77.912049999999979</c:v>
                </c:pt>
                <c:pt idx="174">
                  <c:v>77.747799999999984</c:v>
                </c:pt>
                <c:pt idx="175">
                  <c:v>77.586649999999992</c:v>
                </c:pt>
                <c:pt idx="176">
                  <c:v>77.415549999999982</c:v>
                </c:pt>
                <c:pt idx="177">
                  <c:v>77.415549999999982</c:v>
                </c:pt>
                <c:pt idx="178">
                  <c:v>77.314974874371842</c:v>
                </c:pt>
                <c:pt idx="179">
                  <c:v>77.139748743718556</c:v>
                </c:pt>
                <c:pt idx="180">
                  <c:v>76.957236180904488</c:v>
                </c:pt>
                <c:pt idx="181">
                  <c:v>76.796030150753737</c:v>
                </c:pt>
                <c:pt idx="182">
                  <c:v>76.653316582914542</c:v>
                </c:pt>
                <c:pt idx="183">
                  <c:v>76.509497487437145</c:v>
                </c:pt>
                <c:pt idx="184">
                  <c:v>76.372964824120558</c:v>
                </c:pt>
                <c:pt idx="185">
                  <c:v>76.231256281406999</c:v>
                </c:pt>
                <c:pt idx="186">
                  <c:v>76.112361809045183</c:v>
                </c:pt>
                <c:pt idx="187">
                  <c:v>76.017587939698444</c:v>
                </c:pt>
                <c:pt idx="188">
                  <c:v>75.914824120602972</c:v>
                </c:pt>
                <c:pt idx="189">
                  <c:v>75.842060301507502</c:v>
                </c:pt>
                <c:pt idx="190">
                  <c:v>75.747185929648211</c:v>
                </c:pt>
                <c:pt idx="191">
                  <c:v>75.659145728643182</c:v>
                </c:pt>
                <c:pt idx="192">
                  <c:v>75.555326633165791</c:v>
                </c:pt>
                <c:pt idx="193">
                  <c:v>75.436884422110523</c:v>
                </c:pt>
                <c:pt idx="194">
                  <c:v>75.324472361809001</c:v>
                </c:pt>
                <c:pt idx="195">
                  <c:v>75.21417085427133</c:v>
                </c:pt>
                <c:pt idx="196">
                  <c:v>75.109346733668303</c:v>
                </c:pt>
                <c:pt idx="197">
                  <c:v>74.997839195979864</c:v>
                </c:pt>
                <c:pt idx="198">
                  <c:v>74.870703517587884</c:v>
                </c:pt>
                <c:pt idx="199">
                  <c:v>74.756633165829101</c:v>
                </c:pt>
                <c:pt idx="200">
                  <c:v>74.626733668341657</c:v>
                </c:pt>
                <c:pt idx="201">
                  <c:v>74.515929648241155</c:v>
                </c:pt>
                <c:pt idx="202">
                  <c:v>74.40351758793966</c:v>
                </c:pt>
                <c:pt idx="203">
                  <c:v>74.295025125628086</c:v>
                </c:pt>
                <c:pt idx="204">
                  <c:v>74.180251256281366</c:v>
                </c:pt>
                <c:pt idx="205">
                  <c:v>74.070100502512517</c:v>
                </c:pt>
                <c:pt idx="206">
                  <c:v>73.979648241205993</c:v>
                </c:pt>
                <c:pt idx="207">
                  <c:v>73.888492462311532</c:v>
                </c:pt>
                <c:pt idx="208">
                  <c:v>73.800703517587905</c:v>
                </c:pt>
                <c:pt idx="209">
                  <c:v>73.720201005025103</c:v>
                </c:pt>
                <c:pt idx="210">
                  <c:v>73.629045226130629</c:v>
                </c:pt>
                <c:pt idx="211">
                  <c:v>73.550954773869321</c:v>
                </c:pt>
                <c:pt idx="212">
                  <c:v>73.47537688442209</c:v>
                </c:pt>
                <c:pt idx="213">
                  <c:v>73.411809045226121</c:v>
                </c:pt>
                <c:pt idx="214">
                  <c:v>73.358442211055262</c:v>
                </c:pt>
                <c:pt idx="215">
                  <c:v>73.304170854271348</c:v>
                </c:pt>
                <c:pt idx="216">
                  <c:v>73.235728643216063</c:v>
                </c:pt>
                <c:pt idx="217">
                  <c:v>73.159899497487416</c:v>
                </c:pt>
                <c:pt idx="218">
                  <c:v>73.093165829145704</c:v>
                </c:pt>
                <c:pt idx="219">
                  <c:v>73.008241206030135</c:v>
                </c:pt>
                <c:pt idx="220">
                  <c:v>72.918693467336681</c:v>
                </c:pt>
                <c:pt idx="221">
                  <c:v>72.839447236180916</c:v>
                </c:pt>
                <c:pt idx="222">
                  <c:v>72.755527638190955</c:v>
                </c:pt>
                <c:pt idx="223">
                  <c:v>72.663567839195991</c:v>
                </c:pt>
                <c:pt idx="224">
                  <c:v>72.571407035175881</c:v>
                </c:pt>
                <c:pt idx="225">
                  <c:v>72.490351758793977</c:v>
                </c:pt>
                <c:pt idx="226">
                  <c:v>72.406733668341715</c:v>
                </c:pt>
                <c:pt idx="227">
                  <c:v>72.32080402010051</c:v>
                </c:pt>
                <c:pt idx="228">
                  <c:v>72.23532663316584</c:v>
                </c:pt>
                <c:pt idx="229">
                  <c:v>72.142311557788958</c:v>
                </c:pt>
                <c:pt idx="230">
                  <c:v>72.048592964824124</c:v>
                </c:pt>
                <c:pt idx="231">
                  <c:v>71.959698492462323</c:v>
                </c:pt>
                <c:pt idx="232">
                  <c:v>71.866884422110573</c:v>
                </c:pt>
                <c:pt idx="233">
                  <c:v>71.773065326633187</c:v>
                </c:pt>
                <c:pt idx="234">
                  <c:v>71.68140703517588</c:v>
                </c:pt>
                <c:pt idx="235">
                  <c:v>71.60366834170857</c:v>
                </c:pt>
                <c:pt idx="236">
                  <c:v>71.526532663316601</c:v>
                </c:pt>
                <c:pt idx="237">
                  <c:v>71.443115577889472</c:v>
                </c:pt>
                <c:pt idx="238">
                  <c:v>71.360301507537699</c:v>
                </c:pt>
                <c:pt idx="239">
                  <c:v>71.265427135678394</c:v>
                </c:pt>
                <c:pt idx="240">
                  <c:v>71.17185929648241</c:v>
                </c:pt>
                <c:pt idx="241">
                  <c:v>71.07874371859296</c:v>
                </c:pt>
                <c:pt idx="242">
                  <c:v>70.996130653266334</c:v>
                </c:pt>
                <c:pt idx="243">
                  <c:v>70.916281407035186</c:v>
                </c:pt>
                <c:pt idx="244">
                  <c:v>70.842160804020097</c:v>
                </c:pt>
                <c:pt idx="245">
                  <c:v>70.759547738693485</c:v>
                </c:pt>
                <c:pt idx="246">
                  <c:v>70.668894472361828</c:v>
                </c:pt>
                <c:pt idx="247">
                  <c:v>70.581155778894484</c:v>
                </c:pt>
                <c:pt idx="248">
                  <c:v>70.49879396984926</c:v>
                </c:pt>
                <c:pt idx="249">
                  <c:v>70.417085427135675</c:v>
                </c:pt>
                <c:pt idx="250">
                  <c:v>70.326281407035168</c:v>
                </c:pt>
                <c:pt idx="251">
                  <c:v>70.246633165829152</c:v>
                </c:pt>
                <c:pt idx="252">
                  <c:v>70.174924623115587</c:v>
                </c:pt>
                <c:pt idx="253">
                  <c:v>70.098844221105551</c:v>
                </c:pt>
                <c:pt idx="254">
                  <c:v>70.014422110552772</c:v>
                </c:pt>
                <c:pt idx="255">
                  <c:v>69.92718592964826</c:v>
                </c:pt>
                <c:pt idx="256">
                  <c:v>69.839597989949766</c:v>
                </c:pt>
                <c:pt idx="257">
                  <c:v>69.746381909547765</c:v>
                </c:pt>
                <c:pt idx="258">
                  <c:v>69.631457286432195</c:v>
                </c:pt>
                <c:pt idx="259">
                  <c:v>69.526381909547752</c:v>
                </c:pt>
                <c:pt idx="260">
                  <c:v>69.42854271356785</c:v>
                </c:pt>
                <c:pt idx="261">
                  <c:v>69.32050251256284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0-4910-9F61-D4A6CA1D7204}"/>
            </c:ext>
          </c:extLst>
        </c:ser>
        <c:ser>
          <c:idx val="3"/>
          <c:order val="3"/>
          <c:tx>
            <c:v>EUA Price</c:v>
          </c:tx>
          <c:spPr>
            <a:ln w="222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MA!$K$1:$K$265</c:f>
              <c:numCache>
                <c:formatCode>m/d/yyyy</c:formatCode>
                <c:ptCount val="265"/>
                <c:pt idx="0">
                  <c:v>45133</c:v>
                </c:pt>
                <c:pt idx="1">
                  <c:v>45134</c:v>
                </c:pt>
                <c:pt idx="2">
                  <c:v>45135</c:v>
                </c:pt>
                <c:pt idx="3">
                  <c:v>45138</c:v>
                </c:pt>
                <c:pt idx="4">
                  <c:v>45139</c:v>
                </c:pt>
                <c:pt idx="5">
                  <c:v>45140</c:v>
                </c:pt>
                <c:pt idx="6">
                  <c:v>45141</c:v>
                </c:pt>
                <c:pt idx="7">
                  <c:v>45142</c:v>
                </c:pt>
                <c:pt idx="8">
                  <c:v>45145</c:v>
                </c:pt>
                <c:pt idx="9">
                  <c:v>45146</c:v>
                </c:pt>
                <c:pt idx="10">
                  <c:v>45147</c:v>
                </c:pt>
                <c:pt idx="11">
                  <c:v>45148</c:v>
                </c:pt>
                <c:pt idx="12">
                  <c:v>45149</c:v>
                </c:pt>
                <c:pt idx="13">
                  <c:v>45152</c:v>
                </c:pt>
                <c:pt idx="14">
                  <c:v>45153</c:v>
                </c:pt>
                <c:pt idx="15">
                  <c:v>45154</c:v>
                </c:pt>
                <c:pt idx="16">
                  <c:v>45155</c:v>
                </c:pt>
                <c:pt idx="17">
                  <c:v>45156</c:v>
                </c:pt>
                <c:pt idx="18">
                  <c:v>45159</c:v>
                </c:pt>
                <c:pt idx="19">
                  <c:v>45160</c:v>
                </c:pt>
                <c:pt idx="20">
                  <c:v>45161</c:v>
                </c:pt>
                <c:pt idx="21">
                  <c:v>45162</c:v>
                </c:pt>
                <c:pt idx="22">
                  <c:v>45163</c:v>
                </c:pt>
                <c:pt idx="23">
                  <c:v>45166</c:v>
                </c:pt>
                <c:pt idx="24">
                  <c:v>45167</c:v>
                </c:pt>
                <c:pt idx="25">
                  <c:v>45168</c:v>
                </c:pt>
                <c:pt idx="26">
                  <c:v>45169</c:v>
                </c:pt>
                <c:pt idx="27">
                  <c:v>45170</c:v>
                </c:pt>
                <c:pt idx="28">
                  <c:v>45173</c:v>
                </c:pt>
                <c:pt idx="29">
                  <c:v>45174</c:v>
                </c:pt>
                <c:pt idx="30">
                  <c:v>45175</c:v>
                </c:pt>
                <c:pt idx="31">
                  <c:v>45176</c:v>
                </c:pt>
                <c:pt idx="32">
                  <c:v>45177</c:v>
                </c:pt>
                <c:pt idx="33">
                  <c:v>45180</c:v>
                </c:pt>
                <c:pt idx="34">
                  <c:v>45181</c:v>
                </c:pt>
                <c:pt idx="35">
                  <c:v>45182</c:v>
                </c:pt>
                <c:pt idx="36">
                  <c:v>45183</c:v>
                </c:pt>
                <c:pt idx="37">
                  <c:v>45184</c:v>
                </c:pt>
                <c:pt idx="38">
                  <c:v>45187</c:v>
                </c:pt>
                <c:pt idx="39">
                  <c:v>45188</c:v>
                </c:pt>
                <c:pt idx="40">
                  <c:v>45189</c:v>
                </c:pt>
                <c:pt idx="41">
                  <c:v>45190</c:v>
                </c:pt>
                <c:pt idx="42">
                  <c:v>45191</c:v>
                </c:pt>
                <c:pt idx="43">
                  <c:v>45194</c:v>
                </c:pt>
                <c:pt idx="44">
                  <c:v>45195</c:v>
                </c:pt>
                <c:pt idx="45">
                  <c:v>45196</c:v>
                </c:pt>
                <c:pt idx="46">
                  <c:v>45197</c:v>
                </c:pt>
                <c:pt idx="47">
                  <c:v>45198</c:v>
                </c:pt>
                <c:pt idx="48">
                  <c:v>45201</c:v>
                </c:pt>
                <c:pt idx="49">
                  <c:v>45202</c:v>
                </c:pt>
                <c:pt idx="50">
                  <c:v>45203</c:v>
                </c:pt>
                <c:pt idx="51">
                  <c:v>45204</c:v>
                </c:pt>
                <c:pt idx="52">
                  <c:v>45205</c:v>
                </c:pt>
                <c:pt idx="53">
                  <c:v>45208</c:v>
                </c:pt>
                <c:pt idx="54">
                  <c:v>45209</c:v>
                </c:pt>
                <c:pt idx="55">
                  <c:v>45210</c:v>
                </c:pt>
                <c:pt idx="56">
                  <c:v>45211</c:v>
                </c:pt>
                <c:pt idx="57">
                  <c:v>45212</c:v>
                </c:pt>
                <c:pt idx="58">
                  <c:v>45215</c:v>
                </c:pt>
                <c:pt idx="59">
                  <c:v>45216</c:v>
                </c:pt>
                <c:pt idx="60">
                  <c:v>45217</c:v>
                </c:pt>
                <c:pt idx="61">
                  <c:v>45218</c:v>
                </c:pt>
                <c:pt idx="62">
                  <c:v>45219</c:v>
                </c:pt>
                <c:pt idx="63">
                  <c:v>45222</c:v>
                </c:pt>
                <c:pt idx="64">
                  <c:v>45223</c:v>
                </c:pt>
                <c:pt idx="65">
                  <c:v>45224</c:v>
                </c:pt>
                <c:pt idx="66">
                  <c:v>45225</c:v>
                </c:pt>
                <c:pt idx="67">
                  <c:v>45226</c:v>
                </c:pt>
                <c:pt idx="68">
                  <c:v>45229</c:v>
                </c:pt>
                <c:pt idx="69">
                  <c:v>45230</c:v>
                </c:pt>
                <c:pt idx="70">
                  <c:v>45231</c:v>
                </c:pt>
                <c:pt idx="71">
                  <c:v>45232</c:v>
                </c:pt>
                <c:pt idx="72">
                  <c:v>45233</c:v>
                </c:pt>
                <c:pt idx="73">
                  <c:v>45236</c:v>
                </c:pt>
                <c:pt idx="74">
                  <c:v>45237</c:v>
                </c:pt>
                <c:pt idx="75">
                  <c:v>45238</c:v>
                </c:pt>
                <c:pt idx="76">
                  <c:v>45239</c:v>
                </c:pt>
                <c:pt idx="77">
                  <c:v>45240</c:v>
                </c:pt>
                <c:pt idx="78">
                  <c:v>45243</c:v>
                </c:pt>
                <c:pt idx="79">
                  <c:v>45244</c:v>
                </c:pt>
                <c:pt idx="80">
                  <c:v>45245</c:v>
                </c:pt>
                <c:pt idx="81">
                  <c:v>45246</c:v>
                </c:pt>
                <c:pt idx="82">
                  <c:v>45247</c:v>
                </c:pt>
                <c:pt idx="83">
                  <c:v>45250</c:v>
                </c:pt>
                <c:pt idx="84">
                  <c:v>45251</c:v>
                </c:pt>
                <c:pt idx="85">
                  <c:v>45252</c:v>
                </c:pt>
                <c:pt idx="86">
                  <c:v>45253</c:v>
                </c:pt>
                <c:pt idx="87">
                  <c:v>45254</c:v>
                </c:pt>
                <c:pt idx="88">
                  <c:v>45257</c:v>
                </c:pt>
                <c:pt idx="89">
                  <c:v>45258</c:v>
                </c:pt>
                <c:pt idx="90">
                  <c:v>45259</c:v>
                </c:pt>
                <c:pt idx="91">
                  <c:v>45260</c:v>
                </c:pt>
                <c:pt idx="92">
                  <c:v>45261</c:v>
                </c:pt>
                <c:pt idx="93">
                  <c:v>45264</c:v>
                </c:pt>
                <c:pt idx="94">
                  <c:v>45265</c:v>
                </c:pt>
                <c:pt idx="95">
                  <c:v>45266</c:v>
                </c:pt>
                <c:pt idx="96">
                  <c:v>45267</c:v>
                </c:pt>
                <c:pt idx="97">
                  <c:v>45268</c:v>
                </c:pt>
                <c:pt idx="98">
                  <c:v>45271</c:v>
                </c:pt>
                <c:pt idx="99">
                  <c:v>45272</c:v>
                </c:pt>
                <c:pt idx="100">
                  <c:v>45273</c:v>
                </c:pt>
                <c:pt idx="101">
                  <c:v>45274</c:v>
                </c:pt>
                <c:pt idx="102">
                  <c:v>45275</c:v>
                </c:pt>
                <c:pt idx="103">
                  <c:v>45278</c:v>
                </c:pt>
                <c:pt idx="104">
                  <c:v>45279</c:v>
                </c:pt>
                <c:pt idx="105">
                  <c:v>45280</c:v>
                </c:pt>
                <c:pt idx="106">
                  <c:v>45281</c:v>
                </c:pt>
                <c:pt idx="107">
                  <c:v>45282</c:v>
                </c:pt>
                <c:pt idx="108">
                  <c:v>45285</c:v>
                </c:pt>
                <c:pt idx="109">
                  <c:v>45286</c:v>
                </c:pt>
                <c:pt idx="110">
                  <c:v>45287</c:v>
                </c:pt>
                <c:pt idx="111">
                  <c:v>45288</c:v>
                </c:pt>
                <c:pt idx="112">
                  <c:v>45289</c:v>
                </c:pt>
                <c:pt idx="113">
                  <c:v>45292</c:v>
                </c:pt>
                <c:pt idx="114">
                  <c:v>45293</c:v>
                </c:pt>
                <c:pt idx="115">
                  <c:v>45294</c:v>
                </c:pt>
                <c:pt idx="116">
                  <c:v>45295</c:v>
                </c:pt>
                <c:pt idx="117">
                  <c:v>45296</c:v>
                </c:pt>
                <c:pt idx="118">
                  <c:v>45299</c:v>
                </c:pt>
                <c:pt idx="119">
                  <c:v>45300</c:v>
                </c:pt>
                <c:pt idx="120">
                  <c:v>45301</c:v>
                </c:pt>
                <c:pt idx="121">
                  <c:v>45302</c:v>
                </c:pt>
                <c:pt idx="122">
                  <c:v>45303</c:v>
                </c:pt>
                <c:pt idx="123">
                  <c:v>45306</c:v>
                </c:pt>
                <c:pt idx="124">
                  <c:v>45307</c:v>
                </c:pt>
                <c:pt idx="125">
                  <c:v>45308</c:v>
                </c:pt>
                <c:pt idx="126">
                  <c:v>45309</c:v>
                </c:pt>
                <c:pt idx="127">
                  <c:v>45310</c:v>
                </c:pt>
                <c:pt idx="128">
                  <c:v>45313</c:v>
                </c:pt>
                <c:pt idx="129">
                  <c:v>45314</c:v>
                </c:pt>
                <c:pt idx="130">
                  <c:v>45315</c:v>
                </c:pt>
                <c:pt idx="131">
                  <c:v>45316</c:v>
                </c:pt>
                <c:pt idx="132">
                  <c:v>45317</c:v>
                </c:pt>
                <c:pt idx="133">
                  <c:v>45320</c:v>
                </c:pt>
                <c:pt idx="134">
                  <c:v>45321</c:v>
                </c:pt>
                <c:pt idx="135">
                  <c:v>45322</c:v>
                </c:pt>
                <c:pt idx="136">
                  <c:v>45323</c:v>
                </c:pt>
                <c:pt idx="137">
                  <c:v>45324</c:v>
                </c:pt>
                <c:pt idx="138">
                  <c:v>45327</c:v>
                </c:pt>
                <c:pt idx="139">
                  <c:v>45328</c:v>
                </c:pt>
                <c:pt idx="140">
                  <c:v>45329</c:v>
                </c:pt>
                <c:pt idx="141">
                  <c:v>45330</c:v>
                </c:pt>
                <c:pt idx="142">
                  <c:v>45331</c:v>
                </c:pt>
                <c:pt idx="143">
                  <c:v>45334</c:v>
                </c:pt>
                <c:pt idx="144">
                  <c:v>45335</c:v>
                </c:pt>
                <c:pt idx="145">
                  <c:v>45336</c:v>
                </c:pt>
                <c:pt idx="146">
                  <c:v>45337</c:v>
                </c:pt>
                <c:pt idx="147">
                  <c:v>45338</c:v>
                </c:pt>
                <c:pt idx="148">
                  <c:v>45341</c:v>
                </c:pt>
                <c:pt idx="149">
                  <c:v>45342</c:v>
                </c:pt>
                <c:pt idx="150">
                  <c:v>45343</c:v>
                </c:pt>
                <c:pt idx="151">
                  <c:v>45344</c:v>
                </c:pt>
                <c:pt idx="152">
                  <c:v>45345</c:v>
                </c:pt>
                <c:pt idx="153">
                  <c:v>45348</c:v>
                </c:pt>
                <c:pt idx="154">
                  <c:v>45349</c:v>
                </c:pt>
                <c:pt idx="155">
                  <c:v>45350</c:v>
                </c:pt>
                <c:pt idx="156">
                  <c:v>45351</c:v>
                </c:pt>
                <c:pt idx="157">
                  <c:v>45352</c:v>
                </c:pt>
                <c:pt idx="158">
                  <c:v>45355</c:v>
                </c:pt>
                <c:pt idx="159">
                  <c:v>45356</c:v>
                </c:pt>
                <c:pt idx="160">
                  <c:v>45357</c:v>
                </c:pt>
                <c:pt idx="161">
                  <c:v>45358</c:v>
                </c:pt>
                <c:pt idx="162">
                  <c:v>45359</c:v>
                </c:pt>
                <c:pt idx="163">
                  <c:v>45362</c:v>
                </c:pt>
                <c:pt idx="164">
                  <c:v>45363</c:v>
                </c:pt>
                <c:pt idx="165">
                  <c:v>45364</c:v>
                </c:pt>
                <c:pt idx="166">
                  <c:v>45365</c:v>
                </c:pt>
                <c:pt idx="167">
                  <c:v>45366</c:v>
                </c:pt>
                <c:pt idx="168">
                  <c:v>45369</c:v>
                </c:pt>
                <c:pt idx="169">
                  <c:v>45370</c:v>
                </c:pt>
                <c:pt idx="170">
                  <c:v>45371</c:v>
                </c:pt>
                <c:pt idx="171">
                  <c:v>45372</c:v>
                </c:pt>
                <c:pt idx="172">
                  <c:v>45373</c:v>
                </c:pt>
                <c:pt idx="173">
                  <c:v>45376</c:v>
                </c:pt>
                <c:pt idx="174">
                  <c:v>45377</c:v>
                </c:pt>
                <c:pt idx="175">
                  <c:v>45378</c:v>
                </c:pt>
                <c:pt idx="176">
                  <c:v>45379</c:v>
                </c:pt>
                <c:pt idx="177">
                  <c:v>45380</c:v>
                </c:pt>
                <c:pt idx="178">
                  <c:v>45383</c:v>
                </c:pt>
                <c:pt idx="179">
                  <c:v>45384</c:v>
                </c:pt>
                <c:pt idx="180">
                  <c:v>45385</c:v>
                </c:pt>
                <c:pt idx="181">
                  <c:v>45386</c:v>
                </c:pt>
                <c:pt idx="182">
                  <c:v>45387</c:v>
                </c:pt>
                <c:pt idx="183">
                  <c:v>45390</c:v>
                </c:pt>
                <c:pt idx="184">
                  <c:v>45391</c:v>
                </c:pt>
                <c:pt idx="185">
                  <c:v>45392</c:v>
                </c:pt>
                <c:pt idx="186">
                  <c:v>45393</c:v>
                </c:pt>
                <c:pt idx="187">
                  <c:v>45394</c:v>
                </c:pt>
                <c:pt idx="188">
                  <c:v>45397</c:v>
                </c:pt>
                <c:pt idx="189">
                  <c:v>45398</c:v>
                </c:pt>
                <c:pt idx="190">
                  <c:v>45399</c:v>
                </c:pt>
                <c:pt idx="191">
                  <c:v>45400</c:v>
                </c:pt>
                <c:pt idx="192">
                  <c:v>45401</c:v>
                </c:pt>
                <c:pt idx="193">
                  <c:v>45404</c:v>
                </c:pt>
                <c:pt idx="194">
                  <c:v>45405</c:v>
                </c:pt>
                <c:pt idx="195">
                  <c:v>45406</c:v>
                </c:pt>
                <c:pt idx="196">
                  <c:v>45407</c:v>
                </c:pt>
                <c:pt idx="197">
                  <c:v>45408</c:v>
                </c:pt>
                <c:pt idx="198">
                  <c:v>45411</c:v>
                </c:pt>
                <c:pt idx="199">
                  <c:v>45412</c:v>
                </c:pt>
                <c:pt idx="200">
                  <c:v>45413</c:v>
                </c:pt>
                <c:pt idx="201">
                  <c:v>45414</c:v>
                </c:pt>
                <c:pt idx="202">
                  <c:v>45415</c:v>
                </c:pt>
                <c:pt idx="203">
                  <c:v>45418</c:v>
                </c:pt>
                <c:pt idx="204">
                  <c:v>45419</c:v>
                </c:pt>
                <c:pt idx="205">
                  <c:v>45420</c:v>
                </c:pt>
                <c:pt idx="206">
                  <c:v>45421</c:v>
                </c:pt>
                <c:pt idx="207">
                  <c:v>45422</c:v>
                </c:pt>
                <c:pt idx="208">
                  <c:v>45425</c:v>
                </c:pt>
                <c:pt idx="209">
                  <c:v>45426</c:v>
                </c:pt>
                <c:pt idx="210">
                  <c:v>45427</c:v>
                </c:pt>
                <c:pt idx="211">
                  <c:v>45428</c:v>
                </c:pt>
                <c:pt idx="212">
                  <c:v>45429</c:v>
                </c:pt>
                <c:pt idx="213">
                  <c:v>45432</c:v>
                </c:pt>
                <c:pt idx="214">
                  <c:v>45433</c:v>
                </c:pt>
                <c:pt idx="215">
                  <c:v>45434</c:v>
                </c:pt>
                <c:pt idx="216">
                  <c:v>45435</c:v>
                </c:pt>
                <c:pt idx="217">
                  <c:v>45436</c:v>
                </c:pt>
                <c:pt idx="218">
                  <c:v>45439</c:v>
                </c:pt>
                <c:pt idx="219">
                  <c:v>45440</c:v>
                </c:pt>
                <c:pt idx="220">
                  <c:v>45441</c:v>
                </c:pt>
                <c:pt idx="221">
                  <c:v>45442</c:v>
                </c:pt>
                <c:pt idx="222">
                  <c:v>45443</c:v>
                </c:pt>
                <c:pt idx="223">
                  <c:v>45446</c:v>
                </c:pt>
                <c:pt idx="224">
                  <c:v>45447</c:v>
                </c:pt>
                <c:pt idx="225">
                  <c:v>45448</c:v>
                </c:pt>
                <c:pt idx="226">
                  <c:v>45449</c:v>
                </c:pt>
                <c:pt idx="227">
                  <c:v>45450</c:v>
                </c:pt>
                <c:pt idx="228">
                  <c:v>45453</c:v>
                </c:pt>
                <c:pt idx="229">
                  <c:v>45454</c:v>
                </c:pt>
                <c:pt idx="230">
                  <c:v>45455</c:v>
                </c:pt>
                <c:pt idx="231">
                  <c:v>45456</c:v>
                </c:pt>
                <c:pt idx="232">
                  <c:v>45457</c:v>
                </c:pt>
                <c:pt idx="233">
                  <c:v>45460</c:v>
                </c:pt>
                <c:pt idx="234">
                  <c:v>45461</c:v>
                </c:pt>
                <c:pt idx="235">
                  <c:v>45462</c:v>
                </c:pt>
                <c:pt idx="236">
                  <c:v>45463</c:v>
                </c:pt>
                <c:pt idx="237">
                  <c:v>45464</c:v>
                </c:pt>
                <c:pt idx="238">
                  <c:v>45467</c:v>
                </c:pt>
                <c:pt idx="239">
                  <c:v>45468</c:v>
                </c:pt>
                <c:pt idx="240">
                  <c:v>45469</c:v>
                </c:pt>
                <c:pt idx="241">
                  <c:v>45470</c:v>
                </c:pt>
                <c:pt idx="242">
                  <c:v>45471</c:v>
                </c:pt>
                <c:pt idx="243">
                  <c:v>45474</c:v>
                </c:pt>
                <c:pt idx="244">
                  <c:v>45475</c:v>
                </c:pt>
                <c:pt idx="245">
                  <c:v>45476</c:v>
                </c:pt>
                <c:pt idx="246">
                  <c:v>45477</c:v>
                </c:pt>
                <c:pt idx="247">
                  <c:v>45478</c:v>
                </c:pt>
                <c:pt idx="248">
                  <c:v>45481</c:v>
                </c:pt>
                <c:pt idx="249">
                  <c:v>45482</c:v>
                </c:pt>
                <c:pt idx="250">
                  <c:v>45483</c:v>
                </c:pt>
                <c:pt idx="251">
                  <c:v>45484</c:v>
                </c:pt>
                <c:pt idx="252">
                  <c:v>45485</c:v>
                </c:pt>
                <c:pt idx="253">
                  <c:v>45488</c:v>
                </c:pt>
                <c:pt idx="254">
                  <c:v>45489</c:v>
                </c:pt>
                <c:pt idx="255">
                  <c:v>45490</c:v>
                </c:pt>
                <c:pt idx="256">
                  <c:v>45491</c:v>
                </c:pt>
                <c:pt idx="257">
                  <c:v>45492</c:v>
                </c:pt>
                <c:pt idx="258">
                  <c:v>45495</c:v>
                </c:pt>
                <c:pt idx="259">
                  <c:v>45496</c:v>
                </c:pt>
                <c:pt idx="260">
                  <c:v>45497</c:v>
                </c:pt>
                <c:pt idx="261">
                  <c:v>45498</c:v>
                </c:pt>
              </c:numCache>
            </c:numRef>
          </c:cat>
          <c:val>
            <c:numRef>
              <c:f>MA!$J$1:$J$265</c:f>
              <c:numCache>
                <c:formatCode>General</c:formatCode>
                <c:ptCount val="265"/>
                <c:pt idx="0">
                  <c:v>90.77</c:v>
                </c:pt>
                <c:pt idx="1">
                  <c:v>90.92</c:v>
                </c:pt>
                <c:pt idx="2">
                  <c:v>88.7</c:v>
                </c:pt>
                <c:pt idx="3">
                  <c:v>86.81</c:v>
                </c:pt>
                <c:pt idx="4">
                  <c:v>84.62</c:v>
                </c:pt>
                <c:pt idx="5">
                  <c:v>83.2</c:v>
                </c:pt>
                <c:pt idx="6">
                  <c:v>84.41</c:v>
                </c:pt>
                <c:pt idx="7">
                  <c:v>83.41</c:v>
                </c:pt>
                <c:pt idx="8">
                  <c:v>82.64</c:v>
                </c:pt>
                <c:pt idx="9">
                  <c:v>83.97</c:v>
                </c:pt>
                <c:pt idx="10">
                  <c:v>83.9</c:v>
                </c:pt>
                <c:pt idx="11">
                  <c:v>84.55</c:v>
                </c:pt>
                <c:pt idx="12">
                  <c:v>86.8</c:v>
                </c:pt>
                <c:pt idx="13">
                  <c:v>87.95</c:v>
                </c:pt>
                <c:pt idx="14">
                  <c:v>86.87</c:v>
                </c:pt>
                <c:pt idx="15">
                  <c:v>88.58</c:v>
                </c:pt>
                <c:pt idx="16">
                  <c:v>88.85</c:v>
                </c:pt>
                <c:pt idx="17">
                  <c:v>88.05</c:v>
                </c:pt>
                <c:pt idx="18">
                  <c:v>87.85</c:v>
                </c:pt>
                <c:pt idx="19">
                  <c:v>90.01</c:v>
                </c:pt>
                <c:pt idx="20">
                  <c:v>88</c:v>
                </c:pt>
                <c:pt idx="21">
                  <c:v>85.21</c:v>
                </c:pt>
                <c:pt idx="22">
                  <c:v>85.25</c:v>
                </c:pt>
                <c:pt idx="23">
                  <c:v>85.6</c:v>
                </c:pt>
                <c:pt idx="24">
                  <c:v>85</c:v>
                </c:pt>
                <c:pt idx="25">
                  <c:v>86</c:v>
                </c:pt>
                <c:pt idx="26">
                  <c:v>86.03</c:v>
                </c:pt>
                <c:pt idx="27">
                  <c:v>85.64</c:v>
                </c:pt>
                <c:pt idx="28">
                  <c:v>84.08</c:v>
                </c:pt>
                <c:pt idx="29">
                  <c:v>83.91</c:v>
                </c:pt>
                <c:pt idx="30">
                  <c:v>83.7</c:v>
                </c:pt>
                <c:pt idx="31">
                  <c:v>83.29</c:v>
                </c:pt>
                <c:pt idx="32">
                  <c:v>81.62</c:v>
                </c:pt>
                <c:pt idx="33">
                  <c:v>81.73</c:v>
                </c:pt>
                <c:pt idx="34">
                  <c:v>81.12</c:v>
                </c:pt>
                <c:pt idx="35">
                  <c:v>83.76</c:v>
                </c:pt>
                <c:pt idx="36">
                  <c:v>82.93</c:v>
                </c:pt>
                <c:pt idx="37">
                  <c:v>82.1</c:v>
                </c:pt>
                <c:pt idx="38">
                  <c:v>80.88</c:v>
                </c:pt>
                <c:pt idx="39">
                  <c:v>81.3</c:v>
                </c:pt>
                <c:pt idx="40">
                  <c:v>82.76</c:v>
                </c:pt>
                <c:pt idx="41">
                  <c:v>84.43</c:v>
                </c:pt>
                <c:pt idx="42">
                  <c:v>85.3</c:v>
                </c:pt>
                <c:pt idx="43">
                  <c:v>84.89</c:v>
                </c:pt>
                <c:pt idx="44">
                  <c:v>82.51</c:v>
                </c:pt>
                <c:pt idx="45">
                  <c:v>81.86</c:v>
                </c:pt>
                <c:pt idx="46">
                  <c:v>83.11</c:v>
                </c:pt>
                <c:pt idx="47">
                  <c:v>81.45</c:v>
                </c:pt>
                <c:pt idx="48">
                  <c:v>80.7</c:v>
                </c:pt>
                <c:pt idx="49">
                  <c:v>79.8</c:v>
                </c:pt>
                <c:pt idx="50">
                  <c:v>81.819999999999993</c:v>
                </c:pt>
                <c:pt idx="51">
                  <c:v>80.86</c:v>
                </c:pt>
                <c:pt idx="52">
                  <c:v>80.62</c:v>
                </c:pt>
                <c:pt idx="53">
                  <c:v>81.63</c:v>
                </c:pt>
                <c:pt idx="54">
                  <c:v>84.74</c:v>
                </c:pt>
                <c:pt idx="55">
                  <c:v>83.78</c:v>
                </c:pt>
                <c:pt idx="56">
                  <c:v>85.45</c:v>
                </c:pt>
                <c:pt idx="57">
                  <c:v>85.66</c:v>
                </c:pt>
                <c:pt idx="58">
                  <c:v>83.41</c:v>
                </c:pt>
                <c:pt idx="59">
                  <c:v>82.65</c:v>
                </c:pt>
                <c:pt idx="60">
                  <c:v>81.790000000000006</c:v>
                </c:pt>
                <c:pt idx="61">
                  <c:v>82</c:v>
                </c:pt>
                <c:pt idx="62">
                  <c:v>81.67</c:v>
                </c:pt>
                <c:pt idx="63">
                  <c:v>80.3</c:v>
                </c:pt>
                <c:pt idx="64">
                  <c:v>80.66</c:v>
                </c:pt>
                <c:pt idx="65">
                  <c:v>79.930000000000007</c:v>
                </c:pt>
                <c:pt idx="66">
                  <c:v>79.58</c:v>
                </c:pt>
                <c:pt idx="67">
                  <c:v>79.36</c:v>
                </c:pt>
                <c:pt idx="68">
                  <c:v>78.78</c:v>
                </c:pt>
                <c:pt idx="69">
                  <c:v>79.41</c:v>
                </c:pt>
                <c:pt idx="70">
                  <c:v>78.66</c:v>
                </c:pt>
                <c:pt idx="71">
                  <c:v>79.06</c:v>
                </c:pt>
                <c:pt idx="72">
                  <c:v>77.2</c:v>
                </c:pt>
                <c:pt idx="73">
                  <c:v>75.88</c:v>
                </c:pt>
                <c:pt idx="74">
                  <c:v>75.36</c:v>
                </c:pt>
                <c:pt idx="75">
                  <c:v>75.400000000000006</c:v>
                </c:pt>
                <c:pt idx="76">
                  <c:v>77.3</c:v>
                </c:pt>
                <c:pt idx="77">
                  <c:v>78.5</c:v>
                </c:pt>
                <c:pt idx="78">
                  <c:v>77.040000000000006</c:v>
                </c:pt>
                <c:pt idx="79">
                  <c:v>78.569999999999993</c:v>
                </c:pt>
                <c:pt idx="80">
                  <c:v>79.8</c:v>
                </c:pt>
                <c:pt idx="81">
                  <c:v>77.2</c:v>
                </c:pt>
                <c:pt idx="82">
                  <c:v>76.23</c:v>
                </c:pt>
                <c:pt idx="83">
                  <c:v>76.66</c:v>
                </c:pt>
                <c:pt idx="84">
                  <c:v>75.209999999999994</c:v>
                </c:pt>
                <c:pt idx="85">
                  <c:v>75.099999999999994</c:v>
                </c:pt>
                <c:pt idx="86">
                  <c:v>76.569999999999993</c:v>
                </c:pt>
                <c:pt idx="87">
                  <c:v>76.459999999999994</c:v>
                </c:pt>
                <c:pt idx="88">
                  <c:v>73.069999999999993</c:v>
                </c:pt>
                <c:pt idx="89">
                  <c:v>72.5</c:v>
                </c:pt>
                <c:pt idx="90">
                  <c:v>70.78</c:v>
                </c:pt>
                <c:pt idx="91">
                  <c:v>70.55</c:v>
                </c:pt>
                <c:pt idx="92">
                  <c:v>72.45</c:v>
                </c:pt>
                <c:pt idx="93">
                  <c:v>70.430000000000007</c:v>
                </c:pt>
                <c:pt idx="94">
                  <c:v>68.91</c:v>
                </c:pt>
                <c:pt idx="95">
                  <c:v>68.959999999999994</c:v>
                </c:pt>
                <c:pt idx="96">
                  <c:v>69.97</c:v>
                </c:pt>
                <c:pt idx="97">
                  <c:v>68.62</c:v>
                </c:pt>
                <c:pt idx="98">
                  <c:v>67.34</c:v>
                </c:pt>
                <c:pt idx="99">
                  <c:v>68.239999999999995</c:v>
                </c:pt>
                <c:pt idx="100">
                  <c:v>68.88</c:v>
                </c:pt>
                <c:pt idx="101">
                  <c:v>66.73</c:v>
                </c:pt>
                <c:pt idx="102">
                  <c:v>67.569999999999993</c:v>
                </c:pt>
                <c:pt idx="103">
                  <c:v>68.83</c:v>
                </c:pt>
                <c:pt idx="104">
                  <c:v>71.930000000000007</c:v>
                </c:pt>
                <c:pt idx="105">
                  <c:v>75.36</c:v>
                </c:pt>
                <c:pt idx="106">
                  <c:v>78.14</c:v>
                </c:pt>
                <c:pt idx="107">
                  <c:v>79.14</c:v>
                </c:pt>
                <c:pt idx="108">
                  <c:v>79.14</c:v>
                </c:pt>
                <c:pt idx="109">
                  <c:v>79.14</c:v>
                </c:pt>
                <c:pt idx="110">
                  <c:v>80.040000000000006</c:v>
                </c:pt>
                <c:pt idx="111">
                  <c:v>80.239999999999995</c:v>
                </c:pt>
                <c:pt idx="112">
                  <c:v>80.19</c:v>
                </c:pt>
                <c:pt idx="113">
                  <c:v>80.19</c:v>
                </c:pt>
                <c:pt idx="114">
                  <c:v>76.17</c:v>
                </c:pt>
                <c:pt idx="115">
                  <c:v>77.489999999999995</c:v>
                </c:pt>
                <c:pt idx="116">
                  <c:v>75.87</c:v>
                </c:pt>
                <c:pt idx="117">
                  <c:v>76.14</c:v>
                </c:pt>
                <c:pt idx="118">
                  <c:v>72.05</c:v>
                </c:pt>
                <c:pt idx="119">
                  <c:v>72.06</c:v>
                </c:pt>
                <c:pt idx="120">
                  <c:v>70.010000000000005</c:v>
                </c:pt>
                <c:pt idx="121">
                  <c:v>67.900000000000006</c:v>
                </c:pt>
                <c:pt idx="122">
                  <c:v>65.81</c:v>
                </c:pt>
                <c:pt idx="123">
                  <c:v>66.900000000000006</c:v>
                </c:pt>
                <c:pt idx="124">
                  <c:v>65.489999999999995</c:v>
                </c:pt>
                <c:pt idx="125">
                  <c:v>63.31</c:v>
                </c:pt>
                <c:pt idx="126">
                  <c:v>63.28</c:v>
                </c:pt>
                <c:pt idx="127">
                  <c:v>63.42</c:v>
                </c:pt>
                <c:pt idx="128">
                  <c:v>62.41</c:v>
                </c:pt>
                <c:pt idx="129">
                  <c:v>63.27</c:v>
                </c:pt>
                <c:pt idx="130">
                  <c:v>65.8</c:v>
                </c:pt>
                <c:pt idx="131">
                  <c:v>63.41</c:v>
                </c:pt>
                <c:pt idx="132">
                  <c:v>63.1</c:v>
                </c:pt>
                <c:pt idx="133">
                  <c:v>61.77</c:v>
                </c:pt>
                <c:pt idx="134">
                  <c:v>64.02</c:v>
                </c:pt>
                <c:pt idx="135">
                  <c:v>64.400000000000006</c:v>
                </c:pt>
                <c:pt idx="136">
                  <c:v>62.32</c:v>
                </c:pt>
                <c:pt idx="137">
                  <c:v>63.5</c:v>
                </c:pt>
                <c:pt idx="138">
                  <c:v>62.59</c:v>
                </c:pt>
                <c:pt idx="139">
                  <c:v>63.49</c:v>
                </c:pt>
                <c:pt idx="140">
                  <c:v>62.32</c:v>
                </c:pt>
                <c:pt idx="141">
                  <c:v>60.71</c:v>
                </c:pt>
                <c:pt idx="142">
                  <c:v>58.8</c:v>
                </c:pt>
                <c:pt idx="143">
                  <c:v>57.2</c:v>
                </c:pt>
                <c:pt idx="144">
                  <c:v>56.65</c:v>
                </c:pt>
                <c:pt idx="145">
                  <c:v>56.44</c:v>
                </c:pt>
                <c:pt idx="146">
                  <c:v>57.95</c:v>
                </c:pt>
                <c:pt idx="147">
                  <c:v>57.11</c:v>
                </c:pt>
                <c:pt idx="148">
                  <c:v>53.14</c:v>
                </c:pt>
                <c:pt idx="149">
                  <c:v>54.21</c:v>
                </c:pt>
                <c:pt idx="150">
                  <c:v>54.51</c:v>
                </c:pt>
                <c:pt idx="151">
                  <c:v>52.59</c:v>
                </c:pt>
                <c:pt idx="152">
                  <c:v>52.51</c:v>
                </c:pt>
                <c:pt idx="153">
                  <c:v>53.83</c:v>
                </c:pt>
                <c:pt idx="154">
                  <c:v>55.96</c:v>
                </c:pt>
                <c:pt idx="155">
                  <c:v>57.21</c:v>
                </c:pt>
                <c:pt idx="156">
                  <c:v>56.44</c:v>
                </c:pt>
                <c:pt idx="157">
                  <c:v>56.31</c:v>
                </c:pt>
                <c:pt idx="158">
                  <c:v>57.28</c:v>
                </c:pt>
                <c:pt idx="159">
                  <c:v>60</c:v>
                </c:pt>
                <c:pt idx="160">
                  <c:v>58.79</c:v>
                </c:pt>
                <c:pt idx="161">
                  <c:v>59.44</c:v>
                </c:pt>
                <c:pt idx="162">
                  <c:v>58.5</c:v>
                </c:pt>
                <c:pt idx="163">
                  <c:v>56.13</c:v>
                </c:pt>
                <c:pt idx="164">
                  <c:v>57</c:v>
                </c:pt>
                <c:pt idx="165">
                  <c:v>55.87</c:v>
                </c:pt>
                <c:pt idx="166">
                  <c:v>58.8</c:v>
                </c:pt>
                <c:pt idx="167">
                  <c:v>59.38</c:v>
                </c:pt>
                <c:pt idx="168">
                  <c:v>61.42</c:v>
                </c:pt>
                <c:pt idx="169">
                  <c:v>61.31</c:v>
                </c:pt>
                <c:pt idx="170">
                  <c:v>60.01</c:v>
                </c:pt>
                <c:pt idx="171">
                  <c:v>59.37</c:v>
                </c:pt>
                <c:pt idx="172">
                  <c:v>61.5</c:v>
                </c:pt>
                <c:pt idx="173">
                  <c:v>64.84</c:v>
                </c:pt>
                <c:pt idx="174">
                  <c:v>63</c:v>
                </c:pt>
                <c:pt idx="175">
                  <c:v>62.61</c:v>
                </c:pt>
                <c:pt idx="176">
                  <c:v>61.93</c:v>
                </c:pt>
                <c:pt idx="177">
                  <c:v>61.93</c:v>
                </c:pt>
                <c:pt idx="178">
                  <c:v>61.93</c:v>
                </c:pt>
                <c:pt idx="179">
                  <c:v>58.9</c:v>
                </c:pt>
                <c:pt idx="180">
                  <c:v>57.55</c:v>
                </c:pt>
                <c:pt idx="181">
                  <c:v>58.39</c:v>
                </c:pt>
                <c:pt idx="182">
                  <c:v>61.01</c:v>
                </c:pt>
                <c:pt idx="183">
                  <c:v>63.39</c:v>
                </c:pt>
                <c:pt idx="184">
                  <c:v>63.96</c:v>
                </c:pt>
                <c:pt idx="185">
                  <c:v>62.85</c:v>
                </c:pt>
                <c:pt idx="186">
                  <c:v>68.83</c:v>
                </c:pt>
                <c:pt idx="187">
                  <c:v>71.64</c:v>
                </c:pt>
                <c:pt idx="188">
                  <c:v>70.16</c:v>
                </c:pt>
                <c:pt idx="189">
                  <c:v>74.25</c:v>
                </c:pt>
                <c:pt idx="190">
                  <c:v>70.33</c:v>
                </c:pt>
                <c:pt idx="191">
                  <c:v>71.55</c:v>
                </c:pt>
                <c:pt idx="192">
                  <c:v>68.52</c:v>
                </c:pt>
                <c:pt idx="193">
                  <c:v>66.400000000000006</c:v>
                </c:pt>
                <c:pt idx="194">
                  <c:v>66.38</c:v>
                </c:pt>
                <c:pt idx="195">
                  <c:v>66.849999999999994</c:v>
                </c:pt>
                <c:pt idx="196">
                  <c:v>68.41</c:v>
                </c:pt>
                <c:pt idx="197">
                  <c:v>67.510000000000005</c:v>
                </c:pt>
                <c:pt idx="198">
                  <c:v>65.8</c:v>
                </c:pt>
                <c:pt idx="199">
                  <c:v>69.2</c:v>
                </c:pt>
                <c:pt idx="200">
                  <c:v>67.91</c:v>
                </c:pt>
                <c:pt idx="201">
                  <c:v>72.69</c:v>
                </c:pt>
                <c:pt idx="202">
                  <c:v>71.84</c:v>
                </c:pt>
                <c:pt idx="203">
                  <c:v>73.67</c:v>
                </c:pt>
                <c:pt idx="204">
                  <c:v>70.849999999999994</c:v>
                </c:pt>
                <c:pt idx="205">
                  <c:v>71.92</c:v>
                </c:pt>
                <c:pt idx="206">
                  <c:v>73.62</c:v>
                </c:pt>
                <c:pt idx="207">
                  <c:v>71.59</c:v>
                </c:pt>
                <c:pt idx="208">
                  <c:v>70.069999999999993</c:v>
                </c:pt>
                <c:pt idx="209">
                  <c:v>70.099999999999994</c:v>
                </c:pt>
                <c:pt idx="210">
                  <c:v>69.19</c:v>
                </c:pt>
                <c:pt idx="211">
                  <c:v>70.790000000000006</c:v>
                </c:pt>
                <c:pt idx="212">
                  <c:v>70.52</c:v>
                </c:pt>
                <c:pt idx="213">
                  <c:v>74.239999999999995</c:v>
                </c:pt>
                <c:pt idx="214">
                  <c:v>76.2</c:v>
                </c:pt>
                <c:pt idx="215">
                  <c:v>76.67</c:v>
                </c:pt>
                <c:pt idx="216">
                  <c:v>76.099999999999994</c:v>
                </c:pt>
                <c:pt idx="217">
                  <c:v>75.78</c:v>
                </c:pt>
                <c:pt idx="218">
                  <c:v>76.510000000000005</c:v>
                </c:pt>
                <c:pt idx="219">
                  <c:v>74.599999999999994</c:v>
                </c:pt>
                <c:pt idx="220">
                  <c:v>73.95</c:v>
                </c:pt>
                <c:pt idx="221">
                  <c:v>75.2</c:v>
                </c:pt>
                <c:pt idx="222">
                  <c:v>74.069999999999993</c:v>
                </c:pt>
                <c:pt idx="223">
                  <c:v>74.63</c:v>
                </c:pt>
                <c:pt idx="224">
                  <c:v>72.58</c:v>
                </c:pt>
                <c:pt idx="225">
                  <c:v>72</c:v>
                </c:pt>
                <c:pt idx="226">
                  <c:v>71.53</c:v>
                </c:pt>
                <c:pt idx="227">
                  <c:v>71.42</c:v>
                </c:pt>
                <c:pt idx="228">
                  <c:v>70.91</c:v>
                </c:pt>
                <c:pt idx="229">
                  <c:v>70.41</c:v>
                </c:pt>
                <c:pt idx="230">
                  <c:v>70.3</c:v>
                </c:pt>
                <c:pt idx="231">
                  <c:v>70.87</c:v>
                </c:pt>
                <c:pt idx="232">
                  <c:v>68.53</c:v>
                </c:pt>
                <c:pt idx="233">
                  <c:v>68.16</c:v>
                </c:pt>
                <c:pt idx="234">
                  <c:v>68.38</c:v>
                </c:pt>
                <c:pt idx="235">
                  <c:v>70.739999999999995</c:v>
                </c:pt>
                <c:pt idx="236">
                  <c:v>69.19</c:v>
                </c:pt>
                <c:pt idx="237">
                  <c:v>68.05</c:v>
                </c:pt>
                <c:pt idx="238">
                  <c:v>67.56</c:v>
                </c:pt>
                <c:pt idx="239">
                  <c:v>67.8</c:v>
                </c:pt>
                <c:pt idx="240">
                  <c:v>67.23</c:v>
                </c:pt>
                <c:pt idx="241">
                  <c:v>66.489999999999995</c:v>
                </c:pt>
                <c:pt idx="242">
                  <c:v>67.36</c:v>
                </c:pt>
                <c:pt idx="243">
                  <c:v>68.33</c:v>
                </c:pt>
                <c:pt idx="244">
                  <c:v>70.930000000000007</c:v>
                </c:pt>
                <c:pt idx="245">
                  <c:v>70.91</c:v>
                </c:pt>
                <c:pt idx="246">
                  <c:v>70.180000000000007</c:v>
                </c:pt>
                <c:pt idx="247">
                  <c:v>70.349999999999994</c:v>
                </c:pt>
                <c:pt idx="248">
                  <c:v>69.040000000000006</c:v>
                </c:pt>
                <c:pt idx="249">
                  <c:v>68.52</c:v>
                </c:pt>
                <c:pt idx="250">
                  <c:v>67.959999999999994</c:v>
                </c:pt>
                <c:pt idx="251">
                  <c:v>68.52</c:v>
                </c:pt>
                <c:pt idx="252">
                  <c:v>69.349999999999994</c:v>
                </c:pt>
                <c:pt idx="253">
                  <c:v>67.58</c:v>
                </c:pt>
                <c:pt idx="254">
                  <c:v>67.94</c:v>
                </c:pt>
                <c:pt idx="255">
                  <c:v>66.42</c:v>
                </c:pt>
                <c:pt idx="256">
                  <c:v>66.11</c:v>
                </c:pt>
                <c:pt idx="257">
                  <c:v>66</c:v>
                </c:pt>
                <c:pt idx="258">
                  <c:v>64.790000000000006</c:v>
                </c:pt>
                <c:pt idx="259">
                  <c:v>65.790000000000006</c:v>
                </c:pt>
                <c:pt idx="260">
                  <c:v>68.900000000000006</c:v>
                </c:pt>
                <c:pt idx="261">
                  <c:v>67.08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80-4910-9F61-D4A6CA1D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445343"/>
        <c:axId val="1577444383"/>
      </c:lineChart>
      <c:dateAx>
        <c:axId val="15774453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44383"/>
        <c:crosses val="autoZero"/>
        <c:auto val="1"/>
        <c:lblOffset val="100"/>
        <c:baseTimeUnit val="days"/>
        <c:majorUnit val="1"/>
        <c:majorTimeUnit val="months"/>
      </c:dateAx>
      <c:valAx>
        <c:axId val="157744438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4534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8283</xdr:colOff>
      <xdr:row>12</xdr:row>
      <xdr:rowOff>8283</xdr:rowOff>
    </xdr:from>
    <xdr:to>
      <xdr:col>22</xdr:col>
      <xdr:colOff>611008</xdr:colOff>
      <xdr:row>39</xdr:row>
      <xdr:rowOff>8281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6FC45583-1A99-4033-B6F2-ECC5B4F00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Apostle color -2014">
      <a:dk1>
        <a:sysClr val="windowText" lastClr="000000"/>
      </a:dk1>
      <a:lt1>
        <a:sysClr val="window" lastClr="FFFFFF"/>
      </a:lt1>
      <a:dk2>
        <a:srgbClr val="152B42"/>
      </a:dk2>
      <a:lt2>
        <a:srgbClr val="B1B1B1"/>
      </a:lt2>
      <a:accent1>
        <a:srgbClr val="E3932D"/>
      </a:accent1>
      <a:accent2>
        <a:srgbClr val="64C5D6"/>
      </a:accent2>
      <a:accent3>
        <a:srgbClr val="B0D1D9"/>
      </a:accent3>
      <a:accent4>
        <a:srgbClr val="4E492A"/>
      </a:accent4>
      <a:accent5>
        <a:srgbClr val="86A777"/>
      </a:accent5>
      <a:accent6>
        <a:srgbClr val="4EA72E"/>
      </a:accent6>
      <a:hlink>
        <a:srgbClr val="00B0F0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954B-24B9-4318-ACD1-B5A6107CAEED}">
  <sheetPr>
    <tabColor rgb="FF002060"/>
  </sheetPr>
  <dimension ref="B1:Y63"/>
  <sheetViews>
    <sheetView tabSelected="1" topLeftCell="A20" zoomScale="115" zoomScaleNormal="115" workbookViewId="0">
      <selection activeCell="J49" sqref="J49"/>
    </sheetView>
  </sheetViews>
  <sheetFormatPr defaultRowHeight="15" x14ac:dyDescent="0.25"/>
  <cols>
    <col min="2" max="2" width="17.85546875" customWidth="1"/>
    <col min="3" max="3" width="34.28515625" customWidth="1"/>
    <col min="4" max="5" width="13.28515625" customWidth="1"/>
    <col min="6" max="6" width="13.28515625" bestFit="1" customWidth="1"/>
    <col min="7" max="8" width="20.28515625" customWidth="1"/>
    <col min="9" max="9" width="11.28515625" customWidth="1"/>
    <col min="10" max="10" width="11.140625" customWidth="1"/>
    <col min="11" max="11" width="11.7109375" customWidth="1"/>
    <col min="12" max="14" width="8.85546875" hidden="1" customWidth="1"/>
    <col min="17" max="17" width="8.85546875" customWidth="1"/>
    <col min="25" max="25" width="14" bestFit="1" customWidth="1"/>
  </cols>
  <sheetData>
    <row r="1" spans="2:25" ht="25.15" customHeight="1" thickBot="1" x14ac:dyDescent="0.3">
      <c r="I1" s="105"/>
      <c r="J1" s="105"/>
      <c r="K1" s="105"/>
    </row>
    <row r="2" spans="2:25" ht="15.75" thickBot="1" x14ac:dyDescent="0.3">
      <c r="B2" s="54" t="s">
        <v>0</v>
      </c>
      <c r="C2" s="54" t="s">
        <v>1</v>
      </c>
      <c r="D2" s="54" t="s">
        <v>2</v>
      </c>
      <c r="E2" s="54" t="s">
        <v>3</v>
      </c>
      <c r="F2" s="54" t="s">
        <v>4</v>
      </c>
      <c r="G2" s="54" t="s">
        <v>5</v>
      </c>
      <c r="H2" s="54" t="s">
        <v>6</v>
      </c>
      <c r="I2" s="54" t="s">
        <v>7</v>
      </c>
      <c r="J2" s="54" t="s">
        <v>8</v>
      </c>
      <c r="K2" s="54" t="s">
        <v>9</v>
      </c>
      <c r="L2" s="54" t="s">
        <v>7</v>
      </c>
      <c r="M2" s="54" t="s">
        <v>8</v>
      </c>
      <c r="N2" s="54" t="s">
        <v>9</v>
      </c>
      <c r="O2" s="108" t="s">
        <v>10</v>
      </c>
      <c r="P2" s="109"/>
      <c r="Q2" s="110"/>
      <c r="R2" s="108" t="s">
        <v>11</v>
      </c>
      <c r="S2" s="109"/>
      <c r="T2" s="110"/>
      <c r="U2" s="108" t="s">
        <v>12</v>
      </c>
      <c r="V2" s="109"/>
      <c r="W2" s="109"/>
    </row>
    <row r="3" spans="2:25" x14ac:dyDescent="0.25">
      <c r="B3" s="55" t="s">
        <v>13</v>
      </c>
      <c r="C3" s="56" t="s">
        <v>14</v>
      </c>
      <c r="D3" s="62">
        <f>'COT-G362'!B2</f>
        <v>-23378.799999999999</v>
      </c>
      <c r="E3" s="62">
        <f>MEDIAN('COT-G362'!B2:B54)</f>
        <v>-19027.73</v>
      </c>
      <c r="F3" s="62">
        <f>AVERAGE('COT-G362'!B2:B54)</f>
        <v>-19821.847735849064</v>
      </c>
      <c r="G3" s="57">
        <f>'COT-G362'!G2</f>
        <v>-0.31885774615954854</v>
      </c>
      <c r="H3" s="94">
        <f>IF(_xlfn.NORM.DIST(G3,0,1,TRUE)&gt;0.5, (_xlfn.NORM.DIST(G3,0,1,TRUE)-0.5)*2, (0.5-_xlfn.NORM.DIST(G3,0,1,TRUE))*2)</f>
        <v>0.25016561321533404</v>
      </c>
      <c r="I3" s="67">
        <f>'COT-G362'!N2</f>
        <v>-7617.8300000000017</v>
      </c>
      <c r="J3" s="68">
        <f>'COT-G362'!O2</f>
        <v>-4113.0148076923088</v>
      </c>
      <c r="K3" s="69">
        <f>'COT-G362'!P2</f>
        <v>3105.7541666666657</v>
      </c>
      <c r="N3" s="44"/>
      <c r="O3" s="111"/>
      <c r="P3" s="105"/>
      <c r="Q3" s="105"/>
      <c r="R3" s="105"/>
      <c r="S3" s="105"/>
      <c r="T3" s="105"/>
      <c r="U3" s="105"/>
      <c r="V3" s="105"/>
      <c r="W3" s="105"/>
      <c r="Y3" s="95"/>
    </row>
    <row r="4" spans="2:25" x14ac:dyDescent="0.25">
      <c r="B4" s="55" t="s">
        <v>13</v>
      </c>
      <c r="C4" s="56" t="s">
        <v>15</v>
      </c>
      <c r="D4" s="63">
        <f>'COT-G362'!F2/100</f>
        <v>6.7549999999999999E-2</v>
      </c>
      <c r="E4" s="63">
        <f>MEDIAN('COT-G362'!F2:F54)/100</f>
        <v>6.7549999999999999E-2</v>
      </c>
      <c r="F4" s="63">
        <f>AVERAGE('COT-G362'!F2:F54)/100</f>
        <v>7.1439622641509437E-2</v>
      </c>
      <c r="G4" s="57">
        <f>'COT-G362'!J2</f>
        <v>-0.28958948983577076</v>
      </c>
      <c r="H4" s="94">
        <f>IF(_xlfn.NORM.DIST(G4,0,1,TRUE)&gt;0.5, (_xlfn.NORM.DIST(G4,0,1,TRUE)-0.5)*2, (0.5-_xlfn.NORM.DIST(G4,0,1,TRUE))*2)</f>
        <v>0.22786969147375125</v>
      </c>
      <c r="I4" s="64">
        <f>'COT-G362'!Q2/100</f>
        <v>1.0625000000000018E-3</v>
      </c>
      <c r="J4" s="65">
        <f>'COT-G362'!R2/100</f>
        <v>-7.1538461538461461E-3</v>
      </c>
      <c r="K4" s="66">
        <f>'COT-G362'!S2/100</f>
        <v>-1.5157407407407399E-2</v>
      </c>
      <c r="N4" s="44"/>
      <c r="O4" s="111"/>
      <c r="P4" s="105"/>
      <c r="Q4" s="105"/>
      <c r="R4" s="105"/>
      <c r="S4" s="105"/>
      <c r="T4" s="105"/>
      <c r="U4" s="105"/>
      <c r="V4" s="105"/>
      <c r="W4" s="105"/>
    </row>
    <row r="5" spans="2:25" ht="15.75" thickBot="1" x14ac:dyDescent="0.3">
      <c r="B5" s="58" t="s">
        <v>13</v>
      </c>
      <c r="C5" s="59" t="s">
        <v>16</v>
      </c>
      <c r="D5" s="60">
        <f>'COT-G362'!L2</f>
        <v>0.62184873949579833</v>
      </c>
      <c r="E5" s="60">
        <f>MEDIAN('COT-G362'!L2:L54)</f>
        <v>0.61780104712041883</v>
      </c>
      <c r="F5" s="60">
        <f>AVERAGE('COT-G362'!L2:L54)</f>
        <v>0.66275399393162238</v>
      </c>
      <c r="G5" s="61">
        <f>'COT-G362'!M2</f>
        <v>-0.21986034814285163</v>
      </c>
      <c r="H5" s="96">
        <f>IF(_xlfn.NORM.DIST(G5,0,1,TRUE)&gt;0.5, (_xlfn.NORM.DIST(G5,0,1,TRUE)-0.5)*2, (0.5-_xlfn.NORM.DIST(G5,0,1,TRUE))*2)</f>
        <v>0.17402008170979388</v>
      </c>
      <c r="I5" s="61">
        <f>'COT-G362'!T2</f>
        <v>-0.1141653266459226</v>
      </c>
      <c r="J5" s="61">
        <f>'COT-G362'!U2</f>
        <v>-6.791893905670654E-2</v>
      </c>
      <c r="K5" s="70">
        <f>'COT-G362'!V2</f>
        <v>2.9233911936483503E-2</v>
      </c>
      <c r="L5" s="15"/>
      <c r="M5" s="15"/>
      <c r="N5" s="45"/>
      <c r="O5" s="111"/>
      <c r="P5" s="105"/>
      <c r="Q5" s="105"/>
      <c r="R5" s="105"/>
      <c r="S5" s="105"/>
      <c r="T5" s="105"/>
      <c r="U5" s="105"/>
      <c r="V5" s="105"/>
      <c r="W5" s="105"/>
    </row>
    <row r="6" spans="2:25" ht="15.75" thickBot="1" x14ac:dyDescent="0.3">
      <c r="D6" s="11"/>
      <c r="E6" s="11"/>
      <c r="F6" s="11"/>
      <c r="G6" s="41"/>
      <c r="H6" s="41"/>
      <c r="I6" s="2"/>
      <c r="J6" s="2"/>
      <c r="K6" s="2"/>
    </row>
    <row r="7" spans="2:25" ht="15.75" thickBot="1" x14ac:dyDescent="0.3">
      <c r="B7" s="51" t="s">
        <v>0</v>
      </c>
      <c r="C7" s="40" t="s">
        <v>1</v>
      </c>
      <c r="D7" s="40" t="s">
        <v>2</v>
      </c>
      <c r="E7" s="40" t="s">
        <v>3</v>
      </c>
      <c r="F7" s="40" t="s">
        <v>4</v>
      </c>
      <c r="G7" s="52" t="s">
        <v>5</v>
      </c>
      <c r="H7" s="40"/>
      <c r="I7" s="40" t="s">
        <v>7</v>
      </c>
      <c r="J7" s="40" t="s">
        <v>8</v>
      </c>
      <c r="K7" s="40" t="s">
        <v>9</v>
      </c>
      <c r="O7" s="108" t="s">
        <v>17</v>
      </c>
      <c r="P7" s="109"/>
      <c r="Q7" s="109"/>
      <c r="R7" s="109"/>
      <c r="S7" s="109"/>
      <c r="T7" s="110"/>
      <c r="U7" s="108" t="s">
        <v>18</v>
      </c>
      <c r="V7" s="109"/>
      <c r="W7" s="109"/>
    </row>
    <row r="8" spans="2:25" x14ac:dyDescent="0.25">
      <c r="B8" s="18" t="s">
        <v>19</v>
      </c>
      <c r="C8" s="19" t="s">
        <v>20</v>
      </c>
      <c r="D8" s="29">
        <f>Auction!H2</f>
        <v>2.1030494216612038E-3</v>
      </c>
      <c r="E8" s="29">
        <f>MEDIAN(Auction!H2:H218)</f>
        <v>-1.3835511145271211E-3</v>
      </c>
      <c r="F8" s="29">
        <f>AVERAGE(Auction!H2:H218)</f>
        <v>-8.6753145215274152E-4</v>
      </c>
      <c r="G8" s="22">
        <f>Auction!I2</f>
        <v>0.65327515008182091</v>
      </c>
      <c r="H8" s="94">
        <f>IF(_xlfn.NORM.DIST(G8,0,1,TRUE)&gt;0.5, (_xlfn.NORM.DIST(G8,0,1,TRUE)-0.5)*2, (0.5-_xlfn.NORM.DIST(G8,0,1,TRUE))*2)</f>
        <v>0.4864210902510131</v>
      </c>
      <c r="I8" s="71">
        <f>Auction!N2</f>
        <v>-2.3536996737512621E-4</v>
      </c>
      <c r="J8" s="21">
        <f>Auction!O2</f>
        <v>-3.7547142981760842E-4</v>
      </c>
      <c r="K8" s="72">
        <f>Auction!P2</f>
        <v>-7.0428384857753028E-4</v>
      </c>
      <c r="O8" s="105"/>
      <c r="P8" s="105"/>
      <c r="Q8" s="105"/>
      <c r="R8" s="105"/>
      <c r="S8" s="105"/>
      <c r="T8" s="105"/>
      <c r="U8" s="105"/>
      <c r="V8" s="105"/>
      <c r="W8" s="105"/>
    </row>
    <row r="9" spans="2:25" x14ac:dyDescent="0.25">
      <c r="B9" s="10" t="s">
        <v>19</v>
      </c>
      <c r="C9" t="s">
        <v>21</v>
      </c>
      <c r="D9" s="12">
        <f>Auction!J2</f>
        <v>-1.5021781583297057E-3</v>
      </c>
      <c r="E9" s="12">
        <f>MEDIAN(Auction!J2:J218)</f>
        <v>-4.7835152704526008E-3</v>
      </c>
      <c r="F9" s="12">
        <f>AVERAGE(Auction!J2:J218)</f>
        <v>-4.9811138749199868E-3</v>
      </c>
      <c r="G9" s="13">
        <f>Auction!K2</f>
        <v>2.2388231847112712</v>
      </c>
      <c r="H9" s="94">
        <f>IF(_xlfn.NORM.DIST(G9,0,1,TRUE)&gt;0.5, (_xlfn.NORM.DIST(G9,0,1,TRUE)-0.5)*2, (0.5-_xlfn.NORM.DIST(G9,0,1,TRUE))*2)</f>
        <v>0.97483257688642788</v>
      </c>
      <c r="I9" s="73">
        <f>Auction!Q2</f>
        <v>2.0670908653807126E-3</v>
      </c>
      <c r="J9" s="5">
        <f>Auction!R2</f>
        <v>2.4619784471081297E-3</v>
      </c>
      <c r="K9" s="34">
        <f>Auction!S2</f>
        <v>2.522773515301635E-3</v>
      </c>
      <c r="O9" s="105"/>
      <c r="P9" s="105"/>
      <c r="Q9" s="105"/>
      <c r="R9" s="105"/>
      <c r="S9" s="105"/>
      <c r="T9" s="105"/>
      <c r="U9" s="105"/>
      <c r="V9" s="105"/>
      <c r="W9" s="105"/>
    </row>
    <row r="10" spans="2:25" ht="15.75" thickBot="1" x14ac:dyDescent="0.3">
      <c r="B10" s="14" t="s">
        <v>19</v>
      </c>
      <c r="C10" s="15" t="s">
        <v>18</v>
      </c>
      <c r="D10" s="16">
        <f>Auction!C2</f>
        <v>1.68</v>
      </c>
      <c r="E10" s="16">
        <f>MEDIAN(Auction!C2:C218)</f>
        <v>1.71</v>
      </c>
      <c r="F10" s="39">
        <f>AVERAGE(Auction!C2:C218)</f>
        <v>1.8066820276497682</v>
      </c>
      <c r="G10" s="17">
        <f>Auction!L2</f>
        <v>-0.29963767454251367</v>
      </c>
      <c r="H10" s="97">
        <f>IF(_xlfn.NORM.DIST(G10,0,1,TRUE)&gt;0.5, (_xlfn.NORM.DIST(G10,0,1,TRUE)-0.5)*2, (0.5-_xlfn.NORM.DIST(G10,0,1,TRUE))*2)</f>
        <v>0.23554645633342808</v>
      </c>
      <c r="I10" s="74">
        <f>Auction!T2</f>
        <v>-4.0000000000000258E-2</v>
      </c>
      <c r="J10" s="28">
        <f>Auction!U2</f>
        <v>-5.875000000000008E-2</v>
      </c>
      <c r="K10" s="75">
        <f>Auction!V2</f>
        <v>-5.8659924146649445E-2</v>
      </c>
      <c r="O10" s="105"/>
      <c r="P10" s="105"/>
      <c r="Q10" s="105"/>
      <c r="R10" s="105"/>
      <c r="S10" s="105"/>
      <c r="T10" s="105"/>
      <c r="U10" s="105"/>
      <c r="V10" s="105"/>
      <c r="W10" s="105"/>
    </row>
    <row r="11" spans="2:25" ht="15.75" thickBot="1" x14ac:dyDescent="0.3">
      <c r="D11" s="53"/>
      <c r="E11" s="53"/>
      <c r="F11" s="11"/>
      <c r="G11" s="41"/>
      <c r="H11" s="41"/>
      <c r="I11" s="2"/>
      <c r="J11" s="2"/>
      <c r="K11" s="2"/>
    </row>
    <row r="12" spans="2:25" ht="15.75" thickBot="1" x14ac:dyDescent="0.3">
      <c r="B12" s="51" t="s">
        <v>0</v>
      </c>
      <c r="C12" s="40" t="s">
        <v>1</v>
      </c>
      <c r="D12" s="40" t="s">
        <v>2</v>
      </c>
      <c r="E12" s="40" t="s">
        <v>22</v>
      </c>
      <c r="F12" s="40" t="s">
        <v>23</v>
      </c>
      <c r="G12" s="52" t="s">
        <v>5</v>
      </c>
      <c r="H12" s="40"/>
      <c r="I12" s="40" t="s">
        <v>7</v>
      </c>
      <c r="J12" s="40" t="s">
        <v>8</v>
      </c>
      <c r="K12" s="40" t="s">
        <v>9</v>
      </c>
      <c r="O12" s="108" t="s">
        <v>24</v>
      </c>
      <c r="P12" s="109"/>
      <c r="Q12" s="109"/>
      <c r="R12" s="109"/>
      <c r="S12" s="109"/>
      <c r="T12" s="109"/>
      <c r="U12" s="109"/>
      <c r="V12" s="109"/>
      <c r="W12" s="109"/>
    </row>
    <row r="13" spans="2:25" x14ac:dyDescent="0.25">
      <c r="B13" s="18" t="s">
        <v>25</v>
      </c>
      <c r="C13" s="19" t="s">
        <v>26</v>
      </c>
      <c r="D13" s="20">
        <f>'EUA option-G363'!F3</f>
        <v>0.42388769505255081</v>
      </c>
      <c r="E13" s="20">
        <f>MEDIAN('EUA option-G363'!F3:F130)</f>
        <v>0.39109430653199379</v>
      </c>
      <c r="F13" s="21">
        <f>AVERAGE('EUA option-G363'!F3:F130)</f>
        <v>0.37694556377458671</v>
      </c>
      <c r="G13" s="46">
        <f>'EUA option-G363'!G3</f>
        <v>1.4409449925170243</v>
      </c>
      <c r="H13" s="94">
        <f t="shared" ref="H13:H24" si="0">IF(_xlfn.NORM.DIST(G13,0,1,TRUE)&gt;0.5, (_xlfn.NORM.DIST(G13,0,1,TRUE)-0.5)*2, (0.5-_xlfn.NORM.DIST(G13,0,1,TRUE))*2)</f>
        <v>0.85039977628286123</v>
      </c>
      <c r="I13" s="84">
        <f>'EUA option-G363'!J3</f>
        <v>-1.1664454311945349E-2</v>
      </c>
      <c r="J13" s="85">
        <f>'EUA option-G363'!K3</f>
        <v>8.4336209738602452E-3</v>
      </c>
      <c r="K13" s="86">
        <f>'EUA option-G363'!L3</f>
        <v>5.6536659038570025E-2</v>
      </c>
    </row>
    <row r="14" spans="2:25" x14ac:dyDescent="0.25">
      <c r="B14" s="10" t="s">
        <v>25</v>
      </c>
      <c r="C14" t="s">
        <v>27</v>
      </c>
      <c r="D14" s="81">
        <f>'EUA option-G363'!H3</f>
        <v>1.5703327937356473</v>
      </c>
      <c r="E14" s="81">
        <f>MEDIAN('EUA option-G363'!H3:H130)</f>
        <v>1.3166817956726429</v>
      </c>
      <c r="F14" s="82">
        <f>AVERAGE('EUA option-G363'!H3:H130)</f>
        <v>1.321419103045288</v>
      </c>
      <c r="G14" s="47">
        <f>'EUA option-G363'!I3</f>
        <v>1.8160242096739689</v>
      </c>
      <c r="H14" s="94">
        <f t="shared" si="0"/>
        <v>0.93063334150357702</v>
      </c>
      <c r="I14" s="87">
        <f>'EUA option-G363'!M3</f>
        <v>0.21173608640815567</v>
      </c>
      <c r="J14" s="88">
        <f>'EUA option-G363'!N3</f>
        <v>0.21308602462396786</v>
      </c>
      <c r="K14" s="89">
        <f>'EUA option-G363'!O3</f>
        <v>0.27318794393833046</v>
      </c>
    </row>
    <row r="15" spans="2:25" x14ac:dyDescent="0.25">
      <c r="B15" s="10" t="s">
        <v>25</v>
      </c>
      <c r="C15" t="s">
        <v>28</v>
      </c>
      <c r="D15" s="12">
        <f>'25Delta'!D2/100</f>
        <v>0.28736</v>
      </c>
      <c r="E15" s="12">
        <f>MEDIAN('25Delta'!D2:D130)/100</f>
        <v>0.44801000000000002</v>
      </c>
      <c r="F15" s="5">
        <f>AVERAGEA('25Delta'!D2:D130)/100</f>
        <v>0.43916193798449604</v>
      </c>
      <c r="G15" s="26">
        <f>(D15*100-F15*100)/_xlfn.STDEV.S('25Delta'!D2:D130)</f>
        <v>-2.5356319890958821</v>
      </c>
      <c r="H15" s="94">
        <f>IF(_xlfn.NORM.DIST(G15,0,1,TRUE)&gt;0.5, (_xlfn.NORM.DIST(G15,0,1,TRUE)-0.5)*2, (0.5-_xlfn.NORM.DIST(G15,0,1,TRUE))*2)</f>
        <v>0.98877553790857298</v>
      </c>
      <c r="I15" s="90">
        <f>(AVERAGEA('25Delta'!D2:D23)-AVERAGEA('25Delta'!D24:D45))/100</f>
        <v>-0.11737227272727281</v>
      </c>
      <c r="J15" s="12">
        <f>(AVERAGEA('25Delta'!D2:D23)-AVERAGEA('25Delta'!D24:D87))/100</f>
        <v>-0.13656051136363637</v>
      </c>
      <c r="K15" s="91">
        <f>(AVERAGEA('25Delta'!D2:D23)-AVERAGEA('25Delta'!D24:D129))/100</f>
        <v>-0.10853514579759875</v>
      </c>
    </row>
    <row r="16" spans="2:25" x14ac:dyDescent="0.25">
      <c r="B16" s="10"/>
      <c r="D16" s="12"/>
      <c r="E16" s="12"/>
      <c r="F16" s="5"/>
      <c r="G16" s="26"/>
      <c r="H16" s="94"/>
      <c r="I16" s="90"/>
      <c r="J16" s="12"/>
      <c r="K16" s="91"/>
    </row>
    <row r="17" spans="2:11" x14ac:dyDescent="0.25">
      <c r="B17" s="10" t="s">
        <v>25</v>
      </c>
      <c r="C17" t="s">
        <v>29</v>
      </c>
      <c r="D17" s="23">
        <f>'Option Time series'!N2</f>
        <v>0.29716624245523138</v>
      </c>
      <c r="E17" s="23">
        <f>MEDIAN('Option Time series'!N3:N130)</f>
        <v>0.27189939337052649</v>
      </c>
      <c r="F17" s="12">
        <f>AVERAGE('Option Time series'!N3:N130)</f>
        <v>0.27441816212597558</v>
      </c>
      <c r="G17" s="47">
        <f>(D17-F17)/_xlfn.STDEV.S('Option Time series'!N3:N130)</f>
        <v>1.186260188812265</v>
      </c>
      <c r="H17" s="94">
        <f t="shared" si="0"/>
        <v>0.76448043661220466</v>
      </c>
      <c r="I17" s="90">
        <f>'Option Time series'!S2</f>
        <v>2.9157749984113357E-3</v>
      </c>
      <c r="J17" s="12">
        <f>'Option Time series'!T2</f>
        <v>1.2347232840714761E-2</v>
      </c>
      <c r="K17" s="91">
        <f>'Option Time series'!U2</f>
        <v>2.2908784339414789E-2</v>
      </c>
    </row>
    <row r="18" spans="2:11" x14ac:dyDescent="0.25">
      <c r="B18" s="10" t="s">
        <v>25</v>
      </c>
      <c r="C18" t="s">
        <v>30</v>
      </c>
      <c r="D18" s="99">
        <f>'25Delta'!C2/100</f>
        <v>0.34128999999999998</v>
      </c>
      <c r="E18" s="12">
        <f>MEDIAN('25Delta'!C2:C130)/100</f>
        <v>0.39959000000000006</v>
      </c>
      <c r="F18" s="5">
        <f>AVERAGEA('25Delta'!C2:C130)/100</f>
        <v>0.3887799224806201</v>
      </c>
      <c r="G18" s="26">
        <f>(D18*100-F18*100)/_xlfn.STDEV.S('25Delta'!C2:C130)</f>
        <v>-1.7058214519920001</v>
      </c>
      <c r="H18" s="104">
        <f>IF(_xlfn.NORM.DIST(G18,0,1,TRUE)&gt;0.5, (_xlfn.NORM.DIST(G18,0,1,TRUE)-0.5)*2, (0.5-_xlfn.NORM.DIST(G18,0,1,TRUE))*2)</f>
        <v>0.91195867221342874</v>
      </c>
      <c r="I18" s="90">
        <f>(AVERAGEA('25Delta'!C2:C23)-AVERAGEA('25Delta'!C24:C45))/100</f>
        <v>-3.5888181818181902E-2</v>
      </c>
      <c r="J18" s="12">
        <f>(AVERAGEA('25Delta'!C2:C23)-AVERAGEA('25Delta'!C24:C87))/100</f>
        <v>-5.3145156250000054E-2</v>
      </c>
      <c r="K18" s="91">
        <f>(AVERAGEA('25Delta'!C2:C23)-AVERAGEA('25Delta'!C24:C129))/100</f>
        <v>-5.5586886792453001E-2</v>
      </c>
    </row>
    <row r="19" spans="2:11" x14ac:dyDescent="0.25">
      <c r="B19" s="10" t="s">
        <v>25</v>
      </c>
      <c r="C19" t="s">
        <v>31</v>
      </c>
      <c r="D19" s="5">
        <f>'25Delta'!H2/100</f>
        <v>-2.7189999999999999E-2</v>
      </c>
      <c r="E19" s="12">
        <f>MEDIAN('25Delta'!H2:H130)/100</f>
        <v>-4.8259999999999997E-2</v>
      </c>
      <c r="F19" s="5">
        <f>AVERAGEA('25Delta'!H2:H130)/100</f>
        <v>-4.3815348837209306E-2</v>
      </c>
      <c r="G19" s="26">
        <f>(D19*100-F19*100)/_xlfn.STDEV.S('25Delta'!H2:H130)</f>
        <v>0.92771004348161579</v>
      </c>
      <c r="H19" s="94">
        <f>IF(_xlfn.NORM.DIST(G19,0,1,TRUE)&gt;0.5, (_xlfn.NORM.DIST(G19,0,1,TRUE)-0.5)*2, (0.5-_xlfn.NORM.DIST(G19,0,1,TRUE))*2)</f>
        <v>0.64644200274387265</v>
      </c>
      <c r="I19" s="73">
        <f>(AVERAGEA('25Delta'!H2:H23)-AVERAGEA('25Delta'!H24:H45))/100</f>
        <v>-4.6900000000000032E-3</v>
      </c>
      <c r="J19" s="5">
        <f>(AVERAGEA('25Delta'!H2:H23)-AVERAGEA('25Delta'!H24:H87))/100</f>
        <v>1.2137088068181806E-2</v>
      </c>
      <c r="K19" s="34">
        <f>(AVERAGEA('25Delta'!H2:H23)-AVERAGEA('25Delta'!H24:H129))/100</f>
        <v>2.0437710120068585E-2</v>
      </c>
    </row>
    <row r="20" spans="2:11" x14ac:dyDescent="0.25">
      <c r="B20" s="10" t="s">
        <v>25</v>
      </c>
      <c r="C20" t="s">
        <v>32</v>
      </c>
      <c r="D20" s="81">
        <f>'Option Time series'!M2</f>
        <v>0.40622851581682307</v>
      </c>
      <c r="E20" s="81">
        <f>MEDIAN('Option Time series'!M3:M130)</f>
        <v>0.66144680107213616</v>
      </c>
      <c r="F20" s="82">
        <f>AVERAGEA('Option Time series'!M3:M130)</f>
        <v>0.64146399988524727</v>
      </c>
      <c r="G20" s="47">
        <f>(D20-F20)/_xlfn.STDEV.S('Option Time series'!M3:M130)</f>
        <v>-1.5210778651534378</v>
      </c>
      <c r="H20" s="94">
        <f t="shared" si="0"/>
        <v>0.8717597015824845</v>
      </c>
      <c r="I20" s="90">
        <f>'Option Time series'!V2</f>
        <v>-6.2144526734941863E-2</v>
      </c>
      <c r="J20" s="12">
        <f>'Option Time series'!W2</f>
        <v>-0.1567560721726361</v>
      </c>
      <c r="K20" s="91">
        <f>'Option Time series'!X2</f>
        <v>-0.26810744720270063</v>
      </c>
    </row>
    <row r="21" spans="2:11" x14ac:dyDescent="0.25">
      <c r="B21" s="10" t="s">
        <v>25</v>
      </c>
      <c r="C21" t="s">
        <v>33</v>
      </c>
      <c r="D21" s="5">
        <f>'25Delta'!I2/100</f>
        <v>1.241500000000002E-2</v>
      </c>
      <c r="E21" s="12">
        <f>MEDIAN('25Delta'!I2:I130)/100</f>
        <v>2.0985000000000014E-2</v>
      </c>
      <c r="F21" s="5">
        <f>AVERAGEA('25Delta'!I2:I130)/100</f>
        <v>2.0160387596899226E-2</v>
      </c>
      <c r="G21" s="26">
        <f>(D21*100-F21*100)/_xlfn.STDEV.S('25Delta'!I2:I130)</f>
        <v>-0.89264341313082585</v>
      </c>
      <c r="H21" s="94">
        <f>IF(_xlfn.NORM.DIST(G21,0,1,TRUE)&gt;0.5, (_xlfn.NORM.DIST(G21,0,1,TRUE)-0.5)*2, (0.5-_xlfn.NORM.DIST(G21,0,1,TRUE))*2)</f>
        <v>0.62795183730343851</v>
      </c>
      <c r="I21" s="73">
        <f>(AVERAGEA('25Delta'!I2:I23)-AVERAGEA('25Delta'!I24:I45))/100</f>
        <v>1.917272727272723E-3</v>
      </c>
      <c r="J21" s="5">
        <f>(AVERAGEA('25Delta'!I2:I23)-AVERAGEA('25Delta'!I24:I87))/100</f>
        <v>-8.9217400568181778E-3</v>
      </c>
      <c r="K21" s="34">
        <f>(AVERAGEA('25Delta'!I2:I23)-AVERAGEA('25Delta'!I24:I129))/100</f>
        <v>-1.0049506861063462E-2</v>
      </c>
    </row>
    <row r="22" spans="2:11" x14ac:dyDescent="0.25">
      <c r="B22" s="10"/>
      <c r="D22" s="81"/>
      <c r="E22" s="81"/>
      <c r="F22" s="82"/>
      <c r="G22" s="47"/>
      <c r="H22" s="94"/>
      <c r="I22" s="90"/>
      <c r="J22" s="12"/>
      <c r="K22" s="91"/>
    </row>
    <row r="23" spans="2:11" x14ac:dyDescent="0.25">
      <c r="B23" s="10" t="s">
        <v>25</v>
      </c>
      <c r="C23" t="s">
        <v>34</v>
      </c>
      <c r="D23" s="5">
        <f>'Option Time series'!G2</f>
        <v>0.24354993633703398</v>
      </c>
      <c r="E23" s="83">
        <f>MEDIAN('Option Time series'!G3:G130)</f>
        <v>0.25468806923839404</v>
      </c>
      <c r="F23" s="82">
        <f>AVERAGEA('Option Time series'!G3:G130)</f>
        <v>0.25846916484753596</v>
      </c>
      <c r="G23" s="6">
        <f>(D23-F23)/_xlfn.STDEV.S('Option Time series'!G3:G130)</f>
        <v>-0.33518927763467099</v>
      </c>
      <c r="H23" s="94">
        <f t="shared" si="0"/>
        <v>0.26251769012119341</v>
      </c>
      <c r="I23" s="90">
        <f>'Option Time series'!AA2</f>
        <v>-4.8255158859733527E-2</v>
      </c>
      <c r="J23" s="12">
        <f>'Option Time series'!AB2</f>
        <v>-6.6108520907413371E-2</v>
      </c>
      <c r="K23" s="91">
        <f>'Option Time series'!AC2</f>
        <v>-3.4892661936151037E-2</v>
      </c>
    </row>
    <row r="24" spans="2:11" x14ac:dyDescent="0.25">
      <c r="B24" s="10" t="s">
        <v>25</v>
      </c>
      <c r="C24" t="s">
        <v>35</v>
      </c>
      <c r="D24" s="26">
        <f>'Option Time series'!F2</f>
        <v>1.2744306005954751</v>
      </c>
      <c r="E24" s="47">
        <f>MEDIAN('Option Time series'!F3:F130)</f>
        <v>0.76875632200922706</v>
      </c>
      <c r="F24" s="6">
        <f>AVERAGEA('Option Time series'!F3:F130)</f>
        <v>0.8887585099954235</v>
      </c>
      <c r="G24" s="6">
        <f>(D24-F24)/_xlfn.STDEV.S('Option Time series'!F3:F130)</f>
        <v>1.7818598168252904</v>
      </c>
      <c r="H24" s="94">
        <f t="shared" si="0"/>
        <v>0.92522790522915166</v>
      </c>
      <c r="I24" s="90">
        <f>'Option Time series'!AD2</f>
        <v>0.40487031196981582</v>
      </c>
      <c r="J24" s="12">
        <f>'Option Time series'!AE2</f>
        <v>0.4212180350629956</v>
      </c>
      <c r="K24" s="91">
        <f>'Option Time series'!AF2</f>
        <v>0.30449596461964501</v>
      </c>
    </row>
    <row r="25" spans="2:11" x14ac:dyDescent="0.25">
      <c r="B25" s="10" t="s">
        <v>25</v>
      </c>
      <c r="C25" t="s">
        <v>36</v>
      </c>
      <c r="D25" s="12">
        <f>'25Delta'!M2/100</f>
        <v>0.30098999999999998</v>
      </c>
      <c r="E25" s="12">
        <f>MEDIAN('25Delta'!M2:M130)/100</f>
        <v>0.41677999999999998</v>
      </c>
      <c r="F25" s="5">
        <f>AVERAGEA('25Delta'!M2:M130)/100</f>
        <v>0.40633232558139537</v>
      </c>
      <c r="G25" s="26">
        <f>(D25*100-F25*100)/_xlfn.STDEV.S('25Delta'!M2:M130)</f>
        <v>-1.5458241235532952</v>
      </c>
      <c r="H25" s="94">
        <f>IF(_xlfn.NORM.DIST(G25,0,1,TRUE)&gt;0.5, (_xlfn.NORM.DIST(G25,0,1,TRUE)-0.5)*2, (0.5-_xlfn.NORM.DIST(G25,0,1,TRUE))*2)</f>
        <v>0.87785295069359059</v>
      </c>
      <c r="I25" s="90">
        <f>(AVERAGEA('25Delta'!M2:M23)-AVERAGEA('25Delta'!M24:M45))/100</f>
        <v>-6.280045454545459E-2</v>
      </c>
      <c r="J25" s="12">
        <f>(AVERAGEA('25Delta'!M2:M23)-AVERAGEA('25Delta'!M24:M87))/100</f>
        <v>-9.4966704545454736E-2</v>
      </c>
      <c r="K25" s="91">
        <f>(AVERAGEA('25Delta'!M2:M23)-AVERAGEA('25Delta'!M24:M129))/100</f>
        <v>-0.1158680017152659</v>
      </c>
    </row>
    <row r="26" spans="2:11" x14ac:dyDescent="0.25">
      <c r="B26" s="10" t="s">
        <v>25</v>
      </c>
      <c r="C26" t="s">
        <v>37</v>
      </c>
      <c r="D26" s="5">
        <f>'25Delta'!R2/100</f>
        <v>-2.4089999999999997E-2</v>
      </c>
      <c r="E26" s="12">
        <f>MEDIAN('25Delta'!R2:R130)/100</f>
        <v>-2.9780000000000001E-2</v>
      </c>
      <c r="F26" s="5">
        <f>AVERAGEA('25Delta'!R2:R130)/100</f>
        <v>-3.2963333333333338E-2</v>
      </c>
      <c r="G26" s="26">
        <f>(D26*100-F26*100)/_xlfn.STDEV.S('25Delta'!R2:R130)</f>
        <v>0.3676144240414479</v>
      </c>
      <c r="H26" s="94">
        <f>IF(_xlfn.NORM.DIST(G26,0,1,TRUE)&gt;0.5, (_xlfn.NORM.DIST(G26,0,1,TRUE)-0.5)*2, (0.5-_xlfn.NORM.DIST(G26,0,1,TRUE))*2)</f>
        <v>0.2868392419691681</v>
      </c>
      <c r="I26" s="73">
        <f>(AVERAGEA('25Delta'!R2:R23)-AVERAGEA('25Delta'!R24:R45))/100</f>
        <v>-7.6472727272727248E-3</v>
      </c>
      <c r="J26" s="5">
        <f>(AVERAGEA('25Delta'!R2:R23)-AVERAGEA('25Delta'!R24:R87))/100</f>
        <v>6.1625710227272857E-3</v>
      </c>
      <c r="K26" s="34">
        <f>(AVERAGEA('25Delta'!R2:R23)-AVERAGEA('25Delta'!R24:R129))/100</f>
        <v>1.6682161234991423E-2</v>
      </c>
    </row>
    <row r="27" spans="2:11" x14ac:dyDescent="0.25">
      <c r="B27" s="10" t="s">
        <v>25</v>
      </c>
      <c r="C27" t="s">
        <v>38</v>
      </c>
      <c r="D27" s="5">
        <f>'25Delta'!S2/100</f>
        <v>7.985000000000006E-3</v>
      </c>
      <c r="E27" s="12">
        <f>MEDIAN('25Delta'!S2:S130)/100</f>
        <v>1.1600000000000037E-2</v>
      </c>
      <c r="F27" s="5">
        <f>AVERAGEA('25Delta'!S2:S130)/100</f>
        <v>1.1649496124031019E-2</v>
      </c>
      <c r="G27" s="26">
        <f>(D27*100-F27*100)/_xlfn.STDEV.S('25Delta'!S2:S130)</f>
        <v>-0.87139737973644549</v>
      </c>
      <c r="H27" s="94">
        <f>IF(_xlfn.NORM.DIST(G27,0,1,TRUE)&gt;0.5, (_xlfn.NORM.DIST(G27,0,1,TRUE)-0.5)*2, (0.5-_xlfn.NORM.DIST(G27,0,1,TRUE))*2)</f>
        <v>0.61646278400002819</v>
      </c>
      <c r="I27" s="73">
        <f>(AVERAGEA('25Delta'!S2:S23)-AVERAGEA('25Delta'!S24:S45))/100</f>
        <v>-1.7563636363636481E-3</v>
      </c>
      <c r="J27" s="5">
        <f>(AVERAGEA('25Delta'!S2:S23)-AVERAGEA('25Delta'!S24:S87))/100</f>
        <v>-2.9753053977272692E-3</v>
      </c>
      <c r="K27" s="34">
        <f>(AVERAGEA('25Delta'!S2:S23)-AVERAGEA('25Delta'!S24:S129))/100</f>
        <v>-4.4705574614065206E-3</v>
      </c>
    </row>
    <row r="28" spans="2:11" x14ac:dyDescent="0.25">
      <c r="B28" s="10" t="s">
        <v>25</v>
      </c>
      <c r="C28" t="s">
        <v>39</v>
      </c>
      <c r="D28">
        <f>'ICE Value'!AJ7</f>
        <v>60</v>
      </c>
      <c r="G28" s="47"/>
      <c r="H28" s="47"/>
      <c r="I28" s="10"/>
      <c r="K28" s="44"/>
    </row>
    <row r="29" spans="2:11" ht="15.75" thickBot="1" x14ac:dyDescent="0.3">
      <c r="B29" s="14" t="s">
        <v>25</v>
      </c>
      <c r="C29" s="15" t="s">
        <v>40</v>
      </c>
      <c r="D29" s="15">
        <f>'ICE Value'!AJ6</f>
        <v>90</v>
      </c>
      <c r="E29" s="15"/>
      <c r="F29" s="15"/>
      <c r="G29" s="48"/>
      <c r="H29" s="48"/>
      <c r="I29" s="14"/>
      <c r="J29" s="15"/>
      <c r="K29" s="45"/>
    </row>
    <row r="30" spans="2:11" x14ac:dyDescent="0.25">
      <c r="G30" s="47"/>
      <c r="H30" s="47"/>
    </row>
    <row r="31" spans="2:11" ht="15.75" thickBot="1" x14ac:dyDescent="0.3">
      <c r="B31" s="51" t="s">
        <v>0</v>
      </c>
      <c r="C31" s="40" t="s">
        <v>1</v>
      </c>
      <c r="D31" s="40" t="s">
        <v>2</v>
      </c>
      <c r="E31" s="40" t="s">
        <v>22</v>
      </c>
      <c r="F31" s="40" t="s">
        <v>23</v>
      </c>
      <c r="G31" s="52" t="s">
        <v>5</v>
      </c>
      <c r="H31" s="40"/>
      <c r="I31" s="40"/>
      <c r="J31" s="40"/>
      <c r="K31" s="40"/>
    </row>
    <row r="32" spans="2:11" x14ac:dyDescent="0.25">
      <c r="B32" s="18" t="s">
        <v>41</v>
      </c>
      <c r="C32" s="19" t="s">
        <v>42</v>
      </c>
      <c r="D32" s="25">
        <f>TA!C4</f>
        <v>45.194453669454852</v>
      </c>
      <c r="E32" s="25">
        <f>MEDIAN(TA!C4:C133)</f>
        <v>48.989783833656212</v>
      </c>
      <c r="F32" s="25">
        <f>AVERAGE(TA!C4:C133)</f>
        <v>48.513481581245237</v>
      </c>
      <c r="G32" s="49">
        <f>TA!F4</f>
        <v>-0.32501321272175382</v>
      </c>
      <c r="H32" s="94">
        <f>IF(_xlfn.NORM.DIST(G32,0,1,TRUE)&gt;0.5, (_xlfn.NORM.DIST(G32,0,1,TRUE)-0.5)*2, (0.5-_xlfn.NORM.DIST(G32,0,1,TRUE))*2)</f>
        <v>0.25482892819698821</v>
      </c>
      <c r="I32" s="105"/>
      <c r="J32" s="105"/>
      <c r="K32" s="106" t="s">
        <v>42</v>
      </c>
    </row>
    <row r="33" spans="2:23" ht="15.75" thickBot="1" x14ac:dyDescent="0.3">
      <c r="B33" s="10" t="s">
        <v>41</v>
      </c>
      <c r="C33" t="s">
        <v>43</v>
      </c>
      <c r="D33" s="26">
        <f>TA!B4</f>
        <v>-3.4694853997122799E-2</v>
      </c>
      <c r="E33" s="26">
        <f>MEDIAN(TA!B4:B133)</f>
        <v>2.5384646454546522E-2</v>
      </c>
      <c r="F33" s="26">
        <f>AVERAGE(TA!B4:B133)</f>
        <v>6.2335224991551641E-2</v>
      </c>
      <c r="G33" s="41">
        <f>TA!E4</f>
        <v>-0.20496113646667524</v>
      </c>
      <c r="H33" s="94">
        <f>IF(_xlfn.NORM.DIST(G33,0,1,TRUE)&gt;0.5, (_xlfn.NORM.DIST(G33,0,1,TRUE)-0.5)*2, (0.5-_xlfn.NORM.DIST(G33,0,1,TRUE))*2)</f>
        <v>0.16239751101137123</v>
      </c>
      <c r="I33" s="105"/>
      <c r="J33" s="105"/>
      <c r="K33" s="107"/>
    </row>
    <row r="34" spans="2:23" x14ac:dyDescent="0.25">
      <c r="B34" s="10" t="s">
        <v>41</v>
      </c>
      <c r="C34" t="s">
        <v>44</v>
      </c>
      <c r="D34" s="26">
        <f>TA!D4</f>
        <v>0.30866906941515132</v>
      </c>
      <c r="E34" s="26">
        <f>MEDIAN(TA!D4:D133)</f>
        <v>0.50608404425972586</v>
      </c>
      <c r="F34" s="26">
        <f>AVERAGE(TA!D4:D133)</f>
        <v>0.49559595094836562</v>
      </c>
      <c r="G34" s="41">
        <f>TA!G4</f>
        <v>-0.59107147341859601</v>
      </c>
      <c r="H34" s="94">
        <f>IF(_xlfn.NORM.DIST(G34,0,1,TRUE)&gt;0.5, (_xlfn.NORM.DIST(G34,0,1,TRUE)-0.5)*2, (0.5-_xlfn.NORM.DIST(G34,0,1,TRUE))*2)</f>
        <v>0.44552746741161164</v>
      </c>
      <c r="I34" s="105"/>
      <c r="J34" s="105"/>
      <c r="K34" s="106" t="s">
        <v>45</v>
      </c>
    </row>
    <row r="35" spans="2:23" ht="15.75" thickBot="1" x14ac:dyDescent="0.3">
      <c r="B35" s="10" t="s">
        <v>41</v>
      </c>
      <c r="C35" t="s">
        <v>46</v>
      </c>
      <c r="D35" s="26">
        <f>MA!B4</f>
        <v>68.102999999999994</v>
      </c>
      <c r="E35" s="26"/>
      <c r="F35" s="26"/>
      <c r="G35" s="41"/>
      <c r="H35" s="98"/>
      <c r="I35" s="105"/>
      <c r="J35" s="105"/>
      <c r="K35" s="107"/>
    </row>
    <row r="36" spans="2:23" x14ac:dyDescent="0.25">
      <c r="B36" s="10" t="s">
        <v>41</v>
      </c>
      <c r="C36" t="s">
        <v>47</v>
      </c>
      <c r="D36" s="26">
        <f>MA!C4</f>
        <v>70.253599999999992</v>
      </c>
      <c r="E36" s="26"/>
      <c r="F36" s="26"/>
      <c r="G36" s="41"/>
      <c r="H36" s="98"/>
      <c r="I36" s="105"/>
      <c r="J36" s="105"/>
      <c r="K36" s="106" t="s">
        <v>48</v>
      </c>
      <c r="O36" s="105"/>
      <c r="P36" s="105"/>
      <c r="Q36" s="105"/>
      <c r="R36" s="105"/>
      <c r="S36" s="105"/>
      <c r="T36" s="105"/>
      <c r="U36" s="105"/>
      <c r="V36" s="105"/>
      <c r="W36" s="105"/>
    </row>
    <row r="37" spans="2:23" x14ac:dyDescent="0.25">
      <c r="B37" s="10" t="s">
        <v>41</v>
      </c>
      <c r="C37" t="s">
        <v>49</v>
      </c>
      <c r="D37" s="26">
        <f>MA!D4</f>
        <v>69.32050251256284</v>
      </c>
      <c r="E37" s="26"/>
      <c r="F37" s="26"/>
      <c r="G37" s="41"/>
      <c r="H37" s="44"/>
      <c r="I37" s="105"/>
      <c r="J37" s="105"/>
      <c r="K37" s="107"/>
      <c r="O37" s="105"/>
      <c r="P37" s="105"/>
      <c r="Q37" s="105"/>
      <c r="R37" s="105"/>
      <c r="S37" s="105"/>
      <c r="T37" s="105"/>
      <c r="U37" s="105"/>
      <c r="V37" s="105"/>
      <c r="W37" s="105"/>
    </row>
    <row r="38" spans="2:23" x14ac:dyDescent="0.25">
      <c r="B38" s="10" t="s">
        <v>41</v>
      </c>
      <c r="C38" t="s">
        <v>50</v>
      </c>
      <c r="D38" s="24">
        <f>'ICE Value'!X8</f>
        <v>3.5567715458276382E-2</v>
      </c>
      <c r="E38" s="24">
        <f>MEDIAN('ICE Value'!X8:X137)</f>
        <v>3.7303664921466077E-2</v>
      </c>
      <c r="F38" s="24">
        <f>AVERAGE('ICE Value'!X8:X137)</f>
        <v>4.0509180919014481E-2</v>
      </c>
      <c r="G38" s="41">
        <f>'ICE Value'!Y8</f>
        <v>0.13117974834285365</v>
      </c>
      <c r="H38" s="94">
        <f>IF(_xlfn.NORM.DIST(G38,0,1,TRUE)&gt;0.5, (_xlfn.NORM.DIST(G38,0,1,TRUE)-0.5)*2, (0.5-_xlfn.NORM.DIST(G38,0,1,TRUE))*2)</f>
        <v>0.1043668840105032</v>
      </c>
      <c r="I38" s="73">
        <f>'ICE Value'!AB8</f>
        <v>1.0455817429415662E-4</v>
      </c>
      <c r="J38" s="5">
        <f>'ICE Value'!AC8</f>
        <v>-1.0631793636747846E-2</v>
      </c>
      <c r="K38" s="34">
        <f>'ICE Value'!AD8</f>
        <v>-1.3218967756188967E-2</v>
      </c>
      <c r="O38" s="105"/>
      <c r="P38" s="105"/>
      <c r="Q38" s="105"/>
      <c r="R38" s="105"/>
      <c r="S38" s="105"/>
      <c r="T38" s="105"/>
      <c r="U38" s="105"/>
      <c r="V38" s="105"/>
      <c r="W38" s="105"/>
    </row>
    <row r="39" spans="2:23" ht="15.75" thickBot="1" x14ac:dyDescent="0.3">
      <c r="B39" s="14" t="s">
        <v>41</v>
      </c>
      <c r="C39" s="15" t="s">
        <v>51</v>
      </c>
      <c r="D39" s="27">
        <f>'ICE Value'!Q8/1000</f>
        <v>26.934999999999999</v>
      </c>
      <c r="E39" s="27">
        <f>MEDIAN('ICE Value'!Q8:Q137)/1000</f>
        <v>29.28</v>
      </c>
      <c r="F39" s="27">
        <f>AVERAGE('ICE Value'!Q8:Q137)/1000</f>
        <v>29.439361538461537</v>
      </c>
      <c r="G39" s="50">
        <f>'ICE Value'!Z8</f>
        <v>5.3084849560616161E-2</v>
      </c>
      <c r="H39" s="96">
        <f>IF(_xlfn.NORM.DIST(G39,0,1,TRUE)&gt;0.5, (_xlfn.NORM.DIST(G39,0,1,TRUE)-0.5)*2, (0.5-_xlfn.NORM.DIST(G39,0,1,TRUE))*2)</f>
        <v>4.2335697269119787E-2</v>
      </c>
      <c r="I39" s="77">
        <f>'ICE Value'!AE8</f>
        <v>-3656.2857142857138</v>
      </c>
      <c r="J39" s="78">
        <f>'ICE Value'!AF8</f>
        <v>-5382.4940476190459</v>
      </c>
      <c r="K39" s="79">
        <f>'ICE Value'!AG8</f>
        <v>-5841.2385166455933</v>
      </c>
      <c r="O39" s="105"/>
      <c r="P39" s="105"/>
      <c r="Q39" s="105"/>
      <c r="R39" s="105"/>
      <c r="S39" s="105"/>
      <c r="T39" s="105"/>
      <c r="U39" s="105"/>
      <c r="V39" s="105"/>
      <c r="W39" s="105"/>
    </row>
    <row r="40" spans="2:23" x14ac:dyDescent="0.25">
      <c r="B40" s="10"/>
      <c r="D40" s="26"/>
      <c r="E40" s="26"/>
      <c r="F40" s="26"/>
      <c r="G40" s="41"/>
      <c r="H40" s="41"/>
      <c r="I40" s="42"/>
      <c r="J40" s="2"/>
      <c r="K40" s="43"/>
      <c r="O40" s="105"/>
      <c r="P40" s="105"/>
      <c r="Q40" s="105"/>
      <c r="R40" s="105"/>
      <c r="S40" s="105"/>
      <c r="T40" s="105"/>
      <c r="U40" s="105"/>
      <c r="V40" s="105"/>
      <c r="W40" s="105"/>
    </row>
    <row r="41" spans="2:23" ht="15.75" thickBot="1" x14ac:dyDescent="0.3">
      <c r="B41" s="51" t="s">
        <v>0</v>
      </c>
      <c r="C41" s="40" t="s">
        <v>1</v>
      </c>
      <c r="D41" s="40" t="s">
        <v>2</v>
      </c>
      <c r="E41" s="40" t="s">
        <v>3</v>
      </c>
      <c r="F41" s="40" t="s">
        <v>4</v>
      </c>
      <c r="G41" s="52" t="s">
        <v>5</v>
      </c>
      <c r="H41" s="40"/>
      <c r="I41" s="40" t="s">
        <v>7</v>
      </c>
      <c r="J41" s="40" t="s">
        <v>8</v>
      </c>
      <c r="K41" s="40" t="s">
        <v>9</v>
      </c>
      <c r="O41" s="105"/>
      <c r="P41" s="105"/>
      <c r="Q41" s="105"/>
      <c r="R41" s="105"/>
      <c r="S41" s="105"/>
      <c r="T41" s="105"/>
      <c r="U41" s="105"/>
      <c r="V41" s="105"/>
      <c r="W41" s="105"/>
    </row>
    <row r="42" spans="2:23" x14ac:dyDescent="0.25">
      <c r="B42" s="18" t="s">
        <v>52</v>
      </c>
      <c r="C42" s="19" t="s">
        <v>53</v>
      </c>
      <c r="D42" s="20">
        <f>AVERAGE('power generation-G355'!AH4:AH9)</f>
        <v>0.75993115257102106</v>
      </c>
      <c r="E42" s="20">
        <f>MEDIAN('power generation-G355'!AH4:AH368)</f>
        <v>0.28497567043980693</v>
      </c>
      <c r="F42" s="20">
        <f>AVERAGE('power generation-G355'!AH4:AH300)</f>
        <v>0.34070827162497647</v>
      </c>
      <c r="G42" s="46">
        <f>'power generation-G355'!AI4</f>
        <v>1.8976305846885357</v>
      </c>
      <c r="H42" s="100">
        <f>IF(_xlfn.NORM.DIST(G42,0,1,TRUE)&gt;0.5, (_xlfn.NORM.DIST(G42,0,1,TRUE)-0.5)*2, (0.5-_xlfn.NORM.DIST(G42,0,1,TRUE))*2)</f>
        <v>0.94225523746230611</v>
      </c>
      <c r="I42" s="101">
        <f>'power generation-G355'!AK4</f>
        <v>0.37389464451472593</v>
      </c>
      <c r="J42" s="20">
        <f>'power generation-G355'!AL4</f>
        <v>0.27964441189264433</v>
      </c>
      <c r="K42" s="102">
        <f>'power generation-G355'!AM4</f>
        <v>0.19550063948349949</v>
      </c>
      <c r="O42" s="105"/>
      <c r="P42" s="105"/>
      <c r="Q42" s="105"/>
      <c r="R42" s="105"/>
      <c r="S42" s="105"/>
      <c r="T42" s="105"/>
      <c r="U42" s="105"/>
      <c r="V42" s="105"/>
      <c r="W42" s="105"/>
    </row>
    <row r="43" spans="2:23" ht="15.75" thickBot="1" x14ac:dyDescent="0.3">
      <c r="B43" s="14" t="s">
        <v>52</v>
      </c>
      <c r="C43" s="15" t="s">
        <v>54</v>
      </c>
      <c r="D43" s="28">
        <f>'power generation-G355'!P4/100</f>
        <v>0.83519999999999994</v>
      </c>
      <c r="E43" s="28">
        <f>MEDIAN('power generation-G355'!P4:P368)/100</f>
        <v>0.80540000000000012</v>
      </c>
      <c r="F43" s="28">
        <f>AVERAGE('power generation-G355'!P4:P368)/100</f>
        <v>0.79761287671232906</v>
      </c>
      <c r="G43" s="50">
        <f>'power generation-G355'!AG4</f>
        <v>0.18516053960759699</v>
      </c>
      <c r="H43" s="96">
        <f>IF(_xlfn.NORM.DIST(G43,0,1,TRUE)&gt;0.5, (_xlfn.NORM.DIST(G43,0,1,TRUE)-0.5)*2, (0.5-_xlfn.NORM.DIST(G43,0,1,TRUE))*2)</f>
        <v>0.14689688130358691</v>
      </c>
      <c r="I43" s="74">
        <f>'power generation-G355'!AN4/100</f>
        <v>0.1563333333333331</v>
      </c>
      <c r="J43" s="28">
        <f>'power generation-G355'!AO4/100</f>
        <v>0.16235391566265073</v>
      </c>
      <c r="K43" s="75">
        <f>'power generation-G355'!AP4/100</f>
        <v>0.18833477062051934</v>
      </c>
      <c r="O43" s="105"/>
      <c r="P43" s="105"/>
      <c r="Q43" s="105"/>
      <c r="R43" s="105"/>
      <c r="S43" s="105"/>
      <c r="T43" s="105"/>
      <c r="U43" s="105"/>
      <c r="V43" s="105"/>
      <c r="W43" s="105"/>
    </row>
    <row r="47" spans="2:23" ht="15.75" thickBot="1" x14ac:dyDescent="0.3">
      <c r="D47" t="s">
        <v>55</v>
      </c>
      <c r="E47" t="s">
        <v>56</v>
      </c>
      <c r="F47" t="s">
        <v>57</v>
      </c>
      <c r="G47" t="s">
        <v>58</v>
      </c>
    </row>
    <row r="48" spans="2:23" x14ac:dyDescent="0.25">
      <c r="B48" s="18" t="s">
        <v>59</v>
      </c>
      <c r="C48" s="19" t="s">
        <v>60</v>
      </c>
      <c r="D48" s="30">
        <f>TA!S4</f>
        <v>0.76555618818839233</v>
      </c>
      <c r="E48" s="30">
        <f>TA!T4</f>
        <v>0.3431850442289</v>
      </c>
      <c r="F48" s="30">
        <f>TA!U4</f>
        <v>0.20839515006768705</v>
      </c>
      <c r="G48" s="31">
        <f>TA!V4</f>
        <v>0.83807799983342757</v>
      </c>
      <c r="H48" s="92"/>
    </row>
    <row r="49" spans="2:8" x14ac:dyDescent="0.25">
      <c r="B49" s="10" t="s">
        <v>59</v>
      </c>
      <c r="C49" t="s">
        <v>61</v>
      </c>
      <c r="D49" s="5">
        <f>TA!AD4</f>
        <v>-1.7806514285177214E-2</v>
      </c>
      <c r="E49" s="5">
        <f>TA!AI4</f>
        <v>-7.6813032934462427E-2</v>
      </c>
      <c r="F49" s="5">
        <f>TA!AN4</f>
        <v>4.9007221337421664E-2</v>
      </c>
      <c r="G49" s="34">
        <f>TA!AS4</f>
        <v>-0.43806535291860349</v>
      </c>
      <c r="H49" s="24"/>
    </row>
    <row r="50" spans="2:8" ht="15.75" thickBot="1" x14ac:dyDescent="0.3">
      <c r="B50" s="14" t="s">
        <v>59</v>
      </c>
      <c r="C50" s="15" t="s">
        <v>62</v>
      </c>
      <c r="D50" s="32">
        <f>TA!AF4</f>
        <v>-0.18840881781247201</v>
      </c>
      <c r="E50" s="32">
        <f>TA!AK4</f>
        <v>-0.16669852908861368</v>
      </c>
      <c r="F50" s="32">
        <f>TA!AP4</f>
        <v>0.43662160312328352</v>
      </c>
      <c r="G50" s="33">
        <f>TA!AU4</f>
        <v>0.12078469529540399</v>
      </c>
      <c r="H50" s="93"/>
    </row>
    <row r="52" spans="2:8" x14ac:dyDescent="0.25">
      <c r="G52" s="6"/>
      <c r="H52" s="6"/>
    </row>
    <row r="53" spans="2:8" x14ac:dyDescent="0.25">
      <c r="G53" s="6"/>
      <c r="H53" s="6"/>
    </row>
    <row r="54" spans="2:8" x14ac:dyDescent="0.25">
      <c r="G54" s="6"/>
      <c r="H54" s="6"/>
    </row>
    <row r="61" spans="2:8" x14ac:dyDescent="0.25">
      <c r="B61" t="s">
        <v>52</v>
      </c>
      <c r="C61" t="s">
        <v>63</v>
      </c>
    </row>
    <row r="62" spans="2:8" x14ac:dyDescent="0.25">
      <c r="B62" t="s">
        <v>52</v>
      </c>
      <c r="C62" t="s">
        <v>64</v>
      </c>
    </row>
    <row r="63" spans="2:8" x14ac:dyDescent="0.25">
      <c r="B63" t="s">
        <v>52</v>
      </c>
      <c r="C63" t="s">
        <v>65</v>
      </c>
    </row>
  </sheetData>
  <mergeCells count="19">
    <mergeCell ref="U2:W2"/>
    <mergeCell ref="R3:T5"/>
    <mergeCell ref="U3:W5"/>
    <mergeCell ref="U7:W7"/>
    <mergeCell ref="I1:K1"/>
    <mergeCell ref="O3:Q5"/>
    <mergeCell ref="O2:Q2"/>
    <mergeCell ref="R2:T2"/>
    <mergeCell ref="O36:W43"/>
    <mergeCell ref="O12:W12"/>
    <mergeCell ref="U8:W10"/>
    <mergeCell ref="O7:T7"/>
    <mergeCell ref="O8:T10"/>
    <mergeCell ref="I32:J33"/>
    <mergeCell ref="I34:J35"/>
    <mergeCell ref="I36:J37"/>
    <mergeCell ref="K32:K33"/>
    <mergeCell ref="K34:K35"/>
    <mergeCell ref="K36:K37"/>
  </mergeCells>
  <conditionalFormatting sqref="D48:G48">
    <cfRule type="iconSet" priority="11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G3:G4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:H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{506B8512-40FA-486D-9D93-8EFFCC85AD5F}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6B8512-40FA-486D-9D93-8EFFCC85AD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CACBF5D1-E3D2-47B2-8457-CC47DAA1BD1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'COT-G362'!Y2:Y55</xm:f>
              <xm:sqref>O3</xm:sqref>
            </x14:sparkline>
          </x14:sparklines>
        </x14:sparklineGroup>
        <x14:sparklineGroup displayEmptyCellsAs="gap" high="1" low="1" xr2:uid="{763DB6B5-B0B6-42F2-9449-24B9DEF84C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'COT-G362'!AA2:AA55</xm:f>
              <xm:sqref>U3</xm:sqref>
            </x14:sparkline>
          </x14:sparklines>
        </x14:sparklineGroup>
        <x14:sparklineGroup displayEmptyCellsAs="gap" xr2:uid="{E885723B-6691-4F91-8A1C-25354A33D18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TA!AW4:AW26</xm:f>
              <xm:sqref>I32</xm:sqref>
            </x14:sparkline>
          </x14:sparklines>
        </x14:sparklineGroup>
        <x14:sparklineGroup type="column" displayEmptyCellsAs="gap" high="1" low="1" xr2:uid="{1E53B704-31FC-4E0B-BA03-2481BEACD7D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Auction!X2:X59</xm:f>
              <xm:sqref>O8</xm:sqref>
            </x14:sparkline>
          </x14:sparklines>
        </x14:sparklineGroup>
        <x14:sparklineGroup displayEmptyCellsAs="gap" high="1" low="1" xr2:uid="{69A1A629-8973-4568-96E6-54AE492D2D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'COT-G362'!Z2:Z55</xm:f>
              <xm:sqref>R3</xm:sqref>
            </x14:sparkline>
          </x14:sparklines>
        </x14:sparklineGroup>
        <x14:sparklineGroup displayEmptyCellsAs="gap" high="1" low="1" xr2:uid="{B934AC0A-E667-4F04-81BA-120EE9EF2DA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Auction!Z2:Z22</xm:f>
              <xm:sqref>U8</xm:sqref>
            </x14:sparkline>
          </x14:sparklines>
        </x14:sparklineGroup>
        <x14:sparklineGroup displayEmptyCellsAs="gap" xr2:uid="{227AA216-7944-461E-9FE4-64E33A12D02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TA!AX4:AX26</xm:f>
              <xm:sqref>I34</xm:sqref>
            </x14:sparkline>
          </x14:sparklines>
        </x14:sparklineGroup>
        <x14:sparklineGroup displayEmptyCellsAs="gap" xr2:uid="{9B55AE8B-49AA-422A-ABDE-F4B9B1B2633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'ICE Value'!AN8:AN264</xm:f>
              <xm:sqref>I36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95F3-63AE-44F3-AEEB-6ED31EE8ADEA}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D29C7-FB6D-4357-99A0-DE73A5343DD6}">
  <dimension ref="A1:AA346"/>
  <sheetViews>
    <sheetView workbookViewId="0">
      <selection sqref="A1:D346"/>
    </sheetView>
  </sheetViews>
  <sheetFormatPr defaultRowHeight="15" x14ac:dyDescent="0.25"/>
  <cols>
    <col min="1" max="1" width="14.28515625" customWidth="1"/>
    <col min="2" max="2" width="10" bestFit="1" customWidth="1"/>
    <col min="3" max="3" width="28.85546875" bestFit="1" customWidth="1"/>
    <col min="4" max="4" width="28.28515625" bestFit="1" customWidth="1"/>
    <col min="5" max="6" width="28.28515625" customWidth="1"/>
    <col min="7" max="7" width="15.85546875" customWidth="1"/>
    <col min="12" max="12" width="14.85546875" customWidth="1"/>
    <col min="13" max="13" width="19.7109375" customWidth="1"/>
    <col min="14" max="14" width="18.28515625" customWidth="1"/>
    <col min="15" max="15" width="10.85546875" customWidth="1"/>
    <col min="16" max="16" width="14.7109375" customWidth="1"/>
    <col min="17" max="17" width="9.5703125" bestFit="1" customWidth="1"/>
    <col min="18" max="19" width="11.7109375" bestFit="1" customWidth="1"/>
    <col min="20" max="20" width="9.5703125" bestFit="1" customWidth="1"/>
    <col min="21" max="21" width="11.7109375" bestFit="1" customWidth="1"/>
    <col min="22" max="22" width="9.5703125" bestFit="1" customWidth="1"/>
  </cols>
  <sheetData>
    <row r="1" spans="1:27" x14ac:dyDescent="0.25">
      <c r="A1" s="7" t="s">
        <v>66</v>
      </c>
      <c r="B1" s="7" t="s">
        <v>67</v>
      </c>
      <c r="C1" s="7" t="s">
        <v>68</v>
      </c>
      <c r="D1" s="7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77</v>
      </c>
      <c r="R1" t="s">
        <v>78</v>
      </c>
      <c r="S1" t="s">
        <v>79</v>
      </c>
      <c r="T1" t="s">
        <v>77</v>
      </c>
      <c r="U1" t="s">
        <v>78</v>
      </c>
      <c r="V1" t="s">
        <v>79</v>
      </c>
      <c r="Y1" t="s">
        <v>80</v>
      </c>
      <c r="Z1" t="s">
        <v>81</v>
      </c>
      <c r="AA1" t="s">
        <v>82</v>
      </c>
    </row>
    <row r="2" spans="1:27" x14ac:dyDescent="0.25">
      <c r="A2" s="2">
        <v>45492</v>
      </c>
      <c r="B2">
        <v>-23378.799999999999</v>
      </c>
      <c r="C2">
        <v>5.18</v>
      </c>
      <c r="D2">
        <v>8.33</v>
      </c>
      <c r="F2">
        <f t="shared" ref="F2:F65" si="0">AVERAGE(C2:D2)</f>
        <v>6.7549999999999999</v>
      </c>
      <c r="G2">
        <f t="shared" ref="G2:G65" si="1">(B2-AVERAGE(B2:B54))/_xlfn.STDEV.S(B2:B54)</f>
        <v>-0.31885774615954854</v>
      </c>
      <c r="H2">
        <f>(C2-AVERAGE(C2:C342))/_xlfn.STDEV.S(C2:C342)</f>
        <v>-0.63289603944045858</v>
      </c>
      <c r="I2">
        <f>(D2-AVERAGE(D2:D342))/_xlfn.STDEV.S(D2:D342)</f>
        <v>1.6525596639948172</v>
      </c>
      <c r="J2">
        <f t="shared" ref="J2:J65" si="2">(F2-AVERAGE(F2:F54))/_xlfn.STDEV.S(F2:F54)</f>
        <v>-0.28958948983577076</v>
      </c>
      <c r="L2">
        <f t="shared" ref="L2:L65" si="3">C2/D2</f>
        <v>0.62184873949579833</v>
      </c>
      <c r="M2">
        <f t="shared" ref="M2:M65" si="4">(L2-AVERAGE(L2:L54))/_xlfn.STDEV.S(L2:L54)</f>
        <v>-0.21986034814285163</v>
      </c>
      <c r="N2" s="26">
        <f t="shared" ref="N2:N65" si="5">AVERAGEA(B2:B5)-AVERAGE(B6:B9)</f>
        <v>-7617.8300000000017</v>
      </c>
      <c r="O2" s="26">
        <f t="shared" ref="O2:O65" si="6">AVERAGEA(B2:B5)-AVERAGE(B6:B18)</f>
        <v>-4113.0148076923088</v>
      </c>
      <c r="P2" s="26">
        <f t="shared" ref="P2:P65" si="7">AVERAGEA(B2:B5)-AVERAGE(B6:B32)</f>
        <v>3105.7541666666657</v>
      </c>
      <c r="Q2" s="26">
        <f t="shared" ref="Q2:Q65" si="8">AVERAGEA(F2:F5)-AVERAGE(F6:F9)</f>
        <v>0.10625000000000018</v>
      </c>
      <c r="R2" s="26">
        <f t="shared" ref="R2:R65" si="9">AVERAGEA(F2:F5)-AVERAGE(F6:F18)</f>
        <v>-0.71538461538461462</v>
      </c>
      <c r="S2" s="26">
        <f t="shared" ref="S2:S65" si="10">AVERAGEA(F2:F5)-AVERAGE(F6:F32)</f>
        <v>-1.5157407407407399</v>
      </c>
      <c r="T2" s="26">
        <f t="shared" ref="T2:T65" si="11">AVERAGEA(L2:L5)-AVERAGE(L6:L9)</f>
        <v>-0.1141653266459226</v>
      </c>
      <c r="U2" s="26">
        <f t="shared" ref="U2:U65" si="12">AVERAGEA(L2:L5)-AVERAGE(L6:L18)</f>
        <v>-6.791893905670654E-2</v>
      </c>
      <c r="V2" s="26">
        <f t="shared" ref="V2:V65" si="13">AVERAGEA(L2:L5)-AVERAGE(L6:L32)</f>
        <v>2.9233911936483503E-2</v>
      </c>
      <c r="Y2" cm="1">
        <f t="array" ref="Y2:Y55">_xlfn.SORTBY(B2:B55,A2:A55)</f>
        <v>1297.71</v>
      </c>
      <c r="Z2" cm="1">
        <f t="array" ref="Z2:Z55">_xlfn.SORTBY(F2:F55,A2:A55)</f>
        <v>5.16</v>
      </c>
      <c r="AA2" cm="1">
        <f t="array" ref="AA2:AA55">_xlfn.SORTBY(L2:L55,A2:A55)</f>
        <v>1.0476190476190477</v>
      </c>
    </row>
    <row r="3" spans="1:27" x14ac:dyDescent="0.25">
      <c r="A3" s="2">
        <v>45485</v>
      </c>
      <c r="B3">
        <v>-18113.990000000002</v>
      </c>
      <c r="C3">
        <v>5</v>
      </c>
      <c r="D3">
        <v>7.48</v>
      </c>
      <c r="F3">
        <f t="shared" si="0"/>
        <v>6.24</v>
      </c>
      <c r="G3">
        <f t="shared" si="1"/>
        <v>0.10789896004117425</v>
      </c>
      <c r="J3">
        <f t="shared" si="2"/>
        <v>-0.63802723294667063</v>
      </c>
      <c r="L3">
        <f t="shared" si="3"/>
        <v>0.66844919786096257</v>
      </c>
      <c r="M3">
        <f t="shared" si="4"/>
        <v>-1.2096109859428243E-2</v>
      </c>
      <c r="N3" s="26">
        <f t="shared" si="5"/>
        <v>-9200.6050000000014</v>
      </c>
      <c r="O3" s="26">
        <f t="shared" si="6"/>
        <v>-2403.4553846153867</v>
      </c>
      <c r="P3" s="26">
        <f t="shared" si="7"/>
        <v>4933.2759259259255</v>
      </c>
      <c r="Q3" s="26">
        <f t="shared" si="8"/>
        <v>-0.5074999999999994</v>
      </c>
      <c r="R3" s="26">
        <f t="shared" si="9"/>
        <v>-1.2875961538461524</v>
      </c>
      <c r="S3" s="26">
        <f t="shared" si="10"/>
        <v>-1.8246759259259226</v>
      </c>
      <c r="T3" s="26">
        <f t="shared" si="11"/>
        <v>-0.16739844203220111</v>
      </c>
      <c r="U3" s="26">
        <f t="shared" si="12"/>
        <v>-6.0957051929518502E-2</v>
      </c>
      <c r="V3" s="26">
        <f t="shared" si="13"/>
        <v>3.8295940328885614E-2</v>
      </c>
      <c r="Y3">
        <v>8904.83</v>
      </c>
      <c r="Z3">
        <v>5.35</v>
      </c>
      <c r="AA3">
        <v>1.3568281938325992</v>
      </c>
    </row>
    <row r="4" spans="1:27" x14ac:dyDescent="0.25">
      <c r="A4" s="2">
        <v>45478</v>
      </c>
      <c r="B4">
        <v>-17487.03</v>
      </c>
      <c r="C4">
        <v>5.22</v>
      </c>
      <c r="D4">
        <v>7.67</v>
      </c>
      <c r="F4">
        <f t="shared" si="0"/>
        <v>6.4450000000000003</v>
      </c>
      <c r="G4">
        <f t="shared" si="1"/>
        <v>0.13137047807455579</v>
      </c>
      <c r="J4">
        <f t="shared" si="2"/>
        <v>-0.47071842546837112</v>
      </c>
      <c r="L4">
        <f t="shared" si="3"/>
        <v>0.6805736636245111</v>
      </c>
      <c r="M4">
        <f t="shared" si="4"/>
        <v>2.1736990088925288E-2</v>
      </c>
      <c r="N4" s="26">
        <f t="shared" si="5"/>
        <v>-7989.4374999999982</v>
      </c>
      <c r="O4" s="26">
        <f t="shared" si="6"/>
        <v>-60.389807692306931</v>
      </c>
      <c r="P4" s="26">
        <f t="shared" si="7"/>
        <v>6918.8047222222231</v>
      </c>
      <c r="Q4" s="26">
        <f t="shared" si="8"/>
        <v>-0.63624999999999954</v>
      </c>
      <c r="R4" s="26">
        <f t="shared" si="9"/>
        <v>-1.4191346153846149</v>
      </c>
      <c r="S4" s="26">
        <f t="shared" si="10"/>
        <v>-1.831898148148146</v>
      </c>
      <c r="T4" s="26">
        <f t="shared" si="11"/>
        <v>-0.15228967471623567</v>
      </c>
      <c r="U4" s="26">
        <f t="shared" si="12"/>
        <v>-2.9081926803421254E-2</v>
      </c>
      <c r="V4" s="26">
        <f t="shared" si="13"/>
        <v>6.6476487783053484E-2</v>
      </c>
      <c r="Y4">
        <v>11596.51</v>
      </c>
      <c r="Z4">
        <v>5.6150000000000002</v>
      </c>
      <c r="AA4">
        <v>1.4360086767895879</v>
      </c>
    </row>
    <row r="5" spans="1:27" x14ac:dyDescent="0.25">
      <c r="A5" s="2">
        <v>45471</v>
      </c>
      <c r="B5">
        <v>-21215.03</v>
      </c>
      <c r="C5">
        <v>5.13</v>
      </c>
      <c r="D5">
        <v>8.23</v>
      </c>
      <c r="F5">
        <f t="shared" si="0"/>
        <v>6.68</v>
      </c>
      <c r="G5">
        <f t="shared" si="1"/>
        <v>-0.20927645983265217</v>
      </c>
      <c r="J5">
        <f t="shared" si="2"/>
        <v>-0.27980153945257763</v>
      </c>
      <c r="L5">
        <f t="shared" si="3"/>
        <v>0.62332928311057101</v>
      </c>
      <c r="M5">
        <f t="shared" si="4"/>
        <v>-0.29394461329981392</v>
      </c>
      <c r="N5" s="26">
        <f t="shared" si="5"/>
        <v>-5672.9974999999977</v>
      </c>
      <c r="O5" s="26">
        <f t="shared" si="6"/>
        <v>3662.514423076922</v>
      </c>
      <c r="P5" s="26">
        <f t="shared" si="7"/>
        <v>9676.0960185185213</v>
      </c>
      <c r="Q5" s="26">
        <f t="shared" si="8"/>
        <v>-0.58999999999999986</v>
      </c>
      <c r="R5" s="26">
        <f t="shared" si="9"/>
        <v>-1.4821153846153843</v>
      </c>
      <c r="S5" s="26">
        <f t="shared" si="10"/>
        <v>-1.7573148148148139</v>
      </c>
      <c r="T5" s="26">
        <f t="shared" si="11"/>
        <v>-0.1106062006220988</v>
      </c>
      <c r="U5" s="26">
        <f t="shared" si="12"/>
        <v>2.7995644256283092E-2</v>
      </c>
      <c r="V5" s="26">
        <f t="shared" si="13"/>
        <v>0.11138516618687255</v>
      </c>
      <c r="Y5">
        <v>-5268.35</v>
      </c>
      <c r="Z5">
        <v>5.6400000000000006</v>
      </c>
      <c r="AA5">
        <v>0.84615384615384615</v>
      </c>
    </row>
    <row r="6" spans="1:27" x14ac:dyDescent="0.25">
      <c r="A6" s="2">
        <v>45464</v>
      </c>
      <c r="B6">
        <v>-18197.75</v>
      </c>
      <c r="C6">
        <v>4.43</v>
      </c>
      <c r="D6">
        <v>6.89</v>
      </c>
      <c r="F6">
        <f t="shared" si="0"/>
        <v>5.66</v>
      </c>
      <c r="G6">
        <f t="shared" si="1"/>
        <v>3.9693235590888293E-3</v>
      </c>
      <c r="J6">
        <f t="shared" si="2"/>
        <v>-0.97178589231797419</v>
      </c>
      <c r="L6">
        <f t="shared" si="3"/>
        <v>0.64296081277213346</v>
      </c>
      <c r="M6">
        <f t="shared" si="4"/>
        <v>-0.23144304682570779</v>
      </c>
      <c r="N6" s="26">
        <f t="shared" si="5"/>
        <v>-1214.9724999999999</v>
      </c>
      <c r="O6" s="26">
        <f t="shared" si="6"/>
        <v>9166.4398076923026</v>
      </c>
      <c r="P6" s="26">
        <f t="shared" si="7"/>
        <v>13628.133055555558</v>
      </c>
      <c r="Q6" s="26">
        <f t="shared" si="8"/>
        <v>-0.4350000000000005</v>
      </c>
      <c r="R6" s="26">
        <f t="shared" si="9"/>
        <v>-1.5639423076923054</v>
      </c>
      <c r="S6" s="26">
        <f t="shared" si="10"/>
        <v>-1.679027777777776</v>
      </c>
      <c r="T6" s="26">
        <f t="shared" si="11"/>
        <v>-2.8285107456758607E-2</v>
      </c>
      <c r="U6" s="26">
        <f t="shared" si="12"/>
        <v>0.11284686842119107</v>
      </c>
      <c r="V6" s="26">
        <f t="shared" si="13"/>
        <v>0.17910368325514769</v>
      </c>
      <c r="Y6">
        <v>-9752.7999999999993</v>
      </c>
      <c r="Z6">
        <v>5.6400000000000006</v>
      </c>
      <c r="AA6">
        <v>0.73538461538461541</v>
      </c>
    </row>
    <row r="7" spans="1:27" x14ac:dyDescent="0.25">
      <c r="A7" s="2">
        <v>45457</v>
      </c>
      <c r="B7">
        <v>-13642.46</v>
      </c>
      <c r="C7">
        <v>5.37</v>
      </c>
      <c r="D7">
        <v>7.27</v>
      </c>
      <c r="F7">
        <f t="shared" si="0"/>
        <v>6.32</v>
      </c>
      <c r="G7">
        <f t="shared" si="1"/>
        <v>0.33761665772743377</v>
      </c>
      <c r="J7">
        <f t="shared" si="2"/>
        <v>-0.50493896331639099</v>
      </c>
      <c r="L7">
        <f t="shared" si="3"/>
        <v>0.73865199449793684</v>
      </c>
      <c r="M7">
        <f t="shared" si="4"/>
        <v>0.18974438492417822</v>
      </c>
      <c r="N7" s="26">
        <f t="shared" si="5"/>
        <v>4601.9575000000004</v>
      </c>
      <c r="O7" s="26">
        <f t="shared" si="6"/>
        <v>14545.848076923075</v>
      </c>
      <c r="P7" s="26">
        <f t="shared" si="7"/>
        <v>17136.569814814815</v>
      </c>
      <c r="Q7" s="26">
        <f t="shared" si="8"/>
        <v>-4.0000000000000036E-2</v>
      </c>
      <c r="R7" s="26">
        <f t="shared" si="9"/>
        <v>-1.3943269230769229</v>
      </c>
      <c r="S7" s="26">
        <f t="shared" si="10"/>
        <v>-1.3262499999999999</v>
      </c>
      <c r="T7" s="26">
        <f t="shared" si="11"/>
        <v>8.63546413973032E-2</v>
      </c>
      <c r="U7" s="26">
        <f t="shared" si="12"/>
        <v>0.20199048837058753</v>
      </c>
      <c r="V7" s="26">
        <f t="shared" si="13"/>
        <v>0.24861939810083766</v>
      </c>
      <c r="Y7">
        <v>-4903.05</v>
      </c>
      <c r="Z7">
        <v>5.3100000000000005</v>
      </c>
      <c r="AA7">
        <v>0.85017421602787446</v>
      </c>
    </row>
    <row r="8" spans="1:27" x14ac:dyDescent="0.25">
      <c r="A8" s="2">
        <v>45450</v>
      </c>
      <c r="B8">
        <v>-9834.0499999999993</v>
      </c>
      <c r="C8">
        <v>6.05</v>
      </c>
      <c r="D8">
        <v>7.41</v>
      </c>
      <c r="F8">
        <f t="shared" si="0"/>
        <v>6.73</v>
      </c>
      <c r="G8">
        <f t="shared" si="1"/>
        <v>0.64683731252751486</v>
      </c>
      <c r="J8">
        <f t="shared" si="2"/>
        <v>-0.21382392890179691</v>
      </c>
      <c r="L8">
        <f t="shared" si="3"/>
        <v>0.81646423751686903</v>
      </c>
      <c r="M8">
        <f t="shared" si="4"/>
        <v>0.56832991173966818</v>
      </c>
      <c r="N8" s="26">
        <f t="shared" si="5"/>
        <v>5897.6975000000002</v>
      </c>
      <c r="O8" s="26">
        <f t="shared" si="6"/>
        <v>16311.063076923076</v>
      </c>
      <c r="P8" s="26">
        <f t="shared" si="7"/>
        <v>17504.174074074079</v>
      </c>
      <c r="Q8" s="26">
        <f t="shared" si="8"/>
        <v>0.10374999999999979</v>
      </c>
      <c r="R8" s="26">
        <f t="shared" si="9"/>
        <v>-1.5451923076923055</v>
      </c>
      <c r="S8" s="26">
        <f t="shared" si="10"/>
        <v>-1.1760185185185179</v>
      </c>
      <c r="T8" s="26">
        <f t="shared" si="11"/>
        <v>0.12363932273386558</v>
      </c>
      <c r="U8" s="26">
        <f t="shared" si="12"/>
        <v>0.22462542551771858</v>
      </c>
      <c r="V8" s="26">
        <f t="shared" si="13"/>
        <v>0.25840394522239973</v>
      </c>
      <c r="Y8">
        <v>-7237.95</v>
      </c>
      <c r="Z8">
        <v>5.33</v>
      </c>
      <c r="AA8">
        <v>0.78859060402684567</v>
      </c>
    </row>
    <row r="9" spans="1:27" x14ac:dyDescent="0.25">
      <c r="A9" s="2">
        <v>45443</v>
      </c>
      <c r="B9">
        <v>-8049.27</v>
      </c>
      <c r="C9">
        <v>6.43</v>
      </c>
      <c r="D9">
        <v>7.54</v>
      </c>
      <c r="F9">
        <f t="shared" si="0"/>
        <v>6.9849999999999994</v>
      </c>
      <c r="G9">
        <f t="shared" si="1"/>
        <v>0.81093630616072154</v>
      </c>
      <c r="J9">
        <f t="shared" si="2"/>
        <v>-3.0748338690551762E-2</v>
      </c>
      <c r="L9">
        <f t="shared" si="3"/>
        <v>0.85278514588859411</v>
      </c>
      <c r="M9">
        <f t="shared" si="4"/>
        <v>0.76255635157432045</v>
      </c>
      <c r="N9" s="26">
        <f t="shared" si="5"/>
        <v>8844.9824999999983</v>
      </c>
      <c r="O9" s="26">
        <f t="shared" si="6"/>
        <v>17968.058076923069</v>
      </c>
      <c r="P9" s="26">
        <f t="shared" si="7"/>
        <v>17540.876851851848</v>
      </c>
      <c r="Q9" s="26">
        <f t="shared" si="8"/>
        <v>-0.41125000000000078</v>
      </c>
      <c r="R9" s="26">
        <f t="shared" si="9"/>
        <v>-1.7140384615384612</v>
      </c>
      <c r="S9" s="26">
        <f t="shared" si="10"/>
        <v>-1.1302777777777777</v>
      </c>
      <c r="T9" s="26">
        <f t="shared" si="11"/>
        <v>0.15991653197215205</v>
      </c>
      <c r="U9" s="26">
        <f t="shared" si="12"/>
        <v>0.24082671090379548</v>
      </c>
      <c r="V9" s="26">
        <f t="shared" si="13"/>
        <v>0.2592038423615004</v>
      </c>
      <c r="Y9">
        <v>-9833.17</v>
      </c>
      <c r="Z9">
        <v>5.3550000000000004</v>
      </c>
      <c r="AA9">
        <v>0.77024793388429758</v>
      </c>
    </row>
    <row r="10" spans="1:27" x14ac:dyDescent="0.25">
      <c r="A10" s="2">
        <v>45436</v>
      </c>
      <c r="B10">
        <v>-6685.6</v>
      </c>
      <c r="C10">
        <v>6.56</v>
      </c>
      <c r="D10">
        <v>7.48</v>
      </c>
      <c r="F10">
        <f t="shared" si="0"/>
        <v>7.02</v>
      </c>
      <c r="G10">
        <f t="shared" si="1"/>
        <v>0.93036512065383359</v>
      </c>
      <c r="J10">
        <f t="shared" si="2"/>
        <v>1.3421439368210865E-2</v>
      </c>
      <c r="L10">
        <f t="shared" si="3"/>
        <v>0.87700534759358284</v>
      </c>
      <c r="M10">
        <f t="shared" si="4"/>
        <v>0.89917182413237451</v>
      </c>
      <c r="N10" s="26">
        <f t="shared" si="5"/>
        <v>10756.169999999998</v>
      </c>
      <c r="O10" s="26">
        <f t="shared" si="6"/>
        <v>18326.859999999997</v>
      </c>
      <c r="P10" s="26">
        <f t="shared" si="7"/>
        <v>16581.312222222223</v>
      </c>
      <c r="Q10" s="26">
        <f t="shared" si="8"/>
        <v>-1.1637500000000003</v>
      </c>
      <c r="R10" s="26">
        <f t="shared" si="9"/>
        <v>-1.9627884615384605</v>
      </c>
      <c r="S10" s="26">
        <f t="shared" si="10"/>
        <v>-1.1995833333333348</v>
      </c>
      <c r="T10" s="26">
        <f t="shared" si="11"/>
        <v>0.16988245669815272</v>
      </c>
      <c r="U10" s="26">
        <f t="shared" si="12"/>
        <v>0.23542515718604307</v>
      </c>
      <c r="V10" s="26">
        <f t="shared" si="13"/>
        <v>0.23879172277509042</v>
      </c>
      <c r="Y10">
        <v>-17247.54</v>
      </c>
      <c r="Z10">
        <v>6.18</v>
      </c>
      <c r="AA10">
        <v>0.61780104712041883</v>
      </c>
    </row>
    <row r="11" spans="1:27" x14ac:dyDescent="0.25">
      <c r="A11" s="2">
        <v>45429</v>
      </c>
      <c r="B11">
        <v>-14015.6</v>
      </c>
      <c r="C11">
        <v>5.92</v>
      </c>
      <c r="D11">
        <v>7.91</v>
      </c>
      <c r="F11">
        <f t="shared" si="0"/>
        <v>6.915</v>
      </c>
      <c r="G11">
        <f t="shared" si="1"/>
        <v>0.34155153894530227</v>
      </c>
      <c r="J11">
        <f t="shared" si="2"/>
        <v>-3.2382380279775559E-2</v>
      </c>
      <c r="L11">
        <f t="shared" si="3"/>
        <v>0.74841972187104933</v>
      </c>
      <c r="M11">
        <f t="shared" si="4"/>
        <v>0.30647469505240338</v>
      </c>
      <c r="N11" s="26">
        <f t="shared" si="5"/>
        <v>9379.1299999999992</v>
      </c>
      <c r="O11" s="26">
        <f t="shared" si="6"/>
        <v>16329.011346153844</v>
      </c>
      <c r="P11" s="26">
        <f t="shared" si="7"/>
        <v>13341.191944444448</v>
      </c>
      <c r="Q11" s="26">
        <f t="shared" si="8"/>
        <v>-1.7612499999999995</v>
      </c>
      <c r="R11" s="26">
        <f t="shared" si="9"/>
        <v>-2.1489423076923062</v>
      </c>
      <c r="S11" s="26">
        <f t="shared" si="10"/>
        <v>-1.2179166666666683</v>
      </c>
      <c r="T11" s="26">
        <f t="shared" si="11"/>
        <v>0.12318619426224575</v>
      </c>
      <c r="U11" s="26">
        <f t="shared" si="12"/>
        <v>0.19122975219651339</v>
      </c>
      <c r="V11" s="26">
        <f t="shared" si="13"/>
        <v>0.17924629808024428</v>
      </c>
      <c r="Y11">
        <v>-20581.349999999999</v>
      </c>
      <c r="Z11">
        <v>6.28</v>
      </c>
      <c r="AA11">
        <v>0.57196495619524412</v>
      </c>
    </row>
    <row r="12" spans="1:27" x14ac:dyDescent="0.25">
      <c r="A12" s="2">
        <v>45422</v>
      </c>
      <c r="B12">
        <v>-11446.83</v>
      </c>
      <c r="C12">
        <v>6.01</v>
      </c>
      <c r="D12">
        <v>7.65</v>
      </c>
      <c r="F12">
        <f t="shared" si="0"/>
        <v>6.83</v>
      </c>
      <c r="G12">
        <f t="shared" si="1"/>
        <v>0.53341615466720971</v>
      </c>
      <c r="J12">
        <f t="shared" si="2"/>
        <v>-6.5837788306508022E-2</v>
      </c>
      <c r="L12">
        <f t="shared" si="3"/>
        <v>0.78562091503267972</v>
      </c>
      <c r="M12">
        <f t="shared" si="4"/>
        <v>0.48136685555128644</v>
      </c>
      <c r="N12" s="26">
        <f t="shared" si="5"/>
        <v>8993.0825000000004</v>
      </c>
      <c r="O12" s="26">
        <f t="shared" si="6"/>
        <v>15881.098653846147</v>
      </c>
      <c r="P12" s="26">
        <f t="shared" si="7"/>
        <v>11470.926574074074</v>
      </c>
      <c r="Q12" s="26">
        <f t="shared" si="8"/>
        <v>-2.4074999999999989</v>
      </c>
      <c r="R12" s="26">
        <f t="shared" si="9"/>
        <v>-2.2647115384615368</v>
      </c>
      <c r="S12" s="26">
        <f t="shared" si="10"/>
        <v>-1.1681018518518531</v>
      </c>
      <c r="T12" s="26">
        <f t="shared" si="11"/>
        <v>8.5337996176744424E-2</v>
      </c>
      <c r="U12" s="26">
        <f t="shared" si="12"/>
        <v>0.16647956978245759</v>
      </c>
      <c r="V12" s="26">
        <f t="shared" si="13"/>
        <v>0.13625448345621183</v>
      </c>
      <c r="Y12">
        <v>-18606.900000000001</v>
      </c>
      <c r="Z12">
        <v>6.34</v>
      </c>
      <c r="AA12">
        <v>0.60709759188846646</v>
      </c>
    </row>
    <row r="13" spans="1:27" x14ac:dyDescent="0.25">
      <c r="A13" s="2">
        <v>45415</v>
      </c>
      <c r="B13">
        <v>-12715.61</v>
      </c>
      <c r="C13">
        <v>5.73</v>
      </c>
      <c r="D13">
        <v>7.61</v>
      </c>
      <c r="F13">
        <f t="shared" si="0"/>
        <v>6.67</v>
      </c>
      <c r="G13">
        <f t="shared" si="1"/>
        <v>0.43115175743540551</v>
      </c>
      <c r="J13">
        <f t="shared" si="2"/>
        <v>-0.15314716989658089</v>
      </c>
      <c r="L13">
        <f t="shared" si="3"/>
        <v>0.75295663600525631</v>
      </c>
      <c r="M13">
        <f t="shared" si="4"/>
        <v>0.34064918543411893</v>
      </c>
      <c r="N13" s="26">
        <f t="shared" si="5"/>
        <v>6822.875</v>
      </c>
      <c r="O13" s="26">
        <f t="shared" si="6"/>
        <v>12701.528653846155</v>
      </c>
      <c r="P13" s="26">
        <f t="shared" si="7"/>
        <v>7904.8532407407401</v>
      </c>
      <c r="Q13" s="26">
        <f t="shared" si="8"/>
        <v>-1.692499999999999</v>
      </c>
      <c r="R13" s="26">
        <f t="shared" si="9"/>
        <v>-1.6462499999999967</v>
      </c>
      <c r="S13" s="26">
        <f t="shared" si="10"/>
        <v>-0.54421296296296084</v>
      </c>
      <c r="T13" s="26">
        <f t="shared" si="11"/>
        <v>5.5658530984037058E-2</v>
      </c>
      <c r="U13" s="26">
        <f t="shared" si="12"/>
        <v>0.1304186451928544</v>
      </c>
      <c r="V13" s="26">
        <f t="shared" si="13"/>
        <v>9.2082106458063473E-2</v>
      </c>
      <c r="Y13">
        <v>-16407.18</v>
      </c>
      <c r="Z13">
        <v>6.5050000000000008</v>
      </c>
      <c r="AA13">
        <v>0.6385390428211587</v>
      </c>
    </row>
    <row r="14" spans="1:27" x14ac:dyDescent="0.25">
      <c r="A14" s="2">
        <v>45408</v>
      </c>
      <c r="B14">
        <v>-18441.169999999998</v>
      </c>
      <c r="C14">
        <v>5.37</v>
      </c>
      <c r="D14">
        <v>8.23</v>
      </c>
      <c r="F14">
        <f t="shared" si="0"/>
        <v>6.8000000000000007</v>
      </c>
      <c r="G14">
        <f t="shared" si="1"/>
        <v>-3.1768274987781522E-2</v>
      </c>
      <c r="J14">
        <f t="shared" si="2"/>
        <v>-5.2550321678613114E-2</v>
      </c>
      <c r="L14">
        <f t="shared" si="3"/>
        <v>0.65249088699878488</v>
      </c>
      <c r="M14">
        <f t="shared" si="4"/>
        <v>-0.13437919558934078</v>
      </c>
      <c r="N14" s="26">
        <f t="shared" si="5"/>
        <v>5828.3325000000004</v>
      </c>
      <c r="O14" s="26">
        <f t="shared" si="6"/>
        <v>9005.510769230772</v>
      </c>
      <c r="P14" s="26">
        <f t="shared" si="7"/>
        <v>4507.8392592592645</v>
      </c>
      <c r="Q14" s="26">
        <f t="shared" si="8"/>
        <v>-0.79624999999999879</v>
      </c>
      <c r="R14" s="26">
        <f t="shared" si="9"/>
        <v>-0.78749999999999787</v>
      </c>
      <c r="S14" s="26">
        <f t="shared" si="10"/>
        <v>0.23546296296296365</v>
      </c>
      <c r="T14" s="26">
        <f t="shared" si="11"/>
        <v>4.502654086896174E-2</v>
      </c>
      <c r="U14" s="26">
        <f t="shared" si="12"/>
        <v>9.5804506250220856E-2</v>
      </c>
      <c r="V14" s="26">
        <f t="shared" si="13"/>
        <v>5.6222957387034089E-2</v>
      </c>
      <c r="Y14">
        <v>-19027.73</v>
      </c>
      <c r="Z14">
        <v>6.7249999999999996</v>
      </c>
      <c r="AA14">
        <v>0.61464585834333729</v>
      </c>
    </row>
    <row r="15" spans="1:27" x14ac:dyDescent="0.25">
      <c r="A15" s="2">
        <v>45401</v>
      </c>
      <c r="B15">
        <v>-19571.7</v>
      </c>
      <c r="C15">
        <v>5.25</v>
      </c>
      <c r="D15">
        <v>8.6199999999999992</v>
      </c>
      <c r="F15">
        <f t="shared" si="0"/>
        <v>6.9349999999999996</v>
      </c>
      <c r="G15">
        <f t="shared" si="1"/>
        <v>-0.15299977653034333</v>
      </c>
      <c r="J15">
        <f t="shared" si="2"/>
        <v>4.663103781838869E-2</v>
      </c>
      <c r="L15">
        <f t="shared" si="3"/>
        <v>0.60904872389791187</v>
      </c>
      <c r="M15">
        <f t="shared" si="4"/>
        <v>-0.36518102889211052</v>
      </c>
      <c r="N15" s="26">
        <f t="shared" si="5"/>
        <v>7297.2300000000032</v>
      </c>
      <c r="O15" s="26">
        <f t="shared" si="6"/>
        <v>6838.8444230769273</v>
      </c>
      <c r="P15" s="26">
        <f t="shared" si="7"/>
        <v>2720.7393518518547</v>
      </c>
      <c r="Q15" s="26">
        <f t="shared" si="8"/>
        <v>-0.27125000000000021</v>
      </c>
      <c r="R15" s="26">
        <f t="shared" si="9"/>
        <v>-0.19423076923076721</v>
      </c>
      <c r="S15" s="26">
        <f t="shared" si="10"/>
        <v>0.87537037037037102</v>
      </c>
      <c r="T15" s="26">
        <f t="shared" si="11"/>
        <v>6.5421860749731331E-2</v>
      </c>
      <c r="U15" s="26">
        <f t="shared" si="12"/>
        <v>8.437909220684392E-2</v>
      </c>
      <c r="V15" s="26">
        <f t="shared" si="13"/>
        <v>4.7074452239395215E-2</v>
      </c>
      <c r="Y15">
        <v>-6578.21</v>
      </c>
      <c r="Z15">
        <v>5.7249999999999996</v>
      </c>
      <c r="AA15">
        <v>0.82907348242811507</v>
      </c>
    </row>
    <row r="16" spans="1:27" x14ac:dyDescent="0.25">
      <c r="A16" s="2">
        <v>45394</v>
      </c>
      <c r="B16">
        <v>-24848.75</v>
      </c>
      <c r="C16">
        <v>6.81</v>
      </c>
      <c r="D16">
        <v>11.17</v>
      </c>
      <c r="F16">
        <f t="shared" si="0"/>
        <v>8.99</v>
      </c>
      <c r="G16">
        <f t="shared" si="1"/>
        <v>-0.56899318150648492</v>
      </c>
      <c r="J16">
        <f t="shared" si="2"/>
        <v>1.3933859207793697</v>
      </c>
      <c r="L16">
        <f t="shared" si="3"/>
        <v>0.60966875559534461</v>
      </c>
      <c r="M16">
        <f t="shared" si="4"/>
        <v>-0.391628111499288</v>
      </c>
      <c r="N16" s="26">
        <f t="shared" si="5"/>
        <v>10199.205000000005</v>
      </c>
      <c r="O16" s="26">
        <f t="shared" si="6"/>
        <v>5803.3146153846174</v>
      </c>
      <c r="P16" s="26">
        <f t="shared" si="7"/>
        <v>1606.567037037039</v>
      </c>
      <c r="Q16" s="26">
        <f t="shared" si="8"/>
        <v>0.45624999999999893</v>
      </c>
      <c r="R16" s="26">
        <f t="shared" si="9"/>
        <v>0.48509615384615401</v>
      </c>
      <c r="S16" s="26">
        <f t="shared" si="10"/>
        <v>1.6473611111111097</v>
      </c>
      <c r="T16" s="26">
        <f t="shared" si="11"/>
        <v>0.10399918230335914</v>
      </c>
      <c r="U16" s="26">
        <f t="shared" si="12"/>
        <v>9.2662775381342155E-2</v>
      </c>
      <c r="V16" s="26">
        <f t="shared" si="13"/>
        <v>5.1898625352780337E-2</v>
      </c>
      <c r="Y16">
        <v>-10308.02</v>
      </c>
      <c r="Z16">
        <v>5.8100000000000005</v>
      </c>
      <c r="AA16">
        <v>0.74474474474474472</v>
      </c>
    </row>
    <row r="17" spans="1:27" x14ac:dyDescent="0.25">
      <c r="A17" s="2">
        <v>45387</v>
      </c>
      <c r="B17">
        <v>-25026.7</v>
      </c>
      <c r="C17">
        <v>7.12</v>
      </c>
      <c r="D17">
        <v>11.61</v>
      </c>
      <c r="F17">
        <f t="shared" si="0"/>
        <v>9.3650000000000002</v>
      </c>
      <c r="G17">
        <f t="shared" si="1"/>
        <v>-0.60945624194096359</v>
      </c>
      <c r="J17">
        <f t="shared" si="2"/>
        <v>1.7023559328421469</v>
      </c>
      <c r="L17">
        <f t="shared" si="3"/>
        <v>0.61326442721791563</v>
      </c>
      <c r="M17">
        <f t="shared" si="4"/>
        <v>-0.4083462570012884</v>
      </c>
      <c r="N17" s="26">
        <f t="shared" si="5"/>
        <v>11170.497500000001</v>
      </c>
      <c r="O17" s="26">
        <f t="shared" si="6"/>
        <v>4853.7275000000009</v>
      </c>
      <c r="P17" s="26">
        <f t="shared" si="7"/>
        <v>-30.086944444439723</v>
      </c>
      <c r="Q17" s="26">
        <f t="shared" si="8"/>
        <v>-0.34875000000000078</v>
      </c>
      <c r="R17" s="26">
        <f t="shared" si="9"/>
        <v>0.43932692307692456</v>
      </c>
      <c r="S17" s="26">
        <f t="shared" si="10"/>
        <v>1.5505092592592593</v>
      </c>
      <c r="T17" s="26">
        <f t="shared" si="11"/>
        <v>0.1063215586387018</v>
      </c>
      <c r="U17" s="26">
        <f t="shared" si="12"/>
        <v>7.9249732725200195E-2</v>
      </c>
      <c r="V17" s="26">
        <f t="shared" si="13"/>
        <v>3.5169065864243398E-2</v>
      </c>
      <c r="Y17">
        <v>-18305.16</v>
      </c>
      <c r="Z17">
        <v>6.415</v>
      </c>
      <c r="AA17">
        <v>0.63024142312579412</v>
      </c>
    </row>
    <row r="18" spans="1:27" x14ac:dyDescent="0.25">
      <c r="A18" s="2">
        <v>45379</v>
      </c>
      <c r="B18">
        <v>-24688.58</v>
      </c>
      <c r="C18">
        <v>6.83</v>
      </c>
      <c r="D18">
        <v>11.11</v>
      </c>
      <c r="F18">
        <f t="shared" si="0"/>
        <v>8.9699999999999989</v>
      </c>
      <c r="G18">
        <f t="shared" si="1"/>
        <v>-0.61545338152568285</v>
      </c>
      <c r="J18">
        <f t="shared" si="2"/>
        <v>1.5234797353457508</v>
      </c>
      <c r="L18">
        <f t="shared" si="3"/>
        <v>0.61476147614761478</v>
      </c>
      <c r="M18">
        <f t="shared" si="4"/>
        <v>-0.43354593102304406</v>
      </c>
      <c r="N18" s="26">
        <f t="shared" si="5"/>
        <v>10304.687500000007</v>
      </c>
      <c r="O18" s="26">
        <f t="shared" si="6"/>
        <v>3055.8274999999994</v>
      </c>
      <c r="P18" s="26">
        <f t="shared" si="7"/>
        <v>-2984.6669444444378</v>
      </c>
      <c r="Q18" s="26">
        <f t="shared" si="8"/>
        <v>-0.79000000000000092</v>
      </c>
      <c r="R18" s="26">
        <f t="shared" si="9"/>
        <v>0.32605769230769432</v>
      </c>
      <c r="S18" s="26">
        <f t="shared" si="10"/>
        <v>1.4435648148148159</v>
      </c>
      <c r="T18" s="26">
        <f t="shared" si="11"/>
        <v>9.2364689544645384E-2</v>
      </c>
      <c r="U18" s="26">
        <f t="shared" si="12"/>
        <v>5.9916677440047916E-2</v>
      </c>
      <c r="V18" s="26">
        <f t="shared" si="13"/>
        <v>1.4651239679125405E-3</v>
      </c>
      <c r="Y18">
        <v>-23324.07</v>
      </c>
      <c r="Z18">
        <v>6.2700000000000005</v>
      </c>
      <c r="AA18">
        <v>0.55583126550868489</v>
      </c>
    </row>
    <row r="19" spans="1:27" x14ac:dyDescent="0.25">
      <c r="A19" s="2">
        <v>45373</v>
      </c>
      <c r="B19">
        <v>-23583.61</v>
      </c>
      <c r="C19">
        <v>7.31</v>
      </c>
      <c r="D19">
        <v>11.77</v>
      </c>
      <c r="F19">
        <f t="shared" si="0"/>
        <v>9.5399999999999991</v>
      </c>
      <c r="G19">
        <f t="shared" si="1"/>
        <v>-0.57031282493527047</v>
      </c>
      <c r="J19">
        <f t="shared" si="2"/>
        <v>1.9782413015685578</v>
      </c>
      <c r="L19">
        <f t="shared" si="3"/>
        <v>0.62107051826677995</v>
      </c>
      <c r="M19">
        <f t="shared" si="4"/>
        <v>-0.44012659876520516</v>
      </c>
      <c r="N19" s="26">
        <f t="shared" si="5"/>
        <v>6207.4524999999958</v>
      </c>
      <c r="O19" s="26">
        <f t="shared" si="6"/>
        <v>-297.09788461538483</v>
      </c>
      <c r="P19" s="26">
        <f t="shared" si="7"/>
        <v>-7110.7365740740752</v>
      </c>
      <c r="Q19" s="26">
        <f t="shared" si="8"/>
        <v>-0.73250000000000171</v>
      </c>
      <c r="R19" s="26">
        <f t="shared" si="9"/>
        <v>0.52817307692307836</v>
      </c>
      <c r="S19" s="26">
        <f t="shared" si="10"/>
        <v>1.5984722222222238</v>
      </c>
      <c r="T19" s="26">
        <f t="shared" si="11"/>
        <v>6.1716169090627382E-2</v>
      </c>
      <c r="U19" s="26">
        <f t="shared" si="12"/>
        <v>2.8108965722347001E-2</v>
      </c>
      <c r="V19" s="26">
        <f t="shared" si="13"/>
        <v>-3.9219578931333987E-2</v>
      </c>
      <c r="Y19">
        <v>-26459.61</v>
      </c>
      <c r="Z19">
        <v>6.875</v>
      </c>
      <c r="AA19">
        <v>0.5501691093573845</v>
      </c>
    </row>
    <row r="20" spans="1:27" x14ac:dyDescent="0.25">
      <c r="A20" s="2">
        <v>45366</v>
      </c>
      <c r="B20">
        <v>-29569.84</v>
      </c>
      <c r="C20">
        <v>5.9</v>
      </c>
      <c r="D20">
        <v>10.68</v>
      </c>
      <c r="F20">
        <f t="shared" si="0"/>
        <v>8.2899999999999991</v>
      </c>
      <c r="G20">
        <f t="shared" si="1"/>
        <v>-0.99161447012986859</v>
      </c>
      <c r="J20">
        <f t="shared" si="2"/>
        <v>1.216094680710287</v>
      </c>
      <c r="L20">
        <f t="shared" si="3"/>
        <v>0.55243445692883897</v>
      </c>
      <c r="M20">
        <f t="shared" si="4"/>
        <v>-0.68852189405949316</v>
      </c>
      <c r="N20" s="26">
        <f t="shared" si="5"/>
        <v>170.32999999999447</v>
      </c>
      <c r="O20" s="26">
        <f t="shared" si="6"/>
        <v>-5226.5142307692367</v>
      </c>
      <c r="P20" s="26">
        <f t="shared" si="7"/>
        <v>-12286.073148148149</v>
      </c>
      <c r="Q20" s="26">
        <f t="shared" si="8"/>
        <v>-0.62625000000000064</v>
      </c>
      <c r="R20" s="26">
        <f t="shared" si="9"/>
        <v>0.62923076923076948</v>
      </c>
      <c r="S20" s="26">
        <f t="shared" si="10"/>
        <v>1.6675925925925936</v>
      </c>
      <c r="T20" s="26">
        <f t="shared" si="11"/>
        <v>2.1500264002106528E-2</v>
      </c>
      <c r="U20" s="26">
        <f t="shared" si="12"/>
        <v>-1.4726694344885716E-2</v>
      </c>
      <c r="V20" s="26">
        <f t="shared" si="13"/>
        <v>-8.8546681137438799E-2</v>
      </c>
      <c r="Y20">
        <v>-23706.38</v>
      </c>
      <c r="Z20">
        <v>6.6749999999999998</v>
      </c>
      <c r="AA20">
        <v>0.5798816568047338</v>
      </c>
    </row>
    <row r="21" spans="1:27" x14ac:dyDescent="0.25">
      <c r="A21" s="2">
        <v>45359</v>
      </c>
      <c r="B21">
        <v>-33359.620000000003</v>
      </c>
      <c r="C21">
        <v>5.77</v>
      </c>
      <c r="D21">
        <v>11.18</v>
      </c>
      <c r="F21">
        <f t="shared" si="0"/>
        <v>8.4749999999999996</v>
      </c>
      <c r="G21">
        <f t="shared" si="1"/>
        <v>-1.2509880429156721</v>
      </c>
      <c r="J21">
        <f t="shared" si="2"/>
        <v>1.3969813196873879</v>
      </c>
      <c r="L21">
        <f t="shared" si="3"/>
        <v>0.51610017889087656</v>
      </c>
      <c r="M21">
        <f t="shared" si="4"/>
        <v>-0.80136990612534365</v>
      </c>
      <c r="N21" s="26">
        <f t="shared" si="5"/>
        <v>-3573.7200000000012</v>
      </c>
      <c r="O21" s="26">
        <f t="shared" si="6"/>
        <v>-8491.1346153846134</v>
      </c>
      <c r="P21" s="26">
        <f t="shared" si="7"/>
        <v>-15490.352962962956</v>
      </c>
      <c r="Q21" s="26">
        <f t="shared" si="8"/>
        <v>0.58000000000000185</v>
      </c>
      <c r="R21" s="26">
        <f t="shared" si="9"/>
        <v>1.5773076923076941</v>
      </c>
      <c r="S21" s="26">
        <f t="shared" si="10"/>
        <v>2.4890740740740753</v>
      </c>
      <c r="T21" s="26">
        <f t="shared" si="11"/>
        <v>6.8856382633926683E-3</v>
      </c>
      <c r="U21" s="26">
        <f t="shared" si="12"/>
        <v>-3.8586184107144927E-2</v>
      </c>
      <c r="V21" s="26">
        <f t="shared" si="13"/>
        <v>-0.11441740852695065</v>
      </c>
      <c r="Y21">
        <v>-25885.39</v>
      </c>
      <c r="Z21">
        <v>6.93</v>
      </c>
      <c r="AA21">
        <v>0.57321225879682169</v>
      </c>
    </row>
    <row r="22" spans="1:27" x14ac:dyDescent="0.25">
      <c r="A22" s="2">
        <v>45352</v>
      </c>
      <c r="B22">
        <v>-36811.58</v>
      </c>
      <c r="C22">
        <v>5.99</v>
      </c>
      <c r="D22">
        <v>12.09</v>
      </c>
      <c r="F22">
        <f t="shared" si="0"/>
        <v>9.0399999999999991</v>
      </c>
      <c r="G22">
        <f t="shared" si="1"/>
        <v>-1.4917568932698051</v>
      </c>
      <c r="J22">
        <f t="shared" si="2"/>
        <v>1.868837780210056</v>
      </c>
      <c r="L22">
        <f t="shared" si="3"/>
        <v>0.49545078577336643</v>
      </c>
      <c r="M22">
        <f t="shared" si="4"/>
        <v>-0.87098878002429536</v>
      </c>
      <c r="N22" s="26">
        <f t="shared" si="5"/>
        <v>-7580.8200000000033</v>
      </c>
      <c r="O22" s="26">
        <f t="shared" si="6"/>
        <v>-10613.915384615389</v>
      </c>
      <c r="P22" s="26">
        <f t="shared" si="7"/>
        <v>-17928.548888888894</v>
      </c>
      <c r="Q22" s="26">
        <f t="shared" si="8"/>
        <v>1.1437500000000007</v>
      </c>
      <c r="R22" s="26">
        <f t="shared" si="9"/>
        <v>1.9864423076923092</v>
      </c>
      <c r="S22" s="26">
        <f t="shared" si="10"/>
        <v>2.8452314814814814</v>
      </c>
      <c r="T22" s="26">
        <f t="shared" si="11"/>
        <v>-1.1411767261506611E-2</v>
      </c>
      <c r="U22" s="26">
        <f t="shared" si="12"/>
        <v>-5.4720815742334561E-2</v>
      </c>
      <c r="V22" s="26">
        <f t="shared" si="13"/>
        <v>-0.13850680296701634</v>
      </c>
      <c r="Y22">
        <v>-32623.3</v>
      </c>
      <c r="Z22">
        <v>6.6400000000000006</v>
      </c>
      <c r="AA22">
        <v>0.5211912943871706</v>
      </c>
    </row>
    <row r="23" spans="1:27" x14ac:dyDescent="0.25">
      <c r="A23" s="2">
        <v>45345</v>
      </c>
      <c r="B23">
        <v>-39203.42</v>
      </c>
      <c r="C23">
        <v>5.98</v>
      </c>
      <c r="D23">
        <v>12.49</v>
      </c>
      <c r="F23">
        <f t="shared" si="0"/>
        <v>9.2349999999999994</v>
      </c>
      <c r="G23">
        <f t="shared" si="1"/>
        <v>-1.6776910060399755</v>
      </c>
      <c r="J23">
        <f t="shared" si="2"/>
        <v>2.1243889788858725</v>
      </c>
      <c r="L23">
        <f t="shared" si="3"/>
        <v>0.47878302642113696</v>
      </c>
      <c r="M23">
        <f t="shared" si="4"/>
        <v>-0.9288381981758822</v>
      </c>
      <c r="N23" s="26">
        <f t="shared" si="5"/>
        <v>-10403.367499999997</v>
      </c>
      <c r="O23" s="26">
        <f t="shared" si="6"/>
        <v>-10256.78192307692</v>
      </c>
      <c r="P23" s="26">
        <f t="shared" si="7"/>
        <v>-18496.958333333336</v>
      </c>
      <c r="Q23" s="26">
        <f t="shared" si="8"/>
        <v>1.583750000000002</v>
      </c>
      <c r="R23" s="26">
        <f t="shared" si="9"/>
        <v>2.1472115384615407</v>
      </c>
      <c r="S23" s="26">
        <f t="shared" si="10"/>
        <v>2.9261574074074099</v>
      </c>
      <c r="T23" s="26">
        <f t="shared" si="11"/>
        <v>-3.8219513825576978E-2</v>
      </c>
      <c r="U23" s="26">
        <f t="shared" si="12"/>
        <v>-5.8292051596762873E-2</v>
      </c>
      <c r="V23" s="26">
        <f t="shared" si="13"/>
        <v>-0.17239982546116761</v>
      </c>
      <c r="Y23">
        <v>-37068.910000000003</v>
      </c>
      <c r="Z23">
        <v>7.0549999999999997</v>
      </c>
      <c r="AA23">
        <v>0.45164609053497934</v>
      </c>
    </row>
    <row r="24" spans="1:27" x14ac:dyDescent="0.25">
      <c r="A24" s="2">
        <v>45338</v>
      </c>
      <c r="B24">
        <v>-38176.1</v>
      </c>
      <c r="C24">
        <v>7.07</v>
      </c>
      <c r="D24">
        <v>14.55</v>
      </c>
      <c r="F24">
        <f t="shared" si="0"/>
        <v>10.81</v>
      </c>
      <c r="G24">
        <f t="shared" si="1"/>
        <v>-1.6797488432672774</v>
      </c>
      <c r="J24">
        <f t="shared" si="2"/>
        <v>3.5069064509943271</v>
      </c>
      <c r="L24">
        <f t="shared" si="3"/>
        <v>0.48591065292096219</v>
      </c>
      <c r="M24">
        <f t="shared" si="4"/>
        <v>-0.93762318371449171</v>
      </c>
      <c r="N24" s="26">
        <f t="shared" si="5"/>
        <v>-11733.3825</v>
      </c>
      <c r="O24" s="26">
        <f t="shared" si="6"/>
        <v>-9076.1180769230814</v>
      </c>
      <c r="P24" s="26">
        <f t="shared" si="7"/>
        <v>-17830.698333333337</v>
      </c>
      <c r="Q24" s="26">
        <f t="shared" si="8"/>
        <v>1.4499999999999993</v>
      </c>
      <c r="R24" s="26">
        <f t="shared" si="9"/>
        <v>2.1254807692307693</v>
      </c>
      <c r="S24" s="26">
        <f t="shared" si="10"/>
        <v>2.8605092592592607</v>
      </c>
      <c r="T24" s="26">
        <f t="shared" si="11"/>
        <v>-6.94035113273756E-2</v>
      </c>
      <c r="U24" s="26">
        <f t="shared" si="12"/>
        <v>-6.3869732407823288E-2</v>
      </c>
      <c r="V24" s="26">
        <f t="shared" si="13"/>
        <v>-0.19958797996009553</v>
      </c>
      <c r="Y24">
        <v>-32568.75</v>
      </c>
      <c r="Z24">
        <v>6.6099999999999994</v>
      </c>
      <c r="AA24">
        <v>0.5407925407925408</v>
      </c>
    </row>
    <row r="25" spans="1:27" x14ac:dyDescent="0.25">
      <c r="A25" s="2">
        <v>45331</v>
      </c>
      <c r="B25">
        <v>-38229.300000000003</v>
      </c>
      <c r="C25">
        <v>6.02</v>
      </c>
      <c r="D25">
        <v>12.68</v>
      </c>
      <c r="F25">
        <f t="shared" si="0"/>
        <v>9.35</v>
      </c>
      <c r="G25">
        <f t="shared" si="1"/>
        <v>-1.7545807398716751</v>
      </c>
      <c r="J25">
        <f t="shared" si="2"/>
        <v>2.7867618669267413</v>
      </c>
      <c r="L25">
        <f t="shared" si="3"/>
        <v>0.47476340694006308</v>
      </c>
      <c r="M25">
        <f t="shared" si="4"/>
        <v>-0.99530941673928808</v>
      </c>
      <c r="N25" s="26">
        <f t="shared" si="5"/>
        <v>-12302.330000000002</v>
      </c>
      <c r="O25" s="26">
        <f t="shared" si="6"/>
        <v>-9137.336153846154</v>
      </c>
      <c r="P25" s="26">
        <f t="shared" si="7"/>
        <v>-17464.282592592597</v>
      </c>
      <c r="Q25" s="26">
        <f t="shared" si="8"/>
        <v>0.70624999999999716</v>
      </c>
      <c r="R25" s="26">
        <f t="shared" si="9"/>
        <v>1.7565384615384598</v>
      </c>
      <c r="S25" s="26">
        <f t="shared" si="10"/>
        <v>2.4081481481481477</v>
      </c>
      <c r="T25" s="26">
        <f t="shared" si="11"/>
        <v>-9.0071865797926476E-2</v>
      </c>
      <c r="U25" s="26">
        <f t="shared" si="12"/>
        <v>-8.6416780200063381E-2</v>
      </c>
      <c r="V25" s="26">
        <f t="shared" si="13"/>
        <v>-0.22270703469561404</v>
      </c>
      <c r="Y25">
        <v>-23160.43</v>
      </c>
      <c r="Z25">
        <v>9.1750000000000007</v>
      </c>
      <c r="AA25">
        <v>0.55245346869712353</v>
      </c>
    </row>
    <row r="26" spans="1:27" x14ac:dyDescent="0.25">
      <c r="A26" s="2">
        <v>45324</v>
      </c>
      <c r="B26">
        <v>-32545.64</v>
      </c>
      <c r="C26">
        <v>5.91</v>
      </c>
      <c r="D26">
        <v>11.85</v>
      </c>
      <c r="F26">
        <f t="shared" si="0"/>
        <v>8.879999999999999</v>
      </c>
      <c r="G26">
        <f t="shared" si="1"/>
        <v>-1.4877290061870292</v>
      </c>
      <c r="J26">
        <f t="shared" si="2"/>
        <v>2.6259635110881603</v>
      </c>
      <c r="L26">
        <f t="shared" si="3"/>
        <v>0.49873417721518992</v>
      </c>
      <c r="M26">
        <f t="shared" si="4"/>
        <v>-0.97191427802128705</v>
      </c>
      <c r="N26" s="26">
        <f t="shared" si="5"/>
        <v>-8138.1075000000019</v>
      </c>
      <c r="O26" s="26">
        <f t="shared" si="6"/>
        <v>-7923.9923076923114</v>
      </c>
      <c r="P26" s="26">
        <f t="shared" si="7"/>
        <v>-15637.004444444454</v>
      </c>
      <c r="Q26" s="26">
        <f t="shared" si="8"/>
        <v>0.70124999999999993</v>
      </c>
      <c r="R26" s="26">
        <f t="shared" si="9"/>
        <v>1.5842307692307696</v>
      </c>
      <c r="S26" s="26">
        <f t="shared" si="10"/>
        <v>2.1598148148148146</v>
      </c>
      <c r="T26" s="26">
        <f t="shared" si="11"/>
        <v>-9.0652724186654043E-2</v>
      </c>
      <c r="U26" s="26">
        <f t="shared" si="12"/>
        <v>-0.10325796961204203</v>
      </c>
      <c r="V26" s="26">
        <f t="shared" si="13"/>
        <v>-0.2315276875096538</v>
      </c>
      <c r="Y26">
        <v>-16826</v>
      </c>
      <c r="Z26">
        <v>8.31</v>
      </c>
      <c r="AA26">
        <v>0.64067127344521224</v>
      </c>
    </row>
    <row r="27" spans="1:27" x14ac:dyDescent="0.25">
      <c r="A27" s="2">
        <v>45317</v>
      </c>
      <c r="B27">
        <v>-30674.74</v>
      </c>
      <c r="C27">
        <v>5.65</v>
      </c>
      <c r="D27">
        <v>11.36</v>
      </c>
      <c r="F27">
        <f t="shared" si="0"/>
        <v>8.504999999999999</v>
      </c>
      <c r="G27">
        <f t="shared" si="1"/>
        <v>-1.4394340972464117</v>
      </c>
      <c r="J27">
        <f t="shared" si="2"/>
        <v>2.4350757212601057</v>
      </c>
      <c r="L27">
        <f t="shared" si="3"/>
        <v>0.4973591549295775</v>
      </c>
      <c r="M27">
        <f t="shared" si="4"/>
        <v>-1.0120316523631705</v>
      </c>
      <c r="N27" s="26">
        <f t="shared" si="5"/>
        <v>770.77499999999782</v>
      </c>
      <c r="O27" s="26">
        <f t="shared" si="6"/>
        <v>-3878.1736538461591</v>
      </c>
      <c r="P27" s="26">
        <f t="shared" si="7"/>
        <v>-12423.827870370378</v>
      </c>
      <c r="Q27" s="26">
        <f t="shared" si="8"/>
        <v>0.19749999999999979</v>
      </c>
      <c r="R27" s="26">
        <f t="shared" si="9"/>
        <v>1.1223076923076922</v>
      </c>
      <c r="S27" s="26">
        <f t="shared" si="10"/>
        <v>1.745000000000001</v>
      </c>
      <c r="T27" s="26">
        <f t="shared" si="11"/>
        <v>-2.362351366754889E-2</v>
      </c>
      <c r="U27" s="26">
        <f t="shared" si="12"/>
        <v>-7.6044552374442076E-2</v>
      </c>
      <c r="V27" s="26">
        <f t="shared" si="13"/>
        <v>-0.2202707040617482</v>
      </c>
      <c r="Y27">
        <v>-16989.509999999998</v>
      </c>
      <c r="Z27">
        <v>6.96</v>
      </c>
      <c r="AA27">
        <v>0.60924855491329477</v>
      </c>
    </row>
    <row r="28" spans="1:27" x14ac:dyDescent="0.25">
      <c r="A28" s="2">
        <v>45310</v>
      </c>
      <c r="B28">
        <v>-31806.16</v>
      </c>
      <c r="C28">
        <v>5.5</v>
      </c>
      <c r="D28">
        <v>11.51</v>
      </c>
      <c r="F28">
        <f t="shared" si="0"/>
        <v>8.504999999999999</v>
      </c>
      <c r="G28">
        <f t="shared" si="1"/>
        <v>-1.5716780545607678</v>
      </c>
      <c r="J28">
        <f t="shared" si="2"/>
        <v>2.5596641050947873</v>
      </c>
      <c r="L28">
        <f t="shared" si="3"/>
        <v>0.47784535186794092</v>
      </c>
      <c r="M28">
        <f t="shared" si="4"/>
        <v>-1.0818058088116114</v>
      </c>
      <c r="N28" s="26">
        <f t="shared" si="5"/>
        <v>8182.2849999999999</v>
      </c>
      <c r="O28" s="26">
        <f t="shared" si="6"/>
        <v>-448.20557692307557</v>
      </c>
      <c r="P28" s="26">
        <f t="shared" si="7"/>
        <v>-9651.4295370370401</v>
      </c>
      <c r="Q28" s="26">
        <f t="shared" si="8"/>
        <v>0.56625000000000103</v>
      </c>
      <c r="R28" s="26">
        <f t="shared" si="9"/>
        <v>1.2124038461538484</v>
      </c>
      <c r="S28" s="26">
        <f t="shared" si="10"/>
        <v>1.8082870370370401</v>
      </c>
      <c r="T28" s="26">
        <f t="shared" si="11"/>
        <v>4.2074510725870207E-2</v>
      </c>
      <c r="U28" s="26">
        <f t="shared" si="12"/>
        <v>-4.0052505005221617E-2</v>
      </c>
      <c r="V28" s="26">
        <f t="shared" si="13"/>
        <v>-0.20028792914542148</v>
      </c>
      <c r="Y28">
        <v>-27070.58</v>
      </c>
      <c r="Z28">
        <v>7.9700000000000006</v>
      </c>
      <c r="AA28">
        <v>0.50661625708884694</v>
      </c>
    </row>
    <row r="29" spans="1:27" x14ac:dyDescent="0.25">
      <c r="A29" s="2">
        <v>45303</v>
      </c>
      <c r="B29">
        <v>-27070.58</v>
      </c>
      <c r="C29">
        <v>5.36</v>
      </c>
      <c r="D29">
        <v>10.58</v>
      </c>
      <c r="F29">
        <f t="shared" si="0"/>
        <v>7.9700000000000006</v>
      </c>
      <c r="G29">
        <f t="shared" si="1"/>
        <v>-1.3328213731249026</v>
      </c>
      <c r="J29">
        <f t="shared" si="2"/>
        <v>2.1382602596806466</v>
      </c>
      <c r="L29">
        <f t="shared" si="3"/>
        <v>0.50661625708884694</v>
      </c>
      <c r="M29">
        <f t="shared" si="4"/>
        <v>-1.0328061138580777</v>
      </c>
      <c r="N29" s="26">
        <f t="shared" si="5"/>
        <v>11024.957500000004</v>
      </c>
      <c r="O29" s="26">
        <f t="shared" si="6"/>
        <v>1362.9553846153904</v>
      </c>
      <c r="P29" s="26">
        <f t="shared" si="7"/>
        <v>-8324.5025925925929</v>
      </c>
      <c r="Q29" s="26">
        <f t="shared" si="8"/>
        <v>1.2950000000000017</v>
      </c>
      <c r="R29" s="26">
        <f t="shared" si="9"/>
        <v>1.5979807692307713</v>
      </c>
      <c r="S29" s="26">
        <f t="shared" si="10"/>
        <v>2.114305555555557</v>
      </c>
      <c r="T29" s="26">
        <f t="shared" si="11"/>
        <v>5.5536842408241194E-2</v>
      </c>
      <c r="U29" s="26">
        <f t="shared" si="12"/>
        <v>-2.5603869889567754E-2</v>
      </c>
      <c r="V29" s="26">
        <f t="shared" si="13"/>
        <v>-0.19746960739851072</v>
      </c>
      <c r="Y29">
        <v>-31806.16</v>
      </c>
      <c r="Z29">
        <v>8.504999999999999</v>
      </c>
      <c r="AA29">
        <v>0.47784535186794092</v>
      </c>
    </row>
    <row r="30" spans="1:27" x14ac:dyDescent="0.25">
      <c r="A30" s="2">
        <v>45296</v>
      </c>
      <c r="B30">
        <v>-16989.509999999998</v>
      </c>
      <c r="C30">
        <v>5.27</v>
      </c>
      <c r="D30">
        <v>8.65</v>
      </c>
      <c r="F30">
        <f t="shared" si="0"/>
        <v>6.96</v>
      </c>
      <c r="G30">
        <f t="shared" si="1"/>
        <v>-0.71590379577032992</v>
      </c>
      <c r="J30">
        <f t="shared" si="2"/>
        <v>1.1687559742222977</v>
      </c>
      <c r="L30">
        <f t="shared" si="3"/>
        <v>0.60924855491329477</v>
      </c>
      <c r="M30">
        <f t="shared" si="4"/>
        <v>-0.80379433233971587</v>
      </c>
      <c r="N30" s="26">
        <f t="shared" si="5"/>
        <v>7434.822500000002</v>
      </c>
      <c r="O30" s="26">
        <f t="shared" si="6"/>
        <v>-933.69480769230722</v>
      </c>
      <c r="P30" s="26">
        <f t="shared" si="7"/>
        <v>-10210.736574074077</v>
      </c>
      <c r="Q30" s="26">
        <f t="shared" si="8"/>
        <v>0.93874999999999975</v>
      </c>
      <c r="R30" s="26">
        <f t="shared" si="9"/>
        <v>1.2833653846153839</v>
      </c>
      <c r="S30" s="26">
        <f t="shared" si="10"/>
        <v>1.7970833333333331</v>
      </c>
      <c r="T30" s="26">
        <f t="shared" si="11"/>
        <v>5.4308634331116545E-2</v>
      </c>
      <c r="U30" s="26">
        <f t="shared" si="12"/>
        <v>-1.9457677071544555E-2</v>
      </c>
      <c r="V30" s="26">
        <f t="shared" si="13"/>
        <v>-0.18871882265084972</v>
      </c>
      <c r="Y30">
        <v>-30674.74</v>
      </c>
      <c r="Z30">
        <v>8.504999999999999</v>
      </c>
      <c r="AA30">
        <v>0.4973591549295775</v>
      </c>
    </row>
    <row r="31" spans="1:27" x14ac:dyDescent="0.25">
      <c r="A31" s="2">
        <v>45289</v>
      </c>
      <c r="B31">
        <v>-16826</v>
      </c>
      <c r="C31">
        <v>6.49</v>
      </c>
      <c r="D31">
        <v>10.130000000000001</v>
      </c>
      <c r="F31">
        <f t="shared" si="0"/>
        <v>8.31</v>
      </c>
      <c r="G31">
        <f t="shared" si="1"/>
        <v>-0.7335000582879192</v>
      </c>
      <c r="J31">
        <f t="shared" si="2"/>
        <v>2.5024207500166398</v>
      </c>
      <c r="L31">
        <f t="shared" si="3"/>
        <v>0.64067127344521224</v>
      </c>
      <c r="M31">
        <f t="shared" si="4"/>
        <v>-0.75861172829258394</v>
      </c>
      <c r="N31" s="26">
        <f t="shared" si="5"/>
        <v>-237.35249999999724</v>
      </c>
      <c r="O31" s="26">
        <f t="shared" si="6"/>
        <v>-7478.2655769230769</v>
      </c>
      <c r="P31" s="26">
        <f t="shared" si="7"/>
        <v>-15711.001759259258</v>
      </c>
      <c r="Q31" s="26">
        <f t="shared" si="8"/>
        <v>1.0074999999999994</v>
      </c>
      <c r="R31" s="26">
        <f t="shared" si="9"/>
        <v>1.3744230769230761</v>
      </c>
      <c r="S31" s="26">
        <f t="shared" si="10"/>
        <v>1.8482407407407413</v>
      </c>
      <c r="T31" s="26">
        <f t="shared" si="11"/>
        <v>-9.7227364690637419E-3</v>
      </c>
      <c r="U31" s="26">
        <f t="shared" si="12"/>
        <v>-7.1639443672695813E-2</v>
      </c>
      <c r="V31" s="26">
        <f t="shared" si="13"/>
        <v>-0.22830837631244016</v>
      </c>
      <c r="Y31">
        <v>-32545.64</v>
      </c>
      <c r="Z31">
        <v>8.879999999999999</v>
      </c>
      <c r="AA31">
        <v>0.49873417721518992</v>
      </c>
    </row>
    <row r="32" spans="1:27" x14ac:dyDescent="0.25">
      <c r="A32" s="2">
        <v>45282</v>
      </c>
      <c r="B32">
        <v>-23160.43</v>
      </c>
      <c r="C32">
        <v>6.53</v>
      </c>
      <c r="D32">
        <v>11.82</v>
      </c>
      <c r="F32">
        <f t="shared" si="0"/>
        <v>9.1750000000000007</v>
      </c>
      <c r="G32">
        <f t="shared" si="1"/>
        <v>-1.1806646057702292</v>
      </c>
      <c r="J32">
        <f t="shared" si="2"/>
        <v>3.5110585726370735</v>
      </c>
      <c r="L32">
        <f t="shared" si="3"/>
        <v>0.55245346869712353</v>
      </c>
      <c r="M32">
        <f t="shared" si="4"/>
        <v>-0.99339803023178286</v>
      </c>
      <c r="N32" s="26">
        <f t="shared" si="5"/>
        <v>-6511.4849999999969</v>
      </c>
      <c r="O32" s="26">
        <f t="shared" si="6"/>
        <v>-13180.677499999994</v>
      </c>
      <c r="P32" s="26">
        <f t="shared" si="7"/>
        <v>-20394.222685185181</v>
      </c>
      <c r="Q32" s="26">
        <f t="shared" si="8"/>
        <v>0.68250000000000011</v>
      </c>
      <c r="R32" s="26">
        <f t="shared" si="9"/>
        <v>1.0557692307692292</v>
      </c>
      <c r="S32" s="26">
        <f t="shared" si="10"/>
        <v>1.474444444444444</v>
      </c>
      <c r="T32" s="26">
        <f t="shared" si="11"/>
        <v>-4.8252724013952641E-2</v>
      </c>
      <c r="U32" s="26">
        <f t="shared" si="12"/>
        <v>-0.12066764147544673</v>
      </c>
      <c r="V32" s="26">
        <f t="shared" si="13"/>
        <v>-0.26166701259537462</v>
      </c>
      <c r="Y32">
        <v>-38229.300000000003</v>
      </c>
      <c r="Z32">
        <v>9.35</v>
      </c>
      <c r="AA32">
        <v>0.47476340694006308</v>
      </c>
    </row>
    <row r="33" spans="1:27" x14ac:dyDescent="0.25">
      <c r="A33" s="2">
        <v>45275</v>
      </c>
      <c r="B33">
        <v>-32568.75</v>
      </c>
      <c r="C33">
        <v>4.6399999999999997</v>
      </c>
      <c r="D33">
        <v>8.58</v>
      </c>
      <c r="F33">
        <f t="shared" si="0"/>
        <v>6.6099999999999994</v>
      </c>
      <c r="G33">
        <f t="shared" si="1"/>
        <v>-1.8363025492189764</v>
      </c>
      <c r="J33">
        <f t="shared" si="2"/>
        <v>1.1303843314169821</v>
      </c>
      <c r="L33">
        <f t="shared" si="3"/>
        <v>0.5407925407925408</v>
      </c>
      <c r="M33">
        <f t="shared" si="4"/>
        <v>-1.0061901397886557</v>
      </c>
      <c r="N33" s="26">
        <f t="shared" si="5"/>
        <v>-9087.7825000000012</v>
      </c>
      <c r="O33" s="26">
        <f t="shared" si="6"/>
        <v>-15296.335961538458</v>
      </c>
      <c r="P33" s="26">
        <f t="shared" si="7"/>
        <v>-21881.183796296296</v>
      </c>
      <c r="Q33" s="26">
        <f t="shared" si="8"/>
        <v>0.25</v>
      </c>
      <c r="R33" s="26">
        <f t="shared" si="9"/>
        <v>0.61759615384615252</v>
      </c>
      <c r="S33" s="26">
        <f t="shared" si="10"/>
        <v>0.98356481481481328</v>
      </c>
      <c r="T33" s="26">
        <f t="shared" si="11"/>
        <v>-5.7320317571271207E-2</v>
      </c>
      <c r="U33" s="26">
        <f t="shared" si="12"/>
        <v>-0.13204550896821621</v>
      </c>
      <c r="V33" s="26">
        <f t="shared" si="13"/>
        <v>-0.2667014797773215</v>
      </c>
      <c r="Y33">
        <v>-38176.1</v>
      </c>
      <c r="Z33">
        <v>10.81</v>
      </c>
      <c r="AA33">
        <v>0.48591065292096219</v>
      </c>
    </row>
    <row r="34" spans="1:27" x14ac:dyDescent="0.25">
      <c r="A34" s="2">
        <v>45268</v>
      </c>
      <c r="B34">
        <v>-37068.910000000003</v>
      </c>
      <c r="C34">
        <v>4.3899999999999997</v>
      </c>
      <c r="D34">
        <v>9.7200000000000006</v>
      </c>
      <c r="F34">
        <f t="shared" si="0"/>
        <v>7.0549999999999997</v>
      </c>
      <c r="G34">
        <f t="shared" si="1"/>
        <v>-2.2178445754181086</v>
      </c>
      <c r="J34">
        <f t="shared" si="2"/>
        <v>1.5863567514690933</v>
      </c>
      <c r="L34">
        <f t="shared" si="3"/>
        <v>0.45164609053497934</v>
      </c>
      <c r="M34">
        <f t="shared" si="4"/>
        <v>-1.1896289899597619</v>
      </c>
      <c r="N34" s="26">
        <f t="shared" si="5"/>
        <v>-10221.780000000002</v>
      </c>
      <c r="O34" s="26">
        <f t="shared" si="6"/>
        <v>-14527.153461538463</v>
      </c>
      <c r="P34" s="26">
        <f t="shared" si="7"/>
        <v>-20247.785370370373</v>
      </c>
      <c r="Q34" s="26">
        <f t="shared" si="8"/>
        <v>0.48250000000000082</v>
      </c>
      <c r="R34" s="26">
        <f t="shared" si="9"/>
        <v>0.73884615384615326</v>
      </c>
      <c r="S34" s="26">
        <f t="shared" si="10"/>
        <v>1.0577777777777788</v>
      </c>
      <c r="T34" s="26">
        <f t="shared" si="11"/>
        <v>-8.8763810553225797E-2</v>
      </c>
      <c r="U34" s="26">
        <f t="shared" si="12"/>
        <v>-0.14306496529002488</v>
      </c>
      <c r="V34" s="26">
        <f t="shared" si="13"/>
        <v>-0.26235400427599986</v>
      </c>
      <c r="Y34">
        <v>-39203.42</v>
      </c>
      <c r="Z34">
        <v>9.2349999999999994</v>
      </c>
      <c r="AA34">
        <v>0.47878302642113696</v>
      </c>
    </row>
    <row r="35" spans="1:27" x14ac:dyDescent="0.25">
      <c r="A35" s="2">
        <v>45261</v>
      </c>
      <c r="B35">
        <v>-32623.3</v>
      </c>
      <c r="C35">
        <v>4.55</v>
      </c>
      <c r="D35">
        <v>8.73</v>
      </c>
      <c r="F35">
        <f t="shared" si="0"/>
        <v>6.6400000000000006</v>
      </c>
      <c r="G35">
        <f t="shared" si="1"/>
        <v>-2.0564086888471027</v>
      </c>
      <c r="J35">
        <f t="shared" si="2"/>
        <v>1.2115608130094861</v>
      </c>
      <c r="L35">
        <f t="shared" si="3"/>
        <v>0.5211912943871706</v>
      </c>
      <c r="M35">
        <f t="shared" si="4"/>
        <v>-1.0656866606995281</v>
      </c>
      <c r="N35" s="26">
        <f t="shared" si="5"/>
        <v>-12539.805000000002</v>
      </c>
      <c r="O35" s="26">
        <f t="shared" si="6"/>
        <v>-13159.967692307693</v>
      </c>
      <c r="P35" s="26">
        <f t="shared" si="7"/>
        <v>-18194.735185185185</v>
      </c>
      <c r="Q35" s="26">
        <f t="shared" si="8"/>
        <v>0.72500000000000053</v>
      </c>
      <c r="R35" s="26">
        <f t="shared" si="9"/>
        <v>0.78884615384615397</v>
      </c>
      <c r="S35" s="26">
        <f t="shared" si="10"/>
        <v>1.0668518518518511</v>
      </c>
      <c r="T35" s="26">
        <f t="shared" si="11"/>
        <v>-0.13385914911530705</v>
      </c>
      <c r="U35" s="26">
        <f t="shared" si="12"/>
        <v>-0.13268155720190289</v>
      </c>
      <c r="V35" s="26">
        <f t="shared" si="13"/>
        <v>-0.24211406438675742</v>
      </c>
      <c r="Y35">
        <v>-36811.58</v>
      </c>
      <c r="Z35">
        <v>9.0399999999999991</v>
      </c>
      <c r="AA35">
        <v>0.49545078577336643</v>
      </c>
    </row>
    <row r="36" spans="1:27" x14ac:dyDescent="0.25">
      <c r="A36" s="2">
        <v>45254</v>
      </c>
      <c r="B36">
        <v>-25885.39</v>
      </c>
      <c r="C36">
        <v>5.05</v>
      </c>
      <c r="D36">
        <v>8.81</v>
      </c>
      <c r="F36">
        <f t="shared" si="0"/>
        <v>6.93</v>
      </c>
      <c r="G36">
        <f t="shared" si="1"/>
        <v>-1.7147264578211794</v>
      </c>
      <c r="J36">
        <f t="shared" si="2"/>
        <v>1.4944958601910912</v>
      </c>
      <c r="L36">
        <f t="shared" si="3"/>
        <v>0.57321225879682169</v>
      </c>
      <c r="M36">
        <f t="shared" si="4"/>
        <v>-1.0072958925647968</v>
      </c>
      <c r="N36" s="26">
        <f t="shared" si="5"/>
        <v>-11289.082500000004</v>
      </c>
      <c r="O36" s="26">
        <f t="shared" si="6"/>
        <v>-12224.061730769234</v>
      </c>
      <c r="P36" s="26">
        <f t="shared" si="7"/>
        <v>-16562.310648148148</v>
      </c>
      <c r="Q36" s="26">
        <f t="shared" si="8"/>
        <v>0.51874999999999893</v>
      </c>
      <c r="R36" s="26">
        <f t="shared" si="9"/>
        <v>0.74480769230769184</v>
      </c>
      <c r="S36" s="26">
        <f t="shared" si="10"/>
        <v>1.0025000000000013</v>
      </c>
      <c r="T36" s="26">
        <f t="shared" si="11"/>
        <v>-0.13990280454359161</v>
      </c>
      <c r="U36" s="26">
        <f t="shared" si="12"/>
        <v>-0.14635407062499839</v>
      </c>
      <c r="V36" s="26">
        <f t="shared" si="13"/>
        <v>-0.2440828900893347</v>
      </c>
      <c r="Y36">
        <v>-33359.620000000003</v>
      </c>
      <c r="Z36">
        <v>8.4749999999999996</v>
      </c>
      <c r="AA36">
        <v>0.51610017889087656</v>
      </c>
    </row>
    <row r="37" spans="1:27" x14ac:dyDescent="0.25">
      <c r="A37" s="2">
        <v>45247</v>
      </c>
      <c r="B37">
        <v>-23706.38</v>
      </c>
      <c r="C37">
        <v>4.9000000000000004</v>
      </c>
      <c r="D37">
        <v>8.4499999999999993</v>
      </c>
      <c r="F37">
        <f t="shared" si="0"/>
        <v>6.6749999999999998</v>
      </c>
      <c r="G37">
        <f t="shared" si="1"/>
        <v>-1.6472295723825066</v>
      </c>
      <c r="J37">
        <f t="shared" si="2"/>
        <v>1.2982122107876413</v>
      </c>
      <c r="L37">
        <f t="shared" si="3"/>
        <v>0.5798816568047338</v>
      </c>
      <c r="M37">
        <f t="shared" si="4"/>
        <v>-1.0298534225578118</v>
      </c>
      <c r="N37" s="26">
        <f t="shared" si="5"/>
        <v>-9868.52</v>
      </c>
      <c r="O37" s="26">
        <f t="shared" si="6"/>
        <v>-12629.13269230769</v>
      </c>
      <c r="P37" s="26">
        <f t="shared" si="7"/>
        <v>-15635.558703703702</v>
      </c>
      <c r="Q37" s="26">
        <f t="shared" si="8"/>
        <v>0.36749999999999972</v>
      </c>
      <c r="R37" s="26">
        <f t="shared" si="9"/>
        <v>0.6775961538461539</v>
      </c>
      <c r="S37" s="26">
        <f t="shared" si="10"/>
        <v>0.89245370370370569</v>
      </c>
      <c r="T37" s="26">
        <f t="shared" si="11"/>
        <v>-0.12771991838518959</v>
      </c>
      <c r="U37" s="26">
        <f t="shared" si="12"/>
        <v>-0.19407887597843143</v>
      </c>
      <c r="V37" s="26">
        <f t="shared" si="13"/>
        <v>-0.25613495590635615</v>
      </c>
      <c r="Y37">
        <v>-29569.84</v>
      </c>
      <c r="Z37">
        <v>8.2899999999999991</v>
      </c>
      <c r="AA37">
        <v>0.55243445692883897</v>
      </c>
    </row>
    <row r="38" spans="1:27" x14ac:dyDescent="0.25">
      <c r="A38" s="2">
        <v>45240</v>
      </c>
      <c r="B38">
        <v>-26459.61</v>
      </c>
      <c r="C38">
        <v>4.88</v>
      </c>
      <c r="D38">
        <v>8.8699999999999992</v>
      </c>
      <c r="F38">
        <f t="shared" si="0"/>
        <v>6.875</v>
      </c>
      <c r="G38">
        <f t="shared" si="1"/>
        <v>-1.9342549842632091</v>
      </c>
      <c r="J38">
        <f t="shared" si="2"/>
        <v>1.5117054007008777</v>
      </c>
      <c r="L38">
        <f t="shared" si="3"/>
        <v>0.5501691093573845</v>
      </c>
      <c r="M38">
        <f t="shared" si="4"/>
        <v>-1.1271481985018219</v>
      </c>
      <c r="N38" s="26">
        <f t="shared" si="5"/>
        <v>-4444.2100000000009</v>
      </c>
      <c r="O38" s="26">
        <f t="shared" si="6"/>
        <v>-10757.45423076923</v>
      </c>
      <c r="P38" s="26">
        <f t="shared" si="7"/>
        <v>-13135.811296296295</v>
      </c>
      <c r="Q38" s="26">
        <f t="shared" si="8"/>
        <v>1.8749999999999822E-2</v>
      </c>
      <c r="R38" s="26">
        <f t="shared" si="9"/>
        <v>0.4967307692307692</v>
      </c>
      <c r="S38" s="26">
        <f t="shared" si="10"/>
        <v>0.66231481481481591</v>
      </c>
      <c r="T38" s="26">
        <f t="shared" si="11"/>
        <v>-5.2092358186117238E-2</v>
      </c>
      <c r="U38" s="26">
        <f t="shared" si="12"/>
        <v>-0.19994644623095603</v>
      </c>
      <c r="V38" s="26">
        <f t="shared" si="13"/>
        <v>-0.24594580321055692</v>
      </c>
      <c r="Y38">
        <v>-23583.61</v>
      </c>
      <c r="Z38">
        <v>9.5399999999999991</v>
      </c>
      <c r="AA38">
        <v>0.62107051826677995</v>
      </c>
    </row>
    <row r="39" spans="1:27" x14ac:dyDescent="0.25">
      <c r="A39" s="2">
        <v>45233</v>
      </c>
      <c r="B39">
        <v>-23324.07</v>
      </c>
      <c r="C39">
        <v>4.4800000000000004</v>
      </c>
      <c r="D39">
        <v>8.06</v>
      </c>
      <c r="F39">
        <f t="shared" si="0"/>
        <v>6.2700000000000005</v>
      </c>
      <c r="G39">
        <f t="shared" si="1"/>
        <v>-1.8105389168031911</v>
      </c>
      <c r="J39">
        <f t="shared" si="2"/>
        <v>1.0363490573975456</v>
      </c>
      <c r="L39">
        <f t="shared" si="3"/>
        <v>0.55583126550868489</v>
      </c>
      <c r="M39">
        <f t="shared" si="4"/>
        <v>-1.1601642929860445</v>
      </c>
      <c r="N39" s="26">
        <f t="shared" si="5"/>
        <v>4026.9250000000011</v>
      </c>
      <c r="O39" s="26">
        <f t="shared" si="6"/>
        <v>-6392.9442307692298</v>
      </c>
      <c r="P39" s="26">
        <f t="shared" si="7"/>
        <v>-8858.1031481481459</v>
      </c>
      <c r="Q39" s="26">
        <f t="shared" si="8"/>
        <v>-0.40750000000000064</v>
      </c>
      <c r="R39" s="26">
        <f t="shared" si="9"/>
        <v>0.25269230769230777</v>
      </c>
      <c r="S39" s="26">
        <f t="shared" si="10"/>
        <v>0.36388888888888893</v>
      </c>
      <c r="T39" s="26">
        <f t="shared" si="11"/>
        <v>8.1910866639783086E-2</v>
      </c>
      <c r="U39" s="26">
        <f t="shared" si="12"/>
        <v>-0.14703155028565285</v>
      </c>
      <c r="V39" s="26">
        <f t="shared" si="13"/>
        <v>-0.20416850641310935</v>
      </c>
      <c r="Y39">
        <v>-24688.58</v>
      </c>
      <c r="Z39">
        <v>8.9699999999999989</v>
      </c>
      <c r="AA39">
        <v>0.61476147614761478</v>
      </c>
    </row>
    <row r="40" spans="1:27" x14ac:dyDescent="0.25">
      <c r="A40" s="2">
        <v>45226</v>
      </c>
      <c r="B40">
        <v>-18305.16</v>
      </c>
      <c r="C40">
        <v>4.96</v>
      </c>
      <c r="D40">
        <v>7.87</v>
      </c>
      <c r="F40">
        <f t="shared" si="0"/>
        <v>6.415</v>
      </c>
      <c r="G40">
        <f t="shared" si="1"/>
        <v>-1.5162042569882064</v>
      </c>
      <c r="J40">
        <f t="shared" si="2"/>
        <v>1.2024339974328768</v>
      </c>
      <c r="L40">
        <f t="shared" si="3"/>
        <v>0.63024142312579412</v>
      </c>
      <c r="M40">
        <f t="shared" si="4"/>
        <v>-1.056092228666794</v>
      </c>
      <c r="N40" s="26">
        <f t="shared" si="5"/>
        <v>4655.9625000000015</v>
      </c>
      <c r="O40" s="26">
        <f t="shared" si="6"/>
        <v>-6699.0130769230755</v>
      </c>
      <c r="P40" s="26">
        <f t="shared" si="7"/>
        <v>-8788.4777777777745</v>
      </c>
      <c r="Q40" s="26">
        <f t="shared" si="8"/>
        <v>-0.15749999999999886</v>
      </c>
      <c r="R40" s="26">
        <f t="shared" si="9"/>
        <v>0.47144230769230777</v>
      </c>
      <c r="S40" s="26">
        <f t="shared" si="10"/>
        <v>0.50893518518518555</v>
      </c>
      <c r="T40" s="26">
        <f t="shared" si="11"/>
        <v>9.5825717654175802E-2</v>
      </c>
      <c r="U40" s="26">
        <f t="shared" si="12"/>
        <v>-0.15887673001767255</v>
      </c>
      <c r="V40" s="26">
        <f t="shared" si="13"/>
        <v>-0.21591178460977178</v>
      </c>
      <c r="Y40">
        <v>-25026.7</v>
      </c>
      <c r="Z40">
        <v>9.3650000000000002</v>
      </c>
      <c r="AA40">
        <v>0.61326442721791563</v>
      </c>
    </row>
    <row r="41" spans="1:27" x14ac:dyDescent="0.25">
      <c r="A41" s="2">
        <v>45219</v>
      </c>
      <c r="B41">
        <v>-10308.02</v>
      </c>
      <c r="C41">
        <v>4.96</v>
      </c>
      <c r="D41">
        <v>6.66</v>
      </c>
      <c r="F41">
        <f t="shared" si="0"/>
        <v>5.8100000000000005</v>
      </c>
      <c r="G41">
        <f t="shared" si="1"/>
        <v>-0.92164943772698671</v>
      </c>
      <c r="J41">
        <f t="shared" si="2"/>
        <v>0.71545855504696654</v>
      </c>
      <c r="L41">
        <f t="shared" si="3"/>
        <v>0.74474474474474472</v>
      </c>
      <c r="M41">
        <f t="shared" si="4"/>
        <v>-0.84476763431029334</v>
      </c>
      <c r="N41" s="26">
        <f t="shared" si="5"/>
        <v>3486.9550000000017</v>
      </c>
      <c r="O41" s="26">
        <f t="shared" si="6"/>
        <v>-7583.4242307692302</v>
      </c>
      <c r="P41" s="26">
        <f t="shared" si="7"/>
        <v>-9098.0120370370369</v>
      </c>
      <c r="Q41" s="26">
        <f t="shared" si="8"/>
        <v>0.15249999999999986</v>
      </c>
      <c r="R41" s="26">
        <f t="shared" si="9"/>
        <v>0.59432692307692303</v>
      </c>
      <c r="S41" s="26">
        <f t="shared" si="10"/>
        <v>0.59532407407407284</v>
      </c>
      <c r="T41" s="26">
        <f t="shared" si="11"/>
        <v>6.4972899812232199E-2</v>
      </c>
      <c r="U41" s="26">
        <f t="shared" si="12"/>
        <v>-0.18855178728313082</v>
      </c>
      <c r="V41" s="26">
        <f t="shared" si="13"/>
        <v>-0.23362212894171264</v>
      </c>
      <c r="Y41">
        <v>-24848.75</v>
      </c>
      <c r="Z41">
        <v>8.99</v>
      </c>
      <c r="AA41">
        <v>0.60966875559534461</v>
      </c>
    </row>
    <row r="42" spans="1:27" x14ac:dyDescent="0.25">
      <c r="A42" s="2">
        <v>45212</v>
      </c>
      <c r="B42">
        <v>-6578.21</v>
      </c>
      <c r="C42">
        <v>5.19</v>
      </c>
      <c r="D42">
        <v>6.26</v>
      </c>
      <c r="F42">
        <f t="shared" si="0"/>
        <v>5.7249999999999996</v>
      </c>
      <c r="G42">
        <f t="shared" si="1"/>
        <v>-0.62859855646020035</v>
      </c>
      <c r="J42">
        <f t="shared" si="2"/>
        <v>0.67101115599861572</v>
      </c>
      <c r="L42">
        <f t="shared" si="3"/>
        <v>0.82907348242811507</v>
      </c>
      <c r="M42">
        <f t="shared" si="4"/>
        <v>-0.68041124975205136</v>
      </c>
      <c r="N42" s="26">
        <f t="shared" si="5"/>
        <v>-1430.0025000000005</v>
      </c>
      <c r="O42" s="26">
        <f t="shared" si="6"/>
        <v>-11227.770384615384</v>
      </c>
      <c r="P42" s="26">
        <f t="shared" si="7"/>
        <v>-12167.656851851851</v>
      </c>
      <c r="Q42" s="26">
        <f t="shared" si="8"/>
        <v>0.53749999999999876</v>
      </c>
      <c r="R42" s="26">
        <f t="shared" si="9"/>
        <v>0.80798076923076767</v>
      </c>
      <c r="S42" s="26">
        <f t="shared" si="10"/>
        <v>0.76486111111110944</v>
      </c>
      <c r="T42" s="26">
        <f t="shared" si="11"/>
        <v>-1.481214143643228E-2</v>
      </c>
      <c r="U42" s="26">
        <f t="shared" si="12"/>
        <v>-0.25845554155846706</v>
      </c>
      <c r="V42" s="26">
        <f t="shared" si="13"/>
        <v>-0.29303220197662738</v>
      </c>
      <c r="Y42">
        <v>-19571.7</v>
      </c>
      <c r="Z42">
        <v>6.9349999999999996</v>
      </c>
      <c r="AA42">
        <v>0.60904872389791187</v>
      </c>
    </row>
    <row r="43" spans="1:27" x14ac:dyDescent="0.25">
      <c r="A43" s="2">
        <v>45205</v>
      </c>
      <c r="B43">
        <v>-19027.73</v>
      </c>
      <c r="C43">
        <v>5.12</v>
      </c>
      <c r="D43">
        <v>8.33</v>
      </c>
      <c r="F43">
        <f t="shared" si="0"/>
        <v>6.7249999999999996</v>
      </c>
      <c r="G43">
        <f t="shared" si="1"/>
        <v>-1.6382422522639954</v>
      </c>
      <c r="J43">
        <f t="shared" si="2"/>
        <v>1.5643235764967869</v>
      </c>
      <c r="L43">
        <f t="shared" si="3"/>
        <v>0.61464585834333729</v>
      </c>
      <c r="M43">
        <f t="shared" si="4"/>
        <v>-1.1094650134300461</v>
      </c>
      <c r="N43" s="26">
        <f t="shared" si="5"/>
        <v>-8850.3625000000011</v>
      </c>
      <c r="O43" s="26">
        <f t="shared" si="6"/>
        <v>-16263.368461538463</v>
      </c>
      <c r="P43" s="26">
        <f t="shared" si="7"/>
        <v>-17242.599259259259</v>
      </c>
      <c r="Q43" s="26">
        <f t="shared" si="8"/>
        <v>0.91874999999999929</v>
      </c>
      <c r="R43" s="26">
        <f t="shared" si="9"/>
        <v>1.0117307692307689</v>
      </c>
      <c r="S43" s="26">
        <f t="shared" si="10"/>
        <v>0.9232407407407397</v>
      </c>
      <c r="T43" s="26">
        <f t="shared" si="11"/>
        <v>-0.14864158795280746</v>
      </c>
      <c r="U43" s="26">
        <f t="shared" si="12"/>
        <v>-0.35411718188070473</v>
      </c>
      <c r="V43" s="26">
        <f t="shared" si="13"/>
        <v>-0.40451561861892282</v>
      </c>
      <c r="Y43">
        <v>-18441.169999999998</v>
      </c>
      <c r="Z43">
        <v>6.8000000000000007</v>
      </c>
      <c r="AA43">
        <v>0.65249088699878488</v>
      </c>
    </row>
    <row r="44" spans="1:27" x14ac:dyDescent="0.25">
      <c r="A44" s="2">
        <v>45198</v>
      </c>
      <c r="B44">
        <v>-16407.18</v>
      </c>
      <c r="C44">
        <v>5.07</v>
      </c>
      <c r="D44">
        <v>7.94</v>
      </c>
      <c r="F44">
        <f t="shared" si="0"/>
        <v>6.5050000000000008</v>
      </c>
      <c r="G44">
        <f t="shared" si="1"/>
        <v>-1.4724920850162471</v>
      </c>
      <c r="J44">
        <f t="shared" si="2"/>
        <v>1.4414517653947529</v>
      </c>
      <c r="L44">
        <f t="shared" si="3"/>
        <v>0.6385390428211587</v>
      </c>
      <c r="M44">
        <f t="shared" si="4"/>
        <v>-1.0726137456637421</v>
      </c>
      <c r="N44" s="26">
        <f t="shared" si="5"/>
        <v>-10279</v>
      </c>
      <c r="O44" s="26">
        <f t="shared" si="6"/>
        <v>-15702.510192307693</v>
      </c>
      <c r="P44" s="26">
        <f t="shared" si="7"/>
        <v>-18209.086944444443</v>
      </c>
      <c r="Q44" s="26">
        <f t="shared" si="8"/>
        <v>0.91749999999999954</v>
      </c>
      <c r="R44" s="26">
        <f t="shared" si="9"/>
        <v>0.88971153846153772</v>
      </c>
      <c r="S44" s="26">
        <f t="shared" si="10"/>
        <v>0.79995370370370367</v>
      </c>
      <c r="T44" s="26">
        <f t="shared" si="11"/>
        <v>-0.17724868282458628</v>
      </c>
      <c r="U44" s="26">
        <f t="shared" si="12"/>
        <v>-0.34697532472375858</v>
      </c>
      <c r="V44" s="26">
        <f t="shared" si="13"/>
        <v>-0.44687553186896845</v>
      </c>
      <c r="Y44">
        <v>-12715.61</v>
      </c>
      <c r="Z44">
        <v>6.67</v>
      </c>
      <c r="AA44">
        <v>0.75295663600525631</v>
      </c>
    </row>
    <row r="45" spans="1:27" x14ac:dyDescent="0.25">
      <c r="A45" s="2">
        <v>45191</v>
      </c>
      <c r="B45">
        <v>-18606.900000000001</v>
      </c>
      <c r="C45">
        <v>4.79</v>
      </c>
      <c r="D45">
        <v>7.89</v>
      </c>
      <c r="F45">
        <f t="shared" si="0"/>
        <v>6.34</v>
      </c>
      <c r="G45">
        <f t="shared" si="1"/>
        <v>-1.690118743264152</v>
      </c>
      <c r="J45">
        <f t="shared" si="2"/>
        <v>1.3571185583243501</v>
      </c>
      <c r="L45">
        <f t="shared" si="3"/>
        <v>0.60709759188846646</v>
      </c>
      <c r="M45">
        <f t="shared" si="4"/>
        <v>-1.1442072529733989</v>
      </c>
      <c r="N45" s="26">
        <f t="shared" si="5"/>
        <v>-9776.7025000000012</v>
      </c>
      <c r="O45" s="26">
        <f t="shared" si="6"/>
        <v>-12961.736153846156</v>
      </c>
      <c r="P45" s="26">
        <f t="shared" si="7"/>
        <v>-17701.780740740742</v>
      </c>
      <c r="Q45" s="26">
        <f t="shared" si="8"/>
        <v>0.55874999999999986</v>
      </c>
      <c r="R45" s="26">
        <f t="shared" si="9"/>
        <v>0.52836538461538485</v>
      </c>
      <c r="S45" s="26">
        <f t="shared" si="10"/>
        <v>0.50449074074074041</v>
      </c>
      <c r="T45" s="26">
        <f t="shared" si="11"/>
        <v>-0.16329793812618876</v>
      </c>
      <c r="U45" s="26">
        <f t="shared" si="12"/>
        <v>-0.28993267664720412</v>
      </c>
      <c r="V45" s="26">
        <f t="shared" si="13"/>
        <v>-0.45257361944566576</v>
      </c>
      <c r="Y45">
        <v>-11446.83</v>
      </c>
      <c r="Z45">
        <v>6.83</v>
      </c>
      <c r="AA45">
        <v>0.78562091503267972</v>
      </c>
    </row>
    <row r="46" spans="1:27" x14ac:dyDescent="0.25">
      <c r="A46" s="2">
        <v>45184</v>
      </c>
      <c r="B46">
        <v>-20581.349999999999</v>
      </c>
      <c r="C46">
        <v>4.57</v>
      </c>
      <c r="D46">
        <v>7.99</v>
      </c>
      <c r="F46">
        <f t="shared" si="0"/>
        <v>6.28</v>
      </c>
      <c r="G46">
        <f t="shared" si="1"/>
        <v>-1.9222394689763174</v>
      </c>
      <c r="J46">
        <f t="shared" si="2"/>
        <v>1.3602113254779191</v>
      </c>
      <c r="L46">
        <f t="shared" si="3"/>
        <v>0.57196495619524412</v>
      </c>
      <c r="M46">
        <f t="shared" si="4"/>
        <v>-1.2331686786020637</v>
      </c>
      <c r="N46" s="26">
        <f t="shared" si="5"/>
        <v>-11643.08</v>
      </c>
      <c r="O46" s="26">
        <f t="shared" si="6"/>
        <v>-9691.0248076923053</v>
      </c>
      <c r="P46" s="26">
        <f t="shared" si="7"/>
        <v>-15786.516203703703</v>
      </c>
      <c r="Q46" s="26">
        <f t="shared" si="8"/>
        <v>0.23499999999999943</v>
      </c>
      <c r="R46" s="26">
        <f t="shared" si="9"/>
        <v>0.26586538461538556</v>
      </c>
      <c r="S46" s="26">
        <f t="shared" si="10"/>
        <v>0.24032407407407419</v>
      </c>
      <c r="T46" s="26">
        <f t="shared" si="11"/>
        <v>-0.27977920328227934</v>
      </c>
      <c r="U46" s="26">
        <f t="shared" si="12"/>
        <v>-0.23123588602474521</v>
      </c>
      <c r="V46" s="26">
        <f t="shared" si="13"/>
        <v>-0.43957611622698789</v>
      </c>
      <c r="Y46">
        <v>-14015.6</v>
      </c>
      <c r="Z46">
        <v>6.915</v>
      </c>
      <c r="AA46">
        <v>0.74841972187104933</v>
      </c>
    </row>
    <row r="47" spans="1:27" x14ac:dyDescent="0.25">
      <c r="A47" s="2">
        <v>45177</v>
      </c>
      <c r="B47">
        <v>-17247.54</v>
      </c>
      <c r="C47">
        <v>4.72</v>
      </c>
      <c r="D47">
        <v>7.64</v>
      </c>
      <c r="F47">
        <f t="shared" si="0"/>
        <v>6.18</v>
      </c>
      <c r="G47">
        <f t="shared" si="1"/>
        <v>-1.7186926864698484</v>
      </c>
      <c r="J47">
        <f t="shared" si="2"/>
        <v>1.3274675141016015</v>
      </c>
      <c r="L47">
        <f t="shared" si="3"/>
        <v>0.61780104712041883</v>
      </c>
      <c r="M47">
        <f t="shared" si="4"/>
        <v>-1.1628432260278523</v>
      </c>
      <c r="N47" s="26">
        <f t="shared" si="5"/>
        <v>-11175.475</v>
      </c>
      <c r="O47" s="26">
        <f t="shared" si="6"/>
        <v>-5830.8444230769228</v>
      </c>
      <c r="P47" s="26">
        <f t="shared" si="7"/>
        <v>-12614.971203703702</v>
      </c>
      <c r="Q47" s="26">
        <f t="shared" si="8"/>
        <v>-1.7500000000000071E-2</v>
      </c>
      <c r="R47" s="26">
        <f t="shared" si="9"/>
        <v>4.4903846153847127E-2</v>
      </c>
      <c r="S47" s="26">
        <f t="shared" si="10"/>
        <v>-3.8425925925915649E-3</v>
      </c>
      <c r="T47" s="26">
        <f t="shared" si="11"/>
        <v>-0.33689038277530314</v>
      </c>
      <c r="U47" s="26">
        <f t="shared" si="12"/>
        <v>-0.16161360874770159</v>
      </c>
      <c r="V47" s="26">
        <f t="shared" si="13"/>
        <v>-0.39801140126996071</v>
      </c>
      <c r="Y47">
        <v>-6685.6</v>
      </c>
      <c r="Z47">
        <v>7.02</v>
      </c>
      <c r="AA47">
        <v>0.87700534759358284</v>
      </c>
    </row>
    <row r="48" spans="1:27" x14ac:dyDescent="0.25">
      <c r="A48" s="2">
        <v>45170</v>
      </c>
      <c r="B48">
        <v>-9833.17</v>
      </c>
      <c r="C48">
        <v>4.66</v>
      </c>
      <c r="D48">
        <v>6.05</v>
      </c>
      <c r="F48">
        <f t="shared" si="0"/>
        <v>5.3550000000000004</v>
      </c>
      <c r="G48">
        <f t="shared" si="1"/>
        <v>-1.1340896657193813</v>
      </c>
      <c r="J48">
        <f t="shared" si="2"/>
        <v>0.64368958034035562</v>
      </c>
      <c r="L48">
        <f t="shared" si="3"/>
        <v>0.77024793388429758</v>
      </c>
      <c r="M48">
        <f t="shared" si="4"/>
        <v>-0.89405149078932278</v>
      </c>
      <c r="N48" s="26">
        <f t="shared" si="5"/>
        <v>-12064.4175</v>
      </c>
      <c r="O48" s="26">
        <f t="shared" si="6"/>
        <v>-4092.9794230769226</v>
      </c>
      <c r="P48" s="26">
        <f t="shared" si="7"/>
        <v>-11633.018055555554</v>
      </c>
      <c r="Q48" s="26">
        <f t="shared" si="8"/>
        <v>-3.2499999999999751E-2</v>
      </c>
      <c r="R48" s="26">
        <f t="shared" si="9"/>
        <v>-4.9326923076922213E-2</v>
      </c>
      <c r="S48" s="26">
        <f t="shared" si="10"/>
        <v>-0.12569444444444411</v>
      </c>
      <c r="T48" s="26">
        <f t="shared" si="11"/>
        <v>-0.38555309876786181</v>
      </c>
      <c r="U48" s="26">
        <f t="shared" si="12"/>
        <v>-0.13152285021755505</v>
      </c>
      <c r="V48" s="26">
        <f t="shared" si="13"/>
        <v>-0.39959297366069479</v>
      </c>
      <c r="Y48">
        <v>-8049.27</v>
      </c>
      <c r="Z48">
        <v>6.9849999999999994</v>
      </c>
      <c r="AA48">
        <v>0.85278514588859411</v>
      </c>
    </row>
    <row r="49" spans="1:27" x14ac:dyDescent="0.25">
      <c r="A49" s="2">
        <v>45163</v>
      </c>
      <c r="B49">
        <v>-7237.95</v>
      </c>
      <c r="C49">
        <v>4.7</v>
      </c>
      <c r="D49">
        <v>5.96</v>
      </c>
      <c r="F49">
        <f t="shared" si="0"/>
        <v>5.33</v>
      </c>
      <c r="G49">
        <f t="shared" si="1"/>
        <v>-0.92865786594086919</v>
      </c>
      <c r="J49">
        <f t="shared" si="2"/>
        <v>0.64236791599259413</v>
      </c>
      <c r="L49">
        <f t="shared" si="3"/>
        <v>0.78859060402684567</v>
      </c>
      <c r="M49">
        <f t="shared" si="4"/>
        <v>-0.84845811034777163</v>
      </c>
      <c r="N49" s="26">
        <f t="shared" si="5"/>
        <v>-11968.8675</v>
      </c>
      <c r="O49" s="26">
        <f t="shared" si="6"/>
        <v>-2566.3251923076923</v>
      </c>
      <c r="P49" s="26">
        <f t="shared" si="7"/>
        <v>-10867.957129629631</v>
      </c>
      <c r="Q49" s="26">
        <f t="shared" si="8"/>
        <v>0.10875000000000057</v>
      </c>
      <c r="R49" s="26">
        <f t="shared" si="9"/>
        <v>3.9230769230769624E-2</v>
      </c>
      <c r="S49" s="26">
        <f t="shared" si="10"/>
        <v>3.7037037037102039E-4</v>
      </c>
      <c r="T49" s="26">
        <f t="shared" si="11"/>
        <v>-0.39498331455506608</v>
      </c>
      <c r="U49" s="26">
        <f t="shared" si="12"/>
        <v>-9.8897700092108631E-2</v>
      </c>
      <c r="V49" s="26">
        <f t="shared" si="13"/>
        <v>-0.39463298019802751</v>
      </c>
      <c r="Y49">
        <v>-9834.0499999999993</v>
      </c>
      <c r="Z49">
        <v>6.73</v>
      </c>
      <c r="AA49">
        <v>0.81646423751686903</v>
      </c>
    </row>
    <row r="50" spans="1:27" x14ac:dyDescent="0.25">
      <c r="A50" s="2">
        <v>45156</v>
      </c>
      <c r="B50">
        <v>-4903.05</v>
      </c>
      <c r="C50">
        <v>4.88</v>
      </c>
      <c r="D50">
        <v>5.74</v>
      </c>
      <c r="F50">
        <f t="shared" si="0"/>
        <v>5.3100000000000005</v>
      </c>
      <c r="G50">
        <f t="shared" si="1"/>
        <v>-0.75213143981623376</v>
      </c>
      <c r="J50">
        <f t="shared" si="2"/>
        <v>0.64286928918937281</v>
      </c>
      <c r="L50">
        <f t="shared" si="3"/>
        <v>0.85017421602787446</v>
      </c>
      <c r="M50">
        <f t="shared" si="4"/>
        <v>-0.73269133822383459</v>
      </c>
      <c r="N50" s="26">
        <f t="shared" si="5"/>
        <v>-4675.7749999999996</v>
      </c>
      <c r="O50" s="26">
        <f t="shared" si="6"/>
        <v>3390.462115384616</v>
      </c>
      <c r="P50" s="26">
        <f t="shared" si="7"/>
        <v>-5526.2180555555551</v>
      </c>
      <c r="Q50" s="26">
        <f t="shared" si="8"/>
        <v>0.28375000000000128</v>
      </c>
      <c r="R50" s="26">
        <f t="shared" si="9"/>
        <v>0.11855769230769386</v>
      </c>
      <c r="S50" s="26">
        <f t="shared" si="10"/>
        <v>0.1362500000000022</v>
      </c>
      <c r="T50" s="26">
        <f t="shared" si="11"/>
        <v>-0.13694713998749664</v>
      </c>
      <c r="U50" s="26">
        <f t="shared" si="12"/>
        <v>0.10858753442481461</v>
      </c>
      <c r="V50" s="26">
        <f t="shared" si="13"/>
        <v>-0.20876069132477482</v>
      </c>
      <c r="Y50">
        <v>-13642.46</v>
      </c>
      <c r="Z50">
        <v>6.32</v>
      </c>
      <c r="AA50">
        <v>0.73865199449793684</v>
      </c>
    </row>
    <row r="51" spans="1:27" x14ac:dyDescent="0.25">
      <c r="A51" s="2">
        <v>45149</v>
      </c>
      <c r="B51">
        <v>-9752.7999999999993</v>
      </c>
      <c r="C51">
        <v>4.78</v>
      </c>
      <c r="D51">
        <v>6.5</v>
      </c>
      <c r="F51">
        <f t="shared" si="0"/>
        <v>5.6400000000000006</v>
      </c>
      <c r="G51">
        <f t="shared" si="1"/>
        <v>-1.1812774981558727</v>
      </c>
      <c r="J51">
        <f t="shared" si="2"/>
        <v>0.96517859209252466</v>
      </c>
      <c r="L51">
        <f t="shared" si="3"/>
        <v>0.73538461538461541</v>
      </c>
      <c r="M51">
        <f t="shared" si="4"/>
        <v>-0.94679677941509877</v>
      </c>
      <c r="N51" s="26">
        <f t="shared" si="5"/>
        <v>552.8425000000002</v>
      </c>
      <c r="O51" s="26">
        <f t="shared" si="6"/>
        <v>6924.4121153846154</v>
      </c>
      <c r="P51" s="26">
        <f t="shared" si="7"/>
        <v>-1488.1447222222209</v>
      </c>
      <c r="Q51" s="26">
        <f t="shared" si="8"/>
        <v>0.31000000000000139</v>
      </c>
      <c r="R51" s="26">
        <f t="shared" si="9"/>
        <v>8.5480769230771081E-2</v>
      </c>
      <c r="S51" s="26">
        <f t="shared" si="10"/>
        <v>0.20958333333333545</v>
      </c>
      <c r="T51" s="26">
        <f t="shared" si="11"/>
        <v>6.1800115250601584E-2</v>
      </c>
      <c r="U51" s="26">
        <f t="shared" si="12"/>
        <v>0.23649980844727736</v>
      </c>
      <c r="V51" s="26">
        <f t="shared" si="13"/>
        <v>-5.8700540932101752E-2</v>
      </c>
      <c r="Y51">
        <v>-18197.75</v>
      </c>
      <c r="Z51">
        <v>5.66</v>
      </c>
      <c r="AA51">
        <v>0.64296081277213346</v>
      </c>
    </row>
    <row r="52" spans="1:27" x14ac:dyDescent="0.25">
      <c r="A52" s="2">
        <v>45142</v>
      </c>
      <c r="B52">
        <v>-5268.35</v>
      </c>
      <c r="C52">
        <v>5.17</v>
      </c>
      <c r="D52">
        <v>6.11</v>
      </c>
      <c r="F52">
        <f t="shared" si="0"/>
        <v>5.6400000000000006</v>
      </c>
      <c r="G52">
        <f t="shared" si="1"/>
        <v>-0.85603599251455587</v>
      </c>
      <c r="J52">
        <f t="shared" si="2"/>
        <v>1.0022493663700209</v>
      </c>
      <c r="L52">
        <f t="shared" si="3"/>
        <v>0.84615384615384615</v>
      </c>
      <c r="M52">
        <f t="shared" si="4"/>
        <v>-0.8028938807287983</v>
      </c>
      <c r="N52" s="26">
        <f t="shared" si="5"/>
        <v>3797.0925000000002</v>
      </c>
      <c r="O52" s="26">
        <f t="shared" si="6"/>
        <v>8814.7303846153845</v>
      </c>
      <c r="P52" s="26">
        <f t="shared" si="7"/>
        <v>1470.6894444444451</v>
      </c>
      <c r="Q52" s="26">
        <f t="shared" si="8"/>
        <v>0.12124999999999986</v>
      </c>
      <c r="R52" s="26">
        <f t="shared" si="9"/>
        <v>-0.11336538461538392</v>
      </c>
      <c r="S52" s="26">
        <f t="shared" si="10"/>
        <v>0.15699074074074115</v>
      </c>
      <c r="T52" s="26">
        <f t="shared" si="11"/>
        <v>0.15677259268209531</v>
      </c>
      <c r="U52" s="26">
        <f t="shared" si="12"/>
        <v>0.27341653820325551</v>
      </c>
      <c r="V52" s="26">
        <f t="shared" si="13"/>
        <v>2.7965535878902381E-2</v>
      </c>
      <c r="Y52">
        <v>-21215.03</v>
      </c>
      <c r="Z52">
        <v>6.68</v>
      </c>
      <c r="AA52">
        <v>0.62332928311057101</v>
      </c>
    </row>
    <row r="53" spans="1:27" x14ac:dyDescent="0.25">
      <c r="A53" s="2">
        <v>45135</v>
      </c>
      <c r="B53">
        <v>11596.51</v>
      </c>
      <c r="C53">
        <v>6.62</v>
      </c>
      <c r="D53">
        <v>4.6100000000000003</v>
      </c>
      <c r="F53">
        <f t="shared" si="0"/>
        <v>5.6150000000000002</v>
      </c>
      <c r="G53">
        <f t="shared" si="1"/>
        <v>0.53342887471065392</v>
      </c>
      <c r="J53">
        <f t="shared" si="2"/>
        <v>1.0178378600261526</v>
      </c>
      <c r="L53">
        <f t="shared" si="3"/>
        <v>1.4360086767895879</v>
      </c>
      <c r="M53">
        <f t="shared" si="4"/>
        <v>0.14161835751629162</v>
      </c>
      <c r="N53" s="26">
        <f t="shared" si="5"/>
        <v>9259.5849999999991</v>
      </c>
      <c r="O53" s="26">
        <f t="shared" si="6"/>
        <v>8844.32</v>
      </c>
      <c r="P53" s="26">
        <f t="shared" si="7"/>
        <v>2227.1851851851848</v>
      </c>
      <c r="Q53" s="26">
        <f t="shared" si="8"/>
        <v>-0.10749999999999993</v>
      </c>
      <c r="R53" s="26">
        <f t="shared" si="9"/>
        <v>-0.23413461538461444</v>
      </c>
      <c r="S53" s="26">
        <f t="shared" si="10"/>
        <v>0.15828703703703795</v>
      </c>
      <c r="T53" s="26">
        <f t="shared" si="11"/>
        <v>0.29132162502833148</v>
      </c>
      <c r="U53" s="26">
        <f t="shared" si="12"/>
        <v>0.25383012701536622</v>
      </c>
      <c r="V53" s="26">
        <f t="shared" si="13"/>
        <v>4.0300096347408498E-2</v>
      </c>
      <c r="Y53">
        <v>-17487.03</v>
      </c>
      <c r="Z53">
        <v>6.4450000000000003</v>
      </c>
      <c r="AA53">
        <v>0.6805736636245111</v>
      </c>
    </row>
    <row r="54" spans="1:27" x14ac:dyDescent="0.25">
      <c r="A54" s="2">
        <v>45128</v>
      </c>
      <c r="B54">
        <v>8904.83</v>
      </c>
      <c r="C54">
        <v>6.16</v>
      </c>
      <c r="D54">
        <v>4.54</v>
      </c>
      <c r="F54">
        <f t="shared" si="0"/>
        <v>5.35</v>
      </c>
      <c r="G54">
        <f t="shared" si="1"/>
        <v>0.31229579421498094</v>
      </c>
      <c r="J54">
        <f t="shared" si="2"/>
        <v>0.81813869676098805</v>
      </c>
      <c r="L54">
        <f t="shared" si="3"/>
        <v>1.3568281938325992</v>
      </c>
      <c r="M54">
        <f t="shared" si="4"/>
        <v>9.2334734703493852E-3</v>
      </c>
      <c r="N54" s="26">
        <f t="shared" si="5"/>
        <v>13014.182500000003</v>
      </c>
      <c r="O54" s="26">
        <f t="shared" si="6"/>
        <v>5734.1440384615398</v>
      </c>
      <c r="P54" s="26">
        <f t="shared" si="7"/>
        <v>-751.25194444444378</v>
      </c>
      <c r="Q54" s="26">
        <f t="shared" si="8"/>
        <v>-0.49000000000000021</v>
      </c>
      <c r="R54" s="26">
        <f t="shared" si="9"/>
        <v>-0.39019230769230706</v>
      </c>
      <c r="S54" s="26">
        <f t="shared" si="10"/>
        <v>0.11342592592592649</v>
      </c>
      <c r="T54" s="26">
        <f t="shared" si="11"/>
        <v>0.34377363026088759</v>
      </c>
      <c r="U54" s="26">
        <f t="shared" si="12"/>
        <v>0.13630763833039927</v>
      </c>
      <c r="V54" s="26">
        <f t="shared" si="13"/>
        <v>-8.4773800686422041E-2</v>
      </c>
      <c r="Y54">
        <v>-18113.990000000002</v>
      </c>
      <c r="Z54">
        <v>6.24</v>
      </c>
      <c r="AA54">
        <v>0.66844919786096257</v>
      </c>
    </row>
    <row r="55" spans="1:27" x14ac:dyDescent="0.25">
      <c r="A55" s="2">
        <v>45121</v>
      </c>
      <c r="B55">
        <v>1297.71</v>
      </c>
      <c r="C55">
        <v>5.28</v>
      </c>
      <c r="D55">
        <v>5.04</v>
      </c>
      <c r="F55">
        <f t="shared" si="0"/>
        <v>5.16</v>
      </c>
      <c r="G55">
        <f t="shared" si="1"/>
        <v>-0.33851974686565572</v>
      </c>
      <c r="J55">
        <f t="shared" si="2"/>
        <v>0.67368781356887031</v>
      </c>
      <c r="L55">
        <f t="shared" si="3"/>
        <v>1.0476190476190477</v>
      </c>
      <c r="M55">
        <f t="shared" si="4"/>
        <v>-0.51193503313392719</v>
      </c>
      <c r="N55" s="26">
        <f t="shared" si="5"/>
        <v>14889.122499999999</v>
      </c>
      <c r="O55" s="26">
        <f t="shared" si="6"/>
        <v>3729.5449999999996</v>
      </c>
      <c r="P55" s="26">
        <f t="shared" si="7"/>
        <v>-3135.8309259259258</v>
      </c>
      <c r="Q55" s="26">
        <f t="shared" si="8"/>
        <v>-0.54999999999999982</v>
      </c>
      <c r="R55" s="26">
        <f t="shared" si="9"/>
        <v>-0.36759615384615341</v>
      </c>
      <c r="S55" s="26">
        <f t="shared" si="10"/>
        <v>0.19217592592592592</v>
      </c>
      <c r="T55" s="26">
        <f t="shared" si="11"/>
        <v>0.38496700329904954</v>
      </c>
      <c r="U55" s="26">
        <f t="shared" si="12"/>
        <v>5.6205868155610017E-2</v>
      </c>
      <c r="V55" s="26">
        <f t="shared" si="13"/>
        <v>-0.20776662902884291</v>
      </c>
      <c r="Y55">
        <v>-23378.799999999999</v>
      </c>
      <c r="Z55">
        <v>6.7549999999999999</v>
      </c>
      <c r="AA55">
        <v>0.62184873949579833</v>
      </c>
    </row>
    <row r="56" spans="1:27" x14ac:dyDescent="0.25">
      <c r="A56" s="2">
        <v>45114</v>
      </c>
      <c r="B56">
        <v>-1085.73</v>
      </c>
      <c r="C56">
        <v>5.25</v>
      </c>
      <c r="D56">
        <v>5.47</v>
      </c>
      <c r="F56">
        <f t="shared" si="0"/>
        <v>5.3599999999999994</v>
      </c>
      <c r="G56">
        <f t="shared" si="1"/>
        <v>-0.55687955219313101</v>
      </c>
      <c r="J56">
        <f t="shared" si="2"/>
        <v>0.87792536047005565</v>
      </c>
      <c r="L56">
        <f t="shared" si="3"/>
        <v>0.95978062157221211</v>
      </c>
      <c r="M56">
        <f t="shared" si="4"/>
        <v>-0.67647846242364973</v>
      </c>
      <c r="N56" s="26">
        <f t="shared" si="5"/>
        <v>15283.035</v>
      </c>
      <c r="O56" s="26">
        <f t="shared" si="6"/>
        <v>2564.4724999999999</v>
      </c>
      <c r="P56" s="26">
        <f t="shared" si="7"/>
        <v>-4374.860092592593</v>
      </c>
      <c r="Q56" s="26">
        <f t="shared" si="8"/>
        <v>-0.37999999999999989</v>
      </c>
      <c r="R56" s="26">
        <f t="shared" si="9"/>
        <v>-0.29153846153846175</v>
      </c>
      <c r="S56" s="26">
        <f t="shared" si="10"/>
        <v>0.35037037037037067</v>
      </c>
      <c r="T56" s="26">
        <f t="shared" si="11"/>
        <v>0.40072784998745159</v>
      </c>
      <c r="U56" s="26">
        <f t="shared" si="12"/>
        <v>1.6054482480895027E-2</v>
      </c>
      <c r="V56" s="26">
        <f t="shared" si="13"/>
        <v>-0.27702475235872104</v>
      </c>
    </row>
    <row r="57" spans="1:27" x14ac:dyDescent="0.25">
      <c r="A57" s="2">
        <v>45107</v>
      </c>
      <c r="B57">
        <v>1258.5999999999999</v>
      </c>
      <c r="C57">
        <v>5.33</v>
      </c>
      <c r="D57">
        <v>5.07</v>
      </c>
      <c r="F57">
        <f t="shared" si="0"/>
        <v>5.2</v>
      </c>
      <c r="G57">
        <f t="shared" si="1"/>
        <v>-0.39633103599656494</v>
      </c>
      <c r="J57">
        <f t="shared" si="2"/>
        <v>0.75916131536278209</v>
      </c>
      <c r="L57">
        <f t="shared" si="3"/>
        <v>1.0512820512820513</v>
      </c>
      <c r="M57">
        <f t="shared" si="4"/>
        <v>-0.56609641330583615</v>
      </c>
      <c r="N57" s="26">
        <f t="shared" si="5"/>
        <v>8174.7124999999987</v>
      </c>
      <c r="O57" s="26">
        <f t="shared" si="6"/>
        <v>-4981.1326923076922</v>
      </c>
      <c r="P57" s="26">
        <f t="shared" si="7"/>
        <v>-10157.401296296297</v>
      </c>
      <c r="Q57" s="26">
        <f t="shared" si="8"/>
        <v>0</v>
      </c>
      <c r="R57" s="26">
        <f t="shared" si="9"/>
        <v>-0.11394230769230784</v>
      </c>
      <c r="S57" s="26">
        <f t="shared" si="10"/>
        <v>0.62263888888888808</v>
      </c>
      <c r="T57" s="26">
        <f t="shared" si="11"/>
        <v>0.24680049055937758</v>
      </c>
      <c r="U57" s="26">
        <f t="shared" si="12"/>
        <v>-0.19095888569226593</v>
      </c>
      <c r="V57" s="26">
        <f t="shared" si="13"/>
        <v>-0.45249173813112198</v>
      </c>
    </row>
    <row r="58" spans="1:27" x14ac:dyDescent="0.25">
      <c r="A58" s="2">
        <v>45100</v>
      </c>
      <c r="B58">
        <v>1798.24</v>
      </c>
      <c r="C58">
        <v>5.46</v>
      </c>
      <c r="D58">
        <v>5.1100000000000003</v>
      </c>
      <c r="F58">
        <f t="shared" si="0"/>
        <v>5.2850000000000001</v>
      </c>
      <c r="G58">
        <f t="shared" si="1"/>
        <v>-0.37511762820673117</v>
      </c>
      <c r="J58">
        <f t="shared" si="2"/>
        <v>0.86169248274623311</v>
      </c>
      <c r="L58">
        <f t="shared" si="3"/>
        <v>1.0684931506849313</v>
      </c>
      <c r="M58">
        <f t="shared" si="4"/>
        <v>-0.56620487139030817</v>
      </c>
      <c r="N58" s="26">
        <f t="shared" si="5"/>
        <v>-1618.9900000000016</v>
      </c>
      <c r="O58" s="26">
        <f t="shared" si="6"/>
        <v>-14778.793076923079</v>
      </c>
      <c r="P58" s="26">
        <f t="shared" si="7"/>
        <v>-17723.989259259262</v>
      </c>
      <c r="Q58" s="26">
        <f t="shared" si="8"/>
        <v>0.50375000000000014</v>
      </c>
      <c r="R58" s="26">
        <f t="shared" si="9"/>
        <v>0.20211538461538492</v>
      </c>
      <c r="S58" s="26">
        <f t="shared" si="10"/>
        <v>1.0341666666666676</v>
      </c>
      <c r="T58" s="26">
        <f t="shared" si="11"/>
        <v>4.5173402811241159E-2</v>
      </c>
      <c r="U58" s="26">
        <f t="shared" si="12"/>
        <v>-0.44159784147652581</v>
      </c>
      <c r="V58" s="26">
        <f t="shared" si="13"/>
        <v>-0.64122863969895616</v>
      </c>
    </row>
    <row r="59" spans="1:27" x14ac:dyDescent="0.25">
      <c r="A59" s="2">
        <v>45093</v>
      </c>
      <c r="B59">
        <v>-628.78</v>
      </c>
      <c r="C59">
        <v>5.38</v>
      </c>
      <c r="D59">
        <v>5.49</v>
      </c>
      <c r="F59">
        <f t="shared" si="0"/>
        <v>5.4350000000000005</v>
      </c>
      <c r="G59">
        <f t="shared" si="1"/>
        <v>-0.58774914533984302</v>
      </c>
      <c r="J59">
        <f t="shared" si="2"/>
        <v>1.0294757209791949</v>
      </c>
      <c r="L59">
        <f t="shared" si="3"/>
        <v>0.97996357012750446</v>
      </c>
      <c r="M59">
        <f t="shared" si="4"/>
        <v>-0.72387433349288699</v>
      </c>
      <c r="N59" s="26">
        <f t="shared" si="5"/>
        <v>-7315.1724999999997</v>
      </c>
      <c r="O59" s="26">
        <f t="shared" si="6"/>
        <v>-21019.014423076922</v>
      </c>
      <c r="P59" s="26">
        <f t="shared" si="7"/>
        <v>-22055.211203703704</v>
      </c>
      <c r="Q59" s="26">
        <f t="shared" si="8"/>
        <v>0.53500000000000014</v>
      </c>
      <c r="R59" s="26">
        <f t="shared" si="9"/>
        <v>0.23740384615384702</v>
      </c>
      <c r="S59" s="26">
        <f t="shared" si="10"/>
        <v>1.174768518518519</v>
      </c>
      <c r="T59" s="26">
        <f t="shared" si="11"/>
        <v>-0.12495991830480746</v>
      </c>
      <c r="U59" s="26">
        <f t="shared" si="12"/>
        <v>-0.6470093366667351</v>
      </c>
      <c r="V59" s="26">
        <f t="shared" si="13"/>
        <v>-0.77999685164669219</v>
      </c>
    </row>
    <row r="60" spans="1:27" x14ac:dyDescent="0.25">
      <c r="A60" s="2">
        <v>45086</v>
      </c>
      <c r="B60">
        <v>-18753.080000000002</v>
      </c>
      <c r="C60">
        <v>4.18</v>
      </c>
      <c r="D60">
        <v>7.81</v>
      </c>
      <c r="F60">
        <f t="shared" si="0"/>
        <v>5.9949999999999992</v>
      </c>
      <c r="G60">
        <f t="shared" si="1"/>
        <v>-2.0519756915639809</v>
      </c>
      <c r="J60">
        <f t="shared" si="2"/>
        <v>1.5893021044118933</v>
      </c>
      <c r="L60">
        <f t="shared" si="3"/>
        <v>0.53521126760563376</v>
      </c>
      <c r="M60">
        <f t="shared" si="4"/>
        <v>-1.4259798966591291</v>
      </c>
      <c r="N60" s="26">
        <f t="shared" si="5"/>
        <v>-11183.21</v>
      </c>
      <c r="O60" s="26">
        <f t="shared" si="6"/>
        <v>-23580.798653846156</v>
      </c>
      <c r="P60" s="26">
        <f t="shared" si="7"/>
        <v>-23465.216574074075</v>
      </c>
      <c r="Q60" s="26">
        <f t="shared" si="8"/>
        <v>0.21375000000000099</v>
      </c>
      <c r="R60" s="26">
        <f t="shared" si="9"/>
        <v>8.8846153846155573E-2</v>
      </c>
      <c r="S60" s="26">
        <f t="shared" si="10"/>
        <v>1.1462962962962973</v>
      </c>
      <c r="T60" s="26">
        <f t="shared" si="11"/>
        <v>-0.28046697274699239</v>
      </c>
      <c r="U60" s="26">
        <f t="shared" si="12"/>
        <v>-0.74225875604911917</v>
      </c>
      <c r="V60" s="26">
        <f t="shared" si="13"/>
        <v>-0.8383865217393851</v>
      </c>
    </row>
    <row r="61" spans="1:27" x14ac:dyDescent="0.25">
      <c r="A61" s="2">
        <v>45079</v>
      </c>
      <c r="B61">
        <v>-24097.7</v>
      </c>
      <c r="C61">
        <v>3.96</v>
      </c>
      <c r="D61">
        <v>8.67</v>
      </c>
      <c r="F61">
        <f t="shared" si="0"/>
        <v>6.3149999999999995</v>
      </c>
      <c r="G61">
        <f t="shared" si="1"/>
        <v>-2.6243674962925407</v>
      </c>
      <c r="J61">
        <f t="shared" si="2"/>
        <v>1.9702514298343723</v>
      </c>
      <c r="L61">
        <f t="shared" si="3"/>
        <v>0.45674740484429066</v>
      </c>
      <c r="M61">
        <f t="shared" si="4"/>
        <v>-1.6094372935865953</v>
      </c>
      <c r="N61" s="26">
        <f t="shared" si="5"/>
        <v>-13647.942499999999</v>
      </c>
      <c r="O61" s="26">
        <f t="shared" si="6"/>
        <v>-22680.152115384615</v>
      </c>
      <c r="P61" s="26">
        <f t="shared" si="7"/>
        <v>-21457.336018518519</v>
      </c>
      <c r="Q61" s="26">
        <f t="shared" si="8"/>
        <v>-0.27625000000000099</v>
      </c>
      <c r="R61" s="26">
        <f t="shared" si="9"/>
        <v>-0.15125000000000099</v>
      </c>
      <c r="S61" s="26">
        <f t="shared" si="10"/>
        <v>0.98819444444444393</v>
      </c>
      <c r="T61" s="26">
        <f t="shared" si="11"/>
        <v>-0.44670998036103426</v>
      </c>
      <c r="U61" s="26">
        <f t="shared" si="12"/>
        <v>-0.76212666316707789</v>
      </c>
      <c r="V61" s="26">
        <f t="shared" si="13"/>
        <v>-0.81939132003395165</v>
      </c>
    </row>
    <row r="62" spans="1:27" x14ac:dyDescent="0.25">
      <c r="A62" s="2">
        <v>45072</v>
      </c>
      <c r="B62">
        <v>-12808.11</v>
      </c>
      <c r="C62">
        <v>4.16</v>
      </c>
      <c r="D62">
        <v>6.76</v>
      </c>
      <c r="F62">
        <f t="shared" si="0"/>
        <v>5.46</v>
      </c>
      <c r="G62">
        <f t="shared" si="1"/>
        <v>-1.880276146519714</v>
      </c>
      <c r="J62">
        <f t="shared" si="2"/>
        <v>1.2414072967469953</v>
      </c>
      <c r="L62">
        <f t="shared" si="3"/>
        <v>0.61538461538461542</v>
      </c>
      <c r="M62">
        <f t="shared" si="4"/>
        <v>-1.4397387901967398</v>
      </c>
      <c r="N62" s="26">
        <f t="shared" si="5"/>
        <v>-15793.8925</v>
      </c>
      <c r="O62" s="26">
        <f t="shared" si="6"/>
        <v>-21118.074615384619</v>
      </c>
      <c r="P62" s="26">
        <f t="shared" si="7"/>
        <v>-18662.908888888891</v>
      </c>
      <c r="Q62" s="26">
        <f t="shared" si="8"/>
        <v>-0.65249999999999986</v>
      </c>
      <c r="R62" s="26">
        <f t="shared" si="9"/>
        <v>-0.36624999999999996</v>
      </c>
      <c r="S62" s="26">
        <f t="shared" si="10"/>
        <v>0.8298611111111116</v>
      </c>
      <c r="T62" s="26">
        <f t="shared" si="11"/>
        <v>-0.62245902365368488</v>
      </c>
      <c r="U62" s="26">
        <f t="shared" si="12"/>
        <v>-0.77859900982212649</v>
      </c>
      <c r="V62" s="26">
        <f t="shared" si="13"/>
        <v>-0.79097333667736813</v>
      </c>
    </row>
    <row r="63" spans="1:27" x14ac:dyDescent="0.25">
      <c r="A63" s="2">
        <v>45065</v>
      </c>
      <c r="B63">
        <v>-4130.92</v>
      </c>
      <c r="C63">
        <v>4.62</v>
      </c>
      <c r="D63">
        <v>5.44</v>
      </c>
      <c r="F63">
        <f t="shared" si="0"/>
        <v>5.03</v>
      </c>
      <c r="G63">
        <f t="shared" si="1"/>
        <v>-1.2004514104558528</v>
      </c>
      <c r="J63">
        <f t="shared" si="2"/>
        <v>0.85473499348097848</v>
      </c>
      <c r="L63">
        <f t="shared" si="3"/>
        <v>0.84926470588235292</v>
      </c>
      <c r="M63">
        <f t="shared" si="4"/>
        <v>-1.1305458219879305</v>
      </c>
      <c r="N63" s="26">
        <f t="shared" si="5"/>
        <v>-16929.900000000001</v>
      </c>
      <c r="O63" s="26">
        <f t="shared" si="6"/>
        <v>-19805.577307692311</v>
      </c>
      <c r="P63" s="26">
        <f t="shared" si="7"/>
        <v>-16577.915370370371</v>
      </c>
      <c r="Q63" s="26">
        <f t="shared" si="8"/>
        <v>-0.73250000000000082</v>
      </c>
      <c r="R63" s="26">
        <f t="shared" si="9"/>
        <v>-0.24990384615384631</v>
      </c>
      <c r="S63" s="26">
        <f t="shared" si="10"/>
        <v>0.89587962962962919</v>
      </c>
      <c r="T63" s="26">
        <f t="shared" si="11"/>
        <v>-0.68707871304737378</v>
      </c>
      <c r="U63" s="26">
        <f t="shared" si="12"/>
        <v>-0.75111125067983286</v>
      </c>
      <c r="V63" s="26">
        <f t="shared" si="13"/>
        <v>-0.73524539104759989</v>
      </c>
    </row>
    <row r="64" spans="1:27" x14ac:dyDescent="0.25">
      <c r="A64" s="2">
        <v>45058</v>
      </c>
      <c r="B64">
        <v>-7987.14</v>
      </c>
      <c r="C64">
        <v>4.3</v>
      </c>
      <c r="D64">
        <v>5.92</v>
      </c>
      <c r="F64">
        <f t="shared" si="0"/>
        <v>5.1099999999999994</v>
      </c>
      <c r="G64">
        <f t="shared" si="1"/>
        <v>-1.5976599531196412</v>
      </c>
      <c r="J64">
        <f t="shared" si="2"/>
        <v>0.95758686393229986</v>
      </c>
      <c r="L64">
        <f t="shared" si="3"/>
        <v>0.72635135135135132</v>
      </c>
      <c r="M64">
        <f t="shared" si="4"/>
        <v>-1.3664788626886473</v>
      </c>
      <c r="N64" s="26">
        <f t="shared" si="5"/>
        <v>-13168.0275</v>
      </c>
      <c r="O64" s="26">
        <f t="shared" si="6"/>
        <v>-15787.157115384616</v>
      </c>
      <c r="P64" s="26">
        <f t="shared" si="7"/>
        <v>-13034.332129629631</v>
      </c>
      <c r="Q64" s="26">
        <f t="shared" si="8"/>
        <v>-0.23000000000000131</v>
      </c>
      <c r="R64" s="26">
        <f t="shared" si="9"/>
        <v>0.12701923076923016</v>
      </c>
      <c r="S64" s="26">
        <f t="shared" si="10"/>
        <v>1.2014351851851846</v>
      </c>
      <c r="T64" s="26">
        <f t="shared" si="11"/>
        <v>-0.52227967799680974</v>
      </c>
      <c r="U64" s="26">
        <f t="shared" si="12"/>
        <v>-0.58573543606465406</v>
      </c>
      <c r="V64" s="26">
        <f t="shared" si="13"/>
        <v>-0.5928948288040139</v>
      </c>
    </row>
    <row r="65" spans="1:22" x14ac:dyDescent="0.25">
      <c r="A65" s="2">
        <v>45051</v>
      </c>
      <c r="B65">
        <v>-10279.19</v>
      </c>
      <c r="C65">
        <v>4.34</v>
      </c>
      <c r="D65">
        <v>6.49</v>
      </c>
      <c r="F65">
        <f t="shared" si="0"/>
        <v>5.415</v>
      </c>
      <c r="G65">
        <f t="shared" si="1"/>
        <v>-1.8788151311530237</v>
      </c>
      <c r="J65">
        <f t="shared" si="2"/>
        <v>1.2911766023992342</v>
      </c>
      <c r="L65">
        <f t="shared" si="3"/>
        <v>0.66872110939907548</v>
      </c>
      <c r="M65">
        <f t="shared" si="4"/>
        <v>-1.5104856185244502</v>
      </c>
      <c r="N65" s="26">
        <f t="shared" si="5"/>
        <v>-6916.3950000000004</v>
      </c>
      <c r="O65" s="26">
        <f t="shared" si="6"/>
        <v>-9126.5019230769267</v>
      </c>
      <c r="P65" s="26">
        <f t="shared" si="7"/>
        <v>-7195.7424074074079</v>
      </c>
      <c r="Q65" s="26">
        <f t="shared" si="8"/>
        <v>0.25000000000000089</v>
      </c>
      <c r="R65" s="26">
        <f t="shared" si="9"/>
        <v>0.59153846153846334</v>
      </c>
      <c r="S65" s="26">
        <f t="shared" si="10"/>
        <v>1.5772222222222245</v>
      </c>
      <c r="T65" s="26">
        <f t="shared" si="11"/>
        <v>-0.23314860357084988</v>
      </c>
      <c r="U65" s="26">
        <f t="shared" si="12"/>
        <v>-0.30575779350334376</v>
      </c>
      <c r="V65" s="26">
        <f t="shared" si="13"/>
        <v>-0.35101835914251778</v>
      </c>
    </row>
    <row r="66" spans="1:22" x14ac:dyDescent="0.25">
      <c r="A66" s="2">
        <v>45044</v>
      </c>
      <c r="B66">
        <v>-4629.7299999999996</v>
      </c>
      <c r="C66">
        <v>5.04</v>
      </c>
      <c r="D66">
        <v>5.98</v>
      </c>
      <c r="F66">
        <f t="shared" ref="F66:F129" si="14">AVERAGE(C66:D66)</f>
        <v>5.51</v>
      </c>
      <c r="G66">
        <f t="shared" ref="G66:G129" si="15">(B66-AVERAGE(B66:B118))/_xlfn.STDEV.S(B66:B118)</f>
        <v>-1.451221882049448</v>
      </c>
      <c r="J66">
        <f t="shared" ref="J66:J129" si="16">(F66-AVERAGE(F66:F118))/_xlfn.STDEV.S(F66:F118)</f>
        <v>1.434774740358447</v>
      </c>
      <c r="L66">
        <f t="shared" ref="L66:L129" si="17">C66/D66</f>
        <v>0.84280936454849498</v>
      </c>
      <c r="M66">
        <f t="shared" ref="M66:M129" si="18">(L66-AVERAGE(L66:L118))/_xlfn.STDEV.S(L66:L118)</f>
        <v>-1.296212696129746</v>
      </c>
      <c r="N66" s="26">
        <f t="shared" ref="N66:N129" si="19">AVERAGEA(B66:B69)-AVERAGE(B70:B73)</f>
        <v>-3765.2625000000007</v>
      </c>
      <c r="O66" s="26">
        <f t="shared" ref="O66:O129" si="20">AVERAGEA(B66:B69)-AVERAGE(B70:B82)</f>
        <v>-2285.6944230769241</v>
      </c>
      <c r="P66" s="26">
        <f t="shared" ref="P66:P129" si="21">AVERAGEA(B66:B69)-AVERAGE(B70:B96)</f>
        <v>-837.78898148148073</v>
      </c>
      <c r="Q66" s="26">
        <f t="shared" ref="Q66:Q129" si="22">AVERAGEA(F66:F69)-AVERAGE(F70:F73)</f>
        <v>0.46875</v>
      </c>
      <c r="R66" s="26">
        <f t="shared" ref="R66:R129" si="23">AVERAGEA(F66:F69)-AVERAGE(F70:F82)</f>
        <v>0.94894230769230781</v>
      </c>
      <c r="S66" s="26">
        <f t="shared" ref="S66:S129" si="24">AVERAGEA(F66:F69)-AVERAGE(F70:F96)</f>
        <v>1.8240277777777782</v>
      </c>
      <c r="T66" s="26">
        <f t="shared" ref="T66:T129" si="25">AVERAGEA(L66:L69)-AVERAGE(L70:L73)</f>
        <v>-7.0117050724723962E-2</v>
      </c>
      <c r="U66" s="26">
        <f t="shared" ref="U66:U129" si="26">AVERAGEA(L66:L69)-AVERAGE(L70:L82)</f>
        <v>-1.7901970547372636E-2</v>
      </c>
      <c r="V66" s="26">
        <f t="shared" ref="V66:V129" si="27">AVERAGEA(L66:L69)-AVERAGE(L70:L96)</f>
        <v>-9.1587410218276544E-2</v>
      </c>
    </row>
    <row r="67" spans="1:22" x14ac:dyDescent="0.25">
      <c r="A67" s="2">
        <v>45037</v>
      </c>
      <c r="B67">
        <v>7839.09</v>
      </c>
      <c r="C67">
        <v>6.77</v>
      </c>
      <c r="D67">
        <v>5.05</v>
      </c>
      <c r="F67">
        <f t="shared" si="14"/>
        <v>5.91</v>
      </c>
      <c r="G67">
        <f t="shared" si="15"/>
        <v>-0.32824424199447805</v>
      </c>
      <c r="J67">
        <f t="shared" si="16"/>
        <v>1.9062686470733405</v>
      </c>
      <c r="L67">
        <f t="shared" si="17"/>
        <v>1.3405940594059405</v>
      </c>
      <c r="M67">
        <f t="shared" si="18"/>
        <v>-0.54858506053340583</v>
      </c>
      <c r="N67" s="26">
        <f t="shared" si="19"/>
        <v>-3777.4675000000007</v>
      </c>
      <c r="O67" s="26">
        <f t="shared" si="20"/>
        <v>1000.378076923078</v>
      </c>
      <c r="P67" s="26">
        <f t="shared" si="21"/>
        <v>2968.5409259259268</v>
      </c>
      <c r="Q67" s="26">
        <f t="shared" si="22"/>
        <v>0.57374999999999954</v>
      </c>
      <c r="R67" s="26">
        <f t="shared" si="23"/>
        <v>1.2295192307692311</v>
      </c>
      <c r="S67" s="26">
        <f t="shared" si="24"/>
        <v>2.0068981481481489</v>
      </c>
      <c r="T67" s="26">
        <f t="shared" si="25"/>
        <v>-6.2167013497519408E-2</v>
      </c>
      <c r="U67" s="26">
        <f t="shared" si="26"/>
        <v>9.857272523656424E-2</v>
      </c>
      <c r="V67" s="26">
        <f t="shared" si="27"/>
        <v>5.1627011628915032E-2</v>
      </c>
    </row>
    <row r="68" spans="1:22" x14ac:dyDescent="0.25">
      <c r="A68" s="2">
        <v>45030</v>
      </c>
      <c r="B68">
        <v>12637.73</v>
      </c>
      <c r="C68">
        <v>7.58</v>
      </c>
      <c r="D68">
        <v>4.79</v>
      </c>
      <c r="F68">
        <f t="shared" si="14"/>
        <v>6.1850000000000005</v>
      </c>
      <c r="G68">
        <f t="shared" si="15"/>
        <v>0.10933353794584509</v>
      </c>
      <c r="J68">
        <f t="shared" si="16"/>
        <v>2.317015399436646</v>
      </c>
      <c r="L68">
        <f t="shared" si="17"/>
        <v>1.5824634655532359</v>
      </c>
      <c r="M68">
        <f t="shared" si="18"/>
        <v>-0.1818470037370741</v>
      </c>
      <c r="N68" s="26">
        <f t="shared" si="19"/>
        <v>-8567.4675000000025</v>
      </c>
      <c r="O68" s="26">
        <f t="shared" si="20"/>
        <v>-317.75346153846294</v>
      </c>
      <c r="P68" s="26">
        <f t="shared" si="21"/>
        <v>2594.6768518518511</v>
      </c>
      <c r="Q68" s="26">
        <f t="shared" si="22"/>
        <v>9.375E-2</v>
      </c>
      <c r="R68" s="26">
        <f t="shared" si="23"/>
        <v>1.0370192307692312</v>
      </c>
      <c r="S68" s="26">
        <f t="shared" si="24"/>
        <v>1.7719907407407418</v>
      </c>
      <c r="T68" s="26">
        <f t="shared" si="25"/>
        <v>-0.26423472026819628</v>
      </c>
      <c r="U68" s="26">
        <f t="shared" si="26"/>
        <v>5.9410073136405561E-3</v>
      </c>
      <c r="V68" s="26">
        <f t="shared" si="27"/>
        <v>2.2536685276871582E-2</v>
      </c>
    </row>
    <row r="69" spans="1:22" x14ac:dyDescent="0.25">
      <c r="A69" s="2">
        <v>45022</v>
      </c>
      <c r="B69">
        <v>12123.12</v>
      </c>
      <c r="C69">
        <v>7.38</v>
      </c>
      <c r="D69">
        <v>4.66</v>
      </c>
      <c r="F69">
        <f t="shared" si="14"/>
        <v>6.02</v>
      </c>
      <c r="G69">
        <f t="shared" si="15"/>
        <v>5.1678878411808571E-2</v>
      </c>
      <c r="J69">
        <f t="shared" si="16"/>
        <v>2.3003175258098132</v>
      </c>
      <c r="L69">
        <f t="shared" si="17"/>
        <v>1.5836909871244635</v>
      </c>
      <c r="M69">
        <f t="shared" si="18"/>
        <v>-0.19266110635749797</v>
      </c>
      <c r="N69" s="26">
        <f t="shared" si="19"/>
        <v>-12046.445000000002</v>
      </c>
      <c r="O69" s="26">
        <f t="shared" si="20"/>
        <v>-2179.0392307692309</v>
      </c>
      <c r="P69" s="26">
        <f t="shared" si="21"/>
        <v>1982.6192592592597</v>
      </c>
      <c r="Q69" s="26">
        <f t="shared" si="22"/>
        <v>-0.19374999999999964</v>
      </c>
      <c r="R69" s="26">
        <f t="shared" si="23"/>
        <v>1.0273076923076925</v>
      </c>
      <c r="S69" s="26">
        <f t="shared" si="24"/>
        <v>1.6312962962962967</v>
      </c>
      <c r="T69" s="26">
        <f t="shared" si="25"/>
        <v>-0.43450890789501528</v>
      </c>
      <c r="U69" s="26">
        <f t="shared" si="26"/>
        <v>-0.15846870722586814</v>
      </c>
      <c r="V69" s="26">
        <f t="shared" si="27"/>
        <v>-3.6629350950915462E-2</v>
      </c>
    </row>
    <row r="70" spans="1:22" x14ac:dyDescent="0.25">
      <c r="A70" s="2">
        <v>45016</v>
      </c>
      <c r="B70">
        <v>8092.68</v>
      </c>
      <c r="C70">
        <v>6.71</v>
      </c>
      <c r="D70">
        <v>5.05</v>
      </c>
      <c r="F70">
        <f t="shared" si="14"/>
        <v>5.88</v>
      </c>
      <c r="G70">
        <f t="shared" si="15"/>
        <v>-0.33502887663505387</v>
      </c>
      <c r="J70">
        <f t="shared" si="16"/>
        <v>2.2996238031413125</v>
      </c>
      <c r="L70">
        <f t="shared" si="17"/>
        <v>1.3287128712871288</v>
      </c>
      <c r="M70">
        <f t="shared" si="18"/>
        <v>-0.60964253368921162</v>
      </c>
      <c r="N70" s="26">
        <f t="shared" si="19"/>
        <v>-7940.2149999999983</v>
      </c>
      <c r="O70" s="26">
        <f t="shared" si="20"/>
        <v>431.92115384615499</v>
      </c>
      <c r="P70" s="26">
        <f t="shared" si="21"/>
        <v>4760.5712962962971</v>
      </c>
      <c r="Q70" s="26">
        <f t="shared" si="22"/>
        <v>-0.16250000000000053</v>
      </c>
      <c r="R70" s="26">
        <f t="shared" si="23"/>
        <v>1.1698076923076917</v>
      </c>
      <c r="S70" s="26">
        <f t="shared" si="24"/>
        <v>1.6471296296296294</v>
      </c>
      <c r="T70" s="26">
        <f t="shared" si="25"/>
        <v>-0.30862418195805641</v>
      </c>
      <c r="U70" s="26">
        <f t="shared" si="26"/>
        <v>-0.13481346552533524</v>
      </c>
      <c r="V70" s="26">
        <f t="shared" si="27"/>
        <v>3.2034759504417254E-2</v>
      </c>
    </row>
    <row r="71" spans="1:22" x14ac:dyDescent="0.25">
      <c r="A71" s="2">
        <v>45009</v>
      </c>
      <c r="B71">
        <v>4761.6099999999997</v>
      </c>
      <c r="C71">
        <v>5.16</v>
      </c>
      <c r="D71">
        <v>4.4000000000000004</v>
      </c>
      <c r="F71">
        <f t="shared" si="14"/>
        <v>4.78</v>
      </c>
      <c r="G71">
        <f t="shared" si="15"/>
        <v>-0.65939443546165133</v>
      </c>
      <c r="J71">
        <f t="shared" si="16"/>
        <v>1.0544062862735855</v>
      </c>
      <c r="L71">
        <f t="shared" si="17"/>
        <v>1.1727272727272726</v>
      </c>
      <c r="M71">
        <f t="shared" si="18"/>
        <v>-0.87610146507105946</v>
      </c>
      <c r="N71" s="26">
        <f t="shared" si="19"/>
        <v>-3112.4199999999983</v>
      </c>
      <c r="O71" s="26">
        <f t="shared" si="20"/>
        <v>3835.7278846153858</v>
      </c>
      <c r="P71" s="26">
        <f t="shared" si="21"/>
        <v>7659.255462962964</v>
      </c>
      <c r="Q71" s="26">
        <f t="shared" si="22"/>
        <v>-3.8749999999999396E-2</v>
      </c>
      <c r="R71" s="26">
        <f t="shared" si="23"/>
        <v>1.3803846153846164</v>
      </c>
      <c r="S71" s="26">
        <f t="shared" si="24"/>
        <v>1.694444444444446</v>
      </c>
      <c r="T71" s="26">
        <f t="shared" si="25"/>
        <v>-0.14233832415080605</v>
      </c>
      <c r="U71" s="26">
        <f t="shared" si="26"/>
        <v>-6.929997338088878E-2</v>
      </c>
      <c r="V71" s="26">
        <f t="shared" si="27"/>
        <v>0.10135323358325365</v>
      </c>
    </row>
    <row r="72" spans="1:22" x14ac:dyDescent="0.25">
      <c r="A72" s="2">
        <v>45002</v>
      </c>
      <c r="B72">
        <v>8256.07</v>
      </c>
      <c r="C72">
        <v>6</v>
      </c>
      <c r="D72">
        <v>4.68</v>
      </c>
      <c r="F72">
        <f t="shared" si="14"/>
        <v>5.34</v>
      </c>
      <c r="G72">
        <f t="shared" si="15"/>
        <v>-0.34660298302142056</v>
      </c>
      <c r="J72">
        <f t="shared" si="16"/>
        <v>1.8250054938380298</v>
      </c>
      <c r="L72">
        <f t="shared" si="17"/>
        <v>1.2820512820512822</v>
      </c>
      <c r="M72">
        <f t="shared" si="18"/>
        <v>-0.72408380557081486</v>
      </c>
      <c r="N72" s="26">
        <f t="shared" si="19"/>
        <v>4897.3575000000019</v>
      </c>
      <c r="O72" s="26">
        <f t="shared" si="20"/>
        <v>8763.9717307692335</v>
      </c>
      <c r="P72" s="26">
        <f t="shared" si="21"/>
        <v>11246.458796296298</v>
      </c>
      <c r="Q72" s="26">
        <f t="shared" si="22"/>
        <v>0.51125000000000043</v>
      </c>
      <c r="R72" s="26">
        <f t="shared" si="23"/>
        <v>1.7963461538461543</v>
      </c>
      <c r="S72" s="26">
        <f t="shared" si="24"/>
        <v>1.936018518518519</v>
      </c>
      <c r="T72" s="26">
        <f t="shared" si="25"/>
        <v>0.16489578161271101</v>
      </c>
      <c r="U72" s="26">
        <f t="shared" si="26"/>
        <v>0.11184691590553508</v>
      </c>
      <c r="V72" s="26">
        <f t="shared" si="27"/>
        <v>0.20581944283873455</v>
      </c>
    </row>
    <row r="73" spans="1:22" x14ac:dyDescent="0.25">
      <c r="A73" s="2">
        <v>44995</v>
      </c>
      <c r="B73">
        <v>21920.9</v>
      </c>
      <c r="C73">
        <v>7.46</v>
      </c>
      <c r="D73">
        <v>4.04</v>
      </c>
      <c r="F73">
        <f t="shared" si="14"/>
        <v>5.75</v>
      </c>
      <c r="G73">
        <f t="shared" si="15"/>
        <v>0.9452656341965936</v>
      </c>
      <c r="J73">
        <f t="shared" si="16"/>
        <v>2.4795660443057645</v>
      </c>
      <c r="L73">
        <f t="shared" si="17"/>
        <v>1.8465346534653466</v>
      </c>
      <c r="M73">
        <f t="shared" si="18"/>
        <v>0.18059327277431469</v>
      </c>
      <c r="N73" s="26">
        <f t="shared" si="19"/>
        <v>13102.960000000003</v>
      </c>
      <c r="O73" s="26">
        <f t="shared" si="20"/>
        <v>12089.711153846156</v>
      </c>
      <c r="P73" s="26">
        <f t="shared" si="21"/>
        <v>13509.986851851856</v>
      </c>
      <c r="Q73" s="26">
        <f t="shared" si="22"/>
        <v>1.0312499999999991</v>
      </c>
      <c r="R73" s="26">
        <f t="shared" si="23"/>
        <v>2.0879807692307688</v>
      </c>
      <c r="S73" s="26">
        <f t="shared" si="24"/>
        <v>2.0793055555555555</v>
      </c>
      <c r="T73" s="26">
        <f t="shared" si="25"/>
        <v>0.47886866853812293</v>
      </c>
      <c r="U73" s="26">
        <f t="shared" si="26"/>
        <v>0.23464052876149988</v>
      </c>
      <c r="V73" s="26">
        <f t="shared" si="27"/>
        <v>0.27446766694213731</v>
      </c>
    </row>
    <row r="74" spans="1:22" x14ac:dyDescent="0.25">
      <c r="A74" s="2">
        <v>44988</v>
      </c>
      <c r="B74">
        <v>20863.91</v>
      </c>
      <c r="C74">
        <v>7.47</v>
      </c>
      <c r="D74">
        <v>4.1900000000000004</v>
      </c>
      <c r="F74">
        <f t="shared" si="14"/>
        <v>5.83</v>
      </c>
      <c r="G74">
        <f t="shared" si="15"/>
        <v>0.87030847829150038</v>
      </c>
      <c r="J74">
        <f t="shared" si="16"/>
        <v>2.8128516167186999</v>
      </c>
      <c r="L74">
        <f t="shared" si="17"/>
        <v>1.7828162291169449</v>
      </c>
      <c r="M74">
        <f t="shared" si="18"/>
        <v>8.4005268549372236E-2</v>
      </c>
      <c r="N74" s="26">
        <f t="shared" si="19"/>
        <v>16999.605</v>
      </c>
      <c r="O74" s="26">
        <f t="shared" si="20"/>
        <v>10817.078461538462</v>
      </c>
      <c r="P74" s="26">
        <f t="shared" si="21"/>
        <v>11957.379999999997</v>
      </c>
      <c r="Q74" s="26">
        <f t="shared" si="22"/>
        <v>1.3612500000000001</v>
      </c>
      <c r="R74" s="26">
        <f t="shared" si="23"/>
        <v>2.1653846153846166</v>
      </c>
      <c r="S74" s="26">
        <f t="shared" si="24"/>
        <v>2.0483333333333342</v>
      </c>
      <c r="T74" s="26">
        <f t="shared" si="25"/>
        <v>0.63887509234790318</v>
      </c>
      <c r="U74" s="26">
        <f t="shared" si="26"/>
        <v>0.17925679258884686</v>
      </c>
      <c r="V74" s="26">
        <f t="shared" si="27"/>
        <v>0.2088099007777473</v>
      </c>
    </row>
    <row r="75" spans="1:22" x14ac:dyDescent="0.25">
      <c r="A75" s="2">
        <v>44981</v>
      </c>
      <c r="B75">
        <v>20844.13</v>
      </c>
      <c r="C75">
        <v>7.18</v>
      </c>
      <c r="D75">
        <v>3.96</v>
      </c>
      <c r="F75">
        <f t="shared" si="14"/>
        <v>5.57</v>
      </c>
      <c r="G75">
        <f t="shared" si="15"/>
        <v>0.80727270176815014</v>
      </c>
      <c r="J75">
        <f t="shared" si="16"/>
        <v>2.5555407665538921</v>
      </c>
      <c r="L75">
        <f t="shared" si="17"/>
        <v>1.8131313131313131</v>
      </c>
      <c r="M75">
        <f t="shared" si="18"/>
        <v>0.1045758597595374</v>
      </c>
      <c r="N75" s="26">
        <f t="shared" si="19"/>
        <v>19945.575000000001</v>
      </c>
      <c r="O75" s="26">
        <f t="shared" si="20"/>
        <v>9478.5355769230773</v>
      </c>
      <c r="P75" s="26">
        <f t="shared" si="21"/>
        <v>10728.298425925925</v>
      </c>
      <c r="Q75" s="26">
        <f t="shared" si="22"/>
        <v>1.7112499999999997</v>
      </c>
      <c r="R75" s="26">
        <f t="shared" si="23"/>
        <v>2.1737500000000005</v>
      </c>
      <c r="S75" s="26">
        <f t="shared" si="24"/>
        <v>1.9898611111111113</v>
      </c>
      <c r="T75" s="26">
        <f t="shared" si="25"/>
        <v>0.77525476510146019</v>
      </c>
      <c r="U75" s="26">
        <f t="shared" si="26"/>
        <v>0.13173521155670631</v>
      </c>
      <c r="V75" s="26">
        <f t="shared" si="27"/>
        <v>0.16966558267175857</v>
      </c>
    </row>
    <row r="76" spans="1:22" x14ac:dyDescent="0.25">
      <c r="A76" s="2">
        <v>44974</v>
      </c>
      <c r="B76">
        <v>17790.32</v>
      </c>
      <c r="C76">
        <v>7.05</v>
      </c>
      <c r="D76">
        <v>4.24</v>
      </c>
      <c r="F76">
        <f t="shared" si="14"/>
        <v>5.6449999999999996</v>
      </c>
      <c r="G76">
        <f t="shared" si="15"/>
        <v>0.47886603117685472</v>
      </c>
      <c r="J76">
        <f t="shared" si="16"/>
        <v>2.692506801508403</v>
      </c>
      <c r="L76">
        <f t="shared" si="17"/>
        <v>1.6627358490566035</v>
      </c>
      <c r="M76">
        <f t="shared" si="18"/>
        <v>-0.15867459888857163</v>
      </c>
      <c r="N76" s="26">
        <f t="shared" si="19"/>
        <v>15497.92</v>
      </c>
      <c r="O76" s="26">
        <f t="shared" si="20"/>
        <v>5284.8742307692319</v>
      </c>
      <c r="P76" s="26">
        <f t="shared" si="21"/>
        <v>6568.0064814814814</v>
      </c>
      <c r="Q76" s="26">
        <f t="shared" si="22"/>
        <v>1.54</v>
      </c>
      <c r="R76" s="26">
        <f t="shared" si="23"/>
        <v>1.863173076923077</v>
      </c>
      <c r="S76" s="26">
        <f t="shared" si="24"/>
        <v>1.6625462962962967</v>
      </c>
      <c r="T76" s="26">
        <f t="shared" si="25"/>
        <v>0.585839346310145</v>
      </c>
      <c r="U76" s="26">
        <f t="shared" si="26"/>
        <v>-2.3679355954635328E-2</v>
      </c>
      <c r="V76" s="26">
        <f t="shared" si="27"/>
        <v>1.0500945565945496E-2</v>
      </c>
    </row>
    <row r="77" spans="1:22" x14ac:dyDescent="0.25">
      <c r="A77" s="2">
        <v>44967</v>
      </c>
      <c r="B77">
        <v>15293.76</v>
      </c>
      <c r="C77">
        <v>6.6</v>
      </c>
      <c r="D77">
        <v>4.1100000000000003</v>
      </c>
      <c r="F77">
        <f t="shared" si="14"/>
        <v>5.3550000000000004</v>
      </c>
      <c r="G77">
        <f t="shared" si="15"/>
        <v>0.21433237709321365</v>
      </c>
      <c r="J77">
        <f t="shared" si="16"/>
        <v>2.2830092404723805</v>
      </c>
      <c r="L77">
        <f t="shared" si="17"/>
        <v>1.605839416058394</v>
      </c>
      <c r="M77">
        <f t="shared" si="18"/>
        <v>-0.2747502158276538</v>
      </c>
      <c r="N77" s="26">
        <f t="shared" si="19"/>
        <v>5327.5425000000005</v>
      </c>
      <c r="O77" s="26">
        <f t="shared" si="20"/>
        <v>-520.03884615384413</v>
      </c>
      <c r="P77" s="26">
        <f t="shared" si="21"/>
        <v>-255.17203703703672</v>
      </c>
      <c r="Q77" s="26">
        <f t="shared" si="22"/>
        <v>1.1612500000000008</v>
      </c>
      <c r="R77" s="26">
        <f t="shared" si="23"/>
        <v>1.4044230769230777</v>
      </c>
      <c r="S77" s="26">
        <f t="shared" si="24"/>
        <v>1.2150925925925931</v>
      </c>
      <c r="T77" s="26">
        <f t="shared" si="25"/>
        <v>0.1060766809712308</v>
      </c>
      <c r="U77" s="26">
        <f t="shared" si="26"/>
        <v>-0.24907671813184318</v>
      </c>
      <c r="V77" s="26">
        <f t="shared" si="27"/>
        <v>-0.26885209311714253</v>
      </c>
    </row>
    <row r="78" spans="1:22" x14ac:dyDescent="0.25">
      <c r="A78" s="2">
        <v>44960</v>
      </c>
      <c r="B78">
        <v>14323.96</v>
      </c>
      <c r="C78">
        <v>6.46</v>
      </c>
      <c r="D78">
        <v>4.1100000000000003</v>
      </c>
      <c r="F78">
        <f t="shared" si="14"/>
        <v>5.2850000000000001</v>
      </c>
      <c r="G78">
        <f t="shared" si="15"/>
        <v>8.361301665200184E-2</v>
      </c>
      <c r="J78">
        <f t="shared" si="16"/>
        <v>2.0542361335932222</v>
      </c>
      <c r="L78">
        <f t="shared" si="17"/>
        <v>1.5717761557177614</v>
      </c>
      <c r="M78">
        <f t="shared" si="18"/>
        <v>-0.35494096813801101</v>
      </c>
      <c r="N78" s="26">
        <f t="shared" si="19"/>
        <v>-6508.9749999999995</v>
      </c>
      <c r="O78" s="26">
        <f t="shared" si="20"/>
        <v>-6064.2280769230774</v>
      </c>
      <c r="P78" s="26">
        <f t="shared" si="21"/>
        <v>-6804.6820370370378</v>
      </c>
      <c r="Q78" s="26">
        <f t="shared" si="22"/>
        <v>0.96250000000000036</v>
      </c>
      <c r="R78" s="26">
        <f t="shared" si="23"/>
        <v>0.97875000000000023</v>
      </c>
      <c r="S78" s="26">
        <f t="shared" si="24"/>
        <v>0.7743055555555558</v>
      </c>
      <c r="T78" s="26">
        <f t="shared" si="25"/>
        <v>-0.54358342500809287</v>
      </c>
      <c r="U78" s="26">
        <f t="shared" si="26"/>
        <v>-0.47606337680882493</v>
      </c>
      <c r="V78" s="26">
        <f t="shared" si="27"/>
        <v>-0.54650421593495335</v>
      </c>
    </row>
    <row r="79" spans="1:22" x14ac:dyDescent="0.25">
      <c r="A79" s="2">
        <v>44953</v>
      </c>
      <c r="B79">
        <v>4887.54</v>
      </c>
      <c r="C79">
        <v>4.58</v>
      </c>
      <c r="D79">
        <v>3.74</v>
      </c>
      <c r="F79">
        <f t="shared" si="14"/>
        <v>4.16</v>
      </c>
      <c r="G79">
        <f t="shared" si="15"/>
        <v>-0.67848161748957192</v>
      </c>
      <c r="J79">
        <f t="shared" si="16"/>
        <v>0.42419817633969575</v>
      </c>
      <c r="L79">
        <f t="shared" si="17"/>
        <v>1.2245989304812834</v>
      </c>
      <c r="M79">
        <f t="shared" si="18"/>
        <v>-0.88779763314291538</v>
      </c>
      <c r="N79" s="26">
        <f t="shared" si="19"/>
        <v>-17045.2</v>
      </c>
      <c r="O79" s="26">
        <f t="shared" si="20"/>
        <v>-10507.766346153847</v>
      </c>
      <c r="P79" s="26">
        <f t="shared" si="21"/>
        <v>-12339.727685185186</v>
      </c>
      <c r="Q79" s="26">
        <f t="shared" si="22"/>
        <v>0.55625000000000036</v>
      </c>
      <c r="R79" s="26">
        <f t="shared" si="23"/>
        <v>0.49596153846153879</v>
      </c>
      <c r="S79" s="26">
        <f t="shared" si="24"/>
        <v>0.25916666666666677</v>
      </c>
      <c r="T79" s="26">
        <f t="shared" si="25"/>
        <v>-1.1272333750269321</v>
      </c>
      <c r="U79" s="26">
        <f t="shared" si="26"/>
        <v>-0.66638292670073251</v>
      </c>
      <c r="V79" s="26">
        <f t="shared" si="27"/>
        <v>-0.79400424447361317</v>
      </c>
    </row>
    <row r="80" spans="1:22" x14ac:dyDescent="0.25">
      <c r="A80" s="2">
        <v>44946</v>
      </c>
      <c r="B80">
        <v>-5497.84</v>
      </c>
      <c r="C80">
        <v>3.41</v>
      </c>
      <c r="D80">
        <v>4.33</v>
      </c>
      <c r="F80">
        <f t="shared" si="14"/>
        <v>3.87</v>
      </c>
      <c r="G80">
        <f t="shared" si="15"/>
        <v>-1.4911423628949598</v>
      </c>
      <c r="J80">
        <f t="shared" si="16"/>
        <v>-1.3624675895705832E-2</v>
      </c>
      <c r="L80">
        <f t="shared" si="17"/>
        <v>0.78752886836027713</v>
      </c>
      <c r="M80">
        <f t="shared" si="18"/>
        <v>-1.5539885124541797</v>
      </c>
      <c r="N80" s="26">
        <f t="shared" si="19"/>
        <v>-19436.53</v>
      </c>
      <c r="O80" s="26">
        <f t="shared" si="20"/>
        <v>-8891.7511538461549</v>
      </c>
      <c r="P80" s="26">
        <f t="shared" si="21"/>
        <v>-12272.911296296297</v>
      </c>
      <c r="Q80" s="26">
        <f t="shared" si="22"/>
        <v>0.5012500000000002</v>
      </c>
      <c r="R80" s="26">
        <f t="shared" si="23"/>
        <v>0.31432692307692278</v>
      </c>
      <c r="S80" s="26">
        <f t="shared" si="24"/>
        <v>5.699074074074062E-2</v>
      </c>
      <c r="T80" s="26">
        <f t="shared" si="25"/>
        <v>-1.3382631821955071</v>
      </c>
      <c r="U80" s="26">
        <f t="shared" si="26"/>
        <v>-0.57497551263498714</v>
      </c>
      <c r="V80" s="26">
        <f t="shared" si="27"/>
        <v>-0.7779088461893211</v>
      </c>
    </row>
    <row r="81" spans="1:22" x14ac:dyDescent="0.25">
      <c r="A81" s="2">
        <v>44939</v>
      </c>
      <c r="B81">
        <v>-6919.96</v>
      </c>
      <c r="C81">
        <v>3.06</v>
      </c>
      <c r="D81">
        <v>4.22</v>
      </c>
      <c r="F81">
        <f t="shared" si="14"/>
        <v>3.6399999999999997</v>
      </c>
      <c r="G81">
        <f t="shared" si="15"/>
        <v>-1.6610873608950616</v>
      </c>
      <c r="J81">
        <f t="shared" si="16"/>
        <v>-0.3550462063935606</v>
      </c>
      <c r="L81">
        <f t="shared" si="17"/>
        <v>0.72511848341232232</v>
      </c>
      <c r="M81">
        <f t="shared" si="18"/>
        <v>-1.7167121731534949</v>
      </c>
      <c r="N81" s="26">
        <f t="shared" si="19"/>
        <v>-14375.602499999999</v>
      </c>
      <c r="O81" s="26">
        <f t="shared" si="20"/>
        <v>-2951.3005769230767</v>
      </c>
      <c r="P81" s="26">
        <f t="shared" si="21"/>
        <v>-8067.8693518518539</v>
      </c>
      <c r="Q81" s="26">
        <f t="shared" si="22"/>
        <v>0.65624999999999956</v>
      </c>
      <c r="R81" s="26">
        <f t="shared" si="23"/>
        <v>0.2624038461538456</v>
      </c>
      <c r="S81" s="26">
        <f t="shared" si="24"/>
        <v>-1.9305555555556797E-2</v>
      </c>
      <c r="T81" s="26">
        <f t="shared" si="25"/>
        <v>-1.0043428457060051</v>
      </c>
      <c r="U81" s="26">
        <f t="shared" si="26"/>
        <v>-0.23019917730701023</v>
      </c>
      <c r="V81" s="26">
        <f t="shared" si="27"/>
        <v>-0.52029123128468013</v>
      </c>
    </row>
    <row r="82" spans="1:22" x14ac:dyDescent="0.25">
      <c r="A82" s="2">
        <v>44932</v>
      </c>
      <c r="B82">
        <v>-3999.87</v>
      </c>
      <c r="C82">
        <v>3</v>
      </c>
      <c r="D82">
        <v>3.68</v>
      </c>
      <c r="F82">
        <f t="shared" si="14"/>
        <v>3.34</v>
      </c>
      <c r="G82">
        <f t="shared" si="15"/>
        <v>-1.5080002542763835</v>
      </c>
      <c r="J82">
        <f t="shared" si="16"/>
        <v>-0.7879718429518584</v>
      </c>
      <c r="L82">
        <f t="shared" si="17"/>
        <v>0.81521739130434778</v>
      </c>
      <c r="M82">
        <f t="shared" si="18"/>
        <v>-1.665231903753011</v>
      </c>
      <c r="N82" s="26">
        <f t="shared" si="19"/>
        <v>-4924.9224999999988</v>
      </c>
      <c r="O82" s="26">
        <f t="shared" si="20"/>
        <v>5187.8976923076916</v>
      </c>
      <c r="P82" s="26">
        <f t="shared" si="21"/>
        <v>-1644.0788888888892</v>
      </c>
      <c r="Q82" s="26">
        <f t="shared" si="22"/>
        <v>0.39500000000000002</v>
      </c>
      <c r="R82" s="26">
        <f t="shared" si="23"/>
        <v>-2.7211538461537899E-2</v>
      </c>
      <c r="S82" s="26">
        <f t="shared" si="24"/>
        <v>-0.28949074074074188</v>
      </c>
      <c r="T82" s="26">
        <f t="shared" si="25"/>
        <v>-0.29001441039140241</v>
      </c>
      <c r="U82" s="26">
        <f t="shared" si="26"/>
        <v>0.32374013401326507</v>
      </c>
      <c r="V82" s="26">
        <f t="shared" si="27"/>
        <v>-6.9250776280043613E-2</v>
      </c>
    </row>
    <row r="83" spans="1:22" x14ac:dyDescent="0.25">
      <c r="A83" s="2">
        <v>44925</v>
      </c>
      <c r="B83">
        <v>6721.57</v>
      </c>
      <c r="C83">
        <v>4</v>
      </c>
      <c r="D83">
        <v>2.87</v>
      </c>
      <c r="F83">
        <f t="shared" si="14"/>
        <v>3.4350000000000001</v>
      </c>
      <c r="G83">
        <f t="shared" si="15"/>
        <v>-0.747503441615886</v>
      </c>
      <c r="J83">
        <f t="shared" si="16"/>
        <v>-0.69082083132312067</v>
      </c>
      <c r="L83">
        <f t="shared" si="17"/>
        <v>1.3937282229965156</v>
      </c>
      <c r="M83">
        <f t="shared" si="18"/>
        <v>-0.87094071315165167</v>
      </c>
      <c r="N83" s="26">
        <f t="shared" si="19"/>
        <v>3410.6999999999989</v>
      </c>
      <c r="O83" s="26">
        <f t="shared" si="20"/>
        <v>13036.68673076923</v>
      </c>
      <c r="P83" s="26">
        <f t="shared" si="21"/>
        <v>4365.6182407407396</v>
      </c>
      <c r="Q83" s="26">
        <f t="shared" si="22"/>
        <v>0.30374999999999996</v>
      </c>
      <c r="R83" s="26">
        <f t="shared" si="23"/>
        <v>-0.13913461538461513</v>
      </c>
      <c r="S83" s="26">
        <f t="shared" si="24"/>
        <v>-0.40912037037037141</v>
      </c>
      <c r="T83" s="26">
        <f t="shared" si="25"/>
        <v>0.31691833908308409</v>
      </c>
      <c r="U83" s="26">
        <f t="shared" si="26"/>
        <v>0.836827808728978</v>
      </c>
      <c r="V83" s="26">
        <f t="shared" si="27"/>
        <v>0.33661007427011325</v>
      </c>
    </row>
    <row r="84" spans="1:22" x14ac:dyDescent="0.25">
      <c r="A84" s="2">
        <v>44918</v>
      </c>
      <c r="B84">
        <v>11895.51</v>
      </c>
      <c r="C84">
        <v>4.67</v>
      </c>
      <c r="D84">
        <v>2.5499999999999998</v>
      </c>
      <c r="F84">
        <f t="shared" si="14"/>
        <v>3.61</v>
      </c>
      <c r="G84">
        <f t="shared" si="15"/>
        <v>-0.39293409059764089</v>
      </c>
      <c r="J84">
        <f t="shared" si="16"/>
        <v>-0.49783860548987618</v>
      </c>
      <c r="L84">
        <f t="shared" si="17"/>
        <v>1.831372549019608</v>
      </c>
      <c r="M84">
        <f t="shared" si="18"/>
        <v>-0.25697676781106871</v>
      </c>
      <c r="N84" s="26">
        <f t="shared" si="19"/>
        <v>8173.2224999999999</v>
      </c>
      <c r="O84" s="26">
        <f t="shared" si="20"/>
        <v>16276.501923076923</v>
      </c>
      <c r="P84" s="26">
        <f t="shared" si="21"/>
        <v>7299.5161111111101</v>
      </c>
      <c r="Q84" s="26">
        <f t="shared" si="22"/>
        <v>5.8749999999999414E-2</v>
      </c>
      <c r="R84" s="26">
        <f t="shared" si="23"/>
        <v>-0.30923076923077009</v>
      </c>
      <c r="S84" s="26">
        <f t="shared" si="24"/>
        <v>-0.57611111111111279</v>
      </c>
      <c r="T84" s="26">
        <f t="shared" si="25"/>
        <v>0.79605553777991966</v>
      </c>
      <c r="U84" s="26">
        <f t="shared" si="26"/>
        <v>1.139384425581262</v>
      </c>
      <c r="V84" s="26">
        <f t="shared" si="27"/>
        <v>0.60833811018850659</v>
      </c>
    </row>
    <row r="85" spans="1:22" x14ac:dyDescent="0.25">
      <c r="A85" s="2">
        <v>44911</v>
      </c>
      <c r="B85">
        <v>18212.39</v>
      </c>
      <c r="C85">
        <v>3.86</v>
      </c>
      <c r="D85">
        <v>1.58</v>
      </c>
      <c r="F85">
        <f t="shared" si="14"/>
        <v>2.7199999999999998</v>
      </c>
      <c r="G85">
        <f t="shared" si="15"/>
        <v>5.6523253106118471E-2</v>
      </c>
      <c r="J85">
        <f t="shared" si="16"/>
        <v>-1.6376476094386614</v>
      </c>
      <c r="L85">
        <f t="shared" si="17"/>
        <v>2.443037974683544</v>
      </c>
      <c r="M85">
        <f t="shared" si="18"/>
        <v>0.64074341423954351</v>
      </c>
      <c r="N85" s="26">
        <f t="shared" si="19"/>
        <v>7835.364999999998</v>
      </c>
      <c r="O85" s="26">
        <f t="shared" si="20"/>
        <v>14043.904999999999</v>
      </c>
      <c r="P85" s="26">
        <f t="shared" si="21"/>
        <v>6303.5875925925902</v>
      </c>
      <c r="Q85" s="26">
        <f t="shared" si="22"/>
        <v>-0.38250000000000028</v>
      </c>
      <c r="R85" s="26">
        <f t="shared" si="23"/>
        <v>-0.64346153846153875</v>
      </c>
      <c r="S85" s="26">
        <f t="shared" si="24"/>
        <v>-0.8407407407407419</v>
      </c>
      <c r="T85" s="26">
        <f t="shared" si="25"/>
        <v>0.77491532625645076</v>
      </c>
      <c r="U85" s="26">
        <f t="shared" si="26"/>
        <v>0.95589576228592388</v>
      </c>
      <c r="V85" s="26">
        <f t="shared" si="27"/>
        <v>0.51902588933273752</v>
      </c>
    </row>
    <row r="86" spans="1:22" x14ac:dyDescent="0.25">
      <c r="A86" s="2">
        <v>44904</v>
      </c>
      <c r="B86">
        <v>19821.2</v>
      </c>
      <c r="C86">
        <v>4.26</v>
      </c>
      <c r="D86">
        <v>1.78</v>
      </c>
      <c r="F86">
        <f t="shared" si="14"/>
        <v>3.02</v>
      </c>
      <c r="G86">
        <f t="shared" si="15"/>
        <v>0.13928102606923651</v>
      </c>
      <c r="J86">
        <f t="shared" si="16"/>
        <v>-1.3310871680914751</v>
      </c>
      <c r="L86">
        <f t="shared" si="17"/>
        <v>2.393258426966292</v>
      </c>
      <c r="M86">
        <f t="shared" si="18"/>
        <v>0.54864956740081228</v>
      </c>
      <c r="N86" s="26">
        <f t="shared" si="19"/>
        <v>7483.3999999999978</v>
      </c>
      <c r="O86" s="26">
        <f t="shared" si="20"/>
        <v>8799.0332692307675</v>
      </c>
      <c r="P86" s="26">
        <f t="shared" si="21"/>
        <v>2497.885092592589</v>
      </c>
      <c r="Q86" s="26">
        <f t="shared" si="22"/>
        <v>-0.65625</v>
      </c>
      <c r="R86" s="26">
        <f t="shared" si="23"/>
        <v>-0.73028846153846239</v>
      </c>
      <c r="S86" s="26">
        <f t="shared" si="24"/>
        <v>-0.86078703703703852</v>
      </c>
      <c r="T86" s="26">
        <f t="shared" si="25"/>
        <v>0.59765972258351208</v>
      </c>
      <c r="U86" s="26">
        <f t="shared" si="26"/>
        <v>0.51630664507649326</v>
      </c>
      <c r="V86" s="26">
        <f t="shared" si="27"/>
        <v>0.19108216424120927</v>
      </c>
    </row>
    <row r="87" spans="1:22" x14ac:dyDescent="0.25">
      <c r="A87" s="2">
        <v>44897</v>
      </c>
      <c r="B87">
        <v>18120.919999999998</v>
      </c>
      <c r="C87">
        <v>4.1399999999999997</v>
      </c>
      <c r="D87">
        <v>1.72</v>
      </c>
      <c r="F87">
        <f t="shared" si="14"/>
        <v>2.9299999999999997</v>
      </c>
      <c r="G87">
        <f t="shared" si="15"/>
        <v>-1.3229659456159608E-2</v>
      </c>
      <c r="J87">
        <f t="shared" si="16"/>
        <v>-1.4912347577035376</v>
      </c>
      <c r="L87">
        <f t="shared" si="17"/>
        <v>2.4069767441860463</v>
      </c>
      <c r="M87">
        <f t="shared" si="18"/>
        <v>0.56861423815058521</v>
      </c>
      <c r="N87" s="26">
        <f t="shared" si="19"/>
        <v>9438.0125000000007</v>
      </c>
      <c r="O87" s="26">
        <f t="shared" si="20"/>
        <v>5593.1805769230768</v>
      </c>
      <c r="P87" s="26">
        <f t="shared" si="21"/>
        <v>-394.7932407407443</v>
      </c>
      <c r="Q87" s="26">
        <f t="shared" si="22"/>
        <v>-0.77875000000000005</v>
      </c>
      <c r="R87" s="26">
        <f t="shared" si="23"/>
        <v>-0.7782692307692316</v>
      </c>
      <c r="S87" s="26">
        <f t="shared" si="24"/>
        <v>-0.90046296296296413</v>
      </c>
      <c r="T87" s="26">
        <f t="shared" si="25"/>
        <v>0.56772884442874672</v>
      </c>
      <c r="U87" s="26">
        <f t="shared" si="26"/>
        <v>0.23963137291592584</v>
      </c>
      <c r="V87" s="26">
        <f t="shared" si="27"/>
        <v>-5.6110121741723695E-2</v>
      </c>
    </row>
    <row r="88" spans="1:22" x14ac:dyDescent="0.25">
      <c r="A88" s="2">
        <v>44890</v>
      </c>
      <c r="B88">
        <v>9045.15</v>
      </c>
      <c r="C88">
        <v>3.31</v>
      </c>
      <c r="D88">
        <v>2.15</v>
      </c>
      <c r="F88">
        <f t="shared" si="14"/>
        <v>2.73</v>
      </c>
      <c r="G88">
        <f t="shared" si="15"/>
        <v>-0.66426373469916455</v>
      </c>
      <c r="J88">
        <f t="shared" si="16"/>
        <v>-1.778170371401586</v>
      </c>
      <c r="L88">
        <f t="shared" si="17"/>
        <v>1.5395348837209304</v>
      </c>
      <c r="M88">
        <f t="shared" si="18"/>
        <v>-0.69335149027759091</v>
      </c>
      <c r="N88" s="26">
        <f t="shared" si="19"/>
        <v>11589.452500000001</v>
      </c>
      <c r="O88" s="26">
        <f t="shared" si="20"/>
        <v>3525.8209615384631</v>
      </c>
      <c r="P88" s="26">
        <f t="shared" si="21"/>
        <v>-2733.564166666667</v>
      </c>
      <c r="Q88" s="26">
        <f t="shared" si="22"/>
        <v>-0.6324999999999994</v>
      </c>
      <c r="R88" s="26">
        <f t="shared" si="23"/>
        <v>-0.66874999999999973</v>
      </c>
      <c r="S88" s="26">
        <f t="shared" si="24"/>
        <v>-0.8126388888888898</v>
      </c>
      <c r="T88" s="26">
        <f t="shared" si="25"/>
        <v>0.51018400478746395</v>
      </c>
      <c r="U88" s="26">
        <f t="shared" si="26"/>
        <v>-5.4421400536623921E-3</v>
      </c>
      <c r="V88" s="26">
        <f t="shared" si="27"/>
        <v>-0.31687881980623112</v>
      </c>
    </row>
    <row r="89" spans="1:22" x14ac:dyDescent="0.25">
      <c r="A89" s="2">
        <v>44883</v>
      </c>
      <c r="B89">
        <v>5542.02</v>
      </c>
      <c r="C89">
        <v>3.22</v>
      </c>
      <c r="D89">
        <v>2.4700000000000002</v>
      </c>
      <c r="F89">
        <f t="shared" si="14"/>
        <v>2.8450000000000002</v>
      </c>
      <c r="G89">
        <f t="shared" si="15"/>
        <v>-0.9316460785827434</v>
      </c>
      <c r="J89">
        <f t="shared" si="16"/>
        <v>-1.6189257121040299</v>
      </c>
      <c r="L89">
        <f t="shared" si="17"/>
        <v>1.3036437246963561</v>
      </c>
      <c r="M89">
        <f t="shared" si="18"/>
        <v>-1.04925581628957</v>
      </c>
      <c r="N89" s="26">
        <f t="shared" si="19"/>
        <v>15182.782500000001</v>
      </c>
      <c r="O89" s="26">
        <f t="shared" si="20"/>
        <v>3472.7592307692321</v>
      </c>
      <c r="P89" s="26">
        <f t="shared" si="21"/>
        <v>-3665.0144444444431</v>
      </c>
      <c r="Q89" s="26">
        <f t="shared" si="22"/>
        <v>-0.36749999999999927</v>
      </c>
      <c r="R89" s="26">
        <f t="shared" si="23"/>
        <v>-0.41442307692307701</v>
      </c>
      <c r="S89" s="26">
        <f t="shared" si="24"/>
        <v>-0.62527777777777782</v>
      </c>
      <c r="T89" s="26">
        <f t="shared" si="25"/>
        <v>0.60265380591121409</v>
      </c>
      <c r="U89" s="26">
        <f t="shared" si="26"/>
        <v>-4.7407051364003028E-2</v>
      </c>
      <c r="V89" s="26">
        <f t="shared" si="27"/>
        <v>-0.40568410936391475</v>
      </c>
    </row>
    <row r="90" spans="1:22" x14ac:dyDescent="0.25">
      <c r="A90" s="2">
        <v>44876</v>
      </c>
      <c r="B90">
        <v>10299.780000000001</v>
      </c>
      <c r="C90">
        <v>3.72</v>
      </c>
      <c r="D90">
        <v>2.41</v>
      </c>
      <c r="F90">
        <f t="shared" si="14"/>
        <v>3.0650000000000004</v>
      </c>
      <c r="G90">
        <f t="shared" si="15"/>
        <v>-0.64081211543323668</v>
      </c>
      <c r="J90">
        <f t="shared" si="16"/>
        <v>-1.3785833526970752</v>
      </c>
      <c r="L90">
        <f t="shared" si="17"/>
        <v>1.5435684647302905</v>
      </c>
      <c r="M90">
        <f t="shared" si="18"/>
        <v>-0.71029035278263286</v>
      </c>
      <c r="N90" s="26">
        <f t="shared" si="19"/>
        <v>13137.522500000001</v>
      </c>
      <c r="O90" s="26">
        <f t="shared" si="20"/>
        <v>-514.32442307692145</v>
      </c>
      <c r="P90" s="26">
        <f t="shared" si="21"/>
        <v>-7364.5786111111101</v>
      </c>
      <c r="Q90" s="26">
        <f t="shared" si="22"/>
        <v>9.3750000000000444E-2</v>
      </c>
      <c r="R90" s="26">
        <f t="shared" si="23"/>
        <v>-6.4423076923076916E-2</v>
      </c>
      <c r="S90" s="26">
        <f t="shared" si="24"/>
        <v>-0.32416666666666716</v>
      </c>
      <c r="T90" s="26">
        <f t="shared" si="25"/>
        <v>0.52793578146290254</v>
      </c>
      <c r="U90" s="26">
        <f t="shared" si="26"/>
        <v>-0.20701375326860205</v>
      </c>
      <c r="V90" s="26">
        <f t="shared" si="27"/>
        <v>-0.55787776765098895</v>
      </c>
    </row>
    <row r="91" spans="1:22" x14ac:dyDescent="0.25">
      <c r="A91" s="2">
        <v>44869</v>
      </c>
      <c r="B91">
        <v>10470.18</v>
      </c>
      <c r="C91">
        <v>4.09</v>
      </c>
      <c r="D91">
        <v>2.72</v>
      </c>
      <c r="F91">
        <f t="shared" si="14"/>
        <v>3.4050000000000002</v>
      </c>
      <c r="G91">
        <f t="shared" si="15"/>
        <v>-0.64660854966746339</v>
      </c>
      <c r="J91">
        <f t="shared" si="16"/>
        <v>-1.032687284136822</v>
      </c>
      <c r="L91">
        <f t="shared" si="17"/>
        <v>1.5036764705882351</v>
      </c>
      <c r="M91">
        <f t="shared" si="18"/>
        <v>-0.76578004026105639</v>
      </c>
      <c r="N91" s="26">
        <f t="shared" si="19"/>
        <v>8521.7950000000001</v>
      </c>
      <c r="O91" s="26">
        <f t="shared" si="20"/>
        <v>-7047.214230769232</v>
      </c>
      <c r="P91" s="26">
        <f t="shared" si="21"/>
        <v>-12608.393148148149</v>
      </c>
      <c r="Q91" s="26">
        <f t="shared" si="22"/>
        <v>0.2537499999999997</v>
      </c>
      <c r="R91" s="26">
        <f t="shared" si="23"/>
        <v>4.0865384615385469E-2</v>
      </c>
      <c r="S91" s="26">
        <f t="shared" si="24"/>
        <v>-0.2124537037037042</v>
      </c>
      <c r="T91" s="26">
        <f t="shared" si="25"/>
        <v>0.34257835429914596</v>
      </c>
      <c r="U91" s="26">
        <f t="shared" si="26"/>
        <v>-0.51326011782592174</v>
      </c>
      <c r="V91" s="26">
        <f t="shared" si="27"/>
        <v>-0.78497617992179625</v>
      </c>
    </row>
    <row r="92" spans="1:22" x14ac:dyDescent="0.25">
      <c r="A92" s="2">
        <v>44862</v>
      </c>
      <c r="B92">
        <v>7546.22</v>
      </c>
      <c r="C92">
        <v>4.13</v>
      </c>
      <c r="D92">
        <v>3.1</v>
      </c>
      <c r="F92">
        <f t="shared" si="14"/>
        <v>3.6150000000000002</v>
      </c>
      <c r="G92">
        <f t="shared" si="15"/>
        <v>-0.85576679692346846</v>
      </c>
      <c r="J92">
        <f t="shared" si="16"/>
        <v>-0.83945858687774333</v>
      </c>
      <c r="L92">
        <f t="shared" si="17"/>
        <v>1.332258064516129</v>
      </c>
      <c r="M92">
        <f t="shared" si="18"/>
        <v>-1.0108153488986105</v>
      </c>
      <c r="N92" s="26">
        <f t="shared" si="19"/>
        <v>4209.7349999999988</v>
      </c>
      <c r="O92" s="26">
        <f t="shared" si="20"/>
        <v>-13092.917692307694</v>
      </c>
      <c r="P92" s="26">
        <f t="shared" si="21"/>
        <v>-17461.280000000002</v>
      </c>
      <c r="Q92" s="26">
        <f t="shared" si="22"/>
        <v>0.1912499999999997</v>
      </c>
      <c r="R92" s="26">
        <f t="shared" si="23"/>
        <v>-3.8173076923077698E-2</v>
      </c>
      <c r="S92" s="26">
        <f t="shared" si="24"/>
        <v>-0.27236111111111105</v>
      </c>
      <c r="T92" s="26">
        <f t="shared" si="25"/>
        <v>0.16899900903902931</v>
      </c>
      <c r="U92" s="26">
        <f t="shared" si="26"/>
        <v>-0.79279449647460498</v>
      </c>
      <c r="V92" s="26">
        <f t="shared" si="27"/>
        <v>-0.9912419208283394</v>
      </c>
    </row>
    <row r="93" spans="1:22" x14ac:dyDescent="0.25">
      <c r="A93" s="2">
        <v>44855</v>
      </c>
      <c r="B93">
        <v>-5720.49</v>
      </c>
      <c r="C93">
        <v>3.79</v>
      </c>
      <c r="D93">
        <v>4.34</v>
      </c>
      <c r="F93">
        <f t="shared" si="14"/>
        <v>4.0649999999999995</v>
      </c>
      <c r="G93">
        <f t="shared" si="15"/>
        <v>-1.786786603735842</v>
      </c>
      <c r="J93">
        <f t="shared" si="16"/>
        <v>-0.40493333276795346</v>
      </c>
      <c r="L93">
        <f t="shared" si="17"/>
        <v>0.87327188940092171</v>
      </c>
      <c r="M93">
        <f t="shared" si="18"/>
        <v>-1.6846502441780926</v>
      </c>
      <c r="N93" s="26">
        <f t="shared" si="19"/>
        <v>-5102.6375000000007</v>
      </c>
      <c r="O93" s="26">
        <f t="shared" si="20"/>
        <v>-19375.329423076924</v>
      </c>
      <c r="P93" s="26">
        <f t="shared" si="21"/>
        <v>-22228.91101851852</v>
      </c>
      <c r="Q93" s="26">
        <f t="shared" si="22"/>
        <v>0.1324999999999994</v>
      </c>
      <c r="R93" s="26">
        <f t="shared" si="23"/>
        <v>-0.13423076923077026</v>
      </c>
      <c r="S93" s="26">
        <f t="shared" si="24"/>
        <v>-0.32037037037037042</v>
      </c>
      <c r="T93" s="26">
        <f t="shared" si="25"/>
        <v>-0.22821409142492288</v>
      </c>
      <c r="U93" s="26">
        <f t="shared" si="26"/>
        <v>-1.0629176917258085</v>
      </c>
      <c r="V93" s="26">
        <f t="shared" si="27"/>
        <v>-1.1729914795001131</v>
      </c>
    </row>
    <row r="94" spans="1:22" x14ac:dyDescent="0.25">
      <c r="A94" s="2">
        <v>44848</v>
      </c>
      <c r="B94">
        <v>-7040.09</v>
      </c>
      <c r="C94">
        <v>3.23</v>
      </c>
      <c r="D94">
        <v>3.97</v>
      </c>
      <c r="F94">
        <f t="shared" si="14"/>
        <v>3.6</v>
      </c>
      <c r="G94">
        <f t="shared" si="15"/>
        <v>-1.972551919388736</v>
      </c>
      <c r="J94">
        <f t="shared" si="16"/>
        <v>-0.89756763933929751</v>
      </c>
      <c r="L94">
        <f t="shared" si="17"/>
        <v>0.81360201511335006</v>
      </c>
      <c r="M94">
        <f t="shared" si="18"/>
        <v>-1.8221457129348315</v>
      </c>
      <c r="N94" s="26">
        <f t="shared" si="19"/>
        <v>-15274.805</v>
      </c>
      <c r="O94" s="26">
        <f t="shared" si="20"/>
        <v>-22153.326923076929</v>
      </c>
      <c r="P94" s="26">
        <f t="shared" si="21"/>
        <v>-23836.55259259259</v>
      </c>
      <c r="Q94" s="26">
        <f t="shared" si="22"/>
        <v>-0.21750000000000025</v>
      </c>
      <c r="R94" s="26">
        <f t="shared" si="23"/>
        <v>-0.33355769230769239</v>
      </c>
      <c r="S94" s="26">
        <f t="shared" si="24"/>
        <v>-0.47847222222222241</v>
      </c>
      <c r="T94" s="26">
        <f t="shared" si="25"/>
        <v>-0.81974976141069156</v>
      </c>
      <c r="U94" s="26">
        <f t="shared" si="26"/>
        <v>-1.200331321632103</v>
      </c>
      <c r="V94" s="26">
        <f t="shared" si="27"/>
        <v>-1.2443517598802964</v>
      </c>
    </row>
    <row r="95" spans="1:22" x14ac:dyDescent="0.25">
      <c r="A95" s="2">
        <v>44841</v>
      </c>
      <c r="B95">
        <v>-5786.32</v>
      </c>
      <c r="C95">
        <v>2.99</v>
      </c>
      <c r="D95">
        <v>3.6</v>
      </c>
      <c r="F95">
        <f t="shared" si="14"/>
        <v>3.2949999999999999</v>
      </c>
      <c r="G95">
        <f t="shared" si="15"/>
        <v>-1.9997295374341684</v>
      </c>
      <c r="J95">
        <f t="shared" si="16"/>
        <v>-1.223589549918535</v>
      </c>
      <c r="L95">
        <f t="shared" si="17"/>
        <v>0.8305555555555556</v>
      </c>
      <c r="M95">
        <f t="shared" si="18"/>
        <v>-1.8630159493918761</v>
      </c>
      <c r="N95" s="26">
        <f t="shared" si="19"/>
        <v>-24609.97</v>
      </c>
      <c r="O95" s="26">
        <f t="shared" si="20"/>
        <v>-23540.377692307695</v>
      </c>
      <c r="P95" s="26">
        <f t="shared" si="21"/>
        <v>-24203.355925925927</v>
      </c>
      <c r="Q95" s="26">
        <f t="shared" si="22"/>
        <v>-0.46499999999999986</v>
      </c>
      <c r="R95" s="26">
        <f t="shared" si="23"/>
        <v>-0.39211538461538353</v>
      </c>
      <c r="S95" s="26">
        <f t="shared" si="24"/>
        <v>-0.50194444444444342</v>
      </c>
      <c r="T95" s="26">
        <f t="shared" si="25"/>
        <v>-1.4394353621034588</v>
      </c>
      <c r="U95" s="26">
        <f t="shared" si="26"/>
        <v>-1.281817546633607</v>
      </c>
      <c r="V95" s="26">
        <f t="shared" si="27"/>
        <v>-1.2720821494373018</v>
      </c>
    </row>
    <row r="96" spans="1:22" x14ac:dyDescent="0.25">
      <c r="A96" s="2">
        <v>44834</v>
      </c>
      <c r="B96">
        <v>-8326.0300000000007</v>
      </c>
      <c r="C96">
        <v>2.96</v>
      </c>
      <c r="D96">
        <v>3.92</v>
      </c>
      <c r="F96">
        <f t="shared" si="14"/>
        <v>3.44</v>
      </c>
      <c r="G96">
        <f t="shared" si="15"/>
        <v>-2.3111801376163501</v>
      </c>
      <c r="J96">
        <f t="shared" si="16"/>
        <v>-1.0958791764261582</v>
      </c>
      <c r="L96">
        <f t="shared" si="17"/>
        <v>0.75510204081632648</v>
      </c>
      <c r="M96">
        <f t="shared" si="18"/>
        <v>-2.0736042822177079</v>
      </c>
      <c r="N96" s="26">
        <f t="shared" si="19"/>
        <v>-30818.4925</v>
      </c>
      <c r="O96" s="26">
        <f t="shared" si="20"/>
        <v>-24769.980384615388</v>
      </c>
      <c r="P96" s="26">
        <f t="shared" si="21"/>
        <v>-24576.913148148145</v>
      </c>
      <c r="Q96" s="26">
        <f t="shared" si="22"/>
        <v>-0.5299999999999998</v>
      </c>
      <c r="R96" s="26">
        <f t="shared" si="23"/>
        <v>-0.38557692307692193</v>
      </c>
      <c r="S96" s="26">
        <f t="shared" si="24"/>
        <v>-0.47416666666666574</v>
      </c>
      <c r="T96" s="26">
        <f t="shared" si="25"/>
        <v>-1.8159118965983416</v>
      </c>
      <c r="U96" s="26">
        <f t="shared" si="26"/>
        <v>-1.3541453712144107</v>
      </c>
      <c r="V96" s="26">
        <f t="shared" si="27"/>
        <v>-1.2949222466317831</v>
      </c>
    </row>
    <row r="97" spans="1:22" x14ac:dyDescent="0.25">
      <c r="A97" s="2">
        <v>44827</v>
      </c>
      <c r="B97">
        <v>-8801.9599999999991</v>
      </c>
      <c r="C97">
        <v>2.93</v>
      </c>
      <c r="D97">
        <v>3.95</v>
      </c>
      <c r="F97">
        <f t="shared" si="14"/>
        <v>3.4400000000000004</v>
      </c>
      <c r="G97">
        <f t="shared" si="15"/>
        <v>-2.4693739405935577</v>
      </c>
      <c r="J97">
        <f t="shared" si="16"/>
        <v>-1.1006875678114714</v>
      </c>
      <c r="L97">
        <f t="shared" si="17"/>
        <v>0.74177215189873413</v>
      </c>
      <c r="M97">
        <f t="shared" si="18"/>
        <v>-2.2227989028762591</v>
      </c>
      <c r="N97" s="26">
        <f t="shared" si="19"/>
        <v>-25331.6175</v>
      </c>
      <c r="O97" s="26">
        <f t="shared" si="20"/>
        <v>-19833.392692307694</v>
      </c>
      <c r="P97" s="26">
        <f t="shared" si="21"/>
        <v>-20074.454629629632</v>
      </c>
      <c r="Q97" s="26">
        <f t="shared" si="22"/>
        <v>-0.52124999999999977</v>
      </c>
      <c r="R97" s="26">
        <f t="shared" si="23"/>
        <v>-0.41596153846153827</v>
      </c>
      <c r="S97" s="26">
        <f t="shared" si="24"/>
        <v>-0.52416666666666556</v>
      </c>
      <c r="T97" s="26">
        <f t="shared" si="25"/>
        <v>-1.5597647598162574</v>
      </c>
      <c r="U97" s="26">
        <f t="shared" si="26"/>
        <v>-1.1258362023567829</v>
      </c>
      <c r="V97" s="26">
        <f t="shared" si="27"/>
        <v>-1.0746836015958636</v>
      </c>
    </row>
    <row r="98" spans="1:22" x14ac:dyDescent="0.25">
      <c r="A98" s="2">
        <v>44820</v>
      </c>
      <c r="B98">
        <v>-5917.05</v>
      </c>
      <c r="C98">
        <v>3.16</v>
      </c>
      <c r="D98">
        <v>3.83</v>
      </c>
      <c r="F98">
        <f t="shared" si="14"/>
        <v>3.4950000000000001</v>
      </c>
      <c r="G98">
        <f t="shared" si="15"/>
        <v>-2.3777280935805329</v>
      </c>
      <c r="J98">
        <f t="shared" si="16"/>
        <v>-1.0811118409405833</v>
      </c>
      <c r="L98">
        <f t="shared" si="17"/>
        <v>0.82506527415143605</v>
      </c>
      <c r="M98">
        <f t="shared" si="18"/>
        <v>-2.2405109437719695</v>
      </c>
      <c r="N98" s="26">
        <f t="shared" si="19"/>
        <v>-9569.6325000000015</v>
      </c>
      <c r="O98" s="26">
        <f t="shared" si="20"/>
        <v>-9435.1350000000002</v>
      </c>
      <c r="P98" s="26">
        <f t="shared" si="21"/>
        <v>-10965.680925925926</v>
      </c>
      <c r="Q98" s="26">
        <f t="shared" si="22"/>
        <v>-7.0000000000000284E-2</v>
      </c>
      <c r="R98" s="26">
        <f t="shared" si="23"/>
        <v>-0.20798076923076891</v>
      </c>
      <c r="S98" s="26">
        <f t="shared" si="24"/>
        <v>-0.37634259259259206</v>
      </c>
      <c r="T98" s="26">
        <f t="shared" si="25"/>
        <v>-0.55803831290486716</v>
      </c>
      <c r="U98" s="26">
        <f t="shared" si="26"/>
        <v>-0.48512409736803397</v>
      </c>
      <c r="V98" s="26">
        <f t="shared" si="27"/>
        <v>-0.50572249525994373</v>
      </c>
    </row>
    <row r="99" spans="1:22" x14ac:dyDescent="0.25">
      <c r="A99" s="2">
        <v>44813</v>
      </c>
      <c r="B99">
        <v>-4794.58</v>
      </c>
      <c r="C99">
        <v>3.16</v>
      </c>
      <c r="D99">
        <v>3.71</v>
      </c>
      <c r="F99">
        <f t="shared" si="14"/>
        <v>3.4350000000000001</v>
      </c>
      <c r="G99">
        <f t="shared" si="15"/>
        <v>-2.2893436795087347</v>
      </c>
      <c r="J99">
        <f t="shared" si="16"/>
        <v>-1.1626487409519075</v>
      </c>
      <c r="L99">
        <f t="shared" si="17"/>
        <v>0.8517520215633424</v>
      </c>
      <c r="M99">
        <f t="shared" si="18"/>
        <v>-2.3235594511924407</v>
      </c>
      <c r="N99" s="26">
        <f t="shared" si="19"/>
        <v>5805.8450000000012</v>
      </c>
      <c r="O99" s="26">
        <f t="shared" si="20"/>
        <v>1400.1253846153832</v>
      </c>
      <c r="P99" s="26">
        <f t="shared" si="21"/>
        <v>-1563.911481481482</v>
      </c>
      <c r="Q99" s="26">
        <f t="shared" si="22"/>
        <v>0.3762500000000002</v>
      </c>
      <c r="R99" s="26">
        <f t="shared" si="23"/>
        <v>4.7499999999999876E-2</v>
      </c>
      <c r="S99" s="26">
        <f t="shared" si="24"/>
        <v>-0.19712962962962877</v>
      </c>
      <c r="T99" s="26">
        <f t="shared" si="25"/>
        <v>0.5059681991749323</v>
      </c>
      <c r="U99" s="26">
        <f t="shared" si="26"/>
        <v>0.24005888192271496</v>
      </c>
      <c r="V99" s="26">
        <f t="shared" si="27"/>
        <v>0.13529788091163386</v>
      </c>
    </row>
    <row r="100" spans="1:22" x14ac:dyDescent="0.25">
      <c r="A100" s="2">
        <v>44806</v>
      </c>
      <c r="B100">
        <v>13051.21</v>
      </c>
      <c r="C100">
        <v>4.47</v>
      </c>
      <c r="D100">
        <v>2.5299999999999998</v>
      </c>
      <c r="F100">
        <f t="shared" si="14"/>
        <v>3.5</v>
      </c>
      <c r="G100">
        <f t="shared" si="15"/>
        <v>-1.0057845034267139</v>
      </c>
      <c r="J100">
        <f t="shared" si="16"/>
        <v>-1.150375378024503</v>
      </c>
      <c r="L100">
        <f t="shared" si="17"/>
        <v>1.766798418972332</v>
      </c>
      <c r="M100">
        <f t="shared" si="18"/>
        <v>-0.77895244888565984</v>
      </c>
      <c r="N100" s="26">
        <f t="shared" si="19"/>
        <v>12136.890000000001</v>
      </c>
      <c r="O100" s="26">
        <f t="shared" si="20"/>
        <v>7722.7567307692316</v>
      </c>
      <c r="P100" s="26">
        <f t="shared" si="21"/>
        <v>4081.0089814814819</v>
      </c>
      <c r="Q100" s="26">
        <f t="shared" si="22"/>
        <v>0.44249999999999989</v>
      </c>
      <c r="R100" s="26">
        <f t="shared" si="23"/>
        <v>0.11711538461538407</v>
      </c>
      <c r="S100" s="26">
        <f t="shared" si="24"/>
        <v>-0.1773148148148147</v>
      </c>
      <c r="T100" s="26">
        <f t="shared" si="25"/>
        <v>0.87685405828356489</v>
      </c>
      <c r="U100" s="26">
        <f t="shared" si="26"/>
        <v>0.61503772605774154</v>
      </c>
      <c r="V100" s="26">
        <f t="shared" si="27"/>
        <v>0.4969730133195629</v>
      </c>
    </row>
    <row r="101" spans="1:22" x14ac:dyDescent="0.25">
      <c r="A101" s="2">
        <v>44799</v>
      </c>
      <c r="B101">
        <v>28805.24</v>
      </c>
      <c r="C101">
        <v>6.31</v>
      </c>
      <c r="D101">
        <v>2.12</v>
      </c>
      <c r="F101">
        <f t="shared" si="14"/>
        <v>4.2149999999999999</v>
      </c>
      <c r="G101">
        <f t="shared" si="15"/>
        <v>6.7152823385541641E-2</v>
      </c>
      <c r="J101">
        <f t="shared" si="16"/>
        <v>-0.61514383778577875</v>
      </c>
      <c r="L101">
        <f t="shared" si="17"/>
        <v>2.9764150943396221</v>
      </c>
      <c r="M101">
        <f t="shared" si="18"/>
        <v>1.3579594615121016</v>
      </c>
      <c r="N101" s="26">
        <f t="shared" si="19"/>
        <v>10121.012499999997</v>
      </c>
      <c r="O101" s="26">
        <f t="shared" si="20"/>
        <v>6683.9178846153809</v>
      </c>
      <c r="P101" s="26">
        <f t="shared" si="21"/>
        <v>2959.5732407407413</v>
      </c>
      <c r="Q101" s="26">
        <f t="shared" si="22"/>
        <v>0.33874999999999966</v>
      </c>
      <c r="R101" s="26">
        <f t="shared" si="23"/>
        <v>5.2980769230769109E-2</v>
      </c>
      <c r="S101" s="26">
        <f t="shared" si="24"/>
        <v>-0.24050925925925926</v>
      </c>
      <c r="T101" s="26">
        <f t="shared" si="25"/>
        <v>0.74289270250742412</v>
      </c>
      <c r="U101" s="26">
        <f t="shared" si="26"/>
        <v>0.55578032295493029</v>
      </c>
      <c r="V101" s="26">
        <f t="shared" si="27"/>
        <v>0.45390252722305213</v>
      </c>
    </row>
    <row r="102" spans="1:22" x14ac:dyDescent="0.25">
      <c r="A102" s="2">
        <v>44792</v>
      </c>
      <c r="B102">
        <v>32546.65</v>
      </c>
      <c r="C102">
        <v>6.73</v>
      </c>
      <c r="D102">
        <v>2.0299999999999998</v>
      </c>
      <c r="F102">
        <f t="shared" si="14"/>
        <v>4.38</v>
      </c>
      <c r="G102">
        <f t="shared" si="15"/>
        <v>0.26605730953170759</v>
      </c>
      <c r="J102">
        <f t="shared" si="16"/>
        <v>-0.51484355239336488</v>
      </c>
      <c r="L102">
        <f t="shared" si="17"/>
        <v>3.3152709359605916</v>
      </c>
      <c r="M102">
        <f t="shared" si="18"/>
        <v>1.9633058747698886</v>
      </c>
      <c r="N102" s="26">
        <f t="shared" si="19"/>
        <v>-838.17499999999927</v>
      </c>
      <c r="O102" s="26">
        <f t="shared" si="20"/>
        <v>-1107.8055769230778</v>
      </c>
      <c r="P102" s="26">
        <f t="shared" si="21"/>
        <v>-4518.8910185185196</v>
      </c>
      <c r="Q102" s="26">
        <f t="shared" si="22"/>
        <v>-0.15249999999999986</v>
      </c>
      <c r="R102" s="26">
        <f t="shared" si="23"/>
        <v>-0.28567307692307686</v>
      </c>
      <c r="S102" s="26">
        <f t="shared" si="24"/>
        <v>-0.56467592592592553</v>
      </c>
      <c r="T102" s="26">
        <f t="shared" si="25"/>
        <v>3.1284279755898758E-3</v>
      </c>
      <c r="U102" s="26">
        <f t="shared" si="26"/>
        <v>1.7099056083779818E-2</v>
      </c>
      <c r="V102" s="26">
        <f t="shared" si="27"/>
        <v>-4.4290604206176809E-2</v>
      </c>
    </row>
    <row r="103" spans="1:22" x14ac:dyDescent="0.25">
      <c r="A103" s="2">
        <v>44785</v>
      </c>
      <c r="B103">
        <v>21031.25</v>
      </c>
      <c r="C103">
        <v>5.4</v>
      </c>
      <c r="D103">
        <v>2.27</v>
      </c>
      <c r="F103">
        <f t="shared" si="14"/>
        <v>3.835</v>
      </c>
      <c r="G103">
        <f t="shared" si="15"/>
        <v>-0.49544169057104226</v>
      </c>
      <c r="J103">
        <f t="shared" si="16"/>
        <v>-0.9606999440493037</v>
      </c>
      <c r="L103">
        <f t="shared" si="17"/>
        <v>2.3788546255506611</v>
      </c>
      <c r="M103">
        <f t="shared" si="18"/>
        <v>0.27958323170093552</v>
      </c>
      <c r="N103" s="26">
        <f t="shared" si="19"/>
        <v>-8544.9249999999993</v>
      </c>
      <c r="O103" s="26">
        <f t="shared" si="20"/>
        <v>-7872.6780769230791</v>
      </c>
      <c r="P103" s="26">
        <f t="shared" si="21"/>
        <v>-11112.816851851851</v>
      </c>
      <c r="Q103" s="26">
        <f t="shared" si="22"/>
        <v>-0.50749999999999984</v>
      </c>
      <c r="R103" s="26">
        <f t="shared" si="23"/>
        <v>-0.59144230769230743</v>
      </c>
      <c r="S103" s="26">
        <f t="shared" si="24"/>
        <v>-0.83819444444444402</v>
      </c>
      <c r="T103" s="26">
        <f t="shared" si="25"/>
        <v>-0.57615782973889607</v>
      </c>
      <c r="U103" s="26">
        <f t="shared" si="26"/>
        <v>-0.48446617927377922</v>
      </c>
      <c r="V103" s="26">
        <f t="shared" si="27"/>
        <v>-0.52521398935858077</v>
      </c>
    </row>
    <row r="104" spans="1:22" x14ac:dyDescent="0.25">
      <c r="A104" s="2">
        <v>44778</v>
      </c>
      <c r="B104">
        <v>12480.95</v>
      </c>
      <c r="C104">
        <v>4.49</v>
      </c>
      <c r="D104">
        <v>2.56</v>
      </c>
      <c r="F104">
        <f t="shared" si="14"/>
        <v>3.5250000000000004</v>
      </c>
      <c r="G104">
        <f t="shared" si="15"/>
        <v>-1.0174646865337296</v>
      </c>
      <c r="J104">
        <f t="shared" si="16"/>
        <v>-1.2300487645761429</v>
      </c>
      <c r="L104">
        <f t="shared" si="17"/>
        <v>1.75390625</v>
      </c>
      <c r="M104">
        <f t="shared" si="18"/>
        <v>-0.83054118484250583</v>
      </c>
      <c r="N104" s="26">
        <f t="shared" si="19"/>
        <v>-6977.4100000000017</v>
      </c>
      <c r="O104" s="26">
        <f t="shared" si="20"/>
        <v>-7486.7194230769255</v>
      </c>
      <c r="P104" s="26">
        <f t="shared" si="21"/>
        <v>-11507.434351851853</v>
      </c>
      <c r="Q104" s="26">
        <f t="shared" si="22"/>
        <v>-0.45999999999999996</v>
      </c>
      <c r="R104" s="26">
        <f t="shared" si="23"/>
        <v>-0.57307692307692282</v>
      </c>
      <c r="S104" s="26">
        <f t="shared" si="24"/>
        <v>-0.84777777777777796</v>
      </c>
      <c r="T104" s="26">
        <f t="shared" si="25"/>
        <v>-0.44007503733603093</v>
      </c>
      <c r="U104" s="26">
        <f t="shared" si="26"/>
        <v>-0.44704384752437498</v>
      </c>
      <c r="V104" s="26">
        <f t="shared" si="27"/>
        <v>-0.52703360385795106</v>
      </c>
    </row>
    <row r="105" spans="1:22" x14ac:dyDescent="0.25">
      <c r="A105" s="2">
        <v>44771</v>
      </c>
      <c r="B105">
        <v>3364.5</v>
      </c>
      <c r="C105">
        <v>3.48</v>
      </c>
      <c r="D105">
        <v>2.89</v>
      </c>
      <c r="F105">
        <f t="shared" si="14"/>
        <v>3.1850000000000001</v>
      </c>
      <c r="G105">
        <f t="shared" si="15"/>
        <v>-1.560687059966136</v>
      </c>
      <c r="J105">
        <f t="shared" si="16"/>
        <v>-1.5362720158196843</v>
      </c>
      <c r="L105">
        <f t="shared" si="17"/>
        <v>1.2041522491349481</v>
      </c>
      <c r="M105">
        <f t="shared" si="18"/>
        <v>-1.7766330029930812</v>
      </c>
      <c r="N105" s="26">
        <f t="shared" si="19"/>
        <v>-3713.8999999999978</v>
      </c>
      <c r="O105" s="26">
        <f t="shared" si="20"/>
        <v>-5422.989999999998</v>
      </c>
      <c r="P105" s="26">
        <f t="shared" si="21"/>
        <v>-10387.086296296293</v>
      </c>
      <c r="Q105" s="26">
        <f t="shared" si="22"/>
        <v>-0.30999999999999961</v>
      </c>
      <c r="R105" s="26">
        <f t="shared" si="23"/>
        <v>-0.48076923076923084</v>
      </c>
      <c r="S105" s="26">
        <f t="shared" si="24"/>
        <v>-0.79425925925925878</v>
      </c>
      <c r="T105" s="26">
        <f t="shared" si="25"/>
        <v>-0.20534741167968917</v>
      </c>
      <c r="U105" s="26">
        <f t="shared" si="26"/>
        <v>-0.29639215763582083</v>
      </c>
      <c r="V105" s="26">
        <f t="shared" si="27"/>
        <v>-0.42068878539287446</v>
      </c>
    </row>
    <row r="106" spans="1:22" x14ac:dyDescent="0.25">
      <c r="A106" s="2">
        <v>44764</v>
      </c>
      <c r="B106">
        <v>9508.44</v>
      </c>
      <c r="C106">
        <v>4.2300000000000004</v>
      </c>
      <c r="D106">
        <v>2.73</v>
      </c>
      <c r="F106">
        <f t="shared" si="14"/>
        <v>3.4800000000000004</v>
      </c>
      <c r="G106">
        <f t="shared" si="15"/>
        <v>-1.274676329798111</v>
      </c>
      <c r="J106">
        <f t="shared" si="16"/>
        <v>-1.379676879431736</v>
      </c>
      <c r="L106">
        <f t="shared" si="17"/>
        <v>1.5494505494505497</v>
      </c>
      <c r="M106">
        <f t="shared" si="18"/>
        <v>-1.2806050904504009</v>
      </c>
      <c r="N106" s="26">
        <f t="shared" si="19"/>
        <v>1737.3299999999981</v>
      </c>
      <c r="O106" s="26">
        <f t="shared" si="20"/>
        <v>-343.19826923076835</v>
      </c>
      <c r="P106" s="26">
        <f t="shared" si="21"/>
        <v>-6307.1245370370343</v>
      </c>
      <c r="Q106" s="26">
        <f t="shared" si="22"/>
        <v>-6.8750000000000089E-2</v>
      </c>
      <c r="R106" s="26">
        <f t="shared" si="23"/>
        <v>-0.25086538461538499</v>
      </c>
      <c r="S106" s="26">
        <f t="shared" si="24"/>
        <v>-0.60921296296296301</v>
      </c>
      <c r="T106" s="26">
        <f t="shared" si="25"/>
        <v>0.16738966385783227</v>
      </c>
      <c r="U106" s="26">
        <f t="shared" si="26"/>
        <v>4.144349163299621E-2</v>
      </c>
      <c r="V106" s="26">
        <f t="shared" si="27"/>
        <v>-0.14586942511137035</v>
      </c>
    </row>
    <row r="107" spans="1:22" x14ac:dyDescent="0.25">
      <c r="A107" s="2">
        <v>44757</v>
      </c>
      <c r="B107">
        <v>21532.9</v>
      </c>
      <c r="C107">
        <v>5.62</v>
      </c>
      <c r="D107">
        <v>2.3199999999999998</v>
      </c>
      <c r="F107">
        <f t="shared" si="14"/>
        <v>3.9699999999999998</v>
      </c>
      <c r="G107">
        <f t="shared" si="15"/>
        <v>-0.6461528408715711</v>
      </c>
      <c r="J107">
        <f t="shared" si="16"/>
        <v>-1.0568246735511877</v>
      </c>
      <c r="L107">
        <f t="shared" si="17"/>
        <v>2.4224137931034484</v>
      </c>
      <c r="M107">
        <f t="shared" si="18"/>
        <v>0.1483590508072605</v>
      </c>
      <c r="N107" s="26">
        <f t="shared" si="19"/>
        <v>4046.0124999999989</v>
      </c>
      <c r="O107" s="26">
        <f t="shared" si="20"/>
        <v>1914.3769230769212</v>
      </c>
      <c r="P107" s="26">
        <f t="shared" si="21"/>
        <v>-4706.0225925925952</v>
      </c>
      <c r="Q107" s="26">
        <f t="shared" si="22"/>
        <v>5.3749999999999964E-2</v>
      </c>
      <c r="R107" s="26">
        <f t="shared" si="23"/>
        <v>-8.6634615384616254E-2</v>
      </c>
      <c r="S107" s="26">
        <f t="shared" si="24"/>
        <v>-0.48087962962963005</v>
      </c>
      <c r="T107" s="26">
        <f t="shared" si="25"/>
        <v>0.35297780028972658</v>
      </c>
      <c r="U107" s="26">
        <f t="shared" si="26"/>
        <v>0.20498528570596397</v>
      </c>
      <c r="V107" s="26">
        <f t="shared" si="27"/>
        <v>-6.6908101575617884E-3</v>
      </c>
    </row>
    <row r="108" spans="1:22" x14ac:dyDescent="0.25">
      <c r="A108" s="2">
        <v>44750</v>
      </c>
      <c r="B108">
        <v>19974.2</v>
      </c>
      <c r="C108">
        <v>5.51</v>
      </c>
      <c r="D108">
        <v>2.42</v>
      </c>
      <c r="F108">
        <f t="shared" si="14"/>
        <v>3.9649999999999999</v>
      </c>
      <c r="G108">
        <f t="shared" si="15"/>
        <v>-0.75946312473255617</v>
      </c>
      <c r="J108">
        <f t="shared" si="16"/>
        <v>-1.1007972312493908</v>
      </c>
      <c r="L108">
        <f t="shared" si="17"/>
        <v>2.2768595041322315</v>
      </c>
      <c r="M108">
        <f t="shared" si="18"/>
        <v>-0.11913232233020528</v>
      </c>
      <c r="N108" s="26">
        <f t="shared" si="19"/>
        <v>2371.2100000000009</v>
      </c>
      <c r="O108" s="26">
        <f t="shared" si="20"/>
        <v>623.04750000000058</v>
      </c>
      <c r="P108" s="26">
        <f t="shared" si="21"/>
        <v>-7099.6369444444463</v>
      </c>
      <c r="Q108" s="26">
        <f t="shared" si="22"/>
        <v>3.4999999999999698E-2</v>
      </c>
      <c r="R108" s="26">
        <f t="shared" si="23"/>
        <v>-6.7692307692308162E-2</v>
      </c>
      <c r="S108" s="26">
        <f t="shared" si="24"/>
        <v>-0.51759259259259327</v>
      </c>
      <c r="T108" s="26">
        <f t="shared" si="25"/>
        <v>0.21293009602110091</v>
      </c>
      <c r="U108" s="26">
        <f t="shared" si="26"/>
        <v>9.0620384962131872E-2</v>
      </c>
      <c r="V108" s="26">
        <f t="shared" si="27"/>
        <v>-0.16723294345088169</v>
      </c>
    </row>
    <row r="109" spans="1:22" x14ac:dyDescent="0.25">
      <c r="A109" s="2">
        <v>44743</v>
      </c>
      <c r="B109">
        <v>21760.51</v>
      </c>
      <c r="C109">
        <v>5.81</v>
      </c>
      <c r="D109">
        <v>2.4300000000000002</v>
      </c>
      <c r="F109">
        <f t="shared" si="14"/>
        <v>4.12</v>
      </c>
      <c r="G109">
        <f t="shared" si="15"/>
        <v>-0.6906738114292118</v>
      </c>
      <c r="J109">
        <f t="shared" si="16"/>
        <v>-1.016740816728722</v>
      </c>
      <c r="L109">
        <f t="shared" si="17"/>
        <v>2.3909465020576128</v>
      </c>
      <c r="M109">
        <f t="shared" si="18"/>
        <v>2.8263078065128167E-2</v>
      </c>
      <c r="N109" s="26">
        <f t="shared" si="19"/>
        <v>-1108.3824999999997</v>
      </c>
      <c r="O109" s="26">
        <f t="shared" si="20"/>
        <v>-548.20769230769292</v>
      </c>
      <c r="P109" s="26">
        <f t="shared" si="21"/>
        <v>-9514.7607407407413</v>
      </c>
      <c r="Q109" s="26">
        <f t="shared" si="22"/>
        <v>-0.11125000000000007</v>
      </c>
      <c r="R109" s="26">
        <f t="shared" si="23"/>
        <v>-7.8076923076923599E-2</v>
      </c>
      <c r="S109" s="26">
        <f t="shared" si="24"/>
        <v>-0.61537037037037123</v>
      </c>
      <c r="T109" s="26">
        <f t="shared" si="25"/>
        <v>-4.2636930880932677E-2</v>
      </c>
      <c r="U109" s="26">
        <f t="shared" si="26"/>
        <v>2.7648778343425384E-3</v>
      </c>
      <c r="V109" s="26">
        <f t="shared" si="27"/>
        <v>-0.29102475055987131</v>
      </c>
    </row>
    <row r="110" spans="1:22" x14ac:dyDescent="0.25">
      <c r="A110" s="2">
        <v>44736</v>
      </c>
      <c r="B110">
        <v>17297.23</v>
      </c>
      <c r="C110">
        <v>5.42</v>
      </c>
      <c r="D110">
        <v>2.58</v>
      </c>
      <c r="F110">
        <f t="shared" si="14"/>
        <v>4</v>
      </c>
      <c r="G110">
        <f t="shared" si="15"/>
        <v>-0.94336790119163572</v>
      </c>
      <c r="J110">
        <f t="shared" si="16"/>
        <v>-1.1410015085239544</v>
      </c>
      <c r="L110">
        <f t="shared" si="17"/>
        <v>2.1007751937984493</v>
      </c>
      <c r="M110">
        <f t="shared" si="18"/>
        <v>-0.45328890062889771</v>
      </c>
      <c r="N110" s="26">
        <f t="shared" si="19"/>
        <v>-3405.8374999999978</v>
      </c>
      <c r="O110" s="26">
        <f t="shared" si="20"/>
        <v>-910.75134615384377</v>
      </c>
      <c r="P110" s="26">
        <f t="shared" si="21"/>
        <v>-11163.094166666666</v>
      </c>
      <c r="Q110" s="26">
        <f t="shared" si="22"/>
        <v>-0.20624999999999938</v>
      </c>
      <c r="R110" s="26">
        <f t="shared" si="23"/>
        <v>-5.0192307692308535E-2</v>
      </c>
      <c r="S110" s="26">
        <f t="shared" si="24"/>
        <v>-0.68620370370370454</v>
      </c>
      <c r="T110" s="26">
        <f t="shared" si="25"/>
        <v>-0.21756556527435889</v>
      </c>
      <c r="U110" s="26">
        <f t="shared" si="26"/>
        <v>-3.6713506667645834E-2</v>
      </c>
      <c r="V110" s="26">
        <f t="shared" si="27"/>
        <v>-0.36854075113666829</v>
      </c>
    </row>
    <row r="111" spans="1:22" x14ac:dyDescent="0.25">
      <c r="A111" s="2">
        <v>44729</v>
      </c>
      <c r="B111">
        <v>15764.49</v>
      </c>
      <c r="C111">
        <v>5.15</v>
      </c>
      <c r="D111">
        <v>2.68</v>
      </c>
      <c r="F111">
        <f t="shared" si="14"/>
        <v>3.915</v>
      </c>
      <c r="G111">
        <f t="shared" si="15"/>
        <v>-0.99016429556203467</v>
      </c>
      <c r="J111">
        <f t="shared" si="16"/>
        <v>-1.1495739560884728</v>
      </c>
      <c r="L111">
        <f t="shared" si="17"/>
        <v>1.9216417910447761</v>
      </c>
      <c r="M111">
        <f t="shared" si="18"/>
        <v>-0.73403563382485637</v>
      </c>
      <c r="N111" s="26">
        <f t="shared" si="19"/>
        <v>-5298.1249999999982</v>
      </c>
      <c r="O111" s="26">
        <f t="shared" si="20"/>
        <v>-2805.3063461538459</v>
      </c>
      <c r="P111" s="26">
        <f t="shared" si="21"/>
        <v>-12279.075092592595</v>
      </c>
      <c r="Q111" s="26">
        <f t="shared" si="22"/>
        <v>-0.25124999999999975</v>
      </c>
      <c r="R111" s="26">
        <f t="shared" si="23"/>
        <v>-0.13692307692307804</v>
      </c>
      <c r="S111" s="26">
        <f t="shared" si="24"/>
        <v>-0.7807407407407414</v>
      </c>
      <c r="T111" s="26">
        <f t="shared" si="25"/>
        <v>-0.39967433540076369</v>
      </c>
      <c r="U111" s="26">
        <f t="shared" si="26"/>
        <v>-0.14135957917693265</v>
      </c>
      <c r="V111" s="26">
        <f t="shared" si="27"/>
        <v>-0.41130897953068413</v>
      </c>
    </row>
    <row r="112" spans="1:22" x14ac:dyDescent="0.25">
      <c r="A112" s="2">
        <v>44722</v>
      </c>
      <c r="B112">
        <v>14413.41</v>
      </c>
      <c r="C112">
        <v>4.95</v>
      </c>
      <c r="D112">
        <v>2.66</v>
      </c>
      <c r="F112">
        <f t="shared" si="14"/>
        <v>3.8050000000000002</v>
      </c>
      <c r="G112">
        <f t="shared" si="15"/>
        <v>-1.0230449350707529</v>
      </c>
      <c r="J112">
        <f t="shared" si="16"/>
        <v>-1.2731898497713492</v>
      </c>
      <c r="L112">
        <f t="shared" si="17"/>
        <v>1.8609022556390977</v>
      </c>
      <c r="M112">
        <f t="shared" si="18"/>
        <v>-0.78722285710969286</v>
      </c>
      <c r="N112" s="26">
        <f t="shared" si="19"/>
        <v>-6536.0025000000005</v>
      </c>
      <c r="O112" s="26">
        <f t="shared" si="20"/>
        <v>-4112.73403846154</v>
      </c>
      <c r="P112" s="26">
        <f t="shared" si="21"/>
        <v>-12496.763981481485</v>
      </c>
      <c r="Q112" s="26">
        <f t="shared" si="22"/>
        <v>-0.39499999999999913</v>
      </c>
      <c r="R112" s="26">
        <f t="shared" si="23"/>
        <v>-0.24884615384615438</v>
      </c>
      <c r="S112" s="26">
        <f t="shared" si="24"/>
        <v>-0.87574074074074071</v>
      </c>
      <c r="T112" s="26">
        <f t="shared" si="25"/>
        <v>-0.47227506836694877</v>
      </c>
      <c r="U112" s="26">
        <f t="shared" si="26"/>
        <v>-0.18167752762952549</v>
      </c>
      <c r="V112" s="26">
        <f t="shared" si="27"/>
        <v>-0.38298377192160737</v>
      </c>
    </row>
    <row r="113" spans="1:22" x14ac:dyDescent="0.25">
      <c r="A113" s="2">
        <v>44715</v>
      </c>
      <c r="B113">
        <v>18351.599999999999</v>
      </c>
      <c r="C113">
        <v>5.53</v>
      </c>
      <c r="D113">
        <v>2.65</v>
      </c>
      <c r="F113">
        <f t="shared" si="14"/>
        <v>4.09</v>
      </c>
      <c r="G113">
        <f t="shared" si="15"/>
        <v>-0.87016715525182287</v>
      </c>
      <c r="J113">
        <f t="shared" si="16"/>
        <v>-1.1121638024046905</v>
      </c>
      <c r="L113">
        <f t="shared" si="17"/>
        <v>2.0867924528301889</v>
      </c>
      <c r="M113">
        <f t="shared" si="18"/>
        <v>-0.47330859098019773</v>
      </c>
      <c r="N113" s="26">
        <f t="shared" si="19"/>
        <v>-3290.3099999999977</v>
      </c>
      <c r="O113" s="26">
        <f t="shared" si="20"/>
        <v>-3220.0974999999962</v>
      </c>
      <c r="P113" s="26">
        <f t="shared" si="21"/>
        <v>-10374.947500000006</v>
      </c>
      <c r="Q113" s="26">
        <f t="shared" si="22"/>
        <v>-0.2737500000000006</v>
      </c>
      <c r="R113" s="26">
        <f t="shared" si="23"/>
        <v>-0.24144230769230823</v>
      </c>
      <c r="S113" s="26">
        <f t="shared" si="24"/>
        <v>-0.85134259259259348</v>
      </c>
      <c r="T113" s="26">
        <f t="shared" si="25"/>
        <v>-0.22326676862661143</v>
      </c>
      <c r="U113" s="26">
        <f t="shared" si="26"/>
        <v>-5.6976419141982593E-2</v>
      </c>
      <c r="V113" s="26">
        <f t="shared" si="27"/>
        <v>-0.19420242715798386</v>
      </c>
    </row>
    <row r="114" spans="1:22" x14ac:dyDescent="0.25">
      <c r="A114" s="2">
        <v>44708</v>
      </c>
      <c r="B114">
        <v>15851.29</v>
      </c>
      <c r="C114">
        <v>5.29</v>
      </c>
      <c r="D114">
        <v>2.77</v>
      </c>
      <c r="F114">
        <f t="shared" si="14"/>
        <v>4.03</v>
      </c>
      <c r="G114">
        <f t="shared" si="15"/>
        <v>-1.0179779832055194</v>
      </c>
      <c r="J114">
        <f t="shared" si="16"/>
        <v>-1.1910923437896537</v>
      </c>
      <c r="L114">
        <f t="shared" si="17"/>
        <v>1.9097472924187726</v>
      </c>
      <c r="M114">
        <f t="shared" si="18"/>
        <v>-0.7661365621261631</v>
      </c>
      <c r="N114" s="26">
        <f t="shared" si="19"/>
        <v>-186.64999999999782</v>
      </c>
      <c r="O114" s="26">
        <f t="shared" si="20"/>
        <v>-3221.8115384615412</v>
      </c>
      <c r="P114" s="26">
        <f t="shared" si="21"/>
        <v>-8593.0196296296308</v>
      </c>
      <c r="Q114" s="26">
        <f t="shared" si="22"/>
        <v>-0.125</v>
      </c>
      <c r="R114" s="26">
        <f t="shared" si="23"/>
        <v>-0.27394230769230798</v>
      </c>
      <c r="S114" s="26">
        <f t="shared" si="24"/>
        <v>-0.83032407407407494</v>
      </c>
      <c r="T114" s="26">
        <f t="shared" si="25"/>
        <v>-8.2848141236211426E-3</v>
      </c>
      <c r="U114" s="26">
        <f t="shared" si="26"/>
        <v>8.1278809234719418E-3</v>
      </c>
      <c r="V114" s="26">
        <f t="shared" si="27"/>
        <v>-5.3150528079914938E-2</v>
      </c>
    </row>
    <row r="115" spans="1:22" x14ac:dyDescent="0.25">
      <c r="A115" s="2">
        <v>44701</v>
      </c>
      <c r="B115">
        <v>16695.29</v>
      </c>
      <c r="C115">
        <v>5.23</v>
      </c>
      <c r="D115">
        <v>2.64</v>
      </c>
      <c r="F115">
        <f t="shared" si="14"/>
        <v>3.9350000000000005</v>
      </c>
      <c r="G115">
        <f t="shared" si="15"/>
        <v>-1.012433153166143</v>
      </c>
      <c r="J115">
        <f t="shared" si="16"/>
        <v>-1.2986255396124302</v>
      </c>
      <c r="L115">
        <f t="shared" si="17"/>
        <v>1.9810606060606062</v>
      </c>
      <c r="M115">
        <f t="shared" si="18"/>
        <v>-0.69064229861296023</v>
      </c>
      <c r="N115" s="26">
        <f t="shared" si="19"/>
        <v>2960.2150000000001</v>
      </c>
      <c r="O115" s="26">
        <f t="shared" si="20"/>
        <v>-2993.7751923077012</v>
      </c>
      <c r="P115" s="26">
        <f t="shared" si="21"/>
        <v>-6760.0430555555613</v>
      </c>
      <c r="Q115" s="26">
        <f t="shared" si="22"/>
        <v>-5.4999999999999716E-2</v>
      </c>
      <c r="R115" s="26">
        <f t="shared" si="23"/>
        <v>-0.31067307692307633</v>
      </c>
      <c r="S115" s="26">
        <f t="shared" si="24"/>
        <v>-0.84930555555555465</v>
      </c>
      <c r="T115" s="26">
        <f t="shared" si="25"/>
        <v>0.27381450265363227</v>
      </c>
      <c r="U115" s="26">
        <f t="shared" si="26"/>
        <v>0.113046386282047</v>
      </c>
      <c r="V115" s="26">
        <f t="shared" si="27"/>
        <v>0.12360555061174017</v>
      </c>
    </row>
    <row r="116" spans="1:22" x14ac:dyDescent="0.25">
      <c r="A116" s="2">
        <v>44694</v>
      </c>
      <c r="B116">
        <v>22770.99</v>
      </c>
      <c r="C116">
        <v>6.02</v>
      </c>
      <c r="D116">
        <v>2.44</v>
      </c>
      <c r="F116">
        <f t="shared" si="14"/>
        <v>4.2299999999999995</v>
      </c>
      <c r="G116">
        <f t="shared" si="15"/>
        <v>-0.76597837969301452</v>
      </c>
      <c r="J116">
        <f t="shared" si="16"/>
        <v>-1.1311620386735002</v>
      </c>
      <c r="L116">
        <f t="shared" si="17"/>
        <v>2.4672131147540983</v>
      </c>
      <c r="M116">
        <f t="shared" si="18"/>
        <v>-1.8815195076729418E-2</v>
      </c>
      <c r="N116" s="26">
        <f t="shared" si="19"/>
        <v>6759.6125000000011</v>
      </c>
      <c r="O116" s="26">
        <f t="shared" si="20"/>
        <v>-2367.8469230769188</v>
      </c>
      <c r="P116" s="26">
        <f t="shared" si="21"/>
        <v>-5149.3722222222204</v>
      </c>
      <c r="Q116" s="26">
        <f t="shared" si="22"/>
        <v>0.33749999999999947</v>
      </c>
      <c r="R116" s="26">
        <f t="shared" si="23"/>
        <v>-0.19692307692307676</v>
      </c>
      <c r="S116" s="26">
        <f t="shared" si="24"/>
        <v>-0.77092592592592624</v>
      </c>
      <c r="T116" s="26">
        <f t="shared" si="25"/>
        <v>0.50235628636393259</v>
      </c>
      <c r="U116" s="26">
        <f t="shared" si="26"/>
        <v>0.17267795841361888</v>
      </c>
      <c r="V116" s="26">
        <f t="shared" si="27"/>
        <v>0.24589609031152948</v>
      </c>
    </row>
    <row r="117" spans="1:22" x14ac:dyDescent="0.25">
      <c r="A117" s="2">
        <v>44687</v>
      </c>
      <c r="B117">
        <v>24132.51</v>
      </c>
      <c r="C117">
        <v>6.33</v>
      </c>
      <c r="D117">
        <v>2.5499999999999998</v>
      </c>
      <c r="F117">
        <f t="shared" si="14"/>
        <v>4.4399999999999995</v>
      </c>
      <c r="G117">
        <f t="shared" si="15"/>
        <v>-0.7269452100630085</v>
      </c>
      <c r="J117">
        <f t="shared" si="16"/>
        <v>-1.0197502457486316</v>
      </c>
      <c r="L117">
        <f t="shared" si="17"/>
        <v>2.4823529411764707</v>
      </c>
      <c r="M117">
        <f t="shared" si="18"/>
        <v>-6.2442402357389459E-2</v>
      </c>
      <c r="N117" s="26">
        <f t="shared" si="19"/>
        <v>6688.654999999997</v>
      </c>
      <c r="O117" s="26">
        <f t="shared" si="20"/>
        <v>-4592.6613461538473</v>
      </c>
      <c r="P117" s="26">
        <f t="shared" si="21"/>
        <v>-6446.6286111111149</v>
      </c>
      <c r="Q117" s="26">
        <f t="shared" si="22"/>
        <v>0.4925000000000006</v>
      </c>
      <c r="R117" s="26">
        <f t="shared" si="23"/>
        <v>-0.25961538461538325</v>
      </c>
      <c r="S117" s="26">
        <f t="shared" si="24"/>
        <v>-0.86777777777777665</v>
      </c>
      <c r="T117" s="26">
        <f t="shared" si="25"/>
        <v>0.47907927162330655</v>
      </c>
      <c r="U117" s="26">
        <f t="shared" si="26"/>
        <v>3.3893253089347652E-2</v>
      </c>
      <c r="V117" s="26">
        <f t="shared" si="27"/>
        <v>0.17103608566567452</v>
      </c>
    </row>
    <row r="118" spans="1:22" x14ac:dyDescent="0.25">
      <c r="A118" s="2">
        <v>44680</v>
      </c>
      <c r="B118">
        <v>21974.5</v>
      </c>
      <c r="C118">
        <v>6.02</v>
      </c>
      <c r="D118">
        <v>2.46</v>
      </c>
      <c r="F118">
        <f t="shared" si="14"/>
        <v>4.24</v>
      </c>
      <c r="G118">
        <f t="shared" si="15"/>
        <v>-0.83311302825646227</v>
      </c>
      <c r="J118">
        <f t="shared" si="16"/>
        <v>-1.1753897602970724</v>
      </c>
      <c r="L118">
        <f t="shared" si="17"/>
        <v>2.4471544715447151</v>
      </c>
      <c r="M118">
        <f t="shared" si="18"/>
        <v>-0.15287516672772963</v>
      </c>
      <c r="N118" s="26">
        <f t="shared" si="19"/>
        <v>6513.1274999999987</v>
      </c>
      <c r="O118" s="26">
        <f t="shared" si="20"/>
        <v>-7641.473076923081</v>
      </c>
      <c r="P118" s="26">
        <f t="shared" si="21"/>
        <v>-8832.8777777777759</v>
      </c>
      <c r="Q118" s="26">
        <f t="shared" si="22"/>
        <v>0.62499999999999956</v>
      </c>
      <c r="R118" s="26">
        <f t="shared" si="23"/>
        <v>-0.39355769230769244</v>
      </c>
      <c r="S118" s="26">
        <f t="shared" si="24"/>
        <v>-1.0501388888888892</v>
      </c>
      <c r="T118" s="26">
        <f t="shared" si="25"/>
        <v>0.45469314441016628</v>
      </c>
      <c r="U118" s="26">
        <f t="shared" si="26"/>
        <v>-0.13970489886991633</v>
      </c>
      <c r="V118" s="26">
        <f t="shared" si="27"/>
        <v>6.4510229550160947E-2</v>
      </c>
    </row>
    <row r="119" spans="1:22" x14ac:dyDescent="0.25">
      <c r="A119" s="2">
        <v>44673</v>
      </c>
      <c r="B119">
        <v>22577.599999999999</v>
      </c>
      <c r="C119">
        <v>6.34</v>
      </c>
      <c r="D119">
        <v>2.72</v>
      </c>
      <c r="F119">
        <f t="shared" si="14"/>
        <v>4.53</v>
      </c>
      <c r="G119">
        <f t="shared" si="15"/>
        <v>-0.83189946930856673</v>
      </c>
      <c r="J119">
        <f t="shared" si="16"/>
        <v>-1.0235573422233131</v>
      </c>
      <c r="L119">
        <f t="shared" si="17"/>
        <v>2.3308823529411762</v>
      </c>
      <c r="M119">
        <f t="shared" si="18"/>
        <v>-0.3222838734363625</v>
      </c>
      <c r="N119" s="26">
        <f t="shared" si="19"/>
        <v>5778.1999999999989</v>
      </c>
      <c r="O119" s="26">
        <f t="shared" si="20"/>
        <v>-11164.765576923077</v>
      </c>
      <c r="P119" s="26">
        <f t="shared" si="21"/>
        <v>-11655.630277777778</v>
      </c>
      <c r="Q119" s="26">
        <f t="shared" si="22"/>
        <v>0.74249999999999972</v>
      </c>
      <c r="R119" s="26">
        <f t="shared" si="23"/>
        <v>-0.51259615384615476</v>
      </c>
      <c r="S119" s="26">
        <f t="shared" si="24"/>
        <v>-1.2015277777777778</v>
      </c>
      <c r="T119" s="26">
        <f t="shared" si="25"/>
        <v>0.3681090204630828</v>
      </c>
      <c r="U119" s="26">
        <f t="shared" si="26"/>
        <v>-0.37047699681999902</v>
      </c>
      <c r="V119" s="26">
        <f t="shared" si="27"/>
        <v>-8.4640539151088934E-2</v>
      </c>
    </row>
    <row r="120" spans="1:22" x14ac:dyDescent="0.25">
      <c r="A120" s="2">
        <v>44665</v>
      </c>
      <c r="B120">
        <v>18145.8</v>
      </c>
      <c r="C120">
        <v>5.63</v>
      </c>
      <c r="D120">
        <v>2.71</v>
      </c>
      <c r="F120">
        <f t="shared" si="14"/>
        <v>4.17</v>
      </c>
      <c r="G120">
        <f t="shared" si="15"/>
        <v>-1.0249877878501739</v>
      </c>
      <c r="J120">
        <f t="shared" si="16"/>
        <v>-1.2908128009221598</v>
      </c>
      <c r="L120">
        <f t="shared" si="17"/>
        <v>2.0774907749077491</v>
      </c>
      <c r="M120">
        <f t="shared" si="18"/>
        <v>-0.6039892969005588</v>
      </c>
      <c r="N120" s="26">
        <f t="shared" si="19"/>
        <v>-2180.3399999999983</v>
      </c>
      <c r="O120" s="26">
        <f t="shared" si="20"/>
        <v>-15225.300192307694</v>
      </c>
      <c r="P120" s="26">
        <f t="shared" si="21"/>
        <v>-15356.65472222222</v>
      </c>
      <c r="Q120" s="26">
        <f t="shared" si="22"/>
        <v>7.3750000000000426E-2</v>
      </c>
      <c r="R120" s="26">
        <f t="shared" si="23"/>
        <v>-0.90096153846153815</v>
      </c>
      <c r="S120" s="26">
        <f t="shared" si="24"/>
        <v>-1.5815740740740738</v>
      </c>
      <c r="T120" s="26">
        <f t="shared" si="25"/>
        <v>6.3305258291725952E-3</v>
      </c>
      <c r="U120" s="26">
        <f t="shared" si="26"/>
        <v>-0.60503626817203648</v>
      </c>
      <c r="V120" s="26">
        <f t="shared" si="27"/>
        <v>-0.24130791223839432</v>
      </c>
    </row>
    <row r="121" spans="1:22" x14ac:dyDescent="0.25">
      <c r="A121" s="2">
        <v>44659</v>
      </c>
      <c r="B121">
        <v>17498.78</v>
      </c>
      <c r="C121">
        <v>5.61</v>
      </c>
      <c r="D121">
        <v>2.78</v>
      </c>
      <c r="F121">
        <f t="shared" si="14"/>
        <v>4.1950000000000003</v>
      </c>
      <c r="G121">
        <f t="shared" si="15"/>
        <v>-1.0830559835513214</v>
      </c>
      <c r="J121">
        <f t="shared" si="16"/>
        <v>-1.3262785099786374</v>
      </c>
      <c r="L121">
        <f t="shared" si="17"/>
        <v>2.0179856115107917</v>
      </c>
      <c r="M121">
        <f t="shared" si="18"/>
        <v>-0.682288240441426</v>
      </c>
      <c r="N121" s="26">
        <f t="shared" si="19"/>
        <v>-8993.8074999999972</v>
      </c>
      <c r="O121" s="26">
        <f t="shared" si="20"/>
        <v>-17298.13019230769</v>
      </c>
      <c r="P121" s="26">
        <f t="shared" si="21"/>
        <v>-18393.344722222217</v>
      </c>
      <c r="Q121" s="26">
        <f t="shared" si="22"/>
        <v>-0.58749999999999947</v>
      </c>
      <c r="R121" s="26">
        <f t="shared" si="23"/>
        <v>-1.1136538461538459</v>
      </c>
      <c r="S121" s="26">
        <f t="shared" si="24"/>
        <v>-1.8832407407407397</v>
      </c>
      <c r="T121" s="26">
        <f t="shared" si="25"/>
        <v>-0.29718019207225321</v>
      </c>
      <c r="U121" s="26">
        <f t="shared" si="26"/>
        <v>-0.7009988726522316</v>
      </c>
      <c r="V121" s="26">
        <f t="shared" si="27"/>
        <v>-0.36329029139403035</v>
      </c>
    </row>
    <row r="122" spans="1:22" x14ac:dyDescent="0.25">
      <c r="A122" s="2">
        <v>44652</v>
      </c>
      <c r="B122">
        <v>15510.25</v>
      </c>
      <c r="C122">
        <v>5.42</v>
      </c>
      <c r="D122">
        <v>2.92</v>
      </c>
      <c r="F122">
        <f t="shared" si="14"/>
        <v>4.17</v>
      </c>
      <c r="G122">
        <f t="shared" si="15"/>
        <v>-1.195784876063382</v>
      </c>
      <c r="J122">
        <f t="shared" si="16"/>
        <v>-1.3867866825483692</v>
      </c>
      <c r="L122">
        <f t="shared" si="17"/>
        <v>1.8561643835616439</v>
      </c>
      <c r="M122">
        <f t="shared" si="18"/>
        <v>-0.84328625700143345</v>
      </c>
      <c r="N122" s="26">
        <f t="shared" si="19"/>
        <v>-17167.134999999998</v>
      </c>
      <c r="O122" s="26">
        <f t="shared" si="20"/>
        <v>-21080.123653846149</v>
      </c>
      <c r="P122" s="26">
        <f t="shared" si="21"/>
        <v>-21889.9175</v>
      </c>
      <c r="Q122" s="26">
        <f t="shared" si="22"/>
        <v>-1.3050000000000002</v>
      </c>
      <c r="R122" s="26">
        <f t="shared" si="23"/>
        <v>-1.3931730769230781</v>
      </c>
      <c r="S122" s="26">
        <f t="shared" si="24"/>
        <v>-2.200694444444443</v>
      </c>
      <c r="T122" s="26">
        <f t="shared" si="25"/>
        <v>-0.68024744873606258</v>
      </c>
      <c r="U122" s="26">
        <f t="shared" si="26"/>
        <v>-0.88692808442248783</v>
      </c>
      <c r="V122" s="26">
        <f t="shared" si="27"/>
        <v>-0.51476716090959318</v>
      </c>
    </row>
    <row r="123" spans="1:22" x14ac:dyDescent="0.25">
      <c r="A123" s="2">
        <v>44645</v>
      </c>
      <c r="B123">
        <v>13262.32</v>
      </c>
      <c r="C123">
        <v>4.54</v>
      </c>
      <c r="D123">
        <v>2.57</v>
      </c>
      <c r="F123">
        <f t="shared" si="14"/>
        <v>3.5549999999999997</v>
      </c>
      <c r="G123">
        <f t="shared" si="15"/>
        <v>-1.3203895386314579</v>
      </c>
      <c r="J123">
        <f t="shared" si="16"/>
        <v>-1.8173994880975144</v>
      </c>
      <c r="L123">
        <f t="shared" si="17"/>
        <v>1.7665369649805449</v>
      </c>
      <c r="M123">
        <f t="shared" si="18"/>
        <v>-0.94346459463341192</v>
      </c>
      <c r="N123" s="26">
        <f t="shared" si="19"/>
        <v>-25787.53</v>
      </c>
      <c r="O123" s="26">
        <f t="shared" si="20"/>
        <v>-24276.69788461538</v>
      </c>
      <c r="P123" s="26">
        <f t="shared" si="21"/>
        <v>-24827.188425925924</v>
      </c>
      <c r="Q123" s="26">
        <f t="shared" si="22"/>
        <v>-2.0325000000000006</v>
      </c>
      <c r="R123" s="26">
        <f t="shared" si="23"/>
        <v>-1.6616346153846155</v>
      </c>
      <c r="S123" s="26">
        <f t="shared" si="24"/>
        <v>-2.4682870370370358</v>
      </c>
      <c r="T123" s="26">
        <f t="shared" si="25"/>
        <v>-1.0689253058057653</v>
      </c>
      <c r="U123" s="26">
        <f t="shared" si="26"/>
        <v>-1.0084037000778072</v>
      </c>
      <c r="V123" s="26">
        <f t="shared" si="27"/>
        <v>-0.62965133820342656</v>
      </c>
    </row>
    <row r="124" spans="1:22" x14ac:dyDescent="0.25">
      <c r="A124" s="2">
        <v>44638</v>
      </c>
      <c r="B124">
        <v>13804.44</v>
      </c>
      <c r="C124">
        <v>4.47</v>
      </c>
      <c r="D124">
        <v>2.5099999999999998</v>
      </c>
      <c r="F124">
        <f t="shared" si="14"/>
        <v>3.4899999999999998</v>
      </c>
      <c r="G124">
        <f t="shared" si="15"/>
        <v>-1.3514160178509937</v>
      </c>
      <c r="J124">
        <f t="shared" si="16"/>
        <v>-1.9583210938236637</v>
      </c>
      <c r="L124">
        <f t="shared" si="17"/>
        <v>1.7808764940239044</v>
      </c>
      <c r="M124">
        <f t="shared" si="18"/>
        <v>-0.96388388674672865</v>
      </c>
      <c r="N124" s="26">
        <f t="shared" si="19"/>
        <v>-20940.124999999996</v>
      </c>
      <c r="O124" s="26">
        <f t="shared" si="20"/>
        <v>-18959.690192307691</v>
      </c>
      <c r="P124" s="26">
        <f t="shared" si="21"/>
        <v>-20181.395462962955</v>
      </c>
      <c r="Q124" s="26">
        <f t="shared" si="22"/>
        <v>-1.6437499999999998</v>
      </c>
      <c r="R124" s="26">
        <f t="shared" si="23"/>
        <v>-1.278557692307694</v>
      </c>
      <c r="S124" s="26">
        <f t="shared" si="24"/>
        <v>-2.1036574074074066</v>
      </c>
      <c r="T124" s="26">
        <f t="shared" si="25"/>
        <v>-0.89335357778376245</v>
      </c>
      <c r="U124" s="26">
        <f t="shared" si="26"/>
        <v>-0.74750994324659636</v>
      </c>
      <c r="V124" s="26">
        <f t="shared" si="27"/>
        <v>-0.42162581249561937</v>
      </c>
    </row>
    <row r="125" spans="1:22" x14ac:dyDescent="0.25">
      <c r="A125" s="2">
        <v>44631</v>
      </c>
      <c r="B125">
        <v>11567.16</v>
      </c>
      <c r="C125">
        <v>4.26</v>
      </c>
      <c r="D125">
        <v>2.58</v>
      </c>
      <c r="F125">
        <f t="shared" si="14"/>
        <v>3.42</v>
      </c>
      <c r="G125">
        <f t="shared" si="15"/>
        <v>-1.4829584152608344</v>
      </c>
      <c r="J125">
        <f t="shared" si="16"/>
        <v>-2.1272281849763486</v>
      </c>
      <c r="L125">
        <f t="shared" si="17"/>
        <v>1.6511627906976742</v>
      </c>
      <c r="M125">
        <f t="shared" si="18"/>
        <v>-1.101531911650016</v>
      </c>
      <c r="N125" s="26">
        <f t="shared" si="19"/>
        <v>-14422.270000000004</v>
      </c>
      <c r="O125" s="26">
        <f t="shared" si="20"/>
        <v>-13193.541923076926</v>
      </c>
      <c r="P125" s="26">
        <f t="shared" si="21"/>
        <v>-15750.506111111106</v>
      </c>
      <c r="Q125" s="26">
        <f t="shared" si="22"/>
        <v>-1.0350000000000001</v>
      </c>
      <c r="R125" s="26">
        <f t="shared" si="23"/>
        <v>-0.88961538461538581</v>
      </c>
      <c r="S125" s="26">
        <f t="shared" si="24"/>
        <v>-1.6761111111111111</v>
      </c>
      <c r="T125" s="26">
        <f t="shared" si="25"/>
        <v>-0.6625683070650048</v>
      </c>
      <c r="U125" s="26">
        <f t="shared" si="26"/>
        <v>-0.4471332601814102</v>
      </c>
      <c r="V125" s="26">
        <f t="shared" si="27"/>
        <v>-0.21983975272102807</v>
      </c>
    </row>
    <row r="126" spans="1:22" x14ac:dyDescent="0.25">
      <c r="A126" s="2">
        <v>44624</v>
      </c>
      <c r="B126">
        <v>11985.71</v>
      </c>
      <c r="C126">
        <v>4.4800000000000004</v>
      </c>
      <c r="D126">
        <v>2.78</v>
      </c>
      <c r="F126">
        <f t="shared" si="14"/>
        <v>3.63</v>
      </c>
      <c r="G126">
        <f t="shared" si="15"/>
        <v>-1.5268794317048575</v>
      </c>
      <c r="J126">
        <f t="shared" si="16"/>
        <v>-2.1220912999934498</v>
      </c>
      <c r="L126">
        <f t="shared" si="17"/>
        <v>1.6115107913669067</v>
      </c>
      <c r="M126">
        <f t="shared" si="18"/>
        <v>-1.1758796063119803</v>
      </c>
      <c r="N126" s="26">
        <f t="shared" si="19"/>
        <v>-6158.7649999999994</v>
      </c>
      <c r="O126" s="26">
        <f t="shared" si="20"/>
        <v>-5774.4224999999933</v>
      </c>
      <c r="P126" s="26">
        <f t="shared" si="21"/>
        <v>-10195.32694444443</v>
      </c>
      <c r="Q126" s="26">
        <f t="shared" si="22"/>
        <v>-0.32999999999999918</v>
      </c>
      <c r="R126" s="26">
        <f t="shared" si="23"/>
        <v>-0.45201923076923212</v>
      </c>
      <c r="S126" s="26">
        <f t="shared" si="24"/>
        <v>-1.2095833333333337</v>
      </c>
      <c r="T126" s="26">
        <f t="shared" si="25"/>
        <v>-0.32082809137518753</v>
      </c>
      <c r="U126" s="26">
        <f t="shared" si="26"/>
        <v>-6.3521555292617826E-2</v>
      </c>
      <c r="V126" s="26">
        <f t="shared" si="27"/>
        <v>4.9960876608346805E-2</v>
      </c>
    </row>
    <row r="127" spans="1:22" x14ac:dyDescent="0.25">
      <c r="A127" s="2">
        <v>44617</v>
      </c>
      <c r="B127">
        <v>35781.199999999997</v>
      </c>
      <c r="C127">
        <v>7.63</v>
      </c>
      <c r="D127">
        <v>2.88</v>
      </c>
      <c r="F127">
        <f t="shared" si="14"/>
        <v>5.2549999999999999</v>
      </c>
      <c r="G127">
        <f t="shared" si="15"/>
        <v>-0.71546872242504678</v>
      </c>
      <c r="J127">
        <f t="shared" si="16"/>
        <v>-1.0746355905520482</v>
      </c>
      <c r="L127">
        <f t="shared" si="17"/>
        <v>2.6493055555555558</v>
      </c>
      <c r="M127">
        <f t="shared" si="18"/>
        <v>-0.37572730869936605</v>
      </c>
      <c r="N127" s="26">
        <f t="shared" si="19"/>
        <v>3422.7549999999974</v>
      </c>
      <c r="O127" s="26">
        <f t="shared" si="20"/>
        <v>3583.8482692307734</v>
      </c>
      <c r="P127" s="26">
        <f t="shared" si="21"/>
        <v>-3242.566574074066</v>
      </c>
      <c r="Q127" s="26">
        <f t="shared" si="22"/>
        <v>0.47750000000000004</v>
      </c>
      <c r="R127" s="26">
        <f t="shared" si="23"/>
        <v>0.10663461538461494</v>
      </c>
      <c r="S127" s="26">
        <f t="shared" si="24"/>
        <v>-0.64300925925925867</v>
      </c>
      <c r="T127" s="26">
        <f t="shared" si="25"/>
        <v>4.5686583116634871E-2</v>
      </c>
      <c r="U127" s="26">
        <f t="shared" si="26"/>
        <v>0.3762124054428968</v>
      </c>
      <c r="V127" s="26">
        <f t="shared" si="27"/>
        <v>0.36313781545992985</v>
      </c>
    </row>
    <row r="128" spans="1:22" x14ac:dyDescent="0.25">
      <c r="A128" s="2">
        <v>44610</v>
      </c>
      <c r="B128">
        <v>36716.949999999997</v>
      </c>
      <c r="C128">
        <v>7.96</v>
      </c>
      <c r="D128">
        <v>2.95</v>
      </c>
      <c r="F128">
        <f t="shared" si="14"/>
        <v>5.4550000000000001</v>
      </c>
      <c r="G128">
        <f t="shared" si="15"/>
        <v>-0.70943147868246426</v>
      </c>
      <c r="J128">
        <f t="shared" si="16"/>
        <v>-0.96613718191368425</v>
      </c>
      <c r="L128">
        <f t="shared" si="17"/>
        <v>2.6983050847457624</v>
      </c>
      <c r="M128">
        <f t="shared" si="18"/>
        <v>-0.35503517600212287</v>
      </c>
      <c r="N128" s="26">
        <f t="shared" si="19"/>
        <v>3856.625</v>
      </c>
      <c r="O128" s="26">
        <f t="shared" si="20"/>
        <v>6202.2294230769257</v>
      </c>
      <c r="P128" s="26">
        <f t="shared" si="21"/>
        <v>-3236.2719444444519</v>
      </c>
      <c r="Q128" s="26">
        <f t="shared" si="22"/>
        <v>0.49124999999999908</v>
      </c>
      <c r="R128" s="26">
        <f t="shared" si="23"/>
        <v>7.8653846153844853E-2</v>
      </c>
      <c r="S128" s="26">
        <f t="shared" si="24"/>
        <v>-0.6519444444444451</v>
      </c>
      <c r="T128" s="26">
        <f t="shared" si="25"/>
        <v>6.4382843507087006E-2</v>
      </c>
      <c r="U128" s="26">
        <f t="shared" si="26"/>
        <v>0.53562530749822601</v>
      </c>
      <c r="V128" s="26">
        <f t="shared" si="27"/>
        <v>0.4024002879266293</v>
      </c>
    </row>
    <row r="129" spans="1:22" x14ac:dyDescent="0.25">
      <c r="A129" s="2">
        <v>44603</v>
      </c>
      <c r="B129">
        <v>38328.85</v>
      </c>
      <c r="C129">
        <v>8.14</v>
      </c>
      <c r="D129">
        <v>2.89</v>
      </c>
      <c r="F129">
        <f t="shared" si="14"/>
        <v>5.5150000000000006</v>
      </c>
      <c r="G129">
        <f t="shared" si="15"/>
        <v>-0.67856453467315592</v>
      </c>
      <c r="J129">
        <f t="shared" si="16"/>
        <v>-0.95579564371798387</v>
      </c>
      <c r="L129">
        <f t="shared" si="17"/>
        <v>2.8166089965397925</v>
      </c>
      <c r="M129">
        <f t="shared" si="18"/>
        <v>-0.27964103916963995</v>
      </c>
      <c r="N129" s="26">
        <f t="shared" si="19"/>
        <v>2512.7549999999974</v>
      </c>
      <c r="O129" s="26">
        <f t="shared" si="20"/>
        <v>6931.1357692307756</v>
      </c>
      <c r="P129" s="26">
        <f t="shared" si="21"/>
        <v>-5250.6016666666692</v>
      </c>
      <c r="Q129" s="26">
        <f t="shared" si="22"/>
        <v>0.26124999999999954</v>
      </c>
      <c r="R129" s="26">
        <f t="shared" si="23"/>
        <v>-0.12999999999999989</v>
      </c>
      <c r="S129" s="26">
        <f t="shared" si="24"/>
        <v>-0.84592592592592641</v>
      </c>
      <c r="T129" s="26">
        <f t="shared" si="25"/>
        <v>-9.3183768043032522E-3</v>
      </c>
      <c r="U129" s="26">
        <f t="shared" si="26"/>
        <v>0.64114747573858288</v>
      </c>
      <c r="V129" s="26">
        <f t="shared" si="27"/>
        <v>0.38231157307959629</v>
      </c>
    </row>
    <row r="130" spans="1:22" x14ac:dyDescent="0.25">
      <c r="A130" s="2">
        <v>44596</v>
      </c>
      <c r="B130">
        <v>42942.75</v>
      </c>
      <c r="C130">
        <v>8.94</v>
      </c>
      <c r="D130">
        <v>3.06</v>
      </c>
      <c r="F130">
        <f t="shared" ref="F130:F193" si="28">AVERAGE(C130:D130)</f>
        <v>6</v>
      </c>
      <c r="G130">
        <f t="shared" ref="G130:G193" si="29">(B130-AVERAGE(B130:B182))/_xlfn.STDEV.S(B130:B182)</f>
        <v>-0.53910333708522673</v>
      </c>
      <c r="J130">
        <f t="shared" ref="J130:J193" si="30">(F130-AVERAGE(F130:F182))/_xlfn.STDEV.S(F130:F182)</f>
        <v>-0.62722540545938243</v>
      </c>
      <c r="L130">
        <f t="shared" ref="L130:L193" si="31">C130/D130</f>
        <v>2.9215686274509802</v>
      </c>
      <c r="M130">
        <f t="shared" ref="M130:M193" si="32">(L130-AVERAGE(L130:L182))/_xlfn.STDEV.S(L130:L182)</f>
        <v>-0.22031818721787083</v>
      </c>
      <c r="N130" s="26">
        <f t="shared" ref="N130:N193" si="33">AVERAGEA(B130:B133)-AVERAGE(B134:B137)</f>
        <v>2288.3499999999985</v>
      </c>
      <c r="O130" s="26">
        <f t="shared" ref="O130:O193" si="34">AVERAGEA(B130:B133)-AVERAGE(B134:B146)</f>
        <v>6376.6255769230775</v>
      </c>
      <c r="P130" s="26">
        <f t="shared" ref="P130:P193" si="35">AVERAGEA(B130:B133)-AVERAGE(B134:B160)</f>
        <v>-8011.057129629633</v>
      </c>
      <c r="Q130" s="26">
        <f t="shared" ref="Q130:Q193" si="36">AVERAGEA(F130:F133)-AVERAGE(F134:F137)</f>
        <v>0.26624999999999943</v>
      </c>
      <c r="R130" s="26">
        <f t="shared" ref="R130:R193" si="37">AVERAGEA(F130:F133)-AVERAGE(F134:F146)</f>
        <v>-0.43740384615384631</v>
      </c>
      <c r="S130" s="26">
        <f t="shared" ref="S130:S193" si="38">AVERAGEA(F130:F133)-AVERAGE(F134:F160)</f>
        <v>-1.10587962962963</v>
      </c>
      <c r="T130" s="26">
        <f t="shared" ref="T130:T193" si="39">AVERAGEA(L130:L133)-AVERAGE(L134:L137)</f>
        <v>7.7978059023585011E-2</v>
      </c>
      <c r="U130" s="26">
        <f t="shared" ref="U130:U193" si="40">AVERAGEA(L130:L133)-AVERAGE(L134:L146)</f>
        <v>0.68498110128867484</v>
      </c>
      <c r="V130" s="26">
        <f t="shared" ref="V130:V193" si="41">AVERAGEA(L130:L133)-AVERAGE(L134:L160)</f>
        <v>0.31154148992513209</v>
      </c>
    </row>
    <row r="131" spans="1:22" x14ac:dyDescent="0.25">
      <c r="A131" s="2">
        <v>44589</v>
      </c>
      <c r="B131">
        <v>38910.46</v>
      </c>
      <c r="C131">
        <v>7.98</v>
      </c>
      <c r="D131">
        <v>2.82</v>
      </c>
      <c r="F131">
        <f t="shared" si="28"/>
        <v>5.4</v>
      </c>
      <c r="G131">
        <f t="shared" si="29"/>
        <v>-0.71104416488364652</v>
      </c>
      <c r="J131">
        <f t="shared" si="30"/>
        <v>-1.0987045752401843</v>
      </c>
      <c r="L131">
        <f t="shared" si="31"/>
        <v>2.8297872340425534</v>
      </c>
      <c r="M131">
        <f t="shared" si="32"/>
        <v>-0.31480043810781838</v>
      </c>
      <c r="N131" s="26">
        <f t="shared" si="33"/>
        <v>-1024.3099999999977</v>
      </c>
      <c r="O131" s="26">
        <f t="shared" si="34"/>
        <v>5582.213269230775</v>
      </c>
      <c r="P131" s="26">
        <f t="shared" si="35"/>
        <v>-11402.304166666669</v>
      </c>
      <c r="Q131" s="26">
        <f t="shared" si="36"/>
        <v>0.20249999999999968</v>
      </c>
      <c r="R131" s="26">
        <f t="shared" si="37"/>
        <v>-0.74778846153846157</v>
      </c>
      <c r="S131" s="26">
        <f t="shared" si="38"/>
        <v>-1.422361111111111</v>
      </c>
      <c r="T131" s="26">
        <f t="shared" si="39"/>
        <v>1.1352690927628029E-2</v>
      </c>
      <c r="U131" s="26">
        <f t="shared" si="40"/>
        <v>0.7457872442167004</v>
      </c>
      <c r="V131" s="26">
        <f t="shared" si="41"/>
        <v>0.24232543803694151</v>
      </c>
    </row>
    <row r="132" spans="1:22" x14ac:dyDescent="0.25">
      <c r="A132" s="2">
        <v>44582</v>
      </c>
      <c r="B132">
        <v>33558.04</v>
      </c>
      <c r="C132">
        <v>7.27</v>
      </c>
      <c r="D132">
        <v>2.7</v>
      </c>
      <c r="F132">
        <f t="shared" si="28"/>
        <v>4.9849999999999994</v>
      </c>
      <c r="G132">
        <f t="shared" si="29"/>
        <v>-0.93179048760709393</v>
      </c>
      <c r="J132">
        <f t="shared" si="30"/>
        <v>-1.4423497841346846</v>
      </c>
      <c r="L132">
        <f t="shared" si="31"/>
        <v>2.6925925925925922</v>
      </c>
      <c r="M132">
        <f t="shared" si="32"/>
        <v>-0.44482647861181185</v>
      </c>
      <c r="N132" s="26">
        <f t="shared" si="33"/>
        <v>-1121.4100000000035</v>
      </c>
      <c r="O132" s="26">
        <f t="shared" si="34"/>
        <v>6173.3051923076855</v>
      </c>
      <c r="P132" s="26">
        <f t="shared" si="35"/>
        <v>-12236.068055555574</v>
      </c>
      <c r="Q132" s="26">
        <f t="shared" si="36"/>
        <v>0.25624999999999964</v>
      </c>
      <c r="R132" s="26">
        <f t="shared" si="37"/>
        <v>-0.87721153846153843</v>
      </c>
      <c r="S132" s="26">
        <f t="shared" si="38"/>
        <v>-1.4783796296296297</v>
      </c>
      <c r="T132" s="26">
        <f t="shared" si="39"/>
        <v>0.1727554128375699</v>
      </c>
      <c r="U132" s="26">
        <f t="shared" si="40"/>
        <v>0.86265598956964573</v>
      </c>
      <c r="V132" s="26">
        <f t="shared" si="41"/>
        <v>0.25616452216051089</v>
      </c>
    </row>
    <row r="133" spans="1:22" x14ac:dyDescent="0.25">
      <c r="A133" s="2">
        <v>44575</v>
      </c>
      <c r="B133">
        <v>32036.52</v>
      </c>
      <c r="C133">
        <v>6.93</v>
      </c>
      <c r="D133">
        <v>2.65</v>
      </c>
      <c r="F133">
        <f t="shared" si="28"/>
        <v>4.79</v>
      </c>
      <c r="G133">
        <f t="shared" si="29"/>
        <v>-1.0224393791479947</v>
      </c>
      <c r="J133">
        <f t="shared" si="30"/>
        <v>-1.6496191113197824</v>
      </c>
      <c r="L133">
        <f t="shared" si="31"/>
        <v>2.6150943396226416</v>
      </c>
      <c r="M133">
        <f t="shared" si="32"/>
        <v>-0.52969425236220413</v>
      </c>
      <c r="N133" s="26">
        <f t="shared" si="33"/>
        <v>-1585.2299999999959</v>
      </c>
      <c r="O133" s="26">
        <f t="shared" si="34"/>
        <v>5780.0423076923071</v>
      </c>
      <c r="P133" s="26">
        <f t="shared" si="35"/>
        <v>-10481.045925925937</v>
      </c>
      <c r="Q133" s="26">
        <f t="shared" si="36"/>
        <v>0.27749999999999986</v>
      </c>
      <c r="R133" s="26">
        <f t="shared" si="37"/>
        <v>-0.94548076923076874</v>
      </c>
      <c r="S133" s="26">
        <f t="shared" si="38"/>
        <v>-1.2627314814814818</v>
      </c>
      <c r="T133" s="26">
        <f t="shared" si="39"/>
        <v>0.45877859650226283</v>
      </c>
      <c r="U133" s="26">
        <f t="shared" si="40"/>
        <v>1.0185931589254595</v>
      </c>
      <c r="V133" s="26">
        <f t="shared" si="41"/>
        <v>0.36111427784126038</v>
      </c>
    </row>
    <row r="134" spans="1:22" x14ac:dyDescent="0.25">
      <c r="A134" s="2">
        <v>44568</v>
      </c>
      <c r="B134">
        <v>35573.71</v>
      </c>
      <c r="C134">
        <v>7.55</v>
      </c>
      <c r="D134">
        <v>2.73</v>
      </c>
      <c r="F134">
        <f t="shared" si="28"/>
        <v>5.14</v>
      </c>
      <c r="G134">
        <f t="shared" si="29"/>
        <v>-0.93143464832791267</v>
      </c>
      <c r="J134">
        <f t="shared" si="30"/>
        <v>-1.4445774036657164</v>
      </c>
      <c r="L134">
        <f t="shared" si="31"/>
        <v>2.7655677655677655</v>
      </c>
      <c r="M134">
        <f t="shared" si="32"/>
        <v>-0.44043071359954061</v>
      </c>
      <c r="N134" s="26">
        <f t="shared" si="33"/>
        <v>-5329.125</v>
      </c>
      <c r="O134" s="26">
        <f t="shared" si="34"/>
        <v>2610.5932692307688</v>
      </c>
      <c r="P134" s="26">
        <f t="shared" si="35"/>
        <v>-10866.226759259276</v>
      </c>
      <c r="Q134" s="26">
        <f t="shared" si="36"/>
        <v>-0.59375</v>
      </c>
      <c r="R134" s="26">
        <f t="shared" si="37"/>
        <v>-1.3771153846153839</v>
      </c>
      <c r="S134" s="26">
        <f t="shared" si="38"/>
        <v>-1.5260185185185193</v>
      </c>
      <c r="T134" s="26">
        <f t="shared" si="39"/>
        <v>0.39343920010747802</v>
      </c>
      <c r="U134" s="26">
        <f t="shared" si="40"/>
        <v>0.87146954115985431</v>
      </c>
      <c r="V134" s="26">
        <f t="shared" si="41"/>
        <v>0.25489118022764812</v>
      </c>
    </row>
    <row r="135" spans="1:22" x14ac:dyDescent="0.25">
      <c r="A135" s="2">
        <v>44561</v>
      </c>
      <c r="B135">
        <v>40304.239999999998</v>
      </c>
      <c r="C135">
        <v>8.19</v>
      </c>
      <c r="D135">
        <v>2.79</v>
      </c>
      <c r="F135">
        <f t="shared" si="28"/>
        <v>5.49</v>
      </c>
      <c r="G135">
        <f t="shared" si="29"/>
        <v>-0.79377318647992279</v>
      </c>
      <c r="J135">
        <f t="shared" si="30"/>
        <v>-1.2213026699134955</v>
      </c>
      <c r="L135">
        <f t="shared" si="31"/>
        <v>2.9354838709677415</v>
      </c>
      <c r="M135">
        <f t="shared" si="32"/>
        <v>-0.33940927715522168</v>
      </c>
      <c r="N135" s="26">
        <f t="shared" si="33"/>
        <v>-708.84500000000116</v>
      </c>
      <c r="O135" s="26">
        <f t="shared" si="34"/>
        <v>2155.1794230769156</v>
      </c>
      <c r="P135" s="26">
        <f t="shared" si="35"/>
        <v>-10384.293796296304</v>
      </c>
      <c r="Q135" s="26">
        <f t="shared" si="36"/>
        <v>-1.2699999999999996</v>
      </c>
      <c r="R135" s="26">
        <f t="shared" si="37"/>
        <v>-1.7214423076923078</v>
      </c>
      <c r="S135" s="26">
        <f t="shared" si="38"/>
        <v>-1.7944907407407404</v>
      </c>
      <c r="T135" s="26">
        <f t="shared" si="39"/>
        <v>0.7357421962566284</v>
      </c>
      <c r="U135" s="26">
        <f t="shared" si="40"/>
        <v>0.88400346615487324</v>
      </c>
      <c r="V135" s="26">
        <f t="shared" si="41"/>
        <v>0.27982560793985467</v>
      </c>
    </row>
    <row r="136" spans="1:22" x14ac:dyDescent="0.25">
      <c r="A136" s="2">
        <v>44554</v>
      </c>
      <c r="B136">
        <v>35774.61</v>
      </c>
      <c r="C136">
        <v>8.14</v>
      </c>
      <c r="D136">
        <v>2.73</v>
      </c>
      <c r="F136">
        <f t="shared" si="28"/>
        <v>5.4350000000000005</v>
      </c>
      <c r="G136">
        <f t="shared" si="29"/>
        <v>-0.96195408411632599</v>
      </c>
      <c r="J136">
        <f t="shared" si="30"/>
        <v>-1.195265667260351</v>
      </c>
      <c r="L136">
        <f t="shared" si="31"/>
        <v>2.9816849816849818</v>
      </c>
      <c r="M136">
        <f t="shared" si="32"/>
        <v>-0.31797585788246407</v>
      </c>
      <c r="N136" s="26">
        <f t="shared" si="33"/>
        <v>4784.4025000000001</v>
      </c>
      <c r="O136" s="26">
        <f t="shared" si="34"/>
        <v>766.12673076922511</v>
      </c>
      <c r="P136" s="26">
        <f t="shared" si="35"/>
        <v>-11101.704351851848</v>
      </c>
      <c r="Q136" s="26">
        <f t="shared" si="36"/>
        <v>-1.5699999999999994</v>
      </c>
      <c r="R136" s="26">
        <f t="shared" si="37"/>
        <v>-1.8599999999999994</v>
      </c>
      <c r="S136" s="26">
        <f t="shared" si="38"/>
        <v>-1.923703703703703</v>
      </c>
      <c r="T136" s="26">
        <f t="shared" si="39"/>
        <v>0.83397726235064429</v>
      </c>
      <c r="U136" s="26">
        <f t="shared" si="40"/>
        <v>0.68214685679344633</v>
      </c>
      <c r="V136" s="26">
        <f t="shared" si="41"/>
        <v>0.11808103386241697</v>
      </c>
    </row>
    <row r="137" spans="1:22" x14ac:dyDescent="0.25">
      <c r="A137" s="2">
        <v>44547</v>
      </c>
      <c r="B137">
        <v>26641.81</v>
      </c>
      <c r="C137">
        <v>5.45</v>
      </c>
      <c r="D137">
        <v>2.64</v>
      </c>
      <c r="F137">
        <f t="shared" si="28"/>
        <v>4.0449999999999999</v>
      </c>
      <c r="G137">
        <f t="shared" si="29"/>
        <v>-1.3326390855418615</v>
      </c>
      <c r="J137">
        <f t="shared" si="30"/>
        <v>-2.3443759751222073</v>
      </c>
      <c r="L137">
        <f t="shared" si="31"/>
        <v>2.0643939393939394</v>
      </c>
      <c r="M137">
        <f t="shared" si="32"/>
        <v>-1.0137553560811448</v>
      </c>
      <c r="N137" s="26">
        <f t="shared" si="33"/>
        <v>12003.579999999998</v>
      </c>
      <c r="O137" s="26">
        <f t="shared" si="34"/>
        <v>-343.21230769231624</v>
      </c>
      <c r="P137" s="26">
        <f t="shared" si="35"/>
        <v>-11384.146296296305</v>
      </c>
      <c r="Q137" s="26">
        <f t="shared" si="36"/>
        <v>-1.5874999999999995</v>
      </c>
      <c r="R137" s="26">
        <f t="shared" si="37"/>
        <v>-1.8772115384615384</v>
      </c>
      <c r="S137" s="26">
        <f t="shared" si="38"/>
        <v>-1.9131944444444446</v>
      </c>
      <c r="T137" s="26">
        <f t="shared" si="39"/>
        <v>0.81590209438719441</v>
      </c>
      <c r="U137" s="26">
        <f t="shared" si="40"/>
        <v>0.3964516015659032</v>
      </c>
      <c r="V137" s="26">
        <f t="shared" si="41"/>
        <v>-0.13919505831933554</v>
      </c>
    </row>
    <row r="138" spans="1:22" x14ac:dyDescent="0.25">
      <c r="A138" s="2">
        <v>44540</v>
      </c>
      <c r="B138">
        <v>41455.31</v>
      </c>
      <c r="C138">
        <v>6.73</v>
      </c>
      <c r="D138">
        <v>2.34</v>
      </c>
      <c r="F138">
        <f t="shared" si="28"/>
        <v>4.5350000000000001</v>
      </c>
      <c r="G138">
        <f t="shared" si="29"/>
        <v>-0.83575350078649302</v>
      </c>
      <c r="J138">
        <f t="shared" si="30"/>
        <v>-2.1055887032385647</v>
      </c>
      <c r="L138">
        <f t="shared" si="31"/>
        <v>2.8760683760683765</v>
      </c>
      <c r="M138">
        <f t="shared" si="32"/>
        <v>-0.46361074231453153</v>
      </c>
      <c r="N138" s="26">
        <f t="shared" si="33"/>
        <v>20000.517499999998</v>
      </c>
      <c r="O138" s="26">
        <f t="shared" si="34"/>
        <v>42.42442307692545</v>
      </c>
      <c r="P138" s="26">
        <f t="shared" si="35"/>
        <v>-10917.643240740741</v>
      </c>
      <c r="Q138" s="26">
        <f t="shared" si="36"/>
        <v>-0.74874999999999936</v>
      </c>
      <c r="R138" s="26">
        <f t="shared" si="37"/>
        <v>-1.1999038461538465</v>
      </c>
      <c r="S138" s="26">
        <f t="shared" si="38"/>
        <v>-1.2933796296296283</v>
      </c>
      <c r="T138" s="26">
        <f t="shared" si="39"/>
        <v>0.86176947041836027</v>
      </c>
      <c r="U138" s="26">
        <f t="shared" si="40"/>
        <v>0.23055795766645781</v>
      </c>
      <c r="V138" s="26">
        <f t="shared" si="41"/>
        <v>-0.29275195202134041</v>
      </c>
    </row>
    <row r="139" spans="1:22" x14ac:dyDescent="0.25">
      <c r="A139" s="2">
        <v>44533</v>
      </c>
      <c r="B139">
        <v>42086.42</v>
      </c>
      <c r="C139">
        <v>7.57</v>
      </c>
      <c r="D139">
        <v>3.16</v>
      </c>
      <c r="F139">
        <f t="shared" si="28"/>
        <v>5.3650000000000002</v>
      </c>
      <c r="G139">
        <f t="shared" si="29"/>
        <v>-0.84531426665112752</v>
      </c>
      <c r="J139">
        <f t="shared" si="30"/>
        <v>-1.5230540936651829</v>
      </c>
      <c r="L139">
        <f t="shared" si="31"/>
        <v>2.3955696202531644</v>
      </c>
      <c r="M139">
        <f t="shared" si="32"/>
        <v>-0.82584122645263303</v>
      </c>
      <c r="N139" s="26">
        <f t="shared" si="33"/>
        <v>19365.815000000002</v>
      </c>
      <c r="O139" s="26">
        <f t="shared" si="34"/>
        <v>-6406.4240384615332</v>
      </c>
      <c r="P139" s="26">
        <f t="shared" si="35"/>
        <v>-16737.552129629628</v>
      </c>
      <c r="Q139" s="26">
        <f t="shared" si="36"/>
        <v>-0.17249999999999943</v>
      </c>
      <c r="R139" s="26">
        <f t="shared" si="37"/>
        <v>-0.71644230769230788</v>
      </c>
      <c r="S139" s="26">
        <f t="shared" si="38"/>
        <v>-0.84819444444444425</v>
      </c>
      <c r="T139" s="26">
        <f t="shared" si="39"/>
        <v>0.60384723426478293</v>
      </c>
      <c r="U139" s="26">
        <f t="shared" si="40"/>
        <v>-0.224532767106151</v>
      </c>
      <c r="V139" s="26">
        <f t="shared" si="41"/>
        <v>-0.73975512306748659</v>
      </c>
    </row>
    <row r="140" spans="1:22" x14ac:dyDescent="0.25">
      <c r="A140" s="2">
        <v>44526</v>
      </c>
      <c r="B140">
        <v>39846.46</v>
      </c>
      <c r="C140">
        <v>7.89</v>
      </c>
      <c r="D140">
        <v>3.71</v>
      </c>
      <c r="F140">
        <f t="shared" si="28"/>
        <v>5.8</v>
      </c>
      <c r="G140">
        <f t="shared" si="29"/>
        <v>-0.96088172870774202</v>
      </c>
      <c r="J140">
        <f t="shared" si="30"/>
        <v>-1.1495196585892897</v>
      </c>
      <c r="L140">
        <f t="shared" si="31"/>
        <v>2.1266846361185983</v>
      </c>
      <c r="M140">
        <f t="shared" si="32"/>
        <v>-1.0387086367790592</v>
      </c>
      <c r="N140" s="26">
        <f t="shared" si="33"/>
        <v>14304.092499999999</v>
      </c>
      <c r="O140" s="26">
        <f t="shared" si="34"/>
        <v>-15076.035000000007</v>
      </c>
      <c r="P140" s="26">
        <f t="shared" si="35"/>
        <v>-24811.99907407408</v>
      </c>
      <c r="Q140" s="26">
        <f t="shared" si="36"/>
        <v>0.11125000000000007</v>
      </c>
      <c r="R140" s="26">
        <f t="shared" si="37"/>
        <v>-0.49538461538461576</v>
      </c>
      <c r="S140" s="26">
        <f t="shared" si="38"/>
        <v>-0.6822222222222214</v>
      </c>
      <c r="T140" s="26">
        <f t="shared" si="39"/>
        <v>0.36929110518700892</v>
      </c>
      <c r="U140" s="26">
        <f t="shared" si="40"/>
        <v>-0.60667245656484781</v>
      </c>
      <c r="V140" s="26">
        <f t="shared" si="41"/>
        <v>-1.1019482401794085</v>
      </c>
    </row>
    <row r="141" spans="1:22" x14ac:dyDescent="0.25">
      <c r="A141" s="2">
        <v>44519</v>
      </c>
      <c r="B141">
        <v>36222.68</v>
      </c>
      <c r="C141">
        <v>8.68</v>
      </c>
      <c r="D141">
        <v>4.8899999999999997</v>
      </c>
      <c r="F141">
        <f t="shared" si="28"/>
        <v>6.7850000000000001</v>
      </c>
      <c r="G141">
        <f t="shared" si="29"/>
        <v>-1.1311813625807956</v>
      </c>
      <c r="J141">
        <f t="shared" si="30"/>
        <v>-0.27890740309228274</v>
      </c>
      <c r="L141">
        <f t="shared" si="31"/>
        <v>1.7750511247443763</v>
      </c>
      <c r="M141">
        <f t="shared" si="32"/>
        <v>-1.3171133639560857</v>
      </c>
      <c r="N141" s="26">
        <f t="shared" si="33"/>
        <v>2575.8200000000033</v>
      </c>
      <c r="O141" s="26">
        <f t="shared" si="34"/>
        <v>-25056.991538461534</v>
      </c>
      <c r="P141" s="26">
        <f t="shared" si="35"/>
        <v>-34306.338888888888</v>
      </c>
      <c r="Q141" s="26">
        <f t="shared" si="36"/>
        <v>-8.7500000000000355E-2</v>
      </c>
      <c r="R141" s="26">
        <f t="shared" si="37"/>
        <v>-0.42240384615384752</v>
      </c>
      <c r="S141" s="26">
        <f t="shared" si="38"/>
        <v>-0.67550925925925842</v>
      </c>
      <c r="T141" s="26">
        <f t="shared" si="39"/>
        <v>6.9686364513786403E-2</v>
      </c>
      <c r="U141" s="26">
        <f t="shared" si="40"/>
        <v>-0.95347789111758674</v>
      </c>
      <c r="V141" s="26">
        <f t="shared" si="41"/>
        <v>-1.4520864101341164</v>
      </c>
    </row>
    <row r="142" spans="1:22" x14ac:dyDescent="0.25">
      <c r="A142" s="2">
        <v>44512</v>
      </c>
      <c r="B142">
        <v>28855.79</v>
      </c>
      <c r="C142">
        <v>8.1999999999999993</v>
      </c>
      <c r="D142">
        <v>5.07</v>
      </c>
      <c r="F142">
        <f t="shared" si="28"/>
        <v>6.6349999999999998</v>
      </c>
      <c r="G142">
        <f t="shared" si="29"/>
        <v>-1.4461852131385831</v>
      </c>
      <c r="J142">
        <f t="shared" si="30"/>
        <v>-0.36338301770005338</v>
      </c>
      <c r="L142">
        <f t="shared" si="31"/>
        <v>1.6173570019723864</v>
      </c>
      <c r="M142">
        <f t="shared" si="32"/>
        <v>-1.4810852180810952</v>
      </c>
      <c r="N142" s="26">
        <f t="shared" si="33"/>
        <v>-11594.670000000002</v>
      </c>
      <c r="O142" s="26">
        <f t="shared" si="34"/>
        <v>-34200.804615384623</v>
      </c>
      <c r="P142" s="26">
        <f t="shared" si="35"/>
        <v>-42858.535185185188</v>
      </c>
      <c r="Q142" s="26">
        <f t="shared" si="36"/>
        <v>-0.64500000000000046</v>
      </c>
      <c r="R142" s="26">
        <f t="shared" si="37"/>
        <v>-0.61076923076923251</v>
      </c>
      <c r="S142" s="26">
        <f t="shared" si="38"/>
        <v>-0.90444444444444372</v>
      </c>
      <c r="T142" s="26">
        <f t="shared" si="39"/>
        <v>-0.19647002483964937</v>
      </c>
      <c r="U142" s="26">
        <f t="shared" si="40"/>
        <v>-1.2013512016772026</v>
      </c>
      <c r="V142" s="26">
        <f t="shared" si="41"/>
        <v>-1.725103365115267</v>
      </c>
    </row>
    <row r="143" spans="1:22" x14ac:dyDescent="0.25">
      <c r="A143" s="2">
        <v>44505</v>
      </c>
      <c r="B143">
        <v>21895.61</v>
      </c>
      <c r="C143">
        <v>7.65</v>
      </c>
      <c r="D143">
        <v>5.23</v>
      </c>
      <c r="F143">
        <f t="shared" si="28"/>
        <v>6.44</v>
      </c>
      <c r="G143">
        <f t="shared" si="29"/>
        <v>-1.7675377423060197</v>
      </c>
      <c r="J143">
        <f t="shared" si="30"/>
        <v>-0.47687716149132237</v>
      </c>
      <c r="L143">
        <f t="shared" si="31"/>
        <v>1.4627151051625238</v>
      </c>
      <c r="M143">
        <f t="shared" si="32"/>
        <v>-1.6552143507006107</v>
      </c>
      <c r="N143" s="26">
        <f t="shared" si="33"/>
        <v>-21989.037499999999</v>
      </c>
      <c r="O143" s="26">
        <f t="shared" si="34"/>
        <v>-40394.999038461545</v>
      </c>
      <c r="P143" s="26">
        <f t="shared" si="35"/>
        <v>-48060.760833333334</v>
      </c>
      <c r="Q143" s="26">
        <f t="shared" si="36"/>
        <v>-0.89749999999999996</v>
      </c>
      <c r="R143" s="26">
        <f t="shared" si="37"/>
        <v>-0.70971153846153801</v>
      </c>
      <c r="S143" s="26">
        <f t="shared" si="38"/>
        <v>-1.0169907407407397</v>
      </c>
      <c r="T143" s="26">
        <f t="shared" si="39"/>
        <v>-0.45244815648827386</v>
      </c>
      <c r="U143" s="26">
        <f t="shared" si="40"/>
        <v>-1.3970371166582274</v>
      </c>
      <c r="V143" s="26">
        <f t="shared" si="41"/>
        <v>-1.9309823833810931</v>
      </c>
    </row>
    <row r="144" spans="1:22" x14ac:dyDescent="0.25">
      <c r="A144" s="2">
        <v>44498</v>
      </c>
      <c r="B144">
        <v>15041.6</v>
      </c>
      <c r="C144">
        <v>7.15</v>
      </c>
      <c r="D144">
        <v>5.32</v>
      </c>
      <c r="F144">
        <f t="shared" si="28"/>
        <v>6.2350000000000003</v>
      </c>
      <c r="G144">
        <f t="shared" si="29"/>
        <v>-2.116365998914532</v>
      </c>
      <c r="J144">
        <f t="shared" si="30"/>
        <v>-0.59177507887058789</v>
      </c>
      <c r="L144">
        <f t="shared" si="31"/>
        <v>1.3439849624060149</v>
      </c>
      <c r="M144">
        <f t="shared" si="32"/>
        <v>-1.8173086705954</v>
      </c>
      <c r="N144" s="26">
        <f t="shared" si="33"/>
        <v>-33109.817500000005</v>
      </c>
      <c r="O144" s="26">
        <f t="shared" si="34"/>
        <v>-43622.817500000005</v>
      </c>
      <c r="P144" s="26">
        <f t="shared" si="35"/>
        <v>-49413.955648148156</v>
      </c>
      <c r="Q144" s="26">
        <f t="shared" si="36"/>
        <v>-1.0787500000000003</v>
      </c>
      <c r="R144" s="26">
        <f t="shared" si="37"/>
        <v>-0.76586538461538467</v>
      </c>
      <c r="S144" s="26">
        <f t="shared" si="38"/>
        <v>-1.016064814814813</v>
      </c>
      <c r="T144" s="26">
        <f t="shared" si="39"/>
        <v>-0.85214796340244447</v>
      </c>
      <c r="U144" s="26">
        <f t="shared" si="40"/>
        <v>-1.5262775043699932</v>
      </c>
      <c r="V144" s="26">
        <f t="shared" si="41"/>
        <v>-2.0858364812998311</v>
      </c>
    </row>
    <row r="145" spans="1:22" x14ac:dyDescent="0.25">
      <c r="A145" s="2">
        <v>44491</v>
      </c>
      <c r="B145">
        <v>13815.8</v>
      </c>
      <c r="C145">
        <v>6.98</v>
      </c>
      <c r="D145">
        <v>5.36</v>
      </c>
      <c r="F145">
        <f t="shared" si="28"/>
        <v>6.17</v>
      </c>
      <c r="G145">
        <f t="shared" si="29"/>
        <v>-2.2728457783026133</v>
      </c>
      <c r="J145">
        <f t="shared" si="30"/>
        <v>-0.59275936711403288</v>
      </c>
      <c r="L145">
        <f t="shared" si="31"/>
        <v>1.3022388059701493</v>
      </c>
      <c r="M145">
        <f t="shared" si="32"/>
        <v>-1.9258272968365175</v>
      </c>
      <c r="N145" s="26">
        <f t="shared" si="33"/>
        <v>-34779.35</v>
      </c>
      <c r="O145" s="26">
        <f t="shared" si="34"/>
        <v>-41191.646923076922</v>
      </c>
      <c r="P145" s="26">
        <f t="shared" si="35"/>
        <v>-45815.035185185181</v>
      </c>
      <c r="Q145" s="26">
        <f t="shared" si="36"/>
        <v>-0.59499999999999886</v>
      </c>
      <c r="R145" s="26">
        <f t="shared" si="37"/>
        <v>-0.49028846153846128</v>
      </c>
      <c r="S145" s="26">
        <f t="shared" si="38"/>
        <v>-0.78023148148148103</v>
      </c>
      <c r="T145" s="26">
        <f t="shared" si="39"/>
        <v>-1.1245381350931221</v>
      </c>
      <c r="U145" s="26">
        <f t="shared" si="40"/>
        <v>-1.5624777665442153</v>
      </c>
      <c r="V145" s="26">
        <f t="shared" si="41"/>
        <v>-2.1149306257201257</v>
      </c>
    </row>
    <row r="146" spans="1:22" x14ac:dyDescent="0.25">
      <c r="A146" s="2">
        <v>44484</v>
      </c>
      <c r="B146">
        <v>18795.080000000002</v>
      </c>
      <c r="C146">
        <v>7.48</v>
      </c>
      <c r="D146">
        <v>5.38</v>
      </c>
      <c r="F146">
        <f t="shared" si="28"/>
        <v>6.43</v>
      </c>
      <c r="G146">
        <f t="shared" si="29"/>
        <v>-2.1708694143001721</v>
      </c>
      <c r="J146">
        <f t="shared" si="30"/>
        <v>-0.35390081438835358</v>
      </c>
      <c r="L146">
        <f t="shared" si="31"/>
        <v>1.3903345724907064</v>
      </c>
      <c r="M146">
        <f t="shared" si="32"/>
        <v>-1.9348743084686171</v>
      </c>
      <c r="N146" s="26">
        <f t="shared" si="33"/>
        <v>-31063.204999999994</v>
      </c>
      <c r="O146" s="26">
        <f t="shared" si="34"/>
        <v>-34479.261538461527</v>
      </c>
      <c r="P146" s="26">
        <f t="shared" si="35"/>
        <v>-38685.93037037037</v>
      </c>
      <c r="Q146" s="26">
        <f t="shared" si="36"/>
        <v>-4.750000000000032E-2</v>
      </c>
      <c r="R146" s="26">
        <f t="shared" si="37"/>
        <v>-7.3076923076922817E-2</v>
      </c>
      <c r="S146" s="26">
        <f t="shared" si="38"/>
        <v>-0.38481481481481428</v>
      </c>
      <c r="T146" s="26">
        <f t="shared" si="39"/>
        <v>-1.2685647720273052</v>
      </c>
      <c r="U146" s="26">
        <f t="shared" si="40"/>
        <v>-1.5207728302894705</v>
      </c>
      <c r="V146" s="26">
        <f t="shared" si="41"/>
        <v>-2.0803602156885002</v>
      </c>
    </row>
    <row r="147" spans="1:22" x14ac:dyDescent="0.25">
      <c r="A147" s="2">
        <v>44477</v>
      </c>
      <c r="B147">
        <v>21951.69</v>
      </c>
      <c r="C147">
        <v>7.59</v>
      </c>
      <c r="D147">
        <v>5.17</v>
      </c>
      <c r="F147">
        <f t="shared" si="28"/>
        <v>6.38</v>
      </c>
      <c r="G147">
        <f t="shared" si="29"/>
        <v>-2.1291227010934564</v>
      </c>
      <c r="J147">
        <f t="shared" si="30"/>
        <v>-0.34410227026961993</v>
      </c>
      <c r="L147">
        <f t="shared" si="31"/>
        <v>1.4680851063829787</v>
      </c>
      <c r="M147">
        <f t="shared" si="32"/>
        <v>-1.9640175362236447</v>
      </c>
      <c r="N147" s="26">
        <f t="shared" si="33"/>
        <v>-26192.862500000003</v>
      </c>
      <c r="O147" s="26">
        <f t="shared" si="34"/>
        <v>-22987.688461538462</v>
      </c>
      <c r="P147" s="26">
        <f t="shared" si="35"/>
        <v>-32351.116666666683</v>
      </c>
      <c r="Q147" s="26">
        <f t="shared" si="36"/>
        <v>0.24124999999999996</v>
      </c>
      <c r="R147" s="26">
        <f t="shared" si="37"/>
        <v>0.48086538461538542</v>
      </c>
      <c r="S147" s="26">
        <f t="shared" si="38"/>
        <v>-0.19004629629629655</v>
      </c>
      <c r="T147" s="26">
        <f t="shared" si="39"/>
        <v>-1.2703621673047418</v>
      </c>
      <c r="U147" s="26">
        <f t="shared" si="40"/>
        <v>-1.3147957317862542</v>
      </c>
      <c r="V147" s="26">
        <f t="shared" si="41"/>
        <v>-1.9862178978658112</v>
      </c>
    </row>
    <row r="148" spans="1:22" x14ac:dyDescent="0.25">
      <c r="A148" s="2">
        <v>44470</v>
      </c>
      <c r="B148">
        <v>37149.83</v>
      </c>
      <c r="C148">
        <v>9.52</v>
      </c>
      <c r="D148">
        <v>5.41</v>
      </c>
      <c r="F148">
        <f t="shared" si="28"/>
        <v>7.4649999999999999</v>
      </c>
      <c r="G148">
        <f t="shared" si="29"/>
        <v>-1.5343864357224768</v>
      </c>
      <c r="J148">
        <f t="shared" si="30"/>
        <v>0.43029264530906036</v>
      </c>
      <c r="L148">
        <f t="shared" si="31"/>
        <v>1.7597042513863215</v>
      </c>
      <c r="M148">
        <f t="shared" si="32"/>
        <v>-1.8337498119030533</v>
      </c>
      <c r="N148" s="26">
        <f t="shared" si="33"/>
        <v>-16370.935000000012</v>
      </c>
      <c r="O148" s="26">
        <f t="shared" si="34"/>
        <v>-6786.4661538461514</v>
      </c>
      <c r="P148" s="26">
        <f t="shared" si="35"/>
        <v>-22165.845185185186</v>
      </c>
      <c r="Q148" s="26">
        <f t="shared" si="36"/>
        <v>0.37500000000000089</v>
      </c>
      <c r="R148" s="26">
        <f t="shared" si="37"/>
        <v>0.71788461538461679</v>
      </c>
      <c r="S148" s="26">
        <f t="shared" si="38"/>
        <v>-5.8055555555554861E-2</v>
      </c>
      <c r="T148" s="26">
        <f t="shared" si="39"/>
        <v>-0.96193739082151142</v>
      </c>
      <c r="U148" s="26">
        <f t="shared" si="40"/>
        <v>-0.77090231211755444</v>
      </c>
      <c r="V148" s="26">
        <f t="shared" si="41"/>
        <v>-1.6358429499903249</v>
      </c>
    </row>
    <row r="149" spans="1:22" x14ac:dyDescent="0.25">
      <c r="A149" s="2">
        <v>44463</v>
      </c>
      <c r="B149">
        <v>48090.879999999997</v>
      </c>
      <c r="C149">
        <v>10.19</v>
      </c>
      <c r="D149">
        <v>5.38</v>
      </c>
      <c r="F149">
        <f t="shared" si="28"/>
        <v>7.7850000000000001</v>
      </c>
      <c r="G149">
        <f t="shared" si="29"/>
        <v>-1.0662139457372768</v>
      </c>
      <c r="J149">
        <f t="shared" si="30"/>
        <v>0.67018173762695266</v>
      </c>
      <c r="L149">
        <f t="shared" si="31"/>
        <v>1.8940520446096654</v>
      </c>
      <c r="M149">
        <f t="shared" si="32"/>
        <v>-1.8179513584589615</v>
      </c>
      <c r="N149" s="26">
        <f t="shared" si="33"/>
        <v>-9935.4025000000111</v>
      </c>
      <c r="O149" s="26">
        <f t="shared" si="34"/>
        <v>240.29846153844846</v>
      </c>
      <c r="P149" s="26">
        <f t="shared" si="35"/>
        <v>-15409.311111111121</v>
      </c>
      <c r="Q149" s="26">
        <f t="shared" si="36"/>
        <v>0.12374999999999936</v>
      </c>
      <c r="R149" s="26">
        <f t="shared" si="37"/>
        <v>0.46932692307692125</v>
      </c>
      <c r="S149" s="26">
        <f t="shared" si="38"/>
        <v>-0.25337962962963179</v>
      </c>
      <c r="T149" s="26">
        <f t="shared" si="39"/>
        <v>-0.61905981362367246</v>
      </c>
      <c r="U149" s="26">
        <f t="shared" si="40"/>
        <v>-0.37025414291938574</v>
      </c>
      <c r="V149" s="26">
        <f t="shared" si="41"/>
        <v>-1.2811902069016319</v>
      </c>
    </row>
    <row r="150" spans="1:22" x14ac:dyDescent="0.25">
      <c r="A150" s="2">
        <v>44456</v>
      </c>
      <c r="B150">
        <v>50311.839999999997</v>
      </c>
      <c r="C150">
        <v>9.93</v>
      </c>
      <c r="D150">
        <v>4.54</v>
      </c>
      <c r="F150">
        <f t="shared" si="28"/>
        <v>7.2349999999999994</v>
      </c>
      <c r="G150">
        <f t="shared" si="29"/>
        <v>-0.96508903459494788</v>
      </c>
      <c r="J150">
        <f t="shared" si="30"/>
        <v>0.3449474190867084</v>
      </c>
      <c r="L150">
        <f t="shared" si="31"/>
        <v>2.1872246696035242</v>
      </c>
      <c r="M150">
        <f t="shared" si="32"/>
        <v>-1.655418942659731</v>
      </c>
      <c r="N150" s="26">
        <f t="shared" si="33"/>
        <v>-4251.9925000000076</v>
      </c>
      <c r="O150" s="26">
        <f t="shared" si="34"/>
        <v>4632.5511538461433</v>
      </c>
      <c r="P150" s="26">
        <f t="shared" si="35"/>
        <v>-10979.252037037018</v>
      </c>
      <c r="Q150" s="26">
        <f t="shared" si="36"/>
        <v>0.10750000000000082</v>
      </c>
      <c r="R150" s="26">
        <f t="shared" si="37"/>
        <v>0.264038461538461</v>
      </c>
      <c r="S150" s="26">
        <f t="shared" si="38"/>
        <v>-0.40379629629629754</v>
      </c>
      <c r="T150" s="26">
        <f t="shared" si="39"/>
        <v>-0.38875732728956214</v>
      </c>
      <c r="U150" s="26">
        <f t="shared" si="40"/>
        <v>-8.2603434558757627E-2</v>
      </c>
      <c r="V150" s="26">
        <f t="shared" si="41"/>
        <v>-1.0230791175462755</v>
      </c>
    </row>
    <row r="151" spans="1:22" x14ac:dyDescent="0.25">
      <c r="A151" s="2">
        <v>44449</v>
      </c>
      <c r="B151">
        <v>66490.89</v>
      </c>
      <c r="C151">
        <v>10.63</v>
      </c>
      <c r="D151">
        <v>3.46</v>
      </c>
      <c r="F151">
        <f t="shared" si="28"/>
        <v>7.0449999999999999</v>
      </c>
      <c r="G151">
        <f t="shared" si="29"/>
        <v>-0.21335310523746873</v>
      </c>
      <c r="J151">
        <f t="shared" si="30"/>
        <v>0.25503936907377356</v>
      </c>
      <c r="L151">
        <f t="shared" si="31"/>
        <v>3.0722543352601157</v>
      </c>
      <c r="M151">
        <f t="shared" si="32"/>
        <v>-0.9308703647218789</v>
      </c>
      <c r="N151" s="26">
        <f t="shared" si="33"/>
        <v>-622.08999999999651</v>
      </c>
      <c r="O151" s="26">
        <f t="shared" si="34"/>
        <v>6671.3871153846194</v>
      </c>
      <c r="P151" s="26">
        <f t="shared" si="35"/>
        <v>-8646.4508333333215</v>
      </c>
      <c r="Q151" s="26">
        <f t="shared" si="36"/>
        <v>8.6249999999999716E-2</v>
      </c>
      <c r="R151" s="26">
        <f t="shared" si="37"/>
        <v>9.2307692307691092E-2</v>
      </c>
      <c r="S151" s="26">
        <f t="shared" si="38"/>
        <v>-0.51074074074074005</v>
      </c>
      <c r="T151" s="26">
        <f t="shared" si="39"/>
        <v>-0.18689927258462813</v>
      </c>
      <c r="U151" s="26">
        <f t="shared" si="40"/>
        <v>9.4525527717903568E-2</v>
      </c>
      <c r="V151" s="26">
        <f t="shared" si="41"/>
        <v>-0.86481953078719886</v>
      </c>
    </row>
    <row r="152" spans="1:22" x14ac:dyDescent="0.25">
      <c r="A152" s="2">
        <v>44442</v>
      </c>
      <c r="B152">
        <v>65936.19</v>
      </c>
      <c r="C152">
        <v>10.35</v>
      </c>
      <c r="D152">
        <v>3.17</v>
      </c>
      <c r="F152">
        <f t="shared" si="28"/>
        <v>6.76</v>
      </c>
      <c r="G152">
        <f t="shared" si="29"/>
        <v>-0.22715153205603947</v>
      </c>
      <c r="J152">
        <f t="shared" si="30"/>
        <v>0.10570982589105622</v>
      </c>
      <c r="L152">
        <f t="shared" si="31"/>
        <v>3.2649842271293377</v>
      </c>
      <c r="M152">
        <f t="shared" si="32"/>
        <v>-0.78025763709857054</v>
      </c>
      <c r="N152" s="26">
        <f t="shared" si="33"/>
        <v>1970.8025000000052</v>
      </c>
      <c r="O152" s="26">
        <f t="shared" si="34"/>
        <v>6710.7526923077021</v>
      </c>
      <c r="P152" s="26">
        <f t="shared" si="35"/>
        <v>-7999.3372222222097</v>
      </c>
      <c r="Q152" s="26">
        <f t="shared" si="36"/>
        <v>0.14999999999999947</v>
      </c>
      <c r="R152" s="26">
        <f t="shared" si="37"/>
        <v>1.9423076923075655E-2</v>
      </c>
      <c r="S152" s="26">
        <f t="shared" si="38"/>
        <v>-0.49787037037037241</v>
      </c>
      <c r="T152" s="26">
        <f t="shared" si="39"/>
        <v>-3.2707770154633664E-2</v>
      </c>
      <c r="U152" s="26">
        <f t="shared" si="40"/>
        <v>0.1467354586378331</v>
      </c>
      <c r="V152" s="26">
        <f t="shared" si="41"/>
        <v>-0.81826208913500764</v>
      </c>
    </row>
    <row r="153" spans="1:22" x14ac:dyDescent="0.25">
      <c r="A153" s="2">
        <v>44435</v>
      </c>
      <c r="B153">
        <v>67501.38</v>
      </c>
      <c r="C153">
        <v>10.87</v>
      </c>
      <c r="D153">
        <v>3.55</v>
      </c>
      <c r="F153">
        <f t="shared" si="28"/>
        <v>7.2099999999999991</v>
      </c>
      <c r="G153">
        <f t="shared" si="29"/>
        <v>-0.13891460480664614</v>
      </c>
      <c r="J153">
        <f t="shared" si="30"/>
        <v>0.40444678028114922</v>
      </c>
      <c r="L153">
        <f t="shared" si="31"/>
        <v>3.0619718309859154</v>
      </c>
      <c r="M153">
        <f t="shared" si="32"/>
        <v>-0.97577169209353054</v>
      </c>
      <c r="N153" s="26">
        <f t="shared" si="33"/>
        <v>3953.0675000000119</v>
      </c>
      <c r="O153" s="26">
        <f t="shared" si="34"/>
        <v>5012.875576923092</v>
      </c>
      <c r="P153" s="26">
        <f t="shared" si="35"/>
        <v>-7820.2119444444397</v>
      </c>
      <c r="Q153" s="26">
        <f t="shared" si="36"/>
        <v>0.26124999999999954</v>
      </c>
      <c r="R153" s="26">
        <f t="shared" si="37"/>
        <v>-3.8653846153847482E-2</v>
      </c>
      <c r="S153" s="26">
        <f t="shared" si="38"/>
        <v>-0.42935185185185443</v>
      </c>
      <c r="T153" s="26">
        <f t="shared" si="39"/>
        <v>5.9007457452928236E-2</v>
      </c>
      <c r="U153" s="26">
        <f t="shared" si="40"/>
        <v>4.237887914579197E-2</v>
      </c>
      <c r="V153" s="26">
        <f t="shared" si="41"/>
        <v>-0.8272384653082403</v>
      </c>
    </row>
    <row r="154" spans="1:22" x14ac:dyDescent="0.25">
      <c r="A154" s="2">
        <v>44428</v>
      </c>
      <c r="B154">
        <v>62347.23</v>
      </c>
      <c r="C154">
        <v>10.32</v>
      </c>
      <c r="D154">
        <v>3.45</v>
      </c>
      <c r="F154">
        <f t="shared" si="28"/>
        <v>6.8849999999999998</v>
      </c>
      <c r="G154">
        <f t="shared" si="29"/>
        <v>-0.35564585567981666</v>
      </c>
      <c r="J154">
        <f t="shared" si="30"/>
        <v>0.2363110344275105</v>
      </c>
      <c r="L154">
        <f t="shared" si="31"/>
        <v>2.991304347826087</v>
      </c>
      <c r="M154">
        <f t="shared" si="32"/>
        <v>-1.0565774914545747</v>
      </c>
      <c r="N154" s="26">
        <f t="shared" si="33"/>
        <v>-182.24749999999767</v>
      </c>
      <c r="O154" s="26">
        <f t="shared" si="34"/>
        <v>1148.285192307696</v>
      </c>
      <c r="P154" s="26">
        <f t="shared" si="35"/>
        <v>-9029.8369444444252</v>
      </c>
      <c r="Q154" s="26">
        <f t="shared" si="36"/>
        <v>-0.16125000000000078</v>
      </c>
      <c r="R154" s="26">
        <f t="shared" si="37"/>
        <v>-0.35961538461538556</v>
      </c>
      <c r="S154" s="26">
        <f t="shared" si="38"/>
        <v>-0.54833333333333467</v>
      </c>
      <c r="T154" s="26">
        <f t="shared" si="39"/>
        <v>5.2506498510008992E-2</v>
      </c>
      <c r="U154" s="26">
        <f t="shared" si="40"/>
        <v>-2.1826708155552321E-2</v>
      </c>
      <c r="V154" s="26">
        <f t="shared" si="41"/>
        <v>-0.81167087159065199</v>
      </c>
    </row>
    <row r="155" spans="1:22" x14ac:dyDescent="0.25">
      <c r="A155" s="2">
        <v>44421</v>
      </c>
      <c r="B155">
        <v>71742.38</v>
      </c>
      <c r="C155">
        <v>11.12</v>
      </c>
      <c r="D155">
        <v>3.23</v>
      </c>
      <c r="F155">
        <f t="shared" si="28"/>
        <v>7.1749999999999998</v>
      </c>
      <c r="G155">
        <f t="shared" si="29"/>
        <v>7.9273568114098192E-2</v>
      </c>
      <c r="J155">
        <f t="shared" si="30"/>
        <v>0.43003284540445319</v>
      </c>
      <c r="L155">
        <f t="shared" si="31"/>
        <v>3.4427244582043341</v>
      </c>
      <c r="M155">
        <f t="shared" si="32"/>
        <v>-0.65212243048596941</v>
      </c>
      <c r="N155" s="26">
        <f t="shared" si="33"/>
        <v>-3893.5200000000041</v>
      </c>
      <c r="O155" s="26">
        <f t="shared" si="34"/>
        <v>-2864.5359615384514</v>
      </c>
      <c r="P155" s="26">
        <f t="shared" si="35"/>
        <v>-10377.43305555555</v>
      </c>
      <c r="Q155" s="26">
        <f t="shared" si="36"/>
        <v>-0.47499999999999964</v>
      </c>
      <c r="R155" s="26">
        <f t="shared" si="37"/>
        <v>-0.60817307692307665</v>
      </c>
      <c r="S155" s="26">
        <f t="shared" si="38"/>
        <v>-0.61865740740740716</v>
      </c>
      <c r="T155" s="26">
        <f t="shared" si="39"/>
        <v>-2.0163909551156767E-2</v>
      </c>
      <c r="U155" s="26">
        <f t="shared" si="40"/>
        <v>-0.21701414687363574</v>
      </c>
      <c r="V155" s="26">
        <f t="shared" si="41"/>
        <v>-0.8742686503564272</v>
      </c>
    </row>
    <row r="156" spans="1:22" x14ac:dyDescent="0.25">
      <c r="A156" s="2">
        <v>44414</v>
      </c>
      <c r="B156">
        <v>68980.42</v>
      </c>
      <c r="C156">
        <v>10.91</v>
      </c>
      <c r="D156">
        <v>3.21</v>
      </c>
      <c r="F156">
        <f t="shared" si="28"/>
        <v>7.0600000000000005</v>
      </c>
      <c r="G156">
        <f t="shared" si="29"/>
        <v>-2.1529443084110665E-2</v>
      </c>
      <c r="J156">
        <f t="shared" si="30"/>
        <v>0.38904896357745067</v>
      </c>
      <c r="L156">
        <f t="shared" si="31"/>
        <v>3.3987538940809969</v>
      </c>
      <c r="M156">
        <f t="shared" si="32"/>
        <v>-0.68407599461790536</v>
      </c>
      <c r="N156" s="26">
        <f t="shared" si="33"/>
        <v>10644.320000000007</v>
      </c>
      <c r="O156" s="26">
        <f t="shared" si="34"/>
        <v>-6210.429807692286</v>
      </c>
      <c r="P156" s="26">
        <f t="shared" si="35"/>
        <v>-12171.435648148123</v>
      </c>
      <c r="Q156" s="26">
        <f t="shared" si="36"/>
        <v>0.59375</v>
      </c>
      <c r="R156" s="26">
        <f t="shared" si="37"/>
        <v>-0.72788461538461657</v>
      </c>
      <c r="S156" s="26">
        <f t="shared" si="38"/>
        <v>-0.63805555555555671</v>
      </c>
      <c r="T156" s="26">
        <f t="shared" si="39"/>
        <v>0.19251546044245504</v>
      </c>
      <c r="U156" s="26">
        <f t="shared" si="40"/>
        <v>-0.45441772374500822</v>
      </c>
      <c r="V156" s="26">
        <f t="shared" si="41"/>
        <v>-0.99437578734318954</v>
      </c>
    </row>
    <row r="157" spans="1:22" x14ac:dyDescent="0.25">
      <c r="A157" s="2">
        <v>44407</v>
      </c>
      <c r="B157">
        <v>64178.239999999998</v>
      </c>
      <c r="C157">
        <v>10.29</v>
      </c>
      <c r="D157">
        <v>3.11</v>
      </c>
      <c r="F157">
        <f t="shared" si="28"/>
        <v>6.6999999999999993</v>
      </c>
      <c r="G157">
        <f t="shared" si="29"/>
        <v>-0.21449161875120312</v>
      </c>
      <c r="J157">
        <f t="shared" si="30"/>
        <v>0.20194159214082491</v>
      </c>
      <c r="L157">
        <f t="shared" si="31"/>
        <v>3.3086816720257235</v>
      </c>
      <c r="M157">
        <f t="shared" si="32"/>
        <v>-0.75383334149576453</v>
      </c>
      <c r="N157" s="26">
        <f t="shared" si="33"/>
        <v>25290.160000000003</v>
      </c>
      <c r="O157" s="26">
        <f t="shared" si="34"/>
        <v>-9527.7750000000015</v>
      </c>
      <c r="P157" s="26">
        <f t="shared" si="35"/>
        <v>-14341.12759259258</v>
      </c>
      <c r="Q157" s="26">
        <f t="shared" si="36"/>
        <v>0.75499999999999989</v>
      </c>
      <c r="R157" s="26">
        <f t="shared" si="37"/>
        <v>-0.85413461538461544</v>
      </c>
      <c r="S157" s="26">
        <f t="shared" si="38"/>
        <v>-0.68615740740740794</v>
      </c>
      <c r="T157" s="26">
        <f t="shared" si="39"/>
        <v>0.62186084386898077</v>
      </c>
      <c r="U157" s="26">
        <f t="shared" si="40"/>
        <v>-0.68584468969652024</v>
      </c>
      <c r="V157" s="26">
        <f t="shared" si="41"/>
        <v>-1.1283759233455086</v>
      </c>
    </row>
    <row r="158" spans="1:22" x14ac:dyDescent="0.25">
      <c r="A158" s="2">
        <v>44400</v>
      </c>
      <c r="B158">
        <v>59863.01</v>
      </c>
      <c r="C158">
        <v>9.92</v>
      </c>
      <c r="D158">
        <v>3.32</v>
      </c>
      <c r="F158">
        <f t="shared" si="28"/>
        <v>6.62</v>
      </c>
      <c r="G158">
        <f t="shared" si="29"/>
        <v>-0.38766221076525853</v>
      </c>
      <c r="J158">
        <f t="shared" si="30"/>
        <v>0.17389767623526195</v>
      </c>
      <c r="L158">
        <f t="shared" si="31"/>
        <v>2.987951807228916</v>
      </c>
      <c r="M158">
        <f t="shared" si="32"/>
        <v>-1.0363260001704415</v>
      </c>
      <c r="N158" s="26">
        <f t="shared" si="33"/>
        <v>30907.800000000003</v>
      </c>
      <c r="O158" s="26">
        <f t="shared" si="34"/>
        <v>-4797.8703846153803</v>
      </c>
      <c r="P158" s="26">
        <f t="shared" si="35"/>
        <v>-9723.9664814814751</v>
      </c>
      <c r="Q158" s="26">
        <f t="shared" si="36"/>
        <v>1.0950000000000006</v>
      </c>
      <c r="R158" s="26">
        <f t="shared" si="37"/>
        <v>-0.41067307692307775</v>
      </c>
      <c r="S158" s="26">
        <f t="shared" si="38"/>
        <v>-0.24856481481481563</v>
      </c>
      <c r="T158" s="26">
        <f t="shared" si="39"/>
        <v>0.84820861310166729</v>
      </c>
      <c r="U158" s="26">
        <f t="shared" si="40"/>
        <v>-0.77951226353901504</v>
      </c>
      <c r="V158" s="26">
        <f t="shared" si="41"/>
        <v>-1.0714365091800921</v>
      </c>
    </row>
    <row r="159" spans="1:22" x14ac:dyDescent="0.25">
      <c r="A159" s="2">
        <v>44393</v>
      </c>
      <c r="B159">
        <v>66622.3</v>
      </c>
      <c r="C159">
        <v>10.74</v>
      </c>
      <c r="D159">
        <v>3.36</v>
      </c>
      <c r="F159">
        <f t="shared" si="28"/>
        <v>7.05</v>
      </c>
      <c r="G159">
        <f t="shared" si="29"/>
        <v>-8.1792525912566708E-2</v>
      </c>
      <c r="J159">
        <f t="shared" si="30"/>
        <v>0.43756177859739209</v>
      </c>
      <c r="L159">
        <f t="shared" si="31"/>
        <v>3.1964285714285716</v>
      </c>
      <c r="M159">
        <f t="shared" si="32"/>
        <v>-0.84549031134414698</v>
      </c>
      <c r="N159" s="26">
        <f t="shared" si="33"/>
        <v>33682.432500000003</v>
      </c>
      <c r="O159" s="26">
        <f t="shared" si="34"/>
        <v>-3014.2413461538526</v>
      </c>
      <c r="P159" s="26">
        <f t="shared" si="35"/>
        <v>-7465.5697222222079</v>
      </c>
      <c r="Q159" s="26">
        <f t="shared" si="36"/>
        <v>1.2424999999999997</v>
      </c>
      <c r="R159" s="26">
        <f t="shared" si="37"/>
        <v>-0.30086538461538481</v>
      </c>
      <c r="S159" s="26">
        <f t="shared" si="38"/>
        <v>-2.7314814814820565E-3</v>
      </c>
      <c r="T159" s="26">
        <f t="shared" si="39"/>
        <v>0.95929812872749931</v>
      </c>
      <c r="U159" s="26">
        <f t="shared" si="40"/>
        <v>-0.86737771774060013</v>
      </c>
      <c r="V159" s="26">
        <f t="shared" si="41"/>
        <v>-1.1138744593867576</v>
      </c>
    </row>
    <row r="160" spans="1:22" x14ac:dyDescent="0.25">
      <c r="A160" s="2">
        <v>44386</v>
      </c>
      <c r="B160">
        <v>64095.59</v>
      </c>
      <c r="C160">
        <v>10.51</v>
      </c>
      <c r="D160">
        <v>3.32</v>
      </c>
      <c r="F160">
        <f t="shared" si="28"/>
        <v>6.915</v>
      </c>
      <c r="G160">
        <f t="shared" si="29"/>
        <v>-0.17410512024035088</v>
      </c>
      <c r="J160">
        <f t="shared" si="30"/>
        <v>0.37733859842881839</v>
      </c>
      <c r="L160">
        <f t="shared" si="31"/>
        <v>3.1656626506024099</v>
      </c>
      <c r="M160">
        <f t="shared" si="32"/>
        <v>-0.85399232820740445</v>
      </c>
      <c r="N160" s="26">
        <f t="shared" si="33"/>
        <v>-37.057499999995343</v>
      </c>
      <c r="O160" s="26">
        <f t="shared" si="34"/>
        <v>-25263.715192307689</v>
      </c>
      <c r="P160" s="26">
        <f t="shared" si="35"/>
        <v>-25797.088981481473</v>
      </c>
      <c r="Q160" s="26">
        <f t="shared" si="36"/>
        <v>-1.1900000000000004</v>
      </c>
      <c r="R160" s="26">
        <f t="shared" si="37"/>
        <v>-1.8131730769230767</v>
      </c>
      <c r="S160" s="26">
        <f t="shared" si="38"/>
        <v>-1.2458796296296315</v>
      </c>
      <c r="T160" s="26">
        <f t="shared" si="39"/>
        <v>0.38442689009633035</v>
      </c>
      <c r="U160" s="26">
        <f t="shared" si="40"/>
        <v>-1.3613214540353926</v>
      </c>
      <c r="V160" s="26">
        <f t="shared" si="41"/>
        <v>-1.4822491875933563</v>
      </c>
    </row>
    <row r="161" spans="1:22" x14ac:dyDescent="0.25">
      <c r="A161" s="2">
        <v>44379</v>
      </c>
      <c r="B161">
        <v>77396.36</v>
      </c>
      <c r="C161">
        <v>12.32</v>
      </c>
      <c r="D161">
        <v>3.44</v>
      </c>
      <c r="F161">
        <f t="shared" si="28"/>
        <v>7.88</v>
      </c>
      <c r="G161">
        <f t="shared" si="29"/>
        <v>0.40817240833373231</v>
      </c>
      <c r="J161">
        <f t="shared" si="30"/>
        <v>0.933518977684346</v>
      </c>
      <c r="L161">
        <f t="shared" si="31"/>
        <v>3.5813953488372094</v>
      </c>
      <c r="M161">
        <f t="shared" si="32"/>
        <v>-0.45299788954225989</v>
      </c>
      <c r="N161" s="26">
        <f t="shared" si="33"/>
        <v>-37821.747500000005</v>
      </c>
      <c r="O161" s="26">
        <f t="shared" si="34"/>
        <v>-48160.193461538474</v>
      </c>
      <c r="P161" s="26">
        <f t="shared" si="35"/>
        <v>-45218.617962962955</v>
      </c>
      <c r="Q161" s="26">
        <f t="shared" si="36"/>
        <v>-1.9924999999999997</v>
      </c>
      <c r="R161" s="26">
        <f t="shared" si="37"/>
        <v>-2.1095192307692301</v>
      </c>
      <c r="S161" s="26">
        <f t="shared" si="38"/>
        <v>-1.4937500000000021</v>
      </c>
      <c r="T161" s="26">
        <f t="shared" si="39"/>
        <v>-0.79139964979890021</v>
      </c>
      <c r="U161" s="26">
        <f t="shared" si="40"/>
        <v>-2.1419550614457741</v>
      </c>
      <c r="V161" s="26">
        <f t="shared" si="41"/>
        <v>-2.173619417887422</v>
      </c>
    </row>
    <row r="162" spans="1:22" x14ac:dyDescent="0.25">
      <c r="A162" s="2">
        <v>44372</v>
      </c>
      <c r="B162">
        <v>72223.88</v>
      </c>
      <c r="C162">
        <v>11.66</v>
      </c>
      <c r="D162">
        <v>3.56</v>
      </c>
      <c r="F162">
        <f t="shared" si="28"/>
        <v>7.61</v>
      </c>
      <c r="G162">
        <f t="shared" si="29"/>
        <v>0.212768970253807</v>
      </c>
      <c r="J162">
        <f t="shared" si="30"/>
        <v>0.7952035436589302</v>
      </c>
      <c r="L162">
        <f t="shared" si="31"/>
        <v>3.2752808988764044</v>
      </c>
      <c r="M162">
        <f t="shared" si="32"/>
        <v>-0.67663633386307898</v>
      </c>
      <c r="N162" s="26">
        <f t="shared" si="33"/>
        <v>-48335.520000000004</v>
      </c>
      <c r="O162" s="26">
        <f t="shared" si="34"/>
        <v>-52318.24500000001</v>
      </c>
      <c r="P162" s="26">
        <f t="shared" si="35"/>
        <v>-48454.255740740729</v>
      </c>
      <c r="Q162" s="26">
        <f t="shared" si="36"/>
        <v>-2.3100000000000014</v>
      </c>
      <c r="R162" s="26">
        <f t="shared" si="37"/>
        <v>-2.1752884615384636</v>
      </c>
      <c r="S162" s="26">
        <f t="shared" si="38"/>
        <v>-1.4583796296296327</v>
      </c>
      <c r="T162" s="26">
        <f t="shared" si="39"/>
        <v>-1.5099247239168343</v>
      </c>
      <c r="U162" s="26">
        <f t="shared" si="40"/>
        <v>-2.4148594183082595</v>
      </c>
      <c r="V162" s="26">
        <f t="shared" si="41"/>
        <v>-2.4481230509181864</v>
      </c>
    </row>
    <row r="163" spans="1:22" x14ac:dyDescent="0.25">
      <c r="A163" s="2">
        <v>44365</v>
      </c>
      <c r="B163">
        <v>3350.86</v>
      </c>
      <c r="C163">
        <v>3.59</v>
      </c>
      <c r="D163">
        <v>1.71</v>
      </c>
      <c r="F163">
        <f t="shared" si="28"/>
        <v>2.65</v>
      </c>
      <c r="G163">
        <f t="shared" si="29"/>
        <v>-2.6335039759179923</v>
      </c>
      <c r="J163">
        <f t="shared" si="30"/>
        <v>-2.071281427734823</v>
      </c>
      <c r="L163">
        <f t="shared" si="31"/>
        <v>2.0994152046783627</v>
      </c>
      <c r="M163">
        <f t="shared" si="32"/>
        <v>-1.6064882802678553</v>
      </c>
      <c r="N163" s="26">
        <f t="shared" si="33"/>
        <v>-55552.807500000017</v>
      </c>
      <c r="O163" s="26">
        <f t="shared" si="34"/>
        <v>-52335.850769230783</v>
      </c>
      <c r="P163" s="26">
        <f t="shared" si="35"/>
        <v>-48603.197407407402</v>
      </c>
      <c r="Q163" s="26">
        <f t="shared" si="36"/>
        <v>-2.5112500000000004</v>
      </c>
      <c r="R163" s="26">
        <f t="shared" si="37"/>
        <v>-2.0187500000000007</v>
      </c>
      <c r="S163" s="26">
        <f t="shared" si="38"/>
        <v>-1.2689351851851862</v>
      </c>
      <c r="T163" s="26">
        <f t="shared" si="39"/>
        <v>-2.0059093072062972</v>
      </c>
      <c r="U163" s="26">
        <f t="shared" si="40"/>
        <v>-2.5104049742514065</v>
      </c>
      <c r="V163" s="26">
        <f t="shared" si="41"/>
        <v>-2.5676864019992585</v>
      </c>
    </row>
    <row r="164" spans="1:22" x14ac:dyDescent="0.25">
      <c r="A164" s="2">
        <v>44358</v>
      </c>
      <c r="B164">
        <v>627.4</v>
      </c>
      <c r="C164">
        <v>6.72</v>
      </c>
      <c r="D164">
        <v>5.53</v>
      </c>
      <c r="F164">
        <f t="shared" si="28"/>
        <v>6.125</v>
      </c>
      <c r="G164">
        <f t="shared" si="29"/>
        <v>-2.8779933605583712</v>
      </c>
      <c r="J164">
        <f t="shared" si="30"/>
        <v>-0.10851993930118409</v>
      </c>
      <c r="L164">
        <f t="shared" si="31"/>
        <v>1.2151898734177213</v>
      </c>
      <c r="M164">
        <f t="shared" si="32"/>
        <v>-2.2852846268931875</v>
      </c>
      <c r="N164" s="26">
        <f t="shared" si="33"/>
        <v>-44900.824999999997</v>
      </c>
      <c r="O164" s="26">
        <f t="shared" si="34"/>
        <v>-34738.319230769222</v>
      </c>
      <c r="P164" s="26">
        <f t="shared" si="35"/>
        <v>-30566.223333333313</v>
      </c>
      <c r="Q164" s="26">
        <f t="shared" si="36"/>
        <v>-1.4312499999999995</v>
      </c>
      <c r="R164" s="26">
        <f t="shared" si="37"/>
        <v>-0.64086538461538378</v>
      </c>
      <c r="S164" s="26">
        <f t="shared" si="38"/>
        <v>0.18208333333333293</v>
      </c>
      <c r="T164" s="26">
        <f t="shared" si="39"/>
        <v>-2.25844290055527</v>
      </c>
      <c r="U164" s="26">
        <f t="shared" si="40"/>
        <v>-2.2616750914599555</v>
      </c>
      <c r="V164" s="26">
        <f t="shared" si="41"/>
        <v>-2.3210369995788076</v>
      </c>
    </row>
    <row r="165" spans="1:22" x14ac:dyDescent="0.25">
      <c r="A165" s="2">
        <v>44351</v>
      </c>
      <c r="B165">
        <v>68143.92</v>
      </c>
      <c r="C165">
        <v>11.5</v>
      </c>
      <c r="D165">
        <v>3.9</v>
      </c>
      <c r="F165">
        <f t="shared" si="28"/>
        <v>7.7</v>
      </c>
      <c r="G165">
        <f t="shared" si="29"/>
        <v>3.8858753436922605E-2</v>
      </c>
      <c r="J165">
        <f t="shared" si="30"/>
        <v>0.83500179697933918</v>
      </c>
      <c r="L165">
        <f t="shared" si="31"/>
        <v>2.9487179487179489</v>
      </c>
      <c r="M165">
        <f t="shared" si="32"/>
        <v>-0.8815272358592281</v>
      </c>
      <c r="N165" s="26">
        <f t="shared" si="33"/>
        <v>-24278.35500000001</v>
      </c>
      <c r="O165" s="26">
        <f t="shared" si="34"/>
        <v>-12228.562115384615</v>
      </c>
      <c r="P165" s="26">
        <f t="shared" si="35"/>
        <v>-7731.6674999999814</v>
      </c>
      <c r="Q165" s="26">
        <f t="shared" si="36"/>
        <v>-0.73999999999999844</v>
      </c>
      <c r="R165" s="26">
        <f t="shared" si="37"/>
        <v>5.1442307692308731E-2</v>
      </c>
      <c r="S165" s="26">
        <f t="shared" si="38"/>
        <v>0.9331944444444451</v>
      </c>
      <c r="T165" s="26">
        <f t="shared" si="39"/>
        <v>-1.9487821006865182</v>
      </c>
      <c r="U165" s="26">
        <f t="shared" si="40"/>
        <v>-1.5871444441316189</v>
      </c>
      <c r="V165" s="26">
        <f t="shared" si="41"/>
        <v>-1.6391857483743912</v>
      </c>
    </row>
    <row r="166" spans="1:22" x14ac:dyDescent="0.25">
      <c r="A166" s="2">
        <v>44344</v>
      </c>
      <c r="B166">
        <v>73486.22</v>
      </c>
      <c r="C166">
        <v>12.13</v>
      </c>
      <c r="D166">
        <v>3.89</v>
      </c>
      <c r="F166">
        <f t="shared" si="28"/>
        <v>8.01</v>
      </c>
      <c r="G166">
        <f t="shared" si="29"/>
        <v>0.30950648911063844</v>
      </c>
      <c r="J166">
        <f t="shared" si="30"/>
        <v>1.0383897266089819</v>
      </c>
      <c r="L166">
        <f t="shared" si="31"/>
        <v>3.1182519280205656</v>
      </c>
      <c r="M166">
        <f t="shared" si="32"/>
        <v>-0.68859308508409334</v>
      </c>
      <c r="N166" s="26">
        <f t="shared" si="33"/>
        <v>-13677.39499999999</v>
      </c>
      <c r="O166" s="26">
        <f t="shared" si="34"/>
        <v>-3164.1534615384735</v>
      </c>
      <c r="P166" s="26">
        <f t="shared" si="35"/>
        <v>2099.4183333333349</v>
      </c>
      <c r="Q166" s="26">
        <f t="shared" si="36"/>
        <v>-0.29124999999999801</v>
      </c>
      <c r="R166" s="26">
        <f t="shared" si="37"/>
        <v>0.40740384615384784</v>
      </c>
      <c r="S166" s="26">
        <f t="shared" si="38"/>
        <v>1.3643981481481484</v>
      </c>
      <c r="T166" s="26">
        <f t="shared" si="39"/>
        <v>-1.4450578319974605</v>
      </c>
      <c r="U166" s="26">
        <f t="shared" si="40"/>
        <v>-0.98803533684336209</v>
      </c>
      <c r="V166" s="26">
        <f t="shared" si="41"/>
        <v>-1.0233695608886029</v>
      </c>
    </row>
    <row r="167" spans="1:22" x14ac:dyDescent="0.25">
      <c r="A167" s="2">
        <v>44337</v>
      </c>
      <c r="B167">
        <v>74957.38</v>
      </c>
      <c r="C167">
        <v>12.25</v>
      </c>
      <c r="D167">
        <v>3.71</v>
      </c>
      <c r="F167">
        <f t="shared" si="28"/>
        <v>7.98</v>
      </c>
      <c r="G167">
        <f t="shared" si="29"/>
        <v>0.40279977605559364</v>
      </c>
      <c r="J167">
        <f t="shared" si="30"/>
        <v>1.039456462044493</v>
      </c>
      <c r="L167">
        <f t="shared" si="31"/>
        <v>3.3018867924528301</v>
      </c>
      <c r="M167">
        <f t="shared" si="32"/>
        <v>-0.49577980127979954</v>
      </c>
      <c r="N167" s="26">
        <f t="shared" si="33"/>
        <v>5043.2825000000157</v>
      </c>
      <c r="O167" s="26">
        <f t="shared" si="34"/>
        <v>5824.4975000000122</v>
      </c>
      <c r="P167" s="26">
        <f t="shared" si="35"/>
        <v>11722.312685185199</v>
      </c>
      <c r="Q167" s="26">
        <f t="shared" si="36"/>
        <v>0.82625000000000082</v>
      </c>
      <c r="R167" s="26">
        <f t="shared" si="37"/>
        <v>0.860961538461539</v>
      </c>
      <c r="S167" s="26">
        <f t="shared" si="38"/>
        <v>1.8462037037037025</v>
      </c>
      <c r="T167" s="26">
        <f t="shared" si="39"/>
        <v>-1.1733884834480532</v>
      </c>
      <c r="U167" s="26">
        <f t="shared" si="40"/>
        <v>-0.50045415106473534</v>
      </c>
      <c r="V167" s="26">
        <f t="shared" si="41"/>
        <v>-0.495285080616652</v>
      </c>
    </row>
    <row r="168" spans="1:22" x14ac:dyDescent="0.25">
      <c r="A168" s="2">
        <v>44330</v>
      </c>
      <c r="B168">
        <v>88297.97</v>
      </c>
      <c r="C168">
        <v>13.65</v>
      </c>
      <c r="D168">
        <v>3.44</v>
      </c>
      <c r="F168">
        <f t="shared" si="28"/>
        <v>8.5449999999999999</v>
      </c>
      <c r="G168">
        <f t="shared" si="29"/>
        <v>0.9548386129847023</v>
      </c>
      <c r="J168">
        <f t="shared" si="30"/>
        <v>1.4066698649721718</v>
      </c>
      <c r="L168">
        <f t="shared" si="31"/>
        <v>3.9680232558139537</v>
      </c>
      <c r="M168">
        <f t="shared" si="32"/>
        <v>3.6867316874289187E-2</v>
      </c>
      <c r="N168" s="26">
        <f t="shared" si="33"/>
        <v>15979.539999999994</v>
      </c>
      <c r="O168" s="26">
        <f t="shared" si="34"/>
        <v>15347.148846153839</v>
      </c>
      <c r="P168" s="26">
        <f t="shared" si="35"/>
        <v>21316.619074074071</v>
      </c>
      <c r="Q168" s="26">
        <f t="shared" si="36"/>
        <v>0.97625000000000028</v>
      </c>
      <c r="R168" s="26">
        <f t="shared" si="37"/>
        <v>1.3073076923076927</v>
      </c>
      <c r="S168" s="26">
        <f t="shared" si="38"/>
        <v>2.2781481481481487</v>
      </c>
      <c r="T168" s="26">
        <f t="shared" si="39"/>
        <v>-0.57945164258750381</v>
      </c>
      <c r="U168" s="26">
        <f t="shared" si="40"/>
        <v>0.1266084688396738</v>
      </c>
      <c r="V168" s="26">
        <f t="shared" si="41"/>
        <v>0.1626830137195947</v>
      </c>
    </row>
    <row r="169" spans="1:22" x14ac:dyDescent="0.25">
      <c r="A169" s="2">
        <v>44323</v>
      </c>
      <c r="B169">
        <v>100946.57</v>
      </c>
      <c r="C169">
        <v>14.74</v>
      </c>
      <c r="D169">
        <v>2.84</v>
      </c>
      <c r="F169">
        <f t="shared" si="28"/>
        <v>8.7899999999999991</v>
      </c>
      <c r="G169">
        <f t="shared" si="29"/>
        <v>1.4509245237138606</v>
      </c>
      <c r="J169">
        <f t="shared" si="30"/>
        <v>1.5960479367628007</v>
      </c>
      <c r="L169">
        <f t="shared" si="31"/>
        <v>5.1901408450704229</v>
      </c>
      <c r="M169">
        <f t="shared" si="32"/>
        <v>0.92470725023865641</v>
      </c>
      <c r="N169" s="26">
        <f t="shared" si="33"/>
        <v>18903.91750000001</v>
      </c>
      <c r="O169" s="26">
        <f t="shared" si="34"/>
        <v>17719.17057692309</v>
      </c>
      <c r="P169" s="26">
        <f t="shared" si="35"/>
        <v>24460.674537037048</v>
      </c>
      <c r="Q169" s="26">
        <f t="shared" si="36"/>
        <v>0.93749999999999822</v>
      </c>
      <c r="R169" s="26">
        <f t="shared" si="37"/>
        <v>1.3341346153846132</v>
      </c>
      <c r="S169" s="26">
        <f t="shared" si="38"/>
        <v>2.3456018518518498</v>
      </c>
      <c r="T169" s="26">
        <f t="shared" si="39"/>
        <v>-6.9198320816526326E-2</v>
      </c>
      <c r="U169" s="26">
        <f t="shared" si="40"/>
        <v>0.56875226486699759</v>
      </c>
      <c r="V169" s="26">
        <f t="shared" si="41"/>
        <v>0.63055876981809433</v>
      </c>
    </row>
    <row r="170" spans="1:22" x14ac:dyDescent="0.25">
      <c r="A170" s="2">
        <v>44316</v>
      </c>
      <c r="B170">
        <v>103617.71</v>
      </c>
      <c r="C170">
        <v>15.33</v>
      </c>
      <c r="D170">
        <v>3.1</v>
      </c>
      <c r="F170">
        <f t="shared" si="28"/>
        <v>9.2149999999999999</v>
      </c>
      <c r="G170">
        <f t="shared" si="29"/>
        <v>1.5709226457161636</v>
      </c>
      <c r="J170">
        <f t="shared" si="30"/>
        <v>1.9123408808344324</v>
      </c>
      <c r="L170">
        <f t="shared" si="31"/>
        <v>4.9451612903225808</v>
      </c>
      <c r="M170">
        <f t="shared" si="32"/>
        <v>0.78670827091173778</v>
      </c>
      <c r="N170" s="26">
        <f t="shared" si="33"/>
        <v>16337.464999999997</v>
      </c>
      <c r="O170" s="26">
        <f t="shared" si="34"/>
        <v>16153.146153846144</v>
      </c>
      <c r="P170" s="26">
        <f t="shared" si="35"/>
        <v>23695.277037037027</v>
      </c>
      <c r="Q170" s="26">
        <f t="shared" si="36"/>
        <v>0.92999999999999883</v>
      </c>
      <c r="R170" s="26">
        <f t="shared" si="37"/>
        <v>1.2621153846153828</v>
      </c>
      <c r="S170" s="26">
        <f t="shared" si="38"/>
        <v>2.3176851851851819</v>
      </c>
      <c r="T170" s="26">
        <f t="shared" si="39"/>
        <v>8.5502240273592101E-2</v>
      </c>
      <c r="U170" s="26">
        <f t="shared" si="40"/>
        <v>0.67460238429158981</v>
      </c>
      <c r="V170" s="26">
        <f t="shared" si="41"/>
        <v>0.75505678091142681</v>
      </c>
    </row>
    <row r="171" spans="1:22" x14ac:dyDescent="0.25">
      <c r="A171" s="2">
        <v>44309</v>
      </c>
      <c r="B171">
        <v>103955.97</v>
      </c>
      <c r="C171">
        <v>15.22</v>
      </c>
      <c r="D171">
        <v>2.76</v>
      </c>
      <c r="F171">
        <f t="shared" si="28"/>
        <v>8.99</v>
      </c>
      <c r="G171">
        <f t="shared" si="29"/>
        <v>1.622056632961431</v>
      </c>
      <c r="J171">
        <f t="shared" si="30"/>
        <v>1.8242689021280087</v>
      </c>
      <c r="L171">
        <f t="shared" si="31"/>
        <v>5.5144927536231894</v>
      </c>
      <c r="M171">
        <f t="shared" si="32"/>
        <v>1.188552642815544</v>
      </c>
      <c r="N171" s="26">
        <f t="shared" si="33"/>
        <v>-3165.757500000007</v>
      </c>
      <c r="O171" s="26">
        <f t="shared" si="34"/>
        <v>2593.1734615384776</v>
      </c>
      <c r="P171" s="26">
        <f t="shared" si="35"/>
        <v>12746.755370370374</v>
      </c>
      <c r="Q171" s="26">
        <f t="shared" si="36"/>
        <v>-0.39125000000000032</v>
      </c>
      <c r="R171" s="26">
        <f t="shared" si="37"/>
        <v>0.34701923076922991</v>
      </c>
      <c r="S171" s="26">
        <f t="shared" si="38"/>
        <v>1.5618055555555541</v>
      </c>
      <c r="T171" s="26">
        <f t="shared" si="39"/>
        <v>0.58184028752076422</v>
      </c>
      <c r="U171" s="26">
        <f t="shared" si="40"/>
        <v>0.89620597856710305</v>
      </c>
      <c r="V171" s="26">
        <f t="shared" si="41"/>
        <v>1.0048647877998977</v>
      </c>
    </row>
    <row r="172" spans="1:22" x14ac:dyDescent="0.25">
      <c r="A172" s="2">
        <v>44302</v>
      </c>
      <c r="B172">
        <v>93478.66</v>
      </c>
      <c r="C172">
        <v>13.87</v>
      </c>
      <c r="D172">
        <v>2.5299999999999998</v>
      </c>
      <c r="F172">
        <f t="shared" si="28"/>
        <v>8.1999999999999993</v>
      </c>
      <c r="G172">
        <f t="shared" si="29"/>
        <v>1.3039146182383077</v>
      </c>
      <c r="J172">
        <f t="shared" si="30"/>
        <v>1.3495990706849572</v>
      </c>
      <c r="L172">
        <f t="shared" si="31"/>
        <v>5.4822134387351777</v>
      </c>
      <c r="M172">
        <f t="shared" si="32"/>
        <v>1.2060377146944077</v>
      </c>
      <c r="N172" s="26">
        <f t="shared" si="33"/>
        <v>-4004.4100000000035</v>
      </c>
      <c r="O172" s="26">
        <f t="shared" si="34"/>
        <v>2541.5026923076948</v>
      </c>
      <c r="P172" s="26">
        <f t="shared" si="35"/>
        <v>10547.373518518521</v>
      </c>
      <c r="Q172" s="26">
        <f t="shared" si="36"/>
        <v>0.24249999999999972</v>
      </c>
      <c r="R172" s="26">
        <f t="shared" si="37"/>
        <v>0.86259615384615262</v>
      </c>
      <c r="S172" s="26">
        <f t="shared" si="38"/>
        <v>1.8613425925925906</v>
      </c>
      <c r="T172" s="26">
        <f t="shared" si="39"/>
        <v>0.91639277479064241</v>
      </c>
      <c r="U172" s="26">
        <f t="shared" si="40"/>
        <v>0.96822854080705589</v>
      </c>
      <c r="V172" s="26">
        <f t="shared" si="41"/>
        <v>1.0172530928152321</v>
      </c>
    </row>
    <row r="173" spans="1:22" x14ac:dyDescent="0.25">
      <c r="A173" s="2">
        <v>44295</v>
      </c>
      <c r="B173">
        <v>91345.38</v>
      </c>
      <c r="C173">
        <v>13.65</v>
      </c>
      <c r="D173">
        <v>2.52</v>
      </c>
      <c r="F173">
        <f t="shared" si="28"/>
        <v>8.0850000000000009</v>
      </c>
      <c r="G173">
        <f t="shared" si="29"/>
        <v>1.2689116502451476</v>
      </c>
      <c r="J173">
        <f t="shared" si="30"/>
        <v>1.2877682064131928</v>
      </c>
      <c r="L173">
        <f t="shared" si="31"/>
        <v>5.416666666666667</v>
      </c>
      <c r="M173">
        <f t="shared" si="32"/>
        <v>1.2039572542311434</v>
      </c>
      <c r="N173" s="26">
        <f t="shared" si="33"/>
        <v>-3620.820000000007</v>
      </c>
      <c r="O173" s="26">
        <f t="shared" si="34"/>
        <v>318.35923076924519</v>
      </c>
      <c r="P173" s="26">
        <f t="shared" si="35"/>
        <v>10343.874814814815</v>
      </c>
      <c r="Q173" s="26">
        <f t="shared" si="36"/>
        <v>0.34999999999999964</v>
      </c>
      <c r="R173" s="26">
        <f t="shared" si="37"/>
        <v>0.84240384615384567</v>
      </c>
      <c r="S173" s="26">
        <f t="shared" si="38"/>
        <v>1.9621759259259246</v>
      </c>
      <c r="T173" s="26">
        <f t="shared" si="39"/>
        <v>1.0294268382853495</v>
      </c>
      <c r="U173" s="26">
        <f t="shared" si="40"/>
        <v>0.72843148872758157</v>
      </c>
      <c r="V173" s="26">
        <f t="shared" si="41"/>
        <v>0.92522302022304448</v>
      </c>
    </row>
    <row r="174" spans="1:22" x14ac:dyDescent="0.25">
      <c r="A174" s="2">
        <v>44288</v>
      </c>
      <c r="B174">
        <v>58866.49</v>
      </c>
      <c r="C174">
        <v>10.119999999999999</v>
      </c>
      <c r="D174">
        <v>1.78</v>
      </c>
      <c r="F174">
        <f t="shared" si="28"/>
        <v>5.9499999999999993</v>
      </c>
      <c r="G174">
        <f t="shared" si="29"/>
        <v>0.19815605280009246</v>
      </c>
      <c r="J174">
        <f t="shared" si="30"/>
        <v>-0.13540440700014392</v>
      </c>
      <c r="L174">
        <f t="shared" si="31"/>
        <v>5.6853932584269655</v>
      </c>
      <c r="M174">
        <f t="shared" si="32"/>
        <v>1.4162564647076701</v>
      </c>
      <c r="N174" s="26">
        <f t="shared" si="33"/>
        <v>-602.28500000000349</v>
      </c>
      <c r="O174" s="26">
        <f t="shared" si="34"/>
        <v>2083.7711538461444</v>
      </c>
      <c r="P174" s="26">
        <f t="shared" si="35"/>
        <v>11907.383518518502</v>
      </c>
      <c r="Q174" s="26">
        <f t="shared" si="36"/>
        <v>0.18124999999999947</v>
      </c>
      <c r="R174" s="26">
        <f t="shared" si="37"/>
        <v>0.74249999999999883</v>
      </c>
      <c r="S174" s="26">
        <f t="shared" si="38"/>
        <v>1.9049074074074053</v>
      </c>
      <c r="T174" s="26">
        <f t="shared" si="39"/>
        <v>1.1509969602365695</v>
      </c>
      <c r="U174" s="26">
        <f t="shared" si="40"/>
        <v>0.65987758328343205</v>
      </c>
      <c r="V174" s="26">
        <f t="shared" si="41"/>
        <v>0.86296572858882481</v>
      </c>
    </row>
    <row r="175" spans="1:22" x14ac:dyDescent="0.25">
      <c r="A175" s="2">
        <v>44287</v>
      </c>
      <c r="B175">
        <v>89209.53</v>
      </c>
      <c r="C175">
        <v>15.84</v>
      </c>
      <c r="D175">
        <v>2.96</v>
      </c>
      <c r="F175">
        <f t="shared" si="28"/>
        <v>9.4</v>
      </c>
      <c r="G175">
        <f t="shared" si="29"/>
        <v>1.2376993395495028</v>
      </c>
      <c r="J175">
        <f t="shared" si="30"/>
        <v>2.1154179150780532</v>
      </c>
      <c r="L175">
        <f t="shared" si="31"/>
        <v>5.3513513513513518</v>
      </c>
      <c r="M175">
        <f t="shared" si="32"/>
        <v>1.257014864611985</v>
      </c>
      <c r="N175" s="26">
        <f t="shared" si="33"/>
        <v>8315.7050000000163</v>
      </c>
      <c r="O175" s="26">
        <f t="shared" si="34"/>
        <v>10055.324038461549</v>
      </c>
      <c r="P175" s="26">
        <f t="shared" si="35"/>
        <v>21828.966203703705</v>
      </c>
      <c r="Q175" s="26">
        <f t="shared" si="36"/>
        <v>0.7524999999999995</v>
      </c>
      <c r="R175" s="26">
        <f t="shared" si="37"/>
        <v>1.284807692307691</v>
      </c>
      <c r="S175" s="26">
        <f t="shared" si="38"/>
        <v>2.5474999999999994</v>
      </c>
      <c r="T175" s="26">
        <f t="shared" si="39"/>
        <v>0.77819844853399989</v>
      </c>
      <c r="U175" s="26">
        <f t="shared" si="40"/>
        <v>0.17350354284557401</v>
      </c>
      <c r="V175" s="26">
        <f t="shared" si="41"/>
        <v>0.58094492571956202</v>
      </c>
    </row>
    <row r="176" spans="1:22" x14ac:dyDescent="0.25">
      <c r="A176" s="2">
        <v>44281</v>
      </c>
      <c r="B176">
        <v>86961.84</v>
      </c>
      <c r="C176">
        <v>13.33</v>
      </c>
      <c r="D176">
        <v>2.69</v>
      </c>
      <c r="F176">
        <f t="shared" si="28"/>
        <v>8.01</v>
      </c>
      <c r="G176">
        <f t="shared" si="29"/>
        <v>1.2074909970796739</v>
      </c>
      <c r="J176">
        <f t="shared" si="30"/>
        <v>1.3135806552046032</v>
      </c>
      <c r="L176">
        <f t="shared" si="31"/>
        <v>4.955390334572491</v>
      </c>
      <c r="M176">
        <f t="shared" si="32"/>
        <v>1.0536480520841882</v>
      </c>
      <c r="N176" s="26">
        <f t="shared" si="33"/>
        <v>3749.0250000000087</v>
      </c>
      <c r="O176" s="26">
        <f t="shared" si="34"/>
        <v>6035.4842307692306</v>
      </c>
      <c r="P176" s="26">
        <f t="shared" si="35"/>
        <v>20022.327592592585</v>
      </c>
      <c r="Q176" s="26">
        <f t="shared" si="36"/>
        <v>0.23124999999999929</v>
      </c>
      <c r="R176" s="26">
        <f t="shared" si="37"/>
        <v>0.88778846153846125</v>
      </c>
      <c r="S176" s="26">
        <f t="shared" si="38"/>
        <v>2.1210648148148143</v>
      </c>
      <c r="T176" s="26">
        <f t="shared" si="39"/>
        <v>0.22934528502566387</v>
      </c>
      <c r="U176" s="26">
        <f t="shared" si="40"/>
        <v>-0.37412226343407795</v>
      </c>
      <c r="V176" s="26">
        <f t="shared" si="41"/>
        <v>0.21551544985194138</v>
      </c>
    </row>
    <row r="177" spans="1:22" x14ac:dyDescent="0.25">
      <c r="A177" s="2">
        <v>44274</v>
      </c>
      <c r="B177">
        <v>92010</v>
      </c>
      <c r="C177">
        <v>12.36</v>
      </c>
      <c r="D177">
        <v>2.46</v>
      </c>
      <c r="F177">
        <f t="shared" si="28"/>
        <v>7.41</v>
      </c>
      <c r="G177">
        <f t="shared" si="29"/>
        <v>1.415784092667663</v>
      </c>
      <c r="J177">
        <f t="shared" si="30"/>
        <v>0.95275931018185944</v>
      </c>
      <c r="L177">
        <f t="shared" si="31"/>
        <v>5.024390243902439</v>
      </c>
      <c r="M177">
        <f t="shared" si="32"/>
        <v>1.1354202833316809</v>
      </c>
      <c r="N177" s="26">
        <f t="shared" si="33"/>
        <v>2862.1650000000081</v>
      </c>
      <c r="O177" s="26">
        <f t="shared" si="34"/>
        <v>3475.167692307703</v>
      </c>
      <c r="P177" s="26">
        <f t="shared" si="35"/>
        <v>19083.854444444427</v>
      </c>
      <c r="Q177" s="26">
        <f t="shared" si="36"/>
        <v>0.30625000000000036</v>
      </c>
      <c r="R177" s="26">
        <f t="shared" si="37"/>
        <v>0.8708653846153851</v>
      </c>
      <c r="S177" s="26">
        <f t="shared" si="38"/>
        <v>2.067916666666668</v>
      </c>
      <c r="T177" s="26">
        <f t="shared" si="39"/>
        <v>-0.15969882756935228</v>
      </c>
      <c r="U177" s="26">
        <f t="shared" si="40"/>
        <v>-0.71963793970035006</v>
      </c>
      <c r="V177" s="26">
        <f t="shared" si="41"/>
        <v>-7.8048818675808818E-3</v>
      </c>
    </row>
    <row r="178" spans="1:22" x14ac:dyDescent="0.25">
      <c r="A178" s="2">
        <v>44267</v>
      </c>
      <c r="B178">
        <v>92128.16</v>
      </c>
      <c r="C178">
        <v>13.01</v>
      </c>
      <c r="D178">
        <v>2.93</v>
      </c>
      <c r="F178">
        <f t="shared" si="28"/>
        <v>7.97</v>
      </c>
      <c r="G178">
        <f t="shared" si="29"/>
        <v>1.4748225282032577</v>
      </c>
      <c r="J178">
        <f t="shared" si="30"/>
        <v>1.3655500417360253</v>
      </c>
      <c r="L178">
        <f t="shared" si="31"/>
        <v>4.4402730375426618</v>
      </c>
      <c r="M178">
        <f t="shared" si="32"/>
        <v>0.8133227935293541</v>
      </c>
      <c r="N178" s="26">
        <f t="shared" si="33"/>
        <v>290</v>
      </c>
      <c r="O178" s="26">
        <f t="shared" si="34"/>
        <v>1337.9715384615265</v>
      </c>
      <c r="P178" s="26">
        <f t="shared" si="35"/>
        <v>17564.175185185166</v>
      </c>
      <c r="Q178" s="26">
        <f t="shared" si="36"/>
        <v>0.47625000000000028</v>
      </c>
      <c r="R178" s="26">
        <f t="shared" si="37"/>
        <v>1.0731730769230765</v>
      </c>
      <c r="S178" s="26">
        <f t="shared" si="38"/>
        <v>2.1829166666666682</v>
      </c>
      <c r="T178" s="26">
        <f t="shared" si="39"/>
        <v>-0.50674526809678433</v>
      </c>
      <c r="U178" s="26">
        <f t="shared" si="40"/>
        <v>-0.98644661436147185</v>
      </c>
      <c r="V178" s="26">
        <f t="shared" si="41"/>
        <v>-0.18943610549308154</v>
      </c>
    </row>
    <row r="179" spans="1:22" x14ac:dyDescent="0.25">
      <c r="A179" s="2">
        <v>44260</v>
      </c>
      <c r="B179">
        <v>77817.7</v>
      </c>
      <c r="C179">
        <v>11.55</v>
      </c>
      <c r="D179">
        <v>3</v>
      </c>
      <c r="F179">
        <f t="shared" si="28"/>
        <v>7.2750000000000004</v>
      </c>
      <c r="G179">
        <f t="shared" si="29"/>
        <v>1.0637525529651253</v>
      </c>
      <c r="J179">
        <f t="shared" si="30"/>
        <v>0.94642613535833431</v>
      </c>
      <c r="L179">
        <f t="shared" si="31"/>
        <v>3.85</v>
      </c>
      <c r="M179">
        <f t="shared" si="32"/>
        <v>0.47997558870114615</v>
      </c>
      <c r="N179" s="26">
        <f t="shared" si="33"/>
        <v>1991.9374999999854</v>
      </c>
      <c r="O179" s="26">
        <f t="shared" si="34"/>
        <v>2748.9805769230588</v>
      </c>
      <c r="P179" s="26">
        <f t="shared" si="35"/>
        <v>18534.265277777755</v>
      </c>
      <c r="Q179" s="26">
        <f t="shared" si="36"/>
        <v>0.6537500000000005</v>
      </c>
      <c r="R179" s="26">
        <f t="shared" si="37"/>
        <v>1.2457692307692323</v>
      </c>
      <c r="S179" s="26">
        <f t="shared" si="38"/>
        <v>2.2209259259259282</v>
      </c>
      <c r="T179" s="26">
        <f t="shared" si="39"/>
        <v>-0.46784610433182205</v>
      </c>
      <c r="U179" s="26">
        <f t="shared" si="40"/>
        <v>-0.88287569180310488</v>
      </c>
      <c r="V179" s="26">
        <f t="shared" si="41"/>
        <v>-6.3369557294111978E-2</v>
      </c>
    </row>
    <row r="180" spans="1:22" x14ac:dyDescent="0.25">
      <c r="A180" s="2">
        <v>44253</v>
      </c>
      <c r="B180">
        <v>78910.66</v>
      </c>
      <c r="C180">
        <v>11.81</v>
      </c>
      <c r="D180">
        <v>2.97</v>
      </c>
      <c r="F180">
        <f t="shared" si="28"/>
        <v>7.3900000000000006</v>
      </c>
      <c r="G180">
        <f t="shared" si="29"/>
        <v>1.141154168396123</v>
      </c>
      <c r="J180">
        <f t="shared" si="30"/>
        <v>1.0615647946870068</v>
      </c>
      <c r="L180">
        <f t="shared" si="31"/>
        <v>3.9764309764309762</v>
      </c>
      <c r="M180">
        <f t="shared" si="32"/>
        <v>0.580665595022266</v>
      </c>
      <c r="N180" s="26">
        <f t="shared" si="33"/>
        <v>2457.6399999999994</v>
      </c>
      <c r="O180" s="26">
        <f t="shared" si="34"/>
        <v>6603.6607692307589</v>
      </c>
      <c r="P180" s="26">
        <f t="shared" si="35"/>
        <v>21618.425185185166</v>
      </c>
      <c r="Q180" s="26">
        <f t="shared" si="36"/>
        <v>0.64375000000000071</v>
      </c>
      <c r="R180" s="26">
        <f t="shared" si="37"/>
        <v>1.4457692307692325</v>
      </c>
      <c r="S180" s="26">
        <f t="shared" si="38"/>
        <v>2.2962962962962976</v>
      </c>
      <c r="T180" s="26">
        <f t="shared" si="39"/>
        <v>-0.4608905602869644</v>
      </c>
      <c r="U180" s="26">
        <f t="shared" si="40"/>
        <v>-0.6438716761827088</v>
      </c>
      <c r="V180" s="26">
        <f t="shared" si="41"/>
        <v>0.16822928137894522</v>
      </c>
    </row>
    <row r="181" spans="1:22" x14ac:dyDescent="0.25">
      <c r="A181" s="2">
        <v>44246</v>
      </c>
      <c r="B181">
        <v>80600.479999999996</v>
      </c>
      <c r="C181">
        <v>11.94</v>
      </c>
      <c r="D181">
        <v>2.88</v>
      </c>
      <c r="F181">
        <f t="shared" si="28"/>
        <v>7.41</v>
      </c>
      <c r="G181">
        <f t="shared" si="29"/>
        <v>1.2392993182576693</v>
      </c>
      <c r="J181">
        <f t="shared" si="30"/>
        <v>1.1164586668239969</v>
      </c>
      <c r="L181">
        <f t="shared" si="31"/>
        <v>4.145833333333333</v>
      </c>
      <c r="M181">
        <f t="shared" si="32"/>
        <v>0.70138918464689715</v>
      </c>
      <c r="N181" s="26">
        <f t="shared" si="33"/>
        <v>9444.6049999999959</v>
      </c>
      <c r="O181" s="26">
        <f t="shared" si="34"/>
        <v>7571.5565384615329</v>
      </c>
      <c r="P181" s="26">
        <f t="shared" si="35"/>
        <v>21497.193888888876</v>
      </c>
      <c r="Q181" s="26">
        <f t="shared" si="36"/>
        <v>1.0237499999999997</v>
      </c>
      <c r="R181" s="26">
        <f t="shared" si="37"/>
        <v>1.3796153846153842</v>
      </c>
      <c r="S181" s="26">
        <f t="shared" si="38"/>
        <v>2.123333333333334</v>
      </c>
      <c r="T181" s="26">
        <f t="shared" si="39"/>
        <v>-0.14938639127206521</v>
      </c>
      <c r="U181" s="26">
        <f t="shared" si="40"/>
        <v>-0.38148051464991717</v>
      </c>
      <c r="V181" s="26">
        <f t="shared" si="41"/>
        <v>0.37156350670672467</v>
      </c>
    </row>
    <row r="182" spans="1:22" x14ac:dyDescent="0.25">
      <c r="A182" s="2">
        <v>44239</v>
      </c>
      <c r="B182">
        <v>89717.87</v>
      </c>
      <c r="C182">
        <v>12.7</v>
      </c>
      <c r="D182">
        <v>2.71</v>
      </c>
      <c r="F182">
        <f t="shared" si="28"/>
        <v>7.7050000000000001</v>
      </c>
      <c r="G182">
        <f t="shared" si="29"/>
        <v>1.5942428463392821</v>
      </c>
      <c r="J182">
        <f t="shared" si="30"/>
        <v>1.3642013096843539</v>
      </c>
      <c r="L182">
        <f t="shared" si="31"/>
        <v>4.6863468634686347</v>
      </c>
      <c r="M182">
        <f t="shared" si="32"/>
        <v>1.0519848860628225</v>
      </c>
      <c r="N182" s="26">
        <f t="shared" si="33"/>
        <v>5363.5350000000035</v>
      </c>
      <c r="O182" s="26">
        <f t="shared" si="34"/>
        <v>10278.221538461541</v>
      </c>
      <c r="P182" s="26">
        <f t="shared" si="35"/>
        <v>22409.203703703701</v>
      </c>
      <c r="Q182" s="26">
        <f t="shared" si="36"/>
        <v>0.62249999999999961</v>
      </c>
      <c r="R182" s="26">
        <f t="shared" si="37"/>
        <v>1.4084615384615375</v>
      </c>
      <c r="S182" s="26">
        <f t="shared" si="38"/>
        <v>2.0003703703703701</v>
      </c>
      <c r="T182" s="26">
        <f t="shared" si="39"/>
        <v>-0.44825786293765368</v>
      </c>
      <c r="U182" s="26">
        <f t="shared" si="40"/>
        <v>-0.10245655250095353</v>
      </c>
      <c r="V182" s="26">
        <f t="shared" si="41"/>
        <v>0.57451028052294806</v>
      </c>
    </row>
    <row r="183" spans="1:22" x14ac:dyDescent="0.25">
      <c r="A183" s="2">
        <v>44232</v>
      </c>
      <c r="B183">
        <v>84692.59</v>
      </c>
      <c r="C183">
        <v>11.86</v>
      </c>
      <c r="D183">
        <v>2.61</v>
      </c>
      <c r="F183">
        <f t="shared" si="28"/>
        <v>7.2349999999999994</v>
      </c>
      <c r="G183">
        <f t="shared" si="29"/>
        <v>1.4886707491625977</v>
      </c>
      <c r="J183">
        <f t="shared" si="30"/>
        <v>1.0926380499309021</v>
      </c>
      <c r="L183">
        <f t="shared" si="31"/>
        <v>4.5440613026819925</v>
      </c>
      <c r="M183">
        <f t="shared" si="32"/>
        <v>0.98617796441637551</v>
      </c>
      <c r="N183" s="26">
        <f t="shared" si="33"/>
        <v>5379.0675000000192</v>
      </c>
      <c r="O183" s="26">
        <f t="shared" si="34"/>
        <v>10815.327692307706</v>
      </c>
      <c r="P183" s="26">
        <f t="shared" si="35"/>
        <v>21317.128148148164</v>
      </c>
      <c r="Q183" s="26">
        <f t="shared" si="36"/>
        <v>0.43249999999999922</v>
      </c>
      <c r="R183" s="26">
        <f t="shared" si="37"/>
        <v>1.3708653846153842</v>
      </c>
      <c r="S183" s="26">
        <f t="shared" si="38"/>
        <v>1.7586574074074059</v>
      </c>
      <c r="T183" s="26">
        <f t="shared" si="39"/>
        <v>-0.39160572181059106</v>
      </c>
      <c r="U183" s="26">
        <f t="shared" si="40"/>
        <v>5.1429838334100531E-2</v>
      </c>
      <c r="V183" s="26">
        <f t="shared" si="41"/>
        <v>0.69336115123071407</v>
      </c>
    </row>
    <row r="184" spans="1:22" x14ac:dyDescent="0.25">
      <c r="A184" s="2">
        <v>44225</v>
      </c>
      <c r="B184">
        <v>74406.92</v>
      </c>
      <c r="C184">
        <v>10.61</v>
      </c>
      <c r="D184">
        <v>2.33</v>
      </c>
      <c r="F184">
        <f t="shared" si="28"/>
        <v>6.47</v>
      </c>
      <c r="G184">
        <f t="shared" si="29"/>
        <v>1.1861509046566201</v>
      </c>
      <c r="J184">
        <f t="shared" si="30"/>
        <v>0.58939067203483075</v>
      </c>
      <c r="L184">
        <f t="shared" si="31"/>
        <v>4.5536480686695278</v>
      </c>
      <c r="M184">
        <f t="shared" si="32"/>
        <v>1.0247439220737748</v>
      </c>
      <c r="N184" s="26">
        <f t="shared" si="33"/>
        <v>4908.6549999999988</v>
      </c>
      <c r="O184" s="26">
        <f t="shared" si="34"/>
        <v>15337.700769230767</v>
      </c>
      <c r="P184" s="26">
        <f t="shared" si="35"/>
        <v>24276.888148148144</v>
      </c>
      <c r="Q184" s="26">
        <f t="shared" si="36"/>
        <v>0.36999999999999922</v>
      </c>
      <c r="R184" s="26">
        <f t="shared" si="37"/>
        <v>1.6135576923076922</v>
      </c>
      <c r="S184" s="26">
        <f t="shared" si="38"/>
        <v>1.7716203703703712</v>
      </c>
      <c r="T184" s="26">
        <f t="shared" si="39"/>
        <v>-0.60159454422901959</v>
      </c>
      <c r="U184" s="26">
        <f t="shared" si="40"/>
        <v>0.34306890967229364</v>
      </c>
      <c r="V184" s="26">
        <f t="shared" si="41"/>
        <v>0.97833468568375759</v>
      </c>
    </row>
    <row r="185" spans="1:22" x14ac:dyDescent="0.25">
      <c r="A185" s="2">
        <v>44218</v>
      </c>
      <c r="B185">
        <v>79479.62</v>
      </c>
      <c r="C185">
        <v>11.08</v>
      </c>
      <c r="D185">
        <v>2.38</v>
      </c>
      <c r="F185">
        <f t="shared" si="28"/>
        <v>6.73</v>
      </c>
      <c r="G185">
        <f t="shared" si="29"/>
        <v>1.411774381119786</v>
      </c>
      <c r="J185">
        <f t="shared" si="30"/>
        <v>0.79365826417361451</v>
      </c>
      <c r="L185">
        <f t="shared" si="31"/>
        <v>4.6554621848739499</v>
      </c>
      <c r="M185">
        <f t="shared" si="32"/>
        <v>1.12443488074693</v>
      </c>
      <c r="N185" s="26">
        <f t="shared" si="33"/>
        <v>-15978.45749999999</v>
      </c>
      <c r="O185" s="26">
        <f t="shared" si="34"/>
        <v>6420.9146153846377</v>
      </c>
      <c r="P185" s="26">
        <f t="shared" si="35"/>
        <v>16382.479629629626</v>
      </c>
      <c r="Q185" s="26">
        <f t="shared" si="36"/>
        <v>-0.61500000000000021</v>
      </c>
      <c r="R185" s="26">
        <f t="shared" si="37"/>
        <v>0.98125000000000107</v>
      </c>
      <c r="S185" s="26">
        <f t="shared" si="38"/>
        <v>1.0521759259259271</v>
      </c>
      <c r="T185" s="26">
        <f t="shared" si="39"/>
        <v>-1.3200182164080578</v>
      </c>
      <c r="U185" s="26">
        <f t="shared" si="40"/>
        <v>0.17184636969438927</v>
      </c>
      <c r="V185" s="26">
        <f t="shared" si="41"/>
        <v>0.89000236090376106</v>
      </c>
    </row>
    <row r="186" spans="1:22" x14ac:dyDescent="0.25">
      <c r="A186" s="2">
        <v>44211</v>
      </c>
      <c r="B186">
        <v>80499.83</v>
      </c>
      <c r="C186">
        <v>11.13</v>
      </c>
      <c r="D186">
        <v>2.33</v>
      </c>
      <c r="F186">
        <f t="shared" si="28"/>
        <v>6.73</v>
      </c>
      <c r="G186">
        <f t="shared" si="29"/>
        <v>1.5062152329193261</v>
      </c>
      <c r="J186">
        <f t="shared" si="30"/>
        <v>0.82256595945483857</v>
      </c>
      <c r="L186">
        <f t="shared" si="31"/>
        <v>4.7768240343347639</v>
      </c>
      <c r="M186">
        <f t="shared" si="32"/>
        <v>1.238012659477512</v>
      </c>
      <c r="N186" s="26">
        <f t="shared" si="33"/>
        <v>-10013.952499999999</v>
      </c>
      <c r="O186" s="26">
        <f t="shared" si="34"/>
        <v>13731.667307692311</v>
      </c>
      <c r="P186" s="26">
        <f t="shared" si="35"/>
        <v>22746.917962962958</v>
      </c>
      <c r="Q186" s="26">
        <f t="shared" si="36"/>
        <v>0.13125000000000053</v>
      </c>
      <c r="R186" s="26">
        <f t="shared" si="37"/>
        <v>1.4874999999999998</v>
      </c>
      <c r="S186" s="26">
        <f t="shared" si="38"/>
        <v>1.3054629629629639</v>
      </c>
      <c r="T186" s="26">
        <f t="shared" si="39"/>
        <v>-0.62522451457122852</v>
      </c>
      <c r="U186" s="26">
        <f t="shared" si="40"/>
        <v>0.78619538289701829</v>
      </c>
      <c r="V186" s="26">
        <f t="shared" si="41"/>
        <v>1.4982601766320758</v>
      </c>
    </row>
    <row r="187" spans="1:22" x14ac:dyDescent="0.25">
      <c r="A187" s="2">
        <v>44204</v>
      </c>
      <c r="B187">
        <v>89704.67</v>
      </c>
      <c r="C187">
        <v>12.14</v>
      </c>
      <c r="D187">
        <v>2.33</v>
      </c>
      <c r="F187">
        <f t="shared" si="28"/>
        <v>7.2350000000000003</v>
      </c>
      <c r="G187">
        <f t="shared" si="29"/>
        <v>1.9183023261962608</v>
      </c>
      <c r="J187">
        <f t="shared" si="30"/>
        <v>1.2138771037043146</v>
      </c>
      <c r="L187">
        <f t="shared" si="31"/>
        <v>5.2103004291845494</v>
      </c>
      <c r="M187">
        <f t="shared" si="32"/>
        <v>1.5640380464211012</v>
      </c>
      <c r="N187" s="26">
        <f t="shared" si="33"/>
        <v>-12354.852500000008</v>
      </c>
      <c r="O187" s="26">
        <f t="shared" si="34"/>
        <v>13161.770192307689</v>
      </c>
      <c r="P187" s="26">
        <f t="shared" si="35"/>
        <v>22355.814722222211</v>
      </c>
      <c r="Q187" s="26">
        <f t="shared" si="36"/>
        <v>0.51125000000000043</v>
      </c>
      <c r="R187" s="26">
        <f t="shared" si="37"/>
        <v>1.6268269230769237</v>
      </c>
      <c r="S187" s="26">
        <f t="shared" si="38"/>
        <v>1.2393055555555561</v>
      </c>
      <c r="T187" s="26">
        <f t="shared" si="39"/>
        <v>-0.68884323895317934</v>
      </c>
      <c r="U187" s="26">
        <f t="shared" si="40"/>
        <v>0.81035840365796652</v>
      </c>
      <c r="V187" s="26">
        <f t="shared" si="41"/>
        <v>1.5861080098506539</v>
      </c>
    </row>
    <row r="188" spans="1:22" x14ac:dyDescent="0.25">
      <c r="A188" s="2">
        <v>44197</v>
      </c>
      <c r="B188">
        <v>41955.32</v>
      </c>
      <c r="C188">
        <v>6.41</v>
      </c>
      <c r="D188">
        <v>1.65</v>
      </c>
      <c r="F188">
        <f t="shared" si="28"/>
        <v>4.03</v>
      </c>
      <c r="G188">
        <f t="shared" si="29"/>
        <v>0.15558879604319908</v>
      </c>
      <c r="J188">
        <f t="shared" si="30"/>
        <v>-1.0595361693008043</v>
      </c>
      <c r="L188">
        <f t="shared" si="31"/>
        <v>3.8848484848484852</v>
      </c>
      <c r="M188">
        <f t="shared" si="32"/>
        <v>0.73621845690752252</v>
      </c>
      <c r="N188" s="26">
        <f t="shared" si="33"/>
        <v>-2367.1475000000064</v>
      </c>
      <c r="O188" s="26">
        <f t="shared" si="34"/>
        <v>18140.352692307693</v>
      </c>
      <c r="P188" s="26">
        <f t="shared" si="35"/>
        <v>27086.482777777775</v>
      </c>
      <c r="Q188" s="26">
        <f t="shared" si="36"/>
        <v>1.2949999999999999</v>
      </c>
      <c r="R188" s="26">
        <f t="shared" si="37"/>
        <v>1.9266346153846161</v>
      </c>
      <c r="S188" s="26">
        <f t="shared" si="38"/>
        <v>1.3262500000000017</v>
      </c>
      <c r="T188" s="26">
        <f t="shared" si="39"/>
        <v>0.33191287531377789</v>
      </c>
      <c r="U188" s="26">
        <f t="shared" si="40"/>
        <v>1.3914472831630356</v>
      </c>
      <c r="V188" s="26">
        <f t="shared" si="41"/>
        <v>2.1651651483467349</v>
      </c>
    </row>
    <row r="189" spans="1:22" x14ac:dyDescent="0.25">
      <c r="A189" s="2">
        <v>44196</v>
      </c>
      <c r="B189">
        <v>94683.04</v>
      </c>
      <c r="C189">
        <v>13.23</v>
      </c>
      <c r="D189">
        <v>2.08</v>
      </c>
      <c r="F189">
        <f t="shared" si="28"/>
        <v>7.6550000000000002</v>
      </c>
      <c r="G189">
        <f t="shared" si="29"/>
        <v>2.2283578819626015</v>
      </c>
      <c r="J189">
        <f t="shared" si="30"/>
        <v>1.5696932017475151</v>
      </c>
      <c r="L189">
        <f t="shared" si="31"/>
        <v>6.3605769230769234</v>
      </c>
      <c r="M189">
        <f t="shared" si="32"/>
        <v>2.4294119994285226</v>
      </c>
      <c r="N189" s="26">
        <f t="shared" si="33"/>
        <v>19438.822499999995</v>
      </c>
      <c r="O189" s="26">
        <f t="shared" si="34"/>
        <v>34321.524423076917</v>
      </c>
      <c r="P189" s="26">
        <f t="shared" si="35"/>
        <v>42817.812314814801</v>
      </c>
      <c r="Q189" s="26">
        <f t="shared" si="36"/>
        <v>1.9262500000000005</v>
      </c>
      <c r="R189" s="26">
        <f t="shared" si="37"/>
        <v>2.3997115384615393</v>
      </c>
      <c r="S189" s="26">
        <f t="shared" si="38"/>
        <v>1.6438425925925939</v>
      </c>
      <c r="T189" s="26">
        <f t="shared" si="39"/>
        <v>1.4823954656401188</v>
      </c>
      <c r="U189" s="26">
        <f t="shared" si="40"/>
        <v>2.1303226259791108</v>
      </c>
      <c r="V189" s="26">
        <f t="shared" si="41"/>
        <v>2.8976628042940034</v>
      </c>
    </row>
    <row r="190" spans="1:22" x14ac:dyDescent="0.25">
      <c r="A190" s="2">
        <v>44189</v>
      </c>
      <c r="B190">
        <v>71219.66</v>
      </c>
      <c r="C190">
        <v>10.72</v>
      </c>
      <c r="D190">
        <v>2.31</v>
      </c>
      <c r="F190">
        <f t="shared" si="28"/>
        <v>6.5150000000000006</v>
      </c>
      <c r="G190">
        <f t="shared" si="29"/>
        <v>1.4193393092643354</v>
      </c>
      <c r="J190">
        <f t="shared" si="30"/>
        <v>0.79566708194175051</v>
      </c>
      <c r="L190">
        <f t="shared" si="31"/>
        <v>4.6406926406926408</v>
      </c>
      <c r="M190">
        <f t="shared" si="32"/>
        <v>1.3862297030208433</v>
      </c>
      <c r="N190" s="26">
        <f t="shared" si="33"/>
        <v>26985.502500000002</v>
      </c>
      <c r="O190" s="26">
        <f t="shared" si="34"/>
        <v>34952.209038461544</v>
      </c>
      <c r="P190" s="26">
        <f t="shared" si="35"/>
        <v>43593.08898148148</v>
      </c>
      <c r="Q190" s="26">
        <f t="shared" si="36"/>
        <v>1.7250000000000005</v>
      </c>
      <c r="R190" s="26">
        <f t="shared" si="37"/>
        <v>1.9731730769230769</v>
      </c>
      <c r="S190" s="26">
        <f t="shared" si="38"/>
        <v>1.0719907407407403</v>
      </c>
      <c r="T190" s="26">
        <f t="shared" si="39"/>
        <v>1.7808800322075493</v>
      </c>
      <c r="U190" s="26">
        <f t="shared" si="40"/>
        <v>1.9928878107798291</v>
      </c>
      <c r="V190" s="26">
        <f t="shared" si="41"/>
        <v>2.7849922185918574</v>
      </c>
    </row>
    <row r="191" spans="1:22" x14ac:dyDescent="0.25">
      <c r="A191" s="2">
        <v>44183</v>
      </c>
      <c r="B191">
        <v>96598.399999999994</v>
      </c>
      <c r="C191">
        <v>13.03</v>
      </c>
      <c r="D191">
        <v>1.94</v>
      </c>
      <c r="F191">
        <f t="shared" si="28"/>
        <v>7.4849999999999994</v>
      </c>
      <c r="G191">
        <f t="shared" si="29"/>
        <v>2.5372491531409609</v>
      </c>
      <c r="J191">
        <f t="shared" si="30"/>
        <v>1.5499051245353872</v>
      </c>
      <c r="L191">
        <f t="shared" si="31"/>
        <v>6.7164948453608249</v>
      </c>
      <c r="M191">
        <f t="shared" si="32"/>
        <v>2.9278738626827256</v>
      </c>
      <c r="N191" s="26">
        <f t="shared" si="33"/>
        <v>34669.587499999994</v>
      </c>
      <c r="O191" s="26">
        <f t="shared" si="34"/>
        <v>36619.152692307689</v>
      </c>
      <c r="P191" s="26">
        <f t="shared" si="35"/>
        <v>46124.270925925914</v>
      </c>
      <c r="Q191" s="26">
        <f t="shared" si="36"/>
        <v>1.4500000000000002</v>
      </c>
      <c r="R191" s="26">
        <f t="shared" si="37"/>
        <v>1.5501923076923081</v>
      </c>
      <c r="S191" s="26">
        <f t="shared" si="38"/>
        <v>0.5434259259259262</v>
      </c>
      <c r="T191" s="26">
        <f t="shared" si="39"/>
        <v>2.3291138332124364</v>
      </c>
      <c r="U191" s="26">
        <f t="shared" si="40"/>
        <v>2.1271607543801316</v>
      </c>
      <c r="V191" s="26">
        <f t="shared" si="41"/>
        <v>2.9528821152437001</v>
      </c>
    </row>
    <row r="192" spans="1:22" x14ac:dyDescent="0.25">
      <c r="A192" s="2">
        <v>44176</v>
      </c>
      <c r="B192">
        <v>93052.17</v>
      </c>
      <c r="C192">
        <v>9.5</v>
      </c>
      <c r="D192">
        <v>1.56</v>
      </c>
      <c r="F192">
        <f t="shared" si="28"/>
        <v>5.53</v>
      </c>
      <c r="G192">
        <f t="shared" si="29"/>
        <v>2.5996990149848775</v>
      </c>
      <c r="J192">
        <f t="shared" si="30"/>
        <v>0.13289933284187619</v>
      </c>
      <c r="L192">
        <f t="shared" si="31"/>
        <v>6.0897435897435894</v>
      </c>
      <c r="M192">
        <f t="shared" si="32"/>
        <v>2.7353491161297505</v>
      </c>
      <c r="N192" s="26">
        <f t="shared" si="33"/>
        <v>31400.9375</v>
      </c>
      <c r="O192" s="26">
        <f t="shared" si="34"/>
        <v>29810.553269230768</v>
      </c>
      <c r="P192" s="26">
        <f t="shared" si="35"/>
        <v>40330.00064814814</v>
      </c>
      <c r="Q192" s="26">
        <f t="shared" si="36"/>
        <v>0.86625000000000085</v>
      </c>
      <c r="R192" s="26">
        <f t="shared" si="37"/>
        <v>0.85163461538461593</v>
      </c>
      <c r="S192" s="26">
        <f t="shared" si="38"/>
        <v>-0.28708333333333247</v>
      </c>
      <c r="T192" s="26">
        <f t="shared" si="39"/>
        <v>1.9522345844083735</v>
      </c>
      <c r="U192" s="26">
        <f t="shared" si="40"/>
        <v>1.5614184425871569</v>
      </c>
      <c r="V192" s="26">
        <f t="shared" si="41"/>
        <v>2.4276073679884775</v>
      </c>
    </row>
    <row r="193" spans="1:22" x14ac:dyDescent="0.25">
      <c r="A193" s="2">
        <v>44169</v>
      </c>
      <c r="B193">
        <v>86028.44</v>
      </c>
      <c r="C193">
        <v>9.41</v>
      </c>
      <c r="D193">
        <v>1.78</v>
      </c>
      <c r="F193">
        <f t="shared" si="28"/>
        <v>5.5949999999999998</v>
      </c>
      <c r="G193">
        <f t="shared" si="29"/>
        <v>2.502712276443174</v>
      </c>
      <c r="J193">
        <f t="shared" si="30"/>
        <v>0.20794696718015443</v>
      </c>
      <c r="L193">
        <f t="shared" si="31"/>
        <v>5.286516853932584</v>
      </c>
      <c r="M193">
        <f t="shared" si="32"/>
        <v>2.3159216509805258</v>
      </c>
      <c r="N193" s="26">
        <f t="shared" si="33"/>
        <v>24799.694999999992</v>
      </c>
      <c r="O193" s="26">
        <f t="shared" si="34"/>
        <v>21522.577307692307</v>
      </c>
      <c r="P193" s="26">
        <f t="shared" si="35"/>
        <v>33415.565740740727</v>
      </c>
      <c r="Q193" s="26">
        <f t="shared" si="36"/>
        <v>0.71624999999999961</v>
      </c>
      <c r="R193" s="26">
        <f t="shared" si="37"/>
        <v>0.5657692307692308</v>
      </c>
      <c r="S193" s="26">
        <f t="shared" si="38"/>
        <v>-0.67388888888888854</v>
      </c>
      <c r="T193" s="26">
        <f t="shared" si="39"/>
        <v>1.3800854379088059</v>
      </c>
      <c r="U193" s="26">
        <f t="shared" si="40"/>
        <v>1.0197873166566356</v>
      </c>
      <c r="V193" s="26">
        <f t="shared" si="41"/>
        <v>1.932664854220516</v>
      </c>
    </row>
    <row r="194" spans="1:22" x14ac:dyDescent="0.25">
      <c r="A194" s="2">
        <v>44162</v>
      </c>
      <c r="B194">
        <v>71303.09</v>
      </c>
      <c r="C194">
        <v>7.9</v>
      </c>
      <c r="D194">
        <v>1.66</v>
      </c>
      <c r="F194">
        <f t="shared" ref="F194:F257" si="42">AVERAGE(C194:D194)</f>
        <v>4.78</v>
      </c>
      <c r="G194">
        <f t="shared" ref="G194:G257" si="43">(B194-AVERAGE(B194:B246))/_xlfn.STDEV.S(B194:B246)</f>
        <v>1.96311742641558</v>
      </c>
      <c r="J194">
        <f t="shared" ref="J194:J257" si="44">(F194-AVERAGE(F194:F246))/_xlfn.STDEV.S(F194:F246)</f>
        <v>-0.3687674139861149</v>
      </c>
      <c r="L194">
        <f t="shared" ref="L194:L257" si="45">C194/D194</f>
        <v>4.7590361445783138</v>
      </c>
      <c r="M194">
        <f t="shared" ref="M194:M257" si="46">(L194-AVERAGE(L194:L246))/_xlfn.STDEV.S(L194:L246)</f>
        <v>2.0143424181489769</v>
      </c>
      <c r="N194" s="26">
        <f t="shared" ref="N194:N257" si="47">AVERAGEA(B194:B197)-AVERAGE(B198:B201)</f>
        <v>13784.68499999999</v>
      </c>
      <c r="O194" s="26">
        <f t="shared" ref="O194:O257" si="48">AVERAGEA(B194:B197)-AVERAGE(B198:B210)</f>
        <v>11763.119615384603</v>
      </c>
      <c r="P194" s="26">
        <f t="shared" ref="P194:P257" si="49">AVERAGEA(B194:B197)-AVERAGE(B198:B224)</f>
        <v>25373.071296296279</v>
      </c>
      <c r="Q194" s="26">
        <f t="shared" ref="Q194:Q257" si="50">AVERAGEA(F194:F197)-AVERAGE(F198:F201)</f>
        <v>0.40749999999999975</v>
      </c>
      <c r="R194" s="26">
        <f t="shared" ref="R194:R257" si="51">AVERAGEA(F194:F197)-AVERAGE(F198:F210)</f>
        <v>0.20663461538461547</v>
      </c>
      <c r="S194" s="26">
        <f t="shared" ref="S194:S257" si="52">AVERAGEA(F194:F197)-AVERAGE(F198:F224)</f>
        <v>-1.1185648148148157</v>
      </c>
      <c r="T194" s="26">
        <f t="shared" ref="T194:T257" si="53">AVERAGEA(L194:L197)-AVERAGE(L198:L201)</f>
        <v>0.58342976939920455</v>
      </c>
      <c r="U194" s="26">
        <f t="shared" ref="U194:U257" si="54">AVERAGEA(L194:L197)-AVERAGE(L198:L210)</f>
        <v>0.45607327641124318</v>
      </c>
      <c r="V194" s="26">
        <f t="shared" ref="V194:V257" si="55">AVERAGEA(L194:L197)-AVERAGE(L198:L224)</f>
        <v>1.4379463586877503</v>
      </c>
    </row>
    <row r="195" spans="1:22" x14ac:dyDescent="0.25">
      <c r="A195" s="2">
        <v>44155</v>
      </c>
      <c r="B195">
        <v>63541.31</v>
      </c>
      <c r="C195">
        <v>7.41</v>
      </c>
      <c r="D195">
        <v>1.79</v>
      </c>
      <c r="F195">
        <f t="shared" si="42"/>
        <v>4.5999999999999996</v>
      </c>
      <c r="G195">
        <f t="shared" si="43"/>
        <v>1.6659915157661809</v>
      </c>
      <c r="J195">
        <f t="shared" si="44"/>
        <v>-0.4747041253369817</v>
      </c>
      <c r="L195">
        <f t="shared" si="45"/>
        <v>4.1396648044692741</v>
      </c>
      <c r="M195">
        <f t="shared" si="46"/>
        <v>1.5534758737736791</v>
      </c>
      <c r="N195" s="26">
        <f t="shared" si="47"/>
        <v>4020.4100000000035</v>
      </c>
      <c r="O195" s="26">
        <f t="shared" si="48"/>
        <v>3589.9121153846063</v>
      </c>
      <c r="P195" s="26">
        <f t="shared" si="49"/>
        <v>19110.276388888873</v>
      </c>
      <c r="Q195" s="26">
        <f t="shared" si="50"/>
        <v>0.26499999999999968</v>
      </c>
      <c r="R195" s="26">
        <f t="shared" si="51"/>
        <v>-1.2500000000000178E-2</v>
      </c>
      <c r="S195" s="26">
        <f t="shared" si="52"/>
        <v>-1.4104629629629644</v>
      </c>
      <c r="T195" s="26">
        <f t="shared" si="53"/>
        <v>-0.24302270717375407</v>
      </c>
      <c r="U195" s="26">
        <f t="shared" si="54"/>
        <v>-8.3758872698013853E-2</v>
      </c>
      <c r="V195" s="26">
        <f t="shared" si="55"/>
        <v>0.98110656122630013</v>
      </c>
    </row>
    <row r="196" spans="1:22" x14ac:dyDescent="0.25">
      <c r="A196" s="2">
        <v>44148</v>
      </c>
      <c r="B196">
        <v>56925.14</v>
      </c>
      <c r="C196">
        <v>7.09</v>
      </c>
      <c r="D196">
        <v>1.92</v>
      </c>
      <c r="F196">
        <f t="shared" si="42"/>
        <v>4.5049999999999999</v>
      </c>
      <c r="G196">
        <f t="shared" si="43"/>
        <v>1.3830433527350623</v>
      </c>
      <c r="J196">
        <f t="shared" si="44"/>
        <v>-0.51897451607838674</v>
      </c>
      <c r="L196">
        <f t="shared" si="45"/>
        <v>3.6927083333333335</v>
      </c>
      <c r="M196">
        <f t="shared" si="46"/>
        <v>1.1886853510069546</v>
      </c>
      <c r="N196" s="26">
        <f t="shared" si="47"/>
        <v>-2202.4499999999971</v>
      </c>
      <c r="O196" s="26">
        <f t="shared" si="48"/>
        <v>-1692.6896153846174</v>
      </c>
      <c r="P196" s="26">
        <f t="shared" si="49"/>
        <v>15540.614629629617</v>
      </c>
      <c r="Q196" s="26">
        <f t="shared" si="50"/>
        <v>0.13874999999999993</v>
      </c>
      <c r="R196" s="26">
        <f t="shared" si="51"/>
        <v>-0.25846153846153808</v>
      </c>
      <c r="S196" s="26">
        <f t="shared" si="52"/>
        <v>-1.6559259259259269</v>
      </c>
      <c r="T196" s="26">
        <f t="shared" si="53"/>
        <v>-0.71379961425994098</v>
      </c>
      <c r="U196" s="26">
        <f t="shared" si="54"/>
        <v>-0.3161288480353881</v>
      </c>
      <c r="V196" s="26">
        <f t="shared" si="55"/>
        <v>0.78809859814415084</v>
      </c>
    </row>
    <row r="197" spans="1:22" x14ac:dyDescent="0.25">
      <c r="A197" s="2">
        <v>44141</v>
      </c>
      <c r="B197">
        <v>47187.12</v>
      </c>
      <c r="C197">
        <v>6.52</v>
      </c>
      <c r="D197">
        <v>2.16</v>
      </c>
      <c r="F197">
        <f t="shared" si="42"/>
        <v>4.34</v>
      </c>
      <c r="G197">
        <f t="shared" si="43"/>
        <v>0.88931718003990212</v>
      </c>
      <c r="J197">
        <f t="shared" si="44"/>
        <v>-0.6135030951954159</v>
      </c>
      <c r="L197">
        <f t="shared" si="45"/>
        <v>3.0185185185185182</v>
      </c>
      <c r="M197">
        <f t="shared" si="46"/>
        <v>0.56229277901391206</v>
      </c>
      <c r="N197" s="26">
        <f t="shared" si="47"/>
        <v>-6402.5574999999953</v>
      </c>
      <c r="O197" s="26">
        <f t="shared" si="48"/>
        <v>-4166.3599999999933</v>
      </c>
      <c r="P197" s="26">
        <f t="shared" si="49"/>
        <v>14874.419259259252</v>
      </c>
      <c r="Q197" s="26">
        <f t="shared" si="50"/>
        <v>-4.7499999999999432E-2</v>
      </c>
      <c r="R197" s="26">
        <f t="shared" si="51"/>
        <v>-0.56432692307692278</v>
      </c>
      <c r="S197" s="26">
        <f t="shared" si="52"/>
        <v>-1.686805555555555</v>
      </c>
      <c r="T197" s="26">
        <f t="shared" si="53"/>
        <v>-0.85920968222455407</v>
      </c>
      <c r="U197" s="26">
        <f t="shared" si="54"/>
        <v>-0.23510788222685219</v>
      </c>
      <c r="V197" s="26">
        <f t="shared" si="55"/>
        <v>0.85759723618164818</v>
      </c>
    </row>
    <row r="198" spans="1:22" x14ac:dyDescent="0.25">
      <c r="A198" s="2">
        <v>44134</v>
      </c>
      <c r="B198">
        <v>40650.18</v>
      </c>
      <c r="C198">
        <v>6.04</v>
      </c>
      <c r="D198">
        <v>2.25</v>
      </c>
      <c r="F198">
        <f t="shared" si="42"/>
        <v>4.1449999999999996</v>
      </c>
      <c r="G198">
        <f t="shared" si="43"/>
        <v>0.51868164216727997</v>
      </c>
      <c r="J198">
        <f t="shared" si="44"/>
        <v>-0.74074900106603347</v>
      </c>
      <c r="L198">
        <f t="shared" si="45"/>
        <v>2.6844444444444444</v>
      </c>
      <c r="M198">
        <f t="shared" si="46"/>
        <v>0.21315069807943329</v>
      </c>
      <c r="N198" s="26">
        <f t="shared" si="47"/>
        <v>-4186.8424999999916</v>
      </c>
      <c r="O198" s="26">
        <f t="shared" si="48"/>
        <v>-2186.0530769230681</v>
      </c>
      <c r="P198" s="26">
        <f t="shared" si="49"/>
        <v>17904.561111111107</v>
      </c>
      <c r="Q198" s="26">
        <f t="shared" si="50"/>
        <v>-3.6249999999999893E-2</v>
      </c>
      <c r="R198" s="26">
        <f t="shared" si="51"/>
        <v>-0.76663461538461597</v>
      </c>
      <c r="S198" s="26">
        <f t="shared" si="52"/>
        <v>-1.7912499999999998</v>
      </c>
      <c r="T198" s="26">
        <f t="shared" si="53"/>
        <v>-0.55783618929368384</v>
      </c>
      <c r="U198" s="26">
        <f t="shared" si="54"/>
        <v>0.14254926045217253</v>
      </c>
      <c r="V198" s="26">
        <f t="shared" si="55"/>
        <v>1.1930095886742387</v>
      </c>
    </row>
    <row r="199" spans="1:22" x14ac:dyDescent="0.25">
      <c r="A199" s="2">
        <v>44127</v>
      </c>
      <c r="B199">
        <v>43558.82</v>
      </c>
      <c r="C199">
        <v>6.11</v>
      </c>
      <c r="D199">
        <v>1.99</v>
      </c>
      <c r="F199">
        <f t="shared" si="42"/>
        <v>4.05</v>
      </c>
      <c r="G199">
        <f t="shared" si="43"/>
        <v>0.68910598432547987</v>
      </c>
      <c r="J199">
        <f t="shared" si="44"/>
        <v>-0.78347304177624777</v>
      </c>
      <c r="L199">
        <f t="shared" si="45"/>
        <v>3.0703517587939699</v>
      </c>
      <c r="M199">
        <f t="shared" si="46"/>
        <v>0.56838097829276391</v>
      </c>
      <c r="N199" s="26">
        <f t="shared" si="47"/>
        <v>-2247.7249999999985</v>
      </c>
      <c r="O199" s="26">
        <f t="shared" si="48"/>
        <v>914.86519230769773</v>
      </c>
      <c r="P199" s="26">
        <f t="shared" si="49"/>
        <v>21670.828981481474</v>
      </c>
      <c r="Q199" s="26">
        <f t="shared" si="50"/>
        <v>-0.14374999999999982</v>
      </c>
      <c r="R199" s="26">
        <f t="shared" si="51"/>
        <v>-1.0063461538461542</v>
      </c>
      <c r="S199" s="26">
        <f t="shared" si="52"/>
        <v>-1.8899074074074074</v>
      </c>
      <c r="T199" s="26">
        <f t="shared" si="53"/>
        <v>-0.16673453180462117</v>
      </c>
      <c r="U199" s="26">
        <f t="shared" si="54"/>
        <v>0.6165260110290518</v>
      </c>
      <c r="V199" s="26">
        <f t="shared" si="55"/>
        <v>1.6065624785197503</v>
      </c>
    </row>
    <row r="200" spans="1:22" x14ac:dyDescent="0.25">
      <c r="A200" s="2">
        <v>44120</v>
      </c>
      <c r="B200">
        <v>47203.08</v>
      </c>
      <c r="C200">
        <v>6.38</v>
      </c>
      <c r="D200">
        <v>1.78</v>
      </c>
      <c r="F200">
        <f t="shared" si="42"/>
        <v>4.08</v>
      </c>
      <c r="G200">
        <f t="shared" si="43"/>
        <v>0.91398417599295989</v>
      </c>
      <c r="J200">
        <f t="shared" si="44"/>
        <v>-0.74123753083309285</v>
      </c>
      <c r="L200">
        <f t="shared" si="45"/>
        <v>3.5842696629213484</v>
      </c>
      <c r="M200">
        <f t="shared" si="46"/>
        <v>1.07215403085327</v>
      </c>
      <c r="N200" s="26">
        <f t="shared" si="47"/>
        <v>-1379.5374999999985</v>
      </c>
      <c r="O200" s="26">
        <f t="shared" si="48"/>
        <v>3911.447307692295</v>
      </c>
      <c r="P200" s="26">
        <f t="shared" si="49"/>
        <v>24507.216851851841</v>
      </c>
      <c r="Q200" s="26">
        <f t="shared" si="50"/>
        <v>-0.31374999999999975</v>
      </c>
      <c r="R200" s="26">
        <f t="shared" si="51"/>
        <v>-1.2525961538461541</v>
      </c>
      <c r="S200" s="26">
        <f t="shared" si="52"/>
        <v>-1.9574537037037034</v>
      </c>
      <c r="T200" s="26">
        <f t="shared" si="53"/>
        <v>0.15822463287788313</v>
      </c>
      <c r="U200" s="26">
        <f t="shared" si="54"/>
        <v>1.0074366536334067</v>
      </c>
      <c r="V200" s="26">
        <f t="shared" si="55"/>
        <v>1.913394209785644</v>
      </c>
    </row>
    <row r="201" spans="1:22" x14ac:dyDescent="0.25">
      <c r="A201" s="2">
        <v>44113</v>
      </c>
      <c r="B201">
        <v>52405.84</v>
      </c>
      <c r="C201">
        <v>6.89</v>
      </c>
      <c r="D201">
        <v>1.75</v>
      </c>
      <c r="F201">
        <f t="shared" si="42"/>
        <v>4.32</v>
      </c>
      <c r="G201">
        <f t="shared" si="43"/>
        <v>1.2391919599099255</v>
      </c>
      <c r="J201">
        <f t="shared" si="44"/>
        <v>-0.56479889142130635</v>
      </c>
      <c r="L201">
        <f t="shared" si="45"/>
        <v>3.9371428571428568</v>
      </c>
      <c r="M201">
        <f t="shared" si="46"/>
        <v>1.4511259405998762</v>
      </c>
      <c r="N201" s="26">
        <f t="shared" si="47"/>
        <v>2806.0274999999965</v>
      </c>
      <c r="O201" s="26">
        <f t="shared" si="48"/>
        <v>8384.3590384615381</v>
      </c>
      <c r="P201" s="26">
        <f t="shared" si="49"/>
        <v>28054.656018518515</v>
      </c>
      <c r="Q201" s="26">
        <f t="shared" si="50"/>
        <v>-0.20999999999999996</v>
      </c>
      <c r="R201" s="26">
        <f t="shared" si="51"/>
        <v>-1.3610576923076918</v>
      </c>
      <c r="S201" s="26">
        <f t="shared" si="52"/>
        <v>-1.8794907407407413</v>
      </c>
      <c r="T201" s="26">
        <f t="shared" si="53"/>
        <v>0.51098854311135833</v>
      </c>
      <c r="U201" s="26">
        <f t="shared" si="54"/>
        <v>1.3340106715074183</v>
      </c>
      <c r="V201" s="26">
        <f t="shared" si="55"/>
        <v>2.1389112733007618</v>
      </c>
    </row>
    <row r="202" spans="1:22" x14ac:dyDescent="0.25">
      <c r="A202" s="2">
        <v>44106</v>
      </c>
      <c r="B202">
        <v>49054.37</v>
      </c>
      <c r="C202">
        <v>6.5</v>
      </c>
      <c r="D202">
        <v>1.66</v>
      </c>
      <c r="F202">
        <f t="shared" si="42"/>
        <v>4.08</v>
      </c>
      <c r="G202">
        <f t="shared" si="43"/>
        <v>1.094186671853784</v>
      </c>
      <c r="J202">
        <f t="shared" si="44"/>
        <v>-0.71240408770278174</v>
      </c>
      <c r="L202">
        <f t="shared" si="45"/>
        <v>3.9156626506024099</v>
      </c>
      <c r="M202">
        <f t="shared" si="46"/>
        <v>1.4948112645275371</v>
      </c>
      <c r="N202" s="26">
        <f t="shared" si="47"/>
        <v>2271.4224999999933</v>
      </c>
      <c r="O202" s="26">
        <f t="shared" si="48"/>
        <v>10039.374807692308</v>
      </c>
      <c r="P202" s="26">
        <f t="shared" si="49"/>
        <v>28203.38583333333</v>
      </c>
      <c r="Q202" s="26">
        <f t="shared" si="50"/>
        <v>-0.38500000000000068</v>
      </c>
      <c r="R202" s="26">
        <f t="shared" si="51"/>
        <v>-1.5750000000000011</v>
      </c>
      <c r="S202" s="26">
        <f t="shared" si="52"/>
        <v>-1.8974074074074085</v>
      </c>
      <c r="T202" s="26">
        <f t="shared" si="53"/>
        <v>0.61595234407330768</v>
      </c>
      <c r="U202" s="26">
        <f t="shared" si="54"/>
        <v>1.4470247100701101</v>
      </c>
      <c r="V202" s="26">
        <f t="shared" si="55"/>
        <v>2.1383092166513462</v>
      </c>
    </row>
    <row r="203" spans="1:22" x14ac:dyDescent="0.25">
      <c r="A203" s="2">
        <v>44099</v>
      </c>
      <c r="B203">
        <v>48467.77</v>
      </c>
      <c r="C203">
        <v>6.37</v>
      </c>
      <c r="D203">
        <v>1.64</v>
      </c>
      <c r="F203">
        <f t="shared" si="42"/>
        <v>4.0049999999999999</v>
      </c>
      <c r="G203">
        <f t="shared" si="43"/>
        <v>1.0953457246214535</v>
      </c>
      <c r="J203">
        <f t="shared" si="44"/>
        <v>-0.75346763303351172</v>
      </c>
      <c r="L203">
        <f t="shared" si="45"/>
        <v>3.8841463414634148</v>
      </c>
      <c r="M203">
        <f t="shared" si="46"/>
        <v>1.5279511499008671</v>
      </c>
      <c r="N203" s="26">
        <f t="shared" si="47"/>
        <v>2902.429999999993</v>
      </c>
      <c r="O203" s="26">
        <f t="shared" si="48"/>
        <v>13008.387884615382</v>
      </c>
      <c r="P203" s="26">
        <f t="shared" si="49"/>
        <v>28889.702129629626</v>
      </c>
      <c r="Q203" s="26">
        <f t="shared" si="50"/>
        <v>-0.41500000000000004</v>
      </c>
      <c r="R203" s="26">
        <f t="shared" si="51"/>
        <v>-1.6864423076923076</v>
      </c>
      <c r="S203" s="26">
        <f t="shared" si="52"/>
        <v>-1.8076388888888886</v>
      </c>
      <c r="T203" s="26">
        <f t="shared" si="53"/>
        <v>0.68432218192154126</v>
      </c>
      <c r="U203" s="26">
        <f t="shared" si="54"/>
        <v>1.5473526340893713</v>
      </c>
      <c r="V203" s="26">
        <f t="shared" si="55"/>
        <v>2.0851442093602524</v>
      </c>
    </row>
    <row r="204" spans="1:22" x14ac:dyDescent="0.25">
      <c r="A204" s="2">
        <v>44092</v>
      </c>
      <c r="B204">
        <v>54281.45</v>
      </c>
      <c r="C204">
        <v>7.06</v>
      </c>
      <c r="D204">
        <v>1.74</v>
      </c>
      <c r="F204">
        <f t="shared" si="42"/>
        <v>4.3999999999999995</v>
      </c>
      <c r="G204">
        <f t="shared" si="43"/>
        <v>1.4595719544741699</v>
      </c>
      <c r="J204">
        <f t="shared" si="44"/>
        <v>-0.48601902611835485</v>
      </c>
      <c r="L204">
        <f t="shared" si="45"/>
        <v>4.0574712643678161</v>
      </c>
      <c r="M204">
        <f t="shared" si="46"/>
        <v>1.7555739362764629</v>
      </c>
      <c r="N204" s="26">
        <f t="shared" si="47"/>
        <v>3917.4925000000003</v>
      </c>
      <c r="O204" s="26">
        <f t="shared" si="48"/>
        <v>16692.557115384625</v>
      </c>
      <c r="P204" s="26">
        <f t="shared" si="49"/>
        <v>29572.635462962964</v>
      </c>
      <c r="Q204" s="26">
        <f t="shared" si="50"/>
        <v>-0.32875000000000032</v>
      </c>
      <c r="R204" s="26">
        <f t="shared" si="51"/>
        <v>-1.7192307692307693</v>
      </c>
      <c r="S204" s="26">
        <f t="shared" si="52"/>
        <v>-1.6507407407407433</v>
      </c>
      <c r="T204" s="26">
        <f t="shared" si="53"/>
        <v>0.67237788989968017</v>
      </c>
      <c r="U204" s="26">
        <f t="shared" si="54"/>
        <v>1.6042565046308943</v>
      </c>
      <c r="V204" s="26">
        <f t="shared" si="55"/>
        <v>1.9714338483229927</v>
      </c>
    </row>
    <row r="205" spans="1:22" x14ac:dyDescent="0.25">
      <c r="A205" s="2">
        <v>44085</v>
      </c>
      <c r="B205">
        <v>48761.7</v>
      </c>
      <c r="C205">
        <v>6.68</v>
      </c>
      <c r="D205">
        <v>1.83</v>
      </c>
      <c r="F205">
        <f t="shared" si="42"/>
        <v>4.2549999999999999</v>
      </c>
      <c r="G205">
        <f t="shared" si="43"/>
        <v>1.1686498067225535</v>
      </c>
      <c r="J205">
        <f t="shared" si="44"/>
        <v>-0.57396943558750757</v>
      </c>
      <c r="L205">
        <f t="shared" si="45"/>
        <v>3.6502732240437155</v>
      </c>
      <c r="M205">
        <f t="shared" si="46"/>
        <v>1.3883956096109109</v>
      </c>
      <c r="N205" s="26">
        <f t="shared" si="47"/>
        <v>833.5225000000064</v>
      </c>
      <c r="O205" s="26">
        <f t="shared" si="48"/>
        <v>17437.602307692312</v>
      </c>
      <c r="P205" s="26">
        <f t="shared" si="49"/>
        <v>27115.666666666672</v>
      </c>
      <c r="Q205" s="26">
        <f t="shared" si="50"/>
        <v>-0.64125000000000032</v>
      </c>
      <c r="R205" s="26">
        <f t="shared" si="51"/>
        <v>-1.9764423076923086</v>
      </c>
      <c r="S205" s="26">
        <f t="shared" si="52"/>
        <v>-1.6957870370370385</v>
      </c>
      <c r="T205" s="26">
        <f t="shared" si="53"/>
        <v>0.5638451763141421</v>
      </c>
      <c r="U205" s="26">
        <f t="shared" si="54"/>
        <v>1.530930659272381</v>
      </c>
      <c r="V205" s="26">
        <f t="shared" si="55"/>
        <v>1.7206321740559114</v>
      </c>
    </row>
    <row r="206" spans="1:22" x14ac:dyDescent="0.25">
      <c r="A206" s="2">
        <v>44078</v>
      </c>
      <c r="B206">
        <v>49702.09</v>
      </c>
      <c r="C206">
        <v>6.95</v>
      </c>
      <c r="D206">
        <v>1.94</v>
      </c>
      <c r="F206">
        <f t="shared" si="42"/>
        <v>4.4450000000000003</v>
      </c>
      <c r="G206">
        <f t="shared" si="43"/>
        <v>1.2440749316624551</v>
      </c>
      <c r="J206">
        <f t="shared" si="44"/>
        <v>-0.43903244220556908</v>
      </c>
      <c r="L206">
        <f t="shared" si="45"/>
        <v>3.5824742268041239</v>
      </c>
      <c r="M206">
        <f t="shared" si="46"/>
        <v>1.3289173272504857</v>
      </c>
      <c r="N206" s="26">
        <f t="shared" si="47"/>
        <v>330.0625</v>
      </c>
      <c r="O206" s="26">
        <f t="shared" si="48"/>
        <v>20938.459230769233</v>
      </c>
      <c r="P206" s="26">
        <f t="shared" si="49"/>
        <v>27092.45888888889</v>
      </c>
      <c r="Q206" s="26">
        <f t="shared" si="50"/>
        <v>-0.92874999999999996</v>
      </c>
      <c r="R206" s="26">
        <f t="shared" si="51"/>
        <v>-2.0223076923076926</v>
      </c>
      <c r="S206" s="26">
        <f t="shared" si="52"/>
        <v>-1.544999999999999</v>
      </c>
      <c r="T206" s="26">
        <f t="shared" si="53"/>
        <v>0.57840820670874349</v>
      </c>
      <c r="U206" s="26">
        <f t="shared" si="54"/>
        <v>1.5092546948629153</v>
      </c>
      <c r="V206" s="26">
        <f t="shared" si="55"/>
        <v>1.557324751735691</v>
      </c>
    </row>
    <row r="207" spans="1:22" x14ac:dyDescent="0.25">
      <c r="A207" s="2">
        <v>44071</v>
      </c>
      <c r="B207">
        <v>49903.97</v>
      </c>
      <c r="C207">
        <v>7.17</v>
      </c>
      <c r="D207">
        <v>2.11</v>
      </c>
      <c r="F207">
        <f t="shared" si="42"/>
        <v>4.6399999999999997</v>
      </c>
      <c r="G207">
        <f t="shared" si="43"/>
        <v>1.2623322343187751</v>
      </c>
      <c r="J207">
        <f t="shared" si="44"/>
        <v>-0.30473112750987841</v>
      </c>
      <c r="L207">
        <f t="shared" si="45"/>
        <v>3.3981042654028437</v>
      </c>
      <c r="M207">
        <f t="shared" si="46"/>
        <v>1.1225339594855828</v>
      </c>
      <c r="N207" s="26">
        <f t="shared" si="47"/>
        <v>911.75749999999971</v>
      </c>
      <c r="O207" s="26">
        <f t="shared" si="48"/>
        <v>24166.947115384617</v>
      </c>
      <c r="P207" s="26">
        <f t="shared" si="49"/>
        <v>27014.374722222223</v>
      </c>
      <c r="Q207" s="26">
        <f t="shared" si="50"/>
        <v>-1.2962500000000006</v>
      </c>
      <c r="R207" s="26">
        <f t="shared" si="51"/>
        <v>-2.1395192307692312</v>
      </c>
      <c r="S207" s="26">
        <f t="shared" si="52"/>
        <v>-1.43152777777778</v>
      </c>
      <c r="T207" s="26">
        <f t="shared" si="53"/>
        <v>0.6674106001030049</v>
      </c>
      <c r="U207" s="26">
        <f t="shared" si="54"/>
        <v>1.5190983839354057</v>
      </c>
      <c r="V207" s="26">
        <f t="shared" si="55"/>
        <v>1.4220711562157724</v>
      </c>
    </row>
    <row r="208" spans="1:22" x14ac:dyDescent="0.25">
      <c r="A208" s="2">
        <v>44064</v>
      </c>
      <c r="B208">
        <v>44617.56</v>
      </c>
      <c r="C208">
        <v>6.52</v>
      </c>
      <c r="D208">
        <v>2.09</v>
      </c>
      <c r="F208">
        <f t="shared" si="42"/>
        <v>4.3049999999999997</v>
      </c>
      <c r="G208">
        <f t="shared" si="43"/>
        <v>0.92397570850445765</v>
      </c>
      <c r="J208">
        <f t="shared" si="44"/>
        <v>-0.52926081300277494</v>
      </c>
      <c r="L208">
        <f t="shared" si="45"/>
        <v>3.1196172248803826</v>
      </c>
      <c r="M208">
        <f t="shared" si="46"/>
        <v>0.81577712210818054</v>
      </c>
      <c r="N208" s="26">
        <f t="shared" si="47"/>
        <v>3061.7124999999942</v>
      </c>
      <c r="O208" s="26">
        <f t="shared" si="48"/>
        <v>26982.039230769227</v>
      </c>
      <c r="P208" s="26">
        <f t="shared" si="49"/>
        <v>26672.48333333333</v>
      </c>
      <c r="Q208" s="26">
        <f t="shared" si="50"/>
        <v>-1.7375000000000007</v>
      </c>
      <c r="R208" s="26">
        <f t="shared" si="51"/>
        <v>-2.2935576923076928</v>
      </c>
      <c r="S208" s="26">
        <f t="shared" si="52"/>
        <v>-1.3521759259259278</v>
      </c>
      <c r="T208" s="26">
        <f t="shared" si="53"/>
        <v>0.85894819668805988</v>
      </c>
      <c r="U208" s="26">
        <f t="shared" si="54"/>
        <v>1.5551406356783894</v>
      </c>
      <c r="V208" s="26">
        <f t="shared" si="55"/>
        <v>1.3127150288803815</v>
      </c>
    </row>
    <row r="209" spans="1:22" x14ac:dyDescent="0.25">
      <c r="A209" s="2">
        <v>44057</v>
      </c>
      <c r="B209">
        <v>47255.98</v>
      </c>
      <c r="C209">
        <v>7.3</v>
      </c>
      <c r="D209">
        <v>2.48</v>
      </c>
      <c r="F209">
        <f t="shared" si="42"/>
        <v>4.8899999999999997</v>
      </c>
      <c r="G209">
        <f t="shared" si="43"/>
        <v>1.0292392120988296</v>
      </c>
      <c r="J209">
        <f t="shared" si="44"/>
        <v>-0.15339260431904642</v>
      </c>
      <c r="L209">
        <f t="shared" si="45"/>
        <v>2.943548387096774</v>
      </c>
      <c r="M209">
        <f t="shared" si="46"/>
        <v>0.59247497931396031</v>
      </c>
      <c r="N209" s="26">
        <f t="shared" si="47"/>
        <v>9185.5249999999942</v>
      </c>
      <c r="O209" s="26">
        <f t="shared" si="48"/>
        <v>31069.348269230766</v>
      </c>
      <c r="P209" s="26">
        <f t="shared" si="49"/>
        <v>27645.820092592588</v>
      </c>
      <c r="Q209" s="26">
        <f t="shared" si="50"/>
        <v>-1.8487499999999999</v>
      </c>
      <c r="R209" s="26">
        <f t="shared" si="51"/>
        <v>-2.1801923076923071</v>
      </c>
      <c r="S209" s="26">
        <f t="shared" si="52"/>
        <v>-1.0374999999999996</v>
      </c>
      <c r="T209" s="26">
        <f t="shared" si="53"/>
        <v>1.0252058150148906</v>
      </c>
      <c r="U209" s="26">
        <f t="shared" si="54"/>
        <v>1.5523074578332303</v>
      </c>
      <c r="V209" s="26">
        <f t="shared" si="55"/>
        <v>1.1725580859175833</v>
      </c>
    </row>
    <row r="210" spans="1:22" x14ac:dyDescent="0.25">
      <c r="A210" s="2">
        <v>44050</v>
      </c>
      <c r="B210">
        <v>47825.78</v>
      </c>
      <c r="C210">
        <v>7.38</v>
      </c>
      <c r="D210">
        <v>2.48</v>
      </c>
      <c r="F210">
        <f t="shared" si="42"/>
        <v>4.93</v>
      </c>
      <c r="G210">
        <f t="shared" si="43"/>
        <v>0.99215202020562987</v>
      </c>
      <c r="J210">
        <f t="shared" si="44"/>
        <v>-0.13216079356985255</v>
      </c>
      <c r="L210">
        <f t="shared" si="45"/>
        <v>2.975806451612903</v>
      </c>
      <c r="M210">
        <f t="shared" si="46"/>
        <v>0.56068835877891177</v>
      </c>
      <c r="N210" s="26">
        <f t="shared" si="47"/>
        <v>16469.005000000001</v>
      </c>
      <c r="O210" s="26">
        <f t="shared" si="48"/>
        <v>34481.472115384619</v>
      </c>
      <c r="P210" s="26">
        <f t="shared" si="49"/>
        <v>28097.799351851852</v>
      </c>
      <c r="Q210" s="26">
        <f t="shared" si="50"/>
        <v>-1.44625</v>
      </c>
      <c r="R210" s="26">
        <f t="shared" si="51"/>
        <v>-1.7562499999999996</v>
      </c>
      <c r="S210" s="26">
        <f t="shared" si="52"/>
        <v>-0.51810185185185098</v>
      </c>
      <c r="T210" s="26">
        <f t="shared" si="53"/>
        <v>1.0411258733497391</v>
      </c>
      <c r="U210" s="26">
        <f t="shared" si="54"/>
        <v>1.44682227396095</v>
      </c>
      <c r="V210" s="26">
        <f t="shared" si="55"/>
        <v>0.94766995394670217</v>
      </c>
    </row>
    <row r="211" spans="1:22" x14ac:dyDescent="0.25">
      <c r="A211" s="2">
        <v>44043</v>
      </c>
      <c r="B211">
        <v>47279.92</v>
      </c>
      <c r="C211">
        <v>7.37</v>
      </c>
      <c r="D211">
        <v>2.4900000000000002</v>
      </c>
      <c r="F211">
        <f t="shared" si="42"/>
        <v>4.93</v>
      </c>
      <c r="G211">
        <f t="shared" si="43"/>
        <v>0.87103277438455518</v>
      </c>
      <c r="J211">
        <f t="shared" si="44"/>
        <v>-0.1430291512363617</v>
      </c>
      <c r="L211">
        <f t="shared" si="45"/>
        <v>2.9598393574297188</v>
      </c>
      <c r="M211">
        <f t="shared" si="46"/>
        <v>0.46359526229837711</v>
      </c>
      <c r="N211" s="26">
        <f t="shared" si="47"/>
        <v>22473.145000000004</v>
      </c>
      <c r="O211" s="26">
        <f t="shared" si="48"/>
        <v>36819.641153846154</v>
      </c>
      <c r="P211" s="26">
        <f t="shared" si="49"/>
        <v>27286.34203703704</v>
      </c>
      <c r="Q211" s="26">
        <f t="shared" si="50"/>
        <v>-0.94249999999999901</v>
      </c>
      <c r="R211" s="26">
        <f t="shared" si="51"/>
        <v>-0.89519230769230695</v>
      </c>
      <c r="S211" s="26">
        <f t="shared" si="52"/>
        <v>5.3055555555556744E-2</v>
      </c>
      <c r="T211" s="26">
        <f t="shared" si="53"/>
        <v>0.99154770807970571</v>
      </c>
      <c r="U211" s="26">
        <f t="shared" si="54"/>
        <v>1.2859439900163157</v>
      </c>
      <c r="V211" s="26">
        <f t="shared" si="55"/>
        <v>0.67356219883945134</v>
      </c>
    </row>
    <row r="212" spans="1:22" x14ac:dyDescent="0.25">
      <c r="A212" s="2">
        <v>44036</v>
      </c>
      <c r="B212">
        <v>47289.55</v>
      </c>
      <c r="C212">
        <v>7.9</v>
      </c>
      <c r="D212">
        <v>3.02</v>
      </c>
      <c r="F212">
        <f t="shared" si="42"/>
        <v>5.46</v>
      </c>
      <c r="G212">
        <f t="shared" si="43"/>
        <v>0.79567126702844992</v>
      </c>
      <c r="J212">
        <f t="shared" si="44"/>
        <v>0.19604352125772781</v>
      </c>
      <c r="L212">
        <f t="shared" si="45"/>
        <v>2.6158940397350996</v>
      </c>
      <c r="M212">
        <f t="shared" si="46"/>
        <v>0.10595429280454423</v>
      </c>
      <c r="N212" s="26">
        <f t="shared" si="47"/>
        <v>25378.687500000004</v>
      </c>
      <c r="O212" s="26">
        <f t="shared" si="48"/>
        <v>36339.649038461546</v>
      </c>
      <c r="P212" s="26">
        <f t="shared" si="49"/>
        <v>24361.940833333334</v>
      </c>
      <c r="Q212" s="26">
        <f t="shared" si="50"/>
        <v>-0.45249999999999879</v>
      </c>
      <c r="R212" s="26">
        <f t="shared" si="51"/>
        <v>-0.38298076923076785</v>
      </c>
      <c r="S212" s="26">
        <f t="shared" si="52"/>
        <v>0.6527314814814833</v>
      </c>
      <c r="T212" s="26">
        <f t="shared" si="53"/>
        <v>0.83046269097813585</v>
      </c>
      <c r="U212" s="26">
        <f t="shared" si="54"/>
        <v>1.036663277019453</v>
      </c>
      <c r="V212" s="26">
        <f t="shared" si="55"/>
        <v>0.31955347010830781</v>
      </c>
    </row>
    <row r="213" spans="1:22" x14ac:dyDescent="0.25">
      <c r="A213" s="2">
        <v>44029</v>
      </c>
      <c r="B213">
        <v>47764.1</v>
      </c>
      <c r="C213">
        <v>9.15</v>
      </c>
      <c r="D213">
        <v>4.2</v>
      </c>
      <c r="F213">
        <f t="shared" si="42"/>
        <v>6.6750000000000007</v>
      </c>
      <c r="G213">
        <f t="shared" si="43"/>
        <v>0.75296660089948442</v>
      </c>
      <c r="J213">
        <f t="shared" si="44"/>
        <v>0.99393344130032946</v>
      </c>
      <c r="L213">
        <f t="shared" si="45"/>
        <v>2.1785714285714284</v>
      </c>
      <c r="M213">
        <f t="shared" si="46"/>
        <v>-0.29220681387281783</v>
      </c>
      <c r="N213" s="26">
        <f t="shared" si="47"/>
        <v>24620.090000000004</v>
      </c>
      <c r="O213" s="26">
        <f t="shared" si="48"/>
        <v>32527.900961538464</v>
      </c>
      <c r="P213" s="26">
        <f t="shared" si="49"/>
        <v>18232.520277777781</v>
      </c>
      <c r="Q213" s="26">
        <f t="shared" si="50"/>
        <v>-7.0000000000001172E-2</v>
      </c>
      <c r="R213" s="26">
        <f t="shared" si="51"/>
        <v>7.509615384615298E-2</v>
      </c>
      <c r="S213" s="26">
        <f t="shared" si="52"/>
        <v>1.142175925925927</v>
      </c>
      <c r="T213" s="26">
        <f t="shared" si="53"/>
        <v>0.63038007139406349</v>
      </c>
      <c r="U213" s="26">
        <f t="shared" si="54"/>
        <v>0.77421969817111935</v>
      </c>
      <c r="V213" s="26">
        <f t="shared" si="55"/>
        <v>-6.0276837886627632E-2</v>
      </c>
    </row>
    <row r="214" spans="1:22" x14ac:dyDescent="0.25">
      <c r="A214" s="2">
        <v>44022</v>
      </c>
      <c r="B214">
        <v>43622.69</v>
      </c>
      <c r="C214">
        <v>9.1999999999999993</v>
      </c>
      <c r="D214">
        <v>4.57</v>
      </c>
      <c r="F214">
        <f t="shared" si="42"/>
        <v>6.8849999999999998</v>
      </c>
      <c r="G214">
        <f t="shared" si="43"/>
        <v>0.51114580200540549</v>
      </c>
      <c r="J214">
        <f t="shared" si="44"/>
        <v>1.1564592705042316</v>
      </c>
      <c r="L214">
        <f t="shared" si="45"/>
        <v>2.0131291028446388</v>
      </c>
      <c r="M214">
        <f t="shared" si="46"/>
        <v>-0.45132483368319443</v>
      </c>
      <c r="N214" s="26">
        <f t="shared" si="47"/>
        <v>21367.1325</v>
      </c>
      <c r="O214" s="26">
        <f t="shared" si="48"/>
        <v>26457.419423076924</v>
      </c>
      <c r="P214" s="26">
        <f t="shared" si="49"/>
        <v>10255.889537037034</v>
      </c>
      <c r="Q214" s="26">
        <f t="shared" si="50"/>
        <v>-0.1487500000000006</v>
      </c>
      <c r="R214" s="26">
        <f t="shared" si="51"/>
        <v>0.22076923076922927</v>
      </c>
      <c r="S214" s="26">
        <f t="shared" si="52"/>
        <v>1.2740740740740737</v>
      </c>
      <c r="T214" s="26">
        <f t="shared" si="53"/>
        <v>0.50448743605282687</v>
      </c>
      <c r="U214" s="26">
        <f t="shared" si="54"/>
        <v>0.58683318531290829</v>
      </c>
      <c r="V214" s="26">
        <f t="shared" si="55"/>
        <v>-0.35467628108199922</v>
      </c>
    </row>
    <row r="215" spans="1:22" x14ac:dyDescent="0.25">
      <c r="A215" s="2">
        <v>44015</v>
      </c>
      <c r="B215">
        <v>36056.050000000003</v>
      </c>
      <c r="C215">
        <v>8.9</v>
      </c>
      <c r="D215">
        <v>5.07</v>
      </c>
      <c r="F215">
        <f t="shared" si="42"/>
        <v>6.9850000000000003</v>
      </c>
      <c r="G215">
        <f t="shared" si="43"/>
        <v>0.13717776569801271</v>
      </c>
      <c r="J215">
        <f t="shared" si="44"/>
        <v>1.2592633800779161</v>
      </c>
      <c r="L215">
        <f t="shared" si="45"/>
        <v>1.7554240631163707</v>
      </c>
      <c r="M215">
        <f t="shared" si="46"/>
        <v>-0.66855676301372946</v>
      </c>
      <c r="N215" s="26">
        <f t="shared" si="47"/>
        <v>18950.167499999996</v>
      </c>
      <c r="O215" s="26">
        <f t="shared" si="48"/>
        <v>20104.310769230768</v>
      </c>
      <c r="P215" s="26">
        <f t="shared" si="49"/>
        <v>2410.4592592592562</v>
      </c>
      <c r="Q215" s="26">
        <f t="shared" si="50"/>
        <v>-0.34500000000000064</v>
      </c>
      <c r="R215" s="26">
        <f t="shared" si="51"/>
        <v>0.38807692307692232</v>
      </c>
      <c r="S215" s="26">
        <f t="shared" si="52"/>
        <v>1.3825925925925908</v>
      </c>
      <c r="T215" s="26">
        <f t="shared" si="53"/>
        <v>0.39346731683435254</v>
      </c>
      <c r="U215" s="26">
        <f t="shared" si="54"/>
        <v>0.40236840230881454</v>
      </c>
      <c r="V215" s="26">
        <f t="shared" si="55"/>
        <v>-0.61366030225857759</v>
      </c>
    </row>
    <row r="216" spans="1:22" x14ac:dyDescent="0.25">
      <c r="A216" s="2">
        <v>44008</v>
      </c>
      <c r="B216">
        <v>25466.29</v>
      </c>
      <c r="C216">
        <v>8.35</v>
      </c>
      <c r="D216">
        <v>5.77</v>
      </c>
      <c r="F216">
        <f t="shared" si="42"/>
        <v>7.06</v>
      </c>
      <c r="G216">
        <f t="shared" si="43"/>
        <v>-0.35264730743714873</v>
      </c>
      <c r="J216">
        <f t="shared" si="44"/>
        <v>1.3535167560129095</v>
      </c>
      <c r="L216">
        <f t="shared" si="45"/>
        <v>1.4471403812824957</v>
      </c>
      <c r="M216">
        <f t="shared" si="46"/>
        <v>-0.90870204762212248</v>
      </c>
      <c r="N216" s="26">
        <f t="shared" si="47"/>
        <v>16601.802499999998</v>
      </c>
      <c r="O216" s="26">
        <f t="shared" si="48"/>
        <v>13859.105384615385</v>
      </c>
      <c r="P216" s="26">
        <f t="shared" si="49"/>
        <v>-4071.3974074074104</v>
      </c>
      <c r="Q216" s="26">
        <f t="shared" si="50"/>
        <v>-0.55875000000000075</v>
      </c>
      <c r="R216" s="26">
        <f t="shared" si="51"/>
        <v>0.62567307692307672</v>
      </c>
      <c r="S216" s="26">
        <f t="shared" si="52"/>
        <v>1.534861111111109</v>
      </c>
      <c r="T216" s="26">
        <f t="shared" si="53"/>
        <v>0.33324366358514457</v>
      </c>
      <c r="U216" s="26">
        <f t="shared" si="54"/>
        <v>0.22121037329747595</v>
      </c>
      <c r="V216" s="26">
        <f t="shared" si="55"/>
        <v>-0.80880224326047268</v>
      </c>
    </row>
    <row r="217" spans="1:22" x14ac:dyDescent="0.25">
      <c r="A217" s="2">
        <v>44001</v>
      </c>
      <c r="B217">
        <v>19138.3</v>
      </c>
      <c r="C217">
        <v>7.87</v>
      </c>
      <c r="D217">
        <v>5.83</v>
      </c>
      <c r="F217">
        <f t="shared" si="42"/>
        <v>6.85</v>
      </c>
      <c r="G217">
        <f t="shared" si="43"/>
        <v>-0.64776164040873718</v>
      </c>
      <c r="J217">
        <f t="shared" si="44"/>
        <v>1.2572221905960592</v>
      </c>
      <c r="L217">
        <f t="shared" si="45"/>
        <v>1.3499142367066896</v>
      </c>
      <c r="M217">
        <f t="shared" si="46"/>
        <v>-1.0035351569993041</v>
      </c>
      <c r="N217" s="26">
        <f t="shared" si="47"/>
        <v>13035.05</v>
      </c>
      <c r="O217" s="26">
        <f t="shared" si="48"/>
        <v>6941.4078846153825</v>
      </c>
      <c r="P217" s="26">
        <f t="shared" si="49"/>
        <v>-9670.9004629629653</v>
      </c>
      <c r="Q217" s="26">
        <f t="shared" si="50"/>
        <v>-0.72749999999999915</v>
      </c>
      <c r="R217" s="26">
        <f t="shared" si="51"/>
        <v>0.84663461538461604</v>
      </c>
      <c r="S217" s="26">
        <f t="shared" si="52"/>
        <v>1.6899537037037042</v>
      </c>
      <c r="T217" s="26">
        <f t="shared" si="53"/>
        <v>0.24408488538304418</v>
      </c>
      <c r="U217" s="26">
        <f t="shared" si="54"/>
        <v>-9.1006495152834432E-4</v>
      </c>
      <c r="V217" s="26">
        <f t="shared" si="55"/>
        <v>-0.95635985418585934</v>
      </c>
    </row>
    <row r="218" spans="1:22" x14ac:dyDescent="0.25">
      <c r="A218" s="2">
        <v>43994</v>
      </c>
      <c r="B218">
        <v>15403.04</v>
      </c>
      <c r="C218">
        <v>7.58</v>
      </c>
      <c r="D218">
        <v>6.07</v>
      </c>
      <c r="F218">
        <f t="shared" si="42"/>
        <v>6.8250000000000002</v>
      </c>
      <c r="G218">
        <f t="shared" si="43"/>
        <v>-0.83283134798496972</v>
      </c>
      <c r="J218">
        <f t="shared" si="44"/>
        <v>1.2861377218077035</v>
      </c>
      <c r="L218">
        <f t="shared" si="45"/>
        <v>1.2487644151565074</v>
      </c>
      <c r="M218">
        <f t="shared" si="46"/>
        <v>-1.1071087275109486</v>
      </c>
      <c r="N218" s="26">
        <f t="shared" si="47"/>
        <v>9303.0150000000012</v>
      </c>
      <c r="O218" s="26">
        <f t="shared" si="48"/>
        <v>142.93153846154019</v>
      </c>
      <c r="P218" s="26">
        <f t="shared" si="49"/>
        <v>-14553.94666666667</v>
      </c>
      <c r="Q218" s="26">
        <f t="shared" si="50"/>
        <v>-0.70499999999999918</v>
      </c>
      <c r="R218" s="26">
        <f t="shared" si="51"/>
        <v>1.1729807692307705</v>
      </c>
      <c r="S218" s="26">
        <f t="shared" si="52"/>
        <v>1.9591203703703703</v>
      </c>
      <c r="T218" s="26">
        <f t="shared" si="53"/>
        <v>0.16511386930982019</v>
      </c>
      <c r="U218" s="26">
        <f t="shared" si="54"/>
        <v>-0.24854114402209948</v>
      </c>
      <c r="V218" s="26">
        <f t="shared" si="55"/>
        <v>-1.0930391370747496</v>
      </c>
    </row>
    <row r="219" spans="1:22" x14ac:dyDescent="0.25">
      <c r="A219" s="2">
        <v>43987</v>
      </c>
      <c r="B219">
        <v>13210.01</v>
      </c>
      <c r="C219">
        <v>7.71</v>
      </c>
      <c r="D219">
        <v>6.45</v>
      </c>
      <c r="F219">
        <f t="shared" si="42"/>
        <v>7.08</v>
      </c>
      <c r="G219">
        <f t="shared" si="43"/>
        <v>-0.95699984529701798</v>
      </c>
      <c r="J219">
        <f t="shared" si="44"/>
        <v>1.518795510587384</v>
      </c>
      <c r="L219">
        <f t="shared" si="45"/>
        <v>1.1953488372093022</v>
      </c>
      <c r="M219">
        <f t="shared" si="46"/>
        <v>-1.1825161229940357</v>
      </c>
      <c r="N219" s="26">
        <f t="shared" si="47"/>
        <v>2613.4100000000008</v>
      </c>
      <c r="O219" s="26">
        <f t="shared" si="48"/>
        <v>-8254.4936538461516</v>
      </c>
      <c r="P219" s="26">
        <f t="shared" si="49"/>
        <v>-20469.943425925929</v>
      </c>
      <c r="Q219" s="26">
        <f t="shared" si="50"/>
        <v>-0.37750000000000039</v>
      </c>
      <c r="R219" s="26">
        <f t="shared" si="51"/>
        <v>1.5596153846153866</v>
      </c>
      <c r="S219" s="26">
        <f t="shared" si="52"/>
        <v>2.2942592592592588</v>
      </c>
      <c r="T219" s="26">
        <f t="shared" si="53"/>
        <v>5.1236941765903987E-2</v>
      </c>
      <c r="U219" s="26">
        <f t="shared" si="54"/>
        <v>-0.53109430897251442</v>
      </c>
      <c r="V219" s="26">
        <f t="shared" si="55"/>
        <v>-1.2383597152213481</v>
      </c>
    </row>
    <row r="220" spans="1:22" x14ac:dyDescent="0.25">
      <c r="A220" s="2">
        <v>43980</v>
      </c>
      <c r="B220">
        <v>6677.42</v>
      </c>
      <c r="C220">
        <v>7.4</v>
      </c>
      <c r="D220">
        <v>6.86</v>
      </c>
      <c r="F220">
        <f t="shared" si="42"/>
        <v>7.1300000000000008</v>
      </c>
      <c r="G220">
        <f t="shared" si="43"/>
        <v>-1.2660020974806196</v>
      </c>
      <c r="J220">
        <f t="shared" si="44"/>
        <v>1.6221449162422701</v>
      </c>
      <c r="L220">
        <f t="shared" si="45"/>
        <v>1.0787172011661808</v>
      </c>
      <c r="M220">
        <f t="shared" si="46"/>
        <v>-1.3057081799003341</v>
      </c>
      <c r="N220" s="26">
        <f t="shared" si="47"/>
        <v>-701.98999999999978</v>
      </c>
      <c r="O220" s="26">
        <f t="shared" si="48"/>
        <v>-14537.757884615385</v>
      </c>
      <c r="P220" s="26">
        <f t="shared" si="49"/>
        <v>-25661.776574074072</v>
      </c>
      <c r="Q220" s="26">
        <f t="shared" si="50"/>
        <v>1.3562500000000002</v>
      </c>
      <c r="R220" s="26">
        <f t="shared" si="51"/>
        <v>2.0221153846153852</v>
      </c>
      <c r="S220" s="26">
        <f t="shared" si="52"/>
        <v>2.6863888888888887</v>
      </c>
      <c r="T220" s="26">
        <f t="shared" si="53"/>
        <v>-5.3477508043893618E-2</v>
      </c>
      <c r="U220" s="26">
        <f t="shared" si="54"/>
        <v>-0.74214237881944345</v>
      </c>
      <c r="V220" s="26">
        <f t="shared" si="55"/>
        <v>-1.4328965471188342</v>
      </c>
    </row>
    <row r="221" spans="1:22" x14ac:dyDescent="0.25">
      <c r="A221" s="2">
        <v>43973</v>
      </c>
      <c r="B221">
        <v>3524.33</v>
      </c>
      <c r="C221">
        <v>7.43</v>
      </c>
      <c r="D221">
        <v>7.25</v>
      </c>
      <c r="F221">
        <f t="shared" si="42"/>
        <v>7.34</v>
      </c>
      <c r="G221">
        <f t="shared" si="43"/>
        <v>-1.4490833613260576</v>
      </c>
      <c r="J221">
        <f t="shared" si="44"/>
        <v>1.8503185837063341</v>
      </c>
      <c r="L221">
        <f t="shared" si="45"/>
        <v>1.0248275862068965</v>
      </c>
      <c r="M221">
        <f t="shared" si="46"/>
        <v>-1.3954593807503448</v>
      </c>
      <c r="N221" s="26">
        <f t="shared" si="47"/>
        <v>-2748.1575000000003</v>
      </c>
      <c r="O221" s="26">
        <f t="shared" si="48"/>
        <v>-18369.25365384615</v>
      </c>
      <c r="P221" s="26">
        <f t="shared" si="49"/>
        <v>-28017.901944444449</v>
      </c>
      <c r="Q221" s="26">
        <f t="shared" si="50"/>
        <v>1.7599999999999998</v>
      </c>
      <c r="R221" s="26">
        <f t="shared" si="51"/>
        <v>2.4187500000000002</v>
      </c>
      <c r="S221" s="26">
        <f t="shared" si="52"/>
        <v>3.0468981481481485</v>
      </c>
      <c r="T221" s="26">
        <f t="shared" si="53"/>
        <v>-6.0123147795606569E-2</v>
      </c>
      <c r="U221" s="26">
        <f t="shared" si="54"/>
        <v>-0.85783685058886006</v>
      </c>
      <c r="V221" s="26">
        <f t="shared" si="55"/>
        <v>-1.5212318846585968</v>
      </c>
    </row>
    <row r="222" spans="1:22" x14ac:dyDescent="0.25">
      <c r="A222" s="2">
        <v>43966</v>
      </c>
      <c r="B222">
        <v>-3148.75</v>
      </c>
      <c r="C222">
        <v>7.27</v>
      </c>
      <c r="D222">
        <v>7.83</v>
      </c>
      <c r="F222">
        <f t="shared" si="42"/>
        <v>7.55</v>
      </c>
      <c r="G222">
        <f t="shared" si="43"/>
        <v>-1.7955608415799613</v>
      </c>
      <c r="J222">
        <f t="shared" si="44"/>
        <v>2.109625750740145</v>
      </c>
      <c r="L222">
        <f t="shared" si="45"/>
        <v>0.9284802043422733</v>
      </c>
      <c r="M222">
        <f t="shared" si="46"/>
        <v>-1.5211639113523585</v>
      </c>
      <c r="N222" s="26">
        <f t="shared" si="47"/>
        <v>-3233.3450000000003</v>
      </c>
      <c r="O222" s="26">
        <f t="shared" si="48"/>
        <v>-21306.876538461536</v>
      </c>
      <c r="P222" s="26">
        <f t="shared" si="49"/>
        <v>-29144.657962962967</v>
      </c>
      <c r="Q222" s="26">
        <f t="shared" si="50"/>
        <v>2.21875</v>
      </c>
      <c r="R222" s="26">
        <f t="shared" si="51"/>
        <v>2.7491346153846159</v>
      </c>
      <c r="S222" s="26">
        <f t="shared" si="52"/>
        <v>3.3170833333333336</v>
      </c>
      <c r="T222" s="26">
        <f t="shared" si="53"/>
        <v>-7.3631923432297963E-2</v>
      </c>
      <c r="U222" s="26">
        <f t="shared" si="54"/>
        <v>-1.0092560868841738</v>
      </c>
      <c r="V222" s="26">
        <f t="shared" si="55"/>
        <v>-1.5812450732978633</v>
      </c>
    </row>
    <row r="223" spans="1:22" x14ac:dyDescent="0.25">
      <c r="A223" s="2">
        <v>43959</v>
      </c>
      <c r="B223">
        <v>-242.57</v>
      </c>
      <c r="C223">
        <v>7.5</v>
      </c>
      <c r="D223">
        <v>8.56</v>
      </c>
      <c r="F223">
        <f t="shared" si="42"/>
        <v>8.0300000000000011</v>
      </c>
      <c r="G223">
        <f t="shared" si="43"/>
        <v>-1.7667407784012608</v>
      </c>
      <c r="J223">
        <f t="shared" si="44"/>
        <v>2.6293091899280681</v>
      </c>
      <c r="L223">
        <f t="shared" si="45"/>
        <v>0.87616822429906538</v>
      </c>
      <c r="M223">
        <f t="shared" si="46"/>
        <v>-1.6288165839266624</v>
      </c>
      <c r="N223" s="26">
        <f t="shared" si="47"/>
        <v>-1172.3950000000004</v>
      </c>
      <c r="O223" s="26">
        <f t="shared" si="48"/>
        <v>-21869.642884615387</v>
      </c>
      <c r="P223" s="26">
        <f t="shared" si="49"/>
        <v>-27900.720833333336</v>
      </c>
      <c r="Q223" s="26">
        <f t="shared" si="50"/>
        <v>2.4325000000000001</v>
      </c>
      <c r="R223" s="26">
        <f t="shared" si="51"/>
        <v>2.7725000000000009</v>
      </c>
      <c r="S223" s="26">
        <f t="shared" si="52"/>
        <v>3.3010185185185197</v>
      </c>
      <c r="T223" s="26">
        <f t="shared" si="53"/>
        <v>-4.710088024177228E-2</v>
      </c>
      <c r="U223" s="26">
        <f t="shared" si="54"/>
        <v>-1.1243960809896851</v>
      </c>
      <c r="V223" s="26">
        <f t="shared" si="55"/>
        <v>-1.590424211854427</v>
      </c>
    </row>
    <row r="224" spans="1:22" x14ac:dyDescent="0.25">
      <c r="A224" s="2">
        <v>43952</v>
      </c>
      <c r="B224">
        <v>2155.56</v>
      </c>
      <c r="C224">
        <v>8.1300000000000008</v>
      </c>
      <c r="D224">
        <v>7.62</v>
      </c>
      <c r="F224">
        <f t="shared" si="42"/>
        <v>7.875</v>
      </c>
      <c r="G224">
        <f t="shared" si="43"/>
        <v>-1.7547566849237495</v>
      </c>
      <c r="J224">
        <f t="shared" si="44"/>
        <v>2.7266816759419368</v>
      </c>
      <c r="L224">
        <f t="shared" si="45"/>
        <v>1.0669291338582678</v>
      </c>
      <c r="M224">
        <f t="shared" si="46"/>
        <v>-1.5757597051561385</v>
      </c>
      <c r="N224" s="26">
        <f t="shared" si="47"/>
        <v>-2898.4250000000002</v>
      </c>
      <c r="O224" s="26">
        <f t="shared" si="48"/>
        <v>-24950.004807692312</v>
      </c>
      <c r="P224" s="26">
        <f t="shared" si="49"/>
        <v>-28852.915092592597</v>
      </c>
      <c r="Q224" s="26">
        <f t="shared" si="50"/>
        <v>0.33375000000000021</v>
      </c>
      <c r="R224" s="26">
        <f t="shared" si="51"/>
        <v>1.0720192307692304</v>
      </c>
      <c r="S224" s="26">
        <f t="shared" si="52"/>
        <v>1.7479166666666668</v>
      </c>
      <c r="T224" s="26">
        <f t="shared" si="53"/>
        <v>-6.8875570808354158E-2</v>
      </c>
      <c r="U224" s="26">
        <f t="shared" si="54"/>
        <v>-1.2618699468006094</v>
      </c>
      <c r="V224" s="26">
        <f t="shared" si="55"/>
        <v>-1.602360802169168</v>
      </c>
    </row>
    <row r="225" spans="1:22" x14ac:dyDescent="0.25">
      <c r="A225" s="2">
        <v>43945</v>
      </c>
      <c r="B225">
        <v>2838.5</v>
      </c>
      <c r="C225">
        <v>7.8</v>
      </c>
      <c r="D225">
        <v>7.68</v>
      </c>
      <c r="F225">
        <f t="shared" si="42"/>
        <v>7.74</v>
      </c>
      <c r="G225">
        <f t="shared" si="43"/>
        <v>-1.8178032238964767</v>
      </c>
      <c r="J225">
        <f t="shared" si="44"/>
        <v>2.845865301708828</v>
      </c>
      <c r="L225">
        <f t="shared" si="45"/>
        <v>1.015625</v>
      </c>
      <c r="M225">
        <f t="shared" si="46"/>
        <v>-1.6886291932322544</v>
      </c>
      <c r="N225" s="26">
        <f t="shared" si="47"/>
        <v>-5565.1425000000008</v>
      </c>
      <c r="O225" s="26">
        <f t="shared" si="48"/>
        <v>-26445.287692307698</v>
      </c>
      <c r="P225" s="26">
        <f t="shared" si="49"/>
        <v>-28786.010740740745</v>
      </c>
      <c r="Q225" s="26">
        <f t="shared" si="50"/>
        <v>0.79250000000000043</v>
      </c>
      <c r="R225" s="26">
        <f t="shared" si="51"/>
        <v>1.0349038461538465</v>
      </c>
      <c r="S225" s="26">
        <f t="shared" si="52"/>
        <v>1.6552314814814819</v>
      </c>
      <c r="T225" s="26">
        <f t="shared" si="53"/>
        <v>-0.22728572403400027</v>
      </c>
      <c r="U225" s="26">
        <f t="shared" si="54"/>
        <v>-1.3992669208756754</v>
      </c>
      <c r="V225" s="26">
        <f t="shared" si="55"/>
        <v>-1.6428492588450838</v>
      </c>
    </row>
    <row r="226" spans="1:22" x14ac:dyDescent="0.25">
      <c r="A226" s="2">
        <v>43938</v>
      </c>
      <c r="B226">
        <v>5057.88</v>
      </c>
      <c r="C226">
        <v>7.18</v>
      </c>
      <c r="D226">
        <v>6.75</v>
      </c>
      <c r="F226">
        <f t="shared" si="42"/>
        <v>6.9649999999999999</v>
      </c>
      <c r="G226">
        <f t="shared" si="43"/>
        <v>-1.816371379290415</v>
      </c>
      <c r="J226">
        <f t="shared" si="44"/>
        <v>2.3407660933142447</v>
      </c>
      <c r="L226">
        <f t="shared" si="45"/>
        <v>1.0637037037037036</v>
      </c>
      <c r="M226">
        <f t="shared" si="46"/>
        <v>-1.737955814677504</v>
      </c>
      <c r="N226" s="26">
        <f t="shared" si="47"/>
        <v>-13113.972500000002</v>
      </c>
      <c r="O226" s="26">
        <f t="shared" si="48"/>
        <v>-28836.199230769234</v>
      </c>
      <c r="P226" s="26">
        <f t="shared" si="49"/>
        <v>-29741.414814814823</v>
      </c>
      <c r="Q226" s="26">
        <f t="shared" si="50"/>
        <v>0.88874999999999993</v>
      </c>
      <c r="R226" s="26">
        <f t="shared" si="51"/>
        <v>0.80230769230769283</v>
      </c>
      <c r="S226" s="26">
        <f t="shared" si="52"/>
        <v>1.3883333333333336</v>
      </c>
      <c r="T226" s="26">
        <f t="shared" si="53"/>
        <v>-0.64319010662036824</v>
      </c>
      <c r="U226" s="26">
        <f t="shared" si="54"/>
        <v>-1.5513971753216533</v>
      </c>
      <c r="V226" s="26">
        <f t="shared" si="55"/>
        <v>-1.7013759983798309</v>
      </c>
    </row>
    <row r="227" spans="1:22" x14ac:dyDescent="0.25">
      <c r="A227" s="2">
        <v>43931</v>
      </c>
      <c r="B227">
        <v>-433.55</v>
      </c>
      <c r="C227">
        <v>2.02</v>
      </c>
      <c r="D227">
        <v>2.0699999999999998</v>
      </c>
      <c r="F227">
        <f t="shared" si="42"/>
        <v>2.0449999999999999</v>
      </c>
      <c r="G227">
        <f t="shared" si="43"/>
        <v>-2.1269154415431064</v>
      </c>
      <c r="J227">
        <f t="shared" si="44"/>
        <v>-2.6659989165043969</v>
      </c>
      <c r="L227">
        <f t="shared" si="45"/>
        <v>0.97584541062801944</v>
      </c>
      <c r="M227">
        <f t="shared" si="46"/>
        <v>-1.8568511201808924</v>
      </c>
      <c r="N227" s="26">
        <f t="shared" si="47"/>
        <v>-22157.867500000004</v>
      </c>
      <c r="O227" s="26">
        <f t="shared" si="48"/>
        <v>-31817.255576923086</v>
      </c>
      <c r="P227" s="26">
        <f t="shared" si="49"/>
        <v>-31070.432870370376</v>
      </c>
      <c r="Q227" s="26">
        <f t="shared" si="50"/>
        <v>0.73750000000000071</v>
      </c>
      <c r="R227" s="26">
        <f t="shared" si="51"/>
        <v>0.51000000000000156</v>
      </c>
      <c r="S227" s="26">
        <f t="shared" si="52"/>
        <v>1.0888888888888895</v>
      </c>
      <c r="T227" s="26">
        <f t="shared" si="53"/>
        <v>-1.159589517394779</v>
      </c>
      <c r="U227" s="26">
        <f t="shared" si="54"/>
        <v>-1.7534045338477942</v>
      </c>
      <c r="V227" s="26">
        <f t="shared" si="55"/>
        <v>-1.768246863463415</v>
      </c>
    </row>
    <row r="228" spans="1:22" x14ac:dyDescent="0.25">
      <c r="A228" s="2">
        <v>43930</v>
      </c>
      <c r="B228">
        <v>5818.37</v>
      </c>
      <c r="C228">
        <v>7.28</v>
      </c>
      <c r="D228">
        <v>6.73</v>
      </c>
      <c r="F228">
        <f t="shared" si="42"/>
        <v>7.0050000000000008</v>
      </c>
      <c r="G228">
        <f t="shared" si="43"/>
        <v>-1.9619760541287983</v>
      </c>
      <c r="J228">
        <f t="shared" si="44"/>
        <v>2.6292433456259832</v>
      </c>
      <c r="L228">
        <f t="shared" si="45"/>
        <v>1.0817236255572065</v>
      </c>
      <c r="M228">
        <f t="shared" si="46"/>
        <v>-1.8781692392844547</v>
      </c>
      <c r="N228" s="26">
        <f t="shared" si="47"/>
        <v>-30340.800000000003</v>
      </c>
      <c r="O228" s="26">
        <f t="shared" si="48"/>
        <v>-32831.554423076923</v>
      </c>
      <c r="P228" s="26">
        <f t="shared" si="49"/>
        <v>-30682.532314814816</v>
      </c>
      <c r="Q228" s="26">
        <f t="shared" si="50"/>
        <v>1.2337499999999997</v>
      </c>
      <c r="R228" s="26">
        <f t="shared" si="51"/>
        <v>1.1113461538461546</v>
      </c>
      <c r="S228" s="26">
        <f t="shared" si="52"/>
        <v>1.7178703703703704</v>
      </c>
      <c r="T228" s="26">
        <f t="shared" si="53"/>
        <v>-1.7124271063279837</v>
      </c>
      <c r="U228" s="26">
        <f t="shared" si="54"/>
        <v>-1.9022983773660069</v>
      </c>
      <c r="V228" s="26">
        <f t="shared" si="55"/>
        <v>-1.8053830297862721</v>
      </c>
    </row>
    <row r="229" spans="1:22" x14ac:dyDescent="0.25">
      <c r="A229" s="2">
        <v>43924</v>
      </c>
      <c r="B229">
        <v>4093.42</v>
      </c>
      <c r="C229">
        <v>6.49</v>
      </c>
      <c r="D229">
        <v>6.12</v>
      </c>
      <c r="F229">
        <f t="shared" si="42"/>
        <v>6.3049999999999997</v>
      </c>
      <c r="G229">
        <f t="shared" si="43"/>
        <v>-2.1735190387863224</v>
      </c>
      <c r="J229">
        <f t="shared" si="44"/>
        <v>2.0156232029409598</v>
      </c>
      <c r="L229">
        <f t="shared" si="45"/>
        <v>1.0604575163398693</v>
      </c>
      <c r="M229">
        <f t="shared" si="46"/>
        <v>-1.9997544132331808</v>
      </c>
      <c r="N229" s="26">
        <f t="shared" si="47"/>
        <v>-31151.112499999999</v>
      </c>
      <c r="O229" s="26">
        <f t="shared" si="48"/>
        <v>-30525.978269230767</v>
      </c>
      <c r="P229" s="26">
        <f t="shared" si="49"/>
        <v>-28116.850833333334</v>
      </c>
      <c r="Q229" s="26">
        <f t="shared" si="50"/>
        <v>0.35625000000000018</v>
      </c>
      <c r="R229" s="26">
        <f t="shared" si="51"/>
        <v>0.49740384615384681</v>
      </c>
      <c r="S229" s="26">
        <f t="shared" si="52"/>
        <v>1.0495833333333335</v>
      </c>
      <c r="T229" s="26">
        <f t="shared" si="53"/>
        <v>-1.7633926827256392</v>
      </c>
      <c r="U229" s="26">
        <f t="shared" si="54"/>
        <v>-1.8441674946672038</v>
      </c>
      <c r="V229" s="26">
        <f t="shared" si="55"/>
        <v>-1.7191119961402994</v>
      </c>
    </row>
    <row r="230" spans="1:22" x14ac:dyDescent="0.25">
      <c r="A230" s="2">
        <v>43917</v>
      </c>
      <c r="B230">
        <v>5020.71</v>
      </c>
      <c r="C230">
        <v>5.77</v>
      </c>
      <c r="D230">
        <v>5.28</v>
      </c>
      <c r="F230">
        <f t="shared" si="42"/>
        <v>5.5250000000000004</v>
      </c>
      <c r="G230">
        <f t="shared" si="43"/>
        <v>-2.2673312683331623</v>
      </c>
      <c r="J230">
        <f t="shared" si="44"/>
        <v>1.1607882925210409</v>
      </c>
      <c r="L230">
        <f t="shared" si="45"/>
        <v>1.0928030303030303</v>
      </c>
      <c r="M230">
        <f t="shared" si="46"/>
        <v>-2.0745734207223525</v>
      </c>
      <c r="N230" s="26">
        <f t="shared" si="47"/>
        <v>-23719.877499999995</v>
      </c>
      <c r="O230" s="26">
        <f t="shared" si="48"/>
        <v>-22545.395961538467</v>
      </c>
      <c r="P230" s="26">
        <f t="shared" si="49"/>
        <v>-21029.341944444452</v>
      </c>
      <c r="Q230" s="26">
        <f t="shared" si="50"/>
        <v>-0.26250000000000018</v>
      </c>
      <c r="R230" s="26">
        <f t="shared" si="51"/>
        <v>0.10971153846153925</v>
      </c>
      <c r="S230" s="26">
        <f t="shared" si="52"/>
        <v>0.57976851851851929</v>
      </c>
      <c r="T230" s="26">
        <f t="shared" si="53"/>
        <v>-1.2772147923254931</v>
      </c>
      <c r="U230" s="26">
        <f t="shared" si="54"/>
        <v>-1.4104985142545261</v>
      </c>
      <c r="V230" s="26">
        <f t="shared" si="55"/>
        <v>-1.3263775519352672</v>
      </c>
    </row>
    <row r="231" spans="1:22" x14ac:dyDescent="0.25">
      <c r="A231" s="2">
        <v>43910</v>
      </c>
      <c r="B231">
        <v>6279.59</v>
      </c>
      <c r="C231">
        <v>4.79</v>
      </c>
      <c r="D231">
        <v>4.12</v>
      </c>
      <c r="F231">
        <f t="shared" si="42"/>
        <v>4.4550000000000001</v>
      </c>
      <c r="G231">
        <f t="shared" si="43"/>
        <v>-2.3419714544437018</v>
      </c>
      <c r="J231">
        <f t="shared" si="44"/>
        <v>-0.15381893899094093</v>
      </c>
      <c r="L231">
        <f t="shared" si="45"/>
        <v>1.162621359223301</v>
      </c>
      <c r="M231">
        <f t="shared" si="46"/>
        <v>-2.118363173738099</v>
      </c>
      <c r="N231" s="26">
        <f t="shared" si="47"/>
        <v>-14095.157499999994</v>
      </c>
      <c r="O231" s="26">
        <f t="shared" si="48"/>
        <v>-12732.332692307697</v>
      </c>
      <c r="P231" s="26">
        <f t="shared" si="49"/>
        <v>-12811.12981481482</v>
      </c>
      <c r="Q231" s="26">
        <f t="shared" si="50"/>
        <v>-0.48500000000000032</v>
      </c>
      <c r="R231" s="26">
        <f t="shared" si="51"/>
        <v>-9.6153846153868017E-4</v>
      </c>
      <c r="S231" s="26">
        <f t="shared" si="52"/>
        <v>0.35527777777777736</v>
      </c>
      <c r="T231" s="26">
        <f t="shared" si="53"/>
        <v>-0.69520721656791729</v>
      </c>
      <c r="U231" s="26">
        <f t="shared" si="54"/>
        <v>-0.83977936647385976</v>
      </c>
      <c r="V231" s="26">
        <f t="shared" si="55"/>
        <v>-0.8399401021412185</v>
      </c>
    </row>
    <row r="232" spans="1:22" x14ac:dyDescent="0.25">
      <c r="A232" s="2">
        <v>43903</v>
      </c>
      <c r="B232">
        <v>20148.05</v>
      </c>
      <c r="C232">
        <v>5.45</v>
      </c>
      <c r="D232">
        <v>3.15</v>
      </c>
      <c r="F232">
        <f t="shared" si="42"/>
        <v>4.3</v>
      </c>
      <c r="G232">
        <f t="shared" si="43"/>
        <v>-1.6719506345672623</v>
      </c>
      <c r="J232">
        <f t="shared" si="44"/>
        <v>-0.3445175458685163</v>
      </c>
      <c r="L232">
        <f t="shared" si="45"/>
        <v>1.7301587301587302</v>
      </c>
      <c r="M232">
        <f t="shared" si="46"/>
        <v>-1.7141059632387239</v>
      </c>
      <c r="N232" s="26">
        <f t="shared" si="47"/>
        <v>-2564.1724999999933</v>
      </c>
      <c r="O232" s="26">
        <f t="shared" si="48"/>
        <v>-1659.4090384615338</v>
      </c>
      <c r="P232" s="26">
        <f t="shared" si="49"/>
        <v>-3887.7475000000049</v>
      </c>
      <c r="Q232" s="26">
        <f t="shared" si="50"/>
        <v>-0.34874999999999989</v>
      </c>
      <c r="R232" s="26">
        <f t="shared" si="51"/>
        <v>0.22067307692307647</v>
      </c>
      <c r="S232" s="26">
        <f t="shared" si="52"/>
        <v>0.44560185185185119</v>
      </c>
      <c r="T232" s="26">
        <f t="shared" si="53"/>
        <v>4.4511275401958095E-2</v>
      </c>
      <c r="U232" s="26">
        <f t="shared" si="54"/>
        <v>-0.1602543803750609</v>
      </c>
      <c r="V232" s="26">
        <f t="shared" si="55"/>
        <v>-0.28526006186968944</v>
      </c>
    </row>
    <row r="233" spans="1:22" x14ac:dyDescent="0.25">
      <c r="A233" s="2">
        <v>43896</v>
      </c>
      <c r="B233">
        <v>35543.660000000003</v>
      </c>
      <c r="C233">
        <v>6.59</v>
      </c>
      <c r="D233">
        <v>2.38</v>
      </c>
      <c r="F233">
        <f t="shared" si="42"/>
        <v>4.4849999999999994</v>
      </c>
      <c r="G233">
        <f t="shared" si="43"/>
        <v>-0.78212575153136243</v>
      </c>
      <c r="J233">
        <f t="shared" si="44"/>
        <v>-0.1109130048802838</v>
      </c>
      <c r="L233">
        <f t="shared" si="45"/>
        <v>2.76890756302521</v>
      </c>
      <c r="M233">
        <f t="shared" si="46"/>
        <v>-0.80041753560430839</v>
      </c>
      <c r="N233" s="26">
        <f t="shared" si="47"/>
        <v>1510.6875</v>
      </c>
      <c r="O233" s="26">
        <f t="shared" si="48"/>
        <v>3222.5849999999991</v>
      </c>
      <c r="P233" s="26">
        <f t="shared" si="49"/>
        <v>-1086.9779629629702</v>
      </c>
      <c r="Q233" s="26">
        <f t="shared" si="50"/>
        <v>-4.624999999999968E-2</v>
      </c>
      <c r="R233" s="26">
        <f t="shared" si="51"/>
        <v>0.55346153846153801</v>
      </c>
      <c r="S233" s="26">
        <f t="shared" si="52"/>
        <v>0.62037037037037024</v>
      </c>
      <c r="T233" s="26">
        <f t="shared" si="53"/>
        <v>0.13146053260293078</v>
      </c>
      <c r="U233" s="26">
        <f t="shared" si="54"/>
        <v>4.4530645176554806E-2</v>
      </c>
      <c r="V233" s="26">
        <f t="shared" si="55"/>
        <v>-0.17900832140742295</v>
      </c>
    </row>
    <row r="234" spans="1:22" x14ac:dyDescent="0.25">
      <c r="A234" s="2">
        <v>43889</v>
      </c>
      <c r="B234">
        <v>41159.120000000003</v>
      </c>
      <c r="C234">
        <v>7.14</v>
      </c>
      <c r="D234">
        <v>2.2400000000000002</v>
      </c>
      <c r="F234">
        <f t="shared" si="42"/>
        <v>4.6899999999999995</v>
      </c>
      <c r="G234">
        <f t="shared" si="43"/>
        <v>-0.43815440393961441</v>
      </c>
      <c r="J234">
        <f t="shared" si="44"/>
        <v>0.15159308336381477</v>
      </c>
      <c r="L234">
        <f t="shared" si="45"/>
        <v>3.1874999999999996</v>
      </c>
      <c r="M234">
        <f t="shared" si="46"/>
        <v>-0.40689267782727301</v>
      </c>
      <c r="N234" s="26">
        <f t="shared" si="47"/>
        <v>1968.9574999999968</v>
      </c>
      <c r="O234" s="26">
        <f t="shared" si="48"/>
        <v>2741.3676923076855</v>
      </c>
      <c r="P234" s="26">
        <f t="shared" si="49"/>
        <v>-2237.5729629629714</v>
      </c>
      <c r="Q234" s="26">
        <f t="shared" si="50"/>
        <v>0.23750000000000071</v>
      </c>
      <c r="R234" s="26">
        <f t="shared" si="51"/>
        <v>0.81605769230769276</v>
      </c>
      <c r="S234" s="26">
        <f t="shared" si="52"/>
        <v>0.75912037037037106</v>
      </c>
      <c r="T234" s="26">
        <f t="shared" si="53"/>
        <v>-2.3434930737043835E-2</v>
      </c>
      <c r="U234" s="26">
        <f t="shared" si="54"/>
        <v>-0.12542300280434304</v>
      </c>
      <c r="V234" s="26">
        <f t="shared" si="55"/>
        <v>-0.34521326741515646</v>
      </c>
    </row>
    <row r="235" spans="1:22" x14ac:dyDescent="0.25">
      <c r="A235" s="2">
        <v>43882</v>
      </c>
      <c r="B235">
        <v>45724.46</v>
      </c>
      <c r="C235">
        <v>7.62</v>
      </c>
      <c r="D235">
        <v>2.14</v>
      </c>
      <c r="F235">
        <f t="shared" si="42"/>
        <v>4.88</v>
      </c>
      <c r="G235">
        <f t="shared" si="43"/>
        <v>-0.14784625213892111</v>
      </c>
      <c r="J235">
        <f t="shared" si="44"/>
        <v>0.40118166566815971</v>
      </c>
      <c r="L235">
        <f t="shared" si="45"/>
        <v>3.5607476635514019</v>
      </c>
      <c r="M235">
        <f t="shared" si="46"/>
        <v>-4.6642438677898392E-2</v>
      </c>
      <c r="N235" s="26">
        <f t="shared" si="47"/>
        <v>1265.0624999999927</v>
      </c>
      <c r="O235" s="26">
        <f t="shared" si="48"/>
        <v>2424.347115384604</v>
      </c>
      <c r="P235" s="26">
        <f t="shared" si="49"/>
        <v>-4340.9541666666701</v>
      </c>
      <c r="Q235" s="26">
        <f t="shared" si="50"/>
        <v>0.27125000000000021</v>
      </c>
      <c r="R235" s="26">
        <f t="shared" si="51"/>
        <v>0.95096153846153886</v>
      </c>
      <c r="S235" s="26">
        <f t="shared" si="52"/>
        <v>0.73675925925925956</v>
      </c>
      <c r="T235" s="26">
        <f t="shared" si="53"/>
        <v>-0.13919072296424861</v>
      </c>
      <c r="U235" s="26">
        <f t="shared" si="54"/>
        <v>-0.21592919201742866</v>
      </c>
      <c r="V235" s="26">
        <f t="shared" si="55"/>
        <v>-0.49921238558094094</v>
      </c>
    </row>
    <row r="236" spans="1:22" x14ac:dyDescent="0.25">
      <c r="A236" s="2">
        <v>43875</v>
      </c>
      <c r="B236">
        <v>37718.980000000003</v>
      </c>
      <c r="C236">
        <v>7.36</v>
      </c>
      <c r="D236">
        <v>2.85</v>
      </c>
      <c r="F236">
        <f t="shared" si="42"/>
        <v>5.1050000000000004</v>
      </c>
      <c r="G236">
        <f t="shared" si="43"/>
        <v>-0.62794206170717803</v>
      </c>
      <c r="J236">
        <f t="shared" si="44"/>
        <v>0.6979853391530092</v>
      </c>
      <c r="L236">
        <f t="shared" si="45"/>
        <v>2.5824561403508772</v>
      </c>
      <c r="M236">
        <f t="shared" si="46"/>
        <v>-0.92568299126369358</v>
      </c>
      <c r="N236" s="26">
        <f t="shared" si="47"/>
        <v>-1556.7675000000017</v>
      </c>
      <c r="O236" s="26">
        <f t="shared" si="48"/>
        <v>1555.6434615384496</v>
      </c>
      <c r="P236" s="26">
        <f t="shared" si="49"/>
        <v>-7426.7172222222362</v>
      </c>
      <c r="Q236" s="26">
        <f t="shared" si="50"/>
        <v>0.27000000000000046</v>
      </c>
      <c r="R236" s="26">
        <f t="shared" si="51"/>
        <v>1.0451923076923078</v>
      </c>
      <c r="S236" s="26">
        <f t="shared" si="52"/>
        <v>0.67657407407407444</v>
      </c>
      <c r="T236" s="26">
        <f t="shared" si="53"/>
        <v>-0.48274551449976721</v>
      </c>
      <c r="U236" s="26">
        <f t="shared" si="54"/>
        <v>-0.32333638762555861</v>
      </c>
      <c r="V236" s="26">
        <f t="shared" si="55"/>
        <v>-0.73274996207091414</v>
      </c>
    </row>
    <row r="237" spans="1:22" x14ac:dyDescent="0.25">
      <c r="A237" s="2">
        <v>43868</v>
      </c>
      <c r="B237">
        <v>37268.959999999999</v>
      </c>
      <c r="C237">
        <v>7.37</v>
      </c>
      <c r="D237">
        <v>2.91</v>
      </c>
      <c r="F237">
        <f t="shared" si="42"/>
        <v>5.1400000000000006</v>
      </c>
      <c r="G237">
        <f t="shared" si="43"/>
        <v>-0.66034433527765202</v>
      </c>
      <c r="J237">
        <f t="shared" si="44"/>
        <v>0.76113661927611931</v>
      </c>
      <c r="L237">
        <f t="shared" si="45"/>
        <v>2.5326460481099655</v>
      </c>
      <c r="M237">
        <f t="shared" si="46"/>
        <v>-0.97772872166148894</v>
      </c>
      <c r="N237" s="26">
        <f t="shared" si="47"/>
        <v>-1812.072500000002</v>
      </c>
      <c r="O237" s="26">
        <f t="shared" si="48"/>
        <v>2806.1421153846168</v>
      </c>
      <c r="P237" s="26">
        <f t="shared" si="49"/>
        <v>-8350.3280555555539</v>
      </c>
      <c r="Q237" s="26">
        <f t="shared" si="50"/>
        <v>0.22625000000000028</v>
      </c>
      <c r="R237" s="26">
        <f t="shared" si="51"/>
        <v>1.0400961538461533</v>
      </c>
      <c r="S237" s="26">
        <f t="shared" si="52"/>
        <v>0.5529166666666665</v>
      </c>
      <c r="T237" s="26">
        <f t="shared" si="53"/>
        <v>-0.51119707819160576</v>
      </c>
      <c r="U237" s="26">
        <f t="shared" si="54"/>
        <v>-0.13085302640783603</v>
      </c>
      <c r="V237" s="26">
        <f t="shared" si="55"/>
        <v>-0.69486766944173306</v>
      </c>
    </row>
    <row r="238" spans="1:22" x14ac:dyDescent="0.25">
      <c r="A238" s="2">
        <v>43861</v>
      </c>
      <c r="B238">
        <v>38798.65</v>
      </c>
      <c r="C238">
        <v>7.09</v>
      </c>
      <c r="D238">
        <v>2.4</v>
      </c>
      <c r="F238">
        <f t="shared" si="42"/>
        <v>4.7450000000000001</v>
      </c>
      <c r="G238">
        <f t="shared" si="43"/>
        <v>-0.57591050060647531</v>
      </c>
      <c r="J238">
        <f t="shared" si="44"/>
        <v>0.2753923202453829</v>
      </c>
      <c r="L238">
        <f t="shared" si="45"/>
        <v>2.9541666666666666</v>
      </c>
      <c r="M238">
        <f t="shared" si="46"/>
        <v>-0.60069299710953983</v>
      </c>
      <c r="N238" s="26">
        <f t="shared" si="47"/>
        <v>-1735.4774999999936</v>
      </c>
      <c r="O238" s="26">
        <f t="shared" si="48"/>
        <v>3792.6278846153873</v>
      </c>
      <c r="P238" s="26">
        <f t="shared" si="49"/>
        <v>-9677.8045370370382</v>
      </c>
      <c r="Q238" s="26">
        <f t="shared" si="50"/>
        <v>0.39874999999999972</v>
      </c>
      <c r="R238" s="26">
        <f t="shared" si="51"/>
        <v>1.0031730769230762</v>
      </c>
      <c r="S238" s="26">
        <f t="shared" si="52"/>
        <v>0.41254629629629491</v>
      </c>
      <c r="T238" s="26">
        <f t="shared" si="53"/>
        <v>-0.45684323319909614</v>
      </c>
      <c r="U238" s="26">
        <f t="shared" si="54"/>
        <v>3.7670291257801747E-2</v>
      </c>
      <c r="V238" s="26">
        <f t="shared" si="55"/>
        <v>-0.70790042821353616</v>
      </c>
    </row>
    <row r="239" spans="1:22" x14ac:dyDescent="0.25">
      <c r="A239" s="2">
        <v>43854</v>
      </c>
      <c r="B239">
        <v>39045.39</v>
      </c>
      <c r="C239">
        <v>7.14</v>
      </c>
      <c r="D239">
        <v>2.38</v>
      </c>
      <c r="F239">
        <f t="shared" si="42"/>
        <v>4.76</v>
      </c>
      <c r="G239">
        <f t="shared" si="43"/>
        <v>-0.57224963953228325</v>
      </c>
      <c r="J239">
        <f t="shared" si="44"/>
        <v>0.29684970225433438</v>
      </c>
      <c r="L239">
        <f t="shared" si="45"/>
        <v>3</v>
      </c>
      <c r="M239">
        <f t="shared" si="46"/>
        <v>-0.56316324348149915</v>
      </c>
      <c r="N239" s="26">
        <f t="shared" si="47"/>
        <v>-310.6024999999936</v>
      </c>
      <c r="O239" s="26">
        <f t="shared" si="48"/>
        <v>4715.4700000000012</v>
      </c>
      <c r="P239" s="26">
        <f t="shared" si="49"/>
        <v>-10671.004074074073</v>
      </c>
      <c r="Q239" s="26">
        <f t="shared" si="50"/>
        <v>0.64250000000000007</v>
      </c>
      <c r="R239" s="26">
        <f t="shared" si="51"/>
        <v>1.0624038461538459</v>
      </c>
      <c r="S239" s="26">
        <f t="shared" si="52"/>
        <v>0.37495370370370384</v>
      </c>
      <c r="T239" s="26">
        <f t="shared" si="53"/>
        <v>-0.27437501609162496</v>
      </c>
      <c r="U239" s="26">
        <f t="shared" si="54"/>
        <v>0.16502211380300968</v>
      </c>
      <c r="V239" s="26">
        <f t="shared" si="55"/>
        <v>-0.73803034703799053</v>
      </c>
    </row>
    <row r="240" spans="1:22" x14ac:dyDescent="0.25">
      <c r="A240" s="2">
        <v>43847</v>
      </c>
      <c r="B240">
        <v>38990.47</v>
      </c>
      <c r="C240">
        <v>7.1</v>
      </c>
      <c r="D240">
        <v>2.2999999999999998</v>
      </c>
      <c r="F240">
        <f t="shared" si="42"/>
        <v>4.6999999999999993</v>
      </c>
      <c r="G240">
        <f t="shared" si="43"/>
        <v>-0.58543472216198078</v>
      </c>
      <c r="J240">
        <f t="shared" si="44"/>
        <v>0.22893013391010697</v>
      </c>
      <c r="L240">
        <f t="shared" si="45"/>
        <v>3.0869565217391304</v>
      </c>
      <c r="M240">
        <f t="shared" si="46"/>
        <v>-0.48410733356416141</v>
      </c>
      <c r="N240" s="26">
        <f t="shared" si="47"/>
        <v>3995.0874999999942</v>
      </c>
      <c r="O240" s="26">
        <f t="shared" si="48"/>
        <v>6274.7324999999983</v>
      </c>
      <c r="P240" s="26">
        <f t="shared" si="49"/>
        <v>-10244.882314814822</v>
      </c>
      <c r="Q240" s="26">
        <f t="shared" si="50"/>
        <v>0.92124999999999968</v>
      </c>
      <c r="R240" s="26">
        <f t="shared" si="51"/>
        <v>1.0967307692307693</v>
      </c>
      <c r="S240" s="26">
        <f t="shared" si="52"/>
        <v>0.33898148148148177</v>
      </c>
      <c r="T240" s="26">
        <f t="shared" si="53"/>
        <v>0.23838167761208862</v>
      </c>
      <c r="U240" s="26">
        <f t="shared" si="54"/>
        <v>0.43532633818287092</v>
      </c>
      <c r="V240" s="26">
        <f t="shared" si="55"/>
        <v>-0.58186909405234921</v>
      </c>
    </row>
    <row r="241" spans="1:22" x14ac:dyDescent="0.25">
      <c r="A241" s="2">
        <v>43840</v>
      </c>
      <c r="B241">
        <v>37161.18</v>
      </c>
      <c r="C241">
        <v>6.94</v>
      </c>
      <c r="D241">
        <v>2.38</v>
      </c>
      <c r="F241">
        <f t="shared" si="42"/>
        <v>4.66</v>
      </c>
      <c r="G241">
        <f t="shared" si="43"/>
        <v>-0.70387924150394021</v>
      </c>
      <c r="J241">
        <f t="shared" si="44"/>
        <v>0.1901175567784274</v>
      </c>
      <c r="L241">
        <f t="shared" si="45"/>
        <v>2.9159663865546221</v>
      </c>
      <c r="M241">
        <f t="shared" si="46"/>
        <v>-0.63967856140888668</v>
      </c>
      <c r="N241" s="26">
        <f t="shared" si="47"/>
        <v>7395.9900000000052</v>
      </c>
      <c r="O241" s="26">
        <f t="shared" si="48"/>
        <v>6896.3623076923104</v>
      </c>
      <c r="P241" s="26">
        <f t="shared" si="49"/>
        <v>-10410.421851851854</v>
      </c>
      <c r="Q241" s="26">
        <f t="shared" si="50"/>
        <v>1.1362499999999995</v>
      </c>
      <c r="R241" s="26">
        <f t="shared" si="51"/>
        <v>1.0838461538461535</v>
      </c>
      <c r="S241" s="26">
        <f t="shared" si="52"/>
        <v>0.27037037037037059</v>
      </c>
      <c r="T241" s="26">
        <f t="shared" si="53"/>
        <v>0.68906579279134172</v>
      </c>
      <c r="U241" s="26">
        <f t="shared" si="54"/>
        <v>0.63686655997480957</v>
      </c>
      <c r="V241" s="26">
        <f t="shared" si="55"/>
        <v>-0.4780765077217568</v>
      </c>
    </row>
    <row r="242" spans="1:22" x14ac:dyDescent="0.25">
      <c r="A242" s="2">
        <v>43833</v>
      </c>
      <c r="B242">
        <v>39253.760000000002</v>
      </c>
      <c r="C242">
        <v>7.1</v>
      </c>
      <c r="D242">
        <v>2.23</v>
      </c>
      <c r="F242">
        <f t="shared" si="42"/>
        <v>4.665</v>
      </c>
      <c r="G242">
        <f t="shared" si="43"/>
        <v>-0.5766416528907039</v>
      </c>
      <c r="J242">
        <f t="shared" si="44"/>
        <v>0.20920054497626325</v>
      </c>
      <c r="L242">
        <f t="shared" si="45"/>
        <v>3.1838565022421523</v>
      </c>
      <c r="M242">
        <f t="shared" si="46"/>
        <v>-0.3873926039474555</v>
      </c>
      <c r="N242" s="26">
        <f t="shared" si="47"/>
        <v>8639.559999999994</v>
      </c>
      <c r="O242" s="26">
        <f t="shared" si="48"/>
        <v>6456.4415384615349</v>
      </c>
      <c r="P242" s="26">
        <f t="shared" si="49"/>
        <v>-11400.940000000002</v>
      </c>
      <c r="Q242" s="26">
        <f t="shared" si="50"/>
        <v>0.86749999999999972</v>
      </c>
      <c r="R242" s="26">
        <f t="shared" si="51"/>
        <v>0.77211538461538431</v>
      </c>
      <c r="S242" s="26">
        <f t="shared" si="52"/>
        <v>-7.2499999999999787E-2</v>
      </c>
      <c r="T242" s="26">
        <f t="shared" si="53"/>
        <v>0.82845552084121854</v>
      </c>
      <c r="U242" s="26">
        <f t="shared" si="54"/>
        <v>0.65186863359889902</v>
      </c>
      <c r="V242" s="26">
        <f t="shared" si="55"/>
        <v>-0.50054515286249934</v>
      </c>
    </row>
    <row r="243" spans="1:22" x14ac:dyDescent="0.25">
      <c r="A243" s="2">
        <v>43826</v>
      </c>
      <c r="B243">
        <v>43653.64</v>
      </c>
      <c r="C243">
        <v>7.36</v>
      </c>
      <c r="D243">
        <v>1.93</v>
      </c>
      <c r="F243">
        <f t="shared" si="42"/>
        <v>4.6450000000000005</v>
      </c>
      <c r="G243">
        <f t="shared" si="43"/>
        <v>-0.30457342259672676</v>
      </c>
      <c r="J243">
        <f t="shared" si="44"/>
        <v>0.2000787274750056</v>
      </c>
      <c r="L243">
        <f t="shared" si="45"/>
        <v>3.8134715025906738</v>
      </c>
      <c r="M243">
        <f t="shared" si="46"/>
        <v>0.19646544592236895</v>
      </c>
      <c r="N243" s="26">
        <f t="shared" si="47"/>
        <v>3547.802499999998</v>
      </c>
      <c r="O243" s="26">
        <f t="shared" si="48"/>
        <v>4099.9117307692286</v>
      </c>
      <c r="P243" s="26">
        <f t="shared" si="49"/>
        <v>-13794.243055555547</v>
      </c>
      <c r="Q243" s="26">
        <f t="shared" si="50"/>
        <v>0.54249999999999998</v>
      </c>
      <c r="R243" s="26">
        <f t="shared" si="51"/>
        <v>0.47182692307692253</v>
      </c>
      <c r="S243" s="26">
        <f t="shared" si="52"/>
        <v>-0.39662037037037035</v>
      </c>
      <c r="T243" s="26">
        <f t="shared" si="53"/>
        <v>0.38077974287778371</v>
      </c>
      <c r="U243" s="26">
        <f t="shared" si="54"/>
        <v>0.442661005509144</v>
      </c>
      <c r="V243" s="26">
        <f t="shared" si="55"/>
        <v>-0.69784036043768349</v>
      </c>
    </row>
    <row r="244" spans="1:22" x14ac:dyDescent="0.25">
      <c r="A244" s="2">
        <v>43819</v>
      </c>
      <c r="B244">
        <v>41283.18</v>
      </c>
      <c r="C244">
        <v>7.04</v>
      </c>
      <c r="D244">
        <v>1.9</v>
      </c>
      <c r="F244">
        <f t="shared" si="42"/>
        <v>4.47</v>
      </c>
      <c r="G244">
        <f t="shared" si="43"/>
        <v>-0.44844375365521472</v>
      </c>
      <c r="J244">
        <f t="shared" si="44"/>
        <v>-3.4522175735634737E-3</v>
      </c>
      <c r="L244">
        <f t="shared" si="45"/>
        <v>3.7052631578947368</v>
      </c>
      <c r="M244">
        <f t="shared" si="46"/>
        <v>0.10702059649825885</v>
      </c>
      <c r="N244" s="26">
        <f t="shared" si="47"/>
        <v>-658.13999999999942</v>
      </c>
      <c r="O244" s="26">
        <f t="shared" si="48"/>
        <v>-1009.9396153846101</v>
      </c>
      <c r="P244" s="26">
        <f t="shared" si="49"/>
        <v>-18109.018333333326</v>
      </c>
      <c r="Q244" s="26">
        <f t="shared" si="50"/>
        <v>0.29624999999999968</v>
      </c>
      <c r="R244" s="26">
        <f t="shared" si="51"/>
        <v>5.1250000000000018E-2</v>
      </c>
      <c r="S244" s="26">
        <f t="shared" si="52"/>
        <v>-0.77115740740740701</v>
      </c>
      <c r="T244" s="26">
        <f t="shared" si="53"/>
        <v>-0.12773346586250067</v>
      </c>
      <c r="U244" s="26">
        <f t="shared" si="54"/>
        <v>4.7026098664722404E-2</v>
      </c>
      <c r="V244" s="26">
        <f t="shared" si="55"/>
        <v>-1.0795693377061006</v>
      </c>
    </row>
    <row r="245" spans="1:22" x14ac:dyDescent="0.25">
      <c r="A245" s="2">
        <v>43812</v>
      </c>
      <c r="B245">
        <v>36747.019999999997</v>
      </c>
      <c r="C245">
        <v>5.27</v>
      </c>
      <c r="D245">
        <v>1.71</v>
      </c>
      <c r="F245">
        <f t="shared" si="42"/>
        <v>3.4899999999999998</v>
      </c>
      <c r="G245">
        <f t="shared" si="43"/>
        <v>-0.72831247530351118</v>
      </c>
      <c r="J245">
        <f t="shared" si="44"/>
        <v>-1.2098827075219667</v>
      </c>
      <c r="L245">
        <f t="shared" si="45"/>
        <v>3.0818713450292394</v>
      </c>
      <c r="M245">
        <f t="shared" si="46"/>
        <v>-0.46421492469549297</v>
      </c>
      <c r="N245" s="26">
        <f t="shared" si="47"/>
        <v>-3150.6850000000049</v>
      </c>
      <c r="O245" s="26">
        <f t="shared" si="48"/>
        <v>-6393.7707692307595</v>
      </c>
      <c r="P245" s="26">
        <f t="shared" si="49"/>
        <v>-22102.083333333336</v>
      </c>
      <c r="Q245" s="26">
        <f t="shared" si="50"/>
        <v>8.2500000000000018E-2</v>
      </c>
      <c r="R245" s="26">
        <f t="shared" si="51"/>
        <v>-0.35471153846153847</v>
      </c>
      <c r="S245" s="26">
        <f t="shared" si="52"/>
        <v>-1.1175462962962959</v>
      </c>
      <c r="T245" s="26">
        <f t="shared" si="53"/>
        <v>-0.43709849776042731</v>
      </c>
      <c r="U245" s="26">
        <f t="shared" si="54"/>
        <v>-0.37770136268192811</v>
      </c>
      <c r="V245" s="26">
        <f t="shared" si="55"/>
        <v>-1.4385513593504666</v>
      </c>
    </row>
    <row r="246" spans="1:22" x14ac:dyDescent="0.25">
      <c r="A246" s="2">
        <v>43805</v>
      </c>
      <c r="B246">
        <v>34009.370000000003</v>
      </c>
      <c r="C246">
        <v>5.26</v>
      </c>
      <c r="D246">
        <v>1.96</v>
      </c>
      <c r="F246">
        <f t="shared" si="42"/>
        <v>3.61</v>
      </c>
      <c r="G246">
        <f t="shared" si="43"/>
        <v>-0.90085332827567266</v>
      </c>
      <c r="J246">
        <f t="shared" si="44"/>
        <v>-1.013941757849985</v>
      </c>
      <c r="L246">
        <f t="shared" si="45"/>
        <v>2.6836734693877551</v>
      </c>
      <c r="M246">
        <f t="shared" si="46"/>
        <v>-0.8345111581494089</v>
      </c>
      <c r="N246" s="26">
        <f t="shared" si="47"/>
        <v>-3374.7324999999946</v>
      </c>
      <c r="O246" s="26">
        <f t="shared" si="48"/>
        <v>-10793.759999999991</v>
      </c>
      <c r="P246" s="26">
        <f t="shared" si="49"/>
        <v>-24551.041851851853</v>
      </c>
      <c r="Q246" s="26">
        <f t="shared" si="50"/>
        <v>4.4999999999999929E-2</v>
      </c>
      <c r="R246" s="26">
        <f t="shared" si="51"/>
        <v>-0.52576923076923077</v>
      </c>
      <c r="S246" s="26">
        <f t="shared" si="52"/>
        <v>-1.2157407407407401</v>
      </c>
      <c r="T246" s="26">
        <f t="shared" si="53"/>
        <v>-0.41853240472070308</v>
      </c>
      <c r="U246" s="26">
        <f t="shared" si="54"/>
        <v>-0.63573190796933821</v>
      </c>
      <c r="V246" s="26">
        <f t="shared" si="55"/>
        <v>-1.5913549000973712</v>
      </c>
    </row>
    <row r="247" spans="1:22" x14ac:dyDescent="0.25">
      <c r="A247" s="2">
        <v>43798</v>
      </c>
      <c r="B247">
        <v>31039.13</v>
      </c>
      <c r="C247">
        <v>4.92</v>
      </c>
      <c r="D247">
        <v>1.91</v>
      </c>
      <c r="F247">
        <f t="shared" si="42"/>
        <v>3.415</v>
      </c>
      <c r="G247">
        <f t="shared" si="43"/>
        <v>-1.0884494579064572</v>
      </c>
      <c r="J247">
        <f t="shared" si="44"/>
        <v>-1.1935895252623188</v>
      </c>
      <c r="L247">
        <f t="shared" si="45"/>
        <v>2.5759162303664924</v>
      </c>
      <c r="M247">
        <f t="shared" si="46"/>
        <v>-0.94388258745171338</v>
      </c>
      <c r="N247" s="26">
        <f t="shared" si="47"/>
        <v>6692.2849999999999</v>
      </c>
      <c r="O247" s="26">
        <f t="shared" si="48"/>
        <v>-9441.5592307692204</v>
      </c>
      <c r="P247" s="26">
        <f t="shared" si="49"/>
        <v>-21172.141481481485</v>
      </c>
      <c r="Q247" s="26">
        <f t="shared" si="50"/>
        <v>0.17499999999999982</v>
      </c>
      <c r="R247" s="26">
        <f t="shared" si="51"/>
        <v>-0.61567307692307738</v>
      </c>
      <c r="S247" s="26">
        <f t="shared" si="52"/>
        <v>-1.2176388888888883</v>
      </c>
      <c r="T247" s="26">
        <f t="shared" si="53"/>
        <v>0.40490741291428822</v>
      </c>
      <c r="U247" s="26">
        <f t="shared" si="54"/>
        <v>-0.42790751270254734</v>
      </c>
      <c r="V247" s="26">
        <f t="shared" si="55"/>
        <v>-1.2643434599075158</v>
      </c>
    </row>
    <row r="248" spans="1:22" x14ac:dyDescent="0.25">
      <c r="A248" s="2">
        <v>43791</v>
      </c>
      <c r="B248">
        <v>29972.28</v>
      </c>
      <c r="C248">
        <v>4.84</v>
      </c>
      <c r="D248">
        <v>1.92</v>
      </c>
      <c r="F248">
        <f t="shared" si="42"/>
        <v>3.38</v>
      </c>
      <c r="G248">
        <f t="shared" si="43"/>
        <v>-1.168055550779967</v>
      </c>
      <c r="J248">
        <f t="shared" si="44"/>
        <v>-1.1880154593793446</v>
      </c>
      <c r="L248">
        <f t="shared" si="45"/>
        <v>2.5208333333333335</v>
      </c>
      <c r="M248">
        <f t="shared" si="46"/>
        <v>-1.0153821390579958</v>
      </c>
      <c r="N248" s="26">
        <f t="shared" si="47"/>
        <v>9372.7175000000025</v>
      </c>
      <c r="O248" s="26">
        <f t="shared" si="48"/>
        <v>-11830.198846153849</v>
      </c>
      <c r="P248" s="26">
        <f t="shared" si="49"/>
        <v>-20893.556851851863</v>
      </c>
      <c r="Q248" s="26">
        <f t="shared" si="50"/>
        <v>-2.4999999999999467E-3</v>
      </c>
      <c r="R248" s="26">
        <f t="shared" si="51"/>
        <v>-0.88038461538461554</v>
      </c>
      <c r="S248" s="26">
        <f t="shared" si="52"/>
        <v>-1.3605555555555551</v>
      </c>
      <c r="T248" s="26">
        <f t="shared" si="53"/>
        <v>0.87844155818069547</v>
      </c>
      <c r="U248" s="26">
        <f t="shared" si="54"/>
        <v>-0.38670624290580324</v>
      </c>
      <c r="V248" s="26">
        <f t="shared" si="55"/>
        <v>-1.0734265988867451</v>
      </c>
    </row>
    <row r="249" spans="1:22" x14ac:dyDescent="0.25">
      <c r="A249" s="2">
        <v>43784</v>
      </c>
      <c r="B249">
        <v>31358.58</v>
      </c>
      <c r="C249">
        <v>4.95</v>
      </c>
      <c r="D249">
        <v>1.84</v>
      </c>
      <c r="F249">
        <f t="shared" si="42"/>
        <v>3.395</v>
      </c>
      <c r="G249">
        <f t="shared" si="43"/>
        <v>-1.0859796353885169</v>
      </c>
      <c r="J249">
        <f t="shared" si="44"/>
        <v>-1.1286567789330271</v>
      </c>
      <c r="L249">
        <f t="shared" si="45"/>
        <v>2.6902173913043477</v>
      </c>
      <c r="M249">
        <f t="shared" si="46"/>
        <v>-0.8649234050215644</v>
      </c>
      <c r="N249" s="26">
        <f t="shared" si="47"/>
        <v>6605.4175000000032</v>
      </c>
      <c r="O249" s="26">
        <f t="shared" si="48"/>
        <v>-16090.394999999997</v>
      </c>
      <c r="P249" s="26">
        <f t="shared" si="49"/>
        <v>-20868.507592592599</v>
      </c>
      <c r="Q249" s="26">
        <f t="shared" si="50"/>
        <v>-0.23124999999999973</v>
      </c>
      <c r="R249" s="26">
        <f t="shared" si="51"/>
        <v>-1.1372115384615387</v>
      </c>
      <c r="S249" s="26">
        <f t="shared" si="52"/>
        <v>-1.4076388888888887</v>
      </c>
      <c r="T249" s="26">
        <f t="shared" si="53"/>
        <v>0.79934030076113904</v>
      </c>
      <c r="U249" s="26">
        <f t="shared" si="54"/>
        <v>-0.60139322259278316</v>
      </c>
      <c r="V249" s="26">
        <f t="shared" si="55"/>
        <v>-1.043621178197347</v>
      </c>
    </row>
    <row r="250" spans="1:22" x14ac:dyDescent="0.25">
      <c r="A250" s="2">
        <v>43777</v>
      </c>
      <c r="B250">
        <v>49132.01</v>
      </c>
      <c r="C250">
        <v>6.16</v>
      </c>
      <c r="D250">
        <v>1.55</v>
      </c>
      <c r="F250">
        <f t="shared" si="42"/>
        <v>3.855</v>
      </c>
      <c r="G250">
        <f t="shared" si="43"/>
        <v>3.7261497085023285E-2</v>
      </c>
      <c r="J250">
        <f t="shared" si="44"/>
        <v>-0.57283139194261845</v>
      </c>
      <c r="L250">
        <f t="shared" si="45"/>
        <v>3.9741935483870967</v>
      </c>
      <c r="M250">
        <f t="shared" si="46"/>
        <v>0.34296499913216988</v>
      </c>
      <c r="N250" s="26">
        <f t="shared" si="47"/>
        <v>2035.6124999999884</v>
      </c>
      <c r="O250" s="26">
        <f t="shared" si="48"/>
        <v>-21091.222115384626</v>
      </c>
      <c r="P250" s="26">
        <f t="shared" si="49"/>
        <v>-23037.786388888904</v>
      </c>
      <c r="Q250" s="26">
        <f t="shared" si="50"/>
        <v>-0.32749999999999968</v>
      </c>
      <c r="R250" s="26">
        <f t="shared" si="51"/>
        <v>-1.2869230769230766</v>
      </c>
      <c r="S250" s="26">
        <f t="shared" si="52"/>
        <v>-1.4629629629629628</v>
      </c>
      <c r="T250" s="26">
        <f t="shared" si="53"/>
        <v>0.46525127511901632</v>
      </c>
      <c r="U250" s="26">
        <f t="shared" si="54"/>
        <v>-0.97142424797424853</v>
      </c>
      <c r="V250" s="26">
        <f t="shared" si="55"/>
        <v>-1.2103821480499071</v>
      </c>
    </row>
    <row r="251" spans="1:22" x14ac:dyDescent="0.25">
      <c r="A251" s="2">
        <v>43770</v>
      </c>
      <c r="B251">
        <v>35248.39</v>
      </c>
      <c r="C251">
        <v>4.8899999999999997</v>
      </c>
      <c r="D251">
        <v>1.45</v>
      </c>
      <c r="F251">
        <f t="shared" si="42"/>
        <v>3.17</v>
      </c>
      <c r="G251">
        <f t="shared" si="43"/>
        <v>-0.80190739604829941</v>
      </c>
      <c r="J251">
        <f t="shared" si="44"/>
        <v>-1.2362315636602299</v>
      </c>
      <c r="L251">
        <f t="shared" si="45"/>
        <v>3.3724137931034481</v>
      </c>
      <c r="M251">
        <f t="shared" si="46"/>
        <v>-0.20619270817934099</v>
      </c>
      <c r="N251" s="26">
        <f t="shared" si="47"/>
        <v>-8534.0924999999952</v>
      </c>
      <c r="O251" s="26">
        <f t="shared" si="48"/>
        <v>-31110.190384615384</v>
      </c>
      <c r="P251" s="26">
        <f t="shared" si="49"/>
        <v>-30371.966481481493</v>
      </c>
      <c r="Q251" s="26">
        <f t="shared" si="50"/>
        <v>-0.4362499999999998</v>
      </c>
      <c r="R251" s="26">
        <f t="shared" si="51"/>
        <v>-1.4883653846153853</v>
      </c>
      <c r="S251" s="26">
        <f t="shared" si="52"/>
        <v>-1.591898148148148</v>
      </c>
      <c r="T251" s="26">
        <f t="shared" si="53"/>
        <v>-0.39932880929416648</v>
      </c>
      <c r="U251" s="26">
        <f t="shared" si="54"/>
        <v>-1.7413538795729036</v>
      </c>
      <c r="V251" s="26">
        <f t="shared" si="55"/>
        <v>-1.7645275975019556</v>
      </c>
    </row>
    <row r="252" spans="1:22" x14ac:dyDescent="0.25">
      <c r="A252" s="2">
        <v>43763</v>
      </c>
      <c r="B252">
        <v>28631.56</v>
      </c>
      <c r="C252">
        <v>4.53</v>
      </c>
      <c r="D252">
        <v>1.76</v>
      </c>
      <c r="F252">
        <f t="shared" si="42"/>
        <v>3.145</v>
      </c>
      <c r="G252">
        <f t="shared" si="43"/>
        <v>-1.2050391682181687</v>
      </c>
      <c r="J252">
        <f t="shared" si="44"/>
        <v>-1.2931735266107087</v>
      </c>
      <c r="L252">
        <f t="shared" si="45"/>
        <v>2.5738636363636367</v>
      </c>
      <c r="M252">
        <f t="shared" si="46"/>
        <v>-0.95174153389547844</v>
      </c>
      <c r="N252" s="26">
        <f t="shared" si="47"/>
        <v>-14878.227499999997</v>
      </c>
      <c r="O252" s="26">
        <f t="shared" si="48"/>
        <v>-36087.508653846147</v>
      </c>
      <c r="P252" s="26">
        <f t="shared" si="49"/>
        <v>-32460.294351851862</v>
      </c>
      <c r="Q252" s="26">
        <f t="shared" si="50"/>
        <v>-0.43249999999999966</v>
      </c>
      <c r="R252" s="26">
        <f t="shared" si="51"/>
        <v>-1.4932692307692306</v>
      </c>
      <c r="S252" s="26">
        <f t="shared" si="52"/>
        <v>-1.5187962962962955</v>
      </c>
      <c r="T252" s="26">
        <f t="shared" si="53"/>
        <v>-1.0494893146270852</v>
      </c>
      <c r="U252" s="26">
        <f t="shared" si="54"/>
        <v>-2.2911858174719915</v>
      </c>
      <c r="V252" s="26">
        <f t="shared" si="55"/>
        <v>-2.0576318996500613</v>
      </c>
    </row>
    <row r="253" spans="1:22" x14ac:dyDescent="0.25">
      <c r="A253" s="2">
        <v>43756</v>
      </c>
      <c r="B253">
        <v>26866.33</v>
      </c>
      <c r="C253">
        <v>4.76</v>
      </c>
      <c r="D253">
        <v>2.14</v>
      </c>
      <c r="F253">
        <f t="shared" si="42"/>
        <v>3.45</v>
      </c>
      <c r="G253">
        <f t="shared" si="43"/>
        <v>-1.3367625703135724</v>
      </c>
      <c r="J253">
        <f t="shared" si="44"/>
        <v>-1.0057316291269327</v>
      </c>
      <c r="L253">
        <f t="shared" si="45"/>
        <v>2.2242990654205603</v>
      </c>
      <c r="M253">
        <f t="shared" si="46"/>
        <v>-1.2948922599303656</v>
      </c>
      <c r="N253" s="26">
        <f t="shared" si="47"/>
        <v>-16973.607500000006</v>
      </c>
      <c r="O253" s="26">
        <f t="shared" si="48"/>
        <v>-36023.242500000008</v>
      </c>
      <c r="P253" s="26">
        <f t="shared" si="49"/>
        <v>-29930.509166666692</v>
      </c>
      <c r="Q253" s="26">
        <f t="shared" si="50"/>
        <v>-0.52750000000000075</v>
      </c>
      <c r="R253" s="26">
        <f t="shared" si="51"/>
        <v>-1.4244230769230777</v>
      </c>
      <c r="S253" s="26">
        <f t="shared" si="52"/>
        <v>-1.373981481481481</v>
      </c>
      <c r="T253" s="26">
        <f t="shared" si="53"/>
        <v>-1.1455845853357585</v>
      </c>
      <c r="U253" s="26">
        <f t="shared" si="54"/>
        <v>-2.3991709636459966</v>
      </c>
      <c r="V253" s="26">
        <f t="shared" si="55"/>
        <v>-1.954327670557376</v>
      </c>
    </row>
    <row r="254" spans="1:22" x14ac:dyDescent="0.25">
      <c r="A254" s="2">
        <v>43749</v>
      </c>
      <c r="B254">
        <v>23986.58</v>
      </c>
      <c r="C254">
        <v>4.75</v>
      </c>
      <c r="D254">
        <v>2.41</v>
      </c>
      <c r="F254">
        <f t="shared" si="42"/>
        <v>3.58</v>
      </c>
      <c r="G254">
        <f t="shared" si="43"/>
        <v>-1.5491829126784975</v>
      </c>
      <c r="J254">
        <f t="shared" si="44"/>
        <v>-0.88880522885042257</v>
      </c>
      <c r="L254">
        <f t="shared" si="45"/>
        <v>1.9709543568464729</v>
      </c>
      <c r="M254">
        <f t="shared" si="46"/>
        <v>-1.5679037142928616</v>
      </c>
      <c r="N254" s="26">
        <f t="shared" si="47"/>
        <v>-19163.954999999994</v>
      </c>
      <c r="O254" s="26">
        <f t="shared" si="48"/>
        <v>-34315.018461538464</v>
      </c>
      <c r="P254" s="26">
        <f t="shared" si="49"/>
        <v>-26436.302592592605</v>
      </c>
      <c r="Q254" s="26">
        <f t="shared" si="50"/>
        <v>-0.72375000000000078</v>
      </c>
      <c r="R254" s="26">
        <f t="shared" si="51"/>
        <v>-1.3875000000000002</v>
      </c>
      <c r="S254" s="26">
        <f t="shared" si="52"/>
        <v>-1.2771296296296297</v>
      </c>
      <c r="T254" s="26">
        <f t="shared" si="53"/>
        <v>-1.2025142808920739</v>
      </c>
      <c r="U254" s="26">
        <f t="shared" si="54"/>
        <v>-2.3348933250409853</v>
      </c>
      <c r="V254" s="26">
        <f t="shared" si="55"/>
        <v>-1.7248143927279811</v>
      </c>
    </row>
    <row r="255" spans="1:22" x14ac:dyDescent="0.25">
      <c r="A255" s="2">
        <v>43742</v>
      </c>
      <c r="B255">
        <v>28735.919999999998</v>
      </c>
      <c r="C255">
        <v>5.05</v>
      </c>
      <c r="D255">
        <v>2.2200000000000002</v>
      </c>
      <c r="F255">
        <f t="shared" si="42"/>
        <v>3.6349999999999998</v>
      </c>
      <c r="G255">
        <f t="shared" si="43"/>
        <v>-1.2929457880005129</v>
      </c>
      <c r="J255">
        <f t="shared" si="44"/>
        <v>-0.84711533804874972</v>
      </c>
      <c r="L255">
        <f t="shared" si="45"/>
        <v>2.2747747747747744</v>
      </c>
      <c r="M255">
        <f t="shared" si="46"/>
        <v>-1.3363261874276262</v>
      </c>
      <c r="N255" s="26">
        <f t="shared" si="47"/>
        <v>-22362.117500000008</v>
      </c>
      <c r="O255" s="26">
        <f t="shared" si="48"/>
        <v>-31578.484038461553</v>
      </c>
      <c r="P255" s="26">
        <f t="shared" si="49"/>
        <v>-22078.47064814817</v>
      </c>
      <c r="Q255" s="26">
        <f t="shared" si="50"/>
        <v>-1.0762499999999999</v>
      </c>
      <c r="R255" s="26">
        <f t="shared" si="51"/>
        <v>-1.4267307692307698</v>
      </c>
      <c r="S255" s="26">
        <f t="shared" si="52"/>
        <v>-1.2582407407407405</v>
      </c>
      <c r="T255" s="26">
        <f t="shared" si="53"/>
        <v>-1.1751699012330974</v>
      </c>
      <c r="U255" s="26">
        <f t="shared" si="54"/>
        <v>-2.0980767014406929</v>
      </c>
      <c r="V255" s="26">
        <f t="shared" si="55"/>
        <v>-1.3371428562528207</v>
      </c>
    </row>
    <row r="256" spans="1:22" x14ac:dyDescent="0.25">
      <c r="A256" s="2">
        <v>43735</v>
      </c>
      <c r="B256">
        <v>38360.04</v>
      </c>
      <c r="C256">
        <v>5.71</v>
      </c>
      <c r="D256">
        <v>1.94</v>
      </c>
      <c r="F256">
        <f t="shared" si="42"/>
        <v>3.8250000000000002</v>
      </c>
      <c r="G256">
        <f t="shared" si="43"/>
        <v>-0.69867068633966078</v>
      </c>
      <c r="J256">
        <f t="shared" si="44"/>
        <v>-0.66250925230199709</v>
      </c>
      <c r="L256">
        <f t="shared" si="45"/>
        <v>2.9432989690721651</v>
      </c>
      <c r="M256">
        <f t="shared" si="46"/>
        <v>-0.733994306201182</v>
      </c>
      <c r="N256" s="26">
        <f t="shared" si="47"/>
        <v>-25921.597500000003</v>
      </c>
      <c r="O256" s="26">
        <f t="shared" si="48"/>
        <v>-27869.808076923102</v>
      </c>
      <c r="P256" s="26">
        <f t="shared" si="49"/>
        <v>-17016.375740740761</v>
      </c>
      <c r="Q256" s="26">
        <f t="shared" si="50"/>
        <v>-1.3975</v>
      </c>
      <c r="R256" s="26">
        <f t="shared" si="51"/>
        <v>-1.3730769230769226</v>
      </c>
      <c r="S256" s="26">
        <f t="shared" si="52"/>
        <v>-1.1551851851851849</v>
      </c>
      <c r="T256" s="26">
        <f t="shared" si="53"/>
        <v>-1.2216413727045694</v>
      </c>
      <c r="U256" s="26">
        <f t="shared" si="54"/>
        <v>-1.8016032934403379</v>
      </c>
      <c r="V256" s="26">
        <f t="shared" si="55"/>
        <v>-0.92182262148814065</v>
      </c>
    </row>
    <row r="257" spans="1:22" x14ac:dyDescent="0.25">
      <c r="A257" s="2">
        <v>43728</v>
      </c>
      <c r="B257">
        <v>40653.300000000003</v>
      </c>
      <c r="C257">
        <v>5.88</v>
      </c>
      <c r="D257">
        <v>1.9</v>
      </c>
      <c r="F257">
        <f t="shared" si="42"/>
        <v>3.8899999999999997</v>
      </c>
      <c r="G257">
        <f t="shared" si="43"/>
        <v>-0.55394352584228868</v>
      </c>
      <c r="J257">
        <f t="shared" si="44"/>
        <v>-0.60463574907746676</v>
      </c>
      <c r="L257">
        <f t="shared" si="45"/>
        <v>3.0947368421052635</v>
      </c>
      <c r="M257">
        <f t="shared" si="46"/>
        <v>-0.60118750188562264</v>
      </c>
      <c r="N257" s="26">
        <f t="shared" si="47"/>
        <v>-27271.787499999984</v>
      </c>
      <c r="O257" s="26">
        <f t="shared" si="48"/>
        <v>-23862.221923076933</v>
      </c>
      <c r="P257" s="26">
        <f t="shared" si="49"/>
        <v>-11729.523148148161</v>
      </c>
      <c r="Q257" s="26">
        <f t="shared" si="50"/>
        <v>-1.3650000000000002</v>
      </c>
      <c r="R257" s="26">
        <f t="shared" si="51"/>
        <v>-1.1353846153846154</v>
      </c>
      <c r="S257" s="26">
        <f t="shared" si="52"/>
        <v>-0.8674074074074074</v>
      </c>
      <c r="T257" s="26">
        <f t="shared" si="53"/>
        <v>-1.4652620138251389</v>
      </c>
      <c r="U257" s="26">
        <f t="shared" si="54"/>
        <v>-1.685248667826468</v>
      </c>
      <c r="V257" s="26">
        <f t="shared" si="55"/>
        <v>-0.69229888462093792</v>
      </c>
    </row>
    <row r="258" spans="1:22" x14ac:dyDescent="0.25">
      <c r="A258" s="2">
        <v>43721</v>
      </c>
      <c r="B258">
        <v>41119.97</v>
      </c>
      <c r="C258">
        <v>5.79</v>
      </c>
      <c r="D258">
        <v>1.69</v>
      </c>
      <c r="F258">
        <f t="shared" ref="F258:F303" si="56">AVERAGE(C258:D258)</f>
        <v>3.74</v>
      </c>
      <c r="G258">
        <f t="shared" ref="G258:G303" si="57">(B258-AVERAGE(B258:B310))/_xlfn.STDEV.S(B258:B310)</f>
        <v>-0.52910724290414202</v>
      </c>
      <c r="J258">
        <f t="shared" ref="J258:J303" si="58">(F258-AVERAGE(F258:F310))/_xlfn.STDEV.S(F258:F310)</f>
        <v>-0.76924669567111814</v>
      </c>
      <c r="L258">
        <f t="shared" ref="L258:L303" si="59">C258/D258</f>
        <v>3.4260355029585798</v>
      </c>
      <c r="M258">
        <f t="shared" ref="M258:M303" si="60">(L258-AVERAGE(L258:L310))/_xlfn.STDEV.S(L258:L310)</f>
        <v>-0.2954481572951097</v>
      </c>
      <c r="N258" s="26">
        <f t="shared" ref="N258:N303" si="61">AVERAGEA(B258:B261)-AVERAGE(B262:B265)</f>
        <v>-25748.474999999999</v>
      </c>
      <c r="O258" s="26">
        <f t="shared" ref="O258:O303" si="62">AVERAGEA(B258:B261)-AVERAGE(B262:B274)</f>
        <v>-18162.705769230779</v>
      </c>
      <c r="P258" s="26">
        <f t="shared" ref="P258:P303" si="63">AVERAGEA(B258:B261)-AVERAGE(B262:B288)</f>
        <v>-5064.917222222226</v>
      </c>
      <c r="Q258" s="26">
        <f t="shared" ref="Q258:Q303" si="64">AVERAGEA(F258:F261)-AVERAGE(F262:F265)</f>
        <v>-1.2099999999999991</v>
      </c>
      <c r="R258" s="26">
        <f t="shared" ref="R258:R303" si="65">AVERAGEA(F258:F261)-AVERAGE(F262:F274)</f>
        <v>-0.83759615384615227</v>
      </c>
      <c r="S258" s="26">
        <f t="shared" ref="S258:S303" si="66">AVERAGEA(F258:F261)-AVERAGE(F262:F288)</f>
        <v>-0.53356481481481399</v>
      </c>
      <c r="T258" s="26">
        <f t="shared" ref="T258:T303" si="67">AVERAGEA(L258:L261)-AVERAGE(L262:L265)</f>
        <v>-1.5267852381295546</v>
      </c>
      <c r="U258" s="26">
        <f t="shared" ref="U258:U303" si="68">AVERAGEA(L258:L261)-AVERAGE(L262:L274)</f>
        <v>-1.4365716148747687</v>
      </c>
      <c r="V258" s="26">
        <f t="shared" ref="V258:V303" si="69">AVERAGEA(L258:L261)-AVERAGE(L262:L288)</f>
        <v>-0.35287276270361456</v>
      </c>
    </row>
    <row r="259" spans="1:22" x14ac:dyDescent="0.25">
      <c r="A259" s="2">
        <v>43714</v>
      </c>
      <c r="B259">
        <v>47599.99</v>
      </c>
      <c r="C259">
        <v>6.46</v>
      </c>
      <c r="D259">
        <v>1.71</v>
      </c>
      <c r="F259">
        <f t="shared" si="56"/>
        <v>4.085</v>
      </c>
      <c r="G259">
        <f t="shared" si="57"/>
        <v>-0.10903471211406229</v>
      </c>
      <c r="J259">
        <f t="shared" si="58"/>
        <v>-0.42626964000088874</v>
      </c>
      <c r="L259">
        <f t="shared" si="59"/>
        <v>3.7777777777777777</v>
      </c>
      <c r="M259">
        <f t="shared" si="60"/>
        <v>3.161944684278558E-2</v>
      </c>
      <c r="N259" s="26">
        <f t="shared" si="61"/>
        <v>-19824.78</v>
      </c>
      <c r="O259" s="26">
        <f t="shared" si="62"/>
        <v>-9941.9996153846296</v>
      </c>
      <c r="P259" s="26">
        <f t="shared" si="63"/>
        <v>3541.0068518518456</v>
      </c>
      <c r="Q259" s="26">
        <f t="shared" si="64"/>
        <v>-0.88375000000000004</v>
      </c>
      <c r="R259" s="26">
        <f t="shared" si="65"/>
        <v>-0.45009615384615298</v>
      </c>
      <c r="S259" s="26">
        <f t="shared" si="66"/>
        <v>-0.10958333333333314</v>
      </c>
      <c r="T259" s="26">
        <f t="shared" si="67"/>
        <v>-1.3775415077161366</v>
      </c>
      <c r="U259" s="26">
        <f t="shared" si="68"/>
        <v>-1.0575847442754851</v>
      </c>
      <c r="V259" s="26">
        <f t="shared" si="69"/>
        <v>5.7333815035273794E-2</v>
      </c>
    </row>
    <row r="260" spans="1:22" x14ac:dyDescent="0.25">
      <c r="A260" s="2">
        <v>43707</v>
      </c>
      <c r="B260">
        <v>56470.04</v>
      </c>
      <c r="C260">
        <v>7.69</v>
      </c>
      <c r="D260">
        <v>2.08</v>
      </c>
      <c r="F260">
        <f t="shared" si="56"/>
        <v>4.8849999999999998</v>
      </c>
      <c r="G260">
        <f t="shared" si="57"/>
        <v>0.47600972210305659</v>
      </c>
      <c r="J260">
        <f t="shared" si="58"/>
        <v>0.38720998685687014</v>
      </c>
      <c r="L260">
        <f t="shared" si="59"/>
        <v>3.6971153846153846</v>
      </c>
      <c r="M260">
        <f t="shared" si="60"/>
        <v>-4.2969356850766943E-2</v>
      </c>
      <c r="N260" s="26">
        <f t="shared" si="61"/>
        <v>-9501.4175000000105</v>
      </c>
      <c r="O260" s="26">
        <f t="shared" si="62"/>
        <v>-159.31057692307513</v>
      </c>
      <c r="P260" s="26">
        <f t="shared" si="63"/>
        <v>13176.378055555557</v>
      </c>
      <c r="Q260" s="26">
        <f t="shared" si="64"/>
        <v>-0.32125000000000004</v>
      </c>
      <c r="R260" s="26">
        <f t="shared" si="65"/>
        <v>1.5576923076922711E-2</v>
      </c>
      <c r="S260" s="26">
        <f t="shared" si="66"/>
        <v>0.37101851851851819</v>
      </c>
      <c r="T260" s="26">
        <f t="shared" si="67"/>
        <v>-0.95603066760773459</v>
      </c>
      <c r="U260" s="26">
        <f t="shared" si="68"/>
        <v>-0.53579191721950004</v>
      </c>
      <c r="V260" s="26">
        <f t="shared" si="69"/>
        <v>0.57172273087979431</v>
      </c>
    </row>
    <row r="261" spans="1:22" x14ac:dyDescent="0.25">
      <c r="A261" s="2">
        <v>43700</v>
      </c>
      <c r="B261">
        <v>63201.66</v>
      </c>
      <c r="C261">
        <v>8.26</v>
      </c>
      <c r="D261">
        <v>1.97</v>
      </c>
      <c r="F261">
        <f t="shared" si="56"/>
        <v>5.1150000000000002</v>
      </c>
      <c r="G261">
        <f t="shared" si="57"/>
        <v>0.92956206826275267</v>
      </c>
      <c r="J261">
        <f t="shared" si="58"/>
        <v>0.62543366568360625</v>
      </c>
      <c r="L261">
        <f t="shared" si="59"/>
        <v>4.1928934010152288</v>
      </c>
      <c r="M261">
        <f t="shared" si="60"/>
        <v>0.41176267543440698</v>
      </c>
      <c r="N261" s="26">
        <f t="shared" si="61"/>
        <v>-1697.4100000000035</v>
      </c>
      <c r="O261" s="26">
        <f t="shared" si="62"/>
        <v>7256.9394230769103</v>
      </c>
      <c r="P261" s="26">
        <f t="shared" si="63"/>
        <v>20269.336574074063</v>
      </c>
      <c r="Q261" s="26">
        <f t="shared" si="64"/>
        <v>6.2500000000000888E-2</v>
      </c>
      <c r="R261" s="26">
        <f t="shared" si="65"/>
        <v>0.26769230769230834</v>
      </c>
      <c r="S261" s="26">
        <f t="shared" si="66"/>
        <v>0.64648148148148277</v>
      </c>
      <c r="T261" s="26">
        <f t="shared" si="67"/>
        <v>-0.63141812091482308</v>
      </c>
      <c r="U261" s="26">
        <f t="shared" si="68"/>
        <v>1.7015071489516309E-2</v>
      </c>
      <c r="V261" s="26">
        <f t="shared" si="69"/>
        <v>1.0871503081922507</v>
      </c>
    </row>
    <row r="262" spans="1:22" x14ac:dyDescent="0.25">
      <c r="A262" s="2">
        <v>43693</v>
      </c>
      <c r="B262">
        <v>71046.009999999995</v>
      </c>
      <c r="C262">
        <v>8.7799999999999994</v>
      </c>
      <c r="D262">
        <v>1.84</v>
      </c>
      <c r="F262">
        <f t="shared" si="56"/>
        <v>5.31</v>
      </c>
      <c r="G262">
        <f t="shared" si="57"/>
        <v>1.4691995698315763</v>
      </c>
      <c r="J262">
        <f t="shared" si="58"/>
        <v>0.83193741995049209</v>
      </c>
      <c r="L262">
        <f t="shared" si="59"/>
        <v>4.7717391304347823</v>
      </c>
      <c r="M262">
        <f t="shared" si="60"/>
        <v>0.94359411421079264</v>
      </c>
      <c r="N262" s="26">
        <f t="shared" si="61"/>
        <v>5045.0249999999942</v>
      </c>
      <c r="O262" s="26">
        <f t="shared" si="62"/>
        <v>13179.767692307694</v>
      </c>
      <c r="P262" s="26">
        <f t="shared" si="63"/>
        <v>25633.431851851863</v>
      </c>
      <c r="Q262" s="26">
        <f t="shared" si="64"/>
        <v>0.35874999999999968</v>
      </c>
      <c r="R262" s="26">
        <f t="shared" si="65"/>
        <v>0.44548076923076874</v>
      </c>
      <c r="S262" s="26">
        <f t="shared" si="66"/>
        <v>0.84643518518518501</v>
      </c>
      <c r="T262" s="26">
        <f t="shared" si="67"/>
        <v>-0.29801271775643734</v>
      </c>
      <c r="U262" s="26">
        <f t="shared" si="68"/>
        <v>0.50254864806955801</v>
      </c>
      <c r="V262" s="26">
        <f t="shared" si="69"/>
        <v>1.5142659742033846</v>
      </c>
    </row>
    <row r="263" spans="1:22" x14ac:dyDescent="0.25">
      <c r="A263" s="2">
        <v>43686</v>
      </c>
      <c r="B263">
        <v>80701.98</v>
      </c>
      <c r="C263">
        <v>9.84</v>
      </c>
      <c r="D263">
        <v>1.8</v>
      </c>
      <c r="F263">
        <f t="shared" si="56"/>
        <v>5.82</v>
      </c>
      <c r="G263">
        <f t="shared" si="57"/>
        <v>2.1610414105255487</v>
      </c>
      <c r="J263">
        <f t="shared" si="58"/>
        <v>1.3605403085156595</v>
      </c>
      <c r="L263">
        <f t="shared" si="59"/>
        <v>5.4666666666666668</v>
      </c>
      <c r="M263">
        <f t="shared" si="60"/>
        <v>1.5965949143057587</v>
      </c>
      <c r="N263" s="26">
        <f t="shared" si="61"/>
        <v>10108.647500000006</v>
      </c>
      <c r="O263" s="26">
        <f t="shared" si="62"/>
        <v>19227.728846153856</v>
      </c>
      <c r="P263" s="26">
        <f t="shared" si="63"/>
        <v>28504.980925925935</v>
      </c>
      <c r="Q263" s="26">
        <f t="shared" si="64"/>
        <v>0.60874999999999968</v>
      </c>
      <c r="R263" s="26">
        <f t="shared" si="65"/>
        <v>0.72288461538461402</v>
      </c>
      <c r="S263" s="26">
        <f t="shared" si="66"/>
        <v>0.96435185185185102</v>
      </c>
      <c r="T263" s="26">
        <f t="shared" si="67"/>
        <v>-2.7261608528306169E-3</v>
      </c>
      <c r="U263" s="26">
        <f t="shared" si="68"/>
        <v>0.95076128706772067</v>
      </c>
      <c r="V263" s="26">
        <f t="shared" si="69"/>
        <v>1.7968952473198403</v>
      </c>
    </row>
    <row r="264" spans="1:22" x14ac:dyDescent="0.25">
      <c r="A264" s="2">
        <v>43679</v>
      </c>
      <c r="B264">
        <v>79980.800000000003</v>
      </c>
      <c r="C264">
        <v>9.82</v>
      </c>
      <c r="D264">
        <v>1.81</v>
      </c>
      <c r="F264">
        <f t="shared" si="56"/>
        <v>5.8150000000000004</v>
      </c>
      <c r="G264">
        <f t="shared" si="57"/>
        <v>2.2321556456987026</v>
      </c>
      <c r="J264">
        <f t="shared" si="58"/>
        <v>1.4058072896958851</v>
      </c>
      <c r="L264">
        <f t="shared" si="59"/>
        <v>5.4254143646408837</v>
      </c>
      <c r="M264">
        <f t="shared" si="60"/>
        <v>1.6331760864437694</v>
      </c>
      <c r="N264" s="26">
        <f t="shared" si="61"/>
        <v>10881.277500000011</v>
      </c>
      <c r="O264" s="26">
        <f t="shared" si="62"/>
        <v>18518.044615384621</v>
      </c>
      <c r="P264" s="26">
        <f t="shared" si="63"/>
        <v>27690.243333333339</v>
      </c>
      <c r="Q264" s="26">
        <f t="shared" si="64"/>
        <v>0.61374999999999957</v>
      </c>
      <c r="R264" s="26">
        <f t="shared" si="65"/>
        <v>0.59336538461538435</v>
      </c>
      <c r="S264" s="26">
        <f t="shared" si="66"/>
        <v>0.87967592592592592</v>
      </c>
      <c r="T264" s="26">
        <f t="shared" si="67"/>
        <v>9.625498978670155E-2</v>
      </c>
      <c r="U264" s="26">
        <f t="shared" si="68"/>
        <v>1.0966738725198351</v>
      </c>
      <c r="V264" s="26">
        <f t="shared" si="69"/>
        <v>1.8980333452685514</v>
      </c>
    </row>
    <row r="265" spans="1:22" x14ac:dyDescent="0.25">
      <c r="A265" s="2">
        <v>43672</v>
      </c>
      <c r="B265">
        <v>79656.77</v>
      </c>
      <c r="C265">
        <v>9.69</v>
      </c>
      <c r="D265">
        <v>1.75</v>
      </c>
      <c r="F265">
        <f t="shared" si="56"/>
        <v>5.72</v>
      </c>
      <c r="G265">
        <f t="shared" si="57"/>
        <v>2.3462704148450562</v>
      </c>
      <c r="J265">
        <f t="shared" si="58"/>
        <v>1.364036724091567</v>
      </c>
      <c r="L265">
        <f t="shared" si="59"/>
        <v>5.5371428571428565</v>
      </c>
      <c r="M265">
        <f t="shared" si="60"/>
        <v>1.8207429323931879</v>
      </c>
      <c r="N265" s="26">
        <f t="shared" si="61"/>
        <v>11849.984999999993</v>
      </c>
      <c r="O265" s="26">
        <f t="shared" si="62"/>
        <v>18130.014807692292</v>
      </c>
      <c r="P265" s="26">
        <f t="shared" si="63"/>
        <v>26908.296203703692</v>
      </c>
      <c r="Q265" s="26">
        <f t="shared" si="64"/>
        <v>0.55249999999999932</v>
      </c>
      <c r="R265" s="26">
        <f t="shared" si="65"/>
        <v>0.44249999999999989</v>
      </c>
      <c r="S265" s="26">
        <f t="shared" si="66"/>
        <v>0.77509259259259267</v>
      </c>
      <c r="T265" s="26">
        <f t="shared" si="67"/>
        <v>0.46543716919061495</v>
      </c>
      <c r="U265" s="26">
        <f t="shared" si="68"/>
        <v>1.3921550099673139</v>
      </c>
      <c r="V265" s="26">
        <f t="shared" si="69"/>
        <v>2.1053980776950749</v>
      </c>
    </row>
    <row r="266" spans="1:22" x14ac:dyDescent="0.25">
      <c r="A266" s="2">
        <v>43665</v>
      </c>
      <c r="B266">
        <v>77277.27</v>
      </c>
      <c r="C266">
        <v>9.44</v>
      </c>
      <c r="D266">
        <v>1.71</v>
      </c>
      <c r="F266">
        <f t="shared" si="56"/>
        <v>5.5749999999999993</v>
      </c>
      <c r="G266">
        <f t="shared" si="57"/>
        <v>2.3282543900325074</v>
      </c>
      <c r="J266">
        <f t="shared" si="58"/>
        <v>1.2664682322340339</v>
      </c>
      <c r="L266">
        <f t="shared" si="59"/>
        <v>5.5204678362573096</v>
      </c>
      <c r="M266">
        <f t="shared" si="60"/>
        <v>1.9160736062321679</v>
      </c>
      <c r="N266" s="26">
        <f t="shared" si="61"/>
        <v>10699.632500000007</v>
      </c>
      <c r="O266" s="26">
        <f t="shared" si="62"/>
        <v>17653.706538461542</v>
      </c>
      <c r="P266" s="26">
        <f t="shared" si="63"/>
        <v>25341.972037037049</v>
      </c>
      <c r="Q266" s="26">
        <f t="shared" si="64"/>
        <v>0.38250000000000028</v>
      </c>
      <c r="R266" s="26">
        <f t="shared" si="65"/>
        <v>0.32365384615384674</v>
      </c>
      <c r="S266" s="26">
        <f t="shared" si="66"/>
        <v>0.67694444444444457</v>
      </c>
      <c r="T266" s="26">
        <f t="shared" si="67"/>
        <v>0.69643465468573762</v>
      </c>
      <c r="U266" s="26">
        <f t="shared" si="68"/>
        <v>1.6077537509625137</v>
      </c>
      <c r="V266" s="26">
        <f t="shared" si="69"/>
        <v>2.1954099093629571</v>
      </c>
    </row>
    <row r="267" spans="1:22" x14ac:dyDescent="0.25">
      <c r="A267" s="2">
        <v>43658</v>
      </c>
      <c r="B267">
        <v>72510.52</v>
      </c>
      <c r="C267">
        <v>8.9700000000000006</v>
      </c>
      <c r="D267">
        <v>1.64</v>
      </c>
      <c r="F267">
        <f t="shared" si="56"/>
        <v>5.3050000000000006</v>
      </c>
      <c r="G267">
        <f t="shared" si="57"/>
        <v>2.0954572885628018</v>
      </c>
      <c r="J267">
        <f t="shared" si="58"/>
        <v>1.028825013241129</v>
      </c>
      <c r="L267">
        <f t="shared" si="59"/>
        <v>5.4695121951219523</v>
      </c>
      <c r="M267">
        <f t="shared" si="60"/>
        <v>1.9961820148553198</v>
      </c>
      <c r="N267" s="26">
        <f t="shared" si="61"/>
        <v>7409.804999999993</v>
      </c>
      <c r="O267" s="26">
        <f t="shared" si="62"/>
        <v>16265.665192307686</v>
      </c>
      <c r="P267" s="26">
        <f t="shared" si="63"/>
        <v>22730.61342592592</v>
      </c>
      <c r="Q267" s="26">
        <f t="shared" si="64"/>
        <v>0.10250000000000004</v>
      </c>
      <c r="R267" s="26">
        <f t="shared" si="65"/>
        <v>0.16567307692307764</v>
      </c>
      <c r="S267" s="26">
        <f t="shared" si="66"/>
        <v>0.53615740740740758</v>
      </c>
      <c r="T267" s="26">
        <f t="shared" si="67"/>
        <v>0.72806772057898339</v>
      </c>
      <c r="U267" s="26">
        <f t="shared" si="68"/>
        <v>1.6873629886001686</v>
      </c>
      <c r="V267" s="26">
        <f t="shared" si="69"/>
        <v>2.150531378304354</v>
      </c>
    </row>
    <row r="268" spans="1:22" x14ac:dyDescent="0.25">
      <c r="A268" s="2">
        <v>43651</v>
      </c>
      <c r="B268">
        <v>72275.53</v>
      </c>
      <c r="C268">
        <v>8.9</v>
      </c>
      <c r="D268">
        <v>1.52</v>
      </c>
      <c r="F268">
        <f t="shared" si="56"/>
        <v>5.21</v>
      </c>
      <c r="G268">
        <f t="shared" si="57"/>
        <v>2.2033649813523106</v>
      </c>
      <c r="J268">
        <f t="shared" si="58"/>
        <v>0.9587785662048397</v>
      </c>
      <c r="L268">
        <f t="shared" si="59"/>
        <v>5.8552631578947372</v>
      </c>
      <c r="M268">
        <f t="shared" si="60"/>
        <v>2.5617370225746687</v>
      </c>
      <c r="N268" s="26">
        <f t="shared" si="61"/>
        <v>4537.3300000000017</v>
      </c>
      <c r="O268" s="26">
        <f t="shared" si="62"/>
        <v>15126.460192307699</v>
      </c>
      <c r="P268" s="26">
        <f t="shared" si="63"/>
        <v>20783.878055555557</v>
      </c>
      <c r="Q268" s="26">
        <f t="shared" si="64"/>
        <v>-0.18250000000000011</v>
      </c>
      <c r="R268" s="26">
        <f t="shared" si="65"/>
        <v>7.2307692307693294E-2</v>
      </c>
      <c r="S268" s="26">
        <f t="shared" si="66"/>
        <v>0.47666666666666657</v>
      </c>
      <c r="T268" s="26">
        <f t="shared" si="67"/>
        <v>0.84429458182261197</v>
      </c>
      <c r="U268" s="26">
        <f t="shared" si="68"/>
        <v>1.7662547422041319</v>
      </c>
      <c r="V268" s="26">
        <f t="shared" si="69"/>
        <v>2.1233185869703832</v>
      </c>
    </row>
    <row r="269" spans="1:22" x14ac:dyDescent="0.25">
      <c r="A269" s="2">
        <v>43644</v>
      </c>
      <c r="B269">
        <v>69142.14</v>
      </c>
      <c r="C269">
        <v>8.7100000000000009</v>
      </c>
      <c r="D269">
        <v>1.57</v>
      </c>
      <c r="F269">
        <f t="shared" si="56"/>
        <v>5.1400000000000006</v>
      </c>
      <c r="G269">
        <f t="shared" si="57"/>
        <v>2.0698802512516132</v>
      </c>
      <c r="J269">
        <f t="shared" si="58"/>
        <v>0.91179100881166031</v>
      </c>
      <c r="L269">
        <f t="shared" si="59"/>
        <v>5.547770700636943</v>
      </c>
      <c r="M269">
        <f t="shared" si="60"/>
        <v>2.5296103080650498</v>
      </c>
      <c r="N269" s="26">
        <f t="shared" si="61"/>
        <v>1539.0400000000009</v>
      </c>
      <c r="O269" s="26">
        <f t="shared" si="62"/>
        <v>13891.938269230777</v>
      </c>
      <c r="P269" s="26">
        <f t="shared" si="63"/>
        <v>18843.274537037047</v>
      </c>
      <c r="Q269" s="26">
        <f t="shared" si="64"/>
        <v>-0.41124999999999989</v>
      </c>
      <c r="R269" s="26">
        <f t="shared" si="65"/>
        <v>2.3846153846154294E-2</v>
      </c>
      <c r="S269" s="26">
        <f t="shared" si="66"/>
        <v>0.46518518518518537</v>
      </c>
      <c r="T269" s="26">
        <f t="shared" si="67"/>
        <v>0.74160820815845696</v>
      </c>
      <c r="U269" s="26">
        <f t="shared" si="68"/>
        <v>1.6605102595096017</v>
      </c>
      <c r="V269" s="26">
        <f t="shared" si="69"/>
        <v>1.9280311003680808</v>
      </c>
    </row>
    <row r="270" spans="1:22" x14ac:dyDescent="0.25">
      <c r="A270" s="2">
        <v>43637</v>
      </c>
      <c r="B270">
        <v>63254.04</v>
      </c>
      <c r="C270">
        <v>8.09</v>
      </c>
      <c r="D270">
        <v>1.59</v>
      </c>
      <c r="F270">
        <f t="shared" si="56"/>
        <v>4.84</v>
      </c>
      <c r="G270">
        <f t="shared" si="57"/>
        <v>1.6415789719330809</v>
      </c>
      <c r="J270">
        <f t="shared" si="58"/>
        <v>0.62185666528882977</v>
      </c>
      <c r="L270">
        <f t="shared" si="59"/>
        <v>5.0880503144654083</v>
      </c>
      <c r="M270">
        <f t="shared" si="60"/>
        <v>2.2648053068743716</v>
      </c>
      <c r="N270" s="26">
        <f t="shared" si="61"/>
        <v>873.08499999999913</v>
      </c>
      <c r="O270" s="26">
        <f t="shared" si="62"/>
        <v>14334.634807692302</v>
      </c>
      <c r="P270" s="26">
        <f t="shared" si="63"/>
        <v>18364.748055555559</v>
      </c>
      <c r="Q270" s="26">
        <f t="shared" si="64"/>
        <v>-0.46625000000000139</v>
      </c>
      <c r="R270" s="26">
        <f t="shared" si="65"/>
        <v>0.11807692307692363</v>
      </c>
      <c r="S270" s="26">
        <f t="shared" si="66"/>
        <v>0.58444444444444432</v>
      </c>
      <c r="T270" s="26">
        <f t="shared" si="67"/>
        <v>0.70789603494785336</v>
      </c>
      <c r="U270" s="26">
        <f t="shared" si="68"/>
        <v>1.5802471881763718</v>
      </c>
      <c r="V270" s="26">
        <f t="shared" si="69"/>
        <v>1.7499361618343596</v>
      </c>
    </row>
    <row r="271" spans="1:22" x14ac:dyDescent="0.25">
      <c r="A271" s="2">
        <v>43630</v>
      </c>
      <c r="B271">
        <v>61228.54</v>
      </c>
      <c r="C271">
        <v>7.97</v>
      </c>
      <c r="D271">
        <v>1.57</v>
      </c>
      <c r="F271">
        <f t="shared" si="56"/>
        <v>4.7699999999999996</v>
      </c>
      <c r="G271">
        <f t="shared" si="57"/>
        <v>1.5125062324779459</v>
      </c>
      <c r="J271">
        <f t="shared" si="58"/>
        <v>0.56201086648856624</v>
      </c>
      <c r="L271">
        <f t="shared" si="59"/>
        <v>5.0764331210191083</v>
      </c>
      <c r="M271">
        <f t="shared" si="60"/>
        <v>2.4912486743193316</v>
      </c>
      <c r="N271" s="26">
        <f t="shared" si="61"/>
        <v>2219.8574999999983</v>
      </c>
      <c r="O271" s="26">
        <f t="shared" si="62"/>
        <v>16151.162499999999</v>
      </c>
      <c r="P271" s="26">
        <f t="shared" si="63"/>
        <v>19278.280648148153</v>
      </c>
      <c r="Q271" s="26">
        <f t="shared" si="64"/>
        <v>-0.40750000000000064</v>
      </c>
      <c r="R271" s="26">
        <f t="shared" si="65"/>
        <v>0.2877884615384616</v>
      </c>
      <c r="S271" s="26">
        <f t="shared" si="66"/>
        <v>0.77476851851851869</v>
      </c>
      <c r="T271" s="26">
        <f t="shared" si="67"/>
        <v>0.80192944737749139</v>
      </c>
      <c r="U271" s="26">
        <f t="shared" si="68"/>
        <v>1.5898070676030662</v>
      </c>
      <c r="V271" s="26">
        <f t="shared" si="69"/>
        <v>1.6749176187618602</v>
      </c>
    </row>
    <row r="272" spans="1:22" x14ac:dyDescent="0.25">
      <c r="A272" s="2">
        <v>43623</v>
      </c>
      <c r="B272">
        <v>60695.43</v>
      </c>
      <c r="C272">
        <v>8.0299999999999994</v>
      </c>
      <c r="D272">
        <v>1.67</v>
      </c>
      <c r="F272">
        <f t="shared" si="56"/>
        <v>4.8499999999999996</v>
      </c>
      <c r="G272">
        <f t="shared" si="57"/>
        <v>1.502991843842469</v>
      </c>
      <c r="J272">
        <f t="shared" si="58"/>
        <v>0.65562610624831386</v>
      </c>
      <c r="L272">
        <f t="shared" si="59"/>
        <v>4.8083832335329344</v>
      </c>
      <c r="M272">
        <f t="shared" si="60"/>
        <v>2.4187772529319962</v>
      </c>
      <c r="N272" s="26">
        <f t="shared" si="61"/>
        <v>12904.61</v>
      </c>
      <c r="O272" s="26">
        <f t="shared" si="62"/>
        <v>18201.429423076923</v>
      </c>
      <c r="P272" s="26">
        <f t="shared" si="63"/>
        <v>20540.710277777769</v>
      </c>
      <c r="Q272" s="26">
        <f t="shared" si="64"/>
        <v>0.37999999999999989</v>
      </c>
      <c r="R272" s="26">
        <f t="shared" si="65"/>
        <v>0.5163461538461549</v>
      </c>
      <c r="S272" s="26">
        <f t="shared" si="66"/>
        <v>1.0349074074074078</v>
      </c>
      <c r="T272" s="26">
        <f t="shared" si="67"/>
        <v>1.1102765122924834</v>
      </c>
      <c r="U272" s="26">
        <f t="shared" si="68"/>
        <v>1.5120413393761862</v>
      </c>
      <c r="V272" s="26">
        <f t="shared" si="69"/>
        <v>1.5160094834382001</v>
      </c>
    </row>
    <row r="273" spans="1:22" x14ac:dyDescent="0.25">
      <c r="A273" s="2">
        <v>43616</v>
      </c>
      <c r="B273">
        <v>63228.92</v>
      </c>
      <c r="C273">
        <v>8.6199999999999992</v>
      </c>
      <c r="D273">
        <v>1.86</v>
      </c>
      <c r="F273">
        <f t="shared" si="56"/>
        <v>5.2399999999999993</v>
      </c>
      <c r="G273">
        <f t="shared" si="57"/>
        <v>1.8053040957461095</v>
      </c>
      <c r="J273">
        <f t="shared" si="58"/>
        <v>1.0679103411059387</v>
      </c>
      <c r="L273">
        <f t="shared" si="59"/>
        <v>4.6344086021505371</v>
      </c>
      <c r="M273">
        <f t="shared" si="60"/>
        <v>2.4467037285257738</v>
      </c>
      <c r="N273" s="26">
        <f t="shared" si="61"/>
        <v>14506.455000000002</v>
      </c>
      <c r="O273" s="26">
        <f t="shared" si="62"/>
        <v>19875.591346153844</v>
      </c>
      <c r="P273" s="26">
        <f t="shared" si="63"/>
        <v>21794.381574074061</v>
      </c>
      <c r="Q273" s="26">
        <f t="shared" si="64"/>
        <v>0.54124999999999979</v>
      </c>
      <c r="R273" s="26">
        <f t="shared" si="65"/>
        <v>0.72778846153846199</v>
      </c>
      <c r="S273" s="26">
        <f t="shared" si="66"/>
        <v>1.2853240740740741</v>
      </c>
      <c r="T273" s="26">
        <f t="shared" si="67"/>
        <v>1.0988309678920913</v>
      </c>
      <c r="U273" s="26">
        <f t="shared" si="68"/>
        <v>1.460129869402091</v>
      </c>
      <c r="V273" s="26">
        <f t="shared" si="69"/>
        <v>1.3997700271651898</v>
      </c>
    </row>
    <row r="274" spans="1:22" x14ac:dyDescent="0.25">
      <c r="A274" s="2">
        <v>43609</v>
      </c>
      <c r="B274">
        <v>62390.12</v>
      </c>
      <c r="C274">
        <v>8.56</v>
      </c>
      <c r="D274">
        <v>1.89</v>
      </c>
      <c r="F274">
        <f t="shared" si="56"/>
        <v>5.2250000000000005</v>
      </c>
      <c r="G274">
        <f t="shared" si="57"/>
        <v>1.7974210675719555</v>
      </c>
      <c r="J274">
        <f t="shared" si="58"/>
        <v>1.0915893123625955</v>
      </c>
      <c r="L274">
        <f t="shared" si="59"/>
        <v>4.5291005291005293</v>
      </c>
      <c r="M274">
        <f t="shared" si="60"/>
        <v>2.5959158978847077</v>
      </c>
      <c r="N274" s="26">
        <f t="shared" si="61"/>
        <v>15619.537499999999</v>
      </c>
      <c r="O274" s="26">
        <f t="shared" si="62"/>
        <v>20293.559038461535</v>
      </c>
      <c r="P274" s="26">
        <f t="shared" si="63"/>
        <v>22007.336388888885</v>
      </c>
      <c r="Q274" s="26">
        <f t="shared" si="64"/>
        <v>0.71000000000000085</v>
      </c>
      <c r="R274" s="26">
        <f t="shared" si="65"/>
        <v>0.88509615384615614</v>
      </c>
      <c r="S274" s="26">
        <f t="shared" si="66"/>
        <v>1.4243269230769244</v>
      </c>
      <c r="T274" s="26">
        <f t="shared" si="67"/>
        <v>1.0154221783195951</v>
      </c>
      <c r="U274" s="26">
        <f t="shared" si="68"/>
        <v>1.3330191531943174</v>
      </c>
      <c r="V274" s="26">
        <f t="shared" si="69"/>
        <v>1.2384922176548296</v>
      </c>
    </row>
    <row r="275" spans="1:22" x14ac:dyDescent="0.25">
      <c r="A275" s="2">
        <v>43602</v>
      </c>
      <c r="B275">
        <v>61436.46</v>
      </c>
      <c r="C275">
        <v>8.69</v>
      </c>
      <c r="D275">
        <v>2.06</v>
      </c>
      <c r="F275">
        <f t="shared" si="56"/>
        <v>5.375</v>
      </c>
      <c r="G275">
        <f t="shared" si="57"/>
        <v>1.7626216161788497</v>
      </c>
      <c r="J275">
        <f t="shared" si="58"/>
        <v>1.2878812573476819</v>
      </c>
      <c r="L275">
        <f t="shared" si="59"/>
        <v>4.2184466019417473</v>
      </c>
      <c r="M275">
        <f t="shared" si="60"/>
        <v>2.3821104898707932</v>
      </c>
      <c r="N275" s="26">
        <f t="shared" si="61"/>
        <v>17801.162500000006</v>
      </c>
      <c r="O275" s="26">
        <f t="shared" si="62"/>
        <v>19420.849615384621</v>
      </c>
      <c r="P275" s="26">
        <f t="shared" si="63"/>
        <v>21151.566481481481</v>
      </c>
      <c r="Q275" s="26">
        <f t="shared" si="64"/>
        <v>0.89125000000000121</v>
      </c>
      <c r="R275" s="26">
        <f t="shared" si="65"/>
        <v>0.97798076923077026</v>
      </c>
      <c r="S275" s="26">
        <f t="shared" si="66"/>
        <v>1.5181500000000008</v>
      </c>
      <c r="T275" s="26">
        <f t="shared" si="67"/>
        <v>0.9852737032892307</v>
      </c>
      <c r="U275" s="26">
        <f t="shared" si="68"/>
        <v>1.1314890022419526</v>
      </c>
      <c r="V275" s="26">
        <f t="shared" si="69"/>
        <v>1.0302648200370825</v>
      </c>
    </row>
    <row r="276" spans="1:22" x14ac:dyDescent="0.25">
      <c r="A276" s="2">
        <v>43595</v>
      </c>
      <c r="B276">
        <v>61108.49</v>
      </c>
      <c r="C276">
        <v>8.7200000000000006</v>
      </c>
      <c r="D276">
        <v>2.09</v>
      </c>
      <c r="F276">
        <f t="shared" si="56"/>
        <v>5.4050000000000002</v>
      </c>
      <c r="G276">
        <f t="shared" si="57"/>
        <v>1.761907436045951</v>
      </c>
      <c r="J276">
        <f t="shared" si="58"/>
        <v>1.3831748049266948</v>
      </c>
      <c r="L276">
        <f t="shared" si="59"/>
        <v>4.1722488038277517</v>
      </c>
      <c r="M276">
        <f t="shared" si="60"/>
        <v>2.6195600111975099</v>
      </c>
      <c r="N276" s="26">
        <f t="shared" si="61"/>
        <v>2963.9624999999942</v>
      </c>
      <c r="O276" s="26">
        <f t="shared" si="62"/>
        <v>6711.7063461538419</v>
      </c>
      <c r="P276" s="26">
        <f t="shared" si="63"/>
        <v>9829.8780555555495</v>
      </c>
      <c r="Q276" s="26">
        <f t="shared" si="64"/>
        <v>-0.1637499999999994</v>
      </c>
      <c r="R276" s="26">
        <f t="shared" si="65"/>
        <v>0.22057692307692367</v>
      </c>
      <c r="S276" s="26">
        <f t="shared" si="66"/>
        <v>0.83687500000000092</v>
      </c>
      <c r="T276" s="26">
        <f t="shared" si="67"/>
        <v>0.33225464456794684</v>
      </c>
      <c r="U276" s="26">
        <f t="shared" si="68"/>
        <v>0.53544285521152135</v>
      </c>
      <c r="V276" s="26">
        <f t="shared" si="69"/>
        <v>0.47397048865142644</v>
      </c>
    </row>
    <row r="277" spans="1:22" x14ac:dyDescent="0.25">
      <c r="A277" s="2">
        <v>43588</v>
      </c>
      <c r="B277">
        <v>59979.519999999997</v>
      </c>
      <c r="C277">
        <v>8.83</v>
      </c>
      <c r="D277">
        <v>2.29</v>
      </c>
      <c r="F277">
        <f t="shared" si="56"/>
        <v>5.5600000000000005</v>
      </c>
      <c r="G277">
        <f t="shared" si="57"/>
        <v>1.676304536161705</v>
      </c>
      <c r="J277">
        <f t="shared" si="58"/>
        <v>1.6267022977954693</v>
      </c>
      <c r="L277">
        <f t="shared" si="59"/>
        <v>3.85589519650655</v>
      </c>
      <c r="M277">
        <f t="shared" si="60"/>
        <v>2.2760402643394584</v>
      </c>
      <c r="N277" s="26">
        <f t="shared" si="61"/>
        <v>5400.9824999999983</v>
      </c>
      <c r="O277" s="26">
        <f t="shared" si="62"/>
        <v>6236.7971153846156</v>
      </c>
      <c r="P277" s="26">
        <f t="shared" si="63"/>
        <v>8921.7721296296222</v>
      </c>
      <c r="Q277" s="26">
        <f t="shared" si="64"/>
        <v>8.1250000000000711E-2</v>
      </c>
      <c r="R277" s="26">
        <f t="shared" si="65"/>
        <v>0.28538461538461579</v>
      </c>
      <c r="S277" s="26">
        <f t="shared" si="66"/>
        <v>0.87347826086956593</v>
      </c>
      <c r="T277" s="26">
        <f t="shared" si="67"/>
        <v>0.38680738613974519</v>
      </c>
      <c r="U277" s="26">
        <f t="shared" si="68"/>
        <v>0.43697020182477608</v>
      </c>
      <c r="V277" s="26">
        <f t="shared" si="69"/>
        <v>0.35327628697276703</v>
      </c>
    </row>
    <row r="278" spans="1:22" x14ac:dyDescent="0.25">
      <c r="A278" s="2">
        <v>43581</v>
      </c>
      <c r="B278">
        <v>56139.11</v>
      </c>
      <c r="C278">
        <v>8.41</v>
      </c>
      <c r="D278">
        <v>2.34</v>
      </c>
      <c r="F278">
        <f t="shared" si="56"/>
        <v>5.375</v>
      </c>
      <c r="G278">
        <f t="shared" si="57"/>
        <v>1.3332633129778291</v>
      </c>
      <c r="J278">
        <f t="shared" si="58"/>
        <v>1.5482011223240972</v>
      </c>
      <c r="L278">
        <f t="shared" si="59"/>
        <v>3.5940170940170941</v>
      </c>
      <c r="M278">
        <f t="shared" si="60"/>
        <v>1.8456313255325627</v>
      </c>
      <c r="N278" s="26">
        <f t="shared" si="61"/>
        <v>6767.7750000000087</v>
      </c>
      <c r="O278" s="26">
        <f t="shared" si="62"/>
        <v>5316.1115384615405</v>
      </c>
      <c r="P278" s="26">
        <f t="shared" si="63"/>
        <v>7363.0655555555495</v>
      </c>
      <c r="Q278" s="26">
        <f t="shared" si="64"/>
        <v>0.2162500000000005</v>
      </c>
      <c r="R278" s="26">
        <f t="shared" si="65"/>
        <v>0.28048076923076959</v>
      </c>
      <c r="S278" s="26">
        <f t="shared" si="66"/>
        <v>0.84420454545454549</v>
      </c>
      <c r="T278" s="26">
        <f t="shared" si="67"/>
        <v>0.43316662299288788</v>
      </c>
      <c r="U278" s="26">
        <f t="shared" si="68"/>
        <v>0.37598341549186198</v>
      </c>
      <c r="V278" s="26">
        <f t="shared" si="69"/>
        <v>0.26362822830527755</v>
      </c>
    </row>
    <row r="279" spans="1:22" x14ac:dyDescent="0.25">
      <c r="A279" s="2">
        <v>43574</v>
      </c>
      <c r="B279">
        <v>18905.37</v>
      </c>
      <c r="C279">
        <v>3.85</v>
      </c>
      <c r="D279">
        <v>1.81</v>
      </c>
      <c r="F279">
        <f t="shared" si="56"/>
        <v>2.83</v>
      </c>
      <c r="G279">
        <f t="shared" si="57"/>
        <v>-2.8382427957038581</v>
      </c>
      <c r="J279">
        <f t="shared" si="58"/>
        <v>-1.2269048480221763</v>
      </c>
      <c r="L279">
        <f t="shared" si="59"/>
        <v>2.1270718232044197</v>
      </c>
      <c r="M279">
        <f t="shared" si="60"/>
        <v>-2.4539064128006776</v>
      </c>
      <c r="N279" s="26">
        <f t="shared" si="61"/>
        <v>3749.8224999999948</v>
      </c>
      <c r="O279" s="26">
        <f t="shared" si="62"/>
        <v>1555.1240384615376</v>
      </c>
      <c r="P279" s="26">
        <f t="shared" si="63"/>
        <v>3599.2328703703679</v>
      </c>
      <c r="Q279" s="26">
        <f t="shared" si="64"/>
        <v>0.1875</v>
      </c>
      <c r="R279" s="26">
        <f t="shared" si="65"/>
        <v>0.20211538461538403</v>
      </c>
      <c r="S279" s="26">
        <f t="shared" si="66"/>
        <v>0.74630952380952298</v>
      </c>
      <c r="T279" s="26">
        <f t="shared" si="67"/>
        <v>0.24707570166574611</v>
      </c>
      <c r="U279" s="26">
        <f t="shared" si="68"/>
        <v>0.14325586422929248</v>
      </c>
      <c r="V279" s="26">
        <f t="shared" si="69"/>
        <v>5.3560853271252817E-2</v>
      </c>
    </row>
    <row r="280" spans="1:22" x14ac:dyDescent="0.25">
      <c r="A280" s="2">
        <v>43573</v>
      </c>
      <c r="B280">
        <v>55114.17</v>
      </c>
      <c r="C280">
        <v>8.31</v>
      </c>
      <c r="D280">
        <v>2.3199999999999998</v>
      </c>
      <c r="F280">
        <f t="shared" si="56"/>
        <v>5.3150000000000004</v>
      </c>
      <c r="G280">
        <f t="shared" si="57"/>
        <v>1.2621047225660196</v>
      </c>
      <c r="J280">
        <f t="shared" si="58"/>
        <v>1.5628427204721147</v>
      </c>
      <c r="L280">
        <f t="shared" si="59"/>
        <v>3.5818965517241383</v>
      </c>
      <c r="M280">
        <f t="shared" si="60"/>
        <v>2.1535961048680354</v>
      </c>
      <c r="N280" s="26">
        <f t="shared" si="61"/>
        <v>7893.1400000000067</v>
      </c>
      <c r="O280" s="26">
        <f t="shared" si="62"/>
        <v>5395.239230769228</v>
      </c>
      <c r="P280" s="26">
        <f t="shared" si="63"/>
        <v>7480.2429629629551</v>
      </c>
      <c r="Q280" s="26">
        <f t="shared" si="64"/>
        <v>0.66500000000000004</v>
      </c>
      <c r="R280" s="26">
        <f t="shared" si="65"/>
        <v>0.66932692307692232</v>
      </c>
      <c r="S280" s="26">
        <f t="shared" si="66"/>
        <v>1.2007499999999998</v>
      </c>
      <c r="T280" s="26">
        <f t="shared" si="67"/>
        <v>0.39213556201134292</v>
      </c>
      <c r="U280" s="26">
        <f t="shared" si="68"/>
        <v>0.23178385058647777</v>
      </c>
      <c r="V280" s="26">
        <f t="shared" si="69"/>
        <v>0.17005901290017533</v>
      </c>
    </row>
    <row r="281" spans="1:22" x14ac:dyDescent="0.25">
      <c r="A281" s="2">
        <v>43567</v>
      </c>
      <c r="B281">
        <v>52277.79</v>
      </c>
      <c r="C281">
        <v>8.0500000000000007</v>
      </c>
      <c r="D281">
        <v>2.36</v>
      </c>
      <c r="F281">
        <f t="shared" si="56"/>
        <v>5.2050000000000001</v>
      </c>
      <c r="G281">
        <f t="shared" si="57"/>
        <v>0.92519709476361756</v>
      </c>
      <c r="J281">
        <f t="shared" si="58"/>
        <v>1.5602460472395594</v>
      </c>
      <c r="L281">
        <f t="shared" si="59"/>
        <v>3.4110169491525428</v>
      </c>
      <c r="M281">
        <f t="shared" si="60"/>
        <v>1.8185921478422959</v>
      </c>
      <c r="N281" s="26">
        <f t="shared" si="61"/>
        <v>4935.7999999999956</v>
      </c>
      <c r="O281" s="26">
        <f t="shared" si="62"/>
        <v>1480.2430769230632</v>
      </c>
      <c r="P281" s="26">
        <f t="shared" si="63"/>
        <v>3298.673333333325</v>
      </c>
      <c r="Q281" s="26">
        <f t="shared" si="64"/>
        <v>0.36624999999999996</v>
      </c>
      <c r="R281" s="26">
        <f t="shared" si="65"/>
        <v>0.44528846153846047</v>
      </c>
      <c r="S281" s="26">
        <f t="shared" si="66"/>
        <v>0.95901315789473607</v>
      </c>
      <c r="T281" s="26">
        <f t="shared" si="67"/>
        <v>0.27309187027453419</v>
      </c>
      <c r="U281" s="26">
        <f t="shared" si="68"/>
        <v>-1.7096880751150234E-2</v>
      </c>
      <c r="V281" s="26">
        <f t="shared" si="69"/>
        <v>-4.0590277938973074E-2</v>
      </c>
    </row>
    <row r="282" spans="1:22" x14ac:dyDescent="0.25">
      <c r="A282" s="2">
        <v>43560</v>
      </c>
      <c r="B282">
        <v>41161.599999999999</v>
      </c>
      <c r="C282">
        <v>7.06</v>
      </c>
      <c r="D282">
        <v>2.54</v>
      </c>
      <c r="F282">
        <f t="shared" si="56"/>
        <v>4.8</v>
      </c>
      <c r="G282">
        <f t="shared" si="57"/>
        <v>-0.43445731192809844</v>
      </c>
      <c r="J282">
        <f t="shared" si="58"/>
        <v>1.1929620516610451</v>
      </c>
      <c r="L282">
        <f t="shared" si="59"/>
        <v>2.7795275590551181</v>
      </c>
      <c r="M282">
        <f t="shared" si="60"/>
        <v>-0.55195112372605659</v>
      </c>
      <c r="N282" s="26">
        <f t="shared" si="61"/>
        <v>1249.0899999999965</v>
      </c>
      <c r="O282" s="26">
        <f t="shared" si="62"/>
        <v>-1698.7619230769342</v>
      </c>
      <c r="P282" s="26">
        <f t="shared" si="63"/>
        <v>-307.04796296297718</v>
      </c>
      <c r="Q282" s="26">
        <f t="shared" si="64"/>
        <v>0.10499999999999954</v>
      </c>
      <c r="R282" s="26">
        <f t="shared" si="65"/>
        <v>0.34038461538461462</v>
      </c>
      <c r="S282" s="26">
        <f t="shared" si="66"/>
        <v>0.76749999999999963</v>
      </c>
      <c r="T282" s="26">
        <f t="shared" si="67"/>
        <v>0.11577325594209231</v>
      </c>
      <c r="U282" s="26">
        <f t="shared" si="68"/>
        <v>-0.20369052424711409</v>
      </c>
      <c r="V282" s="26">
        <f t="shared" si="69"/>
        <v>-0.20721359350708024</v>
      </c>
    </row>
    <row r="283" spans="1:22" x14ac:dyDescent="0.25">
      <c r="A283" s="2">
        <v>43553</v>
      </c>
      <c r="B283">
        <v>35723.08</v>
      </c>
      <c r="C283">
        <v>6.54</v>
      </c>
      <c r="D283">
        <v>2.4700000000000002</v>
      </c>
      <c r="F283">
        <f t="shared" si="56"/>
        <v>4.5049999999999999</v>
      </c>
      <c r="G283">
        <f t="shared" si="57"/>
        <v>-0.97128342130229806</v>
      </c>
      <c r="J283">
        <f t="shared" si="58"/>
        <v>0.89536449863504297</v>
      </c>
      <c r="L283">
        <f t="shared" si="59"/>
        <v>2.6477732793522266</v>
      </c>
      <c r="M283">
        <f t="shared" si="60"/>
        <v>-1.0970267216115308</v>
      </c>
      <c r="N283" s="26">
        <f t="shared" si="61"/>
        <v>-909.7074999999968</v>
      </c>
      <c r="O283" s="26">
        <f t="shared" si="62"/>
        <v>-2169.0446153846133</v>
      </c>
      <c r="P283" s="26">
        <f t="shared" si="63"/>
        <v>-1482.6574074073942</v>
      </c>
      <c r="Q283" s="26">
        <f t="shared" si="64"/>
        <v>-6.3750000000000639E-2</v>
      </c>
      <c r="R283" s="26">
        <f t="shared" si="65"/>
        <v>0.34923076923076835</v>
      </c>
      <c r="S283" s="26">
        <f t="shared" si="66"/>
        <v>0.69029411764705806</v>
      </c>
      <c r="T283" s="26">
        <f t="shared" si="67"/>
        <v>3.1050736163010573E-2</v>
      </c>
      <c r="U283" s="26">
        <f t="shared" si="68"/>
        <v>-0.2447069230413299</v>
      </c>
      <c r="V283" s="26">
        <f t="shared" si="69"/>
        <v>-0.23904775389908073</v>
      </c>
    </row>
    <row r="284" spans="1:22" x14ac:dyDescent="0.25">
      <c r="A284" s="2">
        <v>43546</v>
      </c>
      <c r="B284">
        <v>39371.769999999997</v>
      </c>
      <c r="C284">
        <v>6.24</v>
      </c>
      <c r="D284">
        <v>2.25</v>
      </c>
      <c r="F284">
        <f t="shared" si="56"/>
        <v>4.2450000000000001</v>
      </c>
      <c r="G284">
        <f t="shared" si="57"/>
        <v>-0.59574781788719011</v>
      </c>
      <c r="J284">
        <f t="shared" si="58"/>
        <v>0.61146167393903683</v>
      </c>
      <c r="L284">
        <f t="shared" si="59"/>
        <v>2.7733333333333334</v>
      </c>
      <c r="M284">
        <f t="shared" si="60"/>
        <v>-0.65287490550969496</v>
      </c>
      <c r="N284" s="26">
        <f t="shared" si="61"/>
        <v>-3648.8550000000032</v>
      </c>
      <c r="O284" s="26">
        <f t="shared" si="62"/>
        <v>-2128.5023076923098</v>
      </c>
      <c r="P284" s="26">
        <f t="shared" si="63"/>
        <v>-2112.7662962963004</v>
      </c>
      <c r="Q284" s="26">
        <f t="shared" si="64"/>
        <v>-0.21875</v>
      </c>
      <c r="R284" s="26">
        <f t="shared" si="65"/>
        <v>0.4116346153846151</v>
      </c>
      <c r="S284" s="26">
        <f t="shared" si="66"/>
        <v>0.66968749999999932</v>
      </c>
      <c r="T284" s="26">
        <f t="shared" si="67"/>
        <v>-0.13049690971039318</v>
      </c>
      <c r="U284" s="26">
        <f t="shared" si="68"/>
        <v>-0.3126331488622931</v>
      </c>
      <c r="V284" s="26">
        <f t="shared" si="69"/>
        <v>-0.27759568638896015</v>
      </c>
    </row>
    <row r="285" spans="1:22" x14ac:dyDescent="0.25">
      <c r="A285" s="2">
        <v>43539</v>
      </c>
      <c r="B285">
        <v>39108.89</v>
      </c>
      <c r="C285">
        <v>6.34</v>
      </c>
      <c r="D285">
        <v>2.2799999999999998</v>
      </c>
      <c r="F285">
        <f t="shared" si="56"/>
        <v>4.3099999999999996</v>
      </c>
      <c r="G285">
        <f t="shared" si="57"/>
        <v>-0.65331804444591868</v>
      </c>
      <c r="J285">
        <f t="shared" si="58"/>
        <v>0.71292885490755364</v>
      </c>
      <c r="L285">
        <f t="shared" si="59"/>
        <v>2.7807017543859649</v>
      </c>
      <c r="M285">
        <f t="shared" si="60"/>
        <v>-0.64763571760024896</v>
      </c>
      <c r="N285" s="26">
        <f t="shared" si="61"/>
        <v>-7236.9800000000032</v>
      </c>
      <c r="O285" s="26">
        <f t="shared" si="62"/>
        <v>-2832.4969230769202</v>
      </c>
      <c r="P285" s="26">
        <f t="shared" si="63"/>
        <v>-3988.5922222222216</v>
      </c>
      <c r="Q285" s="26">
        <f t="shared" si="64"/>
        <v>-0.19625000000000092</v>
      </c>
      <c r="R285" s="26">
        <f t="shared" si="65"/>
        <v>0.57249999999999934</v>
      </c>
      <c r="S285" s="26">
        <f t="shared" si="66"/>
        <v>0.75083333333333258</v>
      </c>
      <c r="T285" s="26">
        <f t="shared" si="67"/>
        <v>-0.37303372802477064</v>
      </c>
      <c r="U285" s="26">
        <f t="shared" si="68"/>
        <v>-0.42194143548897811</v>
      </c>
      <c r="V285" s="26">
        <f t="shared" si="69"/>
        <v>-0.39733072107044309</v>
      </c>
    </row>
    <row r="286" spans="1:22" x14ac:dyDescent="0.25">
      <c r="A286" s="2">
        <v>43532</v>
      </c>
      <c r="B286">
        <v>38255.9</v>
      </c>
      <c r="C286">
        <v>6.34</v>
      </c>
      <c r="D286">
        <v>2.34</v>
      </c>
      <c r="F286">
        <f t="shared" si="56"/>
        <v>4.34</v>
      </c>
      <c r="G286">
        <f t="shared" si="57"/>
        <v>-0.77588922601077392</v>
      </c>
      <c r="J286">
        <f t="shared" si="58"/>
        <v>0.77884888322317525</v>
      </c>
      <c r="L286">
        <f t="shared" si="59"/>
        <v>2.7094017094017095</v>
      </c>
      <c r="M286">
        <f t="shared" si="60"/>
        <v>-0.95177833964468517</v>
      </c>
      <c r="N286" s="26">
        <f t="shared" si="61"/>
        <v>-7122.4000000000087</v>
      </c>
      <c r="O286" s="26">
        <f t="shared" si="62"/>
        <v>-1520.1265384615472</v>
      </c>
      <c r="P286" s="26">
        <f t="shared" si="63"/>
        <v>-4278.0331481481553</v>
      </c>
      <c r="Q286" s="26">
        <f t="shared" si="64"/>
        <v>-8.8750000000000107E-2</v>
      </c>
      <c r="R286" s="26">
        <f t="shared" si="65"/>
        <v>0.76576923076923054</v>
      </c>
      <c r="S286" s="26">
        <f t="shared" si="66"/>
        <v>0.85178571428571415</v>
      </c>
      <c r="T286" s="26">
        <f t="shared" si="67"/>
        <v>-0.41422771475045872</v>
      </c>
      <c r="U286" s="26">
        <f t="shared" si="68"/>
        <v>-0.41742440715273821</v>
      </c>
      <c r="V286" s="26">
        <f t="shared" si="69"/>
        <v>-0.41526880643465036</v>
      </c>
    </row>
    <row r="287" spans="1:22" x14ac:dyDescent="0.25">
      <c r="A287" s="2">
        <v>43525</v>
      </c>
      <c r="B287">
        <v>35967.519999999997</v>
      </c>
      <c r="C287">
        <v>6.16</v>
      </c>
      <c r="D287">
        <v>2.38</v>
      </c>
      <c r="F287">
        <f t="shared" si="56"/>
        <v>4.2699999999999996</v>
      </c>
      <c r="G287">
        <f t="shared" si="57"/>
        <v>-1.0538397392873151</v>
      </c>
      <c r="J287">
        <f t="shared" si="58"/>
        <v>0.73167458442186251</v>
      </c>
      <c r="L287">
        <f t="shared" si="59"/>
        <v>2.5882352941176472</v>
      </c>
      <c r="M287">
        <f t="shared" si="60"/>
        <v>-1.4801757386845138</v>
      </c>
      <c r="N287" s="26">
        <f t="shared" si="61"/>
        <v>-4497.7000000000044</v>
      </c>
      <c r="O287" s="26">
        <f t="shared" si="62"/>
        <v>984.38980769230693</v>
      </c>
      <c r="P287" s="26">
        <f t="shared" si="63"/>
        <v>-3340.4936111111092</v>
      </c>
      <c r="Q287" s="26">
        <f t="shared" si="64"/>
        <v>7.5000000000000178E-2</v>
      </c>
      <c r="R287" s="26">
        <f t="shared" si="65"/>
        <v>0.98605769230769225</v>
      </c>
      <c r="S287" s="26">
        <f t="shared" si="66"/>
        <v>0.98605769230769225</v>
      </c>
      <c r="T287" s="26">
        <f t="shared" si="67"/>
        <v>-0.29199288956354907</v>
      </c>
      <c r="U287" s="26">
        <f t="shared" si="68"/>
        <v>-0.35320571777350418</v>
      </c>
      <c r="V287" s="26">
        <f t="shared" si="69"/>
        <v>-0.35320571777350418</v>
      </c>
    </row>
    <row r="288" spans="1:22" x14ac:dyDescent="0.25">
      <c r="A288" s="2">
        <v>43518</v>
      </c>
      <c r="B288">
        <v>35458.730000000003</v>
      </c>
      <c r="C288">
        <v>6.2</v>
      </c>
      <c r="D288">
        <v>2.54</v>
      </c>
      <c r="F288">
        <f t="shared" si="56"/>
        <v>4.37</v>
      </c>
      <c r="G288">
        <f t="shared" si="57"/>
        <v>-1.147204437165934</v>
      </c>
      <c r="J288">
        <f t="shared" si="58"/>
        <v>0.88466776292403393</v>
      </c>
      <c r="L288">
        <f t="shared" si="59"/>
        <v>2.4409448818897639</v>
      </c>
      <c r="M288">
        <f t="shared" si="60"/>
        <v>-2.2504265667799981</v>
      </c>
      <c r="N288" s="26">
        <f t="shared" si="61"/>
        <v>-249.6875</v>
      </c>
      <c r="O288" s="26">
        <f t="shared" si="62"/>
        <v>4928.6673076923107</v>
      </c>
      <c r="P288" s="26">
        <f t="shared" si="63"/>
        <v>-809.47944444444875</v>
      </c>
      <c r="Q288" s="26">
        <f t="shared" si="64"/>
        <v>0.34749999999999925</v>
      </c>
      <c r="R288" s="26">
        <f t="shared" si="65"/>
        <v>1.1845833333333324</v>
      </c>
      <c r="S288" s="26">
        <f t="shared" si="66"/>
        <v>1.1845833333333324</v>
      </c>
      <c r="T288" s="26">
        <f t="shared" si="67"/>
        <v>-0.14108145111514592</v>
      </c>
      <c r="U288" s="26">
        <f t="shared" si="68"/>
        <v>-0.19613170223808929</v>
      </c>
      <c r="V288" s="26">
        <f t="shared" si="69"/>
        <v>-0.19613170223808929</v>
      </c>
    </row>
    <row r="289" spans="1:22" x14ac:dyDescent="0.25">
      <c r="A289" s="2">
        <v>43511</v>
      </c>
      <c r="B289">
        <v>40686.83</v>
      </c>
      <c r="C289">
        <v>6.56</v>
      </c>
      <c r="D289">
        <v>2.36</v>
      </c>
      <c r="F289">
        <f t="shared" si="56"/>
        <v>4.46</v>
      </c>
      <c r="G289">
        <f t="shared" si="57"/>
        <v>-0.63177767161614429</v>
      </c>
      <c r="J289">
        <f t="shared" si="58"/>
        <v>1.0438869796856485</v>
      </c>
      <c r="L289">
        <f t="shared" si="59"/>
        <v>2.7796610169491527</v>
      </c>
      <c r="M289">
        <f t="shared" si="60"/>
        <v>-1.2239853317388776</v>
      </c>
      <c r="N289" s="26">
        <f t="shared" si="61"/>
        <v>3719.9400000000023</v>
      </c>
      <c r="O289" s="26">
        <f t="shared" si="62"/>
        <v>8219.1176923076928</v>
      </c>
      <c r="P289" s="26">
        <f t="shared" si="63"/>
        <v>1467.94703703704</v>
      </c>
      <c r="Q289" s="26">
        <f t="shared" si="64"/>
        <v>0.48875000000000046</v>
      </c>
      <c r="R289" s="26">
        <f t="shared" si="65"/>
        <v>1.2914772727272736</v>
      </c>
      <c r="S289" s="26">
        <f t="shared" si="66"/>
        <v>1.2914772727272736</v>
      </c>
      <c r="T289" s="26">
        <f t="shared" si="67"/>
        <v>-9.2631170330328416E-3</v>
      </c>
      <c r="U289" s="26">
        <f t="shared" si="68"/>
        <v>-3.3132263244098681E-2</v>
      </c>
      <c r="V289" s="26">
        <f t="shared" si="69"/>
        <v>-3.3132263244098681E-2</v>
      </c>
    </row>
    <row r="290" spans="1:22" x14ac:dyDescent="0.25">
      <c r="A290" s="2">
        <v>43504</v>
      </c>
      <c r="B290">
        <v>43985.39</v>
      </c>
      <c r="C290">
        <v>6.82</v>
      </c>
      <c r="D290">
        <v>2.29</v>
      </c>
      <c r="F290">
        <f t="shared" si="56"/>
        <v>4.5549999999999997</v>
      </c>
      <c r="G290">
        <f t="shared" si="57"/>
        <v>-0.28864758008258262</v>
      </c>
      <c r="J290">
        <f t="shared" si="58"/>
        <v>1.2380892526087275</v>
      </c>
      <c r="L290">
        <f t="shared" si="59"/>
        <v>2.9781659388646289</v>
      </c>
      <c r="M290">
        <f t="shared" si="60"/>
        <v>-0.33764260210785618</v>
      </c>
      <c r="N290" s="26">
        <f t="shared" si="61"/>
        <v>4675.4775000000081</v>
      </c>
      <c r="O290" s="26">
        <f t="shared" si="62"/>
        <v>8829.8188461538448</v>
      </c>
      <c r="P290" s="26">
        <f t="shared" si="63"/>
        <v>1405.1572222222239</v>
      </c>
      <c r="Q290" s="26">
        <f t="shared" si="64"/>
        <v>0.54375000000000018</v>
      </c>
      <c r="R290" s="26">
        <f t="shared" si="65"/>
        <v>1.3167500000000003</v>
      </c>
      <c r="S290" s="26">
        <f t="shared" si="66"/>
        <v>1.3167500000000003</v>
      </c>
      <c r="T290" s="26">
        <f t="shared" si="67"/>
        <v>-7.7718353300868959E-2</v>
      </c>
      <c r="U290" s="26">
        <f t="shared" si="68"/>
        <v>-1.4575283578683873E-3</v>
      </c>
      <c r="V290" s="26">
        <f t="shared" si="69"/>
        <v>-1.4575283578683873E-3</v>
      </c>
    </row>
    <row r="291" spans="1:22" x14ac:dyDescent="0.25">
      <c r="A291" s="2">
        <v>43497</v>
      </c>
      <c r="B291">
        <v>47168.55</v>
      </c>
      <c r="C291">
        <v>7.08</v>
      </c>
      <c r="D291">
        <v>2.23</v>
      </c>
      <c r="F291">
        <f t="shared" si="56"/>
        <v>4.6550000000000002</v>
      </c>
      <c r="G291">
        <f t="shared" si="57"/>
        <v>5.1967329005760343E-2</v>
      </c>
      <c r="J291">
        <f t="shared" si="58"/>
        <v>1.4926404073421842</v>
      </c>
      <c r="L291">
        <f t="shared" si="59"/>
        <v>3.1748878923766815</v>
      </c>
      <c r="M291">
        <f t="shared" si="60"/>
        <v>0.61082394176777932</v>
      </c>
      <c r="N291" s="26">
        <f t="shared" si="61"/>
        <v>3877.9125000000058</v>
      </c>
      <c r="O291" s="26">
        <f t="shared" si="62"/>
        <v>7640.930576923085</v>
      </c>
      <c r="P291" s="26">
        <f t="shared" si="63"/>
        <v>-174.54916666665667</v>
      </c>
      <c r="Q291" s="26">
        <f t="shared" si="64"/>
        <v>0.77125000000000021</v>
      </c>
      <c r="R291" s="26">
        <f t="shared" si="65"/>
        <v>1.3159722222222223</v>
      </c>
      <c r="S291" s="26">
        <f t="shared" si="66"/>
        <v>1.3159722222222223</v>
      </c>
      <c r="T291" s="26">
        <f t="shared" si="67"/>
        <v>-0.23273808843759802</v>
      </c>
      <c r="U291" s="26">
        <f t="shared" si="68"/>
        <v>-8.8418529636601573E-2</v>
      </c>
      <c r="V291" s="26">
        <f t="shared" si="69"/>
        <v>-8.8418529636601573E-2</v>
      </c>
    </row>
    <row r="292" spans="1:22" x14ac:dyDescent="0.25">
      <c r="A292" s="2">
        <v>43490</v>
      </c>
      <c r="B292">
        <v>45898.19</v>
      </c>
      <c r="C292">
        <v>6.65</v>
      </c>
      <c r="D292">
        <v>2.16</v>
      </c>
      <c r="F292">
        <f t="shared" si="56"/>
        <v>4.4050000000000002</v>
      </c>
      <c r="G292">
        <f t="shared" si="57"/>
        <v>-0.10192608521256309</v>
      </c>
      <c r="J292">
        <f t="shared" si="58"/>
        <v>1.4064599985798758</v>
      </c>
      <c r="L292">
        <f t="shared" si="59"/>
        <v>3.0787037037037037</v>
      </c>
      <c r="M292">
        <f t="shared" si="60"/>
        <v>0.18646789725690843</v>
      </c>
      <c r="N292" s="26">
        <f t="shared" si="61"/>
        <v>4043.0274999999965</v>
      </c>
      <c r="O292" s="26">
        <f t="shared" si="62"/>
        <v>6116.3555769230734</v>
      </c>
      <c r="P292" s="26">
        <f t="shared" si="63"/>
        <v>-1910.9352777777822</v>
      </c>
      <c r="Q292" s="26">
        <f t="shared" si="64"/>
        <v>0.90000000000000036</v>
      </c>
      <c r="R292" s="26">
        <f t="shared" si="65"/>
        <v>1.2556250000000007</v>
      </c>
      <c r="S292" s="26">
        <f t="shared" si="66"/>
        <v>1.2556250000000007</v>
      </c>
      <c r="T292" s="26">
        <f t="shared" si="67"/>
        <v>-0.20118916369895112</v>
      </c>
      <c r="U292" s="26">
        <f t="shared" si="68"/>
        <v>-8.257537668441417E-2</v>
      </c>
      <c r="V292" s="26">
        <f t="shared" si="69"/>
        <v>-8.257537668441417E-2</v>
      </c>
    </row>
    <row r="293" spans="1:22" x14ac:dyDescent="0.25">
      <c r="A293" s="2">
        <v>43483</v>
      </c>
      <c r="B293">
        <v>41806.449999999997</v>
      </c>
      <c r="C293">
        <v>6.24</v>
      </c>
      <c r="D293">
        <v>2.12</v>
      </c>
      <c r="F293">
        <f t="shared" si="56"/>
        <v>4.18</v>
      </c>
      <c r="G293">
        <f t="shared" si="57"/>
        <v>-0.54832769133179116</v>
      </c>
      <c r="J293">
        <f t="shared" si="58"/>
        <v>1.3199684965695366</v>
      </c>
      <c r="L293">
        <f t="shared" si="59"/>
        <v>2.9433962264150941</v>
      </c>
      <c r="M293">
        <f t="shared" si="60"/>
        <v>-0.4211287443516859</v>
      </c>
      <c r="N293" s="26">
        <f t="shared" si="61"/>
        <v>3739.3250000000044</v>
      </c>
      <c r="O293" s="26">
        <f t="shared" si="62"/>
        <v>4662.1507692307714</v>
      </c>
      <c r="P293" s="26">
        <f t="shared" si="63"/>
        <v>-3620.5751851851892</v>
      </c>
      <c r="Q293" s="26">
        <f t="shared" si="64"/>
        <v>1.0625</v>
      </c>
      <c r="R293" s="26">
        <f t="shared" si="65"/>
        <v>1.2614285714285711</v>
      </c>
      <c r="S293" s="26">
        <f t="shared" si="66"/>
        <v>1.2614285714285711</v>
      </c>
      <c r="T293" s="26">
        <f t="shared" si="67"/>
        <v>-0.19571493947472618</v>
      </c>
      <c r="U293" s="26">
        <f t="shared" si="68"/>
        <v>-3.7508658331674827E-2</v>
      </c>
      <c r="V293" s="26">
        <f t="shared" si="69"/>
        <v>-3.7508658331674827E-2</v>
      </c>
    </row>
    <row r="294" spans="1:22" x14ac:dyDescent="0.25">
      <c r="A294" s="2">
        <v>43476</v>
      </c>
      <c r="B294">
        <v>39216.080000000002</v>
      </c>
      <c r="C294">
        <v>6.04</v>
      </c>
      <c r="D294">
        <v>2.19</v>
      </c>
      <c r="F294">
        <f t="shared" si="56"/>
        <v>4.1150000000000002</v>
      </c>
      <c r="G294">
        <f t="shared" si="57"/>
        <v>-0.84285262500427249</v>
      </c>
      <c r="J294">
        <f t="shared" si="58"/>
        <v>1.4370481605302521</v>
      </c>
      <c r="L294">
        <f t="shared" si="59"/>
        <v>2.7579908675799087</v>
      </c>
      <c r="M294">
        <f t="shared" si="60"/>
        <v>-1.2517416697875605</v>
      </c>
      <c r="N294" s="26">
        <f t="shared" si="61"/>
        <v>4866.3524999999936</v>
      </c>
      <c r="O294" s="26">
        <f t="shared" si="62"/>
        <v>3574.8698076923029</v>
      </c>
      <c r="P294" s="26">
        <f t="shared" si="63"/>
        <v>-4801.6069444444511</v>
      </c>
      <c r="Q294" s="26">
        <f t="shared" si="64"/>
        <v>1.1862500000000002</v>
      </c>
      <c r="R294" s="26">
        <f t="shared" si="65"/>
        <v>1.2883333333333336</v>
      </c>
      <c r="S294" s="26">
        <f t="shared" si="66"/>
        <v>1.2883333333333336</v>
      </c>
      <c r="T294" s="26">
        <f t="shared" si="67"/>
        <v>6.3489659186422909E-2</v>
      </c>
      <c r="U294" s="26">
        <f t="shared" si="68"/>
        <v>0.12710137490500184</v>
      </c>
      <c r="V294" s="26">
        <f t="shared" si="69"/>
        <v>0.12710137490500184</v>
      </c>
    </row>
    <row r="295" spans="1:22" x14ac:dyDescent="0.25">
      <c r="A295" s="2">
        <v>43469</v>
      </c>
      <c r="B295">
        <v>41377.53</v>
      </c>
      <c r="C295">
        <v>6</v>
      </c>
      <c r="D295">
        <v>1.9</v>
      </c>
      <c r="F295">
        <f t="shared" si="56"/>
        <v>3.95</v>
      </c>
      <c r="G295">
        <f t="shared" si="57"/>
        <v>-0.63194789745382351</v>
      </c>
      <c r="J295">
        <f t="shared" si="58"/>
        <v>1.480584207952917</v>
      </c>
      <c r="L295">
        <f t="shared" si="59"/>
        <v>3.1578947368421053</v>
      </c>
      <c r="M295">
        <f t="shared" si="60"/>
        <v>0.36931363460876082</v>
      </c>
      <c r="N295" s="26">
        <f t="shared" si="61"/>
        <v>6692.2674999999945</v>
      </c>
      <c r="O295" s="26">
        <f t="shared" si="62"/>
        <v>2535.8057692307702</v>
      </c>
      <c r="P295" s="26">
        <f t="shared" si="63"/>
        <v>-5685.3116666666683</v>
      </c>
      <c r="Q295" s="26">
        <f t="shared" si="64"/>
        <v>0.93124999999999991</v>
      </c>
      <c r="R295" s="26">
        <f t="shared" si="65"/>
        <v>0.98050000000000015</v>
      </c>
      <c r="S295" s="26">
        <f t="shared" si="66"/>
        <v>0.98050000000000015</v>
      </c>
      <c r="T295" s="26">
        <f t="shared" si="67"/>
        <v>0.27354999773539879</v>
      </c>
      <c r="U295" s="26">
        <f t="shared" si="68"/>
        <v>0.25977520584179281</v>
      </c>
      <c r="V295" s="26">
        <f t="shared" si="69"/>
        <v>0.25977520584179281</v>
      </c>
    </row>
    <row r="296" spans="1:22" x14ac:dyDescent="0.25">
      <c r="A296" s="2">
        <v>43462</v>
      </c>
      <c r="B296">
        <v>40459.14</v>
      </c>
      <c r="C296">
        <v>5.9</v>
      </c>
      <c r="D296">
        <v>1.85</v>
      </c>
      <c r="F296">
        <f t="shared" si="56"/>
        <v>3.875</v>
      </c>
      <c r="G296">
        <f t="shared" si="57"/>
        <v>-0.73550767725364852</v>
      </c>
      <c r="J296">
        <f t="shared" si="58"/>
        <v>1.7386648728093239</v>
      </c>
      <c r="L296">
        <f t="shared" si="59"/>
        <v>3.189189189189189</v>
      </c>
      <c r="M296">
        <f t="shared" si="60"/>
        <v>0.52764180841670172</v>
      </c>
      <c r="N296" s="26">
        <f t="shared" si="61"/>
        <v>6299.0300000000025</v>
      </c>
      <c r="O296" s="26">
        <f t="shared" si="62"/>
        <v>-49.92884615384537</v>
      </c>
      <c r="P296" s="26">
        <f t="shared" si="63"/>
        <v>-7881.2401851851682</v>
      </c>
      <c r="Q296" s="26">
        <f t="shared" si="64"/>
        <v>0.7112500000000006</v>
      </c>
      <c r="R296" s="26">
        <f t="shared" si="65"/>
        <v>0.7112500000000006</v>
      </c>
      <c r="S296" s="26">
        <f t="shared" si="66"/>
        <v>0.7112500000000006</v>
      </c>
      <c r="T296" s="26">
        <f t="shared" si="67"/>
        <v>0.23722757402907346</v>
      </c>
      <c r="U296" s="26">
        <f t="shared" si="68"/>
        <v>0.23722757402907346</v>
      </c>
      <c r="V296" s="26">
        <f t="shared" si="69"/>
        <v>0.23722757402907346</v>
      </c>
    </row>
    <row r="297" spans="1:22" x14ac:dyDescent="0.25">
      <c r="A297" s="2">
        <v>43455</v>
      </c>
      <c r="B297">
        <v>39103.919999999998</v>
      </c>
      <c r="C297">
        <v>5.68</v>
      </c>
      <c r="D297">
        <v>1.68</v>
      </c>
      <c r="F297">
        <f t="shared" si="56"/>
        <v>3.6799999999999997</v>
      </c>
      <c r="G297">
        <f t="shared" si="57"/>
        <v>-0.88629325469813869</v>
      </c>
      <c r="J297">
        <f t="shared" si="58"/>
        <v>2.1294268520071795</v>
      </c>
      <c r="L297">
        <f t="shared" si="59"/>
        <v>3.3809523809523809</v>
      </c>
      <c r="M297">
        <f t="shared" si="60"/>
        <v>1.3565793508773336</v>
      </c>
      <c r="N297" s="26">
        <f t="shared" si="61"/>
        <v>6227.6224999999977</v>
      </c>
      <c r="O297" s="26">
        <f t="shared" si="62"/>
        <v>-2194.3719230769275</v>
      </c>
      <c r="P297" s="26">
        <f t="shared" si="63"/>
        <v>-9547.7205555555483</v>
      </c>
      <c r="Q297" s="26">
        <f t="shared" si="64"/>
        <v>0.46416666666666684</v>
      </c>
      <c r="R297" s="26">
        <f t="shared" si="65"/>
        <v>0.46416666666666684</v>
      </c>
      <c r="S297" s="26">
        <f t="shared" si="66"/>
        <v>0.46416666666666684</v>
      </c>
      <c r="T297" s="26">
        <f t="shared" si="67"/>
        <v>0.36914798933378634</v>
      </c>
      <c r="U297" s="26">
        <f t="shared" si="68"/>
        <v>0.36914798933378634</v>
      </c>
      <c r="V297" s="26">
        <f t="shared" si="69"/>
        <v>0.36914798933378634</v>
      </c>
    </row>
    <row r="298" spans="1:22" x14ac:dyDescent="0.25">
      <c r="A298" s="2">
        <v>43448</v>
      </c>
      <c r="B298">
        <v>37637.03</v>
      </c>
      <c r="C298">
        <v>4.2</v>
      </c>
      <c r="D298">
        <v>1.33</v>
      </c>
      <c r="F298">
        <f t="shared" si="56"/>
        <v>2.7650000000000001</v>
      </c>
      <c r="G298">
        <f t="shared" si="57"/>
        <v>-1.0531825906867238</v>
      </c>
      <c r="J298">
        <f t="shared" si="58"/>
        <v>0.91980636520190984</v>
      </c>
      <c r="L298">
        <f t="shared" si="59"/>
        <v>3.1578947368421053</v>
      </c>
      <c r="M298">
        <f t="shared" si="60"/>
        <v>0.76254599083994989</v>
      </c>
      <c r="N298" s="26">
        <f t="shared" si="61"/>
        <v>3135.6375000000007</v>
      </c>
      <c r="O298" s="26">
        <f t="shared" si="62"/>
        <v>-5746.0434615384584</v>
      </c>
      <c r="P298" s="26">
        <f t="shared" si="63"/>
        <v>-12276.977222222209</v>
      </c>
      <c r="Q298" s="26">
        <f t="shared" si="64"/>
        <v>0.30625000000000036</v>
      </c>
      <c r="R298" s="26">
        <f t="shared" si="65"/>
        <v>0.30625000000000036</v>
      </c>
      <c r="S298" s="26">
        <f t="shared" si="66"/>
        <v>0.30625000000000036</v>
      </c>
      <c r="T298" s="26">
        <f t="shared" si="67"/>
        <v>0.1908351471557368</v>
      </c>
      <c r="U298" s="26">
        <f t="shared" si="68"/>
        <v>0.1908351471557368</v>
      </c>
      <c r="V298" s="26">
        <f t="shared" si="69"/>
        <v>0.1908351471557368</v>
      </c>
    </row>
    <row r="299" spans="1:22" x14ac:dyDescent="0.25">
      <c r="A299" s="2">
        <v>43441</v>
      </c>
      <c r="B299">
        <v>34926.050000000003</v>
      </c>
      <c r="C299">
        <v>4.0999999999999996</v>
      </c>
      <c r="D299">
        <v>1.36</v>
      </c>
      <c r="F299">
        <f t="shared" si="56"/>
        <v>2.73</v>
      </c>
      <c r="G299">
        <f t="shared" si="57"/>
        <v>-1.3554800515557666</v>
      </c>
      <c r="J299">
        <f t="shared" si="58"/>
        <v>0.88843014098498341</v>
      </c>
      <c r="L299">
        <f t="shared" si="59"/>
        <v>3.0147058823529407</v>
      </c>
      <c r="M299">
        <f t="shared" si="60"/>
        <v>0.2383538051818157</v>
      </c>
      <c r="N299" s="26">
        <f t="shared" si="61"/>
        <v>-1272.9849999999933</v>
      </c>
      <c r="O299" s="26">
        <f t="shared" si="62"/>
        <v>-10346.620192307688</v>
      </c>
      <c r="P299" s="26">
        <f t="shared" si="63"/>
        <v>-15513.915092592579</v>
      </c>
      <c r="Q299" s="26">
        <f t="shared" si="64"/>
        <v>0.2462500000000003</v>
      </c>
      <c r="R299" s="26">
        <f t="shared" si="65"/>
        <v>0.2462500000000003</v>
      </c>
      <c r="S299" s="26">
        <f t="shared" si="66"/>
        <v>0.2462500000000003</v>
      </c>
      <c r="T299" s="26">
        <f t="shared" si="67"/>
        <v>-6.8873959468028989E-2</v>
      </c>
      <c r="U299" s="26">
        <f t="shared" si="68"/>
        <v>-6.8873959468028989E-2</v>
      </c>
      <c r="V299" s="26">
        <f t="shared" si="69"/>
        <v>-6.8873959468028989E-2</v>
      </c>
    </row>
    <row r="300" spans="1:22" x14ac:dyDescent="0.25">
      <c r="A300" s="2">
        <v>43434</v>
      </c>
      <c r="B300">
        <v>36234.9</v>
      </c>
      <c r="C300">
        <v>4.13</v>
      </c>
      <c r="D300">
        <v>1.26</v>
      </c>
      <c r="F300">
        <f t="shared" si="56"/>
        <v>2.6949999999999998</v>
      </c>
      <c r="G300">
        <f t="shared" si="57"/>
        <v>-1.2617752004852734</v>
      </c>
      <c r="J300">
        <f t="shared" si="58"/>
        <v>0.89110702592157132</v>
      </c>
      <c r="L300">
        <f t="shared" si="59"/>
        <v>3.2777777777777777</v>
      </c>
      <c r="M300">
        <f t="shared" si="60"/>
        <v>1.2941906417197879</v>
      </c>
      <c r="N300" s="26">
        <f t="shared" si="61"/>
        <v>-4773.5799999999981</v>
      </c>
      <c r="O300" s="26">
        <f t="shared" si="62"/>
        <v>-13805.122692307687</v>
      </c>
      <c r="P300" s="26">
        <f t="shared" si="63"/>
        <v>-16983.157222222206</v>
      </c>
      <c r="Q300" s="26" t="e">
        <f t="shared" si="64"/>
        <v>#DIV/0!</v>
      </c>
      <c r="R300" s="26" t="e">
        <f t="shared" si="65"/>
        <v>#DIV/0!</v>
      </c>
      <c r="S300" s="26" t="e">
        <f t="shared" si="66"/>
        <v>#DIV/0!</v>
      </c>
      <c r="T300" s="26" t="e">
        <f t="shared" si="67"/>
        <v>#DIV/0!</v>
      </c>
      <c r="U300" s="26" t="e">
        <f t="shared" si="68"/>
        <v>#DIV/0!</v>
      </c>
      <c r="V300" s="26" t="e">
        <f t="shared" si="69"/>
        <v>#DIV/0!</v>
      </c>
    </row>
    <row r="301" spans="1:22" x14ac:dyDescent="0.25">
      <c r="A301" s="2">
        <v>43427</v>
      </c>
      <c r="B301">
        <v>31893.279999999999</v>
      </c>
      <c r="C301">
        <v>3.95</v>
      </c>
      <c r="D301">
        <v>1.42</v>
      </c>
      <c r="F301">
        <f t="shared" si="56"/>
        <v>2.6850000000000001</v>
      </c>
      <c r="G301">
        <f t="shared" si="57"/>
        <v>-1.7523258625511207</v>
      </c>
      <c r="J301">
        <f t="shared" si="58"/>
        <v>1.1430701989902627</v>
      </c>
      <c r="L301">
        <f t="shared" si="59"/>
        <v>2.7816901408450705</v>
      </c>
      <c r="M301">
        <f t="shared" si="60"/>
        <v>-0.36174196855593754</v>
      </c>
      <c r="N301" s="26">
        <f t="shared" si="61"/>
        <v>-8278.2074999999968</v>
      </c>
      <c r="O301" s="26">
        <f t="shared" si="62"/>
        <v>-16716.666730769233</v>
      </c>
      <c r="P301" s="26">
        <f t="shared" si="63"/>
        <v>-18717.260833333319</v>
      </c>
      <c r="Q301" s="26" t="e">
        <f t="shared" si="64"/>
        <v>#DIV/0!</v>
      </c>
      <c r="R301" s="26" t="e">
        <f t="shared" si="65"/>
        <v>#DIV/0!</v>
      </c>
      <c r="S301" s="26" t="e">
        <f t="shared" si="66"/>
        <v>#DIV/0!</v>
      </c>
      <c r="T301" s="26" t="e">
        <f t="shared" si="67"/>
        <v>#DIV/0!</v>
      </c>
      <c r="U301" s="26" t="e">
        <f t="shared" si="68"/>
        <v>#DIV/0!</v>
      </c>
      <c r="V301" s="26" t="e">
        <f t="shared" si="69"/>
        <v>#DIV/0!</v>
      </c>
    </row>
    <row r="302" spans="1:22" x14ac:dyDescent="0.25">
      <c r="A302" s="2">
        <v>43420</v>
      </c>
      <c r="B302">
        <v>28754.32</v>
      </c>
      <c r="C302">
        <v>3.56</v>
      </c>
      <c r="D302">
        <v>1.31</v>
      </c>
      <c r="F302">
        <f t="shared" si="56"/>
        <v>2.4350000000000001</v>
      </c>
      <c r="G302">
        <f t="shared" si="57"/>
        <v>-2.1730146633960117</v>
      </c>
      <c r="J302">
        <f t="shared" si="58"/>
        <v>0.70710678118655457</v>
      </c>
      <c r="L302">
        <f t="shared" si="59"/>
        <v>2.717557251908397</v>
      </c>
      <c r="M302">
        <f t="shared" si="60"/>
        <v>-0.70710678118654857</v>
      </c>
      <c r="N302" s="26">
        <f t="shared" si="61"/>
        <v>-8147.9599999999955</v>
      </c>
      <c r="O302" s="26">
        <f t="shared" si="62"/>
        <v>-16764.844807692298</v>
      </c>
      <c r="P302" s="26">
        <f t="shared" si="63"/>
        <v>-17981.694722222204</v>
      </c>
      <c r="Q302" s="26" t="e">
        <f t="shared" si="64"/>
        <v>#DIV/0!</v>
      </c>
      <c r="R302" s="26" t="e">
        <f t="shared" si="65"/>
        <v>#DIV/0!</v>
      </c>
      <c r="S302" s="26" t="e">
        <f t="shared" si="66"/>
        <v>#DIV/0!</v>
      </c>
      <c r="T302" s="26" t="e">
        <f t="shared" si="67"/>
        <v>#DIV/0!</v>
      </c>
      <c r="U302" s="26" t="e">
        <f t="shared" si="68"/>
        <v>#DIV/0!</v>
      </c>
      <c r="V302" s="26" t="e">
        <f t="shared" si="69"/>
        <v>#DIV/0!</v>
      </c>
    </row>
    <row r="303" spans="1:22" x14ac:dyDescent="0.25">
      <c r="A303" s="2">
        <v>43413</v>
      </c>
      <c r="B303">
        <v>30047.52</v>
      </c>
      <c r="C303">
        <v>3.59</v>
      </c>
      <c r="D303">
        <v>1.19</v>
      </c>
      <c r="F303">
        <f t="shared" si="56"/>
        <v>2.3899999999999997</v>
      </c>
      <c r="G303">
        <f t="shared" si="57"/>
        <v>-2.1832242508861155</v>
      </c>
      <c r="J303" t="e">
        <f t="shared" si="58"/>
        <v>#DIV/0!</v>
      </c>
      <c r="L303">
        <f t="shared" si="59"/>
        <v>3.0168067226890756</v>
      </c>
      <c r="M303" t="e">
        <f t="shared" si="60"/>
        <v>#DIV/0!</v>
      </c>
      <c r="N303" s="26">
        <f t="shared" si="61"/>
        <v>-7697.3274999999994</v>
      </c>
      <c r="O303" s="26">
        <f t="shared" si="62"/>
        <v>-15912.894423076927</v>
      </c>
      <c r="P303" s="26">
        <f t="shared" si="63"/>
        <v>-16381.768981481488</v>
      </c>
      <c r="Q303" s="26" t="e">
        <f t="shared" si="64"/>
        <v>#DIV/0!</v>
      </c>
      <c r="R303" s="26" t="e">
        <f t="shared" si="65"/>
        <v>#DIV/0!</v>
      </c>
      <c r="S303" s="26" t="e">
        <f t="shared" si="66"/>
        <v>#DIV/0!</v>
      </c>
      <c r="T303" s="26" t="e">
        <f t="shared" si="67"/>
        <v>#DIV/0!</v>
      </c>
      <c r="U303" s="26" t="e">
        <f t="shared" si="68"/>
        <v>#DIV/0!</v>
      </c>
      <c r="V303" s="26" t="e">
        <f t="shared" si="69"/>
        <v>#DIV/0!</v>
      </c>
    </row>
    <row r="304" spans="1:22" x14ac:dyDescent="0.25">
      <c r="A304" s="2">
        <v>43406</v>
      </c>
      <c r="B304">
        <v>32296.29</v>
      </c>
      <c r="C304">
        <v>4.51</v>
      </c>
      <c r="D304">
        <v>1.94</v>
      </c>
      <c r="N304" s="2"/>
    </row>
    <row r="305" spans="1:14" x14ac:dyDescent="0.25">
      <c r="A305" s="2">
        <v>43399</v>
      </c>
      <c r="B305">
        <v>37050.58</v>
      </c>
      <c r="C305">
        <v>4.8099999999999996</v>
      </c>
      <c r="D305">
        <v>1.77</v>
      </c>
      <c r="N305" s="2"/>
    </row>
    <row r="306" spans="1:14" x14ac:dyDescent="0.25">
      <c r="A306" s="2">
        <v>43392</v>
      </c>
      <c r="B306">
        <v>37506.1</v>
      </c>
      <c r="C306">
        <v>4.82</v>
      </c>
      <c r="D306">
        <v>1.71</v>
      </c>
      <c r="N306" s="2"/>
    </row>
    <row r="307" spans="1:14" x14ac:dyDescent="0.25">
      <c r="A307" s="2">
        <v>43385</v>
      </c>
      <c r="B307">
        <v>39171.370000000003</v>
      </c>
      <c r="C307">
        <v>4.6100000000000003</v>
      </c>
      <c r="D307">
        <v>1.27</v>
      </c>
      <c r="N307" s="2"/>
    </row>
    <row r="308" spans="1:14" x14ac:dyDescent="0.25">
      <c r="A308" s="2">
        <v>43378</v>
      </c>
      <c r="B308">
        <v>42376.19</v>
      </c>
      <c r="C308">
        <v>4.8099999999999996</v>
      </c>
      <c r="D308">
        <v>1.1200000000000001</v>
      </c>
      <c r="N308" s="2"/>
    </row>
    <row r="309" spans="1:14" x14ac:dyDescent="0.25">
      <c r="A309" s="2">
        <v>43371</v>
      </c>
      <c r="B309">
        <v>41686.89</v>
      </c>
      <c r="C309">
        <v>4.75</v>
      </c>
      <c r="D309">
        <v>1.05</v>
      </c>
      <c r="N309" s="2"/>
    </row>
    <row r="310" spans="1:14" x14ac:dyDescent="0.25">
      <c r="A310" s="2">
        <v>43364</v>
      </c>
      <c r="B310">
        <v>44455.35</v>
      </c>
      <c r="C310">
        <v>4.7699999999999996</v>
      </c>
      <c r="D310">
        <v>0.79</v>
      </c>
      <c r="N310" s="2"/>
    </row>
    <row r="311" spans="1:14" x14ac:dyDescent="0.25">
      <c r="A311" s="2">
        <v>43357</v>
      </c>
      <c r="B311">
        <v>46012.95</v>
      </c>
      <c r="C311">
        <v>4.8499999999999996</v>
      </c>
      <c r="D311">
        <v>0.76</v>
      </c>
      <c r="N311" s="2"/>
    </row>
    <row r="312" spans="1:14" x14ac:dyDescent="0.25">
      <c r="A312" s="2">
        <v>43350</v>
      </c>
      <c r="B312">
        <v>47573.29</v>
      </c>
      <c r="C312">
        <v>5.05</v>
      </c>
      <c r="D312">
        <v>0.78</v>
      </c>
      <c r="N312" s="2"/>
    </row>
    <row r="313" spans="1:14" x14ac:dyDescent="0.25">
      <c r="A313" s="2">
        <v>43343</v>
      </c>
      <c r="B313">
        <v>50383.88</v>
      </c>
      <c r="C313">
        <v>5.38</v>
      </c>
      <c r="D313">
        <v>0.79</v>
      </c>
      <c r="N313" s="2"/>
    </row>
    <row r="314" spans="1:14" x14ac:dyDescent="0.25">
      <c r="A314" s="2">
        <v>43336</v>
      </c>
      <c r="B314">
        <v>54630.43</v>
      </c>
      <c r="C314">
        <v>5.82</v>
      </c>
      <c r="D314">
        <v>0.82</v>
      </c>
      <c r="N314" s="2"/>
    </row>
    <row r="315" spans="1:14" x14ac:dyDescent="0.25">
      <c r="A315" s="2">
        <v>43329</v>
      </c>
      <c r="B315">
        <v>59693.01</v>
      </c>
      <c r="C315">
        <v>6.19</v>
      </c>
      <c r="D315">
        <v>0.72</v>
      </c>
      <c r="N315" s="2"/>
    </row>
    <row r="316" spans="1:14" x14ac:dyDescent="0.25">
      <c r="A316" s="2">
        <v>43322</v>
      </c>
      <c r="B316">
        <v>59152.83</v>
      </c>
      <c r="C316">
        <v>6.02</v>
      </c>
      <c r="D316">
        <v>0.63</v>
      </c>
      <c r="N316" s="2"/>
    </row>
    <row r="317" spans="1:14" x14ac:dyDescent="0.25">
      <c r="A317" s="2">
        <v>43315</v>
      </c>
      <c r="B317">
        <v>57345.88</v>
      </c>
      <c r="C317">
        <v>5.91</v>
      </c>
      <c r="D317">
        <v>0.63</v>
      </c>
      <c r="N317" s="2"/>
    </row>
    <row r="318" spans="1:14" x14ac:dyDescent="0.25">
      <c r="A318" s="2">
        <v>43308</v>
      </c>
      <c r="B318">
        <v>54438.12</v>
      </c>
      <c r="C318">
        <v>5.57</v>
      </c>
      <c r="D318">
        <v>0.55000000000000004</v>
      </c>
      <c r="N318" s="2"/>
    </row>
    <row r="319" spans="1:14" x14ac:dyDescent="0.25">
      <c r="A319" s="2">
        <v>43301</v>
      </c>
      <c r="B319">
        <v>54874.03</v>
      </c>
      <c r="C319">
        <v>5.74</v>
      </c>
      <c r="D319">
        <v>0.6</v>
      </c>
      <c r="N319" s="2"/>
    </row>
    <row r="320" spans="1:14" x14ac:dyDescent="0.25">
      <c r="A320" s="2">
        <v>43294</v>
      </c>
      <c r="B320">
        <v>51059.21</v>
      </c>
      <c r="C320">
        <v>5.5</v>
      </c>
      <c r="D320">
        <v>0.69</v>
      </c>
      <c r="N320" s="2"/>
    </row>
    <row r="321" spans="1:14" x14ac:dyDescent="0.25">
      <c r="A321" s="2">
        <v>43287</v>
      </c>
      <c r="B321">
        <v>49675.31</v>
      </c>
      <c r="C321">
        <v>5.37</v>
      </c>
      <c r="D321">
        <v>0.62</v>
      </c>
      <c r="N321" s="2"/>
    </row>
    <row r="322" spans="1:14" x14ac:dyDescent="0.25">
      <c r="A322" s="2">
        <v>43280</v>
      </c>
      <c r="B322">
        <v>49170.57</v>
      </c>
      <c r="C322">
        <v>5.38</v>
      </c>
      <c r="D322">
        <v>0.65</v>
      </c>
      <c r="N322" s="2"/>
    </row>
    <row r="323" spans="1:14" x14ac:dyDescent="0.25">
      <c r="A323" s="2">
        <v>43273</v>
      </c>
      <c r="B323">
        <v>49905.83</v>
      </c>
      <c r="C323">
        <v>5.37</v>
      </c>
      <c r="D323">
        <v>0.52</v>
      </c>
      <c r="N323" s="2"/>
    </row>
    <row r="324" spans="1:14" x14ac:dyDescent="0.25">
      <c r="A324" s="2">
        <v>43266</v>
      </c>
      <c r="B324">
        <v>52749.7</v>
      </c>
      <c r="C324">
        <v>5.46</v>
      </c>
      <c r="D324">
        <v>0.36</v>
      </c>
      <c r="N324" s="2"/>
    </row>
    <row r="325" spans="1:14" x14ac:dyDescent="0.25">
      <c r="A325" s="2">
        <v>43259</v>
      </c>
      <c r="B325">
        <v>50838.47</v>
      </c>
      <c r="C325">
        <v>5.4</v>
      </c>
      <c r="D325">
        <v>0.39</v>
      </c>
      <c r="N325" s="2"/>
    </row>
    <row r="326" spans="1:14" x14ac:dyDescent="0.25">
      <c r="A326" s="2">
        <v>43252</v>
      </c>
      <c r="B326">
        <v>50668.63</v>
      </c>
      <c r="C326">
        <v>5.4</v>
      </c>
      <c r="D326">
        <v>0.39</v>
      </c>
      <c r="N326" s="2"/>
    </row>
    <row r="327" spans="1:14" x14ac:dyDescent="0.25">
      <c r="A327" s="2">
        <v>43245</v>
      </c>
      <c r="B327">
        <v>52716.25</v>
      </c>
      <c r="C327">
        <v>5.56</v>
      </c>
      <c r="D327">
        <v>0.33</v>
      </c>
      <c r="N327" s="2"/>
    </row>
    <row r="328" spans="1:14" x14ac:dyDescent="0.25">
      <c r="A328" s="2">
        <v>43238</v>
      </c>
      <c r="B328">
        <v>56911.39</v>
      </c>
      <c r="C328">
        <v>5.98</v>
      </c>
      <c r="D328">
        <v>0.25</v>
      </c>
      <c r="N328" s="2"/>
    </row>
    <row r="329" spans="1:14" x14ac:dyDescent="0.25">
      <c r="A329" s="2">
        <v>43231</v>
      </c>
      <c r="B329">
        <v>56193.35</v>
      </c>
      <c r="C329">
        <v>6.05</v>
      </c>
      <c r="D329">
        <v>0.28999999999999998</v>
      </c>
      <c r="N329" s="2"/>
    </row>
    <row r="330" spans="1:14" x14ac:dyDescent="0.25">
      <c r="A330" s="2">
        <v>43224</v>
      </c>
      <c r="B330">
        <v>36786.980000000003</v>
      </c>
      <c r="C330">
        <v>4.1500000000000004</v>
      </c>
      <c r="D330">
        <v>0.27</v>
      </c>
      <c r="N330" s="2"/>
    </row>
    <row r="331" spans="1:14" x14ac:dyDescent="0.25">
      <c r="A331" s="2">
        <v>43217</v>
      </c>
      <c r="B331">
        <v>52531.47</v>
      </c>
      <c r="C331">
        <v>5.63</v>
      </c>
      <c r="D331">
        <v>0.31</v>
      </c>
      <c r="N331" s="2"/>
    </row>
    <row r="332" spans="1:14" x14ac:dyDescent="0.25">
      <c r="A332" s="2">
        <v>43210</v>
      </c>
      <c r="B332">
        <v>52002.07</v>
      </c>
      <c r="C332">
        <v>5.65</v>
      </c>
      <c r="D332">
        <v>0.3</v>
      </c>
      <c r="N332" s="2"/>
    </row>
    <row r="333" spans="1:14" x14ac:dyDescent="0.25">
      <c r="A333" s="2">
        <v>43203</v>
      </c>
      <c r="B333">
        <v>53382.62</v>
      </c>
      <c r="C333">
        <v>5.88</v>
      </c>
      <c r="D333">
        <v>0.28000000000000003</v>
      </c>
      <c r="N333" s="2"/>
    </row>
    <row r="334" spans="1:14" x14ac:dyDescent="0.25">
      <c r="A334" s="2">
        <v>43196</v>
      </c>
      <c r="B334">
        <v>52433.17</v>
      </c>
      <c r="C334">
        <v>5.82</v>
      </c>
      <c r="D334">
        <v>0.24</v>
      </c>
      <c r="N334" s="2"/>
    </row>
    <row r="335" spans="1:14" x14ac:dyDescent="0.25">
      <c r="A335" s="2">
        <v>43189</v>
      </c>
      <c r="B335">
        <v>19984.48</v>
      </c>
      <c r="C335">
        <v>2.1800000000000002</v>
      </c>
      <c r="D335">
        <v>7.0000000000000007E-2</v>
      </c>
      <c r="N335" s="2"/>
    </row>
    <row r="336" spans="1:14" x14ac:dyDescent="0.25">
      <c r="A336" s="2">
        <v>43188</v>
      </c>
      <c r="B336">
        <v>52732.73</v>
      </c>
      <c r="C336">
        <v>5.86</v>
      </c>
      <c r="D336">
        <v>0.26</v>
      </c>
      <c r="N336" s="2"/>
    </row>
    <row r="337" spans="1:14" x14ac:dyDescent="0.25">
      <c r="A337" s="2">
        <v>43182</v>
      </c>
      <c r="B337">
        <v>56040.04</v>
      </c>
      <c r="C337">
        <v>6.31</v>
      </c>
      <c r="D337">
        <v>0.28000000000000003</v>
      </c>
      <c r="N337" s="2"/>
    </row>
    <row r="338" spans="1:14" x14ac:dyDescent="0.25">
      <c r="A338" s="2">
        <v>43175</v>
      </c>
      <c r="B338">
        <v>59824.73</v>
      </c>
      <c r="C338">
        <v>5.84</v>
      </c>
      <c r="D338">
        <v>0.2</v>
      </c>
      <c r="N338" s="2"/>
    </row>
    <row r="339" spans="1:14" x14ac:dyDescent="0.25">
      <c r="A339" s="2">
        <v>43168</v>
      </c>
      <c r="B339">
        <v>59004.54</v>
      </c>
      <c r="C339">
        <v>5.84</v>
      </c>
      <c r="D339">
        <v>0.21</v>
      </c>
      <c r="N339" s="2"/>
    </row>
    <row r="340" spans="1:14" x14ac:dyDescent="0.25">
      <c r="A340" s="2">
        <v>43161</v>
      </c>
      <c r="B340">
        <v>58486.66</v>
      </c>
      <c r="C340">
        <v>5.82</v>
      </c>
      <c r="D340">
        <v>0.16</v>
      </c>
      <c r="N340" s="2"/>
    </row>
    <row r="341" spans="1:14" x14ac:dyDescent="0.25">
      <c r="A341" s="2">
        <v>43154</v>
      </c>
      <c r="B341">
        <v>60319.18</v>
      </c>
      <c r="C341">
        <v>6.01</v>
      </c>
      <c r="D341">
        <v>0.14000000000000001</v>
      </c>
      <c r="N341" s="2"/>
    </row>
    <row r="342" spans="1:14" x14ac:dyDescent="0.25">
      <c r="A342" s="2">
        <v>43147</v>
      </c>
      <c r="B342">
        <v>44053</v>
      </c>
      <c r="C342">
        <v>6.1</v>
      </c>
      <c r="D342">
        <v>0.13</v>
      </c>
      <c r="N342" s="2"/>
    </row>
    <row r="343" spans="1:14" x14ac:dyDescent="0.25">
      <c r="A343" s="2">
        <v>43140</v>
      </c>
      <c r="B343">
        <v>43466.55</v>
      </c>
      <c r="C343">
        <v>6.11</v>
      </c>
      <c r="D343">
        <v>0.11</v>
      </c>
      <c r="N343" s="2"/>
    </row>
    <row r="344" spans="1:14" x14ac:dyDescent="0.25">
      <c r="A344" s="2">
        <v>43133</v>
      </c>
      <c r="B344">
        <v>56881.56</v>
      </c>
      <c r="C344">
        <v>5.97</v>
      </c>
      <c r="D344">
        <v>0.11</v>
      </c>
    </row>
    <row r="345" spans="1:14" x14ac:dyDescent="0.25">
      <c r="A345" s="2">
        <v>43126</v>
      </c>
      <c r="B345">
        <v>55412.89</v>
      </c>
      <c r="C345">
        <v>7.37</v>
      </c>
      <c r="D345">
        <v>0.05</v>
      </c>
    </row>
    <row r="346" spans="1:14" x14ac:dyDescent="0.25">
      <c r="A346" s="2">
        <v>43119</v>
      </c>
      <c r="B346">
        <v>55281.97</v>
      </c>
      <c r="C346">
        <v>7.42</v>
      </c>
      <c r="D346">
        <v>0.08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A0439-1E49-48D0-A302-7B1B9C3A112F}">
  <dimension ref="A1:O1119"/>
  <sheetViews>
    <sheetView workbookViewId="0">
      <selection activeCell="E7" sqref="E7"/>
    </sheetView>
  </sheetViews>
  <sheetFormatPr defaultRowHeight="15" x14ac:dyDescent="0.25"/>
  <cols>
    <col min="1" max="1" width="19.7109375" customWidth="1"/>
    <col min="2" max="2" width="18.28515625" bestFit="1" customWidth="1"/>
    <col min="3" max="3" width="20.28515625" customWidth="1"/>
    <col min="4" max="4" width="30.42578125" bestFit="1" customWidth="1"/>
    <col min="5" max="10" width="30.42578125" customWidth="1"/>
    <col min="11" max="11" width="30.42578125" bestFit="1" customWidth="1"/>
    <col min="12" max="12" width="26.85546875" bestFit="1" customWidth="1"/>
    <col min="13" max="13" width="18" bestFit="1" customWidth="1"/>
    <col min="14" max="15" width="18.28515625" bestFit="1" customWidth="1"/>
    <col min="16" max="16" width="18" bestFit="1" customWidth="1"/>
    <col min="17" max="18" width="18.28515625" bestFit="1" customWidth="1"/>
    <col min="23" max="23" width="10.5703125" bestFit="1" customWidth="1"/>
  </cols>
  <sheetData>
    <row r="1" spans="1:15" x14ac:dyDescent="0.25">
      <c r="A1" s="9" t="s">
        <v>66</v>
      </c>
      <c r="B1" s="9" t="s">
        <v>83</v>
      </c>
      <c r="C1" s="9" t="s">
        <v>84</v>
      </c>
      <c r="D1" s="9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77</v>
      </c>
      <c r="K1" t="s">
        <v>78</v>
      </c>
      <c r="L1" t="s">
        <v>79</v>
      </c>
      <c r="M1" t="s">
        <v>77</v>
      </c>
      <c r="N1" t="s">
        <v>78</v>
      </c>
      <c r="O1" t="s">
        <v>79</v>
      </c>
    </row>
    <row r="2" spans="1:15" x14ac:dyDescent="0.25">
      <c r="A2" s="2">
        <v>45499</v>
      </c>
    </row>
    <row r="3" spans="1:15" x14ac:dyDescent="0.25">
      <c r="A3" s="2">
        <v>45497</v>
      </c>
      <c r="B3">
        <v>212504</v>
      </c>
      <c r="C3">
        <v>333702</v>
      </c>
      <c r="D3">
        <v>742357</v>
      </c>
      <c r="F3">
        <f>IFERROR((C3+B3)/(B3+C3+D3),"")</f>
        <v>0.42388769505255081</v>
      </c>
      <c r="G3">
        <f>(F3-AVERAGE(F3:F260))/_xlfn.STDEV.S(F3:F260)</f>
        <v>1.4409449925170243</v>
      </c>
      <c r="H3">
        <f>IFERROR(C3/B3,"")</f>
        <v>1.5703327937356473</v>
      </c>
      <c r="I3">
        <f>IFERROR((H3-AVERAGE(H3:H130))/_xlfn.STDEV.S(H3:H130),"")</f>
        <v>1.8160242096739689</v>
      </c>
      <c r="J3" s="26">
        <f>AVERAGEA(F3:F23)-AVERAGE(F24:F44)</f>
        <v>-1.1664454311945349E-2</v>
      </c>
      <c r="K3" s="26">
        <f>AVERAGEA(F3:F23)-AVERAGE(F24:F79)</f>
        <v>8.4336209738602452E-3</v>
      </c>
      <c r="L3" s="26">
        <f>AVERAGEA(F3:F23)-AVERAGE(F24:F136)</f>
        <v>5.6536659038570025E-2</v>
      </c>
      <c r="M3" s="26">
        <f>AVERAGEA(H3:H23)-AVERAGE(H24:H44)</f>
        <v>0.21173608640815567</v>
      </c>
      <c r="N3" s="26">
        <f>AVERAGEA(H3:H23)-AVERAGE(H24:H79)</f>
        <v>0.21308602462396786</v>
      </c>
      <c r="O3" s="26">
        <f>AVERAGEA(H3:H23)-AVERAGE(H24:H136)</f>
        <v>0.27318794393833046</v>
      </c>
    </row>
    <row r="4" spans="1:15" x14ac:dyDescent="0.25">
      <c r="A4" s="2">
        <v>45496</v>
      </c>
      <c r="B4">
        <v>210329</v>
      </c>
      <c r="C4">
        <v>332927</v>
      </c>
      <c r="D4">
        <v>740525</v>
      </c>
      <c r="F4">
        <f t="shared" ref="F4:F67" si="0">IFERROR((C4+B4)/(B4+C4+D4),"")</f>
        <v>0.42316874918697195</v>
      </c>
      <c r="G4">
        <f t="shared" ref="G4:G67" si="1">(F4-AVERAGE(F4:F261))/_xlfn.STDEV.S(F4:F261)</f>
        <v>1.4429053448392051</v>
      </c>
      <c r="H4">
        <f t="shared" ref="H4:H67" si="2">IFERROR(C4/B4,"")</f>
        <v>1.5828868106632941</v>
      </c>
      <c r="I4">
        <f t="shared" ref="I4:I67" si="3">IFERROR((H4-AVERAGE(H4:H131))/_xlfn.STDEV.S(H4:H131),"")</f>
        <v>1.9296460607596091</v>
      </c>
      <c r="J4" s="26">
        <f>AVERAGEA(F4:F24)-AVERAGE(F25:F45)</f>
        <v>-1.2586739969110194E-2</v>
      </c>
      <c r="K4" s="26">
        <f t="shared" ref="K4:K67" si="4">AVERAGEA(F4:F24)-AVERAGE(F25:F80)</f>
        <v>8.3184760780745104E-3</v>
      </c>
      <c r="L4" s="26">
        <f t="shared" ref="L4:L67" si="5">AVERAGEA(F4:F24)-AVERAGE(F25:F137)</f>
        <v>5.733642646206033E-2</v>
      </c>
      <c r="M4" s="26">
        <f t="shared" ref="M4:M67" si="6">AVERAGEA(H4:H24)-AVERAGE(H25:H45)</f>
        <v>0.21964444307112574</v>
      </c>
      <c r="N4" s="26">
        <f t="shared" ref="N4:N67" si="7">AVERAGEA(H4:H24)-AVERAGE(H25:H80)</f>
        <v>0.2102223741711553</v>
      </c>
      <c r="O4" s="26">
        <f t="shared" ref="O4:O67" si="8">AVERAGEA(H4:H24)-AVERAGE(H25:H137)</f>
        <v>0.27258942779630813</v>
      </c>
    </row>
    <row r="5" spans="1:15" x14ac:dyDescent="0.25">
      <c r="A5" s="2">
        <v>45495</v>
      </c>
      <c r="B5">
        <v>209514</v>
      </c>
      <c r="C5">
        <v>329792</v>
      </c>
      <c r="D5">
        <v>737235</v>
      </c>
      <c r="F5">
        <f t="shared" si="0"/>
        <v>0.42247448378077945</v>
      </c>
      <c r="G5">
        <f t="shared" si="1"/>
        <v>1.4452367796532171</v>
      </c>
      <c r="H5">
        <f t="shared" si="2"/>
        <v>1.5740809683362449</v>
      </c>
      <c r="I5">
        <f t="shared" si="3"/>
        <v>1.8909643032754599</v>
      </c>
      <c r="J5" s="26">
        <f t="shared" ref="J5:J67" si="9">AVERAGEA(F5:F25)-AVERAGE(F26:F46)</f>
        <v>-1.5681208116409662E-2</v>
      </c>
      <c r="K5" s="26">
        <f t="shared" si="4"/>
        <v>6.8256115733671407E-3</v>
      </c>
      <c r="L5" s="26">
        <f t="shared" si="5"/>
        <v>5.6891730152388409E-2</v>
      </c>
      <c r="M5" s="26">
        <f t="shared" si="6"/>
        <v>0.22805328820720749</v>
      </c>
      <c r="N5" s="26">
        <f t="shared" si="7"/>
        <v>0.20820366401945378</v>
      </c>
      <c r="O5" s="26">
        <f t="shared" si="8"/>
        <v>0.2719753507083742</v>
      </c>
    </row>
    <row r="6" spans="1:15" x14ac:dyDescent="0.25">
      <c r="A6" s="2">
        <v>45492</v>
      </c>
      <c r="B6">
        <v>208254</v>
      </c>
      <c r="C6">
        <v>326942</v>
      </c>
      <c r="D6">
        <v>730973</v>
      </c>
      <c r="F6">
        <f t="shared" si="0"/>
        <v>0.4226892302686292</v>
      </c>
      <c r="G6">
        <f t="shared" si="1"/>
        <v>1.4614158656231191</v>
      </c>
      <c r="H6">
        <f t="shared" si="2"/>
        <v>1.5699194253171607</v>
      </c>
      <c r="I6">
        <f t="shared" si="3"/>
        <v>1.8828558399809283</v>
      </c>
      <c r="J6" s="26">
        <f t="shared" si="9"/>
        <v>-1.8664340148449476E-2</v>
      </c>
      <c r="K6" s="26">
        <f t="shared" si="4"/>
        <v>5.4599303546408184E-3</v>
      </c>
      <c r="L6" s="26">
        <f t="shared" si="5"/>
        <v>5.6603061563929857E-2</v>
      </c>
      <c r="M6" s="26">
        <f t="shared" si="6"/>
        <v>0.24002574127518517</v>
      </c>
      <c r="N6" s="26">
        <f t="shared" si="7"/>
        <v>0.20889103970252121</v>
      </c>
      <c r="O6" s="26">
        <f t="shared" si="8"/>
        <v>0.27360443803502443</v>
      </c>
    </row>
    <row r="7" spans="1:15" x14ac:dyDescent="0.25">
      <c r="A7" s="2">
        <v>45491</v>
      </c>
      <c r="B7">
        <v>208029</v>
      </c>
      <c r="C7">
        <v>323490</v>
      </c>
      <c r="D7">
        <v>729094</v>
      </c>
      <c r="F7">
        <f t="shared" si="0"/>
        <v>0.42163534724772789</v>
      </c>
      <c r="G7">
        <f t="shared" si="1"/>
        <v>1.458470131575748</v>
      </c>
      <c r="H7">
        <f t="shared" si="2"/>
        <v>1.5550235784433901</v>
      </c>
      <c r="I7">
        <f t="shared" si="3"/>
        <v>1.7962525247247576</v>
      </c>
      <c r="J7" s="26">
        <f t="shared" si="9"/>
        <v>-2.1341828845401367E-2</v>
      </c>
      <c r="K7" s="26">
        <f t="shared" si="4"/>
        <v>4.3472678987775404E-3</v>
      </c>
      <c r="L7" s="26">
        <f t="shared" si="5"/>
        <v>5.6465033943413845E-2</v>
      </c>
      <c r="M7" s="26">
        <f t="shared" si="6"/>
        <v>0.24956804261133492</v>
      </c>
      <c r="N7" s="26">
        <f t="shared" si="7"/>
        <v>0.20898832261872102</v>
      </c>
      <c r="O7" s="26">
        <f t="shared" si="8"/>
        <v>0.27536961300111007</v>
      </c>
    </row>
    <row r="8" spans="1:15" x14ac:dyDescent="0.25">
      <c r="A8" s="2">
        <v>45490</v>
      </c>
      <c r="B8">
        <v>207429</v>
      </c>
      <c r="C8">
        <v>323140</v>
      </c>
      <c r="D8">
        <v>726848</v>
      </c>
      <c r="F8">
        <f t="shared" si="0"/>
        <v>0.42195150852899238</v>
      </c>
      <c r="G8">
        <f t="shared" si="1"/>
        <v>1.476429992245113</v>
      </c>
      <c r="H8">
        <f t="shared" si="2"/>
        <v>1.557834246898939</v>
      </c>
      <c r="I8">
        <f t="shared" si="3"/>
        <v>1.8263215575721439</v>
      </c>
      <c r="J8" s="26">
        <f t="shared" si="9"/>
        <v>-2.4524688838401254E-2</v>
      </c>
      <c r="K8" s="26">
        <f t="shared" si="4"/>
        <v>2.8102741637485162E-3</v>
      </c>
      <c r="L8" s="26">
        <f t="shared" si="5"/>
        <v>5.5933726069933742E-2</v>
      </c>
      <c r="M8" s="26">
        <f t="shared" si="6"/>
        <v>0.2600604689006274</v>
      </c>
      <c r="N8" s="26">
        <f t="shared" si="7"/>
        <v>0.21010612714821053</v>
      </c>
      <c r="O8" s="26">
        <f t="shared" si="8"/>
        <v>0.2781582132107927</v>
      </c>
    </row>
    <row r="9" spans="1:15" x14ac:dyDescent="0.25">
      <c r="A9" s="2">
        <v>45489</v>
      </c>
      <c r="B9">
        <v>204029</v>
      </c>
      <c r="C9">
        <v>322315</v>
      </c>
      <c r="D9">
        <v>723823</v>
      </c>
      <c r="F9">
        <f t="shared" si="0"/>
        <v>0.42101895186803046</v>
      </c>
      <c r="G9">
        <f t="shared" si="1"/>
        <v>1.475477540151801</v>
      </c>
      <c r="H9">
        <f t="shared" si="2"/>
        <v>1.5797509177616906</v>
      </c>
      <c r="I9">
        <f t="shared" si="3"/>
        <v>1.9902604281980596</v>
      </c>
      <c r="J9" s="26">
        <f t="shared" si="9"/>
        <v>-2.1063718979479229E-2</v>
      </c>
      <c r="K9" s="26">
        <f t="shared" si="4"/>
        <v>5.6205210365128377E-3</v>
      </c>
      <c r="L9" s="26">
        <f t="shared" si="5"/>
        <v>5.9137066334253141E-2</v>
      </c>
      <c r="M9" s="26">
        <f t="shared" si="6"/>
        <v>0.24216535211746915</v>
      </c>
      <c r="N9" s="26">
        <f t="shared" si="7"/>
        <v>0.19113623797965174</v>
      </c>
      <c r="O9" s="26">
        <f t="shared" si="8"/>
        <v>0.26419256432680793</v>
      </c>
    </row>
    <row r="10" spans="1:15" x14ac:dyDescent="0.25">
      <c r="A10" s="2">
        <v>45488</v>
      </c>
      <c r="B10">
        <v>201469</v>
      </c>
      <c r="C10">
        <v>321540</v>
      </c>
      <c r="D10">
        <v>724115</v>
      </c>
      <c r="F10">
        <f t="shared" si="0"/>
        <v>0.41937209130768072</v>
      </c>
      <c r="G10">
        <f t="shared" si="1"/>
        <v>1.4634274571503838</v>
      </c>
      <c r="H10">
        <f t="shared" si="2"/>
        <v>1.5959775449324709</v>
      </c>
      <c r="I10">
        <f t="shared" si="3"/>
        <v>2.1172010317442069</v>
      </c>
      <c r="J10" s="26">
        <f t="shared" si="9"/>
        <v>-1.7753508762104686E-2</v>
      </c>
      <c r="K10" s="26">
        <f t="shared" si="4"/>
        <v>8.3009365741000818E-3</v>
      </c>
      <c r="L10" s="26">
        <f t="shared" si="5"/>
        <v>6.2267466671495408E-2</v>
      </c>
      <c r="M10" s="26">
        <f t="shared" si="6"/>
        <v>0.22924351287192768</v>
      </c>
      <c r="N10" s="26">
        <f t="shared" si="7"/>
        <v>0.17605779908549635</v>
      </c>
      <c r="O10" s="26">
        <f t="shared" si="8"/>
        <v>0.25342443126287462</v>
      </c>
    </row>
    <row r="11" spans="1:15" x14ac:dyDescent="0.25">
      <c r="A11" s="2">
        <v>45485</v>
      </c>
      <c r="B11">
        <v>201294</v>
      </c>
      <c r="C11">
        <v>319315</v>
      </c>
      <c r="D11">
        <v>723766</v>
      </c>
      <c r="F11">
        <f t="shared" si="0"/>
        <v>0.41836986438975388</v>
      </c>
      <c r="G11">
        <f t="shared" si="1"/>
        <v>1.4610795480492296</v>
      </c>
      <c r="H11">
        <f t="shared" si="2"/>
        <v>1.5863115641797569</v>
      </c>
      <c r="I11">
        <f t="shared" si="3"/>
        <v>2.0735382529128028</v>
      </c>
      <c r="J11" s="26">
        <f t="shared" si="9"/>
        <v>-1.4346142994261513E-2</v>
      </c>
      <c r="K11" s="26">
        <f t="shared" si="4"/>
        <v>1.1062970930973526E-2</v>
      </c>
      <c r="L11" s="26">
        <f t="shared" si="5"/>
        <v>6.554134963965802E-2</v>
      </c>
      <c r="M11" s="26">
        <f t="shared" si="6"/>
        <v>0.21447643492505453</v>
      </c>
      <c r="N11" s="26">
        <f t="shared" si="7"/>
        <v>0.15973368626595441</v>
      </c>
      <c r="O11" s="26">
        <f t="shared" si="8"/>
        <v>0.24144029947445844</v>
      </c>
    </row>
    <row r="12" spans="1:15" x14ac:dyDescent="0.25">
      <c r="A12" s="2">
        <v>45484</v>
      </c>
      <c r="B12">
        <v>199844</v>
      </c>
      <c r="C12">
        <v>317865</v>
      </c>
      <c r="D12">
        <v>723242</v>
      </c>
      <c r="F12">
        <f t="shared" si="0"/>
        <v>0.41718730231894735</v>
      </c>
      <c r="G12">
        <f t="shared" si="1"/>
        <v>1.4558162219159529</v>
      </c>
      <c r="H12">
        <f t="shared" si="2"/>
        <v>1.5905656412001361</v>
      </c>
      <c r="I12">
        <f t="shared" si="3"/>
        <v>2.127859352342973</v>
      </c>
      <c r="J12" s="26">
        <f t="shared" si="9"/>
        <v>-1.0150721726423617E-2</v>
      </c>
      <c r="K12" s="26">
        <f t="shared" si="4"/>
        <v>1.4267388345290288E-2</v>
      </c>
      <c r="L12" s="26">
        <f t="shared" si="5"/>
        <v>6.9194172921389407E-2</v>
      </c>
      <c r="M12" s="26">
        <f t="shared" si="6"/>
        <v>0.19812767673429543</v>
      </c>
      <c r="N12" s="26">
        <f t="shared" si="7"/>
        <v>0.14343508641114133</v>
      </c>
      <c r="O12" s="26">
        <f t="shared" si="8"/>
        <v>0.22915458565545777</v>
      </c>
    </row>
    <row r="13" spans="1:15" x14ac:dyDescent="0.25">
      <c r="A13" s="2">
        <v>45483</v>
      </c>
      <c r="B13">
        <v>200994</v>
      </c>
      <c r="C13">
        <v>315643</v>
      </c>
      <c r="D13">
        <v>723249</v>
      </c>
      <c r="F13">
        <f t="shared" si="0"/>
        <v>0.41668104970940878</v>
      </c>
      <c r="G13">
        <f t="shared" si="1"/>
        <v>1.4607822935876678</v>
      </c>
      <c r="H13">
        <f t="shared" si="2"/>
        <v>1.5704100619919004</v>
      </c>
      <c r="I13">
        <f t="shared" si="3"/>
        <v>2.0185570465761011</v>
      </c>
      <c r="J13" s="26">
        <f t="shared" si="9"/>
        <v>-5.8189777182791613E-3</v>
      </c>
      <c r="K13" s="26">
        <f t="shared" si="4"/>
        <v>1.7438734852974147E-2</v>
      </c>
      <c r="L13" s="26">
        <f t="shared" si="5"/>
        <v>7.2843010629728533E-2</v>
      </c>
      <c r="M13" s="26">
        <f t="shared" si="6"/>
        <v>0.18261338685005191</v>
      </c>
      <c r="N13" s="26">
        <f t="shared" si="7"/>
        <v>0.12761730113325442</v>
      </c>
      <c r="O13" s="26">
        <f t="shared" si="8"/>
        <v>0.21717998413617701</v>
      </c>
    </row>
    <row r="14" spans="1:15" x14ac:dyDescent="0.25">
      <c r="A14" s="2">
        <v>45482</v>
      </c>
      <c r="B14">
        <v>200994</v>
      </c>
      <c r="C14">
        <v>313993</v>
      </c>
      <c r="D14">
        <v>717133</v>
      </c>
      <c r="F14">
        <f t="shared" si="0"/>
        <v>0.41796821738142387</v>
      </c>
      <c r="G14">
        <f t="shared" si="1"/>
        <v>1.4939730435370591</v>
      </c>
      <c r="H14">
        <f t="shared" si="2"/>
        <v>1.5622008617172651</v>
      </c>
      <c r="I14">
        <f t="shared" si="3"/>
        <v>1.9906219063555954</v>
      </c>
      <c r="J14" s="26">
        <f t="shared" si="9"/>
        <v>-1.6019507472780914E-3</v>
      </c>
      <c r="K14" s="26">
        <f t="shared" si="4"/>
        <v>2.0529008048245478E-2</v>
      </c>
      <c r="L14" s="26">
        <f t="shared" si="5"/>
        <v>7.6396706411168525E-2</v>
      </c>
      <c r="M14" s="26">
        <f t="shared" si="6"/>
        <v>0.16661079279806579</v>
      </c>
      <c r="N14" s="26">
        <f t="shared" si="7"/>
        <v>0.11180948936820401</v>
      </c>
      <c r="O14" s="26">
        <f t="shared" si="8"/>
        <v>0.20552737142499256</v>
      </c>
    </row>
    <row r="15" spans="1:15" x14ac:dyDescent="0.25">
      <c r="A15" s="2">
        <v>45481</v>
      </c>
      <c r="B15">
        <v>200609</v>
      </c>
      <c r="C15">
        <v>307793</v>
      </c>
      <c r="D15">
        <v>711567</v>
      </c>
      <c r="F15">
        <f t="shared" si="0"/>
        <v>0.4167335399506053</v>
      </c>
      <c r="G15">
        <f t="shared" si="1"/>
        <v>1.4881450283623892</v>
      </c>
      <c r="H15">
        <f t="shared" si="2"/>
        <v>1.5342930775787726</v>
      </c>
      <c r="I15">
        <f t="shared" si="3"/>
        <v>1.8331045527949692</v>
      </c>
      <c r="J15" s="26">
        <f t="shared" si="9"/>
        <v>2.7315941380505193E-3</v>
      </c>
      <c r="K15" s="26">
        <f t="shared" si="4"/>
        <v>2.3922209531486105E-2</v>
      </c>
      <c r="L15" s="26">
        <f t="shared" si="5"/>
        <v>7.991557116883663E-2</v>
      </c>
      <c r="M15" s="26">
        <f t="shared" si="6"/>
        <v>0.15211929895459608</v>
      </c>
      <c r="N15" s="26">
        <f t="shared" si="7"/>
        <v>0.10050444504090716</v>
      </c>
      <c r="O15" s="26">
        <f t="shared" si="8"/>
        <v>0.19441834524070489</v>
      </c>
    </row>
    <row r="16" spans="1:15" x14ac:dyDescent="0.25">
      <c r="A16" s="2">
        <v>45478</v>
      </c>
      <c r="B16">
        <v>200849</v>
      </c>
      <c r="C16">
        <v>302593</v>
      </c>
      <c r="D16">
        <v>705531</v>
      </c>
      <c r="F16">
        <f t="shared" si="0"/>
        <v>0.41642121039923968</v>
      </c>
      <c r="G16">
        <f t="shared" si="1"/>
        <v>1.4967790339353304</v>
      </c>
      <c r="H16">
        <f t="shared" si="2"/>
        <v>1.5065696119970724</v>
      </c>
      <c r="I16">
        <f t="shared" si="3"/>
        <v>1.6722566809407975</v>
      </c>
      <c r="J16" s="26">
        <f t="shared" si="9"/>
        <v>7.1779396450717958E-3</v>
      </c>
      <c r="K16" s="26">
        <f t="shared" si="4"/>
        <v>2.7640590574982693E-2</v>
      </c>
      <c r="L16" s="26">
        <f t="shared" si="5"/>
        <v>8.3485562016570203E-2</v>
      </c>
      <c r="M16" s="26">
        <f t="shared" si="6"/>
        <v>0.13883740031122516</v>
      </c>
      <c r="N16" s="26">
        <f t="shared" si="7"/>
        <v>9.374523789680933E-2</v>
      </c>
      <c r="O16" s="26">
        <f t="shared" si="8"/>
        <v>0.1842073988547579</v>
      </c>
    </row>
    <row r="17" spans="1:15" x14ac:dyDescent="0.25">
      <c r="A17" s="2">
        <v>45477</v>
      </c>
      <c r="B17">
        <v>200874</v>
      </c>
      <c r="C17">
        <v>302143</v>
      </c>
      <c r="D17">
        <v>701552</v>
      </c>
      <c r="F17">
        <f t="shared" si="0"/>
        <v>0.41759085614854774</v>
      </c>
      <c r="G17">
        <f t="shared" si="1"/>
        <v>1.5290261021339364</v>
      </c>
      <c r="H17">
        <f t="shared" si="2"/>
        <v>1.5041418998974481</v>
      </c>
      <c r="I17">
        <f t="shared" si="3"/>
        <v>1.6835520296424815</v>
      </c>
      <c r="J17" s="26">
        <f t="shared" si="9"/>
        <v>1.1644767350225904E-2</v>
      </c>
      <c r="K17" s="26">
        <f t="shared" si="4"/>
        <v>3.1416378563774383E-2</v>
      </c>
      <c r="L17" s="26">
        <f t="shared" si="5"/>
        <v>8.7099709942606574E-2</v>
      </c>
      <c r="M17" s="26">
        <f t="shared" si="6"/>
        <v>0.12814749534570113</v>
      </c>
      <c r="N17" s="26">
        <f t="shared" si="7"/>
        <v>8.8929625346714225E-2</v>
      </c>
      <c r="O17" s="26">
        <f t="shared" si="8"/>
        <v>0.17597617798631915</v>
      </c>
    </row>
    <row r="18" spans="1:15" x14ac:dyDescent="0.25">
      <c r="A18" s="2">
        <v>45476</v>
      </c>
      <c r="B18">
        <v>201024</v>
      </c>
      <c r="C18">
        <v>297593</v>
      </c>
      <c r="D18">
        <v>700534</v>
      </c>
      <c r="F18">
        <f t="shared" si="0"/>
        <v>0.41580835107505226</v>
      </c>
      <c r="G18">
        <f t="shared" si="1"/>
        <v>1.5149202709428224</v>
      </c>
      <c r="H18">
        <f t="shared" si="2"/>
        <v>1.4803854266157275</v>
      </c>
      <c r="I18">
        <f t="shared" si="3"/>
        <v>1.5542795211274845</v>
      </c>
      <c r="J18" s="26">
        <f t="shared" si="9"/>
        <v>1.5815208448983042E-2</v>
      </c>
      <c r="K18" s="26">
        <f t="shared" si="4"/>
        <v>3.57796815100066E-2</v>
      </c>
      <c r="L18" s="26">
        <f t="shared" si="5"/>
        <v>9.053789333606338E-2</v>
      </c>
      <c r="M18" s="26">
        <f t="shared" si="6"/>
        <v>0.11582314167712959</v>
      </c>
      <c r="N18" s="26">
        <f t="shared" si="7"/>
        <v>8.1883811862030642E-2</v>
      </c>
      <c r="O18" s="26">
        <f t="shared" si="8"/>
        <v>0.16683392181150558</v>
      </c>
    </row>
    <row r="19" spans="1:15" x14ac:dyDescent="0.25">
      <c r="A19" s="2">
        <v>45475</v>
      </c>
      <c r="B19">
        <v>195249</v>
      </c>
      <c r="C19">
        <v>292018</v>
      </c>
      <c r="D19">
        <v>679908</v>
      </c>
      <c r="F19">
        <f t="shared" si="0"/>
        <v>0.41747552851971642</v>
      </c>
      <c r="G19">
        <f t="shared" si="1"/>
        <v>1.5555526253543974</v>
      </c>
      <c r="H19">
        <f t="shared" si="2"/>
        <v>1.495618415459234</v>
      </c>
      <c r="I19">
        <f t="shared" si="3"/>
        <v>1.6889770277434852</v>
      </c>
      <c r="J19" s="26">
        <f t="shared" si="9"/>
        <v>2.0030555258823524E-2</v>
      </c>
      <c r="K19" s="26">
        <f t="shared" si="4"/>
        <v>4.0302656305627016E-2</v>
      </c>
      <c r="L19" s="26">
        <f t="shared" si="5"/>
        <v>9.4016964047147822E-2</v>
      </c>
      <c r="M19" s="26">
        <f t="shared" si="6"/>
        <v>0.10475938885855807</v>
      </c>
      <c r="N19" s="26">
        <f t="shared" si="7"/>
        <v>7.6106659794648035E-2</v>
      </c>
      <c r="O19" s="26">
        <f t="shared" si="8"/>
        <v>0.15901054530438152</v>
      </c>
    </row>
    <row r="20" spans="1:15" x14ac:dyDescent="0.25">
      <c r="A20" s="2">
        <v>45474</v>
      </c>
      <c r="B20">
        <v>197874</v>
      </c>
      <c r="C20">
        <v>289981</v>
      </c>
      <c r="D20">
        <v>674463</v>
      </c>
      <c r="F20">
        <f t="shared" si="0"/>
        <v>0.41972592698383748</v>
      </c>
      <c r="G20">
        <f t="shared" si="1"/>
        <v>1.6063437968172645</v>
      </c>
      <c r="H20">
        <f t="shared" si="2"/>
        <v>1.4654830851956295</v>
      </c>
      <c r="I20">
        <f t="shared" si="3"/>
        <v>1.5144530801754323</v>
      </c>
      <c r="J20" s="26">
        <f t="shared" si="9"/>
        <v>2.3479656538383242E-2</v>
      </c>
      <c r="K20" s="26">
        <f t="shared" si="4"/>
        <v>4.4311610414727753E-2</v>
      </c>
      <c r="L20" s="26">
        <f t="shared" si="5"/>
        <v>9.7045494792638964E-2</v>
      </c>
      <c r="M20" s="26">
        <f t="shared" si="6"/>
        <v>8.8225040060802451E-2</v>
      </c>
      <c r="N20" s="26">
        <f t="shared" si="7"/>
        <v>6.618726830319055E-2</v>
      </c>
      <c r="O20" s="26">
        <f t="shared" si="8"/>
        <v>0.14763185277770696</v>
      </c>
    </row>
    <row r="21" spans="1:15" x14ac:dyDescent="0.25">
      <c r="A21" s="2">
        <v>45471</v>
      </c>
      <c r="B21">
        <v>197574</v>
      </c>
      <c r="C21">
        <v>286766</v>
      </c>
      <c r="D21">
        <v>673532</v>
      </c>
      <c r="F21">
        <f t="shared" si="0"/>
        <v>0.41830185029087846</v>
      </c>
      <c r="G21">
        <f t="shared" si="1"/>
        <v>1.5990259373848541</v>
      </c>
      <c r="H21">
        <f t="shared" si="2"/>
        <v>1.4514359176814764</v>
      </c>
      <c r="I21">
        <f t="shared" si="3"/>
        <v>1.4431696876220623</v>
      </c>
      <c r="J21" s="26">
        <f t="shared" si="9"/>
        <v>2.5898928108837649E-2</v>
      </c>
      <c r="K21" s="26">
        <f t="shared" si="4"/>
        <v>4.7759294176248246E-2</v>
      </c>
      <c r="L21" s="26">
        <f t="shared" si="5"/>
        <v>9.9517071079520569E-2</v>
      </c>
      <c r="M21" s="26">
        <f t="shared" si="6"/>
        <v>7.2557022292679685E-2</v>
      </c>
      <c r="N21" s="26">
        <f t="shared" si="7"/>
        <v>5.7649097821164785E-2</v>
      </c>
      <c r="O21" s="26">
        <f t="shared" si="8"/>
        <v>0.13668735174435298</v>
      </c>
    </row>
    <row r="22" spans="1:15" x14ac:dyDescent="0.25">
      <c r="A22" s="2">
        <v>45470</v>
      </c>
      <c r="B22">
        <v>197239</v>
      </c>
      <c r="C22">
        <v>288729</v>
      </c>
      <c r="D22">
        <v>673433</v>
      </c>
      <c r="F22">
        <f t="shared" si="0"/>
        <v>0.41915437368089209</v>
      </c>
      <c r="G22">
        <f t="shared" si="1"/>
        <v>1.6282930477278463</v>
      </c>
      <c r="H22">
        <f t="shared" si="2"/>
        <v>1.4638534975334492</v>
      </c>
      <c r="I22">
        <f t="shared" si="3"/>
        <v>1.5520719289529319</v>
      </c>
      <c r="J22" s="26">
        <f t="shared" si="9"/>
        <v>2.8304650515164675E-2</v>
      </c>
      <c r="K22" s="26">
        <f t="shared" si="4"/>
        <v>4.9811854651358123E-2</v>
      </c>
      <c r="L22" s="26">
        <f t="shared" si="5"/>
        <v>0.10197880481202087</v>
      </c>
      <c r="M22" s="26">
        <f t="shared" si="6"/>
        <v>5.9034323622686236E-2</v>
      </c>
      <c r="N22" s="26">
        <f t="shared" si="7"/>
        <v>4.8340734835992327E-2</v>
      </c>
      <c r="O22" s="26">
        <f t="shared" si="8"/>
        <v>0.12624648436728236</v>
      </c>
    </row>
    <row r="23" spans="1:15" x14ac:dyDescent="0.25">
      <c r="A23" s="2">
        <v>45469</v>
      </c>
      <c r="B23">
        <v>193904</v>
      </c>
      <c r="C23">
        <v>285504</v>
      </c>
      <c r="D23">
        <v>668793</v>
      </c>
      <c r="F23">
        <f t="shared" si="0"/>
        <v>0.41752968339167096</v>
      </c>
      <c r="G23">
        <f t="shared" si="1"/>
        <v>1.6179224210813514</v>
      </c>
      <c r="H23">
        <f t="shared" si="2"/>
        <v>1.4723987127650797</v>
      </c>
      <c r="I23">
        <f t="shared" si="3"/>
        <v>1.6378414167806152</v>
      </c>
      <c r="J23" s="26">
        <f t="shared" si="9"/>
        <v>2.9760520330071705E-2</v>
      </c>
      <c r="K23" s="26">
        <f t="shared" si="4"/>
        <v>5.1252997243340592E-2</v>
      </c>
      <c r="L23" s="26">
        <f t="shared" si="5"/>
        <v>0.10444766023179736</v>
      </c>
      <c r="M23" s="26">
        <f t="shared" si="6"/>
        <v>3.7193950599594627E-2</v>
      </c>
      <c r="N23" s="26">
        <f t="shared" si="7"/>
        <v>3.2859534859469131E-2</v>
      </c>
      <c r="O23" s="26">
        <f t="shared" si="8"/>
        <v>0.11042399198073438</v>
      </c>
    </row>
    <row r="24" spans="1:15" x14ac:dyDescent="0.25">
      <c r="A24" s="2">
        <v>45468</v>
      </c>
      <c r="B24">
        <v>189904</v>
      </c>
      <c r="C24">
        <v>276854</v>
      </c>
      <c r="D24">
        <v>667284</v>
      </c>
      <c r="F24">
        <f t="shared" si="0"/>
        <v>0.41158793060574478</v>
      </c>
      <c r="G24">
        <f t="shared" si="1"/>
        <v>1.5366649248067845</v>
      </c>
      <c r="H24">
        <f t="shared" si="2"/>
        <v>1.4578629202123179</v>
      </c>
      <c r="I24">
        <f t="shared" si="3"/>
        <v>1.559362309667762</v>
      </c>
      <c r="J24" s="26">
        <f t="shared" si="9"/>
        <v>3.1370457276955144E-2</v>
      </c>
      <c r="K24" s="26">
        <f t="shared" si="4"/>
        <v>5.2680559082726008E-2</v>
      </c>
      <c r="L24" s="26">
        <f t="shared" si="5"/>
        <v>0.10695960509108204</v>
      </c>
      <c r="M24" s="26">
        <f t="shared" si="6"/>
        <v>1.7045497080512284E-2</v>
      </c>
      <c r="N24" s="26">
        <f t="shared" si="7"/>
        <v>1.8096279291345496E-2</v>
      </c>
      <c r="O24" s="26">
        <f t="shared" si="8"/>
        <v>9.549306972155569E-2</v>
      </c>
    </row>
    <row r="25" spans="1:15" x14ac:dyDescent="0.25">
      <c r="A25" s="2">
        <v>45467</v>
      </c>
      <c r="B25">
        <v>187779</v>
      </c>
      <c r="C25">
        <v>275854</v>
      </c>
      <c r="D25">
        <v>729854</v>
      </c>
      <c r="F25">
        <f t="shared" si="0"/>
        <v>0.38846925018873268</v>
      </c>
      <c r="G25">
        <f t="shared" si="1"/>
        <v>1.1728829301194741</v>
      </c>
      <c r="H25">
        <f t="shared" si="2"/>
        <v>1.4690354086452693</v>
      </c>
      <c r="I25">
        <f t="shared" si="3"/>
        <v>1.6636963699878622</v>
      </c>
      <c r="J25" s="26">
        <f t="shared" si="9"/>
        <v>3.3202365078031593E-2</v>
      </c>
      <c r="K25" s="26">
        <f t="shared" si="4"/>
        <v>5.4303211174174415E-2</v>
      </c>
      <c r="L25" s="26">
        <f t="shared" si="5"/>
        <v>0.10972601711718361</v>
      </c>
      <c r="M25" s="26">
        <f t="shared" si="6"/>
        <v>-2.6884965089777335E-3</v>
      </c>
      <c r="N25" s="26">
        <f t="shared" si="7"/>
        <v>4.0304618256601366E-3</v>
      </c>
      <c r="O25" s="26">
        <f t="shared" si="8"/>
        <v>8.084620730944847E-2</v>
      </c>
    </row>
    <row r="26" spans="1:15" x14ac:dyDescent="0.25">
      <c r="A26" s="2">
        <v>45464</v>
      </c>
      <c r="B26">
        <v>184278</v>
      </c>
      <c r="C26">
        <v>277029</v>
      </c>
      <c r="D26">
        <v>721088</v>
      </c>
      <c r="F26">
        <f t="shared" si="0"/>
        <v>0.39014627091623355</v>
      </c>
      <c r="G26">
        <f t="shared" si="1"/>
        <v>1.2096950078397484</v>
      </c>
      <c r="H26">
        <f t="shared" si="2"/>
        <v>1.5033210692540617</v>
      </c>
      <c r="I26">
        <f t="shared" si="3"/>
        <v>1.9420463633046368</v>
      </c>
      <c r="J26" s="26">
        <f t="shared" si="9"/>
        <v>3.612153259961548E-2</v>
      </c>
      <c r="K26" s="26">
        <f t="shared" si="4"/>
        <v>5.7049286166152402E-2</v>
      </c>
      <c r="L26" s="26">
        <f t="shared" si="5"/>
        <v>0.11365363870879752</v>
      </c>
      <c r="M26" s="26">
        <f t="shared" si="6"/>
        <v>-2.3299755742062889E-2</v>
      </c>
      <c r="N26" s="26">
        <f t="shared" si="7"/>
        <v>-1.0750886631613055E-2</v>
      </c>
      <c r="O26" s="26">
        <f t="shared" si="8"/>
        <v>6.5734624029732069E-2</v>
      </c>
    </row>
    <row r="27" spans="1:15" x14ac:dyDescent="0.25">
      <c r="A27" s="2">
        <v>45463</v>
      </c>
      <c r="B27">
        <v>183703</v>
      </c>
      <c r="C27">
        <v>275804</v>
      </c>
      <c r="D27">
        <v>710955</v>
      </c>
      <c r="F27">
        <f t="shared" si="0"/>
        <v>0.39258600450078684</v>
      </c>
      <c r="G27">
        <f t="shared" si="1"/>
        <v>1.2594213426190919</v>
      </c>
      <c r="H27">
        <f t="shared" si="2"/>
        <v>1.5013581705252499</v>
      </c>
      <c r="I27">
        <f t="shared" si="3"/>
        <v>1.9667996627410567</v>
      </c>
      <c r="J27" s="26">
        <f t="shared" si="9"/>
        <v>3.8956523480028649E-2</v>
      </c>
      <c r="K27" s="26">
        <f t="shared" si="4"/>
        <v>5.9841302333905999E-2</v>
      </c>
      <c r="L27" s="26">
        <f t="shared" si="5"/>
        <v>0.11602686224095443</v>
      </c>
      <c r="M27" s="26">
        <f t="shared" si="6"/>
        <v>-4.5241688097015009E-2</v>
      </c>
      <c r="N27" s="26">
        <f t="shared" si="7"/>
        <v>-2.7244328651605976E-2</v>
      </c>
      <c r="O27" s="26">
        <f t="shared" si="8"/>
        <v>4.9726748223122286E-2</v>
      </c>
    </row>
    <row r="28" spans="1:15" x14ac:dyDescent="0.25">
      <c r="A28" s="2">
        <v>45462</v>
      </c>
      <c r="B28">
        <v>176408</v>
      </c>
      <c r="C28">
        <v>266264</v>
      </c>
      <c r="D28">
        <v>708286</v>
      </c>
      <c r="F28">
        <f t="shared" si="0"/>
        <v>0.38461177558173276</v>
      </c>
      <c r="G28">
        <f t="shared" si="1"/>
        <v>1.1360953801964231</v>
      </c>
      <c r="H28">
        <f t="shared" si="2"/>
        <v>1.5093646546641875</v>
      </c>
      <c r="I28">
        <f t="shared" si="3"/>
        <v>2.066536633662813</v>
      </c>
      <c r="J28" s="26">
        <f t="shared" si="9"/>
        <v>4.141505014312008E-2</v>
      </c>
      <c r="K28" s="26">
        <f t="shared" si="4"/>
        <v>6.2497380219023069E-2</v>
      </c>
      <c r="L28" s="26">
        <f t="shared" si="5"/>
        <v>0.11824501808427523</v>
      </c>
      <c r="M28" s="26">
        <f t="shared" si="6"/>
        <v>-6.2997192203664509E-2</v>
      </c>
      <c r="N28" s="26">
        <f t="shared" si="7"/>
        <v>-4.0352975025521376E-2</v>
      </c>
      <c r="O28" s="26">
        <f t="shared" si="8"/>
        <v>3.6987272389549242E-2</v>
      </c>
    </row>
    <row r="29" spans="1:15" x14ac:dyDescent="0.25">
      <c r="A29" s="2">
        <v>45461</v>
      </c>
      <c r="B29">
        <v>260028</v>
      </c>
      <c r="C29">
        <v>316916</v>
      </c>
      <c r="D29">
        <v>703936</v>
      </c>
      <c r="F29">
        <f t="shared" si="0"/>
        <v>0.45042783086627941</v>
      </c>
      <c r="G29">
        <f t="shared" si="1"/>
        <v>2.2264382002453948</v>
      </c>
      <c r="H29">
        <f t="shared" si="2"/>
        <v>1.2187764394603657</v>
      </c>
      <c r="I29">
        <f t="shared" si="3"/>
        <v>-0.12170421986992673</v>
      </c>
      <c r="J29" s="26">
        <f t="shared" si="9"/>
        <v>4.3812883883431297E-2</v>
      </c>
      <c r="K29" s="26">
        <f t="shared" si="4"/>
        <v>6.5223081459291621E-2</v>
      </c>
      <c r="L29" s="26">
        <f t="shared" si="5"/>
        <v>0.12064336235121642</v>
      </c>
      <c r="M29" s="26">
        <f t="shared" si="6"/>
        <v>-7.977087761508117E-2</v>
      </c>
      <c r="N29" s="26">
        <f t="shared" si="7"/>
        <v>-5.3205482726919273E-2</v>
      </c>
      <c r="O29" s="26">
        <f t="shared" si="8"/>
        <v>2.4916984669187014E-2</v>
      </c>
    </row>
    <row r="30" spans="1:15" x14ac:dyDescent="0.25">
      <c r="A30" s="2">
        <v>45460</v>
      </c>
      <c r="B30">
        <v>246603</v>
      </c>
      <c r="C30">
        <v>319141</v>
      </c>
      <c r="D30">
        <v>697737</v>
      </c>
      <c r="F30">
        <f t="shared" si="0"/>
        <v>0.44776613182153113</v>
      </c>
      <c r="G30">
        <f t="shared" si="1"/>
        <v>2.2111682492899782</v>
      </c>
      <c r="H30">
        <f t="shared" si="2"/>
        <v>1.294148895187812</v>
      </c>
      <c r="I30">
        <f t="shared" si="3"/>
        <v>0.45365451521279282</v>
      </c>
      <c r="J30" s="26">
        <f t="shared" si="9"/>
        <v>4.2006587278249075E-2</v>
      </c>
      <c r="K30" s="26">
        <f t="shared" si="4"/>
        <v>6.4256083150669885E-2</v>
      </c>
      <c r="L30" s="26">
        <f t="shared" si="5"/>
        <v>0.11944071911428039</v>
      </c>
      <c r="M30" s="26">
        <f t="shared" si="6"/>
        <v>-8.1621249375503302E-2</v>
      </c>
      <c r="N30" s="26">
        <f t="shared" si="7"/>
        <v>-5.1461476919330007E-2</v>
      </c>
      <c r="O30" s="26">
        <f t="shared" si="8"/>
        <v>2.7403033185201986E-2</v>
      </c>
    </row>
    <row r="31" spans="1:15" x14ac:dyDescent="0.25">
      <c r="A31" s="2">
        <v>45457</v>
      </c>
      <c r="B31">
        <v>246503</v>
      </c>
      <c r="C31">
        <v>318991</v>
      </c>
      <c r="D31">
        <v>697412</v>
      </c>
      <c r="F31">
        <f t="shared" si="0"/>
        <v>0.44777204320828312</v>
      </c>
      <c r="G31">
        <f t="shared" si="1"/>
        <v>2.239745952844896</v>
      </c>
      <c r="H31">
        <f t="shared" si="2"/>
        <v>1.2940653866281546</v>
      </c>
      <c r="I31">
        <f t="shared" si="3"/>
        <v>0.44984085569818777</v>
      </c>
      <c r="J31" s="26">
        <f t="shared" si="9"/>
        <v>4.0158197905378612E-2</v>
      </c>
      <c r="K31" s="26">
        <f t="shared" si="4"/>
        <v>6.3357642119838908E-2</v>
      </c>
      <c r="L31" s="26">
        <f t="shared" si="5"/>
        <v>0.11828927400695849</v>
      </c>
      <c r="M31" s="26">
        <f t="shared" si="6"/>
        <v>-8.4963576705526123E-2</v>
      </c>
      <c r="N31" s="26">
        <f t="shared" si="7"/>
        <v>-5.1796431176214464E-2</v>
      </c>
      <c r="O31" s="26">
        <f t="shared" si="8"/>
        <v>2.7745534353461609E-2</v>
      </c>
    </row>
    <row r="32" spans="1:15" x14ac:dyDescent="0.25">
      <c r="A32" s="2">
        <v>45456</v>
      </c>
      <c r="B32">
        <v>246828</v>
      </c>
      <c r="C32">
        <v>318461</v>
      </c>
      <c r="D32">
        <v>683959</v>
      </c>
      <c r="F32">
        <f t="shared" si="0"/>
        <v>0.45250342606111837</v>
      </c>
      <c r="G32">
        <f t="shared" si="1"/>
        <v>2.3493956392944226</v>
      </c>
      <c r="H32">
        <f t="shared" si="2"/>
        <v>1.2902142382549793</v>
      </c>
      <c r="I32">
        <f t="shared" si="3"/>
        <v>0.41815147885437171</v>
      </c>
      <c r="J32" s="26">
        <f t="shared" si="9"/>
        <v>3.82352528923387E-2</v>
      </c>
      <c r="K32" s="26">
        <f t="shared" si="4"/>
        <v>6.2442700226639336E-2</v>
      </c>
      <c r="L32" s="26">
        <f t="shared" si="5"/>
        <v>0.11712773935581183</v>
      </c>
      <c r="M32" s="26">
        <f t="shared" si="6"/>
        <v>-8.6361868526154906E-2</v>
      </c>
      <c r="N32" s="26">
        <f t="shared" si="7"/>
        <v>-5.0386778720789893E-2</v>
      </c>
      <c r="O32" s="26">
        <f t="shared" si="8"/>
        <v>2.9549055358002452E-2</v>
      </c>
    </row>
    <row r="33" spans="1:15" x14ac:dyDescent="0.25">
      <c r="A33" s="2">
        <v>45455</v>
      </c>
      <c r="B33">
        <v>241658</v>
      </c>
      <c r="C33">
        <v>316926</v>
      </c>
      <c r="D33">
        <v>681534</v>
      </c>
      <c r="F33">
        <f t="shared" si="0"/>
        <v>0.45042810442232112</v>
      </c>
      <c r="G33">
        <f t="shared" si="1"/>
        <v>2.3476889332149451</v>
      </c>
      <c r="H33">
        <f t="shared" si="2"/>
        <v>1.3114649628814274</v>
      </c>
      <c r="I33">
        <f t="shared" si="3"/>
        <v>0.58324469125891343</v>
      </c>
      <c r="J33" s="26">
        <f t="shared" si="9"/>
        <v>3.5173629874774737E-2</v>
      </c>
      <c r="K33" s="26">
        <f t="shared" si="4"/>
        <v>6.0975606804009541E-2</v>
      </c>
      <c r="L33" s="26">
        <f t="shared" si="5"/>
        <v>0.1154592078457416</v>
      </c>
      <c r="M33" s="26">
        <f t="shared" si="6"/>
        <v>-8.4720256481872758E-2</v>
      </c>
      <c r="N33" s="26">
        <f t="shared" si="7"/>
        <v>-4.6709968872322039E-2</v>
      </c>
      <c r="O33" s="26">
        <f t="shared" si="8"/>
        <v>3.2862284639022521E-2</v>
      </c>
    </row>
    <row r="34" spans="1:15" x14ac:dyDescent="0.25">
      <c r="A34" s="2">
        <v>45454</v>
      </c>
      <c r="B34">
        <v>240433</v>
      </c>
      <c r="C34">
        <v>313601</v>
      </c>
      <c r="D34">
        <v>680623</v>
      </c>
      <c r="F34">
        <f t="shared" si="0"/>
        <v>0.44873515478387926</v>
      </c>
      <c r="G34">
        <f t="shared" si="1"/>
        <v>2.3519591346355062</v>
      </c>
      <c r="H34">
        <f t="shared" si="2"/>
        <v>1.3043176269480479</v>
      </c>
      <c r="I34">
        <f t="shared" si="3"/>
        <v>0.53438182276450041</v>
      </c>
      <c r="J34" s="26">
        <f t="shared" si="9"/>
        <v>3.1793869818168841E-2</v>
      </c>
      <c r="K34" s="26">
        <f t="shared" si="4"/>
        <v>5.9327481353429801E-2</v>
      </c>
      <c r="L34" s="26">
        <f t="shared" si="5"/>
        <v>0.11355256715680956</v>
      </c>
      <c r="M34" s="26">
        <f t="shared" si="6"/>
        <v>-8.2992132543123542E-2</v>
      </c>
      <c r="N34" s="26">
        <f t="shared" si="7"/>
        <v>-4.3526734570202841E-2</v>
      </c>
      <c r="O34" s="26">
        <f t="shared" si="8"/>
        <v>3.6529455631948871E-2</v>
      </c>
    </row>
    <row r="35" spans="1:15" x14ac:dyDescent="0.25">
      <c r="A35" s="2">
        <v>45453</v>
      </c>
      <c r="B35">
        <v>238883</v>
      </c>
      <c r="C35">
        <v>313351</v>
      </c>
      <c r="D35">
        <v>675069</v>
      </c>
      <c r="F35">
        <f t="shared" si="0"/>
        <v>0.44995734549658883</v>
      </c>
      <c r="G35">
        <f t="shared" si="1"/>
        <v>2.4069842324829329</v>
      </c>
      <c r="H35">
        <f t="shared" si="2"/>
        <v>1.3117341962383258</v>
      </c>
      <c r="I35">
        <f t="shared" si="3"/>
        <v>0.59918836965708389</v>
      </c>
      <c r="J35" s="26">
        <f t="shared" si="9"/>
        <v>2.8542146706391491E-2</v>
      </c>
      <c r="K35" s="26">
        <f t="shared" si="4"/>
        <v>5.784269719143087E-2</v>
      </c>
      <c r="L35" s="26">
        <f t="shared" si="5"/>
        <v>0.11167561203305176</v>
      </c>
      <c r="M35" s="26">
        <f t="shared" si="6"/>
        <v>-7.9029485649662057E-2</v>
      </c>
      <c r="N35" s="26">
        <f t="shared" si="7"/>
        <v>-4.0349719462844158E-2</v>
      </c>
      <c r="O35" s="26">
        <f t="shared" si="8"/>
        <v>4.155064447977308E-2</v>
      </c>
    </row>
    <row r="36" spans="1:15" x14ac:dyDescent="0.25">
      <c r="A36" s="2">
        <v>45450</v>
      </c>
      <c r="B36">
        <v>238278</v>
      </c>
      <c r="C36">
        <v>313052</v>
      </c>
      <c r="D36">
        <v>674723</v>
      </c>
      <c r="F36">
        <f t="shared" si="0"/>
        <v>0.44967876592610595</v>
      </c>
      <c r="G36">
        <f t="shared" si="1"/>
        <v>2.4377686450436009</v>
      </c>
      <c r="H36">
        <f t="shared" si="2"/>
        <v>1.3138099195057873</v>
      </c>
      <c r="I36">
        <f t="shared" si="3"/>
        <v>0.62383930206286609</v>
      </c>
      <c r="J36" s="26">
        <f t="shared" si="9"/>
        <v>2.5413312938449006E-2</v>
      </c>
      <c r="K36" s="26">
        <f t="shared" si="4"/>
        <v>5.6275590078021631E-2</v>
      </c>
      <c r="L36" s="26">
        <f t="shared" si="5"/>
        <v>0.10966520373652944</v>
      </c>
      <c r="M36" s="26">
        <f t="shared" si="6"/>
        <v>-7.6872052270794633E-2</v>
      </c>
      <c r="N36" s="26">
        <f t="shared" si="7"/>
        <v>-3.7348344928516797E-2</v>
      </c>
      <c r="O36" s="26">
        <f t="shared" si="8"/>
        <v>4.601155686246039E-2</v>
      </c>
    </row>
    <row r="37" spans="1:15" x14ac:dyDescent="0.25">
      <c r="A37" s="2">
        <v>45449</v>
      </c>
      <c r="B37">
        <v>236253</v>
      </c>
      <c r="C37">
        <v>313151</v>
      </c>
      <c r="D37">
        <v>671255</v>
      </c>
      <c r="F37">
        <f t="shared" si="0"/>
        <v>0.45008802622190147</v>
      </c>
      <c r="G37">
        <f t="shared" si="1"/>
        <v>2.4821724147498352</v>
      </c>
      <c r="H37">
        <f t="shared" si="2"/>
        <v>1.3254900466872379</v>
      </c>
      <c r="I37">
        <f t="shared" si="3"/>
        <v>0.72284851364746749</v>
      </c>
      <c r="J37" s="26">
        <f t="shared" si="9"/>
        <v>2.212021382805307E-2</v>
      </c>
      <c r="K37" s="26">
        <f t="shared" si="4"/>
        <v>5.4687600883485843E-2</v>
      </c>
      <c r="L37" s="26">
        <f t="shared" si="5"/>
        <v>0.10758635945950573</v>
      </c>
      <c r="M37" s="26">
        <f t="shared" si="6"/>
        <v>-7.4226945088065488E-2</v>
      </c>
      <c r="N37" s="26">
        <f t="shared" si="7"/>
        <v>-3.4019959587594073E-2</v>
      </c>
      <c r="O37" s="26">
        <f t="shared" si="8"/>
        <v>5.0854485077412415E-2</v>
      </c>
    </row>
    <row r="38" spans="1:15" x14ac:dyDescent="0.25">
      <c r="A38" s="2">
        <v>45448</v>
      </c>
      <c r="B38">
        <v>235453</v>
      </c>
      <c r="C38">
        <v>308476</v>
      </c>
      <c r="D38">
        <v>671180</v>
      </c>
      <c r="F38">
        <f t="shared" si="0"/>
        <v>0.4476380308268641</v>
      </c>
      <c r="G38">
        <f t="shared" si="1"/>
        <v>2.4768854733958872</v>
      </c>
      <c r="H38">
        <f t="shared" si="2"/>
        <v>1.3101383290932798</v>
      </c>
      <c r="I38">
        <f t="shared" si="3"/>
        <v>0.61605456983299489</v>
      </c>
      <c r="J38" s="26">
        <f t="shared" si="9"/>
        <v>1.896481129498534E-2</v>
      </c>
      <c r="K38" s="26">
        <f t="shared" si="4"/>
        <v>5.3173016725706901E-2</v>
      </c>
      <c r="L38" s="26">
        <f t="shared" si="5"/>
        <v>0.1055650026642535</v>
      </c>
      <c r="M38" s="26">
        <f t="shared" si="6"/>
        <v>-7.2370596971727208E-2</v>
      </c>
      <c r="N38" s="26">
        <f t="shared" si="7"/>
        <v>-3.1275736719132752E-2</v>
      </c>
      <c r="O38" s="26">
        <f t="shared" si="8"/>
        <v>5.4990745114839479E-2</v>
      </c>
    </row>
    <row r="39" spans="1:15" x14ac:dyDescent="0.25">
      <c r="A39" s="2">
        <v>45447</v>
      </c>
      <c r="B39">
        <v>233253</v>
      </c>
      <c r="C39">
        <v>306401</v>
      </c>
      <c r="D39">
        <v>667915</v>
      </c>
      <c r="F39">
        <f t="shared" si="0"/>
        <v>0.44689288976447722</v>
      </c>
      <c r="G39">
        <f t="shared" si="1"/>
        <v>2.5019151384337643</v>
      </c>
      <c r="H39">
        <f t="shared" si="2"/>
        <v>1.3135993963636052</v>
      </c>
      <c r="I39">
        <f t="shared" si="3"/>
        <v>0.64919183187874774</v>
      </c>
      <c r="J39" s="26">
        <f t="shared" si="9"/>
        <v>1.6457058015180881E-2</v>
      </c>
      <c r="K39" s="26">
        <f t="shared" si="4"/>
        <v>5.1767938498357868E-2</v>
      </c>
      <c r="L39" s="26">
        <f t="shared" si="5"/>
        <v>0.1036806872064796</v>
      </c>
      <c r="M39" s="26">
        <f t="shared" si="6"/>
        <v>-6.6587437032489039E-2</v>
      </c>
      <c r="N39" s="26">
        <f t="shared" si="7"/>
        <v>-2.6320063096519908E-2</v>
      </c>
      <c r="O39" s="26">
        <f t="shared" si="8"/>
        <v>6.0452409106577454E-2</v>
      </c>
    </row>
    <row r="40" spans="1:15" x14ac:dyDescent="0.25">
      <c r="A40" s="2">
        <v>45446</v>
      </c>
      <c r="B40">
        <v>231518</v>
      </c>
      <c r="C40">
        <v>292721</v>
      </c>
      <c r="D40">
        <v>667198</v>
      </c>
      <c r="F40">
        <f t="shared" si="0"/>
        <v>0.44000564024786876</v>
      </c>
      <c r="G40">
        <f t="shared" si="1"/>
        <v>2.4136751963516296</v>
      </c>
      <c r="H40">
        <f t="shared" si="2"/>
        <v>1.2643552553149215</v>
      </c>
      <c r="I40">
        <f t="shared" si="3"/>
        <v>0.27769978556345631</v>
      </c>
      <c r="J40" s="26">
        <f t="shared" si="9"/>
        <v>1.4194188301196176E-2</v>
      </c>
      <c r="K40" s="26">
        <f t="shared" si="4"/>
        <v>5.0492209472327798E-2</v>
      </c>
      <c r="L40" s="26">
        <f t="shared" si="5"/>
        <v>0.10179632101872937</v>
      </c>
      <c r="M40" s="26">
        <f t="shared" si="6"/>
        <v>-5.8671936279462766E-2</v>
      </c>
      <c r="N40" s="26">
        <f t="shared" si="7"/>
        <v>-2.0106014569432284E-2</v>
      </c>
      <c r="O40" s="26">
        <f t="shared" si="8"/>
        <v>6.5973067934266494E-2</v>
      </c>
    </row>
    <row r="41" spans="1:15" x14ac:dyDescent="0.25">
      <c r="A41" s="2">
        <v>45443</v>
      </c>
      <c r="B41">
        <v>224703</v>
      </c>
      <c r="C41">
        <v>280071</v>
      </c>
      <c r="D41">
        <v>665914</v>
      </c>
      <c r="F41">
        <f t="shared" si="0"/>
        <v>0.43117722228296523</v>
      </c>
      <c r="G41">
        <f t="shared" si="1"/>
        <v>2.2838762242415496</v>
      </c>
      <c r="H41">
        <f t="shared" si="2"/>
        <v>1.2464052549365161</v>
      </c>
      <c r="I41">
        <f t="shared" si="3"/>
        <v>0.14420553619003351</v>
      </c>
      <c r="J41" s="26">
        <f t="shared" si="9"/>
        <v>1.2279319655317478E-2</v>
      </c>
      <c r="K41" s="26">
        <f t="shared" si="4"/>
        <v>4.9592597240313507E-2</v>
      </c>
      <c r="L41" s="26">
        <f t="shared" si="5"/>
        <v>0.100270005388849</v>
      </c>
      <c r="M41" s="26">
        <f t="shared" si="6"/>
        <v>-4.8189240196182537E-2</v>
      </c>
      <c r="N41" s="26">
        <f t="shared" si="7"/>
        <v>-1.1457922489348071E-2</v>
      </c>
      <c r="O41" s="26">
        <f t="shared" si="8"/>
        <v>7.406353786414277E-2</v>
      </c>
    </row>
    <row r="42" spans="1:15" x14ac:dyDescent="0.25">
      <c r="A42" s="2">
        <v>45442</v>
      </c>
      <c r="B42">
        <v>222803</v>
      </c>
      <c r="C42">
        <v>277396</v>
      </c>
      <c r="D42">
        <v>664552</v>
      </c>
      <c r="F42">
        <f t="shared" si="0"/>
        <v>0.42944715222395174</v>
      </c>
      <c r="G42">
        <f t="shared" si="1"/>
        <v>2.2820037289302135</v>
      </c>
      <c r="H42">
        <f t="shared" si="2"/>
        <v>1.2450281190109649</v>
      </c>
      <c r="I42">
        <f t="shared" si="3"/>
        <v>0.13914299044937842</v>
      </c>
      <c r="J42" s="26">
        <f t="shared" si="9"/>
        <v>1.1224585065186143E-2</v>
      </c>
      <c r="K42" s="26">
        <f t="shared" si="4"/>
        <v>4.9526889020529763E-2</v>
      </c>
      <c r="L42" s="26">
        <f t="shared" si="5"/>
        <v>9.9262456156841594E-2</v>
      </c>
      <c r="M42" s="26">
        <f t="shared" si="6"/>
        <v>-4.0892762756191026E-2</v>
      </c>
      <c r="N42" s="26">
        <f t="shared" si="7"/>
        <v>-2.6233624080931328E-3</v>
      </c>
      <c r="O42" s="26">
        <f t="shared" si="8"/>
        <v>8.1861343433102363E-2</v>
      </c>
    </row>
    <row r="43" spans="1:15" x14ac:dyDescent="0.25">
      <c r="A43" s="2">
        <v>45441</v>
      </c>
      <c r="B43">
        <v>221873</v>
      </c>
      <c r="C43">
        <v>257748</v>
      </c>
      <c r="D43">
        <v>660892</v>
      </c>
      <c r="F43">
        <f t="shared" si="0"/>
        <v>0.42053093651716378</v>
      </c>
      <c r="G43">
        <f t="shared" si="1"/>
        <v>2.1424156636643428</v>
      </c>
      <c r="H43">
        <f t="shared" si="2"/>
        <v>1.1616915983468019</v>
      </c>
      <c r="I43">
        <f t="shared" si="3"/>
        <v>-0.49507476385169269</v>
      </c>
      <c r="J43" s="26">
        <f t="shared" si="9"/>
        <v>1.021237148059867E-2</v>
      </c>
      <c r="K43" s="26">
        <f t="shared" si="4"/>
        <v>4.956630208211199E-2</v>
      </c>
      <c r="L43" s="26">
        <f t="shared" si="5"/>
        <v>9.8246893691050996E-2</v>
      </c>
      <c r="M43" s="26">
        <f t="shared" si="6"/>
        <v>-3.7313934428820472E-2</v>
      </c>
      <c r="N43" s="26">
        <f t="shared" si="7"/>
        <v>5.1238806460021102E-3</v>
      </c>
      <c r="O43" s="26">
        <f t="shared" si="8"/>
        <v>8.805618664127346E-2</v>
      </c>
    </row>
    <row r="44" spans="1:15" x14ac:dyDescent="0.25">
      <c r="A44" s="2">
        <v>45440</v>
      </c>
      <c r="B44">
        <v>219273</v>
      </c>
      <c r="C44">
        <v>258048</v>
      </c>
      <c r="D44">
        <v>660107</v>
      </c>
      <c r="F44">
        <f t="shared" si="0"/>
        <v>0.41964941956765617</v>
      </c>
      <c r="G44">
        <f t="shared" si="1"/>
        <v>2.15191219794057</v>
      </c>
      <c r="H44">
        <f t="shared" si="2"/>
        <v>1.1768343571711974</v>
      </c>
      <c r="I44">
        <f t="shared" si="3"/>
        <v>-0.37676529548108151</v>
      </c>
      <c r="J44" s="26">
        <f t="shared" si="9"/>
        <v>9.8860221666003389E-3</v>
      </c>
      <c r="K44" s="26">
        <f t="shared" si="4"/>
        <v>5.0146315097546856E-2</v>
      </c>
      <c r="L44" s="26">
        <f t="shared" si="5"/>
        <v>9.7722105585201002E-2</v>
      </c>
      <c r="M44" s="26">
        <f t="shared" si="6"/>
        <v>-3.2660249323430257E-2</v>
      </c>
      <c r="N44" s="26">
        <f t="shared" si="7"/>
        <v>1.7058992211314017E-2</v>
      </c>
      <c r="O44" s="26">
        <f t="shared" si="8"/>
        <v>9.8012071654178357E-2</v>
      </c>
    </row>
    <row r="45" spans="1:15" x14ac:dyDescent="0.25">
      <c r="A45" s="2">
        <v>45439</v>
      </c>
      <c r="B45">
        <v>217073</v>
      </c>
      <c r="C45">
        <v>255998</v>
      </c>
      <c r="D45">
        <v>656904</v>
      </c>
      <c r="F45">
        <f t="shared" si="0"/>
        <v>0.41865616495940178</v>
      </c>
      <c r="G45">
        <f t="shared" si="1"/>
        <v>2.159317825822284</v>
      </c>
      <c r="H45">
        <f t="shared" si="2"/>
        <v>1.1793175567666176</v>
      </c>
      <c r="I45">
        <f t="shared" si="3"/>
        <v>-0.3525215793133053</v>
      </c>
      <c r="J45" s="26">
        <f t="shared" si="9"/>
        <v>9.2804443201505715E-3</v>
      </c>
      <c r="K45" s="26">
        <f t="shared" si="4"/>
        <v>5.0587320150893345E-2</v>
      </c>
      <c r="L45" s="26">
        <f t="shared" si="5"/>
        <v>9.7043525923707574E-2</v>
      </c>
      <c r="M45" s="26">
        <f t="shared" si="6"/>
        <v>-3.0040981987490278E-2</v>
      </c>
      <c r="N45" s="26">
        <f t="shared" si="7"/>
        <v>2.6970742400978853E-2</v>
      </c>
      <c r="O45" s="26">
        <f t="shared" si="8"/>
        <v>0.10650233102994888</v>
      </c>
    </row>
    <row r="46" spans="1:15" x14ac:dyDescent="0.25">
      <c r="A46" s="2">
        <v>45436</v>
      </c>
      <c r="B46">
        <v>216973</v>
      </c>
      <c r="C46">
        <v>255724</v>
      </c>
      <c r="D46">
        <v>656122</v>
      </c>
      <c r="F46">
        <f t="shared" si="0"/>
        <v>0.41875358228378506</v>
      </c>
      <c r="G46">
        <f t="shared" si="1"/>
        <v>2.1878962579570431</v>
      </c>
      <c r="H46">
        <f t="shared" si="2"/>
        <v>1.1785982587695243</v>
      </c>
      <c r="I46">
        <f t="shared" si="3"/>
        <v>-0.3528227688636042</v>
      </c>
      <c r="J46" s="26">
        <f t="shared" si="9"/>
        <v>8.662405354905589E-3</v>
      </c>
      <c r="K46" s="26">
        <f t="shared" si="4"/>
        <v>5.1076868280081344E-2</v>
      </c>
      <c r="L46" s="26">
        <f t="shared" si="5"/>
        <v>9.6388840084180916E-2</v>
      </c>
      <c r="M46" s="26">
        <f t="shared" si="6"/>
        <v>-2.7758222705451585E-2</v>
      </c>
      <c r="N46" s="26">
        <f t="shared" si="7"/>
        <v>3.6876856857820162E-2</v>
      </c>
      <c r="O46" s="26">
        <f t="shared" si="8"/>
        <v>0.11538700278688729</v>
      </c>
    </row>
    <row r="47" spans="1:15" x14ac:dyDescent="0.25">
      <c r="A47" s="2">
        <v>45435</v>
      </c>
      <c r="B47">
        <v>217048</v>
      </c>
      <c r="C47">
        <v>256364</v>
      </c>
      <c r="D47">
        <v>652516</v>
      </c>
      <c r="F47">
        <f t="shared" si="0"/>
        <v>0.42046383072452237</v>
      </c>
      <c r="G47">
        <f t="shared" si="1"/>
        <v>2.2489527326799359</v>
      </c>
      <c r="H47">
        <f t="shared" si="2"/>
        <v>1.1811396557443514</v>
      </c>
      <c r="I47">
        <f t="shared" si="3"/>
        <v>-0.32694284551374925</v>
      </c>
      <c r="J47" s="26">
        <f t="shared" si="9"/>
        <v>8.3118495732077413E-3</v>
      </c>
      <c r="K47" s="26">
        <f t="shared" si="4"/>
        <v>5.1655994625130042E-2</v>
      </c>
      <c r="L47" s="26">
        <f t="shared" si="5"/>
        <v>9.5781228088842707E-2</v>
      </c>
      <c r="M47" s="26">
        <f t="shared" si="6"/>
        <v>-2.5374704333267939E-2</v>
      </c>
      <c r="N47" s="26">
        <f t="shared" si="7"/>
        <v>4.7246943078509185E-2</v>
      </c>
      <c r="O47" s="26">
        <f t="shared" si="8"/>
        <v>0.12469926819627242</v>
      </c>
    </row>
    <row r="48" spans="1:15" x14ac:dyDescent="0.25">
      <c r="A48" s="2">
        <v>45434</v>
      </c>
      <c r="B48">
        <v>209463</v>
      </c>
      <c r="C48">
        <v>258144</v>
      </c>
      <c r="D48">
        <v>649173</v>
      </c>
      <c r="F48">
        <f t="shared" si="0"/>
        <v>0.41871004136893569</v>
      </c>
      <c r="G48">
        <f t="shared" si="1"/>
        <v>2.2429276552168589</v>
      </c>
      <c r="H48">
        <f t="shared" si="2"/>
        <v>1.2324085876741955</v>
      </c>
      <c r="I48">
        <f t="shared" si="3"/>
        <v>6.9493961614851482E-2</v>
      </c>
      <c r="J48" s="26">
        <f t="shared" si="9"/>
        <v>8.3382540698455077E-3</v>
      </c>
      <c r="K48" s="26">
        <f t="shared" si="4"/>
        <v>5.2369253745601974E-2</v>
      </c>
      <c r="L48" s="26">
        <f t="shared" si="5"/>
        <v>9.5291503270881872E-2</v>
      </c>
      <c r="M48" s="26">
        <f t="shared" si="6"/>
        <v>-2.5120155537726507E-2</v>
      </c>
      <c r="N48" s="26">
        <f t="shared" si="7"/>
        <v>5.7534747310193479E-2</v>
      </c>
      <c r="O48" s="26">
        <f t="shared" si="8"/>
        <v>0.13396650968613244</v>
      </c>
    </row>
    <row r="49" spans="1:15" x14ac:dyDescent="0.25">
      <c r="A49" s="2">
        <v>45433</v>
      </c>
      <c r="B49">
        <v>206813</v>
      </c>
      <c r="C49">
        <v>257144</v>
      </c>
      <c r="D49">
        <v>655554</v>
      </c>
      <c r="F49">
        <f t="shared" si="0"/>
        <v>0.41442826376873476</v>
      </c>
      <c r="G49">
        <f t="shared" si="1"/>
        <v>2.1861731486806288</v>
      </c>
      <c r="H49">
        <f t="shared" si="2"/>
        <v>1.2433647788098428</v>
      </c>
      <c r="I49">
        <f t="shared" si="3"/>
        <v>0.16257331471553688</v>
      </c>
      <c r="J49" s="26">
        <f t="shared" si="9"/>
        <v>8.6498029210257954E-3</v>
      </c>
      <c r="K49" s="26">
        <f t="shared" si="4"/>
        <v>5.3269523428944754E-2</v>
      </c>
      <c r="L49" s="26">
        <f t="shared" si="5"/>
        <v>9.4994123082221882E-2</v>
      </c>
      <c r="M49" s="26">
        <f t="shared" si="6"/>
        <v>-2.7012282421341238E-2</v>
      </c>
      <c r="N49" s="26">
        <f t="shared" si="7"/>
        <v>6.6268825138698917E-2</v>
      </c>
      <c r="O49" s="26">
        <f t="shared" si="8"/>
        <v>0.14167816747032869</v>
      </c>
    </row>
    <row r="50" spans="1:15" x14ac:dyDescent="0.25">
      <c r="A50" s="2">
        <v>45432</v>
      </c>
      <c r="B50">
        <v>202680</v>
      </c>
      <c r="C50">
        <v>254468</v>
      </c>
      <c r="D50">
        <v>668212</v>
      </c>
      <c r="F50">
        <f t="shared" si="0"/>
        <v>0.40622378616620458</v>
      </c>
      <c r="G50">
        <f t="shared" si="1"/>
        <v>2.0462641559841352</v>
      </c>
      <c r="H50">
        <f t="shared" si="2"/>
        <v>1.255516084468127</v>
      </c>
      <c r="I50">
        <f t="shared" si="3"/>
        <v>0.26408139265422459</v>
      </c>
      <c r="J50" s="26">
        <f t="shared" si="9"/>
        <v>9.9883657293172168E-3</v>
      </c>
      <c r="K50" s="26">
        <f t="shared" si="4"/>
        <v>5.4354297504647209E-2</v>
      </c>
      <c r="L50" s="26">
        <f t="shared" si="5"/>
        <v>9.4929069725305737E-2</v>
      </c>
      <c r="M50" s="26">
        <f t="shared" si="6"/>
        <v>-2.0395413670981855E-2</v>
      </c>
      <c r="N50" s="26">
        <f t="shared" si="7"/>
        <v>7.4065436507321225E-2</v>
      </c>
      <c r="O50" s="26">
        <f t="shared" si="8"/>
        <v>0.14852700807725849</v>
      </c>
    </row>
    <row r="51" spans="1:15" x14ac:dyDescent="0.25">
      <c r="A51" s="2">
        <v>45429</v>
      </c>
      <c r="B51">
        <v>198935</v>
      </c>
      <c r="C51">
        <v>254618</v>
      </c>
      <c r="D51">
        <v>666334</v>
      </c>
      <c r="F51">
        <f t="shared" si="0"/>
        <v>0.40499889721016497</v>
      </c>
      <c r="G51">
        <f t="shared" si="1"/>
        <v>2.0445465994562562</v>
      </c>
      <c r="H51">
        <f t="shared" si="2"/>
        <v>1.2799054967703019</v>
      </c>
      <c r="I51">
        <f t="shared" si="3"/>
        <v>0.45560409881195957</v>
      </c>
      <c r="J51" s="26">
        <f t="shared" si="9"/>
        <v>1.3053927194019266E-2</v>
      </c>
      <c r="K51" s="26">
        <f t="shared" si="4"/>
        <v>5.619900193841193E-2</v>
      </c>
      <c r="L51" s="26">
        <f t="shared" si="5"/>
        <v>9.5587378040936644E-2</v>
      </c>
      <c r="M51" s="26">
        <f t="shared" si="6"/>
        <v>-5.9982442880894826E-3</v>
      </c>
      <c r="N51" s="26">
        <f t="shared" si="7"/>
        <v>8.1436052328912822E-2</v>
      </c>
      <c r="O51" s="26">
        <f t="shared" si="8"/>
        <v>0.15476694229288657</v>
      </c>
    </row>
    <row r="52" spans="1:15" x14ac:dyDescent="0.25">
      <c r="A52" s="2">
        <v>45428</v>
      </c>
      <c r="B52">
        <v>195635</v>
      </c>
      <c r="C52">
        <v>254768</v>
      </c>
      <c r="D52">
        <v>662755</v>
      </c>
      <c r="F52">
        <f t="shared" si="0"/>
        <v>0.40461731398417833</v>
      </c>
      <c r="G52">
        <f t="shared" si="1"/>
        <v>2.0599107478299938</v>
      </c>
      <c r="H52">
        <f t="shared" si="2"/>
        <v>1.3022618652081683</v>
      </c>
      <c r="I52">
        <f t="shared" si="3"/>
        <v>0.63116734390534812</v>
      </c>
      <c r="J52" s="26">
        <f t="shared" si="9"/>
        <v>1.6324151349797145E-2</v>
      </c>
      <c r="K52" s="26">
        <f t="shared" si="4"/>
        <v>5.8233323630857814E-2</v>
      </c>
      <c r="L52" s="26">
        <f t="shared" si="5"/>
        <v>9.6399613569861597E-2</v>
      </c>
      <c r="M52" s="26">
        <f t="shared" si="6"/>
        <v>7.3118004323811103E-3</v>
      </c>
      <c r="N52" s="26">
        <f t="shared" si="7"/>
        <v>8.8645396895729034E-2</v>
      </c>
      <c r="O52" s="26">
        <f t="shared" si="8"/>
        <v>0.16048601125585948</v>
      </c>
    </row>
    <row r="53" spans="1:15" x14ac:dyDescent="0.25">
      <c r="A53" s="2">
        <v>45427</v>
      </c>
      <c r="B53">
        <v>186975</v>
      </c>
      <c r="C53">
        <v>250068</v>
      </c>
      <c r="D53">
        <v>659586</v>
      </c>
      <c r="F53">
        <f t="shared" si="0"/>
        <v>0.39853314110788607</v>
      </c>
      <c r="G53">
        <f t="shared" si="1"/>
        <v>1.955973584932897</v>
      </c>
      <c r="H53">
        <f t="shared" si="2"/>
        <v>1.3374408343361412</v>
      </c>
      <c r="I53">
        <f t="shared" si="3"/>
        <v>0.90060653025532766</v>
      </c>
      <c r="J53" s="26">
        <f t="shared" si="9"/>
        <v>2.1831421878540092E-2</v>
      </c>
      <c r="K53" s="26">
        <f t="shared" si="4"/>
        <v>6.0549280181490361E-2</v>
      </c>
      <c r="L53" s="26">
        <f t="shared" si="5"/>
        <v>9.7353174844418688E-2</v>
      </c>
      <c r="M53" s="26">
        <f t="shared" si="6"/>
        <v>1.6360469483658768E-2</v>
      </c>
      <c r="N53" s="26">
        <f t="shared" si="7"/>
        <v>9.6173795298491349E-2</v>
      </c>
      <c r="O53" s="26">
        <f t="shared" si="8"/>
        <v>0.16588116312568091</v>
      </c>
    </row>
    <row r="54" spans="1:15" x14ac:dyDescent="0.25">
      <c r="A54" s="2">
        <v>45426</v>
      </c>
      <c r="B54">
        <v>179775</v>
      </c>
      <c r="C54">
        <v>244164</v>
      </c>
      <c r="D54">
        <v>655604</v>
      </c>
      <c r="F54">
        <f t="shared" si="0"/>
        <v>0.39270228235466303</v>
      </c>
      <c r="G54">
        <f t="shared" si="1"/>
        <v>1.853509846000011</v>
      </c>
      <c r="H54">
        <f t="shared" si="2"/>
        <v>1.3581643721318315</v>
      </c>
      <c r="I54">
        <f t="shared" si="3"/>
        <v>1.065495885842612</v>
      </c>
      <c r="J54" s="26">
        <f t="shared" si="9"/>
        <v>2.8625818714615225E-2</v>
      </c>
      <c r="K54" s="26">
        <f t="shared" si="4"/>
        <v>6.3663311744993401E-2</v>
      </c>
      <c r="L54" s="26">
        <f t="shared" si="5"/>
        <v>9.9004479066126638E-2</v>
      </c>
      <c r="M54" s="26">
        <f t="shared" si="6"/>
        <v>2.4483762618924709E-2</v>
      </c>
      <c r="N54" s="26">
        <f t="shared" si="7"/>
        <v>0.1024751067902383</v>
      </c>
      <c r="O54" s="26">
        <f t="shared" si="8"/>
        <v>0.1701594155820414</v>
      </c>
    </row>
    <row r="55" spans="1:15" x14ac:dyDescent="0.25">
      <c r="A55" s="2">
        <v>45425</v>
      </c>
      <c r="B55">
        <v>177175</v>
      </c>
      <c r="C55">
        <v>243488</v>
      </c>
      <c r="D55">
        <v>651823</v>
      </c>
      <c r="F55">
        <f t="shared" si="0"/>
        <v>0.39223169346732734</v>
      </c>
      <c r="G55">
        <f t="shared" si="1"/>
        <v>1.8615175367870707</v>
      </c>
      <c r="H55">
        <f t="shared" si="2"/>
        <v>1.3742796669959081</v>
      </c>
      <c r="I55">
        <f t="shared" si="3"/>
        <v>1.1986559110749395</v>
      </c>
      <c r="J55" s="26">
        <f t="shared" si="9"/>
        <v>3.5464678358273605E-2</v>
      </c>
      <c r="K55" s="26">
        <f t="shared" si="4"/>
        <v>6.6867805049796947E-2</v>
      </c>
      <c r="L55" s="26">
        <f t="shared" si="5"/>
        <v>0.10075092254824053</v>
      </c>
      <c r="M55" s="26">
        <f t="shared" si="6"/>
        <v>3.2857218178614644E-2</v>
      </c>
      <c r="N55" s="26">
        <f t="shared" si="7"/>
        <v>0.10905960790942992</v>
      </c>
      <c r="O55" s="26">
        <f t="shared" si="8"/>
        <v>0.1745509814324735</v>
      </c>
    </row>
    <row r="56" spans="1:15" x14ac:dyDescent="0.25">
      <c r="A56" s="2">
        <v>45422</v>
      </c>
      <c r="B56">
        <v>176600</v>
      </c>
      <c r="C56">
        <v>241163</v>
      </c>
      <c r="D56">
        <v>650843</v>
      </c>
      <c r="F56">
        <f t="shared" si="0"/>
        <v>0.39094203101985203</v>
      </c>
      <c r="G56">
        <f t="shared" si="1"/>
        <v>1.8519507285316481</v>
      </c>
      <c r="H56">
        <f t="shared" si="2"/>
        <v>1.3655889014722538</v>
      </c>
      <c r="I56">
        <f t="shared" si="3"/>
        <v>1.1537876623864249</v>
      </c>
      <c r="J56" s="26">
        <f t="shared" si="9"/>
        <v>4.2471984188117096E-2</v>
      </c>
      <c r="K56" s="26">
        <f t="shared" si="4"/>
        <v>7.0003282098542507E-2</v>
      </c>
      <c r="L56" s="26">
        <f t="shared" si="5"/>
        <v>0.10236354613828175</v>
      </c>
      <c r="M56" s="26">
        <f t="shared" si="6"/>
        <v>4.2735185940229403E-2</v>
      </c>
      <c r="N56" s="26">
        <f t="shared" si="7"/>
        <v>0.1145894146989781</v>
      </c>
      <c r="O56" s="26">
        <f t="shared" si="8"/>
        <v>0.17785188719873091</v>
      </c>
    </row>
    <row r="57" spans="1:15" x14ac:dyDescent="0.25">
      <c r="A57" s="2">
        <v>45421</v>
      </c>
      <c r="B57">
        <v>174559</v>
      </c>
      <c r="C57">
        <v>239538</v>
      </c>
      <c r="D57">
        <v>649734</v>
      </c>
      <c r="F57">
        <f t="shared" si="0"/>
        <v>0.38925073625416068</v>
      </c>
      <c r="G57">
        <f t="shared" si="1"/>
        <v>1.8333191626106993</v>
      </c>
      <c r="H57">
        <f t="shared" si="2"/>
        <v>1.3722466329435892</v>
      </c>
      <c r="I57">
        <f t="shared" si="3"/>
        <v>1.2199254313962558</v>
      </c>
      <c r="J57" s="26">
        <f t="shared" si="9"/>
        <v>4.53337865475123E-2</v>
      </c>
      <c r="K57" s="26">
        <f t="shared" si="4"/>
        <v>7.2836649051268687E-2</v>
      </c>
      <c r="L57" s="26">
        <f t="shared" si="5"/>
        <v>0.10369614143285466</v>
      </c>
      <c r="M57" s="26">
        <f t="shared" si="6"/>
        <v>5.0678541192693327E-2</v>
      </c>
      <c r="N57" s="26">
        <f t="shared" si="7"/>
        <v>0.12167950730287003</v>
      </c>
      <c r="O57" s="26">
        <f t="shared" si="8"/>
        <v>0.18271248869811174</v>
      </c>
    </row>
    <row r="58" spans="1:15" x14ac:dyDescent="0.25">
      <c r="A58" s="2">
        <v>45420</v>
      </c>
      <c r="B58">
        <v>175059</v>
      </c>
      <c r="C58">
        <v>239638</v>
      </c>
      <c r="D58">
        <v>648761</v>
      </c>
      <c r="F58">
        <f t="shared" si="0"/>
        <v>0.38995146023632338</v>
      </c>
      <c r="G58">
        <f t="shared" si="1"/>
        <v>1.8657600670014378</v>
      </c>
      <c r="H58">
        <f t="shared" si="2"/>
        <v>1.3688984856534083</v>
      </c>
      <c r="I58">
        <f t="shared" si="3"/>
        <v>1.2132528179402429</v>
      </c>
      <c r="J58" s="26">
        <f t="shared" si="9"/>
        <v>4.8343646259449813E-2</v>
      </c>
      <c r="K58" s="26">
        <f t="shared" si="4"/>
        <v>7.5801774957125534E-2</v>
      </c>
      <c r="L58" s="26">
        <f t="shared" si="5"/>
        <v>0.10515087968670511</v>
      </c>
      <c r="M58" s="26">
        <f t="shared" si="6"/>
        <v>5.8066723364608164E-2</v>
      </c>
      <c r="N58" s="26">
        <f t="shared" si="7"/>
        <v>0.12879605528288152</v>
      </c>
      <c r="O58" s="26">
        <f t="shared" si="8"/>
        <v>0.1873432541331459</v>
      </c>
    </row>
    <row r="59" spans="1:15" x14ac:dyDescent="0.25">
      <c r="A59" s="2">
        <v>45419</v>
      </c>
      <c r="B59">
        <v>174209</v>
      </c>
      <c r="C59">
        <v>239528</v>
      </c>
      <c r="D59">
        <v>646839</v>
      </c>
      <c r="F59">
        <f t="shared" si="0"/>
        <v>0.3901059424312826</v>
      </c>
      <c r="G59">
        <f t="shared" si="1"/>
        <v>1.8872005423420901</v>
      </c>
      <c r="H59">
        <f t="shared" si="2"/>
        <v>1.3749461853291163</v>
      </c>
      <c r="I59">
        <f t="shared" si="3"/>
        <v>1.2705397530415943</v>
      </c>
      <c r="J59" s="26">
        <f t="shared" si="9"/>
        <v>5.1050629511321943E-2</v>
      </c>
      <c r="K59" s="26">
        <f t="shared" si="4"/>
        <v>7.8575848222225297E-2</v>
      </c>
      <c r="L59" s="26">
        <f t="shared" si="5"/>
        <v>0.10644142069193624</v>
      </c>
      <c r="M59" s="26">
        <f t="shared" si="6"/>
        <v>6.5797375204152297E-2</v>
      </c>
      <c r="N59" s="26">
        <f t="shared" si="7"/>
        <v>0.13676430950655294</v>
      </c>
      <c r="O59" s="26">
        <f t="shared" si="8"/>
        <v>0.19206360451976523</v>
      </c>
    </row>
    <row r="60" spans="1:15" x14ac:dyDescent="0.25">
      <c r="A60" s="2">
        <v>45418</v>
      </c>
      <c r="B60">
        <v>172229</v>
      </c>
      <c r="C60">
        <v>237530</v>
      </c>
      <c r="D60">
        <v>642375</v>
      </c>
      <c r="F60">
        <f t="shared" si="0"/>
        <v>0.3894551454472529</v>
      </c>
      <c r="G60">
        <f t="shared" si="1"/>
        <v>1.8913974932645981</v>
      </c>
      <c r="H60">
        <f t="shared" si="2"/>
        <v>1.3791521753014881</v>
      </c>
      <c r="I60">
        <f t="shared" si="3"/>
        <v>1.3157923161977809</v>
      </c>
      <c r="J60" s="26">
        <f t="shared" si="9"/>
        <v>5.2656873826109118E-2</v>
      </c>
      <c r="K60" s="26">
        <f t="shared" si="4"/>
        <v>8.0637728102760209E-2</v>
      </c>
      <c r="L60" s="26">
        <f t="shared" si="5"/>
        <v>0.10711363654801853</v>
      </c>
      <c r="M60" s="26">
        <f t="shared" si="6"/>
        <v>6.7580874316674588E-2</v>
      </c>
      <c r="N60" s="26">
        <f t="shared" si="7"/>
        <v>0.14097670676829099</v>
      </c>
      <c r="O60" s="26">
        <f t="shared" si="8"/>
        <v>0.19330480629847324</v>
      </c>
    </row>
    <row r="61" spans="1:15" x14ac:dyDescent="0.25">
      <c r="A61" s="2">
        <v>45415</v>
      </c>
      <c r="B61">
        <v>172229</v>
      </c>
      <c r="C61">
        <v>237730</v>
      </c>
      <c r="D61">
        <v>640936</v>
      </c>
      <c r="F61">
        <f t="shared" si="0"/>
        <v>0.39010462510526739</v>
      </c>
      <c r="G61">
        <f t="shared" si="1"/>
        <v>1.9245500270356537</v>
      </c>
      <c r="H61">
        <f t="shared" si="2"/>
        <v>1.3803134199234739</v>
      </c>
      <c r="I61">
        <f t="shared" si="3"/>
        <v>1.3398433003226378</v>
      </c>
      <c r="J61" s="26">
        <f t="shared" si="9"/>
        <v>5.379442540453816E-2</v>
      </c>
      <c r="K61" s="26">
        <f t="shared" si="4"/>
        <v>8.2388822494928737E-2</v>
      </c>
      <c r="L61" s="26">
        <f t="shared" si="5"/>
        <v>0.1075042971164506</v>
      </c>
      <c r="M61" s="26">
        <f t="shared" si="6"/>
        <v>6.5007159817087601E-2</v>
      </c>
      <c r="N61" s="26">
        <f t="shared" si="7"/>
        <v>0.14257882455788562</v>
      </c>
      <c r="O61" s="26">
        <f t="shared" si="8"/>
        <v>0.19217842679941821</v>
      </c>
    </row>
    <row r="62" spans="1:15" x14ac:dyDescent="0.25">
      <c r="A62" s="2">
        <v>45414</v>
      </c>
      <c r="B62">
        <v>170254</v>
      </c>
      <c r="C62">
        <v>230925</v>
      </c>
      <c r="D62">
        <v>622697</v>
      </c>
      <c r="F62">
        <f t="shared" si="0"/>
        <v>0.3918238146025495</v>
      </c>
      <c r="G62">
        <f t="shared" si="1"/>
        <v>1.9824526861668363</v>
      </c>
      <c r="H62">
        <f t="shared" si="2"/>
        <v>1.356355797807981</v>
      </c>
      <c r="I62">
        <f t="shared" si="3"/>
        <v>1.1875675796816016</v>
      </c>
      <c r="J62" s="26">
        <f t="shared" si="9"/>
        <v>5.5021536188404996E-2</v>
      </c>
      <c r="K62" s="26">
        <f t="shared" si="4"/>
        <v>8.422052857622303E-2</v>
      </c>
      <c r="L62" s="26">
        <f t="shared" si="5"/>
        <v>0.10789473471506977</v>
      </c>
      <c r="M62" s="26">
        <f t="shared" si="6"/>
        <v>6.149928080778988E-2</v>
      </c>
      <c r="N62" s="26">
        <f t="shared" si="7"/>
        <v>0.14387397833629278</v>
      </c>
      <c r="O62" s="26">
        <f t="shared" si="8"/>
        <v>0.19086410694795308</v>
      </c>
    </row>
    <row r="63" spans="1:15" x14ac:dyDescent="0.25">
      <c r="A63" s="2">
        <v>45413</v>
      </c>
      <c r="B63">
        <v>169704</v>
      </c>
      <c r="C63">
        <v>224450</v>
      </c>
      <c r="D63">
        <v>616310</v>
      </c>
      <c r="F63">
        <f t="shared" si="0"/>
        <v>0.3900722836241568</v>
      </c>
      <c r="G63">
        <f t="shared" si="1"/>
        <v>1.9644829346570625</v>
      </c>
      <c r="H63">
        <f t="shared" si="2"/>
        <v>1.3225969924103145</v>
      </c>
      <c r="I63">
        <f t="shared" si="3"/>
        <v>0.96462979778527735</v>
      </c>
      <c r="J63" s="26">
        <f t="shared" si="9"/>
        <v>5.5868301612680804E-2</v>
      </c>
      <c r="K63" s="26">
        <f t="shared" si="4"/>
        <v>8.5647908977196374E-2</v>
      </c>
      <c r="L63" s="26">
        <f t="shared" si="5"/>
        <v>0.107876174676032</v>
      </c>
      <c r="M63" s="26">
        <f t="shared" si="6"/>
        <v>6.2475991953534038E-2</v>
      </c>
      <c r="N63" s="26">
        <f t="shared" si="7"/>
        <v>0.14850255818552371</v>
      </c>
      <c r="O63" s="26">
        <f t="shared" si="8"/>
        <v>0.19285321031403524</v>
      </c>
    </row>
    <row r="64" spans="1:15" x14ac:dyDescent="0.25">
      <c r="A64" s="2">
        <v>45412</v>
      </c>
      <c r="B64">
        <v>169704</v>
      </c>
      <c r="C64">
        <v>223700</v>
      </c>
      <c r="D64">
        <v>611885</v>
      </c>
      <c r="F64">
        <f t="shared" si="0"/>
        <v>0.39133423324039157</v>
      </c>
      <c r="G64">
        <f t="shared" si="1"/>
        <v>2.0137553865496538</v>
      </c>
      <c r="H64">
        <f t="shared" si="2"/>
        <v>1.3181775326450762</v>
      </c>
      <c r="I64">
        <f t="shared" si="3"/>
        <v>0.94475923049874622</v>
      </c>
      <c r="J64" s="26">
        <f t="shared" si="9"/>
        <v>5.6465248636405008E-2</v>
      </c>
      <c r="K64" s="26">
        <f t="shared" si="4"/>
        <v>8.7030750230569054E-2</v>
      </c>
      <c r="L64" s="26">
        <f t="shared" si="5"/>
        <v>0.10777319840108601</v>
      </c>
      <c r="M64" s="26">
        <f t="shared" si="6"/>
        <v>6.5983217746370837E-2</v>
      </c>
      <c r="N64" s="26">
        <f t="shared" si="7"/>
        <v>0.155618234284151</v>
      </c>
      <c r="O64" s="26">
        <f t="shared" si="8"/>
        <v>0.19714348839937523</v>
      </c>
    </row>
    <row r="65" spans="1:15" x14ac:dyDescent="0.25">
      <c r="A65" s="2">
        <v>45411</v>
      </c>
      <c r="B65">
        <v>169754</v>
      </c>
      <c r="C65">
        <v>221425</v>
      </c>
      <c r="D65">
        <v>617117</v>
      </c>
      <c r="F65">
        <f t="shared" si="0"/>
        <v>0.38796047985908899</v>
      </c>
      <c r="G65">
        <f t="shared" si="1"/>
        <v>1.9590740307848928</v>
      </c>
      <c r="H65">
        <f t="shared" si="2"/>
        <v>1.3043875254780446</v>
      </c>
      <c r="I65">
        <f t="shared" si="3"/>
        <v>0.86256955438897143</v>
      </c>
      <c r="J65" s="26">
        <f t="shared" si="9"/>
        <v>5.666283239637071E-2</v>
      </c>
      <c r="K65" s="26">
        <f t="shared" si="4"/>
        <v>8.8173269204841642E-2</v>
      </c>
      <c r="L65" s="26">
        <f t="shared" si="5"/>
        <v>0.10744500018490516</v>
      </c>
      <c r="M65" s="26">
        <f t="shared" si="6"/>
        <v>7.4548478740883661E-2</v>
      </c>
      <c r="N65" s="26">
        <f t="shared" si="7"/>
        <v>0.16606575575334825</v>
      </c>
      <c r="O65" s="26">
        <f t="shared" si="8"/>
        <v>0.20462655961429177</v>
      </c>
    </row>
    <row r="66" spans="1:15" x14ac:dyDescent="0.25">
      <c r="A66" s="2">
        <v>45408</v>
      </c>
      <c r="B66">
        <v>167904</v>
      </c>
      <c r="C66">
        <v>220825</v>
      </c>
      <c r="D66">
        <v>615079</v>
      </c>
      <c r="F66">
        <f t="shared" si="0"/>
        <v>0.38725433549045235</v>
      </c>
      <c r="G66">
        <f t="shared" si="1"/>
        <v>1.9630900273680385</v>
      </c>
      <c r="H66">
        <f t="shared" si="2"/>
        <v>1.3151860587002095</v>
      </c>
      <c r="I66">
        <f t="shared" si="3"/>
        <v>0.94546764910737058</v>
      </c>
      <c r="J66" s="26">
        <f t="shared" si="9"/>
        <v>5.7079557825884641E-2</v>
      </c>
      <c r="K66" s="26">
        <f t="shared" si="4"/>
        <v>8.9543217055279345E-2</v>
      </c>
      <c r="L66" s="26">
        <f t="shared" si="5"/>
        <v>0.10726671814826405</v>
      </c>
      <c r="M66" s="26">
        <f t="shared" si="6"/>
        <v>8.3539149912619681E-2</v>
      </c>
      <c r="N66" s="26">
        <f t="shared" si="7"/>
        <v>0.17674357796648232</v>
      </c>
      <c r="O66" s="26">
        <f t="shared" si="8"/>
        <v>0.21269426749353526</v>
      </c>
    </row>
    <row r="67" spans="1:15" x14ac:dyDescent="0.25">
      <c r="A67" s="2">
        <v>45407</v>
      </c>
      <c r="B67">
        <v>167129</v>
      </c>
      <c r="C67">
        <v>220777</v>
      </c>
      <c r="D67">
        <v>612534</v>
      </c>
      <c r="F67">
        <f t="shared" si="0"/>
        <v>0.38773539642557275</v>
      </c>
      <c r="G67">
        <f t="shared" si="1"/>
        <v>1.9944438914781424</v>
      </c>
      <c r="H67">
        <f t="shared" si="2"/>
        <v>1.3209975527885645</v>
      </c>
      <c r="I67">
        <f t="shared" si="3"/>
        <v>0.99484163519983027</v>
      </c>
      <c r="J67" s="26">
        <f t="shared" si="9"/>
        <v>5.7538297398286475E-2</v>
      </c>
      <c r="K67" s="26">
        <f t="shared" si="4"/>
        <v>9.1002986681359699E-2</v>
      </c>
      <c r="L67" s="26">
        <f t="shared" si="5"/>
        <v>0.10712245902444101</v>
      </c>
      <c r="M67" s="26">
        <f t="shared" si="6"/>
        <v>9.5247176998524585E-2</v>
      </c>
      <c r="N67" s="26">
        <f t="shared" si="7"/>
        <v>0.18859109677067054</v>
      </c>
      <c r="O67" s="26">
        <f t="shared" si="8"/>
        <v>0.22156354175230075</v>
      </c>
    </row>
    <row r="68" spans="1:15" x14ac:dyDescent="0.25">
      <c r="A68" s="2">
        <v>45406</v>
      </c>
      <c r="B68">
        <v>166170</v>
      </c>
      <c r="C68">
        <v>219301</v>
      </c>
      <c r="D68">
        <v>599767</v>
      </c>
      <c r="F68">
        <f t="shared" ref="F68:F131" si="10">IFERROR((C68+B68)/(B68+C68+D68),"")</f>
        <v>0.39124658204413554</v>
      </c>
      <c r="G68">
        <f t="shared" ref="G68:G131" si="11">(F68-AVERAGE(F68:F325))/_xlfn.STDEV.S(F68:F325)</f>
        <v>2.0971441455735311</v>
      </c>
      <c r="H68">
        <f t="shared" ref="H68:H131" si="12">IFERROR(C68/B68,"")</f>
        <v>1.3197388216886321</v>
      </c>
      <c r="I68">
        <f t="shared" ref="I68:I131" si="13">IFERROR((H68-AVERAGE(H68:H195))/_xlfn.STDEV.S(H68:H195),"")</f>
        <v>0.99850633199631622</v>
      </c>
      <c r="J68" s="26">
        <f t="shared" ref="J68:J131" si="14">AVERAGEA(F68:F88)-AVERAGE(F89:F109)</f>
        <v>5.7712238095456947E-2</v>
      </c>
      <c r="K68" s="26">
        <f t="shared" ref="K68:K131" si="15">AVERAGEA(F68:F88)-AVERAGE(F89:F144)</f>
        <v>9.2259286446808642E-2</v>
      </c>
      <c r="L68" s="26">
        <f t="shared" ref="L68:L131" si="16">AVERAGEA(F68:F88)-AVERAGE(F89:F201)</f>
        <v>0.10667860676422369</v>
      </c>
      <c r="M68" s="26">
        <f t="shared" ref="M68:M131" si="17">AVERAGEA(H68:H88)-AVERAGE(H89:H109)</f>
        <v>0.10706676256153536</v>
      </c>
      <c r="N68" s="26">
        <f t="shared" ref="N68:N131" si="18">AVERAGEA(H68:H88)-AVERAGE(H89:H144)</f>
        <v>0.19994645482806117</v>
      </c>
      <c r="O68" s="26">
        <f t="shared" ref="O68:O131" si="19">AVERAGEA(H68:H88)-AVERAGE(H89:H201)</f>
        <v>0.23065900589169019</v>
      </c>
    </row>
    <row r="69" spans="1:15" x14ac:dyDescent="0.25">
      <c r="A69" s="2">
        <v>45405</v>
      </c>
      <c r="B69">
        <v>164145</v>
      </c>
      <c r="C69">
        <v>219351</v>
      </c>
      <c r="D69">
        <v>591812</v>
      </c>
      <c r="F69">
        <f t="shared" si="10"/>
        <v>0.39320501831216398</v>
      </c>
      <c r="G69">
        <f t="shared" si="11"/>
        <v>2.1698175410849627</v>
      </c>
      <c r="H69">
        <f t="shared" si="12"/>
        <v>1.3363245910627799</v>
      </c>
      <c r="I69">
        <f t="shared" si="13"/>
        <v>1.1164685934025591</v>
      </c>
      <c r="J69" s="26">
        <f t="shared" si="14"/>
        <v>5.7742776845514432E-2</v>
      </c>
      <c r="K69" s="26">
        <f t="shared" si="15"/>
        <v>9.3307108925443583E-2</v>
      </c>
      <c r="L69" s="26">
        <f t="shared" si="16"/>
        <v>0.10596522762843158</v>
      </c>
      <c r="M69" s="26">
        <f t="shared" si="17"/>
        <v>0.120486338511546</v>
      </c>
      <c r="N69" s="26">
        <f t="shared" si="18"/>
        <v>0.21285933370938515</v>
      </c>
      <c r="O69" s="26">
        <f t="shared" si="19"/>
        <v>0.24225071190539049</v>
      </c>
    </row>
    <row r="70" spans="1:15" x14ac:dyDescent="0.25">
      <c r="A70" s="2">
        <v>45404</v>
      </c>
      <c r="B70">
        <v>163037</v>
      </c>
      <c r="C70">
        <v>216776</v>
      </c>
      <c r="D70">
        <v>584448</v>
      </c>
      <c r="F70">
        <f t="shared" si="10"/>
        <v>0.39389024340920142</v>
      </c>
      <c r="G70">
        <f t="shared" si="11"/>
        <v>2.2149330025146687</v>
      </c>
      <c r="H70">
        <f t="shared" si="12"/>
        <v>1.3296122965952515</v>
      </c>
      <c r="I70">
        <f t="shared" si="13"/>
        <v>1.0866404590439045</v>
      </c>
      <c r="J70" s="26">
        <f t="shared" si="14"/>
        <v>5.7952596405224766E-2</v>
      </c>
      <c r="K70" s="26">
        <f t="shared" si="15"/>
        <v>9.4355693252113737E-2</v>
      </c>
      <c r="L70" s="26">
        <f t="shared" si="16"/>
        <v>0.10514611721436501</v>
      </c>
      <c r="M70" s="26">
        <f t="shared" si="17"/>
        <v>0.13194794164679879</v>
      </c>
      <c r="N70" s="26">
        <f t="shared" si="18"/>
        <v>0.22536426642052065</v>
      </c>
      <c r="O70" s="26">
        <f t="shared" si="19"/>
        <v>0.2545478310420719</v>
      </c>
    </row>
    <row r="71" spans="1:15" x14ac:dyDescent="0.25">
      <c r="A71" s="2">
        <v>45401</v>
      </c>
      <c r="B71">
        <v>162177</v>
      </c>
      <c r="C71">
        <v>215876</v>
      </c>
      <c r="D71">
        <v>567193</v>
      </c>
      <c r="F71">
        <f t="shared" si="10"/>
        <v>0.39995197017495976</v>
      </c>
      <c r="G71">
        <f t="shared" si="11"/>
        <v>2.390417746488259</v>
      </c>
      <c r="H71">
        <f t="shared" si="12"/>
        <v>1.3311135364447486</v>
      </c>
      <c r="I71">
        <f t="shared" si="13"/>
        <v>1.1086348320454757</v>
      </c>
      <c r="J71" s="26">
        <f t="shared" si="14"/>
        <v>5.6774915800895887E-2</v>
      </c>
      <c r="K71" s="26">
        <f t="shared" si="15"/>
        <v>9.4281866252439117E-2</v>
      </c>
      <c r="L71" s="26">
        <f t="shared" si="16"/>
        <v>0.10338665614496984</v>
      </c>
      <c r="M71" s="26">
        <f t="shared" si="17"/>
        <v>0.12638005449492251</v>
      </c>
      <c r="N71" s="26">
        <f t="shared" si="18"/>
        <v>0.22442001927685729</v>
      </c>
      <c r="O71" s="26">
        <f t="shared" si="19"/>
        <v>0.25571019567260556</v>
      </c>
    </row>
    <row r="72" spans="1:15" x14ac:dyDescent="0.25">
      <c r="A72" s="2">
        <v>45400</v>
      </c>
      <c r="B72">
        <v>161527</v>
      </c>
      <c r="C72">
        <v>215776</v>
      </c>
      <c r="D72">
        <v>563490</v>
      </c>
      <c r="F72">
        <f t="shared" si="10"/>
        <v>0.4010478394290774</v>
      </c>
      <c r="G72">
        <f t="shared" si="11"/>
        <v>2.4538102055833706</v>
      </c>
      <c r="H72">
        <f t="shared" si="12"/>
        <v>1.3358509722832714</v>
      </c>
      <c r="I72">
        <f t="shared" si="13"/>
        <v>1.1516647618530738</v>
      </c>
      <c r="J72" s="26">
        <f t="shared" si="14"/>
        <v>5.3994822371626339E-2</v>
      </c>
      <c r="K72" s="26">
        <f t="shared" si="15"/>
        <v>9.2789892605695534E-2</v>
      </c>
      <c r="L72" s="26">
        <f t="shared" si="16"/>
        <v>0.10043526155098309</v>
      </c>
      <c r="M72" s="26">
        <f t="shared" si="17"/>
        <v>0.10428191338208737</v>
      </c>
      <c r="N72" s="26">
        <f t="shared" si="18"/>
        <v>0.21157032635015871</v>
      </c>
      <c r="O72" s="26">
        <f t="shared" si="19"/>
        <v>0.24708667049625865</v>
      </c>
    </row>
    <row r="73" spans="1:15" x14ac:dyDescent="0.25">
      <c r="A73" s="2">
        <v>45399</v>
      </c>
      <c r="B73">
        <v>161552</v>
      </c>
      <c r="C73">
        <v>216451</v>
      </c>
      <c r="D73">
        <v>562667</v>
      </c>
      <c r="F73">
        <f t="shared" si="10"/>
        <v>0.40184443003391201</v>
      </c>
      <c r="G73">
        <f t="shared" si="11"/>
        <v>2.5127116960978273</v>
      </c>
      <c r="H73">
        <f t="shared" si="12"/>
        <v>1.3398224720213925</v>
      </c>
      <c r="I73">
        <f t="shared" si="13"/>
        <v>1.1914650968563598</v>
      </c>
      <c r="J73" s="26">
        <f t="shared" si="14"/>
        <v>5.1203980096094337E-2</v>
      </c>
      <c r="K73" s="26">
        <f t="shared" si="15"/>
        <v>9.1204301092911277E-2</v>
      </c>
      <c r="L73" s="26">
        <f t="shared" si="16"/>
        <v>9.7386916127449263E-2</v>
      </c>
      <c r="M73" s="26">
        <f t="shared" si="17"/>
        <v>8.3222018276693843E-2</v>
      </c>
      <c r="N73" s="26">
        <f t="shared" si="18"/>
        <v>0.19790735228401957</v>
      </c>
      <c r="O73" s="26">
        <f t="shared" si="19"/>
        <v>0.23872653552062473</v>
      </c>
    </row>
    <row r="74" spans="1:15" x14ac:dyDescent="0.25">
      <c r="A74" s="2">
        <v>45398</v>
      </c>
      <c r="B74">
        <v>159626</v>
      </c>
      <c r="C74">
        <v>215526</v>
      </c>
      <c r="D74">
        <v>542411</v>
      </c>
      <c r="F74">
        <f t="shared" si="10"/>
        <v>0.40885693952349866</v>
      </c>
      <c r="G74">
        <f t="shared" si="11"/>
        <v>2.7285191048659767</v>
      </c>
      <c r="H74">
        <f t="shared" si="12"/>
        <v>1.3501935774873768</v>
      </c>
      <c r="I74">
        <f t="shared" si="13"/>
        <v>1.2717061001216554</v>
      </c>
      <c r="J74" s="26">
        <f t="shared" si="14"/>
        <v>4.4043117198549586E-2</v>
      </c>
      <c r="K74" s="26">
        <f t="shared" si="15"/>
        <v>8.6646596000588383E-2</v>
      </c>
      <c r="L74" s="26">
        <f t="shared" si="16"/>
        <v>9.1749702566563285E-2</v>
      </c>
      <c r="M74" s="26">
        <f t="shared" si="17"/>
        <v>7.2014883660939333E-2</v>
      </c>
      <c r="N74" s="26">
        <f t="shared" si="18"/>
        <v>0.18897091823633727</v>
      </c>
      <c r="O74" s="26">
        <f t="shared" si="19"/>
        <v>0.23441468849764679</v>
      </c>
    </row>
    <row r="75" spans="1:15" x14ac:dyDescent="0.25">
      <c r="A75" s="2">
        <v>45397</v>
      </c>
      <c r="B75">
        <v>156726</v>
      </c>
      <c r="C75">
        <v>214491</v>
      </c>
      <c r="D75">
        <v>543220</v>
      </c>
      <c r="F75">
        <f t="shared" si="10"/>
        <v>0.40595142147572771</v>
      </c>
      <c r="G75">
        <f t="shared" si="11"/>
        <v>2.7071319793109745</v>
      </c>
      <c r="H75">
        <f t="shared" si="12"/>
        <v>1.3685731786685043</v>
      </c>
      <c r="I75">
        <f t="shared" si="13"/>
        <v>1.4009254141474032</v>
      </c>
      <c r="J75" s="26">
        <f t="shared" si="14"/>
        <v>3.6253175127782755E-2</v>
      </c>
      <c r="K75" s="26">
        <f t="shared" si="15"/>
        <v>8.133832077160974E-2</v>
      </c>
      <c r="L75" s="26">
        <f t="shared" si="16"/>
        <v>8.5387154624392614E-2</v>
      </c>
      <c r="M75" s="26">
        <f t="shared" si="17"/>
        <v>6.385049717632385E-2</v>
      </c>
      <c r="N75" s="26">
        <f t="shared" si="18"/>
        <v>0.17954539615915621</v>
      </c>
      <c r="O75" s="26">
        <f t="shared" si="19"/>
        <v>0.22989296459791508</v>
      </c>
    </row>
    <row r="76" spans="1:15" x14ac:dyDescent="0.25">
      <c r="A76" s="2">
        <v>45394</v>
      </c>
      <c r="B76">
        <v>155576</v>
      </c>
      <c r="C76">
        <v>211743</v>
      </c>
      <c r="D76">
        <v>541854</v>
      </c>
      <c r="F76">
        <f t="shared" si="10"/>
        <v>0.40401441749809991</v>
      </c>
      <c r="G76">
        <f t="shared" si="11"/>
        <v>2.7083186777635557</v>
      </c>
      <c r="H76">
        <f t="shared" si="12"/>
        <v>1.3610261222810716</v>
      </c>
      <c r="I76">
        <f t="shared" si="13"/>
        <v>1.3744389185390247</v>
      </c>
      <c r="J76" s="26">
        <f t="shared" si="14"/>
        <v>2.8529558856341786E-2</v>
      </c>
      <c r="K76" s="26">
        <f t="shared" si="15"/>
        <v>7.6104697268175203E-2</v>
      </c>
      <c r="L76" s="26">
        <f t="shared" si="16"/>
        <v>7.911267845822878E-2</v>
      </c>
      <c r="M76" s="26">
        <f t="shared" si="17"/>
        <v>5.5872574438544653E-2</v>
      </c>
      <c r="N76" s="26">
        <f t="shared" si="18"/>
        <v>0.16993485097105432</v>
      </c>
      <c r="O76" s="26">
        <f t="shared" si="19"/>
        <v>0.22521996096723962</v>
      </c>
    </row>
    <row r="77" spans="1:15" x14ac:dyDescent="0.25">
      <c r="A77" s="2">
        <v>45393</v>
      </c>
      <c r="B77">
        <v>150001</v>
      </c>
      <c r="C77">
        <v>206122</v>
      </c>
      <c r="D77">
        <v>539486</v>
      </c>
      <c r="F77">
        <f t="shared" si="10"/>
        <v>0.3976322256699073</v>
      </c>
      <c r="G77">
        <f t="shared" si="11"/>
        <v>2.5937947372021406</v>
      </c>
      <c r="H77">
        <f t="shared" si="12"/>
        <v>1.3741375057499616</v>
      </c>
      <c r="I77">
        <f t="shared" si="13"/>
        <v>1.4734216423934132</v>
      </c>
      <c r="J77" s="26">
        <f t="shared" si="14"/>
        <v>2.1039652488574645E-2</v>
      </c>
      <c r="K77" s="26">
        <f t="shared" si="15"/>
        <v>7.0544698441250497E-2</v>
      </c>
      <c r="L77" s="26">
        <f t="shared" si="16"/>
        <v>7.2522619022239221E-2</v>
      </c>
      <c r="M77" s="26">
        <f t="shared" si="17"/>
        <v>4.4673646150384716E-2</v>
      </c>
      <c r="N77" s="26">
        <f t="shared" si="18"/>
        <v>0.15647225838876211</v>
      </c>
      <c r="O77" s="26">
        <f t="shared" si="19"/>
        <v>0.21739711539433926</v>
      </c>
    </row>
    <row r="78" spans="1:15" x14ac:dyDescent="0.25">
      <c r="A78" s="2">
        <v>45392</v>
      </c>
      <c r="B78">
        <v>149711</v>
      </c>
      <c r="C78">
        <v>205873</v>
      </c>
      <c r="D78">
        <v>537893</v>
      </c>
      <c r="F78">
        <f t="shared" si="10"/>
        <v>0.39797778790052796</v>
      </c>
      <c r="G78">
        <f t="shared" si="11"/>
        <v>2.648464228263228</v>
      </c>
      <c r="H78">
        <f t="shared" si="12"/>
        <v>1.3751360955440817</v>
      </c>
      <c r="I78">
        <f t="shared" si="13"/>
        <v>1.5009644864960963</v>
      </c>
      <c r="J78" s="26">
        <f t="shared" si="14"/>
        <v>2.1418291217113361E-2</v>
      </c>
      <c r="K78" s="26">
        <f t="shared" si="15"/>
        <v>7.0335701675950435E-2</v>
      </c>
      <c r="L78" s="26">
        <f t="shared" si="16"/>
        <v>7.049586070095426E-2</v>
      </c>
      <c r="M78" s="26">
        <f t="shared" si="17"/>
        <v>4.28646977340017E-2</v>
      </c>
      <c r="N78" s="26">
        <f t="shared" si="18"/>
        <v>0.14735721435845828</v>
      </c>
      <c r="O78" s="26">
        <f t="shared" si="19"/>
        <v>0.21322848168768904</v>
      </c>
    </row>
    <row r="79" spans="1:15" x14ac:dyDescent="0.25">
      <c r="A79" s="2">
        <v>45391</v>
      </c>
      <c r="B79">
        <v>148161</v>
      </c>
      <c r="C79">
        <v>203473</v>
      </c>
      <c r="D79">
        <v>536155</v>
      </c>
      <c r="F79">
        <f t="shared" si="10"/>
        <v>0.39607834744516995</v>
      </c>
      <c r="G79">
        <f t="shared" si="11"/>
        <v>2.6460775299908339</v>
      </c>
      <c r="H79">
        <f t="shared" si="12"/>
        <v>1.3733236141764702</v>
      </c>
      <c r="I79">
        <f t="shared" si="13"/>
        <v>1.5121092883396496</v>
      </c>
      <c r="J79" s="26">
        <f t="shared" si="14"/>
        <v>2.1800298565712806E-2</v>
      </c>
      <c r="K79" s="26">
        <f t="shared" si="15"/>
        <v>7.0103098104998984E-2</v>
      </c>
      <c r="L79" s="26">
        <f t="shared" si="16"/>
        <v>6.840827251050563E-2</v>
      </c>
      <c r="M79" s="26">
        <f t="shared" si="17"/>
        <v>4.3031567245508828E-2</v>
      </c>
      <c r="N79" s="26">
        <f t="shared" si="18"/>
        <v>0.13847623520831043</v>
      </c>
      <c r="O79" s="26">
        <f t="shared" si="19"/>
        <v>0.20940683219542411</v>
      </c>
    </row>
    <row r="80" spans="1:15" x14ac:dyDescent="0.25">
      <c r="A80" s="2">
        <v>45390</v>
      </c>
      <c r="B80">
        <v>146261</v>
      </c>
      <c r="C80">
        <v>192817</v>
      </c>
      <c r="D80">
        <v>541103</v>
      </c>
      <c r="F80">
        <f t="shared" si="10"/>
        <v>0.3852366729115943</v>
      </c>
      <c r="G80">
        <f t="shared" si="11"/>
        <v>2.4016431928380895</v>
      </c>
      <c r="H80">
        <f t="shared" si="12"/>
        <v>1.3183076828409488</v>
      </c>
      <c r="I80">
        <f t="shared" si="13"/>
        <v>1.2019041577257892</v>
      </c>
      <c r="J80" s="26">
        <f t="shared" si="14"/>
        <v>2.2556416072159857E-2</v>
      </c>
      <c r="K80" s="26">
        <f t="shared" si="15"/>
        <v>7.1195033765647509E-2</v>
      </c>
      <c r="L80" s="26">
        <f t="shared" si="16"/>
        <v>6.6521030557340877E-2</v>
      </c>
      <c r="M80" s="26">
        <f t="shared" si="17"/>
        <v>4.1508481386143936E-2</v>
      </c>
      <c r="N80" s="26">
        <f t="shared" si="18"/>
        <v>0.12902220746933968</v>
      </c>
      <c r="O80" s="26">
        <f t="shared" si="19"/>
        <v>0.20532917010867902</v>
      </c>
    </row>
    <row r="81" spans="1:15" x14ac:dyDescent="0.25">
      <c r="A81" s="2">
        <v>45387</v>
      </c>
      <c r="B81">
        <v>144736</v>
      </c>
      <c r="C81">
        <v>185042</v>
      </c>
      <c r="D81">
        <v>539116</v>
      </c>
      <c r="F81">
        <f t="shared" si="10"/>
        <v>0.37953766512370901</v>
      </c>
      <c r="G81">
        <f t="shared" si="11"/>
        <v>2.2838012295827372</v>
      </c>
      <c r="H81">
        <f t="shared" si="12"/>
        <v>1.2784794384258236</v>
      </c>
      <c r="I81">
        <f t="shared" si="13"/>
        <v>0.97867447352613945</v>
      </c>
      <c r="J81" s="26">
        <f t="shared" si="14"/>
        <v>2.4077103896561203E-2</v>
      </c>
      <c r="K81" s="26">
        <f t="shared" si="15"/>
        <v>7.2918177025334707E-2</v>
      </c>
      <c r="L81" s="26">
        <f t="shared" si="16"/>
        <v>6.5236956019843195E-2</v>
      </c>
      <c r="M81" s="26">
        <f t="shared" si="17"/>
        <v>4.1859150951159885E-2</v>
      </c>
      <c r="N81" s="26">
        <f t="shared" si="18"/>
        <v>0.12365958055063619</v>
      </c>
      <c r="O81" s="26">
        <f t="shared" si="19"/>
        <v>0.20443336204287776</v>
      </c>
    </row>
    <row r="82" spans="1:15" x14ac:dyDescent="0.25">
      <c r="A82" s="2">
        <v>45386</v>
      </c>
      <c r="B82">
        <v>144806</v>
      </c>
      <c r="C82">
        <v>184792</v>
      </c>
      <c r="D82">
        <v>536817</v>
      </c>
      <c r="F82">
        <f t="shared" si="10"/>
        <v>0.38041585152611623</v>
      </c>
      <c r="G82">
        <f t="shared" si="11"/>
        <v>2.3412008347471294</v>
      </c>
      <c r="H82">
        <f t="shared" si="12"/>
        <v>1.2761349667831443</v>
      </c>
      <c r="I82">
        <f t="shared" si="13"/>
        <v>0.97847851862448632</v>
      </c>
      <c r="J82" s="26">
        <f t="shared" si="14"/>
        <v>2.5950264818861757E-2</v>
      </c>
      <c r="K82" s="26">
        <f t="shared" si="15"/>
        <v>7.4909188821417561E-2</v>
      </c>
      <c r="L82" s="26">
        <f t="shared" si="16"/>
        <v>6.4164594291614085E-2</v>
      </c>
      <c r="M82" s="26">
        <f t="shared" si="17"/>
        <v>4.4965141356384297E-2</v>
      </c>
      <c r="N82" s="26">
        <f t="shared" si="18"/>
        <v>0.11958723079441391</v>
      </c>
      <c r="O82" s="26">
        <f t="shared" si="19"/>
        <v>0.20589620977399425</v>
      </c>
    </row>
    <row r="83" spans="1:15" x14ac:dyDescent="0.25">
      <c r="A83" s="2">
        <v>45385</v>
      </c>
      <c r="B83">
        <v>139041</v>
      </c>
      <c r="C83">
        <v>182572</v>
      </c>
      <c r="D83">
        <v>536892</v>
      </c>
      <c r="F83">
        <f t="shared" si="10"/>
        <v>0.3746198333148904</v>
      </c>
      <c r="G83">
        <f t="shared" si="11"/>
        <v>2.214796210280888</v>
      </c>
      <c r="H83">
        <f t="shared" si="12"/>
        <v>1.3130803144396257</v>
      </c>
      <c r="I83">
        <f t="shared" si="13"/>
        <v>1.2120019011274152</v>
      </c>
      <c r="J83" s="26">
        <f t="shared" si="14"/>
        <v>2.7669704975785525E-2</v>
      </c>
      <c r="K83" s="26">
        <f t="shared" si="15"/>
        <v>7.6918330370006671E-2</v>
      </c>
      <c r="L83" s="26">
        <f t="shared" si="16"/>
        <v>6.3125704944877237E-2</v>
      </c>
      <c r="M83" s="26">
        <f t="shared" si="17"/>
        <v>4.9817018419586523E-2</v>
      </c>
      <c r="N83" s="26">
        <f t="shared" si="18"/>
        <v>0.11674571816491297</v>
      </c>
      <c r="O83" s="26">
        <f t="shared" si="19"/>
        <v>0.20830456674907305</v>
      </c>
    </row>
    <row r="84" spans="1:15" x14ac:dyDescent="0.25">
      <c r="A84" s="2">
        <v>45384</v>
      </c>
      <c r="B84">
        <v>136091</v>
      </c>
      <c r="C84">
        <v>180322</v>
      </c>
      <c r="D84">
        <v>534265</v>
      </c>
      <c r="F84">
        <f t="shared" si="10"/>
        <v>0.3719539003007013</v>
      </c>
      <c r="G84">
        <f t="shared" si="11"/>
        <v>2.1705862088709589</v>
      </c>
      <c r="H84">
        <f t="shared" si="12"/>
        <v>1.3250104709348891</v>
      </c>
      <c r="I84">
        <f t="shared" si="13"/>
        <v>1.2994068909287686</v>
      </c>
      <c r="J84" s="26">
        <f t="shared" si="14"/>
        <v>2.9092143151646321E-2</v>
      </c>
      <c r="K84" s="26">
        <f t="shared" si="15"/>
        <v>7.5684593114620557E-2</v>
      </c>
      <c r="L84" s="26">
        <f t="shared" si="16"/>
        <v>6.2059709143765018E-2</v>
      </c>
      <c r="M84" s="26">
        <f t="shared" si="17"/>
        <v>5.2730442445569015E-2</v>
      </c>
      <c r="N84" s="26">
        <f t="shared" si="18"/>
        <v>0.11358161113096799</v>
      </c>
      <c r="O84" s="26">
        <f t="shared" si="19"/>
        <v>0.20929565265709327</v>
      </c>
    </row>
    <row r="85" spans="1:15" x14ac:dyDescent="0.25">
      <c r="A85" s="2">
        <v>45383</v>
      </c>
      <c r="B85">
        <v>130741</v>
      </c>
      <c r="C85">
        <v>180022</v>
      </c>
      <c r="D85">
        <v>531434</v>
      </c>
      <c r="F85">
        <f t="shared" si="10"/>
        <v>0.36899086555758331</v>
      </c>
      <c r="G85">
        <f t="shared" si="11"/>
        <v>2.1158335079162591</v>
      </c>
      <c r="H85">
        <f t="shared" si="12"/>
        <v>1.3769360797301535</v>
      </c>
      <c r="I85">
        <f t="shared" si="13"/>
        <v>1.6242975320253863</v>
      </c>
      <c r="J85" s="26">
        <f t="shared" si="14"/>
        <v>3.0628834474484334E-2</v>
      </c>
      <c r="K85" s="26">
        <f t="shared" si="15"/>
        <v>7.4808240932986492E-2</v>
      </c>
      <c r="L85" s="26">
        <f t="shared" si="16"/>
        <v>6.1263140972426855E-2</v>
      </c>
      <c r="M85" s="26">
        <f t="shared" si="17"/>
        <v>5.5565609301350127E-2</v>
      </c>
      <c r="N85" s="26">
        <f t="shared" si="18"/>
        <v>0.11070730840728538</v>
      </c>
      <c r="O85" s="26">
        <f t="shared" si="19"/>
        <v>0.20982978917955553</v>
      </c>
    </row>
    <row r="86" spans="1:15" x14ac:dyDescent="0.25">
      <c r="A86" s="2">
        <v>45379</v>
      </c>
      <c r="B86">
        <v>130741</v>
      </c>
      <c r="C86">
        <v>180022</v>
      </c>
      <c r="D86">
        <v>531439</v>
      </c>
      <c r="F86">
        <f t="shared" si="10"/>
        <v>0.36898867492596787</v>
      </c>
      <c r="G86">
        <f t="shared" si="11"/>
        <v>2.1436497042952429</v>
      </c>
      <c r="H86">
        <f t="shared" si="12"/>
        <v>1.3769360797301535</v>
      </c>
      <c r="I86">
        <f t="shared" si="13"/>
        <v>1.6502149143583789</v>
      </c>
      <c r="J86" s="26">
        <f t="shared" si="14"/>
        <v>3.2347021761750694E-2</v>
      </c>
      <c r="K86" s="26">
        <f t="shared" si="15"/>
        <v>7.4236718965677684E-2</v>
      </c>
      <c r="L86" s="26">
        <f t="shared" si="16"/>
        <v>6.0698012217200392E-2</v>
      </c>
      <c r="M86" s="26">
        <f t="shared" si="17"/>
        <v>5.6268464369167992E-2</v>
      </c>
      <c r="N86" s="26">
        <f t="shared" si="18"/>
        <v>0.10636595775071345</v>
      </c>
      <c r="O86" s="26">
        <f t="shared" si="19"/>
        <v>0.20811770162312038</v>
      </c>
    </row>
    <row r="87" spans="1:15" x14ac:dyDescent="0.25">
      <c r="A87" s="2">
        <v>45378</v>
      </c>
      <c r="B87">
        <v>128216</v>
      </c>
      <c r="C87">
        <v>179902</v>
      </c>
      <c r="D87">
        <v>527272</v>
      </c>
      <c r="F87">
        <f t="shared" si="10"/>
        <v>0.36883132429164822</v>
      </c>
      <c r="G87">
        <f t="shared" si="11"/>
        <v>2.1615047132049363</v>
      </c>
      <c r="H87">
        <f t="shared" si="12"/>
        <v>1.4031166157109878</v>
      </c>
      <c r="I87">
        <f t="shared" si="13"/>
        <v>1.8312728876751374</v>
      </c>
      <c r="J87" s="26">
        <f t="shared" si="14"/>
        <v>3.4106684926080766E-2</v>
      </c>
      <c r="K87" s="26">
        <f t="shared" si="15"/>
        <v>7.3577342532378132E-2</v>
      </c>
      <c r="L87" s="26">
        <f t="shared" si="16"/>
        <v>5.9552341149667065E-2</v>
      </c>
      <c r="M87" s="26">
        <f t="shared" si="17"/>
        <v>5.9273673311008634E-2</v>
      </c>
      <c r="N87" s="26">
        <f t="shared" si="18"/>
        <v>0.10240843779820064</v>
      </c>
      <c r="O87" s="26">
        <f t="shared" si="19"/>
        <v>0.20702244772699019</v>
      </c>
    </row>
    <row r="88" spans="1:15" x14ac:dyDescent="0.25">
      <c r="A88" s="2">
        <v>45377</v>
      </c>
      <c r="B88">
        <v>123256</v>
      </c>
      <c r="C88">
        <v>174203</v>
      </c>
      <c r="D88">
        <v>519559</v>
      </c>
      <c r="F88">
        <f t="shared" si="10"/>
        <v>0.3640788819830163</v>
      </c>
      <c r="G88">
        <f t="shared" si="11"/>
        <v>2.0465389554720321</v>
      </c>
      <c r="H88">
        <f t="shared" si="12"/>
        <v>1.4133429609917569</v>
      </c>
      <c r="I88">
        <f t="shared" si="13"/>
        <v>1.9245714691245772</v>
      </c>
      <c r="J88" s="26">
        <f t="shared" si="14"/>
        <v>3.6390577014432546E-2</v>
      </c>
      <c r="K88" s="26">
        <f t="shared" si="15"/>
        <v>7.2880442438193471E-2</v>
      </c>
      <c r="L88" s="26">
        <f t="shared" si="16"/>
        <v>5.8376858987936986E-2</v>
      </c>
      <c r="M88" s="26">
        <f t="shared" si="17"/>
        <v>6.2552092953352956E-2</v>
      </c>
      <c r="N88" s="26">
        <f t="shared" si="18"/>
        <v>9.6327201304267751E-2</v>
      </c>
      <c r="O88" s="26">
        <f t="shared" si="19"/>
        <v>0.20379757015085764</v>
      </c>
    </row>
    <row r="89" spans="1:15" x14ac:dyDescent="0.25">
      <c r="A89" s="2">
        <v>45376</v>
      </c>
      <c r="B89">
        <v>118481</v>
      </c>
      <c r="C89">
        <v>172152</v>
      </c>
      <c r="D89">
        <v>513387</v>
      </c>
      <c r="F89">
        <f t="shared" si="10"/>
        <v>0.36147483893435489</v>
      </c>
      <c r="G89">
        <f t="shared" si="11"/>
        <v>1.9876236289624374</v>
      </c>
      <c r="H89">
        <f t="shared" si="12"/>
        <v>1.4529924629265452</v>
      </c>
      <c r="I89">
        <f t="shared" si="13"/>
        <v>2.1966520968506487</v>
      </c>
      <c r="J89" s="26">
        <f t="shared" si="14"/>
        <v>3.8650531430675983E-2</v>
      </c>
      <c r="K89" s="26">
        <f t="shared" si="15"/>
        <v>7.2171294380138307E-2</v>
      </c>
      <c r="L89" s="26">
        <f t="shared" si="16"/>
        <v>5.7197682458237475E-2</v>
      </c>
      <c r="M89" s="26">
        <f t="shared" si="17"/>
        <v>6.5898937464408336E-2</v>
      </c>
      <c r="N89" s="26">
        <f t="shared" si="18"/>
        <v>9.0956948627351153E-2</v>
      </c>
      <c r="O89" s="26">
        <f t="shared" si="19"/>
        <v>0.20076944379810646</v>
      </c>
    </row>
    <row r="90" spans="1:15" x14ac:dyDescent="0.25">
      <c r="A90" s="2">
        <v>45373</v>
      </c>
      <c r="B90">
        <v>116406</v>
      </c>
      <c r="C90">
        <v>172278</v>
      </c>
      <c r="D90">
        <v>510646</v>
      </c>
      <c r="F90">
        <f t="shared" si="10"/>
        <v>0.36115746938060628</v>
      </c>
      <c r="G90">
        <f t="shared" si="11"/>
        <v>1.9884017170441857</v>
      </c>
      <c r="H90">
        <f t="shared" si="12"/>
        <v>1.4799752590072677</v>
      </c>
      <c r="I90">
        <f t="shared" si="13"/>
        <v>2.4065816438325043</v>
      </c>
      <c r="J90" s="26">
        <f t="shared" si="14"/>
        <v>4.0499002437794362E-2</v>
      </c>
      <c r="K90" s="26">
        <f t="shared" si="15"/>
        <v>7.1337269892364497E-2</v>
      </c>
      <c r="L90" s="26">
        <f t="shared" si="16"/>
        <v>5.5811460416832492E-2</v>
      </c>
      <c r="M90" s="26">
        <f t="shared" si="17"/>
        <v>7.200749089664793E-2</v>
      </c>
      <c r="N90" s="26">
        <f t="shared" si="18"/>
        <v>8.5441088075683735E-2</v>
      </c>
      <c r="O90" s="26">
        <f t="shared" si="19"/>
        <v>0.1984602537807183</v>
      </c>
    </row>
    <row r="91" spans="1:15" x14ac:dyDescent="0.25">
      <c r="A91" s="2">
        <v>45372</v>
      </c>
      <c r="B91">
        <v>116881</v>
      </c>
      <c r="C91">
        <v>149246</v>
      </c>
      <c r="D91">
        <v>504714</v>
      </c>
      <c r="F91">
        <f t="shared" si="10"/>
        <v>0.34524240407554868</v>
      </c>
      <c r="G91">
        <f t="shared" si="11"/>
        <v>1.5507077134279572</v>
      </c>
      <c r="H91">
        <f t="shared" si="12"/>
        <v>1.2769055706231125</v>
      </c>
      <c r="I91">
        <f t="shared" si="13"/>
        <v>1.2368314365155657</v>
      </c>
      <c r="J91" s="26">
        <f t="shared" si="14"/>
        <v>4.1851461953314018E-2</v>
      </c>
      <c r="K91" s="26">
        <f t="shared" si="15"/>
        <v>7.0086571738089798E-2</v>
      </c>
      <c r="L91" s="26">
        <f t="shared" si="16"/>
        <v>5.4086492252866603E-2</v>
      </c>
      <c r="M91" s="26">
        <f t="shared" si="17"/>
        <v>8.4858686470718814E-2</v>
      </c>
      <c r="N91" s="26">
        <f t="shared" si="18"/>
        <v>8.4174830683953372E-2</v>
      </c>
      <c r="O91" s="26">
        <f t="shared" si="19"/>
        <v>0.19943460364920651</v>
      </c>
    </row>
    <row r="92" spans="1:15" x14ac:dyDescent="0.25">
      <c r="A92" s="2">
        <v>45371</v>
      </c>
      <c r="B92">
        <v>116556</v>
      </c>
      <c r="C92">
        <v>128721</v>
      </c>
      <c r="D92">
        <v>499559</v>
      </c>
      <c r="F92">
        <f t="shared" si="10"/>
        <v>0.32930336342496874</v>
      </c>
      <c r="G92">
        <f t="shared" si="11"/>
        <v>1.1009029045034957</v>
      </c>
      <c r="H92">
        <f t="shared" si="12"/>
        <v>1.104370431380624</v>
      </c>
      <c r="I92">
        <f t="shared" si="13"/>
        <v>0.2103847695486902</v>
      </c>
      <c r="J92" s="26">
        <f t="shared" si="14"/>
        <v>4.3785038877409699E-2</v>
      </c>
      <c r="K92" s="26">
        <f t="shared" si="15"/>
        <v>6.9323414808986406E-2</v>
      </c>
      <c r="L92" s="26">
        <f t="shared" si="16"/>
        <v>5.2934534035592506E-2</v>
      </c>
      <c r="M92" s="26">
        <f t="shared" si="17"/>
        <v>0.10416605699699222</v>
      </c>
      <c r="N92" s="26">
        <f t="shared" si="18"/>
        <v>9.0050315557575811E-2</v>
      </c>
      <c r="O92" s="26">
        <f t="shared" si="19"/>
        <v>0.2078567052430178</v>
      </c>
    </row>
    <row r="93" spans="1:15" x14ac:dyDescent="0.25">
      <c r="A93" s="2">
        <v>45370</v>
      </c>
      <c r="B93">
        <v>115331</v>
      </c>
      <c r="C93">
        <v>128281</v>
      </c>
      <c r="D93">
        <v>498153</v>
      </c>
      <c r="F93">
        <f t="shared" si="10"/>
        <v>0.32842207437665566</v>
      </c>
      <c r="G93">
        <f t="shared" si="11"/>
        <v>1.0824968948289846</v>
      </c>
      <c r="H93">
        <f t="shared" si="12"/>
        <v>1.1122855086663603</v>
      </c>
      <c r="I93">
        <f t="shared" si="13"/>
        <v>0.27090801962066235</v>
      </c>
      <c r="J93" s="26">
        <f t="shared" si="14"/>
        <v>4.6145381689700615E-2</v>
      </c>
      <c r="K93" s="26">
        <f t="shared" si="15"/>
        <v>6.9033523639012717E-2</v>
      </c>
      <c r="L93" s="26">
        <f t="shared" si="16"/>
        <v>5.2303264688704165E-2</v>
      </c>
      <c r="M93" s="26">
        <f t="shared" si="17"/>
        <v>0.13248470012683566</v>
      </c>
      <c r="N93" s="26">
        <f t="shared" si="18"/>
        <v>0.10475103886563408</v>
      </c>
      <c r="O93" s="26">
        <f t="shared" si="19"/>
        <v>0.22447120980643986</v>
      </c>
    </row>
    <row r="94" spans="1:15" x14ac:dyDescent="0.25">
      <c r="A94" s="2">
        <v>45369</v>
      </c>
      <c r="B94">
        <v>107936</v>
      </c>
      <c r="C94">
        <v>128159</v>
      </c>
      <c r="D94">
        <v>596930</v>
      </c>
      <c r="F94">
        <f t="shared" si="10"/>
        <v>0.2834188649800426</v>
      </c>
      <c r="G94">
        <f t="shared" si="11"/>
        <v>-0.22534789930356855</v>
      </c>
      <c r="H94">
        <f t="shared" si="12"/>
        <v>1.1873610287577825</v>
      </c>
      <c r="I94">
        <f t="shared" si="13"/>
        <v>0.72601152322406737</v>
      </c>
      <c r="J94" s="26">
        <f t="shared" si="14"/>
        <v>4.8208110706573104E-2</v>
      </c>
      <c r="K94" s="26">
        <f t="shared" si="15"/>
        <v>6.8641071287502242E-2</v>
      </c>
      <c r="L94" s="26">
        <f t="shared" si="16"/>
        <v>5.1564007886416963E-2</v>
      </c>
      <c r="M94" s="26">
        <f t="shared" si="17"/>
        <v>0.16156891229255033</v>
      </c>
      <c r="N94" s="26">
        <f t="shared" si="18"/>
        <v>0.11858526175058937</v>
      </c>
      <c r="O94" s="26">
        <f t="shared" si="19"/>
        <v>0.24013374208515259</v>
      </c>
    </row>
    <row r="95" spans="1:15" x14ac:dyDescent="0.25">
      <c r="A95" s="2">
        <v>45366</v>
      </c>
      <c r="B95">
        <v>104176</v>
      </c>
      <c r="C95">
        <v>124215</v>
      </c>
      <c r="D95">
        <v>597621</v>
      </c>
      <c r="F95">
        <f t="shared" si="10"/>
        <v>0.27649840438153439</v>
      </c>
      <c r="G95">
        <f t="shared" si="11"/>
        <v>-0.42743643825255523</v>
      </c>
      <c r="H95">
        <f t="shared" si="12"/>
        <v>1.192357164798034</v>
      </c>
      <c r="I95">
        <f t="shared" si="13"/>
        <v>0.76721565084528431</v>
      </c>
      <c r="J95" s="26">
        <f t="shared" si="14"/>
        <v>5.2519410501178365E-2</v>
      </c>
      <c r="K95" s="26">
        <f t="shared" si="15"/>
        <v>7.0530454431241063E-2</v>
      </c>
      <c r="L95" s="26">
        <f t="shared" si="16"/>
        <v>5.3036557334403878E-2</v>
      </c>
      <c r="M95" s="26">
        <f t="shared" si="17"/>
        <v>0.18165273927082404</v>
      </c>
      <c r="N95" s="26">
        <f t="shared" si="18"/>
        <v>0.12494606992508372</v>
      </c>
      <c r="O95" s="26">
        <f t="shared" si="19"/>
        <v>0.24868543566977874</v>
      </c>
    </row>
    <row r="96" spans="1:15" x14ac:dyDescent="0.25">
      <c r="A96" s="2">
        <v>45365</v>
      </c>
      <c r="B96">
        <v>101866</v>
      </c>
      <c r="C96">
        <v>122559</v>
      </c>
      <c r="D96">
        <v>589935</v>
      </c>
      <c r="F96">
        <f t="shared" si="10"/>
        <v>0.27558450807996465</v>
      </c>
      <c r="G96">
        <f t="shared" si="11"/>
        <v>-0.45462788063855064</v>
      </c>
      <c r="H96">
        <f t="shared" si="12"/>
        <v>1.2031394184516915</v>
      </c>
      <c r="I96">
        <f t="shared" si="13"/>
        <v>0.84186644857964121</v>
      </c>
      <c r="J96" s="26">
        <f t="shared" si="14"/>
        <v>5.6516036029924221E-2</v>
      </c>
      <c r="K96" s="26">
        <f t="shared" si="15"/>
        <v>7.2272475035711325E-2</v>
      </c>
      <c r="L96" s="26">
        <f t="shared" si="16"/>
        <v>5.4449793329165941E-2</v>
      </c>
      <c r="M96" s="26">
        <f t="shared" si="17"/>
        <v>0.19590456599620931</v>
      </c>
      <c r="N96" s="26">
        <f t="shared" si="18"/>
        <v>0.12737062828829404</v>
      </c>
      <c r="O96" s="26">
        <f t="shared" si="19"/>
        <v>0.25310845028847617</v>
      </c>
    </row>
    <row r="97" spans="1:15" x14ac:dyDescent="0.25">
      <c r="A97" s="2">
        <v>45364</v>
      </c>
      <c r="B97">
        <v>102191</v>
      </c>
      <c r="C97">
        <v>116532</v>
      </c>
      <c r="D97">
        <v>595452</v>
      </c>
      <c r="F97">
        <f t="shared" si="10"/>
        <v>0.26864371910215862</v>
      </c>
      <c r="G97">
        <f t="shared" si="11"/>
        <v>-0.65795802217405941</v>
      </c>
      <c r="H97">
        <f t="shared" si="12"/>
        <v>1.1403352545723204</v>
      </c>
      <c r="I97">
        <f t="shared" si="13"/>
        <v>0.49473863500644055</v>
      </c>
      <c r="J97" s="26">
        <f t="shared" si="14"/>
        <v>6.0670273328006397E-2</v>
      </c>
      <c r="K97" s="26">
        <f t="shared" si="15"/>
        <v>7.4039835528099451E-2</v>
      </c>
      <c r="L97" s="26">
        <f t="shared" si="16"/>
        <v>5.594222372040264E-2</v>
      </c>
      <c r="M97" s="26">
        <f t="shared" si="17"/>
        <v>0.20931159010033618</v>
      </c>
      <c r="N97" s="26">
        <f t="shared" si="18"/>
        <v>0.12920625160000565</v>
      </c>
      <c r="O97" s="26">
        <f t="shared" si="19"/>
        <v>0.25660871315450606</v>
      </c>
    </row>
    <row r="98" spans="1:15" x14ac:dyDescent="0.25">
      <c r="A98" s="2">
        <v>45363</v>
      </c>
      <c r="B98">
        <v>141021</v>
      </c>
      <c r="C98">
        <v>171464</v>
      </c>
      <c r="D98">
        <v>595309</v>
      </c>
      <c r="F98">
        <f t="shared" si="10"/>
        <v>0.34422457077266427</v>
      </c>
      <c r="G98">
        <f t="shared" si="11"/>
        <v>1.5510533083976865</v>
      </c>
      <c r="H98">
        <f t="shared" si="12"/>
        <v>1.2158756497259273</v>
      </c>
      <c r="I98">
        <f t="shared" si="13"/>
        <v>0.93423152414738775</v>
      </c>
      <c r="J98" s="26">
        <f t="shared" si="14"/>
        <v>6.3702137248476176E-2</v>
      </c>
      <c r="K98" s="26">
        <f t="shared" si="15"/>
        <v>7.5020977973281944E-2</v>
      </c>
      <c r="L98" s="26">
        <f t="shared" si="16"/>
        <v>5.6762575938363535E-2</v>
      </c>
      <c r="M98" s="26">
        <f t="shared" si="17"/>
        <v>0.22030349264115334</v>
      </c>
      <c r="N98" s="26">
        <f t="shared" si="18"/>
        <v>0.13105263025547975</v>
      </c>
      <c r="O98" s="26">
        <f t="shared" si="19"/>
        <v>0.26044511062272413</v>
      </c>
    </row>
    <row r="99" spans="1:15" x14ac:dyDescent="0.25">
      <c r="A99" s="2">
        <v>45362</v>
      </c>
      <c r="B99">
        <v>139846</v>
      </c>
      <c r="C99">
        <v>171014</v>
      </c>
      <c r="D99">
        <v>594124</v>
      </c>
      <c r="F99">
        <f t="shared" si="10"/>
        <v>0.34349778559620942</v>
      </c>
      <c r="G99">
        <f t="shared" si="11"/>
        <v>1.5442044965144801</v>
      </c>
      <c r="H99">
        <f t="shared" si="12"/>
        <v>1.2228737325343593</v>
      </c>
      <c r="I99">
        <f t="shared" si="13"/>
        <v>0.98653870750243677</v>
      </c>
      <c r="J99" s="26">
        <f t="shared" si="14"/>
        <v>6.252629596896514E-2</v>
      </c>
      <c r="K99" s="26">
        <f t="shared" si="15"/>
        <v>7.1901750395706399E-2</v>
      </c>
      <c r="L99" s="26">
        <f t="shared" si="16"/>
        <v>5.3542657068148813E-2</v>
      </c>
      <c r="M99" s="26">
        <f t="shared" si="17"/>
        <v>0.22232059830886697</v>
      </c>
      <c r="N99" s="26">
        <f t="shared" si="18"/>
        <v>0.12583885885784629</v>
      </c>
      <c r="O99" s="26">
        <f t="shared" si="19"/>
        <v>0.25736150454404538</v>
      </c>
    </row>
    <row r="100" spans="1:15" x14ac:dyDescent="0.25">
      <c r="A100" s="2">
        <v>45359</v>
      </c>
      <c r="B100">
        <v>140006</v>
      </c>
      <c r="C100">
        <v>170164</v>
      </c>
      <c r="D100">
        <v>587940</v>
      </c>
      <c r="F100">
        <f t="shared" si="10"/>
        <v>0.34535858636469918</v>
      </c>
      <c r="G100">
        <f t="shared" si="11"/>
        <v>1.6135909650130802</v>
      </c>
      <c r="H100">
        <f t="shared" si="12"/>
        <v>1.2154050540691113</v>
      </c>
      <c r="I100">
        <f t="shared" si="13"/>
        <v>0.95845648000179329</v>
      </c>
      <c r="J100" s="26">
        <f t="shared" si="14"/>
        <v>6.124372373891307E-2</v>
      </c>
      <c r="K100" s="26">
        <f t="shared" si="15"/>
        <v>6.8711869359780131E-2</v>
      </c>
      <c r="L100" s="26">
        <f t="shared" si="16"/>
        <v>5.0263343030480634E-2</v>
      </c>
      <c r="M100" s="26">
        <f t="shared" si="17"/>
        <v>0.22054803405567425</v>
      </c>
      <c r="N100" s="26">
        <f t="shared" si="18"/>
        <v>0.11890591823676866</v>
      </c>
      <c r="O100" s="26">
        <f t="shared" si="19"/>
        <v>0.25227323243135491</v>
      </c>
    </row>
    <row r="101" spans="1:15" x14ac:dyDescent="0.25">
      <c r="A101" s="2">
        <v>45358</v>
      </c>
      <c r="B101">
        <v>138786</v>
      </c>
      <c r="C101">
        <v>169904</v>
      </c>
      <c r="D101">
        <v>581840</v>
      </c>
      <c r="F101">
        <f t="shared" si="10"/>
        <v>0.34663627278137737</v>
      </c>
      <c r="G101">
        <f t="shared" si="11"/>
        <v>1.6671964294871549</v>
      </c>
      <c r="H101">
        <f t="shared" si="12"/>
        <v>1.2242156989898116</v>
      </c>
      <c r="I101">
        <f t="shared" si="13"/>
        <v>1.0209638912466803</v>
      </c>
      <c r="J101" s="26">
        <f t="shared" si="14"/>
        <v>5.9838105331921854E-2</v>
      </c>
      <c r="K101" s="26">
        <f t="shared" si="15"/>
        <v>6.5276795464867754E-2</v>
      </c>
      <c r="L101" s="26">
        <f t="shared" si="16"/>
        <v>4.6773023136382541E-2</v>
      </c>
      <c r="M101" s="26">
        <f t="shared" si="17"/>
        <v>0.22012406704682297</v>
      </c>
      <c r="N101" s="26">
        <f t="shared" si="18"/>
        <v>0.1138780978423386</v>
      </c>
      <c r="O101" s="26">
        <f t="shared" si="19"/>
        <v>0.2487691923466564</v>
      </c>
    </row>
    <row r="102" spans="1:15" x14ac:dyDescent="0.25">
      <c r="A102" s="2">
        <v>45357</v>
      </c>
      <c r="B102">
        <v>136771</v>
      </c>
      <c r="C102">
        <v>168482</v>
      </c>
      <c r="D102">
        <v>577666</v>
      </c>
      <c r="F102">
        <f t="shared" si="10"/>
        <v>0.34573160165315275</v>
      </c>
      <c r="G102">
        <f t="shared" si="11"/>
        <v>1.6570644540222104</v>
      </c>
      <c r="H102">
        <f t="shared" si="12"/>
        <v>1.2318547060414855</v>
      </c>
      <c r="I102">
        <f t="shared" si="13"/>
        <v>1.078276183377638</v>
      </c>
      <c r="J102" s="26">
        <f t="shared" si="14"/>
        <v>5.8295742880893897E-2</v>
      </c>
      <c r="K102" s="26">
        <f t="shared" si="15"/>
        <v>6.1596174104007528E-2</v>
      </c>
      <c r="L102" s="26">
        <f t="shared" si="16"/>
        <v>4.3070621435022605E-2</v>
      </c>
      <c r="M102" s="26">
        <f t="shared" si="17"/>
        <v>0.2223700937857922</v>
      </c>
      <c r="N102" s="26">
        <f t="shared" si="18"/>
        <v>0.11067924893129066</v>
      </c>
      <c r="O102" s="26">
        <f t="shared" si="19"/>
        <v>0.24673990001231083</v>
      </c>
    </row>
    <row r="103" spans="1:15" x14ac:dyDescent="0.25">
      <c r="A103" s="2">
        <v>45356</v>
      </c>
      <c r="B103">
        <v>134821</v>
      </c>
      <c r="C103">
        <v>167936</v>
      </c>
      <c r="D103">
        <v>574907</v>
      </c>
      <c r="F103">
        <f t="shared" si="10"/>
        <v>0.34495775148576219</v>
      </c>
      <c r="G103">
        <f t="shared" si="11"/>
        <v>1.6504984129059552</v>
      </c>
      <c r="H103">
        <f t="shared" si="12"/>
        <v>1.2456219728380593</v>
      </c>
      <c r="I103">
        <f t="shared" si="13"/>
        <v>1.1708822725942101</v>
      </c>
      <c r="J103" s="26">
        <f t="shared" si="14"/>
        <v>5.6810250469990331E-2</v>
      </c>
      <c r="K103" s="26">
        <f t="shared" si="15"/>
        <v>5.7761898358785035E-2</v>
      </c>
      <c r="L103" s="26">
        <f t="shared" si="16"/>
        <v>3.9213563504002902E-2</v>
      </c>
      <c r="M103" s="26">
        <f t="shared" si="17"/>
        <v>0.2216299181953314</v>
      </c>
      <c r="N103" s="26">
        <f t="shared" si="18"/>
        <v>0.10674024899595413</v>
      </c>
      <c r="O103" s="26">
        <f t="shared" si="19"/>
        <v>0.24408245090008518</v>
      </c>
    </row>
    <row r="104" spans="1:15" x14ac:dyDescent="0.25">
      <c r="A104" s="2">
        <v>45355</v>
      </c>
      <c r="B104">
        <v>132771</v>
      </c>
      <c r="C104">
        <v>165870</v>
      </c>
      <c r="D104">
        <v>580662</v>
      </c>
      <c r="F104">
        <f t="shared" si="10"/>
        <v>0.33963377811744072</v>
      </c>
      <c r="G104">
        <f t="shared" si="11"/>
        <v>1.5071217886054891</v>
      </c>
      <c r="H104">
        <f t="shared" si="12"/>
        <v>1.2492938970106424</v>
      </c>
      <c r="I104">
        <f t="shared" si="13"/>
        <v>1.2091683731585843</v>
      </c>
      <c r="J104" s="26">
        <f t="shared" si="14"/>
        <v>5.5782612357746453E-2</v>
      </c>
      <c r="K104" s="26">
        <f t="shared" si="15"/>
        <v>5.4066535056447651E-2</v>
      </c>
      <c r="L104" s="26">
        <f t="shared" si="16"/>
        <v>3.5439484334244653E-2</v>
      </c>
      <c r="M104" s="26">
        <f t="shared" si="17"/>
        <v>0.21665862578675577</v>
      </c>
      <c r="N104" s="26">
        <f t="shared" si="18"/>
        <v>0.10183294684322375</v>
      </c>
      <c r="O104" s="26">
        <f t="shared" si="19"/>
        <v>0.24038118020630939</v>
      </c>
    </row>
    <row r="105" spans="1:15" x14ac:dyDescent="0.25">
      <c r="A105" s="2">
        <v>45352</v>
      </c>
      <c r="B105">
        <v>132217</v>
      </c>
      <c r="C105">
        <v>165770</v>
      </c>
      <c r="D105">
        <v>575108</v>
      </c>
      <c r="F105">
        <f t="shared" si="10"/>
        <v>0.34129962947903719</v>
      </c>
      <c r="G105">
        <f t="shared" si="11"/>
        <v>1.5710390077702809</v>
      </c>
      <c r="H105">
        <f t="shared" si="12"/>
        <v>1.2537722078098883</v>
      </c>
      <c r="I105">
        <f t="shared" si="13"/>
        <v>1.2526192059548158</v>
      </c>
      <c r="J105" s="26">
        <f t="shared" si="14"/>
        <v>5.5446547964101589E-2</v>
      </c>
      <c r="K105" s="26">
        <f t="shared" si="15"/>
        <v>5.07175167272228E-2</v>
      </c>
      <c r="L105" s="26">
        <f t="shared" si="16"/>
        <v>3.201839311025434E-2</v>
      </c>
      <c r="M105" s="26">
        <f t="shared" si="17"/>
        <v>0.20887718664512445</v>
      </c>
      <c r="N105" s="26">
        <f t="shared" si="18"/>
        <v>9.7774744541736736E-2</v>
      </c>
      <c r="O105" s="26">
        <f t="shared" si="19"/>
        <v>0.23699516664625331</v>
      </c>
    </row>
    <row r="106" spans="1:15" x14ac:dyDescent="0.25">
      <c r="A106" s="2">
        <v>45351</v>
      </c>
      <c r="B106">
        <v>132337</v>
      </c>
      <c r="C106">
        <v>166192</v>
      </c>
      <c r="D106">
        <v>573093</v>
      </c>
      <c r="F106">
        <f t="shared" si="10"/>
        <v>0.34249823891549319</v>
      </c>
      <c r="G106">
        <f t="shared" si="11"/>
        <v>1.62214897882989</v>
      </c>
      <c r="H106">
        <f t="shared" si="12"/>
        <v>1.2558241459304653</v>
      </c>
      <c r="I106">
        <f t="shared" si="13"/>
        <v>1.2838641593397049</v>
      </c>
      <c r="J106" s="26">
        <f t="shared" si="14"/>
        <v>5.5246591191510708E-2</v>
      </c>
      <c r="K106" s="26">
        <f t="shared" si="15"/>
        <v>4.7521226361518842E-2</v>
      </c>
      <c r="L106" s="26">
        <f t="shared" si="16"/>
        <v>2.8719071248099082E-2</v>
      </c>
      <c r="M106" s="26">
        <f t="shared" si="17"/>
        <v>0.19949559294073627</v>
      </c>
      <c r="N106" s="26">
        <f t="shared" si="18"/>
        <v>9.3313727895694365E-2</v>
      </c>
      <c r="O106" s="26">
        <f t="shared" si="19"/>
        <v>0.23314771521549404</v>
      </c>
    </row>
    <row r="107" spans="1:15" x14ac:dyDescent="0.25">
      <c r="A107" s="2">
        <v>45350</v>
      </c>
      <c r="B107">
        <v>131337</v>
      </c>
      <c r="C107">
        <v>165574</v>
      </c>
      <c r="D107">
        <v>573118</v>
      </c>
      <c r="F107">
        <f t="shared" si="10"/>
        <v>0.34126563597305376</v>
      </c>
      <c r="G107">
        <f t="shared" si="11"/>
        <v>1.6001090814115937</v>
      </c>
      <c r="H107">
        <f t="shared" si="12"/>
        <v>1.2606805393758043</v>
      </c>
      <c r="I107">
        <f t="shared" si="13"/>
        <v>1.3314133361957459</v>
      </c>
      <c r="J107" s="26">
        <f t="shared" si="14"/>
        <v>5.4908091981517998E-2</v>
      </c>
      <c r="K107" s="26">
        <f t="shared" si="15"/>
        <v>4.4348566068446282E-2</v>
      </c>
      <c r="L107" s="26">
        <f t="shared" si="16"/>
        <v>2.5446680560571033E-2</v>
      </c>
      <c r="M107" s="26">
        <f t="shared" si="17"/>
        <v>0.18829442200635471</v>
      </c>
      <c r="N107" s="26">
        <f t="shared" si="18"/>
        <v>8.8632301483530851E-2</v>
      </c>
      <c r="O107" s="26">
        <f t="shared" si="19"/>
        <v>0.22904321181597509</v>
      </c>
    </row>
    <row r="108" spans="1:15" x14ac:dyDescent="0.25">
      <c r="A108" s="2">
        <v>45349</v>
      </c>
      <c r="B108">
        <v>131912</v>
      </c>
      <c r="C108">
        <v>164254</v>
      </c>
      <c r="D108">
        <v>572930</v>
      </c>
      <c r="F108">
        <f t="shared" si="10"/>
        <v>0.34077478207240625</v>
      </c>
      <c r="G108">
        <f t="shared" si="11"/>
        <v>1.6001198314039051</v>
      </c>
      <c r="H108">
        <f t="shared" si="12"/>
        <v>1.2451786039177632</v>
      </c>
      <c r="I108">
        <f t="shared" si="13"/>
        <v>1.2678450777976</v>
      </c>
      <c r="J108" s="26">
        <f t="shared" si="14"/>
        <v>5.435414973767258E-2</v>
      </c>
      <c r="K108" s="26">
        <f t="shared" si="15"/>
        <v>4.0996881107278782E-2</v>
      </c>
      <c r="L108" s="26">
        <f t="shared" si="16"/>
        <v>2.2078844215435434E-2</v>
      </c>
      <c r="M108" s="26">
        <f t="shared" si="17"/>
        <v>0.17023314564372405</v>
      </c>
      <c r="N108" s="26">
        <f t="shared" si="18"/>
        <v>8.0957692143087234E-2</v>
      </c>
      <c r="O108" s="26">
        <f t="shared" si="19"/>
        <v>0.22251701531530577</v>
      </c>
    </row>
    <row r="109" spans="1:15" x14ac:dyDescent="0.25">
      <c r="A109" s="2">
        <v>45348</v>
      </c>
      <c r="B109">
        <v>129429</v>
      </c>
      <c r="C109">
        <v>162754</v>
      </c>
      <c r="D109">
        <v>575422</v>
      </c>
      <c r="F109">
        <f t="shared" si="10"/>
        <v>0.33676961289987956</v>
      </c>
      <c r="G109">
        <f t="shared" si="11"/>
        <v>1.4928118677716085</v>
      </c>
      <c r="H109">
        <f t="shared" si="12"/>
        <v>1.257477072371725</v>
      </c>
      <c r="I109">
        <f t="shared" si="13"/>
        <v>1.3565980395765291</v>
      </c>
      <c r="J109" s="26">
        <f t="shared" si="14"/>
        <v>5.272983481306967E-2</v>
      </c>
      <c r="K109" s="26">
        <f t="shared" si="15"/>
        <v>3.6961815611671056E-2</v>
      </c>
      <c r="L109" s="26">
        <f t="shared" si="16"/>
        <v>1.8069952092570229E-2</v>
      </c>
      <c r="M109" s="26">
        <f t="shared" si="17"/>
        <v>0.1469175012926669</v>
      </c>
      <c r="N109" s="26">
        <f t="shared" si="18"/>
        <v>7.0654087305285218E-2</v>
      </c>
      <c r="O109" s="26">
        <f t="shared" si="19"/>
        <v>0.21316223414141677</v>
      </c>
    </row>
    <row r="110" spans="1:15" x14ac:dyDescent="0.25">
      <c r="A110" s="2">
        <v>45345</v>
      </c>
      <c r="B110">
        <v>123179</v>
      </c>
      <c r="C110">
        <v>160679</v>
      </c>
      <c r="D110">
        <v>573559</v>
      </c>
      <c r="F110">
        <f t="shared" si="10"/>
        <v>0.33106178207336689</v>
      </c>
      <c r="G110">
        <f t="shared" si="11"/>
        <v>1.331498069764254</v>
      </c>
      <c r="H110">
        <f t="shared" si="12"/>
        <v>1.3044350092142329</v>
      </c>
      <c r="I110">
        <f t="shared" si="13"/>
        <v>1.6398958136141437</v>
      </c>
      <c r="J110" s="26">
        <f t="shared" si="14"/>
        <v>5.1131133182543559E-2</v>
      </c>
      <c r="K110" s="26">
        <f t="shared" si="15"/>
        <v>3.3094813588390504E-2</v>
      </c>
      <c r="L110" s="26">
        <f t="shared" si="16"/>
        <v>1.4096257025573433E-2</v>
      </c>
      <c r="M110" s="26">
        <f t="shared" si="17"/>
        <v>0.12338838343800473</v>
      </c>
      <c r="N110" s="26">
        <f t="shared" si="18"/>
        <v>6.1653723722317144E-2</v>
      </c>
      <c r="O110" s="26">
        <f t="shared" si="19"/>
        <v>0.20390068260304739</v>
      </c>
    </row>
    <row r="111" spans="1:15" x14ac:dyDescent="0.25">
      <c r="A111" s="2">
        <v>45344</v>
      </c>
      <c r="B111">
        <v>115399</v>
      </c>
      <c r="C111">
        <v>159589</v>
      </c>
      <c r="D111">
        <v>571901</v>
      </c>
      <c r="F111">
        <f t="shared" si="10"/>
        <v>0.32470370969513124</v>
      </c>
      <c r="G111">
        <f t="shared" si="11"/>
        <v>1.1480278805842588</v>
      </c>
      <c r="H111">
        <f t="shared" si="12"/>
        <v>1.3829322611114481</v>
      </c>
      <c r="I111">
        <f t="shared" si="13"/>
        <v>2.1104701894935172</v>
      </c>
      <c r="J111" s="26">
        <f t="shared" si="14"/>
        <v>4.9777683857249233E-2</v>
      </c>
      <c r="K111" s="26">
        <f t="shared" si="15"/>
        <v>2.9512733991357842E-2</v>
      </c>
      <c r="L111" s="26">
        <f t="shared" si="16"/>
        <v>1.0386317051651162E-2</v>
      </c>
      <c r="M111" s="26">
        <f t="shared" si="17"/>
        <v>9.7225888321892828E-2</v>
      </c>
      <c r="N111" s="26">
        <f t="shared" si="18"/>
        <v>5.0117880468352638E-2</v>
      </c>
      <c r="O111" s="26">
        <f t="shared" si="19"/>
        <v>0.19215691714830629</v>
      </c>
    </row>
    <row r="112" spans="1:15" x14ac:dyDescent="0.25">
      <c r="A112" s="2">
        <v>45343</v>
      </c>
      <c r="B112">
        <v>114489</v>
      </c>
      <c r="C112">
        <v>153544</v>
      </c>
      <c r="D112">
        <v>566114</v>
      </c>
      <c r="F112">
        <f t="shared" si="10"/>
        <v>0.32132585743280262</v>
      </c>
      <c r="G112">
        <f t="shared" si="11"/>
        <v>1.0537479917759938</v>
      </c>
      <c r="H112">
        <f t="shared" si="12"/>
        <v>1.3411244748403777</v>
      </c>
      <c r="I112">
        <f t="shared" si="13"/>
        <v>1.9293025825005841</v>
      </c>
      <c r="J112" s="26">
        <f t="shared" si="14"/>
        <v>4.8633767967642377E-2</v>
      </c>
      <c r="K112" s="26">
        <f t="shared" si="15"/>
        <v>2.6066381255479332E-2</v>
      </c>
      <c r="L112" s="26">
        <f t="shared" si="16"/>
        <v>6.8918010675604879E-3</v>
      </c>
      <c r="M112" s="26">
        <f t="shared" si="17"/>
        <v>6.5957535587836569E-2</v>
      </c>
      <c r="N112" s="26">
        <f t="shared" si="18"/>
        <v>3.4211279511280779E-2</v>
      </c>
      <c r="O112" s="26">
        <f t="shared" si="19"/>
        <v>0.17603314496635036</v>
      </c>
    </row>
    <row r="113" spans="1:15" x14ac:dyDescent="0.25">
      <c r="A113" s="2">
        <v>45342</v>
      </c>
      <c r="B113">
        <v>112149</v>
      </c>
      <c r="C113">
        <v>150469</v>
      </c>
      <c r="D113">
        <v>565734</v>
      </c>
      <c r="F113">
        <f t="shared" si="10"/>
        <v>0.31703671868963917</v>
      </c>
      <c r="G113">
        <f t="shared" si="11"/>
        <v>0.93099960520095915</v>
      </c>
      <c r="H113">
        <f t="shared" si="12"/>
        <v>1.3416882896860427</v>
      </c>
      <c r="I113">
        <f t="shared" si="13"/>
        <v>1.9782427415416579</v>
      </c>
      <c r="J113" s="26">
        <f t="shared" si="14"/>
        <v>4.7623032575506236E-2</v>
      </c>
      <c r="K113" s="26">
        <f t="shared" si="15"/>
        <v>2.2487027704939211E-2</v>
      </c>
      <c r="L113" s="26">
        <f t="shared" si="16"/>
        <v>3.3889561485032638E-3</v>
      </c>
      <c r="M113" s="26">
        <f t="shared" si="17"/>
        <v>3.5213069959863841E-2</v>
      </c>
      <c r="N113" s="26">
        <f t="shared" si="18"/>
        <v>1.9447336334066145E-2</v>
      </c>
      <c r="O113" s="26">
        <f t="shared" si="19"/>
        <v>0.16102830913233879</v>
      </c>
    </row>
    <row r="114" spans="1:15" x14ac:dyDescent="0.25">
      <c r="A114" s="2">
        <v>45341</v>
      </c>
      <c r="B114">
        <v>111654</v>
      </c>
      <c r="C114">
        <v>148609</v>
      </c>
      <c r="D114">
        <v>567535</v>
      </c>
      <c r="F114">
        <f t="shared" si="10"/>
        <v>0.31440399711040617</v>
      </c>
      <c r="G114">
        <f t="shared" si="11"/>
        <v>0.85805616450563738</v>
      </c>
      <c r="H114">
        <f t="shared" si="12"/>
        <v>1.3309778422627043</v>
      </c>
      <c r="I114">
        <f t="shared" si="13"/>
        <v>1.9643327077617485</v>
      </c>
      <c r="J114" s="26">
        <f t="shared" si="14"/>
        <v>4.6771863607797698E-2</v>
      </c>
      <c r="K114" s="26">
        <f t="shared" si="15"/>
        <v>1.9045314286474213E-2</v>
      </c>
      <c r="L114" s="26">
        <f t="shared" si="16"/>
        <v>1.2968723380746283E-5</v>
      </c>
      <c r="M114" s="26">
        <f t="shared" si="17"/>
        <v>2.487612718280019E-3</v>
      </c>
      <c r="N114" s="26">
        <f t="shared" si="18"/>
        <v>4.4549984819122201E-3</v>
      </c>
      <c r="O114" s="26">
        <f t="shared" si="19"/>
        <v>0.14497300031650162</v>
      </c>
    </row>
    <row r="115" spans="1:15" x14ac:dyDescent="0.25">
      <c r="A115" s="2">
        <v>45338</v>
      </c>
      <c r="B115">
        <v>114028</v>
      </c>
      <c r="C115">
        <v>144844</v>
      </c>
      <c r="D115">
        <v>561976</v>
      </c>
      <c r="F115">
        <f t="shared" si="10"/>
        <v>0.31537142077461355</v>
      </c>
      <c r="G115">
        <f t="shared" si="11"/>
        <v>0.89426923071124764</v>
      </c>
      <c r="H115">
        <f t="shared" si="12"/>
        <v>1.2702494124250183</v>
      </c>
      <c r="I115">
        <f t="shared" si="13"/>
        <v>1.6542916939546681</v>
      </c>
      <c r="J115" s="26">
        <f t="shared" si="14"/>
        <v>4.9189755546629466E-2</v>
      </c>
      <c r="K115" s="26">
        <f t="shared" si="15"/>
        <v>1.5895707708217799E-2</v>
      </c>
      <c r="L115" s="26">
        <f t="shared" si="16"/>
        <v>-3.1251651613444786E-3</v>
      </c>
      <c r="M115" s="26">
        <f t="shared" si="17"/>
        <v>-3.4507094361234447E-2</v>
      </c>
      <c r="N115" s="26">
        <f t="shared" si="18"/>
        <v>-1.2938613423248979E-2</v>
      </c>
      <c r="O115" s="26">
        <f t="shared" si="19"/>
        <v>0.12689478213857996</v>
      </c>
    </row>
    <row r="116" spans="1:15" x14ac:dyDescent="0.25">
      <c r="A116" s="2">
        <v>45337</v>
      </c>
      <c r="B116">
        <v>113078</v>
      </c>
      <c r="C116">
        <v>136369</v>
      </c>
      <c r="D116">
        <v>561160</v>
      </c>
      <c r="F116">
        <f t="shared" si="10"/>
        <v>0.30772865272567346</v>
      </c>
      <c r="G116">
        <f t="shared" si="11"/>
        <v>0.66927789828301953</v>
      </c>
      <c r="H116">
        <f t="shared" si="12"/>
        <v>1.2059728682856081</v>
      </c>
      <c r="I116">
        <f t="shared" si="13"/>
        <v>1.3058693666334624</v>
      </c>
      <c r="J116" s="26">
        <f t="shared" si="14"/>
        <v>5.1618140837043303E-2</v>
      </c>
      <c r="K116" s="26">
        <f t="shared" si="15"/>
        <v>1.2634011380868837E-2</v>
      </c>
      <c r="L116" s="26">
        <f t="shared" si="16"/>
        <v>-6.3211880861562819E-3</v>
      </c>
      <c r="M116" s="26">
        <f t="shared" si="17"/>
        <v>-6.6940684972132347E-2</v>
      </c>
      <c r="N116" s="26">
        <f t="shared" si="18"/>
        <v>-2.7867481598359944E-2</v>
      </c>
      <c r="O116" s="26">
        <f t="shared" si="19"/>
        <v>0.1112390350039516</v>
      </c>
    </row>
    <row r="117" spans="1:15" x14ac:dyDescent="0.25">
      <c r="A117" s="2">
        <v>45336</v>
      </c>
      <c r="B117">
        <v>112628</v>
      </c>
      <c r="C117">
        <v>135744</v>
      </c>
      <c r="D117">
        <v>559569</v>
      </c>
      <c r="F117">
        <f t="shared" si="10"/>
        <v>0.30741353638446373</v>
      </c>
      <c r="G117">
        <f t="shared" si="11"/>
        <v>0.66160797933423476</v>
      </c>
      <c r="H117">
        <f t="shared" si="12"/>
        <v>1.2052420357282381</v>
      </c>
      <c r="I117">
        <f t="shared" si="13"/>
        <v>1.3237212081440135</v>
      </c>
      <c r="J117" s="26">
        <f t="shared" si="14"/>
        <v>5.4391733157150929E-2</v>
      </c>
      <c r="K117" s="26">
        <f t="shared" si="15"/>
        <v>9.623733235307852E-3</v>
      </c>
      <c r="L117" s="26">
        <f t="shared" si="16"/>
        <v>-9.249264247695288E-3</v>
      </c>
      <c r="M117" s="26">
        <f t="shared" si="17"/>
        <v>-0.10031907163421661</v>
      </c>
      <c r="N117" s="26">
        <f t="shared" si="18"/>
        <v>-4.0631344821175031E-2</v>
      </c>
      <c r="O117" s="26">
        <f t="shared" si="19"/>
        <v>9.8105289974530052E-2</v>
      </c>
    </row>
    <row r="118" spans="1:15" x14ac:dyDescent="0.25">
      <c r="A118" s="2">
        <v>45335</v>
      </c>
      <c r="B118">
        <v>106193</v>
      </c>
      <c r="C118">
        <v>122634</v>
      </c>
      <c r="D118">
        <v>558708</v>
      </c>
      <c r="F118">
        <f t="shared" si="10"/>
        <v>0.29056105442932695</v>
      </c>
      <c r="G118">
        <f t="shared" si="11"/>
        <v>0.15312247856217198</v>
      </c>
      <c r="H118">
        <f t="shared" si="12"/>
        <v>1.154821880914938</v>
      </c>
      <c r="I118">
        <f t="shared" si="13"/>
        <v>1.0437960457560274</v>
      </c>
      <c r="J118" s="26">
        <f t="shared" si="14"/>
        <v>5.7187101497635673E-2</v>
      </c>
      <c r="K118" s="26">
        <f t="shared" si="15"/>
        <v>6.4490219856253028E-3</v>
      </c>
      <c r="L118" s="26">
        <f t="shared" si="16"/>
        <v>-1.2355003602209202E-2</v>
      </c>
      <c r="M118" s="26">
        <f t="shared" si="17"/>
        <v>-0.13255842584033828</v>
      </c>
      <c r="N118" s="26">
        <f t="shared" si="18"/>
        <v>-5.2835529504027701E-2</v>
      </c>
      <c r="O118" s="26">
        <f t="shared" si="19"/>
        <v>8.5303117326405609E-2</v>
      </c>
    </row>
    <row r="119" spans="1:15" x14ac:dyDescent="0.25">
      <c r="A119" s="2">
        <v>45334</v>
      </c>
      <c r="B119">
        <v>104768</v>
      </c>
      <c r="C119">
        <v>114784</v>
      </c>
      <c r="D119">
        <v>556619</v>
      </c>
      <c r="F119">
        <f t="shared" si="10"/>
        <v>0.2828655025761076</v>
      </c>
      <c r="G119">
        <f t="shared" si="11"/>
        <v>-7.4585937883266076E-2</v>
      </c>
      <c r="H119">
        <f t="shared" si="12"/>
        <v>1.0956017104459377</v>
      </c>
      <c r="I119">
        <f t="shared" si="13"/>
        <v>0.70382851485436748</v>
      </c>
      <c r="J119" s="26">
        <f t="shared" si="14"/>
        <v>5.2026650221353221E-2</v>
      </c>
      <c r="K119" s="26">
        <f t="shared" si="15"/>
        <v>3.829549160563106E-3</v>
      </c>
      <c r="L119" s="26">
        <f t="shared" si="16"/>
        <v>-1.4801978058842813E-2</v>
      </c>
      <c r="M119" s="26">
        <f t="shared" si="17"/>
        <v>-0.15799897588232703</v>
      </c>
      <c r="N119" s="26">
        <f t="shared" si="18"/>
        <v>-6.1808936634998979E-2</v>
      </c>
      <c r="O119" s="26">
        <f t="shared" si="19"/>
        <v>7.5340858015680134E-2</v>
      </c>
    </row>
    <row r="120" spans="1:15" x14ac:dyDescent="0.25">
      <c r="A120" s="2">
        <v>45331</v>
      </c>
      <c r="B120">
        <v>104743</v>
      </c>
      <c r="C120">
        <v>111772</v>
      </c>
      <c r="D120">
        <v>554013</v>
      </c>
      <c r="F120">
        <f t="shared" si="10"/>
        <v>0.28099562897130281</v>
      </c>
      <c r="G120">
        <f t="shared" si="11"/>
        <v>-0.12597818493758886</v>
      </c>
      <c r="H120">
        <f t="shared" si="12"/>
        <v>1.0671071097829927</v>
      </c>
      <c r="I120">
        <f t="shared" si="13"/>
        <v>0.543020597970025</v>
      </c>
      <c r="J120" s="26">
        <f t="shared" si="14"/>
        <v>4.730770119578262E-2</v>
      </c>
      <c r="K120" s="26">
        <f t="shared" si="15"/>
        <v>1.4059548282408518E-3</v>
      </c>
      <c r="L120" s="26">
        <f t="shared" si="16"/>
        <v>-1.7031951807324197E-2</v>
      </c>
      <c r="M120" s="26">
        <f t="shared" si="17"/>
        <v>-0.17963845515982446</v>
      </c>
      <c r="N120" s="26">
        <f t="shared" si="18"/>
        <v>-6.8169082863554609E-2</v>
      </c>
      <c r="O120" s="26">
        <f t="shared" si="19"/>
        <v>6.7867629608317381E-2</v>
      </c>
    </row>
    <row r="121" spans="1:15" x14ac:dyDescent="0.25">
      <c r="A121" s="2">
        <v>45330</v>
      </c>
      <c r="B121">
        <v>101418</v>
      </c>
      <c r="C121">
        <v>110492</v>
      </c>
      <c r="D121">
        <v>548277</v>
      </c>
      <c r="F121">
        <f t="shared" si="10"/>
        <v>0.27876035764884166</v>
      </c>
      <c r="G121">
        <f t="shared" si="11"/>
        <v>-0.1872349178107737</v>
      </c>
      <c r="H121">
        <f t="shared" si="12"/>
        <v>1.0894712970084206</v>
      </c>
      <c r="I121">
        <f t="shared" si="13"/>
        <v>0.68654747171830621</v>
      </c>
      <c r="J121" s="26">
        <f t="shared" si="14"/>
        <v>4.2831648085201651E-2</v>
      </c>
      <c r="K121" s="26">
        <f t="shared" si="15"/>
        <v>-1.0139906198351478E-3</v>
      </c>
      <c r="L121" s="26">
        <f t="shared" si="16"/>
        <v>-1.9220369411174443E-2</v>
      </c>
      <c r="M121" s="26">
        <f t="shared" si="17"/>
        <v>-0.19611241054006223</v>
      </c>
      <c r="N121" s="26">
        <f t="shared" si="18"/>
        <v>-7.2110968335832082E-2</v>
      </c>
      <c r="O121" s="26">
        <f t="shared" si="19"/>
        <v>6.2563795914168385E-2</v>
      </c>
    </row>
    <row r="122" spans="1:15" x14ac:dyDescent="0.25">
      <c r="A122" s="2">
        <v>45329</v>
      </c>
      <c r="B122">
        <v>97418</v>
      </c>
      <c r="C122">
        <v>109377</v>
      </c>
      <c r="D122">
        <v>542187</v>
      </c>
      <c r="F122">
        <f t="shared" si="10"/>
        <v>0.27610142833873175</v>
      </c>
      <c r="G122">
        <f t="shared" si="11"/>
        <v>-0.26074264149447685</v>
      </c>
      <c r="H122">
        <f t="shared" si="12"/>
        <v>1.1227596542733376</v>
      </c>
      <c r="I122">
        <f t="shared" si="13"/>
        <v>0.89728690209373541</v>
      </c>
      <c r="J122" s="26">
        <f t="shared" si="14"/>
        <v>3.8085803368409443E-2</v>
      </c>
      <c r="K122" s="26">
        <f t="shared" si="15"/>
        <v>-3.5684405619605397E-3</v>
      </c>
      <c r="L122" s="26">
        <f t="shared" si="16"/>
        <v>-2.1498582565993629E-2</v>
      </c>
      <c r="M122" s="26">
        <f t="shared" si="17"/>
        <v>-0.21120176697718018</v>
      </c>
      <c r="N122" s="26">
        <f t="shared" si="18"/>
        <v>-7.5453224207545633E-2</v>
      </c>
      <c r="O122" s="26">
        <f t="shared" si="19"/>
        <v>5.7344768041439953E-2</v>
      </c>
    </row>
    <row r="123" spans="1:15" x14ac:dyDescent="0.25">
      <c r="A123" s="2">
        <v>45328</v>
      </c>
      <c r="B123">
        <v>95805</v>
      </c>
      <c r="C123">
        <v>107302</v>
      </c>
      <c r="D123">
        <v>541996</v>
      </c>
      <c r="F123">
        <f t="shared" si="10"/>
        <v>0.27258915881428475</v>
      </c>
      <c r="G123">
        <f t="shared" si="11"/>
        <v>-0.35918336822273567</v>
      </c>
      <c r="H123">
        <f t="shared" si="12"/>
        <v>1.120004175147435</v>
      </c>
      <c r="I123">
        <f t="shared" si="13"/>
        <v>0.89417167051556268</v>
      </c>
      <c r="J123" s="26">
        <f t="shared" si="14"/>
        <v>3.3077575795449787E-2</v>
      </c>
      <c r="K123" s="26">
        <f t="shared" si="15"/>
        <v>-6.2615225624793602E-3</v>
      </c>
      <c r="L123" s="26">
        <f t="shared" si="16"/>
        <v>-2.3760356373815683E-2</v>
      </c>
      <c r="M123" s="26">
        <f t="shared" si="17"/>
        <v>-0.22734678480221437</v>
      </c>
      <c r="N123" s="26">
        <f t="shared" si="18"/>
        <v>-8.0414926118870245E-2</v>
      </c>
      <c r="O123" s="26">
        <f t="shared" si="19"/>
        <v>5.050671822818209E-2</v>
      </c>
    </row>
    <row r="124" spans="1:15" x14ac:dyDescent="0.25">
      <c r="A124" s="2">
        <v>45327</v>
      </c>
      <c r="B124">
        <v>95805</v>
      </c>
      <c r="C124">
        <v>106652</v>
      </c>
      <c r="D124">
        <v>538082</v>
      </c>
      <c r="F124">
        <f t="shared" si="10"/>
        <v>0.27339140815000967</v>
      </c>
      <c r="G124">
        <f t="shared" si="11"/>
        <v>-0.26848732948322873</v>
      </c>
      <c r="H124">
        <f t="shared" si="12"/>
        <v>1.1132195605657325</v>
      </c>
      <c r="I124">
        <f t="shared" si="13"/>
        <v>0.86657455438759967</v>
      </c>
      <c r="J124" s="26">
        <f t="shared" si="14"/>
        <v>2.760318378585741E-2</v>
      </c>
      <c r="K124" s="26">
        <f t="shared" si="15"/>
        <v>-9.247525096963749E-3</v>
      </c>
      <c r="L124" s="26">
        <f t="shared" si="16"/>
        <v>-2.625071464656098E-2</v>
      </c>
      <c r="M124" s="26">
        <f t="shared" si="17"/>
        <v>-0.23759337358635402</v>
      </c>
      <c r="N124" s="26">
        <f t="shared" si="18"/>
        <v>-8.2328491873180587E-2</v>
      </c>
      <c r="O124" s="26">
        <f t="shared" si="19"/>
        <v>4.6634532587458866E-2</v>
      </c>
    </row>
    <row r="125" spans="1:15" x14ac:dyDescent="0.25">
      <c r="A125" s="2">
        <v>45324</v>
      </c>
      <c r="B125">
        <v>95081</v>
      </c>
      <c r="C125">
        <v>106902</v>
      </c>
      <c r="D125">
        <v>533098</v>
      </c>
      <c r="F125">
        <f t="shared" si="10"/>
        <v>0.27477652122691243</v>
      </c>
      <c r="G125">
        <f t="shared" si="11"/>
        <v>-0.18494776973548158</v>
      </c>
      <c r="H125">
        <f t="shared" si="12"/>
        <v>1.1243255750360219</v>
      </c>
      <c r="I125">
        <f t="shared" si="13"/>
        <v>0.94589766187782454</v>
      </c>
      <c r="J125" s="26">
        <f t="shared" si="14"/>
        <v>2.1734319679508951E-2</v>
      </c>
      <c r="K125" s="26">
        <f t="shared" si="15"/>
        <v>-1.276234639061552E-2</v>
      </c>
      <c r="L125" s="26">
        <f t="shared" si="16"/>
        <v>-2.9183017748657114E-2</v>
      </c>
      <c r="M125" s="26">
        <f t="shared" si="17"/>
        <v>-0.2452105627781096</v>
      </c>
      <c r="N125" s="26">
        <f t="shared" si="18"/>
        <v>-8.0041495319981726E-2</v>
      </c>
      <c r="O125" s="26">
        <f t="shared" si="19"/>
        <v>4.6470278534999632E-2</v>
      </c>
    </row>
    <row r="126" spans="1:15" x14ac:dyDescent="0.25">
      <c r="A126" s="2">
        <v>45323</v>
      </c>
      <c r="B126">
        <v>94971</v>
      </c>
      <c r="C126">
        <v>106652</v>
      </c>
      <c r="D126">
        <v>522663</v>
      </c>
      <c r="F126">
        <f t="shared" si="10"/>
        <v>0.27837484087777481</v>
      </c>
      <c r="G126">
        <f t="shared" si="11"/>
        <v>-9.3895825454675216E-2</v>
      </c>
      <c r="H126">
        <f t="shared" si="12"/>
        <v>1.122995440713481</v>
      </c>
      <c r="I126">
        <f t="shared" si="13"/>
        <v>0.95115913523527051</v>
      </c>
      <c r="J126" s="26">
        <f t="shared" si="14"/>
        <v>1.5145935463907106E-2</v>
      </c>
      <c r="K126" s="26">
        <f t="shared" si="15"/>
        <v>-1.6673825171000467E-2</v>
      </c>
      <c r="L126" s="26">
        <f t="shared" si="16"/>
        <v>-3.2595699270980105E-2</v>
      </c>
      <c r="M126" s="26">
        <f t="shared" si="17"/>
        <v>-0.24491779955386561</v>
      </c>
      <c r="N126" s="26">
        <f t="shared" si="18"/>
        <v>-7.2807244839625529E-2</v>
      </c>
      <c r="O126" s="26">
        <f t="shared" si="19"/>
        <v>5.0125088819140129E-2</v>
      </c>
    </row>
    <row r="127" spans="1:15" x14ac:dyDescent="0.25">
      <c r="A127" s="2">
        <v>45322</v>
      </c>
      <c r="B127">
        <v>94671</v>
      </c>
      <c r="C127">
        <v>106027</v>
      </c>
      <c r="D127">
        <v>516276</v>
      </c>
      <c r="F127">
        <f t="shared" si="10"/>
        <v>0.2799236792408093</v>
      </c>
      <c r="G127">
        <f t="shared" si="11"/>
        <v>-5.1093150886890745E-2</v>
      </c>
      <c r="H127">
        <f t="shared" si="12"/>
        <v>1.1199522557066051</v>
      </c>
      <c r="I127">
        <f t="shared" si="13"/>
        <v>0.94577071461593676</v>
      </c>
      <c r="J127" s="26">
        <f t="shared" si="14"/>
        <v>8.5096621484530843E-3</v>
      </c>
      <c r="K127" s="26">
        <f t="shared" si="15"/>
        <v>-2.0570670241486122E-2</v>
      </c>
      <c r="L127" s="26">
        <f t="shared" si="16"/>
        <v>-3.5970726935709296E-2</v>
      </c>
      <c r="M127" s="26">
        <f t="shared" si="17"/>
        <v>-0.24148346103284646</v>
      </c>
      <c r="N127" s="26">
        <f t="shared" si="18"/>
        <v>-6.3834295857465806E-2</v>
      </c>
      <c r="O127" s="26">
        <f t="shared" si="19"/>
        <v>5.4761750530539666E-2</v>
      </c>
    </row>
    <row r="128" spans="1:15" x14ac:dyDescent="0.25">
      <c r="A128" s="2">
        <v>45321</v>
      </c>
      <c r="B128">
        <v>94496</v>
      </c>
      <c r="C128">
        <v>102180</v>
      </c>
      <c r="D128">
        <v>514399</v>
      </c>
      <c r="F128">
        <f t="shared" si="10"/>
        <v>0.27658967056920858</v>
      </c>
      <c r="G128">
        <f t="shared" si="11"/>
        <v>-0.12332450991014618</v>
      </c>
      <c r="H128">
        <f t="shared" si="12"/>
        <v>1.081315611242804</v>
      </c>
      <c r="I128">
        <f t="shared" si="13"/>
        <v>0.72182332780048131</v>
      </c>
      <c r="J128" s="26">
        <f t="shared" si="14"/>
        <v>2.2445171546680576E-3</v>
      </c>
      <c r="K128" s="26">
        <f t="shared" si="15"/>
        <v>-2.4244629737144169E-2</v>
      </c>
      <c r="L128" s="26">
        <f t="shared" si="16"/>
        <v>-3.9135920825426801E-2</v>
      </c>
      <c r="M128" s="26">
        <f t="shared" si="17"/>
        <v>-0.23351383017949656</v>
      </c>
      <c r="N128" s="26">
        <f t="shared" si="18"/>
        <v>-5.2721804749032097E-2</v>
      </c>
      <c r="O128" s="26">
        <f t="shared" si="19"/>
        <v>6.0974480526320152E-2</v>
      </c>
    </row>
    <row r="129" spans="1:15" x14ac:dyDescent="0.25">
      <c r="A129" s="2">
        <v>45320</v>
      </c>
      <c r="B129">
        <v>94271</v>
      </c>
      <c r="C129">
        <v>96005</v>
      </c>
      <c r="D129">
        <v>528407</v>
      </c>
      <c r="F129">
        <f t="shared" si="10"/>
        <v>0.2647565059977765</v>
      </c>
      <c r="G129">
        <f t="shared" si="11"/>
        <v>-0.39408370309229374</v>
      </c>
      <c r="H129">
        <f t="shared" si="12"/>
        <v>1.0183937796353066</v>
      </c>
      <c r="I129">
        <f t="shared" si="13"/>
        <v>0.34436323097484478</v>
      </c>
      <c r="J129" s="26">
        <f t="shared" si="14"/>
        <v>-3.8743626270127396E-3</v>
      </c>
      <c r="K129" s="26">
        <f t="shared" si="15"/>
        <v>-2.7825989504619425E-2</v>
      </c>
      <c r="L129" s="26">
        <f t="shared" si="16"/>
        <v>-4.217718168530607E-2</v>
      </c>
      <c r="M129" s="26">
        <f t="shared" si="17"/>
        <v>-0.21724152326306134</v>
      </c>
      <c r="N129" s="26">
        <f t="shared" si="18"/>
        <v>-3.5657026842558448E-2</v>
      </c>
      <c r="O129" s="26">
        <f t="shared" si="19"/>
        <v>7.2277896559795329E-2</v>
      </c>
    </row>
    <row r="130" spans="1:15" x14ac:dyDescent="0.25">
      <c r="A130" s="2">
        <v>45317</v>
      </c>
      <c r="B130">
        <v>91996</v>
      </c>
      <c r="C130">
        <v>94878</v>
      </c>
      <c r="D130">
        <v>526382</v>
      </c>
      <c r="F130">
        <f t="shared" si="10"/>
        <v>0.26200130107563063</v>
      </c>
      <c r="G130">
        <f t="shared" si="11"/>
        <v>-0.45180076040520128</v>
      </c>
      <c r="H130">
        <f t="shared" si="12"/>
        <v>1.0313274490195226</v>
      </c>
      <c r="I130">
        <f t="shared" si="13"/>
        <v>0.42735835621611662</v>
      </c>
      <c r="J130" s="26">
        <f t="shared" si="14"/>
        <v>-9.2949149839457179E-3</v>
      </c>
      <c r="K130" s="26">
        <f t="shared" si="15"/>
        <v>-3.0879458211883232E-2</v>
      </c>
      <c r="L130" s="26">
        <f t="shared" si="16"/>
        <v>-4.4700365387561086E-2</v>
      </c>
      <c r="M130" s="26">
        <f t="shared" si="17"/>
        <v>-0.19776526853057685</v>
      </c>
      <c r="N130" s="26">
        <f t="shared" si="18"/>
        <v>-1.5511162703280901E-2</v>
      </c>
      <c r="O130" s="26">
        <f t="shared" si="19"/>
        <v>8.6577590288866024E-2</v>
      </c>
    </row>
    <row r="131" spans="1:15" x14ac:dyDescent="0.25">
      <c r="A131" s="2">
        <v>45316</v>
      </c>
      <c r="B131">
        <v>91746</v>
      </c>
      <c r="C131">
        <v>94278</v>
      </c>
      <c r="D131">
        <v>524450</v>
      </c>
      <c r="F131">
        <f t="shared" si="10"/>
        <v>0.2618308340628932</v>
      </c>
      <c r="G131">
        <f t="shared" si="11"/>
        <v>-0.44660152036821266</v>
      </c>
      <c r="H131">
        <f t="shared" si="12"/>
        <v>1.0275979334248904</v>
      </c>
      <c r="I131">
        <f t="shared" si="13"/>
        <v>0.40854580359207554</v>
      </c>
      <c r="J131" s="26">
        <f t="shared" si="14"/>
        <v>-1.4716153803809667E-2</v>
      </c>
      <c r="K131" s="26">
        <f t="shared" si="15"/>
        <v>-3.3955008590109664E-2</v>
      </c>
      <c r="L131" s="26">
        <f t="shared" si="16"/>
        <v>-4.7200707734014385E-2</v>
      </c>
      <c r="M131" s="26">
        <f t="shared" si="17"/>
        <v>-0.17582502997669236</v>
      </c>
      <c r="N131" s="26">
        <f t="shared" si="18"/>
        <v>5.1967348321158013E-3</v>
      </c>
      <c r="O131" s="26">
        <f t="shared" si="19"/>
        <v>0.10123936407771161</v>
      </c>
    </row>
    <row r="132" spans="1:15" x14ac:dyDescent="0.25">
      <c r="A132" s="2">
        <v>45315</v>
      </c>
      <c r="B132">
        <v>90420</v>
      </c>
      <c r="C132">
        <v>91868</v>
      </c>
      <c r="D132">
        <v>519229</v>
      </c>
      <c r="F132">
        <f t="shared" ref="F132:F195" si="20">IFERROR((C132+B132)/(B132+C132+D132),"")</f>
        <v>0.25984830018374466</v>
      </c>
      <c r="G132">
        <f t="shared" ref="G132:G195" si="21">(F132-AVERAGE(F132:F389))/_xlfn.STDEV.S(F132:F389)</f>
        <v>-0.48155751796651947</v>
      </c>
      <c r="H132">
        <f t="shared" ref="H132:H195" si="22">IFERROR(C132/B132,"")</f>
        <v>1.0160141561601415</v>
      </c>
      <c r="I132">
        <f t="shared" ref="I132:I195" si="23">IFERROR((H132-AVERAGE(H132:H259))/_xlfn.STDEV.S(H132:H259),"")</f>
        <v>0.34114711678850818</v>
      </c>
      <c r="J132" s="26">
        <f t="shared" ref="J132:J195" si="24">AVERAGEA(F132:F152)-AVERAGE(F153:F173)</f>
        <v>-2.0102103704686625E-2</v>
      </c>
      <c r="K132" s="26">
        <f t="shared" ref="K132:K195" si="25">AVERAGEA(F132:F152)-AVERAGE(F153:F208)</f>
        <v>-3.7009503666832366E-2</v>
      </c>
      <c r="L132" s="26">
        <f t="shared" ref="L132:L195" si="26">AVERAGEA(F132:F152)-AVERAGE(F153:F265)</f>
        <v>-4.9691251947941828E-2</v>
      </c>
      <c r="M132" s="26">
        <f t="shared" ref="M132:M195" si="27">AVERAGEA(H132:H152)-AVERAGE(H153:H173)</f>
        <v>-0.1536967220221015</v>
      </c>
      <c r="N132" s="26">
        <f t="shared" ref="N132:N195" si="28">AVERAGEA(H132:H152)-AVERAGE(H153:H208)</f>
        <v>2.6143860451139034E-2</v>
      </c>
      <c r="O132" s="26">
        <f t="shared" ref="O132:O195" si="29">AVERAGEA(H132:H152)-AVERAGE(H153:H265)</f>
        <v>0.11617786639812511</v>
      </c>
    </row>
    <row r="133" spans="1:15" x14ac:dyDescent="0.25">
      <c r="A133" s="2">
        <v>45314</v>
      </c>
      <c r="B133">
        <v>89765</v>
      </c>
      <c r="C133">
        <v>89755</v>
      </c>
      <c r="D133">
        <v>519534</v>
      </c>
      <c r="F133">
        <f t="shared" si="20"/>
        <v>0.25680419538404758</v>
      </c>
      <c r="G133">
        <f t="shared" si="21"/>
        <v>-0.54021929969581628</v>
      </c>
      <c r="H133">
        <f t="shared" si="22"/>
        <v>0.99988859800590435</v>
      </c>
      <c r="I133">
        <f t="shared" si="23"/>
        <v>0.24191466144028237</v>
      </c>
      <c r="J133" s="26">
        <f t="shared" si="24"/>
        <v>-2.5620263538675331E-2</v>
      </c>
      <c r="K133" s="26">
        <f t="shared" si="25"/>
        <v>-4.0098351994458797E-2</v>
      </c>
      <c r="L133" s="26">
        <f t="shared" si="26"/>
        <v>-5.2202490929307038E-2</v>
      </c>
      <c r="M133" s="26">
        <f t="shared" si="27"/>
        <v>-0.12963038481737721</v>
      </c>
      <c r="N133" s="26">
        <f t="shared" si="28"/>
        <v>4.823874061313127E-2</v>
      </c>
      <c r="O133" s="26">
        <f t="shared" si="29"/>
        <v>0.1319757704186667</v>
      </c>
    </row>
    <row r="134" spans="1:15" x14ac:dyDescent="0.25">
      <c r="A134" s="2">
        <v>45313</v>
      </c>
      <c r="B134">
        <v>89829</v>
      </c>
      <c r="C134">
        <v>88420</v>
      </c>
      <c r="D134">
        <v>520211</v>
      </c>
      <c r="F134">
        <f t="shared" si="20"/>
        <v>0.25520287489620019</v>
      </c>
      <c r="G134">
        <f t="shared" si="21"/>
        <v>-0.56559334980464715</v>
      </c>
      <c r="H134">
        <f t="shared" si="22"/>
        <v>0.98431464226474752</v>
      </c>
      <c r="I134">
        <f t="shared" si="23"/>
        <v>0.14373642727143296</v>
      </c>
      <c r="J134" s="26">
        <f t="shared" si="24"/>
        <v>-3.1511040077084856E-2</v>
      </c>
      <c r="K134" s="26">
        <f t="shared" si="25"/>
        <v>-4.3434883431203969E-2</v>
      </c>
      <c r="L134" s="26">
        <f t="shared" si="26"/>
        <v>-5.4887018001578108E-2</v>
      </c>
      <c r="M134" s="26">
        <f t="shared" si="27"/>
        <v>-0.10382838497237601</v>
      </c>
      <c r="N134" s="26">
        <f t="shared" si="28"/>
        <v>7.1082034935306959E-2</v>
      </c>
      <c r="O134" s="26">
        <f t="shared" si="29"/>
        <v>0.14847672457136729</v>
      </c>
    </row>
    <row r="135" spans="1:15" x14ac:dyDescent="0.25">
      <c r="A135" s="2">
        <v>45310</v>
      </c>
      <c r="B135">
        <v>92654</v>
      </c>
      <c r="C135">
        <v>86993</v>
      </c>
      <c r="D135">
        <v>519182</v>
      </c>
      <c r="F135">
        <f t="shared" si="20"/>
        <v>0.2570686104898337</v>
      </c>
      <c r="G135">
        <f t="shared" si="21"/>
        <v>-0.51179963232763948</v>
      </c>
      <c r="H135">
        <f t="shared" si="22"/>
        <v>0.93890172037904462</v>
      </c>
      <c r="I135">
        <f t="shared" si="23"/>
        <v>-0.13887127352349088</v>
      </c>
      <c r="J135" s="26">
        <f t="shared" si="24"/>
        <v>-3.7495433665831274E-2</v>
      </c>
      <c r="K135" s="26">
        <f t="shared" si="25"/>
        <v>-4.6860694534721387E-2</v>
      </c>
      <c r="L135" s="26">
        <f t="shared" si="26"/>
        <v>-5.76288926231521E-2</v>
      </c>
      <c r="M135" s="26">
        <f t="shared" si="27"/>
        <v>-7.5063507464011137E-2</v>
      </c>
      <c r="N135" s="26">
        <f t="shared" si="28"/>
        <v>9.5340482466218068E-2</v>
      </c>
      <c r="O135" s="26">
        <f t="shared" si="29"/>
        <v>0.16643029305339019</v>
      </c>
    </row>
    <row r="136" spans="1:15" x14ac:dyDescent="0.25">
      <c r="A136" s="2">
        <v>45309</v>
      </c>
      <c r="B136">
        <v>92404</v>
      </c>
      <c r="C136">
        <v>86063</v>
      </c>
      <c r="D136">
        <v>516534</v>
      </c>
      <c r="F136">
        <f t="shared" si="20"/>
        <v>0.25678668088247353</v>
      </c>
      <c r="G136">
        <f t="shared" si="21"/>
        <v>-0.50524750858395895</v>
      </c>
      <c r="H136">
        <f t="shared" si="22"/>
        <v>0.93137742954850444</v>
      </c>
      <c r="I136">
        <f t="shared" si="23"/>
        <v>-0.19124791101705976</v>
      </c>
      <c r="J136" s="26">
        <f t="shared" si="24"/>
        <v>-4.9527950016810152E-2</v>
      </c>
      <c r="K136" s="26">
        <f t="shared" si="25"/>
        <v>-5.4460333333748168E-2</v>
      </c>
      <c r="L136" s="26">
        <f t="shared" si="26"/>
        <v>-6.3996224206751884E-2</v>
      </c>
      <c r="M136" s="26">
        <f t="shared" si="27"/>
        <v>-4.3000589034645431E-2</v>
      </c>
      <c r="N136" s="26">
        <f t="shared" si="28"/>
        <v>0.12238473457695354</v>
      </c>
      <c r="O136" s="26">
        <f t="shared" si="29"/>
        <v>0.18722445808043453</v>
      </c>
    </row>
    <row r="137" spans="1:15" x14ac:dyDescent="0.25">
      <c r="A137" s="2">
        <v>45308</v>
      </c>
      <c r="B137">
        <v>91669</v>
      </c>
      <c r="C137">
        <v>84363</v>
      </c>
      <c r="D137">
        <v>514209</v>
      </c>
      <c r="F137">
        <f t="shared" si="20"/>
        <v>0.25502976496614949</v>
      </c>
      <c r="G137">
        <f t="shared" si="21"/>
        <v>-0.53071826989732673</v>
      </c>
      <c r="H137">
        <f t="shared" si="22"/>
        <v>0.92030021054009536</v>
      </c>
      <c r="I137">
        <f t="shared" si="23"/>
        <v>-0.26563474778172425</v>
      </c>
      <c r="J137" s="26">
        <f t="shared" si="24"/>
        <v>-6.1742154165970564E-2</v>
      </c>
      <c r="K137" s="26">
        <f t="shared" si="25"/>
        <v>-6.2151512036288548E-2</v>
      </c>
      <c r="L137" s="26">
        <f t="shared" si="26"/>
        <v>-7.0537594662666236E-2</v>
      </c>
      <c r="M137" s="26">
        <f t="shared" si="27"/>
        <v>-1.5167325761386907E-2</v>
      </c>
      <c r="N137" s="26">
        <f t="shared" si="28"/>
        <v>0.14666696109199029</v>
      </c>
      <c r="O137" s="26">
        <f t="shared" si="29"/>
        <v>0.20556146325731084</v>
      </c>
    </row>
    <row r="138" spans="1:15" x14ac:dyDescent="0.25">
      <c r="A138" s="2">
        <v>45307</v>
      </c>
      <c r="B138">
        <v>89444</v>
      </c>
      <c r="C138">
        <v>82807</v>
      </c>
      <c r="D138">
        <v>511275</v>
      </c>
      <c r="F138">
        <f t="shared" si="20"/>
        <v>0.25200358142923607</v>
      </c>
      <c r="G138">
        <f t="shared" si="21"/>
        <v>-0.58295120107086373</v>
      </c>
      <c r="H138">
        <f t="shared" si="22"/>
        <v>0.92579714681812086</v>
      </c>
      <c r="I138">
        <f t="shared" si="23"/>
        <v>-0.23930338870105849</v>
      </c>
      <c r="J138" s="26">
        <f t="shared" si="24"/>
        <v>-7.4081248180598386E-2</v>
      </c>
      <c r="K138" s="26">
        <f t="shared" si="25"/>
        <v>-6.9933581310084897E-2</v>
      </c>
      <c r="L138" s="26">
        <f t="shared" si="26"/>
        <v>-7.7136264447415476E-2</v>
      </c>
      <c r="M138" s="26">
        <f t="shared" si="27"/>
        <v>1.8572057367872707E-2</v>
      </c>
      <c r="N138" s="26">
        <f t="shared" si="28"/>
        <v>0.17566396191152567</v>
      </c>
      <c r="O138" s="26">
        <f t="shared" si="29"/>
        <v>0.22787241491676258</v>
      </c>
    </row>
    <row r="139" spans="1:15" x14ac:dyDescent="0.25">
      <c r="A139" s="2">
        <v>45306</v>
      </c>
      <c r="B139">
        <v>86799</v>
      </c>
      <c r="C139">
        <v>81459</v>
      </c>
      <c r="D139">
        <v>507995</v>
      </c>
      <c r="F139">
        <f t="shared" si="20"/>
        <v>0.2488092474266288</v>
      </c>
      <c r="G139">
        <f t="shared" si="21"/>
        <v>-0.63753924529695927</v>
      </c>
      <c r="H139">
        <f t="shared" si="22"/>
        <v>0.93847855390039059</v>
      </c>
      <c r="I139">
        <f t="shared" si="23"/>
        <v>-0.16919542619995423</v>
      </c>
      <c r="J139" s="26">
        <f t="shared" si="24"/>
        <v>-8.6734103877446511E-2</v>
      </c>
      <c r="K139" s="26">
        <f t="shared" si="25"/>
        <v>-7.7994461218021616E-2</v>
      </c>
      <c r="L139" s="26">
        <f t="shared" si="26"/>
        <v>-8.3926390634742276E-2</v>
      </c>
      <c r="M139" s="26">
        <f t="shared" si="27"/>
        <v>5.1238955650217965E-2</v>
      </c>
      <c r="N139" s="26">
        <f t="shared" si="28"/>
        <v>0.2036626889412021</v>
      </c>
      <c r="O139" s="26">
        <f t="shared" si="29"/>
        <v>0.24922138870358901</v>
      </c>
    </row>
    <row r="140" spans="1:15" x14ac:dyDescent="0.25">
      <c r="A140" s="2">
        <v>45303</v>
      </c>
      <c r="B140">
        <v>86079</v>
      </c>
      <c r="C140">
        <v>80309</v>
      </c>
      <c r="D140">
        <v>509439</v>
      </c>
      <c r="F140">
        <f t="shared" si="20"/>
        <v>0.24619910124928421</v>
      </c>
      <c r="G140">
        <f t="shared" si="21"/>
        <v>-0.67907128603350886</v>
      </c>
      <c r="H140">
        <f t="shared" si="22"/>
        <v>0.93296855214396079</v>
      </c>
      <c r="I140">
        <f t="shared" si="23"/>
        <v>-0.20890834409664982</v>
      </c>
      <c r="J140" s="26">
        <f t="shared" si="24"/>
        <v>-8.2320974143970382E-2</v>
      </c>
      <c r="K140" s="26">
        <f t="shared" si="25"/>
        <v>-7.4038744488385044E-2</v>
      </c>
      <c r="L140" s="26">
        <f t="shared" si="26"/>
        <v>-8.0484198039298016E-2</v>
      </c>
      <c r="M140" s="26">
        <f t="shared" si="27"/>
        <v>7.7713191665194525E-2</v>
      </c>
      <c r="N140" s="26">
        <f t="shared" si="28"/>
        <v>0.22678507062295428</v>
      </c>
      <c r="O140" s="26">
        <f t="shared" si="29"/>
        <v>0.26643934128522417</v>
      </c>
    </row>
    <row r="141" spans="1:15" x14ac:dyDescent="0.25">
      <c r="A141" s="2">
        <v>45302</v>
      </c>
      <c r="B141">
        <v>83794</v>
      </c>
      <c r="C141">
        <v>79484</v>
      </c>
      <c r="D141">
        <v>502002</v>
      </c>
      <c r="F141">
        <f t="shared" si="20"/>
        <v>0.24542748917748919</v>
      </c>
      <c r="G141">
        <f t="shared" si="21"/>
        <v>-0.68077115883383499</v>
      </c>
      <c r="H141">
        <f t="shared" si="22"/>
        <v>0.94856433634866455</v>
      </c>
      <c r="I141">
        <f t="shared" si="23"/>
        <v>-0.12026955390931862</v>
      </c>
      <c r="J141" s="26">
        <f t="shared" si="24"/>
        <v>-7.8440284020997147E-2</v>
      </c>
      <c r="K141" s="26">
        <f t="shared" si="25"/>
        <v>-7.040871416591607E-2</v>
      </c>
      <c r="L141" s="26">
        <f t="shared" si="26"/>
        <v>-7.7288412675200174E-2</v>
      </c>
      <c r="M141" s="26">
        <f t="shared" si="27"/>
        <v>0.10116490775535891</v>
      </c>
      <c r="N141" s="26">
        <f t="shared" si="28"/>
        <v>0.24837109493372644</v>
      </c>
      <c r="O141" s="26">
        <f t="shared" si="29"/>
        <v>0.2812848532331671</v>
      </c>
    </row>
    <row r="142" spans="1:15" x14ac:dyDescent="0.25">
      <c r="A142" s="2">
        <v>45301</v>
      </c>
      <c r="B142">
        <v>80554</v>
      </c>
      <c r="C142">
        <v>78334</v>
      </c>
      <c r="D142">
        <v>498543</v>
      </c>
      <c r="F142">
        <f t="shared" si="20"/>
        <v>0.2416801154797994</v>
      </c>
      <c r="G142">
        <f t="shared" si="21"/>
        <v>-0.74383114896110059</v>
      </c>
      <c r="H142">
        <f t="shared" si="22"/>
        <v>0.97244084713359979</v>
      </c>
      <c r="I142">
        <f t="shared" si="23"/>
        <v>1.9763191161428332E-2</v>
      </c>
      <c r="J142" s="26">
        <f t="shared" si="24"/>
        <v>-7.5032747018748985E-2</v>
      </c>
      <c r="K142" s="26">
        <f t="shared" si="25"/>
        <v>-6.6956849793793821E-2</v>
      </c>
      <c r="L142" s="26">
        <f t="shared" si="26"/>
        <v>-7.4332790616495642E-2</v>
      </c>
      <c r="M142" s="26">
        <f t="shared" si="27"/>
        <v>0.11943147067246374</v>
      </c>
      <c r="N142" s="26">
        <f t="shared" si="28"/>
        <v>0.26573389824634852</v>
      </c>
      <c r="O142" s="26">
        <f t="shared" si="29"/>
        <v>0.29263079405136461</v>
      </c>
    </row>
    <row r="143" spans="1:15" x14ac:dyDescent="0.25">
      <c r="A143" s="2">
        <v>45300</v>
      </c>
      <c r="B143">
        <v>78104</v>
      </c>
      <c r="C143">
        <v>76084</v>
      </c>
      <c r="D143">
        <v>493780</v>
      </c>
      <c r="F143">
        <f t="shared" si="20"/>
        <v>0.23795619536767249</v>
      </c>
      <c r="G143">
        <f t="shared" si="21"/>
        <v>-0.80505669689967641</v>
      </c>
      <c r="H143">
        <f t="shared" si="22"/>
        <v>0.97413704803851275</v>
      </c>
      <c r="I143">
        <f t="shared" si="23"/>
        <v>2.6667417130455801E-2</v>
      </c>
      <c r="J143" s="26">
        <f t="shared" si="24"/>
        <v>-7.145987454592434E-2</v>
      </c>
      <c r="K143" s="26">
        <f t="shared" si="25"/>
        <v>-6.3254223992526004E-2</v>
      </c>
      <c r="L143" s="26">
        <f t="shared" si="26"/>
        <v>-7.1171974277727534E-2</v>
      </c>
      <c r="M143" s="26">
        <f t="shared" si="27"/>
        <v>0.13559078774182609</v>
      </c>
      <c r="N143" s="26">
        <f t="shared" si="28"/>
        <v>0.28194134738892362</v>
      </c>
      <c r="O143" s="26">
        <f t="shared" si="29"/>
        <v>0.30253705185626312</v>
      </c>
    </row>
    <row r="144" spans="1:15" x14ac:dyDescent="0.25">
      <c r="A144" s="2">
        <v>45299</v>
      </c>
      <c r="B144">
        <v>73004</v>
      </c>
      <c r="C144">
        <v>74734</v>
      </c>
      <c r="D144">
        <v>492813</v>
      </c>
      <c r="F144">
        <f t="shared" si="20"/>
        <v>0.23064205660439216</v>
      </c>
      <c r="G144">
        <f t="shared" si="21"/>
        <v>-0.93747247830613711</v>
      </c>
      <c r="H144">
        <f t="shared" si="22"/>
        <v>1.0236973316530602</v>
      </c>
      <c r="I144">
        <f t="shared" si="23"/>
        <v>0.32250814973735809</v>
      </c>
      <c r="J144" s="26">
        <f t="shared" si="24"/>
        <v>-6.7459564231460989E-2</v>
      </c>
      <c r="K144" s="26">
        <f t="shared" si="25"/>
        <v>-6.0358264169044773E-2</v>
      </c>
      <c r="L144" s="26">
        <f t="shared" si="26"/>
        <v>-6.7795318122482795E-2</v>
      </c>
      <c r="M144" s="26">
        <f t="shared" si="27"/>
        <v>0.15294061941268144</v>
      </c>
      <c r="N144" s="26">
        <f t="shared" si="28"/>
        <v>0.2982534038425293</v>
      </c>
      <c r="O144" s="26">
        <f t="shared" si="29"/>
        <v>0.31192620153320494</v>
      </c>
    </row>
    <row r="145" spans="1:15" x14ac:dyDescent="0.25">
      <c r="A145" s="2">
        <v>45296</v>
      </c>
      <c r="B145">
        <v>67829</v>
      </c>
      <c r="C145">
        <v>73609</v>
      </c>
      <c r="D145">
        <v>491662</v>
      </c>
      <c r="F145">
        <f t="shared" si="20"/>
        <v>0.22340546517137894</v>
      </c>
      <c r="G145">
        <f t="shared" si="21"/>
        <v>-1.0633736087790231</v>
      </c>
      <c r="H145">
        <f t="shared" si="22"/>
        <v>1.0852142888734906</v>
      </c>
      <c r="I145">
        <f t="shared" si="23"/>
        <v>0.69252868835507109</v>
      </c>
      <c r="J145" s="26">
        <f t="shared" si="24"/>
        <v>-6.2816656275612781E-2</v>
      </c>
      <c r="K145" s="26">
        <f t="shared" si="25"/>
        <v>-5.7220213254495667E-2</v>
      </c>
      <c r="L145" s="26">
        <f t="shared" si="26"/>
        <v>-6.4155017700661399E-2</v>
      </c>
      <c r="M145" s="26">
        <f t="shared" si="27"/>
        <v>0.16861482066053712</v>
      </c>
      <c r="N145" s="26">
        <f t="shared" si="28"/>
        <v>0.31075030966038641</v>
      </c>
      <c r="O145" s="26">
        <f t="shared" si="29"/>
        <v>0.31771353866992291</v>
      </c>
    </row>
    <row r="146" spans="1:15" x14ac:dyDescent="0.25">
      <c r="A146" s="2">
        <v>45295</v>
      </c>
      <c r="B146">
        <v>63090</v>
      </c>
      <c r="C146">
        <v>73359</v>
      </c>
      <c r="D146">
        <v>492416</v>
      </c>
      <c r="F146">
        <f t="shared" si="20"/>
        <v>0.2169766166029275</v>
      </c>
      <c r="G146">
        <f t="shared" si="21"/>
        <v>-1.1707546125783919</v>
      </c>
      <c r="H146">
        <f t="shared" si="22"/>
        <v>1.1627674750356634</v>
      </c>
      <c r="I146">
        <f t="shared" si="23"/>
        <v>1.1655799219039928</v>
      </c>
      <c r="J146" s="26">
        <f t="shared" si="24"/>
        <v>-5.8430254297265616E-2</v>
      </c>
      <c r="K146" s="26">
        <f t="shared" si="25"/>
        <v>-5.4203078858466869E-2</v>
      </c>
      <c r="L146" s="26">
        <f t="shared" si="26"/>
        <v>-6.0478452567959473E-2</v>
      </c>
      <c r="M146" s="26">
        <f t="shared" si="27"/>
        <v>0.18831733199390666</v>
      </c>
      <c r="N146" s="26">
        <f t="shared" si="28"/>
        <v>0.32518072813682264</v>
      </c>
      <c r="O146" s="26">
        <f t="shared" si="29"/>
        <v>0.32358782015342458</v>
      </c>
    </row>
    <row r="147" spans="1:15" x14ac:dyDescent="0.25">
      <c r="A147" s="2">
        <v>45294</v>
      </c>
      <c r="B147">
        <v>61665</v>
      </c>
      <c r="C147">
        <v>73334</v>
      </c>
      <c r="D147">
        <v>479613</v>
      </c>
      <c r="F147">
        <f t="shared" si="20"/>
        <v>0.21964914450092091</v>
      </c>
      <c r="G147">
        <f t="shared" si="21"/>
        <v>-1.0992104722299374</v>
      </c>
      <c r="H147">
        <f t="shared" si="22"/>
        <v>1.1892321414092273</v>
      </c>
      <c r="I147">
        <f t="shared" si="23"/>
        <v>1.3307275374114458</v>
      </c>
      <c r="J147" s="26">
        <f t="shared" si="24"/>
        <v>-5.3754413834678577E-2</v>
      </c>
      <c r="K147" s="26">
        <f t="shared" si="25"/>
        <v>-5.0840658223484131E-2</v>
      </c>
      <c r="L147" s="26">
        <f t="shared" si="26"/>
        <v>-5.6440528400992368E-2</v>
      </c>
      <c r="M147" s="26">
        <f t="shared" si="27"/>
        <v>0.20255636483822381</v>
      </c>
      <c r="N147" s="26">
        <f t="shared" si="28"/>
        <v>0.33438046819366707</v>
      </c>
      <c r="O147" s="26">
        <f t="shared" si="29"/>
        <v>0.32471832403283218</v>
      </c>
    </row>
    <row r="148" spans="1:15" x14ac:dyDescent="0.25">
      <c r="A148" s="2">
        <v>45293</v>
      </c>
      <c r="B148">
        <v>60140</v>
      </c>
      <c r="C148">
        <v>73329</v>
      </c>
      <c r="D148">
        <v>461160</v>
      </c>
      <c r="F148">
        <f t="shared" si="20"/>
        <v>0.22445760297597325</v>
      </c>
      <c r="G148">
        <f t="shared" si="21"/>
        <v>-0.9878282428787023</v>
      </c>
      <c r="H148">
        <f t="shared" si="22"/>
        <v>1.2193049551047557</v>
      </c>
      <c r="I148">
        <f t="shared" si="23"/>
        <v>1.5222007993195252</v>
      </c>
      <c r="J148" s="26">
        <f t="shared" si="24"/>
        <v>-4.9195794680138766E-2</v>
      </c>
      <c r="K148" s="26">
        <f t="shared" si="25"/>
        <v>-4.7414846274197869E-2</v>
      </c>
      <c r="L148" s="26">
        <f t="shared" si="26"/>
        <v>-5.226503021610937E-2</v>
      </c>
      <c r="M148" s="26">
        <f t="shared" si="27"/>
        <v>0.21497332899123633</v>
      </c>
      <c r="N148" s="26">
        <f t="shared" si="28"/>
        <v>0.34182705752316289</v>
      </c>
      <c r="O148" s="26">
        <f t="shared" si="29"/>
        <v>0.32393783941244914</v>
      </c>
    </row>
    <row r="149" spans="1:15" x14ac:dyDescent="0.25">
      <c r="A149" s="2">
        <v>45289</v>
      </c>
      <c r="B149">
        <v>57439</v>
      </c>
      <c r="C149">
        <v>73593</v>
      </c>
      <c r="D149">
        <v>455119</v>
      </c>
      <c r="F149">
        <f t="shared" si="20"/>
        <v>0.22354649228611739</v>
      </c>
      <c r="G149">
        <f t="shared" si="21"/>
        <v>-0.98746931243519454</v>
      </c>
      <c r="H149">
        <f t="shared" si="22"/>
        <v>1.2812374867250473</v>
      </c>
      <c r="I149">
        <f t="shared" si="23"/>
        <v>1.9137669777763531</v>
      </c>
      <c r="J149" s="26">
        <f t="shared" si="24"/>
        <v>-4.4738034491049877E-2</v>
      </c>
      <c r="K149" s="26">
        <f t="shared" si="25"/>
        <v>-4.418815311092969E-2</v>
      </c>
      <c r="L149" s="26">
        <f t="shared" si="26"/>
        <v>-4.828514361926553E-2</v>
      </c>
      <c r="M149" s="26">
        <f t="shared" si="27"/>
        <v>0.2250874570483048</v>
      </c>
      <c r="N149" s="26">
        <f t="shared" si="28"/>
        <v>0.34602260663447726</v>
      </c>
      <c r="O149" s="26">
        <f t="shared" si="29"/>
        <v>0.32029243538309127</v>
      </c>
    </row>
    <row r="150" spans="1:15" x14ac:dyDescent="0.25">
      <c r="A150" s="2">
        <v>45288</v>
      </c>
      <c r="B150">
        <v>57439</v>
      </c>
      <c r="C150">
        <v>73593</v>
      </c>
      <c r="D150">
        <v>456954</v>
      </c>
      <c r="F150">
        <f t="shared" si="20"/>
        <v>0.22284884333980742</v>
      </c>
      <c r="G150">
        <f t="shared" si="21"/>
        <v>-0.9834274965054447</v>
      </c>
      <c r="H150">
        <f t="shared" si="22"/>
        <v>1.2812374867250473</v>
      </c>
      <c r="I150">
        <f t="shared" si="23"/>
        <v>1.9419342718155805</v>
      </c>
      <c r="J150" s="26">
        <f t="shared" si="24"/>
        <v>-4.0266564395818188E-2</v>
      </c>
      <c r="K150" s="26">
        <f t="shared" si="25"/>
        <v>-4.101235564525621E-2</v>
      </c>
      <c r="L150" s="26">
        <f t="shared" si="26"/>
        <v>-4.4348947921258847E-2</v>
      </c>
      <c r="M150" s="26">
        <f t="shared" si="27"/>
        <v>0.23128920396041242</v>
      </c>
      <c r="N150" s="26">
        <f t="shared" si="28"/>
        <v>0.34638102381692981</v>
      </c>
      <c r="O150" s="26">
        <f t="shared" si="29"/>
        <v>0.31305691934597779</v>
      </c>
    </row>
    <row r="151" spans="1:15" x14ac:dyDescent="0.25">
      <c r="A151" s="2">
        <v>45287</v>
      </c>
      <c r="B151">
        <v>56564</v>
      </c>
      <c r="C151">
        <v>73493</v>
      </c>
      <c r="D151">
        <v>458954</v>
      </c>
      <c r="F151">
        <f t="shared" si="20"/>
        <v>0.22080572349243052</v>
      </c>
      <c r="G151">
        <f t="shared" si="21"/>
        <v>-1.0048579336071335</v>
      </c>
      <c r="H151">
        <f t="shared" si="22"/>
        <v>1.2992893006152324</v>
      </c>
      <c r="I151">
        <f t="shared" si="23"/>
        <v>2.0839413890565819</v>
      </c>
      <c r="J151" s="26">
        <f t="shared" si="24"/>
        <v>-3.6291277974544789E-2</v>
      </c>
      <c r="K151" s="26">
        <f t="shared" si="25"/>
        <v>-3.8082703224700809E-2</v>
      </c>
      <c r="L151" s="26">
        <f t="shared" si="26"/>
        <v>-4.0607792205190174E-2</v>
      </c>
      <c r="M151" s="26">
        <f t="shared" si="27"/>
        <v>0.23725047899800789</v>
      </c>
      <c r="N151" s="26">
        <f t="shared" si="28"/>
        <v>0.3465139060262753</v>
      </c>
      <c r="O151" s="26">
        <f t="shared" si="29"/>
        <v>0.3055160292103275</v>
      </c>
    </row>
    <row r="152" spans="1:15" x14ac:dyDescent="0.25">
      <c r="A152" s="2">
        <v>45282</v>
      </c>
      <c r="B152">
        <v>56564</v>
      </c>
      <c r="C152">
        <v>73543</v>
      </c>
      <c r="D152">
        <v>458553</v>
      </c>
      <c r="F152">
        <f t="shared" si="20"/>
        <v>0.22102232188360005</v>
      </c>
      <c r="G152">
        <f t="shared" si="21"/>
        <v>-0.98458865093904135</v>
      </c>
      <c r="H152">
        <f t="shared" si="22"/>
        <v>1.3001732550738987</v>
      </c>
      <c r="I152">
        <f t="shared" si="23"/>
        <v>2.098543408436941</v>
      </c>
      <c r="J152" s="26">
        <f t="shared" si="24"/>
        <v>-3.2337391069712285E-2</v>
      </c>
      <c r="K152" s="26">
        <f t="shared" si="25"/>
        <v>-3.511337916843027E-2</v>
      </c>
      <c r="L152" s="26">
        <f t="shared" si="26"/>
        <v>-3.7476861637980974E-2</v>
      </c>
      <c r="M152" s="26">
        <f t="shared" si="27"/>
        <v>0.23917620221295022</v>
      </c>
      <c r="N152" s="26">
        <f t="shared" si="28"/>
        <v>0.34370124956807191</v>
      </c>
      <c r="O152" s="26">
        <f t="shared" si="29"/>
        <v>0.29673089416453002</v>
      </c>
    </row>
    <row r="153" spans="1:15" x14ac:dyDescent="0.25">
      <c r="A153" s="2">
        <v>45281</v>
      </c>
      <c r="B153">
        <v>55902</v>
      </c>
      <c r="C153">
        <v>72993</v>
      </c>
      <c r="D153">
        <v>459626</v>
      </c>
      <c r="F153">
        <f t="shared" si="20"/>
        <v>0.21901512435410123</v>
      </c>
      <c r="G153">
        <f t="shared" si="21"/>
        <v>-1.0056152326619698</v>
      </c>
      <c r="H153">
        <f t="shared" si="22"/>
        <v>1.3057314586240205</v>
      </c>
      <c r="I153">
        <f t="shared" si="23"/>
        <v>2.1483571327087616</v>
      </c>
      <c r="J153" s="26">
        <f t="shared" si="24"/>
        <v>-2.835702622061731E-2</v>
      </c>
      <c r="K153" s="26">
        <f t="shared" si="25"/>
        <v>-3.2077168660852307E-2</v>
      </c>
      <c r="L153" s="26">
        <f t="shared" si="26"/>
        <v>-3.4365100898197221E-2</v>
      </c>
      <c r="M153" s="26">
        <f t="shared" si="27"/>
        <v>0.24164714724381775</v>
      </c>
      <c r="N153" s="26">
        <f t="shared" si="28"/>
        <v>0.34042086957064632</v>
      </c>
      <c r="O153" s="26">
        <f t="shared" si="29"/>
        <v>0.28777984728345885</v>
      </c>
    </row>
    <row r="154" spans="1:15" x14ac:dyDescent="0.25">
      <c r="A154" s="2">
        <v>45280</v>
      </c>
      <c r="B154">
        <v>54590</v>
      </c>
      <c r="C154">
        <v>71201</v>
      </c>
      <c r="D154">
        <v>463372</v>
      </c>
      <c r="F154">
        <f t="shared" si="20"/>
        <v>0.21350797657015122</v>
      </c>
      <c r="G154">
        <f t="shared" si="21"/>
        <v>-1.0900089273451701</v>
      </c>
      <c r="H154">
        <f t="shared" si="22"/>
        <v>1.304286499358857</v>
      </c>
      <c r="I154">
        <f t="shared" si="23"/>
        <v>2.1562318323437633</v>
      </c>
      <c r="J154" s="26">
        <f t="shared" si="24"/>
        <v>-2.4311792311121183E-2</v>
      </c>
      <c r="K154" s="26">
        <f t="shared" si="25"/>
        <v>-2.8788732963542785E-2</v>
      </c>
      <c r="L154" s="26">
        <f t="shared" si="26"/>
        <v>-3.1139484900886805E-2</v>
      </c>
      <c r="M154" s="26">
        <f t="shared" si="27"/>
        <v>0.24213791326401002</v>
      </c>
      <c r="N154" s="26">
        <f t="shared" si="28"/>
        <v>0.33495468839660714</v>
      </c>
      <c r="O154" s="26">
        <f t="shared" si="29"/>
        <v>0.27733910968312703</v>
      </c>
    </row>
    <row r="155" spans="1:15" x14ac:dyDescent="0.25">
      <c r="A155" s="2">
        <v>45279</v>
      </c>
      <c r="B155">
        <v>53190</v>
      </c>
      <c r="C155">
        <v>69901</v>
      </c>
      <c r="D155">
        <v>459606</v>
      </c>
      <c r="F155">
        <f t="shared" si="20"/>
        <v>0.21124357942464095</v>
      </c>
      <c r="G155">
        <f t="shared" si="21"/>
        <v>-1.1156081404095717</v>
      </c>
      <c r="H155">
        <f t="shared" si="22"/>
        <v>1.3141755969167137</v>
      </c>
      <c r="I155">
        <f t="shared" si="23"/>
        <v>2.24631564505375</v>
      </c>
      <c r="J155" s="26">
        <f t="shared" si="24"/>
        <v>-2.0017276125354755E-2</v>
      </c>
      <c r="K155" s="26">
        <f t="shared" si="25"/>
        <v>-2.5350383388588138E-2</v>
      </c>
      <c r="L155" s="26">
        <f t="shared" si="26"/>
        <v>-2.7655137370480365E-2</v>
      </c>
      <c r="M155" s="26">
        <f t="shared" si="27"/>
        <v>0.24089743658640173</v>
      </c>
      <c r="N155" s="26">
        <f t="shared" si="28"/>
        <v>0.32842606939788155</v>
      </c>
      <c r="O155" s="26">
        <f t="shared" si="29"/>
        <v>0.26534792003452456</v>
      </c>
    </row>
    <row r="156" spans="1:15" x14ac:dyDescent="0.25">
      <c r="A156" s="2">
        <v>45278</v>
      </c>
      <c r="B156">
        <v>53090</v>
      </c>
      <c r="C156">
        <v>70276</v>
      </c>
      <c r="D156">
        <v>704830</v>
      </c>
      <c r="F156">
        <f t="shared" si="20"/>
        <v>0.1489574931537945</v>
      </c>
      <c r="G156">
        <f t="shared" si="21"/>
        <v>-2.185317721932893</v>
      </c>
      <c r="H156">
        <f t="shared" si="22"/>
        <v>1.3237144471651912</v>
      </c>
      <c r="I156">
        <f t="shared" si="23"/>
        <v>2.3401214921372273</v>
      </c>
      <c r="J156" s="26">
        <f t="shared" si="24"/>
        <v>-1.5799492424277306E-2</v>
      </c>
      <c r="K156" s="26">
        <f t="shared" si="25"/>
        <v>-2.1880531753636356E-2</v>
      </c>
      <c r="L156" s="26">
        <f t="shared" si="26"/>
        <v>-2.4111680540000791E-2</v>
      </c>
      <c r="M156" s="26">
        <f t="shared" si="27"/>
        <v>0.23673442661329014</v>
      </c>
      <c r="N156" s="26">
        <f t="shared" si="28"/>
        <v>0.31971016472695957</v>
      </c>
      <c r="O156" s="26">
        <f t="shared" si="29"/>
        <v>0.25095086465367422</v>
      </c>
    </row>
    <row r="157" spans="1:15" x14ac:dyDescent="0.25">
      <c r="A157" s="2">
        <v>45275</v>
      </c>
      <c r="B157">
        <v>53090</v>
      </c>
      <c r="C157">
        <v>67616</v>
      </c>
      <c r="D157">
        <v>699275</v>
      </c>
      <c r="F157">
        <f t="shared" si="20"/>
        <v>0.14720584989164384</v>
      </c>
      <c r="G157">
        <f t="shared" si="21"/>
        <v>-2.1898957172398532</v>
      </c>
      <c r="H157">
        <f t="shared" si="22"/>
        <v>1.2736108495008476</v>
      </c>
      <c r="I157">
        <f t="shared" si="23"/>
        <v>2.0464827182776464</v>
      </c>
      <c r="J157" s="26">
        <f t="shared" si="24"/>
        <v>-8.5493839115097225E-3</v>
      </c>
      <c r="K157" s="26">
        <f t="shared" si="25"/>
        <v>-1.5383802553195769E-2</v>
      </c>
      <c r="L157" s="26">
        <f t="shared" si="26"/>
        <v>-1.7521076630670374E-2</v>
      </c>
      <c r="M157" s="26">
        <f t="shared" si="27"/>
        <v>0.2319330623476118</v>
      </c>
      <c r="N157" s="26">
        <f t="shared" si="28"/>
        <v>0.31010196200142004</v>
      </c>
      <c r="O157" s="26">
        <f t="shared" si="29"/>
        <v>0.2355609317482994</v>
      </c>
    </row>
    <row r="158" spans="1:15" x14ac:dyDescent="0.25">
      <c r="A158" s="2">
        <v>45274</v>
      </c>
      <c r="B158">
        <v>50290</v>
      </c>
      <c r="C158">
        <v>67166</v>
      </c>
      <c r="D158">
        <v>697727</v>
      </c>
      <c r="F158">
        <f t="shared" si="20"/>
        <v>0.14408543848436486</v>
      </c>
      <c r="G158">
        <f t="shared" si="21"/>
        <v>-2.2174234726946254</v>
      </c>
      <c r="H158">
        <f t="shared" si="22"/>
        <v>1.3355736726983496</v>
      </c>
      <c r="I158">
        <f t="shared" si="23"/>
        <v>2.5017432352136768</v>
      </c>
      <c r="J158" s="26">
        <f t="shared" si="24"/>
        <v>-1.2164031479784954E-3</v>
      </c>
      <c r="K158" s="26">
        <f t="shared" si="25"/>
        <v>-8.7570421822820155E-3</v>
      </c>
      <c r="L158" s="26">
        <f t="shared" si="26"/>
        <v>-1.0824552583588221E-2</v>
      </c>
      <c r="M158" s="26">
        <f t="shared" si="27"/>
        <v>0.22876235886263685</v>
      </c>
      <c r="N158" s="26">
        <f t="shared" si="28"/>
        <v>0.3025576972502988</v>
      </c>
      <c r="O158" s="26">
        <f t="shared" si="29"/>
        <v>0.22233908390608026</v>
      </c>
    </row>
    <row r="159" spans="1:15" x14ac:dyDescent="0.25">
      <c r="A159" s="2">
        <v>45273</v>
      </c>
      <c r="B159">
        <v>47616</v>
      </c>
      <c r="C159">
        <v>63014</v>
      </c>
      <c r="D159">
        <v>691671</v>
      </c>
      <c r="F159">
        <f t="shared" si="20"/>
        <v>0.13789089132382984</v>
      </c>
      <c r="G159">
        <f t="shared" si="21"/>
        <v>-2.2976935550849524</v>
      </c>
      <c r="H159">
        <f t="shared" si="22"/>
        <v>1.3233786962365592</v>
      </c>
      <c r="I159">
        <f t="shared" si="23"/>
        <v>2.4887510274461224</v>
      </c>
      <c r="J159" s="26">
        <f t="shared" si="24"/>
        <v>6.1378575580226524E-3</v>
      </c>
      <c r="K159" s="26">
        <f t="shared" si="25"/>
        <v>-2.1057630323620402E-3</v>
      </c>
      <c r="L159" s="26">
        <f t="shared" si="26"/>
        <v>-4.0892609529246116E-3</v>
      </c>
      <c r="M159" s="26">
        <f t="shared" si="27"/>
        <v>0.22281129891072504</v>
      </c>
      <c r="N159" s="26">
        <f t="shared" si="28"/>
        <v>0.29281075064881712</v>
      </c>
      <c r="O159" s="26">
        <f t="shared" si="29"/>
        <v>0.20666399058532736</v>
      </c>
    </row>
    <row r="160" spans="1:15" x14ac:dyDescent="0.25">
      <c r="A160" s="2">
        <v>45272</v>
      </c>
      <c r="B160">
        <v>141973</v>
      </c>
      <c r="C160">
        <v>178373</v>
      </c>
      <c r="D160">
        <v>695249</v>
      </c>
      <c r="F160">
        <f t="shared" si="20"/>
        <v>0.31542691722586269</v>
      </c>
      <c r="G160">
        <f t="shared" si="21"/>
        <v>0.73031317761543402</v>
      </c>
      <c r="H160">
        <f t="shared" si="22"/>
        <v>1.2563867777676037</v>
      </c>
      <c r="I160">
        <f t="shared" si="23"/>
        <v>2.0860829089152899</v>
      </c>
      <c r="J160" s="26">
        <f t="shared" si="24"/>
        <v>1.3478135686964321E-2</v>
      </c>
      <c r="K160" s="26">
        <f t="shared" si="25"/>
        <v>4.6600741078334229E-3</v>
      </c>
      <c r="L160" s="26">
        <f t="shared" si="26"/>
        <v>2.7903964262512293E-3</v>
      </c>
      <c r="M160" s="26">
        <f t="shared" si="27"/>
        <v>0.21633845652183048</v>
      </c>
      <c r="N160" s="26">
        <f t="shared" si="28"/>
        <v>0.28294276848321809</v>
      </c>
      <c r="O160" s="26">
        <f t="shared" si="29"/>
        <v>0.1911997780405309</v>
      </c>
    </row>
    <row r="161" spans="1:15" x14ac:dyDescent="0.25">
      <c r="A161" s="2">
        <v>45271</v>
      </c>
      <c r="B161">
        <v>138723</v>
      </c>
      <c r="C161">
        <v>169903</v>
      </c>
      <c r="D161">
        <v>691359</v>
      </c>
      <c r="F161">
        <f t="shared" si="20"/>
        <v>0.30863062945944192</v>
      </c>
      <c r="G161">
        <f t="shared" si="21"/>
        <v>0.61242298533614437</v>
      </c>
      <c r="H161">
        <f t="shared" si="22"/>
        <v>1.2247644586694348</v>
      </c>
      <c r="I161">
        <f t="shared" si="23"/>
        <v>1.8919129449616232</v>
      </c>
      <c r="J161" s="26">
        <f t="shared" si="24"/>
        <v>1.2593586101780796E-2</v>
      </c>
      <c r="K161" s="26">
        <f t="shared" si="25"/>
        <v>2.9656713979751559E-3</v>
      </c>
      <c r="L161" s="26">
        <f t="shared" si="26"/>
        <v>1.2261242563525454E-3</v>
      </c>
      <c r="M161" s="26">
        <f t="shared" si="27"/>
        <v>0.21253484373158882</v>
      </c>
      <c r="N161" s="26">
        <f t="shared" si="28"/>
        <v>0.275166375960464</v>
      </c>
      <c r="O161" s="26">
        <f t="shared" si="29"/>
        <v>0.17820841284426125</v>
      </c>
    </row>
    <row r="162" spans="1:15" x14ac:dyDescent="0.25">
      <c r="A162" s="2">
        <v>45268</v>
      </c>
      <c r="B162">
        <v>137463</v>
      </c>
      <c r="C162">
        <v>161653</v>
      </c>
      <c r="D162">
        <v>685283</v>
      </c>
      <c r="F162">
        <f t="shared" si="20"/>
        <v>0.30385646470587635</v>
      </c>
      <c r="G162">
        <f t="shared" si="21"/>
        <v>0.52882567820666371</v>
      </c>
      <c r="H162">
        <f t="shared" si="22"/>
        <v>1.1759746258993329</v>
      </c>
      <c r="I162">
        <f t="shared" si="23"/>
        <v>1.5556005039649463</v>
      </c>
      <c r="J162" s="26">
        <f t="shared" si="24"/>
        <v>1.2080923686147937E-2</v>
      </c>
      <c r="K162" s="26">
        <f t="shared" si="25"/>
        <v>1.6507977332796964E-3</v>
      </c>
      <c r="L162" s="26">
        <f t="shared" si="26"/>
        <v>2.4089417065498164E-5</v>
      </c>
      <c r="M162" s="26">
        <f t="shared" si="27"/>
        <v>0.21063036733491569</v>
      </c>
      <c r="N162" s="26">
        <f t="shared" si="28"/>
        <v>0.26899502106767981</v>
      </c>
      <c r="O162" s="26">
        <f t="shared" si="29"/>
        <v>0.1671172160170743</v>
      </c>
    </row>
    <row r="163" spans="1:15" x14ac:dyDescent="0.25">
      <c r="A163" s="2">
        <v>45267</v>
      </c>
      <c r="B163">
        <v>137213</v>
      </c>
      <c r="C163">
        <v>160853</v>
      </c>
      <c r="D163">
        <v>681568</v>
      </c>
      <c r="F163">
        <f t="shared" si="20"/>
        <v>0.30426261236339286</v>
      </c>
      <c r="G163">
        <f t="shared" si="21"/>
        <v>0.53425855384922094</v>
      </c>
      <c r="H163">
        <f t="shared" si="22"/>
        <v>1.1722868824382529</v>
      </c>
      <c r="I163">
        <f t="shared" si="23"/>
        <v>1.5204076039434835</v>
      </c>
      <c r="J163" s="26">
        <f t="shared" si="24"/>
        <v>1.185749814527326E-2</v>
      </c>
      <c r="K163" s="26">
        <f t="shared" si="25"/>
        <v>6.3495437995397808E-4</v>
      </c>
      <c r="L163" s="26">
        <f t="shared" si="26"/>
        <v>-8.9672221761660786E-4</v>
      </c>
      <c r="M163" s="26">
        <f t="shared" si="27"/>
        <v>0.21070910913117413</v>
      </c>
      <c r="N163" s="26">
        <f t="shared" si="28"/>
        <v>0.26451704095207396</v>
      </c>
      <c r="O163" s="26">
        <f t="shared" si="29"/>
        <v>0.1581832619761766</v>
      </c>
    </row>
    <row r="164" spans="1:15" x14ac:dyDescent="0.25">
      <c r="A164" s="2">
        <v>45266</v>
      </c>
      <c r="B164">
        <v>137488</v>
      </c>
      <c r="C164">
        <v>160113</v>
      </c>
      <c r="D164">
        <v>678192</v>
      </c>
      <c r="F164">
        <f t="shared" si="20"/>
        <v>0.30498374142876616</v>
      </c>
      <c r="G164">
        <f t="shared" si="21"/>
        <v>0.54505471514908688</v>
      </c>
      <c r="H164">
        <f t="shared" si="22"/>
        <v>1.1645598161294077</v>
      </c>
      <c r="I164">
        <f t="shared" si="23"/>
        <v>1.456640957372479</v>
      </c>
      <c r="J164" s="26">
        <f t="shared" si="24"/>
        <v>1.1700964737120456E-2</v>
      </c>
      <c r="K164" s="26">
        <f t="shared" si="25"/>
        <v>-3.3598336767470816E-4</v>
      </c>
      <c r="L164" s="26">
        <f t="shared" si="26"/>
        <v>-1.771409444151828E-3</v>
      </c>
      <c r="M164" s="26">
        <f t="shared" si="27"/>
        <v>0.21235447631621451</v>
      </c>
      <c r="N164" s="26">
        <f t="shared" si="28"/>
        <v>0.26109109980148104</v>
      </c>
      <c r="O164" s="26">
        <f t="shared" si="29"/>
        <v>0.15027190151172487</v>
      </c>
    </row>
    <row r="165" spans="1:15" x14ac:dyDescent="0.25">
      <c r="A165" s="2">
        <v>45265</v>
      </c>
      <c r="B165">
        <v>137758</v>
      </c>
      <c r="C165">
        <v>157398</v>
      </c>
      <c r="D165">
        <v>676848</v>
      </c>
      <c r="F165">
        <f t="shared" si="20"/>
        <v>0.30365718659593993</v>
      </c>
      <c r="G165">
        <f t="shared" si="21"/>
        <v>0.52067763861423721</v>
      </c>
      <c r="H165">
        <f t="shared" si="22"/>
        <v>1.1425688526256188</v>
      </c>
      <c r="I165">
        <f t="shared" si="23"/>
        <v>1.2903392385656434</v>
      </c>
      <c r="J165" s="26">
        <f t="shared" si="24"/>
        <v>1.1174130284017092E-2</v>
      </c>
      <c r="K165" s="26">
        <f t="shared" si="25"/>
        <v>-1.5218650004166778E-3</v>
      </c>
      <c r="L165" s="26">
        <f t="shared" si="26"/>
        <v>-2.8942779071560176E-3</v>
      </c>
      <c r="M165" s="26">
        <f t="shared" si="27"/>
        <v>0.21057956083861618</v>
      </c>
      <c r="N165" s="26">
        <f t="shared" si="28"/>
        <v>0.25525570542799902</v>
      </c>
      <c r="O165" s="26">
        <f t="shared" si="29"/>
        <v>0.14033188906625593</v>
      </c>
    </row>
    <row r="166" spans="1:15" x14ac:dyDescent="0.25">
      <c r="A166" s="2">
        <v>45264</v>
      </c>
      <c r="B166">
        <v>128678</v>
      </c>
      <c r="C166">
        <v>156623</v>
      </c>
      <c r="D166">
        <v>676391</v>
      </c>
      <c r="F166">
        <f t="shared" si="20"/>
        <v>0.29666566842606573</v>
      </c>
      <c r="G166">
        <f t="shared" si="21"/>
        <v>0.39927696574993754</v>
      </c>
      <c r="H166">
        <f t="shared" si="22"/>
        <v>1.2171699902081163</v>
      </c>
      <c r="I166">
        <f t="shared" si="23"/>
        <v>1.7903548639282727</v>
      </c>
      <c r="J166" s="26">
        <f t="shared" si="24"/>
        <v>9.8171608228503349E-3</v>
      </c>
      <c r="K166" s="26">
        <f t="shared" si="25"/>
        <v>-3.2153502672720435E-3</v>
      </c>
      <c r="L166" s="26">
        <f t="shared" si="26"/>
        <v>-4.4706600618694692E-3</v>
      </c>
      <c r="M166" s="26">
        <f t="shared" si="27"/>
        <v>0.20428353540715172</v>
      </c>
      <c r="N166" s="26">
        <f t="shared" si="28"/>
        <v>0.24661913199958019</v>
      </c>
      <c r="O166" s="26">
        <f t="shared" si="29"/>
        <v>0.12828433209807333</v>
      </c>
    </row>
    <row r="167" spans="1:15" x14ac:dyDescent="0.25">
      <c r="A167" s="2">
        <v>45261</v>
      </c>
      <c r="B167">
        <v>129590</v>
      </c>
      <c r="C167">
        <v>154868</v>
      </c>
      <c r="D167">
        <v>671598</v>
      </c>
      <c r="F167">
        <f t="shared" si="20"/>
        <v>0.29753278050658122</v>
      </c>
      <c r="G167">
        <f t="shared" si="21"/>
        <v>0.41220527574599225</v>
      </c>
      <c r="H167">
        <f t="shared" si="22"/>
        <v>1.1950613473261826</v>
      </c>
      <c r="I167">
        <f t="shared" si="23"/>
        <v>1.6403387027486196</v>
      </c>
      <c r="J167" s="26">
        <f t="shared" si="24"/>
        <v>8.6602962899727243E-3</v>
      </c>
      <c r="K167" s="26">
        <f t="shared" si="25"/>
        <v>-4.6648262807590934E-3</v>
      </c>
      <c r="L167" s="26">
        <f t="shared" si="26"/>
        <v>-5.7500046331797616E-3</v>
      </c>
      <c r="M167" s="26">
        <f t="shared" si="27"/>
        <v>0.19473944836286039</v>
      </c>
      <c r="N167" s="26">
        <f t="shared" si="28"/>
        <v>0.23452862790086959</v>
      </c>
      <c r="O167" s="26">
        <f t="shared" si="29"/>
        <v>0.11321137538899084</v>
      </c>
    </row>
    <row r="168" spans="1:15" x14ac:dyDescent="0.25">
      <c r="A168" s="2">
        <v>45260</v>
      </c>
      <c r="B168">
        <v>131946</v>
      </c>
      <c r="C168">
        <v>156138</v>
      </c>
      <c r="D168">
        <v>671284</v>
      </c>
      <c r="F168">
        <f t="shared" si="20"/>
        <v>0.30028518774860119</v>
      </c>
      <c r="G168">
        <f t="shared" si="21"/>
        <v>0.45781985362345723</v>
      </c>
      <c r="H168">
        <f t="shared" si="22"/>
        <v>1.1833477331635669</v>
      </c>
      <c r="I168">
        <f t="shared" si="23"/>
        <v>1.5589926678517827</v>
      </c>
      <c r="J168" s="26">
        <f t="shared" si="24"/>
        <v>7.6678032929773932E-3</v>
      </c>
      <c r="K168" s="26">
        <f t="shared" si="25"/>
        <v>-6.0158968292611803E-3</v>
      </c>
      <c r="L168" s="26">
        <f t="shared" si="26"/>
        <v>-6.9634726666130131E-3</v>
      </c>
      <c r="M168" s="26">
        <f t="shared" si="27"/>
        <v>0.18619716596554847</v>
      </c>
      <c r="N168" s="26">
        <f t="shared" si="28"/>
        <v>0.22295845603788589</v>
      </c>
      <c r="O168" s="26">
        <f t="shared" si="29"/>
        <v>9.8856447860994345E-2</v>
      </c>
    </row>
    <row r="169" spans="1:15" x14ac:dyDescent="0.25">
      <c r="A169" s="2">
        <v>45259</v>
      </c>
      <c r="B169">
        <v>133626</v>
      </c>
      <c r="C169">
        <v>153843</v>
      </c>
      <c r="D169">
        <v>668977</v>
      </c>
      <c r="F169">
        <f t="shared" si="20"/>
        <v>0.30055957158062241</v>
      </c>
      <c r="G169">
        <f t="shared" si="21"/>
        <v>0.46097648993508938</v>
      </c>
      <c r="H169">
        <f t="shared" si="22"/>
        <v>1.1512954065825514</v>
      </c>
      <c r="I169">
        <f t="shared" si="23"/>
        <v>1.3367965987813593</v>
      </c>
      <c r="J169" s="26">
        <f t="shared" si="24"/>
        <v>6.9629516848408457E-3</v>
      </c>
      <c r="K169" s="26">
        <f t="shared" si="25"/>
        <v>-7.1017491757048856E-3</v>
      </c>
      <c r="L169" s="26">
        <f t="shared" si="26"/>
        <v>-8.0086455257464273E-3</v>
      </c>
      <c r="M169" s="26">
        <f t="shared" si="27"/>
        <v>0.17730557872685848</v>
      </c>
      <c r="N169" s="26">
        <f t="shared" si="28"/>
        <v>0.21120905902976572</v>
      </c>
      <c r="O169" s="26">
        <f t="shared" si="29"/>
        <v>8.4402669008964648E-2</v>
      </c>
    </row>
    <row r="170" spans="1:15" x14ac:dyDescent="0.25">
      <c r="A170" s="2">
        <v>45258</v>
      </c>
      <c r="B170">
        <v>133397</v>
      </c>
      <c r="C170">
        <v>151998</v>
      </c>
      <c r="D170">
        <v>669104</v>
      </c>
      <c r="F170">
        <f t="shared" si="20"/>
        <v>0.29899978941832311</v>
      </c>
      <c r="G170">
        <f t="shared" si="21"/>
        <v>0.43278080669546204</v>
      </c>
      <c r="H170">
        <f t="shared" si="22"/>
        <v>1.1394409169621507</v>
      </c>
      <c r="I170">
        <f t="shared" si="23"/>
        <v>1.2512650998787413</v>
      </c>
      <c r="J170" s="26">
        <f t="shared" si="24"/>
        <v>5.9950168063043208E-3</v>
      </c>
      <c r="K170" s="26">
        <f t="shared" si="25"/>
        <v>-8.3354115264567818E-3</v>
      </c>
      <c r="L170" s="26">
        <f t="shared" si="26"/>
        <v>-9.2092815324941735E-3</v>
      </c>
      <c r="M170" s="26">
        <f t="shared" si="27"/>
        <v>0.16564611127687412</v>
      </c>
      <c r="N170" s="26">
        <f t="shared" si="28"/>
        <v>0.19806402614184648</v>
      </c>
      <c r="O170" s="26">
        <f t="shared" si="29"/>
        <v>6.9012589839362426E-2</v>
      </c>
    </row>
    <row r="171" spans="1:15" x14ac:dyDescent="0.25">
      <c r="A171" s="2">
        <v>45257</v>
      </c>
      <c r="B171">
        <v>133447</v>
      </c>
      <c r="C171">
        <v>151473</v>
      </c>
      <c r="D171">
        <v>681655</v>
      </c>
      <c r="F171">
        <f t="shared" si="20"/>
        <v>0.29477278017743064</v>
      </c>
      <c r="G171">
        <f t="shared" si="21"/>
        <v>0.35937674731702762</v>
      </c>
      <c r="H171">
        <f t="shared" si="22"/>
        <v>1.1350798444326211</v>
      </c>
      <c r="I171">
        <f t="shared" si="23"/>
        <v>1.215649638813679</v>
      </c>
      <c r="J171" s="26">
        <f t="shared" si="24"/>
        <v>4.8456685529620347E-3</v>
      </c>
      <c r="K171" s="26">
        <f t="shared" si="25"/>
        <v>-9.6319437296901178E-3</v>
      </c>
      <c r="L171" s="26">
        <f t="shared" si="26"/>
        <v>-1.0504775790939502E-2</v>
      </c>
      <c r="M171" s="26">
        <f t="shared" si="27"/>
        <v>0.15421614969278452</v>
      </c>
      <c r="N171" s="26">
        <f t="shared" si="28"/>
        <v>0.18496459202505156</v>
      </c>
      <c r="O171" s="26">
        <f t="shared" si="29"/>
        <v>5.4151678454019581E-2</v>
      </c>
    </row>
    <row r="172" spans="1:15" x14ac:dyDescent="0.25">
      <c r="A172" s="2">
        <v>45254</v>
      </c>
      <c r="B172">
        <v>134227</v>
      </c>
      <c r="C172">
        <v>148523</v>
      </c>
      <c r="D172">
        <v>680767</v>
      </c>
      <c r="F172">
        <f t="shared" si="20"/>
        <v>0.29345616112637346</v>
      </c>
      <c r="G172">
        <f t="shared" si="21"/>
        <v>0.33536026124256357</v>
      </c>
      <c r="H172">
        <f t="shared" si="22"/>
        <v>1.1065061425793619</v>
      </c>
      <c r="I172">
        <f t="shared" si="23"/>
        <v>1.0160471086428478</v>
      </c>
      <c r="J172" s="26">
        <f t="shared" si="24"/>
        <v>4.1772074212557131E-3</v>
      </c>
      <c r="K172" s="26">
        <f t="shared" si="25"/>
        <v>-1.0538406708934078E-2</v>
      </c>
      <c r="L172" s="26">
        <f t="shared" si="26"/>
        <v>-1.1438241483201161E-2</v>
      </c>
      <c r="M172" s="26">
        <f t="shared" si="27"/>
        <v>0.14307150161677085</v>
      </c>
      <c r="N172" s="26">
        <f t="shared" si="28"/>
        <v>0.17189589342765466</v>
      </c>
      <c r="O172" s="26">
        <f t="shared" si="29"/>
        <v>3.9555771464807377E-2</v>
      </c>
    </row>
    <row r="173" spans="1:15" x14ac:dyDescent="0.25">
      <c r="A173" s="2">
        <v>45253</v>
      </c>
      <c r="B173">
        <v>133137</v>
      </c>
      <c r="C173">
        <v>147523</v>
      </c>
      <c r="D173">
        <v>676183</v>
      </c>
      <c r="F173">
        <f t="shared" si="20"/>
        <v>0.29331875762272391</v>
      </c>
      <c r="G173">
        <f t="shared" si="21"/>
        <v>0.33150390054675405</v>
      </c>
      <c r="H173">
        <f t="shared" si="22"/>
        <v>1.1080541096764986</v>
      </c>
      <c r="I173">
        <f t="shared" si="23"/>
        <v>1.0248790406084156</v>
      </c>
      <c r="J173" s="26">
        <f t="shared" si="24"/>
        <v>3.6373981764503682E-3</v>
      </c>
      <c r="K173" s="26">
        <f t="shared" si="25"/>
        <v>-1.1383116857697106E-2</v>
      </c>
      <c r="L173" s="26">
        <f t="shared" si="26"/>
        <v>-1.2241990053627305E-2</v>
      </c>
      <c r="M173" s="26">
        <f t="shared" si="27"/>
        <v>0.13454397426377018</v>
      </c>
      <c r="N173" s="26">
        <f t="shared" si="28"/>
        <v>0.16072323312229475</v>
      </c>
      <c r="O173" s="26">
        <f t="shared" si="29"/>
        <v>2.6855193062368055E-2</v>
      </c>
    </row>
    <row r="174" spans="1:15" x14ac:dyDescent="0.25">
      <c r="A174" s="2">
        <v>45252</v>
      </c>
      <c r="B174">
        <v>133262</v>
      </c>
      <c r="C174">
        <v>145263</v>
      </c>
      <c r="D174">
        <v>668635</v>
      </c>
      <c r="F174">
        <f t="shared" si="20"/>
        <v>0.29406330503821954</v>
      </c>
      <c r="G174">
        <f t="shared" si="21"/>
        <v>0.34274660828216419</v>
      </c>
      <c r="H174">
        <f t="shared" si="22"/>
        <v>1.0900556797886869</v>
      </c>
      <c r="I174">
        <f t="shared" si="23"/>
        <v>0.90088717642984484</v>
      </c>
      <c r="J174" s="26">
        <f t="shared" si="24"/>
        <v>2.9581908535196155E-3</v>
      </c>
      <c r="K174" s="26">
        <f t="shared" si="25"/>
        <v>-1.2283377042894228E-2</v>
      </c>
      <c r="L174" s="26">
        <f t="shared" si="26"/>
        <v>-1.3108184332518036E-2</v>
      </c>
      <c r="M174" s="26">
        <f t="shared" si="27"/>
        <v>0.12522819711590105</v>
      </c>
      <c r="N174" s="26">
        <f t="shared" si="28"/>
        <v>0.14904701963741196</v>
      </c>
      <c r="O174" s="26">
        <f t="shared" si="29"/>
        <v>1.3536572610018283E-2</v>
      </c>
    </row>
    <row r="175" spans="1:15" x14ac:dyDescent="0.25">
      <c r="A175" s="2">
        <v>45251</v>
      </c>
      <c r="B175">
        <v>133912</v>
      </c>
      <c r="C175">
        <v>142863</v>
      </c>
      <c r="D175">
        <v>664899</v>
      </c>
      <c r="F175">
        <f t="shared" si="20"/>
        <v>0.29391806506285617</v>
      </c>
      <c r="G175">
        <f t="shared" si="21"/>
        <v>0.33874067323067875</v>
      </c>
      <c r="H175">
        <f t="shared" si="22"/>
        <v>1.0668424039667841</v>
      </c>
      <c r="I175">
        <f t="shared" si="23"/>
        <v>0.73966450716488541</v>
      </c>
      <c r="J175" s="26">
        <f t="shared" si="24"/>
        <v>3.087045252413767E-3</v>
      </c>
      <c r="K175" s="26">
        <f t="shared" si="25"/>
        <v>-1.3123320666627469E-2</v>
      </c>
      <c r="L175" s="26">
        <f t="shared" si="26"/>
        <v>-1.3893161516625896E-2</v>
      </c>
      <c r="M175" s="26">
        <f t="shared" si="27"/>
        <v>0.11707597245088008</v>
      </c>
      <c r="N175" s="26">
        <f t="shared" si="28"/>
        <v>0.13820224269885284</v>
      </c>
      <c r="O175" s="26">
        <f t="shared" si="29"/>
        <v>1.1340577560756682E-3</v>
      </c>
    </row>
    <row r="176" spans="1:15" x14ac:dyDescent="0.25">
      <c r="A176" s="2">
        <v>45250</v>
      </c>
      <c r="B176">
        <v>134487</v>
      </c>
      <c r="C176">
        <v>139863</v>
      </c>
      <c r="D176">
        <v>662137</v>
      </c>
      <c r="F176">
        <f t="shared" si="20"/>
        <v>0.29295654931675508</v>
      </c>
      <c r="G176">
        <f t="shared" si="21"/>
        <v>0.32078225787821268</v>
      </c>
      <c r="H176">
        <f t="shared" si="22"/>
        <v>1.0399741238930156</v>
      </c>
      <c r="I176">
        <f t="shared" si="23"/>
        <v>0.55329914757693122</v>
      </c>
      <c r="J176" s="26">
        <f t="shared" si="24"/>
        <v>3.2077859961187616E-3</v>
      </c>
      <c r="K176" s="26">
        <f t="shared" si="25"/>
        <v>-1.3883598627828231E-2</v>
      </c>
      <c r="L176" s="26">
        <f t="shared" si="26"/>
        <v>-1.4681821263332562E-2</v>
      </c>
      <c r="M176" s="26">
        <f t="shared" si="27"/>
        <v>0.10993238764015312</v>
      </c>
      <c r="N176" s="26">
        <f t="shared" si="28"/>
        <v>0.12733885060887862</v>
      </c>
      <c r="O176" s="26">
        <f t="shared" si="29"/>
        <v>-1.0666772641514388E-2</v>
      </c>
    </row>
    <row r="177" spans="1:15" x14ac:dyDescent="0.25">
      <c r="A177" s="2">
        <v>45247</v>
      </c>
      <c r="B177">
        <v>134807</v>
      </c>
      <c r="C177">
        <v>139553</v>
      </c>
      <c r="D177">
        <v>660334</v>
      </c>
      <c r="F177">
        <f t="shared" si="20"/>
        <v>0.29352921918831187</v>
      </c>
      <c r="G177">
        <f t="shared" si="21"/>
        <v>0.32889097935818518</v>
      </c>
      <c r="H177">
        <f t="shared" si="22"/>
        <v>1.0352058869346548</v>
      </c>
      <c r="I177">
        <f t="shared" si="23"/>
        <v>0.51763471278919393</v>
      </c>
      <c r="J177" s="26">
        <f t="shared" si="24"/>
        <v>3.8207818237225299E-3</v>
      </c>
      <c r="K177" s="26">
        <f t="shared" si="25"/>
        <v>-1.4474394128463797E-2</v>
      </c>
      <c r="L177" s="26">
        <f t="shared" si="26"/>
        <v>-1.5319783044511037E-2</v>
      </c>
      <c r="M177" s="26">
        <f t="shared" si="27"/>
        <v>0.10309107895072644</v>
      </c>
      <c r="N177" s="26">
        <f t="shared" si="28"/>
        <v>0.11756739362578172</v>
      </c>
      <c r="O177" s="26">
        <f t="shared" si="29"/>
        <v>-2.1126066177870717E-2</v>
      </c>
    </row>
    <row r="178" spans="1:15" x14ac:dyDescent="0.25">
      <c r="A178" s="2">
        <v>45246</v>
      </c>
      <c r="B178">
        <v>135457</v>
      </c>
      <c r="C178">
        <v>139703</v>
      </c>
      <c r="D178">
        <v>660366</v>
      </c>
      <c r="F178">
        <f t="shared" si="20"/>
        <v>0.29412330603318348</v>
      </c>
      <c r="G178">
        <f t="shared" si="21"/>
        <v>0.33740815507698108</v>
      </c>
      <c r="H178">
        <f t="shared" si="22"/>
        <v>1.0313457407147655</v>
      </c>
      <c r="I178">
        <f t="shared" si="23"/>
        <v>0.49011578115372528</v>
      </c>
      <c r="J178" s="26">
        <f t="shared" si="24"/>
        <v>4.5048717224107082E-3</v>
      </c>
      <c r="K178" s="26">
        <f t="shared" si="25"/>
        <v>-1.5116555189259528E-2</v>
      </c>
      <c r="L178" s="26">
        <f t="shared" si="26"/>
        <v>-1.5998221345200181E-2</v>
      </c>
      <c r="M178" s="26">
        <f t="shared" si="27"/>
        <v>9.6531725349088715E-2</v>
      </c>
      <c r="N178" s="26">
        <f t="shared" si="28"/>
        <v>0.10751420951355328</v>
      </c>
      <c r="O178" s="26">
        <f t="shared" si="29"/>
        <v>-3.1785870497345603E-2</v>
      </c>
    </row>
    <row r="179" spans="1:15" x14ac:dyDescent="0.25">
      <c r="A179" s="2">
        <v>45245</v>
      </c>
      <c r="B179">
        <v>133719</v>
      </c>
      <c r="C179">
        <v>139378</v>
      </c>
      <c r="D179">
        <v>661328</v>
      </c>
      <c r="F179">
        <f t="shared" si="20"/>
        <v>0.29226208630976269</v>
      </c>
      <c r="G179">
        <f t="shared" si="21"/>
        <v>0.30438075877420023</v>
      </c>
      <c r="H179">
        <f t="shared" si="22"/>
        <v>1.0423200891421562</v>
      </c>
      <c r="I179">
        <f t="shared" si="23"/>
        <v>0.56329734736824755</v>
      </c>
      <c r="J179" s="26">
        <f t="shared" si="24"/>
        <v>2.5250103940560598E-3</v>
      </c>
      <c r="K179" s="26">
        <f t="shared" si="25"/>
        <v>-1.5677449085003237E-2</v>
      </c>
      <c r="L179" s="26">
        <f t="shared" si="26"/>
        <v>-1.6636908014586116E-2</v>
      </c>
      <c r="M179" s="26">
        <f t="shared" si="27"/>
        <v>9.2774885660597328E-2</v>
      </c>
      <c r="N179" s="26">
        <f t="shared" si="28"/>
        <v>9.7777223644293421E-2</v>
      </c>
      <c r="O179" s="26">
        <f t="shared" si="29"/>
        <v>-4.177397991078291E-2</v>
      </c>
    </row>
    <row r="180" spans="1:15" x14ac:dyDescent="0.25">
      <c r="A180" s="2">
        <v>45244</v>
      </c>
      <c r="B180">
        <v>132569</v>
      </c>
      <c r="C180">
        <v>137203</v>
      </c>
      <c r="D180">
        <v>662121</v>
      </c>
      <c r="F180">
        <f t="shared" si="20"/>
        <v>0.28948817085223305</v>
      </c>
      <c r="G180">
        <f t="shared" si="21"/>
        <v>0.2558790586765422</v>
      </c>
      <c r="H180">
        <f t="shared" si="22"/>
        <v>1.0349553817257429</v>
      </c>
      <c r="I180">
        <f t="shared" si="23"/>
        <v>0.51221650711718869</v>
      </c>
      <c r="J180" s="26">
        <f t="shared" si="24"/>
        <v>4.8230009008143337E-4</v>
      </c>
      <c r="K180" s="26">
        <f t="shared" si="25"/>
        <v>-1.6016387766547735E-2</v>
      </c>
      <c r="L180" s="26">
        <f t="shared" si="26"/>
        <v>-1.7254235227895376E-2</v>
      </c>
      <c r="M180" s="26">
        <f t="shared" si="27"/>
        <v>9.0204628069689874E-2</v>
      </c>
      <c r="N180" s="26">
        <f t="shared" si="28"/>
        <v>8.8459063924281045E-2</v>
      </c>
      <c r="O180" s="26">
        <f t="shared" si="29"/>
        <v>-5.1252722182412946E-2</v>
      </c>
    </row>
    <row r="181" spans="1:15" x14ac:dyDescent="0.25">
      <c r="A181" s="2">
        <v>45243</v>
      </c>
      <c r="B181">
        <v>132744</v>
      </c>
      <c r="C181">
        <v>135178</v>
      </c>
      <c r="D181">
        <v>657962</v>
      </c>
      <c r="F181">
        <f t="shared" si="20"/>
        <v>0.28936886262209954</v>
      </c>
      <c r="G181">
        <f t="shared" si="21"/>
        <v>0.25231533886138913</v>
      </c>
      <c r="H181">
        <f t="shared" si="22"/>
        <v>1.0183360453203159</v>
      </c>
      <c r="I181">
        <f t="shared" si="23"/>
        <v>0.39821160761320484</v>
      </c>
      <c r="J181" s="26">
        <f t="shared" si="24"/>
        <v>-1.3593968512262133E-3</v>
      </c>
      <c r="K181" s="26">
        <f t="shared" si="25"/>
        <v>-1.6126990184161138E-2</v>
      </c>
      <c r="L181" s="26">
        <f t="shared" si="26"/>
        <v>-1.7683375874629148E-2</v>
      </c>
      <c r="M181" s="26">
        <f t="shared" si="27"/>
        <v>8.872937603561093E-2</v>
      </c>
      <c r="N181" s="26">
        <f t="shared" si="28"/>
        <v>8.0115855392362989E-2</v>
      </c>
      <c r="O181" s="26">
        <f t="shared" si="29"/>
        <v>-5.9891521086171129E-2</v>
      </c>
    </row>
    <row r="182" spans="1:15" x14ac:dyDescent="0.25">
      <c r="A182" s="2">
        <v>45240</v>
      </c>
      <c r="B182">
        <v>131634</v>
      </c>
      <c r="C182">
        <v>134803</v>
      </c>
      <c r="D182">
        <v>653683</v>
      </c>
      <c r="F182">
        <f t="shared" si="20"/>
        <v>0.28956766508716253</v>
      </c>
      <c r="G182">
        <f t="shared" si="21"/>
        <v>0.25408245992995898</v>
      </c>
      <c r="H182">
        <f t="shared" si="22"/>
        <v>1.024074327301457</v>
      </c>
      <c r="I182">
        <f t="shared" si="23"/>
        <v>0.43507783338162626</v>
      </c>
      <c r="J182" s="26">
        <f t="shared" si="24"/>
        <v>-3.7236742813060997E-3</v>
      </c>
      <c r="K182" s="26">
        <f t="shared" si="25"/>
        <v>-1.6552896547657514E-2</v>
      </c>
      <c r="L182" s="26">
        <f t="shared" si="26"/>
        <v>-1.839388007519166E-2</v>
      </c>
      <c r="M182" s="26">
        <f t="shared" si="27"/>
        <v>8.5681443687909309E-2</v>
      </c>
      <c r="N182" s="26">
        <f t="shared" si="28"/>
        <v>7.0924455055203395E-2</v>
      </c>
      <c r="O182" s="26">
        <f t="shared" si="29"/>
        <v>-6.8893165849365889E-2</v>
      </c>
    </row>
    <row r="183" spans="1:15" x14ac:dyDescent="0.25">
      <c r="A183" s="2">
        <v>45239</v>
      </c>
      <c r="B183">
        <v>132359</v>
      </c>
      <c r="C183">
        <v>134978</v>
      </c>
      <c r="D183">
        <v>652209</v>
      </c>
      <c r="F183">
        <f t="shared" si="20"/>
        <v>0.290727163187051</v>
      </c>
      <c r="G183">
        <f t="shared" si="21"/>
        <v>0.27224697398805875</v>
      </c>
      <c r="H183">
        <f t="shared" si="22"/>
        <v>1.0197870941907992</v>
      </c>
      <c r="I183">
        <f t="shared" si="23"/>
        <v>0.40557660322479999</v>
      </c>
      <c r="J183" s="26">
        <f t="shared" si="24"/>
        <v>-6.1282271122524157E-3</v>
      </c>
      <c r="K183" s="26">
        <f t="shared" si="25"/>
        <v>-1.7132288675532181E-2</v>
      </c>
      <c r="L183" s="26">
        <f t="shared" si="26"/>
        <v>-1.9143220595946808E-2</v>
      </c>
      <c r="M183" s="26">
        <f t="shared" si="27"/>
        <v>8.3397400727705406E-2</v>
      </c>
      <c r="N183" s="26">
        <f t="shared" si="28"/>
        <v>6.1607084493956354E-2</v>
      </c>
      <c r="O183" s="26">
        <f t="shared" si="29"/>
        <v>-7.7901732516498234E-2</v>
      </c>
    </row>
    <row r="184" spans="1:15" x14ac:dyDescent="0.25">
      <c r="A184" s="2">
        <v>45238</v>
      </c>
      <c r="B184">
        <v>131484</v>
      </c>
      <c r="C184">
        <v>135795</v>
      </c>
      <c r="D184">
        <v>648641</v>
      </c>
      <c r="F184">
        <f t="shared" si="20"/>
        <v>0.29181478731766969</v>
      </c>
      <c r="G184">
        <f t="shared" si="21"/>
        <v>0.28916308427519094</v>
      </c>
      <c r="H184">
        <f t="shared" si="22"/>
        <v>1.032787259286301</v>
      </c>
      <c r="I184">
        <f t="shared" si="23"/>
        <v>0.49240702057536589</v>
      </c>
      <c r="J184" s="26">
        <f t="shared" si="24"/>
        <v>-8.4592225654520625E-3</v>
      </c>
      <c r="K184" s="26">
        <f t="shared" si="25"/>
        <v>-1.7582948269719456E-2</v>
      </c>
      <c r="L184" s="26">
        <f t="shared" si="26"/>
        <v>-1.9893537050378274E-2</v>
      </c>
      <c r="M184" s="26">
        <f t="shared" si="27"/>
        <v>8.1926877634426298E-2</v>
      </c>
      <c r="N184" s="26">
        <f t="shared" si="28"/>
        <v>5.1237985552492149E-2</v>
      </c>
      <c r="O184" s="26">
        <f t="shared" si="29"/>
        <v>-8.6787020437683604E-2</v>
      </c>
    </row>
    <row r="185" spans="1:15" x14ac:dyDescent="0.25">
      <c r="A185" s="2">
        <v>45237</v>
      </c>
      <c r="B185">
        <v>131249</v>
      </c>
      <c r="C185">
        <v>130020</v>
      </c>
      <c r="D185">
        <v>645900</v>
      </c>
      <c r="F185">
        <f t="shared" si="20"/>
        <v>0.28800477088613036</v>
      </c>
      <c r="G185">
        <f t="shared" si="21"/>
        <v>0.22295225310574732</v>
      </c>
      <c r="H185">
        <f t="shared" si="22"/>
        <v>0.99063611913233629</v>
      </c>
      <c r="I185">
        <f t="shared" si="23"/>
        <v>0.20589865845420263</v>
      </c>
      <c r="J185" s="26">
        <f t="shared" si="24"/>
        <v>-1.078638367614343E-2</v>
      </c>
      <c r="K185" s="26">
        <f t="shared" si="25"/>
        <v>-1.8037204748235891E-2</v>
      </c>
      <c r="L185" s="26">
        <f t="shared" si="26"/>
        <v>-2.0659540642656793E-2</v>
      </c>
      <c r="M185" s="26">
        <f t="shared" si="27"/>
        <v>7.9233412039202089E-2</v>
      </c>
      <c r="N185" s="26">
        <f t="shared" si="28"/>
        <v>3.9500784799854527E-2</v>
      </c>
      <c r="O185" s="26">
        <f t="shared" si="29"/>
        <v>-9.6329090520438143E-2</v>
      </c>
    </row>
    <row r="186" spans="1:15" x14ac:dyDescent="0.25">
      <c r="A186" s="2">
        <v>45236</v>
      </c>
      <c r="B186">
        <v>129124</v>
      </c>
      <c r="C186">
        <v>120380</v>
      </c>
      <c r="D186">
        <v>644227</v>
      </c>
      <c r="F186">
        <f t="shared" si="20"/>
        <v>0.27917124951467498</v>
      </c>
      <c r="G186">
        <f t="shared" si="21"/>
        <v>7.1427127333007892E-2</v>
      </c>
      <c r="H186">
        <f t="shared" si="22"/>
        <v>0.93228214739320348</v>
      </c>
      <c r="I186">
        <f t="shared" si="23"/>
        <v>-0.19258204717336636</v>
      </c>
      <c r="J186" s="26">
        <f t="shared" si="24"/>
        <v>-1.2992837614022423E-2</v>
      </c>
      <c r="K186" s="26">
        <f t="shared" si="25"/>
        <v>-1.8313478936176908E-2</v>
      </c>
      <c r="L186" s="26">
        <f t="shared" si="26"/>
        <v>-2.12729343529518E-2</v>
      </c>
      <c r="M186" s="26">
        <f t="shared" si="27"/>
        <v>7.8254861909100137E-2</v>
      </c>
      <c r="N186" s="26">
        <f t="shared" si="28"/>
        <v>2.8962620902744596E-2</v>
      </c>
      <c r="O186" s="26">
        <f t="shared" si="29"/>
        <v>-0.10408556130124835</v>
      </c>
    </row>
    <row r="187" spans="1:15" x14ac:dyDescent="0.25">
      <c r="A187" s="2">
        <v>45233</v>
      </c>
      <c r="B187">
        <v>127965</v>
      </c>
      <c r="C187">
        <v>119695</v>
      </c>
      <c r="D187">
        <v>643808</v>
      </c>
      <c r="F187">
        <f t="shared" si="20"/>
        <v>0.27781143013546195</v>
      </c>
      <c r="G187">
        <f t="shared" si="21"/>
        <v>4.6103988044041873E-2</v>
      </c>
      <c r="H187">
        <f t="shared" si="22"/>
        <v>0.93537295354198413</v>
      </c>
      <c r="I187">
        <f t="shared" si="23"/>
        <v>-0.17706554840257449</v>
      </c>
      <c r="J187" s="26">
        <f t="shared" si="24"/>
        <v>-1.4598381500272817E-2</v>
      </c>
      <c r="K187" s="26">
        <f t="shared" si="25"/>
        <v>-1.8109717075615095E-2</v>
      </c>
      <c r="L187" s="26">
        <f t="shared" si="26"/>
        <v>-2.139157251430146E-2</v>
      </c>
      <c r="M187" s="26">
        <f t="shared" si="27"/>
        <v>7.9503210587201112E-2</v>
      </c>
      <c r="N187" s="26">
        <f t="shared" si="28"/>
        <v>2.1218036729068301E-2</v>
      </c>
      <c r="O187" s="26">
        <f t="shared" si="29"/>
        <v>-0.10893985770408599</v>
      </c>
    </row>
    <row r="188" spans="1:15" x14ac:dyDescent="0.25">
      <c r="A188" s="2">
        <v>45232</v>
      </c>
      <c r="B188">
        <v>128990</v>
      </c>
      <c r="C188">
        <v>119746</v>
      </c>
      <c r="D188">
        <v>639936</v>
      </c>
      <c r="F188">
        <f t="shared" si="20"/>
        <v>0.27989629469590582</v>
      </c>
      <c r="G188">
        <f t="shared" si="21"/>
        <v>7.8801710466572125E-2</v>
      </c>
      <c r="H188">
        <f t="shared" si="22"/>
        <v>0.92833552988603762</v>
      </c>
      <c r="I188">
        <f t="shared" si="23"/>
        <v>-0.22940630787320712</v>
      </c>
      <c r="J188" s="26">
        <f t="shared" si="24"/>
        <v>-1.5902676765395363E-2</v>
      </c>
      <c r="K188" s="26">
        <f t="shared" si="25"/>
        <v>-1.7822488062385455E-2</v>
      </c>
      <c r="L188" s="26">
        <f t="shared" si="26"/>
        <v>-2.1442145336638463E-2</v>
      </c>
      <c r="M188" s="26">
        <f t="shared" si="27"/>
        <v>7.9179061425170394E-2</v>
      </c>
      <c r="N188" s="26">
        <f t="shared" si="28"/>
        <v>1.3228983675841355E-2</v>
      </c>
      <c r="O188" s="26">
        <f t="shared" si="29"/>
        <v>-0.11402785208466304</v>
      </c>
    </row>
    <row r="189" spans="1:15" x14ac:dyDescent="0.25">
      <c r="A189" s="2">
        <v>45231</v>
      </c>
      <c r="B189">
        <v>129915</v>
      </c>
      <c r="C189">
        <v>119094</v>
      </c>
      <c r="D189">
        <v>624124</v>
      </c>
      <c r="F189">
        <f t="shared" si="20"/>
        <v>0.2851902287509463</v>
      </c>
      <c r="G189">
        <f t="shared" si="21"/>
        <v>0.16569426449873831</v>
      </c>
      <c r="H189">
        <f t="shared" si="22"/>
        <v>0.91670707770465309</v>
      </c>
      <c r="I189">
        <f t="shared" si="23"/>
        <v>-0.31270704323331311</v>
      </c>
      <c r="J189" s="26">
        <f t="shared" si="24"/>
        <v>-1.703274147324485E-2</v>
      </c>
      <c r="K189" s="26">
        <f t="shared" si="25"/>
        <v>-1.7665595499130105E-2</v>
      </c>
      <c r="L189" s="26">
        <f t="shared" si="26"/>
        <v>-2.1595152421231334E-2</v>
      </c>
      <c r="M189" s="26">
        <f t="shared" si="27"/>
        <v>7.5971125253052496E-2</v>
      </c>
      <c r="N189" s="26">
        <f t="shared" si="28"/>
        <v>4.8228995981378642E-3</v>
      </c>
      <c r="O189" s="26">
        <f t="shared" si="29"/>
        <v>-0.11950775758689092</v>
      </c>
    </row>
    <row r="190" spans="1:15" x14ac:dyDescent="0.25">
      <c r="A190" s="2">
        <v>45230</v>
      </c>
      <c r="B190">
        <v>130965</v>
      </c>
      <c r="C190">
        <v>114056</v>
      </c>
      <c r="D190">
        <v>620629</v>
      </c>
      <c r="F190">
        <f t="shared" si="20"/>
        <v>0.28304857621440538</v>
      </c>
      <c r="G190">
        <f t="shared" si="21"/>
        <v>0.1272740746987176</v>
      </c>
      <c r="H190">
        <f t="shared" si="22"/>
        <v>0.8708891688619097</v>
      </c>
      <c r="I190">
        <f t="shared" si="23"/>
        <v>-0.62801965462400988</v>
      </c>
      <c r="J190" s="26">
        <f t="shared" si="24"/>
        <v>-1.851813734063712E-2</v>
      </c>
      <c r="K190" s="26">
        <f t="shared" si="25"/>
        <v>-1.7646812194843486E-2</v>
      </c>
      <c r="L190" s="26">
        <f t="shared" si="26"/>
        <v>-2.191976808588475E-2</v>
      </c>
      <c r="M190" s="26">
        <f t="shared" si="27"/>
        <v>7.395263083854009E-2</v>
      </c>
      <c r="N190" s="26">
        <f t="shared" si="28"/>
        <v>-3.3172150637282849E-3</v>
      </c>
      <c r="O190" s="26">
        <f t="shared" si="29"/>
        <v>-0.12454603725761448</v>
      </c>
    </row>
    <row r="191" spans="1:15" x14ac:dyDescent="0.25">
      <c r="A191" s="2">
        <v>45229</v>
      </c>
      <c r="B191">
        <v>130905</v>
      </c>
      <c r="C191">
        <v>113548</v>
      </c>
      <c r="D191">
        <v>626875</v>
      </c>
      <c r="F191">
        <f t="shared" si="20"/>
        <v>0.28055221455066287</v>
      </c>
      <c r="G191">
        <f t="shared" si="21"/>
        <v>8.3077318137176448E-2</v>
      </c>
      <c r="H191">
        <f t="shared" si="22"/>
        <v>0.86740766204499442</v>
      </c>
      <c r="I191">
        <f t="shared" si="23"/>
        <v>-0.65930824102981334</v>
      </c>
      <c r="J191" s="26">
        <f t="shared" si="24"/>
        <v>-1.9845102122760194E-2</v>
      </c>
      <c r="K191" s="26">
        <f t="shared" si="25"/>
        <v>-1.747738478719435E-2</v>
      </c>
      <c r="L191" s="26">
        <f t="shared" si="26"/>
        <v>-2.2088379341718534E-2</v>
      </c>
      <c r="M191" s="26">
        <f t="shared" si="27"/>
        <v>7.409136745370748E-2</v>
      </c>
      <c r="N191" s="26">
        <f t="shared" si="28"/>
        <v>-9.3371674674911365E-3</v>
      </c>
      <c r="O191" s="26">
        <f t="shared" si="29"/>
        <v>-0.12780742671592893</v>
      </c>
    </row>
    <row r="192" spans="1:15" x14ac:dyDescent="0.25">
      <c r="A192" s="2">
        <v>45226</v>
      </c>
      <c r="B192">
        <v>131230</v>
      </c>
      <c r="C192">
        <v>113348</v>
      </c>
      <c r="D192">
        <v>618997</v>
      </c>
      <c r="F192">
        <f t="shared" si="20"/>
        <v>0.28321570216831193</v>
      </c>
      <c r="G192">
        <f t="shared" si="21"/>
        <v>0.12575527931891486</v>
      </c>
      <c r="H192">
        <f t="shared" si="22"/>
        <v>0.86373542635068201</v>
      </c>
      <c r="I192">
        <f t="shared" si="23"/>
        <v>-0.69204106753376748</v>
      </c>
      <c r="J192" s="26">
        <f t="shared" si="24"/>
        <v>-2.0954973325933379E-2</v>
      </c>
      <c r="K192" s="26">
        <f t="shared" si="25"/>
        <v>-1.7175985033978325E-2</v>
      </c>
      <c r="L192" s="26">
        <f t="shared" si="26"/>
        <v>-2.2118611925724896E-2</v>
      </c>
      <c r="M192" s="26">
        <f t="shared" si="27"/>
        <v>7.4067103634295028E-2</v>
      </c>
      <c r="N192" s="26">
        <f t="shared" si="28"/>
        <v>-1.487875696348262E-2</v>
      </c>
      <c r="O192" s="26">
        <f t="shared" si="29"/>
        <v>-0.13094943284361693</v>
      </c>
    </row>
    <row r="193" spans="1:15" x14ac:dyDescent="0.25">
      <c r="A193" s="2">
        <v>45225</v>
      </c>
      <c r="B193">
        <v>129280</v>
      </c>
      <c r="C193">
        <v>112898</v>
      </c>
      <c r="D193">
        <v>613348</v>
      </c>
      <c r="F193">
        <f t="shared" si="20"/>
        <v>0.28307497375883373</v>
      </c>
      <c r="G193">
        <f t="shared" si="21"/>
        <v>0.12128452242130958</v>
      </c>
      <c r="H193">
        <f t="shared" si="22"/>
        <v>0.87328279702970302</v>
      </c>
      <c r="I193">
        <f t="shared" si="23"/>
        <v>-0.6347256643763205</v>
      </c>
      <c r="J193" s="26">
        <f t="shared" si="24"/>
        <v>-2.2222958784237079E-2</v>
      </c>
      <c r="K193" s="26">
        <f t="shared" si="25"/>
        <v>-1.7076233806374741E-2</v>
      </c>
      <c r="L193" s="26">
        <f t="shared" si="26"/>
        <v>-2.2111330145174246E-2</v>
      </c>
      <c r="M193" s="26">
        <f t="shared" si="27"/>
        <v>7.3178414715155182E-2</v>
      </c>
      <c r="N193" s="26">
        <f t="shared" si="28"/>
        <v>-2.0551774147290036E-2</v>
      </c>
      <c r="O193" s="26">
        <f t="shared" si="29"/>
        <v>-0.13442757108935632</v>
      </c>
    </row>
    <row r="194" spans="1:15" x14ac:dyDescent="0.25">
      <c r="A194" s="2">
        <v>45224</v>
      </c>
      <c r="B194">
        <v>128550</v>
      </c>
      <c r="C194">
        <v>111073</v>
      </c>
      <c r="D194">
        <v>610021</v>
      </c>
      <c r="F194">
        <f t="shared" si="20"/>
        <v>0.28202753153085292</v>
      </c>
      <c r="G194">
        <f t="shared" si="21"/>
        <v>0.10152160289780274</v>
      </c>
      <c r="H194">
        <f t="shared" si="22"/>
        <v>0.86404511863088296</v>
      </c>
      <c r="I194">
        <f t="shared" si="23"/>
        <v>-0.70485295313004315</v>
      </c>
      <c r="J194" s="26">
        <f t="shared" si="24"/>
        <v>-2.364884421962099E-2</v>
      </c>
      <c r="K194" s="26">
        <f t="shared" si="25"/>
        <v>-1.7257582843075603E-2</v>
      </c>
      <c r="L194" s="26">
        <f t="shared" si="26"/>
        <v>-2.2198217741478787E-2</v>
      </c>
      <c r="M194" s="26">
        <f t="shared" si="27"/>
        <v>7.1219020052352588E-2</v>
      </c>
      <c r="N194" s="26">
        <f t="shared" si="28"/>
        <v>-2.7128932437513686E-2</v>
      </c>
      <c r="O194" s="26">
        <f t="shared" si="29"/>
        <v>-0.13888876650367776</v>
      </c>
    </row>
    <row r="195" spans="1:15" x14ac:dyDescent="0.25">
      <c r="A195" s="2">
        <v>45223</v>
      </c>
      <c r="B195">
        <v>128430</v>
      </c>
      <c r="C195">
        <v>110973</v>
      </c>
      <c r="D195">
        <v>603086</v>
      </c>
      <c r="F195">
        <f t="shared" si="20"/>
        <v>0.28416157362291972</v>
      </c>
      <c r="G195">
        <f t="shared" si="21"/>
        <v>0.13498003967829106</v>
      </c>
      <c r="H195">
        <f t="shared" si="22"/>
        <v>0.86407381452931553</v>
      </c>
      <c r="I195">
        <f t="shared" si="23"/>
        <v>-0.71271712467951498</v>
      </c>
      <c r="J195" s="26">
        <f t="shared" si="24"/>
        <v>-2.4929268798993875E-2</v>
      </c>
      <c r="K195" s="26">
        <f t="shared" si="25"/>
        <v>-1.7254433796040691E-2</v>
      </c>
      <c r="L195" s="26">
        <f t="shared" si="26"/>
        <v>-2.2166412166778893E-2</v>
      </c>
      <c r="M195" s="26">
        <f t="shared" si="27"/>
        <v>6.8783602549797873E-2</v>
      </c>
      <c r="N195" s="26">
        <f t="shared" si="28"/>
        <v>-3.3599334847231987E-2</v>
      </c>
      <c r="O195" s="26">
        <f t="shared" si="29"/>
        <v>-0.14320986382724477</v>
      </c>
    </row>
    <row r="196" spans="1:15" x14ac:dyDescent="0.25">
      <c r="A196" s="2">
        <v>45222</v>
      </c>
      <c r="B196">
        <v>128480</v>
      </c>
      <c r="C196">
        <v>109908</v>
      </c>
      <c r="D196">
        <v>600583</v>
      </c>
      <c r="F196">
        <f t="shared" ref="F196:F259" si="30">IFERROR((C196+B196)/(B196+C196+D196),"")</f>
        <v>0.28414331365446482</v>
      </c>
      <c r="G196">
        <f t="shared" ref="G196:G259" si="31">(F196-AVERAGE(F196:F453))/_xlfn.STDEV.S(F196:F453)</f>
        <v>0.13239608523685356</v>
      </c>
      <c r="H196">
        <f t="shared" ref="H196:H259" si="32">IFERROR(C196/B196,"")</f>
        <v>0.85544831880448324</v>
      </c>
      <c r="I196">
        <f t="shared" ref="I196:I259" si="33">IFERROR((H196-AVERAGE(H196:H323))/_xlfn.STDEV.S(H196:H323),"")</f>
        <v>-0.77910260139846055</v>
      </c>
      <c r="J196" s="26">
        <f t="shared" ref="J196:J259" si="34">AVERAGEA(F196:F216)-AVERAGE(F217:F237)</f>
        <v>-2.7587413690677298E-2</v>
      </c>
      <c r="K196" s="26">
        <f t="shared" ref="K196:K259" si="35">AVERAGEA(F196:F216)-AVERAGE(F217:F272)</f>
        <v>-1.8204554556520702E-2</v>
      </c>
      <c r="L196" s="26">
        <f t="shared" ref="L196:L259" si="36">AVERAGEA(F196:F216)-AVERAGE(F217:F329)</f>
        <v>-2.2979092850918315E-2</v>
      </c>
      <c r="M196" s="26">
        <f t="shared" ref="M196:M259" si="37">AVERAGEA(H196:H216)-AVERAGE(H217:H237)</f>
        <v>6.571176667073575E-2</v>
      </c>
      <c r="N196" s="26">
        <f t="shared" ref="N196:N259" si="38">AVERAGEA(H196:H216)-AVERAGE(H217:H272)</f>
        <v>-4.0512140243175621E-2</v>
      </c>
      <c r="O196" s="26">
        <f t="shared" ref="O196:O259" si="39">AVERAGEA(H196:H216)-AVERAGE(H217:H329)</f>
        <v>-0.14807792646274631</v>
      </c>
    </row>
    <row r="197" spans="1:15" x14ac:dyDescent="0.25">
      <c r="A197" s="2">
        <v>45219</v>
      </c>
      <c r="B197">
        <v>128995</v>
      </c>
      <c r="C197">
        <v>110058</v>
      </c>
      <c r="D197">
        <v>596516</v>
      </c>
      <c r="F197">
        <f t="shared" si="30"/>
        <v>0.28609606148624472</v>
      </c>
      <c r="G197">
        <f t="shared" si="31"/>
        <v>0.16303418091305136</v>
      </c>
      <c r="H197">
        <f t="shared" si="32"/>
        <v>0.85319586030466299</v>
      </c>
      <c r="I197">
        <f t="shared" si="33"/>
        <v>-0.80456921883985</v>
      </c>
      <c r="J197" s="26">
        <f t="shared" si="34"/>
        <v>-3.0103762216802221E-2</v>
      </c>
      <c r="K197" s="26">
        <f t="shared" si="35"/>
        <v>-1.9024557085722038E-2</v>
      </c>
      <c r="L197" s="26">
        <f t="shared" si="36"/>
        <v>-2.376913267769426E-2</v>
      </c>
      <c r="M197" s="26">
        <f t="shared" si="37"/>
        <v>6.0863871093639554E-2</v>
      </c>
      <c r="N197" s="26">
        <f t="shared" si="38"/>
        <v>-4.7494541074427632E-2</v>
      </c>
      <c r="O197" s="26">
        <f t="shared" si="39"/>
        <v>-0.1532048750556575</v>
      </c>
    </row>
    <row r="198" spans="1:15" x14ac:dyDescent="0.25">
      <c r="A198" s="2">
        <v>45218</v>
      </c>
      <c r="B198">
        <v>129445</v>
      </c>
      <c r="C198">
        <v>109708</v>
      </c>
      <c r="D198">
        <v>597489</v>
      </c>
      <c r="F198">
        <f t="shared" si="30"/>
        <v>0.28584866645470824</v>
      </c>
      <c r="G198">
        <f t="shared" si="31"/>
        <v>0.15731884274167751</v>
      </c>
      <c r="H198">
        <f t="shared" si="32"/>
        <v>0.84752597628336357</v>
      </c>
      <c r="I198">
        <f t="shared" si="33"/>
        <v>-0.85410029534016374</v>
      </c>
      <c r="J198" s="26">
        <f t="shared" si="34"/>
        <v>-3.3245365035400598E-2</v>
      </c>
      <c r="K198" s="26">
        <f t="shared" si="35"/>
        <v>-2.0269337495896766E-2</v>
      </c>
      <c r="L198" s="26">
        <f t="shared" si="36"/>
        <v>-2.4939165717495659E-2</v>
      </c>
      <c r="M198" s="26">
        <f t="shared" si="37"/>
        <v>5.6717223568650943E-2</v>
      </c>
      <c r="N198" s="26">
        <f t="shared" si="38"/>
        <v>-5.5034514115303801E-2</v>
      </c>
      <c r="O198" s="26">
        <f t="shared" si="39"/>
        <v>-0.15714226132165854</v>
      </c>
    </row>
    <row r="199" spans="1:15" x14ac:dyDescent="0.25">
      <c r="A199" s="2">
        <v>45217</v>
      </c>
      <c r="B199">
        <v>129470</v>
      </c>
      <c r="C199">
        <v>110783</v>
      </c>
      <c r="D199">
        <v>596725</v>
      </c>
      <c r="F199">
        <f t="shared" si="30"/>
        <v>0.28704816614056761</v>
      </c>
      <c r="G199">
        <f t="shared" si="31"/>
        <v>0.17573428078693387</v>
      </c>
      <c r="H199">
        <f t="shared" si="32"/>
        <v>0.85566540511315359</v>
      </c>
      <c r="I199">
        <f t="shared" si="33"/>
        <v>-0.80943259136363988</v>
      </c>
      <c r="J199" s="26">
        <f t="shared" si="34"/>
        <v>-3.6637618169702679E-2</v>
      </c>
      <c r="K199" s="26">
        <f t="shared" si="35"/>
        <v>-2.1684748022548661E-2</v>
      </c>
      <c r="L199" s="26">
        <f t="shared" si="36"/>
        <v>-2.6254171776768198E-2</v>
      </c>
      <c r="M199" s="26">
        <f t="shared" si="37"/>
        <v>5.1718082502076324E-2</v>
      </c>
      <c r="N199" s="26">
        <f t="shared" si="38"/>
        <v>-6.312613413730972E-2</v>
      </c>
      <c r="O199" s="26">
        <f t="shared" si="39"/>
        <v>-0.16152372163048245</v>
      </c>
    </row>
    <row r="200" spans="1:15" x14ac:dyDescent="0.25">
      <c r="A200" s="2">
        <v>45216</v>
      </c>
      <c r="B200">
        <v>126920</v>
      </c>
      <c r="C200">
        <v>110933</v>
      </c>
      <c r="D200">
        <v>593803</v>
      </c>
      <c r="F200">
        <f t="shared" si="30"/>
        <v>0.28599925930913744</v>
      </c>
      <c r="G200">
        <f t="shared" si="31"/>
        <v>0.15655294584319696</v>
      </c>
      <c r="H200">
        <f t="shared" si="32"/>
        <v>0.87403876457611096</v>
      </c>
      <c r="I200">
        <f t="shared" si="33"/>
        <v>-0.69382375314058364</v>
      </c>
      <c r="J200" s="26">
        <f t="shared" si="34"/>
        <v>-3.4403562236040186E-2</v>
      </c>
      <c r="K200" s="26">
        <f t="shared" si="35"/>
        <v>-1.936847110963269E-2</v>
      </c>
      <c r="L200" s="26">
        <f t="shared" si="36"/>
        <v>-2.4366463513698089E-2</v>
      </c>
      <c r="M200" s="26">
        <f t="shared" si="37"/>
        <v>4.259762164992198E-2</v>
      </c>
      <c r="N200" s="26">
        <f t="shared" si="38"/>
        <v>-7.4330793412192842E-2</v>
      </c>
      <c r="O200" s="26">
        <f t="shared" si="39"/>
        <v>-0.16847734705706563</v>
      </c>
    </row>
    <row r="201" spans="1:15" x14ac:dyDescent="0.25">
      <c r="A201" s="2">
        <v>45215</v>
      </c>
      <c r="B201">
        <v>126495</v>
      </c>
      <c r="C201">
        <v>111627</v>
      </c>
      <c r="D201">
        <v>591746</v>
      </c>
      <c r="F201">
        <f t="shared" si="30"/>
        <v>0.28693960967286364</v>
      </c>
      <c r="G201">
        <f t="shared" si="31"/>
        <v>0.17071397406712127</v>
      </c>
      <c r="H201">
        <f t="shared" si="32"/>
        <v>0.88246175738171473</v>
      </c>
      <c r="I201">
        <f t="shared" si="33"/>
        <v>-0.64554669348732907</v>
      </c>
      <c r="J201" s="26">
        <f t="shared" si="34"/>
        <v>-3.1996093386851943E-2</v>
      </c>
      <c r="K201" s="26">
        <f t="shared" si="35"/>
        <v>-1.6935781390704896E-2</v>
      </c>
      <c r="L201" s="26">
        <f t="shared" si="36"/>
        <v>-2.2353936960373855E-2</v>
      </c>
      <c r="M201" s="26">
        <f t="shared" si="37"/>
        <v>3.2610060800583374E-2</v>
      </c>
      <c r="N201" s="26">
        <f t="shared" si="38"/>
        <v>-8.6354448310658416E-2</v>
      </c>
      <c r="O201" s="26">
        <f t="shared" si="39"/>
        <v>-0.17630528048088467</v>
      </c>
    </row>
    <row r="202" spans="1:15" x14ac:dyDescent="0.25">
      <c r="A202" s="2">
        <v>45212</v>
      </c>
      <c r="B202">
        <v>125945</v>
      </c>
      <c r="C202">
        <v>108333</v>
      </c>
      <c r="D202">
        <v>596830</v>
      </c>
      <c r="F202">
        <f t="shared" si="30"/>
        <v>0.28188634930718992</v>
      </c>
      <c r="G202">
        <f t="shared" si="31"/>
        <v>8.4554054037075985E-2</v>
      </c>
      <c r="H202">
        <f t="shared" si="32"/>
        <v>0.86016118146810117</v>
      </c>
      <c r="I202">
        <f t="shared" si="33"/>
        <v>-0.80950469999273966</v>
      </c>
      <c r="J202" s="26">
        <f t="shared" si="34"/>
        <v>-2.9591824780506704E-2</v>
      </c>
      <c r="K202" s="26">
        <f t="shared" si="35"/>
        <v>-1.4539149724177913E-2</v>
      </c>
      <c r="L202" s="26">
        <f t="shared" si="36"/>
        <v>-2.0329887285574222E-2</v>
      </c>
      <c r="M202" s="26">
        <f t="shared" si="37"/>
        <v>2.20601882052609E-2</v>
      </c>
      <c r="N202" s="26">
        <f t="shared" si="38"/>
        <v>-9.8699606797030603E-2</v>
      </c>
      <c r="O202" s="26">
        <f t="shared" si="39"/>
        <v>-0.18463254561691667</v>
      </c>
    </row>
    <row r="203" spans="1:15" x14ac:dyDescent="0.25">
      <c r="A203" s="2">
        <v>45211</v>
      </c>
      <c r="B203">
        <v>125185</v>
      </c>
      <c r="C203">
        <v>108082</v>
      </c>
      <c r="D203">
        <v>596066</v>
      </c>
      <c r="F203">
        <f t="shared" si="30"/>
        <v>0.28127061144317178</v>
      </c>
      <c r="G203">
        <f t="shared" si="31"/>
        <v>7.2396962783124227E-2</v>
      </c>
      <c r="H203">
        <f t="shared" si="32"/>
        <v>0.8633782002636099</v>
      </c>
      <c r="I203">
        <f t="shared" si="33"/>
        <v>-0.7986140697851265</v>
      </c>
      <c r="J203" s="26">
        <f t="shared" si="34"/>
        <v>-2.6844426773022567E-2</v>
      </c>
      <c r="K203" s="26">
        <f t="shared" si="35"/>
        <v>-1.166278622943584E-2</v>
      </c>
      <c r="L203" s="26">
        <f t="shared" si="36"/>
        <v>-1.7992524212343208E-2</v>
      </c>
      <c r="M203" s="26">
        <f t="shared" si="37"/>
        <v>1.2861536046263278E-2</v>
      </c>
      <c r="N203" s="26">
        <f t="shared" si="38"/>
        <v>-0.11206650066130852</v>
      </c>
      <c r="O203" s="26">
        <f t="shared" si="39"/>
        <v>-0.19179742109403619</v>
      </c>
    </row>
    <row r="204" spans="1:15" x14ac:dyDescent="0.25">
      <c r="A204" s="2">
        <v>45210</v>
      </c>
      <c r="B204">
        <v>125335</v>
      </c>
      <c r="C204">
        <v>108032</v>
      </c>
      <c r="D204">
        <v>593326</v>
      </c>
      <c r="F204">
        <f t="shared" si="30"/>
        <v>0.2822897980265951</v>
      </c>
      <c r="G204">
        <f t="shared" si="31"/>
        <v>8.760572513531624E-2</v>
      </c>
      <c r="H204">
        <f t="shared" si="32"/>
        <v>0.86194598476084094</v>
      </c>
      <c r="I204">
        <f t="shared" si="33"/>
        <v>-0.81893818863493995</v>
      </c>
      <c r="J204" s="26">
        <f t="shared" si="34"/>
        <v>-2.3990951206503963E-2</v>
      </c>
      <c r="K204" s="26">
        <f t="shared" si="35"/>
        <v>-8.7827430544175633E-3</v>
      </c>
      <c r="L204" s="26">
        <f t="shared" si="36"/>
        <v>-1.5660585229759105E-2</v>
      </c>
      <c r="M204" s="26">
        <f t="shared" si="37"/>
        <v>2.1131640580516198E-3</v>
      </c>
      <c r="N204" s="26">
        <f t="shared" si="38"/>
        <v>-0.12619249748662542</v>
      </c>
      <c r="O204" s="26">
        <f t="shared" si="39"/>
        <v>-0.20013283985837971</v>
      </c>
    </row>
    <row r="205" spans="1:15" x14ac:dyDescent="0.25">
      <c r="A205" s="2">
        <v>45209</v>
      </c>
      <c r="B205">
        <v>124546</v>
      </c>
      <c r="C205">
        <v>106952</v>
      </c>
      <c r="D205">
        <v>587517</v>
      </c>
      <c r="F205">
        <f t="shared" si="30"/>
        <v>0.28265416384315306</v>
      </c>
      <c r="G205">
        <f t="shared" si="31"/>
        <v>9.1899938118250799E-2</v>
      </c>
      <c r="H205">
        <f t="shared" si="32"/>
        <v>0.85873492524850259</v>
      </c>
      <c r="I205">
        <f t="shared" si="33"/>
        <v>-0.85195230451100623</v>
      </c>
      <c r="J205" s="26">
        <f t="shared" si="34"/>
        <v>-2.1234798990941883E-2</v>
      </c>
      <c r="K205" s="26">
        <f t="shared" si="35"/>
        <v>-5.7740494727457348E-3</v>
      </c>
      <c r="L205" s="26">
        <f t="shared" si="36"/>
        <v>-1.3414143753244068E-2</v>
      </c>
      <c r="M205" s="26">
        <f t="shared" si="37"/>
        <v>-9.85042201393449E-3</v>
      </c>
      <c r="N205" s="26">
        <f t="shared" si="38"/>
        <v>-0.14125416259984136</v>
      </c>
      <c r="O205" s="26">
        <f t="shared" si="39"/>
        <v>-0.20931415153397126</v>
      </c>
    </row>
    <row r="206" spans="1:15" x14ac:dyDescent="0.25">
      <c r="A206" s="2">
        <v>45208</v>
      </c>
      <c r="B206">
        <v>124296</v>
      </c>
      <c r="C206">
        <v>106147</v>
      </c>
      <c r="D206">
        <v>586472</v>
      </c>
      <c r="F206">
        <f t="shared" si="30"/>
        <v>0.28208932385866337</v>
      </c>
      <c r="G206">
        <f t="shared" si="31"/>
        <v>8.0759261683909109E-2</v>
      </c>
      <c r="H206">
        <f t="shared" si="32"/>
        <v>0.85398564716483238</v>
      </c>
      <c r="I206">
        <f t="shared" si="33"/>
        <v>-0.89621159309666087</v>
      </c>
      <c r="J206" s="26">
        <f t="shared" si="34"/>
        <v>-1.8467694296091519E-2</v>
      </c>
      <c r="K206" s="26">
        <f t="shared" si="35"/>
        <v>-2.7754215918368574E-3</v>
      </c>
      <c r="L206" s="26">
        <f t="shared" si="36"/>
        <v>-1.1222015791116646E-2</v>
      </c>
      <c r="M206" s="26">
        <f t="shared" si="37"/>
        <v>-2.1840809980637643E-2</v>
      </c>
      <c r="N206" s="26">
        <f t="shared" si="38"/>
        <v>-0.15499219894346872</v>
      </c>
      <c r="O206" s="26">
        <f t="shared" si="39"/>
        <v>-0.21789345633955848</v>
      </c>
    </row>
    <row r="207" spans="1:15" x14ac:dyDescent="0.25">
      <c r="A207" s="2">
        <v>45205</v>
      </c>
      <c r="B207">
        <v>124146</v>
      </c>
      <c r="C207">
        <v>106047</v>
      </c>
      <c r="D207">
        <v>582688</v>
      </c>
      <c r="F207">
        <f t="shared" si="30"/>
        <v>0.2831816711179127</v>
      </c>
      <c r="G207">
        <f t="shared" si="31"/>
        <v>9.729321535375629E-2</v>
      </c>
      <c r="H207">
        <f t="shared" si="32"/>
        <v>0.85421197622154565</v>
      </c>
      <c r="I207">
        <f t="shared" si="33"/>
        <v>-0.90670856579916936</v>
      </c>
      <c r="J207" s="26">
        <f t="shared" si="34"/>
        <v>-1.5621468539917027E-2</v>
      </c>
      <c r="K207" s="26">
        <f t="shared" si="35"/>
        <v>2.616503767966516E-4</v>
      </c>
      <c r="L207" s="26">
        <f t="shared" si="36"/>
        <v>-9.0173746086235629E-3</v>
      </c>
      <c r="M207" s="26">
        <f t="shared" si="37"/>
        <v>-3.3755744467573012E-2</v>
      </c>
      <c r="N207" s="26">
        <f t="shared" si="38"/>
        <v>-0.16866668756568748</v>
      </c>
      <c r="O207" s="26">
        <f t="shared" si="39"/>
        <v>-0.22644898201334118</v>
      </c>
    </row>
    <row r="208" spans="1:15" x14ac:dyDescent="0.25">
      <c r="A208" s="2">
        <v>45204</v>
      </c>
      <c r="B208">
        <v>123796</v>
      </c>
      <c r="C208">
        <v>105722</v>
      </c>
      <c r="D208">
        <v>580780</v>
      </c>
      <c r="F208">
        <f t="shared" si="30"/>
        <v>0.28325134703528826</v>
      </c>
      <c r="G208">
        <f t="shared" si="31"/>
        <v>9.6923252135977939E-2</v>
      </c>
      <c r="H208">
        <f t="shared" si="32"/>
        <v>0.85400174480597113</v>
      </c>
      <c r="I208">
        <f t="shared" si="33"/>
        <v>-0.92106793343036997</v>
      </c>
      <c r="J208" s="26">
        <f t="shared" si="34"/>
        <v>-1.295766940797527E-2</v>
      </c>
      <c r="K208" s="26">
        <f t="shared" si="35"/>
        <v>3.1629354863594306E-3</v>
      </c>
      <c r="L208" s="26">
        <f t="shared" si="36"/>
        <v>-6.9339783790323684E-3</v>
      </c>
      <c r="M208" s="26">
        <f t="shared" si="37"/>
        <v>-4.4773928432625842E-2</v>
      </c>
      <c r="N208" s="26">
        <f t="shared" si="38"/>
        <v>-0.18168278190071585</v>
      </c>
      <c r="O208" s="26">
        <f t="shared" si="39"/>
        <v>-0.23429355454831469</v>
      </c>
    </row>
    <row r="209" spans="1:15" x14ac:dyDescent="0.25">
      <c r="A209" s="2">
        <v>45203</v>
      </c>
      <c r="B209">
        <v>123451</v>
      </c>
      <c r="C209">
        <v>103822</v>
      </c>
      <c r="D209">
        <v>575522</v>
      </c>
      <c r="F209">
        <f t="shared" si="30"/>
        <v>0.28310216182213394</v>
      </c>
      <c r="G209">
        <f t="shared" si="31"/>
        <v>9.3069095788659087E-2</v>
      </c>
      <c r="H209">
        <f t="shared" si="32"/>
        <v>0.84099764278944678</v>
      </c>
      <c r="I209">
        <f t="shared" si="33"/>
        <v>-1.0260318034868754</v>
      </c>
      <c r="J209" s="26">
        <f t="shared" si="34"/>
        <v>-1.0739601964490308E-2</v>
      </c>
      <c r="K209" s="26">
        <f t="shared" si="35"/>
        <v>4.4672014152954964E-3</v>
      </c>
      <c r="L209" s="26">
        <f t="shared" si="36"/>
        <v>-5.1192331641745636E-3</v>
      </c>
      <c r="M209" s="26">
        <f t="shared" si="37"/>
        <v>-5.250482552104363E-2</v>
      </c>
      <c r="N209" s="26">
        <f t="shared" si="38"/>
        <v>-0.19027687614946986</v>
      </c>
      <c r="O209" s="26">
        <f t="shared" si="39"/>
        <v>-0.24043087629290572</v>
      </c>
    </row>
    <row r="210" spans="1:15" x14ac:dyDescent="0.25">
      <c r="A210" s="2">
        <v>45202</v>
      </c>
      <c r="B210">
        <v>123056</v>
      </c>
      <c r="C210">
        <v>102972</v>
      </c>
      <c r="D210">
        <v>567339</v>
      </c>
      <c r="F210">
        <f t="shared" si="30"/>
        <v>0.28489715352415718</v>
      </c>
      <c r="G210">
        <f t="shared" si="31"/>
        <v>0.12163493406175194</v>
      </c>
      <c r="H210">
        <f t="shared" si="32"/>
        <v>0.83678975425822388</v>
      </c>
      <c r="I210">
        <f t="shared" si="33"/>
        <v>-1.0715111069129821</v>
      </c>
      <c r="J210" s="26">
        <f t="shared" si="34"/>
        <v>-9.2070869949782974E-3</v>
      </c>
      <c r="K210" s="26">
        <f t="shared" si="35"/>
        <v>5.3807463867969196E-3</v>
      </c>
      <c r="L210" s="26">
        <f t="shared" si="36"/>
        <v>-3.5940340467653931E-3</v>
      </c>
      <c r="M210" s="26">
        <f t="shared" si="37"/>
        <v>-5.5729007802238106E-2</v>
      </c>
      <c r="N210" s="26">
        <f t="shared" si="38"/>
        <v>-0.19595488732262167</v>
      </c>
      <c r="O210" s="26">
        <f t="shared" si="39"/>
        <v>-0.24315755076612477</v>
      </c>
    </row>
    <row r="211" spans="1:15" x14ac:dyDescent="0.25">
      <c r="A211" s="2">
        <v>45201</v>
      </c>
      <c r="B211">
        <v>123181</v>
      </c>
      <c r="C211">
        <v>102897</v>
      </c>
      <c r="D211">
        <v>564780</v>
      </c>
      <c r="F211">
        <f t="shared" si="30"/>
        <v>0.2858642132974567</v>
      </c>
      <c r="G211">
        <f t="shared" si="31"/>
        <v>0.13651991897163795</v>
      </c>
      <c r="H211">
        <f t="shared" si="32"/>
        <v>0.83533174759094342</v>
      </c>
      <c r="I211">
        <f t="shared" si="33"/>
        <v>-1.0985739895853037</v>
      </c>
      <c r="J211" s="26">
        <f t="shared" si="34"/>
        <v>-7.0144796723562997E-3</v>
      </c>
      <c r="K211" s="26">
        <f t="shared" si="35"/>
        <v>6.537864998725107E-3</v>
      </c>
      <c r="L211" s="26">
        <f t="shared" si="36"/>
        <v>-1.4066290586801644E-3</v>
      </c>
      <c r="M211" s="26">
        <f t="shared" si="37"/>
        <v>-6.2317047927731961E-2</v>
      </c>
      <c r="N211" s="26">
        <f t="shared" si="38"/>
        <v>-0.20327871401517539</v>
      </c>
      <c r="O211" s="26">
        <f t="shared" si="39"/>
        <v>-0.24691100962236234</v>
      </c>
    </row>
    <row r="212" spans="1:15" x14ac:dyDescent="0.25">
      <c r="A212" s="2">
        <v>45198</v>
      </c>
      <c r="B212">
        <v>122931</v>
      </c>
      <c r="C212">
        <v>102697</v>
      </c>
      <c r="D212">
        <v>562617</v>
      </c>
      <c r="F212">
        <f t="shared" si="30"/>
        <v>0.28624095300319063</v>
      </c>
      <c r="G212">
        <f t="shared" si="31"/>
        <v>0.14141270427739408</v>
      </c>
      <c r="H212">
        <f t="shared" si="32"/>
        <v>0.83540360039371675</v>
      </c>
      <c r="I212">
        <f t="shared" si="33"/>
        <v>-1.1152039650482568</v>
      </c>
      <c r="J212" s="26">
        <f t="shared" si="34"/>
        <v>-4.8077161959000358E-3</v>
      </c>
      <c r="K212" s="26">
        <f t="shared" si="35"/>
        <v>7.707415943447371E-3</v>
      </c>
      <c r="L212" s="26">
        <f t="shared" si="36"/>
        <v>8.0306708986271902E-4</v>
      </c>
      <c r="M212" s="26">
        <f t="shared" si="37"/>
        <v>-6.9170958145692074E-2</v>
      </c>
      <c r="N212" s="26">
        <f t="shared" si="38"/>
        <v>-0.21131263628159691</v>
      </c>
      <c r="O212" s="26">
        <f t="shared" si="39"/>
        <v>-0.2507474189036486</v>
      </c>
    </row>
    <row r="213" spans="1:15" x14ac:dyDescent="0.25">
      <c r="A213" s="2">
        <v>45197</v>
      </c>
      <c r="B213">
        <v>123056</v>
      </c>
      <c r="C213">
        <v>101697</v>
      </c>
      <c r="D213">
        <v>561932</v>
      </c>
      <c r="F213">
        <f t="shared" si="30"/>
        <v>0.28569630792502715</v>
      </c>
      <c r="G213">
        <f t="shared" si="31"/>
        <v>0.13109567859112431</v>
      </c>
      <c r="H213">
        <f t="shared" si="32"/>
        <v>0.82642861786503707</v>
      </c>
      <c r="I213">
        <f t="shared" si="33"/>
        <v>-1.1964378530459905</v>
      </c>
      <c r="J213" s="26">
        <f t="shared" si="34"/>
        <v>-2.764630075017982E-3</v>
      </c>
      <c r="K213" s="26">
        <f t="shared" si="35"/>
        <v>8.7845626566359636E-3</v>
      </c>
      <c r="L213" s="26">
        <f t="shared" si="36"/>
        <v>3.0074668110840475E-3</v>
      </c>
      <c r="M213" s="26">
        <f t="shared" si="37"/>
        <v>-7.5723813732592404E-2</v>
      </c>
      <c r="N213" s="26">
        <f t="shared" si="38"/>
        <v>-0.21973143314530752</v>
      </c>
      <c r="O213" s="26">
        <f t="shared" si="39"/>
        <v>-0.25507711896869179</v>
      </c>
    </row>
    <row r="214" spans="1:15" x14ac:dyDescent="0.25">
      <c r="A214" s="2">
        <v>45196</v>
      </c>
      <c r="B214">
        <v>122137</v>
      </c>
      <c r="C214">
        <v>100047</v>
      </c>
      <c r="D214">
        <v>560072</v>
      </c>
      <c r="F214">
        <f t="shared" si="30"/>
        <v>0.28402978053220429</v>
      </c>
      <c r="G214">
        <f t="shared" si="31"/>
        <v>0.10209386678795355</v>
      </c>
      <c r="H214">
        <f t="shared" si="32"/>
        <v>0.81913752589305455</v>
      </c>
      <c r="I214">
        <f t="shared" si="33"/>
        <v>-1.2676813957861688</v>
      </c>
      <c r="J214" s="26">
        <f t="shared" si="34"/>
        <v>-6.5407178460652471E-4</v>
      </c>
      <c r="K214" s="26">
        <f t="shared" si="35"/>
        <v>9.9578160815984029E-3</v>
      </c>
      <c r="L214" s="26">
        <f t="shared" si="36"/>
        <v>5.335406056281633E-3</v>
      </c>
      <c r="M214" s="26">
        <f t="shared" si="37"/>
        <v>-8.2548374844804373E-2</v>
      </c>
      <c r="N214" s="26">
        <f t="shared" si="38"/>
        <v>-0.22801270899565762</v>
      </c>
      <c r="O214" s="26">
        <f t="shared" si="39"/>
        <v>-0.25889217046659896</v>
      </c>
    </row>
    <row r="215" spans="1:15" x14ac:dyDescent="0.25">
      <c r="A215" s="2">
        <v>45195</v>
      </c>
      <c r="B215">
        <v>122062</v>
      </c>
      <c r="C215">
        <v>99562</v>
      </c>
      <c r="D215">
        <v>556005</v>
      </c>
      <c r="F215">
        <f t="shared" si="30"/>
        <v>0.28499965922052806</v>
      </c>
      <c r="G215">
        <f t="shared" si="31"/>
        <v>0.11691336622005037</v>
      </c>
      <c r="H215">
        <f t="shared" si="32"/>
        <v>0.81566744769051791</v>
      </c>
      <c r="I215">
        <f t="shared" si="33"/>
        <v>-1.3135000732412796</v>
      </c>
      <c r="J215" s="26">
        <f t="shared" si="34"/>
        <v>2.0862914959223766E-3</v>
      </c>
      <c r="K215" s="26">
        <f t="shared" si="35"/>
        <v>1.1196244529537824E-2</v>
      </c>
      <c r="L215" s="26">
        <f t="shared" si="36"/>
        <v>6.9907744243818959E-3</v>
      </c>
      <c r="M215" s="26">
        <f t="shared" si="37"/>
        <v>-8.9879991539877468E-2</v>
      </c>
      <c r="N215" s="26">
        <f t="shared" si="38"/>
        <v>-0.23605412468935172</v>
      </c>
      <c r="O215" s="26">
        <f t="shared" si="39"/>
        <v>-0.26062285646976902</v>
      </c>
    </row>
    <row r="216" spans="1:15" x14ac:dyDescent="0.25">
      <c r="A216" s="2">
        <v>45194</v>
      </c>
      <c r="B216">
        <v>121912</v>
      </c>
      <c r="C216">
        <v>98662</v>
      </c>
      <c r="D216">
        <v>591692</v>
      </c>
      <c r="F216">
        <f t="shared" si="30"/>
        <v>0.2715538998308436</v>
      </c>
      <c r="G216">
        <f t="shared" si="31"/>
        <v>-0.10802663444087256</v>
      </c>
      <c r="H216">
        <f t="shared" si="32"/>
        <v>0.80928866723538295</v>
      </c>
      <c r="I216">
        <f t="shared" si="33"/>
        <v>-1.3801480062956084</v>
      </c>
      <c r="J216" s="26">
        <f t="shared" si="34"/>
        <v>4.8665088777944954E-3</v>
      </c>
      <c r="K216" s="26">
        <f t="shared" si="35"/>
        <v>1.2374539804513862E-2</v>
      </c>
      <c r="L216" s="26">
        <f t="shared" si="36"/>
        <v>8.6535122809644482E-3</v>
      </c>
      <c r="M216" s="26">
        <f t="shared" si="37"/>
        <v>-9.568152150819409E-2</v>
      </c>
      <c r="N216" s="26">
        <f t="shared" si="38"/>
        <v>-0.24337220082843158</v>
      </c>
      <c r="O216" s="26">
        <f t="shared" si="39"/>
        <v>-0.26131261091753877</v>
      </c>
    </row>
    <row r="217" spans="1:15" x14ac:dyDescent="0.25">
      <c r="A217" s="2">
        <v>45191</v>
      </c>
      <c r="B217">
        <v>122823</v>
      </c>
      <c r="C217">
        <v>97530</v>
      </c>
      <c r="D217">
        <v>590266</v>
      </c>
      <c r="F217">
        <f t="shared" si="30"/>
        <v>0.27183300662826804</v>
      </c>
      <c r="G217">
        <f t="shared" si="31"/>
        <v>-0.10536745904234476</v>
      </c>
      <c r="H217">
        <f t="shared" si="32"/>
        <v>0.79406951466744824</v>
      </c>
      <c r="I217">
        <f t="shared" si="33"/>
        <v>-1.5133852487571311</v>
      </c>
      <c r="J217" s="26">
        <f t="shared" si="34"/>
        <v>8.3044565384690072E-3</v>
      </c>
      <c r="K217" s="26">
        <f t="shared" si="35"/>
        <v>1.4199152126357084E-2</v>
      </c>
      <c r="L217" s="26">
        <f t="shared" si="36"/>
        <v>1.0950317071612092E-2</v>
      </c>
      <c r="M217" s="26">
        <f t="shared" si="37"/>
        <v>-0.10160268740541589</v>
      </c>
      <c r="N217" s="26">
        <f t="shared" si="38"/>
        <v>-0.25025573871836981</v>
      </c>
      <c r="O217" s="26">
        <f t="shared" si="39"/>
        <v>-0.26174598370405044</v>
      </c>
    </row>
    <row r="218" spans="1:15" x14ac:dyDescent="0.25">
      <c r="A218" s="2">
        <v>45190</v>
      </c>
      <c r="B218">
        <v>118948</v>
      </c>
      <c r="C218">
        <v>96358</v>
      </c>
      <c r="D218">
        <v>593013</v>
      </c>
      <c r="F218">
        <f t="shared" si="30"/>
        <v>0.26636266127605562</v>
      </c>
      <c r="G218">
        <f t="shared" si="31"/>
        <v>-0.19823886282456438</v>
      </c>
      <c r="H218">
        <f t="shared" si="32"/>
        <v>0.81008507919426975</v>
      </c>
      <c r="I218">
        <f t="shared" si="33"/>
        <v>-1.4227641842887935</v>
      </c>
      <c r="J218" s="26">
        <f t="shared" si="34"/>
        <v>1.1223882083847336E-2</v>
      </c>
      <c r="K218" s="26">
        <f t="shared" si="35"/>
        <v>1.5887358980874289E-2</v>
      </c>
      <c r="L218" s="26">
        <f t="shared" si="36"/>
        <v>1.3105476647975345E-2</v>
      </c>
      <c r="M218" s="26">
        <f t="shared" si="37"/>
        <v>-0.105493374340072</v>
      </c>
      <c r="N218" s="26">
        <f t="shared" si="38"/>
        <v>-0.25495428868291148</v>
      </c>
      <c r="O218" s="26">
        <f t="shared" si="39"/>
        <v>-0.26075072610273753</v>
      </c>
    </row>
    <row r="219" spans="1:15" x14ac:dyDescent="0.25">
      <c r="A219" s="2">
        <v>45189</v>
      </c>
      <c r="B219">
        <v>118795</v>
      </c>
      <c r="C219">
        <v>94750</v>
      </c>
      <c r="D219">
        <v>595944</v>
      </c>
      <c r="F219">
        <f t="shared" si="30"/>
        <v>0.26380222584865265</v>
      </c>
      <c r="G219">
        <f t="shared" si="31"/>
        <v>-0.24308146198530675</v>
      </c>
      <c r="H219">
        <f t="shared" si="32"/>
        <v>0.79759249126646747</v>
      </c>
      <c r="I219">
        <f t="shared" si="33"/>
        <v>-1.5403320918520309</v>
      </c>
      <c r="J219" s="26">
        <f t="shared" si="34"/>
        <v>1.4738933720209624E-2</v>
      </c>
      <c r="K219" s="26">
        <f t="shared" si="35"/>
        <v>1.790681575119335E-2</v>
      </c>
      <c r="L219" s="26">
        <f t="shared" si="36"/>
        <v>1.5574715429227726E-2</v>
      </c>
      <c r="M219" s="26">
        <f t="shared" si="37"/>
        <v>-0.11138304992641879</v>
      </c>
      <c r="N219" s="26">
        <f t="shared" si="38"/>
        <v>-0.25899306464734861</v>
      </c>
      <c r="O219" s="26">
        <f t="shared" si="39"/>
        <v>-0.25934719069557199</v>
      </c>
    </row>
    <row r="220" spans="1:15" x14ac:dyDescent="0.25">
      <c r="A220" s="2">
        <v>45188</v>
      </c>
      <c r="B220">
        <v>160243</v>
      </c>
      <c r="C220">
        <v>121605</v>
      </c>
      <c r="D220">
        <v>594681</v>
      </c>
      <c r="F220">
        <f t="shared" si="30"/>
        <v>0.32155011414339968</v>
      </c>
      <c r="G220">
        <f t="shared" si="31"/>
        <v>0.71319964869035957</v>
      </c>
      <c r="H220">
        <f t="shared" si="32"/>
        <v>0.75887870296986448</v>
      </c>
      <c r="I220">
        <f t="shared" si="33"/>
        <v>-1.8564740779132018</v>
      </c>
      <c r="J220" s="26">
        <f t="shared" si="34"/>
        <v>1.8477970810806599E-2</v>
      </c>
      <c r="K220" s="26">
        <f t="shared" si="35"/>
        <v>2.0050352120173198E-2</v>
      </c>
      <c r="L220" s="26">
        <f t="shared" si="36"/>
        <v>1.8207521573403107E-2</v>
      </c>
      <c r="M220" s="26">
        <f t="shared" si="37"/>
        <v>-0.11824920058990718</v>
      </c>
      <c r="N220" s="26">
        <f t="shared" si="38"/>
        <v>-0.26237608825198033</v>
      </c>
      <c r="O220" s="26">
        <f t="shared" si="39"/>
        <v>-0.25729241023898464</v>
      </c>
    </row>
    <row r="221" spans="1:15" x14ac:dyDescent="0.25">
      <c r="A221" s="2">
        <v>45187</v>
      </c>
      <c r="B221">
        <v>160359</v>
      </c>
      <c r="C221">
        <v>121830</v>
      </c>
      <c r="D221">
        <v>592454</v>
      </c>
      <c r="F221">
        <f t="shared" si="30"/>
        <v>0.32263334869198063</v>
      </c>
      <c r="G221">
        <f t="shared" si="31"/>
        <v>0.73121985653546195</v>
      </c>
      <c r="H221">
        <f t="shared" si="32"/>
        <v>0.7597328494191159</v>
      </c>
      <c r="I221">
        <f t="shared" si="33"/>
        <v>-1.8835218980571182</v>
      </c>
      <c r="J221" s="26">
        <f t="shared" si="34"/>
        <v>1.9189280713589774E-2</v>
      </c>
      <c r="K221" s="26">
        <f t="shared" si="35"/>
        <v>1.9199667474275872E-2</v>
      </c>
      <c r="L221" s="26">
        <f t="shared" si="36"/>
        <v>1.7882902493169706E-2</v>
      </c>
      <c r="M221" s="26">
        <f t="shared" si="37"/>
        <v>-0.12450429165415577</v>
      </c>
      <c r="N221" s="26">
        <f t="shared" si="38"/>
        <v>-0.26362359804425772</v>
      </c>
      <c r="O221" s="26">
        <f t="shared" si="39"/>
        <v>-0.25310447882951237</v>
      </c>
    </row>
    <row r="222" spans="1:15" x14ac:dyDescent="0.25">
      <c r="A222" s="2">
        <v>45184</v>
      </c>
      <c r="B222">
        <v>159886</v>
      </c>
      <c r="C222">
        <v>121665</v>
      </c>
      <c r="D222">
        <v>589944</v>
      </c>
      <c r="F222">
        <f t="shared" si="30"/>
        <v>0.32306668426095386</v>
      </c>
      <c r="G222">
        <f t="shared" si="31"/>
        <v>0.73837775934581318</v>
      </c>
      <c r="H222">
        <f t="shared" si="32"/>
        <v>0.76094842575334931</v>
      </c>
      <c r="I222">
        <f t="shared" si="33"/>
        <v>-1.9059546095753159</v>
      </c>
      <c r="J222" s="26">
        <f t="shared" si="34"/>
        <v>1.9776060297241271E-2</v>
      </c>
      <c r="K222" s="26">
        <f t="shared" si="35"/>
        <v>1.8272120446957085E-2</v>
      </c>
      <c r="L222" s="26">
        <f t="shared" si="36"/>
        <v>1.7514141891764035E-2</v>
      </c>
      <c r="M222" s="26">
        <f t="shared" si="37"/>
        <v>-0.13065300556109061</v>
      </c>
      <c r="N222" s="26">
        <f t="shared" si="38"/>
        <v>-0.26484375961748452</v>
      </c>
      <c r="O222" s="26">
        <f t="shared" si="39"/>
        <v>-0.24887104836566454</v>
      </c>
    </row>
    <row r="223" spans="1:15" x14ac:dyDescent="0.25">
      <c r="A223" s="2">
        <v>45183</v>
      </c>
      <c r="B223">
        <v>159649</v>
      </c>
      <c r="C223">
        <v>122290</v>
      </c>
      <c r="D223">
        <v>588099</v>
      </c>
      <c r="F223">
        <f t="shared" si="30"/>
        <v>0.32405366202395758</v>
      </c>
      <c r="G223">
        <f t="shared" si="31"/>
        <v>0.75462974331569133</v>
      </c>
      <c r="H223">
        <f t="shared" si="32"/>
        <v>0.76599289691761296</v>
      </c>
      <c r="I223">
        <f t="shared" si="33"/>
        <v>-1.9008714461069232</v>
      </c>
      <c r="J223" s="26">
        <f t="shared" si="34"/>
        <v>2.0379326231050821E-2</v>
      </c>
      <c r="K223" s="26">
        <f t="shared" si="35"/>
        <v>1.7287462771397921E-2</v>
      </c>
      <c r="L223" s="26">
        <f t="shared" si="36"/>
        <v>1.711366323457908E-2</v>
      </c>
      <c r="M223" s="26">
        <f t="shared" si="37"/>
        <v>-0.13652835862413037</v>
      </c>
      <c r="N223" s="26">
        <f t="shared" si="38"/>
        <v>-0.26545757398603831</v>
      </c>
      <c r="O223" s="26">
        <f t="shared" si="39"/>
        <v>-0.24442263916957541</v>
      </c>
    </row>
    <row r="224" spans="1:15" x14ac:dyDescent="0.25">
      <c r="A224" s="2">
        <v>45182</v>
      </c>
      <c r="B224">
        <v>160748</v>
      </c>
      <c r="C224">
        <v>120665</v>
      </c>
      <c r="D224">
        <v>588571</v>
      </c>
      <c r="F224">
        <f t="shared" si="30"/>
        <v>0.32346916724905284</v>
      </c>
      <c r="G224">
        <f t="shared" si="31"/>
        <v>0.74448275962446009</v>
      </c>
      <c r="H224">
        <f t="shared" si="32"/>
        <v>0.75064697539005154</v>
      </c>
      <c r="I224">
        <f t="shared" si="33"/>
        <v>-2.056505519480293</v>
      </c>
      <c r="J224" s="26">
        <f t="shared" si="34"/>
        <v>2.0861822129148444E-2</v>
      </c>
      <c r="K224" s="26">
        <f t="shared" si="35"/>
        <v>1.6326639327407133E-2</v>
      </c>
      <c r="L224" s="26">
        <f t="shared" si="36"/>
        <v>1.6711888934828556E-2</v>
      </c>
      <c r="M224" s="26">
        <f t="shared" si="37"/>
        <v>-0.14199681578549772</v>
      </c>
      <c r="N224" s="26">
        <f t="shared" si="38"/>
        <v>-0.26533748868483031</v>
      </c>
      <c r="O224" s="26">
        <f t="shared" si="39"/>
        <v>-0.23982200992283498</v>
      </c>
    </row>
    <row r="225" spans="1:15" x14ac:dyDescent="0.25">
      <c r="A225" s="2">
        <v>45181</v>
      </c>
      <c r="B225">
        <v>161248</v>
      </c>
      <c r="C225">
        <v>118515</v>
      </c>
      <c r="D225">
        <v>586904</v>
      </c>
      <c r="F225">
        <f t="shared" si="30"/>
        <v>0.32280333738333178</v>
      </c>
      <c r="G225">
        <f t="shared" si="31"/>
        <v>0.73261139855003798</v>
      </c>
      <c r="H225">
        <f t="shared" si="32"/>
        <v>0.73498586028974</v>
      </c>
      <c r="I225">
        <f t="shared" si="33"/>
        <v>-2.2236425472410075</v>
      </c>
      <c r="J225" s="26">
        <f t="shared" si="34"/>
        <v>2.1097848344435788E-2</v>
      </c>
      <c r="K225" s="26">
        <f t="shared" si="35"/>
        <v>1.5190255299241728E-2</v>
      </c>
      <c r="L225" s="26">
        <f t="shared" si="36"/>
        <v>1.6193722608447703E-2</v>
      </c>
      <c r="M225" s="26">
        <f t="shared" si="37"/>
        <v>-0.14689715691174021</v>
      </c>
      <c r="N225" s="26">
        <f t="shared" si="38"/>
        <v>-0.26444962483103907</v>
      </c>
      <c r="O225" s="26">
        <f t="shared" si="39"/>
        <v>-0.23465414048639976</v>
      </c>
    </row>
    <row r="226" spans="1:15" x14ac:dyDescent="0.25">
      <c r="A226" s="2">
        <v>45180</v>
      </c>
      <c r="B226">
        <v>158973</v>
      </c>
      <c r="C226">
        <v>117838</v>
      </c>
      <c r="D226">
        <v>581880</v>
      </c>
      <c r="F226">
        <f t="shared" si="30"/>
        <v>0.3223639236931562</v>
      </c>
      <c r="G226">
        <f t="shared" si="31"/>
        <v>0.72419427288203675</v>
      </c>
      <c r="H226">
        <f t="shared" si="32"/>
        <v>0.74124536871040991</v>
      </c>
      <c r="I226">
        <f t="shared" si="33"/>
        <v>-2.2236631822472308</v>
      </c>
      <c r="J226" s="26">
        <f t="shared" si="34"/>
        <v>2.1297247345354264E-2</v>
      </c>
      <c r="K226" s="26">
        <f t="shared" si="35"/>
        <v>1.406632234957883E-2</v>
      </c>
      <c r="L226" s="26">
        <f t="shared" si="36"/>
        <v>1.5699797387382919E-2</v>
      </c>
      <c r="M226" s="26">
        <f t="shared" si="37"/>
        <v>-0.15137777909149264</v>
      </c>
      <c r="N226" s="26">
        <f t="shared" si="38"/>
        <v>-0.26310215852202123</v>
      </c>
      <c r="O226" s="26">
        <f t="shared" si="39"/>
        <v>-0.22890650107942001</v>
      </c>
    </row>
    <row r="227" spans="1:15" x14ac:dyDescent="0.25">
      <c r="A227" s="2">
        <v>45177</v>
      </c>
      <c r="B227">
        <v>158911</v>
      </c>
      <c r="C227">
        <v>117258</v>
      </c>
      <c r="D227">
        <v>580144</v>
      </c>
      <c r="F227">
        <f t="shared" si="30"/>
        <v>0.32250940952665674</v>
      </c>
      <c r="G227">
        <f t="shared" si="31"/>
        <v>0.72541041382202387</v>
      </c>
      <c r="H227">
        <f t="shared" si="32"/>
        <v>0.73788472792946991</v>
      </c>
      <c r="I227">
        <f t="shared" si="33"/>
        <v>-2.2957787347146614</v>
      </c>
      <c r="J227" s="26">
        <f t="shared" si="34"/>
        <v>2.134641449676461E-2</v>
      </c>
      <c r="K227" s="26">
        <f t="shared" si="35"/>
        <v>1.282354917466505E-2</v>
      </c>
      <c r="L227" s="26">
        <f t="shared" si="36"/>
        <v>1.515907713206277E-2</v>
      </c>
      <c r="M227" s="26">
        <f t="shared" si="37"/>
        <v>-0.15378377421197242</v>
      </c>
      <c r="N227" s="26">
        <f t="shared" si="38"/>
        <v>-0.26073439604029469</v>
      </c>
      <c r="O227" s="26">
        <f t="shared" si="39"/>
        <v>-0.22252661270645546</v>
      </c>
    </row>
    <row r="228" spans="1:15" x14ac:dyDescent="0.25">
      <c r="A228" s="2">
        <v>45176</v>
      </c>
      <c r="B228">
        <v>156426</v>
      </c>
      <c r="C228">
        <v>117308</v>
      </c>
      <c r="D228">
        <v>579263</v>
      </c>
      <c r="F228">
        <f t="shared" si="30"/>
        <v>0.3209085143324068</v>
      </c>
      <c r="G228">
        <f t="shared" si="31"/>
        <v>0.69748395819789932</v>
      </c>
      <c r="H228">
        <f t="shared" si="32"/>
        <v>0.74992648280976304</v>
      </c>
      <c r="I228">
        <f t="shared" si="33"/>
        <v>-2.2441793537729557</v>
      </c>
      <c r="J228" s="26">
        <f t="shared" si="34"/>
        <v>2.1207505508170077E-2</v>
      </c>
      <c r="K228" s="26">
        <f t="shared" si="35"/>
        <v>1.1464253875304364E-2</v>
      </c>
      <c r="L228" s="26">
        <f t="shared" si="36"/>
        <v>1.4580746529220312E-2</v>
      </c>
      <c r="M228" s="26">
        <f t="shared" si="37"/>
        <v>-0.15561818467005961</v>
      </c>
      <c r="N228" s="26">
        <f t="shared" si="38"/>
        <v>-0.2581140629144052</v>
      </c>
      <c r="O228" s="26">
        <f t="shared" si="39"/>
        <v>-0.21615455639443848</v>
      </c>
    </row>
    <row r="229" spans="1:15" x14ac:dyDescent="0.25">
      <c r="A229" s="2">
        <v>45175</v>
      </c>
      <c r="B229">
        <v>149876</v>
      </c>
      <c r="C229">
        <v>116819</v>
      </c>
      <c r="D229">
        <v>577059</v>
      </c>
      <c r="F229">
        <f t="shared" si="30"/>
        <v>0.31608146450268682</v>
      </c>
      <c r="G229">
        <f t="shared" si="31"/>
        <v>0.6160649084850246</v>
      </c>
      <c r="H229">
        <f t="shared" si="32"/>
        <v>0.77943766847260398</v>
      </c>
      <c r="I229">
        <f t="shared" si="33"/>
        <v>-2.0402730684699764</v>
      </c>
      <c r="J229" s="26">
        <f t="shared" si="34"/>
        <v>2.0624227376585869E-2</v>
      </c>
      <c r="K229" s="26">
        <f t="shared" si="35"/>
        <v>1.0171727101414618E-2</v>
      </c>
      <c r="L229" s="26">
        <f t="shared" si="36"/>
        <v>1.4085741186769474E-2</v>
      </c>
      <c r="M229" s="26">
        <f t="shared" si="37"/>
        <v>-0.15747303123812839</v>
      </c>
      <c r="N229" s="26">
        <f t="shared" si="38"/>
        <v>-0.2552039739498797</v>
      </c>
      <c r="O229" s="26">
        <f t="shared" si="39"/>
        <v>-0.2100119600302448</v>
      </c>
    </row>
    <row r="230" spans="1:15" x14ac:dyDescent="0.25">
      <c r="A230" s="2">
        <v>45174</v>
      </c>
      <c r="B230">
        <v>141736</v>
      </c>
      <c r="C230">
        <v>116369</v>
      </c>
      <c r="D230">
        <v>574386</v>
      </c>
      <c r="F230">
        <f t="shared" si="30"/>
        <v>0.31003938781320156</v>
      </c>
      <c r="G230">
        <f t="shared" si="31"/>
        <v>0.51417013431026215</v>
      </c>
      <c r="H230">
        <f t="shared" si="32"/>
        <v>0.82102641530733189</v>
      </c>
      <c r="I230">
        <f t="shared" si="33"/>
        <v>-1.713088932609333</v>
      </c>
      <c r="J230" s="26">
        <f t="shared" si="34"/>
        <v>2.0425840728272138E-2</v>
      </c>
      <c r="K230" s="26">
        <f t="shared" si="35"/>
        <v>9.2365392692771997E-3</v>
      </c>
      <c r="L230" s="26">
        <f t="shared" si="36"/>
        <v>1.3785238728599436E-2</v>
      </c>
      <c r="M230" s="26">
        <f t="shared" si="37"/>
        <v>-0.16194901536230399</v>
      </c>
      <c r="N230" s="26">
        <f t="shared" si="38"/>
        <v>-0.25434985446626968</v>
      </c>
      <c r="O230" s="26">
        <f t="shared" si="39"/>
        <v>-0.20605124311659218</v>
      </c>
    </row>
    <row r="231" spans="1:15" x14ac:dyDescent="0.25">
      <c r="A231" s="2">
        <v>45173</v>
      </c>
      <c r="B231">
        <v>145836</v>
      </c>
      <c r="C231">
        <v>116561</v>
      </c>
      <c r="D231">
        <v>568506</v>
      </c>
      <c r="F231">
        <f t="shared" si="30"/>
        <v>0.31579739151260738</v>
      </c>
      <c r="G231">
        <f t="shared" si="31"/>
        <v>0.60699020804423076</v>
      </c>
      <c r="H231">
        <f t="shared" si="32"/>
        <v>0.79926081351655287</v>
      </c>
      <c r="I231">
        <f t="shared" si="33"/>
        <v>-1.9161402322680192</v>
      </c>
      <c r="J231" s="26">
        <f t="shared" si="34"/>
        <v>2.082622225701708E-2</v>
      </c>
      <c r="K231" s="26">
        <f t="shared" si="35"/>
        <v>8.7303897812790465E-3</v>
      </c>
      <c r="L231" s="26">
        <f t="shared" si="36"/>
        <v>1.3986188285043943E-2</v>
      </c>
      <c r="M231" s="26">
        <f t="shared" si="37"/>
        <v>-0.16832103570219914</v>
      </c>
      <c r="N231" s="26">
        <f t="shared" si="38"/>
        <v>-0.25542106610104631</v>
      </c>
      <c r="O231" s="26">
        <f t="shared" si="39"/>
        <v>-0.20421407963757576</v>
      </c>
    </row>
    <row r="232" spans="1:15" x14ac:dyDescent="0.25">
      <c r="A232" s="2">
        <v>45170</v>
      </c>
      <c r="B232">
        <v>145836</v>
      </c>
      <c r="C232">
        <v>116211</v>
      </c>
      <c r="D232">
        <v>565785</v>
      </c>
      <c r="F232">
        <f t="shared" si="30"/>
        <v>0.31654611080509087</v>
      </c>
      <c r="G232">
        <f t="shared" si="31"/>
        <v>0.61724820344431675</v>
      </c>
      <c r="H232">
        <f t="shared" si="32"/>
        <v>0.79686085740146462</v>
      </c>
      <c r="I232">
        <f t="shared" si="33"/>
        <v>-1.9588193361566815</v>
      </c>
      <c r="J232" s="26">
        <f t="shared" si="34"/>
        <v>2.0853969736971012E-2</v>
      </c>
      <c r="K232" s="26">
        <f t="shared" si="35"/>
        <v>7.6711799616829834E-3</v>
      </c>
      <c r="L232" s="26">
        <f t="shared" si="36"/>
        <v>1.3681600430615781E-2</v>
      </c>
      <c r="M232" s="26">
        <f t="shared" si="37"/>
        <v>-0.16929753726798547</v>
      </c>
      <c r="N232" s="26">
        <f t="shared" si="38"/>
        <v>-0.25328939735066358</v>
      </c>
      <c r="O232" s="26">
        <f t="shared" si="39"/>
        <v>-0.19951167159176664</v>
      </c>
    </row>
    <row r="233" spans="1:15" x14ac:dyDescent="0.25">
      <c r="A233" s="2">
        <v>45169</v>
      </c>
      <c r="B233">
        <v>144433</v>
      </c>
      <c r="C233">
        <v>116111</v>
      </c>
      <c r="D233">
        <v>565958</v>
      </c>
      <c r="F233">
        <f t="shared" si="30"/>
        <v>0.31523698672235517</v>
      </c>
      <c r="G233">
        <f t="shared" si="31"/>
        <v>0.59351319281413639</v>
      </c>
      <c r="H233">
        <f t="shared" si="32"/>
        <v>0.80390907895010144</v>
      </c>
      <c r="I233">
        <f t="shared" si="33"/>
        <v>-1.9201679524935114</v>
      </c>
      <c r="J233" s="26">
        <f t="shared" si="34"/>
        <v>2.0938630504774014E-2</v>
      </c>
      <c r="K233" s="26">
        <f t="shared" si="35"/>
        <v>6.5722731904537812E-3</v>
      </c>
      <c r="L233" s="26">
        <f t="shared" si="36"/>
        <v>1.3378022107015386E-2</v>
      </c>
      <c r="M233" s="26">
        <f t="shared" si="37"/>
        <v>-0.17451554585586504</v>
      </c>
      <c r="N233" s="26">
        <f t="shared" si="38"/>
        <v>-0.25093026582154232</v>
      </c>
      <c r="O233" s="26">
        <f t="shared" si="39"/>
        <v>-0.19485328209012931</v>
      </c>
    </row>
    <row r="234" spans="1:15" x14ac:dyDescent="0.25">
      <c r="A234" s="2">
        <v>45168</v>
      </c>
      <c r="B234">
        <v>143443</v>
      </c>
      <c r="C234">
        <v>115871</v>
      </c>
      <c r="D234">
        <v>564416</v>
      </c>
      <c r="F234">
        <f t="shared" si="30"/>
        <v>0.31480460830611973</v>
      </c>
      <c r="G234">
        <f t="shared" si="31"/>
        <v>0.58383859188683851</v>
      </c>
      <c r="H234">
        <f t="shared" si="32"/>
        <v>0.8077842766813299</v>
      </c>
      <c r="I234">
        <f t="shared" si="33"/>
        <v>-1.905858099060082</v>
      </c>
      <c r="J234" s="26">
        <f t="shared" si="34"/>
        <v>2.1088379553597492E-2</v>
      </c>
      <c r="K234" s="26">
        <f t="shared" si="35"/>
        <v>5.5538510705379074E-3</v>
      </c>
      <c r="L234" s="26">
        <f t="shared" si="36"/>
        <v>1.3181578947660866E-2</v>
      </c>
      <c r="M234" s="26">
        <f t="shared" si="37"/>
        <v>-0.1793454164149626</v>
      </c>
      <c r="N234" s="26">
        <f t="shared" si="38"/>
        <v>-0.24802048083164085</v>
      </c>
      <c r="O234" s="26">
        <f t="shared" si="39"/>
        <v>-0.19029767584727009</v>
      </c>
    </row>
    <row r="235" spans="1:15" x14ac:dyDescent="0.25">
      <c r="A235" s="2">
        <v>45167</v>
      </c>
      <c r="B235">
        <v>143268</v>
      </c>
      <c r="C235">
        <v>115494</v>
      </c>
      <c r="D235">
        <v>562892</v>
      </c>
      <c r="F235">
        <f t="shared" si="30"/>
        <v>0.31492818144863899</v>
      </c>
      <c r="G235">
        <f t="shared" si="31"/>
        <v>0.58740271678480949</v>
      </c>
      <c r="H235">
        <f t="shared" si="32"/>
        <v>0.80613954267526589</v>
      </c>
      <c r="I235">
        <f t="shared" si="33"/>
        <v>-1.9376098163475748</v>
      </c>
      <c r="J235" s="26">
        <f t="shared" si="34"/>
        <v>2.1113806181059569E-2</v>
      </c>
      <c r="K235" s="26">
        <f t="shared" si="35"/>
        <v>4.4438251555634634E-3</v>
      </c>
      <c r="L235" s="26">
        <f t="shared" si="36"/>
        <v>1.2925197386262077E-2</v>
      </c>
      <c r="M235" s="26">
        <f t="shared" si="37"/>
        <v>-0.18273182541279054</v>
      </c>
      <c r="N235" s="26">
        <f t="shared" si="38"/>
        <v>-0.2440432362660454</v>
      </c>
      <c r="O235" s="26">
        <f t="shared" si="39"/>
        <v>-0.1844419107918478</v>
      </c>
    </row>
    <row r="236" spans="1:15" x14ac:dyDescent="0.25">
      <c r="A236" s="2">
        <v>45166</v>
      </c>
      <c r="B236">
        <v>141568</v>
      </c>
      <c r="C236">
        <v>115864</v>
      </c>
      <c r="D236">
        <v>560174</v>
      </c>
      <c r="F236">
        <f t="shared" si="30"/>
        <v>0.31486070307703223</v>
      </c>
      <c r="G236">
        <f t="shared" si="31"/>
        <v>0.5837773293909243</v>
      </c>
      <c r="H236">
        <f t="shared" si="32"/>
        <v>0.81843354430379744</v>
      </c>
      <c r="I236">
        <f t="shared" si="33"/>
        <v>-1.8516723689637531</v>
      </c>
      <c r="J236" s="26">
        <f t="shared" si="34"/>
        <v>2.0044096468981143E-2</v>
      </c>
      <c r="K236" s="26">
        <f t="shared" si="35"/>
        <v>2.5878533093326439E-3</v>
      </c>
      <c r="L236" s="26">
        <f t="shared" si="36"/>
        <v>1.2027359522458758E-2</v>
      </c>
      <c r="M236" s="26">
        <f t="shared" si="37"/>
        <v>-0.18464469553414553</v>
      </c>
      <c r="N236" s="26">
        <f t="shared" si="38"/>
        <v>-0.23897144148555005</v>
      </c>
      <c r="O236" s="26">
        <f t="shared" si="39"/>
        <v>-0.17801676862072713</v>
      </c>
    </row>
    <row r="237" spans="1:15" x14ac:dyDescent="0.25">
      <c r="A237" s="2">
        <v>45163</v>
      </c>
      <c r="B237">
        <v>141468</v>
      </c>
      <c r="C237">
        <v>115864</v>
      </c>
      <c r="D237">
        <v>560199</v>
      </c>
      <c r="F237">
        <f t="shared" si="30"/>
        <v>0.31476726876412026</v>
      </c>
      <c r="G237">
        <f t="shared" si="31"/>
        <v>0.57968924547426948</v>
      </c>
      <c r="H237">
        <f t="shared" si="32"/>
        <v>0.81901207340175874</v>
      </c>
      <c r="I237">
        <f t="shared" si="33"/>
        <v>-1.8721190644038268</v>
      </c>
      <c r="J237" s="26">
        <f t="shared" si="34"/>
        <v>1.8740262385539663E-2</v>
      </c>
      <c r="K237" s="26">
        <f t="shared" si="35"/>
        <v>5.9173184970434667E-4</v>
      </c>
      <c r="L237" s="26">
        <f t="shared" si="36"/>
        <v>1.1028589609109241E-2</v>
      </c>
      <c r="M237" s="26">
        <f t="shared" si="37"/>
        <v>-0.18753096952374304</v>
      </c>
      <c r="N237" s="26">
        <f t="shared" si="38"/>
        <v>-0.23476303329026305</v>
      </c>
      <c r="O237" s="26">
        <f t="shared" si="39"/>
        <v>-0.17243801476297449</v>
      </c>
    </row>
    <row r="238" spans="1:15" x14ac:dyDescent="0.25">
      <c r="A238" s="2">
        <v>45162</v>
      </c>
      <c r="B238">
        <v>138843</v>
      </c>
      <c r="C238">
        <v>115864</v>
      </c>
      <c r="D238">
        <v>560705</v>
      </c>
      <c r="F238">
        <f t="shared" si="30"/>
        <v>0.31236601865069435</v>
      </c>
      <c r="G238">
        <f t="shared" si="31"/>
        <v>0.53791604384685276</v>
      </c>
      <c r="H238">
        <f t="shared" si="32"/>
        <v>0.83449651764943134</v>
      </c>
      <c r="I238">
        <f t="shared" si="33"/>
        <v>-1.7551410113136123</v>
      </c>
      <c r="J238" s="26">
        <f t="shared" si="34"/>
        <v>1.7853440067407578E-2</v>
      </c>
      <c r="K238" s="26">
        <f t="shared" si="35"/>
        <v>-1.4301341876788443E-3</v>
      </c>
      <c r="L238" s="26">
        <f t="shared" si="36"/>
        <v>9.9921152020504556E-3</v>
      </c>
      <c r="M238" s="26">
        <f t="shared" si="37"/>
        <v>-0.19592504925857124</v>
      </c>
      <c r="N238" s="26">
        <f t="shared" si="38"/>
        <v>-0.22989679696433052</v>
      </c>
      <c r="O238" s="26">
        <f t="shared" si="39"/>
        <v>-0.16645678697461863</v>
      </c>
    </row>
    <row r="239" spans="1:15" x14ac:dyDescent="0.25">
      <c r="A239" s="2">
        <v>45161</v>
      </c>
      <c r="B239">
        <v>136893</v>
      </c>
      <c r="C239">
        <v>116914</v>
      </c>
      <c r="D239">
        <v>558108</v>
      </c>
      <c r="F239">
        <f t="shared" si="30"/>
        <v>0.31260292025643077</v>
      </c>
      <c r="G239">
        <f t="shared" si="31"/>
        <v>0.53925152210129346</v>
      </c>
      <c r="H239">
        <f t="shared" si="32"/>
        <v>0.85405389610863958</v>
      </c>
      <c r="I239">
        <f t="shared" si="33"/>
        <v>-1.5997464216501485</v>
      </c>
      <c r="J239" s="26">
        <f t="shared" si="34"/>
        <v>1.7667722838484168E-2</v>
      </c>
      <c r="K239" s="26">
        <f t="shared" si="35"/>
        <v>-2.9608302661536245E-3</v>
      </c>
      <c r="L239" s="26">
        <f t="shared" si="36"/>
        <v>9.4232243393201909E-3</v>
      </c>
      <c r="M239" s="26">
        <f t="shared" si="37"/>
        <v>-0.2036548979764764</v>
      </c>
      <c r="N239" s="26">
        <f t="shared" si="38"/>
        <v>-0.22532365184953551</v>
      </c>
      <c r="O239" s="26">
        <f t="shared" si="39"/>
        <v>-0.16097523073206454</v>
      </c>
    </row>
    <row r="240" spans="1:15" x14ac:dyDescent="0.25">
      <c r="A240" s="2">
        <v>45160</v>
      </c>
      <c r="B240">
        <v>136768</v>
      </c>
      <c r="C240">
        <v>116614</v>
      </c>
      <c r="D240">
        <v>556163</v>
      </c>
      <c r="F240">
        <f t="shared" si="30"/>
        <v>0.31299310106294276</v>
      </c>
      <c r="G240">
        <f t="shared" si="31"/>
        <v>0.54343904709596147</v>
      </c>
      <c r="H240">
        <f t="shared" si="32"/>
        <v>0.85264096864763683</v>
      </c>
      <c r="I240">
        <f t="shared" si="33"/>
        <v>-1.6354861299884724</v>
      </c>
      <c r="J240" s="26">
        <f t="shared" si="34"/>
        <v>1.74343260636729E-2</v>
      </c>
      <c r="K240" s="26">
        <f t="shared" si="35"/>
        <v>-4.9216959663334059E-3</v>
      </c>
      <c r="L240" s="26">
        <f t="shared" si="36"/>
        <v>8.489125816898424E-3</v>
      </c>
      <c r="M240" s="26">
        <f t="shared" si="37"/>
        <v>-0.20606065369756976</v>
      </c>
      <c r="N240" s="26">
        <f t="shared" si="38"/>
        <v>-0.21724990389677568</v>
      </c>
      <c r="O240" s="26">
        <f t="shared" si="39"/>
        <v>-0.15333832513331802</v>
      </c>
    </row>
    <row r="241" spans="1:15" x14ac:dyDescent="0.25">
      <c r="A241" s="2">
        <v>45159</v>
      </c>
      <c r="B241">
        <v>136318</v>
      </c>
      <c r="C241">
        <v>116364</v>
      </c>
      <c r="D241">
        <v>564697</v>
      </c>
      <c r="F241">
        <f t="shared" si="30"/>
        <v>0.30913688753931773</v>
      </c>
      <c r="G241">
        <f t="shared" si="31"/>
        <v>0.47849832654802738</v>
      </c>
      <c r="H241">
        <f t="shared" si="32"/>
        <v>0.85362167872181227</v>
      </c>
      <c r="I241">
        <f t="shared" si="33"/>
        <v>-1.6460404243028532</v>
      </c>
      <c r="J241" s="26">
        <f t="shared" si="34"/>
        <v>1.7148699320379768E-2</v>
      </c>
      <c r="K241" s="26">
        <f t="shared" si="35"/>
        <v>-6.9970657822058802E-3</v>
      </c>
      <c r="L241" s="26">
        <f t="shared" si="36"/>
        <v>7.0157877016993608E-3</v>
      </c>
      <c r="M241" s="26">
        <f t="shared" si="37"/>
        <v>-0.20349654267735406</v>
      </c>
      <c r="N241" s="26">
        <f t="shared" si="38"/>
        <v>-0.2071332796013281</v>
      </c>
      <c r="O241" s="26">
        <f t="shared" si="39"/>
        <v>-0.14388795425357959</v>
      </c>
    </row>
    <row r="242" spans="1:15" x14ac:dyDescent="0.25">
      <c r="A242" s="2">
        <v>45156</v>
      </c>
      <c r="B242">
        <v>135838</v>
      </c>
      <c r="C242">
        <v>116164</v>
      </c>
      <c r="D242">
        <v>564303</v>
      </c>
      <c r="F242">
        <f t="shared" si="30"/>
        <v>0.30871059224187036</v>
      </c>
      <c r="G242">
        <f t="shared" si="31"/>
        <v>0.47260547737369241</v>
      </c>
      <c r="H242">
        <f t="shared" si="32"/>
        <v>0.85516571209823466</v>
      </c>
      <c r="I242">
        <f t="shared" si="33"/>
        <v>-1.6572184025590941</v>
      </c>
      <c r="J242" s="26">
        <f t="shared" si="34"/>
        <v>1.6873229987828975E-2</v>
      </c>
      <c r="K242" s="26">
        <f t="shared" si="35"/>
        <v>-8.9804377512125444E-3</v>
      </c>
      <c r="L242" s="26">
        <f t="shared" si="36"/>
        <v>5.6183463892188756E-3</v>
      </c>
      <c r="M242" s="26">
        <f t="shared" si="37"/>
        <v>-0.1981742657514145</v>
      </c>
      <c r="N242" s="26">
        <f t="shared" si="38"/>
        <v>-0.19495054605827966</v>
      </c>
      <c r="O242" s="26">
        <f t="shared" si="39"/>
        <v>-0.13287083889718643</v>
      </c>
    </row>
    <row r="243" spans="1:15" x14ac:dyDescent="0.25">
      <c r="A243" s="2">
        <v>45155</v>
      </c>
      <c r="B243">
        <v>134688</v>
      </c>
      <c r="C243">
        <v>115964</v>
      </c>
      <c r="D243">
        <v>561297</v>
      </c>
      <c r="F243">
        <f t="shared" si="30"/>
        <v>0.30870411811579301</v>
      </c>
      <c r="G243">
        <f t="shared" si="31"/>
        <v>0.4702669761411794</v>
      </c>
      <c r="H243">
        <f t="shared" si="32"/>
        <v>0.86098241862675218</v>
      </c>
      <c r="I243">
        <f t="shared" si="33"/>
        <v>-1.6279514240054851</v>
      </c>
      <c r="J243" s="26">
        <f t="shared" si="34"/>
        <v>1.6738890625578817E-2</v>
      </c>
      <c r="K243" s="26">
        <f t="shared" si="35"/>
        <v>-1.0892823769751703E-2</v>
      </c>
      <c r="L243" s="26">
        <f t="shared" si="36"/>
        <v>4.6872226189131894E-3</v>
      </c>
      <c r="M243" s="26">
        <f t="shared" si="37"/>
        <v>-0.19324358455739266</v>
      </c>
      <c r="N243" s="26">
        <f t="shared" si="38"/>
        <v>-0.18274733147760636</v>
      </c>
      <c r="O243" s="26">
        <f t="shared" si="39"/>
        <v>-0.12173878275535588</v>
      </c>
    </row>
    <row r="244" spans="1:15" x14ac:dyDescent="0.25">
      <c r="A244" s="2">
        <v>45154</v>
      </c>
      <c r="B244">
        <v>134063</v>
      </c>
      <c r="C244">
        <v>115964</v>
      </c>
      <c r="D244">
        <v>560366</v>
      </c>
      <c r="F244">
        <f t="shared" si="30"/>
        <v>0.30852561658355881</v>
      </c>
      <c r="G244">
        <f t="shared" si="31"/>
        <v>0.46520081467842317</v>
      </c>
      <c r="H244">
        <f t="shared" si="32"/>
        <v>0.86499630770607849</v>
      </c>
      <c r="I244">
        <f t="shared" si="33"/>
        <v>-1.6161754870067164</v>
      </c>
      <c r="J244" s="26">
        <f t="shared" si="34"/>
        <v>1.3122331778442298E-2</v>
      </c>
      <c r="K244" s="26">
        <f t="shared" si="35"/>
        <v>-1.2831712561622854E-2</v>
      </c>
      <c r="L244" s="26">
        <f t="shared" si="36"/>
        <v>3.7472766476963626E-3</v>
      </c>
      <c r="M244" s="26">
        <f t="shared" si="37"/>
        <v>-0.18153187867608844</v>
      </c>
      <c r="N244" s="26">
        <f t="shared" si="38"/>
        <v>-0.17029161155995287</v>
      </c>
      <c r="O244" s="26">
        <f t="shared" si="39"/>
        <v>-0.11064270840994062</v>
      </c>
    </row>
    <row r="245" spans="1:15" x14ac:dyDescent="0.25">
      <c r="A245" s="2">
        <v>45153</v>
      </c>
      <c r="B245">
        <v>132538</v>
      </c>
      <c r="C245">
        <v>114464</v>
      </c>
      <c r="D245">
        <v>560868</v>
      </c>
      <c r="F245">
        <f t="shared" si="30"/>
        <v>0.3057447361580452</v>
      </c>
      <c r="G245">
        <f t="shared" si="31"/>
        <v>0.41956404017766791</v>
      </c>
      <c r="H245">
        <f t="shared" si="32"/>
        <v>0.86363156226893423</v>
      </c>
      <c r="I245">
        <f t="shared" si="33"/>
        <v>-1.6555517165256084</v>
      </c>
      <c r="J245" s="26">
        <f t="shared" si="34"/>
        <v>9.6219139656181785E-3</v>
      </c>
      <c r="K245" s="26">
        <f t="shared" si="35"/>
        <v>-1.468529727480905E-2</v>
      </c>
      <c r="L245" s="26">
        <f t="shared" si="36"/>
        <v>2.9451017137191449E-3</v>
      </c>
      <c r="M245" s="26">
        <f t="shared" si="37"/>
        <v>-0.17167759792963244</v>
      </c>
      <c r="N245" s="26">
        <f t="shared" si="38"/>
        <v>-0.15854179897185305</v>
      </c>
      <c r="O245" s="26">
        <f t="shared" si="39"/>
        <v>-0.10036928703495474</v>
      </c>
    </row>
    <row r="246" spans="1:15" x14ac:dyDescent="0.25">
      <c r="A246" s="2">
        <v>45152</v>
      </c>
      <c r="B246">
        <v>132863</v>
      </c>
      <c r="C246">
        <v>114164</v>
      </c>
      <c r="D246">
        <v>561737</v>
      </c>
      <c r="F246">
        <f t="shared" si="30"/>
        <v>0.30543768021326367</v>
      </c>
      <c r="G246">
        <f t="shared" si="31"/>
        <v>0.4124406698308889</v>
      </c>
      <c r="H246">
        <f t="shared" si="32"/>
        <v>0.85926104333034781</v>
      </c>
      <c r="I246">
        <f t="shared" si="33"/>
        <v>-1.7319204578947447</v>
      </c>
      <c r="J246" s="26">
        <f t="shared" si="34"/>
        <v>6.1449324919736759E-3</v>
      </c>
      <c r="K246" s="26">
        <f t="shared" si="35"/>
        <v>-1.6382823057186358E-2</v>
      </c>
      <c r="L246" s="26">
        <f t="shared" si="36"/>
        <v>2.2961602895878452E-3</v>
      </c>
      <c r="M246" s="26">
        <f t="shared" si="37"/>
        <v>-0.16281582981818266</v>
      </c>
      <c r="N246" s="26">
        <f t="shared" si="38"/>
        <v>-0.14666735799820863</v>
      </c>
      <c r="O246" s="26">
        <f t="shared" si="39"/>
        <v>-9.0108249135558816E-2</v>
      </c>
    </row>
    <row r="247" spans="1:15" x14ac:dyDescent="0.25">
      <c r="A247" s="2">
        <v>45149</v>
      </c>
      <c r="B247">
        <v>130876</v>
      </c>
      <c r="C247">
        <v>114589</v>
      </c>
      <c r="D247">
        <v>562080</v>
      </c>
      <c r="F247">
        <f t="shared" si="30"/>
        <v>0.30396448495130302</v>
      </c>
      <c r="G247">
        <f t="shared" si="31"/>
        <v>0.38696512748437928</v>
      </c>
      <c r="H247">
        <f t="shared" si="32"/>
        <v>0.87555395947308901</v>
      </c>
      <c r="I247">
        <f t="shared" si="33"/>
        <v>-1.6047847787374001</v>
      </c>
      <c r="J247" s="26">
        <f t="shared" si="34"/>
        <v>2.7859780434126291E-3</v>
      </c>
      <c r="K247" s="26">
        <f t="shared" si="35"/>
        <v>-1.8054105538227561E-2</v>
      </c>
      <c r="L247" s="26">
        <f t="shared" si="36"/>
        <v>1.716444694755126E-3</v>
      </c>
      <c r="M247" s="26">
        <f t="shared" si="37"/>
        <v>-0.15558601662078375</v>
      </c>
      <c r="N247" s="26">
        <f t="shared" si="38"/>
        <v>-0.13445556197769781</v>
      </c>
      <c r="O247" s="26">
        <f t="shared" si="39"/>
        <v>-7.9791715506614902E-2</v>
      </c>
    </row>
    <row r="248" spans="1:15" x14ac:dyDescent="0.25">
      <c r="A248" s="2">
        <v>45148</v>
      </c>
      <c r="B248">
        <v>130888</v>
      </c>
      <c r="C248">
        <v>114134</v>
      </c>
      <c r="D248">
        <v>563208</v>
      </c>
      <c r="F248">
        <f t="shared" si="30"/>
        <v>0.30315875431498457</v>
      </c>
      <c r="G248">
        <f t="shared" si="31"/>
        <v>0.37177154826413811</v>
      </c>
      <c r="H248">
        <f t="shared" si="32"/>
        <v>0.87199743291974818</v>
      </c>
      <c r="I248">
        <f t="shared" si="33"/>
        <v>-1.6712123079624825</v>
      </c>
      <c r="J248" s="26">
        <f t="shared" si="34"/>
        <v>-4.1111434991480955E-4</v>
      </c>
      <c r="K248" s="26">
        <f t="shared" si="35"/>
        <v>-1.9613999979299523E-2</v>
      </c>
      <c r="L248" s="26">
        <f t="shared" si="36"/>
        <v>3.3544699741817063E-3</v>
      </c>
      <c r="M248" s="26">
        <f t="shared" si="37"/>
        <v>-0.153021891703784</v>
      </c>
      <c r="N248" s="26">
        <f t="shared" si="38"/>
        <v>-0.12479941107029502</v>
      </c>
      <c r="O248" s="26">
        <f t="shared" si="39"/>
        <v>-7.0890656939441188E-2</v>
      </c>
    </row>
    <row r="249" spans="1:15" x14ac:dyDescent="0.25">
      <c r="A249" s="2">
        <v>45147</v>
      </c>
      <c r="B249">
        <v>130138</v>
      </c>
      <c r="C249">
        <v>114134</v>
      </c>
      <c r="D249">
        <v>562717</v>
      </c>
      <c r="F249">
        <f t="shared" si="30"/>
        <v>0.30269557577612582</v>
      </c>
      <c r="G249">
        <f t="shared" si="31"/>
        <v>0.36189449584513395</v>
      </c>
      <c r="H249">
        <f t="shared" si="32"/>
        <v>0.87702285266409508</v>
      </c>
      <c r="I249">
        <f t="shared" si="33"/>
        <v>-1.6512043728571106</v>
      </c>
      <c r="J249" s="26">
        <f t="shared" si="34"/>
        <v>-3.0983967044478922E-3</v>
      </c>
      <c r="K249" s="26">
        <f t="shared" si="35"/>
        <v>-2.0995530724347733E-2</v>
      </c>
      <c r="L249" s="26">
        <f t="shared" si="36"/>
        <v>5.1550289913665504E-3</v>
      </c>
      <c r="M249" s="26">
        <f t="shared" si="37"/>
        <v>-0.15323852975161223</v>
      </c>
      <c r="N249" s="26">
        <f t="shared" si="38"/>
        <v>-0.11610734567606429</v>
      </c>
      <c r="O249" s="26">
        <f t="shared" si="39"/>
        <v>-6.2710662799763228E-2</v>
      </c>
    </row>
    <row r="250" spans="1:15" x14ac:dyDescent="0.25">
      <c r="A250" s="2">
        <v>45146</v>
      </c>
      <c r="B250">
        <v>130391</v>
      </c>
      <c r="C250">
        <v>113078</v>
      </c>
      <c r="D250">
        <v>561834</v>
      </c>
      <c r="F250">
        <f t="shared" si="30"/>
        <v>0.3023321656569018</v>
      </c>
      <c r="G250">
        <f t="shared" si="31"/>
        <v>0.35381473968658933</v>
      </c>
      <c r="H250">
        <f t="shared" si="32"/>
        <v>0.86722243099600438</v>
      </c>
      <c r="I250">
        <f t="shared" si="33"/>
        <v>-1.783338635169273</v>
      </c>
      <c r="J250" s="26">
        <f t="shared" si="34"/>
        <v>-4.8700416544997793E-3</v>
      </c>
      <c r="K250" s="26">
        <f t="shared" si="35"/>
        <v>-2.1306142706023656E-2</v>
      </c>
      <c r="L250" s="26">
        <f t="shared" si="36"/>
        <v>5.5468542024736944E-3</v>
      </c>
      <c r="M250" s="26">
        <f t="shared" si="37"/>
        <v>-0.15384226235683685</v>
      </c>
      <c r="N250" s="26">
        <f t="shared" si="38"/>
        <v>-0.10776531029182157</v>
      </c>
      <c r="O250" s="26">
        <f t="shared" si="39"/>
        <v>-5.547723507311153E-2</v>
      </c>
    </row>
    <row r="251" spans="1:15" x14ac:dyDescent="0.25">
      <c r="A251" s="2">
        <v>45145</v>
      </c>
      <c r="B251">
        <v>130131</v>
      </c>
      <c r="C251">
        <v>113053</v>
      </c>
      <c r="D251">
        <v>554680</v>
      </c>
      <c r="F251">
        <f t="shared" si="30"/>
        <v>0.30479379944451684</v>
      </c>
      <c r="G251">
        <f t="shared" si="31"/>
        <v>0.38959009058193073</v>
      </c>
      <c r="H251">
        <f t="shared" si="32"/>
        <v>0.86876301573030257</v>
      </c>
      <c r="I251">
        <f t="shared" si="33"/>
        <v>-1.8060271537028965</v>
      </c>
      <c r="J251" s="26">
        <f t="shared" si="34"/>
        <v>-7.0290802624940474E-3</v>
      </c>
      <c r="K251" s="26">
        <f t="shared" si="35"/>
        <v>-2.1873857114701689E-2</v>
      </c>
      <c r="L251" s="26">
        <f t="shared" si="36"/>
        <v>5.7837173560166821E-3</v>
      </c>
      <c r="M251" s="26">
        <f t="shared" si="37"/>
        <v>-0.15407268028395649</v>
      </c>
      <c r="N251" s="26">
        <f t="shared" si="38"/>
        <v>-9.880368191553579E-2</v>
      </c>
      <c r="O251" s="26">
        <f t="shared" si="39"/>
        <v>-4.7680252081869989E-2</v>
      </c>
    </row>
    <row r="252" spans="1:15" x14ac:dyDescent="0.25">
      <c r="A252" s="2">
        <v>45142</v>
      </c>
      <c r="B252">
        <v>125131</v>
      </c>
      <c r="C252">
        <v>112628</v>
      </c>
      <c r="D252">
        <v>553050</v>
      </c>
      <c r="F252">
        <f t="shared" si="30"/>
        <v>0.30065287572599703</v>
      </c>
      <c r="G252">
        <f t="shared" si="31"/>
        <v>0.3230543614919073</v>
      </c>
      <c r="H252">
        <f t="shared" si="32"/>
        <v>0.90008071541025003</v>
      </c>
      <c r="I252">
        <f t="shared" si="33"/>
        <v>-1.514020802013305</v>
      </c>
      <c r="J252" s="26">
        <f t="shared" si="34"/>
        <v>-9.4261293448641981E-3</v>
      </c>
      <c r="K252" s="26">
        <f t="shared" si="35"/>
        <v>-2.2635784063541775E-2</v>
      </c>
      <c r="L252" s="26">
        <f t="shared" si="36"/>
        <v>5.8124463932181514E-3</v>
      </c>
      <c r="M252" s="26">
        <f t="shared" si="37"/>
        <v>-0.15400402349808928</v>
      </c>
      <c r="N252" s="26">
        <f t="shared" si="38"/>
        <v>-9.0039230454267871E-2</v>
      </c>
      <c r="O252" s="26">
        <f t="shared" si="39"/>
        <v>-4.0113554668535834E-2</v>
      </c>
    </row>
    <row r="253" spans="1:15" x14ac:dyDescent="0.25">
      <c r="A253" s="2">
        <v>45141</v>
      </c>
      <c r="B253">
        <v>124931</v>
      </c>
      <c r="C253">
        <v>112728</v>
      </c>
      <c r="D253">
        <v>552205</v>
      </c>
      <c r="F253">
        <f t="shared" si="30"/>
        <v>0.30088597530714151</v>
      </c>
      <c r="G253">
        <f t="shared" si="31"/>
        <v>0.324064689161702</v>
      </c>
      <c r="H253">
        <f t="shared" si="32"/>
        <v>0.90232208178914763</v>
      </c>
      <c r="I253">
        <f t="shared" si="33"/>
        <v>-1.5183552095744157</v>
      </c>
      <c r="J253" s="26">
        <f t="shared" si="34"/>
        <v>-1.212689205261791E-2</v>
      </c>
      <c r="K253" s="26">
        <f t="shared" si="35"/>
        <v>-2.3574339354200502E-2</v>
      </c>
      <c r="L253" s="26">
        <f t="shared" si="36"/>
        <v>5.6831701652040323E-3</v>
      </c>
      <c r="M253" s="26">
        <f t="shared" si="37"/>
        <v>-0.15698912216420324</v>
      </c>
      <c r="N253" s="26">
        <f t="shared" si="38"/>
        <v>-8.5032787002284227E-2</v>
      </c>
      <c r="O253" s="26">
        <f t="shared" si="39"/>
        <v>-3.5796421848337312E-2</v>
      </c>
    </row>
    <row r="254" spans="1:15" x14ac:dyDescent="0.25">
      <c r="A254" s="2">
        <v>45140</v>
      </c>
      <c r="B254">
        <v>123956</v>
      </c>
      <c r="C254">
        <v>112803</v>
      </c>
      <c r="D254">
        <v>548959</v>
      </c>
      <c r="F254">
        <f t="shared" si="30"/>
        <v>0.3013282119029983</v>
      </c>
      <c r="G254">
        <f t="shared" si="31"/>
        <v>0.32850246804169869</v>
      </c>
      <c r="H254">
        <f t="shared" si="32"/>
        <v>0.91002452483139173</v>
      </c>
      <c r="I254">
        <f t="shared" si="33"/>
        <v>-1.4555734653285641</v>
      </c>
      <c r="J254" s="26">
        <f t="shared" si="34"/>
        <v>-1.483216568766782E-2</v>
      </c>
      <c r="K254" s="26">
        <f t="shared" si="35"/>
        <v>-2.4608620279032212E-2</v>
      </c>
      <c r="L254" s="26">
        <f t="shared" si="36"/>
        <v>5.4805512769605658E-3</v>
      </c>
      <c r="M254" s="26">
        <f t="shared" si="37"/>
        <v>-0.15056410489277305</v>
      </c>
      <c r="N254" s="26">
        <f t="shared" si="38"/>
        <v>-7.3467401006948263E-2</v>
      </c>
      <c r="O254" s="26">
        <f t="shared" si="39"/>
        <v>-2.604159329694733E-2</v>
      </c>
    </row>
    <row r="255" spans="1:15" x14ac:dyDescent="0.25">
      <c r="A255" s="2">
        <v>45139</v>
      </c>
      <c r="B255">
        <v>120706</v>
      </c>
      <c r="C255">
        <v>112553</v>
      </c>
      <c r="D255">
        <v>545332</v>
      </c>
      <c r="F255">
        <f t="shared" si="30"/>
        <v>0.29959118458857087</v>
      </c>
      <c r="G255">
        <f t="shared" si="31"/>
        <v>0.29943450025384605</v>
      </c>
      <c r="H255">
        <f t="shared" si="32"/>
        <v>0.93245571885407519</v>
      </c>
      <c r="I255">
        <f t="shared" si="33"/>
        <v>-1.2314875486085468</v>
      </c>
      <c r="J255" s="26">
        <f t="shared" si="34"/>
        <v>-1.7542143279309974E-2</v>
      </c>
      <c r="K255" s="26">
        <f t="shared" si="35"/>
        <v>-2.556564195383626E-2</v>
      </c>
      <c r="L255" s="26">
        <f t="shared" si="36"/>
        <v>5.4584675802170635E-3</v>
      </c>
      <c r="M255" s="26">
        <f t="shared" si="37"/>
        <v>-0.14407725966010942</v>
      </c>
      <c r="N255" s="26">
        <f t="shared" si="38"/>
        <v>-6.1896296379776672E-2</v>
      </c>
      <c r="O255" s="26">
        <f t="shared" si="39"/>
        <v>-1.6728873333641037E-2</v>
      </c>
    </row>
    <row r="256" spans="1:15" x14ac:dyDescent="0.25">
      <c r="A256" s="2">
        <v>45138</v>
      </c>
      <c r="B256">
        <v>118311</v>
      </c>
      <c r="C256">
        <v>112053</v>
      </c>
      <c r="D256">
        <v>568737</v>
      </c>
      <c r="F256">
        <f t="shared" si="30"/>
        <v>0.28827895347396637</v>
      </c>
      <c r="G256">
        <f t="shared" si="31"/>
        <v>0.12263383638616135</v>
      </c>
      <c r="H256">
        <f t="shared" si="32"/>
        <v>0.94710551005401022</v>
      </c>
      <c r="I256">
        <f t="shared" si="33"/>
        <v>-1.0932836517518145</v>
      </c>
      <c r="J256" s="26">
        <f t="shared" si="34"/>
        <v>-2.0188660960196392E-2</v>
      </c>
      <c r="K256" s="26">
        <f t="shared" si="35"/>
        <v>-2.6492718432993279E-2</v>
      </c>
      <c r="L256" s="26">
        <f t="shared" si="36"/>
        <v>5.5746578469917929E-3</v>
      </c>
      <c r="M256" s="26">
        <f t="shared" si="37"/>
        <v>-0.13703451591342142</v>
      </c>
      <c r="N256" s="26">
        <f t="shared" si="38"/>
        <v>-5.0711831524165252E-2</v>
      </c>
      <c r="O256" s="26">
        <f t="shared" si="39"/>
        <v>-7.0530671247839294E-3</v>
      </c>
    </row>
    <row r="257" spans="1:15" x14ac:dyDescent="0.25">
      <c r="A257" s="2">
        <v>45135</v>
      </c>
      <c r="B257">
        <v>117311</v>
      </c>
      <c r="C257">
        <v>110628</v>
      </c>
      <c r="D257">
        <v>568112</v>
      </c>
      <c r="F257">
        <f t="shared" si="30"/>
        <v>0.28633718191422408</v>
      </c>
      <c r="G257">
        <f t="shared" si="31"/>
        <v>9.0193699369526453E-2</v>
      </c>
      <c r="H257">
        <f t="shared" si="32"/>
        <v>0.94303177025172402</v>
      </c>
      <c r="I257">
        <f t="shared" si="33"/>
        <v>-1.1550787432721694</v>
      </c>
      <c r="J257" s="26">
        <f t="shared" si="34"/>
        <v>-2.226568809382401E-2</v>
      </c>
      <c r="K257" s="26">
        <f t="shared" si="35"/>
        <v>-2.686699797358133E-2</v>
      </c>
      <c r="L257" s="26">
        <f t="shared" si="36"/>
        <v>6.2485900668745598E-3</v>
      </c>
      <c r="M257" s="26">
        <f t="shared" si="37"/>
        <v>-0.13077758277539808</v>
      </c>
      <c r="N257" s="26">
        <f t="shared" si="38"/>
        <v>-4.0221867554717017E-2</v>
      </c>
      <c r="O257" s="26">
        <f t="shared" si="39"/>
        <v>1.9549505141871482E-3</v>
      </c>
    </row>
    <row r="258" spans="1:15" x14ac:dyDescent="0.25">
      <c r="A258" s="2">
        <v>45134</v>
      </c>
      <c r="B258">
        <v>115878</v>
      </c>
      <c r="C258">
        <v>110441</v>
      </c>
      <c r="D258">
        <v>565605</v>
      </c>
      <c r="F258">
        <f t="shared" si="30"/>
        <v>0.28578373682323049</v>
      </c>
      <c r="G258">
        <f t="shared" si="31"/>
        <v>7.9468642347239896E-2</v>
      </c>
      <c r="H258">
        <f t="shared" si="32"/>
        <v>0.95307996340979306</v>
      </c>
      <c r="I258">
        <f t="shared" si="33"/>
        <v>-1.0641919429472471</v>
      </c>
      <c r="J258" s="26">
        <f t="shared" si="34"/>
        <v>-2.4241573830341201E-2</v>
      </c>
      <c r="K258" s="26">
        <f t="shared" si="35"/>
        <v>-2.7049104698213422E-2</v>
      </c>
      <c r="L258" s="26">
        <f t="shared" si="36"/>
        <v>7.0862650158191598E-3</v>
      </c>
      <c r="M258" s="26">
        <f t="shared" si="37"/>
        <v>-0.12357099267464355</v>
      </c>
      <c r="N258" s="26">
        <f t="shared" si="38"/>
        <v>-2.9634003460607516E-2</v>
      </c>
      <c r="O258" s="26">
        <f t="shared" si="39"/>
        <v>1.0999070473911576E-2</v>
      </c>
    </row>
    <row r="259" spans="1:15" x14ac:dyDescent="0.25">
      <c r="A259" s="2">
        <v>45133</v>
      </c>
      <c r="B259">
        <v>115443</v>
      </c>
      <c r="C259">
        <v>110436</v>
      </c>
      <c r="D259">
        <v>548764</v>
      </c>
      <c r="F259">
        <f t="shared" si="30"/>
        <v>0.29159109422017626</v>
      </c>
      <c r="G259">
        <f t="shared" si="31"/>
        <v>0.1669906651751028</v>
      </c>
      <c r="H259">
        <f t="shared" si="32"/>
        <v>0.9566279462591929</v>
      </c>
      <c r="I259">
        <f t="shared" si="33"/>
        <v>-1.041935191272009</v>
      </c>
      <c r="J259" s="26">
        <f t="shared" si="34"/>
        <v>-2.6901592781276851E-2</v>
      </c>
      <c r="K259" s="26">
        <f t="shared" si="35"/>
        <v>-2.7780373165369687E-2</v>
      </c>
      <c r="L259" s="26">
        <f t="shared" si="36"/>
        <v>7.4690010035302623E-3</v>
      </c>
      <c r="M259" s="26">
        <f t="shared" si="37"/>
        <v>-0.10207163715015333</v>
      </c>
      <c r="N259" s="26">
        <f t="shared" si="38"/>
        <v>-1.101017432895568E-2</v>
      </c>
      <c r="O259" s="26">
        <f t="shared" si="39"/>
        <v>2.6795316366684752E-2</v>
      </c>
    </row>
    <row r="260" spans="1:15" x14ac:dyDescent="0.25">
      <c r="A260" s="2">
        <v>45132</v>
      </c>
      <c r="B260">
        <v>107943</v>
      </c>
      <c r="C260">
        <v>110286</v>
      </c>
      <c r="D260">
        <v>547414</v>
      </c>
      <c r="F260">
        <f t="shared" ref="F260:F323" si="40">IFERROR((C260+B260)/(B260+C260+D260),"")</f>
        <v>0.28502709487319811</v>
      </c>
      <c r="G260">
        <f t="shared" ref="G260:G323" si="41">(F260-AVERAGE(F260:F517))/_xlfn.STDEV.S(F260:F517)</f>
        <v>6.4446991277416654E-2</v>
      </c>
      <c r="H260">
        <f t="shared" ref="H260:H323" si="42">IFERROR(C260/B260,"")</f>
        <v>1.0217059003362885</v>
      </c>
      <c r="I260">
        <f t="shared" ref="I260:I323" si="43">IFERROR((H260-AVERAGE(H260:H387))/_xlfn.STDEV.S(H260:H387),"")</f>
        <v>-0.35680023472941641</v>
      </c>
      <c r="J260" s="26">
        <f t="shared" ref="J260:J323" si="44">AVERAGEA(F260:F280)-AVERAGE(F281:F301)</f>
        <v>-2.9962341504389312E-2</v>
      </c>
      <c r="K260" s="26">
        <f t="shared" ref="K260:K323" si="45">AVERAGEA(F260:F280)-AVERAGE(F281:F336)</f>
        <v>-2.8800289925639766E-2</v>
      </c>
      <c r="L260" s="26">
        <f t="shared" ref="L260:L323" si="46">AVERAGEA(F260:F280)-AVERAGE(F281:F393)</f>
        <v>7.5895356267297043E-3</v>
      </c>
      <c r="M260" s="26">
        <f t="shared" ref="M260:M323" si="47">AVERAGEA(H260:H280)-AVERAGE(H281:H301)</f>
        <v>-8.253158803124383E-2</v>
      </c>
      <c r="N260" s="26">
        <f t="shared" ref="N260:N323" si="48">AVERAGEA(H260:H280)-AVERAGE(H281:H336)</f>
        <v>5.6100536157530634E-3</v>
      </c>
      <c r="O260" s="26">
        <f t="shared" ref="O260:O323" si="49">AVERAGEA(H260:H280)-AVERAGE(H281:H393)</f>
        <v>4.1499990331886227E-2</v>
      </c>
    </row>
    <row r="261" spans="1:15" x14ac:dyDescent="0.25">
      <c r="A261" s="2">
        <v>45131</v>
      </c>
      <c r="B261">
        <v>104918</v>
      </c>
      <c r="C261">
        <v>110361</v>
      </c>
      <c r="D261">
        <v>543643</v>
      </c>
      <c r="F261">
        <f t="shared" si="40"/>
        <v>0.28366419737469728</v>
      </c>
      <c r="G261">
        <f t="shared" si="41"/>
        <v>4.1738650981260693E-2</v>
      </c>
      <c r="H261">
        <f t="shared" si="42"/>
        <v>1.0518786099620656</v>
      </c>
      <c r="I261">
        <f t="shared" si="43"/>
        <v>-4.4906078812346331E-2</v>
      </c>
      <c r="J261" s="26">
        <f t="shared" si="44"/>
        <v>-3.3885741391312896E-2</v>
      </c>
      <c r="K261" s="26">
        <f t="shared" si="45"/>
        <v>-3.0320668403466866E-2</v>
      </c>
      <c r="L261" s="26">
        <f t="shared" si="46"/>
        <v>7.3441963077627848E-3</v>
      </c>
      <c r="M261" s="26">
        <f t="shared" si="47"/>
        <v>-6.6205481795821974E-2</v>
      </c>
      <c r="N261" s="26">
        <f t="shared" si="48"/>
        <v>1.8748002963825838E-2</v>
      </c>
      <c r="O261" s="26">
        <f t="shared" si="49"/>
        <v>5.3274282438406928E-2</v>
      </c>
    </row>
    <row r="262" spans="1:15" x14ac:dyDescent="0.25">
      <c r="A262" s="2">
        <v>45128</v>
      </c>
      <c r="B262">
        <v>102143</v>
      </c>
      <c r="C262">
        <v>110286</v>
      </c>
      <c r="D262">
        <v>541437</v>
      </c>
      <c r="F262">
        <f t="shared" si="40"/>
        <v>0.28178615297678899</v>
      </c>
      <c r="G262">
        <f t="shared" si="41"/>
        <v>1.1033324748622356E-2</v>
      </c>
      <c r="H262">
        <f t="shared" si="42"/>
        <v>1.0797215668229834</v>
      </c>
      <c r="I262">
        <f t="shared" si="43"/>
        <v>0.24989054581288822</v>
      </c>
      <c r="J262" s="26">
        <f t="shared" si="44"/>
        <v>-3.8052022322345613E-2</v>
      </c>
      <c r="K262" s="26">
        <f t="shared" si="45"/>
        <v>-3.1907074359089571E-2</v>
      </c>
      <c r="L262" s="26">
        <f t="shared" si="46"/>
        <v>7.0677709744271788E-3</v>
      </c>
      <c r="M262" s="26">
        <f t="shared" si="47"/>
        <v>-5.4703304309552392E-2</v>
      </c>
      <c r="N262" s="26">
        <f t="shared" si="48"/>
        <v>2.7599295534996182E-2</v>
      </c>
      <c r="O262" s="26">
        <f t="shared" si="49"/>
        <v>6.1018912312609697E-2</v>
      </c>
    </row>
    <row r="263" spans="1:15" x14ac:dyDescent="0.25">
      <c r="A263" s="2">
        <v>45127</v>
      </c>
      <c r="B263">
        <v>102143</v>
      </c>
      <c r="C263">
        <v>110286</v>
      </c>
      <c r="D263">
        <v>539624</v>
      </c>
      <c r="F263">
        <f t="shared" si="40"/>
        <v>0.28246546453507931</v>
      </c>
      <c r="G263">
        <f t="shared" si="41"/>
        <v>1.9272997221391718E-2</v>
      </c>
      <c r="H263">
        <f t="shared" si="42"/>
        <v>1.0797215668229834</v>
      </c>
      <c r="I263">
        <f t="shared" si="43"/>
        <v>0.24933899384318456</v>
      </c>
      <c r="J263" s="26">
        <f t="shared" si="44"/>
        <v>-4.2291219847545025E-2</v>
      </c>
      <c r="K263" s="26">
        <f t="shared" si="45"/>
        <v>-3.343597660785308E-2</v>
      </c>
      <c r="L263" s="26">
        <f t="shared" si="46"/>
        <v>6.8982121743872415E-3</v>
      </c>
      <c r="M263" s="26">
        <f t="shared" si="47"/>
        <v>-4.3965539819464716E-2</v>
      </c>
      <c r="N263" s="26">
        <f t="shared" si="48"/>
        <v>3.5107118103070878E-2</v>
      </c>
      <c r="O263" s="26">
        <f t="shared" si="49"/>
        <v>6.7314453114868833E-2</v>
      </c>
    </row>
    <row r="264" spans="1:15" x14ac:dyDescent="0.25">
      <c r="A264" s="2">
        <v>45126</v>
      </c>
      <c r="B264">
        <v>101518</v>
      </c>
      <c r="C264">
        <v>110086</v>
      </c>
      <c r="D264">
        <v>539636</v>
      </c>
      <c r="F264">
        <f t="shared" si="40"/>
        <v>0.28167296736063041</v>
      </c>
      <c r="G264">
        <f t="shared" si="41"/>
        <v>5.0170941226488994E-3</v>
      </c>
      <c r="H264">
        <f t="shared" si="42"/>
        <v>1.0843988258239918</v>
      </c>
      <c r="I264">
        <f t="shared" si="43"/>
        <v>0.29715328977912403</v>
      </c>
      <c r="J264" s="26">
        <f t="shared" si="44"/>
        <v>-4.6619399686967045E-2</v>
      </c>
      <c r="K264" s="26">
        <f t="shared" si="45"/>
        <v>-3.5120013243834902E-2</v>
      </c>
      <c r="L264" s="26">
        <f t="shared" si="46"/>
        <v>6.629755063925824E-3</v>
      </c>
      <c r="M264" s="26">
        <f t="shared" si="47"/>
        <v>-3.116729493717818E-2</v>
      </c>
      <c r="N264" s="26">
        <f t="shared" si="48"/>
        <v>4.3026849726833793E-2</v>
      </c>
      <c r="O264" s="26">
        <f t="shared" si="49"/>
        <v>7.4047136936373326E-2</v>
      </c>
    </row>
    <row r="265" spans="1:15" x14ac:dyDescent="0.25">
      <c r="A265" s="2">
        <v>45125</v>
      </c>
      <c r="B265">
        <v>101868</v>
      </c>
      <c r="C265">
        <v>109899</v>
      </c>
      <c r="D265">
        <v>536883</v>
      </c>
      <c r="F265">
        <f t="shared" si="40"/>
        <v>0.28286515728310957</v>
      </c>
      <c r="G265">
        <f t="shared" si="41"/>
        <v>2.1052030040023741E-2</v>
      </c>
      <c r="H265">
        <f t="shared" si="42"/>
        <v>1.0788373188832607</v>
      </c>
      <c r="I265">
        <f t="shared" si="43"/>
        <v>0.23124940956632359</v>
      </c>
      <c r="J265" s="26">
        <f t="shared" si="44"/>
        <v>-4.3692340158608456E-2</v>
      </c>
      <c r="K265" s="26">
        <f t="shared" si="45"/>
        <v>-3.2038893744815389E-2</v>
      </c>
      <c r="L265" s="26">
        <f t="shared" si="46"/>
        <v>1.0488546071923677E-2</v>
      </c>
      <c r="M265" s="26">
        <f t="shared" si="47"/>
        <v>-3.184084002158527E-2</v>
      </c>
      <c r="N265" s="26">
        <f t="shared" si="48"/>
        <v>4.1715832955963483E-2</v>
      </c>
      <c r="O265" s="26">
        <f t="shared" si="49"/>
        <v>7.2414962254999216E-2</v>
      </c>
    </row>
    <row r="266" spans="1:15" x14ac:dyDescent="0.25">
      <c r="A266" s="2">
        <v>45124</v>
      </c>
      <c r="B266">
        <v>101618</v>
      </c>
      <c r="C266">
        <v>109699</v>
      </c>
      <c r="D266">
        <v>535218</v>
      </c>
      <c r="F266">
        <f t="shared" si="40"/>
        <v>0.28306375454600252</v>
      </c>
      <c r="G266">
        <f t="shared" si="41"/>
        <v>2.2012524353486839E-2</v>
      </c>
      <c r="H266">
        <f t="shared" si="42"/>
        <v>1.0795233127989137</v>
      </c>
      <c r="I266">
        <f t="shared" si="43"/>
        <v>0.23544116322280198</v>
      </c>
      <c r="J266" s="26">
        <f t="shared" si="44"/>
        <v>-4.0863204363454197E-2</v>
      </c>
      <c r="K266" s="26">
        <f t="shared" si="45"/>
        <v>-2.8991814742577005E-2</v>
      </c>
      <c r="L266" s="26">
        <f t="shared" si="46"/>
        <v>1.4312268876513212E-2</v>
      </c>
      <c r="M266" s="26">
        <f t="shared" si="47"/>
        <v>-3.00984075701205E-2</v>
      </c>
      <c r="N266" s="26">
        <f t="shared" si="48"/>
        <v>4.2294620947463057E-2</v>
      </c>
      <c r="O266" s="26">
        <f t="shared" si="49"/>
        <v>7.2806035577527073E-2</v>
      </c>
    </row>
    <row r="267" spans="1:15" x14ac:dyDescent="0.25">
      <c r="A267" s="2">
        <v>45121</v>
      </c>
      <c r="B267">
        <v>101843</v>
      </c>
      <c r="C267">
        <v>109749</v>
      </c>
      <c r="D267">
        <v>533753</v>
      </c>
      <c r="F267">
        <f t="shared" si="40"/>
        <v>0.28388464402390839</v>
      </c>
      <c r="G267">
        <f t="shared" si="41"/>
        <v>3.2491281749835912E-2</v>
      </c>
      <c r="H267">
        <f t="shared" si="42"/>
        <v>1.0776292921457538</v>
      </c>
      <c r="I267">
        <f t="shared" si="43"/>
        <v>0.21469884699745362</v>
      </c>
      <c r="J267" s="26">
        <f t="shared" si="44"/>
        <v>-3.7808358505236284E-2</v>
      </c>
      <c r="K267" s="26">
        <f t="shared" si="45"/>
        <v>-2.5688459190905177E-2</v>
      </c>
      <c r="L267" s="26">
        <f t="shared" si="46"/>
        <v>1.8300799027521797E-2</v>
      </c>
      <c r="M267" s="26">
        <f t="shared" si="47"/>
        <v>-2.58340163285673E-2</v>
      </c>
      <c r="N267" s="26">
        <f t="shared" si="48"/>
        <v>4.5278439640020096E-2</v>
      </c>
      <c r="O267" s="26">
        <f t="shared" si="49"/>
        <v>7.4285396331835285E-2</v>
      </c>
    </row>
    <row r="268" spans="1:15" x14ac:dyDescent="0.25">
      <c r="A268" s="2">
        <v>45120</v>
      </c>
      <c r="B268">
        <v>102768</v>
      </c>
      <c r="C268">
        <v>108974</v>
      </c>
      <c r="D268">
        <v>532433</v>
      </c>
      <c r="F268">
        <f t="shared" si="40"/>
        <v>0.2845325360298317</v>
      </c>
      <c r="G268">
        <f t="shared" si="41"/>
        <v>4.0397058177789082E-2</v>
      </c>
      <c r="H268">
        <f t="shared" si="42"/>
        <v>1.0603884477658414</v>
      </c>
      <c r="I268">
        <f t="shared" si="43"/>
        <v>2.8860517748825629E-2</v>
      </c>
      <c r="J268" s="26">
        <f t="shared" si="44"/>
        <v>-3.4894536347300553E-2</v>
      </c>
      <c r="K268" s="26">
        <f t="shared" si="45"/>
        <v>-2.1606262759347461E-2</v>
      </c>
      <c r="L268" s="26">
        <f t="shared" si="46"/>
        <v>2.2246961989395297E-2</v>
      </c>
      <c r="M268" s="26">
        <f t="shared" si="47"/>
        <v>-1.8249588346330059E-2</v>
      </c>
      <c r="N268" s="26">
        <f t="shared" si="48"/>
        <v>5.0638386670430746E-2</v>
      </c>
      <c r="O268" s="26">
        <f t="shared" si="49"/>
        <v>7.7596636026998622E-2</v>
      </c>
    </row>
    <row r="269" spans="1:15" x14ac:dyDescent="0.25">
      <c r="A269" s="2">
        <v>45119</v>
      </c>
      <c r="B269">
        <v>104318</v>
      </c>
      <c r="C269">
        <v>108974</v>
      </c>
      <c r="D269">
        <v>530598</v>
      </c>
      <c r="F269">
        <f t="shared" si="40"/>
        <v>0.28672518786379708</v>
      </c>
      <c r="G269">
        <f t="shared" si="41"/>
        <v>7.2009702064440989E-2</v>
      </c>
      <c r="H269">
        <f t="shared" si="42"/>
        <v>1.0446327575298606</v>
      </c>
      <c r="I269">
        <f t="shared" si="43"/>
        <v>-0.14179465735287269</v>
      </c>
      <c r="J269" s="26">
        <f t="shared" si="44"/>
        <v>-3.2100406143809768E-2</v>
      </c>
      <c r="K269" s="26">
        <f t="shared" si="45"/>
        <v>-1.7543586054495075E-2</v>
      </c>
      <c r="L269" s="26">
        <f t="shared" si="46"/>
        <v>2.6229160610252489E-2</v>
      </c>
      <c r="M269" s="26">
        <f t="shared" si="47"/>
        <v>-4.3299173896480525E-3</v>
      </c>
      <c r="N269" s="26">
        <f t="shared" si="48"/>
        <v>5.9876104674107422E-2</v>
      </c>
      <c r="O269" s="26">
        <f t="shared" si="49"/>
        <v>8.3246341806535673E-2</v>
      </c>
    </row>
    <row r="270" spans="1:15" x14ac:dyDescent="0.25">
      <c r="A270" s="2">
        <v>45118</v>
      </c>
      <c r="B270">
        <v>104943</v>
      </c>
      <c r="C270">
        <v>109463</v>
      </c>
      <c r="D270">
        <v>508153</v>
      </c>
      <c r="F270">
        <f t="shared" si="40"/>
        <v>0.29673147798311278</v>
      </c>
      <c r="G270">
        <f t="shared" si="41"/>
        <v>0.22330619544568453</v>
      </c>
      <c r="H270">
        <f t="shared" si="42"/>
        <v>1.0430710004478623</v>
      </c>
      <c r="I270">
        <f t="shared" si="43"/>
        <v>-0.16238529385931932</v>
      </c>
      <c r="J270" s="26">
        <f t="shared" si="44"/>
        <v>-2.9931815289612695E-2</v>
      </c>
      <c r="K270" s="26">
        <f t="shared" si="45"/>
        <v>-1.3771739198456423E-2</v>
      </c>
      <c r="L270" s="26">
        <f t="shared" si="46"/>
        <v>2.9819885942483915E-2</v>
      </c>
      <c r="M270" s="26">
        <f t="shared" si="47"/>
        <v>1.266127320324828E-2</v>
      </c>
      <c r="N270" s="26">
        <f t="shared" si="48"/>
        <v>7.0065665590156367E-2</v>
      </c>
      <c r="O270" s="26">
        <f t="shared" si="49"/>
        <v>9.1598677843935938E-2</v>
      </c>
    </row>
    <row r="271" spans="1:15" x14ac:dyDescent="0.25">
      <c r="A271" s="2">
        <v>45117</v>
      </c>
      <c r="B271">
        <v>102443</v>
      </c>
      <c r="C271">
        <v>107463</v>
      </c>
      <c r="D271">
        <v>507111</v>
      </c>
      <c r="F271">
        <f t="shared" si="40"/>
        <v>0.2927489864257054</v>
      </c>
      <c r="G271">
        <f t="shared" si="41"/>
        <v>0.16109399275521619</v>
      </c>
      <c r="H271">
        <f t="shared" si="42"/>
        <v>1.0490028601270951</v>
      </c>
      <c r="I271">
        <f t="shared" si="43"/>
        <v>-0.10603942508816734</v>
      </c>
      <c r="J271" s="26">
        <f t="shared" si="44"/>
        <v>-2.8119262843477988E-2</v>
      </c>
      <c r="K271" s="26">
        <f t="shared" si="45"/>
        <v>-1.0148490471263316E-2</v>
      </c>
      <c r="L271" s="26">
        <f t="shared" si="46"/>
        <v>3.3010864597120382E-2</v>
      </c>
      <c r="M271" s="26">
        <f t="shared" si="47"/>
        <v>2.9876978762547024E-2</v>
      </c>
      <c r="N271" s="26">
        <f t="shared" si="48"/>
        <v>8.0062823371041869E-2</v>
      </c>
      <c r="O271" s="26">
        <f t="shared" si="49"/>
        <v>0.10014566316268469</v>
      </c>
    </row>
    <row r="272" spans="1:15" x14ac:dyDescent="0.25">
      <c r="A272" s="2">
        <v>45114</v>
      </c>
      <c r="B272">
        <v>101268</v>
      </c>
      <c r="C272">
        <v>106363</v>
      </c>
      <c r="D272">
        <v>505534</v>
      </c>
      <c r="F272">
        <f t="shared" si="40"/>
        <v>0.29114019897218735</v>
      </c>
      <c r="G272">
        <f t="shared" si="41"/>
        <v>0.13493140386709454</v>
      </c>
      <c r="H272">
        <f t="shared" si="42"/>
        <v>1.0503120432910693</v>
      </c>
      <c r="I272">
        <f t="shared" si="43"/>
        <v>-9.4661400209932758E-2</v>
      </c>
      <c r="J272" s="26">
        <f t="shared" si="44"/>
        <v>-2.6109501465073626E-2</v>
      </c>
      <c r="K272" s="26">
        <f t="shared" si="45"/>
        <v>-7.8320216219538441E-3</v>
      </c>
      <c r="L272" s="26">
        <f t="shared" si="46"/>
        <v>3.6422383355799948E-2</v>
      </c>
      <c r="M272" s="26">
        <f t="shared" si="47"/>
        <v>4.809690372214237E-2</v>
      </c>
      <c r="N272" s="26">
        <f t="shared" si="48"/>
        <v>9.4375461734836685E-2</v>
      </c>
      <c r="O272" s="26">
        <f t="shared" si="49"/>
        <v>0.1091930353983801</v>
      </c>
    </row>
    <row r="273" spans="1:15" x14ac:dyDescent="0.25">
      <c r="A273" s="2">
        <v>45113</v>
      </c>
      <c r="B273">
        <v>101368</v>
      </c>
      <c r="C273">
        <v>103538</v>
      </c>
      <c r="D273">
        <v>514250</v>
      </c>
      <c r="F273">
        <f t="shared" si="40"/>
        <v>0.28492566286035298</v>
      </c>
      <c r="G273">
        <f t="shared" si="41"/>
        <v>3.8312271376741334E-2</v>
      </c>
      <c r="H273">
        <f t="shared" si="42"/>
        <v>1.0214071501854629</v>
      </c>
      <c r="I273">
        <f t="shared" si="43"/>
        <v>-0.4049762562448217</v>
      </c>
      <c r="J273" s="26">
        <f t="shared" si="44"/>
        <v>-2.4071870842243381E-2</v>
      </c>
      <c r="K273" s="26">
        <f t="shared" si="45"/>
        <v>-5.3677788315568686E-3</v>
      </c>
      <c r="L273" s="26">
        <f t="shared" si="46"/>
        <v>3.9870961858433862E-2</v>
      </c>
      <c r="M273" s="26">
        <f t="shared" si="47"/>
        <v>6.5832209002801845E-2</v>
      </c>
      <c r="N273" s="26">
        <f t="shared" si="48"/>
        <v>0.10865126901060651</v>
      </c>
      <c r="O273" s="26">
        <f t="shared" si="49"/>
        <v>0.11788344184032207</v>
      </c>
    </row>
    <row r="274" spans="1:15" x14ac:dyDescent="0.25">
      <c r="A274" s="2">
        <v>45112</v>
      </c>
      <c r="B274">
        <v>94341</v>
      </c>
      <c r="C274">
        <v>105413</v>
      </c>
      <c r="D274">
        <v>504975</v>
      </c>
      <c r="F274">
        <f t="shared" si="40"/>
        <v>0.28344796368533154</v>
      </c>
      <c r="G274">
        <f t="shared" si="41"/>
        <v>1.3816073688047862E-2</v>
      </c>
      <c r="H274">
        <f t="shared" si="42"/>
        <v>1.1173614865222967</v>
      </c>
      <c r="I274">
        <f t="shared" si="43"/>
        <v>0.60099422949868297</v>
      </c>
      <c r="J274" s="26">
        <f t="shared" si="44"/>
        <v>-2.1929347284084411E-2</v>
      </c>
      <c r="K274" s="26">
        <f t="shared" si="45"/>
        <v>-2.7345549688435611E-3</v>
      </c>
      <c r="L274" s="26">
        <f t="shared" si="46"/>
        <v>4.3506117044291193E-2</v>
      </c>
      <c r="M274" s="26">
        <f t="shared" si="47"/>
        <v>8.3128329681657398E-2</v>
      </c>
      <c r="N274" s="26">
        <f t="shared" si="48"/>
        <v>0.12250517897154478</v>
      </c>
      <c r="O274" s="26">
        <f t="shared" si="49"/>
        <v>0.12653675988523672</v>
      </c>
    </row>
    <row r="275" spans="1:15" x14ac:dyDescent="0.25">
      <c r="A275" s="2">
        <v>45111</v>
      </c>
      <c r="B275">
        <v>94346</v>
      </c>
      <c r="C275">
        <v>105438</v>
      </c>
      <c r="D275">
        <v>503001</v>
      </c>
      <c r="F275">
        <f t="shared" si="40"/>
        <v>0.28427470705834645</v>
      </c>
      <c r="G275">
        <f t="shared" si="41"/>
        <v>2.4404015249631341E-2</v>
      </c>
      <c r="H275">
        <f t="shared" si="42"/>
        <v>1.1175672524537341</v>
      </c>
      <c r="I275">
        <f t="shared" si="43"/>
        <v>0.58242418369350957</v>
      </c>
      <c r="J275" s="26">
        <f t="shared" si="44"/>
        <v>-1.9982042837140279E-2</v>
      </c>
      <c r="K275" s="26">
        <f t="shared" si="45"/>
        <v>-2.1892169086790148E-4</v>
      </c>
      <c r="L275" s="26">
        <f t="shared" si="46"/>
        <v>4.7034907097812995E-2</v>
      </c>
      <c r="M275" s="26">
        <f t="shared" si="47"/>
        <v>9.5554117507041347E-2</v>
      </c>
      <c r="N275" s="26">
        <f t="shared" si="48"/>
        <v>0.13092562160235399</v>
      </c>
      <c r="O275" s="26">
        <f t="shared" si="49"/>
        <v>0.13017090663828057</v>
      </c>
    </row>
    <row r="276" spans="1:15" x14ac:dyDescent="0.25">
      <c r="A276" s="2">
        <v>45110</v>
      </c>
      <c r="B276">
        <v>93121</v>
      </c>
      <c r="C276">
        <v>105063</v>
      </c>
      <c r="D276">
        <v>500031</v>
      </c>
      <c r="F276">
        <f t="shared" si="40"/>
        <v>0.2838438016943205</v>
      </c>
      <c r="G276">
        <f t="shared" si="41"/>
        <v>1.5899593984438493E-2</v>
      </c>
      <c r="H276">
        <f t="shared" si="42"/>
        <v>1.1282417499812072</v>
      </c>
      <c r="I276">
        <f t="shared" si="43"/>
        <v>0.67669612802914392</v>
      </c>
      <c r="J276" s="26">
        <f t="shared" si="44"/>
        <v>-1.7967173361436328E-2</v>
      </c>
      <c r="K276" s="26">
        <f t="shared" si="45"/>
        <v>2.4242549916294043E-3</v>
      </c>
      <c r="L276" s="26">
        <f t="shared" si="46"/>
        <v>5.0598367205935302E-2</v>
      </c>
      <c r="M276" s="26">
        <f t="shared" si="47"/>
        <v>0.10715207853899678</v>
      </c>
      <c r="N276" s="26">
        <f t="shared" si="48"/>
        <v>0.13890815134625711</v>
      </c>
      <c r="O276" s="26">
        <f t="shared" si="49"/>
        <v>0.13330885973941298</v>
      </c>
    </row>
    <row r="277" spans="1:15" x14ac:dyDescent="0.25">
      <c r="A277" s="2">
        <v>45107</v>
      </c>
      <c r="B277">
        <v>93121</v>
      </c>
      <c r="C277">
        <v>105063</v>
      </c>
      <c r="D277">
        <v>499417</v>
      </c>
      <c r="F277">
        <f t="shared" si="40"/>
        <v>0.28409362945293942</v>
      </c>
      <c r="G277">
        <f t="shared" si="41"/>
        <v>1.7699704316709943E-2</v>
      </c>
      <c r="H277">
        <f t="shared" si="42"/>
        <v>1.1282417499812072</v>
      </c>
      <c r="I277">
        <f t="shared" si="43"/>
        <v>0.66385066553452798</v>
      </c>
      <c r="J277" s="26">
        <f t="shared" si="44"/>
        <v>-1.5891788245787686E-2</v>
      </c>
      <c r="K277" s="26">
        <f t="shared" si="45"/>
        <v>5.097567407707948E-3</v>
      </c>
      <c r="L277" s="26">
        <f t="shared" si="46"/>
        <v>5.4150673838221586E-2</v>
      </c>
      <c r="M277" s="26">
        <f t="shared" si="47"/>
        <v>0.11779955718308477</v>
      </c>
      <c r="N277" s="26">
        <f t="shared" si="48"/>
        <v>0.14582187604507446</v>
      </c>
      <c r="O277" s="26">
        <f t="shared" si="49"/>
        <v>0.13521615210688287</v>
      </c>
    </row>
    <row r="278" spans="1:15" x14ac:dyDescent="0.25">
      <c r="A278" s="2">
        <v>45106</v>
      </c>
      <c r="B278">
        <v>93121</v>
      </c>
      <c r="C278">
        <v>105063</v>
      </c>
      <c r="D278">
        <v>496725</v>
      </c>
      <c r="F278">
        <f t="shared" si="40"/>
        <v>0.28519417650368611</v>
      </c>
      <c r="G278">
        <f t="shared" si="41"/>
        <v>3.2554001797996716E-2</v>
      </c>
      <c r="H278">
        <f t="shared" si="42"/>
        <v>1.1282417499812072</v>
      </c>
      <c r="I278">
        <f t="shared" si="43"/>
        <v>0.6512933799258821</v>
      </c>
      <c r="J278" s="26">
        <f t="shared" si="44"/>
        <v>-1.3825786023498099E-2</v>
      </c>
      <c r="K278" s="26">
        <f t="shared" si="45"/>
        <v>7.7699721989580861E-3</v>
      </c>
      <c r="L278" s="26">
        <f t="shared" si="46"/>
        <v>5.7681084793610726E-2</v>
      </c>
      <c r="M278" s="26">
        <f t="shared" si="47"/>
        <v>0.12887412266565734</v>
      </c>
      <c r="N278" s="26">
        <f t="shared" si="48"/>
        <v>0.15332957677752801</v>
      </c>
      <c r="O278" s="26">
        <f t="shared" si="49"/>
        <v>0.13722833274926827</v>
      </c>
    </row>
    <row r="279" spans="1:15" x14ac:dyDescent="0.25">
      <c r="A279" s="2">
        <v>45105</v>
      </c>
      <c r="B279">
        <v>82821</v>
      </c>
      <c r="C279">
        <v>104638</v>
      </c>
      <c r="D279">
        <v>493162</v>
      </c>
      <c r="F279">
        <f t="shared" si="40"/>
        <v>0.2754234735631137</v>
      </c>
      <c r="G279">
        <f t="shared" si="41"/>
        <v>-0.11801511188572274</v>
      </c>
      <c r="H279">
        <f t="shared" si="42"/>
        <v>1.263423527849217</v>
      </c>
      <c r="I279">
        <f t="shared" si="43"/>
        <v>1.9974010022152056</v>
      </c>
      <c r="J279" s="26">
        <f t="shared" si="44"/>
        <v>-1.1553038614386113E-2</v>
      </c>
      <c r="K279" s="26">
        <f t="shared" si="45"/>
        <v>1.0585749121204413E-2</v>
      </c>
      <c r="L279" s="26">
        <f t="shared" si="46"/>
        <v>6.1274925863662538E-2</v>
      </c>
      <c r="M279" s="26">
        <f t="shared" si="47"/>
        <v>0.13903266213774246</v>
      </c>
      <c r="N279" s="26">
        <f t="shared" si="48"/>
        <v>0.15979618056133948</v>
      </c>
      <c r="O279" s="26">
        <f t="shared" si="49"/>
        <v>0.13842874187450982</v>
      </c>
    </row>
    <row r="280" spans="1:15" x14ac:dyDescent="0.25">
      <c r="A280" s="2">
        <v>45104</v>
      </c>
      <c r="B280">
        <v>82821</v>
      </c>
      <c r="C280">
        <v>102788</v>
      </c>
      <c r="D280">
        <v>490030</v>
      </c>
      <c r="F280">
        <f t="shared" si="40"/>
        <v>0.27471623159705111</v>
      </c>
      <c r="G280">
        <f t="shared" si="41"/>
        <v>-0.13113006377544903</v>
      </c>
      <c r="H280">
        <f t="shared" si="42"/>
        <v>1.2410861979449657</v>
      </c>
      <c r="I280">
        <f t="shared" si="43"/>
        <v>1.7883044225604339</v>
      </c>
      <c r="J280" s="26">
        <f t="shared" si="44"/>
        <v>-9.2584798892191844E-3</v>
      </c>
      <c r="K280" s="26">
        <f t="shared" si="45"/>
        <v>1.3542595173867078E-2</v>
      </c>
      <c r="L280" s="26">
        <f t="shared" si="46"/>
        <v>6.54883778337014E-2</v>
      </c>
      <c r="M280" s="26">
        <f t="shared" si="47"/>
        <v>0.13855871996047142</v>
      </c>
      <c r="N280" s="26">
        <f t="shared" si="48"/>
        <v>0.15710527384367912</v>
      </c>
      <c r="O280" s="26">
        <f t="shared" si="49"/>
        <v>0.13040784411471296</v>
      </c>
    </row>
    <row r="281" spans="1:15" x14ac:dyDescent="0.25">
      <c r="A281" s="2">
        <v>45103</v>
      </c>
      <c r="B281">
        <v>82821</v>
      </c>
      <c r="C281">
        <v>102688</v>
      </c>
      <c r="D281">
        <v>521589</v>
      </c>
      <c r="F281">
        <f t="shared" si="40"/>
        <v>0.26235260176100061</v>
      </c>
      <c r="G281">
        <f t="shared" si="41"/>
        <v>-0.32152537253065655</v>
      </c>
      <c r="H281">
        <f t="shared" si="42"/>
        <v>1.239878774706898</v>
      </c>
      <c r="I281">
        <f t="shared" si="43"/>
        <v>1.7836652369212236</v>
      </c>
      <c r="J281" s="26">
        <f t="shared" si="44"/>
        <v>-6.7882240799571059E-3</v>
      </c>
      <c r="K281" s="26">
        <f t="shared" si="45"/>
        <v>1.6723826381377649E-2</v>
      </c>
      <c r="L281" s="26">
        <f t="shared" si="46"/>
        <v>6.9807831427328354E-2</v>
      </c>
      <c r="M281" s="26">
        <f t="shared" si="47"/>
        <v>0.13851370497479909</v>
      </c>
      <c r="N281" s="26">
        <f t="shared" si="48"/>
        <v>0.155349169620008</v>
      </c>
      <c r="O281" s="26">
        <f t="shared" si="49"/>
        <v>0.12295716771450182</v>
      </c>
    </row>
    <row r="282" spans="1:15" x14ac:dyDescent="0.25">
      <c r="A282" s="2">
        <v>45100</v>
      </c>
      <c r="B282">
        <v>83221</v>
      </c>
      <c r="C282">
        <v>99638</v>
      </c>
      <c r="D282">
        <v>519544</v>
      </c>
      <c r="F282">
        <f t="shared" si="40"/>
        <v>0.26033345529560664</v>
      </c>
      <c r="G282">
        <f t="shared" si="41"/>
        <v>-0.35516864801914805</v>
      </c>
      <c r="H282">
        <f t="shared" si="42"/>
        <v>1.1972699198519605</v>
      </c>
      <c r="I282">
        <f t="shared" si="43"/>
        <v>1.3572239293569626</v>
      </c>
      <c r="J282" s="26">
        <f t="shared" si="44"/>
        <v>-3.8460949848715398E-3</v>
      </c>
      <c r="K282" s="26">
        <f t="shared" si="45"/>
        <v>2.0516529481684309E-2</v>
      </c>
      <c r="L282" s="26">
        <f t="shared" si="46"/>
        <v>7.4738963258778157E-2</v>
      </c>
      <c r="M282" s="26">
        <f t="shared" si="47"/>
        <v>0.13920151527902958</v>
      </c>
      <c r="N282" s="26">
        <f t="shared" si="48"/>
        <v>0.15347611252851512</v>
      </c>
      <c r="O282" s="26">
        <f t="shared" si="49"/>
        <v>0.11530689399638971</v>
      </c>
    </row>
    <row r="283" spans="1:15" x14ac:dyDescent="0.25">
      <c r="A283" s="2">
        <v>45099</v>
      </c>
      <c r="B283">
        <v>83446</v>
      </c>
      <c r="C283">
        <v>99639</v>
      </c>
      <c r="D283">
        <v>520492</v>
      </c>
      <c r="F283">
        <f t="shared" si="40"/>
        <v>0.26022027439782708</v>
      </c>
      <c r="G283">
        <f t="shared" si="41"/>
        <v>-0.3598854870342762</v>
      </c>
      <c r="H283">
        <f t="shared" si="42"/>
        <v>1.1940536394794239</v>
      </c>
      <c r="I283">
        <f t="shared" si="43"/>
        <v>1.3196746116930145</v>
      </c>
      <c r="J283" s="26">
        <f t="shared" si="44"/>
        <v>-5.800151768624584E-4</v>
      </c>
      <c r="K283" s="26">
        <f t="shared" si="45"/>
        <v>2.4584093353070435E-2</v>
      </c>
      <c r="L283" s="26">
        <f t="shared" si="46"/>
        <v>7.9915615435163706E-2</v>
      </c>
      <c r="M283" s="26">
        <f t="shared" si="47"/>
        <v>0.13884080668267162</v>
      </c>
      <c r="N283" s="26">
        <f t="shared" si="48"/>
        <v>0.15287266771759001</v>
      </c>
      <c r="O283" s="26">
        <f t="shared" si="49"/>
        <v>0.10898998504333024</v>
      </c>
    </row>
    <row r="284" spans="1:15" x14ac:dyDescent="0.25">
      <c r="A284" s="2">
        <v>45098</v>
      </c>
      <c r="B284">
        <v>82388</v>
      </c>
      <c r="C284">
        <v>98926</v>
      </c>
      <c r="D284">
        <v>518628</v>
      </c>
      <c r="F284">
        <f t="shared" si="40"/>
        <v>0.2590414634355418</v>
      </c>
      <c r="G284">
        <f t="shared" si="41"/>
        <v>-0.38085906124154645</v>
      </c>
      <c r="H284">
        <f t="shared" si="42"/>
        <v>1.2007331164732729</v>
      </c>
      <c r="I284">
        <f t="shared" si="43"/>
        <v>1.3818158448568623</v>
      </c>
      <c r="J284" s="26">
        <f t="shared" si="44"/>
        <v>2.9850680413098241E-3</v>
      </c>
      <c r="K284" s="26">
        <f t="shared" si="45"/>
        <v>2.8896668810552584E-2</v>
      </c>
      <c r="L284" s="26">
        <f t="shared" si="46"/>
        <v>8.3179104519171487E-2</v>
      </c>
      <c r="M284" s="26">
        <f t="shared" si="47"/>
        <v>0.13662622168880056</v>
      </c>
      <c r="N284" s="26">
        <f t="shared" si="48"/>
        <v>0.15124996537666302</v>
      </c>
      <c r="O284" s="26">
        <f t="shared" si="49"/>
        <v>0.10485604621839784</v>
      </c>
    </row>
    <row r="285" spans="1:15" x14ac:dyDescent="0.25">
      <c r="A285" s="2">
        <v>45097</v>
      </c>
      <c r="B285">
        <v>122306</v>
      </c>
      <c r="C285">
        <v>129873</v>
      </c>
      <c r="D285">
        <v>510637</v>
      </c>
      <c r="F285">
        <f t="shared" si="40"/>
        <v>0.33058955239533516</v>
      </c>
      <c r="G285">
        <f t="shared" si="41"/>
        <v>0.70005661992518542</v>
      </c>
      <c r="H285">
        <f t="shared" si="42"/>
        <v>1.0618694095138423</v>
      </c>
      <c r="I285">
        <f t="shared" si="43"/>
        <v>-2.4853337077578811E-2</v>
      </c>
      <c r="J285" s="26">
        <f t="shared" si="44"/>
        <v>7.54485500876656E-3</v>
      </c>
      <c r="K285" s="26">
        <f t="shared" si="45"/>
        <v>3.3218778611221411E-2</v>
      </c>
      <c r="L285" s="26">
        <f t="shared" si="46"/>
        <v>8.6429056248161662E-2</v>
      </c>
      <c r="M285" s="26">
        <f t="shared" si="47"/>
        <v>0.13122230983312555</v>
      </c>
      <c r="N285" s="26">
        <f t="shared" si="48"/>
        <v>0.14741725335927636</v>
      </c>
      <c r="O285" s="26">
        <f t="shared" si="49"/>
        <v>9.8589487747276827E-2</v>
      </c>
    </row>
    <row r="286" spans="1:15" x14ac:dyDescent="0.25">
      <c r="A286" s="2">
        <v>45096</v>
      </c>
      <c r="B286">
        <v>120681</v>
      </c>
      <c r="C286">
        <v>131028</v>
      </c>
      <c r="D286">
        <v>509400</v>
      </c>
      <c r="F286">
        <f t="shared" si="40"/>
        <v>0.33071347205196627</v>
      </c>
      <c r="G286">
        <f t="shared" si="41"/>
        <v>0.69909882667371859</v>
      </c>
      <c r="H286">
        <f t="shared" si="42"/>
        <v>1.0857384343848659</v>
      </c>
      <c r="I286">
        <f t="shared" si="43"/>
        <v>0.19696162529784234</v>
      </c>
      <c r="J286" s="26">
        <f t="shared" si="44"/>
        <v>7.8543966077446736E-3</v>
      </c>
      <c r="K286" s="26">
        <f t="shared" si="45"/>
        <v>3.3646252827670198E-2</v>
      </c>
      <c r="L286" s="26">
        <f t="shared" si="46"/>
        <v>8.5790577458853462E-2</v>
      </c>
      <c r="M286" s="26">
        <f t="shared" si="47"/>
        <v>0.13185088070775919</v>
      </c>
      <c r="N286" s="26">
        <f t="shared" si="48"/>
        <v>0.15035145949715267</v>
      </c>
      <c r="O286" s="26">
        <f t="shared" si="49"/>
        <v>9.8815709345894565E-2</v>
      </c>
    </row>
    <row r="287" spans="1:15" x14ac:dyDescent="0.25">
      <c r="A287" s="2">
        <v>45093</v>
      </c>
      <c r="B287">
        <v>119651</v>
      </c>
      <c r="C287">
        <v>132731</v>
      </c>
      <c r="D287">
        <v>504614</v>
      </c>
      <c r="F287">
        <f t="shared" si="40"/>
        <v>0.33339938388049606</v>
      </c>
      <c r="G287">
        <f t="shared" si="41"/>
        <v>0.73685441130409535</v>
      </c>
      <c r="H287">
        <f t="shared" si="42"/>
        <v>1.1093179329884413</v>
      </c>
      <c r="I287">
        <f t="shared" si="43"/>
        <v>0.40951774382362338</v>
      </c>
      <c r="J287" s="26">
        <f t="shared" si="44"/>
        <v>8.3395342908643144E-3</v>
      </c>
      <c r="K287" s="26">
        <f t="shared" si="45"/>
        <v>3.4110703105791118E-2</v>
      </c>
      <c r="L287" s="26">
        <f t="shared" si="46"/>
        <v>8.5224037404980413E-2</v>
      </c>
      <c r="M287" s="26">
        <f t="shared" si="47"/>
        <v>0.1310282616984475</v>
      </c>
      <c r="N287" s="26">
        <f t="shared" si="48"/>
        <v>0.15186660555304077</v>
      </c>
      <c r="O287" s="26">
        <f t="shared" si="49"/>
        <v>9.793239456014935E-2</v>
      </c>
    </row>
    <row r="288" spans="1:15" x14ac:dyDescent="0.25">
      <c r="A288" s="2">
        <v>45092</v>
      </c>
      <c r="B288">
        <v>116736</v>
      </c>
      <c r="C288">
        <v>133566</v>
      </c>
      <c r="D288">
        <v>501650</v>
      </c>
      <c r="F288">
        <f t="shared" si="40"/>
        <v>0.33286965125433537</v>
      </c>
      <c r="G288">
        <f t="shared" si="41"/>
        <v>0.72609813844942617</v>
      </c>
      <c r="H288">
        <f t="shared" si="42"/>
        <v>1.1441714638157894</v>
      </c>
      <c r="I288">
        <f t="shared" si="43"/>
        <v>0.72044184870163386</v>
      </c>
      <c r="J288" s="26">
        <f t="shared" si="44"/>
        <v>8.8262767516011364E-3</v>
      </c>
      <c r="K288" s="26">
        <f t="shared" si="45"/>
        <v>3.4626417189360381E-2</v>
      </c>
      <c r="L288" s="26">
        <f t="shared" si="46"/>
        <v>8.4546577801758616E-2</v>
      </c>
      <c r="M288" s="26">
        <f t="shared" si="47"/>
        <v>0.12746727431498606</v>
      </c>
      <c r="N288" s="26">
        <f t="shared" si="48"/>
        <v>0.15136972754907274</v>
      </c>
      <c r="O288" s="26">
        <f t="shared" si="49"/>
        <v>9.5450254483750552E-2</v>
      </c>
    </row>
    <row r="289" spans="1:15" x14ac:dyDescent="0.25">
      <c r="A289" s="2">
        <v>45091</v>
      </c>
      <c r="B289">
        <v>112736</v>
      </c>
      <c r="C289">
        <v>134311</v>
      </c>
      <c r="D289">
        <v>496534</v>
      </c>
      <c r="F289">
        <f t="shared" si="40"/>
        <v>0.33223952736823559</v>
      </c>
      <c r="G289">
        <f t="shared" si="41"/>
        <v>0.71376704140846436</v>
      </c>
      <c r="H289">
        <f t="shared" si="42"/>
        <v>1.1913763128015895</v>
      </c>
      <c r="I289">
        <f t="shared" si="43"/>
        <v>1.142912679257138</v>
      </c>
      <c r="J289" s="26">
        <f t="shared" si="44"/>
        <v>9.4735531292586828E-3</v>
      </c>
      <c r="K289" s="26">
        <f t="shared" si="45"/>
        <v>3.5243160997850964E-2</v>
      </c>
      <c r="L289" s="26">
        <f t="shared" si="46"/>
        <v>8.3952713906779608E-2</v>
      </c>
      <c r="M289" s="26">
        <f t="shared" si="47"/>
        <v>0.12344687186244707</v>
      </c>
      <c r="N289" s="26">
        <f t="shared" si="48"/>
        <v>0.149457991381172</v>
      </c>
      <c r="O289" s="26">
        <f t="shared" si="49"/>
        <v>9.1421862907282714E-2</v>
      </c>
    </row>
    <row r="290" spans="1:15" x14ac:dyDescent="0.25">
      <c r="A290" s="2">
        <v>45090</v>
      </c>
      <c r="B290">
        <v>108986</v>
      </c>
      <c r="C290">
        <v>133161</v>
      </c>
      <c r="D290">
        <v>498988</v>
      </c>
      <c r="F290">
        <f t="shared" si="40"/>
        <v>0.32672455085780594</v>
      </c>
      <c r="G290">
        <f t="shared" si="41"/>
        <v>0.62789113610033975</v>
      </c>
      <c r="H290">
        <f t="shared" si="42"/>
        <v>1.2218174811443672</v>
      </c>
      <c r="I290">
        <f t="shared" si="43"/>
        <v>1.4486742934690067</v>
      </c>
      <c r="J290" s="26">
        <f t="shared" si="44"/>
        <v>1.0326321394502957E-2</v>
      </c>
      <c r="K290" s="26">
        <f t="shared" si="45"/>
        <v>3.5976969107255785E-2</v>
      </c>
      <c r="L290" s="26">
        <f t="shared" si="46"/>
        <v>8.3455408965352113E-2</v>
      </c>
      <c r="M290" s="26">
        <f t="shared" si="47"/>
        <v>0.11609892880057759</v>
      </c>
      <c r="N290" s="26">
        <f t="shared" si="48"/>
        <v>0.14332307339957073</v>
      </c>
      <c r="O290" s="26">
        <f t="shared" si="49"/>
        <v>8.3875134374721272E-2</v>
      </c>
    </row>
    <row r="291" spans="1:15" x14ac:dyDescent="0.25">
      <c r="A291" s="2">
        <v>45089</v>
      </c>
      <c r="B291">
        <v>109361</v>
      </c>
      <c r="C291">
        <v>133617</v>
      </c>
      <c r="D291">
        <v>497872</v>
      </c>
      <c r="F291">
        <f t="shared" si="40"/>
        <v>0.3279719241411892</v>
      </c>
      <c r="G291">
        <f t="shared" si="41"/>
        <v>0.6434383909285607</v>
      </c>
      <c r="H291">
        <f t="shared" si="42"/>
        <v>1.2217975329413593</v>
      </c>
      <c r="I291">
        <f t="shared" si="43"/>
        <v>1.4748650977870981</v>
      </c>
      <c r="J291" s="26">
        <f t="shared" si="44"/>
        <v>1.1368006989444401E-2</v>
      </c>
      <c r="K291" s="26">
        <f t="shared" si="45"/>
        <v>3.7007746823915666E-2</v>
      </c>
      <c r="L291" s="26">
        <f t="shared" si="46"/>
        <v>8.3201206573548681E-2</v>
      </c>
      <c r="M291" s="26">
        <f t="shared" si="47"/>
        <v>0.10841079177196256</v>
      </c>
      <c r="N291" s="26">
        <f t="shared" si="48"/>
        <v>0.13612539384335864</v>
      </c>
      <c r="O291" s="26">
        <f t="shared" si="49"/>
        <v>7.5471125209376932E-2</v>
      </c>
    </row>
    <row r="292" spans="1:15" x14ac:dyDescent="0.25">
      <c r="A292" s="2">
        <v>45086</v>
      </c>
      <c r="B292">
        <v>109056</v>
      </c>
      <c r="C292">
        <v>134752</v>
      </c>
      <c r="D292">
        <v>498365</v>
      </c>
      <c r="F292">
        <f t="shared" si="40"/>
        <v>0.32850561796238881</v>
      </c>
      <c r="G292">
        <f t="shared" si="41"/>
        <v>0.64821510562258344</v>
      </c>
      <c r="H292">
        <f t="shared" si="42"/>
        <v>1.2356220657276995</v>
      </c>
      <c r="I292">
        <f t="shared" si="43"/>
        <v>1.6344354166195392</v>
      </c>
      <c r="J292" s="26">
        <f t="shared" si="44"/>
        <v>1.2341016229914903E-2</v>
      </c>
      <c r="K292" s="26">
        <f t="shared" si="45"/>
        <v>3.801228425100811E-2</v>
      </c>
      <c r="L292" s="26">
        <f t="shared" si="46"/>
        <v>8.2917905850563772E-2</v>
      </c>
      <c r="M292" s="26">
        <f t="shared" si="47"/>
        <v>0.10042780241989058</v>
      </c>
      <c r="N292" s="26">
        <f t="shared" si="48"/>
        <v>0.12915956282247654</v>
      </c>
      <c r="O292" s="26">
        <f t="shared" si="49"/>
        <v>6.6635324897319714E-2</v>
      </c>
    </row>
    <row r="293" spans="1:15" x14ac:dyDescent="0.25">
      <c r="A293" s="2">
        <v>45085</v>
      </c>
      <c r="B293">
        <v>108806</v>
      </c>
      <c r="C293">
        <v>133877</v>
      </c>
      <c r="D293">
        <v>497600</v>
      </c>
      <c r="F293">
        <f t="shared" si="40"/>
        <v>0.32782462922963246</v>
      </c>
      <c r="G293">
        <f t="shared" si="41"/>
        <v>0.63489492293919259</v>
      </c>
      <c r="H293">
        <f t="shared" si="42"/>
        <v>1.2304192783486205</v>
      </c>
      <c r="I293">
        <f t="shared" si="43"/>
        <v>1.6177855266863266</v>
      </c>
      <c r="J293" s="26">
        <f t="shared" si="44"/>
        <v>1.3448862157904973E-2</v>
      </c>
      <c r="K293" s="26">
        <f t="shared" si="45"/>
        <v>3.9057377740833343E-2</v>
      </c>
      <c r="L293" s="26">
        <f t="shared" si="46"/>
        <v>8.2644716676268548E-2</v>
      </c>
      <c r="M293" s="26">
        <f t="shared" si="47"/>
        <v>9.1590135212090917E-2</v>
      </c>
      <c r="N293" s="26">
        <f t="shared" si="48"/>
        <v>0.12089818178421086</v>
      </c>
      <c r="O293" s="26">
        <f t="shared" si="49"/>
        <v>5.7047856812206366E-2</v>
      </c>
    </row>
    <row r="294" spans="1:15" x14ac:dyDescent="0.25">
      <c r="A294" s="2">
        <v>45084</v>
      </c>
      <c r="B294">
        <v>108806</v>
      </c>
      <c r="C294">
        <v>131157</v>
      </c>
      <c r="D294">
        <v>496313</v>
      </c>
      <c r="F294">
        <f t="shared" si="40"/>
        <v>0.32591446685753711</v>
      </c>
      <c r="G294">
        <f t="shared" si="41"/>
        <v>0.60317277586864204</v>
      </c>
      <c r="H294">
        <f t="shared" si="42"/>
        <v>1.2054206569490653</v>
      </c>
      <c r="I294">
        <f t="shared" si="43"/>
        <v>1.4073256606702225</v>
      </c>
      <c r="J294" s="26">
        <f t="shared" si="44"/>
        <v>1.4728189041496753E-2</v>
      </c>
      <c r="K294" s="26">
        <f t="shared" si="45"/>
        <v>4.012384516715084E-2</v>
      </c>
      <c r="L294" s="26">
        <f t="shared" si="46"/>
        <v>8.2387750534618887E-2</v>
      </c>
      <c r="M294" s="26">
        <f t="shared" si="47"/>
        <v>8.1955801483242219E-2</v>
      </c>
      <c r="N294" s="26">
        <f t="shared" si="48"/>
        <v>0.11272147217789408</v>
      </c>
      <c r="O294" s="26">
        <f t="shared" si="49"/>
        <v>4.76187550307694E-2</v>
      </c>
    </row>
    <row r="295" spans="1:15" x14ac:dyDescent="0.25">
      <c r="A295" s="2">
        <v>45083</v>
      </c>
      <c r="B295">
        <v>107983</v>
      </c>
      <c r="C295">
        <v>129307</v>
      </c>
      <c r="D295">
        <v>497762</v>
      </c>
      <c r="F295">
        <f t="shared" si="40"/>
        <v>0.32282069839956901</v>
      </c>
      <c r="G295">
        <f t="shared" si="41"/>
        <v>0.55371530960441506</v>
      </c>
      <c r="H295">
        <f t="shared" si="42"/>
        <v>1.1974755285554208</v>
      </c>
      <c r="I295">
        <f t="shared" si="43"/>
        <v>1.354751856077878</v>
      </c>
      <c r="J295" s="26">
        <f t="shared" si="44"/>
        <v>1.6207910417626425E-2</v>
      </c>
      <c r="K295" s="26">
        <f t="shared" si="45"/>
        <v>4.1271811141921799E-2</v>
      </c>
      <c r="L295" s="26">
        <f t="shared" si="46"/>
        <v>8.2286514635878799E-2</v>
      </c>
      <c r="M295" s="26">
        <f t="shared" si="47"/>
        <v>7.1389222011544629E-2</v>
      </c>
      <c r="N295" s="26">
        <f t="shared" si="48"/>
        <v>0.10468078290771854</v>
      </c>
      <c r="O295" s="26">
        <f t="shared" si="49"/>
        <v>3.8634574987586934E-2</v>
      </c>
    </row>
    <row r="296" spans="1:15" x14ac:dyDescent="0.25">
      <c r="A296" s="2">
        <v>45082</v>
      </c>
      <c r="B296">
        <v>108658</v>
      </c>
      <c r="C296">
        <v>129182</v>
      </c>
      <c r="D296">
        <v>495938</v>
      </c>
      <c r="F296">
        <f t="shared" si="40"/>
        <v>0.3241307316381794</v>
      </c>
      <c r="G296">
        <f t="shared" si="41"/>
        <v>0.56981047773414895</v>
      </c>
      <c r="H296">
        <f t="shared" si="42"/>
        <v>1.1888862301901379</v>
      </c>
      <c r="I296">
        <f t="shared" si="43"/>
        <v>1.293464486693598</v>
      </c>
      <c r="J296" s="26">
        <f t="shared" si="44"/>
        <v>1.7767477060622872E-2</v>
      </c>
      <c r="K296" s="26">
        <f t="shared" si="45"/>
        <v>4.2578205200973163E-2</v>
      </c>
      <c r="L296" s="26">
        <f t="shared" si="46"/>
        <v>8.2282569490540053E-2</v>
      </c>
      <c r="M296" s="26">
        <f t="shared" si="47"/>
        <v>5.9478392539437763E-2</v>
      </c>
      <c r="N296" s="26">
        <f t="shared" si="48"/>
        <v>9.6467316140543491E-2</v>
      </c>
      <c r="O296" s="26">
        <f t="shared" si="49"/>
        <v>2.9516941862604673E-2</v>
      </c>
    </row>
    <row r="297" spans="1:15" x14ac:dyDescent="0.25">
      <c r="A297" s="2">
        <v>45079</v>
      </c>
      <c r="B297">
        <v>109033</v>
      </c>
      <c r="C297">
        <v>128237</v>
      </c>
      <c r="D297">
        <v>495784</v>
      </c>
      <c r="F297">
        <f t="shared" si="40"/>
        <v>0.32367329009868306</v>
      </c>
      <c r="G297">
        <f t="shared" si="41"/>
        <v>0.55960650279437241</v>
      </c>
      <c r="H297">
        <f t="shared" si="42"/>
        <v>1.1761301624278888</v>
      </c>
      <c r="I297">
        <f t="shared" si="43"/>
        <v>1.1880091759539162</v>
      </c>
      <c r="J297" s="26">
        <f t="shared" si="44"/>
        <v>1.9303733547228363E-2</v>
      </c>
      <c r="K297" s="26">
        <f t="shared" si="45"/>
        <v>4.3880500096463826E-2</v>
      </c>
      <c r="L297" s="26">
        <f t="shared" si="46"/>
        <v>8.2245603520517352E-2</v>
      </c>
      <c r="M297" s="26">
        <f t="shared" si="47"/>
        <v>4.7816589051247416E-2</v>
      </c>
      <c r="N297" s="26">
        <f t="shared" si="48"/>
        <v>8.747594346372678E-2</v>
      </c>
      <c r="O297" s="26">
        <f t="shared" si="49"/>
        <v>2.0828994001131029E-2</v>
      </c>
    </row>
    <row r="298" spans="1:15" x14ac:dyDescent="0.25">
      <c r="A298" s="2">
        <v>45078</v>
      </c>
      <c r="B298">
        <v>108713</v>
      </c>
      <c r="C298">
        <v>128062</v>
      </c>
      <c r="D298">
        <v>495083</v>
      </c>
      <c r="F298">
        <f t="shared" si="40"/>
        <v>0.32352587523809262</v>
      </c>
      <c r="G298">
        <f t="shared" si="41"/>
        <v>0.55399388184298304</v>
      </c>
      <c r="H298">
        <f t="shared" si="42"/>
        <v>1.1779823940099161</v>
      </c>
      <c r="I298">
        <f t="shared" si="43"/>
        <v>1.2230372924417992</v>
      </c>
      <c r="J298" s="26">
        <f t="shared" si="44"/>
        <v>2.062927170272727E-2</v>
      </c>
      <c r="K298" s="26">
        <f t="shared" si="45"/>
        <v>4.4458095000296349E-2</v>
      </c>
      <c r="L298" s="26">
        <f t="shared" si="46"/>
        <v>8.213560440990117E-2</v>
      </c>
      <c r="M298" s="26">
        <f t="shared" si="47"/>
        <v>3.5731435790222976E-2</v>
      </c>
      <c r="N298" s="26">
        <f t="shared" si="48"/>
        <v>7.8115054026460906E-2</v>
      </c>
      <c r="O298" s="26">
        <f t="shared" si="49"/>
        <v>1.176955794755008E-2</v>
      </c>
    </row>
    <row r="299" spans="1:15" x14ac:dyDescent="0.25">
      <c r="A299" s="2">
        <v>45077</v>
      </c>
      <c r="B299">
        <v>107943</v>
      </c>
      <c r="C299">
        <v>125442</v>
      </c>
      <c r="D299">
        <v>483521</v>
      </c>
      <c r="F299">
        <f t="shared" si="40"/>
        <v>0.32554477156000927</v>
      </c>
      <c r="G299">
        <f t="shared" si="41"/>
        <v>0.58045277003587148</v>
      </c>
      <c r="H299">
        <f t="shared" si="42"/>
        <v>1.1621133375948418</v>
      </c>
      <c r="I299">
        <f t="shared" si="43"/>
        <v>1.0797666232322107</v>
      </c>
      <c r="J299" s="26">
        <f t="shared" si="44"/>
        <v>2.1807117481480398E-2</v>
      </c>
      <c r="K299" s="26">
        <f t="shared" si="45"/>
        <v>4.5047731643579392E-2</v>
      </c>
      <c r="L299" s="26">
        <f t="shared" si="46"/>
        <v>8.2001506592801809E-2</v>
      </c>
      <c r="M299" s="26">
        <f t="shared" si="47"/>
        <v>2.2988879624634029E-2</v>
      </c>
      <c r="N299" s="26">
        <f t="shared" si="48"/>
        <v>6.8404392428761507E-2</v>
      </c>
      <c r="O299" s="26">
        <f t="shared" si="49"/>
        <v>2.2717670050169669E-3</v>
      </c>
    </row>
    <row r="300" spans="1:15" x14ac:dyDescent="0.25">
      <c r="A300" s="2">
        <v>45076</v>
      </c>
      <c r="B300">
        <v>106918</v>
      </c>
      <c r="C300">
        <v>119992</v>
      </c>
      <c r="D300">
        <v>480143</v>
      </c>
      <c r="F300">
        <f t="shared" si="40"/>
        <v>0.32092360827264715</v>
      </c>
      <c r="G300">
        <f t="shared" si="41"/>
        <v>0.50885438704259411</v>
      </c>
      <c r="H300">
        <f t="shared" si="42"/>
        <v>1.122280626274341</v>
      </c>
      <c r="I300">
        <f t="shared" si="43"/>
        <v>0.69032947671004696</v>
      </c>
      <c r="J300" s="26">
        <f t="shared" si="44"/>
        <v>2.2868997637694399E-2</v>
      </c>
      <c r="K300" s="26">
        <f t="shared" si="45"/>
        <v>4.6012584001840051E-2</v>
      </c>
      <c r="L300" s="26">
        <f t="shared" si="46"/>
        <v>8.1688926200696121E-2</v>
      </c>
      <c r="M300" s="26">
        <f t="shared" si="47"/>
        <v>1.0036020091571674E-2</v>
      </c>
      <c r="N300" s="26">
        <f t="shared" si="48"/>
        <v>5.9011143063764759E-2</v>
      </c>
      <c r="O300" s="26">
        <f t="shared" si="49"/>
        <v>-7.2208005223270977E-3</v>
      </c>
    </row>
    <row r="301" spans="1:15" x14ac:dyDescent="0.25">
      <c r="A301" s="2">
        <v>45075</v>
      </c>
      <c r="B301">
        <v>107193</v>
      </c>
      <c r="C301">
        <v>119542</v>
      </c>
      <c r="D301">
        <v>477155</v>
      </c>
      <c r="F301">
        <f t="shared" si="40"/>
        <v>0.32211709215928624</v>
      </c>
      <c r="G301">
        <f t="shared" si="41"/>
        <v>0.52278899747008134</v>
      </c>
      <c r="H301">
        <f t="shared" si="42"/>
        <v>1.1152034181336468</v>
      </c>
      <c r="I301">
        <f t="shared" si="43"/>
        <v>0.62366186347426456</v>
      </c>
      <c r="J301" s="26">
        <f t="shared" si="44"/>
        <v>2.4196609888065823E-2</v>
      </c>
      <c r="K301" s="26">
        <f t="shared" si="45"/>
        <v>4.7275623900557673E-2</v>
      </c>
      <c r="L301" s="26">
        <f t="shared" si="46"/>
        <v>8.1596413689785208E-2</v>
      </c>
      <c r="M301" s="26">
        <f t="shared" si="47"/>
        <v>-5.1069763753908148E-5</v>
      </c>
      <c r="N301" s="26">
        <f t="shared" si="48"/>
        <v>5.2020334643035793E-2</v>
      </c>
      <c r="O301" s="26">
        <f t="shared" si="49"/>
        <v>-1.4373195166634378E-2</v>
      </c>
    </row>
    <row r="302" spans="1:15" x14ac:dyDescent="0.25">
      <c r="A302" s="2">
        <v>45072</v>
      </c>
      <c r="B302">
        <v>107193</v>
      </c>
      <c r="C302">
        <v>119542</v>
      </c>
      <c r="D302">
        <v>477259</v>
      </c>
      <c r="F302">
        <f t="shared" si="40"/>
        <v>0.32206950627420122</v>
      </c>
      <c r="G302">
        <f t="shared" si="41"/>
        <v>0.51844885674661534</v>
      </c>
      <c r="H302">
        <f t="shared" si="42"/>
        <v>1.1152034181336468</v>
      </c>
      <c r="I302">
        <f t="shared" si="43"/>
        <v>0.62794043468243654</v>
      </c>
      <c r="J302" s="26">
        <f t="shared" si="44"/>
        <v>2.565033614596568E-2</v>
      </c>
      <c r="K302" s="26">
        <f t="shared" si="45"/>
        <v>4.85694012252742E-2</v>
      </c>
      <c r="L302" s="26">
        <f t="shared" si="46"/>
        <v>8.141469241585822E-2</v>
      </c>
      <c r="M302" s="26">
        <f t="shared" si="47"/>
        <v>-7.4962087542986833E-3</v>
      </c>
      <c r="N302" s="26">
        <f t="shared" si="48"/>
        <v>4.4671948529462435E-2</v>
      </c>
      <c r="O302" s="26">
        <f t="shared" si="49"/>
        <v>-2.1268834278770132E-2</v>
      </c>
    </row>
    <row r="303" spans="1:15" x14ac:dyDescent="0.25">
      <c r="A303" s="2">
        <v>45071</v>
      </c>
      <c r="B303">
        <v>108292</v>
      </c>
      <c r="C303">
        <v>119242</v>
      </c>
      <c r="D303">
        <v>473661</v>
      </c>
      <c r="F303">
        <f t="shared" si="40"/>
        <v>0.32449461276820285</v>
      </c>
      <c r="G303">
        <f t="shared" si="41"/>
        <v>0.55042756316772645</v>
      </c>
      <c r="H303">
        <f t="shared" si="42"/>
        <v>1.1011155025301962</v>
      </c>
      <c r="I303">
        <f t="shared" si="43"/>
        <v>0.4896192523376513</v>
      </c>
      <c r="J303" s="26">
        <f t="shared" si="44"/>
        <v>2.9604648349398743E-2</v>
      </c>
      <c r="K303" s="26">
        <f t="shared" si="45"/>
        <v>5.0041131207028466E-2</v>
      </c>
      <c r="L303" s="26">
        <f t="shared" si="46"/>
        <v>8.1392770150292199E-2</v>
      </c>
      <c r="M303" s="26">
        <f t="shared" si="47"/>
        <v>-1.628171108874632E-2</v>
      </c>
      <c r="N303" s="26">
        <f t="shared" si="48"/>
        <v>3.616069480440165E-2</v>
      </c>
      <c r="O303" s="26">
        <f t="shared" si="49"/>
        <v>-2.9075171416994117E-2</v>
      </c>
    </row>
    <row r="304" spans="1:15" x14ac:dyDescent="0.25">
      <c r="A304" s="2">
        <v>45070</v>
      </c>
      <c r="B304">
        <v>109491</v>
      </c>
      <c r="C304">
        <v>118567</v>
      </c>
      <c r="D304">
        <v>467925</v>
      </c>
      <c r="F304">
        <f t="shared" si="40"/>
        <v>0.32767754384805375</v>
      </c>
      <c r="G304">
        <f t="shared" si="41"/>
        <v>0.59425254742052802</v>
      </c>
      <c r="H304">
        <f t="shared" si="42"/>
        <v>1.0828926578440237</v>
      </c>
      <c r="I304">
        <f t="shared" si="43"/>
        <v>0.3070083546615241</v>
      </c>
      <c r="J304" s="26">
        <f t="shared" si="44"/>
        <v>3.3590043602323927E-2</v>
      </c>
      <c r="K304" s="26">
        <f t="shared" si="45"/>
        <v>5.1418459621423496E-2</v>
      </c>
      <c r="L304" s="26">
        <f t="shared" si="46"/>
        <v>8.1276600420392975E-2</v>
      </c>
      <c r="M304" s="26">
        <f t="shared" si="47"/>
        <v>-2.1015456283540734E-2</v>
      </c>
      <c r="N304" s="26">
        <f t="shared" si="48"/>
        <v>3.0614868503339054E-2</v>
      </c>
      <c r="O304" s="26">
        <f t="shared" si="49"/>
        <v>-3.39800484301096E-2</v>
      </c>
    </row>
    <row r="305" spans="1:15" x14ac:dyDescent="0.25">
      <c r="A305" s="2">
        <v>45069</v>
      </c>
      <c r="B305">
        <v>109491</v>
      </c>
      <c r="C305">
        <v>115292</v>
      </c>
      <c r="D305">
        <v>463660</v>
      </c>
      <c r="F305">
        <f t="shared" si="40"/>
        <v>0.32650923896386486</v>
      </c>
      <c r="G305">
        <f t="shared" si="41"/>
        <v>0.57440026796592358</v>
      </c>
      <c r="H305">
        <f t="shared" si="42"/>
        <v>1.0529815235955466</v>
      </c>
      <c r="I305">
        <f t="shared" si="43"/>
        <v>3.5302204772067322E-3</v>
      </c>
      <c r="J305" s="26">
        <f t="shared" si="44"/>
        <v>3.7908733730019462E-2</v>
      </c>
      <c r="K305" s="26">
        <f t="shared" si="45"/>
        <v>5.6996517435316529E-2</v>
      </c>
      <c r="L305" s="26">
        <f t="shared" si="46"/>
        <v>8.1013640421695898E-2</v>
      </c>
      <c r="M305" s="26">
        <f t="shared" si="47"/>
        <v>-2.9115999228072509E-2</v>
      </c>
      <c r="N305" s="26">
        <f t="shared" si="48"/>
        <v>2.7954115340689922E-2</v>
      </c>
      <c r="O305" s="26">
        <f t="shared" si="49"/>
        <v>-3.7659071599625449E-2</v>
      </c>
    </row>
    <row r="306" spans="1:15" x14ac:dyDescent="0.25">
      <c r="A306" s="2">
        <v>45068</v>
      </c>
      <c r="B306">
        <v>109415</v>
      </c>
      <c r="C306">
        <v>115267</v>
      </c>
      <c r="D306">
        <v>481781</v>
      </c>
      <c r="F306">
        <f t="shared" si="40"/>
        <v>0.31803788733451011</v>
      </c>
      <c r="G306">
        <f t="shared" si="41"/>
        <v>0.44795278542142564</v>
      </c>
      <c r="H306">
        <f t="shared" si="42"/>
        <v>1.0534844399762373</v>
      </c>
      <c r="I306">
        <f t="shared" si="43"/>
        <v>5.8286053974707808E-3</v>
      </c>
      <c r="J306" s="26">
        <f t="shared" si="44"/>
        <v>4.0839966375134651E-2</v>
      </c>
      <c r="K306" s="26">
        <f t="shared" si="45"/>
        <v>6.1172101834894244E-2</v>
      </c>
      <c r="L306" s="26">
        <f t="shared" si="46"/>
        <v>7.9549506133167636E-2</v>
      </c>
      <c r="M306" s="26">
        <f t="shared" si="47"/>
        <v>-3.6454958660579351E-2</v>
      </c>
      <c r="N306" s="26">
        <f t="shared" si="48"/>
        <v>2.6764541989015567E-2</v>
      </c>
      <c r="O306" s="26">
        <f t="shared" si="49"/>
        <v>-3.9767805768939235E-2</v>
      </c>
    </row>
    <row r="307" spans="1:15" x14ac:dyDescent="0.25">
      <c r="A307" s="2">
        <v>45065</v>
      </c>
      <c r="B307">
        <v>109102</v>
      </c>
      <c r="C307">
        <v>115217</v>
      </c>
      <c r="D307">
        <v>478545</v>
      </c>
      <c r="F307">
        <f t="shared" si="40"/>
        <v>0.31914993512258416</v>
      </c>
      <c r="G307">
        <f t="shared" si="41"/>
        <v>0.46109338253419191</v>
      </c>
      <c r="H307">
        <f t="shared" si="42"/>
        <v>1.0560484684057121</v>
      </c>
      <c r="I307">
        <f t="shared" si="43"/>
        <v>2.8746056086504421E-2</v>
      </c>
      <c r="J307" s="26">
        <f t="shared" si="44"/>
        <v>4.0163748766732899E-2</v>
      </c>
      <c r="K307" s="26">
        <f t="shared" si="45"/>
        <v>6.1695815345072458E-2</v>
      </c>
      <c r="L307" s="26">
        <f t="shared" si="46"/>
        <v>7.8540302805977485E-2</v>
      </c>
      <c r="M307" s="26">
        <f t="shared" si="47"/>
        <v>-3.2714530475993264E-2</v>
      </c>
      <c r="N307" s="26">
        <f t="shared" si="48"/>
        <v>2.4145129302996504E-2</v>
      </c>
      <c r="O307" s="26">
        <f t="shared" si="49"/>
        <v>-4.108879153790701E-2</v>
      </c>
    </row>
    <row r="308" spans="1:15" x14ac:dyDescent="0.25">
      <c r="A308" s="2">
        <v>45064</v>
      </c>
      <c r="B308">
        <v>109402</v>
      </c>
      <c r="C308">
        <v>114824</v>
      </c>
      <c r="D308">
        <v>477394</v>
      </c>
      <c r="F308">
        <f t="shared" si="40"/>
        <v>0.31958325019241185</v>
      </c>
      <c r="G308">
        <f t="shared" si="41"/>
        <v>0.46444850248256814</v>
      </c>
      <c r="H308">
        <f t="shared" si="42"/>
        <v>1.0495603371053546</v>
      </c>
      <c r="I308">
        <f t="shared" si="43"/>
        <v>-4.0134211060355238E-2</v>
      </c>
      <c r="J308" s="26">
        <f t="shared" si="44"/>
        <v>3.9592077254933411E-2</v>
      </c>
      <c r="K308" s="26">
        <f t="shared" si="45"/>
        <v>6.2171056709789341E-2</v>
      </c>
      <c r="L308" s="26">
        <f t="shared" si="46"/>
        <v>7.7377831715268852E-2</v>
      </c>
      <c r="M308" s="26">
        <f t="shared" si="47"/>
        <v>-2.7002220772207597E-2</v>
      </c>
      <c r="N308" s="26">
        <f t="shared" si="48"/>
        <v>2.168831711967445E-2</v>
      </c>
      <c r="O308" s="26">
        <f t="shared" si="49"/>
        <v>-4.1880145314721506E-2</v>
      </c>
    </row>
    <row r="309" spans="1:15" x14ac:dyDescent="0.25">
      <c r="A309" s="2">
        <v>45063</v>
      </c>
      <c r="B309">
        <v>109777</v>
      </c>
      <c r="C309">
        <v>115424</v>
      </c>
      <c r="D309">
        <v>477094</v>
      </c>
      <c r="F309">
        <f t="shared" si="40"/>
        <v>0.32066439316811313</v>
      </c>
      <c r="G309">
        <f t="shared" si="41"/>
        <v>0.47710760125494062</v>
      </c>
      <c r="H309">
        <f t="shared" si="42"/>
        <v>1.0514406478588412</v>
      </c>
      <c r="I309">
        <f t="shared" si="43"/>
        <v>-2.5698475024859033E-2</v>
      </c>
      <c r="J309" s="26">
        <f t="shared" si="44"/>
        <v>3.8818286378451694E-2</v>
      </c>
      <c r="K309" s="26">
        <f t="shared" si="45"/>
        <v>6.2503500899827369E-2</v>
      </c>
      <c r="L309" s="26">
        <f t="shared" si="46"/>
        <v>7.6076295227229418E-2</v>
      </c>
      <c r="M309" s="26">
        <f t="shared" si="47"/>
        <v>-1.9416400219584684E-2</v>
      </c>
      <c r="N309" s="26">
        <f t="shared" si="48"/>
        <v>2.0451085390448265E-2</v>
      </c>
      <c r="O309" s="26">
        <f t="shared" si="49"/>
        <v>-4.1179198004913653E-2</v>
      </c>
    </row>
    <row r="310" spans="1:15" x14ac:dyDescent="0.25">
      <c r="A310" s="2">
        <v>45062</v>
      </c>
      <c r="B310">
        <v>111377</v>
      </c>
      <c r="C310">
        <v>114724</v>
      </c>
      <c r="D310">
        <v>477672</v>
      </c>
      <c r="F310">
        <f t="shared" si="40"/>
        <v>0.32126978443333293</v>
      </c>
      <c r="G310">
        <f t="shared" si="41"/>
        <v>0.4827207223976252</v>
      </c>
      <c r="H310">
        <f t="shared" si="42"/>
        <v>1.0300510877470215</v>
      </c>
      <c r="I310">
        <f t="shared" si="43"/>
        <v>-0.24493465909362988</v>
      </c>
      <c r="J310" s="26">
        <f t="shared" si="44"/>
        <v>3.7967289952887395E-2</v>
      </c>
      <c r="K310" s="26">
        <f t="shared" si="45"/>
        <v>6.2732809917262156E-2</v>
      </c>
      <c r="L310" s="26">
        <f t="shared" si="46"/>
        <v>7.4684867221195883E-2</v>
      </c>
      <c r="M310" s="26">
        <f t="shared" si="47"/>
        <v>-1.4879841538640193E-2</v>
      </c>
      <c r="N310" s="26">
        <f t="shared" si="48"/>
        <v>1.7456401493581186E-2</v>
      </c>
      <c r="O310" s="26">
        <f t="shared" si="49"/>
        <v>-4.171988695028328E-2</v>
      </c>
    </row>
    <row r="311" spans="1:15" x14ac:dyDescent="0.25">
      <c r="A311" s="2">
        <v>45061</v>
      </c>
      <c r="B311">
        <v>110223</v>
      </c>
      <c r="C311">
        <v>114873</v>
      </c>
      <c r="D311">
        <v>475737</v>
      </c>
      <c r="F311">
        <f t="shared" si="40"/>
        <v>0.321183505913677</v>
      </c>
      <c r="G311">
        <f t="shared" si="41"/>
        <v>0.4785293673458435</v>
      </c>
      <c r="H311">
        <f t="shared" si="42"/>
        <v>1.0421872023080483</v>
      </c>
      <c r="I311">
        <f t="shared" si="43"/>
        <v>-0.12661709355641879</v>
      </c>
      <c r="J311" s="26">
        <f t="shared" si="44"/>
        <v>3.7068169085842206E-2</v>
      </c>
      <c r="K311" s="26">
        <f t="shared" si="45"/>
        <v>6.2813702474013633E-2</v>
      </c>
      <c r="L311" s="26">
        <f t="shared" si="46"/>
        <v>7.3124081987837874E-2</v>
      </c>
      <c r="M311" s="26">
        <f t="shared" si="47"/>
        <v>-1.088147291604824E-2</v>
      </c>
      <c r="N311" s="26">
        <f t="shared" si="48"/>
        <v>1.4378122390390713E-2</v>
      </c>
      <c r="O311" s="26">
        <f t="shared" si="49"/>
        <v>-4.2362765563789706E-2</v>
      </c>
    </row>
    <row r="312" spans="1:15" x14ac:dyDescent="0.25">
      <c r="A312" s="2">
        <v>45058</v>
      </c>
      <c r="B312">
        <v>109888</v>
      </c>
      <c r="C312">
        <v>114173</v>
      </c>
      <c r="D312">
        <v>473625</v>
      </c>
      <c r="F312">
        <f t="shared" si="40"/>
        <v>0.32114876893043576</v>
      </c>
      <c r="G312">
        <f t="shared" si="41"/>
        <v>0.47508883786099376</v>
      </c>
      <c r="H312">
        <f t="shared" si="42"/>
        <v>1.0389942486895749</v>
      </c>
      <c r="I312">
        <f t="shared" si="43"/>
        <v>-0.16124942085865004</v>
      </c>
      <c r="J312" s="26">
        <f t="shared" si="44"/>
        <v>3.6409638474474981E-2</v>
      </c>
      <c r="K312" s="26">
        <f t="shared" si="45"/>
        <v>6.3307806119310445E-2</v>
      </c>
      <c r="L312" s="26">
        <f t="shared" si="46"/>
        <v>7.1617067699079245E-2</v>
      </c>
      <c r="M312" s="26">
        <f t="shared" si="47"/>
        <v>-6.6355497088115278E-3</v>
      </c>
      <c r="N312" s="26">
        <f t="shared" si="48"/>
        <v>1.0607638547950105E-2</v>
      </c>
      <c r="O312" s="26">
        <f t="shared" si="49"/>
        <v>-4.3562710513607827E-2</v>
      </c>
    </row>
    <row r="313" spans="1:15" x14ac:dyDescent="0.25">
      <c r="A313" s="2">
        <v>45057</v>
      </c>
      <c r="B313">
        <v>110088</v>
      </c>
      <c r="C313">
        <v>114450</v>
      </c>
      <c r="D313">
        <v>472661</v>
      </c>
      <c r="F313">
        <f t="shared" si="40"/>
        <v>0.32205726055258255</v>
      </c>
      <c r="G313">
        <f t="shared" si="41"/>
        <v>0.485283629628458</v>
      </c>
      <c r="H313">
        <f t="shared" si="42"/>
        <v>1.0396228471768041</v>
      </c>
      <c r="I313">
        <f t="shared" si="43"/>
        <v>-0.15694733414293754</v>
      </c>
      <c r="J313" s="26">
        <f t="shared" si="44"/>
        <v>3.581974361990381E-2</v>
      </c>
      <c r="K313" s="26">
        <f t="shared" si="45"/>
        <v>6.3976216287321697E-2</v>
      </c>
      <c r="L313" s="26">
        <f t="shared" si="46"/>
        <v>7.0103314632276204E-2</v>
      </c>
      <c r="M313" s="26">
        <f t="shared" si="47"/>
        <v>-9.9362768163957504E-4</v>
      </c>
      <c r="N313" s="26">
        <f t="shared" si="48"/>
        <v>8.6771440164150615E-3</v>
      </c>
      <c r="O313" s="26">
        <f t="shared" si="49"/>
        <v>-4.471706404839404E-2</v>
      </c>
    </row>
    <row r="314" spans="1:15" x14ac:dyDescent="0.25">
      <c r="A314" s="2">
        <v>45056</v>
      </c>
      <c r="B314">
        <v>109938</v>
      </c>
      <c r="C314">
        <v>114125</v>
      </c>
      <c r="D314">
        <v>472393</v>
      </c>
      <c r="F314">
        <f t="shared" si="40"/>
        <v>0.321718816407641</v>
      </c>
      <c r="G314">
        <f t="shared" si="41"/>
        <v>0.47758591191391292</v>
      </c>
      <c r="H314">
        <f t="shared" si="42"/>
        <v>1.0380851025123252</v>
      </c>
      <c r="I314">
        <f t="shared" si="43"/>
        <v>-0.17460630186946463</v>
      </c>
      <c r="J314" s="26">
        <f t="shared" si="44"/>
        <v>3.5208703906871031E-2</v>
      </c>
      <c r="K314" s="26">
        <f t="shared" si="45"/>
        <v>6.4509072620349106E-2</v>
      </c>
      <c r="L314" s="26">
        <f t="shared" si="46"/>
        <v>6.8465547707686786E-2</v>
      </c>
      <c r="M314" s="26">
        <f t="shared" si="47"/>
        <v>5.1253567690678903E-3</v>
      </c>
      <c r="N314" s="26">
        <f t="shared" si="48"/>
        <v>7.1338935636788836E-3</v>
      </c>
      <c r="O314" s="26">
        <f t="shared" si="49"/>
        <v>-4.5863286243431389E-2</v>
      </c>
    </row>
    <row r="315" spans="1:15" x14ac:dyDescent="0.25">
      <c r="A315" s="2">
        <v>45055</v>
      </c>
      <c r="B315">
        <v>110087</v>
      </c>
      <c r="C315">
        <v>112973</v>
      </c>
      <c r="D315">
        <v>469866</v>
      </c>
      <c r="F315">
        <f t="shared" si="40"/>
        <v>0.32191027613338219</v>
      </c>
      <c r="G315">
        <f t="shared" si="41"/>
        <v>0.47748836740688344</v>
      </c>
      <c r="H315">
        <f t="shared" si="42"/>
        <v>1.0262156294567024</v>
      </c>
      <c r="I315">
        <f t="shared" si="43"/>
        <v>-0.29687964359405133</v>
      </c>
      <c r="J315" s="26">
        <f t="shared" si="44"/>
        <v>3.421353913403824E-2</v>
      </c>
      <c r="K315" s="26">
        <f t="shared" si="45"/>
        <v>6.4838557224613874E-2</v>
      </c>
      <c r="L315" s="26">
        <f t="shared" si="46"/>
        <v>6.6676435422240943E-2</v>
      </c>
      <c r="M315" s="26">
        <f t="shared" si="47"/>
        <v>1.2814329904990096E-2</v>
      </c>
      <c r="N315" s="26">
        <f t="shared" si="48"/>
        <v>6.58650265936922E-3</v>
      </c>
      <c r="O315" s="26">
        <f t="shared" si="49"/>
        <v>-4.5973549639090949E-2</v>
      </c>
    </row>
    <row r="316" spans="1:15" x14ac:dyDescent="0.25">
      <c r="A316" s="2">
        <v>45054</v>
      </c>
      <c r="B316">
        <v>109082</v>
      </c>
      <c r="C316">
        <v>110898</v>
      </c>
      <c r="D316">
        <v>464676</v>
      </c>
      <c r="F316">
        <f t="shared" si="40"/>
        <v>0.32130003972798016</v>
      </c>
      <c r="G316">
        <f t="shared" si="41"/>
        <v>0.46583955251847498</v>
      </c>
      <c r="H316">
        <f t="shared" si="42"/>
        <v>1.0166480262554776</v>
      </c>
      <c r="I316">
        <f t="shared" si="43"/>
        <v>-0.39640328087044396</v>
      </c>
      <c r="J316" s="26">
        <f t="shared" si="44"/>
        <v>3.3327022825290764E-2</v>
      </c>
      <c r="K316" s="26">
        <f t="shared" si="45"/>
        <v>6.5180262860845911E-2</v>
      </c>
      <c r="L316" s="26">
        <f t="shared" si="46"/>
        <v>6.4766488068730782E-2</v>
      </c>
      <c r="M316" s="26">
        <f t="shared" si="47"/>
        <v>2.3944999926622357E-2</v>
      </c>
      <c r="N316" s="26">
        <f t="shared" si="48"/>
        <v>7.109900598551544E-3</v>
      </c>
      <c r="O316" s="26">
        <f t="shared" si="49"/>
        <v>-4.4335407516049807E-2</v>
      </c>
    </row>
    <row r="317" spans="1:15" x14ac:dyDescent="0.25">
      <c r="A317" s="2">
        <v>45051</v>
      </c>
      <c r="B317">
        <v>109082</v>
      </c>
      <c r="C317">
        <v>110898</v>
      </c>
      <c r="D317">
        <v>463879</v>
      </c>
      <c r="F317">
        <f t="shared" si="40"/>
        <v>0.32167449722822977</v>
      </c>
      <c r="G317">
        <f t="shared" si="41"/>
        <v>0.46833154606333322</v>
      </c>
      <c r="H317">
        <f t="shared" si="42"/>
        <v>1.0166480262554776</v>
      </c>
      <c r="I317">
        <f t="shared" si="43"/>
        <v>-0.39991922127307611</v>
      </c>
      <c r="J317" s="26">
        <f t="shared" si="44"/>
        <v>3.2557199588150676E-2</v>
      </c>
      <c r="K317" s="26">
        <f t="shared" si="45"/>
        <v>6.5675826410674737E-2</v>
      </c>
      <c r="L317" s="26">
        <f t="shared" si="46"/>
        <v>6.2894607076685816E-2</v>
      </c>
      <c r="M317" s="26">
        <f t="shared" si="47"/>
        <v>3.668885048640691E-2</v>
      </c>
      <c r="N317" s="26">
        <f t="shared" si="48"/>
        <v>9.9194431173841302E-3</v>
      </c>
      <c r="O317" s="26">
        <f t="shared" si="49"/>
        <v>-4.1287120619518669E-2</v>
      </c>
    </row>
    <row r="318" spans="1:15" x14ac:dyDescent="0.25">
      <c r="A318" s="2">
        <v>45050</v>
      </c>
      <c r="B318">
        <v>109128</v>
      </c>
      <c r="C318">
        <v>109174</v>
      </c>
      <c r="D318">
        <v>464063</v>
      </c>
      <c r="F318">
        <f t="shared" si="40"/>
        <v>0.31991969107442497</v>
      </c>
      <c r="G318">
        <f t="shared" si="41"/>
        <v>0.4404724202915708</v>
      </c>
      <c r="H318">
        <f t="shared" si="42"/>
        <v>1.0004215233487281</v>
      </c>
      <c r="I318">
        <f t="shared" si="43"/>
        <v>-0.56806987829392852</v>
      </c>
      <c r="J318" s="26">
        <f t="shared" si="44"/>
        <v>3.1815856734502934E-2</v>
      </c>
      <c r="K318" s="26">
        <f t="shared" si="45"/>
        <v>6.6193393465880851E-2</v>
      </c>
      <c r="L318" s="26">
        <f t="shared" si="46"/>
        <v>6.0997505758403042E-2</v>
      </c>
      <c r="M318" s="26">
        <f t="shared" si="47"/>
        <v>5.0187456794638874E-2</v>
      </c>
      <c r="N318" s="26">
        <f t="shared" si="48"/>
        <v>1.3438239701584642E-2</v>
      </c>
      <c r="O318" s="26">
        <f t="shared" si="49"/>
        <v>-3.8172102757130899E-2</v>
      </c>
    </row>
    <row r="319" spans="1:15" x14ac:dyDescent="0.25">
      <c r="A319" s="2">
        <v>45049</v>
      </c>
      <c r="B319">
        <v>109027</v>
      </c>
      <c r="C319">
        <v>108499</v>
      </c>
      <c r="D319">
        <v>463153</v>
      </c>
      <c r="F319">
        <f t="shared" si="40"/>
        <v>0.31957207435516594</v>
      </c>
      <c r="G319">
        <f t="shared" si="41"/>
        <v>0.43265771358736688</v>
      </c>
      <c r="H319">
        <f t="shared" si="42"/>
        <v>0.99515716290460166</v>
      </c>
      <c r="I319">
        <f t="shared" si="43"/>
        <v>-0.62788136135776484</v>
      </c>
      <c r="J319" s="26">
        <f t="shared" si="44"/>
        <v>3.137207199158043E-2</v>
      </c>
      <c r="K319" s="26">
        <f t="shared" si="45"/>
        <v>6.692305250326977E-2</v>
      </c>
      <c r="L319" s="26">
        <f t="shared" si="46"/>
        <v>5.9229396892596736E-2</v>
      </c>
      <c r="M319" s="26">
        <f t="shared" si="47"/>
        <v>6.3484884298379951E-2</v>
      </c>
      <c r="N319" s="26">
        <f t="shared" si="48"/>
        <v>1.6644984822921538E-2</v>
      </c>
      <c r="O319" s="26">
        <f t="shared" si="49"/>
        <v>-3.4980079855812862E-2</v>
      </c>
    </row>
    <row r="320" spans="1:15" x14ac:dyDescent="0.25">
      <c r="A320" s="2">
        <v>45048</v>
      </c>
      <c r="B320">
        <v>108277</v>
      </c>
      <c r="C320">
        <v>106399</v>
      </c>
      <c r="D320">
        <v>460050</v>
      </c>
      <c r="F320">
        <f t="shared" si="40"/>
        <v>0.318167671024979</v>
      </c>
      <c r="G320">
        <f t="shared" si="41"/>
        <v>0.40953505002014889</v>
      </c>
      <c r="H320">
        <f t="shared" si="42"/>
        <v>0.98265559629468857</v>
      </c>
      <c r="I320">
        <f t="shared" si="43"/>
        <v>-0.76380269793975231</v>
      </c>
      <c r="J320" s="26">
        <f t="shared" si="44"/>
        <v>3.1267776357282284E-2</v>
      </c>
      <c r="K320" s="26">
        <f t="shared" si="45"/>
        <v>6.7887176480976946E-2</v>
      </c>
      <c r="L320" s="26">
        <f t="shared" si="46"/>
        <v>5.7627751995369375E-2</v>
      </c>
      <c r="M320" s="26">
        <f t="shared" si="47"/>
        <v>7.7346070524734301E-2</v>
      </c>
      <c r="N320" s="26">
        <f t="shared" si="48"/>
        <v>2.031769484499768E-2</v>
      </c>
      <c r="O320" s="26">
        <f t="shared" si="49"/>
        <v>-3.1426130790359164E-2</v>
      </c>
    </row>
    <row r="321" spans="1:15" x14ac:dyDescent="0.25">
      <c r="A321" s="2">
        <v>45047</v>
      </c>
      <c r="B321">
        <v>108087</v>
      </c>
      <c r="C321">
        <v>107124</v>
      </c>
      <c r="D321">
        <v>461047</v>
      </c>
      <c r="F321">
        <f t="shared" si="40"/>
        <v>0.31823800975367389</v>
      </c>
      <c r="G321">
        <f t="shared" si="41"/>
        <v>0.40736731898450845</v>
      </c>
      <c r="H321">
        <f t="shared" si="42"/>
        <v>0.9910905104221599</v>
      </c>
      <c r="I321">
        <f t="shared" si="43"/>
        <v>-0.68949992417234796</v>
      </c>
      <c r="J321" s="26">
        <f t="shared" si="44"/>
        <v>3.1181408691064449E-2</v>
      </c>
      <c r="K321" s="26">
        <f t="shared" si="45"/>
        <v>6.8760366225930292E-2</v>
      </c>
      <c r="L321" s="26">
        <f t="shared" si="46"/>
        <v>5.5973228127681934E-2</v>
      </c>
      <c r="M321" s="26">
        <f t="shared" si="47"/>
        <v>9.1677081791151305E-2</v>
      </c>
      <c r="N321" s="26">
        <f t="shared" si="48"/>
        <v>2.4394766467622064E-2</v>
      </c>
      <c r="O321" s="26">
        <f t="shared" si="49"/>
        <v>-2.7561104079077969E-2</v>
      </c>
    </row>
    <row r="322" spans="1:15" x14ac:dyDescent="0.25">
      <c r="A322" s="2">
        <v>45044</v>
      </c>
      <c r="B322">
        <v>108177</v>
      </c>
      <c r="C322">
        <v>107124</v>
      </c>
      <c r="D322">
        <v>462508</v>
      </c>
      <c r="F322">
        <f t="shared" si="40"/>
        <v>0.31764258072701895</v>
      </c>
      <c r="G322">
        <f t="shared" si="41"/>
        <v>0.39566330048303783</v>
      </c>
      <c r="H322">
        <f t="shared" si="42"/>
        <v>0.99026595302143705</v>
      </c>
      <c r="I322">
        <f t="shared" si="43"/>
        <v>-0.70822023754470409</v>
      </c>
      <c r="J322" s="26">
        <f t="shared" si="44"/>
        <v>3.0933907602048727E-2</v>
      </c>
      <c r="K322" s="26">
        <f t="shared" si="45"/>
        <v>6.9653937056669224E-2</v>
      </c>
      <c r="L322" s="26">
        <f t="shared" si="46"/>
        <v>5.4328722840833316E-2</v>
      </c>
      <c r="M322" s="26">
        <f t="shared" si="47"/>
        <v>0.10407427255194068</v>
      </c>
      <c r="N322" s="26">
        <f t="shared" si="48"/>
        <v>2.7267532764308822E-2</v>
      </c>
      <c r="O322" s="26">
        <f t="shared" si="49"/>
        <v>-2.3658498888619706E-2</v>
      </c>
    </row>
    <row r="323" spans="1:15" x14ac:dyDescent="0.25">
      <c r="A323" s="2">
        <v>45043</v>
      </c>
      <c r="B323">
        <v>110512</v>
      </c>
      <c r="C323">
        <v>107869</v>
      </c>
      <c r="D323">
        <v>464056</v>
      </c>
      <c r="F323">
        <f t="shared" si="40"/>
        <v>0.32000169979060339</v>
      </c>
      <c r="G323">
        <f t="shared" si="41"/>
        <v>0.42592946149557909</v>
      </c>
      <c r="H323">
        <f t="shared" si="42"/>
        <v>0.97608404517156511</v>
      </c>
      <c r="I323">
        <f t="shared" si="43"/>
        <v>-0.86311136428788759</v>
      </c>
      <c r="J323" s="26">
        <f t="shared" si="44"/>
        <v>3.0637565539495148E-2</v>
      </c>
      <c r="K323" s="26">
        <f t="shared" si="45"/>
        <v>7.0273195422382473E-2</v>
      </c>
      <c r="L323" s="26">
        <f t="shared" si="46"/>
        <v>5.2411638989372233E-2</v>
      </c>
      <c r="M323" s="26">
        <f t="shared" si="47"/>
        <v>0.11050546036593623</v>
      </c>
      <c r="N323" s="26">
        <f t="shared" si="48"/>
        <v>2.7705301734498144E-2</v>
      </c>
      <c r="O323" s="26">
        <f t="shared" si="49"/>
        <v>-2.2634292627229824E-2</v>
      </c>
    </row>
    <row r="324" spans="1:15" x14ac:dyDescent="0.25">
      <c r="A324" s="2">
        <v>45042</v>
      </c>
      <c r="B324">
        <v>108089</v>
      </c>
      <c r="C324">
        <v>109444</v>
      </c>
      <c r="D324">
        <v>462113</v>
      </c>
      <c r="F324">
        <f t="shared" ref="F324:F387" si="50">IFERROR((C324+B324)/(B324+C324+D324),"")</f>
        <v>0.32006809427260663</v>
      </c>
      <c r="G324">
        <f t="shared" ref="G324:G387" si="51">(F324-AVERAGE(F324:F581))/_xlfn.STDEV.S(F324:F581)</f>
        <v>0.42785865504809845</v>
      </c>
      <c r="H324">
        <f t="shared" ref="H324:H387" si="52">IFERROR(C324/B324,"")</f>
        <v>1.012535965731943</v>
      </c>
      <c r="I324">
        <f t="shared" ref="I324:I387" si="53">IFERROR((H324-AVERAGE(H324:H451))/_xlfn.STDEV.S(H324:H451),"")</f>
        <v>-0.50505566967119442</v>
      </c>
      <c r="J324" s="26">
        <f t="shared" ref="J324:J387" si="54">AVERAGEA(F324:F344)-AVERAGE(F345:F365)</f>
        <v>2.5694974552979699E-2</v>
      </c>
      <c r="K324" s="26">
        <f t="shared" ref="K324:K387" si="55">AVERAGEA(F324:F344)-AVERAGE(F345:F400)</f>
        <v>6.7667843000255218E-2</v>
      </c>
      <c r="L324" s="26">
        <f t="shared" ref="L324:L387" si="56">AVERAGEA(F324:F344)-AVERAGE(F345:F457)</f>
        <v>4.7682344487216033E-2</v>
      </c>
      <c r="M324" s="26">
        <f t="shared" ref="M324:M387" si="57">AVERAGEA(H324:H344)-AVERAGE(H345:H365)</f>
        <v>0.11791596988584541</v>
      </c>
      <c r="N324" s="26">
        <f t="shared" ref="N324:N387" si="58">AVERAGEA(H324:H344)-AVERAGE(H345:H400)</f>
        <v>2.8363580956454859E-2</v>
      </c>
      <c r="O324" s="26">
        <f t="shared" ref="O324:O387" si="59">AVERAGEA(H324:H344)-AVERAGE(H345:H457)</f>
        <v>-2.0925616229031441E-2</v>
      </c>
    </row>
    <row r="325" spans="1:15" x14ac:dyDescent="0.25">
      <c r="A325" s="2">
        <v>45041</v>
      </c>
      <c r="B325">
        <v>107194</v>
      </c>
      <c r="C325">
        <v>109149</v>
      </c>
      <c r="D325">
        <v>459163</v>
      </c>
      <c r="F325">
        <f t="shared" si="50"/>
        <v>0.32026806571666278</v>
      </c>
      <c r="G325">
        <f t="shared" si="51"/>
        <v>0.42728806667560759</v>
      </c>
      <c r="H325">
        <f t="shared" si="52"/>
        <v>1.0182379610799113</v>
      </c>
      <c r="I325">
        <f t="shared" si="53"/>
        <v>-0.4564507097572893</v>
      </c>
      <c r="J325" s="26">
        <f t="shared" si="54"/>
        <v>2.0595192370994109E-2</v>
      </c>
      <c r="K325" s="26">
        <f t="shared" si="55"/>
        <v>6.4919475235181823E-2</v>
      </c>
      <c r="L325" s="26">
        <f t="shared" si="56"/>
        <v>4.2791321758680917E-2</v>
      </c>
      <c r="M325" s="26">
        <f t="shared" si="57"/>
        <v>0.12223922206420867</v>
      </c>
      <c r="N325" s="26">
        <f t="shared" si="58"/>
        <v>2.6935147655064329E-2</v>
      </c>
      <c r="O325" s="26">
        <f t="shared" si="59"/>
        <v>-2.0729313887137835E-2</v>
      </c>
    </row>
    <row r="326" spans="1:15" x14ac:dyDescent="0.25">
      <c r="A326" s="2">
        <v>45040</v>
      </c>
      <c r="B326">
        <v>105814</v>
      </c>
      <c r="C326">
        <v>107794</v>
      </c>
      <c r="D326">
        <v>502665</v>
      </c>
      <c r="F326">
        <f t="shared" si="50"/>
        <v>0.29822148817559785</v>
      </c>
      <c r="G326">
        <f t="shared" si="51"/>
        <v>0.11271054217302924</v>
      </c>
      <c r="H326">
        <f t="shared" si="52"/>
        <v>1.018712079686998</v>
      </c>
      <c r="I326">
        <f t="shared" si="53"/>
        <v>-0.46039346020360045</v>
      </c>
      <c r="J326" s="26">
        <f t="shared" si="54"/>
        <v>1.4660920473896888E-2</v>
      </c>
      <c r="K326" s="26">
        <f t="shared" si="55"/>
        <v>6.1725454460047124E-2</v>
      </c>
      <c r="L326" s="26">
        <f t="shared" si="56"/>
        <v>3.733574742186041E-2</v>
      </c>
      <c r="M326" s="26">
        <f t="shared" si="57"/>
        <v>0.13475865971482581</v>
      </c>
      <c r="N326" s="26">
        <f t="shared" si="58"/>
        <v>2.9495252282318862E-2</v>
      </c>
      <c r="O326" s="26">
        <f t="shared" si="59"/>
        <v>-1.5047002064886961E-2</v>
      </c>
    </row>
    <row r="327" spans="1:15" x14ac:dyDescent="0.25">
      <c r="A327" s="2">
        <v>45037</v>
      </c>
      <c r="B327">
        <v>105613</v>
      </c>
      <c r="C327">
        <v>108982</v>
      </c>
      <c r="D327">
        <v>503148</v>
      </c>
      <c r="F327">
        <f t="shared" si="50"/>
        <v>0.29898584869514577</v>
      </c>
      <c r="G327">
        <f t="shared" si="51"/>
        <v>0.11979256265511663</v>
      </c>
      <c r="H327">
        <f t="shared" si="52"/>
        <v>1.0318994820713359</v>
      </c>
      <c r="I327">
        <f t="shared" si="53"/>
        <v>-0.33537631981646487</v>
      </c>
      <c r="J327" s="26">
        <f t="shared" si="54"/>
        <v>8.5578072859432974E-3</v>
      </c>
      <c r="K327" s="26">
        <f t="shared" si="55"/>
        <v>5.872123436797802E-2</v>
      </c>
      <c r="L327" s="26">
        <f t="shared" si="56"/>
        <v>3.2146567354069844E-2</v>
      </c>
      <c r="M327" s="26">
        <f t="shared" si="57"/>
        <v>0.14984457051709377</v>
      </c>
      <c r="N327" s="26">
        <f t="shared" si="58"/>
        <v>3.3485755249181626E-2</v>
      </c>
      <c r="O327" s="26">
        <f t="shared" si="59"/>
        <v>-8.5358807070352594E-3</v>
      </c>
    </row>
    <row r="328" spans="1:15" x14ac:dyDescent="0.25">
      <c r="A328" s="2">
        <v>45036</v>
      </c>
      <c r="B328">
        <v>104186</v>
      </c>
      <c r="C328">
        <v>108732</v>
      </c>
      <c r="D328">
        <v>503017</v>
      </c>
      <c r="F328">
        <f t="shared" si="50"/>
        <v>0.2973985068476887</v>
      </c>
      <c r="G328">
        <f t="shared" si="51"/>
        <v>9.3779726793695214E-2</v>
      </c>
      <c r="H328">
        <f t="shared" si="52"/>
        <v>1.043633501622099</v>
      </c>
      <c r="I328">
        <f t="shared" si="53"/>
        <v>-0.21901679536301266</v>
      </c>
      <c r="J328" s="26">
        <f t="shared" si="54"/>
        <v>1.0602878981486596E-2</v>
      </c>
      <c r="K328" s="26">
        <f t="shared" si="55"/>
        <v>6.1364897482020925E-2</v>
      </c>
      <c r="L328" s="26">
        <f t="shared" si="56"/>
        <v>3.1783413734869148E-2</v>
      </c>
      <c r="M328" s="26">
        <f t="shared" si="57"/>
        <v>0.14279866480240921</v>
      </c>
      <c r="N328" s="26">
        <f t="shared" si="58"/>
        <v>2.3420916068726649E-2</v>
      </c>
      <c r="O328" s="26">
        <f t="shared" si="59"/>
        <v>-1.4296088593809708E-2</v>
      </c>
    </row>
    <row r="329" spans="1:15" x14ac:dyDescent="0.25">
      <c r="A329" s="2">
        <v>45035</v>
      </c>
      <c r="B329">
        <v>102023</v>
      </c>
      <c r="C329">
        <v>108612</v>
      </c>
      <c r="D329">
        <v>502064</v>
      </c>
      <c r="F329">
        <f t="shared" si="50"/>
        <v>0.29554552482885482</v>
      </c>
      <c r="G329">
        <f t="shared" si="51"/>
        <v>6.4017283727114543E-2</v>
      </c>
      <c r="H329">
        <f t="shared" si="52"/>
        <v>1.0645834762749575</v>
      </c>
      <c r="I329">
        <f t="shared" si="53"/>
        <v>-8.7159007847556515E-3</v>
      </c>
      <c r="J329" s="26">
        <f t="shared" si="54"/>
        <v>1.2135801876006769E-2</v>
      </c>
      <c r="K329" s="26">
        <f t="shared" si="55"/>
        <v>6.3656820147778015E-2</v>
      </c>
      <c r="L329" s="26">
        <f t="shared" si="56"/>
        <v>3.1126306968516593E-2</v>
      </c>
      <c r="M329" s="26">
        <f t="shared" si="57"/>
        <v>0.13307470554494549</v>
      </c>
      <c r="N329" s="26">
        <f t="shared" si="58"/>
        <v>1.1441130108662989E-2</v>
      </c>
      <c r="O329" s="26">
        <f t="shared" si="59"/>
        <v>-2.1764566280022102E-2</v>
      </c>
    </row>
    <row r="330" spans="1:15" x14ac:dyDescent="0.25">
      <c r="A330" s="2">
        <v>45034</v>
      </c>
      <c r="B330">
        <v>102948</v>
      </c>
      <c r="C330">
        <v>107389</v>
      </c>
      <c r="D330">
        <v>502993</v>
      </c>
      <c r="F330">
        <f t="shared" si="50"/>
        <v>0.29486633115108013</v>
      </c>
      <c r="G330">
        <f t="shared" si="51"/>
        <v>5.0778760248149535E-2</v>
      </c>
      <c r="H330">
        <f t="shared" si="52"/>
        <v>1.0431382834052143</v>
      </c>
      <c r="I330">
        <f t="shared" si="53"/>
        <v>-0.22709701181410627</v>
      </c>
      <c r="J330" s="26">
        <f t="shared" si="54"/>
        <v>1.3708323366428021E-2</v>
      </c>
      <c r="K330" s="26">
        <f t="shared" si="55"/>
        <v>6.6041912534761216E-2</v>
      </c>
      <c r="L330" s="26">
        <f t="shared" si="56"/>
        <v>3.0572737905105063E-2</v>
      </c>
      <c r="M330" s="26">
        <f t="shared" si="57"/>
        <v>0.12247523583687026</v>
      </c>
      <c r="N330" s="26">
        <f t="shared" si="58"/>
        <v>-9.3810221182155651E-4</v>
      </c>
      <c r="O330" s="26">
        <f t="shared" si="59"/>
        <v>-2.975173015685284E-2</v>
      </c>
    </row>
    <row r="331" spans="1:15" x14ac:dyDescent="0.25">
      <c r="A331" s="2">
        <v>45033</v>
      </c>
      <c r="B331">
        <v>102550</v>
      </c>
      <c r="C331">
        <v>104912</v>
      </c>
      <c r="D331">
        <v>502072</v>
      </c>
      <c r="F331">
        <f t="shared" si="50"/>
        <v>0.29239190792830222</v>
      </c>
      <c r="G331">
        <f t="shared" si="51"/>
        <v>-1.9402324291013129E-2</v>
      </c>
      <c r="H331">
        <f t="shared" si="52"/>
        <v>1.0230326669917114</v>
      </c>
      <c r="I331">
        <f t="shared" si="53"/>
        <v>-0.43264888576789484</v>
      </c>
      <c r="J331" s="26">
        <f t="shared" si="54"/>
        <v>1.5371426907405006E-2</v>
      </c>
      <c r="K331" s="26">
        <f t="shared" si="55"/>
        <v>6.8402797335199356E-2</v>
      </c>
      <c r="L331" s="26">
        <f t="shared" si="56"/>
        <v>3.0008486041360805E-2</v>
      </c>
      <c r="M331" s="26">
        <f t="shared" si="57"/>
        <v>0.11493250238357766</v>
      </c>
      <c r="N331" s="26">
        <f t="shared" si="58"/>
        <v>-1.1017733595415136E-2</v>
      </c>
      <c r="O331" s="26">
        <f t="shared" si="59"/>
        <v>-3.557881884796732E-2</v>
      </c>
    </row>
    <row r="332" spans="1:15" x14ac:dyDescent="0.25">
      <c r="A332" s="2">
        <v>45030</v>
      </c>
      <c r="B332">
        <v>102550</v>
      </c>
      <c r="C332">
        <v>105012</v>
      </c>
      <c r="D332">
        <v>498991</v>
      </c>
      <c r="F332">
        <f t="shared" si="50"/>
        <v>0.29376706347577608</v>
      </c>
      <c r="G332">
        <f t="shared" si="51"/>
        <v>-6.2367120196403199E-3</v>
      </c>
      <c r="H332">
        <f t="shared" si="52"/>
        <v>1.0240078010726474</v>
      </c>
      <c r="I332">
        <f t="shared" si="53"/>
        <v>-0.42522578360198393</v>
      </c>
      <c r="J332" s="26">
        <f t="shared" si="54"/>
        <v>1.6809674844543931E-2</v>
      </c>
      <c r="K332" s="26">
        <f t="shared" si="55"/>
        <v>7.0577846796664317E-2</v>
      </c>
      <c r="L332" s="26">
        <f t="shared" si="56"/>
        <v>2.9319364252728741E-2</v>
      </c>
      <c r="M332" s="26">
        <f t="shared" si="57"/>
        <v>0.10446589878043988</v>
      </c>
      <c r="N332" s="26">
        <f t="shared" si="58"/>
        <v>-2.0637288105467277E-2</v>
      </c>
      <c r="O332" s="26">
        <f t="shared" si="59"/>
        <v>-4.1053395618682931E-2</v>
      </c>
    </row>
    <row r="333" spans="1:15" x14ac:dyDescent="0.25">
      <c r="A333" s="2">
        <v>45029</v>
      </c>
      <c r="B333">
        <v>102250</v>
      </c>
      <c r="C333">
        <v>104687</v>
      </c>
      <c r="D333">
        <v>497188</v>
      </c>
      <c r="F333">
        <f t="shared" si="50"/>
        <v>0.29389241966980295</v>
      </c>
      <c r="G333">
        <f t="shared" si="51"/>
        <v>-7.8602722054048266E-3</v>
      </c>
      <c r="H333">
        <f t="shared" si="52"/>
        <v>1.0238337408312959</v>
      </c>
      <c r="I333">
        <f t="shared" si="53"/>
        <v>-0.42929965527416564</v>
      </c>
      <c r="J333" s="26">
        <f t="shared" si="54"/>
        <v>1.71934441605604E-2</v>
      </c>
      <c r="K333" s="26">
        <f t="shared" si="55"/>
        <v>7.2540564858676548E-2</v>
      </c>
      <c r="L333" s="26">
        <f t="shared" si="56"/>
        <v>2.8460834720633404E-2</v>
      </c>
      <c r="M333" s="26">
        <f t="shared" si="57"/>
        <v>9.2715673206157145E-2</v>
      </c>
      <c r="N333" s="26">
        <f t="shared" si="58"/>
        <v>-3.132077047365267E-2</v>
      </c>
      <c r="O333" s="26">
        <f t="shared" si="59"/>
        <v>-4.7658821478097746E-2</v>
      </c>
    </row>
    <row r="334" spans="1:15" x14ac:dyDescent="0.25">
      <c r="A334" s="2">
        <v>45028</v>
      </c>
      <c r="B334">
        <v>101011</v>
      </c>
      <c r="C334">
        <v>103962</v>
      </c>
      <c r="D334">
        <v>496163</v>
      </c>
      <c r="F334">
        <f t="shared" si="50"/>
        <v>0.29234413865498277</v>
      </c>
      <c r="G334">
        <f t="shared" si="51"/>
        <v>-2.9295232385903581E-2</v>
      </c>
      <c r="H334">
        <f t="shared" si="52"/>
        <v>1.0292146399897042</v>
      </c>
      <c r="I334">
        <f t="shared" si="53"/>
        <v>-0.3762105862152697</v>
      </c>
      <c r="J334" s="26">
        <f t="shared" si="54"/>
        <v>1.7563867817247614E-2</v>
      </c>
      <c r="K334" s="26">
        <f t="shared" si="55"/>
        <v>7.4409007071525479E-2</v>
      </c>
      <c r="L334" s="26">
        <f t="shared" si="56"/>
        <v>2.7530311444433381E-2</v>
      </c>
      <c r="M334" s="26">
        <f t="shared" si="57"/>
        <v>7.8674327359106733E-2</v>
      </c>
      <c r="N334" s="26">
        <f t="shared" si="58"/>
        <v>-4.3746701169158575E-2</v>
      </c>
      <c r="O334" s="26">
        <f t="shared" si="59"/>
        <v>-5.5667741530342818E-2</v>
      </c>
    </row>
    <row r="335" spans="1:15" x14ac:dyDescent="0.25">
      <c r="A335" s="2">
        <v>45027</v>
      </c>
      <c r="B335">
        <v>98311</v>
      </c>
      <c r="C335">
        <v>103037</v>
      </c>
      <c r="D335">
        <v>495968</v>
      </c>
      <c r="F335">
        <f t="shared" si="50"/>
        <v>0.28874713903022448</v>
      </c>
      <c r="G335">
        <f t="shared" si="51"/>
        <v>-7.5032964481157788E-2</v>
      </c>
      <c r="H335">
        <f t="shared" si="52"/>
        <v>1.0480719349818433</v>
      </c>
      <c r="I335">
        <f t="shared" si="53"/>
        <v>-0.18528024800009857</v>
      </c>
      <c r="J335" s="26">
        <f t="shared" si="54"/>
        <v>1.8252991392267159E-2</v>
      </c>
      <c r="K335" s="26">
        <f t="shared" si="55"/>
        <v>7.6112265971279736E-2</v>
      </c>
      <c r="L335" s="26">
        <f t="shared" si="56"/>
        <v>2.6475335300433916E-2</v>
      </c>
      <c r="M335" s="26">
        <f t="shared" si="57"/>
        <v>6.5401817585377886E-2</v>
      </c>
      <c r="N335" s="26">
        <f t="shared" si="58"/>
        <v>-5.6421266683363225E-2</v>
      </c>
      <c r="O335" s="26">
        <f t="shared" si="59"/>
        <v>-6.3804058210714221E-2</v>
      </c>
    </row>
    <row r="336" spans="1:15" x14ac:dyDescent="0.25">
      <c r="A336" s="2">
        <v>45022</v>
      </c>
      <c r="B336">
        <v>96011</v>
      </c>
      <c r="C336">
        <v>102627</v>
      </c>
      <c r="D336">
        <v>493886</v>
      </c>
      <c r="F336">
        <f t="shared" si="50"/>
        <v>0.28683193651050359</v>
      </c>
      <c r="G336">
        <f t="shared" si="51"/>
        <v>-0.10091907598182004</v>
      </c>
      <c r="H336">
        <f t="shared" si="52"/>
        <v>1.0689087708700045</v>
      </c>
      <c r="I336">
        <f t="shared" si="53"/>
        <v>2.7135664012583237E-2</v>
      </c>
      <c r="J336" s="26">
        <f t="shared" si="54"/>
        <v>1.9443649522745243E-2</v>
      </c>
      <c r="K336" s="26">
        <f t="shared" si="55"/>
        <v>7.8070013690696605E-2</v>
      </c>
      <c r="L336" s="26">
        <f t="shared" si="56"/>
        <v>2.5633446288039069E-2</v>
      </c>
      <c r="M336" s="26">
        <f t="shared" si="57"/>
        <v>5.1705305926726397E-2</v>
      </c>
      <c r="N336" s="26">
        <f t="shared" si="58"/>
        <v>-6.9399734287341808E-2</v>
      </c>
      <c r="O336" s="26">
        <f t="shared" si="59"/>
        <v>-7.2540278186476792E-2</v>
      </c>
    </row>
    <row r="337" spans="1:15" x14ac:dyDescent="0.25">
      <c r="A337" s="2">
        <v>45021</v>
      </c>
      <c r="B337">
        <v>95011</v>
      </c>
      <c r="C337">
        <v>103177</v>
      </c>
      <c r="D337">
        <v>492294</v>
      </c>
      <c r="F337">
        <f t="shared" si="50"/>
        <v>0.28702848155346555</v>
      </c>
      <c r="G337">
        <f t="shared" si="51"/>
        <v>-0.10197120402194861</v>
      </c>
      <c r="H337">
        <f t="shared" si="52"/>
        <v>1.0859479428697729</v>
      </c>
      <c r="I337">
        <f t="shared" si="53"/>
        <v>0.20293597011399253</v>
      </c>
      <c r="J337" s="26">
        <f t="shared" si="54"/>
        <v>2.0454385586546942E-2</v>
      </c>
      <c r="K337" s="26">
        <f t="shared" si="55"/>
        <v>8.0557230795598456E-2</v>
      </c>
      <c r="L337" s="26">
        <f t="shared" si="56"/>
        <v>2.4541607954469219E-2</v>
      </c>
      <c r="M337" s="26">
        <f t="shared" si="57"/>
        <v>3.3524254071442772E-2</v>
      </c>
      <c r="N337" s="26">
        <f t="shared" si="58"/>
        <v>-8.5695571363920475E-2</v>
      </c>
      <c r="O337" s="26">
        <f t="shared" si="59"/>
        <v>-8.3293380542150297E-2</v>
      </c>
    </row>
    <row r="338" spans="1:15" x14ac:dyDescent="0.25">
      <c r="A338" s="2">
        <v>45020</v>
      </c>
      <c r="B338">
        <v>94236</v>
      </c>
      <c r="C338">
        <v>102652</v>
      </c>
      <c r="D338">
        <v>489236</v>
      </c>
      <c r="F338">
        <f t="shared" si="50"/>
        <v>0.28695687659956509</v>
      </c>
      <c r="G338">
        <f t="shared" si="51"/>
        <v>-0.10605988296398008</v>
      </c>
      <c r="H338">
        <f t="shared" si="52"/>
        <v>1.0893076955728171</v>
      </c>
      <c r="I338">
        <f t="shared" si="53"/>
        <v>0.23935076883314135</v>
      </c>
      <c r="J338" s="26">
        <f t="shared" si="54"/>
        <v>2.1366553402739297E-2</v>
      </c>
      <c r="K338" s="26">
        <f t="shared" si="55"/>
        <v>8.294911326210741E-2</v>
      </c>
      <c r="L338" s="26">
        <f t="shared" si="56"/>
        <v>2.3362572901425627E-2</v>
      </c>
      <c r="M338" s="26">
        <f t="shared" si="57"/>
        <v>1.4837434708491193E-2</v>
      </c>
      <c r="N338" s="26">
        <f t="shared" si="58"/>
        <v>-0.10234722391768125</v>
      </c>
      <c r="O338" s="26">
        <f t="shared" si="59"/>
        <v>-9.4282358807488142E-2</v>
      </c>
    </row>
    <row r="339" spans="1:15" x14ac:dyDescent="0.25">
      <c r="A339" s="2">
        <v>45019</v>
      </c>
      <c r="B339">
        <v>94763</v>
      </c>
      <c r="C339">
        <v>102202</v>
      </c>
      <c r="D339">
        <v>486159</v>
      </c>
      <c r="F339">
        <f t="shared" si="50"/>
        <v>0.28832979078468918</v>
      </c>
      <c r="G339">
        <f t="shared" si="51"/>
        <v>-9.2912555664238783E-2</v>
      </c>
      <c r="H339">
        <f t="shared" si="52"/>
        <v>1.0785011027510738</v>
      </c>
      <c r="I339">
        <f t="shared" si="53"/>
        <v>0.12993519517533703</v>
      </c>
      <c r="J339" s="26">
        <f t="shared" si="54"/>
        <v>2.2217706338753584E-2</v>
      </c>
      <c r="K339" s="26">
        <f t="shared" si="55"/>
        <v>8.5323293264155359E-2</v>
      </c>
      <c r="L339" s="26">
        <f t="shared" si="56"/>
        <v>2.212518969933841E-2</v>
      </c>
      <c r="M339" s="26">
        <f t="shared" si="57"/>
        <v>-5.1246877296532434E-3</v>
      </c>
      <c r="N339" s="26">
        <f t="shared" si="58"/>
        <v>-0.12029119514142994</v>
      </c>
      <c r="O339" s="26">
        <f t="shared" si="59"/>
        <v>-0.10587541633540309</v>
      </c>
    </row>
    <row r="340" spans="1:15" x14ac:dyDescent="0.25">
      <c r="A340" s="2">
        <v>45016</v>
      </c>
      <c r="B340">
        <v>94638</v>
      </c>
      <c r="C340">
        <v>102202</v>
      </c>
      <c r="D340">
        <v>479857</v>
      </c>
      <c r="F340">
        <f t="shared" si="50"/>
        <v>0.29088351211842228</v>
      </c>
      <c r="G340">
        <f t="shared" si="51"/>
        <v>-6.5794269798646957E-2</v>
      </c>
      <c r="H340">
        <f t="shared" si="52"/>
        <v>1.0799256112766542</v>
      </c>
      <c r="I340">
        <f t="shared" si="53"/>
        <v>0.14490222534480482</v>
      </c>
      <c r="J340" s="26">
        <f t="shared" si="54"/>
        <v>3.5160334857410075E-2</v>
      </c>
      <c r="K340" s="26">
        <f t="shared" si="55"/>
        <v>8.7541234119900946E-2</v>
      </c>
      <c r="L340" s="26">
        <f t="shared" si="56"/>
        <v>2.0744800226294047E-2</v>
      </c>
      <c r="M340" s="26">
        <f t="shared" si="57"/>
        <v>-1.9919263327993542E-2</v>
      </c>
      <c r="N340" s="26">
        <f t="shared" si="58"/>
        <v>-0.13758745325910504</v>
      </c>
      <c r="O340" s="26">
        <f t="shared" si="59"/>
        <v>-0.11683602434274643</v>
      </c>
    </row>
    <row r="341" spans="1:15" x14ac:dyDescent="0.25">
      <c r="A341" s="2">
        <v>45015</v>
      </c>
      <c r="B341">
        <v>93913</v>
      </c>
      <c r="C341">
        <v>100976</v>
      </c>
      <c r="D341">
        <v>480657</v>
      </c>
      <c r="F341">
        <f t="shared" si="50"/>
        <v>0.28849108720945726</v>
      </c>
      <c r="G341">
        <f t="shared" si="51"/>
        <v>-9.6837271985874995E-2</v>
      </c>
      <c r="H341">
        <f t="shared" si="52"/>
        <v>1.075207905188845</v>
      </c>
      <c r="I341">
        <f t="shared" si="53"/>
        <v>9.8560608103672578E-2</v>
      </c>
      <c r="J341" s="26">
        <f t="shared" si="54"/>
        <v>4.7813516806852724E-2</v>
      </c>
      <c r="K341" s="26">
        <f t="shared" si="55"/>
        <v>8.5212649407192503E-2</v>
      </c>
      <c r="L341" s="26">
        <f t="shared" si="56"/>
        <v>1.9138673955595376E-2</v>
      </c>
      <c r="M341" s="26">
        <f t="shared" si="57"/>
        <v>-3.5704132830964852E-2</v>
      </c>
      <c r="N341" s="26">
        <f t="shared" si="58"/>
        <v>-0.14890437133309653</v>
      </c>
      <c r="O341" s="26">
        <f t="shared" si="59"/>
        <v>-0.12811932004317106</v>
      </c>
    </row>
    <row r="342" spans="1:15" x14ac:dyDescent="0.25">
      <c r="A342" s="2">
        <v>45014</v>
      </c>
      <c r="B342">
        <v>93588</v>
      </c>
      <c r="C342">
        <v>100301</v>
      </c>
      <c r="D342">
        <v>480103</v>
      </c>
      <c r="F342">
        <f t="shared" si="50"/>
        <v>0.28767255397690178</v>
      </c>
      <c r="G342">
        <f t="shared" si="51"/>
        <v>-0.10923552559097953</v>
      </c>
      <c r="H342">
        <f t="shared" si="52"/>
        <v>1.0717292815318202</v>
      </c>
      <c r="I342">
        <f t="shared" si="53"/>
        <v>6.3926401328446583E-2</v>
      </c>
      <c r="J342" s="26">
        <f t="shared" si="54"/>
        <v>4.8534811801515587E-2</v>
      </c>
      <c r="K342" s="26">
        <f t="shared" si="55"/>
        <v>8.2742295348919526E-2</v>
      </c>
      <c r="L342" s="26">
        <f t="shared" si="56"/>
        <v>1.7449666911570766E-2</v>
      </c>
      <c r="M342" s="26">
        <f t="shared" si="57"/>
        <v>-5.884023930123361E-2</v>
      </c>
      <c r="N342" s="26">
        <f t="shared" si="58"/>
        <v>-0.16069457111337992</v>
      </c>
      <c r="O342" s="26">
        <f t="shared" si="59"/>
        <v>-0.13975493612769563</v>
      </c>
    </row>
    <row r="343" spans="1:15" x14ac:dyDescent="0.25">
      <c r="A343" s="2">
        <v>45013</v>
      </c>
      <c r="B343">
        <v>95311</v>
      </c>
      <c r="C343">
        <v>97377</v>
      </c>
      <c r="D343">
        <v>489056</v>
      </c>
      <c r="F343">
        <f t="shared" si="50"/>
        <v>0.2826398178788519</v>
      </c>
      <c r="G343">
        <f t="shared" si="51"/>
        <v>-0.17116610924922387</v>
      </c>
      <c r="H343">
        <f t="shared" si="52"/>
        <v>1.021676406710663</v>
      </c>
      <c r="I343">
        <f t="shared" si="53"/>
        <v>-0.44480111246073339</v>
      </c>
      <c r="J343" s="26">
        <f t="shared" si="54"/>
        <v>4.977425668334276E-2</v>
      </c>
      <c r="K343" s="26">
        <f t="shared" si="55"/>
        <v>8.0418374533492959E-2</v>
      </c>
      <c r="L343" s="26">
        <f t="shared" si="56"/>
        <v>1.5886845909384273E-2</v>
      </c>
      <c r="M343" s="26">
        <f t="shared" si="57"/>
        <v>-8.0679073451972561E-2</v>
      </c>
      <c r="N343" s="26">
        <f t="shared" si="58"/>
        <v>-0.17095601007043493</v>
      </c>
      <c r="O343" s="26">
        <f t="shared" si="59"/>
        <v>-0.14976165486581439</v>
      </c>
    </row>
    <row r="344" spans="1:15" x14ac:dyDescent="0.25">
      <c r="A344" s="2">
        <v>45012</v>
      </c>
      <c r="B344">
        <v>95013</v>
      </c>
      <c r="C344">
        <v>97052</v>
      </c>
      <c r="D344">
        <v>625604</v>
      </c>
      <c r="F344">
        <f t="shared" si="50"/>
        <v>0.23489333703491266</v>
      </c>
      <c r="G344">
        <f t="shared" si="51"/>
        <v>-0.73380040925335099</v>
      </c>
      <c r="H344">
        <f t="shared" si="52"/>
        <v>1.0214602212328838</v>
      </c>
      <c r="I344">
        <f t="shared" si="53"/>
        <v>-0.45037982039790614</v>
      </c>
      <c r="J344" s="26">
        <f t="shared" si="54"/>
        <v>5.0407905439742551E-2</v>
      </c>
      <c r="K344" s="26">
        <f t="shared" si="55"/>
        <v>7.7806175950048934E-2</v>
      </c>
      <c r="L344" s="26">
        <f t="shared" si="56"/>
        <v>1.3914532617626041E-2</v>
      </c>
      <c r="M344" s="26">
        <f t="shared" si="57"/>
        <v>-9.8877314988659593E-2</v>
      </c>
      <c r="N344" s="26">
        <f t="shared" si="58"/>
        <v>-0.17735686599444944</v>
      </c>
      <c r="O344" s="26">
        <f t="shared" si="59"/>
        <v>-0.15600645942405167</v>
      </c>
    </row>
    <row r="345" spans="1:15" x14ac:dyDescent="0.25">
      <c r="A345" s="2">
        <v>45009</v>
      </c>
      <c r="B345">
        <v>94714</v>
      </c>
      <c r="C345">
        <v>96927</v>
      </c>
      <c r="D345">
        <v>634582</v>
      </c>
      <c r="F345">
        <f t="shared" si="50"/>
        <v>0.23194827546558253</v>
      </c>
      <c r="G345">
        <f t="shared" si="51"/>
        <v>-0.77288734812313797</v>
      </c>
      <c r="H345">
        <f t="shared" si="52"/>
        <v>1.0233650780243682</v>
      </c>
      <c r="I345">
        <f t="shared" si="53"/>
        <v>-0.43367934238385225</v>
      </c>
      <c r="J345" s="26">
        <f t="shared" si="54"/>
        <v>5.3267907486601346E-2</v>
      </c>
      <c r="K345" s="26">
        <f t="shared" si="55"/>
        <v>7.743351098095258E-2</v>
      </c>
      <c r="L345" s="26">
        <f t="shared" si="56"/>
        <v>1.419353536013912E-2</v>
      </c>
      <c r="M345" s="26">
        <f t="shared" si="57"/>
        <v>-0.1184579268143271</v>
      </c>
      <c r="N345" s="26">
        <f t="shared" si="58"/>
        <v>-0.18442143133628708</v>
      </c>
      <c r="O345" s="26">
        <f t="shared" si="59"/>
        <v>-0.16261595795615968</v>
      </c>
    </row>
    <row r="346" spans="1:15" x14ac:dyDescent="0.25">
      <c r="A346" s="2">
        <v>45008</v>
      </c>
      <c r="B346">
        <v>85323</v>
      </c>
      <c r="C346">
        <v>95877</v>
      </c>
      <c r="D346">
        <v>634406</v>
      </c>
      <c r="F346">
        <f t="shared" si="50"/>
        <v>0.22216609490366673</v>
      </c>
      <c r="G346">
        <f t="shared" si="51"/>
        <v>-0.89272317610692253</v>
      </c>
      <c r="H346">
        <f t="shared" si="52"/>
        <v>1.1236946661509792</v>
      </c>
      <c r="I346">
        <f t="shared" si="53"/>
        <v>0.5887795796372931</v>
      </c>
      <c r="J346" s="26">
        <f t="shared" si="54"/>
        <v>5.6127169365041529E-2</v>
      </c>
      <c r="K346" s="26">
        <f t="shared" si="55"/>
        <v>7.7019594722330081E-2</v>
      </c>
      <c r="L346" s="26">
        <f t="shared" si="56"/>
        <v>1.4447136283235684E-2</v>
      </c>
      <c r="M346" s="26">
        <f t="shared" si="57"/>
        <v>-0.13425532152278186</v>
      </c>
      <c r="N346" s="26">
        <f t="shared" si="58"/>
        <v>-0.18943341186453944</v>
      </c>
      <c r="O346" s="26">
        <f t="shared" si="59"/>
        <v>-0.16747785231416235</v>
      </c>
    </row>
    <row r="347" spans="1:15" x14ac:dyDescent="0.25">
      <c r="A347" s="2">
        <v>45007</v>
      </c>
      <c r="B347">
        <v>77973</v>
      </c>
      <c r="C347">
        <v>88777</v>
      </c>
      <c r="D347">
        <v>633479</v>
      </c>
      <c r="F347">
        <f t="shared" si="50"/>
        <v>0.20837785183991084</v>
      </c>
      <c r="G347">
        <f t="shared" si="51"/>
        <v>-1.0609897168227334</v>
      </c>
      <c r="H347">
        <f t="shared" si="52"/>
        <v>1.1385607838610801</v>
      </c>
      <c r="I347">
        <f t="shared" si="53"/>
        <v>0.74828773513695213</v>
      </c>
      <c r="J347" s="26">
        <f t="shared" si="54"/>
        <v>6.0131907827298853E-2</v>
      </c>
      <c r="K347" s="26">
        <f t="shared" si="55"/>
        <v>7.6989679902344926E-2</v>
      </c>
      <c r="L347" s="26">
        <f t="shared" si="56"/>
        <v>1.502638307914167E-2</v>
      </c>
      <c r="M347" s="26">
        <f t="shared" si="57"/>
        <v>-0.15304899637904001</v>
      </c>
      <c r="N347" s="26">
        <f t="shared" si="58"/>
        <v>-0.19783435586917197</v>
      </c>
      <c r="O347" s="26">
        <f t="shared" si="59"/>
        <v>-0.17588723647333881</v>
      </c>
    </row>
    <row r="348" spans="1:15" x14ac:dyDescent="0.25">
      <c r="A348" s="2">
        <v>45006</v>
      </c>
      <c r="B348">
        <v>133818</v>
      </c>
      <c r="C348">
        <v>124687</v>
      </c>
      <c r="D348">
        <v>620362</v>
      </c>
      <c r="F348">
        <f t="shared" si="50"/>
        <v>0.2941343798322158</v>
      </c>
      <c r="G348">
        <f t="shared" si="51"/>
        <v>-5.7202318191709726E-2</v>
      </c>
      <c r="H348">
        <f t="shared" si="52"/>
        <v>0.93176553229012538</v>
      </c>
      <c r="I348">
        <f t="shared" si="53"/>
        <v>-1.3591741355440943</v>
      </c>
      <c r="J348" s="26">
        <f t="shared" si="54"/>
        <v>6.5061440886508864E-2</v>
      </c>
      <c r="K348" s="26">
        <f t="shared" si="55"/>
        <v>7.7455043239034571E-2</v>
      </c>
      <c r="L348" s="26">
        <f t="shared" si="56"/>
        <v>1.611650239494089E-2</v>
      </c>
      <c r="M348" s="26">
        <f t="shared" si="57"/>
        <v>-0.17019050609766129</v>
      </c>
      <c r="N348" s="26">
        <f t="shared" si="58"/>
        <v>-0.20876786195513997</v>
      </c>
      <c r="O348" s="26">
        <f t="shared" si="59"/>
        <v>-0.18639201925172422</v>
      </c>
    </row>
    <row r="349" spans="1:15" x14ac:dyDescent="0.25">
      <c r="A349" s="2">
        <v>45005</v>
      </c>
      <c r="B349">
        <v>130719</v>
      </c>
      <c r="C349">
        <v>119119</v>
      </c>
      <c r="D349">
        <v>618704</v>
      </c>
      <c r="F349">
        <f t="shared" si="50"/>
        <v>0.28765218032058321</v>
      </c>
      <c r="G349">
        <f t="shared" si="51"/>
        <v>-0.13727368254812444</v>
      </c>
      <c r="H349">
        <f t="shared" si="52"/>
        <v>0.91126003105898912</v>
      </c>
      <c r="I349">
        <f t="shared" si="53"/>
        <v>-1.590592504156372</v>
      </c>
      <c r="J349" s="26">
        <f t="shared" si="54"/>
        <v>6.5899645773906945E-2</v>
      </c>
      <c r="K349" s="26">
        <f t="shared" si="55"/>
        <v>7.387906968246738E-2</v>
      </c>
      <c r="L349" s="26">
        <f t="shared" si="56"/>
        <v>1.3075143743437212E-2</v>
      </c>
      <c r="M349" s="26">
        <f t="shared" si="57"/>
        <v>-0.17350186268388679</v>
      </c>
      <c r="N349" s="26">
        <f t="shared" si="58"/>
        <v>-0.20785924974421255</v>
      </c>
      <c r="O349" s="26">
        <f t="shared" si="59"/>
        <v>-0.18470257234387832</v>
      </c>
    </row>
    <row r="350" spans="1:15" x14ac:dyDescent="0.25">
      <c r="A350" s="2">
        <v>45002</v>
      </c>
      <c r="B350">
        <v>129179</v>
      </c>
      <c r="C350">
        <v>118884</v>
      </c>
      <c r="D350">
        <v>613993</v>
      </c>
      <c r="F350">
        <f t="shared" si="50"/>
        <v>0.28775740787141441</v>
      </c>
      <c r="G350">
        <f t="shared" si="51"/>
        <v>-0.13990610494385522</v>
      </c>
      <c r="H350">
        <f t="shared" si="52"/>
        <v>0.92030438383947855</v>
      </c>
      <c r="I350">
        <f t="shared" si="53"/>
        <v>-1.5254437745156659</v>
      </c>
      <c r="J350" s="26">
        <f t="shared" si="54"/>
        <v>6.7036497137900053E-2</v>
      </c>
      <c r="K350" s="26">
        <f t="shared" si="55"/>
        <v>7.0537913574823974E-2</v>
      </c>
      <c r="L350" s="26">
        <f t="shared" si="56"/>
        <v>1.0286312981714618E-2</v>
      </c>
      <c r="M350" s="26">
        <f t="shared" si="57"/>
        <v>-0.17640886335425332</v>
      </c>
      <c r="N350" s="26">
        <f t="shared" si="58"/>
        <v>-0.20600816371903807</v>
      </c>
      <c r="O350" s="26">
        <f t="shared" si="59"/>
        <v>-0.18187446832995002</v>
      </c>
    </row>
    <row r="351" spans="1:15" x14ac:dyDescent="0.25">
      <c r="A351" s="2">
        <v>45001</v>
      </c>
      <c r="B351">
        <v>126953</v>
      </c>
      <c r="C351">
        <v>119281</v>
      </c>
      <c r="D351">
        <v>611906</v>
      </c>
      <c r="F351">
        <f t="shared" si="50"/>
        <v>0.28693919407089752</v>
      </c>
      <c r="G351">
        <f t="shared" si="51"/>
        <v>-0.15331858739776469</v>
      </c>
      <c r="H351">
        <f t="shared" si="52"/>
        <v>0.93956818665175301</v>
      </c>
      <c r="I351">
        <f t="shared" si="53"/>
        <v>-1.3492471539912068</v>
      </c>
      <c r="J351" s="26">
        <f t="shared" si="54"/>
        <v>6.8712478840782631E-2</v>
      </c>
      <c r="K351" s="26">
        <f t="shared" si="55"/>
        <v>6.7279304622948538E-2</v>
      </c>
      <c r="L351" s="26">
        <f t="shared" si="56"/>
        <v>7.5591921780343019E-3</v>
      </c>
      <c r="M351" s="26">
        <f t="shared" si="57"/>
        <v>-0.18067001033059882</v>
      </c>
      <c r="N351" s="26">
        <f t="shared" si="58"/>
        <v>-0.20356575187536297</v>
      </c>
      <c r="O351" s="26">
        <f t="shared" si="59"/>
        <v>-0.17860218158309105</v>
      </c>
    </row>
    <row r="352" spans="1:15" x14ac:dyDescent="0.25">
      <c r="A352" s="2">
        <v>45000</v>
      </c>
      <c r="B352">
        <v>126502</v>
      </c>
      <c r="C352">
        <v>117906</v>
      </c>
      <c r="D352">
        <v>621073</v>
      </c>
      <c r="F352">
        <f t="shared" si="50"/>
        <v>0.28239556963122242</v>
      </c>
      <c r="G352">
        <f t="shared" si="51"/>
        <v>-0.21044204253792781</v>
      </c>
      <c r="H352">
        <f t="shared" si="52"/>
        <v>0.93204850516197368</v>
      </c>
      <c r="I352">
        <f t="shared" si="53"/>
        <v>-1.4490178709729638</v>
      </c>
      <c r="J352" s="26">
        <f t="shared" si="54"/>
        <v>7.0458508194586683E-2</v>
      </c>
      <c r="K352" s="26">
        <f t="shared" si="55"/>
        <v>6.3981392990720615E-2</v>
      </c>
      <c r="L352" s="26">
        <f t="shared" si="56"/>
        <v>4.691884177663419E-3</v>
      </c>
      <c r="M352" s="26">
        <f t="shared" si="57"/>
        <v>-0.184271656773624</v>
      </c>
      <c r="N352" s="26">
        <f t="shared" si="58"/>
        <v>-0.20247043793840103</v>
      </c>
      <c r="O352" s="26">
        <f t="shared" si="59"/>
        <v>-0.17655888434008782</v>
      </c>
    </row>
    <row r="353" spans="1:15" x14ac:dyDescent="0.25">
      <c r="A353" s="2">
        <v>44999</v>
      </c>
      <c r="B353">
        <v>125588</v>
      </c>
      <c r="C353">
        <v>115122</v>
      </c>
      <c r="D353">
        <v>618417</v>
      </c>
      <c r="F353">
        <f t="shared" si="50"/>
        <v>0.28017976387658633</v>
      </c>
      <c r="G353">
        <f t="shared" si="51"/>
        <v>-0.2402854535207167</v>
      </c>
      <c r="H353">
        <f t="shared" si="52"/>
        <v>0.9166640124852693</v>
      </c>
      <c r="I353">
        <f t="shared" si="53"/>
        <v>-1.6372505220786648</v>
      </c>
      <c r="J353" s="26">
        <f t="shared" si="54"/>
        <v>7.2358015235028772E-2</v>
      </c>
      <c r="K353" s="26">
        <f t="shared" si="55"/>
        <v>6.0742977852673741E-2</v>
      </c>
      <c r="L353" s="26">
        <f t="shared" si="56"/>
        <v>1.9386205755960728E-3</v>
      </c>
      <c r="M353" s="26">
        <f t="shared" si="57"/>
        <v>-0.179467569710553</v>
      </c>
      <c r="N353" s="26">
        <f t="shared" si="58"/>
        <v>-0.19655937221026343</v>
      </c>
      <c r="O353" s="26">
        <f t="shared" si="59"/>
        <v>-0.17032253342263948</v>
      </c>
    </row>
    <row r="354" spans="1:15" x14ac:dyDescent="0.25">
      <c r="A354" s="2">
        <v>44998</v>
      </c>
      <c r="B354">
        <v>127132</v>
      </c>
      <c r="C354">
        <v>113172</v>
      </c>
      <c r="D354">
        <v>620927</v>
      </c>
      <c r="F354">
        <f t="shared" si="50"/>
        <v>0.27902386235516369</v>
      </c>
      <c r="G354">
        <f t="shared" si="51"/>
        <v>-0.25771663161741271</v>
      </c>
      <c r="H354">
        <f t="shared" si="52"/>
        <v>0.89019287040241635</v>
      </c>
      <c r="I354">
        <f t="shared" si="53"/>
        <v>-1.953934109538455</v>
      </c>
      <c r="J354" s="26">
        <f t="shared" si="54"/>
        <v>7.2302683972213511E-2</v>
      </c>
      <c r="K354" s="26">
        <f t="shared" si="55"/>
        <v>5.7639946047847501E-2</v>
      </c>
      <c r="L354" s="26">
        <f t="shared" si="56"/>
        <v>2.0725238569269111E-4</v>
      </c>
      <c r="M354" s="26">
        <f t="shared" si="57"/>
        <v>-0.17546253030406156</v>
      </c>
      <c r="N354" s="26">
        <f t="shared" si="58"/>
        <v>-0.1901898915948137</v>
      </c>
      <c r="O354" s="26">
        <f t="shared" si="59"/>
        <v>-0.16364548104242194</v>
      </c>
    </row>
    <row r="355" spans="1:15" x14ac:dyDescent="0.25">
      <c r="A355" s="2">
        <v>44995</v>
      </c>
      <c r="B355">
        <v>126235</v>
      </c>
      <c r="C355">
        <v>112388</v>
      </c>
      <c r="D355">
        <v>627639</v>
      </c>
      <c r="F355">
        <f t="shared" si="50"/>
        <v>0.27546285073107213</v>
      </c>
      <c r="G355">
        <f t="shared" si="51"/>
        <v>-0.30329746034260707</v>
      </c>
      <c r="H355">
        <f t="shared" si="52"/>
        <v>0.89030775933774309</v>
      </c>
      <c r="I355">
        <f t="shared" si="53"/>
        <v>-1.9962008297620117</v>
      </c>
      <c r="J355" s="26">
        <f t="shared" si="54"/>
        <v>7.2232824060322998E-2</v>
      </c>
      <c r="K355" s="26">
        <f t="shared" si="55"/>
        <v>5.4572285534970705E-2</v>
      </c>
      <c r="L355" s="26">
        <f t="shared" si="56"/>
        <v>-1.5615617918013913E-3</v>
      </c>
      <c r="M355" s="26">
        <f t="shared" si="57"/>
        <v>-0.1703195100310001</v>
      </c>
      <c r="N355" s="26">
        <f t="shared" si="58"/>
        <v>-0.18299115595816817</v>
      </c>
      <c r="O355" s="26">
        <f t="shared" si="59"/>
        <v>-0.15593304820462361</v>
      </c>
    </row>
    <row r="356" spans="1:15" x14ac:dyDescent="0.25">
      <c r="A356" s="2">
        <v>44994</v>
      </c>
      <c r="B356">
        <v>125936</v>
      </c>
      <c r="C356">
        <v>112913</v>
      </c>
      <c r="D356">
        <v>624438</v>
      </c>
      <c r="F356">
        <f t="shared" si="50"/>
        <v>0.27667392188229406</v>
      </c>
      <c r="G356">
        <f t="shared" si="51"/>
        <v>-0.29317942223783733</v>
      </c>
      <c r="H356">
        <f t="shared" si="52"/>
        <v>0.89659033159700163</v>
      </c>
      <c r="I356">
        <f t="shared" si="53"/>
        <v>-1.9724611077540302</v>
      </c>
      <c r="J356" s="26">
        <f t="shared" si="54"/>
        <v>7.4647845399997359E-2</v>
      </c>
      <c r="K356" s="26">
        <f t="shared" si="55"/>
        <v>5.1892464076885053E-2</v>
      </c>
      <c r="L356" s="26">
        <f t="shared" si="56"/>
        <v>-3.8574033947690878E-3</v>
      </c>
      <c r="M356" s="26">
        <f t="shared" si="57"/>
        <v>-0.16697288230981733</v>
      </c>
      <c r="N356" s="26">
        <f t="shared" si="58"/>
        <v>-0.17731337876639808</v>
      </c>
      <c r="O356" s="26">
        <f t="shared" si="59"/>
        <v>-0.14938722474346444</v>
      </c>
    </row>
    <row r="357" spans="1:15" x14ac:dyDescent="0.25">
      <c r="A357" s="2">
        <v>44993</v>
      </c>
      <c r="B357">
        <v>123651</v>
      </c>
      <c r="C357">
        <v>108548</v>
      </c>
      <c r="D357">
        <v>626619</v>
      </c>
      <c r="F357">
        <f t="shared" si="50"/>
        <v>0.27037043937132199</v>
      </c>
      <c r="G357">
        <f t="shared" si="51"/>
        <v>-0.37061498561673639</v>
      </c>
      <c r="H357">
        <f t="shared" si="52"/>
        <v>0.87785784182901883</v>
      </c>
      <c r="I357">
        <f t="shared" si="53"/>
        <v>-2.2291995908183138</v>
      </c>
      <c r="J357" s="26">
        <f t="shared" si="54"/>
        <v>7.6801566816092737E-2</v>
      </c>
      <c r="K357" s="26">
        <f t="shared" si="55"/>
        <v>4.8863626229772611E-2</v>
      </c>
      <c r="L357" s="26">
        <f t="shared" si="56"/>
        <v>-6.4701226089186048E-3</v>
      </c>
      <c r="M357" s="26">
        <f t="shared" si="57"/>
        <v>-0.16529089972895539</v>
      </c>
      <c r="N357" s="26">
        <f t="shared" si="58"/>
        <v>-0.17184940219854983</v>
      </c>
      <c r="O357" s="26">
        <f t="shared" si="59"/>
        <v>-0.14295330322247934</v>
      </c>
    </row>
    <row r="358" spans="1:15" x14ac:dyDescent="0.25">
      <c r="A358" s="2">
        <v>44992</v>
      </c>
      <c r="B358">
        <v>121951</v>
      </c>
      <c r="C358">
        <v>108247</v>
      </c>
      <c r="D358">
        <v>625801</v>
      </c>
      <c r="F358">
        <f t="shared" si="50"/>
        <v>0.2689232113588918</v>
      </c>
      <c r="G358">
        <f t="shared" si="51"/>
        <v>-0.39162646011189128</v>
      </c>
      <c r="H358">
        <f t="shared" si="52"/>
        <v>0.88762699772859588</v>
      </c>
      <c r="I358">
        <f t="shared" si="53"/>
        <v>-2.1784490081933767</v>
      </c>
      <c r="J358" s="26">
        <f t="shared" si="54"/>
        <v>7.8677424078453101E-2</v>
      </c>
      <c r="K358" s="26">
        <f t="shared" si="55"/>
        <v>4.5675458039905997E-2</v>
      </c>
      <c r="L358" s="26">
        <f t="shared" si="56"/>
        <v>-9.2004136727244501E-3</v>
      </c>
      <c r="M358" s="26">
        <f t="shared" si="57"/>
        <v>-0.15674422793131082</v>
      </c>
      <c r="N358" s="26">
        <f t="shared" si="58"/>
        <v>-0.16319127001402334</v>
      </c>
      <c r="O358" s="26">
        <f t="shared" si="59"/>
        <v>-0.13350653991080785</v>
      </c>
    </row>
    <row r="359" spans="1:15" x14ac:dyDescent="0.25">
      <c r="A359" s="2">
        <v>44991</v>
      </c>
      <c r="B359">
        <v>122046</v>
      </c>
      <c r="C359">
        <v>107217</v>
      </c>
      <c r="D359">
        <v>626811</v>
      </c>
      <c r="F359">
        <f t="shared" si="50"/>
        <v>0.26780745589750421</v>
      </c>
      <c r="G359">
        <f t="shared" si="51"/>
        <v>-0.40891028197193491</v>
      </c>
      <c r="H359">
        <f t="shared" si="52"/>
        <v>0.87849663241728526</v>
      </c>
      <c r="I359">
        <f t="shared" si="53"/>
        <v>-2.3429939805122668</v>
      </c>
      <c r="J359" s="26">
        <f t="shared" si="54"/>
        <v>8.0640184916398933E-2</v>
      </c>
      <c r="K359" s="26">
        <f t="shared" si="55"/>
        <v>4.2491284696055009E-2</v>
      </c>
      <c r="L359" s="26">
        <f t="shared" si="56"/>
        <v>-1.1210371350622139E-2</v>
      </c>
      <c r="M359" s="26">
        <f t="shared" si="57"/>
        <v>-0.14859944623699972</v>
      </c>
      <c r="N359" s="26">
        <f t="shared" si="58"/>
        <v>-0.15419958094261443</v>
      </c>
      <c r="O359" s="26">
        <f t="shared" si="59"/>
        <v>-0.12372841170779081</v>
      </c>
    </row>
    <row r="360" spans="1:15" x14ac:dyDescent="0.25">
      <c r="A360" s="2">
        <v>44988</v>
      </c>
      <c r="B360">
        <v>120572</v>
      </c>
      <c r="C360">
        <v>105782</v>
      </c>
      <c r="D360">
        <v>624411</v>
      </c>
      <c r="F360">
        <f t="shared" si="50"/>
        <v>0.26605937009632508</v>
      </c>
      <c r="G360">
        <f t="shared" si="51"/>
        <v>-0.43348975175312521</v>
      </c>
      <c r="H360">
        <f t="shared" si="52"/>
        <v>0.87733470457485985</v>
      </c>
      <c r="I360">
        <f t="shared" si="53"/>
        <v>-2.4261535049881791</v>
      </c>
      <c r="J360" s="26">
        <f t="shared" si="54"/>
        <v>8.2712562840938281E-2</v>
      </c>
      <c r="K360" s="26">
        <f t="shared" si="55"/>
        <v>3.9349766133140535E-2</v>
      </c>
      <c r="L360" s="26">
        <f t="shared" si="56"/>
        <v>-1.3929965989914472E-2</v>
      </c>
      <c r="M360" s="26">
        <f t="shared" si="57"/>
        <v>-0.14085787346380907</v>
      </c>
      <c r="N360" s="26">
        <f t="shared" si="58"/>
        <v>-0.14465297074405647</v>
      </c>
      <c r="O360" s="26">
        <f t="shared" si="59"/>
        <v>-0.11314533190950438</v>
      </c>
    </row>
    <row r="361" spans="1:15" x14ac:dyDescent="0.25">
      <c r="A361" s="2">
        <v>44987</v>
      </c>
      <c r="B361">
        <v>119621</v>
      </c>
      <c r="C361">
        <v>104502</v>
      </c>
      <c r="D361">
        <v>623591</v>
      </c>
      <c r="F361">
        <f t="shared" si="50"/>
        <v>0.26438515820194075</v>
      </c>
      <c r="G361">
        <f t="shared" si="51"/>
        <v>-0.45728418190278275</v>
      </c>
      <c r="H361">
        <f t="shared" si="52"/>
        <v>0.87360914889526087</v>
      </c>
      <c r="I361">
        <f t="shared" si="53"/>
        <v>-2.546799674307171</v>
      </c>
      <c r="J361" s="26">
        <f t="shared" si="54"/>
        <v>6.1929390189552791E-2</v>
      </c>
      <c r="K361" s="26">
        <f t="shared" si="55"/>
        <v>1.9818683851170138E-2</v>
      </c>
      <c r="L361" s="26">
        <f t="shared" si="56"/>
        <v>-3.0985541112892728E-2</v>
      </c>
      <c r="M361" s="26">
        <f t="shared" si="57"/>
        <v>-0.18934203437001784</v>
      </c>
      <c r="N361" s="26">
        <f t="shared" si="58"/>
        <v>-0.18574861472282622</v>
      </c>
      <c r="O361" s="26">
        <f t="shared" si="59"/>
        <v>-0.15419875169896824</v>
      </c>
    </row>
    <row r="362" spans="1:15" x14ac:dyDescent="0.25">
      <c r="A362" s="2">
        <v>44986</v>
      </c>
      <c r="B362">
        <v>117583</v>
      </c>
      <c r="C362">
        <v>101922</v>
      </c>
      <c r="D362">
        <v>622710</v>
      </c>
      <c r="F362">
        <f t="shared" si="50"/>
        <v>0.26062822438450989</v>
      </c>
      <c r="G362">
        <f t="shared" si="51"/>
        <v>-0.50535971860323237</v>
      </c>
      <c r="H362">
        <f t="shared" si="52"/>
        <v>0.86680897748824237</v>
      </c>
      <c r="I362">
        <f t="shared" si="53"/>
        <v>-2.7165245402302038</v>
      </c>
      <c r="J362" s="26">
        <f t="shared" si="54"/>
        <v>4.1367751226133898E-2</v>
      </c>
      <c r="K362" s="26">
        <f t="shared" si="55"/>
        <v>3.6274264683699986E-4</v>
      </c>
      <c r="L362" s="26">
        <f t="shared" si="56"/>
        <v>-4.7943995553853952E-2</v>
      </c>
      <c r="M362" s="26">
        <f t="shared" si="57"/>
        <v>-0.23580211973921472</v>
      </c>
      <c r="N362" s="26">
        <f t="shared" si="58"/>
        <v>-0.22662143138922397</v>
      </c>
      <c r="O362" s="26">
        <f t="shared" si="59"/>
        <v>-0.19516426879102189</v>
      </c>
    </row>
    <row r="363" spans="1:15" x14ac:dyDescent="0.25">
      <c r="A363" s="2">
        <v>44985</v>
      </c>
      <c r="B363">
        <v>116983</v>
      </c>
      <c r="C363">
        <v>104352</v>
      </c>
      <c r="D363">
        <v>622474</v>
      </c>
      <c r="F363">
        <f t="shared" si="50"/>
        <v>0.26230462106946001</v>
      </c>
      <c r="G363">
        <f t="shared" si="51"/>
        <v>-0.49024947618057979</v>
      </c>
      <c r="H363">
        <f t="shared" si="52"/>
        <v>0.89202704666490007</v>
      </c>
      <c r="I363">
        <f t="shared" si="53"/>
        <v>-2.4866020423778195</v>
      </c>
      <c r="J363" s="26">
        <f t="shared" si="54"/>
        <v>4.3263129269231898E-2</v>
      </c>
      <c r="K363" s="26">
        <f t="shared" si="55"/>
        <v>-3.283660037805558E-3</v>
      </c>
      <c r="L363" s="26">
        <f t="shared" si="56"/>
        <v>-5.1051526201624786E-2</v>
      </c>
      <c r="M363" s="26">
        <f t="shared" si="57"/>
        <v>-0.22860694577694329</v>
      </c>
      <c r="N363" s="26">
        <f t="shared" si="58"/>
        <v>-0.21384239319602694</v>
      </c>
      <c r="O363" s="26">
        <f t="shared" si="59"/>
        <v>-0.1823724509252902</v>
      </c>
    </row>
    <row r="364" spans="1:15" x14ac:dyDescent="0.25">
      <c r="A364" s="2">
        <v>44984</v>
      </c>
      <c r="B364">
        <v>112983</v>
      </c>
      <c r="C364">
        <v>103722</v>
      </c>
      <c r="D364">
        <v>636934</v>
      </c>
      <c r="F364">
        <f t="shared" si="50"/>
        <v>0.25386023834431182</v>
      </c>
      <c r="G364">
        <f t="shared" si="51"/>
        <v>-0.59254042136885687</v>
      </c>
      <c r="H364">
        <f t="shared" si="52"/>
        <v>0.9180319163059929</v>
      </c>
      <c r="I364">
        <f t="shared" si="53"/>
        <v>-2.2130739335988783</v>
      </c>
      <c r="J364" s="26">
        <f t="shared" si="54"/>
        <v>4.4481252113055314E-2</v>
      </c>
      <c r="K364" s="26">
        <f t="shared" si="55"/>
        <v>-7.418611656671209E-3</v>
      </c>
      <c r="L364" s="26">
        <f t="shared" si="56"/>
        <v>-5.4581009845813183E-2</v>
      </c>
      <c r="M364" s="26">
        <f t="shared" si="57"/>
        <v>-0.22008562562554435</v>
      </c>
      <c r="N364" s="26">
        <f t="shared" si="58"/>
        <v>-0.20039821800619007</v>
      </c>
      <c r="O364" s="26">
        <f t="shared" si="59"/>
        <v>-0.169175176399877</v>
      </c>
    </row>
    <row r="365" spans="1:15" x14ac:dyDescent="0.25">
      <c r="A365" s="2">
        <v>44981</v>
      </c>
      <c r="B365">
        <v>113038</v>
      </c>
      <c r="C365">
        <v>103002</v>
      </c>
      <c r="D365">
        <v>635922</v>
      </c>
      <c r="F365">
        <f t="shared" si="50"/>
        <v>0.25357938499604443</v>
      </c>
      <c r="G365">
        <f t="shared" si="51"/>
        <v>-0.60061817040315413</v>
      </c>
      <c r="H365">
        <f t="shared" si="52"/>
        <v>0.91121569737610364</v>
      </c>
      <c r="I365">
        <f t="shared" si="53"/>
        <v>-2.3552249192549715</v>
      </c>
      <c r="J365" s="26">
        <f t="shared" si="54"/>
        <v>4.6136500153223597E-2</v>
      </c>
      <c r="K365" s="26">
        <f t="shared" si="55"/>
        <v>-1.113126511663684E-2</v>
      </c>
      <c r="L365" s="26">
        <f t="shared" si="56"/>
        <v>-5.7654470591351259E-2</v>
      </c>
      <c r="M365" s="26">
        <f t="shared" si="57"/>
        <v>-0.21035998881651574</v>
      </c>
      <c r="N365" s="26">
        <f t="shared" si="58"/>
        <v>-0.18653831701052437</v>
      </c>
      <c r="O365" s="26">
        <f t="shared" si="59"/>
        <v>-0.15576106302266024</v>
      </c>
    </row>
    <row r="366" spans="1:15" x14ac:dyDescent="0.25">
      <c r="A366" s="2">
        <v>44980</v>
      </c>
      <c r="B366">
        <v>109287</v>
      </c>
      <c r="C366">
        <v>103102</v>
      </c>
      <c r="D366">
        <v>634039</v>
      </c>
      <c r="F366">
        <f t="shared" si="50"/>
        <v>0.25092388248025821</v>
      </c>
      <c r="G366">
        <f t="shared" si="51"/>
        <v>-0.63628484763821858</v>
      </c>
      <c r="H366">
        <f t="shared" si="52"/>
        <v>0.94340589457117496</v>
      </c>
      <c r="I366">
        <f t="shared" si="53"/>
        <v>-1.9664371731365642</v>
      </c>
      <c r="J366" s="26">
        <f t="shared" si="54"/>
        <v>4.7836710979841962E-2</v>
      </c>
      <c r="K366" s="26">
        <f t="shared" si="55"/>
        <v>-1.4830272430813446E-2</v>
      </c>
      <c r="L366" s="26">
        <f t="shared" si="56"/>
        <v>-5.7694787880077064E-2</v>
      </c>
      <c r="M366" s="26">
        <f t="shared" si="57"/>
        <v>-0.19901505164819688</v>
      </c>
      <c r="N366" s="26">
        <f t="shared" si="58"/>
        <v>-0.17147736209551112</v>
      </c>
      <c r="O366" s="26">
        <f t="shared" si="59"/>
        <v>-0.14196012513587608</v>
      </c>
    </row>
    <row r="367" spans="1:15" x14ac:dyDescent="0.25">
      <c r="A367" s="2">
        <v>44979</v>
      </c>
      <c r="B367">
        <v>106497</v>
      </c>
      <c r="C367">
        <v>102902</v>
      </c>
      <c r="D367">
        <v>632630</v>
      </c>
      <c r="F367">
        <f t="shared" si="50"/>
        <v>0.24868383392971025</v>
      </c>
      <c r="G367">
        <f t="shared" si="51"/>
        <v>-0.66729678818321558</v>
      </c>
      <c r="H367">
        <f t="shared" si="52"/>
        <v>0.96624318055907676</v>
      </c>
      <c r="I367">
        <f t="shared" si="53"/>
        <v>-1.6779752497088185</v>
      </c>
      <c r="J367" s="26">
        <f t="shared" si="54"/>
        <v>4.9430015355965862E-2</v>
      </c>
      <c r="K367" s="26">
        <f t="shared" si="55"/>
        <v>-1.8557136506241689E-2</v>
      </c>
      <c r="L367" s="26">
        <f t="shared" si="56"/>
        <v>-6.0743192025717041E-2</v>
      </c>
      <c r="M367" s="26">
        <f t="shared" si="57"/>
        <v>-0.1903734482284114</v>
      </c>
      <c r="N367" s="26">
        <f t="shared" si="58"/>
        <v>-0.15863047856228163</v>
      </c>
      <c r="O367" s="26">
        <f t="shared" si="59"/>
        <v>-0.12965993082619076</v>
      </c>
    </row>
    <row r="368" spans="1:15" x14ac:dyDescent="0.25">
      <c r="A368" s="2">
        <v>44978</v>
      </c>
      <c r="B368">
        <v>106842</v>
      </c>
      <c r="C368">
        <v>100603</v>
      </c>
      <c r="D368">
        <v>633436</v>
      </c>
      <c r="F368">
        <f t="shared" si="50"/>
        <v>0.24669959245125053</v>
      </c>
      <c r="G368">
        <f t="shared" si="51"/>
        <v>-0.69549943535193604</v>
      </c>
      <c r="H368">
        <f t="shared" si="52"/>
        <v>0.94160536118754801</v>
      </c>
      <c r="I368">
        <f t="shared" si="53"/>
        <v>-2.0453145729533349</v>
      </c>
      <c r="J368" s="26">
        <f t="shared" si="54"/>
        <v>4.9418113280091241E-2</v>
      </c>
      <c r="K368" s="26">
        <f t="shared" si="55"/>
        <v>-2.3377925870163185E-2</v>
      </c>
      <c r="L368" s="26">
        <f t="shared" si="56"/>
        <v>-6.4735480037584808E-2</v>
      </c>
      <c r="M368" s="26">
        <f t="shared" si="57"/>
        <v>-0.18189985595959546</v>
      </c>
      <c r="N368" s="26">
        <f t="shared" si="58"/>
        <v>-0.14620365748024611</v>
      </c>
      <c r="O368" s="26">
        <f t="shared" si="59"/>
        <v>-0.11790651105989025</v>
      </c>
    </row>
    <row r="369" spans="1:15" x14ac:dyDescent="0.25">
      <c r="A369" s="2">
        <v>44977</v>
      </c>
      <c r="B369">
        <v>102968</v>
      </c>
      <c r="C369">
        <v>100867</v>
      </c>
      <c r="D369">
        <v>623631</v>
      </c>
      <c r="F369">
        <f t="shared" si="50"/>
        <v>0.24633640536287896</v>
      </c>
      <c r="G369">
        <f t="shared" si="51"/>
        <v>-0.70505274242832683</v>
      </c>
      <c r="H369">
        <f t="shared" si="52"/>
        <v>0.97959560251728695</v>
      </c>
      <c r="I369">
        <f t="shared" si="53"/>
        <v>-1.5399107174170965</v>
      </c>
      <c r="J369" s="26">
        <f t="shared" si="54"/>
        <v>4.8590375754232112E-2</v>
      </c>
      <c r="K369" s="26">
        <f t="shared" si="55"/>
        <v>-2.8775822222552427E-2</v>
      </c>
      <c r="L369" s="26">
        <f t="shared" si="56"/>
        <v>-6.9155736379675897E-2</v>
      </c>
      <c r="M369" s="26">
        <f t="shared" si="57"/>
        <v>-0.18099309270605979</v>
      </c>
      <c r="N369" s="26">
        <f t="shared" si="58"/>
        <v>-0.13868053540518621</v>
      </c>
      <c r="O369" s="26">
        <f t="shared" si="59"/>
        <v>-0.11032042888556715</v>
      </c>
    </row>
    <row r="370" spans="1:15" x14ac:dyDescent="0.25">
      <c r="A370" s="2">
        <v>44974</v>
      </c>
      <c r="B370">
        <v>102068</v>
      </c>
      <c r="C370">
        <v>100342</v>
      </c>
      <c r="D370">
        <v>621351</v>
      </c>
      <c r="F370">
        <f t="shared" si="50"/>
        <v>0.24571447300855467</v>
      </c>
      <c r="G370">
        <f t="shared" si="51"/>
        <v>-0.71763994766679218</v>
      </c>
      <c r="H370">
        <f t="shared" si="52"/>
        <v>0.98308970490261394</v>
      </c>
      <c r="I370">
        <f t="shared" si="53"/>
        <v>-1.5006383561121568</v>
      </c>
      <c r="J370" s="26">
        <f t="shared" si="54"/>
        <v>4.7718309321788888E-2</v>
      </c>
      <c r="K370" s="26">
        <f t="shared" si="55"/>
        <v>-3.422378201344134E-2</v>
      </c>
      <c r="L370" s="26">
        <f t="shared" si="56"/>
        <v>-7.3594790399008125E-2</v>
      </c>
      <c r="M370" s="26">
        <f t="shared" si="57"/>
        <v>-0.18221063421783223</v>
      </c>
      <c r="N370" s="26">
        <f t="shared" si="58"/>
        <v>-0.13337467348095688</v>
      </c>
      <c r="O370" s="26">
        <f t="shared" si="59"/>
        <v>-0.10487152979335912</v>
      </c>
    </row>
    <row r="371" spans="1:15" x14ac:dyDescent="0.25">
      <c r="A371" s="2">
        <v>44973</v>
      </c>
      <c r="B371">
        <v>101743</v>
      </c>
      <c r="C371">
        <v>101602</v>
      </c>
      <c r="D371">
        <v>620093</v>
      </c>
      <c r="F371">
        <f t="shared" si="50"/>
        <v>0.24694633961512585</v>
      </c>
      <c r="G371">
        <f t="shared" si="51"/>
        <v>-0.70870440859923445</v>
      </c>
      <c r="H371">
        <f t="shared" si="52"/>
        <v>0.99861415527358144</v>
      </c>
      <c r="I371">
        <f t="shared" si="53"/>
        <v>-1.2860305633025</v>
      </c>
      <c r="J371" s="26">
        <f t="shared" si="54"/>
        <v>4.6787306544516905E-2</v>
      </c>
      <c r="K371" s="26">
        <f t="shared" si="55"/>
        <v>-3.9695355224198814E-2</v>
      </c>
      <c r="L371" s="26">
        <f t="shared" si="56"/>
        <v>-7.8078739674911801E-2</v>
      </c>
      <c r="M371" s="26">
        <f t="shared" si="57"/>
        <v>-0.18146635916046705</v>
      </c>
      <c r="N371" s="26">
        <f t="shared" si="58"/>
        <v>-0.12761623865995886</v>
      </c>
      <c r="O371" s="26">
        <f t="shared" si="59"/>
        <v>-9.851115270301336E-2</v>
      </c>
    </row>
    <row r="372" spans="1:15" x14ac:dyDescent="0.25">
      <c r="A372" s="2">
        <v>44972</v>
      </c>
      <c r="B372">
        <v>100098</v>
      </c>
      <c r="C372">
        <v>99537</v>
      </c>
      <c r="D372">
        <v>618250</v>
      </c>
      <c r="F372">
        <f t="shared" si="50"/>
        <v>0.24408688263019862</v>
      </c>
      <c r="G372">
        <f t="shared" si="51"/>
        <v>-0.74710134366847181</v>
      </c>
      <c r="H372">
        <f t="shared" si="52"/>
        <v>0.99439549241743097</v>
      </c>
      <c r="I372">
        <f t="shared" si="53"/>
        <v>-1.3608158101606618</v>
      </c>
      <c r="J372" s="26">
        <f t="shared" si="54"/>
        <v>4.7189237580620075E-2</v>
      </c>
      <c r="K372" s="26">
        <f t="shared" si="55"/>
        <v>-4.5723316650609996E-2</v>
      </c>
      <c r="L372" s="26">
        <f t="shared" si="56"/>
        <v>-8.3128664178132305E-2</v>
      </c>
      <c r="M372" s="26">
        <f t="shared" si="57"/>
        <v>-0.17976722059509587</v>
      </c>
      <c r="N372" s="26">
        <f t="shared" si="58"/>
        <v>-0.11972043677529698</v>
      </c>
      <c r="O372" s="26">
        <f t="shared" si="59"/>
        <v>-9.0218277819268278E-2</v>
      </c>
    </row>
    <row r="373" spans="1:15" x14ac:dyDescent="0.25">
      <c r="A373" s="2">
        <v>44971</v>
      </c>
      <c r="B373">
        <v>95641</v>
      </c>
      <c r="C373">
        <v>101462</v>
      </c>
      <c r="D373">
        <v>616713</v>
      </c>
      <c r="F373">
        <f t="shared" si="50"/>
        <v>0.2421960246542216</v>
      </c>
      <c r="G373">
        <f t="shared" si="51"/>
        <v>-0.77445580538633785</v>
      </c>
      <c r="H373">
        <f t="shared" si="52"/>
        <v>1.0608630189981285</v>
      </c>
      <c r="I373">
        <f t="shared" si="53"/>
        <v>-0.402265811466889</v>
      </c>
      <c r="J373" s="26">
        <f t="shared" si="54"/>
        <v>4.7161480867246336E-2</v>
      </c>
      <c r="K373" s="26">
        <f t="shared" si="55"/>
        <v>-5.2032804154583501E-2</v>
      </c>
      <c r="L373" s="26">
        <f t="shared" si="56"/>
        <v>-8.8399961043331837E-2</v>
      </c>
      <c r="M373" s="26">
        <f t="shared" si="57"/>
        <v>-0.18197573100154874</v>
      </c>
      <c r="N373" s="26">
        <f t="shared" si="58"/>
        <v>-0.11410509993381324</v>
      </c>
      <c r="O373" s="26">
        <f t="shared" si="59"/>
        <v>-8.3842916963541847E-2</v>
      </c>
    </row>
    <row r="374" spans="1:15" x14ac:dyDescent="0.25">
      <c r="A374" s="2">
        <v>44970</v>
      </c>
      <c r="B374">
        <v>96050</v>
      </c>
      <c r="C374">
        <v>101436</v>
      </c>
      <c r="D374">
        <v>613594</v>
      </c>
      <c r="G374">
        <f t="shared" si="51"/>
        <v>-3.5991842070323057</v>
      </c>
      <c r="H374">
        <f t="shared" si="52"/>
        <v>1.0560749609578344</v>
      </c>
      <c r="I374">
        <f t="shared" si="53"/>
        <v>-0.46348126584162591</v>
      </c>
      <c r="J374" s="26">
        <f t="shared" si="54"/>
        <v>4.7127424339068164E-2</v>
      </c>
      <c r="K374" s="26">
        <f t="shared" si="55"/>
        <v>-5.8416632974261251E-2</v>
      </c>
      <c r="L374" s="26">
        <f t="shared" si="56"/>
        <v>-9.3692172150349695E-2</v>
      </c>
      <c r="M374" s="26">
        <f t="shared" si="57"/>
        <v>-0.1912131046743184</v>
      </c>
      <c r="N374" s="26">
        <f t="shared" si="58"/>
        <v>-0.11339746299988374</v>
      </c>
      <c r="O374" s="26">
        <f t="shared" si="59"/>
        <v>-8.2407306631949284E-2</v>
      </c>
    </row>
    <row r="375" spans="1:15" x14ac:dyDescent="0.25">
      <c r="A375" s="2">
        <v>44967</v>
      </c>
      <c r="B375">
        <v>96285</v>
      </c>
      <c r="C375">
        <v>101236</v>
      </c>
      <c r="D375">
        <v>610619</v>
      </c>
      <c r="G375">
        <f t="shared" si="51"/>
        <v>-3.6065628966605447</v>
      </c>
      <c r="H375">
        <f t="shared" si="52"/>
        <v>1.0514202627615932</v>
      </c>
      <c r="I375">
        <f t="shared" si="53"/>
        <v>-0.52590456921650441</v>
      </c>
      <c r="J375" s="26">
        <f t="shared" si="54"/>
        <v>4.9898317865039399E-2</v>
      </c>
      <c r="K375" s="26">
        <f t="shared" si="55"/>
        <v>-6.2005132955053582E-2</v>
      </c>
      <c r="L375" s="26">
        <f t="shared" si="56"/>
        <v>-9.6163325122231469E-2</v>
      </c>
      <c r="M375" s="26">
        <f t="shared" si="57"/>
        <v>-0.19777961538703548</v>
      </c>
      <c r="N375" s="26">
        <f t="shared" si="58"/>
        <v>-0.11139838192733986</v>
      </c>
      <c r="O375" s="26">
        <f t="shared" si="59"/>
        <v>-7.9525407276991977E-2</v>
      </c>
    </row>
    <row r="376" spans="1:15" x14ac:dyDescent="0.25">
      <c r="A376" s="2">
        <v>44966</v>
      </c>
      <c r="B376">
        <v>97100</v>
      </c>
      <c r="C376">
        <v>100025</v>
      </c>
      <c r="D376">
        <v>600642</v>
      </c>
      <c r="F376">
        <f t="shared" si="50"/>
        <v>0.24709595658882857</v>
      </c>
      <c r="G376">
        <f t="shared" si="51"/>
        <v>-0.72874915640630833</v>
      </c>
      <c r="H376">
        <f t="shared" si="52"/>
        <v>1.0301235839340885</v>
      </c>
      <c r="I376">
        <f t="shared" si="53"/>
        <v>-0.83066154429287664</v>
      </c>
      <c r="J376" s="26">
        <f t="shared" si="54"/>
        <v>4.1416399980590352E-2</v>
      </c>
      <c r="K376" s="26">
        <f t="shared" si="55"/>
        <v>-6.5738088576677789E-2</v>
      </c>
      <c r="L376" s="26">
        <f t="shared" si="56"/>
        <v>-9.8695142596190499E-2</v>
      </c>
      <c r="M376" s="26">
        <f t="shared" si="57"/>
        <v>-0.18856363353754091</v>
      </c>
      <c r="N376" s="26">
        <f t="shared" si="58"/>
        <v>-0.10977167208799732</v>
      </c>
      <c r="O376" s="26">
        <f t="shared" si="59"/>
        <v>-7.6813435120204332E-2</v>
      </c>
    </row>
    <row r="377" spans="1:15" x14ac:dyDescent="0.25">
      <c r="A377" s="2">
        <v>44965</v>
      </c>
      <c r="B377">
        <v>95340</v>
      </c>
      <c r="C377">
        <v>98461</v>
      </c>
      <c r="D377">
        <v>603314</v>
      </c>
      <c r="F377">
        <f t="shared" si="50"/>
        <v>0.24312803045984582</v>
      </c>
      <c r="G377">
        <f t="shared" si="51"/>
        <v>-0.77993732819726047</v>
      </c>
      <c r="H377">
        <f t="shared" si="52"/>
        <v>1.0327354730438432</v>
      </c>
      <c r="I377">
        <f t="shared" si="53"/>
        <v>-0.79348976012970684</v>
      </c>
      <c r="J377" s="26">
        <f t="shared" si="54"/>
        <v>3.0015414854041772E-2</v>
      </c>
      <c r="K377" s="26">
        <f t="shared" si="55"/>
        <v>-7.2360370898515547E-2</v>
      </c>
      <c r="L377" s="26">
        <f t="shared" si="56"/>
        <v>-0.10413405360117789</v>
      </c>
      <c r="M377" s="26">
        <f t="shared" si="57"/>
        <v>-0.17959434851824096</v>
      </c>
      <c r="N377" s="26">
        <f t="shared" si="58"/>
        <v>-0.10749828686787111</v>
      </c>
      <c r="O377" s="26">
        <f t="shared" si="59"/>
        <v>-7.3353797914088359E-2</v>
      </c>
    </row>
    <row r="378" spans="1:15" x14ac:dyDescent="0.25">
      <c r="A378" s="2">
        <v>44964</v>
      </c>
      <c r="B378">
        <v>90338</v>
      </c>
      <c r="C378">
        <v>96536</v>
      </c>
      <c r="D378">
        <v>604051</v>
      </c>
      <c r="F378">
        <f t="shared" si="50"/>
        <v>0.23627271865221103</v>
      </c>
      <c r="G378">
        <f t="shared" si="51"/>
        <v>-0.86528051274011386</v>
      </c>
      <c r="H378">
        <f t="shared" si="52"/>
        <v>1.0686090017489871</v>
      </c>
      <c r="I378">
        <f t="shared" si="53"/>
        <v>-0.27740061115800968</v>
      </c>
      <c r="J378" s="26">
        <f t="shared" si="54"/>
        <v>1.8394135691265023E-2</v>
      </c>
      <c r="K378" s="26">
        <f t="shared" si="55"/>
        <v>-7.9037852166371103E-2</v>
      </c>
      <c r="L378" s="26">
        <f t="shared" si="56"/>
        <v>-0.10960128544710529</v>
      </c>
      <c r="M378" s="26">
        <f t="shared" si="57"/>
        <v>-0.16858840943678222</v>
      </c>
      <c r="N378" s="26">
        <f t="shared" si="58"/>
        <v>-0.10335867158439926</v>
      </c>
      <c r="O378" s="26">
        <f t="shared" si="59"/>
        <v>-6.8150457337978976E-2</v>
      </c>
    </row>
    <row r="379" spans="1:15" x14ac:dyDescent="0.25">
      <c r="A379" s="2">
        <v>44963</v>
      </c>
      <c r="B379">
        <v>89148</v>
      </c>
      <c r="C379">
        <v>96434</v>
      </c>
      <c r="D379">
        <v>603420</v>
      </c>
      <c r="F379">
        <f t="shared" si="50"/>
        <v>0.23521106410376652</v>
      </c>
      <c r="G379">
        <f t="shared" si="51"/>
        <v>-0.88371518249980563</v>
      </c>
      <c r="H379">
        <f t="shared" si="52"/>
        <v>1.0817292592094045</v>
      </c>
      <c r="I379">
        <f t="shared" si="53"/>
        <v>-8.3842967213339573E-2</v>
      </c>
      <c r="J379" s="26">
        <f t="shared" si="54"/>
        <v>7.022634544292139E-3</v>
      </c>
      <c r="K379" s="26">
        <f t="shared" si="55"/>
        <v>-8.5377247967699382E-2</v>
      </c>
      <c r="L379" s="26">
        <f t="shared" si="56"/>
        <v>-0.11481812397432092</v>
      </c>
      <c r="M379" s="26">
        <f t="shared" si="57"/>
        <v>-0.16421505197473829</v>
      </c>
      <c r="N379" s="26">
        <f t="shared" si="58"/>
        <v>-0.10262248122316042</v>
      </c>
      <c r="O379" s="26">
        <f t="shared" si="59"/>
        <v>-6.749868475940457E-2</v>
      </c>
    </row>
    <row r="380" spans="1:15" x14ac:dyDescent="0.25">
      <c r="A380" s="2">
        <v>44960</v>
      </c>
      <c r="B380">
        <v>88422</v>
      </c>
      <c r="C380">
        <v>96105</v>
      </c>
      <c r="D380">
        <v>603007</v>
      </c>
      <c r="F380">
        <f t="shared" si="50"/>
        <v>0.23430988376374862</v>
      </c>
      <c r="G380">
        <f t="shared" si="51"/>
        <v>-0.90040218087021295</v>
      </c>
      <c r="H380">
        <f t="shared" si="52"/>
        <v>1.0868901404627807</v>
      </c>
      <c r="I380">
        <f t="shared" si="53"/>
        <v>-7.3491816381695031E-3</v>
      </c>
      <c r="J380" s="26">
        <f t="shared" si="54"/>
        <v>-4.5725850128875145E-3</v>
      </c>
      <c r="K380" s="26">
        <f t="shared" si="55"/>
        <v>-9.1858782873830119E-2</v>
      </c>
      <c r="L380" s="26">
        <f t="shared" si="56"/>
        <v>-0.12011316496341753</v>
      </c>
      <c r="M380" s="26">
        <f t="shared" si="57"/>
        <v>-0.15877486573135524</v>
      </c>
      <c r="N380" s="26">
        <f t="shared" si="58"/>
        <v>-0.10111855582407747</v>
      </c>
      <c r="O380" s="26">
        <f t="shared" si="59"/>
        <v>-6.6152754164524596E-2</v>
      </c>
    </row>
    <row r="381" spans="1:15" x14ac:dyDescent="0.25">
      <c r="A381" s="2">
        <v>44959</v>
      </c>
      <c r="D381">
        <v>601616</v>
      </c>
      <c r="F381">
        <f t="shared" si="50"/>
        <v>0</v>
      </c>
      <c r="G381">
        <f t="shared" si="51"/>
        <v>-3.6575672462560558</v>
      </c>
      <c r="H381" t="str">
        <f t="shared" si="52"/>
        <v/>
      </c>
      <c r="I381" t="str">
        <f t="shared" si="53"/>
        <v/>
      </c>
      <c r="J381" s="26">
        <f t="shared" si="54"/>
        <v>-1.6422443692279493E-2</v>
      </c>
      <c r="K381" s="26">
        <f t="shared" si="55"/>
        <v>-9.8483837748756048E-2</v>
      </c>
      <c r="L381" s="26">
        <f t="shared" si="56"/>
        <v>-0.12550106192889446</v>
      </c>
      <c r="M381" s="26">
        <f t="shared" si="57"/>
        <v>-0.15109106213978873</v>
      </c>
      <c r="N381" s="26">
        <f t="shared" si="58"/>
        <v>-9.8131857236876563E-2</v>
      </c>
      <c r="O381" s="26">
        <f t="shared" si="59"/>
        <v>-6.3255501241991752E-2</v>
      </c>
    </row>
    <row r="382" spans="1:15" x14ac:dyDescent="0.25">
      <c r="A382" s="2">
        <v>44958</v>
      </c>
      <c r="D382">
        <v>594020</v>
      </c>
      <c r="F382">
        <f t="shared" si="50"/>
        <v>0</v>
      </c>
      <c r="G382">
        <f t="shared" si="51"/>
        <v>-3.7730950612182541</v>
      </c>
      <c r="H382" t="str">
        <f t="shared" si="52"/>
        <v/>
      </c>
      <c r="I382" t="str">
        <f t="shared" si="53"/>
        <v/>
      </c>
      <c r="J382" s="26">
        <f t="shared" si="54"/>
        <v>-1.8028429110959227E-2</v>
      </c>
      <c r="K382" s="26">
        <f t="shared" si="55"/>
        <v>-9.468047925198228E-2</v>
      </c>
      <c r="L382" s="26">
        <f t="shared" si="56"/>
        <v>-0.12032111497906642</v>
      </c>
      <c r="M382" s="26">
        <f t="shared" si="57"/>
        <v>-7.9746876742121886E-2</v>
      </c>
      <c r="N382" s="26">
        <f t="shared" si="58"/>
        <v>-3.4760356800182857E-2</v>
      </c>
      <c r="O382" s="26">
        <f t="shared" si="59"/>
        <v>-1.6526664739824337E-3</v>
      </c>
    </row>
    <row r="383" spans="1:15" x14ac:dyDescent="0.25">
      <c r="A383" s="2">
        <v>44957</v>
      </c>
      <c r="B383">
        <v>79317</v>
      </c>
      <c r="C383">
        <v>88664</v>
      </c>
      <c r="D383">
        <v>589665</v>
      </c>
      <c r="F383">
        <f t="shared" si="50"/>
        <v>0.22171436264429562</v>
      </c>
      <c r="G383">
        <f t="shared" si="51"/>
        <v>-1.1475575601566217</v>
      </c>
      <c r="H383">
        <f t="shared" si="52"/>
        <v>1.1178435896466079</v>
      </c>
      <c r="I383">
        <f t="shared" si="53"/>
        <v>0.45144327748746088</v>
      </c>
      <c r="J383" s="26">
        <f t="shared" si="54"/>
        <v>-1.997857693147545E-2</v>
      </c>
      <c r="K383" s="26">
        <f t="shared" si="55"/>
        <v>-9.1062716728030263E-2</v>
      </c>
      <c r="L383" s="26">
        <f t="shared" si="56"/>
        <v>-0.11525215513063095</v>
      </c>
      <c r="M383" s="26">
        <f t="shared" si="57"/>
        <v>-1.1320489934711908E-2</v>
      </c>
      <c r="N383" s="26">
        <f t="shared" si="58"/>
        <v>2.7100951918498151E-2</v>
      </c>
      <c r="O383" s="26">
        <f t="shared" si="59"/>
        <v>5.8040886619659116E-2</v>
      </c>
    </row>
    <row r="384" spans="1:15" x14ac:dyDescent="0.25">
      <c r="A384" s="2">
        <v>44956</v>
      </c>
      <c r="B384">
        <v>76127</v>
      </c>
      <c r="C384">
        <v>87118</v>
      </c>
      <c r="D384">
        <v>593208</v>
      </c>
      <c r="F384">
        <f t="shared" si="50"/>
        <v>0.21580322901753315</v>
      </c>
      <c r="G384">
        <f t="shared" si="51"/>
        <v>-1.22945723637618</v>
      </c>
      <c r="H384">
        <f t="shared" si="52"/>
        <v>1.1443771592207759</v>
      </c>
      <c r="I384">
        <f t="shared" si="53"/>
        <v>0.84186638892504917</v>
      </c>
      <c r="J384" s="26">
        <f t="shared" si="54"/>
        <v>-3.2380554588722882E-2</v>
      </c>
      <c r="K384" s="26">
        <f t="shared" si="55"/>
        <v>-9.8052401351709423E-2</v>
      </c>
      <c r="L384" s="26">
        <f t="shared" si="56"/>
        <v>-0.12077370679688018</v>
      </c>
      <c r="M384" s="26">
        <f t="shared" si="57"/>
        <v>1.2601460302970047E-3</v>
      </c>
      <c r="N384" s="26">
        <f t="shared" si="58"/>
        <v>3.4868150458060798E-2</v>
      </c>
      <c r="O384" s="26">
        <f t="shared" si="59"/>
        <v>6.3701842637316819E-2</v>
      </c>
    </row>
    <row r="385" spans="1:15" x14ac:dyDescent="0.25">
      <c r="A385" s="2">
        <v>44953</v>
      </c>
      <c r="B385">
        <v>74642</v>
      </c>
      <c r="C385">
        <v>87333</v>
      </c>
      <c r="D385">
        <v>588666</v>
      </c>
      <c r="F385">
        <f t="shared" si="50"/>
        <v>0.21578224477479913</v>
      </c>
      <c r="G385">
        <f t="shared" si="51"/>
        <v>-1.239045918032428</v>
      </c>
      <c r="H385">
        <f t="shared" si="52"/>
        <v>1.1700249189464376</v>
      </c>
      <c r="I385">
        <f t="shared" si="53"/>
        <v>1.2226251451854531</v>
      </c>
      <c r="J385" s="26">
        <f t="shared" si="54"/>
        <v>-4.4592343412228203E-2</v>
      </c>
      <c r="K385" s="26">
        <f t="shared" si="55"/>
        <v>-0.10475322622920111</v>
      </c>
      <c r="L385" s="26">
        <f t="shared" si="56"/>
        <v>-0.12599850654243619</v>
      </c>
      <c r="M385" s="26">
        <f t="shared" si="57"/>
        <v>1.1895669974710588E-2</v>
      </c>
      <c r="N385" s="26">
        <f t="shared" si="58"/>
        <v>4.1504759292395832E-2</v>
      </c>
      <c r="O385" s="26">
        <f t="shared" si="59"/>
        <v>6.8111273690216967E-2</v>
      </c>
    </row>
    <row r="386" spans="1:15" x14ac:dyDescent="0.25">
      <c r="A386" s="2">
        <v>44952</v>
      </c>
      <c r="B386">
        <v>73792</v>
      </c>
      <c r="C386">
        <v>87333</v>
      </c>
      <c r="D386">
        <v>584321</v>
      </c>
      <c r="F386">
        <f t="shared" si="50"/>
        <v>0.21614577045151492</v>
      </c>
      <c r="G386">
        <f t="shared" si="51"/>
        <v>-1.2439444290277808</v>
      </c>
      <c r="H386">
        <f t="shared" si="52"/>
        <v>1.1835022766695578</v>
      </c>
      <c r="I386">
        <f t="shared" si="53"/>
        <v>1.4368593085684058</v>
      </c>
      <c r="J386" s="26">
        <f t="shared" si="54"/>
        <v>-5.6777060356123427E-2</v>
      </c>
      <c r="K386" s="26">
        <f t="shared" si="55"/>
        <v>-0.11145077386400612</v>
      </c>
      <c r="L386" s="26">
        <f t="shared" si="56"/>
        <v>-0.1312186969491991</v>
      </c>
      <c r="M386" s="26">
        <f t="shared" si="57"/>
        <v>2.1297683253057809E-2</v>
      </c>
      <c r="N386" s="26">
        <f t="shared" si="58"/>
        <v>4.6943197111013912E-2</v>
      </c>
      <c r="O386" s="26">
        <f t="shared" si="59"/>
        <v>7.1272472126070019E-2</v>
      </c>
    </row>
    <row r="387" spans="1:15" x14ac:dyDescent="0.25">
      <c r="A387" s="2">
        <v>44951</v>
      </c>
      <c r="B387">
        <v>72816</v>
      </c>
      <c r="C387">
        <v>85283</v>
      </c>
      <c r="D387">
        <v>581489</v>
      </c>
      <c r="F387">
        <f t="shared" si="50"/>
        <v>0.21376631313650302</v>
      </c>
      <c r="G387">
        <f t="shared" si="51"/>
        <v>-1.2833078107746525</v>
      </c>
      <c r="H387">
        <f t="shared" si="52"/>
        <v>1.1712123709074929</v>
      </c>
      <c r="I387">
        <f t="shared" si="53"/>
        <v>1.2839875804483378</v>
      </c>
      <c r="J387" s="26">
        <f t="shared" si="54"/>
        <v>-6.8681514027190083E-2</v>
      </c>
      <c r="K387" s="26">
        <f t="shared" si="55"/>
        <v>-0.11813850465801928</v>
      </c>
      <c r="L387" s="26">
        <f t="shared" si="56"/>
        <v>-0.13648787402918122</v>
      </c>
      <c r="M387" s="26">
        <f t="shared" si="57"/>
        <v>2.9647922959022965E-2</v>
      </c>
      <c r="N387" s="26">
        <f t="shared" si="58"/>
        <v>5.1658638622324782E-2</v>
      </c>
      <c r="O387" s="26">
        <f t="shared" si="59"/>
        <v>7.3948905850286684E-2</v>
      </c>
    </row>
    <row r="388" spans="1:15" x14ac:dyDescent="0.25">
      <c r="A388" s="2">
        <v>44950</v>
      </c>
      <c r="B388">
        <v>65175</v>
      </c>
      <c r="C388">
        <v>76963</v>
      </c>
      <c r="D388">
        <v>580894</v>
      </c>
      <c r="F388">
        <f t="shared" ref="F388:F451" si="60">IFERROR((C388+B388)/(B388+C388+D388),"")</f>
        <v>0.19658604321800419</v>
      </c>
      <c r="G388">
        <f t="shared" ref="G388:G451" si="61">(F388-AVERAGE(F388:F645))/_xlfn.STDEV.S(F388:F645)</f>
        <v>-1.5093429646944543</v>
      </c>
      <c r="H388">
        <f t="shared" ref="H388:H451" si="62">IFERROR(C388/B388,"")</f>
        <v>1.1808668968162639</v>
      </c>
      <c r="I388">
        <f t="shared" ref="I388:I451" si="63">IFERROR((H388-AVERAGE(H388:H515))/_xlfn.STDEV.S(H388:H515),"")</f>
        <v>1.4463021275358745</v>
      </c>
      <c r="J388" s="26">
        <f t="shared" ref="J388:J451" si="64">AVERAGEA(F388:F408)-AVERAGE(F409:F429)</f>
        <v>-8.0538201604442861E-2</v>
      </c>
      <c r="K388" s="26">
        <f t="shared" ref="K388:K451" si="65">AVERAGEA(F388:F408)-AVERAGE(F409:F464)</f>
        <v>-0.12469519451483074</v>
      </c>
      <c r="L388" s="26">
        <f t="shared" ref="L388:L451" si="66">AVERAGEA(F388:F408)-AVERAGE(F409:F521)</f>
        <v>-0.1416235732700924</v>
      </c>
      <c r="M388" s="26">
        <f t="shared" ref="M388:M451" si="67">AVERAGEA(H388:H408)-AVERAGE(H409:H429)</f>
        <v>3.8741979576998098E-2</v>
      </c>
      <c r="N388" s="26">
        <f t="shared" ref="N388:N451" si="68">AVERAGEA(H388:H408)-AVERAGE(H409:H464)</f>
        <v>5.7054464147938022E-2</v>
      </c>
      <c r="O388" s="26">
        <f t="shared" ref="O388:O451" si="69">AVERAGEA(H388:H408)-AVERAGE(H409:H521)</f>
        <v>7.698256437423634E-2</v>
      </c>
    </row>
    <row r="389" spans="1:15" x14ac:dyDescent="0.25">
      <c r="A389" s="2">
        <v>44949</v>
      </c>
      <c r="B389">
        <v>64290</v>
      </c>
      <c r="C389">
        <v>70018</v>
      </c>
      <c r="D389">
        <v>581198</v>
      </c>
      <c r="F389">
        <f t="shared" si="60"/>
        <v>0.18771051535556654</v>
      </c>
      <c r="G389">
        <f t="shared" si="61"/>
        <v>-1.6347384722732505</v>
      </c>
      <c r="H389">
        <f t="shared" si="62"/>
        <v>1.0890962824700576</v>
      </c>
      <c r="I389">
        <f t="shared" si="63"/>
        <v>0.11078831154472744</v>
      </c>
      <c r="J389" s="26">
        <f t="shared" si="64"/>
        <v>-9.1532124154395267E-2</v>
      </c>
      <c r="K389" s="26">
        <f t="shared" si="65"/>
        <v>-0.13040378288624072</v>
      </c>
      <c r="L389" s="26">
        <f t="shared" si="66"/>
        <v>-0.14595980134427555</v>
      </c>
      <c r="M389" s="26">
        <f t="shared" si="67"/>
        <v>4.7485558160070163E-2</v>
      </c>
      <c r="N389" s="26">
        <f t="shared" si="68"/>
        <v>6.1635601212930213E-2</v>
      </c>
      <c r="O389" s="26">
        <f t="shared" si="69"/>
        <v>7.961729869218015E-2</v>
      </c>
    </row>
    <row r="390" spans="1:15" x14ac:dyDescent="0.25">
      <c r="A390" s="2">
        <v>44946</v>
      </c>
      <c r="B390">
        <v>63565</v>
      </c>
      <c r="C390">
        <v>69018</v>
      </c>
      <c r="D390">
        <v>575793</v>
      </c>
      <c r="F390">
        <f t="shared" si="60"/>
        <v>0.18716472607767626</v>
      </c>
      <c r="G390">
        <f t="shared" si="61"/>
        <v>-1.6571504541163091</v>
      </c>
      <c r="H390">
        <f t="shared" si="62"/>
        <v>1.0857862030991898</v>
      </c>
      <c r="I390">
        <f t="shared" si="63"/>
        <v>5.8658473381344181E-2</v>
      </c>
      <c r="J390" s="26">
        <f t="shared" si="64"/>
        <v>-0.10201834111582109</v>
      </c>
      <c r="K390" s="26">
        <f t="shared" si="65"/>
        <v>-0.13560508021030609</v>
      </c>
      <c r="L390" s="26">
        <f t="shared" si="66"/>
        <v>-0.14982098350027173</v>
      </c>
      <c r="M390" s="26">
        <f t="shared" si="67"/>
        <v>6.0281787055047387E-2</v>
      </c>
      <c r="N390" s="26">
        <f t="shared" si="68"/>
        <v>7.0164134616305329E-2</v>
      </c>
      <c r="O390" s="26">
        <f t="shared" si="69"/>
        <v>8.649021107665722E-2</v>
      </c>
    </row>
    <row r="391" spans="1:15" x14ac:dyDescent="0.25">
      <c r="A391" s="2">
        <v>44945</v>
      </c>
      <c r="B391">
        <v>62510</v>
      </c>
      <c r="C391">
        <v>68968</v>
      </c>
      <c r="D391">
        <v>574745</v>
      </c>
      <c r="F391">
        <f t="shared" si="60"/>
        <v>0.18617065714370673</v>
      </c>
      <c r="G391">
        <f t="shared" si="61"/>
        <v>-1.6856332186287086</v>
      </c>
      <c r="H391">
        <f t="shared" si="62"/>
        <v>1.1033114701647737</v>
      </c>
      <c r="I391">
        <f t="shared" si="63"/>
        <v>0.31333364227544586</v>
      </c>
      <c r="J391" s="26">
        <f t="shared" si="64"/>
        <v>-0.11252154626879912</v>
      </c>
      <c r="K391" s="26">
        <f t="shared" si="65"/>
        <v>-0.14076951190463066</v>
      </c>
      <c r="L391" s="26">
        <f t="shared" si="66"/>
        <v>-0.15365015891109335</v>
      </c>
      <c r="M391" s="26">
        <f t="shared" si="67"/>
        <v>7.2960554963336088E-2</v>
      </c>
      <c r="N391" s="26">
        <f t="shared" si="68"/>
        <v>7.9023186344024499E-2</v>
      </c>
      <c r="O391" s="26">
        <f t="shared" si="69"/>
        <v>9.3473210152470232E-2</v>
      </c>
    </row>
    <row r="392" spans="1:15" x14ac:dyDescent="0.25">
      <c r="A392" s="2">
        <v>44944</v>
      </c>
      <c r="B392">
        <v>57875</v>
      </c>
      <c r="C392">
        <v>66581</v>
      </c>
      <c r="D392">
        <v>574035</v>
      </c>
      <c r="F392">
        <f t="shared" si="60"/>
        <v>0.17817838740942976</v>
      </c>
      <c r="G392">
        <f t="shared" si="61"/>
        <v>-1.8045196453230958</v>
      </c>
      <c r="H392">
        <f t="shared" si="62"/>
        <v>1.1504276457883369</v>
      </c>
      <c r="I392">
        <f t="shared" si="63"/>
        <v>1.0049026854248546</v>
      </c>
      <c r="J392" s="26">
        <f t="shared" si="64"/>
        <v>-0.12300827231576095</v>
      </c>
      <c r="K392" s="26">
        <f t="shared" si="65"/>
        <v>-0.14589070503830209</v>
      </c>
      <c r="L392" s="26">
        <f t="shared" si="66"/>
        <v>-0.15743569575566202</v>
      </c>
      <c r="M392" s="26">
        <f t="shared" si="67"/>
        <v>8.3661850359626699E-2</v>
      </c>
      <c r="N392" s="26">
        <f t="shared" si="68"/>
        <v>8.6658875676691283E-2</v>
      </c>
      <c r="O392" s="26">
        <f t="shared" si="69"/>
        <v>9.9226999448850828E-2</v>
      </c>
    </row>
    <row r="393" spans="1:15" x14ac:dyDescent="0.25">
      <c r="A393" s="2">
        <v>44943</v>
      </c>
      <c r="B393">
        <v>56425</v>
      </c>
      <c r="C393">
        <v>62769</v>
      </c>
      <c r="D393">
        <v>573226</v>
      </c>
      <c r="F393">
        <f t="shared" si="60"/>
        <v>0.17214118598538458</v>
      </c>
      <c r="G393">
        <f t="shared" si="61"/>
        <v>-1.9011409268146844</v>
      </c>
      <c r="H393">
        <f t="shared" si="62"/>
        <v>1.1124324324324324</v>
      </c>
      <c r="I393">
        <f t="shared" si="63"/>
        <v>0.45324296370350076</v>
      </c>
      <c r="J393" s="26">
        <f t="shared" si="64"/>
        <v>-0.1375333997513756</v>
      </c>
      <c r="K393" s="26">
        <f t="shared" si="65"/>
        <v>-0.1537080175919385</v>
      </c>
      <c r="L393" s="26">
        <f t="shared" si="66"/>
        <v>-0.16344773277946331</v>
      </c>
      <c r="M393" s="26">
        <f t="shared" si="67"/>
        <v>9.752461038992899E-2</v>
      </c>
      <c r="N393" s="26">
        <f t="shared" si="68"/>
        <v>9.5777110812459654E-2</v>
      </c>
      <c r="O393" s="26">
        <f t="shared" si="69"/>
        <v>0.10592352192602528</v>
      </c>
    </row>
    <row r="394" spans="1:15" x14ac:dyDescent="0.25">
      <c r="A394" s="2">
        <v>44942</v>
      </c>
      <c r="B394">
        <v>56042</v>
      </c>
      <c r="C394">
        <v>60869</v>
      </c>
      <c r="D394">
        <v>571877</v>
      </c>
      <c r="F394">
        <f t="shared" si="60"/>
        <v>0.16973437400186994</v>
      </c>
      <c r="G394">
        <f t="shared" si="61"/>
        <v>-1.9529209776649266</v>
      </c>
      <c r="H394">
        <f t="shared" si="62"/>
        <v>1.0861318296991542</v>
      </c>
      <c r="I394">
        <f t="shared" si="63"/>
        <v>6.3128854890852293E-2</v>
      </c>
      <c r="J394" s="26">
        <f t="shared" si="64"/>
        <v>-0.15181404455746483</v>
      </c>
      <c r="K394" s="26">
        <f t="shared" si="65"/>
        <v>-0.16124095818268375</v>
      </c>
      <c r="L394" s="26">
        <f t="shared" si="66"/>
        <v>-0.16919702601098163</v>
      </c>
      <c r="M394" s="26">
        <f t="shared" si="67"/>
        <v>0.11399916273418986</v>
      </c>
      <c r="N394" s="26">
        <f t="shared" si="68"/>
        <v>0.10744993703995576</v>
      </c>
      <c r="O394" s="26">
        <f t="shared" si="69"/>
        <v>0.11493857719560197</v>
      </c>
    </row>
    <row r="395" spans="1:15" x14ac:dyDescent="0.25">
      <c r="A395" s="2">
        <v>44939</v>
      </c>
      <c r="B395">
        <v>54442</v>
      </c>
      <c r="C395">
        <v>60219</v>
      </c>
      <c r="D395">
        <v>569078</v>
      </c>
      <c r="F395">
        <f t="shared" si="60"/>
        <v>0.16769703059208266</v>
      </c>
      <c r="G395">
        <f t="shared" si="61"/>
        <v>-2.0013860605469782</v>
      </c>
      <c r="H395">
        <f t="shared" si="62"/>
        <v>1.1061129275191948</v>
      </c>
      <c r="I395">
        <f t="shared" si="63"/>
        <v>0.3540266741414842</v>
      </c>
      <c r="J395" s="26">
        <f t="shared" si="64"/>
        <v>-0.16612446715104609</v>
      </c>
      <c r="K395" s="26">
        <f t="shared" si="65"/>
        <v>-0.16883739503906489</v>
      </c>
      <c r="L395" s="26">
        <f t="shared" si="66"/>
        <v>-0.17499875228054998</v>
      </c>
      <c r="M395" s="26">
        <f t="shared" si="67"/>
        <v>0.13387520725459212</v>
      </c>
      <c r="N395" s="26">
        <f t="shared" si="68"/>
        <v>0.12228790447056581</v>
      </c>
      <c r="O395" s="26">
        <f t="shared" si="69"/>
        <v>0.12680349378476863</v>
      </c>
    </row>
    <row r="396" spans="1:15" x14ac:dyDescent="0.25">
      <c r="A396" s="2">
        <v>44938</v>
      </c>
      <c r="B396">
        <v>53447</v>
      </c>
      <c r="C396">
        <v>58769</v>
      </c>
      <c r="D396">
        <v>567674</v>
      </c>
      <c r="F396">
        <f t="shared" si="60"/>
        <v>0.16505022871346836</v>
      </c>
      <c r="G396">
        <f t="shared" si="61"/>
        <v>-2.0594987477360287</v>
      </c>
      <c r="H396">
        <f t="shared" si="62"/>
        <v>1.0995752801841077</v>
      </c>
      <c r="I396">
        <f t="shared" si="63"/>
        <v>0.25407079979302688</v>
      </c>
      <c r="J396" s="26">
        <f t="shared" si="64"/>
        <v>-0.18037280606413253</v>
      </c>
      <c r="K396" s="26">
        <f t="shared" si="65"/>
        <v>-0.17642150618720237</v>
      </c>
      <c r="L396" s="26">
        <f t="shared" si="66"/>
        <v>-0.18078565302548644</v>
      </c>
      <c r="M396" s="26">
        <f t="shared" si="67"/>
        <v>0.15259954627672245</v>
      </c>
      <c r="N396" s="26">
        <f t="shared" si="68"/>
        <v>0.13557661565893531</v>
      </c>
      <c r="O396" s="26">
        <f t="shared" si="69"/>
        <v>0.13711549221295516</v>
      </c>
    </row>
    <row r="397" spans="1:15" x14ac:dyDescent="0.25">
      <c r="A397" s="2">
        <v>44937</v>
      </c>
      <c r="B397">
        <v>53172</v>
      </c>
      <c r="C397">
        <v>58119</v>
      </c>
      <c r="D397">
        <v>563087</v>
      </c>
      <c r="F397">
        <f t="shared" si="60"/>
        <v>0.16502762545634644</v>
      </c>
      <c r="G397">
        <f t="shared" si="61"/>
        <v>-2.0844307688845825</v>
      </c>
      <c r="H397">
        <f t="shared" si="62"/>
        <v>1.093037689009253</v>
      </c>
      <c r="I397">
        <f t="shared" si="63"/>
        <v>0.15297855126914717</v>
      </c>
      <c r="J397" s="26">
        <f t="shared" si="64"/>
        <v>-0.17234243716954498</v>
      </c>
      <c r="K397" s="26">
        <f t="shared" si="65"/>
        <v>-0.16858348952368843</v>
      </c>
      <c r="L397" s="26">
        <f t="shared" si="66"/>
        <v>-0.1732762693491208</v>
      </c>
      <c r="M397" s="26">
        <f t="shared" si="67"/>
        <v>0.13945434621856734</v>
      </c>
      <c r="N397" s="26">
        <f t="shared" si="68"/>
        <v>0.12728838327044767</v>
      </c>
      <c r="O397" s="26">
        <f t="shared" si="69"/>
        <v>0.12851435449091819</v>
      </c>
    </row>
    <row r="398" spans="1:15" x14ac:dyDescent="0.25">
      <c r="A398" s="2">
        <v>44936</v>
      </c>
      <c r="B398">
        <v>51042</v>
      </c>
      <c r="C398">
        <v>57369</v>
      </c>
      <c r="D398">
        <v>565691</v>
      </c>
      <c r="F398">
        <f t="shared" si="60"/>
        <v>0.1608228428338738</v>
      </c>
      <c r="G398">
        <f t="shared" si="61"/>
        <v>-2.1665067963481959</v>
      </c>
      <c r="H398">
        <f t="shared" si="62"/>
        <v>1.1239567415069942</v>
      </c>
      <c r="I398">
        <f t="shared" si="63"/>
        <v>0.60310677623072528</v>
      </c>
      <c r="J398" s="26">
        <f t="shared" si="64"/>
        <v>-0.16431801275257077</v>
      </c>
      <c r="K398" s="26">
        <f t="shared" si="65"/>
        <v>-0.16073734988720764</v>
      </c>
      <c r="L398" s="26">
        <f t="shared" si="66"/>
        <v>-0.16573413845087184</v>
      </c>
      <c r="M398" s="26">
        <f t="shared" si="67"/>
        <v>0.12852638646138059</v>
      </c>
      <c r="N398" s="26">
        <f t="shared" si="68"/>
        <v>0.12010200283134709</v>
      </c>
      <c r="O398" s="26">
        <f t="shared" si="69"/>
        <v>0.12096735899685185</v>
      </c>
    </row>
    <row r="399" spans="1:15" x14ac:dyDescent="0.25">
      <c r="A399" s="2">
        <v>44935</v>
      </c>
      <c r="B399">
        <v>51417</v>
      </c>
      <c r="C399">
        <v>55469</v>
      </c>
      <c r="D399">
        <v>564539</v>
      </c>
      <c r="F399">
        <f t="shared" si="60"/>
        <v>0.15919276166362586</v>
      </c>
      <c r="G399">
        <f t="shared" si="61"/>
        <v>-2.2163045542644673</v>
      </c>
      <c r="H399">
        <f t="shared" si="62"/>
        <v>1.0788066203784741</v>
      </c>
      <c r="I399">
        <f t="shared" si="63"/>
        <v>-6.0556047868974498E-2</v>
      </c>
      <c r="J399" s="26">
        <f t="shared" si="64"/>
        <v>-0.15603218383764805</v>
      </c>
      <c r="K399" s="26">
        <f t="shared" si="65"/>
        <v>-0.1526473003120421</v>
      </c>
      <c r="L399" s="26">
        <f t="shared" si="66"/>
        <v>-0.15798440053705803</v>
      </c>
      <c r="M399" s="26">
        <f t="shared" si="67"/>
        <v>0.11803652241089391</v>
      </c>
      <c r="N399" s="26">
        <f t="shared" si="68"/>
        <v>0.1121404357421274</v>
      </c>
      <c r="O399" s="26">
        <f t="shared" si="69"/>
        <v>0.11282700103911569</v>
      </c>
    </row>
    <row r="400" spans="1:15" x14ac:dyDescent="0.25">
      <c r="A400" s="2">
        <v>44932</v>
      </c>
      <c r="B400">
        <v>50217</v>
      </c>
      <c r="C400">
        <v>55369</v>
      </c>
      <c r="D400">
        <v>568085</v>
      </c>
      <c r="F400">
        <f t="shared" si="60"/>
        <v>0.15673229217229181</v>
      </c>
      <c r="G400">
        <f t="shared" si="61"/>
        <v>-2.2792104870642538</v>
      </c>
      <c r="H400">
        <f t="shared" si="62"/>
        <v>1.1025947388334627</v>
      </c>
      <c r="I400">
        <f t="shared" si="63"/>
        <v>0.27966888031727422</v>
      </c>
      <c r="J400" s="26">
        <f t="shared" si="64"/>
        <v>-0.1478809965466826</v>
      </c>
      <c r="K400" s="26">
        <f t="shared" si="65"/>
        <v>-0.14460298363207527</v>
      </c>
      <c r="L400" s="26">
        <f t="shared" si="66"/>
        <v>-0.15024275862324446</v>
      </c>
      <c r="M400" s="26">
        <f t="shared" si="67"/>
        <v>0.11087790529984276</v>
      </c>
      <c r="N400" s="26">
        <f t="shared" si="68"/>
        <v>0.10725706444791272</v>
      </c>
      <c r="O400" s="26">
        <f t="shared" si="69"/>
        <v>0.10743900857828925</v>
      </c>
    </row>
    <row r="401" spans="1:15" x14ac:dyDescent="0.25">
      <c r="A401" s="2">
        <v>44931</v>
      </c>
      <c r="B401">
        <v>48517</v>
      </c>
      <c r="C401">
        <v>54744</v>
      </c>
      <c r="D401">
        <v>568284</v>
      </c>
      <c r="F401">
        <f t="shared" si="60"/>
        <v>0.15376631499006024</v>
      </c>
      <c r="G401">
        <f t="shared" si="61"/>
        <v>-2.3513932760034311</v>
      </c>
      <c r="H401">
        <f t="shared" si="62"/>
        <v>1.1283467650514252</v>
      </c>
      <c r="I401">
        <f t="shared" si="63"/>
        <v>0.64899479097853596</v>
      </c>
      <c r="J401" s="26">
        <f t="shared" si="64"/>
        <v>-0.13960411830573566</v>
      </c>
      <c r="K401" s="26">
        <f t="shared" si="65"/>
        <v>-0.13672544216875115</v>
      </c>
      <c r="L401" s="26">
        <f t="shared" si="66"/>
        <v>-0.14234480987155562</v>
      </c>
      <c r="M401" s="26">
        <f t="shared" si="67"/>
        <v>0.10371845433070659</v>
      </c>
      <c r="N401" s="26">
        <f t="shared" si="68"/>
        <v>0.10184344119812283</v>
      </c>
      <c r="O401" s="26">
        <f t="shared" si="69"/>
        <v>0.10159979299397404</v>
      </c>
    </row>
    <row r="402" spans="1:15" x14ac:dyDescent="0.25">
      <c r="A402" s="2">
        <v>44930</v>
      </c>
      <c r="B402">
        <v>43067</v>
      </c>
      <c r="C402">
        <v>54119</v>
      </c>
      <c r="D402">
        <v>585391</v>
      </c>
      <c r="F402">
        <f t="shared" si="60"/>
        <v>0.14238100609894561</v>
      </c>
      <c r="G402">
        <f t="shared" si="61"/>
        <v>-2.5443554289632937</v>
      </c>
      <c r="H402">
        <f t="shared" si="62"/>
        <v>1.2566234007476722</v>
      </c>
      <c r="I402">
        <f t="shared" si="63"/>
        <v>2.5132194510631805</v>
      </c>
      <c r="J402" s="26">
        <f t="shared" si="64"/>
        <v>-0.13115556653890165</v>
      </c>
      <c r="K402" s="26">
        <f t="shared" si="65"/>
        <v>-0.12869865961093702</v>
      </c>
      <c r="L402" s="26">
        <f t="shared" si="66"/>
        <v>-0.13427602045962062</v>
      </c>
      <c r="M402" s="26">
        <f t="shared" si="67"/>
        <v>9.55884273516312E-2</v>
      </c>
      <c r="N402" s="26">
        <f t="shared" si="68"/>
        <v>9.5174736416407502E-2</v>
      </c>
      <c r="O402" s="26">
        <f t="shared" si="69"/>
        <v>9.4310702991976081E-2</v>
      </c>
    </row>
    <row r="403" spans="1:15" x14ac:dyDescent="0.25">
      <c r="A403" s="2">
        <v>44929</v>
      </c>
      <c r="B403">
        <v>42667</v>
      </c>
      <c r="C403">
        <v>52534</v>
      </c>
      <c r="D403">
        <v>586856</v>
      </c>
      <c r="F403">
        <f t="shared" si="60"/>
        <v>0.1395792433770198</v>
      </c>
      <c r="G403">
        <f t="shared" si="61"/>
        <v>-2.6241602717430634</v>
      </c>
      <c r="H403">
        <f t="shared" si="62"/>
        <v>1.2312560058124546</v>
      </c>
      <c r="I403">
        <f t="shared" si="63"/>
        <v>2.2070091274357777</v>
      </c>
      <c r="J403" s="26">
        <f t="shared" si="64"/>
        <v>-0.12250815980394575</v>
      </c>
      <c r="K403" s="26">
        <f t="shared" si="65"/>
        <v>-0.12039452112392546</v>
      </c>
      <c r="L403" s="26">
        <f t="shared" si="66"/>
        <v>-0.12585419741285792</v>
      </c>
      <c r="M403" s="26">
        <f t="shared" si="67"/>
        <v>8.2070312556372205E-2</v>
      </c>
      <c r="N403" s="26">
        <f t="shared" si="68"/>
        <v>8.2858763044001194E-2</v>
      </c>
      <c r="O403" s="26">
        <f t="shared" si="69"/>
        <v>8.1270757384497072E-2</v>
      </c>
    </row>
    <row r="404" spans="1:15" x14ac:dyDescent="0.25">
      <c r="A404" s="2">
        <v>44928</v>
      </c>
      <c r="B404">
        <v>42667</v>
      </c>
      <c r="C404">
        <v>51959</v>
      </c>
      <c r="D404">
        <v>586620</v>
      </c>
      <c r="F404">
        <f t="shared" si="60"/>
        <v>0.13890136602636932</v>
      </c>
      <c r="G404">
        <f t="shared" si="61"/>
        <v>-2.6773229822284041</v>
      </c>
      <c r="H404">
        <f t="shared" si="62"/>
        <v>1.2177795485972767</v>
      </c>
      <c r="I404">
        <f t="shared" si="63"/>
        <v>2.0499745895835297</v>
      </c>
      <c r="J404" s="26">
        <f t="shared" si="64"/>
        <v>-0.11372178977907754</v>
      </c>
      <c r="K404" s="26">
        <f t="shared" si="65"/>
        <v>-0.11187704696273093</v>
      </c>
      <c r="L404" s="26">
        <f t="shared" si="66"/>
        <v>-0.11721765922541566</v>
      </c>
      <c r="M404" s="26">
        <f t="shared" si="67"/>
        <v>7.0582179310630266E-2</v>
      </c>
      <c r="N404" s="26">
        <f t="shared" si="68"/>
        <v>7.2315697343285912E-2</v>
      </c>
      <c r="O404" s="26">
        <f t="shared" si="69"/>
        <v>7.010198140958912E-2</v>
      </c>
    </row>
    <row r="405" spans="1:15" x14ac:dyDescent="0.25">
      <c r="A405" s="2">
        <v>44925</v>
      </c>
      <c r="B405">
        <v>42667</v>
      </c>
      <c r="C405">
        <v>51959</v>
      </c>
      <c r="D405">
        <v>586988</v>
      </c>
      <c r="F405">
        <f t="shared" si="60"/>
        <v>0.13882637387142871</v>
      </c>
      <c r="G405">
        <f t="shared" si="61"/>
        <v>-2.724196462095879</v>
      </c>
      <c r="H405">
        <f t="shared" si="62"/>
        <v>1.2177795485972767</v>
      </c>
      <c r="I405">
        <f t="shared" si="63"/>
        <v>2.0845112335303702</v>
      </c>
      <c r="J405" s="26">
        <f t="shared" si="64"/>
        <v>-0.10532613744701508</v>
      </c>
      <c r="K405" s="26">
        <f t="shared" si="65"/>
        <v>-0.10362790640615299</v>
      </c>
      <c r="L405" s="26">
        <f t="shared" si="66"/>
        <v>-0.10873061867322825</v>
      </c>
      <c r="M405" s="26">
        <f t="shared" si="67"/>
        <v>6.1888459584002353E-2</v>
      </c>
      <c r="N405" s="26">
        <f t="shared" si="68"/>
        <v>6.4260630744419345E-2</v>
      </c>
      <c r="O405" s="26">
        <f t="shared" si="69"/>
        <v>6.1257171568440016E-2</v>
      </c>
    </row>
    <row r="406" spans="1:15" x14ac:dyDescent="0.25">
      <c r="A406" s="2">
        <v>44924</v>
      </c>
      <c r="B406">
        <v>42667</v>
      </c>
      <c r="C406">
        <v>51959</v>
      </c>
      <c r="D406">
        <v>586451</v>
      </c>
      <c r="F406">
        <f t="shared" si="60"/>
        <v>0.13893583251232974</v>
      </c>
      <c r="G406">
        <f t="shared" si="61"/>
        <v>-2.7704544607328319</v>
      </c>
      <c r="H406">
        <f t="shared" si="62"/>
        <v>1.2177795485972767</v>
      </c>
      <c r="I406">
        <f t="shared" si="63"/>
        <v>2.1137608253864553</v>
      </c>
      <c r="J406" s="26">
        <f t="shared" si="64"/>
        <v>-9.672201364847488E-2</v>
      </c>
      <c r="K406" s="26">
        <f t="shared" si="65"/>
        <v>-9.5313533813058571E-2</v>
      </c>
      <c r="L406" s="26">
        <f t="shared" si="66"/>
        <v>-0.1001304028498527</v>
      </c>
      <c r="M406" s="26">
        <f t="shared" si="67"/>
        <v>5.3148546606079039E-2</v>
      </c>
      <c r="N406" s="26">
        <f t="shared" si="68"/>
        <v>5.7530331066296236E-2</v>
      </c>
      <c r="O406" s="26">
        <f t="shared" si="69"/>
        <v>5.3247392439173424E-2</v>
      </c>
    </row>
    <row r="407" spans="1:15" x14ac:dyDescent="0.25">
      <c r="A407" s="2">
        <v>44923</v>
      </c>
      <c r="B407">
        <v>42667</v>
      </c>
      <c r="C407">
        <v>51949</v>
      </c>
      <c r="D407">
        <v>585745</v>
      </c>
      <c r="F407">
        <f t="shared" si="60"/>
        <v>0.13906734806962776</v>
      </c>
      <c r="G407">
        <f t="shared" si="61"/>
        <v>-2.8186355668545429</v>
      </c>
      <c r="H407">
        <f t="shared" si="62"/>
        <v>1.2175451754283169</v>
      </c>
      <c r="I407">
        <f t="shared" si="63"/>
        <v>2.1403400522994525</v>
      </c>
      <c r="J407" s="26">
        <f t="shared" si="64"/>
        <v>-8.7962900169710201E-2</v>
      </c>
      <c r="K407" s="26">
        <f t="shared" si="65"/>
        <v>-8.7067374706164435E-2</v>
      </c>
      <c r="L407" s="26">
        <f t="shared" si="66"/>
        <v>-9.1543385230506202E-2</v>
      </c>
      <c r="M407" s="26">
        <f t="shared" si="67"/>
        <v>4.3877381618226741E-2</v>
      </c>
      <c r="N407" s="26">
        <f t="shared" si="68"/>
        <v>5.0746108608336948E-2</v>
      </c>
      <c r="O407" s="26">
        <f t="shared" si="69"/>
        <v>4.5112478808522871E-2</v>
      </c>
    </row>
    <row r="408" spans="1:15" x14ac:dyDescent="0.25">
      <c r="A408" s="2">
        <v>44922</v>
      </c>
      <c r="B408">
        <v>42667</v>
      </c>
      <c r="C408">
        <v>51949</v>
      </c>
      <c r="D408">
        <v>584911</v>
      </c>
      <c r="F408">
        <f t="shared" si="60"/>
        <v>0.13923802880533076</v>
      </c>
      <c r="G408">
        <f t="shared" si="61"/>
        <v>-2.8684370552128633</v>
      </c>
      <c r="H408">
        <f t="shared" si="62"/>
        <v>1.2175451754283169</v>
      </c>
      <c r="I408">
        <f t="shared" si="63"/>
        <v>2.1607317735025751</v>
      </c>
      <c r="J408" s="26">
        <f t="shared" si="64"/>
        <v>-7.9797397998076558E-2</v>
      </c>
      <c r="K408" s="26">
        <f t="shared" si="65"/>
        <v>-7.9225440842794315E-2</v>
      </c>
      <c r="L408" s="26">
        <f t="shared" si="66"/>
        <v>-8.3307550648275552E-2</v>
      </c>
      <c r="M408" s="26">
        <f t="shared" si="67"/>
        <v>3.5409865552161301E-2</v>
      </c>
      <c r="N408" s="26">
        <f t="shared" si="68"/>
        <v>4.4497667112478823E-2</v>
      </c>
      <c r="O408" s="26">
        <f t="shared" si="69"/>
        <v>3.7487886942643156E-2</v>
      </c>
    </row>
    <row r="409" spans="1:15" x14ac:dyDescent="0.25">
      <c r="A409" s="2">
        <v>44918</v>
      </c>
      <c r="B409">
        <v>42667</v>
      </c>
      <c r="C409">
        <v>51949</v>
      </c>
      <c r="D409">
        <v>584832</v>
      </c>
      <c r="F409">
        <f t="shared" si="60"/>
        <v>0.13925421813001143</v>
      </c>
      <c r="G409">
        <f t="shared" si="61"/>
        <v>-2.9230546398076416</v>
      </c>
      <c r="H409">
        <f t="shared" si="62"/>
        <v>1.2175451754283169</v>
      </c>
      <c r="I409">
        <f t="shared" si="63"/>
        <v>2.1806637564333</v>
      </c>
      <c r="J409" s="26">
        <f t="shared" si="64"/>
        <v>-7.1487648885987576E-2</v>
      </c>
      <c r="K409" s="26">
        <f t="shared" si="65"/>
        <v>-7.1313305120304427E-2</v>
      </c>
      <c r="L409" s="26">
        <f t="shared" si="66"/>
        <v>-7.5397835714356043E-2</v>
      </c>
      <c r="M409" s="26">
        <f t="shared" si="67"/>
        <v>2.6570472690883529E-2</v>
      </c>
      <c r="N409" s="26">
        <f t="shared" si="68"/>
        <v>3.7886931290638914E-2</v>
      </c>
      <c r="O409" s="26">
        <f t="shared" si="69"/>
        <v>3.0112762830897699E-2</v>
      </c>
    </row>
    <row r="410" spans="1:15" x14ac:dyDescent="0.25">
      <c r="A410" s="2">
        <v>44917</v>
      </c>
      <c r="B410">
        <v>42667</v>
      </c>
      <c r="C410">
        <v>51949</v>
      </c>
      <c r="D410">
        <v>581722</v>
      </c>
      <c r="F410">
        <f t="shared" si="60"/>
        <v>0.13989454976653684</v>
      </c>
      <c r="G410">
        <f t="shared" si="61"/>
        <v>-2.9701055065688498</v>
      </c>
      <c r="H410">
        <f t="shared" si="62"/>
        <v>1.2175451754283169</v>
      </c>
      <c r="I410">
        <f t="shared" si="63"/>
        <v>2.205492547443646</v>
      </c>
      <c r="J410" s="26">
        <f t="shared" si="64"/>
        <v>-6.3282524340939339E-2</v>
      </c>
      <c r="K410" s="26">
        <f t="shared" si="65"/>
        <v>-6.3451794635170755E-2</v>
      </c>
      <c r="L410" s="26">
        <f t="shared" si="66"/>
        <v>-6.7551784625123901E-2</v>
      </c>
      <c r="M410" s="26">
        <f t="shared" si="67"/>
        <v>1.6859637796107219E-2</v>
      </c>
      <c r="N410" s="26">
        <f t="shared" si="68"/>
        <v>3.1266785986296064E-2</v>
      </c>
      <c r="O410" s="26">
        <f t="shared" si="69"/>
        <v>2.2698299422566848E-2</v>
      </c>
    </row>
    <row r="411" spans="1:15" x14ac:dyDescent="0.25">
      <c r="A411" s="2">
        <v>44916</v>
      </c>
      <c r="B411">
        <v>42667</v>
      </c>
      <c r="C411">
        <v>51949</v>
      </c>
      <c r="D411">
        <v>580837</v>
      </c>
      <c r="F411">
        <f t="shared" si="60"/>
        <v>0.14007784405428653</v>
      </c>
      <c r="G411">
        <f t="shared" si="61"/>
        <v>-3.0267850960550899</v>
      </c>
      <c r="H411">
        <f t="shared" si="62"/>
        <v>1.2175451754283169</v>
      </c>
      <c r="I411">
        <f t="shared" si="63"/>
        <v>2.2374232644256171</v>
      </c>
      <c r="J411" s="26">
        <f t="shared" si="64"/>
        <v>-5.5326855611181169E-2</v>
      </c>
      <c r="K411" s="26">
        <f t="shared" si="65"/>
        <v>-5.5667560689180495E-2</v>
      </c>
      <c r="L411" s="26">
        <f t="shared" si="66"/>
        <v>-5.9770405506053392E-2</v>
      </c>
      <c r="M411" s="26">
        <f t="shared" si="67"/>
        <v>7.3409920237970105E-3</v>
      </c>
      <c r="N411" s="26">
        <f t="shared" si="68"/>
        <v>2.504189734371165E-2</v>
      </c>
      <c r="O411" s="26">
        <f t="shared" si="69"/>
        <v>1.5708878529718584E-2</v>
      </c>
    </row>
    <row r="412" spans="1:15" x14ac:dyDescent="0.25">
      <c r="A412" s="2">
        <v>44915</v>
      </c>
      <c r="B412">
        <v>42842</v>
      </c>
      <c r="C412">
        <v>51749</v>
      </c>
      <c r="D412">
        <v>581493</v>
      </c>
      <c r="F412">
        <f t="shared" si="60"/>
        <v>0.13991012951053419</v>
      </c>
      <c r="G412">
        <f t="shared" si="61"/>
        <v>-3.091960642830974</v>
      </c>
      <c r="H412">
        <f t="shared" si="62"/>
        <v>1.2079034592222586</v>
      </c>
      <c r="I412">
        <f t="shared" si="63"/>
        <v>2.113586098349876</v>
      </c>
      <c r="J412" s="26">
        <f t="shared" si="64"/>
        <v>-4.7231039231501237E-2</v>
      </c>
      <c r="K412" s="26">
        <f t="shared" si="65"/>
        <v>-4.7813354370284666E-2</v>
      </c>
      <c r="L412" s="26">
        <f t="shared" si="66"/>
        <v>-5.1931130123687885E-2</v>
      </c>
      <c r="M412" s="26">
        <f t="shared" si="67"/>
        <v>-1.4658744338622576E-3</v>
      </c>
      <c r="N412" s="26">
        <f t="shared" si="68"/>
        <v>1.9271435371501333E-2</v>
      </c>
      <c r="O412" s="26">
        <f t="shared" si="69"/>
        <v>9.0455497116419536E-3</v>
      </c>
    </row>
    <row r="413" spans="1:15" x14ac:dyDescent="0.25">
      <c r="A413" s="2">
        <v>44914</v>
      </c>
      <c r="B413">
        <v>37230</v>
      </c>
      <c r="C413">
        <v>47154</v>
      </c>
      <c r="D413">
        <v>815893</v>
      </c>
      <c r="F413">
        <f t="shared" si="60"/>
        <v>9.3731151634441401E-2</v>
      </c>
      <c r="G413">
        <f t="shared" si="61"/>
        <v>-3.9231078023620967</v>
      </c>
      <c r="H413">
        <f t="shared" si="62"/>
        <v>1.2665592264302981</v>
      </c>
      <c r="I413">
        <f t="shared" si="63"/>
        <v>3.1022143886158497</v>
      </c>
      <c r="J413" s="26">
        <f t="shared" si="64"/>
        <v>-3.9014359482990424E-2</v>
      </c>
      <c r="K413" s="26">
        <f t="shared" si="65"/>
        <v>-3.995713270649226E-2</v>
      </c>
      <c r="L413" s="26">
        <f t="shared" si="66"/>
        <v>-4.4070288869608343E-2</v>
      </c>
      <c r="M413" s="26">
        <f t="shared" si="67"/>
        <v>-9.4545397120191499E-3</v>
      </c>
      <c r="N413" s="26">
        <f t="shared" si="68"/>
        <v>1.4357935235824293E-2</v>
      </c>
      <c r="O413" s="26">
        <f t="shared" si="69"/>
        <v>3.0864786663713506E-3</v>
      </c>
    </row>
    <row r="414" spans="1:15" x14ac:dyDescent="0.25">
      <c r="A414" s="2">
        <v>44911</v>
      </c>
      <c r="B414">
        <v>36930</v>
      </c>
      <c r="C414">
        <v>47154</v>
      </c>
      <c r="D414">
        <v>818055</v>
      </c>
      <c r="F414">
        <f t="shared" si="60"/>
        <v>9.3205149095649337E-2</v>
      </c>
      <c r="G414">
        <f t="shared" si="61"/>
        <v>-4.0461156483312628</v>
      </c>
      <c r="H414">
        <f t="shared" si="62"/>
        <v>1.2768480909829407</v>
      </c>
      <c r="I414">
        <f t="shared" si="63"/>
        <v>3.3800689170850799</v>
      </c>
      <c r="J414" s="26">
        <f t="shared" si="64"/>
        <v>-2.8241042444331788E-2</v>
      </c>
      <c r="K414" s="26">
        <f t="shared" si="65"/>
        <v>-2.9891586754498267E-2</v>
      </c>
      <c r="L414" s="26">
        <f t="shared" si="66"/>
        <v>-3.3983160223755082E-2</v>
      </c>
      <c r="M414" s="26">
        <f t="shared" si="67"/>
        <v>-1.6511070349457535E-2</v>
      </c>
      <c r="N414" s="26">
        <f t="shared" si="68"/>
        <v>6.9784351732085081E-3</v>
      </c>
      <c r="O414" s="26">
        <f t="shared" si="69"/>
        <v>-5.4766721173808985E-3</v>
      </c>
    </row>
    <row r="415" spans="1:15" x14ac:dyDescent="0.25">
      <c r="A415" s="2">
        <v>44910</v>
      </c>
      <c r="B415">
        <v>35280</v>
      </c>
      <c r="C415">
        <v>46054</v>
      </c>
      <c r="D415">
        <v>818773</v>
      </c>
      <c r="F415">
        <f t="shared" si="60"/>
        <v>9.0360368267328212E-2</v>
      </c>
      <c r="G415">
        <f t="shared" si="61"/>
        <v>-4.2194714370131452</v>
      </c>
      <c r="H415">
        <f t="shared" si="62"/>
        <v>1.3053854875283446</v>
      </c>
      <c r="I415">
        <f t="shared" si="63"/>
        <v>4.0639076169748458</v>
      </c>
      <c r="J415" s="26">
        <f t="shared" si="64"/>
        <v>-1.7541107424955071E-2</v>
      </c>
      <c r="K415" s="26">
        <f t="shared" si="65"/>
        <v>-1.9866965996023278E-2</v>
      </c>
      <c r="L415" s="26">
        <f t="shared" si="66"/>
        <v>-2.3884475904957847E-2</v>
      </c>
      <c r="M415" s="26">
        <f t="shared" si="67"/>
        <v>-2.4142879199805733E-2</v>
      </c>
      <c r="N415" s="26">
        <f t="shared" si="68"/>
        <v>-4.6994750534423702E-4</v>
      </c>
      <c r="O415" s="26">
        <f t="shared" si="69"/>
        <v>-1.4299431916344529E-2</v>
      </c>
    </row>
    <row r="416" spans="1:15" x14ac:dyDescent="0.25">
      <c r="A416" s="2">
        <v>44909</v>
      </c>
      <c r="B416">
        <v>35280</v>
      </c>
      <c r="C416">
        <v>45654</v>
      </c>
      <c r="D416">
        <v>828194</v>
      </c>
      <c r="F416">
        <f t="shared" si="60"/>
        <v>8.9023767830272521E-2</v>
      </c>
      <c r="G416">
        <f t="shared" si="61"/>
        <v>-4.3841512452400071</v>
      </c>
      <c r="H416">
        <f t="shared" si="62"/>
        <v>1.2940476190476191</v>
      </c>
      <c r="I416">
        <f t="shared" si="63"/>
        <v>4.1632636717564919</v>
      </c>
      <c r="J416" s="26">
        <f t="shared" si="64"/>
        <v>-6.9380803865780605E-3</v>
      </c>
      <c r="K416" s="26">
        <f t="shared" si="65"/>
        <v>-9.4096059751184735E-3</v>
      </c>
      <c r="L416" s="26">
        <f t="shared" si="66"/>
        <v>-1.3810507832680952E-2</v>
      </c>
      <c r="M416" s="26">
        <f t="shared" si="67"/>
        <v>-3.1883055854156961E-2</v>
      </c>
      <c r="N416" s="26">
        <f t="shared" si="68"/>
        <v>-8.3889829858556642E-3</v>
      </c>
      <c r="O416" s="26">
        <f t="shared" si="69"/>
        <v>-2.3814991511845518E-2</v>
      </c>
    </row>
    <row r="417" spans="1:15" x14ac:dyDescent="0.25">
      <c r="A417" s="2">
        <v>44908</v>
      </c>
      <c r="B417">
        <v>203186</v>
      </c>
      <c r="C417">
        <v>193879</v>
      </c>
      <c r="D417">
        <v>836094</v>
      </c>
      <c r="F417">
        <f t="shared" si="60"/>
        <v>0.32199010833152902</v>
      </c>
      <c r="G417">
        <f t="shared" si="61"/>
        <v>-0.20064918893078088</v>
      </c>
      <c r="H417">
        <f t="shared" si="62"/>
        <v>0.95419467876723785</v>
      </c>
      <c r="I417">
        <f t="shared" si="63"/>
        <v>-2.4630624599961819</v>
      </c>
      <c r="J417" s="26">
        <f t="shared" si="64"/>
        <v>3.5872464441905616E-3</v>
      </c>
      <c r="K417" s="26">
        <f t="shared" si="65"/>
        <v>5.1276002774414131E-4</v>
      </c>
      <c r="L417" s="26">
        <f t="shared" si="66"/>
        <v>-3.7770927400140875E-3</v>
      </c>
      <c r="M417" s="26">
        <f t="shared" si="67"/>
        <v>-4.0231643875344281E-2</v>
      </c>
      <c r="N417" s="26">
        <f t="shared" si="68"/>
        <v>-1.6823080166178839E-2</v>
      </c>
      <c r="O417" s="26">
        <f t="shared" si="69"/>
        <v>-3.3890489483781039E-2</v>
      </c>
    </row>
    <row r="418" spans="1:15" x14ac:dyDescent="0.25">
      <c r="A418" s="2">
        <v>44907</v>
      </c>
      <c r="B418">
        <v>202048</v>
      </c>
      <c r="C418">
        <v>195501</v>
      </c>
      <c r="D418">
        <v>835620</v>
      </c>
      <c r="F418">
        <f t="shared" si="60"/>
        <v>0.3223799819813829</v>
      </c>
      <c r="G418">
        <f t="shared" si="61"/>
        <v>-0.18527156105759779</v>
      </c>
      <c r="H418">
        <f t="shared" si="62"/>
        <v>0.96759680867912579</v>
      </c>
      <c r="I418">
        <f t="shared" si="63"/>
        <v>-2.2642181814859224</v>
      </c>
      <c r="J418" s="26">
        <f t="shared" si="64"/>
        <v>3.0824138864389838E-3</v>
      </c>
      <c r="K418" s="26">
        <f t="shared" si="65"/>
        <v>-6.1850311173211603E-4</v>
      </c>
      <c r="L418" s="26">
        <f t="shared" si="66"/>
        <v>-4.7981776462792114E-3</v>
      </c>
      <c r="M418" s="26">
        <f t="shared" si="67"/>
        <v>-3.2366890924083735E-2</v>
      </c>
      <c r="N418" s="26">
        <f t="shared" si="68"/>
        <v>-9.3290840329596225E-3</v>
      </c>
      <c r="O418" s="26">
        <f t="shared" si="69"/>
        <v>-2.8055410621635524E-2</v>
      </c>
    </row>
    <row r="419" spans="1:15" x14ac:dyDescent="0.25">
      <c r="A419" s="2">
        <v>44904</v>
      </c>
      <c r="B419">
        <v>199665</v>
      </c>
      <c r="C419">
        <v>196481</v>
      </c>
      <c r="D419">
        <v>831968</v>
      </c>
      <c r="F419">
        <f t="shared" si="60"/>
        <v>0.32256451762621385</v>
      </c>
      <c r="G419">
        <f t="shared" si="61"/>
        <v>-0.17348356501289716</v>
      </c>
      <c r="H419">
        <f t="shared" si="62"/>
        <v>0.98405328925950963</v>
      </c>
      <c r="I419">
        <f t="shared" si="63"/>
        <v>-1.9793498347970291</v>
      </c>
      <c r="J419" s="26">
        <f t="shared" si="64"/>
        <v>2.6333578013885139E-3</v>
      </c>
      <c r="K419" s="26">
        <f t="shared" si="65"/>
        <v>-1.6889861536237283E-3</v>
      </c>
      <c r="L419" s="26">
        <f t="shared" si="66"/>
        <v>-5.7892330814663384E-3</v>
      </c>
      <c r="M419" s="26">
        <f t="shared" si="67"/>
        <v>-2.6348936785807853E-2</v>
      </c>
      <c r="N419" s="26">
        <f t="shared" si="68"/>
        <v>-3.4936280593378388E-3</v>
      </c>
      <c r="O419" s="26">
        <f t="shared" si="69"/>
        <v>-2.3541976304165102E-2</v>
      </c>
    </row>
    <row r="420" spans="1:15" x14ac:dyDescent="0.25">
      <c r="A420" s="2">
        <v>44903</v>
      </c>
      <c r="B420">
        <v>197090</v>
      </c>
      <c r="C420">
        <v>196531</v>
      </c>
      <c r="D420">
        <v>832940</v>
      </c>
      <c r="F420">
        <f t="shared" si="60"/>
        <v>0.32091432876147213</v>
      </c>
      <c r="G420">
        <f t="shared" si="61"/>
        <v>-0.2119329896465619</v>
      </c>
      <c r="H420">
        <f t="shared" si="62"/>
        <v>0.9971637323050383</v>
      </c>
      <c r="I420">
        <f t="shared" si="63"/>
        <v>-1.7442592500045082</v>
      </c>
      <c r="J420" s="26">
        <f t="shared" si="64"/>
        <v>2.1210768250133905E-3</v>
      </c>
      <c r="K420" s="26">
        <f t="shared" si="65"/>
        <v>-2.8195039277312262E-3</v>
      </c>
      <c r="L420" s="26">
        <f t="shared" si="66"/>
        <v>-6.8395317631919639E-3</v>
      </c>
      <c r="M420" s="26">
        <f t="shared" si="67"/>
        <v>-2.1446483642641789E-2</v>
      </c>
      <c r="N420" s="26">
        <f t="shared" si="68"/>
        <v>1.0710153589761351E-3</v>
      </c>
      <c r="O420" s="26">
        <f t="shared" si="69"/>
        <v>-2.0248590976808423E-2</v>
      </c>
    </row>
    <row r="421" spans="1:15" x14ac:dyDescent="0.25">
      <c r="A421" s="2">
        <v>44902</v>
      </c>
      <c r="B421">
        <v>195740</v>
      </c>
      <c r="C421">
        <v>197544</v>
      </c>
      <c r="D421">
        <v>829032</v>
      </c>
      <c r="F421">
        <f t="shared" si="60"/>
        <v>0.32175313094158958</v>
      </c>
      <c r="G421">
        <f t="shared" si="61"/>
        <v>-0.20505817838136511</v>
      </c>
      <c r="H421">
        <f t="shared" si="62"/>
        <v>1.0092163073464799</v>
      </c>
      <c r="I421">
        <f t="shared" si="63"/>
        <v>-1.5183640008329784</v>
      </c>
      <c r="J421" s="26">
        <f t="shared" si="64"/>
        <v>1.7845464777971887E-3</v>
      </c>
      <c r="K421" s="26">
        <f t="shared" si="65"/>
        <v>-3.7338635863995995E-3</v>
      </c>
      <c r="L421" s="26">
        <f t="shared" si="66"/>
        <v>-7.7525208581338823E-3</v>
      </c>
      <c r="M421" s="26">
        <f t="shared" si="67"/>
        <v>-1.6971856737940216E-2</v>
      </c>
      <c r="N421" s="26">
        <f t="shared" si="68"/>
        <v>5.32192458659142E-3</v>
      </c>
      <c r="O421" s="26">
        <f t="shared" si="69"/>
        <v>-1.7518203706247126E-2</v>
      </c>
    </row>
    <row r="422" spans="1:15" x14ac:dyDescent="0.25">
      <c r="A422" s="2">
        <v>44901</v>
      </c>
      <c r="B422">
        <v>195890</v>
      </c>
      <c r="C422">
        <v>197544</v>
      </c>
      <c r="D422">
        <v>828146</v>
      </c>
      <c r="F422">
        <f t="shared" si="60"/>
        <v>0.32206977848360319</v>
      </c>
      <c r="G422">
        <f t="shared" si="61"/>
        <v>-0.20751169291976407</v>
      </c>
      <c r="H422">
        <f t="shared" si="62"/>
        <v>1.0084435142171626</v>
      </c>
      <c r="I422">
        <f t="shared" si="63"/>
        <v>-1.5640995180224606</v>
      </c>
      <c r="J422" s="26">
        <f t="shared" si="64"/>
        <v>1.6001707402296672E-3</v>
      </c>
      <c r="K422" s="26">
        <f t="shared" si="65"/>
        <v>-4.5633442852453521E-3</v>
      </c>
      <c r="L422" s="26">
        <f t="shared" si="66"/>
        <v>-8.6223670198661284E-3</v>
      </c>
      <c r="M422" s="26">
        <f t="shared" si="67"/>
        <v>-1.3214958122481191E-2</v>
      </c>
      <c r="N422" s="26">
        <f t="shared" si="68"/>
        <v>9.0346744971030457E-3</v>
      </c>
      <c r="O422" s="26">
        <f t="shared" si="69"/>
        <v>-1.5342830990319634E-2</v>
      </c>
    </row>
    <row r="423" spans="1:15" x14ac:dyDescent="0.25">
      <c r="A423" s="2">
        <v>44900</v>
      </c>
      <c r="B423">
        <v>195154</v>
      </c>
      <c r="C423">
        <v>198085</v>
      </c>
      <c r="D423">
        <v>841468</v>
      </c>
      <c r="F423">
        <f t="shared" si="60"/>
        <v>0.31848770599016607</v>
      </c>
      <c r="G423">
        <f t="shared" si="61"/>
        <v>-0.27802166250284349</v>
      </c>
      <c r="H423">
        <f t="shared" si="62"/>
        <v>1.0150189081443373</v>
      </c>
      <c r="I423">
        <f t="shared" si="63"/>
        <v>-1.4484778944940002</v>
      </c>
      <c r="J423" s="26">
        <f t="shared" si="64"/>
        <v>1.417645122452571E-3</v>
      </c>
      <c r="K423" s="26">
        <f t="shared" si="65"/>
        <v>6.926210427181112E-4</v>
      </c>
      <c r="L423" s="26">
        <f t="shared" si="66"/>
        <v>-9.5089425690903506E-3</v>
      </c>
      <c r="M423" s="26">
        <f t="shared" si="67"/>
        <v>-9.8261460135780077E-3</v>
      </c>
      <c r="N423" s="26">
        <f t="shared" si="68"/>
        <v>1.144830748847192E-2</v>
      </c>
      <c r="O423" s="26">
        <f t="shared" si="69"/>
        <v>-1.352171458100071E-2</v>
      </c>
    </row>
    <row r="424" spans="1:15" x14ac:dyDescent="0.25">
      <c r="A424" s="2">
        <v>44897</v>
      </c>
      <c r="B424">
        <v>194304</v>
      </c>
      <c r="C424">
        <v>199270</v>
      </c>
      <c r="D424">
        <v>835916</v>
      </c>
      <c r="F424">
        <f t="shared" si="60"/>
        <v>0.3201115909848799</v>
      </c>
      <c r="G424">
        <f t="shared" si="61"/>
        <v>-0.25726382867257519</v>
      </c>
      <c r="H424">
        <f t="shared" si="62"/>
        <v>1.0255578886693018</v>
      </c>
      <c r="I424">
        <f t="shared" si="63"/>
        <v>-1.2399839622950375</v>
      </c>
      <c r="J424" s="26">
        <f t="shared" si="64"/>
        <v>1.4871557356335718E-3</v>
      </c>
      <c r="K424" s="26">
        <f t="shared" si="65"/>
        <v>1.0254544512589003E-5</v>
      </c>
      <c r="L424" s="26">
        <f t="shared" si="66"/>
        <v>-1.0222909395959656E-2</v>
      </c>
      <c r="M424" s="26">
        <f t="shared" si="67"/>
        <v>-7.8851697476578497E-3</v>
      </c>
      <c r="N424" s="26">
        <f t="shared" si="68"/>
        <v>1.4347561795022612E-2</v>
      </c>
      <c r="O424" s="26">
        <f t="shared" si="69"/>
        <v>-1.2104897806249459E-2</v>
      </c>
    </row>
    <row r="425" spans="1:15" x14ac:dyDescent="0.25">
      <c r="A425" s="2">
        <v>44896</v>
      </c>
      <c r="B425">
        <v>189529</v>
      </c>
      <c r="C425">
        <v>199673</v>
      </c>
      <c r="D425">
        <v>840388</v>
      </c>
      <c r="F425">
        <f t="shared" si="60"/>
        <v>0.31652990021063931</v>
      </c>
      <c r="G425">
        <f t="shared" si="61"/>
        <v>-0.32582098300366702</v>
      </c>
      <c r="H425">
        <f t="shared" si="62"/>
        <v>1.053522152282764</v>
      </c>
      <c r="I425">
        <f t="shared" si="63"/>
        <v>-0.63712364814331512</v>
      </c>
      <c r="J425" s="26">
        <f t="shared" si="64"/>
        <v>1.8914789171898816E-3</v>
      </c>
      <c r="K425" s="26">
        <f t="shared" si="65"/>
        <v>-5.5187095331288294E-4</v>
      </c>
      <c r="L425" s="26">
        <f t="shared" si="66"/>
        <v>-1.0851716636623321E-2</v>
      </c>
      <c r="M425" s="26">
        <f t="shared" si="67"/>
        <v>-7.2096666694281275E-3</v>
      </c>
      <c r="N425" s="26">
        <f t="shared" si="68"/>
        <v>1.6985398726427681E-2</v>
      </c>
      <c r="O425" s="26">
        <f t="shared" si="69"/>
        <v>-1.0960914202064576E-2</v>
      </c>
    </row>
    <row r="426" spans="1:15" x14ac:dyDescent="0.25">
      <c r="A426" s="2">
        <v>44895</v>
      </c>
      <c r="B426">
        <v>188779</v>
      </c>
      <c r="C426">
        <v>201585</v>
      </c>
      <c r="D426">
        <v>836050</v>
      </c>
      <c r="F426">
        <f t="shared" si="60"/>
        <v>0.31829708401893653</v>
      </c>
      <c r="G426">
        <f t="shared" si="61"/>
        <v>-0.30280190303279014</v>
      </c>
      <c r="H426">
        <f t="shared" si="62"/>
        <v>1.0678359351410909</v>
      </c>
      <c r="I426">
        <f t="shared" si="63"/>
        <v>-0.32977654358057873</v>
      </c>
      <c r="J426" s="26">
        <f t="shared" si="64"/>
        <v>2.6271251279106345E-3</v>
      </c>
      <c r="K426" s="26">
        <f t="shared" si="65"/>
        <v>-8.0182900683400948E-4</v>
      </c>
      <c r="L426" s="26">
        <f t="shared" si="66"/>
        <v>-1.1217491884352171E-2</v>
      </c>
      <c r="M426" s="26">
        <f t="shared" si="67"/>
        <v>-6.3835690526796718E-3</v>
      </c>
      <c r="N426" s="26">
        <f t="shared" si="68"/>
        <v>1.8689329393291709E-2</v>
      </c>
      <c r="O426" s="26">
        <f t="shared" si="69"/>
        <v>-1.0497579639672905E-2</v>
      </c>
    </row>
    <row r="427" spans="1:15" x14ac:dyDescent="0.25">
      <c r="A427" s="2">
        <v>44894</v>
      </c>
      <c r="B427">
        <v>188554</v>
      </c>
      <c r="C427">
        <v>201393</v>
      </c>
      <c r="D427">
        <v>836423</v>
      </c>
      <c r="F427">
        <f t="shared" si="60"/>
        <v>0.31796847607165862</v>
      </c>
      <c r="G427">
        <f t="shared" si="61"/>
        <v>-0.31528038918989726</v>
      </c>
      <c r="H427">
        <f t="shared" si="62"/>
        <v>1.0680918994028237</v>
      </c>
      <c r="I427">
        <f t="shared" si="63"/>
        <v>-0.33325080054961154</v>
      </c>
      <c r="J427" s="26">
        <f t="shared" si="64"/>
        <v>3.2237806898592347E-3</v>
      </c>
      <c r="K427" s="26">
        <f t="shared" si="65"/>
        <v>-1.1952940390734246E-3</v>
      </c>
      <c r="L427" s="26">
        <f t="shared" si="66"/>
        <v>-1.1711172294006755E-2</v>
      </c>
      <c r="M427" s="26">
        <f t="shared" si="67"/>
        <v>-2.7736535341740254E-3</v>
      </c>
      <c r="N427" s="26">
        <f t="shared" si="68"/>
        <v>2.1372181568768189E-2</v>
      </c>
      <c r="O427" s="26">
        <f t="shared" si="69"/>
        <v>-9.0695331155172809E-3</v>
      </c>
    </row>
    <row r="428" spans="1:15" x14ac:dyDescent="0.25">
      <c r="A428" s="2">
        <v>44893</v>
      </c>
      <c r="B428">
        <v>187504</v>
      </c>
      <c r="C428">
        <v>201798</v>
      </c>
      <c r="D428">
        <v>858531</v>
      </c>
      <c r="F428">
        <f t="shared" si="60"/>
        <v>0.31198245278013964</v>
      </c>
      <c r="G428">
        <f t="shared" si="61"/>
        <v>-0.42156346426079877</v>
      </c>
      <c r="H428">
        <f t="shared" si="62"/>
        <v>1.0762330403618057</v>
      </c>
      <c r="I428">
        <f t="shared" si="63"/>
        <v>-0.1623092030143897</v>
      </c>
      <c r="J428" s="26">
        <f t="shared" si="64"/>
        <v>3.311541222117409E-3</v>
      </c>
      <c r="K428" s="26">
        <f t="shared" si="65"/>
        <v>-1.8711910728212433E-3</v>
      </c>
      <c r="L428" s="26">
        <f t="shared" si="66"/>
        <v>-1.2351865061383027E-2</v>
      </c>
      <c r="M428" s="26">
        <f t="shared" si="67"/>
        <v>1.6303110673130394E-3</v>
      </c>
      <c r="N428" s="26">
        <f t="shared" si="68"/>
        <v>2.4987485640599383E-2</v>
      </c>
      <c r="O428" s="26">
        <f t="shared" si="69"/>
        <v>-6.7392580899632293E-3</v>
      </c>
    </row>
    <row r="429" spans="1:15" x14ac:dyDescent="0.25">
      <c r="A429" s="2">
        <v>44890</v>
      </c>
      <c r="B429">
        <v>188429</v>
      </c>
      <c r="C429">
        <v>202166</v>
      </c>
      <c r="D429">
        <v>854527</v>
      </c>
      <c r="F429">
        <f t="shared" si="60"/>
        <v>0.31370018359646684</v>
      </c>
      <c r="G429">
        <f t="shared" si="61"/>
        <v>-0.39960943931957726</v>
      </c>
      <c r="H429">
        <f t="shared" si="62"/>
        <v>1.0729027909716657</v>
      </c>
      <c r="I429">
        <f t="shared" si="63"/>
        <v>-0.24386035521963098</v>
      </c>
      <c r="J429" s="26">
        <f t="shared" si="64"/>
        <v>3.8023910882027945E-3</v>
      </c>
      <c r="K429" s="26">
        <f t="shared" si="65"/>
        <v>-2.2568031566600477E-3</v>
      </c>
      <c r="L429" s="26">
        <f t="shared" si="66"/>
        <v>-1.2697344705079439E-2</v>
      </c>
      <c r="M429" s="26">
        <f t="shared" si="67"/>
        <v>5.8033047161556439E-3</v>
      </c>
      <c r="N429" s="26">
        <f t="shared" si="68"/>
        <v>2.8206600317088215E-2</v>
      </c>
      <c r="O429" s="26">
        <f t="shared" si="69"/>
        <v>-4.849547625568329E-3</v>
      </c>
    </row>
    <row r="430" spans="1:15" x14ac:dyDescent="0.25">
      <c r="A430" s="2">
        <v>44889</v>
      </c>
      <c r="B430">
        <v>188179</v>
      </c>
      <c r="C430">
        <v>201466</v>
      </c>
      <c r="D430">
        <v>856044</v>
      </c>
      <c r="F430">
        <f t="shared" si="60"/>
        <v>0.31279476659101912</v>
      </c>
      <c r="G430">
        <f t="shared" si="61"/>
        <v>-0.42077539086224158</v>
      </c>
      <c r="H430">
        <f t="shared" si="62"/>
        <v>1.070608303795854</v>
      </c>
      <c r="I430">
        <f t="shared" si="63"/>
        <v>-0.302459391063024</v>
      </c>
      <c r="J430" s="26">
        <f t="shared" si="64"/>
        <v>4.2556393519380675E-3</v>
      </c>
      <c r="K430" s="26">
        <f t="shared" si="65"/>
        <v>-2.7091556885898704E-3</v>
      </c>
      <c r="L430" s="26">
        <f t="shared" si="66"/>
        <v>-1.3095991751414071E-2</v>
      </c>
      <c r="M430" s="26">
        <f t="shared" si="67"/>
        <v>1.0362199475203004E-2</v>
      </c>
      <c r="N430" s="26">
        <f t="shared" si="68"/>
        <v>3.1721265917266761E-2</v>
      </c>
      <c r="O430" s="26">
        <f t="shared" si="69"/>
        <v>-2.7087287993370346E-3</v>
      </c>
    </row>
    <row r="431" spans="1:15" x14ac:dyDescent="0.25">
      <c r="A431" s="2">
        <v>44888</v>
      </c>
      <c r="B431">
        <v>187154</v>
      </c>
      <c r="C431">
        <v>201616</v>
      </c>
      <c r="D431">
        <v>856134</v>
      </c>
      <c r="F431">
        <f t="shared" si="60"/>
        <v>0.31228914036745004</v>
      </c>
      <c r="G431">
        <f t="shared" si="61"/>
        <v>-0.43527245932212411</v>
      </c>
      <c r="H431">
        <f t="shared" si="62"/>
        <v>1.0772732615920579</v>
      </c>
      <c r="I431">
        <f t="shared" si="63"/>
        <v>-0.16457972634294565</v>
      </c>
      <c r="J431" s="26">
        <f t="shared" si="64"/>
        <v>4.7947825833601909E-3</v>
      </c>
      <c r="K431" s="26">
        <f t="shared" si="65"/>
        <v>-3.0375710770318975E-3</v>
      </c>
      <c r="L431" s="26">
        <f t="shared" si="66"/>
        <v>-1.3433894136910651E-2</v>
      </c>
      <c r="M431" s="26">
        <f t="shared" si="67"/>
        <v>1.672175453251179E-2</v>
      </c>
      <c r="N431" s="26">
        <f t="shared" si="68"/>
        <v>3.5662170597281717E-2</v>
      </c>
      <c r="O431" s="26">
        <f t="shared" si="69"/>
        <v>3.5836450903525829E-4</v>
      </c>
    </row>
    <row r="432" spans="1:15" x14ac:dyDescent="0.25">
      <c r="A432" s="2">
        <v>44887</v>
      </c>
      <c r="B432">
        <v>186779</v>
      </c>
      <c r="C432">
        <v>202291</v>
      </c>
      <c r="D432">
        <v>851752</v>
      </c>
      <c r="F432">
        <f t="shared" si="60"/>
        <v>0.31355827024343541</v>
      </c>
      <c r="G432">
        <f t="shared" si="61"/>
        <v>-0.4209548546753295</v>
      </c>
      <c r="H432">
        <f t="shared" si="62"/>
        <v>1.0830500216833798</v>
      </c>
      <c r="I432">
        <f t="shared" si="63"/>
        <v>-4.4796541021811825E-2</v>
      </c>
      <c r="J432" s="26">
        <f t="shared" si="64"/>
        <v>5.8125308736711179E-3</v>
      </c>
      <c r="K432" s="26">
        <f t="shared" si="65"/>
        <v>-3.1039884236721549E-3</v>
      </c>
      <c r="L432" s="26">
        <f t="shared" si="66"/>
        <v>-1.353813118380115E-2</v>
      </c>
      <c r="M432" s="26">
        <f t="shared" si="67"/>
        <v>2.4619776799766013E-2</v>
      </c>
      <c r="N432" s="26">
        <f t="shared" si="68"/>
        <v>4.0077266047124915E-2</v>
      </c>
      <c r="O432" s="26">
        <f t="shared" si="69"/>
        <v>3.7024455521945665E-3</v>
      </c>
    </row>
    <row r="433" spans="1:15" x14ac:dyDescent="0.25">
      <c r="A433" s="2">
        <v>44886</v>
      </c>
      <c r="B433">
        <v>186024</v>
      </c>
      <c r="C433">
        <v>202351</v>
      </c>
      <c r="D433">
        <v>848997</v>
      </c>
      <c r="F433">
        <f t="shared" si="60"/>
        <v>0.3138708488635592</v>
      </c>
      <c r="G433">
        <f t="shared" si="61"/>
        <v>-0.42202355500072369</v>
      </c>
      <c r="H433">
        <f t="shared" si="62"/>
        <v>1.0877682449576398</v>
      </c>
      <c r="I433">
        <f t="shared" si="63"/>
        <v>5.185115491166966E-2</v>
      </c>
      <c r="J433" s="26">
        <f t="shared" si="64"/>
        <v>6.664549362716321E-3</v>
      </c>
      <c r="K433" s="26">
        <f t="shared" si="65"/>
        <v>-3.2774707017801941E-3</v>
      </c>
      <c r="L433" s="26">
        <f t="shared" si="66"/>
        <v>-1.3750635368106279E-2</v>
      </c>
      <c r="M433" s="26">
        <f t="shared" si="67"/>
        <v>3.1687539007391186E-2</v>
      </c>
      <c r="N433" s="26">
        <f t="shared" si="68"/>
        <v>4.3949381471138471E-2</v>
      </c>
      <c r="O433" s="26">
        <f t="shared" si="69"/>
        <v>6.5476137907130028E-3</v>
      </c>
    </row>
    <row r="434" spans="1:15" x14ac:dyDescent="0.25">
      <c r="A434" s="2">
        <v>44883</v>
      </c>
      <c r="B434">
        <v>185994</v>
      </c>
      <c r="C434">
        <v>203026</v>
      </c>
      <c r="D434">
        <v>848669</v>
      </c>
      <c r="F434">
        <f t="shared" si="60"/>
        <v>0.31431159200736208</v>
      </c>
      <c r="G434">
        <f t="shared" si="61"/>
        <v>-0.42104595400478734</v>
      </c>
      <c r="H434">
        <f t="shared" si="62"/>
        <v>1.0915728464359065</v>
      </c>
      <c r="I434">
        <f t="shared" si="63"/>
        <v>0.13414989494843199</v>
      </c>
      <c r="J434" s="26">
        <f t="shared" si="64"/>
        <v>7.4197333596519033E-3</v>
      </c>
      <c r="K434" s="26">
        <f t="shared" si="65"/>
        <v>-3.595881189342176E-3</v>
      </c>
      <c r="L434" s="26">
        <f t="shared" si="66"/>
        <v>-1.4095059770615925E-2</v>
      </c>
      <c r="M434" s="26">
        <f t="shared" si="67"/>
        <v>3.7696900174778891E-2</v>
      </c>
      <c r="N434" s="26">
        <f t="shared" si="68"/>
        <v>4.7931772912792159E-2</v>
      </c>
      <c r="O434" s="26">
        <f t="shared" si="69"/>
        <v>9.2171962712590538E-3</v>
      </c>
    </row>
    <row r="435" spans="1:15" x14ac:dyDescent="0.25">
      <c r="A435" s="2">
        <v>44882</v>
      </c>
      <c r="B435">
        <v>185544</v>
      </c>
      <c r="C435">
        <v>203226</v>
      </c>
      <c r="D435">
        <v>848710</v>
      </c>
      <c r="F435">
        <f t="shared" si="60"/>
        <v>0.31416265313378799</v>
      </c>
      <c r="G435">
        <f t="shared" si="61"/>
        <v>-0.42947156018137411</v>
      </c>
      <c r="H435">
        <f t="shared" si="62"/>
        <v>1.0952981503039709</v>
      </c>
      <c r="I435">
        <f t="shared" si="63"/>
        <v>0.2147208752648482</v>
      </c>
      <c r="J435" s="26">
        <f t="shared" si="64"/>
        <v>7.4817833684747703E-3</v>
      </c>
      <c r="K435" s="26">
        <f t="shared" si="65"/>
        <v>-4.3297210856420021E-3</v>
      </c>
      <c r="L435" s="26">
        <f t="shared" si="66"/>
        <v>-1.4815430231010784E-2</v>
      </c>
      <c r="M435" s="26">
        <f t="shared" si="67"/>
        <v>3.6985291443079049E-2</v>
      </c>
      <c r="N435" s="26">
        <f t="shared" si="68"/>
        <v>4.7329756625710484E-2</v>
      </c>
      <c r="O435" s="26">
        <f t="shared" si="69"/>
        <v>7.9449454259374885E-3</v>
      </c>
    </row>
    <row r="436" spans="1:15" x14ac:dyDescent="0.25">
      <c r="A436" s="2">
        <v>44881</v>
      </c>
      <c r="B436">
        <v>182969</v>
      </c>
      <c r="C436">
        <v>202591</v>
      </c>
      <c r="D436">
        <v>852172</v>
      </c>
      <c r="F436">
        <f t="shared" si="60"/>
        <v>0.3115052369979931</v>
      </c>
      <c r="G436">
        <f t="shared" si="61"/>
        <v>-0.4774492929194552</v>
      </c>
      <c r="H436">
        <f t="shared" si="62"/>
        <v>1.1072422104290891</v>
      </c>
      <c r="I436">
        <f t="shared" si="63"/>
        <v>0.47591284764457276</v>
      </c>
      <c r="J436" s="26">
        <f t="shared" si="64"/>
        <v>6.8157839089196814E-3</v>
      </c>
      <c r="K436" s="26">
        <f t="shared" si="65"/>
        <v>-4.9072165803977774E-3</v>
      </c>
      <c r="L436" s="26">
        <f t="shared" si="66"/>
        <v>-1.5429294392932169E-2</v>
      </c>
      <c r="M436" s="26">
        <f t="shared" si="67"/>
        <v>3.6478823917264869E-2</v>
      </c>
      <c r="N436" s="26">
        <f t="shared" si="68"/>
        <v>4.6567617561030339E-2</v>
      </c>
      <c r="O436" s="26">
        <f t="shared" si="69"/>
        <v>7.0266830603058494E-3</v>
      </c>
    </row>
    <row r="437" spans="1:15" x14ac:dyDescent="0.25">
      <c r="A437" s="2">
        <v>44880</v>
      </c>
      <c r="B437">
        <v>181444</v>
      </c>
      <c r="C437">
        <v>197551</v>
      </c>
      <c r="D437">
        <v>845285</v>
      </c>
      <c r="F437">
        <f t="shared" si="60"/>
        <v>0.30956562224327766</v>
      </c>
      <c r="G437">
        <f t="shared" si="61"/>
        <v>-0.5138982081565715</v>
      </c>
      <c r="H437">
        <f t="shared" si="62"/>
        <v>1.0887711911113072</v>
      </c>
      <c r="I437">
        <f t="shared" si="63"/>
        <v>7.6077002589910708E-2</v>
      </c>
      <c r="J437" s="26">
        <f t="shared" si="64"/>
        <v>6.2009576050481297E-3</v>
      </c>
      <c r="K437" s="26">
        <f t="shared" si="65"/>
        <v>-5.3656609426571134E-3</v>
      </c>
      <c r="L437" s="26">
        <f t="shared" si="66"/>
        <v>-1.5941217220119042E-2</v>
      </c>
      <c r="M437" s="26">
        <f t="shared" si="67"/>
        <v>3.5235685628921765E-2</v>
      </c>
      <c r="N437" s="26">
        <f t="shared" si="68"/>
        <v>4.5027119574513108E-2</v>
      </c>
      <c r="O437" s="26">
        <f t="shared" si="69"/>
        <v>5.3790339970825052E-3</v>
      </c>
    </row>
    <row r="438" spans="1:15" x14ac:dyDescent="0.25">
      <c r="A438" s="2">
        <v>44879</v>
      </c>
      <c r="B438">
        <v>182305</v>
      </c>
      <c r="C438">
        <v>197776</v>
      </c>
      <c r="D438">
        <v>844832</v>
      </c>
      <c r="F438">
        <f t="shared" si="60"/>
        <v>0.31029224116324994</v>
      </c>
      <c r="G438">
        <f t="shared" si="61"/>
        <v>-0.50851871201834653</v>
      </c>
      <c r="H438">
        <f t="shared" si="62"/>
        <v>1.0848632785716246</v>
      </c>
      <c r="I438">
        <f t="shared" si="63"/>
        <v>-7.8524094533396951E-3</v>
      </c>
      <c r="J438" s="26">
        <f t="shared" si="64"/>
        <v>5.5110427042338594E-3</v>
      </c>
      <c r="K438" s="26">
        <f t="shared" si="65"/>
        <v>-5.7266212840851871E-3</v>
      </c>
      <c r="L438" s="26">
        <f t="shared" si="66"/>
        <v>-1.6406510792421336E-2</v>
      </c>
      <c r="M438" s="26">
        <f t="shared" si="67"/>
        <v>3.3732079060905917E-2</v>
      </c>
      <c r="N438" s="26">
        <f t="shared" si="68"/>
        <v>4.4216251891207259E-2</v>
      </c>
      <c r="O438" s="26">
        <f t="shared" si="69"/>
        <v>3.871896509161088E-3</v>
      </c>
    </row>
    <row r="439" spans="1:15" x14ac:dyDescent="0.25">
      <c r="A439" s="2">
        <v>44876</v>
      </c>
      <c r="B439">
        <v>184805</v>
      </c>
      <c r="C439">
        <v>198045</v>
      </c>
      <c r="D439">
        <v>847311</v>
      </c>
      <c r="F439">
        <f t="shared" si="60"/>
        <v>0.31121942574996281</v>
      </c>
      <c r="G439">
        <f t="shared" si="61"/>
        <v>-0.50003274324697267</v>
      </c>
      <c r="H439">
        <f t="shared" si="62"/>
        <v>1.071643083249912</v>
      </c>
      <c r="I439">
        <f t="shared" si="63"/>
        <v>-0.29652173969288687</v>
      </c>
      <c r="J439" s="26">
        <f t="shared" si="64"/>
        <v>4.7275590220107744E-3</v>
      </c>
      <c r="K439" s="26">
        <f t="shared" si="65"/>
        <v>-6.0042201268156736E-3</v>
      </c>
      <c r="L439" s="26">
        <f t="shared" si="66"/>
        <v>-1.690313530631582E-2</v>
      </c>
      <c r="M439" s="26">
        <f t="shared" si="67"/>
        <v>3.1276821856136561E-2</v>
      </c>
      <c r="N439" s="26">
        <f t="shared" si="68"/>
        <v>4.2415171198431523E-2</v>
      </c>
      <c r="O439" s="26">
        <f t="shared" si="69"/>
        <v>2.0995180183998041E-3</v>
      </c>
    </row>
    <row r="440" spans="1:15" x14ac:dyDescent="0.25">
      <c r="A440" s="2">
        <v>44875</v>
      </c>
      <c r="B440">
        <v>184630</v>
      </c>
      <c r="C440">
        <v>196527</v>
      </c>
      <c r="D440">
        <v>847178</v>
      </c>
      <c r="F440">
        <f t="shared" si="60"/>
        <v>0.3103037852051761</v>
      </c>
      <c r="G440">
        <f t="shared" si="61"/>
        <v>-0.52013151238180677</v>
      </c>
      <c r="H440">
        <f t="shared" si="62"/>
        <v>1.0644369820722526</v>
      </c>
      <c r="I440">
        <f t="shared" si="63"/>
        <v>-0.45732789939486923</v>
      </c>
      <c r="J440" s="26">
        <f t="shared" si="64"/>
        <v>3.751585148625447E-3</v>
      </c>
      <c r="K440" s="26">
        <f t="shared" si="65"/>
        <v>-6.2100613620724721E-3</v>
      </c>
      <c r="L440" s="26">
        <f t="shared" si="66"/>
        <v>-1.7431982131752621E-2</v>
      </c>
      <c r="M440" s="26">
        <f t="shared" si="67"/>
        <v>2.9390888535659077E-2</v>
      </c>
      <c r="N440" s="26">
        <f t="shared" si="68"/>
        <v>4.0206993634905874E-2</v>
      </c>
      <c r="O440" s="26">
        <f t="shared" si="69"/>
        <v>9.2974985305738223E-4</v>
      </c>
    </row>
    <row r="441" spans="1:15" x14ac:dyDescent="0.25">
      <c r="A441" s="2">
        <v>44874</v>
      </c>
      <c r="B441">
        <v>184080</v>
      </c>
      <c r="C441">
        <v>196202</v>
      </c>
      <c r="D441">
        <v>840680</v>
      </c>
      <c r="F441">
        <f t="shared" si="60"/>
        <v>0.31146096274904544</v>
      </c>
      <c r="G441">
        <f t="shared" si="61"/>
        <v>-0.5081839613834721</v>
      </c>
      <c r="H441">
        <f t="shared" si="62"/>
        <v>1.0658518035636679</v>
      </c>
      <c r="I441">
        <f t="shared" si="63"/>
        <v>-0.42638680561753001</v>
      </c>
      <c r="J441" s="26">
        <f t="shared" si="64"/>
        <v>2.6095538234756632E-3</v>
      </c>
      <c r="K441" s="26">
        <f t="shared" si="65"/>
        <v>-6.4060772242021669E-3</v>
      </c>
      <c r="L441" s="26">
        <f t="shared" si="66"/>
        <v>-1.7955084867306625E-2</v>
      </c>
      <c r="M441" s="26">
        <f t="shared" si="67"/>
        <v>2.8172710176228133E-2</v>
      </c>
      <c r="N441" s="26">
        <f t="shared" si="68"/>
        <v>3.7770969991014258E-2</v>
      </c>
      <c r="O441" s="26">
        <f t="shared" si="69"/>
        <v>-3.9220538304851615E-4</v>
      </c>
    </row>
    <row r="442" spans="1:15" x14ac:dyDescent="0.25">
      <c r="A442" s="2">
        <v>44873</v>
      </c>
      <c r="B442">
        <v>183905</v>
      </c>
      <c r="C442">
        <v>196077</v>
      </c>
      <c r="D442">
        <v>834175</v>
      </c>
      <c r="F442">
        <f t="shared" si="60"/>
        <v>0.31295952665100146</v>
      </c>
      <c r="G442">
        <f t="shared" si="61"/>
        <v>-0.49103580555290349</v>
      </c>
      <c r="H442">
        <f t="shared" si="62"/>
        <v>1.0661863462113592</v>
      </c>
      <c r="I442">
        <f t="shared" si="63"/>
        <v>-0.41856430266922845</v>
      </c>
      <c r="J442" s="26">
        <f t="shared" si="64"/>
        <v>1.3278660328471803E-3</v>
      </c>
      <c r="K442" s="26">
        <f t="shared" si="65"/>
        <v>-6.5994523251041159E-3</v>
      </c>
      <c r="L442" s="26">
        <f t="shared" si="66"/>
        <v>-1.8502374508526986E-2</v>
      </c>
      <c r="M442" s="26">
        <f t="shared" si="67"/>
        <v>2.6575201774011292E-2</v>
      </c>
      <c r="N442" s="26">
        <f t="shared" si="68"/>
        <v>3.5206658697767512E-2</v>
      </c>
      <c r="O442" s="26">
        <f t="shared" si="69"/>
        <v>-1.7956300839887529E-3</v>
      </c>
    </row>
    <row r="443" spans="1:15" x14ac:dyDescent="0.25">
      <c r="A443" s="2">
        <v>44872</v>
      </c>
      <c r="B443">
        <v>184374</v>
      </c>
      <c r="C443">
        <v>195302</v>
      </c>
      <c r="D443">
        <v>833526</v>
      </c>
      <c r="F443">
        <f t="shared" si="60"/>
        <v>0.31295365487363191</v>
      </c>
      <c r="G443">
        <f t="shared" si="61"/>
        <v>-0.49698019059045828</v>
      </c>
      <c r="H443">
        <f t="shared" si="62"/>
        <v>1.0592708299434845</v>
      </c>
      <c r="I443">
        <f t="shared" si="63"/>
        <v>-0.56969686212766502</v>
      </c>
      <c r="J443" s="26">
        <f t="shared" si="64"/>
        <v>-1.3999126612679325E-4</v>
      </c>
      <c r="K443" s="26">
        <f t="shared" si="65"/>
        <v>-6.9376707972465534E-3</v>
      </c>
      <c r="L443" s="26">
        <f t="shared" si="66"/>
        <v>-1.9186299234370652E-2</v>
      </c>
      <c r="M443" s="26">
        <f t="shared" si="67"/>
        <v>2.5290595971122709E-2</v>
      </c>
      <c r="N443" s="26">
        <f t="shared" si="68"/>
        <v>3.2814343298274817E-2</v>
      </c>
      <c r="O443" s="26">
        <f t="shared" si="69"/>
        <v>-3.0188337905019402E-3</v>
      </c>
    </row>
    <row r="444" spans="1:15" x14ac:dyDescent="0.25">
      <c r="A444" s="2">
        <v>44869</v>
      </c>
      <c r="B444">
        <v>184624</v>
      </c>
      <c r="C444">
        <v>195202</v>
      </c>
      <c r="D444">
        <v>833680</v>
      </c>
      <c r="F444">
        <f t="shared" si="60"/>
        <v>0.31299886444731218</v>
      </c>
      <c r="G444">
        <f t="shared" si="61"/>
        <v>-0.50209172028598359</v>
      </c>
      <c r="H444">
        <f t="shared" si="62"/>
        <v>1.0572948262414421</v>
      </c>
      <c r="I444">
        <f t="shared" si="63"/>
        <v>-0.61478521515039597</v>
      </c>
      <c r="J444" s="26">
        <f t="shared" si="64"/>
        <v>-1.7335870905583195E-3</v>
      </c>
      <c r="K444" s="26">
        <f t="shared" si="65"/>
        <v>-7.3794225295825133E-3</v>
      </c>
      <c r="L444" s="26">
        <f t="shared" si="66"/>
        <v>-1.9914834749476751E-2</v>
      </c>
      <c r="M444" s="26">
        <f t="shared" si="67"/>
        <v>2.3443185544705036E-2</v>
      </c>
      <c r="N444" s="26">
        <f t="shared" si="68"/>
        <v>3.0747449854626518E-2</v>
      </c>
      <c r="O444" s="26">
        <f t="shared" si="69"/>
        <v>-4.1107874689660928E-3</v>
      </c>
    </row>
    <row r="445" spans="1:15" x14ac:dyDescent="0.25">
      <c r="A445" s="2">
        <v>44868</v>
      </c>
      <c r="B445">
        <v>184698</v>
      </c>
      <c r="C445">
        <v>195985</v>
      </c>
      <c r="D445">
        <v>823514</v>
      </c>
      <c r="F445">
        <f t="shared" si="60"/>
        <v>0.31613016807050676</v>
      </c>
      <c r="G445">
        <f t="shared" si="61"/>
        <v>-0.46032586792405533</v>
      </c>
      <c r="H445">
        <f t="shared" si="62"/>
        <v>1.0611105696867318</v>
      </c>
      <c r="I445">
        <f t="shared" si="63"/>
        <v>-0.53304006684033178</v>
      </c>
      <c r="J445" s="26">
        <f t="shared" si="64"/>
        <v>-3.4585032672989624E-3</v>
      </c>
      <c r="K445" s="26">
        <f t="shared" si="65"/>
        <v>-7.9085221979323106E-3</v>
      </c>
      <c r="L445" s="26">
        <f t="shared" si="66"/>
        <v>-2.0744520514642928E-2</v>
      </c>
      <c r="M445" s="26">
        <f t="shared" si="67"/>
        <v>2.395846535968249E-2</v>
      </c>
      <c r="N445" s="26">
        <f t="shared" si="68"/>
        <v>2.9618276749903139E-2</v>
      </c>
      <c r="O445" s="26">
        <f t="shared" si="69"/>
        <v>-4.0148473633769832E-3</v>
      </c>
    </row>
    <row r="446" spans="1:15" x14ac:dyDescent="0.25">
      <c r="A446" s="2">
        <v>44867</v>
      </c>
      <c r="B446">
        <v>184623</v>
      </c>
      <c r="C446">
        <v>197885</v>
      </c>
      <c r="D446">
        <v>820916</v>
      </c>
      <c r="F446">
        <f t="shared" si="60"/>
        <v>0.31784973542159706</v>
      </c>
      <c r="G446">
        <f t="shared" si="61"/>
        <v>-0.44003245029027638</v>
      </c>
      <c r="H446">
        <f t="shared" si="62"/>
        <v>1.0718328702274365</v>
      </c>
      <c r="I446">
        <f t="shared" si="63"/>
        <v>-0.29844591617721639</v>
      </c>
      <c r="J446" s="26">
        <f t="shared" si="64"/>
        <v>-5.5968460789513341E-3</v>
      </c>
      <c r="K446" s="26">
        <f t="shared" si="65"/>
        <v>-8.7839654976112902E-3</v>
      </c>
      <c r="L446" s="26">
        <f t="shared" si="66"/>
        <v>-2.1867145749129346E-2</v>
      </c>
      <c r="M446" s="26">
        <f t="shared" si="67"/>
        <v>2.6436380300437046E-2</v>
      </c>
      <c r="N446" s="26">
        <f t="shared" si="68"/>
        <v>2.9988581542241377E-2</v>
      </c>
      <c r="O446" s="26">
        <f t="shared" si="69"/>
        <v>-2.7622717586495149E-3</v>
      </c>
    </row>
    <row r="447" spans="1:15" x14ac:dyDescent="0.25">
      <c r="A447" s="2">
        <v>44866</v>
      </c>
      <c r="B447">
        <v>179798</v>
      </c>
      <c r="C447">
        <v>198035</v>
      </c>
      <c r="D447">
        <v>813764</v>
      </c>
      <c r="F447">
        <f t="shared" si="60"/>
        <v>0.31708119439709903</v>
      </c>
      <c r="G447">
        <f t="shared" si="61"/>
        <v>-0.45727778702558702</v>
      </c>
      <c r="H447">
        <f t="shared" si="62"/>
        <v>1.1014304942212927</v>
      </c>
      <c r="I447">
        <f t="shared" si="63"/>
        <v>0.34954153432095592</v>
      </c>
      <c r="J447" s="26">
        <f t="shared" si="64"/>
        <v>-7.8227947089398731E-3</v>
      </c>
      <c r="K447" s="26">
        <f t="shared" si="65"/>
        <v>-9.7041709196484804E-3</v>
      </c>
      <c r="L447" s="26">
        <f t="shared" si="66"/>
        <v>-2.3069797644316381E-2</v>
      </c>
      <c r="M447" s="26">
        <f t="shared" si="67"/>
        <v>2.7684763986438377E-2</v>
      </c>
      <c r="N447" s="26">
        <f t="shared" si="68"/>
        <v>2.8942709919047349E-2</v>
      </c>
      <c r="O447" s="26">
        <f t="shared" si="69"/>
        <v>-2.5539594241150709E-3</v>
      </c>
    </row>
    <row r="448" spans="1:15" x14ac:dyDescent="0.25">
      <c r="A448" s="2">
        <v>44865</v>
      </c>
      <c r="B448">
        <v>178048</v>
      </c>
      <c r="C448">
        <v>198185</v>
      </c>
      <c r="D448">
        <v>825560</v>
      </c>
      <c r="F448">
        <f t="shared" si="60"/>
        <v>0.31305973657693131</v>
      </c>
      <c r="G448">
        <f t="shared" si="61"/>
        <v>-0.52341984651589468</v>
      </c>
      <c r="H448">
        <f t="shared" si="62"/>
        <v>1.113098714953271</v>
      </c>
      <c r="I448">
        <f t="shared" si="63"/>
        <v>0.61118066141285987</v>
      </c>
      <c r="J448" s="26">
        <f t="shared" si="64"/>
        <v>-1.0119356887400399E-2</v>
      </c>
      <c r="K448" s="26">
        <f t="shared" si="65"/>
        <v>-1.0621997162560348E-2</v>
      </c>
      <c r="L448" s="26">
        <f t="shared" si="66"/>
        <v>-2.3998666104014355E-2</v>
      </c>
      <c r="M448" s="26">
        <f t="shared" si="67"/>
        <v>2.6467596339829536E-2</v>
      </c>
      <c r="N448" s="26">
        <f t="shared" si="68"/>
        <v>2.5497135843430607E-2</v>
      </c>
      <c r="O448" s="26">
        <f t="shared" si="69"/>
        <v>-4.4669671576360592E-3</v>
      </c>
    </row>
    <row r="449" spans="1:15" x14ac:dyDescent="0.25">
      <c r="A449" s="2">
        <v>44862</v>
      </c>
      <c r="B449">
        <v>178173</v>
      </c>
      <c r="C449">
        <v>198260</v>
      </c>
      <c r="D449">
        <v>824609</v>
      </c>
      <c r="F449">
        <f t="shared" si="60"/>
        <v>0.31342201188634533</v>
      </c>
      <c r="G449">
        <f t="shared" si="61"/>
        <v>-0.52375404536162928</v>
      </c>
      <c r="H449">
        <f t="shared" si="62"/>
        <v>1.1127387426826736</v>
      </c>
      <c r="I449">
        <f t="shared" si="63"/>
        <v>0.61213216055875186</v>
      </c>
      <c r="J449" s="26">
        <f t="shared" si="64"/>
        <v>-1.1990747893314058E-2</v>
      </c>
      <c r="K449" s="26">
        <f t="shared" si="65"/>
        <v>-1.1140951124637755E-2</v>
      </c>
      <c r="L449" s="26">
        <f t="shared" si="66"/>
        <v>-2.4859596149263752E-2</v>
      </c>
      <c r="M449" s="26">
        <f t="shared" si="67"/>
        <v>2.5512897744640162E-2</v>
      </c>
      <c r="N449" s="26">
        <f t="shared" si="68"/>
        <v>2.2223976102184739E-2</v>
      </c>
      <c r="O449" s="26">
        <f t="shared" si="69"/>
        <v>-6.5870890302346385E-3</v>
      </c>
    </row>
    <row r="450" spans="1:15" x14ac:dyDescent="0.25">
      <c r="A450" s="2">
        <v>44861</v>
      </c>
      <c r="B450">
        <v>178079</v>
      </c>
      <c r="C450">
        <v>198360</v>
      </c>
      <c r="D450">
        <v>823720</v>
      </c>
      <c r="F450">
        <f t="shared" si="60"/>
        <v>0.31365760703373469</v>
      </c>
      <c r="G450">
        <f t="shared" si="61"/>
        <v>-0.52598698729414306</v>
      </c>
      <c r="H450">
        <f t="shared" si="62"/>
        <v>1.1138876566018452</v>
      </c>
      <c r="I450">
        <f t="shared" si="63"/>
        <v>0.64734697266828556</v>
      </c>
      <c r="J450" s="26">
        <f t="shared" si="64"/>
        <v>-1.4196389117332342E-2</v>
      </c>
      <c r="K450" s="26">
        <f t="shared" si="65"/>
        <v>-1.1783983593981862E-2</v>
      </c>
      <c r="L450" s="26">
        <f t="shared" si="66"/>
        <v>-2.5791117980922817E-2</v>
      </c>
      <c r="M450" s="26">
        <f t="shared" si="67"/>
        <v>2.4665755311974458E-2</v>
      </c>
      <c r="N450" s="26">
        <f t="shared" si="68"/>
        <v>1.8438339035992346E-2</v>
      </c>
      <c r="O450" s="26">
        <f t="shared" si="69"/>
        <v>-8.8949612328312888E-3</v>
      </c>
    </row>
    <row r="451" spans="1:15" x14ac:dyDescent="0.25">
      <c r="A451" s="2">
        <v>44860</v>
      </c>
      <c r="B451">
        <v>176224</v>
      </c>
      <c r="C451">
        <v>198710</v>
      </c>
      <c r="D451">
        <v>819018</v>
      </c>
      <c r="F451">
        <f t="shared" si="60"/>
        <v>0.31402769960601429</v>
      </c>
      <c r="G451">
        <f t="shared" si="61"/>
        <v>-0.52619427643598748</v>
      </c>
      <c r="H451">
        <f t="shared" si="62"/>
        <v>1.1275989649536953</v>
      </c>
      <c r="I451">
        <f t="shared" si="63"/>
        <v>0.95742840669514195</v>
      </c>
      <c r="J451" s="26">
        <f t="shared" si="64"/>
        <v>-1.5622451560874273E-2</v>
      </c>
      <c r="K451" s="26">
        <f t="shared" si="65"/>
        <v>-1.2458113446683017E-2</v>
      </c>
      <c r="L451" s="26">
        <f t="shared" si="66"/>
        <v>-2.6758370841129309E-2</v>
      </c>
      <c r="M451" s="26">
        <f t="shared" si="67"/>
        <v>2.381135926002953E-2</v>
      </c>
      <c r="N451" s="26">
        <f t="shared" si="68"/>
        <v>1.4287292167454391E-2</v>
      </c>
      <c r="O451" s="26">
        <f t="shared" si="69"/>
        <v>-1.1348088731101047E-2</v>
      </c>
    </row>
    <row r="452" spans="1:15" x14ac:dyDescent="0.25">
      <c r="A452" s="2">
        <v>44859</v>
      </c>
      <c r="B452">
        <v>177774</v>
      </c>
      <c r="C452">
        <v>202110</v>
      </c>
      <c r="D452">
        <v>816169</v>
      </c>
      <c r="F452">
        <f t="shared" ref="F452:F515" si="70">IFERROR((C452+B452)/(B452+C452+D452),"")</f>
        <v>0.31761468764344053</v>
      </c>
      <c r="G452">
        <f t="shared" ref="G452:G515" si="71">(F452-AVERAGE(F452:F709))/_xlfn.STDEV.S(F452:F709)</f>
        <v>-0.47859709303597325</v>
      </c>
      <c r="H452">
        <f t="shared" ref="H452:H515" si="72">IFERROR(C452/B452,"")</f>
        <v>1.1368929089743156</v>
      </c>
      <c r="I452">
        <f t="shared" ref="I452:I515" si="73">IFERROR((H452-AVERAGE(H452:H579))/_xlfn.STDEV.S(H452:H579),"")</f>
        <v>1.175743395235797</v>
      </c>
      <c r="J452" s="26">
        <f t="shared" ref="J452:J515" si="74">AVERAGEA(F452:F472)-AVERAGE(F473:F493)</f>
        <v>-1.797820799761507E-2</v>
      </c>
      <c r="K452" s="26">
        <f t="shared" ref="K452:K515" si="75">AVERAGEA(F452:F472)-AVERAGE(F473:F528)</f>
        <v>-1.3172855675128048E-2</v>
      </c>
      <c r="L452" s="26">
        <f t="shared" ref="L452:L515" si="76">AVERAGEA(F452:F472)-AVERAGE(F473:F585)</f>
        <v>-2.7752322760626669E-2</v>
      </c>
      <c r="M452" s="26">
        <f t="shared" ref="M452:M515" si="77">AVERAGEA(H452:H472)-AVERAGE(H473:H493)</f>
        <v>2.194479494970536E-2</v>
      </c>
      <c r="N452" s="26">
        <f t="shared" ref="N452:N515" si="78">AVERAGEA(H452:H472)-AVERAGE(H473:H528)</f>
        <v>8.9174199105830354E-3</v>
      </c>
      <c r="O452" s="26">
        <f t="shared" ref="O452:O515" si="79">AVERAGEA(H452:H472)-AVERAGE(H473:H585)</f>
        <v>-1.4907077054230777E-2</v>
      </c>
    </row>
    <row r="453" spans="1:15" x14ac:dyDescent="0.25">
      <c r="A453" s="2">
        <v>44858</v>
      </c>
      <c r="B453">
        <v>177799</v>
      </c>
      <c r="C453">
        <v>201535</v>
      </c>
      <c r="D453">
        <v>817203</v>
      </c>
      <c r="F453">
        <f t="shared" si="70"/>
        <v>0.3170265524593055</v>
      </c>
      <c r="G453">
        <f t="shared" si="71"/>
        <v>-0.49294673298730562</v>
      </c>
      <c r="H453">
        <f t="shared" si="72"/>
        <v>1.1334990635492888</v>
      </c>
      <c r="I453">
        <f t="shared" si="73"/>
        <v>1.120038022637702</v>
      </c>
      <c r="J453" s="26">
        <f t="shared" si="74"/>
        <v>-2.0757704891419537E-2</v>
      </c>
      <c r="K453" s="26">
        <f t="shared" si="75"/>
        <v>-1.4227886398116951E-2</v>
      </c>
      <c r="L453" s="26">
        <f t="shared" si="76"/>
        <v>-2.905570915372635E-2</v>
      </c>
      <c r="M453" s="26">
        <f t="shared" si="77"/>
        <v>1.7695565136582658E-2</v>
      </c>
      <c r="N453" s="26">
        <f t="shared" si="78"/>
        <v>1.8444637226049387E-3</v>
      </c>
      <c r="O453" s="26">
        <f t="shared" si="79"/>
        <v>-2.015117468132388E-2</v>
      </c>
    </row>
    <row r="454" spans="1:15" x14ac:dyDescent="0.25">
      <c r="A454" s="2">
        <v>44855</v>
      </c>
      <c r="B454">
        <v>175974</v>
      </c>
      <c r="C454">
        <v>199800</v>
      </c>
      <c r="D454">
        <v>816095</v>
      </c>
      <c r="F454">
        <f t="shared" si="70"/>
        <v>0.31528129349785927</v>
      </c>
      <c r="G454">
        <f t="shared" si="71"/>
        <v>-0.52437830022107512</v>
      </c>
      <c r="H454">
        <f t="shared" si="72"/>
        <v>1.1353950015343175</v>
      </c>
      <c r="I454">
        <f t="shared" si="73"/>
        <v>1.1798857609178048</v>
      </c>
      <c r="J454" s="26">
        <f t="shared" si="74"/>
        <v>-2.3357743005651965E-2</v>
      </c>
      <c r="K454" s="26">
        <f t="shared" si="75"/>
        <v>-1.519382825425325E-2</v>
      </c>
      <c r="L454" s="26">
        <f t="shared" si="76"/>
        <v>-3.0265013704120436E-2</v>
      </c>
      <c r="M454" s="26">
        <f t="shared" si="77"/>
        <v>1.3659224833963313E-2</v>
      </c>
      <c r="N454" s="26">
        <f t="shared" si="78"/>
        <v>-4.7597594675936605E-3</v>
      </c>
      <c r="O454" s="26">
        <f t="shared" si="79"/>
        <v>-2.4949643881860384E-2</v>
      </c>
    </row>
    <row r="455" spans="1:15" x14ac:dyDescent="0.25">
      <c r="A455" s="2">
        <v>44854</v>
      </c>
      <c r="B455">
        <v>176399</v>
      </c>
      <c r="C455">
        <v>187825</v>
      </c>
      <c r="D455">
        <v>815822</v>
      </c>
      <c r="F455">
        <f t="shared" si="70"/>
        <v>0.30865237456844902</v>
      </c>
      <c r="G455">
        <f t="shared" si="71"/>
        <v>-0.6276898737997848</v>
      </c>
      <c r="H455">
        <f t="shared" si="72"/>
        <v>1.0647736098277201</v>
      </c>
      <c r="I455">
        <f t="shared" si="73"/>
        <v>-0.36592454426397797</v>
      </c>
      <c r="J455" s="26">
        <f t="shared" si="74"/>
        <v>-2.6022660298857025E-2</v>
      </c>
      <c r="K455" s="26">
        <f t="shared" si="75"/>
        <v>-1.6173503044884519E-2</v>
      </c>
      <c r="L455" s="26">
        <f t="shared" si="76"/>
        <v>-3.7251836606017885E-2</v>
      </c>
      <c r="M455" s="26">
        <f t="shared" si="77"/>
        <v>1.1520266778887178E-2</v>
      </c>
      <c r="N455" s="26">
        <f t="shared" si="78"/>
        <v>-1.0083308972730576E-2</v>
      </c>
      <c r="O455" s="26">
        <f t="shared" si="79"/>
        <v>-2.8614136194458961E-2</v>
      </c>
    </row>
    <row r="456" spans="1:15" x14ac:dyDescent="0.25">
      <c r="A456" s="2">
        <v>44853</v>
      </c>
      <c r="B456">
        <v>175975</v>
      </c>
      <c r="C456">
        <v>189000</v>
      </c>
      <c r="D456">
        <v>810765</v>
      </c>
      <c r="F456">
        <f t="shared" si="70"/>
        <v>0.31042152176501608</v>
      </c>
      <c r="G456">
        <f t="shared" si="71"/>
        <v>-0.60768070072742053</v>
      </c>
      <c r="H456">
        <f t="shared" si="72"/>
        <v>1.0740161954823129</v>
      </c>
      <c r="I456">
        <f t="shared" si="73"/>
        <v>-0.15780043641941444</v>
      </c>
      <c r="J456" s="26">
        <f t="shared" si="74"/>
        <v>-2.8119287916625657E-2</v>
      </c>
      <c r="K456" s="26">
        <f t="shared" si="75"/>
        <v>-1.6787331051034859E-2</v>
      </c>
      <c r="L456" s="26">
        <f t="shared" si="76"/>
        <v>-3.8116390108566822E-2</v>
      </c>
      <c r="M456" s="26">
        <f t="shared" si="77"/>
        <v>1.2953296612340459E-2</v>
      </c>
      <c r="N456" s="26">
        <f t="shared" si="78"/>
        <v>-1.24060994310633E-2</v>
      </c>
      <c r="O456" s="26">
        <f t="shared" si="79"/>
        <v>-2.9139232800081016E-2</v>
      </c>
    </row>
    <row r="457" spans="1:15" x14ac:dyDescent="0.25">
      <c r="A457" s="2">
        <v>44852</v>
      </c>
      <c r="B457">
        <v>175175</v>
      </c>
      <c r="C457">
        <v>187725</v>
      </c>
      <c r="D457">
        <v>807796</v>
      </c>
      <c r="F457">
        <f t="shared" si="70"/>
        <v>0.30998653792274</v>
      </c>
      <c r="G457">
        <f t="shared" si="71"/>
        <v>-0.61995861568714161</v>
      </c>
      <c r="H457">
        <f t="shared" si="72"/>
        <v>1.0716426430712145</v>
      </c>
      <c r="I457">
        <f t="shared" si="73"/>
        <v>-0.20412589701364925</v>
      </c>
      <c r="J457" s="26">
        <f t="shared" si="74"/>
        <v>-2.8375623452894572E-2</v>
      </c>
      <c r="K457" s="26">
        <f t="shared" si="75"/>
        <v>-1.6221282156811012E-2</v>
      </c>
      <c r="L457" s="26">
        <f t="shared" si="76"/>
        <v>-3.7987461808896616E-2</v>
      </c>
      <c r="M457" s="26">
        <f t="shared" si="77"/>
        <v>1.4978604567616793E-2</v>
      </c>
      <c r="N457" s="26">
        <f t="shared" si="78"/>
        <v>-1.4764332740294206E-2</v>
      </c>
      <c r="O457" s="26">
        <f t="shared" si="79"/>
        <v>-2.9580735539793457E-2</v>
      </c>
    </row>
    <row r="458" spans="1:15" x14ac:dyDescent="0.25">
      <c r="A458" s="2">
        <v>44851</v>
      </c>
      <c r="B458">
        <v>174700</v>
      </c>
      <c r="C458">
        <v>184975</v>
      </c>
      <c r="D458">
        <v>804037</v>
      </c>
      <c r="F458">
        <f t="shared" si="70"/>
        <v>0.30907561321014132</v>
      </c>
      <c r="G458">
        <f t="shared" si="71"/>
        <v>-0.63919795297466864</v>
      </c>
      <c r="H458">
        <f t="shared" si="72"/>
        <v>1.0588151116199198</v>
      </c>
      <c r="I458">
        <f t="shared" si="73"/>
        <v>-0.480472800266385</v>
      </c>
      <c r="J458" s="26">
        <f t="shared" si="74"/>
        <v>-1.1764156591166863E-2</v>
      </c>
      <c r="K458" s="26">
        <f t="shared" si="75"/>
        <v>-1.5604498849733361E-2</v>
      </c>
      <c r="L458" s="26">
        <f t="shared" si="76"/>
        <v>-3.7792740944166181E-2</v>
      </c>
      <c r="M458" s="26">
        <f t="shared" si="77"/>
        <v>1.5654856860900734E-2</v>
      </c>
      <c r="N458" s="26">
        <f t="shared" si="78"/>
        <v>-1.7089887795317171E-2</v>
      </c>
      <c r="O458" s="26">
        <f t="shared" si="79"/>
        <v>-3.0048983259916007E-2</v>
      </c>
    </row>
    <row r="459" spans="1:15" x14ac:dyDescent="0.25">
      <c r="A459" s="2">
        <v>44848</v>
      </c>
      <c r="B459">
        <v>174700</v>
      </c>
      <c r="C459">
        <v>183500</v>
      </c>
      <c r="D459">
        <v>800289</v>
      </c>
      <c r="F459">
        <f t="shared" si="70"/>
        <v>0.30919585770775554</v>
      </c>
      <c r="G459">
        <f t="shared" si="71"/>
        <v>-0.64343136673695067</v>
      </c>
      <c r="H459">
        <f t="shared" si="72"/>
        <v>1.0503720663995422</v>
      </c>
      <c r="I459">
        <f t="shared" si="73"/>
        <v>-0.66442988563426175</v>
      </c>
      <c r="J459" s="26">
        <f t="shared" si="74"/>
        <v>-1.1751558822853891E-2</v>
      </c>
      <c r="K459" s="26">
        <f t="shared" si="75"/>
        <v>-1.4809008970917026E-2</v>
      </c>
      <c r="L459" s="26">
        <f t="shared" si="76"/>
        <v>-3.7462010510376176E-2</v>
      </c>
      <c r="M459" s="26">
        <f t="shared" si="77"/>
        <v>1.8325797855158754E-2</v>
      </c>
      <c r="N459" s="26">
        <f t="shared" si="78"/>
        <v>-1.9283721565530376E-2</v>
      </c>
      <c r="O459" s="26">
        <f t="shared" si="79"/>
        <v>-3.0045186660260015E-2</v>
      </c>
    </row>
    <row r="460" spans="1:15" x14ac:dyDescent="0.25">
      <c r="A460" s="2">
        <v>44847</v>
      </c>
      <c r="B460">
        <v>174500</v>
      </c>
      <c r="C460">
        <v>183105</v>
      </c>
      <c r="D460">
        <v>797864</v>
      </c>
      <c r="F460">
        <f t="shared" si="70"/>
        <v>0.30948904730460097</v>
      </c>
      <c r="G460">
        <f t="shared" si="71"/>
        <v>-0.64516159774311621</v>
      </c>
      <c r="H460">
        <f t="shared" si="72"/>
        <v>1.0493123209169055</v>
      </c>
      <c r="I460">
        <f t="shared" si="73"/>
        <v>-0.68773848594501907</v>
      </c>
      <c r="J460" s="26">
        <f t="shared" si="74"/>
        <v>-1.1623629009989422E-2</v>
      </c>
      <c r="K460" s="26">
        <f t="shared" si="75"/>
        <v>-1.3894581768796654E-2</v>
      </c>
      <c r="L460" s="26">
        <f t="shared" si="76"/>
        <v>-3.7049462491443252E-2</v>
      </c>
      <c r="M460" s="26">
        <f t="shared" si="77"/>
        <v>2.2053494010002117E-2</v>
      </c>
      <c r="N460" s="26">
        <f t="shared" si="78"/>
        <v>-2.0643526067802398E-2</v>
      </c>
      <c r="O460" s="26">
        <f t="shared" si="79"/>
        <v>-2.9187048110325797E-2</v>
      </c>
    </row>
    <row r="461" spans="1:15" x14ac:dyDescent="0.25">
      <c r="A461" s="2">
        <v>44846</v>
      </c>
      <c r="B461">
        <v>173875</v>
      </c>
      <c r="C461">
        <v>181155</v>
      </c>
      <c r="D461">
        <v>794675</v>
      </c>
      <c r="F461">
        <f t="shared" si="70"/>
        <v>0.30880095328801738</v>
      </c>
      <c r="G461">
        <f t="shared" si="71"/>
        <v>-0.66112879333417351</v>
      </c>
      <c r="H461">
        <f t="shared" si="72"/>
        <v>1.0418691588785047</v>
      </c>
      <c r="I461">
        <f t="shared" si="73"/>
        <v>-0.85104735212312355</v>
      </c>
      <c r="J461" s="26">
        <f t="shared" si="74"/>
        <v>-1.1070055081778885E-2</v>
      </c>
      <c r="K461" s="26">
        <f t="shared" si="75"/>
        <v>-1.2771995615053489E-2</v>
      </c>
      <c r="L461" s="26">
        <f t="shared" si="76"/>
        <v>-3.6459652794081809E-2</v>
      </c>
      <c r="M461" s="26">
        <f t="shared" si="77"/>
        <v>2.4901699321973503E-2</v>
      </c>
      <c r="N461" s="26">
        <f t="shared" si="78"/>
        <v>-2.1872199014622229E-2</v>
      </c>
      <c r="O461" s="26">
        <f t="shared" si="79"/>
        <v>-2.8330365146654435E-2</v>
      </c>
    </row>
    <row r="462" spans="1:15" x14ac:dyDescent="0.25">
      <c r="A462" s="2">
        <v>44845</v>
      </c>
      <c r="B462">
        <v>173491</v>
      </c>
      <c r="C462">
        <v>180530</v>
      </c>
      <c r="D462">
        <v>791401</v>
      </c>
      <c r="F462">
        <f t="shared" si="70"/>
        <v>0.30907473402815733</v>
      </c>
      <c r="G462">
        <f t="shared" si="71"/>
        <v>-0.66318318671712573</v>
      </c>
      <c r="H462">
        <f t="shared" si="72"/>
        <v>1.0405727098235644</v>
      </c>
      <c r="I462">
        <f t="shared" si="73"/>
        <v>-0.88148371862881925</v>
      </c>
      <c r="J462" s="26">
        <f t="shared" si="74"/>
        <v>-1.0212413138864063E-2</v>
      </c>
      <c r="K462" s="26">
        <f t="shared" si="75"/>
        <v>-1.1375214286944213E-2</v>
      </c>
      <c r="L462" s="26">
        <f t="shared" si="76"/>
        <v>-3.5640831503182258E-2</v>
      </c>
      <c r="M462" s="26">
        <f t="shared" si="77"/>
        <v>2.5196404768621505E-2</v>
      </c>
      <c r="N462" s="26">
        <f t="shared" si="78"/>
        <v>-2.3969012107020404E-2</v>
      </c>
      <c r="O462" s="26">
        <f t="shared" si="79"/>
        <v>-2.8255782441147126E-2</v>
      </c>
    </row>
    <row r="463" spans="1:15" x14ac:dyDescent="0.25">
      <c r="A463" s="2">
        <v>44844</v>
      </c>
      <c r="B463">
        <v>172136</v>
      </c>
      <c r="C463">
        <v>179755</v>
      </c>
      <c r="D463">
        <v>790472</v>
      </c>
      <c r="F463">
        <f t="shared" si="70"/>
        <v>0.30803781284933074</v>
      </c>
      <c r="G463">
        <f t="shared" si="71"/>
        <v>-0.68416258130970331</v>
      </c>
      <c r="H463">
        <f t="shared" si="72"/>
        <v>1.044261514151601</v>
      </c>
      <c r="I463">
        <f t="shared" si="73"/>
        <v>-0.80456372875725246</v>
      </c>
      <c r="J463" s="26">
        <f t="shared" si="74"/>
        <v>-9.233050389145403E-3</v>
      </c>
      <c r="K463" s="26">
        <f t="shared" si="75"/>
        <v>-9.8189034113531082E-3</v>
      </c>
      <c r="L463" s="26">
        <f t="shared" si="76"/>
        <v>-3.4661783645902888E-2</v>
      </c>
      <c r="M463" s="26">
        <f t="shared" si="77"/>
        <v>2.6425612223219375E-2</v>
      </c>
      <c r="N463" s="26">
        <f t="shared" si="78"/>
        <v>-2.5691463406517734E-2</v>
      </c>
      <c r="O463" s="26">
        <f t="shared" si="79"/>
        <v>-2.819049609563784E-2</v>
      </c>
    </row>
    <row r="464" spans="1:15" x14ac:dyDescent="0.25">
      <c r="A464" s="2">
        <v>44841</v>
      </c>
      <c r="B464">
        <v>171936</v>
      </c>
      <c r="C464">
        <v>178630</v>
      </c>
      <c r="D464">
        <v>788854</v>
      </c>
      <c r="F464">
        <f t="shared" si="70"/>
        <v>0.30767056923698022</v>
      </c>
      <c r="G464">
        <f t="shared" si="71"/>
        <v>-0.69553851230477137</v>
      </c>
      <c r="H464">
        <f t="shared" si="72"/>
        <v>1.0389330913828401</v>
      </c>
      <c r="I464">
        <f t="shared" si="73"/>
        <v>-0.92731163500566915</v>
      </c>
      <c r="J464" s="26">
        <f t="shared" si="74"/>
        <v>-8.2225528151081972E-3</v>
      </c>
      <c r="K464" s="26">
        <f t="shared" si="75"/>
        <v>-8.1694528186044835E-3</v>
      </c>
      <c r="L464" s="26">
        <f t="shared" si="76"/>
        <v>-3.3610152545446192E-2</v>
      </c>
      <c r="M464" s="26">
        <f t="shared" si="77"/>
        <v>2.7566968190794183E-2</v>
      </c>
      <c r="N464" s="26">
        <f t="shared" si="78"/>
        <v>-2.7842800735452089E-2</v>
      </c>
      <c r="O464" s="26">
        <f t="shared" si="79"/>
        <v>-2.827651020707056E-2</v>
      </c>
    </row>
    <row r="465" spans="1:15" x14ac:dyDescent="0.25">
      <c r="A465" s="2">
        <v>44840</v>
      </c>
      <c r="B465">
        <v>168236</v>
      </c>
      <c r="C465">
        <v>178130</v>
      </c>
      <c r="D465">
        <v>785363</v>
      </c>
      <c r="F465">
        <f t="shared" si="70"/>
        <v>0.30605030002765682</v>
      </c>
      <c r="G465">
        <f t="shared" si="71"/>
        <v>-0.72495276720904966</v>
      </c>
      <c r="H465">
        <f t="shared" si="72"/>
        <v>1.0588102427542263</v>
      </c>
      <c r="I465">
        <f t="shared" si="73"/>
        <v>-0.49502543908712582</v>
      </c>
      <c r="J465" s="26">
        <f t="shared" si="74"/>
        <v>-7.0091570137456038E-3</v>
      </c>
      <c r="K465" s="26">
        <f t="shared" si="75"/>
        <v>-6.3897938724314374E-3</v>
      </c>
      <c r="L465" s="26">
        <f t="shared" si="76"/>
        <v>-3.2434872160046091E-2</v>
      </c>
      <c r="M465" s="26">
        <f t="shared" si="77"/>
        <v>2.9919345298190292E-2</v>
      </c>
      <c r="N465" s="26">
        <f t="shared" si="78"/>
        <v>-2.9129883817447633E-2</v>
      </c>
      <c r="O465" s="26">
        <f t="shared" si="79"/>
        <v>-2.7661051628502964E-2</v>
      </c>
    </row>
    <row r="466" spans="1:15" x14ac:dyDescent="0.25">
      <c r="A466" s="2">
        <v>44839</v>
      </c>
      <c r="B466">
        <v>163911</v>
      </c>
      <c r="C466">
        <v>177430</v>
      </c>
      <c r="D466">
        <v>782756</v>
      </c>
      <c r="F466">
        <f t="shared" si="70"/>
        <v>0.30365795834345255</v>
      </c>
      <c r="G466">
        <f t="shared" si="71"/>
        <v>-0.76550601002859309</v>
      </c>
      <c r="H466">
        <f t="shared" si="72"/>
        <v>1.0824776860613381</v>
      </c>
      <c r="I466">
        <f t="shared" si="73"/>
        <v>2.8728944250321999E-2</v>
      </c>
      <c r="J466" s="26">
        <f t="shared" si="74"/>
        <v>-5.6148589033954699E-3</v>
      </c>
      <c r="K466" s="26">
        <f t="shared" si="75"/>
        <v>-5.4130701016860128E-3</v>
      </c>
      <c r="L466" s="26">
        <f t="shared" si="76"/>
        <v>-3.1172085470674293E-2</v>
      </c>
      <c r="M466" s="26">
        <f t="shared" si="77"/>
        <v>2.8945944183608407E-2</v>
      </c>
      <c r="N466" s="26">
        <f t="shared" si="78"/>
        <v>-3.099092563041661E-2</v>
      </c>
      <c r="O466" s="26">
        <f t="shared" si="79"/>
        <v>-2.8393063268524754E-2</v>
      </c>
    </row>
    <row r="467" spans="1:15" x14ac:dyDescent="0.25">
      <c r="A467" s="2">
        <v>44838</v>
      </c>
      <c r="B467">
        <v>164598</v>
      </c>
      <c r="C467">
        <v>176580</v>
      </c>
      <c r="D467">
        <v>782149</v>
      </c>
      <c r="F467">
        <f t="shared" si="70"/>
        <v>0.30372100020741954</v>
      </c>
      <c r="G467">
        <f t="shared" si="71"/>
        <v>-0.77101389524217256</v>
      </c>
      <c r="H467">
        <f t="shared" si="72"/>
        <v>1.0727955382203915</v>
      </c>
      <c r="I467">
        <f t="shared" si="73"/>
        <v>-0.18228727822876262</v>
      </c>
      <c r="J467" s="26">
        <f t="shared" si="74"/>
        <v>-4.0266586386936143E-3</v>
      </c>
      <c r="K467" s="26">
        <f t="shared" si="75"/>
        <v>-4.2958363794495247E-3</v>
      </c>
      <c r="L467" s="26">
        <f t="shared" si="76"/>
        <v>-2.9747763941525618E-2</v>
      </c>
      <c r="M467" s="26">
        <f t="shared" si="77"/>
        <v>2.7565472671087443E-2</v>
      </c>
      <c r="N467" s="26">
        <f t="shared" si="78"/>
        <v>-3.3643291593150382E-2</v>
      </c>
      <c r="O467" s="26">
        <f t="shared" si="79"/>
        <v>-3.0015213264749541E-2</v>
      </c>
    </row>
    <row r="468" spans="1:15" x14ac:dyDescent="0.25">
      <c r="A468" s="2">
        <v>44837</v>
      </c>
      <c r="B468">
        <v>163923</v>
      </c>
      <c r="C468">
        <v>173630</v>
      </c>
      <c r="D468">
        <v>775251</v>
      </c>
      <c r="F468">
        <f t="shared" si="70"/>
        <v>0.30333553797434232</v>
      </c>
      <c r="G468">
        <f t="shared" si="71"/>
        <v>-0.78295757493325246</v>
      </c>
      <c r="H468">
        <f t="shared" si="72"/>
        <v>1.0592168274128706</v>
      </c>
      <c r="I468">
        <f t="shared" si="73"/>
        <v>-0.47881414751658458</v>
      </c>
      <c r="J468" s="26">
        <f t="shared" si="74"/>
        <v>-2.4392313142613808E-3</v>
      </c>
      <c r="K468" s="26">
        <f t="shared" si="75"/>
        <v>-3.176781197998968E-3</v>
      </c>
      <c r="L468" s="26">
        <f t="shared" si="76"/>
        <v>-2.7995220605865123E-2</v>
      </c>
      <c r="M468" s="26">
        <f t="shared" si="77"/>
        <v>2.6106979847916767E-2</v>
      </c>
      <c r="N468" s="26">
        <f t="shared" si="78"/>
        <v>-3.6017277200524278E-2</v>
      </c>
      <c r="O468" s="26">
        <f t="shared" si="79"/>
        <v>-3.1521923433137644E-2</v>
      </c>
    </row>
    <row r="469" spans="1:15" x14ac:dyDescent="0.25">
      <c r="A469" s="2">
        <v>44834</v>
      </c>
      <c r="B469">
        <v>163923</v>
      </c>
      <c r="C469">
        <v>174680</v>
      </c>
      <c r="D469">
        <v>766830</v>
      </c>
      <c r="F469">
        <f t="shared" si="70"/>
        <v>0.30630802590478118</v>
      </c>
      <c r="G469">
        <f t="shared" si="71"/>
        <v>-0.74699314064055722</v>
      </c>
      <c r="H469">
        <f t="shared" si="72"/>
        <v>1.065622273872489</v>
      </c>
      <c r="I469">
        <f t="shared" si="73"/>
        <v>-0.34205186443260288</v>
      </c>
      <c r="J469" s="26">
        <f t="shared" si="74"/>
        <v>-7.3073443733978616E-4</v>
      </c>
      <c r="K469" s="26">
        <f t="shared" si="75"/>
        <v>-1.9524228108291353E-3</v>
      </c>
      <c r="L469" s="26">
        <f t="shared" si="76"/>
        <v>-2.6148531994228563E-2</v>
      </c>
      <c r="M469" s="26">
        <f t="shared" si="77"/>
        <v>2.5387146160839258E-2</v>
      </c>
      <c r="N469" s="26">
        <f t="shared" si="78"/>
        <v>-3.8073405645386194E-2</v>
      </c>
      <c r="O469" s="26">
        <f t="shared" si="79"/>
        <v>-3.272193890999775E-2</v>
      </c>
    </row>
    <row r="470" spans="1:15" x14ac:dyDescent="0.25">
      <c r="A470" s="2">
        <v>44833</v>
      </c>
      <c r="B470">
        <v>162648</v>
      </c>
      <c r="C470">
        <v>172669</v>
      </c>
      <c r="D470">
        <v>765694</v>
      </c>
      <c r="F470">
        <f t="shared" si="70"/>
        <v>0.30455372380475765</v>
      </c>
      <c r="G470">
        <f t="shared" si="71"/>
        <v>-0.77832624016460461</v>
      </c>
      <c r="H470">
        <f t="shared" si="72"/>
        <v>1.0616115783778466</v>
      </c>
      <c r="I470">
        <f t="shared" si="73"/>
        <v>-0.43454692626314945</v>
      </c>
      <c r="J470" s="26">
        <f t="shared" si="74"/>
        <v>1.0523324091131214E-3</v>
      </c>
      <c r="K470" s="26">
        <f t="shared" si="75"/>
        <v>-8.0966193266773789E-4</v>
      </c>
      <c r="L470" s="26">
        <f t="shared" si="76"/>
        <v>-2.4363982995548983E-2</v>
      </c>
      <c r="M470" s="26">
        <f t="shared" si="77"/>
        <v>2.4605985572642375E-2</v>
      </c>
      <c r="N470" s="26">
        <f t="shared" si="78"/>
        <v>-4.07661909768533E-2</v>
      </c>
      <c r="O470" s="26">
        <f t="shared" si="79"/>
        <v>-3.4448907868679379E-2</v>
      </c>
    </row>
    <row r="471" spans="1:15" x14ac:dyDescent="0.25">
      <c r="A471" s="2">
        <v>44832</v>
      </c>
      <c r="B471">
        <v>161848</v>
      </c>
      <c r="C471">
        <v>171419</v>
      </c>
      <c r="D471">
        <v>762657</v>
      </c>
      <c r="F471">
        <f t="shared" si="70"/>
        <v>0.30409681693256102</v>
      </c>
      <c r="G471">
        <f t="shared" si="71"/>
        <v>-0.79129196894701392</v>
      </c>
      <c r="H471">
        <f t="shared" si="72"/>
        <v>1.0591357322920272</v>
      </c>
      <c r="I471">
        <f t="shared" si="73"/>
        <v>-0.4941277039025162</v>
      </c>
      <c r="J471" s="26">
        <f t="shared" si="74"/>
        <v>3.3165906334198247E-3</v>
      </c>
      <c r="K471" s="26">
        <f t="shared" si="75"/>
        <v>6.2861990314005967E-4</v>
      </c>
      <c r="L471" s="26">
        <f t="shared" si="76"/>
        <v>-2.2328729220503718E-2</v>
      </c>
      <c r="M471" s="26">
        <f t="shared" si="77"/>
        <v>2.1422451844829826E-2</v>
      </c>
      <c r="N471" s="26">
        <f t="shared" si="78"/>
        <v>-4.397386879318721E-2</v>
      </c>
      <c r="O471" s="26">
        <f t="shared" si="79"/>
        <v>-3.6628248854023493E-2</v>
      </c>
    </row>
    <row r="472" spans="1:15" x14ac:dyDescent="0.25">
      <c r="A472" s="2">
        <v>44831</v>
      </c>
      <c r="B472">
        <v>161073</v>
      </c>
      <c r="C472">
        <v>169294</v>
      </c>
      <c r="D472">
        <v>756586</v>
      </c>
      <c r="F472">
        <f t="shared" si="70"/>
        <v>0.30393862476114425</v>
      </c>
      <c r="G472">
        <f t="shared" si="71"/>
        <v>-0.80006766906008886</v>
      </c>
      <c r="H472">
        <f t="shared" si="72"/>
        <v>1.051038969908054</v>
      </c>
      <c r="I472">
        <f t="shared" si="73"/>
        <v>-0.67818032384128923</v>
      </c>
      <c r="J472" s="26">
        <f t="shared" si="74"/>
        <v>3.7622596501438732E-3</v>
      </c>
      <c r="K472" s="26">
        <f t="shared" si="75"/>
        <v>9.0894056602419671E-4</v>
      </c>
      <c r="L472" s="26">
        <f t="shared" si="76"/>
        <v>-2.1622347008747544E-2</v>
      </c>
      <c r="M472" s="26">
        <f t="shared" si="77"/>
        <v>1.7629266149388867E-2</v>
      </c>
      <c r="N472" s="26">
        <f t="shared" si="78"/>
        <v>-4.7414975821767458E-2</v>
      </c>
      <c r="O472" s="26">
        <f t="shared" si="79"/>
        <v>-3.9839451445070839E-2</v>
      </c>
    </row>
    <row r="473" spans="1:15" x14ac:dyDescent="0.25">
      <c r="A473" s="2">
        <v>44830</v>
      </c>
      <c r="B473">
        <v>163143</v>
      </c>
      <c r="C473">
        <v>168144</v>
      </c>
      <c r="D473">
        <v>767263</v>
      </c>
      <c r="F473">
        <f t="shared" si="70"/>
        <v>0.30156752082290289</v>
      </c>
      <c r="G473">
        <f t="shared" si="71"/>
        <v>-0.84029360401001696</v>
      </c>
      <c r="H473">
        <f t="shared" si="72"/>
        <v>1.0306540887442306</v>
      </c>
      <c r="I473">
        <f t="shared" si="73"/>
        <v>-1.135427099825461</v>
      </c>
      <c r="J473" s="26">
        <f t="shared" si="74"/>
        <v>6.294728512815817E-3</v>
      </c>
      <c r="K473" s="26">
        <f t="shared" si="75"/>
        <v>2.4054255456290585E-3</v>
      </c>
      <c r="L473" s="26">
        <f t="shared" si="76"/>
        <v>-2.0050721357714518E-2</v>
      </c>
      <c r="M473" s="26">
        <f t="shared" si="77"/>
        <v>1.5286135902190079E-2</v>
      </c>
      <c r="N473" s="26">
        <f t="shared" si="78"/>
        <v>-5.1058560383356655E-2</v>
      </c>
      <c r="O473" s="26">
        <f t="shared" si="79"/>
        <v>-4.3236015802391448E-2</v>
      </c>
    </row>
    <row r="474" spans="1:15" x14ac:dyDescent="0.25">
      <c r="A474" s="2">
        <v>44827</v>
      </c>
      <c r="B474">
        <v>163293</v>
      </c>
      <c r="C474">
        <v>169094</v>
      </c>
      <c r="D474">
        <v>766041</v>
      </c>
      <c r="F474">
        <f t="shared" si="70"/>
        <v>0.30260244640522638</v>
      </c>
      <c r="G474">
        <f t="shared" si="71"/>
        <v>-0.83237820771554061</v>
      </c>
      <c r="H474">
        <f t="shared" si="72"/>
        <v>1.0355250990550728</v>
      </c>
      <c r="I474">
        <f t="shared" si="73"/>
        <v>-1.0415077511356954</v>
      </c>
      <c r="J474" s="26">
        <f t="shared" si="74"/>
        <v>9.2758902770792573E-3</v>
      </c>
      <c r="K474" s="26">
        <f t="shared" si="75"/>
        <v>4.0605589112914786E-3</v>
      </c>
      <c r="L474" s="26">
        <f t="shared" si="76"/>
        <v>-1.8338492850139942E-2</v>
      </c>
      <c r="M474" s="26">
        <f t="shared" si="77"/>
        <v>1.2203960136028424E-2</v>
      </c>
      <c r="N474" s="26">
        <f t="shared" si="78"/>
        <v>-5.38459629864525E-2</v>
      </c>
      <c r="O474" s="26">
        <f t="shared" si="79"/>
        <v>-4.5670235789296632E-2</v>
      </c>
    </row>
    <row r="475" spans="1:15" x14ac:dyDescent="0.25">
      <c r="A475" s="2">
        <v>44826</v>
      </c>
      <c r="B475">
        <v>159278</v>
      </c>
      <c r="C475">
        <v>168329</v>
      </c>
      <c r="D475">
        <v>761393</v>
      </c>
      <c r="F475">
        <f t="shared" si="70"/>
        <v>0.30083287419651056</v>
      </c>
      <c r="G475">
        <f t="shared" si="71"/>
        <v>-0.86417541181956137</v>
      </c>
      <c r="H475">
        <f t="shared" si="72"/>
        <v>1.0568251735958514</v>
      </c>
      <c r="I475">
        <f t="shared" si="73"/>
        <v>-0.57756459505883284</v>
      </c>
      <c r="J475" s="26">
        <f t="shared" si="74"/>
        <v>1.2359903966474572E-2</v>
      </c>
      <c r="K475" s="26">
        <f t="shared" si="75"/>
        <v>5.5916069585686956E-3</v>
      </c>
      <c r="L475" s="26">
        <f t="shared" si="76"/>
        <v>-1.6724453087878011E-2</v>
      </c>
      <c r="M475" s="26">
        <f t="shared" si="77"/>
        <v>7.0767497542110203E-3</v>
      </c>
      <c r="N475" s="26">
        <f t="shared" si="78"/>
        <v>-5.6400856183641546E-2</v>
      </c>
      <c r="O475" s="26">
        <f t="shared" si="79"/>
        <v>-4.7778325881495665E-2</v>
      </c>
    </row>
    <row r="476" spans="1:15" x14ac:dyDescent="0.25">
      <c r="A476" s="2">
        <v>44825</v>
      </c>
      <c r="B476">
        <v>159964</v>
      </c>
      <c r="C476">
        <v>168429</v>
      </c>
      <c r="D476">
        <v>760118</v>
      </c>
      <c r="F476">
        <f t="shared" si="70"/>
        <v>0.30169010694425685</v>
      </c>
      <c r="G476">
        <f t="shared" si="71"/>
        <v>-0.85895998967470555</v>
      </c>
      <c r="H476">
        <f t="shared" si="72"/>
        <v>1.0529181565852317</v>
      </c>
      <c r="I476">
        <f t="shared" si="73"/>
        <v>-0.67111334043569637</v>
      </c>
      <c r="J476" s="26">
        <f t="shared" si="74"/>
        <v>1.5514181453677944E-2</v>
      </c>
      <c r="K476" s="26">
        <f t="shared" si="75"/>
        <v>7.1698641565188237E-3</v>
      </c>
      <c r="L476" s="26">
        <f t="shared" si="76"/>
        <v>-1.5051918275225451E-2</v>
      </c>
      <c r="M476" s="26">
        <f t="shared" si="77"/>
        <v>7.9574788747094338E-4</v>
      </c>
      <c r="N476" s="26">
        <f t="shared" si="78"/>
        <v>-5.9782926493074706E-2</v>
      </c>
      <c r="O476" s="26">
        <f t="shared" si="79"/>
        <v>-5.0684783423731394E-2</v>
      </c>
    </row>
    <row r="477" spans="1:15" x14ac:dyDescent="0.25">
      <c r="A477" s="2">
        <v>44824</v>
      </c>
      <c r="B477">
        <v>172905</v>
      </c>
      <c r="C477">
        <v>183862</v>
      </c>
      <c r="D477">
        <v>755813</v>
      </c>
      <c r="F477">
        <f t="shared" si="70"/>
        <v>0.32066637904689999</v>
      </c>
      <c r="G477">
        <f t="shared" si="71"/>
        <v>-0.59773648282056913</v>
      </c>
      <c r="H477">
        <f t="shared" si="72"/>
        <v>1.0633700587027559</v>
      </c>
      <c r="I477">
        <f t="shared" si="73"/>
        <v>-0.44443505724770183</v>
      </c>
      <c r="J477" s="26">
        <f t="shared" si="74"/>
        <v>1.8399806341777902E-2</v>
      </c>
      <c r="K477" s="26">
        <f t="shared" si="75"/>
        <v>8.4786206418744348E-3</v>
      </c>
      <c r="L477" s="26">
        <f t="shared" si="76"/>
        <v>-1.3604764301794747E-2</v>
      </c>
      <c r="M477" s="26">
        <f t="shared" si="77"/>
        <v>-6.4235075304930334E-3</v>
      </c>
      <c r="N477" s="26">
        <f t="shared" si="78"/>
        <v>-6.3840897662712504E-2</v>
      </c>
      <c r="O477" s="26">
        <f t="shared" si="79"/>
        <v>-5.4198953243986381E-2</v>
      </c>
    </row>
    <row r="478" spans="1:15" x14ac:dyDescent="0.25">
      <c r="A478" s="2">
        <v>44823</v>
      </c>
      <c r="B478">
        <v>173245</v>
      </c>
      <c r="C478">
        <v>184012</v>
      </c>
      <c r="D478">
        <v>754380</v>
      </c>
      <c r="F478">
        <f t="shared" si="70"/>
        <v>0.32137919122879144</v>
      </c>
      <c r="G478">
        <f t="shared" si="71"/>
        <v>-0.59340000568521856</v>
      </c>
      <c r="H478">
        <f t="shared" si="72"/>
        <v>1.062148979768536</v>
      </c>
      <c r="I478">
        <f t="shared" si="73"/>
        <v>-0.48393434991942502</v>
      </c>
      <c r="J478" s="26">
        <f t="shared" si="74"/>
        <v>2.0182109877381393E-2</v>
      </c>
      <c r="K478" s="26">
        <f t="shared" si="75"/>
        <v>8.727312014027655E-3</v>
      </c>
      <c r="L478" s="26">
        <f t="shared" si="76"/>
        <v>-1.3180293699446122E-2</v>
      </c>
      <c r="M478" s="26">
        <f t="shared" si="77"/>
        <v>-1.4366985732892523E-2</v>
      </c>
      <c r="N478" s="26">
        <f t="shared" si="78"/>
        <v>-6.8485752774879671E-2</v>
      </c>
      <c r="O478" s="26">
        <f t="shared" si="79"/>
        <v>-5.8453262220018676E-2</v>
      </c>
    </row>
    <row r="479" spans="1:15" x14ac:dyDescent="0.25">
      <c r="A479" s="2">
        <v>44820</v>
      </c>
      <c r="B479">
        <v>173195</v>
      </c>
      <c r="C479">
        <v>183662</v>
      </c>
      <c r="D479">
        <v>747711</v>
      </c>
      <c r="F479">
        <f t="shared" si="70"/>
        <v>0.32307381709410377</v>
      </c>
      <c r="G479">
        <f t="shared" si="71"/>
        <v>-0.57519725178527215</v>
      </c>
      <c r="H479">
        <f t="shared" si="72"/>
        <v>1.0604347700568724</v>
      </c>
      <c r="I479">
        <f t="shared" si="73"/>
        <v>-0.53293567326438585</v>
      </c>
      <c r="J479" s="26">
        <f t="shared" si="74"/>
        <v>-1.1035909762989571E-2</v>
      </c>
      <c r="K479" s="26">
        <f t="shared" si="75"/>
        <v>-1.3832416723874252E-2</v>
      </c>
      <c r="L479" s="26">
        <f t="shared" si="76"/>
        <v>-3.2570109582438334E-2</v>
      </c>
      <c r="M479" s="26">
        <f t="shared" si="77"/>
        <v>-6.7107289030987394E-2</v>
      </c>
      <c r="N479" s="26">
        <f t="shared" si="78"/>
        <v>-0.11939135966969494</v>
      </c>
      <c r="O479" s="26">
        <f t="shared" si="79"/>
        <v>-0.10983401656543745</v>
      </c>
    </row>
    <row r="480" spans="1:15" x14ac:dyDescent="0.25">
      <c r="A480" s="2">
        <v>44819</v>
      </c>
      <c r="B480">
        <v>172995</v>
      </c>
      <c r="C480">
        <v>184662</v>
      </c>
      <c r="D480">
        <v>744343</v>
      </c>
      <c r="F480">
        <f t="shared" si="70"/>
        <v>0.32455263157894737</v>
      </c>
      <c r="G480">
        <f t="shared" si="71"/>
        <v>-0.56046083818032721</v>
      </c>
      <c r="H480">
        <f t="shared" si="72"/>
        <v>1.0674412555276165</v>
      </c>
      <c r="I480">
        <f t="shared" si="73"/>
        <v>-0.39644081908501283</v>
      </c>
      <c r="J480" s="26">
        <f t="shared" si="74"/>
        <v>-9.4675776422245561E-3</v>
      </c>
      <c r="K480" s="26">
        <f t="shared" si="75"/>
        <v>-1.3669099533291762E-2</v>
      </c>
      <c r="L480" s="26">
        <f t="shared" si="76"/>
        <v>-3.2218933219255619E-2</v>
      </c>
      <c r="M480" s="26">
        <f t="shared" si="77"/>
        <v>-7.5116885104687281E-2</v>
      </c>
      <c r="N480" s="26">
        <f t="shared" si="78"/>
        <v>-0.12396570065894985</v>
      </c>
      <c r="O480" s="26">
        <f t="shared" si="79"/>
        <v>-0.1139655090039795</v>
      </c>
    </row>
    <row r="481" spans="1:15" x14ac:dyDescent="0.25">
      <c r="A481" s="2">
        <v>44818</v>
      </c>
      <c r="B481">
        <v>173895</v>
      </c>
      <c r="C481">
        <v>185474</v>
      </c>
      <c r="D481">
        <v>735420</v>
      </c>
      <c r="F481">
        <f t="shared" si="70"/>
        <v>0.32825412020033085</v>
      </c>
      <c r="G481">
        <f t="shared" si="71"/>
        <v>-0.5147916332784106</v>
      </c>
      <c r="H481">
        <f t="shared" si="72"/>
        <v>1.0665861583139251</v>
      </c>
      <c r="I481">
        <f t="shared" si="73"/>
        <v>-0.42714412009517128</v>
      </c>
      <c r="J481" s="26">
        <f t="shared" si="74"/>
        <v>-8.0319703369037265E-3</v>
      </c>
      <c r="K481" s="26">
        <f t="shared" si="75"/>
        <v>-1.35491435650551E-2</v>
      </c>
      <c r="L481" s="26">
        <f t="shared" si="76"/>
        <v>-3.190033471200493E-2</v>
      </c>
      <c r="M481" s="26">
        <f t="shared" si="77"/>
        <v>-8.3080040686560275E-2</v>
      </c>
      <c r="N481" s="26">
        <f t="shared" si="78"/>
        <v>-0.1287942604379041</v>
      </c>
      <c r="O481" s="26">
        <f t="shared" si="79"/>
        <v>-0.11847970705202771</v>
      </c>
    </row>
    <row r="482" spans="1:15" x14ac:dyDescent="0.25">
      <c r="A482" s="2">
        <v>44817</v>
      </c>
      <c r="B482">
        <v>177773</v>
      </c>
      <c r="C482">
        <v>185752</v>
      </c>
      <c r="D482">
        <v>733807</v>
      </c>
      <c r="F482">
        <f t="shared" si="70"/>
        <v>0.33128077919900267</v>
      </c>
      <c r="G482">
        <f t="shared" si="71"/>
        <v>-0.47867323001726719</v>
      </c>
      <c r="H482">
        <f t="shared" si="72"/>
        <v>1.044883081232808</v>
      </c>
      <c r="I482">
        <f t="shared" si="73"/>
        <v>-0.88533941602289978</v>
      </c>
      <c r="J482" s="26">
        <f t="shared" si="74"/>
        <v>-6.8478897683921236E-3</v>
      </c>
      <c r="K482" s="26">
        <f t="shared" si="75"/>
        <v>-1.3749645876495242E-2</v>
      </c>
      <c r="L482" s="26">
        <f t="shared" si="76"/>
        <v>-3.1853310256710732E-2</v>
      </c>
      <c r="M482" s="26">
        <f t="shared" si="77"/>
        <v>-9.0093338665273803E-2</v>
      </c>
      <c r="N482" s="26">
        <f t="shared" si="78"/>
        <v>-0.13244711042123103</v>
      </c>
      <c r="O482" s="26">
        <f t="shared" si="79"/>
        <v>-0.12203776061581761</v>
      </c>
    </row>
    <row r="483" spans="1:15" x14ac:dyDescent="0.25">
      <c r="A483" s="2">
        <v>44816</v>
      </c>
      <c r="B483">
        <v>177698</v>
      </c>
      <c r="C483">
        <v>186377</v>
      </c>
      <c r="D483">
        <v>727264</v>
      </c>
      <c r="F483">
        <f t="shared" si="70"/>
        <v>0.33360394891046685</v>
      </c>
      <c r="G483">
        <f t="shared" si="71"/>
        <v>-0.45241991651409508</v>
      </c>
      <c r="H483">
        <f t="shared" si="72"/>
        <v>1.0488412925300228</v>
      </c>
      <c r="I483">
        <f t="shared" si="73"/>
        <v>-0.8169646170978746</v>
      </c>
      <c r="J483" s="26">
        <f t="shared" si="74"/>
        <v>-5.7911663944530956E-3</v>
      </c>
      <c r="K483" s="26">
        <f t="shared" si="75"/>
        <v>-1.4078219667836345E-2</v>
      </c>
      <c r="L483" s="26">
        <f t="shared" si="76"/>
        <v>-3.1952809139090488E-2</v>
      </c>
      <c r="M483" s="26">
        <f t="shared" si="77"/>
        <v>-9.4823249625971995E-2</v>
      </c>
      <c r="N483" s="26">
        <f t="shared" si="78"/>
        <v>-0.13394354622321569</v>
      </c>
      <c r="O483" s="26">
        <f t="shared" si="79"/>
        <v>-0.1241332595204363</v>
      </c>
    </row>
    <row r="484" spans="1:15" x14ac:dyDescent="0.25">
      <c r="A484" s="2">
        <v>44813</v>
      </c>
      <c r="B484">
        <v>177761</v>
      </c>
      <c r="C484">
        <v>186527</v>
      </c>
      <c r="D484">
        <v>726587</v>
      </c>
      <c r="F484">
        <f t="shared" si="70"/>
        <v>0.33394110232611435</v>
      </c>
      <c r="G484">
        <f t="shared" si="71"/>
        <v>-0.45362115628676419</v>
      </c>
      <c r="H484">
        <f t="shared" si="72"/>
        <v>1.0493134039524981</v>
      </c>
      <c r="I484">
        <f t="shared" si="73"/>
        <v>-0.81717779227885279</v>
      </c>
      <c r="J484" s="26">
        <f t="shared" si="74"/>
        <v>-4.6400708693843939E-3</v>
      </c>
      <c r="K484" s="26">
        <f t="shared" si="75"/>
        <v>-1.439864607819058E-2</v>
      </c>
      <c r="L484" s="26">
        <f t="shared" si="76"/>
        <v>-3.2031662327495602E-2</v>
      </c>
      <c r="M484" s="26">
        <f t="shared" si="77"/>
        <v>-9.9865169815295918E-2</v>
      </c>
      <c r="N484" s="26">
        <f t="shared" si="78"/>
        <v>-0.13632008974018817</v>
      </c>
      <c r="O484" s="26">
        <f t="shared" si="79"/>
        <v>-0.12694161492725997</v>
      </c>
    </row>
    <row r="485" spans="1:15" x14ac:dyDescent="0.25">
      <c r="A485" s="2">
        <v>44812</v>
      </c>
      <c r="B485">
        <v>177798</v>
      </c>
      <c r="C485">
        <v>188002</v>
      </c>
      <c r="D485">
        <v>723367</v>
      </c>
      <c r="F485">
        <f t="shared" si="70"/>
        <v>0.33585299591339068</v>
      </c>
      <c r="G485">
        <f t="shared" si="71"/>
        <v>-0.43324065476021756</v>
      </c>
      <c r="H485">
        <f t="shared" si="72"/>
        <v>1.0573909717769603</v>
      </c>
      <c r="I485">
        <f t="shared" si="73"/>
        <v>-0.66954031536016512</v>
      </c>
      <c r="J485" s="26">
        <f t="shared" si="74"/>
        <v>-3.3834161105517069E-3</v>
      </c>
      <c r="K485" s="26">
        <f t="shared" si="75"/>
        <v>-1.4537018537930768E-2</v>
      </c>
      <c r="L485" s="26">
        <f t="shared" si="76"/>
        <v>-3.2068849405743283E-2</v>
      </c>
      <c r="M485" s="26">
        <f t="shared" si="77"/>
        <v>-0.10570494727186219</v>
      </c>
      <c r="N485" s="26">
        <f t="shared" si="78"/>
        <v>-0.13826453215846712</v>
      </c>
      <c r="O485" s="26">
        <f t="shared" si="79"/>
        <v>-0.12986738477464776</v>
      </c>
    </row>
    <row r="486" spans="1:15" x14ac:dyDescent="0.25">
      <c r="A486" s="2">
        <v>44811</v>
      </c>
      <c r="B486">
        <v>177498</v>
      </c>
      <c r="C486">
        <v>186285</v>
      </c>
      <c r="D486">
        <v>721084</v>
      </c>
      <c r="F486">
        <f t="shared" si="70"/>
        <v>0.3353249753195553</v>
      </c>
      <c r="G486">
        <f t="shared" si="71"/>
        <v>-0.44629055304804366</v>
      </c>
      <c r="H486">
        <f t="shared" si="72"/>
        <v>1.0495047831524862</v>
      </c>
      <c r="I486">
        <f t="shared" si="73"/>
        <v>-0.83422977435278667</v>
      </c>
      <c r="J486" s="26">
        <f t="shared" si="74"/>
        <v>-2.19328245283823E-3</v>
      </c>
      <c r="K486" s="26">
        <f t="shared" si="75"/>
        <v>-1.4789963562479025E-2</v>
      </c>
      <c r="L486" s="26">
        <f t="shared" si="76"/>
        <v>-3.2205372477196847E-2</v>
      </c>
      <c r="M486" s="26">
        <f t="shared" si="77"/>
        <v>-0.11263788337477687</v>
      </c>
      <c r="N486" s="26">
        <f t="shared" si="78"/>
        <v>-0.14087969005516798</v>
      </c>
      <c r="O486" s="26">
        <f t="shared" si="79"/>
        <v>-0.1330008185032</v>
      </c>
    </row>
    <row r="487" spans="1:15" x14ac:dyDescent="0.25">
      <c r="A487" s="2">
        <v>44810</v>
      </c>
      <c r="B487">
        <v>177210</v>
      </c>
      <c r="C487">
        <v>186391</v>
      </c>
      <c r="D487">
        <v>718252</v>
      </c>
      <c r="F487">
        <f t="shared" si="70"/>
        <v>0.33609094766109626</v>
      </c>
      <c r="G487">
        <f t="shared" si="71"/>
        <v>-0.44169554635584668</v>
      </c>
      <c r="H487">
        <f t="shared" si="72"/>
        <v>1.051808588680097</v>
      </c>
      <c r="I487">
        <f t="shared" si="73"/>
        <v>-0.80053152359493218</v>
      </c>
      <c r="J487" s="26">
        <f t="shared" si="74"/>
        <v>-1.3128828648631963E-3</v>
      </c>
      <c r="K487" s="26">
        <f t="shared" si="75"/>
        <v>-1.5196646390612689E-2</v>
      </c>
      <c r="L487" s="26">
        <f t="shared" si="76"/>
        <v>-3.2418797962938783E-2</v>
      </c>
      <c r="M487" s="26">
        <f t="shared" si="77"/>
        <v>-0.11621652758988743</v>
      </c>
      <c r="N487" s="26">
        <f t="shared" si="78"/>
        <v>-0.14095664759603488</v>
      </c>
      <c r="O487" s="26">
        <f t="shared" si="79"/>
        <v>-0.13373066608649475</v>
      </c>
    </row>
    <row r="488" spans="1:15" x14ac:dyDescent="0.25">
      <c r="A488" s="2">
        <v>44809</v>
      </c>
      <c r="B488">
        <v>175865</v>
      </c>
      <c r="C488">
        <v>184226</v>
      </c>
      <c r="D488">
        <v>710534</v>
      </c>
      <c r="F488">
        <f t="shared" si="70"/>
        <v>0.33633718622300057</v>
      </c>
      <c r="G488">
        <f t="shared" si="71"/>
        <v>-0.44421554684288145</v>
      </c>
      <c r="H488">
        <f t="shared" si="72"/>
        <v>1.0475421488073238</v>
      </c>
      <c r="I488">
        <f t="shared" si="73"/>
        <v>-0.89107621359604994</v>
      </c>
      <c r="J488" s="26">
        <f t="shared" si="74"/>
        <v>-5.1619853879819599E-4</v>
      </c>
      <c r="K488" s="26">
        <f t="shared" si="75"/>
        <v>-1.5655291912325064E-2</v>
      </c>
      <c r="L488" s="26">
        <f t="shared" si="76"/>
        <v>-3.2670078101019073E-2</v>
      </c>
      <c r="M488" s="26">
        <f t="shared" si="77"/>
        <v>-0.12063614802194877</v>
      </c>
      <c r="N488" s="26">
        <f t="shared" si="78"/>
        <v>-0.14170825431554224</v>
      </c>
      <c r="O488" s="26">
        <f t="shared" si="79"/>
        <v>-0.13501970216890868</v>
      </c>
    </row>
    <row r="489" spans="1:15" x14ac:dyDescent="0.25">
      <c r="A489" s="2">
        <v>44806</v>
      </c>
      <c r="B489">
        <v>176465</v>
      </c>
      <c r="C489">
        <v>183976</v>
      </c>
      <c r="D489">
        <v>706528</v>
      </c>
      <c r="F489">
        <f t="shared" si="70"/>
        <v>0.3378176872992561</v>
      </c>
      <c r="G489">
        <f t="shared" si="71"/>
        <v>-0.43006863830458186</v>
      </c>
      <c r="H489">
        <f t="shared" si="72"/>
        <v>1.0425636811832375</v>
      </c>
      <c r="I489">
        <f t="shared" si="73"/>
        <v>-0.98207468497827966</v>
      </c>
      <c r="J489" s="26">
        <f t="shared" si="74"/>
        <v>2.9237566894058098E-4</v>
      </c>
      <c r="K489" s="26">
        <f t="shared" si="75"/>
        <v>-1.6083147551471555E-2</v>
      </c>
      <c r="L489" s="26">
        <f t="shared" si="76"/>
        <v>-3.2930510635508004E-2</v>
      </c>
      <c r="M489" s="26">
        <f t="shared" si="77"/>
        <v>-0.12465418271074624</v>
      </c>
      <c r="N489" s="26">
        <f t="shared" si="78"/>
        <v>-0.14195852993863001</v>
      </c>
      <c r="O489" s="26">
        <f t="shared" si="79"/>
        <v>-0.13608834890586652</v>
      </c>
    </row>
    <row r="490" spans="1:15" x14ac:dyDescent="0.25">
      <c r="A490" s="2">
        <v>44805</v>
      </c>
      <c r="B490">
        <v>177015</v>
      </c>
      <c r="C490">
        <v>183776</v>
      </c>
      <c r="D490">
        <v>703943</v>
      </c>
      <c r="F490">
        <f t="shared" si="70"/>
        <v>0.33885552635681776</v>
      </c>
      <c r="G490">
        <f t="shared" si="71"/>
        <v>-0.42194333352409791</v>
      </c>
      <c r="H490">
        <f t="shared" si="72"/>
        <v>1.0381945032906816</v>
      </c>
      <c r="I490">
        <f t="shared" si="73"/>
        <v>-1.0606672389358649</v>
      </c>
      <c r="J490" s="26">
        <f t="shared" si="74"/>
        <v>1.1598860200623395E-3</v>
      </c>
      <c r="K490" s="26">
        <f t="shared" si="75"/>
        <v>-1.655743435835727E-2</v>
      </c>
      <c r="L490" s="26">
        <f t="shared" si="76"/>
        <v>-3.3214295910545644E-2</v>
      </c>
      <c r="M490" s="26">
        <f t="shared" si="77"/>
        <v>-0.12961635058948218</v>
      </c>
      <c r="N490" s="26">
        <f t="shared" si="78"/>
        <v>-0.14279253237662337</v>
      </c>
      <c r="O490" s="26">
        <f t="shared" si="79"/>
        <v>-0.13745780929824425</v>
      </c>
    </row>
    <row r="491" spans="1:15" x14ac:dyDescent="0.25">
      <c r="A491" s="2">
        <v>44804</v>
      </c>
      <c r="B491">
        <v>179880</v>
      </c>
      <c r="C491">
        <v>184966</v>
      </c>
      <c r="D491">
        <v>701943</v>
      </c>
      <c r="F491">
        <f t="shared" si="70"/>
        <v>0.34200390142755505</v>
      </c>
      <c r="G491">
        <f t="shared" si="71"/>
        <v>-0.38558660579047754</v>
      </c>
      <c r="H491">
        <f t="shared" si="72"/>
        <v>1.0282744051589949</v>
      </c>
      <c r="I491">
        <f t="shared" si="73"/>
        <v>-1.2315738999183656</v>
      </c>
      <c r="J491" s="26">
        <f t="shared" si="74"/>
        <v>1.7350654840720403E-3</v>
      </c>
      <c r="K491" s="26">
        <f t="shared" si="75"/>
        <v>-1.7276109321189004E-2</v>
      </c>
      <c r="L491" s="26">
        <f t="shared" si="76"/>
        <v>-3.3680399717906595E-2</v>
      </c>
      <c r="M491" s="26">
        <f t="shared" si="77"/>
        <v>-0.1359222592049244</v>
      </c>
      <c r="N491" s="26">
        <f t="shared" si="78"/>
        <v>-0.14441237229354742</v>
      </c>
      <c r="O491" s="26">
        <f t="shared" si="79"/>
        <v>-0.13947515588486603</v>
      </c>
    </row>
    <row r="492" spans="1:15" x14ac:dyDescent="0.25">
      <c r="A492" s="2">
        <v>44803</v>
      </c>
      <c r="B492">
        <v>179655</v>
      </c>
      <c r="C492">
        <v>183666</v>
      </c>
      <c r="D492">
        <v>701498</v>
      </c>
      <c r="G492">
        <f t="shared" si="71"/>
        <v>-4.9510257014404786</v>
      </c>
      <c r="H492">
        <f t="shared" si="72"/>
        <v>1.0223261250730566</v>
      </c>
      <c r="I492">
        <f t="shared" si="73"/>
        <v>-1.3447064025165167</v>
      </c>
      <c r="J492" s="26">
        <f t="shared" si="74"/>
        <v>2.0170116149679229E-3</v>
      </c>
      <c r="K492" s="26">
        <f t="shared" si="75"/>
        <v>-1.8234986474514214E-2</v>
      </c>
      <c r="L492" s="26">
        <f t="shared" si="76"/>
        <v>-3.4407539867355341E-2</v>
      </c>
      <c r="M492" s="26">
        <f t="shared" si="77"/>
        <v>-0.13940196276750139</v>
      </c>
      <c r="N492" s="26">
        <f t="shared" si="78"/>
        <v>-0.14296627270285067</v>
      </c>
      <c r="O492" s="26">
        <f t="shared" si="79"/>
        <v>-0.13935954412546581</v>
      </c>
    </row>
    <row r="493" spans="1:15" x14ac:dyDescent="0.25">
      <c r="A493" s="2">
        <v>44802</v>
      </c>
      <c r="B493">
        <v>180305</v>
      </c>
      <c r="C493">
        <v>182771</v>
      </c>
      <c r="D493">
        <v>700275</v>
      </c>
      <c r="F493">
        <f t="shared" si="70"/>
        <v>0.34144511078656059</v>
      </c>
      <c r="G493">
        <f t="shared" si="71"/>
        <v>-0.40345749161494388</v>
      </c>
      <c r="H493">
        <f t="shared" si="72"/>
        <v>1.0136768253792185</v>
      </c>
      <c r="I493">
        <f t="shared" si="73"/>
        <v>-1.5097580451904238</v>
      </c>
      <c r="J493" s="26">
        <f t="shared" si="74"/>
        <v>3.2054351224228839E-3</v>
      </c>
      <c r="K493" s="26">
        <f t="shared" si="75"/>
        <v>-1.8209836170671956E-2</v>
      </c>
      <c r="L493" s="26">
        <f t="shared" si="76"/>
        <v>-3.4143003262012028E-2</v>
      </c>
      <c r="M493" s="26">
        <f t="shared" si="77"/>
        <v>-0.1423186359196511</v>
      </c>
      <c r="N493" s="26">
        <f t="shared" si="78"/>
        <v>-0.14102709825354198</v>
      </c>
      <c r="O493" s="26">
        <f t="shared" si="79"/>
        <v>-0.13876701692281013</v>
      </c>
    </row>
    <row r="494" spans="1:15" x14ac:dyDescent="0.25">
      <c r="A494" s="2">
        <v>44799</v>
      </c>
      <c r="B494">
        <v>180305</v>
      </c>
      <c r="C494">
        <v>182766</v>
      </c>
      <c r="D494">
        <v>698930</v>
      </c>
      <c r="F494">
        <f t="shared" si="70"/>
        <v>0.34187444267943251</v>
      </c>
      <c r="G494">
        <f t="shared" si="71"/>
        <v>-0.40333405259345007</v>
      </c>
      <c r="H494">
        <f t="shared" si="72"/>
        <v>1.013649094589723</v>
      </c>
      <c r="I494">
        <f t="shared" si="73"/>
        <v>-1.5352801477569868</v>
      </c>
      <c r="J494" s="26">
        <f t="shared" si="74"/>
        <v>3.1035876412450203E-3</v>
      </c>
      <c r="K494" s="26">
        <f t="shared" si="75"/>
        <v>-1.9430857360094367E-2</v>
      </c>
      <c r="L494" s="26">
        <f t="shared" si="76"/>
        <v>-3.5085908215399642E-2</v>
      </c>
      <c r="M494" s="26">
        <f t="shared" si="77"/>
        <v>-0.14941870945789559</v>
      </c>
      <c r="N494" s="26">
        <f t="shared" si="78"/>
        <v>-0.14122851937790104</v>
      </c>
      <c r="O494" s="26">
        <f t="shared" si="79"/>
        <v>-0.13991752839409899</v>
      </c>
    </row>
    <row r="495" spans="1:15" x14ac:dyDescent="0.25">
      <c r="A495" s="2">
        <v>44798</v>
      </c>
      <c r="B495">
        <v>178630</v>
      </c>
      <c r="C495">
        <v>182616</v>
      </c>
      <c r="D495">
        <v>698543</v>
      </c>
      <c r="F495">
        <f t="shared" si="70"/>
        <v>0.34086596482884801</v>
      </c>
      <c r="G495">
        <f t="shared" si="71"/>
        <v>-0.42218058072511278</v>
      </c>
      <c r="H495">
        <f t="shared" si="72"/>
        <v>1.0223142809158596</v>
      </c>
      <c r="I495">
        <f t="shared" si="73"/>
        <v>-1.4123265942068339</v>
      </c>
      <c r="J495" s="26">
        <f t="shared" si="74"/>
        <v>2.4764889256813083E-3</v>
      </c>
      <c r="K495" s="26">
        <f t="shared" si="75"/>
        <v>-2.1057080142579232E-2</v>
      </c>
      <c r="L495" s="26">
        <f t="shared" si="76"/>
        <v>-3.6372925650575538E-2</v>
      </c>
      <c r="M495" s="26">
        <f t="shared" si="77"/>
        <v>-0.15334203622539833</v>
      </c>
      <c r="N495" s="26">
        <f t="shared" si="78"/>
        <v>-0.13922058999947007</v>
      </c>
      <c r="O495" s="26">
        <f t="shared" si="79"/>
        <v>-0.13919903874169326</v>
      </c>
    </row>
    <row r="496" spans="1:15" x14ac:dyDescent="0.25">
      <c r="A496" s="2">
        <v>44797</v>
      </c>
      <c r="B496">
        <v>178480</v>
      </c>
      <c r="C496">
        <v>182616</v>
      </c>
      <c r="D496">
        <v>699794</v>
      </c>
      <c r="F496">
        <f t="shared" si="70"/>
        <v>0.34037082072599423</v>
      </c>
      <c r="G496">
        <f t="shared" si="71"/>
        <v>-0.43427644825503642</v>
      </c>
      <c r="H496">
        <f t="shared" si="72"/>
        <v>1.0231734648139847</v>
      </c>
      <c r="I496">
        <f t="shared" si="73"/>
        <v>-1.4205876887916338</v>
      </c>
      <c r="J496" s="26">
        <f t="shared" si="74"/>
        <v>1.3351687985658778E-3</v>
      </c>
      <c r="K496" s="26">
        <f t="shared" si="75"/>
        <v>-2.2990276002548604E-2</v>
      </c>
      <c r="L496" s="26">
        <f t="shared" si="76"/>
        <v>-3.7864472536533578E-2</v>
      </c>
      <c r="M496" s="26">
        <f t="shared" si="77"/>
        <v>-0.15225465241726732</v>
      </c>
      <c r="N496" s="26">
        <f t="shared" si="78"/>
        <v>-0.13409110129569812</v>
      </c>
      <c r="O496" s="26">
        <f t="shared" si="79"/>
        <v>-0.13585044853447459</v>
      </c>
    </row>
    <row r="497" spans="1:15" x14ac:dyDescent="0.25">
      <c r="A497" s="2">
        <v>44796</v>
      </c>
      <c r="B497">
        <v>176405</v>
      </c>
      <c r="C497">
        <v>178340</v>
      </c>
      <c r="D497">
        <v>697936</v>
      </c>
      <c r="F497">
        <f t="shared" si="70"/>
        <v>0.33699192822896967</v>
      </c>
      <c r="G497">
        <f t="shared" si="71"/>
        <v>-0.48423007216847697</v>
      </c>
      <c r="H497">
        <f t="shared" si="72"/>
        <v>1.0109690768402255</v>
      </c>
      <c r="I497">
        <f t="shared" si="73"/>
        <v>-1.6482455344927422</v>
      </c>
      <c r="J497" s="26">
        <f t="shared" si="74"/>
        <v>2.6789800302329247E-4</v>
      </c>
      <c r="K497" s="26">
        <f t="shared" si="75"/>
        <v>-2.4950609187579742E-2</v>
      </c>
      <c r="L497" s="26">
        <f t="shared" si="76"/>
        <v>-3.9355787151323762E-2</v>
      </c>
      <c r="M497" s="26">
        <f t="shared" si="77"/>
        <v>-0.15024447912750549</v>
      </c>
      <c r="N497" s="26">
        <f t="shared" si="78"/>
        <v>-0.12864400471772885</v>
      </c>
      <c r="O497" s="26">
        <f t="shared" si="79"/>
        <v>-0.13225396909548803</v>
      </c>
    </row>
    <row r="498" spans="1:15" x14ac:dyDescent="0.25">
      <c r="A498" s="2">
        <v>44795</v>
      </c>
      <c r="B498">
        <v>176405</v>
      </c>
      <c r="C498">
        <v>178203</v>
      </c>
      <c r="D498">
        <v>702188</v>
      </c>
      <c r="F498">
        <f t="shared" si="70"/>
        <v>0.33555009670740615</v>
      </c>
      <c r="G498">
        <f t="shared" si="71"/>
        <v>-0.50875391516069268</v>
      </c>
      <c r="H498">
        <f t="shared" si="72"/>
        <v>1.0101924548623906</v>
      </c>
      <c r="I498">
        <f t="shared" si="73"/>
        <v>-1.6846152527801035</v>
      </c>
      <c r="J498" s="26">
        <f t="shared" si="74"/>
        <v>-7.9498413797229883E-4</v>
      </c>
      <c r="K498" s="26">
        <f t="shared" si="75"/>
        <v>-2.6891011550445099E-2</v>
      </c>
      <c r="L498" s="26">
        <f t="shared" si="76"/>
        <v>-4.0794740662877416E-2</v>
      </c>
      <c r="M498" s="26">
        <f t="shared" si="77"/>
        <v>-0.14764427157188265</v>
      </c>
      <c r="N498" s="26">
        <f t="shared" si="78"/>
        <v>-0.12285247133739552</v>
      </c>
      <c r="O498" s="26">
        <f t="shared" si="79"/>
        <v>-0.12824937041955531</v>
      </c>
    </row>
    <row r="499" spans="1:15" x14ac:dyDescent="0.25">
      <c r="A499" s="2">
        <v>44792</v>
      </c>
      <c r="D499">
        <v>700823</v>
      </c>
      <c r="F499">
        <f t="shared" si="70"/>
        <v>0</v>
      </c>
      <c r="G499">
        <f t="shared" si="71"/>
        <v>-4.8937036301573285</v>
      </c>
      <c r="H499" t="str">
        <f t="shared" si="72"/>
        <v/>
      </c>
      <c r="I499" t="str">
        <f t="shared" si="73"/>
        <v/>
      </c>
      <c r="J499" s="26">
        <f t="shared" si="74"/>
        <v>-1.7051799977574889E-3</v>
      </c>
      <c r="K499" s="26">
        <f t="shared" si="75"/>
        <v>-2.8712968393443117E-2</v>
      </c>
      <c r="L499" s="26">
        <f t="shared" si="76"/>
        <v>-4.2154445651694239E-2</v>
      </c>
      <c r="M499" s="26">
        <f t="shared" si="77"/>
        <v>-0.14546461385863996</v>
      </c>
      <c r="N499" s="26">
        <f t="shared" si="78"/>
        <v>-0.11670818245006775</v>
      </c>
      <c r="O499" s="26">
        <f t="shared" si="79"/>
        <v>-0.12404371232519606</v>
      </c>
    </row>
    <row r="500" spans="1:15" x14ac:dyDescent="0.25">
      <c r="A500" s="2">
        <v>44791</v>
      </c>
      <c r="B500">
        <v>176550</v>
      </c>
      <c r="C500">
        <v>178061</v>
      </c>
      <c r="D500">
        <v>700297</v>
      </c>
      <c r="F500">
        <f t="shared" si="70"/>
        <v>0.33615348447447552</v>
      </c>
      <c r="G500">
        <f t="shared" si="71"/>
        <v>-0.55555495581988612</v>
      </c>
      <c r="H500">
        <f t="shared" si="72"/>
        <v>1.008558482016426</v>
      </c>
      <c r="I500">
        <f t="shared" si="73"/>
        <v>-1.7376412998680035</v>
      </c>
      <c r="J500" s="26">
        <f t="shared" si="74"/>
        <v>1.3746136762023631E-2</v>
      </c>
      <c r="K500" s="26">
        <f t="shared" si="75"/>
        <v>-1.4282800818273989E-2</v>
      </c>
      <c r="L500" s="26">
        <f t="shared" si="76"/>
        <v>-2.7264523921320005E-2</v>
      </c>
      <c r="M500" s="26">
        <f t="shared" si="77"/>
        <v>-9.6789811902771028E-2</v>
      </c>
      <c r="N500" s="26">
        <f t="shared" si="78"/>
        <v>-6.3733002090326396E-2</v>
      </c>
      <c r="O500" s="26">
        <f t="shared" si="79"/>
        <v>-7.2795239543395285E-2</v>
      </c>
    </row>
    <row r="501" spans="1:15" x14ac:dyDescent="0.25">
      <c r="A501" s="2">
        <v>44790</v>
      </c>
      <c r="B501">
        <v>175640</v>
      </c>
      <c r="C501">
        <v>177246</v>
      </c>
      <c r="D501">
        <v>695437</v>
      </c>
      <c r="F501">
        <f t="shared" si="70"/>
        <v>0.33661953424660146</v>
      </c>
      <c r="G501">
        <f t="shared" si="71"/>
        <v>-0.55498979870020426</v>
      </c>
      <c r="H501">
        <f t="shared" si="72"/>
        <v>1.0091437030289228</v>
      </c>
      <c r="I501">
        <f t="shared" si="73"/>
        <v>-1.7540868853872849</v>
      </c>
      <c r="J501" s="26">
        <f t="shared" si="74"/>
        <v>1.0863941540639299E-2</v>
      </c>
      <c r="K501" s="26">
        <f t="shared" si="75"/>
        <v>-1.5985326882739181E-2</v>
      </c>
      <c r="L501" s="26">
        <f t="shared" si="76"/>
        <v>-2.8382753517273651E-2</v>
      </c>
      <c r="M501" s="26">
        <f t="shared" si="77"/>
        <v>-9.137465476090223E-2</v>
      </c>
      <c r="N501" s="26">
        <f t="shared" si="78"/>
        <v>-5.6905852819570946E-2</v>
      </c>
      <c r="O501" s="26">
        <f t="shared" si="79"/>
        <v>-6.7988027901820125E-2</v>
      </c>
    </row>
    <row r="502" spans="1:15" x14ac:dyDescent="0.25">
      <c r="A502" s="2">
        <v>44789</v>
      </c>
      <c r="B502">
        <v>172245</v>
      </c>
      <c r="C502">
        <v>176736</v>
      </c>
      <c r="D502">
        <v>692585</v>
      </c>
      <c r="F502">
        <f t="shared" si="70"/>
        <v>0.33505413963205405</v>
      </c>
      <c r="G502">
        <f t="shared" si="71"/>
        <v>-0.58199714648614065</v>
      </c>
      <c r="H502">
        <f t="shared" si="72"/>
        <v>1.0260733257859445</v>
      </c>
      <c r="I502">
        <f t="shared" si="73"/>
        <v>-1.4999676480084554</v>
      </c>
      <c r="J502" s="26">
        <f t="shared" si="74"/>
        <v>8.1057456661695615E-3</v>
      </c>
      <c r="K502" s="26">
        <f t="shared" si="75"/>
        <v>-1.7581411677038417E-2</v>
      </c>
      <c r="L502" s="26">
        <f t="shared" si="76"/>
        <v>-2.939534206263833E-2</v>
      </c>
      <c r="M502" s="26">
        <f t="shared" si="77"/>
        <v>-8.6153881317358572E-2</v>
      </c>
      <c r="N502" s="26">
        <f t="shared" si="78"/>
        <v>-5.061296321228248E-2</v>
      </c>
      <c r="O502" s="26">
        <f t="shared" si="79"/>
        <v>-6.3719191666429698E-2</v>
      </c>
    </row>
    <row r="503" spans="1:15" x14ac:dyDescent="0.25">
      <c r="A503" s="2">
        <v>44788</v>
      </c>
      <c r="B503">
        <v>170595</v>
      </c>
      <c r="C503">
        <v>177736</v>
      </c>
      <c r="D503">
        <v>689798</v>
      </c>
      <c r="F503">
        <f t="shared" si="70"/>
        <v>0.3355372983511683</v>
      </c>
      <c r="G503">
        <f t="shared" si="71"/>
        <v>-0.58125443085528516</v>
      </c>
      <c r="H503">
        <f t="shared" si="72"/>
        <v>1.0418593745420439</v>
      </c>
      <c r="I503">
        <f t="shared" si="73"/>
        <v>-1.2592326385086801</v>
      </c>
      <c r="J503" s="26">
        <f t="shared" si="74"/>
        <v>5.219569522904699E-3</v>
      </c>
      <c r="K503" s="26">
        <f t="shared" si="75"/>
        <v>-1.9238795999529823E-2</v>
      </c>
      <c r="L503" s="26">
        <f t="shared" si="76"/>
        <v>-3.0494281326997719E-2</v>
      </c>
      <c r="M503" s="26">
        <f t="shared" si="77"/>
        <v>-8.0076040934585091E-2</v>
      </c>
      <c r="N503" s="26">
        <f t="shared" si="78"/>
        <v>-4.4159337404879873E-2</v>
      </c>
      <c r="O503" s="26">
        <f t="shared" si="79"/>
        <v>-6.0173408728683153E-2</v>
      </c>
    </row>
    <row r="504" spans="1:15" x14ac:dyDescent="0.25">
      <c r="A504" s="2">
        <v>44785</v>
      </c>
      <c r="B504">
        <v>172445</v>
      </c>
      <c r="C504">
        <v>177986</v>
      </c>
      <c r="D504">
        <v>688259</v>
      </c>
      <c r="F504">
        <f t="shared" si="70"/>
        <v>0.33737785094686579</v>
      </c>
      <c r="G504">
        <f t="shared" si="71"/>
        <v>-0.56219241545783916</v>
      </c>
      <c r="H504">
        <f t="shared" si="72"/>
        <v>1.032131984110876</v>
      </c>
      <c r="I504">
        <f t="shared" si="73"/>
        <v>-1.4364849668955839</v>
      </c>
      <c r="J504" s="26">
        <f t="shared" si="74"/>
        <v>2.3293428453480258E-3</v>
      </c>
      <c r="K504" s="26">
        <f t="shared" si="75"/>
        <v>-2.0890716726298553E-2</v>
      </c>
      <c r="L504" s="26">
        <f t="shared" si="76"/>
        <v>-3.1582610707882042E-2</v>
      </c>
      <c r="M504" s="26">
        <f t="shared" si="77"/>
        <v>-7.4245904799272733E-2</v>
      </c>
      <c r="N504" s="26">
        <f t="shared" si="78"/>
        <v>-3.8081180120331126E-2</v>
      </c>
      <c r="O504" s="26">
        <f t="shared" si="79"/>
        <v>-5.7072040819625469E-2</v>
      </c>
    </row>
    <row r="505" spans="1:15" x14ac:dyDescent="0.25">
      <c r="A505" s="2">
        <v>44784</v>
      </c>
      <c r="B505">
        <v>172633</v>
      </c>
      <c r="C505">
        <v>178036</v>
      </c>
      <c r="D505">
        <v>685584</v>
      </c>
      <c r="F505">
        <f t="shared" si="70"/>
        <v>0.33840095034706774</v>
      </c>
      <c r="G505">
        <f t="shared" si="71"/>
        <v>-0.55414417248508574</v>
      </c>
      <c r="H505">
        <f t="shared" si="72"/>
        <v>1.031297608220908</v>
      </c>
      <c r="I505">
        <f t="shared" si="73"/>
        <v>-1.4696738993141776</v>
      </c>
      <c r="J505" s="26">
        <f t="shared" si="74"/>
        <v>-7.320904142892326E-4</v>
      </c>
      <c r="K505" s="26">
        <f t="shared" si="75"/>
        <v>-2.2399098888948255E-2</v>
      </c>
      <c r="L505" s="26">
        <f t="shared" si="76"/>
        <v>-3.2769067635534554E-2</v>
      </c>
      <c r="M505" s="26">
        <f t="shared" si="77"/>
        <v>-6.9673954516373593E-2</v>
      </c>
      <c r="N505" s="26">
        <f t="shared" si="78"/>
        <v>-3.2531925884088375E-2</v>
      </c>
      <c r="O505" s="26">
        <f t="shared" si="79"/>
        <v>-5.4538985115223593E-2</v>
      </c>
    </row>
    <row r="506" spans="1:15" x14ac:dyDescent="0.25">
      <c r="A506" s="2">
        <v>44783</v>
      </c>
      <c r="B506">
        <v>172908</v>
      </c>
      <c r="C506">
        <v>177736</v>
      </c>
      <c r="D506">
        <v>685460</v>
      </c>
      <c r="F506">
        <f t="shared" si="70"/>
        <v>0.3384254862446241</v>
      </c>
      <c r="G506">
        <f t="shared" si="71"/>
        <v>-0.55953225012917596</v>
      </c>
      <c r="H506">
        <f t="shared" si="72"/>
        <v>1.0279223633377288</v>
      </c>
      <c r="I506">
        <f t="shared" si="73"/>
        <v>-1.546089530034761</v>
      </c>
      <c r="J506" s="26">
        <f t="shared" si="74"/>
        <v>-3.8747126844762558E-3</v>
      </c>
      <c r="K506" s="26">
        <f t="shared" si="75"/>
        <v>-2.433257227475305E-2</v>
      </c>
      <c r="L506" s="26">
        <f t="shared" si="76"/>
        <v>-3.400599769878343E-2</v>
      </c>
      <c r="M506" s="26">
        <f t="shared" si="77"/>
        <v>-6.3809591229671447E-2</v>
      </c>
      <c r="N506" s="26">
        <f t="shared" si="78"/>
        <v>-2.6013455940254948E-2</v>
      </c>
      <c r="O506" s="26">
        <f t="shared" si="79"/>
        <v>-5.1081525208973133E-2</v>
      </c>
    </row>
    <row r="507" spans="1:15" x14ac:dyDescent="0.25">
      <c r="A507" s="2">
        <v>44782</v>
      </c>
      <c r="B507">
        <v>167658</v>
      </c>
      <c r="C507">
        <v>177736</v>
      </c>
      <c r="D507">
        <v>684650</v>
      </c>
      <c r="F507">
        <f t="shared" si="70"/>
        <v>0.33531965624769428</v>
      </c>
      <c r="G507">
        <f t="shared" si="71"/>
        <v>-0.60688175461910998</v>
      </c>
      <c r="H507">
        <f t="shared" si="72"/>
        <v>1.0601104629662765</v>
      </c>
      <c r="I507">
        <f t="shared" si="73"/>
        <v>-1.0412288174650997</v>
      </c>
      <c r="J507" s="26">
        <f t="shared" si="74"/>
        <v>-7.0988997629991002E-3</v>
      </c>
      <c r="K507" s="26">
        <f t="shared" si="75"/>
        <v>-2.6211238067464837E-2</v>
      </c>
      <c r="L507" s="26">
        <f t="shared" si="76"/>
        <v>-3.5283761213570519E-2</v>
      </c>
      <c r="M507" s="26">
        <f t="shared" si="77"/>
        <v>-5.690542145435451E-2</v>
      </c>
      <c r="N507" s="26">
        <f t="shared" si="78"/>
        <v>-1.8758244805575419E-2</v>
      </c>
      <c r="O507" s="26">
        <f t="shared" si="79"/>
        <v>-4.7422570882901027E-2</v>
      </c>
    </row>
    <row r="508" spans="1:15" x14ac:dyDescent="0.25">
      <c r="A508" s="2">
        <v>44781</v>
      </c>
      <c r="B508">
        <v>167658</v>
      </c>
      <c r="C508">
        <v>176076</v>
      </c>
      <c r="D508">
        <v>681678</v>
      </c>
      <c r="F508">
        <f t="shared" si="70"/>
        <v>0.33521550362195879</v>
      </c>
      <c r="G508">
        <f t="shared" si="71"/>
        <v>-0.61411510687556092</v>
      </c>
      <c r="H508">
        <f t="shared" si="72"/>
        <v>1.0502093547579001</v>
      </c>
      <c r="I508">
        <f t="shared" si="73"/>
        <v>-1.2181654038479213</v>
      </c>
      <c r="J508" s="26">
        <f t="shared" si="74"/>
        <v>-1.0162157348619083E-2</v>
      </c>
      <c r="K508" s="26">
        <f t="shared" si="75"/>
        <v>-2.7893732694855511E-2</v>
      </c>
      <c r="L508" s="26">
        <f t="shared" si="76"/>
        <v>-3.632948214147308E-2</v>
      </c>
      <c r="M508" s="26">
        <f t="shared" si="77"/>
        <v>-5.1409986262324514E-2</v>
      </c>
      <c r="N508" s="26">
        <f t="shared" si="78"/>
        <v>-1.2817569607936008E-2</v>
      </c>
      <c r="O508" s="26">
        <f t="shared" si="79"/>
        <v>-4.5191775614434215E-2</v>
      </c>
    </row>
    <row r="509" spans="1:15" x14ac:dyDescent="0.25">
      <c r="A509" s="2">
        <v>44778</v>
      </c>
      <c r="B509">
        <v>167258</v>
      </c>
      <c r="C509">
        <v>176066</v>
      </c>
      <c r="D509">
        <v>679534</v>
      </c>
      <c r="F509">
        <f t="shared" si="70"/>
        <v>0.33565167403491003</v>
      </c>
      <c r="G509">
        <f t="shared" si="71"/>
        <v>-0.6141476531428921</v>
      </c>
      <c r="H509">
        <f t="shared" si="72"/>
        <v>1.0526611582106686</v>
      </c>
      <c r="I509">
        <f t="shared" si="73"/>
        <v>-1.1774589384404863</v>
      </c>
      <c r="J509" s="26">
        <f t="shared" si="74"/>
        <v>-1.3120730013170157E-2</v>
      </c>
      <c r="K509" s="26">
        <f t="shared" si="75"/>
        <v>-2.9522796572962418E-2</v>
      </c>
      <c r="L509" s="26">
        <f t="shared" si="76"/>
        <v>-3.7323640203608233E-2</v>
      </c>
      <c r="M509" s="26">
        <f t="shared" si="77"/>
        <v>-4.6161624512211175E-2</v>
      </c>
      <c r="N509" s="26">
        <f t="shared" si="78"/>
        <v>-6.6866663616851341E-3</v>
      </c>
      <c r="O509" s="26">
        <f t="shared" si="79"/>
        <v>-4.2828212686193634E-2</v>
      </c>
    </row>
    <row r="510" spans="1:15" x14ac:dyDescent="0.25">
      <c r="A510" s="2">
        <v>44777</v>
      </c>
      <c r="B510">
        <v>167858</v>
      </c>
      <c r="C510">
        <v>174757</v>
      </c>
      <c r="D510">
        <v>675594</v>
      </c>
      <c r="F510">
        <f t="shared" si="70"/>
        <v>0.33648789197502676</v>
      </c>
      <c r="G510">
        <f t="shared" si="71"/>
        <v>-0.60886007992617319</v>
      </c>
      <c r="H510">
        <f t="shared" si="72"/>
        <v>1.0411002156584732</v>
      </c>
      <c r="I510">
        <f t="shared" si="73"/>
        <v>-1.3581308077809793</v>
      </c>
      <c r="J510" s="26">
        <f t="shared" si="74"/>
        <v>-1.6073736872816713E-2</v>
      </c>
      <c r="K510" s="26">
        <f t="shared" si="75"/>
        <v>-3.1156025365987494E-2</v>
      </c>
      <c r="L510" s="26">
        <f t="shared" si="76"/>
        <v>-3.8319586996863331E-2</v>
      </c>
      <c r="M510" s="26">
        <f t="shared" si="77"/>
        <v>-4.1236720275127148E-2</v>
      </c>
      <c r="N510" s="26">
        <f t="shared" si="78"/>
        <v>-8.0392442164689548E-4</v>
      </c>
      <c r="O510" s="26">
        <f t="shared" si="79"/>
        <v>-4.0324263632775414E-2</v>
      </c>
    </row>
    <row r="511" spans="1:15" x14ac:dyDescent="0.25">
      <c r="A511" s="2">
        <v>44776</v>
      </c>
      <c r="B511">
        <v>167858</v>
      </c>
      <c r="C511">
        <v>172507</v>
      </c>
      <c r="D511">
        <v>678107</v>
      </c>
      <c r="F511">
        <f t="shared" si="70"/>
        <v>0.3341918089058904</v>
      </c>
      <c r="G511">
        <f t="shared" si="71"/>
        <v>-0.64513361812383674</v>
      </c>
      <c r="H511">
        <f t="shared" si="72"/>
        <v>1.027696028786236</v>
      </c>
      <c r="I511">
        <f t="shared" si="73"/>
        <v>-1.5608074655326651</v>
      </c>
      <c r="J511" s="26">
        <f t="shared" si="74"/>
        <v>-1.9189678819307276E-2</v>
      </c>
      <c r="K511" s="26">
        <f t="shared" si="75"/>
        <v>-3.2884928366216093E-2</v>
      </c>
      <c r="L511" s="26">
        <f t="shared" si="76"/>
        <v>-3.9417121673754885E-2</v>
      </c>
      <c r="M511" s="26">
        <f t="shared" si="77"/>
        <v>-3.5258985444409419E-2</v>
      </c>
      <c r="N511" s="26">
        <f t="shared" si="78"/>
        <v>5.7567052780735928E-3</v>
      </c>
      <c r="O511" s="26">
        <f t="shared" si="79"/>
        <v>-3.7177237368440919E-2</v>
      </c>
    </row>
    <row r="512" spans="1:15" x14ac:dyDescent="0.25">
      <c r="A512" s="2">
        <v>44775</v>
      </c>
      <c r="B512">
        <v>162853</v>
      </c>
      <c r="C512">
        <v>172656</v>
      </c>
      <c r="D512">
        <v>673888</v>
      </c>
      <c r="F512">
        <f t="shared" si="70"/>
        <v>0.33238557277265535</v>
      </c>
      <c r="G512">
        <f t="shared" si="71"/>
        <v>-0.6749594464328692</v>
      </c>
      <c r="H512">
        <f t="shared" si="72"/>
        <v>1.0601953909353834</v>
      </c>
      <c r="I512">
        <f t="shared" si="73"/>
        <v>-1.0815316453974639</v>
      </c>
      <c r="J512" s="26">
        <f t="shared" si="74"/>
        <v>-2.2156640718151099E-2</v>
      </c>
      <c r="K512" s="26">
        <f t="shared" si="75"/>
        <v>-4.6107545760259216E-2</v>
      </c>
      <c r="L512" s="26">
        <f t="shared" si="76"/>
        <v>-4.0316697012102942E-2</v>
      </c>
      <c r="M512" s="26">
        <f t="shared" si="77"/>
        <v>-2.8246776497599546E-2</v>
      </c>
      <c r="N512" s="26">
        <f t="shared" si="78"/>
        <v>1.3373622338619606E-2</v>
      </c>
      <c r="O512" s="26">
        <f t="shared" si="79"/>
        <v>-3.3319049636348685E-2</v>
      </c>
    </row>
    <row r="513" spans="1:15" x14ac:dyDescent="0.25">
      <c r="A513" s="2">
        <v>44774</v>
      </c>
      <c r="B513">
        <v>162403</v>
      </c>
      <c r="C513">
        <v>172656</v>
      </c>
      <c r="D513">
        <v>676521</v>
      </c>
      <c r="F513">
        <f t="shared" si="70"/>
        <v>0.331223432649914</v>
      </c>
      <c r="G513">
        <f t="shared" si="71"/>
        <v>-0.69632567838425952</v>
      </c>
      <c r="H513">
        <f t="shared" si="72"/>
        <v>1.0631330702019051</v>
      </c>
      <c r="I513">
        <f t="shared" si="73"/>
        <v>-1.0335101955226431</v>
      </c>
      <c r="J513" s="26">
        <f t="shared" si="74"/>
        <v>-2.5154376157032421E-2</v>
      </c>
      <c r="K513" s="26">
        <f t="shared" si="75"/>
        <v>-4.7679308857515146E-2</v>
      </c>
      <c r="L513" s="26">
        <f t="shared" si="76"/>
        <v>-4.1160142846299652E-2</v>
      </c>
      <c r="M513" s="26">
        <f t="shared" si="77"/>
        <v>-2.1399152554287593E-2</v>
      </c>
      <c r="N513" s="26">
        <f t="shared" si="78"/>
        <v>2.0457127469195591E-2</v>
      </c>
      <c r="O513" s="26">
        <f t="shared" si="79"/>
        <v>-3.0193556872266658E-2</v>
      </c>
    </row>
    <row r="514" spans="1:15" x14ac:dyDescent="0.25">
      <c r="A514" s="2">
        <v>44771</v>
      </c>
      <c r="B514">
        <v>162403</v>
      </c>
      <c r="C514">
        <v>166456</v>
      </c>
      <c r="D514">
        <v>674846</v>
      </c>
      <c r="F514">
        <f t="shared" si="70"/>
        <v>0.32764507499713563</v>
      </c>
      <c r="G514">
        <f t="shared" si="71"/>
        <v>-0.74965351046871764</v>
      </c>
      <c r="H514">
        <f t="shared" si="72"/>
        <v>1.0249564355338263</v>
      </c>
      <c r="I514">
        <f t="shared" si="73"/>
        <v>-1.5612511011383137</v>
      </c>
      <c r="J514" s="26">
        <f t="shared" si="74"/>
        <v>-2.801716114851216E-2</v>
      </c>
      <c r="K514" s="26">
        <f t="shared" si="75"/>
        <v>-4.9128300392130508E-2</v>
      </c>
      <c r="L514" s="26">
        <f t="shared" si="76"/>
        <v>-4.1895626253986462E-2</v>
      </c>
      <c r="M514" s="26">
        <f t="shared" si="77"/>
        <v>-1.469141809985719E-2</v>
      </c>
      <c r="N514" s="26">
        <f t="shared" si="78"/>
        <v>2.7266116736998747E-2</v>
      </c>
      <c r="O514" s="26">
        <f t="shared" si="79"/>
        <v>-2.7170334146858766E-2</v>
      </c>
    </row>
    <row r="515" spans="1:15" x14ac:dyDescent="0.25">
      <c r="A515" s="2">
        <v>44770</v>
      </c>
      <c r="B515">
        <v>155303</v>
      </c>
      <c r="C515">
        <v>164481</v>
      </c>
      <c r="D515">
        <v>674593</v>
      </c>
      <c r="F515">
        <f t="shared" si="70"/>
        <v>0.32159231357925616</v>
      </c>
      <c r="G515">
        <f t="shared" si="71"/>
        <v>-0.83577088656155074</v>
      </c>
      <c r="H515">
        <f t="shared" si="72"/>
        <v>1.0590973773848542</v>
      </c>
      <c r="I515">
        <f t="shared" si="73"/>
        <v>-1.0928255720757059</v>
      </c>
      <c r="J515" s="26">
        <f t="shared" si="74"/>
        <v>-3.0841360807518814E-2</v>
      </c>
      <c r="K515" s="26">
        <f t="shared" si="75"/>
        <v>-5.0483591095321689E-2</v>
      </c>
      <c r="L515" s="26">
        <f t="shared" si="76"/>
        <v>-4.2508432081940439E-2</v>
      </c>
      <c r="M515" s="26">
        <f t="shared" si="77"/>
        <v>-4.246944997834623E-3</v>
      </c>
      <c r="N515" s="26">
        <f t="shared" si="78"/>
        <v>3.7070774148979302E-2</v>
      </c>
      <c r="O515" s="26">
        <f t="shared" si="79"/>
        <v>-2.0959420997835876E-2</v>
      </c>
    </row>
    <row r="516" spans="1:15" x14ac:dyDescent="0.25">
      <c r="A516" s="2">
        <v>44769</v>
      </c>
      <c r="B516">
        <v>147653</v>
      </c>
      <c r="C516">
        <v>164231</v>
      </c>
      <c r="D516">
        <v>674222</v>
      </c>
      <c r="F516">
        <f t="shared" ref="F516:F579" si="80">IFERROR((C516+B516)/(B516+C516+D516),"")</f>
        <v>0.31627837169634909</v>
      </c>
      <c r="G516">
        <f t="shared" ref="G516:G579" si="81">(F516-AVERAGE(F516:F773))/_xlfn.STDEV.S(F516:F773)</f>
        <v>-0.91250534843613018</v>
      </c>
      <c r="H516">
        <f t="shared" ref="H516:H579" si="82">IFERROR(C516/B516,"")</f>
        <v>1.1122767569910534</v>
      </c>
      <c r="I516">
        <f t="shared" ref="I516:I579" si="83">IFERROR((H516-AVERAGE(H516:H643))/_xlfn.STDEV.S(H516:H643),"")</f>
        <v>-0.39550080989951908</v>
      </c>
      <c r="J516" s="26">
        <f t="shared" ref="J516:J579" si="84">AVERAGEA(F516:F536)-AVERAGE(F537:F557)</f>
        <v>-3.3523414429528386E-2</v>
      </c>
      <c r="K516" s="26">
        <f t="shared" ref="K516:K579" si="85">AVERAGEA(F516:F536)-AVERAGE(F537:F592)</f>
        <v>-5.1656380554491399E-2</v>
      </c>
      <c r="L516" s="26">
        <f t="shared" ref="L516:L579" si="86">AVERAGEA(F516:F536)-AVERAGE(F537:F649)</f>
        <v>-4.2881158095648853E-2</v>
      </c>
      <c r="M516" s="26">
        <f t="shared" ref="M516:M579" si="87">AVERAGEA(H516:H536)-AVERAGE(H537:H557)</f>
        <v>4.8335672191368584E-3</v>
      </c>
      <c r="N516" s="26">
        <f t="shared" ref="N516:N579" si="88">AVERAGEA(H516:H536)-AVERAGE(H537:H592)</f>
        <v>4.5270586878245478E-2</v>
      </c>
      <c r="O516" s="26">
        <f t="shared" ref="O516:O579" si="89">AVERAGEA(H516:H536)-AVERAGE(H537:H649)</f>
        <v>-1.5973250503882541E-2</v>
      </c>
    </row>
    <row r="517" spans="1:15" x14ac:dyDescent="0.25">
      <c r="A517" s="2">
        <v>44768</v>
      </c>
      <c r="B517">
        <v>146928</v>
      </c>
      <c r="C517">
        <v>164081</v>
      </c>
      <c r="D517">
        <v>674301</v>
      </c>
      <c r="F517">
        <f t="shared" si="80"/>
        <v>0.31564583735068152</v>
      </c>
      <c r="G517">
        <f t="shared" si="81"/>
        <v>-0.92801605137345822</v>
      </c>
      <c r="H517">
        <f t="shared" si="82"/>
        <v>1.1167442556898617</v>
      </c>
      <c r="I517">
        <f t="shared" si="83"/>
        <v>-0.35109039088352706</v>
      </c>
      <c r="J517" s="26">
        <f t="shared" si="84"/>
        <v>-3.5917875987210912E-2</v>
      </c>
      <c r="K517" s="26">
        <f t="shared" si="85"/>
        <v>-5.2490858546091035E-2</v>
      </c>
      <c r="L517" s="26">
        <f t="shared" si="86"/>
        <v>-4.28927965229981E-2</v>
      </c>
      <c r="M517" s="26">
        <f t="shared" si="87"/>
        <v>1.0735133144008646E-2</v>
      </c>
      <c r="N517" s="26">
        <f t="shared" si="88"/>
        <v>5.055710835602989E-2</v>
      </c>
      <c r="O517" s="26">
        <f t="shared" si="89"/>
        <v>-1.392165216770791E-2</v>
      </c>
    </row>
    <row r="518" spans="1:15" x14ac:dyDescent="0.25">
      <c r="A518" s="2">
        <v>44767</v>
      </c>
      <c r="B518">
        <v>146903</v>
      </c>
      <c r="C518">
        <v>163856</v>
      </c>
      <c r="D518">
        <v>680622</v>
      </c>
      <c r="F518">
        <f t="shared" si="80"/>
        <v>0.31346071792781988</v>
      </c>
      <c r="G518">
        <f t="shared" si="81"/>
        <v>-0.96406540787527573</v>
      </c>
      <c r="H518">
        <f t="shared" si="82"/>
        <v>1.1154026806804489</v>
      </c>
      <c r="I518">
        <f t="shared" si="83"/>
        <v>-0.38160218741364094</v>
      </c>
      <c r="J518" s="26">
        <f t="shared" si="84"/>
        <v>-3.8529039810043797E-2</v>
      </c>
      <c r="K518" s="26">
        <f t="shared" si="85"/>
        <v>-5.348530458380274E-2</v>
      </c>
      <c r="L518" s="26">
        <f t="shared" si="86"/>
        <v>-4.2943991060012565E-2</v>
      </c>
      <c r="M518" s="26">
        <f t="shared" si="87"/>
        <v>1.5585704461174466E-2</v>
      </c>
      <c r="N518" s="26">
        <f t="shared" si="88"/>
        <v>5.4883697875486748E-2</v>
      </c>
      <c r="O518" s="26">
        <f t="shared" si="89"/>
        <v>-1.2847654671849451E-2</v>
      </c>
    </row>
    <row r="519" spans="1:15" x14ac:dyDescent="0.25">
      <c r="A519" s="2">
        <v>44764</v>
      </c>
      <c r="B519">
        <v>147513</v>
      </c>
      <c r="C519">
        <v>164981</v>
      </c>
      <c r="D519">
        <v>683504</v>
      </c>
      <c r="F519">
        <f t="shared" si="80"/>
        <v>0.31374962600326506</v>
      </c>
      <c r="G519">
        <f t="shared" si="81"/>
        <v>-0.96780190275825317</v>
      </c>
      <c r="H519">
        <f t="shared" si="82"/>
        <v>1.1184166819195596</v>
      </c>
      <c r="I519">
        <f t="shared" si="83"/>
        <v>-0.35832954011259205</v>
      </c>
      <c r="J519" s="26">
        <f t="shared" si="84"/>
        <v>-4.1140911637723765E-2</v>
      </c>
      <c r="K519" s="26">
        <f t="shared" si="85"/>
        <v>-5.439683845357407E-2</v>
      </c>
      <c r="L519" s="26">
        <f t="shared" si="86"/>
        <v>-4.2950066975900036E-2</v>
      </c>
      <c r="M519" s="26">
        <f t="shared" si="87"/>
        <v>2.0080985687259245E-2</v>
      </c>
      <c r="N519" s="26">
        <f t="shared" si="88"/>
        <v>5.9267730772023075E-2</v>
      </c>
      <c r="O519" s="26">
        <f t="shared" si="89"/>
        <v>-1.184720726135291E-2</v>
      </c>
    </row>
    <row r="520" spans="1:15" x14ac:dyDescent="0.25">
      <c r="A520" s="2">
        <v>44763</v>
      </c>
      <c r="B520">
        <v>151238</v>
      </c>
      <c r="C520">
        <v>166263</v>
      </c>
      <c r="D520">
        <v>680521</v>
      </c>
      <c r="F520">
        <f t="shared" si="80"/>
        <v>0.31813026165755864</v>
      </c>
      <c r="G520">
        <f t="shared" si="81"/>
        <v>-0.91772739024910144</v>
      </c>
      <c r="H520">
        <f t="shared" si="82"/>
        <v>1.0993467250294238</v>
      </c>
      <c r="I520">
        <f t="shared" si="83"/>
        <v>-0.59614472289918663</v>
      </c>
      <c r="J520" s="26">
        <f t="shared" si="84"/>
        <v>-4.3534267439877761E-2</v>
      </c>
      <c r="K520" s="26">
        <f t="shared" si="85"/>
        <v>-5.5316047335796537E-2</v>
      </c>
      <c r="L520" s="26">
        <f t="shared" si="86"/>
        <v>-4.3047747043532758E-2</v>
      </c>
      <c r="M520" s="26">
        <f t="shared" si="87"/>
        <v>2.7279807134120926E-2</v>
      </c>
      <c r="N520" s="26">
        <f t="shared" si="88"/>
        <v>6.3942317812655469E-2</v>
      </c>
      <c r="O520" s="26">
        <f t="shared" si="89"/>
        <v>-1.0162606033285337E-2</v>
      </c>
    </row>
    <row r="521" spans="1:15" x14ac:dyDescent="0.25">
      <c r="A521" s="2">
        <v>44762</v>
      </c>
      <c r="B521">
        <v>148338</v>
      </c>
      <c r="C521">
        <v>166863</v>
      </c>
      <c r="D521">
        <v>679274</v>
      </c>
      <c r="F521">
        <f t="shared" si="80"/>
        <v>0.31695216068780008</v>
      </c>
      <c r="G521">
        <f t="shared" si="81"/>
        <v>-0.94042069342599499</v>
      </c>
      <c r="H521">
        <f t="shared" si="82"/>
        <v>1.1248837115236825</v>
      </c>
      <c r="I521">
        <f t="shared" si="83"/>
        <v>-0.31267704654356648</v>
      </c>
      <c r="J521" s="26">
        <f t="shared" si="84"/>
        <v>-4.6122738843921041E-2</v>
      </c>
      <c r="K521" s="26">
        <f t="shared" si="85"/>
        <v>-5.638820521755783E-2</v>
      </c>
      <c r="L521" s="26">
        <f t="shared" si="86"/>
        <v>-4.3303037445019288E-2</v>
      </c>
      <c r="M521" s="26">
        <f t="shared" si="87"/>
        <v>3.4799342525870802E-2</v>
      </c>
      <c r="N521" s="26">
        <f t="shared" si="88"/>
        <v>6.9235792267970719E-2</v>
      </c>
      <c r="O521" s="26">
        <f t="shared" si="89"/>
        <v>-7.7687936369219557E-3</v>
      </c>
    </row>
    <row r="522" spans="1:15" x14ac:dyDescent="0.25">
      <c r="A522" s="2">
        <v>44761</v>
      </c>
      <c r="B522">
        <v>149908</v>
      </c>
      <c r="C522">
        <v>167608</v>
      </c>
      <c r="D522">
        <v>677389</v>
      </c>
      <c r="F522">
        <f t="shared" si="80"/>
        <v>0.31914202863589991</v>
      </c>
      <c r="G522">
        <f t="shared" si="81"/>
        <v>-0.91893705748468912</v>
      </c>
      <c r="H522">
        <f t="shared" si="82"/>
        <v>1.1180724177495531</v>
      </c>
      <c r="I522">
        <f t="shared" si="83"/>
        <v>-0.4029256453055497</v>
      </c>
      <c r="J522" s="26">
        <f t="shared" si="84"/>
        <v>-4.4145466882462792E-2</v>
      </c>
      <c r="K522" s="26">
        <f t="shared" si="85"/>
        <v>-5.434916223652686E-2</v>
      </c>
      <c r="L522" s="26">
        <f t="shared" si="86"/>
        <v>-4.089269666712847E-2</v>
      </c>
      <c r="M522" s="26">
        <f t="shared" si="87"/>
        <v>3.6580088834828217E-2</v>
      </c>
      <c r="N522" s="26">
        <f t="shared" si="88"/>
        <v>7.0084735364047246E-2</v>
      </c>
      <c r="O522" s="26">
        <f t="shared" si="89"/>
        <v>-9.2705202634069117E-3</v>
      </c>
    </row>
    <row r="523" spans="1:15" x14ac:dyDescent="0.25">
      <c r="A523" s="2">
        <v>44760</v>
      </c>
      <c r="B523">
        <v>147358</v>
      </c>
      <c r="C523">
        <v>166933</v>
      </c>
      <c r="D523">
        <v>676137</v>
      </c>
      <c r="F523">
        <f t="shared" si="80"/>
        <v>0.31732846809662085</v>
      </c>
      <c r="G523">
        <f t="shared" si="81"/>
        <v>-0.94991939332018649</v>
      </c>
      <c r="H523">
        <f t="shared" si="82"/>
        <v>1.1328397508109502</v>
      </c>
      <c r="I523">
        <f t="shared" si="83"/>
        <v>-0.24885307360495348</v>
      </c>
      <c r="J523" s="26">
        <f t="shared" si="84"/>
        <v>-4.2165331900845759E-2</v>
      </c>
      <c r="K523" s="26">
        <f t="shared" si="85"/>
        <v>-5.2246984639636229E-2</v>
      </c>
      <c r="L523" s="26">
        <f t="shared" si="86"/>
        <v>-3.8473479935006605E-2</v>
      </c>
      <c r="M523" s="26">
        <f t="shared" si="87"/>
        <v>3.7943072420741464E-2</v>
      </c>
      <c r="N523" s="26">
        <f t="shared" si="88"/>
        <v>7.0685042166667378E-2</v>
      </c>
      <c r="O523" s="26">
        <f t="shared" si="89"/>
        <v>-1.0945344571940963E-2</v>
      </c>
    </row>
    <row r="524" spans="1:15" x14ac:dyDescent="0.25">
      <c r="A524" s="2">
        <v>44757</v>
      </c>
      <c r="B524">
        <v>147108</v>
      </c>
      <c r="C524">
        <v>167433</v>
      </c>
      <c r="D524">
        <v>675156</v>
      </c>
      <c r="F524">
        <f t="shared" si="80"/>
        <v>0.31781545260822253</v>
      </c>
      <c r="G524">
        <f t="shared" si="81"/>
        <v>-0.95082781339179434</v>
      </c>
      <c r="H524">
        <f t="shared" si="82"/>
        <v>1.13816379802594</v>
      </c>
      <c r="I524">
        <f t="shared" si="83"/>
        <v>-0.20287434223253667</v>
      </c>
      <c r="J524" s="26">
        <f t="shared" si="84"/>
        <v>-4.00032191702544E-2</v>
      </c>
      <c r="K524" s="26">
        <f t="shared" si="85"/>
        <v>-5.0008711317306664E-2</v>
      </c>
      <c r="L524" s="26">
        <f t="shared" si="86"/>
        <v>-3.5924810606211277E-2</v>
      </c>
      <c r="M524" s="26">
        <f t="shared" si="87"/>
        <v>3.8456216227342965E-2</v>
      </c>
      <c r="N524" s="26">
        <f t="shared" si="88"/>
        <v>7.044222188461613E-2</v>
      </c>
      <c r="O524" s="26">
        <f t="shared" si="89"/>
        <v>-1.3566923858824742E-2</v>
      </c>
    </row>
    <row r="525" spans="1:15" x14ac:dyDescent="0.25">
      <c r="A525" s="2">
        <v>44756</v>
      </c>
      <c r="B525">
        <v>147383</v>
      </c>
      <c r="C525">
        <v>165261</v>
      </c>
      <c r="D525">
        <v>673094</v>
      </c>
      <c r="F525">
        <f t="shared" si="80"/>
        <v>0.31716744205864034</v>
      </c>
      <c r="G525">
        <f t="shared" si="81"/>
        <v>-0.96669145999490036</v>
      </c>
      <c r="H525">
        <f t="shared" si="82"/>
        <v>1.121302999667533</v>
      </c>
      <c r="I525">
        <f t="shared" si="83"/>
        <v>-0.40089634854683981</v>
      </c>
      <c r="J525" s="26">
        <f t="shared" si="84"/>
        <v>-3.7887183202305608E-2</v>
      </c>
      <c r="K525" s="26">
        <f t="shared" si="85"/>
        <v>-4.7115406587694864E-2</v>
      </c>
      <c r="L525" s="26">
        <f t="shared" si="86"/>
        <v>-3.3349757632012256E-2</v>
      </c>
      <c r="M525" s="26">
        <f t="shared" si="87"/>
        <v>3.8551699553876384E-2</v>
      </c>
      <c r="N525" s="26">
        <f t="shared" si="88"/>
        <v>6.9741339579570072E-2</v>
      </c>
      <c r="O525" s="26">
        <f t="shared" si="89"/>
        <v>-1.6469887590188748E-2</v>
      </c>
    </row>
    <row r="526" spans="1:15" x14ac:dyDescent="0.25">
      <c r="A526" s="2">
        <v>44755</v>
      </c>
      <c r="B526">
        <v>145883</v>
      </c>
      <c r="C526">
        <v>165711</v>
      </c>
      <c r="D526">
        <v>672302</v>
      </c>
      <c r="F526">
        <f t="shared" si="80"/>
        <v>0.31669404083358405</v>
      </c>
      <c r="G526">
        <f t="shared" si="81"/>
        <v>-0.98038153536130812</v>
      </c>
      <c r="H526">
        <f t="shared" si="82"/>
        <v>1.1359171390772056</v>
      </c>
      <c r="I526">
        <f t="shared" si="83"/>
        <v>-0.25496178141082415</v>
      </c>
      <c r="J526" s="26">
        <f t="shared" si="84"/>
        <v>-3.5794439239206166E-2</v>
      </c>
      <c r="K526" s="26">
        <f t="shared" si="85"/>
        <v>-4.4177299370826928E-2</v>
      </c>
      <c r="L526" s="26">
        <f t="shared" si="86"/>
        <v>-3.0706521854059254E-2</v>
      </c>
      <c r="M526" s="26">
        <f t="shared" si="87"/>
        <v>3.9371317971828024E-2</v>
      </c>
      <c r="N526" s="26">
        <f t="shared" si="88"/>
        <v>6.9885528571686617E-2</v>
      </c>
      <c r="O526" s="26">
        <f t="shared" si="89"/>
        <v>-1.8487683853615211E-2</v>
      </c>
    </row>
    <row r="527" spans="1:15" x14ac:dyDescent="0.25">
      <c r="A527" s="2">
        <v>44754</v>
      </c>
      <c r="B527">
        <v>144628</v>
      </c>
      <c r="C527">
        <v>165461</v>
      </c>
      <c r="D527">
        <v>670790</v>
      </c>
      <c r="F527">
        <f t="shared" si="80"/>
        <v>0.3161337942804362</v>
      </c>
      <c r="G527">
        <f t="shared" si="81"/>
        <v>-0.99533834838545143</v>
      </c>
      <c r="H527">
        <f t="shared" si="82"/>
        <v>1.1440454130597117</v>
      </c>
      <c r="I527">
        <f t="shared" si="83"/>
        <v>-0.18049608988165278</v>
      </c>
      <c r="J527" s="26">
        <f t="shared" si="84"/>
        <v>-3.3598297142571898E-2</v>
      </c>
      <c r="K527" s="26">
        <f t="shared" si="85"/>
        <v>-4.1192433578660814E-2</v>
      </c>
      <c r="L527" s="26">
        <f t="shared" si="86"/>
        <v>-2.7968514098994368E-2</v>
      </c>
      <c r="M527" s="26">
        <f t="shared" si="87"/>
        <v>4.101496083634637E-2</v>
      </c>
      <c r="N527" s="26">
        <f t="shared" si="88"/>
        <v>6.9575395159438891E-2</v>
      </c>
      <c r="O527" s="26">
        <f t="shared" si="89"/>
        <v>-2.1095647556411468E-2</v>
      </c>
    </row>
    <row r="528" spans="1:15" x14ac:dyDescent="0.25">
      <c r="A528" s="2">
        <v>44753</v>
      </c>
      <c r="B528">
        <v>144398</v>
      </c>
      <c r="C528">
        <v>165461</v>
      </c>
      <c r="D528">
        <v>668152</v>
      </c>
      <c r="F528">
        <f t="shared" si="80"/>
        <v>0.31682567987476623</v>
      </c>
      <c r="G528">
        <f t="shared" si="81"/>
        <v>-0.99386967334950638</v>
      </c>
      <c r="H528">
        <f t="shared" si="82"/>
        <v>1.1458676712973863</v>
      </c>
      <c r="I528">
        <f t="shared" si="83"/>
        <v>-0.17324887238383357</v>
      </c>
      <c r="J528" s="26">
        <f t="shared" si="84"/>
        <v>-3.1324741886225749E-2</v>
      </c>
      <c r="K528" s="26">
        <f t="shared" si="85"/>
        <v>-3.8165967283028901E-2</v>
      </c>
      <c r="L528" s="26">
        <f t="shared" si="86"/>
        <v>-2.5167677790030207E-2</v>
      </c>
      <c r="M528" s="26">
        <f t="shared" si="87"/>
        <v>4.2108225624735818E-2</v>
      </c>
      <c r="N528" s="26">
        <f t="shared" si="88"/>
        <v>6.8569082974747175E-2</v>
      </c>
      <c r="O528" s="26">
        <f t="shared" si="89"/>
        <v>-2.4539203218497008E-2</v>
      </c>
    </row>
    <row r="529" spans="1:15" x14ac:dyDescent="0.25">
      <c r="A529" s="2">
        <v>44750</v>
      </c>
      <c r="B529">
        <v>145048</v>
      </c>
      <c r="C529">
        <v>165561</v>
      </c>
      <c r="D529">
        <v>667484</v>
      </c>
      <c r="F529">
        <f t="shared" si="80"/>
        <v>0.31756591653349936</v>
      </c>
      <c r="G529">
        <f t="shared" si="81"/>
        <v>-0.99173255553538664</v>
      </c>
      <c r="H529">
        <f t="shared" si="82"/>
        <v>1.1414221499089956</v>
      </c>
      <c r="I529">
        <f t="shared" si="83"/>
        <v>-0.23141445230175436</v>
      </c>
      <c r="J529" s="26">
        <f t="shared" si="84"/>
        <v>-2.8978438097719994E-2</v>
      </c>
      <c r="K529" s="26">
        <f t="shared" si="85"/>
        <v>-3.6216002025566074E-2</v>
      </c>
      <c r="L529" s="26">
        <f t="shared" si="86"/>
        <v>-2.2339063790802693E-2</v>
      </c>
      <c r="M529" s="26">
        <f t="shared" si="87"/>
        <v>4.3072931862074171E-2</v>
      </c>
      <c r="N529" s="26">
        <f t="shared" si="88"/>
        <v>6.5917285628722899E-2</v>
      </c>
      <c r="O529" s="26">
        <f t="shared" si="89"/>
        <v>-2.802425668949704E-2</v>
      </c>
    </row>
    <row r="530" spans="1:15" x14ac:dyDescent="0.25">
      <c r="A530" s="2">
        <v>44749</v>
      </c>
      <c r="B530">
        <v>144648</v>
      </c>
      <c r="C530">
        <v>165211</v>
      </c>
      <c r="D530">
        <v>664688</v>
      </c>
      <c r="F530">
        <f t="shared" si="80"/>
        <v>0.31795182787489984</v>
      </c>
      <c r="G530">
        <f t="shared" si="81"/>
        <v>-0.99419747758450328</v>
      </c>
      <c r="H530">
        <f t="shared" si="82"/>
        <v>1.1421588960787568</v>
      </c>
      <c r="I530">
        <f t="shared" si="83"/>
        <v>-0.23464105072324853</v>
      </c>
      <c r="J530" s="26">
        <f t="shared" si="84"/>
        <v>-2.6695024646777532E-2</v>
      </c>
      <c r="K530" s="26">
        <f t="shared" si="85"/>
        <v>-3.4341758692902014E-2</v>
      </c>
      <c r="L530" s="26">
        <f t="shared" si="86"/>
        <v>-1.9579830464146686E-2</v>
      </c>
      <c r="M530" s="26">
        <f t="shared" si="87"/>
        <v>4.4766636325249909E-2</v>
      </c>
      <c r="N530" s="26">
        <f t="shared" si="88"/>
        <v>6.3719391845252105E-2</v>
      </c>
      <c r="O530" s="26">
        <f t="shared" si="89"/>
        <v>-3.0947591934505692E-2</v>
      </c>
    </row>
    <row r="531" spans="1:15" x14ac:dyDescent="0.25">
      <c r="A531" s="2">
        <v>44748</v>
      </c>
      <c r="B531">
        <v>143998</v>
      </c>
      <c r="C531">
        <v>164711</v>
      </c>
      <c r="D531">
        <v>665524</v>
      </c>
      <c r="F531">
        <f t="shared" si="80"/>
        <v>0.31687388951103074</v>
      </c>
      <c r="G531">
        <f t="shared" si="81"/>
        <v>-1.0160398768466883</v>
      </c>
      <c r="H531">
        <f t="shared" si="82"/>
        <v>1.1438422755871609</v>
      </c>
      <c r="I531">
        <f t="shared" si="83"/>
        <v>-0.22819465827488397</v>
      </c>
      <c r="J531" s="26">
        <f t="shared" si="84"/>
        <v>-2.4427977083663288E-2</v>
      </c>
      <c r="K531" s="26">
        <f t="shared" si="85"/>
        <v>-3.2478119586038079E-2</v>
      </c>
      <c r="L531" s="26">
        <f t="shared" si="86"/>
        <v>-1.6835099139219212E-2</v>
      </c>
      <c r="M531" s="26">
        <f t="shared" si="87"/>
        <v>4.7118210995586551E-2</v>
      </c>
      <c r="N531" s="26">
        <f t="shared" si="88"/>
        <v>6.1853520613833313E-2</v>
      </c>
      <c r="O531" s="26">
        <f t="shared" si="89"/>
        <v>-3.3584339611289815E-2</v>
      </c>
    </row>
    <row r="532" spans="1:15" x14ac:dyDescent="0.25">
      <c r="A532" s="2">
        <v>44747</v>
      </c>
      <c r="B532">
        <v>143248</v>
      </c>
      <c r="C532">
        <v>164681</v>
      </c>
      <c r="D532">
        <v>662794</v>
      </c>
      <c r="F532">
        <f t="shared" si="80"/>
        <v>0.31721613683821237</v>
      </c>
      <c r="G532">
        <f t="shared" si="81"/>
        <v>-1.0192039069211927</v>
      </c>
      <c r="H532">
        <f t="shared" si="82"/>
        <v>1.1496216352060762</v>
      </c>
      <c r="I532">
        <f t="shared" si="83"/>
        <v>-0.17999245765506391</v>
      </c>
      <c r="J532" s="26">
        <f t="shared" si="84"/>
        <v>-2.2093489482517881E-2</v>
      </c>
      <c r="K532" s="26">
        <f t="shared" si="85"/>
        <v>-3.0508442242416278E-2</v>
      </c>
      <c r="L532" s="26">
        <f t="shared" si="86"/>
        <v>-1.4011422884219749E-2</v>
      </c>
      <c r="M532" s="26">
        <f t="shared" si="87"/>
        <v>4.8881667006466012E-2</v>
      </c>
      <c r="N532" s="26">
        <f t="shared" si="88"/>
        <v>5.9573429641108344E-2</v>
      </c>
      <c r="O532" s="26">
        <f t="shared" si="89"/>
        <v>-3.6706791108002124E-2</v>
      </c>
    </row>
    <row r="533" spans="1:15" x14ac:dyDescent="0.25">
      <c r="A533" s="2">
        <v>44746</v>
      </c>
      <c r="B533">
        <v>141098</v>
      </c>
      <c r="C533">
        <v>164406</v>
      </c>
      <c r="D533">
        <v>660164</v>
      </c>
      <c r="F533">
        <f t="shared" si="80"/>
        <v>0.31636545893619755</v>
      </c>
      <c r="G533">
        <f t="shared" si="81"/>
        <v>-1.0381584177860896</v>
      </c>
      <c r="H533">
        <f t="shared" si="82"/>
        <v>1.1651901515258898</v>
      </c>
      <c r="I533">
        <f t="shared" si="83"/>
        <v>-3.2768639634697679E-2</v>
      </c>
      <c r="J533" s="26">
        <f t="shared" si="84"/>
        <v>-1.9783782990021925E-2</v>
      </c>
      <c r="K533" s="26">
        <f t="shared" si="85"/>
        <v>-2.8566441273360499E-2</v>
      </c>
      <c r="L533" s="26">
        <f t="shared" si="86"/>
        <v>-1.121285296739899E-2</v>
      </c>
      <c r="M533" s="26">
        <f t="shared" si="87"/>
        <v>5.0281364656816763E-2</v>
      </c>
      <c r="N533" s="26">
        <f t="shared" si="88"/>
        <v>5.7564879173251704E-2</v>
      </c>
      <c r="O533" s="26">
        <f t="shared" si="89"/>
        <v>-3.9921551235507113E-2</v>
      </c>
    </row>
    <row r="534" spans="1:15" x14ac:dyDescent="0.25">
      <c r="A534" s="2">
        <v>44743</v>
      </c>
      <c r="B534">
        <v>141098</v>
      </c>
      <c r="C534">
        <v>164406</v>
      </c>
      <c r="D534">
        <v>657338</v>
      </c>
      <c r="F534">
        <f t="shared" si="80"/>
        <v>0.31729401085536357</v>
      </c>
      <c r="G534">
        <f t="shared" si="81"/>
        <v>-1.0336557094417034</v>
      </c>
      <c r="H534">
        <f t="shared" si="82"/>
        <v>1.1651901515258898</v>
      </c>
      <c r="I534">
        <f t="shared" si="83"/>
        <v>-4.6787374698575322E-2</v>
      </c>
      <c r="J534" s="26">
        <f t="shared" si="84"/>
        <v>-1.7279711607663784E-2</v>
      </c>
      <c r="K534" s="26">
        <f t="shared" si="85"/>
        <v>-2.6500715545081432E-2</v>
      </c>
      <c r="L534" s="26">
        <f t="shared" si="86"/>
        <v>-8.3032334238586358E-3</v>
      </c>
      <c r="M534" s="26">
        <f t="shared" si="87"/>
        <v>5.1454937230124953E-2</v>
      </c>
      <c r="N534" s="26">
        <f t="shared" si="88"/>
        <v>5.474481176826318E-2</v>
      </c>
      <c r="O534" s="26">
        <f t="shared" si="89"/>
        <v>-4.3426701376968468E-2</v>
      </c>
    </row>
    <row r="535" spans="1:15" x14ac:dyDescent="0.25">
      <c r="A535" s="2">
        <v>44742</v>
      </c>
      <c r="B535">
        <v>138763</v>
      </c>
      <c r="C535">
        <v>164481</v>
      </c>
      <c r="D535">
        <v>656438</v>
      </c>
      <c r="F535">
        <f t="shared" si="80"/>
        <v>0.31598383631244514</v>
      </c>
      <c r="G535">
        <f t="shared" si="81"/>
        <v>-1.0589440858931709</v>
      </c>
      <c r="H535">
        <f t="shared" si="82"/>
        <v>1.1853375899915684</v>
      </c>
      <c r="I535">
        <f t="shared" si="83"/>
        <v>0.13952552949742825</v>
      </c>
      <c r="J535" s="26">
        <f t="shared" si="84"/>
        <v>-1.4837621367655818E-2</v>
      </c>
      <c r="K535" s="26">
        <f t="shared" si="85"/>
        <v>-2.444442061263874E-2</v>
      </c>
      <c r="L535" s="26">
        <f t="shared" si="86"/>
        <v>-5.4299287306076027E-3</v>
      </c>
      <c r="M535" s="26">
        <f t="shared" si="87"/>
        <v>5.2562155109113329E-2</v>
      </c>
      <c r="N535" s="26">
        <f t="shared" si="88"/>
        <v>5.1527717548500718E-2</v>
      </c>
      <c r="O535" s="26">
        <f t="shared" si="89"/>
        <v>-4.6931851518430046E-2</v>
      </c>
    </row>
    <row r="536" spans="1:15" x14ac:dyDescent="0.25">
      <c r="A536" s="2">
        <v>44741</v>
      </c>
      <c r="B536">
        <v>138513</v>
      </c>
      <c r="C536">
        <v>164406</v>
      </c>
      <c r="D536">
        <v>660321</v>
      </c>
      <c r="F536">
        <f t="shared" si="80"/>
        <v>0.31447925750591754</v>
      </c>
      <c r="G536">
        <f t="shared" si="81"/>
        <v>-1.087049083980933</v>
      </c>
      <c r="H536">
        <f t="shared" si="82"/>
        <v>1.1869355222975462</v>
      </c>
      <c r="I536">
        <f t="shared" si="83"/>
        <v>0.14085644653083249</v>
      </c>
      <c r="J536" s="26">
        <f t="shared" si="84"/>
        <v>-1.2447733061879851E-2</v>
      </c>
      <c r="K536" s="26">
        <f t="shared" si="85"/>
        <v>-2.232652017107345E-2</v>
      </c>
      <c r="L536" s="26">
        <f t="shared" si="86"/>
        <v>-2.4751282652236695E-3</v>
      </c>
      <c r="M536" s="26">
        <f t="shared" si="87"/>
        <v>5.3260634358704095E-2</v>
      </c>
      <c r="N536" s="26">
        <f t="shared" si="88"/>
        <v>4.7607889382461188E-2</v>
      </c>
      <c r="O536" s="26">
        <f t="shared" si="89"/>
        <v>-5.1467692153529532E-2</v>
      </c>
    </row>
    <row r="537" spans="1:15" x14ac:dyDescent="0.25">
      <c r="A537" s="2">
        <v>44740</v>
      </c>
      <c r="B537">
        <v>138698</v>
      </c>
      <c r="C537">
        <v>163581</v>
      </c>
      <c r="D537">
        <v>655335</v>
      </c>
      <c r="F537">
        <f t="shared" si="80"/>
        <v>0.31565850123327355</v>
      </c>
      <c r="G537">
        <f t="shared" si="81"/>
        <v>-1.0795812630691861</v>
      </c>
      <c r="H537">
        <f t="shared" si="82"/>
        <v>1.1794041730955025</v>
      </c>
      <c r="I537">
        <f t="shared" si="83"/>
        <v>5.3727430846213113E-2</v>
      </c>
      <c r="J537" s="26">
        <f t="shared" si="84"/>
        <v>-1.0019956776378625E-2</v>
      </c>
      <c r="K537" s="26">
        <f t="shared" si="85"/>
        <v>-2.009915698917919E-2</v>
      </c>
      <c r="L537" s="26">
        <f t="shared" si="86"/>
        <v>5.6181131609644996E-4</v>
      </c>
      <c r="M537" s="26">
        <f t="shared" si="87"/>
        <v>5.350268801015079E-2</v>
      </c>
      <c r="N537" s="26">
        <f t="shared" si="88"/>
        <v>4.3325793924338551E-2</v>
      </c>
      <c r="O537" s="26">
        <f t="shared" si="89"/>
        <v>-5.6232852092552799E-2</v>
      </c>
    </row>
    <row r="538" spans="1:15" x14ac:dyDescent="0.25">
      <c r="A538" s="2">
        <v>44739</v>
      </c>
      <c r="B538">
        <v>139398</v>
      </c>
      <c r="C538">
        <v>162831</v>
      </c>
      <c r="D538">
        <v>662331</v>
      </c>
      <c r="F538">
        <f t="shared" si="80"/>
        <v>0.31333354068176161</v>
      </c>
      <c r="G538">
        <f t="shared" si="81"/>
        <v>-1.1188717310048526</v>
      </c>
      <c r="H538">
        <f t="shared" si="82"/>
        <v>1.1681014074807385</v>
      </c>
      <c r="I538">
        <f t="shared" si="83"/>
        <v>-6.8107215682310387E-2</v>
      </c>
      <c r="J538" s="26">
        <f t="shared" si="84"/>
        <v>-7.5384037763083778E-3</v>
      </c>
      <c r="K538" s="26">
        <f t="shared" si="85"/>
        <v>-1.7792191852447403E-2</v>
      </c>
      <c r="L538" s="26">
        <f t="shared" si="86"/>
        <v>4.0645770133738712E-3</v>
      </c>
      <c r="M538" s="26">
        <f t="shared" si="87"/>
        <v>5.3962024397294917E-2</v>
      </c>
      <c r="N538" s="26">
        <f t="shared" si="88"/>
        <v>3.9139467627788527E-2</v>
      </c>
      <c r="O538" s="26">
        <f t="shared" si="89"/>
        <v>-6.0790811896403119E-2</v>
      </c>
    </row>
    <row r="539" spans="1:15" x14ac:dyDescent="0.25">
      <c r="A539" s="2">
        <v>44736</v>
      </c>
      <c r="B539">
        <v>139398</v>
      </c>
      <c r="C539">
        <v>162431</v>
      </c>
      <c r="D539">
        <v>664797</v>
      </c>
      <c r="F539">
        <f t="shared" si="80"/>
        <v>0.31225003258757783</v>
      </c>
      <c r="G539">
        <f t="shared" si="81"/>
        <v>-1.1418721183196714</v>
      </c>
      <c r="H539">
        <f t="shared" si="82"/>
        <v>1.1652319258525947</v>
      </c>
      <c r="I539">
        <f t="shared" si="83"/>
        <v>-0.10813884058587225</v>
      </c>
      <c r="J539" s="26">
        <f t="shared" si="84"/>
        <v>-4.9044480663011369E-3</v>
      </c>
      <c r="K539" s="26">
        <f t="shared" si="85"/>
        <v>-1.5327716034154337E-2</v>
      </c>
      <c r="L539" s="26">
        <f t="shared" si="86"/>
        <v>7.7269265941640741E-3</v>
      </c>
      <c r="M539" s="26">
        <f t="shared" si="87"/>
        <v>5.4556925811260371E-2</v>
      </c>
      <c r="N539" s="26">
        <f t="shared" si="88"/>
        <v>3.5081989356037013E-2</v>
      </c>
      <c r="O539" s="26">
        <f t="shared" si="89"/>
        <v>-6.5152939631577533E-2</v>
      </c>
    </row>
    <row r="540" spans="1:15" x14ac:dyDescent="0.25">
      <c r="A540" s="2">
        <v>44735</v>
      </c>
      <c r="B540">
        <v>137404</v>
      </c>
      <c r="C540">
        <v>162256</v>
      </c>
      <c r="D540">
        <v>663681</v>
      </c>
      <c r="F540">
        <f t="shared" si="80"/>
        <v>0.31106326835461173</v>
      </c>
      <c r="G540">
        <f t="shared" si="81"/>
        <v>-1.166531888646861</v>
      </c>
      <c r="H540">
        <f t="shared" si="82"/>
        <v>1.1808680969986318</v>
      </c>
      <c r="I540">
        <f t="shared" si="83"/>
        <v>2.8937008472737589E-2</v>
      </c>
      <c r="J540" s="26">
        <f t="shared" si="84"/>
        <v>-2.0515696504173619E-3</v>
      </c>
      <c r="K540" s="26">
        <f t="shared" si="85"/>
        <v>-1.2857659976637958E-2</v>
      </c>
      <c r="L540" s="26">
        <f t="shared" si="86"/>
        <v>1.1438414551964426E-2</v>
      </c>
      <c r="M540" s="26">
        <f t="shared" si="87"/>
        <v>5.58785671181945E-2</v>
      </c>
      <c r="N540" s="26">
        <f t="shared" si="88"/>
        <v>3.0428813904160412E-2</v>
      </c>
      <c r="O540" s="26">
        <f t="shared" si="89"/>
        <v>-6.9144989838399562E-2</v>
      </c>
    </row>
    <row r="541" spans="1:15" x14ac:dyDescent="0.25">
      <c r="A541" s="2">
        <v>44734</v>
      </c>
      <c r="B541">
        <v>137954</v>
      </c>
      <c r="C541">
        <v>162306</v>
      </c>
      <c r="D541">
        <v>662782</v>
      </c>
      <c r="F541">
        <f t="shared" si="80"/>
        <v>0.31178287135971222</v>
      </c>
      <c r="G541">
        <f t="shared" si="81"/>
        <v>-1.165859691869608</v>
      </c>
      <c r="H541">
        <f t="shared" si="82"/>
        <v>1.1765226089856038</v>
      </c>
      <c r="I541">
        <f t="shared" si="83"/>
        <v>-2.1634222621763902E-2</v>
      </c>
      <c r="J541" s="26">
        <f t="shared" si="84"/>
        <v>-1.6344888223041032E-4</v>
      </c>
      <c r="K541" s="26">
        <f t="shared" si="85"/>
        <v>-1.0750514638201814E-2</v>
      </c>
      <c r="L541" s="26">
        <f t="shared" si="86"/>
        <v>1.4795642493590722E-2</v>
      </c>
      <c r="M541" s="26">
        <f t="shared" si="87"/>
        <v>5.3666766572920688E-2</v>
      </c>
      <c r="N541" s="26">
        <f t="shared" si="88"/>
        <v>2.3214228464642384E-2</v>
      </c>
      <c r="O541" s="26">
        <f t="shared" si="89"/>
        <v>-7.5685869603481226E-2</v>
      </c>
    </row>
    <row r="542" spans="1:15" x14ac:dyDescent="0.25">
      <c r="A542" s="2">
        <v>44733</v>
      </c>
      <c r="B542">
        <v>172295</v>
      </c>
      <c r="C542">
        <v>194261</v>
      </c>
      <c r="D542">
        <v>656552</v>
      </c>
      <c r="F542">
        <f t="shared" si="80"/>
        <v>0.35827693655019804</v>
      </c>
      <c r="G542">
        <f t="shared" si="81"/>
        <v>-0.5472732517308313</v>
      </c>
      <c r="H542">
        <f t="shared" si="82"/>
        <v>1.1274906410516845</v>
      </c>
      <c r="I542">
        <f t="shared" si="83"/>
        <v>-0.48783172400817204</v>
      </c>
      <c r="J542" s="26">
        <f t="shared" si="84"/>
        <v>2.0585643624899674E-3</v>
      </c>
      <c r="K542" s="26">
        <f t="shared" si="85"/>
        <v>-8.6051666692151252E-3</v>
      </c>
      <c r="L542" s="26">
        <f t="shared" si="86"/>
        <v>1.8250538835888064E-2</v>
      </c>
      <c r="M542" s="26">
        <f t="shared" si="87"/>
        <v>5.2125758715850345E-2</v>
      </c>
      <c r="N542" s="26">
        <f t="shared" si="88"/>
        <v>1.6348677803114997E-2</v>
      </c>
      <c r="O542" s="26">
        <f t="shared" si="89"/>
        <v>-8.1996473245607326E-2</v>
      </c>
    </row>
    <row r="543" spans="1:15" x14ac:dyDescent="0.25">
      <c r="A543" s="2">
        <v>44732</v>
      </c>
      <c r="B543">
        <v>173655</v>
      </c>
      <c r="C543">
        <v>194036</v>
      </c>
      <c r="D543">
        <v>654847</v>
      </c>
      <c r="F543">
        <f t="shared" si="80"/>
        <v>0.3595866363890633</v>
      </c>
      <c r="G543">
        <f t="shared" si="81"/>
        <v>-0.53353315784910316</v>
      </c>
      <c r="H543">
        <f t="shared" si="82"/>
        <v>1.1173648901557687</v>
      </c>
      <c r="I543">
        <f t="shared" si="83"/>
        <v>-0.59268144591575378</v>
      </c>
      <c r="J543" s="26">
        <f t="shared" si="84"/>
        <v>1.9067749520180199E-3</v>
      </c>
      <c r="K543" s="26">
        <f t="shared" si="85"/>
        <v>-8.7971924315873862E-3</v>
      </c>
      <c r="L543" s="26">
        <f t="shared" si="86"/>
        <v>1.9430678637185894E-2</v>
      </c>
      <c r="M543" s="26">
        <f t="shared" si="87"/>
        <v>5.288944471675272E-2</v>
      </c>
      <c r="N543" s="26">
        <f t="shared" si="88"/>
        <v>1.2357619248560159E-2</v>
      </c>
      <c r="O543" s="26">
        <f t="shared" si="89"/>
        <v>-8.5986021335134222E-2</v>
      </c>
    </row>
    <row r="544" spans="1:15" x14ac:dyDescent="0.25">
      <c r="A544" s="2">
        <v>44729</v>
      </c>
      <c r="B544">
        <v>174205</v>
      </c>
      <c r="C544">
        <v>193711</v>
      </c>
      <c r="D544">
        <v>653470</v>
      </c>
      <c r="F544">
        <f t="shared" si="80"/>
        <v>0.36021249556974544</v>
      </c>
      <c r="G544">
        <f t="shared" si="81"/>
        <v>-0.52894272041994839</v>
      </c>
      <c r="H544">
        <f t="shared" si="82"/>
        <v>1.1119715277977096</v>
      </c>
      <c r="I544">
        <f t="shared" si="83"/>
        <v>-0.65402834474972138</v>
      </c>
      <c r="J544" s="26">
        <f t="shared" si="84"/>
        <v>1.728028109937163E-3</v>
      </c>
      <c r="K544" s="26">
        <f t="shared" si="85"/>
        <v>-8.8649412437657449E-3</v>
      </c>
      <c r="L544" s="26">
        <f t="shared" si="86"/>
        <v>1.8325017237682428E-2</v>
      </c>
      <c r="M544" s="26">
        <f t="shared" si="87"/>
        <v>5.3717008328085347E-2</v>
      </c>
      <c r="N544" s="26">
        <f t="shared" si="88"/>
        <v>8.967779753424221E-3</v>
      </c>
      <c r="O544" s="26">
        <f t="shared" si="89"/>
        <v>-8.6947718518425754E-2</v>
      </c>
    </row>
    <row r="545" spans="1:15" x14ac:dyDescent="0.25">
      <c r="A545" s="2">
        <v>44728</v>
      </c>
      <c r="B545">
        <v>174195</v>
      </c>
      <c r="C545">
        <v>193711</v>
      </c>
      <c r="D545">
        <v>651822</v>
      </c>
      <c r="F545">
        <f t="shared" si="80"/>
        <v>0.36078836709397016</v>
      </c>
      <c r="G545">
        <f t="shared" si="81"/>
        <v>-0.5268681869565961</v>
      </c>
      <c r="H545">
        <f t="shared" si="82"/>
        <v>1.112035362668274</v>
      </c>
      <c r="I545">
        <f t="shared" si="83"/>
        <v>-0.66558715301596316</v>
      </c>
      <c r="J545" s="26">
        <f t="shared" si="84"/>
        <v>1.4214861332877415E-3</v>
      </c>
      <c r="K545" s="26">
        <f t="shared" si="85"/>
        <v>-8.9988526419692572E-3</v>
      </c>
      <c r="L545" s="26">
        <f t="shared" si="86"/>
        <v>1.7145773193785407E-2</v>
      </c>
      <c r="M545" s="26">
        <f t="shared" si="87"/>
        <v>5.3588296906296629E-2</v>
      </c>
      <c r="N545" s="26">
        <f t="shared" si="88"/>
        <v>5.5513084406535462E-3</v>
      </c>
      <c r="O545" s="26">
        <f t="shared" si="89"/>
        <v>-8.8140371397197326E-2</v>
      </c>
    </row>
    <row r="546" spans="1:15" x14ac:dyDescent="0.25">
      <c r="A546" s="2">
        <v>44727</v>
      </c>
      <c r="B546">
        <v>173995</v>
      </c>
      <c r="C546">
        <v>193911</v>
      </c>
      <c r="D546">
        <v>650527</v>
      </c>
      <c r="F546">
        <f t="shared" si="80"/>
        <v>0.36124713162279698</v>
      </c>
      <c r="G546">
        <f t="shared" si="81"/>
        <v>-0.52637222582819809</v>
      </c>
      <c r="H546">
        <f t="shared" si="82"/>
        <v>1.1144630592833127</v>
      </c>
      <c r="I546">
        <f t="shared" si="83"/>
        <v>-0.65569613659795711</v>
      </c>
      <c r="J546" s="26">
        <f t="shared" si="84"/>
        <v>1.2883283356907027E-3</v>
      </c>
      <c r="K546" s="26">
        <f t="shared" si="85"/>
        <v>-9.0986815921753061E-3</v>
      </c>
      <c r="L546" s="26">
        <f t="shared" si="86"/>
        <v>1.6048118581361737E-2</v>
      </c>
      <c r="M546" s="26">
        <f t="shared" si="87"/>
        <v>5.3842694685307224E-2</v>
      </c>
      <c r="N546" s="26">
        <f t="shared" si="88"/>
        <v>2.1212280517810544E-3</v>
      </c>
      <c r="O546" s="26">
        <f t="shared" si="89"/>
        <v>-8.9290906003310022E-2</v>
      </c>
    </row>
    <row r="547" spans="1:15" x14ac:dyDescent="0.25">
      <c r="A547" s="2">
        <v>44726</v>
      </c>
      <c r="B547">
        <v>173540</v>
      </c>
      <c r="C547">
        <v>193911</v>
      </c>
      <c r="D547">
        <v>650469</v>
      </c>
      <c r="F547">
        <f t="shared" si="80"/>
        <v>0.36098219899402706</v>
      </c>
      <c r="G547">
        <f t="shared" si="81"/>
        <v>-0.53553794529160859</v>
      </c>
      <c r="H547">
        <f t="shared" si="82"/>
        <v>1.1173850409127579</v>
      </c>
      <c r="I547">
        <f t="shared" si="83"/>
        <v>-0.64152087406937386</v>
      </c>
      <c r="J547" s="26">
        <f t="shared" si="84"/>
        <v>-3.0636422892927007E-2</v>
      </c>
      <c r="K547" s="26">
        <f t="shared" si="85"/>
        <v>-9.0823161916444572E-3</v>
      </c>
      <c r="L547" s="26">
        <f t="shared" si="86"/>
        <v>1.5034362246748423E-2</v>
      </c>
      <c r="M547" s="26">
        <f t="shared" si="87"/>
        <v>5.470697919447387E-2</v>
      </c>
      <c r="N547" s="26">
        <f t="shared" si="88"/>
        <v>-7.6630305545077881E-4</v>
      </c>
      <c r="O547" s="26">
        <f t="shared" si="89"/>
        <v>-9.0563010173515979E-2</v>
      </c>
    </row>
    <row r="548" spans="1:15" x14ac:dyDescent="0.25">
      <c r="A548" s="2">
        <v>44725</v>
      </c>
      <c r="B548">
        <v>173883</v>
      </c>
      <c r="C548">
        <v>193911</v>
      </c>
      <c r="D548">
        <v>649476</v>
      </c>
      <c r="F548">
        <f t="shared" si="80"/>
        <v>0.36155003096523047</v>
      </c>
      <c r="G548">
        <f t="shared" si="81"/>
        <v>-0.53356540643926131</v>
      </c>
      <c r="H548">
        <f t="shared" si="82"/>
        <v>1.1151808975000432</v>
      </c>
      <c r="I548">
        <f t="shared" si="83"/>
        <v>-0.67328289134280828</v>
      </c>
      <c r="J548" s="26">
        <f t="shared" si="84"/>
        <v>-3.0808785835152896E-2</v>
      </c>
      <c r="K548" s="26">
        <f t="shared" si="85"/>
        <v>-9.1899937300577994E-3</v>
      </c>
      <c r="L548" s="26">
        <f t="shared" si="86"/>
        <v>1.3953460102338278E-2</v>
      </c>
      <c r="M548" s="26">
        <f t="shared" si="87"/>
        <v>5.2934976900145259E-2</v>
      </c>
      <c r="N548" s="26">
        <f t="shared" si="88"/>
        <v>-5.7000689117285841E-3</v>
      </c>
      <c r="O548" s="26">
        <f t="shared" si="89"/>
        <v>-9.3711333891917104E-2</v>
      </c>
    </row>
    <row r="549" spans="1:15" x14ac:dyDescent="0.25">
      <c r="A549" s="2">
        <v>44722</v>
      </c>
      <c r="B549">
        <v>173833</v>
      </c>
      <c r="C549">
        <v>194036</v>
      </c>
      <c r="D549">
        <v>646494</v>
      </c>
      <c r="F549">
        <f t="shared" si="80"/>
        <v>0.36266011279985566</v>
      </c>
      <c r="G549">
        <f t="shared" si="81"/>
        <v>-0.5243184833573411</v>
      </c>
      <c r="H549">
        <f t="shared" si="82"/>
        <v>1.1162207405958593</v>
      </c>
      <c r="I549">
        <f t="shared" si="83"/>
        <v>-0.67630282689089993</v>
      </c>
      <c r="J549" s="26">
        <f t="shared" si="84"/>
        <v>-3.0983919104464297E-2</v>
      </c>
      <c r="K549" s="26">
        <f t="shared" si="85"/>
        <v>-9.3143441722459142E-3</v>
      </c>
      <c r="L549" s="26">
        <f t="shared" si="86"/>
        <v>1.2855792535742205E-2</v>
      </c>
      <c r="M549" s="26">
        <f t="shared" si="87"/>
        <v>5.0815728132309612E-2</v>
      </c>
      <c r="N549" s="26">
        <f t="shared" si="88"/>
        <v>-1.094531203310467E-2</v>
      </c>
      <c r="O549" s="26">
        <f t="shared" si="89"/>
        <v>-9.69266995892335E-2</v>
      </c>
    </row>
    <row r="550" spans="1:15" x14ac:dyDescent="0.25">
      <c r="A550" s="2">
        <v>44721</v>
      </c>
      <c r="B550">
        <v>172873</v>
      </c>
      <c r="C550">
        <v>194036</v>
      </c>
      <c r="D550">
        <v>646522</v>
      </c>
      <c r="F550">
        <f t="shared" si="80"/>
        <v>0.36204635540061436</v>
      </c>
      <c r="G550">
        <f t="shared" si="81"/>
        <v>-0.537983566831296</v>
      </c>
      <c r="H550">
        <f t="shared" si="82"/>
        <v>1.1224193483077172</v>
      </c>
      <c r="I550">
        <f t="shared" si="83"/>
        <v>-0.61257989754683106</v>
      </c>
      <c r="J550" s="26">
        <f t="shared" si="84"/>
        <v>-3.1185696819385988E-2</v>
      </c>
      <c r="K550" s="26">
        <f t="shared" si="85"/>
        <v>-9.499625915775356E-3</v>
      </c>
      <c r="L550" s="26">
        <f t="shared" si="86"/>
        <v>1.1713654629105619E-2</v>
      </c>
      <c r="M550" s="26">
        <f t="shared" si="87"/>
        <v>4.8551412120402482E-2</v>
      </c>
      <c r="N550" s="26">
        <f t="shared" si="88"/>
        <v>-1.5990397338528028E-2</v>
      </c>
      <c r="O550" s="26">
        <f t="shared" si="89"/>
        <v>-0.10006680398926293</v>
      </c>
    </row>
    <row r="551" spans="1:15" x14ac:dyDescent="0.25">
      <c r="A551" s="2">
        <v>44720</v>
      </c>
      <c r="B551">
        <v>172638</v>
      </c>
      <c r="C551">
        <v>194776</v>
      </c>
      <c r="D551">
        <v>646799</v>
      </c>
      <c r="F551">
        <f t="shared" si="80"/>
        <v>0.362265125767467</v>
      </c>
      <c r="G551">
        <f t="shared" si="81"/>
        <v>-0.54059229594948244</v>
      </c>
      <c r="H551">
        <f t="shared" si="82"/>
        <v>1.1282336449680834</v>
      </c>
      <c r="I551">
        <f t="shared" si="83"/>
        <v>-0.55308325826121496</v>
      </c>
      <c r="J551" s="26">
        <f t="shared" si="84"/>
        <v>-3.1439900803263421E-2</v>
      </c>
      <c r="K551" s="26">
        <f t="shared" si="85"/>
        <v>-9.6844709956737662E-3</v>
      </c>
      <c r="L551" s="26">
        <f t="shared" si="86"/>
        <v>1.0566521652906669E-2</v>
      </c>
      <c r="M551" s="26">
        <f t="shared" si="87"/>
        <v>4.5914765854972117E-2</v>
      </c>
      <c r="N551" s="26">
        <f t="shared" si="88"/>
        <v>-2.122847075761114E-2</v>
      </c>
      <c r="O551" s="26">
        <f t="shared" si="89"/>
        <v>-0.1036771240796972</v>
      </c>
    </row>
    <row r="552" spans="1:15" x14ac:dyDescent="0.25">
      <c r="A552" s="2">
        <v>44719</v>
      </c>
      <c r="B552">
        <v>173628</v>
      </c>
      <c r="C552">
        <v>194646</v>
      </c>
      <c r="D552">
        <v>647109</v>
      </c>
      <c r="F552">
        <f t="shared" si="80"/>
        <v>0.36269466792333532</v>
      </c>
      <c r="G552">
        <f t="shared" si="81"/>
        <v>-0.54040197296462011</v>
      </c>
      <c r="H552">
        <f t="shared" si="82"/>
        <v>1.121051904070772</v>
      </c>
      <c r="I552">
        <f t="shared" si="83"/>
        <v>-0.60931579087245868</v>
      </c>
      <c r="J552" s="26">
        <f t="shared" si="84"/>
        <v>-3.164483610768376E-2</v>
      </c>
      <c r="K552" s="26">
        <f t="shared" si="85"/>
        <v>-9.8158430850737721E-3</v>
      </c>
      <c r="L552" s="26">
        <f t="shared" si="86"/>
        <v>9.4434949734230056E-3</v>
      </c>
      <c r="M552" s="26">
        <f t="shared" si="87"/>
        <v>4.3021984583917927E-2</v>
      </c>
      <c r="N552" s="26">
        <f t="shared" si="88"/>
        <v>-2.7056327023681881E-2</v>
      </c>
      <c r="O552" s="26">
        <f t="shared" si="89"/>
        <v>-0.10784385417205589</v>
      </c>
    </row>
    <row r="553" spans="1:15" x14ac:dyDescent="0.25">
      <c r="A553" s="2">
        <v>44718</v>
      </c>
      <c r="B553">
        <v>173448</v>
      </c>
      <c r="C553">
        <v>195006</v>
      </c>
      <c r="D553">
        <v>647840</v>
      </c>
      <c r="F553">
        <f t="shared" si="80"/>
        <v>0.36254666464625396</v>
      </c>
      <c r="G553">
        <f t="shared" si="81"/>
        <v>-0.54782003101193921</v>
      </c>
      <c r="H553">
        <f t="shared" si="82"/>
        <v>1.1242908537429086</v>
      </c>
      <c r="I553">
        <f t="shared" si="83"/>
        <v>-0.57942673046134763</v>
      </c>
      <c r="J553" s="26">
        <f t="shared" si="84"/>
        <v>-3.1921424427624578E-2</v>
      </c>
      <c r="K553" s="26">
        <f t="shared" si="85"/>
        <v>-9.8357813329176813E-3</v>
      </c>
      <c r="L553" s="26">
        <f t="shared" si="86"/>
        <v>8.3479626432295118E-3</v>
      </c>
      <c r="M553" s="26">
        <f t="shared" si="87"/>
        <v>4.0100137413166426E-2</v>
      </c>
      <c r="N553" s="26">
        <f t="shared" si="88"/>
        <v>-3.2703983590388397E-2</v>
      </c>
      <c r="O553" s="26">
        <f t="shared" si="89"/>
        <v>-0.11209780165985972</v>
      </c>
    </row>
    <row r="554" spans="1:15" x14ac:dyDescent="0.25">
      <c r="A554" s="2">
        <v>44715</v>
      </c>
      <c r="B554">
        <v>172948</v>
      </c>
      <c r="C554">
        <v>194806</v>
      </c>
      <c r="D554">
        <v>644512</v>
      </c>
      <c r="F554">
        <f t="shared" si="80"/>
        <v>0.3632977893162469</v>
      </c>
      <c r="G554">
        <f t="shared" si="81"/>
        <v>-0.54339463194025472</v>
      </c>
      <c r="H554">
        <f t="shared" si="82"/>
        <v>1.1263848093068436</v>
      </c>
      <c r="I554">
        <f t="shared" si="83"/>
        <v>-0.56204580139375171</v>
      </c>
      <c r="J554" s="26">
        <f t="shared" si="84"/>
        <v>-3.2064544195599731E-2</v>
      </c>
      <c r="K554" s="26">
        <f t="shared" si="85"/>
        <v>-9.8311301739189005E-3</v>
      </c>
      <c r="L554" s="26">
        <f t="shared" si="86"/>
        <v>7.2909252122864143E-3</v>
      </c>
      <c r="M554" s="26">
        <f t="shared" si="87"/>
        <v>3.8301943066954669E-2</v>
      </c>
      <c r="N554" s="26">
        <f t="shared" si="88"/>
        <v>-3.7886259418982604E-2</v>
      </c>
      <c r="O554" s="26">
        <f t="shared" si="89"/>
        <v>-0.11586531435691549</v>
      </c>
    </row>
    <row r="555" spans="1:15" x14ac:dyDescent="0.25">
      <c r="A555" s="2">
        <v>44714</v>
      </c>
      <c r="B555">
        <v>172948</v>
      </c>
      <c r="C555">
        <v>194806</v>
      </c>
      <c r="D555">
        <v>643996</v>
      </c>
      <c r="F555">
        <f t="shared" si="80"/>
        <v>0.36348307388188783</v>
      </c>
      <c r="G555">
        <f t="shared" si="81"/>
        <v>-0.54641424661367577</v>
      </c>
      <c r="H555">
        <f t="shared" si="82"/>
        <v>1.1263848093068436</v>
      </c>
      <c r="I555">
        <f t="shared" si="83"/>
        <v>-0.56390192408850137</v>
      </c>
      <c r="J555" s="26">
        <f t="shared" si="84"/>
        <v>-3.2180714583040448E-2</v>
      </c>
      <c r="K555" s="26">
        <f t="shared" si="85"/>
        <v>-9.9454032679868187E-3</v>
      </c>
      <c r="L555" s="26">
        <f t="shared" si="86"/>
        <v>6.0939348642193303E-3</v>
      </c>
      <c r="M555" s="26">
        <f t="shared" si="87"/>
        <v>3.4199835790244881E-2</v>
      </c>
      <c r="N555" s="26">
        <f t="shared" si="88"/>
        <v>-4.3798791797135417E-2</v>
      </c>
      <c r="O555" s="26">
        <f t="shared" si="89"/>
        <v>-0.12034994433075963</v>
      </c>
    </row>
    <row r="556" spans="1:15" x14ac:dyDescent="0.25">
      <c r="A556" s="2">
        <v>44713</v>
      </c>
      <c r="B556">
        <v>172948</v>
      </c>
      <c r="C556">
        <v>194806</v>
      </c>
      <c r="D556">
        <v>643585</v>
      </c>
      <c r="F556">
        <f t="shared" si="80"/>
        <v>0.36363079046689589</v>
      </c>
      <c r="G556">
        <f t="shared" si="81"/>
        <v>-0.51339242290435838</v>
      </c>
      <c r="H556">
        <f t="shared" si="82"/>
        <v>1.1263848093068436</v>
      </c>
      <c r="I556">
        <f t="shared" si="83"/>
        <v>-0.56615489851587297</v>
      </c>
      <c r="J556" s="26">
        <f t="shared" si="84"/>
        <v>-3.221028540838955E-2</v>
      </c>
      <c r="K556" s="26">
        <f t="shared" si="85"/>
        <v>-1.0031271876142001E-2</v>
      </c>
      <c r="L556" s="26">
        <f t="shared" si="86"/>
        <v>5.0099518761659856E-3</v>
      </c>
      <c r="M556" s="26">
        <f t="shared" si="87"/>
        <v>3.021795851628295E-2</v>
      </c>
      <c r="N556" s="26">
        <f t="shared" si="88"/>
        <v>-4.9632433791696462E-2</v>
      </c>
      <c r="O556" s="26">
        <f t="shared" si="89"/>
        <v>-0.12460144828934427</v>
      </c>
    </row>
    <row r="557" spans="1:15" x14ac:dyDescent="0.25">
      <c r="A557" s="2">
        <v>44712</v>
      </c>
      <c r="B557">
        <v>173102</v>
      </c>
      <c r="C557">
        <v>194581</v>
      </c>
      <c r="D557">
        <v>643298</v>
      </c>
      <c r="F557">
        <f t="shared" si="80"/>
        <v>0.36368932749477983</v>
      </c>
      <c r="G557">
        <f t="shared" si="81"/>
        <v>-0.48404405077490337</v>
      </c>
      <c r="H557">
        <f t="shared" si="82"/>
        <v>1.1240829106538341</v>
      </c>
      <c r="I557">
        <f t="shared" si="83"/>
        <v>-0.59086562446295321</v>
      </c>
      <c r="J557" s="26">
        <f t="shared" si="84"/>
        <v>-3.1994823046558374E-2</v>
      </c>
      <c r="K557" s="26">
        <f t="shared" si="85"/>
        <v>-9.8988697212418209E-3</v>
      </c>
      <c r="L557" s="26">
        <f t="shared" si="86"/>
        <v>4.114098494689078E-3</v>
      </c>
      <c r="M557" s="26">
        <f t="shared" si="87"/>
        <v>2.508660040716415E-2</v>
      </c>
      <c r="N557" s="26">
        <f t="shared" si="88"/>
        <v>-5.6192433202069125E-2</v>
      </c>
      <c r="O557" s="26">
        <f t="shared" si="89"/>
        <v>-0.12963621401184344</v>
      </c>
    </row>
    <row r="558" spans="1:15" x14ac:dyDescent="0.25">
      <c r="A558" s="2">
        <v>44711</v>
      </c>
      <c r="B558">
        <v>174333</v>
      </c>
      <c r="C558">
        <v>195706</v>
      </c>
      <c r="D558">
        <v>642872</v>
      </c>
      <c r="F558">
        <f t="shared" si="80"/>
        <v>0.36532232348152999</v>
      </c>
      <c r="G558">
        <f t="shared" si="81"/>
        <v>-0.43794611408114875</v>
      </c>
      <c r="H558">
        <f t="shared" si="82"/>
        <v>1.1225987047776382</v>
      </c>
      <c r="I558">
        <f t="shared" si="83"/>
        <v>-0.60958733098119222</v>
      </c>
      <c r="J558" s="26">
        <f t="shared" si="84"/>
        <v>-3.1478119001483507E-2</v>
      </c>
      <c r="K558" s="26">
        <f t="shared" si="85"/>
        <v>-9.5809587906230398E-3</v>
      </c>
      <c r="L558" s="26">
        <f t="shared" si="86"/>
        <v>3.2672167759501547E-3</v>
      </c>
      <c r="M558" s="26">
        <f t="shared" si="87"/>
        <v>2.0627098742721284E-2</v>
      </c>
      <c r="N558" s="26">
        <f t="shared" si="88"/>
        <v>-6.2132149509963375E-2</v>
      </c>
      <c r="O558" s="26">
        <f t="shared" si="89"/>
        <v>-0.13425533506417153</v>
      </c>
    </row>
    <row r="559" spans="1:15" x14ac:dyDescent="0.25">
      <c r="A559" s="2">
        <v>44708</v>
      </c>
      <c r="B559">
        <v>174733</v>
      </c>
      <c r="C559">
        <v>195281</v>
      </c>
      <c r="D559">
        <v>641352</v>
      </c>
      <c r="F559">
        <f t="shared" si="80"/>
        <v>0.36585568429233334</v>
      </c>
      <c r="G559">
        <f t="shared" si="81"/>
        <v>-0.43645612751279211</v>
      </c>
      <c r="H559">
        <f t="shared" si="82"/>
        <v>1.1175965616111438</v>
      </c>
      <c r="I559">
        <f t="shared" si="83"/>
        <v>-0.66101408232707726</v>
      </c>
      <c r="J559" s="26">
        <f t="shared" si="84"/>
        <v>-3.0922190093068624E-2</v>
      </c>
      <c r="K559" s="26">
        <f t="shared" si="85"/>
        <v>-9.2696596874071724E-3</v>
      </c>
      <c r="L559" s="26">
        <f t="shared" si="86"/>
        <v>2.3819312514177238E-3</v>
      </c>
      <c r="M559" s="26">
        <f t="shared" si="87"/>
        <v>1.6806849742304175E-2</v>
      </c>
      <c r="N559" s="26">
        <f t="shared" si="88"/>
        <v>-6.8255204227435806E-2</v>
      </c>
      <c r="O559" s="26">
        <f t="shared" si="89"/>
        <v>-0.13905363407875138</v>
      </c>
    </row>
    <row r="560" spans="1:15" x14ac:dyDescent="0.25">
      <c r="A560" s="2">
        <v>44707</v>
      </c>
      <c r="B560">
        <v>174233</v>
      </c>
      <c r="C560">
        <v>195256</v>
      </c>
      <c r="D560">
        <v>640351</v>
      </c>
      <c r="F560">
        <f t="shared" si="80"/>
        <v>0.36588865562861445</v>
      </c>
      <c r="G560">
        <f t="shared" si="81"/>
        <v>-0.4409482081107447</v>
      </c>
      <c r="H560">
        <f t="shared" si="82"/>
        <v>1.1206602652769566</v>
      </c>
      <c r="I560">
        <f t="shared" si="83"/>
        <v>-0.64089861056109654</v>
      </c>
      <c r="J560" s="26">
        <f t="shared" si="84"/>
        <v>-2.8612089262429585E-2</v>
      </c>
      <c r="K560" s="26">
        <f t="shared" si="85"/>
        <v>-9.0899789917039397E-3</v>
      </c>
      <c r="L560" s="26">
        <f t="shared" si="86"/>
        <v>1.4793653777002147E-3</v>
      </c>
      <c r="M560" s="26">
        <f t="shared" si="87"/>
        <v>1.2520757663969651E-2</v>
      </c>
      <c r="N560" s="26">
        <f t="shared" si="88"/>
        <v>-7.575639369009779E-2</v>
      </c>
      <c r="O560" s="26">
        <f t="shared" si="89"/>
        <v>-0.14382211032139014</v>
      </c>
    </row>
    <row r="561" spans="1:15" x14ac:dyDescent="0.25">
      <c r="A561" s="2">
        <v>44706</v>
      </c>
      <c r="B561">
        <v>174433</v>
      </c>
      <c r="C561">
        <v>190506</v>
      </c>
      <c r="D561">
        <v>652632</v>
      </c>
      <c r="F561">
        <f t="shared" si="80"/>
        <v>0.35863738255119298</v>
      </c>
      <c r="G561">
        <f t="shared" si="81"/>
        <v>-0.53264171521252146</v>
      </c>
      <c r="H561">
        <f t="shared" si="82"/>
        <v>1.0921442616936015</v>
      </c>
      <c r="I561">
        <f t="shared" si="83"/>
        <v>-0.9005663719685999</v>
      </c>
      <c r="J561" s="26">
        <f t="shared" si="84"/>
        <v>-2.5414102830017771E-2</v>
      </c>
      <c r="K561" s="26">
        <f t="shared" si="85"/>
        <v>-8.9633937527651697E-3</v>
      </c>
      <c r="L561" s="26">
        <f t="shared" si="86"/>
        <v>3.8275124410652728E-4</v>
      </c>
      <c r="M561" s="26">
        <f t="shared" si="87"/>
        <v>7.1807278798863283E-3</v>
      </c>
      <c r="N561" s="26">
        <f t="shared" si="88"/>
        <v>-8.3800220093882993E-2</v>
      </c>
      <c r="O561" s="26">
        <f t="shared" si="89"/>
        <v>-0.14909820584652023</v>
      </c>
    </row>
    <row r="562" spans="1:15" x14ac:dyDescent="0.25">
      <c r="A562" s="2">
        <v>44705</v>
      </c>
      <c r="B562">
        <v>174583</v>
      </c>
      <c r="C562">
        <v>191306</v>
      </c>
      <c r="D562">
        <v>651053</v>
      </c>
      <c r="F562">
        <f t="shared" si="80"/>
        <v>0.35979338054677651</v>
      </c>
      <c r="G562">
        <f t="shared" si="81"/>
        <v>-0.52401465557295412</v>
      </c>
      <c r="H562">
        <f t="shared" si="82"/>
        <v>1.0957882497150353</v>
      </c>
      <c r="I562">
        <f t="shared" si="83"/>
        <v>-0.87937935145353352</v>
      </c>
      <c r="J562" s="26">
        <f t="shared" si="84"/>
        <v>-2.2495062361811979E-2</v>
      </c>
      <c r="K562" s="26">
        <f t="shared" si="85"/>
        <v>-8.1589041397549522E-3</v>
      </c>
      <c r="L562" s="26">
        <f t="shared" si="86"/>
        <v>3.8561069201581422E-5</v>
      </c>
      <c r="M562" s="26">
        <f t="shared" si="87"/>
        <v>3.4787579001225311E-3</v>
      </c>
      <c r="N562" s="26">
        <f t="shared" si="88"/>
        <v>-9.0545943653056904E-2</v>
      </c>
      <c r="O562" s="26">
        <f t="shared" si="89"/>
        <v>-0.15291816315065576</v>
      </c>
    </row>
    <row r="563" spans="1:15" x14ac:dyDescent="0.25">
      <c r="A563" s="2">
        <v>44704</v>
      </c>
      <c r="B563">
        <v>174333</v>
      </c>
      <c r="C563">
        <v>190494</v>
      </c>
      <c r="D563">
        <v>654018</v>
      </c>
      <c r="F563">
        <f t="shared" si="80"/>
        <v>0.35807900122197195</v>
      </c>
      <c r="G563">
        <f t="shared" si="81"/>
        <v>-0.5496713352719852</v>
      </c>
      <c r="H563">
        <f t="shared" si="82"/>
        <v>1.0927018980915832</v>
      </c>
      <c r="I563">
        <f t="shared" si="83"/>
        <v>-0.91822133650672444</v>
      </c>
      <c r="J563" s="26">
        <f t="shared" si="84"/>
        <v>-2.0191063794988584E-2</v>
      </c>
      <c r="K563" s="26">
        <f t="shared" si="85"/>
        <v>-7.7086779064480249E-3</v>
      </c>
      <c r="L563" s="26">
        <f t="shared" si="86"/>
        <v>-6.4174064301408817E-4</v>
      </c>
      <c r="M563" s="26">
        <f t="shared" si="87"/>
        <v>-1.0698362512806536E-3</v>
      </c>
      <c r="N563" s="26">
        <f t="shared" si="88"/>
        <v>-9.7505890306786691E-2</v>
      </c>
      <c r="O563" s="26">
        <f t="shared" si="89"/>
        <v>-0.15724258018220372</v>
      </c>
    </row>
    <row r="564" spans="1:15" x14ac:dyDescent="0.25">
      <c r="A564" s="2">
        <v>44701</v>
      </c>
      <c r="B564">
        <v>174488</v>
      </c>
      <c r="C564">
        <v>189849</v>
      </c>
      <c r="D564">
        <v>652091</v>
      </c>
      <c r="F564">
        <f t="shared" si="80"/>
        <v>0.35844840952826956</v>
      </c>
      <c r="G564">
        <f t="shared" si="81"/>
        <v>-0.55052877894639674</v>
      </c>
      <c r="H564">
        <f t="shared" si="82"/>
        <v>1.0880347072578056</v>
      </c>
      <c r="I564">
        <f t="shared" si="83"/>
        <v>-0.97110722468153365</v>
      </c>
      <c r="J564" s="26">
        <f t="shared" si="84"/>
        <v>-2.0740523993824922E-2</v>
      </c>
      <c r="K564" s="26">
        <f t="shared" si="85"/>
        <v>-7.1989569258782415E-3</v>
      </c>
      <c r="L564" s="26">
        <f t="shared" si="86"/>
        <v>-1.2418660949558569E-3</v>
      </c>
      <c r="M564" s="26">
        <f t="shared" si="87"/>
        <v>-1.0337136725995233E-2</v>
      </c>
      <c r="N564" s="26">
        <f t="shared" si="88"/>
        <v>-0.10552547643649079</v>
      </c>
      <c r="O564" s="26">
        <f t="shared" si="89"/>
        <v>-0.16187949445637972</v>
      </c>
    </row>
    <row r="565" spans="1:15" x14ac:dyDescent="0.25">
      <c r="A565" s="2">
        <v>44700</v>
      </c>
      <c r="B565">
        <v>174038</v>
      </c>
      <c r="C565">
        <v>188018</v>
      </c>
      <c r="D565">
        <v>650144</v>
      </c>
      <c r="F565">
        <f t="shared" si="80"/>
        <v>0.35769215570045443</v>
      </c>
      <c r="G565">
        <f t="shared" si="81"/>
        <v>-0.56474052530553065</v>
      </c>
      <c r="H565">
        <f t="shared" si="82"/>
        <v>1.0803272848458383</v>
      </c>
      <c r="I565">
        <f t="shared" si="83"/>
        <v>-1.0536695515035039</v>
      </c>
      <c r="J565" s="26">
        <f t="shared" si="84"/>
        <v>-2.1307408851068577E-2</v>
      </c>
      <c r="K565" s="26">
        <f t="shared" si="85"/>
        <v>-6.6167785478122854E-3</v>
      </c>
      <c r="L565" s="26">
        <f t="shared" si="86"/>
        <v>-1.8468585270983717E-3</v>
      </c>
      <c r="M565" s="26">
        <f t="shared" si="87"/>
        <v>-1.9870974478030989E-2</v>
      </c>
      <c r="N565" s="26">
        <f t="shared" si="88"/>
        <v>-0.11335538634877196</v>
      </c>
      <c r="O565" s="26">
        <f t="shared" si="89"/>
        <v>-0.16638432570092232</v>
      </c>
    </row>
    <row r="566" spans="1:15" x14ac:dyDescent="0.25">
      <c r="A566" s="2">
        <v>44699</v>
      </c>
      <c r="B566">
        <v>174013</v>
      </c>
      <c r="C566">
        <v>188613</v>
      </c>
      <c r="D566">
        <v>646562</v>
      </c>
      <c r="F566">
        <f t="shared" si="80"/>
        <v>0.35932452625278938</v>
      </c>
      <c r="G566">
        <f t="shared" si="81"/>
        <v>-0.55058993749638152</v>
      </c>
      <c r="H566">
        <f t="shared" si="82"/>
        <v>1.0839017774534085</v>
      </c>
      <c r="I566">
        <f t="shared" si="83"/>
        <v>-1.0374957924109052</v>
      </c>
      <c r="J566" s="26">
        <f t="shared" si="84"/>
        <v>-2.1806642138634313E-2</v>
      </c>
      <c r="K566" s="26">
        <f t="shared" si="85"/>
        <v>-5.9544994840894927E-3</v>
      </c>
      <c r="L566" s="26">
        <f t="shared" si="86"/>
        <v>-2.3827911481310027E-3</v>
      </c>
      <c r="M566" s="26">
        <f t="shared" si="87"/>
        <v>-2.8115915064151231E-2</v>
      </c>
      <c r="N566" s="26">
        <f t="shared" si="88"/>
        <v>-0.12033649479090291</v>
      </c>
      <c r="O566" s="26">
        <f t="shared" si="89"/>
        <v>-0.16996439069096025</v>
      </c>
    </row>
    <row r="567" spans="1:15" x14ac:dyDescent="0.25">
      <c r="A567" s="2">
        <v>44698</v>
      </c>
      <c r="B567">
        <v>173983</v>
      </c>
      <c r="C567">
        <v>189713</v>
      </c>
      <c r="D567">
        <v>642715</v>
      </c>
      <c r="F567">
        <f t="shared" si="80"/>
        <v>0.36137919796186646</v>
      </c>
      <c r="G567">
        <f t="shared" si="81"/>
        <v>-0.53136310252354457</v>
      </c>
      <c r="H567">
        <f t="shared" si="82"/>
        <v>1.0904111321221039</v>
      </c>
      <c r="I567">
        <f t="shared" si="83"/>
        <v>-0.99449940121741753</v>
      </c>
      <c r="J567" s="26">
        <f t="shared" si="84"/>
        <v>-2.2399175169546648E-2</v>
      </c>
      <c r="K567" s="26">
        <f t="shared" si="85"/>
        <v>-5.4357830562359877E-3</v>
      </c>
      <c r="L567" s="26">
        <f t="shared" si="86"/>
        <v>-3.053542449716784E-3</v>
      </c>
      <c r="M567" s="26">
        <f t="shared" si="87"/>
        <v>-3.6259380501982186E-2</v>
      </c>
      <c r="N567" s="26">
        <f t="shared" si="88"/>
        <v>-0.12711576352956833</v>
      </c>
      <c r="O567" s="26">
        <f t="shared" si="89"/>
        <v>-0.17386348639871319</v>
      </c>
    </row>
    <row r="568" spans="1:15" x14ac:dyDescent="0.25">
      <c r="A568" s="2">
        <v>44697</v>
      </c>
      <c r="B568">
        <v>174318</v>
      </c>
      <c r="C568">
        <v>185533</v>
      </c>
      <c r="D568">
        <v>642097</v>
      </c>
      <c r="F568">
        <f t="shared" si="80"/>
        <v>0.35915137312515222</v>
      </c>
      <c r="G568">
        <f t="shared" si="81"/>
        <v>-0.56290693749379739</v>
      </c>
      <c r="H568">
        <f t="shared" si="82"/>
        <v>1.0643364425934212</v>
      </c>
      <c r="I568">
        <f t="shared" si="83"/>
        <v>-1.2441897639054476</v>
      </c>
      <c r="J568" s="26">
        <f t="shared" si="84"/>
        <v>3.9319511490740588E-2</v>
      </c>
      <c r="K568" s="26">
        <f t="shared" si="85"/>
        <v>3.8366868471000015E-2</v>
      </c>
      <c r="L568" s="26">
        <f t="shared" si="86"/>
        <v>3.38279187163113E-2</v>
      </c>
      <c r="M568" s="26">
        <f t="shared" si="87"/>
        <v>-4.4031456738160335E-2</v>
      </c>
      <c r="N568" s="26">
        <f t="shared" si="88"/>
        <v>-0.13435518521509349</v>
      </c>
      <c r="O568" s="26">
        <f t="shared" si="89"/>
        <v>-0.1780223599759716</v>
      </c>
    </row>
    <row r="569" spans="1:15" x14ac:dyDescent="0.25">
      <c r="A569" s="2">
        <v>44694</v>
      </c>
      <c r="B569">
        <v>174643</v>
      </c>
      <c r="C569">
        <v>185708</v>
      </c>
      <c r="D569">
        <v>642793</v>
      </c>
      <c r="F569">
        <f t="shared" si="80"/>
        <v>0.35922160726675334</v>
      </c>
      <c r="G569">
        <f t="shared" si="81"/>
        <v>-0.56727180006843936</v>
      </c>
      <c r="H569">
        <f t="shared" si="82"/>
        <v>1.0633578213841952</v>
      </c>
      <c r="I569">
        <f t="shared" si="83"/>
        <v>-1.273625715917345</v>
      </c>
      <c r="J569" s="26">
        <f t="shared" si="84"/>
        <v>3.8845363957586643E-2</v>
      </c>
      <c r="K569" s="26">
        <f t="shared" si="85"/>
        <v>3.9048894429817127E-2</v>
      </c>
      <c r="L569" s="26">
        <f t="shared" si="86"/>
        <v>3.3200412456228956E-2</v>
      </c>
      <c r="M569" s="26">
        <f t="shared" si="87"/>
        <v>-5.1086900980328753E-2</v>
      </c>
      <c r="N569" s="26">
        <f t="shared" si="88"/>
        <v>-0.14084542113576703</v>
      </c>
      <c r="O569" s="26">
        <f t="shared" si="89"/>
        <v>-0.18089697453703457</v>
      </c>
    </row>
    <row r="570" spans="1:15" x14ac:dyDescent="0.25">
      <c r="A570" s="2">
        <v>44693</v>
      </c>
      <c r="B570">
        <v>174018</v>
      </c>
      <c r="C570">
        <v>185558</v>
      </c>
      <c r="D570">
        <v>641409</v>
      </c>
      <c r="F570">
        <f t="shared" si="80"/>
        <v>0.35922216616632618</v>
      </c>
      <c r="G570">
        <f t="shared" si="81"/>
        <v>-0.57243157268469358</v>
      </c>
      <c r="H570">
        <f t="shared" si="82"/>
        <v>1.0663149789102278</v>
      </c>
      <c r="I570">
        <f t="shared" si="83"/>
        <v>-1.2681239825289969</v>
      </c>
      <c r="J570" s="26">
        <f t="shared" si="84"/>
        <v>3.8392882676031748E-2</v>
      </c>
      <c r="K570" s="26">
        <f t="shared" si="85"/>
        <v>3.9740220755778988E-2</v>
      </c>
      <c r="L570" s="26">
        <f t="shared" si="86"/>
        <v>3.2550781285418051E-2</v>
      </c>
      <c r="M570" s="26">
        <f t="shared" si="87"/>
        <v>-5.8436475057844106E-2</v>
      </c>
      <c r="N570" s="26">
        <f t="shared" si="88"/>
        <v>-0.14692505051830662</v>
      </c>
      <c r="O570" s="26">
        <f t="shared" si="89"/>
        <v>-0.18335595577862529</v>
      </c>
    </row>
    <row r="571" spans="1:15" x14ac:dyDescent="0.25">
      <c r="A571" s="2">
        <v>44692</v>
      </c>
      <c r="B571">
        <v>173253</v>
      </c>
      <c r="C571">
        <v>185008</v>
      </c>
      <c r="D571">
        <v>640863</v>
      </c>
      <c r="F571">
        <f t="shared" si="80"/>
        <v>0.358575111797935</v>
      </c>
      <c r="G571">
        <f t="shared" si="81"/>
        <v>-0.58517927479928167</v>
      </c>
      <c r="H571">
        <f t="shared" si="82"/>
        <v>1.0678487529797465</v>
      </c>
      <c r="I571">
        <f t="shared" si="83"/>
        <v>-1.2753568576643752</v>
      </c>
      <c r="J571" s="26">
        <f t="shared" si="84"/>
        <v>3.7861785673251769E-2</v>
      </c>
      <c r="K571" s="26">
        <f t="shared" si="85"/>
        <v>4.0396243558931288E-2</v>
      </c>
      <c r="L571" s="26">
        <f t="shared" si="86"/>
        <v>3.1888942594274217E-2</v>
      </c>
      <c r="M571" s="26">
        <f t="shared" si="87"/>
        <v>-6.4488048553401622E-2</v>
      </c>
      <c r="N571" s="26">
        <f t="shared" si="88"/>
        <v>-0.15255095693470677</v>
      </c>
      <c r="O571" s="26">
        <f t="shared" si="89"/>
        <v>-0.18555161179840063</v>
      </c>
    </row>
    <row r="572" spans="1:15" x14ac:dyDescent="0.25">
      <c r="A572" s="2">
        <v>44691</v>
      </c>
      <c r="B572">
        <v>173353</v>
      </c>
      <c r="C572">
        <v>184608</v>
      </c>
      <c r="D572">
        <v>639227</v>
      </c>
      <c r="F572">
        <f t="shared" si="80"/>
        <v>0.35897042483463498</v>
      </c>
      <c r="G572">
        <f t="shared" si="81"/>
        <v>-0.58554125670925128</v>
      </c>
      <c r="H572">
        <f t="shared" si="82"/>
        <v>1.0649253257803442</v>
      </c>
      <c r="I572">
        <f t="shared" si="83"/>
        <v>-1.323550475918267</v>
      </c>
      <c r="J572" s="26">
        <f t="shared" si="84"/>
        <v>3.7488091202674545E-2</v>
      </c>
      <c r="K572" s="26">
        <f t="shared" si="85"/>
        <v>4.1162443605697874E-2</v>
      </c>
      <c r="L572" s="26">
        <f t="shared" si="86"/>
        <v>3.1272575668309599E-2</v>
      </c>
      <c r="M572" s="26">
        <f t="shared" si="87"/>
        <v>-7.0527409813096575E-2</v>
      </c>
      <c r="N572" s="26">
        <f t="shared" si="88"/>
        <v>-0.15747469669439673</v>
      </c>
      <c r="O572" s="26">
        <f t="shared" si="89"/>
        <v>-0.18755433469847782</v>
      </c>
    </row>
    <row r="573" spans="1:15" x14ac:dyDescent="0.25">
      <c r="A573" s="2">
        <v>44690</v>
      </c>
      <c r="B573">
        <v>173627</v>
      </c>
      <c r="C573">
        <v>184258</v>
      </c>
      <c r="D573">
        <v>637647</v>
      </c>
      <c r="F573">
        <f t="shared" si="80"/>
        <v>0.35949120671158735</v>
      </c>
      <c r="G573">
        <f t="shared" si="81"/>
        <v>-0.58439401941205837</v>
      </c>
      <c r="H573">
        <f t="shared" si="82"/>
        <v>1.061228956325917</v>
      </c>
      <c r="I573">
        <f t="shared" si="83"/>
        <v>-1.3800627311560216</v>
      </c>
      <c r="J573" s="26">
        <f t="shared" si="84"/>
        <v>3.7127572373980955E-2</v>
      </c>
      <c r="K573" s="26">
        <f t="shared" si="85"/>
        <v>4.1954114256067487E-2</v>
      </c>
      <c r="L573" s="26">
        <f t="shared" si="86"/>
        <v>3.0613382697976421E-2</v>
      </c>
      <c r="M573" s="26">
        <f t="shared" si="87"/>
        <v>-7.7467706372509326E-2</v>
      </c>
      <c r="N573" s="26">
        <f t="shared" si="88"/>
        <v>-0.16204345110086305</v>
      </c>
      <c r="O573" s="26">
        <f t="shared" si="89"/>
        <v>-0.18985676384876227</v>
      </c>
    </row>
    <row r="574" spans="1:15" x14ac:dyDescent="0.25">
      <c r="A574" s="2">
        <v>44687</v>
      </c>
      <c r="B574">
        <v>173302</v>
      </c>
      <c r="C574">
        <v>185358</v>
      </c>
      <c r="D574">
        <v>639355</v>
      </c>
      <c r="F574">
        <f t="shared" si="80"/>
        <v>0.35937335611188209</v>
      </c>
      <c r="G574">
        <f t="shared" si="81"/>
        <v>-0.59072155273589544</v>
      </c>
      <c r="H574">
        <f t="shared" si="82"/>
        <v>1.0695664216223701</v>
      </c>
      <c r="I574">
        <f t="shared" si="83"/>
        <v>-1.3272588573180473</v>
      </c>
      <c r="J574" s="26">
        <f t="shared" si="84"/>
        <v>3.6970879122595057E-2</v>
      </c>
      <c r="K574" s="26">
        <f t="shared" si="85"/>
        <v>4.294094302504381E-2</v>
      </c>
      <c r="L574" s="26">
        <f t="shared" si="86"/>
        <v>3.0047646891260105E-2</v>
      </c>
      <c r="M574" s="26">
        <f t="shared" si="87"/>
        <v>-8.4412235602788099E-2</v>
      </c>
      <c r="N574" s="26">
        <f t="shared" si="88"/>
        <v>-0.16636349771775905</v>
      </c>
      <c r="O574" s="26">
        <f t="shared" si="89"/>
        <v>-0.1919256876089972</v>
      </c>
    </row>
    <row r="575" spans="1:15" x14ac:dyDescent="0.25">
      <c r="A575" s="2">
        <v>44686</v>
      </c>
      <c r="B575">
        <v>173498</v>
      </c>
      <c r="C575">
        <v>184417</v>
      </c>
      <c r="D575">
        <v>642841</v>
      </c>
      <c r="F575">
        <f t="shared" si="80"/>
        <v>0.35764462066677594</v>
      </c>
      <c r="G575">
        <f t="shared" si="81"/>
        <v>-0.61616096220616001</v>
      </c>
      <c r="H575">
        <f t="shared" si="82"/>
        <v>1.062934443048335</v>
      </c>
      <c r="I575">
        <f t="shared" si="83"/>
        <v>-1.4116775857206154</v>
      </c>
      <c r="J575" s="26">
        <f t="shared" si="84"/>
        <v>3.6424597171666073E-2</v>
      </c>
      <c r="K575" s="26">
        <f t="shared" si="85"/>
        <v>4.3870068451038136E-2</v>
      </c>
      <c r="L575" s="26">
        <f t="shared" si="86"/>
        <v>2.933823266330704E-2</v>
      </c>
      <c r="M575" s="26">
        <f t="shared" si="87"/>
        <v>-9.520931222777862E-2</v>
      </c>
      <c r="N575" s="26">
        <f t="shared" si="88"/>
        <v>-0.17200133599427203</v>
      </c>
      <c r="O575" s="26">
        <f t="shared" si="89"/>
        <v>-0.1948173314442565</v>
      </c>
    </row>
    <row r="576" spans="1:15" x14ac:dyDescent="0.25">
      <c r="A576" s="2">
        <v>44685</v>
      </c>
      <c r="B576">
        <v>172740</v>
      </c>
      <c r="C576">
        <v>183852</v>
      </c>
      <c r="D576">
        <v>638396</v>
      </c>
      <c r="F576">
        <f t="shared" si="80"/>
        <v>0.35838824186824364</v>
      </c>
      <c r="G576">
        <f t="shared" si="81"/>
        <v>-0.61211387394325412</v>
      </c>
      <c r="H576">
        <f t="shared" si="82"/>
        <v>1.064327891629038</v>
      </c>
      <c r="I576">
        <f t="shared" si="83"/>
        <v>-1.4238655172943508</v>
      </c>
      <c r="J576" s="26">
        <f t="shared" si="84"/>
        <v>3.5663988043473593E-2</v>
      </c>
      <c r="K576" s="26">
        <f t="shared" si="85"/>
        <v>4.4576156609710538E-2</v>
      </c>
      <c r="L576" s="26">
        <f t="shared" si="86"/>
        <v>2.8452059677681885E-2</v>
      </c>
      <c r="M576" s="26">
        <f t="shared" si="87"/>
        <v>-0.10241130918048258</v>
      </c>
      <c r="N576" s="26">
        <f t="shared" si="88"/>
        <v>-0.17511142177122752</v>
      </c>
      <c r="O576" s="26">
        <f t="shared" si="89"/>
        <v>-0.19545352013375483</v>
      </c>
    </row>
    <row r="577" spans="1:15" x14ac:dyDescent="0.25">
      <c r="A577" s="2">
        <v>44684</v>
      </c>
      <c r="B577">
        <v>172940</v>
      </c>
      <c r="C577">
        <v>182065</v>
      </c>
      <c r="D577">
        <v>628143</v>
      </c>
      <c r="F577">
        <f t="shared" si="80"/>
        <v>0.36109009020005128</v>
      </c>
      <c r="G577">
        <f t="shared" si="81"/>
        <v>-0.58476243751660673</v>
      </c>
      <c r="H577">
        <f t="shared" si="82"/>
        <v>1.0527639643807101</v>
      </c>
      <c r="I577">
        <f t="shared" si="83"/>
        <v>-1.5581624547042352</v>
      </c>
      <c r="J577" s="26">
        <f t="shared" si="84"/>
        <v>3.4812204267301528E-2</v>
      </c>
      <c r="K577" s="26">
        <f t="shared" si="85"/>
        <v>4.5192602855955E-2</v>
      </c>
      <c r="L577" s="26">
        <f t="shared" si="86"/>
        <v>2.7475232232968938E-2</v>
      </c>
      <c r="M577" s="26">
        <f t="shared" si="87"/>
        <v>-0.10991200252615951</v>
      </c>
      <c r="N577" s="26">
        <f t="shared" si="88"/>
        <v>-0.17838224031858041</v>
      </c>
      <c r="O577" s="26">
        <f t="shared" si="89"/>
        <v>-0.1961606737888768</v>
      </c>
    </row>
    <row r="578" spans="1:15" x14ac:dyDescent="0.25">
      <c r="A578" s="2">
        <v>44683</v>
      </c>
      <c r="B578">
        <v>172315</v>
      </c>
      <c r="C578">
        <v>181990</v>
      </c>
      <c r="D578">
        <v>624665</v>
      </c>
      <c r="F578">
        <f t="shared" si="80"/>
        <v>0.36191609548811504</v>
      </c>
      <c r="G578">
        <f t="shared" si="81"/>
        <v>-0.579304575987172</v>
      </c>
      <c r="H578">
        <f t="shared" si="82"/>
        <v>1.0561471723297449</v>
      </c>
      <c r="I578">
        <f t="shared" si="83"/>
        <v>-1.5560974833823773</v>
      </c>
      <c r="J578" s="26">
        <f t="shared" si="84"/>
        <v>3.3820475812822659E-2</v>
      </c>
      <c r="K578" s="26">
        <f t="shared" si="85"/>
        <v>4.571041334485515E-2</v>
      </c>
      <c r="L578" s="26">
        <f t="shared" si="86"/>
        <v>2.6371637748604237E-2</v>
      </c>
      <c r="M578" s="26">
        <f t="shared" si="87"/>
        <v>-0.11478780637417274</v>
      </c>
      <c r="N578" s="26">
        <f t="shared" si="88"/>
        <v>-0.18094234967576339</v>
      </c>
      <c r="O578" s="26">
        <f t="shared" si="89"/>
        <v>-0.19619926309362579</v>
      </c>
    </row>
    <row r="579" spans="1:15" x14ac:dyDescent="0.25">
      <c r="A579" s="2">
        <v>44680</v>
      </c>
      <c r="B579">
        <v>172315</v>
      </c>
      <c r="C579">
        <v>181990</v>
      </c>
      <c r="D579">
        <v>622082</v>
      </c>
      <c r="F579">
        <f t="shared" si="80"/>
        <v>0.36287353272831369</v>
      </c>
      <c r="G579">
        <f t="shared" si="81"/>
        <v>-0.57223573069098621</v>
      </c>
      <c r="H579">
        <f t="shared" si="82"/>
        <v>1.0561471723297449</v>
      </c>
      <c r="I579">
        <f t="shared" si="83"/>
        <v>-1.5858553555585531</v>
      </c>
      <c r="J579" s="26">
        <f t="shared" si="84"/>
        <v>3.2776460641284921E-2</v>
      </c>
      <c r="K579" s="26">
        <f t="shared" si="85"/>
        <v>4.5844549112084299E-2</v>
      </c>
      <c r="L579" s="26">
        <f t="shared" si="86"/>
        <v>2.495716285355265E-2</v>
      </c>
      <c r="M579" s="26">
        <f t="shared" si="87"/>
        <v>-0.11917243172350744</v>
      </c>
      <c r="N579" s="26">
        <f t="shared" si="88"/>
        <v>-0.18381346432204326</v>
      </c>
      <c r="O579" s="26">
        <f t="shared" si="89"/>
        <v>-0.19676342584027728</v>
      </c>
    </row>
    <row r="580" spans="1:15" x14ac:dyDescent="0.25">
      <c r="A580" s="2">
        <v>44679</v>
      </c>
      <c r="B580">
        <v>172165</v>
      </c>
      <c r="C580">
        <v>181565</v>
      </c>
      <c r="D580">
        <v>620559</v>
      </c>
      <c r="F580">
        <f t="shared" ref="F580:F643" si="90">IFERROR((C580+B580)/(B580+C580+D580),"")</f>
        <v>0.36306475799275162</v>
      </c>
      <c r="G580">
        <f t="shared" ref="G580:G643" si="91">(F580-AVERAGE(F580:F837))/_xlfn.STDEV.S(F580:F837)</f>
        <v>-0.57413149660003016</v>
      </c>
      <c r="H580">
        <f t="shared" ref="H580:H643" si="92">IFERROR(C580/B580,"")</f>
        <v>1.0545987860482677</v>
      </c>
      <c r="I580">
        <f t="shared" ref="I580:I643" si="93">IFERROR((H580-AVERAGE(H580:H707))/_xlfn.STDEV.S(H580:H707),"")</f>
        <v>-1.6316739394807525</v>
      </c>
      <c r="J580" s="26">
        <f t="shared" ref="J580:J643" si="94">AVERAGEA(F580:F600)-AVERAGE(F601:F621)</f>
        <v>3.1673750288549851E-2</v>
      </c>
      <c r="K580" s="26">
        <f t="shared" ref="K580:K643" si="95">AVERAGEA(F580:F600)-AVERAGE(F601:F656)</f>
        <v>4.5977079616885075E-2</v>
      </c>
      <c r="L580" s="26">
        <f t="shared" ref="L580:L643" si="96">AVERAGEA(F580:F600)-AVERAGE(F601:F713)</f>
        <v>2.3463300725854452E-2</v>
      </c>
      <c r="M580" s="26">
        <f t="shared" ref="M580:M643" si="97">AVERAGEA(H580:H600)-AVERAGE(H601:H621)</f>
        <v>-0.1241043586300723</v>
      </c>
      <c r="N580" s="26">
        <f t="shared" ref="N580:N643" si="98">AVERAGEA(H580:H600)-AVERAGE(H601:H656)</f>
        <v>-0.18731635964960525</v>
      </c>
      <c r="O580" s="26">
        <f t="shared" ref="O580:O643" si="99">AVERAGEA(H580:H600)-AVERAGE(H601:H713)</f>
        <v>-0.19819199048323255</v>
      </c>
    </row>
    <row r="581" spans="1:15" x14ac:dyDescent="0.25">
      <c r="A581" s="2">
        <v>44678</v>
      </c>
      <c r="B581">
        <v>172073</v>
      </c>
      <c r="C581">
        <v>180390</v>
      </c>
      <c r="D581">
        <v>618144</v>
      </c>
      <c r="G581">
        <f t="shared" si="91"/>
        <v>-4.872113405109185</v>
      </c>
      <c r="H581">
        <f t="shared" si="92"/>
        <v>1.0483341372556996</v>
      </c>
      <c r="I581">
        <f t="shared" si="93"/>
        <v>-1.7253117777769316</v>
      </c>
      <c r="J581" s="26">
        <f t="shared" si="94"/>
        <v>2.7003294238330144E-2</v>
      </c>
      <c r="K581" s="26">
        <f t="shared" si="95"/>
        <v>4.3725655612422143E-2</v>
      </c>
      <c r="L581" s="26">
        <f t="shared" si="96"/>
        <v>1.9882581610828121E-2</v>
      </c>
      <c r="M581" s="26">
        <f t="shared" si="97"/>
        <v>-0.12850170544490092</v>
      </c>
      <c r="N581" s="26">
        <f t="shared" si="98"/>
        <v>-0.18985712823097711</v>
      </c>
      <c r="O581" s="26">
        <f t="shared" si="99"/>
        <v>-0.19911166592615959</v>
      </c>
    </row>
    <row r="582" spans="1:15" x14ac:dyDescent="0.25">
      <c r="A582" s="2">
        <v>44677</v>
      </c>
      <c r="B582">
        <v>173798</v>
      </c>
      <c r="C582">
        <v>182465</v>
      </c>
      <c r="D582">
        <v>616645</v>
      </c>
      <c r="F582">
        <f t="shared" si="90"/>
        <v>0.36618364737467468</v>
      </c>
      <c r="G582">
        <f t="shared" si="91"/>
        <v>-0.54412431957508001</v>
      </c>
      <c r="H582">
        <f t="shared" si="92"/>
        <v>1.0498682378393307</v>
      </c>
      <c r="I582">
        <f t="shared" si="93"/>
        <v>-1.7469539103199339</v>
      </c>
      <c r="J582" s="26">
        <f t="shared" si="94"/>
        <v>2.1329175807839051E-2</v>
      </c>
      <c r="K582" s="26">
        <f t="shared" si="95"/>
        <v>4.0470559649213422E-2</v>
      </c>
      <c r="L582" s="26">
        <f t="shared" si="96"/>
        <v>1.5253476123020304E-2</v>
      </c>
      <c r="M582" s="26">
        <f t="shared" si="97"/>
        <v>-0.13135938494740174</v>
      </c>
      <c r="N582" s="26">
        <f t="shared" si="98"/>
        <v>-0.1917348741234508</v>
      </c>
      <c r="O582" s="26">
        <f t="shared" si="99"/>
        <v>-0.19956756151903776</v>
      </c>
    </row>
    <row r="583" spans="1:15" x14ac:dyDescent="0.25">
      <c r="A583" s="2">
        <v>44676</v>
      </c>
      <c r="B583">
        <v>174143</v>
      </c>
      <c r="C583">
        <v>182400</v>
      </c>
      <c r="D583">
        <v>630899</v>
      </c>
      <c r="F583">
        <f t="shared" si="90"/>
        <v>0.36107741011623973</v>
      </c>
      <c r="G583">
        <f t="shared" si="91"/>
        <v>-0.60852433055381105</v>
      </c>
      <c r="H583">
        <f t="shared" si="92"/>
        <v>1.0474150554429407</v>
      </c>
      <c r="I583">
        <f t="shared" si="93"/>
        <v>-1.8089425378384973</v>
      </c>
      <c r="J583" s="26">
        <f t="shared" si="94"/>
        <v>1.6526913247564112E-2</v>
      </c>
      <c r="K583" s="26">
        <f t="shared" si="95"/>
        <v>3.8152242662171931E-2</v>
      </c>
      <c r="L583" s="26">
        <f t="shared" si="96"/>
        <v>1.1559526342529103E-2</v>
      </c>
      <c r="M583" s="26">
        <f t="shared" si="97"/>
        <v>-0.13509107410990473</v>
      </c>
      <c r="N583" s="26">
        <f t="shared" si="98"/>
        <v>-0.19398060277950391</v>
      </c>
      <c r="O583" s="26">
        <f t="shared" si="99"/>
        <v>-0.20020404634384392</v>
      </c>
    </row>
    <row r="584" spans="1:15" x14ac:dyDescent="0.25">
      <c r="A584" s="2">
        <v>44673</v>
      </c>
      <c r="B584">
        <v>174373</v>
      </c>
      <c r="C584">
        <v>181675</v>
      </c>
      <c r="D584">
        <v>630436</v>
      </c>
      <c r="F584">
        <f t="shared" si="90"/>
        <v>0.36092627959500612</v>
      </c>
      <c r="G584">
        <f t="shared" si="91"/>
        <v>-0.61448609474962557</v>
      </c>
      <c r="H584">
        <f t="shared" si="92"/>
        <v>1.0418757491125346</v>
      </c>
      <c r="I584">
        <f t="shared" si="93"/>
        <v>-1.9050082967236914</v>
      </c>
      <c r="J584" s="26">
        <f t="shared" si="94"/>
        <v>1.2100403883852473E-2</v>
      </c>
      <c r="K584" s="26">
        <f t="shared" si="95"/>
        <v>3.6332317549626791E-2</v>
      </c>
      <c r="L584" s="26">
        <f t="shared" si="96"/>
        <v>8.1793152058230456E-3</v>
      </c>
      <c r="M584" s="26">
        <f t="shared" si="97"/>
        <v>-0.13876664293282293</v>
      </c>
      <c r="N584" s="26">
        <f t="shared" si="98"/>
        <v>-0.19562482019885019</v>
      </c>
      <c r="O584" s="26">
        <f t="shared" si="99"/>
        <v>-0.20027495832637165</v>
      </c>
    </row>
    <row r="585" spans="1:15" x14ac:dyDescent="0.25">
      <c r="A585" s="2">
        <v>44672</v>
      </c>
      <c r="B585">
        <v>173887</v>
      </c>
      <c r="C585">
        <v>181073</v>
      </c>
      <c r="D585">
        <v>628474</v>
      </c>
      <c r="F585">
        <f t="shared" si="90"/>
        <v>0.36093932078817692</v>
      </c>
      <c r="G585">
        <f t="shared" si="91"/>
        <v>-0.6185526386591933</v>
      </c>
      <c r="H585">
        <f t="shared" si="92"/>
        <v>1.0413256885218563</v>
      </c>
      <c r="I585">
        <f t="shared" si="93"/>
        <v>-1.9558727316715048</v>
      </c>
      <c r="J585" s="26">
        <f t="shared" si="94"/>
        <v>1.350870752261546E-2</v>
      </c>
      <c r="K585" s="26">
        <f t="shared" si="95"/>
        <v>3.8548754037033617E-2</v>
      </c>
      <c r="L585" s="26">
        <f t="shared" si="96"/>
        <v>8.2684693353312633E-3</v>
      </c>
      <c r="M585" s="26">
        <f t="shared" si="97"/>
        <v>-0.13335272168329038</v>
      </c>
      <c r="N585" s="26">
        <f t="shared" si="98"/>
        <v>-0.19169426241636489</v>
      </c>
      <c r="O585" s="26">
        <f t="shared" si="99"/>
        <v>-0.19496772100034243</v>
      </c>
    </row>
    <row r="586" spans="1:15" x14ac:dyDescent="0.25">
      <c r="A586" s="2">
        <v>44671</v>
      </c>
      <c r="B586">
        <v>172946</v>
      </c>
      <c r="C586">
        <v>181833</v>
      </c>
      <c r="D586">
        <v>626839</v>
      </c>
      <c r="F586">
        <f t="shared" si="90"/>
        <v>0.36142267154840274</v>
      </c>
      <c r="G586">
        <f t="shared" si="91"/>
        <v>-0.61698402397647711</v>
      </c>
      <c r="H586">
        <f t="shared" si="92"/>
        <v>1.0513859817515294</v>
      </c>
      <c r="I586">
        <f t="shared" si="93"/>
        <v>-1.8996308720094321</v>
      </c>
      <c r="J586" s="26">
        <f t="shared" si="94"/>
        <v>1.4952953214929565E-2</v>
      </c>
      <c r="K586" s="26">
        <f t="shared" si="95"/>
        <v>4.0760786346433653E-2</v>
      </c>
      <c r="L586" s="26">
        <f t="shared" si="96"/>
        <v>8.3825694416012619E-3</v>
      </c>
      <c r="M586" s="26">
        <f t="shared" si="97"/>
        <v>-0.12703512360098879</v>
      </c>
      <c r="N586" s="26">
        <f t="shared" si="98"/>
        <v>-0.18716458861414598</v>
      </c>
      <c r="O586" s="26">
        <f t="shared" si="99"/>
        <v>-0.18924340969724196</v>
      </c>
    </row>
    <row r="587" spans="1:15" x14ac:dyDescent="0.25">
      <c r="A587" s="2">
        <v>44670</v>
      </c>
      <c r="B587">
        <v>171896</v>
      </c>
      <c r="C587">
        <v>180564</v>
      </c>
      <c r="D587">
        <v>624984</v>
      </c>
      <c r="F587">
        <f t="shared" si="90"/>
        <v>0.36059354807027311</v>
      </c>
      <c r="G587">
        <f t="shared" si="91"/>
        <v>-0.63090865887620051</v>
      </c>
      <c r="H587">
        <f t="shared" si="92"/>
        <v>1.0504258388793224</v>
      </c>
      <c r="I587">
        <f t="shared" si="93"/>
        <v>-1.9529777468373519</v>
      </c>
      <c r="J587" s="26">
        <f t="shared" si="94"/>
        <v>1.6508079014397881E-2</v>
      </c>
      <c r="K587" s="26">
        <f t="shared" si="95"/>
        <v>4.2974802249990063E-2</v>
      </c>
      <c r="L587" s="26">
        <f t="shared" si="96"/>
        <v>8.4928219604795685E-3</v>
      </c>
      <c r="M587" s="26">
        <f t="shared" si="97"/>
        <v>-0.12144808607716473</v>
      </c>
      <c r="N587" s="26">
        <f t="shared" si="98"/>
        <v>-0.18306413798799448</v>
      </c>
      <c r="O587" s="26">
        <f t="shared" si="99"/>
        <v>-0.18396435309673453</v>
      </c>
    </row>
    <row r="588" spans="1:15" x14ac:dyDescent="0.25">
      <c r="A588" s="2">
        <v>44665</v>
      </c>
      <c r="B588">
        <v>172021</v>
      </c>
      <c r="C588">
        <v>180314</v>
      </c>
      <c r="F588">
        <f t="shared" si="90"/>
        <v>1</v>
      </c>
      <c r="G588">
        <f t="shared" si="91"/>
        <v>6.958767454529184</v>
      </c>
      <c r="H588">
        <f t="shared" si="92"/>
        <v>1.0482092302683974</v>
      </c>
      <c r="I588">
        <f t="shared" si="93"/>
        <v>-2.0201876952178521</v>
      </c>
      <c r="J588" s="26">
        <f t="shared" si="94"/>
        <v>1.82198451240001E-2</v>
      </c>
      <c r="K588" s="26">
        <f t="shared" si="95"/>
        <v>4.5116079380559559E-2</v>
      </c>
      <c r="L588" s="26">
        <f t="shared" si="96"/>
        <v>8.5586879315094899E-3</v>
      </c>
      <c r="M588" s="26">
        <f t="shared" si="97"/>
        <v>-0.11632762670995045</v>
      </c>
      <c r="N588" s="26">
        <f t="shared" si="98"/>
        <v>-0.17943069959224478</v>
      </c>
      <c r="O588" s="26">
        <f t="shared" si="99"/>
        <v>-0.17915634150922299</v>
      </c>
    </row>
    <row r="589" spans="1:15" x14ac:dyDescent="0.25">
      <c r="A589" s="2">
        <v>44664</v>
      </c>
      <c r="B589">
        <v>172021</v>
      </c>
      <c r="C589">
        <v>180364</v>
      </c>
      <c r="D589">
        <v>624143</v>
      </c>
      <c r="F589">
        <f t="shared" si="90"/>
        <v>0.36085498828502616</v>
      </c>
      <c r="G589">
        <f t="shared" si="91"/>
        <v>-0.67227516226719986</v>
      </c>
      <c r="H589">
        <f t="shared" si="92"/>
        <v>1.0484998924549909</v>
      </c>
      <c r="I589">
        <f t="shared" si="93"/>
        <v>-2.0652215511710033</v>
      </c>
      <c r="J589" s="26">
        <f t="shared" si="94"/>
        <v>-1.0441471621594145E-2</v>
      </c>
      <c r="K589" s="26">
        <f t="shared" si="95"/>
        <v>1.6821986572982228E-2</v>
      </c>
      <c r="L589" s="26">
        <f t="shared" si="96"/>
        <v>-2.1820024409000438E-2</v>
      </c>
      <c r="M589" s="26">
        <f t="shared" si="97"/>
        <v>-0.11268998006971653</v>
      </c>
      <c r="N589" s="26">
        <f t="shared" si="98"/>
        <v>-0.176918846479176</v>
      </c>
      <c r="O589" s="26">
        <f t="shared" si="99"/>
        <v>-0.1754547438127112</v>
      </c>
    </row>
    <row r="590" spans="1:15" x14ac:dyDescent="0.25">
      <c r="A590" s="2">
        <v>44663</v>
      </c>
      <c r="B590">
        <v>171006</v>
      </c>
      <c r="C590">
        <v>180589</v>
      </c>
      <c r="D590">
        <v>623685</v>
      </c>
      <c r="F590">
        <f t="shared" si="90"/>
        <v>0.36050672627348046</v>
      </c>
      <c r="G590">
        <f t="shared" si="91"/>
        <v>-0.68088946819214158</v>
      </c>
      <c r="H590">
        <f t="shared" si="92"/>
        <v>1.0560389693928869</v>
      </c>
      <c r="I590">
        <f t="shared" si="93"/>
        <v>-2.0337019601963937</v>
      </c>
      <c r="J590" s="26">
        <f t="shared" si="94"/>
        <v>-8.7641833566329264E-3</v>
      </c>
      <c r="K590" s="26">
        <f t="shared" si="95"/>
        <v>1.8840801175925737E-2</v>
      </c>
      <c r="L590" s="26">
        <f t="shared" si="96"/>
        <v>-2.1853955766310051E-2</v>
      </c>
      <c r="M590" s="26">
        <f t="shared" si="97"/>
        <v>-0.10848425765001712</v>
      </c>
      <c r="N590" s="26">
        <f t="shared" si="98"/>
        <v>-0.17366086917080015</v>
      </c>
      <c r="O590" s="26">
        <f t="shared" si="99"/>
        <v>-0.17115218442987534</v>
      </c>
    </row>
    <row r="591" spans="1:15" x14ac:dyDescent="0.25">
      <c r="A591" s="2">
        <v>44662</v>
      </c>
      <c r="B591">
        <v>168981</v>
      </c>
      <c r="C591">
        <v>179789</v>
      </c>
      <c r="D591">
        <v>620080</v>
      </c>
      <c r="F591">
        <f t="shared" si="90"/>
        <v>0.35998348557568249</v>
      </c>
      <c r="G591">
        <f t="shared" si="91"/>
        <v>-0.69190226081349637</v>
      </c>
      <c r="H591">
        <f t="shared" si="92"/>
        <v>1.0639598534746511</v>
      </c>
      <c r="I591">
        <f t="shared" si="93"/>
        <v>-1.9951426527823</v>
      </c>
      <c r="J591" s="26">
        <f t="shared" si="94"/>
        <v>-7.2193127684940239E-3</v>
      </c>
      <c r="K591" s="26">
        <f t="shared" si="95"/>
        <v>2.0850967794897868E-2</v>
      </c>
      <c r="L591" s="26">
        <f t="shared" si="96"/>
        <v>-2.1954258823401795E-2</v>
      </c>
      <c r="M591" s="26">
        <f t="shared" si="97"/>
        <v>-0.1025529887381631</v>
      </c>
      <c r="N591" s="26">
        <f t="shared" si="98"/>
        <v>-0.16863473870576384</v>
      </c>
      <c r="O591" s="26">
        <f t="shared" si="99"/>
        <v>-0.16598634037396032</v>
      </c>
    </row>
    <row r="592" spans="1:15" x14ac:dyDescent="0.25">
      <c r="A592" s="2">
        <v>44659</v>
      </c>
      <c r="B592">
        <v>168731</v>
      </c>
      <c r="C592">
        <v>180314</v>
      </c>
      <c r="D592">
        <v>619574</v>
      </c>
      <c r="F592">
        <f t="shared" si="90"/>
        <v>0.36035324518722017</v>
      </c>
      <c r="G592">
        <f t="shared" si="91"/>
        <v>-0.69122699315257385</v>
      </c>
      <c r="H592">
        <f t="shared" si="92"/>
        <v>1.0686477292258092</v>
      </c>
      <c r="I592">
        <f t="shared" si="93"/>
        <v>-1.987461673975685</v>
      </c>
      <c r="J592" s="26">
        <f t="shared" si="94"/>
        <v>-5.4700473515349457E-3</v>
      </c>
      <c r="K592" s="26">
        <f t="shared" si="95"/>
        <v>2.2918725237812354E-2</v>
      </c>
      <c r="L592" s="26">
        <f t="shared" si="96"/>
        <v>-2.1991692523158135E-2</v>
      </c>
      <c r="M592" s="26">
        <f t="shared" si="97"/>
        <v>-9.8285654871891781E-2</v>
      </c>
      <c r="N592" s="26">
        <f t="shared" si="98"/>
        <v>-0.16492690877688232</v>
      </c>
      <c r="O592" s="26">
        <f t="shared" si="99"/>
        <v>-0.16191540372674917</v>
      </c>
    </row>
    <row r="593" spans="1:15" x14ac:dyDescent="0.25">
      <c r="A593" s="2">
        <v>44658</v>
      </c>
      <c r="B593">
        <v>169036</v>
      </c>
      <c r="C593">
        <v>179578</v>
      </c>
      <c r="D593">
        <v>619943</v>
      </c>
      <c r="F593">
        <f t="shared" si="90"/>
        <v>0.35993132051082177</v>
      </c>
      <c r="G593">
        <f t="shared" si="91"/>
        <v>-0.70091383074680358</v>
      </c>
      <c r="H593">
        <f t="shared" si="92"/>
        <v>1.062365413284744</v>
      </c>
      <c r="I593">
        <f t="shared" si="93"/>
        <v>-2.1005358620435364</v>
      </c>
      <c r="J593" s="26">
        <f t="shared" si="94"/>
        <v>-3.565491264394538E-3</v>
      </c>
      <c r="K593" s="26">
        <f t="shared" si="95"/>
        <v>2.4868069984290642E-2</v>
      </c>
      <c r="L593" s="26">
        <f t="shared" si="96"/>
        <v>-2.215043825932328E-2</v>
      </c>
      <c r="M593" s="26">
        <f t="shared" si="97"/>
        <v>-9.2748057828198283E-2</v>
      </c>
      <c r="N593" s="26">
        <f t="shared" si="98"/>
        <v>-0.16108949037853604</v>
      </c>
      <c r="O593" s="26">
        <f t="shared" si="99"/>
        <v>-0.15765018333534786</v>
      </c>
    </row>
    <row r="594" spans="1:15" x14ac:dyDescent="0.25">
      <c r="A594" s="2">
        <v>44657</v>
      </c>
      <c r="B594">
        <v>168996</v>
      </c>
      <c r="C594">
        <v>179603</v>
      </c>
      <c r="D594">
        <v>614456</v>
      </c>
      <c r="F594">
        <f t="shared" si="90"/>
        <v>0.36197205767064189</v>
      </c>
      <c r="G594">
        <f t="shared" si="91"/>
        <v>-0.67800885940742939</v>
      </c>
      <c r="H594">
        <f t="shared" si="92"/>
        <v>1.0627647991668441</v>
      </c>
      <c r="I594">
        <f t="shared" si="93"/>
        <v>-2.1439314401168907</v>
      </c>
      <c r="J594" s="26">
        <f t="shared" si="94"/>
        <v>-1.7677574655247108E-3</v>
      </c>
      <c r="K594" s="26">
        <f t="shared" si="95"/>
        <v>2.6749943514279062E-2</v>
      </c>
      <c r="L594" s="26">
        <f t="shared" si="96"/>
        <v>-2.2392753838773205E-2</v>
      </c>
      <c r="M594" s="26">
        <f t="shared" si="97"/>
        <v>-8.6705015265895247E-2</v>
      </c>
      <c r="N594" s="26">
        <f t="shared" si="98"/>
        <v>-0.15639229700260548</v>
      </c>
      <c r="O594" s="26">
        <f t="shared" si="99"/>
        <v>-0.15255235367339526</v>
      </c>
    </row>
    <row r="595" spans="1:15" x14ac:dyDescent="0.25">
      <c r="A595" s="2">
        <v>44656</v>
      </c>
      <c r="B595">
        <v>168371</v>
      </c>
      <c r="C595">
        <v>177228</v>
      </c>
      <c r="D595">
        <v>616500</v>
      </c>
      <c r="F595">
        <f t="shared" si="90"/>
        <v>0.35921355286722051</v>
      </c>
      <c r="G595">
        <f t="shared" si="91"/>
        <v>-0.7184429735160105</v>
      </c>
      <c r="H595">
        <f t="shared" si="92"/>
        <v>1.0526040707722826</v>
      </c>
      <c r="I595">
        <f t="shared" si="93"/>
        <v>-2.3052767473611997</v>
      </c>
      <c r="J595" s="26">
        <f t="shared" si="94"/>
        <v>-4.3965220868430466E-4</v>
      </c>
      <c r="K595" s="26">
        <f t="shared" si="95"/>
        <v>2.9351772624562844E-2</v>
      </c>
      <c r="L595" s="26">
        <f t="shared" si="96"/>
        <v>-2.276350687833173E-2</v>
      </c>
      <c r="M595" s="26">
        <f t="shared" si="97"/>
        <v>-8.4284282659668808E-2</v>
      </c>
      <c r="N595" s="26">
        <f t="shared" si="98"/>
        <v>-0.15155043394846635</v>
      </c>
      <c r="O595" s="26">
        <f t="shared" si="99"/>
        <v>-0.14714338313344233</v>
      </c>
    </row>
    <row r="596" spans="1:15" x14ac:dyDescent="0.25">
      <c r="A596" s="2">
        <v>44655</v>
      </c>
      <c r="B596">
        <v>163871</v>
      </c>
      <c r="C596">
        <v>177903</v>
      </c>
      <c r="D596">
        <v>622099</v>
      </c>
      <c r="F596">
        <f t="shared" si="90"/>
        <v>0.35458405827323725</v>
      </c>
      <c r="G596">
        <f t="shared" si="91"/>
        <v>-0.78395117657216928</v>
      </c>
      <c r="H596">
        <f t="shared" si="92"/>
        <v>1.0856283296007225</v>
      </c>
      <c r="I596">
        <f t="shared" si="93"/>
        <v>-1.9846698196000858</v>
      </c>
      <c r="J596" s="26">
        <f t="shared" si="94"/>
        <v>1.3046323319925723E-3</v>
      </c>
      <c r="K596" s="26">
        <f t="shared" si="95"/>
        <v>3.2295904590573576E-2</v>
      </c>
      <c r="L596" s="26">
        <f t="shared" si="96"/>
        <v>-2.2864904493188287E-2</v>
      </c>
      <c r="M596" s="26">
        <f t="shared" si="97"/>
        <v>-7.6368194746461171E-2</v>
      </c>
      <c r="N596" s="26">
        <f t="shared" si="98"/>
        <v>-0.1429248828878944</v>
      </c>
      <c r="O596" s="26">
        <f t="shared" si="99"/>
        <v>-0.138255588692483</v>
      </c>
    </row>
    <row r="597" spans="1:15" x14ac:dyDescent="0.25">
      <c r="A597" s="2">
        <v>44652</v>
      </c>
      <c r="B597">
        <v>163371</v>
      </c>
      <c r="C597">
        <v>177403</v>
      </c>
      <c r="D597">
        <v>621518</v>
      </c>
      <c r="F597">
        <f t="shared" si="90"/>
        <v>0.35412743740985064</v>
      </c>
      <c r="G597">
        <f t="shared" si="91"/>
        <v>-0.79440179819834711</v>
      </c>
      <c r="H597">
        <f t="shared" si="92"/>
        <v>1.0858903967044335</v>
      </c>
      <c r="I597">
        <f t="shared" si="93"/>
        <v>-2.0194084045103797</v>
      </c>
      <c r="J597" s="26">
        <f t="shared" si="94"/>
        <v>3.106569954803684E-3</v>
      </c>
      <c r="K597" s="26">
        <f t="shared" si="95"/>
        <v>3.5243996293343127E-2</v>
      </c>
      <c r="L597" s="26">
        <f t="shared" si="96"/>
        <v>-2.2939224475425513E-2</v>
      </c>
      <c r="M597" s="26">
        <f t="shared" si="97"/>
        <v>-7.0720228976109079E-2</v>
      </c>
      <c r="N597" s="26">
        <f t="shared" si="98"/>
        <v>-0.13593436401705006</v>
      </c>
      <c r="O597" s="26">
        <f t="shared" si="99"/>
        <v>-0.13126274065076093</v>
      </c>
    </row>
    <row r="598" spans="1:15" x14ac:dyDescent="0.25">
      <c r="A598" s="2">
        <v>44651</v>
      </c>
      <c r="B598">
        <v>163196</v>
      </c>
      <c r="C598">
        <v>177378</v>
      </c>
      <c r="D598">
        <v>620519</v>
      </c>
      <c r="F598">
        <f t="shared" si="90"/>
        <v>0.35436112842357609</v>
      </c>
      <c r="G598">
        <f t="shared" si="91"/>
        <v>-0.79568749224000346</v>
      </c>
      <c r="H598">
        <f t="shared" si="92"/>
        <v>1.0869016397460722</v>
      </c>
      <c r="I598">
        <f t="shared" si="93"/>
        <v>-2.0497411150892435</v>
      </c>
      <c r="J598" s="26">
        <f t="shared" si="94"/>
        <v>5.082505326275355E-3</v>
      </c>
      <c r="K598" s="26">
        <f t="shared" si="95"/>
        <v>3.8225321808928903E-2</v>
      </c>
      <c r="L598" s="26">
        <f t="shared" si="96"/>
        <v>-2.2913422711975939E-2</v>
      </c>
      <c r="M598" s="26">
        <f t="shared" si="97"/>
        <v>-6.4250341164326041E-2</v>
      </c>
      <c r="N598" s="26">
        <f t="shared" si="98"/>
        <v>-0.1289939825774904</v>
      </c>
      <c r="O598" s="26">
        <f t="shared" si="99"/>
        <v>-0.12393821457142518</v>
      </c>
    </row>
    <row r="599" spans="1:15" x14ac:dyDescent="0.25">
      <c r="A599" s="2">
        <v>44650</v>
      </c>
      <c r="B599">
        <v>160626</v>
      </c>
      <c r="C599">
        <v>173775</v>
      </c>
      <c r="D599">
        <v>621322</v>
      </c>
      <c r="F599">
        <f t="shared" si="90"/>
        <v>0.34989322219931923</v>
      </c>
      <c r="G599">
        <f t="shared" si="91"/>
        <v>-0.85961909210294873</v>
      </c>
      <c r="H599">
        <f t="shared" si="92"/>
        <v>1.081860968958948</v>
      </c>
      <c r="I599">
        <f t="shared" si="93"/>
        <v>-2.1517413294249073</v>
      </c>
      <c r="J599" s="26">
        <f t="shared" si="94"/>
        <v>7.0600586431086021E-3</v>
      </c>
      <c r="K599" s="26">
        <f t="shared" si="95"/>
        <v>4.1366691047712234E-2</v>
      </c>
      <c r="L599" s="26">
        <f t="shared" si="96"/>
        <v>-2.2916274023620231E-2</v>
      </c>
      <c r="M599" s="26">
        <f t="shared" si="97"/>
        <v>-6.4034885116952545E-2</v>
      </c>
      <c r="N599" s="26">
        <f t="shared" si="98"/>
        <v>-0.12518949518732758</v>
      </c>
      <c r="O599" s="26">
        <f t="shared" si="99"/>
        <v>-0.1193130275010954</v>
      </c>
    </row>
    <row r="600" spans="1:15" x14ac:dyDescent="0.25">
      <c r="A600" s="2">
        <v>44649</v>
      </c>
      <c r="B600">
        <v>161125</v>
      </c>
      <c r="C600">
        <v>172391</v>
      </c>
      <c r="D600">
        <v>620961</v>
      </c>
      <c r="F600">
        <f t="shared" si="90"/>
        <v>0.34942277289028439</v>
      </c>
      <c r="G600">
        <f t="shared" si="91"/>
        <v>-0.87083124190001193</v>
      </c>
      <c r="H600">
        <f t="shared" si="92"/>
        <v>1.0699208688906128</v>
      </c>
      <c r="I600">
        <f t="shared" si="93"/>
        <v>-2.3410178242265416</v>
      </c>
      <c r="J600" s="26">
        <f t="shared" si="94"/>
        <v>8.6401511361184347E-3</v>
      </c>
      <c r="K600" s="26">
        <f t="shared" si="95"/>
        <v>4.4208595330803513E-2</v>
      </c>
      <c r="L600" s="26">
        <f t="shared" si="96"/>
        <v>-2.3225175975194468E-2</v>
      </c>
      <c r="M600" s="26">
        <f t="shared" si="97"/>
        <v>-6.583490575620532E-2</v>
      </c>
      <c r="N600" s="26">
        <f t="shared" si="98"/>
        <v>-0.12237812413581173</v>
      </c>
      <c r="O600" s="26">
        <f t="shared" si="99"/>
        <v>-0.11573785760806743</v>
      </c>
    </row>
    <row r="601" spans="1:15" x14ac:dyDescent="0.25">
      <c r="A601" s="2">
        <v>44648</v>
      </c>
      <c r="B601">
        <v>160105</v>
      </c>
      <c r="C601">
        <v>173171</v>
      </c>
      <c r="D601">
        <v>727421</v>
      </c>
      <c r="F601">
        <f t="shared" si="90"/>
        <v>0.31420471633275099</v>
      </c>
      <c r="G601">
        <f t="shared" si="91"/>
        <v>-1.3460740433402314</v>
      </c>
      <c r="H601">
        <f t="shared" si="92"/>
        <v>1.0816089441304144</v>
      </c>
      <c r="I601">
        <f t="shared" si="93"/>
        <v>-2.2654844437948358</v>
      </c>
      <c r="J601" s="26">
        <f t="shared" si="94"/>
        <v>1.0197747502361854E-2</v>
      </c>
      <c r="K601" s="26">
        <f t="shared" si="95"/>
        <v>4.2535990003292667E-2</v>
      </c>
      <c r="L601" s="26">
        <f t="shared" si="96"/>
        <v>-2.3577745708381448E-2</v>
      </c>
      <c r="M601" s="26">
        <f t="shared" si="97"/>
        <v>-6.8717860716744461E-2</v>
      </c>
      <c r="N601" s="26">
        <f t="shared" si="98"/>
        <v>-0.11414061300578626</v>
      </c>
      <c r="O601" s="26">
        <f t="shared" si="99"/>
        <v>-0.11234476423762718</v>
      </c>
    </row>
    <row r="602" spans="1:15" x14ac:dyDescent="0.25">
      <c r="A602" s="2">
        <v>44645</v>
      </c>
      <c r="B602">
        <v>159855</v>
      </c>
      <c r="C602">
        <v>173946</v>
      </c>
      <c r="D602">
        <v>725555</v>
      </c>
      <c r="F602">
        <f t="shared" si="90"/>
        <v>0.31509804069642311</v>
      </c>
      <c r="G602">
        <f t="shared" si="91"/>
        <v>-1.3443983794954042</v>
      </c>
      <c r="H602">
        <f t="shared" si="92"/>
        <v>1.088148634700197</v>
      </c>
      <c r="I602">
        <f t="shared" si="93"/>
        <v>-2.2462850667914904</v>
      </c>
      <c r="J602" s="26">
        <f t="shared" si="94"/>
        <v>1.3657704347911359E-2</v>
      </c>
      <c r="K602" s="26">
        <f t="shared" si="95"/>
        <v>4.2703722071649186E-2</v>
      </c>
      <c r="L602" s="26">
        <f t="shared" si="96"/>
        <v>-2.2096065443203694E-2</v>
      </c>
      <c r="M602" s="26">
        <f t="shared" si="97"/>
        <v>-6.9692998440371356E-2</v>
      </c>
      <c r="N602" s="26">
        <f t="shared" si="98"/>
        <v>-0.10566880944361312</v>
      </c>
      <c r="O602" s="26">
        <f t="shared" si="99"/>
        <v>-0.10871891390564414</v>
      </c>
    </row>
    <row r="603" spans="1:15" x14ac:dyDescent="0.25">
      <c r="A603" s="2">
        <v>44644</v>
      </c>
      <c r="B603">
        <v>159855</v>
      </c>
      <c r="C603">
        <v>173496</v>
      </c>
      <c r="D603">
        <v>732324</v>
      </c>
      <c r="F603">
        <f t="shared" si="90"/>
        <v>0.31280737560700966</v>
      </c>
      <c r="G603">
        <f t="shared" si="91"/>
        <v>-1.3855294408339549</v>
      </c>
      <c r="H603">
        <f t="shared" si="92"/>
        <v>1.0853335835601012</v>
      </c>
      <c r="I603">
        <f t="shared" si="93"/>
        <v>-2.3348539003845339</v>
      </c>
      <c r="J603" s="26">
        <f t="shared" si="94"/>
        <v>1.7055903255013771E-2</v>
      </c>
      <c r="K603" s="26">
        <f t="shared" si="95"/>
        <v>4.2852093964232563E-2</v>
      </c>
      <c r="L603" s="26">
        <f t="shared" si="96"/>
        <v>-2.0646781970996952E-2</v>
      </c>
      <c r="M603" s="26">
        <f t="shared" si="97"/>
        <v>-7.2230058965150334E-2</v>
      </c>
      <c r="N603" s="26">
        <f t="shared" si="98"/>
        <v>-9.8675064061022111E-2</v>
      </c>
      <c r="O603" s="26">
        <f t="shared" si="99"/>
        <v>-0.10641214861305226</v>
      </c>
    </row>
    <row r="604" spans="1:15" x14ac:dyDescent="0.25">
      <c r="A604" s="2">
        <v>44643</v>
      </c>
      <c r="B604">
        <v>160455</v>
      </c>
      <c r="C604">
        <v>175628</v>
      </c>
      <c r="D604">
        <v>734103</v>
      </c>
      <c r="F604">
        <f t="shared" si="90"/>
        <v>0.31404167126088361</v>
      </c>
      <c r="G604">
        <f t="shared" si="91"/>
        <v>-1.379832302180541</v>
      </c>
      <c r="H604">
        <f t="shared" si="92"/>
        <v>1.0945623383503162</v>
      </c>
      <c r="I604">
        <f t="shared" si="93"/>
        <v>-2.2824274197218353</v>
      </c>
      <c r="J604" s="26">
        <f t="shared" si="94"/>
        <v>2.0880579567599977E-2</v>
      </c>
      <c r="K604" s="26">
        <f t="shared" si="95"/>
        <v>4.3052885661014895E-2</v>
      </c>
      <c r="L604" s="26">
        <f t="shared" si="96"/>
        <v>-1.9435985069847284E-2</v>
      </c>
      <c r="M604" s="26">
        <f t="shared" si="97"/>
        <v>-7.4931348670712827E-2</v>
      </c>
      <c r="N604" s="26">
        <f t="shared" si="98"/>
        <v>-9.1568338678554406E-2</v>
      </c>
      <c r="O604" s="26">
        <f t="shared" si="99"/>
        <v>-0.10314478149206452</v>
      </c>
    </row>
    <row r="605" spans="1:15" x14ac:dyDescent="0.25">
      <c r="A605" s="2">
        <v>44642</v>
      </c>
      <c r="B605">
        <v>203821</v>
      </c>
      <c r="C605">
        <v>241663</v>
      </c>
      <c r="D605">
        <v>741035</v>
      </c>
      <c r="F605">
        <f t="shared" si="90"/>
        <v>0.3754545860622544</v>
      </c>
      <c r="G605">
        <f t="shared" si="91"/>
        <v>-0.55854337301794621</v>
      </c>
      <c r="H605">
        <f t="shared" si="92"/>
        <v>1.1856629101024918</v>
      </c>
      <c r="I605">
        <f t="shared" si="93"/>
        <v>-1.1999507850487021</v>
      </c>
      <c r="J605" s="26">
        <f t="shared" si="94"/>
        <v>2.4713570119391015E-2</v>
      </c>
      <c r="K605" s="26">
        <f t="shared" si="95"/>
        <v>4.3266644728847392E-2</v>
      </c>
      <c r="L605" s="26">
        <f t="shared" si="96"/>
        <v>-1.8308191534189611E-2</v>
      </c>
      <c r="M605" s="26">
        <f t="shared" si="97"/>
        <v>-7.6538514453760254E-2</v>
      </c>
      <c r="N605" s="26">
        <f t="shared" si="98"/>
        <v>-8.4143169624354419E-2</v>
      </c>
      <c r="O605" s="26">
        <f t="shared" si="99"/>
        <v>-9.9304181326936858E-2</v>
      </c>
    </row>
    <row r="606" spans="1:15" x14ac:dyDescent="0.25">
      <c r="A606" s="2">
        <v>44641</v>
      </c>
      <c r="B606">
        <v>202446</v>
      </c>
      <c r="C606">
        <v>241888</v>
      </c>
      <c r="D606">
        <v>739107</v>
      </c>
      <c r="F606">
        <f t="shared" si="90"/>
        <v>0.37545935961319576</v>
      </c>
      <c r="G606">
        <f t="shared" si="91"/>
        <v>-0.56117505403616874</v>
      </c>
      <c r="H606">
        <f t="shared" si="92"/>
        <v>1.1948272625786629</v>
      </c>
      <c r="I606">
        <f t="shared" si="93"/>
        <v>-1.1019780541598831</v>
      </c>
      <c r="J606" s="26">
        <f t="shared" si="94"/>
        <v>2.5665215034788857E-2</v>
      </c>
      <c r="K606" s="26">
        <f t="shared" si="95"/>
        <v>4.0597779513200372E-2</v>
      </c>
      <c r="L606" s="26">
        <f t="shared" si="96"/>
        <v>-2.0069805854214973E-2</v>
      </c>
      <c r="M606" s="26">
        <f t="shared" si="97"/>
        <v>-8.2580311534528938E-2</v>
      </c>
      <c r="N606" s="26">
        <f t="shared" si="98"/>
        <v>-8.1497206699034042E-2</v>
      </c>
      <c r="O606" s="26">
        <f t="shared" si="99"/>
        <v>-0.1000918866929319</v>
      </c>
    </row>
    <row r="607" spans="1:15" x14ac:dyDescent="0.25">
      <c r="A607" s="2">
        <v>44638</v>
      </c>
      <c r="B607">
        <v>202921</v>
      </c>
      <c r="C607">
        <v>242610</v>
      </c>
      <c r="D607">
        <v>739948</v>
      </c>
      <c r="F607">
        <f t="shared" si="90"/>
        <v>0.37582361222763122</v>
      </c>
      <c r="G607">
        <f t="shared" si="91"/>
        <v>-0.55886318254270217</v>
      </c>
      <c r="H607">
        <f t="shared" si="92"/>
        <v>1.1955884309657452</v>
      </c>
      <c r="I607">
        <f t="shared" si="93"/>
        <v>-1.1062924259802536</v>
      </c>
      <c r="J607" s="26">
        <f t="shared" si="94"/>
        <v>2.6685038945634343E-2</v>
      </c>
      <c r="K607" s="26">
        <f t="shared" si="95"/>
        <v>3.7895756072711728E-2</v>
      </c>
      <c r="L607" s="26">
        <f t="shared" si="96"/>
        <v>-2.1866807444182956E-2</v>
      </c>
      <c r="M607" s="26">
        <f t="shared" si="97"/>
        <v>-8.7819190956227144E-2</v>
      </c>
      <c r="N607" s="26">
        <f t="shared" si="98"/>
        <v>-7.9379259088885323E-2</v>
      </c>
      <c r="O607" s="26">
        <f t="shared" si="99"/>
        <v>-0.10138653461586555</v>
      </c>
    </row>
    <row r="608" spans="1:15" x14ac:dyDescent="0.25">
      <c r="A608" s="2">
        <v>44637</v>
      </c>
      <c r="B608">
        <v>202221</v>
      </c>
      <c r="C608">
        <v>240231</v>
      </c>
      <c r="D608">
        <v>739408</v>
      </c>
      <c r="F608">
        <f t="shared" si="90"/>
        <v>0.3743692146277901</v>
      </c>
      <c r="G608">
        <f t="shared" si="91"/>
        <v>-0.57914570801202914</v>
      </c>
      <c r="H608">
        <f t="shared" si="92"/>
        <v>1.187962674499681</v>
      </c>
      <c r="I608">
        <f t="shared" si="93"/>
        <v>-1.212889085716109</v>
      </c>
      <c r="J608" s="26">
        <f t="shared" si="94"/>
        <v>2.7686083613490009E-2</v>
      </c>
      <c r="K608" s="26">
        <f t="shared" si="95"/>
        <v>3.5044714446065162E-2</v>
      </c>
      <c r="L608" s="26">
        <f t="shared" si="96"/>
        <v>-2.379436539011559E-2</v>
      </c>
      <c r="M608" s="26">
        <f t="shared" si="97"/>
        <v>-9.077402301964077E-2</v>
      </c>
      <c r="N608" s="26">
        <f t="shared" si="98"/>
        <v>-7.7380050033921677E-2</v>
      </c>
      <c r="O608" s="26">
        <f t="shared" si="99"/>
        <v>-0.10240483436548442</v>
      </c>
    </row>
    <row r="609" spans="1:15" x14ac:dyDescent="0.25">
      <c r="A609" s="2">
        <v>44636</v>
      </c>
      <c r="B609">
        <v>203255</v>
      </c>
      <c r="C609">
        <v>237650</v>
      </c>
      <c r="D609">
        <v>736539</v>
      </c>
      <c r="F609">
        <f t="shared" si="90"/>
        <v>0.37445942227401047</v>
      </c>
      <c r="G609">
        <f t="shared" si="91"/>
        <v>-0.57859030718533444</v>
      </c>
      <c r="H609">
        <f t="shared" si="92"/>
        <v>1.1692209293744311</v>
      </c>
      <c r="I609">
        <f t="shared" si="93"/>
        <v>-1.4491992147429107</v>
      </c>
      <c r="J609" s="26">
        <f t="shared" si="94"/>
        <v>2.846562370140493E-2</v>
      </c>
      <c r="K609" s="26">
        <f t="shared" si="95"/>
        <v>3.1935720284236913E-2</v>
      </c>
      <c r="L609" s="26">
        <f t="shared" si="96"/>
        <v>-2.5965699619092286E-2</v>
      </c>
      <c r="M609" s="26">
        <f t="shared" si="97"/>
        <v>-9.3669543891295559E-2</v>
      </c>
      <c r="N609" s="26">
        <f t="shared" si="98"/>
        <v>-7.5542866846730394E-2</v>
      </c>
      <c r="O609" s="26">
        <f t="shared" si="99"/>
        <v>-0.1033370023746496</v>
      </c>
    </row>
    <row r="610" spans="1:15" x14ac:dyDescent="0.25">
      <c r="A610" s="2">
        <v>44635</v>
      </c>
      <c r="B610">
        <v>202375</v>
      </c>
      <c r="C610">
        <v>238970</v>
      </c>
      <c r="D610">
        <v>743153</v>
      </c>
      <c r="F610">
        <f t="shared" si="90"/>
        <v>0.37260088239912603</v>
      </c>
      <c r="G610">
        <f t="shared" si="91"/>
        <v>-0.60449807827038526</v>
      </c>
      <c r="H610">
        <f t="shared" si="92"/>
        <v>1.1808276714021</v>
      </c>
      <c r="I610">
        <f t="shared" si="93"/>
        <v>-1.3296977897042939</v>
      </c>
      <c r="J610" s="26">
        <f t="shared" si="94"/>
        <v>2.9437932759047936E-2</v>
      </c>
      <c r="K610" s="26">
        <f t="shared" si="95"/>
        <v>2.8768333238859689E-2</v>
      </c>
      <c r="L610" s="26">
        <f t="shared" si="96"/>
        <v>-2.8228440648042918E-2</v>
      </c>
      <c r="M610" s="26">
        <f t="shared" si="97"/>
        <v>-9.674701579415812E-2</v>
      </c>
      <c r="N610" s="26">
        <f t="shared" si="98"/>
        <v>-7.3528382701717465E-2</v>
      </c>
      <c r="O610" s="26">
        <f t="shared" si="99"/>
        <v>-0.10359594891783863</v>
      </c>
    </row>
    <row r="611" spans="1:15" x14ac:dyDescent="0.25">
      <c r="A611" s="2">
        <v>44634</v>
      </c>
      <c r="B611">
        <v>198290</v>
      </c>
      <c r="C611">
        <v>238555</v>
      </c>
      <c r="D611">
        <v>739499</v>
      </c>
      <c r="F611">
        <f t="shared" si="90"/>
        <v>0.3713582081431962</v>
      </c>
      <c r="G611">
        <f t="shared" si="91"/>
        <v>-0.62212441327298085</v>
      </c>
      <c r="H611">
        <f t="shared" si="92"/>
        <v>1.2030611730294014</v>
      </c>
      <c r="I611">
        <f t="shared" si="93"/>
        <v>-1.0819857531264729</v>
      </c>
      <c r="J611" s="26">
        <f t="shared" si="94"/>
        <v>3.0350933559680437E-2</v>
      </c>
      <c r="K611" s="26">
        <f t="shared" si="95"/>
        <v>2.5655489099954076E-2</v>
      </c>
      <c r="L611" s="26">
        <f t="shared" si="96"/>
        <v>-3.0497974105861914E-2</v>
      </c>
      <c r="M611" s="26">
        <f t="shared" si="97"/>
        <v>-9.9197838472618427E-2</v>
      </c>
      <c r="N611" s="26">
        <f t="shared" si="98"/>
        <v>-7.1004041484749703E-2</v>
      </c>
      <c r="O611" s="26">
        <f t="shared" si="99"/>
        <v>-0.10384409001363415</v>
      </c>
    </row>
    <row r="612" spans="1:15" x14ac:dyDescent="0.25">
      <c r="A612" s="2">
        <v>44631</v>
      </c>
      <c r="B612">
        <v>199165</v>
      </c>
      <c r="C612">
        <v>236745</v>
      </c>
      <c r="D612">
        <v>736093</v>
      </c>
      <c r="F612">
        <f t="shared" si="90"/>
        <v>0.37193590801388732</v>
      </c>
      <c r="G612">
        <f t="shared" si="91"/>
        <v>-0.61490581881337947</v>
      </c>
      <c r="H612">
        <f t="shared" si="92"/>
        <v>1.1886877714457862</v>
      </c>
      <c r="I612">
        <f t="shared" si="93"/>
        <v>-1.2621925579232705</v>
      </c>
      <c r="J612" s="26">
        <f t="shared" si="94"/>
        <v>3.1327143657020107E-2</v>
      </c>
      <c r="K612" s="26">
        <f t="shared" si="95"/>
        <v>2.2631107543864992E-2</v>
      </c>
      <c r="L612" s="26">
        <f t="shared" si="96"/>
        <v>-3.2698035318299123E-2</v>
      </c>
      <c r="M612" s="26">
        <f t="shared" si="97"/>
        <v>-0.1029389795624287</v>
      </c>
      <c r="N612" s="26">
        <f t="shared" si="98"/>
        <v>-6.998331560173443E-2</v>
      </c>
      <c r="O612" s="26">
        <f t="shared" si="99"/>
        <v>-0.10537483277285009</v>
      </c>
    </row>
    <row r="613" spans="1:15" x14ac:dyDescent="0.25">
      <c r="A613" s="2">
        <v>44630</v>
      </c>
      <c r="B613">
        <v>197225</v>
      </c>
      <c r="C613">
        <v>235935</v>
      </c>
      <c r="D613">
        <v>737328</v>
      </c>
      <c r="F613">
        <f t="shared" si="90"/>
        <v>0.37006786912809014</v>
      </c>
      <c r="G613">
        <f t="shared" si="91"/>
        <v>-0.64083886457918926</v>
      </c>
      <c r="H613">
        <f t="shared" si="92"/>
        <v>1.1962732919254659</v>
      </c>
      <c r="I613">
        <f t="shared" si="93"/>
        <v>-1.1871885876661727</v>
      </c>
      <c r="J613" s="26">
        <f t="shared" si="94"/>
        <v>3.2081855909733281E-2</v>
      </c>
      <c r="K613" s="26">
        <f t="shared" si="95"/>
        <v>1.9567645413936574E-2</v>
      </c>
      <c r="L613" s="26">
        <f t="shared" si="96"/>
        <v>-3.5066958769762901E-2</v>
      </c>
      <c r="M613" s="26">
        <f t="shared" si="97"/>
        <v>-0.10590974050137958</v>
      </c>
      <c r="N613" s="26">
        <f t="shared" si="98"/>
        <v>-6.8079454120408611E-2</v>
      </c>
      <c r="O613" s="26">
        <f t="shared" si="99"/>
        <v>-0.10640263191226351</v>
      </c>
    </row>
    <row r="614" spans="1:15" x14ac:dyDescent="0.25">
      <c r="A614" s="2">
        <v>44629</v>
      </c>
      <c r="B614">
        <v>195975</v>
      </c>
      <c r="C614">
        <v>236258</v>
      </c>
      <c r="D614">
        <v>740684</v>
      </c>
      <c r="F614">
        <f t="shared" si="90"/>
        <v>0.36851115637338361</v>
      </c>
      <c r="G614">
        <f t="shared" si="91"/>
        <v>-0.66611899550992448</v>
      </c>
      <c r="H614">
        <f t="shared" si="92"/>
        <v>1.2055517285368031</v>
      </c>
      <c r="I614">
        <f t="shared" si="93"/>
        <v>-1.0926100022741492</v>
      </c>
      <c r="J614" s="26">
        <f t="shared" si="94"/>
        <v>3.2119388639450963E-2</v>
      </c>
      <c r="K614" s="26">
        <f t="shared" si="95"/>
        <v>1.6195539533564618E-2</v>
      </c>
      <c r="L614" s="26">
        <f t="shared" si="96"/>
        <v>-3.7771632633864127E-2</v>
      </c>
      <c r="M614" s="26">
        <f t="shared" si="97"/>
        <v>-0.11030346297783278</v>
      </c>
      <c r="N614" s="26">
        <f t="shared" si="98"/>
        <v>-6.7859874015116173E-2</v>
      </c>
      <c r="O614" s="26">
        <f t="shared" si="99"/>
        <v>-0.10887051749018561</v>
      </c>
    </row>
    <row r="615" spans="1:15" x14ac:dyDescent="0.25">
      <c r="A615" s="2">
        <v>44628</v>
      </c>
      <c r="B615">
        <v>195940</v>
      </c>
      <c r="C615">
        <v>237114</v>
      </c>
      <c r="D615">
        <v>744147</v>
      </c>
      <c r="F615">
        <f t="shared" si="90"/>
        <v>0.36786750945675378</v>
      </c>
      <c r="G615">
        <f t="shared" si="91"/>
        <v>-0.67893441566938828</v>
      </c>
      <c r="H615">
        <f t="shared" si="92"/>
        <v>1.2101357558436256</v>
      </c>
      <c r="I615">
        <f t="shared" si="93"/>
        <v>-1.0520850505085826</v>
      </c>
      <c r="J615" s="26">
        <f t="shared" si="94"/>
        <v>3.2396868233308618E-2</v>
      </c>
      <c r="K615" s="26">
        <f t="shared" si="95"/>
        <v>1.2878315272941809E-2</v>
      </c>
      <c r="L615" s="26">
        <f t="shared" si="96"/>
        <v>-4.0418736270685318E-2</v>
      </c>
      <c r="M615" s="26">
        <f t="shared" si="97"/>
        <v>-0.11338423884952475</v>
      </c>
      <c r="N615" s="26">
        <f t="shared" si="98"/>
        <v>-6.6918712191169405E-2</v>
      </c>
      <c r="O615" s="26">
        <f t="shared" si="99"/>
        <v>-0.11118812766252484</v>
      </c>
    </row>
    <row r="616" spans="1:15" x14ac:dyDescent="0.25">
      <c r="A616" s="2">
        <v>44627</v>
      </c>
      <c r="B616">
        <v>194805</v>
      </c>
      <c r="C616">
        <v>245918</v>
      </c>
      <c r="D616">
        <v>748756</v>
      </c>
      <c r="F616">
        <f t="shared" si="90"/>
        <v>0.37051768042983524</v>
      </c>
      <c r="G616">
        <f t="shared" si="91"/>
        <v>-0.64671222918095828</v>
      </c>
      <c r="H616">
        <f t="shared" si="92"/>
        <v>1.2623803290469957</v>
      </c>
      <c r="I616">
        <f t="shared" si="93"/>
        <v>-0.47956108200572634</v>
      </c>
      <c r="J616" s="26">
        <f t="shared" si="94"/>
        <v>3.3368375295546981E-2</v>
      </c>
      <c r="K616" s="26">
        <f t="shared" si="95"/>
        <v>9.990007542650392E-3</v>
      </c>
      <c r="L616" s="26">
        <f t="shared" si="96"/>
        <v>-4.264370162937059E-2</v>
      </c>
      <c r="M616" s="26">
        <f t="shared" si="97"/>
        <v>-0.10827529471479203</v>
      </c>
      <c r="N616" s="26">
        <f t="shared" si="98"/>
        <v>-6.1145192719530117E-2</v>
      </c>
      <c r="O616" s="26">
        <f t="shared" si="99"/>
        <v>-0.10904248068647959</v>
      </c>
    </row>
    <row r="617" spans="1:15" x14ac:dyDescent="0.25">
      <c r="A617" s="2">
        <v>44624</v>
      </c>
      <c r="B617">
        <v>193875</v>
      </c>
      <c r="C617">
        <v>244198</v>
      </c>
      <c r="D617">
        <v>754471</v>
      </c>
      <c r="F617">
        <f t="shared" si="90"/>
        <v>0.36734325945206214</v>
      </c>
      <c r="G617">
        <f t="shared" si="91"/>
        <v>-0.69329822518553808</v>
      </c>
      <c r="H617">
        <f t="shared" si="92"/>
        <v>1.2595641521598968</v>
      </c>
      <c r="I617">
        <f t="shared" si="93"/>
        <v>-0.52280115827292817</v>
      </c>
      <c r="J617" s="26">
        <f t="shared" si="94"/>
        <v>3.4239550229149096E-2</v>
      </c>
      <c r="K617" s="26">
        <f t="shared" si="95"/>
        <v>6.9255261666256174E-3</v>
      </c>
      <c r="L617" s="26">
        <f t="shared" si="96"/>
        <v>-4.5027850534042624E-2</v>
      </c>
      <c r="M617" s="26">
        <f t="shared" si="97"/>
        <v>-0.10589516350633188</v>
      </c>
      <c r="N617" s="26">
        <f t="shared" si="98"/>
        <v>-5.8152824820471016E-2</v>
      </c>
      <c r="O617" s="26">
        <f t="shared" si="99"/>
        <v>-0.10964716394435059</v>
      </c>
    </row>
    <row r="618" spans="1:15" x14ac:dyDescent="0.25">
      <c r="A618" s="2">
        <v>44623</v>
      </c>
      <c r="B618">
        <v>193620</v>
      </c>
      <c r="C618">
        <v>244923</v>
      </c>
      <c r="D618">
        <v>754638</v>
      </c>
      <c r="F618">
        <f t="shared" si="90"/>
        <v>0.36754105202814996</v>
      </c>
      <c r="G618">
        <f t="shared" si="91"/>
        <v>-0.69387015493072668</v>
      </c>
      <c r="H618">
        <f t="shared" si="92"/>
        <v>1.2649674620390456</v>
      </c>
      <c r="I618">
        <f t="shared" si="93"/>
        <v>-0.47612555319670863</v>
      </c>
      <c r="J618" s="26">
        <f t="shared" si="94"/>
        <v>3.5043544490296008E-2</v>
      </c>
      <c r="K618" s="26">
        <f t="shared" si="95"/>
        <v>3.8321808604996899E-3</v>
      </c>
      <c r="L618" s="26">
        <f t="shared" si="96"/>
        <v>-4.7404825688227514E-2</v>
      </c>
      <c r="M618" s="26">
        <f t="shared" si="97"/>
        <v>-0.10282123058399861</v>
      </c>
      <c r="N618" s="26">
        <f t="shared" si="98"/>
        <v>-5.445486071787542E-2</v>
      </c>
      <c r="O618" s="26">
        <f t="shared" si="99"/>
        <v>-0.10989068619283349</v>
      </c>
    </row>
    <row r="619" spans="1:15" x14ac:dyDescent="0.25">
      <c r="A619" s="2">
        <v>44622</v>
      </c>
      <c r="B619">
        <v>197045</v>
      </c>
      <c r="C619">
        <v>241071</v>
      </c>
      <c r="D619">
        <v>752022</v>
      </c>
      <c r="F619">
        <f t="shared" si="90"/>
        <v>0.36812201610233436</v>
      </c>
      <c r="G619">
        <f t="shared" si="91"/>
        <v>-0.68910295817182443</v>
      </c>
      <c r="H619">
        <f t="shared" si="92"/>
        <v>1.2234311959197137</v>
      </c>
      <c r="I619">
        <f t="shared" si="93"/>
        <v>-0.92754069451889332</v>
      </c>
      <c r="J619" s="26">
        <f t="shared" si="94"/>
        <v>3.6036409016350801E-2</v>
      </c>
      <c r="K619" s="26">
        <f t="shared" si="95"/>
        <v>5.6189065752942913E-4</v>
      </c>
      <c r="L619" s="26">
        <f t="shared" si="96"/>
        <v>-4.9936516784573504E-2</v>
      </c>
      <c r="M619" s="26">
        <f t="shared" si="97"/>
        <v>-0.10096305424939467</v>
      </c>
      <c r="N619" s="26">
        <f t="shared" si="98"/>
        <v>-5.1430505989877418E-2</v>
      </c>
      <c r="O619" s="26">
        <f t="shared" si="99"/>
        <v>-0.11084427055650248</v>
      </c>
    </row>
    <row r="620" spans="1:15" x14ac:dyDescent="0.25">
      <c r="A620" s="2">
        <v>44621</v>
      </c>
      <c r="B620">
        <v>195345</v>
      </c>
      <c r="C620">
        <v>234346</v>
      </c>
      <c r="D620">
        <v>766575</v>
      </c>
      <c r="F620">
        <f t="shared" si="90"/>
        <v>0.35919352384837488</v>
      </c>
      <c r="G620">
        <f t="shared" si="91"/>
        <v>-0.81422013026766626</v>
      </c>
      <c r="H620">
        <f t="shared" si="92"/>
        <v>1.1996518979241855</v>
      </c>
      <c r="I620">
        <f t="shared" si="93"/>
        <v>-1.1814374048669805</v>
      </c>
      <c r="J620" s="26">
        <f t="shared" si="94"/>
        <v>3.7108326102353151E-2</v>
      </c>
      <c r="K620" s="26">
        <f t="shared" si="95"/>
        <v>-2.6327391960858648E-3</v>
      </c>
      <c r="L620" s="26">
        <f t="shared" si="96"/>
        <v>-5.2465514241163191E-2</v>
      </c>
      <c r="M620" s="26">
        <f t="shared" si="97"/>
        <v>-9.4369861359516527E-2</v>
      </c>
      <c r="N620" s="26">
        <f t="shared" si="98"/>
        <v>-4.3722128707851526E-2</v>
      </c>
      <c r="O620" s="26">
        <f t="shared" si="99"/>
        <v>-0.10731575533780635</v>
      </c>
    </row>
    <row r="621" spans="1:15" x14ac:dyDescent="0.25">
      <c r="A621" s="2">
        <v>44620</v>
      </c>
      <c r="B621">
        <v>198430</v>
      </c>
      <c r="C621">
        <v>235589</v>
      </c>
      <c r="D621">
        <v>776781</v>
      </c>
      <c r="F621">
        <f t="shared" si="90"/>
        <v>0.35845639246778987</v>
      </c>
      <c r="G621">
        <f t="shared" si="91"/>
        <v>-0.82821996614880977</v>
      </c>
      <c r="H621">
        <f t="shared" si="92"/>
        <v>1.1872650304893413</v>
      </c>
      <c r="I621">
        <f t="shared" si="93"/>
        <v>-1.3112006295750191</v>
      </c>
      <c r="J621" s="26">
        <f t="shared" si="94"/>
        <v>3.8114258893776454E-2</v>
      </c>
      <c r="K621" s="26">
        <f t="shared" si="95"/>
        <v>-5.7255975985663898E-3</v>
      </c>
      <c r="L621" s="26">
        <f t="shared" si="96"/>
        <v>-5.4859700052773797E-2</v>
      </c>
      <c r="M621" s="26">
        <f t="shared" si="97"/>
        <v>-8.6735025062814053E-2</v>
      </c>
      <c r="N621" s="26">
        <f t="shared" si="98"/>
        <v>-3.5189993256275809E-2</v>
      </c>
      <c r="O621" s="26">
        <f t="shared" si="99"/>
        <v>-0.10266765871416816</v>
      </c>
    </row>
    <row r="622" spans="1:15" x14ac:dyDescent="0.25">
      <c r="A622" s="2">
        <v>44617</v>
      </c>
      <c r="B622">
        <v>198882</v>
      </c>
      <c r="C622">
        <v>238850</v>
      </c>
      <c r="D622">
        <v>774885</v>
      </c>
      <c r="F622">
        <f t="shared" si="90"/>
        <v>0.36098124964436423</v>
      </c>
      <c r="G622">
        <f t="shared" si="91"/>
        <v>-0.79756515642451276</v>
      </c>
      <c r="H622">
        <f t="shared" si="92"/>
        <v>1.200963385323961</v>
      </c>
      <c r="I622">
        <f t="shared" si="93"/>
        <v>-1.1784831744150404</v>
      </c>
      <c r="J622" s="26">
        <f t="shared" si="94"/>
        <v>3.9107751947784597E-2</v>
      </c>
      <c r="K622" s="26">
        <f t="shared" si="95"/>
        <v>-8.7922470662006313E-3</v>
      </c>
      <c r="L622" s="26">
        <f t="shared" si="96"/>
        <v>-5.7251651352593858E-2</v>
      </c>
      <c r="M622" s="26">
        <f t="shared" si="97"/>
        <v>-7.7566720226770691E-2</v>
      </c>
      <c r="N622" s="26">
        <f t="shared" si="98"/>
        <v>-2.5538531207404347E-2</v>
      </c>
      <c r="O622" s="26">
        <f t="shared" si="99"/>
        <v>-9.6864279499566663E-2</v>
      </c>
    </row>
    <row r="623" spans="1:15" x14ac:dyDescent="0.25">
      <c r="A623" s="2">
        <v>44616</v>
      </c>
      <c r="B623">
        <v>199857</v>
      </c>
      <c r="C623">
        <v>237425</v>
      </c>
      <c r="D623">
        <v>774613</v>
      </c>
      <c r="F623">
        <f t="shared" si="90"/>
        <v>0.36082498896356535</v>
      </c>
      <c r="G623">
        <f t="shared" si="91"/>
        <v>-0.80344275201607673</v>
      </c>
      <c r="H623">
        <f t="shared" si="92"/>
        <v>1.1879744016972136</v>
      </c>
      <c r="I623">
        <f t="shared" si="93"/>
        <v>-1.3050324153074024</v>
      </c>
      <c r="J623" s="26">
        <f t="shared" si="94"/>
        <v>3.9966005405811633E-2</v>
      </c>
      <c r="K623" s="26">
        <f t="shared" si="95"/>
        <v>-1.1952638927862136E-2</v>
      </c>
      <c r="L623" s="26">
        <f t="shared" si="96"/>
        <v>-5.9743380782889877E-2</v>
      </c>
      <c r="M623" s="26">
        <f t="shared" si="97"/>
        <v>-7.1406099618292362E-2</v>
      </c>
      <c r="N623" s="26">
        <f t="shared" si="98"/>
        <v>-1.815495282787527E-2</v>
      </c>
      <c r="O623" s="26">
        <f t="shared" si="99"/>
        <v>-9.309221097154996E-2</v>
      </c>
    </row>
    <row r="624" spans="1:15" x14ac:dyDescent="0.25">
      <c r="A624" s="2">
        <v>44615</v>
      </c>
      <c r="B624">
        <v>197942</v>
      </c>
      <c r="C624">
        <v>237365</v>
      </c>
      <c r="D624">
        <v>772944</v>
      </c>
      <c r="F624">
        <f t="shared" si="90"/>
        <v>0.36027861760511681</v>
      </c>
      <c r="G624">
        <f t="shared" si="91"/>
        <v>-0.81469108987413663</v>
      </c>
      <c r="H624">
        <f t="shared" si="92"/>
        <v>1.1991644016934253</v>
      </c>
      <c r="I624">
        <f t="shared" si="93"/>
        <v>-1.1957991527259428</v>
      </c>
      <c r="J624" s="26">
        <f t="shared" si="94"/>
        <v>4.0858106318693466E-2</v>
      </c>
      <c r="K624" s="26">
        <f t="shared" si="95"/>
        <v>-1.5108518719327224E-2</v>
      </c>
      <c r="L624" s="26">
        <f t="shared" si="96"/>
        <v>-6.2219249257822518E-2</v>
      </c>
      <c r="M624" s="26">
        <f t="shared" si="97"/>
        <v>-6.4600030170358202E-2</v>
      </c>
      <c r="N624" s="26">
        <f t="shared" si="98"/>
        <v>-1.032522690024984E-2</v>
      </c>
      <c r="O624" s="26">
        <f t="shared" si="99"/>
        <v>-8.8540879980144149E-2</v>
      </c>
    </row>
    <row r="625" spans="1:15" x14ac:dyDescent="0.25">
      <c r="A625" s="2">
        <v>44614</v>
      </c>
      <c r="B625">
        <v>195517</v>
      </c>
      <c r="C625">
        <v>238315</v>
      </c>
      <c r="D625">
        <v>771382</v>
      </c>
      <c r="F625">
        <f t="shared" si="90"/>
        <v>0.35996262904347276</v>
      </c>
      <c r="G625">
        <f t="shared" si="91"/>
        <v>-0.82282254366832885</v>
      </c>
      <c r="H625">
        <f t="shared" si="92"/>
        <v>1.218896566538971</v>
      </c>
      <c r="I625">
        <f t="shared" si="93"/>
        <v>-1.0134427533750643</v>
      </c>
      <c r="J625" s="26">
        <f t="shared" si="94"/>
        <v>4.1035013344129401E-2</v>
      </c>
      <c r="K625" s="26">
        <f t="shared" si="95"/>
        <v>-1.8693566175730369E-2</v>
      </c>
      <c r="L625" s="26">
        <f t="shared" si="96"/>
        <v>-6.5101592812755626E-2</v>
      </c>
      <c r="M625" s="26">
        <f t="shared" si="97"/>
        <v>-5.5598830824245438E-2</v>
      </c>
      <c r="N625" s="26">
        <f t="shared" si="98"/>
        <v>-7.9901519895586581E-4</v>
      </c>
      <c r="O625" s="26">
        <f t="shared" si="99"/>
        <v>-8.2925661818176399E-2</v>
      </c>
    </row>
    <row r="626" spans="1:15" x14ac:dyDescent="0.25">
      <c r="A626" s="2">
        <v>44613</v>
      </c>
      <c r="B626">
        <v>195117</v>
      </c>
      <c r="C626">
        <v>237215</v>
      </c>
      <c r="D626">
        <v>767229</v>
      </c>
      <c r="F626">
        <f t="shared" si="90"/>
        <v>0.36040851611547892</v>
      </c>
      <c r="G626">
        <f t="shared" si="91"/>
        <v>-0.82038340363631801</v>
      </c>
      <c r="H626">
        <f t="shared" si="92"/>
        <v>1.2157577248522682</v>
      </c>
      <c r="I626">
        <f t="shared" si="93"/>
        <v>-1.0405330796671495</v>
      </c>
      <c r="J626" s="26">
        <f t="shared" si="94"/>
        <v>4.1182288533022915E-2</v>
      </c>
      <c r="K626" s="26">
        <f t="shared" si="95"/>
        <v>-2.2411234382323675E-2</v>
      </c>
      <c r="L626" s="26">
        <f t="shared" si="96"/>
        <v>-6.8068512809722481E-2</v>
      </c>
      <c r="M626" s="26">
        <f t="shared" si="97"/>
        <v>-4.5055549437602593E-2</v>
      </c>
      <c r="N626" s="26">
        <f t="shared" si="98"/>
        <v>8.3157149113488593E-3</v>
      </c>
      <c r="O626" s="26">
        <f t="shared" si="99"/>
        <v>-7.7462176703516183E-2</v>
      </c>
    </row>
    <row r="627" spans="1:15" x14ac:dyDescent="0.25">
      <c r="A627" s="2">
        <v>44610</v>
      </c>
      <c r="B627">
        <v>193917</v>
      </c>
      <c r="C627">
        <v>235737</v>
      </c>
      <c r="D627">
        <v>764990</v>
      </c>
      <c r="F627">
        <f t="shared" si="90"/>
        <v>0.359650238899622</v>
      </c>
      <c r="G627">
        <f t="shared" si="91"/>
        <v>-0.83444111067075599</v>
      </c>
      <c r="H627">
        <f t="shared" si="92"/>
        <v>1.2156592769071304</v>
      </c>
      <c r="I627">
        <f t="shared" si="93"/>
        <v>-1.0422164023753273</v>
      </c>
      <c r="J627" s="26">
        <f t="shared" si="94"/>
        <v>4.1293368155054411E-2</v>
      </c>
      <c r="K627" s="26">
        <f t="shared" si="95"/>
        <v>-2.6147181462171043E-2</v>
      </c>
      <c r="L627" s="26">
        <f t="shared" si="96"/>
        <v>-7.1057403862417212E-2</v>
      </c>
      <c r="M627" s="26">
        <f t="shared" si="97"/>
        <v>-3.4767656339538489E-2</v>
      </c>
      <c r="N627" s="26">
        <f t="shared" si="98"/>
        <v>1.7187184527594601E-2</v>
      </c>
      <c r="O627" s="26">
        <f t="shared" si="99"/>
        <v>-7.2132674810497788E-2</v>
      </c>
    </row>
    <row r="628" spans="1:15" x14ac:dyDescent="0.25">
      <c r="A628" s="2">
        <v>44609</v>
      </c>
      <c r="B628">
        <v>191897</v>
      </c>
      <c r="C628">
        <v>234587</v>
      </c>
      <c r="D628">
        <v>766255</v>
      </c>
      <c r="F628">
        <f t="shared" si="90"/>
        <v>0.3575669111180233</v>
      </c>
      <c r="G628">
        <f t="shared" si="91"/>
        <v>-0.86651667338886273</v>
      </c>
      <c r="H628">
        <f t="shared" si="92"/>
        <v>1.2224630921796589</v>
      </c>
      <c r="I628">
        <f t="shared" si="93"/>
        <v>-0.98782009651863412</v>
      </c>
      <c r="J628" s="26">
        <f t="shared" si="94"/>
        <v>4.1216661776451002E-2</v>
      </c>
      <c r="K628" s="26">
        <f t="shared" si="95"/>
        <v>-3.0002818792940145E-2</v>
      </c>
      <c r="L628" s="26">
        <f t="shared" si="96"/>
        <v>-7.4185643898105003E-2</v>
      </c>
      <c r="M628" s="26">
        <f t="shared" si="97"/>
        <v>-2.7356058920892545E-2</v>
      </c>
      <c r="N628" s="26">
        <f t="shared" si="98"/>
        <v>2.4259343081636464E-2</v>
      </c>
      <c r="O628" s="26">
        <f t="shared" si="99"/>
        <v>-6.828430418438125E-2</v>
      </c>
    </row>
    <row r="629" spans="1:15" x14ac:dyDescent="0.25">
      <c r="A629" s="2">
        <v>44608</v>
      </c>
      <c r="B629">
        <v>187347</v>
      </c>
      <c r="C629">
        <v>228183</v>
      </c>
      <c r="D629">
        <v>764290</v>
      </c>
      <c r="F629">
        <f t="shared" si="90"/>
        <v>0.35219779288366021</v>
      </c>
      <c r="G629">
        <f t="shared" si="91"/>
        <v>-0.94423515213195475</v>
      </c>
      <c r="H629">
        <f t="shared" si="92"/>
        <v>1.2179698634085414</v>
      </c>
      <c r="I629">
        <f t="shared" si="93"/>
        <v>-1.0289453985081189</v>
      </c>
      <c r="J629" s="26">
        <f t="shared" si="94"/>
        <v>4.0883510912388177E-2</v>
      </c>
      <c r="K629" s="26">
        <f t="shared" si="95"/>
        <v>-3.4047531778287232E-2</v>
      </c>
      <c r="L629" s="26">
        <f t="shared" si="96"/>
        <v>-7.7443395854069341E-2</v>
      </c>
      <c r="M629" s="26">
        <f t="shared" si="97"/>
        <v>-2.3738140455146217E-2</v>
      </c>
      <c r="N629" s="26">
        <f t="shared" si="98"/>
        <v>2.8710609428876488E-2</v>
      </c>
      <c r="O629" s="26">
        <f t="shared" si="99"/>
        <v>-6.6695543427784054E-2</v>
      </c>
    </row>
    <row r="630" spans="1:15" x14ac:dyDescent="0.25">
      <c r="A630" s="2">
        <v>44607</v>
      </c>
      <c r="B630">
        <v>186273</v>
      </c>
      <c r="C630">
        <v>226106</v>
      </c>
      <c r="D630">
        <v>763138</v>
      </c>
      <c r="F630">
        <f t="shared" si="90"/>
        <v>0.35080649620549936</v>
      </c>
      <c r="G630">
        <f t="shared" si="91"/>
        <v>-0.96755041107983086</v>
      </c>
      <c r="H630">
        <f t="shared" si="92"/>
        <v>1.2138420490355553</v>
      </c>
      <c r="I630">
        <f t="shared" si="93"/>
        <v>-1.0689389335210813</v>
      </c>
      <c r="J630" s="26">
        <f t="shared" si="94"/>
        <v>4.2656271943775914E-2</v>
      </c>
      <c r="K630" s="26">
        <f t="shared" si="95"/>
        <v>-3.8136303093939505E-2</v>
      </c>
      <c r="L630" s="26">
        <f t="shared" si="96"/>
        <v>-8.0714782367971194E-2</v>
      </c>
      <c r="M630" s="26">
        <f t="shared" si="97"/>
        <v>-2.0518355920899234E-2</v>
      </c>
      <c r="N630" s="26">
        <f t="shared" si="98"/>
        <v>3.3035362818693903E-2</v>
      </c>
      <c r="O630" s="26">
        <f t="shared" si="99"/>
        <v>-6.5036796359857707E-2</v>
      </c>
    </row>
    <row r="631" spans="1:15" x14ac:dyDescent="0.25">
      <c r="A631" s="2">
        <v>44606</v>
      </c>
      <c r="B631">
        <v>183948</v>
      </c>
      <c r="C631">
        <v>225306</v>
      </c>
      <c r="D631">
        <v>762978</v>
      </c>
      <c r="F631">
        <f t="shared" si="90"/>
        <v>0.34912372294904082</v>
      </c>
      <c r="G631">
        <f t="shared" si="91"/>
        <v>-0.99500284885943413</v>
      </c>
      <c r="H631">
        <f t="shared" si="92"/>
        <v>1.2248352795355208</v>
      </c>
      <c r="I631">
        <f t="shared" si="93"/>
        <v>-0.98999540052357216</v>
      </c>
      <c r="J631" s="26">
        <f t="shared" si="94"/>
        <v>4.393594018888386E-2</v>
      </c>
      <c r="K631" s="26">
        <f t="shared" si="95"/>
        <v>-4.2613190746900065E-2</v>
      </c>
      <c r="L631" s="26">
        <f t="shared" si="96"/>
        <v>-8.4312868828782139E-2</v>
      </c>
      <c r="M631" s="26">
        <f t="shared" si="97"/>
        <v>-1.6061913862621457E-2</v>
      </c>
      <c r="N631" s="26">
        <f t="shared" si="98"/>
        <v>3.8563946325510745E-2</v>
      </c>
      <c r="O631" s="26">
        <f t="shared" si="99"/>
        <v>-6.2330512760797152E-2</v>
      </c>
    </row>
    <row r="632" spans="1:15" x14ac:dyDescent="0.25">
      <c r="A632" s="2">
        <v>44603</v>
      </c>
      <c r="B632">
        <v>183823</v>
      </c>
      <c r="C632">
        <v>225280</v>
      </c>
      <c r="D632">
        <v>760540</v>
      </c>
      <c r="F632">
        <f t="shared" si="90"/>
        <v>0.34976740766199599</v>
      </c>
      <c r="G632">
        <f t="shared" si="91"/>
        <v>-0.99016626998282564</v>
      </c>
      <c r="H632">
        <f t="shared" si="92"/>
        <v>1.2255267295169809</v>
      </c>
      <c r="I632">
        <f t="shared" si="93"/>
        <v>-0.99609974910220589</v>
      </c>
      <c r="J632" s="26">
        <f t="shared" si="94"/>
        <v>4.5247783515001194E-2</v>
      </c>
      <c r="K632" s="26">
        <f t="shared" si="95"/>
        <v>-4.7001310907201665E-2</v>
      </c>
      <c r="L632" s="26">
        <f t="shared" si="96"/>
        <v>-8.784532118155447E-2</v>
      </c>
      <c r="M632" s="26">
        <f t="shared" si="97"/>
        <v>-1.2068528493702768E-2</v>
      </c>
      <c r="N632" s="26">
        <f t="shared" si="98"/>
        <v>4.3685796926157039E-2</v>
      </c>
      <c r="O632" s="26">
        <f t="shared" si="99"/>
        <v>-6.034731169321228E-2</v>
      </c>
    </row>
    <row r="633" spans="1:15" x14ac:dyDescent="0.25">
      <c r="A633" s="2">
        <v>44602</v>
      </c>
      <c r="B633">
        <v>182693</v>
      </c>
      <c r="C633">
        <v>223580</v>
      </c>
      <c r="D633">
        <v>764024</v>
      </c>
      <c r="F633">
        <f t="shared" si="90"/>
        <v>0.34715375669594983</v>
      </c>
      <c r="G633">
        <f t="shared" si="91"/>
        <v>-1.0302909461218372</v>
      </c>
      <c r="H633">
        <f t="shared" si="92"/>
        <v>1.2238016782252195</v>
      </c>
      <c r="I633">
        <f t="shared" si="93"/>
        <v>-1.0209198310724743</v>
      </c>
      <c r="J633" s="26">
        <f t="shared" si="94"/>
        <v>4.6639617823279522E-2</v>
      </c>
      <c r="K633" s="26">
        <f t="shared" si="95"/>
        <v>-5.1322676378444898E-2</v>
      </c>
      <c r="L633" s="26">
        <f t="shared" si="96"/>
        <v>-9.133811004969411E-2</v>
      </c>
      <c r="M633" s="26">
        <f t="shared" si="97"/>
        <v>-8.5570605914093711E-3</v>
      </c>
      <c r="N633" s="26">
        <f t="shared" si="98"/>
        <v>4.9334652750484764E-2</v>
      </c>
      <c r="O633" s="26">
        <f t="shared" si="99"/>
        <v>-5.8098261560779019E-2</v>
      </c>
    </row>
    <row r="634" spans="1:15" x14ac:dyDescent="0.25">
      <c r="A634" s="2">
        <v>44601</v>
      </c>
      <c r="B634">
        <v>178518</v>
      </c>
      <c r="C634">
        <v>215580</v>
      </c>
      <c r="D634">
        <v>765741</v>
      </c>
      <c r="F634">
        <f t="shared" si="90"/>
        <v>0.33978681523901161</v>
      </c>
      <c r="G634">
        <f t="shared" si="91"/>
        <v>-1.1361721731966823</v>
      </c>
      <c r="H634">
        <f t="shared" si="92"/>
        <v>1.207609316707559</v>
      </c>
      <c r="I634">
        <f t="shared" si="93"/>
        <v>-1.155894668447955</v>
      </c>
      <c r="J634" s="26">
        <f t="shared" si="94"/>
        <v>4.8401070215611464E-2</v>
      </c>
      <c r="K634" s="26">
        <f t="shared" si="95"/>
        <v>-5.5648790099895096E-2</v>
      </c>
      <c r="L634" s="26">
        <f t="shared" si="96"/>
        <v>-9.4770712348983266E-2</v>
      </c>
      <c r="M634" s="26">
        <f t="shared" si="97"/>
        <v>-6.4455018920577256E-3</v>
      </c>
      <c r="N634" s="26">
        <f t="shared" si="98"/>
        <v>5.4682432916396628E-2</v>
      </c>
      <c r="O634" s="26">
        <f t="shared" si="99"/>
        <v>-5.6043999067940886E-2</v>
      </c>
    </row>
    <row r="635" spans="1:15" x14ac:dyDescent="0.25">
      <c r="A635" s="2">
        <v>44600</v>
      </c>
      <c r="B635">
        <v>176943</v>
      </c>
      <c r="C635">
        <v>216195</v>
      </c>
      <c r="D635">
        <v>765404</v>
      </c>
      <c r="F635">
        <f t="shared" si="90"/>
        <v>0.33933858245967774</v>
      </c>
      <c r="G635">
        <f t="shared" si="91"/>
        <v>-1.1463733359690842</v>
      </c>
      <c r="H635">
        <f t="shared" si="92"/>
        <v>1.2218341499805021</v>
      </c>
      <c r="I635">
        <f t="shared" si="93"/>
        <v>-1.0625719920709809</v>
      </c>
      <c r="J635" s="26">
        <f t="shared" si="94"/>
        <v>5.0915386616562475E-2</v>
      </c>
      <c r="K635" s="26">
        <f t="shared" si="95"/>
        <v>-5.9491333081958919E-2</v>
      </c>
      <c r="L635" s="26">
        <f t="shared" si="96"/>
        <v>-9.7706371207008536E-2</v>
      </c>
      <c r="M635" s="26">
        <f t="shared" si="97"/>
        <v>-3.6600996379536621E-3</v>
      </c>
      <c r="N635" s="26">
        <f t="shared" si="98"/>
        <v>6.0263431753455832E-2</v>
      </c>
      <c r="O635" s="26">
        <f t="shared" si="99"/>
        <v>-5.3598765689227168E-2</v>
      </c>
    </row>
    <row r="636" spans="1:15" x14ac:dyDescent="0.25">
      <c r="A636" s="2">
        <v>44599</v>
      </c>
      <c r="B636">
        <v>174493</v>
      </c>
      <c r="C636">
        <v>228005</v>
      </c>
      <c r="D636">
        <v>761219</v>
      </c>
      <c r="F636">
        <f t="shared" si="90"/>
        <v>0.34587275084921848</v>
      </c>
      <c r="G636">
        <f t="shared" si="91"/>
        <v>-1.0582764111640866</v>
      </c>
      <c r="H636">
        <f t="shared" si="92"/>
        <v>1.3066713277896536</v>
      </c>
      <c r="I636">
        <f t="shared" si="93"/>
        <v>-0.44282546401866746</v>
      </c>
      <c r="J636" s="26">
        <f t="shared" si="94"/>
        <v>4.1064307982046411E-2</v>
      </c>
      <c r="K636" s="26">
        <f t="shared" si="95"/>
        <v>-6.3612638472602845E-2</v>
      </c>
      <c r="L636" s="26">
        <f t="shared" si="96"/>
        <v>-0.10085933517699736</v>
      </c>
      <c r="M636" s="26">
        <f t="shared" si="97"/>
        <v>1.2764157886225869E-2</v>
      </c>
      <c r="N636" s="26">
        <f t="shared" si="98"/>
        <v>6.4455932280869987E-2</v>
      </c>
      <c r="O636" s="26">
        <f t="shared" si="99"/>
        <v>-5.2325759914628067E-2</v>
      </c>
    </row>
    <row r="637" spans="1:15" x14ac:dyDescent="0.25">
      <c r="A637" s="2">
        <v>44596</v>
      </c>
      <c r="B637">
        <v>173618</v>
      </c>
      <c r="C637">
        <v>226731</v>
      </c>
      <c r="D637">
        <v>759438</v>
      </c>
      <c r="F637">
        <f t="shared" si="90"/>
        <v>0.34519183263823444</v>
      </c>
      <c r="G637">
        <f t="shared" si="91"/>
        <v>-1.0698151824601474</v>
      </c>
      <c r="H637">
        <f t="shared" si="92"/>
        <v>1.3059187411443514</v>
      </c>
      <c r="I637">
        <f t="shared" si="93"/>
        <v>-0.46052456733924835</v>
      </c>
      <c r="J637" s="26">
        <f t="shared" si="94"/>
        <v>3.0814510888686142E-2</v>
      </c>
      <c r="K637" s="26">
        <f t="shared" si="95"/>
        <v>-6.8109301711997472E-2</v>
      </c>
      <c r="L637" s="26">
        <f t="shared" si="96"/>
        <v>-0.10437281126955067</v>
      </c>
      <c r="M637" s="26">
        <f t="shared" si="97"/>
        <v>2.4209201806759006E-2</v>
      </c>
      <c r="N637" s="26">
        <f t="shared" si="98"/>
        <v>6.3773470037460145E-2</v>
      </c>
      <c r="O637" s="26">
        <f t="shared" si="99"/>
        <v>-5.5443108355838655E-2</v>
      </c>
    </row>
    <row r="638" spans="1:15" x14ac:dyDescent="0.25">
      <c r="A638" s="2">
        <v>44595</v>
      </c>
      <c r="B638">
        <v>170493</v>
      </c>
      <c r="C638">
        <v>224180</v>
      </c>
      <c r="D638">
        <v>758459</v>
      </c>
      <c r="F638">
        <f t="shared" si="90"/>
        <v>0.34226177055185358</v>
      </c>
      <c r="G638">
        <f t="shared" si="91"/>
        <v>-1.1121734397013521</v>
      </c>
      <c r="H638">
        <f t="shared" si="92"/>
        <v>1.3148926935416703</v>
      </c>
      <c r="I638">
        <f t="shared" si="93"/>
        <v>-0.4071862615840075</v>
      </c>
      <c r="J638" s="26">
        <f t="shared" si="94"/>
        <v>2.0504801276899021E-2</v>
      </c>
      <c r="K638" s="26">
        <f t="shared" si="95"/>
        <v>-7.2707816356700705E-2</v>
      </c>
      <c r="L638" s="26">
        <f t="shared" si="96"/>
        <v>-0.10795692063510032</v>
      </c>
      <c r="M638" s="26">
        <f t="shared" si="97"/>
        <v>3.5185551758484479E-2</v>
      </c>
      <c r="N638" s="26">
        <f t="shared" si="98"/>
        <v>6.2905913587935736E-2</v>
      </c>
      <c r="O638" s="26">
        <f t="shared" si="99"/>
        <v>-5.8382927210857138E-2</v>
      </c>
    </row>
    <row r="639" spans="1:15" x14ac:dyDescent="0.25">
      <c r="A639" s="2">
        <v>44594</v>
      </c>
      <c r="B639">
        <v>168744</v>
      </c>
      <c r="C639">
        <v>220747</v>
      </c>
      <c r="D639">
        <v>757893</v>
      </c>
      <c r="F639">
        <f t="shared" si="90"/>
        <v>0.3394600238455478</v>
      </c>
      <c r="G639">
        <f t="shared" si="91"/>
        <v>-1.1526753883655774</v>
      </c>
      <c r="H639">
        <f t="shared" si="92"/>
        <v>1.308176883326222</v>
      </c>
      <c r="I639">
        <f t="shared" si="93"/>
        <v>-0.46783547020182809</v>
      </c>
      <c r="J639" s="26">
        <f t="shared" si="94"/>
        <v>1.0157504731010458E-2</v>
      </c>
      <c r="K639" s="26">
        <f t="shared" si="95"/>
        <v>-7.7255626288525669E-2</v>
      </c>
      <c r="L639" s="26">
        <f t="shared" si="96"/>
        <v>-0.11146347282220914</v>
      </c>
      <c r="M639" s="26">
        <f t="shared" si="97"/>
        <v>4.4314502469744443E-2</v>
      </c>
      <c r="N639" s="26">
        <f t="shared" si="98"/>
        <v>6.1605314041615733E-2</v>
      </c>
      <c r="O639" s="26">
        <f t="shared" si="99"/>
        <v>-6.1378157996817784E-2</v>
      </c>
    </row>
    <row r="640" spans="1:15" x14ac:dyDescent="0.25">
      <c r="A640" s="2">
        <v>44593</v>
      </c>
      <c r="B640">
        <v>165484</v>
      </c>
      <c r="C640">
        <v>224303</v>
      </c>
      <c r="D640">
        <v>755452</v>
      </c>
      <c r="F640">
        <f t="shared" si="90"/>
        <v>0.34035428412759255</v>
      </c>
      <c r="G640">
        <f t="shared" si="91"/>
        <v>-1.1417119615201694</v>
      </c>
      <c r="H640">
        <f t="shared" si="92"/>
        <v>1.3554361750984989</v>
      </c>
      <c r="I640">
        <f t="shared" si="93"/>
        <v>-0.1428363748745608</v>
      </c>
      <c r="J640" s="26">
        <f t="shared" si="94"/>
        <v>-7.4013104418252373E-4</v>
      </c>
      <c r="K640" s="26">
        <f t="shared" si="95"/>
        <v>-8.2308534124445054E-2</v>
      </c>
      <c r="L640" s="26">
        <f t="shared" si="96"/>
        <v>-0.11535859160265055</v>
      </c>
      <c r="M640" s="26">
        <f t="shared" si="97"/>
        <v>5.2976753827221224E-2</v>
      </c>
      <c r="N640" s="26">
        <f t="shared" si="98"/>
        <v>6.1166709488413407E-2</v>
      </c>
      <c r="O640" s="26">
        <f t="shared" si="99"/>
        <v>-6.3850236468955712E-2</v>
      </c>
    </row>
    <row r="641" spans="1:15" x14ac:dyDescent="0.25">
      <c r="A641" s="2">
        <v>44592</v>
      </c>
      <c r="B641">
        <v>164659</v>
      </c>
      <c r="C641">
        <v>223153</v>
      </c>
      <c r="D641">
        <v>768759</v>
      </c>
      <c r="F641">
        <f t="shared" si="90"/>
        <v>0.3353118831442255</v>
      </c>
      <c r="G641">
        <f t="shared" si="91"/>
        <v>-1.2129552709670173</v>
      </c>
      <c r="H641">
        <f t="shared" si="92"/>
        <v>1.3552432603137392</v>
      </c>
      <c r="I641">
        <f t="shared" si="93"/>
        <v>-0.15597745174349639</v>
      </c>
      <c r="J641" s="26">
        <f t="shared" si="94"/>
        <v>-1.168983639819654E-2</v>
      </c>
      <c r="K641" s="26">
        <f t="shared" si="95"/>
        <v>-8.7431869971952014E-2</v>
      </c>
      <c r="L641" s="26">
        <f t="shared" si="96"/>
        <v>-0.11931128335744851</v>
      </c>
      <c r="M641" s="26">
        <f t="shared" si="97"/>
        <v>6.2247962956466729E-2</v>
      </c>
      <c r="N641" s="26">
        <f t="shared" si="98"/>
        <v>6.0729314898680942E-2</v>
      </c>
      <c r="O641" s="26">
        <f t="shared" si="99"/>
        <v>-6.6416884366035989E-2</v>
      </c>
    </row>
    <row r="642" spans="1:15" x14ac:dyDescent="0.25">
      <c r="A642" s="2">
        <v>44589</v>
      </c>
      <c r="B642">
        <v>163409</v>
      </c>
      <c r="C642">
        <v>223078</v>
      </c>
      <c r="D642">
        <v>767962</v>
      </c>
      <c r="F642">
        <f t="shared" si="90"/>
        <v>0.33478048835418456</v>
      </c>
      <c r="G642">
        <f t="shared" si="91"/>
        <v>-1.2205133502870431</v>
      </c>
      <c r="H642">
        <f t="shared" si="92"/>
        <v>1.365151246259386</v>
      </c>
      <c r="I642">
        <f t="shared" si="93"/>
        <v>-9.8291421191566877E-2</v>
      </c>
      <c r="J642" s="26">
        <f t="shared" si="94"/>
        <v>-2.2333001723655488E-2</v>
      </c>
      <c r="K642" s="26">
        <f t="shared" si="95"/>
        <v>-9.2311642336497746E-2</v>
      </c>
      <c r="L642" s="26">
        <f t="shared" si="96"/>
        <v>-0.12300395346464621</v>
      </c>
      <c r="M642" s="26">
        <f t="shared" si="97"/>
        <v>7.1445896846145995E-2</v>
      </c>
      <c r="N642" s="26">
        <f t="shared" si="98"/>
        <v>6.034012863121907E-2</v>
      </c>
      <c r="O642" s="26">
        <f t="shared" si="99"/>
        <v>-6.9025783931195184E-2</v>
      </c>
    </row>
    <row r="643" spans="1:15" x14ac:dyDescent="0.25">
      <c r="A643" s="2">
        <v>44588</v>
      </c>
      <c r="B643">
        <v>165184</v>
      </c>
      <c r="C643">
        <v>221478</v>
      </c>
      <c r="D643">
        <v>767213</v>
      </c>
      <c r="F643">
        <f t="shared" si="90"/>
        <v>0.33509868919943669</v>
      </c>
      <c r="G643">
        <f t="shared" si="91"/>
        <v>-1.2154129087032841</v>
      </c>
      <c r="H643">
        <f t="shared" si="92"/>
        <v>1.340795718713677</v>
      </c>
      <c r="I643">
        <f t="shared" si="93"/>
        <v>-0.27881540116013209</v>
      </c>
      <c r="J643" s="26">
        <f t="shared" si="94"/>
        <v>-3.2944370012194191E-2</v>
      </c>
      <c r="K643" s="26">
        <f t="shared" si="95"/>
        <v>-9.7119281806367197E-2</v>
      </c>
      <c r="L643" s="26">
        <f t="shared" si="96"/>
        <v>-0.12667487745501599</v>
      </c>
      <c r="M643" s="26">
        <f t="shared" si="97"/>
        <v>7.8764074291235442E-2</v>
      </c>
      <c r="N643" s="26">
        <f t="shared" si="98"/>
        <v>5.9223637309404609E-2</v>
      </c>
      <c r="O643" s="26">
        <f t="shared" si="99"/>
        <v>-7.2043231608024616E-2</v>
      </c>
    </row>
    <row r="644" spans="1:15" x14ac:dyDescent="0.25">
      <c r="A644" s="2">
        <v>44587</v>
      </c>
      <c r="B644">
        <v>164534</v>
      </c>
      <c r="C644">
        <v>220653</v>
      </c>
      <c r="D644">
        <v>763974</v>
      </c>
      <c r="F644">
        <f t="shared" ref="F644:F707" si="100">IFERROR((C644+B644)/(B644+C644+D644),"")</f>
        <v>0.33518976018155855</v>
      </c>
      <c r="G644">
        <f t="shared" ref="G644:G707" si="101">(F644-AVERAGE(F644:F901))/_xlfn.STDEV.S(F644:F901)</f>
        <v>-1.2133745013669961</v>
      </c>
      <c r="H644">
        <f t="shared" ref="H644:H707" si="102">IFERROR(C644/B644,"")</f>
        <v>1.3410784397145878</v>
      </c>
      <c r="I644">
        <f t="shared" ref="I644:I707" si="103">IFERROR((H644-AVERAGE(H644:H771))/_xlfn.STDEV.S(H644:H771),"")</f>
        <v>-0.28832303108979096</v>
      </c>
      <c r="J644" s="26">
        <f t="shared" ref="J644:J707" si="104">AVERAGEA(F644:F664)-AVERAGE(F665:F685)</f>
        <v>-4.3415358181523478E-2</v>
      </c>
      <c r="K644" s="26">
        <f t="shared" ref="K644:K707" si="105">AVERAGEA(F644:F664)-AVERAGE(F665:F720)</f>
        <v>-0.10188259256226495</v>
      </c>
      <c r="L644" s="26">
        <f t="shared" ref="L644:L707" si="106">AVERAGEA(F644:F664)-AVERAGE(F665:F777)</f>
        <v>-0.13031372249276357</v>
      </c>
      <c r="M644" s="26">
        <f t="shared" ref="M644:M707" si="107">AVERAGEA(H644:H664)-AVERAGE(H665:H685)</f>
        <v>8.6697766890642791E-2</v>
      </c>
      <c r="N644" s="26">
        <f t="shared" ref="N644:N707" si="108">AVERAGEA(H644:H664)-AVERAGE(H665:H720)</f>
        <v>5.9297654096481578E-2</v>
      </c>
      <c r="O644" s="26">
        <f t="shared" ref="O644:O707" si="109">AVERAGEA(H644:H664)-AVERAGE(H665:H777)</f>
        <v>-7.3684986177685152E-2</v>
      </c>
    </row>
    <row r="645" spans="1:15" x14ac:dyDescent="0.25">
      <c r="A645" s="2">
        <v>44586</v>
      </c>
      <c r="B645">
        <v>156934</v>
      </c>
      <c r="C645">
        <v>214956</v>
      </c>
      <c r="D645">
        <v>763889</v>
      </c>
      <c r="F645">
        <f t="shared" si="100"/>
        <v>0.32743165703891336</v>
      </c>
      <c r="G645">
        <f t="shared" si="101"/>
        <v>-1.3207929150464639</v>
      </c>
      <c r="H645">
        <f t="shared" si="102"/>
        <v>1.3697223036435699</v>
      </c>
      <c r="I645">
        <f t="shared" si="103"/>
        <v>-0.10388544028561031</v>
      </c>
      <c r="J645" s="26">
        <f t="shared" si="104"/>
        <v>-5.3827483750765903E-2</v>
      </c>
      <c r="K645" s="26">
        <f t="shared" si="105"/>
        <v>-0.10667813568085388</v>
      </c>
      <c r="L645" s="26">
        <f t="shared" si="106"/>
        <v>-0.13394225927955344</v>
      </c>
      <c r="M645" s="26">
        <f t="shared" si="107"/>
        <v>9.3431624490242449E-2</v>
      </c>
      <c r="N645" s="26">
        <f t="shared" si="108"/>
        <v>5.9184369038322471E-2</v>
      </c>
      <c r="O645" s="26">
        <f t="shared" si="109"/>
        <v>-7.5612304930076091E-2</v>
      </c>
    </row>
    <row r="646" spans="1:15" x14ac:dyDescent="0.25">
      <c r="A646" s="2">
        <v>44585</v>
      </c>
      <c r="B646">
        <v>154509</v>
      </c>
      <c r="C646">
        <v>212756</v>
      </c>
      <c r="D646">
        <v>761424</v>
      </c>
      <c r="F646">
        <f t="shared" si="100"/>
        <v>0.32539078523844922</v>
      </c>
      <c r="G646">
        <f t="shared" si="101"/>
        <v>-1.3482289722185894</v>
      </c>
      <c r="H646">
        <f t="shared" si="102"/>
        <v>1.3769812761716147</v>
      </c>
      <c r="I646">
        <f t="shared" si="103"/>
        <v>-6.6708701746118634E-2</v>
      </c>
      <c r="J646" s="26">
        <f t="shared" si="104"/>
        <v>-6.3662226386765497E-2</v>
      </c>
      <c r="K646" s="26">
        <f t="shared" si="105"/>
        <v>-0.11110454451984847</v>
      </c>
      <c r="L646" s="26">
        <f t="shared" si="106"/>
        <v>-0.13715922077506648</v>
      </c>
      <c r="M646" s="26">
        <f t="shared" si="107"/>
        <v>9.9715526487037298E-2</v>
      </c>
      <c r="N646" s="26">
        <f t="shared" si="108"/>
        <v>5.7397053818925459E-2</v>
      </c>
      <c r="O646" s="26">
        <f t="shared" si="109"/>
        <v>-7.8928009251765907E-2</v>
      </c>
    </row>
    <row r="647" spans="1:15" x14ac:dyDescent="0.25">
      <c r="A647" s="2">
        <v>44582</v>
      </c>
      <c r="B647">
        <v>154259</v>
      </c>
      <c r="C647">
        <v>211756</v>
      </c>
      <c r="D647">
        <v>758877</v>
      </c>
      <c r="F647">
        <f t="shared" si="100"/>
        <v>0.32537790294534941</v>
      </c>
      <c r="G647">
        <f t="shared" si="101"/>
        <v>-1.3470243042049821</v>
      </c>
      <c r="H647">
        <f t="shared" si="102"/>
        <v>1.3727302782981867</v>
      </c>
      <c r="I647">
        <f t="shared" si="103"/>
        <v>-0.10660345698909637</v>
      </c>
      <c r="J647" s="26">
        <f t="shared" si="104"/>
        <v>-7.3733453394300708E-2</v>
      </c>
      <c r="K647" s="26">
        <f t="shared" si="105"/>
        <v>-0.11561083120317395</v>
      </c>
      <c r="L647" s="26">
        <f t="shared" si="106"/>
        <v>-0.140410994875657</v>
      </c>
      <c r="M647" s="26">
        <f t="shared" si="107"/>
        <v>0.10076593822495283</v>
      </c>
      <c r="N647" s="26">
        <f t="shared" si="108"/>
        <v>5.2720350361542989E-2</v>
      </c>
      <c r="O647" s="26">
        <f t="shared" si="109"/>
        <v>-8.4835039967922077E-2</v>
      </c>
    </row>
    <row r="648" spans="1:15" x14ac:dyDescent="0.25">
      <c r="A648" s="2">
        <v>44581</v>
      </c>
      <c r="B648">
        <v>153884</v>
      </c>
      <c r="C648">
        <v>207206</v>
      </c>
      <c r="D648">
        <v>758830</v>
      </c>
      <c r="F648">
        <f t="shared" si="100"/>
        <v>0.32242481605828988</v>
      </c>
      <c r="G648">
        <f t="shared" si="101"/>
        <v>-1.3862806878269054</v>
      </c>
      <c r="H648">
        <f t="shared" si="102"/>
        <v>1.3465077590912635</v>
      </c>
      <c r="I648">
        <f t="shared" si="103"/>
        <v>-0.29283047439687188</v>
      </c>
      <c r="J648" s="26">
        <f t="shared" si="104"/>
        <v>-8.3351099424983921E-2</v>
      </c>
      <c r="K648" s="26">
        <f t="shared" si="105"/>
        <v>-0.12012341281698041</v>
      </c>
      <c r="L648" s="26">
        <f t="shared" si="106"/>
        <v>-0.14362576269358901</v>
      </c>
      <c r="M648" s="26">
        <f t="shared" si="107"/>
        <v>0.10284981227519996</v>
      </c>
      <c r="N648" s="26">
        <f t="shared" si="108"/>
        <v>4.8179069426313337E-2</v>
      </c>
      <c r="O648" s="26">
        <f t="shared" si="109"/>
        <v>-9.056299248272448E-2</v>
      </c>
    </row>
    <row r="649" spans="1:15" x14ac:dyDescent="0.25">
      <c r="A649" s="2">
        <v>44580</v>
      </c>
      <c r="B649">
        <v>152934</v>
      </c>
      <c r="C649">
        <v>200556</v>
      </c>
      <c r="D649">
        <v>757107</v>
      </c>
      <c r="F649">
        <f t="shared" si="100"/>
        <v>0.31828827198344672</v>
      </c>
      <c r="G649">
        <f t="shared" si="101"/>
        <v>-1.4424113101141987</v>
      </c>
      <c r="H649">
        <f t="shared" si="102"/>
        <v>1.311389226725254</v>
      </c>
      <c r="I649">
        <f t="shared" si="103"/>
        <v>-0.53583613354218851</v>
      </c>
      <c r="J649" s="26">
        <f t="shared" si="104"/>
        <v>-9.2716796054761186E-2</v>
      </c>
      <c r="K649" s="26">
        <f t="shared" si="105"/>
        <v>-0.1245634724944355</v>
      </c>
      <c r="L649" s="26">
        <f t="shared" si="106"/>
        <v>-0.1467700770132993</v>
      </c>
      <c r="M649" s="26">
        <f t="shared" si="107"/>
        <v>0.10624864092502362</v>
      </c>
      <c r="N649" s="26">
        <f t="shared" si="108"/>
        <v>4.5603455290154526E-2</v>
      </c>
      <c r="O649" s="26">
        <f t="shared" si="109"/>
        <v>-9.4610560262272214E-2</v>
      </c>
    </row>
    <row r="650" spans="1:15" x14ac:dyDescent="0.25">
      <c r="A650" s="2">
        <v>44579</v>
      </c>
      <c r="B650">
        <v>151634</v>
      </c>
      <c r="C650">
        <v>198456</v>
      </c>
      <c r="D650">
        <v>766069</v>
      </c>
      <c r="F650">
        <f t="shared" si="100"/>
        <v>0.31365602929331754</v>
      </c>
      <c r="G650">
        <f t="shared" si="101"/>
        <v>-1.5055037741475976</v>
      </c>
      <c r="H650">
        <f t="shared" si="102"/>
        <v>1.308782990622156</v>
      </c>
      <c r="I650">
        <f t="shared" si="103"/>
        <v>-0.56436556647688985</v>
      </c>
      <c r="J650" s="26">
        <f t="shared" si="104"/>
        <v>-0.1019351903696698</v>
      </c>
      <c r="K650" s="26">
        <f t="shared" si="105"/>
        <v>-0.1288556306096128</v>
      </c>
      <c r="L650" s="26">
        <f t="shared" si="106"/>
        <v>-0.14976280538213621</v>
      </c>
      <c r="M650" s="26">
        <f t="shared" si="107"/>
        <v>0.11218864292021902</v>
      </c>
      <c r="N650" s="26">
        <f t="shared" si="108"/>
        <v>4.4850268415519423E-2</v>
      </c>
      <c r="O650" s="26">
        <f t="shared" si="109"/>
        <v>-9.6807209055857379E-2</v>
      </c>
    </row>
    <row r="651" spans="1:15" x14ac:dyDescent="0.25">
      <c r="A651" s="2">
        <v>44578</v>
      </c>
      <c r="B651">
        <v>147349</v>
      </c>
      <c r="C651">
        <v>194956</v>
      </c>
      <c r="D651">
        <v>773658</v>
      </c>
      <c r="F651">
        <f t="shared" si="100"/>
        <v>0.30673507992648502</v>
      </c>
      <c r="G651">
        <f t="shared" si="101"/>
        <v>-1.6013883386172214</v>
      </c>
      <c r="H651">
        <f t="shared" si="102"/>
        <v>1.3230900786567945</v>
      </c>
      <c r="I651">
        <f t="shared" si="103"/>
        <v>-0.48305669502636905</v>
      </c>
      <c r="J651" s="26">
        <f t="shared" si="104"/>
        <v>-0.11559465490924575</v>
      </c>
      <c r="K651" s="26">
        <f t="shared" si="105"/>
        <v>-0.13610968194923517</v>
      </c>
      <c r="L651" s="26">
        <f t="shared" si="106"/>
        <v>-0.15525877317856507</v>
      </c>
      <c r="M651" s="26">
        <f t="shared" si="107"/>
        <v>0.1176360650810333</v>
      </c>
      <c r="N651" s="26">
        <f t="shared" si="108"/>
        <v>4.4740720687368229E-2</v>
      </c>
      <c r="O651" s="26">
        <f t="shared" si="109"/>
        <v>-9.8436811955875614E-2</v>
      </c>
    </row>
    <row r="652" spans="1:15" x14ac:dyDescent="0.25">
      <c r="A652" s="2">
        <v>44575</v>
      </c>
      <c r="B652">
        <v>147148</v>
      </c>
      <c r="C652">
        <v>194281</v>
      </c>
      <c r="D652">
        <v>772628</v>
      </c>
      <c r="F652">
        <f t="shared" si="100"/>
        <v>0.30647354668567228</v>
      </c>
      <c r="G652">
        <f t="shared" si="101"/>
        <v>-1.6055422682389451</v>
      </c>
      <c r="H652">
        <f t="shared" si="102"/>
        <v>1.3203101639166011</v>
      </c>
      <c r="I652">
        <f t="shared" si="103"/>
        <v>-0.51264214147509701</v>
      </c>
      <c r="J652" s="26">
        <f t="shared" si="104"/>
        <v>-0.12913851274309157</v>
      </c>
      <c r="K652" s="26">
        <f t="shared" si="105"/>
        <v>-0.14316111616748567</v>
      </c>
      <c r="L652" s="26">
        <f t="shared" si="106"/>
        <v>-0.16052813663367066</v>
      </c>
      <c r="M652" s="26">
        <f t="shared" si="107"/>
        <v>0.12239639843317307</v>
      </c>
      <c r="N652" s="26">
        <f t="shared" si="108"/>
        <v>4.4537184325555312E-2</v>
      </c>
      <c r="O652" s="26">
        <f t="shared" si="109"/>
        <v>-0.10070130058232207</v>
      </c>
    </row>
    <row r="653" spans="1:15" x14ac:dyDescent="0.25">
      <c r="A653" s="2">
        <v>44574</v>
      </c>
      <c r="B653">
        <v>146474</v>
      </c>
      <c r="C653">
        <v>194306</v>
      </c>
      <c r="D653">
        <v>766813</v>
      </c>
      <c r="F653">
        <f t="shared" si="100"/>
        <v>0.30767619513666122</v>
      </c>
      <c r="G653">
        <f t="shared" si="101"/>
        <v>-1.5887189169568179</v>
      </c>
      <c r="H653">
        <f t="shared" si="102"/>
        <v>1.326556248890588</v>
      </c>
      <c r="I653">
        <f t="shared" si="103"/>
        <v>-0.48441138624127988</v>
      </c>
      <c r="J653" s="26">
        <f t="shared" si="104"/>
        <v>-0.14259229192558437</v>
      </c>
      <c r="K653" s="26">
        <f t="shared" si="105"/>
        <v>-0.1501919188833602</v>
      </c>
      <c r="L653" s="26">
        <f t="shared" si="106"/>
        <v>-0.1657554364689286</v>
      </c>
      <c r="M653" s="26">
        <f t="shared" si="107"/>
        <v>0.12659583968887689</v>
      </c>
      <c r="N653" s="26">
        <f t="shared" si="108"/>
        <v>4.4109299556353676E-2</v>
      </c>
      <c r="O653" s="26">
        <f t="shared" si="109"/>
        <v>-0.10330145621794351</v>
      </c>
    </row>
    <row r="654" spans="1:15" x14ac:dyDescent="0.25">
      <c r="A654" s="2">
        <v>44573</v>
      </c>
      <c r="B654">
        <v>146224</v>
      </c>
      <c r="C654">
        <v>193206</v>
      </c>
      <c r="D654">
        <v>767927</v>
      </c>
      <c r="F654">
        <f t="shared" si="100"/>
        <v>0.30652264807103763</v>
      </c>
      <c r="G654">
        <f t="shared" si="101"/>
        <v>-1.6042749841232893</v>
      </c>
      <c r="H654">
        <f t="shared" si="102"/>
        <v>1.3213015647226174</v>
      </c>
      <c r="I654">
        <f t="shared" si="103"/>
        <v>-0.52953180188728011</v>
      </c>
      <c r="J654" s="26">
        <f t="shared" si="104"/>
        <v>-0.15605309212812229</v>
      </c>
      <c r="K654" s="26">
        <f t="shared" si="105"/>
        <v>-0.15730312538218372</v>
      </c>
      <c r="L654" s="26">
        <f t="shared" si="106"/>
        <v>-0.17100409440099867</v>
      </c>
      <c r="M654" s="26">
        <f t="shared" si="107"/>
        <v>0.13264800605795712</v>
      </c>
      <c r="N654" s="26">
        <f t="shared" si="108"/>
        <v>4.4489694011219605E-2</v>
      </c>
      <c r="O654" s="26">
        <f t="shared" si="109"/>
        <v>-0.10510198771647472</v>
      </c>
    </row>
    <row r="655" spans="1:15" x14ac:dyDescent="0.25">
      <c r="A655" s="2">
        <v>44572</v>
      </c>
      <c r="B655">
        <v>147349</v>
      </c>
      <c r="C655">
        <v>193206</v>
      </c>
      <c r="D655">
        <v>762573</v>
      </c>
      <c r="F655">
        <f t="shared" si="100"/>
        <v>0.30871757402586103</v>
      </c>
      <c r="G655">
        <f t="shared" si="101"/>
        <v>-1.5716878934589649</v>
      </c>
      <c r="H655">
        <f t="shared" si="102"/>
        <v>1.3112135134951712</v>
      </c>
      <c r="I655">
        <f t="shared" si="103"/>
        <v>-0.60492182745351641</v>
      </c>
      <c r="J655" s="26">
        <f t="shared" si="104"/>
        <v>-0.170049608333875</v>
      </c>
      <c r="K655" s="26">
        <f t="shared" si="105"/>
        <v>-0.16471193595431005</v>
      </c>
      <c r="L655" s="26">
        <f t="shared" si="106"/>
        <v>-0.17661017968750209</v>
      </c>
      <c r="M655" s="26">
        <f t="shared" si="107"/>
        <v>0.13987827021174271</v>
      </c>
      <c r="N655" s="26">
        <f t="shared" si="108"/>
        <v>4.6548800306505766E-2</v>
      </c>
      <c r="O655" s="26">
        <f t="shared" si="109"/>
        <v>-0.1053345409035169</v>
      </c>
    </row>
    <row r="656" spans="1:15" x14ac:dyDescent="0.25">
      <c r="A656" s="2">
        <v>44571</v>
      </c>
      <c r="B656">
        <v>144799</v>
      </c>
      <c r="C656">
        <v>188646</v>
      </c>
      <c r="D656">
        <v>762192</v>
      </c>
      <c r="F656">
        <f t="shared" si="100"/>
        <v>0.30433893707496185</v>
      </c>
      <c r="G656">
        <f t="shared" si="101"/>
        <v>-1.6297257980307076</v>
      </c>
      <c r="H656">
        <f t="shared" si="102"/>
        <v>1.3028128647297288</v>
      </c>
      <c r="I656">
        <f t="shared" si="103"/>
        <v>-0.66947047973927176</v>
      </c>
      <c r="J656" s="26">
        <f t="shared" si="104"/>
        <v>-0.1845186452725629</v>
      </c>
      <c r="K656" s="26">
        <f t="shared" si="105"/>
        <v>-0.17259222587572803</v>
      </c>
      <c r="L656" s="26">
        <f t="shared" si="106"/>
        <v>-0.18252055086166802</v>
      </c>
      <c r="M656" s="26">
        <f t="shared" si="107"/>
        <v>0.14507260533874544</v>
      </c>
      <c r="N656" s="26">
        <f t="shared" si="108"/>
        <v>4.7284077047250683E-2</v>
      </c>
      <c r="O656" s="26">
        <f t="shared" si="109"/>
        <v>-0.10591032612105611</v>
      </c>
    </row>
    <row r="657" spans="1:15" x14ac:dyDescent="0.25">
      <c r="A657" s="2">
        <v>44568</v>
      </c>
      <c r="B657">
        <v>144624</v>
      </c>
      <c r="C657">
        <v>187421</v>
      </c>
      <c r="D657">
        <v>762093</v>
      </c>
      <c r="F657">
        <f t="shared" si="100"/>
        <v>0.30347634393467732</v>
      </c>
      <c r="G657">
        <f t="shared" si="101"/>
        <v>-1.6390129398952824</v>
      </c>
      <c r="H657">
        <f t="shared" si="102"/>
        <v>1.295919072906295</v>
      </c>
      <c r="I657">
        <f t="shared" si="103"/>
        <v>-0.72458347530809819</v>
      </c>
      <c r="J657" s="26">
        <f t="shared" si="104"/>
        <v>-0.17477065314320822</v>
      </c>
      <c r="K657" s="26">
        <f t="shared" si="105"/>
        <v>-0.1638351538368516</v>
      </c>
      <c r="L657" s="26">
        <f t="shared" si="106"/>
        <v>-0.17399994873859848</v>
      </c>
      <c r="M657" s="26">
        <f t="shared" si="107"/>
        <v>0.12011636079763077</v>
      </c>
      <c r="N657" s="26">
        <f t="shared" si="108"/>
        <v>2.7740896864506315E-2</v>
      </c>
      <c r="O657" s="26">
        <f t="shared" si="109"/>
        <v>-0.12382980084102746</v>
      </c>
    </row>
    <row r="658" spans="1:15" x14ac:dyDescent="0.25">
      <c r="A658" s="2">
        <v>44567</v>
      </c>
      <c r="B658">
        <v>143074</v>
      </c>
      <c r="C658">
        <v>185921</v>
      </c>
      <c r="D658">
        <v>761941</v>
      </c>
      <c r="F658">
        <f t="shared" si="100"/>
        <v>0.3015713112409894</v>
      </c>
      <c r="G658">
        <f t="shared" si="101"/>
        <v>-1.6626067641701585</v>
      </c>
      <c r="H658">
        <f t="shared" si="102"/>
        <v>1.2994743978640424</v>
      </c>
      <c r="I658">
        <f t="shared" si="103"/>
        <v>-0.71497008198163925</v>
      </c>
      <c r="J658" s="26">
        <f t="shared" si="104"/>
        <v>-0.16495567524984089</v>
      </c>
      <c r="K658" s="26">
        <f t="shared" si="105"/>
        <v>-0.15507888635450684</v>
      </c>
      <c r="L658" s="26">
        <f t="shared" si="106"/>
        <v>-0.16543657405920847</v>
      </c>
      <c r="M658" s="26">
        <f t="shared" si="107"/>
        <v>9.5998321114039165E-2</v>
      </c>
      <c r="N658" s="26">
        <f t="shared" si="108"/>
        <v>8.8115563480388737E-3</v>
      </c>
      <c r="O658" s="26">
        <f t="shared" si="109"/>
        <v>-0.14112516305862721</v>
      </c>
    </row>
    <row r="659" spans="1:15" x14ac:dyDescent="0.25">
      <c r="A659" s="2">
        <v>44566</v>
      </c>
      <c r="B659">
        <v>141974</v>
      </c>
      <c r="C659">
        <v>185371</v>
      </c>
      <c r="D659">
        <v>762728</v>
      </c>
      <c r="F659">
        <f t="shared" si="100"/>
        <v>0.30029640216756126</v>
      </c>
      <c r="G659">
        <f t="shared" si="101"/>
        <v>-1.6775802652213845</v>
      </c>
      <c r="H659">
        <f t="shared" si="102"/>
        <v>1.3056686435544536</v>
      </c>
      <c r="I659">
        <f t="shared" si="103"/>
        <v>-0.68934504138027108</v>
      </c>
      <c r="J659" s="26">
        <f t="shared" si="104"/>
        <v>-0.15525188221539754</v>
      </c>
      <c r="K659" s="26">
        <f t="shared" si="105"/>
        <v>-0.14632489775479973</v>
      </c>
      <c r="L659" s="26">
        <f t="shared" si="106"/>
        <v>-0.15691195986119083</v>
      </c>
      <c r="M659" s="26">
        <f t="shared" si="107"/>
        <v>7.2888215916438126E-2</v>
      </c>
      <c r="N659" s="26">
        <f t="shared" si="108"/>
        <v>-9.0958841776911381E-3</v>
      </c>
      <c r="O659" s="26">
        <f t="shared" si="109"/>
        <v>-0.15769307587295933</v>
      </c>
    </row>
    <row r="660" spans="1:15" x14ac:dyDescent="0.25">
      <c r="A660" s="2">
        <v>44565</v>
      </c>
      <c r="B660">
        <v>135249</v>
      </c>
      <c r="C660">
        <v>177496</v>
      </c>
      <c r="D660">
        <v>763723</v>
      </c>
      <c r="F660">
        <f t="shared" si="100"/>
        <v>0.29052884061579165</v>
      </c>
      <c r="G660">
        <f t="shared" si="101"/>
        <v>-1.8097810331414586</v>
      </c>
      <c r="H660">
        <f t="shared" si="102"/>
        <v>1.312364601586703</v>
      </c>
      <c r="I660">
        <f t="shared" si="103"/>
        <v>-0.66088956608977367</v>
      </c>
      <c r="J660" s="26">
        <f t="shared" si="104"/>
        <v>-0.14523522980720643</v>
      </c>
      <c r="K660" s="26">
        <f t="shared" si="105"/>
        <v>-0.13739534898630085</v>
      </c>
      <c r="L660" s="26">
        <f t="shared" si="106"/>
        <v>-0.14824216391732986</v>
      </c>
      <c r="M660" s="26">
        <f t="shared" si="107"/>
        <v>5.4446744176864126E-2</v>
      </c>
      <c r="N660" s="26">
        <f t="shared" si="108"/>
        <v>-2.5087843107505892E-2</v>
      </c>
      <c r="O660" s="26">
        <f t="shared" si="109"/>
        <v>-0.17206996927459772</v>
      </c>
    </row>
    <row r="661" spans="1:15" x14ac:dyDescent="0.25">
      <c r="A661" s="2">
        <v>44564</v>
      </c>
      <c r="B661">
        <v>132986</v>
      </c>
      <c r="C661">
        <v>179396</v>
      </c>
      <c r="D661">
        <v>764514</v>
      </c>
      <c r="F661">
        <f t="shared" si="100"/>
        <v>0.29007629334680413</v>
      </c>
      <c r="G661">
        <f t="shared" si="101"/>
        <v>-1.8135065452415675</v>
      </c>
      <c r="H661">
        <f t="shared" si="102"/>
        <v>1.3489841035898515</v>
      </c>
      <c r="I661">
        <f t="shared" si="103"/>
        <v>-0.45317505313747652</v>
      </c>
      <c r="J661" s="26">
        <f t="shared" si="104"/>
        <v>-0.13528387002688402</v>
      </c>
      <c r="K661" s="26">
        <f t="shared" si="105"/>
        <v>-0.12897868119407119</v>
      </c>
      <c r="L661" s="26">
        <f t="shared" si="106"/>
        <v>-0.13938489083629174</v>
      </c>
      <c r="M661" s="26">
        <f t="shared" si="107"/>
        <v>3.8675785386959483E-2</v>
      </c>
      <c r="N661" s="26">
        <f t="shared" si="108"/>
        <v>-3.9047555872970596E-2</v>
      </c>
      <c r="O661" s="26">
        <f t="shared" si="109"/>
        <v>-0.18497348057264329</v>
      </c>
    </row>
    <row r="662" spans="1:15" x14ac:dyDescent="0.25">
      <c r="A662" s="2">
        <v>44561</v>
      </c>
      <c r="B662">
        <v>132986</v>
      </c>
      <c r="C662">
        <v>179598</v>
      </c>
      <c r="D662">
        <v>764157</v>
      </c>
      <c r="F662">
        <f t="shared" si="100"/>
        <v>0.29030565382018519</v>
      </c>
      <c r="G662">
        <f t="shared" si="101"/>
        <v>-1.8073082541447509</v>
      </c>
      <c r="H662">
        <f t="shared" si="102"/>
        <v>1.350503060472531</v>
      </c>
      <c r="I662">
        <f t="shared" si="103"/>
        <v>-0.45555390755822334</v>
      </c>
      <c r="J662" s="26">
        <f t="shared" si="104"/>
        <v>-0.1253680621368512</v>
      </c>
      <c r="K662" s="26">
        <f t="shared" si="105"/>
        <v>-0.1205995646563392</v>
      </c>
      <c r="L662" s="26">
        <f t="shared" si="106"/>
        <v>-0.13053813763785771</v>
      </c>
      <c r="M662" s="26">
        <f t="shared" si="107"/>
        <v>2.2112343553628122E-2</v>
      </c>
      <c r="N662" s="26">
        <f t="shared" si="108"/>
        <v>-5.4092232729737066E-2</v>
      </c>
      <c r="O662" s="26">
        <f t="shared" si="109"/>
        <v>-0.19874760586256568</v>
      </c>
    </row>
    <row r="663" spans="1:15" x14ac:dyDescent="0.25">
      <c r="A663" s="2">
        <v>44560</v>
      </c>
      <c r="B663">
        <v>132986</v>
      </c>
      <c r="C663">
        <v>179598</v>
      </c>
      <c r="D663">
        <v>764396</v>
      </c>
      <c r="F663">
        <f t="shared" si="100"/>
        <v>0.29024123010640868</v>
      </c>
      <c r="G663">
        <f t="shared" si="101"/>
        <v>-1.8044153233137439</v>
      </c>
      <c r="H663">
        <f t="shared" si="102"/>
        <v>1.350503060472531</v>
      </c>
      <c r="I663">
        <f t="shared" si="103"/>
        <v>-0.46657167909124808</v>
      </c>
      <c r="J663" s="26">
        <f t="shared" si="104"/>
        <v>-0.11545218468429996</v>
      </c>
      <c r="K663" s="26">
        <f t="shared" si="105"/>
        <v>-0.11227281832327768</v>
      </c>
      <c r="L663" s="26">
        <f t="shared" si="106"/>
        <v>-0.12171163701821969</v>
      </c>
      <c r="M663" s="26">
        <f t="shared" si="107"/>
        <v>5.6986898171671463E-3</v>
      </c>
      <c r="N663" s="26">
        <f t="shared" si="108"/>
        <v>-6.9124835909660121E-2</v>
      </c>
      <c r="O663" s="26">
        <f t="shared" si="109"/>
        <v>-0.21233644538461904</v>
      </c>
    </row>
    <row r="664" spans="1:15" x14ac:dyDescent="0.25">
      <c r="A664" s="2">
        <v>44559</v>
      </c>
      <c r="B664">
        <v>132986</v>
      </c>
      <c r="C664">
        <v>179698</v>
      </c>
      <c r="D664">
        <v>761120</v>
      </c>
      <c r="F664">
        <f t="shared" si="100"/>
        <v>0.29119280613594289</v>
      </c>
      <c r="G664">
        <f t="shared" si="101"/>
        <v>-1.7872367040612098</v>
      </c>
      <c r="H664">
        <f t="shared" si="102"/>
        <v>1.3512550193253425</v>
      </c>
      <c r="I664">
        <f t="shared" si="103"/>
        <v>-0.47321717574352196</v>
      </c>
      <c r="J664" s="26">
        <f t="shared" si="104"/>
        <v>-0.10560499324340483</v>
      </c>
      <c r="K664" s="26">
        <f t="shared" si="105"/>
        <v>-0.10394491328886368</v>
      </c>
      <c r="L664" s="26">
        <f t="shared" si="106"/>
        <v>-0.11289541183297491</v>
      </c>
      <c r="M664" s="26">
        <f t="shared" si="107"/>
        <v>-7.8923308429761363E-3</v>
      </c>
      <c r="N664" s="26">
        <f t="shared" si="108"/>
        <v>-8.2352642814135901E-2</v>
      </c>
      <c r="O664" s="26">
        <f t="shared" si="109"/>
        <v>-0.22411254480142806</v>
      </c>
    </row>
    <row r="665" spans="1:15" x14ac:dyDescent="0.25">
      <c r="A665" s="2">
        <v>44558</v>
      </c>
      <c r="B665">
        <v>132986</v>
      </c>
      <c r="C665">
        <v>179698</v>
      </c>
      <c r="D665">
        <v>762495</v>
      </c>
      <c r="F665">
        <f t="shared" si="100"/>
        <v>0.29082041222903349</v>
      </c>
      <c r="G665">
        <f t="shared" si="101"/>
        <v>-1.7879884298837536</v>
      </c>
      <c r="H665">
        <f t="shared" si="102"/>
        <v>1.3512550193253425</v>
      </c>
      <c r="I665">
        <f t="shared" si="103"/>
        <v>-0.48445686344404004</v>
      </c>
      <c r="J665" s="26">
        <f t="shared" si="104"/>
        <v>-9.5923404843792415E-2</v>
      </c>
      <c r="K665" s="26">
        <f t="shared" si="105"/>
        <v>-9.5742625117962332E-2</v>
      </c>
      <c r="L665" s="26">
        <f t="shared" si="106"/>
        <v>-0.1042141027023808</v>
      </c>
      <c r="M665" s="26">
        <f t="shared" si="107"/>
        <v>-2.0740264588456681E-2</v>
      </c>
      <c r="N665" s="26">
        <f t="shared" si="108"/>
        <v>-9.4913906707928763E-2</v>
      </c>
      <c r="O665" s="26">
        <f t="shared" si="109"/>
        <v>-0.23539771110209085</v>
      </c>
    </row>
    <row r="666" spans="1:15" x14ac:dyDescent="0.25">
      <c r="A666" s="2">
        <v>44557</v>
      </c>
      <c r="B666">
        <v>132986</v>
      </c>
      <c r="C666">
        <v>179698</v>
      </c>
      <c r="D666">
        <v>762313</v>
      </c>
      <c r="F666">
        <f t="shared" si="100"/>
        <v>0.29086964893855516</v>
      </c>
      <c r="G666">
        <f t="shared" si="101"/>
        <v>-1.782994438332496</v>
      </c>
      <c r="H666">
        <f t="shared" si="102"/>
        <v>1.3512550193253425</v>
      </c>
      <c r="I666">
        <f t="shared" si="103"/>
        <v>-0.49548390613482146</v>
      </c>
      <c r="J666" s="26">
        <f t="shared" si="104"/>
        <v>-8.6424643963605552E-2</v>
      </c>
      <c r="K666" s="26">
        <f t="shared" si="105"/>
        <v>-8.7678138050701904E-2</v>
      </c>
      <c r="L666" s="26">
        <f t="shared" si="106"/>
        <v>-9.5627444537038364E-2</v>
      </c>
      <c r="M666" s="26">
        <f t="shared" si="107"/>
        <v>-3.102747039328313E-2</v>
      </c>
      <c r="N666" s="26">
        <f t="shared" si="108"/>
        <v>-0.10589087088031146</v>
      </c>
      <c r="O666" s="26">
        <f t="shared" si="109"/>
        <v>-0.24538707370797552</v>
      </c>
    </row>
    <row r="667" spans="1:15" x14ac:dyDescent="0.25">
      <c r="A667" s="2">
        <v>44554</v>
      </c>
      <c r="B667">
        <v>132986</v>
      </c>
      <c r="C667">
        <v>174698</v>
      </c>
      <c r="D667">
        <v>761680</v>
      </c>
      <c r="F667">
        <f t="shared" si="100"/>
        <v>0.28772616246666244</v>
      </c>
      <c r="G667">
        <f t="shared" si="101"/>
        <v>-1.8212556478444581</v>
      </c>
      <c r="H667">
        <f t="shared" si="102"/>
        <v>1.3136570766847637</v>
      </c>
      <c r="I667">
        <f t="shared" si="103"/>
        <v>-0.72450022178486562</v>
      </c>
      <c r="J667" s="26">
        <f t="shared" si="104"/>
        <v>-7.7266055813308199E-2</v>
      </c>
      <c r="K667" s="26">
        <f t="shared" si="105"/>
        <v>-7.9912724266586355E-2</v>
      </c>
      <c r="L667" s="26">
        <f t="shared" si="106"/>
        <v>-8.7269540338971163E-2</v>
      </c>
      <c r="M667" s="26">
        <f t="shared" si="107"/>
        <v>-4.2346025399939924E-2</v>
      </c>
      <c r="N667" s="26">
        <f t="shared" si="108"/>
        <v>-0.11809669121528565</v>
      </c>
      <c r="O667" s="26">
        <f t="shared" si="109"/>
        <v>-0.25647609917460867</v>
      </c>
    </row>
    <row r="668" spans="1:15" x14ac:dyDescent="0.25">
      <c r="A668" s="2">
        <v>44553</v>
      </c>
      <c r="B668">
        <v>132986</v>
      </c>
      <c r="C668">
        <v>174698</v>
      </c>
      <c r="D668">
        <v>760609</v>
      </c>
      <c r="F668">
        <f t="shared" si="100"/>
        <v>0.28801461771255638</v>
      </c>
      <c r="G668">
        <f t="shared" si="101"/>
        <v>-1.8132439539628351</v>
      </c>
      <c r="H668">
        <f t="shared" si="102"/>
        <v>1.3136570766847637</v>
      </c>
      <c r="I668">
        <f t="shared" si="103"/>
        <v>-0.73678723607423424</v>
      </c>
      <c r="J668" s="26">
        <f t="shared" si="104"/>
        <v>-6.7839435665014103E-2</v>
      </c>
      <c r="K668" s="26">
        <f t="shared" si="105"/>
        <v>-7.1951018934883981E-2</v>
      </c>
      <c r="L668" s="26">
        <f t="shared" si="106"/>
        <v>-7.8721768345111021E-2</v>
      </c>
      <c r="M668" s="26">
        <f t="shared" si="107"/>
        <v>-4.8857501098631628E-2</v>
      </c>
      <c r="N668" s="26">
        <f t="shared" si="108"/>
        <v>-0.12683046667443643</v>
      </c>
      <c r="O668" s="26">
        <f t="shared" si="109"/>
        <v>-0.26438670680932508</v>
      </c>
    </row>
    <row r="669" spans="1:15" x14ac:dyDescent="0.25">
      <c r="A669" s="2">
        <v>44552</v>
      </c>
      <c r="B669">
        <v>132236</v>
      </c>
      <c r="C669">
        <v>174778</v>
      </c>
      <c r="D669">
        <v>763429</v>
      </c>
      <c r="F669">
        <f t="shared" si="100"/>
        <v>0.2868102271676306</v>
      </c>
      <c r="G669">
        <f t="shared" si="101"/>
        <v>-1.8255810777331687</v>
      </c>
      <c r="H669">
        <f t="shared" si="102"/>
        <v>1.3217126954838319</v>
      </c>
      <c r="I669">
        <f t="shared" si="103"/>
        <v>-0.70263621791310493</v>
      </c>
      <c r="J669" s="26">
        <f t="shared" si="104"/>
        <v>-5.9420683900100524E-2</v>
      </c>
      <c r="K669" s="26">
        <f t="shared" si="105"/>
        <v>-6.4640672610892569E-2</v>
      </c>
      <c r="L669" s="26">
        <f t="shared" si="106"/>
        <v>-7.1275507278924621E-2</v>
      </c>
      <c r="M669" s="26">
        <f t="shared" si="107"/>
        <v>-5.7135482499128587E-2</v>
      </c>
      <c r="N669" s="26">
        <f t="shared" si="108"/>
        <v>-0.13723742587824361</v>
      </c>
      <c r="O669" s="26">
        <f t="shared" si="109"/>
        <v>-0.27086120186511908</v>
      </c>
    </row>
    <row r="670" spans="1:15" x14ac:dyDescent="0.25">
      <c r="A670" s="2">
        <v>44551</v>
      </c>
      <c r="B670">
        <v>131936</v>
      </c>
      <c r="C670">
        <v>174728</v>
      </c>
      <c r="D670">
        <v>765566</v>
      </c>
      <c r="F670">
        <f t="shared" si="100"/>
        <v>0.28600580099418965</v>
      </c>
      <c r="G670">
        <f t="shared" si="101"/>
        <v>-1.8327164742631803</v>
      </c>
      <c r="H670">
        <f t="shared" si="102"/>
        <v>1.324339073490177</v>
      </c>
      <c r="I670">
        <f t="shared" si="103"/>
        <v>-0.69929653705230443</v>
      </c>
      <c r="J670" s="26">
        <f t="shared" si="104"/>
        <v>-5.142584405642181E-2</v>
      </c>
      <c r="K670" s="26">
        <f t="shared" si="105"/>
        <v>-5.7571181340248467E-2</v>
      </c>
      <c r="L670" s="26">
        <f t="shared" si="106"/>
        <v>-6.4040986551319456E-2</v>
      </c>
      <c r="M670" s="26">
        <f t="shared" si="107"/>
        <v>-6.4068038296451135E-2</v>
      </c>
      <c r="N670" s="26">
        <f t="shared" si="108"/>
        <v>-0.14723388275410376</v>
      </c>
      <c r="O670" s="26">
        <f t="shared" si="109"/>
        <v>-0.27690152836353121</v>
      </c>
    </row>
    <row r="671" spans="1:15" x14ac:dyDescent="0.25">
      <c r="A671" s="2">
        <v>44550</v>
      </c>
      <c r="B671">
        <v>131836</v>
      </c>
      <c r="C671">
        <v>175603</v>
      </c>
      <c r="D671">
        <v>984939</v>
      </c>
      <c r="F671">
        <f t="shared" si="100"/>
        <v>0.23788628404383239</v>
      </c>
      <c r="G671">
        <f t="shared" si="101"/>
        <v>-2.4832333723619429</v>
      </c>
      <c r="H671">
        <f t="shared" si="102"/>
        <v>1.3319806426165843</v>
      </c>
      <c r="I671">
        <f t="shared" si="103"/>
        <v>-0.66736355516459289</v>
      </c>
      <c r="J671" s="26">
        <f t="shared" si="104"/>
        <v>-4.3482331247688799E-2</v>
      </c>
      <c r="K671" s="26">
        <f t="shared" si="105"/>
        <v>-5.0517984017249273E-2</v>
      </c>
      <c r="L671" s="26">
        <f t="shared" si="106"/>
        <v>-5.6782370569759322E-2</v>
      </c>
      <c r="M671" s="26">
        <f t="shared" si="107"/>
        <v>-7.2792675977593202E-2</v>
      </c>
      <c r="N671" s="26">
        <f t="shared" si="108"/>
        <v>-0.15853812034737125</v>
      </c>
      <c r="O671" s="26">
        <f t="shared" si="109"/>
        <v>-0.28384466819922571</v>
      </c>
    </row>
    <row r="672" spans="1:15" x14ac:dyDescent="0.25">
      <c r="A672" s="2">
        <v>44547</v>
      </c>
      <c r="B672">
        <v>130086</v>
      </c>
      <c r="C672">
        <v>174153</v>
      </c>
      <c r="D672">
        <v>986054</v>
      </c>
      <c r="F672">
        <f t="shared" si="100"/>
        <v>0.23579063050020421</v>
      </c>
      <c r="G672">
        <f t="shared" si="101"/>
        <v>-2.523125000745535</v>
      </c>
      <c r="H672">
        <f t="shared" si="102"/>
        <v>1.3387528250541949</v>
      </c>
      <c r="I672">
        <f t="shared" si="103"/>
        <v>-0.64037924116004152</v>
      </c>
      <c r="J672" s="26">
        <f t="shared" si="104"/>
        <v>-3.3110335820464076E-2</v>
      </c>
      <c r="K672" s="26">
        <f t="shared" si="105"/>
        <v>-4.1047312731855579E-2</v>
      </c>
      <c r="L672" s="26">
        <f t="shared" si="106"/>
        <v>-4.7132240059680197E-2</v>
      </c>
      <c r="M672" s="26">
        <f t="shared" si="107"/>
        <v>-8.0215536120309849E-2</v>
      </c>
      <c r="N672" s="26">
        <f t="shared" si="108"/>
        <v>-0.1687836889249279</v>
      </c>
      <c r="O672" s="26">
        <f t="shared" si="109"/>
        <v>-0.28956564848337929</v>
      </c>
    </row>
    <row r="673" spans="1:15" x14ac:dyDescent="0.25">
      <c r="A673" s="2">
        <v>44546</v>
      </c>
      <c r="B673">
        <v>129135</v>
      </c>
      <c r="C673">
        <v>171998</v>
      </c>
      <c r="D673">
        <v>973371</v>
      </c>
      <c r="F673">
        <f t="shared" si="100"/>
        <v>0.23627466057383892</v>
      </c>
      <c r="G673">
        <f t="shared" si="101"/>
        <v>-2.5285203432753391</v>
      </c>
      <c r="H673">
        <f t="shared" si="102"/>
        <v>1.331923955550393</v>
      </c>
      <c r="I673">
        <f t="shared" si="103"/>
        <v>-0.69107362821006835</v>
      </c>
      <c r="J673" s="26">
        <f t="shared" si="104"/>
        <v>-2.2635239643442939E-2</v>
      </c>
      <c r="K673" s="26">
        <f t="shared" si="105"/>
        <v>-3.1411652943873103E-2</v>
      </c>
      <c r="L673" s="26">
        <f t="shared" si="106"/>
        <v>-3.7342943620193525E-2</v>
      </c>
      <c r="M673" s="26">
        <f t="shared" si="107"/>
        <v>-8.7869265956695086E-2</v>
      </c>
      <c r="N673" s="26">
        <f t="shared" si="108"/>
        <v>-0.17867706942747952</v>
      </c>
      <c r="O673" s="26">
        <f t="shared" si="109"/>
        <v>-0.29472149047424834</v>
      </c>
    </row>
    <row r="674" spans="1:15" x14ac:dyDescent="0.25">
      <c r="A674" s="2">
        <v>44545</v>
      </c>
      <c r="B674">
        <v>126985</v>
      </c>
      <c r="C674">
        <v>171918</v>
      </c>
      <c r="D674">
        <v>965725</v>
      </c>
      <c r="F674">
        <f t="shared" si="100"/>
        <v>0.23635646213748232</v>
      </c>
      <c r="G674">
        <f t="shared" si="101"/>
        <v>-2.5384357431459152</v>
      </c>
      <c r="H674">
        <f t="shared" si="102"/>
        <v>1.3538449423160215</v>
      </c>
      <c r="I674">
        <f t="shared" si="103"/>
        <v>-0.57835014992012468</v>
      </c>
      <c r="J674" s="26">
        <f t="shared" si="104"/>
        <v>-1.2260501324876549E-2</v>
      </c>
      <c r="K674" s="26">
        <f t="shared" si="105"/>
        <v>-2.1831362515478847E-2</v>
      </c>
      <c r="L674" s="26">
        <f t="shared" si="106"/>
        <v>-2.7608671882179303E-2</v>
      </c>
      <c r="M674" s="26">
        <f t="shared" si="107"/>
        <v>-9.6208777644190446E-2</v>
      </c>
      <c r="N674" s="26">
        <f t="shared" si="108"/>
        <v>-0.18863019782039814</v>
      </c>
      <c r="O674" s="26">
        <f t="shared" si="109"/>
        <v>-0.29957281085000154</v>
      </c>
    </row>
    <row r="675" spans="1:15" x14ac:dyDescent="0.25">
      <c r="A675" s="2">
        <v>44544</v>
      </c>
      <c r="B675">
        <v>124935</v>
      </c>
      <c r="C675">
        <v>171718</v>
      </c>
      <c r="D675">
        <v>999335</v>
      </c>
      <c r="F675">
        <f t="shared" si="100"/>
        <v>0.22890103920715316</v>
      </c>
      <c r="G675">
        <f t="shared" si="101"/>
        <v>-2.6516880195675245</v>
      </c>
      <c r="H675">
        <f t="shared" si="102"/>
        <v>1.3744587185336374</v>
      </c>
      <c r="I675">
        <f t="shared" si="103"/>
        <v>-0.46280286573245116</v>
      </c>
      <c r="J675" s="26">
        <f t="shared" si="104"/>
        <v>-1.9718308249819239E-3</v>
      </c>
      <c r="K675" s="26">
        <f t="shared" si="105"/>
        <v>-1.2270028149230838E-2</v>
      </c>
      <c r="L675" s="26">
        <f t="shared" si="106"/>
        <v>-1.7922011932685555E-2</v>
      </c>
      <c r="M675" s="26">
        <f t="shared" si="107"/>
        <v>-0.10544031876776838</v>
      </c>
      <c r="N675" s="26">
        <f t="shared" si="108"/>
        <v>-0.20027741709979807</v>
      </c>
      <c r="O675" s="26">
        <f t="shared" si="109"/>
        <v>-0.30548571475860609</v>
      </c>
    </row>
    <row r="676" spans="1:15" x14ac:dyDescent="0.25">
      <c r="A676" s="2">
        <v>44543</v>
      </c>
      <c r="B676">
        <v>123295</v>
      </c>
      <c r="C676">
        <v>167228</v>
      </c>
      <c r="D676">
        <v>1001565</v>
      </c>
      <c r="F676">
        <f t="shared" si="100"/>
        <v>0.22484768839274105</v>
      </c>
      <c r="G676">
        <f t="shared" si="101"/>
        <v>-2.6991697275236568</v>
      </c>
      <c r="H676">
        <f t="shared" si="102"/>
        <v>1.3563242629465915</v>
      </c>
      <c r="I676">
        <f t="shared" si="103"/>
        <v>-0.56711105763453629</v>
      </c>
      <c r="J676" s="26">
        <f t="shared" si="104"/>
        <v>8.4378379081569421E-3</v>
      </c>
      <c r="K676" s="26">
        <f t="shared" si="105"/>
        <v>-2.4917820966949278E-3</v>
      </c>
      <c r="L676" s="26">
        <f t="shared" si="106"/>
        <v>-8.0184062905301334E-3</v>
      </c>
      <c r="M676" s="26">
        <f t="shared" si="107"/>
        <v>-0.11397225900087005</v>
      </c>
      <c r="N676" s="26">
        <f t="shared" si="108"/>
        <v>-0.21163102088747121</v>
      </c>
      <c r="O676" s="26">
        <f t="shared" si="109"/>
        <v>-0.31120161415486169</v>
      </c>
    </row>
    <row r="677" spans="1:15" x14ac:dyDescent="0.25">
      <c r="A677" s="2">
        <v>44540</v>
      </c>
      <c r="B677">
        <v>442465</v>
      </c>
      <c r="C677">
        <v>459669</v>
      </c>
      <c r="D677">
        <v>992262</v>
      </c>
      <c r="F677">
        <f t="shared" si="100"/>
        <v>0.47621194301508241</v>
      </c>
      <c r="G677">
        <f t="shared" si="101"/>
        <v>0.75941936288647049</v>
      </c>
      <c r="H677">
        <f t="shared" si="102"/>
        <v>1.0388821714711898</v>
      </c>
      <c r="I677">
        <f t="shared" si="103"/>
        <v>-2.381630402042417</v>
      </c>
      <c r="J677" s="26">
        <f t="shared" si="104"/>
        <v>1.8973608091367111E-2</v>
      </c>
      <c r="K677" s="26">
        <f t="shared" si="105"/>
        <v>7.4140476433852687E-3</v>
      </c>
      <c r="L677" s="26">
        <f t="shared" si="106"/>
        <v>2.0682711213181881E-3</v>
      </c>
      <c r="M677" s="26">
        <f t="shared" si="107"/>
        <v>-0.12022336719254612</v>
      </c>
      <c r="N677" s="26">
        <f t="shared" si="108"/>
        <v>-0.22136780522508293</v>
      </c>
      <c r="O677" s="26">
        <f t="shared" si="109"/>
        <v>-0.31494948958557289</v>
      </c>
    </row>
    <row r="678" spans="1:15" x14ac:dyDescent="0.25">
      <c r="A678" s="2">
        <v>44539</v>
      </c>
      <c r="B678">
        <v>440665</v>
      </c>
      <c r="C678">
        <v>460416</v>
      </c>
      <c r="D678">
        <v>990652</v>
      </c>
      <c r="F678">
        <f t="shared" si="100"/>
        <v>0.4763256759807013</v>
      </c>
      <c r="G678">
        <f t="shared" si="101"/>
        <v>0.76352039983847764</v>
      </c>
      <c r="H678">
        <f t="shared" si="102"/>
        <v>1.0448208956917386</v>
      </c>
      <c r="I678">
        <f t="shared" si="103"/>
        <v>-2.4174718371369113</v>
      </c>
      <c r="J678" s="26">
        <f t="shared" si="104"/>
        <v>1.7537636680449553E-2</v>
      </c>
      <c r="K678" s="26">
        <f t="shared" si="105"/>
        <v>5.2438451860109536E-3</v>
      </c>
      <c r="L678" s="26">
        <f t="shared" si="106"/>
        <v>9.6271823773086407E-5</v>
      </c>
      <c r="M678" s="26">
        <f t="shared" si="107"/>
        <v>-0.11140344767103461</v>
      </c>
      <c r="N678" s="26">
        <f t="shared" si="108"/>
        <v>-0.21555478608030709</v>
      </c>
      <c r="O678" s="26">
        <f t="shared" si="109"/>
        <v>-0.30322668418987919</v>
      </c>
    </row>
    <row r="679" spans="1:15" x14ac:dyDescent="0.25">
      <c r="A679" s="2">
        <v>44538</v>
      </c>
      <c r="B679">
        <v>435302</v>
      </c>
      <c r="C679">
        <v>462520</v>
      </c>
      <c r="D679">
        <v>994502</v>
      </c>
      <c r="F679">
        <f t="shared" si="100"/>
        <v>0.47445469169127485</v>
      </c>
      <c r="G679">
        <f t="shared" si="101"/>
        <v>0.74082993326229885</v>
      </c>
      <c r="H679">
        <f t="shared" si="102"/>
        <v>1.0625267055974932</v>
      </c>
      <c r="I679">
        <f t="shared" si="103"/>
        <v>-2.3834493515961475</v>
      </c>
      <c r="J679" s="26">
        <f t="shared" si="104"/>
        <v>1.6058561200501587E-2</v>
      </c>
      <c r="K679" s="26">
        <f t="shared" si="105"/>
        <v>3.0417235741827531E-3</v>
      </c>
      <c r="L679" s="26">
        <f t="shared" si="106"/>
        <v>-1.8989525903529425E-3</v>
      </c>
      <c r="M679" s="26">
        <f t="shared" si="107"/>
        <v>-0.10280436860309927</v>
      </c>
      <c r="N679" s="26">
        <f t="shared" si="108"/>
        <v>-0.2099360363735383</v>
      </c>
      <c r="O679" s="26">
        <f t="shared" si="109"/>
        <v>-0.29175273249075007</v>
      </c>
    </row>
    <row r="680" spans="1:15" x14ac:dyDescent="0.25">
      <c r="A680" s="2">
        <v>44537</v>
      </c>
      <c r="B680">
        <v>426527</v>
      </c>
      <c r="C680">
        <v>471200</v>
      </c>
      <c r="D680">
        <v>989744</v>
      </c>
      <c r="F680">
        <f t="shared" si="100"/>
        <v>0.47562426124692775</v>
      </c>
      <c r="G680">
        <f t="shared" si="101"/>
        <v>0.75865973141753784</v>
      </c>
      <c r="H680">
        <f t="shared" si="102"/>
        <v>1.1047366286307783</v>
      </c>
      <c r="I680">
        <f t="shared" si="103"/>
        <v>-2.1950098229103157</v>
      </c>
      <c r="J680" s="26">
        <f t="shared" si="104"/>
        <v>1.4706636413927776E-2</v>
      </c>
      <c r="K680" s="26">
        <f t="shared" si="105"/>
        <v>9.6631405249042457E-4</v>
      </c>
      <c r="L680" s="26">
        <f t="shared" si="106"/>
        <v>-2.1791727710251951E-4</v>
      </c>
      <c r="M680" s="26">
        <f t="shared" si="107"/>
        <v>-9.4493929976779301E-2</v>
      </c>
      <c r="N680" s="26">
        <f t="shared" si="108"/>
        <v>-0.2044679381860357</v>
      </c>
      <c r="O680" s="26">
        <f t="shared" si="109"/>
        <v>-0.27271315811027441</v>
      </c>
    </row>
    <row r="681" spans="1:15" x14ac:dyDescent="0.25">
      <c r="A681" s="2">
        <v>44536</v>
      </c>
      <c r="B681">
        <v>416302</v>
      </c>
      <c r="C681">
        <v>472355</v>
      </c>
      <c r="D681">
        <v>1000302</v>
      </c>
      <c r="F681">
        <f t="shared" si="100"/>
        <v>0.47044800866509012</v>
      </c>
      <c r="G681">
        <f t="shared" si="101"/>
        <v>0.69445046754943984</v>
      </c>
      <c r="H681">
        <f t="shared" si="102"/>
        <v>1.134645041340181</v>
      </c>
      <c r="I681">
        <f t="shared" si="103"/>
        <v>-2.0634728866746732</v>
      </c>
      <c r="J681" s="26">
        <f t="shared" si="104"/>
        <v>1.3008099395213746E-2</v>
      </c>
      <c r="K681" s="26">
        <f t="shared" si="105"/>
        <v>-1.3517236271091693E-3</v>
      </c>
      <c r="L681" s="26">
        <f t="shared" si="106"/>
        <v>1.2412029797662649E-3</v>
      </c>
      <c r="M681" s="26">
        <f t="shared" si="107"/>
        <v>-9.0907461798245492E-2</v>
      </c>
      <c r="N681" s="26">
        <f t="shared" si="108"/>
        <v>-0.20201515862170716</v>
      </c>
      <c r="O681" s="26">
        <f t="shared" si="109"/>
        <v>-0.2568025451302387</v>
      </c>
    </row>
    <row r="682" spans="1:15" x14ac:dyDescent="0.25">
      <c r="A682" s="2">
        <v>44533</v>
      </c>
      <c r="B682">
        <v>412807</v>
      </c>
      <c r="C682">
        <v>473835</v>
      </c>
      <c r="D682">
        <v>1000866</v>
      </c>
      <c r="F682">
        <f t="shared" si="100"/>
        <v>0.46974211500030727</v>
      </c>
      <c r="G682">
        <f t="shared" si="101"/>
        <v>0.68882262046633913</v>
      </c>
      <c r="H682">
        <f t="shared" si="102"/>
        <v>1.1478366403670481</v>
      </c>
      <c r="I682">
        <f t="shared" si="103"/>
        <v>-2.0264604511794073</v>
      </c>
      <c r="J682" s="26">
        <f t="shared" si="104"/>
        <v>1.17076237435636E-2</v>
      </c>
      <c r="K682" s="26">
        <f t="shared" si="105"/>
        <v>-3.3605026685302186E-3</v>
      </c>
      <c r="L682" s="26">
        <f t="shared" si="106"/>
        <v>2.9893399822433775E-3</v>
      </c>
      <c r="M682" s="26">
        <f t="shared" si="107"/>
        <v>-8.9245640289202788E-2</v>
      </c>
      <c r="N682" s="26">
        <f t="shared" si="108"/>
        <v>-0.2012222321813113</v>
      </c>
      <c r="O682" s="26">
        <f t="shared" si="109"/>
        <v>-0.24248328396087904</v>
      </c>
    </row>
    <row r="683" spans="1:15" x14ac:dyDescent="0.25">
      <c r="A683" s="2">
        <v>44532</v>
      </c>
      <c r="B683">
        <v>409957</v>
      </c>
      <c r="C683">
        <v>472519</v>
      </c>
      <c r="D683">
        <v>999915</v>
      </c>
      <c r="F683">
        <f t="shared" si="100"/>
        <v>0.46880589633078357</v>
      </c>
      <c r="G683">
        <f t="shared" si="101"/>
        <v>0.68057278941619626</v>
      </c>
      <c r="H683">
        <f t="shared" si="102"/>
        <v>1.1526062489480604</v>
      </c>
      <c r="I683">
        <f t="shared" si="103"/>
        <v>-2.0376530025853716</v>
      </c>
      <c r="J683" s="26">
        <f t="shared" si="104"/>
        <v>1.0351722130594931E-2</v>
      </c>
      <c r="K683" s="26">
        <f t="shared" si="105"/>
        <v>-5.3180689684442228E-3</v>
      </c>
      <c r="L683" s="26">
        <f t="shared" si="106"/>
        <v>1.2386063970680761E-3</v>
      </c>
      <c r="M683" s="26">
        <f t="shared" si="107"/>
        <v>-8.7780592693986526E-2</v>
      </c>
      <c r="N683" s="26">
        <f t="shared" si="108"/>
        <v>-0.19987531771443678</v>
      </c>
      <c r="O683" s="26">
        <f t="shared" si="109"/>
        <v>-0.23626521563092284</v>
      </c>
    </row>
    <row r="684" spans="1:15" x14ac:dyDescent="0.25">
      <c r="A684" s="2">
        <v>44531</v>
      </c>
      <c r="B684">
        <v>403111</v>
      </c>
      <c r="C684">
        <v>476547</v>
      </c>
      <c r="D684">
        <v>997784</v>
      </c>
      <c r="F684">
        <f t="shared" si="100"/>
        <v>0.46854070591794578</v>
      </c>
      <c r="G684">
        <f t="shared" si="101"/>
        <v>0.68097179552571419</v>
      </c>
      <c r="H684">
        <f t="shared" si="102"/>
        <v>1.1821731483387949</v>
      </c>
      <c r="I684">
        <f t="shared" si="103"/>
        <v>-1.887318913574354</v>
      </c>
      <c r="J684" s="26">
        <f t="shared" si="104"/>
        <v>8.8687790963793978E-3</v>
      </c>
      <c r="K684" s="26">
        <f t="shared" si="105"/>
        <v>-7.3687887696219367E-3</v>
      </c>
      <c r="L684" s="26">
        <f t="shared" si="106"/>
        <v>-5.8410959467314338E-4</v>
      </c>
      <c r="M684" s="26">
        <f t="shared" si="107"/>
        <v>-8.557301339200718E-2</v>
      </c>
      <c r="N684" s="26">
        <f t="shared" si="108"/>
        <v>-0.19852393298581084</v>
      </c>
      <c r="O684" s="26">
        <f t="shared" si="109"/>
        <v>-0.22999117648958123</v>
      </c>
    </row>
    <row r="685" spans="1:15" x14ac:dyDescent="0.25">
      <c r="A685" s="2">
        <v>44530</v>
      </c>
      <c r="B685">
        <v>400186</v>
      </c>
      <c r="C685">
        <v>478265</v>
      </c>
      <c r="D685">
        <v>1001885</v>
      </c>
      <c r="F685">
        <f t="shared" si="100"/>
        <v>0.46717767462836429</v>
      </c>
      <c r="G685">
        <f t="shared" si="101"/>
        <v>0.66788932972511872</v>
      </c>
      <c r="H685">
        <f t="shared" si="102"/>
        <v>1.1951067753494624</v>
      </c>
      <c r="I685">
        <f t="shared" si="103"/>
        <v>-1.836263275194872</v>
      </c>
      <c r="J685" s="26">
        <f t="shared" si="104"/>
        <v>7.5010434241881696E-3</v>
      </c>
      <c r="K685" s="26">
        <f t="shared" si="105"/>
        <v>-9.360503105509177E-3</v>
      </c>
      <c r="L685" s="26">
        <f t="shared" si="106"/>
        <v>-2.3416743544691365E-3</v>
      </c>
      <c r="M685" s="26">
        <f t="shared" si="107"/>
        <v>-8.4845121552905578E-2</v>
      </c>
      <c r="N685" s="26">
        <f t="shared" si="108"/>
        <v>-0.19859999135628725</v>
      </c>
      <c r="O685" s="26">
        <f t="shared" si="109"/>
        <v>-0.22513313237504273</v>
      </c>
    </row>
    <row r="686" spans="1:15" x14ac:dyDescent="0.25">
      <c r="A686" s="2">
        <v>44529</v>
      </c>
      <c r="B686">
        <v>392436</v>
      </c>
      <c r="C686">
        <v>478780</v>
      </c>
      <c r="D686">
        <v>1001941</v>
      </c>
      <c r="F686">
        <f t="shared" si="100"/>
        <v>0.46510570123059625</v>
      </c>
      <c r="G686">
        <f t="shared" si="101"/>
        <v>0.6464745382542183</v>
      </c>
      <c r="H686">
        <f t="shared" si="102"/>
        <v>1.2200205893445046</v>
      </c>
      <c r="I686">
        <f t="shared" si="103"/>
        <v>-1.4346377218141571</v>
      </c>
      <c r="J686" s="26">
        <f t="shared" si="104"/>
        <v>6.0943859844468373E-3</v>
      </c>
      <c r="K686" s="26">
        <f t="shared" si="105"/>
        <v>-1.1290584127626013E-2</v>
      </c>
      <c r="L686" s="26">
        <f t="shared" si="106"/>
        <v>-4.0456799821432798E-3</v>
      </c>
      <c r="M686" s="26">
        <f t="shared" si="107"/>
        <v>-8.377617945784066E-2</v>
      </c>
      <c r="N686" s="26">
        <f t="shared" si="108"/>
        <v>-0.19857342785870169</v>
      </c>
      <c r="O686" s="26">
        <f t="shared" si="109"/>
        <v>-0.22035372982440093</v>
      </c>
    </row>
    <row r="687" spans="1:15" x14ac:dyDescent="0.25">
      <c r="A687" s="2">
        <v>44526</v>
      </c>
      <c r="B687">
        <v>389686</v>
      </c>
      <c r="C687">
        <v>467945</v>
      </c>
      <c r="D687">
        <v>1003397</v>
      </c>
      <c r="F687">
        <f t="shared" si="100"/>
        <v>0.46083723619418943</v>
      </c>
      <c r="G687">
        <f t="shared" si="101"/>
        <v>0.59988384388901095</v>
      </c>
      <c r="H687">
        <f t="shared" si="102"/>
        <v>1.2008257930744239</v>
      </c>
      <c r="I687">
        <f t="shared" si="103"/>
        <v>-1.3630885173216412</v>
      </c>
      <c r="J687" s="26">
        <f t="shared" si="104"/>
        <v>4.8202228422434823E-3</v>
      </c>
      <c r="K687" s="26">
        <f t="shared" si="105"/>
        <v>-1.3133158014734414E-2</v>
      </c>
      <c r="L687" s="26">
        <f t="shared" si="106"/>
        <v>-5.6645224434977992E-3</v>
      </c>
      <c r="M687" s="26">
        <f t="shared" si="107"/>
        <v>-8.3885884784344444E-2</v>
      </c>
      <c r="N687" s="26">
        <f t="shared" si="108"/>
        <v>-0.1999852699776643</v>
      </c>
      <c r="O687" s="26">
        <f t="shared" si="109"/>
        <v>-0.21693432006739899</v>
      </c>
    </row>
    <row r="688" spans="1:15" x14ac:dyDescent="0.25">
      <c r="A688" s="2">
        <v>44525</v>
      </c>
      <c r="B688">
        <v>387236</v>
      </c>
      <c r="C688">
        <v>475632</v>
      </c>
      <c r="D688">
        <v>1006603</v>
      </c>
      <c r="F688">
        <f t="shared" si="100"/>
        <v>0.46155730685311513</v>
      </c>
      <c r="G688">
        <f t="shared" si="101"/>
        <v>0.61250139460986919</v>
      </c>
      <c r="H688">
        <f t="shared" si="102"/>
        <v>1.2282742307016909</v>
      </c>
      <c r="I688">
        <f t="shared" si="103"/>
        <v>-1.0944406923543579</v>
      </c>
      <c r="J688" s="26">
        <f t="shared" si="104"/>
        <v>3.5492288118485482E-3</v>
      </c>
      <c r="K688" s="26">
        <f t="shared" si="105"/>
        <v>-1.4871233414990193E-2</v>
      </c>
      <c r="L688" s="26">
        <f t="shared" si="106"/>
        <v>-7.1572458032147512E-3</v>
      </c>
      <c r="M688" s="26">
        <f t="shared" si="107"/>
        <v>-8.4433930631818921E-2</v>
      </c>
      <c r="N688" s="26">
        <f t="shared" si="108"/>
        <v>-0.20149165887172527</v>
      </c>
      <c r="O688" s="26">
        <f t="shared" si="109"/>
        <v>-0.2136018948263203</v>
      </c>
    </row>
    <row r="689" spans="1:15" x14ac:dyDescent="0.25">
      <c r="A689" s="2">
        <v>44524</v>
      </c>
      <c r="B689">
        <v>376696</v>
      </c>
      <c r="C689">
        <v>456112</v>
      </c>
      <c r="D689">
        <v>1007156</v>
      </c>
      <c r="F689">
        <f t="shared" si="100"/>
        <v>0.45262189912411332</v>
      </c>
      <c r="G689">
        <f t="shared" si="101"/>
        <v>0.51467689913720638</v>
      </c>
      <c r="H689">
        <f t="shared" si="102"/>
        <v>1.2108225200161404</v>
      </c>
      <c r="I689">
        <f t="shared" si="103"/>
        <v>-1.1888328952622502</v>
      </c>
      <c r="J689" s="26">
        <f t="shared" si="104"/>
        <v>2.0684420494936906E-3</v>
      </c>
      <c r="K689" s="26">
        <f t="shared" si="105"/>
        <v>-1.6711477644485662E-2</v>
      </c>
      <c r="L689" s="26">
        <f t="shared" si="106"/>
        <v>-8.7242778180167679E-3</v>
      </c>
      <c r="M689" s="26">
        <f t="shared" si="107"/>
        <v>-8.7973082245982104E-2</v>
      </c>
      <c r="N689" s="26">
        <f t="shared" si="108"/>
        <v>-0.20494463789817918</v>
      </c>
      <c r="O689" s="26">
        <f t="shared" si="109"/>
        <v>-0.21232731498437718</v>
      </c>
    </row>
    <row r="690" spans="1:15" x14ac:dyDescent="0.25">
      <c r="A690" s="2">
        <v>44523</v>
      </c>
      <c r="B690">
        <v>367971</v>
      </c>
      <c r="C690">
        <v>450964</v>
      </c>
      <c r="D690">
        <v>1009554</v>
      </c>
      <c r="F690">
        <f t="shared" si="100"/>
        <v>0.4478752675022929</v>
      </c>
      <c r="G690">
        <f t="shared" si="101"/>
        <v>0.46646442679595806</v>
      </c>
      <c r="H690">
        <f t="shared" si="102"/>
        <v>1.2255422302300996</v>
      </c>
      <c r="I690">
        <f t="shared" si="103"/>
        <v>-1.1300640407342415</v>
      </c>
      <c r="J690" s="26">
        <f t="shared" si="104"/>
        <v>1.6610807897309843E-3</v>
      </c>
      <c r="K690" s="26">
        <f t="shared" si="105"/>
        <v>-1.7924557678645092E-2</v>
      </c>
      <c r="L690" s="26">
        <f t="shared" si="106"/>
        <v>-9.7028452108718355E-3</v>
      </c>
      <c r="M690" s="26">
        <f t="shared" si="107"/>
        <v>-9.0262251325056164E-2</v>
      </c>
      <c r="N690" s="26">
        <f t="shared" si="108"/>
        <v>-0.20753180879120237</v>
      </c>
      <c r="O690" s="26">
        <f t="shared" si="109"/>
        <v>-0.21015409396556262</v>
      </c>
    </row>
    <row r="691" spans="1:15" x14ac:dyDescent="0.25">
      <c r="A691" s="2">
        <v>44522</v>
      </c>
      <c r="B691">
        <v>366471</v>
      </c>
      <c r="C691">
        <v>444364</v>
      </c>
      <c r="D691">
        <v>1001858</v>
      </c>
      <c r="F691">
        <f t="shared" si="100"/>
        <v>0.44730961061801422</v>
      </c>
      <c r="G691">
        <f t="shared" si="101"/>
        <v>0.46591895984979181</v>
      </c>
      <c r="H691">
        <f t="shared" si="102"/>
        <v>1.2125488783559955</v>
      </c>
      <c r="I691">
        <f t="shared" si="103"/>
        <v>-1.2041665058142947</v>
      </c>
      <c r="J691" s="26">
        <f t="shared" si="104"/>
        <v>1.2673274135381329E-3</v>
      </c>
      <c r="K691" s="26">
        <f t="shared" si="105"/>
        <v>-1.886970469820376E-2</v>
      </c>
      <c r="L691" s="26">
        <f t="shared" si="106"/>
        <v>-1.0416065490326643E-2</v>
      </c>
      <c r="M691" s="26">
        <f t="shared" si="107"/>
        <v>-9.5551558664349834E-2</v>
      </c>
      <c r="N691" s="26">
        <f t="shared" si="108"/>
        <v>-0.2112298116851743</v>
      </c>
      <c r="O691" s="26">
        <f t="shared" si="109"/>
        <v>-0.20934548993022295</v>
      </c>
    </row>
    <row r="692" spans="1:15" x14ac:dyDescent="0.25">
      <c r="A692" s="2">
        <v>44519</v>
      </c>
      <c r="B692">
        <v>362921</v>
      </c>
      <c r="C692">
        <v>450306</v>
      </c>
      <c r="D692">
        <v>998109</v>
      </c>
      <c r="F692">
        <f t="shared" si="100"/>
        <v>0.44896529412544112</v>
      </c>
      <c r="G692">
        <f t="shared" si="101"/>
        <v>0.48980987929251069</v>
      </c>
      <c r="H692">
        <f t="shared" si="102"/>
        <v>1.2407824292339105</v>
      </c>
      <c r="I692">
        <f t="shared" si="103"/>
        <v>-1.078890592064307</v>
      </c>
      <c r="J692" s="26">
        <f t="shared" si="104"/>
        <v>8.9331632880257361E-4</v>
      </c>
      <c r="K692" s="26">
        <f t="shared" si="105"/>
        <v>-1.9693963469683218E-2</v>
      </c>
      <c r="L692" s="26">
        <f t="shared" si="106"/>
        <v>-1.1062802265936644E-2</v>
      </c>
      <c r="M692" s="26">
        <f t="shared" si="107"/>
        <v>-9.907926385418242E-2</v>
      </c>
      <c r="N692" s="26">
        <f t="shared" si="108"/>
        <v>-0.21333593299653475</v>
      </c>
      <c r="O692" s="26">
        <f t="shared" si="109"/>
        <v>-0.20747369444949681</v>
      </c>
    </row>
    <row r="693" spans="1:15" x14ac:dyDescent="0.25">
      <c r="A693" s="2">
        <v>44518</v>
      </c>
      <c r="B693">
        <v>361071</v>
      </c>
      <c r="C693">
        <v>452945</v>
      </c>
      <c r="D693">
        <v>997859</v>
      </c>
      <c r="F693">
        <f t="shared" si="100"/>
        <v>0.44926719558468436</v>
      </c>
      <c r="G693">
        <f t="shared" si="101"/>
        <v>0.49868315656693701</v>
      </c>
      <c r="H693">
        <f t="shared" si="102"/>
        <v>1.254448571056662</v>
      </c>
      <c r="I693">
        <f t="shared" si="103"/>
        <v>-1.0212254605196662</v>
      </c>
      <c r="J693" s="26">
        <f t="shared" si="104"/>
        <v>3.5013810275963397E-4</v>
      </c>
      <c r="K693" s="26">
        <f t="shared" si="105"/>
        <v>-2.0551363898074992E-2</v>
      </c>
      <c r="L693" s="26">
        <f t="shared" si="106"/>
        <v>-1.1756063835290265E-2</v>
      </c>
      <c r="M693" s="26">
        <f t="shared" si="107"/>
        <v>-0.10218034465953729</v>
      </c>
      <c r="N693" s="26">
        <f t="shared" si="108"/>
        <v>-0.21542087244266073</v>
      </c>
      <c r="O693" s="26">
        <f t="shared" si="109"/>
        <v>-0.20593644331853178</v>
      </c>
    </row>
    <row r="694" spans="1:15" x14ac:dyDescent="0.25">
      <c r="A694" s="2">
        <v>44517</v>
      </c>
      <c r="B694">
        <v>358446</v>
      </c>
      <c r="C694">
        <v>449975</v>
      </c>
      <c r="D694">
        <v>993656</v>
      </c>
      <c r="F694">
        <f t="shared" si="100"/>
        <v>0.44860513729435536</v>
      </c>
      <c r="G694">
        <f t="shared" si="101"/>
        <v>0.49724085110981836</v>
      </c>
      <c r="H694">
        <f t="shared" si="102"/>
        <v>1.2553494808144043</v>
      </c>
      <c r="I694">
        <f t="shared" si="103"/>
        <v>-1.0252394121866355</v>
      </c>
      <c r="J694" s="26">
        <f t="shared" si="104"/>
        <v>-7.7832928494891984E-5</v>
      </c>
      <c r="K694" s="26">
        <f t="shared" si="105"/>
        <v>-2.1389469262338368E-2</v>
      </c>
      <c r="L694" s="26">
        <f t="shared" si="106"/>
        <v>-1.2418912947242622E-2</v>
      </c>
      <c r="M694" s="26">
        <f t="shared" si="107"/>
        <v>-0.10342730399943267</v>
      </c>
      <c r="N694" s="26">
        <f t="shared" si="108"/>
        <v>-0.21641465645659852</v>
      </c>
      <c r="O694" s="26">
        <f t="shared" si="109"/>
        <v>-0.20381486948809924</v>
      </c>
    </row>
    <row r="695" spans="1:15" x14ac:dyDescent="0.25">
      <c r="A695" s="2">
        <v>44516</v>
      </c>
      <c r="B695">
        <v>355671</v>
      </c>
      <c r="C695">
        <v>446025</v>
      </c>
      <c r="D695">
        <v>988949</v>
      </c>
      <c r="F695">
        <f t="shared" si="100"/>
        <v>0.44771353339159914</v>
      </c>
      <c r="G695">
        <f t="shared" si="101"/>
        <v>0.49348916296114076</v>
      </c>
      <c r="H695">
        <f t="shared" si="102"/>
        <v>1.2540381419907725</v>
      </c>
      <c r="I695">
        <f t="shared" si="103"/>
        <v>-1.0417851204900572</v>
      </c>
      <c r="J695" s="26">
        <f t="shared" si="104"/>
        <v>-3.4370942375044899E-4</v>
      </c>
      <c r="K695" s="26">
        <f t="shared" si="105"/>
        <v>-2.2167332708836751E-2</v>
      </c>
      <c r="L695" s="26">
        <f t="shared" si="106"/>
        <v>-1.3000019705910804E-2</v>
      </c>
      <c r="M695" s="26">
        <f t="shared" si="107"/>
        <v>-0.10399909447657807</v>
      </c>
      <c r="N695" s="26">
        <f t="shared" si="108"/>
        <v>-0.21606248533952122</v>
      </c>
      <c r="O695" s="26">
        <f t="shared" si="109"/>
        <v>-0.2007616352452033</v>
      </c>
    </row>
    <row r="696" spans="1:15" x14ac:dyDescent="0.25">
      <c r="A696" s="2">
        <v>44515</v>
      </c>
      <c r="B696">
        <v>348861</v>
      </c>
      <c r="C696">
        <v>445070</v>
      </c>
      <c r="D696">
        <v>989357</v>
      </c>
      <c r="F696">
        <f t="shared" si="100"/>
        <v>0.4452062706640767</v>
      </c>
      <c r="G696">
        <f t="shared" si="101"/>
        <v>0.47318328138827093</v>
      </c>
      <c r="H696">
        <f t="shared" si="102"/>
        <v>1.2757803251151605</v>
      </c>
      <c r="I696">
        <f t="shared" si="103"/>
        <v>-0.94458374741604445</v>
      </c>
      <c r="J696" s="26">
        <f t="shared" si="104"/>
        <v>-2.2768306393421978E-3</v>
      </c>
      <c r="K696" s="26">
        <f t="shared" si="105"/>
        <v>-2.2886284808022073E-2</v>
      </c>
      <c r="L696" s="26">
        <f t="shared" si="106"/>
        <v>-1.3506352500630814E-2</v>
      </c>
      <c r="M696" s="26">
        <f t="shared" si="107"/>
        <v>-0.1040143735409389</v>
      </c>
      <c r="N696" s="26">
        <f t="shared" si="108"/>
        <v>-0.21598368191059691</v>
      </c>
      <c r="O696" s="26">
        <f t="shared" si="109"/>
        <v>-0.19786653941965437</v>
      </c>
    </row>
    <row r="697" spans="1:15" x14ac:dyDescent="0.25">
      <c r="A697" s="2">
        <v>44512</v>
      </c>
      <c r="B697">
        <v>346036</v>
      </c>
      <c r="C697">
        <v>447201</v>
      </c>
      <c r="D697">
        <v>990009</v>
      </c>
      <c r="F697">
        <f t="shared" si="100"/>
        <v>0.44482757847206722</v>
      </c>
      <c r="G697">
        <f t="shared" si="101"/>
        <v>0.47517096224062705</v>
      </c>
      <c r="H697">
        <f t="shared" si="102"/>
        <v>1.2923539747309529</v>
      </c>
      <c r="I697">
        <f t="shared" si="103"/>
        <v>-0.87216900324694857</v>
      </c>
      <c r="J697" s="26">
        <f t="shared" si="104"/>
        <v>-4.1344401557184551E-3</v>
      </c>
      <c r="K697" s="26">
        <f t="shared" si="105"/>
        <v>-2.3432712230907815E-2</v>
      </c>
      <c r="L697" s="26">
        <f t="shared" si="106"/>
        <v>-1.3892631778511355E-2</v>
      </c>
      <c r="M697" s="26">
        <f t="shared" si="107"/>
        <v>-0.10483248216078134</v>
      </c>
      <c r="N697" s="26">
        <f t="shared" si="108"/>
        <v>-0.21675733252285734</v>
      </c>
      <c r="O697" s="26">
        <f t="shared" si="109"/>
        <v>-0.19539237851954039</v>
      </c>
    </row>
    <row r="698" spans="1:15" x14ac:dyDescent="0.25">
      <c r="A698" s="2">
        <v>44511</v>
      </c>
      <c r="B698">
        <v>342986</v>
      </c>
      <c r="C698">
        <v>445550</v>
      </c>
      <c r="D698">
        <v>989941</v>
      </c>
      <c r="F698">
        <f t="shared" si="100"/>
        <v>0.44337711423875598</v>
      </c>
      <c r="G698">
        <f t="shared" si="101"/>
        <v>0.46638681000588444</v>
      </c>
      <c r="H698">
        <f t="shared" si="102"/>
        <v>1.2990326135760644</v>
      </c>
      <c r="I698">
        <f t="shared" si="103"/>
        <v>-0.84787027526131331</v>
      </c>
      <c r="J698" s="26">
        <f t="shared" si="104"/>
        <v>-5.8593800337363722E-3</v>
      </c>
      <c r="K698" s="26">
        <f t="shared" si="105"/>
        <v>-2.3897369066297636E-2</v>
      </c>
      <c r="L698" s="26">
        <f t="shared" si="106"/>
        <v>-1.4204152591609731E-2</v>
      </c>
      <c r="M698" s="26">
        <f t="shared" si="107"/>
        <v>-0.10672520853895984</v>
      </c>
      <c r="N698" s="26">
        <f t="shared" si="108"/>
        <v>-0.21792100117251323</v>
      </c>
      <c r="O698" s="26">
        <f t="shared" si="109"/>
        <v>-0.19392693696902596</v>
      </c>
    </row>
    <row r="699" spans="1:15" x14ac:dyDescent="0.25">
      <c r="A699" s="2">
        <v>44510</v>
      </c>
      <c r="B699">
        <v>343336</v>
      </c>
      <c r="C699">
        <v>446406</v>
      </c>
      <c r="D699">
        <v>992728</v>
      </c>
      <c r="F699">
        <f t="shared" si="100"/>
        <v>0.44306047226601292</v>
      </c>
      <c r="G699">
        <f t="shared" si="101"/>
        <v>0.46920743003677823</v>
      </c>
      <c r="H699">
        <f t="shared" si="102"/>
        <v>1.3002015518326071</v>
      </c>
      <c r="I699">
        <f t="shared" si="103"/>
        <v>-0.85151000956619749</v>
      </c>
      <c r="J699" s="26">
        <f t="shared" si="104"/>
        <v>-7.7462865516834678E-3</v>
      </c>
      <c r="K699" s="26">
        <f t="shared" si="105"/>
        <v>-2.446609153763879E-2</v>
      </c>
      <c r="L699" s="26">
        <f t="shared" si="106"/>
        <v>-1.463023805277025E-2</v>
      </c>
      <c r="M699" s="26">
        <f t="shared" si="107"/>
        <v>-0.10792300336834759</v>
      </c>
      <c r="N699" s="26">
        <f t="shared" si="108"/>
        <v>-0.21874275397447041</v>
      </c>
      <c r="O699" s="26">
        <f t="shared" si="109"/>
        <v>-0.19195460403575004</v>
      </c>
    </row>
    <row r="700" spans="1:15" x14ac:dyDescent="0.25">
      <c r="A700" s="2">
        <v>44509</v>
      </c>
      <c r="B700">
        <v>341486</v>
      </c>
      <c r="C700">
        <v>447651</v>
      </c>
      <c r="D700">
        <v>989968</v>
      </c>
      <c r="F700">
        <f t="shared" si="100"/>
        <v>0.44355841841824961</v>
      </c>
      <c r="G700">
        <f t="shared" si="101"/>
        <v>0.48011673465570998</v>
      </c>
      <c r="H700">
        <f t="shared" si="102"/>
        <v>1.3108912224805702</v>
      </c>
      <c r="I700">
        <f t="shared" si="103"/>
        <v>-0.80814718509895189</v>
      </c>
      <c r="J700" s="26">
        <f t="shared" si="104"/>
        <v>-9.5792048712022293E-3</v>
      </c>
      <c r="K700" s="26">
        <f t="shared" si="105"/>
        <v>-2.5009219085897705E-2</v>
      </c>
      <c r="L700" s="26">
        <f t="shared" si="106"/>
        <v>-1.4902340597815922E-2</v>
      </c>
      <c r="M700" s="26">
        <f t="shared" si="107"/>
        <v>-0.10946303636224242</v>
      </c>
      <c r="N700" s="26">
        <f t="shared" si="108"/>
        <v>-0.21942463352773944</v>
      </c>
      <c r="O700" s="26">
        <f t="shared" si="109"/>
        <v>-0.19008286992372336</v>
      </c>
    </row>
    <row r="701" spans="1:15" x14ac:dyDescent="0.25">
      <c r="A701" s="2">
        <v>44508</v>
      </c>
      <c r="B701">
        <v>341286</v>
      </c>
      <c r="C701">
        <v>440626</v>
      </c>
      <c r="D701">
        <v>992731</v>
      </c>
      <c r="F701">
        <f t="shared" si="100"/>
        <v>0.44060241975428299</v>
      </c>
      <c r="G701">
        <f t="shared" si="101"/>
        <v>0.45720201416773765</v>
      </c>
      <c r="H701">
        <f t="shared" si="102"/>
        <v>1.2910755202381581</v>
      </c>
      <c r="I701">
        <f t="shared" si="103"/>
        <v>-0.91858820832460886</v>
      </c>
      <c r="J701" s="26">
        <f t="shared" si="104"/>
        <v>-1.1470085024847643E-2</v>
      </c>
      <c r="K701" s="26">
        <f t="shared" si="105"/>
        <v>-2.5576300117024109E-2</v>
      </c>
      <c r="L701" s="26">
        <f t="shared" si="106"/>
        <v>-1.5148923724681518E-2</v>
      </c>
      <c r="M701" s="26">
        <f t="shared" si="107"/>
        <v>-0.11071019203404142</v>
      </c>
      <c r="N701" s="26">
        <f t="shared" si="108"/>
        <v>-0.21962815032657046</v>
      </c>
      <c r="O701" s="26">
        <f t="shared" si="109"/>
        <v>-0.18801482450097828</v>
      </c>
    </row>
    <row r="702" spans="1:15" x14ac:dyDescent="0.25">
      <c r="A702" s="2">
        <v>44505</v>
      </c>
      <c r="B702">
        <v>341061</v>
      </c>
      <c r="C702">
        <v>439326</v>
      </c>
      <c r="D702">
        <v>987640</v>
      </c>
      <c r="F702">
        <f t="shared" si="100"/>
        <v>0.44138862132761547</v>
      </c>
      <c r="G702">
        <f t="shared" si="101"/>
        <v>0.47090387968200131</v>
      </c>
      <c r="H702">
        <f t="shared" si="102"/>
        <v>1.2881156156816522</v>
      </c>
      <c r="I702">
        <f t="shared" si="103"/>
        <v>-0.94567749299361814</v>
      </c>
      <c r="J702" s="26">
        <f t="shared" si="104"/>
        <v>-1.3247402742804337E-2</v>
      </c>
      <c r="K702" s="26">
        <f t="shared" si="105"/>
        <v>-2.5917717424898123E-2</v>
      </c>
      <c r="L702" s="26">
        <f t="shared" si="106"/>
        <v>-1.5213692439300985E-2</v>
      </c>
      <c r="M702" s="26">
        <f t="shared" si="107"/>
        <v>-0.10928569148845524</v>
      </c>
      <c r="N702" s="26">
        <f t="shared" si="108"/>
        <v>-0.2183003227476521</v>
      </c>
      <c r="O702" s="26">
        <f t="shared" si="109"/>
        <v>-0.18415604424357368</v>
      </c>
    </row>
    <row r="703" spans="1:15" x14ac:dyDescent="0.25">
      <c r="A703" s="2">
        <v>44504</v>
      </c>
      <c r="B703">
        <v>339561</v>
      </c>
      <c r="C703">
        <v>439569</v>
      </c>
      <c r="D703">
        <v>986900</v>
      </c>
      <c r="F703">
        <f t="shared" si="100"/>
        <v>0.44117597096312067</v>
      </c>
      <c r="G703">
        <f t="shared" si="101"/>
        <v>0.47492241101240157</v>
      </c>
      <c r="H703">
        <f t="shared" si="102"/>
        <v>1.2945214556441995</v>
      </c>
      <c r="I703">
        <f t="shared" si="103"/>
        <v>-0.92527552519447287</v>
      </c>
      <c r="J703" s="26">
        <f t="shared" si="104"/>
        <v>-1.5217007629455881E-2</v>
      </c>
      <c r="K703" s="26">
        <f t="shared" si="105"/>
        <v>-2.6322605171164248E-2</v>
      </c>
      <c r="L703" s="26">
        <f t="shared" si="106"/>
        <v>-1.5403061263063345E-2</v>
      </c>
      <c r="M703" s="26">
        <f t="shared" si="107"/>
        <v>-0.10759130130469985</v>
      </c>
      <c r="N703" s="26">
        <f t="shared" si="108"/>
        <v>-0.21658027330867036</v>
      </c>
      <c r="O703" s="26">
        <f t="shared" si="109"/>
        <v>-0.17993557906641344</v>
      </c>
    </row>
    <row r="704" spans="1:15" x14ac:dyDescent="0.25">
      <c r="A704" s="2">
        <v>44503</v>
      </c>
      <c r="B704">
        <v>339166</v>
      </c>
      <c r="C704">
        <v>440711</v>
      </c>
      <c r="D704">
        <v>996314</v>
      </c>
      <c r="F704">
        <f t="shared" si="100"/>
        <v>0.43907271233780604</v>
      </c>
      <c r="G704">
        <f t="shared" si="101"/>
        <v>0.46107140541196617</v>
      </c>
      <c r="H704">
        <f t="shared" si="102"/>
        <v>1.2993961658892696</v>
      </c>
      <c r="I704">
        <f t="shared" si="103"/>
        <v>-0.91349622728310498</v>
      </c>
      <c r="J704" s="26">
        <f t="shared" si="104"/>
        <v>-1.7179088809359477E-2</v>
      </c>
      <c r="K704" s="26">
        <f t="shared" si="105"/>
        <v>-2.6530948514494723E-2</v>
      </c>
      <c r="L704" s="26">
        <f t="shared" si="106"/>
        <v>-1.5489437237386661E-2</v>
      </c>
      <c r="M704" s="26">
        <f t="shared" si="107"/>
        <v>-0.10725928529423578</v>
      </c>
      <c r="N704" s="26">
        <f t="shared" si="108"/>
        <v>-0.21516687923928268</v>
      </c>
      <c r="O704" s="26">
        <f t="shared" si="109"/>
        <v>-0.17582232124483554</v>
      </c>
    </row>
    <row r="705" spans="1:15" x14ac:dyDescent="0.25">
      <c r="A705" s="2">
        <v>44502</v>
      </c>
      <c r="B705">
        <v>340252</v>
      </c>
      <c r="C705">
        <v>442074</v>
      </c>
      <c r="D705">
        <v>995489</v>
      </c>
      <c r="F705">
        <f t="shared" si="100"/>
        <v>0.44004916147068168</v>
      </c>
      <c r="G705">
        <f t="shared" si="101"/>
        <v>0.47634269332352736</v>
      </c>
      <c r="H705">
        <f t="shared" si="102"/>
        <v>1.2992546700680672</v>
      </c>
      <c r="I705">
        <f t="shared" si="103"/>
        <v>-0.92689603523065245</v>
      </c>
      <c r="J705" s="26">
        <f t="shared" si="104"/>
        <v>-1.9064830656173204E-2</v>
      </c>
      <c r="K705" s="26">
        <f t="shared" si="105"/>
        <v>-2.6638014071169724E-2</v>
      </c>
      <c r="L705" s="26">
        <f t="shared" si="106"/>
        <v>-1.5527066982238991E-2</v>
      </c>
      <c r="M705" s="26">
        <f t="shared" si="107"/>
        <v>-0.10862269349327258</v>
      </c>
      <c r="N705" s="26">
        <f t="shared" si="108"/>
        <v>-0.21472765371958946</v>
      </c>
      <c r="O705" s="26">
        <f t="shared" si="109"/>
        <v>-0.17256349540376648</v>
      </c>
    </row>
    <row r="706" spans="1:15" x14ac:dyDescent="0.25">
      <c r="A706" s="2">
        <v>44501</v>
      </c>
      <c r="B706">
        <v>339002</v>
      </c>
      <c r="C706">
        <v>443674</v>
      </c>
      <c r="D706">
        <v>996743</v>
      </c>
      <c r="F706">
        <f t="shared" si="100"/>
        <v>0.4398491867289267</v>
      </c>
      <c r="G706">
        <f t="shared" si="101"/>
        <v>0.48052366523007034</v>
      </c>
      <c r="H706">
        <f t="shared" si="102"/>
        <v>1.3087651400286724</v>
      </c>
      <c r="I706">
        <f t="shared" si="103"/>
        <v>-0.89148488878103327</v>
      </c>
      <c r="J706" s="26">
        <f t="shared" si="104"/>
        <v>-2.106307265865287E-2</v>
      </c>
      <c r="K706" s="26">
        <f t="shared" si="105"/>
        <v>-2.6809112758388876E-2</v>
      </c>
      <c r="L706" s="26">
        <f t="shared" si="106"/>
        <v>-1.561936440117867E-2</v>
      </c>
      <c r="M706" s="26">
        <f t="shared" si="107"/>
        <v>-0.11074806207756471</v>
      </c>
      <c r="N706" s="26">
        <f t="shared" si="108"/>
        <v>-0.21424838383662315</v>
      </c>
      <c r="O706" s="26">
        <f t="shared" si="109"/>
        <v>-0.16937191640822946</v>
      </c>
    </row>
    <row r="707" spans="1:15" x14ac:dyDescent="0.25">
      <c r="A707" s="2">
        <v>44498</v>
      </c>
      <c r="B707">
        <v>339472</v>
      </c>
      <c r="C707">
        <v>442949</v>
      </c>
      <c r="D707">
        <v>996144</v>
      </c>
      <c r="F707">
        <f t="shared" si="100"/>
        <v>0.43991701174823522</v>
      </c>
      <c r="G707">
        <f t="shared" si="101"/>
        <v>0.48715629305209551</v>
      </c>
      <c r="H707">
        <f t="shared" si="102"/>
        <v>1.3048174812650233</v>
      </c>
      <c r="I707">
        <f t="shared" si="103"/>
        <v>-0.92374253197032075</v>
      </c>
      <c r="J707" s="26">
        <f t="shared" si="104"/>
        <v>-2.2835131656835261E-2</v>
      </c>
      <c r="K707" s="26">
        <f t="shared" si="105"/>
        <v>-2.685404692950244E-2</v>
      </c>
      <c r="L707" s="26">
        <f t="shared" si="106"/>
        <v>-1.557256473646107E-2</v>
      </c>
      <c r="M707" s="26">
        <f t="shared" si="107"/>
        <v>-0.11456485886306988</v>
      </c>
      <c r="N707" s="26">
        <f t="shared" si="108"/>
        <v>-0.21423122240952042</v>
      </c>
      <c r="O707" s="26">
        <f t="shared" si="109"/>
        <v>-0.16691248479344467</v>
      </c>
    </row>
    <row r="708" spans="1:15" x14ac:dyDescent="0.25">
      <c r="A708" s="2">
        <v>44497</v>
      </c>
      <c r="B708">
        <v>339867</v>
      </c>
      <c r="C708">
        <v>437778</v>
      </c>
      <c r="D708">
        <v>995879</v>
      </c>
      <c r="F708">
        <f t="shared" ref="F708:F771" si="110">IFERROR((C708+B708)/(B708+C708+D708),"")</f>
        <v>0.43847447229358044</v>
      </c>
      <c r="G708">
        <f t="shared" ref="G708:G771" si="111">(F708-AVERAGE(F708:F965))/_xlfn.STDEV.S(F708:F965)</f>
        <v>0.4800354584156219</v>
      </c>
      <c r="H708">
        <f t="shared" ref="H708:H771" si="112">IFERROR(C708/B708,"")</f>
        <v>1.2880862219632974</v>
      </c>
      <c r="I708">
        <f t="shared" ref="I708:I771" si="113">IFERROR((H708-AVERAGE(H708:H835))/_xlfn.STDEV.S(H708:H835),"")</f>
        <v>-1.0226236536219737</v>
      </c>
      <c r="J708" s="26">
        <f t="shared" ref="J708:J771" si="114">AVERAGEA(F708:F728)-AVERAGE(F729:F749)</f>
        <v>-2.4544017510497007E-2</v>
      </c>
      <c r="K708" s="26">
        <f t="shared" ref="K708:K771" si="115">AVERAGEA(F708:F728)-AVERAGE(F729:F784)</f>
        <v>-2.6953122078431313E-2</v>
      </c>
      <c r="L708" s="26">
        <f t="shared" ref="L708:L771" si="116">AVERAGEA(F708:F728)-AVERAGE(F729:F841)</f>
        <v>-1.5541210094456581E-2</v>
      </c>
      <c r="M708" s="26">
        <f t="shared" ref="M708:M771" si="117">AVERAGEA(H708:H728)-AVERAGE(H729:H749)</f>
        <v>-0.11954808011958984</v>
      </c>
      <c r="N708" s="26">
        <f t="shared" ref="N708:N771" si="118">AVERAGEA(H708:H728)-AVERAGE(H729:H784)</f>
        <v>-0.21453058852742846</v>
      </c>
      <c r="O708" s="26">
        <f t="shared" ref="O708:O771" si="119">AVERAGEA(H708:H728)-AVERAGE(H729:H841)</f>
        <v>-0.16502477179479436</v>
      </c>
    </row>
    <row r="709" spans="1:15" x14ac:dyDescent="0.25">
      <c r="A709" s="2">
        <v>44496</v>
      </c>
      <c r="B709">
        <v>339367</v>
      </c>
      <c r="C709">
        <v>434265</v>
      </c>
      <c r="D709">
        <v>994955</v>
      </c>
      <c r="F709">
        <f t="shared" si="110"/>
        <v>0.43742942812539048</v>
      </c>
      <c r="G709">
        <f t="shared" si="111"/>
        <v>0.47666851662063298</v>
      </c>
      <c r="H709">
        <f t="shared" si="112"/>
        <v>1.279632374391146</v>
      </c>
      <c r="I709">
        <f t="shared" si="113"/>
        <v>-1.081058715420677</v>
      </c>
      <c r="J709" s="26">
        <f t="shared" si="114"/>
        <v>-2.6029388183038848E-2</v>
      </c>
      <c r="K709" s="26">
        <f t="shared" si="115"/>
        <v>-2.6866261099973254E-2</v>
      </c>
      <c r="L709" s="26">
        <f t="shared" si="116"/>
        <v>-1.5373748850598279E-2</v>
      </c>
      <c r="M709" s="26">
        <f t="shared" si="117"/>
        <v>-0.12540051184277567</v>
      </c>
      <c r="N709" s="26">
        <f t="shared" si="118"/>
        <v>-0.21504272913845113</v>
      </c>
      <c r="O709" s="26">
        <f t="shared" si="119"/>
        <v>-0.16255417722637233</v>
      </c>
    </row>
    <row r="710" spans="1:15" x14ac:dyDescent="0.25">
      <c r="A710" s="2">
        <v>44495</v>
      </c>
      <c r="B710">
        <v>341942</v>
      </c>
      <c r="C710">
        <v>438310</v>
      </c>
      <c r="D710">
        <v>991295</v>
      </c>
      <c r="F710">
        <f t="shared" si="110"/>
        <v>0.44043539347248478</v>
      </c>
      <c r="G710">
        <f t="shared" si="111"/>
        <v>0.50950581245403825</v>
      </c>
      <c r="H710">
        <f t="shared" si="112"/>
        <v>1.2818255727579531</v>
      </c>
      <c r="I710">
        <f t="shared" si="113"/>
        <v>-1.0857748474788897</v>
      </c>
      <c r="J710" s="26">
        <f t="shared" si="114"/>
        <v>-2.7197528700681595E-2</v>
      </c>
      <c r="K710" s="26">
        <f t="shared" si="115"/>
        <v>-2.6620574643471839E-2</v>
      </c>
      <c r="L710" s="26">
        <f t="shared" si="116"/>
        <v>-1.5048972367825708E-2</v>
      </c>
      <c r="M710" s="26">
        <f t="shared" si="117"/>
        <v>-0.13059755586840716</v>
      </c>
      <c r="N710" s="26">
        <f t="shared" si="118"/>
        <v>-0.21411013199398066</v>
      </c>
      <c r="O710" s="26">
        <f t="shared" si="119"/>
        <v>-0.15874465318797637</v>
      </c>
    </row>
    <row r="711" spans="1:15" x14ac:dyDescent="0.25">
      <c r="A711" s="2">
        <v>44494</v>
      </c>
      <c r="B711">
        <v>343332</v>
      </c>
      <c r="C711">
        <v>437733</v>
      </c>
      <c r="D711">
        <v>989862</v>
      </c>
      <c r="F711">
        <f t="shared" si="110"/>
        <v>0.4410486711197017</v>
      </c>
      <c r="G711">
        <f t="shared" si="111"/>
        <v>0.52083509255435678</v>
      </c>
      <c r="H711">
        <f t="shared" si="112"/>
        <v>1.2749554367201426</v>
      </c>
      <c r="I711">
        <f t="shared" si="113"/>
        <v>-1.1376481922263662</v>
      </c>
      <c r="J711" s="26">
        <f t="shared" si="114"/>
        <v>-2.9162618567091458E-2</v>
      </c>
      <c r="K711" s="26">
        <f t="shared" si="115"/>
        <v>-2.6952152589049261E-2</v>
      </c>
      <c r="L711" s="26">
        <f t="shared" si="116"/>
        <v>-1.52811216095321E-2</v>
      </c>
      <c r="M711" s="26">
        <f t="shared" si="117"/>
        <v>-0.13671484040235349</v>
      </c>
      <c r="N711" s="26">
        <f t="shared" si="118"/>
        <v>-0.21385491847512461</v>
      </c>
      <c r="O711" s="26">
        <f t="shared" si="119"/>
        <v>-0.15516098383505428</v>
      </c>
    </row>
    <row r="712" spans="1:15" x14ac:dyDescent="0.25">
      <c r="A712" s="2">
        <v>44491</v>
      </c>
      <c r="B712">
        <v>341895</v>
      </c>
      <c r="C712">
        <v>438985</v>
      </c>
      <c r="D712">
        <v>986618</v>
      </c>
      <c r="F712">
        <f t="shared" si="110"/>
        <v>0.44179965125844556</v>
      </c>
      <c r="G712">
        <f t="shared" si="111"/>
        <v>0.53326180728782269</v>
      </c>
      <c r="H712">
        <f t="shared" si="112"/>
        <v>1.2839760745258046</v>
      </c>
      <c r="I712">
        <f t="shared" si="113"/>
        <v>-1.1081964781139011</v>
      </c>
      <c r="J712" s="26">
        <f t="shared" si="114"/>
        <v>-3.0723620142543262E-2</v>
      </c>
      <c r="K712" s="26">
        <f t="shared" si="115"/>
        <v>-2.6923110943850248E-2</v>
      </c>
      <c r="L712" s="26">
        <f t="shared" si="116"/>
        <v>-1.5157471314093007E-2</v>
      </c>
      <c r="M712" s="26">
        <f t="shared" si="117"/>
        <v>-0.14010025489973343</v>
      </c>
      <c r="N712" s="26">
        <f t="shared" si="118"/>
        <v>-0.21070062352972374</v>
      </c>
      <c r="O712" s="26">
        <f t="shared" si="119"/>
        <v>-0.14938102633690509</v>
      </c>
    </row>
    <row r="713" spans="1:15" x14ac:dyDescent="0.25">
      <c r="A713" s="2">
        <v>44490</v>
      </c>
      <c r="B713">
        <v>338105</v>
      </c>
      <c r="C713">
        <v>441384</v>
      </c>
      <c r="D713">
        <v>983134</v>
      </c>
      <c r="F713">
        <f t="shared" si="110"/>
        <v>0.44223240023533111</v>
      </c>
      <c r="G713">
        <f t="shared" si="111"/>
        <v>0.54284105633872615</v>
      </c>
      <c r="H713">
        <f t="shared" si="112"/>
        <v>1.3054642788482869</v>
      </c>
      <c r="I713">
        <f t="shared" si="113"/>
        <v>-1.013010085871686</v>
      </c>
      <c r="J713" s="26">
        <f t="shared" si="114"/>
        <v>-3.2193177778256366E-2</v>
      </c>
      <c r="K713" s="26">
        <f t="shared" si="115"/>
        <v>-2.6762833262083952E-2</v>
      </c>
      <c r="L713" s="26">
        <f t="shared" si="116"/>
        <v>-1.4915140015044903E-2</v>
      </c>
      <c r="M713" s="26">
        <f t="shared" si="117"/>
        <v>-0.14449282484782322</v>
      </c>
      <c r="N713" s="26">
        <f t="shared" si="118"/>
        <v>-0.20796165377550091</v>
      </c>
      <c r="O713" s="26">
        <f t="shared" si="119"/>
        <v>-0.14396150037408173</v>
      </c>
    </row>
    <row r="714" spans="1:15" x14ac:dyDescent="0.25">
      <c r="A714" s="2">
        <v>44489</v>
      </c>
      <c r="B714">
        <v>334730</v>
      </c>
      <c r="C714">
        <v>445483</v>
      </c>
      <c r="D714">
        <v>981918</v>
      </c>
      <c r="F714">
        <f t="shared" si="110"/>
        <v>0.44276674095172264</v>
      </c>
      <c r="G714">
        <f t="shared" si="111"/>
        <v>0.55323401431863273</v>
      </c>
      <c r="H714">
        <f t="shared" si="112"/>
        <v>1.3308726436232188</v>
      </c>
      <c r="I714">
        <f t="shared" si="113"/>
        <v>-0.89554189726454125</v>
      </c>
      <c r="J714" s="26">
        <f t="shared" si="114"/>
        <v>-3.3435652762715151E-2</v>
      </c>
      <c r="K714" s="26">
        <f t="shared" si="115"/>
        <v>-2.6385235362076487E-2</v>
      </c>
      <c r="L714" s="26">
        <f t="shared" si="116"/>
        <v>-1.4534806259014599E-2</v>
      </c>
      <c r="M714" s="26">
        <f t="shared" si="117"/>
        <v>-0.14932583815229616</v>
      </c>
      <c r="N714" s="26">
        <f t="shared" si="118"/>
        <v>-0.20550040448535722</v>
      </c>
      <c r="O714" s="26">
        <f t="shared" si="119"/>
        <v>-0.13905848096763473</v>
      </c>
    </row>
    <row r="715" spans="1:15" x14ac:dyDescent="0.25">
      <c r="A715" s="2">
        <v>44488</v>
      </c>
      <c r="B715">
        <v>330021</v>
      </c>
      <c r="C715">
        <v>446817</v>
      </c>
      <c r="D715">
        <v>976485</v>
      </c>
      <c r="F715">
        <f t="shared" si="110"/>
        <v>0.44306610932497892</v>
      </c>
      <c r="G715">
        <f t="shared" si="111"/>
        <v>0.56158170998931156</v>
      </c>
      <c r="H715">
        <f t="shared" si="112"/>
        <v>1.3539047515158127</v>
      </c>
      <c r="I715">
        <f t="shared" si="113"/>
        <v>-0.7883091410101446</v>
      </c>
      <c r="J715" s="26">
        <f t="shared" si="114"/>
        <v>-3.4847589647149957E-2</v>
      </c>
      <c r="K715" s="26">
        <f t="shared" si="115"/>
        <v>-2.6150822004777474E-2</v>
      </c>
      <c r="L715" s="26">
        <f t="shared" si="116"/>
        <v>-1.428116290286302E-2</v>
      </c>
      <c r="M715" s="26">
        <f t="shared" si="117"/>
        <v>-0.15555869630959918</v>
      </c>
      <c r="N715" s="26">
        <f t="shared" si="118"/>
        <v>-0.20444575054855751</v>
      </c>
      <c r="O715" s="26">
        <f t="shared" si="119"/>
        <v>-0.1354959321314706</v>
      </c>
    </row>
    <row r="716" spans="1:15" x14ac:dyDescent="0.25">
      <c r="A716" s="2">
        <v>44487</v>
      </c>
      <c r="B716">
        <v>328989</v>
      </c>
      <c r="C716">
        <v>443508</v>
      </c>
      <c r="D716">
        <v>971255</v>
      </c>
      <c r="F716">
        <f t="shared" si="110"/>
        <v>0.44300852414792929</v>
      </c>
      <c r="G716">
        <f t="shared" si="111"/>
        <v>0.56689103069735558</v>
      </c>
      <c r="H716">
        <f t="shared" si="112"/>
        <v>1.3480937052606623</v>
      </c>
      <c r="I716">
        <f t="shared" si="113"/>
        <v>-0.8311608715560117</v>
      </c>
      <c r="J716" s="26">
        <f t="shared" si="114"/>
        <v>-3.6460260423872848E-2</v>
      </c>
      <c r="K716" s="26">
        <f t="shared" si="115"/>
        <v>-2.6119066553665637E-2</v>
      </c>
      <c r="L716" s="26">
        <f t="shared" si="116"/>
        <v>-1.417307602588147E-2</v>
      </c>
      <c r="M716" s="26">
        <f t="shared" si="117"/>
        <v>-0.15915836691102814</v>
      </c>
      <c r="N716" s="26">
        <f t="shared" si="118"/>
        <v>-0.20266708377343257</v>
      </c>
      <c r="O716" s="26">
        <f t="shared" si="119"/>
        <v>-0.13150628473468506</v>
      </c>
    </row>
    <row r="717" spans="1:15" x14ac:dyDescent="0.25">
      <c r="A717" s="2">
        <v>44484</v>
      </c>
      <c r="B717">
        <v>328257</v>
      </c>
      <c r="C717">
        <v>445206</v>
      </c>
      <c r="D717">
        <v>972864</v>
      </c>
      <c r="F717">
        <f t="shared" si="110"/>
        <v>0.44290845872508411</v>
      </c>
      <c r="G717">
        <f t="shared" si="111"/>
        <v>0.57185220101931977</v>
      </c>
      <c r="H717">
        <f t="shared" si="112"/>
        <v>1.3562726765918167</v>
      </c>
      <c r="I717">
        <f t="shared" si="113"/>
        <v>-0.80080294254227824</v>
      </c>
      <c r="J717" s="26">
        <f t="shared" si="114"/>
        <v>-3.4631639060308861E-2</v>
      </c>
      <c r="K717" s="26">
        <f t="shared" si="115"/>
        <v>-2.370408482442754E-2</v>
      </c>
      <c r="L717" s="26">
        <f t="shared" si="116"/>
        <v>-1.2022376777424515E-2</v>
      </c>
      <c r="M717" s="26">
        <f t="shared" si="117"/>
        <v>-0.16468789297895636</v>
      </c>
      <c r="N717" s="26">
        <f t="shared" si="118"/>
        <v>-0.20184528711325544</v>
      </c>
      <c r="O717" s="26">
        <f t="shared" si="119"/>
        <v>-0.12845221656852845</v>
      </c>
    </row>
    <row r="718" spans="1:15" x14ac:dyDescent="0.25">
      <c r="A718" s="2">
        <v>44483</v>
      </c>
      <c r="B718">
        <v>328007</v>
      </c>
      <c r="C718">
        <v>445977</v>
      </c>
      <c r="D718">
        <v>970967</v>
      </c>
      <c r="F718">
        <f t="shared" si="110"/>
        <v>0.44355629470397734</v>
      </c>
      <c r="G718">
        <f t="shared" si="111"/>
        <v>0.58304328693987795</v>
      </c>
      <c r="H718">
        <f t="shared" si="112"/>
        <v>1.3596569585405189</v>
      </c>
      <c r="I718">
        <f t="shared" si="113"/>
        <v>-0.79534007521980188</v>
      </c>
      <c r="J718" s="26">
        <f t="shared" si="114"/>
        <v>-3.2645489780511072E-2</v>
      </c>
      <c r="K718" s="26">
        <f t="shared" si="115"/>
        <v>-2.1207540987972839E-2</v>
      </c>
      <c r="L718" s="26">
        <f t="shared" si="116"/>
        <v>-9.8181569517357681E-3</v>
      </c>
      <c r="M718" s="26">
        <f t="shared" si="117"/>
        <v>-0.16748007447069213</v>
      </c>
      <c r="N718" s="26">
        <f t="shared" si="118"/>
        <v>-0.20045306684125852</v>
      </c>
      <c r="O718" s="26">
        <f t="shared" si="119"/>
        <v>-0.12497642652449126</v>
      </c>
    </row>
    <row r="719" spans="1:15" x14ac:dyDescent="0.25">
      <c r="A719" s="2">
        <v>44482</v>
      </c>
      <c r="B719">
        <v>323592</v>
      </c>
      <c r="C719">
        <v>444604</v>
      </c>
      <c r="D719">
        <v>974940</v>
      </c>
      <c r="F719">
        <f t="shared" si="110"/>
        <v>0.44069768509169682</v>
      </c>
      <c r="G719">
        <f t="shared" si="111"/>
        <v>0.56528045081406675</v>
      </c>
      <c r="H719">
        <f t="shared" si="112"/>
        <v>1.3739647457291899</v>
      </c>
      <c r="I719">
        <f t="shared" si="113"/>
        <v>-0.73118467285457533</v>
      </c>
      <c r="J719" s="26">
        <f t="shared" si="114"/>
        <v>-3.07961244715238E-2</v>
      </c>
      <c r="K719" s="26">
        <f t="shared" si="115"/>
        <v>-1.8798914968052027E-2</v>
      </c>
      <c r="L719" s="26">
        <f t="shared" si="116"/>
        <v>-7.6917561915636479E-3</v>
      </c>
      <c r="M719" s="26">
        <f t="shared" si="117"/>
        <v>-0.16945154902083392</v>
      </c>
      <c r="N719" s="26">
        <f t="shared" si="118"/>
        <v>-0.19812759148438341</v>
      </c>
      <c r="O719" s="26">
        <f t="shared" si="119"/>
        <v>-0.12081345111693964</v>
      </c>
    </row>
    <row r="720" spans="1:15" x14ac:dyDescent="0.25">
      <c r="A720" s="2">
        <v>44481</v>
      </c>
      <c r="B720">
        <v>323092</v>
      </c>
      <c r="C720">
        <v>444252</v>
      </c>
      <c r="D720">
        <v>973234</v>
      </c>
      <c r="F720">
        <f t="shared" si="110"/>
        <v>0.44085585363023089</v>
      </c>
      <c r="G720">
        <f t="shared" si="111"/>
        <v>0.57243319514331648</v>
      </c>
      <c r="H720">
        <f t="shared" si="112"/>
        <v>1.3750015475468287</v>
      </c>
      <c r="I720">
        <f t="shared" si="113"/>
        <v>-0.73540567984488392</v>
      </c>
      <c r="J720" s="26">
        <f t="shared" si="114"/>
        <v>-2.8939877417697379E-2</v>
      </c>
      <c r="K720" s="26">
        <f t="shared" si="115"/>
        <v>-1.62229813576103E-2</v>
      </c>
      <c r="L720" s="26">
        <f t="shared" si="116"/>
        <v>-5.4700448834784643E-3</v>
      </c>
      <c r="M720" s="26">
        <f t="shared" si="117"/>
        <v>-0.17143226031716963</v>
      </c>
      <c r="N720" s="26">
        <f t="shared" si="118"/>
        <v>-0.19602626464446216</v>
      </c>
      <c r="O720" s="26">
        <f t="shared" si="119"/>
        <v>-0.11702851588303154</v>
      </c>
    </row>
    <row r="721" spans="1:15" x14ac:dyDescent="0.25">
      <c r="A721" s="2">
        <v>44480</v>
      </c>
      <c r="B721">
        <v>321932</v>
      </c>
      <c r="C721">
        <v>445791</v>
      </c>
      <c r="D721">
        <v>972938</v>
      </c>
      <c r="F721">
        <f t="shared" si="110"/>
        <v>0.44105256566327389</v>
      </c>
      <c r="G721">
        <f t="shared" si="111"/>
        <v>0.5798821773461742</v>
      </c>
      <c r="H721">
        <f t="shared" si="112"/>
        <v>1.3847365282109265</v>
      </c>
      <c r="I721">
        <f t="shared" si="113"/>
        <v>-0.69375206452353821</v>
      </c>
      <c r="J721" s="26">
        <f t="shared" si="114"/>
        <v>-2.7112666487086934E-2</v>
      </c>
      <c r="K721" s="26">
        <f t="shared" si="115"/>
        <v>-1.3684075755954817E-2</v>
      </c>
      <c r="L721" s="26">
        <f t="shared" si="116"/>
        <v>-3.2523230527648495E-3</v>
      </c>
      <c r="M721" s="26">
        <f t="shared" si="117"/>
        <v>-0.17243624278968861</v>
      </c>
      <c r="N721" s="26">
        <f t="shared" si="118"/>
        <v>-0.19315566467888678</v>
      </c>
      <c r="O721" s="26">
        <f t="shared" si="119"/>
        <v>-0.11282871470765676</v>
      </c>
    </row>
    <row r="722" spans="1:15" x14ac:dyDescent="0.25">
      <c r="A722" s="2">
        <v>44477</v>
      </c>
      <c r="B722">
        <v>319740</v>
      </c>
      <c r="C722">
        <v>448307</v>
      </c>
      <c r="D722">
        <v>972570</v>
      </c>
      <c r="F722">
        <f t="shared" si="110"/>
        <v>0.44124985565463282</v>
      </c>
      <c r="G722">
        <f t="shared" si="111"/>
        <v>0.58731205908595396</v>
      </c>
      <c r="H722">
        <f t="shared" si="112"/>
        <v>1.4020985800963284</v>
      </c>
      <c r="I722">
        <f t="shared" si="113"/>
        <v>-0.61182503574061309</v>
      </c>
      <c r="J722" s="26">
        <f t="shared" si="114"/>
        <v>-2.5230451449003433E-2</v>
      </c>
      <c r="K722" s="26">
        <f t="shared" si="115"/>
        <v>-1.1107178064372336E-2</v>
      </c>
      <c r="L722" s="26">
        <f t="shared" si="116"/>
        <v>-9.7007850298796994E-4</v>
      </c>
      <c r="M722" s="26">
        <f t="shared" si="117"/>
        <v>-0.17363614789259985</v>
      </c>
      <c r="N722" s="26">
        <f t="shared" si="118"/>
        <v>-0.19098728371763762</v>
      </c>
      <c r="O722" s="26">
        <f t="shared" si="119"/>
        <v>-0.10883605937903629</v>
      </c>
    </row>
    <row r="723" spans="1:15" x14ac:dyDescent="0.25">
      <c r="A723" s="2">
        <v>44476</v>
      </c>
      <c r="B723">
        <v>316540</v>
      </c>
      <c r="C723">
        <v>445273</v>
      </c>
      <c r="D723">
        <v>971001</v>
      </c>
      <c r="F723">
        <f t="shared" si="110"/>
        <v>0.43963922267479372</v>
      </c>
      <c r="G723">
        <f t="shared" si="111"/>
        <v>0.58025538058103754</v>
      </c>
      <c r="H723">
        <f t="shared" si="112"/>
        <v>1.406687938333228</v>
      </c>
      <c r="I723">
        <f t="shared" si="113"/>
        <v>-0.59633359593926671</v>
      </c>
      <c r="J723" s="26">
        <f t="shared" si="114"/>
        <v>-2.3277146021865036E-2</v>
      </c>
      <c r="K723" s="26">
        <f t="shared" si="115"/>
        <v>-8.4671230249605545E-3</v>
      </c>
      <c r="L723" s="26">
        <f t="shared" si="116"/>
        <v>1.3471040157017611E-3</v>
      </c>
      <c r="M723" s="26">
        <f t="shared" si="117"/>
        <v>-0.17558009075782066</v>
      </c>
      <c r="N723" s="26">
        <f t="shared" si="118"/>
        <v>-0.18997220790409597</v>
      </c>
      <c r="O723" s="26">
        <f t="shared" si="119"/>
        <v>-0.10578832178651343</v>
      </c>
    </row>
    <row r="724" spans="1:15" x14ac:dyDescent="0.25">
      <c r="A724" s="2">
        <v>44475</v>
      </c>
      <c r="B724">
        <v>316850</v>
      </c>
      <c r="C724">
        <v>446898</v>
      </c>
      <c r="D724">
        <v>967778</v>
      </c>
      <c r="F724">
        <f t="shared" si="110"/>
        <v>0.44108376079827849</v>
      </c>
      <c r="G724">
        <f t="shared" si="111"/>
        <v>0.59758194428911582</v>
      </c>
      <c r="H724">
        <f t="shared" si="112"/>
        <v>1.4104402714218085</v>
      </c>
      <c r="I724">
        <f t="shared" si="113"/>
        <v>-0.58445511090244662</v>
      </c>
      <c r="J724" s="26">
        <f t="shared" si="114"/>
        <v>-2.1242777661294565E-2</v>
      </c>
      <c r="K724" s="26">
        <f t="shared" si="115"/>
        <v>-5.7188590592562871E-3</v>
      </c>
      <c r="L724" s="26">
        <f t="shared" si="116"/>
        <v>3.7427091934754131E-3</v>
      </c>
      <c r="M724" s="26">
        <f t="shared" si="117"/>
        <v>-0.17735561712889014</v>
      </c>
      <c r="N724" s="26">
        <f t="shared" si="118"/>
        <v>-0.18878378094703274</v>
      </c>
      <c r="O724" s="26">
        <f t="shared" si="119"/>
        <v>-0.10259372018409474</v>
      </c>
    </row>
    <row r="725" spans="1:15" x14ac:dyDescent="0.25">
      <c r="A725" s="2">
        <v>44474</v>
      </c>
      <c r="B725">
        <v>316612</v>
      </c>
      <c r="C725">
        <v>443202</v>
      </c>
      <c r="D725">
        <v>965149</v>
      </c>
      <c r="F725">
        <f t="shared" si="110"/>
        <v>0.44048133206335438</v>
      </c>
      <c r="G725">
        <f t="shared" si="111"/>
        <v>0.59866545433599716</v>
      </c>
      <c r="H725">
        <f t="shared" si="112"/>
        <v>1.399826917488914</v>
      </c>
      <c r="I725">
        <f t="shared" si="113"/>
        <v>-0.64810388826501919</v>
      </c>
      <c r="J725" s="26">
        <f t="shared" si="114"/>
        <v>-1.8983909897319629E-2</v>
      </c>
      <c r="K725" s="26">
        <f t="shared" si="115"/>
        <v>-2.8476139539666545E-3</v>
      </c>
      <c r="L725" s="26">
        <f t="shared" si="116"/>
        <v>6.2410483139997419E-3</v>
      </c>
      <c r="M725" s="26">
        <f t="shared" si="117"/>
        <v>-0.17677063551974115</v>
      </c>
      <c r="N725" s="26">
        <f t="shared" si="118"/>
        <v>-0.18615558752867911</v>
      </c>
      <c r="O725" s="26">
        <f t="shared" si="119"/>
        <v>-9.7929996438742339E-2</v>
      </c>
    </row>
    <row r="726" spans="1:15" x14ac:dyDescent="0.25">
      <c r="A726" s="2">
        <v>44473</v>
      </c>
      <c r="B726">
        <v>312624</v>
      </c>
      <c r="C726">
        <v>438002</v>
      </c>
      <c r="D726">
        <v>954257</v>
      </c>
      <c r="F726">
        <f t="shared" si="110"/>
        <v>0.44028006613943599</v>
      </c>
      <c r="G726">
        <f t="shared" si="111"/>
        <v>0.60292339222976732</v>
      </c>
      <c r="H726">
        <f t="shared" si="112"/>
        <v>1.4010504631762117</v>
      </c>
      <c r="I726">
        <f t="shared" si="113"/>
        <v>-0.65009347309704746</v>
      </c>
      <c r="J726" s="26">
        <f t="shared" si="114"/>
        <v>-1.6758810759896881E-2</v>
      </c>
      <c r="K726" s="26">
        <f t="shared" si="115"/>
        <v>-1.1706487435554358E-3</v>
      </c>
      <c r="L726" s="26">
        <f t="shared" si="116"/>
        <v>8.7341107655045658E-3</v>
      </c>
      <c r="M726" s="26">
        <f t="shared" si="117"/>
        <v>-0.17466875858521469</v>
      </c>
      <c r="N726" s="26">
        <f t="shared" si="118"/>
        <v>-0.17751339414934364</v>
      </c>
      <c r="O726" s="26">
        <f t="shared" si="119"/>
        <v>-9.2131780541616415E-2</v>
      </c>
    </row>
    <row r="727" spans="1:15" x14ac:dyDescent="0.25">
      <c r="A727" s="2">
        <v>44470</v>
      </c>
      <c r="B727">
        <v>313024</v>
      </c>
      <c r="C727">
        <v>438226</v>
      </c>
      <c r="D727">
        <v>948178</v>
      </c>
      <c r="F727">
        <f t="shared" si="110"/>
        <v>0.44206050506405686</v>
      </c>
      <c r="G727">
        <f t="shared" si="111"/>
        <v>0.62261565732802426</v>
      </c>
      <c r="H727">
        <f t="shared" si="112"/>
        <v>1.3999757207115109</v>
      </c>
      <c r="I727">
        <f t="shared" si="113"/>
        <v>-0.66425256983306025</v>
      </c>
      <c r="J727" s="26">
        <f t="shared" si="114"/>
        <v>-1.4311043041866089E-2</v>
      </c>
      <c r="K727" s="26">
        <f t="shared" si="115"/>
        <v>5.7816577827590754E-4</v>
      </c>
      <c r="L727" s="26">
        <f t="shared" si="116"/>
        <v>1.1277968151083506E-2</v>
      </c>
      <c r="M727" s="26">
        <f t="shared" si="117"/>
        <v>-0.16983465673515319</v>
      </c>
      <c r="N727" s="26">
        <f t="shared" si="118"/>
        <v>-0.16773938245297093</v>
      </c>
      <c r="O727" s="26">
        <f t="shared" si="119"/>
        <v>-8.5376418139887944E-2</v>
      </c>
    </row>
    <row r="728" spans="1:15" x14ac:dyDescent="0.25">
      <c r="A728" s="2">
        <v>44469</v>
      </c>
      <c r="B728">
        <v>312999</v>
      </c>
      <c r="C728">
        <v>435669</v>
      </c>
      <c r="D728">
        <v>947124</v>
      </c>
      <c r="F728">
        <f t="shared" si="110"/>
        <v>0.44148574825214415</v>
      </c>
      <c r="G728">
        <f t="shared" si="111"/>
        <v>0.62399860288964115</v>
      </c>
      <c r="H728">
        <f t="shared" si="112"/>
        <v>1.3919181850421247</v>
      </c>
      <c r="I728">
        <f t="shared" si="113"/>
        <v>-0.71534080322659443</v>
      </c>
      <c r="J728" s="26">
        <f t="shared" si="114"/>
        <v>-1.1995939273310718E-2</v>
      </c>
      <c r="K728" s="26">
        <f t="shared" si="115"/>
        <v>2.2132209925469493E-3</v>
      </c>
      <c r="L728" s="26">
        <f t="shared" si="116"/>
        <v>1.367359075834601E-2</v>
      </c>
      <c r="M728" s="26">
        <f t="shared" si="117"/>
        <v>-0.16278720307172168</v>
      </c>
      <c r="N728" s="26">
        <f t="shared" si="118"/>
        <v>-0.15644077699015924</v>
      </c>
      <c r="O728" s="26">
        <f t="shared" si="119"/>
        <v>-7.7226616661438596E-2</v>
      </c>
    </row>
    <row r="729" spans="1:15" x14ac:dyDescent="0.25">
      <c r="A729" s="2">
        <v>44468</v>
      </c>
      <c r="B729">
        <v>315009</v>
      </c>
      <c r="C729">
        <v>436872</v>
      </c>
      <c r="D729">
        <v>946124</v>
      </c>
      <c r="F729">
        <f t="shared" si="110"/>
        <v>0.44280258303126319</v>
      </c>
      <c r="G729">
        <f t="shared" si="111"/>
        <v>0.63994354169160317</v>
      </c>
      <c r="H729">
        <f t="shared" si="112"/>
        <v>1.3868556136491339</v>
      </c>
      <c r="I729">
        <f t="shared" si="113"/>
        <v>-0.75127492266782581</v>
      </c>
      <c r="J729" s="26">
        <f t="shared" si="114"/>
        <v>-9.89925682325421E-3</v>
      </c>
      <c r="K729" s="26">
        <f t="shared" si="115"/>
        <v>3.7224235725034083E-3</v>
      </c>
      <c r="L729" s="26">
        <f t="shared" si="116"/>
        <v>1.5973640547807477E-2</v>
      </c>
      <c r="M729" s="26">
        <f t="shared" si="117"/>
        <v>-0.15397325973256537</v>
      </c>
      <c r="N729" s="26">
        <f t="shared" si="118"/>
        <v>-0.14396800000670074</v>
      </c>
      <c r="O729" s="26">
        <f t="shared" si="119"/>
        <v>-6.8052115326410423E-2</v>
      </c>
    </row>
    <row r="730" spans="1:15" x14ac:dyDescent="0.25">
      <c r="A730" s="2">
        <v>44467</v>
      </c>
      <c r="B730">
        <v>312534</v>
      </c>
      <c r="C730">
        <v>439208</v>
      </c>
      <c r="D730">
        <v>939854</v>
      </c>
      <c r="F730">
        <f t="shared" si="110"/>
        <v>0.44439807140712084</v>
      </c>
      <c r="G730">
        <f t="shared" si="111"/>
        <v>0.65794365894007889</v>
      </c>
      <c r="H730">
        <f t="shared" si="112"/>
        <v>1.4053127019780247</v>
      </c>
      <c r="I730">
        <f t="shared" si="113"/>
        <v>-0.66195520739643243</v>
      </c>
      <c r="J730" s="26">
        <f t="shared" si="114"/>
        <v>-7.8997972196268584E-3</v>
      </c>
      <c r="K730" s="26">
        <f t="shared" si="115"/>
        <v>5.1735295563769546E-3</v>
      </c>
      <c r="L730" s="26">
        <f t="shared" si="116"/>
        <v>1.8178288092645822E-2</v>
      </c>
      <c r="M730" s="26">
        <f t="shared" si="117"/>
        <v>-0.14286853091202389</v>
      </c>
      <c r="N730" s="26">
        <f t="shared" si="118"/>
        <v>-0.12939254013592505</v>
      </c>
      <c r="O730" s="26">
        <f t="shared" si="119"/>
        <v>-5.6977567030553011E-2</v>
      </c>
    </row>
    <row r="731" spans="1:15" x14ac:dyDescent="0.25">
      <c r="A731" s="2">
        <v>44466</v>
      </c>
      <c r="B731">
        <v>310927</v>
      </c>
      <c r="C731">
        <v>435578</v>
      </c>
      <c r="D731">
        <v>962513</v>
      </c>
      <c r="F731">
        <f t="shared" si="110"/>
        <v>0.43680347427587068</v>
      </c>
      <c r="G731">
        <f t="shared" si="111"/>
        <v>0.60620221671070929</v>
      </c>
      <c r="H731">
        <f t="shared" si="112"/>
        <v>1.4009011761603205</v>
      </c>
      <c r="I731">
        <f t="shared" si="113"/>
        <v>-0.69380986012942325</v>
      </c>
      <c r="J731" s="26">
        <f t="shared" si="114"/>
        <v>-6.153411061259495E-3</v>
      </c>
      <c r="K731" s="26">
        <f t="shared" si="115"/>
        <v>6.4007432731957303E-3</v>
      </c>
      <c r="L731" s="26">
        <f t="shared" si="116"/>
        <v>2.0182604656568792E-2</v>
      </c>
      <c r="M731" s="26">
        <f t="shared" si="117"/>
        <v>-0.12951359483578395</v>
      </c>
      <c r="N731" s="26">
        <f t="shared" si="118"/>
        <v>-0.11377097087438059</v>
      </c>
      <c r="O731" s="26">
        <f t="shared" si="119"/>
        <v>-4.4775380660048825E-2</v>
      </c>
    </row>
    <row r="732" spans="1:15" x14ac:dyDescent="0.25">
      <c r="A732" s="2">
        <v>44463</v>
      </c>
      <c r="B732">
        <v>313062</v>
      </c>
      <c r="C732">
        <v>449383</v>
      </c>
      <c r="D732">
        <v>960630</v>
      </c>
      <c r="F732">
        <f t="shared" si="110"/>
        <v>0.44249089563716032</v>
      </c>
      <c r="G732">
        <f t="shared" si="111"/>
        <v>0.65488656372492571</v>
      </c>
      <c r="H732">
        <f t="shared" si="112"/>
        <v>1.4354440973353522</v>
      </c>
      <c r="I732">
        <f t="shared" si="113"/>
        <v>-0.51673160385283456</v>
      </c>
      <c r="J732" s="26">
        <f t="shared" si="114"/>
        <v>-4.0251960912995877E-3</v>
      </c>
      <c r="K732" s="26">
        <f t="shared" si="115"/>
        <v>7.9074408096319604E-3</v>
      </c>
      <c r="L732" s="26">
        <f t="shared" si="116"/>
        <v>2.2775325689560144E-2</v>
      </c>
      <c r="M732" s="26">
        <f t="shared" si="117"/>
        <v>-0.11609764474492779</v>
      </c>
      <c r="N732" s="26">
        <f t="shared" si="118"/>
        <v>-9.728164967321673E-2</v>
      </c>
      <c r="O732" s="26">
        <f t="shared" si="119"/>
        <v>-3.2096097523765632E-2</v>
      </c>
    </row>
    <row r="733" spans="1:15" x14ac:dyDescent="0.25">
      <c r="A733" s="2">
        <v>44462</v>
      </c>
      <c r="B733">
        <v>314437</v>
      </c>
      <c r="C733">
        <v>449483</v>
      </c>
      <c r="D733">
        <v>956063</v>
      </c>
      <c r="F733">
        <f t="shared" si="110"/>
        <v>0.44414392467832531</v>
      </c>
      <c r="G733">
        <f t="shared" si="111"/>
        <v>0.67308241118983192</v>
      </c>
      <c r="H733">
        <f t="shared" si="112"/>
        <v>1.4294850796820986</v>
      </c>
      <c r="I733">
        <f t="shared" si="113"/>
        <v>-0.5549159794496491</v>
      </c>
      <c r="J733" s="26">
        <f t="shared" si="114"/>
        <v>-1.8942235482766745E-3</v>
      </c>
      <c r="K733" s="26">
        <f t="shared" si="115"/>
        <v>9.2993906344507882E-3</v>
      </c>
      <c r="L733" s="26">
        <f t="shared" si="116"/>
        <v>2.5224041603387426E-2</v>
      </c>
      <c r="M733" s="26">
        <f t="shared" si="117"/>
        <v>-0.1020827970762459</v>
      </c>
      <c r="N733" s="26">
        <f t="shared" si="118"/>
        <v>-8.131939583373371E-2</v>
      </c>
      <c r="O733" s="26">
        <f t="shared" si="119"/>
        <v>-1.9998823240795049E-2</v>
      </c>
    </row>
    <row r="734" spans="1:15" x14ac:dyDescent="0.25">
      <c r="A734" s="2">
        <v>44461</v>
      </c>
      <c r="B734">
        <v>315837</v>
      </c>
      <c r="C734">
        <v>453311</v>
      </c>
      <c r="D734">
        <v>951902</v>
      </c>
      <c r="F734">
        <f t="shared" si="110"/>
        <v>0.44690624909212401</v>
      </c>
      <c r="G734">
        <f t="shared" si="111"/>
        <v>0.6994215289352248</v>
      </c>
      <c r="H734">
        <f t="shared" si="112"/>
        <v>1.4352688253751145</v>
      </c>
      <c r="I734">
        <f t="shared" si="113"/>
        <v>-0.53041830467971196</v>
      </c>
      <c r="J734" s="26">
        <f t="shared" si="114"/>
        <v>2.5591421950349469E-4</v>
      </c>
      <c r="K734" s="26">
        <f t="shared" si="115"/>
        <v>1.0677268984759014E-2</v>
      </c>
      <c r="L734" s="26">
        <f t="shared" si="116"/>
        <v>2.7627816177311804E-2</v>
      </c>
      <c r="M734" s="26">
        <f t="shared" si="117"/>
        <v>-8.8502363452405808E-2</v>
      </c>
      <c r="N734" s="26">
        <f t="shared" si="118"/>
        <v>-6.4719339389551989E-2</v>
      </c>
      <c r="O734" s="26">
        <f t="shared" si="119"/>
        <v>-7.5713287259628892E-3</v>
      </c>
    </row>
    <row r="735" spans="1:15" x14ac:dyDescent="0.25">
      <c r="A735" s="2">
        <v>44460</v>
      </c>
      <c r="B735">
        <v>315212</v>
      </c>
      <c r="C735">
        <v>451851</v>
      </c>
      <c r="D735">
        <v>955692</v>
      </c>
      <c r="F735">
        <f t="shared" si="110"/>
        <v>0.44525367797510385</v>
      </c>
      <c r="G735">
        <f t="shared" si="111"/>
        <v>0.69298924953902818</v>
      </c>
      <c r="H735">
        <f t="shared" si="112"/>
        <v>1.4334828623275764</v>
      </c>
      <c r="I735">
        <f t="shared" si="113"/>
        <v>-0.54653358634055182</v>
      </c>
      <c r="J735" s="26">
        <f t="shared" si="114"/>
        <v>2.3057181646942149E-3</v>
      </c>
      <c r="K735" s="26">
        <f t="shared" si="115"/>
        <v>1.1930552626267521E-2</v>
      </c>
      <c r="L735" s="26">
        <f t="shared" si="116"/>
        <v>2.992708684913381E-2</v>
      </c>
      <c r="M735" s="26">
        <f t="shared" si="117"/>
        <v>-7.4920886335795744E-2</v>
      </c>
      <c r="N735" s="26">
        <f t="shared" si="118"/>
        <v>-4.8484551728148695E-2</v>
      </c>
      <c r="O735" s="26">
        <f t="shared" si="119"/>
        <v>4.6931810701484888E-3</v>
      </c>
    </row>
    <row r="736" spans="1:15" x14ac:dyDescent="0.25">
      <c r="A736" s="2">
        <v>44459</v>
      </c>
      <c r="B736">
        <v>308437</v>
      </c>
      <c r="C736">
        <v>451696</v>
      </c>
      <c r="D736">
        <v>955315</v>
      </c>
      <c r="F736">
        <f t="shared" si="110"/>
        <v>0.44311048775596812</v>
      </c>
      <c r="G736">
        <f t="shared" si="111"/>
        <v>0.6830389689421632</v>
      </c>
      <c r="H736">
        <f t="shared" si="112"/>
        <v>1.4644676222372803</v>
      </c>
      <c r="I736">
        <f t="shared" si="113"/>
        <v>-0.38517872446065088</v>
      </c>
      <c r="J736" s="26">
        <f t="shared" si="114"/>
        <v>4.3724834873152263E-3</v>
      </c>
      <c r="K736" s="26">
        <f t="shared" si="115"/>
        <v>1.3244288933972836E-2</v>
      </c>
      <c r="L736" s="26">
        <f t="shared" si="116"/>
        <v>3.2317664039423655E-2</v>
      </c>
      <c r="M736" s="26">
        <f t="shared" si="117"/>
        <v>-6.0281407377862584E-2</v>
      </c>
      <c r="N736" s="26">
        <f t="shared" si="118"/>
        <v>-3.2202154415985618E-2</v>
      </c>
      <c r="O736" s="26">
        <f t="shared" si="119"/>
        <v>1.7215900729142586E-2</v>
      </c>
    </row>
    <row r="737" spans="1:15" x14ac:dyDescent="0.25">
      <c r="A737" s="2">
        <v>44456</v>
      </c>
      <c r="B737">
        <v>357536</v>
      </c>
      <c r="C737">
        <v>515735</v>
      </c>
      <c r="D737">
        <v>950226</v>
      </c>
      <c r="F737">
        <f t="shared" si="110"/>
        <v>0.47889906043168701</v>
      </c>
      <c r="G737">
        <f t="shared" si="111"/>
        <v>0.94994097070933425</v>
      </c>
      <c r="H737">
        <f t="shared" si="112"/>
        <v>1.4424701288821264</v>
      </c>
      <c r="I737">
        <f t="shared" si="113"/>
        <v>-0.50649223184299763</v>
      </c>
      <c r="J737" s="26">
        <f t="shared" si="114"/>
        <v>6.6979928497184482E-3</v>
      </c>
      <c r="K737" s="26">
        <f t="shared" si="115"/>
        <v>2.1817481892675517E-2</v>
      </c>
      <c r="L737" s="26">
        <f t="shared" si="116"/>
        <v>3.4793248126960274E-2</v>
      </c>
      <c r="M737" s="26">
        <f t="shared" si="117"/>
        <v>-5.0139607363185235E-2</v>
      </c>
      <c r="N737" s="26">
        <f t="shared" si="118"/>
        <v>-2.7167527152751614E-3</v>
      </c>
      <c r="O737" s="26">
        <f t="shared" si="119"/>
        <v>2.7493303873377117E-2</v>
      </c>
    </row>
    <row r="738" spans="1:15" x14ac:dyDescent="0.25">
      <c r="A738" s="2">
        <v>44455</v>
      </c>
      <c r="B738">
        <v>354611</v>
      </c>
      <c r="C738">
        <v>515585</v>
      </c>
      <c r="D738">
        <v>944147</v>
      </c>
      <c r="F738">
        <f t="shared" si="110"/>
        <v>0.47962044662999226</v>
      </c>
      <c r="G738">
        <f t="shared" si="111"/>
        <v>0.96121602941858142</v>
      </c>
      <c r="H738">
        <f t="shared" si="112"/>
        <v>1.4539453090851666</v>
      </c>
      <c r="I738">
        <f t="shared" si="113"/>
        <v>-0.44953076404077569</v>
      </c>
      <c r="J738" s="26">
        <f t="shared" si="114"/>
        <v>7.4708577229565809E-3</v>
      </c>
      <c r="K738" s="26">
        <f t="shared" si="115"/>
        <v>2.8646461876867868E-2</v>
      </c>
      <c r="L738" s="26">
        <f t="shared" si="116"/>
        <v>3.4988175946235545E-2</v>
      </c>
      <c r="M738" s="26">
        <f t="shared" si="117"/>
        <v>-3.885841494301312E-2</v>
      </c>
      <c r="N738" s="26">
        <f t="shared" si="118"/>
        <v>2.796956097707759E-2</v>
      </c>
      <c r="O738" s="26">
        <f t="shared" si="119"/>
        <v>4.1629850841104821E-2</v>
      </c>
    </row>
    <row r="739" spans="1:15" x14ac:dyDescent="0.25">
      <c r="A739" s="2">
        <v>44454</v>
      </c>
      <c r="B739">
        <v>350361</v>
      </c>
      <c r="C739">
        <v>513877</v>
      </c>
      <c r="D739">
        <v>941869</v>
      </c>
      <c r="F739">
        <f t="shared" si="110"/>
        <v>0.47850874837426577</v>
      </c>
      <c r="G739">
        <f t="shared" si="111"/>
        <v>0.95912693078333644</v>
      </c>
      <c r="H739">
        <f t="shared" si="112"/>
        <v>1.4667071962918248</v>
      </c>
      <c r="I739">
        <f t="shared" si="113"/>
        <v>-0.38487649429086129</v>
      </c>
      <c r="J739" s="26">
        <f t="shared" si="114"/>
        <v>8.2861462199295688E-3</v>
      </c>
      <c r="K739" s="26">
        <f t="shared" si="115"/>
        <v>3.5321740695411719E-2</v>
      </c>
      <c r="L739" s="26">
        <f t="shared" si="116"/>
        <v>3.509150409316103E-2</v>
      </c>
      <c r="M739" s="26">
        <f t="shared" si="117"/>
        <v>-3.2851026794678662E-2</v>
      </c>
      <c r="N739" s="26">
        <f t="shared" si="118"/>
        <v>5.5312763009306876E-2</v>
      </c>
      <c r="O739" s="26">
        <f t="shared" si="119"/>
        <v>5.2400447356461433E-2</v>
      </c>
    </row>
    <row r="740" spans="1:15" x14ac:dyDescent="0.25">
      <c r="A740" s="2">
        <v>44453</v>
      </c>
      <c r="B740">
        <v>348235</v>
      </c>
      <c r="C740">
        <v>513316</v>
      </c>
      <c r="D740">
        <v>942203</v>
      </c>
      <c r="F740">
        <f t="shared" si="110"/>
        <v>0.47764329282152668</v>
      </c>
      <c r="G740">
        <f t="shared" si="111"/>
        <v>0.95883005984097835</v>
      </c>
      <c r="H740">
        <f t="shared" si="112"/>
        <v>1.4740505692994672</v>
      </c>
      <c r="I740">
        <f t="shared" si="113"/>
        <v>-0.34862110272572511</v>
      </c>
      <c r="J740" s="26">
        <f t="shared" si="114"/>
        <v>9.2626695643149293E-3</v>
      </c>
      <c r="K740" s="26">
        <f t="shared" si="115"/>
        <v>3.4946219464284944E-2</v>
      </c>
      <c r="L740" s="26">
        <f t="shared" si="116"/>
        <v>3.5300304573814112E-2</v>
      </c>
      <c r="M740" s="26">
        <f t="shared" si="117"/>
        <v>-2.7109885036809001E-2</v>
      </c>
      <c r="N740" s="26">
        <f t="shared" si="118"/>
        <v>6.6559986843234276E-2</v>
      </c>
      <c r="O740" s="26">
        <f t="shared" si="119"/>
        <v>6.2622371426531931E-2</v>
      </c>
    </row>
    <row r="741" spans="1:15" x14ac:dyDescent="0.25">
      <c r="A741" s="2">
        <v>44452</v>
      </c>
      <c r="B741">
        <v>345060</v>
      </c>
      <c r="C741">
        <v>511428</v>
      </c>
      <c r="D741">
        <v>938548</v>
      </c>
      <c r="F741">
        <f t="shared" si="110"/>
        <v>0.47714251970434018</v>
      </c>
      <c r="G741">
        <f t="shared" si="111"/>
        <v>0.96121699161368956</v>
      </c>
      <c r="H741">
        <f t="shared" si="112"/>
        <v>1.4821422361328465</v>
      </c>
      <c r="I741">
        <f t="shared" si="113"/>
        <v>-0.30721204464777968</v>
      </c>
      <c r="J741" s="26">
        <f t="shared" si="114"/>
        <v>1.0362421641144814E-2</v>
      </c>
      <c r="K741" s="26">
        <f t="shared" si="115"/>
        <v>3.4680732425273308E-2</v>
      </c>
      <c r="L741" s="26">
        <f t="shared" si="116"/>
        <v>3.5663022792521148E-2</v>
      </c>
      <c r="M741" s="26">
        <f t="shared" si="117"/>
        <v>-2.1788680614539757E-2</v>
      </c>
      <c r="N741" s="26">
        <f t="shared" si="118"/>
        <v>7.7510833204413654E-2</v>
      </c>
      <c r="O741" s="26">
        <f t="shared" si="119"/>
        <v>7.236384570209986E-2</v>
      </c>
    </row>
    <row r="742" spans="1:15" x14ac:dyDescent="0.25">
      <c r="A742" s="2">
        <v>44449</v>
      </c>
      <c r="B742">
        <v>345156</v>
      </c>
      <c r="C742">
        <v>512478</v>
      </c>
      <c r="D742">
        <v>935622</v>
      </c>
      <c r="F742">
        <f t="shared" si="110"/>
        <v>0.4782551961348519</v>
      </c>
      <c r="G742">
        <f t="shared" si="111"/>
        <v>0.97509784439471192</v>
      </c>
      <c r="H742">
        <f t="shared" si="112"/>
        <v>1.4847721030490562</v>
      </c>
      <c r="I742">
        <f t="shared" si="113"/>
        <v>-0.29418368693718083</v>
      </c>
      <c r="J742" s="26">
        <f t="shared" si="114"/>
        <v>1.1433818080517522E-2</v>
      </c>
      <c r="K742" s="26">
        <f t="shared" si="115"/>
        <v>3.4397804775069762E-2</v>
      </c>
      <c r="L742" s="26">
        <f t="shared" si="116"/>
        <v>3.6078642113405002E-2</v>
      </c>
      <c r="M742" s="26">
        <f t="shared" si="117"/>
        <v>-1.7200681509648819E-2</v>
      </c>
      <c r="N742" s="26">
        <f t="shared" si="118"/>
        <v>8.7724981414395664E-2</v>
      </c>
      <c r="O742" s="26">
        <f t="shared" si="119"/>
        <v>8.0807367757079085E-2</v>
      </c>
    </row>
    <row r="743" spans="1:15" x14ac:dyDescent="0.25">
      <c r="A743" s="2">
        <v>44448</v>
      </c>
      <c r="B743">
        <v>345206</v>
      </c>
      <c r="C743">
        <v>512012</v>
      </c>
      <c r="D743">
        <v>931556</v>
      </c>
      <c r="F743">
        <f t="shared" si="110"/>
        <v>0.47922096363207428</v>
      </c>
      <c r="G743">
        <f t="shared" si="111"/>
        <v>0.98793779620973232</v>
      </c>
      <c r="H743">
        <f t="shared" si="112"/>
        <v>1.4832071284971873</v>
      </c>
      <c r="I743">
        <f t="shared" si="113"/>
        <v>-0.30292820452623498</v>
      </c>
      <c r="J743" s="26">
        <f t="shared" si="114"/>
        <v>1.2500016725402352E-2</v>
      </c>
      <c r="K743" s="26">
        <f t="shared" si="115"/>
        <v>3.4118978929339405E-2</v>
      </c>
      <c r="L743" s="26">
        <f t="shared" si="116"/>
        <v>3.6506736832903841E-2</v>
      </c>
      <c r="M743" s="26">
        <f t="shared" si="117"/>
        <v>-1.271077503360063E-2</v>
      </c>
      <c r="N743" s="26">
        <f t="shared" si="118"/>
        <v>9.7790677912095392E-2</v>
      </c>
      <c r="O743" s="26">
        <f t="shared" si="119"/>
        <v>8.893741518076248E-2</v>
      </c>
    </row>
    <row r="744" spans="1:15" x14ac:dyDescent="0.25">
      <c r="A744" s="2">
        <v>44447</v>
      </c>
      <c r="B744">
        <v>344606</v>
      </c>
      <c r="C744">
        <v>513352</v>
      </c>
      <c r="D744">
        <v>932246</v>
      </c>
      <c r="F744">
        <f t="shared" si="110"/>
        <v>0.47925152664165649</v>
      </c>
      <c r="G744">
        <f t="shared" si="111"/>
        <v>0.99420920225759346</v>
      </c>
      <c r="H744">
        <f t="shared" si="112"/>
        <v>1.4896780671259351</v>
      </c>
      <c r="I744">
        <f t="shared" si="113"/>
        <v>-0.25204305535491406</v>
      </c>
      <c r="J744" s="26">
        <f t="shared" si="114"/>
        <v>1.3625938381388536E-2</v>
      </c>
      <c r="K744" s="26">
        <f t="shared" si="115"/>
        <v>3.3774992686867455E-2</v>
      </c>
      <c r="L744" s="26">
        <f t="shared" si="116"/>
        <v>3.6904355942632583E-2</v>
      </c>
      <c r="M744" s="26">
        <f t="shared" si="117"/>
        <v>-1.0417951544257509E-2</v>
      </c>
      <c r="N744" s="26">
        <f t="shared" si="118"/>
        <v>0.10771168726426406</v>
      </c>
      <c r="O744" s="26">
        <f t="shared" si="119"/>
        <v>9.6730765358596704E-2</v>
      </c>
    </row>
    <row r="745" spans="1:15" x14ac:dyDescent="0.25">
      <c r="A745" s="2">
        <v>44446</v>
      </c>
      <c r="B745">
        <v>343482</v>
      </c>
      <c r="C745">
        <v>521882</v>
      </c>
      <c r="D745">
        <v>929270</v>
      </c>
      <c r="F745">
        <f t="shared" si="110"/>
        <v>0.48219525541140978</v>
      </c>
      <c r="G745">
        <f t="shared" si="111"/>
        <v>1.0208924823083703</v>
      </c>
      <c r="H745">
        <f t="shared" si="112"/>
        <v>1.5193867509796728</v>
      </c>
      <c r="I745">
        <f t="shared" si="113"/>
        <v>-8.2129301136546554E-2</v>
      </c>
      <c r="J745" s="26">
        <f t="shared" si="114"/>
        <v>1.4759747183155092E-2</v>
      </c>
      <c r="K745" s="26">
        <f t="shared" si="115"/>
        <v>3.3436261135741829E-2</v>
      </c>
      <c r="L745" s="26">
        <f t="shared" si="116"/>
        <v>3.731272661503493E-2</v>
      </c>
      <c r="M745" s="26">
        <f t="shared" si="117"/>
        <v>-8.418159631071731E-3</v>
      </c>
      <c r="N745" s="26">
        <f t="shared" si="118"/>
        <v>0.11752640787660318</v>
      </c>
      <c r="O745" s="26">
        <f t="shared" si="119"/>
        <v>0.10426853635187694</v>
      </c>
    </row>
    <row r="746" spans="1:15" x14ac:dyDescent="0.25">
      <c r="A746" s="2">
        <v>44445</v>
      </c>
      <c r="B746">
        <v>340542</v>
      </c>
      <c r="C746">
        <v>520651</v>
      </c>
      <c r="D746">
        <v>927405</v>
      </c>
      <c r="F746">
        <f t="shared" si="110"/>
        <v>0.48149053057198993</v>
      </c>
      <c r="G746">
        <f t="shared" si="111"/>
        <v>1.0222353012076904</v>
      </c>
      <c r="H746">
        <f t="shared" si="112"/>
        <v>1.528889241268331</v>
      </c>
      <c r="I746">
        <f t="shared" si="113"/>
        <v>-2.1021107123546438E-2</v>
      </c>
      <c r="J746" s="26">
        <f t="shared" si="114"/>
        <v>1.5895893715543508E-2</v>
      </c>
      <c r="K746" s="26">
        <f t="shared" si="115"/>
        <v>3.2977895156981185E-2</v>
      </c>
      <c r="L746" s="26">
        <f t="shared" si="116"/>
        <v>3.7577127738311789E-2</v>
      </c>
      <c r="M746" s="26">
        <f t="shared" si="117"/>
        <v>-8.0102395834316109E-3</v>
      </c>
      <c r="N746" s="26">
        <f t="shared" si="118"/>
        <v>0.12577378313199761</v>
      </c>
      <c r="O746" s="26">
        <f t="shared" si="119"/>
        <v>0.11086697119645805</v>
      </c>
    </row>
    <row r="747" spans="1:15" x14ac:dyDescent="0.25">
      <c r="A747" s="2">
        <v>44442</v>
      </c>
      <c r="B747">
        <v>338992</v>
      </c>
      <c r="C747">
        <v>524583</v>
      </c>
      <c r="D747">
        <v>926314</v>
      </c>
      <c r="F747">
        <f t="shared" si="110"/>
        <v>0.48247405286026118</v>
      </c>
      <c r="G747">
        <f t="shared" si="111"/>
        <v>1.0353050476271388</v>
      </c>
      <c r="H747">
        <f t="shared" si="112"/>
        <v>1.5474789965544911</v>
      </c>
      <c r="I747">
        <f t="shared" si="113"/>
        <v>8.605010153185462E-2</v>
      </c>
      <c r="J747" s="26">
        <f t="shared" si="114"/>
        <v>1.7102763632921236E-2</v>
      </c>
      <c r="K747" s="26">
        <f t="shared" si="115"/>
        <v>3.2533010441361365E-2</v>
      </c>
      <c r="L747" s="26">
        <f t="shared" si="116"/>
        <v>3.7862276623195745E-2</v>
      </c>
      <c r="M747" s="26">
        <f t="shared" si="117"/>
        <v>-7.4406340813553129E-3</v>
      </c>
      <c r="N747" s="26">
        <f t="shared" si="118"/>
        <v>0.13330874017657668</v>
      </c>
      <c r="O747" s="26">
        <f t="shared" si="119"/>
        <v>0.11700739660806359</v>
      </c>
    </row>
    <row r="748" spans="1:15" x14ac:dyDescent="0.25">
      <c r="A748" s="2">
        <v>44441</v>
      </c>
      <c r="B748">
        <v>335055</v>
      </c>
      <c r="C748">
        <v>526485</v>
      </c>
      <c r="D748">
        <v>927799</v>
      </c>
      <c r="F748">
        <f t="shared" si="110"/>
        <v>0.48148506236101712</v>
      </c>
      <c r="G748">
        <f t="shared" si="111"/>
        <v>1.0348598880885775</v>
      </c>
      <c r="H748">
        <f t="shared" si="112"/>
        <v>1.5713390338899584</v>
      </c>
      <c r="I748">
        <f t="shared" si="113"/>
        <v>0.21757087397090116</v>
      </c>
      <c r="J748" s="26">
        <f t="shared" si="114"/>
        <v>1.8180668959534241E-2</v>
      </c>
      <c r="K748" s="26">
        <f t="shared" si="115"/>
        <v>3.188655063021012E-2</v>
      </c>
      <c r="L748" s="26">
        <f t="shared" si="116"/>
        <v>3.7962504425627375E-2</v>
      </c>
      <c r="M748" s="26">
        <f t="shared" si="117"/>
        <v>-8.717919871225277E-3</v>
      </c>
      <c r="N748" s="26">
        <f t="shared" si="118"/>
        <v>0.13799953454527136</v>
      </c>
      <c r="O748" s="26">
        <f t="shared" si="119"/>
        <v>0.12097540767395354</v>
      </c>
    </row>
    <row r="749" spans="1:15" x14ac:dyDescent="0.25">
      <c r="A749" s="2">
        <v>44440</v>
      </c>
      <c r="B749">
        <v>329630</v>
      </c>
      <c r="C749">
        <v>522024</v>
      </c>
      <c r="D749">
        <v>926548</v>
      </c>
      <c r="F749">
        <f t="shared" si="110"/>
        <v>0.47894108768295168</v>
      </c>
      <c r="G749">
        <f t="shared" si="111"/>
        <v>1.023785310608198</v>
      </c>
      <c r="H749">
        <f t="shared" si="112"/>
        <v>1.5836665352061403</v>
      </c>
      <c r="I749">
        <f t="shared" si="113"/>
        <v>0.28905846181942541</v>
      </c>
      <c r="J749" s="26">
        <f t="shared" si="114"/>
        <v>1.9365214437270073E-2</v>
      </c>
      <c r="K749" s="26">
        <f t="shared" si="115"/>
        <v>3.1217741778487962E-2</v>
      </c>
      <c r="L749" s="26">
        <f t="shared" si="116"/>
        <v>3.8059954156569653E-2</v>
      </c>
      <c r="M749" s="26">
        <f t="shared" si="117"/>
        <v>-9.9327634973778167E-3</v>
      </c>
      <c r="N749" s="26">
        <f t="shared" si="118"/>
        <v>0.14157467246720579</v>
      </c>
      <c r="O749" s="26">
        <f t="shared" si="119"/>
        <v>0.12396564946248967</v>
      </c>
    </row>
    <row r="750" spans="1:15" x14ac:dyDescent="0.25">
      <c r="A750" s="2">
        <v>44439</v>
      </c>
      <c r="B750">
        <v>325355</v>
      </c>
      <c r="C750">
        <v>523342</v>
      </c>
      <c r="D750">
        <v>925619</v>
      </c>
      <c r="F750">
        <f t="shared" si="110"/>
        <v>0.47832347789232582</v>
      </c>
      <c r="G750">
        <f t="shared" si="111"/>
        <v>1.0258788537516921</v>
      </c>
      <c r="H750">
        <f t="shared" si="112"/>
        <v>1.6085260715218761</v>
      </c>
      <c r="I750">
        <f t="shared" si="113"/>
        <v>0.42496658086683192</v>
      </c>
      <c r="J750" s="26">
        <f t="shared" si="114"/>
        <v>2.0652487847435841E-2</v>
      </c>
      <c r="K750" s="26">
        <f t="shared" si="115"/>
        <v>3.0690799054284845E-2</v>
      </c>
      <c r="L750" s="26">
        <f t="shared" si="116"/>
        <v>3.830318478948147E-2</v>
      </c>
      <c r="M750" s="26">
        <f t="shared" si="117"/>
        <v>-1.2364757614305777E-2</v>
      </c>
      <c r="N750" s="26">
        <f t="shared" si="118"/>
        <v>0.14386512475809266</v>
      </c>
      <c r="O750" s="26">
        <f t="shared" si="119"/>
        <v>0.12607661915463853</v>
      </c>
    </row>
    <row r="751" spans="1:15" x14ac:dyDescent="0.25">
      <c r="A751" s="2">
        <v>44438</v>
      </c>
      <c r="B751">
        <v>317974</v>
      </c>
      <c r="C751">
        <v>521519</v>
      </c>
      <c r="D751">
        <v>924527</v>
      </c>
      <c r="F751">
        <f t="shared" si="110"/>
        <v>0.47589766555934743</v>
      </c>
      <c r="G751">
        <f t="shared" si="111"/>
        <v>1.0156228970634187</v>
      </c>
      <c r="H751">
        <f t="shared" si="112"/>
        <v>1.6401309541031657</v>
      </c>
      <c r="I751">
        <f t="shared" si="113"/>
        <v>0.5957682857825688</v>
      </c>
      <c r="J751" s="26">
        <f t="shared" si="114"/>
        <v>2.1792365908662625E-2</v>
      </c>
      <c r="K751" s="26">
        <f t="shared" si="115"/>
        <v>3.0189340407899279E-2</v>
      </c>
      <c r="L751" s="26">
        <f t="shared" si="116"/>
        <v>3.8556679822692119E-2</v>
      </c>
      <c r="M751" s="26">
        <f t="shared" si="117"/>
        <v>-1.5899435135713791E-2</v>
      </c>
      <c r="N751" s="26">
        <f t="shared" si="118"/>
        <v>0.14500592002922574</v>
      </c>
      <c r="O751" s="26">
        <f t="shared" si="119"/>
        <v>0.12738819176012739</v>
      </c>
    </row>
    <row r="752" spans="1:15" x14ac:dyDescent="0.25">
      <c r="A752" s="2">
        <v>44435</v>
      </c>
      <c r="B752">
        <v>315303</v>
      </c>
      <c r="C752">
        <v>519758</v>
      </c>
      <c r="D752">
        <v>925043</v>
      </c>
      <c r="F752">
        <f t="shared" si="110"/>
        <v>0.47443844227386561</v>
      </c>
      <c r="G752">
        <f t="shared" si="111"/>
        <v>1.011982575030699</v>
      </c>
      <c r="H752">
        <f t="shared" si="112"/>
        <v>1.6484397547755651</v>
      </c>
      <c r="I752">
        <f t="shared" si="113"/>
        <v>0.64838092762917487</v>
      </c>
      <c r="J752" s="26">
        <f t="shared" si="114"/>
        <v>2.3039054235392653E-2</v>
      </c>
      <c r="K752" s="26">
        <f t="shared" si="115"/>
        <v>2.9796456764007773E-2</v>
      </c>
      <c r="L752" s="26">
        <f t="shared" si="116"/>
        <v>3.8915907657001536E-2</v>
      </c>
      <c r="M752" s="26">
        <f t="shared" si="117"/>
        <v>-2.0626093981019666E-2</v>
      </c>
      <c r="N752" s="26">
        <f t="shared" si="118"/>
        <v>0.14382003848315672</v>
      </c>
      <c r="O752" s="26">
        <f t="shared" si="119"/>
        <v>0.12748266528466368</v>
      </c>
    </row>
    <row r="753" spans="1:15" x14ac:dyDescent="0.25">
      <c r="A753" s="2">
        <v>44434</v>
      </c>
      <c r="B753">
        <v>315920</v>
      </c>
      <c r="C753">
        <v>526647</v>
      </c>
      <c r="D753">
        <v>924880</v>
      </c>
      <c r="F753">
        <f t="shared" si="110"/>
        <v>0.47671415323910704</v>
      </c>
      <c r="G753">
        <f t="shared" si="111"/>
        <v>1.0334637932678605</v>
      </c>
      <c r="H753">
        <f t="shared" si="112"/>
        <v>1.6670264623955431</v>
      </c>
      <c r="I753">
        <f t="shared" si="113"/>
        <v>0.7547225860976845</v>
      </c>
      <c r="J753" s="26">
        <f t="shared" si="114"/>
        <v>2.4115755346341083E-2</v>
      </c>
      <c r="K753" s="26">
        <f t="shared" si="115"/>
        <v>2.932599378163453E-2</v>
      </c>
      <c r="L753" s="26">
        <f t="shared" si="116"/>
        <v>3.9163756269174288E-2</v>
      </c>
      <c r="M753" s="26">
        <f t="shared" si="117"/>
        <v>-2.3311537741917077E-2</v>
      </c>
      <c r="N753" s="26">
        <f t="shared" si="118"/>
        <v>0.14374855042261458</v>
      </c>
      <c r="O753" s="26">
        <f t="shared" si="119"/>
        <v>0.12837586341370888</v>
      </c>
    </row>
    <row r="754" spans="1:15" x14ac:dyDescent="0.25">
      <c r="A754" s="2">
        <v>44433</v>
      </c>
      <c r="B754">
        <v>316773</v>
      </c>
      <c r="C754">
        <v>528136</v>
      </c>
      <c r="D754">
        <v>925094</v>
      </c>
      <c r="F754">
        <f t="shared" si="110"/>
        <v>0.47734890844817779</v>
      </c>
      <c r="G754">
        <f t="shared" si="111"/>
        <v>1.0440011439872565</v>
      </c>
      <c r="H754">
        <f t="shared" si="112"/>
        <v>1.6672380537482676</v>
      </c>
      <c r="I754">
        <f t="shared" si="113"/>
        <v>0.76744801621581449</v>
      </c>
      <c r="J754" s="26">
        <f t="shared" si="114"/>
        <v>2.5012307120463928E-2</v>
      </c>
      <c r="K754" s="26">
        <f t="shared" si="115"/>
        <v>2.8681724938753983E-2</v>
      </c>
      <c r="L754" s="26">
        <f t="shared" si="116"/>
        <v>3.9249284472753054E-2</v>
      </c>
      <c r="M754" s="26">
        <f t="shared" si="117"/>
        <v>-2.7139170434570037E-2</v>
      </c>
      <c r="N754" s="26">
        <f t="shared" si="118"/>
        <v>0.14244855980217475</v>
      </c>
      <c r="O754" s="26">
        <f t="shared" si="119"/>
        <v>0.1279171338836782</v>
      </c>
    </row>
    <row r="755" spans="1:15" x14ac:dyDescent="0.25">
      <c r="A755" s="2">
        <v>44432</v>
      </c>
      <c r="B755">
        <v>316618</v>
      </c>
      <c r="C755">
        <v>527665</v>
      </c>
      <c r="D755">
        <v>923212</v>
      </c>
      <c r="F755">
        <f t="shared" si="110"/>
        <v>0.4776720726225534</v>
      </c>
      <c r="G755">
        <f t="shared" si="111"/>
        <v>1.0524987553142044</v>
      </c>
      <c r="H755">
        <f t="shared" si="112"/>
        <v>1.6665666512958834</v>
      </c>
      <c r="I755">
        <f t="shared" si="113"/>
        <v>0.77580504565964092</v>
      </c>
      <c r="J755" s="26">
        <f t="shared" si="114"/>
        <v>2.6038043239104192E-2</v>
      </c>
      <c r="K755" s="26">
        <f t="shared" si="115"/>
        <v>2.799641205160891E-2</v>
      </c>
      <c r="L755" s="26">
        <f t="shared" si="116"/>
        <v>3.9277145479197528E-2</v>
      </c>
      <c r="M755" s="26">
        <f t="shared" si="117"/>
        <v>-2.9563265963392871E-2</v>
      </c>
      <c r="N755" s="26">
        <f t="shared" si="118"/>
        <v>0.14132515543278568</v>
      </c>
      <c r="O755" s="26">
        <f t="shared" si="119"/>
        <v>0.12827031066879124</v>
      </c>
    </row>
    <row r="756" spans="1:15" x14ac:dyDescent="0.25">
      <c r="A756" s="2">
        <v>44431</v>
      </c>
      <c r="B756">
        <v>316020</v>
      </c>
      <c r="C756">
        <v>526800</v>
      </c>
      <c r="D756">
        <v>922650</v>
      </c>
      <c r="F756">
        <f t="shared" si="110"/>
        <v>0.47739128957161547</v>
      </c>
      <c r="G756">
        <f t="shared" si="111"/>
        <v>1.0570147129436025</v>
      </c>
      <c r="H756">
        <f t="shared" si="112"/>
        <v>1.6669831023352952</v>
      </c>
      <c r="I756">
        <f t="shared" si="113"/>
        <v>0.78974578361680892</v>
      </c>
      <c r="J756" s="26">
        <f t="shared" si="114"/>
        <v>2.705631491098337E-2</v>
      </c>
      <c r="K756" s="26">
        <f t="shared" si="115"/>
        <v>2.7250300031967156E-2</v>
      </c>
      <c r="L756" s="26">
        <f t="shared" si="116"/>
        <v>3.9320135235559439E-2</v>
      </c>
      <c r="M756" s="26">
        <f t="shared" si="117"/>
        <v>-3.1865974378482598E-2</v>
      </c>
      <c r="N756" s="26">
        <f t="shared" si="118"/>
        <v>0.13979993369180055</v>
      </c>
      <c r="O756" s="26">
        <f t="shared" si="119"/>
        <v>0.1283174616205105</v>
      </c>
    </row>
    <row r="757" spans="1:15" x14ac:dyDescent="0.25">
      <c r="A757" s="2">
        <v>44428</v>
      </c>
      <c r="B757">
        <v>315920</v>
      </c>
      <c r="C757">
        <v>521465</v>
      </c>
      <c r="D757">
        <v>918062</v>
      </c>
      <c r="F757">
        <f t="shared" si="110"/>
        <v>0.47702095249813864</v>
      </c>
      <c r="G757">
        <f t="shared" si="111"/>
        <v>1.0610361836207924</v>
      </c>
      <c r="H757">
        <f t="shared" si="112"/>
        <v>1.6506235755887566</v>
      </c>
      <c r="I757">
        <f t="shared" si="113"/>
        <v>0.71723110666737666</v>
      </c>
      <c r="J757" s="26">
        <f t="shared" si="114"/>
        <v>2.808995439752876E-2</v>
      </c>
      <c r="K757" s="26">
        <f t="shared" si="115"/>
        <v>2.6827938881858804E-2</v>
      </c>
      <c r="L757" s="26">
        <f t="shared" si="116"/>
        <v>3.945078386913059E-2</v>
      </c>
      <c r="M757" s="26">
        <f t="shared" si="117"/>
        <v>-3.7150680854827645E-2</v>
      </c>
      <c r="N757" s="26">
        <f t="shared" si="118"/>
        <v>0.13676279014444193</v>
      </c>
      <c r="O757" s="26">
        <f t="shared" si="119"/>
        <v>0.12712177841195982</v>
      </c>
    </row>
    <row r="758" spans="1:15" x14ac:dyDescent="0.25">
      <c r="A758" s="2">
        <v>44427</v>
      </c>
      <c r="B758">
        <v>314670</v>
      </c>
      <c r="C758">
        <v>520139</v>
      </c>
      <c r="D758">
        <v>917561</v>
      </c>
      <c r="F758">
        <f t="shared" si="110"/>
        <v>0.47638854808059944</v>
      </c>
      <c r="G758">
        <f t="shared" si="111"/>
        <v>1.0634357040010312</v>
      </c>
      <c r="H758">
        <f t="shared" si="112"/>
        <v>1.6529665999300855</v>
      </c>
      <c r="I758">
        <f t="shared" si="113"/>
        <v>0.74114989306700063</v>
      </c>
      <c r="J758" s="26">
        <f t="shared" si="114"/>
        <v>2.8782160083085706E-2</v>
      </c>
      <c r="K758" s="26">
        <f t="shared" si="115"/>
        <v>2.623619812584993E-2</v>
      </c>
      <c r="L758" s="26">
        <f t="shared" si="116"/>
        <v>3.946677835339929E-2</v>
      </c>
      <c r="M758" s="26">
        <f t="shared" si="117"/>
        <v>-3.9325560077013266E-2</v>
      </c>
      <c r="N758" s="26">
        <f t="shared" si="118"/>
        <v>0.13683192111375186</v>
      </c>
      <c r="O758" s="26">
        <f t="shared" si="119"/>
        <v>0.12750293985547301</v>
      </c>
    </row>
    <row r="759" spans="1:15" x14ac:dyDescent="0.25">
      <c r="A759" s="2">
        <v>44426</v>
      </c>
      <c r="B759">
        <v>318420</v>
      </c>
      <c r="C759">
        <v>512737</v>
      </c>
      <c r="D759">
        <v>920036</v>
      </c>
      <c r="F759">
        <f t="shared" si="110"/>
        <v>0.47462329965914662</v>
      </c>
      <c r="G759">
        <f t="shared" si="111"/>
        <v>1.0585371492890523</v>
      </c>
      <c r="H759">
        <f t="shared" si="112"/>
        <v>1.6102537529049683</v>
      </c>
      <c r="I759">
        <f t="shared" si="113"/>
        <v>0.53326847307828307</v>
      </c>
      <c r="J759" s="26">
        <f t="shared" si="114"/>
        <v>2.9159571681271645E-2</v>
      </c>
      <c r="K759" s="26">
        <f t="shared" si="115"/>
        <v>2.5443701674620456E-2</v>
      </c>
      <c r="L759" s="26">
        <f t="shared" si="116"/>
        <v>3.9296178586198993E-2</v>
      </c>
      <c r="M759" s="26">
        <f t="shared" si="117"/>
        <v>-4.1434308042036738E-2</v>
      </c>
      <c r="N759" s="26">
        <f t="shared" si="118"/>
        <v>0.13670100983027589</v>
      </c>
      <c r="O759" s="26">
        <f t="shared" si="119"/>
        <v>0.12820394005195435</v>
      </c>
    </row>
    <row r="760" spans="1:15" x14ac:dyDescent="0.25">
      <c r="A760" s="2">
        <v>44425</v>
      </c>
      <c r="B760">
        <v>316920</v>
      </c>
      <c r="C760">
        <v>511876</v>
      </c>
      <c r="D760">
        <v>917418</v>
      </c>
      <c r="F760">
        <f t="shared" si="110"/>
        <v>0.4746245305558196</v>
      </c>
      <c r="G760">
        <f t="shared" si="111"/>
        <v>1.0652321125294113</v>
      </c>
      <c r="H760">
        <f t="shared" si="112"/>
        <v>1.6151583995961125</v>
      </c>
      <c r="I760">
        <f t="shared" si="113"/>
        <v>0.56885114666715009</v>
      </c>
      <c r="J760" s="26">
        <f t="shared" si="114"/>
        <v>2.9128652968305579E-2</v>
      </c>
      <c r="K760" s="26">
        <f t="shared" si="115"/>
        <v>2.440617925054861E-2</v>
      </c>
      <c r="L760" s="26">
        <f t="shared" si="116"/>
        <v>3.8992218405562606E-2</v>
      </c>
      <c r="M760" s="26">
        <f t="shared" si="117"/>
        <v>-4.1061523600371741E-2</v>
      </c>
      <c r="N760" s="26">
        <f t="shared" si="118"/>
        <v>0.13943330324018066</v>
      </c>
      <c r="O760" s="26">
        <f t="shared" si="119"/>
        <v>0.13163518374412653</v>
      </c>
    </row>
    <row r="761" spans="1:15" x14ac:dyDescent="0.25">
      <c r="A761" s="2">
        <v>44424</v>
      </c>
      <c r="B761">
        <v>316820</v>
      </c>
      <c r="C761">
        <v>511896</v>
      </c>
      <c r="D761">
        <v>913720</v>
      </c>
      <c r="F761">
        <f t="shared" si="110"/>
        <v>0.47560771242100142</v>
      </c>
      <c r="G761">
        <f t="shared" si="111"/>
        <v>1.0783885234226462</v>
      </c>
      <c r="H761">
        <f t="shared" si="112"/>
        <v>1.6157313300927971</v>
      </c>
      <c r="I761">
        <f t="shared" si="113"/>
        <v>0.58228483559073296</v>
      </c>
      <c r="J761" s="26">
        <f t="shared" si="114"/>
        <v>2.5743118348119265E-2</v>
      </c>
      <c r="K761" s="26">
        <f t="shared" si="115"/>
        <v>2.3242644137091983E-2</v>
      </c>
      <c r="L761" s="26">
        <f t="shared" si="116"/>
        <v>3.8588928328350258E-2</v>
      </c>
      <c r="M761" s="26">
        <f t="shared" si="117"/>
        <v>-2.7640559619251936E-2</v>
      </c>
      <c r="N761" s="26">
        <f t="shared" si="118"/>
        <v>0.14207644248452511</v>
      </c>
      <c r="O761" s="26">
        <f t="shared" si="119"/>
        <v>0.13478017635063666</v>
      </c>
    </row>
    <row r="762" spans="1:15" x14ac:dyDescent="0.25">
      <c r="A762" s="2">
        <v>44421</v>
      </c>
      <c r="B762">
        <v>316595</v>
      </c>
      <c r="C762">
        <v>509834</v>
      </c>
      <c r="D762">
        <v>913210</v>
      </c>
      <c r="F762">
        <f t="shared" si="110"/>
        <v>0.47505775623563279</v>
      </c>
      <c r="G762">
        <f t="shared" si="111"/>
        <v>1.0817500315079511</v>
      </c>
      <c r="H762">
        <f t="shared" si="112"/>
        <v>1.6103665566417662</v>
      </c>
      <c r="I762">
        <f t="shared" si="113"/>
        <v>0.56552349753220732</v>
      </c>
      <c r="J762" s="26">
        <f t="shared" si="114"/>
        <v>2.2328319625889992E-2</v>
      </c>
      <c r="K762" s="26">
        <f t="shared" si="115"/>
        <v>2.2013176258618483E-2</v>
      </c>
      <c r="L762" s="26">
        <f t="shared" si="116"/>
        <v>3.8217836264726246E-2</v>
      </c>
      <c r="M762" s="26">
        <f t="shared" si="117"/>
        <v>-1.4069519839357225E-2</v>
      </c>
      <c r="N762" s="26">
        <f t="shared" si="118"/>
        <v>0.14481755003984409</v>
      </c>
      <c r="O762" s="26">
        <f t="shared" si="119"/>
        <v>0.13748954037555206</v>
      </c>
    </row>
    <row r="763" spans="1:15" x14ac:dyDescent="0.25">
      <c r="A763" s="2">
        <v>44420</v>
      </c>
      <c r="B763">
        <v>316620</v>
      </c>
      <c r="C763">
        <v>509760</v>
      </c>
      <c r="D763">
        <v>909963</v>
      </c>
      <c r="F763">
        <f t="shared" si="110"/>
        <v>0.47593131080667817</v>
      </c>
      <c r="G763">
        <f t="shared" si="111"/>
        <v>1.0943596169382241</v>
      </c>
      <c r="H763">
        <f t="shared" si="112"/>
        <v>1.6100056850483229</v>
      </c>
      <c r="I763">
        <f t="shared" si="113"/>
        <v>0.5739314669499056</v>
      </c>
      <c r="J763" s="26">
        <f t="shared" si="114"/>
        <v>1.9034769896882076E-2</v>
      </c>
      <c r="K763" s="26">
        <f t="shared" si="115"/>
        <v>2.0816103690379228E-2</v>
      </c>
      <c r="L763" s="26">
        <f t="shared" si="116"/>
        <v>3.7909916415411304E-2</v>
      </c>
      <c r="M763" s="26">
        <f t="shared" si="117"/>
        <v>-8.0603068987428195E-4</v>
      </c>
      <c r="N763" s="26">
        <f t="shared" si="118"/>
        <v>0.14730123067295997</v>
      </c>
      <c r="O763" s="26">
        <f t="shared" si="119"/>
        <v>0.14017322547249078</v>
      </c>
    </row>
    <row r="764" spans="1:15" x14ac:dyDescent="0.25">
      <c r="A764" s="2">
        <v>44419</v>
      </c>
      <c r="B764">
        <v>317020</v>
      </c>
      <c r="C764">
        <v>508861</v>
      </c>
      <c r="D764">
        <v>908534</v>
      </c>
      <c r="F764">
        <f t="shared" si="110"/>
        <v>0.47617265763960759</v>
      </c>
      <c r="G764">
        <f t="shared" si="111"/>
        <v>1.1030217717440791</v>
      </c>
      <c r="H764">
        <f t="shared" si="112"/>
        <v>1.6051384770676929</v>
      </c>
      <c r="I764">
        <f t="shared" si="113"/>
        <v>0.5565126016745735</v>
      </c>
      <c r="J764" s="26">
        <f t="shared" si="114"/>
        <v>1.5806034121213508E-2</v>
      </c>
      <c r="K764" s="26">
        <f t="shared" si="115"/>
        <v>1.968471013089973E-2</v>
      </c>
      <c r="L764" s="26">
        <f t="shared" si="116"/>
        <v>3.7607191948855478E-2</v>
      </c>
      <c r="M764" s="26">
        <f t="shared" si="117"/>
        <v>1.2307151174395514E-2</v>
      </c>
      <c r="N764" s="26">
        <f t="shared" si="118"/>
        <v>0.14927646187871724</v>
      </c>
      <c r="O764" s="26">
        <f t="shared" si="119"/>
        <v>0.14280054876472792</v>
      </c>
    </row>
    <row r="765" spans="1:15" x14ac:dyDescent="0.25">
      <c r="A765" s="2">
        <v>44418</v>
      </c>
      <c r="B765">
        <v>315845</v>
      </c>
      <c r="C765">
        <v>508496</v>
      </c>
      <c r="D765">
        <v>906951</v>
      </c>
      <c r="F765">
        <f t="shared" si="110"/>
        <v>0.4761420950365392</v>
      </c>
      <c r="G765">
        <f t="shared" si="111"/>
        <v>1.1100476494836151</v>
      </c>
      <c r="H765">
        <f t="shared" si="112"/>
        <v>1.6099542497110924</v>
      </c>
      <c r="I765">
        <f t="shared" si="113"/>
        <v>0.58936349182999193</v>
      </c>
      <c r="J765" s="26">
        <f t="shared" si="114"/>
        <v>1.2520482074150907E-2</v>
      </c>
      <c r="K765" s="26">
        <f t="shared" si="115"/>
        <v>1.8468917238486371E-2</v>
      </c>
      <c r="L765" s="26">
        <f t="shared" si="116"/>
        <v>3.7263154948397881E-2</v>
      </c>
      <c r="M765" s="26">
        <f t="shared" si="117"/>
        <v>2.9891962979341491E-2</v>
      </c>
      <c r="N765" s="26">
        <f t="shared" si="118"/>
        <v>0.15335469981169614</v>
      </c>
      <c r="O765" s="26">
        <f t="shared" si="119"/>
        <v>0.14785920884560011</v>
      </c>
    </row>
    <row r="766" spans="1:15" x14ac:dyDescent="0.25">
      <c r="A766" s="2">
        <v>44417</v>
      </c>
      <c r="B766">
        <v>314295</v>
      </c>
      <c r="C766">
        <v>507916</v>
      </c>
      <c r="D766">
        <v>905593</v>
      </c>
      <c r="F766">
        <f t="shared" si="110"/>
        <v>0.47587052698106963</v>
      </c>
      <c r="G766">
        <f t="shared" si="111"/>
        <v>1.1156366639369695</v>
      </c>
      <c r="H766">
        <f t="shared" si="112"/>
        <v>1.6160486167454144</v>
      </c>
      <c r="I766">
        <f t="shared" si="113"/>
        <v>0.62880660387058784</v>
      </c>
      <c r="J766" s="26">
        <f t="shared" si="114"/>
        <v>9.2409890739291733E-3</v>
      </c>
      <c r="K766" s="26">
        <f t="shared" si="115"/>
        <v>1.7223716306835002E-2</v>
      </c>
      <c r="L766" s="26">
        <f t="shared" si="116"/>
        <v>3.6982311513335753E-2</v>
      </c>
      <c r="M766" s="26">
        <f t="shared" si="117"/>
        <v>4.7749595046194582E-2</v>
      </c>
      <c r="N766" s="26">
        <f t="shared" si="118"/>
        <v>0.15795882697419827</v>
      </c>
      <c r="O766" s="26">
        <f t="shared" si="119"/>
        <v>0.15318796194870377</v>
      </c>
    </row>
    <row r="767" spans="1:15" x14ac:dyDescent="0.25">
      <c r="A767" s="2">
        <v>44414</v>
      </c>
      <c r="B767">
        <v>314303</v>
      </c>
      <c r="C767">
        <v>507226</v>
      </c>
      <c r="D767">
        <v>905197</v>
      </c>
      <c r="F767">
        <f t="shared" si="110"/>
        <v>0.47577264719474893</v>
      </c>
      <c r="G767">
        <f t="shared" si="111"/>
        <v>1.122421257424115</v>
      </c>
      <c r="H767">
        <f t="shared" si="112"/>
        <v>1.6138121494226909</v>
      </c>
      <c r="I767">
        <f t="shared" si="113"/>
        <v>0.62527977669237311</v>
      </c>
      <c r="J767" s="26">
        <f t="shared" si="114"/>
        <v>5.6733519722774184E-3</v>
      </c>
      <c r="K767" s="26">
        <f t="shared" si="115"/>
        <v>1.5795150352607479E-2</v>
      </c>
      <c r="L767" s="26">
        <f t="shared" si="116"/>
        <v>3.6567572474583754E-2</v>
      </c>
      <c r="M767" s="26">
        <f t="shared" si="117"/>
        <v>6.7135264687066654E-2</v>
      </c>
      <c r="N767" s="26">
        <f t="shared" si="118"/>
        <v>0.16310077823511637</v>
      </c>
      <c r="O767" s="26">
        <f t="shared" si="119"/>
        <v>0.15957208194702077</v>
      </c>
    </row>
    <row r="768" spans="1:15" x14ac:dyDescent="0.25">
      <c r="A768" s="2">
        <v>44413</v>
      </c>
      <c r="B768">
        <v>313303</v>
      </c>
      <c r="C768">
        <v>498901</v>
      </c>
      <c r="D768">
        <v>903968</v>
      </c>
      <c r="F768">
        <f t="shared" si="110"/>
        <v>0.47326491750244148</v>
      </c>
      <c r="G768">
        <f t="shared" si="111"/>
        <v>1.1140531036068528</v>
      </c>
      <c r="H768">
        <f t="shared" si="112"/>
        <v>1.5923913910814771</v>
      </c>
      <c r="I768">
        <f t="shared" si="113"/>
        <v>0.52080041891344675</v>
      </c>
      <c r="J768" s="26">
        <f t="shared" si="114"/>
        <v>2.0362739051008605E-3</v>
      </c>
      <c r="K768" s="26">
        <f t="shared" si="115"/>
        <v>1.4337738510343034E-2</v>
      </c>
      <c r="L768" s="26">
        <f t="shared" si="116"/>
        <v>3.6107530148163092E-2</v>
      </c>
      <c r="M768" s="26">
        <f t="shared" si="117"/>
        <v>8.4708660580679718E-2</v>
      </c>
      <c r="N768" s="26">
        <f t="shared" si="118"/>
        <v>0.16746952522453418</v>
      </c>
      <c r="O768" s="26">
        <f t="shared" si="119"/>
        <v>0.16501030776600056</v>
      </c>
    </row>
    <row r="769" spans="1:15" x14ac:dyDescent="0.25">
      <c r="A769" s="2">
        <v>44412</v>
      </c>
      <c r="B769">
        <v>312003</v>
      </c>
      <c r="C769">
        <v>497553</v>
      </c>
      <c r="D769">
        <v>904543</v>
      </c>
      <c r="F769">
        <f t="shared" si="110"/>
        <v>0.47229244051831309</v>
      </c>
      <c r="G769">
        <f t="shared" si="111"/>
        <v>1.1154231018909908</v>
      </c>
      <c r="H769">
        <f t="shared" si="112"/>
        <v>1.5947058201363449</v>
      </c>
      <c r="I769">
        <f t="shared" si="113"/>
        <v>0.53652351922985175</v>
      </c>
      <c r="J769" s="26">
        <f t="shared" si="114"/>
        <v>-1.7332366257629683E-3</v>
      </c>
      <c r="K769" s="26">
        <f t="shared" si="115"/>
        <v>1.2913103224704847E-2</v>
      </c>
      <c r="L769" s="26">
        <f t="shared" si="116"/>
        <v>3.5609535675700354E-2</v>
      </c>
      <c r="M769" s="26">
        <f t="shared" si="117"/>
        <v>0.10205243960890686</v>
      </c>
      <c r="N769" s="26">
        <f t="shared" si="118"/>
        <v>0.17121114015910543</v>
      </c>
      <c r="O769" s="26">
        <f t="shared" si="119"/>
        <v>0.17048775750683731</v>
      </c>
    </row>
    <row r="770" spans="1:15" x14ac:dyDescent="0.25">
      <c r="A770" s="2">
        <v>44411</v>
      </c>
      <c r="B770">
        <v>312753</v>
      </c>
      <c r="C770">
        <v>497378</v>
      </c>
      <c r="D770">
        <v>904918</v>
      </c>
      <c r="F770">
        <f t="shared" si="110"/>
        <v>0.47236609566257293</v>
      </c>
      <c r="G770">
        <f t="shared" si="111"/>
        <v>1.123452844290054</v>
      </c>
      <c r="H770">
        <f t="shared" si="112"/>
        <v>1.5903220752478793</v>
      </c>
      <c r="I770">
        <f t="shared" si="113"/>
        <v>0.5179376462061932</v>
      </c>
      <c r="J770" s="26">
        <f t="shared" si="114"/>
        <v>-5.7986698643922585E-3</v>
      </c>
      <c r="K770" s="26">
        <f t="shared" si="115"/>
        <v>1.1448839780357489E-2</v>
      </c>
      <c r="L770" s="26">
        <f t="shared" si="116"/>
        <v>3.5033029249552206E-2</v>
      </c>
      <c r="M770" s="26">
        <f t="shared" si="117"/>
        <v>0.11720720533342499</v>
      </c>
      <c r="N770" s="26">
        <f t="shared" si="118"/>
        <v>0.17431598519407054</v>
      </c>
      <c r="O770" s="26">
        <f t="shared" si="119"/>
        <v>0.17486678740367445</v>
      </c>
    </row>
    <row r="771" spans="1:15" x14ac:dyDescent="0.25">
      <c r="A771" s="2">
        <v>44410</v>
      </c>
      <c r="B771">
        <v>311978</v>
      </c>
      <c r="C771">
        <v>498228</v>
      </c>
      <c r="D771">
        <v>906857</v>
      </c>
      <c r="F771">
        <f t="shared" si="110"/>
        <v>0.47185572107721152</v>
      </c>
      <c r="G771">
        <f t="shared" si="111"/>
        <v>1.1279157412946716</v>
      </c>
      <c r="H771">
        <f t="shared" si="112"/>
        <v>1.5969972241632422</v>
      </c>
      <c r="I771">
        <f t="shared" si="113"/>
        <v>0.55632160115490814</v>
      </c>
      <c r="J771" s="26">
        <f t="shared" si="114"/>
        <v>-9.8163710803907955E-3</v>
      </c>
      <c r="K771" s="26">
        <f t="shared" si="115"/>
        <v>1.0021329891254316E-2</v>
      </c>
      <c r="L771" s="26">
        <f t="shared" si="116"/>
        <v>3.4513675955857193E-2</v>
      </c>
      <c r="M771" s="26">
        <f t="shared" si="117"/>
        <v>0.13282343146203845</v>
      </c>
      <c r="N771" s="26">
        <f t="shared" si="118"/>
        <v>0.17828544149643522</v>
      </c>
      <c r="O771" s="26">
        <f t="shared" si="119"/>
        <v>0.17998306181898616</v>
      </c>
    </row>
    <row r="772" spans="1:15" x14ac:dyDescent="0.25">
      <c r="A772" s="2">
        <v>44407</v>
      </c>
      <c r="B772">
        <v>310803</v>
      </c>
      <c r="C772">
        <v>495574</v>
      </c>
      <c r="D772">
        <v>906683</v>
      </c>
      <c r="F772">
        <f t="shared" ref="F772:F835" si="120">IFERROR((C772+B772)/(B772+C772+D772),"")</f>
        <v>0.47072315038585921</v>
      </c>
      <c r="G772">
        <f t="shared" ref="G772:G835" si="121">(F772-AVERAGE(F772:F1029))/_xlfn.STDEV.S(F772:F1029)</f>
        <v>1.1285682730724607</v>
      </c>
      <c r="H772">
        <f t="shared" ref="H772:H835" si="122">IFERROR(C772/B772,"")</f>
        <v>1.5944955486272656</v>
      </c>
      <c r="I772">
        <f t="shared" ref="I772:I835" si="123">IFERROR((H772-AVERAGE(H772:H899))/_xlfn.STDEV.S(H772:H899),"")</f>
        <v>0.54769695614928326</v>
      </c>
      <c r="J772" s="26">
        <f t="shared" ref="J772:J835" si="124">AVERAGEA(F772:F792)-AVERAGE(F793:F813)</f>
        <v>5.5976896855880476E-3</v>
      </c>
      <c r="K772" s="26">
        <f t="shared" ref="K772:K835" si="125">AVERAGEA(F772:F792)-AVERAGE(F793:F848)</f>
        <v>8.7784001343516049E-3</v>
      </c>
      <c r="L772" s="26">
        <f t="shared" ref="L772:L835" si="126">AVERAGEA(F772:F792)-AVERAGE(F793:F905)</f>
        <v>3.4204604878257716E-2</v>
      </c>
      <c r="M772" s="26">
        <f t="shared" ref="M772:M835" si="127">AVERAGEA(H772:H792)-AVERAGE(H793:H813)</f>
        <v>0.1912300519092871</v>
      </c>
      <c r="N772" s="26">
        <f t="shared" ref="N772:N835" si="128">AVERAGEA(H772:H792)-AVERAGE(H793:H848)</f>
        <v>0.18263971664837109</v>
      </c>
      <c r="O772" s="26">
        <f t="shared" ref="O772:O835" si="129">AVERAGEA(H772:H792)-AVERAGE(H793:H905)</f>
        <v>0.18533176953217723</v>
      </c>
    </row>
    <row r="773" spans="1:15" x14ac:dyDescent="0.25">
      <c r="A773" s="2">
        <v>44406</v>
      </c>
      <c r="B773">
        <v>306753</v>
      </c>
      <c r="C773">
        <v>495174</v>
      </c>
      <c r="D773">
        <v>913862</v>
      </c>
      <c r="F773">
        <f t="shared" si="120"/>
        <v>0.46738089590270132</v>
      </c>
      <c r="G773">
        <f t="shared" si="121"/>
        <v>1.1154914769150048</v>
      </c>
      <c r="H773">
        <f t="shared" si="122"/>
        <v>1.6142433814828216</v>
      </c>
      <c r="I773">
        <f t="shared" si="123"/>
        <v>0.65580357881066087</v>
      </c>
      <c r="J773" s="26">
        <f t="shared" si="124"/>
        <v>2.0871129730982929E-2</v>
      </c>
      <c r="K773" s="26">
        <f t="shared" si="125"/>
        <v>7.4323190279929063E-3</v>
      </c>
      <c r="L773" s="26">
        <f t="shared" si="126"/>
        <v>3.3834250751067441E-2</v>
      </c>
      <c r="M773" s="26">
        <f t="shared" si="127"/>
        <v>0.2486532639676402</v>
      </c>
      <c r="N773" s="26">
        <f t="shared" si="128"/>
        <v>0.18589949255521732</v>
      </c>
      <c r="O773" s="26">
        <f t="shared" si="129"/>
        <v>0.19014045148890069</v>
      </c>
    </row>
    <row r="774" spans="1:15" x14ac:dyDescent="0.25">
      <c r="A774" s="2">
        <v>44405</v>
      </c>
      <c r="B774">
        <v>307003</v>
      </c>
      <c r="C774">
        <v>492524</v>
      </c>
      <c r="D774">
        <v>915508</v>
      </c>
      <c r="F774">
        <f t="shared" si="120"/>
        <v>0.46618698743757414</v>
      </c>
      <c r="G774">
        <f t="shared" si="121"/>
        <v>1.1158087407527064</v>
      </c>
      <c r="H774">
        <f t="shared" si="122"/>
        <v>1.6042970264134226</v>
      </c>
      <c r="I774">
        <f t="shared" si="123"/>
        <v>0.61149407376563236</v>
      </c>
      <c r="J774" s="26">
        <f t="shared" si="124"/>
        <v>3.6136005727908371E-2</v>
      </c>
      <c r="K774" s="26">
        <f t="shared" si="125"/>
        <v>6.1752106048909572E-3</v>
      </c>
      <c r="L774" s="26">
        <f t="shared" si="126"/>
        <v>3.3557463042719171E-2</v>
      </c>
      <c r="M774" s="26">
        <f t="shared" si="127"/>
        <v>0.30402385048678959</v>
      </c>
      <c r="N774" s="26">
        <f t="shared" si="128"/>
        <v>0.18751449936772446</v>
      </c>
      <c r="O774" s="26">
        <f t="shared" si="129"/>
        <v>0.19293751748264754</v>
      </c>
    </row>
    <row r="775" spans="1:15" x14ac:dyDescent="0.25">
      <c r="A775" s="2">
        <v>44404</v>
      </c>
      <c r="B775">
        <v>304728</v>
      </c>
      <c r="C775">
        <v>493599</v>
      </c>
      <c r="D775">
        <v>917026</v>
      </c>
      <c r="F775">
        <f t="shared" si="120"/>
        <v>0.46540099909464699</v>
      </c>
      <c r="G775">
        <f t="shared" si="121"/>
        <v>1.1187241799398009</v>
      </c>
      <c r="H775">
        <f t="shared" si="122"/>
        <v>1.6198019217137907</v>
      </c>
      <c r="I775">
        <f t="shared" si="123"/>
        <v>0.69949450325158835</v>
      </c>
      <c r="J775" s="26">
        <f t="shared" si="124"/>
        <v>3.2430371251953471E-2</v>
      </c>
      <c r="K775" s="26">
        <f t="shared" si="125"/>
        <v>4.9334932448478197E-3</v>
      </c>
      <c r="L775" s="26">
        <f t="shared" si="126"/>
        <v>3.3281677671191057E-2</v>
      </c>
      <c r="M775" s="26">
        <f t="shared" si="127"/>
        <v>0.31632932606613684</v>
      </c>
      <c r="N775" s="26">
        <f t="shared" si="128"/>
        <v>0.18898349924871138</v>
      </c>
      <c r="O775" s="26">
        <f t="shared" si="129"/>
        <v>0.19523512856504177</v>
      </c>
    </row>
    <row r="776" spans="1:15" x14ac:dyDescent="0.25">
      <c r="A776" s="2">
        <v>44403</v>
      </c>
      <c r="B776">
        <v>305703</v>
      </c>
      <c r="C776">
        <v>492993</v>
      </c>
      <c r="D776">
        <v>917483</v>
      </c>
      <c r="F776">
        <f t="shared" si="120"/>
        <v>0.46539201330397356</v>
      </c>
      <c r="G776">
        <f t="shared" si="121"/>
        <v>1.1265307764255437</v>
      </c>
      <c r="H776">
        <f t="shared" si="122"/>
        <v>1.6126534577678335</v>
      </c>
      <c r="I776">
        <f t="shared" si="123"/>
        <v>0.6718403480796572</v>
      </c>
      <c r="J776" s="26">
        <f t="shared" si="124"/>
        <v>2.8305489880545764E-2</v>
      </c>
      <c r="K776" s="26">
        <f t="shared" si="125"/>
        <v>3.4389819184963422E-3</v>
      </c>
      <c r="L776" s="26">
        <f t="shared" si="126"/>
        <v>3.2771434683226797E-2</v>
      </c>
      <c r="M776" s="26">
        <f t="shared" si="127"/>
        <v>0.32806467720295318</v>
      </c>
      <c r="N776" s="26">
        <f t="shared" si="128"/>
        <v>0.19005852757654806</v>
      </c>
      <c r="O776" s="26">
        <f t="shared" si="129"/>
        <v>0.19685343924792464</v>
      </c>
    </row>
    <row r="777" spans="1:15" x14ac:dyDescent="0.25">
      <c r="A777" s="2">
        <v>44400</v>
      </c>
      <c r="B777">
        <v>309169</v>
      </c>
      <c r="C777">
        <v>492523</v>
      </c>
      <c r="D777">
        <v>918209</v>
      </c>
      <c r="F777">
        <f t="shared" si="120"/>
        <v>0.46612682939308714</v>
      </c>
      <c r="G777">
        <f t="shared" si="121"/>
        <v>1.1390293174733477</v>
      </c>
      <c r="H777">
        <f t="shared" si="122"/>
        <v>1.5930542842264264</v>
      </c>
      <c r="I777">
        <f t="shared" si="123"/>
        <v>0.58003804129423397</v>
      </c>
      <c r="J777" s="26">
        <f t="shared" si="124"/>
        <v>2.414940174010527E-2</v>
      </c>
      <c r="K777" s="26">
        <f t="shared" si="125"/>
        <v>1.9490844098125071E-3</v>
      </c>
      <c r="L777" s="26">
        <f t="shared" si="126"/>
        <v>3.2278922983157765E-2</v>
      </c>
      <c r="M777" s="26">
        <f t="shared" si="127"/>
        <v>0.33859967938893543</v>
      </c>
      <c r="N777" s="26">
        <f t="shared" si="128"/>
        <v>0.19019014110545918</v>
      </c>
      <c r="O777" s="26">
        <f t="shared" si="129"/>
        <v>0.19790884522547381</v>
      </c>
    </row>
    <row r="778" spans="1:15" x14ac:dyDescent="0.25">
      <c r="A778" s="2">
        <v>44399</v>
      </c>
      <c r="B778">
        <v>301163</v>
      </c>
      <c r="C778">
        <v>489029</v>
      </c>
      <c r="D778">
        <v>919826</v>
      </c>
      <c r="F778">
        <f t="shared" si="120"/>
        <v>0.46209572062984133</v>
      </c>
      <c r="G778">
        <f t="shared" si="121"/>
        <v>1.1222119564367958</v>
      </c>
      <c r="H778">
        <f t="shared" si="122"/>
        <v>1.6238017286320032</v>
      </c>
      <c r="I778">
        <f t="shared" si="123"/>
        <v>0.74808299814609092</v>
      </c>
      <c r="J778" s="26">
        <f t="shared" si="124"/>
        <v>2.0093997929407525E-2</v>
      </c>
      <c r="K778" s="26">
        <f t="shared" si="125"/>
        <v>5.8188428896377431E-4</v>
      </c>
      <c r="L778" s="26">
        <f t="shared" si="126"/>
        <v>3.1843794599136277E-2</v>
      </c>
      <c r="M778" s="26">
        <f t="shared" si="127"/>
        <v>0.35226022320671246</v>
      </c>
      <c r="N778" s="26">
        <f t="shared" si="128"/>
        <v>0.19277622509081271</v>
      </c>
      <c r="O778" s="26">
        <f t="shared" si="129"/>
        <v>0.20118206683558104</v>
      </c>
    </row>
    <row r="779" spans="1:15" x14ac:dyDescent="0.25">
      <c r="A779" s="2">
        <v>44398</v>
      </c>
      <c r="B779">
        <v>294683</v>
      </c>
      <c r="C779">
        <v>479319</v>
      </c>
      <c r="D779">
        <v>917259</v>
      </c>
      <c r="F779">
        <f t="shared" si="120"/>
        <v>0.45764787339151081</v>
      </c>
      <c r="G779">
        <f t="shared" si="121"/>
        <v>1.1027979378182433</v>
      </c>
      <c r="H779">
        <f t="shared" si="122"/>
        <v>1.6265580301544371</v>
      </c>
      <c r="I779">
        <f t="shared" si="123"/>
        <v>0.77286530553295518</v>
      </c>
      <c r="J779" s="26">
        <f t="shared" si="124"/>
        <v>1.6087595399013721E-2</v>
      </c>
      <c r="K779" s="26">
        <f t="shared" si="125"/>
        <v>-6.0520700327898469E-4</v>
      </c>
      <c r="L779" s="26">
        <f t="shared" si="126"/>
        <v>3.1645657612129674E-2</v>
      </c>
      <c r="M779" s="26">
        <f t="shared" si="127"/>
        <v>0.36591692539001741</v>
      </c>
      <c r="N779" s="26">
        <f t="shared" si="128"/>
        <v>0.19493750975233759</v>
      </c>
      <c r="O779" s="26">
        <f t="shared" si="129"/>
        <v>0.20272499288257739</v>
      </c>
    </row>
    <row r="780" spans="1:15" x14ac:dyDescent="0.25">
      <c r="A780" s="2">
        <v>44397</v>
      </c>
      <c r="B780">
        <v>287044</v>
      </c>
      <c r="C780">
        <v>470869</v>
      </c>
      <c r="D780">
        <v>917014</v>
      </c>
      <c r="F780">
        <f t="shared" si="120"/>
        <v>0.45250509425186891</v>
      </c>
      <c r="G780">
        <f t="shared" si="121"/>
        <v>1.0790678554551669</v>
      </c>
      <c r="H780">
        <f t="shared" si="122"/>
        <v>1.6404070456097324</v>
      </c>
      <c r="I780">
        <f t="shared" si="123"/>
        <v>0.85435035522592917</v>
      </c>
      <c r="J780" s="26">
        <f t="shared" si="124"/>
        <v>1.2158833142042025E-2</v>
      </c>
      <c r="K780" s="26">
        <f t="shared" si="125"/>
        <v>-1.7092907490086628E-3</v>
      </c>
      <c r="L780" s="26">
        <f t="shared" si="126"/>
        <v>3.1588337124103916E-2</v>
      </c>
      <c r="M780" s="26">
        <f t="shared" si="127"/>
        <v>0.37930939790526663</v>
      </c>
      <c r="N780" s="26">
        <f t="shared" si="128"/>
        <v>0.19702404874832347</v>
      </c>
      <c r="O780" s="26">
        <f t="shared" si="129"/>
        <v>0.20408284471191585</v>
      </c>
    </row>
    <row r="781" spans="1:15" x14ac:dyDescent="0.25">
      <c r="A781" s="2">
        <v>44396</v>
      </c>
      <c r="B781">
        <v>284224</v>
      </c>
      <c r="C781">
        <v>466993</v>
      </c>
      <c r="D781">
        <v>917289</v>
      </c>
      <c r="F781">
        <f t="shared" si="120"/>
        <v>0.4502333225052832</v>
      </c>
      <c r="G781">
        <f t="shared" si="121"/>
        <v>1.0729034405881201</v>
      </c>
      <c r="H781">
        <f t="shared" si="122"/>
        <v>1.6430456259851385</v>
      </c>
      <c r="I781">
        <f t="shared" si="123"/>
        <v>0.87806880458976477</v>
      </c>
      <c r="J781" s="26">
        <f t="shared" si="124"/>
        <v>8.5823660025721726E-3</v>
      </c>
      <c r="K781" s="26">
        <f t="shared" si="125"/>
        <v>-2.564903503327054E-3</v>
      </c>
      <c r="L781" s="26">
        <f t="shared" si="126"/>
        <v>3.1803608066024502E-2</v>
      </c>
      <c r="M781" s="26">
        <f t="shared" si="127"/>
        <v>0.39231397441244287</v>
      </c>
      <c r="N781" s="26">
        <f t="shared" si="128"/>
        <v>0.19964923981398486</v>
      </c>
      <c r="O781" s="26">
        <f t="shared" si="129"/>
        <v>0.20533608912777113</v>
      </c>
    </row>
    <row r="782" spans="1:15" x14ac:dyDescent="0.25">
      <c r="A782" s="2">
        <v>44393</v>
      </c>
      <c r="B782">
        <v>284224</v>
      </c>
      <c r="C782">
        <v>467738</v>
      </c>
      <c r="D782">
        <v>917294</v>
      </c>
      <c r="F782">
        <f t="shared" si="120"/>
        <v>0.45047733840705079</v>
      </c>
      <c r="G782">
        <f t="shared" si="121"/>
        <v>1.0821721386035137</v>
      </c>
      <c r="H782">
        <f t="shared" si="122"/>
        <v>1.6456667980184643</v>
      </c>
      <c r="I782">
        <f t="shared" si="123"/>
        <v>0.90201851732951488</v>
      </c>
      <c r="J782" s="26">
        <f t="shared" si="124"/>
        <v>1.1354025916312627E-2</v>
      </c>
      <c r="K782" s="26">
        <f t="shared" si="125"/>
        <v>1.01336665963353E-3</v>
      </c>
      <c r="L782" s="26">
        <f t="shared" si="126"/>
        <v>3.5861424110127271E-2</v>
      </c>
      <c r="M782" s="26">
        <f t="shared" si="127"/>
        <v>0.37882940051807501</v>
      </c>
      <c r="N782" s="26">
        <f t="shared" si="128"/>
        <v>0.18417178939500589</v>
      </c>
      <c r="O782" s="26">
        <f t="shared" si="129"/>
        <v>0.19080009717947655</v>
      </c>
    </row>
    <row r="783" spans="1:15" x14ac:dyDescent="0.25">
      <c r="A783" s="2">
        <v>44392</v>
      </c>
      <c r="B783">
        <v>284204</v>
      </c>
      <c r="C783">
        <v>466732</v>
      </c>
      <c r="D783">
        <v>916056</v>
      </c>
      <c r="F783">
        <f t="shared" si="120"/>
        <v>0.45047366754009616</v>
      </c>
      <c r="G783">
        <f t="shared" si="121"/>
        <v>1.0900151939190745</v>
      </c>
      <c r="H783">
        <f t="shared" si="122"/>
        <v>1.6422428959479811</v>
      </c>
      <c r="I783">
        <f t="shared" si="123"/>
        <v>0.89463346792457366</v>
      </c>
      <c r="J783" s="26">
        <f t="shared" si="124"/>
        <v>1.4150652776949879E-2</v>
      </c>
      <c r="K783" s="26">
        <f t="shared" si="125"/>
        <v>4.599600898793188E-3</v>
      </c>
      <c r="L783" s="26">
        <f t="shared" si="126"/>
        <v>3.9922993426777409E-2</v>
      </c>
      <c r="M783" s="26">
        <f t="shared" si="127"/>
        <v>0.36388086581685375</v>
      </c>
      <c r="N783" s="26">
        <f t="shared" si="128"/>
        <v>0.16885555821706899</v>
      </c>
      <c r="O783" s="26">
        <f t="shared" si="129"/>
        <v>0.17621324537668182</v>
      </c>
    </row>
    <row r="784" spans="1:15" x14ac:dyDescent="0.25">
      <c r="A784" s="2">
        <v>44391</v>
      </c>
      <c r="B784">
        <v>283254</v>
      </c>
      <c r="C784">
        <v>464806</v>
      </c>
      <c r="D784">
        <v>909811</v>
      </c>
      <c r="F784">
        <f t="shared" si="120"/>
        <v>0.45121725393592144</v>
      </c>
      <c r="G784">
        <f t="shared" si="121"/>
        <v>1.1025030993155835</v>
      </c>
      <c r="H784">
        <f t="shared" si="122"/>
        <v>1.6409512310505765</v>
      </c>
      <c r="I784">
        <f t="shared" si="123"/>
        <v>0.89818970313326696</v>
      </c>
      <c r="J784" s="26">
        <f t="shared" si="124"/>
        <v>1.6741248053131819E-2</v>
      </c>
      <c r="K784" s="26">
        <f t="shared" si="125"/>
        <v>8.0259104796191472E-3</v>
      </c>
      <c r="L784" s="26">
        <f t="shared" si="126"/>
        <v>4.3894932304914147E-2</v>
      </c>
      <c r="M784" s="26">
        <f t="shared" si="127"/>
        <v>0.34921988980655416</v>
      </c>
      <c r="N784" s="26">
        <f t="shared" si="128"/>
        <v>0.15395888199826269</v>
      </c>
      <c r="O784" s="26">
        <f t="shared" si="129"/>
        <v>0.16113242767254587</v>
      </c>
    </row>
    <row r="785" spans="1:15" x14ac:dyDescent="0.25">
      <c r="A785" s="2">
        <v>44390</v>
      </c>
      <c r="B785">
        <v>276729</v>
      </c>
      <c r="C785">
        <v>464606</v>
      </c>
      <c r="D785">
        <v>907982</v>
      </c>
      <c r="F785">
        <f t="shared" si="120"/>
        <v>0.44947999687143225</v>
      </c>
      <c r="G785">
        <f t="shared" si="121"/>
        <v>1.0999799435038331</v>
      </c>
      <c r="H785">
        <f t="shared" si="122"/>
        <v>1.678920532361986</v>
      </c>
      <c r="I785">
        <f t="shared" si="123"/>
        <v>1.1037311581923364</v>
      </c>
      <c r="J785" s="26">
        <f t="shared" si="124"/>
        <v>1.9267651224983529E-2</v>
      </c>
      <c r="K785" s="26">
        <f t="shared" si="125"/>
        <v>1.1352523460706421E-2</v>
      </c>
      <c r="L785" s="26">
        <f t="shared" si="126"/>
        <v>4.7844770595090569E-2</v>
      </c>
      <c r="M785" s="26">
        <f t="shared" si="127"/>
        <v>0.33361435795034544</v>
      </c>
      <c r="N785" s="26">
        <f t="shared" si="128"/>
        <v>0.13917663083093101</v>
      </c>
      <c r="O785" s="26">
        <f t="shared" si="129"/>
        <v>0.145562221794449</v>
      </c>
    </row>
    <row r="786" spans="1:15" x14ac:dyDescent="0.25">
      <c r="A786" s="2">
        <v>44389</v>
      </c>
      <c r="B786">
        <v>274989</v>
      </c>
      <c r="C786">
        <v>464246</v>
      </c>
      <c r="D786">
        <v>906352</v>
      </c>
      <c r="F786">
        <f t="shared" si="120"/>
        <v>0.4492226785943253</v>
      </c>
      <c r="G786">
        <f t="shared" si="121"/>
        <v>1.1064927048853705</v>
      </c>
      <c r="H786">
        <f t="shared" si="122"/>
        <v>1.6882348021193574</v>
      </c>
      <c r="I786">
        <f t="shared" si="123"/>
        <v>1.1605857488095814</v>
      </c>
      <c r="J786" s="26">
        <f t="shared" si="124"/>
        <v>2.1715165869929609E-2</v>
      </c>
      <c r="K786" s="26">
        <f t="shared" si="125"/>
        <v>1.4638479811573346E-2</v>
      </c>
      <c r="L786" s="26">
        <f t="shared" si="126"/>
        <v>5.1756610031920114E-2</v>
      </c>
      <c r="M786" s="26">
        <f t="shared" si="127"/>
        <v>0.31387880800364987</v>
      </c>
      <c r="N786" s="26">
        <f t="shared" si="128"/>
        <v>0.12161748083843427</v>
      </c>
      <c r="O786" s="26">
        <f t="shared" si="129"/>
        <v>0.12691689361026848</v>
      </c>
    </row>
    <row r="787" spans="1:15" x14ac:dyDescent="0.25">
      <c r="A787" s="2">
        <v>44386</v>
      </c>
      <c r="B787">
        <v>269753</v>
      </c>
      <c r="C787">
        <v>459698</v>
      </c>
      <c r="D787">
        <v>907239</v>
      </c>
      <c r="F787">
        <f t="shared" si="120"/>
        <v>0.44568672137057108</v>
      </c>
      <c r="G787">
        <f t="shared" si="121"/>
        <v>1.0931558453772086</v>
      </c>
      <c r="H787">
        <f t="shared" si="122"/>
        <v>1.7041441615107153</v>
      </c>
      <c r="I787">
        <f t="shared" si="123"/>
        <v>1.2494521689413183</v>
      </c>
      <c r="J787" s="26">
        <f t="shared" si="124"/>
        <v>2.4295957508249921E-2</v>
      </c>
      <c r="K787" s="26">
        <f t="shared" si="125"/>
        <v>1.7901061303623733E-2</v>
      </c>
      <c r="L787" s="26">
        <f t="shared" si="126"/>
        <v>5.5671755024399527E-2</v>
      </c>
      <c r="M787" s="26">
        <f t="shared" si="127"/>
        <v>0.29271522988571275</v>
      </c>
      <c r="N787" s="26">
        <f t="shared" si="128"/>
        <v>0.10465900821286622</v>
      </c>
      <c r="O787" s="26">
        <f t="shared" si="129"/>
        <v>0.1082048239515665</v>
      </c>
    </row>
    <row r="788" spans="1:15" x14ac:dyDescent="0.25">
      <c r="A788" s="2">
        <v>44385</v>
      </c>
      <c r="B788">
        <v>269728</v>
      </c>
      <c r="C788">
        <v>454970</v>
      </c>
      <c r="D788">
        <v>904897</v>
      </c>
      <c r="F788">
        <f t="shared" si="120"/>
        <v>0.44471049555257597</v>
      </c>
      <c r="G788">
        <f t="shared" si="121"/>
        <v>1.0953134927344406</v>
      </c>
      <c r="H788">
        <f t="shared" si="122"/>
        <v>1.6867733420334559</v>
      </c>
      <c r="I788">
        <f t="shared" si="123"/>
        <v>1.1609319338942234</v>
      </c>
      <c r="J788" s="26">
        <f t="shared" si="124"/>
        <v>2.7165156039667904E-2</v>
      </c>
      <c r="K788" s="26">
        <f t="shared" si="125"/>
        <v>2.1308438344768255E-2</v>
      </c>
      <c r="L788" s="26">
        <f t="shared" si="126"/>
        <v>5.9724682360241588E-2</v>
      </c>
      <c r="M788" s="26">
        <f t="shared" si="127"/>
        <v>0.27076669379200524</v>
      </c>
      <c r="N788" s="26">
        <f t="shared" si="128"/>
        <v>8.6973916597443246E-2</v>
      </c>
      <c r="O788" s="26">
        <f t="shared" si="129"/>
        <v>8.8569291580009146E-2</v>
      </c>
    </row>
    <row r="789" spans="1:15" x14ac:dyDescent="0.25">
      <c r="A789" s="2">
        <v>44384</v>
      </c>
      <c r="B789">
        <v>267598</v>
      </c>
      <c r="C789">
        <v>445317</v>
      </c>
      <c r="D789">
        <v>902135</v>
      </c>
      <c r="F789">
        <f t="shared" si="120"/>
        <v>0.44141977028574969</v>
      </c>
      <c r="G789">
        <f t="shared" si="121"/>
        <v>1.0834905889625752</v>
      </c>
      <c r="H789">
        <f t="shared" si="122"/>
        <v>1.664126787195719</v>
      </c>
      <c r="I789">
        <f t="shared" si="123"/>
        <v>1.0421827120307083</v>
      </c>
      <c r="J789" s="26">
        <f t="shared" si="124"/>
        <v>3.0077054639105039E-2</v>
      </c>
      <c r="K789" s="26">
        <f t="shared" si="125"/>
        <v>2.5360188603735234E-2</v>
      </c>
      <c r="L789" s="26">
        <f t="shared" si="126"/>
        <v>6.3805901111588181E-2</v>
      </c>
      <c r="M789" s="26">
        <f t="shared" si="127"/>
        <v>0.25099503162617198</v>
      </c>
      <c r="N789" s="26">
        <f t="shared" si="128"/>
        <v>7.0071633861345406E-2</v>
      </c>
      <c r="O789" s="26">
        <f t="shared" si="129"/>
        <v>7.0108895739652066E-2</v>
      </c>
    </row>
    <row r="790" spans="1:15" x14ac:dyDescent="0.25">
      <c r="A790" s="2">
        <v>44383</v>
      </c>
      <c r="B790">
        <v>266293</v>
      </c>
      <c r="C790">
        <v>437675</v>
      </c>
      <c r="D790">
        <v>902442</v>
      </c>
      <c r="F790">
        <f t="shared" si="120"/>
        <v>0.43822436364315459</v>
      </c>
      <c r="G790">
        <f t="shared" si="121"/>
        <v>1.0722043343789667</v>
      </c>
      <c r="H790">
        <f t="shared" si="122"/>
        <v>1.643584322531948</v>
      </c>
      <c r="I790">
        <f t="shared" si="123"/>
        <v>0.92263930117036241</v>
      </c>
      <c r="J790" s="26">
        <f t="shared" si="124"/>
        <v>3.3130935066880696E-2</v>
      </c>
      <c r="K790" s="26">
        <f t="shared" si="125"/>
        <v>2.9480609441484118E-2</v>
      </c>
      <c r="L790" s="26">
        <f t="shared" si="126"/>
        <v>6.7972680094151305E-2</v>
      </c>
      <c r="M790" s="26">
        <f t="shared" si="127"/>
        <v>0.22827801476574461</v>
      </c>
      <c r="N790" s="26">
        <f t="shared" si="128"/>
        <v>5.3027302445227908E-2</v>
      </c>
      <c r="O790" s="26">
        <f t="shared" si="129"/>
        <v>5.16511579174459E-2</v>
      </c>
    </row>
    <row r="791" spans="1:15" x14ac:dyDescent="0.25">
      <c r="A791" s="2">
        <v>44382</v>
      </c>
      <c r="B791">
        <v>265418</v>
      </c>
      <c r="C791">
        <v>437422</v>
      </c>
      <c r="D791">
        <v>899044</v>
      </c>
      <c r="F791">
        <f t="shared" si="120"/>
        <v>0.43875836202871121</v>
      </c>
      <c r="G791">
        <f t="shared" si="121"/>
        <v>1.0834289034522933</v>
      </c>
      <c r="H791">
        <f t="shared" si="122"/>
        <v>1.6480494917450965</v>
      </c>
      <c r="I791">
        <f t="shared" si="123"/>
        <v>0.9272187797121979</v>
      </c>
      <c r="J791" s="26">
        <f t="shared" si="124"/>
        <v>3.6293265750733161E-2</v>
      </c>
      <c r="K791" s="26">
        <f t="shared" si="125"/>
        <v>3.3801138424902677E-2</v>
      </c>
      <c r="L791" s="26">
        <f t="shared" si="126"/>
        <v>7.2352930114628955E-2</v>
      </c>
      <c r="M791" s="26">
        <f t="shared" si="127"/>
        <v>0.20687533894218046</v>
      </c>
      <c r="N791" s="26">
        <f t="shared" si="128"/>
        <v>3.7199086940628678E-2</v>
      </c>
      <c r="O791" s="26">
        <f t="shared" si="129"/>
        <v>3.4196840388079908E-2</v>
      </c>
    </row>
    <row r="792" spans="1:15" x14ac:dyDescent="0.25">
      <c r="A792" s="2">
        <v>44379</v>
      </c>
      <c r="B792">
        <v>263221</v>
      </c>
      <c r="C792">
        <v>436867</v>
      </c>
      <c r="D792">
        <v>885793</v>
      </c>
      <c r="F792">
        <f t="shared" si="120"/>
        <v>0.44145052497633808</v>
      </c>
      <c r="G792">
        <f t="shared" si="121"/>
        <v>1.1077795171915632</v>
      </c>
      <c r="H792">
        <f t="shared" si="122"/>
        <v>1.6596966047541799</v>
      </c>
      <c r="I792">
        <f t="shared" si="123"/>
        <v>0.96217910403739393</v>
      </c>
      <c r="J792" s="26">
        <f t="shared" si="124"/>
        <v>4.0128782536916541E-2</v>
      </c>
      <c r="K792" s="26">
        <f t="shared" si="125"/>
        <v>3.8113443441303407E-2</v>
      </c>
      <c r="L792" s="26">
        <f t="shared" si="126"/>
        <v>7.6705987464273595E-2</v>
      </c>
      <c r="M792" s="26">
        <f t="shared" si="127"/>
        <v>0.18504829224771657</v>
      </c>
      <c r="N792" s="26">
        <f t="shared" si="128"/>
        <v>2.1698866266205208E-2</v>
      </c>
      <c r="O792" s="26">
        <f t="shared" si="129"/>
        <v>1.6739570968701045E-2</v>
      </c>
    </row>
    <row r="793" spans="1:15" x14ac:dyDescent="0.25">
      <c r="A793" s="2">
        <v>44378</v>
      </c>
      <c r="B793">
        <v>261646</v>
      </c>
      <c r="C793">
        <v>431224</v>
      </c>
      <c r="D793">
        <v>884099</v>
      </c>
      <c r="F793">
        <f t="shared" si="120"/>
        <v>0.43936818035104053</v>
      </c>
      <c r="G793">
        <f t="shared" si="121"/>
        <v>1.1035233986978061</v>
      </c>
      <c r="H793">
        <f t="shared" si="122"/>
        <v>1.6481199789027923</v>
      </c>
      <c r="I793">
        <f t="shared" si="123"/>
        <v>0.87837998377157489</v>
      </c>
      <c r="J793" s="26">
        <f t="shared" si="124"/>
        <v>5.7391156775163932E-3</v>
      </c>
      <c r="K793" s="26">
        <f t="shared" si="125"/>
        <v>1.6022284552949628E-2</v>
      </c>
      <c r="L793" s="26">
        <f t="shared" si="126"/>
        <v>5.8220031125463645E-2</v>
      </c>
      <c r="M793" s="26">
        <f t="shared" si="127"/>
        <v>7.9505998820047941E-2</v>
      </c>
      <c r="N793" s="26">
        <f t="shared" si="128"/>
        <v>-5.1802649700616543E-2</v>
      </c>
      <c r="O793" s="26">
        <f t="shared" si="129"/>
        <v>-5.1076458269847969E-2</v>
      </c>
    </row>
    <row r="794" spans="1:15" x14ac:dyDescent="0.25">
      <c r="A794" s="2">
        <v>44377</v>
      </c>
      <c r="B794">
        <v>259771</v>
      </c>
      <c r="C794">
        <v>425100</v>
      </c>
      <c r="D794">
        <v>879788</v>
      </c>
      <c r="F794">
        <f t="shared" si="120"/>
        <v>0.43771262620161966</v>
      </c>
      <c r="G794">
        <f t="shared" si="121"/>
        <v>1.1018273020962019</v>
      </c>
      <c r="H794">
        <f t="shared" si="122"/>
        <v>1.6364413271689295</v>
      </c>
      <c r="I794">
        <f t="shared" si="123"/>
        <v>0.79847603818993618</v>
      </c>
      <c r="J794" s="26">
        <f t="shared" si="124"/>
        <v>-2.8397969264450706E-2</v>
      </c>
      <c r="K794" s="26">
        <f t="shared" si="125"/>
        <v>-5.9670988971478045E-3</v>
      </c>
      <c r="L794" s="26">
        <f t="shared" si="126"/>
        <v>3.9828629215771572E-2</v>
      </c>
      <c r="M794" s="26">
        <f t="shared" si="127"/>
        <v>-2.6202204812857621E-2</v>
      </c>
      <c r="N794" s="26">
        <f t="shared" si="128"/>
        <v>-0.1244422529021425</v>
      </c>
      <c r="O794" s="26">
        <f t="shared" si="129"/>
        <v>-0.11833740787876357</v>
      </c>
    </row>
    <row r="795" spans="1:15" x14ac:dyDescent="0.25">
      <c r="A795" s="2">
        <v>44376</v>
      </c>
      <c r="B795">
        <v>259041</v>
      </c>
      <c r="C795">
        <v>420151</v>
      </c>
      <c r="D795">
        <v>875620</v>
      </c>
      <c r="F795">
        <f t="shared" si="120"/>
        <v>0.43683223437946195</v>
      </c>
      <c r="G795">
        <f t="shared" si="121"/>
        <v>1.1048120369452934</v>
      </c>
      <c r="H795">
        <f t="shared" si="122"/>
        <v>1.6219478769770037</v>
      </c>
      <c r="I795">
        <f t="shared" si="123"/>
        <v>0.70672099920044829</v>
      </c>
      <c r="J795" s="26">
        <f t="shared" si="124"/>
        <v>-6.241573945422324E-2</v>
      </c>
      <c r="K795" s="26">
        <f t="shared" si="125"/>
        <v>-2.8954942436822229E-2</v>
      </c>
      <c r="L795" s="26">
        <f t="shared" si="126"/>
        <v>2.1528590027635353E-2</v>
      </c>
      <c r="M795" s="26">
        <f t="shared" si="127"/>
        <v>-0.13156100531115533</v>
      </c>
      <c r="N795" s="26">
        <f t="shared" si="128"/>
        <v>-0.19111921088311279</v>
      </c>
      <c r="O795" s="26">
        <f t="shared" si="129"/>
        <v>-0.18492281110578435</v>
      </c>
    </row>
    <row r="796" spans="1:15" x14ac:dyDescent="0.25">
      <c r="A796" s="2">
        <v>44375</v>
      </c>
      <c r="B796">
        <v>258433</v>
      </c>
      <c r="C796">
        <v>419507</v>
      </c>
      <c r="D796">
        <v>891683</v>
      </c>
      <c r="F796">
        <f t="shared" si="120"/>
        <v>0.4319126312496695</v>
      </c>
      <c r="G796">
        <f t="shared" si="121"/>
        <v>1.0835492442216237</v>
      </c>
      <c r="H796">
        <f t="shared" si="122"/>
        <v>1.6232717957845941</v>
      </c>
      <c r="I796">
        <f t="shared" si="123"/>
        <v>0.69374260956133338</v>
      </c>
      <c r="J796" s="26">
        <f t="shared" si="124"/>
        <v>-5.8443772365528668E-2</v>
      </c>
      <c r="K796" s="26">
        <f t="shared" si="125"/>
        <v>-2.5767903413326909E-2</v>
      </c>
      <c r="L796" s="26">
        <f t="shared" si="126"/>
        <v>2.5742201699342881E-2</v>
      </c>
      <c r="M796" s="26">
        <f t="shared" si="127"/>
        <v>-0.15198844157628288</v>
      </c>
      <c r="N796" s="26">
        <f t="shared" si="128"/>
        <v>-0.19996061439807189</v>
      </c>
      <c r="O796" s="26">
        <f t="shared" si="129"/>
        <v>-0.20082148549990864</v>
      </c>
    </row>
    <row r="797" spans="1:15" x14ac:dyDescent="0.25">
      <c r="A797" s="2">
        <v>44372</v>
      </c>
      <c r="B797">
        <v>258583</v>
      </c>
      <c r="C797">
        <v>415568</v>
      </c>
      <c r="D797">
        <v>887366</v>
      </c>
      <c r="F797">
        <f t="shared" si="120"/>
        <v>0.43172824887593281</v>
      </c>
      <c r="G797">
        <f t="shared" si="121"/>
        <v>1.0906125809893321</v>
      </c>
      <c r="H797">
        <f t="shared" si="122"/>
        <v>1.6070971409566754</v>
      </c>
      <c r="I797">
        <f t="shared" si="123"/>
        <v>0.59620277805166433</v>
      </c>
      <c r="J797" s="26">
        <f t="shared" si="124"/>
        <v>-5.4354834067378954E-2</v>
      </c>
      <c r="K797" s="26">
        <f t="shared" si="125"/>
        <v>-2.2257036812860953E-2</v>
      </c>
      <c r="L797" s="26">
        <f t="shared" si="126"/>
        <v>3.0184864877742523E-2</v>
      </c>
      <c r="M797" s="26">
        <f t="shared" si="127"/>
        <v>-0.17268681744338377</v>
      </c>
      <c r="N797" s="26">
        <f t="shared" si="128"/>
        <v>-0.20936270735719531</v>
      </c>
      <c r="O797" s="26">
        <f t="shared" si="129"/>
        <v>-0.21701261908000591</v>
      </c>
    </row>
    <row r="798" spans="1:15" x14ac:dyDescent="0.25">
      <c r="A798" s="2">
        <v>44371</v>
      </c>
      <c r="B798">
        <v>256083</v>
      </c>
      <c r="C798">
        <v>417442</v>
      </c>
      <c r="D798">
        <v>881400</v>
      </c>
      <c r="F798">
        <f t="shared" si="120"/>
        <v>0.43315593999710594</v>
      </c>
      <c r="G798">
        <f t="shared" si="121"/>
        <v>1.1074207357031174</v>
      </c>
      <c r="H798">
        <f t="shared" si="122"/>
        <v>1.6301043021207968</v>
      </c>
      <c r="I798">
        <f t="shared" si="123"/>
        <v>0.68618301820074612</v>
      </c>
      <c r="J798" s="26">
        <f t="shared" si="124"/>
        <v>-5.0211774047778157E-2</v>
      </c>
      <c r="K798" s="26">
        <f t="shared" si="125"/>
        <v>-1.8602643236383387E-2</v>
      </c>
      <c r="L798" s="26">
        <f t="shared" si="126"/>
        <v>3.4676825822812007E-2</v>
      </c>
      <c r="M798" s="26">
        <f t="shared" si="127"/>
        <v>-0.19338424298879398</v>
      </c>
      <c r="N798" s="26">
        <f t="shared" si="128"/>
        <v>-0.21832330294798918</v>
      </c>
      <c r="O798" s="26">
        <f t="shared" si="129"/>
        <v>-0.23265815231785081</v>
      </c>
    </row>
    <row r="799" spans="1:15" x14ac:dyDescent="0.25">
      <c r="A799" s="2">
        <v>44370</v>
      </c>
      <c r="B799">
        <v>252863</v>
      </c>
      <c r="C799">
        <v>415366</v>
      </c>
      <c r="D799">
        <v>876330</v>
      </c>
      <c r="F799">
        <f t="shared" si="120"/>
        <v>0.43263416936484783</v>
      </c>
      <c r="G799">
        <f t="shared" si="121"/>
        <v>1.1126828779015918</v>
      </c>
      <c r="H799">
        <f t="shared" si="122"/>
        <v>1.642652345341153</v>
      </c>
      <c r="I799">
        <f t="shared" si="123"/>
        <v>0.72632284007034553</v>
      </c>
      <c r="J799" s="26">
        <f t="shared" si="124"/>
        <v>-4.5979870255253297E-2</v>
      </c>
      <c r="K799" s="26">
        <f t="shared" si="125"/>
        <v>-1.4894535874291404E-2</v>
      </c>
      <c r="L799" s="26">
        <f t="shared" si="126"/>
        <v>3.9120864842092207E-2</v>
      </c>
      <c r="M799" s="26">
        <f t="shared" si="127"/>
        <v>-0.21635558784457021</v>
      </c>
      <c r="N799" s="26">
        <f t="shared" si="128"/>
        <v>-0.22961124997304139</v>
      </c>
      <c r="O799" s="26">
        <f t="shared" si="129"/>
        <v>-0.24935488679328599</v>
      </c>
    </row>
    <row r="800" spans="1:15" x14ac:dyDescent="0.25">
      <c r="A800" s="2">
        <v>44369</v>
      </c>
      <c r="B800">
        <v>250268</v>
      </c>
      <c r="C800">
        <v>411549</v>
      </c>
      <c r="D800">
        <v>873787</v>
      </c>
      <c r="F800">
        <f t="shared" si="120"/>
        <v>0.430981555140518</v>
      </c>
      <c r="G800">
        <f t="shared" si="121"/>
        <v>1.1112313709631303</v>
      </c>
      <c r="H800">
        <f t="shared" si="122"/>
        <v>1.6444331676442854</v>
      </c>
      <c r="I800">
        <f t="shared" si="123"/>
        <v>0.71666818428968526</v>
      </c>
      <c r="J800" s="26">
        <f t="shared" si="124"/>
        <v>-4.1427679637160097E-2</v>
      </c>
      <c r="K800" s="26">
        <f t="shared" si="125"/>
        <v>-1.1000793284650145E-2</v>
      </c>
      <c r="L800" s="26">
        <f t="shared" si="126"/>
        <v>4.4175410297640105E-2</v>
      </c>
      <c r="M800" s="26">
        <f t="shared" si="127"/>
        <v>-0.24209460063056887</v>
      </c>
      <c r="N800" s="26">
        <f t="shared" si="128"/>
        <v>-0.24220019751314936</v>
      </c>
      <c r="O800" s="26">
        <f t="shared" si="129"/>
        <v>-0.26701963147460894</v>
      </c>
    </row>
    <row r="801" spans="1:15" x14ac:dyDescent="0.25">
      <c r="A801" s="2">
        <v>44368</v>
      </c>
      <c r="B801">
        <v>248043</v>
      </c>
      <c r="C801">
        <v>412429</v>
      </c>
      <c r="D801">
        <v>871817</v>
      </c>
      <c r="F801">
        <f t="shared" si="120"/>
        <v>0.43103618181687658</v>
      </c>
      <c r="G801">
        <f t="shared" si="121"/>
        <v>1.1200136785141424</v>
      </c>
      <c r="H801">
        <f t="shared" si="122"/>
        <v>1.6627318650395295</v>
      </c>
      <c r="I801">
        <f t="shared" si="123"/>
        <v>0.7840303032677467</v>
      </c>
      <c r="J801" s="26">
        <f t="shared" si="124"/>
        <v>-3.6880626628725988E-2</v>
      </c>
      <c r="K801" s="26">
        <f t="shared" si="125"/>
        <v>-7.0564925735523976E-3</v>
      </c>
      <c r="L801" s="26">
        <f t="shared" si="126"/>
        <v>4.9318471535376496E-2</v>
      </c>
      <c r="M801" s="26">
        <f t="shared" si="127"/>
        <v>-0.26692565890633602</v>
      </c>
      <c r="N801" s="26">
        <f t="shared" si="128"/>
        <v>-0.25473308559545993</v>
      </c>
      <c r="O801" s="26">
        <f t="shared" si="129"/>
        <v>-0.28483856084014758</v>
      </c>
    </row>
    <row r="802" spans="1:15" x14ac:dyDescent="0.25">
      <c r="A802" s="2">
        <v>44365</v>
      </c>
      <c r="B802">
        <v>359426</v>
      </c>
      <c r="C802">
        <v>499276</v>
      </c>
      <c r="D802">
        <v>869283</v>
      </c>
      <c r="F802">
        <f t="shared" si="120"/>
        <v>0.49693834147865867</v>
      </c>
      <c r="G802">
        <f t="shared" si="121"/>
        <v>1.5228599317232994</v>
      </c>
      <c r="H802">
        <f t="shared" si="122"/>
        <v>1.389092608770651</v>
      </c>
      <c r="I802">
        <f t="shared" si="123"/>
        <v>-0.46865773867627714</v>
      </c>
      <c r="J802" s="26">
        <f t="shared" si="124"/>
        <v>-3.2446640424345863E-2</v>
      </c>
      <c r="K802" s="26">
        <f t="shared" si="125"/>
        <v>-3.2272014966776563E-3</v>
      </c>
      <c r="L802" s="26">
        <f t="shared" si="126"/>
        <v>5.4330864027966497E-2</v>
      </c>
      <c r="M802" s="26">
        <f t="shared" si="127"/>
        <v>-0.29025551857343279</v>
      </c>
      <c r="N802" s="26">
        <f t="shared" si="128"/>
        <v>-0.26655718190428823</v>
      </c>
      <c r="O802" s="26">
        <f t="shared" si="129"/>
        <v>-0.30182831695575407</v>
      </c>
    </row>
    <row r="803" spans="1:15" x14ac:dyDescent="0.25">
      <c r="A803" s="2">
        <v>44364</v>
      </c>
      <c r="B803">
        <v>359271</v>
      </c>
      <c r="C803">
        <v>499606</v>
      </c>
      <c r="D803">
        <v>869045</v>
      </c>
      <c r="F803">
        <f t="shared" si="120"/>
        <v>0.497057737559913</v>
      </c>
      <c r="G803">
        <f t="shared" si="121"/>
        <v>1.5366859250088483</v>
      </c>
      <c r="H803">
        <f t="shared" si="122"/>
        <v>1.3906104305663414</v>
      </c>
      <c r="I803">
        <f t="shared" si="123"/>
        <v>-0.47404965561146911</v>
      </c>
      <c r="J803" s="26">
        <f t="shared" si="124"/>
        <v>-3.0996854295390952E-2</v>
      </c>
      <c r="K803" s="26">
        <f t="shared" si="125"/>
        <v>-2.4626992321832297E-3</v>
      </c>
      <c r="L803" s="26">
        <f t="shared" si="126"/>
        <v>5.6332695815598688E-2</v>
      </c>
      <c r="M803" s="26">
        <f t="shared" si="127"/>
        <v>-0.29926256681230301</v>
      </c>
      <c r="N803" s="26">
        <f t="shared" si="128"/>
        <v>-0.26466994334232363</v>
      </c>
      <c r="O803" s="26">
        <f t="shared" si="129"/>
        <v>-0.3070045040549898</v>
      </c>
    </row>
    <row r="804" spans="1:15" x14ac:dyDescent="0.25">
      <c r="A804" s="2">
        <v>44363</v>
      </c>
      <c r="B804">
        <v>355321</v>
      </c>
      <c r="C804">
        <v>495881</v>
      </c>
      <c r="D804">
        <v>868210</v>
      </c>
      <c r="F804">
        <f t="shared" si="120"/>
        <v>0.49505412315372932</v>
      </c>
      <c r="G804">
        <f t="shared" si="121"/>
        <v>1.5380063964194608</v>
      </c>
      <c r="H804">
        <f t="shared" si="122"/>
        <v>1.3955859631150425</v>
      </c>
      <c r="I804">
        <f t="shared" si="123"/>
        <v>-0.46433428597313797</v>
      </c>
      <c r="J804" s="26">
        <f t="shared" si="124"/>
        <v>-2.9259651723237023E-2</v>
      </c>
      <c r="K804" s="26">
        <f t="shared" si="125"/>
        <v>-1.7532509972797983E-3</v>
      </c>
      <c r="L804" s="26">
        <f t="shared" si="126"/>
        <v>5.8326096923382753E-2</v>
      </c>
      <c r="M804" s="26">
        <f t="shared" si="127"/>
        <v>-0.30581278525917721</v>
      </c>
      <c r="N804" s="26">
        <f t="shared" si="128"/>
        <v>-0.26057118050016803</v>
      </c>
      <c r="O804" s="26">
        <f t="shared" si="129"/>
        <v>-0.31004236784950501</v>
      </c>
    </row>
    <row r="805" spans="1:15" x14ac:dyDescent="0.25">
      <c r="A805" s="2">
        <v>44362</v>
      </c>
      <c r="B805">
        <v>354421</v>
      </c>
      <c r="C805">
        <v>494956</v>
      </c>
      <c r="D805">
        <v>868943</v>
      </c>
      <c r="F805">
        <f t="shared" si="120"/>
        <v>0.49430664835420646</v>
      </c>
      <c r="G805">
        <f t="shared" si="121"/>
        <v>1.5469113976760551</v>
      </c>
      <c r="H805">
        <f t="shared" si="122"/>
        <v>1.3965199579031717</v>
      </c>
      <c r="I805">
        <f t="shared" si="123"/>
        <v>-0.47245754651612015</v>
      </c>
      <c r="J805" s="26">
        <f t="shared" si="124"/>
        <v>-2.7067503092038758E-2</v>
      </c>
      <c r="K805" s="26">
        <f t="shared" si="125"/>
        <v>-9.2013134596680146E-4</v>
      </c>
      <c r="L805" s="26">
        <f t="shared" si="126"/>
        <v>6.0450568965815243E-2</v>
      </c>
      <c r="M805" s="26">
        <f t="shared" si="127"/>
        <v>-0.30971862258046623</v>
      </c>
      <c r="N805" s="26">
        <f t="shared" si="128"/>
        <v>-0.25638555969146859</v>
      </c>
      <c r="O805" s="26">
        <f t="shared" si="129"/>
        <v>-0.31312520346020767</v>
      </c>
    </row>
    <row r="806" spans="1:15" x14ac:dyDescent="0.25">
      <c r="A806" s="2">
        <v>44361</v>
      </c>
      <c r="B806">
        <v>352771</v>
      </c>
      <c r="C806">
        <v>488031</v>
      </c>
      <c r="D806">
        <v>868896</v>
      </c>
      <c r="F806">
        <f t="shared" si="120"/>
        <v>0.49178392909157054</v>
      </c>
      <c r="G806">
        <f t="shared" si="121"/>
        <v>1.5452799830989401</v>
      </c>
      <c r="H806">
        <f t="shared" si="122"/>
        <v>1.3834215397524172</v>
      </c>
      <c r="I806">
        <f t="shared" si="123"/>
        <v>-0.54092308817604251</v>
      </c>
      <c r="J806" s="26">
        <f t="shared" si="124"/>
        <v>-2.491044541688936E-2</v>
      </c>
      <c r="K806" s="26">
        <f t="shared" si="125"/>
        <v>-9.9551171112322034E-5</v>
      </c>
      <c r="L806" s="26">
        <f t="shared" si="126"/>
        <v>6.2563820188030306E-2</v>
      </c>
      <c r="M806" s="26">
        <f t="shared" si="127"/>
        <v>-0.3105095733694887</v>
      </c>
      <c r="N806" s="26">
        <f t="shared" si="128"/>
        <v>-0.25068281242055312</v>
      </c>
      <c r="O806" s="26">
        <f t="shared" si="129"/>
        <v>-0.31494169242008452</v>
      </c>
    </row>
    <row r="807" spans="1:15" x14ac:dyDescent="0.25">
      <c r="A807" s="2">
        <v>44358</v>
      </c>
      <c r="B807">
        <v>350021</v>
      </c>
      <c r="C807">
        <v>487056</v>
      </c>
      <c r="D807">
        <v>867165</v>
      </c>
      <c r="F807">
        <f t="shared" si="120"/>
        <v>0.49117261515676763</v>
      </c>
      <c r="G807">
        <f t="shared" si="121"/>
        <v>1.5551556090685601</v>
      </c>
      <c r="H807">
        <f t="shared" si="122"/>
        <v>1.391505081123704</v>
      </c>
      <c r="I807">
        <f t="shared" si="123"/>
        <v>-0.51860548683488428</v>
      </c>
      <c r="J807" s="26">
        <f t="shared" si="124"/>
        <v>-2.2833202082751747E-2</v>
      </c>
      <c r="K807" s="26">
        <f t="shared" si="125"/>
        <v>7.7434890736094442E-4</v>
      </c>
      <c r="L807" s="26">
        <f t="shared" si="126"/>
        <v>6.4729437070381146E-2</v>
      </c>
      <c r="M807" s="26">
        <f t="shared" si="127"/>
        <v>-0.30868761585490789</v>
      </c>
      <c r="N807" s="26">
        <f t="shared" si="128"/>
        <v>-0.24296911714655822</v>
      </c>
      <c r="O807" s="26">
        <f t="shared" si="129"/>
        <v>-0.31474993300029208</v>
      </c>
    </row>
    <row r="808" spans="1:15" x14ac:dyDescent="0.25">
      <c r="A808" s="2">
        <v>44357</v>
      </c>
      <c r="B808">
        <v>349571</v>
      </c>
      <c r="C808">
        <v>484205</v>
      </c>
      <c r="D808">
        <v>866339</v>
      </c>
      <c r="F808">
        <f t="shared" si="120"/>
        <v>0.49042329489475711</v>
      </c>
      <c r="G808">
        <f t="shared" si="121"/>
        <v>1.5643712375529388</v>
      </c>
      <c r="H808">
        <f t="shared" si="122"/>
        <v>1.3851406438177081</v>
      </c>
      <c r="I808">
        <f t="shared" si="123"/>
        <v>-0.55724444883421143</v>
      </c>
      <c r="J808" s="26">
        <f t="shared" si="124"/>
        <v>-2.1140641578406283E-2</v>
      </c>
      <c r="K808" s="26">
        <f t="shared" si="125"/>
        <v>1.4504203748194056E-3</v>
      </c>
      <c r="L808" s="26">
        <f t="shared" si="126"/>
        <v>6.6724867646147545E-2</v>
      </c>
      <c r="M808" s="26">
        <f t="shared" si="127"/>
        <v>-0.30495690579625778</v>
      </c>
      <c r="N808" s="26">
        <f t="shared" si="128"/>
        <v>-0.23321307646581069</v>
      </c>
      <c r="O808" s="26">
        <f t="shared" si="129"/>
        <v>-0.31269623592364559</v>
      </c>
    </row>
    <row r="809" spans="1:15" x14ac:dyDescent="0.25">
      <c r="A809" s="2">
        <v>44356</v>
      </c>
      <c r="B809">
        <v>348821</v>
      </c>
      <c r="C809">
        <v>485103</v>
      </c>
      <c r="D809">
        <v>867868</v>
      </c>
      <c r="F809">
        <f t="shared" si="120"/>
        <v>0.49002698332111094</v>
      </c>
      <c r="G809">
        <f t="shared" si="121"/>
        <v>1.575876112779458</v>
      </c>
      <c r="H809">
        <f t="shared" si="122"/>
        <v>1.3906932208783302</v>
      </c>
      <c r="I809">
        <f t="shared" si="123"/>
        <v>-0.54494739408780557</v>
      </c>
      <c r="J809" s="26">
        <f t="shared" si="124"/>
        <v>-1.9693270549939967E-2</v>
      </c>
      <c r="K809" s="26">
        <f t="shared" si="125"/>
        <v>2.008322616457725E-3</v>
      </c>
      <c r="L809" s="26">
        <f t="shared" si="126"/>
        <v>6.8606703120704549E-2</v>
      </c>
      <c r="M809" s="26">
        <f t="shared" si="127"/>
        <v>-0.30191992213581709</v>
      </c>
      <c r="N809" s="26">
        <f t="shared" si="128"/>
        <v>-0.22308378608089252</v>
      </c>
      <c r="O809" s="26">
        <f t="shared" si="129"/>
        <v>-0.3097832671953562</v>
      </c>
    </row>
    <row r="810" spans="1:15" x14ac:dyDescent="0.25">
      <c r="A810" s="2">
        <v>44355</v>
      </c>
      <c r="B810">
        <v>348321</v>
      </c>
      <c r="C810">
        <v>477772</v>
      </c>
      <c r="D810">
        <v>864177</v>
      </c>
      <c r="F810">
        <f t="shared" si="120"/>
        <v>0.48873434421719608</v>
      </c>
      <c r="G810">
        <f t="shared" si="121"/>
        <v>1.58214650646581</v>
      </c>
      <c r="H810">
        <f t="shared" si="122"/>
        <v>1.3716428237172034</v>
      </c>
      <c r="I810">
        <f t="shared" si="123"/>
        <v>-0.63228690608732441</v>
      </c>
      <c r="J810" s="26">
        <f t="shared" si="124"/>
        <v>-1.8251787091452198E-2</v>
      </c>
      <c r="K810" s="26">
        <f t="shared" si="125"/>
        <v>2.554279126067871E-3</v>
      </c>
      <c r="L810" s="26">
        <f t="shared" si="126"/>
        <v>7.0557443868116132E-2</v>
      </c>
      <c r="M810" s="26">
        <f t="shared" si="127"/>
        <v>-0.29991087589509657</v>
      </c>
      <c r="N810" s="26">
        <f t="shared" si="128"/>
        <v>-0.21418769393563908</v>
      </c>
      <c r="O810" s="26">
        <f t="shared" si="129"/>
        <v>-0.31063465046160355</v>
      </c>
    </row>
    <row r="811" spans="1:15" x14ac:dyDescent="0.25">
      <c r="A811" s="2">
        <v>44354</v>
      </c>
      <c r="B811">
        <v>348521</v>
      </c>
      <c r="C811">
        <v>478942</v>
      </c>
      <c r="D811">
        <v>862857</v>
      </c>
      <c r="F811">
        <f t="shared" si="120"/>
        <v>0.4895303847792134</v>
      </c>
      <c r="G811">
        <f t="shared" si="121"/>
        <v>1.6012317734014296</v>
      </c>
      <c r="H811">
        <f t="shared" si="122"/>
        <v>1.3742127447126573</v>
      </c>
      <c r="I811">
        <f t="shared" si="123"/>
        <v>-0.63264789303868385</v>
      </c>
      <c r="J811" s="26">
        <f t="shared" si="124"/>
        <v>-1.6880474575193372E-2</v>
      </c>
      <c r="K811" s="26">
        <f t="shared" si="125"/>
        <v>3.0399255512769119E-3</v>
      </c>
      <c r="L811" s="26">
        <f t="shared" si="126"/>
        <v>7.2469545425449922E-2</v>
      </c>
      <c r="M811" s="26">
        <f t="shared" si="127"/>
        <v>-0.291888666468896</v>
      </c>
      <c r="N811" s="26">
        <f t="shared" si="128"/>
        <v>-0.20115514809374924</v>
      </c>
      <c r="O811" s="26">
        <f t="shared" si="129"/>
        <v>-0.30772001615091815</v>
      </c>
    </row>
    <row r="812" spans="1:15" x14ac:dyDescent="0.25">
      <c r="A812" s="2">
        <v>44351</v>
      </c>
      <c r="B812">
        <v>347521</v>
      </c>
      <c r="C812">
        <v>478827</v>
      </c>
      <c r="D812">
        <v>861722</v>
      </c>
      <c r="F812">
        <f t="shared" si="120"/>
        <v>0.48952235393082039</v>
      </c>
      <c r="G812">
        <f t="shared" si="121"/>
        <v>1.615760434786808</v>
      </c>
      <c r="H812">
        <f t="shared" si="122"/>
        <v>1.3778361595414377</v>
      </c>
      <c r="I812">
        <f t="shared" si="123"/>
        <v>-0.629452182283746</v>
      </c>
      <c r="J812" s="26">
        <f t="shared" si="124"/>
        <v>-1.5264661839856419E-2</v>
      </c>
      <c r="K812" s="26">
        <f t="shared" si="125"/>
        <v>3.6862010073183127E-3</v>
      </c>
      <c r="L812" s="26">
        <f t="shared" si="126"/>
        <v>7.449164365311095E-2</v>
      </c>
      <c r="M812" s="26">
        <f t="shared" si="127"/>
        <v>-0.28477095050909096</v>
      </c>
      <c r="N812" s="26">
        <f t="shared" si="128"/>
        <v>-0.1884786905864686</v>
      </c>
      <c r="O812" s="26">
        <f t="shared" si="129"/>
        <v>-0.30539837457353292</v>
      </c>
    </row>
    <row r="813" spans="1:15" x14ac:dyDescent="0.25">
      <c r="A813" s="2">
        <v>44350</v>
      </c>
      <c r="B813">
        <v>55032</v>
      </c>
      <c r="C813">
        <v>27288</v>
      </c>
      <c r="D813">
        <v>860095</v>
      </c>
      <c r="F813">
        <f t="shared" si="120"/>
        <v>8.7350052789906776E-2</v>
      </c>
      <c r="G813">
        <f t="shared" si="121"/>
        <v>-0.8286140269983836</v>
      </c>
      <c r="H813">
        <f t="shared" si="122"/>
        <v>0.49585695595290014</v>
      </c>
      <c r="I813">
        <f t="shared" si="123"/>
        <v>-3.963190769163655</v>
      </c>
      <c r="J813" s="26">
        <f t="shared" si="124"/>
        <v>-1.4876001950650752E-2</v>
      </c>
      <c r="K813" s="26">
        <f t="shared" si="125"/>
        <v>3.4338160423639796E-3</v>
      </c>
      <c r="L813" s="26">
        <f t="shared" si="126"/>
        <v>7.5701843734293395E-2</v>
      </c>
      <c r="M813" s="26">
        <f t="shared" si="127"/>
        <v>-0.27667276909755367</v>
      </c>
      <c r="N813" s="26">
        <f t="shared" si="128"/>
        <v>-0.17507662873305763</v>
      </c>
      <c r="O813" s="26">
        <f t="shared" si="129"/>
        <v>-0.30241325605948344</v>
      </c>
    </row>
    <row r="814" spans="1:15" x14ac:dyDescent="0.25">
      <c r="A814" s="2">
        <v>44349</v>
      </c>
      <c r="B814">
        <v>55032</v>
      </c>
      <c r="C814">
        <v>27288</v>
      </c>
      <c r="D814">
        <v>860949</v>
      </c>
      <c r="F814">
        <f t="shared" si="120"/>
        <v>8.7270969362928288E-2</v>
      </c>
      <c r="G814">
        <f t="shared" si="121"/>
        <v>-0.82662819026965395</v>
      </c>
      <c r="H814">
        <f t="shared" si="122"/>
        <v>0.49585695595290014</v>
      </c>
      <c r="I814">
        <f t="shared" si="123"/>
        <v>-4.2078554729140052</v>
      </c>
      <c r="J814" s="26">
        <f t="shared" si="124"/>
        <v>4.3129490725900554E-3</v>
      </c>
      <c r="K814" s="26">
        <f t="shared" si="125"/>
        <v>2.2116601631025856E-2</v>
      </c>
      <c r="L814" s="26">
        <f t="shared" si="126"/>
        <v>9.5858338784642505E-2</v>
      </c>
      <c r="M814" s="26">
        <f t="shared" si="127"/>
        <v>-0.22766966115506482</v>
      </c>
      <c r="N814" s="26">
        <f t="shared" si="128"/>
        <v>-0.12106158467395134</v>
      </c>
      <c r="O814" s="26">
        <f t="shared" si="129"/>
        <v>-0.25850499428139262</v>
      </c>
    </row>
    <row r="815" spans="1:15" x14ac:dyDescent="0.25">
      <c r="A815" s="2">
        <v>44348</v>
      </c>
      <c r="B815">
        <v>55032</v>
      </c>
      <c r="C815">
        <v>27288</v>
      </c>
      <c r="D815">
        <v>858674</v>
      </c>
      <c r="F815">
        <f t="shared" si="120"/>
        <v>8.7481960565104558E-2</v>
      </c>
      <c r="G815">
        <f t="shared" si="121"/>
        <v>-0.82289066727547999</v>
      </c>
      <c r="H815">
        <f t="shared" si="122"/>
        <v>0.49585695595290014</v>
      </c>
      <c r="I815">
        <f t="shared" si="123"/>
        <v>-4.5381932838216317</v>
      </c>
      <c r="J815" s="26">
        <f t="shared" si="124"/>
        <v>2.312885631309447E-2</v>
      </c>
      <c r="K815" s="26">
        <f t="shared" si="125"/>
        <v>4.0774227005820174E-2</v>
      </c>
      <c r="L815" s="26">
        <f t="shared" si="126"/>
        <v>0.11584761036436564</v>
      </c>
      <c r="M815" s="26">
        <f t="shared" si="127"/>
        <v>-0.1773924494665009</v>
      </c>
      <c r="N815" s="26">
        <f t="shared" si="128"/>
        <v>-6.7954070139448541E-2</v>
      </c>
      <c r="O815" s="26">
        <f t="shared" si="129"/>
        <v>-0.2129007108927643</v>
      </c>
    </row>
    <row r="816" spans="1:15" x14ac:dyDescent="0.25">
      <c r="A816" s="2">
        <v>44347</v>
      </c>
      <c r="B816">
        <v>339196</v>
      </c>
      <c r="C816">
        <v>468492</v>
      </c>
      <c r="D816">
        <v>856633</v>
      </c>
      <c r="F816">
        <f t="shared" si="120"/>
        <v>0.48529580531640232</v>
      </c>
      <c r="G816">
        <f t="shared" si="121"/>
        <v>1.6021228109950925</v>
      </c>
      <c r="H816">
        <f t="shared" si="122"/>
        <v>1.3811837403742968</v>
      </c>
      <c r="I816">
        <f t="shared" si="123"/>
        <v>-0.90939026035031711</v>
      </c>
      <c r="J816" s="26">
        <f t="shared" si="124"/>
        <v>4.1893947473274906E-2</v>
      </c>
      <c r="K816" s="26">
        <f t="shared" si="125"/>
        <v>5.9463301806667535E-2</v>
      </c>
      <c r="L816" s="26">
        <f t="shared" si="126"/>
        <v>0.13580557787113201</v>
      </c>
      <c r="M816" s="26">
        <f t="shared" si="127"/>
        <v>-0.12670179150107064</v>
      </c>
      <c r="N816" s="26">
        <f t="shared" si="128"/>
        <v>-1.400585320511194E-2</v>
      </c>
      <c r="O816" s="26">
        <f t="shared" si="129"/>
        <v>-0.16707027994039869</v>
      </c>
    </row>
    <row r="817" spans="1:15" x14ac:dyDescent="0.25">
      <c r="A817" s="2">
        <v>44344</v>
      </c>
      <c r="B817">
        <v>339196</v>
      </c>
      <c r="C817">
        <v>468192</v>
      </c>
      <c r="D817">
        <v>857169</v>
      </c>
      <c r="F817">
        <f t="shared" si="120"/>
        <v>0.48504677220425613</v>
      </c>
      <c r="G817">
        <f t="shared" si="121"/>
        <v>1.615059056642262</v>
      </c>
      <c r="H817">
        <f t="shared" si="122"/>
        <v>1.380299295982264</v>
      </c>
      <c r="I817">
        <f t="shared" si="123"/>
        <v>-0.91741800662605721</v>
      </c>
      <c r="J817" s="26">
        <f t="shared" si="124"/>
        <v>4.1622442704222884E-2</v>
      </c>
      <c r="K817" s="26">
        <f t="shared" si="125"/>
        <v>5.9272561002630675E-2</v>
      </c>
      <c r="L817" s="26">
        <f t="shared" si="126"/>
        <v>0.13675749515873248</v>
      </c>
      <c r="M817" s="26">
        <f t="shared" si="127"/>
        <v>-0.11817864845459081</v>
      </c>
      <c r="N817" s="26">
        <f t="shared" si="128"/>
        <v>-2.2850575263326789E-3</v>
      </c>
      <c r="O817" s="26">
        <f t="shared" si="129"/>
        <v>-0.16351048919349287</v>
      </c>
    </row>
    <row r="818" spans="1:15" x14ac:dyDescent="0.25">
      <c r="A818" s="2">
        <v>44343</v>
      </c>
      <c r="B818">
        <v>338546</v>
      </c>
      <c r="C818">
        <v>467297</v>
      </c>
      <c r="D818">
        <v>854517</v>
      </c>
      <c r="F818">
        <f t="shared" si="120"/>
        <v>0.48534233539714278</v>
      </c>
      <c r="G818">
        <f t="shared" si="121"/>
        <v>1.6315658054638453</v>
      </c>
      <c r="H818">
        <f t="shared" si="122"/>
        <v>1.3803057782398847</v>
      </c>
      <c r="I818">
        <f t="shared" si="123"/>
        <v>-0.92061399402183464</v>
      </c>
      <c r="J818" s="26">
        <f t="shared" si="124"/>
        <v>4.1581329736756378E-2</v>
      </c>
      <c r="K818" s="26">
        <f t="shared" si="125"/>
        <v>5.9280891976745742E-2</v>
      </c>
      <c r="L818" s="26">
        <f t="shared" si="126"/>
        <v>0.13783263796796036</v>
      </c>
      <c r="M818" s="26">
        <f t="shared" si="127"/>
        <v>-0.10886831419408205</v>
      </c>
      <c r="N818" s="26">
        <f t="shared" si="128"/>
        <v>9.2409027079782824E-3</v>
      </c>
      <c r="O818" s="26">
        <f t="shared" si="129"/>
        <v>-0.15984495073428406</v>
      </c>
    </row>
    <row r="819" spans="1:15" x14ac:dyDescent="0.25">
      <c r="A819" s="2">
        <v>44342</v>
      </c>
      <c r="B819">
        <v>337646</v>
      </c>
      <c r="C819">
        <v>466047</v>
      </c>
      <c r="D819">
        <v>852216</v>
      </c>
      <c r="F819">
        <f t="shared" si="120"/>
        <v>0.48534853062577715</v>
      </c>
      <c r="G819">
        <f t="shared" si="121"/>
        <v>1.6466289622316195</v>
      </c>
      <c r="H819">
        <f t="shared" si="122"/>
        <v>1.3802828998418462</v>
      </c>
      <c r="I819">
        <f t="shared" si="123"/>
        <v>-0.92612269834940997</v>
      </c>
      <c r="J819" s="26">
        <f t="shared" si="124"/>
        <v>4.1414662404335612E-2</v>
      </c>
      <c r="K819" s="26">
        <f t="shared" si="125"/>
        <v>5.9383147371156741E-2</v>
      </c>
      <c r="L819" s="26">
        <f t="shared" si="126"/>
        <v>0.13891490256259476</v>
      </c>
      <c r="M819" s="26">
        <f t="shared" si="127"/>
        <v>-9.8203222992503614E-2</v>
      </c>
      <c r="N819" s="26">
        <f t="shared" si="128"/>
        <v>2.0702496005519766E-2</v>
      </c>
      <c r="O819" s="26">
        <f t="shared" si="129"/>
        <v>-0.15634492849533199</v>
      </c>
    </row>
    <row r="820" spans="1:15" x14ac:dyDescent="0.25">
      <c r="A820" s="2">
        <v>44341</v>
      </c>
      <c r="B820">
        <v>338796</v>
      </c>
      <c r="C820">
        <v>465747</v>
      </c>
      <c r="D820">
        <v>846455</v>
      </c>
      <c r="F820">
        <f t="shared" si="120"/>
        <v>0.48730707123812383</v>
      </c>
      <c r="G820">
        <f t="shared" si="121"/>
        <v>1.6739823913690413</v>
      </c>
      <c r="H820">
        <f t="shared" si="122"/>
        <v>1.3747122162008996</v>
      </c>
      <c r="I820">
        <f t="shared" si="123"/>
        <v>-0.95443522573578854</v>
      </c>
      <c r="J820" s="26">
        <f t="shared" si="124"/>
        <v>4.0894299518700883E-2</v>
      </c>
      <c r="K820" s="26">
        <f t="shared" si="125"/>
        <v>5.9345325424613404E-2</v>
      </c>
      <c r="L820" s="26">
        <f t="shared" si="126"/>
        <v>0.13981911842618933</v>
      </c>
      <c r="M820" s="26">
        <f t="shared" si="127"/>
        <v>-8.5206685642698954E-2</v>
      </c>
      <c r="N820" s="26">
        <f t="shared" si="128"/>
        <v>3.3605229960891769E-2</v>
      </c>
      <c r="O820" s="26">
        <f t="shared" si="129"/>
        <v>-0.15165195445702717</v>
      </c>
    </row>
    <row r="821" spans="1:15" x14ac:dyDescent="0.25">
      <c r="A821" s="2">
        <v>44340</v>
      </c>
      <c r="B821">
        <v>336671</v>
      </c>
      <c r="C821">
        <v>464965</v>
      </c>
      <c r="D821">
        <v>845045</v>
      </c>
      <c r="F821">
        <f t="shared" si="120"/>
        <v>0.48681924428593032</v>
      </c>
      <c r="G821">
        <f t="shared" si="121"/>
        <v>1.6868025283315879</v>
      </c>
      <c r="H821">
        <f t="shared" si="122"/>
        <v>1.3810663823138911</v>
      </c>
      <c r="I821">
        <f t="shared" si="123"/>
        <v>-0.93961605452876651</v>
      </c>
      <c r="J821" s="26">
        <f t="shared" si="124"/>
        <v>4.0174299978766315E-2</v>
      </c>
      <c r="K821" s="26">
        <f t="shared" si="125"/>
        <v>5.9074178014231038E-2</v>
      </c>
      <c r="L821" s="26">
        <f t="shared" si="126"/>
        <v>0.14052987578011966</v>
      </c>
      <c r="M821" s="26">
        <f t="shared" si="127"/>
        <v>-6.8962215679572392E-2</v>
      </c>
      <c r="N821" s="26">
        <f t="shared" si="128"/>
        <v>4.9026459462202077E-2</v>
      </c>
      <c r="O821" s="26">
        <f t="shared" si="129"/>
        <v>-0.14526658461516284</v>
      </c>
    </row>
    <row r="822" spans="1:15" x14ac:dyDescent="0.25">
      <c r="A822" s="2">
        <v>44337</v>
      </c>
      <c r="B822">
        <v>328546</v>
      </c>
      <c r="C822">
        <v>463894</v>
      </c>
      <c r="D822">
        <v>842559</v>
      </c>
      <c r="F822">
        <f t="shared" si="120"/>
        <v>0.48467307931075188</v>
      </c>
      <c r="G822">
        <f t="shared" si="121"/>
        <v>1.6896207555659779</v>
      </c>
      <c r="H822">
        <f t="shared" si="122"/>
        <v>1.4119605778186313</v>
      </c>
      <c r="I822">
        <f t="shared" si="123"/>
        <v>-0.82977204840903229</v>
      </c>
      <c r="J822" s="26">
        <f t="shared" si="124"/>
        <v>3.9564006984516009E-2</v>
      </c>
      <c r="K822" s="26">
        <f t="shared" si="125"/>
        <v>5.9015430063534935E-2</v>
      </c>
      <c r="L822" s="26">
        <f t="shared" si="126"/>
        <v>0.14131801298375646</v>
      </c>
      <c r="M822" s="26">
        <f t="shared" si="127"/>
        <v>-5.2422360104896981E-2</v>
      </c>
      <c r="N822" s="26">
        <f t="shared" si="128"/>
        <v>6.3724137807541492E-2</v>
      </c>
      <c r="O822" s="26">
        <f t="shared" si="129"/>
        <v>-0.13919640105080555</v>
      </c>
    </row>
    <row r="823" spans="1:15" x14ac:dyDescent="0.25">
      <c r="A823" s="2">
        <v>44336</v>
      </c>
      <c r="B823">
        <v>327021</v>
      </c>
      <c r="C823">
        <v>463819</v>
      </c>
      <c r="D823">
        <v>838285</v>
      </c>
      <c r="F823">
        <f t="shared" si="120"/>
        <v>0.48543850226348501</v>
      </c>
      <c r="G823">
        <f t="shared" si="121"/>
        <v>1.7105357220242579</v>
      </c>
      <c r="H823">
        <f t="shared" si="122"/>
        <v>1.4183156433378896</v>
      </c>
      <c r="I823">
        <f t="shared" si="123"/>
        <v>-0.81584804664888622</v>
      </c>
      <c r="J823" s="26">
        <f t="shared" si="124"/>
        <v>3.8935994780993688E-2</v>
      </c>
      <c r="K823" s="26">
        <f t="shared" si="125"/>
        <v>5.90836242949625E-2</v>
      </c>
      <c r="L823" s="26">
        <f t="shared" si="126"/>
        <v>0.14209330297379308</v>
      </c>
      <c r="M823" s="26">
        <f t="shared" si="127"/>
        <v>-3.5020341900378948E-2</v>
      </c>
      <c r="N823" s="26">
        <f t="shared" si="128"/>
        <v>7.7680484701166952E-2</v>
      </c>
      <c r="O823" s="26">
        <f t="shared" si="129"/>
        <v>-0.13388248310544082</v>
      </c>
    </row>
    <row r="824" spans="1:15" x14ac:dyDescent="0.25">
      <c r="A824" s="2">
        <v>44335</v>
      </c>
      <c r="B824">
        <v>319247</v>
      </c>
      <c r="C824">
        <v>462740</v>
      </c>
      <c r="D824">
        <v>830660</v>
      </c>
      <c r="F824">
        <f t="shared" si="120"/>
        <v>0.48490897263939348</v>
      </c>
      <c r="G824">
        <f t="shared" si="121"/>
        <v>1.7238247379152716</v>
      </c>
      <c r="H824">
        <f t="shared" si="122"/>
        <v>1.4494732918398607</v>
      </c>
      <c r="I824">
        <f t="shared" si="123"/>
        <v>-0.70855809001016978</v>
      </c>
      <c r="J824" s="26">
        <f t="shared" si="124"/>
        <v>3.977289336267531E-2</v>
      </c>
      <c r="K824" s="26">
        <f t="shared" si="125"/>
        <v>5.9110486457964684E-2</v>
      </c>
      <c r="L824" s="26">
        <f t="shared" si="126"/>
        <v>0.14273645117219402</v>
      </c>
      <c r="M824" s="26">
        <f t="shared" si="127"/>
        <v>-2.0383024083613588E-2</v>
      </c>
      <c r="N824" s="26">
        <f t="shared" si="128"/>
        <v>9.1291787405102243E-2</v>
      </c>
      <c r="O824" s="26">
        <f t="shared" si="129"/>
        <v>-0.12992301392185479</v>
      </c>
    </row>
    <row r="825" spans="1:15" x14ac:dyDescent="0.25">
      <c r="A825" s="2">
        <v>44334</v>
      </c>
      <c r="B825">
        <v>318774</v>
      </c>
      <c r="C825">
        <v>464393</v>
      </c>
      <c r="D825">
        <v>830838</v>
      </c>
      <c r="F825">
        <f t="shared" si="120"/>
        <v>0.48523207796754037</v>
      </c>
      <c r="G825">
        <f t="shared" si="121"/>
        <v>1.7426316373343576</v>
      </c>
      <c r="H825">
        <f t="shared" si="122"/>
        <v>1.4568095264983969</v>
      </c>
      <c r="I825">
        <f t="shared" si="123"/>
        <v>-0.69033491727692864</v>
      </c>
      <c r="J825" s="26">
        <f t="shared" si="124"/>
        <v>3.9938891472870941E-2</v>
      </c>
      <c r="K825" s="26">
        <f t="shared" si="125"/>
        <v>5.8700621879511861E-2</v>
      </c>
      <c r="L825" s="26">
        <f t="shared" si="126"/>
        <v>0.14299994215931089</v>
      </c>
      <c r="M825" s="26">
        <f t="shared" si="127"/>
        <v>-6.2811173179668778E-3</v>
      </c>
      <c r="N825" s="26">
        <f t="shared" si="128"/>
        <v>0.10387778876225839</v>
      </c>
      <c r="O825" s="26">
        <f t="shared" si="129"/>
        <v>-0.12672952945717997</v>
      </c>
    </row>
    <row r="826" spans="1:15" x14ac:dyDescent="0.25">
      <c r="A826" s="2">
        <v>44333</v>
      </c>
      <c r="B826">
        <v>312996</v>
      </c>
      <c r="C826">
        <v>463173</v>
      </c>
      <c r="D826">
        <v>826355</v>
      </c>
      <c r="F826">
        <f t="shared" si="120"/>
        <v>0.48434157616360191</v>
      </c>
      <c r="G826">
        <f t="shared" si="121"/>
        <v>1.7542234111928277</v>
      </c>
      <c r="H826">
        <f t="shared" si="122"/>
        <v>1.4798048537361499</v>
      </c>
      <c r="I826">
        <f t="shared" si="123"/>
        <v>-0.61630264568786453</v>
      </c>
      <c r="J826" s="26">
        <f t="shared" si="124"/>
        <v>3.9420840378310729E-2</v>
      </c>
      <c r="K826" s="26">
        <f t="shared" si="125"/>
        <v>5.7880738714261359E-2</v>
      </c>
      <c r="L826" s="26">
        <f t="shared" si="126"/>
        <v>0.14286567835666619</v>
      </c>
      <c r="M826" s="26">
        <f t="shared" si="127"/>
        <v>3.2918929347527381E-3</v>
      </c>
      <c r="N826" s="26">
        <f t="shared" si="128"/>
        <v>0.1137146759463521</v>
      </c>
      <c r="O826" s="26">
        <f t="shared" si="129"/>
        <v>-0.12616512388705625</v>
      </c>
    </row>
    <row r="827" spans="1:15" x14ac:dyDescent="0.25">
      <c r="A827" s="2">
        <v>44330</v>
      </c>
      <c r="B827">
        <v>306446</v>
      </c>
      <c r="C827">
        <v>460395</v>
      </c>
      <c r="D827">
        <v>821841</v>
      </c>
      <c r="F827">
        <f t="shared" si="120"/>
        <v>0.48269005376784024</v>
      </c>
      <c r="G827">
        <f t="shared" si="121"/>
        <v>1.7612718809130916</v>
      </c>
      <c r="H827">
        <f t="shared" si="122"/>
        <v>1.502369096023443</v>
      </c>
      <c r="I827">
        <f t="shared" si="123"/>
        <v>-0.54620422888080589</v>
      </c>
      <c r="J827" s="26">
        <f t="shared" si="124"/>
        <v>3.8964225680284514E-2</v>
      </c>
      <c r="K827" s="26">
        <f t="shared" si="125"/>
        <v>5.7196071691454797E-2</v>
      </c>
      <c r="L827" s="26">
        <f t="shared" si="126"/>
        <v>0.14274599757797168</v>
      </c>
      <c r="M827" s="26">
        <f t="shared" si="127"/>
        <v>1.0640223749435851E-2</v>
      </c>
      <c r="N827" s="26">
        <f t="shared" si="128"/>
        <v>0.12147037555074824</v>
      </c>
      <c r="O827" s="26">
        <f t="shared" si="129"/>
        <v>-0.12784520642546782</v>
      </c>
    </row>
    <row r="828" spans="1:15" x14ac:dyDescent="0.25">
      <c r="A828" s="2">
        <v>44329</v>
      </c>
      <c r="B828">
        <v>296821</v>
      </c>
      <c r="C828">
        <v>456870</v>
      </c>
      <c r="D828">
        <v>820020</v>
      </c>
      <c r="F828">
        <f t="shared" si="120"/>
        <v>0.47892592731448153</v>
      </c>
      <c r="G828">
        <f t="shared" si="121"/>
        <v>1.7551298922722771</v>
      </c>
      <c r="H828">
        <f t="shared" si="122"/>
        <v>1.5392105006047416</v>
      </c>
      <c r="I828">
        <f t="shared" si="123"/>
        <v>-0.43037570696166255</v>
      </c>
      <c r="J828" s="26">
        <f t="shared" si="124"/>
        <v>3.8824752269778107E-2</v>
      </c>
      <c r="K828" s="26">
        <f t="shared" si="125"/>
        <v>5.6710258077494136E-2</v>
      </c>
      <c r="L828" s="26">
        <f t="shared" si="126"/>
        <v>0.14275766910900178</v>
      </c>
      <c r="M828" s="26">
        <f t="shared" si="127"/>
        <v>1.8038916114273773E-2</v>
      </c>
      <c r="N828" s="26">
        <f t="shared" si="128"/>
        <v>0.12892895492573619</v>
      </c>
      <c r="O828" s="26">
        <f t="shared" si="129"/>
        <v>-0.13044289231019368</v>
      </c>
    </row>
    <row r="829" spans="1:15" x14ac:dyDescent="0.25">
      <c r="A829" s="2">
        <v>44328</v>
      </c>
      <c r="B829">
        <v>293221</v>
      </c>
      <c r="C829">
        <v>447765</v>
      </c>
      <c r="D829">
        <v>819291</v>
      </c>
      <c r="F829">
        <f t="shared" si="120"/>
        <v>0.47490669925917001</v>
      </c>
      <c r="G829">
        <f t="shared" si="121"/>
        <v>1.7471995079427824</v>
      </c>
      <c r="H829">
        <f t="shared" si="122"/>
        <v>1.5270563840925446</v>
      </c>
      <c r="I829">
        <f t="shared" si="123"/>
        <v>-0.48409580984394002</v>
      </c>
      <c r="J829" s="26">
        <f t="shared" si="124"/>
        <v>3.8995917214888209E-2</v>
      </c>
      <c r="K829" s="26">
        <f t="shared" si="125"/>
        <v>5.6548250970328784E-2</v>
      </c>
      <c r="L829" s="26">
        <f t="shared" si="126"/>
        <v>0.14302559300233608</v>
      </c>
      <c r="M829" s="26">
        <f t="shared" si="127"/>
        <v>2.6941686418950228E-2</v>
      </c>
      <c r="N829" s="26">
        <f t="shared" si="128"/>
        <v>0.13608712188550753</v>
      </c>
      <c r="O829" s="26">
        <f t="shared" si="129"/>
        <v>-0.13336437198137996</v>
      </c>
    </row>
    <row r="830" spans="1:15" x14ac:dyDescent="0.25">
      <c r="A830" s="2">
        <v>44327</v>
      </c>
      <c r="B830">
        <v>292371</v>
      </c>
      <c r="C830">
        <v>441427</v>
      </c>
      <c r="D830">
        <v>813667</v>
      </c>
      <c r="F830">
        <f t="shared" si="120"/>
        <v>0.47419360050146531</v>
      </c>
      <c r="G830">
        <f t="shared" si="121"/>
        <v>1.7600543297303017</v>
      </c>
      <c r="H830">
        <f t="shared" si="122"/>
        <v>1.5098180052057146</v>
      </c>
      <c r="I830">
        <f t="shared" si="123"/>
        <v>-0.5532752343537205</v>
      </c>
      <c r="J830" s="26">
        <f t="shared" si="124"/>
        <v>3.6245020438836095E-2</v>
      </c>
      <c r="K830" s="26">
        <f t="shared" si="125"/>
        <v>5.6442292934795246E-2</v>
      </c>
      <c r="L830" s="26">
        <f t="shared" si="126"/>
        <v>0.143421073816416</v>
      </c>
      <c r="M830" s="26">
        <f t="shared" si="127"/>
        <v>5.0519127907484362E-2</v>
      </c>
      <c r="N830" s="26">
        <f t="shared" si="128"/>
        <v>0.14359206711797801</v>
      </c>
      <c r="O830" s="26">
        <f t="shared" si="129"/>
        <v>-0.13671124974426374</v>
      </c>
    </row>
    <row r="831" spans="1:15" x14ac:dyDescent="0.25">
      <c r="A831" s="2">
        <v>44326</v>
      </c>
      <c r="B831">
        <v>283219</v>
      </c>
      <c r="C831">
        <v>440750</v>
      </c>
      <c r="D831">
        <v>810132</v>
      </c>
      <c r="F831">
        <f t="shared" si="120"/>
        <v>0.47191742916535484</v>
      </c>
      <c r="G831">
        <f t="shared" si="121"/>
        <v>1.7632084818503884</v>
      </c>
      <c r="H831">
        <f t="shared" si="122"/>
        <v>1.5562162143076559</v>
      </c>
      <c r="I831">
        <f t="shared" si="123"/>
        <v>-0.41376934697024198</v>
      </c>
      <c r="J831" s="26">
        <f t="shared" si="124"/>
        <v>3.3670102364543486E-2</v>
      </c>
      <c r="K831" s="26">
        <f t="shared" si="125"/>
        <v>5.6367249121122509E-2</v>
      </c>
      <c r="L831" s="26">
        <f t="shared" si="126"/>
        <v>0.143835709172833</v>
      </c>
      <c r="M831" s="26">
        <f t="shared" si="127"/>
        <v>7.0967841819171484E-2</v>
      </c>
      <c r="N831" s="26">
        <f t="shared" si="128"/>
        <v>0.14987944858172586</v>
      </c>
      <c r="O831" s="26">
        <f t="shared" si="129"/>
        <v>-0.14195689209904927</v>
      </c>
    </row>
    <row r="832" spans="1:15" x14ac:dyDescent="0.25">
      <c r="A832" s="2">
        <v>44323</v>
      </c>
      <c r="B832">
        <v>285594</v>
      </c>
      <c r="C832">
        <v>443898</v>
      </c>
      <c r="D832">
        <v>808134</v>
      </c>
      <c r="F832">
        <f t="shared" si="120"/>
        <v>0.47442746155437016</v>
      </c>
      <c r="G832">
        <f t="shared" si="121"/>
        <v>1.7970299719856719</v>
      </c>
      <c r="H832">
        <f t="shared" si="122"/>
        <v>1.5542973591882183</v>
      </c>
      <c r="I832">
        <f t="shared" si="123"/>
        <v>-0.4325183257557883</v>
      </c>
      <c r="J832" s="26">
        <f t="shared" si="124"/>
        <v>3.1315777995737759E-2</v>
      </c>
      <c r="K832" s="26">
        <f t="shared" si="125"/>
        <v>5.6271265023887851E-2</v>
      </c>
      <c r="L832" s="26">
        <f t="shared" si="126"/>
        <v>0.14427935803060887</v>
      </c>
      <c r="M832" s="26">
        <f t="shared" si="127"/>
        <v>8.6660240106529285E-2</v>
      </c>
      <c r="N832" s="26">
        <f t="shared" si="128"/>
        <v>0.15270050172975247</v>
      </c>
      <c r="O832" s="26">
        <f t="shared" si="129"/>
        <v>-0.14953169112299891</v>
      </c>
    </row>
    <row r="833" spans="1:15" x14ac:dyDescent="0.25">
      <c r="A833" s="2">
        <v>44322</v>
      </c>
      <c r="B833">
        <v>266969</v>
      </c>
      <c r="C833">
        <v>418071</v>
      </c>
      <c r="D833">
        <v>805018</v>
      </c>
      <c r="F833">
        <f t="shared" si="120"/>
        <v>0.4597404933230787</v>
      </c>
      <c r="G833">
        <f t="shared" si="121"/>
        <v>1.7211422162895857</v>
      </c>
      <c r="H833">
        <f t="shared" si="122"/>
        <v>1.565990807921519</v>
      </c>
      <c r="I833">
        <f t="shared" si="123"/>
        <v>-0.40797164483883602</v>
      </c>
      <c r="J833" s="26">
        <f t="shared" si="124"/>
        <v>2.9062934553653996E-2</v>
      </c>
      <c r="K833" s="26">
        <f t="shared" si="125"/>
        <v>5.6008081444881841E-2</v>
      </c>
      <c r="L833" s="26">
        <f t="shared" si="126"/>
        <v>0.14456087283177221</v>
      </c>
      <c r="M833" s="26">
        <f t="shared" si="127"/>
        <v>0.10276501885643219</v>
      </c>
      <c r="N833" s="26">
        <f t="shared" si="128"/>
        <v>0.15640531543686786</v>
      </c>
      <c r="O833" s="26">
        <f t="shared" si="129"/>
        <v>-0.15702134828794501</v>
      </c>
    </row>
    <row r="834" spans="1:15" x14ac:dyDescent="0.25">
      <c r="A834" s="2">
        <v>44321</v>
      </c>
      <c r="B834">
        <v>263369</v>
      </c>
      <c r="C834">
        <v>407802</v>
      </c>
      <c r="D834">
        <v>802529</v>
      </c>
      <c r="F834">
        <f t="shared" si="120"/>
        <v>0.45543258465087871</v>
      </c>
      <c r="G834">
        <f t="shared" si="121"/>
        <v>1.7103542670255669</v>
      </c>
      <c r="H834">
        <f t="shared" si="122"/>
        <v>1.5484054691326619</v>
      </c>
      <c r="I834">
        <f t="shared" si="123"/>
        <v>-0.47533294055633446</v>
      </c>
      <c r="J834" s="26">
        <f t="shared" si="124"/>
        <v>2.7490472493457596E-2</v>
      </c>
      <c r="K834" s="26">
        <f t="shared" si="125"/>
        <v>5.6264770170947609E-2</v>
      </c>
      <c r="L834" s="26">
        <f t="shared" si="126"/>
        <v>0.14533842390405821</v>
      </c>
      <c r="M834" s="26">
        <f t="shared" si="127"/>
        <v>0.11495354067688668</v>
      </c>
      <c r="N834" s="26">
        <f t="shared" si="128"/>
        <v>0.15951948021021733</v>
      </c>
      <c r="O834" s="26">
        <f t="shared" si="129"/>
        <v>-0.16519329118180814</v>
      </c>
    </row>
    <row r="835" spans="1:15" x14ac:dyDescent="0.25">
      <c r="A835" s="2">
        <v>44320</v>
      </c>
      <c r="B835">
        <v>260619</v>
      </c>
      <c r="C835">
        <v>407469</v>
      </c>
      <c r="D835">
        <v>809811</v>
      </c>
      <c r="F835">
        <f t="shared" si="120"/>
        <v>0.45205254215612839</v>
      </c>
      <c r="G835">
        <f t="shared" si="121"/>
        <v>1.7052944813764823</v>
      </c>
      <c r="H835">
        <f t="shared" si="122"/>
        <v>1.563466209294027</v>
      </c>
      <c r="I835">
        <f t="shared" si="123"/>
        <v>-0.44116011965417934</v>
      </c>
      <c r="J835" s="26">
        <f t="shared" si="124"/>
        <v>2.6090939835509475E-2</v>
      </c>
      <c r="K835" s="26">
        <f t="shared" si="125"/>
        <v>5.6668495964235455E-2</v>
      </c>
      <c r="L835" s="26">
        <f t="shared" si="126"/>
        <v>0.14626529781501402</v>
      </c>
      <c r="M835" s="26">
        <f t="shared" si="127"/>
        <v>0.12591476422457104</v>
      </c>
      <c r="N835" s="26">
        <f t="shared" si="128"/>
        <v>0.16264298134780764</v>
      </c>
      <c r="O835" s="26">
        <f t="shared" si="129"/>
        <v>-0.17324577482246073</v>
      </c>
    </row>
    <row r="836" spans="1:15" x14ac:dyDescent="0.25">
      <c r="A836" s="2">
        <v>44319</v>
      </c>
      <c r="B836">
        <v>258519</v>
      </c>
      <c r="C836">
        <v>405308</v>
      </c>
      <c r="D836">
        <v>806038</v>
      </c>
      <c r="F836">
        <f t="shared" ref="F836:F899" si="130">IFERROR((C836+B836)/(B836+C836+D836),"")</f>
        <v>0.45162446891381181</v>
      </c>
      <c r="G836">
        <f t="shared" ref="G836:G899" si="131">(F836-AVERAGE(F836:F1093))/_xlfn.STDEV.S(F836:F1093)</f>
        <v>1.7192530628307972</v>
      </c>
      <c r="H836">
        <f t="shared" ref="H836:H899" si="132">IFERROR(C836/B836,"")</f>
        <v>1.5678073952011264</v>
      </c>
      <c r="I836">
        <f t="shared" ref="I836:I899" si="133">IFERROR((H836-AVERAGE(H836:H963))/_xlfn.STDEV.S(H836:H963),"")</f>
        <v>-0.44051277515875853</v>
      </c>
      <c r="J836" s="26">
        <f t="shared" ref="J836:J899" si="134">AVERAGEA(F836:F856)-AVERAGE(F857:F877)</f>
        <v>2.4972305301657727E-2</v>
      </c>
      <c r="K836" s="26">
        <f t="shared" ref="K836:K899" si="135">AVERAGEA(F836:F856)-AVERAGE(F857:F912)</f>
        <v>5.7458990138194055E-2</v>
      </c>
      <c r="L836" s="26">
        <f t="shared" ref="L836:L899" si="136">AVERAGEA(F836:F856)-AVERAGE(F857:F969)</f>
        <v>0.14745722393612909</v>
      </c>
      <c r="M836" s="26">
        <f t="shared" ref="M836:M899" si="137">AVERAGEA(H836:H856)-AVERAGE(H857:H877)</f>
        <v>0.13574548506652517</v>
      </c>
      <c r="N836" s="26">
        <f t="shared" ref="N836:N899" si="138">AVERAGEA(H836:H856)-AVERAGE(H857:H912)</f>
        <v>0.163302842037653</v>
      </c>
      <c r="O836" s="26">
        <f t="shared" ref="O836:O899" si="139">AVERAGEA(H836:H856)-AVERAGE(H857:H969)</f>
        <v>-0.18446649124385806</v>
      </c>
    </row>
    <row r="837" spans="1:15" x14ac:dyDescent="0.25">
      <c r="A837" s="2">
        <v>44316</v>
      </c>
      <c r="B837">
        <v>257069</v>
      </c>
      <c r="C837">
        <v>403443</v>
      </c>
      <c r="D837">
        <v>806158</v>
      </c>
      <c r="F837">
        <f t="shared" si="130"/>
        <v>0.45034806739075595</v>
      </c>
      <c r="G837">
        <f t="shared" si="131"/>
        <v>1.7279645870534326</v>
      </c>
      <c r="H837">
        <f t="shared" si="132"/>
        <v>1.5693957653392669</v>
      </c>
      <c r="I837">
        <f t="shared" si="133"/>
        <v>-0.44807182526774214</v>
      </c>
      <c r="J837" s="26">
        <f t="shared" si="134"/>
        <v>2.3949026788683714E-2</v>
      </c>
      <c r="K837" s="26">
        <f t="shared" si="135"/>
        <v>5.8314937732033223E-2</v>
      </c>
      <c r="L837" s="26">
        <f t="shared" si="136"/>
        <v>0.14867183796174627</v>
      </c>
      <c r="M837" s="26">
        <f t="shared" si="137"/>
        <v>0.14418901366774017</v>
      </c>
      <c r="N837" s="26">
        <f t="shared" si="138"/>
        <v>0.16344445813065822</v>
      </c>
      <c r="O837" s="26">
        <f t="shared" si="139"/>
        <v>-0.19567794802919791</v>
      </c>
    </row>
    <row r="838" spans="1:15" x14ac:dyDescent="0.25">
      <c r="A838" s="2">
        <v>44315</v>
      </c>
      <c r="B838">
        <v>255519</v>
      </c>
      <c r="C838">
        <v>401674</v>
      </c>
      <c r="D838">
        <v>795767</v>
      </c>
      <c r="F838">
        <f t="shared" si="130"/>
        <v>0.45231320889769849</v>
      </c>
      <c r="G838">
        <f t="shared" si="131"/>
        <v>1.7580359904800795</v>
      </c>
      <c r="H838">
        <f t="shared" si="132"/>
        <v>1.5719926893890475</v>
      </c>
      <c r="I838">
        <f t="shared" si="133"/>
        <v>-0.45299036036441065</v>
      </c>
      <c r="J838" s="26">
        <f t="shared" si="134"/>
        <v>2.2991676993206811E-2</v>
      </c>
      <c r="K838" s="26">
        <f t="shared" si="135"/>
        <v>5.9242167356748698E-2</v>
      </c>
      <c r="L838" s="26">
        <f t="shared" si="136"/>
        <v>0.14992744754880499</v>
      </c>
      <c r="M838" s="26">
        <f t="shared" si="137"/>
        <v>0.15358374849011547</v>
      </c>
      <c r="N838" s="26">
        <f t="shared" si="138"/>
        <v>0.16276553799944704</v>
      </c>
      <c r="O838" s="26">
        <f t="shared" si="139"/>
        <v>-0.20713535529081573</v>
      </c>
    </row>
    <row r="839" spans="1:15" x14ac:dyDescent="0.25">
      <c r="A839" s="2">
        <v>44314</v>
      </c>
      <c r="B839">
        <v>252744</v>
      </c>
      <c r="C839">
        <v>401398</v>
      </c>
      <c r="D839">
        <v>793228</v>
      </c>
      <c r="F839">
        <f t="shared" si="130"/>
        <v>0.4519521615067329</v>
      </c>
      <c r="G839">
        <f t="shared" si="131"/>
        <v>1.7735064984938087</v>
      </c>
      <c r="H839">
        <f t="shared" si="132"/>
        <v>1.5881603519767038</v>
      </c>
      <c r="I839">
        <f t="shared" si="133"/>
        <v>-0.41957474083861335</v>
      </c>
      <c r="J839" s="26">
        <f t="shared" si="134"/>
        <v>2.1838803749782698E-2</v>
      </c>
      <c r="K839" s="26">
        <f t="shared" si="135"/>
        <v>6.005883218519481E-2</v>
      </c>
      <c r="L839" s="26">
        <f t="shared" si="136"/>
        <v>0.15104271197164409</v>
      </c>
      <c r="M839" s="26">
        <f t="shared" si="137"/>
        <v>0.16250923584818167</v>
      </c>
      <c r="N839" s="26">
        <f t="shared" si="138"/>
        <v>0.16085164730046753</v>
      </c>
      <c r="O839" s="26">
        <f t="shared" si="139"/>
        <v>-0.2192820319529265</v>
      </c>
    </row>
    <row r="840" spans="1:15" x14ac:dyDescent="0.25">
      <c r="A840" s="2">
        <v>44313</v>
      </c>
      <c r="B840">
        <v>247019</v>
      </c>
      <c r="C840">
        <v>398407</v>
      </c>
      <c r="D840">
        <v>793102</v>
      </c>
      <c r="F840">
        <f t="shared" si="130"/>
        <v>0.44867114161142502</v>
      </c>
      <c r="G840">
        <f t="shared" si="131"/>
        <v>1.770059108670798</v>
      </c>
      <c r="H840">
        <f t="shared" si="132"/>
        <v>1.6128597395342059</v>
      </c>
      <c r="I840">
        <f t="shared" si="133"/>
        <v>-0.36407556842809907</v>
      </c>
      <c r="J840" s="26">
        <f t="shared" si="134"/>
        <v>2.087626016359595E-2</v>
      </c>
      <c r="K840" s="26">
        <f t="shared" si="135"/>
        <v>6.1016110649466493E-2</v>
      </c>
      <c r="L840" s="26">
        <f t="shared" si="136"/>
        <v>0.15226733234781198</v>
      </c>
      <c r="M840" s="26">
        <f t="shared" si="137"/>
        <v>0.1706167630902713</v>
      </c>
      <c r="N840" s="26">
        <f t="shared" si="138"/>
        <v>0.15839813390629964</v>
      </c>
      <c r="O840" s="26">
        <f t="shared" si="139"/>
        <v>-0.23185509222389356</v>
      </c>
    </row>
    <row r="841" spans="1:15" x14ac:dyDescent="0.25">
      <c r="A841" s="2">
        <v>44312</v>
      </c>
      <c r="B841">
        <v>241080</v>
      </c>
      <c r="C841">
        <v>397129</v>
      </c>
      <c r="D841">
        <v>791522</v>
      </c>
      <c r="F841">
        <f t="shared" si="130"/>
        <v>0.44638397013144432</v>
      </c>
      <c r="G841">
        <f t="shared" si="131"/>
        <v>1.7730098837232533</v>
      </c>
      <c r="H841">
        <f t="shared" si="132"/>
        <v>1.6472913555666169</v>
      </c>
      <c r="I841">
        <f t="shared" si="133"/>
        <v>-0.28436468036433654</v>
      </c>
      <c r="J841" s="26">
        <f t="shared" si="134"/>
        <v>2.0178928937369389E-2</v>
      </c>
      <c r="K841" s="26">
        <f t="shared" si="135"/>
        <v>6.2232985388459894E-2</v>
      </c>
      <c r="L841" s="26">
        <f t="shared" si="136"/>
        <v>0.15370109082747885</v>
      </c>
      <c r="M841" s="26">
        <f t="shared" si="137"/>
        <v>0.17774127680968221</v>
      </c>
      <c r="N841" s="26">
        <f t="shared" si="138"/>
        <v>0.15290597239667947</v>
      </c>
      <c r="O841" s="26">
        <f t="shared" si="139"/>
        <v>-0.24531688638436888</v>
      </c>
    </row>
    <row r="842" spans="1:15" x14ac:dyDescent="0.25">
      <c r="A842" s="2">
        <v>44309</v>
      </c>
      <c r="B842">
        <v>241930</v>
      </c>
      <c r="C842">
        <v>396560</v>
      </c>
      <c r="D842">
        <v>789360</v>
      </c>
      <c r="F842">
        <f t="shared" si="130"/>
        <v>0.44716882025422838</v>
      </c>
      <c r="G842">
        <f t="shared" si="131"/>
        <v>1.7963965671795132</v>
      </c>
      <c r="H842">
        <f t="shared" si="132"/>
        <v>1.6391518207746043</v>
      </c>
      <c r="I842">
        <f t="shared" si="133"/>
        <v>-0.3211015828716462</v>
      </c>
      <c r="J842" s="26">
        <f t="shared" si="134"/>
        <v>1.9477806719208013E-2</v>
      </c>
      <c r="K842" s="26">
        <f t="shared" si="135"/>
        <v>6.3517550797902278E-2</v>
      </c>
      <c r="L842" s="26">
        <f t="shared" si="136"/>
        <v>0.15510685028235882</v>
      </c>
      <c r="M842" s="26">
        <f t="shared" si="137"/>
        <v>0.18357871737052034</v>
      </c>
      <c r="N842" s="26">
        <f t="shared" si="138"/>
        <v>0.14496389796525855</v>
      </c>
      <c r="O842" s="26">
        <f t="shared" si="139"/>
        <v>-0.26011686116693022</v>
      </c>
    </row>
    <row r="843" spans="1:15" x14ac:dyDescent="0.25">
      <c r="A843" s="2">
        <v>44308</v>
      </c>
      <c r="B843">
        <v>237830</v>
      </c>
      <c r="C843">
        <v>392685</v>
      </c>
      <c r="D843">
        <v>785748</v>
      </c>
      <c r="F843">
        <f t="shared" si="130"/>
        <v>0.44519626651264632</v>
      </c>
      <c r="G843">
        <f t="shared" si="131"/>
        <v>1.8019144500499644</v>
      </c>
      <c r="H843">
        <f t="shared" si="132"/>
        <v>1.6511163436067779</v>
      </c>
      <c r="I843">
        <f t="shared" si="133"/>
        <v>-0.3053557635344466</v>
      </c>
      <c r="J843" s="26">
        <f t="shared" si="134"/>
        <v>1.8767910864856741E-2</v>
      </c>
      <c r="K843" s="26">
        <f t="shared" si="135"/>
        <v>6.479246106864911E-2</v>
      </c>
      <c r="L843" s="26">
        <f t="shared" si="136"/>
        <v>0.15647100709102046</v>
      </c>
      <c r="M843" s="26">
        <f t="shared" si="137"/>
        <v>0.18709754701150638</v>
      </c>
      <c r="N843" s="26">
        <f t="shared" si="138"/>
        <v>0.13445708723610372</v>
      </c>
      <c r="O843" s="26">
        <f t="shared" si="139"/>
        <v>-0.27614779845261306</v>
      </c>
    </row>
    <row r="844" spans="1:15" x14ac:dyDescent="0.25">
      <c r="A844" s="2">
        <v>44307</v>
      </c>
      <c r="B844">
        <v>236380</v>
      </c>
      <c r="C844">
        <v>386880</v>
      </c>
      <c r="D844">
        <v>782083</v>
      </c>
      <c r="F844">
        <f t="shared" si="130"/>
        <v>0.44349315434025716</v>
      </c>
      <c r="G844">
        <f t="shared" si="131"/>
        <v>1.8093208245354921</v>
      </c>
      <c r="H844">
        <f t="shared" si="132"/>
        <v>1.6366866909213977</v>
      </c>
      <c r="I844">
        <f t="shared" si="133"/>
        <v>-0.35549985230892445</v>
      </c>
      <c r="J844" s="26">
        <f t="shared" si="134"/>
        <v>1.8307556964786087E-2</v>
      </c>
      <c r="K844" s="26">
        <f t="shared" si="135"/>
        <v>6.6119479828609051E-2</v>
      </c>
      <c r="L844" s="26">
        <f t="shared" si="136"/>
        <v>0.157848960385989</v>
      </c>
      <c r="M844" s="26">
        <f t="shared" si="137"/>
        <v>0.18996826196340733</v>
      </c>
      <c r="N844" s="26">
        <f t="shared" si="138"/>
        <v>0.12157824728162536</v>
      </c>
      <c r="O844" s="26">
        <f t="shared" si="139"/>
        <v>-0.29410500986640331</v>
      </c>
    </row>
    <row r="845" spans="1:15" x14ac:dyDescent="0.25">
      <c r="A845" s="2">
        <v>44306</v>
      </c>
      <c r="B845">
        <v>228630</v>
      </c>
      <c r="C845">
        <v>376300</v>
      </c>
      <c r="D845">
        <v>781637</v>
      </c>
      <c r="F845">
        <f t="shared" si="130"/>
        <v>0.43627895370364361</v>
      </c>
      <c r="G845">
        <f t="shared" si="131"/>
        <v>1.7759617895389554</v>
      </c>
      <c r="H845">
        <f t="shared" si="132"/>
        <v>1.6458907404977474</v>
      </c>
      <c r="I845">
        <f t="shared" si="133"/>
        <v>-0.34732991758827353</v>
      </c>
      <c r="J845" s="26">
        <f t="shared" si="134"/>
        <v>1.4643511073623994E-2</v>
      </c>
      <c r="K845" s="26">
        <f t="shared" si="135"/>
        <v>6.5263845484567762E-2</v>
      </c>
      <c r="L845" s="26">
        <f t="shared" si="136"/>
        <v>0.15734732047995192</v>
      </c>
      <c r="M845" s="26">
        <f t="shared" si="137"/>
        <v>0.19612819059069664</v>
      </c>
      <c r="N845" s="26">
        <f t="shared" si="138"/>
        <v>0.11127278293213783</v>
      </c>
      <c r="O845" s="26">
        <f t="shared" si="139"/>
        <v>-0.31016868017093557</v>
      </c>
    </row>
    <row r="846" spans="1:15" x14ac:dyDescent="0.25">
      <c r="A846" s="2">
        <v>44305</v>
      </c>
      <c r="B846">
        <v>226319</v>
      </c>
      <c r="C846">
        <v>362123</v>
      </c>
      <c r="D846">
        <v>782020</v>
      </c>
      <c r="F846">
        <f t="shared" si="130"/>
        <v>0.42937491152618606</v>
      </c>
      <c r="G846">
        <f t="shared" si="131"/>
        <v>1.7438452849935562</v>
      </c>
      <c r="H846">
        <f t="shared" si="132"/>
        <v>1.6000556736288161</v>
      </c>
      <c r="I846">
        <f t="shared" si="133"/>
        <v>-0.46732735019580679</v>
      </c>
      <c r="J846" s="26">
        <f t="shared" si="134"/>
        <v>1.1413552628632639E-2</v>
      </c>
      <c r="K846" s="26">
        <f t="shared" si="135"/>
        <v>6.4772629459818654E-2</v>
      </c>
      <c r="L846" s="26">
        <f t="shared" si="136"/>
        <v>0.15722057778360632</v>
      </c>
      <c r="M846" s="26">
        <f t="shared" si="137"/>
        <v>0.20221658098371131</v>
      </c>
      <c r="N846" s="26">
        <f t="shared" si="138"/>
        <v>0.10049985995592658</v>
      </c>
      <c r="O846" s="26">
        <f t="shared" si="139"/>
        <v>-0.32645298912994147</v>
      </c>
    </row>
    <row r="847" spans="1:15" x14ac:dyDescent="0.25">
      <c r="A847" s="2">
        <v>44302</v>
      </c>
      <c r="B847">
        <v>226519</v>
      </c>
      <c r="C847">
        <v>357832</v>
      </c>
      <c r="D847">
        <v>777524</v>
      </c>
      <c r="F847">
        <f t="shared" si="130"/>
        <v>0.42907829279486004</v>
      </c>
      <c r="G847">
        <f t="shared" si="131"/>
        <v>1.7557884200531069</v>
      </c>
      <c r="H847">
        <f t="shared" si="132"/>
        <v>1.5796997161386022</v>
      </c>
      <c r="I847">
        <f t="shared" si="133"/>
        <v>-0.5254884757394177</v>
      </c>
      <c r="J847" s="26">
        <f t="shared" si="134"/>
        <v>8.625797892054865E-3</v>
      </c>
      <c r="K847" s="26">
        <f t="shared" si="135"/>
        <v>6.4629226729187028E-2</v>
      </c>
      <c r="L847" s="26">
        <f t="shared" si="136"/>
        <v>0.15745494781518132</v>
      </c>
      <c r="M847" s="26">
        <f t="shared" si="137"/>
        <v>0.20982801716911381</v>
      </c>
      <c r="N847" s="26">
        <f t="shared" si="138"/>
        <v>9.1654232081366027E-2</v>
      </c>
      <c r="O847" s="26">
        <f t="shared" si="139"/>
        <v>-0.34007235482638931</v>
      </c>
    </row>
    <row r="848" spans="1:15" x14ac:dyDescent="0.25">
      <c r="A848" s="2">
        <v>44301</v>
      </c>
      <c r="B848">
        <v>225891</v>
      </c>
      <c r="C848">
        <v>357598</v>
      </c>
      <c r="D848">
        <v>773544</v>
      </c>
      <c r="F848">
        <f t="shared" si="130"/>
        <v>0.42997406842722319</v>
      </c>
      <c r="G848">
        <f t="shared" si="131"/>
        <v>1.7761504833708686</v>
      </c>
      <c r="H848">
        <f t="shared" si="132"/>
        <v>1.5830555444882708</v>
      </c>
      <c r="I848">
        <f t="shared" si="133"/>
        <v>-0.52952434851794961</v>
      </c>
      <c r="J848" s="26">
        <f t="shared" si="134"/>
        <v>5.9245496524333863E-3</v>
      </c>
      <c r="K848" s="26">
        <f t="shared" si="135"/>
        <v>6.4467944523288079E-2</v>
      </c>
      <c r="L848" s="26">
        <f t="shared" si="136"/>
        <v>0.15766281872090165</v>
      </c>
      <c r="M848" s="26">
        <f t="shared" si="137"/>
        <v>0.2171441349587695</v>
      </c>
      <c r="N848" s="26">
        <f t="shared" si="138"/>
        <v>8.2423596600059712E-2</v>
      </c>
      <c r="O848" s="26">
        <f t="shared" si="139"/>
        <v>-0.35493761566850734</v>
      </c>
    </row>
    <row r="849" spans="1:15" x14ac:dyDescent="0.25">
      <c r="A849" s="2">
        <v>44300</v>
      </c>
      <c r="B849">
        <v>224641</v>
      </c>
      <c r="C849">
        <v>361351</v>
      </c>
      <c r="D849">
        <v>773191</v>
      </c>
      <c r="F849">
        <f t="shared" si="130"/>
        <v>0.43113546888093801</v>
      </c>
      <c r="G849">
        <f t="shared" si="131"/>
        <v>1.7988390657033293</v>
      </c>
      <c r="H849">
        <f t="shared" si="132"/>
        <v>1.6085710088541272</v>
      </c>
      <c r="I849">
        <f t="shared" si="133"/>
        <v>-0.48566804048041906</v>
      </c>
      <c r="J849" s="26">
        <f t="shared" si="134"/>
        <v>3.0507387479339343E-3</v>
      </c>
      <c r="K849" s="26">
        <f t="shared" si="135"/>
        <v>6.4050731635323876E-2</v>
      </c>
      <c r="L849" s="26">
        <f t="shared" si="136"/>
        <v>0.15764931869384169</v>
      </c>
      <c r="M849" s="26">
        <f t="shared" si="137"/>
        <v>0.22206434091715099</v>
      </c>
      <c r="N849" s="26">
        <f t="shared" si="138"/>
        <v>7.1936168256998778E-2</v>
      </c>
      <c r="O849" s="26">
        <f t="shared" si="139"/>
        <v>-0.37091757203293185</v>
      </c>
    </row>
    <row r="850" spans="1:15" x14ac:dyDescent="0.25">
      <c r="A850" s="2">
        <v>44299</v>
      </c>
      <c r="B850">
        <v>223541</v>
      </c>
      <c r="C850">
        <v>358827</v>
      </c>
      <c r="D850">
        <v>775148</v>
      </c>
      <c r="F850">
        <f t="shared" si="130"/>
        <v>0.42899531202578828</v>
      </c>
      <c r="G850">
        <f t="shared" si="131"/>
        <v>1.7994043824869252</v>
      </c>
      <c r="H850">
        <f t="shared" si="132"/>
        <v>1.6051954674981324</v>
      </c>
      <c r="I850">
        <f t="shared" si="133"/>
        <v>-0.50496898873862106</v>
      </c>
      <c r="J850" s="26">
        <f t="shared" si="134"/>
        <v>5.9308362268273296E-4</v>
      </c>
      <c r="K850" s="26">
        <f t="shared" si="135"/>
        <v>6.3548209260627042E-2</v>
      </c>
      <c r="L850" s="26">
        <f t="shared" si="136"/>
        <v>0.15758151113824287</v>
      </c>
      <c r="M850" s="26">
        <f t="shared" si="137"/>
        <v>0.21906302035929071</v>
      </c>
      <c r="N850" s="26">
        <f t="shared" si="138"/>
        <v>5.9094686620038361E-2</v>
      </c>
      <c r="O850" s="26">
        <f t="shared" si="139"/>
        <v>-0.38887376228744874</v>
      </c>
    </row>
    <row r="851" spans="1:15" x14ac:dyDescent="0.25">
      <c r="A851" s="2">
        <v>44298</v>
      </c>
      <c r="B851">
        <v>223791</v>
      </c>
      <c r="C851">
        <v>355101</v>
      </c>
      <c r="D851">
        <v>773378</v>
      </c>
      <c r="F851">
        <f t="shared" si="130"/>
        <v>0.42808906505357658</v>
      </c>
      <c r="G851">
        <f t="shared" si="131"/>
        <v>1.8085006488844277</v>
      </c>
      <c r="H851">
        <f t="shared" si="132"/>
        <v>1.5867528184779549</v>
      </c>
      <c r="I851">
        <f t="shared" si="133"/>
        <v>-0.55557860279543847</v>
      </c>
      <c r="J851" s="26">
        <f t="shared" si="134"/>
        <v>4.241999487300252E-3</v>
      </c>
      <c r="K851" s="26">
        <f t="shared" si="135"/>
        <v>6.7148058389694565E-2</v>
      </c>
      <c r="L851" s="26">
        <f t="shared" si="136"/>
        <v>0.16107284937143862</v>
      </c>
      <c r="M851" s="26">
        <f t="shared" si="137"/>
        <v>0.18887156037122699</v>
      </c>
      <c r="N851" s="26">
        <f t="shared" si="138"/>
        <v>2.6597733770634235E-2</v>
      </c>
      <c r="O851" s="26">
        <f t="shared" si="139"/>
        <v>-0.42375798796250153</v>
      </c>
    </row>
    <row r="852" spans="1:15" x14ac:dyDescent="0.25">
      <c r="A852" s="2">
        <v>44295</v>
      </c>
      <c r="B852">
        <v>222916</v>
      </c>
      <c r="C852">
        <v>350496</v>
      </c>
      <c r="D852">
        <v>771669</v>
      </c>
      <c r="F852">
        <f t="shared" si="130"/>
        <v>0.42630295127207951</v>
      </c>
      <c r="G852">
        <f t="shared" si="131"/>
        <v>1.8117237033719313</v>
      </c>
      <c r="H852">
        <f t="shared" si="132"/>
        <v>1.5723232069479087</v>
      </c>
      <c r="I852">
        <f t="shared" si="133"/>
        <v>-0.59713154917006184</v>
      </c>
      <c r="J852" s="26">
        <f t="shared" si="134"/>
        <v>7.8701408522044991E-3</v>
      </c>
      <c r="K852" s="26">
        <f t="shared" si="135"/>
        <v>7.0478343010766387E-2</v>
      </c>
      <c r="L852" s="26">
        <f t="shared" si="136"/>
        <v>0.16434771248616706</v>
      </c>
      <c r="M852" s="26">
        <f t="shared" si="137"/>
        <v>0.16348329942665707</v>
      </c>
      <c r="N852" s="26">
        <f t="shared" si="138"/>
        <v>-1.7644299798060814E-3</v>
      </c>
      <c r="O852" s="26">
        <f t="shared" si="139"/>
        <v>-0.45564858790612361</v>
      </c>
    </row>
    <row r="853" spans="1:15" x14ac:dyDescent="0.25">
      <c r="A853" s="2">
        <v>44294</v>
      </c>
      <c r="B853">
        <v>220516</v>
      </c>
      <c r="C853">
        <v>349498</v>
      </c>
      <c r="D853">
        <v>769958</v>
      </c>
      <c r="F853">
        <f t="shared" si="130"/>
        <v>0.42539247088745136</v>
      </c>
      <c r="G853">
        <f t="shared" si="131"/>
        <v>1.8211290162268494</v>
      </c>
      <c r="H853">
        <f t="shared" si="132"/>
        <v>1.5849099385078633</v>
      </c>
      <c r="I853">
        <f t="shared" si="133"/>
        <v>-0.58338353883312766</v>
      </c>
      <c r="J853" s="26">
        <f t="shared" si="134"/>
        <v>1.1174828794058511E-2</v>
      </c>
      <c r="K853" s="26">
        <f t="shared" si="135"/>
        <v>7.3521110657648936E-2</v>
      </c>
      <c r="L853" s="26">
        <f t="shared" si="136"/>
        <v>0.16738228608875641</v>
      </c>
      <c r="M853" s="26">
        <f t="shared" si="137"/>
        <v>0.14004211683016443</v>
      </c>
      <c r="N853" s="26">
        <f t="shared" si="138"/>
        <v>-2.7820252854349414E-2</v>
      </c>
      <c r="O853" s="26">
        <f t="shared" si="139"/>
        <v>-0.48556345702577186</v>
      </c>
    </row>
    <row r="854" spans="1:15" x14ac:dyDescent="0.25">
      <c r="A854" s="2">
        <v>44293</v>
      </c>
      <c r="B854">
        <v>219686</v>
      </c>
      <c r="C854">
        <v>348001</v>
      </c>
      <c r="D854">
        <v>778191</v>
      </c>
      <c r="F854">
        <f t="shared" si="130"/>
        <v>0.42179677504201718</v>
      </c>
      <c r="G854">
        <f t="shared" si="131"/>
        <v>1.8119685320964816</v>
      </c>
      <c r="H854">
        <f t="shared" si="132"/>
        <v>1.5840836466593229</v>
      </c>
      <c r="I854">
        <f t="shared" si="133"/>
        <v>-0.59663779616163748</v>
      </c>
      <c r="J854" s="26">
        <f t="shared" si="134"/>
        <v>1.425847252782847E-2</v>
      </c>
      <c r="K854" s="26">
        <f t="shared" si="135"/>
        <v>7.6201973779517762E-2</v>
      </c>
      <c r="L854" s="26">
        <f t="shared" si="136"/>
        <v>0.17010651454793987</v>
      </c>
      <c r="M854" s="26">
        <f t="shared" si="137"/>
        <v>0.11476327868914837</v>
      </c>
      <c r="N854" s="26">
        <f t="shared" si="138"/>
        <v>-5.3630714287895564E-2</v>
      </c>
      <c r="O854" s="26">
        <f t="shared" si="139"/>
        <v>-0.51544211834947129</v>
      </c>
    </row>
    <row r="855" spans="1:15" x14ac:dyDescent="0.25">
      <c r="A855" s="2">
        <v>44292</v>
      </c>
      <c r="B855">
        <v>219186</v>
      </c>
      <c r="C855">
        <v>344536</v>
      </c>
      <c r="D855">
        <v>776727</v>
      </c>
      <c r="F855">
        <f t="shared" si="130"/>
        <v>0.42054714502379426</v>
      </c>
      <c r="G855">
        <f t="shared" si="131"/>
        <v>1.8190611790407136</v>
      </c>
      <c r="H855">
        <f t="shared" si="132"/>
        <v>1.5718887155201517</v>
      </c>
      <c r="I855">
        <f t="shared" si="133"/>
        <v>-0.63236433580516371</v>
      </c>
      <c r="J855" s="26">
        <f t="shared" si="134"/>
        <v>1.7066565151410917E-2</v>
      </c>
      <c r="K855" s="26">
        <f t="shared" si="135"/>
        <v>7.8657398628150133E-2</v>
      </c>
      <c r="L855" s="26">
        <f t="shared" si="136"/>
        <v>0.17263754580794755</v>
      </c>
      <c r="M855" s="26">
        <f t="shared" si="137"/>
        <v>9.5612796012776169E-2</v>
      </c>
      <c r="N855" s="26">
        <f t="shared" si="138"/>
        <v>-7.5344814926046499E-2</v>
      </c>
      <c r="O855" s="26">
        <f t="shared" si="139"/>
        <v>-0.54142903727254832</v>
      </c>
    </row>
    <row r="856" spans="1:15" x14ac:dyDescent="0.25">
      <c r="A856" s="2">
        <v>44291</v>
      </c>
      <c r="B856">
        <v>218686</v>
      </c>
      <c r="C856">
        <v>344486</v>
      </c>
      <c r="D856">
        <v>772308</v>
      </c>
      <c r="F856">
        <f t="shared" si="130"/>
        <v>0.42170006289873302</v>
      </c>
      <c r="G856">
        <f t="shared" si="131"/>
        <v>1.8433278095467778</v>
      </c>
      <c r="H856">
        <f t="shared" si="132"/>
        <v>1.5752540171753107</v>
      </c>
      <c r="I856">
        <f t="shared" si="133"/>
        <v>-0.63750610615042969</v>
      </c>
      <c r="J856" s="26">
        <f t="shared" si="134"/>
        <v>1.9786407147049101E-2</v>
      </c>
      <c r="K856" s="26">
        <f t="shared" si="135"/>
        <v>8.109275424948259E-2</v>
      </c>
      <c r="L856" s="26">
        <f t="shared" si="136"/>
        <v>0.17516830538747441</v>
      </c>
      <c r="M856" s="26">
        <f t="shared" si="137"/>
        <v>7.8846301290104615E-2</v>
      </c>
      <c r="N856" s="26">
        <f t="shared" si="138"/>
        <v>-9.5144048623504451E-2</v>
      </c>
      <c r="O856" s="26">
        <f t="shared" si="139"/>
        <v>-0.56625519193809248</v>
      </c>
    </row>
    <row r="857" spans="1:15" x14ac:dyDescent="0.25">
      <c r="A857" s="2">
        <v>44287</v>
      </c>
      <c r="B857">
        <v>218686</v>
      </c>
      <c r="C857">
        <v>344486</v>
      </c>
      <c r="D857">
        <v>772308</v>
      </c>
      <c r="F857">
        <f t="shared" si="130"/>
        <v>0.42170006289873302</v>
      </c>
      <c r="G857">
        <f t="shared" si="131"/>
        <v>1.8600669908509271</v>
      </c>
      <c r="H857">
        <f t="shared" si="132"/>
        <v>1.5752540171753107</v>
      </c>
      <c r="I857">
        <f t="shared" si="133"/>
        <v>-0.64928686096723021</v>
      </c>
      <c r="J857" s="26">
        <f t="shared" si="134"/>
        <v>2.2798479213575307E-2</v>
      </c>
      <c r="K857" s="26">
        <f t="shared" si="135"/>
        <v>8.4417875352906457E-2</v>
      </c>
      <c r="L857" s="26">
        <f t="shared" si="136"/>
        <v>0.1776359088647925</v>
      </c>
      <c r="M857" s="26">
        <f t="shared" si="137"/>
        <v>6.3685810254151098E-2</v>
      </c>
      <c r="N857" s="26">
        <f t="shared" si="138"/>
        <v>-0.11420734888715223</v>
      </c>
      <c r="O857" s="26">
        <f t="shared" si="139"/>
        <v>-0.59040912089463737</v>
      </c>
    </row>
    <row r="858" spans="1:15" x14ac:dyDescent="0.25">
      <c r="A858" s="2">
        <v>44286</v>
      </c>
      <c r="B858">
        <v>217586</v>
      </c>
      <c r="C858">
        <v>343486</v>
      </c>
      <c r="D858">
        <v>771318</v>
      </c>
      <c r="F858">
        <f t="shared" si="130"/>
        <v>0.42110192961520276</v>
      </c>
      <c r="G858">
        <f t="shared" si="131"/>
        <v>1.8729983192341966</v>
      </c>
      <c r="H858">
        <f t="shared" si="132"/>
        <v>1.5786217863281644</v>
      </c>
      <c r="I858">
        <f t="shared" si="133"/>
        <v>-0.65452482496411957</v>
      </c>
      <c r="J858" s="26">
        <f t="shared" si="134"/>
        <v>2.6071005863848085E-2</v>
      </c>
      <c r="K858" s="26">
        <f t="shared" si="135"/>
        <v>8.7715311345171243E-2</v>
      </c>
      <c r="L858" s="26">
        <f t="shared" si="136"/>
        <v>0.18005365017936639</v>
      </c>
      <c r="M858" s="26">
        <f t="shared" si="137"/>
        <v>5.0743402327509068E-2</v>
      </c>
      <c r="N858" s="26">
        <f t="shared" si="138"/>
        <v>-0.13251153950462813</v>
      </c>
      <c r="O858" s="26">
        <f t="shared" si="139"/>
        <v>-0.61469516035843164</v>
      </c>
    </row>
    <row r="859" spans="1:15" x14ac:dyDescent="0.25">
      <c r="A859" s="2">
        <v>44285</v>
      </c>
      <c r="B859">
        <v>217386</v>
      </c>
      <c r="C859">
        <v>340898</v>
      </c>
      <c r="D859">
        <v>769563</v>
      </c>
      <c r="F859">
        <f t="shared" si="130"/>
        <v>0.4204430179079367</v>
      </c>
      <c r="G859">
        <f t="shared" si="131"/>
        <v>1.8858538172849049</v>
      </c>
      <c r="H859">
        <f t="shared" si="132"/>
        <v>1.5681690633251451</v>
      </c>
      <c r="I859">
        <f t="shared" si="133"/>
        <v>-0.68580682411925353</v>
      </c>
      <c r="J859" s="26">
        <f t="shared" si="134"/>
        <v>2.95321360253053E-2</v>
      </c>
      <c r="K859" s="26">
        <f t="shared" si="135"/>
        <v>9.094194896002683E-2</v>
      </c>
      <c r="L859" s="26">
        <f t="shared" si="136"/>
        <v>0.18246167620458209</v>
      </c>
      <c r="M859" s="26">
        <f t="shared" si="137"/>
        <v>3.8634756266039849E-2</v>
      </c>
      <c r="N859" s="26">
        <f t="shared" si="138"/>
        <v>-0.15203580227614877</v>
      </c>
      <c r="O859" s="26">
        <f t="shared" si="139"/>
        <v>-0.64040023484424569</v>
      </c>
    </row>
    <row r="860" spans="1:15" x14ac:dyDescent="0.25">
      <c r="A860" s="2">
        <v>44284</v>
      </c>
      <c r="B860">
        <v>216786</v>
      </c>
      <c r="C860">
        <v>340798</v>
      </c>
      <c r="D860">
        <v>763511</v>
      </c>
      <c r="F860">
        <f t="shared" si="130"/>
        <v>0.42206200159715995</v>
      </c>
      <c r="G860">
        <f t="shared" si="131"/>
        <v>1.9155179597214642</v>
      </c>
      <c r="H860">
        <f t="shared" si="132"/>
        <v>1.5720480104803816</v>
      </c>
      <c r="I860">
        <f t="shared" si="133"/>
        <v>-0.69015166539521688</v>
      </c>
      <c r="J860" s="26">
        <f t="shared" si="134"/>
        <v>3.3130802337236753E-2</v>
      </c>
      <c r="K860" s="26">
        <f t="shared" si="135"/>
        <v>9.4424189453483076E-2</v>
      </c>
      <c r="L860" s="26">
        <f t="shared" si="136"/>
        <v>0.18497228636894059</v>
      </c>
      <c r="M860" s="26">
        <f t="shared" si="137"/>
        <v>2.5339366483843495E-2</v>
      </c>
      <c r="N860" s="26">
        <f t="shared" si="138"/>
        <v>-0.17513555171302353</v>
      </c>
      <c r="O860" s="26">
        <f t="shared" si="139"/>
        <v>-0.66615857389318611</v>
      </c>
    </row>
    <row r="861" spans="1:15" x14ac:dyDescent="0.25">
      <c r="A861" s="2">
        <v>44281</v>
      </c>
      <c r="B861">
        <v>216786</v>
      </c>
      <c r="C861">
        <v>340898</v>
      </c>
      <c r="D861">
        <v>760963</v>
      </c>
      <c r="F861">
        <f t="shared" si="130"/>
        <v>0.42292137319540407</v>
      </c>
      <c r="G861">
        <f t="shared" si="131"/>
        <v>1.9405537319587551</v>
      </c>
      <c r="H861">
        <f t="shared" si="132"/>
        <v>1.5725092948806658</v>
      </c>
      <c r="I861">
        <f t="shared" si="133"/>
        <v>-0.70093387768800297</v>
      </c>
      <c r="J861" s="26">
        <f t="shared" si="134"/>
        <v>3.6767592216344125E-2</v>
      </c>
      <c r="K861" s="26">
        <f t="shared" si="135"/>
        <v>9.7858080217709531E-2</v>
      </c>
      <c r="L861" s="26">
        <f t="shared" si="136"/>
        <v>0.18738529785650848</v>
      </c>
      <c r="M861" s="26">
        <f t="shared" si="137"/>
        <v>1.4297817260951362E-2</v>
      </c>
      <c r="N861" s="26">
        <f t="shared" si="138"/>
        <v>-0.19693555754849679</v>
      </c>
      <c r="O861" s="26">
        <f t="shared" si="139"/>
        <v>-0.69160654219258033</v>
      </c>
    </row>
    <row r="862" spans="1:15" x14ac:dyDescent="0.25">
      <c r="A862" s="2">
        <v>44280</v>
      </c>
      <c r="B862">
        <v>214030</v>
      </c>
      <c r="C862">
        <v>337897</v>
      </c>
      <c r="D862">
        <v>760370</v>
      </c>
      <c r="F862">
        <f t="shared" si="130"/>
        <v>0.42058085936339107</v>
      </c>
      <c r="G862">
        <f t="shared" si="131"/>
        <v>1.9429855256094268</v>
      </c>
      <c r="H862">
        <f t="shared" si="132"/>
        <v>1.5787366257066766</v>
      </c>
      <c r="I862">
        <f t="shared" si="133"/>
        <v>-0.70115589857309335</v>
      </c>
      <c r="J862" s="26">
        <f t="shared" si="134"/>
        <v>4.0608490189811997E-2</v>
      </c>
      <c r="K862" s="26">
        <f t="shared" si="135"/>
        <v>0.10124888879533833</v>
      </c>
      <c r="L862" s="26">
        <f t="shared" si="136"/>
        <v>0.18973609037755693</v>
      </c>
      <c r="M862" s="26">
        <f t="shared" si="137"/>
        <v>3.8602930383808687E-3</v>
      </c>
      <c r="N862" s="26">
        <f t="shared" si="138"/>
        <v>-0.21941128829092937</v>
      </c>
      <c r="O862" s="26">
        <f t="shared" si="139"/>
        <v>-0.71750973357696957</v>
      </c>
    </row>
    <row r="863" spans="1:15" x14ac:dyDescent="0.25">
      <c r="A863" s="2">
        <v>44279</v>
      </c>
      <c r="B863">
        <v>215630</v>
      </c>
      <c r="C863">
        <v>334205</v>
      </c>
      <c r="D863">
        <v>758254</v>
      </c>
      <c r="F863">
        <f t="shared" si="130"/>
        <v>0.42033454910178131</v>
      </c>
      <c r="G863">
        <f t="shared" si="131"/>
        <v>1.9608475521856803</v>
      </c>
      <c r="H863">
        <f t="shared" si="132"/>
        <v>1.5499002921671381</v>
      </c>
      <c r="I863">
        <f t="shared" si="133"/>
        <v>-0.7640149257821417</v>
      </c>
      <c r="J863" s="26">
        <f t="shared" si="134"/>
        <v>4.4504590241686015E-2</v>
      </c>
      <c r="K863" s="26">
        <f t="shared" si="135"/>
        <v>0.10460662548979149</v>
      </c>
      <c r="L863" s="26">
        <f t="shared" si="136"/>
        <v>0.19214175810085468</v>
      </c>
      <c r="M863" s="26">
        <f t="shared" si="137"/>
        <v>-4.9056259916298028E-3</v>
      </c>
      <c r="N863" s="26">
        <f t="shared" si="138"/>
        <v>-0.24182796338074497</v>
      </c>
      <c r="O863" s="26">
        <f t="shared" si="139"/>
        <v>-0.74756848722197167</v>
      </c>
    </row>
    <row r="864" spans="1:15" x14ac:dyDescent="0.25">
      <c r="A864" s="2">
        <v>44278</v>
      </c>
      <c r="B864">
        <v>215830</v>
      </c>
      <c r="C864">
        <v>329104</v>
      </c>
      <c r="D864">
        <v>755911</v>
      </c>
      <c r="F864">
        <f t="shared" si="130"/>
        <v>0.41890770998850746</v>
      </c>
      <c r="G864">
        <f t="shared" si="131"/>
        <v>1.9705349000610513</v>
      </c>
      <c r="H864">
        <f t="shared" si="132"/>
        <v>1.5248297271000324</v>
      </c>
      <c r="I864">
        <f t="shared" si="133"/>
        <v>-0.81817519091318625</v>
      </c>
      <c r="J864" s="26">
        <f t="shared" si="134"/>
        <v>4.8491018255347074E-2</v>
      </c>
      <c r="K864" s="26">
        <f t="shared" si="135"/>
        <v>0.10795595703159466</v>
      </c>
      <c r="L864" s="26">
        <f t="shared" si="136"/>
        <v>0.19453004679295591</v>
      </c>
      <c r="M864" s="26">
        <f t="shared" si="137"/>
        <v>-1.2956512868193215E-2</v>
      </c>
      <c r="N864" s="26">
        <f t="shared" si="138"/>
        <v>-0.26270397432350978</v>
      </c>
      <c r="O864" s="26">
        <f t="shared" si="139"/>
        <v>-0.77630471058265371</v>
      </c>
    </row>
    <row r="865" spans="1:15" x14ac:dyDescent="0.25">
      <c r="A865" s="2">
        <v>44277</v>
      </c>
      <c r="B865">
        <v>213355</v>
      </c>
      <c r="C865">
        <v>330204</v>
      </c>
      <c r="D865">
        <v>872059</v>
      </c>
      <c r="F865">
        <f t="shared" si="130"/>
        <v>0.38397293620171541</v>
      </c>
      <c r="G865">
        <f t="shared" si="131"/>
        <v>1.7313166470614534</v>
      </c>
      <c r="H865">
        <f t="shared" si="132"/>
        <v>1.5476740643528393</v>
      </c>
      <c r="I865">
        <f t="shared" si="133"/>
        <v>-0.78884183635695282</v>
      </c>
      <c r="J865" s="26">
        <f t="shared" si="134"/>
        <v>5.1975154668833623E-2</v>
      </c>
      <c r="K865" s="26">
        <f t="shared" si="135"/>
        <v>0.1109991741427187</v>
      </c>
      <c r="L865" s="26">
        <f t="shared" si="136"/>
        <v>0.19665035768490316</v>
      </c>
      <c r="M865" s="26">
        <f t="shared" si="137"/>
        <v>-2.4461415604128511E-2</v>
      </c>
      <c r="N865" s="26">
        <f t="shared" si="138"/>
        <v>-0.28522548880507048</v>
      </c>
      <c r="O865" s="26">
        <f t="shared" si="139"/>
        <v>-0.80749809268819073</v>
      </c>
    </row>
    <row r="866" spans="1:15" x14ac:dyDescent="0.25">
      <c r="A866" s="2">
        <v>44274</v>
      </c>
      <c r="B866">
        <v>213004</v>
      </c>
      <c r="C866">
        <v>329340</v>
      </c>
      <c r="D866">
        <v>869411</v>
      </c>
      <c r="F866">
        <f t="shared" si="130"/>
        <v>0.38416297445378272</v>
      </c>
      <c r="G866">
        <f t="shared" si="131"/>
        <v>1.7475562361306798</v>
      </c>
      <c r="H866">
        <f t="shared" si="132"/>
        <v>1.5461681470770503</v>
      </c>
      <c r="I866">
        <f t="shared" si="133"/>
        <v>-0.80204903852200893</v>
      </c>
      <c r="J866" s="26">
        <f t="shared" si="134"/>
        <v>5.7188313554320358E-2</v>
      </c>
      <c r="K866" s="26">
        <f t="shared" si="135"/>
        <v>0.11580450345656246</v>
      </c>
      <c r="L866" s="26">
        <f t="shared" si="136"/>
        <v>0.20040515781772553</v>
      </c>
      <c r="M866" s="26">
        <f t="shared" si="137"/>
        <v>-4.0122708446882704E-2</v>
      </c>
      <c r="N866" s="26">
        <f t="shared" si="138"/>
        <v>-0.3069139321804677</v>
      </c>
      <c r="O866" s="26">
        <f t="shared" si="139"/>
        <v>-0.84055278867965799</v>
      </c>
    </row>
    <row r="867" spans="1:15" x14ac:dyDescent="0.25">
      <c r="A867" s="2">
        <v>44273</v>
      </c>
      <c r="B867">
        <v>211954</v>
      </c>
      <c r="C867">
        <v>326890</v>
      </c>
      <c r="D867">
        <v>862947</v>
      </c>
      <c r="F867">
        <f t="shared" si="130"/>
        <v>0.38439681807059684</v>
      </c>
      <c r="G867">
        <f t="shared" si="131"/>
        <v>1.7645496895017179</v>
      </c>
      <c r="H867">
        <f t="shared" si="132"/>
        <v>1.5422686054521264</v>
      </c>
      <c r="I867">
        <f t="shared" si="133"/>
        <v>-0.81948171567987027</v>
      </c>
      <c r="J867" s="26">
        <f t="shared" si="134"/>
        <v>6.2214495346790744E-2</v>
      </c>
      <c r="K867" s="26">
        <f t="shared" si="135"/>
        <v>0.12068337191620376</v>
      </c>
      <c r="L867" s="26">
        <f t="shared" si="136"/>
        <v>0.20408878347680542</v>
      </c>
      <c r="M867" s="26">
        <f t="shared" si="137"/>
        <v>-5.7564882127995265E-2</v>
      </c>
      <c r="N867" s="26">
        <f t="shared" si="138"/>
        <v>-0.33433029876158837</v>
      </c>
      <c r="O867" s="26">
        <f t="shared" si="139"/>
        <v>-0.87298102361111285</v>
      </c>
    </row>
    <row r="868" spans="1:15" x14ac:dyDescent="0.25">
      <c r="A868" s="2">
        <v>44272</v>
      </c>
      <c r="B868">
        <v>210545</v>
      </c>
      <c r="C868">
        <v>321140</v>
      </c>
      <c r="D868">
        <v>855064</v>
      </c>
      <c r="F868">
        <f t="shared" si="130"/>
        <v>0.38340391808467139</v>
      </c>
      <c r="G868">
        <f t="shared" si="131"/>
        <v>1.7727516218056292</v>
      </c>
      <c r="H868">
        <f t="shared" si="132"/>
        <v>1.5252796314327104</v>
      </c>
      <c r="I868">
        <f t="shared" si="133"/>
        <v>-0.85836976208366778</v>
      </c>
      <c r="J868" s="26">
        <f t="shared" si="134"/>
        <v>6.7079045532299542E-2</v>
      </c>
      <c r="K868" s="26">
        <f t="shared" si="135"/>
        <v>0.1254829312498662</v>
      </c>
      <c r="L868" s="26">
        <f t="shared" si="136"/>
        <v>0.20767786039948499</v>
      </c>
      <c r="M868" s="26">
        <f t="shared" si="137"/>
        <v>-7.4329632911326549E-2</v>
      </c>
      <c r="N868" s="26">
        <f t="shared" si="138"/>
        <v>-0.36068281769426846</v>
      </c>
      <c r="O868" s="26">
        <f t="shared" si="139"/>
        <v>-0.90357679241968447</v>
      </c>
    </row>
    <row r="869" spans="1:15" x14ac:dyDescent="0.25">
      <c r="A869" s="2">
        <v>44271</v>
      </c>
      <c r="B869">
        <v>208795</v>
      </c>
      <c r="C869">
        <v>314940</v>
      </c>
      <c r="D869">
        <v>853837</v>
      </c>
      <c r="F869">
        <f t="shared" si="130"/>
        <v>0.38018702470723853</v>
      </c>
      <c r="G869">
        <f t="shared" si="131"/>
        <v>1.7643337455144545</v>
      </c>
      <c r="H869">
        <f t="shared" si="132"/>
        <v>1.508369453291506</v>
      </c>
      <c r="I869">
        <f t="shared" si="133"/>
        <v>-0.89043376099113458</v>
      </c>
      <c r="J869" s="26">
        <f t="shared" si="134"/>
        <v>7.1806123489230822E-2</v>
      </c>
      <c r="K869" s="26">
        <f t="shared" si="135"/>
        <v>0.13011266471633431</v>
      </c>
      <c r="L869" s="26">
        <f t="shared" si="136"/>
        <v>0.21112852013081243</v>
      </c>
      <c r="M869" s="26">
        <f t="shared" si="137"/>
        <v>-9.0937988838176498E-2</v>
      </c>
      <c r="N869" s="26">
        <f t="shared" si="138"/>
        <v>-0.38744318099673047</v>
      </c>
      <c r="O869" s="26">
        <f t="shared" si="139"/>
        <v>-0.93412996764005718</v>
      </c>
    </row>
    <row r="870" spans="1:15" x14ac:dyDescent="0.25">
      <c r="A870" s="2">
        <v>44270</v>
      </c>
      <c r="B870">
        <v>207995</v>
      </c>
      <c r="C870">
        <v>310115</v>
      </c>
      <c r="D870">
        <v>846233</v>
      </c>
      <c r="F870">
        <f t="shared" si="130"/>
        <v>0.37975054660008517</v>
      </c>
      <c r="G870">
        <f t="shared" si="131"/>
        <v>1.776830262007258</v>
      </c>
      <c r="H870">
        <f t="shared" si="132"/>
        <v>1.4909733407053054</v>
      </c>
      <c r="I870">
        <f t="shared" si="133"/>
        <v>-0.92327060379918546</v>
      </c>
      <c r="J870" s="26">
        <f t="shared" si="134"/>
        <v>7.6396710806475587E-2</v>
      </c>
      <c r="K870" s="26">
        <f t="shared" si="135"/>
        <v>0.13468739436473992</v>
      </c>
      <c r="L870" s="26">
        <f t="shared" si="136"/>
        <v>0.21453035494699971</v>
      </c>
      <c r="M870" s="26">
        <f t="shared" si="137"/>
        <v>-0.1055687517684516</v>
      </c>
      <c r="N870" s="26">
        <f t="shared" si="138"/>
        <v>-0.41218352073924214</v>
      </c>
      <c r="O870" s="26">
        <f t="shared" si="139"/>
        <v>-0.96241679180127049</v>
      </c>
    </row>
    <row r="871" spans="1:15" x14ac:dyDescent="0.25">
      <c r="A871" s="2">
        <v>44267</v>
      </c>
      <c r="B871">
        <v>302670</v>
      </c>
      <c r="C871">
        <v>359635</v>
      </c>
      <c r="D871">
        <v>840022</v>
      </c>
      <c r="F871">
        <f t="shared" si="130"/>
        <v>0.44085275708950183</v>
      </c>
      <c r="G871">
        <f t="shared" si="131"/>
        <v>2.2600057724243428</v>
      </c>
      <c r="H871">
        <f t="shared" si="132"/>
        <v>1.1882082796444973</v>
      </c>
      <c r="I871">
        <f t="shared" si="133"/>
        <v>-1.3889147072178931</v>
      </c>
      <c r="J871" s="26">
        <f t="shared" si="134"/>
        <v>8.0382890464964107E-2</v>
      </c>
      <c r="K871" s="26">
        <f t="shared" si="135"/>
        <v>0.13865516917513748</v>
      </c>
      <c r="L871" s="26">
        <f t="shared" si="136"/>
        <v>0.21736474814845638</v>
      </c>
      <c r="M871" s="26">
        <f t="shared" si="137"/>
        <v>-0.1145164901044653</v>
      </c>
      <c r="N871" s="26">
        <f t="shared" si="138"/>
        <v>-0.42931926614083826</v>
      </c>
      <c r="O871" s="26">
        <f t="shared" si="139"/>
        <v>-0.9860899270444079</v>
      </c>
    </row>
    <row r="872" spans="1:15" x14ac:dyDescent="0.25">
      <c r="A872" s="2">
        <v>44266</v>
      </c>
      <c r="B872">
        <v>290667</v>
      </c>
      <c r="C872">
        <v>358760</v>
      </c>
      <c r="D872">
        <v>839887</v>
      </c>
      <c r="F872">
        <f t="shared" si="130"/>
        <v>0.4360578091658307</v>
      </c>
      <c r="G872">
        <f t="shared" si="131"/>
        <v>2.2535976330444689</v>
      </c>
      <c r="H872">
        <f t="shared" si="132"/>
        <v>1.2342646396047712</v>
      </c>
      <c r="I872">
        <f t="shared" si="133"/>
        <v>-1.3232578417492111</v>
      </c>
      <c r="J872" s="26">
        <f t="shared" si="134"/>
        <v>8.1208823764938765E-2</v>
      </c>
      <c r="K872" s="26">
        <f t="shared" si="135"/>
        <v>0.13949849788557278</v>
      </c>
      <c r="L872" s="26">
        <f t="shared" si="136"/>
        <v>0.21707539297021755</v>
      </c>
      <c r="M872" s="26">
        <f t="shared" si="137"/>
        <v>-0.11284534492012832</v>
      </c>
      <c r="N872" s="26">
        <f t="shared" si="138"/>
        <v>-0.43237174941720236</v>
      </c>
      <c r="O872" s="26">
        <f t="shared" si="139"/>
        <v>-0.99733581190195419</v>
      </c>
    </row>
    <row r="873" spans="1:15" x14ac:dyDescent="0.25">
      <c r="A873" s="2">
        <v>44265</v>
      </c>
      <c r="B873">
        <v>280517</v>
      </c>
      <c r="C873">
        <v>353140</v>
      </c>
      <c r="D873">
        <v>839521</v>
      </c>
      <c r="F873">
        <f t="shared" si="130"/>
        <v>0.43012928512372572</v>
      </c>
      <c r="G873">
        <f t="shared" si="131"/>
        <v>2.2379303529905563</v>
      </c>
      <c r="H873">
        <f t="shared" si="132"/>
        <v>1.2588898355536384</v>
      </c>
      <c r="I873">
        <f t="shared" si="133"/>
        <v>-1.2951878760697824</v>
      </c>
      <c r="J873" s="26">
        <f t="shared" si="134"/>
        <v>8.1610061391988065E-2</v>
      </c>
      <c r="K873" s="26">
        <f t="shared" si="135"/>
        <v>0.14003603385924507</v>
      </c>
      <c r="L873" s="26">
        <f t="shared" si="136"/>
        <v>0.21657568670102592</v>
      </c>
      <c r="M873" s="26">
        <f t="shared" si="137"/>
        <v>-0.11501909705263835</v>
      </c>
      <c r="N873" s="26">
        <f t="shared" si="138"/>
        <v>-0.43702137244311534</v>
      </c>
      <c r="O873" s="26">
        <f t="shared" si="139"/>
        <v>-1.0078667302813835</v>
      </c>
    </row>
    <row r="874" spans="1:15" x14ac:dyDescent="0.25">
      <c r="A874" s="2">
        <v>44264</v>
      </c>
      <c r="B874">
        <v>272892</v>
      </c>
      <c r="C874">
        <v>348571</v>
      </c>
      <c r="D874">
        <v>845403</v>
      </c>
      <c r="F874">
        <f t="shared" si="130"/>
        <v>0.42366719250429147</v>
      </c>
      <c r="G874">
        <f t="shared" si="131"/>
        <v>2.2172215585673736</v>
      </c>
      <c r="H874">
        <f t="shared" si="132"/>
        <v>1.2773221640795627</v>
      </c>
      <c r="I874">
        <f t="shared" si="133"/>
        <v>-1.2806300445464076</v>
      </c>
      <c r="J874" s="26">
        <f t="shared" si="134"/>
        <v>8.2051130331363908E-2</v>
      </c>
      <c r="K874" s="26">
        <f t="shared" si="135"/>
        <v>0.1406604785752868</v>
      </c>
      <c r="L874" s="26">
        <f t="shared" si="136"/>
        <v>0.21620604109757957</v>
      </c>
      <c r="M874" s="26">
        <f t="shared" si="137"/>
        <v>-0.11733328012310529</v>
      </c>
      <c r="N874" s="26">
        <f t="shared" si="138"/>
        <v>-0.4417587680578785</v>
      </c>
      <c r="O874" s="26">
        <f t="shared" si="139"/>
        <v>-1.0225660929170854</v>
      </c>
    </row>
    <row r="875" spans="1:15" x14ac:dyDescent="0.25">
      <c r="A875" s="2">
        <v>44263</v>
      </c>
      <c r="B875">
        <v>257292</v>
      </c>
      <c r="C875">
        <v>346371</v>
      </c>
      <c r="D875">
        <v>844405</v>
      </c>
      <c r="F875">
        <f t="shared" si="130"/>
        <v>0.41687476002508167</v>
      </c>
      <c r="G875">
        <f t="shared" si="131"/>
        <v>2.192834379368068</v>
      </c>
      <c r="H875">
        <f t="shared" si="132"/>
        <v>1.346217527167576</v>
      </c>
      <c r="I875">
        <f t="shared" si="133"/>
        <v>-1.1937268394644238</v>
      </c>
      <c r="J875" s="26">
        <f t="shared" si="134"/>
        <v>8.2144286732024674E-2</v>
      </c>
      <c r="K875" s="26">
        <f t="shared" si="135"/>
        <v>0.14111076925782756</v>
      </c>
      <c r="L875" s="26">
        <f t="shared" si="136"/>
        <v>0.21579182578465003</v>
      </c>
      <c r="M875" s="26">
        <f t="shared" si="137"/>
        <v>-0.11460093247634084</v>
      </c>
      <c r="N875" s="26">
        <f t="shared" si="138"/>
        <v>-0.44342500026852494</v>
      </c>
      <c r="O875" s="26">
        <f t="shared" si="139"/>
        <v>-1.0415022753818037</v>
      </c>
    </row>
    <row r="876" spans="1:15" x14ac:dyDescent="0.25">
      <c r="A876" s="2">
        <v>44260</v>
      </c>
      <c r="B876">
        <v>252567</v>
      </c>
      <c r="C876">
        <v>344801</v>
      </c>
      <c r="D876">
        <v>841893</v>
      </c>
      <c r="F876">
        <f t="shared" si="130"/>
        <v>0.41505189121361585</v>
      </c>
      <c r="G876">
        <f t="shared" si="131"/>
        <v>2.2069588230132231</v>
      </c>
      <c r="H876">
        <f t="shared" si="132"/>
        <v>1.3651862674062725</v>
      </c>
      <c r="I876">
        <f t="shared" si="133"/>
        <v>-1.1799546718611502</v>
      </c>
      <c r="J876" s="26">
        <f t="shared" si="134"/>
        <v>8.2286215355756198E-2</v>
      </c>
      <c r="K876" s="26">
        <f t="shared" si="135"/>
        <v>0.14169324984705517</v>
      </c>
      <c r="L876" s="26">
        <f t="shared" si="136"/>
        <v>0.21547814268671073</v>
      </c>
      <c r="M876" s="26">
        <f t="shared" si="137"/>
        <v>-0.11925157976609801</v>
      </c>
      <c r="N876" s="26">
        <f t="shared" si="138"/>
        <v>-0.44989793742276918</v>
      </c>
      <c r="O876" s="26">
        <f t="shared" si="139"/>
        <v>-1.0645591795916916</v>
      </c>
    </row>
    <row r="877" spans="1:15" x14ac:dyDescent="0.25">
      <c r="A877" s="2">
        <v>44259</v>
      </c>
      <c r="B877">
        <v>250617</v>
      </c>
      <c r="C877">
        <v>346001</v>
      </c>
      <c r="D877">
        <v>841574</v>
      </c>
      <c r="F877">
        <f t="shared" si="130"/>
        <v>0.41483890885222557</v>
      </c>
      <c r="G877">
        <f t="shared" si="131"/>
        <v>2.2345650634248173</v>
      </c>
      <c r="H877">
        <f t="shared" si="132"/>
        <v>1.3805966873755571</v>
      </c>
      <c r="I877">
        <f t="shared" si="133"/>
        <v>-1.1677997845786197</v>
      </c>
      <c r="J877" s="26">
        <f t="shared" si="134"/>
        <v>8.2761982914009879E-2</v>
      </c>
      <c r="K877" s="26">
        <f t="shared" si="135"/>
        <v>0.1423421664237961</v>
      </c>
      <c r="L877" s="26">
        <f t="shared" si="136"/>
        <v>0.21525156201000986</v>
      </c>
      <c r="M877" s="26">
        <f t="shared" si="137"/>
        <v>-0.12804710506970185</v>
      </c>
      <c r="N877" s="26">
        <f t="shared" si="138"/>
        <v>-0.4576790300632736</v>
      </c>
      <c r="O877" s="26">
        <f t="shared" si="139"/>
        <v>-1.0918340638235209</v>
      </c>
    </row>
    <row r="878" spans="1:15" x14ac:dyDescent="0.25">
      <c r="A878" s="2">
        <v>44258</v>
      </c>
      <c r="B878">
        <v>246392</v>
      </c>
      <c r="C878">
        <v>346276</v>
      </c>
      <c r="D878">
        <v>841445</v>
      </c>
      <c r="F878">
        <f t="shared" si="130"/>
        <v>0.41326450565610939</v>
      </c>
      <c r="G878">
        <f t="shared" si="131"/>
        <v>2.2522193557873673</v>
      </c>
      <c r="H878">
        <f t="shared" si="132"/>
        <v>1.4053865385239781</v>
      </c>
      <c r="I878">
        <f t="shared" si="133"/>
        <v>-1.1432751795991711</v>
      </c>
      <c r="J878" s="26">
        <f t="shared" si="134"/>
        <v>8.2629985601232636E-2</v>
      </c>
      <c r="K878" s="26">
        <f t="shared" si="135"/>
        <v>0.14255446399685209</v>
      </c>
      <c r="L878" s="26">
        <f t="shared" si="136"/>
        <v>0.2146137344704068</v>
      </c>
      <c r="M878" s="26">
        <f t="shared" si="137"/>
        <v>-0.14101162723289873</v>
      </c>
      <c r="N878" s="26">
        <f t="shared" si="138"/>
        <v>-0.46764811895361302</v>
      </c>
      <c r="O878" s="26">
        <f t="shared" si="139"/>
        <v>-1.1201518989124519</v>
      </c>
    </row>
    <row r="879" spans="1:15" x14ac:dyDescent="0.25">
      <c r="A879" s="2">
        <v>44257</v>
      </c>
      <c r="B879">
        <v>246017</v>
      </c>
      <c r="C879">
        <v>342101</v>
      </c>
      <c r="D879">
        <v>839491</v>
      </c>
      <c r="F879">
        <f t="shared" si="130"/>
        <v>0.41196013754466382</v>
      </c>
      <c r="G879">
        <f t="shared" si="131"/>
        <v>2.2727688240429322</v>
      </c>
      <c r="H879">
        <f t="shared" si="132"/>
        <v>1.3905583760471838</v>
      </c>
      <c r="I879">
        <f t="shared" si="133"/>
        <v>-1.1776434744988826</v>
      </c>
      <c r="J879" s="26">
        <f t="shared" si="134"/>
        <v>8.1889767973915784E-2</v>
      </c>
      <c r="K879" s="26">
        <f t="shared" si="135"/>
        <v>0.142297273003722</v>
      </c>
      <c r="L879" s="26">
        <f t="shared" si="136"/>
        <v>0.21358461111400123</v>
      </c>
      <c r="M879" s="26">
        <f t="shared" si="137"/>
        <v>-0.1552996148388941</v>
      </c>
      <c r="N879" s="26">
        <f t="shared" si="138"/>
        <v>-0.47769922619330352</v>
      </c>
      <c r="O879" s="26">
        <f t="shared" si="139"/>
        <v>-1.1507102763387766</v>
      </c>
    </row>
    <row r="880" spans="1:15" x14ac:dyDescent="0.25">
      <c r="A880" s="2">
        <v>44256</v>
      </c>
      <c r="B880">
        <v>246767</v>
      </c>
      <c r="C880">
        <v>339776</v>
      </c>
      <c r="D880">
        <v>834404</v>
      </c>
      <c r="F880">
        <f t="shared" si="130"/>
        <v>0.41278316503008206</v>
      </c>
      <c r="G880">
        <f t="shared" si="131"/>
        <v>2.3117772894623334</v>
      </c>
      <c r="H880">
        <f t="shared" si="132"/>
        <v>1.3769102027418576</v>
      </c>
      <c r="I880">
        <f t="shared" si="133"/>
        <v>-1.2030566529613274</v>
      </c>
      <c r="J880" s="26">
        <f t="shared" si="134"/>
        <v>8.0706016014731818E-2</v>
      </c>
      <c r="K880" s="26">
        <f t="shared" si="135"/>
        <v>0.1417038366293234</v>
      </c>
      <c r="L880" s="26">
        <f t="shared" si="136"/>
        <v>0.21230794113935986</v>
      </c>
      <c r="M880" s="26">
        <f t="shared" si="137"/>
        <v>-0.17265287072815072</v>
      </c>
      <c r="N880" s="26">
        <f t="shared" si="138"/>
        <v>-0.49027371044389945</v>
      </c>
      <c r="O880" s="26">
        <f t="shared" si="139"/>
        <v>-1.1842828677885402</v>
      </c>
    </row>
    <row r="881" spans="1:15" x14ac:dyDescent="0.25">
      <c r="A881" s="2">
        <v>44253</v>
      </c>
      <c r="B881">
        <v>244917</v>
      </c>
      <c r="C881">
        <v>339376</v>
      </c>
      <c r="D881">
        <v>832569</v>
      </c>
      <c r="F881">
        <f t="shared" si="130"/>
        <v>0.41238525699750578</v>
      </c>
      <c r="G881">
        <f t="shared" si="131"/>
        <v>2.3423112820532124</v>
      </c>
      <c r="H881">
        <f t="shared" si="132"/>
        <v>1.3856775969001744</v>
      </c>
      <c r="I881">
        <f t="shared" si="133"/>
        <v>-1.1805956625495522</v>
      </c>
      <c r="J881" s="26">
        <f t="shared" si="134"/>
        <v>7.9450032538532334E-2</v>
      </c>
      <c r="K881" s="26">
        <f t="shared" si="135"/>
        <v>0.14103398383734084</v>
      </c>
      <c r="L881" s="26">
        <f t="shared" si="136"/>
        <v>0.21096153320245414</v>
      </c>
      <c r="M881" s="26">
        <f t="shared" si="137"/>
        <v>-0.18840173099142765</v>
      </c>
      <c r="N881" s="26">
        <f t="shared" si="138"/>
        <v>-0.5021476060588308</v>
      </c>
      <c r="O881" s="26">
        <f t="shared" si="139"/>
        <v>-1.2161479669010826</v>
      </c>
    </row>
    <row r="882" spans="1:15" x14ac:dyDescent="0.25">
      <c r="A882" s="2">
        <v>44252</v>
      </c>
      <c r="B882">
        <v>243917</v>
      </c>
      <c r="C882">
        <v>337226</v>
      </c>
      <c r="D882">
        <v>830030</v>
      </c>
      <c r="F882">
        <f t="shared" si="130"/>
        <v>0.41181556053014051</v>
      </c>
      <c r="G882">
        <f t="shared" si="131"/>
        <v>2.3727542517854592</v>
      </c>
      <c r="H882">
        <f t="shared" si="132"/>
        <v>1.3825440621194915</v>
      </c>
      <c r="I882">
        <f t="shared" si="133"/>
        <v>-1.1730164882255774</v>
      </c>
      <c r="J882" s="26">
        <f t="shared" si="134"/>
        <v>7.7916737511768752E-2</v>
      </c>
      <c r="K882" s="26">
        <f t="shared" si="135"/>
        <v>0.14017759782768921</v>
      </c>
      <c r="L882" s="26">
        <f t="shared" si="136"/>
        <v>0.20945382242760696</v>
      </c>
      <c r="M882" s="26">
        <f t="shared" si="137"/>
        <v>-0.20777521103214758</v>
      </c>
      <c r="N882" s="26">
        <f t="shared" si="138"/>
        <v>-0.51624441373865682</v>
      </c>
      <c r="O882" s="26">
        <f t="shared" si="139"/>
        <v>-1.2500314174359328</v>
      </c>
    </row>
    <row r="883" spans="1:15" x14ac:dyDescent="0.25">
      <c r="A883" s="2">
        <v>44251</v>
      </c>
      <c r="B883">
        <v>240867</v>
      </c>
      <c r="C883">
        <v>334226</v>
      </c>
      <c r="D883">
        <v>829281</v>
      </c>
      <c r="F883">
        <f t="shared" si="130"/>
        <v>0.40950131517672644</v>
      </c>
      <c r="G883">
        <f t="shared" si="131"/>
        <v>2.3896630710197275</v>
      </c>
      <c r="H883">
        <f t="shared" si="132"/>
        <v>1.3875956440691335</v>
      </c>
      <c r="I883">
        <f t="shared" si="133"/>
        <v>-1.1491030108405225</v>
      </c>
      <c r="J883" s="26">
        <f t="shared" si="134"/>
        <v>7.590001519079026E-2</v>
      </c>
      <c r="K883" s="26">
        <f t="shared" si="135"/>
        <v>0.13895193952408164</v>
      </c>
      <c r="L883" s="26">
        <f t="shared" si="136"/>
        <v>0.20761703549843133</v>
      </c>
      <c r="M883" s="26">
        <f t="shared" si="137"/>
        <v>-0.22949356239206997</v>
      </c>
      <c r="N883" s="26">
        <f t="shared" si="138"/>
        <v>-0.53084056195655083</v>
      </c>
      <c r="O883" s="26">
        <f t="shared" si="139"/>
        <v>-1.2848618702259655</v>
      </c>
    </row>
    <row r="884" spans="1:15" x14ac:dyDescent="0.25">
      <c r="A884" s="2">
        <v>44250</v>
      </c>
      <c r="B884">
        <v>239517</v>
      </c>
      <c r="C884">
        <v>332151</v>
      </c>
      <c r="D884">
        <v>828079</v>
      </c>
      <c r="F884">
        <f t="shared" si="130"/>
        <v>0.40840809089071095</v>
      </c>
      <c r="G884">
        <f t="shared" si="131"/>
        <v>2.417808410802464</v>
      </c>
      <c r="H884">
        <f t="shared" si="132"/>
        <v>1.3867533410989616</v>
      </c>
      <c r="I884">
        <f t="shared" si="133"/>
        <v>-1.1377252811224332</v>
      </c>
      <c r="J884" s="26">
        <f t="shared" si="134"/>
        <v>7.3658135577047923E-2</v>
      </c>
      <c r="K884" s="26">
        <f t="shared" si="135"/>
        <v>0.13758843043955041</v>
      </c>
      <c r="L884" s="26">
        <f t="shared" si="136"/>
        <v>0.20569504951510623</v>
      </c>
      <c r="M884" s="26">
        <f t="shared" si="137"/>
        <v>-0.25439928861065941</v>
      </c>
      <c r="N884" s="26">
        <f t="shared" si="138"/>
        <v>-0.54772194405106656</v>
      </c>
      <c r="O884" s="26">
        <f t="shared" si="139"/>
        <v>-1.3216962691349834</v>
      </c>
    </row>
    <row r="885" spans="1:15" x14ac:dyDescent="0.25">
      <c r="A885" s="2">
        <v>44249</v>
      </c>
      <c r="B885">
        <v>239267</v>
      </c>
      <c r="C885">
        <v>320201</v>
      </c>
      <c r="D885">
        <v>831252</v>
      </c>
      <c r="F885">
        <f t="shared" si="130"/>
        <v>0.40228658536585366</v>
      </c>
      <c r="G885">
        <f t="shared" si="131"/>
        <v>2.4032763970852895</v>
      </c>
      <c r="H885">
        <f t="shared" si="132"/>
        <v>1.3382580966033761</v>
      </c>
      <c r="I885">
        <f t="shared" si="133"/>
        <v>-1.1789980121171246</v>
      </c>
      <c r="J885" s="26">
        <f t="shared" si="134"/>
        <v>7.109908118310998E-2</v>
      </c>
      <c r="K885" s="26">
        <f t="shared" si="135"/>
        <v>0.13603003416235238</v>
      </c>
      <c r="L885" s="26">
        <f t="shared" si="136"/>
        <v>0.20360716326627751</v>
      </c>
      <c r="M885" s="26">
        <f t="shared" si="137"/>
        <v>-0.27810909065192657</v>
      </c>
      <c r="N885" s="26">
        <f t="shared" si="138"/>
        <v>-0.56383440553491138</v>
      </c>
      <c r="O885" s="26">
        <f t="shared" si="139"/>
        <v>-1.3578052524291184</v>
      </c>
    </row>
    <row r="886" spans="1:15" x14ac:dyDescent="0.25">
      <c r="A886" s="2">
        <v>44246</v>
      </c>
      <c r="B886">
        <v>239017</v>
      </c>
      <c r="C886">
        <v>317726</v>
      </c>
      <c r="D886">
        <v>830268</v>
      </c>
      <c r="F886">
        <f t="shared" si="130"/>
        <v>0.40139768177757784</v>
      </c>
      <c r="G886">
        <f t="shared" si="131"/>
        <v>2.4339649784426816</v>
      </c>
      <c r="H886">
        <f t="shared" si="132"/>
        <v>1.3293029366112035</v>
      </c>
      <c r="I886">
        <f t="shared" si="133"/>
        <v>-1.1774938835195703</v>
      </c>
      <c r="J886" s="26">
        <f t="shared" si="134"/>
        <v>6.8805250106403371E-2</v>
      </c>
      <c r="K886" s="26">
        <f t="shared" si="135"/>
        <v>0.13476864255648802</v>
      </c>
      <c r="L886" s="26">
        <f t="shared" si="136"/>
        <v>0.20179444164535576</v>
      </c>
      <c r="M886" s="26">
        <f t="shared" si="137"/>
        <v>-0.29943056943361368</v>
      </c>
      <c r="N886" s="26">
        <f t="shared" si="138"/>
        <v>-0.57761805151569878</v>
      </c>
      <c r="O886" s="26">
        <f t="shared" si="139"/>
        <v>-1.3915702435401731</v>
      </c>
    </row>
    <row r="887" spans="1:15" x14ac:dyDescent="0.25">
      <c r="A887" s="2">
        <v>44245</v>
      </c>
      <c r="B887">
        <v>237792</v>
      </c>
      <c r="C887">
        <v>313550</v>
      </c>
      <c r="D887">
        <v>827440</v>
      </c>
      <c r="F887">
        <f t="shared" si="130"/>
        <v>0.39987612254874227</v>
      </c>
      <c r="G887">
        <f t="shared" si="131"/>
        <v>2.4604586030306912</v>
      </c>
      <c r="H887">
        <f t="shared" si="132"/>
        <v>1.3185893554030412</v>
      </c>
      <c r="I887">
        <f t="shared" si="133"/>
        <v>-1.1824934553293867</v>
      </c>
      <c r="J887" s="26">
        <f t="shared" si="134"/>
        <v>6.6256804632769895E-2</v>
      </c>
      <c r="K887" s="26">
        <f t="shared" si="135"/>
        <v>0.13345821737407354</v>
      </c>
      <c r="L887" s="26">
        <f t="shared" si="136"/>
        <v>0.19984581424199063</v>
      </c>
      <c r="M887" s="26">
        <f t="shared" si="137"/>
        <v>-0.3152516338198359</v>
      </c>
      <c r="N887" s="26">
        <f t="shared" si="138"/>
        <v>-0.5895703192148074</v>
      </c>
      <c r="O887" s="26">
        <f t="shared" si="139"/>
        <v>-1.4222813405214649</v>
      </c>
    </row>
    <row r="888" spans="1:15" x14ac:dyDescent="0.25">
      <c r="A888" s="2">
        <v>44244</v>
      </c>
      <c r="B888">
        <v>236042</v>
      </c>
      <c r="C888">
        <v>312671</v>
      </c>
      <c r="D888">
        <v>830096</v>
      </c>
      <c r="F888">
        <f t="shared" si="130"/>
        <v>0.39796157408313987</v>
      </c>
      <c r="G888">
        <f t="shared" si="131"/>
        <v>2.4846407353946636</v>
      </c>
      <c r="H888">
        <f t="shared" si="132"/>
        <v>1.3246413773819914</v>
      </c>
      <c r="I888">
        <f t="shared" si="133"/>
        <v>-1.1740416310705104</v>
      </c>
      <c r="J888" s="26">
        <f t="shared" si="134"/>
        <v>6.3888467947954608E-2</v>
      </c>
      <c r="K888" s="26">
        <f t="shared" si="135"/>
        <v>0.13233903953281037</v>
      </c>
      <c r="L888" s="26">
        <f t="shared" si="136"/>
        <v>0.19800849278618921</v>
      </c>
      <c r="M888" s="26">
        <f t="shared" si="137"/>
        <v>-0.32887975411261183</v>
      </c>
      <c r="N888" s="26">
        <f t="shared" si="138"/>
        <v>-0.60325445871207251</v>
      </c>
      <c r="O888" s="26">
        <f t="shared" si="139"/>
        <v>-1.4514953509006379</v>
      </c>
    </row>
    <row r="889" spans="1:15" x14ac:dyDescent="0.25">
      <c r="A889" s="2">
        <v>44243</v>
      </c>
      <c r="B889">
        <v>234004</v>
      </c>
      <c r="C889">
        <v>308235</v>
      </c>
      <c r="D889">
        <v>832412</v>
      </c>
      <c r="F889">
        <f t="shared" si="130"/>
        <v>0.39445575640653519</v>
      </c>
      <c r="G889">
        <f t="shared" si="131"/>
        <v>2.4953541295286694</v>
      </c>
      <c r="H889">
        <f t="shared" si="132"/>
        <v>1.3172210731440488</v>
      </c>
      <c r="I889">
        <f t="shared" si="133"/>
        <v>-1.1809311226719399</v>
      </c>
      <c r="J889" s="26">
        <f t="shared" si="134"/>
        <v>6.1595223328541227E-2</v>
      </c>
      <c r="K889" s="26">
        <f t="shared" si="135"/>
        <v>0.13131059938270218</v>
      </c>
      <c r="L889" s="26">
        <f t="shared" si="136"/>
        <v>0.19622425502237648</v>
      </c>
      <c r="M889" s="26">
        <f t="shared" si="137"/>
        <v>-0.34359249149710447</v>
      </c>
      <c r="N889" s="26">
        <f t="shared" si="138"/>
        <v>-0.61570777607416294</v>
      </c>
      <c r="O889" s="26">
        <f t="shared" si="139"/>
        <v>-1.4808971682961947</v>
      </c>
    </row>
    <row r="890" spans="1:15" x14ac:dyDescent="0.25">
      <c r="A890" s="2">
        <v>44242</v>
      </c>
      <c r="B890">
        <v>230979</v>
      </c>
      <c r="C890">
        <v>307285</v>
      </c>
      <c r="D890">
        <v>839251</v>
      </c>
      <c r="F890">
        <f t="shared" si="130"/>
        <v>0.39075000998174247</v>
      </c>
      <c r="G890">
        <f t="shared" si="131"/>
        <v>2.5045259451629835</v>
      </c>
      <c r="H890">
        <f t="shared" si="132"/>
        <v>1.3303590369687288</v>
      </c>
      <c r="I890">
        <f t="shared" si="133"/>
        <v>-1.1703419090550442</v>
      </c>
      <c r="J890" s="26">
        <f t="shared" si="134"/>
        <v>5.9298869220730688E-2</v>
      </c>
      <c r="K890" s="26">
        <f t="shared" si="135"/>
        <v>0.13026181031709747</v>
      </c>
      <c r="L890" s="26">
        <f t="shared" si="136"/>
        <v>0.1944299051866481</v>
      </c>
      <c r="M890" s="26">
        <f t="shared" si="137"/>
        <v>-0.35927071080337214</v>
      </c>
      <c r="N890" s="26">
        <f t="shared" si="138"/>
        <v>-0.62932889983495355</v>
      </c>
      <c r="O890" s="26">
        <f t="shared" si="139"/>
        <v>-1.5100097820526519</v>
      </c>
    </row>
    <row r="891" spans="1:15" x14ac:dyDescent="0.25">
      <c r="A891" s="2">
        <v>44239</v>
      </c>
      <c r="B891">
        <v>209854</v>
      </c>
      <c r="C891">
        <v>301435</v>
      </c>
      <c r="D891">
        <v>834292</v>
      </c>
      <c r="F891">
        <f t="shared" si="130"/>
        <v>0.37997638194950734</v>
      </c>
      <c r="G891">
        <f t="shared" si="131"/>
        <v>2.44741790847173</v>
      </c>
      <c r="H891">
        <f t="shared" si="132"/>
        <v>1.4364034042715412</v>
      </c>
      <c r="I891">
        <f t="shared" si="133"/>
        <v>-1.0770671268844938</v>
      </c>
      <c r="J891" s="26">
        <f t="shared" si="134"/>
        <v>5.7158552408727692E-2</v>
      </c>
      <c r="K891" s="26">
        <f t="shared" si="135"/>
        <v>0.12930190977983624</v>
      </c>
      <c r="L891" s="26">
        <f t="shared" si="136"/>
        <v>0.19273713025433714</v>
      </c>
      <c r="M891" s="26">
        <f t="shared" si="137"/>
        <v>-0.37517102407791914</v>
      </c>
      <c r="N891" s="26">
        <f t="shared" si="138"/>
        <v>-0.64362616723853328</v>
      </c>
      <c r="O891" s="26">
        <f t="shared" si="139"/>
        <v>-1.5396544642577454</v>
      </c>
    </row>
    <row r="892" spans="1:15" x14ac:dyDescent="0.25">
      <c r="A892" s="2">
        <v>44238</v>
      </c>
      <c r="B892">
        <v>208251</v>
      </c>
      <c r="C892">
        <v>292643</v>
      </c>
      <c r="D892">
        <v>830977</v>
      </c>
      <c r="F892">
        <f t="shared" si="130"/>
        <v>0.37608296899624666</v>
      </c>
      <c r="G892">
        <f t="shared" si="131"/>
        <v>2.4520595499477396</v>
      </c>
      <c r="H892">
        <f t="shared" si="132"/>
        <v>1.4052417515402087</v>
      </c>
      <c r="I892">
        <f t="shared" si="133"/>
        <v>-1.1099982745998334</v>
      </c>
      <c r="J892" s="26">
        <f t="shared" si="134"/>
        <v>5.7285828157396246E-2</v>
      </c>
      <c r="K892" s="26">
        <f t="shared" si="135"/>
        <v>0.12833360812858483</v>
      </c>
      <c r="L892" s="26">
        <f t="shared" si="136"/>
        <v>0.19108166965208817</v>
      </c>
      <c r="M892" s="26">
        <f t="shared" si="137"/>
        <v>-0.38593229778381866</v>
      </c>
      <c r="N892" s="26">
        <f t="shared" si="138"/>
        <v>-0.6558206691716455</v>
      </c>
      <c r="O892" s="26">
        <f t="shared" si="139"/>
        <v>-1.5681293509254459</v>
      </c>
    </row>
    <row r="893" spans="1:15" x14ac:dyDescent="0.25">
      <c r="A893" s="2">
        <v>44237</v>
      </c>
      <c r="B893">
        <v>203256</v>
      </c>
      <c r="C893">
        <v>287593</v>
      </c>
      <c r="D893">
        <v>843576</v>
      </c>
      <c r="F893">
        <f t="shared" si="130"/>
        <v>0.36783558461509641</v>
      </c>
      <c r="G893">
        <f t="shared" si="131"/>
        <v>2.414691968287396</v>
      </c>
      <c r="H893">
        <f t="shared" si="132"/>
        <v>1.4149299405675602</v>
      </c>
      <c r="I893">
        <f t="shared" si="133"/>
        <v>-1.1077099069921905</v>
      </c>
      <c r="J893" s="26">
        <f t="shared" si="134"/>
        <v>5.7559205463833529E-2</v>
      </c>
      <c r="K893" s="26">
        <f t="shared" si="135"/>
        <v>0.12746413877509838</v>
      </c>
      <c r="L893" s="26">
        <f t="shared" si="136"/>
        <v>0.18946878886939561</v>
      </c>
      <c r="M893" s="26">
        <f t="shared" si="137"/>
        <v>-0.39585232980491147</v>
      </c>
      <c r="N893" s="26">
        <f t="shared" si="138"/>
        <v>-0.67071837696416448</v>
      </c>
      <c r="O893" s="26">
        <f t="shared" si="139"/>
        <v>-1.5941352431630891</v>
      </c>
    </row>
    <row r="894" spans="1:15" x14ac:dyDescent="0.25">
      <c r="A894" s="2">
        <v>44236</v>
      </c>
      <c r="B894">
        <v>199956</v>
      </c>
      <c r="C894">
        <v>287481</v>
      </c>
      <c r="D894">
        <v>849629</v>
      </c>
      <c r="F894">
        <f t="shared" si="130"/>
        <v>0.36455717219643607</v>
      </c>
      <c r="G894">
        <f t="shared" si="131"/>
        <v>2.4233035536697414</v>
      </c>
      <c r="H894">
        <f t="shared" si="132"/>
        <v>1.4377212986857109</v>
      </c>
      <c r="I894">
        <f t="shared" si="133"/>
        <v>-1.0953712255940966</v>
      </c>
      <c r="J894" s="26">
        <f t="shared" si="134"/>
        <v>5.7923435761591313E-2</v>
      </c>
      <c r="K894" s="26">
        <f t="shared" si="135"/>
        <v>0.12680994692577185</v>
      </c>
      <c r="L894" s="26">
        <f t="shared" si="136"/>
        <v>0.188091134793578</v>
      </c>
      <c r="M894" s="26">
        <f t="shared" si="137"/>
        <v>-0.40132168846099847</v>
      </c>
      <c r="N894" s="26">
        <f t="shared" si="138"/>
        <v>-0.68210177447356379</v>
      </c>
      <c r="O894" s="26">
        <f t="shared" si="139"/>
        <v>-1.6175496233425064</v>
      </c>
    </row>
    <row r="895" spans="1:15" x14ac:dyDescent="0.25">
      <c r="A895" s="2">
        <v>44235</v>
      </c>
      <c r="B895">
        <v>190681</v>
      </c>
      <c r="C895">
        <v>286134</v>
      </c>
      <c r="D895">
        <v>858108</v>
      </c>
      <c r="F895">
        <f t="shared" si="130"/>
        <v>0.35718539571196239</v>
      </c>
      <c r="G895">
        <f t="shared" si="131"/>
        <v>2.3917119495367536</v>
      </c>
      <c r="H895">
        <f t="shared" si="132"/>
        <v>1.5005899906125939</v>
      </c>
      <c r="I895">
        <f t="shared" si="133"/>
        <v>-1.0504736537608212</v>
      </c>
      <c r="J895" s="26">
        <f t="shared" si="134"/>
        <v>5.8758513277424096E-2</v>
      </c>
      <c r="K895" s="26">
        <f t="shared" si="135"/>
        <v>0.12624419356060318</v>
      </c>
      <c r="L895" s="26">
        <f t="shared" si="136"/>
        <v>0.1867863437324942</v>
      </c>
      <c r="M895" s="26">
        <f t="shared" si="137"/>
        <v>-0.41407848032172589</v>
      </c>
      <c r="N895" s="26">
        <f t="shared" si="138"/>
        <v>-0.69373257494800344</v>
      </c>
      <c r="O895" s="26">
        <f t="shared" si="139"/>
        <v>-1.6406993356287189</v>
      </c>
    </row>
    <row r="896" spans="1:15" x14ac:dyDescent="0.25">
      <c r="A896" s="2">
        <v>44232</v>
      </c>
      <c r="B896">
        <v>185986</v>
      </c>
      <c r="C896">
        <v>280934</v>
      </c>
      <c r="D896">
        <v>855864</v>
      </c>
      <c r="F896">
        <f t="shared" si="130"/>
        <v>0.35298279991291093</v>
      </c>
      <c r="G896">
        <f t="shared" si="131"/>
        <v>2.3896608785246127</v>
      </c>
      <c r="H896">
        <f t="shared" si="132"/>
        <v>1.5105115438796468</v>
      </c>
      <c r="I896">
        <f t="shared" si="133"/>
        <v>-1.0511538758531871</v>
      </c>
      <c r="J896" s="26">
        <f t="shared" si="134"/>
        <v>5.9997870961445987E-2</v>
      </c>
      <c r="K896" s="26">
        <f t="shared" si="135"/>
        <v>0.12594632939244593</v>
      </c>
      <c r="L896" s="26">
        <f t="shared" si="136"/>
        <v>0.18577747263028543</v>
      </c>
      <c r="M896" s="26">
        <f t="shared" si="137"/>
        <v>-0.42727481897053043</v>
      </c>
      <c r="N896" s="26">
        <f t="shared" si="138"/>
        <v>-0.70822044739928525</v>
      </c>
      <c r="O896" s="26">
        <f t="shared" si="139"/>
        <v>-1.6667678099090717</v>
      </c>
    </row>
    <row r="897" spans="1:15" x14ac:dyDescent="0.25">
      <c r="A897" s="2">
        <v>44231</v>
      </c>
      <c r="B897">
        <v>184968</v>
      </c>
      <c r="C897">
        <v>279409</v>
      </c>
      <c r="D897">
        <v>853229</v>
      </c>
      <c r="F897">
        <f t="shared" si="130"/>
        <v>0.35243995549504176</v>
      </c>
      <c r="G897">
        <f t="shared" si="131"/>
        <v>2.4242136175636202</v>
      </c>
      <c r="H897">
        <f t="shared" si="132"/>
        <v>1.5105802084684918</v>
      </c>
      <c r="I897">
        <f t="shared" si="133"/>
        <v>-1.0606921297633836</v>
      </c>
      <c r="J897" s="26">
        <f t="shared" si="134"/>
        <v>6.1279923235237788E-2</v>
      </c>
      <c r="K897" s="26">
        <f t="shared" si="135"/>
        <v>0.12567742588381317</v>
      </c>
      <c r="L897" s="26">
        <f t="shared" si="136"/>
        <v>0.18481969589079958</v>
      </c>
      <c r="M897" s="26">
        <f t="shared" si="137"/>
        <v>-0.43204549831302197</v>
      </c>
      <c r="N897" s="26">
        <f t="shared" si="138"/>
        <v>-0.71598975630929318</v>
      </c>
      <c r="O897" s="26">
        <f t="shared" si="139"/>
        <v>-1.6873235956711057</v>
      </c>
    </row>
    <row r="898" spans="1:15" x14ac:dyDescent="0.25">
      <c r="A898" s="2">
        <v>44230</v>
      </c>
      <c r="B898">
        <v>178668</v>
      </c>
      <c r="C898">
        <v>268772</v>
      </c>
      <c r="D898">
        <v>850525</v>
      </c>
      <c r="F898">
        <f t="shared" si="130"/>
        <v>0.34472424140866664</v>
      </c>
      <c r="G898">
        <f t="shared" si="131"/>
        <v>2.3871211153549599</v>
      </c>
      <c r="H898">
        <f t="shared" si="132"/>
        <v>1.504309669330826</v>
      </c>
      <c r="I898">
        <f t="shared" si="133"/>
        <v>-1.0759733050800597</v>
      </c>
      <c r="J898" s="26">
        <f t="shared" si="134"/>
        <v>6.2009029782300995E-2</v>
      </c>
      <c r="K898" s="26">
        <f t="shared" si="135"/>
        <v>0.12503243246504256</v>
      </c>
      <c r="L898" s="26">
        <f t="shared" si="136"/>
        <v>0.18353330137502585</v>
      </c>
      <c r="M898" s="26">
        <f t="shared" si="137"/>
        <v>-0.43025692742672383</v>
      </c>
      <c r="N898" s="26">
        <f t="shared" si="138"/>
        <v>-0.71876871058981551</v>
      </c>
      <c r="O898" s="26">
        <f t="shared" si="139"/>
        <v>-1.7040308696125537</v>
      </c>
    </row>
    <row r="899" spans="1:15" x14ac:dyDescent="0.25">
      <c r="A899" s="2">
        <v>44229</v>
      </c>
      <c r="B899">
        <v>171623</v>
      </c>
      <c r="C899">
        <v>258689</v>
      </c>
      <c r="D899">
        <v>849975</v>
      </c>
      <c r="F899">
        <f t="shared" si="130"/>
        <v>0.3361058887577551</v>
      </c>
      <c r="G899">
        <f t="shared" si="131"/>
        <v>2.3382050396742997</v>
      </c>
      <c r="H899">
        <f t="shared" si="132"/>
        <v>1.5073096263321351</v>
      </c>
      <c r="I899">
        <f t="shared" si="133"/>
        <v>-1.084429717817831</v>
      </c>
      <c r="J899" s="26">
        <f t="shared" si="134"/>
        <v>6.3008894433315615E-2</v>
      </c>
      <c r="K899" s="26">
        <f t="shared" si="135"/>
        <v>0.12458450728458167</v>
      </c>
      <c r="L899" s="26">
        <f t="shared" si="136"/>
        <v>0.18247497001057722</v>
      </c>
      <c r="M899" s="26">
        <f t="shared" si="137"/>
        <v>-0.42190006331321683</v>
      </c>
      <c r="N899" s="26">
        <f t="shared" si="138"/>
        <v>-0.71744820873632253</v>
      </c>
      <c r="O899" s="26">
        <f t="shared" si="139"/>
        <v>-1.7170741623822052</v>
      </c>
    </row>
    <row r="900" spans="1:15" x14ac:dyDescent="0.25">
      <c r="A900" s="2">
        <v>44228</v>
      </c>
      <c r="B900">
        <v>169873</v>
      </c>
      <c r="C900">
        <v>247467</v>
      </c>
      <c r="D900">
        <v>846811</v>
      </c>
      <c r="F900">
        <f t="shared" ref="F900:F963" si="140">IFERROR((C900+B900)/(B900+C900+D900),"")</f>
        <v>0.33013461208352485</v>
      </c>
      <c r="G900">
        <f t="shared" ref="G900:G963" si="141">(F900-AVERAGE(F900:F1157))/_xlfn.STDEV.S(F900:F1157)</f>
        <v>2.3139641482714204</v>
      </c>
      <c r="H900">
        <f t="shared" ref="H900:H963" si="142">IFERROR(C900/B900,"")</f>
        <v>1.4567765330570486</v>
      </c>
      <c r="I900">
        <f t="shared" ref="I900:I963" si="143">IFERROR((H900-AVERAGE(H900:H1027))/_xlfn.STDEV.S(H900:H1027),"")</f>
        <v>-1.13553457795991</v>
      </c>
      <c r="J900" s="26">
        <f t="shared" ref="J900:J963" si="144">AVERAGEA(F900:F920)-AVERAGE(F921:F941)</f>
        <v>6.4215292869467644E-2</v>
      </c>
      <c r="K900" s="26">
        <f t="shared" ref="K900:K963" si="145">AVERAGEA(F900:F920)-AVERAGE(F921:F976)</f>
        <v>0.12437730769457656</v>
      </c>
      <c r="L900" s="26">
        <f t="shared" ref="L900:L963" si="146">AVERAGEA(F900:F920)-AVERAGE(F921:F1033)</f>
        <v>0.18166268103602978</v>
      </c>
      <c r="M900" s="26">
        <f t="shared" ref="M900:M963" si="147">AVERAGEA(H900:H920)-AVERAGE(H921:H941)</f>
        <v>-0.41193279084557188</v>
      </c>
      <c r="N900" s="26">
        <f t="shared" ref="N900:N963" si="148">AVERAGEA(H900:H920)-AVERAGE(H921:H976)</f>
        <v>-0.71566133944099519</v>
      </c>
      <c r="O900" s="26">
        <f t="shared" ref="O900:O963" si="149">AVERAGEA(H900:H920)-AVERAGE(H921:H1033)</f>
        <v>-1.7297519325908164</v>
      </c>
    </row>
    <row r="901" spans="1:15" x14ac:dyDescent="0.25">
      <c r="A901" s="2">
        <v>44225</v>
      </c>
      <c r="B901">
        <v>168898</v>
      </c>
      <c r="C901">
        <v>247411</v>
      </c>
      <c r="D901">
        <v>846951</v>
      </c>
      <c r="F901">
        <f t="shared" si="140"/>
        <v>0.3295513196016655</v>
      </c>
      <c r="G901">
        <f t="shared" si="141"/>
        <v>2.3451961846470741</v>
      </c>
      <c r="H901">
        <f t="shared" si="142"/>
        <v>1.464854527584696</v>
      </c>
      <c r="I901">
        <f t="shared" si="143"/>
        <v>-1.1414596919310314</v>
      </c>
      <c r="J901" s="26">
        <f t="shared" si="144"/>
        <v>6.5997955490531751E-2</v>
      </c>
      <c r="K901" s="26">
        <f t="shared" si="145"/>
        <v>0.12436864821981108</v>
      </c>
      <c r="L901" s="26">
        <f t="shared" si="146"/>
        <v>0.18106116913089926</v>
      </c>
      <c r="M901" s="26">
        <f t="shared" si="147"/>
        <v>-0.39495579865018415</v>
      </c>
      <c r="N901" s="26">
        <f t="shared" si="148"/>
        <v>-0.71278053946810127</v>
      </c>
      <c r="O901" s="26">
        <f t="shared" si="149"/>
        <v>-1.7410863499744633</v>
      </c>
    </row>
    <row r="902" spans="1:15" x14ac:dyDescent="0.25">
      <c r="A902" s="2">
        <v>44224</v>
      </c>
      <c r="B902">
        <v>168693</v>
      </c>
      <c r="C902">
        <v>241430</v>
      </c>
      <c r="D902">
        <v>846628</v>
      </c>
      <c r="F902">
        <f t="shared" si="140"/>
        <v>0.32633592493660241</v>
      </c>
      <c r="G902">
        <f t="shared" si="141"/>
        <v>2.3497568989796092</v>
      </c>
      <c r="H902">
        <f t="shared" si="142"/>
        <v>1.4311797170007055</v>
      </c>
      <c r="I902">
        <f t="shared" si="143"/>
        <v>-1.1800808364781019</v>
      </c>
      <c r="J902" s="26">
        <f t="shared" si="144"/>
        <v>6.8249275380205837E-2</v>
      </c>
      <c r="K902" s="26">
        <f t="shared" si="145"/>
        <v>0.12438107371900745</v>
      </c>
      <c r="L902" s="26">
        <f t="shared" si="146"/>
        <v>0.18046086339167691</v>
      </c>
      <c r="M902" s="26">
        <f t="shared" si="147"/>
        <v>-0.39232883664163465</v>
      </c>
      <c r="N902" s="26">
        <f t="shared" si="148"/>
        <v>-0.71070762538980414</v>
      </c>
      <c r="O902" s="26">
        <f t="shared" si="149"/>
        <v>-1.7530249919332506</v>
      </c>
    </row>
    <row r="903" spans="1:15" x14ac:dyDescent="0.25">
      <c r="A903" s="2">
        <v>44223</v>
      </c>
      <c r="B903">
        <v>165533</v>
      </c>
      <c r="C903">
        <v>233694</v>
      </c>
      <c r="D903">
        <v>848159</v>
      </c>
      <c r="F903">
        <f t="shared" si="140"/>
        <v>0.32005089042205059</v>
      </c>
      <c r="G903">
        <f t="shared" si="141"/>
        <v>2.3210589433349864</v>
      </c>
      <c r="H903">
        <f t="shared" si="142"/>
        <v>1.4117668380322956</v>
      </c>
      <c r="I903">
        <f t="shared" si="143"/>
        <v>-1.2083797868137203</v>
      </c>
      <c r="J903" s="26">
        <f t="shared" si="144"/>
        <v>7.078626194404869E-2</v>
      </c>
      <c r="K903" s="26">
        <f t="shared" si="145"/>
        <v>0.12457454028918788</v>
      </c>
      <c r="L903" s="26">
        <f t="shared" si="146"/>
        <v>0.18000095916691006</v>
      </c>
      <c r="M903" s="26">
        <f t="shared" si="147"/>
        <v>-0.38681326730098498</v>
      </c>
      <c r="N903" s="26">
        <f t="shared" si="148"/>
        <v>-0.70642037085000897</v>
      </c>
      <c r="O903" s="26">
        <f t="shared" si="149"/>
        <v>-1.7633600714832758</v>
      </c>
    </row>
    <row r="904" spans="1:15" x14ac:dyDescent="0.25">
      <c r="A904" s="2">
        <v>44222</v>
      </c>
      <c r="B904">
        <v>165058</v>
      </c>
      <c r="C904">
        <v>227869</v>
      </c>
      <c r="D904">
        <v>848142</v>
      </c>
      <c r="F904">
        <f t="shared" si="140"/>
        <v>0.31660366990070654</v>
      </c>
      <c r="G904">
        <f t="shared" si="141"/>
        <v>2.3215830593139746</v>
      </c>
      <c r="H904">
        <f t="shared" si="142"/>
        <v>1.3805389620618207</v>
      </c>
      <c r="I904">
        <f t="shared" si="143"/>
        <v>-1.2462095453345663</v>
      </c>
      <c r="J904" s="26">
        <f t="shared" si="144"/>
        <v>7.3479673208065588E-2</v>
      </c>
      <c r="K904" s="26">
        <f t="shared" si="145"/>
        <v>0.1249848979078009</v>
      </c>
      <c r="L904" s="26">
        <f t="shared" si="146"/>
        <v>0.17973547779243765</v>
      </c>
      <c r="M904" s="26">
        <f t="shared" si="147"/>
        <v>-0.38103209820594519</v>
      </c>
      <c r="N904" s="26">
        <f t="shared" si="148"/>
        <v>-0.69890389577793477</v>
      </c>
      <c r="O904" s="26">
        <f t="shared" si="149"/>
        <v>-1.7720055744160466</v>
      </c>
    </row>
    <row r="905" spans="1:15" x14ac:dyDescent="0.25">
      <c r="A905" s="2">
        <v>44221</v>
      </c>
      <c r="B905">
        <v>162758</v>
      </c>
      <c r="C905">
        <v>226669</v>
      </c>
      <c r="D905">
        <v>855677</v>
      </c>
      <c r="F905">
        <f t="shared" si="140"/>
        <v>0.31276664439275753</v>
      </c>
      <c r="G905">
        <f t="shared" si="141"/>
        <v>2.3175754204905732</v>
      </c>
      <c r="H905">
        <f t="shared" si="142"/>
        <v>1.3926750144386144</v>
      </c>
      <c r="I905">
        <f t="shared" si="143"/>
        <v>-1.2521871113513452</v>
      </c>
      <c r="J905" s="26">
        <f t="shared" si="144"/>
        <v>7.6443207147246811E-2</v>
      </c>
      <c r="K905" s="26">
        <f t="shared" si="145"/>
        <v>0.12560026987959544</v>
      </c>
      <c r="L905" s="26">
        <f t="shared" si="146"/>
        <v>0.17964160049071765</v>
      </c>
      <c r="M905" s="26">
        <f t="shared" si="147"/>
        <v>-0.37287293248185249</v>
      </c>
      <c r="N905" s="26">
        <f t="shared" si="148"/>
        <v>-0.69247205367119391</v>
      </c>
      <c r="O905" s="26">
        <f t="shared" si="149"/>
        <v>-1.7791963617585893</v>
      </c>
    </row>
    <row r="906" spans="1:15" x14ac:dyDescent="0.25">
      <c r="A906" s="2">
        <v>44218</v>
      </c>
      <c r="B906">
        <v>162758</v>
      </c>
      <c r="C906">
        <v>226769</v>
      </c>
      <c r="D906">
        <v>856965</v>
      </c>
      <c r="F906">
        <f t="shared" si="140"/>
        <v>0.31249859605998276</v>
      </c>
      <c r="G906">
        <f t="shared" si="141"/>
        <v>2.3531188434971981</v>
      </c>
      <c r="H906">
        <f t="shared" si="142"/>
        <v>1.3932894235613611</v>
      </c>
      <c r="I906">
        <f t="shared" si="143"/>
        <v>-1.26727947865456</v>
      </c>
      <c r="J906" s="26">
        <f t="shared" si="144"/>
        <v>7.9804198374701041E-2</v>
      </c>
      <c r="K906" s="26">
        <f t="shared" si="145"/>
        <v>0.12640951474710913</v>
      </c>
      <c r="L906" s="26">
        <f t="shared" si="146"/>
        <v>0.17973378625539355</v>
      </c>
      <c r="M906" s="26">
        <f t="shared" si="147"/>
        <v>-0.365737469120889</v>
      </c>
      <c r="N906" s="26">
        <f t="shared" si="148"/>
        <v>-0.68661811882049051</v>
      </c>
      <c r="O906" s="26">
        <f t="shared" si="149"/>
        <v>-1.7869650563571691</v>
      </c>
    </row>
    <row r="907" spans="1:15" x14ac:dyDescent="0.25">
      <c r="A907" s="2">
        <v>44217</v>
      </c>
      <c r="B907">
        <v>157533</v>
      </c>
      <c r="C907">
        <v>226819</v>
      </c>
      <c r="D907">
        <v>858114</v>
      </c>
      <c r="F907">
        <f t="shared" si="140"/>
        <v>0.30934609075821795</v>
      </c>
      <c r="G907">
        <f t="shared" si="141"/>
        <v>2.3577444914224275</v>
      </c>
      <c r="H907">
        <f t="shared" si="142"/>
        <v>1.4398189585674113</v>
      </c>
      <c r="I907">
        <f t="shared" si="143"/>
        <v>-1.2490666577985394</v>
      </c>
      <c r="J907" s="26">
        <f t="shared" si="144"/>
        <v>8.3286407725815165E-2</v>
      </c>
      <c r="K907" s="26">
        <f t="shared" si="145"/>
        <v>0.1272843001224839</v>
      </c>
      <c r="L907" s="26">
        <f t="shared" si="146"/>
        <v>0.17983824545791813</v>
      </c>
      <c r="M907" s="26">
        <f t="shared" si="147"/>
        <v>-0.35412235263344227</v>
      </c>
      <c r="N907" s="26">
        <f t="shared" si="148"/>
        <v>-0.68037545034040647</v>
      </c>
      <c r="O907" s="26">
        <f t="shared" si="149"/>
        <v>-1.7947873310130715</v>
      </c>
    </row>
    <row r="908" spans="1:15" x14ac:dyDescent="0.25">
      <c r="A908" s="2">
        <v>44216</v>
      </c>
      <c r="B908">
        <v>157246</v>
      </c>
      <c r="C908">
        <v>229154</v>
      </c>
      <c r="D908">
        <v>859893</v>
      </c>
      <c r="F908">
        <f t="shared" si="140"/>
        <v>0.31003945300182223</v>
      </c>
      <c r="G908">
        <f t="shared" si="141"/>
        <v>2.4065396328539266</v>
      </c>
      <c r="H908">
        <f t="shared" si="142"/>
        <v>1.457296211032395</v>
      </c>
      <c r="I908">
        <f t="shared" si="143"/>
        <v>-1.252511910351217</v>
      </c>
      <c r="J908" s="26">
        <f t="shared" si="144"/>
        <v>8.6927835376193419E-2</v>
      </c>
      <c r="K908" s="26">
        <f t="shared" si="145"/>
        <v>0.12831855026244279</v>
      </c>
      <c r="L908" s="26">
        <f t="shared" si="146"/>
        <v>0.18008798397830919</v>
      </c>
      <c r="M908" s="26">
        <f t="shared" si="147"/>
        <v>-0.3461103173581237</v>
      </c>
      <c r="N908" s="26">
        <f t="shared" si="148"/>
        <v>-0.67721600836669005</v>
      </c>
      <c r="O908" s="26">
        <f t="shared" si="149"/>
        <v>-1.8055013938058484</v>
      </c>
    </row>
    <row r="909" spans="1:15" x14ac:dyDescent="0.25">
      <c r="A909" s="2">
        <v>44215</v>
      </c>
      <c r="B909">
        <v>156746</v>
      </c>
      <c r="C909">
        <v>228704</v>
      </c>
      <c r="D909">
        <v>860466</v>
      </c>
      <c r="F909">
        <f t="shared" si="140"/>
        <v>0.30937077620000064</v>
      </c>
      <c r="G909">
        <f t="shared" si="141"/>
        <v>2.4421876563284219</v>
      </c>
      <c r="H909">
        <f t="shared" si="142"/>
        <v>1.4590739157618058</v>
      </c>
      <c r="I909">
        <f t="shared" si="143"/>
        <v>-1.2678859868505494</v>
      </c>
      <c r="J909" s="26">
        <f t="shared" si="144"/>
        <v>9.0504357013252046E-2</v>
      </c>
      <c r="K909" s="26">
        <f t="shared" si="145"/>
        <v>0.12928502430271047</v>
      </c>
      <c r="L909" s="26">
        <f t="shared" si="146"/>
        <v>0.18025326528863583</v>
      </c>
      <c r="M909" s="26">
        <f t="shared" si="147"/>
        <v>-0.34005357355861432</v>
      </c>
      <c r="N909" s="26">
        <f t="shared" si="148"/>
        <v>-0.67589327712237623</v>
      </c>
      <c r="O909" s="26">
        <f t="shared" si="149"/>
        <v>-1.8170693759686174</v>
      </c>
    </row>
    <row r="910" spans="1:15" x14ac:dyDescent="0.25">
      <c r="A910" s="2">
        <v>44214</v>
      </c>
      <c r="B910">
        <v>154296</v>
      </c>
      <c r="C910">
        <v>224954</v>
      </c>
      <c r="D910">
        <v>859162</v>
      </c>
      <c r="F910">
        <f t="shared" si="140"/>
        <v>0.30623895763283948</v>
      </c>
      <c r="G910">
        <f t="shared" si="141"/>
        <v>2.4507383052016527</v>
      </c>
      <c r="H910">
        <f t="shared" si="142"/>
        <v>1.4579379893192306</v>
      </c>
      <c r="I910">
        <f t="shared" si="143"/>
        <v>-1.2859185507889186</v>
      </c>
      <c r="J910" s="26">
        <f t="shared" si="144"/>
        <v>9.4019648842090853E-2</v>
      </c>
      <c r="K910" s="26">
        <f t="shared" si="145"/>
        <v>0.13023691533919021</v>
      </c>
      <c r="L910" s="26">
        <f t="shared" si="146"/>
        <v>0.18039167478309923</v>
      </c>
      <c r="M910" s="26">
        <f t="shared" si="147"/>
        <v>-0.3325967117725861</v>
      </c>
      <c r="N910" s="26">
        <f t="shared" si="148"/>
        <v>-0.67353302709094076</v>
      </c>
      <c r="O910" s="26">
        <f t="shared" si="149"/>
        <v>-1.8275768078642269</v>
      </c>
    </row>
    <row r="911" spans="1:15" x14ac:dyDescent="0.25">
      <c r="A911" s="2">
        <v>44211</v>
      </c>
      <c r="B911">
        <v>153346</v>
      </c>
      <c r="C911">
        <v>223823</v>
      </c>
      <c r="D911">
        <v>859813</v>
      </c>
      <c r="F911">
        <f t="shared" si="140"/>
        <v>0.30491066159410568</v>
      </c>
      <c r="G911">
        <f t="shared" si="141"/>
        <v>2.4810238324752665</v>
      </c>
      <c r="H911">
        <f t="shared" si="142"/>
        <v>1.4595946421817327</v>
      </c>
      <c r="I911">
        <f t="shared" si="143"/>
        <v>-1.3024891530979328</v>
      </c>
      <c r="J911" s="26">
        <f t="shared" si="144"/>
        <v>9.7651406270492874E-2</v>
      </c>
      <c r="K911" s="26">
        <f t="shared" si="145"/>
        <v>0.13118425270772266</v>
      </c>
      <c r="L911" s="26">
        <f t="shared" si="146"/>
        <v>0.18052671284850613</v>
      </c>
      <c r="M911" s="26">
        <f t="shared" si="147"/>
        <v>-0.32846606271941181</v>
      </c>
      <c r="N911" s="26">
        <f t="shared" si="148"/>
        <v>-0.67027182753055148</v>
      </c>
      <c r="O911" s="26">
        <f t="shared" si="149"/>
        <v>-1.8365945143923008</v>
      </c>
    </row>
    <row r="912" spans="1:15" x14ac:dyDescent="0.25">
      <c r="A912" s="2">
        <v>44210</v>
      </c>
      <c r="B912">
        <v>140781</v>
      </c>
      <c r="C912">
        <v>220989</v>
      </c>
      <c r="D912">
        <v>858396</v>
      </c>
      <c r="F912">
        <f t="shared" si="140"/>
        <v>0.29649244447067036</v>
      </c>
      <c r="G912">
        <f t="shared" si="141"/>
        <v>2.4270549320439381</v>
      </c>
      <c r="H912">
        <f t="shared" si="142"/>
        <v>1.5697359728940694</v>
      </c>
      <c r="I912">
        <f t="shared" si="143"/>
        <v>-1.2410208827860376</v>
      </c>
      <c r="J912" s="26">
        <f t="shared" si="144"/>
        <v>0.10117473034866489</v>
      </c>
      <c r="K912" s="26">
        <f t="shared" si="145"/>
        <v>0.1320876041269595</v>
      </c>
      <c r="L912" s="26">
        <f t="shared" si="146"/>
        <v>0.18059866435543406</v>
      </c>
      <c r="M912" s="26">
        <f t="shared" si="147"/>
        <v>-0.32599747045102867</v>
      </c>
      <c r="N912" s="26">
        <f t="shared" si="148"/>
        <v>-0.66750415705457677</v>
      </c>
      <c r="O912" s="26">
        <f t="shared" si="149"/>
        <v>-1.8459825258222218</v>
      </c>
    </row>
    <row r="913" spans="1:15" x14ac:dyDescent="0.25">
      <c r="A913" s="2">
        <v>44209</v>
      </c>
      <c r="B913">
        <v>138281</v>
      </c>
      <c r="C913">
        <v>219477</v>
      </c>
      <c r="D913">
        <v>859236</v>
      </c>
      <c r="F913">
        <f t="shared" si="140"/>
        <v>0.29396858160352474</v>
      </c>
      <c r="G913">
        <f t="shared" si="141"/>
        <v>2.4414930180275936</v>
      </c>
      <c r="H913">
        <f t="shared" si="142"/>
        <v>1.5871811745648354</v>
      </c>
      <c r="I913">
        <f t="shared" si="143"/>
        <v>-1.2459255141792098</v>
      </c>
      <c r="J913" s="26">
        <f t="shared" si="144"/>
        <v>0.10014215212330985</v>
      </c>
      <c r="K913" s="26">
        <f t="shared" si="145"/>
        <v>0.12996399843792689</v>
      </c>
      <c r="L913" s="26">
        <f t="shared" si="146"/>
        <v>0.17804075470710329</v>
      </c>
      <c r="M913" s="26">
        <f t="shared" si="147"/>
        <v>-0.33095486695659848</v>
      </c>
      <c r="N913" s="26">
        <f t="shared" si="148"/>
        <v>-0.67055854243114976</v>
      </c>
      <c r="O913" s="26">
        <f t="shared" si="149"/>
        <v>-1.8601726496875373</v>
      </c>
    </row>
    <row r="914" spans="1:15" x14ac:dyDescent="0.25">
      <c r="A914" s="2">
        <v>44208</v>
      </c>
      <c r="B914">
        <v>133726</v>
      </c>
      <c r="C914">
        <v>219477</v>
      </c>
      <c r="D914">
        <v>859772</v>
      </c>
      <c r="F914">
        <f t="shared" si="140"/>
        <v>0.29118736989632926</v>
      </c>
      <c r="G914">
        <f t="shared" si="141"/>
        <v>2.4533094640253852</v>
      </c>
      <c r="H914">
        <f t="shared" si="142"/>
        <v>1.641244036313058</v>
      </c>
      <c r="I914">
        <f t="shared" si="143"/>
        <v>-1.2248726066335931</v>
      </c>
      <c r="J914" s="26">
        <f t="shared" si="144"/>
        <v>9.8880518185386762E-2</v>
      </c>
      <c r="K914" s="26">
        <f t="shared" si="145"/>
        <v>0.12769171753057978</v>
      </c>
      <c r="L914" s="26">
        <f t="shared" si="146"/>
        <v>0.17536826915559167</v>
      </c>
      <c r="M914" s="26">
        <f t="shared" si="147"/>
        <v>-0.32972939872214968</v>
      </c>
      <c r="N914" s="26">
        <f t="shared" si="148"/>
        <v>-0.67135164920371015</v>
      </c>
      <c r="O914" s="26">
        <f t="shared" si="149"/>
        <v>-1.8814606345151936</v>
      </c>
    </row>
    <row r="915" spans="1:15" x14ac:dyDescent="0.25">
      <c r="A915" s="2">
        <v>44207</v>
      </c>
      <c r="B915">
        <v>131701</v>
      </c>
      <c r="C915">
        <v>219302</v>
      </c>
      <c r="D915">
        <v>860511</v>
      </c>
      <c r="F915">
        <f t="shared" si="140"/>
        <v>0.2897226115422521</v>
      </c>
      <c r="G915">
        <f t="shared" si="141"/>
        <v>2.4821365314762058</v>
      </c>
      <c r="H915">
        <f t="shared" si="142"/>
        <v>1.6651506062975983</v>
      </c>
      <c r="I915">
        <f t="shared" si="143"/>
        <v>-1.2254054427716352</v>
      </c>
      <c r="J915" s="26">
        <f t="shared" si="144"/>
        <v>9.7805642953616767E-2</v>
      </c>
      <c r="K915" s="26">
        <f t="shared" si="145"/>
        <v>0.12568153498987034</v>
      </c>
      <c r="L915" s="26">
        <f t="shared" si="146"/>
        <v>0.17286994132318317</v>
      </c>
      <c r="M915" s="26">
        <f t="shared" si="147"/>
        <v>-0.33039340404391271</v>
      </c>
      <c r="N915" s="26">
        <f t="shared" si="148"/>
        <v>-0.67748481313833309</v>
      </c>
      <c r="O915" s="26">
        <f t="shared" si="149"/>
        <v>-1.9050422007199328</v>
      </c>
    </row>
    <row r="916" spans="1:15" x14ac:dyDescent="0.25">
      <c r="A916" s="2">
        <v>44204</v>
      </c>
      <c r="B916">
        <v>131101</v>
      </c>
      <c r="C916">
        <v>218477</v>
      </c>
      <c r="D916">
        <v>861093</v>
      </c>
      <c r="F916">
        <f t="shared" si="140"/>
        <v>0.28874731450575752</v>
      </c>
      <c r="G916">
        <f t="shared" si="141"/>
        <v>2.5187884795977364</v>
      </c>
      <c r="H916">
        <f t="shared" si="142"/>
        <v>1.6664785165635656</v>
      </c>
      <c r="I916">
        <f t="shared" si="143"/>
        <v>-1.2423224672007829</v>
      </c>
      <c r="J916" s="26">
        <f t="shared" si="144"/>
        <v>9.5894630878632536E-2</v>
      </c>
      <c r="K916" s="26">
        <f t="shared" si="145"/>
        <v>0.12318808150541741</v>
      </c>
      <c r="L916" s="26">
        <f t="shared" si="146"/>
        <v>0.16990200481362766</v>
      </c>
      <c r="M916" s="26">
        <f t="shared" si="147"/>
        <v>-0.31651323270723863</v>
      </c>
      <c r="N916" s="26">
        <f t="shared" si="148"/>
        <v>-0.67394803629557409</v>
      </c>
      <c r="O916" s="26">
        <f t="shared" si="149"/>
        <v>-1.9197074949492696</v>
      </c>
    </row>
    <row r="917" spans="1:15" x14ac:dyDescent="0.25">
      <c r="A917" s="2">
        <v>44203</v>
      </c>
      <c r="B917">
        <v>124326</v>
      </c>
      <c r="C917">
        <v>220364</v>
      </c>
      <c r="D917">
        <v>860055</v>
      </c>
      <c r="F917">
        <f t="shared" si="140"/>
        <v>0.28611033870238101</v>
      </c>
      <c r="G917">
        <f t="shared" si="141"/>
        <v>2.5360002568494893</v>
      </c>
      <c r="H917">
        <f t="shared" si="142"/>
        <v>1.7724691536766244</v>
      </c>
      <c r="I917">
        <f t="shared" si="143"/>
        <v>-1.1850259692633196</v>
      </c>
      <c r="J917" s="26">
        <f t="shared" si="144"/>
        <v>9.3751272468302976E-2</v>
      </c>
      <c r="K917" s="26">
        <f t="shared" si="145"/>
        <v>0.12059004987809457</v>
      </c>
      <c r="L917" s="26">
        <f t="shared" si="146"/>
        <v>0.16680727365396109</v>
      </c>
      <c r="M917" s="26">
        <f t="shared" si="147"/>
        <v>-0.3064864775782099</v>
      </c>
      <c r="N917" s="26">
        <f t="shared" si="148"/>
        <v>-0.67336934295682038</v>
      </c>
      <c r="O917" s="26">
        <f t="shared" si="149"/>
        <v>-1.9373149273856556</v>
      </c>
    </row>
    <row r="918" spans="1:15" x14ac:dyDescent="0.25">
      <c r="A918" s="2">
        <v>44202</v>
      </c>
      <c r="B918">
        <v>117851</v>
      </c>
      <c r="C918">
        <v>216926</v>
      </c>
      <c r="D918">
        <v>861552</v>
      </c>
      <c r="F918">
        <f t="shared" si="140"/>
        <v>0.27983690105313841</v>
      </c>
      <c r="G918">
        <f t="shared" si="141"/>
        <v>2.5060174077709059</v>
      </c>
      <c r="H918">
        <f t="shared" si="142"/>
        <v>1.8406801809063988</v>
      </c>
      <c r="I918">
        <f t="shared" si="143"/>
        <v>-1.1539794981746225</v>
      </c>
      <c r="J918" s="26">
        <f t="shared" si="144"/>
        <v>9.1586379721297934E-2</v>
      </c>
      <c r="K918" s="26">
        <f t="shared" si="145"/>
        <v>0.11799270045260929</v>
      </c>
      <c r="L918" s="26">
        <f t="shared" si="146"/>
        <v>0.16373660379281768</v>
      </c>
      <c r="M918" s="26">
        <f t="shared" si="147"/>
        <v>-0.29745436495979605</v>
      </c>
      <c r="N918" s="26">
        <f t="shared" si="148"/>
        <v>-0.67619300358302703</v>
      </c>
      <c r="O918" s="26">
        <f t="shared" si="149"/>
        <v>-1.9563386028364651</v>
      </c>
    </row>
    <row r="919" spans="1:15" x14ac:dyDescent="0.25">
      <c r="A919" s="2">
        <v>44201</v>
      </c>
      <c r="B919">
        <v>113826</v>
      </c>
      <c r="C919">
        <v>216301</v>
      </c>
      <c r="D919">
        <v>860028</v>
      </c>
      <c r="F919">
        <f t="shared" si="140"/>
        <v>0.27738151753343054</v>
      </c>
      <c r="G919">
        <f t="shared" si="141"/>
        <v>2.5244652960044993</v>
      </c>
      <c r="H919">
        <f t="shared" si="142"/>
        <v>1.9002776167132289</v>
      </c>
      <c r="I919">
        <f t="shared" si="143"/>
        <v>-1.1288358344455967</v>
      </c>
      <c r="J919" s="26">
        <f t="shared" si="144"/>
        <v>8.9623293655946151E-2</v>
      </c>
      <c r="K919" s="26">
        <f t="shared" si="145"/>
        <v>0.11569034939476744</v>
      </c>
      <c r="L919" s="26">
        <f t="shared" si="146"/>
        <v>0.16094335824229972</v>
      </c>
      <c r="M919" s="26">
        <f t="shared" si="147"/>
        <v>-0.29180285982221688</v>
      </c>
      <c r="N919" s="26">
        <f t="shared" si="148"/>
        <v>-0.68287307552524035</v>
      </c>
      <c r="O919" s="26">
        <f t="shared" si="149"/>
        <v>-1.9786889626438293</v>
      </c>
    </row>
    <row r="920" spans="1:15" x14ac:dyDescent="0.25">
      <c r="A920" s="2">
        <v>44200</v>
      </c>
      <c r="B920">
        <v>111751</v>
      </c>
      <c r="C920">
        <v>213364</v>
      </c>
      <c r="D920">
        <v>859310</v>
      </c>
      <c r="F920">
        <f t="shared" si="140"/>
        <v>0.27449184203305399</v>
      </c>
      <c r="G920">
        <f t="shared" si="141"/>
        <v>2.5378646943729288</v>
      </c>
      <c r="H920">
        <f t="shared" si="142"/>
        <v>1.9092804538661847</v>
      </c>
      <c r="I920">
        <f t="shared" si="143"/>
        <v>-1.1338594830046276</v>
      </c>
      <c r="J920" s="26">
        <f t="shared" si="144"/>
        <v>8.7514187744154148E-2</v>
      </c>
      <c r="K920" s="26">
        <f t="shared" si="145"/>
        <v>0.11346581824756144</v>
      </c>
      <c r="L920" s="26">
        <f t="shared" si="146"/>
        <v>0.15811427619102925</v>
      </c>
      <c r="M920" s="26">
        <f t="shared" si="147"/>
        <v>-0.29035232495216512</v>
      </c>
      <c r="N920" s="26">
        <f t="shared" si="148"/>
        <v>-0.70157008859676928</v>
      </c>
      <c r="O920" s="26">
        <f t="shared" si="149"/>
        <v>-2.0045813883369328</v>
      </c>
    </row>
    <row r="921" spans="1:15" x14ac:dyDescent="0.25">
      <c r="A921" s="2">
        <v>44196</v>
      </c>
      <c r="B921">
        <v>111576</v>
      </c>
      <c r="C921">
        <v>210590</v>
      </c>
      <c r="D921">
        <v>857204</v>
      </c>
      <c r="F921">
        <f t="shared" si="140"/>
        <v>0.27316787776524754</v>
      </c>
      <c r="G921">
        <f t="shared" si="141"/>
        <v>2.5733450808498368</v>
      </c>
      <c r="H921">
        <f t="shared" si="142"/>
        <v>1.8874130637413065</v>
      </c>
      <c r="I921">
        <f t="shared" si="143"/>
        <v>-1.160922407778989</v>
      </c>
      <c r="J921" s="26">
        <f t="shared" si="144"/>
        <v>8.5461479478719321E-2</v>
      </c>
      <c r="K921" s="26">
        <f t="shared" si="145"/>
        <v>0.11134662585737137</v>
      </c>
      <c r="L921" s="26">
        <f t="shared" si="146"/>
        <v>0.15533750057064966</v>
      </c>
      <c r="M921" s="26">
        <f t="shared" si="147"/>
        <v>-0.29117742678138026</v>
      </c>
      <c r="N921" s="26">
        <f t="shared" si="148"/>
        <v>-0.72193378677376074</v>
      </c>
      <c r="O921" s="26">
        <f t="shared" si="149"/>
        <v>-2.0319648564185777</v>
      </c>
    </row>
    <row r="922" spans="1:15" x14ac:dyDescent="0.25">
      <c r="A922" s="2">
        <v>44195</v>
      </c>
      <c r="B922">
        <v>111526</v>
      </c>
      <c r="C922">
        <v>210062</v>
      </c>
      <c r="D922">
        <v>857707</v>
      </c>
      <c r="F922">
        <f t="shared" si="140"/>
        <v>0.27269512717343836</v>
      </c>
      <c r="G922">
        <f t="shared" si="141"/>
        <v>2.6229112362884828</v>
      </c>
      <c r="H922">
        <f t="shared" si="142"/>
        <v>1.8835249179563509</v>
      </c>
      <c r="I922">
        <f t="shared" si="143"/>
        <v>-1.1761921247601985</v>
      </c>
      <c r="J922" s="26">
        <f t="shared" si="144"/>
        <v>8.2942602690887296E-2</v>
      </c>
      <c r="K922" s="26">
        <f t="shared" si="145"/>
        <v>0.10873539113676758</v>
      </c>
      <c r="L922" s="26">
        <f t="shared" si="146"/>
        <v>0.15212770862488006</v>
      </c>
      <c r="M922" s="26">
        <f t="shared" si="147"/>
        <v>-0.30871089767172277</v>
      </c>
      <c r="N922" s="26">
        <f t="shared" si="148"/>
        <v>-0.75229078566634078</v>
      </c>
      <c r="O922" s="26">
        <f t="shared" si="149"/>
        <v>-2.0662355399592904</v>
      </c>
    </row>
    <row r="923" spans="1:15" x14ac:dyDescent="0.25">
      <c r="A923" s="2">
        <v>44194</v>
      </c>
      <c r="B923">
        <v>111526</v>
      </c>
      <c r="C923">
        <v>210062</v>
      </c>
      <c r="D923">
        <v>858613</v>
      </c>
      <c r="F923">
        <f t="shared" si="140"/>
        <v>0.27248578843773219</v>
      </c>
      <c r="G923">
        <f t="shared" si="141"/>
        <v>2.6795499757443269</v>
      </c>
      <c r="H923">
        <f t="shared" si="142"/>
        <v>1.8835249179563509</v>
      </c>
      <c r="I923">
        <f t="shared" si="143"/>
        <v>-1.1893963175801499</v>
      </c>
      <c r="J923" s="26">
        <f t="shared" si="144"/>
        <v>7.9670143022469858E-2</v>
      </c>
      <c r="K923" s="26">
        <f t="shared" si="145"/>
        <v>0.10552117322847823</v>
      </c>
      <c r="L923" s="26">
        <f t="shared" si="146"/>
        <v>0.1483639009486207</v>
      </c>
      <c r="M923" s="26">
        <f t="shared" si="147"/>
        <v>-0.30789945371379845</v>
      </c>
      <c r="N923" s="26">
        <f t="shared" si="148"/>
        <v>-0.76430980952170335</v>
      </c>
      <c r="O923" s="26">
        <f t="shared" si="149"/>
        <v>-2.0841994931660821</v>
      </c>
    </row>
    <row r="924" spans="1:15" x14ac:dyDescent="0.25">
      <c r="A924" s="2">
        <v>44193</v>
      </c>
      <c r="B924">
        <v>110051</v>
      </c>
      <c r="C924">
        <v>208775</v>
      </c>
      <c r="D924">
        <v>859230</v>
      </c>
      <c r="F924">
        <f t="shared" si="140"/>
        <v>0.27063738905451012</v>
      </c>
      <c r="G924">
        <f t="shared" si="141"/>
        <v>2.7164010553136602</v>
      </c>
      <c r="H924">
        <f t="shared" si="142"/>
        <v>1.8970749925034756</v>
      </c>
      <c r="I924">
        <f t="shared" si="143"/>
        <v>-1.195600524886679</v>
      </c>
      <c r="J924" s="26">
        <f t="shared" si="144"/>
        <v>7.6218275538703611E-2</v>
      </c>
      <c r="K924" s="26">
        <f t="shared" si="145"/>
        <v>0.10215526604632531</v>
      </c>
      <c r="L924" s="26">
        <f t="shared" si="146"/>
        <v>0.14442967103051152</v>
      </c>
      <c r="M924" s="26">
        <f t="shared" si="147"/>
        <v>-0.30591778940386316</v>
      </c>
      <c r="N924" s="26">
        <f t="shared" si="148"/>
        <v>-0.77575559725113008</v>
      </c>
      <c r="O924" s="26">
        <f t="shared" si="149"/>
        <v>-2.103687304954533</v>
      </c>
    </row>
    <row r="925" spans="1:15" x14ac:dyDescent="0.25">
      <c r="A925" s="2">
        <v>44189</v>
      </c>
      <c r="B925">
        <v>110051</v>
      </c>
      <c r="C925">
        <v>208712</v>
      </c>
      <c r="D925">
        <v>858416</v>
      </c>
      <c r="F925">
        <f t="shared" si="140"/>
        <v>0.27078549651327455</v>
      </c>
      <c r="G925">
        <f t="shared" si="141"/>
        <v>2.7851721457591476</v>
      </c>
      <c r="H925">
        <f t="shared" si="142"/>
        <v>1.8965025306448828</v>
      </c>
      <c r="I925">
        <f t="shared" si="143"/>
        <v>-1.211708238669188</v>
      </c>
      <c r="J925" s="26">
        <f t="shared" si="144"/>
        <v>7.2835454807935351E-2</v>
      </c>
      <c r="K925" s="26">
        <f t="shared" si="145"/>
        <v>9.8881599892655214E-2</v>
      </c>
      <c r="L925" s="26">
        <f t="shared" si="146"/>
        <v>0.1405429457764269</v>
      </c>
      <c r="M925" s="26">
        <f t="shared" si="147"/>
        <v>-0.30454082894052181</v>
      </c>
      <c r="N925" s="26">
        <f t="shared" si="148"/>
        <v>-0.78253297754506113</v>
      </c>
      <c r="O925" s="26">
        <f t="shared" si="149"/>
        <v>-2.1215087915732762</v>
      </c>
    </row>
    <row r="926" spans="1:15" x14ac:dyDescent="0.25">
      <c r="A926" s="2">
        <v>44188</v>
      </c>
      <c r="B926">
        <v>110051</v>
      </c>
      <c r="C926">
        <v>208712</v>
      </c>
      <c r="D926">
        <v>858069</v>
      </c>
      <c r="F926">
        <f t="shared" si="140"/>
        <v>0.27086534016750052</v>
      </c>
      <c r="G926">
        <f t="shared" si="141"/>
        <v>2.8582707657144679</v>
      </c>
      <c r="H926">
        <f t="shared" si="142"/>
        <v>1.8965025306448828</v>
      </c>
      <c r="I926">
        <f t="shared" si="143"/>
        <v>-1.227927907644131</v>
      </c>
      <c r="J926" s="26">
        <f t="shared" si="144"/>
        <v>6.9260243457733739E-2</v>
      </c>
      <c r="K926" s="26">
        <f t="shared" si="145"/>
        <v>9.5499328314273393E-2</v>
      </c>
      <c r="L926" s="26">
        <f t="shared" si="146"/>
        <v>0.13653732849869438</v>
      </c>
      <c r="M926" s="26">
        <f t="shared" si="147"/>
        <v>-0.30545155227152687</v>
      </c>
      <c r="N926" s="26">
        <f t="shared" si="148"/>
        <v>-0.79128411130251797</v>
      </c>
      <c r="O926" s="26">
        <f t="shared" si="149"/>
        <v>-2.1404242009573768</v>
      </c>
    </row>
    <row r="927" spans="1:15" x14ac:dyDescent="0.25">
      <c r="A927" s="2">
        <v>44187</v>
      </c>
      <c r="B927">
        <v>110076</v>
      </c>
      <c r="C927">
        <v>208712</v>
      </c>
      <c r="D927">
        <v>858068</v>
      </c>
      <c r="F927">
        <f t="shared" si="140"/>
        <v>0.27088105936495205</v>
      </c>
      <c r="G927">
        <f t="shared" si="141"/>
        <v>2.9363766489463261</v>
      </c>
      <c r="H927">
        <f t="shared" si="142"/>
        <v>1.8960718049347722</v>
      </c>
      <c r="I927">
        <f t="shared" si="143"/>
        <v>-1.2449330506441103</v>
      </c>
      <c r="J927" s="26">
        <f t="shared" si="144"/>
        <v>6.5346319481546095E-2</v>
      </c>
      <c r="K927" s="26">
        <f t="shared" si="145"/>
        <v>9.1843065879372243E-2</v>
      </c>
      <c r="L927" s="26">
        <f t="shared" si="146"/>
        <v>0.1322815826595394</v>
      </c>
      <c r="M927" s="26">
        <f t="shared" si="147"/>
        <v>-0.30562838539429693</v>
      </c>
      <c r="N927" s="26">
        <f t="shared" si="148"/>
        <v>-0.79797098955905188</v>
      </c>
      <c r="O927" s="26">
        <f t="shared" si="149"/>
        <v>-2.1588109683560766</v>
      </c>
    </row>
    <row r="928" spans="1:15" x14ac:dyDescent="0.25">
      <c r="A928" s="2">
        <v>44186</v>
      </c>
      <c r="B928">
        <v>110626</v>
      </c>
      <c r="C928">
        <v>208262</v>
      </c>
      <c r="D928">
        <v>858638</v>
      </c>
      <c r="F928">
        <f t="shared" si="140"/>
        <v>0.27081185468516195</v>
      </c>
      <c r="G928">
        <f t="shared" si="141"/>
        <v>3.0199056063277334</v>
      </c>
      <c r="H928">
        <f t="shared" si="142"/>
        <v>1.8825773326342812</v>
      </c>
      <c r="I928">
        <f t="shared" si="143"/>
        <v>-1.2710963600048069</v>
      </c>
      <c r="J928" s="26">
        <f t="shared" si="144"/>
        <v>6.1427558888367817E-2</v>
      </c>
      <c r="K928" s="26">
        <f t="shared" si="145"/>
        <v>8.8079639903204929E-2</v>
      </c>
      <c r="L928" s="26">
        <f t="shared" si="146"/>
        <v>0.12789781973583614</v>
      </c>
      <c r="M928" s="26">
        <f t="shared" si="147"/>
        <v>-0.32909614398807774</v>
      </c>
      <c r="N928" s="26">
        <f t="shared" si="148"/>
        <v>-0.81533860069465591</v>
      </c>
      <c r="O928" s="26">
        <f t="shared" si="149"/>
        <v>-2.1836496810432275</v>
      </c>
    </row>
    <row r="929" spans="1:15" x14ac:dyDescent="0.25">
      <c r="A929" s="2">
        <v>44183</v>
      </c>
      <c r="B929">
        <v>110376</v>
      </c>
      <c r="C929">
        <v>207749</v>
      </c>
      <c r="D929">
        <v>860387</v>
      </c>
      <c r="F929">
        <f t="shared" si="140"/>
        <v>0.26993785383602376</v>
      </c>
      <c r="G929">
        <f t="shared" si="141"/>
        <v>3.0980823668355417</v>
      </c>
      <c r="H929">
        <f t="shared" si="142"/>
        <v>1.8821935928100311</v>
      </c>
      <c r="I929">
        <f t="shared" si="143"/>
        <v>-1.2892578840851052</v>
      </c>
      <c r="J929" s="26">
        <f t="shared" si="144"/>
        <v>5.7493108746205612E-2</v>
      </c>
      <c r="K929" s="26">
        <f t="shared" si="145"/>
        <v>8.4309510760141468E-2</v>
      </c>
      <c r="L929" s="26">
        <f t="shared" si="146"/>
        <v>0.12349788522815557</v>
      </c>
      <c r="M929" s="26">
        <f t="shared" si="147"/>
        <v>-0.35055471317646347</v>
      </c>
      <c r="N929" s="26">
        <f t="shared" si="148"/>
        <v>-0.83238816372632174</v>
      </c>
      <c r="O929" s="26">
        <f t="shared" si="149"/>
        <v>-2.2077246054313742</v>
      </c>
    </row>
    <row r="930" spans="1:15" x14ac:dyDescent="0.25">
      <c r="A930" s="2">
        <v>44182</v>
      </c>
      <c r="B930">
        <v>108976</v>
      </c>
      <c r="C930">
        <v>207324</v>
      </c>
      <c r="D930">
        <v>859807</v>
      </c>
      <c r="F930">
        <f t="shared" si="140"/>
        <v>0.26893811532454104</v>
      </c>
      <c r="G930">
        <f t="shared" si="141"/>
        <v>3.1814959093826123</v>
      </c>
      <c r="H930">
        <f t="shared" si="142"/>
        <v>1.9024739392159742</v>
      </c>
      <c r="I930">
        <f t="shared" si="143"/>
        <v>-1.2943851607398715</v>
      </c>
      <c r="J930" s="26">
        <f t="shared" si="144"/>
        <v>5.3572859944654133E-2</v>
      </c>
      <c r="K930" s="26">
        <f t="shared" si="145"/>
        <v>8.0564950750099104E-2</v>
      </c>
      <c r="L930" s="26">
        <f t="shared" si="146"/>
        <v>0.11907827588131227</v>
      </c>
      <c r="M930" s="26">
        <f t="shared" si="147"/>
        <v>-0.37176178316274644</v>
      </c>
      <c r="N930" s="26">
        <f t="shared" si="148"/>
        <v>-0.84316126572718586</v>
      </c>
      <c r="O930" s="26">
        <f t="shared" si="149"/>
        <v>-2.2304928468402272</v>
      </c>
    </row>
    <row r="931" spans="1:15" x14ac:dyDescent="0.25">
      <c r="A931" s="2">
        <v>44181</v>
      </c>
      <c r="B931">
        <v>106626</v>
      </c>
      <c r="C931">
        <v>205564</v>
      </c>
      <c r="D931">
        <v>860374</v>
      </c>
      <c r="F931">
        <f t="shared" si="140"/>
        <v>0.26624559512316598</v>
      </c>
      <c r="G931">
        <f t="shared" si="141"/>
        <v>3.2442896795928551</v>
      </c>
      <c r="H931">
        <f t="shared" si="142"/>
        <v>1.9278975109260406</v>
      </c>
      <c r="I931">
        <f t="shared" si="143"/>
        <v>-1.2964879414931885</v>
      </c>
      <c r="J931" s="26">
        <f t="shared" si="144"/>
        <v>4.9644497026703927E-2</v>
      </c>
      <c r="K931" s="26">
        <f t="shared" si="145"/>
        <v>7.6931394436198702E-2</v>
      </c>
      <c r="L931" s="26">
        <f t="shared" si="146"/>
        <v>0.11470571694902522</v>
      </c>
      <c r="M931" s="26">
        <f t="shared" si="147"/>
        <v>-0.39290859198466022</v>
      </c>
      <c r="N931" s="26">
        <f t="shared" si="148"/>
        <v>-0.86292800137288861</v>
      </c>
      <c r="O931" s="26">
        <f t="shared" si="149"/>
        <v>-2.2531826055361965</v>
      </c>
    </row>
    <row r="932" spans="1:15" x14ac:dyDescent="0.25">
      <c r="A932" s="2">
        <v>44180</v>
      </c>
      <c r="B932">
        <v>105626</v>
      </c>
      <c r="C932">
        <v>203091</v>
      </c>
      <c r="D932">
        <v>860586</v>
      </c>
      <c r="F932">
        <f t="shared" si="140"/>
        <v>0.2640179662585318</v>
      </c>
      <c r="G932">
        <f t="shared" si="141"/>
        <v>3.3209815144135799</v>
      </c>
      <c r="H932">
        <f t="shared" si="142"/>
        <v>1.9227368261602258</v>
      </c>
      <c r="I932">
        <f t="shared" si="143"/>
        <v>-1.3188827262932263</v>
      </c>
      <c r="J932" s="26">
        <f t="shared" si="144"/>
        <v>4.540081541495139E-2</v>
      </c>
      <c r="K932" s="26">
        <f t="shared" si="145"/>
        <v>7.3247494446926339E-2</v>
      </c>
      <c r="L932" s="26">
        <f t="shared" si="146"/>
        <v>0.11019544160239518</v>
      </c>
      <c r="M932" s="26">
        <f t="shared" si="147"/>
        <v>-0.40299310554923107</v>
      </c>
      <c r="N932" s="26">
        <f t="shared" si="148"/>
        <v>-0.88986996039983079</v>
      </c>
      <c r="O932" s="26">
        <f t="shared" si="149"/>
        <v>-2.2702032405960022</v>
      </c>
    </row>
    <row r="933" spans="1:15" x14ac:dyDescent="0.25">
      <c r="A933" s="2">
        <v>44179</v>
      </c>
      <c r="B933">
        <v>103926</v>
      </c>
      <c r="C933">
        <v>200479</v>
      </c>
      <c r="D933">
        <v>1142829</v>
      </c>
      <c r="F933">
        <f t="shared" si="140"/>
        <v>0.21033571626979466</v>
      </c>
      <c r="G933">
        <f t="shared" si="141"/>
        <v>2.4740617672627789</v>
      </c>
      <c r="H933">
        <f t="shared" si="142"/>
        <v>1.9290552893404922</v>
      </c>
      <c r="I933">
        <f t="shared" si="143"/>
        <v>-1.3344112281901586</v>
      </c>
      <c r="J933" s="26">
        <f t="shared" si="144"/>
        <v>4.1205795271059914E-2</v>
      </c>
      <c r="K933" s="26">
        <f t="shared" si="145"/>
        <v>6.9643078987130222E-2</v>
      </c>
      <c r="L933" s="26">
        <f t="shared" si="146"/>
        <v>0.10574847247055116</v>
      </c>
      <c r="M933" s="26">
        <f t="shared" si="147"/>
        <v>-0.40924205292724469</v>
      </c>
      <c r="N933" s="26">
        <f t="shared" si="148"/>
        <v>-0.91789061701740504</v>
      </c>
      <c r="O933" s="26">
        <f t="shared" si="149"/>
        <v>-2.2891989602086218</v>
      </c>
    </row>
    <row r="934" spans="1:15" x14ac:dyDescent="0.25">
      <c r="A934" s="2">
        <v>44176</v>
      </c>
      <c r="B934">
        <v>99651</v>
      </c>
      <c r="C934">
        <v>197054</v>
      </c>
      <c r="D934">
        <v>1142819</v>
      </c>
      <c r="F934">
        <f t="shared" si="140"/>
        <v>0.2061132707756175</v>
      </c>
      <c r="G934">
        <f t="shared" si="141"/>
        <v>2.4504943769350347</v>
      </c>
      <c r="H934">
        <f t="shared" si="142"/>
        <v>1.9774412700324131</v>
      </c>
      <c r="I934">
        <f t="shared" si="143"/>
        <v>-1.3224059996718958</v>
      </c>
      <c r="J934" s="26">
        <f t="shared" si="144"/>
        <v>3.9229881685076351E-2</v>
      </c>
      <c r="K934" s="26">
        <f t="shared" si="145"/>
        <v>6.8443159502087209E-2</v>
      </c>
      <c r="L934" s="26">
        <f t="shared" si="146"/>
        <v>0.10367161994541407</v>
      </c>
      <c r="M934" s="26">
        <f t="shared" si="147"/>
        <v>-0.41049631310835943</v>
      </c>
      <c r="N934" s="26">
        <f t="shared" si="148"/>
        <v>-0.94908206379288851</v>
      </c>
      <c r="O934" s="26">
        <f t="shared" si="149"/>
        <v>-2.3051954569441282</v>
      </c>
    </row>
    <row r="935" spans="1:15" x14ac:dyDescent="0.25">
      <c r="A935" s="2">
        <v>44175</v>
      </c>
      <c r="B935">
        <v>99401</v>
      </c>
      <c r="C935">
        <v>197054</v>
      </c>
      <c r="D935">
        <v>1136454</v>
      </c>
      <c r="F935">
        <f t="shared" si="140"/>
        <v>0.2068903189246491</v>
      </c>
      <c r="G935">
        <f t="shared" si="141"/>
        <v>2.5179817369401087</v>
      </c>
      <c r="H935">
        <f t="shared" si="142"/>
        <v>1.98241466383638</v>
      </c>
      <c r="I935">
        <f t="shared" si="143"/>
        <v>-1.3386699380161264</v>
      </c>
      <c r="J935" s="26">
        <f t="shared" si="144"/>
        <v>3.7401328353573321E-2</v>
      </c>
      <c r="K935" s="26">
        <f t="shared" si="145"/>
        <v>6.7400443031188376E-2</v>
      </c>
      <c r="L935" s="26">
        <f t="shared" si="146"/>
        <v>0.1017358044375075</v>
      </c>
      <c r="M935" s="26">
        <f t="shared" si="147"/>
        <v>-0.41881279810667582</v>
      </c>
      <c r="N935" s="26">
        <f t="shared" si="148"/>
        <v>-0.98579429236121108</v>
      </c>
      <c r="O935" s="26">
        <f t="shared" si="149"/>
        <v>-2.3257953718823514</v>
      </c>
    </row>
    <row r="936" spans="1:15" x14ac:dyDescent="0.25">
      <c r="A936" s="2">
        <v>44174</v>
      </c>
      <c r="B936">
        <v>86426</v>
      </c>
      <c r="C936">
        <v>186721</v>
      </c>
      <c r="D936">
        <v>1110917</v>
      </c>
      <c r="F936">
        <f t="shared" si="140"/>
        <v>0.19735142305558123</v>
      </c>
      <c r="G936">
        <f t="shared" si="141"/>
        <v>2.3943813704211716</v>
      </c>
      <c r="H936">
        <f t="shared" si="142"/>
        <v>2.16047254298475</v>
      </c>
      <c r="I936">
        <f t="shared" si="143"/>
        <v>-1.2431107729971593</v>
      </c>
      <c r="J936" s="26">
        <f t="shared" si="144"/>
        <v>3.557749310971231E-2</v>
      </c>
      <c r="K936" s="26">
        <f t="shared" si="145"/>
        <v>6.6388952676784449E-2</v>
      </c>
      <c r="L936" s="26">
        <f t="shared" si="146"/>
        <v>9.9786877155470841E-2</v>
      </c>
      <c r="M936" s="26">
        <f t="shared" si="147"/>
        <v>-0.42747033166319248</v>
      </c>
      <c r="N936" s="26">
        <f t="shared" si="148"/>
        <v>-1.0255147837241481</v>
      </c>
      <c r="O936" s="26">
        <f t="shared" si="149"/>
        <v>-2.3463295762632495</v>
      </c>
    </row>
    <row r="937" spans="1:15" x14ac:dyDescent="0.25">
      <c r="A937" s="2">
        <v>44173</v>
      </c>
      <c r="B937">
        <v>86026</v>
      </c>
      <c r="C937">
        <v>181471</v>
      </c>
      <c r="D937">
        <v>1109347</v>
      </c>
      <c r="F937">
        <f t="shared" si="140"/>
        <v>0.19428272193509213</v>
      </c>
      <c r="G937">
        <f t="shared" si="141"/>
        <v>2.3855669717885455</v>
      </c>
      <c r="H937">
        <f t="shared" si="142"/>
        <v>2.1094901541394462</v>
      </c>
      <c r="I937">
        <f t="shared" si="143"/>
        <v>-1.2947525537319118</v>
      </c>
      <c r="J937" s="26">
        <f t="shared" si="144"/>
        <v>3.4267434402810965E-2</v>
      </c>
      <c r="K937" s="26">
        <f t="shared" si="145"/>
        <v>6.5883701460350733E-2</v>
      </c>
      <c r="L937" s="26">
        <f t="shared" si="146"/>
        <v>9.8300319852564905E-2</v>
      </c>
      <c r="M937" s="26">
        <f t="shared" si="147"/>
        <v>-0.44250589755258973</v>
      </c>
      <c r="N937" s="26">
        <f t="shared" si="148"/>
        <v>-1.0737097182227986</v>
      </c>
      <c r="O937" s="26">
        <f t="shared" si="149"/>
        <v>-2.3710649278109281</v>
      </c>
    </row>
    <row r="938" spans="1:15" x14ac:dyDescent="0.25">
      <c r="A938" s="2">
        <v>44172</v>
      </c>
      <c r="B938">
        <v>83901</v>
      </c>
      <c r="C938">
        <v>179096</v>
      </c>
      <c r="D938">
        <v>1104537</v>
      </c>
      <c r="F938">
        <f t="shared" si="140"/>
        <v>0.19231477974222214</v>
      </c>
      <c r="G938">
        <f t="shared" si="141"/>
        <v>2.3972021823346248</v>
      </c>
      <c r="H938">
        <f t="shared" si="142"/>
        <v>2.134611029665916</v>
      </c>
      <c r="I938">
        <f t="shared" si="143"/>
        <v>-1.298252607529305</v>
      </c>
      <c r="J938" s="26">
        <f t="shared" si="144"/>
        <v>3.3187591236951974E-2</v>
      </c>
      <c r="K938" s="26">
        <f t="shared" si="145"/>
        <v>6.5510885873358682E-2</v>
      </c>
      <c r="L938" s="26">
        <f t="shared" si="146"/>
        <v>9.6957634300622181E-2</v>
      </c>
      <c r="M938" s="26">
        <f t="shared" si="147"/>
        <v>-0.45561555560358613</v>
      </c>
      <c r="N938" s="26">
        <f t="shared" si="148"/>
        <v>-1.1197280921122132</v>
      </c>
      <c r="O938" s="26">
        <f t="shared" si="149"/>
        <v>-2.3913172186920879</v>
      </c>
    </row>
    <row r="939" spans="1:15" x14ac:dyDescent="0.25">
      <c r="A939" s="2">
        <v>44169</v>
      </c>
      <c r="B939">
        <v>83651</v>
      </c>
      <c r="C939">
        <v>178446</v>
      </c>
      <c r="D939">
        <v>1103542</v>
      </c>
      <c r="F939">
        <f t="shared" si="140"/>
        <v>0.19192260912290876</v>
      </c>
      <c r="G939">
        <f t="shared" si="141"/>
        <v>2.4405300749314374</v>
      </c>
      <c r="H939">
        <f t="shared" si="142"/>
        <v>2.1332201647320415</v>
      </c>
      <c r="I939">
        <f t="shared" si="143"/>
        <v>-1.3171460743177708</v>
      </c>
      <c r="J939" s="26">
        <f t="shared" si="144"/>
        <v>3.2223835606668416E-2</v>
      </c>
      <c r="K939" s="26">
        <f t="shared" si="145"/>
        <v>6.517900350691562E-2</v>
      </c>
      <c r="L939" s="26">
        <f t="shared" si="146"/>
        <v>9.5659754686773582E-2</v>
      </c>
      <c r="M939" s="26">
        <f t="shared" si="147"/>
        <v>-0.46946133728863249</v>
      </c>
      <c r="N939" s="26">
        <f t="shared" si="148"/>
        <v>-1.1686184932834611</v>
      </c>
      <c r="O939" s="26">
        <f t="shared" si="149"/>
        <v>-2.4147343159962031</v>
      </c>
    </row>
    <row r="940" spans="1:15" x14ac:dyDescent="0.25">
      <c r="A940" s="2">
        <v>44168</v>
      </c>
      <c r="B940">
        <v>82351</v>
      </c>
      <c r="C940">
        <v>174646</v>
      </c>
      <c r="D940">
        <v>1102476</v>
      </c>
      <c r="F940">
        <f t="shared" si="140"/>
        <v>0.18904163598688609</v>
      </c>
      <c r="G940">
        <f t="shared" si="141"/>
        <v>2.4364932603357361</v>
      </c>
      <c r="H940">
        <f t="shared" si="142"/>
        <v>2.1207514177119888</v>
      </c>
      <c r="I940">
        <f t="shared" si="143"/>
        <v>-1.3437591895006891</v>
      </c>
      <c r="J940" s="26">
        <f t="shared" si="144"/>
        <v>3.1481015112109212E-2</v>
      </c>
      <c r="K940" s="26">
        <f t="shared" si="145"/>
        <v>6.494509884793985E-2</v>
      </c>
      <c r="L940" s="26">
        <f t="shared" si="146"/>
        <v>9.4518715119911292E-2</v>
      </c>
      <c r="M940" s="26">
        <f t="shared" si="147"/>
        <v>-0.48999873279421502</v>
      </c>
      <c r="N940" s="26">
        <f t="shared" si="148"/>
        <v>-1.2174426627911918</v>
      </c>
      <c r="O940" s="26">
        <f t="shared" si="149"/>
        <v>-2.4225984559730844</v>
      </c>
    </row>
    <row r="941" spans="1:15" x14ac:dyDescent="0.25">
      <c r="A941" s="2">
        <v>44167</v>
      </c>
      <c r="B941">
        <v>82226</v>
      </c>
      <c r="C941">
        <v>172834</v>
      </c>
      <c r="D941">
        <v>1104945</v>
      </c>
      <c r="F941">
        <f t="shared" si="140"/>
        <v>0.18754342814916122</v>
      </c>
      <c r="G941">
        <f t="shared" si="141"/>
        <v>2.4599530327348611</v>
      </c>
      <c r="H941">
        <f t="shared" si="142"/>
        <v>2.1019385595796951</v>
      </c>
      <c r="I941">
        <f t="shared" si="143"/>
        <v>-1.3755387254643903</v>
      </c>
      <c r="J941" s="26">
        <f t="shared" si="144"/>
        <v>3.0868324867808189E-2</v>
      </c>
      <c r="K941" s="26">
        <f t="shared" si="145"/>
        <v>6.4831163342713147E-2</v>
      </c>
      <c r="L941" s="26">
        <f t="shared" si="146"/>
        <v>9.3501629925863125E-2</v>
      </c>
      <c r="M941" s="26">
        <f t="shared" si="147"/>
        <v>-0.50959138360635237</v>
      </c>
      <c r="N941" s="26">
        <f t="shared" si="148"/>
        <v>-1.2654317734915232</v>
      </c>
      <c r="O941" s="26">
        <f t="shared" si="149"/>
        <v>-2.4296607341098477</v>
      </c>
    </row>
    <row r="942" spans="1:15" x14ac:dyDescent="0.25">
      <c r="A942" s="2">
        <v>44166</v>
      </c>
      <c r="B942">
        <v>80926</v>
      </c>
      <c r="C942">
        <v>158739</v>
      </c>
      <c r="D942">
        <v>1101004</v>
      </c>
      <c r="F942">
        <f t="shared" si="140"/>
        <v>0.17876522840462486</v>
      </c>
      <c r="G942">
        <f t="shared" si="141"/>
        <v>2.333163809695586</v>
      </c>
      <c r="H942">
        <f t="shared" si="142"/>
        <v>1.961532758322418</v>
      </c>
      <c r="I942">
        <f t="shared" si="143"/>
        <v>-1.4864331270401154</v>
      </c>
      <c r="J942" s="26">
        <f t="shared" si="144"/>
        <v>3.0342009012526899E-2</v>
      </c>
      <c r="K942" s="26">
        <f t="shared" si="145"/>
        <v>6.4701438207365305E-2</v>
      </c>
      <c r="L942" s="26">
        <f t="shared" si="146"/>
        <v>9.2482988425250628E-2</v>
      </c>
      <c r="M942" s="26">
        <f t="shared" si="147"/>
        <v>-0.52698787594978258</v>
      </c>
      <c r="N942" s="26">
        <f t="shared" si="148"/>
        <v>-1.3124490933883064</v>
      </c>
      <c r="O942" s="26">
        <f t="shared" si="149"/>
        <v>-2.4357616685960699</v>
      </c>
    </row>
    <row r="943" spans="1:15" x14ac:dyDescent="0.25">
      <c r="A943" s="2">
        <v>44165</v>
      </c>
      <c r="B943">
        <v>69676</v>
      </c>
      <c r="C943">
        <v>156564</v>
      </c>
      <c r="D943">
        <v>1115943</v>
      </c>
      <c r="F943">
        <f t="shared" si="140"/>
        <v>0.16856121706205487</v>
      </c>
      <c r="G943">
        <f t="shared" si="141"/>
        <v>2.1663164813318394</v>
      </c>
      <c r="H943">
        <f t="shared" si="142"/>
        <v>2.2470291061484584</v>
      </c>
      <c r="I943">
        <f t="shared" si="143"/>
        <v>-1.3285308236469853</v>
      </c>
      <c r="J943" s="26">
        <f t="shared" si="144"/>
        <v>2.9657098097590914E-2</v>
      </c>
      <c r="K943" s="26">
        <f t="shared" si="145"/>
        <v>6.456544622565609E-2</v>
      </c>
      <c r="L943" s="26">
        <f t="shared" si="146"/>
        <v>9.151104437257368E-2</v>
      </c>
      <c r="M943" s="26">
        <f t="shared" si="147"/>
        <v>-0.52890024046115514</v>
      </c>
      <c r="N943" s="26">
        <f t="shared" si="148"/>
        <v>-1.3467610958631129</v>
      </c>
      <c r="O943" s="26">
        <f t="shared" si="149"/>
        <v>-2.4316446588682719</v>
      </c>
    </row>
    <row r="944" spans="1:15" x14ac:dyDescent="0.25">
      <c r="A944" s="2">
        <v>44162</v>
      </c>
      <c r="B944">
        <v>69041</v>
      </c>
      <c r="C944">
        <v>153274</v>
      </c>
      <c r="D944">
        <v>1122124</v>
      </c>
      <c r="F944">
        <f t="shared" si="140"/>
        <v>0.16535893409816288</v>
      </c>
      <c r="G944">
        <f t="shared" si="141"/>
        <v>2.1378907524698985</v>
      </c>
      <c r="H944">
        <f t="shared" si="142"/>
        <v>2.220043162758361</v>
      </c>
      <c r="I944">
        <f t="shared" si="143"/>
        <v>-1.3683962548081146</v>
      </c>
      <c r="J944" s="26">
        <f t="shared" si="144"/>
        <v>2.9126573959841029E-2</v>
      </c>
      <c r="K944" s="26">
        <f t="shared" si="145"/>
        <v>6.4645812564633295E-2</v>
      </c>
      <c r="L944" s="26">
        <f t="shared" si="146"/>
        <v>9.0792792081391654E-2</v>
      </c>
      <c r="M944" s="26">
        <f t="shared" si="147"/>
        <v>-0.52895850196443961</v>
      </c>
      <c r="N944" s="26">
        <f t="shared" si="148"/>
        <v>-1.3822514129614341</v>
      </c>
      <c r="O944" s="26">
        <f t="shared" si="149"/>
        <v>-2.4304141408955533</v>
      </c>
    </row>
    <row r="945" spans="1:15" x14ac:dyDescent="0.25">
      <c r="A945" s="2">
        <v>44161</v>
      </c>
      <c r="B945">
        <v>67791</v>
      </c>
      <c r="C945">
        <v>153274</v>
      </c>
      <c r="D945">
        <v>1121471</v>
      </c>
      <c r="F945">
        <f t="shared" si="140"/>
        <v>0.16466225114261368</v>
      </c>
      <c r="G945">
        <f t="shared" si="141"/>
        <v>2.1617019739261147</v>
      </c>
      <c r="H945">
        <f t="shared" si="142"/>
        <v>2.2609785959788171</v>
      </c>
      <c r="I945">
        <f t="shared" si="143"/>
        <v>-1.3654830030340686</v>
      </c>
      <c r="J945" s="26">
        <f t="shared" si="144"/>
        <v>2.856809164825784E-2</v>
      </c>
      <c r="K945" s="26">
        <f t="shared" si="145"/>
        <v>6.4719104132925309E-2</v>
      </c>
      <c r="L945" s="26">
        <f t="shared" si="146"/>
        <v>9.0088435225763486E-2</v>
      </c>
      <c r="M945" s="26">
        <f t="shared" si="147"/>
        <v>-0.53576089475753141</v>
      </c>
      <c r="N945" s="26">
        <f t="shared" si="148"/>
        <v>-1.4215996116596132</v>
      </c>
      <c r="O945" s="26">
        <f t="shared" si="149"/>
        <v>-2.4323339900935159</v>
      </c>
    </row>
    <row r="946" spans="1:15" x14ac:dyDescent="0.25">
      <c r="A946" s="2">
        <v>44160</v>
      </c>
      <c r="B946">
        <v>66891</v>
      </c>
      <c r="C946">
        <v>149911</v>
      </c>
      <c r="D946">
        <v>1115453</v>
      </c>
      <c r="F946">
        <f t="shared" si="140"/>
        <v>0.16273311040303845</v>
      </c>
      <c r="G946">
        <f t="shared" si="141"/>
        <v>2.1597926761727564</v>
      </c>
      <c r="H946">
        <f t="shared" si="142"/>
        <v>2.241123619021991</v>
      </c>
      <c r="I946">
        <f t="shared" si="143"/>
        <v>-1.3980025301886017</v>
      </c>
      <c r="J946" s="26">
        <f t="shared" si="144"/>
        <v>2.8008315944362802E-2</v>
      </c>
      <c r="K946" s="26">
        <f t="shared" si="145"/>
        <v>6.4759767758349157E-2</v>
      </c>
      <c r="L946" s="26">
        <f t="shared" si="146"/>
        <v>8.9360870842282752E-2</v>
      </c>
      <c r="M946" s="26">
        <f t="shared" si="147"/>
        <v>-0.5389771929968914</v>
      </c>
      <c r="N946" s="26">
        <f t="shared" si="148"/>
        <v>-1.4575922637290342</v>
      </c>
      <c r="O946" s="26">
        <f t="shared" si="149"/>
        <v>-2.4316280833773729</v>
      </c>
    </row>
    <row r="947" spans="1:15" x14ac:dyDescent="0.25">
      <c r="A947" s="2">
        <v>44159</v>
      </c>
      <c r="B947">
        <v>64391</v>
      </c>
      <c r="C947">
        <v>144911</v>
      </c>
      <c r="D947">
        <v>1112189</v>
      </c>
      <c r="F947">
        <f t="shared" si="140"/>
        <v>0.15838322016570677</v>
      </c>
      <c r="G947">
        <f t="shared" si="141"/>
        <v>2.1039010837124956</v>
      </c>
      <c r="H947">
        <f t="shared" si="142"/>
        <v>2.2504853162709075</v>
      </c>
      <c r="I947">
        <f t="shared" si="143"/>
        <v>-1.4123441854325711</v>
      </c>
      <c r="J947" s="26">
        <f t="shared" si="144"/>
        <v>2.7646607166805254E-2</v>
      </c>
      <c r="K947" s="26">
        <f t="shared" si="145"/>
        <v>6.4894092870769221E-2</v>
      </c>
      <c r="L947" s="26">
        <f t="shared" si="146"/>
        <v>8.8727491560489868E-2</v>
      </c>
      <c r="M947" s="26">
        <f t="shared" si="147"/>
        <v>-0.5406046657478365</v>
      </c>
      <c r="N947" s="26">
        <f t="shared" si="148"/>
        <v>-1.4920564493726038</v>
      </c>
      <c r="O947" s="26">
        <f t="shared" si="149"/>
        <v>-2.4294739125828326</v>
      </c>
    </row>
    <row r="948" spans="1:15" x14ac:dyDescent="0.25">
      <c r="A948" s="2">
        <v>44158</v>
      </c>
      <c r="B948">
        <v>64891</v>
      </c>
      <c r="C948">
        <v>139836</v>
      </c>
      <c r="D948">
        <v>1106473</v>
      </c>
      <c r="F948">
        <f t="shared" si="140"/>
        <v>0.15613712629652227</v>
      </c>
      <c r="G948">
        <f t="shared" si="141"/>
        <v>2.0915471128599337</v>
      </c>
      <c r="H948">
        <f t="shared" si="142"/>
        <v>2.1549367400718129</v>
      </c>
      <c r="I948">
        <f t="shared" si="143"/>
        <v>-1.4964030856038859</v>
      </c>
      <c r="J948" s="26">
        <f t="shared" si="144"/>
        <v>2.7565532286267777E-2</v>
      </c>
      <c r="K948" s="26">
        <f t="shared" si="145"/>
        <v>6.5126666861236859E-2</v>
      </c>
      <c r="L948" s="26">
        <f t="shared" si="146"/>
        <v>8.8207056333748521E-2</v>
      </c>
      <c r="M948" s="26">
        <f t="shared" si="147"/>
        <v>-0.54500503887195073</v>
      </c>
      <c r="N948" s="26">
        <f t="shared" si="148"/>
        <v>-1.5267495926150869</v>
      </c>
      <c r="O948" s="26">
        <f t="shared" si="149"/>
        <v>-2.4275785298086854</v>
      </c>
    </row>
    <row r="949" spans="1:15" x14ac:dyDescent="0.25">
      <c r="A949" s="2">
        <v>44155</v>
      </c>
      <c r="B949">
        <v>64641</v>
      </c>
      <c r="C949">
        <v>139436</v>
      </c>
      <c r="D949">
        <v>1105724</v>
      </c>
      <c r="F949">
        <f t="shared" si="140"/>
        <v>0.1558076379541625</v>
      </c>
      <c r="G949">
        <f t="shared" si="141"/>
        <v>2.1217192809405061</v>
      </c>
      <c r="H949">
        <f t="shared" si="142"/>
        <v>2.157082965919463</v>
      </c>
      <c r="I949">
        <f t="shared" si="143"/>
        <v>-1.5196972331765088</v>
      </c>
      <c r="J949" s="26">
        <f t="shared" si="144"/>
        <v>2.7192057636768435E-2</v>
      </c>
      <c r="K949" s="26">
        <f t="shared" si="145"/>
        <v>6.5176980022133832E-2</v>
      </c>
      <c r="L949" s="26">
        <f t="shared" si="146"/>
        <v>8.7571329002719578E-2</v>
      </c>
      <c r="M949" s="26">
        <f t="shared" si="147"/>
        <v>-0.5166353420112193</v>
      </c>
      <c r="N949" s="26">
        <f t="shared" si="148"/>
        <v>-1.5373518924062179</v>
      </c>
      <c r="O949" s="26">
        <f t="shared" si="149"/>
        <v>-2.3981964836507546</v>
      </c>
    </row>
    <row r="950" spans="1:15" x14ac:dyDescent="0.25">
      <c r="A950" s="2">
        <v>44154</v>
      </c>
      <c r="B950">
        <v>63391</v>
      </c>
      <c r="C950">
        <v>138186</v>
      </c>
      <c r="D950">
        <v>1101195</v>
      </c>
      <c r="F950">
        <f t="shared" si="140"/>
        <v>0.15472930029199278</v>
      </c>
      <c r="G950">
        <f t="shared" si="141"/>
        <v>2.1363640068138521</v>
      </c>
      <c r="H950">
        <f t="shared" si="142"/>
        <v>2.1798993547979997</v>
      </c>
      <c r="I950">
        <f t="shared" si="143"/>
        <v>-1.5297757860312193</v>
      </c>
      <c r="J950" s="26">
        <f t="shared" si="144"/>
        <v>2.7019567407391379E-2</v>
      </c>
      <c r="K950" s="26">
        <f t="shared" si="145"/>
        <v>6.5225331257678848E-2</v>
      </c>
      <c r="L950" s="26">
        <f t="shared" si="146"/>
        <v>8.6940585317083818E-2</v>
      </c>
      <c r="M950" s="26">
        <f t="shared" si="147"/>
        <v>-0.49893562990814466</v>
      </c>
      <c r="N950" s="26">
        <f t="shared" si="148"/>
        <v>-1.5496544088370725</v>
      </c>
      <c r="O950" s="26">
        <f t="shared" si="149"/>
        <v>-2.3748855224873999</v>
      </c>
    </row>
    <row r="951" spans="1:15" x14ac:dyDescent="0.25">
      <c r="A951" s="2">
        <v>44153</v>
      </c>
      <c r="B951">
        <v>62891</v>
      </c>
      <c r="C951">
        <v>137686</v>
      </c>
      <c r="D951">
        <v>1096109</v>
      </c>
      <c r="F951">
        <f t="shared" si="140"/>
        <v>0.15468432604346774</v>
      </c>
      <c r="G951">
        <f t="shared" si="141"/>
        <v>2.175705571344094</v>
      </c>
      <c r="H951">
        <f t="shared" si="142"/>
        <v>2.1892798651635368</v>
      </c>
      <c r="I951">
        <f t="shared" si="143"/>
        <v>-1.5491049570320137</v>
      </c>
      <c r="J951" s="26">
        <f t="shared" si="144"/>
        <v>2.6938662358912235E-2</v>
      </c>
      <c r="K951" s="26">
        <f t="shared" si="145"/>
        <v>6.5220602829815663E-2</v>
      </c>
      <c r="L951" s="26">
        <f t="shared" si="146"/>
        <v>8.6270726649995688E-2</v>
      </c>
      <c r="M951" s="26">
        <f t="shared" si="147"/>
        <v>-0.480710092737902</v>
      </c>
      <c r="N951" s="26">
        <f t="shared" si="148"/>
        <v>-1.5603762451091159</v>
      </c>
      <c r="O951" s="26">
        <f t="shared" si="149"/>
        <v>-2.3503608054631506</v>
      </c>
    </row>
    <row r="952" spans="1:15" x14ac:dyDescent="0.25">
      <c r="A952" s="2">
        <v>44152</v>
      </c>
      <c r="B952">
        <v>58191</v>
      </c>
      <c r="C952">
        <v>134486</v>
      </c>
      <c r="D952">
        <v>1091962</v>
      </c>
      <c r="F952">
        <f t="shared" si="140"/>
        <v>0.14998532661704961</v>
      </c>
      <c r="G952">
        <f t="shared" si="141"/>
        <v>2.1079207223433469</v>
      </c>
      <c r="H952">
        <f t="shared" si="142"/>
        <v>2.311113402416181</v>
      </c>
      <c r="I952">
        <f t="shared" si="143"/>
        <v>-1.4917540516457592</v>
      </c>
      <c r="J952" s="26">
        <f t="shared" si="144"/>
        <v>2.7095856509316923E-2</v>
      </c>
      <c r="K952" s="26">
        <f t="shared" si="145"/>
        <v>6.5287654899695818E-2</v>
      </c>
      <c r="L952" s="26">
        <f t="shared" si="146"/>
        <v>8.5662868055767644E-2</v>
      </c>
      <c r="M952" s="26">
        <f t="shared" si="147"/>
        <v>-0.46201437875976747</v>
      </c>
      <c r="N952" s="26">
        <f t="shared" si="148"/>
        <v>-1.5717271111092348</v>
      </c>
      <c r="O952" s="26">
        <f t="shared" si="149"/>
        <v>-2.3264400337521201</v>
      </c>
    </row>
    <row r="953" spans="1:15" x14ac:dyDescent="0.25">
      <c r="A953" s="2">
        <v>44151</v>
      </c>
      <c r="B953">
        <v>57191</v>
      </c>
      <c r="C953">
        <v>133486</v>
      </c>
      <c r="D953">
        <v>1087872</v>
      </c>
      <c r="F953">
        <f t="shared" si="140"/>
        <v>0.14913546528134627</v>
      </c>
      <c r="G953">
        <f t="shared" si="141"/>
        <v>2.1271908411424101</v>
      </c>
      <c r="H953">
        <f t="shared" si="142"/>
        <v>2.3340385725026667</v>
      </c>
      <c r="I953">
        <f t="shared" si="143"/>
        <v>-1.4999940793303363</v>
      </c>
      <c r="J953" s="26">
        <f t="shared" si="144"/>
        <v>2.7479406999290509E-2</v>
      </c>
      <c r="K953" s="26">
        <f t="shared" si="145"/>
        <v>6.5572895372765436E-2</v>
      </c>
      <c r="L953" s="26">
        <f t="shared" si="146"/>
        <v>8.5272536632179735E-2</v>
      </c>
      <c r="M953" s="26">
        <f t="shared" si="147"/>
        <v>-0.45045975680404382</v>
      </c>
      <c r="N953" s="26">
        <f t="shared" si="148"/>
        <v>-1.5898004769410212</v>
      </c>
      <c r="O953" s="26">
        <f t="shared" si="149"/>
        <v>-2.309431128534623</v>
      </c>
    </row>
    <row r="954" spans="1:15" x14ac:dyDescent="0.25">
      <c r="A954" s="2">
        <v>44148</v>
      </c>
      <c r="B954">
        <v>54441</v>
      </c>
      <c r="C954">
        <v>130249</v>
      </c>
      <c r="D954">
        <v>1081497</v>
      </c>
      <c r="F954">
        <f t="shared" si="140"/>
        <v>0.14586313080137453</v>
      </c>
      <c r="G954">
        <f t="shared" si="141"/>
        <v>2.0891139465731512</v>
      </c>
      <c r="H954">
        <f t="shared" si="142"/>
        <v>2.3924799324038868</v>
      </c>
      <c r="I954">
        <f t="shared" si="143"/>
        <v>-1.4834433695952791</v>
      </c>
      <c r="J954" s="26">
        <f t="shared" si="144"/>
        <v>2.7914890467019698E-2</v>
      </c>
      <c r="K954" s="26">
        <f t="shared" si="145"/>
        <v>6.5866013204038801E-2</v>
      </c>
      <c r="L954" s="26">
        <f t="shared" si="146"/>
        <v>8.4893959962462268E-2</v>
      </c>
      <c r="M954" s="26">
        <f t="shared" si="147"/>
        <v>-0.44418894546913634</v>
      </c>
      <c r="N954" s="26">
        <f t="shared" si="148"/>
        <v>-1.6108994134600696</v>
      </c>
      <c r="O954" s="26">
        <f t="shared" si="149"/>
        <v>-2.2951817471801457</v>
      </c>
    </row>
    <row r="955" spans="1:15" x14ac:dyDescent="0.25">
      <c r="A955" s="2">
        <v>44147</v>
      </c>
      <c r="B955">
        <v>54441</v>
      </c>
      <c r="C955">
        <v>127499</v>
      </c>
      <c r="D955">
        <v>1074966</v>
      </c>
      <c r="F955">
        <f t="shared" si="140"/>
        <v>0.1447522726440959</v>
      </c>
      <c r="G955">
        <f t="shared" si="141"/>
        <v>2.1011320287837361</v>
      </c>
      <c r="H955">
        <f t="shared" si="142"/>
        <v>2.3419665325765506</v>
      </c>
      <c r="I955">
        <f t="shared" si="143"/>
        <v>-1.5365978407657144</v>
      </c>
      <c r="J955" s="26">
        <f t="shared" si="144"/>
        <v>2.8956031786204067E-2</v>
      </c>
      <c r="K955" s="26">
        <f t="shared" si="145"/>
        <v>6.6349639886168071E-2</v>
      </c>
      <c r="L955" s="26">
        <f t="shared" si="146"/>
        <v>8.4701420748634654E-2</v>
      </c>
      <c r="M955" s="26">
        <f t="shared" si="147"/>
        <v>-0.46246066640136574</v>
      </c>
      <c r="N955" s="26">
        <f t="shared" si="148"/>
        <v>-1.6344096404484607</v>
      </c>
      <c r="O955" s="26">
        <f t="shared" si="149"/>
        <v>-2.2833947817774356</v>
      </c>
    </row>
    <row r="956" spans="1:15" x14ac:dyDescent="0.25">
      <c r="A956" s="2">
        <v>44146</v>
      </c>
      <c r="B956">
        <v>54416</v>
      </c>
      <c r="C956">
        <v>127199</v>
      </c>
      <c r="D956">
        <v>1069473</v>
      </c>
      <c r="F956">
        <f t="shared" si="140"/>
        <v>0.14516564782013736</v>
      </c>
      <c r="G956">
        <f t="shared" si="141"/>
        <v>2.1513087412267815</v>
      </c>
      <c r="H956">
        <f t="shared" si="142"/>
        <v>2.3375294031167302</v>
      </c>
      <c r="I956">
        <f t="shared" si="143"/>
        <v>-1.5639200292914444</v>
      </c>
      <c r="J956" s="26">
        <f t="shared" si="144"/>
        <v>3.0121448516113189E-2</v>
      </c>
      <c r="K956" s="26">
        <f t="shared" si="145"/>
        <v>6.6813132410234732E-2</v>
      </c>
      <c r="L956" s="26">
        <f t="shared" si="146"/>
        <v>8.4499082842863699E-2</v>
      </c>
      <c r="M956" s="26">
        <f t="shared" si="147"/>
        <v>-0.47844881775691084</v>
      </c>
      <c r="N956" s="26">
        <f t="shared" si="148"/>
        <v>-1.6555868879869702</v>
      </c>
      <c r="O956" s="26">
        <f t="shared" si="149"/>
        <v>-2.2692648740023471</v>
      </c>
    </row>
    <row r="957" spans="1:15" x14ac:dyDescent="0.25">
      <c r="A957" s="2">
        <v>44145</v>
      </c>
      <c r="B957">
        <v>53641</v>
      </c>
      <c r="C957">
        <v>126824</v>
      </c>
      <c r="D957">
        <v>1063165</v>
      </c>
      <c r="F957">
        <f t="shared" si="140"/>
        <v>0.14511148814357969</v>
      </c>
      <c r="G957">
        <f t="shared" si="141"/>
        <v>2.1928565586084843</v>
      </c>
      <c r="H957">
        <f t="shared" si="142"/>
        <v>2.3643108816017597</v>
      </c>
      <c r="I957">
        <f t="shared" si="143"/>
        <v>-1.5697461594443665</v>
      </c>
      <c r="J957" s="26">
        <f t="shared" si="144"/>
        <v>3.1314944296581576E-2</v>
      </c>
      <c r="K957" s="26">
        <f t="shared" si="145"/>
        <v>6.7251327460485316E-2</v>
      </c>
      <c r="L957" s="26">
        <f t="shared" si="146"/>
        <v>8.4273846293877699E-2</v>
      </c>
      <c r="M957" s="26">
        <f t="shared" si="147"/>
        <v>-0.49977271890637454</v>
      </c>
      <c r="N957" s="26">
        <f t="shared" si="148"/>
        <v>-1.6769905934262956</v>
      </c>
      <c r="O957" s="26">
        <f t="shared" si="149"/>
        <v>-2.2553012027182939</v>
      </c>
    </row>
    <row r="958" spans="1:15" x14ac:dyDescent="0.25">
      <c r="A958" s="2">
        <v>44144</v>
      </c>
      <c r="B958">
        <v>53641</v>
      </c>
      <c r="C958">
        <v>125624</v>
      </c>
      <c r="D958">
        <v>1058508</v>
      </c>
      <c r="F958">
        <f t="shared" si="140"/>
        <v>0.14482865598134714</v>
      </c>
      <c r="G958">
        <f t="shared" si="141"/>
        <v>2.231194167594674</v>
      </c>
      <c r="H958">
        <f t="shared" si="142"/>
        <v>2.3419399340057048</v>
      </c>
      <c r="I958">
        <f t="shared" si="143"/>
        <v>-1.6110534144258462</v>
      </c>
      <c r="J958" s="26">
        <f t="shared" si="144"/>
        <v>3.2495281965479725E-2</v>
      </c>
      <c r="K958" s="26">
        <f t="shared" si="145"/>
        <v>6.7605544285205488E-2</v>
      </c>
      <c r="L958" s="26">
        <f t="shared" si="146"/>
        <v>8.3974001191631176E-2</v>
      </c>
      <c r="M958" s="26">
        <f t="shared" si="147"/>
        <v>-0.52291355784465754</v>
      </c>
      <c r="N958" s="26">
        <f t="shared" si="148"/>
        <v>-1.6987045255070616</v>
      </c>
      <c r="O958" s="26">
        <f t="shared" si="149"/>
        <v>-2.2420795641590536</v>
      </c>
    </row>
    <row r="959" spans="1:15" x14ac:dyDescent="0.25">
      <c r="A959" s="2">
        <v>44141</v>
      </c>
      <c r="B959">
        <v>53641</v>
      </c>
      <c r="C959">
        <v>123754</v>
      </c>
      <c r="D959">
        <v>1054669</v>
      </c>
      <c r="F959">
        <f t="shared" si="140"/>
        <v>0.14398196846917044</v>
      </c>
      <c r="G959">
        <f t="shared" si="141"/>
        <v>2.2574768679608437</v>
      </c>
      <c r="H959">
        <f t="shared" si="142"/>
        <v>2.3070785406685186</v>
      </c>
      <c r="I959">
        <f t="shared" si="143"/>
        <v>-1.6634039299631955</v>
      </c>
      <c r="J959" s="26">
        <f t="shared" si="144"/>
        <v>3.3595082551831787E-2</v>
      </c>
      <c r="K959" s="26">
        <f t="shared" si="145"/>
        <v>6.7820826301308132E-2</v>
      </c>
      <c r="L959" s="26">
        <f t="shared" si="146"/>
        <v>8.3554945414995807E-2</v>
      </c>
      <c r="M959" s="26">
        <f t="shared" si="147"/>
        <v>-0.54200613545727094</v>
      </c>
      <c r="N959" s="26">
        <f t="shared" si="148"/>
        <v>-1.7215926938956643</v>
      </c>
      <c r="O959" s="26">
        <f t="shared" si="149"/>
        <v>-2.2297240703235279</v>
      </c>
    </row>
    <row r="960" spans="1:15" x14ac:dyDescent="0.25">
      <c r="A960" s="2">
        <v>44140</v>
      </c>
      <c r="B960">
        <v>53641</v>
      </c>
      <c r="C960">
        <v>123754</v>
      </c>
      <c r="D960">
        <v>1044055</v>
      </c>
      <c r="F960">
        <f t="shared" si="140"/>
        <v>0.1452331245650661</v>
      </c>
      <c r="G960">
        <f t="shared" si="141"/>
        <v>2.3400692216124415</v>
      </c>
      <c r="H960">
        <f t="shared" si="142"/>
        <v>2.3070785406685186</v>
      </c>
      <c r="I960">
        <f t="shared" si="143"/>
        <v>-1.6922114980227103</v>
      </c>
      <c r="J960" s="26">
        <f t="shared" si="144"/>
        <v>3.4662077523826648E-2</v>
      </c>
      <c r="K960" s="26">
        <f t="shared" si="145"/>
        <v>6.7932985200801516E-2</v>
      </c>
      <c r="L960" s="26">
        <f t="shared" si="146"/>
        <v>8.3053599011676929E-2</v>
      </c>
      <c r="M960" s="26">
        <f t="shared" si="147"/>
        <v>-0.55997685489826132</v>
      </c>
      <c r="N960" s="26">
        <f t="shared" si="148"/>
        <v>-1.7480186276297824</v>
      </c>
      <c r="O960" s="26">
        <f t="shared" si="149"/>
        <v>-2.2267947875410097</v>
      </c>
    </row>
    <row r="961" spans="1:15" x14ac:dyDescent="0.25">
      <c r="A961" s="2">
        <v>44139</v>
      </c>
      <c r="B961">
        <v>53391</v>
      </c>
      <c r="C961">
        <v>123374</v>
      </c>
      <c r="D961">
        <v>1042363</v>
      </c>
      <c r="F961">
        <f t="shared" si="140"/>
        <v>0.14499297858797436</v>
      </c>
      <c r="G961">
        <f t="shared" si="141"/>
        <v>2.3892421218333806</v>
      </c>
      <c r="H961">
        <f t="shared" si="142"/>
        <v>2.3107639864396621</v>
      </c>
      <c r="I961">
        <f t="shared" si="143"/>
        <v>-1.7193063756917994</v>
      </c>
      <c r="J961" s="26">
        <f t="shared" si="144"/>
        <v>3.5569315320131897E-2</v>
      </c>
      <c r="K961" s="26">
        <f t="shared" si="145"/>
        <v>6.7870314475783705E-2</v>
      </c>
      <c r="L961" s="26">
        <f t="shared" si="146"/>
        <v>8.239409588059142E-2</v>
      </c>
      <c r="M961" s="26">
        <f t="shared" si="147"/>
        <v>-0.56630117750156206</v>
      </c>
      <c r="N961" s="26">
        <f t="shared" si="148"/>
        <v>-1.7651525238233257</v>
      </c>
      <c r="O961" s="26">
        <f t="shared" si="149"/>
        <v>-2.2161738189129805</v>
      </c>
    </row>
    <row r="962" spans="1:15" x14ac:dyDescent="0.25">
      <c r="A962" s="2">
        <v>44138</v>
      </c>
      <c r="B962">
        <v>52391</v>
      </c>
      <c r="C962">
        <v>121124</v>
      </c>
      <c r="D962">
        <v>1033950</v>
      </c>
      <c r="F962">
        <f t="shared" si="140"/>
        <v>0.14370188783939908</v>
      </c>
      <c r="G962">
        <f t="shared" si="141"/>
        <v>2.4136699188591995</v>
      </c>
      <c r="H962">
        <f t="shared" si="142"/>
        <v>2.3119238037067436</v>
      </c>
      <c r="I962">
        <f t="shared" si="143"/>
        <v>-1.7492729296450338</v>
      </c>
      <c r="J962" s="26">
        <f t="shared" si="144"/>
        <v>3.6495365678960875E-2</v>
      </c>
      <c r="K962" s="26">
        <f t="shared" si="145"/>
        <v>6.7795495925346144E-2</v>
      </c>
      <c r="L962" s="26">
        <f t="shared" si="146"/>
        <v>8.1727068296714236E-2</v>
      </c>
      <c r="M962" s="26">
        <f t="shared" si="147"/>
        <v>-0.56893089824607568</v>
      </c>
      <c r="N962" s="26">
        <f t="shared" si="148"/>
        <v>-1.7824619174345431</v>
      </c>
      <c r="O962" s="26">
        <f t="shared" si="149"/>
        <v>-2.2060591731055386</v>
      </c>
    </row>
    <row r="963" spans="1:15" x14ac:dyDescent="0.25">
      <c r="A963" s="2">
        <v>44137</v>
      </c>
      <c r="B963">
        <v>48141</v>
      </c>
      <c r="C963">
        <v>115724</v>
      </c>
      <c r="D963">
        <v>1029973</v>
      </c>
      <c r="F963">
        <f t="shared" si="140"/>
        <v>0.13725899158847349</v>
      </c>
      <c r="G963">
        <f t="shared" si="141"/>
        <v>2.2981127377455821</v>
      </c>
      <c r="H963">
        <f t="shared" si="142"/>
        <v>2.4038553416007145</v>
      </c>
      <c r="I963">
        <f t="shared" si="143"/>
        <v>-1.7109130095761913</v>
      </c>
      <c r="J963" s="26">
        <f t="shared" si="144"/>
        <v>3.7315313950180326E-2</v>
      </c>
      <c r="K963" s="26">
        <f t="shared" si="145"/>
        <v>6.7590075714698022E-2</v>
      </c>
      <c r="L963" s="26">
        <f t="shared" si="146"/>
        <v>8.0957168684622133E-2</v>
      </c>
      <c r="M963" s="26">
        <f t="shared" si="147"/>
        <v>-0.58584911191176392</v>
      </c>
      <c r="N963" s="26">
        <f t="shared" si="148"/>
        <v>-1.8014625832188385</v>
      </c>
      <c r="O963" s="26">
        <f t="shared" si="149"/>
        <v>-2.1977587736950808</v>
      </c>
    </row>
    <row r="964" spans="1:15" x14ac:dyDescent="0.25">
      <c r="A964" s="2">
        <v>44134</v>
      </c>
      <c r="B964">
        <v>43891</v>
      </c>
      <c r="C964">
        <v>113831</v>
      </c>
      <c r="D964">
        <v>1026831</v>
      </c>
      <c r="F964">
        <f t="shared" ref="F964:F1027" si="150">IFERROR((C964+B964)/(B964+C964+D964),"")</f>
        <v>0.13314895998743831</v>
      </c>
      <c r="G964">
        <f t="shared" ref="G964:G1027" si="151">(F964-AVERAGE(F964:F1221))/_xlfn.STDEV.S(F964:F1221)</f>
        <v>2.2374318335473737</v>
      </c>
      <c r="H964">
        <f t="shared" ref="H964:H1027" si="152">IFERROR(C964/B964,"")</f>
        <v>2.593492971224169</v>
      </c>
      <c r="I964">
        <f t="shared" ref="I964:I1027" si="153">IFERROR((H964-AVERAGE(H964:H1091))/_xlfn.STDEV.S(H964:H1091),"")</f>
        <v>-1.5942565021469834</v>
      </c>
      <c r="J964" s="26">
        <f t="shared" ref="J964:J1027" si="154">AVERAGEA(F964:F984)-AVERAGE(F985:F1005)</f>
        <v>3.839892431686763E-2</v>
      </c>
      <c r="K964" s="26">
        <f t="shared" ref="K964:K1027" si="155">AVERAGEA(F964:F984)-AVERAGE(F985:F1040)</f>
        <v>6.7637797334962779E-2</v>
      </c>
      <c r="L964" s="26">
        <f t="shared" ref="L964:L1027" si="156">AVERAGEA(F964:F984)-AVERAGE(F985:F1097)</f>
        <v>8.0449539054628372E-2</v>
      </c>
      <c r="M964" s="26">
        <f t="shared" ref="M964:M1027" si="157">AVERAGEA(H964:H984)-AVERAGE(H985:H1005)</f>
        <v>-0.60847071668088804</v>
      </c>
      <c r="N964" s="26">
        <f t="shared" ref="N964:N1027" si="158">AVERAGEA(H964:H984)-AVERAGE(H985:H1040)</f>
        <v>-1.8248997262939644</v>
      </c>
      <c r="O964" s="26">
        <f t="shared" ref="O964:O1027" si="159">AVERAGEA(H964:H984)-AVERAGE(H985:H1097)</f>
        <v>-2.1942407506700703</v>
      </c>
    </row>
    <row r="965" spans="1:15" x14ac:dyDescent="0.25">
      <c r="A965" s="2">
        <v>44133</v>
      </c>
      <c r="B965">
        <v>43890</v>
      </c>
      <c r="C965">
        <v>110381</v>
      </c>
      <c r="D965">
        <v>1025881</v>
      </c>
      <c r="F965">
        <f t="shared" si="150"/>
        <v>0.13072129691768519</v>
      </c>
      <c r="G965">
        <f t="shared" si="151"/>
        <v>2.2192392146417941</v>
      </c>
      <c r="H965">
        <f t="shared" si="152"/>
        <v>2.5149464570517202</v>
      </c>
      <c r="I965">
        <f t="shared" si="153"/>
        <v>-1.6807741088400852</v>
      </c>
      <c r="J965" s="26">
        <f t="shared" si="154"/>
        <v>3.9703905660681049E-2</v>
      </c>
      <c r="K965" s="26">
        <f t="shared" si="155"/>
        <v>6.7796973468030181E-2</v>
      </c>
      <c r="L965" s="26">
        <f t="shared" si="156"/>
        <v>8.0084268996209407E-2</v>
      </c>
      <c r="M965" s="26">
        <f t="shared" si="157"/>
        <v>-0.62219487926663586</v>
      </c>
      <c r="N965" s="26">
        <f t="shared" si="158"/>
        <v>-1.8536029681347719</v>
      </c>
      <c r="O965" s="26">
        <f t="shared" si="159"/>
        <v>-2.1969926707258649</v>
      </c>
    </row>
    <row r="966" spans="1:15" x14ac:dyDescent="0.25">
      <c r="A966" s="2">
        <v>44132</v>
      </c>
      <c r="B966">
        <v>42390</v>
      </c>
      <c r="C966">
        <v>110043</v>
      </c>
      <c r="D966">
        <v>1022602</v>
      </c>
      <c r="F966">
        <f t="shared" si="150"/>
        <v>0.12972634857685089</v>
      </c>
      <c r="G966">
        <f t="shared" si="151"/>
        <v>2.2404810398876434</v>
      </c>
      <c r="H966">
        <f t="shared" si="152"/>
        <v>2.5959660297239915</v>
      </c>
      <c r="I966">
        <f t="shared" si="153"/>
        <v>-1.6427902292775116</v>
      </c>
      <c r="J966" s="26">
        <f t="shared" si="154"/>
        <v>4.1199885252944282E-2</v>
      </c>
      <c r="K966" s="26">
        <f t="shared" si="155"/>
        <v>6.7997750164278933E-2</v>
      </c>
      <c r="L966" s="26">
        <f t="shared" si="156"/>
        <v>7.9774134842116984E-2</v>
      </c>
      <c r="M966" s="26">
        <f t="shared" si="157"/>
        <v>-0.65412722788099131</v>
      </c>
      <c r="N966" s="26">
        <f t="shared" si="158"/>
        <v>-1.8778116355302075</v>
      </c>
      <c r="O966" s="26">
        <f t="shared" si="159"/>
        <v>-2.1957113591970652</v>
      </c>
    </row>
    <row r="967" spans="1:15" x14ac:dyDescent="0.25">
      <c r="A967" s="2">
        <v>44131</v>
      </c>
      <c r="B967">
        <v>41890</v>
      </c>
      <c r="C967">
        <v>109118</v>
      </c>
      <c r="D967">
        <v>1012739</v>
      </c>
      <c r="F967">
        <f t="shared" si="150"/>
        <v>0.12976016264703583</v>
      </c>
      <c r="G967">
        <f t="shared" si="151"/>
        <v>2.293027929519488</v>
      </c>
      <c r="H967">
        <f t="shared" si="152"/>
        <v>2.6048698973502029</v>
      </c>
      <c r="I967">
        <f t="shared" si="153"/>
        <v>-1.6602831140464069</v>
      </c>
      <c r="J967" s="26">
        <f t="shared" si="154"/>
        <v>4.2966969999401181E-2</v>
      </c>
      <c r="K967" s="26">
        <f t="shared" si="155"/>
        <v>6.8158449248650943E-2</v>
      </c>
      <c r="L967" s="26">
        <f t="shared" si="156"/>
        <v>7.9439539894115424E-2</v>
      </c>
      <c r="M967" s="26">
        <f t="shared" si="157"/>
        <v>-0.72273421495867085</v>
      </c>
      <c r="N967" s="26">
        <f t="shared" si="158"/>
        <v>-1.9028798481037685</v>
      </c>
      <c r="O967" s="26">
        <f t="shared" si="159"/>
        <v>-2.1960438733343941</v>
      </c>
    </row>
    <row r="968" spans="1:15" x14ac:dyDescent="0.25">
      <c r="A968" s="2">
        <v>44130</v>
      </c>
      <c r="B968">
        <v>41190</v>
      </c>
      <c r="C968">
        <v>107431</v>
      </c>
      <c r="D968">
        <v>1011633</v>
      </c>
      <c r="F968">
        <f t="shared" si="150"/>
        <v>0.12809350366385291</v>
      </c>
      <c r="G968">
        <f t="shared" si="151"/>
        <v>2.2989086372122181</v>
      </c>
      <c r="H968">
        <f t="shared" si="152"/>
        <v>2.6081815974751152</v>
      </c>
      <c r="I968">
        <f t="shared" si="153"/>
        <v>-1.6830544956432811</v>
      </c>
      <c r="J968" s="26">
        <f t="shared" si="154"/>
        <v>4.4603952889957374E-2</v>
      </c>
      <c r="K968" s="26">
        <f t="shared" si="155"/>
        <v>6.8175003098058573E-2</v>
      </c>
      <c r="L968" s="26">
        <f t="shared" si="156"/>
        <v>7.8981116818882702E-2</v>
      </c>
      <c r="M968" s="26">
        <f t="shared" si="157"/>
        <v>-0.79889058117075029</v>
      </c>
      <c r="N968" s="26">
        <f t="shared" si="158"/>
        <v>-1.9280906785019236</v>
      </c>
      <c r="O968" s="26">
        <f t="shared" si="159"/>
        <v>-2.1969294346793116</v>
      </c>
    </row>
    <row r="969" spans="1:15" x14ac:dyDescent="0.25">
      <c r="A969" s="2">
        <v>44127</v>
      </c>
      <c r="B969">
        <v>36455</v>
      </c>
      <c r="C969">
        <v>105961</v>
      </c>
      <c r="D969">
        <v>1009005</v>
      </c>
      <c r="F969">
        <f t="shared" si="150"/>
        <v>0.12368716568483638</v>
      </c>
      <c r="G969">
        <f t="shared" si="151"/>
        <v>2.2220790709142433</v>
      </c>
      <c r="H969">
        <f t="shared" si="152"/>
        <v>2.9066246056782332</v>
      </c>
      <c r="I969">
        <f t="shared" si="153"/>
        <v>-1.4694872413884212</v>
      </c>
      <c r="J969" s="26">
        <f t="shared" si="154"/>
        <v>4.6022404711928241E-2</v>
      </c>
      <c r="K969" s="26">
        <f t="shared" si="155"/>
        <v>6.7950506240539721E-2</v>
      </c>
      <c r="L969" s="26">
        <f t="shared" si="156"/>
        <v>7.8166468141168038E-2</v>
      </c>
      <c r="M969" s="26">
        <f t="shared" si="157"/>
        <v>-0.88777677968997315</v>
      </c>
      <c r="N969" s="26">
        <f t="shared" si="158"/>
        <v>-1.9498257641488133</v>
      </c>
      <c r="O969" s="26">
        <f t="shared" si="159"/>
        <v>-2.1951765592963977</v>
      </c>
    </row>
    <row r="970" spans="1:15" x14ac:dyDescent="0.25">
      <c r="A970" s="2">
        <v>44126</v>
      </c>
      <c r="B970">
        <v>36330</v>
      </c>
      <c r="C970">
        <v>104711</v>
      </c>
      <c r="D970">
        <v>1001668</v>
      </c>
      <c r="F970">
        <f t="shared" si="150"/>
        <v>0.12342687420856929</v>
      </c>
      <c r="G970">
        <f t="shared" si="151"/>
        <v>2.2656952157448624</v>
      </c>
      <c r="H970">
        <f t="shared" si="152"/>
        <v>2.8822185521607486</v>
      </c>
      <c r="I970">
        <f t="shared" si="153"/>
        <v>-1.5083611823803238</v>
      </c>
      <c r="J970" s="26">
        <f t="shared" si="154"/>
        <v>4.7687076763201122E-2</v>
      </c>
      <c r="K970" s="26">
        <f t="shared" si="155"/>
        <v>6.7909207490596424E-2</v>
      </c>
      <c r="L970" s="26">
        <f t="shared" si="156"/>
        <v>7.7547360382828001E-2</v>
      </c>
      <c r="M970" s="26">
        <f t="shared" si="157"/>
        <v>-0.9902265716160028</v>
      </c>
      <c r="N970" s="26">
        <f t="shared" si="158"/>
        <v>-1.9853199182473293</v>
      </c>
      <c r="O970" s="26">
        <f t="shared" si="159"/>
        <v>-2.2077763497326535</v>
      </c>
    </row>
    <row r="971" spans="1:15" x14ac:dyDescent="0.25">
      <c r="A971" s="2">
        <v>44125</v>
      </c>
      <c r="B971">
        <v>35550</v>
      </c>
      <c r="C971">
        <v>103911</v>
      </c>
      <c r="D971">
        <v>1005107</v>
      </c>
      <c r="F971">
        <f t="shared" si="150"/>
        <v>0.12184597158054393</v>
      </c>
      <c r="G971">
        <f t="shared" si="151"/>
        <v>2.2712736791052297</v>
      </c>
      <c r="H971">
        <f t="shared" si="152"/>
        <v>2.9229535864978904</v>
      </c>
      <c r="I971">
        <f t="shared" si="153"/>
        <v>-1.4958146053254189</v>
      </c>
      <c r="J971" s="26">
        <f t="shared" si="154"/>
        <v>4.9053741126526135E-2</v>
      </c>
      <c r="K971" s="26">
        <f t="shared" si="155"/>
        <v>6.7598855002841574E-2</v>
      </c>
      <c r="L971" s="26">
        <f t="shared" si="156"/>
        <v>7.6700504567688926E-2</v>
      </c>
      <c r="M971" s="26">
        <f t="shared" si="157"/>
        <v>-1.0816431307211429</v>
      </c>
      <c r="N971" s="26">
        <f t="shared" si="158"/>
        <v>-2.0264767636463619</v>
      </c>
      <c r="O971" s="26">
        <f t="shared" si="159"/>
        <v>-2.2096531057128406</v>
      </c>
    </row>
    <row r="972" spans="1:15" x14ac:dyDescent="0.25">
      <c r="A972" s="2">
        <v>44124</v>
      </c>
      <c r="B972">
        <v>35550</v>
      </c>
      <c r="C972">
        <v>103812</v>
      </c>
      <c r="D972">
        <v>994343</v>
      </c>
      <c r="F972">
        <f t="shared" si="150"/>
        <v>0.12292615803934887</v>
      </c>
      <c r="G972">
        <f t="shared" si="151"/>
        <v>2.3611439722633554</v>
      </c>
      <c r="H972">
        <f t="shared" si="152"/>
        <v>2.920168776371308</v>
      </c>
      <c r="I972">
        <f t="shared" si="153"/>
        <v>-1.5184069144724421</v>
      </c>
      <c r="J972" s="26">
        <f t="shared" si="154"/>
        <v>5.0262229842172608E-2</v>
      </c>
      <c r="K972" s="26">
        <f t="shared" si="155"/>
        <v>6.7097078363281715E-2</v>
      </c>
      <c r="L972" s="26">
        <f t="shared" si="156"/>
        <v>7.5710961574315006E-2</v>
      </c>
      <c r="M972" s="26">
        <f t="shared" si="157"/>
        <v>-1.1751291606143512</v>
      </c>
      <c r="N972" s="26">
        <f t="shared" si="158"/>
        <v>-2.0664559625421797</v>
      </c>
      <c r="O972" s="26">
        <f t="shared" si="159"/>
        <v>-2.2111004505927534</v>
      </c>
    </row>
    <row r="973" spans="1:15" x14ac:dyDescent="0.25">
      <c r="A973" s="2">
        <v>44123</v>
      </c>
      <c r="B973">
        <v>35550</v>
      </c>
      <c r="C973">
        <v>103312</v>
      </c>
      <c r="D973">
        <v>991546</v>
      </c>
      <c r="F973">
        <f t="shared" si="150"/>
        <v>0.12284237195773562</v>
      </c>
      <c r="G973">
        <f t="shared" si="151"/>
        <v>2.420866483542182</v>
      </c>
      <c r="H973">
        <f t="shared" si="152"/>
        <v>2.9061040787623065</v>
      </c>
      <c r="I973">
        <f t="shared" si="153"/>
        <v>-1.5512098924006796</v>
      </c>
      <c r="J973" s="26">
        <f t="shared" si="154"/>
        <v>5.1165984512229576E-2</v>
      </c>
      <c r="K973" s="26">
        <f t="shared" si="155"/>
        <v>6.6359441049468879E-2</v>
      </c>
      <c r="L973" s="26">
        <f t="shared" si="156"/>
        <v>7.4520195810557105E-2</v>
      </c>
      <c r="M973" s="26">
        <f t="shared" si="157"/>
        <v>-1.2676105101263104</v>
      </c>
      <c r="N973" s="26">
        <f t="shared" si="158"/>
        <v>-2.1079279221428546</v>
      </c>
      <c r="O973" s="26">
        <f t="shared" si="159"/>
        <v>-2.2142238846572777</v>
      </c>
    </row>
    <row r="974" spans="1:15" x14ac:dyDescent="0.25">
      <c r="A974" s="2">
        <v>44120</v>
      </c>
      <c r="B974">
        <v>35550</v>
      </c>
      <c r="C974">
        <v>102262</v>
      </c>
      <c r="D974">
        <v>988578</v>
      </c>
      <c r="F974">
        <f t="shared" si="150"/>
        <v>0.1223483873258818</v>
      </c>
      <c r="G974">
        <f t="shared" si="151"/>
        <v>2.4720616667144637</v>
      </c>
      <c r="H974">
        <f t="shared" si="152"/>
        <v>2.8765682137834037</v>
      </c>
      <c r="I974">
        <f t="shared" si="153"/>
        <v>-1.5982012527938489</v>
      </c>
      <c r="J974" s="26">
        <f t="shared" si="154"/>
        <v>5.2059672978818902E-2</v>
      </c>
      <c r="K974" s="26">
        <f t="shared" si="155"/>
        <v>6.5611350843701371E-2</v>
      </c>
      <c r="L974" s="26">
        <f t="shared" si="156"/>
        <v>7.332971855944162E-2</v>
      </c>
      <c r="M974" s="26">
        <f t="shared" si="157"/>
        <v>-1.3578039891557321</v>
      </c>
      <c r="N974" s="26">
        <f t="shared" si="158"/>
        <v>-2.1487301342383391</v>
      </c>
      <c r="O974" s="26">
        <f t="shared" si="159"/>
        <v>-2.217070060072805</v>
      </c>
    </row>
    <row r="975" spans="1:15" x14ac:dyDescent="0.25">
      <c r="A975" s="2">
        <v>44119</v>
      </c>
      <c r="B975">
        <v>35650</v>
      </c>
      <c r="C975">
        <v>102752</v>
      </c>
      <c r="D975">
        <v>987873</v>
      </c>
      <c r="F975">
        <f t="shared" si="150"/>
        <v>0.12288473063860958</v>
      </c>
      <c r="G975">
        <f t="shared" si="151"/>
        <v>2.5621813767617421</v>
      </c>
      <c r="H975">
        <f t="shared" si="152"/>
        <v>2.8822440392706872</v>
      </c>
      <c r="I975">
        <f t="shared" si="153"/>
        <v>-1.6179870801128655</v>
      </c>
      <c r="J975" s="26">
        <f t="shared" si="154"/>
        <v>5.2852884048193424E-2</v>
      </c>
      <c r="K975" s="26">
        <f t="shared" si="155"/>
        <v>6.4825740785344754E-2</v>
      </c>
      <c r="L975" s="26">
        <f t="shared" si="156"/>
        <v>7.2101825494218452E-2</v>
      </c>
      <c r="M975" s="26">
        <f t="shared" si="157"/>
        <v>-1.4438326057582707</v>
      </c>
      <c r="N975" s="26">
        <f t="shared" si="158"/>
        <v>-2.1817651959007742</v>
      </c>
      <c r="O975" s="26">
        <f t="shared" si="159"/>
        <v>-2.217236608184403</v>
      </c>
    </row>
    <row r="976" spans="1:15" x14ac:dyDescent="0.25">
      <c r="A976" s="2">
        <v>44118</v>
      </c>
      <c r="B976">
        <v>35150</v>
      </c>
      <c r="C976">
        <v>101272</v>
      </c>
      <c r="D976">
        <v>983711</v>
      </c>
      <c r="F976">
        <f t="shared" si="150"/>
        <v>0.12179089447413834</v>
      </c>
      <c r="G976">
        <f t="shared" si="151"/>
        <v>2.6049577755265996</v>
      </c>
      <c r="H976">
        <f t="shared" si="152"/>
        <v>2.8811379800853487</v>
      </c>
      <c r="I976">
        <f t="shared" si="153"/>
        <v>-1.6444039740845477</v>
      </c>
      <c r="J976" s="26">
        <f t="shared" si="154"/>
        <v>5.2819060925515554E-2</v>
      </c>
      <c r="K976" s="26">
        <f t="shared" si="155"/>
        <v>6.3467990379658154E-2</v>
      </c>
      <c r="L976" s="26">
        <f t="shared" si="156"/>
        <v>7.0379092923014891E-2</v>
      </c>
      <c r="M976" s="26">
        <f t="shared" si="157"/>
        <v>-1.4855311694141813</v>
      </c>
      <c r="N976" s="26">
        <f t="shared" si="158"/>
        <v>-2.1844078078512021</v>
      </c>
      <c r="O976" s="26">
        <f t="shared" si="159"/>
        <v>-2.1909061590926395</v>
      </c>
    </row>
    <row r="977" spans="1:15" x14ac:dyDescent="0.25">
      <c r="A977" s="2">
        <v>44117</v>
      </c>
      <c r="B977">
        <v>35150</v>
      </c>
      <c r="C977">
        <v>101037</v>
      </c>
      <c r="D977">
        <v>982470</v>
      </c>
      <c r="F977">
        <f t="shared" si="150"/>
        <v>0.12174151683670688</v>
      </c>
      <c r="G977">
        <f t="shared" si="151"/>
        <v>2.6881659382924368</v>
      </c>
      <c r="H977">
        <f t="shared" si="152"/>
        <v>2.8744523470839258</v>
      </c>
      <c r="I977">
        <f t="shared" si="153"/>
        <v>-1.6768247599771415</v>
      </c>
      <c r="J977" s="26">
        <f t="shared" si="154"/>
        <v>5.2479294935921621E-2</v>
      </c>
      <c r="K977" s="26">
        <f t="shared" si="155"/>
        <v>6.1940970280999277E-2</v>
      </c>
      <c r="L977" s="26">
        <f t="shared" si="156"/>
        <v>6.8505382423347652E-2</v>
      </c>
      <c r="M977" s="26">
        <f t="shared" si="157"/>
        <v>-1.5271440806949537</v>
      </c>
      <c r="N977" s="26">
        <f t="shared" si="158"/>
        <v>-2.1869750745796548</v>
      </c>
      <c r="O977" s="26">
        <f t="shared" si="159"/>
        <v>-2.1648242377443632</v>
      </c>
    </row>
    <row r="978" spans="1:15" x14ac:dyDescent="0.25">
      <c r="A978" s="2">
        <v>44116</v>
      </c>
      <c r="B978">
        <v>34650</v>
      </c>
      <c r="C978">
        <v>99927</v>
      </c>
      <c r="D978">
        <v>983332</v>
      </c>
      <c r="F978">
        <f t="shared" si="150"/>
        <v>0.12038278607650534</v>
      </c>
      <c r="G978">
        <f t="shared" si="151"/>
        <v>2.7327098741018436</v>
      </c>
      <c r="H978">
        <f t="shared" si="152"/>
        <v>2.8838961038961037</v>
      </c>
      <c r="I978">
        <f t="shared" si="153"/>
        <v>-1.6971536493503134</v>
      </c>
      <c r="J978" s="26">
        <f t="shared" si="154"/>
        <v>5.2030494350320963E-2</v>
      </c>
      <c r="K978" s="26">
        <f t="shared" si="155"/>
        <v>6.0342757118938176E-2</v>
      </c>
      <c r="L978" s="26">
        <f t="shared" si="156"/>
        <v>6.6578337800285617E-2</v>
      </c>
      <c r="M978" s="26">
        <f t="shared" si="157"/>
        <v>-1.5586179990585833</v>
      </c>
      <c r="N978" s="26">
        <f t="shared" si="158"/>
        <v>-2.182472295091241</v>
      </c>
      <c r="O978" s="26">
        <f t="shared" si="159"/>
        <v>-2.1327481649286719</v>
      </c>
    </row>
    <row r="979" spans="1:15" x14ac:dyDescent="0.25">
      <c r="A979" s="2">
        <v>44113</v>
      </c>
      <c r="B979">
        <v>34150</v>
      </c>
      <c r="C979">
        <v>97317</v>
      </c>
      <c r="D979">
        <v>982176</v>
      </c>
      <c r="F979">
        <f t="shared" si="150"/>
        <v>0.1180512965106412</v>
      </c>
      <c r="G979">
        <f t="shared" si="151"/>
        <v>2.7450732698516158</v>
      </c>
      <c r="H979">
        <f t="shared" si="152"/>
        <v>2.8496925329428988</v>
      </c>
      <c r="I979">
        <f t="shared" si="153"/>
        <v>-1.7560323709707708</v>
      </c>
      <c r="J979" s="26">
        <f t="shared" si="154"/>
        <v>5.1417896272998684E-2</v>
      </c>
      <c r="K979" s="26">
        <f t="shared" si="155"/>
        <v>5.8652209271808649E-2</v>
      </c>
      <c r="L979" s="26">
        <f t="shared" si="156"/>
        <v>6.4586415036939487E-2</v>
      </c>
      <c r="M979" s="26">
        <f t="shared" si="157"/>
        <v>-1.5876595507271252</v>
      </c>
      <c r="N979" s="26">
        <f t="shared" si="158"/>
        <v>-2.176437795595374</v>
      </c>
      <c r="O979" s="26">
        <f t="shared" si="159"/>
        <v>-2.0996739799722577</v>
      </c>
    </row>
    <row r="980" spans="1:15" x14ac:dyDescent="0.25">
      <c r="A980" s="2">
        <v>44112</v>
      </c>
      <c r="B980">
        <v>34150</v>
      </c>
      <c r="C980">
        <v>94606</v>
      </c>
      <c r="D980">
        <v>982282</v>
      </c>
      <c r="F980">
        <f t="shared" si="150"/>
        <v>0.11588802543207342</v>
      </c>
      <c r="G980">
        <f t="shared" si="151"/>
        <v>2.7635594063407862</v>
      </c>
      <c r="H980">
        <f t="shared" si="152"/>
        <v>2.7703074670571008</v>
      </c>
      <c r="I980">
        <f t="shared" si="153"/>
        <v>-1.8573267372232447</v>
      </c>
      <c r="J980" s="26">
        <f t="shared" si="154"/>
        <v>5.0658611336350377E-2</v>
      </c>
      <c r="K980" s="26">
        <f t="shared" si="155"/>
        <v>5.6895979397546315E-2</v>
      </c>
      <c r="L980" s="26">
        <f t="shared" si="156"/>
        <v>6.2558098757103081E-2</v>
      </c>
      <c r="M980" s="26">
        <f t="shared" si="157"/>
        <v>-1.6275532830311721</v>
      </c>
      <c r="N980" s="26">
        <f t="shared" si="158"/>
        <v>-2.1773551885758029</v>
      </c>
      <c r="O980" s="26">
        <f t="shared" si="159"/>
        <v>-2.0729578982596411</v>
      </c>
    </row>
    <row r="981" spans="1:15" x14ac:dyDescent="0.25">
      <c r="A981" s="2">
        <v>44111</v>
      </c>
      <c r="B981">
        <v>32400</v>
      </c>
      <c r="C981">
        <v>94356</v>
      </c>
      <c r="D981">
        <v>983747</v>
      </c>
      <c r="F981">
        <f t="shared" si="150"/>
        <v>0.11414287039296607</v>
      </c>
      <c r="G981">
        <f t="shared" si="151"/>
        <v>2.7989519538508638</v>
      </c>
      <c r="H981">
        <f t="shared" si="152"/>
        <v>2.9122222222222223</v>
      </c>
      <c r="I981">
        <f t="shared" si="153"/>
        <v>-1.7707802533265997</v>
      </c>
      <c r="J981" s="26">
        <f t="shared" si="154"/>
        <v>4.9734781423160394E-2</v>
      </c>
      <c r="K981" s="26">
        <f t="shared" si="155"/>
        <v>5.5060905740350892E-2</v>
      </c>
      <c r="L981" s="26">
        <f t="shared" si="156"/>
        <v>6.0478916201892108E-2</v>
      </c>
      <c r="M981" s="26">
        <f t="shared" si="157"/>
        <v>-1.677711322677657</v>
      </c>
      <c r="N981" s="26">
        <f t="shared" si="158"/>
        <v>-2.1841479674689528</v>
      </c>
      <c r="O981" s="26">
        <f t="shared" si="159"/>
        <v>-2.051468224791074</v>
      </c>
    </row>
    <row r="982" spans="1:15" x14ac:dyDescent="0.25">
      <c r="A982" s="2">
        <v>44110</v>
      </c>
      <c r="B982">
        <v>32400</v>
      </c>
      <c r="C982">
        <v>94356</v>
      </c>
      <c r="D982">
        <v>986987</v>
      </c>
      <c r="F982">
        <f t="shared" si="150"/>
        <v>0.11381081631938428</v>
      </c>
      <c r="G982">
        <f t="shared" si="151"/>
        <v>2.894371504183809</v>
      </c>
      <c r="H982">
        <f t="shared" si="152"/>
        <v>2.9122222222222223</v>
      </c>
      <c r="I982">
        <f t="shared" si="153"/>
        <v>-1.8045710854797237</v>
      </c>
      <c r="J982" s="26">
        <f t="shared" si="154"/>
        <v>4.8760889943879879E-2</v>
      </c>
      <c r="K982" s="26">
        <f t="shared" si="155"/>
        <v>5.3215779441440576E-2</v>
      </c>
      <c r="L982" s="26">
        <f t="shared" si="156"/>
        <v>5.8409381794009389E-2</v>
      </c>
      <c r="M982" s="26">
        <f t="shared" si="157"/>
        <v>-1.7308886195473612</v>
      </c>
      <c r="N982" s="26">
        <f t="shared" si="158"/>
        <v>-2.1951283124168324</v>
      </c>
      <c r="O982" s="26">
        <f t="shared" si="159"/>
        <v>-2.0348429244074149</v>
      </c>
    </row>
    <row r="983" spans="1:15" x14ac:dyDescent="0.25">
      <c r="A983" s="2">
        <v>44109</v>
      </c>
      <c r="B983">
        <v>31650</v>
      </c>
      <c r="C983">
        <v>91381</v>
      </c>
      <c r="D983">
        <v>986226</v>
      </c>
      <c r="F983">
        <f t="shared" si="150"/>
        <v>0.11091298049054457</v>
      </c>
      <c r="G983">
        <f t="shared" si="151"/>
        <v>2.8940561883144325</v>
      </c>
      <c r="H983">
        <f t="shared" si="152"/>
        <v>2.8872353870458136</v>
      </c>
      <c r="I983">
        <f t="shared" si="153"/>
        <v>-1.8627397554559593</v>
      </c>
      <c r="J983" s="26">
        <f t="shared" si="154"/>
        <v>4.772544203207027E-2</v>
      </c>
      <c r="K983" s="26">
        <f t="shared" si="155"/>
        <v>5.1326979891893713E-2</v>
      </c>
      <c r="L983" s="26">
        <f t="shared" si="156"/>
        <v>5.6314794547391779E-2</v>
      </c>
      <c r="M983" s="26">
        <f t="shared" si="157"/>
        <v>-1.7918061149699858</v>
      </c>
      <c r="N983" s="26">
        <f t="shared" si="158"/>
        <v>-2.2114300438698447</v>
      </c>
      <c r="O983" s="26">
        <f t="shared" si="159"/>
        <v>-2.0234169689274237</v>
      </c>
    </row>
    <row r="984" spans="1:15" x14ac:dyDescent="0.25">
      <c r="A984" s="2">
        <v>44106</v>
      </c>
      <c r="B984">
        <v>31400</v>
      </c>
      <c r="C984">
        <v>90631</v>
      </c>
      <c r="D984">
        <v>985973</v>
      </c>
      <c r="F984">
        <f t="shared" si="150"/>
        <v>0.11013588398597839</v>
      </c>
      <c r="G984">
        <f t="shared" si="151"/>
        <v>2.9825125159025001</v>
      </c>
      <c r="H984">
        <f t="shared" si="152"/>
        <v>2.8863375796178343</v>
      </c>
      <c r="I984">
        <f t="shared" si="153"/>
        <v>-1.9027992354110517</v>
      </c>
      <c r="J984" s="26">
        <f t="shared" si="154"/>
        <v>4.6609296223729335E-2</v>
      </c>
      <c r="K984" s="26">
        <f t="shared" si="155"/>
        <v>4.9425719203361369E-2</v>
      </c>
      <c r="L984" s="26">
        <f t="shared" si="156"/>
        <v>5.4232851520935967E-2</v>
      </c>
      <c r="M984" s="26">
        <f t="shared" si="157"/>
        <v>-1.8278266312199465</v>
      </c>
      <c r="N984" s="26">
        <f t="shared" si="158"/>
        <v>-2.2102432742372411</v>
      </c>
      <c r="O984" s="26">
        <f t="shared" si="159"/>
        <v>-1.9965699219816067</v>
      </c>
    </row>
    <row r="985" spans="1:15" x14ac:dyDescent="0.25">
      <c r="A985" s="2">
        <v>44105</v>
      </c>
      <c r="B985">
        <v>30500</v>
      </c>
      <c r="C985">
        <v>89706</v>
      </c>
      <c r="D985">
        <v>983840</v>
      </c>
      <c r="F985">
        <f t="shared" si="150"/>
        <v>0.1088777098055697</v>
      </c>
      <c r="G985">
        <f t="shared" si="151"/>
        <v>3.0605872663578748</v>
      </c>
      <c r="H985">
        <f t="shared" si="152"/>
        <v>2.9411803278688526</v>
      </c>
      <c r="I985">
        <f t="shared" si="153"/>
        <v>-1.8944010547866263</v>
      </c>
      <c r="J985" s="26">
        <f t="shared" si="154"/>
        <v>4.5466797732474813E-2</v>
      </c>
      <c r="K985" s="26">
        <f t="shared" si="155"/>
        <v>4.7518144102968216E-2</v>
      </c>
      <c r="L985" s="26">
        <f t="shared" si="156"/>
        <v>5.21565314161773E-2</v>
      </c>
      <c r="M985" s="26">
        <f t="shared" si="157"/>
        <v>-1.8613240080283626</v>
      </c>
      <c r="N985" s="26">
        <f t="shared" si="158"/>
        <v>-2.2094816398899937</v>
      </c>
      <c r="O985" s="26">
        <f t="shared" si="159"/>
        <v>-1.9685421111589845</v>
      </c>
    </row>
    <row r="986" spans="1:15" x14ac:dyDescent="0.25">
      <c r="A986" s="2">
        <v>44104</v>
      </c>
      <c r="B986">
        <v>30000</v>
      </c>
      <c r="C986">
        <v>88581</v>
      </c>
      <c r="D986">
        <v>981308</v>
      </c>
      <c r="F986">
        <f t="shared" si="150"/>
        <v>0.10781178828045375</v>
      </c>
      <c r="G986">
        <f t="shared" si="151"/>
        <v>3.1573533226522161</v>
      </c>
      <c r="H986">
        <f t="shared" si="152"/>
        <v>2.9527000000000001</v>
      </c>
      <c r="I986">
        <f t="shared" si="153"/>
        <v>-1.925509285897377</v>
      </c>
      <c r="J986" s="26">
        <f t="shared" si="154"/>
        <v>4.4090802781267653E-2</v>
      </c>
      <c r="K986" s="26">
        <f t="shared" si="155"/>
        <v>4.5468707296681073E-2</v>
      </c>
      <c r="L986" s="26">
        <f t="shared" si="156"/>
        <v>4.9968775977549389E-2</v>
      </c>
      <c r="M986" s="26">
        <f t="shared" si="157"/>
        <v>-1.9228423175127638</v>
      </c>
      <c r="N986" s="26">
        <f t="shared" si="158"/>
        <v>-2.2288005090826495</v>
      </c>
      <c r="O986" s="26">
        <f t="shared" si="159"/>
        <v>-1.9593414382108998</v>
      </c>
    </row>
    <row r="987" spans="1:15" x14ac:dyDescent="0.25">
      <c r="A987" s="2">
        <v>44103</v>
      </c>
      <c r="B987">
        <v>29250</v>
      </c>
      <c r="C987">
        <v>87706</v>
      </c>
      <c r="D987">
        <v>980751</v>
      </c>
      <c r="F987">
        <f t="shared" si="150"/>
        <v>0.10654573579288462</v>
      </c>
      <c r="G987">
        <f t="shared" si="151"/>
        <v>3.2578980016650458</v>
      </c>
      <c r="H987">
        <f t="shared" si="152"/>
        <v>2.9984957264957264</v>
      </c>
      <c r="I987">
        <f t="shared" si="153"/>
        <v>-1.9264792768607724</v>
      </c>
      <c r="J987" s="26">
        <f t="shared" si="154"/>
        <v>4.2408842496308691E-2</v>
      </c>
      <c r="K987" s="26">
        <f t="shared" si="155"/>
        <v>4.322596465417896E-2</v>
      </c>
      <c r="L987" s="26">
        <f t="shared" si="156"/>
        <v>4.762115283070522E-2</v>
      </c>
      <c r="M987" s="26">
        <f t="shared" si="157"/>
        <v>-1.9388179670952654</v>
      </c>
      <c r="N987" s="26">
        <f t="shared" si="158"/>
        <v>-2.2169802232851774</v>
      </c>
      <c r="O987" s="26">
        <f t="shared" si="159"/>
        <v>-1.922446093170632</v>
      </c>
    </row>
    <row r="988" spans="1:15" x14ac:dyDescent="0.25">
      <c r="A988" s="2">
        <v>44102</v>
      </c>
      <c r="B988">
        <v>29000</v>
      </c>
      <c r="C988">
        <v>87081</v>
      </c>
      <c r="D988">
        <v>995986</v>
      </c>
      <c r="F988">
        <f t="shared" si="150"/>
        <v>0.10438309921974126</v>
      </c>
      <c r="G988">
        <f t="shared" si="151"/>
        <v>3.3275998320517819</v>
      </c>
      <c r="H988">
        <f t="shared" si="152"/>
        <v>3.0027931034482758</v>
      </c>
      <c r="I988">
        <f t="shared" si="153"/>
        <v>-1.9669308328304036</v>
      </c>
      <c r="J988" s="26">
        <f t="shared" si="154"/>
        <v>4.0098330964535384E-2</v>
      </c>
      <c r="K988" s="26">
        <f t="shared" si="155"/>
        <v>4.0574095800263679E-2</v>
      </c>
      <c r="L988" s="26">
        <f t="shared" si="156"/>
        <v>4.4916914872737468E-2</v>
      </c>
      <c r="M988" s="26">
        <f t="shared" si="157"/>
        <v>-1.882618242887184</v>
      </c>
      <c r="N988" s="26">
        <f t="shared" si="158"/>
        <v>-2.1551826460518475</v>
      </c>
      <c r="O988" s="26">
        <f t="shared" si="159"/>
        <v>-1.8416370729696538</v>
      </c>
    </row>
    <row r="989" spans="1:15" x14ac:dyDescent="0.25">
      <c r="A989" s="2">
        <v>44099</v>
      </c>
      <c r="B989">
        <v>27125</v>
      </c>
      <c r="C989">
        <v>82956</v>
      </c>
      <c r="D989">
        <v>996190</v>
      </c>
      <c r="F989">
        <f t="shared" si="150"/>
        <v>9.9506359653285678E-2</v>
      </c>
      <c r="G989">
        <f t="shared" si="151"/>
        <v>3.2609641653066133</v>
      </c>
      <c r="H989">
        <f t="shared" si="152"/>
        <v>3.0582857142857143</v>
      </c>
      <c r="I989">
        <f t="shared" si="153"/>
        <v>-1.9607876702287443</v>
      </c>
      <c r="J989" s="26">
        <f t="shared" si="154"/>
        <v>3.7735193348747698E-2</v>
      </c>
      <c r="K989" s="26">
        <f t="shared" si="155"/>
        <v>3.7917501370300762E-2</v>
      </c>
      <c r="L989" s="26">
        <f t="shared" si="156"/>
        <v>4.2224125260527892E-2</v>
      </c>
      <c r="M989" s="26">
        <f t="shared" si="157"/>
        <v>-1.811553836810055</v>
      </c>
      <c r="N989" s="26">
        <f t="shared" si="158"/>
        <v>-2.0832295490953419</v>
      </c>
      <c r="O989" s="26">
        <f t="shared" si="159"/>
        <v>-1.7517595272878337</v>
      </c>
    </row>
    <row r="990" spans="1:15" x14ac:dyDescent="0.25">
      <c r="A990" s="2">
        <v>44098</v>
      </c>
      <c r="B990">
        <v>26875</v>
      </c>
      <c r="C990">
        <v>82306</v>
      </c>
      <c r="D990">
        <v>992765</v>
      </c>
      <c r="F990">
        <f t="shared" si="150"/>
        <v>9.9080172712637457E-2</v>
      </c>
      <c r="G990">
        <f t="shared" si="151"/>
        <v>3.4207255554023468</v>
      </c>
      <c r="H990">
        <f t="shared" si="152"/>
        <v>3.0625488372093024</v>
      </c>
      <c r="I990">
        <f t="shared" si="153"/>
        <v>-2.0042183264482456</v>
      </c>
      <c r="J990" s="26">
        <f t="shared" si="154"/>
        <v>3.5270012036241957E-2</v>
      </c>
      <c r="K990" s="26">
        <f t="shared" si="155"/>
        <v>3.5274650143622473E-2</v>
      </c>
      <c r="L990" s="26">
        <f t="shared" si="156"/>
        <v>3.9561924220602854E-2</v>
      </c>
      <c r="M990" s="26">
        <f t="shared" si="157"/>
        <v>-1.7074176502966156</v>
      </c>
      <c r="N990" s="26">
        <f t="shared" si="158"/>
        <v>-1.996458928347042</v>
      </c>
      <c r="O990" s="26">
        <f t="shared" si="159"/>
        <v>-1.6422216743836784</v>
      </c>
    </row>
    <row r="991" spans="1:15" x14ac:dyDescent="0.25">
      <c r="A991" s="2">
        <v>44097</v>
      </c>
      <c r="B991">
        <v>24425</v>
      </c>
      <c r="C991">
        <v>79031</v>
      </c>
      <c r="D991">
        <v>989369</v>
      </c>
      <c r="F991">
        <f t="shared" si="150"/>
        <v>9.4668405279893855E-2</v>
      </c>
      <c r="G991">
        <f t="shared" si="151"/>
        <v>3.3756346891087357</v>
      </c>
      <c r="H991">
        <f t="shared" si="152"/>
        <v>3.2356601842374615</v>
      </c>
      <c r="I991">
        <f t="shared" si="153"/>
        <v>-1.8827070888031894</v>
      </c>
      <c r="J991" s="26">
        <f t="shared" si="154"/>
        <v>3.2667392477905087E-2</v>
      </c>
      <c r="K991" s="26">
        <f t="shared" si="155"/>
        <v>3.2543422108035798E-2</v>
      </c>
      <c r="L991" s="26">
        <f t="shared" si="156"/>
        <v>3.6827683130873194E-2</v>
      </c>
      <c r="M991" s="26">
        <f t="shared" si="157"/>
        <v>-1.6039684030474421</v>
      </c>
      <c r="N991" s="26">
        <f t="shared" si="158"/>
        <v>-1.9102240176721463</v>
      </c>
      <c r="O991" s="26">
        <f t="shared" si="159"/>
        <v>-1.5332108317024455</v>
      </c>
    </row>
    <row r="992" spans="1:15" x14ac:dyDescent="0.25">
      <c r="A992" s="2">
        <v>44096</v>
      </c>
      <c r="B992">
        <v>22925</v>
      </c>
      <c r="C992">
        <v>75269</v>
      </c>
      <c r="D992">
        <v>984888</v>
      </c>
      <c r="F992">
        <f t="shared" si="150"/>
        <v>9.0661648887157206E-2</v>
      </c>
      <c r="G992">
        <f t="shared" si="151"/>
        <v>3.3357497378103735</v>
      </c>
      <c r="H992">
        <f t="shared" si="152"/>
        <v>3.2832715376226829</v>
      </c>
      <c r="I992">
        <f t="shared" si="153"/>
        <v>-1.87829127075455</v>
      </c>
      <c r="J992" s="26">
        <f t="shared" si="154"/>
        <v>3.0048979117398705E-2</v>
      </c>
      <c r="K992" s="26">
        <f t="shared" si="155"/>
        <v>2.9876791998296688E-2</v>
      </c>
      <c r="L992" s="26">
        <f t="shared" si="156"/>
        <v>3.4170157062111323E-2</v>
      </c>
      <c r="M992" s="26">
        <f t="shared" si="157"/>
        <v>-1.4955310429581692</v>
      </c>
      <c r="N992" s="26">
        <f t="shared" si="158"/>
        <v>-1.8220197697028402</v>
      </c>
      <c r="O992" s="26">
        <f t="shared" si="159"/>
        <v>-1.424112593427016</v>
      </c>
    </row>
    <row r="993" spans="1:15" x14ac:dyDescent="0.25">
      <c r="A993" s="2">
        <v>44095</v>
      </c>
      <c r="B993">
        <v>22225</v>
      </c>
      <c r="C993">
        <v>72419</v>
      </c>
      <c r="D993">
        <v>982485</v>
      </c>
      <c r="F993">
        <f t="shared" si="150"/>
        <v>8.7866912876730638E-2</v>
      </c>
      <c r="G993">
        <f t="shared" si="151"/>
        <v>3.3566343418652034</v>
      </c>
      <c r="H993">
        <f t="shared" si="152"/>
        <v>3.2584476940382454</v>
      </c>
      <c r="I993">
        <f t="shared" si="153"/>
        <v>-1.9475122895241288</v>
      </c>
      <c r="J993" s="26">
        <f t="shared" si="154"/>
        <v>2.7331504787077431E-2</v>
      </c>
      <c r="K993" s="26">
        <f t="shared" si="155"/>
        <v>2.7198373899957488E-2</v>
      </c>
      <c r="L993" s="26">
        <f t="shared" si="156"/>
        <v>3.1521724531858211E-2</v>
      </c>
      <c r="M993" s="26">
        <f t="shared" si="157"/>
        <v>-1.3791080047589706</v>
      </c>
      <c r="N993" s="26">
        <f t="shared" si="158"/>
        <v>-1.7285534900565782</v>
      </c>
      <c r="O993" s="26">
        <f t="shared" si="159"/>
        <v>-1.3113560632637986</v>
      </c>
    </row>
    <row r="994" spans="1:15" x14ac:dyDescent="0.25">
      <c r="A994" s="2">
        <v>44092</v>
      </c>
      <c r="B994">
        <v>22225</v>
      </c>
      <c r="C994">
        <v>72419</v>
      </c>
      <c r="D994">
        <v>985214</v>
      </c>
      <c r="F994">
        <f t="shared" si="150"/>
        <v>8.7644857008977103E-2</v>
      </c>
      <c r="G994">
        <f t="shared" si="151"/>
        <v>3.5497154944350902</v>
      </c>
      <c r="H994">
        <f t="shared" si="152"/>
        <v>3.2584476940382454</v>
      </c>
      <c r="I994">
        <f t="shared" si="153"/>
        <v>-1.9962299181193428</v>
      </c>
      <c r="J994" s="26">
        <f t="shared" si="154"/>
        <v>2.472205310717699E-2</v>
      </c>
      <c r="K994" s="26">
        <f t="shared" si="155"/>
        <v>2.4657934193880036E-2</v>
      </c>
      <c r="L994" s="26">
        <f t="shared" si="156"/>
        <v>2.8991434715165219E-2</v>
      </c>
      <c r="M994" s="26">
        <f t="shared" si="157"/>
        <v>-1.267975370679423</v>
      </c>
      <c r="N994" s="26">
        <f t="shared" si="158"/>
        <v>-1.6327746036654256</v>
      </c>
      <c r="O994" s="26">
        <f t="shared" si="159"/>
        <v>-1.201470821520072</v>
      </c>
    </row>
    <row r="995" spans="1:15" x14ac:dyDescent="0.25">
      <c r="A995" s="2">
        <v>44091</v>
      </c>
      <c r="B995">
        <v>21725</v>
      </c>
      <c r="C995">
        <v>71419</v>
      </c>
      <c r="D995">
        <v>984710</v>
      </c>
      <c r="F995">
        <f t="shared" si="150"/>
        <v>8.6416156548103917E-2</v>
      </c>
      <c r="G995">
        <f t="shared" si="151"/>
        <v>3.7100227902265059</v>
      </c>
      <c r="H995">
        <f t="shared" si="152"/>
        <v>3.2874108170310703</v>
      </c>
      <c r="I995">
        <f t="shared" si="153"/>
        <v>-2.0182624873711248</v>
      </c>
      <c r="J995" s="26">
        <f t="shared" si="154"/>
        <v>2.2104194339868592E-2</v>
      </c>
      <c r="K995" s="26">
        <f t="shared" si="155"/>
        <v>2.214599028066911E-2</v>
      </c>
      <c r="L995" s="26">
        <f t="shared" si="156"/>
        <v>2.6463893920077114E-2</v>
      </c>
      <c r="M995" s="26">
        <f t="shared" si="157"/>
        <v>-1.1600789825545679</v>
      </c>
      <c r="N995" s="26">
        <f t="shared" si="158"/>
        <v>-1.5325242077966967</v>
      </c>
      <c r="O995" s="26">
        <f t="shared" si="159"/>
        <v>-1.0936113629853628</v>
      </c>
    </row>
    <row r="996" spans="1:15" x14ac:dyDescent="0.25">
      <c r="A996" s="2">
        <v>44090</v>
      </c>
      <c r="B996">
        <v>17500</v>
      </c>
      <c r="C996">
        <v>65725</v>
      </c>
      <c r="D996">
        <v>983183</v>
      </c>
      <c r="F996">
        <f t="shared" si="150"/>
        <v>7.804236277297244E-2</v>
      </c>
      <c r="G996">
        <f t="shared" si="151"/>
        <v>3.350915628376403</v>
      </c>
      <c r="H996">
        <f t="shared" si="152"/>
        <v>3.7557142857142858</v>
      </c>
      <c r="I996">
        <f t="shared" si="153"/>
        <v>-1.5709185214610946</v>
      </c>
      <c r="J996" s="26">
        <f t="shared" si="154"/>
        <v>1.9556182127668027E-2</v>
      </c>
      <c r="K996" s="26">
        <f t="shared" si="155"/>
        <v>1.9699947109565609E-2</v>
      </c>
      <c r="L996" s="26">
        <f t="shared" si="156"/>
        <v>2.400456227386653E-2</v>
      </c>
      <c r="M996" s="26">
        <f t="shared" si="157"/>
        <v>-1.0535617907627044</v>
      </c>
      <c r="N996" s="26">
        <f t="shared" si="158"/>
        <v>-1.4336530082609587</v>
      </c>
      <c r="O996" s="26">
        <f t="shared" si="159"/>
        <v>-0.98710773993861345</v>
      </c>
    </row>
    <row r="997" spans="1:15" x14ac:dyDescent="0.25">
      <c r="A997" s="2">
        <v>44089</v>
      </c>
      <c r="B997">
        <v>16500</v>
      </c>
      <c r="C997">
        <v>61975</v>
      </c>
      <c r="D997">
        <v>976924</v>
      </c>
      <c r="F997">
        <f t="shared" si="150"/>
        <v>7.4355764976089617E-2</v>
      </c>
      <c r="G997">
        <f t="shared" si="151"/>
        <v>3.264132469370272</v>
      </c>
      <c r="H997">
        <f t="shared" si="152"/>
        <v>3.7560606060606059</v>
      </c>
      <c r="I997">
        <f t="shared" si="153"/>
        <v>-1.5995338796729415</v>
      </c>
      <c r="J997" s="26">
        <f t="shared" si="154"/>
        <v>1.7409990497502352E-2</v>
      </c>
      <c r="K997" s="26">
        <f t="shared" si="155"/>
        <v>1.7794376130785126E-2</v>
      </c>
      <c r="L997" s="26">
        <f t="shared" si="156"/>
        <v>2.1950039996874188E-2</v>
      </c>
      <c r="M997" s="26">
        <f t="shared" si="157"/>
        <v>-0.96934476414623294</v>
      </c>
      <c r="N997" s="26">
        <f t="shared" si="158"/>
        <v>-1.3258319739006152</v>
      </c>
      <c r="O997" s="26">
        <f t="shared" si="159"/>
        <v>-0.90287998678842385</v>
      </c>
    </row>
    <row r="998" spans="1:15" x14ac:dyDescent="0.25">
      <c r="A998" s="2">
        <v>44088</v>
      </c>
      <c r="B998">
        <v>15800</v>
      </c>
      <c r="C998">
        <v>60975</v>
      </c>
      <c r="D998">
        <v>971291</v>
      </c>
      <c r="F998">
        <f t="shared" si="150"/>
        <v>7.3253974463440286E-2</v>
      </c>
      <c r="G998">
        <f t="shared" si="151"/>
        <v>3.3692753179471193</v>
      </c>
      <c r="H998">
        <f t="shared" si="152"/>
        <v>3.8591772151898733</v>
      </c>
      <c r="I998">
        <f t="shared" si="153"/>
        <v>-1.5177955509448433</v>
      </c>
      <c r="J998" s="26">
        <f t="shared" si="154"/>
        <v>1.5446954855583755E-2</v>
      </c>
      <c r="K998" s="26">
        <f t="shared" si="155"/>
        <v>1.6074537923790856E-2</v>
      </c>
      <c r="L998" s="26">
        <f t="shared" si="156"/>
        <v>2.0080880707136244E-2</v>
      </c>
      <c r="M998" s="26">
        <f t="shared" si="157"/>
        <v>-0.8851442289748217</v>
      </c>
      <c r="N998" s="26">
        <f t="shared" si="158"/>
        <v>-1.2180274309853312</v>
      </c>
      <c r="O998" s="26">
        <f t="shared" si="159"/>
        <v>-0.81864344486072582</v>
      </c>
    </row>
    <row r="999" spans="1:15" x14ac:dyDescent="0.25">
      <c r="A999" s="2">
        <v>44085</v>
      </c>
      <c r="B999">
        <v>15150</v>
      </c>
      <c r="C999">
        <v>58925</v>
      </c>
      <c r="D999">
        <v>971193</v>
      </c>
      <c r="F999">
        <f t="shared" si="150"/>
        <v>7.086699296257036E-2</v>
      </c>
      <c r="G999">
        <f t="shared" si="151"/>
        <v>3.3753102944558826</v>
      </c>
      <c r="H999">
        <f t="shared" si="152"/>
        <v>3.8894389438943895</v>
      </c>
      <c r="I999">
        <f t="shared" si="153"/>
        <v>-1.5117960162237465</v>
      </c>
      <c r="J999" s="26">
        <f t="shared" si="154"/>
        <v>1.3541875236582436E-2</v>
      </c>
      <c r="K999" s="26">
        <f t="shared" si="155"/>
        <v>1.4416052700431364E-2</v>
      </c>
      <c r="L999" s="26">
        <f t="shared" si="156"/>
        <v>1.8273510674955619E-2</v>
      </c>
      <c r="M999" s="26">
        <f t="shared" si="157"/>
        <v>-0.80585400852385458</v>
      </c>
      <c r="N999" s="26">
        <f t="shared" si="158"/>
        <v>-1.1151332027904903</v>
      </c>
      <c r="O999" s="26">
        <f t="shared" si="159"/>
        <v>-0.73929089851764562</v>
      </c>
    </row>
    <row r="1000" spans="1:15" x14ac:dyDescent="0.25">
      <c r="A1000" s="2">
        <v>44084</v>
      </c>
      <c r="B1000">
        <v>14900</v>
      </c>
      <c r="C1000">
        <v>56000</v>
      </c>
      <c r="D1000">
        <v>969023</v>
      </c>
      <c r="F1000">
        <f t="shared" si="150"/>
        <v>6.817812472654225E-2</v>
      </c>
      <c r="G1000">
        <f t="shared" si="151"/>
        <v>3.3439381373981907</v>
      </c>
      <c r="H1000">
        <f t="shared" si="152"/>
        <v>3.7583892617449663</v>
      </c>
      <c r="I1000">
        <f t="shared" si="153"/>
        <v>-1.6839401292128608</v>
      </c>
      <c r="J1000" s="26">
        <f t="shared" si="154"/>
        <v>1.1747780638808991E-2</v>
      </c>
      <c r="K1000" s="26">
        <f t="shared" si="155"/>
        <v>1.2857723255989044E-2</v>
      </c>
      <c r="L1000" s="26">
        <f t="shared" si="156"/>
        <v>1.6582579184221753E-2</v>
      </c>
      <c r="M1000" s="26">
        <f t="shared" si="157"/>
        <v>-0.72754250192243042</v>
      </c>
      <c r="N1000" s="26">
        <f t="shared" si="158"/>
        <v>-1.0170282235815771</v>
      </c>
      <c r="O1000" s="26">
        <f t="shared" si="159"/>
        <v>-0.66135197110829402</v>
      </c>
    </row>
    <row r="1001" spans="1:15" x14ac:dyDescent="0.25">
      <c r="A1001" s="2">
        <v>44083</v>
      </c>
      <c r="B1001">
        <v>14650</v>
      </c>
      <c r="C1001">
        <v>52900</v>
      </c>
      <c r="D1001">
        <v>965527</v>
      </c>
      <c r="F1001">
        <f t="shared" si="150"/>
        <v>6.5387187983083545E-2</v>
      </c>
      <c r="G1001">
        <f t="shared" si="151"/>
        <v>3.2840402801835138</v>
      </c>
      <c r="H1001">
        <f t="shared" si="152"/>
        <v>3.6109215017064846</v>
      </c>
      <c r="I1001">
        <f t="shared" si="153"/>
        <v>-1.8847152414023929</v>
      </c>
      <c r="J1001" s="26">
        <f t="shared" si="154"/>
        <v>1.0073755793078773E-2</v>
      </c>
      <c r="K1001" s="26">
        <f t="shared" si="155"/>
        <v>1.1429419120923212E-2</v>
      </c>
      <c r="L1001" s="26">
        <f t="shared" si="156"/>
        <v>1.502310286870031E-2</v>
      </c>
      <c r="M1001" s="26">
        <f t="shared" si="157"/>
        <v>-0.64299053426627317</v>
      </c>
      <c r="N1001" s="26">
        <f t="shared" si="158"/>
        <v>-0.91268278331793162</v>
      </c>
      <c r="O1001" s="26">
        <f t="shared" si="159"/>
        <v>-0.57714400846505676</v>
      </c>
    </row>
    <row r="1002" spans="1:15" x14ac:dyDescent="0.25">
      <c r="A1002" s="2">
        <v>44082</v>
      </c>
      <c r="B1002">
        <v>14150</v>
      </c>
      <c r="C1002">
        <v>51650</v>
      </c>
      <c r="D1002">
        <v>962315</v>
      </c>
      <c r="F1002">
        <f t="shared" si="150"/>
        <v>6.4000622498455909E-2</v>
      </c>
      <c r="G1002">
        <f t="shared" si="151"/>
        <v>3.3487565444581628</v>
      </c>
      <c r="H1002">
        <f t="shared" si="152"/>
        <v>3.6501766784452299</v>
      </c>
      <c r="I1002">
        <f t="shared" si="153"/>
        <v>-1.8889642941894467</v>
      </c>
      <c r="J1002" s="26">
        <f t="shared" si="154"/>
        <v>8.5239819737903053E-3</v>
      </c>
      <c r="K1002" s="26">
        <f t="shared" si="155"/>
        <v>1.0133387132332847E-2</v>
      </c>
      <c r="L1002" s="26">
        <f t="shared" si="156"/>
        <v>1.3600170605989521E-2</v>
      </c>
      <c r="M1002" s="26">
        <f t="shared" si="157"/>
        <v>-0.55141629232256939</v>
      </c>
      <c r="N1002" s="26">
        <f t="shared" si="158"/>
        <v>-0.80131506876673697</v>
      </c>
      <c r="O1002" s="26">
        <f t="shared" si="159"/>
        <v>-0.48588397274743933</v>
      </c>
    </row>
    <row r="1003" spans="1:15" x14ac:dyDescent="0.25">
      <c r="A1003" s="2">
        <v>44081</v>
      </c>
      <c r="B1003">
        <v>14150</v>
      </c>
      <c r="C1003">
        <v>50500</v>
      </c>
      <c r="D1003">
        <v>958591</v>
      </c>
      <c r="F1003">
        <f t="shared" si="150"/>
        <v>6.3181596515385921E-2</v>
      </c>
      <c r="G1003">
        <f t="shared" si="151"/>
        <v>3.4842110237892081</v>
      </c>
      <c r="H1003">
        <f t="shared" si="152"/>
        <v>3.568904593639576</v>
      </c>
      <c r="I1003">
        <f t="shared" si="153"/>
        <v>-2.0320731267228549</v>
      </c>
      <c r="J1003" s="26">
        <f t="shared" si="154"/>
        <v>7.0399655131119995E-3</v>
      </c>
      <c r="K1003" s="26">
        <f t="shared" si="155"/>
        <v>8.9045060901597264E-3</v>
      </c>
      <c r="L1003" s="26">
        <f t="shared" si="156"/>
        <v>1.2246162732856686E-2</v>
      </c>
      <c r="M1003" s="26">
        <f t="shared" si="157"/>
        <v>-0.46171134450928175</v>
      </c>
      <c r="N1003" s="26">
        <f t="shared" si="158"/>
        <v>-0.69181664834595935</v>
      </c>
      <c r="O1003" s="26">
        <f t="shared" si="159"/>
        <v>-0.39646213677398023</v>
      </c>
    </row>
    <row r="1004" spans="1:15" x14ac:dyDescent="0.25">
      <c r="A1004" s="2">
        <v>44078</v>
      </c>
      <c r="B1004">
        <v>12900</v>
      </c>
      <c r="C1004">
        <v>49250</v>
      </c>
      <c r="D1004">
        <v>958289</v>
      </c>
      <c r="F1004">
        <f t="shared" si="150"/>
        <v>6.090515944608154E-2</v>
      </c>
      <c r="G1004">
        <f t="shared" si="151"/>
        <v>3.4716914515635056</v>
      </c>
      <c r="H1004">
        <f t="shared" si="152"/>
        <v>3.8178294573643412</v>
      </c>
      <c r="I1004">
        <f t="shared" si="153"/>
        <v>-1.8013055573074568</v>
      </c>
      <c r="J1004" s="26">
        <f t="shared" si="154"/>
        <v>5.5907354920276611E-3</v>
      </c>
      <c r="K1004" s="26">
        <f t="shared" si="155"/>
        <v>7.71458561435822E-3</v>
      </c>
      <c r="L1004" s="26">
        <f t="shared" si="156"/>
        <v>1.0931903201318285E-2</v>
      </c>
      <c r="M1004" s="26">
        <f t="shared" si="157"/>
        <v>-0.36813629741953413</v>
      </c>
      <c r="N1004" s="26">
        <f t="shared" si="158"/>
        <v>-0.57844812864872353</v>
      </c>
      <c r="O1004" s="26">
        <f t="shared" si="159"/>
        <v>-0.30313773532664623</v>
      </c>
    </row>
    <row r="1005" spans="1:15" x14ac:dyDescent="0.25">
      <c r="A1005" s="2">
        <v>44077</v>
      </c>
      <c r="B1005">
        <v>12650</v>
      </c>
      <c r="C1005">
        <v>48625</v>
      </c>
      <c r="D1005">
        <v>955620</v>
      </c>
      <c r="F1005">
        <f t="shared" si="150"/>
        <v>6.0256958683049873E-2</v>
      </c>
      <c r="G1005">
        <f t="shared" si="151"/>
        <v>3.6489799295291778</v>
      </c>
      <c r="H1005">
        <f t="shared" si="152"/>
        <v>3.8438735177865611</v>
      </c>
      <c r="I1005">
        <f t="shared" si="153"/>
        <v>-1.8152142313445367</v>
      </c>
      <c r="J1005" s="26">
        <f t="shared" si="154"/>
        <v>4.257087231259872E-3</v>
      </c>
      <c r="K1005" s="26">
        <f t="shared" si="155"/>
        <v>6.635500150704042E-3</v>
      </c>
      <c r="L1005" s="26">
        <f t="shared" si="156"/>
        <v>9.7300639977505703E-3</v>
      </c>
      <c r="M1005" s="26">
        <f t="shared" si="157"/>
        <v>-0.28595249441839155</v>
      </c>
      <c r="N1005" s="26">
        <f t="shared" si="158"/>
        <v>-0.47693317389076118</v>
      </c>
      <c r="O1005" s="26">
        <f t="shared" si="159"/>
        <v>-0.22163297891083555</v>
      </c>
    </row>
    <row r="1006" spans="1:15" x14ac:dyDescent="0.25">
      <c r="A1006" s="2">
        <v>44076</v>
      </c>
      <c r="B1006">
        <v>12650</v>
      </c>
      <c r="C1006">
        <v>45250</v>
      </c>
      <c r="D1006">
        <v>954305</v>
      </c>
      <c r="F1006">
        <f t="shared" si="150"/>
        <v>5.7201851403618831E-2</v>
      </c>
      <c r="G1006">
        <f t="shared" si="151"/>
        <v>3.5385187048284639</v>
      </c>
      <c r="H1006">
        <f t="shared" si="152"/>
        <v>3.5770750988142295</v>
      </c>
      <c r="I1006">
        <f t="shared" si="153"/>
        <v>-2.1827281862682</v>
      </c>
      <c r="J1006" s="26">
        <f t="shared" si="154"/>
        <v>2.9773324975544066E-3</v>
      </c>
      <c r="K1006" s="26">
        <f t="shared" si="155"/>
        <v>5.6431303017111176E-3</v>
      </c>
      <c r="L1006" s="26">
        <f t="shared" si="156"/>
        <v>8.562859115139182E-3</v>
      </c>
      <c r="M1006" s="26">
        <f t="shared" si="157"/>
        <v>-0.25343436705539268</v>
      </c>
      <c r="N1006" s="26">
        <f t="shared" si="158"/>
        <v>-0.3643816267719524</v>
      </c>
      <c r="O1006" s="26">
        <f t="shared" si="159"/>
        <v>-0.14133295412672719</v>
      </c>
    </row>
    <row r="1007" spans="1:15" x14ac:dyDescent="0.25">
      <c r="A1007" s="2">
        <v>44075</v>
      </c>
      <c r="B1007">
        <v>10650</v>
      </c>
      <c r="C1007">
        <v>43250</v>
      </c>
      <c r="D1007">
        <v>953827</v>
      </c>
      <c r="F1007">
        <f t="shared" si="150"/>
        <v>5.3486708205694601E-2</v>
      </c>
      <c r="G1007">
        <f t="shared" si="151"/>
        <v>3.278835306349265</v>
      </c>
      <c r="H1007">
        <f t="shared" si="152"/>
        <v>4.061032863849765</v>
      </c>
      <c r="I1007">
        <f t="shared" si="153"/>
        <v>-1.6632190522652299</v>
      </c>
      <c r="J1007" s="26">
        <f t="shared" si="154"/>
        <v>1.8363313402658468E-3</v>
      </c>
      <c r="K1007" s="26">
        <f t="shared" si="155"/>
        <v>4.8076615920905758E-3</v>
      </c>
      <c r="L1007" s="26">
        <f t="shared" si="156"/>
        <v>7.5460466709022199E-3</v>
      </c>
      <c r="M1007" s="26">
        <f t="shared" si="157"/>
        <v>-0.20821155307466466</v>
      </c>
      <c r="N1007" s="26">
        <f t="shared" si="158"/>
        <v>-0.24838878589255575</v>
      </c>
      <c r="O1007" s="26">
        <f t="shared" si="159"/>
        <v>-4.8291144308300282E-2</v>
      </c>
    </row>
    <row r="1008" spans="1:15" x14ac:dyDescent="0.25">
      <c r="A1008" s="2">
        <v>44074</v>
      </c>
      <c r="B1008">
        <v>7900</v>
      </c>
      <c r="C1008">
        <v>38250</v>
      </c>
      <c r="D1008">
        <v>951551</v>
      </c>
      <c r="F1008">
        <f t="shared" si="150"/>
        <v>4.6256343333323312E-2</v>
      </c>
      <c r="G1008">
        <f t="shared" si="151"/>
        <v>2.3900451963929856</v>
      </c>
      <c r="H1008">
        <f t="shared" si="152"/>
        <v>4.8417721518987342</v>
      </c>
      <c r="I1008">
        <f t="shared" si="153"/>
        <v>-0.72875327004300039</v>
      </c>
      <c r="J1008" s="26">
        <f t="shared" si="154"/>
        <v>8.7421695968734753E-4</v>
      </c>
      <c r="K1008" s="26">
        <f t="shared" si="155"/>
        <v>4.1506850712945895E-3</v>
      </c>
      <c r="L1008" s="26">
        <f t="shared" si="156"/>
        <v>6.7117420744284007E-3</v>
      </c>
      <c r="M1008" s="26">
        <f t="shared" si="157"/>
        <v>-0.18603434695277077</v>
      </c>
      <c r="N1008" s="26">
        <f t="shared" si="158"/>
        <v>-0.15544155287199324</v>
      </c>
      <c r="O1008" s="26">
        <f t="shared" si="159"/>
        <v>2.1743895056156148E-2</v>
      </c>
    </row>
    <row r="1009" spans="1:15" x14ac:dyDescent="0.25">
      <c r="A1009" s="2">
        <v>44071</v>
      </c>
      <c r="B1009">
        <v>7400</v>
      </c>
      <c r="C1009">
        <v>37000</v>
      </c>
      <c r="D1009">
        <v>950460</v>
      </c>
      <c r="F1009">
        <f t="shared" si="150"/>
        <v>4.4629395090766542E-2</v>
      </c>
      <c r="G1009">
        <f t="shared" si="151"/>
        <v>2.2233548500227602</v>
      </c>
      <c r="H1009">
        <f t="shared" si="152"/>
        <v>5</v>
      </c>
      <c r="I1009">
        <f t="shared" si="153"/>
        <v>-0.53886965827626987</v>
      </c>
      <c r="J1009" s="26">
        <f t="shared" si="154"/>
        <v>2.5713001111965506E-4</v>
      </c>
      <c r="K1009" s="26">
        <f t="shared" si="155"/>
        <v>3.8360357167257428E-3</v>
      </c>
      <c r="L1009" s="26">
        <f t="shared" si="156"/>
        <v>6.2240042147610232E-3</v>
      </c>
      <c r="M1009" s="26">
        <f t="shared" si="157"/>
        <v>-0.20103520216654225</v>
      </c>
      <c r="N1009" s="26">
        <f t="shared" si="158"/>
        <v>-9.9672381187096093E-2</v>
      </c>
      <c r="O1009" s="26">
        <f t="shared" si="159"/>
        <v>5.4641559890042934E-2</v>
      </c>
    </row>
    <row r="1010" spans="1:15" x14ac:dyDescent="0.25">
      <c r="A1010" s="2">
        <v>44070</v>
      </c>
      <c r="B1010">
        <v>6400</v>
      </c>
      <c r="C1010">
        <v>34400</v>
      </c>
      <c r="D1010">
        <v>951135</v>
      </c>
      <c r="F1010">
        <f t="shared" si="150"/>
        <v>4.1131727381330432E-2</v>
      </c>
      <c r="G1010">
        <f t="shared" si="151"/>
        <v>1.7321631546980307</v>
      </c>
      <c r="H1010">
        <f t="shared" si="152"/>
        <v>5.375</v>
      </c>
      <c r="I1010">
        <f t="shared" si="153"/>
        <v>-7.9286119275524827E-2</v>
      </c>
      <c r="J1010" s="26">
        <f t="shared" si="154"/>
        <v>-2.2940670536134716E-4</v>
      </c>
      <c r="K1010" s="26">
        <f t="shared" si="155"/>
        <v>3.5967357175077236E-3</v>
      </c>
      <c r="L1010" s="26">
        <f t="shared" si="156"/>
        <v>5.8166441673771462E-3</v>
      </c>
      <c r="M1010" s="26">
        <f t="shared" si="157"/>
        <v>-0.21166595490894657</v>
      </c>
      <c r="N1010" s="26">
        <f t="shared" si="158"/>
        <v>-5.2075624037635215E-2</v>
      </c>
      <c r="O1010" s="26">
        <f t="shared" si="159"/>
        <v>8.0047220812008213E-2</v>
      </c>
    </row>
    <row r="1011" spans="1:15" x14ac:dyDescent="0.25">
      <c r="A1011" s="2">
        <v>44069</v>
      </c>
      <c r="B1011">
        <v>6150</v>
      </c>
      <c r="C1011">
        <v>33025</v>
      </c>
      <c r="D1011">
        <v>952219</v>
      </c>
      <c r="F1011">
        <f t="shared" si="150"/>
        <v>3.9515066663707868E-2</v>
      </c>
      <c r="G1011">
        <f t="shared" si="151"/>
        <v>1.5065142605645272</v>
      </c>
      <c r="H1011">
        <f t="shared" si="152"/>
        <v>5.3699186991869921</v>
      </c>
      <c r="I1011">
        <f t="shared" si="153"/>
        <v>-8.6010857175997255E-2</v>
      </c>
      <c r="J1011" s="26">
        <f t="shared" si="154"/>
        <v>-5.4258098569762853E-4</v>
      </c>
      <c r="K1011" s="26">
        <f t="shared" si="155"/>
        <v>3.5239287534546901E-3</v>
      </c>
      <c r="L1011" s="26">
        <f t="shared" si="156"/>
        <v>5.5794858396691592E-3</v>
      </c>
      <c r="M1011" s="26">
        <f t="shared" si="157"/>
        <v>-0.24015385050849236</v>
      </c>
      <c r="N1011" s="26">
        <f t="shared" si="158"/>
        <v>-2.2336009745315799E-2</v>
      </c>
      <c r="O1011" s="26">
        <f t="shared" si="159"/>
        <v>8.764049221083603E-2</v>
      </c>
    </row>
    <row r="1012" spans="1:15" x14ac:dyDescent="0.25">
      <c r="A1012" s="2">
        <v>44068</v>
      </c>
      <c r="B1012">
        <v>5650</v>
      </c>
      <c r="C1012">
        <v>31125</v>
      </c>
      <c r="D1012">
        <v>951535</v>
      </c>
      <c r="F1012">
        <f t="shared" si="150"/>
        <v>3.7209984721393086E-2</v>
      </c>
      <c r="G1012">
        <f t="shared" si="151"/>
        <v>1.1541088468536203</v>
      </c>
      <c r="H1012">
        <f t="shared" si="152"/>
        <v>5.5088495575221241</v>
      </c>
      <c r="I1012">
        <f t="shared" si="153"/>
        <v>8.3177229993492474E-2</v>
      </c>
      <c r="J1012" s="26">
        <f t="shared" si="154"/>
        <v>-7.1783507253213308E-4</v>
      </c>
      <c r="K1012" s="26">
        <f t="shared" si="155"/>
        <v>3.53313230836097E-3</v>
      </c>
      <c r="L1012" s="26">
        <f t="shared" si="156"/>
        <v>5.4264660690888332E-3</v>
      </c>
      <c r="M1012" s="26">
        <f t="shared" si="157"/>
        <v>-0.26839977940265758</v>
      </c>
      <c r="N1012" s="26">
        <f t="shared" si="158"/>
        <v>7.6455712523841868E-3</v>
      </c>
      <c r="O1012" s="26">
        <f t="shared" si="159"/>
        <v>9.5522721315747461E-2</v>
      </c>
    </row>
    <row r="1013" spans="1:15" x14ac:dyDescent="0.25">
      <c r="A1013" s="2">
        <v>44067</v>
      </c>
      <c r="B1013">
        <v>5150</v>
      </c>
      <c r="C1013">
        <v>28875</v>
      </c>
      <c r="D1013">
        <v>963803</v>
      </c>
      <c r="F1013">
        <f t="shared" si="150"/>
        <v>3.4099063165194801E-2</v>
      </c>
      <c r="G1013">
        <f t="shared" si="151"/>
        <v>0.65505504368074219</v>
      </c>
      <c r="H1013">
        <f t="shared" si="152"/>
        <v>5.6067961165048548</v>
      </c>
      <c r="I1013">
        <f t="shared" si="153"/>
        <v>0.20259694629628791</v>
      </c>
      <c r="J1013" s="26">
        <f t="shared" si="154"/>
        <v>-7.7437287242856923E-4</v>
      </c>
      <c r="K1013" s="26">
        <f t="shared" si="155"/>
        <v>3.6589527156206045E-3</v>
      </c>
      <c r="L1013" s="26">
        <f t="shared" si="156"/>
        <v>5.3938946629326842E-3</v>
      </c>
      <c r="M1013" s="26">
        <f t="shared" si="157"/>
        <v>-0.30326146345563654</v>
      </c>
      <c r="N1013" s="26">
        <f t="shared" si="158"/>
        <v>3.1011397091268655E-2</v>
      </c>
      <c r="O1013" s="26">
        <f t="shared" si="159"/>
        <v>9.6838575635464608E-2</v>
      </c>
    </row>
    <row r="1014" spans="1:15" x14ac:dyDescent="0.25">
      <c r="A1014" s="2">
        <v>44064</v>
      </c>
      <c r="B1014">
        <v>5150</v>
      </c>
      <c r="C1014">
        <v>28525</v>
      </c>
      <c r="D1014">
        <v>961778</v>
      </c>
      <c r="F1014">
        <f t="shared" si="150"/>
        <v>3.3828819642916341E-2</v>
      </c>
      <c r="G1014">
        <f t="shared" si="151"/>
        <v>0.61581945649641712</v>
      </c>
      <c r="H1014">
        <f t="shared" si="152"/>
        <v>5.5388349514563107</v>
      </c>
      <c r="I1014">
        <f t="shared" si="153"/>
        <v>0.12191181888202397</v>
      </c>
      <c r="J1014" s="26">
        <f t="shared" si="154"/>
        <v>-6.9759876940795468E-4</v>
      </c>
      <c r="K1014" s="26">
        <f t="shared" si="155"/>
        <v>3.9232263846856533E-3</v>
      </c>
      <c r="L1014" s="26">
        <f t="shared" si="156"/>
        <v>5.5035722021001265E-3</v>
      </c>
      <c r="M1014" s="26">
        <f t="shared" si="157"/>
        <v>-0.3446365527676214</v>
      </c>
      <c r="N1014" s="26">
        <f t="shared" si="158"/>
        <v>4.8441718734488326E-2</v>
      </c>
      <c r="O1014" s="26">
        <f t="shared" si="159"/>
        <v>9.2282816864117656E-2</v>
      </c>
    </row>
    <row r="1015" spans="1:15" x14ac:dyDescent="0.25">
      <c r="A1015" s="2">
        <v>44063</v>
      </c>
      <c r="B1015">
        <v>5150</v>
      </c>
      <c r="C1015">
        <v>28350</v>
      </c>
      <c r="D1015">
        <v>961159</v>
      </c>
      <c r="F1015">
        <f t="shared" si="150"/>
        <v>3.3679884261842499E-2</v>
      </c>
      <c r="G1015">
        <f t="shared" si="151"/>
        <v>0.59622116411211046</v>
      </c>
      <c r="H1015">
        <f t="shared" si="152"/>
        <v>5.5048543689320386</v>
      </c>
      <c r="I1015">
        <f t="shared" si="153"/>
        <v>8.1951976092541137E-2</v>
      </c>
      <c r="J1015" s="26">
        <f t="shared" si="154"/>
        <v>-6.1104015971887721E-4</v>
      </c>
      <c r="K1015" s="26">
        <f t="shared" si="155"/>
        <v>4.1985051246841952E-3</v>
      </c>
      <c r="L1015" s="26">
        <f t="shared" si="156"/>
        <v>5.627821210529925E-3</v>
      </c>
      <c r="M1015" s="26">
        <f t="shared" si="157"/>
        <v>-0.38277539612491029</v>
      </c>
      <c r="N1015" s="26">
        <f t="shared" si="158"/>
        <v>6.9108286332401292E-2</v>
      </c>
      <c r="O1015" s="26">
        <f t="shared" si="159"/>
        <v>9.1006225165430443E-2</v>
      </c>
    </row>
    <row r="1016" spans="1:15" x14ac:dyDescent="0.25">
      <c r="A1016" s="2">
        <v>44062</v>
      </c>
      <c r="B1016">
        <v>5150</v>
      </c>
      <c r="C1016">
        <v>28350</v>
      </c>
      <c r="D1016">
        <v>956848</v>
      </c>
      <c r="F1016">
        <f t="shared" si="150"/>
        <v>3.3826493313461534E-2</v>
      </c>
      <c r="G1016">
        <f t="shared" si="151"/>
        <v>0.62487876523016384</v>
      </c>
      <c r="H1016">
        <f t="shared" si="152"/>
        <v>5.5048543689320386</v>
      </c>
      <c r="I1016">
        <f t="shared" si="153"/>
        <v>8.2479102802029247E-2</v>
      </c>
      <c r="J1016" s="26">
        <f t="shared" si="154"/>
        <v>-5.054404419821551E-4</v>
      </c>
      <c r="K1016" s="26">
        <f t="shared" si="155"/>
        <v>4.4854076163657955E-3</v>
      </c>
      <c r="L1016" s="26">
        <f t="shared" si="156"/>
        <v>5.7682179061220376E-3</v>
      </c>
      <c r="M1016" s="26">
        <f t="shared" si="157"/>
        <v>-0.41929611650485477</v>
      </c>
      <c r="N1016" s="26">
        <f t="shared" si="158"/>
        <v>9.1392976907659573E-2</v>
      </c>
      <c r="O1016" s="26">
        <f t="shared" si="159"/>
        <v>9.1392976907659573E-2</v>
      </c>
    </row>
    <row r="1017" spans="1:15" x14ac:dyDescent="0.25">
      <c r="A1017" s="2">
        <v>44061</v>
      </c>
      <c r="B1017">
        <v>5150</v>
      </c>
      <c r="C1017">
        <v>28350</v>
      </c>
      <c r="D1017">
        <v>954401</v>
      </c>
      <c r="F1017">
        <f t="shared" si="150"/>
        <v>3.3910280483570719E-2</v>
      </c>
      <c r="G1017">
        <f t="shared" si="151"/>
        <v>0.64362381733346452</v>
      </c>
      <c r="H1017">
        <f t="shared" si="152"/>
        <v>5.5048543689320386</v>
      </c>
      <c r="I1017">
        <f t="shared" si="153"/>
        <v>8.3016532631979112E-2</v>
      </c>
      <c r="J1017" s="26">
        <f t="shared" si="154"/>
        <v>-4.0788589097298655E-4</v>
      </c>
      <c r="K1017" s="26">
        <f t="shared" si="155"/>
        <v>4.7680267079358123E-3</v>
      </c>
      <c r="L1017" s="26">
        <f t="shared" si="156"/>
        <v>5.9080048816698739E-3</v>
      </c>
      <c r="M1017" s="26">
        <f t="shared" si="157"/>
        <v>-0.45581683688479835</v>
      </c>
      <c r="N1017" s="26">
        <f t="shared" si="158"/>
        <v>9.1827415684202052E-2</v>
      </c>
      <c r="O1017" s="26">
        <f t="shared" si="159"/>
        <v>9.1827415684202052E-2</v>
      </c>
    </row>
    <row r="1018" spans="1:15" x14ac:dyDescent="0.25">
      <c r="A1018" s="2">
        <v>44060</v>
      </c>
      <c r="B1018">
        <v>5150</v>
      </c>
      <c r="C1018">
        <v>28350</v>
      </c>
      <c r="D1018">
        <v>950182</v>
      </c>
      <c r="F1018">
        <f t="shared" si="150"/>
        <v>3.4055721259512728E-2</v>
      </c>
      <c r="G1018">
        <f t="shared" si="151"/>
        <v>0.67264436965136409</v>
      </c>
      <c r="H1018">
        <f t="shared" si="152"/>
        <v>5.5048543689320386</v>
      </c>
      <c r="I1018">
        <f t="shared" si="153"/>
        <v>8.3564605613679482E-2</v>
      </c>
      <c r="J1018" s="26">
        <f t="shared" si="154"/>
        <v>-3.2012180085978781E-4</v>
      </c>
      <c r="K1018" s="26">
        <f t="shared" si="155"/>
        <v>5.0533455284953524E-3</v>
      </c>
      <c r="L1018" s="26">
        <f t="shared" si="156"/>
        <v>6.053399332495768E-3</v>
      </c>
      <c r="M1018" s="26">
        <f t="shared" si="157"/>
        <v>-0.49233755726474282</v>
      </c>
      <c r="N1018" s="26">
        <f t="shared" si="158"/>
        <v>9.2312190774737957E-2</v>
      </c>
      <c r="O1018" s="26">
        <f t="shared" si="159"/>
        <v>9.2312190774737957E-2</v>
      </c>
    </row>
    <row r="1019" spans="1:15" x14ac:dyDescent="0.25">
      <c r="A1019" s="2">
        <v>44057</v>
      </c>
      <c r="B1019">
        <v>5150</v>
      </c>
      <c r="C1019">
        <v>28350</v>
      </c>
      <c r="D1019">
        <v>946283</v>
      </c>
      <c r="F1019">
        <f t="shared" si="150"/>
        <v>3.4191244387787909E-2</v>
      </c>
      <c r="G1019">
        <f t="shared" si="151"/>
        <v>0.70045124966550687</v>
      </c>
      <c r="H1019">
        <f t="shared" si="152"/>
        <v>5.5048543689320386</v>
      </c>
      <c r="I1019">
        <f t="shared" si="153"/>
        <v>8.4123677697461846E-2</v>
      </c>
      <c r="J1019" s="26">
        <f t="shared" si="154"/>
        <v>-2.3052359919549514E-4</v>
      </c>
      <c r="K1019" s="26">
        <f t="shared" si="155"/>
        <v>5.3399068808412768E-3</v>
      </c>
      <c r="L1019" s="26">
        <f t="shared" si="156"/>
        <v>6.2034813819170261E-3</v>
      </c>
      <c r="M1019" s="26">
        <f t="shared" si="157"/>
        <v>-0.5288582776446864</v>
      </c>
      <c r="N1019" s="26">
        <f t="shared" si="158"/>
        <v>9.285015140459052E-2</v>
      </c>
      <c r="O1019" s="26">
        <f t="shared" si="159"/>
        <v>9.285015140459052E-2</v>
      </c>
    </row>
    <row r="1020" spans="1:15" x14ac:dyDescent="0.25">
      <c r="A1020" s="2">
        <v>44056</v>
      </c>
      <c r="B1020">
        <v>5150</v>
      </c>
      <c r="C1020">
        <v>28350</v>
      </c>
      <c r="D1020">
        <v>945581</v>
      </c>
      <c r="F1020">
        <f t="shared" si="150"/>
        <v>3.4215759472403205E-2</v>
      </c>
      <c r="G1020">
        <f t="shared" si="151"/>
        <v>0.71075732112109569</v>
      </c>
      <c r="H1020">
        <f t="shared" si="152"/>
        <v>5.5048543689320386</v>
      </c>
      <c r="I1020">
        <f t="shared" si="153"/>
        <v>8.4694121723781629E-2</v>
      </c>
      <c r="J1020" s="26">
        <f t="shared" si="154"/>
        <v>-1.3488400853130245E-4</v>
      </c>
      <c r="K1020" s="26">
        <f t="shared" si="155"/>
        <v>5.6287689734161074E-3</v>
      </c>
      <c r="L1020" s="26">
        <f t="shared" si="156"/>
        <v>6.3605591138786825E-3</v>
      </c>
      <c r="M1020" s="26">
        <f t="shared" si="157"/>
        <v>-0.57117407504063689</v>
      </c>
      <c r="N1020" s="26">
        <f t="shared" si="158"/>
        <v>9.3444365970259291E-2</v>
      </c>
      <c r="O1020" s="26">
        <f t="shared" si="159"/>
        <v>9.3444365970259291E-2</v>
      </c>
    </row>
    <row r="1021" spans="1:15" x14ac:dyDescent="0.25">
      <c r="A1021" s="2">
        <v>44055</v>
      </c>
      <c r="B1021">
        <v>5150</v>
      </c>
      <c r="C1021">
        <v>28350</v>
      </c>
      <c r="D1021">
        <v>944604</v>
      </c>
      <c r="F1021">
        <f t="shared" si="150"/>
        <v>3.4249936612057615E-2</v>
      </c>
      <c r="G1021">
        <f t="shared" si="151"/>
        <v>0.72284445981948231</v>
      </c>
      <c r="H1021">
        <f t="shared" si="152"/>
        <v>5.5048543689320386</v>
      </c>
      <c r="I1021">
        <f t="shared" si="153"/>
        <v>8.5276328467680712E-2</v>
      </c>
      <c r="J1021" s="26">
        <f t="shared" si="154"/>
        <v>-3.5015336401669761E-5</v>
      </c>
      <c r="K1021" s="26">
        <f t="shared" si="155"/>
        <v>5.9220422881937421E-3</v>
      </c>
      <c r="L1021" s="26">
        <f t="shared" si="156"/>
        <v>6.52697803630721E-3</v>
      </c>
      <c r="M1021" s="26">
        <f t="shared" si="157"/>
        <v>-0.61441451413792958</v>
      </c>
      <c r="N1021" s="26">
        <f t="shared" si="158"/>
        <v>9.3445455267021416E-2</v>
      </c>
      <c r="O1021" s="26">
        <f t="shared" si="159"/>
        <v>9.3445455267021416E-2</v>
      </c>
    </row>
    <row r="1022" spans="1:15" x14ac:dyDescent="0.25">
      <c r="A1022" s="2">
        <v>44054</v>
      </c>
      <c r="B1022">
        <v>5150</v>
      </c>
      <c r="C1022">
        <v>28350</v>
      </c>
      <c r="D1022">
        <v>943553</v>
      </c>
      <c r="F1022">
        <f t="shared" si="150"/>
        <v>3.4286778711083224E-2</v>
      </c>
      <c r="G1022">
        <f t="shared" si="151"/>
        <v>0.73561893447299076</v>
      </c>
      <c r="H1022">
        <f t="shared" si="152"/>
        <v>5.5048543689320386</v>
      </c>
      <c r="I1022">
        <f t="shared" si="153"/>
        <v>8.5870707763280082E-2</v>
      </c>
      <c r="J1022" s="26">
        <f t="shared" si="154"/>
        <v>8.3517421565100503E-5</v>
      </c>
      <c r="K1022" s="26">
        <f t="shared" si="155"/>
        <v>6.264822794647542E-3</v>
      </c>
      <c r="L1022" s="26">
        <f t="shared" si="156"/>
        <v>6.7109790855885004E-3</v>
      </c>
      <c r="M1022" s="26">
        <f t="shared" si="157"/>
        <v>-0.65765495323522227</v>
      </c>
      <c r="N1022" s="26">
        <f t="shared" si="158"/>
        <v>9.3502066637733527E-2</v>
      </c>
      <c r="O1022" s="26">
        <f t="shared" si="159"/>
        <v>9.3502066637733527E-2</v>
      </c>
    </row>
    <row r="1023" spans="1:15" x14ac:dyDescent="0.25">
      <c r="A1023" s="2">
        <v>44053</v>
      </c>
      <c r="B1023">
        <v>5150</v>
      </c>
      <c r="C1023">
        <v>28350</v>
      </c>
      <c r="D1023">
        <v>942889</v>
      </c>
      <c r="F1023">
        <f t="shared" si="150"/>
        <v>3.4310095668836908E-2</v>
      </c>
      <c r="G1023">
        <f t="shared" si="151"/>
        <v>0.74651152558605816</v>
      </c>
      <c r="H1023">
        <f t="shared" si="152"/>
        <v>5.5048543689320386</v>
      </c>
      <c r="I1023">
        <f t="shared" si="153"/>
        <v>8.6477689715653575E-2</v>
      </c>
      <c r="J1023" s="26">
        <f t="shared" si="154"/>
        <v>2.3528764299925176E-4</v>
      </c>
      <c r="K1023" s="26">
        <f t="shared" si="155"/>
        <v>6.6220112973979402E-3</v>
      </c>
      <c r="L1023" s="26">
        <f t="shared" si="156"/>
        <v>6.9141189990299494E-3</v>
      </c>
      <c r="M1023" s="26">
        <f t="shared" si="157"/>
        <v>-0.69812684305233574</v>
      </c>
      <c r="N1023" s="26">
        <f t="shared" si="158"/>
        <v>9.3617599393048145E-2</v>
      </c>
      <c r="O1023" s="26">
        <f t="shared" si="159"/>
        <v>9.3617599393048145E-2</v>
      </c>
    </row>
    <row r="1024" spans="1:15" x14ac:dyDescent="0.25">
      <c r="A1024" s="2">
        <v>44050</v>
      </c>
      <c r="B1024">
        <v>5150</v>
      </c>
      <c r="C1024">
        <v>28350</v>
      </c>
      <c r="D1024">
        <v>943268</v>
      </c>
      <c r="F1024">
        <f t="shared" si="150"/>
        <v>3.4296782859389335E-2</v>
      </c>
      <c r="G1024">
        <f t="shared" si="151"/>
        <v>0.7518290108285024</v>
      </c>
      <c r="H1024">
        <f t="shared" si="152"/>
        <v>5.5048543689320386</v>
      </c>
      <c r="I1024">
        <f t="shared" si="153"/>
        <v>8.7097726008212487E-2</v>
      </c>
      <c r="J1024" s="26">
        <f t="shared" si="154"/>
        <v>3.8777627157050854E-4</v>
      </c>
      <c r="K1024" s="26">
        <f t="shared" si="155"/>
        <v>6.9808132033602512E-3</v>
      </c>
      <c r="L1024" s="26">
        <f t="shared" si="156"/>
        <v>7.1242698796506153E-3</v>
      </c>
      <c r="M1024" s="26">
        <f t="shared" si="157"/>
        <v>-0.7385987328694501</v>
      </c>
      <c r="N1024" s="26">
        <f t="shared" si="158"/>
        <v>9.3795736119502315E-2</v>
      </c>
      <c r="O1024" s="26">
        <f t="shared" si="159"/>
        <v>9.3795736119502315E-2</v>
      </c>
    </row>
    <row r="1025" spans="1:15" x14ac:dyDescent="0.25">
      <c r="A1025" s="2">
        <v>44049</v>
      </c>
      <c r="B1025">
        <v>5150</v>
      </c>
      <c r="C1025">
        <v>28350</v>
      </c>
      <c r="D1025">
        <v>942141</v>
      </c>
      <c r="F1025">
        <f t="shared" si="150"/>
        <v>3.4336400376777931E-2</v>
      </c>
      <c r="G1025">
        <f t="shared" si="151"/>
        <v>0.76576265902800333</v>
      </c>
      <c r="H1025">
        <f t="shared" si="152"/>
        <v>5.5048543689320386</v>
      </c>
      <c r="I1025">
        <f t="shared" si="153"/>
        <v>8.7731291314638499E-2</v>
      </c>
      <c r="J1025" s="26">
        <f t="shared" si="154"/>
        <v>5.7487657710241641E-4</v>
      </c>
      <c r="K1025" s="26">
        <f t="shared" si="155"/>
        <v>7.3441056002746044E-3</v>
      </c>
      <c r="L1025" s="26">
        <f t="shared" si="156"/>
        <v>7.3441056002746044E-3</v>
      </c>
      <c r="M1025" s="26">
        <f t="shared" si="157"/>
        <v>-0.7979867356433763</v>
      </c>
      <c r="N1025" s="26">
        <f t="shared" si="158"/>
        <v>9.4040472815249743E-2</v>
      </c>
      <c r="O1025" s="26">
        <f t="shared" si="159"/>
        <v>9.4040472815249743E-2</v>
      </c>
    </row>
    <row r="1026" spans="1:15" x14ac:dyDescent="0.25">
      <c r="A1026" s="2">
        <v>44048</v>
      </c>
      <c r="B1026">
        <v>5150</v>
      </c>
      <c r="C1026">
        <v>28350</v>
      </c>
      <c r="D1026">
        <v>941173</v>
      </c>
      <c r="F1026">
        <f t="shared" si="150"/>
        <v>3.4370501696466403E-2</v>
      </c>
      <c r="G1026">
        <f t="shared" si="151"/>
        <v>0.77915766209434245</v>
      </c>
      <c r="H1026">
        <f t="shared" si="152"/>
        <v>5.5048543689320386</v>
      </c>
      <c r="I1026">
        <f t="shared" si="153"/>
        <v>8.8378884825385334E-2</v>
      </c>
      <c r="J1026" s="26">
        <f t="shared" si="154"/>
        <v>7.4576016429299397E-4</v>
      </c>
      <c r="K1026" s="26">
        <f t="shared" si="155"/>
        <v>7.5626588046053232E-3</v>
      </c>
      <c r="L1026" s="26">
        <f t="shared" si="156"/>
        <v>7.5626588046053232E-3</v>
      </c>
      <c r="M1026" s="26">
        <f t="shared" si="157"/>
        <v>-0.85829938011864026</v>
      </c>
      <c r="N1026" s="26">
        <f t="shared" si="158"/>
        <v>9.368277258709945E-2</v>
      </c>
      <c r="O1026" s="26">
        <f t="shared" si="159"/>
        <v>9.368277258709945E-2</v>
      </c>
    </row>
    <row r="1027" spans="1:15" x14ac:dyDescent="0.25">
      <c r="A1027" s="2">
        <v>44047</v>
      </c>
      <c r="B1027">
        <v>5150</v>
      </c>
      <c r="C1027">
        <v>28350</v>
      </c>
      <c r="D1027">
        <v>939718</v>
      </c>
      <c r="F1027">
        <f t="shared" si="150"/>
        <v>3.4421886977018507E-2</v>
      </c>
      <c r="G1027">
        <f t="shared" si="151"/>
        <v>0.79563248889501237</v>
      </c>
      <c r="H1027">
        <f t="shared" si="152"/>
        <v>5.5048543689320386</v>
      </c>
      <c r="I1027">
        <f t="shared" si="153"/>
        <v>8.9041031899874987E-2</v>
      </c>
      <c r="J1027" s="26">
        <f t="shared" si="154"/>
        <v>8.8997304499839613E-4</v>
      </c>
      <c r="K1027" s="26">
        <f t="shared" si="155"/>
        <v>7.7576758577566282E-3</v>
      </c>
      <c r="L1027" s="26">
        <f t="shared" si="156"/>
        <v>7.7576758577566282E-3</v>
      </c>
      <c r="M1027" s="26">
        <f t="shared" si="157"/>
        <v>-0.81878486954830443</v>
      </c>
      <c r="N1027" s="26">
        <f t="shared" si="158"/>
        <v>0.16441540562871726</v>
      </c>
      <c r="O1027" s="26">
        <f t="shared" si="159"/>
        <v>0.16441540562871726</v>
      </c>
    </row>
    <row r="1028" spans="1:15" x14ac:dyDescent="0.25">
      <c r="A1028" s="2">
        <v>44046</v>
      </c>
      <c r="B1028">
        <v>5150</v>
      </c>
      <c r="C1028">
        <v>28350</v>
      </c>
      <c r="D1028">
        <v>937999</v>
      </c>
      <c r="F1028">
        <f t="shared" ref="F1028:F1091" si="160">IFERROR((C1028+B1028)/(B1028+C1028+D1028),"")</f>
        <v>3.4482794115073719E-2</v>
      </c>
      <c r="G1028">
        <f t="shared" ref="G1028:G1091" si="161">(F1028-AVERAGE(F1028:F1285))/_xlfn.STDEV.S(F1028:F1285)</f>
        <v>0.81402608740884974</v>
      </c>
      <c r="H1028">
        <f t="shared" ref="H1028:H1091" si="162">IFERROR(C1028/B1028,"")</f>
        <v>5.5048543689320386</v>
      </c>
      <c r="I1028">
        <f t="shared" ref="I1028:I1091" si="163">IFERROR((H1028-AVERAGE(H1028:H1155))/_xlfn.STDEV.S(H1028:H1155),"")</f>
        <v>8.971828585685665E-2</v>
      </c>
      <c r="J1028" s="26">
        <f t="shared" ref="J1028:J1091" si="164">AVERAGEA(F1028:F1048)-AVERAGE(F1049:F1069)</f>
        <v>1.0579298060927403E-3</v>
      </c>
      <c r="K1028" s="26">
        <f t="shared" ref="K1028:K1091" si="165">AVERAGEA(F1028:F1048)-AVERAGE(F1049:F1104)</f>
        <v>7.9720553673036133E-3</v>
      </c>
      <c r="L1028" s="26">
        <f t="shared" ref="L1028:L1091" si="166">AVERAGEA(F1028:F1048)-AVERAGE(F1049:F1161)</f>
        <v>7.9720553673036133E-3</v>
      </c>
      <c r="M1028" s="26">
        <f t="shared" ref="M1028:M1091" si="167">AVERAGEA(H1028:H1048)-AVERAGE(H1049:H1069)</f>
        <v>-0.7762941685017779</v>
      </c>
      <c r="N1028" s="26">
        <f t="shared" ref="N1028:N1091" si="168">AVERAGEA(H1028:H1048)-AVERAGE(H1049:H1104)</f>
        <v>0.23624605840486268</v>
      </c>
      <c r="O1028" s="26">
        <f t="shared" ref="O1028:O1091" si="169">AVERAGEA(H1028:H1048)-AVERAGE(H1049:H1161)</f>
        <v>0.23624605840486268</v>
      </c>
    </row>
    <row r="1029" spans="1:15" x14ac:dyDescent="0.25">
      <c r="A1029" s="2">
        <v>44043</v>
      </c>
      <c r="B1029">
        <v>5150</v>
      </c>
      <c r="C1029">
        <v>28350</v>
      </c>
      <c r="D1029">
        <v>937861</v>
      </c>
      <c r="F1029">
        <f t="shared" si="160"/>
        <v>3.4487693041001237E-2</v>
      </c>
      <c r="G1029">
        <f t="shared" si="161"/>
        <v>0.82407387319914682</v>
      </c>
      <c r="H1029">
        <f t="shared" si="162"/>
        <v>5.5048543689320386</v>
      </c>
      <c r="I1029">
        <f t="shared" si="163"/>
        <v>9.0411229916727162E-2</v>
      </c>
      <c r="J1029" s="26">
        <f t="shared" si="164"/>
        <v>1.290877839031486E-3</v>
      </c>
      <c r="K1029" s="26">
        <f t="shared" si="165"/>
        <v>8.1949871803095528E-3</v>
      </c>
      <c r="L1029" s="26">
        <f t="shared" si="166"/>
        <v>8.1949871803095528E-3</v>
      </c>
      <c r="M1029" s="26">
        <f t="shared" si="167"/>
        <v>-0.71892251507429794</v>
      </c>
      <c r="N1029" s="26">
        <f t="shared" si="168"/>
        <v>0.30925133694352525</v>
      </c>
      <c r="O1029" s="26">
        <f t="shared" si="169"/>
        <v>0.30925133694352525</v>
      </c>
    </row>
    <row r="1030" spans="1:15" x14ac:dyDescent="0.25">
      <c r="A1030" s="2">
        <v>44042</v>
      </c>
      <c r="B1030">
        <v>5150</v>
      </c>
      <c r="C1030">
        <v>28350</v>
      </c>
      <c r="D1030">
        <v>937470</v>
      </c>
      <c r="F1030">
        <f t="shared" si="160"/>
        <v>3.4501580893333474E-2</v>
      </c>
      <c r="G1030">
        <f t="shared" si="161"/>
        <v>0.83587510138893784</v>
      </c>
      <c r="H1030">
        <f t="shared" si="162"/>
        <v>5.5048543689320386</v>
      </c>
      <c r="I1030">
        <f t="shared" si="163"/>
        <v>9.1120479311352212E-2</v>
      </c>
      <c r="J1030" s="26">
        <f t="shared" si="164"/>
        <v>1.5968728336460056E-3</v>
      </c>
      <c r="K1030" s="26">
        <f t="shared" si="165"/>
        <v>8.4238224051407448E-3</v>
      </c>
      <c r="L1030" s="26">
        <f t="shared" si="166"/>
        <v>8.4238224051407448E-3</v>
      </c>
      <c r="M1030" s="26">
        <f t="shared" si="167"/>
        <v>-0.6436937187896774</v>
      </c>
      <c r="N1030" s="26">
        <f t="shared" si="168"/>
        <v>0.38351514308488444</v>
      </c>
      <c r="O1030" s="26">
        <f t="shared" si="169"/>
        <v>0.38351514308488444</v>
      </c>
    </row>
    <row r="1031" spans="1:15" x14ac:dyDescent="0.25">
      <c r="A1031" s="2">
        <v>44041</v>
      </c>
      <c r="B1031">
        <v>5150</v>
      </c>
      <c r="C1031">
        <v>28350</v>
      </c>
      <c r="D1031">
        <v>936786</v>
      </c>
      <c r="F1031">
        <f t="shared" si="160"/>
        <v>3.4525902671995679E-2</v>
      </c>
      <c r="G1031">
        <f t="shared" si="161"/>
        <v>0.84970286767288239</v>
      </c>
      <c r="H1031">
        <f t="shared" si="162"/>
        <v>5.5048543689320386</v>
      </c>
      <c r="I1031">
        <f t="shared" si="163"/>
        <v>9.1846683578679186E-2</v>
      </c>
      <c r="J1031" s="26">
        <f t="shared" si="164"/>
        <v>1.792810245763124E-3</v>
      </c>
      <c r="K1031" s="26">
        <f t="shared" si="165"/>
        <v>8.5853922392886521E-3</v>
      </c>
      <c r="L1031" s="26">
        <f t="shared" si="166"/>
        <v>8.5853922392886521E-3</v>
      </c>
      <c r="M1031" s="26">
        <f t="shared" si="167"/>
        <v>-0.59227444631457793</v>
      </c>
      <c r="N1031" s="26">
        <f t="shared" si="168"/>
        <v>0.44112724133413295</v>
      </c>
      <c r="O1031" s="26">
        <f t="shared" si="169"/>
        <v>0.44112724133413295</v>
      </c>
    </row>
    <row r="1032" spans="1:15" x14ac:dyDescent="0.25">
      <c r="A1032" s="2">
        <v>44040</v>
      </c>
      <c r="B1032">
        <v>5150</v>
      </c>
      <c r="C1032">
        <v>28350</v>
      </c>
      <c r="D1032">
        <v>934569</v>
      </c>
      <c r="F1032">
        <f t="shared" si="160"/>
        <v>3.4604971339852839E-2</v>
      </c>
      <c r="G1032">
        <f t="shared" si="161"/>
        <v>0.87255010317202042</v>
      </c>
      <c r="H1032">
        <f t="shared" si="162"/>
        <v>5.5048543689320386</v>
      </c>
      <c r="I1032">
        <f t="shared" si="163"/>
        <v>9.259052906160746E-2</v>
      </c>
      <c r="J1032" s="26">
        <f t="shared" si="164"/>
        <v>2.3418993173779101E-3</v>
      </c>
      <c r="K1032" s="26">
        <f t="shared" si="165"/>
        <v>8.7458097505239765E-3</v>
      </c>
      <c r="L1032" s="26">
        <f t="shared" si="166"/>
        <v>8.7458097505239765E-3</v>
      </c>
      <c r="M1032" s="26">
        <f t="shared" si="167"/>
        <v>-0.45752184050614542</v>
      </c>
      <c r="N1032" s="26">
        <f t="shared" si="168"/>
        <v>0.49988637264698088</v>
      </c>
      <c r="O1032" s="26">
        <f t="shared" si="169"/>
        <v>0.49988637264698088</v>
      </c>
    </row>
    <row r="1033" spans="1:15" x14ac:dyDescent="0.25">
      <c r="A1033" s="2">
        <v>44039</v>
      </c>
      <c r="B1033">
        <v>5150</v>
      </c>
      <c r="C1033">
        <v>28350</v>
      </c>
      <c r="D1033">
        <v>930855</v>
      </c>
      <c r="F1033">
        <f t="shared" si="160"/>
        <v>3.4738244733526553E-2</v>
      </c>
      <c r="G1033">
        <f t="shared" si="161"/>
        <v>0.90454260221713756</v>
      </c>
      <c r="H1033">
        <f t="shared" si="162"/>
        <v>5.5048543689320386</v>
      </c>
      <c r="I1033">
        <f t="shared" si="163"/>
        <v>9.3352741632936692E-2</v>
      </c>
      <c r="J1033" s="26">
        <f t="shared" si="164"/>
        <v>2.7821647808161723E-3</v>
      </c>
      <c r="K1033" s="26">
        <f t="shared" si="165"/>
        <v>8.8324328910801449E-3</v>
      </c>
      <c r="L1033" s="26">
        <f t="shared" si="166"/>
        <v>8.8324328910801449E-3</v>
      </c>
      <c r="M1033" s="26">
        <f t="shared" si="167"/>
        <v>-0.32276923469771379</v>
      </c>
      <c r="N1033" s="26">
        <f t="shared" si="168"/>
        <v>0.55988077033601247</v>
      </c>
      <c r="O1033" s="26">
        <f t="shared" si="169"/>
        <v>0.55988077033601247</v>
      </c>
    </row>
    <row r="1034" spans="1:15" x14ac:dyDescent="0.25">
      <c r="A1034" s="2">
        <v>44036</v>
      </c>
      <c r="B1034">
        <v>5150</v>
      </c>
      <c r="C1034">
        <v>28250</v>
      </c>
      <c r="D1034">
        <v>931822</v>
      </c>
      <c r="F1034">
        <f t="shared" si="160"/>
        <v>3.460343837997891E-2</v>
      </c>
      <c r="G1034">
        <f t="shared" si="161"/>
        <v>0.89564646810581727</v>
      </c>
      <c r="H1034">
        <f t="shared" si="162"/>
        <v>5.4854368932038833</v>
      </c>
      <c r="I1034">
        <f t="shared" si="163"/>
        <v>7.3906961018167086E-2</v>
      </c>
      <c r="J1034" s="26">
        <f t="shared" si="164"/>
        <v>3.2236036217335451E-3</v>
      </c>
      <c r="K1034" s="26">
        <f t="shared" si="165"/>
        <v>8.9243019660545965E-3</v>
      </c>
      <c r="L1034" s="26">
        <f t="shared" si="166"/>
        <v>8.9243019660545965E-3</v>
      </c>
      <c r="M1034" s="26">
        <f t="shared" si="167"/>
        <v>-0.18801662888928306</v>
      </c>
      <c r="N1034" s="26">
        <f t="shared" si="168"/>
        <v>0.62120795543092555</v>
      </c>
      <c r="O1034" s="26">
        <f t="shared" si="169"/>
        <v>0.62120795543092555</v>
      </c>
    </row>
    <row r="1035" spans="1:15" x14ac:dyDescent="0.25">
      <c r="A1035" s="2">
        <v>44035</v>
      </c>
      <c r="B1035">
        <v>5150</v>
      </c>
      <c r="C1035">
        <v>28250</v>
      </c>
      <c r="D1035">
        <v>932219</v>
      </c>
      <c r="F1035">
        <f t="shared" si="160"/>
        <v>3.458921168701113E-2</v>
      </c>
      <c r="G1035">
        <f t="shared" si="161"/>
        <v>0.90552014233262967</v>
      </c>
      <c r="H1035">
        <f t="shared" si="162"/>
        <v>5.4854368932038833</v>
      </c>
      <c r="I1035">
        <f t="shared" si="163"/>
        <v>7.4533857337292592E-2</v>
      </c>
      <c r="J1035" s="26">
        <f t="shared" si="164"/>
        <v>3.6351317532551664E-3</v>
      </c>
      <c r="K1035" s="26">
        <f t="shared" si="165"/>
        <v>9.0321403280661239E-3</v>
      </c>
      <c r="L1035" s="26">
        <f t="shared" si="166"/>
        <v>9.0321403280661239E-3</v>
      </c>
      <c r="M1035" s="26">
        <f t="shared" si="167"/>
        <v>-6.1267952808081283E-2</v>
      </c>
      <c r="N1035" s="26">
        <f t="shared" si="168"/>
        <v>0.68490063347678287</v>
      </c>
      <c r="O1035" s="26">
        <f t="shared" si="169"/>
        <v>0.68490063347678287</v>
      </c>
    </row>
    <row r="1036" spans="1:15" x14ac:dyDescent="0.25">
      <c r="A1036" s="2">
        <v>44034</v>
      </c>
      <c r="B1036">
        <v>5150</v>
      </c>
      <c r="C1036">
        <v>28250</v>
      </c>
      <c r="D1036">
        <v>929415</v>
      </c>
      <c r="F1036">
        <f t="shared" si="160"/>
        <v>3.4689945628184025E-2</v>
      </c>
      <c r="G1036">
        <f t="shared" si="161"/>
        <v>0.93373527929607458</v>
      </c>
      <c r="H1036">
        <f t="shared" si="162"/>
        <v>5.4854368932038833</v>
      </c>
      <c r="I1036">
        <f t="shared" si="163"/>
        <v>7.5176976857021488E-2</v>
      </c>
      <c r="J1036" s="26">
        <f t="shared" si="164"/>
        <v>4.0501191007698209E-3</v>
      </c>
      <c r="K1036" s="26">
        <f t="shared" si="165"/>
        <v>9.1503300096982577E-3</v>
      </c>
      <c r="L1036" s="26">
        <f t="shared" si="166"/>
        <v>9.1503300096982577E-3</v>
      </c>
      <c r="M1036" s="26">
        <f t="shared" si="167"/>
        <v>6.5480723273117825E-2</v>
      </c>
      <c r="N1036" s="26">
        <f t="shared" si="168"/>
        <v>0.75015423370970868</v>
      </c>
      <c r="O1036" s="26">
        <f t="shared" si="169"/>
        <v>0.75015423370970868</v>
      </c>
    </row>
    <row r="1037" spans="1:15" x14ac:dyDescent="0.25">
      <c r="A1037" s="2">
        <v>44033</v>
      </c>
      <c r="B1037">
        <v>5150</v>
      </c>
      <c r="C1037">
        <v>28250</v>
      </c>
      <c r="D1037">
        <v>927887</v>
      </c>
      <c r="F1037">
        <f t="shared" si="160"/>
        <v>3.4745086535030639E-2</v>
      </c>
      <c r="G1037">
        <f t="shared" si="161"/>
        <v>0.95582614289679835</v>
      </c>
      <c r="H1037">
        <f t="shared" si="162"/>
        <v>5.4854368932038833</v>
      </c>
      <c r="I1037">
        <f t="shared" si="163"/>
        <v>7.583703136956349E-2</v>
      </c>
      <c r="J1037" s="26">
        <f t="shared" si="164"/>
        <v>4.447487427870548E-3</v>
      </c>
      <c r="K1037" s="26">
        <f t="shared" si="165"/>
        <v>9.267904377881199E-3</v>
      </c>
      <c r="L1037" s="26">
        <f t="shared" si="166"/>
        <v>9.267904377881199E-3</v>
      </c>
      <c r="M1037" s="26">
        <f t="shared" si="167"/>
        <v>0.19222939935431782</v>
      </c>
      <c r="N1037" s="26">
        <f t="shared" si="168"/>
        <v>0.81710254946002525</v>
      </c>
      <c r="O1037" s="26">
        <f t="shared" si="169"/>
        <v>0.81710254946002525</v>
      </c>
    </row>
    <row r="1038" spans="1:15" x14ac:dyDescent="0.25">
      <c r="A1038" s="2">
        <v>44032</v>
      </c>
      <c r="B1038">
        <v>5150</v>
      </c>
      <c r="C1038">
        <v>28250</v>
      </c>
      <c r="D1038">
        <v>925042</v>
      </c>
      <c r="F1038">
        <f t="shared" si="160"/>
        <v>3.4848222427648207E-2</v>
      </c>
      <c r="G1038">
        <f t="shared" si="161"/>
        <v>0.98623407065045654</v>
      </c>
      <c r="H1038">
        <f t="shared" si="162"/>
        <v>5.4854368932038833</v>
      </c>
      <c r="I1038">
        <f t="shared" si="163"/>
        <v>7.6514777155483424E-2</v>
      </c>
      <c r="J1038" s="26">
        <f t="shared" si="164"/>
        <v>4.8537867620405337E-3</v>
      </c>
      <c r="K1038" s="26">
        <f t="shared" si="165"/>
        <v>9.4003955685847372E-3</v>
      </c>
      <c r="L1038" s="26">
        <f t="shared" si="166"/>
        <v>9.4003955685847372E-3</v>
      </c>
      <c r="M1038" s="26">
        <f t="shared" si="167"/>
        <v>0.3189780754355187</v>
      </c>
      <c r="N1038" s="26">
        <f t="shared" si="168"/>
        <v>0.88589511444985547</v>
      </c>
      <c r="O1038" s="26">
        <f t="shared" si="169"/>
        <v>0.88589511444985547</v>
      </c>
    </row>
    <row r="1039" spans="1:15" x14ac:dyDescent="0.25">
      <c r="A1039" s="2">
        <v>44029</v>
      </c>
      <c r="B1039">
        <v>5150</v>
      </c>
      <c r="C1039">
        <v>28250</v>
      </c>
      <c r="D1039">
        <v>921447</v>
      </c>
      <c r="F1039">
        <f t="shared" si="160"/>
        <v>3.4979426023226755E-2</v>
      </c>
      <c r="G1039">
        <f t="shared" si="161"/>
        <v>1.0221807779890668</v>
      </c>
      <c r="H1039">
        <f t="shared" si="162"/>
        <v>5.4854368932038833</v>
      </c>
      <c r="I1039">
        <f t="shared" si="163"/>
        <v>7.7211018622488845E-2</v>
      </c>
      <c r="J1039" s="26">
        <f t="shared" si="164"/>
        <v>5.2886369894738321E-3</v>
      </c>
      <c r="K1039" s="26">
        <f t="shared" si="165"/>
        <v>9.5602817000333511E-3</v>
      </c>
      <c r="L1039" s="26">
        <f t="shared" si="166"/>
        <v>9.5602817000333511E-3</v>
      </c>
      <c r="M1039" s="26">
        <f t="shared" si="167"/>
        <v>0.44572675151671959</v>
      </c>
      <c r="N1039" s="26">
        <f t="shared" si="168"/>
        <v>0.95669958770097185</v>
      </c>
      <c r="O1039" s="26">
        <f t="shared" si="169"/>
        <v>0.95669958770097185</v>
      </c>
    </row>
    <row r="1040" spans="1:15" x14ac:dyDescent="0.25">
      <c r="A1040" s="2">
        <v>44028</v>
      </c>
      <c r="B1040">
        <v>5150</v>
      </c>
      <c r="C1040">
        <v>28250</v>
      </c>
      <c r="D1040">
        <v>917214</v>
      </c>
      <c r="F1040">
        <f t="shared" si="160"/>
        <v>3.5135186311163101E-2</v>
      </c>
      <c r="G1040">
        <f t="shared" si="161"/>
        <v>1.0634099032811841</v>
      </c>
      <c r="H1040">
        <f t="shared" si="162"/>
        <v>5.4854368932038833</v>
      </c>
      <c r="I1040">
        <f t="shared" si="163"/>
        <v>7.7926612314578883E-2</v>
      </c>
      <c r="J1040" s="26">
        <f t="shared" si="164"/>
        <v>5.724282176338219E-3</v>
      </c>
      <c r="K1040" s="26">
        <f t="shared" si="165"/>
        <v>9.7294709470482146E-3</v>
      </c>
      <c r="L1040" s="26">
        <f t="shared" si="166"/>
        <v>9.7294709470482146E-3</v>
      </c>
      <c r="M1040" s="26">
        <f t="shared" si="167"/>
        <v>0.57247542759791958</v>
      </c>
      <c r="N1040" s="26">
        <f t="shared" si="168"/>
        <v>1.029704585612869</v>
      </c>
      <c r="O1040" s="26">
        <f t="shared" si="169"/>
        <v>1.029704585612869</v>
      </c>
    </row>
    <row r="1041" spans="1:15" x14ac:dyDescent="0.25">
      <c r="A1041" s="2">
        <v>44027</v>
      </c>
      <c r="B1041">
        <v>5150</v>
      </c>
      <c r="C1041">
        <v>28200</v>
      </c>
      <c r="D1041">
        <v>913004</v>
      </c>
      <c r="F1041">
        <f t="shared" si="160"/>
        <v>3.5240512535478268E-2</v>
      </c>
      <c r="G1041">
        <f t="shared" si="161"/>
        <v>1.0985866881984332</v>
      </c>
      <c r="H1041">
        <f t="shared" si="162"/>
        <v>5.4757281553398061</v>
      </c>
      <c r="I1041">
        <f t="shared" si="163"/>
        <v>6.9175276608964692E-2</v>
      </c>
      <c r="J1041" s="26">
        <f t="shared" si="164"/>
        <v>6.3001653227272719E-3</v>
      </c>
      <c r="K1041" s="26">
        <f t="shared" si="165"/>
        <v>9.9055507616752497E-3</v>
      </c>
      <c r="L1041" s="26">
        <f t="shared" si="166"/>
        <v>9.9055507616752497E-3</v>
      </c>
      <c r="M1041" s="26">
        <f t="shared" si="167"/>
        <v>0.74355235294922917</v>
      </c>
      <c r="N1041" s="26">
        <f t="shared" si="168"/>
        <v>1.1148438365344102</v>
      </c>
      <c r="O1041" s="26">
        <f t="shared" si="169"/>
        <v>1.1148438365344102</v>
      </c>
    </row>
    <row r="1042" spans="1:15" x14ac:dyDescent="0.25">
      <c r="A1042" s="2">
        <v>44026</v>
      </c>
      <c r="B1042">
        <v>5150</v>
      </c>
      <c r="C1042">
        <v>28200</v>
      </c>
      <c r="D1042">
        <v>906715</v>
      </c>
      <c r="F1042">
        <f t="shared" si="160"/>
        <v>3.5476270257907699E-2</v>
      </c>
      <c r="G1042">
        <f t="shared" si="161"/>
        <v>1.1558219600437762</v>
      </c>
      <c r="H1042">
        <f t="shared" si="162"/>
        <v>5.4757281553398061</v>
      </c>
      <c r="I1042">
        <f t="shared" si="163"/>
        <v>6.9840085282109124E-2</v>
      </c>
      <c r="J1042" s="26">
        <f t="shared" si="164"/>
        <v>6.9017830141883361E-3</v>
      </c>
      <c r="K1042" s="26">
        <f t="shared" si="165"/>
        <v>1.0095374419552147E-2</v>
      </c>
      <c r="L1042" s="26">
        <f t="shared" si="166"/>
        <v>1.0095374419552147E-2</v>
      </c>
      <c r="M1042" s="26">
        <f t="shared" si="167"/>
        <v>0.89038921819882866</v>
      </c>
      <c r="N1042" s="26">
        <f t="shared" si="168"/>
        <v>1.2033619479884177</v>
      </c>
      <c r="O1042" s="26">
        <f t="shared" si="169"/>
        <v>1.2033619479884177</v>
      </c>
    </row>
    <row r="1043" spans="1:15" x14ac:dyDescent="0.25">
      <c r="A1043" s="2">
        <v>44025</v>
      </c>
      <c r="B1043">
        <v>5150</v>
      </c>
      <c r="C1043">
        <v>28200</v>
      </c>
      <c r="D1043">
        <v>899997</v>
      </c>
      <c r="F1043">
        <f t="shared" si="160"/>
        <v>3.5731619644140927E-2</v>
      </c>
      <c r="G1043">
        <f t="shared" si="161"/>
        <v>1.2190123521745599</v>
      </c>
      <c r="H1043">
        <f t="shared" si="162"/>
        <v>5.4757281553398061</v>
      </c>
      <c r="I1043">
        <f t="shared" si="163"/>
        <v>7.0524429015334358E-2</v>
      </c>
      <c r="J1043" s="26">
        <f t="shared" si="164"/>
        <v>7.4900776178554625E-3</v>
      </c>
      <c r="K1043" s="26">
        <f t="shared" si="165"/>
        <v>1.0290006267825825E-2</v>
      </c>
      <c r="L1043" s="26">
        <f t="shared" si="166"/>
        <v>1.0290006267825825E-2</v>
      </c>
      <c r="M1043" s="26">
        <f t="shared" si="167"/>
        <v>1.0372260834484273</v>
      </c>
      <c r="N1043" s="26">
        <f t="shared" si="168"/>
        <v>1.2950983101257867</v>
      </c>
      <c r="O1043" s="26">
        <f t="shared" si="169"/>
        <v>1.2950983101257867</v>
      </c>
    </row>
    <row r="1044" spans="1:15" x14ac:dyDescent="0.25">
      <c r="A1044" s="2">
        <v>44022</v>
      </c>
      <c r="B1044">
        <v>5150</v>
      </c>
      <c r="C1044">
        <v>28200</v>
      </c>
      <c r="D1044">
        <v>898633</v>
      </c>
      <c r="F1044">
        <f t="shared" si="160"/>
        <v>3.5783914513462155E-2</v>
      </c>
      <c r="G1044">
        <f t="shared" si="161"/>
        <v>1.2538511917092687</v>
      </c>
      <c r="H1044">
        <f t="shared" si="162"/>
        <v>5.4757281553398061</v>
      </c>
      <c r="I1044">
        <f t="shared" si="163"/>
        <v>7.1229283202345353E-2</v>
      </c>
      <c r="J1044" s="26">
        <f t="shared" si="164"/>
        <v>8.0387425111582179E-3</v>
      </c>
      <c r="K1044" s="26">
        <f t="shared" si="165"/>
        <v>1.0469519422967057E-2</v>
      </c>
      <c r="L1044" s="26">
        <f t="shared" si="166"/>
        <v>1.0469519422967057E-2</v>
      </c>
      <c r="M1044" s="26">
        <f t="shared" si="167"/>
        <v>1.1785258501376719</v>
      </c>
      <c r="N1044" s="26">
        <f t="shared" si="168"/>
        <v>1.3855527742794216</v>
      </c>
      <c r="O1044" s="26">
        <f t="shared" si="169"/>
        <v>1.3855527742794216</v>
      </c>
    </row>
    <row r="1045" spans="1:15" x14ac:dyDescent="0.25">
      <c r="A1045" s="2">
        <v>44021</v>
      </c>
      <c r="B1045">
        <v>5150</v>
      </c>
      <c r="C1045">
        <v>28200</v>
      </c>
      <c r="D1045">
        <v>897024</v>
      </c>
      <c r="F1045">
        <f t="shared" si="160"/>
        <v>3.5845799646163801E-2</v>
      </c>
      <c r="G1045">
        <f t="shared" si="161"/>
        <v>1.2925140149256202</v>
      </c>
      <c r="H1045">
        <f t="shared" si="162"/>
        <v>5.4757281553398061</v>
      </c>
      <c r="I1045">
        <f t="shared" si="163"/>
        <v>7.1955692774987895E-2</v>
      </c>
      <c r="J1045" s="26">
        <f t="shared" si="164"/>
        <v>8.5831307720946881E-3</v>
      </c>
      <c r="K1045" s="26">
        <f t="shared" si="165"/>
        <v>1.066611487946019E-2</v>
      </c>
      <c r="L1045" s="26">
        <f t="shared" si="166"/>
        <v>1.066611487946019E-2</v>
      </c>
      <c r="M1045" s="26">
        <f t="shared" si="167"/>
        <v>1.318124936554808</v>
      </c>
      <c r="N1045" s="26">
        <f t="shared" si="168"/>
        <v>1.4798123893136896</v>
      </c>
      <c r="O1045" s="26">
        <f t="shared" si="169"/>
        <v>1.4798123893136896</v>
      </c>
    </row>
    <row r="1046" spans="1:15" x14ac:dyDescent="0.25">
      <c r="A1046" s="2">
        <v>44020</v>
      </c>
      <c r="B1046">
        <v>5150</v>
      </c>
      <c r="C1046">
        <v>28150</v>
      </c>
      <c r="D1046">
        <v>897537</v>
      </c>
      <c r="F1046">
        <f t="shared" si="160"/>
        <v>3.577425478359799E-2</v>
      </c>
      <c r="G1046">
        <f t="shared" si="161"/>
        <v>1.3126752451021373</v>
      </c>
      <c r="H1046">
        <f t="shared" si="162"/>
        <v>5.4660194174757279</v>
      </c>
      <c r="I1046">
        <f t="shared" si="163"/>
        <v>6.3692297304684425E-2</v>
      </c>
      <c r="J1046" s="26">
        <f t="shared" si="164"/>
        <v>9.0639907857438355E-3</v>
      </c>
      <c r="K1046" s="26">
        <f t="shared" si="165"/>
        <v>1.0830766437075506E-2</v>
      </c>
      <c r="L1046" s="26">
        <f t="shared" si="166"/>
        <v>1.0830766437075506E-2</v>
      </c>
      <c r="M1046" s="26">
        <f t="shared" si="167"/>
        <v>1.495556248885566</v>
      </c>
      <c r="N1046" s="26">
        <f t="shared" si="168"/>
        <v>1.6125107229828979</v>
      </c>
      <c r="O1046" s="26">
        <f t="shared" si="169"/>
        <v>1.6125107229828979</v>
      </c>
    </row>
    <row r="1047" spans="1:15" x14ac:dyDescent="0.25">
      <c r="A1047" s="2">
        <v>44019</v>
      </c>
      <c r="B1047">
        <v>4400</v>
      </c>
      <c r="C1047">
        <v>28525</v>
      </c>
      <c r="D1047">
        <v>898241</v>
      </c>
      <c r="F1047">
        <f t="shared" si="160"/>
        <v>3.5358894117697597E-2</v>
      </c>
      <c r="G1047">
        <f t="shared" si="161"/>
        <v>1.2794593441668964</v>
      </c>
      <c r="H1047">
        <f t="shared" si="162"/>
        <v>6.4829545454545459</v>
      </c>
      <c r="I1047">
        <f t="shared" si="163"/>
        <v>0.99809953854213351</v>
      </c>
      <c r="J1047" s="26">
        <f t="shared" si="164"/>
        <v>9.5628892714778209E-3</v>
      </c>
      <c r="K1047" s="26">
        <f t="shared" si="165"/>
        <v>1.1027336035799373E-2</v>
      </c>
      <c r="L1047" s="26">
        <f t="shared" si="166"/>
        <v>1.1027336035799373E-2</v>
      </c>
      <c r="M1047" s="26">
        <f t="shared" si="167"/>
        <v>1.6734498820669925</v>
      </c>
      <c r="N1047" s="26">
        <f t="shared" si="168"/>
        <v>1.7516471609785569</v>
      </c>
      <c r="O1047" s="26">
        <f t="shared" si="169"/>
        <v>1.7516471609785569</v>
      </c>
    </row>
    <row r="1048" spans="1:15" x14ac:dyDescent="0.25">
      <c r="A1048" s="2">
        <v>44018</v>
      </c>
      <c r="B1048">
        <v>4400</v>
      </c>
      <c r="C1048">
        <v>28525</v>
      </c>
      <c r="D1048">
        <v>891858</v>
      </c>
      <c r="F1048">
        <f t="shared" si="160"/>
        <v>3.5602946853478062E-2</v>
      </c>
      <c r="G1048">
        <f t="shared" si="161"/>
        <v>1.3507678610268428</v>
      </c>
      <c r="H1048">
        <f t="shared" si="162"/>
        <v>6.4829545454545459</v>
      </c>
      <c r="I1048">
        <f t="shared" si="163"/>
        <v>1.020492236418914</v>
      </c>
      <c r="J1048" s="26">
        <f t="shared" si="164"/>
        <v>1.0047543684709094E-2</v>
      </c>
      <c r="K1048" s="26">
        <f t="shared" si="165"/>
        <v>1.1238059148149848E-2</v>
      </c>
      <c r="L1048" s="26">
        <f t="shared" si="166"/>
        <v>1.1238059148149848E-2</v>
      </c>
      <c r="M1048" s="26">
        <f t="shared" si="167"/>
        <v>1.7969656520113331</v>
      </c>
      <c r="N1048" s="26">
        <f t="shared" si="168"/>
        <v>1.8435005159569116</v>
      </c>
      <c r="O1048" s="26">
        <f t="shared" si="169"/>
        <v>1.8435005159569116</v>
      </c>
    </row>
    <row r="1049" spans="1:15" x14ac:dyDescent="0.25">
      <c r="A1049" s="2">
        <v>44015</v>
      </c>
      <c r="B1049">
        <v>4400</v>
      </c>
      <c r="C1049">
        <v>28525</v>
      </c>
      <c r="D1049">
        <v>889776</v>
      </c>
      <c r="F1049">
        <f t="shared" si="160"/>
        <v>3.5683282016601259E-2</v>
      </c>
      <c r="G1049">
        <f t="shared" si="161"/>
        <v>1.4008195630343447</v>
      </c>
      <c r="H1049">
        <f t="shared" si="162"/>
        <v>6.4829545454545459</v>
      </c>
      <c r="I1049">
        <f t="shared" si="163"/>
        <v>1.0444758532236098</v>
      </c>
      <c r="J1049" s="26">
        <f t="shared" si="164"/>
        <v>1.0512389834963401E-2</v>
      </c>
      <c r="K1049" s="26">
        <f t="shared" si="165"/>
        <v>1.1451520460755517E-2</v>
      </c>
      <c r="L1049" s="26">
        <f t="shared" si="166"/>
        <v>1.1451520460755517E-2</v>
      </c>
      <c r="M1049" s="26">
        <f t="shared" si="167"/>
        <v>1.9145290410032931</v>
      </c>
      <c r="N1049" s="26">
        <f t="shared" si="168"/>
        <v>1.9370334775605249</v>
      </c>
      <c r="O1049" s="26">
        <f t="shared" si="169"/>
        <v>1.9370334775605249</v>
      </c>
    </row>
    <row r="1050" spans="1:15" x14ac:dyDescent="0.25">
      <c r="A1050" s="2">
        <v>44014</v>
      </c>
      <c r="B1050">
        <v>4400</v>
      </c>
      <c r="C1050">
        <v>28525</v>
      </c>
      <c r="D1050">
        <v>889916</v>
      </c>
      <c r="F1050">
        <f t="shared" si="160"/>
        <v>3.5677868668600551E-2</v>
      </c>
      <c r="G1050">
        <f t="shared" si="161"/>
        <v>1.4410772765269486</v>
      </c>
      <c r="H1050">
        <f t="shared" si="162"/>
        <v>6.4829545454545459</v>
      </c>
      <c r="I1050">
        <f t="shared" si="163"/>
        <v>1.0702488049308088</v>
      </c>
      <c r="J1050" s="26">
        <f t="shared" si="164"/>
        <v>1.0850443457418171E-2</v>
      </c>
      <c r="K1050" s="26">
        <f t="shared" si="165"/>
        <v>1.1581086636982572E-2</v>
      </c>
      <c r="L1050" s="26">
        <f t="shared" si="166"/>
        <v>1.1581086636982572E-2</v>
      </c>
      <c r="M1050" s="26">
        <f t="shared" si="167"/>
        <v>2.0023305252333499</v>
      </c>
      <c r="N1050" s="26">
        <f t="shared" si="168"/>
        <v>2.0096125289439248</v>
      </c>
      <c r="O1050" s="26">
        <f t="shared" si="169"/>
        <v>2.0096125289439248</v>
      </c>
    </row>
    <row r="1051" spans="1:15" x14ac:dyDescent="0.25">
      <c r="A1051" s="2">
        <v>44013</v>
      </c>
      <c r="B1051">
        <v>4400</v>
      </c>
      <c r="C1051">
        <v>27425</v>
      </c>
      <c r="D1051">
        <v>888211</v>
      </c>
      <c r="F1051">
        <f t="shared" si="160"/>
        <v>3.4591037742001403E-2</v>
      </c>
      <c r="G1051">
        <f t="shared" si="161"/>
        <v>1.3056254213028189</v>
      </c>
      <c r="H1051">
        <f t="shared" si="162"/>
        <v>6.2329545454545459</v>
      </c>
      <c r="I1051">
        <f t="shared" si="163"/>
        <v>0.86747396156468193</v>
      </c>
      <c r="J1051" s="26">
        <f t="shared" si="164"/>
        <v>1.103565903261168E-2</v>
      </c>
      <c r="K1051" s="26">
        <f t="shared" si="165"/>
        <v>1.1605814271541059E-2</v>
      </c>
      <c r="L1051" s="26">
        <f t="shared" si="166"/>
        <v>1.1605814271541059E-2</v>
      </c>
      <c r="M1051" s="26">
        <f t="shared" si="167"/>
        <v>2.0544177237491201</v>
      </c>
      <c r="N1051" s="26">
        <f t="shared" si="168"/>
        <v>2.0544177237491201</v>
      </c>
      <c r="O1051" s="26">
        <f t="shared" si="169"/>
        <v>2.0544177237491201</v>
      </c>
    </row>
    <row r="1052" spans="1:15" x14ac:dyDescent="0.25">
      <c r="A1052" s="2">
        <v>44012</v>
      </c>
      <c r="B1052">
        <v>4400</v>
      </c>
      <c r="C1052">
        <v>27425</v>
      </c>
      <c r="D1052">
        <v>890726</v>
      </c>
      <c r="F1052">
        <f t="shared" si="160"/>
        <v>3.4496737849723215E-2</v>
      </c>
      <c r="G1052">
        <f t="shared" si="161"/>
        <v>1.3261193334337282</v>
      </c>
      <c r="H1052">
        <f t="shared" si="162"/>
        <v>6.2329545454545459</v>
      </c>
      <c r="I1052">
        <f t="shared" si="163"/>
        <v>0.88609753781229095</v>
      </c>
      <c r="J1052" s="26">
        <f t="shared" si="164"/>
        <v>1.1281972403998575E-2</v>
      </c>
      <c r="K1052" s="26">
        <f t="shared" si="165"/>
        <v>1.171134826469919E-2</v>
      </c>
      <c r="L1052" s="26">
        <f t="shared" si="166"/>
        <v>1.171134826469919E-2</v>
      </c>
      <c r="M1052" s="26">
        <f t="shared" si="167"/>
        <v>2.1184734596798549</v>
      </c>
      <c r="N1052" s="26">
        <f t="shared" si="168"/>
        <v>2.1184734596798549</v>
      </c>
      <c r="O1052" s="26">
        <f t="shared" si="169"/>
        <v>2.1184734596798549</v>
      </c>
    </row>
    <row r="1053" spans="1:15" x14ac:dyDescent="0.25">
      <c r="A1053" s="2">
        <v>44011</v>
      </c>
      <c r="B1053">
        <v>4400</v>
      </c>
      <c r="C1053">
        <v>27425</v>
      </c>
      <c r="D1053">
        <v>921727</v>
      </c>
      <c r="F1053">
        <f t="shared" si="160"/>
        <v>3.337521183952212E-2</v>
      </c>
      <c r="G1053">
        <f t="shared" si="161"/>
        <v>1.1753647314618645</v>
      </c>
      <c r="H1053">
        <f t="shared" si="162"/>
        <v>6.2329545454545459</v>
      </c>
      <c r="I1053">
        <f t="shared" si="163"/>
        <v>0.90598549702455355</v>
      </c>
      <c r="J1053" s="26">
        <f t="shared" si="164"/>
        <v>1.0806025747022559E-2</v>
      </c>
      <c r="K1053" s="26">
        <f t="shared" si="165"/>
        <v>1.1206843258005611E-2</v>
      </c>
      <c r="L1053" s="26">
        <f t="shared" si="166"/>
        <v>1.1206843258005611E-2</v>
      </c>
      <c r="M1053" s="26">
        <f t="shared" si="167"/>
        <v>2.015596238217106</v>
      </c>
      <c r="N1053" s="26">
        <f t="shared" si="168"/>
        <v>2.015596238217106</v>
      </c>
      <c r="O1053" s="26">
        <f t="shared" si="169"/>
        <v>2.015596238217106</v>
      </c>
    </row>
    <row r="1054" spans="1:15" x14ac:dyDescent="0.25">
      <c r="A1054" s="2">
        <v>44008</v>
      </c>
      <c r="B1054">
        <v>4400</v>
      </c>
      <c r="C1054">
        <v>27425</v>
      </c>
      <c r="D1054">
        <v>919487</v>
      </c>
      <c r="F1054">
        <f t="shared" si="160"/>
        <v>3.3453798543485208E-2</v>
      </c>
      <c r="G1054">
        <f t="shared" si="161"/>
        <v>1.2184355475387632</v>
      </c>
      <c r="H1054">
        <f t="shared" si="162"/>
        <v>6.2329545454545459</v>
      </c>
      <c r="I1054">
        <f t="shared" si="163"/>
        <v>0.92728835860085246</v>
      </c>
      <c r="J1054" s="26">
        <f t="shared" si="164"/>
        <v>1.0378851479373081E-2</v>
      </c>
      <c r="K1054" s="26">
        <f t="shared" si="165"/>
        <v>1.0756032196024837E-2</v>
      </c>
      <c r="L1054" s="26">
        <f t="shared" si="166"/>
        <v>1.0756032196024837E-2</v>
      </c>
      <c r="M1054" s="26">
        <f t="shared" si="167"/>
        <v>1.912408344239739</v>
      </c>
      <c r="N1054" s="26">
        <f t="shared" si="168"/>
        <v>1.912408344239739</v>
      </c>
      <c r="O1054" s="26">
        <f t="shared" si="169"/>
        <v>1.912408344239739</v>
      </c>
    </row>
    <row r="1055" spans="1:15" x14ac:dyDescent="0.25">
      <c r="A1055" s="2">
        <v>44007</v>
      </c>
      <c r="B1055">
        <v>4400</v>
      </c>
      <c r="C1055">
        <v>27425</v>
      </c>
      <c r="D1055">
        <v>918301</v>
      </c>
      <c r="F1055">
        <f t="shared" si="160"/>
        <v>3.3495557431330161E-2</v>
      </c>
      <c r="G1055">
        <f t="shared" si="161"/>
        <v>1.2585146564327718</v>
      </c>
      <c r="H1055">
        <f t="shared" si="162"/>
        <v>6.2329545454545459</v>
      </c>
      <c r="I1055">
        <f t="shared" si="163"/>
        <v>0.95018303665805004</v>
      </c>
      <c r="J1055" s="26">
        <f t="shared" si="164"/>
        <v>9.9440127772572086E-3</v>
      </c>
      <c r="K1055" s="26">
        <f t="shared" si="165"/>
        <v>1.0305108545503438E-2</v>
      </c>
      <c r="L1055" s="26">
        <f t="shared" si="166"/>
        <v>1.0305108545503438E-2</v>
      </c>
      <c r="M1055" s="26">
        <f t="shared" si="167"/>
        <v>1.808854953186346</v>
      </c>
      <c r="N1055" s="26">
        <f t="shared" si="168"/>
        <v>1.808854953186346</v>
      </c>
      <c r="O1055" s="26">
        <f t="shared" si="169"/>
        <v>1.808854953186346</v>
      </c>
    </row>
    <row r="1056" spans="1:15" x14ac:dyDescent="0.25">
      <c r="A1056" s="2">
        <v>44006</v>
      </c>
      <c r="B1056">
        <v>4400</v>
      </c>
      <c r="C1056">
        <v>27425</v>
      </c>
      <c r="D1056">
        <v>917272</v>
      </c>
      <c r="F1056">
        <f t="shared" si="160"/>
        <v>3.3531872927635424E-2</v>
      </c>
      <c r="G1056">
        <f t="shared" si="161"/>
        <v>1.3010292584780632</v>
      </c>
      <c r="H1056">
        <f t="shared" si="162"/>
        <v>6.2329545454545459</v>
      </c>
      <c r="I1056">
        <f t="shared" si="163"/>
        <v>0.97487911007529371</v>
      </c>
      <c r="J1056" s="26">
        <f t="shared" si="164"/>
        <v>9.5842857423680122E-3</v>
      </c>
      <c r="K1056" s="26">
        <f t="shared" si="165"/>
        <v>9.9304957776521589E-3</v>
      </c>
      <c r="L1056" s="26">
        <f t="shared" si="166"/>
        <v>9.9304957776521589E-3</v>
      </c>
      <c r="M1056" s="26">
        <f t="shared" si="167"/>
        <v>1.7255148557837492</v>
      </c>
      <c r="N1056" s="26">
        <f t="shared" si="168"/>
        <v>1.7255148557837492</v>
      </c>
      <c r="O1056" s="26">
        <f t="shared" si="169"/>
        <v>1.7255148557837492</v>
      </c>
    </row>
    <row r="1057" spans="1:15" x14ac:dyDescent="0.25">
      <c r="A1057" s="2">
        <v>44005</v>
      </c>
      <c r="B1057">
        <v>4400</v>
      </c>
      <c r="C1057">
        <v>27425</v>
      </c>
      <c r="D1057">
        <v>918674</v>
      </c>
      <c r="F1057">
        <f t="shared" si="160"/>
        <v>3.3482412922054623E-2</v>
      </c>
      <c r="G1057">
        <f t="shared" si="161"/>
        <v>1.3325613853303391</v>
      </c>
      <c r="H1057">
        <f t="shared" si="162"/>
        <v>6.2329545454545459</v>
      </c>
      <c r="I1057">
        <f t="shared" si="163"/>
        <v>1.0016270149265531</v>
      </c>
      <c r="J1057" s="26">
        <f t="shared" si="164"/>
        <v>9.3193782119477125E-3</v>
      </c>
      <c r="K1057" s="26">
        <f t="shared" si="165"/>
        <v>9.5628954542408169E-3</v>
      </c>
      <c r="L1057" s="26">
        <f t="shared" si="166"/>
        <v>9.5628954542408169E-3</v>
      </c>
      <c r="M1057" s="26">
        <f t="shared" si="167"/>
        <v>1.643216425047819</v>
      </c>
      <c r="N1057" s="26">
        <f t="shared" si="168"/>
        <v>1.643216425047819</v>
      </c>
      <c r="O1057" s="26">
        <f t="shared" si="169"/>
        <v>1.643216425047819</v>
      </c>
    </row>
    <row r="1058" spans="1:15" x14ac:dyDescent="0.25">
      <c r="A1058" s="2">
        <v>44004</v>
      </c>
      <c r="B1058">
        <v>4400</v>
      </c>
      <c r="C1058">
        <v>27425</v>
      </c>
      <c r="D1058">
        <v>914924</v>
      </c>
      <c r="F1058">
        <f t="shared" si="160"/>
        <v>3.3615034185407115E-2</v>
      </c>
      <c r="G1058">
        <f t="shared" si="161"/>
        <v>1.399128649082108</v>
      </c>
      <c r="H1058">
        <f t="shared" si="162"/>
        <v>6.2329545454545459</v>
      </c>
      <c r="I1058">
        <f t="shared" si="163"/>
        <v>1.0307288970147526</v>
      </c>
      <c r="J1058" s="26">
        <f t="shared" si="164"/>
        <v>9.0715641703584711E-3</v>
      </c>
      <c r="K1058" s="26">
        <f t="shared" si="165"/>
        <v>9.2216672087160299E-3</v>
      </c>
      <c r="L1058" s="26">
        <f t="shared" si="166"/>
        <v>9.2216672087160299E-3</v>
      </c>
      <c r="M1058" s="26">
        <f t="shared" si="167"/>
        <v>1.5621828752642699</v>
      </c>
      <c r="N1058" s="26">
        <f t="shared" si="168"/>
        <v>1.5621828752642699</v>
      </c>
      <c r="O1058" s="26">
        <f t="shared" si="169"/>
        <v>1.5621828752642699</v>
      </c>
    </row>
    <row r="1059" spans="1:15" x14ac:dyDescent="0.25">
      <c r="A1059" s="2">
        <v>44001</v>
      </c>
      <c r="B1059">
        <v>4400</v>
      </c>
      <c r="C1059">
        <v>27425</v>
      </c>
      <c r="D1059">
        <v>905773</v>
      </c>
      <c r="F1059">
        <f t="shared" si="160"/>
        <v>3.3943118479348292E-2</v>
      </c>
      <c r="G1059">
        <f t="shared" si="161"/>
        <v>1.5070719320602832</v>
      </c>
      <c r="H1059">
        <f t="shared" si="162"/>
        <v>6.2329545454545459</v>
      </c>
      <c r="I1059">
        <f t="shared" si="163"/>
        <v>1.0625532093592558</v>
      </c>
      <c r="J1059" s="26">
        <f t="shared" si="164"/>
        <v>8.8177149363480242E-3</v>
      </c>
      <c r="K1059" s="26">
        <f t="shared" si="165"/>
        <v>8.886553576427314E-3</v>
      </c>
      <c r="L1059" s="26">
        <f t="shared" si="166"/>
        <v>8.886553576427314E-3</v>
      </c>
      <c r="M1059" s="26">
        <f t="shared" si="167"/>
        <v>1.4827061020374961</v>
      </c>
      <c r="N1059" s="26">
        <f t="shared" si="168"/>
        <v>1.4827061020374961</v>
      </c>
      <c r="O1059" s="26">
        <f t="shared" si="169"/>
        <v>1.4827061020374961</v>
      </c>
    </row>
    <row r="1060" spans="1:15" x14ac:dyDescent="0.25">
      <c r="A1060" s="2">
        <v>44000</v>
      </c>
      <c r="B1060">
        <v>4400</v>
      </c>
      <c r="C1060">
        <v>27425</v>
      </c>
      <c r="D1060">
        <v>903611</v>
      </c>
      <c r="F1060">
        <f t="shared" si="160"/>
        <v>3.4021568551990726E-2</v>
      </c>
      <c r="G1060">
        <f t="shared" si="161"/>
        <v>1.582611965519048</v>
      </c>
      <c r="H1060">
        <f t="shared" si="162"/>
        <v>6.2329545454545459</v>
      </c>
      <c r="I1060">
        <f t="shared" si="163"/>
        <v>1.0975546841477852</v>
      </c>
      <c r="J1060" s="26">
        <f t="shared" si="164"/>
        <v>8.5432894211190449E-3</v>
      </c>
      <c r="K1060" s="26">
        <f t="shared" si="165"/>
        <v>8.5432894211190449E-3</v>
      </c>
      <c r="L1060" s="26">
        <f t="shared" si="166"/>
        <v>8.5432894211190449E-3</v>
      </c>
      <c r="M1060" s="26">
        <f t="shared" si="167"/>
        <v>1.4051752995066931</v>
      </c>
      <c r="N1060" s="26">
        <f t="shared" si="168"/>
        <v>1.4051752995066931</v>
      </c>
      <c r="O1060" s="26">
        <f t="shared" si="169"/>
        <v>1.4051752995066931</v>
      </c>
    </row>
    <row r="1061" spans="1:15" x14ac:dyDescent="0.25">
      <c r="A1061" s="2">
        <v>43999</v>
      </c>
      <c r="B1061">
        <v>4300</v>
      </c>
      <c r="C1061">
        <v>27325</v>
      </c>
      <c r="D1061">
        <v>896592</v>
      </c>
      <c r="F1061">
        <f t="shared" si="160"/>
        <v>3.4070696830590261E-2</v>
      </c>
      <c r="G1061">
        <f t="shared" si="161"/>
        <v>1.6629119030639028</v>
      </c>
      <c r="H1061">
        <f t="shared" si="162"/>
        <v>6.3546511627906979</v>
      </c>
      <c r="I1061">
        <f t="shared" si="163"/>
        <v>1.2483190075529533</v>
      </c>
      <c r="J1061" s="26">
        <f t="shared" si="164"/>
        <v>8.210636979955499E-3</v>
      </c>
      <c r="K1061" s="26">
        <f t="shared" si="165"/>
        <v>8.210636979955499E-3</v>
      </c>
      <c r="L1061" s="26">
        <f t="shared" si="166"/>
        <v>8.210636979955499E-3</v>
      </c>
      <c r="M1061" s="26">
        <f t="shared" si="167"/>
        <v>1.3301211869525797</v>
      </c>
      <c r="N1061" s="26">
        <f t="shared" si="168"/>
        <v>1.3301211869525797</v>
      </c>
      <c r="O1061" s="26">
        <f t="shared" si="169"/>
        <v>1.3301211869525797</v>
      </c>
    </row>
    <row r="1062" spans="1:15" x14ac:dyDescent="0.25">
      <c r="A1062" s="2">
        <v>43998</v>
      </c>
      <c r="B1062">
        <v>4300</v>
      </c>
      <c r="C1062">
        <v>27325</v>
      </c>
      <c r="D1062">
        <v>893948</v>
      </c>
      <c r="F1062">
        <f t="shared" si="160"/>
        <v>3.4168023483831099E-2</v>
      </c>
      <c r="G1062">
        <f t="shared" si="161"/>
        <v>1.7643203252708211</v>
      </c>
      <c r="H1062">
        <f t="shared" si="162"/>
        <v>6.3546511627906979</v>
      </c>
      <c r="I1062">
        <f t="shared" si="163"/>
        <v>1.3018595187595119</v>
      </c>
      <c r="J1062" s="26">
        <f t="shared" si="164"/>
        <v>7.5902851346273184E-3</v>
      </c>
      <c r="K1062" s="26">
        <f t="shared" si="165"/>
        <v>7.5902851346273184E-3</v>
      </c>
      <c r="L1062" s="26">
        <f t="shared" si="166"/>
        <v>7.5902851346273184E-3</v>
      </c>
      <c r="M1062" s="26">
        <f t="shared" si="167"/>
        <v>1.1510035991140617</v>
      </c>
      <c r="N1062" s="26">
        <f t="shared" si="168"/>
        <v>1.1510035991140617</v>
      </c>
      <c r="O1062" s="26">
        <f t="shared" si="169"/>
        <v>1.1510035991140617</v>
      </c>
    </row>
    <row r="1063" spans="1:15" x14ac:dyDescent="0.25">
      <c r="A1063" s="2">
        <v>43997</v>
      </c>
      <c r="B1063">
        <v>4300</v>
      </c>
      <c r="C1063">
        <v>27325</v>
      </c>
      <c r="D1063">
        <v>892720</v>
      </c>
      <c r="F1063">
        <f t="shared" si="160"/>
        <v>3.4213415986455276E-2</v>
      </c>
      <c r="G1063">
        <f t="shared" si="161"/>
        <v>1.872921454660373</v>
      </c>
      <c r="H1063">
        <f t="shared" si="162"/>
        <v>6.3546511627906979</v>
      </c>
      <c r="I1063">
        <f t="shared" si="163"/>
        <v>1.3630273801482866</v>
      </c>
      <c r="J1063" s="26">
        <f t="shared" si="164"/>
        <v>6.9194480449549199E-3</v>
      </c>
      <c r="K1063" s="26">
        <f t="shared" si="165"/>
        <v>6.9194480449549199E-3</v>
      </c>
      <c r="L1063" s="26">
        <f t="shared" si="166"/>
        <v>6.9194480449549199E-3</v>
      </c>
      <c r="M1063" s="26">
        <f t="shared" si="167"/>
        <v>1.0432424326319651</v>
      </c>
      <c r="N1063" s="26">
        <f t="shared" si="168"/>
        <v>1.0432424326319651</v>
      </c>
      <c r="O1063" s="26">
        <f t="shared" si="169"/>
        <v>1.0432424326319651</v>
      </c>
    </row>
    <row r="1064" spans="1:15" x14ac:dyDescent="0.25">
      <c r="A1064" s="2">
        <v>43994</v>
      </c>
      <c r="B1064">
        <v>4300</v>
      </c>
      <c r="C1064">
        <v>27075</v>
      </c>
      <c r="D1064">
        <v>891710</v>
      </c>
      <c r="F1064">
        <f t="shared" si="160"/>
        <v>3.3989285927081468E-2</v>
      </c>
      <c r="G1064">
        <f t="shared" si="161"/>
        <v>1.9485625706968863</v>
      </c>
      <c r="H1064">
        <f t="shared" si="162"/>
        <v>6.2965116279069768</v>
      </c>
      <c r="I1064">
        <f t="shared" si="163"/>
        <v>1.37812520303137</v>
      </c>
      <c r="J1064" s="26">
        <f t="shared" si="164"/>
        <v>6.2586640411102269E-3</v>
      </c>
      <c r="K1064" s="26">
        <f t="shared" si="165"/>
        <v>6.2586640411102269E-3</v>
      </c>
      <c r="L1064" s="26">
        <f t="shared" si="166"/>
        <v>6.2586640411102269E-3</v>
      </c>
      <c r="M1064" s="26">
        <f t="shared" si="167"/>
        <v>0.93478682170542537</v>
      </c>
      <c r="N1064" s="26">
        <f t="shared" si="168"/>
        <v>0.93478682170542537</v>
      </c>
      <c r="O1064" s="26">
        <f t="shared" si="169"/>
        <v>0.93478682170542537</v>
      </c>
    </row>
    <row r="1065" spans="1:15" x14ac:dyDescent="0.25">
      <c r="A1065" s="2">
        <v>43993</v>
      </c>
      <c r="B1065">
        <v>4300</v>
      </c>
      <c r="C1065">
        <v>27075</v>
      </c>
      <c r="D1065">
        <v>889916</v>
      </c>
      <c r="F1065">
        <f t="shared" si="160"/>
        <v>3.4055472158091203E-2</v>
      </c>
      <c r="G1065">
        <f t="shared" si="161"/>
        <v>2.1008866425930606</v>
      </c>
      <c r="H1065">
        <f t="shared" si="162"/>
        <v>6.2965116279069768</v>
      </c>
      <c r="I1065">
        <f t="shared" si="163"/>
        <v>1.4536133540249705</v>
      </c>
      <c r="J1065" s="26">
        <f t="shared" si="164"/>
        <v>5.6211716085579413E-3</v>
      </c>
      <c r="K1065" s="26">
        <f t="shared" si="165"/>
        <v>5.6211716085579413E-3</v>
      </c>
      <c r="L1065" s="26">
        <f t="shared" si="166"/>
        <v>5.6211716085579413E-3</v>
      </c>
      <c r="M1065" s="26">
        <f t="shared" si="167"/>
        <v>0.82810769656699801</v>
      </c>
      <c r="N1065" s="26">
        <f t="shared" si="168"/>
        <v>0.82810769656699801</v>
      </c>
      <c r="O1065" s="26">
        <f t="shared" si="169"/>
        <v>0.82810769656699801</v>
      </c>
    </row>
    <row r="1066" spans="1:15" x14ac:dyDescent="0.25">
      <c r="A1066" s="2">
        <v>43992</v>
      </c>
      <c r="B1066">
        <v>4000</v>
      </c>
      <c r="C1066">
        <v>26775</v>
      </c>
      <c r="D1066">
        <v>888823</v>
      </c>
      <c r="F1066">
        <f t="shared" si="160"/>
        <v>3.3465710016768194E-2</v>
      </c>
      <c r="G1066">
        <f t="shared" si="161"/>
        <v>2.1472042014308013</v>
      </c>
      <c r="H1066">
        <f t="shared" si="162"/>
        <v>6.6937499999999996</v>
      </c>
      <c r="I1066">
        <f t="shared" si="163"/>
        <v>1.940026708085512</v>
      </c>
      <c r="J1066" s="26">
        <f t="shared" si="164"/>
        <v>4.999161857677209E-3</v>
      </c>
      <c r="K1066" s="26">
        <f t="shared" si="165"/>
        <v>4.999161857677209E-3</v>
      </c>
      <c r="L1066" s="26">
        <f t="shared" si="166"/>
        <v>4.999161857677209E-3</v>
      </c>
      <c r="M1066" s="26">
        <f t="shared" si="167"/>
        <v>0.72759353741496557</v>
      </c>
      <c r="N1066" s="26">
        <f t="shared" si="168"/>
        <v>0.72759353741496557</v>
      </c>
      <c r="O1066" s="26">
        <f t="shared" si="169"/>
        <v>0.72759353741496557</v>
      </c>
    </row>
    <row r="1067" spans="1:15" x14ac:dyDescent="0.25">
      <c r="A1067" s="2">
        <v>43991</v>
      </c>
      <c r="B1067">
        <v>4000</v>
      </c>
      <c r="C1067">
        <v>26775</v>
      </c>
      <c r="D1067">
        <v>884506</v>
      </c>
      <c r="F1067">
        <f t="shared" si="160"/>
        <v>3.3623553859415851E-2</v>
      </c>
      <c r="G1067">
        <f t="shared" si="161"/>
        <v>2.3780724990868123</v>
      </c>
      <c r="H1067">
        <f t="shared" si="162"/>
        <v>6.6937499999999996</v>
      </c>
      <c r="I1067">
        <f t="shared" si="163"/>
        <v>2.1431627286697656</v>
      </c>
      <c r="J1067" s="26">
        <f t="shared" si="164"/>
        <v>4.4169391283291892E-3</v>
      </c>
      <c r="K1067" s="26">
        <f t="shared" si="165"/>
        <v>4.4169391283291892E-3</v>
      </c>
      <c r="L1067" s="26">
        <f t="shared" si="166"/>
        <v>4.4169391283291892E-3</v>
      </c>
      <c r="M1067" s="26">
        <f t="shared" si="167"/>
        <v>0.60816326530612219</v>
      </c>
      <c r="N1067" s="26">
        <f t="shared" si="168"/>
        <v>0.60816326530612219</v>
      </c>
      <c r="O1067" s="26">
        <f t="shared" si="169"/>
        <v>0.60816326530612219</v>
      </c>
    </row>
    <row r="1068" spans="1:15" x14ac:dyDescent="0.25">
      <c r="A1068" s="2">
        <v>43990</v>
      </c>
      <c r="B1068">
        <v>4000</v>
      </c>
      <c r="C1068">
        <v>26525</v>
      </c>
      <c r="D1068">
        <v>885624</v>
      </c>
      <c r="F1068">
        <f t="shared" si="160"/>
        <v>3.3318816044115095E-2</v>
      </c>
      <c r="G1068">
        <f t="shared" si="161"/>
        <v>2.5720398301541869</v>
      </c>
      <c r="H1068">
        <f t="shared" si="162"/>
        <v>6.6312499999999996</v>
      </c>
      <c r="I1068">
        <f t="shared" si="163"/>
        <v>2.3557673072955283</v>
      </c>
      <c r="J1068" s="26">
        <f t="shared" si="164"/>
        <v>3.8300915374563649E-3</v>
      </c>
      <c r="K1068" s="26">
        <f t="shared" si="165"/>
        <v>3.8300915374563649E-3</v>
      </c>
      <c r="L1068" s="26">
        <f t="shared" si="166"/>
        <v>3.8300915374563649E-3</v>
      </c>
      <c r="M1068" s="26">
        <f t="shared" si="167"/>
        <v>0.48873299319727881</v>
      </c>
      <c r="N1068" s="26">
        <f t="shared" si="168"/>
        <v>0.48873299319727881</v>
      </c>
      <c r="O1068" s="26">
        <f t="shared" si="169"/>
        <v>0.48873299319727881</v>
      </c>
    </row>
    <row r="1069" spans="1:15" x14ac:dyDescent="0.25">
      <c r="A1069" s="2">
        <v>43987</v>
      </c>
      <c r="B1069">
        <v>4000</v>
      </c>
      <c r="C1069">
        <v>26275</v>
      </c>
      <c r="D1069">
        <v>880062</v>
      </c>
      <c r="F1069">
        <f t="shared" si="160"/>
        <v>3.3256914746956349E-2</v>
      </c>
      <c r="G1069">
        <f t="shared" si="161"/>
        <v>2.9122092692381747</v>
      </c>
      <c r="H1069">
        <f t="shared" si="162"/>
        <v>6.5687499999999996</v>
      </c>
      <c r="I1069">
        <f t="shared" si="163"/>
        <v>2.6758637684708417</v>
      </c>
      <c r="J1069" s="26">
        <f t="shared" si="164"/>
        <v>3.2739175244620618E-3</v>
      </c>
      <c r="K1069" s="26">
        <f t="shared" si="165"/>
        <v>3.2739175244620618E-3</v>
      </c>
      <c r="L1069" s="26">
        <f t="shared" si="166"/>
        <v>3.2739175244620618E-3</v>
      </c>
      <c r="M1069" s="26">
        <f t="shared" si="167"/>
        <v>0.37227891156462611</v>
      </c>
      <c r="N1069" s="26">
        <f t="shared" si="168"/>
        <v>0.37227891156462611</v>
      </c>
      <c r="O1069" s="26">
        <f t="shared" si="169"/>
        <v>0.37227891156462611</v>
      </c>
    </row>
    <row r="1070" spans="1:15" x14ac:dyDescent="0.25">
      <c r="A1070" s="2">
        <v>43986</v>
      </c>
      <c r="B1070">
        <v>4000</v>
      </c>
      <c r="C1070">
        <v>25025</v>
      </c>
      <c r="D1070">
        <v>878237</v>
      </c>
      <c r="F1070">
        <f t="shared" si="160"/>
        <v>3.19918612264153E-2</v>
      </c>
      <c r="G1070">
        <f t="shared" si="161"/>
        <v>3.0587325208652261</v>
      </c>
      <c r="H1070">
        <f t="shared" si="162"/>
        <v>6.2562499999999996</v>
      </c>
      <c r="I1070">
        <f t="shared" si="163"/>
        <v>2.839693978267797</v>
      </c>
      <c r="J1070" s="26">
        <f t="shared" si="164"/>
        <v>2.7320163659406912E-3</v>
      </c>
      <c r="K1070" s="26">
        <f t="shared" si="165"/>
        <v>2.7320163659406912E-3</v>
      </c>
      <c r="L1070" s="26">
        <f t="shared" si="166"/>
        <v>2.7320163659406912E-3</v>
      </c>
      <c r="M1070" s="26">
        <f t="shared" si="167"/>
        <v>0.25880102040816411</v>
      </c>
      <c r="N1070" s="26">
        <f t="shared" si="168"/>
        <v>0.25880102040816411</v>
      </c>
      <c r="O1070" s="26">
        <f t="shared" si="169"/>
        <v>0.25880102040816411</v>
      </c>
    </row>
    <row r="1071" spans="1:15" x14ac:dyDescent="0.25">
      <c r="A1071" s="2">
        <v>43985</v>
      </c>
      <c r="B1071">
        <v>4000</v>
      </c>
      <c r="C1071">
        <v>23525</v>
      </c>
      <c r="D1071">
        <v>876649</v>
      </c>
      <c r="F1071">
        <f t="shared" si="160"/>
        <v>3.0442149409295113E-2</v>
      </c>
      <c r="G1071">
        <f t="shared" si="161"/>
        <v>3.149715179591654</v>
      </c>
      <c r="H1071">
        <f t="shared" si="162"/>
        <v>5.8812499999999996</v>
      </c>
      <c r="I1071">
        <f t="shared" si="163"/>
        <v>2.9709742928034761</v>
      </c>
      <c r="J1071" s="26">
        <f t="shared" si="164"/>
        <v>2.2649938566496296E-3</v>
      </c>
      <c r="K1071" s="26">
        <f t="shared" si="165"/>
        <v>2.2649938566496296E-3</v>
      </c>
      <c r="L1071" s="26">
        <f t="shared" si="166"/>
        <v>2.2649938566496296E-3</v>
      </c>
      <c r="M1071" s="26">
        <f t="shared" si="167"/>
        <v>0.16020408163265198</v>
      </c>
      <c r="N1071" s="26">
        <f t="shared" si="168"/>
        <v>0.16020408163265198</v>
      </c>
      <c r="O1071" s="26">
        <f t="shared" si="169"/>
        <v>0.16020408163265198</v>
      </c>
    </row>
    <row r="1072" spans="1:15" x14ac:dyDescent="0.25">
      <c r="A1072" s="2">
        <v>43984</v>
      </c>
      <c r="B1072">
        <v>4000</v>
      </c>
      <c r="C1072">
        <v>23525</v>
      </c>
      <c r="D1072">
        <v>872991</v>
      </c>
      <c r="F1072">
        <f t="shared" si="160"/>
        <v>3.0565808936209905E-2</v>
      </c>
      <c r="G1072">
        <f t="shared" si="161"/>
        <v>4.0014602989079933</v>
      </c>
      <c r="H1072">
        <f t="shared" si="162"/>
        <v>5.8812499999999996</v>
      </c>
      <c r="I1072">
        <f t="shared" si="163"/>
        <v>4.0601589340235877</v>
      </c>
      <c r="J1072" s="26">
        <f t="shared" si="164"/>
        <v>1.9005174630979255E-3</v>
      </c>
      <c r="K1072" s="26">
        <f t="shared" si="165"/>
        <v>1.9005174630979255E-3</v>
      </c>
      <c r="L1072" s="26">
        <f t="shared" si="166"/>
        <v>1.9005174630979255E-3</v>
      </c>
      <c r="M1072" s="26" t="e">
        <f t="shared" si="167"/>
        <v>#DIV/0!</v>
      </c>
      <c r="N1072" s="26" t="e">
        <f t="shared" si="168"/>
        <v>#DIV/0!</v>
      </c>
      <c r="O1072" s="26" t="e">
        <f t="shared" si="169"/>
        <v>#DIV/0!</v>
      </c>
    </row>
    <row r="1073" spans="1:15" x14ac:dyDescent="0.25">
      <c r="A1073" s="2">
        <v>43983</v>
      </c>
      <c r="B1073">
        <v>4000</v>
      </c>
      <c r="C1073">
        <v>16525</v>
      </c>
      <c r="D1073">
        <v>874329</v>
      </c>
      <c r="F1073">
        <f t="shared" si="160"/>
        <v>2.2936702523540152E-2</v>
      </c>
      <c r="G1073">
        <f t="shared" si="161"/>
        <v>0.89670543712403417</v>
      </c>
      <c r="H1073">
        <f t="shared" si="162"/>
        <v>4.1312499999999996</v>
      </c>
      <c r="I1073">
        <f t="shared" si="163"/>
        <v>-0.35466005622479985</v>
      </c>
      <c r="J1073" s="26">
        <f t="shared" si="164"/>
        <v>1.5564874950397094E-3</v>
      </c>
      <c r="K1073" s="26">
        <f t="shared" si="165"/>
        <v>1.5564874950397094E-3</v>
      </c>
      <c r="L1073" s="26">
        <f t="shared" si="166"/>
        <v>1.5564874950397094E-3</v>
      </c>
      <c r="M1073" s="26" t="e">
        <f t="shared" si="167"/>
        <v>#DIV/0!</v>
      </c>
      <c r="N1073" s="26" t="e">
        <f t="shared" si="168"/>
        <v>#DIV/0!</v>
      </c>
      <c r="O1073" s="26" t="e">
        <f t="shared" si="169"/>
        <v>#DIV/0!</v>
      </c>
    </row>
    <row r="1074" spans="1:15" x14ac:dyDescent="0.25">
      <c r="A1074" s="2">
        <v>43980</v>
      </c>
      <c r="B1074">
        <v>4000</v>
      </c>
      <c r="C1074">
        <v>16525</v>
      </c>
      <c r="D1074">
        <v>875768</v>
      </c>
      <c r="F1074">
        <f t="shared" si="160"/>
        <v>2.2899877606987893E-2</v>
      </c>
      <c r="G1074">
        <f t="shared" si="161"/>
        <v>0.90029468406664637</v>
      </c>
      <c r="H1074">
        <f t="shared" si="162"/>
        <v>4.1312499999999996</v>
      </c>
      <c r="I1074">
        <f t="shared" si="163"/>
        <v>-0.36464195905301205</v>
      </c>
      <c r="J1074" s="26">
        <f t="shared" si="164"/>
        <v>1.6032700439322159E-3</v>
      </c>
      <c r="K1074" s="26">
        <f t="shared" si="165"/>
        <v>1.6032700439322159E-3</v>
      </c>
      <c r="L1074" s="26">
        <f t="shared" si="166"/>
        <v>1.6032700439322159E-3</v>
      </c>
      <c r="M1074" s="26" t="e">
        <f t="shared" si="167"/>
        <v>#DIV/0!</v>
      </c>
      <c r="N1074" s="26" t="e">
        <f t="shared" si="168"/>
        <v>#DIV/0!</v>
      </c>
      <c r="O1074" s="26" t="e">
        <f t="shared" si="169"/>
        <v>#DIV/0!</v>
      </c>
    </row>
    <row r="1075" spans="1:15" x14ac:dyDescent="0.25">
      <c r="A1075" s="2">
        <v>43979</v>
      </c>
      <c r="B1075">
        <v>4000</v>
      </c>
      <c r="C1075">
        <v>16525</v>
      </c>
      <c r="D1075">
        <v>875797</v>
      </c>
      <c r="F1075">
        <f t="shared" si="160"/>
        <v>2.28991366941791E-2</v>
      </c>
      <c r="G1075">
        <f t="shared" si="161"/>
        <v>0.93027620868937866</v>
      </c>
      <c r="H1075">
        <f t="shared" si="162"/>
        <v>4.1312499999999996</v>
      </c>
      <c r="I1075">
        <f t="shared" si="163"/>
        <v>-0.37552230111590057</v>
      </c>
      <c r="J1075" s="26">
        <f t="shared" si="164"/>
        <v>1.6973132249328941E-3</v>
      </c>
      <c r="K1075" s="26">
        <f t="shared" si="165"/>
        <v>1.6973132249328941E-3</v>
      </c>
      <c r="L1075" s="26">
        <f t="shared" si="166"/>
        <v>1.6973132249328941E-3</v>
      </c>
      <c r="M1075" s="26" t="e">
        <f t="shared" si="167"/>
        <v>#DIV/0!</v>
      </c>
      <c r="N1075" s="26" t="e">
        <f t="shared" si="168"/>
        <v>#DIV/0!</v>
      </c>
      <c r="O1075" s="26" t="e">
        <f t="shared" si="169"/>
        <v>#DIV/0!</v>
      </c>
    </row>
    <row r="1076" spans="1:15" x14ac:dyDescent="0.25">
      <c r="A1076" s="2">
        <v>43978</v>
      </c>
      <c r="B1076">
        <v>4000</v>
      </c>
      <c r="C1076">
        <v>17275</v>
      </c>
      <c r="D1076">
        <v>874681</v>
      </c>
      <c r="F1076">
        <f t="shared" si="160"/>
        <v>2.3745585720727356E-2</v>
      </c>
      <c r="G1076">
        <f t="shared" si="161"/>
        <v>1.54895500067993</v>
      </c>
      <c r="H1076">
        <f t="shared" si="162"/>
        <v>4.3187499999999996</v>
      </c>
      <c r="I1076">
        <f t="shared" si="163"/>
        <v>0.7748907684240901</v>
      </c>
      <c r="J1076" s="26">
        <f t="shared" si="164"/>
        <v>1.8776979948803875E-3</v>
      </c>
      <c r="K1076" s="26">
        <f t="shared" si="165"/>
        <v>1.8776979948803875E-3</v>
      </c>
      <c r="L1076" s="26">
        <f t="shared" si="166"/>
        <v>1.8776979948803875E-3</v>
      </c>
      <c r="M1076" s="26" t="e">
        <f t="shared" si="167"/>
        <v>#DIV/0!</v>
      </c>
      <c r="N1076" s="26" t="e">
        <f t="shared" si="168"/>
        <v>#DIV/0!</v>
      </c>
      <c r="O1076" s="26" t="e">
        <f t="shared" si="169"/>
        <v>#DIV/0!</v>
      </c>
    </row>
    <row r="1077" spans="1:15" x14ac:dyDescent="0.25">
      <c r="A1077" s="2">
        <v>43977</v>
      </c>
      <c r="B1077">
        <v>4000</v>
      </c>
      <c r="C1077">
        <v>17275</v>
      </c>
      <c r="D1077">
        <v>874145</v>
      </c>
      <c r="F1077">
        <f t="shared" si="160"/>
        <v>2.3759799870451855E-2</v>
      </c>
      <c r="G1077">
        <f t="shared" si="161"/>
        <v>1.6737099688723331</v>
      </c>
      <c r="H1077">
        <f t="shared" si="162"/>
        <v>4.3187499999999996</v>
      </c>
      <c r="I1077">
        <f t="shared" si="163"/>
        <v>0.81356255454197779</v>
      </c>
      <c r="J1077" s="26">
        <f t="shared" si="164"/>
        <v>2.1638127205259178E-3</v>
      </c>
      <c r="K1077" s="26">
        <f t="shared" si="165"/>
        <v>2.1638127205259178E-3</v>
      </c>
      <c r="L1077" s="26">
        <f t="shared" si="166"/>
        <v>2.1638127205259178E-3</v>
      </c>
      <c r="M1077" s="26" t="e">
        <f t="shared" si="167"/>
        <v>#DIV/0!</v>
      </c>
      <c r="N1077" s="26" t="e">
        <f t="shared" si="168"/>
        <v>#DIV/0!</v>
      </c>
      <c r="O1077" s="26" t="e">
        <f t="shared" si="169"/>
        <v>#DIV/0!</v>
      </c>
    </row>
    <row r="1078" spans="1:15" x14ac:dyDescent="0.25">
      <c r="A1078" s="2">
        <v>43976</v>
      </c>
      <c r="B1078">
        <v>4000</v>
      </c>
      <c r="C1078">
        <v>17275</v>
      </c>
      <c r="D1078">
        <v>867771</v>
      </c>
      <c r="F1078">
        <f t="shared" si="160"/>
        <v>2.3930145346809952E-2</v>
      </c>
      <c r="G1078">
        <f t="shared" si="161"/>
        <v>1.9479860178114259</v>
      </c>
      <c r="H1078">
        <f t="shared" si="162"/>
        <v>4.3187499999999996</v>
      </c>
      <c r="I1078">
        <f t="shared" si="163"/>
        <v>0.85882949319245516</v>
      </c>
      <c r="J1078" s="26">
        <f t="shared" si="164"/>
        <v>1.9481379383448384E-3</v>
      </c>
      <c r="K1078" s="26">
        <f t="shared" si="165"/>
        <v>1.9481379383448384E-3</v>
      </c>
      <c r="L1078" s="26">
        <f t="shared" si="166"/>
        <v>1.9481379383448384E-3</v>
      </c>
      <c r="M1078" s="26" t="e">
        <f t="shared" si="167"/>
        <v>#DIV/0!</v>
      </c>
      <c r="N1078" s="26" t="e">
        <f t="shared" si="168"/>
        <v>#DIV/0!</v>
      </c>
      <c r="O1078" s="26" t="e">
        <f t="shared" si="169"/>
        <v>#DIV/0!</v>
      </c>
    </row>
    <row r="1079" spans="1:15" x14ac:dyDescent="0.25">
      <c r="A1079" s="2">
        <v>43973</v>
      </c>
      <c r="B1079">
        <v>4000</v>
      </c>
      <c r="C1079">
        <v>17275</v>
      </c>
      <c r="D1079">
        <v>866934</v>
      </c>
      <c r="F1079">
        <f t="shared" si="160"/>
        <v>2.3952695818213958E-2</v>
      </c>
      <c r="G1079">
        <f t="shared" si="161"/>
        <v>2.2030227153538542</v>
      </c>
      <c r="H1079">
        <f t="shared" si="162"/>
        <v>4.3187499999999996</v>
      </c>
      <c r="I1079">
        <f t="shared" si="163"/>
        <v>0.9128405583550413</v>
      </c>
      <c r="J1079" s="26">
        <f t="shared" si="164"/>
        <v>1.726184941111944E-3</v>
      </c>
      <c r="K1079" s="26">
        <f t="shared" si="165"/>
        <v>1.726184941111944E-3</v>
      </c>
      <c r="L1079" s="26">
        <f t="shared" si="166"/>
        <v>1.726184941111944E-3</v>
      </c>
      <c r="M1079" s="26" t="e">
        <f t="shared" si="167"/>
        <v>#DIV/0!</v>
      </c>
      <c r="N1079" s="26" t="e">
        <f t="shared" si="168"/>
        <v>#DIV/0!</v>
      </c>
      <c r="O1079" s="26" t="e">
        <f t="shared" si="169"/>
        <v>#DIV/0!</v>
      </c>
    </row>
    <row r="1080" spans="1:15" x14ac:dyDescent="0.25">
      <c r="A1080" s="2">
        <v>43972</v>
      </c>
      <c r="B1080">
        <v>4000</v>
      </c>
      <c r="C1080">
        <v>17275</v>
      </c>
      <c r="D1080">
        <v>868663</v>
      </c>
      <c r="F1080">
        <f t="shared" si="160"/>
        <v>2.3906159754949221E-2</v>
      </c>
      <c r="G1080">
        <f t="shared" si="161"/>
        <v>2.5238769252083224</v>
      </c>
      <c r="H1080">
        <f t="shared" si="162"/>
        <v>4.3187499999999996</v>
      </c>
      <c r="I1080">
        <f t="shared" si="163"/>
        <v>0.97888228064274763</v>
      </c>
      <c r="J1080" s="26">
        <f t="shared" si="164"/>
        <v>1.5144500817443063E-3</v>
      </c>
      <c r="K1080" s="26">
        <f t="shared" si="165"/>
        <v>1.5144500817443063E-3</v>
      </c>
      <c r="L1080" s="26">
        <f t="shared" si="166"/>
        <v>1.5144500817443063E-3</v>
      </c>
      <c r="M1080" s="26" t="e">
        <f t="shared" si="167"/>
        <v>#DIV/0!</v>
      </c>
      <c r="N1080" s="26" t="e">
        <f t="shared" si="168"/>
        <v>#DIV/0!</v>
      </c>
      <c r="O1080" s="26" t="e">
        <f t="shared" si="169"/>
        <v>#DIV/0!</v>
      </c>
    </row>
    <row r="1081" spans="1:15" x14ac:dyDescent="0.25">
      <c r="A1081" s="2">
        <v>43971</v>
      </c>
      <c r="B1081">
        <v>4000</v>
      </c>
      <c r="C1081">
        <v>17275</v>
      </c>
      <c r="D1081">
        <v>868328</v>
      </c>
      <c r="F1081">
        <f t="shared" si="160"/>
        <v>2.391516215660244E-2</v>
      </c>
      <c r="G1081">
        <f t="shared" si="161"/>
        <v>3.1335073749522353</v>
      </c>
      <c r="H1081">
        <f t="shared" si="162"/>
        <v>4.3187499999999996</v>
      </c>
      <c r="I1081">
        <f t="shared" si="163"/>
        <v>1.0622952347364336</v>
      </c>
      <c r="J1081" s="26" t="e">
        <f t="shared" si="164"/>
        <v>#DIV/0!</v>
      </c>
      <c r="K1081" s="26" t="e">
        <f t="shared" si="165"/>
        <v>#DIV/0!</v>
      </c>
      <c r="L1081" s="26" t="e">
        <f t="shared" si="166"/>
        <v>#DIV/0!</v>
      </c>
      <c r="M1081" s="26" t="e">
        <f t="shared" si="167"/>
        <v>#DIV/0!</v>
      </c>
      <c r="N1081" s="26" t="e">
        <f t="shared" si="168"/>
        <v>#DIV/0!</v>
      </c>
      <c r="O1081" s="26" t="e">
        <f t="shared" si="169"/>
        <v>#DIV/0!</v>
      </c>
    </row>
    <row r="1082" spans="1:15" x14ac:dyDescent="0.25">
      <c r="A1082" s="2">
        <v>43970</v>
      </c>
      <c r="B1082">
        <v>4000</v>
      </c>
      <c r="C1082">
        <v>14525</v>
      </c>
      <c r="D1082">
        <v>867302</v>
      </c>
      <c r="F1082">
        <f t="shared" si="160"/>
        <v>2.0912661275847316E-2</v>
      </c>
      <c r="G1082">
        <f t="shared" si="161"/>
        <v>0.17450628550778968</v>
      </c>
      <c r="H1082">
        <f t="shared" si="162"/>
        <v>3.6312500000000001</v>
      </c>
      <c r="I1082">
        <f t="shared" si="163"/>
        <v>-3.0002013112414163</v>
      </c>
      <c r="J1082" s="26" t="e">
        <f t="shared" si="164"/>
        <v>#DIV/0!</v>
      </c>
      <c r="K1082" s="26" t="e">
        <f t="shared" si="165"/>
        <v>#DIV/0!</v>
      </c>
      <c r="L1082" s="26" t="e">
        <f t="shared" si="166"/>
        <v>#DIV/0!</v>
      </c>
      <c r="M1082" s="26" t="e">
        <f t="shared" si="167"/>
        <v>#DIV/0!</v>
      </c>
      <c r="N1082" s="26" t="e">
        <f t="shared" si="168"/>
        <v>#DIV/0!</v>
      </c>
      <c r="O1082" s="26" t="e">
        <f t="shared" si="169"/>
        <v>#DIV/0!</v>
      </c>
    </row>
    <row r="1083" spans="1:15" x14ac:dyDescent="0.25">
      <c r="A1083" s="2">
        <v>43969</v>
      </c>
      <c r="B1083">
        <v>3500</v>
      </c>
      <c r="C1083">
        <v>14525</v>
      </c>
      <c r="D1083">
        <v>862895</v>
      </c>
      <c r="F1083">
        <f t="shared" si="160"/>
        <v>2.0461562911501613E-2</v>
      </c>
      <c r="G1083">
        <f t="shared" si="161"/>
        <v>-0.46980444466588905</v>
      </c>
      <c r="H1083">
        <f t="shared" si="162"/>
        <v>4.1500000000000004</v>
      </c>
      <c r="I1083">
        <f t="shared" si="163"/>
        <v>-1.449137674618918</v>
      </c>
      <c r="J1083" s="26" t="e">
        <f t="shared" si="164"/>
        <v>#DIV/0!</v>
      </c>
      <c r="K1083" s="26" t="e">
        <f t="shared" si="165"/>
        <v>#DIV/0!</v>
      </c>
      <c r="L1083" s="26" t="e">
        <f t="shared" si="166"/>
        <v>#DIV/0!</v>
      </c>
      <c r="M1083" s="26" t="e">
        <f t="shared" si="167"/>
        <v>#DIV/0!</v>
      </c>
      <c r="N1083" s="26" t="e">
        <f t="shared" si="168"/>
        <v>#DIV/0!</v>
      </c>
      <c r="O1083" s="26" t="e">
        <f t="shared" si="169"/>
        <v>#DIV/0!</v>
      </c>
    </row>
    <row r="1084" spans="1:15" x14ac:dyDescent="0.25">
      <c r="A1084" s="2">
        <v>43966</v>
      </c>
      <c r="B1084">
        <v>3500</v>
      </c>
      <c r="C1084">
        <v>14525</v>
      </c>
      <c r="D1084">
        <v>857129</v>
      </c>
      <c r="F1084">
        <f t="shared" si="160"/>
        <v>2.0596375037993313E-2</v>
      </c>
      <c r="G1084">
        <f t="shared" si="161"/>
        <v>-0.29543338101139677</v>
      </c>
      <c r="H1084">
        <f t="shared" si="162"/>
        <v>4.1500000000000004</v>
      </c>
      <c r="I1084">
        <f t="shared" si="163"/>
        <v>-1.7638342073763935</v>
      </c>
      <c r="J1084" s="26" t="e">
        <f t="shared" si="164"/>
        <v>#DIV/0!</v>
      </c>
      <c r="K1084" s="26" t="e">
        <f t="shared" si="165"/>
        <v>#DIV/0!</v>
      </c>
      <c r="L1084" s="26" t="e">
        <f t="shared" si="166"/>
        <v>#DIV/0!</v>
      </c>
      <c r="M1084" s="26" t="e">
        <f t="shared" si="167"/>
        <v>#DIV/0!</v>
      </c>
      <c r="N1084" s="26" t="e">
        <f t="shared" si="168"/>
        <v>#DIV/0!</v>
      </c>
      <c r="O1084" s="26" t="e">
        <f t="shared" si="169"/>
        <v>#DIV/0!</v>
      </c>
    </row>
    <row r="1085" spans="1:15" x14ac:dyDescent="0.25">
      <c r="A1085" s="2">
        <v>43965</v>
      </c>
      <c r="B1085">
        <v>3500</v>
      </c>
      <c r="C1085">
        <v>14525</v>
      </c>
      <c r="D1085">
        <v>851698</v>
      </c>
      <c r="F1085">
        <f t="shared" si="160"/>
        <v>2.0724989450664175E-2</v>
      </c>
      <c r="G1085">
        <f t="shared" si="161"/>
        <v>-0.12829322240059651</v>
      </c>
      <c r="H1085">
        <f t="shared" si="162"/>
        <v>4.1500000000000004</v>
      </c>
      <c r="I1085">
        <f t="shared" si="163"/>
        <v>-2.4748737341529248</v>
      </c>
      <c r="J1085" s="26" t="e">
        <f t="shared" si="164"/>
        <v>#DIV/0!</v>
      </c>
      <c r="K1085" s="26" t="e">
        <f t="shared" si="165"/>
        <v>#DIV/0!</v>
      </c>
      <c r="L1085" s="26" t="e">
        <f t="shared" si="166"/>
        <v>#DIV/0!</v>
      </c>
      <c r="M1085" s="26" t="e">
        <f t="shared" si="167"/>
        <v>#DIV/0!</v>
      </c>
      <c r="N1085" s="26" t="e">
        <f t="shared" si="168"/>
        <v>#DIV/0!</v>
      </c>
      <c r="O1085" s="26" t="e">
        <f t="shared" si="169"/>
        <v>#DIV/0!</v>
      </c>
    </row>
    <row r="1086" spans="1:15" x14ac:dyDescent="0.25">
      <c r="A1086" s="2">
        <v>43964</v>
      </c>
      <c r="B1086">
        <v>3500</v>
      </c>
      <c r="C1086">
        <v>14650</v>
      </c>
      <c r="D1086">
        <v>850484</v>
      </c>
      <c r="F1086">
        <f t="shared" si="160"/>
        <v>2.0894876323054357E-2</v>
      </c>
      <c r="G1086">
        <f t="shared" si="161"/>
        <v>9.3173236606722415E-2</v>
      </c>
      <c r="H1086">
        <f t="shared" si="162"/>
        <v>4.1857142857142859</v>
      </c>
      <c r="I1086" t="str">
        <f t="shared" si="163"/>
        <v/>
      </c>
      <c r="J1086" s="26" t="e">
        <f t="shared" si="164"/>
        <v>#DIV/0!</v>
      </c>
      <c r="K1086" s="26" t="e">
        <f t="shared" si="165"/>
        <v>#DIV/0!</v>
      </c>
      <c r="L1086" s="26" t="e">
        <f t="shared" si="166"/>
        <v>#DIV/0!</v>
      </c>
      <c r="M1086" s="26" t="e">
        <f t="shared" si="167"/>
        <v>#DIV/0!</v>
      </c>
      <c r="N1086" s="26" t="e">
        <f t="shared" si="168"/>
        <v>#DIV/0!</v>
      </c>
      <c r="O1086" s="26" t="e">
        <f t="shared" si="169"/>
        <v>#DIV/0!</v>
      </c>
    </row>
    <row r="1087" spans="1:15" x14ac:dyDescent="0.25">
      <c r="A1087" s="2">
        <v>43963</v>
      </c>
      <c r="B1087">
        <v>3500</v>
      </c>
      <c r="C1087">
        <v>14650</v>
      </c>
      <c r="D1087">
        <v>846648</v>
      </c>
      <c r="F1087">
        <f t="shared" si="160"/>
        <v>2.098756010074029E-2</v>
      </c>
      <c r="G1087">
        <f t="shared" si="161"/>
        <v>0.21479068543808594</v>
      </c>
      <c r="H1087">
        <f t="shared" si="162"/>
        <v>4.1857142857142859</v>
      </c>
      <c r="I1087" t="str">
        <f t="shared" si="163"/>
        <v/>
      </c>
      <c r="J1087" s="26" t="e">
        <f t="shared" si="164"/>
        <v>#DIV/0!</v>
      </c>
      <c r="K1087" s="26" t="e">
        <f t="shared" si="165"/>
        <v>#DIV/0!</v>
      </c>
      <c r="L1087" s="26" t="e">
        <f t="shared" si="166"/>
        <v>#DIV/0!</v>
      </c>
      <c r="M1087" s="26" t="e">
        <f t="shared" si="167"/>
        <v>#DIV/0!</v>
      </c>
      <c r="N1087" s="26" t="e">
        <f t="shared" si="168"/>
        <v>#DIV/0!</v>
      </c>
      <c r="O1087" s="26" t="e">
        <f t="shared" si="169"/>
        <v>#DIV/0!</v>
      </c>
    </row>
    <row r="1088" spans="1:15" x14ac:dyDescent="0.25">
      <c r="A1088" s="2">
        <v>43962</v>
      </c>
      <c r="B1088">
        <v>3500</v>
      </c>
      <c r="C1088">
        <v>14650</v>
      </c>
      <c r="D1088">
        <v>846301</v>
      </c>
      <c r="F1088">
        <f t="shared" si="160"/>
        <v>2.0995984734820134E-2</v>
      </c>
      <c r="G1088">
        <f t="shared" si="161"/>
        <v>0.23257352247736365</v>
      </c>
      <c r="H1088">
        <f t="shared" si="162"/>
        <v>4.1857142857142859</v>
      </c>
      <c r="I1088" t="str">
        <f t="shared" si="163"/>
        <v/>
      </c>
      <c r="J1088" s="26" t="e">
        <f t="shared" si="164"/>
        <v>#DIV/0!</v>
      </c>
      <c r="K1088" s="26" t="e">
        <f t="shared" si="165"/>
        <v>#DIV/0!</v>
      </c>
      <c r="L1088" s="26" t="e">
        <f t="shared" si="166"/>
        <v>#DIV/0!</v>
      </c>
      <c r="M1088" s="26" t="e">
        <f t="shared" si="167"/>
        <v>#DIV/0!</v>
      </c>
      <c r="N1088" s="26" t="e">
        <f t="shared" si="168"/>
        <v>#DIV/0!</v>
      </c>
      <c r="O1088" s="26" t="e">
        <f t="shared" si="169"/>
        <v>#DIV/0!</v>
      </c>
    </row>
    <row r="1089" spans="1:15" x14ac:dyDescent="0.25">
      <c r="A1089" s="2">
        <v>43959</v>
      </c>
      <c r="B1089">
        <v>3500</v>
      </c>
      <c r="C1089">
        <v>14650</v>
      </c>
      <c r="D1089">
        <v>841999</v>
      </c>
      <c r="F1089">
        <f t="shared" si="160"/>
        <v>2.1100995292676037E-2</v>
      </c>
      <c r="G1089">
        <f t="shared" si="161"/>
        <v>0.3662389013216808</v>
      </c>
      <c r="H1089">
        <f t="shared" si="162"/>
        <v>4.1857142857142859</v>
      </c>
      <c r="I1089" t="str">
        <f t="shared" si="163"/>
        <v/>
      </c>
      <c r="J1089" s="26" t="e">
        <f t="shared" si="164"/>
        <v>#DIV/0!</v>
      </c>
      <c r="K1089" s="26" t="e">
        <f t="shared" si="165"/>
        <v>#DIV/0!</v>
      </c>
      <c r="L1089" s="26" t="e">
        <f t="shared" si="166"/>
        <v>#DIV/0!</v>
      </c>
      <c r="M1089" s="26" t="e">
        <f t="shared" si="167"/>
        <v>#DIV/0!</v>
      </c>
      <c r="N1089" s="26" t="e">
        <f t="shared" si="168"/>
        <v>#DIV/0!</v>
      </c>
      <c r="O1089" s="26" t="e">
        <f t="shared" si="169"/>
        <v>#DIV/0!</v>
      </c>
    </row>
    <row r="1090" spans="1:15" x14ac:dyDescent="0.25">
      <c r="A1090" s="2">
        <v>43958</v>
      </c>
      <c r="B1090">
        <v>3500</v>
      </c>
      <c r="C1090">
        <v>14650</v>
      </c>
      <c r="D1090">
        <v>840042</v>
      </c>
      <c r="F1090">
        <f t="shared" si="160"/>
        <v>2.1149113485094243E-2</v>
      </c>
      <c r="G1090">
        <f t="shared" si="161"/>
        <v>0.43738958713447434</v>
      </c>
      <c r="H1090">
        <f t="shared" si="162"/>
        <v>4.1857142857142859</v>
      </c>
      <c r="I1090" t="str">
        <f t="shared" si="163"/>
        <v/>
      </c>
      <c r="J1090" s="26" t="e">
        <f t="shared" si="164"/>
        <v>#DIV/0!</v>
      </c>
      <c r="K1090" s="26" t="e">
        <f t="shared" si="165"/>
        <v>#DIV/0!</v>
      </c>
      <c r="L1090" s="26" t="e">
        <f t="shared" si="166"/>
        <v>#DIV/0!</v>
      </c>
      <c r="M1090" s="26" t="e">
        <f t="shared" si="167"/>
        <v>#DIV/0!</v>
      </c>
      <c r="N1090" s="26" t="e">
        <f t="shared" si="168"/>
        <v>#DIV/0!</v>
      </c>
      <c r="O1090" s="26" t="e">
        <f t="shared" si="169"/>
        <v>#DIV/0!</v>
      </c>
    </row>
    <row r="1091" spans="1:15" x14ac:dyDescent="0.25">
      <c r="A1091" s="2">
        <v>43957</v>
      </c>
      <c r="B1091">
        <v>3500</v>
      </c>
      <c r="C1091">
        <v>14650</v>
      </c>
      <c r="D1091">
        <v>837929</v>
      </c>
      <c r="F1091">
        <f t="shared" si="160"/>
        <v>2.120131436467896E-2</v>
      </c>
      <c r="G1091">
        <f t="shared" si="161"/>
        <v>0.5169722452626675</v>
      </c>
      <c r="H1091">
        <f t="shared" si="162"/>
        <v>4.1857142857142859</v>
      </c>
      <c r="I1091" t="str">
        <f t="shared" si="163"/>
        <v/>
      </c>
      <c r="J1091" s="26" t="e">
        <f t="shared" si="164"/>
        <v>#DIV/0!</v>
      </c>
      <c r="K1091" s="26" t="e">
        <f t="shared" si="165"/>
        <v>#DIV/0!</v>
      </c>
      <c r="L1091" s="26" t="e">
        <f t="shared" si="166"/>
        <v>#DIV/0!</v>
      </c>
      <c r="M1091" s="26" t="e">
        <f t="shared" si="167"/>
        <v>#DIV/0!</v>
      </c>
      <c r="N1091" s="26" t="e">
        <f t="shared" si="168"/>
        <v>#DIV/0!</v>
      </c>
      <c r="O1091" s="26" t="e">
        <f t="shared" si="169"/>
        <v>#DIV/0!</v>
      </c>
    </row>
    <row r="1092" spans="1:15" x14ac:dyDescent="0.25">
      <c r="A1092" s="2">
        <v>43956</v>
      </c>
      <c r="B1092">
        <v>3500</v>
      </c>
      <c r="C1092">
        <v>14650</v>
      </c>
      <c r="D1092">
        <v>833287</v>
      </c>
      <c r="F1092">
        <f t="shared" ref="F1092:F1101" si="170">IFERROR((C1092+B1092)/(B1092+C1092+D1092),"")</f>
        <v>2.1316903070925975E-2</v>
      </c>
      <c r="H1092">
        <f t="shared" ref="H1092" si="171">IFERROR(C1092/B1092,"")</f>
        <v>4.1857142857142859</v>
      </c>
      <c r="I1092" t="str">
        <f t="shared" ref="I1092" si="172">IFERROR((H1092-AVERAGE(H1092:H1219))/_xlfn.STDEV.S(H1092:H1219),"")</f>
        <v/>
      </c>
      <c r="J1092" s="26" t="e">
        <f t="shared" ref="J1092:J1101" si="173">AVERAGEA(F1092:F1112)-AVERAGE(F1113:F1133)</f>
        <v>#DIV/0!</v>
      </c>
      <c r="K1092" s="26" t="e">
        <f t="shared" ref="K1092:K1101" si="174">AVERAGEA(F1092:F1112)-AVERAGE(F1113:F1168)</f>
        <v>#DIV/0!</v>
      </c>
      <c r="L1092" s="26" t="e">
        <f t="shared" ref="L1092:L1101" si="175">AVERAGEA(F1092:F1112)-AVERAGE(F1113:F1225)</f>
        <v>#DIV/0!</v>
      </c>
      <c r="M1092" s="26" t="e">
        <f t="shared" ref="M1092:M1101" si="176">AVERAGEA(H1092:H1112)-AVERAGE(H1113:H1133)</f>
        <v>#DIV/0!</v>
      </c>
      <c r="N1092" s="26" t="e">
        <f t="shared" ref="N1092:N1101" si="177">AVERAGEA(H1092:H1112)-AVERAGE(H1113:H1168)</f>
        <v>#DIV/0!</v>
      </c>
      <c r="O1092" s="26" t="e">
        <f t="shared" ref="O1092:O1101" si="178">AVERAGEA(H1092:H1112)-AVERAGE(H1113:H1225)</f>
        <v>#DIV/0!</v>
      </c>
    </row>
    <row r="1093" spans="1:15" x14ac:dyDescent="0.25">
      <c r="A1093" s="2">
        <v>43955</v>
      </c>
      <c r="B1093">
        <v>3500</v>
      </c>
      <c r="C1093">
        <v>14650</v>
      </c>
      <c r="D1093">
        <v>831251</v>
      </c>
      <c r="F1093">
        <f t="shared" si="170"/>
        <v>2.1367999331293464E-2</v>
      </c>
      <c r="J1093" s="26" t="e">
        <f t="shared" si="173"/>
        <v>#DIV/0!</v>
      </c>
      <c r="K1093" s="26" t="e">
        <f t="shared" si="174"/>
        <v>#DIV/0!</v>
      </c>
      <c r="L1093" s="26" t="e">
        <f t="shared" si="175"/>
        <v>#DIV/0!</v>
      </c>
      <c r="M1093" s="26" t="e">
        <f t="shared" si="176"/>
        <v>#DIV/0!</v>
      </c>
      <c r="N1093" s="26" t="e">
        <f t="shared" si="177"/>
        <v>#DIV/0!</v>
      </c>
      <c r="O1093" s="26" t="e">
        <f t="shared" si="178"/>
        <v>#DIV/0!</v>
      </c>
    </row>
    <row r="1094" spans="1:15" x14ac:dyDescent="0.25">
      <c r="A1094" s="2">
        <v>43952</v>
      </c>
      <c r="B1094">
        <v>3500</v>
      </c>
      <c r="C1094">
        <v>14650</v>
      </c>
      <c r="D1094">
        <v>831110</v>
      </c>
      <c r="F1094">
        <f t="shared" si="170"/>
        <v>2.1371546993853473E-2</v>
      </c>
      <c r="J1094" s="26" t="e">
        <f t="shared" si="173"/>
        <v>#DIV/0!</v>
      </c>
      <c r="K1094" s="26" t="e">
        <f t="shared" si="174"/>
        <v>#DIV/0!</v>
      </c>
      <c r="L1094" s="26" t="e">
        <f t="shared" si="175"/>
        <v>#DIV/0!</v>
      </c>
      <c r="M1094" s="26" t="e">
        <f t="shared" si="176"/>
        <v>#DIV/0!</v>
      </c>
      <c r="N1094" s="26" t="e">
        <f t="shared" si="177"/>
        <v>#DIV/0!</v>
      </c>
      <c r="O1094" s="26" t="e">
        <f t="shared" si="178"/>
        <v>#DIV/0!</v>
      </c>
    </row>
    <row r="1095" spans="1:15" x14ac:dyDescent="0.25">
      <c r="A1095" s="2">
        <v>43951</v>
      </c>
      <c r="B1095">
        <v>3500</v>
      </c>
      <c r="C1095">
        <v>14650</v>
      </c>
      <c r="D1095">
        <v>830171</v>
      </c>
      <c r="F1095">
        <f t="shared" si="170"/>
        <v>2.139520299509266E-2</v>
      </c>
      <c r="J1095" s="26" t="e">
        <f t="shared" si="173"/>
        <v>#DIV/0!</v>
      </c>
      <c r="K1095" s="26" t="e">
        <f t="shared" si="174"/>
        <v>#DIV/0!</v>
      </c>
      <c r="L1095" s="26" t="e">
        <f t="shared" si="175"/>
        <v>#DIV/0!</v>
      </c>
      <c r="M1095" s="26" t="e">
        <f t="shared" si="176"/>
        <v>#DIV/0!</v>
      </c>
      <c r="N1095" s="26" t="e">
        <f t="shared" si="177"/>
        <v>#DIV/0!</v>
      </c>
      <c r="O1095" s="26" t="e">
        <f t="shared" si="178"/>
        <v>#DIV/0!</v>
      </c>
    </row>
    <row r="1096" spans="1:15" x14ac:dyDescent="0.25">
      <c r="A1096" s="2">
        <v>43950</v>
      </c>
      <c r="B1096">
        <v>3500</v>
      </c>
      <c r="C1096">
        <v>14650</v>
      </c>
      <c r="D1096">
        <v>826976</v>
      </c>
      <c r="F1096">
        <f t="shared" si="170"/>
        <v>2.1476087589306209E-2</v>
      </c>
      <c r="J1096" s="26" t="e">
        <f t="shared" si="173"/>
        <v>#DIV/0!</v>
      </c>
      <c r="K1096" s="26" t="e">
        <f t="shared" si="174"/>
        <v>#DIV/0!</v>
      </c>
      <c r="L1096" s="26" t="e">
        <f t="shared" si="175"/>
        <v>#DIV/0!</v>
      </c>
      <c r="M1096" s="26" t="e">
        <f t="shared" si="176"/>
        <v>#DIV/0!</v>
      </c>
      <c r="N1096" s="26" t="e">
        <f t="shared" si="177"/>
        <v>#DIV/0!</v>
      </c>
      <c r="O1096" s="26" t="e">
        <f t="shared" si="178"/>
        <v>#DIV/0!</v>
      </c>
    </row>
    <row r="1097" spans="1:15" x14ac:dyDescent="0.25">
      <c r="A1097" s="2">
        <v>43949</v>
      </c>
      <c r="B1097">
        <v>3500</v>
      </c>
      <c r="C1097">
        <v>14650</v>
      </c>
      <c r="D1097">
        <v>824082</v>
      </c>
      <c r="F1097">
        <f t="shared" si="170"/>
        <v>2.1549881742797709E-2</v>
      </c>
      <c r="J1097" s="26" t="e">
        <f t="shared" si="173"/>
        <v>#DIV/0!</v>
      </c>
      <c r="K1097" s="26" t="e">
        <f t="shared" si="174"/>
        <v>#DIV/0!</v>
      </c>
      <c r="L1097" s="26" t="e">
        <f t="shared" si="175"/>
        <v>#DIV/0!</v>
      </c>
      <c r="M1097" s="26" t="e">
        <f t="shared" si="176"/>
        <v>#DIV/0!</v>
      </c>
      <c r="N1097" s="26" t="e">
        <f t="shared" si="177"/>
        <v>#DIV/0!</v>
      </c>
      <c r="O1097" s="26" t="e">
        <f t="shared" si="178"/>
        <v>#DIV/0!</v>
      </c>
    </row>
    <row r="1098" spans="1:15" x14ac:dyDescent="0.25">
      <c r="A1098" s="2">
        <v>43948</v>
      </c>
      <c r="B1098">
        <v>2000</v>
      </c>
      <c r="C1098">
        <v>14400</v>
      </c>
      <c r="D1098">
        <v>822441</v>
      </c>
      <c r="F1098">
        <f t="shared" si="170"/>
        <v>1.9550784952094617E-2</v>
      </c>
      <c r="J1098" s="26" t="e">
        <f t="shared" si="173"/>
        <v>#DIV/0!</v>
      </c>
      <c r="K1098" s="26" t="e">
        <f t="shared" si="174"/>
        <v>#DIV/0!</v>
      </c>
      <c r="L1098" s="26" t="e">
        <f t="shared" si="175"/>
        <v>#DIV/0!</v>
      </c>
      <c r="M1098" s="26" t="e">
        <f t="shared" si="176"/>
        <v>#DIV/0!</v>
      </c>
      <c r="N1098" s="26" t="e">
        <f t="shared" si="177"/>
        <v>#DIV/0!</v>
      </c>
      <c r="O1098" s="26" t="e">
        <f t="shared" si="178"/>
        <v>#DIV/0!</v>
      </c>
    </row>
    <row r="1099" spans="1:15" x14ac:dyDescent="0.25">
      <c r="A1099" s="2">
        <v>43945</v>
      </c>
      <c r="B1099">
        <v>2000</v>
      </c>
      <c r="C1099">
        <v>14400</v>
      </c>
      <c r="D1099">
        <v>821105</v>
      </c>
      <c r="F1099">
        <f t="shared" si="170"/>
        <v>1.9581972644939435E-2</v>
      </c>
      <c r="J1099" s="26" t="e">
        <f t="shared" si="173"/>
        <v>#DIV/0!</v>
      </c>
      <c r="K1099" s="26" t="e">
        <f t="shared" si="174"/>
        <v>#DIV/0!</v>
      </c>
      <c r="L1099" s="26" t="e">
        <f t="shared" si="175"/>
        <v>#DIV/0!</v>
      </c>
      <c r="M1099" s="26" t="e">
        <f t="shared" si="176"/>
        <v>#DIV/0!</v>
      </c>
      <c r="N1099" s="26" t="e">
        <f t="shared" si="177"/>
        <v>#DIV/0!</v>
      </c>
      <c r="O1099" s="26" t="e">
        <f t="shared" si="178"/>
        <v>#DIV/0!</v>
      </c>
    </row>
    <row r="1100" spans="1:15" x14ac:dyDescent="0.25">
      <c r="A1100" s="2">
        <v>43944</v>
      </c>
      <c r="B1100">
        <v>2000</v>
      </c>
      <c r="C1100">
        <v>14400</v>
      </c>
      <c r="D1100">
        <v>819431</v>
      </c>
      <c r="F1100">
        <f t="shared" si="170"/>
        <v>1.9621191365240102E-2</v>
      </c>
      <c r="J1100" s="26" t="e">
        <f t="shared" si="173"/>
        <v>#DIV/0!</v>
      </c>
      <c r="K1100" s="26" t="e">
        <f t="shared" si="174"/>
        <v>#DIV/0!</v>
      </c>
      <c r="L1100" s="26" t="e">
        <f t="shared" si="175"/>
        <v>#DIV/0!</v>
      </c>
      <c r="M1100" s="26" t="e">
        <f t="shared" si="176"/>
        <v>#DIV/0!</v>
      </c>
      <c r="N1100" s="26" t="e">
        <f t="shared" si="177"/>
        <v>#DIV/0!</v>
      </c>
      <c r="O1100" s="26" t="e">
        <f t="shared" si="178"/>
        <v>#DIV/0!</v>
      </c>
    </row>
    <row r="1101" spans="1:15" x14ac:dyDescent="0.25">
      <c r="A1101" s="2">
        <v>43943</v>
      </c>
      <c r="B1101">
        <v>2000</v>
      </c>
      <c r="C1101">
        <v>14400</v>
      </c>
      <c r="D1101">
        <v>818965</v>
      </c>
      <c r="F1101">
        <f t="shared" si="170"/>
        <v>1.9632136850358826E-2</v>
      </c>
      <c r="J1101" s="26" t="e">
        <f t="shared" si="173"/>
        <v>#DIV/0!</v>
      </c>
      <c r="K1101" s="26" t="e">
        <f t="shared" si="174"/>
        <v>#DIV/0!</v>
      </c>
      <c r="L1101" s="26" t="e">
        <f t="shared" si="175"/>
        <v>#DIV/0!</v>
      </c>
      <c r="M1101" s="26" t="e">
        <f t="shared" si="176"/>
        <v>#DIV/0!</v>
      </c>
      <c r="N1101" s="26" t="e">
        <f t="shared" si="177"/>
        <v>#DIV/0!</v>
      </c>
      <c r="O1101" s="26" t="e">
        <f t="shared" si="178"/>
        <v>#DIV/0!</v>
      </c>
    </row>
    <row r="1102" spans="1:15" x14ac:dyDescent="0.25">
      <c r="A1102" s="2">
        <v>43942</v>
      </c>
      <c r="B1102">
        <v>2000</v>
      </c>
      <c r="C1102">
        <v>14400</v>
      </c>
      <c r="D1102">
        <v>813539</v>
      </c>
    </row>
    <row r="1103" spans="1:15" x14ac:dyDescent="0.25">
      <c r="A1103" s="2">
        <v>43941</v>
      </c>
      <c r="B1103">
        <v>2000</v>
      </c>
      <c r="C1103">
        <v>14400</v>
      </c>
      <c r="D1103">
        <v>810951</v>
      </c>
    </row>
    <row r="1104" spans="1:15" x14ac:dyDescent="0.25">
      <c r="A1104" s="2">
        <v>43938</v>
      </c>
      <c r="B1104">
        <v>2000</v>
      </c>
      <c r="C1104">
        <v>13900</v>
      </c>
      <c r="D1104">
        <v>809712</v>
      </c>
    </row>
    <row r="1105" spans="1:4" x14ac:dyDescent="0.25">
      <c r="A1105" s="2">
        <v>43937</v>
      </c>
      <c r="B1105">
        <v>2000</v>
      </c>
      <c r="C1105">
        <v>12150</v>
      </c>
      <c r="D1105">
        <v>804820</v>
      </c>
    </row>
    <row r="1106" spans="1:4" x14ac:dyDescent="0.25">
      <c r="A1106" s="2">
        <v>43936</v>
      </c>
      <c r="B1106">
        <v>2000</v>
      </c>
      <c r="C1106">
        <v>12150</v>
      </c>
      <c r="D1106">
        <v>800336</v>
      </c>
    </row>
    <row r="1107" spans="1:4" x14ac:dyDescent="0.25">
      <c r="A1107" s="2">
        <v>43935</v>
      </c>
      <c r="B1107">
        <v>2000</v>
      </c>
      <c r="C1107">
        <v>12150</v>
      </c>
      <c r="D1107">
        <v>794334</v>
      </c>
    </row>
    <row r="1108" spans="1:4" x14ac:dyDescent="0.25">
      <c r="A1108" s="2">
        <v>43934</v>
      </c>
      <c r="B1108">
        <v>2000</v>
      </c>
      <c r="C1108">
        <v>12150</v>
      </c>
      <c r="D1108">
        <v>794339</v>
      </c>
    </row>
    <row r="1109" spans="1:4" x14ac:dyDescent="0.25">
      <c r="A1109" s="2">
        <v>43930</v>
      </c>
      <c r="D1109">
        <v>794339</v>
      </c>
    </row>
    <row r="1110" spans="1:4" x14ac:dyDescent="0.25">
      <c r="A1110" s="2">
        <v>43929</v>
      </c>
      <c r="D1110">
        <v>794028</v>
      </c>
    </row>
    <row r="1111" spans="1:4" x14ac:dyDescent="0.25">
      <c r="A1111" s="2">
        <v>43928</v>
      </c>
      <c r="D1111">
        <v>791482</v>
      </c>
    </row>
    <row r="1112" spans="1:4" x14ac:dyDescent="0.25">
      <c r="A1112" s="2">
        <v>43927</v>
      </c>
      <c r="D1112">
        <v>788705</v>
      </c>
    </row>
    <row r="1113" spans="1:4" x14ac:dyDescent="0.25">
      <c r="A1113" s="2">
        <v>43924</v>
      </c>
      <c r="D1113">
        <v>780000</v>
      </c>
    </row>
    <row r="1114" spans="1:4" x14ac:dyDescent="0.25">
      <c r="A1114" s="2">
        <v>43923</v>
      </c>
      <c r="D1114">
        <v>783608</v>
      </c>
    </row>
    <row r="1115" spans="1:4" x14ac:dyDescent="0.25">
      <c r="A1115" s="2">
        <v>43922</v>
      </c>
      <c r="D1115">
        <v>790850</v>
      </c>
    </row>
    <row r="1116" spans="1:4" x14ac:dyDescent="0.25">
      <c r="A1116" s="2">
        <v>43921</v>
      </c>
      <c r="D1116">
        <v>791065</v>
      </c>
    </row>
    <row r="1117" spans="1:4" x14ac:dyDescent="0.25">
      <c r="A1117" s="2">
        <v>43920</v>
      </c>
      <c r="D1117">
        <v>784236</v>
      </c>
    </row>
    <row r="1118" spans="1:4" x14ac:dyDescent="0.25">
      <c r="A1118" s="2">
        <v>43917</v>
      </c>
      <c r="D1118">
        <v>777724</v>
      </c>
    </row>
    <row r="1119" spans="1:4" x14ac:dyDescent="0.25">
      <c r="A1119" s="2">
        <v>43916</v>
      </c>
      <c r="D1119">
        <v>772947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3D3F2-0722-4BFC-98AF-0ADDD8F1E9B2}">
  <dimension ref="A1:P700"/>
  <sheetViews>
    <sheetView workbookViewId="0">
      <selection activeCell="E13" sqref="E13"/>
    </sheetView>
  </sheetViews>
  <sheetFormatPr defaultRowHeight="15" x14ac:dyDescent="0.25"/>
  <cols>
    <col min="1" max="1" width="11.140625" customWidth="1"/>
    <col min="2" max="2" width="36.5703125" bestFit="1" customWidth="1"/>
    <col min="3" max="3" width="36.28515625" bestFit="1" customWidth="1"/>
    <col min="4" max="4" width="36.85546875" bestFit="1" customWidth="1"/>
    <col min="5" max="5" width="36.5703125" bestFit="1" customWidth="1"/>
    <col min="7" max="7" width="12.140625" customWidth="1"/>
    <col min="8" max="8" width="11.85546875" customWidth="1"/>
    <col min="9" max="10" width="20.28515625" style="3" customWidth="1"/>
    <col min="11" max="11" width="9.5703125" bestFit="1" customWidth="1"/>
    <col min="12" max="12" width="10.5703125" bestFit="1" customWidth="1"/>
    <col min="13" max="13" width="9.5703125" bestFit="1" customWidth="1"/>
    <col min="14" max="15" width="11.7109375" bestFit="1" customWidth="1"/>
    <col min="16" max="16" width="9.5703125" bestFit="1" customWidth="1"/>
  </cols>
  <sheetData>
    <row r="1" spans="1:16" x14ac:dyDescent="0.25">
      <c r="A1" s="7" t="s">
        <v>66</v>
      </c>
      <c r="B1" s="7" t="s">
        <v>90</v>
      </c>
      <c r="C1" s="7" t="s">
        <v>91</v>
      </c>
      <c r="D1" s="7" t="s">
        <v>92</v>
      </c>
      <c r="E1" s="7" t="s">
        <v>93</v>
      </c>
      <c r="G1" t="s">
        <v>94</v>
      </c>
      <c r="H1" t="s">
        <v>95</v>
      </c>
      <c r="I1" s="3" t="s">
        <v>96</v>
      </c>
      <c r="J1" s="3" t="s">
        <v>97</v>
      </c>
      <c r="K1" t="s">
        <v>77</v>
      </c>
      <c r="L1" t="s">
        <v>78</v>
      </c>
      <c r="M1" t="s">
        <v>79</v>
      </c>
      <c r="N1" t="s">
        <v>77</v>
      </c>
      <c r="O1" t="s">
        <v>78</v>
      </c>
      <c r="P1" t="s">
        <v>79</v>
      </c>
    </row>
    <row r="2" spans="1:16" x14ac:dyDescent="0.25">
      <c r="A2" s="2">
        <v>45497</v>
      </c>
    </row>
    <row r="3" spans="1:16" x14ac:dyDescent="0.25">
      <c r="A3" s="2">
        <v>45495</v>
      </c>
      <c r="B3">
        <v>34.61</v>
      </c>
      <c r="C3">
        <v>38.82</v>
      </c>
      <c r="D3">
        <v>35.49</v>
      </c>
      <c r="E3">
        <v>35.49</v>
      </c>
      <c r="G3">
        <f>AVERAGE(C3,B3)-D3</f>
        <v>1.2250000000000014</v>
      </c>
      <c r="H3">
        <f>B3-C3</f>
        <v>-4.2100000000000009</v>
      </c>
      <c r="I3" s="3">
        <f>(G3-AVERAGE(G3:G234))/_xlfn.STDEV.S(G3:G234)</f>
        <v>-0.1264050240989604</v>
      </c>
      <c r="J3" s="3">
        <f>(H3-AVERAGE(H3:H234))/_xlfn.STDEV.S(H3:H234)</f>
        <v>-0.69195429759659999</v>
      </c>
      <c r="K3" s="26">
        <f>AVERAGEA(H3:H23)-AVERAGE(H24:H44)</f>
        <v>-2.8509523809523794</v>
      </c>
      <c r="L3" s="26">
        <f>AVERAGEA(H3:H23)-AVERAGE(H24:H79)</f>
        <v>-2.5889285714285695</v>
      </c>
      <c r="M3" s="26">
        <f>AVERAGEA(H3:H23)-AVERAGE(H24:H136)</f>
        <v>-1.8865739570164339</v>
      </c>
      <c r="N3" s="26">
        <f>AVERAGEA(G3:G23)-AVERAGE(G24:G44)</f>
        <v>0.35976190476190439</v>
      </c>
      <c r="O3" s="26">
        <f>AVERAGEA(G3:G23)-AVERAGE(G24:G79)</f>
        <v>0.23065476190476109</v>
      </c>
      <c r="P3" s="26">
        <f>AVERAGEA(G3:G23)-AVERAGE(G24:G136)</f>
        <v>-9.2962494732413692E-3</v>
      </c>
    </row>
    <row r="4" spans="1:16" x14ac:dyDescent="0.25">
      <c r="A4" s="2">
        <v>45492</v>
      </c>
      <c r="B4">
        <v>34.369999999999997</v>
      </c>
      <c r="C4">
        <v>38.39</v>
      </c>
      <c r="D4">
        <v>35.22</v>
      </c>
      <c r="E4">
        <v>35.22</v>
      </c>
      <c r="G4">
        <f t="shared" ref="G4:G67" si="0">AVERAGE(C5,B5)-D5</f>
        <v>1.1550000000000082</v>
      </c>
      <c r="H4">
        <f t="shared" ref="H4:H67" si="1">B5-C5</f>
        <v>-4.009999999999998</v>
      </c>
      <c r="I4" s="3">
        <f t="shared" ref="I4:I67" si="2">(G4-AVERAGE(G4:G235))/_xlfn.STDEV.S(G4:G235)</f>
        <v>-0.33095288653828531</v>
      </c>
      <c r="J4" s="3">
        <f t="shared" ref="J4:J67" si="3">(H4-AVERAGE(H4:H235))/_xlfn.STDEV.S(H4:H235)</f>
        <v>-0.56822003242611596</v>
      </c>
      <c r="K4" s="26">
        <f t="shared" ref="K4:K67" si="4">AVERAGEA(H4:H24)-AVERAGE(H25:H45)</f>
        <v>-2.8576190476190462</v>
      </c>
      <c r="L4" s="26">
        <f t="shared" ref="L4:L67" si="5">AVERAGEA(H4:H24)-AVERAGE(H25:H80)</f>
        <v>-2.4744047619047604</v>
      </c>
      <c r="M4" s="26">
        <f t="shared" ref="M4:M67" si="6">AVERAGEA(H4:H24)-AVERAGE(H25:H137)</f>
        <v>-1.7842562157606396</v>
      </c>
      <c r="N4" s="26">
        <f t="shared" ref="N4:N67" si="7">AVERAGEA(G4:G24)-AVERAGE(G25:G45)</f>
        <v>0.37214285714285777</v>
      </c>
      <c r="O4" s="26">
        <f t="shared" ref="O4:O67" si="8">AVERAGEA(G4:G24)-AVERAGE(G25:G80)</f>
        <v>0.20517857142857121</v>
      </c>
      <c r="P4" s="26">
        <f t="shared" ref="P4:P67" si="9">AVERAGEA(G4:G24)-AVERAGE(G25:G137)</f>
        <v>-2.3236409608091035E-2</v>
      </c>
    </row>
    <row r="5" spans="1:16" x14ac:dyDescent="0.25">
      <c r="A5" s="2">
        <v>45491</v>
      </c>
      <c r="B5">
        <v>34.380000000000003</v>
      </c>
      <c r="C5">
        <v>38.39</v>
      </c>
      <c r="D5">
        <v>35.229999999999997</v>
      </c>
      <c r="E5">
        <v>35.229999999999997</v>
      </c>
      <c r="G5">
        <f t="shared" si="0"/>
        <v>1.154999999999994</v>
      </c>
      <c r="H5">
        <f t="shared" si="1"/>
        <v>-4.009999999999998</v>
      </c>
      <c r="I5" s="3">
        <f t="shared" si="2"/>
        <v>-0.33888076448193327</v>
      </c>
      <c r="J5" s="3">
        <f t="shared" si="3"/>
        <v>-0.56111131657066626</v>
      </c>
      <c r="K5" s="26">
        <f t="shared" si="4"/>
        <v>-2.9309523809523799</v>
      </c>
      <c r="L5" s="26">
        <f t="shared" si="5"/>
        <v>-2.404285714285713</v>
      </c>
      <c r="M5" s="26">
        <f t="shared" si="6"/>
        <v>-1.7471681415929203</v>
      </c>
      <c r="N5" s="26">
        <f t="shared" si="7"/>
        <v>0.39547619047619043</v>
      </c>
      <c r="O5" s="26">
        <f t="shared" si="8"/>
        <v>0.1774999999999991</v>
      </c>
      <c r="P5" s="26">
        <f t="shared" si="9"/>
        <v>-2.7149178255373441E-2</v>
      </c>
    </row>
    <row r="6" spans="1:16" x14ac:dyDescent="0.25">
      <c r="A6" s="2">
        <v>45490</v>
      </c>
      <c r="B6">
        <v>34.39</v>
      </c>
      <c r="C6">
        <v>38.4</v>
      </c>
      <c r="D6">
        <v>35.24</v>
      </c>
      <c r="E6">
        <v>35.24</v>
      </c>
      <c r="G6">
        <f t="shared" si="0"/>
        <v>1.2000000000000028</v>
      </c>
      <c r="H6">
        <f t="shared" si="1"/>
        <v>-3.8799999999999955</v>
      </c>
      <c r="I6" s="3">
        <f t="shared" si="2"/>
        <v>-0.22390353471800417</v>
      </c>
      <c r="J6" s="3">
        <f t="shared" si="3"/>
        <v>-0.47499031519683693</v>
      </c>
      <c r="K6" s="26">
        <f t="shared" si="4"/>
        <v>-2.9123809523809507</v>
      </c>
      <c r="L6" s="26">
        <f t="shared" si="5"/>
        <v>-2.3427976190476176</v>
      </c>
      <c r="M6" s="26">
        <f t="shared" si="6"/>
        <v>-1.6898187947745469</v>
      </c>
      <c r="N6" s="26">
        <f t="shared" si="7"/>
        <v>0.40238095238095251</v>
      </c>
      <c r="O6" s="26">
        <f t="shared" si="8"/>
        <v>0.15336309523809466</v>
      </c>
      <c r="P6" s="26">
        <f t="shared" si="9"/>
        <v>-3.4395280235988812E-2</v>
      </c>
    </row>
    <row r="7" spans="1:16" x14ac:dyDescent="0.25">
      <c r="A7" s="2">
        <v>45489</v>
      </c>
      <c r="B7">
        <v>34.340000000000003</v>
      </c>
      <c r="C7">
        <v>38.22</v>
      </c>
      <c r="D7">
        <v>35.08</v>
      </c>
      <c r="E7">
        <v>35.08</v>
      </c>
      <c r="G7">
        <f t="shared" si="0"/>
        <v>1.1899999999999977</v>
      </c>
      <c r="H7">
        <f t="shared" si="1"/>
        <v>-3.8599999999999994</v>
      </c>
      <c r="I7" s="3">
        <f t="shared" si="2"/>
        <v>-0.25584015072527094</v>
      </c>
      <c r="J7" s="3">
        <f t="shared" si="3"/>
        <v>-0.45912979125334402</v>
      </c>
      <c r="K7" s="26">
        <f t="shared" si="4"/>
        <v>-2.9661904761904752</v>
      </c>
      <c r="L7" s="26">
        <f t="shared" si="5"/>
        <v>-2.3242857142857134</v>
      </c>
      <c r="M7" s="26">
        <f t="shared" si="6"/>
        <v>-1.6668394437420986</v>
      </c>
      <c r="N7" s="26">
        <f t="shared" si="7"/>
        <v>0.41357142857142803</v>
      </c>
      <c r="O7" s="26">
        <f t="shared" si="8"/>
        <v>0.14196428571428488</v>
      </c>
      <c r="P7" s="26">
        <f t="shared" si="9"/>
        <v>-3.8198482932997102E-2</v>
      </c>
    </row>
    <row r="8" spans="1:16" x14ac:dyDescent="0.25">
      <c r="A8" s="2">
        <v>45488</v>
      </c>
      <c r="B8">
        <v>34.32</v>
      </c>
      <c r="C8">
        <v>38.18</v>
      </c>
      <c r="D8">
        <v>35.06</v>
      </c>
      <c r="E8">
        <v>35.06</v>
      </c>
      <c r="G8">
        <f t="shared" si="0"/>
        <v>1.240000000000002</v>
      </c>
      <c r="H8">
        <f t="shared" si="1"/>
        <v>-3.8799999999999955</v>
      </c>
      <c r="I8" s="3">
        <f t="shared" si="2"/>
        <v>-0.12283235529750171</v>
      </c>
      <c r="J8" s="3">
        <f t="shared" si="3"/>
        <v>-0.46864576757388993</v>
      </c>
      <c r="K8" s="26">
        <f t="shared" si="4"/>
        <v>-2.841904761904761</v>
      </c>
      <c r="L8" s="26">
        <f t="shared" si="5"/>
        <v>-2.2211904761904755</v>
      </c>
      <c r="M8" s="26">
        <f t="shared" si="6"/>
        <v>-1.5522461019806153</v>
      </c>
      <c r="N8" s="26">
        <f t="shared" si="7"/>
        <v>0.39761904761904698</v>
      </c>
      <c r="O8" s="26">
        <f t="shared" si="8"/>
        <v>0.12827380952380874</v>
      </c>
      <c r="P8" s="26">
        <f t="shared" si="9"/>
        <v>-4.8213232195533751E-2</v>
      </c>
    </row>
    <row r="9" spans="1:16" x14ac:dyDescent="0.25">
      <c r="A9" s="2">
        <v>45485</v>
      </c>
      <c r="B9">
        <v>34.28</v>
      </c>
      <c r="C9">
        <v>38.159999999999997</v>
      </c>
      <c r="D9">
        <v>34.979999999999997</v>
      </c>
      <c r="E9">
        <v>34.979999999999997</v>
      </c>
      <c r="G9">
        <f t="shared" si="0"/>
        <v>1.2950000000000017</v>
      </c>
      <c r="H9">
        <f t="shared" si="1"/>
        <v>-4.1299999999999955</v>
      </c>
      <c r="I9" s="3">
        <f t="shared" si="2"/>
        <v>2.3928851664670264E-2</v>
      </c>
      <c r="J9" s="3">
        <f t="shared" si="3"/>
        <v>-0.6199155243827954</v>
      </c>
      <c r="K9" s="26">
        <f t="shared" si="4"/>
        <v>-2.7242857142857138</v>
      </c>
      <c r="L9" s="26">
        <f t="shared" si="5"/>
        <v>-2.0591071428571421</v>
      </c>
      <c r="M9" s="26">
        <f t="shared" si="6"/>
        <v>-1.4257269279393179</v>
      </c>
      <c r="N9" s="26">
        <f t="shared" si="7"/>
        <v>0.3930952380952375</v>
      </c>
      <c r="O9" s="26">
        <f t="shared" si="8"/>
        <v>0.11669642857142759</v>
      </c>
      <c r="P9" s="26">
        <f t="shared" si="9"/>
        <v>-5.9096080910240767E-2</v>
      </c>
    </row>
    <row r="10" spans="1:16" x14ac:dyDescent="0.25">
      <c r="A10" s="2">
        <v>45484</v>
      </c>
      <c r="B10">
        <v>33.840000000000003</v>
      </c>
      <c r="C10">
        <v>37.97</v>
      </c>
      <c r="D10">
        <v>34.61</v>
      </c>
      <c r="E10">
        <v>34.61</v>
      </c>
      <c r="G10">
        <f t="shared" si="0"/>
        <v>1.259999999999998</v>
      </c>
      <c r="H10">
        <f t="shared" si="1"/>
        <v>-3.7800000000000011</v>
      </c>
      <c r="I10" s="3">
        <f t="shared" si="2"/>
        <v>-7.5055466049654074E-2</v>
      </c>
      <c r="J10" s="3">
        <f t="shared" si="3"/>
        <v>-0.40675483087726921</v>
      </c>
      <c r="K10" s="26">
        <f t="shared" si="4"/>
        <v>-2.5923809523809513</v>
      </c>
      <c r="L10" s="26">
        <f t="shared" si="5"/>
        <v>-1.9030357142857135</v>
      </c>
      <c r="M10" s="26">
        <f t="shared" si="6"/>
        <v>-1.2969152970922884</v>
      </c>
      <c r="N10" s="26">
        <f t="shared" si="7"/>
        <v>0.3904761904761902</v>
      </c>
      <c r="O10" s="26">
        <f t="shared" si="8"/>
        <v>0.10348214285714219</v>
      </c>
      <c r="P10" s="26">
        <f t="shared" si="9"/>
        <v>-6.3211125158028292E-2</v>
      </c>
    </row>
    <row r="11" spans="1:16" x14ac:dyDescent="0.25">
      <c r="A11" s="2">
        <v>45483</v>
      </c>
      <c r="B11">
        <v>34.36</v>
      </c>
      <c r="C11">
        <v>38.14</v>
      </c>
      <c r="D11">
        <v>34.99</v>
      </c>
      <c r="E11">
        <v>34.99</v>
      </c>
      <c r="G11">
        <f t="shared" si="0"/>
        <v>1.2700000000000031</v>
      </c>
      <c r="H11">
        <f t="shared" si="1"/>
        <v>-3.8000000000000043</v>
      </c>
      <c r="I11" s="3">
        <f t="shared" si="2"/>
        <v>-4.4288179159028426E-2</v>
      </c>
      <c r="J11" s="3">
        <f t="shared" si="3"/>
        <v>-0.42325725198468622</v>
      </c>
      <c r="K11" s="26">
        <f t="shared" si="4"/>
        <v>-2.5109523809523804</v>
      </c>
      <c r="L11" s="26">
        <f t="shared" si="5"/>
        <v>-1.7917857142857141</v>
      </c>
      <c r="M11" s="26">
        <f t="shared" si="6"/>
        <v>-1.191390644753477</v>
      </c>
      <c r="N11" s="26">
        <f t="shared" si="7"/>
        <v>0.4078571428571427</v>
      </c>
      <c r="O11" s="26">
        <f t="shared" si="8"/>
        <v>9.9702380952380265E-2</v>
      </c>
      <c r="P11" s="26">
        <f t="shared" si="9"/>
        <v>-5.9559629161399341E-2</v>
      </c>
    </row>
    <row r="12" spans="1:16" x14ac:dyDescent="0.25">
      <c r="A12" s="2">
        <v>45482</v>
      </c>
      <c r="B12">
        <v>34.44</v>
      </c>
      <c r="C12">
        <v>38.24</v>
      </c>
      <c r="D12">
        <v>35.07</v>
      </c>
      <c r="E12">
        <v>35.07</v>
      </c>
      <c r="G12">
        <f t="shared" si="0"/>
        <v>1.2749999999999986</v>
      </c>
      <c r="H12">
        <f t="shared" si="1"/>
        <v>-3.8100000000000023</v>
      </c>
      <c r="I12" s="3">
        <f t="shared" si="2"/>
        <v>-2.5546318996371921E-2</v>
      </c>
      <c r="J12" s="3">
        <f t="shared" si="3"/>
        <v>-0.43407935239010126</v>
      </c>
      <c r="K12" s="26">
        <f t="shared" si="4"/>
        <v>-2.3766666666666652</v>
      </c>
      <c r="L12" s="26">
        <f t="shared" si="5"/>
        <v>-1.6173214285714272</v>
      </c>
      <c r="M12" s="26">
        <f t="shared" si="6"/>
        <v>-1.0365992414664977</v>
      </c>
      <c r="N12" s="26">
        <f t="shared" si="7"/>
        <v>0.37785714285714234</v>
      </c>
      <c r="O12" s="26">
        <f t="shared" si="8"/>
        <v>6.2589285714284904E-2</v>
      </c>
      <c r="P12" s="26">
        <f t="shared" si="9"/>
        <v>-8.9930467762326938E-2</v>
      </c>
    </row>
    <row r="13" spans="1:16" x14ac:dyDescent="0.25">
      <c r="A13" s="2">
        <v>45481</v>
      </c>
      <c r="B13">
        <v>34.299999999999997</v>
      </c>
      <c r="C13">
        <v>38.11</v>
      </c>
      <c r="D13">
        <v>34.93</v>
      </c>
      <c r="E13">
        <v>34.93</v>
      </c>
      <c r="G13">
        <f t="shared" si="0"/>
        <v>1.3150000000000048</v>
      </c>
      <c r="H13">
        <f t="shared" si="1"/>
        <v>-3.8699999999999974</v>
      </c>
      <c r="I13" s="3">
        <f t="shared" si="2"/>
        <v>8.9236870201708951E-2</v>
      </c>
      <c r="J13" s="3">
        <f t="shared" si="3"/>
        <v>-0.47658807403174142</v>
      </c>
      <c r="K13" s="26">
        <f t="shared" si="4"/>
        <v>-2.1866666666666652</v>
      </c>
      <c r="L13" s="26">
        <f t="shared" si="5"/>
        <v>-1.4515476190476184</v>
      </c>
      <c r="M13" s="26">
        <f t="shared" si="6"/>
        <v>-0.88582385166455957</v>
      </c>
      <c r="N13" s="26">
        <f t="shared" si="7"/>
        <v>0.3423809523809519</v>
      </c>
      <c r="O13" s="26">
        <f t="shared" si="8"/>
        <v>2.4285714285713578E-2</v>
      </c>
      <c r="P13" s="26">
        <f t="shared" si="9"/>
        <v>-0.11623261694058229</v>
      </c>
    </row>
    <row r="14" spans="1:16" x14ac:dyDescent="0.25">
      <c r="A14" s="2">
        <v>45478</v>
      </c>
      <c r="B14">
        <v>34.14</v>
      </c>
      <c r="C14">
        <v>38.01</v>
      </c>
      <c r="D14">
        <v>34.76</v>
      </c>
      <c r="E14">
        <v>34.76</v>
      </c>
      <c r="G14">
        <f t="shared" si="0"/>
        <v>1.2849999999999966</v>
      </c>
      <c r="H14">
        <f t="shared" si="1"/>
        <v>-3.8299999999999983</v>
      </c>
      <c r="I14" s="3">
        <f t="shared" si="2"/>
        <v>1.6132695548883698E-2</v>
      </c>
      <c r="J14" s="3">
        <f t="shared" si="3"/>
        <v>-0.45859747993008237</v>
      </c>
      <c r="K14" s="26">
        <f t="shared" si="4"/>
        <v>-2.0028571428571418</v>
      </c>
      <c r="L14" s="26">
        <f t="shared" si="5"/>
        <v>-1.2976785714285708</v>
      </c>
      <c r="M14" s="26">
        <f t="shared" si="6"/>
        <v>-0.74461441213653634</v>
      </c>
      <c r="N14" s="26">
        <f t="shared" si="7"/>
        <v>0.2952380952380943</v>
      </c>
      <c r="O14" s="26">
        <f t="shared" si="8"/>
        <v>-2.3779761904762831E-2</v>
      </c>
      <c r="P14" s="26">
        <f t="shared" si="9"/>
        <v>-0.14800463548251241</v>
      </c>
    </row>
    <row r="15" spans="1:16" x14ac:dyDescent="0.25">
      <c r="A15" s="2">
        <v>45477</v>
      </c>
      <c r="B15">
        <v>34.15</v>
      </c>
      <c r="C15">
        <v>37.979999999999997</v>
      </c>
      <c r="D15">
        <v>34.78</v>
      </c>
      <c r="E15">
        <v>34.78</v>
      </c>
      <c r="G15">
        <f t="shared" si="0"/>
        <v>1.3200000000000003</v>
      </c>
      <c r="H15">
        <f t="shared" si="1"/>
        <v>-3.8600000000000065</v>
      </c>
      <c r="I15" s="3">
        <f t="shared" si="2"/>
        <v>0.1162013661854109</v>
      </c>
      <c r="J15" s="3">
        <f t="shared" si="3"/>
        <v>-0.48279173260006292</v>
      </c>
      <c r="K15" s="26">
        <f t="shared" si="4"/>
        <v>-1.7685714285714276</v>
      </c>
      <c r="L15" s="26">
        <f t="shared" si="5"/>
        <v>-1.0749404761904755</v>
      </c>
      <c r="M15" s="26">
        <f t="shared" si="6"/>
        <v>-0.53361146228402889</v>
      </c>
      <c r="N15" s="26">
        <f t="shared" si="7"/>
        <v>0.27476190476190354</v>
      </c>
      <c r="O15" s="26">
        <f t="shared" si="8"/>
        <v>-4.9196428571429474E-2</v>
      </c>
      <c r="P15" s="26">
        <f t="shared" si="9"/>
        <v>-0.16979772439949481</v>
      </c>
    </row>
    <row r="16" spans="1:16" x14ac:dyDescent="0.25">
      <c r="A16" s="2">
        <v>45476</v>
      </c>
      <c r="B16">
        <v>34.159999999999997</v>
      </c>
      <c r="C16">
        <v>38.020000000000003</v>
      </c>
      <c r="D16">
        <v>34.770000000000003</v>
      </c>
      <c r="E16">
        <v>34.770000000000003</v>
      </c>
      <c r="G16">
        <f t="shared" si="0"/>
        <v>1.269999999999996</v>
      </c>
      <c r="H16">
        <f t="shared" si="1"/>
        <v>-4.0799999999999983</v>
      </c>
      <c r="I16" s="3">
        <f t="shared" si="2"/>
        <v>-8.6491935832037226E-3</v>
      </c>
      <c r="J16" s="3">
        <f t="shared" si="3"/>
        <v>-0.62045170394049021</v>
      </c>
      <c r="K16" s="26">
        <f t="shared" si="4"/>
        <v>-1.5257142857142849</v>
      </c>
      <c r="L16" s="26">
        <f t="shared" si="5"/>
        <v>-0.80511904761904662</v>
      </c>
      <c r="M16" s="26">
        <f t="shared" si="6"/>
        <v>-0.29662031184155069</v>
      </c>
      <c r="N16" s="26">
        <f t="shared" si="7"/>
        <v>0.25285714285714123</v>
      </c>
      <c r="O16" s="26">
        <f t="shared" si="8"/>
        <v>-7.8690476190477421E-2</v>
      </c>
      <c r="P16" s="26">
        <f t="shared" si="9"/>
        <v>-0.19060261272650747</v>
      </c>
    </row>
    <row r="17" spans="1:16" x14ac:dyDescent="0.25">
      <c r="A17" s="2">
        <v>45475</v>
      </c>
      <c r="B17">
        <v>34.47</v>
      </c>
      <c r="C17">
        <v>38.549999999999997</v>
      </c>
      <c r="D17">
        <v>35.24</v>
      </c>
      <c r="E17">
        <v>35.24</v>
      </c>
      <c r="G17">
        <f t="shared" si="0"/>
        <v>1.240000000000002</v>
      </c>
      <c r="H17">
        <f t="shared" si="1"/>
        <v>-4.0400000000000063</v>
      </c>
      <c r="I17" s="3">
        <f t="shared" si="2"/>
        <v>-7.7881205711913121E-2</v>
      </c>
      <c r="J17" s="3">
        <f t="shared" si="3"/>
        <v>-0.60335753770833378</v>
      </c>
      <c r="K17" s="26">
        <f t="shared" si="4"/>
        <v>-1.3471428571428565</v>
      </c>
      <c r="L17" s="26">
        <f t="shared" si="5"/>
        <v>-0.51595238095238072</v>
      </c>
      <c r="M17" s="26">
        <f t="shared" si="6"/>
        <v>-4.1508638853772428E-2</v>
      </c>
      <c r="N17" s="26">
        <f t="shared" si="7"/>
        <v>0.2488095238095217</v>
      </c>
      <c r="O17" s="26">
        <f t="shared" si="8"/>
        <v>-0.10678571428571559</v>
      </c>
      <c r="P17" s="26">
        <f t="shared" si="9"/>
        <v>-0.20840707964601823</v>
      </c>
    </row>
    <row r="18" spans="1:16" x14ac:dyDescent="0.25">
      <c r="A18" s="2">
        <v>45474</v>
      </c>
      <c r="B18">
        <v>34.729999999999997</v>
      </c>
      <c r="C18">
        <v>38.770000000000003</v>
      </c>
      <c r="D18">
        <v>35.51</v>
      </c>
      <c r="E18">
        <v>35.51</v>
      </c>
      <c r="G18">
        <f t="shared" si="0"/>
        <v>1.2349999999999994</v>
      </c>
      <c r="H18">
        <f t="shared" si="1"/>
        <v>-4.269999999999996</v>
      </c>
      <c r="I18" s="3">
        <f t="shared" si="2"/>
        <v>-8.6228208752714322E-2</v>
      </c>
      <c r="J18" s="3">
        <f t="shared" si="3"/>
        <v>-0.74592509816155084</v>
      </c>
      <c r="K18" s="26">
        <f t="shared" si="4"/>
        <v>-1.1952380952380939</v>
      </c>
      <c r="L18" s="26">
        <f t="shared" si="5"/>
        <v>-0.23755952380952294</v>
      </c>
      <c r="M18" s="26">
        <f t="shared" si="6"/>
        <v>0.20179098187947764</v>
      </c>
      <c r="N18" s="26">
        <f t="shared" si="7"/>
        <v>0.20571428571428374</v>
      </c>
      <c r="O18" s="26">
        <f t="shared" si="8"/>
        <v>-0.13973214285714408</v>
      </c>
      <c r="P18" s="26">
        <f t="shared" si="9"/>
        <v>-0.23516434892541183</v>
      </c>
    </row>
    <row r="19" spans="1:16" x14ac:dyDescent="0.25">
      <c r="A19" s="2">
        <v>45471</v>
      </c>
      <c r="B19">
        <v>34.53</v>
      </c>
      <c r="C19">
        <v>38.799999999999997</v>
      </c>
      <c r="D19">
        <v>35.43</v>
      </c>
      <c r="E19">
        <v>35.43</v>
      </c>
      <c r="G19">
        <f t="shared" si="0"/>
        <v>1.2250000000000014</v>
      </c>
      <c r="H19">
        <f t="shared" si="1"/>
        <v>-4.2700000000000031</v>
      </c>
      <c r="I19" s="3">
        <f t="shared" si="2"/>
        <v>-0.10451989635074514</v>
      </c>
      <c r="J19" s="3">
        <f t="shared" si="3"/>
        <v>-0.75289255822504986</v>
      </c>
      <c r="K19" s="26">
        <f t="shared" si="4"/>
        <v>-1.0928571428571425</v>
      </c>
      <c r="L19" s="26">
        <f t="shared" si="5"/>
        <v>-1.4702380952380745E-2</v>
      </c>
      <c r="M19" s="26">
        <f t="shared" si="6"/>
        <v>0.41415507796038709</v>
      </c>
      <c r="N19" s="26">
        <f t="shared" si="7"/>
        <v>0.1273809523809506</v>
      </c>
      <c r="O19" s="26">
        <f t="shared" si="8"/>
        <v>-0.18312500000000109</v>
      </c>
      <c r="P19" s="26">
        <f t="shared" si="9"/>
        <v>-0.27481036662452629</v>
      </c>
    </row>
    <row r="20" spans="1:16" x14ac:dyDescent="0.25">
      <c r="A20" s="2">
        <v>45470</v>
      </c>
      <c r="B20">
        <v>34.58</v>
      </c>
      <c r="C20">
        <v>38.85</v>
      </c>
      <c r="D20">
        <v>35.49</v>
      </c>
      <c r="E20">
        <v>35.49</v>
      </c>
      <c r="G20">
        <f t="shared" si="0"/>
        <v>1.1949999999999932</v>
      </c>
      <c r="H20">
        <f t="shared" si="1"/>
        <v>-4.7299999999999969</v>
      </c>
      <c r="I20" s="3">
        <f t="shared" si="2"/>
        <v>-0.17414638808857036</v>
      </c>
      <c r="J20" s="3">
        <f t="shared" si="3"/>
        <v>-1.0306343294493556</v>
      </c>
      <c r="K20" s="26">
        <f t="shared" si="4"/>
        <v>-0.93666666666666609</v>
      </c>
      <c r="L20" s="26">
        <f t="shared" si="5"/>
        <v>0.19726190476190486</v>
      </c>
      <c r="M20" s="26">
        <f t="shared" si="6"/>
        <v>0.63851664559629184</v>
      </c>
      <c r="N20" s="26">
        <f t="shared" si="7"/>
        <v>9.4999999999997864E-2</v>
      </c>
      <c r="O20" s="26">
        <f t="shared" si="8"/>
        <v>-0.22446428571428723</v>
      </c>
      <c r="P20" s="26">
        <f t="shared" si="9"/>
        <v>-0.31049304677623357</v>
      </c>
    </row>
    <row r="21" spans="1:16" x14ac:dyDescent="0.25">
      <c r="A21" s="2">
        <v>45469</v>
      </c>
      <c r="B21">
        <v>34</v>
      </c>
      <c r="C21">
        <v>38.729999999999997</v>
      </c>
      <c r="D21">
        <v>35.17</v>
      </c>
      <c r="E21">
        <v>35.17</v>
      </c>
      <c r="G21">
        <f t="shared" si="0"/>
        <v>1.0750000000000028</v>
      </c>
      <c r="H21">
        <f t="shared" si="1"/>
        <v>-4.5499999999999972</v>
      </c>
      <c r="I21" s="3">
        <f t="shared" si="2"/>
        <v>-0.47240651519660298</v>
      </c>
      <c r="J21" s="3">
        <f t="shared" si="3"/>
        <v>-0.93339198715156468</v>
      </c>
      <c r="K21" s="26">
        <f t="shared" si="4"/>
        <v>-0.71380952380952278</v>
      </c>
      <c r="L21" s="26">
        <f t="shared" si="5"/>
        <v>0.44726190476190486</v>
      </c>
      <c r="M21" s="26">
        <f t="shared" si="6"/>
        <v>0.88705014749262578</v>
      </c>
      <c r="N21" s="26">
        <f t="shared" si="7"/>
        <v>3.833333333333222E-2</v>
      </c>
      <c r="O21" s="26">
        <f t="shared" si="8"/>
        <v>-0.26779761904761989</v>
      </c>
      <c r="P21" s="26">
        <f t="shared" si="9"/>
        <v>-0.34914243573535608</v>
      </c>
    </row>
    <row r="22" spans="1:16" x14ac:dyDescent="0.25">
      <c r="A22" s="2">
        <v>45468</v>
      </c>
      <c r="B22">
        <v>34.6</v>
      </c>
      <c r="C22">
        <v>39.15</v>
      </c>
      <c r="D22">
        <v>35.799999999999997</v>
      </c>
      <c r="E22">
        <v>35.799999999999997</v>
      </c>
      <c r="G22">
        <f t="shared" si="0"/>
        <v>1.1049999999999969</v>
      </c>
      <c r="H22">
        <f t="shared" si="1"/>
        <v>-3.4299999999999997</v>
      </c>
      <c r="I22" s="3">
        <f t="shared" si="2"/>
        <v>-0.38244314963255205</v>
      </c>
      <c r="J22" s="3">
        <f t="shared" si="3"/>
        <v>-0.28584947452515114</v>
      </c>
      <c r="K22" s="26">
        <f t="shared" si="4"/>
        <v>-0.44285714285714251</v>
      </c>
      <c r="L22" s="26">
        <f t="shared" si="5"/>
        <v>0.69059523809523782</v>
      </c>
      <c r="M22" s="26">
        <f t="shared" si="6"/>
        <v>1.1555794353139484</v>
      </c>
      <c r="N22" s="26">
        <f t="shared" si="7"/>
        <v>-4.2380952380953407E-2</v>
      </c>
      <c r="O22" s="26">
        <f t="shared" si="8"/>
        <v>-0.3135119047619056</v>
      </c>
      <c r="P22" s="26">
        <f t="shared" si="9"/>
        <v>-0.39019174041297966</v>
      </c>
    </row>
    <row r="23" spans="1:16" x14ac:dyDescent="0.25">
      <c r="A23" s="2">
        <v>45464</v>
      </c>
      <c r="B23">
        <v>36.65</v>
      </c>
      <c r="C23">
        <v>40.08</v>
      </c>
      <c r="D23">
        <v>37.26</v>
      </c>
      <c r="E23">
        <v>37.26</v>
      </c>
      <c r="G23">
        <f t="shared" si="0"/>
        <v>1.1149999999999949</v>
      </c>
      <c r="H23">
        <f t="shared" si="1"/>
        <v>-2.2899999999999991</v>
      </c>
      <c r="I23" s="3">
        <f t="shared" si="2"/>
        <v>-0.34311275310260092</v>
      </c>
      <c r="J23" s="3">
        <f t="shared" si="3"/>
        <v>0.36968098490797013</v>
      </c>
      <c r="K23" s="26">
        <f t="shared" si="4"/>
        <v>-0.21476190476190427</v>
      </c>
      <c r="L23" s="26">
        <f t="shared" si="5"/>
        <v>0.86059523809523752</v>
      </c>
      <c r="M23" s="26">
        <f t="shared" si="6"/>
        <v>1.3215339233038355</v>
      </c>
      <c r="N23" s="26">
        <f t="shared" si="7"/>
        <v>-0.12976190476190519</v>
      </c>
      <c r="O23" s="26">
        <f t="shared" si="8"/>
        <v>-0.36380952380952447</v>
      </c>
      <c r="P23" s="26">
        <f t="shared" si="9"/>
        <v>-0.42611040876527606</v>
      </c>
    </row>
    <row r="24" spans="1:16" x14ac:dyDescent="0.25">
      <c r="A24" s="2">
        <v>45463</v>
      </c>
      <c r="B24">
        <v>37.42</v>
      </c>
      <c r="C24">
        <v>39.71</v>
      </c>
      <c r="D24">
        <v>37.450000000000003</v>
      </c>
      <c r="E24">
        <v>37.450000000000003</v>
      </c>
      <c r="G24">
        <f t="shared" si="0"/>
        <v>0.97500000000000853</v>
      </c>
      <c r="H24">
        <f t="shared" si="1"/>
        <v>-2.2100000000000009</v>
      </c>
      <c r="I24" s="3">
        <f t="shared" si="2"/>
        <v>-0.6737695504799307</v>
      </c>
      <c r="J24" s="3">
        <f t="shared" si="3"/>
        <v>0.40850843486323818</v>
      </c>
      <c r="K24" s="26">
        <f t="shared" si="4"/>
        <v>-3.1904761904761658E-2</v>
      </c>
      <c r="L24" s="26">
        <f t="shared" si="5"/>
        <v>0.99255952380952328</v>
      </c>
      <c r="M24" s="26">
        <f t="shared" si="6"/>
        <v>1.445263379688158</v>
      </c>
      <c r="N24" s="26">
        <f t="shared" si="7"/>
        <v>-0.18404761904761979</v>
      </c>
      <c r="O24" s="26">
        <f t="shared" si="8"/>
        <v>-0.41080357142857216</v>
      </c>
      <c r="P24" s="26">
        <f t="shared" si="9"/>
        <v>-0.4605625790139064</v>
      </c>
    </row>
    <row r="25" spans="1:16" x14ac:dyDescent="0.25">
      <c r="A25" s="2">
        <v>45462</v>
      </c>
      <c r="B25">
        <v>37.92</v>
      </c>
      <c r="C25">
        <v>40.130000000000003</v>
      </c>
      <c r="D25">
        <v>38.049999999999997</v>
      </c>
      <c r="E25">
        <v>38.049999999999997</v>
      </c>
      <c r="G25">
        <f t="shared" si="0"/>
        <v>1.1099999999999994</v>
      </c>
      <c r="H25">
        <f t="shared" si="1"/>
        <v>-3.2199999999999989</v>
      </c>
      <c r="I25" s="3">
        <f t="shared" si="2"/>
        <v>-0.33116602294162106</v>
      </c>
      <c r="J25" s="3">
        <f t="shared" si="3"/>
        <v>-0.17949125450286843</v>
      </c>
      <c r="K25" s="26">
        <f t="shared" si="4"/>
        <v>0.11666666666666714</v>
      </c>
      <c r="L25" s="26">
        <f t="shared" si="5"/>
        <v>1.1301785714285704</v>
      </c>
      <c r="M25" s="26">
        <f t="shared" si="6"/>
        <v>1.5711504424778766</v>
      </c>
      <c r="N25" s="26">
        <f t="shared" si="7"/>
        <v>-0.24023809523809669</v>
      </c>
      <c r="O25" s="26">
        <f t="shared" si="8"/>
        <v>-0.45491071428571561</v>
      </c>
      <c r="P25" s="26">
        <f t="shared" si="9"/>
        <v>-0.48790139064475424</v>
      </c>
    </row>
    <row r="26" spans="1:16" x14ac:dyDescent="0.25">
      <c r="A26" s="2">
        <v>45461</v>
      </c>
      <c r="B26">
        <v>38.01</v>
      </c>
      <c r="C26">
        <v>41.23</v>
      </c>
      <c r="D26">
        <v>38.51</v>
      </c>
      <c r="E26">
        <v>38.51</v>
      </c>
      <c r="G26">
        <f t="shared" si="0"/>
        <v>1.0399999999999991</v>
      </c>
      <c r="H26">
        <f t="shared" si="1"/>
        <v>-2.8799999999999955</v>
      </c>
      <c r="I26" s="3">
        <f t="shared" si="2"/>
        <v>-0.48873758831574571</v>
      </c>
      <c r="J26" s="3">
        <f t="shared" si="3"/>
        <v>7.7553346389531274E-3</v>
      </c>
      <c r="K26" s="26">
        <f t="shared" si="4"/>
        <v>0.24523809523809559</v>
      </c>
      <c r="L26" s="26">
        <f t="shared" si="5"/>
        <v>1.2566666666666655</v>
      </c>
      <c r="M26" s="26">
        <f t="shared" si="6"/>
        <v>1.6898904340497265</v>
      </c>
      <c r="N26" s="26">
        <f t="shared" si="7"/>
        <v>-0.27166666666666794</v>
      </c>
      <c r="O26" s="26">
        <f t="shared" si="8"/>
        <v>-0.49565476190476276</v>
      </c>
      <c r="P26" s="26">
        <f t="shared" si="9"/>
        <v>-0.51585545722713888</v>
      </c>
    </row>
    <row r="27" spans="1:16" x14ac:dyDescent="0.25">
      <c r="A27" s="2">
        <v>45460</v>
      </c>
      <c r="B27">
        <v>37.590000000000003</v>
      </c>
      <c r="C27">
        <v>40.47</v>
      </c>
      <c r="D27">
        <v>37.99</v>
      </c>
      <c r="E27">
        <v>37.99</v>
      </c>
      <c r="G27">
        <f t="shared" si="0"/>
        <v>1.134999999999998</v>
      </c>
      <c r="H27">
        <f t="shared" si="1"/>
        <v>-3.3900000000000006</v>
      </c>
      <c r="I27" s="3">
        <f t="shared" si="2"/>
        <v>-0.25299602824656248</v>
      </c>
      <c r="J27" s="3">
        <f t="shared" si="3"/>
        <v>-0.2888925267283266</v>
      </c>
      <c r="K27" s="26">
        <f t="shared" si="4"/>
        <v>0.24</v>
      </c>
      <c r="L27" s="26">
        <f t="shared" si="5"/>
        <v>1.2949404761904748</v>
      </c>
      <c r="M27" s="26">
        <f t="shared" si="6"/>
        <v>1.7223851664559631</v>
      </c>
      <c r="N27" s="26">
        <f t="shared" si="7"/>
        <v>-0.26952380952381061</v>
      </c>
      <c r="O27" s="26">
        <f t="shared" si="8"/>
        <v>-0.52883928571428651</v>
      </c>
      <c r="P27" s="26">
        <f t="shared" si="9"/>
        <v>-0.53102402022756023</v>
      </c>
    </row>
    <row r="28" spans="1:16" x14ac:dyDescent="0.25">
      <c r="A28" s="2">
        <v>45457</v>
      </c>
      <c r="B28">
        <v>36.51</v>
      </c>
      <c r="C28">
        <v>39.9</v>
      </c>
      <c r="D28">
        <v>37.07</v>
      </c>
      <c r="E28">
        <v>37.07</v>
      </c>
      <c r="G28">
        <f t="shared" si="0"/>
        <v>1.0150000000000006</v>
      </c>
      <c r="H28">
        <f t="shared" si="1"/>
        <v>-1.7100000000000009</v>
      </c>
      <c r="I28" s="3">
        <f t="shared" si="2"/>
        <v>-0.52971750080595614</v>
      </c>
      <c r="J28" s="3">
        <f t="shared" si="3"/>
        <v>0.6532177478954061</v>
      </c>
      <c r="K28" s="26">
        <f t="shared" si="4"/>
        <v>0.33095238095238078</v>
      </c>
      <c r="L28" s="26">
        <f t="shared" si="5"/>
        <v>1.4076190476190464</v>
      </c>
      <c r="M28" s="26">
        <f t="shared" si="6"/>
        <v>1.800501474926254</v>
      </c>
      <c r="N28" s="26">
        <f t="shared" si="7"/>
        <v>-0.29309523809523852</v>
      </c>
      <c r="O28" s="26">
        <f t="shared" si="8"/>
        <v>-0.56803571428571464</v>
      </c>
      <c r="P28" s="26">
        <f t="shared" si="9"/>
        <v>-0.54597345132743347</v>
      </c>
    </row>
    <row r="29" spans="1:16" x14ac:dyDescent="0.25">
      <c r="A29" s="2">
        <v>45456</v>
      </c>
      <c r="B29">
        <v>35.97</v>
      </c>
      <c r="C29">
        <v>37.68</v>
      </c>
      <c r="D29">
        <v>35.81</v>
      </c>
      <c r="E29">
        <v>35.81</v>
      </c>
      <c r="G29">
        <f t="shared" si="0"/>
        <v>1.0700000000000003</v>
      </c>
      <c r="H29">
        <f t="shared" si="1"/>
        <v>-1.5</v>
      </c>
      <c r="I29" s="3">
        <f t="shared" si="2"/>
        <v>-0.3897264405037722</v>
      </c>
      <c r="J29" s="3">
        <f t="shared" si="3"/>
        <v>0.76505031253949518</v>
      </c>
      <c r="K29" s="26">
        <f t="shared" si="4"/>
        <v>0.34142857142857075</v>
      </c>
      <c r="L29" s="26">
        <f t="shared" si="5"/>
        <v>1.4055357142857128</v>
      </c>
      <c r="M29" s="26">
        <f t="shared" si="6"/>
        <v>1.7749683944374204</v>
      </c>
      <c r="N29" s="26">
        <f t="shared" si="7"/>
        <v>-0.27785714285714291</v>
      </c>
      <c r="O29" s="26">
        <f t="shared" si="8"/>
        <v>-0.57157738095238086</v>
      </c>
      <c r="P29" s="26">
        <f t="shared" si="9"/>
        <v>-0.5365402444163504</v>
      </c>
    </row>
    <row r="30" spans="1:16" x14ac:dyDescent="0.25">
      <c r="A30" s="2">
        <v>45455</v>
      </c>
      <c r="B30">
        <v>35.6</v>
      </c>
      <c r="C30">
        <v>37.1</v>
      </c>
      <c r="D30">
        <v>35.28</v>
      </c>
      <c r="E30">
        <v>35.28</v>
      </c>
      <c r="G30">
        <f t="shared" si="0"/>
        <v>1.1900000000000048</v>
      </c>
      <c r="H30">
        <f t="shared" si="1"/>
        <v>-1.6999999999999957</v>
      </c>
      <c r="I30" s="3">
        <f t="shared" si="2"/>
        <v>-9.9486251464850267E-2</v>
      </c>
      <c r="J30" s="3">
        <f t="shared" si="3"/>
        <v>0.64636718458539433</v>
      </c>
      <c r="K30" s="26">
        <f t="shared" si="4"/>
        <v>0.38999999999999924</v>
      </c>
      <c r="L30" s="26">
        <f t="shared" si="5"/>
        <v>1.4299999999999984</v>
      </c>
      <c r="M30" s="26">
        <f t="shared" si="6"/>
        <v>1.772629582806573</v>
      </c>
      <c r="N30" s="26">
        <f t="shared" si="7"/>
        <v>-0.2797619047619051</v>
      </c>
      <c r="O30" s="26">
        <f t="shared" si="8"/>
        <v>-0.59184523809523837</v>
      </c>
      <c r="P30" s="26">
        <f t="shared" si="9"/>
        <v>-0.53710282343025684</v>
      </c>
    </row>
    <row r="31" spans="1:16" x14ac:dyDescent="0.25">
      <c r="A31" s="2">
        <v>45454</v>
      </c>
      <c r="B31">
        <v>36.880000000000003</v>
      </c>
      <c r="C31">
        <v>38.58</v>
      </c>
      <c r="D31">
        <v>36.54</v>
      </c>
      <c r="E31">
        <v>36.54</v>
      </c>
      <c r="G31">
        <f t="shared" si="0"/>
        <v>1.2800000000000011</v>
      </c>
      <c r="H31">
        <f t="shared" si="1"/>
        <v>-1.8000000000000043</v>
      </c>
      <c r="I31" s="3">
        <f t="shared" si="2"/>
        <v>0.11695107928017313</v>
      </c>
      <c r="J31" s="3">
        <f t="shared" si="3"/>
        <v>0.58816532888551498</v>
      </c>
      <c r="K31" s="26">
        <f t="shared" si="4"/>
        <v>0.37333333333333241</v>
      </c>
      <c r="L31" s="26">
        <f t="shared" si="5"/>
        <v>1.4279166666666652</v>
      </c>
      <c r="M31" s="26">
        <f t="shared" si="6"/>
        <v>1.7525453013063625</v>
      </c>
      <c r="N31" s="26">
        <f t="shared" si="7"/>
        <v>-0.27476190476190521</v>
      </c>
      <c r="O31" s="26">
        <f t="shared" si="8"/>
        <v>-0.60699404761904763</v>
      </c>
      <c r="P31" s="26">
        <f t="shared" si="9"/>
        <v>-0.53709439528023606</v>
      </c>
    </row>
    <row r="32" spans="1:16" x14ac:dyDescent="0.25">
      <c r="A32" s="2">
        <v>45453</v>
      </c>
      <c r="B32">
        <v>36.659999999999997</v>
      </c>
      <c r="C32">
        <v>38.46</v>
      </c>
      <c r="D32">
        <v>36.28</v>
      </c>
      <c r="E32">
        <v>36.28</v>
      </c>
      <c r="G32">
        <f t="shared" si="0"/>
        <v>0.73999999999999488</v>
      </c>
      <c r="H32">
        <f t="shared" si="1"/>
        <v>-1.0399999999999991</v>
      </c>
      <c r="I32" s="3">
        <f t="shared" si="2"/>
        <v>-1.1209160690832654</v>
      </c>
      <c r="J32" s="3">
        <f t="shared" si="3"/>
        <v>1.0106054570829517</v>
      </c>
      <c r="K32" s="26">
        <f t="shared" si="4"/>
        <v>0.39095238095238039</v>
      </c>
      <c r="L32" s="26">
        <f t="shared" si="5"/>
        <v>1.4838095238095219</v>
      </c>
      <c r="M32" s="26">
        <f t="shared" si="6"/>
        <v>1.7736325326590796</v>
      </c>
      <c r="N32" s="26">
        <f t="shared" si="7"/>
        <v>-0.29928571428571482</v>
      </c>
      <c r="O32" s="26">
        <f t="shared" si="8"/>
        <v>-0.64047619047619064</v>
      </c>
      <c r="P32" s="26">
        <f t="shared" si="9"/>
        <v>-0.55055836493889609</v>
      </c>
    </row>
    <row r="33" spans="1:16" x14ac:dyDescent="0.25">
      <c r="A33" s="2">
        <v>45450</v>
      </c>
      <c r="B33">
        <v>36.44</v>
      </c>
      <c r="C33">
        <v>37.479999999999997</v>
      </c>
      <c r="D33">
        <v>36.22</v>
      </c>
      <c r="E33">
        <v>36.22</v>
      </c>
      <c r="G33">
        <f t="shared" si="0"/>
        <v>0.81000000000000227</v>
      </c>
      <c r="H33">
        <f t="shared" si="1"/>
        <v>-1.0600000000000023</v>
      </c>
      <c r="I33" s="3">
        <f t="shared" si="2"/>
        <v>-0.95397746787918092</v>
      </c>
      <c r="J33" s="3">
        <f t="shared" si="3"/>
        <v>0.99848306707375944</v>
      </c>
      <c r="K33" s="26">
        <f t="shared" si="4"/>
        <v>0.42523809523809408</v>
      </c>
      <c r="L33" s="26">
        <f t="shared" si="5"/>
        <v>1.5104166666666654</v>
      </c>
      <c r="M33" s="26">
        <f t="shared" si="6"/>
        <v>1.7829877791824689</v>
      </c>
      <c r="N33" s="26">
        <f t="shared" si="7"/>
        <v>-0.31642857142857184</v>
      </c>
      <c r="O33" s="26">
        <f t="shared" si="8"/>
        <v>-0.64562500000000045</v>
      </c>
      <c r="P33" s="26">
        <f t="shared" si="9"/>
        <v>-0.54712389380531012</v>
      </c>
    </row>
    <row r="34" spans="1:16" x14ac:dyDescent="0.25">
      <c r="A34" s="2">
        <v>45449</v>
      </c>
      <c r="B34">
        <v>38.15</v>
      </c>
      <c r="C34">
        <v>39.21</v>
      </c>
      <c r="D34">
        <v>37.869999999999997</v>
      </c>
      <c r="E34">
        <v>37.869999999999997</v>
      </c>
      <c r="G34">
        <f t="shared" si="0"/>
        <v>0.75</v>
      </c>
      <c r="H34">
        <f t="shared" si="1"/>
        <v>-1.2800000000000011</v>
      </c>
      <c r="I34" s="3">
        <f t="shared" si="2"/>
        <v>-1.0866789530508902</v>
      </c>
      <c r="J34" s="3">
        <f t="shared" si="3"/>
        <v>0.87622050530332374</v>
      </c>
      <c r="K34" s="26">
        <f t="shared" si="4"/>
        <v>0.31571428571428439</v>
      </c>
      <c r="L34" s="26">
        <f t="shared" si="5"/>
        <v>1.4677976190476167</v>
      </c>
      <c r="M34" s="26">
        <f t="shared" si="6"/>
        <v>1.7233206911083006</v>
      </c>
      <c r="N34" s="26">
        <f t="shared" si="7"/>
        <v>-0.31071428571428628</v>
      </c>
      <c r="O34" s="26">
        <f t="shared" si="8"/>
        <v>-0.64014880952380937</v>
      </c>
      <c r="P34" s="26">
        <f t="shared" si="9"/>
        <v>-0.53463126843657804</v>
      </c>
    </row>
    <row r="35" spans="1:16" x14ac:dyDescent="0.25">
      <c r="A35" s="2">
        <v>45448</v>
      </c>
      <c r="B35">
        <v>38.46</v>
      </c>
      <c r="C35">
        <v>39.74</v>
      </c>
      <c r="D35">
        <v>38.35</v>
      </c>
      <c r="E35">
        <v>38.35</v>
      </c>
      <c r="G35">
        <f t="shared" si="0"/>
        <v>0.94999999999999574</v>
      </c>
      <c r="H35">
        <f t="shared" si="1"/>
        <v>-0.11999999999999744</v>
      </c>
      <c r="I35" s="3">
        <f t="shared" si="2"/>
        <v>-0.62867255724227278</v>
      </c>
      <c r="J35" s="3">
        <f t="shared" si="3"/>
        <v>1.5240819806188708</v>
      </c>
      <c r="K35" s="26">
        <f t="shared" si="4"/>
        <v>0.24095238095238014</v>
      </c>
      <c r="L35" s="26">
        <f t="shared" si="5"/>
        <v>1.4007142857142842</v>
      </c>
      <c r="M35" s="26">
        <f t="shared" si="6"/>
        <v>1.6642604298356505</v>
      </c>
      <c r="N35" s="26">
        <f t="shared" si="7"/>
        <v>-0.30285714285714327</v>
      </c>
      <c r="O35" s="26">
        <f t="shared" si="8"/>
        <v>-0.62178571428571427</v>
      </c>
      <c r="P35" s="26">
        <f t="shared" si="9"/>
        <v>-0.51563211125157993</v>
      </c>
    </row>
    <row r="36" spans="1:16" x14ac:dyDescent="0.25">
      <c r="A36" s="2">
        <v>45447</v>
      </c>
      <c r="B36">
        <v>41.02</v>
      </c>
      <c r="C36">
        <v>41.14</v>
      </c>
      <c r="D36">
        <v>40.130000000000003</v>
      </c>
      <c r="E36">
        <v>40.130000000000003</v>
      </c>
      <c r="G36">
        <f t="shared" si="0"/>
        <v>0.94999999999999574</v>
      </c>
      <c r="H36">
        <f t="shared" si="1"/>
        <v>0.33999999999999631</v>
      </c>
      <c r="I36" s="3">
        <f t="shared" si="2"/>
        <v>-0.62745032469842632</v>
      </c>
      <c r="J36" s="3">
        <f t="shared" si="3"/>
        <v>1.7893427103834321</v>
      </c>
      <c r="K36" s="26">
        <f t="shared" si="4"/>
        <v>0.2590476190476183</v>
      </c>
      <c r="L36" s="26">
        <f t="shared" si="5"/>
        <v>1.3655952380952365</v>
      </c>
      <c r="M36" s="26">
        <f t="shared" si="6"/>
        <v>1.6221281078803191</v>
      </c>
      <c r="N36" s="26">
        <f t="shared" si="7"/>
        <v>-0.3219047619047618</v>
      </c>
      <c r="O36" s="26">
        <f t="shared" si="8"/>
        <v>-0.6235119047619041</v>
      </c>
      <c r="P36" s="26">
        <f t="shared" si="9"/>
        <v>-0.5130109565950266</v>
      </c>
    </row>
    <row r="37" spans="1:16" x14ac:dyDescent="0.25">
      <c r="A37" s="2">
        <v>45446</v>
      </c>
      <c r="B37">
        <v>41.19</v>
      </c>
      <c r="C37">
        <v>40.85</v>
      </c>
      <c r="D37">
        <v>40.07</v>
      </c>
      <c r="E37">
        <v>40.07</v>
      </c>
      <c r="G37">
        <f t="shared" si="0"/>
        <v>0.94999999999999574</v>
      </c>
      <c r="H37">
        <f t="shared" si="1"/>
        <v>0.55999999999999517</v>
      </c>
      <c r="I37" s="3">
        <f t="shared" si="2"/>
        <v>-0.62592862558523843</v>
      </c>
      <c r="J37" s="3">
        <f t="shared" si="3"/>
        <v>1.9263798612614225</v>
      </c>
      <c r="K37" s="26">
        <f t="shared" si="4"/>
        <v>0.37285714285714278</v>
      </c>
      <c r="L37" s="26">
        <f t="shared" si="5"/>
        <v>1.3416666666666659</v>
      </c>
      <c r="M37" s="26">
        <f t="shared" si="6"/>
        <v>1.5977665402444159</v>
      </c>
      <c r="N37" s="26">
        <f t="shared" si="7"/>
        <v>-0.30499999999999983</v>
      </c>
      <c r="O37" s="26">
        <f t="shared" si="8"/>
        <v>-0.61761904761904696</v>
      </c>
      <c r="P37" s="26">
        <f t="shared" si="9"/>
        <v>-0.51009692372524162</v>
      </c>
    </row>
    <row r="38" spans="1:16" x14ac:dyDescent="0.25">
      <c r="A38" s="2">
        <v>45443</v>
      </c>
      <c r="B38">
        <v>40.08</v>
      </c>
      <c r="C38">
        <v>39.520000000000003</v>
      </c>
      <c r="D38">
        <v>38.85</v>
      </c>
      <c r="E38">
        <v>38.85</v>
      </c>
      <c r="G38">
        <f t="shared" si="0"/>
        <v>0.85000000000000142</v>
      </c>
      <c r="H38">
        <f t="shared" si="1"/>
        <v>0.22000000000000597</v>
      </c>
      <c r="I38" s="3">
        <f t="shared" si="2"/>
        <v>-0.84895965569938658</v>
      </c>
      <c r="J38" s="3">
        <f t="shared" si="3"/>
        <v>1.7479875162194378</v>
      </c>
      <c r="K38" s="26">
        <f t="shared" si="4"/>
        <v>0.64999999999999991</v>
      </c>
      <c r="L38" s="26">
        <f t="shared" si="5"/>
        <v>1.4288690476190467</v>
      </c>
      <c r="M38" s="26">
        <f t="shared" si="6"/>
        <v>1.6757227138643054</v>
      </c>
      <c r="N38" s="26">
        <f t="shared" si="7"/>
        <v>-0.36404761904761818</v>
      </c>
      <c r="O38" s="26">
        <f t="shared" si="8"/>
        <v>-0.62961309523809394</v>
      </c>
      <c r="P38" s="26">
        <f t="shared" si="9"/>
        <v>-0.52650863885377019</v>
      </c>
    </row>
    <row r="39" spans="1:16" x14ac:dyDescent="0.25">
      <c r="A39" s="2">
        <v>45442</v>
      </c>
      <c r="B39">
        <v>39.590000000000003</v>
      </c>
      <c r="C39">
        <v>39.369999999999997</v>
      </c>
      <c r="D39">
        <v>38.630000000000003</v>
      </c>
      <c r="E39">
        <v>38.630000000000003</v>
      </c>
      <c r="G39">
        <f t="shared" si="0"/>
        <v>0.60500000000000398</v>
      </c>
      <c r="H39">
        <f t="shared" si="1"/>
        <v>-0.55000000000000426</v>
      </c>
      <c r="I39" s="3">
        <f t="shared" si="2"/>
        <v>-1.4001752402002181</v>
      </c>
      <c r="J39" s="3">
        <f t="shared" si="3"/>
        <v>1.3199807843246827</v>
      </c>
      <c r="K39" s="26">
        <f t="shared" si="4"/>
        <v>0.91904761904761867</v>
      </c>
      <c r="L39" s="26">
        <f t="shared" si="5"/>
        <v>1.5228571428571416</v>
      </c>
      <c r="M39" s="26">
        <f t="shared" si="6"/>
        <v>1.7641087231352699</v>
      </c>
      <c r="N39" s="26">
        <f t="shared" si="7"/>
        <v>-0.3571428571428561</v>
      </c>
      <c r="O39" s="26">
        <f t="shared" si="8"/>
        <v>-0.59642857142856975</v>
      </c>
      <c r="P39" s="26">
        <f t="shared" si="9"/>
        <v>-0.50123261694058008</v>
      </c>
    </row>
    <row r="40" spans="1:16" x14ac:dyDescent="0.25">
      <c r="A40" s="2">
        <v>45441</v>
      </c>
      <c r="B40">
        <v>41.8</v>
      </c>
      <c r="C40">
        <v>42.35</v>
      </c>
      <c r="D40">
        <v>41.47</v>
      </c>
      <c r="E40">
        <v>41.47</v>
      </c>
      <c r="G40">
        <f t="shared" si="0"/>
        <v>0.65499999999999403</v>
      </c>
      <c r="H40">
        <f t="shared" si="1"/>
        <v>-0.42999999999999972</v>
      </c>
      <c r="I40" s="3">
        <f t="shared" si="2"/>
        <v>-1.2858703369733449</v>
      </c>
      <c r="J40" s="3">
        <f t="shared" si="3"/>
        <v>1.3914197932100545</v>
      </c>
      <c r="K40" s="26">
        <f t="shared" si="4"/>
        <v>1.2823809523809526</v>
      </c>
      <c r="L40" s="26">
        <f t="shared" si="5"/>
        <v>1.6526190476190474</v>
      </c>
      <c r="M40" s="26">
        <f t="shared" si="6"/>
        <v>1.8721449641803618</v>
      </c>
      <c r="N40" s="26">
        <f t="shared" si="7"/>
        <v>-0.35261904761904672</v>
      </c>
      <c r="O40" s="26">
        <f t="shared" si="8"/>
        <v>-0.54291666666666494</v>
      </c>
      <c r="P40" s="26">
        <f t="shared" si="9"/>
        <v>-0.44918246944795448</v>
      </c>
    </row>
    <row r="41" spans="1:16" x14ac:dyDescent="0.25">
      <c r="A41" s="2">
        <v>45440</v>
      </c>
      <c r="B41">
        <v>42.65</v>
      </c>
      <c r="C41">
        <v>43.08</v>
      </c>
      <c r="D41">
        <v>42.21</v>
      </c>
      <c r="E41">
        <v>42.21</v>
      </c>
      <c r="G41">
        <f t="shared" si="0"/>
        <v>0.58500000000000796</v>
      </c>
      <c r="H41">
        <f t="shared" si="1"/>
        <v>-0.22999999999999687</v>
      </c>
      <c r="I41" s="3">
        <f t="shared" si="2"/>
        <v>-1.4458292588995454</v>
      </c>
      <c r="J41" s="3">
        <f t="shared" si="3"/>
        <v>1.5096045614954798</v>
      </c>
      <c r="K41" s="26">
        <f t="shared" si="4"/>
        <v>1.4728571428571431</v>
      </c>
      <c r="L41" s="26">
        <f t="shared" si="5"/>
        <v>1.7358928571428567</v>
      </c>
      <c r="M41" s="26">
        <f t="shared" si="6"/>
        <v>1.9272187104930458</v>
      </c>
      <c r="N41" s="26">
        <f t="shared" si="7"/>
        <v>-0.41023809523809462</v>
      </c>
      <c r="O41" s="26">
        <f t="shared" si="8"/>
        <v>-0.55401785714285579</v>
      </c>
      <c r="P41" s="26">
        <f t="shared" si="9"/>
        <v>-0.44770543615676206</v>
      </c>
    </row>
    <row r="42" spans="1:16" x14ac:dyDescent="0.25">
      <c r="A42" s="2">
        <v>45439</v>
      </c>
      <c r="B42">
        <v>43.77</v>
      </c>
      <c r="C42">
        <v>44</v>
      </c>
      <c r="D42">
        <v>43.3</v>
      </c>
      <c r="E42">
        <v>43.3</v>
      </c>
      <c r="G42">
        <f t="shared" si="0"/>
        <v>0.47500000000000142</v>
      </c>
      <c r="H42">
        <f t="shared" si="1"/>
        <v>-0.13000000000000256</v>
      </c>
      <c r="I42" s="3">
        <f t="shared" si="2"/>
        <v>-1.7049659148598904</v>
      </c>
      <c r="J42" s="3">
        <f t="shared" si="3"/>
        <v>1.5753127578250388</v>
      </c>
      <c r="K42" s="26">
        <f t="shared" si="4"/>
        <v>1.5933333333333335</v>
      </c>
      <c r="L42" s="26">
        <f t="shared" si="5"/>
        <v>1.765892857142856</v>
      </c>
      <c r="M42" s="26">
        <f t="shared" si="6"/>
        <v>1.9400632111251561</v>
      </c>
      <c r="N42" s="26">
        <f t="shared" si="7"/>
        <v>-0.40333333333333332</v>
      </c>
      <c r="O42" s="26">
        <f t="shared" si="8"/>
        <v>-0.53407738095238022</v>
      </c>
      <c r="P42" s="26">
        <f t="shared" si="9"/>
        <v>-0.41778550358196309</v>
      </c>
    </row>
    <row r="43" spans="1:16" x14ac:dyDescent="0.25">
      <c r="A43" s="2">
        <v>45436</v>
      </c>
      <c r="B43">
        <v>42.54</v>
      </c>
      <c r="C43">
        <v>42.67</v>
      </c>
      <c r="D43">
        <v>42.13</v>
      </c>
      <c r="E43">
        <v>42.13</v>
      </c>
      <c r="G43">
        <f t="shared" si="0"/>
        <v>0.46500000000000341</v>
      </c>
      <c r="H43">
        <f t="shared" si="1"/>
        <v>-0.42999999999999972</v>
      </c>
      <c r="I43" s="3">
        <f t="shared" si="2"/>
        <v>-1.7351160982240321</v>
      </c>
      <c r="J43" s="3">
        <f t="shared" si="3"/>
        <v>1.4109736101411832</v>
      </c>
      <c r="K43" s="26">
        <f t="shared" si="4"/>
        <v>1.54952380952381</v>
      </c>
      <c r="L43" s="26">
        <f t="shared" si="5"/>
        <v>1.7373809523809514</v>
      </c>
      <c r="M43" s="26">
        <f t="shared" si="6"/>
        <v>1.8990560471976385</v>
      </c>
      <c r="N43" s="26">
        <f t="shared" si="7"/>
        <v>-0.33904761904761926</v>
      </c>
      <c r="O43" s="26">
        <f t="shared" si="8"/>
        <v>-0.48077380952380899</v>
      </c>
      <c r="P43" s="26">
        <f t="shared" si="9"/>
        <v>-0.36289928360724755</v>
      </c>
    </row>
    <row r="44" spans="1:16" x14ac:dyDescent="0.25">
      <c r="A44" s="2">
        <v>45435</v>
      </c>
      <c r="B44">
        <v>42.75</v>
      </c>
      <c r="C44">
        <v>43.18</v>
      </c>
      <c r="D44">
        <v>42.5</v>
      </c>
      <c r="E44">
        <v>42.5</v>
      </c>
      <c r="G44">
        <f t="shared" si="0"/>
        <v>0.48999999999999488</v>
      </c>
      <c r="H44">
        <f t="shared" si="1"/>
        <v>-0.16000000000000369</v>
      </c>
      <c r="I44" s="3">
        <f t="shared" si="2"/>
        <v>-1.6883036827219766</v>
      </c>
      <c r="J44" s="3">
        <f t="shared" si="3"/>
        <v>1.5709772119223291</v>
      </c>
      <c r="K44" s="26">
        <f t="shared" si="4"/>
        <v>1.5600000000000007</v>
      </c>
      <c r="L44" s="26">
        <f t="shared" si="5"/>
        <v>1.6498214285714277</v>
      </c>
      <c r="M44" s="26">
        <f t="shared" si="6"/>
        <v>1.8233754740834367</v>
      </c>
      <c r="N44" s="26">
        <f t="shared" si="7"/>
        <v>-0.26333333333333409</v>
      </c>
      <c r="O44" s="26">
        <f t="shared" si="8"/>
        <v>-0.41556547619047612</v>
      </c>
      <c r="P44" s="26">
        <f t="shared" si="9"/>
        <v>-0.30156974294142436</v>
      </c>
    </row>
    <row r="45" spans="1:16" x14ac:dyDescent="0.25">
      <c r="A45" s="2">
        <v>45434</v>
      </c>
      <c r="B45">
        <v>43.19</v>
      </c>
      <c r="C45">
        <v>43.35</v>
      </c>
      <c r="D45">
        <v>42.78</v>
      </c>
      <c r="E45">
        <v>42.78</v>
      </c>
      <c r="G45">
        <f t="shared" si="0"/>
        <v>0.46499999999999631</v>
      </c>
      <c r="H45">
        <f t="shared" si="1"/>
        <v>-7.0000000000000284E-2</v>
      </c>
      <c r="I45" s="3">
        <f t="shared" si="2"/>
        <v>-1.754186638413276</v>
      </c>
      <c r="J45" s="3">
        <f t="shared" si="3"/>
        <v>1.6304429794216246</v>
      </c>
      <c r="K45" s="26">
        <f t="shared" si="4"/>
        <v>1.5780952380952387</v>
      </c>
      <c r="L45" s="26">
        <f t="shared" si="5"/>
        <v>1.586249999999999</v>
      </c>
      <c r="M45" s="26">
        <f t="shared" si="6"/>
        <v>1.7585840707964582</v>
      </c>
      <c r="N45" s="26">
        <f t="shared" si="7"/>
        <v>-0.26952380952380972</v>
      </c>
      <c r="O45" s="26">
        <f t="shared" si="8"/>
        <v>-0.39836309523809477</v>
      </c>
      <c r="P45" s="26">
        <f t="shared" si="9"/>
        <v>-0.28014327855035792</v>
      </c>
    </row>
    <row r="46" spans="1:16" x14ac:dyDescent="0.25">
      <c r="A46" s="2">
        <v>45433</v>
      </c>
      <c r="B46">
        <v>43.58</v>
      </c>
      <c r="C46">
        <v>43.65</v>
      </c>
      <c r="D46">
        <v>43.15</v>
      </c>
      <c r="E46">
        <v>43.15</v>
      </c>
      <c r="G46">
        <f t="shared" si="0"/>
        <v>0.57500000000000284</v>
      </c>
      <c r="H46">
        <f t="shared" si="1"/>
        <v>-0.89000000000000057</v>
      </c>
      <c r="I46" s="3">
        <f t="shared" si="2"/>
        <v>-1.5107663780995417</v>
      </c>
      <c r="J46" s="3">
        <f t="shared" si="3"/>
        <v>1.1631864668136609</v>
      </c>
      <c r="K46" s="26">
        <f t="shared" si="4"/>
        <v>1.6123809523809525</v>
      </c>
      <c r="L46" s="26">
        <f t="shared" si="5"/>
        <v>1.5674404761904743</v>
      </c>
      <c r="M46" s="26">
        <f t="shared" si="6"/>
        <v>1.7340412979351016</v>
      </c>
      <c r="N46" s="26">
        <f t="shared" si="7"/>
        <v>-0.25714285714285734</v>
      </c>
      <c r="O46" s="26">
        <f t="shared" si="8"/>
        <v>-0.37502976190476089</v>
      </c>
      <c r="P46" s="26">
        <f t="shared" si="9"/>
        <v>-0.24761904761904674</v>
      </c>
    </row>
    <row r="47" spans="1:16" x14ac:dyDescent="0.25">
      <c r="A47" s="2">
        <v>45432</v>
      </c>
      <c r="B47">
        <v>43.46</v>
      </c>
      <c r="C47">
        <v>44.35</v>
      </c>
      <c r="D47">
        <v>43.33</v>
      </c>
      <c r="E47">
        <v>43.33</v>
      </c>
      <c r="G47">
        <f t="shared" si="0"/>
        <v>0.78000000000000114</v>
      </c>
      <c r="H47">
        <f t="shared" si="1"/>
        <v>-2.1400000000000006</v>
      </c>
      <c r="I47" s="3">
        <f t="shared" si="2"/>
        <v>-1.0369568599823034</v>
      </c>
      <c r="J47" s="3">
        <f t="shared" si="3"/>
        <v>0.43948875408970456</v>
      </c>
      <c r="K47" s="26">
        <f t="shared" si="4"/>
        <v>1.6990476190476189</v>
      </c>
      <c r="L47" s="26">
        <f t="shared" si="5"/>
        <v>1.566964285714284</v>
      </c>
      <c r="M47" s="26">
        <f t="shared" si="6"/>
        <v>1.7383691529709215</v>
      </c>
      <c r="N47" s="26">
        <f t="shared" si="7"/>
        <v>-0.28476190476190455</v>
      </c>
      <c r="O47" s="26">
        <f t="shared" si="8"/>
        <v>-0.37675595238095161</v>
      </c>
      <c r="P47" s="26">
        <f t="shared" si="9"/>
        <v>-0.24662241887905534</v>
      </c>
    </row>
    <row r="48" spans="1:16" x14ac:dyDescent="0.25">
      <c r="A48" s="2">
        <v>45429</v>
      </c>
      <c r="B48">
        <v>41.72</v>
      </c>
      <c r="C48">
        <v>43.86</v>
      </c>
      <c r="D48">
        <v>42.01</v>
      </c>
      <c r="E48">
        <v>42.01</v>
      </c>
      <c r="G48">
        <f t="shared" si="0"/>
        <v>0.83500000000000796</v>
      </c>
      <c r="H48">
        <f t="shared" si="1"/>
        <v>-1.7700000000000031</v>
      </c>
      <c r="I48" s="3">
        <f t="shared" si="2"/>
        <v>-0.90727156255786645</v>
      </c>
      <c r="J48" s="3">
        <f t="shared" si="3"/>
        <v>0.64986682818523056</v>
      </c>
      <c r="K48" s="26">
        <f t="shared" si="4"/>
        <v>1.8214285714285712</v>
      </c>
      <c r="L48" s="26">
        <f t="shared" si="5"/>
        <v>1.6131547619047599</v>
      </c>
      <c r="M48" s="26">
        <f t="shared" si="6"/>
        <v>1.7942435735356064</v>
      </c>
      <c r="N48" s="26">
        <f t="shared" si="7"/>
        <v>-0.35833333333333295</v>
      </c>
      <c r="O48" s="26">
        <f t="shared" si="8"/>
        <v>-0.39502976190476136</v>
      </c>
      <c r="P48" s="26">
        <f t="shared" si="9"/>
        <v>-0.26504003371259954</v>
      </c>
    </row>
    <row r="49" spans="1:16" x14ac:dyDescent="0.25">
      <c r="A49" s="2">
        <v>45428</v>
      </c>
      <c r="B49">
        <v>43.75</v>
      </c>
      <c r="C49">
        <v>45.52</v>
      </c>
      <c r="D49">
        <v>43.8</v>
      </c>
      <c r="E49">
        <v>43.8</v>
      </c>
      <c r="G49">
        <f t="shared" si="0"/>
        <v>1.1750000000000043</v>
      </c>
      <c r="H49">
        <f t="shared" si="1"/>
        <v>-2.1700000000000017</v>
      </c>
      <c r="I49" s="3">
        <f t="shared" si="2"/>
        <v>-0.11595410438605316</v>
      </c>
      <c r="J49" s="3">
        <f t="shared" si="3"/>
        <v>0.41552079692709432</v>
      </c>
      <c r="K49" s="26">
        <f t="shared" si="4"/>
        <v>1.8519047619047619</v>
      </c>
      <c r="L49" s="26">
        <f t="shared" si="5"/>
        <v>1.5979166666666644</v>
      </c>
      <c r="M49" s="26">
        <f t="shared" si="6"/>
        <v>1.7941508638853747</v>
      </c>
      <c r="N49" s="26">
        <f t="shared" si="7"/>
        <v>-0.39214285714285668</v>
      </c>
      <c r="O49" s="26">
        <f t="shared" si="8"/>
        <v>-0.38645833333333224</v>
      </c>
      <c r="P49" s="26">
        <f t="shared" si="9"/>
        <v>-0.25747998314369935</v>
      </c>
    </row>
    <row r="50" spans="1:16" x14ac:dyDescent="0.25">
      <c r="A50" s="2">
        <v>45427</v>
      </c>
      <c r="B50">
        <v>45.57</v>
      </c>
      <c r="C50">
        <v>47.74</v>
      </c>
      <c r="D50">
        <v>45.48</v>
      </c>
      <c r="E50">
        <v>45.48</v>
      </c>
      <c r="G50">
        <f t="shared" si="0"/>
        <v>0.99499999999999744</v>
      </c>
      <c r="H50">
        <f t="shared" si="1"/>
        <v>-1.5900000000000034</v>
      </c>
      <c r="I50" s="3">
        <f t="shared" si="2"/>
        <v>-0.51838744350187727</v>
      </c>
      <c r="J50" s="3">
        <f t="shared" si="3"/>
        <v>0.73919682979760826</v>
      </c>
      <c r="K50" s="26">
        <f t="shared" si="4"/>
        <v>1.8123809523809533</v>
      </c>
      <c r="L50" s="26">
        <f t="shared" si="5"/>
        <v>1.543035714285713</v>
      </c>
      <c r="M50" s="26">
        <f t="shared" si="6"/>
        <v>1.7629203539822997</v>
      </c>
      <c r="N50" s="26">
        <f t="shared" si="7"/>
        <v>-0.42190476190476156</v>
      </c>
      <c r="O50" s="26">
        <f t="shared" si="8"/>
        <v>-0.39389880952380896</v>
      </c>
      <c r="P50" s="26">
        <f t="shared" si="9"/>
        <v>-0.26540876527602175</v>
      </c>
    </row>
    <row r="51" spans="1:16" x14ac:dyDescent="0.25">
      <c r="A51" s="2">
        <v>45426</v>
      </c>
      <c r="B51">
        <v>45.69</v>
      </c>
      <c r="C51">
        <v>47.28</v>
      </c>
      <c r="D51">
        <v>45.49</v>
      </c>
      <c r="E51">
        <v>45.49</v>
      </c>
      <c r="G51">
        <f t="shared" si="0"/>
        <v>1.1400000000000006</v>
      </c>
      <c r="H51">
        <f t="shared" si="1"/>
        <v>-2.0399999999999991</v>
      </c>
      <c r="I51" s="3">
        <f t="shared" si="2"/>
        <v>-0.18127632970573829</v>
      </c>
      <c r="J51" s="3">
        <f t="shared" si="3"/>
        <v>0.47747321640732349</v>
      </c>
      <c r="K51" s="26">
        <f t="shared" si="4"/>
        <v>1.8009523809523817</v>
      </c>
      <c r="L51" s="26">
        <f t="shared" si="5"/>
        <v>1.4719642857142849</v>
      </c>
      <c r="M51" s="26">
        <f t="shared" si="6"/>
        <v>1.7162579013906436</v>
      </c>
      <c r="N51" s="26">
        <f t="shared" si="7"/>
        <v>-0.45476190476190426</v>
      </c>
      <c r="O51" s="26">
        <f t="shared" si="8"/>
        <v>-0.39520833333333227</v>
      </c>
      <c r="P51" s="26">
        <f t="shared" si="9"/>
        <v>-0.27034976822587353</v>
      </c>
    </row>
    <row r="52" spans="1:16" x14ac:dyDescent="0.25">
      <c r="A52" s="2">
        <v>45425</v>
      </c>
      <c r="B52">
        <v>45.92</v>
      </c>
      <c r="C52">
        <v>47.96</v>
      </c>
      <c r="D52">
        <v>45.8</v>
      </c>
      <c r="E52">
        <v>45.8</v>
      </c>
      <c r="G52">
        <f t="shared" si="0"/>
        <v>0.93500000000000227</v>
      </c>
      <c r="H52">
        <f t="shared" si="1"/>
        <v>-1.5300000000000011</v>
      </c>
      <c r="I52" s="3">
        <f t="shared" si="2"/>
        <v>-0.64272521932439719</v>
      </c>
      <c r="J52" s="3">
        <f t="shared" si="3"/>
        <v>0.76769496500237744</v>
      </c>
      <c r="K52" s="26">
        <f t="shared" si="4"/>
        <v>1.8600000000000005</v>
      </c>
      <c r="L52" s="26">
        <f t="shared" si="5"/>
        <v>1.4695833333333328</v>
      </c>
      <c r="M52" s="26">
        <f t="shared" si="6"/>
        <v>1.733371260008427</v>
      </c>
      <c r="N52" s="26">
        <f t="shared" si="7"/>
        <v>-0.49476190476190451</v>
      </c>
      <c r="O52" s="26">
        <f t="shared" si="8"/>
        <v>-0.4059821428571424</v>
      </c>
      <c r="P52" s="26">
        <f t="shared" si="9"/>
        <v>-0.27737673830594134</v>
      </c>
    </row>
    <row r="53" spans="1:16" x14ac:dyDescent="0.25">
      <c r="A53" s="2">
        <v>45422</v>
      </c>
      <c r="B53">
        <v>45.03</v>
      </c>
      <c r="C53">
        <v>46.56</v>
      </c>
      <c r="D53">
        <v>44.86</v>
      </c>
      <c r="E53">
        <v>44.86</v>
      </c>
      <c r="G53">
        <f t="shared" si="0"/>
        <v>0.83999999999999631</v>
      </c>
      <c r="H53">
        <f t="shared" si="1"/>
        <v>-1.1000000000000014</v>
      </c>
      <c r="I53" s="3">
        <f t="shared" si="2"/>
        <v>-0.85240210745556644</v>
      </c>
      <c r="J53" s="3">
        <f t="shared" si="3"/>
        <v>1.0104205643995201</v>
      </c>
      <c r="K53" s="26">
        <f t="shared" si="4"/>
        <v>1.9685714285714284</v>
      </c>
      <c r="L53" s="26">
        <f t="shared" si="5"/>
        <v>1.4957142857142847</v>
      </c>
      <c r="M53" s="26">
        <f t="shared" si="6"/>
        <v>1.7484323640960797</v>
      </c>
      <c r="N53" s="26">
        <f t="shared" si="7"/>
        <v>-0.51285714285714246</v>
      </c>
      <c r="O53" s="26">
        <f t="shared" si="8"/>
        <v>-0.39940476190476115</v>
      </c>
      <c r="P53" s="26">
        <f t="shared" si="9"/>
        <v>-0.26857353560893316</v>
      </c>
    </row>
    <row r="54" spans="1:16" x14ac:dyDescent="0.25">
      <c r="A54" s="2">
        <v>45421</v>
      </c>
      <c r="B54">
        <v>46.28</v>
      </c>
      <c r="C54">
        <v>47.38</v>
      </c>
      <c r="D54">
        <v>45.99</v>
      </c>
      <c r="E54">
        <v>45.99</v>
      </c>
      <c r="G54">
        <f t="shared" si="0"/>
        <v>1.0900000000000034</v>
      </c>
      <c r="H54">
        <f t="shared" si="1"/>
        <v>-2.3000000000000043</v>
      </c>
      <c r="I54" s="3">
        <f t="shared" si="2"/>
        <v>-0.28604097848239923</v>
      </c>
      <c r="J54" s="3">
        <f t="shared" si="3"/>
        <v>0.32648717401216998</v>
      </c>
      <c r="K54" s="26">
        <f t="shared" si="4"/>
        <v>1.9900000000000004</v>
      </c>
      <c r="L54" s="26">
        <f t="shared" si="5"/>
        <v>1.4814285714285707</v>
      </c>
      <c r="M54" s="26">
        <f t="shared" si="6"/>
        <v>1.7265992414664975</v>
      </c>
      <c r="N54" s="26">
        <f t="shared" si="7"/>
        <v>-0.49357142857142811</v>
      </c>
      <c r="O54" s="26">
        <f t="shared" si="8"/>
        <v>-0.37732142857142792</v>
      </c>
      <c r="P54" s="26">
        <f t="shared" si="9"/>
        <v>-0.24503160556257852</v>
      </c>
    </row>
    <row r="55" spans="1:16" x14ac:dyDescent="0.25">
      <c r="A55" s="2">
        <v>45420</v>
      </c>
      <c r="B55">
        <v>46.16</v>
      </c>
      <c r="C55">
        <v>48.46</v>
      </c>
      <c r="D55">
        <v>46.22</v>
      </c>
      <c r="E55">
        <v>46.22</v>
      </c>
      <c r="G55">
        <f t="shared" si="0"/>
        <v>1.1750000000000043</v>
      </c>
      <c r="H55">
        <f t="shared" si="1"/>
        <v>-2.5499999999999972</v>
      </c>
      <c r="I55" s="3">
        <f t="shared" si="2"/>
        <v>-9.0070081976060951E-2</v>
      </c>
      <c r="J55" s="3">
        <f t="shared" si="3"/>
        <v>0.18129845566271557</v>
      </c>
      <c r="K55" s="26">
        <f t="shared" si="4"/>
        <v>2.0795238095238107</v>
      </c>
      <c r="L55" s="26">
        <f t="shared" si="5"/>
        <v>1.5586904761904765</v>
      </c>
      <c r="M55" s="26">
        <f t="shared" si="6"/>
        <v>1.8020311841550776</v>
      </c>
      <c r="N55" s="26">
        <f t="shared" si="7"/>
        <v>-0.49547619047618952</v>
      </c>
      <c r="O55" s="26">
        <f t="shared" si="8"/>
        <v>-0.37238095238095115</v>
      </c>
      <c r="P55" s="26">
        <f t="shared" si="9"/>
        <v>-0.23776654024441557</v>
      </c>
    </row>
    <row r="56" spans="1:16" x14ac:dyDescent="0.25">
      <c r="A56" s="2">
        <v>45419</v>
      </c>
      <c r="B56">
        <v>46.95</v>
      </c>
      <c r="C56">
        <v>49.5</v>
      </c>
      <c r="D56">
        <v>47.05</v>
      </c>
      <c r="E56">
        <v>47.05</v>
      </c>
      <c r="G56">
        <f t="shared" si="0"/>
        <v>1.0450000000000017</v>
      </c>
      <c r="H56">
        <f t="shared" si="1"/>
        <v>-1.3299999999999983</v>
      </c>
      <c r="I56" s="3">
        <f t="shared" si="2"/>
        <v>-0.37744715195731338</v>
      </c>
      <c r="J56" s="3">
        <f t="shared" si="3"/>
        <v>0.87317376656023338</v>
      </c>
      <c r="K56" s="26">
        <f t="shared" si="4"/>
        <v>2.092857142857143</v>
      </c>
      <c r="L56" s="26">
        <f t="shared" si="5"/>
        <v>1.5747619047619046</v>
      </c>
      <c r="M56" s="26">
        <f t="shared" si="6"/>
        <v>1.8312726506531809</v>
      </c>
      <c r="N56" s="26">
        <f t="shared" si="7"/>
        <v>-0.48071428571428498</v>
      </c>
      <c r="O56" s="26">
        <f t="shared" si="8"/>
        <v>-0.35696428571428473</v>
      </c>
      <c r="P56" s="26">
        <f t="shared" si="9"/>
        <v>-0.22498735777496748</v>
      </c>
    </row>
    <row r="57" spans="1:16" x14ac:dyDescent="0.25">
      <c r="A57" s="2">
        <v>45418</v>
      </c>
      <c r="B57">
        <v>47.34</v>
      </c>
      <c r="C57">
        <v>48.67</v>
      </c>
      <c r="D57">
        <v>46.96</v>
      </c>
      <c r="E57">
        <v>46.96</v>
      </c>
      <c r="G57">
        <f t="shared" si="0"/>
        <v>1.0399999999999991</v>
      </c>
      <c r="H57">
        <f t="shared" si="1"/>
        <v>-0.55999999999999517</v>
      </c>
      <c r="I57" s="3">
        <f t="shared" si="2"/>
        <v>-0.38393277601324782</v>
      </c>
      <c r="J57" s="3">
        <f t="shared" si="3"/>
        <v>1.312183796971603</v>
      </c>
      <c r="K57" s="26">
        <f t="shared" si="4"/>
        <v>1.9719047619047616</v>
      </c>
      <c r="L57" s="26">
        <f t="shared" si="5"/>
        <v>1.4985119047619049</v>
      </c>
      <c r="M57" s="26">
        <f t="shared" si="6"/>
        <v>1.7626380109565949</v>
      </c>
      <c r="N57" s="26">
        <f t="shared" si="7"/>
        <v>-0.45214285714285674</v>
      </c>
      <c r="O57" s="26">
        <f t="shared" si="8"/>
        <v>-0.32812499999999933</v>
      </c>
      <c r="P57" s="26">
        <f t="shared" si="9"/>
        <v>-0.19884955752212297</v>
      </c>
    </row>
    <row r="58" spans="1:16" x14ac:dyDescent="0.25">
      <c r="A58" s="2">
        <v>44166</v>
      </c>
      <c r="B58">
        <v>51.49</v>
      </c>
      <c r="C58">
        <v>52.05</v>
      </c>
      <c r="D58">
        <v>50.73</v>
      </c>
      <c r="E58">
        <v>50.8</v>
      </c>
      <c r="G58">
        <f t="shared" si="0"/>
        <v>0.71500000000000341</v>
      </c>
      <c r="H58">
        <f t="shared" si="1"/>
        <v>1.4499999999999957</v>
      </c>
      <c r="I58" s="3">
        <f t="shared" si="2"/>
        <v>-1.1077454698792015</v>
      </c>
      <c r="J58" s="3">
        <f t="shared" si="3"/>
        <v>2.467148045171494</v>
      </c>
      <c r="K58" s="26">
        <f t="shared" si="4"/>
        <v>1.7247619047619041</v>
      </c>
      <c r="L58" s="26">
        <f t="shared" si="5"/>
        <v>1.3418452380952366</v>
      </c>
      <c r="M58" s="26">
        <f t="shared" si="6"/>
        <v>1.6090686894226698</v>
      </c>
      <c r="N58" s="26">
        <f t="shared" si="7"/>
        <v>-0.50285714285714245</v>
      </c>
      <c r="O58" s="26">
        <f t="shared" si="8"/>
        <v>-0.35360119047619021</v>
      </c>
      <c r="P58" s="26">
        <f t="shared" si="9"/>
        <v>-0.2131057732827637</v>
      </c>
    </row>
    <row r="59" spans="1:16" x14ac:dyDescent="0.25">
      <c r="A59" s="2">
        <v>44165</v>
      </c>
      <c r="B59">
        <v>54.97</v>
      </c>
      <c r="C59">
        <v>53.52</v>
      </c>
      <c r="D59">
        <v>53.53</v>
      </c>
      <c r="E59">
        <v>53.53</v>
      </c>
      <c r="G59">
        <f t="shared" si="0"/>
        <v>1.365000000000002</v>
      </c>
      <c r="H59">
        <f t="shared" si="1"/>
        <v>1.2899999999999991</v>
      </c>
      <c r="I59" s="3">
        <f t="shared" si="2"/>
        <v>0.34520140788100728</v>
      </c>
      <c r="J59" s="3">
        <f t="shared" si="3"/>
        <v>2.4129344680232827</v>
      </c>
      <c r="K59" s="26">
        <f t="shared" si="4"/>
        <v>1.4133333333333322</v>
      </c>
      <c r="L59" s="26">
        <f t="shared" si="5"/>
        <v>1.1081547619047609</v>
      </c>
      <c r="M59" s="26">
        <f t="shared" si="6"/>
        <v>1.3801474926253676</v>
      </c>
      <c r="N59" s="26">
        <f t="shared" si="7"/>
        <v>-0.44238095238095232</v>
      </c>
      <c r="O59" s="26">
        <f t="shared" si="8"/>
        <v>-0.29985119047619024</v>
      </c>
      <c r="P59" s="26">
        <f t="shared" si="9"/>
        <v>-0.15967340918668338</v>
      </c>
    </row>
    <row r="60" spans="1:16" x14ac:dyDescent="0.25">
      <c r="A60" s="2">
        <v>44162</v>
      </c>
      <c r="B60">
        <v>51.25</v>
      </c>
      <c r="C60">
        <v>49.96</v>
      </c>
      <c r="D60">
        <v>49.24</v>
      </c>
      <c r="E60">
        <v>49.49</v>
      </c>
      <c r="G60">
        <f t="shared" si="0"/>
        <v>1.6200000000000045</v>
      </c>
      <c r="H60">
        <f t="shared" si="1"/>
        <v>1.0200000000000031</v>
      </c>
      <c r="I60" s="3">
        <f t="shared" si="2"/>
        <v>0.91915901149251433</v>
      </c>
      <c r="J60" s="3">
        <f t="shared" si="3"/>
        <v>2.2930642385784878</v>
      </c>
      <c r="K60" s="26">
        <f t="shared" si="4"/>
        <v>1.1371428571428561</v>
      </c>
      <c r="L60" s="26">
        <f t="shared" si="5"/>
        <v>0.89166666666666528</v>
      </c>
      <c r="M60" s="26">
        <f t="shared" si="6"/>
        <v>1.1704593341761464</v>
      </c>
      <c r="N60" s="26">
        <f t="shared" si="7"/>
        <v>-0.41714285714285748</v>
      </c>
      <c r="O60" s="26">
        <f t="shared" si="8"/>
        <v>-0.27357142857142835</v>
      </c>
      <c r="P60" s="26">
        <f t="shared" si="9"/>
        <v>-0.13661188369152955</v>
      </c>
    </row>
    <row r="61" spans="1:16" x14ac:dyDescent="0.25">
      <c r="A61" s="2">
        <v>44161</v>
      </c>
      <c r="B61">
        <v>51.07</v>
      </c>
      <c r="C61">
        <v>50.05</v>
      </c>
      <c r="D61">
        <v>48.94</v>
      </c>
      <c r="E61">
        <v>49.16</v>
      </c>
      <c r="G61">
        <f t="shared" si="0"/>
        <v>0.76499999999999346</v>
      </c>
      <c r="H61">
        <f t="shared" si="1"/>
        <v>0.13000000000000256</v>
      </c>
      <c r="I61" s="3">
        <f t="shared" si="2"/>
        <v>-0.98654354175947168</v>
      </c>
      <c r="J61" s="3">
        <f t="shared" si="3"/>
        <v>1.7973121741511564</v>
      </c>
      <c r="K61" s="26">
        <f t="shared" si="4"/>
        <v>0.69238095238095099</v>
      </c>
      <c r="L61" s="26">
        <f t="shared" si="5"/>
        <v>0.56684523809523713</v>
      </c>
      <c r="M61" s="26">
        <f t="shared" si="6"/>
        <v>0.87047197640117924</v>
      </c>
      <c r="N61" s="26">
        <f t="shared" si="7"/>
        <v>-0.32047619047619036</v>
      </c>
      <c r="O61" s="26">
        <f t="shared" si="8"/>
        <v>-0.20592261904761866</v>
      </c>
      <c r="P61" s="26">
        <f t="shared" si="9"/>
        <v>-7.9572271386430415E-2</v>
      </c>
    </row>
    <row r="62" spans="1:16" x14ac:dyDescent="0.25">
      <c r="A62" s="2">
        <v>44160</v>
      </c>
      <c r="B62">
        <v>51.43</v>
      </c>
      <c r="C62">
        <v>51.3</v>
      </c>
      <c r="D62">
        <v>50.6</v>
      </c>
      <c r="E62">
        <v>50.13</v>
      </c>
      <c r="G62">
        <f t="shared" si="0"/>
        <v>1.1649999999999991</v>
      </c>
      <c r="H62">
        <f t="shared" si="1"/>
        <v>-0.41000000000000369</v>
      </c>
      <c r="I62" s="3">
        <f t="shared" si="2"/>
        <v>-9.1255594719102787E-2</v>
      </c>
      <c r="J62" s="3">
        <f t="shared" si="3"/>
        <v>1.4912215705831133</v>
      </c>
      <c r="K62" s="26">
        <f t="shared" si="4"/>
        <v>0.48095238095237924</v>
      </c>
      <c r="L62" s="26">
        <f t="shared" si="5"/>
        <v>0.40035714285714086</v>
      </c>
      <c r="M62" s="26">
        <f t="shared" si="6"/>
        <v>0.70993678887484091</v>
      </c>
      <c r="N62" s="26">
        <f t="shared" si="7"/>
        <v>-0.25095238095238082</v>
      </c>
      <c r="O62" s="26">
        <f t="shared" si="8"/>
        <v>-0.12922619047618977</v>
      </c>
      <c r="P62" s="26">
        <f t="shared" si="9"/>
        <v>-9.9452170248626182E-3</v>
      </c>
    </row>
    <row r="63" spans="1:16" x14ac:dyDescent="0.25">
      <c r="A63" s="2">
        <v>44159</v>
      </c>
      <c r="B63">
        <v>50.97</v>
      </c>
      <c r="C63">
        <v>51.38</v>
      </c>
      <c r="D63">
        <v>50.01</v>
      </c>
      <c r="E63">
        <v>50.01</v>
      </c>
      <c r="G63">
        <f t="shared" si="0"/>
        <v>1.5700000000000003</v>
      </c>
      <c r="H63">
        <f t="shared" si="1"/>
        <v>-1.3999999999999986</v>
      </c>
      <c r="I63" s="3">
        <f t="shared" si="2"/>
        <v>0.81732803558390654</v>
      </c>
      <c r="J63" s="3">
        <f t="shared" si="3"/>
        <v>0.90653031525918149</v>
      </c>
      <c r="K63" s="26">
        <f t="shared" si="4"/>
        <v>0.38238095238095049</v>
      </c>
      <c r="L63" s="26">
        <f t="shared" si="5"/>
        <v>0.27416666666666423</v>
      </c>
      <c r="M63" s="26">
        <f t="shared" si="6"/>
        <v>0.58319005478297381</v>
      </c>
      <c r="N63" s="26">
        <f t="shared" si="7"/>
        <v>-0.26023809523809471</v>
      </c>
      <c r="O63" s="26">
        <f t="shared" si="8"/>
        <v>-0.10208333333333242</v>
      </c>
      <c r="P63" s="26">
        <f t="shared" si="9"/>
        <v>1.3866413822166468E-2</v>
      </c>
    </row>
    <row r="64" spans="1:16" x14ac:dyDescent="0.25">
      <c r="A64" s="2">
        <v>44158</v>
      </c>
      <c r="B64">
        <v>50.86</v>
      </c>
      <c r="C64">
        <v>52.26</v>
      </c>
      <c r="D64">
        <v>49.99</v>
      </c>
      <c r="E64">
        <v>50.34</v>
      </c>
      <c r="G64">
        <f t="shared" si="0"/>
        <v>1.6599999999999966</v>
      </c>
      <c r="H64">
        <f t="shared" si="1"/>
        <v>-2.2199999999999989</v>
      </c>
      <c r="I64" s="3">
        <f t="shared" si="2"/>
        <v>1.0246917825882724</v>
      </c>
      <c r="J64" s="3">
        <f t="shared" si="3"/>
        <v>0.41576628481413841</v>
      </c>
      <c r="K64" s="26">
        <f t="shared" si="4"/>
        <v>0.43857142857142684</v>
      </c>
      <c r="L64" s="26">
        <f t="shared" si="5"/>
        <v>0.28607142857142698</v>
      </c>
      <c r="M64" s="26">
        <f t="shared" si="6"/>
        <v>0.59917825537294434</v>
      </c>
      <c r="N64" s="26">
        <f t="shared" si="7"/>
        <v>-0.29547619047618934</v>
      </c>
      <c r="O64" s="26">
        <f t="shared" si="8"/>
        <v>-0.11244047619047537</v>
      </c>
      <c r="P64" s="26">
        <f t="shared" si="9"/>
        <v>-1.4180362410447511E-3</v>
      </c>
    </row>
    <row r="65" spans="1:16" x14ac:dyDescent="0.25">
      <c r="A65" s="2">
        <v>44155</v>
      </c>
      <c r="B65">
        <v>48.72</v>
      </c>
      <c r="C65">
        <v>50.94</v>
      </c>
      <c r="D65">
        <v>48.17</v>
      </c>
      <c r="E65">
        <v>48.17</v>
      </c>
      <c r="G65">
        <f t="shared" si="0"/>
        <v>1.0050000000000026</v>
      </c>
      <c r="H65">
        <f t="shared" si="1"/>
        <v>-1.8700000000000045</v>
      </c>
      <c r="I65" s="3">
        <f t="shared" si="2"/>
        <v>-0.41646623525672255</v>
      </c>
      <c r="J65" s="3">
        <f t="shared" si="3"/>
        <v>0.61842118190219686</v>
      </c>
      <c r="K65" s="26">
        <f t="shared" si="4"/>
        <v>0.29380952380952152</v>
      </c>
      <c r="L65" s="26">
        <f t="shared" si="5"/>
        <v>0.16999999999999771</v>
      </c>
      <c r="M65" s="26">
        <f t="shared" si="6"/>
        <v>0.50664981036662349</v>
      </c>
      <c r="N65" s="26">
        <f t="shared" si="7"/>
        <v>-0.34595238095237968</v>
      </c>
      <c r="O65" s="26">
        <f t="shared" si="8"/>
        <v>-0.13017857142856992</v>
      </c>
      <c r="P65" s="26">
        <f t="shared" si="9"/>
        <v>-1.9785082174461843E-2</v>
      </c>
    </row>
    <row r="66" spans="1:16" x14ac:dyDescent="0.25">
      <c r="A66" s="2">
        <v>44154</v>
      </c>
      <c r="B66">
        <v>50.05</v>
      </c>
      <c r="C66">
        <v>51.92</v>
      </c>
      <c r="D66">
        <v>49.98</v>
      </c>
      <c r="E66">
        <v>49.6</v>
      </c>
      <c r="G66">
        <f t="shared" si="0"/>
        <v>1.134999999999998</v>
      </c>
      <c r="H66">
        <f t="shared" si="1"/>
        <v>-1.0500000000000043</v>
      </c>
      <c r="I66" s="3">
        <f t="shared" si="2"/>
        <v>-0.12169676361440407</v>
      </c>
      <c r="J66" s="3">
        <f t="shared" si="3"/>
        <v>1.0988734616857079</v>
      </c>
      <c r="K66" s="26">
        <f t="shared" si="4"/>
        <v>0.1404761904761882</v>
      </c>
      <c r="L66" s="26">
        <f t="shared" si="5"/>
        <v>5.3154761904759873E-2</v>
      </c>
      <c r="M66" s="26">
        <f t="shared" si="6"/>
        <v>0.42473662031184034</v>
      </c>
      <c r="N66" s="26">
        <f t="shared" si="7"/>
        <v>-0.32499999999999885</v>
      </c>
      <c r="O66" s="26">
        <f t="shared" si="8"/>
        <v>-9.4732142857142154E-2</v>
      </c>
      <c r="P66" s="26">
        <f t="shared" si="9"/>
        <v>1.2743362831858951E-2</v>
      </c>
    </row>
    <row r="67" spans="1:16" x14ac:dyDescent="0.25">
      <c r="A67" s="2">
        <v>44153</v>
      </c>
      <c r="B67">
        <v>51.01</v>
      </c>
      <c r="C67">
        <v>52.06</v>
      </c>
      <c r="D67">
        <v>50.4</v>
      </c>
      <c r="E67">
        <v>50.39</v>
      </c>
      <c r="G67">
        <f t="shared" si="0"/>
        <v>0.70000000000000284</v>
      </c>
      <c r="H67">
        <f t="shared" si="1"/>
        <v>-1.259999999999998</v>
      </c>
      <c r="I67" s="3">
        <f t="shared" si="2"/>
        <v>-1.0603646263127833</v>
      </c>
      <c r="J67" s="3">
        <f t="shared" si="3"/>
        <v>0.97263717121710913</v>
      </c>
      <c r="K67" s="26">
        <f t="shared" si="4"/>
        <v>0.11619047619047418</v>
      </c>
      <c r="L67" s="26">
        <f t="shared" si="5"/>
        <v>-2.0119047619049368E-2</v>
      </c>
      <c r="M67" s="26">
        <f t="shared" si="6"/>
        <v>0.37201432785503474</v>
      </c>
      <c r="N67" s="26">
        <f t="shared" si="7"/>
        <v>-0.32190476190476058</v>
      </c>
      <c r="O67" s="26">
        <f t="shared" si="8"/>
        <v>-6.7083333333332273E-2</v>
      </c>
      <c r="P67" s="26">
        <f t="shared" si="9"/>
        <v>3.5143278550358481E-2</v>
      </c>
    </row>
    <row r="68" spans="1:16" x14ac:dyDescent="0.25">
      <c r="A68" s="2">
        <v>44152</v>
      </c>
      <c r="B68">
        <v>50.02</v>
      </c>
      <c r="C68">
        <v>51.28</v>
      </c>
      <c r="D68">
        <v>49.95</v>
      </c>
      <c r="E68">
        <v>49.95</v>
      </c>
      <c r="G68">
        <f t="shared" ref="G68:G131" si="10">AVERAGE(C69,B69)-D69</f>
        <v>0.47500000000000142</v>
      </c>
      <c r="H68">
        <f t="shared" ref="H68:H131" si="11">B69-C69</f>
        <v>-1.2899999999999991</v>
      </c>
      <c r="I68" s="3">
        <f t="shared" ref="I68:I131" si="12">(G68-AVERAGE(G68:G299))/_xlfn.STDEV.S(G68:G299)</f>
        <v>-1.5404484889475443</v>
      </c>
      <c r="J68" s="3">
        <f t="shared" ref="J68:J131" si="13">(H68-AVERAGE(H68:H299))/_xlfn.STDEV.S(H68:H299)</f>
        <v>0.95096957201699006</v>
      </c>
      <c r="K68" s="26">
        <f t="shared" ref="K68:K131" si="14">AVERAGEA(H68:H88)-AVERAGE(H89:H109)</f>
        <v>-2.1428571428573129E-2</v>
      </c>
      <c r="L68" s="26">
        <f t="shared" ref="L68:L131" si="15">AVERAGEA(H68:H88)-AVERAGE(H89:H144)</f>
        <v>-0.13119047619047741</v>
      </c>
      <c r="M68" s="26">
        <f t="shared" ref="M68:M131" si="16">AVERAGEA(H68:H88)-AVERAGE(H89:H201)</f>
        <v>0.28834808259586886</v>
      </c>
      <c r="N68" s="26">
        <f t="shared" ref="N68:N131" si="17">AVERAGEA(G68:G88)-AVERAGE(G89:G109)</f>
        <v>-0.28785714285714237</v>
      </c>
      <c r="O68" s="26">
        <f t="shared" ref="O68:O131" si="18">AVERAGEA(G68:G88)-AVERAGE(G89:G144)</f>
        <v>-2.5833333333332709E-2</v>
      </c>
      <c r="P68" s="26">
        <f t="shared" ref="P68:P131" si="19">AVERAGEA(G68:G88)-AVERAGE(G89:G201)</f>
        <v>6.9997892962494923E-2</v>
      </c>
    </row>
    <row r="69" spans="1:16" x14ac:dyDescent="0.25">
      <c r="A69" s="2">
        <v>44151</v>
      </c>
      <c r="B69">
        <v>49.46</v>
      </c>
      <c r="C69">
        <v>50.75</v>
      </c>
      <c r="D69">
        <v>49.63</v>
      </c>
      <c r="E69">
        <v>49.99</v>
      </c>
      <c r="G69">
        <f t="shared" si="10"/>
        <v>1.0300000000000011</v>
      </c>
      <c r="H69">
        <f t="shared" si="11"/>
        <v>-2.0600000000000023</v>
      </c>
      <c r="I69" s="3">
        <f t="shared" si="12"/>
        <v>-0.33794414408717205</v>
      </c>
      <c r="J69" s="3">
        <f t="shared" si="13"/>
        <v>0.4944941378557039</v>
      </c>
      <c r="K69" s="26">
        <f t="shared" si="14"/>
        <v>-9.3333333333335045E-2</v>
      </c>
      <c r="L69" s="26">
        <f t="shared" si="15"/>
        <v>-0.20113095238095369</v>
      </c>
      <c r="M69" s="26">
        <f t="shared" si="16"/>
        <v>0.24007163927517805</v>
      </c>
      <c r="N69" s="26">
        <f t="shared" si="17"/>
        <v>-0.21999999999999997</v>
      </c>
      <c r="O69" s="26">
        <f t="shared" si="18"/>
        <v>4.0267857142856744E-2</v>
      </c>
      <c r="P69" s="26">
        <f t="shared" si="19"/>
        <v>0.12736409608091015</v>
      </c>
    </row>
    <row r="70" spans="1:16" x14ac:dyDescent="0.25">
      <c r="A70" s="2">
        <v>44148</v>
      </c>
      <c r="B70">
        <v>50.82</v>
      </c>
      <c r="C70">
        <v>52.88</v>
      </c>
      <c r="D70">
        <v>50.82</v>
      </c>
      <c r="E70">
        <v>50.81</v>
      </c>
      <c r="G70">
        <f t="shared" si="10"/>
        <v>1.0150000000000006</v>
      </c>
      <c r="H70">
        <f t="shared" si="11"/>
        <v>-2.8499999999999943</v>
      </c>
      <c r="I70" s="3">
        <f t="shared" si="12"/>
        <v>-0.36367202274316163</v>
      </c>
      <c r="J70" s="3">
        <f t="shared" si="13"/>
        <v>2.4778980990423943E-2</v>
      </c>
      <c r="K70" s="26">
        <f t="shared" si="14"/>
        <v>-0.17619047619047823</v>
      </c>
      <c r="L70" s="26">
        <f t="shared" si="15"/>
        <v>-0.23988095238095397</v>
      </c>
      <c r="M70" s="26">
        <f t="shared" si="16"/>
        <v>0.23330804888326862</v>
      </c>
      <c r="N70" s="26">
        <f t="shared" si="17"/>
        <v>-0.14571428571428591</v>
      </c>
      <c r="O70" s="26">
        <f t="shared" si="18"/>
        <v>9.5059523809523316E-2</v>
      </c>
      <c r="P70" s="26">
        <f t="shared" si="19"/>
        <v>0.17329119258322767</v>
      </c>
    </row>
    <row r="71" spans="1:16" x14ac:dyDescent="0.25">
      <c r="A71" s="2">
        <v>44147</v>
      </c>
      <c r="B71">
        <v>52.34</v>
      </c>
      <c r="C71">
        <v>55.19</v>
      </c>
      <c r="D71">
        <v>52.75</v>
      </c>
      <c r="E71">
        <v>52.62</v>
      </c>
      <c r="G71">
        <f t="shared" si="10"/>
        <v>0.96000000000000085</v>
      </c>
      <c r="H71">
        <f t="shared" si="11"/>
        <v>-2.7000000000000028</v>
      </c>
      <c r="I71" s="3">
        <f t="shared" si="12"/>
        <v>-0.47317841265395194</v>
      </c>
      <c r="J71" s="3">
        <f t="shared" si="13"/>
        <v>0.1069183398255065</v>
      </c>
      <c r="K71" s="26">
        <f t="shared" si="14"/>
        <v>-0.1742857142857166</v>
      </c>
      <c r="L71" s="26">
        <f t="shared" si="15"/>
        <v>-0.22202380952381118</v>
      </c>
      <c r="M71" s="26">
        <f t="shared" si="16"/>
        <v>0.27381373788453311</v>
      </c>
      <c r="N71" s="26">
        <f t="shared" si="17"/>
        <v>-0.11952380952380981</v>
      </c>
      <c r="O71" s="26">
        <f t="shared" si="18"/>
        <v>0.12041666666666595</v>
      </c>
      <c r="P71" s="26">
        <f t="shared" si="19"/>
        <v>0.1954782975136955</v>
      </c>
    </row>
    <row r="72" spans="1:16" x14ac:dyDescent="0.25">
      <c r="A72" s="2">
        <v>44146</v>
      </c>
      <c r="B72">
        <v>53.57</v>
      </c>
      <c r="C72">
        <v>56.27</v>
      </c>
      <c r="D72">
        <v>53.96</v>
      </c>
      <c r="E72">
        <v>54.01</v>
      </c>
      <c r="G72">
        <f t="shared" si="10"/>
        <v>0.98499999999999943</v>
      </c>
      <c r="H72">
        <f t="shared" si="11"/>
        <v>-2.0300000000000011</v>
      </c>
      <c r="I72" s="3">
        <f t="shared" si="12"/>
        <v>-0.42512682224021631</v>
      </c>
      <c r="J72" s="3">
        <f t="shared" si="13"/>
        <v>0.48995286837497248</v>
      </c>
      <c r="K72" s="26">
        <f t="shared" si="14"/>
        <v>-0.30857142857143094</v>
      </c>
      <c r="L72" s="26">
        <f t="shared" si="15"/>
        <v>-0.25577380952381068</v>
      </c>
      <c r="M72" s="26">
        <f t="shared" si="16"/>
        <v>0.26026127265065258</v>
      </c>
      <c r="N72" s="26">
        <f t="shared" si="17"/>
        <v>-5.6666666666666643E-2</v>
      </c>
      <c r="O72" s="26">
        <f t="shared" si="18"/>
        <v>0.15169642857142795</v>
      </c>
      <c r="P72" s="26">
        <f t="shared" si="19"/>
        <v>0.2286599241466496</v>
      </c>
    </row>
    <row r="73" spans="1:16" x14ac:dyDescent="0.25">
      <c r="A73" s="2">
        <v>44145</v>
      </c>
      <c r="B73">
        <v>54.69</v>
      </c>
      <c r="C73">
        <v>56.72</v>
      </c>
      <c r="D73">
        <v>54.72</v>
      </c>
      <c r="E73">
        <v>54.72</v>
      </c>
      <c r="G73">
        <f t="shared" si="10"/>
        <v>1.105000000000004</v>
      </c>
      <c r="H73">
        <f t="shared" si="11"/>
        <v>-1.6300000000000026</v>
      </c>
      <c r="I73" s="3">
        <f t="shared" si="12"/>
        <v>-0.17068056991886205</v>
      </c>
      <c r="J73" s="3">
        <f t="shared" si="13"/>
        <v>0.71761847713746285</v>
      </c>
      <c r="K73" s="26">
        <f t="shared" si="14"/>
        <v>-0.4719047619047636</v>
      </c>
      <c r="L73" s="26">
        <f t="shared" si="15"/>
        <v>-0.303988095238096</v>
      </c>
      <c r="M73" s="26">
        <f t="shared" si="16"/>
        <v>0.23027391487568449</v>
      </c>
      <c r="N73" s="26">
        <f t="shared" si="17"/>
        <v>1.9285714285714795E-2</v>
      </c>
      <c r="O73" s="26">
        <f t="shared" si="18"/>
        <v>0.1907440476190474</v>
      </c>
      <c r="P73" s="26">
        <f t="shared" si="19"/>
        <v>0.26061525495153814</v>
      </c>
    </row>
    <row r="74" spans="1:16" x14ac:dyDescent="0.25">
      <c r="A74" s="2">
        <v>44144</v>
      </c>
      <c r="B74">
        <v>56.32</v>
      </c>
      <c r="C74">
        <v>57.95</v>
      </c>
      <c r="D74">
        <v>56.03</v>
      </c>
      <c r="E74">
        <v>56.02</v>
      </c>
      <c r="G74">
        <f t="shared" si="10"/>
        <v>1.2999999999999972</v>
      </c>
      <c r="H74">
        <f t="shared" si="11"/>
        <v>-1.8799999999999955</v>
      </c>
      <c r="I74" s="3">
        <f t="shared" si="12"/>
        <v>0.24980282254018263</v>
      </c>
      <c r="J74" s="3">
        <f t="shared" si="13"/>
        <v>0.55393156146073463</v>
      </c>
      <c r="K74" s="26">
        <f t="shared" si="14"/>
        <v>-0.7228571428571442</v>
      </c>
      <c r="L74" s="26">
        <f t="shared" si="15"/>
        <v>-0.43000000000000105</v>
      </c>
      <c r="M74" s="26">
        <f t="shared" si="16"/>
        <v>0.14472819216181954</v>
      </c>
      <c r="N74" s="26">
        <f t="shared" si="17"/>
        <v>8.2380952380952666E-2</v>
      </c>
      <c r="O74" s="26">
        <f t="shared" si="18"/>
        <v>0.22434523809523776</v>
      </c>
      <c r="P74" s="26">
        <f t="shared" si="19"/>
        <v>0.28609776654024399</v>
      </c>
    </row>
    <row r="75" spans="1:16" x14ac:dyDescent="0.25">
      <c r="A75" s="2">
        <v>44141</v>
      </c>
      <c r="B75">
        <v>54.88</v>
      </c>
      <c r="C75">
        <v>56.76</v>
      </c>
      <c r="D75">
        <v>54.52</v>
      </c>
      <c r="E75">
        <v>54.67</v>
      </c>
      <c r="G75">
        <f t="shared" si="10"/>
        <v>1.2500000000000071</v>
      </c>
      <c r="H75">
        <f t="shared" si="11"/>
        <v>-1.240000000000002</v>
      </c>
      <c r="I75" s="3">
        <f t="shared" si="12"/>
        <v>0.1434516556561431</v>
      </c>
      <c r="J75" s="3">
        <f t="shared" si="13"/>
        <v>0.90564745924456769</v>
      </c>
      <c r="K75" s="26">
        <f t="shared" si="14"/>
        <v>-0.83142857142857318</v>
      </c>
      <c r="L75" s="26">
        <f t="shared" si="15"/>
        <v>-0.46642857142857208</v>
      </c>
      <c r="M75" s="26">
        <f t="shared" si="16"/>
        <v>0.11739570164348923</v>
      </c>
      <c r="N75" s="26">
        <f t="shared" si="17"/>
        <v>8.6190476190476373E-2</v>
      </c>
      <c r="O75" s="26">
        <f t="shared" si="18"/>
        <v>0.219464285714285</v>
      </c>
      <c r="P75" s="26">
        <f t="shared" si="19"/>
        <v>0.28619469026548661</v>
      </c>
    </row>
    <row r="76" spans="1:16" x14ac:dyDescent="0.25">
      <c r="A76" s="2">
        <v>44140</v>
      </c>
      <c r="B76">
        <v>55.36</v>
      </c>
      <c r="C76">
        <v>56.6</v>
      </c>
      <c r="D76">
        <v>54.73</v>
      </c>
      <c r="E76">
        <v>54.72</v>
      </c>
      <c r="G76">
        <f t="shared" si="10"/>
        <v>1.4350000000000023</v>
      </c>
      <c r="H76">
        <f t="shared" si="11"/>
        <v>-2.25</v>
      </c>
      <c r="I76" s="3">
        <f t="shared" si="12"/>
        <v>0.53574829682552216</v>
      </c>
      <c r="J76" s="3">
        <f t="shared" si="13"/>
        <v>0.32716859855781966</v>
      </c>
      <c r="K76" s="26">
        <f t="shared" si="14"/>
        <v>-0.82380952380952577</v>
      </c>
      <c r="L76" s="26">
        <f t="shared" si="15"/>
        <v>-0.46136904761904862</v>
      </c>
      <c r="M76" s="26">
        <f t="shared" si="16"/>
        <v>0.1177286135693203</v>
      </c>
      <c r="N76" s="26">
        <f t="shared" si="17"/>
        <v>8.4761904761904372E-2</v>
      </c>
      <c r="O76" s="26">
        <f t="shared" si="18"/>
        <v>0.2246130952380947</v>
      </c>
      <c r="P76" s="26">
        <f t="shared" si="19"/>
        <v>0.29434681837336663</v>
      </c>
    </row>
    <row r="77" spans="1:16" x14ac:dyDescent="0.25">
      <c r="A77" s="2">
        <v>44139</v>
      </c>
      <c r="B77">
        <v>55.31</v>
      </c>
      <c r="C77">
        <v>57.56</v>
      </c>
      <c r="D77">
        <v>55</v>
      </c>
      <c r="E77">
        <v>55</v>
      </c>
      <c r="G77">
        <f t="shared" si="10"/>
        <v>1.5399999999999991</v>
      </c>
      <c r="H77">
        <f t="shared" si="11"/>
        <v>-2.9200000000000017</v>
      </c>
      <c r="I77" s="3">
        <f t="shared" si="12"/>
        <v>0.76537537096959873</v>
      </c>
      <c r="J77" s="3">
        <f t="shared" si="13"/>
        <v>-5.1794081054289808E-2</v>
      </c>
      <c r="K77" s="26">
        <f t="shared" si="14"/>
        <v>-0.80666666666666798</v>
      </c>
      <c r="L77" s="26">
        <f t="shared" si="15"/>
        <v>-0.4088095238095244</v>
      </c>
      <c r="M77" s="26">
        <f t="shared" si="16"/>
        <v>0.15390223345975462</v>
      </c>
      <c r="N77" s="26">
        <f t="shared" si="17"/>
        <v>7.2380952380952657E-2</v>
      </c>
      <c r="O77" s="26">
        <f t="shared" si="18"/>
        <v>0.21803571428571367</v>
      </c>
      <c r="P77" s="26">
        <f t="shared" si="19"/>
        <v>0.28913400758533458</v>
      </c>
    </row>
    <row r="78" spans="1:16" x14ac:dyDescent="0.25">
      <c r="A78" s="2">
        <v>44138</v>
      </c>
      <c r="B78">
        <v>55.71</v>
      </c>
      <c r="C78">
        <v>58.63</v>
      </c>
      <c r="D78">
        <v>55.63</v>
      </c>
      <c r="E78">
        <v>55.62</v>
      </c>
      <c r="G78">
        <f t="shared" si="10"/>
        <v>0.77499999999999858</v>
      </c>
      <c r="H78">
        <f t="shared" si="11"/>
        <v>-3.8500000000000014</v>
      </c>
      <c r="I78" s="3">
        <f t="shared" si="12"/>
        <v>-0.8612234065335499</v>
      </c>
      <c r="J78" s="3">
        <f t="shared" si="13"/>
        <v>-0.57451028930813863</v>
      </c>
      <c r="K78" s="26">
        <f t="shared" si="14"/>
        <v>-0.70333333333333448</v>
      </c>
      <c r="L78" s="26">
        <f t="shared" si="15"/>
        <v>-0.32553571428571404</v>
      </c>
      <c r="M78" s="26">
        <f t="shared" si="16"/>
        <v>0.23666245259165519</v>
      </c>
      <c r="N78" s="26">
        <f t="shared" si="17"/>
        <v>6.4047619047619353E-2</v>
      </c>
      <c r="O78" s="26">
        <f t="shared" si="18"/>
        <v>0.20883928571428512</v>
      </c>
      <c r="P78" s="26">
        <f t="shared" si="19"/>
        <v>0.28024020227560031</v>
      </c>
    </row>
    <row r="79" spans="1:16" x14ac:dyDescent="0.25">
      <c r="A79" s="2">
        <v>44137</v>
      </c>
      <c r="B79">
        <v>54.67</v>
      </c>
      <c r="C79">
        <v>58.52</v>
      </c>
      <c r="D79">
        <v>55.82</v>
      </c>
      <c r="E79">
        <v>55.51</v>
      </c>
      <c r="G79">
        <f t="shared" si="10"/>
        <v>1.7199999999999989</v>
      </c>
      <c r="H79">
        <f t="shared" si="11"/>
        <v>-3.480000000000004</v>
      </c>
      <c r="I79" s="3">
        <f t="shared" si="12"/>
        <v>1.1562321350166269</v>
      </c>
      <c r="J79" s="3">
        <f t="shared" si="13"/>
        <v>-0.36761803920583175</v>
      </c>
      <c r="K79" s="26">
        <f t="shared" si="14"/>
        <v>-0.60619047619047661</v>
      </c>
      <c r="L79" s="26">
        <f t="shared" si="15"/>
        <v>-0.15041666666666709</v>
      </c>
      <c r="M79" s="26">
        <f t="shared" si="16"/>
        <v>0.37147492625368583</v>
      </c>
      <c r="N79" s="26">
        <f t="shared" si="17"/>
        <v>0.1202380952380957</v>
      </c>
      <c r="O79" s="26">
        <f t="shared" si="18"/>
        <v>0.24139880952380932</v>
      </c>
      <c r="P79" s="26">
        <f t="shared" si="19"/>
        <v>0.31351243152128117</v>
      </c>
    </row>
    <row r="80" spans="1:16" x14ac:dyDescent="0.25">
      <c r="A80" s="2">
        <v>44134</v>
      </c>
      <c r="B80">
        <v>54.26</v>
      </c>
      <c r="C80">
        <v>57.74</v>
      </c>
      <c r="D80">
        <v>54.28</v>
      </c>
      <c r="E80">
        <v>54.33</v>
      </c>
      <c r="G80">
        <f t="shared" si="10"/>
        <v>1.7349999999999994</v>
      </c>
      <c r="H80">
        <f t="shared" si="11"/>
        <v>-3.2899999999999991</v>
      </c>
      <c r="I80" s="3">
        <f t="shared" si="12"/>
        <v>1.1800943434418294</v>
      </c>
      <c r="J80" s="3">
        <f t="shared" si="13"/>
        <v>-0.26030945073732209</v>
      </c>
      <c r="K80" s="26">
        <f t="shared" si="14"/>
        <v>-0.48190476190476206</v>
      </c>
      <c r="L80" s="26">
        <f t="shared" si="15"/>
        <v>-5.285714285714338E-2</v>
      </c>
      <c r="M80" s="26">
        <f t="shared" si="16"/>
        <v>0.4869026548672557</v>
      </c>
      <c r="N80" s="26">
        <f t="shared" si="17"/>
        <v>0.10952380952381002</v>
      </c>
      <c r="O80" s="26">
        <f t="shared" si="18"/>
        <v>0.23547619047619017</v>
      </c>
      <c r="P80" s="26">
        <f t="shared" si="19"/>
        <v>0.29584913611462293</v>
      </c>
    </row>
    <row r="81" spans="1:16" x14ac:dyDescent="0.25">
      <c r="A81" s="2">
        <v>44133</v>
      </c>
      <c r="B81">
        <v>54.4</v>
      </c>
      <c r="C81">
        <v>57.69</v>
      </c>
      <c r="D81">
        <v>54.31</v>
      </c>
      <c r="E81">
        <v>54.58</v>
      </c>
      <c r="G81">
        <f t="shared" si="10"/>
        <v>2.5400000000000063</v>
      </c>
      <c r="H81">
        <f t="shared" si="11"/>
        <v>-5.0399999999999991</v>
      </c>
      <c r="I81" s="3">
        <f t="shared" si="12"/>
        <v>2.9037964408449328</v>
      </c>
      <c r="J81" s="3">
        <f t="shared" si="13"/>
        <v>-1.2464521626167835</v>
      </c>
      <c r="K81" s="26">
        <f t="shared" si="14"/>
        <v>-0.39809523809523828</v>
      </c>
      <c r="L81" s="26">
        <f t="shared" si="15"/>
        <v>1.6130952380952301E-2</v>
      </c>
      <c r="M81" s="26">
        <f t="shared" si="16"/>
        <v>0.57588284871470652</v>
      </c>
      <c r="N81" s="26">
        <f t="shared" si="17"/>
        <v>0.10000000000000075</v>
      </c>
      <c r="O81" s="26">
        <f t="shared" si="18"/>
        <v>0.23776785714285742</v>
      </c>
      <c r="P81" s="26">
        <f t="shared" si="19"/>
        <v>0.28632743362831881</v>
      </c>
    </row>
    <row r="82" spans="1:16" x14ac:dyDescent="0.25">
      <c r="A82" s="2">
        <v>44132</v>
      </c>
      <c r="B82">
        <v>54.57</v>
      </c>
      <c r="C82">
        <v>59.61</v>
      </c>
      <c r="D82">
        <v>54.55</v>
      </c>
      <c r="E82">
        <v>54.55</v>
      </c>
      <c r="G82">
        <f t="shared" si="10"/>
        <v>2.0850000000000009</v>
      </c>
      <c r="H82">
        <f t="shared" si="11"/>
        <v>-3.3100000000000023</v>
      </c>
      <c r="I82" s="3">
        <f t="shared" si="12"/>
        <v>1.9811605629995253</v>
      </c>
      <c r="J82" s="3">
        <f t="shared" si="13"/>
        <v>-0.27743171306183212</v>
      </c>
      <c r="K82" s="26">
        <f t="shared" si="14"/>
        <v>-0.2200000000000002</v>
      </c>
      <c r="L82" s="26">
        <f t="shared" si="15"/>
        <v>0.19053571428571425</v>
      </c>
      <c r="M82" s="26">
        <f t="shared" si="16"/>
        <v>0.76260429835651022</v>
      </c>
      <c r="N82" s="26">
        <f t="shared" si="17"/>
        <v>6.1428571428571832E-2</v>
      </c>
      <c r="O82" s="26">
        <f t="shared" si="18"/>
        <v>0.19598214285714288</v>
      </c>
      <c r="P82" s="26">
        <f t="shared" si="19"/>
        <v>0.23307206068268016</v>
      </c>
    </row>
    <row r="83" spans="1:16" x14ac:dyDescent="0.25">
      <c r="A83" s="2">
        <v>44131</v>
      </c>
      <c r="B83">
        <v>54.21</v>
      </c>
      <c r="C83">
        <v>57.52</v>
      </c>
      <c r="D83">
        <v>53.78</v>
      </c>
      <c r="E83">
        <v>54.08</v>
      </c>
      <c r="G83">
        <f t="shared" si="10"/>
        <v>1.6000000000000014</v>
      </c>
      <c r="H83">
        <f t="shared" si="11"/>
        <v>-3.1200000000000045</v>
      </c>
      <c r="I83" s="3">
        <f t="shared" si="12"/>
        <v>0.9297230816656723</v>
      </c>
      <c r="J83" s="3">
        <f t="shared" si="13"/>
        <v>-0.16786428021233424</v>
      </c>
      <c r="K83" s="26">
        <f t="shared" si="14"/>
        <v>-0.20571428571428507</v>
      </c>
      <c r="L83" s="26">
        <f t="shared" si="15"/>
        <v>0.22851190476190464</v>
      </c>
      <c r="M83" s="26">
        <f t="shared" si="16"/>
        <v>0.84296670880741598</v>
      </c>
      <c r="N83" s="26">
        <f t="shared" si="17"/>
        <v>0.11476190476190573</v>
      </c>
      <c r="O83" s="26">
        <f t="shared" si="18"/>
        <v>0.20877976190476266</v>
      </c>
      <c r="P83" s="26">
        <f t="shared" si="19"/>
        <v>0.22746734091866894</v>
      </c>
    </row>
    <row r="84" spans="1:16" x14ac:dyDescent="0.25">
      <c r="A84" s="2">
        <v>44130</v>
      </c>
      <c r="B84">
        <v>54.12</v>
      </c>
      <c r="C84">
        <v>57.24</v>
      </c>
      <c r="D84">
        <v>54.08</v>
      </c>
      <c r="E84">
        <v>54.07</v>
      </c>
      <c r="G84">
        <f t="shared" si="10"/>
        <v>1.3150000000000048</v>
      </c>
      <c r="H84">
        <f t="shared" si="11"/>
        <v>-1.75</v>
      </c>
      <c r="I84" s="3">
        <f t="shared" si="12"/>
        <v>0.30846224351873813</v>
      </c>
      <c r="J84" s="3">
        <f t="shared" si="13"/>
        <v>0.60238087074902591</v>
      </c>
      <c r="K84" s="26">
        <f t="shared" si="14"/>
        <v>-0.32095238095238088</v>
      </c>
      <c r="L84" s="26">
        <f t="shared" si="15"/>
        <v>0.16357142857142914</v>
      </c>
      <c r="M84" s="26">
        <f t="shared" si="16"/>
        <v>0.8339064475347655</v>
      </c>
      <c r="N84" s="26">
        <f t="shared" si="17"/>
        <v>0.20000000000000062</v>
      </c>
      <c r="O84" s="26">
        <f t="shared" si="18"/>
        <v>0.25904761904761942</v>
      </c>
      <c r="P84" s="26">
        <f t="shared" si="19"/>
        <v>0.25950273914875743</v>
      </c>
    </row>
    <row r="85" spans="1:16" x14ac:dyDescent="0.25">
      <c r="A85" s="2">
        <v>44127</v>
      </c>
      <c r="B85">
        <v>54.35</v>
      </c>
      <c r="C85">
        <v>56.1</v>
      </c>
      <c r="D85">
        <v>53.91</v>
      </c>
      <c r="E85">
        <v>53.91</v>
      </c>
      <c r="G85">
        <f t="shared" si="10"/>
        <v>1.2650000000000006</v>
      </c>
      <c r="H85">
        <f t="shared" si="11"/>
        <v>-4.230000000000004</v>
      </c>
      <c r="I85" s="3">
        <f t="shared" si="12"/>
        <v>0.19927885892427616</v>
      </c>
      <c r="J85" s="3">
        <f t="shared" si="13"/>
        <v>-0.79480599970186805</v>
      </c>
      <c r="K85" s="26">
        <f t="shared" si="14"/>
        <v>-0.47428571428571464</v>
      </c>
      <c r="L85" s="26">
        <f t="shared" si="15"/>
        <v>6.571428571428628E-2</v>
      </c>
      <c r="M85" s="26">
        <f t="shared" si="16"/>
        <v>0.77812895069532262</v>
      </c>
      <c r="N85" s="26">
        <f t="shared" si="17"/>
        <v>0.26095238095238105</v>
      </c>
      <c r="O85" s="26">
        <f t="shared" si="18"/>
        <v>0.29803571428571463</v>
      </c>
      <c r="P85" s="26">
        <f t="shared" si="19"/>
        <v>0.28352718078381822</v>
      </c>
    </row>
    <row r="86" spans="1:16" x14ac:dyDescent="0.25">
      <c r="A86" s="2">
        <v>44126</v>
      </c>
      <c r="B86">
        <v>53.01</v>
      </c>
      <c r="C86">
        <v>57.24</v>
      </c>
      <c r="D86">
        <v>53.86</v>
      </c>
      <c r="E86">
        <v>53.85</v>
      </c>
      <c r="G86">
        <f t="shared" si="10"/>
        <v>1.6499999999999986</v>
      </c>
      <c r="H86">
        <f t="shared" si="11"/>
        <v>-3.9600000000000009</v>
      </c>
      <c r="I86" s="3">
        <f t="shared" si="12"/>
        <v>1.0353296541553232</v>
      </c>
      <c r="J86" s="3">
        <f t="shared" si="13"/>
        <v>-0.64654340876951855</v>
      </c>
      <c r="K86" s="26">
        <f t="shared" si="14"/>
        <v>-0.49761904761904763</v>
      </c>
      <c r="L86" s="26">
        <f t="shared" si="15"/>
        <v>8.904761904761882E-2</v>
      </c>
      <c r="M86" s="26">
        <f t="shared" si="16"/>
        <v>0.84053940160134832</v>
      </c>
      <c r="N86" s="26">
        <f t="shared" si="17"/>
        <v>0.33976190476190515</v>
      </c>
      <c r="O86" s="26">
        <f t="shared" si="18"/>
        <v>0.34684523809523804</v>
      </c>
      <c r="P86" s="26">
        <f t="shared" si="19"/>
        <v>0.3194858828487146</v>
      </c>
    </row>
    <row r="87" spans="1:16" x14ac:dyDescent="0.25">
      <c r="A87" s="2">
        <v>44125</v>
      </c>
      <c r="B87">
        <v>53.85</v>
      </c>
      <c r="C87">
        <v>57.81</v>
      </c>
      <c r="D87">
        <v>54.18</v>
      </c>
      <c r="E87">
        <v>54.17</v>
      </c>
      <c r="G87">
        <f t="shared" si="10"/>
        <v>1.5450000000000017</v>
      </c>
      <c r="H87">
        <f t="shared" si="11"/>
        <v>-2.75</v>
      </c>
      <c r="I87" s="3">
        <f t="shared" si="12"/>
        <v>0.81346085037612315</v>
      </c>
      <c r="J87" s="3">
        <f t="shared" si="13"/>
        <v>3.5241233434770279E-2</v>
      </c>
      <c r="K87" s="26">
        <f t="shared" si="14"/>
        <v>-0.48952380952380947</v>
      </c>
      <c r="L87" s="26">
        <f t="shared" si="15"/>
        <v>0.12464285714285772</v>
      </c>
      <c r="M87" s="26">
        <f t="shared" si="16"/>
        <v>0.90222503160556222</v>
      </c>
      <c r="N87" s="26">
        <f t="shared" si="17"/>
        <v>0.38190476190476175</v>
      </c>
      <c r="O87" s="26">
        <f t="shared" si="18"/>
        <v>0.37803571428571381</v>
      </c>
      <c r="P87" s="26">
        <f t="shared" si="19"/>
        <v>0.3349557522123896</v>
      </c>
    </row>
    <row r="88" spans="1:16" x14ac:dyDescent="0.25">
      <c r="A88" s="2">
        <v>44124</v>
      </c>
      <c r="B88">
        <v>54.33</v>
      </c>
      <c r="C88">
        <v>57.08</v>
      </c>
      <c r="D88">
        <v>54.16</v>
      </c>
      <c r="E88">
        <v>54.1</v>
      </c>
      <c r="G88">
        <f t="shared" si="10"/>
        <v>1.404999999999994</v>
      </c>
      <c r="H88">
        <f t="shared" si="11"/>
        <v>-3.4499999999999957</v>
      </c>
      <c r="I88" s="3">
        <f t="shared" si="12"/>
        <v>0.50959169697516105</v>
      </c>
      <c r="J88" s="3">
        <f t="shared" si="13"/>
        <v>-0.36055242561135276</v>
      </c>
      <c r="K88" s="26">
        <f t="shared" si="14"/>
        <v>-0.57380952380952355</v>
      </c>
      <c r="L88" s="26">
        <f t="shared" si="15"/>
        <v>2.6190476190476542E-2</v>
      </c>
      <c r="M88" s="26">
        <f t="shared" si="16"/>
        <v>0.85538137378845391</v>
      </c>
      <c r="N88" s="26">
        <f t="shared" si="17"/>
        <v>0.43166666666666664</v>
      </c>
      <c r="O88" s="26">
        <f t="shared" si="18"/>
        <v>0.41267857142857123</v>
      </c>
      <c r="P88" s="26">
        <f t="shared" si="19"/>
        <v>0.35310998735777521</v>
      </c>
    </row>
    <row r="89" spans="1:16" x14ac:dyDescent="0.25">
      <c r="A89" s="2">
        <v>44123</v>
      </c>
      <c r="B89">
        <v>53.92</v>
      </c>
      <c r="C89">
        <v>57.37</v>
      </c>
      <c r="D89">
        <v>54.24</v>
      </c>
      <c r="E89">
        <v>54.24</v>
      </c>
      <c r="G89">
        <f t="shared" si="10"/>
        <v>1.7149999999999963</v>
      </c>
      <c r="H89">
        <f t="shared" si="11"/>
        <v>-3.009999999999998</v>
      </c>
      <c r="I89" s="3">
        <f t="shared" si="12"/>
        <v>1.1847926176222658</v>
      </c>
      <c r="J89" s="3">
        <f t="shared" si="13"/>
        <v>-0.11321310219395884</v>
      </c>
      <c r="K89" s="26">
        <f t="shared" si="14"/>
        <v>-0.52095238095238106</v>
      </c>
      <c r="L89" s="26">
        <f t="shared" si="15"/>
        <v>5.4345238095239612E-2</v>
      </c>
      <c r="M89" s="26">
        <f t="shared" si="16"/>
        <v>0.89889169827222926</v>
      </c>
      <c r="N89" s="26">
        <f t="shared" si="17"/>
        <v>0.43619047619047668</v>
      </c>
      <c r="O89" s="26">
        <f t="shared" si="18"/>
        <v>0.4263988095238096</v>
      </c>
      <c r="P89" s="26">
        <f t="shared" si="19"/>
        <v>0.35338600927096531</v>
      </c>
    </row>
    <row r="90" spans="1:16" x14ac:dyDescent="0.25">
      <c r="A90" s="2">
        <v>44120</v>
      </c>
      <c r="B90">
        <v>54.14</v>
      </c>
      <c r="C90">
        <v>57.15</v>
      </c>
      <c r="D90">
        <v>53.93</v>
      </c>
      <c r="E90">
        <v>54.11</v>
      </c>
      <c r="G90">
        <f t="shared" si="10"/>
        <v>1.9349999999999952</v>
      </c>
      <c r="H90">
        <f t="shared" si="11"/>
        <v>-2.990000000000002</v>
      </c>
      <c r="I90" s="3">
        <f t="shared" si="12"/>
        <v>1.6703628955188348</v>
      </c>
      <c r="J90" s="3">
        <f t="shared" si="13"/>
        <v>-0.10352208320060492</v>
      </c>
      <c r="K90" s="26">
        <f t="shared" si="14"/>
        <v>-0.55380952380952353</v>
      </c>
      <c r="L90" s="26">
        <f t="shared" si="15"/>
        <v>3.1130952380953314E-2</v>
      </c>
      <c r="M90" s="26">
        <f t="shared" si="16"/>
        <v>0.89207753898019382</v>
      </c>
      <c r="N90" s="26">
        <f t="shared" si="17"/>
        <v>0.43357142857142916</v>
      </c>
      <c r="O90" s="26">
        <f t="shared" si="18"/>
        <v>0.42723214285714284</v>
      </c>
      <c r="P90" s="26">
        <f t="shared" si="19"/>
        <v>0.3466118836915304</v>
      </c>
    </row>
    <row r="91" spans="1:16" x14ac:dyDescent="0.25">
      <c r="A91" s="2">
        <v>44119</v>
      </c>
      <c r="B91">
        <v>54.48</v>
      </c>
      <c r="C91">
        <v>57.47</v>
      </c>
      <c r="D91">
        <v>54.04</v>
      </c>
      <c r="E91">
        <v>54.28</v>
      </c>
      <c r="G91">
        <f t="shared" si="10"/>
        <v>1.4799999999999969</v>
      </c>
      <c r="H91">
        <f t="shared" si="11"/>
        <v>-2.7000000000000028</v>
      </c>
      <c r="I91" s="3">
        <f t="shared" si="12"/>
        <v>0.68157172440569747</v>
      </c>
      <c r="J91" s="3">
        <f t="shared" si="13"/>
        <v>5.9964713395053194E-2</v>
      </c>
      <c r="K91" s="26">
        <f t="shared" si="14"/>
        <v>-0.50714285714285667</v>
      </c>
      <c r="L91" s="26">
        <f t="shared" si="15"/>
        <v>7.0595238095239043E-2</v>
      </c>
      <c r="M91" s="26">
        <f t="shared" si="16"/>
        <v>0.94445427728613618</v>
      </c>
      <c r="N91" s="26">
        <f t="shared" si="17"/>
        <v>0.40309523809523795</v>
      </c>
      <c r="O91" s="26">
        <f t="shared" si="18"/>
        <v>0.39773809523809533</v>
      </c>
      <c r="P91" s="26">
        <f t="shared" si="19"/>
        <v>0.31621786767804561</v>
      </c>
    </row>
    <row r="92" spans="1:16" x14ac:dyDescent="0.25">
      <c r="A92" s="2">
        <v>44118</v>
      </c>
      <c r="B92">
        <v>54.94</v>
      </c>
      <c r="C92">
        <v>57.64</v>
      </c>
      <c r="D92">
        <v>54.81</v>
      </c>
      <c r="E92">
        <v>54.63</v>
      </c>
      <c r="G92">
        <f t="shared" si="10"/>
        <v>1.615000000000002</v>
      </c>
      <c r="H92">
        <f t="shared" si="11"/>
        <v>-3.5700000000000003</v>
      </c>
      <c r="I92" s="3">
        <f t="shared" si="12"/>
        <v>0.98271243455911461</v>
      </c>
      <c r="J92" s="3">
        <f t="shared" si="13"/>
        <v>-0.43315082383001835</v>
      </c>
      <c r="K92" s="26">
        <f t="shared" si="14"/>
        <v>-0.4876190476190474</v>
      </c>
      <c r="L92" s="26">
        <f t="shared" si="15"/>
        <v>7.7976190476191753E-2</v>
      </c>
      <c r="M92" s="26">
        <f t="shared" si="16"/>
        <v>0.96040033712600126</v>
      </c>
      <c r="N92" s="26">
        <f t="shared" si="17"/>
        <v>0.40619047619047555</v>
      </c>
      <c r="O92" s="26">
        <f t="shared" si="18"/>
        <v>0.39511904761904737</v>
      </c>
      <c r="P92" s="26">
        <f t="shared" si="19"/>
        <v>0.31283396544458575</v>
      </c>
    </row>
    <row r="93" spans="1:16" x14ac:dyDescent="0.25">
      <c r="A93" s="2">
        <v>44117</v>
      </c>
      <c r="B93">
        <v>55.68</v>
      </c>
      <c r="C93">
        <v>59.25</v>
      </c>
      <c r="D93">
        <v>55.85</v>
      </c>
      <c r="E93">
        <v>55.84</v>
      </c>
      <c r="G93">
        <f t="shared" si="10"/>
        <v>1.6700000000000017</v>
      </c>
      <c r="H93">
        <f t="shared" si="11"/>
        <v>-3.259999999999998</v>
      </c>
      <c r="I93" s="3">
        <f t="shared" si="12"/>
        <v>1.1063600962748776</v>
      </c>
      <c r="J93" s="3">
        <f t="shared" si="13"/>
        <v>-0.26094821958722414</v>
      </c>
      <c r="K93" s="26">
        <f t="shared" si="14"/>
        <v>-0.28857142857142781</v>
      </c>
      <c r="L93" s="26">
        <f t="shared" si="15"/>
        <v>0.19690476190476325</v>
      </c>
      <c r="M93" s="26">
        <f t="shared" si="16"/>
        <v>1.0717530552043826</v>
      </c>
      <c r="N93" s="26">
        <f t="shared" si="17"/>
        <v>0.34857142857142742</v>
      </c>
      <c r="O93" s="26">
        <f t="shared" si="18"/>
        <v>0.35791666666666666</v>
      </c>
      <c r="P93" s="26">
        <f t="shared" si="19"/>
        <v>0.27988411293721072</v>
      </c>
    </row>
    <row r="94" spans="1:16" x14ac:dyDescent="0.25">
      <c r="A94" s="2">
        <v>44116</v>
      </c>
      <c r="B94">
        <v>56.35</v>
      </c>
      <c r="C94">
        <v>59.61</v>
      </c>
      <c r="D94">
        <v>56.31</v>
      </c>
      <c r="E94">
        <v>56.52</v>
      </c>
      <c r="G94">
        <f t="shared" si="10"/>
        <v>1.6550000000000011</v>
      </c>
      <c r="H94">
        <f t="shared" si="11"/>
        <v>-4.009999999999998</v>
      </c>
      <c r="I94" s="3">
        <f t="shared" si="12"/>
        <v>1.0831446585187348</v>
      </c>
      <c r="J94" s="3">
        <f t="shared" si="13"/>
        <v>-0.68822503609813535</v>
      </c>
      <c r="K94" s="26">
        <f t="shared" si="14"/>
        <v>-6.5714285714285836E-2</v>
      </c>
      <c r="L94" s="26">
        <f t="shared" si="15"/>
        <v>0.33005952380952497</v>
      </c>
      <c r="M94" s="26">
        <f t="shared" si="16"/>
        <v>1.2066034555415088</v>
      </c>
      <c r="N94" s="26">
        <f t="shared" si="17"/>
        <v>0.27523809523809395</v>
      </c>
      <c r="O94" s="26">
        <f t="shared" si="18"/>
        <v>0.30681547619047578</v>
      </c>
      <c r="P94" s="26">
        <f t="shared" si="19"/>
        <v>0.22876316898440785</v>
      </c>
    </row>
    <row r="95" spans="1:16" x14ac:dyDescent="0.25">
      <c r="A95" s="2">
        <v>44113</v>
      </c>
      <c r="B95">
        <v>55.6</v>
      </c>
      <c r="C95">
        <v>59.61</v>
      </c>
      <c r="D95">
        <v>55.95</v>
      </c>
      <c r="E95">
        <v>55.95</v>
      </c>
      <c r="G95">
        <f t="shared" si="10"/>
        <v>1.3549999999999969</v>
      </c>
      <c r="H95">
        <f t="shared" si="11"/>
        <v>-3.1099999999999994</v>
      </c>
      <c r="I95" s="3">
        <f t="shared" si="12"/>
        <v>0.43538013984499424</v>
      </c>
      <c r="J95" s="3">
        <f t="shared" si="13"/>
        <v>-0.18526934695338743</v>
      </c>
      <c r="K95" s="26">
        <f t="shared" si="14"/>
        <v>0.17952380952380986</v>
      </c>
      <c r="L95" s="26">
        <f t="shared" si="15"/>
        <v>0.49357142857142966</v>
      </c>
      <c r="M95" s="26">
        <f t="shared" si="16"/>
        <v>1.3728950695322379</v>
      </c>
      <c r="N95" s="26">
        <f t="shared" si="17"/>
        <v>0.22071428571428497</v>
      </c>
      <c r="O95" s="26">
        <f t="shared" si="18"/>
        <v>0.26232142857142793</v>
      </c>
      <c r="P95" s="26">
        <f t="shared" si="19"/>
        <v>0.18725663716814167</v>
      </c>
    </row>
    <row r="96" spans="1:16" x14ac:dyDescent="0.25">
      <c r="A96" s="2">
        <v>44112</v>
      </c>
      <c r="B96">
        <v>56.54</v>
      </c>
      <c r="C96">
        <v>59.65</v>
      </c>
      <c r="D96">
        <v>56.74</v>
      </c>
      <c r="E96">
        <v>56.73</v>
      </c>
      <c r="G96">
        <f t="shared" si="10"/>
        <v>1.4500000000000028</v>
      </c>
      <c r="H96">
        <f t="shared" si="11"/>
        <v>-2.0599999999999952</v>
      </c>
      <c r="I96" s="3">
        <f t="shared" si="12"/>
        <v>0.64623929107409217</v>
      </c>
      <c r="J96" s="3">
        <f t="shared" si="13"/>
        <v>0.40580104702504577</v>
      </c>
      <c r="K96" s="26">
        <f t="shared" si="14"/>
        <v>0.27476190476190565</v>
      </c>
      <c r="L96" s="26">
        <f t="shared" si="15"/>
        <v>0.5592857142857155</v>
      </c>
      <c r="M96" s="26">
        <f t="shared" si="16"/>
        <v>1.4499747155499367</v>
      </c>
      <c r="N96" s="26">
        <f t="shared" si="17"/>
        <v>0.22547619047618972</v>
      </c>
      <c r="O96" s="26">
        <f t="shared" si="18"/>
        <v>0.26202380952380921</v>
      </c>
      <c r="P96" s="26">
        <f t="shared" si="19"/>
        <v>0.18403076274757724</v>
      </c>
    </row>
    <row r="97" spans="1:16" x14ac:dyDescent="0.25">
      <c r="A97" s="2">
        <v>44111</v>
      </c>
      <c r="B97">
        <v>57.81</v>
      </c>
      <c r="C97">
        <v>59.87</v>
      </c>
      <c r="D97">
        <v>57.39</v>
      </c>
      <c r="E97">
        <v>57.51</v>
      </c>
      <c r="G97">
        <f t="shared" si="10"/>
        <v>1.3850000000000051</v>
      </c>
      <c r="H97">
        <f t="shared" si="11"/>
        <v>-2.2299999999999969</v>
      </c>
      <c r="I97" s="3">
        <f t="shared" si="12"/>
        <v>0.50668782523396061</v>
      </c>
      <c r="J97" s="3">
        <f t="shared" si="13"/>
        <v>0.309606472356108</v>
      </c>
      <c r="K97" s="26">
        <f t="shared" si="14"/>
        <v>0.23380952380952458</v>
      </c>
      <c r="L97" s="26">
        <f t="shared" si="15"/>
        <v>0.50726190476190647</v>
      </c>
      <c r="M97" s="26">
        <f t="shared" si="16"/>
        <v>1.4079983143699959</v>
      </c>
      <c r="N97" s="26">
        <f t="shared" si="17"/>
        <v>0.25404761904761886</v>
      </c>
      <c r="O97" s="26">
        <f t="shared" si="18"/>
        <v>0.28154761904761849</v>
      </c>
      <c r="P97" s="26">
        <f t="shared" si="19"/>
        <v>0.19821323219553322</v>
      </c>
    </row>
    <row r="98" spans="1:16" x14ac:dyDescent="0.25">
      <c r="A98" s="2">
        <v>44110</v>
      </c>
      <c r="B98">
        <v>57.68</v>
      </c>
      <c r="C98">
        <v>59.91</v>
      </c>
      <c r="D98">
        <v>57.41</v>
      </c>
      <c r="E98">
        <v>57.4</v>
      </c>
      <c r="G98">
        <f t="shared" si="10"/>
        <v>1.4350000000000023</v>
      </c>
      <c r="H98">
        <f t="shared" si="11"/>
        <v>-1.9699999999999989</v>
      </c>
      <c r="I98" s="3">
        <f t="shared" si="12"/>
        <v>0.62055286266185161</v>
      </c>
      <c r="J98" s="3">
        <f t="shared" si="13"/>
        <v>0.45409649502638949</v>
      </c>
      <c r="K98" s="26">
        <f t="shared" si="14"/>
        <v>0.25142857142857222</v>
      </c>
      <c r="L98" s="26">
        <f t="shared" si="15"/>
        <v>0.50017857142857247</v>
      </c>
      <c r="M98" s="26">
        <f t="shared" si="16"/>
        <v>1.4144627054361574</v>
      </c>
      <c r="N98" s="26">
        <f t="shared" si="17"/>
        <v>0.28095238095238018</v>
      </c>
      <c r="O98" s="26">
        <f t="shared" si="18"/>
        <v>0.29877976190476119</v>
      </c>
      <c r="P98" s="26">
        <f t="shared" si="19"/>
        <v>0.20467340918668353</v>
      </c>
    </row>
    <row r="99" spans="1:16" x14ac:dyDescent="0.25">
      <c r="A99" s="2">
        <v>44109</v>
      </c>
      <c r="B99">
        <v>58.63</v>
      </c>
      <c r="C99">
        <v>60.6</v>
      </c>
      <c r="D99">
        <v>58.18</v>
      </c>
      <c r="E99">
        <v>58.06</v>
      </c>
      <c r="G99">
        <f t="shared" si="10"/>
        <v>1.5750000000000028</v>
      </c>
      <c r="H99">
        <f t="shared" si="11"/>
        <v>-1.9499999999999957</v>
      </c>
      <c r="I99" s="3">
        <f t="shared" si="12"/>
        <v>0.92925208485733679</v>
      </c>
      <c r="J99" s="3">
        <f t="shared" si="13"/>
        <v>0.46520992952875034</v>
      </c>
      <c r="K99" s="26">
        <f t="shared" si="14"/>
        <v>0.2009523809523821</v>
      </c>
      <c r="L99" s="26">
        <f t="shared" si="15"/>
        <v>0.43565476190476327</v>
      </c>
      <c r="M99" s="26">
        <f t="shared" si="16"/>
        <v>1.3795533080488833</v>
      </c>
      <c r="N99" s="26">
        <f t="shared" si="17"/>
        <v>0.29809523809523775</v>
      </c>
      <c r="O99" s="26">
        <f t="shared" si="18"/>
        <v>0.31282738095238027</v>
      </c>
      <c r="P99" s="26">
        <f t="shared" si="19"/>
        <v>0.20880320269700814</v>
      </c>
    </row>
    <row r="100" spans="1:16" x14ac:dyDescent="0.25">
      <c r="A100" s="2">
        <v>44106</v>
      </c>
      <c r="B100">
        <v>57.88</v>
      </c>
      <c r="C100">
        <v>59.83</v>
      </c>
      <c r="D100">
        <v>57.28</v>
      </c>
      <c r="E100">
        <v>57.48</v>
      </c>
      <c r="G100">
        <f t="shared" si="10"/>
        <v>1.4549999999999983</v>
      </c>
      <c r="H100">
        <f t="shared" si="11"/>
        <v>-1.8699999999999974</v>
      </c>
      <c r="I100" s="3">
        <f t="shared" si="12"/>
        <v>0.67039082599554189</v>
      </c>
      <c r="J100" s="3">
        <f t="shared" si="13"/>
        <v>0.51058235996992329</v>
      </c>
      <c r="K100" s="26">
        <f t="shared" si="14"/>
        <v>0.24190476190476229</v>
      </c>
      <c r="L100" s="26">
        <f t="shared" si="15"/>
        <v>0.455952380952382</v>
      </c>
      <c r="M100" s="26">
        <f t="shared" si="16"/>
        <v>1.3996123050990303</v>
      </c>
      <c r="N100" s="26">
        <f t="shared" si="17"/>
        <v>0.27952380952380906</v>
      </c>
      <c r="O100" s="26">
        <f t="shared" si="18"/>
        <v>0.29357142857142793</v>
      </c>
      <c r="P100" s="26">
        <f t="shared" si="19"/>
        <v>0.18752212389380518</v>
      </c>
    </row>
    <row r="101" spans="1:16" x14ac:dyDescent="0.25">
      <c r="A101" s="2">
        <v>44105</v>
      </c>
      <c r="B101">
        <v>58.6</v>
      </c>
      <c r="C101">
        <v>60.47</v>
      </c>
      <c r="D101">
        <v>58.08</v>
      </c>
      <c r="E101">
        <v>58.06</v>
      </c>
      <c r="G101">
        <f t="shared" si="10"/>
        <v>1.5750000000000028</v>
      </c>
      <c r="H101">
        <f t="shared" si="11"/>
        <v>-2.0700000000000003</v>
      </c>
      <c r="I101" s="3">
        <f t="shared" si="12"/>
        <v>0.93826568822981982</v>
      </c>
      <c r="J101" s="3">
        <f t="shared" si="13"/>
        <v>0.39849274506790844</v>
      </c>
      <c r="K101" s="26">
        <f t="shared" si="14"/>
        <v>0.20000000000000062</v>
      </c>
      <c r="L101" s="26">
        <f t="shared" si="15"/>
        <v>0.41601190476190641</v>
      </c>
      <c r="M101" s="26">
        <f t="shared" si="16"/>
        <v>1.3514622840286554</v>
      </c>
      <c r="N101" s="26">
        <f t="shared" si="17"/>
        <v>0.27904761904761832</v>
      </c>
      <c r="O101" s="26">
        <f t="shared" si="18"/>
        <v>0.29622023809523745</v>
      </c>
      <c r="P101" s="26">
        <f t="shared" si="19"/>
        <v>0.19305099030762718</v>
      </c>
    </row>
    <row r="102" spans="1:16" x14ac:dyDescent="0.25">
      <c r="A102" s="2">
        <v>44104</v>
      </c>
      <c r="B102">
        <v>58.49</v>
      </c>
      <c r="C102">
        <v>60.56</v>
      </c>
      <c r="D102">
        <v>57.95</v>
      </c>
      <c r="E102">
        <v>58.07</v>
      </c>
      <c r="G102">
        <f t="shared" si="10"/>
        <v>1.4299999999999997</v>
      </c>
      <c r="H102">
        <f t="shared" si="11"/>
        <v>-1.759999999999998</v>
      </c>
      <c r="I102" s="3">
        <f t="shared" si="12"/>
        <v>0.60887986495176272</v>
      </c>
      <c r="J102" s="3">
        <f t="shared" si="13"/>
        <v>0.57371532594985841</v>
      </c>
      <c r="K102" s="26">
        <f t="shared" si="14"/>
        <v>0.2014285714285724</v>
      </c>
      <c r="L102" s="26">
        <f t="shared" si="15"/>
        <v>0.41065476190476291</v>
      </c>
      <c r="M102" s="26">
        <f t="shared" si="16"/>
        <v>1.3416772018541931</v>
      </c>
      <c r="N102" s="26">
        <f t="shared" si="17"/>
        <v>0.30595238095238009</v>
      </c>
      <c r="O102" s="26">
        <f t="shared" si="18"/>
        <v>0.30276785714285648</v>
      </c>
      <c r="P102" s="26">
        <f t="shared" si="19"/>
        <v>0.19061946902654836</v>
      </c>
    </row>
    <row r="103" spans="1:16" x14ac:dyDescent="0.25">
      <c r="A103" s="2">
        <v>44103</v>
      </c>
      <c r="B103">
        <v>58.65</v>
      </c>
      <c r="C103">
        <v>60.41</v>
      </c>
      <c r="D103">
        <v>58.1</v>
      </c>
      <c r="E103">
        <v>58.08</v>
      </c>
      <c r="G103">
        <f t="shared" si="10"/>
        <v>1.9450000000000074</v>
      </c>
      <c r="H103">
        <f t="shared" si="11"/>
        <v>-2.3099999999999952</v>
      </c>
      <c r="I103" s="3">
        <f t="shared" si="12"/>
        <v>1.7278864624667523</v>
      </c>
      <c r="J103" s="3">
        <f t="shared" si="13"/>
        <v>0.26266125400628715</v>
      </c>
      <c r="K103" s="26">
        <f t="shared" si="14"/>
        <v>0.22000000000000108</v>
      </c>
      <c r="L103" s="26">
        <f t="shared" si="15"/>
        <v>0.41250000000000231</v>
      </c>
      <c r="M103" s="26">
        <f t="shared" si="16"/>
        <v>1.3503919089759799</v>
      </c>
      <c r="N103" s="26">
        <f t="shared" si="17"/>
        <v>0.29904761904761812</v>
      </c>
      <c r="O103" s="26">
        <f t="shared" si="18"/>
        <v>0.2896428571428562</v>
      </c>
      <c r="P103" s="26">
        <f t="shared" si="19"/>
        <v>0.16527180783817919</v>
      </c>
    </row>
    <row r="104" spans="1:16" x14ac:dyDescent="0.25">
      <c r="A104" s="2">
        <v>44102</v>
      </c>
      <c r="B104">
        <v>57.09</v>
      </c>
      <c r="C104">
        <v>59.4</v>
      </c>
      <c r="D104">
        <v>56.3</v>
      </c>
      <c r="E104">
        <v>56.28</v>
      </c>
      <c r="G104">
        <f t="shared" si="10"/>
        <v>2.2299999999999969</v>
      </c>
      <c r="H104">
        <f t="shared" si="11"/>
        <v>-3.7600000000000051</v>
      </c>
      <c r="I104" s="3">
        <f t="shared" si="12"/>
        <v>2.3705131437401969</v>
      </c>
      <c r="J104" s="3">
        <f t="shared" si="13"/>
        <v>-0.55856012230750651</v>
      </c>
      <c r="K104" s="26">
        <f t="shared" si="14"/>
        <v>0.35190476190476261</v>
      </c>
      <c r="L104" s="26">
        <f t="shared" si="15"/>
        <v>0.48386904761904903</v>
      </c>
      <c r="M104" s="26">
        <f t="shared" si="16"/>
        <v>1.4196544458491358</v>
      </c>
      <c r="N104" s="26">
        <f t="shared" si="17"/>
        <v>0.20880952380952267</v>
      </c>
      <c r="O104" s="26">
        <f t="shared" si="18"/>
        <v>0.21937499999999899</v>
      </c>
      <c r="P104" s="26">
        <f t="shared" si="19"/>
        <v>9.3590391908975334E-2</v>
      </c>
    </row>
    <row r="105" spans="1:16" x14ac:dyDescent="0.25">
      <c r="A105" s="2">
        <v>44099</v>
      </c>
      <c r="B105">
        <v>56.3</v>
      </c>
      <c r="C105">
        <v>60.06</v>
      </c>
      <c r="D105">
        <v>55.95</v>
      </c>
      <c r="E105">
        <v>55.93</v>
      </c>
      <c r="G105">
        <f t="shared" si="10"/>
        <v>1.7999999999999972</v>
      </c>
      <c r="H105">
        <f t="shared" si="11"/>
        <v>-3.2800000000000011</v>
      </c>
      <c r="I105" s="3">
        <f t="shared" si="12"/>
        <v>1.4555850940813857</v>
      </c>
      <c r="J105" s="3">
        <f t="shared" si="13"/>
        <v>-0.29383263776480489</v>
      </c>
      <c r="K105" s="26">
        <f t="shared" si="14"/>
        <v>0.49952380952381059</v>
      </c>
      <c r="L105" s="26">
        <f t="shared" si="15"/>
        <v>0.58738095238095411</v>
      </c>
      <c r="M105" s="26">
        <f t="shared" si="16"/>
        <v>1.5303455541508639</v>
      </c>
      <c r="N105" s="26">
        <f t="shared" si="17"/>
        <v>0.14357142857142757</v>
      </c>
      <c r="O105" s="26">
        <f t="shared" si="18"/>
        <v>0.16690476190476167</v>
      </c>
      <c r="P105" s="26">
        <f t="shared" si="19"/>
        <v>3.3175305520438236E-2</v>
      </c>
    </row>
    <row r="106" spans="1:16" x14ac:dyDescent="0.25">
      <c r="A106" s="2">
        <v>44098</v>
      </c>
      <c r="B106">
        <v>55.29</v>
      </c>
      <c r="C106">
        <v>58.57</v>
      </c>
      <c r="D106">
        <v>55.13</v>
      </c>
      <c r="E106">
        <v>54.97</v>
      </c>
      <c r="G106">
        <f t="shared" si="10"/>
        <v>1.9299999999999997</v>
      </c>
      <c r="H106">
        <f t="shared" si="11"/>
        <v>-3.1999999999999957</v>
      </c>
      <c r="I106" s="3">
        <f t="shared" si="12"/>
        <v>1.7588630074652041</v>
      </c>
      <c r="J106" s="3">
        <f t="shared" si="13"/>
        <v>-0.25336932356040159</v>
      </c>
      <c r="K106" s="26">
        <f t="shared" si="14"/>
        <v>0.66142857142857281</v>
      </c>
      <c r="L106" s="26">
        <f t="shared" si="15"/>
        <v>0.70392857142857412</v>
      </c>
      <c r="M106" s="26">
        <f t="shared" si="16"/>
        <v>1.6376359039190911</v>
      </c>
      <c r="N106" s="26">
        <f t="shared" si="17"/>
        <v>9.1666666666665453E-2</v>
      </c>
      <c r="O106" s="26">
        <f t="shared" si="18"/>
        <v>0.12511904761904691</v>
      </c>
      <c r="P106" s="26">
        <f t="shared" si="19"/>
        <v>-8.1774125579441304E-3</v>
      </c>
    </row>
    <row r="107" spans="1:16" x14ac:dyDescent="0.25">
      <c r="A107" s="2">
        <v>44097</v>
      </c>
      <c r="B107">
        <v>55.31</v>
      </c>
      <c r="C107">
        <v>58.51</v>
      </c>
      <c r="D107">
        <v>54.98</v>
      </c>
      <c r="E107">
        <v>55.12</v>
      </c>
      <c r="G107">
        <f t="shared" si="10"/>
        <v>1.8549999999999969</v>
      </c>
      <c r="H107">
        <f t="shared" si="11"/>
        <v>-2.8299999999999983</v>
      </c>
      <c r="I107" s="3">
        <f t="shared" si="12"/>
        <v>1.6028020270782961</v>
      </c>
      <c r="J107" s="3">
        <f t="shared" si="13"/>
        <v>-5.070772161917244E-2</v>
      </c>
      <c r="K107" s="26">
        <f t="shared" si="14"/>
        <v>0.84428571428571608</v>
      </c>
      <c r="L107" s="26">
        <f t="shared" si="15"/>
        <v>0.79952380952381175</v>
      </c>
      <c r="M107" s="26">
        <f t="shared" si="16"/>
        <v>1.7305478297513699</v>
      </c>
      <c r="N107" s="26">
        <f t="shared" si="17"/>
        <v>1.2619047619046198E-2</v>
      </c>
      <c r="O107" s="26">
        <f t="shared" si="18"/>
        <v>7.6011904761903448E-2</v>
      </c>
      <c r="P107" s="26">
        <f t="shared" si="19"/>
        <v>-5.9656552886642178E-2</v>
      </c>
    </row>
    <row r="108" spans="1:16" x14ac:dyDescent="0.25">
      <c r="A108" s="2">
        <v>44096</v>
      </c>
      <c r="B108">
        <v>53.89</v>
      </c>
      <c r="C108">
        <v>56.72</v>
      </c>
      <c r="D108">
        <v>53.45</v>
      </c>
      <c r="E108">
        <v>53.44</v>
      </c>
      <c r="G108">
        <f t="shared" si="10"/>
        <v>1.8900000000000006</v>
      </c>
      <c r="H108">
        <f t="shared" si="11"/>
        <v>-3.9399999999999977</v>
      </c>
      <c r="I108" s="3">
        <f t="shared" si="12"/>
        <v>1.6846223958971782</v>
      </c>
      <c r="J108" s="3">
        <f t="shared" si="13"/>
        <v>-0.672919142403126</v>
      </c>
      <c r="K108" s="26">
        <f t="shared" si="14"/>
        <v>0.98380952380952547</v>
      </c>
      <c r="L108" s="26">
        <f t="shared" si="15"/>
        <v>0.87255952380952628</v>
      </c>
      <c r="M108" s="26">
        <f t="shared" si="16"/>
        <v>1.7984745048461868</v>
      </c>
      <c r="N108" s="26">
        <f t="shared" si="17"/>
        <v>-2.6190476190476764E-2</v>
      </c>
      <c r="O108" s="26">
        <f t="shared" si="18"/>
        <v>4.0863095238094616E-2</v>
      </c>
      <c r="P108" s="26">
        <f t="shared" si="19"/>
        <v>-9.6418036241045613E-2</v>
      </c>
    </row>
    <row r="109" spans="1:16" x14ac:dyDescent="0.25">
      <c r="A109" s="2">
        <v>44095</v>
      </c>
      <c r="B109">
        <v>52.77</v>
      </c>
      <c r="C109">
        <v>56.71</v>
      </c>
      <c r="D109">
        <v>52.85</v>
      </c>
      <c r="E109">
        <v>52.92</v>
      </c>
      <c r="G109">
        <f t="shared" si="10"/>
        <v>1.3950000000000031</v>
      </c>
      <c r="H109">
        <f t="shared" si="11"/>
        <v>-2.75</v>
      </c>
      <c r="I109" s="3">
        <f t="shared" si="12"/>
        <v>0.58214079206838143</v>
      </c>
      <c r="J109" s="3">
        <f t="shared" si="13"/>
        <v>-1.0495278372478965E-2</v>
      </c>
      <c r="K109" s="26">
        <f t="shared" si="14"/>
        <v>1.0085714285714298</v>
      </c>
      <c r="L109" s="26">
        <f t="shared" si="15"/>
        <v>0.91000000000000192</v>
      </c>
      <c r="M109" s="26">
        <f t="shared" si="16"/>
        <v>1.8141466498103669</v>
      </c>
      <c r="N109" s="26">
        <f t="shared" si="17"/>
        <v>-6.1904761904762795E-2</v>
      </c>
      <c r="O109" s="26">
        <f t="shared" si="18"/>
        <v>1.1904761904760974E-2</v>
      </c>
      <c r="P109" s="26">
        <f t="shared" si="19"/>
        <v>-0.1275832279814586</v>
      </c>
    </row>
    <row r="110" spans="1:16" x14ac:dyDescent="0.25">
      <c r="A110" s="2">
        <v>44092</v>
      </c>
      <c r="B110">
        <v>51.84</v>
      </c>
      <c r="C110">
        <v>54.59</v>
      </c>
      <c r="D110">
        <v>51.82</v>
      </c>
      <c r="E110">
        <v>51.81</v>
      </c>
      <c r="G110">
        <f t="shared" si="10"/>
        <v>1.5300000000000011</v>
      </c>
      <c r="H110">
        <f t="shared" si="11"/>
        <v>-3.2199999999999989</v>
      </c>
      <c r="I110" s="3">
        <f t="shared" si="12"/>
        <v>0.87698157404924104</v>
      </c>
      <c r="J110" s="3">
        <f t="shared" si="13"/>
        <v>-0.27025188362158947</v>
      </c>
      <c r="K110" s="26">
        <f t="shared" si="14"/>
        <v>1.0457142857142872</v>
      </c>
      <c r="L110" s="26">
        <f t="shared" si="15"/>
        <v>0.90315476190476485</v>
      </c>
      <c r="M110" s="26">
        <f t="shared" si="16"/>
        <v>1.7828529287821326</v>
      </c>
      <c r="N110" s="26">
        <f t="shared" si="17"/>
        <v>-9.0000000000000968E-2</v>
      </c>
      <c r="O110" s="26">
        <f t="shared" si="18"/>
        <v>1.1636904761903599E-2</v>
      </c>
      <c r="P110" s="26">
        <f t="shared" si="19"/>
        <v>-0.12846818373367075</v>
      </c>
    </row>
    <row r="111" spans="1:16" x14ac:dyDescent="0.25">
      <c r="A111" s="2">
        <v>44091</v>
      </c>
      <c r="B111">
        <v>52.93</v>
      </c>
      <c r="C111">
        <v>56.15</v>
      </c>
      <c r="D111">
        <v>53.01</v>
      </c>
      <c r="E111">
        <v>53</v>
      </c>
      <c r="G111">
        <f t="shared" si="10"/>
        <v>1.279999999999994</v>
      </c>
      <c r="H111">
        <f t="shared" si="11"/>
        <v>-2.1799999999999997</v>
      </c>
      <c r="I111" s="3">
        <f t="shared" si="12"/>
        <v>0.31536381937441149</v>
      </c>
      <c r="J111" s="3">
        <f t="shared" si="13"/>
        <v>0.31599416342467868</v>
      </c>
      <c r="K111" s="26">
        <f t="shared" si="14"/>
        <v>1.1538095238095254</v>
      </c>
      <c r="L111" s="26">
        <f t="shared" si="15"/>
        <v>0.94154761904762108</v>
      </c>
      <c r="M111" s="26">
        <f t="shared" si="16"/>
        <v>1.7874799831437</v>
      </c>
      <c r="N111" s="26">
        <f t="shared" si="17"/>
        <v>-0.11023809523809591</v>
      </c>
      <c r="O111" s="26">
        <f t="shared" si="18"/>
        <v>1.0535714285713205E-2</v>
      </c>
      <c r="P111" s="26">
        <f t="shared" si="19"/>
        <v>-0.12749051833122627</v>
      </c>
    </row>
    <row r="112" spans="1:16" x14ac:dyDescent="0.25">
      <c r="A112" s="2">
        <v>44090</v>
      </c>
      <c r="B112">
        <v>53.04</v>
      </c>
      <c r="C112">
        <v>55.22</v>
      </c>
      <c r="D112">
        <v>52.85</v>
      </c>
      <c r="E112">
        <v>52.83</v>
      </c>
      <c r="G112">
        <f t="shared" si="10"/>
        <v>1.394999999999996</v>
      </c>
      <c r="H112">
        <f t="shared" si="11"/>
        <v>-2.5900000000000034</v>
      </c>
      <c r="I112" s="3">
        <f t="shared" si="12"/>
        <v>0.55977041325660426</v>
      </c>
      <c r="J112" s="3">
        <f t="shared" si="13"/>
        <v>9.5134292797232345E-2</v>
      </c>
      <c r="K112" s="26">
        <f t="shared" si="14"/>
        <v>1.2776190476190492</v>
      </c>
      <c r="L112" s="26">
        <f t="shared" si="15"/>
        <v>0.96398809523809703</v>
      </c>
      <c r="M112" s="26">
        <f t="shared" si="16"/>
        <v>1.7675263379688162</v>
      </c>
      <c r="N112" s="26">
        <f t="shared" si="17"/>
        <v>-0.12785714285714223</v>
      </c>
      <c r="O112" s="26">
        <f t="shared" si="18"/>
        <v>9.3749999999999112E-3</v>
      </c>
      <c r="P112" s="26">
        <f t="shared" si="19"/>
        <v>-0.12324905183312218</v>
      </c>
    </row>
    <row r="113" spans="1:16" x14ac:dyDescent="0.25">
      <c r="A113" s="2">
        <v>44089</v>
      </c>
      <c r="B113">
        <v>53.23</v>
      </c>
      <c r="C113">
        <v>55.82</v>
      </c>
      <c r="D113">
        <v>53.13</v>
      </c>
      <c r="E113">
        <v>53.18</v>
      </c>
      <c r="G113">
        <f t="shared" si="10"/>
        <v>0.94999999999999574</v>
      </c>
      <c r="H113">
        <f t="shared" si="11"/>
        <v>-1.6199999999999974</v>
      </c>
      <c r="I113" s="3">
        <f t="shared" si="12"/>
        <v>-0.42957368669254498</v>
      </c>
      <c r="J113" s="3">
        <f t="shared" si="13"/>
        <v>0.63586136693441386</v>
      </c>
      <c r="K113" s="26">
        <f t="shared" si="14"/>
        <v>1.3209523809523827</v>
      </c>
      <c r="L113" s="26">
        <f t="shared" si="15"/>
        <v>0.96845238095238306</v>
      </c>
      <c r="M113" s="26">
        <f t="shared" si="16"/>
        <v>1.734656552886642</v>
      </c>
      <c r="N113" s="26">
        <f t="shared" si="17"/>
        <v>-0.15523809523809406</v>
      </c>
      <c r="O113" s="26">
        <f t="shared" si="18"/>
        <v>-3.5714285714227856E-4</v>
      </c>
      <c r="P113" s="26">
        <f t="shared" si="19"/>
        <v>-0.12455120101137696</v>
      </c>
    </row>
    <row r="114" spans="1:16" x14ac:dyDescent="0.25">
      <c r="A114" s="2">
        <v>44088</v>
      </c>
      <c r="B114">
        <v>53.21</v>
      </c>
      <c r="C114">
        <v>54.83</v>
      </c>
      <c r="D114">
        <v>53.07</v>
      </c>
      <c r="E114">
        <v>53.22</v>
      </c>
      <c r="G114">
        <f t="shared" si="10"/>
        <v>0.75999999999999801</v>
      </c>
      <c r="H114">
        <f t="shared" si="11"/>
        <v>-1.0600000000000023</v>
      </c>
      <c r="I114" s="3">
        <f t="shared" si="12"/>
        <v>-0.85446777268423746</v>
      </c>
      <c r="J114" s="3">
        <f t="shared" si="13"/>
        <v>0.95212186576328073</v>
      </c>
      <c r="K114" s="26">
        <f t="shared" si="14"/>
        <v>1.35</v>
      </c>
      <c r="L114" s="26">
        <f t="shared" si="15"/>
        <v>0.85994047619047631</v>
      </c>
      <c r="M114" s="26">
        <f t="shared" si="16"/>
        <v>1.5996165191740404</v>
      </c>
      <c r="N114" s="26">
        <f t="shared" si="17"/>
        <v>-0.14785714285714113</v>
      </c>
      <c r="O114" s="26">
        <f t="shared" si="18"/>
        <v>2.997023809523891E-2</v>
      </c>
      <c r="P114" s="26">
        <f t="shared" si="19"/>
        <v>-9.1696165191739176E-2</v>
      </c>
    </row>
    <row r="115" spans="1:16" x14ac:dyDescent="0.25">
      <c r="A115" s="2">
        <v>44085</v>
      </c>
      <c r="B115">
        <v>52.8</v>
      </c>
      <c r="C115">
        <v>53.86</v>
      </c>
      <c r="D115">
        <v>52.57</v>
      </c>
      <c r="E115">
        <v>52.64</v>
      </c>
      <c r="G115">
        <f t="shared" si="10"/>
        <v>0.88000000000000256</v>
      </c>
      <c r="H115">
        <f t="shared" si="11"/>
        <v>-1.1199999999999974</v>
      </c>
      <c r="I115" s="3">
        <f t="shared" si="12"/>
        <v>-0.59858868603908155</v>
      </c>
      <c r="J115" s="3">
        <f t="shared" si="13"/>
        <v>0.92716409806173039</v>
      </c>
      <c r="K115" s="26">
        <f t="shared" si="14"/>
        <v>1.2080952380952388</v>
      </c>
      <c r="L115" s="26">
        <f t="shared" si="15"/>
        <v>0.75363095238095346</v>
      </c>
      <c r="M115" s="26">
        <f t="shared" si="16"/>
        <v>1.4525832279814579</v>
      </c>
      <c r="N115" s="26">
        <f t="shared" si="17"/>
        <v>-0.1030952380952368</v>
      </c>
      <c r="O115" s="26">
        <f t="shared" si="18"/>
        <v>6.7648809523809916E-2</v>
      </c>
      <c r="P115" s="26">
        <f t="shared" si="19"/>
        <v>-5.377581120943864E-2</v>
      </c>
    </row>
    <row r="116" spans="1:16" x14ac:dyDescent="0.25">
      <c r="A116" s="2">
        <v>44084</v>
      </c>
      <c r="B116">
        <v>53.25</v>
      </c>
      <c r="C116">
        <v>54.37</v>
      </c>
      <c r="D116">
        <v>52.93</v>
      </c>
      <c r="E116">
        <v>52.91</v>
      </c>
      <c r="G116">
        <f t="shared" si="10"/>
        <v>1.3299999999999983</v>
      </c>
      <c r="H116">
        <f t="shared" si="11"/>
        <v>-2.0599999999999952</v>
      </c>
      <c r="I116" s="3">
        <f t="shared" si="12"/>
        <v>0.37434594632282459</v>
      </c>
      <c r="J116" s="3">
        <f t="shared" si="13"/>
        <v>0.41512744842131177</v>
      </c>
      <c r="K116" s="26">
        <f t="shared" si="14"/>
        <v>1.0671428571428581</v>
      </c>
      <c r="L116" s="26">
        <f t="shared" si="15"/>
        <v>0.6595833333333343</v>
      </c>
      <c r="M116" s="26">
        <f t="shared" si="16"/>
        <v>1.3246986936367464</v>
      </c>
      <c r="N116" s="26">
        <f t="shared" si="17"/>
        <v>-7.4523809523809215E-2</v>
      </c>
      <c r="O116" s="26">
        <f t="shared" si="18"/>
        <v>8.8125000000000009E-2</v>
      </c>
      <c r="P116" s="26">
        <f t="shared" si="19"/>
        <v>-3.2572692793931379E-2</v>
      </c>
    </row>
    <row r="117" spans="1:16" x14ac:dyDescent="0.25">
      <c r="A117" s="2">
        <v>44083</v>
      </c>
      <c r="B117">
        <v>52.74</v>
      </c>
      <c r="C117">
        <v>54.8</v>
      </c>
      <c r="D117">
        <v>52.44</v>
      </c>
      <c r="E117">
        <v>52.35</v>
      </c>
      <c r="G117">
        <f t="shared" si="10"/>
        <v>1.6800000000000068</v>
      </c>
      <c r="H117">
        <f t="shared" si="11"/>
        <v>-3.0399999999999991</v>
      </c>
      <c r="I117" s="3">
        <f t="shared" si="12"/>
        <v>1.1365640802110619</v>
      </c>
      <c r="J117" s="3">
        <f t="shared" si="13"/>
        <v>-0.12127560041450984</v>
      </c>
      <c r="K117" s="26">
        <f t="shared" si="14"/>
        <v>1.0109523809523822</v>
      </c>
      <c r="L117" s="26">
        <f t="shared" si="15"/>
        <v>0.63630952380952488</v>
      </c>
      <c r="M117" s="26">
        <f t="shared" si="16"/>
        <v>1.2572482090181198</v>
      </c>
      <c r="N117" s="26">
        <f t="shared" si="17"/>
        <v>-6.1666666666666314E-2</v>
      </c>
      <c r="O117" s="26">
        <f t="shared" si="18"/>
        <v>8.3690476190476426E-2</v>
      </c>
      <c r="P117" s="26">
        <f t="shared" si="19"/>
        <v>-3.3259587020648018E-2</v>
      </c>
    </row>
    <row r="118" spans="1:16" x14ac:dyDescent="0.25">
      <c r="A118" s="2">
        <v>44082</v>
      </c>
      <c r="B118">
        <v>52.77</v>
      </c>
      <c r="C118">
        <v>55.81</v>
      </c>
      <c r="D118">
        <v>52.61</v>
      </c>
      <c r="E118">
        <v>52.68</v>
      </c>
      <c r="G118">
        <f t="shared" si="10"/>
        <v>1.5949999999999989</v>
      </c>
      <c r="H118">
        <f t="shared" si="11"/>
        <v>-2.5700000000000003</v>
      </c>
      <c r="I118" s="3">
        <f t="shared" si="12"/>
        <v>0.9533050293871338</v>
      </c>
      <c r="J118" s="3">
        <f t="shared" si="13"/>
        <v>0.14076245468946627</v>
      </c>
      <c r="K118" s="26">
        <f t="shared" si="14"/>
        <v>0.93904761904762024</v>
      </c>
      <c r="L118" s="26">
        <f t="shared" si="15"/>
        <v>0.64113095238095319</v>
      </c>
      <c r="M118" s="26">
        <f t="shared" si="16"/>
        <v>1.228790560471976</v>
      </c>
      <c r="N118" s="26">
        <f t="shared" si="17"/>
        <v>-5.7619047619047459E-2</v>
      </c>
      <c r="O118" s="26">
        <f t="shared" si="18"/>
        <v>7.0803571428571299E-2</v>
      </c>
      <c r="P118" s="26">
        <f t="shared" si="19"/>
        <v>-4.4816687737041061E-2</v>
      </c>
    </row>
    <row r="119" spans="1:16" x14ac:dyDescent="0.25">
      <c r="A119" s="2">
        <v>44081</v>
      </c>
      <c r="B119">
        <v>52.73</v>
      </c>
      <c r="C119">
        <v>55.3</v>
      </c>
      <c r="D119">
        <v>52.42</v>
      </c>
      <c r="E119">
        <v>52.41</v>
      </c>
      <c r="G119">
        <f t="shared" si="10"/>
        <v>1.5050000000000026</v>
      </c>
      <c r="H119">
        <f t="shared" si="11"/>
        <v>-3.1899999999999977</v>
      </c>
      <c r="I119" s="3">
        <f t="shared" si="12"/>
        <v>0.76143544700700116</v>
      </c>
      <c r="J119" s="3">
        <f t="shared" si="13"/>
        <v>-0.20034053079592481</v>
      </c>
      <c r="K119" s="26">
        <f t="shared" si="14"/>
        <v>0.83619047619047704</v>
      </c>
      <c r="L119" s="26">
        <f t="shared" si="15"/>
        <v>0.6144642857142868</v>
      </c>
      <c r="M119" s="26">
        <f t="shared" si="16"/>
        <v>1.1709987357774962</v>
      </c>
      <c r="N119" s="26">
        <f t="shared" si="17"/>
        <v>-6.7619047619047468E-2</v>
      </c>
      <c r="O119" s="26">
        <f t="shared" si="18"/>
        <v>5.2470238095238209E-2</v>
      </c>
      <c r="P119" s="26">
        <f t="shared" si="19"/>
        <v>-5.6190476190475458E-2</v>
      </c>
    </row>
    <row r="120" spans="1:16" x14ac:dyDescent="0.25">
      <c r="A120" s="2">
        <v>44078</v>
      </c>
      <c r="B120">
        <v>52.13</v>
      </c>
      <c r="C120">
        <v>55.32</v>
      </c>
      <c r="D120">
        <v>52.22</v>
      </c>
      <c r="E120">
        <v>52.2</v>
      </c>
      <c r="G120">
        <f t="shared" si="10"/>
        <v>1.1950000000000003</v>
      </c>
      <c r="H120">
        <f t="shared" si="11"/>
        <v>-2.0900000000000034</v>
      </c>
      <c r="I120" s="3">
        <f t="shared" si="12"/>
        <v>8.6838935845479304E-2</v>
      </c>
      <c r="J120" s="3">
        <f t="shared" si="13"/>
        <v>0.4039652408975497</v>
      </c>
      <c r="K120" s="26">
        <f t="shared" si="14"/>
        <v>0.75857142857142756</v>
      </c>
      <c r="L120" s="26">
        <f t="shared" si="15"/>
        <v>0.6073809523809528</v>
      </c>
      <c r="M120" s="26">
        <f t="shared" si="16"/>
        <v>1.1331142014327846</v>
      </c>
      <c r="N120" s="26">
        <f t="shared" si="17"/>
        <v>-6.6904761904762022E-2</v>
      </c>
      <c r="O120" s="26">
        <f t="shared" si="18"/>
        <v>3.8035714285713507E-2</v>
      </c>
      <c r="P120" s="26">
        <f t="shared" si="19"/>
        <v>-6.1769911504424568E-2</v>
      </c>
    </row>
    <row r="121" spans="1:16" x14ac:dyDescent="0.25">
      <c r="A121" s="2">
        <v>44077</v>
      </c>
      <c r="B121">
        <v>51.75</v>
      </c>
      <c r="C121">
        <v>53.84</v>
      </c>
      <c r="D121">
        <v>51.6</v>
      </c>
      <c r="E121">
        <v>51.57</v>
      </c>
      <c r="G121">
        <f t="shared" si="10"/>
        <v>1.4149999999999991</v>
      </c>
      <c r="H121">
        <f t="shared" si="11"/>
        <v>-2.8699999999999974</v>
      </c>
      <c r="I121" s="3">
        <f t="shared" si="12"/>
        <v>0.56078708030977897</v>
      </c>
      <c r="J121" s="3">
        <f t="shared" si="13"/>
        <v>-2.3998286491234411E-2</v>
      </c>
      <c r="K121" s="26">
        <f t="shared" si="14"/>
        <v>0.64761904761904754</v>
      </c>
      <c r="L121" s="26">
        <f t="shared" si="15"/>
        <v>0.60172619047619147</v>
      </c>
      <c r="M121" s="26">
        <f t="shared" si="16"/>
        <v>1.0584155077960382</v>
      </c>
      <c r="N121" s="26">
        <f t="shared" si="17"/>
        <v>-5.5238095238095752E-2</v>
      </c>
      <c r="O121" s="26">
        <f t="shared" si="18"/>
        <v>3.0208333333332948E-2</v>
      </c>
      <c r="P121" s="26">
        <f t="shared" si="19"/>
        <v>-5.2709650231773875E-2</v>
      </c>
    </row>
    <row r="122" spans="1:16" x14ac:dyDescent="0.25">
      <c r="A122" s="2">
        <v>44076</v>
      </c>
      <c r="B122">
        <v>53.71</v>
      </c>
      <c r="C122">
        <v>56.58</v>
      </c>
      <c r="D122">
        <v>53.73</v>
      </c>
      <c r="E122">
        <v>53.83</v>
      </c>
      <c r="G122">
        <f t="shared" si="10"/>
        <v>1.615000000000002</v>
      </c>
      <c r="H122">
        <f t="shared" si="11"/>
        <v>-2.6099999999999994</v>
      </c>
      <c r="I122" s="3">
        <f t="shared" si="12"/>
        <v>0.99729625391256671</v>
      </c>
      <c r="J122" s="3">
        <f t="shared" si="13"/>
        <v>0.11953925594052653</v>
      </c>
      <c r="K122" s="26">
        <f t="shared" si="14"/>
        <v>0.58571428571428541</v>
      </c>
      <c r="L122" s="26">
        <f t="shared" si="15"/>
        <v>0.62458333333333416</v>
      </c>
      <c r="M122" s="26">
        <f t="shared" si="16"/>
        <v>1.0273029919932566</v>
      </c>
      <c r="N122" s="26">
        <f t="shared" si="17"/>
        <v>-2.1904761904761871E-2</v>
      </c>
      <c r="O122" s="26">
        <f t="shared" si="18"/>
        <v>3.1815476190476089E-2</v>
      </c>
      <c r="P122" s="26">
        <f t="shared" si="19"/>
        <v>-4.4536451748840689E-2</v>
      </c>
    </row>
    <row r="123" spans="1:16" x14ac:dyDescent="0.25">
      <c r="A123" s="2">
        <v>44075</v>
      </c>
      <c r="B123">
        <v>53.89</v>
      </c>
      <c r="C123">
        <v>56.5</v>
      </c>
      <c r="D123">
        <v>53.58</v>
      </c>
      <c r="E123">
        <v>53.67</v>
      </c>
      <c r="G123">
        <f t="shared" si="10"/>
        <v>1.1300000000000026</v>
      </c>
      <c r="H123">
        <f t="shared" si="11"/>
        <v>-2.2199999999999989</v>
      </c>
      <c r="I123" s="3">
        <f t="shared" si="12"/>
        <v>-5.9083865141204867E-2</v>
      </c>
      <c r="J123" s="3">
        <f t="shared" si="13"/>
        <v>0.33541397620810653</v>
      </c>
      <c r="K123" s="26">
        <f t="shared" si="14"/>
        <v>0.48333333333333339</v>
      </c>
      <c r="L123" s="26">
        <f t="shared" si="15"/>
        <v>0.64690476190476298</v>
      </c>
      <c r="M123" s="26">
        <f t="shared" si="16"/>
        <v>0.97254951538137302</v>
      </c>
      <c r="N123" s="26">
        <f t="shared" si="17"/>
        <v>-3.6428571428571255E-2</v>
      </c>
      <c r="O123" s="26">
        <f t="shared" si="18"/>
        <v>4.7619047619074095E-4</v>
      </c>
      <c r="P123" s="26">
        <f t="shared" si="19"/>
        <v>-6.2102823430256304E-2</v>
      </c>
    </row>
    <row r="124" spans="1:16" x14ac:dyDescent="0.25">
      <c r="A124" s="2">
        <v>44074</v>
      </c>
      <c r="B124">
        <v>53.1</v>
      </c>
      <c r="C124">
        <v>55.32</v>
      </c>
      <c r="D124">
        <v>53.08</v>
      </c>
      <c r="E124">
        <v>53.13</v>
      </c>
      <c r="G124">
        <f t="shared" si="10"/>
        <v>0.68500000000000227</v>
      </c>
      <c r="H124">
        <f t="shared" si="11"/>
        <v>-1.6099999999999994</v>
      </c>
      <c r="I124" s="3">
        <f t="shared" si="12"/>
        <v>-1.0281560175316564</v>
      </c>
      <c r="J124" s="3">
        <f t="shared" si="13"/>
        <v>0.67150865964959794</v>
      </c>
      <c r="K124" s="26">
        <f t="shared" si="14"/>
        <v>0.41380952380952341</v>
      </c>
      <c r="L124" s="26">
        <f t="shared" si="15"/>
        <v>0.65767857142857178</v>
      </c>
      <c r="M124" s="26">
        <f t="shared" si="16"/>
        <v>0.90446270543615581</v>
      </c>
      <c r="N124" s="26">
        <f t="shared" si="17"/>
        <v>-2.5952380952380505E-2</v>
      </c>
      <c r="O124" s="26">
        <f t="shared" si="18"/>
        <v>-1.1279761904761543E-2</v>
      </c>
      <c r="P124" s="26">
        <f t="shared" si="19"/>
        <v>-6.4262536873155529E-2</v>
      </c>
    </row>
    <row r="125" spans="1:16" x14ac:dyDescent="0.25">
      <c r="A125" s="2">
        <v>44071</v>
      </c>
      <c r="B125">
        <v>53.06</v>
      </c>
      <c r="C125">
        <v>54.67</v>
      </c>
      <c r="D125">
        <v>53.18</v>
      </c>
      <c r="E125">
        <v>53.16</v>
      </c>
      <c r="G125">
        <f t="shared" si="10"/>
        <v>1.0700000000000003</v>
      </c>
      <c r="H125">
        <f t="shared" si="11"/>
        <v>-1.9799999999999969</v>
      </c>
      <c r="I125" s="3">
        <f t="shared" si="12"/>
        <v>-0.1963893071009975</v>
      </c>
      <c r="J125" s="3">
        <f t="shared" si="13"/>
        <v>0.47073413253001473</v>
      </c>
      <c r="K125" s="26">
        <f t="shared" si="14"/>
        <v>0.25809523809523816</v>
      </c>
      <c r="L125" s="26">
        <f t="shared" si="15"/>
        <v>0.59660714285714267</v>
      </c>
      <c r="M125" s="26">
        <f t="shared" si="16"/>
        <v>0.77367888748419666</v>
      </c>
      <c r="N125" s="26">
        <f t="shared" si="17"/>
        <v>2.0000000000000462E-2</v>
      </c>
      <c r="O125" s="26">
        <f t="shared" si="18"/>
        <v>2.0029761904762688E-2</v>
      </c>
      <c r="P125" s="26">
        <f t="shared" si="19"/>
        <v>-2.6502317741254666E-2</v>
      </c>
    </row>
    <row r="126" spans="1:16" x14ac:dyDescent="0.25">
      <c r="A126" s="2">
        <v>44070</v>
      </c>
      <c r="B126">
        <v>52.18</v>
      </c>
      <c r="C126">
        <v>54.16</v>
      </c>
      <c r="D126">
        <v>52.1</v>
      </c>
      <c r="E126">
        <v>51.92</v>
      </c>
      <c r="G126">
        <f t="shared" si="10"/>
        <v>1.0049999999999955</v>
      </c>
      <c r="H126">
        <f t="shared" si="11"/>
        <v>-1.5899999999999963</v>
      </c>
      <c r="I126" s="3">
        <f t="shared" si="12"/>
        <v>-0.34462138470346226</v>
      </c>
      <c r="J126" s="3">
        <f t="shared" si="13"/>
        <v>0.69036064463306324</v>
      </c>
      <c r="K126" s="26">
        <f t="shared" si="14"/>
        <v>0.14428571428571457</v>
      </c>
      <c r="L126" s="26">
        <f t="shared" si="15"/>
        <v>0.59642857142857242</v>
      </c>
      <c r="M126" s="26">
        <f t="shared" si="16"/>
        <v>0.68144121365360322</v>
      </c>
      <c r="N126" s="26">
        <f t="shared" si="17"/>
        <v>3.4523809523810289E-2</v>
      </c>
      <c r="O126" s="26">
        <f t="shared" si="18"/>
        <v>1.8869047619048285E-2</v>
      </c>
      <c r="P126" s="26">
        <f t="shared" si="19"/>
        <v>-9.8651495996615601E-3</v>
      </c>
    </row>
    <row r="127" spans="1:16" x14ac:dyDescent="0.25">
      <c r="A127" s="2">
        <v>44069</v>
      </c>
      <c r="B127">
        <v>52.24</v>
      </c>
      <c r="C127">
        <v>53.83</v>
      </c>
      <c r="D127">
        <v>52.03</v>
      </c>
      <c r="E127">
        <v>52.01</v>
      </c>
      <c r="G127">
        <f t="shared" si="10"/>
        <v>0.93999999999999773</v>
      </c>
      <c r="H127">
        <f t="shared" si="11"/>
        <v>-1.6799999999999997</v>
      </c>
      <c r="I127" s="3">
        <f t="shared" si="12"/>
        <v>-0.49123393987048264</v>
      </c>
      <c r="J127" s="3">
        <f t="shared" si="13"/>
        <v>0.64719816595778035</v>
      </c>
      <c r="K127" s="26">
        <f t="shared" si="14"/>
        <v>3.4761904761904994E-2</v>
      </c>
      <c r="L127" s="26">
        <f t="shared" si="15"/>
        <v>0.58517857142857199</v>
      </c>
      <c r="M127" s="26">
        <f t="shared" si="16"/>
        <v>0.57249051833122655</v>
      </c>
      <c r="N127" s="26">
        <f t="shared" si="17"/>
        <v>4.7857142857143709E-2</v>
      </c>
      <c r="O127" s="26">
        <f t="shared" si="18"/>
        <v>2.729166666666738E-2</v>
      </c>
      <c r="P127" s="26">
        <f t="shared" si="19"/>
        <v>1.2279814580700821E-2</v>
      </c>
    </row>
    <row r="128" spans="1:16" x14ac:dyDescent="0.25">
      <c r="A128" s="2">
        <v>44068</v>
      </c>
      <c r="B128">
        <v>52.05</v>
      </c>
      <c r="C128">
        <v>53.73</v>
      </c>
      <c r="D128">
        <v>51.95</v>
      </c>
      <c r="E128">
        <v>52.01</v>
      </c>
      <c r="G128">
        <f t="shared" si="10"/>
        <v>1.1750000000000043</v>
      </c>
      <c r="H128">
        <f t="shared" si="11"/>
        <v>-1.8699999999999974</v>
      </c>
      <c r="I128" s="3">
        <f t="shared" si="12"/>
        <v>9.5599409823101857E-3</v>
      </c>
      <c r="J128" s="3">
        <f t="shared" si="13"/>
        <v>0.54634968814649676</v>
      </c>
      <c r="K128" s="26">
        <f t="shared" si="14"/>
        <v>-0.11952380952380937</v>
      </c>
      <c r="L128" s="26">
        <f t="shared" si="15"/>
        <v>0.51880952380952383</v>
      </c>
      <c r="M128" s="26">
        <f t="shared" si="16"/>
        <v>0.42705857564264615</v>
      </c>
      <c r="N128" s="26">
        <f t="shared" si="17"/>
        <v>9.6428571428572418E-2</v>
      </c>
      <c r="O128" s="26">
        <f t="shared" si="18"/>
        <v>6.1607142857143637E-2</v>
      </c>
      <c r="P128" s="26">
        <f t="shared" si="19"/>
        <v>5.5290771175728448E-2</v>
      </c>
    </row>
    <row r="129" spans="1:16" x14ac:dyDescent="0.25">
      <c r="A129" s="2">
        <v>44067</v>
      </c>
      <c r="B129">
        <v>50.67</v>
      </c>
      <c r="C129">
        <v>52.54</v>
      </c>
      <c r="D129">
        <v>50.43</v>
      </c>
      <c r="E129">
        <v>50.41</v>
      </c>
      <c r="G129">
        <f t="shared" si="10"/>
        <v>1.1899999999999977</v>
      </c>
      <c r="H129">
        <f t="shared" si="11"/>
        <v>-3.3599999999999994</v>
      </c>
      <c r="I129" s="3">
        <f t="shared" si="12"/>
        <v>3.421380805230255E-2</v>
      </c>
      <c r="J129" s="3">
        <f t="shared" si="13"/>
        <v>-0.2711972593840255</v>
      </c>
      <c r="K129" s="26">
        <f t="shared" si="14"/>
        <v>-0.26999999999999957</v>
      </c>
      <c r="L129" s="26">
        <f t="shared" si="15"/>
        <v>0.47642857142857098</v>
      </c>
      <c r="M129" s="26">
        <f t="shared" si="16"/>
        <v>0.30891276864728168</v>
      </c>
      <c r="N129" s="26">
        <f t="shared" si="17"/>
        <v>0.10833333333333361</v>
      </c>
      <c r="O129" s="26">
        <f t="shared" si="18"/>
        <v>6.6607142857143309E-2</v>
      </c>
      <c r="P129" s="26">
        <f t="shared" si="19"/>
        <v>6.9462705436157846E-2</v>
      </c>
    </row>
    <row r="130" spans="1:16" x14ac:dyDescent="0.25">
      <c r="A130" s="2">
        <v>44064</v>
      </c>
      <c r="B130">
        <v>48.86</v>
      </c>
      <c r="C130">
        <v>52.22</v>
      </c>
      <c r="D130">
        <v>49.35</v>
      </c>
      <c r="E130">
        <v>49.19</v>
      </c>
      <c r="G130">
        <f t="shared" si="10"/>
        <v>1.2899999999999991</v>
      </c>
      <c r="H130">
        <f t="shared" si="11"/>
        <v>-3.1599999999999966</v>
      </c>
      <c r="I130" s="3">
        <f t="shared" si="12"/>
        <v>0.23967298361355976</v>
      </c>
      <c r="J130" s="3">
        <f t="shared" si="13"/>
        <v>-0.15960580647326481</v>
      </c>
      <c r="K130" s="26">
        <f t="shared" si="14"/>
        <v>-0.30190476190476145</v>
      </c>
      <c r="L130" s="26">
        <f t="shared" si="15"/>
        <v>0.53624999999999989</v>
      </c>
      <c r="M130" s="26">
        <f t="shared" si="16"/>
        <v>0.29274336283185765</v>
      </c>
      <c r="N130" s="26">
        <f t="shared" si="17"/>
        <v>0.10761904761904817</v>
      </c>
      <c r="O130" s="26">
        <f t="shared" si="18"/>
        <v>5.9970238095238493E-2</v>
      </c>
      <c r="P130" s="26">
        <f t="shared" si="19"/>
        <v>7.7286135693216185E-2</v>
      </c>
    </row>
    <row r="131" spans="1:16" x14ac:dyDescent="0.25">
      <c r="A131" s="2">
        <v>44063</v>
      </c>
      <c r="B131">
        <v>49.07</v>
      </c>
      <c r="C131">
        <v>52.23</v>
      </c>
      <c r="D131">
        <v>49.36</v>
      </c>
      <c r="E131">
        <v>49.33</v>
      </c>
      <c r="G131">
        <f t="shared" si="10"/>
        <v>1.4000000000000057</v>
      </c>
      <c r="H131">
        <f t="shared" si="11"/>
        <v>-2.740000000000002</v>
      </c>
      <c r="I131" s="3">
        <f t="shared" si="12"/>
        <v>0.46845808732084515</v>
      </c>
      <c r="J131" s="3">
        <f t="shared" si="13"/>
        <v>7.2203457090113859E-2</v>
      </c>
      <c r="K131" s="26">
        <f t="shared" si="14"/>
        <v>-0.42571428571428571</v>
      </c>
      <c r="L131" s="26">
        <f t="shared" si="15"/>
        <v>0.52958333333333396</v>
      </c>
      <c r="M131" s="26">
        <f t="shared" si="16"/>
        <v>0.20510324483775833</v>
      </c>
      <c r="N131" s="26">
        <f t="shared" si="17"/>
        <v>0.1542857142857148</v>
      </c>
      <c r="O131" s="26">
        <f t="shared" si="18"/>
        <v>8.377976190476244E-2</v>
      </c>
      <c r="P131" s="26">
        <f t="shared" si="19"/>
        <v>0.11170880741677314</v>
      </c>
    </row>
    <row r="132" spans="1:16" x14ac:dyDescent="0.25">
      <c r="A132" s="2">
        <v>44062</v>
      </c>
      <c r="B132">
        <v>49.03</v>
      </c>
      <c r="C132">
        <v>51.77</v>
      </c>
      <c r="D132">
        <v>49</v>
      </c>
      <c r="E132">
        <v>48.98</v>
      </c>
      <c r="G132">
        <f t="shared" ref="G132:G195" si="20">AVERAGE(C133,B133)-D133</f>
        <v>1.2650000000000077</v>
      </c>
      <c r="H132">
        <f t="shared" ref="H132:H195" si="21">B133-C133</f>
        <v>-2.3500000000000014</v>
      </c>
      <c r="I132" s="3">
        <f t="shared" ref="I132:I195" si="22">(G132-AVERAGE(G132:G363))/_xlfn.STDEV.S(G132:G363)</f>
        <v>0.1805899838132313</v>
      </c>
      <c r="J132" s="3">
        <f t="shared" ref="J132:J195" si="23">(H132-AVERAGE(H132:H363))/_xlfn.STDEV.S(H132:H363)</f>
        <v>0.28841856060864862</v>
      </c>
      <c r="K132" s="26">
        <f t="shared" ref="K132:K195" si="24">AVERAGEA(H132:H152)-AVERAGE(H153:H173)</f>
        <v>-0.59619047619047683</v>
      </c>
      <c r="L132" s="26">
        <f t="shared" ref="L132:L195" si="25">AVERAGEA(H132:H152)-AVERAGE(H153:H208)</f>
        <v>0.48202380952381008</v>
      </c>
      <c r="M132" s="26">
        <f t="shared" ref="M132:M195" si="26">AVERAGEA(H132:H152)-AVERAGE(H153:H265)</f>
        <v>9.0396123050990429E-2</v>
      </c>
      <c r="N132" s="26">
        <f t="shared" ref="N132:N195" si="27">AVERAGEA(G132:G152)-AVERAGE(G153:G173)</f>
        <v>0.19190476190476202</v>
      </c>
      <c r="O132" s="26">
        <f t="shared" ref="O132:O195" si="28">AVERAGEA(G132:G152)-AVERAGE(G153:G208)</f>
        <v>9.8809523809524125E-2</v>
      </c>
      <c r="P132" s="26">
        <f t="shared" ref="P132:P195" si="29">AVERAGEA(G132:G152)-AVERAGE(G153:G265)</f>
        <v>0.13553518752633886</v>
      </c>
    </row>
    <row r="133" spans="1:16" x14ac:dyDescent="0.25">
      <c r="A133" s="2">
        <v>44061</v>
      </c>
      <c r="B133">
        <v>48.85</v>
      </c>
      <c r="C133">
        <v>51.2</v>
      </c>
      <c r="D133">
        <v>48.76</v>
      </c>
      <c r="E133">
        <v>48.75</v>
      </c>
      <c r="G133">
        <f t="shared" si="20"/>
        <v>1.2450000000000045</v>
      </c>
      <c r="H133">
        <f t="shared" si="21"/>
        <v>-2.8900000000000006</v>
      </c>
      <c r="I133" s="3">
        <f t="shared" si="22"/>
        <v>0.12952927755286028</v>
      </c>
      <c r="J133" s="3">
        <f t="shared" si="23"/>
        <v>-2.2027098846347463E-3</v>
      </c>
      <c r="K133" s="26">
        <f t="shared" si="24"/>
        <v>-0.82523809523809533</v>
      </c>
      <c r="L133" s="26">
        <f t="shared" si="25"/>
        <v>0.37494047619047643</v>
      </c>
      <c r="M133" s="26">
        <f t="shared" si="26"/>
        <v>-7.5933417614833409E-2</v>
      </c>
      <c r="N133" s="26">
        <f t="shared" si="27"/>
        <v>0.22928571428571343</v>
      </c>
      <c r="O133" s="26">
        <f t="shared" si="28"/>
        <v>0.11598214285714215</v>
      </c>
      <c r="P133" s="26">
        <f t="shared" si="29"/>
        <v>0.16018331226295834</v>
      </c>
    </row>
    <row r="134" spans="1:16" x14ac:dyDescent="0.25">
      <c r="A134" s="2">
        <v>44060</v>
      </c>
      <c r="B134">
        <v>47.6</v>
      </c>
      <c r="C134">
        <v>50.49</v>
      </c>
      <c r="D134">
        <v>47.8</v>
      </c>
      <c r="E134">
        <v>47.86</v>
      </c>
      <c r="G134">
        <f t="shared" si="20"/>
        <v>1.4950000000000045</v>
      </c>
      <c r="H134">
        <f t="shared" si="21"/>
        <v>-3.8500000000000014</v>
      </c>
      <c r="I134" s="3">
        <f t="shared" si="22"/>
        <v>0.63833661308372902</v>
      </c>
      <c r="J134" s="3">
        <f t="shared" si="23"/>
        <v>-0.51814057800547741</v>
      </c>
      <c r="K134" s="26">
        <f t="shared" si="24"/>
        <v>-0.9433333333333338</v>
      </c>
      <c r="L134" s="26">
        <f t="shared" si="25"/>
        <v>0.35499999999999998</v>
      </c>
      <c r="M134" s="26">
        <f t="shared" si="26"/>
        <v>-0.15930467762326206</v>
      </c>
      <c r="N134" s="26">
        <f t="shared" si="27"/>
        <v>0.28595238095238007</v>
      </c>
      <c r="O134" s="26">
        <f t="shared" si="28"/>
        <v>0.13559523809523766</v>
      </c>
      <c r="P134" s="26">
        <f t="shared" si="29"/>
        <v>0.18754530130636327</v>
      </c>
    </row>
    <row r="135" spans="1:16" x14ac:dyDescent="0.25">
      <c r="A135" s="2">
        <v>44057</v>
      </c>
      <c r="B135">
        <v>47.4</v>
      </c>
      <c r="C135">
        <v>51.25</v>
      </c>
      <c r="D135">
        <v>47.83</v>
      </c>
      <c r="E135">
        <v>47.97</v>
      </c>
      <c r="G135">
        <f t="shared" si="20"/>
        <v>1.3899999999999935</v>
      </c>
      <c r="H135">
        <f t="shared" si="21"/>
        <v>-3.5399999999999991</v>
      </c>
      <c r="I135" s="3">
        <f t="shared" si="22"/>
        <v>0.40752437744997466</v>
      </c>
      <c r="J135" s="3">
        <f t="shared" si="23"/>
        <v>-0.34327429116164421</v>
      </c>
      <c r="K135" s="26">
        <f t="shared" si="24"/>
        <v>-1.2257142857142851</v>
      </c>
      <c r="L135" s="26">
        <f t="shared" si="25"/>
        <v>0.21119047619047748</v>
      </c>
      <c r="M135" s="26">
        <f t="shared" si="26"/>
        <v>-0.34286135693215192</v>
      </c>
      <c r="N135" s="26">
        <f t="shared" si="27"/>
        <v>0.33428571428571319</v>
      </c>
      <c r="O135" s="26">
        <f t="shared" si="28"/>
        <v>0.15434523809523726</v>
      </c>
      <c r="P135" s="26">
        <f t="shared" si="29"/>
        <v>0.21532026970080032</v>
      </c>
    </row>
    <row r="136" spans="1:16" x14ac:dyDescent="0.25">
      <c r="A136" s="2">
        <v>44056</v>
      </c>
      <c r="B136">
        <v>47.5</v>
      </c>
      <c r="C136">
        <v>51.04</v>
      </c>
      <c r="D136">
        <v>47.88</v>
      </c>
      <c r="E136">
        <v>47.87</v>
      </c>
      <c r="G136">
        <f t="shared" si="20"/>
        <v>1.2499999999999929</v>
      </c>
      <c r="H136">
        <f t="shared" si="21"/>
        <v>-3.3800000000000026</v>
      </c>
      <c r="I136" s="3">
        <f t="shared" si="22"/>
        <v>0.11767558628966883</v>
      </c>
      <c r="J136" s="3">
        <f t="shared" si="23"/>
        <v>-0.25175219551698913</v>
      </c>
      <c r="K136" s="26">
        <f t="shared" si="24"/>
        <v>-1.1895238095238088</v>
      </c>
      <c r="L136" s="26">
        <f t="shared" si="25"/>
        <v>0.30500000000000105</v>
      </c>
      <c r="M136" s="26">
        <f t="shared" si="26"/>
        <v>-0.33781289506953138</v>
      </c>
      <c r="N136" s="26">
        <f t="shared" si="27"/>
        <v>0.3157142857142845</v>
      </c>
      <c r="O136" s="26">
        <f t="shared" si="28"/>
        <v>0.12101190476190404</v>
      </c>
      <c r="P136" s="26">
        <f t="shared" si="29"/>
        <v>0.20445217024863016</v>
      </c>
    </row>
    <row r="137" spans="1:16" x14ac:dyDescent="0.25">
      <c r="A137" s="2">
        <v>44055</v>
      </c>
      <c r="B137">
        <v>47.16</v>
      </c>
      <c r="C137">
        <v>50.54</v>
      </c>
      <c r="D137">
        <v>47.6</v>
      </c>
      <c r="E137">
        <v>47.58</v>
      </c>
      <c r="G137">
        <f t="shared" si="20"/>
        <v>1.2049999999999983</v>
      </c>
      <c r="H137">
        <f t="shared" si="21"/>
        <v>-3.009999999999998</v>
      </c>
      <c r="I137" s="3">
        <f t="shared" si="22"/>
        <v>1.5598328262803421E-2</v>
      </c>
      <c r="J137" s="3">
        <f t="shared" si="23"/>
        <v>-4.4853822803321806E-2</v>
      </c>
      <c r="K137" s="26">
        <f t="shared" si="24"/>
        <v>-1.1052380952380951</v>
      </c>
      <c r="L137" s="26">
        <f t="shared" si="25"/>
        <v>0.40208333333333357</v>
      </c>
      <c r="M137" s="26">
        <f t="shared" si="26"/>
        <v>-0.31987779182469378</v>
      </c>
      <c r="N137" s="26">
        <f t="shared" si="27"/>
        <v>0.28880952380952318</v>
      </c>
      <c r="O137" s="26">
        <f t="shared" si="28"/>
        <v>9.2113095238095077E-2</v>
      </c>
      <c r="P137" s="26">
        <f t="shared" si="29"/>
        <v>0.19748209018120577</v>
      </c>
    </row>
    <row r="138" spans="1:16" x14ac:dyDescent="0.25">
      <c r="A138" s="2">
        <v>44054</v>
      </c>
      <c r="B138">
        <v>47.04</v>
      </c>
      <c r="C138">
        <v>50.05</v>
      </c>
      <c r="D138">
        <v>47.34</v>
      </c>
      <c r="E138">
        <v>47.32</v>
      </c>
      <c r="G138">
        <f t="shared" si="20"/>
        <v>1.3100000000000023</v>
      </c>
      <c r="H138">
        <f t="shared" si="21"/>
        <v>-3.1600000000000037</v>
      </c>
      <c r="I138" s="3">
        <f t="shared" si="22"/>
        <v>0.2153514905105374</v>
      </c>
      <c r="J138" s="3">
        <f t="shared" si="23"/>
        <v>-0.11716903567363492</v>
      </c>
      <c r="K138" s="26">
        <f t="shared" si="24"/>
        <v>-1.0576190476190477</v>
      </c>
      <c r="L138" s="26">
        <f t="shared" si="25"/>
        <v>0.46267857142857149</v>
      </c>
      <c r="M138" s="26">
        <f t="shared" si="26"/>
        <v>-0.32432364096080857</v>
      </c>
      <c r="N138" s="26">
        <f t="shared" si="27"/>
        <v>0.25785714285714212</v>
      </c>
      <c r="O138" s="26">
        <f t="shared" si="28"/>
        <v>5.5803571428571397E-2</v>
      </c>
      <c r="P138" s="26">
        <f t="shared" si="29"/>
        <v>0.18070796460177041</v>
      </c>
    </row>
    <row r="139" spans="1:16" x14ac:dyDescent="0.25">
      <c r="A139" s="2">
        <v>44053</v>
      </c>
      <c r="B139">
        <v>46.65</v>
      </c>
      <c r="C139">
        <v>49.81</v>
      </c>
      <c r="D139">
        <v>46.92</v>
      </c>
      <c r="E139">
        <v>46.96</v>
      </c>
      <c r="G139">
        <f t="shared" si="20"/>
        <v>1.240000000000002</v>
      </c>
      <c r="H139">
        <f t="shared" si="21"/>
        <v>-3.2800000000000011</v>
      </c>
      <c r="I139" s="3">
        <f t="shared" si="22"/>
        <v>6.8929081529652284E-2</v>
      </c>
      <c r="J139" s="3">
        <f t="shared" si="23"/>
        <v>-0.17525408975497264</v>
      </c>
      <c r="K139" s="26">
        <f t="shared" si="24"/>
        <v>-0.89761904761904754</v>
      </c>
      <c r="L139" s="26">
        <f t="shared" si="25"/>
        <v>0.59029761904761902</v>
      </c>
      <c r="M139" s="26">
        <f t="shared" si="26"/>
        <v>-0.2645933417614823</v>
      </c>
      <c r="N139" s="26">
        <f t="shared" si="27"/>
        <v>0.21690476190476105</v>
      </c>
      <c r="O139" s="26">
        <f t="shared" si="28"/>
        <v>2.3065476190476053E-2</v>
      </c>
      <c r="P139" s="26">
        <f t="shared" si="29"/>
        <v>0.16050147492625411</v>
      </c>
    </row>
    <row r="140" spans="1:16" x14ac:dyDescent="0.25">
      <c r="A140" s="2">
        <v>44050</v>
      </c>
      <c r="B140">
        <v>46.58</v>
      </c>
      <c r="C140">
        <v>49.86</v>
      </c>
      <c r="D140">
        <v>46.98</v>
      </c>
      <c r="E140">
        <v>46.96</v>
      </c>
      <c r="G140">
        <f t="shared" si="20"/>
        <v>1.2149999999999963</v>
      </c>
      <c r="H140">
        <f t="shared" si="21"/>
        <v>-3.3500000000000014</v>
      </c>
      <c r="I140" s="3">
        <f t="shared" si="22"/>
        <v>1.3116919208341404E-2</v>
      </c>
      <c r="J140" s="3">
        <f t="shared" si="23"/>
        <v>-0.20582731155214654</v>
      </c>
      <c r="K140" s="26">
        <f t="shared" si="24"/>
        <v>-0.77142857142857135</v>
      </c>
      <c r="L140" s="26">
        <f t="shared" si="25"/>
        <v>0.73398809523809527</v>
      </c>
      <c r="M140" s="26">
        <f t="shared" si="26"/>
        <v>-0.19873156342182785</v>
      </c>
      <c r="N140" s="26">
        <f t="shared" si="27"/>
        <v>0.21857142857142819</v>
      </c>
      <c r="O140" s="26">
        <f t="shared" si="28"/>
        <v>3.1250000000004885E-3</v>
      </c>
      <c r="P140" s="26">
        <f t="shared" si="29"/>
        <v>0.15518963337547498</v>
      </c>
    </row>
    <row r="141" spans="1:16" x14ac:dyDescent="0.25">
      <c r="A141" s="2">
        <v>44049</v>
      </c>
      <c r="B141">
        <v>46.39</v>
      </c>
      <c r="C141">
        <v>49.74</v>
      </c>
      <c r="D141">
        <v>46.85</v>
      </c>
      <c r="E141">
        <v>46.71</v>
      </c>
      <c r="G141">
        <f t="shared" si="20"/>
        <v>1.2049999999999983</v>
      </c>
      <c r="H141">
        <f t="shared" si="21"/>
        <v>-3.0900000000000034</v>
      </c>
      <c r="I141" s="3">
        <f t="shared" si="22"/>
        <v>-1.4629885143911767E-2</v>
      </c>
      <c r="J141" s="3">
        <f t="shared" si="23"/>
        <v>-6.1279308067850903E-2</v>
      </c>
      <c r="K141" s="26">
        <f t="shared" si="24"/>
        <v>-0.61904761904761729</v>
      </c>
      <c r="L141" s="26">
        <f t="shared" si="25"/>
        <v>0.88077380952381112</v>
      </c>
      <c r="M141" s="26">
        <f t="shared" si="26"/>
        <v>-0.13466076696164953</v>
      </c>
      <c r="N141" s="26">
        <f t="shared" si="27"/>
        <v>0.18904761904761824</v>
      </c>
      <c r="O141" s="26">
        <f t="shared" si="28"/>
        <v>-3.0863095238095051E-2</v>
      </c>
      <c r="P141" s="26">
        <f t="shared" si="29"/>
        <v>0.14265697429414304</v>
      </c>
    </row>
    <row r="142" spans="1:16" x14ac:dyDescent="0.25">
      <c r="A142" s="2">
        <v>44048</v>
      </c>
      <c r="B142">
        <v>46.8</v>
      </c>
      <c r="C142">
        <v>49.89</v>
      </c>
      <c r="D142">
        <v>47.14</v>
      </c>
      <c r="E142">
        <v>47.22</v>
      </c>
      <c r="G142">
        <f t="shared" si="20"/>
        <v>1.3850000000000051</v>
      </c>
      <c r="H142">
        <f t="shared" si="21"/>
        <v>-2.990000000000002</v>
      </c>
      <c r="I142" s="3">
        <f t="shared" si="22"/>
        <v>0.33215409858751571</v>
      </c>
      <c r="J142" s="3">
        <f t="shared" si="23"/>
        <v>-1.6022669576172396E-3</v>
      </c>
      <c r="K142" s="26">
        <f t="shared" si="24"/>
        <v>-0.49761904761904674</v>
      </c>
      <c r="L142" s="26">
        <f t="shared" si="25"/>
        <v>1.0057142857142871</v>
      </c>
      <c r="M142" s="26">
        <f t="shared" si="26"/>
        <v>-7.7168141592918182E-2</v>
      </c>
      <c r="N142" s="26">
        <f t="shared" si="27"/>
        <v>0.17404761904761878</v>
      </c>
      <c r="O142" s="26">
        <f t="shared" si="28"/>
        <v>-5.4999999999999272E-2</v>
      </c>
      <c r="P142" s="26">
        <f t="shared" si="29"/>
        <v>0.13314791403287085</v>
      </c>
    </row>
    <row r="143" spans="1:16" x14ac:dyDescent="0.25">
      <c r="A143" s="2">
        <v>44047</v>
      </c>
      <c r="B143">
        <v>46.97</v>
      </c>
      <c r="C143">
        <v>49.96</v>
      </c>
      <c r="D143">
        <v>47.08</v>
      </c>
      <c r="E143">
        <v>47.22</v>
      </c>
      <c r="G143">
        <f t="shared" si="20"/>
        <v>1.0900000000000034</v>
      </c>
      <c r="H143">
        <f t="shared" si="21"/>
        <v>-3.1799999999999997</v>
      </c>
      <c r="I143" s="3">
        <f t="shared" si="22"/>
        <v>-0.24904409949425491</v>
      </c>
      <c r="J143" s="3">
        <f t="shared" si="23"/>
        <v>-9.3448351158655796E-2</v>
      </c>
      <c r="K143" s="26">
        <f t="shared" si="24"/>
        <v>-0.36571428571428477</v>
      </c>
      <c r="L143" s="26">
        <f t="shared" si="25"/>
        <v>1.1136904761904773</v>
      </c>
      <c r="M143" s="26">
        <f t="shared" si="26"/>
        <v>-2.6818373367043513E-2</v>
      </c>
      <c r="N143" s="26">
        <f t="shared" si="27"/>
        <v>0.10714285714285676</v>
      </c>
      <c r="O143" s="26">
        <f t="shared" si="28"/>
        <v>-0.10386904761904714</v>
      </c>
      <c r="P143" s="26">
        <f t="shared" si="29"/>
        <v>9.7678044669195829E-2</v>
      </c>
    </row>
    <row r="144" spans="1:16" x14ac:dyDescent="0.25">
      <c r="A144" s="2">
        <v>44046</v>
      </c>
      <c r="B144">
        <v>47.34</v>
      </c>
      <c r="C144">
        <v>50.52</v>
      </c>
      <c r="D144">
        <v>47.84</v>
      </c>
      <c r="E144">
        <v>47.91</v>
      </c>
      <c r="G144">
        <f t="shared" si="20"/>
        <v>0.97500000000000853</v>
      </c>
      <c r="H144">
        <f t="shared" si="21"/>
        <v>-3.0700000000000003</v>
      </c>
      <c r="I144" s="3">
        <f t="shared" si="22"/>
        <v>-0.47872042114018326</v>
      </c>
      <c r="J144" s="3">
        <f t="shared" si="23"/>
        <v>-2.945093710396126E-2</v>
      </c>
      <c r="K144" s="26">
        <f t="shared" si="24"/>
        <v>-0.1804761904761909</v>
      </c>
      <c r="L144" s="26">
        <f t="shared" si="25"/>
        <v>1.2267857142857146</v>
      </c>
      <c r="M144" s="26">
        <f t="shared" si="26"/>
        <v>4.3729456384324905E-2</v>
      </c>
      <c r="N144" s="26">
        <f t="shared" si="27"/>
        <v>9.3095238095237898E-2</v>
      </c>
      <c r="O144" s="26">
        <f t="shared" si="28"/>
        <v>-0.12041666666666595</v>
      </c>
      <c r="P144" s="26">
        <f t="shared" si="29"/>
        <v>8.7865571007164522E-2</v>
      </c>
    </row>
    <row r="145" spans="1:16" x14ac:dyDescent="0.25">
      <c r="A145" s="2">
        <v>44043</v>
      </c>
      <c r="B145">
        <v>47.35</v>
      </c>
      <c r="C145">
        <v>50.42</v>
      </c>
      <c r="D145">
        <v>47.91</v>
      </c>
      <c r="E145">
        <v>47.93</v>
      </c>
      <c r="G145">
        <f t="shared" si="20"/>
        <v>1.3200000000000003</v>
      </c>
      <c r="H145">
        <f t="shared" si="21"/>
        <v>-3.6799999999999997</v>
      </c>
      <c r="I145" s="3">
        <f t="shared" si="22"/>
        <v>0.18355290078418007</v>
      </c>
      <c r="J145" s="3">
        <f t="shared" si="23"/>
        <v>-0.33552081489895114</v>
      </c>
      <c r="K145" s="26">
        <f t="shared" si="24"/>
        <v>-8.4285714285713631E-2</v>
      </c>
      <c r="L145" s="26">
        <f t="shared" si="25"/>
        <v>1.3020833333333339</v>
      </c>
      <c r="M145" s="26">
        <f t="shared" si="26"/>
        <v>6.0741677201856081E-2</v>
      </c>
      <c r="N145" s="26">
        <f t="shared" si="27"/>
        <v>5.4999999999999716E-2</v>
      </c>
      <c r="O145" s="26">
        <f t="shared" si="28"/>
        <v>-0.15782738095238069</v>
      </c>
      <c r="P145" s="26">
        <f t="shared" si="29"/>
        <v>6.9919932574800336E-2</v>
      </c>
    </row>
    <row r="146" spans="1:16" x14ac:dyDescent="0.25">
      <c r="A146" s="2">
        <v>44042</v>
      </c>
      <c r="B146">
        <v>47.25</v>
      </c>
      <c r="C146">
        <v>50.93</v>
      </c>
      <c r="D146">
        <v>47.77</v>
      </c>
      <c r="E146">
        <v>47.87</v>
      </c>
      <c r="G146">
        <f t="shared" si="20"/>
        <v>1.2800000000000011</v>
      </c>
      <c r="H146">
        <f t="shared" si="21"/>
        <v>-3.2999999999999972</v>
      </c>
      <c r="I146" s="3">
        <f t="shared" si="22"/>
        <v>9.1940599907662429E-2</v>
      </c>
      <c r="J146" s="3">
        <f t="shared" si="23"/>
        <v>-0.1304924072528319</v>
      </c>
      <c r="K146" s="26">
        <f t="shared" si="24"/>
        <v>2.6666666666666838E-2</v>
      </c>
      <c r="L146" s="26">
        <f t="shared" si="25"/>
        <v>1.3845833333333331</v>
      </c>
      <c r="M146" s="26">
        <f t="shared" si="26"/>
        <v>0.1049641803624124</v>
      </c>
      <c r="N146" s="26">
        <f t="shared" si="27"/>
        <v>3.3333333333332993E-2</v>
      </c>
      <c r="O146" s="26">
        <f t="shared" si="28"/>
        <v>-0.17925595238095204</v>
      </c>
      <c r="P146" s="26">
        <f t="shared" si="29"/>
        <v>5.7037505267593991E-2</v>
      </c>
    </row>
    <row r="147" spans="1:16" x14ac:dyDescent="0.25">
      <c r="A147" s="2">
        <v>44041</v>
      </c>
      <c r="B147">
        <v>48.21</v>
      </c>
      <c r="C147">
        <v>51.51</v>
      </c>
      <c r="D147">
        <v>48.58</v>
      </c>
      <c r="E147">
        <v>48.56</v>
      </c>
      <c r="G147">
        <f t="shared" si="20"/>
        <v>1.2999999999999972</v>
      </c>
      <c r="H147">
        <f t="shared" si="21"/>
        <v>-3.2999999999999972</v>
      </c>
      <c r="I147" s="3">
        <f t="shared" si="22"/>
        <v>0.12238039651255764</v>
      </c>
      <c r="J147" s="3">
        <f t="shared" si="23"/>
        <v>-0.12446142299246157</v>
      </c>
      <c r="K147" s="26">
        <f t="shared" si="24"/>
        <v>0.16476190476190444</v>
      </c>
      <c r="L147" s="26">
        <f t="shared" si="25"/>
        <v>1.4596428571428568</v>
      </c>
      <c r="M147" s="26">
        <f t="shared" si="26"/>
        <v>0.14441213653603224</v>
      </c>
      <c r="N147" s="26">
        <f t="shared" si="27"/>
        <v>2.3809523809523059E-2</v>
      </c>
      <c r="O147" s="26">
        <f t="shared" si="28"/>
        <v>-0.18583333333333307</v>
      </c>
      <c r="P147" s="26">
        <f t="shared" si="29"/>
        <v>5.9150863885377492E-2</v>
      </c>
    </row>
    <row r="148" spans="1:16" x14ac:dyDescent="0.25">
      <c r="A148" s="2">
        <v>44040</v>
      </c>
      <c r="B148">
        <v>48.6</v>
      </c>
      <c r="C148">
        <v>51.9</v>
      </c>
      <c r="D148">
        <v>48.95</v>
      </c>
      <c r="E148">
        <v>49.09</v>
      </c>
      <c r="G148">
        <f t="shared" si="20"/>
        <v>1.6099999999999994</v>
      </c>
      <c r="H148">
        <f t="shared" si="21"/>
        <v>-4</v>
      </c>
      <c r="I148" s="3">
        <f t="shared" si="22"/>
        <v>0.70485146306946844</v>
      </c>
      <c r="J148" s="3">
        <f t="shared" si="23"/>
        <v>-0.47576681463227899</v>
      </c>
      <c r="K148" s="26">
        <f t="shared" si="24"/>
        <v>0.25142857142857133</v>
      </c>
      <c r="L148" s="26">
        <f t="shared" si="25"/>
        <v>1.5061309523809525</v>
      </c>
      <c r="M148" s="26">
        <f t="shared" si="26"/>
        <v>0.14578171091445569</v>
      </c>
      <c r="N148" s="26">
        <f t="shared" si="27"/>
        <v>2.0952380952380167E-2</v>
      </c>
      <c r="O148" s="26">
        <f t="shared" si="28"/>
        <v>-0.18288690476190439</v>
      </c>
      <c r="P148" s="26">
        <f t="shared" si="29"/>
        <v>6.800674252001726E-2</v>
      </c>
    </row>
    <row r="149" spans="1:16" x14ac:dyDescent="0.25">
      <c r="A149" s="2">
        <v>44039</v>
      </c>
      <c r="B149">
        <v>48.68</v>
      </c>
      <c r="C149">
        <v>52.68</v>
      </c>
      <c r="D149">
        <v>49.07</v>
      </c>
      <c r="E149">
        <v>49.16</v>
      </c>
      <c r="G149">
        <f t="shared" si="20"/>
        <v>1.3099999999999952</v>
      </c>
      <c r="H149">
        <f t="shared" si="21"/>
        <v>-3.8399999999999963</v>
      </c>
      <c r="I149" s="3">
        <f t="shared" si="22"/>
        <v>0.13640762780927707</v>
      </c>
      <c r="J149" s="3">
        <f t="shared" si="23"/>
        <v>-0.39059518995942349</v>
      </c>
      <c r="K149" s="26">
        <f t="shared" si="24"/>
        <v>0.32571428571428473</v>
      </c>
      <c r="L149" s="26">
        <f t="shared" si="25"/>
        <v>1.5627976190476183</v>
      </c>
      <c r="M149" s="26">
        <f t="shared" si="26"/>
        <v>0.16773282764433262</v>
      </c>
      <c r="N149" s="26">
        <f t="shared" si="27"/>
        <v>4.7619047619038568E-3</v>
      </c>
      <c r="O149" s="26">
        <f t="shared" si="28"/>
        <v>-0.20062500000000005</v>
      </c>
      <c r="P149" s="26">
        <f t="shared" si="29"/>
        <v>5.8198482932996454E-2</v>
      </c>
    </row>
    <row r="150" spans="1:16" x14ac:dyDescent="0.25">
      <c r="A150" s="2">
        <v>44036</v>
      </c>
      <c r="B150">
        <v>49.32</v>
      </c>
      <c r="C150">
        <v>53.16</v>
      </c>
      <c r="D150">
        <v>49.93</v>
      </c>
      <c r="E150">
        <v>49.95</v>
      </c>
      <c r="G150">
        <f t="shared" si="20"/>
        <v>1.240000000000002</v>
      </c>
      <c r="H150">
        <f t="shared" si="21"/>
        <v>-3.3000000000000043</v>
      </c>
      <c r="I150" s="3">
        <f t="shared" si="22"/>
        <v>-4.4513871486658594E-4</v>
      </c>
      <c r="J150" s="3">
        <f t="shared" si="23"/>
        <v>-0.1145578997576949</v>
      </c>
      <c r="K150" s="26">
        <f t="shared" si="24"/>
        <v>0.45619047619047404</v>
      </c>
      <c r="L150" s="26">
        <f t="shared" si="25"/>
        <v>1.6383928571428568</v>
      </c>
      <c r="M150" s="26">
        <f t="shared" si="26"/>
        <v>0.21510745891276972</v>
      </c>
      <c r="N150" s="26">
        <f t="shared" si="27"/>
        <v>1.047619047618964E-2</v>
      </c>
      <c r="O150" s="26">
        <f t="shared" si="28"/>
        <v>-0.20431547619047619</v>
      </c>
      <c r="P150" s="26">
        <f t="shared" si="29"/>
        <v>5.595238095238142E-2</v>
      </c>
    </row>
    <row r="151" spans="1:16" x14ac:dyDescent="0.25">
      <c r="A151" s="2">
        <v>44035</v>
      </c>
      <c r="B151">
        <v>49.91</v>
      </c>
      <c r="C151">
        <v>53.21</v>
      </c>
      <c r="D151">
        <v>50.32</v>
      </c>
      <c r="E151">
        <v>50.3</v>
      </c>
      <c r="G151">
        <f t="shared" si="20"/>
        <v>1.7749999999999986</v>
      </c>
      <c r="H151">
        <f t="shared" si="21"/>
        <v>-4.3500000000000014</v>
      </c>
      <c r="I151" s="3">
        <f t="shared" si="22"/>
        <v>1.0009368911373087</v>
      </c>
      <c r="J151" s="3">
        <f t="shared" si="23"/>
        <v>-0.6405973293265661</v>
      </c>
      <c r="K151" s="26">
        <f t="shared" si="24"/>
        <v>0.5657142857142845</v>
      </c>
      <c r="L151" s="26">
        <f t="shared" si="25"/>
        <v>1.7069047619047613</v>
      </c>
      <c r="M151" s="26">
        <f t="shared" si="26"/>
        <v>0.23491361146228584</v>
      </c>
      <c r="N151" s="26">
        <f t="shared" si="27"/>
        <v>2.3809523809522837E-2</v>
      </c>
      <c r="O151" s="26">
        <f t="shared" si="28"/>
        <v>-0.20720238095238086</v>
      </c>
      <c r="P151" s="26">
        <f t="shared" si="29"/>
        <v>6.5109565950274284E-2</v>
      </c>
    </row>
    <row r="152" spans="1:16" x14ac:dyDescent="0.25">
      <c r="A152" s="2">
        <v>44034</v>
      </c>
      <c r="B152">
        <v>52.25</v>
      </c>
      <c r="C152">
        <v>56.6</v>
      </c>
      <c r="D152">
        <v>52.65</v>
      </c>
      <c r="E152">
        <v>52.75</v>
      </c>
      <c r="G152">
        <f t="shared" si="20"/>
        <v>1.6950000000000003</v>
      </c>
      <c r="H152">
        <f t="shared" si="21"/>
        <v>-4.5300000000000011</v>
      </c>
      <c r="I152" s="3">
        <f t="shared" si="22"/>
        <v>0.8556097197047503</v>
      </c>
      <c r="J152" s="3">
        <f t="shared" si="23"/>
        <v>-0.73218939338960776</v>
      </c>
      <c r="K152" s="26">
        <f t="shared" si="24"/>
        <v>0.6947619047619038</v>
      </c>
      <c r="L152" s="26">
        <f t="shared" si="25"/>
        <v>1.7994047619047633</v>
      </c>
      <c r="M152" s="26">
        <f t="shared" si="26"/>
        <v>0.28904761904762211</v>
      </c>
      <c r="N152" s="26">
        <f t="shared" si="27"/>
        <v>7.8571428571421187E-3</v>
      </c>
      <c r="O152" s="26">
        <f t="shared" si="28"/>
        <v>-0.23291666666666644</v>
      </c>
      <c r="P152" s="26">
        <f t="shared" si="29"/>
        <v>4.636114622840326E-2</v>
      </c>
    </row>
    <row r="153" spans="1:16" x14ac:dyDescent="0.25">
      <c r="A153" s="2">
        <v>44033</v>
      </c>
      <c r="B153">
        <v>52.5</v>
      </c>
      <c r="C153">
        <v>57.03</v>
      </c>
      <c r="D153">
        <v>53.07</v>
      </c>
      <c r="E153">
        <v>53.16</v>
      </c>
      <c r="G153">
        <f t="shared" si="20"/>
        <v>1.6199999999999974</v>
      </c>
      <c r="H153">
        <f t="shared" si="21"/>
        <v>-5.1199999999999974</v>
      </c>
      <c r="I153" s="3">
        <f t="shared" si="22"/>
        <v>0.71842631524272416</v>
      </c>
      <c r="J153" s="3">
        <f t="shared" si="23"/>
        <v>-1.0300794411231935</v>
      </c>
      <c r="K153" s="26">
        <f t="shared" si="24"/>
        <v>0.82809523809523844</v>
      </c>
      <c r="L153" s="26">
        <f t="shared" si="25"/>
        <v>1.9271428571428584</v>
      </c>
      <c r="M153" s="26">
        <f t="shared" si="26"/>
        <v>0.36278128950695665</v>
      </c>
      <c r="N153" s="26">
        <f t="shared" si="27"/>
        <v>-8.3333333333337478E-3</v>
      </c>
      <c r="O153" s="26">
        <f t="shared" si="28"/>
        <v>-0.2629166666666658</v>
      </c>
      <c r="P153" s="26">
        <f t="shared" si="29"/>
        <v>2.7214496418037193E-2</v>
      </c>
    </row>
    <row r="154" spans="1:16" x14ac:dyDescent="0.25">
      <c r="A154" s="2">
        <v>44032</v>
      </c>
      <c r="B154">
        <v>53.21</v>
      </c>
      <c r="C154">
        <v>58.33</v>
      </c>
      <c r="D154">
        <v>54.15</v>
      </c>
      <c r="E154">
        <v>54.22</v>
      </c>
      <c r="G154">
        <f t="shared" si="20"/>
        <v>1.6700000000000017</v>
      </c>
      <c r="H154">
        <f t="shared" si="21"/>
        <v>-4.1000000000000014</v>
      </c>
      <c r="I154" s="3">
        <f t="shared" si="22"/>
        <v>0.81711328271711414</v>
      </c>
      <c r="J154" s="3">
        <f t="shared" si="23"/>
        <v>-0.52234284054229163</v>
      </c>
      <c r="K154" s="26">
        <f t="shared" si="24"/>
        <v>0.953809523809523</v>
      </c>
      <c r="L154" s="26">
        <f t="shared" si="25"/>
        <v>2.0330357142857149</v>
      </c>
      <c r="M154" s="26">
        <f t="shared" si="26"/>
        <v>0.44443742098609595</v>
      </c>
      <c r="N154" s="26">
        <f t="shared" si="27"/>
        <v>-3.499999999999992E-2</v>
      </c>
      <c r="O154" s="26">
        <f t="shared" si="28"/>
        <v>-0.28562499999999891</v>
      </c>
      <c r="P154" s="26">
        <f t="shared" si="29"/>
        <v>1.0853350189634625E-2</v>
      </c>
    </row>
    <row r="155" spans="1:16" x14ac:dyDescent="0.25">
      <c r="A155" s="2">
        <v>44029</v>
      </c>
      <c r="B155">
        <v>54.12</v>
      </c>
      <c r="C155">
        <v>58.22</v>
      </c>
      <c r="D155">
        <v>54.5</v>
      </c>
      <c r="E155">
        <v>54.47</v>
      </c>
      <c r="G155">
        <f t="shared" si="20"/>
        <v>1.884999999999998</v>
      </c>
      <c r="H155">
        <f t="shared" si="21"/>
        <v>-6.6899999999999977</v>
      </c>
      <c r="I155" s="3">
        <f t="shared" si="22"/>
        <v>1.2281515491524613</v>
      </c>
      <c r="J155" s="3">
        <f t="shared" si="23"/>
        <v>-1.8324507869978148</v>
      </c>
      <c r="K155" s="26">
        <f t="shared" si="24"/>
        <v>1.0404761904761908</v>
      </c>
      <c r="L155" s="26">
        <f t="shared" si="25"/>
        <v>2.1345833333333353</v>
      </c>
      <c r="M155" s="26">
        <f t="shared" si="26"/>
        <v>0.49208175305520729</v>
      </c>
      <c r="N155" s="26">
        <f t="shared" si="27"/>
        <v>-8.7857142857143078E-2</v>
      </c>
      <c r="O155" s="26">
        <f t="shared" si="28"/>
        <v>-0.3415178571428561</v>
      </c>
      <c r="P155" s="26">
        <f t="shared" si="29"/>
        <v>-2.3495575221237575E-2</v>
      </c>
    </row>
    <row r="156" spans="1:16" x14ac:dyDescent="0.25">
      <c r="A156" s="2">
        <v>44028</v>
      </c>
      <c r="B156">
        <v>52.38</v>
      </c>
      <c r="C156">
        <v>59.07</v>
      </c>
      <c r="D156">
        <v>53.84</v>
      </c>
      <c r="E156">
        <v>53.88</v>
      </c>
      <c r="G156">
        <f t="shared" si="20"/>
        <v>1.0799999999999983</v>
      </c>
      <c r="H156">
        <f t="shared" si="21"/>
        <v>-3.0399999999999991</v>
      </c>
      <c r="I156" s="3">
        <f t="shared" si="22"/>
        <v>-0.28693718915207073</v>
      </c>
      <c r="J156" s="3">
        <f t="shared" si="23"/>
        <v>3.0255981572721224E-3</v>
      </c>
      <c r="K156" s="26">
        <f t="shared" si="24"/>
        <v>1.2752380952380955</v>
      </c>
      <c r="L156" s="26">
        <f t="shared" si="25"/>
        <v>2.3211904761904774</v>
      </c>
      <c r="M156" s="26">
        <f t="shared" si="26"/>
        <v>0.62223345975558653</v>
      </c>
      <c r="N156" s="26">
        <f t="shared" si="27"/>
        <v>-0.13714285714285768</v>
      </c>
      <c r="O156" s="26">
        <f t="shared" si="28"/>
        <v>-0.37404761904761807</v>
      </c>
      <c r="P156" s="26">
        <f t="shared" si="29"/>
        <v>-4.9186683522965513E-2</v>
      </c>
    </row>
    <row r="157" spans="1:16" x14ac:dyDescent="0.25">
      <c r="A157" s="2">
        <v>44027</v>
      </c>
      <c r="B157">
        <v>53.97</v>
      </c>
      <c r="C157">
        <v>57.01</v>
      </c>
      <c r="D157">
        <v>54.41</v>
      </c>
      <c r="E157">
        <v>54.48</v>
      </c>
      <c r="G157">
        <f t="shared" si="20"/>
        <v>1.0200000000000031</v>
      </c>
      <c r="H157">
        <f t="shared" si="21"/>
        <v>-2.6799999999999997</v>
      </c>
      <c r="I157" s="3">
        <f t="shared" si="22"/>
        <v>-0.40024675800197185</v>
      </c>
      <c r="J157" s="3">
        <f t="shared" si="23"/>
        <v>0.18443695292070378</v>
      </c>
      <c r="K157" s="26">
        <f t="shared" si="24"/>
        <v>1.3242857142857143</v>
      </c>
      <c r="L157" s="26">
        <f t="shared" si="25"/>
        <v>2.3411309523809534</v>
      </c>
      <c r="M157" s="26">
        <f t="shared" si="26"/>
        <v>0.59533923303835046</v>
      </c>
      <c r="N157" s="26">
        <f t="shared" si="27"/>
        <v>-0.13595238095238082</v>
      </c>
      <c r="O157" s="26">
        <f t="shared" si="28"/>
        <v>-0.37729166666666503</v>
      </c>
      <c r="P157" s="26">
        <f t="shared" si="29"/>
        <v>-4.2102823430255398E-2</v>
      </c>
    </row>
    <row r="158" spans="1:16" x14ac:dyDescent="0.25">
      <c r="A158" s="2">
        <v>44026</v>
      </c>
      <c r="B158">
        <v>54.05</v>
      </c>
      <c r="C158">
        <v>56.73</v>
      </c>
      <c r="D158">
        <v>54.37</v>
      </c>
      <c r="E158">
        <v>54.46</v>
      </c>
      <c r="G158">
        <f t="shared" si="20"/>
        <v>0.81000000000000227</v>
      </c>
      <c r="H158">
        <f t="shared" si="21"/>
        <v>-2.7800000000000011</v>
      </c>
      <c r="I158" s="3">
        <f t="shared" si="22"/>
        <v>-0.79808266721260879</v>
      </c>
      <c r="J158" s="3">
        <f t="shared" si="23"/>
        <v>0.13205060895735363</v>
      </c>
      <c r="K158" s="26">
        <f t="shared" si="24"/>
        <v>1.3780952380952374</v>
      </c>
      <c r="L158" s="26">
        <f t="shared" si="25"/>
        <v>2.2733928571428588</v>
      </c>
      <c r="M158" s="26">
        <f t="shared" si="26"/>
        <v>0.52934260429835911</v>
      </c>
      <c r="N158" s="26">
        <f t="shared" si="27"/>
        <v>-0.12428571428571367</v>
      </c>
      <c r="O158" s="26">
        <f t="shared" si="28"/>
        <v>-0.3474107142857128</v>
      </c>
      <c r="P158" s="26">
        <f t="shared" si="29"/>
        <v>-2.2964601769909887E-2</v>
      </c>
    </row>
    <row r="159" spans="1:16" x14ac:dyDescent="0.25">
      <c r="A159" s="2">
        <v>44025</v>
      </c>
      <c r="B159">
        <v>53.85</v>
      </c>
      <c r="C159">
        <v>56.63</v>
      </c>
      <c r="D159">
        <v>54.43</v>
      </c>
      <c r="E159">
        <v>54.4</v>
      </c>
      <c r="G159">
        <f t="shared" si="20"/>
        <v>0.85499999999999687</v>
      </c>
      <c r="H159">
        <f t="shared" si="21"/>
        <v>-1.769999999999996</v>
      </c>
      <c r="I159" s="3">
        <f t="shared" si="22"/>
        <v>-0.71663760841453605</v>
      </c>
      <c r="J159" s="3">
        <f t="shared" si="23"/>
        <v>0.6430774884204582</v>
      </c>
      <c r="K159" s="26">
        <f t="shared" si="24"/>
        <v>1.4552380952380939</v>
      </c>
      <c r="L159" s="26">
        <f t="shared" si="25"/>
        <v>2.2520833333333345</v>
      </c>
      <c r="M159" s="26">
        <f t="shared" si="26"/>
        <v>0.47621576064054194</v>
      </c>
      <c r="N159" s="26">
        <f t="shared" si="27"/>
        <v>-0.11952380952380848</v>
      </c>
      <c r="O159" s="26">
        <f t="shared" si="28"/>
        <v>-0.35383928571428358</v>
      </c>
      <c r="P159" s="26">
        <f t="shared" si="29"/>
        <v>-8.8748419721851324E-3</v>
      </c>
    </row>
    <row r="160" spans="1:16" x14ac:dyDescent="0.25">
      <c r="A160" s="2">
        <v>44022</v>
      </c>
      <c r="B160">
        <v>53.6</v>
      </c>
      <c r="C160">
        <v>55.37</v>
      </c>
      <c r="D160">
        <v>53.63</v>
      </c>
      <c r="E160">
        <v>53.68</v>
      </c>
      <c r="G160">
        <f t="shared" si="20"/>
        <v>1.095000000000006</v>
      </c>
      <c r="H160">
        <f t="shared" si="21"/>
        <v>-1.8300000000000054</v>
      </c>
      <c r="I160" s="3">
        <f t="shared" si="22"/>
        <v>-0.26242547183580128</v>
      </c>
      <c r="J160" s="3">
        <f t="shared" si="23"/>
        <v>0.61287608790798931</v>
      </c>
      <c r="K160" s="26">
        <f t="shared" si="24"/>
        <v>1.4585714285714277</v>
      </c>
      <c r="L160" s="26">
        <f t="shared" si="25"/>
        <v>2.1929166666666675</v>
      </c>
      <c r="M160" s="26">
        <f t="shared" si="26"/>
        <v>0.36435313948588499</v>
      </c>
      <c r="N160" s="26">
        <f t="shared" si="27"/>
        <v>-0.10023809523809413</v>
      </c>
      <c r="O160" s="26">
        <f t="shared" si="28"/>
        <v>-0.35455357142856947</v>
      </c>
      <c r="P160" s="26">
        <f t="shared" si="29"/>
        <v>1.4835651074591061E-2</v>
      </c>
    </row>
    <row r="161" spans="1:16" x14ac:dyDescent="0.25">
      <c r="A161" s="2">
        <v>44021</v>
      </c>
      <c r="B161">
        <v>53.8</v>
      </c>
      <c r="C161">
        <v>55.63</v>
      </c>
      <c r="D161">
        <v>53.62</v>
      </c>
      <c r="E161">
        <v>53.62</v>
      </c>
      <c r="G161">
        <f t="shared" si="20"/>
        <v>0.90999999999999659</v>
      </c>
      <c r="H161">
        <f t="shared" si="21"/>
        <v>-1.8800000000000026</v>
      </c>
      <c r="I161" s="3">
        <f t="shared" si="22"/>
        <v>-0.61322458130450042</v>
      </c>
      <c r="J161" s="3">
        <f t="shared" si="23"/>
        <v>0.5883991689850302</v>
      </c>
      <c r="K161" s="26">
        <f t="shared" si="24"/>
        <v>1.5814285714285705</v>
      </c>
      <c r="L161" s="26">
        <f t="shared" si="25"/>
        <v>2.1829166666666686</v>
      </c>
      <c r="M161" s="26">
        <f t="shared" si="26"/>
        <v>0.2916350611040901</v>
      </c>
      <c r="N161" s="26">
        <f t="shared" si="27"/>
        <v>-0.15595238095238018</v>
      </c>
      <c r="O161" s="26">
        <f t="shared" si="28"/>
        <v>-0.3825892857142843</v>
      </c>
      <c r="P161" s="26">
        <f t="shared" si="29"/>
        <v>9.2730720606841732E-3</v>
      </c>
    </row>
    <row r="162" spans="1:16" x14ac:dyDescent="0.25">
      <c r="A162" s="2">
        <v>44020</v>
      </c>
      <c r="B162">
        <v>54.22</v>
      </c>
      <c r="C162">
        <v>56.1</v>
      </c>
      <c r="D162">
        <v>54.25</v>
      </c>
      <c r="E162">
        <v>54.27</v>
      </c>
      <c r="G162">
        <f t="shared" si="20"/>
        <v>0.97000000000000597</v>
      </c>
      <c r="H162">
        <f t="shared" si="21"/>
        <v>-1.759999999999998</v>
      </c>
      <c r="I162" s="3">
        <f t="shared" si="22"/>
        <v>-0.50225653023451755</v>
      </c>
      <c r="J162" s="3">
        <f t="shared" si="23"/>
        <v>0.65085597262515749</v>
      </c>
      <c r="K162" s="26">
        <f t="shared" si="24"/>
        <v>1.6714285714285695</v>
      </c>
      <c r="L162" s="26">
        <f t="shared" si="25"/>
        <v>2.1237499999999998</v>
      </c>
      <c r="M162" s="26">
        <f t="shared" si="26"/>
        <v>0.18668773704172059</v>
      </c>
      <c r="N162" s="26">
        <f t="shared" si="27"/>
        <v>-0.15952380952380829</v>
      </c>
      <c r="O162" s="26">
        <f t="shared" si="28"/>
        <v>-0.3752678571428556</v>
      </c>
      <c r="P162" s="26">
        <f t="shared" si="29"/>
        <v>2.9892541087233271E-2</v>
      </c>
    </row>
    <row r="163" spans="1:16" x14ac:dyDescent="0.25">
      <c r="A163" s="2">
        <v>44019</v>
      </c>
      <c r="B163">
        <v>54.6</v>
      </c>
      <c r="C163">
        <v>56.36</v>
      </c>
      <c r="D163">
        <v>54.51</v>
      </c>
      <c r="E163">
        <v>54.56</v>
      </c>
      <c r="G163">
        <f t="shared" si="20"/>
        <v>0.65500000000000114</v>
      </c>
      <c r="H163">
        <f t="shared" si="21"/>
        <v>-1.8100000000000023</v>
      </c>
      <c r="I163" s="3">
        <f t="shared" si="22"/>
        <v>-1.100661408428143</v>
      </c>
      <c r="J163" s="3">
        <f t="shared" si="23"/>
        <v>0.62697480779728498</v>
      </c>
      <c r="K163" s="26">
        <f t="shared" si="24"/>
        <v>1.7795238095238082</v>
      </c>
      <c r="L163" s="26">
        <f t="shared" si="25"/>
        <v>2.0949404761904784</v>
      </c>
      <c r="M163" s="26">
        <f t="shared" si="26"/>
        <v>0.1082385166455988</v>
      </c>
      <c r="N163" s="26">
        <f t="shared" si="27"/>
        <v>-0.17595238095237953</v>
      </c>
      <c r="O163" s="26">
        <f t="shared" si="28"/>
        <v>-0.37770833333333154</v>
      </c>
      <c r="P163" s="26">
        <f t="shared" si="29"/>
        <v>3.9896755162243558E-2</v>
      </c>
    </row>
    <row r="164" spans="1:16" x14ac:dyDescent="0.25">
      <c r="A164" s="2">
        <v>44018</v>
      </c>
      <c r="B164">
        <v>54.33</v>
      </c>
      <c r="C164">
        <v>56.14</v>
      </c>
      <c r="D164">
        <v>54.58</v>
      </c>
      <c r="E164">
        <v>54.58</v>
      </c>
      <c r="G164">
        <f t="shared" si="20"/>
        <v>0.87000000000000455</v>
      </c>
      <c r="H164">
        <f t="shared" si="21"/>
        <v>-1.6000000000000014</v>
      </c>
      <c r="I164" s="3">
        <f t="shared" si="22"/>
        <v>-0.69792408053198374</v>
      </c>
      <c r="J164" s="3">
        <f t="shared" si="23"/>
        <v>0.73461207435090448</v>
      </c>
      <c r="K164" s="26">
        <f t="shared" si="24"/>
        <v>1.8619047619047606</v>
      </c>
      <c r="L164" s="26">
        <f t="shared" si="25"/>
        <v>2.0299404761904789</v>
      </c>
      <c r="M164" s="26">
        <f t="shared" si="26"/>
        <v>7.5684787189236324E-3</v>
      </c>
      <c r="N164" s="26">
        <f t="shared" si="27"/>
        <v>-0.14666666666666561</v>
      </c>
      <c r="O164" s="26">
        <f t="shared" si="28"/>
        <v>-0.34735119047618879</v>
      </c>
      <c r="P164" s="26">
        <f t="shared" si="29"/>
        <v>8.0889169827224494E-2</v>
      </c>
    </row>
    <row r="165" spans="1:16" x14ac:dyDescent="0.25">
      <c r="A165" s="2">
        <v>44015</v>
      </c>
      <c r="B165">
        <v>52.46</v>
      </c>
      <c r="C165">
        <v>54.06</v>
      </c>
      <c r="D165">
        <v>52.39</v>
      </c>
      <c r="E165">
        <v>52.38</v>
      </c>
      <c r="G165">
        <f t="shared" si="20"/>
        <v>0.60000000000000142</v>
      </c>
      <c r="H165">
        <f t="shared" si="21"/>
        <v>-2.4600000000000009</v>
      </c>
      <c r="I165" s="3">
        <f t="shared" si="22"/>
        <v>-1.2119961341590788</v>
      </c>
      <c r="J165" s="3">
        <f t="shared" si="23"/>
        <v>0.2974226316705666</v>
      </c>
      <c r="K165" s="26">
        <f t="shared" si="24"/>
        <v>1.8747619047619049</v>
      </c>
      <c r="L165" s="26">
        <f t="shared" si="25"/>
        <v>1.9283333333333355</v>
      </c>
      <c r="M165" s="26">
        <f t="shared" si="26"/>
        <v>-0.13066160977665131</v>
      </c>
      <c r="N165" s="26">
        <f t="shared" si="27"/>
        <v>-0.18119047619047524</v>
      </c>
      <c r="O165" s="26">
        <f t="shared" si="28"/>
        <v>-0.3567261904761887</v>
      </c>
      <c r="P165" s="26">
        <f t="shared" si="29"/>
        <v>8.9991571849980412E-2</v>
      </c>
    </row>
    <row r="166" spans="1:16" x14ac:dyDescent="0.25">
      <c r="A166" s="2">
        <v>44014</v>
      </c>
      <c r="B166">
        <v>51.41</v>
      </c>
      <c r="C166">
        <v>53.87</v>
      </c>
      <c r="D166">
        <v>52.04</v>
      </c>
      <c r="E166">
        <v>52.02</v>
      </c>
      <c r="G166">
        <f t="shared" si="20"/>
        <v>0.99000000000000199</v>
      </c>
      <c r="H166">
        <f t="shared" si="21"/>
        <v>-2.480000000000004</v>
      </c>
      <c r="I166" s="3">
        <f t="shared" si="22"/>
        <v>-0.47527373795921085</v>
      </c>
      <c r="J166" s="3">
        <f t="shared" si="23"/>
        <v>0.2879600583942416</v>
      </c>
      <c r="K166" s="26">
        <f t="shared" si="24"/>
        <v>1.9638095238095232</v>
      </c>
      <c r="L166" s="26">
        <f t="shared" si="25"/>
        <v>1.8279761904761918</v>
      </c>
      <c r="M166" s="26">
        <f t="shared" si="26"/>
        <v>-0.22727349346818126</v>
      </c>
      <c r="N166" s="26">
        <f t="shared" si="27"/>
        <v>-0.1947619047619038</v>
      </c>
      <c r="O166" s="26">
        <f t="shared" si="28"/>
        <v>-0.33505952380952264</v>
      </c>
      <c r="P166" s="26">
        <f t="shared" si="29"/>
        <v>0.11602612726506645</v>
      </c>
    </row>
    <row r="167" spans="1:16" x14ac:dyDescent="0.25">
      <c r="A167" s="2">
        <v>44013</v>
      </c>
      <c r="B167">
        <v>51.83</v>
      </c>
      <c r="C167">
        <v>54.31</v>
      </c>
      <c r="D167">
        <v>52.08</v>
      </c>
      <c r="E167">
        <v>52.16</v>
      </c>
      <c r="G167">
        <f t="shared" si="20"/>
        <v>1.1849999999999952</v>
      </c>
      <c r="H167">
        <f t="shared" si="21"/>
        <v>-2.2299999999999969</v>
      </c>
      <c r="I167" s="3">
        <f t="shared" si="22"/>
        <v>-0.10554772545511613</v>
      </c>
      <c r="J167" s="3">
        <f t="shared" si="23"/>
        <v>0.41538386295781515</v>
      </c>
      <c r="K167" s="26">
        <f t="shared" si="24"/>
        <v>2.0542857142857143</v>
      </c>
      <c r="L167" s="26">
        <f t="shared" si="25"/>
        <v>1.7423809523809535</v>
      </c>
      <c r="M167" s="26">
        <f t="shared" si="26"/>
        <v>-0.30559629161398894</v>
      </c>
      <c r="N167" s="26">
        <f t="shared" si="27"/>
        <v>-0.21380952380952278</v>
      </c>
      <c r="O167" s="26">
        <f t="shared" si="28"/>
        <v>-0.32392857142857023</v>
      </c>
      <c r="P167" s="26">
        <f t="shared" si="29"/>
        <v>0.12715549936788983</v>
      </c>
    </row>
    <row r="168" spans="1:16" x14ac:dyDescent="0.25">
      <c r="A168" s="2">
        <v>44012</v>
      </c>
      <c r="B168">
        <v>50.39</v>
      </c>
      <c r="C168">
        <v>52.62</v>
      </c>
      <c r="D168">
        <v>50.32</v>
      </c>
      <c r="E168">
        <v>50.41</v>
      </c>
      <c r="G168">
        <f t="shared" si="20"/>
        <v>1.3149999999999977</v>
      </c>
      <c r="H168">
        <f t="shared" si="21"/>
        <v>-2.7100000000000009</v>
      </c>
      <c r="I168" s="3">
        <f t="shared" si="22"/>
        <v>0.14101170510060104</v>
      </c>
      <c r="J168" s="3">
        <f t="shared" si="23"/>
        <v>0.17352547503620447</v>
      </c>
      <c r="K168" s="26">
        <f t="shared" si="24"/>
        <v>2.0838095238095238</v>
      </c>
      <c r="L168" s="26">
        <f t="shared" si="25"/>
        <v>1.594880952380954</v>
      </c>
      <c r="M168" s="26">
        <f t="shared" si="26"/>
        <v>-0.42327012220817251</v>
      </c>
      <c r="N168" s="26">
        <f t="shared" si="27"/>
        <v>-0.22380952380952257</v>
      </c>
      <c r="O168" s="26">
        <f t="shared" si="28"/>
        <v>-0.3064285714285695</v>
      </c>
      <c r="P168" s="26">
        <f t="shared" si="29"/>
        <v>0.13927939317319993</v>
      </c>
    </row>
    <row r="169" spans="1:16" x14ac:dyDescent="0.25">
      <c r="A169" s="2">
        <v>44011</v>
      </c>
      <c r="B169">
        <v>47.37</v>
      </c>
      <c r="C169">
        <v>50.08</v>
      </c>
      <c r="D169">
        <v>47.41</v>
      </c>
      <c r="E169">
        <v>47.39</v>
      </c>
      <c r="G169">
        <f t="shared" si="20"/>
        <v>1.259999999999998</v>
      </c>
      <c r="H169">
        <f t="shared" si="21"/>
        <v>-3.0800000000000054</v>
      </c>
      <c r="I169" s="3">
        <f t="shared" si="22"/>
        <v>3.7138429608501063E-2</v>
      </c>
      <c r="J169" s="3">
        <f t="shared" si="23"/>
        <v>-1.2935128400648492E-2</v>
      </c>
      <c r="K169" s="26">
        <f t="shared" si="24"/>
        <v>2.1333333333333342</v>
      </c>
      <c r="L169" s="26">
        <f t="shared" si="25"/>
        <v>1.4839880952380962</v>
      </c>
      <c r="M169" s="26">
        <f t="shared" si="26"/>
        <v>-0.51113358617783167</v>
      </c>
      <c r="N169" s="26">
        <f t="shared" si="27"/>
        <v>-0.23523809523809369</v>
      </c>
      <c r="O169" s="26">
        <f t="shared" si="28"/>
        <v>-0.29062499999999813</v>
      </c>
      <c r="P169" s="26">
        <f t="shared" si="29"/>
        <v>0.15201011378002671</v>
      </c>
    </row>
    <row r="170" spans="1:16" x14ac:dyDescent="0.25">
      <c r="A170" s="2">
        <v>44008</v>
      </c>
      <c r="B170">
        <v>46.98</v>
      </c>
      <c r="C170">
        <v>50.06</v>
      </c>
      <c r="D170">
        <v>47.26</v>
      </c>
      <c r="E170">
        <v>47.24</v>
      </c>
      <c r="G170">
        <f t="shared" si="20"/>
        <v>1.1950000000000003</v>
      </c>
      <c r="H170">
        <f t="shared" si="21"/>
        <v>-2.6499999999999986</v>
      </c>
      <c r="I170" s="3">
        <f t="shared" si="22"/>
        <v>-8.5639064520878674E-2</v>
      </c>
      <c r="J170" s="3">
        <f t="shared" si="23"/>
        <v>0.20370846217637012</v>
      </c>
      <c r="K170" s="26">
        <f t="shared" si="24"/>
        <v>2.2214285714285733</v>
      </c>
      <c r="L170" s="26">
        <f t="shared" si="25"/>
        <v>1.4011904761904779</v>
      </c>
      <c r="M170" s="26">
        <f t="shared" si="26"/>
        <v>-0.57355667930888909</v>
      </c>
      <c r="N170" s="26">
        <f t="shared" si="27"/>
        <v>-0.26547619047618909</v>
      </c>
      <c r="O170" s="26">
        <f t="shared" si="28"/>
        <v>-0.2792261904761888</v>
      </c>
      <c r="P170" s="26">
        <f t="shared" si="29"/>
        <v>0.14812684365781847</v>
      </c>
    </row>
    <row r="171" spans="1:16" x14ac:dyDescent="0.25">
      <c r="A171" s="2">
        <v>44007</v>
      </c>
      <c r="B171">
        <v>46.89</v>
      </c>
      <c r="C171">
        <v>49.54</v>
      </c>
      <c r="D171">
        <v>47.02</v>
      </c>
      <c r="E171">
        <v>46.99</v>
      </c>
      <c r="G171">
        <f t="shared" si="20"/>
        <v>1.3049999999999997</v>
      </c>
      <c r="H171">
        <f t="shared" si="21"/>
        <v>-2.5700000000000003</v>
      </c>
      <c r="I171" s="3">
        <f t="shared" si="22"/>
        <v>0.12162916285792448</v>
      </c>
      <c r="J171" s="3">
        <f t="shared" si="23"/>
        <v>0.24440096089861693</v>
      </c>
      <c r="K171" s="26">
        <f t="shared" si="24"/>
        <v>2.2790476190476223</v>
      </c>
      <c r="L171" s="26">
        <f t="shared" si="25"/>
        <v>1.26291666666667</v>
      </c>
      <c r="M171" s="26">
        <f t="shared" si="26"/>
        <v>-0.67798567214495975</v>
      </c>
      <c r="N171" s="26">
        <f t="shared" si="27"/>
        <v>-0.33190476190476015</v>
      </c>
      <c r="O171" s="26">
        <f t="shared" si="28"/>
        <v>-0.28604166666666431</v>
      </c>
      <c r="P171" s="26">
        <f t="shared" si="29"/>
        <v>0.13428150021070562</v>
      </c>
    </row>
    <row r="172" spans="1:16" x14ac:dyDescent="0.25">
      <c r="A172" s="2">
        <v>44006</v>
      </c>
      <c r="B172">
        <v>46.79</v>
      </c>
      <c r="C172">
        <v>49.36</v>
      </c>
      <c r="D172">
        <v>46.77</v>
      </c>
      <c r="E172">
        <v>46.9</v>
      </c>
      <c r="G172">
        <f t="shared" si="20"/>
        <v>1.2800000000000011</v>
      </c>
      <c r="H172">
        <f t="shared" si="21"/>
        <v>-2.9399999999999977</v>
      </c>
      <c r="I172" s="3">
        <f t="shared" si="22"/>
        <v>7.4855756184526404E-2</v>
      </c>
      <c r="J172" s="3">
        <f t="shared" si="23"/>
        <v>5.9319989657950004E-2</v>
      </c>
      <c r="K172" s="26">
        <f t="shared" si="24"/>
        <v>2.3047619047619068</v>
      </c>
      <c r="L172" s="26">
        <f t="shared" si="25"/>
        <v>1.1190476190476217</v>
      </c>
      <c r="M172" s="26">
        <f t="shared" si="26"/>
        <v>-0.80788032026969692</v>
      </c>
      <c r="N172" s="26">
        <f t="shared" si="27"/>
        <v>-0.38666666666666449</v>
      </c>
      <c r="O172" s="26">
        <f t="shared" si="28"/>
        <v>-0.28565476190475958</v>
      </c>
      <c r="P172" s="26">
        <f t="shared" si="29"/>
        <v>0.12683101559207954</v>
      </c>
    </row>
    <row r="173" spans="1:16" x14ac:dyDescent="0.25">
      <c r="A173" s="2">
        <v>44005</v>
      </c>
      <c r="B173">
        <v>46.29</v>
      </c>
      <c r="C173">
        <v>49.23</v>
      </c>
      <c r="D173">
        <v>46.48</v>
      </c>
      <c r="E173">
        <v>46.6</v>
      </c>
      <c r="G173">
        <f t="shared" si="20"/>
        <v>1.2000000000000028</v>
      </c>
      <c r="H173">
        <f t="shared" si="21"/>
        <v>-2.7399999999999949</v>
      </c>
      <c r="I173" s="3">
        <f t="shared" si="22"/>
        <v>-7.5190502642070875E-2</v>
      </c>
      <c r="J173" s="3">
        <f t="shared" si="23"/>
        <v>0.15958203186277239</v>
      </c>
      <c r="K173" s="26">
        <f t="shared" si="24"/>
        <v>2.3057142857142874</v>
      </c>
      <c r="L173" s="26">
        <f t="shared" si="25"/>
        <v>1.0008928571428606</v>
      </c>
      <c r="M173" s="26">
        <f t="shared" si="26"/>
        <v>-0.91359039190897162</v>
      </c>
      <c r="N173" s="26">
        <f t="shared" si="27"/>
        <v>-0.42619047619047445</v>
      </c>
      <c r="O173" s="26">
        <f t="shared" si="28"/>
        <v>-0.28836309523809311</v>
      </c>
      <c r="P173" s="26">
        <f t="shared" si="29"/>
        <v>0.11819426885798734</v>
      </c>
    </row>
    <row r="174" spans="1:16" x14ac:dyDescent="0.25">
      <c r="A174" s="2">
        <v>44004</v>
      </c>
      <c r="B174">
        <v>46.24</v>
      </c>
      <c r="C174">
        <v>48.98</v>
      </c>
      <c r="D174">
        <v>46.41</v>
      </c>
      <c r="E174">
        <v>46.45</v>
      </c>
      <c r="G174">
        <f t="shared" si="20"/>
        <v>1.1900000000000048</v>
      </c>
      <c r="H174">
        <f t="shared" si="21"/>
        <v>-3.0800000000000054</v>
      </c>
      <c r="I174" s="3">
        <f t="shared" si="22"/>
        <v>-9.4093865146514563E-2</v>
      </c>
      <c r="J174" s="3">
        <f t="shared" si="23"/>
        <v>-9.901481254935977E-3</v>
      </c>
      <c r="K174" s="26">
        <f t="shared" si="24"/>
        <v>2.3271428571428583</v>
      </c>
      <c r="L174" s="26">
        <f t="shared" si="25"/>
        <v>0.8947619047619062</v>
      </c>
      <c r="M174" s="26">
        <f t="shared" si="26"/>
        <v>-0.99956173619890176</v>
      </c>
      <c r="N174" s="26">
        <f t="shared" si="27"/>
        <v>-0.45404761904761703</v>
      </c>
      <c r="O174" s="26">
        <f t="shared" si="28"/>
        <v>-0.28797619047618861</v>
      </c>
      <c r="P174" s="26">
        <f t="shared" si="29"/>
        <v>0.10630004214075162</v>
      </c>
    </row>
    <row r="175" spans="1:16" x14ac:dyDescent="0.25">
      <c r="A175" s="2">
        <v>44001</v>
      </c>
      <c r="B175">
        <v>45.66</v>
      </c>
      <c r="C175">
        <v>48.74</v>
      </c>
      <c r="D175">
        <v>46.01</v>
      </c>
      <c r="E175">
        <v>46.12</v>
      </c>
      <c r="G175">
        <f t="shared" si="20"/>
        <v>0.90500000000000114</v>
      </c>
      <c r="H175">
        <f t="shared" si="21"/>
        <v>-2.8299999999999983</v>
      </c>
      <c r="I175" s="3">
        <f t="shared" si="22"/>
        <v>-0.6270539058284248</v>
      </c>
      <c r="J175" s="3">
        <f t="shared" si="23"/>
        <v>0.11468336395008615</v>
      </c>
      <c r="K175" s="26">
        <f t="shared" si="24"/>
        <v>2.4095238095238112</v>
      </c>
      <c r="L175" s="26">
        <f t="shared" si="25"/>
        <v>0.81101190476190732</v>
      </c>
      <c r="M175" s="26">
        <f t="shared" si="26"/>
        <v>-1.047159713442896</v>
      </c>
      <c r="N175" s="26">
        <f t="shared" si="27"/>
        <v>-0.47190476190476005</v>
      </c>
      <c r="O175" s="26">
        <f t="shared" si="28"/>
        <v>-0.26937499999999792</v>
      </c>
      <c r="P175" s="26">
        <f t="shared" si="29"/>
        <v>0.1172250316055643</v>
      </c>
    </row>
    <row r="176" spans="1:16" x14ac:dyDescent="0.25">
      <c r="A176" s="2">
        <v>44000</v>
      </c>
      <c r="B176">
        <v>44.63</v>
      </c>
      <c r="C176">
        <v>47.46</v>
      </c>
      <c r="D176">
        <v>45.14</v>
      </c>
      <c r="E176">
        <v>45.21</v>
      </c>
      <c r="G176">
        <f t="shared" si="20"/>
        <v>1.259999999999998</v>
      </c>
      <c r="H176">
        <f t="shared" si="21"/>
        <v>-3.5999999999999943</v>
      </c>
      <c r="I176" s="3">
        <f t="shared" si="22"/>
        <v>3.3660161147896599E-2</v>
      </c>
      <c r="J176" s="3">
        <f t="shared" si="23"/>
        <v>-0.26798699337457449</v>
      </c>
      <c r="K176" s="26">
        <f t="shared" si="24"/>
        <v>2.5166666666666679</v>
      </c>
      <c r="L176" s="26">
        <f t="shared" si="25"/>
        <v>0.73464285714285849</v>
      </c>
      <c r="M176" s="26">
        <f t="shared" si="26"/>
        <v>-1.0758280657395676</v>
      </c>
      <c r="N176" s="26">
        <f t="shared" si="27"/>
        <v>-0.49119047619047418</v>
      </c>
      <c r="O176" s="26">
        <f t="shared" si="28"/>
        <v>-0.24160714285714069</v>
      </c>
      <c r="P176" s="26">
        <f t="shared" si="29"/>
        <v>0.1373704171934278</v>
      </c>
    </row>
    <row r="177" spans="1:16" x14ac:dyDescent="0.25">
      <c r="A177" s="2">
        <v>43999</v>
      </c>
      <c r="B177">
        <v>43.95</v>
      </c>
      <c r="C177">
        <v>47.55</v>
      </c>
      <c r="D177">
        <v>44.49</v>
      </c>
      <c r="E177">
        <v>44.48</v>
      </c>
      <c r="G177">
        <f t="shared" si="20"/>
        <v>1.1600000000000037</v>
      </c>
      <c r="H177">
        <f t="shared" si="21"/>
        <v>-3.3000000000000043</v>
      </c>
      <c r="I177" s="3">
        <f t="shared" si="22"/>
        <v>-0.15251184144486812</v>
      </c>
      <c r="J177" s="3">
        <f t="shared" si="23"/>
        <v>-0.11975748747007049</v>
      </c>
      <c r="K177" s="26">
        <f t="shared" si="24"/>
        <v>2.4180952380952401</v>
      </c>
      <c r="L177" s="26">
        <f t="shared" si="25"/>
        <v>0.54863095238095427</v>
      </c>
      <c r="M177" s="26">
        <f t="shared" si="26"/>
        <v>-1.1814117151285282</v>
      </c>
      <c r="N177" s="26">
        <f t="shared" si="27"/>
        <v>-0.4728571428571402</v>
      </c>
      <c r="O177" s="26">
        <f t="shared" si="28"/>
        <v>-0.19735119047618821</v>
      </c>
      <c r="P177" s="26">
        <f t="shared" si="29"/>
        <v>0.16508006742520198</v>
      </c>
    </row>
    <row r="178" spans="1:16" x14ac:dyDescent="0.25">
      <c r="A178" s="2">
        <v>43998</v>
      </c>
      <c r="B178">
        <v>43.83</v>
      </c>
      <c r="C178">
        <v>47.13</v>
      </c>
      <c r="D178">
        <v>44.32</v>
      </c>
      <c r="E178">
        <v>44.43</v>
      </c>
      <c r="G178">
        <f t="shared" si="20"/>
        <v>1.355000000000004</v>
      </c>
      <c r="H178">
        <f t="shared" si="21"/>
        <v>-3.75</v>
      </c>
      <c r="I178" s="3">
        <f t="shared" si="22"/>
        <v>0.20950689155498176</v>
      </c>
      <c r="J178" s="3">
        <f t="shared" si="23"/>
        <v>-0.34284890565459886</v>
      </c>
      <c r="K178" s="26">
        <f t="shared" si="24"/>
        <v>2.362380952380954</v>
      </c>
      <c r="L178" s="26">
        <f t="shared" si="25"/>
        <v>0.40577380952381104</v>
      </c>
      <c r="M178" s="26">
        <f t="shared" si="26"/>
        <v>-1.2514243573535602</v>
      </c>
      <c r="N178" s="26">
        <f t="shared" si="27"/>
        <v>-0.48119047619047395</v>
      </c>
      <c r="O178" s="26">
        <f t="shared" si="28"/>
        <v>-0.17723214285714084</v>
      </c>
      <c r="P178" s="26">
        <f t="shared" si="29"/>
        <v>0.16039823008849718</v>
      </c>
    </row>
    <row r="179" spans="1:16" x14ac:dyDescent="0.25">
      <c r="A179" s="2">
        <v>43997</v>
      </c>
      <c r="B179">
        <v>43.85</v>
      </c>
      <c r="C179">
        <v>47.6</v>
      </c>
      <c r="D179">
        <v>44.37</v>
      </c>
      <c r="E179">
        <v>44.44</v>
      </c>
      <c r="G179">
        <f t="shared" si="20"/>
        <v>1.0650000000000048</v>
      </c>
      <c r="H179">
        <f t="shared" si="21"/>
        <v>-3.5500000000000043</v>
      </c>
      <c r="I179" s="3">
        <f t="shared" si="22"/>
        <v>-0.32772487023238289</v>
      </c>
      <c r="J179" s="3">
        <f t="shared" si="23"/>
        <v>-0.24489530729324752</v>
      </c>
      <c r="K179" s="26">
        <f t="shared" si="24"/>
        <v>2.151428571428573</v>
      </c>
      <c r="L179" s="26">
        <f t="shared" si="25"/>
        <v>0.19690476190476414</v>
      </c>
      <c r="M179" s="26">
        <f t="shared" si="26"/>
        <v>-1.3840623683101545</v>
      </c>
      <c r="N179" s="26">
        <f t="shared" si="27"/>
        <v>-0.46571428571428397</v>
      </c>
      <c r="O179" s="26">
        <f t="shared" si="28"/>
        <v>-0.15249999999999875</v>
      </c>
      <c r="P179" s="26">
        <f t="shared" si="29"/>
        <v>0.16640960809102512</v>
      </c>
    </row>
    <row r="180" spans="1:16" x14ac:dyDescent="0.25">
      <c r="A180" s="2">
        <v>43994</v>
      </c>
      <c r="B180">
        <v>43.83</v>
      </c>
      <c r="C180">
        <v>47.38</v>
      </c>
      <c r="D180">
        <v>44.54</v>
      </c>
      <c r="E180">
        <v>44.53</v>
      </c>
      <c r="G180">
        <f t="shared" si="20"/>
        <v>1.259999999999998</v>
      </c>
      <c r="H180">
        <f t="shared" si="21"/>
        <v>-3.740000000000002</v>
      </c>
      <c r="I180" s="3">
        <f t="shared" si="22"/>
        <v>3.227587627589272E-2</v>
      </c>
      <c r="J180" s="3">
        <f t="shared" si="23"/>
        <v>-0.33917394926524713</v>
      </c>
      <c r="K180" s="26">
        <f t="shared" si="24"/>
        <v>1.995238095238097</v>
      </c>
      <c r="L180" s="26">
        <f t="shared" si="25"/>
        <v>-2.1904761904760761E-2</v>
      </c>
      <c r="M180" s="26">
        <f t="shared" si="26"/>
        <v>-1.5196418036241033</v>
      </c>
      <c r="N180" s="26">
        <f t="shared" si="27"/>
        <v>-0.48095238095237969</v>
      </c>
      <c r="O180" s="26">
        <f t="shared" si="28"/>
        <v>-0.12779761904761866</v>
      </c>
      <c r="P180" s="26">
        <f t="shared" si="29"/>
        <v>0.17272861356932201</v>
      </c>
    </row>
    <row r="181" spans="1:16" x14ac:dyDescent="0.25">
      <c r="A181" s="2">
        <v>43993</v>
      </c>
      <c r="B181">
        <v>43.82</v>
      </c>
      <c r="C181">
        <v>47.56</v>
      </c>
      <c r="D181">
        <v>44.43</v>
      </c>
      <c r="E181">
        <v>44.42</v>
      </c>
      <c r="G181">
        <f t="shared" si="20"/>
        <v>0.91499999999999915</v>
      </c>
      <c r="H181">
        <f t="shared" si="21"/>
        <v>-3.0300000000000011</v>
      </c>
      <c r="I181" s="3">
        <f t="shared" si="22"/>
        <v>-0.60456904285666624</v>
      </c>
      <c r="J181" s="3">
        <f t="shared" si="23"/>
        <v>9.3172514675268284E-3</v>
      </c>
      <c r="K181" s="26">
        <f t="shared" si="24"/>
        <v>1.8085714285714296</v>
      </c>
      <c r="L181" s="26">
        <f t="shared" si="25"/>
        <v>-0.22315476190476025</v>
      </c>
      <c r="M181" s="26">
        <f t="shared" si="26"/>
        <v>-1.630943952802359</v>
      </c>
      <c r="N181" s="26">
        <f t="shared" si="27"/>
        <v>-0.48333333333333228</v>
      </c>
      <c r="O181" s="26">
        <f t="shared" si="28"/>
        <v>-0.11217261904761822</v>
      </c>
      <c r="P181" s="26">
        <f t="shared" si="29"/>
        <v>0.16591445427728679</v>
      </c>
    </row>
    <row r="182" spans="1:16" x14ac:dyDescent="0.25">
      <c r="A182" s="2">
        <v>43992</v>
      </c>
      <c r="B182">
        <v>43.75</v>
      </c>
      <c r="C182">
        <v>46.78</v>
      </c>
      <c r="D182">
        <v>44.35</v>
      </c>
      <c r="E182">
        <v>44.36</v>
      </c>
      <c r="G182">
        <f t="shared" si="20"/>
        <v>1.2250000000000014</v>
      </c>
      <c r="H182">
        <f t="shared" si="21"/>
        <v>-3.6099999999999994</v>
      </c>
      <c r="I182" s="3">
        <f t="shared" si="22"/>
        <v>-3.5024967770406458E-2</v>
      </c>
      <c r="J182" s="3">
        <f t="shared" si="23"/>
        <v>-0.27539170985804678</v>
      </c>
      <c r="K182" s="26">
        <f t="shared" si="24"/>
        <v>1.4747619047619054</v>
      </c>
      <c r="L182" s="26">
        <f t="shared" si="25"/>
        <v>-0.52404761904761843</v>
      </c>
      <c r="M182" s="26">
        <f t="shared" si="26"/>
        <v>-1.8516519174041295</v>
      </c>
      <c r="N182" s="26">
        <f t="shared" si="27"/>
        <v>-0.40738095238095107</v>
      </c>
      <c r="O182" s="26">
        <f t="shared" si="28"/>
        <v>-3.9404761904761054E-2</v>
      </c>
      <c r="P182" s="26">
        <f t="shared" si="29"/>
        <v>0.21438474504846261</v>
      </c>
    </row>
    <row r="183" spans="1:16" x14ac:dyDescent="0.25">
      <c r="A183" s="2">
        <v>43991</v>
      </c>
      <c r="B183">
        <v>43.61</v>
      </c>
      <c r="C183">
        <v>47.22</v>
      </c>
      <c r="D183">
        <v>44.19</v>
      </c>
      <c r="E183">
        <v>44.29</v>
      </c>
      <c r="G183">
        <f t="shared" si="20"/>
        <v>1.0500000000000043</v>
      </c>
      <c r="H183">
        <f t="shared" si="21"/>
        <v>-2.9799999999999969</v>
      </c>
      <c r="I183" s="3">
        <f t="shared" si="22"/>
        <v>-0.35695112123563133</v>
      </c>
      <c r="J183" s="3">
        <f t="shared" si="23"/>
        <v>3.2527190554354039E-2</v>
      </c>
      <c r="K183" s="26">
        <f t="shared" si="24"/>
        <v>1.1361904761904773</v>
      </c>
      <c r="L183" s="26">
        <f t="shared" si="25"/>
        <v>-0.82589285714285587</v>
      </c>
      <c r="M183" s="26">
        <f t="shared" si="26"/>
        <v>-2.0666877370417192</v>
      </c>
      <c r="N183" s="26">
        <f t="shared" si="27"/>
        <v>-0.36857142857142766</v>
      </c>
      <c r="O183" s="26">
        <f t="shared" si="28"/>
        <v>-1.4583333333328952E-3</v>
      </c>
      <c r="P183" s="26">
        <f t="shared" si="29"/>
        <v>0.23499157184997954</v>
      </c>
    </row>
    <row r="184" spans="1:16" x14ac:dyDescent="0.25">
      <c r="A184" s="2">
        <v>43990</v>
      </c>
      <c r="B184">
        <v>43.43</v>
      </c>
      <c r="C184">
        <v>46.41</v>
      </c>
      <c r="D184">
        <v>43.87</v>
      </c>
      <c r="E184">
        <v>43.91</v>
      </c>
      <c r="G184">
        <f t="shared" si="20"/>
        <v>1.3299999999999983</v>
      </c>
      <c r="H184">
        <f t="shared" si="21"/>
        <v>-3.3999999999999986</v>
      </c>
      <c r="I184" s="3">
        <f t="shared" si="22"/>
        <v>0.15600406233063582</v>
      </c>
      <c r="J184" s="3">
        <f t="shared" si="23"/>
        <v>-0.1726522977710018</v>
      </c>
      <c r="K184" s="26">
        <f t="shared" si="24"/>
        <v>0.84285714285714342</v>
      </c>
      <c r="L184" s="26">
        <f t="shared" si="25"/>
        <v>-1.1042261904761905</v>
      </c>
      <c r="M184" s="26">
        <f t="shared" si="26"/>
        <v>-2.2642941424357357</v>
      </c>
      <c r="N184" s="26">
        <f t="shared" si="27"/>
        <v>-0.34095238095238023</v>
      </c>
      <c r="O184" s="26">
        <f t="shared" si="28"/>
        <v>3.8244047619048205E-2</v>
      </c>
      <c r="P184" s="26">
        <f t="shared" si="29"/>
        <v>0.2579287821323224</v>
      </c>
    </row>
    <row r="185" spans="1:16" x14ac:dyDescent="0.25">
      <c r="A185" s="2">
        <v>43987</v>
      </c>
      <c r="B185">
        <v>42.74</v>
      </c>
      <c r="C185">
        <v>46.14</v>
      </c>
      <c r="D185">
        <v>43.11</v>
      </c>
      <c r="E185">
        <v>43.1</v>
      </c>
      <c r="G185">
        <f t="shared" si="20"/>
        <v>0.94500000000000028</v>
      </c>
      <c r="H185">
        <f t="shared" si="21"/>
        <v>-3.9099999999999966</v>
      </c>
      <c r="I185" s="3">
        <f t="shared" si="22"/>
        <v>-0.54859995500277292</v>
      </c>
      <c r="J185" s="3">
        <f t="shared" si="23"/>
        <v>-0.42173715282791191</v>
      </c>
      <c r="K185" s="26">
        <f t="shared" si="24"/>
        <v>0.54142857142857181</v>
      </c>
      <c r="L185" s="26">
        <f t="shared" si="25"/>
        <v>-1.3814285714285717</v>
      </c>
      <c r="M185" s="26">
        <f t="shared" si="26"/>
        <v>-2.4535398230088501</v>
      </c>
      <c r="N185" s="26">
        <f t="shared" si="27"/>
        <v>-0.32404761904761803</v>
      </c>
      <c r="O185" s="26">
        <f t="shared" si="28"/>
        <v>5.958333333333421E-2</v>
      </c>
      <c r="P185" s="26">
        <f t="shared" si="29"/>
        <v>0.26229034976822652</v>
      </c>
    </row>
    <row r="186" spans="1:16" x14ac:dyDescent="0.25">
      <c r="A186" s="2">
        <v>43986</v>
      </c>
      <c r="B186">
        <v>41.56</v>
      </c>
      <c r="C186">
        <v>45.47</v>
      </c>
      <c r="D186">
        <v>42.57</v>
      </c>
      <c r="E186">
        <v>42.56</v>
      </c>
      <c r="G186">
        <f t="shared" si="20"/>
        <v>1.0249999999999986</v>
      </c>
      <c r="H186">
        <f t="shared" si="21"/>
        <v>-3.8700000000000045</v>
      </c>
      <c r="I186" s="3">
        <f t="shared" si="22"/>
        <v>-0.404040307422944</v>
      </c>
      <c r="J186" s="3">
        <f t="shared" si="23"/>
        <v>-0.40344439638153895</v>
      </c>
      <c r="K186" s="26">
        <f t="shared" si="24"/>
        <v>0.32190476190476147</v>
      </c>
      <c r="L186" s="26">
        <f t="shared" si="25"/>
        <v>-1.6007142857142869</v>
      </c>
      <c r="M186" s="26">
        <f t="shared" si="26"/>
        <v>-2.6094943109987372</v>
      </c>
      <c r="N186" s="26">
        <f t="shared" si="27"/>
        <v>-0.28095238095238018</v>
      </c>
      <c r="O186" s="26">
        <f t="shared" si="28"/>
        <v>0.12107142857142938</v>
      </c>
      <c r="P186" s="26">
        <f t="shared" si="29"/>
        <v>0.30250948166877434</v>
      </c>
    </row>
    <row r="187" spans="1:16" x14ac:dyDescent="0.25">
      <c r="A187" s="2">
        <v>43985</v>
      </c>
      <c r="B187">
        <v>41.44</v>
      </c>
      <c r="C187">
        <v>45.31</v>
      </c>
      <c r="D187">
        <v>42.35</v>
      </c>
      <c r="E187">
        <v>42.35</v>
      </c>
      <c r="G187">
        <f t="shared" si="20"/>
        <v>1.115000000000002</v>
      </c>
      <c r="H187">
        <f t="shared" si="21"/>
        <v>-3.6099999999999994</v>
      </c>
      <c r="I187" s="3">
        <f t="shared" si="22"/>
        <v>-0.24095570480435499</v>
      </c>
      <c r="J187" s="3">
        <f t="shared" si="23"/>
        <v>-0.27828457783846405</v>
      </c>
      <c r="K187" s="26">
        <f t="shared" si="24"/>
        <v>3.285714285714203E-2</v>
      </c>
      <c r="L187" s="26">
        <f t="shared" si="25"/>
        <v>-1.8640476190476192</v>
      </c>
      <c r="M187" s="26">
        <f t="shared" si="26"/>
        <v>-2.8035608933839034</v>
      </c>
      <c r="N187" s="26">
        <f t="shared" si="27"/>
        <v>-0.2311904761904755</v>
      </c>
      <c r="O187" s="26">
        <f t="shared" si="28"/>
        <v>0.17470238095238133</v>
      </c>
      <c r="P187" s="26">
        <f t="shared" si="29"/>
        <v>0.33985882848714755</v>
      </c>
    </row>
    <row r="188" spans="1:16" x14ac:dyDescent="0.25">
      <c r="A188" s="2">
        <v>43984</v>
      </c>
      <c r="B188">
        <v>41.74</v>
      </c>
      <c r="C188">
        <v>45.35</v>
      </c>
      <c r="D188">
        <v>42.43</v>
      </c>
      <c r="E188">
        <v>42.47</v>
      </c>
      <c r="G188">
        <f t="shared" si="20"/>
        <v>1.2899999999999991</v>
      </c>
      <c r="H188">
        <f t="shared" si="21"/>
        <v>-4.0600000000000023</v>
      </c>
      <c r="I188" s="3">
        <f t="shared" si="22"/>
        <v>7.6993393357878928E-2</v>
      </c>
      <c r="J188" s="3">
        <f t="shared" si="23"/>
        <v>-0.49706351097823764</v>
      </c>
      <c r="K188" s="26">
        <f t="shared" si="24"/>
        <v>-0.18380952380952564</v>
      </c>
      <c r="L188" s="26">
        <f t="shared" si="25"/>
        <v>-2.1117261904761913</v>
      </c>
      <c r="M188" s="26">
        <f t="shared" si="26"/>
        <v>-2.9858997050147504</v>
      </c>
      <c r="N188" s="26">
        <f t="shared" si="27"/>
        <v>-0.20238095238095144</v>
      </c>
      <c r="O188" s="26">
        <f t="shared" si="28"/>
        <v>0.22014880952381</v>
      </c>
      <c r="P188" s="26">
        <f t="shared" si="29"/>
        <v>0.36689422671723593</v>
      </c>
    </row>
    <row r="189" spans="1:16" x14ac:dyDescent="0.25">
      <c r="A189" s="2">
        <v>43983</v>
      </c>
      <c r="B189">
        <v>41.87</v>
      </c>
      <c r="C189">
        <v>45.93</v>
      </c>
      <c r="D189">
        <v>42.61</v>
      </c>
      <c r="E189">
        <v>42.6</v>
      </c>
      <c r="G189">
        <f t="shared" si="20"/>
        <v>1.3900000000000006</v>
      </c>
      <c r="H189">
        <f t="shared" si="21"/>
        <v>-3.9399999999999977</v>
      </c>
      <c r="I189" s="3">
        <f t="shared" si="22"/>
        <v>0.25877485271884432</v>
      </c>
      <c r="J189" s="3">
        <f t="shared" si="23"/>
        <v>-0.44050337250437066</v>
      </c>
      <c r="K189" s="26">
        <f t="shared" si="24"/>
        <v>-0.44047619047619158</v>
      </c>
      <c r="L189" s="26">
        <f t="shared" si="25"/>
        <v>-2.3232142857142861</v>
      </c>
      <c r="M189" s="26">
        <f t="shared" si="26"/>
        <v>-3.1355752212389389</v>
      </c>
      <c r="N189" s="26">
        <f t="shared" si="27"/>
        <v>-0.17357142857142804</v>
      </c>
      <c r="O189" s="26">
        <f t="shared" si="28"/>
        <v>0.25327380952380962</v>
      </c>
      <c r="P189" s="26">
        <f t="shared" si="29"/>
        <v>0.38061104087652775</v>
      </c>
    </row>
    <row r="190" spans="1:16" x14ac:dyDescent="0.25">
      <c r="A190" s="2">
        <v>43980</v>
      </c>
      <c r="B190">
        <v>41.96</v>
      </c>
      <c r="C190">
        <v>45.9</v>
      </c>
      <c r="D190">
        <v>42.54</v>
      </c>
      <c r="E190">
        <v>42.52</v>
      </c>
      <c r="G190">
        <f t="shared" si="20"/>
        <v>1.25</v>
      </c>
      <c r="H190">
        <f t="shared" si="21"/>
        <v>-3.7199999999999989</v>
      </c>
      <c r="I190" s="3">
        <f t="shared" si="22"/>
        <v>5.7769662610968079E-3</v>
      </c>
      <c r="J190" s="3">
        <f t="shared" si="23"/>
        <v>-0.33555977662768</v>
      </c>
      <c r="K190" s="26">
        <f t="shared" si="24"/>
        <v>-0.60000000000000231</v>
      </c>
      <c r="L190" s="26">
        <f t="shared" si="25"/>
        <v>-2.5202380952380978</v>
      </c>
      <c r="M190" s="26">
        <f t="shared" si="26"/>
        <v>-3.2791571849978953</v>
      </c>
      <c r="N190" s="26">
        <f t="shared" si="27"/>
        <v>-0.17238095238095186</v>
      </c>
      <c r="O190" s="26">
        <f t="shared" si="28"/>
        <v>0.28541666666666687</v>
      </c>
      <c r="P190" s="26">
        <f t="shared" si="29"/>
        <v>0.40335440370838627</v>
      </c>
    </row>
    <row r="191" spans="1:16" x14ac:dyDescent="0.25">
      <c r="A191" s="2">
        <v>43979</v>
      </c>
      <c r="B191">
        <v>42.1</v>
      </c>
      <c r="C191">
        <v>45.82</v>
      </c>
      <c r="D191">
        <v>42.71</v>
      </c>
      <c r="E191">
        <v>42.75</v>
      </c>
      <c r="G191">
        <f t="shared" si="20"/>
        <v>0.96000000000000085</v>
      </c>
      <c r="H191">
        <f t="shared" si="21"/>
        <v>-4.1999999999999957</v>
      </c>
      <c r="I191" s="3">
        <f t="shared" si="22"/>
        <v>-0.51837358518817478</v>
      </c>
      <c r="J191" s="3">
        <f t="shared" si="23"/>
        <v>-0.56769143797425692</v>
      </c>
      <c r="K191" s="26">
        <f t="shared" si="24"/>
        <v>-0.73761904761904962</v>
      </c>
      <c r="L191" s="26">
        <f t="shared" si="25"/>
        <v>-2.7284523809523837</v>
      </c>
      <c r="M191" s="26">
        <f t="shared" si="26"/>
        <v>-3.4319764011799441</v>
      </c>
      <c r="N191" s="26">
        <f t="shared" si="27"/>
        <v>-0.12071428571428489</v>
      </c>
      <c r="O191" s="26">
        <f t="shared" si="28"/>
        <v>0.33321428571428613</v>
      </c>
      <c r="P191" s="26">
        <f t="shared" si="29"/>
        <v>0.4371428571428575</v>
      </c>
    </row>
    <row r="192" spans="1:16" x14ac:dyDescent="0.25">
      <c r="A192" s="2">
        <v>43978</v>
      </c>
      <c r="B192">
        <v>41.6</v>
      </c>
      <c r="C192">
        <v>45.8</v>
      </c>
      <c r="D192">
        <v>42.74</v>
      </c>
      <c r="E192">
        <v>42.74</v>
      </c>
      <c r="G192">
        <f t="shared" si="20"/>
        <v>1.0900000000000034</v>
      </c>
      <c r="H192">
        <f t="shared" si="21"/>
        <v>-4.1400000000000006</v>
      </c>
      <c r="I192" s="3">
        <f t="shared" si="22"/>
        <v>-0.28542173921156722</v>
      </c>
      <c r="J192" s="3">
        <f t="shared" si="23"/>
        <v>-0.54066168264795267</v>
      </c>
      <c r="K192" s="26">
        <f t="shared" si="24"/>
        <v>-0.95714285714286085</v>
      </c>
      <c r="L192" s="26">
        <f t="shared" si="25"/>
        <v>-2.9622023809523834</v>
      </c>
      <c r="M192" s="26">
        <f t="shared" si="26"/>
        <v>-3.6087147071217895</v>
      </c>
      <c r="N192" s="26">
        <f t="shared" si="27"/>
        <v>-3.8571428571427813E-2</v>
      </c>
      <c r="O192" s="26">
        <f t="shared" si="28"/>
        <v>0.41122023809523833</v>
      </c>
      <c r="P192" s="26">
        <f t="shared" si="29"/>
        <v>0.50406236831015616</v>
      </c>
    </row>
    <row r="193" spans="1:16" x14ac:dyDescent="0.25">
      <c r="A193" s="2">
        <v>43977</v>
      </c>
      <c r="B193">
        <v>42.06</v>
      </c>
      <c r="C193">
        <v>46.2</v>
      </c>
      <c r="D193">
        <v>43.04</v>
      </c>
      <c r="E193">
        <v>43.03</v>
      </c>
      <c r="G193">
        <f t="shared" si="20"/>
        <v>1.1199999999999974</v>
      </c>
      <c r="H193">
        <f t="shared" si="21"/>
        <v>-4.240000000000002</v>
      </c>
      <c r="I193" s="3">
        <f t="shared" si="22"/>
        <v>-0.23216926945658684</v>
      </c>
      <c r="J193" s="3">
        <f t="shared" si="23"/>
        <v>-0.59037911477682192</v>
      </c>
      <c r="K193" s="26">
        <f t="shared" si="24"/>
        <v>-1.2214285714285742</v>
      </c>
      <c r="L193" s="26">
        <f t="shared" si="25"/>
        <v>-3.1578571428571447</v>
      </c>
      <c r="M193" s="26">
        <f t="shared" si="26"/>
        <v>-3.7498988621997493</v>
      </c>
      <c r="N193" s="26">
        <f t="shared" si="27"/>
        <v>7.50000000000004E-2</v>
      </c>
      <c r="O193" s="26">
        <f t="shared" si="28"/>
        <v>0.48047619047619028</v>
      </c>
      <c r="P193" s="26">
        <f t="shared" si="29"/>
        <v>0.56159502739148737</v>
      </c>
    </row>
    <row r="194" spans="1:16" x14ac:dyDescent="0.25">
      <c r="A194" s="2">
        <v>43976</v>
      </c>
      <c r="B194">
        <v>42.01</v>
      </c>
      <c r="C194">
        <v>46.25</v>
      </c>
      <c r="D194">
        <v>43.01</v>
      </c>
      <c r="E194">
        <v>43</v>
      </c>
      <c r="G194">
        <f t="shared" si="20"/>
        <v>1.0450000000000017</v>
      </c>
      <c r="H194">
        <f t="shared" si="21"/>
        <v>-3.75</v>
      </c>
      <c r="I194" s="3">
        <f t="shared" si="22"/>
        <v>-0.36746658022202644</v>
      </c>
      <c r="J194" s="3">
        <f t="shared" si="23"/>
        <v>-0.35746502011404668</v>
      </c>
      <c r="K194" s="26">
        <f t="shared" si="24"/>
        <v>-1.3390476190476219</v>
      </c>
      <c r="L194" s="26">
        <f t="shared" si="25"/>
        <v>-3.303214285714287</v>
      </c>
      <c r="M194" s="26">
        <f t="shared" si="26"/>
        <v>-3.8432869785082193</v>
      </c>
      <c r="N194" s="26">
        <f t="shared" si="27"/>
        <v>9.1904761904762378E-2</v>
      </c>
      <c r="O194" s="26">
        <f t="shared" si="28"/>
        <v>0.53416666666666668</v>
      </c>
      <c r="P194" s="26">
        <f t="shared" si="29"/>
        <v>0.59982722292456825</v>
      </c>
    </row>
    <row r="195" spans="1:16" x14ac:dyDescent="0.25">
      <c r="A195" s="2">
        <v>43973</v>
      </c>
      <c r="B195">
        <v>42.81</v>
      </c>
      <c r="C195">
        <v>46.56</v>
      </c>
      <c r="D195">
        <v>43.64</v>
      </c>
      <c r="E195">
        <v>43.79</v>
      </c>
      <c r="G195">
        <f t="shared" si="20"/>
        <v>1.3200000000000003</v>
      </c>
      <c r="H195">
        <f t="shared" si="21"/>
        <v>-3.6799999999999997</v>
      </c>
      <c r="I195" s="3">
        <f t="shared" si="22"/>
        <v>0.12433965908038465</v>
      </c>
      <c r="J195" s="3">
        <f t="shared" si="23"/>
        <v>-0.32497788937244465</v>
      </c>
      <c r="K195" s="26">
        <f t="shared" si="24"/>
        <v>-1.38619047619048</v>
      </c>
      <c r="L195" s="26">
        <f t="shared" si="25"/>
        <v>-3.4472023809523837</v>
      </c>
      <c r="M195" s="26">
        <f t="shared" si="26"/>
        <v>-3.9410408765276053</v>
      </c>
      <c r="N195" s="26">
        <f t="shared" si="27"/>
        <v>6.9285714285714173E-2</v>
      </c>
      <c r="O195" s="26">
        <f t="shared" si="28"/>
        <v>0.57062499999999972</v>
      </c>
      <c r="P195" s="26">
        <f t="shared" si="29"/>
        <v>0.6227370417193423</v>
      </c>
    </row>
    <row r="196" spans="1:16" x14ac:dyDescent="0.25">
      <c r="A196" s="2">
        <v>43972</v>
      </c>
      <c r="B196">
        <v>43.24</v>
      </c>
      <c r="C196">
        <v>46.92</v>
      </c>
      <c r="D196">
        <v>43.76</v>
      </c>
      <c r="E196">
        <v>43.75</v>
      </c>
      <c r="G196">
        <f t="shared" ref="G196:G259" si="30">AVERAGE(C197,B197)-D197</f>
        <v>1.2500000000000071</v>
      </c>
      <c r="H196">
        <f t="shared" ref="H196:H259" si="31">B197-C197</f>
        <v>-3.3800000000000026</v>
      </c>
      <c r="I196" s="3">
        <f t="shared" ref="I196:I259" si="32">(G196-AVERAGE(G196:G427))/_xlfn.STDEV.S(G196:G427)</f>
        <v>-4.8917958795858163E-4</v>
      </c>
      <c r="J196" s="3">
        <f t="shared" ref="J196:J259" si="33">(H196-AVERAGE(H196:H427))/_xlfn.STDEV.S(H196:H427)</f>
        <v>-0.18269937373846368</v>
      </c>
      <c r="K196" s="26">
        <f t="shared" ref="K196:K259" si="34">AVERAGEA(H196:H216)-AVERAGE(H217:H237)</f>
        <v>-1.5133333333333363</v>
      </c>
      <c r="L196" s="26">
        <f t="shared" ref="L196:L259" si="35">AVERAGEA(H196:H216)-AVERAGE(H217:H272)</f>
        <v>-3.6469047619047648</v>
      </c>
      <c r="M196" s="26">
        <f t="shared" ref="M196:M259" si="36">AVERAGEA(H196:H216)-AVERAGE(H217:H329)</f>
        <v>-4.092612726506534</v>
      </c>
      <c r="N196" s="26">
        <f t="shared" ref="N196:N259" si="37">AVERAGEA(G196:G216)-AVERAGE(G217:G237)</f>
        <v>8.4761904761904816E-2</v>
      </c>
      <c r="O196" s="26">
        <f t="shared" ref="O196:O259" si="38">AVERAGEA(G196:G216)-AVERAGE(G217:G272)</f>
        <v>0.61494047619047598</v>
      </c>
      <c r="P196" s="26">
        <f t="shared" ref="P196:P259" si="39">AVERAGEA(G196:G216)-AVERAGE(G217:G329)</f>
        <v>0.65461651917404096</v>
      </c>
    </row>
    <row r="197" spans="1:16" x14ac:dyDescent="0.25">
      <c r="A197" s="2">
        <v>43971</v>
      </c>
      <c r="B197">
        <v>43.21</v>
      </c>
      <c r="C197">
        <v>46.59</v>
      </c>
      <c r="D197">
        <v>43.65</v>
      </c>
      <c r="E197">
        <v>43.77</v>
      </c>
      <c r="G197">
        <f t="shared" si="30"/>
        <v>1.6700000000000017</v>
      </c>
      <c r="H197">
        <f t="shared" si="31"/>
        <v>-5.4399999999999977</v>
      </c>
      <c r="I197" s="3">
        <f t="shared" si="32"/>
        <v>0.74847633446349415</v>
      </c>
      <c r="J197" s="3">
        <f t="shared" si="33"/>
        <v>-1.1638765344000153</v>
      </c>
      <c r="K197" s="26">
        <f t="shared" si="34"/>
        <v>-1.7071428571428608</v>
      </c>
      <c r="L197" s="26">
        <f t="shared" si="35"/>
        <v>-3.8643452380952414</v>
      </c>
      <c r="M197" s="26">
        <f t="shared" si="36"/>
        <v>-4.2637336704593372</v>
      </c>
      <c r="N197" s="26">
        <f t="shared" si="37"/>
        <v>0.13690476190476231</v>
      </c>
      <c r="O197" s="26">
        <f t="shared" si="38"/>
        <v>0.67002976190476193</v>
      </c>
      <c r="P197" s="26">
        <f t="shared" si="39"/>
        <v>0.69648124736620276</v>
      </c>
    </row>
    <row r="198" spans="1:16" x14ac:dyDescent="0.25">
      <c r="A198" s="2">
        <v>43970</v>
      </c>
      <c r="B198">
        <v>43.49</v>
      </c>
      <c r="C198">
        <v>48.93</v>
      </c>
      <c r="D198">
        <v>44.54</v>
      </c>
      <c r="E198">
        <v>44.53</v>
      </c>
      <c r="G198">
        <f t="shared" si="30"/>
        <v>1.2149999999999963</v>
      </c>
      <c r="H198">
        <f t="shared" si="31"/>
        <v>-4.5900000000000034</v>
      </c>
      <c r="I198" s="3">
        <f t="shared" si="32"/>
        <v>-5.9077947479279525E-2</v>
      </c>
      <c r="J198" s="3">
        <f t="shared" si="33"/>
        <v>-0.76576333497158833</v>
      </c>
      <c r="K198" s="26">
        <f t="shared" si="34"/>
        <v>-1.7242857142857178</v>
      </c>
      <c r="L198" s="26">
        <f t="shared" si="35"/>
        <v>-3.9248214285714313</v>
      </c>
      <c r="M198" s="26">
        <f t="shared" si="36"/>
        <v>-4.2810113780025318</v>
      </c>
      <c r="N198" s="26">
        <f t="shared" si="37"/>
        <v>0.15214285714285714</v>
      </c>
      <c r="O198" s="26">
        <f t="shared" si="38"/>
        <v>0.68925595238095194</v>
      </c>
      <c r="P198" s="26">
        <f t="shared" si="39"/>
        <v>0.70169827222924475</v>
      </c>
    </row>
    <row r="199" spans="1:16" x14ac:dyDescent="0.25">
      <c r="A199" s="2">
        <v>43969</v>
      </c>
      <c r="B199">
        <v>43.91</v>
      </c>
      <c r="C199">
        <v>48.5</v>
      </c>
      <c r="D199">
        <v>44.99</v>
      </c>
      <c r="E199">
        <v>45.13</v>
      </c>
      <c r="G199">
        <f t="shared" si="30"/>
        <v>1.4449999999999932</v>
      </c>
      <c r="H199">
        <f t="shared" si="31"/>
        <v>-5.9499999999999957</v>
      </c>
      <c r="I199" s="3">
        <f t="shared" si="32"/>
        <v>0.34943762198662642</v>
      </c>
      <c r="J199" s="3">
        <f t="shared" si="33"/>
        <v>-1.4162049324131663</v>
      </c>
      <c r="K199" s="26">
        <f t="shared" si="34"/>
        <v>-1.7638095238095275</v>
      </c>
      <c r="L199" s="26">
        <f t="shared" si="35"/>
        <v>-3.9950000000000028</v>
      </c>
      <c r="M199" s="26">
        <f t="shared" si="36"/>
        <v>-4.3092920353982329</v>
      </c>
      <c r="N199" s="26">
        <f t="shared" si="37"/>
        <v>0.16380952380952407</v>
      </c>
      <c r="O199" s="26">
        <f t="shared" si="38"/>
        <v>0.71208333333333296</v>
      </c>
      <c r="P199" s="26">
        <f t="shared" si="39"/>
        <v>0.71561525495153755</v>
      </c>
    </row>
    <row r="200" spans="1:16" x14ac:dyDescent="0.25">
      <c r="A200" s="2">
        <v>43966</v>
      </c>
      <c r="B200">
        <v>44.56</v>
      </c>
      <c r="C200">
        <v>50.51</v>
      </c>
      <c r="D200">
        <v>46.09</v>
      </c>
      <c r="E200">
        <v>46.21</v>
      </c>
      <c r="G200">
        <f t="shared" si="30"/>
        <v>1.2199999999999989</v>
      </c>
      <c r="H200">
        <f t="shared" si="31"/>
        <v>-5.9399999999999977</v>
      </c>
      <c r="I200" s="3">
        <f t="shared" si="32"/>
        <v>-4.8460582296882868E-2</v>
      </c>
      <c r="J200" s="3">
        <f t="shared" si="33"/>
        <v>-1.4223242369902604</v>
      </c>
      <c r="K200" s="26">
        <f t="shared" si="34"/>
        <v>-1.6261904761904793</v>
      </c>
      <c r="L200" s="26">
        <f t="shared" si="35"/>
        <v>-3.9347023809523827</v>
      </c>
      <c r="M200" s="26">
        <f t="shared" si="36"/>
        <v>-4.2172608512431538</v>
      </c>
      <c r="N200" s="26">
        <f t="shared" si="37"/>
        <v>0.13071428571428556</v>
      </c>
      <c r="O200" s="26">
        <f t="shared" si="38"/>
        <v>0.70937499999999953</v>
      </c>
      <c r="P200" s="26">
        <f t="shared" si="39"/>
        <v>0.69619469026548597</v>
      </c>
    </row>
    <row r="201" spans="1:16" x14ac:dyDescent="0.25">
      <c r="A201" s="2">
        <v>43965</v>
      </c>
      <c r="B201">
        <v>44.86</v>
      </c>
      <c r="C201">
        <v>50.8</v>
      </c>
      <c r="D201">
        <v>46.61</v>
      </c>
      <c r="E201">
        <v>46.6</v>
      </c>
      <c r="G201">
        <f t="shared" si="30"/>
        <v>1.259999999999998</v>
      </c>
      <c r="H201">
        <f t="shared" si="31"/>
        <v>-5.7800000000000011</v>
      </c>
      <c r="I201" s="3">
        <f t="shared" si="32"/>
        <v>2.2149119026928281E-2</v>
      </c>
      <c r="J201" s="3">
        <f t="shared" si="33"/>
        <v>-1.356820845899821</v>
      </c>
      <c r="K201" s="26">
        <f t="shared" si="34"/>
        <v>-1.7285714285714322</v>
      </c>
      <c r="L201" s="26">
        <f t="shared" si="35"/>
        <v>-3.9633928571428592</v>
      </c>
      <c r="M201" s="26">
        <f t="shared" si="36"/>
        <v>-4.2053223767383079</v>
      </c>
      <c r="N201" s="26">
        <f t="shared" si="37"/>
        <v>0.18904761904761869</v>
      </c>
      <c r="O201" s="26">
        <f t="shared" si="38"/>
        <v>0.74806547619047581</v>
      </c>
      <c r="P201" s="26">
        <f t="shared" si="39"/>
        <v>0.71943320691108259</v>
      </c>
    </row>
    <row r="202" spans="1:16" x14ac:dyDescent="0.25">
      <c r="A202" s="2">
        <v>43964</v>
      </c>
      <c r="B202">
        <v>46.41</v>
      </c>
      <c r="C202">
        <v>52.19</v>
      </c>
      <c r="D202">
        <v>48.04</v>
      </c>
      <c r="E202">
        <v>48.03</v>
      </c>
      <c r="G202">
        <f t="shared" si="30"/>
        <v>1.9050000000000011</v>
      </c>
      <c r="H202">
        <f t="shared" si="31"/>
        <v>-6.8100000000000023</v>
      </c>
      <c r="I202" s="3">
        <f t="shared" si="32"/>
        <v>1.1598455783763346</v>
      </c>
      <c r="J202" s="3">
        <f t="shared" si="33"/>
        <v>-1.8607361515877492</v>
      </c>
      <c r="K202" s="26">
        <f t="shared" si="34"/>
        <v>-1.7376190476190496</v>
      </c>
      <c r="L202" s="26">
        <f t="shared" si="35"/>
        <v>-3.9238690476190494</v>
      </c>
      <c r="M202" s="26">
        <f t="shared" si="36"/>
        <v>-4.1455330804888346</v>
      </c>
      <c r="N202" s="26">
        <f t="shared" si="37"/>
        <v>0.21452380952380934</v>
      </c>
      <c r="O202" s="26">
        <f t="shared" si="38"/>
        <v>0.76294642857142847</v>
      </c>
      <c r="P202" s="26">
        <f t="shared" si="39"/>
        <v>0.72243362831858393</v>
      </c>
    </row>
    <row r="203" spans="1:16" x14ac:dyDescent="0.25">
      <c r="A203" s="2">
        <v>43963</v>
      </c>
      <c r="B203">
        <v>46.44</v>
      </c>
      <c r="C203">
        <v>53.25</v>
      </c>
      <c r="D203">
        <v>47.94</v>
      </c>
      <c r="E203">
        <v>48.1</v>
      </c>
      <c r="G203">
        <f t="shared" si="30"/>
        <v>1.6149999999999949</v>
      </c>
      <c r="H203">
        <f t="shared" si="31"/>
        <v>-7.2299999999999969</v>
      </c>
      <c r="I203" s="3">
        <f t="shared" si="32"/>
        <v>0.65492491678257614</v>
      </c>
      <c r="J203" s="3">
        <f t="shared" si="33"/>
        <v>-2.0851888640890515</v>
      </c>
      <c r="K203" s="26">
        <f t="shared" si="34"/>
        <v>-1.7219047619047636</v>
      </c>
      <c r="L203" s="26">
        <f t="shared" si="35"/>
        <v>-3.8157738095238107</v>
      </c>
      <c r="M203" s="26">
        <f t="shared" si="36"/>
        <v>-4.0103961230509917</v>
      </c>
      <c r="N203" s="26">
        <f t="shared" si="37"/>
        <v>0.21952380952380901</v>
      </c>
      <c r="O203" s="26">
        <f t="shared" si="38"/>
        <v>0.74538690476190428</v>
      </c>
      <c r="P203" s="26">
        <f t="shared" si="39"/>
        <v>0.69464180362410388</v>
      </c>
    </row>
    <row r="204" spans="1:16" x14ac:dyDescent="0.25">
      <c r="A204" s="2">
        <v>43962</v>
      </c>
      <c r="B204">
        <v>46.67</v>
      </c>
      <c r="C204">
        <v>53.9</v>
      </c>
      <c r="D204">
        <v>48.67</v>
      </c>
      <c r="E204">
        <v>48.66</v>
      </c>
      <c r="G204">
        <f t="shared" si="30"/>
        <v>1.4750000000000014</v>
      </c>
      <c r="H204">
        <f t="shared" si="31"/>
        <v>-6.4699999999999989</v>
      </c>
      <c r="I204" s="3">
        <f t="shared" si="32"/>
        <v>0.41055535653210051</v>
      </c>
      <c r="J204" s="3">
        <f t="shared" si="33"/>
        <v>-1.7445345351913983</v>
      </c>
      <c r="K204" s="26">
        <f t="shared" si="34"/>
        <v>-1.6857142857142877</v>
      </c>
      <c r="L204" s="26">
        <f t="shared" si="35"/>
        <v>-3.699761904761905</v>
      </c>
      <c r="M204" s="26">
        <f t="shared" si="36"/>
        <v>-3.8660640539401605</v>
      </c>
      <c r="N204" s="26">
        <f t="shared" si="37"/>
        <v>0.22238095238095212</v>
      </c>
      <c r="O204" s="26">
        <f t="shared" si="38"/>
        <v>0.73863095238095211</v>
      </c>
      <c r="P204" s="26">
        <f t="shared" si="39"/>
        <v>0.67515592077538944</v>
      </c>
    </row>
    <row r="205" spans="1:16" x14ac:dyDescent="0.25">
      <c r="A205" s="2">
        <v>43959</v>
      </c>
      <c r="B205">
        <v>47.79</v>
      </c>
      <c r="C205">
        <v>54.26</v>
      </c>
      <c r="D205">
        <v>49.55</v>
      </c>
      <c r="E205">
        <v>49.64</v>
      </c>
      <c r="G205">
        <f t="shared" si="30"/>
        <v>1.3900000000000006</v>
      </c>
      <c r="H205">
        <f t="shared" si="31"/>
        <v>-6.7199999999999989</v>
      </c>
      <c r="I205" s="3">
        <f t="shared" si="32"/>
        <v>0.26228728285221109</v>
      </c>
      <c r="J205" s="3">
        <f t="shared" si="33"/>
        <v>-1.8855566753508073</v>
      </c>
      <c r="K205" s="26">
        <f t="shared" si="34"/>
        <v>-1.7019047619047631</v>
      </c>
      <c r="L205" s="26">
        <f t="shared" si="35"/>
        <v>-3.6460119047619051</v>
      </c>
      <c r="M205" s="26">
        <f t="shared" si="36"/>
        <v>-3.7636114622840284</v>
      </c>
      <c r="N205" s="26">
        <f t="shared" si="37"/>
        <v>0.24999999999999933</v>
      </c>
      <c r="O205" s="26">
        <f t="shared" si="38"/>
        <v>0.74776785714285687</v>
      </c>
      <c r="P205" s="26">
        <f t="shared" si="39"/>
        <v>0.6656068268015165</v>
      </c>
    </row>
    <row r="206" spans="1:16" x14ac:dyDescent="0.25">
      <c r="A206" s="2">
        <v>43958</v>
      </c>
      <c r="B206">
        <v>47.57</v>
      </c>
      <c r="C206">
        <v>54.29</v>
      </c>
      <c r="D206">
        <v>49.54</v>
      </c>
      <c r="E206">
        <v>49.54</v>
      </c>
      <c r="G206">
        <f t="shared" si="30"/>
        <v>1.7449999999999974</v>
      </c>
      <c r="H206">
        <f t="shared" si="31"/>
        <v>-6.490000000000002</v>
      </c>
      <c r="I206" s="3">
        <f t="shared" si="32"/>
        <v>0.88592546515512727</v>
      </c>
      <c r="J206" s="3">
        <f t="shared" si="33"/>
        <v>-1.79501555952375</v>
      </c>
      <c r="K206" s="26">
        <f t="shared" si="34"/>
        <v>-1.7071428571428586</v>
      </c>
      <c r="L206" s="26">
        <f t="shared" si="35"/>
        <v>-3.5580357142857144</v>
      </c>
      <c r="M206" s="26">
        <f t="shared" si="36"/>
        <v>-3.6273577749683943</v>
      </c>
      <c r="N206" s="26">
        <f t="shared" si="37"/>
        <v>0.25404761904761841</v>
      </c>
      <c r="O206" s="26">
        <f t="shared" si="38"/>
        <v>0.74461309523809494</v>
      </c>
      <c r="P206" s="26">
        <f t="shared" si="39"/>
        <v>0.64571849978929574</v>
      </c>
    </row>
    <row r="207" spans="1:16" x14ac:dyDescent="0.25">
      <c r="A207" s="2">
        <v>43957</v>
      </c>
      <c r="B207">
        <v>49.04</v>
      </c>
      <c r="C207">
        <v>55.53</v>
      </c>
      <c r="D207">
        <v>50.54</v>
      </c>
      <c r="E207">
        <v>50.69</v>
      </c>
      <c r="G207">
        <f t="shared" si="30"/>
        <v>1.7349999999999994</v>
      </c>
      <c r="H207">
        <f t="shared" si="31"/>
        <v>-7.1499999999999986</v>
      </c>
      <c r="I207" s="3">
        <f t="shared" si="32"/>
        <v>0.87255457688260107</v>
      </c>
      <c r="J207" s="3">
        <f t="shared" si="33"/>
        <v>-2.1425542105106583</v>
      </c>
      <c r="K207" s="26">
        <f t="shared" si="34"/>
        <v>-1.8100000000000018</v>
      </c>
      <c r="L207" s="26">
        <f t="shared" si="35"/>
        <v>-3.5124404761904766</v>
      </c>
      <c r="M207" s="26">
        <f t="shared" si="36"/>
        <v>-3.5529919932574798</v>
      </c>
      <c r="N207" s="26">
        <f t="shared" si="37"/>
        <v>0.30357142857142838</v>
      </c>
      <c r="O207" s="26">
        <f t="shared" si="38"/>
        <v>0.75407738095238075</v>
      </c>
      <c r="P207" s="26">
        <f t="shared" si="39"/>
        <v>0.64301938474504794</v>
      </c>
    </row>
    <row r="208" spans="1:16" x14ac:dyDescent="0.25">
      <c r="A208" s="2">
        <v>43956</v>
      </c>
      <c r="B208">
        <v>49.08</v>
      </c>
      <c r="C208">
        <v>56.23</v>
      </c>
      <c r="D208">
        <v>50.92</v>
      </c>
      <c r="E208">
        <v>50.95</v>
      </c>
      <c r="G208">
        <f t="shared" si="30"/>
        <v>1.6400000000000006</v>
      </c>
      <c r="H208">
        <f t="shared" si="31"/>
        <v>-6.6400000000000006</v>
      </c>
      <c r="I208" s="3">
        <f t="shared" si="32"/>
        <v>0.71012745671852007</v>
      </c>
      <c r="J208" s="3">
        <f t="shared" si="33"/>
        <v>-1.9195152199636851</v>
      </c>
      <c r="K208" s="26">
        <f t="shared" si="34"/>
        <v>-1.8328571428571436</v>
      </c>
      <c r="L208" s="26">
        <f t="shared" si="35"/>
        <v>-3.44172619047619</v>
      </c>
      <c r="M208" s="26">
        <f t="shared" si="36"/>
        <v>-3.4214622840286548</v>
      </c>
      <c r="N208" s="26">
        <f t="shared" si="37"/>
        <v>0.31404761904761869</v>
      </c>
      <c r="O208" s="26">
        <f t="shared" si="38"/>
        <v>0.7520535714285711</v>
      </c>
      <c r="P208" s="26">
        <f t="shared" si="39"/>
        <v>0.62268647281921563</v>
      </c>
    </row>
    <row r="209" spans="1:16" x14ac:dyDescent="0.25">
      <c r="A209" s="2">
        <v>43955</v>
      </c>
      <c r="B209">
        <v>49.33</v>
      </c>
      <c r="C209">
        <v>55.97</v>
      </c>
      <c r="D209">
        <v>51.01</v>
      </c>
      <c r="E209">
        <v>51</v>
      </c>
      <c r="G209">
        <f t="shared" si="30"/>
        <v>1.6049999999999969</v>
      </c>
      <c r="H209">
        <f t="shared" si="31"/>
        <v>-6.509999999999998</v>
      </c>
      <c r="I209" s="3">
        <f t="shared" si="32"/>
        <v>0.65170517472865741</v>
      </c>
      <c r="J209" s="3">
        <f t="shared" si="33"/>
        <v>-1.8782568466135217</v>
      </c>
      <c r="K209" s="26">
        <f t="shared" si="34"/>
        <v>-1.9804761904761903</v>
      </c>
      <c r="L209" s="26">
        <f t="shared" si="35"/>
        <v>-3.4345238095238084</v>
      </c>
      <c r="M209" s="26">
        <f t="shared" si="36"/>
        <v>-3.3477538980193833</v>
      </c>
      <c r="N209" s="26">
        <f t="shared" si="37"/>
        <v>0.35547619047618961</v>
      </c>
      <c r="O209" s="26">
        <f t="shared" si="38"/>
        <v>0.76297619047618981</v>
      </c>
      <c r="P209" s="26">
        <f t="shared" si="39"/>
        <v>0.61865571007163833</v>
      </c>
    </row>
    <row r="210" spans="1:16" x14ac:dyDescent="0.25">
      <c r="A210" s="2">
        <v>43952</v>
      </c>
      <c r="B210">
        <v>49.39</v>
      </c>
      <c r="C210">
        <v>55.9</v>
      </c>
      <c r="D210">
        <v>51.04</v>
      </c>
      <c r="E210">
        <v>51.18</v>
      </c>
      <c r="G210">
        <f t="shared" si="30"/>
        <v>1.7049999999999983</v>
      </c>
      <c r="H210">
        <f t="shared" si="31"/>
        <v>-6.2100000000000009</v>
      </c>
      <c r="I210" s="3">
        <f t="shared" si="32"/>
        <v>0.82894373969481805</v>
      </c>
      <c r="J210" s="3">
        <f t="shared" si="33"/>
        <v>-1.7489906802894588</v>
      </c>
      <c r="K210" s="26">
        <f t="shared" si="34"/>
        <v>-1.9823809523809532</v>
      </c>
      <c r="L210" s="26">
        <f t="shared" si="35"/>
        <v>-3.3325595238095236</v>
      </c>
      <c r="M210" s="26">
        <f t="shared" si="36"/>
        <v>-3.1891698272229236</v>
      </c>
      <c r="N210" s="26">
        <f t="shared" si="37"/>
        <v>0.37452380952380926</v>
      </c>
      <c r="O210" s="26">
        <f t="shared" si="38"/>
        <v>0.76014880952380925</v>
      </c>
      <c r="P210" s="26">
        <f t="shared" si="39"/>
        <v>0.59785503581963695</v>
      </c>
    </row>
    <row r="211" spans="1:16" x14ac:dyDescent="0.25">
      <c r="A211" s="2">
        <v>43951</v>
      </c>
      <c r="B211">
        <v>49.3</v>
      </c>
      <c r="C211">
        <v>55.51</v>
      </c>
      <c r="D211">
        <v>50.7</v>
      </c>
      <c r="E211">
        <v>50.85</v>
      </c>
      <c r="G211">
        <f t="shared" si="30"/>
        <v>1.875</v>
      </c>
      <c r="H211">
        <f t="shared" si="31"/>
        <v>-6.2100000000000009</v>
      </c>
      <c r="I211" s="3">
        <f t="shared" si="32"/>
        <v>1.1295497003243098</v>
      </c>
      <c r="J211" s="3">
        <f t="shared" si="33"/>
        <v>-1.7683408597537209</v>
      </c>
      <c r="K211" s="26">
        <f t="shared" si="34"/>
        <v>-2.1480952380952383</v>
      </c>
      <c r="L211" s="26">
        <f t="shared" si="35"/>
        <v>-3.3489880952380942</v>
      </c>
      <c r="M211" s="26">
        <f t="shared" si="36"/>
        <v>-3.1489801938474491</v>
      </c>
      <c r="N211" s="26">
        <f t="shared" si="37"/>
        <v>0.45404761904761815</v>
      </c>
      <c r="O211" s="26">
        <f t="shared" si="38"/>
        <v>0.79663690476190441</v>
      </c>
      <c r="P211" s="26">
        <f t="shared" si="39"/>
        <v>0.61542562157606329</v>
      </c>
    </row>
    <row r="212" spans="1:16" x14ac:dyDescent="0.25">
      <c r="A212" s="2">
        <v>43950</v>
      </c>
      <c r="B212">
        <v>50.24</v>
      </c>
      <c r="C212">
        <v>56.45</v>
      </c>
      <c r="D212">
        <v>51.47</v>
      </c>
      <c r="E212">
        <v>51.57</v>
      </c>
      <c r="G212">
        <f t="shared" si="30"/>
        <v>2.1199999999999974</v>
      </c>
      <c r="H212">
        <f t="shared" si="31"/>
        <v>-6.9600000000000009</v>
      </c>
      <c r="I212" s="3">
        <f t="shared" si="32"/>
        <v>1.5646638418811689</v>
      </c>
      <c r="J212" s="3">
        <f t="shared" si="33"/>
        <v>-2.1736849231050779</v>
      </c>
      <c r="K212" s="26">
        <f t="shared" si="34"/>
        <v>-2.40904761904762</v>
      </c>
      <c r="L212" s="26">
        <f t="shared" si="35"/>
        <v>-3.4090476190476195</v>
      </c>
      <c r="M212" s="26">
        <f t="shared" si="36"/>
        <v>-3.1373662031184155</v>
      </c>
      <c r="N212" s="26">
        <f t="shared" si="37"/>
        <v>0.48595238095237958</v>
      </c>
      <c r="O212" s="26">
        <f t="shared" si="38"/>
        <v>0.78803571428571351</v>
      </c>
      <c r="P212" s="26">
        <f t="shared" si="39"/>
        <v>0.58794563843236303</v>
      </c>
    </row>
    <row r="213" spans="1:16" x14ac:dyDescent="0.25">
      <c r="A213" s="2">
        <v>43949</v>
      </c>
      <c r="B213">
        <v>51.51</v>
      </c>
      <c r="C213">
        <v>58.47</v>
      </c>
      <c r="D213">
        <v>52.87</v>
      </c>
      <c r="E213">
        <v>53</v>
      </c>
      <c r="G213">
        <f t="shared" si="30"/>
        <v>2.0249999999999986</v>
      </c>
      <c r="H213">
        <f t="shared" si="31"/>
        <v>-6.25</v>
      </c>
      <c r="I213" s="3">
        <f t="shared" si="32"/>
        <v>1.4128088070005</v>
      </c>
      <c r="J213" s="3">
        <f t="shared" si="33"/>
        <v>-1.8396630432565455</v>
      </c>
      <c r="K213" s="26">
        <f t="shared" si="34"/>
        <v>-2.5628571428571418</v>
      </c>
      <c r="L213" s="26">
        <f t="shared" si="35"/>
        <v>-3.3822023809523794</v>
      </c>
      <c r="M213" s="26">
        <f t="shared" si="36"/>
        <v>-3.0501559207753877</v>
      </c>
      <c r="N213" s="26">
        <f t="shared" si="37"/>
        <v>0.52190476190476054</v>
      </c>
      <c r="O213" s="26">
        <f t="shared" si="38"/>
        <v>0.77461309523809441</v>
      </c>
      <c r="P213" s="26">
        <f t="shared" si="39"/>
        <v>0.55652760219131792</v>
      </c>
    </row>
    <row r="214" spans="1:16" x14ac:dyDescent="0.25">
      <c r="A214" s="2">
        <v>43948</v>
      </c>
      <c r="B214">
        <v>51.96</v>
      </c>
      <c r="C214">
        <v>58.21</v>
      </c>
      <c r="D214">
        <v>53.06</v>
      </c>
      <c r="E214">
        <v>53.09</v>
      </c>
      <c r="G214">
        <f t="shared" si="30"/>
        <v>1.7899999999999991</v>
      </c>
      <c r="H214">
        <f t="shared" si="31"/>
        <v>-5.5600000000000023</v>
      </c>
      <c r="I214" s="3">
        <f t="shared" si="32"/>
        <v>1.0110201393061751</v>
      </c>
      <c r="J214" s="3">
        <f t="shared" si="33"/>
        <v>-1.5014613541147563</v>
      </c>
      <c r="K214" s="26">
        <f t="shared" si="34"/>
        <v>-2.5271428571428567</v>
      </c>
      <c r="L214" s="26">
        <f t="shared" si="35"/>
        <v>-3.2389285714285707</v>
      </c>
      <c r="M214" s="26">
        <f t="shared" si="36"/>
        <v>-2.8759039190897582</v>
      </c>
      <c r="N214" s="26">
        <f t="shared" si="37"/>
        <v>0.46595238095237912</v>
      </c>
      <c r="O214" s="26">
        <f t="shared" si="38"/>
        <v>0.70172619047618978</v>
      </c>
      <c r="P214" s="26">
        <f t="shared" si="39"/>
        <v>0.47659502739148651</v>
      </c>
    </row>
    <row r="215" spans="1:16" x14ac:dyDescent="0.25">
      <c r="A215" s="2">
        <v>43945</v>
      </c>
      <c r="B215">
        <v>52</v>
      </c>
      <c r="C215">
        <v>57.56</v>
      </c>
      <c r="D215">
        <v>52.99</v>
      </c>
      <c r="E215">
        <v>53.03</v>
      </c>
      <c r="G215">
        <f t="shared" si="30"/>
        <v>1.4749999999999943</v>
      </c>
      <c r="H215">
        <f t="shared" si="31"/>
        <v>-5.2100000000000009</v>
      </c>
      <c r="I215" s="3">
        <f t="shared" si="32"/>
        <v>0.46240512616041429</v>
      </c>
      <c r="J215" s="3">
        <f t="shared" si="33"/>
        <v>-1.3314721016158542</v>
      </c>
      <c r="K215" s="26">
        <f t="shared" si="34"/>
        <v>-2.6795238095238085</v>
      </c>
      <c r="L215" s="26">
        <f t="shared" si="35"/>
        <v>-3.2263095238095221</v>
      </c>
      <c r="M215" s="26">
        <f t="shared" si="36"/>
        <v>-2.822115465655286</v>
      </c>
      <c r="N215" s="26">
        <f t="shared" si="37"/>
        <v>0.56928571428571284</v>
      </c>
      <c r="O215" s="26">
        <f t="shared" si="38"/>
        <v>0.73654761904761856</v>
      </c>
      <c r="P215" s="26">
        <f t="shared" si="39"/>
        <v>0.49871892119679628</v>
      </c>
    </row>
    <row r="216" spans="1:16" x14ac:dyDescent="0.25">
      <c r="A216" s="2">
        <v>43944</v>
      </c>
      <c r="B216">
        <v>52.96</v>
      </c>
      <c r="C216">
        <v>58.17</v>
      </c>
      <c r="D216">
        <v>54.09</v>
      </c>
      <c r="E216">
        <v>54.21</v>
      </c>
      <c r="G216">
        <f t="shared" si="30"/>
        <v>1.8250000000000028</v>
      </c>
      <c r="H216">
        <f t="shared" si="31"/>
        <v>-6.009999999999998</v>
      </c>
      <c r="I216" s="3">
        <f t="shared" si="32"/>
        <v>1.0784420107048649</v>
      </c>
      <c r="J216" s="3">
        <f t="shared" si="33"/>
        <v>-1.7622061780687837</v>
      </c>
      <c r="K216" s="26">
        <f t="shared" si="34"/>
        <v>-2.9747619047619027</v>
      </c>
      <c r="L216" s="26">
        <f t="shared" si="35"/>
        <v>-3.3199404761904741</v>
      </c>
      <c r="M216" s="26">
        <f t="shared" si="36"/>
        <v>-2.8582132321955305</v>
      </c>
      <c r="N216" s="26">
        <f t="shared" si="37"/>
        <v>0.707380952380951</v>
      </c>
      <c r="O216" s="26">
        <f t="shared" si="38"/>
        <v>0.80705357142857115</v>
      </c>
      <c r="P216" s="26">
        <f t="shared" si="39"/>
        <v>0.54884955752212305</v>
      </c>
    </row>
    <row r="217" spans="1:16" x14ac:dyDescent="0.25">
      <c r="A217" s="2">
        <v>43943</v>
      </c>
      <c r="B217">
        <v>52.9</v>
      </c>
      <c r="C217">
        <v>58.91</v>
      </c>
      <c r="D217">
        <v>54.08</v>
      </c>
      <c r="E217">
        <v>54.16</v>
      </c>
      <c r="G217">
        <f t="shared" si="30"/>
        <v>2.0000000000000071</v>
      </c>
      <c r="H217">
        <f t="shared" si="31"/>
        <v>-6.18</v>
      </c>
      <c r="I217" s="3">
        <f t="shared" si="32"/>
        <v>1.3923390909146334</v>
      </c>
      <c r="J217" s="3">
        <f t="shared" si="33"/>
        <v>-1.8724787524011444</v>
      </c>
      <c r="K217" s="26">
        <f t="shared" si="34"/>
        <v>-3.2266666666666648</v>
      </c>
      <c r="L217" s="26">
        <f t="shared" si="35"/>
        <v>-3.3746428571428555</v>
      </c>
      <c r="M217" s="26">
        <f t="shared" si="36"/>
        <v>-2.8658280657395681</v>
      </c>
      <c r="N217" s="26">
        <f t="shared" si="37"/>
        <v>0.78904761904761767</v>
      </c>
      <c r="O217" s="26">
        <f t="shared" si="38"/>
        <v>0.83785714285714252</v>
      </c>
      <c r="P217" s="26">
        <f t="shared" si="39"/>
        <v>0.56374841972187018</v>
      </c>
    </row>
    <row r="218" spans="1:16" x14ac:dyDescent="0.25">
      <c r="A218" s="2">
        <v>43942</v>
      </c>
      <c r="B218">
        <v>53.34</v>
      </c>
      <c r="C218">
        <v>59.52</v>
      </c>
      <c r="D218">
        <v>54.43</v>
      </c>
      <c r="E218">
        <v>54.47</v>
      </c>
      <c r="G218">
        <f t="shared" si="30"/>
        <v>1.6949999999999932</v>
      </c>
      <c r="H218">
        <f t="shared" si="31"/>
        <v>-5.2100000000000009</v>
      </c>
      <c r="I218" s="3">
        <f t="shared" si="32"/>
        <v>0.86669181542421292</v>
      </c>
      <c r="J218" s="3">
        <f t="shared" si="33"/>
        <v>-1.3799097739611939</v>
      </c>
      <c r="K218" s="26">
        <f t="shared" si="34"/>
        <v>-3.4009523809523792</v>
      </c>
      <c r="L218" s="26">
        <f t="shared" si="35"/>
        <v>-3.3791666666666647</v>
      </c>
      <c r="M218" s="26">
        <f t="shared" si="36"/>
        <v>-2.8299536451748817</v>
      </c>
      <c r="N218" s="26">
        <f t="shared" si="37"/>
        <v>0.82619047619047459</v>
      </c>
      <c r="O218" s="26">
        <f t="shared" si="38"/>
        <v>0.84071428571428508</v>
      </c>
      <c r="P218" s="26">
        <f t="shared" si="39"/>
        <v>0.55050568900126329</v>
      </c>
    </row>
    <row r="219" spans="1:16" x14ac:dyDescent="0.25">
      <c r="A219" s="2">
        <v>43941</v>
      </c>
      <c r="B219">
        <v>52.04</v>
      </c>
      <c r="C219">
        <v>57.25</v>
      </c>
      <c r="D219">
        <v>52.95</v>
      </c>
      <c r="E219">
        <v>53.07</v>
      </c>
      <c r="G219">
        <f t="shared" si="30"/>
        <v>1.4450000000000003</v>
      </c>
      <c r="H219">
        <f t="shared" si="31"/>
        <v>-4.7100000000000009</v>
      </c>
      <c r="I219" s="3">
        <f t="shared" si="32"/>
        <v>0.43095598005293906</v>
      </c>
      <c r="J219" s="3">
        <f t="shared" si="33"/>
        <v>-1.1243174188677652</v>
      </c>
      <c r="K219" s="26">
        <f t="shared" si="34"/>
        <v>-3.5838095238095229</v>
      </c>
      <c r="L219" s="26">
        <f t="shared" si="35"/>
        <v>-3.414642857142856</v>
      </c>
      <c r="M219" s="26">
        <f t="shared" si="36"/>
        <v>-2.8156637168141576</v>
      </c>
      <c r="N219" s="26">
        <f t="shared" si="37"/>
        <v>0.86047619047618851</v>
      </c>
      <c r="O219" s="26">
        <f t="shared" si="38"/>
        <v>0.84113095238095148</v>
      </c>
      <c r="P219" s="26">
        <f t="shared" si="39"/>
        <v>0.53362621154656442</v>
      </c>
    </row>
    <row r="220" spans="1:16" x14ac:dyDescent="0.25">
      <c r="A220" s="2">
        <v>43938</v>
      </c>
      <c r="B220">
        <v>52.71</v>
      </c>
      <c r="C220">
        <v>57.42</v>
      </c>
      <c r="D220">
        <v>53.62</v>
      </c>
      <c r="E220">
        <v>53.69</v>
      </c>
      <c r="G220">
        <f t="shared" si="30"/>
        <v>1.2099999999999937</v>
      </c>
      <c r="H220">
        <f t="shared" si="31"/>
        <v>-3.7199999999999989</v>
      </c>
      <c r="I220" s="3">
        <f t="shared" si="32"/>
        <v>1.9742158365219684E-2</v>
      </c>
      <c r="J220" s="3">
        <f t="shared" si="33"/>
        <v>-0.60258332879903798</v>
      </c>
      <c r="K220" s="26">
        <f t="shared" si="34"/>
        <v>-3.7380952380952364</v>
      </c>
      <c r="L220" s="26">
        <f t="shared" si="35"/>
        <v>-3.4401190476190457</v>
      </c>
      <c r="M220" s="26">
        <f t="shared" si="36"/>
        <v>-2.7915887062789695</v>
      </c>
      <c r="N220" s="26">
        <f t="shared" si="37"/>
        <v>0.91095238095237896</v>
      </c>
      <c r="O220" s="26">
        <f t="shared" si="38"/>
        <v>0.85970238095237983</v>
      </c>
      <c r="P220" s="26">
        <f t="shared" si="39"/>
        <v>0.53361989043404845</v>
      </c>
    </row>
    <row r="221" spans="1:16" x14ac:dyDescent="0.25">
      <c r="A221" s="2">
        <v>43937</v>
      </c>
      <c r="B221">
        <v>53.44</v>
      </c>
      <c r="C221">
        <v>57.16</v>
      </c>
      <c r="D221">
        <v>54.09</v>
      </c>
      <c r="E221">
        <v>54.21</v>
      </c>
      <c r="G221">
        <f t="shared" si="30"/>
        <v>1.6950000000000003</v>
      </c>
      <c r="H221">
        <f t="shared" si="31"/>
        <v>-5.0499999999999972</v>
      </c>
      <c r="I221" s="3">
        <f t="shared" si="32"/>
        <v>0.86901692898607552</v>
      </c>
      <c r="J221" s="3">
        <f t="shared" si="33"/>
        <v>-1.3142463616014612</v>
      </c>
      <c r="K221" s="26">
        <f t="shared" si="34"/>
        <v>-3.9261904761904742</v>
      </c>
      <c r="L221" s="26">
        <f t="shared" si="35"/>
        <v>-3.5394047619047599</v>
      </c>
      <c r="M221" s="26">
        <f t="shared" si="36"/>
        <v>-2.8362031184155052</v>
      </c>
      <c r="N221" s="26">
        <f t="shared" si="37"/>
        <v>0.99166666666666536</v>
      </c>
      <c r="O221" s="26">
        <f t="shared" si="38"/>
        <v>0.90553571428571367</v>
      </c>
      <c r="P221" s="26">
        <f t="shared" si="39"/>
        <v>0.55627686472819138</v>
      </c>
    </row>
    <row r="222" spans="1:16" x14ac:dyDescent="0.25">
      <c r="A222" s="2">
        <v>43936</v>
      </c>
      <c r="B222">
        <v>53.71</v>
      </c>
      <c r="C222">
        <v>58.76</v>
      </c>
      <c r="D222">
        <v>54.54</v>
      </c>
      <c r="E222">
        <v>54.59</v>
      </c>
      <c r="G222">
        <f t="shared" si="30"/>
        <v>1.3100000000000023</v>
      </c>
      <c r="H222">
        <f t="shared" si="31"/>
        <v>-3.8999999999999986</v>
      </c>
      <c r="I222" s="3">
        <f t="shared" si="32"/>
        <v>0.19972241632213317</v>
      </c>
      <c r="J222" s="3">
        <f t="shared" si="33"/>
        <v>-0.70992649112788297</v>
      </c>
      <c r="K222" s="26">
        <f t="shared" si="34"/>
        <v>-3.82238095238095</v>
      </c>
      <c r="L222" s="26">
        <f t="shared" si="35"/>
        <v>-3.4176785714285689</v>
      </c>
      <c r="M222" s="26">
        <f t="shared" si="36"/>
        <v>-2.6910872313527143</v>
      </c>
      <c r="N222" s="26">
        <f t="shared" si="37"/>
        <v>0.9711904761904756</v>
      </c>
      <c r="O222" s="26">
        <f t="shared" si="38"/>
        <v>0.88098214285714271</v>
      </c>
      <c r="P222" s="26">
        <f t="shared" si="39"/>
        <v>0.51950063211125108</v>
      </c>
    </row>
    <row r="223" spans="1:16" x14ac:dyDescent="0.25">
      <c r="A223" s="2">
        <v>43935</v>
      </c>
      <c r="B223">
        <v>53.61</v>
      </c>
      <c r="C223">
        <v>57.51</v>
      </c>
      <c r="D223">
        <v>54.25</v>
      </c>
      <c r="E223">
        <v>54.28</v>
      </c>
      <c r="G223">
        <f t="shared" si="30"/>
        <v>1.2999999999999972</v>
      </c>
      <c r="H223">
        <f t="shared" si="31"/>
        <v>-3.5799999999999983</v>
      </c>
      <c r="I223" s="3">
        <f t="shared" si="32"/>
        <v>0.18286605314430557</v>
      </c>
      <c r="J223" s="3">
        <f t="shared" si="33"/>
        <v>-0.54220451825827987</v>
      </c>
      <c r="K223" s="26">
        <f t="shared" si="34"/>
        <v>-3.7704761904761903</v>
      </c>
      <c r="L223" s="26">
        <f t="shared" si="35"/>
        <v>-3.3421428571428562</v>
      </c>
      <c r="M223" s="26">
        <f t="shared" si="36"/>
        <v>-2.5836662452591641</v>
      </c>
      <c r="N223" s="26">
        <f t="shared" si="37"/>
        <v>0.96380952380952356</v>
      </c>
      <c r="O223" s="26">
        <f t="shared" si="38"/>
        <v>0.86601190476190459</v>
      </c>
      <c r="P223" s="26">
        <f t="shared" si="39"/>
        <v>0.49118415507795987</v>
      </c>
    </row>
    <row r="224" spans="1:16" x14ac:dyDescent="0.25">
      <c r="A224" s="2">
        <v>43930</v>
      </c>
      <c r="B224">
        <v>53.08</v>
      </c>
      <c r="C224">
        <v>56.66</v>
      </c>
      <c r="D224">
        <v>53.57</v>
      </c>
      <c r="E224">
        <v>53.69</v>
      </c>
      <c r="G224">
        <f t="shared" si="30"/>
        <v>1.1899999999999977</v>
      </c>
      <c r="H224">
        <f t="shared" si="31"/>
        <v>-3.740000000000002</v>
      </c>
      <c r="I224" s="3">
        <f t="shared" si="32"/>
        <v>-7.9961510533651161E-3</v>
      </c>
      <c r="J224" s="3">
        <f t="shared" si="33"/>
        <v>-0.62944452408937979</v>
      </c>
      <c r="K224" s="26">
        <f t="shared" si="34"/>
        <v>-3.6076190476190471</v>
      </c>
      <c r="L224" s="26">
        <f t="shared" si="35"/>
        <v>-3.201190476190475</v>
      </c>
      <c r="M224" s="26">
        <f t="shared" si="36"/>
        <v>-2.4179603876948987</v>
      </c>
      <c r="N224" s="26">
        <f t="shared" si="37"/>
        <v>0.92999999999999983</v>
      </c>
      <c r="O224" s="26">
        <f t="shared" si="38"/>
        <v>0.83327380952380936</v>
      </c>
      <c r="P224" s="26">
        <f t="shared" si="39"/>
        <v>0.44471976401179891</v>
      </c>
    </row>
    <row r="225" spans="1:16" x14ac:dyDescent="0.25">
      <c r="A225" s="2">
        <v>43929</v>
      </c>
      <c r="B225">
        <v>52.91</v>
      </c>
      <c r="C225">
        <v>56.65</v>
      </c>
      <c r="D225">
        <v>53.59</v>
      </c>
      <c r="E225">
        <v>53.63</v>
      </c>
      <c r="G225">
        <f t="shared" si="30"/>
        <v>1.3200000000000003</v>
      </c>
      <c r="H225">
        <f t="shared" si="31"/>
        <v>-3.7999999999999972</v>
      </c>
      <c r="I225" s="3">
        <f t="shared" si="32"/>
        <v>0.21752786265398447</v>
      </c>
      <c r="J225" s="3">
        <f t="shared" si="33"/>
        <v>-0.66389460341744999</v>
      </c>
      <c r="K225" s="26">
        <f t="shared" si="34"/>
        <v>-3.4671428571428557</v>
      </c>
      <c r="L225" s="26">
        <f t="shared" si="35"/>
        <v>-3.0783333333333314</v>
      </c>
      <c r="M225" s="26">
        <f t="shared" si="36"/>
        <v>-2.2561019806152522</v>
      </c>
      <c r="N225" s="26">
        <f t="shared" si="37"/>
        <v>0.90499999999999992</v>
      </c>
      <c r="O225" s="26">
        <f t="shared" si="38"/>
        <v>0.8141071428571427</v>
      </c>
      <c r="P225" s="26">
        <f t="shared" si="39"/>
        <v>0.41109355246523349</v>
      </c>
    </row>
    <row r="226" spans="1:16" x14ac:dyDescent="0.25">
      <c r="A226" s="2">
        <v>43928</v>
      </c>
      <c r="B226">
        <v>53.07</v>
      </c>
      <c r="C226">
        <v>56.87</v>
      </c>
      <c r="D226">
        <v>53.65</v>
      </c>
      <c r="E226">
        <v>53.64</v>
      </c>
      <c r="G226">
        <f t="shared" si="30"/>
        <v>1.0949999999999989</v>
      </c>
      <c r="H226">
        <f t="shared" si="31"/>
        <v>-3.7100000000000009</v>
      </c>
      <c r="I226" s="3">
        <f t="shared" si="32"/>
        <v>-0.17109141874064426</v>
      </c>
      <c r="J226" s="3">
        <f t="shared" si="33"/>
        <v>-0.61891293682381043</v>
      </c>
      <c r="K226" s="26">
        <f t="shared" si="34"/>
        <v>-3.3047619047619041</v>
      </c>
      <c r="L226" s="26">
        <f t="shared" si="35"/>
        <v>-2.9378571428571414</v>
      </c>
      <c r="M226" s="26">
        <f t="shared" si="36"/>
        <v>-2.0918836915297065</v>
      </c>
      <c r="N226" s="26">
        <f t="shared" si="37"/>
        <v>0.85666666666666713</v>
      </c>
      <c r="O226" s="26">
        <f t="shared" si="38"/>
        <v>0.78321428571428597</v>
      </c>
      <c r="P226" s="26">
        <f t="shared" si="39"/>
        <v>0.36750948166877362</v>
      </c>
    </row>
    <row r="227" spans="1:16" x14ac:dyDescent="0.25">
      <c r="A227" s="2">
        <v>43927</v>
      </c>
      <c r="B227">
        <v>53.46</v>
      </c>
      <c r="C227">
        <v>57.17</v>
      </c>
      <c r="D227">
        <v>54.22</v>
      </c>
      <c r="E227">
        <v>54.19</v>
      </c>
      <c r="G227">
        <f t="shared" si="30"/>
        <v>1.6400000000000006</v>
      </c>
      <c r="H227">
        <f t="shared" si="31"/>
        <v>-4.4600000000000009</v>
      </c>
      <c r="I227" s="3">
        <f t="shared" si="32"/>
        <v>0.7686234233278022</v>
      </c>
      <c r="J227" s="3">
        <f t="shared" si="33"/>
        <v>-1.0188145147136969</v>
      </c>
      <c r="K227" s="26">
        <f t="shared" si="34"/>
        <v>-3.1257142857142846</v>
      </c>
      <c r="L227" s="26">
        <f t="shared" si="35"/>
        <v>-2.7978571428571413</v>
      </c>
      <c r="M227" s="26">
        <f t="shared" si="36"/>
        <v>-1.9132237673830568</v>
      </c>
      <c r="N227" s="26">
        <f t="shared" si="37"/>
        <v>0.83238095238095267</v>
      </c>
      <c r="O227" s="26">
        <f t="shared" si="38"/>
        <v>0.74869047619047624</v>
      </c>
      <c r="P227" s="26">
        <f t="shared" si="39"/>
        <v>0.33826380109565957</v>
      </c>
    </row>
    <row r="228" spans="1:16" x14ac:dyDescent="0.25">
      <c r="A228" s="2">
        <v>43924</v>
      </c>
      <c r="B228">
        <v>53.55</v>
      </c>
      <c r="C228">
        <v>58.01</v>
      </c>
      <c r="D228">
        <v>54.14</v>
      </c>
      <c r="E228">
        <v>54.22</v>
      </c>
      <c r="G228">
        <f t="shared" si="30"/>
        <v>1.3999999999999986</v>
      </c>
      <c r="H228">
        <f t="shared" si="31"/>
        <v>-4.3599999999999994</v>
      </c>
      <c r="I228" s="3">
        <f t="shared" si="32"/>
        <v>0.35869273867452806</v>
      </c>
      <c r="J228" s="3">
        <f t="shared" si="33"/>
        <v>-0.97198532016825367</v>
      </c>
      <c r="K228" s="26">
        <f t="shared" si="34"/>
        <v>-2.8952380952380938</v>
      </c>
      <c r="L228" s="26">
        <f t="shared" si="35"/>
        <v>-2.5899404761904741</v>
      </c>
      <c r="M228" s="26">
        <f t="shared" si="36"/>
        <v>-1.6821955330804854</v>
      </c>
      <c r="N228" s="26">
        <f t="shared" si="37"/>
        <v>0.77095238095238106</v>
      </c>
      <c r="O228" s="26">
        <f t="shared" si="38"/>
        <v>0.68050595238095213</v>
      </c>
      <c r="P228" s="26">
        <f t="shared" si="39"/>
        <v>0.27081963758954863</v>
      </c>
    </row>
    <row r="229" spans="1:16" x14ac:dyDescent="0.25">
      <c r="A229" s="2">
        <v>43923</v>
      </c>
      <c r="B229">
        <v>53.37</v>
      </c>
      <c r="C229">
        <v>57.73</v>
      </c>
      <c r="D229">
        <v>54.15</v>
      </c>
      <c r="E229">
        <v>54.28</v>
      </c>
      <c r="G229">
        <f t="shared" si="30"/>
        <v>1.5599999999999952</v>
      </c>
      <c r="H229">
        <f t="shared" si="31"/>
        <v>-5.1199999999999974</v>
      </c>
      <c r="I229" s="3">
        <f t="shared" si="32"/>
        <v>0.63487305050796949</v>
      </c>
      <c r="J229" s="3">
        <f t="shared" si="33"/>
        <v>-1.3803073452952246</v>
      </c>
      <c r="K229" s="26">
        <f t="shared" si="34"/>
        <v>-2.7466666666666661</v>
      </c>
      <c r="L229" s="26">
        <f t="shared" si="35"/>
        <v>-2.491011904761903</v>
      </c>
      <c r="M229" s="26">
        <f t="shared" si="36"/>
        <v>-1.5078971765697404</v>
      </c>
      <c r="N229" s="26">
        <f t="shared" si="37"/>
        <v>0.75761904761904786</v>
      </c>
      <c r="O229" s="26">
        <f t="shared" si="38"/>
        <v>0.65532738095238097</v>
      </c>
      <c r="P229" s="26">
        <f t="shared" si="39"/>
        <v>0.23669195111672958</v>
      </c>
    </row>
    <row r="230" spans="1:16" x14ac:dyDescent="0.25">
      <c r="A230" s="2">
        <v>43922</v>
      </c>
      <c r="B230">
        <v>55.18</v>
      </c>
      <c r="C230">
        <v>60.3</v>
      </c>
      <c r="D230">
        <v>56.18</v>
      </c>
      <c r="E230">
        <v>56.15</v>
      </c>
      <c r="G230">
        <f t="shared" si="30"/>
        <v>1.3150000000000048</v>
      </c>
      <c r="H230">
        <f t="shared" si="31"/>
        <v>-3.5700000000000003</v>
      </c>
      <c r="I230" s="3">
        <f t="shared" si="32"/>
        <v>0.2172197481726951</v>
      </c>
      <c r="J230" s="3">
        <f t="shared" si="33"/>
        <v>-0.56888695270917733</v>
      </c>
      <c r="K230" s="26">
        <f t="shared" si="34"/>
        <v>-2.5009523809523806</v>
      </c>
      <c r="L230" s="26">
        <f t="shared" si="35"/>
        <v>-2.2926190476190467</v>
      </c>
      <c r="M230" s="26">
        <f t="shared" si="36"/>
        <v>-1.2641803624104491</v>
      </c>
      <c r="N230" s="26">
        <f t="shared" si="37"/>
        <v>0.71380952380952423</v>
      </c>
      <c r="O230" s="26">
        <f t="shared" si="38"/>
        <v>0.59892857142857159</v>
      </c>
      <c r="P230" s="26">
        <f t="shared" si="39"/>
        <v>0.18313527180783806</v>
      </c>
    </row>
    <row r="231" spans="1:16" x14ac:dyDescent="0.25">
      <c r="A231" s="2">
        <v>43921</v>
      </c>
      <c r="B231">
        <v>59.01</v>
      </c>
      <c r="C231">
        <v>62.58</v>
      </c>
      <c r="D231">
        <v>59.48</v>
      </c>
      <c r="E231">
        <v>59.58</v>
      </c>
      <c r="G231">
        <f t="shared" si="30"/>
        <v>1.9949999999999974</v>
      </c>
      <c r="H231">
        <f t="shared" si="31"/>
        <v>-5.1299999999999955</v>
      </c>
      <c r="I231" s="3">
        <f t="shared" si="32"/>
        <v>1.3811340962099365</v>
      </c>
      <c r="J231" s="3">
        <f t="shared" si="33"/>
        <v>-1.3983078476540267</v>
      </c>
      <c r="K231" s="26">
        <f t="shared" si="34"/>
        <v>-2.3376190476190466</v>
      </c>
      <c r="L231" s="26">
        <f t="shared" si="35"/>
        <v>-2.170714285714284</v>
      </c>
      <c r="M231" s="26">
        <f t="shared" si="36"/>
        <v>-1.0795322376738274</v>
      </c>
      <c r="N231" s="26">
        <f t="shared" si="37"/>
        <v>0.67785714285714316</v>
      </c>
      <c r="O231" s="26">
        <f t="shared" si="38"/>
        <v>0.54946428571428563</v>
      </c>
      <c r="P231" s="26">
        <f t="shared" si="39"/>
        <v>0.1372250316055621</v>
      </c>
    </row>
    <row r="232" spans="1:16" x14ac:dyDescent="0.25">
      <c r="A232" s="2">
        <v>43920</v>
      </c>
      <c r="B232">
        <v>61.33</v>
      </c>
      <c r="C232">
        <v>66.459999999999994</v>
      </c>
      <c r="D232">
        <v>61.9</v>
      </c>
      <c r="E232">
        <v>62.01</v>
      </c>
      <c r="G232">
        <f t="shared" si="30"/>
        <v>1.414999999999992</v>
      </c>
      <c r="H232">
        <f t="shared" si="31"/>
        <v>-5.8099999999999952</v>
      </c>
      <c r="I232" s="3">
        <f t="shared" si="32"/>
        <v>0.39845263406864045</v>
      </c>
      <c r="J232" s="3">
        <f t="shared" si="33"/>
        <v>-1.7725735293835625</v>
      </c>
      <c r="K232" s="26">
        <f t="shared" si="34"/>
        <v>-2.0776190476190473</v>
      </c>
      <c r="L232" s="26">
        <f t="shared" si="35"/>
        <v>-1.9364285714285701</v>
      </c>
      <c r="M232" s="26">
        <f t="shared" si="36"/>
        <v>-0.81247787610619193</v>
      </c>
      <c r="N232" s="26">
        <f t="shared" si="37"/>
        <v>0.5978571428571442</v>
      </c>
      <c r="O232" s="26">
        <f t="shared" si="38"/>
        <v>0.48071428571428632</v>
      </c>
      <c r="P232" s="26">
        <f t="shared" si="39"/>
        <v>5.6731984829330173E-2</v>
      </c>
    </row>
    <row r="233" spans="1:16" x14ac:dyDescent="0.25">
      <c r="A233" s="2">
        <v>43917</v>
      </c>
      <c r="B233">
        <v>59.57</v>
      </c>
      <c r="C233">
        <v>65.38</v>
      </c>
      <c r="D233">
        <v>61.06</v>
      </c>
      <c r="E233">
        <v>61.19</v>
      </c>
      <c r="G233">
        <f t="shared" si="30"/>
        <v>1.5549999999999997</v>
      </c>
      <c r="H233">
        <f t="shared" si="31"/>
        <v>-5.1099999999999923</v>
      </c>
      <c r="I233" s="3">
        <f t="shared" si="32"/>
        <v>0.63939951627298353</v>
      </c>
      <c r="J233" s="3">
        <f t="shared" si="33"/>
        <v>-1.4205700716543639</v>
      </c>
      <c r="K233" s="26">
        <f t="shared" si="34"/>
        <v>-1.7366666666666664</v>
      </c>
      <c r="L233" s="26">
        <f t="shared" si="35"/>
        <v>-1.5998214285714274</v>
      </c>
      <c r="M233" s="26">
        <f t="shared" si="36"/>
        <v>-0.4817699115044225</v>
      </c>
      <c r="N233" s="26">
        <f t="shared" si="37"/>
        <v>0.52500000000000169</v>
      </c>
      <c r="O233" s="26">
        <f t="shared" si="38"/>
        <v>0.41717261904761982</v>
      </c>
      <c r="P233" s="26">
        <f t="shared" si="39"/>
        <v>-1.5440370838600392E-2</v>
      </c>
    </row>
    <row r="234" spans="1:16" x14ac:dyDescent="0.25">
      <c r="A234" s="2">
        <v>43916</v>
      </c>
      <c r="B234">
        <v>59.46</v>
      </c>
      <c r="C234">
        <v>64.569999999999993</v>
      </c>
      <c r="D234">
        <v>60.46</v>
      </c>
      <c r="E234">
        <v>60.58</v>
      </c>
      <c r="G234">
        <f t="shared" si="30"/>
        <v>0.57499999999999574</v>
      </c>
      <c r="H234">
        <f t="shared" si="31"/>
        <v>-2.8100000000000023</v>
      </c>
      <c r="I234" s="3">
        <f t="shared" si="32"/>
        <v>-1.0316313096993897</v>
      </c>
      <c r="J234" s="3">
        <f t="shared" si="33"/>
        <v>-0.19858512857555324</v>
      </c>
      <c r="K234" s="26">
        <f t="shared" si="34"/>
        <v>-1.4438095238095241</v>
      </c>
      <c r="L234" s="26">
        <f t="shared" si="35"/>
        <v>-1.2975595238095232</v>
      </c>
      <c r="M234" s="26">
        <f t="shared" si="36"/>
        <v>-0.19428992836072245</v>
      </c>
      <c r="N234" s="26">
        <f t="shared" si="37"/>
        <v>0.43619047619047768</v>
      </c>
      <c r="O234" s="26">
        <f t="shared" si="38"/>
        <v>0.34520833333333389</v>
      </c>
      <c r="P234" s="26">
        <f t="shared" si="39"/>
        <v>-9.0642646439106134E-2</v>
      </c>
    </row>
    <row r="235" spans="1:16" x14ac:dyDescent="0.25">
      <c r="A235" s="2">
        <v>43915</v>
      </c>
      <c r="B235">
        <v>60.91</v>
      </c>
      <c r="C235">
        <v>63.72</v>
      </c>
      <c r="D235">
        <v>61.74</v>
      </c>
      <c r="E235">
        <v>61.83</v>
      </c>
      <c r="G235">
        <f t="shared" si="30"/>
        <v>2.105000000000004</v>
      </c>
      <c r="H235">
        <f t="shared" si="31"/>
        <v>-4.4099999999999966</v>
      </c>
      <c r="I235" s="3">
        <f t="shared" si="32"/>
        <v>1.5755058334152727</v>
      </c>
      <c r="J235" s="3">
        <f t="shared" si="33"/>
        <v>-1.0559827571919491</v>
      </c>
      <c r="K235" s="26">
        <f t="shared" si="34"/>
        <v>-1.2666666666666666</v>
      </c>
      <c r="L235" s="26">
        <f t="shared" si="35"/>
        <v>-1.106964285714285</v>
      </c>
      <c r="M235" s="26">
        <f t="shared" si="36"/>
        <v>-1.3716814159289825E-2</v>
      </c>
      <c r="N235" s="26">
        <f t="shared" si="37"/>
        <v>0.40238095238095462</v>
      </c>
      <c r="O235" s="26">
        <f t="shared" si="38"/>
        <v>0.30104166666666787</v>
      </c>
      <c r="P235" s="26">
        <f t="shared" si="39"/>
        <v>-0.12174673409186587</v>
      </c>
    </row>
    <row r="236" spans="1:16" x14ac:dyDescent="0.25">
      <c r="A236" s="2">
        <v>43914</v>
      </c>
      <c r="B236">
        <v>64.400000000000006</v>
      </c>
      <c r="C236">
        <v>68.81</v>
      </c>
      <c r="D236">
        <v>64.5</v>
      </c>
      <c r="E236">
        <v>64.61</v>
      </c>
      <c r="G236">
        <f t="shared" si="30"/>
        <v>2.3799999999999955</v>
      </c>
      <c r="H236">
        <f t="shared" si="31"/>
        <v>-5.6799999999999926</v>
      </c>
      <c r="I236" s="3">
        <f t="shared" si="32"/>
        <v>2.0647663707516699</v>
      </c>
      <c r="J236" s="3">
        <f t="shared" si="33"/>
        <v>-1.7432638010415475</v>
      </c>
      <c r="K236" s="26">
        <f t="shared" si="34"/>
        <v>-1.0114285714285716</v>
      </c>
      <c r="L236" s="26">
        <f t="shared" si="35"/>
        <v>-0.85089285714285667</v>
      </c>
      <c r="M236" s="26">
        <f t="shared" si="36"/>
        <v>0.24855878634639939</v>
      </c>
      <c r="N236" s="26">
        <f t="shared" si="37"/>
        <v>0.28809523809523996</v>
      </c>
      <c r="O236" s="26">
        <f t="shared" si="38"/>
        <v>0.19485119047619137</v>
      </c>
      <c r="P236" s="26">
        <f t="shared" si="39"/>
        <v>-0.22906236831015536</v>
      </c>
    </row>
    <row r="237" spans="1:16" x14ac:dyDescent="0.25">
      <c r="A237" s="2">
        <v>43913</v>
      </c>
      <c r="B237">
        <v>65.48</v>
      </c>
      <c r="C237">
        <v>71.16</v>
      </c>
      <c r="D237">
        <v>65.94</v>
      </c>
      <c r="E237">
        <v>66.03</v>
      </c>
      <c r="G237">
        <f t="shared" si="30"/>
        <v>2.0050000000000026</v>
      </c>
      <c r="H237">
        <f t="shared" si="31"/>
        <v>-5.6699999999999946</v>
      </c>
      <c r="I237" s="3">
        <f t="shared" si="32"/>
        <v>1.4491009796923315</v>
      </c>
      <c r="J237" s="3">
        <f t="shared" si="33"/>
        <v>-1.7602309503060229</v>
      </c>
      <c r="K237" s="26">
        <f t="shared" si="34"/>
        <v>-0.68380952380952442</v>
      </c>
      <c r="L237" s="26">
        <f t="shared" si="35"/>
        <v>-0.5149999999999999</v>
      </c>
      <c r="M237" s="26">
        <f t="shared" si="36"/>
        <v>0.57044247787610791</v>
      </c>
      <c r="N237" s="26">
        <f t="shared" si="37"/>
        <v>0.18238095238095431</v>
      </c>
      <c r="O237" s="26">
        <f t="shared" si="38"/>
        <v>8.2797619047619953E-2</v>
      </c>
      <c r="P237" s="26">
        <f t="shared" si="39"/>
        <v>-0.33831015592077451</v>
      </c>
    </row>
    <row r="238" spans="1:16" x14ac:dyDescent="0.25">
      <c r="A238" s="2">
        <v>43910</v>
      </c>
      <c r="B238">
        <v>62.93</v>
      </c>
      <c r="C238">
        <v>68.599999999999994</v>
      </c>
      <c r="D238">
        <v>63.76</v>
      </c>
      <c r="E238">
        <v>63.87</v>
      </c>
      <c r="G238">
        <f t="shared" si="30"/>
        <v>1.6550000000000011</v>
      </c>
      <c r="H238">
        <f t="shared" si="31"/>
        <v>-4.9100000000000037</v>
      </c>
      <c r="I238" s="3">
        <f t="shared" si="32"/>
        <v>0.85418488418715388</v>
      </c>
      <c r="J238" s="3">
        <f t="shared" si="33"/>
        <v>-1.3707403450472408</v>
      </c>
      <c r="K238" s="26">
        <f t="shared" si="34"/>
        <v>-0.36904761904761985</v>
      </c>
      <c r="L238" s="26">
        <f t="shared" si="35"/>
        <v>-0.17297619047619084</v>
      </c>
      <c r="M238" s="26">
        <f t="shared" si="36"/>
        <v>0.8892456805731157</v>
      </c>
      <c r="N238" s="26">
        <f t="shared" si="37"/>
        <v>9.9761904761906495E-2</v>
      </c>
      <c r="O238" s="26">
        <f t="shared" si="38"/>
        <v>-1.8154761904761174E-2</v>
      </c>
      <c r="P238" s="26">
        <f t="shared" si="39"/>
        <v>-0.4243699957859246</v>
      </c>
    </row>
    <row r="239" spans="1:16" x14ac:dyDescent="0.25">
      <c r="A239" s="2">
        <v>43909</v>
      </c>
      <c r="B239">
        <v>62.87</v>
      </c>
      <c r="C239">
        <v>67.78</v>
      </c>
      <c r="D239">
        <v>63.67</v>
      </c>
      <c r="E239">
        <v>63.76</v>
      </c>
      <c r="G239">
        <f t="shared" si="30"/>
        <v>1.3999999999999915</v>
      </c>
      <c r="H239">
        <f t="shared" si="31"/>
        <v>-4.6199999999999974</v>
      </c>
      <c r="I239" s="3">
        <f t="shared" si="32"/>
        <v>0.41539853323115961</v>
      </c>
      <c r="J239" s="3">
        <f t="shared" si="33"/>
        <v>-1.2254757876326967</v>
      </c>
      <c r="K239" s="26">
        <f t="shared" si="34"/>
        <v>-8.9047619047619264E-2</v>
      </c>
      <c r="L239" s="26">
        <f t="shared" si="35"/>
        <v>0.10160714285714323</v>
      </c>
      <c r="M239" s="26">
        <f t="shared" si="36"/>
        <v>1.1786093552465251</v>
      </c>
      <c r="N239" s="26">
        <f t="shared" si="37"/>
        <v>5.0714285714287266E-2</v>
      </c>
      <c r="O239" s="26">
        <f t="shared" si="38"/>
        <v>-9.3601190476189644E-2</v>
      </c>
      <c r="P239" s="26">
        <f t="shared" si="39"/>
        <v>-0.49232195533080447</v>
      </c>
    </row>
    <row r="240" spans="1:16" x14ac:dyDescent="0.25">
      <c r="A240" s="2">
        <v>43908</v>
      </c>
      <c r="B240">
        <v>62.87</v>
      </c>
      <c r="C240">
        <v>67.489999999999995</v>
      </c>
      <c r="D240">
        <v>63.78</v>
      </c>
      <c r="E240">
        <v>63.78</v>
      </c>
      <c r="G240">
        <f t="shared" si="30"/>
        <v>1.4299999999999997</v>
      </c>
      <c r="H240">
        <f t="shared" si="31"/>
        <v>-4</v>
      </c>
      <c r="I240" s="3">
        <f t="shared" si="32"/>
        <v>0.46897639160985627</v>
      </c>
      <c r="J240" s="3">
        <f t="shared" si="33"/>
        <v>-0.89723734433645796</v>
      </c>
      <c r="K240" s="26">
        <f t="shared" si="34"/>
        <v>9.8095238095237791E-2</v>
      </c>
      <c r="L240" s="26">
        <f t="shared" si="35"/>
        <v>0.35220238095238121</v>
      </c>
      <c r="M240" s="26">
        <f t="shared" si="36"/>
        <v>1.442482090181207</v>
      </c>
      <c r="N240" s="26">
        <f t="shared" si="37"/>
        <v>1.904761904763963E-3</v>
      </c>
      <c r="O240" s="26">
        <f t="shared" si="38"/>
        <v>-0.15979166666666544</v>
      </c>
      <c r="P240" s="26">
        <f t="shared" si="39"/>
        <v>-0.55419511167298674</v>
      </c>
    </row>
    <row r="241" spans="1:16" x14ac:dyDescent="0.25">
      <c r="A241" s="2">
        <v>43907</v>
      </c>
      <c r="B241">
        <v>61</v>
      </c>
      <c r="C241">
        <v>65</v>
      </c>
      <c r="D241">
        <v>61.57</v>
      </c>
      <c r="E241">
        <v>61.66</v>
      </c>
      <c r="G241">
        <f t="shared" si="30"/>
        <v>1.6700000000000017</v>
      </c>
      <c r="H241">
        <f t="shared" si="31"/>
        <v>-4.3799999999999955</v>
      </c>
      <c r="I241" s="3">
        <f t="shared" si="32"/>
        <v>0.88603859708252897</v>
      </c>
      <c r="J241" s="3">
        <f t="shared" si="33"/>
        <v>-1.1095141296122548</v>
      </c>
      <c r="K241" s="26">
        <f t="shared" si="34"/>
        <v>0.31285714285714228</v>
      </c>
      <c r="L241" s="26">
        <f t="shared" si="35"/>
        <v>0.59154761904761877</v>
      </c>
      <c r="M241" s="26">
        <f t="shared" si="36"/>
        <v>1.6843826380109579</v>
      </c>
      <c r="N241" s="26">
        <f t="shared" si="37"/>
        <v>-5.547619047618868E-2</v>
      </c>
      <c r="O241" s="26">
        <f t="shared" si="38"/>
        <v>-0.22553571428571317</v>
      </c>
      <c r="P241" s="26">
        <f t="shared" si="39"/>
        <v>-0.61857142857142788</v>
      </c>
    </row>
    <row r="242" spans="1:16" x14ac:dyDescent="0.25">
      <c r="A242" s="2">
        <v>43906</v>
      </c>
      <c r="B242">
        <v>58.92</v>
      </c>
      <c r="C242">
        <v>63.3</v>
      </c>
      <c r="D242">
        <v>59.44</v>
      </c>
      <c r="E242">
        <v>59.55</v>
      </c>
      <c r="G242">
        <f t="shared" si="30"/>
        <v>0.94500000000000739</v>
      </c>
      <c r="H242">
        <f t="shared" si="31"/>
        <v>-2.009999999999998</v>
      </c>
      <c r="I242" s="3">
        <f t="shared" si="32"/>
        <v>-0.36236001156511793</v>
      </c>
      <c r="J242" s="3">
        <f t="shared" si="33"/>
        <v>0.17497401889746306</v>
      </c>
      <c r="K242" s="26">
        <f t="shared" si="34"/>
        <v>0.49380952380952314</v>
      </c>
      <c r="L242" s="26">
        <f t="shared" si="35"/>
        <v>0.78589285714285684</v>
      </c>
      <c r="M242" s="26">
        <f t="shared" si="36"/>
        <v>1.8854740834386869</v>
      </c>
      <c r="N242" s="26">
        <f t="shared" si="37"/>
        <v>-0.13309523809523682</v>
      </c>
      <c r="O242" s="26">
        <f t="shared" si="38"/>
        <v>-0.29836309523809457</v>
      </c>
      <c r="P242" s="26">
        <f t="shared" si="39"/>
        <v>-0.69021281078803143</v>
      </c>
    </row>
    <row r="243" spans="1:16" x14ac:dyDescent="0.25">
      <c r="A243" s="2">
        <v>43903</v>
      </c>
      <c r="B243">
        <v>51.63</v>
      </c>
      <c r="C243">
        <v>53.64</v>
      </c>
      <c r="D243">
        <v>51.69</v>
      </c>
      <c r="E243">
        <v>51.76</v>
      </c>
      <c r="G243">
        <f t="shared" si="30"/>
        <v>0.82500000000000284</v>
      </c>
      <c r="H243">
        <f t="shared" si="31"/>
        <v>-1.8300000000000054</v>
      </c>
      <c r="I243" s="3">
        <f t="shared" si="32"/>
        <v>-0.57057426933108146</v>
      </c>
      <c r="J243" s="3">
        <f t="shared" si="33"/>
        <v>0.27341120992420054</v>
      </c>
      <c r="K243" s="26">
        <f t="shared" si="34"/>
        <v>0.52190476190476087</v>
      </c>
      <c r="L243" s="26">
        <f t="shared" si="35"/>
        <v>0.8554166666666666</v>
      </c>
      <c r="M243" s="26">
        <f t="shared" si="36"/>
        <v>1.97297513695744</v>
      </c>
      <c r="N243" s="26">
        <f t="shared" si="37"/>
        <v>-0.14809523809523739</v>
      </c>
      <c r="O243" s="26">
        <f t="shared" si="38"/>
        <v>-0.32931547619047574</v>
      </c>
      <c r="P243" s="26">
        <f t="shared" si="39"/>
        <v>-0.7175747998314369</v>
      </c>
    </row>
    <row r="244" spans="1:16" x14ac:dyDescent="0.25">
      <c r="A244" s="2">
        <v>43902</v>
      </c>
      <c r="B244">
        <v>47.19</v>
      </c>
      <c r="C244">
        <v>49.02</v>
      </c>
      <c r="D244">
        <v>47.28</v>
      </c>
      <c r="E244">
        <v>47.34</v>
      </c>
      <c r="G244">
        <f t="shared" si="30"/>
        <v>0.58999999999999631</v>
      </c>
      <c r="H244">
        <f t="shared" si="31"/>
        <v>-0.67999999999999972</v>
      </c>
      <c r="I244" s="3">
        <f t="shared" si="32"/>
        <v>-0.97730654510040538</v>
      </c>
      <c r="J244" s="3">
        <f t="shared" si="33"/>
        <v>0.89766375218797778</v>
      </c>
      <c r="K244" s="26">
        <f t="shared" si="34"/>
        <v>0.59809523809523824</v>
      </c>
      <c r="L244" s="26">
        <f t="shared" si="35"/>
        <v>0.93815476190476232</v>
      </c>
      <c r="M244" s="26">
        <f t="shared" si="36"/>
        <v>2.0776064053940186</v>
      </c>
      <c r="N244" s="26">
        <f t="shared" si="37"/>
        <v>-0.17523809523809486</v>
      </c>
      <c r="O244" s="26">
        <f t="shared" si="38"/>
        <v>-0.36002976190476166</v>
      </c>
      <c r="P244" s="26">
        <f t="shared" si="39"/>
        <v>-0.75359882005899703</v>
      </c>
    </row>
    <row r="245" spans="1:16" x14ac:dyDescent="0.25">
      <c r="A245" s="2">
        <v>43901</v>
      </c>
      <c r="B245">
        <v>44.54</v>
      </c>
      <c r="C245">
        <v>45.22</v>
      </c>
      <c r="D245">
        <v>44.29</v>
      </c>
      <c r="E245">
        <v>44.34</v>
      </c>
      <c r="G245">
        <f t="shared" si="30"/>
        <v>0.70499999999999829</v>
      </c>
      <c r="H245">
        <f t="shared" si="31"/>
        <v>-1.009999999999998</v>
      </c>
      <c r="I245" s="3">
        <f t="shared" si="32"/>
        <v>-0.78580205387021973</v>
      </c>
      <c r="J245" s="3">
        <f t="shared" si="33"/>
        <v>0.72425687999837729</v>
      </c>
      <c r="K245" s="26">
        <f t="shared" si="34"/>
        <v>0.58476190476190548</v>
      </c>
      <c r="L245" s="26">
        <f t="shared" si="35"/>
        <v>0.9337500000000003</v>
      </c>
      <c r="M245" s="26">
        <f t="shared" si="36"/>
        <v>2.0936409608091049</v>
      </c>
      <c r="N245" s="26">
        <f t="shared" si="37"/>
        <v>-0.18047619047619012</v>
      </c>
      <c r="O245" s="26">
        <f t="shared" si="38"/>
        <v>-0.37467261904761895</v>
      </c>
      <c r="P245" s="26">
        <f t="shared" si="39"/>
        <v>-0.76709439528023615</v>
      </c>
    </row>
    <row r="246" spans="1:16" x14ac:dyDescent="0.25">
      <c r="A246" s="2">
        <v>43900</v>
      </c>
      <c r="B246">
        <v>44.92</v>
      </c>
      <c r="C246">
        <v>45.93</v>
      </c>
      <c r="D246">
        <v>44.72</v>
      </c>
      <c r="E246">
        <v>44.66</v>
      </c>
      <c r="G246">
        <f t="shared" si="30"/>
        <v>0.58500000000000796</v>
      </c>
      <c r="H246">
        <f t="shared" si="31"/>
        <v>-0.78999999999999915</v>
      </c>
      <c r="I246" s="3">
        <f t="shared" si="32"/>
        <v>-0.99615909251164103</v>
      </c>
      <c r="J246" s="3">
        <f t="shared" si="33"/>
        <v>0.84688722832515073</v>
      </c>
      <c r="K246" s="26">
        <f t="shared" si="34"/>
        <v>0.57904761904762025</v>
      </c>
      <c r="L246" s="26">
        <f t="shared" si="35"/>
        <v>0.95095238095238155</v>
      </c>
      <c r="M246" s="26">
        <f t="shared" si="36"/>
        <v>2.1127222924568079</v>
      </c>
      <c r="N246" s="26">
        <f t="shared" si="37"/>
        <v>-0.17761904761904745</v>
      </c>
      <c r="O246" s="26">
        <f t="shared" si="38"/>
        <v>-0.39071428571428579</v>
      </c>
      <c r="P246" s="26">
        <f t="shared" si="39"/>
        <v>-0.7728887484197221</v>
      </c>
    </row>
    <row r="247" spans="1:16" x14ac:dyDescent="0.25">
      <c r="A247" s="2">
        <v>43899</v>
      </c>
      <c r="B247">
        <v>46.1</v>
      </c>
      <c r="C247">
        <v>46.89</v>
      </c>
      <c r="D247">
        <v>45.91</v>
      </c>
      <c r="E247">
        <v>45.96</v>
      </c>
      <c r="G247">
        <f t="shared" si="30"/>
        <v>0.71499999999999631</v>
      </c>
      <c r="H247">
        <f t="shared" si="31"/>
        <v>-0.59000000000000341</v>
      </c>
      <c r="I247" s="3">
        <f t="shared" si="32"/>
        <v>-0.7794693649754626</v>
      </c>
      <c r="J247" s="3">
        <f t="shared" si="33"/>
        <v>0.95980020740163552</v>
      </c>
      <c r="K247" s="26">
        <f t="shared" si="34"/>
        <v>0.56904761904762047</v>
      </c>
      <c r="L247" s="26">
        <f t="shared" si="35"/>
        <v>0.94994047619047695</v>
      </c>
      <c r="M247" s="26">
        <f t="shared" si="36"/>
        <v>2.1313737884534367</v>
      </c>
      <c r="N247" s="26">
        <f t="shared" si="37"/>
        <v>-0.15500000000000014</v>
      </c>
      <c r="O247" s="26">
        <f t="shared" si="38"/>
        <v>-0.37675595238095261</v>
      </c>
      <c r="P247" s="26">
        <f t="shared" si="39"/>
        <v>-0.76822798145807036</v>
      </c>
    </row>
    <row r="248" spans="1:16" x14ac:dyDescent="0.25">
      <c r="A248" s="2">
        <v>43896</v>
      </c>
      <c r="B248">
        <v>43.87</v>
      </c>
      <c r="C248">
        <v>44.46</v>
      </c>
      <c r="D248">
        <v>43.45</v>
      </c>
      <c r="E248">
        <v>43.5</v>
      </c>
      <c r="G248">
        <f t="shared" si="30"/>
        <v>0.49499999999999744</v>
      </c>
      <c r="H248">
        <f t="shared" si="31"/>
        <v>-0.26999999999999602</v>
      </c>
      <c r="I248" s="3">
        <f t="shared" si="32"/>
        <v>-1.161116746941683</v>
      </c>
      <c r="J248" s="3">
        <f t="shared" si="33"/>
        <v>1.1388605549843756</v>
      </c>
      <c r="K248" s="26">
        <f t="shared" si="34"/>
        <v>0.56000000000000127</v>
      </c>
      <c r="L248" s="26">
        <f t="shared" si="35"/>
        <v>0.93928571428571528</v>
      </c>
      <c r="M248" s="26">
        <f t="shared" si="36"/>
        <v>2.1370922882427328</v>
      </c>
      <c r="N248" s="26">
        <f t="shared" si="37"/>
        <v>-0.14666666666666661</v>
      </c>
      <c r="O248" s="26">
        <f t="shared" si="38"/>
        <v>-0.38083333333333347</v>
      </c>
      <c r="P248" s="26">
        <f t="shared" si="39"/>
        <v>-0.77155077960387719</v>
      </c>
    </row>
    <row r="249" spans="1:16" x14ac:dyDescent="0.25">
      <c r="A249" s="2">
        <v>43895</v>
      </c>
      <c r="B249">
        <v>43.85</v>
      </c>
      <c r="C249">
        <v>44.12</v>
      </c>
      <c r="D249">
        <v>43.49</v>
      </c>
      <c r="E249">
        <v>43.42</v>
      </c>
      <c r="G249">
        <f t="shared" si="30"/>
        <v>0.84499999999999886</v>
      </c>
      <c r="H249">
        <f t="shared" si="31"/>
        <v>-1.0900000000000034</v>
      </c>
      <c r="I249" s="3">
        <f t="shared" si="32"/>
        <v>-0.56917591183400007</v>
      </c>
      <c r="J249" s="3">
        <f t="shared" si="33"/>
        <v>0.70434589464232988</v>
      </c>
      <c r="K249" s="26">
        <f t="shared" si="34"/>
        <v>0.56428571428571594</v>
      </c>
      <c r="L249" s="26">
        <f t="shared" si="35"/>
        <v>0.92476190476190612</v>
      </c>
      <c r="M249" s="26">
        <f t="shared" si="36"/>
        <v>2.1357859249894671</v>
      </c>
      <c r="N249" s="26">
        <f t="shared" si="37"/>
        <v>-0.14690476190476187</v>
      </c>
      <c r="O249" s="26">
        <f t="shared" si="38"/>
        <v>-0.37678571428571461</v>
      </c>
      <c r="P249" s="26">
        <f t="shared" si="39"/>
        <v>-0.77265486725663801</v>
      </c>
    </row>
    <row r="250" spans="1:16" x14ac:dyDescent="0.25">
      <c r="A250" s="2">
        <v>43894</v>
      </c>
      <c r="B250">
        <v>43.8</v>
      </c>
      <c r="C250">
        <v>44.89</v>
      </c>
      <c r="D250">
        <v>43.5</v>
      </c>
      <c r="E250">
        <v>43.47</v>
      </c>
      <c r="G250">
        <f t="shared" si="30"/>
        <v>0.60999999999999943</v>
      </c>
      <c r="H250">
        <f t="shared" si="31"/>
        <v>-0.5</v>
      </c>
      <c r="I250" s="3">
        <f t="shared" si="32"/>
        <v>-0.97447091697079613</v>
      </c>
      <c r="J250" s="3">
        <f t="shared" si="33"/>
        <v>1.0264140408357945</v>
      </c>
      <c r="K250" s="26">
        <f t="shared" si="34"/>
        <v>0.62428571428571678</v>
      </c>
      <c r="L250" s="26">
        <f t="shared" si="35"/>
        <v>0.94458333333333488</v>
      </c>
      <c r="M250" s="26">
        <f t="shared" si="36"/>
        <v>2.1700969237252448</v>
      </c>
      <c r="N250" s="26">
        <f t="shared" si="37"/>
        <v>-0.18023809523809509</v>
      </c>
      <c r="O250" s="26">
        <f t="shared" si="38"/>
        <v>-0.3896130952380954</v>
      </c>
      <c r="P250" s="26">
        <f t="shared" si="39"/>
        <v>-0.79305099030762838</v>
      </c>
    </row>
    <row r="251" spans="1:16" x14ac:dyDescent="0.25">
      <c r="A251" s="2">
        <v>43893</v>
      </c>
      <c r="B251">
        <v>43.81</v>
      </c>
      <c r="C251">
        <v>44.31</v>
      </c>
      <c r="D251">
        <v>43.45</v>
      </c>
      <c r="E251">
        <v>43.5</v>
      </c>
      <c r="G251">
        <f t="shared" si="30"/>
        <v>0.625</v>
      </c>
      <c r="H251">
        <f t="shared" si="31"/>
        <v>-0.58999999999999631</v>
      </c>
      <c r="I251" s="3">
        <f t="shared" si="32"/>
        <v>-0.95529390099554767</v>
      </c>
      <c r="J251" s="3">
        <f t="shared" si="33"/>
        <v>0.98506753829555649</v>
      </c>
      <c r="K251" s="26">
        <f t="shared" si="34"/>
        <v>0.62952380952381115</v>
      </c>
      <c r="L251" s="26">
        <f t="shared" si="35"/>
        <v>0.93797619047619141</v>
      </c>
      <c r="M251" s="26">
        <f t="shared" si="36"/>
        <v>2.1729667088074187</v>
      </c>
      <c r="N251" s="26">
        <f t="shared" si="37"/>
        <v>-0.19428571428571417</v>
      </c>
      <c r="O251" s="26">
        <f t="shared" si="38"/>
        <v>-0.39988095238095267</v>
      </c>
      <c r="P251" s="26">
        <f t="shared" si="39"/>
        <v>-0.8013379688158454</v>
      </c>
    </row>
    <row r="252" spans="1:16" x14ac:dyDescent="0.25">
      <c r="A252" s="2">
        <v>43892</v>
      </c>
      <c r="B252">
        <v>43.77</v>
      </c>
      <c r="C252">
        <v>44.36</v>
      </c>
      <c r="D252">
        <v>43.44</v>
      </c>
      <c r="E252">
        <v>43.51</v>
      </c>
      <c r="G252">
        <f t="shared" si="30"/>
        <v>0.61500000000000909</v>
      </c>
      <c r="H252">
        <f t="shared" si="31"/>
        <v>-0.57000000000000028</v>
      </c>
      <c r="I252" s="3">
        <f t="shared" si="32"/>
        <v>-0.97874181174042962</v>
      </c>
      <c r="J252" s="3">
        <f t="shared" si="33"/>
        <v>1.00257972114032</v>
      </c>
      <c r="K252" s="26">
        <f t="shared" si="34"/>
        <v>0.63952380952381116</v>
      </c>
      <c r="L252" s="26">
        <f t="shared" si="35"/>
        <v>0.9340476190476199</v>
      </c>
      <c r="M252" s="26">
        <f t="shared" si="36"/>
        <v>2.16888327012221</v>
      </c>
      <c r="N252" s="26">
        <f t="shared" si="37"/>
        <v>-0.19452380952380954</v>
      </c>
      <c r="O252" s="26">
        <f t="shared" si="38"/>
        <v>-0.40589285714285761</v>
      </c>
      <c r="P252" s="26">
        <f t="shared" si="39"/>
        <v>-0.80249051833122698</v>
      </c>
    </row>
    <row r="253" spans="1:16" x14ac:dyDescent="0.25">
      <c r="A253" s="2">
        <v>43889</v>
      </c>
      <c r="B253">
        <v>43.24</v>
      </c>
      <c r="C253">
        <v>43.81</v>
      </c>
      <c r="D253">
        <v>42.91</v>
      </c>
      <c r="E253">
        <v>42.98</v>
      </c>
      <c r="G253">
        <f t="shared" si="30"/>
        <v>0.28499999999999659</v>
      </c>
      <c r="H253">
        <f t="shared" si="31"/>
        <v>7.0000000000000284E-2</v>
      </c>
      <c r="I253" s="3">
        <f t="shared" si="32"/>
        <v>-1.5506528848898935</v>
      </c>
      <c r="J253" s="3">
        <f t="shared" si="33"/>
        <v>1.3551241930943039</v>
      </c>
      <c r="K253" s="26">
        <f t="shared" si="34"/>
        <v>0.58714285714285885</v>
      </c>
      <c r="L253" s="26">
        <f t="shared" si="35"/>
        <v>0.89029761904761984</v>
      </c>
      <c r="M253" s="26">
        <f t="shared" si="36"/>
        <v>2.1410703750526783</v>
      </c>
      <c r="N253" s="26">
        <f t="shared" si="37"/>
        <v>-0.16404761904761977</v>
      </c>
      <c r="O253" s="26">
        <f t="shared" si="38"/>
        <v>-0.39205357142857233</v>
      </c>
      <c r="P253" s="26">
        <f t="shared" si="39"/>
        <v>-0.79050568900126583</v>
      </c>
    </row>
    <row r="254" spans="1:16" x14ac:dyDescent="0.25">
      <c r="A254" s="2">
        <v>43888</v>
      </c>
      <c r="B254">
        <v>41.07</v>
      </c>
      <c r="C254">
        <v>41</v>
      </c>
      <c r="D254">
        <v>40.75</v>
      </c>
      <c r="E254">
        <v>40.700000000000003</v>
      </c>
      <c r="G254">
        <f t="shared" si="30"/>
        <v>0.23499999999999943</v>
      </c>
      <c r="H254">
        <f t="shared" si="31"/>
        <v>-3.0000000000001137E-2</v>
      </c>
      <c r="I254" s="3">
        <f t="shared" si="32"/>
        <v>-1.6554443335643734</v>
      </c>
      <c r="J254" s="3">
        <f t="shared" si="33"/>
        <v>1.3145466697579153</v>
      </c>
      <c r="K254" s="26">
        <f t="shared" si="34"/>
        <v>0.51904761904762076</v>
      </c>
      <c r="L254" s="26">
        <f t="shared" si="35"/>
        <v>0.84184523809523881</v>
      </c>
      <c r="M254" s="26">
        <f t="shared" si="36"/>
        <v>2.0979056047197653</v>
      </c>
      <c r="N254" s="26">
        <f t="shared" si="37"/>
        <v>-0.14047619047619164</v>
      </c>
      <c r="O254" s="26">
        <f t="shared" si="38"/>
        <v>-0.38407738095238197</v>
      </c>
      <c r="P254" s="26">
        <f t="shared" si="39"/>
        <v>-0.77619258322798323</v>
      </c>
    </row>
    <row r="255" spans="1:16" x14ac:dyDescent="0.25">
      <c r="A255" s="2">
        <v>43887</v>
      </c>
      <c r="B255">
        <v>39.729999999999997</v>
      </c>
      <c r="C255">
        <v>39.76</v>
      </c>
      <c r="D255">
        <v>39.51</v>
      </c>
      <c r="E255">
        <v>39.520000000000003</v>
      </c>
      <c r="G255">
        <f t="shared" si="30"/>
        <v>0.30000000000000426</v>
      </c>
      <c r="H255">
        <f t="shared" si="31"/>
        <v>-0.11999999999999744</v>
      </c>
      <c r="I255" s="3">
        <f t="shared" si="32"/>
        <v>-1.5650034876406069</v>
      </c>
      <c r="J255" s="3">
        <f t="shared" si="33"/>
        <v>1.2784267039512578</v>
      </c>
      <c r="K255" s="26">
        <f t="shared" si="34"/>
        <v>0.44809523809523955</v>
      </c>
      <c r="L255" s="26">
        <f t="shared" si="35"/>
        <v>0.8073214285714293</v>
      </c>
      <c r="M255" s="26">
        <f t="shared" si="36"/>
        <v>2.057484197218713</v>
      </c>
      <c r="N255" s="26">
        <f t="shared" si="37"/>
        <v>-9.4047619047620157E-2</v>
      </c>
      <c r="O255" s="26">
        <f t="shared" si="38"/>
        <v>-0.36633928571428664</v>
      </c>
      <c r="P255" s="26">
        <f t="shared" si="39"/>
        <v>-0.75258533501896452</v>
      </c>
    </row>
    <row r="256" spans="1:16" x14ac:dyDescent="0.25">
      <c r="A256" s="2">
        <v>43886</v>
      </c>
      <c r="B256">
        <v>40.03</v>
      </c>
      <c r="C256">
        <v>40.15</v>
      </c>
      <c r="D256">
        <v>39.79</v>
      </c>
      <c r="E256">
        <v>39.86</v>
      </c>
      <c r="G256">
        <f t="shared" si="30"/>
        <v>0.25</v>
      </c>
      <c r="H256">
        <f t="shared" si="31"/>
        <v>-6.0000000000002274E-2</v>
      </c>
      <c r="I256" s="3">
        <f t="shared" si="32"/>
        <v>-1.6714968845544094</v>
      </c>
      <c r="J256" s="3">
        <f t="shared" si="33"/>
        <v>1.3231267978161212</v>
      </c>
      <c r="K256" s="26">
        <f t="shared" si="34"/>
        <v>0.37190476190476329</v>
      </c>
      <c r="L256" s="26">
        <f t="shared" si="35"/>
        <v>0.77630952380952434</v>
      </c>
      <c r="M256" s="26">
        <f t="shared" si="36"/>
        <v>2.0160471976401193</v>
      </c>
      <c r="N256" s="26">
        <f t="shared" si="37"/>
        <v>-5.4047619047620343E-2</v>
      </c>
      <c r="O256" s="26">
        <f t="shared" si="38"/>
        <v>-0.35232142857142978</v>
      </c>
      <c r="P256" s="26">
        <f t="shared" si="39"/>
        <v>-0.73452591656131661</v>
      </c>
    </row>
    <row r="257" spans="1:16" x14ac:dyDescent="0.25">
      <c r="A257" s="2">
        <v>43885</v>
      </c>
      <c r="B257">
        <v>39.94</v>
      </c>
      <c r="C257">
        <v>40</v>
      </c>
      <c r="D257">
        <v>39.72</v>
      </c>
      <c r="E257">
        <v>39.74</v>
      </c>
      <c r="G257">
        <f t="shared" si="30"/>
        <v>0.38499999999999801</v>
      </c>
      <c r="H257">
        <f t="shared" si="31"/>
        <v>4.9999999999997158E-2</v>
      </c>
      <c r="I257" s="3">
        <f t="shared" si="32"/>
        <v>-1.4578819123917495</v>
      </c>
      <c r="J257" s="3">
        <f t="shared" si="33"/>
        <v>1.396279243237988</v>
      </c>
      <c r="K257" s="26">
        <f t="shared" si="34"/>
        <v>0.30714285714285872</v>
      </c>
      <c r="L257" s="26">
        <f t="shared" si="35"/>
        <v>0.74696428571428641</v>
      </c>
      <c r="M257" s="26">
        <f t="shared" si="36"/>
        <v>1.9755625790139086</v>
      </c>
      <c r="N257" s="26">
        <f t="shared" si="37"/>
        <v>-5.4761904761916336E-3</v>
      </c>
      <c r="O257" s="26">
        <f t="shared" si="38"/>
        <v>-0.35038690476190582</v>
      </c>
      <c r="P257" s="26">
        <f t="shared" si="39"/>
        <v>-0.71175937631690012</v>
      </c>
    </row>
    <row r="258" spans="1:16" x14ac:dyDescent="0.25">
      <c r="A258" s="2">
        <v>43882</v>
      </c>
      <c r="B258">
        <v>40.08</v>
      </c>
      <c r="C258">
        <v>40.03</v>
      </c>
      <c r="D258">
        <v>39.67</v>
      </c>
      <c r="E258">
        <v>39.659999999999997</v>
      </c>
      <c r="G258">
        <f t="shared" si="30"/>
        <v>0.46999999999999886</v>
      </c>
      <c r="H258">
        <f t="shared" si="31"/>
        <v>-3.9999999999999147E-2</v>
      </c>
      <c r="I258" s="3">
        <f t="shared" si="32"/>
        <v>-1.3248574554559678</v>
      </c>
      <c r="J258" s="3">
        <f t="shared" si="33"/>
        <v>1.3619739407887026</v>
      </c>
      <c r="K258" s="26">
        <f t="shared" si="34"/>
        <v>0.2257142857142872</v>
      </c>
      <c r="L258" s="26">
        <f t="shared" si="35"/>
        <v>0.70130952380952472</v>
      </c>
      <c r="M258" s="26">
        <f t="shared" si="36"/>
        <v>1.9275263379688181</v>
      </c>
      <c r="N258" s="26">
        <f t="shared" si="37"/>
        <v>1.6666666666665386E-2</v>
      </c>
      <c r="O258" s="26">
        <f t="shared" si="38"/>
        <v>-0.35779761904762009</v>
      </c>
      <c r="P258" s="26">
        <f t="shared" si="39"/>
        <v>-0.70405394016013612</v>
      </c>
    </row>
    <row r="259" spans="1:16" x14ac:dyDescent="0.25">
      <c r="A259" s="2">
        <v>43881</v>
      </c>
      <c r="B259">
        <v>40</v>
      </c>
      <c r="C259">
        <v>40.04</v>
      </c>
      <c r="D259">
        <v>39.549999999999997</v>
      </c>
      <c r="E259">
        <v>39.54</v>
      </c>
      <c r="G259">
        <f t="shared" si="30"/>
        <v>0.53000000000000114</v>
      </c>
      <c r="H259">
        <f t="shared" si="31"/>
        <v>2.0000000000003126E-2</v>
      </c>
      <c r="I259" s="3">
        <f t="shared" si="32"/>
        <v>-1.2323028645942242</v>
      </c>
      <c r="J259" s="3">
        <f t="shared" si="33"/>
        <v>1.4091742223170538</v>
      </c>
      <c r="K259" s="26">
        <f t="shared" si="34"/>
        <v>0.17047619047619189</v>
      </c>
      <c r="L259" s="26">
        <f t="shared" si="35"/>
        <v>0.64607142857142918</v>
      </c>
      <c r="M259" s="26">
        <f t="shared" si="36"/>
        <v>1.890859671302151</v>
      </c>
      <c r="N259" s="26">
        <f t="shared" si="37"/>
        <v>3.2857142857141697E-2</v>
      </c>
      <c r="O259" s="26">
        <f t="shared" si="38"/>
        <v>-0.35845238095238185</v>
      </c>
      <c r="P259" s="26">
        <f t="shared" si="39"/>
        <v>-0.69811420143278657</v>
      </c>
    </row>
    <row r="260" spans="1:16" x14ac:dyDescent="0.25">
      <c r="A260" s="2">
        <v>43880</v>
      </c>
      <c r="B260">
        <v>41.32</v>
      </c>
      <c r="C260">
        <v>41.3</v>
      </c>
      <c r="D260">
        <v>40.78</v>
      </c>
      <c r="E260">
        <v>40.729999999999997</v>
      </c>
      <c r="G260">
        <f t="shared" ref="G260:G323" si="40">AVERAGE(C261,B261)-D261</f>
        <v>0.38499999999999801</v>
      </c>
      <c r="H260">
        <f t="shared" ref="H260:H323" si="41">B261-C261</f>
        <v>-0.18999999999999773</v>
      </c>
      <c r="I260" s="3">
        <f t="shared" ref="I260:I323" si="42">(G260-AVERAGE(G260:G491))/_xlfn.STDEV.S(G260:G491)</f>
        <v>-1.5001734870288197</v>
      </c>
      <c r="J260" s="3">
        <f t="shared" ref="J260:J323" si="43">(H260-AVERAGE(H260:H491))/_xlfn.STDEV.S(H260:H491)</f>
        <v>1.3089147891983182</v>
      </c>
      <c r="K260" s="26">
        <f t="shared" ref="K260:K323" si="44">AVERAGEA(H260:H280)-AVERAGE(H281:H301)</f>
        <v>0.11000000000000121</v>
      </c>
      <c r="L260" s="26">
        <f t="shared" ref="L260:L323" si="45">AVERAGEA(H260:H280)-AVERAGE(H281:H336)</f>
        <v>0.61047619047619084</v>
      </c>
      <c r="M260" s="26">
        <f t="shared" ref="M260:M323" si="46">AVERAGEA(H260:H280)-AVERAGE(H281:H393)</f>
        <v>1.8586304256215771</v>
      </c>
      <c r="N260" s="26">
        <f t="shared" ref="N260:N323" si="47">AVERAGEA(G260:G280)-AVERAGE(G281:G301)</f>
        <v>2.5952380952380061E-2</v>
      </c>
      <c r="O260" s="26">
        <f t="shared" ref="O260:O323" si="48">AVERAGEA(G260:G280)-AVERAGE(G281:G336)</f>
        <v>-0.37636904761904821</v>
      </c>
      <c r="P260" s="26">
        <f t="shared" ref="P260:P323" si="49">AVERAGEA(G260:G280)-AVERAGE(G281:G393)</f>
        <v>-0.70949641803624175</v>
      </c>
    </row>
    <row r="261" spans="1:16" x14ac:dyDescent="0.25">
      <c r="A261" s="2">
        <v>43879</v>
      </c>
      <c r="B261">
        <v>41.29</v>
      </c>
      <c r="C261">
        <v>41.48</v>
      </c>
      <c r="D261">
        <v>41</v>
      </c>
      <c r="E261">
        <v>41.03</v>
      </c>
      <c r="G261">
        <f t="shared" si="40"/>
        <v>0.35499999999999687</v>
      </c>
      <c r="H261">
        <f t="shared" si="41"/>
        <v>-5.0000000000004263E-2</v>
      </c>
      <c r="I261" s="3">
        <f t="shared" si="42"/>
        <v>-1.5716560326952362</v>
      </c>
      <c r="J261" s="3">
        <f t="shared" si="43"/>
        <v>1.399502820762657</v>
      </c>
      <c r="K261" s="26">
        <f t="shared" si="44"/>
        <v>0.1785714285714296</v>
      </c>
      <c r="L261" s="26">
        <f t="shared" si="45"/>
        <v>0.66250000000000064</v>
      </c>
      <c r="M261" s="26">
        <f t="shared" si="46"/>
        <v>1.905448798988624</v>
      </c>
      <c r="N261" s="26">
        <f t="shared" si="47"/>
        <v>2.8333333333331878E-2</v>
      </c>
      <c r="O261" s="26">
        <f t="shared" si="48"/>
        <v>-0.38857142857142946</v>
      </c>
      <c r="P261" s="26">
        <f t="shared" si="49"/>
        <v>-0.71432996207332589</v>
      </c>
    </row>
    <row r="262" spans="1:16" x14ac:dyDescent="0.25">
      <c r="A262" s="2">
        <v>43878</v>
      </c>
      <c r="B262">
        <v>41.62</v>
      </c>
      <c r="C262">
        <v>41.67</v>
      </c>
      <c r="D262">
        <v>41.29</v>
      </c>
      <c r="E262">
        <v>41.33</v>
      </c>
      <c r="G262">
        <f t="shared" si="40"/>
        <v>0.43499999999999517</v>
      </c>
      <c r="H262">
        <f t="shared" si="41"/>
        <v>-1.0899999999999963</v>
      </c>
      <c r="I262" s="3">
        <f t="shared" si="42"/>
        <v>-1.4492097384688307</v>
      </c>
      <c r="J262" s="3">
        <f t="shared" si="43"/>
        <v>0.83791193310251277</v>
      </c>
      <c r="K262" s="26">
        <f t="shared" si="44"/>
        <v>0.12809523809523937</v>
      </c>
      <c r="L262" s="26">
        <f t="shared" si="45"/>
        <v>0.6429761904761917</v>
      </c>
      <c r="M262" s="26">
        <f t="shared" si="46"/>
        <v>1.891702486304258</v>
      </c>
      <c r="N262" s="26">
        <f t="shared" si="47"/>
        <v>-2.0238095238096832E-2</v>
      </c>
      <c r="O262" s="26">
        <f t="shared" si="48"/>
        <v>-0.4016666666666675</v>
      </c>
      <c r="P262" s="26">
        <f t="shared" si="49"/>
        <v>-0.71371470712178753</v>
      </c>
    </row>
    <row r="263" spans="1:16" x14ac:dyDescent="0.25">
      <c r="A263" s="2">
        <v>43875</v>
      </c>
      <c r="B263">
        <v>40.82</v>
      </c>
      <c r="C263">
        <v>41.91</v>
      </c>
      <c r="D263">
        <v>40.93</v>
      </c>
      <c r="E263">
        <v>40.89</v>
      </c>
      <c r="G263">
        <f t="shared" si="40"/>
        <v>0.625</v>
      </c>
      <c r="H263">
        <f t="shared" si="41"/>
        <v>-1.1499999999999986</v>
      </c>
      <c r="I263" s="3">
        <f t="shared" si="42"/>
        <v>-1.1252361685932961</v>
      </c>
      <c r="J263" s="3">
        <f t="shared" si="43"/>
        <v>0.80997981016841403</v>
      </c>
      <c r="K263" s="26">
        <f t="shared" si="44"/>
        <v>6.2857142857144499E-2</v>
      </c>
      <c r="L263" s="26">
        <f t="shared" si="45"/>
        <v>0.64208333333333489</v>
      </c>
      <c r="M263" s="26">
        <f t="shared" si="46"/>
        <v>1.8689211967973045</v>
      </c>
      <c r="N263" s="26">
        <f t="shared" si="47"/>
        <v>-2.1904761904762871E-2</v>
      </c>
      <c r="O263" s="26">
        <f t="shared" si="48"/>
        <v>-0.3993750000000007</v>
      </c>
      <c r="P263" s="26">
        <f t="shared" si="49"/>
        <v>-0.69530341340075918</v>
      </c>
    </row>
    <row r="264" spans="1:16" x14ac:dyDescent="0.25">
      <c r="A264" s="2">
        <v>43874</v>
      </c>
      <c r="B264">
        <v>40.96</v>
      </c>
      <c r="C264">
        <v>42.11</v>
      </c>
      <c r="D264">
        <v>40.909999999999997</v>
      </c>
      <c r="E264">
        <v>40.98</v>
      </c>
      <c r="G264">
        <f t="shared" si="40"/>
        <v>0.49499999999999744</v>
      </c>
      <c r="H264">
        <f t="shared" si="41"/>
        <v>-0.84999999999999432</v>
      </c>
      <c r="I264" s="3">
        <f t="shared" si="42"/>
        <v>-1.3684093890773583</v>
      </c>
      <c r="J264" s="3">
        <f t="shared" si="43"/>
        <v>0.98110058119484256</v>
      </c>
      <c r="K264" s="26">
        <f t="shared" si="44"/>
        <v>-6.5714285714283394E-2</v>
      </c>
      <c r="L264" s="26">
        <f t="shared" si="45"/>
        <v>0.67386904761904942</v>
      </c>
      <c r="M264" s="26">
        <f t="shared" si="46"/>
        <v>1.8998511904761923</v>
      </c>
      <c r="N264" s="26">
        <f t="shared" si="47"/>
        <v>-2.9523809523810063E-2</v>
      </c>
      <c r="O264" s="26">
        <f t="shared" si="48"/>
        <v>-0.41318452380952431</v>
      </c>
      <c r="P264" s="26">
        <f t="shared" si="49"/>
        <v>-0.70215773809523852</v>
      </c>
    </row>
    <row r="265" spans="1:16" x14ac:dyDescent="0.25">
      <c r="A265" s="2">
        <v>43873</v>
      </c>
      <c r="B265">
        <v>41.06</v>
      </c>
      <c r="C265">
        <v>41.91</v>
      </c>
      <c r="D265">
        <v>40.99</v>
      </c>
      <c r="E265">
        <v>41.06</v>
      </c>
      <c r="G265">
        <f t="shared" si="40"/>
        <v>0.58999999999999631</v>
      </c>
      <c r="H265">
        <f t="shared" si="41"/>
        <v>-1.1999999999999957</v>
      </c>
      <c r="I265" s="3">
        <f t="shared" si="42"/>
        <v>-1.2122314291578724</v>
      </c>
      <c r="J265" s="3">
        <f t="shared" si="43"/>
        <v>0.79468569602860495</v>
      </c>
      <c r="K265" s="26">
        <f t="shared" si="44"/>
        <v>-0.1990476190476177</v>
      </c>
      <c r="L265" s="26">
        <f t="shared" si="45"/>
        <v>0.69327380952381046</v>
      </c>
      <c r="M265" s="26">
        <f t="shared" si="46"/>
        <v>1.8834105534105543</v>
      </c>
      <c r="N265" s="26">
        <f t="shared" si="47"/>
        <v>-4.1904761904762444E-2</v>
      </c>
      <c r="O265" s="26">
        <f t="shared" si="48"/>
        <v>-0.42247023809523854</v>
      </c>
      <c r="P265" s="26">
        <f t="shared" si="49"/>
        <v>-0.69642857142857184</v>
      </c>
    </row>
    <row r="266" spans="1:16" x14ac:dyDescent="0.25">
      <c r="A266" s="2">
        <v>43872</v>
      </c>
      <c r="B266">
        <v>41.2</v>
      </c>
      <c r="C266">
        <v>42.4</v>
      </c>
      <c r="D266">
        <v>41.21</v>
      </c>
      <c r="E266">
        <v>41.17</v>
      </c>
      <c r="G266">
        <f t="shared" si="40"/>
        <v>0.74499999999999744</v>
      </c>
      <c r="H266">
        <f t="shared" si="41"/>
        <v>-1.2299999999999969</v>
      </c>
      <c r="I266" s="3">
        <f t="shared" si="42"/>
        <v>-0.94384850422196798</v>
      </c>
      <c r="J266" s="3">
        <f t="shared" si="43"/>
        <v>0.7830517856779019</v>
      </c>
      <c r="K266" s="26">
        <f t="shared" si="44"/>
        <v>-0.3042857142857136</v>
      </c>
      <c r="L266" s="26">
        <f t="shared" si="45"/>
        <v>0.75023809523809537</v>
      </c>
      <c r="M266" s="26">
        <f t="shared" si="46"/>
        <v>1.8855757575757586</v>
      </c>
      <c r="N266" s="26">
        <f t="shared" si="47"/>
        <v>-7.7380952380952994E-2</v>
      </c>
      <c r="O266" s="26">
        <f t="shared" si="48"/>
        <v>-0.43303571428571486</v>
      </c>
      <c r="P266" s="26">
        <f t="shared" si="49"/>
        <v>-0.69731168831168877</v>
      </c>
    </row>
    <row r="267" spans="1:16" x14ac:dyDescent="0.25">
      <c r="A267" s="2">
        <v>43871</v>
      </c>
      <c r="B267">
        <v>40.92</v>
      </c>
      <c r="C267">
        <v>42.15</v>
      </c>
      <c r="D267">
        <v>40.79</v>
      </c>
      <c r="E267">
        <v>40.79</v>
      </c>
      <c r="G267">
        <f t="shared" si="40"/>
        <v>0.86500000000000199</v>
      </c>
      <c r="H267">
        <f t="shared" si="41"/>
        <v>-1.1899999999999977</v>
      </c>
      <c r="I267" s="3">
        <f t="shared" si="42"/>
        <v>-0.73412005377725609</v>
      </c>
      <c r="J267" s="3">
        <f t="shared" si="43"/>
        <v>0.80998660470568185</v>
      </c>
      <c r="K267" s="26">
        <f t="shared" si="44"/>
        <v>-0.29952380952380953</v>
      </c>
      <c r="L267" s="26">
        <f t="shared" si="45"/>
        <v>0.82297619047619053</v>
      </c>
      <c r="M267" s="26">
        <f t="shared" si="46"/>
        <v>1.8956662297946705</v>
      </c>
      <c r="N267" s="26">
        <f t="shared" si="47"/>
        <v>-8.1190476190476479E-2</v>
      </c>
      <c r="O267" s="26">
        <f t="shared" si="48"/>
        <v>-0.45863095238095286</v>
      </c>
      <c r="P267" s="26">
        <f t="shared" si="49"/>
        <v>-0.70426823940585415</v>
      </c>
    </row>
    <row r="268" spans="1:16" x14ac:dyDescent="0.25">
      <c r="A268" s="2">
        <v>43868</v>
      </c>
      <c r="B268">
        <v>41.45</v>
      </c>
      <c r="C268">
        <v>42.64</v>
      </c>
      <c r="D268">
        <v>41.18</v>
      </c>
      <c r="E268">
        <v>41.25</v>
      </c>
      <c r="G268">
        <f t="shared" si="40"/>
        <v>0.84499999999999886</v>
      </c>
      <c r="H268">
        <f t="shared" si="41"/>
        <v>-1.230000000000004</v>
      </c>
      <c r="I268" s="3">
        <f t="shared" si="42"/>
        <v>-0.77453179948969098</v>
      </c>
      <c r="J268" s="3">
        <f t="shared" si="43"/>
        <v>0.79313906266490353</v>
      </c>
      <c r="K268" s="26">
        <f t="shared" si="44"/>
        <v>-0.22666666666666679</v>
      </c>
      <c r="L268" s="26">
        <f t="shared" si="45"/>
        <v>0.85821428571428515</v>
      </c>
      <c r="M268" s="26">
        <f t="shared" si="46"/>
        <v>1.9012830687830691</v>
      </c>
      <c r="N268" s="26">
        <f t="shared" si="47"/>
        <v>-9.8095238095238568E-2</v>
      </c>
      <c r="O268" s="26">
        <f t="shared" si="48"/>
        <v>-0.48398809523809583</v>
      </c>
      <c r="P268" s="26">
        <f t="shared" si="49"/>
        <v>-0.72017857142857189</v>
      </c>
    </row>
    <row r="269" spans="1:16" x14ac:dyDescent="0.25">
      <c r="A269" s="2">
        <v>43867</v>
      </c>
      <c r="B269">
        <v>41.41</v>
      </c>
      <c r="C269">
        <v>42.64</v>
      </c>
      <c r="D269">
        <v>41.18</v>
      </c>
      <c r="E269">
        <v>41.25</v>
      </c>
      <c r="G269">
        <f t="shared" si="40"/>
        <v>0.63999999999999346</v>
      </c>
      <c r="H269">
        <f t="shared" si="41"/>
        <v>-0.9199999999999946</v>
      </c>
      <c r="I269" s="3">
        <f t="shared" si="42"/>
        <v>-1.1481835035382173</v>
      </c>
      <c r="J269" s="3">
        <f t="shared" si="43"/>
        <v>0.96881439341383502</v>
      </c>
      <c r="K269" s="26">
        <f t="shared" si="44"/>
        <v>-0.16571428571428592</v>
      </c>
      <c r="L269" s="26">
        <f t="shared" si="45"/>
        <v>0.8955357142857141</v>
      </c>
      <c r="M269" s="26">
        <f t="shared" si="46"/>
        <v>1.8919893190921238</v>
      </c>
      <c r="N269" s="26">
        <f t="shared" si="47"/>
        <v>-9.7619047619048493E-2</v>
      </c>
      <c r="O269" s="26">
        <f t="shared" si="48"/>
        <v>-0.50836309523809586</v>
      </c>
      <c r="P269" s="26">
        <f t="shared" si="49"/>
        <v>-0.72785491766800214</v>
      </c>
    </row>
    <row r="270" spans="1:16" x14ac:dyDescent="0.25">
      <c r="A270" s="2">
        <v>43866</v>
      </c>
      <c r="B270">
        <v>41.7</v>
      </c>
      <c r="C270">
        <v>42.62</v>
      </c>
      <c r="D270">
        <v>41.52</v>
      </c>
      <c r="E270">
        <v>41.58</v>
      </c>
      <c r="G270">
        <f t="shared" si="40"/>
        <v>0.57000000000000028</v>
      </c>
      <c r="H270">
        <f t="shared" si="41"/>
        <v>-0.93999999999999773</v>
      </c>
      <c r="I270" s="3">
        <f t="shared" si="42"/>
        <v>-1.284837491284025</v>
      </c>
      <c r="J270" s="3">
        <f t="shared" si="43"/>
        <v>0.96522773261838402</v>
      </c>
      <c r="K270" s="26">
        <f t="shared" si="44"/>
        <v>-0.10761904761904839</v>
      </c>
      <c r="L270" s="26">
        <f t="shared" si="45"/>
        <v>0.92011904761904706</v>
      </c>
      <c r="M270" s="26">
        <f t="shared" si="46"/>
        <v>1.8693036837376455</v>
      </c>
      <c r="N270" s="26">
        <f t="shared" si="47"/>
        <v>-0.15000000000000135</v>
      </c>
      <c r="O270" s="26">
        <f t="shared" si="48"/>
        <v>-0.5239880952380962</v>
      </c>
      <c r="P270" s="26">
        <f t="shared" si="49"/>
        <v>-0.72644429469901195</v>
      </c>
    </row>
    <row r="271" spans="1:16" x14ac:dyDescent="0.25">
      <c r="A271" s="2">
        <v>43865</v>
      </c>
      <c r="B271">
        <v>41.78</v>
      </c>
      <c r="C271">
        <v>42.72</v>
      </c>
      <c r="D271">
        <v>41.68</v>
      </c>
      <c r="E271">
        <v>41.74</v>
      </c>
      <c r="G271">
        <f t="shared" si="40"/>
        <v>0.57999999999999829</v>
      </c>
      <c r="H271">
        <f t="shared" si="41"/>
        <v>-1.0400000000000063</v>
      </c>
      <c r="I271" s="3">
        <f t="shared" si="42"/>
        <v>-1.2804250925446361</v>
      </c>
      <c r="J271" s="3">
        <f t="shared" si="43"/>
        <v>0.91763501679261061</v>
      </c>
      <c r="K271" s="26">
        <f t="shared" si="44"/>
        <v>-0.12476190476190641</v>
      </c>
      <c r="L271" s="26">
        <f t="shared" si="45"/>
        <v>0.90190476190476065</v>
      </c>
      <c r="M271" s="26">
        <f t="shared" si="46"/>
        <v>1.8255238095238093</v>
      </c>
      <c r="N271" s="26">
        <f t="shared" si="47"/>
        <v>-0.14190476190476342</v>
      </c>
      <c r="O271" s="26">
        <f t="shared" si="48"/>
        <v>-0.51821428571428663</v>
      </c>
      <c r="P271" s="26">
        <f t="shared" si="49"/>
        <v>-0.71009523809523833</v>
      </c>
    </row>
    <row r="272" spans="1:16" x14ac:dyDescent="0.25">
      <c r="A272" s="2">
        <v>43864</v>
      </c>
      <c r="B272">
        <v>42.55</v>
      </c>
      <c r="C272">
        <v>43.59</v>
      </c>
      <c r="D272">
        <v>42.49</v>
      </c>
      <c r="E272">
        <v>42.43</v>
      </c>
      <c r="G272">
        <f t="shared" si="40"/>
        <v>0.68999999999999773</v>
      </c>
      <c r="H272">
        <f t="shared" si="41"/>
        <v>-1.0399999999999991</v>
      </c>
      <c r="I272" s="3">
        <f t="shared" si="42"/>
        <v>-1.0948667497433378</v>
      </c>
      <c r="J272" s="3">
        <f t="shared" si="43"/>
        <v>0.92441263956247399</v>
      </c>
      <c r="K272" s="26">
        <f t="shared" si="44"/>
        <v>-7.0476190476191691E-2</v>
      </c>
      <c r="L272" s="26">
        <f t="shared" si="45"/>
        <v>0.9175595238095231</v>
      </c>
      <c r="M272" s="26">
        <f t="shared" si="46"/>
        <v>1.8072847985347984</v>
      </c>
      <c r="N272" s="26">
        <f t="shared" si="47"/>
        <v>-0.15285714285714458</v>
      </c>
      <c r="O272" s="26">
        <f t="shared" si="48"/>
        <v>-0.51372023809523915</v>
      </c>
      <c r="P272" s="26">
        <f t="shared" si="49"/>
        <v>-0.70288232600732659</v>
      </c>
    </row>
    <row r="273" spans="1:16" x14ac:dyDescent="0.25">
      <c r="A273" s="2">
        <v>43861</v>
      </c>
      <c r="B273">
        <v>42.61</v>
      </c>
      <c r="C273">
        <v>43.65</v>
      </c>
      <c r="D273">
        <v>42.44</v>
      </c>
      <c r="E273">
        <v>42.5</v>
      </c>
      <c r="G273">
        <f t="shared" si="40"/>
        <v>0.91499999999999915</v>
      </c>
      <c r="H273">
        <f t="shared" si="41"/>
        <v>-1.4699999999999989</v>
      </c>
      <c r="I273" s="3">
        <f t="shared" si="42"/>
        <v>-0.6968086794306253</v>
      </c>
      <c r="J273" s="3">
        <f t="shared" si="43"/>
        <v>0.69505069154366605</v>
      </c>
      <c r="K273" s="26">
        <f t="shared" si="44"/>
        <v>1.6190476190474756E-2</v>
      </c>
      <c r="L273" s="26">
        <f t="shared" si="45"/>
        <v>0.92952380952380853</v>
      </c>
      <c r="M273" s="26">
        <f t="shared" si="46"/>
        <v>1.7887193712436433</v>
      </c>
      <c r="N273" s="26">
        <f t="shared" si="47"/>
        <v>-0.21000000000000185</v>
      </c>
      <c r="O273" s="26">
        <f t="shared" si="48"/>
        <v>-0.5251190476190486</v>
      </c>
      <c r="P273" s="26">
        <f t="shared" si="49"/>
        <v>-0.7058853444290345</v>
      </c>
    </row>
    <row r="274" spans="1:16" x14ac:dyDescent="0.25">
      <c r="A274" s="2">
        <v>43860</v>
      </c>
      <c r="B274">
        <v>42.61</v>
      </c>
      <c r="C274">
        <v>44.08</v>
      </c>
      <c r="D274">
        <v>42.43</v>
      </c>
      <c r="E274">
        <v>42.49</v>
      </c>
      <c r="G274">
        <f t="shared" si="40"/>
        <v>0.68499999999999517</v>
      </c>
      <c r="H274">
        <f t="shared" si="41"/>
        <v>-1.2100000000000009</v>
      </c>
      <c r="I274" s="3">
        <f t="shared" si="42"/>
        <v>-1.1170257137026536</v>
      </c>
      <c r="J274" s="3">
        <f t="shared" si="43"/>
        <v>0.84180806470939595</v>
      </c>
      <c r="K274" s="26">
        <f t="shared" si="44"/>
        <v>7.0476190476189249E-2</v>
      </c>
      <c r="L274" s="26">
        <f t="shared" si="45"/>
        <v>0.96958333333333302</v>
      </c>
      <c r="M274" s="26">
        <f t="shared" si="46"/>
        <v>1.8155742296918769</v>
      </c>
      <c r="N274" s="26">
        <f t="shared" si="47"/>
        <v>-0.28238095238095373</v>
      </c>
      <c r="O274" s="26">
        <f t="shared" si="48"/>
        <v>-0.55407738095238124</v>
      </c>
      <c r="P274" s="26">
        <f t="shared" si="49"/>
        <v>-0.73035014005602295</v>
      </c>
    </row>
    <row r="275" spans="1:16" x14ac:dyDescent="0.25">
      <c r="A275" s="2">
        <v>43859</v>
      </c>
      <c r="B275">
        <v>42.43</v>
      </c>
      <c r="C275">
        <v>43.64</v>
      </c>
      <c r="D275">
        <v>42.35</v>
      </c>
      <c r="E275">
        <v>42.39</v>
      </c>
      <c r="G275">
        <f t="shared" si="40"/>
        <v>0.78000000000000114</v>
      </c>
      <c r="H275">
        <f t="shared" si="41"/>
        <v>-1.1000000000000014</v>
      </c>
      <c r="I275" s="3">
        <f t="shared" si="42"/>
        <v>-0.95536749275337185</v>
      </c>
      <c r="J275" s="3">
        <f t="shared" si="43"/>
        <v>0.90795762286077342</v>
      </c>
      <c r="K275" s="26">
        <f t="shared" si="44"/>
        <v>0.14190476190476042</v>
      </c>
      <c r="L275" s="26">
        <f t="shared" si="45"/>
        <v>0.99583333333333268</v>
      </c>
      <c r="M275" s="26">
        <f t="shared" si="46"/>
        <v>1.8424705327675621</v>
      </c>
      <c r="N275" s="26">
        <f t="shared" si="47"/>
        <v>-0.32476190476190536</v>
      </c>
      <c r="O275" s="26">
        <f t="shared" si="48"/>
        <v>-0.57119047619047614</v>
      </c>
      <c r="P275" s="26">
        <f t="shared" si="49"/>
        <v>-0.74316360207449306</v>
      </c>
    </row>
    <row r="276" spans="1:16" x14ac:dyDescent="0.25">
      <c r="A276" s="2">
        <v>43858</v>
      </c>
      <c r="B276">
        <v>42.98</v>
      </c>
      <c r="C276">
        <v>44.08</v>
      </c>
      <c r="D276">
        <v>42.75</v>
      </c>
      <c r="E276">
        <v>42.81</v>
      </c>
      <c r="G276">
        <f t="shared" si="40"/>
        <v>0.73499999999999943</v>
      </c>
      <c r="H276">
        <f t="shared" si="41"/>
        <v>-1.1499999999999986</v>
      </c>
      <c r="I276" s="3">
        <f t="shared" si="42"/>
        <v>-1.0443977454224895</v>
      </c>
      <c r="J276" s="3">
        <f t="shared" si="43"/>
        <v>0.88745146614073045</v>
      </c>
      <c r="K276" s="26">
        <f t="shared" si="44"/>
        <v>0.26857142857142691</v>
      </c>
      <c r="L276" s="26">
        <f t="shared" si="45"/>
        <v>1.0583333333333329</v>
      </c>
      <c r="M276" s="26">
        <f t="shared" si="46"/>
        <v>1.8864190476190468</v>
      </c>
      <c r="N276" s="26">
        <f t="shared" si="47"/>
        <v>-0.38428571428571456</v>
      </c>
      <c r="O276" s="26">
        <f t="shared" si="48"/>
        <v>-0.61613095238095239</v>
      </c>
      <c r="P276" s="26">
        <f t="shared" si="49"/>
        <v>-0.77449523809523835</v>
      </c>
    </row>
    <row r="277" spans="1:16" x14ac:dyDescent="0.25">
      <c r="A277" s="2">
        <v>43857</v>
      </c>
      <c r="B277">
        <v>42.96</v>
      </c>
      <c r="C277">
        <v>44.11</v>
      </c>
      <c r="D277">
        <v>42.8</v>
      </c>
      <c r="E277">
        <v>42.85</v>
      </c>
      <c r="G277">
        <f t="shared" si="40"/>
        <v>0.79500000000000171</v>
      </c>
      <c r="H277">
        <f t="shared" si="41"/>
        <v>-1.0700000000000003</v>
      </c>
      <c r="I277" s="3">
        <f t="shared" si="42"/>
        <v>-0.94489158992189526</v>
      </c>
      <c r="J277" s="3">
        <f t="shared" si="43"/>
        <v>0.93782283067714067</v>
      </c>
      <c r="K277" s="26">
        <f t="shared" si="44"/>
        <v>0.42047619047618912</v>
      </c>
      <c r="L277" s="26">
        <f t="shared" si="45"/>
        <v>1.126904761904761</v>
      </c>
      <c r="M277" s="26">
        <f t="shared" si="46"/>
        <v>1.9390043290043291</v>
      </c>
      <c r="N277" s="26">
        <f t="shared" si="47"/>
        <v>-0.44595238095238132</v>
      </c>
      <c r="O277" s="26">
        <f t="shared" si="48"/>
        <v>-0.65363095238095248</v>
      </c>
      <c r="P277" s="26">
        <f t="shared" si="49"/>
        <v>-0.80505772005771981</v>
      </c>
    </row>
    <row r="278" spans="1:16" x14ac:dyDescent="0.25">
      <c r="A278" s="2">
        <v>43854</v>
      </c>
      <c r="B278">
        <v>42.92</v>
      </c>
      <c r="C278">
        <v>43.99</v>
      </c>
      <c r="D278">
        <v>42.66</v>
      </c>
      <c r="E278">
        <v>42.8</v>
      </c>
      <c r="G278">
        <f t="shared" si="40"/>
        <v>0.60999999999999943</v>
      </c>
      <c r="H278">
        <f t="shared" si="41"/>
        <v>-1.1000000000000014</v>
      </c>
      <c r="I278" s="3">
        <f t="shared" si="42"/>
        <v>-1.287297342017409</v>
      </c>
      <c r="J278" s="3">
        <f t="shared" si="43"/>
        <v>0.92885280914158341</v>
      </c>
      <c r="K278" s="26">
        <f t="shared" si="44"/>
        <v>0.5338095238095224</v>
      </c>
      <c r="L278" s="26">
        <f t="shared" si="45"/>
        <v>1.1823214285714274</v>
      </c>
      <c r="M278" s="26">
        <f t="shared" si="46"/>
        <v>1.9802040816326529</v>
      </c>
      <c r="N278" s="26">
        <f t="shared" si="47"/>
        <v>-0.52500000000000024</v>
      </c>
      <c r="O278" s="26">
        <f t="shared" si="48"/>
        <v>-0.69883928571428611</v>
      </c>
      <c r="P278" s="26">
        <f t="shared" si="49"/>
        <v>-0.8392857142857143</v>
      </c>
    </row>
    <row r="279" spans="1:16" x14ac:dyDescent="0.25">
      <c r="A279" s="2">
        <v>43853</v>
      </c>
      <c r="B279">
        <v>42.98</v>
      </c>
      <c r="C279">
        <v>44.08</v>
      </c>
      <c r="D279">
        <v>42.92</v>
      </c>
      <c r="E279">
        <v>42.86</v>
      </c>
      <c r="G279">
        <f t="shared" si="40"/>
        <v>0.67000000000000171</v>
      </c>
      <c r="H279">
        <f t="shared" si="41"/>
        <v>-1.0200000000000031</v>
      </c>
      <c r="I279" s="3">
        <f t="shared" si="42"/>
        <v>-1.1930277720450857</v>
      </c>
      <c r="J279" s="3">
        <f t="shared" si="43"/>
        <v>0.97990854457726784</v>
      </c>
      <c r="K279" s="26">
        <f t="shared" si="44"/>
        <v>0.67142857142857015</v>
      </c>
      <c r="L279" s="26">
        <f t="shared" si="45"/>
        <v>1.2359523809523807</v>
      </c>
      <c r="M279" s="26">
        <f t="shared" si="46"/>
        <v>2.0337653411880217</v>
      </c>
      <c r="N279" s="26">
        <f t="shared" si="47"/>
        <v>-0.582380952380952</v>
      </c>
      <c r="O279" s="26">
        <f t="shared" si="48"/>
        <v>-0.7226785714285715</v>
      </c>
      <c r="P279" s="26">
        <f t="shared" si="49"/>
        <v>-0.86204712812960205</v>
      </c>
    </row>
    <row r="280" spans="1:16" x14ac:dyDescent="0.25">
      <c r="A280" s="2">
        <v>43852</v>
      </c>
      <c r="B280">
        <v>43.61</v>
      </c>
      <c r="C280">
        <v>44.63</v>
      </c>
      <c r="D280">
        <v>43.45</v>
      </c>
      <c r="E280">
        <v>43.43</v>
      </c>
      <c r="G280">
        <f t="shared" si="40"/>
        <v>0.43500000000000227</v>
      </c>
      <c r="H280">
        <f t="shared" si="41"/>
        <v>-0.92999999999999972</v>
      </c>
      <c r="I280" s="3">
        <f t="shared" si="42"/>
        <v>-1.6328903323262314</v>
      </c>
      <c r="J280" s="3">
        <f t="shared" si="43"/>
        <v>1.0373094000843548</v>
      </c>
      <c r="K280" s="26">
        <f t="shared" si="44"/>
        <v>0.75142857142857</v>
      </c>
      <c r="L280" s="26">
        <f t="shared" si="45"/>
        <v>1.2800595238095227</v>
      </c>
      <c r="M280" s="26">
        <f t="shared" si="46"/>
        <v>2.0666666666666664</v>
      </c>
      <c r="N280" s="26">
        <f t="shared" si="47"/>
        <v>-0.6309523809523806</v>
      </c>
      <c r="O280" s="26">
        <f t="shared" si="48"/>
        <v>-0.74514880952380935</v>
      </c>
      <c r="P280" s="26">
        <f t="shared" si="49"/>
        <v>-0.87861607142857079</v>
      </c>
    </row>
    <row r="281" spans="1:16" x14ac:dyDescent="0.25">
      <c r="A281" s="2">
        <v>43851</v>
      </c>
      <c r="B281">
        <v>44.47</v>
      </c>
      <c r="C281">
        <v>45.4</v>
      </c>
      <c r="D281">
        <v>44.5</v>
      </c>
      <c r="E281">
        <v>44.55</v>
      </c>
      <c r="G281">
        <f t="shared" si="40"/>
        <v>0.39499999999999602</v>
      </c>
      <c r="H281">
        <f t="shared" si="41"/>
        <v>0.31000000000000227</v>
      </c>
      <c r="I281" s="3">
        <f t="shared" si="42"/>
        <v>-1.7324879989597533</v>
      </c>
      <c r="J281" s="3">
        <f t="shared" si="43"/>
        <v>1.7242072234747114</v>
      </c>
      <c r="K281" s="26">
        <f t="shared" si="44"/>
        <v>0.86999999999999833</v>
      </c>
      <c r="L281" s="26">
        <f t="shared" si="45"/>
        <v>1.3522619047619038</v>
      </c>
      <c r="M281" s="26">
        <f t="shared" si="46"/>
        <v>2.1091679197994981</v>
      </c>
      <c r="N281" s="26">
        <f t="shared" si="47"/>
        <v>-0.68880952380952354</v>
      </c>
      <c r="O281" s="26">
        <f t="shared" si="48"/>
        <v>-0.77017857142857182</v>
      </c>
      <c r="P281" s="26">
        <f t="shared" si="49"/>
        <v>-0.8868195488721804</v>
      </c>
    </row>
    <row r="282" spans="1:16" x14ac:dyDescent="0.25">
      <c r="A282" s="2">
        <v>43850</v>
      </c>
      <c r="B282">
        <v>45.68</v>
      </c>
      <c r="C282">
        <v>45.37</v>
      </c>
      <c r="D282">
        <v>45.13</v>
      </c>
      <c r="E282">
        <v>45.17</v>
      </c>
      <c r="G282">
        <f t="shared" si="40"/>
        <v>0.48499999999999943</v>
      </c>
      <c r="H282">
        <f t="shared" si="41"/>
        <v>-0.60999999999999943</v>
      </c>
      <c r="I282" s="3">
        <f t="shared" si="42"/>
        <v>-1.5969172096481801</v>
      </c>
      <c r="J282" s="3">
        <f t="shared" si="43"/>
        <v>1.2474733136938467</v>
      </c>
      <c r="K282" s="26">
        <f t="shared" si="44"/>
        <v>0.89999999999999902</v>
      </c>
      <c r="L282" s="26">
        <f t="shared" si="45"/>
        <v>1.3785714285714281</v>
      </c>
      <c r="M282" s="26">
        <f t="shared" si="46"/>
        <v>2.0920364741641335</v>
      </c>
      <c r="N282" s="26">
        <f t="shared" si="47"/>
        <v>-0.7133333333333326</v>
      </c>
      <c r="O282" s="26">
        <f t="shared" si="48"/>
        <v>-0.7995833333333332</v>
      </c>
      <c r="P282" s="26">
        <f t="shared" si="49"/>
        <v>-0.90091691995947254</v>
      </c>
    </row>
    <row r="283" spans="1:16" x14ac:dyDescent="0.25">
      <c r="A283" s="2">
        <v>43847</v>
      </c>
      <c r="B283">
        <v>45.2</v>
      </c>
      <c r="C283">
        <v>45.81</v>
      </c>
      <c r="D283">
        <v>45.02</v>
      </c>
      <c r="E283">
        <v>45.05</v>
      </c>
      <c r="G283">
        <f t="shared" si="40"/>
        <v>0.82999999999999829</v>
      </c>
      <c r="H283">
        <f t="shared" si="41"/>
        <v>-1.5999999999999943</v>
      </c>
      <c r="I283" s="3">
        <f t="shared" si="42"/>
        <v>-0.97994926242945846</v>
      </c>
      <c r="J283" s="3">
        <f t="shared" si="43"/>
        <v>0.7144531953375437</v>
      </c>
      <c r="K283" s="26">
        <f t="shared" si="44"/>
        <v>1.0299999999999989</v>
      </c>
      <c r="L283" s="26">
        <f t="shared" si="45"/>
        <v>1.456666666666667</v>
      </c>
      <c r="M283" s="26">
        <f t="shared" si="46"/>
        <v>2.1496620583717356</v>
      </c>
      <c r="N283" s="26">
        <f t="shared" si="47"/>
        <v>-0.64833333333333198</v>
      </c>
      <c r="O283" s="26">
        <f t="shared" si="48"/>
        <v>-0.74339285714285686</v>
      </c>
      <c r="P283" s="26">
        <f t="shared" si="49"/>
        <v>-0.84484639016897012</v>
      </c>
    </row>
    <row r="284" spans="1:16" x14ac:dyDescent="0.25">
      <c r="A284" s="2">
        <v>43846</v>
      </c>
      <c r="B284">
        <v>44.88</v>
      </c>
      <c r="C284">
        <v>46.48</v>
      </c>
      <c r="D284">
        <v>44.85</v>
      </c>
      <c r="E284">
        <v>44.9</v>
      </c>
      <c r="G284">
        <f t="shared" si="40"/>
        <v>0.62000000000000455</v>
      </c>
      <c r="H284">
        <f t="shared" si="41"/>
        <v>-0.87999999999999545</v>
      </c>
      <c r="I284" s="3">
        <f t="shared" si="42"/>
        <v>-1.379396430630877</v>
      </c>
      <c r="J284" s="3">
        <f t="shared" si="43"/>
        <v>1.1162869974992002</v>
      </c>
      <c r="K284" s="26">
        <f t="shared" si="44"/>
        <v>1.1233333333333322</v>
      </c>
      <c r="L284" s="26">
        <f t="shared" si="45"/>
        <v>1.555654761904762</v>
      </c>
      <c r="M284" s="26">
        <f t="shared" si="46"/>
        <v>2.2183178053830219</v>
      </c>
      <c r="N284" s="26">
        <f t="shared" si="47"/>
        <v>-0.60595238095238046</v>
      </c>
      <c r="O284" s="26">
        <f t="shared" si="48"/>
        <v>-0.73568452380952343</v>
      </c>
      <c r="P284" s="26">
        <f t="shared" si="49"/>
        <v>-0.82710921325051678</v>
      </c>
    </row>
    <row r="285" spans="1:16" x14ac:dyDescent="0.25">
      <c r="A285" s="2">
        <v>43845</v>
      </c>
      <c r="B285">
        <v>44.84</v>
      </c>
      <c r="C285">
        <v>45.72</v>
      </c>
      <c r="D285">
        <v>44.66</v>
      </c>
      <c r="E285">
        <v>44.69</v>
      </c>
      <c r="G285">
        <f t="shared" si="40"/>
        <v>0.73499999999999943</v>
      </c>
      <c r="H285">
        <f t="shared" si="41"/>
        <v>-1.470000000000006</v>
      </c>
      <c r="I285" s="3">
        <f t="shared" si="42"/>
        <v>-1.1825505906454059</v>
      </c>
      <c r="J285" s="3">
        <f t="shared" si="43"/>
        <v>0.80180915033366462</v>
      </c>
      <c r="K285" s="26">
        <f t="shared" si="44"/>
        <v>1.4428571428571408</v>
      </c>
      <c r="L285" s="26">
        <f t="shared" si="45"/>
        <v>1.8027976190476185</v>
      </c>
      <c r="M285" s="26">
        <f t="shared" si="46"/>
        <v>2.4191575091575084</v>
      </c>
      <c r="N285" s="26">
        <f t="shared" si="47"/>
        <v>-0.58809523809523756</v>
      </c>
      <c r="O285" s="26">
        <f t="shared" si="48"/>
        <v>-0.74937500000000012</v>
      </c>
      <c r="P285" s="26">
        <f t="shared" si="49"/>
        <v>-0.8278571428571424</v>
      </c>
    </row>
    <row r="286" spans="1:16" x14ac:dyDescent="0.25">
      <c r="A286" s="2">
        <v>43844</v>
      </c>
      <c r="B286">
        <v>44.41</v>
      </c>
      <c r="C286">
        <v>45.88</v>
      </c>
      <c r="D286">
        <v>44.41</v>
      </c>
      <c r="E286">
        <v>44.46</v>
      </c>
      <c r="G286">
        <f t="shared" si="40"/>
        <v>0.69999999999999574</v>
      </c>
      <c r="H286">
        <f t="shared" si="41"/>
        <v>-1.4400000000000048</v>
      </c>
      <c r="I286" s="3">
        <f t="shared" si="42"/>
        <v>-1.2609860240180109</v>
      </c>
      <c r="J286" s="3">
        <f t="shared" si="43"/>
        <v>0.82428109675215011</v>
      </c>
      <c r="K286" s="26">
        <f t="shared" si="44"/>
        <v>1.6809523809523794</v>
      </c>
      <c r="L286" s="26">
        <f t="shared" si="45"/>
        <v>1.9762500000000003</v>
      </c>
      <c r="M286" s="26">
        <f t="shared" si="46"/>
        <v>2.5683650793650794</v>
      </c>
      <c r="N286" s="26">
        <f t="shared" si="47"/>
        <v>-0.55666666666666609</v>
      </c>
      <c r="O286" s="26">
        <f t="shared" si="48"/>
        <v>-0.73413690476190474</v>
      </c>
      <c r="P286" s="26">
        <f t="shared" si="49"/>
        <v>-0.80724603174603116</v>
      </c>
    </row>
    <row r="287" spans="1:16" x14ac:dyDescent="0.25">
      <c r="A287" s="2">
        <v>43843</v>
      </c>
      <c r="B287">
        <v>44.41</v>
      </c>
      <c r="C287">
        <v>45.85</v>
      </c>
      <c r="D287">
        <v>44.43</v>
      </c>
      <c r="E287">
        <v>44.47</v>
      </c>
      <c r="G287">
        <f t="shared" si="40"/>
        <v>0.72500000000000142</v>
      </c>
      <c r="H287">
        <f t="shared" si="41"/>
        <v>-1.3300000000000054</v>
      </c>
      <c r="I287" s="3">
        <f t="shared" si="42"/>
        <v>-1.2290437753134009</v>
      </c>
      <c r="J287" s="3">
        <f t="shared" si="43"/>
        <v>0.8911270233294234</v>
      </c>
      <c r="K287" s="26">
        <f t="shared" si="44"/>
        <v>1.8961904761904749</v>
      </c>
      <c r="L287" s="26">
        <f t="shared" si="45"/>
        <v>2.136309523809524</v>
      </c>
      <c r="M287" s="26">
        <f t="shared" si="46"/>
        <v>2.7065703584804708</v>
      </c>
      <c r="N287" s="26">
        <f t="shared" si="47"/>
        <v>-0.4990476190476183</v>
      </c>
      <c r="O287" s="26">
        <f t="shared" si="48"/>
        <v>-0.6933333333333338</v>
      </c>
      <c r="P287" s="26">
        <f t="shared" si="49"/>
        <v>-0.76620652755484198</v>
      </c>
    </row>
    <row r="288" spans="1:16" x14ac:dyDescent="0.25">
      <c r="A288" s="2">
        <v>43840</v>
      </c>
      <c r="B288">
        <v>44.44</v>
      </c>
      <c r="C288">
        <v>45.77</v>
      </c>
      <c r="D288">
        <v>44.38</v>
      </c>
      <c r="E288">
        <v>44.43</v>
      </c>
      <c r="G288">
        <f t="shared" si="40"/>
        <v>0.67000000000000171</v>
      </c>
      <c r="H288">
        <f t="shared" si="41"/>
        <v>-1.3800000000000026</v>
      </c>
      <c r="I288" s="3">
        <f t="shared" si="42"/>
        <v>-1.3468815198994886</v>
      </c>
      <c r="J288" s="3">
        <f t="shared" si="43"/>
        <v>0.87097956782059827</v>
      </c>
      <c r="K288" s="26">
        <f t="shared" si="44"/>
        <v>1.8814285714285706</v>
      </c>
      <c r="L288" s="26">
        <f t="shared" si="45"/>
        <v>2.19625</v>
      </c>
      <c r="M288" s="26">
        <f t="shared" si="46"/>
        <v>2.7190422077922074</v>
      </c>
      <c r="N288" s="26">
        <f t="shared" si="47"/>
        <v>-0.50357142857142811</v>
      </c>
      <c r="O288" s="26">
        <f t="shared" si="48"/>
        <v>-0.71395833333333392</v>
      </c>
      <c r="P288" s="26">
        <f t="shared" si="49"/>
        <v>-0.7717667748917747</v>
      </c>
    </row>
    <row r="289" spans="1:16" x14ac:dyDescent="0.25">
      <c r="A289" s="2">
        <v>43839</v>
      </c>
      <c r="B289">
        <v>44.37</v>
      </c>
      <c r="C289">
        <v>45.75</v>
      </c>
      <c r="D289">
        <v>44.39</v>
      </c>
      <c r="E289">
        <v>44.33</v>
      </c>
      <c r="G289">
        <f t="shared" si="40"/>
        <v>0.79999999999999716</v>
      </c>
      <c r="H289">
        <f t="shared" si="41"/>
        <v>-1.6799999999999997</v>
      </c>
      <c r="I289" s="3">
        <f t="shared" si="42"/>
        <v>-1.1189751607250102</v>
      </c>
      <c r="J289" s="3">
        <f t="shared" si="43"/>
        <v>0.71328034785328842</v>
      </c>
      <c r="K289" s="26">
        <f t="shared" si="44"/>
        <v>1.7428571428571416</v>
      </c>
      <c r="L289" s="26">
        <f t="shared" si="45"/>
        <v>2.1698809523809532</v>
      </c>
      <c r="M289" s="26">
        <f t="shared" si="46"/>
        <v>2.6415927750410511</v>
      </c>
      <c r="N289" s="26">
        <f t="shared" si="47"/>
        <v>-0.51857142857142757</v>
      </c>
      <c r="O289" s="26">
        <f t="shared" si="48"/>
        <v>-0.73232142857142879</v>
      </c>
      <c r="P289" s="26">
        <f t="shared" si="49"/>
        <v>-0.77224137931034442</v>
      </c>
    </row>
    <row r="290" spans="1:16" x14ac:dyDescent="0.25">
      <c r="A290" s="2">
        <v>43838</v>
      </c>
      <c r="B290">
        <v>44.35</v>
      </c>
      <c r="C290">
        <v>46.03</v>
      </c>
      <c r="D290">
        <v>44.39</v>
      </c>
      <c r="E290">
        <v>44.35</v>
      </c>
      <c r="G290">
        <f t="shared" si="40"/>
        <v>0.78999999999999204</v>
      </c>
      <c r="H290">
        <f t="shared" si="41"/>
        <v>-1.6600000000000037</v>
      </c>
      <c r="I290" s="3">
        <f t="shared" si="42"/>
        <v>-1.1497634468897941</v>
      </c>
      <c r="J290" s="3">
        <f t="shared" si="43"/>
        <v>0.72926184512885528</v>
      </c>
      <c r="K290" s="26">
        <f t="shared" si="44"/>
        <v>1.5942857142857132</v>
      </c>
      <c r="L290" s="26">
        <f t="shared" si="45"/>
        <v>2.1276785714285724</v>
      </c>
      <c r="M290" s="26">
        <f t="shared" si="46"/>
        <v>2.5601661129568098</v>
      </c>
      <c r="N290" s="26">
        <f t="shared" si="47"/>
        <v>-0.54476190476190323</v>
      </c>
      <c r="O290" s="26">
        <f t="shared" si="48"/>
        <v>-0.76377976190476171</v>
      </c>
      <c r="P290" s="26">
        <f t="shared" si="49"/>
        <v>-0.78413067552602356</v>
      </c>
    </row>
    <row r="291" spans="1:16" x14ac:dyDescent="0.25">
      <c r="A291" s="2">
        <v>43837</v>
      </c>
      <c r="B291">
        <v>43.91</v>
      </c>
      <c r="C291">
        <v>45.57</v>
      </c>
      <c r="D291">
        <v>43.95</v>
      </c>
      <c r="E291">
        <v>43.99</v>
      </c>
      <c r="G291">
        <f t="shared" si="40"/>
        <v>0.99499999999999744</v>
      </c>
      <c r="H291">
        <f t="shared" si="41"/>
        <v>-2.0500000000000043</v>
      </c>
      <c r="I291" s="3">
        <f t="shared" si="42"/>
        <v>-0.77393232675818135</v>
      </c>
      <c r="J291" s="3">
        <f t="shared" si="43"/>
        <v>0.52123975492907404</v>
      </c>
      <c r="K291" s="26">
        <f t="shared" si="44"/>
        <v>1.4314285714285706</v>
      </c>
      <c r="L291" s="26">
        <f t="shared" si="45"/>
        <v>2.0622023809523817</v>
      </c>
      <c r="M291" s="26">
        <f t="shared" si="46"/>
        <v>2.4653389355742297</v>
      </c>
      <c r="N291" s="26">
        <f t="shared" si="47"/>
        <v>-0.4409523809523791</v>
      </c>
      <c r="O291" s="26">
        <f t="shared" si="48"/>
        <v>-0.69693452380952314</v>
      </c>
      <c r="P291" s="26">
        <f t="shared" si="49"/>
        <v>-0.71885994397759034</v>
      </c>
    </row>
    <row r="292" spans="1:16" x14ac:dyDescent="0.25">
      <c r="A292" s="2">
        <v>43836</v>
      </c>
      <c r="B292">
        <v>43.87</v>
      </c>
      <c r="C292">
        <v>45.92</v>
      </c>
      <c r="D292">
        <v>43.9</v>
      </c>
      <c r="E292">
        <v>43.95</v>
      </c>
      <c r="G292">
        <f t="shared" si="40"/>
        <v>0.84499999999999886</v>
      </c>
      <c r="H292">
        <f t="shared" si="41"/>
        <v>-1.6899999999999977</v>
      </c>
      <c r="I292" s="3">
        <f t="shared" si="42"/>
        <v>-1.0635743256732406</v>
      </c>
      <c r="J292" s="3">
        <f t="shared" si="43"/>
        <v>0.72057146147301898</v>
      </c>
      <c r="K292" s="26">
        <f t="shared" si="44"/>
        <v>1.3633333333333331</v>
      </c>
      <c r="L292" s="26">
        <f t="shared" si="45"/>
        <v>2.0845238095238106</v>
      </c>
      <c r="M292" s="26">
        <f t="shared" si="46"/>
        <v>2.4378571428571432</v>
      </c>
      <c r="N292" s="26">
        <f t="shared" si="47"/>
        <v>-0.47119047619047427</v>
      </c>
      <c r="O292" s="26">
        <f t="shared" si="48"/>
        <v>-0.70416666666666539</v>
      </c>
      <c r="P292" s="26">
        <f t="shared" si="49"/>
        <v>-0.71023809523809389</v>
      </c>
    </row>
    <row r="293" spans="1:16" x14ac:dyDescent="0.25">
      <c r="A293" s="2">
        <v>43833</v>
      </c>
      <c r="B293">
        <v>43.75</v>
      </c>
      <c r="C293">
        <v>45.44</v>
      </c>
      <c r="D293">
        <v>43.75</v>
      </c>
      <c r="E293">
        <v>43.87</v>
      </c>
      <c r="G293">
        <f t="shared" si="40"/>
        <v>0.75999999999999801</v>
      </c>
      <c r="H293">
        <f t="shared" si="41"/>
        <v>-1.7000000000000028</v>
      </c>
      <c r="I293" s="3">
        <f t="shared" si="42"/>
        <v>-1.2354460815061794</v>
      </c>
      <c r="J293" s="3">
        <f t="shared" si="43"/>
        <v>0.72038828723494097</v>
      </c>
      <c r="K293" s="26">
        <f t="shared" si="44"/>
        <v>1.1890476190476191</v>
      </c>
      <c r="L293" s="26">
        <f t="shared" si="45"/>
        <v>2.0494642857142864</v>
      </c>
      <c r="M293" s="26">
        <f t="shared" si="46"/>
        <v>2.3528571428571432</v>
      </c>
      <c r="N293" s="26">
        <f t="shared" si="47"/>
        <v>-0.46119047619047382</v>
      </c>
      <c r="O293" s="26">
        <f t="shared" si="48"/>
        <v>-0.69943452380952242</v>
      </c>
      <c r="P293" s="26">
        <f t="shared" si="49"/>
        <v>-0.6891881812966133</v>
      </c>
    </row>
    <row r="294" spans="1:16" x14ac:dyDescent="0.25">
      <c r="A294" s="2">
        <v>43832</v>
      </c>
      <c r="B294">
        <v>43.75</v>
      </c>
      <c r="C294">
        <v>45.45</v>
      </c>
      <c r="D294">
        <v>43.84</v>
      </c>
      <c r="E294">
        <v>43.78</v>
      </c>
      <c r="G294">
        <f t="shared" si="40"/>
        <v>0.57500000000000284</v>
      </c>
      <c r="H294">
        <f t="shared" si="41"/>
        <v>-1.269999999999996</v>
      </c>
      <c r="I294" s="3">
        <f t="shared" si="42"/>
        <v>-1.6018979917037037</v>
      </c>
      <c r="J294" s="3">
        <f t="shared" si="43"/>
        <v>0.95895074468546915</v>
      </c>
      <c r="K294" s="26">
        <f t="shared" si="44"/>
        <v>0.89761904761904776</v>
      </c>
      <c r="L294" s="26">
        <f t="shared" si="45"/>
        <v>1.9547619047619056</v>
      </c>
      <c r="M294" s="26">
        <f t="shared" si="46"/>
        <v>2.2264692218350763</v>
      </c>
      <c r="N294" s="26">
        <f t="shared" si="47"/>
        <v>-0.36309523809523536</v>
      </c>
      <c r="O294" s="26">
        <f t="shared" si="48"/>
        <v>-0.63833333333333198</v>
      </c>
      <c r="P294" s="26">
        <f t="shared" si="49"/>
        <v>-0.62288037166085763</v>
      </c>
    </row>
    <row r="295" spans="1:16" x14ac:dyDescent="0.25">
      <c r="A295" s="2">
        <v>43830</v>
      </c>
      <c r="B295">
        <v>43.7</v>
      </c>
      <c r="C295">
        <v>44.97</v>
      </c>
      <c r="D295">
        <v>43.76</v>
      </c>
      <c r="E295">
        <v>43.82</v>
      </c>
      <c r="G295">
        <f t="shared" si="40"/>
        <v>0.59000000000000341</v>
      </c>
      <c r="H295">
        <f t="shared" si="41"/>
        <v>-1.0600000000000023</v>
      </c>
      <c r="I295" s="3">
        <f t="shared" si="42"/>
        <v>-1.6018005858350164</v>
      </c>
      <c r="J295" s="3">
        <f t="shared" si="43"/>
        <v>1.0818874256763611</v>
      </c>
      <c r="K295" s="26">
        <f t="shared" si="44"/>
        <v>0.81761904761904747</v>
      </c>
      <c r="L295" s="26">
        <f t="shared" si="45"/>
        <v>1.9735714285714301</v>
      </c>
      <c r="M295" s="26">
        <f t="shared" si="46"/>
        <v>2.1975308641975313</v>
      </c>
      <c r="N295" s="26">
        <f t="shared" si="47"/>
        <v>-0.27976190476190277</v>
      </c>
      <c r="O295" s="26">
        <f t="shared" si="48"/>
        <v>-0.58535714285714191</v>
      </c>
      <c r="P295" s="26">
        <f t="shared" si="49"/>
        <v>-0.56410934744267938</v>
      </c>
    </row>
    <row r="296" spans="1:16" x14ac:dyDescent="0.25">
      <c r="A296" s="2">
        <v>43829</v>
      </c>
      <c r="B296">
        <v>43.89</v>
      </c>
      <c r="C296">
        <v>44.95</v>
      </c>
      <c r="D296">
        <v>43.83</v>
      </c>
      <c r="E296">
        <v>43.87</v>
      </c>
      <c r="G296">
        <f t="shared" si="40"/>
        <v>0.35000000000000142</v>
      </c>
      <c r="H296">
        <f t="shared" si="41"/>
        <v>-0.67999999999999972</v>
      </c>
      <c r="I296" s="3">
        <f t="shared" si="42"/>
        <v>-2.0935404926530992</v>
      </c>
      <c r="J296" s="3">
        <f t="shared" si="43"/>
        <v>1.2998467013628687</v>
      </c>
      <c r="K296" s="26">
        <f t="shared" si="44"/>
        <v>0.69904761904761914</v>
      </c>
      <c r="L296" s="26">
        <f t="shared" si="45"/>
        <v>1.9760714285714296</v>
      </c>
      <c r="M296" s="26">
        <f t="shared" si="46"/>
        <v>2.146964285714287</v>
      </c>
      <c r="N296" s="26">
        <f t="shared" si="47"/>
        <v>-0.22857142857142709</v>
      </c>
      <c r="O296" s="26">
        <f t="shared" si="48"/>
        <v>-0.56124999999999958</v>
      </c>
      <c r="P296" s="26">
        <f t="shared" si="49"/>
        <v>-0.52823214285714193</v>
      </c>
    </row>
    <row r="297" spans="1:16" x14ac:dyDescent="0.25">
      <c r="A297" s="2">
        <v>43826</v>
      </c>
      <c r="B297">
        <v>43.88</v>
      </c>
      <c r="C297">
        <v>44.56</v>
      </c>
      <c r="D297">
        <v>43.87</v>
      </c>
      <c r="E297">
        <v>43.91</v>
      </c>
      <c r="G297">
        <f t="shared" si="40"/>
        <v>0.32999999999999829</v>
      </c>
      <c r="H297">
        <f t="shared" si="41"/>
        <v>-0.57999999999999829</v>
      </c>
      <c r="I297" s="3">
        <f t="shared" si="42"/>
        <v>-2.1913055535769979</v>
      </c>
      <c r="J297" s="3">
        <f t="shared" si="43"/>
        <v>1.3720262699034091</v>
      </c>
      <c r="K297" s="26">
        <f t="shared" si="44"/>
        <v>0.50142857142857267</v>
      </c>
      <c r="L297" s="26">
        <f t="shared" si="45"/>
        <v>1.9274404761904782</v>
      </c>
      <c r="M297" s="26">
        <f t="shared" si="46"/>
        <v>2.0479083785412922</v>
      </c>
      <c r="N297" s="26">
        <f t="shared" si="47"/>
        <v>-0.20833333333333237</v>
      </c>
      <c r="O297" s="26">
        <f t="shared" si="48"/>
        <v>-0.53550595238095222</v>
      </c>
      <c r="P297" s="26">
        <f t="shared" si="49"/>
        <v>-0.49393610608800431</v>
      </c>
    </row>
    <row r="298" spans="1:16" x14ac:dyDescent="0.25">
      <c r="A298" s="2">
        <v>43823</v>
      </c>
      <c r="B298">
        <v>43.89</v>
      </c>
      <c r="C298">
        <v>44.47</v>
      </c>
      <c r="D298">
        <v>43.85</v>
      </c>
      <c r="E298">
        <v>43.88</v>
      </c>
      <c r="G298">
        <f t="shared" si="40"/>
        <v>0.32000000000000028</v>
      </c>
      <c r="H298">
        <f t="shared" si="41"/>
        <v>-0.71999999999999886</v>
      </c>
      <c r="I298" s="3">
        <f t="shared" si="42"/>
        <v>-2.2782722603586016</v>
      </c>
      <c r="J298" s="3">
        <f t="shared" si="43"/>
        <v>1.3156904141374877</v>
      </c>
      <c r="K298" s="26">
        <f t="shared" si="44"/>
        <v>0.36285714285714366</v>
      </c>
      <c r="L298" s="26">
        <f t="shared" si="45"/>
        <v>1.8550000000000009</v>
      </c>
      <c r="M298" s="26">
        <f t="shared" si="46"/>
        <v>1.9273626373626378</v>
      </c>
      <c r="N298" s="26">
        <f t="shared" si="47"/>
        <v>-0.19142857142857062</v>
      </c>
      <c r="O298" s="26">
        <f t="shared" si="48"/>
        <v>-0.50428571428571423</v>
      </c>
      <c r="P298" s="26">
        <f t="shared" si="49"/>
        <v>-0.45578754578754532</v>
      </c>
    </row>
    <row r="299" spans="1:16" x14ac:dyDescent="0.25">
      <c r="A299" s="2">
        <v>43822</v>
      </c>
      <c r="B299">
        <v>43.81</v>
      </c>
      <c r="C299">
        <v>44.53</v>
      </c>
      <c r="D299">
        <v>43.85</v>
      </c>
      <c r="E299">
        <v>43.88</v>
      </c>
      <c r="G299">
        <f t="shared" si="40"/>
        <v>0.37000000000000455</v>
      </c>
      <c r="H299">
        <f t="shared" si="41"/>
        <v>-0.53999999999999915</v>
      </c>
      <c r="I299" s="3">
        <f t="shared" si="42"/>
        <v>-2.2511839405675662</v>
      </c>
      <c r="J299" s="3">
        <f t="shared" si="43"/>
        <v>1.4331602017427147</v>
      </c>
      <c r="K299" s="26">
        <f t="shared" si="44"/>
        <v>0.22761904761904872</v>
      </c>
      <c r="L299" s="26">
        <f t="shared" si="45"/>
        <v>1.8183333333333347</v>
      </c>
      <c r="M299" s="26">
        <f t="shared" si="46"/>
        <v>1.8408658008658012</v>
      </c>
      <c r="N299" s="26">
        <f t="shared" si="47"/>
        <v>-0.12904761904761863</v>
      </c>
      <c r="O299" s="26">
        <f t="shared" si="48"/>
        <v>-0.45464285714285713</v>
      </c>
      <c r="P299" s="26">
        <f t="shared" si="49"/>
        <v>-0.39999999999999969</v>
      </c>
    </row>
    <row r="300" spans="1:16" x14ac:dyDescent="0.25">
      <c r="A300" s="2">
        <v>43819</v>
      </c>
      <c r="B300">
        <v>43.96</v>
      </c>
      <c r="C300">
        <v>44.5</v>
      </c>
      <c r="D300">
        <v>43.86</v>
      </c>
      <c r="E300">
        <v>43.95</v>
      </c>
      <c r="G300">
        <f t="shared" si="40"/>
        <v>0.53000000000000114</v>
      </c>
      <c r="H300">
        <f t="shared" si="41"/>
        <v>-0.84000000000000341</v>
      </c>
      <c r="I300" s="3">
        <f t="shared" si="42"/>
        <v>-1.9899033610988777</v>
      </c>
      <c r="J300" s="3">
        <f t="shared" si="43"/>
        <v>1.2903725835739552</v>
      </c>
      <c r="K300" s="26">
        <f t="shared" si="44"/>
        <v>0.18047619047619134</v>
      </c>
      <c r="L300" s="26">
        <f t="shared" si="45"/>
        <v>1.7705952380952392</v>
      </c>
      <c r="M300" s="26">
        <f t="shared" si="46"/>
        <v>1.7387719298245612</v>
      </c>
      <c r="N300" s="26">
        <f t="shared" si="47"/>
        <v>-0.10976190476190539</v>
      </c>
      <c r="O300" s="26">
        <f t="shared" si="48"/>
        <v>-0.42047619047619089</v>
      </c>
      <c r="P300" s="26">
        <f t="shared" si="49"/>
        <v>-0.35694235588972423</v>
      </c>
    </row>
    <row r="301" spans="1:16" x14ac:dyDescent="0.25">
      <c r="A301" s="2">
        <v>43818</v>
      </c>
      <c r="B301">
        <v>43.9</v>
      </c>
      <c r="C301">
        <v>44.74</v>
      </c>
      <c r="D301">
        <v>43.79</v>
      </c>
      <c r="E301">
        <v>43.91</v>
      </c>
      <c r="G301">
        <f t="shared" si="40"/>
        <v>0.48499999999999943</v>
      </c>
      <c r="H301">
        <f t="shared" si="41"/>
        <v>-0.60999999999999943</v>
      </c>
      <c r="I301" s="3">
        <f t="shared" si="42"/>
        <v>-2.1388825216381084</v>
      </c>
      <c r="J301" s="3">
        <f t="shared" si="43"/>
        <v>1.4360475976418454</v>
      </c>
      <c r="K301" s="26">
        <f t="shared" si="44"/>
        <v>0.24857142857142978</v>
      </c>
      <c r="L301" s="26">
        <f t="shared" si="45"/>
        <v>1.78952380952381</v>
      </c>
      <c r="M301" s="26">
        <f t="shared" si="46"/>
        <v>1.6835047619047614</v>
      </c>
      <c r="N301" s="26">
        <f t="shared" si="47"/>
        <v>-7.6190476190476586E-2</v>
      </c>
      <c r="O301" s="26">
        <f t="shared" si="48"/>
        <v>-0.40321428571428597</v>
      </c>
      <c r="P301" s="26">
        <f t="shared" si="49"/>
        <v>-0.31700952380952385</v>
      </c>
    </row>
    <row r="302" spans="1:16" x14ac:dyDescent="0.25">
      <c r="A302" s="2">
        <v>43817</v>
      </c>
      <c r="B302">
        <v>44.2</v>
      </c>
      <c r="C302">
        <v>44.81</v>
      </c>
      <c r="D302">
        <v>44.02</v>
      </c>
      <c r="E302">
        <v>44.04</v>
      </c>
      <c r="G302">
        <f t="shared" si="40"/>
        <v>0.35500000000000398</v>
      </c>
      <c r="H302">
        <f t="shared" si="41"/>
        <v>-0.62999999999999545</v>
      </c>
      <c r="I302" s="3">
        <f t="shared" si="42"/>
        <v>-2.4863099620639022</v>
      </c>
      <c r="J302" s="3">
        <f t="shared" si="43"/>
        <v>1.4484501754590406</v>
      </c>
      <c r="K302" s="26">
        <f t="shared" si="44"/>
        <v>0.28285714285714447</v>
      </c>
      <c r="L302" s="26">
        <f t="shared" si="45"/>
        <v>1.7402976190476205</v>
      </c>
      <c r="M302" s="26">
        <f t="shared" si="46"/>
        <v>1.5908236808236806</v>
      </c>
      <c r="N302" s="26">
        <f t="shared" si="47"/>
        <v>-3.2857142857143584E-2</v>
      </c>
      <c r="O302" s="26">
        <f t="shared" si="48"/>
        <v>-0.34949404761904779</v>
      </c>
      <c r="P302" s="26">
        <f t="shared" si="49"/>
        <v>-0.25420205920205929</v>
      </c>
    </row>
    <row r="303" spans="1:16" x14ac:dyDescent="0.25">
      <c r="A303" s="2">
        <v>43816</v>
      </c>
      <c r="B303">
        <v>44.09</v>
      </c>
      <c r="C303">
        <v>44.72</v>
      </c>
      <c r="D303">
        <v>44.05</v>
      </c>
      <c r="E303">
        <v>44.07</v>
      </c>
      <c r="G303">
        <f t="shared" si="40"/>
        <v>1.6350000000000051</v>
      </c>
      <c r="H303">
        <f t="shared" si="41"/>
        <v>-0.10999999999999943</v>
      </c>
      <c r="I303" s="3">
        <f t="shared" si="42"/>
        <v>0.27179449756862073</v>
      </c>
      <c r="J303" s="3">
        <f t="shared" si="43"/>
        <v>1.7645148546559541</v>
      </c>
      <c r="K303" s="26">
        <f t="shared" si="44"/>
        <v>0.28714285714285825</v>
      </c>
      <c r="L303" s="26">
        <f t="shared" si="45"/>
        <v>1.7078571428571441</v>
      </c>
      <c r="M303" s="26">
        <f t="shared" si="46"/>
        <v>1.5349510763209397</v>
      </c>
      <c r="N303" s="26">
        <f t="shared" si="47"/>
        <v>-4.5476190476191336E-2</v>
      </c>
      <c r="O303" s="26">
        <f t="shared" si="48"/>
        <v>-0.34089285714285777</v>
      </c>
      <c r="P303" s="26">
        <f t="shared" si="49"/>
        <v>-0.2415459882583173</v>
      </c>
    </row>
    <row r="304" spans="1:16" x14ac:dyDescent="0.25">
      <c r="A304" s="2">
        <v>43802</v>
      </c>
      <c r="B304">
        <v>39.020000000000003</v>
      </c>
      <c r="C304">
        <v>39.130000000000003</v>
      </c>
      <c r="D304">
        <v>37.44</v>
      </c>
      <c r="E304">
        <v>37.44</v>
      </c>
      <c r="G304">
        <f t="shared" si="40"/>
        <v>1.2599999999999909</v>
      </c>
      <c r="H304">
        <f t="shared" si="41"/>
        <v>-0.74000000000000199</v>
      </c>
      <c r="I304" s="3">
        <f t="shared" si="42"/>
        <v>-0.55995270679795039</v>
      </c>
      <c r="J304" s="3">
        <f t="shared" si="43"/>
        <v>1.4469959963120445</v>
      </c>
      <c r="K304" s="26">
        <f t="shared" si="44"/>
        <v>0.30619047619047679</v>
      </c>
      <c r="L304" s="26">
        <f t="shared" si="45"/>
        <v>1.657202380952381</v>
      </c>
      <c r="M304" s="26">
        <f t="shared" si="46"/>
        <v>1.4462301587301587</v>
      </c>
      <c r="N304" s="26">
        <f t="shared" si="47"/>
        <v>-8.5476190476191594E-2</v>
      </c>
      <c r="O304" s="26">
        <f t="shared" si="48"/>
        <v>-0.35872023809523879</v>
      </c>
      <c r="P304" s="26">
        <f t="shared" si="49"/>
        <v>-0.25382936507936549</v>
      </c>
    </row>
    <row r="305" spans="1:16" x14ac:dyDescent="0.25">
      <c r="A305" s="2">
        <v>43801</v>
      </c>
      <c r="B305">
        <v>38.479999999999997</v>
      </c>
      <c r="C305">
        <v>39.22</v>
      </c>
      <c r="D305">
        <v>37.590000000000003</v>
      </c>
      <c r="E305">
        <v>38.08</v>
      </c>
      <c r="G305">
        <f t="shared" si="40"/>
        <v>0.77499999999999858</v>
      </c>
      <c r="H305">
        <f t="shared" si="41"/>
        <v>2.0899999999999963</v>
      </c>
      <c r="I305" s="3">
        <f t="shared" si="42"/>
        <v>-1.6376373399936275</v>
      </c>
      <c r="J305" s="3">
        <f t="shared" si="43"/>
        <v>3.0884247757619629</v>
      </c>
      <c r="K305" s="26">
        <f t="shared" si="44"/>
        <v>0.40476190476190554</v>
      </c>
      <c r="L305" s="26">
        <f t="shared" si="45"/>
        <v>1.6669642857142861</v>
      </c>
      <c r="M305" s="26">
        <f t="shared" si="46"/>
        <v>1.4188531187122737</v>
      </c>
      <c r="N305" s="26">
        <f t="shared" si="47"/>
        <v>-0.16761904761904844</v>
      </c>
      <c r="O305" s="26">
        <f t="shared" si="48"/>
        <v>-0.40062500000000023</v>
      </c>
      <c r="P305" s="26">
        <f t="shared" si="49"/>
        <v>-0.28656941649899381</v>
      </c>
    </row>
    <row r="306" spans="1:16" x14ac:dyDescent="0.25">
      <c r="A306" s="2">
        <v>43798</v>
      </c>
      <c r="B306">
        <v>38.94</v>
      </c>
      <c r="C306">
        <v>36.85</v>
      </c>
      <c r="D306">
        <v>37.119999999999997</v>
      </c>
      <c r="E306">
        <v>37.119999999999997</v>
      </c>
      <c r="G306">
        <f t="shared" si="40"/>
        <v>1.2349999999999994</v>
      </c>
      <c r="H306">
        <f t="shared" si="41"/>
        <v>0.71000000000000085</v>
      </c>
      <c r="I306" s="3">
        <f t="shared" si="42"/>
        <v>-0.64341516340329097</v>
      </c>
      <c r="J306" s="3">
        <f t="shared" si="43"/>
        <v>2.4548884607689359</v>
      </c>
      <c r="K306" s="26">
        <f t="shared" si="44"/>
        <v>0.33809523809523911</v>
      </c>
      <c r="L306" s="26">
        <f t="shared" si="45"/>
        <v>1.5356547619047634</v>
      </c>
      <c r="M306" s="26">
        <f t="shared" si="46"/>
        <v>1.2691904761904769</v>
      </c>
      <c r="N306" s="26">
        <f t="shared" si="47"/>
        <v>-0.23761904761904895</v>
      </c>
      <c r="O306" s="26">
        <f t="shared" si="48"/>
        <v>-0.42877976190476264</v>
      </c>
      <c r="P306" s="26">
        <f t="shared" si="49"/>
        <v>-0.31169047619047663</v>
      </c>
    </row>
    <row r="307" spans="1:16" x14ac:dyDescent="0.25">
      <c r="A307" s="2">
        <v>43797</v>
      </c>
      <c r="B307">
        <v>38.56</v>
      </c>
      <c r="C307">
        <v>37.85</v>
      </c>
      <c r="D307">
        <v>36.97</v>
      </c>
      <c r="E307">
        <v>36.96</v>
      </c>
      <c r="G307">
        <f t="shared" si="40"/>
        <v>1.5549999999999997</v>
      </c>
      <c r="H307">
        <f t="shared" si="41"/>
        <v>0.53000000000000114</v>
      </c>
      <c r="I307" s="3">
        <f t="shared" si="42"/>
        <v>6.448601479680327E-2</v>
      </c>
      <c r="J307" s="3">
        <f t="shared" si="43"/>
        <v>2.4450097029006872</v>
      </c>
      <c r="K307" s="26">
        <f t="shared" si="44"/>
        <v>0.30809523809523887</v>
      </c>
      <c r="L307" s="26">
        <f t="shared" si="45"/>
        <v>1.4352976190476201</v>
      </c>
      <c r="M307" s="26">
        <f t="shared" si="46"/>
        <v>1.1574948240165637</v>
      </c>
      <c r="N307" s="26">
        <f t="shared" si="47"/>
        <v>-0.25595238095238204</v>
      </c>
      <c r="O307" s="26">
        <f t="shared" si="48"/>
        <v>-0.44211309523809561</v>
      </c>
      <c r="P307" s="26">
        <f t="shared" si="49"/>
        <v>-0.32684265010351976</v>
      </c>
    </row>
    <row r="308" spans="1:16" x14ac:dyDescent="0.25">
      <c r="A308" s="2">
        <v>43796</v>
      </c>
      <c r="B308">
        <v>38.42</v>
      </c>
      <c r="C308">
        <v>37.89</v>
      </c>
      <c r="D308">
        <v>36.6</v>
      </c>
      <c r="E308">
        <v>36.590000000000003</v>
      </c>
      <c r="G308">
        <f t="shared" si="40"/>
        <v>0.78499999999999659</v>
      </c>
      <c r="H308">
        <f t="shared" si="41"/>
        <v>-1.5300000000000011</v>
      </c>
      <c r="I308" s="3">
        <f t="shared" si="42"/>
        <v>-1.6410319825172457</v>
      </c>
      <c r="J308" s="3">
        <f t="shared" si="43"/>
        <v>1.2336428998024551</v>
      </c>
      <c r="K308" s="26">
        <f t="shared" si="44"/>
        <v>0.28714285714285825</v>
      </c>
      <c r="L308" s="26">
        <f t="shared" si="45"/>
        <v>1.3540476190476207</v>
      </c>
      <c r="M308" s="26">
        <f t="shared" si="46"/>
        <v>1.0606442577030819</v>
      </c>
      <c r="N308" s="26">
        <f t="shared" si="47"/>
        <v>-0.29119047619047733</v>
      </c>
      <c r="O308" s="26">
        <f t="shared" si="48"/>
        <v>-0.46178571428571491</v>
      </c>
      <c r="P308" s="26">
        <f t="shared" si="49"/>
        <v>-0.34966386554621876</v>
      </c>
    </row>
    <row r="309" spans="1:16" x14ac:dyDescent="0.25">
      <c r="A309" s="2">
        <v>43795</v>
      </c>
      <c r="B309">
        <v>35.369999999999997</v>
      </c>
      <c r="C309">
        <v>36.9</v>
      </c>
      <c r="D309">
        <v>35.35</v>
      </c>
      <c r="E309">
        <v>35.35</v>
      </c>
      <c r="G309">
        <f t="shared" si="40"/>
        <v>0.8300000000000054</v>
      </c>
      <c r="H309">
        <f t="shared" si="41"/>
        <v>-3.1000000000000014</v>
      </c>
      <c r="I309" s="3">
        <f t="shared" si="42"/>
        <v>-1.575672161937093</v>
      </c>
      <c r="J309" s="3">
        <f t="shared" si="43"/>
        <v>0.24780997673596297</v>
      </c>
      <c r="K309" s="26">
        <f t="shared" si="44"/>
        <v>0.36666666666666758</v>
      </c>
      <c r="L309" s="26">
        <f t="shared" si="45"/>
        <v>1.3875000000000011</v>
      </c>
      <c r="M309" s="26">
        <f t="shared" si="46"/>
        <v>1.1001492537313435</v>
      </c>
      <c r="N309" s="26">
        <f t="shared" si="47"/>
        <v>-0.30047619047619145</v>
      </c>
      <c r="O309" s="26">
        <f t="shared" si="48"/>
        <v>-0.45851190476190529</v>
      </c>
      <c r="P309" s="26">
        <f t="shared" si="49"/>
        <v>-0.35225657427150003</v>
      </c>
    </row>
    <row r="310" spans="1:16" x14ac:dyDescent="0.25">
      <c r="A310" s="2">
        <v>43794</v>
      </c>
      <c r="B310">
        <v>35.46</v>
      </c>
      <c r="C310">
        <v>38.56</v>
      </c>
      <c r="D310">
        <v>36.18</v>
      </c>
      <c r="E310">
        <v>36.18</v>
      </c>
      <c r="G310">
        <f t="shared" si="40"/>
        <v>0.74500000000000455</v>
      </c>
      <c r="H310">
        <f t="shared" si="41"/>
        <v>-3.4099999999999966</v>
      </c>
      <c r="I310" s="3">
        <f t="shared" si="42"/>
        <v>-1.7998726288894922</v>
      </c>
      <c r="J310" s="3">
        <f t="shared" si="43"/>
        <v>5.2184723986967385E-2</v>
      </c>
      <c r="K310" s="26">
        <f t="shared" si="44"/>
        <v>0.4338095238095252</v>
      </c>
      <c r="L310" s="26">
        <f t="shared" si="45"/>
        <v>1.4666666666666672</v>
      </c>
      <c r="M310" s="26">
        <f t="shared" si="46"/>
        <v>1.18469696969697</v>
      </c>
      <c r="N310" s="26">
        <f t="shared" si="47"/>
        <v>-0.27738095238095384</v>
      </c>
      <c r="O310" s="26">
        <f t="shared" si="48"/>
        <v>-0.43357142857142983</v>
      </c>
      <c r="P310" s="26">
        <f t="shared" si="49"/>
        <v>-0.33438311688311773</v>
      </c>
    </row>
    <row r="311" spans="1:16" x14ac:dyDescent="0.25">
      <c r="A311" s="2">
        <v>43791</v>
      </c>
      <c r="B311">
        <v>37.450000000000003</v>
      </c>
      <c r="C311">
        <v>40.86</v>
      </c>
      <c r="D311">
        <v>38.409999999999997</v>
      </c>
      <c r="E311">
        <v>38.26</v>
      </c>
      <c r="G311">
        <f t="shared" si="40"/>
        <v>2.0399999999999991</v>
      </c>
      <c r="H311">
        <f t="shared" si="41"/>
        <v>-3.6199999999999974</v>
      </c>
      <c r="I311" s="3">
        <f t="shared" si="42"/>
        <v>1.1179002380503347</v>
      </c>
      <c r="J311" s="3">
        <f t="shared" si="43"/>
        <v>-8.0270471158565143E-2</v>
      </c>
      <c r="K311" s="26">
        <f t="shared" si="44"/>
        <v>0.54952380952381086</v>
      </c>
      <c r="L311" s="26">
        <f t="shared" si="45"/>
        <v>1.5542857142857156</v>
      </c>
      <c r="M311" s="26">
        <f t="shared" si="46"/>
        <v>1.2779340659340668</v>
      </c>
      <c r="N311" s="26">
        <f t="shared" si="47"/>
        <v>-0.27666666666666817</v>
      </c>
      <c r="O311" s="26">
        <f t="shared" si="48"/>
        <v>-0.40964285714285831</v>
      </c>
      <c r="P311" s="26">
        <f t="shared" si="49"/>
        <v>-0.31670329670329767</v>
      </c>
    </row>
    <row r="312" spans="1:16" x14ac:dyDescent="0.25">
      <c r="A312" s="2">
        <v>43790</v>
      </c>
      <c r="B312">
        <v>38.61</v>
      </c>
      <c r="C312">
        <v>42.23</v>
      </c>
      <c r="D312">
        <v>38.380000000000003</v>
      </c>
      <c r="E312">
        <v>38.83</v>
      </c>
      <c r="G312">
        <f t="shared" si="40"/>
        <v>1.25</v>
      </c>
      <c r="H312">
        <f t="shared" si="41"/>
        <v>-2.7999999999999972</v>
      </c>
      <c r="I312" s="3">
        <f t="shared" si="42"/>
        <v>-0.67792203338240953</v>
      </c>
      <c r="J312" s="3">
        <f t="shared" si="43"/>
        <v>0.43459939374077811</v>
      </c>
      <c r="K312" s="26">
        <f t="shared" si="44"/>
        <v>0.65428571428571569</v>
      </c>
      <c r="L312" s="26">
        <f t="shared" si="45"/>
        <v>1.6261309523809535</v>
      </c>
      <c r="M312" s="26">
        <f t="shared" si="46"/>
        <v>1.3731622023809535</v>
      </c>
      <c r="N312" s="26">
        <f t="shared" si="47"/>
        <v>-0.33238095238095422</v>
      </c>
      <c r="O312" s="26">
        <f t="shared" si="48"/>
        <v>-0.45276785714285794</v>
      </c>
      <c r="P312" s="26">
        <f t="shared" si="49"/>
        <v>-0.36909598214285788</v>
      </c>
    </row>
    <row r="313" spans="1:16" x14ac:dyDescent="0.25">
      <c r="A313" s="2">
        <v>43789</v>
      </c>
      <c r="B313">
        <v>39.56</v>
      </c>
      <c r="C313">
        <v>42.36</v>
      </c>
      <c r="D313">
        <v>39.71</v>
      </c>
      <c r="E313">
        <v>39.71</v>
      </c>
      <c r="G313">
        <f t="shared" si="40"/>
        <v>1.3400000000000034</v>
      </c>
      <c r="H313">
        <f t="shared" si="41"/>
        <v>-3.4799999999999969</v>
      </c>
      <c r="I313" s="3">
        <f t="shared" si="42"/>
        <v>-0.47816515248395758</v>
      </c>
      <c r="J313" s="3">
        <f t="shared" si="43"/>
        <v>1.2359511422722921E-2</v>
      </c>
      <c r="K313" s="26">
        <f t="shared" si="44"/>
        <v>0.72333333333333405</v>
      </c>
      <c r="L313" s="26">
        <f t="shared" si="45"/>
        <v>1.6565476190476196</v>
      </c>
      <c r="M313" s="26">
        <f t="shared" si="46"/>
        <v>1.4326984126984135</v>
      </c>
      <c r="N313" s="26">
        <f t="shared" si="47"/>
        <v>-0.26357142857143057</v>
      </c>
      <c r="O313" s="26">
        <f t="shared" si="48"/>
        <v>-0.39065476190476267</v>
      </c>
      <c r="P313" s="26">
        <f t="shared" si="49"/>
        <v>-0.31873015873015964</v>
      </c>
    </row>
    <row r="314" spans="1:16" x14ac:dyDescent="0.25">
      <c r="A314" s="2">
        <v>43788</v>
      </c>
      <c r="B314">
        <v>40.020000000000003</v>
      </c>
      <c r="C314">
        <v>43.5</v>
      </c>
      <c r="D314">
        <v>40.42</v>
      </c>
      <c r="E314">
        <v>40.42</v>
      </c>
      <c r="G314">
        <f t="shared" si="40"/>
        <v>2.0300000000000011</v>
      </c>
      <c r="H314">
        <f t="shared" si="41"/>
        <v>-4.18</v>
      </c>
      <c r="I314" s="3">
        <f t="shared" si="42"/>
        <v>1.0874654232969732</v>
      </c>
      <c r="J314" s="3">
        <f t="shared" si="43"/>
        <v>-0.42271698505288213</v>
      </c>
      <c r="K314" s="26">
        <f t="shared" si="44"/>
        <v>0.83333333333333526</v>
      </c>
      <c r="L314" s="26">
        <f t="shared" si="45"/>
        <v>1.7513095238095246</v>
      </c>
      <c r="M314" s="26">
        <f t="shared" si="46"/>
        <v>1.5580030721966209</v>
      </c>
      <c r="N314" s="26">
        <f t="shared" si="47"/>
        <v>-0.22333333333333538</v>
      </c>
      <c r="O314" s="26">
        <f t="shared" si="48"/>
        <v>-0.36869047619047723</v>
      </c>
      <c r="P314" s="26">
        <f t="shared" si="49"/>
        <v>-0.30522273425499336</v>
      </c>
    </row>
    <row r="315" spans="1:16" x14ac:dyDescent="0.25">
      <c r="A315" s="2">
        <v>43787</v>
      </c>
      <c r="B315">
        <v>40.14</v>
      </c>
      <c r="C315">
        <v>44.32</v>
      </c>
      <c r="D315">
        <v>40.200000000000003</v>
      </c>
      <c r="E315">
        <v>40.200000000000003</v>
      </c>
      <c r="G315">
        <f t="shared" si="40"/>
        <v>1.7549999999999955</v>
      </c>
      <c r="H315">
        <f t="shared" si="41"/>
        <v>-2.2100000000000009</v>
      </c>
      <c r="I315" s="3">
        <f t="shared" si="42"/>
        <v>0.47592464000357732</v>
      </c>
      <c r="J315" s="3">
        <f t="shared" si="43"/>
        <v>0.79276547252412843</v>
      </c>
      <c r="K315" s="26">
        <f t="shared" si="44"/>
        <v>1.1157142857142865</v>
      </c>
      <c r="L315" s="26">
        <f t="shared" si="45"/>
        <v>1.9482142857142857</v>
      </c>
      <c r="M315" s="26">
        <f t="shared" si="46"/>
        <v>1.7863231850117098</v>
      </c>
      <c r="N315" s="26">
        <f t="shared" si="47"/>
        <v>-0.26928571428571679</v>
      </c>
      <c r="O315" s="26">
        <f t="shared" si="48"/>
        <v>-0.40113095238095409</v>
      </c>
      <c r="P315" s="26">
        <f t="shared" si="49"/>
        <v>-0.34921935987509922</v>
      </c>
    </row>
    <row r="316" spans="1:16" x14ac:dyDescent="0.25">
      <c r="A316" s="2">
        <v>43784</v>
      </c>
      <c r="B316">
        <v>40.07</v>
      </c>
      <c r="C316">
        <v>42.28</v>
      </c>
      <c r="D316">
        <v>39.42</v>
      </c>
      <c r="E316">
        <v>39.409999999999997</v>
      </c>
      <c r="G316">
        <f t="shared" si="40"/>
        <v>1.384999999999998</v>
      </c>
      <c r="H316">
        <f t="shared" si="41"/>
        <v>-2.4099999999999966</v>
      </c>
      <c r="I316" s="3">
        <f t="shared" si="42"/>
        <v>-0.35892270666958209</v>
      </c>
      <c r="J316" s="3">
        <f t="shared" si="43"/>
        <v>0.67730996350178707</v>
      </c>
      <c r="K316" s="26">
        <f t="shared" si="44"/>
        <v>1.2619047619047628</v>
      </c>
      <c r="L316" s="26">
        <f t="shared" si="45"/>
        <v>1.9955952380952389</v>
      </c>
      <c r="M316" s="26">
        <f t="shared" si="46"/>
        <v>1.8628809523809529</v>
      </c>
      <c r="N316" s="26">
        <f t="shared" si="47"/>
        <v>-0.33619047619047837</v>
      </c>
      <c r="O316" s="26">
        <f t="shared" si="48"/>
        <v>-0.42630952380952514</v>
      </c>
      <c r="P316" s="26">
        <f t="shared" si="49"/>
        <v>-0.38386904761904894</v>
      </c>
    </row>
    <row r="317" spans="1:16" x14ac:dyDescent="0.25">
      <c r="A317" s="2">
        <v>43783</v>
      </c>
      <c r="B317">
        <v>39.75</v>
      </c>
      <c r="C317">
        <v>42.16</v>
      </c>
      <c r="D317">
        <v>39.57</v>
      </c>
      <c r="E317">
        <v>39.25</v>
      </c>
      <c r="G317">
        <f t="shared" si="40"/>
        <v>1.1699999999999946</v>
      </c>
      <c r="H317">
        <f t="shared" si="41"/>
        <v>-2.9199999999999946</v>
      </c>
      <c r="I317" s="3">
        <f t="shared" si="42"/>
        <v>-0.84595552309807021</v>
      </c>
      <c r="J317" s="3">
        <f t="shared" si="43"/>
        <v>0.36979310004633065</v>
      </c>
      <c r="K317" s="26">
        <f t="shared" si="44"/>
        <v>1.4752380952380961</v>
      </c>
      <c r="L317" s="26">
        <f t="shared" si="45"/>
        <v>2.0700595238095247</v>
      </c>
      <c r="M317" s="26">
        <f t="shared" si="46"/>
        <v>1.9632768361581934</v>
      </c>
      <c r="N317" s="26">
        <f t="shared" si="47"/>
        <v>-0.38714285714285901</v>
      </c>
      <c r="O317" s="26">
        <f t="shared" si="48"/>
        <v>-0.44151785714285796</v>
      </c>
      <c r="P317" s="26">
        <f t="shared" si="49"/>
        <v>-0.40631961259079974</v>
      </c>
    </row>
    <row r="318" spans="1:16" x14ac:dyDescent="0.25">
      <c r="A318" s="2">
        <v>43782</v>
      </c>
      <c r="B318">
        <v>39.090000000000003</v>
      </c>
      <c r="C318">
        <v>42.01</v>
      </c>
      <c r="D318">
        <v>39.380000000000003</v>
      </c>
      <c r="E318">
        <v>39.04</v>
      </c>
      <c r="G318">
        <f t="shared" si="40"/>
        <v>1.2199999999999989</v>
      </c>
      <c r="H318">
        <f t="shared" si="41"/>
        <v>-3.2000000000000028</v>
      </c>
      <c r="I318" s="3">
        <f t="shared" si="42"/>
        <v>-0.74267295716415038</v>
      </c>
      <c r="J318" s="3">
        <f t="shared" si="43"/>
        <v>0.20115484309577045</v>
      </c>
      <c r="K318" s="26">
        <f t="shared" si="44"/>
        <v>1.6680952380952376</v>
      </c>
      <c r="L318" s="26">
        <f t="shared" si="45"/>
        <v>2.183869047619047</v>
      </c>
      <c r="M318" s="26">
        <f t="shared" si="46"/>
        <v>2.1064121510673228</v>
      </c>
      <c r="N318" s="26">
        <f t="shared" si="47"/>
        <v>-0.36785714285714421</v>
      </c>
      <c r="O318" s="26">
        <f t="shared" si="48"/>
        <v>-0.41252976190476232</v>
      </c>
      <c r="P318" s="26">
        <f t="shared" si="49"/>
        <v>-0.38901067323481175</v>
      </c>
    </row>
    <row r="319" spans="1:16" x14ac:dyDescent="0.25">
      <c r="A319" s="2">
        <v>43781</v>
      </c>
      <c r="B319">
        <v>39.29</v>
      </c>
      <c r="C319">
        <v>42.49</v>
      </c>
      <c r="D319">
        <v>39.67</v>
      </c>
      <c r="E319">
        <v>39.67</v>
      </c>
      <c r="G319">
        <f t="shared" si="40"/>
        <v>1.5049999999999955</v>
      </c>
      <c r="H319">
        <f t="shared" si="41"/>
        <v>-2.75</v>
      </c>
      <c r="I319" s="3">
        <f t="shared" si="42"/>
        <v>-0.11072408567587558</v>
      </c>
      <c r="J319" s="3">
        <f t="shared" si="43"/>
        <v>0.47603079236098012</v>
      </c>
      <c r="K319" s="26">
        <f t="shared" si="44"/>
        <v>1.7333333333333336</v>
      </c>
      <c r="L319" s="26">
        <f t="shared" si="45"/>
        <v>2.1826785714285712</v>
      </c>
      <c r="M319" s="26">
        <f t="shared" si="46"/>
        <v>2.140902255639098</v>
      </c>
      <c r="N319" s="26">
        <f t="shared" si="47"/>
        <v>-0.35285714285714365</v>
      </c>
      <c r="O319" s="26">
        <f t="shared" si="48"/>
        <v>-0.37562500000000054</v>
      </c>
      <c r="P319" s="26">
        <f t="shared" si="49"/>
        <v>-0.36175438596491283</v>
      </c>
    </row>
    <row r="320" spans="1:16" x14ac:dyDescent="0.25">
      <c r="A320" s="2">
        <v>43780</v>
      </c>
      <c r="B320">
        <v>41.26</v>
      </c>
      <c r="C320">
        <v>44.01</v>
      </c>
      <c r="D320">
        <v>41.13</v>
      </c>
      <c r="E320">
        <v>41.12</v>
      </c>
      <c r="G320">
        <f t="shared" si="40"/>
        <v>1.3349999999999937</v>
      </c>
      <c r="H320">
        <f t="shared" si="41"/>
        <v>-2.8699999999999974</v>
      </c>
      <c r="I320" s="3">
        <f t="shared" si="42"/>
        <v>-0.49033750845971258</v>
      </c>
      <c r="J320" s="3">
        <f t="shared" si="43"/>
        <v>0.40720643858022637</v>
      </c>
      <c r="K320" s="26">
        <f t="shared" si="44"/>
        <v>1.8619047619047626</v>
      </c>
      <c r="L320" s="26">
        <f t="shared" si="45"/>
        <v>2.2182142857142857</v>
      </c>
      <c r="M320" s="26">
        <f t="shared" si="46"/>
        <v>2.2182142857142857</v>
      </c>
      <c r="N320" s="26">
        <f t="shared" si="47"/>
        <v>-0.38619047619047664</v>
      </c>
      <c r="O320" s="26">
        <f t="shared" si="48"/>
        <v>-0.37255952380952406</v>
      </c>
      <c r="P320" s="26">
        <f t="shared" si="49"/>
        <v>-0.37255952380952406</v>
      </c>
    </row>
    <row r="321" spans="1:16" x14ac:dyDescent="0.25">
      <c r="A321" s="2">
        <v>43777</v>
      </c>
      <c r="B321">
        <v>41.32</v>
      </c>
      <c r="C321">
        <v>44.19</v>
      </c>
      <c r="D321">
        <v>41.42</v>
      </c>
      <c r="E321">
        <v>41.08</v>
      </c>
      <c r="G321">
        <f t="shared" si="40"/>
        <v>1.4100000000000037</v>
      </c>
      <c r="H321">
        <f t="shared" si="41"/>
        <v>-2.3400000000000034</v>
      </c>
      <c r="I321" s="3">
        <f t="shared" si="42"/>
        <v>-0.3279790515084352</v>
      </c>
      <c r="J321" s="3">
        <f t="shared" si="43"/>
        <v>0.72909661003464343</v>
      </c>
      <c r="K321" s="26">
        <f t="shared" si="44"/>
        <v>1.7495238095238101</v>
      </c>
      <c r="L321" s="26">
        <f t="shared" si="45"/>
        <v>2.1532813852813848</v>
      </c>
      <c r="M321" s="26">
        <f t="shared" si="46"/>
        <v>2.1532813852813848</v>
      </c>
      <c r="N321" s="26">
        <f t="shared" si="47"/>
        <v>-0.35095238095238068</v>
      </c>
      <c r="O321" s="26">
        <f t="shared" si="48"/>
        <v>-0.34155844155844095</v>
      </c>
      <c r="P321" s="26">
        <f t="shared" si="49"/>
        <v>-0.34155844155844095</v>
      </c>
    </row>
    <row r="322" spans="1:16" x14ac:dyDescent="0.25">
      <c r="A322" s="2">
        <v>43776</v>
      </c>
      <c r="B322">
        <v>43.65</v>
      </c>
      <c r="C322">
        <v>45.99</v>
      </c>
      <c r="D322">
        <v>43.41</v>
      </c>
      <c r="E322">
        <v>43.4</v>
      </c>
      <c r="G322">
        <f t="shared" si="40"/>
        <v>1.75</v>
      </c>
      <c r="H322">
        <f t="shared" si="41"/>
        <v>-2.779999999999994</v>
      </c>
      <c r="I322" s="3">
        <f t="shared" si="42"/>
        <v>0.41913382131885879</v>
      </c>
      <c r="J322" s="3">
        <f t="shared" si="43"/>
        <v>0.47268124216664531</v>
      </c>
      <c r="K322" s="26">
        <f t="shared" si="44"/>
        <v>1.5104761904761905</v>
      </c>
      <c r="L322" s="26">
        <f t="shared" si="45"/>
        <v>1.9929629629629622</v>
      </c>
      <c r="M322" s="26">
        <f t="shared" si="46"/>
        <v>1.9929629629629622</v>
      </c>
      <c r="N322" s="26">
        <f t="shared" si="47"/>
        <v>-0.34095238095238112</v>
      </c>
      <c r="O322" s="26">
        <f t="shared" si="48"/>
        <v>-0.33447089947089959</v>
      </c>
      <c r="P322" s="26">
        <f t="shared" si="49"/>
        <v>-0.33447089947089959</v>
      </c>
    </row>
    <row r="323" spans="1:16" x14ac:dyDescent="0.25">
      <c r="A323" s="2">
        <v>43775</v>
      </c>
      <c r="B323">
        <v>43.7</v>
      </c>
      <c r="C323">
        <v>46.48</v>
      </c>
      <c r="D323">
        <v>43.34</v>
      </c>
      <c r="E323">
        <v>43.33</v>
      </c>
      <c r="G323">
        <f t="shared" si="40"/>
        <v>0.82999999999999829</v>
      </c>
      <c r="H323">
        <f t="shared" si="41"/>
        <v>-2.2000000000000028</v>
      </c>
      <c r="I323" s="3">
        <f t="shared" si="42"/>
        <v>-1.5943184930866308</v>
      </c>
      <c r="J323" s="3">
        <f t="shared" si="43"/>
        <v>0.82251725219038641</v>
      </c>
      <c r="K323" s="26">
        <f t="shared" si="44"/>
        <v>1.3609523809523814</v>
      </c>
      <c r="L323" s="26">
        <f t="shared" si="45"/>
        <v>1.8262174303683731</v>
      </c>
      <c r="M323" s="26">
        <f t="shared" si="46"/>
        <v>1.8262174303683731</v>
      </c>
      <c r="N323" s="26">
        <f t="shared" si="47"/>
        <v>-0.32380952380952355</v>
      </c>
      <c r="O323" s="26">
        <f t="shared" si="48"/>
        <v>-0.30904761904761857</v>
      </c>
      <c r="P323" s="26">
        <f t="shared" si="49"/>
        <v>-0.30904761904761857</v>
      </c>
    </row>
    <row r="324" spans="1:16" x14ac:dyDescent="0.25">
      <c r="A324" s="2">
        <v>43774</v>
      </c>
      <c r="B324">
        <v>44.08</v>
      </c>
      <c r="C324">
        <v>46.28</v>
      </c>
      <c r="D324">
        <v>44.35</v>
      </c>
      <c r="E324">
        <v>44.34</v>
      </c>
      <c r="G324">
        <f t="shared" ref="G324:G387" si="50">AVERAGE(C325,B325)-D325</f>
        <v>1.4200000000000017</v>
      </c>
      <c r="H324">
        <f t="shared" ref="H324:H387" si="51">B325-C325</f>
        <v>-2.3400000000000034</v>
      </c>
      <c r="I324" s="3">
        <f t="shared" ref="I324:I387" si="52">(G324-AVERAGE(G324:G555))/_xlfn.STDEV.S(G324:G555)</f>
        <v>-0.32640491364891333</v>
      </c>
      <c r="J324" s="3">
        <f t="shared" ref="J324:J387" si="53">(H324-AVERAGE(H324:H555))/_xlfn.STDEV.S(H324:H555)</f>
        <v>0.74864370296809468</v>
      </c>
      <c r="K324" s="26">
        <f t="shared" ref="K324:K387" si="54">AVERAGEA(H324:H344)-AVERAGE(H345:H365)</f>
        <v>1.3938095238095234</v>
      </c>
      <c r="L324" s="26">
        <f t="shared" ref="L324:L387" si="55">AVERAGEA(H324:H344)-AVERAGE(H345:H400)</f>
        <v>1.7517307692307682</v>
      </c>
      <c r="M324" s="26">
        <f t="shared" ref="M324:M387" si="56">AVERAGEA(H324:H344)-AVERAGE(H345:H457)</f>
        <v>1.7517307692307682</v>
      </c>
      <c r="N324" s="26">
        <f t="shared" ref="N324:N387" si="57">AVERAGEA(G324:G344)-AVERAGE(G345:G365)</f>
        <v>-0.32261904761904758</v>
      </c>
      <c r="O324" s="26">
        <f t="shared" ref="O324:O387" si="58">AVERAGEA(G324:G344)-AVERAGE(G345:G400)</f>
        <v>-0.27525183150183108</v>
      </c>
      <c r="P324" s="26">
        <f t="shared" ref="P324:P387" si="59">AVERAGEA(G324:G344)-AVERAGE(G345:G457)</f>
        <v>-0.27525183150183108</v>
      </c>
    </row>
    <row r="325" spans="1:16" x14ac:dyDescent="0.25">
      <c r="A325" s="2">
        <v>43773</v>
      </c>
      <c r="B325">
        <v>44.79</v>
      </c>
      <c r="C325">
        <v>47.13</v>
      </c>
      <c r="D325">
        <v>44.54</v>
      </c>
      <c r="E325">
        <v>44.78</v>
      </c>
      <c r="G325">
        <f t="shared" si="50"/>
        <v>0.79999999999999716</v>
      </c>
      <c r="H325">
        <f t="shared" si="51"/>
        <v>-1.8400000000000034</v>
      </c>
      <c r="I325" s="3">
        <f t="shared" si="52"/>
        <v>-1.6945676221141586</v>
      </c>
      <c r="J325" s="3">
        <f t="shared" si="53"/>
        <v>1.053441925969997</v>
      </c>
      <c r="K325" s="26">
        <f t="shared" si="54"/>
        <v>1.3014285714285716</v>
      </c>
      <c r="L325" s="26">
        <f t="shared" si="55"/>
        <v>1.6094677871148462</v>
      </c>
      <c r="M325" s="26">
        <f t="shared" si="56"/>
        <v>1.6094677871148462</v>
      </c>
      <c r="N325" s="26">
        <f t="shared" si="57"/>
        <v>-0.30785714285714283</v>
      </c>
      <c r="O325" s="26">
        <f t="shared" si="58"/>
        <v>-0.23767507002801058</v>
      </c>
      <c r="P325" s="26">
        <f t="shared" si="59"/>
        <v>-0.23767507002801058</v>
      </c>
    </row>
    <row r="326" spans="1:16" x14ac:dyDescent="0.25">
      <c r="A326" s="2">
        <v>43770</v>
      </c>
      <c r="B326">
        <v>45.01</v>
      </c>
      <c r="C326">
        <v>46.85</v>
      </c>
      <c r="D326">
        <v>45.13</v>
      </c>
      <c r="E326">
        <v>45.13</v>
      </c>
      <c r="G326">
        <f t="shared" si="50"/>
        <v>0.55499999999999261</v>
      </c>
      <c r="H326">
        <f t="shared" si="51"/>
        <v>-1.6499999999999986</v>
      </c>
      <c r="I326" s="3">
        <f t="shared" si="52"/>
        <v>-2.2895878765519266</v>
      </c>
      <c r="J326" s="3">
        <f t="shared" si="53"/>
        <v>1.1820833201712864</v>
      </c>
      <c r="K326" s="26">
        <f t="shared" si="54"/>
        <v>1.1585714285714288</v>
      </c>
      <c r="L326" s="26">
        <f t="shared" si="55"/>
        <v>1.4400095238095236</v>
      </c>
      <c r="M326" s="26">
        <f t="shared" si="56"/>
        <v>1.4400095238095236</v>
      </c>
      <c r="N326" s="26">
        <f t="shared" si="57"/>
        <v>-0.2269047619047615</v>
      </c>
      <c r="O326" s="26">
        <f t="shared" si="58"/>
        <v>-0.16890952380952307</v>
      </c>
      <c r="P326" s="26">
        <f t="shared" si="59"/>
        <v>-0.16890952380952307</v>
      </c>
    </row>
    <row r="327" spans="1:16" x14ac:dyDescent="0.25">
      <c r="A327" s="2">
        <v>43769</v>
      </c>
      <c r="B327">
        <v>44.9</v>
      </c>
      <c r="C327">
        <v>46.55</v>
      </c>
      <c r="D327">
        <v>45.17</v>
      </c>
      <c r="E327">
        <v>45.17</v>
      </c>
      <c r="G327">
        <f t="shared" si="50"/>
        <v>1.0750000000000028</v>
      </c>
      <c r="H327">
        <f t="shared" si="51"/>
        <v>-2.1099999999999994</v>
      </c>
      <c r="I327" s="3">
        <f t="shared" si="52"/>
        <v>-1.1990241405633559</v>
      </c>
      <c r="J327" s="3">
        <f t="shared" si="53"/>
        <v>0.92857558077147617</v>
      </c>
      <c r="K327" s="26">
        <f t="shared" si="54"/>
        <v>1.1452380952380961</v>
      </c>
      <c r="L327" s="26">
        <f t="shared" si="55"/>
        <v>1.330136054421768</v>
      </c>
      <c r="M327" s="26">
        <f t="shared" si="56"/>
        <v>1.330136054421768</v>
      </c>
      <c r="N327" s="26">
        <f t="shared" si="57"/>
        <v>-0.1926190476190468</v>
      </c>
      <c r="O327" s="26">
        <f t="shared" si="58"/>
        <v>-0.10581632653061157</v>
      </c>
      <c r="P327" s="26">
        <f t="shared" si="59"/>
        <v>-0.10581632653061157</v>
      </c>
    </row>
    <row r="328" spans="1:16" x14ac:dyDescent="0.25">
      <c r="A328" s="2">
        <v>43768</v>
      </c>
      <c r="B328">
        <v>45.56</v>
      </c>
      <c r="C328">
        <v>47.67</v>
      </c>
      <c r="D328">
        <v>45.54</v>
      </c>
      <c r="E328">
        <v>45.53</v>
      </c>
      <c r="G328">
        <f t="shared" si="50"/>
        <v>1.1999999999999957</v>
      </c>
      <c r="H328">
        <f t="shared" si="51"/>
        <v>-2.019999999999996</v>
      </c>
      <c r="I328" s="3">
        <f t="shared" si="52"/>
        <v>-0.93120017062428206</v>
      </c>
      <c r="J328" s="3">
        <f t="shared" si="53"/>
        <v>0.9947333636810255</v>
      </c>
      <c r="K328" s="26">
        <f t="shared" si="54"/>
        <v>1.135714285714287</v>
      </c>
      <c r="L328" s="26">
        <f t="shared" si="55"/>
        <v>1.2210119047619044</v>
      </c>
      <c r="M328" s="26">
        <f t="shared" si="56"/>
        <v>1.2210119047619044</v>
      </c>
      <c r="N328" s="26">
        <f t="shared" si="57"/>
        <v>-0.23404761904761862</v>
      </c>
      <c r="O328" s="26">
        <f t="shared" si="58"/>
        <v>-0.10190476190476128</v>
      </c>
      <c r="P328" s="26">
        <f t="shared" si="59"/>
        <v>-0.10190476190476128</v>
      </c>
    </row>
    <row r="329" spans="1:16" x14ac:dyDescent="0.25">
      <c r="A329" s="2">
        <v>43767</v>
      </c>
      <c r="B329">
        <v>45.64</v>
      </c>
      <c r="C329">
        <v>47.66</v>
      </c>
      <c r="D329">
        <v>45.45</v>
      </c>
      <c r="E329">
        <v>45.45</v>
      </c>
      <c r="G329">
        <f t="shared" si="50"/>
        <v>0.93999999999999773</v>
      </c>
      <c r="H329">
        <f t="shared" si="51"/>
        <v>-1.4200000000000017</v>
      </c>
      <c r="I329" s="3">
        <f t="shared" si="52"/>
        <v>-1.5453012061146498</v>
      </c>
      <c r="J329" s="3">
        <f t="shared" si="53"/>
        <v>1.3665133678432095</v>
      </c>
      <c r="K329" s="26">
        <f t="shared" si="54"/>
        <v>1.1000000000000005</v>
      </c>
      <c r="L329" s="26">
        <f t="shared" si="55"/>
        <v>1.1191084093211749</v>
      </c>
      <c r="M329" s="26">
        <f t="shared" si="56"/>
        <v>1.1191084093211749</v>
      </c>
      <c r="N329" s="26">
        <f t="shared" si="57"/>
        <v>-0.23523809523809547</v>
      </c>
      <c r="O329" s="26">
        <f t="shared" si="58"/>
        <v>-8.4599797365754625E-2</v>
      </c>
      <c r="P329" s="26">
        <f t="shared" si="59"/>
        <v>-8.4599797365754625E-2</v>
      </c>
    </row>
    <row r="330" spans="1:16" x14ac:dyDescent="0.25">
      <c r="A330" s="2">
        <v>43766</v>
      </c>
      <c r="B330">
        <v>50</v>
      </c>
      <c r="C330">
        <v>51.42</v>
      </c>
      <c r="D330">
        <v>49.77</v>
      </c>
      <c r="E330">
        <v>50.05</v>
      </c>
      <c r="G330">
        <f t="shared" si="50"/>
        <v>1.3049999999999997</v>
      </c>
      <c r="H330">
        <f t="shared" si="51"/>
        <v>-1.9099999999999966</v>
      </c>
      <c r="I330" s="3">
        <f t="shared" si="52"/>
        <v>-0.73223915260529782</v>
      </c>
      <c r="J330" s="3">
        <f t="shared" si="53"/>
        <v>1.1027647290702185</v>
      </c>
      <c r="K330" s="26">
        <f t="shared" si="54"/>
        <v>1.1585714285714288</v>
      </c>
      <c r="L330" s="26">
        <f t="shared" si="55"/>
        <v>1.068333333333332</v>
      </c>
      <c r="M330" s="26">
        <f t="shared" si="56"/>
        <v>1.068333333333332</v>
      </c>
      <c r="N330" s="26">
        <f t="shared" si="57"/>
        <v>-0.24928571428571478</v>
      </c>
      <c r="O330" s="26">
        <f t="shared" si="58"/>
        <v>-7.5419254658385171E-2</v>
      </c>
      <c r="P330" s="26">
        <f t="shared" si="59"/>
        <v>-7.5419254658385171E-2</v>
      </c>
    </row>
    <row r="331" spans="1:16" x14ac:dyDescent="0.25">
      <c r="A331" s="2">
        <v>43763</v>
      </c>
      <c r="B331">
        <v>51.13</v>
      </c>
      <c r="C331">
        <v>53.04</v>
      </c>
      <c r="D331">
        <v>50.78</v>
      </c>
      <c r="E331">
        <v>50.77</v>
      </c>
      <c r="G331">
        <f t="shared" si="50"/>
        <v>1.240000000000002</v>
      </c>
      <c r="H331">
        <f t="shared" si="51"/>
        <v>-2.019999999999996</v>
      </c>
      <c r="I331" s="3">
        <f t="shared" si="52"/>
        <v>-0.89217272186015928</v>
      </c>
      <c r="J331" s="3">
        <f t="shared" si="53"/>
        <v>1.0554582123579654</v>
      </c>
      <c r="K331" s="26">
        <f t="shared" si="54"/>
        <v>1.3395238095238096</v>
      </c>
      <c r="L331" s="26">
        <f t="shared" si="55"/>
        <v>1.1013015873015863</v>
      </c>
      <c r="M331" s="26">
        <f t="shared" si="56"/>
        <v>1.1013015873015863</v>
      </c>
      <c r="N331" s="26">
        <f t="shared" si="57"/>
        <v>-0.29071428571428615</v>
      </c>
      <c r="O331" s="26">
        <f t="shared" si="58"/>
        <v>-8.3603174603174679E-2</v>
      </c>
      <c r="P331" s="26">
        <f t="shared" si="59"/>
        <v>-8.3603174603174679E-2</v>
      </c>
    </row>
    <row r="332" spans="1:16" x14ac:dyDescent="0.25">
      <c r="A332" s="2">
        <v>43762</v>
      </c>
      <c r="B332">
        <v>50.99</v>
      </c>
      <c r="C332">
        <v>53.01</v>
      </c>
      <c r="D332">
        <v>50.76</v>
      </c>
      <c r="E332">
        <v>51.03</v>
      </c>
      <c r="G332">
        <f t="shared" si="50"/>
        <v>1.1099999999999994</v>
      </c>
      <c r="H332">
        <f t="shared" si="51"/>
        <v>-2.1600000000000037</v>
      </c>
      <c r="I332" s="3">
        <f t="shared" si="52"/>
        <v>-1.2069536268948347</v>
      </c>
      <c r="J332" s="3">
        <f t="shared" si="53"/>
        <v>0.98865841890322415</v>
      </c>
      <c r="K332" s="26">
        <f t="shared" si="54"/>
        <v>1.4380952380952383</v>
      </c>
      <c r="L332" s="26">
        <f t="shared" si="55"/>
        <v>1.0760606060606053</v>
      </c>
      <c r="M332" s="26">
        <f t="shared" si="56"/>
        <v>1.0760606060606053</v>
      </c>
      <c r="N332" s="26">
        <f t="shared" si="57"/>
        <v>-0.2771428571428578</v>
      </c>
      <c r="O332" s="26">
        <f t="shared" si="58"/>
        <v>-5.9145021645022E-2</v>
      </c>
      <c r="P332" s="26">
        <f t="shared" si="59"/>
        <v>-5.9145021645022E-2</v>
      </c>
    </row>
    <row r="333" spans="1:16" x14ac:dyDescent="0.25">
      <c r="A333" s="2">
        <v>43761</v>
      </c>
      <c r="B333">
        <v>51.58</v>
      </c>
      <c r="C333">
        <v>53.74</v>
      </c>
      <c r="D333">
        <v>51.55</v>
      </c>
      <c r="E333">
        <v>51.54</v>
      </c>
      <c r="G333">
        <f t="shared" si="50"/>
        <v>2.1400000000000006</v>
      </c>
      <c r="H333">
        <f t="shared" si="51"/>
        <v>-2.1199999999999974</v>
      </c>
      <c r="I333" s="3">
        <f t="shared" si="52"/>
        <v>1.1746797614272178</v>
      </c>
      <c r="J333" s="3">
        <f t="shared" si="53"/>
        <v>1.0280859941994021</v>
      </c>
      <c r="K333" s="26">
        <f t="shared" si="54"/>
        <v>1.5566666666666666</v>
      </c>
      <c r="L333" s="26">
        <f t="shared" si="55"/>
        <v>1.0699557032115168</v>
      </c>
      <c r="M333" s="26">
        <f t="shared" si="56"/>
        <v>1.0699557032115168</v>
      </c>
      <c r="N333" s="26">
        <f t="shared" si="57"/>
        <v>-0.28928571428571415</v>
      </c>
      <c r="O333" s="26">
        <f t="shared" si="58"/>
        <v>-5.4645625692136823E-2</v>
      </c>
      <c r="P333" s="26">
        <f t="shared" si="59"/>
        <v>-5.4645625692136823E-2</v>
      </c>
    </row>
    <row r="334" spans="1:16" x14ac:dyDescent="0.25">
      <c r="A334" s="2">
        <v>43760</v>
      </c>
      <c r="B334">
        <v>53.78</v>
      </c>
      <c r="C334">
        <v>55.9</v>
      </c>
      <c r="D334">
        <v>52.7</v>
      </c>
      <c r="E334">
        <v>52.69</v>
      </c>
      <c r="G334">
        <f t="shared" si="50"/>
        <v>1.625</v>
      </c>
      <c r="H334">
        <f t="shared" si="51"/>
        <v>-1.6099999999999994</v>
      </c>
      <c r="I334" s="3">
        <f t="shared" si="52"/>
        <v>-9.2965591518791354E-3</v>
      </c>
      <c r="J334" s="3">
        <f t="shared" si="53"/>
        <v>1.351690972304703</v>
      </c>
      <c r="K334" s="26">
        <f t="shared" si="54"/>
        <v>1.6733333333333329</v>
      </c>
      <c r="L334" s="26">
        <f t="shared" si="55"/>
        <v>1.064047619047618</v>
      </c>
      <c r="M334" s="26">
        <f t="shared" si="56"/>
        <v>1.064047619047618</v>
      </c>
      <c r="N334" s="26">
        <f t="shared" si="57"/>
        <v>-0.32999999999999963</v>
      </c>
      <c r="O334" s="26">
        <f t="shared" si="58"/>
        <v>-8.2738095238094944E-2</v>
      </c>
      <c r="P334" s="26">
        <f t="shared" si="59"/>
        <v>-8.2738095238094944E-2</v>
      </c>
    </row>
    <row r="335" spans="1:16" x14ac:dyDescent="0.25">
      <c r="A335" s="2">
        <v>43759</v>
      </c>
      <c r="B335">
        <v>55.45</v>
      </c>
      <c r="C335">
        <v>57.06</v>
      </c>
      <c r="D335">
        <v>54.63</v>
      </c>
      <c r="E335">
        <v>54.87</v>
      </c>
      <c r="G335">
        <f t="shared" si="50"/>
        <v>1.2399999999999949</v>
      </c>
      <c r="H335">
        <f t="shared" si="51"/>
        <v>-0.53999999999999915</v>
      </c>
      <c r="I335" s="3">
        <f t="shared" si="52"/>
        <v>-0.9040194450258231</v>
      </c>
      <c r="J335" s="3">
        <f t="shared" si="53"/>
        <v>2.0311976959668971</v>
      </c>
      <c r="K335" s="26">
        <f t="shared" si="54"/>
        <v>1.859999999999999</v>
      </c>
      <c r="L335" s="26">
        <f t="shared" si="55"/>
        <v>1.0958420441347259</v>
      </c>
      <c r="M335" s="26">
        <f t="shared" si="56"/>
        <v>1.0958420441347259</v>
      </c>
      <c r="N335" s="26">
        <f t="shared" si="57"/>
        <v>-0.40095238095238095</v>
      </c>
      <c r="O335" s="26">
        <f t="shared" si="58"/>
        <v>-0.12383275261324034</v>
      </c>
      <c r="P335" s="26">
        <f t="shared" si="59"/>
        <v>-0.12383275261324034</v>
      </c>
    </row>
    <row r="336" spans="1:16" x14ac:dyDescent="0.25">
      <c r="A336" s="2">
        <v>43756</v>
      </c>
      <c r="B336">
        <v>56.17</v>
      </c>
      <c r="C336">
        <v>56.71</v>
      </c>
      <c r="D336">
        <v>55.2</v>
      </c>
      <c r="E336">
        <v>55.2</v>
      </c>
      <c r="G336">
        <f t="shared" si="50"/>
        <v>1.1850000000000023</v>
      </c>
      <c r="H336">
        <f t="shared" si="51"/>
        <v>-1.4699999999999989</v>
      </c>
      <c r="I336" s="3">
        <f t="shared" si="52"/>
        <v>-1.0451725252158417</v>
      </c>
      <c r="J336" s="3">
        <f t="shared" si="53"/>
        <v>1.5429377982250794</v>
      </c>
      <c r="K336" s="26">
        <f t="shared" si="54"/>
        <v>1.9685714285714284</v>
      </c>
      <c r="L336" s="26">
        <f t="shared" si="55"/>
        <v>1.0226785714285715</v>
      </c>
      <c r="M336" s="26">
        <f t="shared" si="56"/>
        <v>1.0226785714285715</v>
      </c>
      <c r="N336" s="26">
        <f t="shared" si="57"/>
        <v>-0.45809523809523811</v>
      </c>
      <c r="O336" s="26">
        <f t="shared" si="58"/>
        <v>-0.1218988095238096</v>
      </c>
      <c r="P336" s="26">
        <f t="shared" si="59"/>
        <v>-0.1218988095238096</v>
      </c>
    </row>
    <row r="337" spans="1:16" x14ac:dyDescent="0.25">
      <c r="A337" s="2">
        <v>43755</v>
      </c>
      <c r="B337">
        <v>56.34</v>
      </c>
      <c r="C337">
        <v>57.81</v>
      </c>
      <c r="D337">
        <v>55.89</v>
      </c>
      <c r="E337">
        <v>55.88</v>
      </c>
      <c r="G337">
        <f t="shared" si="50"/>
        <v>1.105000000000004</v>
      </c>
      <c r="H337">
        <f t="shared" si="51"/>
        <v>-1.2700000000000031</v>
      </c>
      <c r="I337" s="3">
        <f t="shared" si="52"/>
        <v>-1.2494029612291542</v>
      </c>
      <c r="J337" s="3">
        <f t="shared" si="53"/>
        <v>1.713880229840504</v>
      </c>
      <c r="K337" s="26">
        <f t="shared" si="54"/>
        <v>1.9533333333333336</v>
      </c>
      <c r="L337" s="26">
        <f t="shared" si="55"/>
        <v>0.92457875457875405</v>
      </c>
      <c r="M337" s="26">
        <f t="shared" si="56"/>
        <v>0.92457875457875405</v>
      </c>
      <c r="N337" s="26">
        <f t="shared" si="57"/>
        <v>-0.42285714285714238</v>
      </c>
      <c r="O337" s="26">
        <f t="shared" si="58"/>
        <v>-7.3351648351648091E-2</v>
      </c>
      <c r="P337" s="26">
        <f t="shared" si="59"/>
        <v>-7.3351648351648091E-2</v>
      </c>
    </row>
    <row r="338" spans="1:16" x14ac:dyDescent="0.25">
      <c r="A338" s="2">
        <v>43754</v>
      </c>
      <c r="B338">
        <v>56.3</v>
      </c>
      <c r="C338">
        <v>57.57</v>
      </c>
      <c r="D338">
        <v>55.83</v>
      </c>
      <c r="E338">
        <v>55.85</v>
      </c>
      <c r="G338">
        <f t="shared" si="50"/>
        <v>1.5649999999999977</v>
      </c>
      <c r="H338">
        <f t="shared" si="51"/>
        <v>-1.0100000000000051</v>
      </c>
      <c r="I338" s="3">
        <f t="shared" si="52"/>
        <v>-0.20318264229725061</v>
      </c>
      <c r="J338" s="3">
        <f t="shared" si="53"/>
        <v>1.9402534804795257</v>
      </c>
      <c r="K338" s="26">
        <f t="shared" si="54"/>
        <v>1.7923809523809515</v>
      </c>
      <c r="L338" s="26">
        <f t="shared" si="55"/>
        <v>0.7577443609022545</v>
      </c>
      <c r="M338" s="26">
        <f t="shared" si="56"/>
        <v>0.7577443609022545</v>
      </c>
      <c r="N338" s="26">
        <f t="shared" si="57"/>
        <v>-0.37190476190476174</v>
      </c>
      <c r="O338" s="26">
        <f t="shared" si="58"/>
        <v>-2.9774436090225231E-2</v>
      </c>
      <c r="P338" s="26">
        <f t="shared" si="59"/>
        <v>-2.9774436090225231E-2</v>
      </c>
    </row>
    <row r="339" spans="1:16" x14ac:dyDescent="0.25">
      <c r="A339" s="2">
        <v>43753</v>
      </c>
      <c r="B339">
        <v>56.3</v>
      </c>
      <c r="C339">
        <v>57.31</v>
      </c>
      <c r="D339">
        <v>55.24</v>
      </c>
      <c r="E339">
        <v>55.31</v>
      </c>
      <c r="G339">
        <f t="shared" si="50"/>
        <v>1.7550000000000026</v>
      </c>
      <c r="H339">
        <f t="shared" si="51"/>
        <v>-2.9100000000000037</v>
      </c>
      <c r="I339" s="3">
        <f t="shared" si="52"/>
        <v>0.23490775526890403</v>
      </c>
      <c r="J339" s="3">
        <f t="shared" si="53"/>
        <v>0.77516746588144292</v>
      </c>
      <c r="K339" s="26">
        <f t="shared" si="54"/>
        <v>1.8000000000000012</v>
      </c>
      <c r="L339" s="26">
        <f t="shared" si="55"/>
        <v>0.6870913770913778</v>
      </c>
      <c r="M339" s="26">
        <f t="shared" si="56"/>
        <v>0.6870913770913778</v>
      </c>
      <c r="N339" s="26">
        <f t="shared" si="57"/>
        <v>-0.38619047619047642</v>
      </c>
      <c r="O339" s="26">
        <f t="shared" si="58"/>
        <v>-3.3159588159588305E-2</v>
      </c>
      <c r="P339" s="26">
        <f t="shared" si="59"/>
        <v>-3.3159588159588305E-2</v>
      </c>
    </row>
    <row r="340" spans="1:16" x14ac:dyDescent="0.25">
      <c r="A340" s="2">
        <v>43752</v>
      </c>
      <c r="B340">
        <v>55.79</v>
      </c>
      <c r="C340">
        <v>58.7</v>
      </c>
      <c r="D340">
        <v>55.49</v>
      </c>
      <c r="E340">
        <v>55.61</v>
      </c>
      <c r="G340">
        <f t="shared" si="50"/>
        <v>1.3800000000000026</v>
      </c>
      <c r="H340">
        <f t="shared" si="51"/>
        <v>-1.9400000000000048</v>
      </c>
      <c r="I340" s="3">
        <f t="shared" si="52"/>
        <v>-0.62391588439793633</v>
      </c>
      <c r="J340" s="3">
        <f t="shared" si="53"/>
        <v>1.4217092735756558</v>
      </c>
      <c r="K340" s="26">
        <f t="shared" si="54"/>
        <v>1.8119047619047626</v>
      </c>
      <c r="L340" s="26">
        <f t="shared" si="55"/>
        <v>0.64531746031746007</v>
      </c>
      <c r="M340" s="26">
        <f t="shared" si="56"/>
        <v>0.64531746031746007</v>
      </c>
      <c r="N340" s="26">
        <f t="shared" si="57"/>
        <v>-0.37309523809523881</v>
      </c>
      <c r="O340" s="26">
        <f t="shared" si="58"/>
        <v>-1.4087301587302203E-2</v>
      </c>
      <c r="P340" s="26">
        <f t="shared" si="59"/>
        <v>-1.4087301587302203E-2</v>
      </c>
    </row>
    <row r="341" spans="1:16" x14ac:dyDescent="0.25">
      <c r="A341" s="2">
        <v>43749</v>
      </c>
      <c r="B341">
        <v>55.98</v>
      </c>
      <c r="C341">
        <v>57.92</v>
      </c>
      <c r="D341">
        <v>55.57</v>
      </c>
      <c r="E341">
        <v>55.35</v>
      </c>
      <c r="G341">
        <f t="shared" si="50"/>
        <v>1.8950000000000031</v>
      </c>
      <c r="H341">
        <f t="shared" si="51"/>
        <v>-4.2099999999999937</v>
      </c>
      <c r="I341" s="3">
        <f t="shared" si="52"/>
        <v>0.54434208784370952</v>
      </c>
      <c r="J341" s="3">
        <f t="shared" si="53"/>
        <v>-4.0884594239077143E-2</v>
      </c>
      <c r="K341" s="26">
        <f t="shared" si="54"/>
        <v>1.7428571428571429</v>
      </c>
      <c r="L341" s="26">
        <f t="shared" si="55"/>
        <v>0.5700952380952371</v>
      </c>
      <c r="M341" s="26">
        <f t="shared" si="56"/>
        <v>0.5700952380952371</v>
      </c>
      <c r="N341" s="26">
        <f t="shared" si="57"/>
        <v>-0.32619047619047725</v>
      </c>
      <c r="O341" s="26">
        <f t="shared" si="58"/>
        <v>2.1809523809523057E-2</v>
      </c>
      <c r="P341" s="26">
        <f t="shared" si="59"/>
        <v>2.1809523809523057E-2</v>
      </c>
    </row>
    <row r="342" spans="1:16" x14ac:dyDescent="0.25">
      <c r="A342" s="2">
        <v>43748</v>
      </c>
      <c r="B342">
        <v>55.59</v>
      </c>
      <c r="C342">
        <v>59.8</v>
      </c>
      <c r="D342">
        <v>55.8</v>
      </c>
      <c r="E342">
        <v>55.93</v>
      </c>
      <c r="G342">
        <f t="shared" si="50"/>
        <v>1.5850000000000009</v>
      </c>
      <c r="H342">
        <f t="shared" si="51"/>
        <v>-5.2700000000000031</v>
      </c>
      <c r="I342" s="3">
        <f t="shared" si="52"/>
        <v>-0.15262569660474065</v>
      </c>
      <c r="J342" s="3">
        <f t="shared" si="53"/>
        <v>-0.73627231858484976</v>
      </c>
      <c r="K342" s="26">
        <f t="shared" si="54"/>
        <v>1.8304761904761904</v>
      </c>
      <c r="L342" s="26">
        <f t="shared" si="55"/>
        <v>0.65313725490196095</v>
      </c>
      <c r="M342" s="26">
        <f t="shared" si="56"/>
        <v>0.65313725490196095</v>
      </c>
      <c r="N342" s="26">
        <f t="shared" si="57"/>
        <v>-0.31952380952381065</v>
      </c>
      <c r="O342" s="26">
        <f t="shared" si="58"/>
        <v>1.5196078431371829E-2</v>
      </c>
      <c r="P342" s="26">
        <f t="shared" si="59"/>
        <v>1.5196078431371829E-2</v>
      </c>
    </row>
    <row r="343" spans="1:16" x14ac:dyDescent="0.25">
      <c r="A343" s="2">
        <v>43747</v>
      </c>
      <c r="B343">
        <v>54.83</v>
      </c>
      <c r="C343">
        <v>60.1</v>
      </c>
      <c r="D343">
        <v>55.88</v>
      </c>
      <c r="E343">
        <v>55.88</v>
      </c>
      <c r="G343">
        <f t="shared" si="50"/>
        <v>2.105000000000004</v>
      </c>
      <c r="H343">
        <f t="shared" si="51"/>
        <v>-5.6700000000000017</v>
      </c>
      <c r="I343" s="3">
        <f t="shared" si="52"/>
        <v>1.0149976807161305</v>
      </c>
      <c r="J343" s="3">
        <f t="shared" si="53"/>
        <v>-1.0079304787991694</v>
      </c>
      <c r="K343" s="26">
        <f t="shared" si="54"/>
        <v>1.9819047619047621</v>
      </c>
      <c r="L343" s="26">
        <f t="shared" si="55"/>
        <v>0.78952380952380929</v>
      </c>
      <c r="M343" s="26">
        <f t="shared" si="56"/>
        <v>0.78952380952380929</v>
      </c>
      <c r="N343" s="26">
        <f t="shared" si="57"/>
        <v>-0.31190476190476257</v>
      </c>
      <c r="O343" s="26">
        <f t="shared" si="58"/>
        <v>1.0606060606060064E-2</v>
      </c>
      <c r="P343" s="26">
        <f t="shared" si="59"/>
        <v>1.0606060606060064E-2</v>
      </c>
    </row>
    <row r="344" spans="1:16" x14ac:dyDescent="0.25">
      <c r="A344" s="2">
        <v>43746</v>
      </c>
      <c r="B344">
        <v>55.07</v>
      </c>
      <c r="C344">
        <v>60.74</v>
      </c>
      <c r="D344">
        <v>55.8</v>
      </c>
      <c r="E344">
        <v>55.79</v>
      </c>
      <c r="G344">
        <f t="shared" si="50"/>
        <v>1.5700000000000003</v>
      </c>
      <c r="H344">
        <f t="shared" si="51"/>
        <v>-3.8599999999999994</v>
      </c>
      <c r="I344" s="3">
        <f t="shared" si="52"/>
        <v>-0.16869174855034197</v>
      </c>
      <c r="J344" s="3">
        <f t="shared" si="53"/>
        <v>0.1549075664515347</v>
      </c>
      <c r="K344" s="26">
        <f t="shared" si="54"/>
        <v>1.878571428571429</v>
      </c>
      <c r="L344" s="26">
        <f t="shared" si="55"/>
        <v>0.770595238095237</v>
      </c>
      <c r="M344" s="26">
        <f t="shared" si="56"/>
        <v>0.770595238095237</v>
      </c>
      <c r="N344" s="26">
        <f t="shared" si="57"/>
        <v>-0.26785714285714368</v>
      </c>
      <c r="O344" s="26">
        <f t="shared" si="58"/>
        <v>2.4449404761904159E-2</v>
      </c>
      <c r="P344" s="26">
        <f t="shared" si="59"/>
        <v>2.4449404761904159E-2</v>
      </c>
    </row>
    <row r="345" spans="1:16" x14ac:dyDescent="0.25">
      <c r="A345" s="2">
        <v>43745</v>
      </c>
      <c r="B345">
        <v>55.67</v>
      </c>
      <c r="C345">
        <v>59.53</v>
      </c>
      <c r="D345">
        <v>56.03</v>
      </c>
      <c r="E345">
        <v>56.02</v>
      </c>
      <c r="G345">
        <f t="shared" si="50"/>
        <v>2.0450000000000017</v>
      </c>
      <c r="H345">
        <f t="shared" si="51"/>
        <v>-4.9699999999999989</v>
      </c>
      <c r="I345" s="3">
        <f t="shared" si="52"/>
        <v>0.88803143775761595</v>
      </c>
      <c r="J345" s="3">
        <f t="shared" si="53"/>
        <v>-0.56176309931514579</v>
      </c>
      <c r="K345" s="26">
        <f t="shared" si="54"/>
        <v>1.6219047619047617</v>
      </c>
      <c r="L345" s="26">
        <f t="shared" si="55"/>
        <v>0.60038402457757156</v>
      </c>
      <c r="M345" s="26">
        <f t="shared" si="56"/>
        <v>0.60038402457757156</v>
      </c>
      <c r="N345" s="26">
        <f t="shared" si="57"/>
        <v>-0.18095238095238142</v>
      </c>
      <c r="O345" s="26">
        <f t="shared" si="58"/>
        <v>7.9454685099846101E-2</v>
      </c>
      <c r="P345" s="26">
        <f t="shared" si="59"/>
        <v>7.9454685099846101E-2</v>
      </c>
    </row>
    <row r="346" spans="1:16" x14ac:dyDescent="0.25">
      <c r="A346" s="2">
        <v>43742</v>
      </c>
      <c r="B346">
        <v>55.89</v>
      </c>
      <c r="C346">
        <v>60.86</v>
      </c>
      <c r="D346">
        <v>56.33</v>
      </c>
      <c r="E346">
        <v>56.26</v>
      </c>
      <c r="G346">
        <f t="shared" si="50"/>
        <v>2.0649999999999977</v>
      </c>
      <c r="H346">
        <f t="shared" si="51"/>
        <v>-5.0100000000000051</v>
      </c>
      <c r="I346" s="3">
        <f t="shared" si="52"/>
        <v>0.94815010757199591</v>
      </c>
      <c r="J346" s="3">
        <f t="shared" si="53"/>
        <v>-0.59463827855511664</v>
      </c>
      <c r="K346" s="26">
        <f t="shared" si="54"/>
        <v>1.4728571428571429</v>
      </c>
      <c r="L346" s="26">
        <f t="shared" si="55"/>
        <v>0.52366666666666584</v>
      </c>
      <c r="M346" s="26">
        <f t="shared" si="56"/>
        <v>0.52366666666666584</v>
      </c>
      <c r="N346" s="26">
        <f t="shared" si="57"/>
        <v>-0.11166666666666725</v>
      </c>
      <c r="O346" s="26">
        <f t="shared" si="58"/>
        <v>0.11930952380952342</v>
      </c>
      <c r="P346" s="26">
        <f t="shared" si="59"/>
        <v>0.11930952380952342</v>
      </c>
    </row>
    <row r="347" spans="1:16" x14ac:dyDescent="0.25">
      <c r="A347" s="2">
        <v>43741</v>
      </c>
      <c r="B347">
        <v>56.3</v>
      </c>
      <c r="C347">
        <v>61.31</v>
      </c>
      <c r="D347">
        <v>56.74</v>
      </c>
      <c r="E347">
        <v>56.51</v>
      </c>
      <c r="G347">
        <f t="shared" si="50"/>
        <v>1.8049999999999997</v>
      </c>
      <c r="H347">
        <f t="shared" si="51"/>
        <v>-3.9899999999999949</v>
      </c>
      <c r="I347" s="3">
        <f t="shared" si="52"/>
        <v>0.38860646621091366</v>
      </c>
      <c r="J347" s="3">
        <f t="shared" si="53"/>
        <v>4.8653389591528817E-2</v>
      </c>
      <c r="K347" s="26">
        <f t="shared" si="54"/>
        <v>1.3271428571428561</v>
      </c>
      <c r="L347" s="26">
        <f t="shared" si="55"/>
        <v>0.48523809523809325</v>
      </c>
      <c r="M347" s="26">
        <f t="shared" si="56"/>
        <v>0.48523809523809325</v>
      </c>
      <c r="N347" s="26">
        <f t="shared" si="57"/>
        <v>-0.10452380952381013</v>
      </c>
      <c r="O347" s="26">
        <f t="shared" si="58"/>
        <v>9.9991789819375398E-2</v>
      </c>
      <c r="P347" s="26">
        <f t="shared" si="59"/>
        <v>9.9991789819375398E-2</v>
      </c>
    </row>
    <row r="348" spans="1:16" x14ac:dyDescent="0.25">
      <c r="A348" s="2">
        <v>43740</v>
      </c>
      <c r="B348">
        <v>56.09</v>
      </c>
      <c r="C348">
        <v>60.08</v>
      </c>
      <c r="D348">
        <v>56.28</v>
      </c>
      <c r="E348">
        <v>56.27</v>
      </c>
      <c r="G348">
        <f t="shared" si="50"/>
        <v>1.2999999999999972</v>
      </c>
      <c r="H348">
        <f t="shared" si="51"/>
        <v>-4.2999999999999972</v>
      </c>
      <c r="I348" s="3">
        <f t="shared" si="52"/>
        <v>-0.71920162983768887</v>
      </c>
      <c r="J348" s="3">
        <f t="shared" si="53"/>
        <v>-0.14677010201009899</v>
      </c>
      <c r="K348" s="26">
        <f t="shared" si="54"/>
        <v>1.036666666666664</v>
      </c>
      <c r="L348" s="26">
        <f t="shared" si="55"/>
        <v>0.32357142857142618</v>
      </c>
      <c r="M348" s="26">
        <f t="shared" si="56"/>
        <v>0.32357142857142618</v>
      </c>
      <c r="N348" s="26">
        <f t="shared" si="57"/>
        <v>-1.7380952380953829E-2</v>
      </c>
      <c r="O348" s="26">
        <f t="shared" si="58"/>
        <v>0.15190476190476088</v>
      </c>
      <c r="P348" s="26">
        <f t="shared" si="59"/>
        <v>0.15190476190476088</v>
      </c>
    </row>
    <row r="349" spans="1:16" x14ac:dyDescent="0.25">
      <c r="A349" s="2">
        <v>43739</v>
      </c>
      <c r="B349">
        <v>54.78</v>
      </c>
      <c r="C349">
        <v>59.08</v>
      </c>
      <c r="D349">
        <v>55.63</v>
      </c>
      <c r="E349">
        <v>55.62</v>
      </c>
      <c r="G349">
        <f t="shared" si="50"/>
        <v>1.5849999999999937</v>
      </c>
      <c r="H349">
        <f t="shared" si="51"/>
        <v>-4.1300000000000026</v>
      </c>
      <c r="I349" s="3">
        <f t="shared" si="52"/>
        <v>-0.10592629837454694</v>
      </c>
      <c r="J349" s="3">
        <f t="shared" si="53"/>
        <v>-4.1959843829865874E-2</v>
      </c>
      <c r="K349" s="26">
        <f t="shared" si="54"/>
        <v>0.73428571428571221</v>
      </c>
      <c r="L349" s="26">
        <f t="shared" si="55"/>
        <v>0.15164021164020891</v>
      </c>
      <c r="M349" s="26">
        <f t="shared" si="56"/>
        <v>0.15164021164020891</v>
      </c>
      <c r="N349" s="26">
        <f t="shared" si="57"/>
        <v>9.3809523809522899E-2</v>
      </c>
      <c r="O349" s="26">
        <f t="shared" si="58"/>
        <v>0.23492063492063409</v>
      </c>
      <c r="P349" s="26">
        <f t="shared" si="59"/>
        <v>0.23492063492063409</v>
      </c>
    </row>
    <row r="350" spans="1:16" x14ac:dyDescent="0.25">
      <c r="A350" s="2">
        <v>43738</v>
      </c>
      <c r="B350">
        <v>55.61</v>
      </c>
      <c r="C350">
        <v>59.74</v>
      </c>
      <c r="D350">
        <v>56.09</v>
      </c>
      <c r="E350">
        <v>56.07</v>
      </c>
      <c r="G350">
        <f t="shared" si="50"/>
        <v>1.2899999999999991</v>
      </c>
      <c r="H350">
        <f t="shared" si="51"/>
        <v>-2.980000000000004</v>
      </c>
      <c r="I350" s="3">
        <f t="shared" si="52"/>
        <v>-0.74671492256368421</v>
      </c>
      <c r="J350" s="3">
        <f t="shared" si="53"/>
        <v>0.66923674007911138</v>
      </c>
      <c r="K350" s="26">
        <f t="shared" si="54"/>
        <v>0.49666666666666437</v>
      </c>
      <c r="L350" s="26">
        <f t="shared" si="55"/>
        <v>3.4542124542121577E-2</v>
      </c>
      <c r="M350" s="26">
        <f t="shared" si="56"/>
        <v>3.4542124542121577E-2</v>
      </c>
      <c r="N350" s="26">
        <f t="shared" si="57"/>
        <v>0.16309523809523796</v>
      </c>
      <c r="O350" s="26">
        <f t="shared" si="58"/>
        <v>0.27230769230769214</v>
      </c>
      <c r="P350" s="26">
        <f t="shared" si="59"/>
        <v>0.27230769230769214</v>
      </c>
    </row>
    <row r="351" spans="1:16" x14ac:dyDescent="0.25">
      <c r="A351" s="2">
        <v>43735</v>
      </c>
      <c r="B351">
        <v>55.62</v>
      </c>
      <c r="C351">
        <v>58.6</v>
      </c>
      <c r="D351">
        <v>55.82</v>
      </c>
      <c r="E351">
        <v>55.63</v>
      </c>
      <c r="G351">
        <f t="shared" si="50"/>
        <v>1.2950000000000017</v>
      </c>
      <c r="H351">
        <f t="shared" si="51"/>
        <v>-2.1299999999999955</v>
      </c>
      <c r="I351" s="3">
        <f t="shared" si="52"/>
        <v>-0.74853556172957159</v>
      </c>
      <c r="J351" s="3">
        <f t="shared" si="53"/>
        <v>1.202548645088839</v>
      </c>
      <c r="K351" s="26">
        <f t="shared" si="54"/>
        <v>0.19142857142856862</v>
      </c>
      <c r="L351" s="26">
        <f t="shared" si="55"/>
        <v>-0.16603809523809776</v>
      </c>
      <c r="M351" s="26">
        <f t="shared" si="56"/>
        <v>-0.16603809523809776</v>
      </c>
      <c r="N351" s="26">
        <f t="shared" si="57"/>
        <v>0.23476190476190495</v>
      </c>
      <c r="O351" s="26">
        <f t="shared" si="58"/>
        <v>0.31991428571428582</v>
      </c>
      <c r="P351" s="26">
        <f t="shared" si="59"/>
        <v>0.31991428571428582</v>
      </c>
    </row>
    <row r="352" spans="1:16" x14ac:dyDescent="0.25">
      <c r="A352" s="2">
        <v>43734</v>
      </c>
      <c r="B352">
        <v>55.92</v>
      </c>
      <c r="C352">
        <v>58.05</v>
      </c>
      <c r="D352">
        <v>55.69</v>
      </c>
      <c r="E352">
        <v>55.68</v>
      </c>
      <c r="G352">
        <f t="shared" si="50"/>
        <v>1.7199999999999989</v>
      </c>
      <c r="H352">
        <f t="shared" si="51"/>
        <v>-3.0600000000000023</v>
      </c>
      <c r="I352" s="3">
        <f t="shared" si="52"/>
        <v>0.15129405555612035</v>
      </c>
      <c r="J352" s="3">
        <f t="shared" si="53"/>
        <v>0.66081675591136468</v>
      </c>
      <c r="K352" s="26">
        <f t="shared" si="54"/>
        <v>-0.17857142857142971</v>
      </c>
      <c r="L352" s="26">
        <f t="shared" si="55"/>
        <v>-0.44666666666666854</v>
      </c>
      <c r="M352" s="26">
        <f t="shared" si="56"/>
        <v>-0.44666666666666854</v>
      </c>
      <c r="N352" s="26">
        <f t="shared" si="57"/>
        <v>0.32071428571428662</v>
      </c>
      <c r="O352" s="26">
        <f t="shared" si="58"/>
        <v>0.38833333333333386</v>
      </c>
      <c r="P352" s="26">
        <f t="shared" si="59"/>
        <v>0.38833333333333386</v>
      </c>
    </row>
    <row r="353" spans="1:16" x14ac:dyDescent="0.25">
      <c r="A353" s="2">
        <v>43733</v>
      </c>
      <c r="B353">
        <v>56.29</v>
      </c>
      <c r="C353">
        <v>59.35</v>
      </c>
      <c r="D353">
        <v>56.1</v>
      </c>
      <c r="E353">
        <v>56.08</v>
      </c>
      <c r="G353">
        <f t="shared" si="50"/>
        <v>1.3500000000000085</v>
      </c>
      <c r="H353">
        <f t="shared" si="51"/>
        <v>-2.8999999999999986</v>
      </c>
      <c r="I353" s="3">
        <f t="shared" si="52"/>
        <v>-0.63277393924759329</v>
      </c>
      <c r="J353" s="3">
        <f t="shared" si="53"/>
        <v>0.7698548428293559</v>
      </c>
      <c r="K353" s="26">
        <f t="shared" si="54"/>
        <v>-0.51142857142857334</v>
      </c>
      <c r="L353" s="26">
        <f t="shared" si="55"/>
        <v>-0.69258799171842922</v>
      </c>
      <c r="M353" s="26">
        <f t="shared" si="56"/>
        <v>-0.69258799171842922</v>
      </c>
      <c r="N353" s="26">
        <f t="shared" si="57"/>
        <v>0.37380952380952492</v>
      </c>
      <c r="O353" s="26">
        <f t="shared" si="58"/>
        <v>0.41703933747412081</v>
      </c>
      <c r="P353" s="26">
        <f t="shared" si="59"/>
        <v>0.41703933747412081</v>
      </c>
    </row>
    <row r="354" spans="1:16" x14ac:dyDescent="0.25">
      <c r="A354" s="2">
        <v>43732</v>
      </c>
      <c r="B354">
        <v>55.95</v>
      </c>
      <c r="C354">
        <v>58.85</v>
      </c>
      <c r="D354">
        <v>56.05</v>
      </c>
      <c r="E354">
        <v>56.04</v>
      </c>
      <c r="G354">
        <f t="shared" si="50"/>
        <v>1.5850000000000009</v>
      </c>
      <c r="H354">
        <f t="shared" si="51"/>
        <v>-2.8900000000000006</v>
      </c>
      <c r="I354" s="3">
        <f t="shared" si="52"/>
        <v>-0.14738183511975683</v>
      </c>
      <c r="J354" s="3">
        <f t="shared" si="53"/>
        <v>0.790210367394649</v>
      </c>
      <c r="K354" s="26">
        <f t="shared" si="54"/>
        <v>-0.85857142857142943</v>
      </c>
      <c r="L354" s="26">
        <f t="shared" si="55"/>
        <v>-0.9512987012987022</v>
      </c>
      <c r="M354" s="26">
        <f t="shared" si="56"/>
        <v>-0.9512987012987022</v>
      </c>
      <c r="N354" s="26">
        <f t="shared" si="57"/>
        <v>0.43214285714285716</v>
      </c>
      <c r="O354" s="26">
        <f t="shared" si="58"/>
        <v>0.4586147186147187</v>
      </c>
      <c r="P354" s="26">
        <f t="shared" si="59"/>
        <v>0.4586147186147187</v>
      </c>
    </row>
    <row r="355" spans="1:16" x14ac:dyDescent="0.25">
      <c r="A355" s="2">
        <v>43731</v>
      </c>
      <c r="B355">
        <v>56.81</v>
      </c>
      <c r="C355">
        <v>59.7</v>
      </c>
      <c r="D355">
        <v>56.67</v>
      </c>
      <c r="E355">
        <v>56.86</v>
      </c>
      <c r="G355">
        <f t="shared" si="50"/>
        <v>1.0649999999999977</v>
      </c>
      <c r="H355">
        <f t="shared" si="51"/>
        <v>-2.0500000000000043</v>
      </c>
      <c r="I355" s="3">
        <f t="shared" si="52"/>
        <v>-1.232934316805159</v>
      </c>
      <c r="J355" s="3">
        <f t="shared" si="53"/>
        <v>1.317058685957871</v>
      </c>
      <c r="K355" s="26">
        <f t="shared" si="54"/>
        <v>-1.2185714285714293</v>
      </c>
      <c r="L355" s="26">
        <f t="shared" si="55"/>
        <v>-1.2185714285714293</v>
      </c>
      <c r="M355" s="26">
        <f t="shared" si="56"/>
        <v>-1.2185714285714293</v>
      </c>
      <c r="N355" s="26">
        <f t="shared" si="57"/>
        <v>0.49452380952380959</v>
      </c>
      <c r="O355" s="26">
        <f t="shared" si="58"/>
        <v>0.49452380952380959</v>
      </c>
      <c r="P355" s="26">
        <f t="shared" si="59"/>
        <v>0.49452380952380959</v>
      </c>
    </row>
    <row r="356" spans="1:16" x14ac:dyDescent="0.25">
      <c r="A356" s="2">
        <v>43728</v>
      </c>
      <c r="B356">
        <v>56.73</v>
      </c>
      <c r="C356">
        <v>58.78</v>
      </c>
      <c r="D356">
        <v>56.69</v>
      </c>
      <c r="E356">
        <v>56.67</v>
      </c>
      <c r="G356">
        <f t="shared" si="50"/>
        <v>1.4149999999999991</v>
      </c>
      <c r="H356">
        <f t="shared" si="51"/>
        <v>-2.8299999999999983</v>
      </c>
      <c r="I356" s="3">
        <f t="shared" si="52"/>
        <v>-0.53727293208428062</v>
      </c>
      <c r="J356" s="3">
        <f t="shared" si="53"/>
        <v>0.88276892991368794</v>
      </c>
      <c r="K356" s="26">
        <f t="shared" si="54"/>
        <v>-1.5665238095238112</v>
      </c>
      <c r="L356" s="26">
        <f t="shared" si="55"/>
        <v>-1.5665238095238112</v>
      </c>
      <c r="M356" s="26">
        <f t="shared" si="56"/>
        <v>-1.5665238095238112</v>
      </c>
      <c r="N356" s="26">
        <f t="shared" si="57"/>
        <v>0.56809523809523843</v>
      </c>
      <c r="O356" s="26">
        <f t="shared" si="58"/>
        <v>0.56809523809523843</v>
      </c>
      <c r="P356" s="26">
        <f t="shared" si="59"/>
        <v>0.56809523809523843</v>
      </c>
    </row>
    <row r="357" spans="1:16" x14ac:dyDescent="0.25">
      <c r="A357" s="2">
        <v>43727</v>
      </c>
      <c r="B357">
        <v>56.63</v>
      </c>
      <c r="C357">
        <v>59.46</v>
      </c>
      <c r="D357">
        <v>56.63</v>
      </c>
      <c r="E357">
        <v>56.78</v>
      </c>
      <c r="G357">
        <f t="shared" si="50"/>
        <v>2.0200000000000031</v>
      </c>
      <c r="H357">
        <f t="shared" si="51"/>
        <v>-3.7999999999999972</v>
      </c>
      <c r="I357" s="3">
        <f t="shared" si="52"/>
        <v>0.71273803102981914</v>
      </c>
      <c r="J357" s="3">
        <f t="shared" si="53"/>
        <v>0.30748308679050018</v>
      </c>
      <c r="K357" s="26">
        <f t="shared" si="54"/>
        <v>-1.9913533834586477</v>
      </c>
      <c r="L357" s="26">
        <f t="shared" si="55"/>
        <v>-1.9913533834586477</v>
      </c>
      <c r="M357" s="26">
        <f t="shared" si="56"/>
        <v>-1.9913533834586477</v>
      </c>
      <c r="N357" s="26">
        <f t="shared" si="57"/>
        <v>0.70778195488721862</v>
      </c>
      <c r="O357" s="26">
        <f t="shared" si="58"/>
        <v>0.70778195488721862</v>
      </c>
      <c r="P357" s="26">
        <f t="shared" si="59"/>
        <v>0.70778195488721862</v>
      </c>
    </row>
    <row r="358" spans="1:16" x14ac:dyDescent="0.25">
      <c r="A358" s="2">
        <v>43726</v>
      </c>
      <c r="B358">
        <v>57.09</v>
      </c>
      <c r="C358">
        <v>60.89</v>
      </c>
      <c r="D358">
        <v>56.97</v>
      </c>
      <c r="E358">
        <v>56.93</v>
      </c>
      <c r="G358">
        <f t="shared" si="50"/>
        <v>1.8950000000000031</v>
      </c>
      <c r="H358">
        <f t="shared" si="51"/>
        <v>-4.6099999999999994</v>
      </c>
      <c r="I358" s="3">
        <f t="shared" si="52"/>
        <v>0.46804435260562383</v>
      </c>
      <c r="J358" s="3">
        <f t="shared" si="53"/>
        <v>-0.17939409074499396</v>
      </c>
      <c r="K358" s="26">
        <f t="shared" si="54"/>
        <v>-2.2289682539682549</v>
      </c>
      <c r="L358" s="26">
        <f t="shared" si="55"/>
        <v>-2.2289682539682549</v>
      </c>
      <c r="M358" s="26">
        <f t="shared" si="56"/>
        <v>-2.2289682539682549</v>
      </c>
      <c r="N358" s="26">
        <f t="shared" si="57"/>
        <v>0.75726190476190469</v>
      </c>
      <c r="O358" s="26">
        <f t="shared" si="58"/>
        <v>0.75726190476190469</v>
      </c>
      <c r="P358" s="26">
        <f t="shared" si="59"/>
        <v>0.75726190476190469</v>
      </c>
    </row>
    <row r="359" spans="1:16" x14ac:dyDescent="0.25">
      <c r="A359" s="2">
        <v>43725</v>
      </c>
      <c r="B359">
        <v>56.85</v>
      </c>
      <c r="C359">
        <v>61.46</v>
      </c>
      <c r="D359">
        <v>57.26</v>
      </c>
      <c r="E359">
        <v>57.34</v>
      </c>
      <c r="G359">
        <f t="shared" si="50"/>
        <v>1.5549999999999926</v>
      </c>
      <c r="H359">
        <f t="shared" si="51"/>
        <v>-3.1499999999999986</v>
      </c>
      <c r="I359" s="3">
        <f t="shared" si="52"/>
        <v>-0.22020555722582236</v>
      </c>
      <c r="J359" s="3">
        <f t="shared" si="53"/>
        <v>0.69205605852767271</v>
      </c>
      <c r="K359" s="26">
        <f t="shared" si="54"/>
        <v>-2.3127170868347342</v>
      </c>
      <c r="L359" s="26">
        <f t="shared" si="55"/>
        <v>-2.3127170868347342</v>
      </c>
      <c r="M359" s="26">
        <f t="shared" si="56"/>
        <v>-2.3127170868347342</v>
      </c>
      <c r="N359" s="26">
        <f t="shared" si="57"/>
        <v>0.7647619047619052</v>
      </c>
      <c r="O359" s="26">
        <f t="shared" si="58"/>
        <v>0.7647619047619052</v>
      </c>
      <c r="P359" s="26">
        <f t="shared" si="59"/>
        <v>0.7647619047619052</v>
      </c>
    </row>
    <row r="360" spans="1:16" x14ac:dyDescent="0.25">
      <c r="A360" s="2">
        <v>43724</v>
      </c>
      <c r="B360">
        <v>57.29</v>
      </c>
      <c r="C360">
        <v>60.44</v>
      </c>
      <c r="D360">
        <v>57.31</v>
      </c>
      <c r="E360">
        <v>57.25</v>
      </c>
      <c r="G360">
        <f t="shared" si="50"/>
        <v>1.9749999999999943</v>
      </c>
      <c r="H360">
        <f t="shared" si="51"/>
        <v>-3.990000000000002</v>
      </c>
      <c r="I360" s="3">
        <f t="shared" si="52"/>
        <v>0.62493548564408286</v>
      </c>
      <c r="J360" s="3">
        <f t="shared" si="53"/>
        <v>0.20656684418919879</v>
      </c>
      <c r="K360" s="26">
        <f t="shared" si="54"/>
        <v>-2.5736011904761922</v>
      </c>
      <c r="L360" s="26">
        <f t="shared" si="55"/>
        <v>-2.5736011904761922</v>
      </c>
      <c r="M360" s="26">
        <f t="shared" si="56"/>
        <v>-2.5736011904761922</v>
      </c>
      <c r="N360" s="26">
        <f t="shared" si="57"/>
        <v>0.81638392857142916</v>
      </c>
      <c r="O360" s="26">
        <f t="shared" si="58"/>
        <v>0.81638392857142916</v>
      </c>
      <c r="P360" s="26">
        <f t="shared" si="59"/>
        <v>0.81638392857142916</v>
      </c>
    </row>
    <row r="361" spans="1:16" x14ac:dyDescent="0.25">
      <c r="A361" s="2">
        <v>43721</v>
      </c>
      <c r="B361">
        <v>57.18</v>
      </c>
      <c r="C361">
        <v>61.17</v>
      </c>
      <c r="D361">
        <v>57.2</v>
      </c>
      <c r="E361">
        <v>57.19</v>
      </c>
      <c r="G361">
        <f t="shared" si="50"/>
        <v>1.9549999999999983</v>
      </c>
      <c r="H361">
        <f t="shared" si="51"/>
        <v>-3.8300000000000054</v>
      </c>
      <c r="I361" s="3">
        <f t="shared" si="52"/>
        <v>0.59682384120184784</v>
      </c>
      <c r="J361" s="3">
        <f t="shared" si="53"/>
        <v>0.30328156148131008</v>
      </c>
      <c r="K361" s="26">
        <f t="shared" si="54"/>
        <v>-2.7998095238095257</v>
      </c>
      <c r="L361" s="26">
        <f t="shared" si="55"/>
        <v>-2.7998095238095257</v>
      </c>
      <c r="M361" s="26">
        <f t="shared" si="56"/>
        <v>-2.7998095238095257</v>
      </c>
      <c r="N361" s="26">
        <f t="shared" si="57"/>
        <v>0.86161904761904795</v>
      </c>
      <c r="O361" s="26">
        <f t="shared" si="58"/>
        <v>0.86161904761904795</v>
      </c>
      <c r="P361" s="26">
        <f t="shared" si="59"/>
        <v>0.86161904761904795</v>
      </c>
    </row>
    <row r="362" spans="1:16" x14ac:dyDescent="0.25">
      <c r="A362" s="2">
        <v>43720</v>
      </c>
      <c r="B362">
        <v>57.76</v>
      </c>
      <c r="C362">
        <v>61.59</v>
      </c>
      <c r="D362">
        <v>57.72</v>
      </c>
      <c r="E362">
        <v>57.88</v>
      </c>
      <c r="G362">
        <f t="shared" si="50"/>
        <v>1.7150000000000034</v>
      </c>
      <c r="H362">
        <f t="shared" si="51"/>
        <v>-3.1900000000000048</v>
      </c>
      <c r="I362" s="3">
        <f t="shared" si="52"/>
        <v>0.13207703393882539</v>
      </c>
      <c r="J362" s="3">
        <f t="shared" si="53"/>
        <v>0.67824974641060154</v>
      </c>
      <c r="K362" s="26">
        <f t="shared" si="54"/>
        <v>-2.931904761904764</v>
      </c>
      <c r="L362" s="26">
        <f t="shared" si="55"/>
        <v>-2.931904761904764</v>
      </c>
      <c r="M362" s="26">
        <f t="shared" si="56"/>
        <v>-2.931904761904764</v>
      </c>
      <c r="N362" s="26">
        <f t="shared" si="57"/>
        <v>0.87000000000000077</v>
      </c>
      <c r="O362" s="26">
        <f t="shared" si="58"/>
        <v>0.87000000000000077</v>
      </c>
      <c r="P362" s="26">
        <f t="shared" si="59"/>
        <v>0.87000000000000077</v>
      </c>
    </row>
    <row r="363" spans="1:16" x14ac:dyDescent="0.25">
      <c r="A363" s="2">
        <v>43719</v>
      </c>
      <c r="B363">
        <v>57.73</v>
      </c>
      <c r="C363">
        <v>60.92</v>
      </c>
      <c r="D363">
        <v>57.61</v>
      </c>
      <c r="E363">
        <v>57.59</v>
      </c>
      <c r="G363">
        <f t="shared" si="50"/>
        <v>1.5500000000000043</v>
      </c>
      <c r="H363">
        <f t="shared" si="51"/>
        <v>-3.1799999999999997</v>
      </c>
      <c r="I363" s="3">
        <f t="shared" si="52"/>
        <v>-0.18861081313925143</v>
      </c>
      <c r="J363" s="3">
        <f t="shared" si="53"/>
        <v>0.69843636681265053</v>
      </c>
      <c r="K363" s="26">
        <f t="shared" si="54"/>
        <v>-3.0791941391941409</v>
      </c>
      <c r="L363" s="26">
        <f t="shared" si="55"/>
        <v>-3.0791941391941409</v>
      </c>
      <c r="M363" s="26">
        <f t="shared" si="56"/>
        <v>-3.0791941391941409</v>
      </c>
      <c r="N363" s="26">
        <f t="shared" si="57"/>
        <v>0.87542124542124622</v>
      </c>
      <c r="O363" s="26">
        <f t="shared" si="58"/>
        <v>0.87542124542124622</v>
      </c>
      <c r="P363" s="26">
        <f t="shared" si="59"/>
        <v>0.87542124542124622</v>
      </c>
    </row>
    <row r="364" spans="1:16" x14ac:dyDescent="0.25">
      <c r="A364" s="2">
        <v>43718</v>
      </c>
      <c r="B364">
        <v>56.11</v>
      </c>
      <c r="C364">
        <v>59.29</v>
      </c>
      <c r="D364">
        <v>56.15</v>
      </c>
      <c r="E364">
        <v>56.13</v>
      </c>
      <c r="G364">
        <f t="shared" si="50"/>
        <v>2.1000000000000014</v>
      </c>
      <c r="H364">
        <f t="shared" si="51"/>
        <v>-5.4200000000000017</v>
      </c>
      <c r="I364" s="3">
        <f t="shared" si="52"/>
        <v>0.86801658075504695</v>
      </c>
      <c r="J364" s="3">
        <f t="shared" si="53"/>
        <v>-0.56214239473388494</v>
      </c>
      <c r="K364" s="26">
        <f t="shared" si="54"/>
        <v>-3.279047619047621</v>
      </c>
      <c r="L364" s="26">
        <f t="shared" si="55"/>
        <v>-3.279047619047621</v>
      </c>
      <c r="M364" s="26">
        <f t="shared" si="56"/>
        <v>-3.279047619047621</v>
      </c>
      <c r="N364" s="26">
        <f t="shared" si="57"/>
        <v>0.88690476190476231</v>
      </c>
      <c r="O364" s="26">
        <f t="shared" si="58"/>
        <v>0.88690476190476231</v>
      </c>
      <c r="P364" s="26">
        <f t="shared" si="59"/>
        <v>0.88690476190476231</v>
      </c>
    </row>
    <row r="365" spans="1:16" x14ac:dyDescent="0.25">
      <c r="A365" s="2">
        <v>43717</v>
      </c>
      <c r="B365">
        <v>55.64</v>
      </c>
      <c r="C365">
        <v>61.06</v>
      </c>
      <c r="D365">
        <v>56.25</v>
      </c>
      <c r="E365">
        <v>56.24</v>
      </c>
      <c r="G365">
        <f t="shared" si="50"/>
        <v>2.2850000000000037</v>
      </c>
      <c r="H365">
        <f t="shared" si="51"/>
        <v>-6.2100000000000009</v>
      </c>
      <c r="I365" s="3">
        <f t="shared" si="52"/>
        <v>1.2470360923389718</v>
      </c>
      <c r="J365" s="3">
        <f t="shared" si="53"/>
        <v>-1.0187854916403392</v>
      </c>
      <c r="K365" s="26">
        <f t="shared" si="54"/>
        <v>-3.2232034632034661</v>
      </c>
      <c r="L365" s="26">
        <f t="shared" si="55"/>
        <v>-3.2232034632034661</v>
      </c>
      <c r="M365" s="26">
        <f t="shared" si="56"/>
        <v>-3.2232034632034661</v>
      </c>
      <c r="N365" s="26">
        <f t="shared" si="57"/>
        <v>0.85034632034632085</v>
      </c>
      <c r="O365" s="26">
        <f t="shared" si="58"/>
        <v>0.85034632034632085</v>
      </c>
      <c r="P365" s="26">
        <f t="shared" si="59"/>
        <v>0.85034632034632085</v>
      </c>
    </row>
    <row r="366" spans="1:16" x14ac:dyDescent="0.25">
      <c r="A366" s="2">
        <v>43714</v>
      </c>
      <c r="B366">
        <v>56.05</v>
      </c>
      <c r="C366">
        <v>62.26</v>
      </c>
      <c r="D366">
        <v>56.87</v>
      </c>
      <c r="E366">
        <v>56.86</v>
      </c>
      <c r="G366">
        <f t="shared" si="50"/>
        <v>2.3599999999999994</v>
      </c>
      <c r="H366">
        <f t="shared" si="51"/>
        <v>-5.6599999999999966</v>
      </c>
      <c r="I366" s="3">
        <f t="shared" si="52"/>
        <v>1.4458810233021877</v>
      </c>
      <c r="J366" s="3">
        <f t="shared" si="53"/>
        <v>-0.74252985821043871</v>
      </c>
      <c r="K366" s="26">
        <f t="shared" si="54"/>
        <v>-3.1667142857142867</v>
      </c>
      <c r="L366" s="26">
        <f t="shared" si="55"/>
        <v>-3.1667142857142867</v>
      </c>
      <c r="M366" s="26">
        <f t="shared" si="56"/>
        <v>-3.1667142857142867</v>
      </c>
      <c r="N366" s="26">
        <f t="shared" si="57"/>
        <v>0.80726190476190562</v>
      </c>
      <c r="O366" s="26">
        <f t="shared" si="58"/>
        <v>0.80726190476190562</v>
      </c>
      <c r="P366" s="26">
        <f t="shared" si="59"/>
        <v>0.80726190476190562</v>
      </c>
    </row>
    <row r="367" spans="1:16" x14ac:dyDescent="0.25">
      <c r="A367" s="2">
        <v>43713</v>
      </c>
      <c r="B367">
        <v>56.13</v>
      </c>
      <c r="C367">
        <v>61.79</v>
      </c>
      <c r="D367">
        <v>56.6</v>
      </c>
      <c r="E367">
        <v>56.67</v>
      </c>
      <c r="G367">
        <f t="shared" si="50"/>
        <v>1.6299999999999955</v>
      </c>
      <c r="H367">
        <f t="shared" si="51"/>
        <v>-5.18</v>
      </c>
      <c r="I367" s="3">
        <f t="shared" si="52"/>
        <v>8.0153366968543541E-2</v>
      </c>
      <c r="J367" s="3">
        <f t="shared" si="53"/>
        <v>-0.49276733806169509</v>
      </c>
      <c r="K367" s="26">
        <f t="shared" si="54"/>
        <v>-3.1639682539682554</v>
      </c>
      <c r="L367" s="26">
        <f t="shared" si="55"/>
        <v>-3.1639682539682554</v>
      </c>
      <c r="M367" s="26">
        <f t="shared" si="56"/>
        <v>-3.1639682539682554</v>
      </c>
      <c r="N367" s="26">
        <f t="shared" si="57"/>
        <v>0.76992063492063556</v>
      </c>
      <c r="O367" s="26">
        <f t="shared" si="58"/>
        <v>0.76992063492063556</v>
      </c>
      <c r="P367" s="26">
        <f t="shared" si="59"/>
        <v>0.76992063492063556</v>
      </c>
    </row>
    <row r="368" spans="1:16" x14ac:dyDescent="0.25">
      <c r="A368" s="2">
        <v>43712</v>
      </c>
      <c r="B368">
        <v>56.32</v>
      </c>
      <c r="C368">
        <v>61.5</v>
      </c>
      <c r="D368">
        <v>57.28</v>
      </c>
      <c r="E368">
        <v>57.27</v>
      </c>
      <c r="G368">
        <f t="shared" si="50"/>
        <v>2.3349999999999937</v>
      </c>
      <c r="H368">
        <f t="shared" si="51"/>
        <v>-6.0500000000000043</v>
      </c>
      <c r="I368" s="3">
        <f t="shared" si="52"/>
        <v>1.4526366218682532</v>
      </c>
      <c r="J368" s="3">
        <f t="shared" si="53"/>
        <v>-0.98404029105164303</v>
      </c>
      <c r="K368" s="26">
        <f t="shared" si="54"/>
        <v>-3.0519047619047628</v>
      </c>
      <c r="L368" s="26">
        <f t="shared" si="55"/>
        <v>-3.0519047619047628</v>
      </c>
      <c r="M368" s="26">
        <f t="shared" si="56"/>
        <v>-3.0519047619047628</v>
      </c>
      <c r="N368" s="26">
        <f t="shared" si="57"/>
        <v>0.74136904761904754</v>
      </c>
      <c r="O368" s="26">
        <f t="shared" si="58"/>
        <v>0.74136904761904754</v>
      </c>
      <c r="P368" s="26">
        <f t="shared" si="59"/>
        <v>0.74136904761904754</v>
      </c>
    </row>
    <row r="369" spans="1:16" x14ac:dyDescent="0.25">
      <c r="A369" s="2">
        <v>43711</v>
      </c>
      <c r="B369">
        <v>56.4</v>
      </c>
      <c r="C369">
        <v>62.45</v>
      </c>
      <c r="D369">
        <v>57.09</v>
      </c>
      <c r="E369">
        <v>57.09</v>
      </c>
      <c r="G369">
        <f t="shared" si="50"/>
        <v>2.3950000000000031</v>
      </c>
      <c r="H369">
        <f t="shared" si="51"/>
        <v>-6.2899999999999991</v>
      </c>
      <c r="I369" s="3">
        <f t="shared" si="52"/>
        <v>1.6580190292074262</v>
      </c>
      <c r="J369" s="3">
        <f t="shared" si="53"/>
        <v>-1.1519264402248932</v>
      </c>
      <c r="K369" s="26">
        <f t="shared" si="54"/>
        <v>-2.852380952380952</v>
      </c>
      <c r="L369" s="26">
        <f t="shared" si="55"/>
        <v>-2.852380952380952</v>
      </c>
      <c r="M369" s="26">
        <f t="shared" si="56"/>
        <v>-2.852380952380952</v>
      </c>
      <c r="N369" s="26">
        <f t="shared" si="57"/>
        <v>0.67714285714285816</v>
      </c>
      <c r="O369" s="26">
        <f t="shared" si="58"/>
        <v>0.67714285714285816</v>
      </c>
      <c r="P369" s="26">
        <f t="shared" si="59"/>
        <v>0.67714285714285816</v>
      </c>
    </row>
    <row r="370" spans="1:16" x14ac:dyDescent="0.25">
      <c r="A370" s="2">
        <v>43710</v>
      </c>
      <c r="B370">
        <v>56.4</v>
      </c>
      <c r="C370">
        <v>62.69</v>
      </c>
      <c r="D370">
        <v>57.15</v>
      </c>
      <c r="E370">
        <v>57.14</v>
      </c>
      <c r="G370">
        <f t="shared" si="50"/>
        <v>1.9950000000000045</v>
      </c>
      <c r="H370">
        <f t="shared" si="51"/>
        <v>-5.490000000000002</v>
      </c>
      <c r="I370" s="3">
        <f t="shared" si="52"/>
        <v>0.95855303899915523</v>
      </c>
      <c r="J370" s="3">
        <f t="shared" si="53"/>
        <v>-0.75780179969475681</v>
      </c>
      <c r="K370" s="26">
        <f t="shared" si="54"/>
        <v>-2.6219047619047626</v>
      </c>
      <c r="L370" s="26">
        <f t="shared" si="55"/>
        <v>-2.6219047619047626</v>
      </c>
      <c r="M370" s="26">
        <f t="shared" si="56"/>
        <v>-2.6219047619047626</v>
      </c>
      <c r="N370" s="26">
        <f t="shared" si="57"/>
        <v>0.63499999999999956</v>
      </c>
      <c r="O370" s="26">
        <f t="shared" si="58"/>
        <v>0.63499999999999956</v>
      </c>
      <c r="P370" s="26">
        <f t="shared" si="59"/>
        <v>0.63499999999999956</v>
      </c>
    </row>
    <row r="371" spans="1:16" x14ac:dyDescent="0.25">
      <c r="A371" s="2">
        <v>43707</v>
      </c>
      <c r="B371">
        <v>54.72</v>
      </c>
      <c r="C371">
        <v>60.21</v>
      </c>
      <c r="D371">
        <v>55.47</v>
      </c>
      <c r="E371">
        <v>55.64</v>
      </c>
      <c r="G371">
        <f t="shared" si="50"/>
        <v>1.9350000000000023</v>
      </c>
      <c r="H371">
        <f t="shared" si="51"/>
        <v>-5.769999999999996</v>
      </c>
      <c r="I371" s="3">
        <f t="shared" si="52"/>
        <v>0.87079033544215534</v>
      </c>
      <c r="J371" s="3">
        <f t="shared" si="53"/>
        <v>-0.93536019492526301</v>
      </c>
      <c r="K371" s="26">
        <f t="shared" si="54"/>
        <v>-2.4030476190476193</v>
      </c>
      <c r="L371" s="26">
        <f t="shared" si="55"/>
        <v>-2.4030476190476193</v>
      </c>
      <c r="M371" s="26">
        <f t="shared" si="56"/>
        <v>-2.4030476190476193</v>
      </c>
      <c r="N371" s="26">
        <f t="shared" si="57"/>
        <v>0.56790476190476169</v>
      </c>
      <c r="O371" s="26">
        <f t="shared" si="58"/>
        <v>0.56790476190476169</v>
      </c>
      <c r="P371" s="26">
        <f t="shared" si="59"/>
        <v>0.56790476190476169</v>
      </c>
    </row>
    <row r="372" spans="1:16" x14ac:dyDescent="0.25">
      <c r="A372" s="2">
        <v>43706</v>
      </c>
      <c r="B372">
        <v>54.49</v>
      </c>
      <c r="C372">
        <v>60.26</v>
      </c>
      <c r="D372">
        <v>55.44</v>
      </c>
      <c r="E372">
        <v>55.48</v>
      </c>
      <c r="G372">
        <f t="shared" si="50"/>
        <v>2.1550000000000082</v>
      </c>
      <c r="H372">
        <f t="shared" si="51"/>
        <v>-6.1499999999999986</v>
      </c>
      <c r="I372" s="3">
        <f t="shared" si="52"/>
        <v>1.3533107688188573</v>
      </c>
      <c r="J372" s="3">
        <f t="shared" si="53"/>
        <v>-1.1804961123554842</v>
      </c>
      <c r="K372" s="26">
        <f t="shared" si="54"/>
        <v>-2.234166666666666</v>
      </c>
      <c r="L372" s="26">
        <f t="shared" si="55"/>
        <v>-2.234166666666666</v>
      </c>
      <c r="M372" s="26">
        <f t="shared" si="56"/>
        <v>-2.234166666666666</v>
      </c>
      <c r="N372" s="26">
        <f t="shared" si="57"/>
        <v>0.53220238095238126</v>
      </c>
      <c r="O372" s="26">
        <f t="shared" si="58"/>
        <v>0.53220238095238126</v>
      </c>
      <c r="P372" s="26">
        <f t="shared" si="59"/>
        <v>0.53220238095238126</v>
      </c>
    </row>
    <row r="373" spans="1:16" x14ac:dyDescent="0.25">
      <c r="A373" s="2">
        <v>43705</v>
      </c>
      <c r="B373">
        <v>55.06</v>
      </c>
      <c r="C373">
        <v>61.21</v>
      </c>
      <c r="D373">
        <v>55.98</v>
      </c>
      <c r="E373">
        <v>55.97</v>
      </c>
      <c r="G373">
        <f t="shared" si="50"/>
        <v>1.9149999999999991</v>
      </c>
      <c r="H373">
        <f t="shared" si="51"/>
        <v>-6.1700000000000017</v>
      </c>
      <c r="I373" s="3">
        <f t="shared" si="52"/>
        <v>0.93563816569897251</v>
      </c>
      <c r="J373" s="3">
        <f t="shared" si="53"/>
        <v>-1.253075930004165</v>
      </c>
      <c r="K373" s="26">
        <f t="shared" si="54"/>
        <v>-2.1447619047619058</v>
      </c>
      <c r="L373" s="26">
        <f t="shared" si="55"/>
        <v>-2.1447619047619058</v>
      </c>
      <c r="M373" s="26">
        <f t="shared" si="56"/>
        <v>-2.1447619047619058</v>
      </c>
      <c r="N373" s="26">
        <f t="shared" si="57"/>
        <v>0.54095238095237852</v>
      </c>
      <c r="O373" s="26">
        <f t="shared" si="58"/>
        <v>0.54095238095237852</v>
      </c>
      <c r="P373" s="26">
        <f t="shared" si="59"/>
        <v>0.54095238095237852</v>
      </c>
    </row>
    <row r="374" spans="1:16" x14ac:dyDescent="0.25">
      <c r="A374" s="2">
        <v>43704</v>
      </c>
      <c r="B374">
        <v>55.3</v>
      </c>
      <c r="C374">
        <v>61.47</v>
      </c>
      <c r="D374">
        <v>56.47</v>
      </c>
      <c r="E374">
        <v>56.6</v>
      </c>
      <c r="G374">
        <f t="shared" si="50"/>
        <v>1.8449999999999989</v>
      </c>
      <c r="H374">
        <f t="shared" si="51"/>
        <v>-6.1299999999999955</v>
      </c>
      <c r="I374" s="3">
        <f t="shared" si="52"/>
        <v>0.82806156046011103</v>
      </c>
      <c r="J374" s="3">
        <f t="shared" si="53"/>
        <v>-1.3043468646946126</v>
      </c>
      <c r="K374" s="26">
        <f t="shared" si="54"/>
        <v>-2.0833333333333339</v>
      </c>
      <c r="L374" s="26">
        <f t="shared" si="55"/>
        <v>-2.0833333333333339</v>
      </c>
      <c r="M374" s="26">
        <f t="shared" si="56"/>
        <v>-2.0833333333333339</v>
      </c>
      <c r="N374" s="26">
        <f t="shared" si="57"/>
        <v>0.49714285714285222</v>
      </c>
      <c r="O374" s="26">
        <f t="shared" si="58"/>
        <v>0.49714285714285222</v>
      </c>
      <c r="P374" s="26">
        <f t="shared" si="59"/>
        <v>0.49714285714285222</v>
      </c>
    </row>
    <row r="375" spans="1:16" x14ac:dyDescent="0.25">
      <c r="A375" s="2">
        <v>43703</v>
      </c>
      <c r="B375">
        <v>55.17</v>
      </c>
      <c r="C375">
        <v>61.3</v>
      </c>
      <c r="D375">
        <v>56.39</v>
      </c>
      <c r="E375">
        <v>56.38</v>
      </c>
      <c r="G375">
        <f t="shared" si="50"/>
        <v>1.884999999999998</v>
      </c>
      <c r="H375">
        <f t="shared" si="51"/>
        <v>-6.1099999999999994</v>
      </c>
      <c r="I375" s="3">
        <f t="shared" si="52"/>
        <v>0.94298898798094954</v>
      </c>
      <c r="J375" s="3">
        <f t="shared" si="53"/>
        <v>-1.3781225278943761</v>
      </c>
      <c r="K375" s="26">
        <f t="shared" si="54"/>
        <v>-2.0400000000000036</v>
      </c>
      <c r="L375" s="26">
        <f t="shared" si="55"/>
        <v>-2.0400000000000036</v>
      </c>
      <c r="M375" s="26">
        <f t="shared" si="56"/>
        <v>-2.0400000000000036</v>
      </c>
      <c r="N375" s="26">
        <f t="shared" si="57"/>
        <v>0.58238095238095267</v>
      </c>
      <c r="O375" s="26">
        <f t="shared" si="58"/>
        <v>0.58238095238095267</v>
      </c>
      <c r="P375" s="26">
        <f t="shared" si="59"/>
        <v>0.58238095238095267</v>
      </c>
    </row>
    <row r="376" spans="1:16" x14ac:dyDescent="0.25">
      <c r="A376" s="2">
        <v>43700</v>
      </c>
      <c r="B376">
        <v>55.18</v>
      </c>
      <c r="C376">
        <v>61.29</v>
      </c>
      <c r="D376">
        <v>56.35</v>
      </c>
      <c r="E376">
        <v>56.33</v>
      </c>
      <c r="G376">
        <f t="shared" si="50"/>
        <v>1.9950000000000045</v>
      </c>
      <c r="H376">
        <f t="shared" si="51"/>
        <v>-6.4100000000000037</v>
      </c>
      <c r="I376" s="3">
        <f t="shared" si="52"/>
        <v>1.2142495624702685</v>
      </c>
      <c r="J376" s="3">
        <f t="shared" si="53"/>
        <v>-1.6580802041041947</v>
      </c>
      <c r="K376" s="26" t="e">
        <f t="shared" si="54"/>
        <v>#DIV/0!</v>
      </c>
      <c r="L376" s="26" t="e">
        <f t="shared" si="55"/>
        <v>#DIV/0!</v>
      </c>
      <c r="M376" s="26" t="e">
        <f t="shared" si="56"/>
        <v>#DIV/0!</v>
      </c>
      <c r="N376" s="26" t="e">
        <f t="shared" si="57"/>
        <v>#DIV/0!</v>
      </c>
      <c r="O376" s="26" t="e">
        <f t="shared" si="58"/>
        <v>#DIV/0!</v>
      </c>
      <c r="P376" s="26" t="e">
        <f t="shared" si="59"/>
        <v>#DIV/0!</v>
      </c>
    </row>
    <row r="377" spans="1:16" x14ac:dyDescent="0.25">
      <c r="A377" s="2">
        <v>43699</v>
      </c>
      <c r="B377">
        <v>55.04</v>
      </c>
      <c r="C377">
        <v>61.45</v>
      </c>
      <c r="D377">
        <v>56.25</v>
      </c>
      <c r="E377">
        <v>56.38</v>
      </c>
      <c r="G377">
        <f t="shared" si="50"/>
        <v>2.7899999999999991</v>
      </c>
      <c r="H377">
        <f t="shared" si="51"/>
        <v>-7.3999999999999986</v>
      </c>
      <c r="I377" s="3">
        <f t="shared" si="52"/>
        <v>2.9661818013910457</v>
      </c>
      <c r="J377" s="3">
        <f t="shared" si="53"/>
        <v>-2.4506987121965214</v>
      </c>
      <c r="K377" s="26" t="e">
        <f t="shared" si="54"/>
        <v>#DIV/0!</v>
      </c>
      <c r="L377" s="26" t="e">
        <f t="shared" si="55"/>
        <v>#DIV/0!</v>
      </c>
      <c r="M377" s="26" t="e">
        <f t="shared" si="56"/>
        <v>#DIV/0!</v>
      </c>
      <c r="N377" s="26" t="e">
        <f t="shared" si="57"/>
        <v>#DIV/0!</v>
      </c>
      <c r="O377" s="26" t="e">
        <f t="shared" si="58"/>
        <v>#DIV/0!</v>
      </c>
      <c r="P377" s="26" t="e">
        <f t="shared" si="59"/>
        <v>#DIV/0!</v>
      </c>
    </row>
    <row r="378" spans="1:16" x14ac:dyDescent="0.25">
      <c r="A378" s="2">
        <v>43698</v>
      </c>
      <c r="B378">
        <v>54.74</v>
      </c>
      <c r="C378">
        <v>62.14</v>
      </c>
      <c r="D378">
        <v>55.65</v>
      </c>
      <c r="E378">
        <v>55.73</v>
      </c>
      <c r="G378">
        <f t="shared" si="50"/>
        <v>2.1149999999999949</v>
      </c>
      <c r="H378">
        <f t="shared" si="51"/>
        <v>-5.8099999999999952</v>
      </c>
      <c r="I378" s="3">
        <f t="shared" si="52"/>
        <v>2.3143334016941584</v>
      </c>
      <c r="J378" s="3">
        <f t="shared" si="53"/>
        <v>-1.8944908535783491</v>
      </c>
      <c r="K378" s="26" t="e">
        <f t="shared" si="54"/>
        <v>#DIV/0!</v>
      </c>
      <c r="L378" s="26" t="e">
        <f t="shared" si="55"/>
        <v>#DIV/0!</v>
      </c>
      <c r="M378" s="26" t="e">
        <f t="shared" si="56"/>
        <v>#DIV/0!</v>
      </c>
      <c r="N378" s="26" t="e">
        <f t="shared" si="57"/>
        <v>#DIV/0!</v>
      </c>
      <c r="O378" s="26" t="e">
        <f t="shared" si="58"/>
        <v>#DIV/0!</v>
      </c>
      <c r="P378" s="26" t="e">
        <f t="shared" si="59"/>
        <v>#DIV/0!</v>
      </c>
    </row>
    <row r="379" spans="1:16" x14ac:dyDescent="0.25">
      <c r="A379" s="2">
        <v>43697</v>
      </c>
      <c r="B379">
        <v>54.99</v>
      </c>
      <c r="C379">
        <v>60.8</v>
      </c>
      <c r="D379">
        <v>55.78</v>
      </c>
      <c r="E379">
        <v>55.75</v>
      </c>
      <c r="G379">
        <f t="shared" si="50"/>
        <v>1.6150000000000091</v>
      </c>
      <c r="H379">
        <f t="shared" si="51"/>
        <v>-4.57</v>
      </c>
      <c r="I379" s="3">
        <f t="shared" si="52"/>
        <v>1.1885793305335248</v>
      </c>
      <c r="J379" s="3">
        <f t="shared" si="53"/>
        <v>-1.1812305850120732</v>
      </c>
      <c r="K379" s="26" t="e">
        <f t="shared" si="54"/>
        <v>#DIV/0!</v>
      </c>
      <c r="L379" s="26" t="e">
        <f t="shared" si="55"/>
        <v>#DIV/0!</v>
      </c>
      <c r="M379" s="26" t="e">
        <f t="shared" si="56"/>
        <v>#DIV/0!</v>
      </c>
      <c r="N379" s="26" t="e">
        <f t="shared" si="57"/>
        <v>#DIV/0!</v>
      </c>
      <c r="O379" s="26" t="e">
        <f t="shared" si="58"/>
        <v>#DIV/0!</v>
      </c>
      <c r="P379" s="26" t="e">
        <f t="shared" si="59"/>
        <v>#DIV/0!</v>
      </c>
    </row>
    <row r="380" spans="1:16" x14ac:dyDescent="0.25">
      <c r="A380" s="2">
        <v>43696</v>
      </c>
      <c r="B380">
        <v>54.13</v>
      </c>
      <c r="C380">
        <v>58.7</v>
      </c>
      <c r="D380">
        <v>54.8</v>
      </c>
      <c r="E380">
        <v>54.78</v>
      </c>
      <c r="G380">
        <f t="shared" si="50"/>
        <v>1.8449999999999989</v>
      </c>
      <c r="H380">
        <f t="shared" si="51"/>
        <v>-5.4500000000000028</v>
      </c>
      <c r="I380" s="3">
        <f t="shared" si="52"/>
        <v>2.0625832347968189</v>
      </c>
      <c r="J380" s="3">
        <f t="shared" si="53"/>
        <v>-1.9945715795820729</v>
      </c>
      <c r="K380" s="26" t="e">
        <f t="shared" si="54"/>
        <v>#DIV/0!</v>
      </c>
      <c r="L380" s="26" t="e">
        <f t="shared" si="55"/>
        <v>#DIV/0!</v>
      </c>
      <c r="M380" s="26" t="e">
        <f t="shared" si="56"/>
        <v>#DIV/0!</v>
      </c>
      <c r="N380" s="26" t="e">
        <f t="shared" si="57"/>
        <v>#DIV/0!</v>
      </c>
      <c r="O380" s="26" t="e">
        <f t="shared" si="58"/>
        <v>#DIV/0!</v>
      </c>
      <c r="P380" s="26" t="e">
        <f t="shared" si="59"/>
        <v>#DIV/0!</v>
      </c>
    </row>
    <row r="381" spans="1:16" x14ac:dyDescent="0.25">
      <c r="A381" s="2">
        <v>43693</v>
      </c>
      <c r="B381">
        <v>53.76</v>
      </c>
      <c r="C381">
        <v>59.21</v>
      </c>
      <c r="D381">
        <v>54.64</v>
      </c>
      <c r="E381">
        <v>54.62</v>
      </c>
      <c r="G381">
        <f t="shared" si="50"/>
        <v>1.9199999999999946</v>
      </c>
      <c r="H381">
        <f t="shared" si="51"/>
        <v>-5.32</v>
      </c>
      <c r="I381" s="3">
        <f t="shared" si="52"/>
        <v>2.7973348957568569</v>
      </c>
      <c r="J381" s="3">
        <f t="shared" si="53"/>
        <v>-2.2712487331376821</v>
      </c>
      <c r="K381" s="26" t="e">
        <f t="shared" si="54"/>
        <v>#DIV/0!</v>
      </c>
      <c r="L381" s="26" t="e">
        <f t="shared" si="55"/>
        <v>#DIV/0!</v>
      </c>
      <c r="M381" s="26" t="e">
        <f t="shared" si="56"/>
        <v>#DIV/0!</v>
      </c>
      <c r="N381" s="26" t="e">
        <f t="shared" si="57"/>
        <v>#DIV/0!</v>
      </c>
      <c r="O381" s="26" t="e">
        <f t="shared" si="58"/>
        <v>#DIV/0!</v>
      </c>
      <c r="P381" s="26" t="e">
        <f t="shared" si="59"/>
        <v>#DIV/0!</v>
      </c>
    </row>
    <row r="382" spans="1:16" x14ac:dyDescent="0.25">
      <c r="A382" s="2">
        <v>43692</v>
      </c>
      <c r="B382">
        <v>53.41</v>
      </c>
      <c r="C382">
        <v>58.73</v>
      </c>
      <c r="D382">
        <v>54.15</v>
      </c>
      <c r="E382">
        <v>54.22</v>
      </c>
      <c r="G382">
        <f t="shared" si="50"/>
        <v>1.5450000000000017</v>
      </c>
      <c r="H382">
        <f t="shared" si="51"/>
        <v>-4.2700000000000031</v>
      </c>
      <c r="I382" s="3">
        <f t="shared" si="52"/>
        <v>2.2084473632203472</v>
      </c>
      <c r="J382" s="3">
        <f t="shared" si="53"/>
        <v>-1.756254338791897</v>
      </c>
      <c r="K382" s="26" t="e">
        <f t="shared" si="54"/>
        <v>#DIV/0!</v>
      </c>
      <c r="L382" s="26" t="e">
        <f t="shared" si="55"/>
        <v>#DIV/0!</v>
      </c>
      <c r="M382" s="26" t="e">
        <f t="shared" si="56"/>
        <v>#DIV/0!</v>
      </c>
      <c r="N382" s="26" t="e">
        <f t="shared" si="57"/>
        <v>#DIV/0!</v>
      </c>
      <c r="O382" s="26" t="e">
        <f t="shared" si="58"/>
        <v>#DIV/0!</v>
      </c>
      <c r="P382" s="26" t="e">
        <f t="shared" si="59"/>
        <v>#DIV/0!</v>
      </c>
    </row>
    <row r="383" spans="1:16" x14ac:dyDescent="0.25">
      <c r="A383" s="2">
        <v>43691</v>
      </c>
      <c r="B383">
        <v>53</v>
      </c>
      <c r="C383">
        <v>57.27</v>
      </c>
      <c r="D383">
        <v>53.59</v>
      </c>
      <c r="E383">
        <v>53.58</v>
      </c>
      <c r="G383">
        <f t="shared" si="50"/>
        <v>1.3950000000000031</v>
      </c>
      <c r="H383">
        <f t="shared" si="51"/>
        <v>-4.009999999999998</v>
      </c>
      <c r="I383" s="3">
        <f t="shared" si="52"/>
        <v>1.8480078587317721</v>
      </c>
      <c r="J383" s="3">
        <f t="shared" si="53"/>
        <v>-1.7510241108208813</v>
      </c>
      <c r="K383" s="26" t="e">
        <f t="shared" si="54"/>
        <v>#DIV/0!</v>
      </c>
      <c r="L383" s="26" t="e">
        <f t="shared" si="55"/>
        <v>#DIV/0!</v>
      </c>
      <c r="M383" s="26" t="e">
        <f t="shared" si="56"/>
        <v>#DIV/0!</v>
      </c>
      <c r="N383" s="26" t="e">
        <f t="shared" si="57"/>
        <v>#DIV/0!</v>
      </c>
      <c r="O383" s="26" t="e">
        <f t="shared" si="58"/>
        <v>#DIV/0!</v>
      </c>
      <c r="P383" s="26" t="e">
        <f t="shared" si="59"/>
        <v>#DIV/0!</v>
      </c>
    </row>
    <row r="384" spans="1:16" x14ac:dyDescent="0.25">
      <c r="A384" s="2">
        <v>43690</v>
      </c>
      <c r="B384">
        <v>52.46</v>
      </c>
      <c r="C384">
        <v>56.47</v>
      </c>
      <c r="D384">
        <v>53.07</v>
      </c>
      <c r="E384">
        <v>53.05</v>
      </c>
      <c r="G384">
        <f t="shared" si="50"/>
        <v>1.3549999999999969</v>
      </c>
      <c r="H384">
        <f t="shared" si="51"/>
        <v>-4.2700000000000031</v>
      </c>
      <c r="I384" s="3">
        <f t="shared" si="52"/>
        <v>1.9457090831922246</v>
      </c>
      <c r="J384" s="3">
        <f t="shared" si="53"/>
        <v>-2.4575057146082777</v>
      </c>
      <c r="K384" s="26" t="e">
        <f t="shared" si="54"/>
        <v>#DIV/0!</v>
      </c>
      <c r="L384" s="26" t="e">
        <f t="shared" si="55"/>
        <v>#DIV/0!</v>
      </c>
      <c r="M384" s="26" t="e">
        <f t="shared" si="56"/>
        <v>#DIV/0!</v>
      </c>
      <c r="N384" s="26" t="e">
        <f t="shared" si="57"/>
        <v>#DIV/0!</v>
      </c>
      <c r="O384" s="26" t="e">
        <f t="shared" si="58"/>
        <v>#DIV/0!</v>
      </c>
      <c r="P384" s="26" t="e">
        <f t="shared" si="59"/>
        <v>#DIV/0!</v>
      </c>
    </row>
    <row r="385" spans="1:16" x14ac:dyDescent="0.25">
      <c r="A385" s="2">
        <v>43689</v>
      </c>
      <c r="B385">
        <v>52.87</v>
      </c>
      <c r="C385">
        <v>57.14</v>
      </c>
      <c r="D385">
        <v>53.65</v>
      </c>
      <c r="E385">
        <v>53.62</v>
      </c>
      <c r="G385">
        <f t="shared" si="50"/>
        <v>1.1700000000000017</v>
      </c>
      <c r="H385">
        <f t="shared" si="51"/>
        <v>-3</v>
      </c>
      <c r="I385" s="3">
        <f t="shared" si="52"/>
        <v>0.78309196438948769</v>
      </c>
      <c r="J385" s="3">
        <f t="shared" si="53"/>
        <v>-1.2839284891531868</v>
      </c>
      <c r="K385" s="26" t="e">
        <f t="shared" si="54"/>
        <v>#DIV/0!</v>
      </c>
      <c r="L385" s="26" t="e">
        <f t="shared" si="55"/>
        <v>#DIV/0!</v>
      </c>
      <c r="M385" s="26" t="e">
        <f t="shared" si="56"/>
        <v>#DIV/0!</v>
      </c>
      <c r="N385" s="26" t="e">
        <f t="shared" si="57"/>
        <v>#DIV/0!</v>
      </c>
      <c r="O385" s="26" t="e">
        <f t="shared" si="58"/>
        <v>#DIV/0!</v>
      </c>
      <c r="P385" s="26" t="e">
        <f t="shared" si="59"/>
        <v>#DIV/0!</v>
      </c>
    </row>
    <row r="386" spans="1:16" x14ac:dyDescent="0.25">
      <c r="A386" s="2">
        <v>43686</v>
      </c>
      <c r="B386">
        <v>52.33</v>
      </c>
      <c r="C386">
        <v>55.33</v>
      </c>
      <c r="D386">
        <v>52.66</v>
      </c>
      <c r="E386">
        <v>52.63</v>
      </c>
      <c r="G386">
        <f t="shared" si="50"/>
        <v>1.1750000000000043</v>
      </c>
      <c r="H386">
        <f t="shared" si="51"/>
        <v>-3.1699999999999946</v>
      </c>
      <c r="I386" s="3">
        <f t="shared" si="52"/>
        <v>0.88580484401936188</v>
      </c>
      <c r="J386" s="3">
        <f t="shared" si="53"/>
        <v>-1.8084200730712907</v>
      </c>
      <c r="K386" s="26" t="e">
        <f t="shared" si="54"/>
        <v>#DIV/0!</v>
      </c>
      <c r="L386" s="26" t="e">
        <f t="shared" si="55"/>
        <v>#DIV/0!</v>
      </c>
      <c r="M386" s="26" t="e">
        <f t="shared" si="56"/>
        <v>#DIV/0!</v>
      </c>
      <c r="N386" s="26" t="e">
        <f t="shared" si="57"/>
        <v>#DIV/0!</v>
      </c>
      <c r="O386" s="26" t="e">
        <f t="shared" si="58"/>
        <v>#DIV/0!</v>
      </c>
      <c r="P386" s="26" t="e">
        <f t="shared" si="59"/>
        <v>#DIV/0!</v>
      </c>
    </row>
    <row r="387" spans="1:16" x14ac:dyDescent="0.25">
      <c r="A387" s="2">
        <v>43685</v>
      </c>
      <c r="B387">
        <v>52.27</v>
      </c>
      <c r="C387">
        <v>55.44</v>
      </c>
      <c r="D387">
        <v>52.68</v>
      </c>
      <c r="E387">
        <v>52.66</v>
      </c>
      <c r="G387">
        <f t="shared" si="50"/>
        <v>1.2199999999999989</v>
      </c>
      <c r="H387">
        <f t="shared" si="51"/>
        <v>-3.2199999999999989</v>
      </c>
      <c r="I387" s="3">
        <f t="shared" si="52"/>
        <v>1.3718742251071496</v>
      </c>
      <c r="J387" s="3">
        <f t="shared" si="53"/>
        <v>-2.4799465137002934</v>
      </c>
      <c r="K387" s="26" t="e">
        <f t="shared" si="54"/>
        <v>#DIV/0!</v>
      </c>
      <c r="L387" s="26" t="e">
        <f t="shared" si="55"/>
        <v>#DIV/0!</v>
      </c>
      <c r="M387" s="26" t="e">
        <f t="shared" si="56"/>
        <v>#DIV/0!</v>
      </c>
      <c r="N387" s="26" t="e">
        <f t="shared" si="57"/>
        <v>#DIV/0!</v>
      </c>
      <c r="O387" s="26" t="e">
        <f t="shared" si="58"/>
        <v>#DIV/0!</v>
      </c>
      <c r="P387" s="26" t="e">
        <f t="shared" si="59"/>
        <v>#DIV/0!</v>
      </c>
    </row>
    <row r="388" spans="1:16" x14ac:dyDescent="0.25">
      <c r="A388" s="2">
        <v>43684</v>
      </c>
      <c r="B388">
        <v>52.28</v>
      </c>
      <c r="C388">
        <v>55.5</v>
      </c>
      <c r="D388">
        <v>52.67</v>
      </c>
      <c r="E388">
        <v>52.64</v>
      </c>
      <c r="G388">
        <f t="shared" ref="G388:G396" si="60">AVERAGE(C389,B389)-D389</f>
        <v>1.0449999999999946</v>
      </c>
      <c r="H388">
        <f t="shared" ref="H388:H396" si="61">B389-C389</f>
        <v>-2.2899999999999991</v>
      </c>
      <c r="I388" s="3">
        <f t="shared" ref="I388:I396" si="62">(G388-AVERAGE(G388:G619))/_xlfn.STDEV.S(G388:G619)</f>
        <v>-5.3779182388907484E-2</v>
      </c>
      <c r="J388" s="3">
        <f t="shared" ref="J388:J396" si="63">(H388-AVERAGE(H388:H619))/_xlfn.STDEV.S(H388:H619)</f>
        <v>-0.95423607234354801</v>
      </c>
      <c r="K388" s="26" t="e">
        <f t="shared" ref="K388:K396" si="64">AVERAGEA(H388:H408)-AVERAGE(H409:H429)</f>
        <v>#DIV/0!</v>
      </c>
      <c r="L388" s="26" t="e">
        <f t="shared" ref="L388:L396" si="65">AVERAGEA(H388:H408)-AVERAGE(H409:H464)</f>
        <v>#DIV/0!</v>
      </c>
      <c r="M388" s="26" t="e">
        <f t="shared" ref="M388:M396" si="66">AVERAGEA(H388:H408)-AVERAGE(H409:H521)</f>
        <v>#DIV/0!</v>
      </c>
      <c r="N388" s="26" t="e">
        <f t="shared" ref="N388:N396" si="67">AVERAGEA(G388:G408)-AVERAGE(G409:G429)</f>
        <v>#DIV/0!</v>
      </c>
      <c r="O388" s="26" t="e">
        <f t="shared" ref="O388:O396" si="68">AVERAGEA(G388:G408)-AVERAGE(G409:G464)</f>
        <v>#DIV/0!</v>
      </c>
      <c r="P388" s="26" t="e">
        <f t="shared" ref="P388:P396" si="69">AVERAGEA(G388:G408)-AVERAGE(G409:G521)</f>
        <v>#DIV/0!</v>
      </c>
    </row>
    <row r="389" spans="1:16" x14ac:dyDescent="0.25">
      <c r="A389" s="2">
        <v>43683</v>
      </c>
      <c r="B389">
        <v>52.58</v>
      </c>
      <c r="C389">
        <v>54.87</v>
      </c>
      <c r="D389">
        <v>52.68</v>
      </c>
      <c r="E389">
        <v>52.65</v>
      </c>
      <c r="G389">
        <f t="shared" si="60"/>
        <v>1.0350000000000037</v>
      </c>
      <c r="H389">
        <f t="shared" si="61"/>
        <v>-2.009999999999998</v>
      </c>
      <c r="I389" s="3">
        <f t="shared" si="62"/>
        <v>-0.14717445199605012</v>
      </c>
      <c r="J389" s="3">
        <f t="shared" si="63"/>
        <v>0.23378054166560341</v>
      </c>
      <c r="K389" s="26" t="e">
        <f t="shared" si="64"/>
        <v>#DIV/0!</v>
      </c>
      <c r="L389" s="26" t="e">
        <f t="shared" si="65"/>
        <v>#DIV/0!</v>
      </c>
      <c r="M389" s="26" t="e">
        <f t="shared" si="66"/>
        <v>#DIV/0!</v>
      </c>
      <c r="N389" s="26" t="e">
        <f t="shared" si="67"/>
        <v>#DIV/0!</v>
      </c>
      <c r="O389" s="26" t="e">
        <f t="shared" si="68"/>
        <v>#DIV/0!</v>
      </c>
      <c r="P389" s="26" t="e">
        <f t="shared" si="69"/>
        <v>#DIV/0!</v>
      </c>
    </row>
    <row r="390" spans="1:16" x14ac:dyDescent="0.25">
      <c r="A390" s="2">
        <v>43682</v>
      </c>
      <c r="B390">
        <v>52.57</v>
      </c>
      <c r="C390">
        <v>54.58</v>
      </c>
      <c r="D390">
        <v>52.54</v>
      </c>
      <c r="E390">
        <v>52.52</v>
      </c>
      <c r="G390">
        <f t="shared" si="60"/>
        <v>1.154999999999994</v>
      </c>
      <c r="H390">
        <f t="shared" si="61"/>
        <v>-1.9299999999999997</v>
      </c>
      <c r="I390" s="3">
        <f t="shared" si="62"/>
        <v>0.85199148012775949</v>
      </c>
      <c r="J390" s="3">
        <f t="shared" si="63"/>
        <v>0.59632697396850654</v>
      </c>
      <c r="K390" s="26" t="e">
        <f t="shared" si="64"/>
        <v>#DIV/0!</v>
      </c>
      <c r="L390" s="26" t="e">
        <f t="shared" si="65"/>
        <v>#DIV/0!</v>
      </c>
      <c r="M390" s="26" t="e">
        <f t="shared" si="66"/>
        <v>#DIV/0!</v>
      </c>
      <c r="N390" s="26" t="e">
        <f t="shared" si="67"/>
        <v>#DIV/0!</v>
      </c>
      <c r="O390" s="26" t="e">
        <f t="shared" si="68"/>
        <v>#DIV/0!</v>
      </c>
      <c r="P390" s="26" t="e">
        <f t="shared" si="69"/>
        <v>#DIV/0!</v>
      </c>
    </row>
    <row r="391" spans="1:16" x14ac:dyDescent="0.25">
      <c r="A391" s="2">
        <v>43679</v>
      </c>
      <c r="B391">
        <v>52.46</v>
      </c>
      <c r="C391">
        <v>54.39</v>
      </c>
      <c r="D391">
        <v>52.27</v>
      </c>
      <c r="E391">
        <v>52.32</v>
      </c>
      <c r="G391">
        <f t="shared" si="60"/>
        <v>0.95000000000000284</v>
      </c>
      <c r="H391">
        <f t="shared" si="61"/>
        <v>-1.8599999999999994</v>
      </c>
      <c r="I391" s="3">
        <f t="shared" si="62"/>
        <v>-0.71709473521478995</v>
      </c>
      <c r="J391" s="3">
        <f t="shared" si="63"/>
        <v>0.9462537044160948</v>
      </c>
      <c r="K391" s="26" t="e">
        <f t="shared" si="64"/>
        <v>#DIV/0!</v>
      </c>
      <c r="L391" s="26" t="e">
        <f t="shared" si="65"/>
        <v>#DIV/0!</v>
      </c>
      <c r="M391" s="26" t="e">
        <f t="shared" si="66"/>
        <v>#DIV/0!</v>
      </c>
      <c r="N391" s="26" t="e">
        <f t="shared" si="67"/>
        <v>#DIV/0!</v>
      </c>
      <c r="O391" s="26" t="e">
        <f t="shared" si="68"/>
        <v>#DIV/0!</v>
      </c>
      <c r="P391" s="26" t="e">
        <f t="shared" si="69"/>
        <v>#DIV/0!</v>
      </c>
    </row>
    <row r="392" spans="1:16" x14ac:dyDescent="0.25">
      <c r="A392" s="2">
        <v>43678</v>
      </c>
      <c r="B392">
        <v>52.53</v>
      </c>
      <c r="C392">
        <v>54.39</v>
      </c>
      <c r="D392">
        <v>52.51</v>
      </c>
      <c r="E392">
        <v>52.49</v>
      </c>
      <c r="G392">
        <f t="shared" si="60"/>
        <v>1.0750000000000028</v>
      </c>
      <c r="H392">
        <f t="shared" si="61"/>
        <v>-2.1499999999999986</v>
      </c>
      <c r="I392" s="3">
        <f t="shared" si="62"/>
        <v>0.16599364267816222</v>
      </c>
      <c r="J392" s="3">
        <f t="shared" si="63"/>
        <v>-5.8141861220776338E-2</v>
      </c>
      <c r="K392" s="26" t="e">
        <f t="shared" si="64"/>
        <v>#DIV/0!</v>
      </c>
      <c r="L392" s="26" t="e">
        <f t="shared" si="65"/>
        <v>#DIV/0!</v>
      </c>
      <c r="M392" s="26" t="e">
        <f t="shared" si="66"/>
        <v>#DIV/0!</v>
      </c>
      <c r="N392" s="26" t="e">
        <f t="shared" si="67"/>
        <v>#DIV/0!</v>
      </c>
      <c r="O392" s="26" t="e">
        <f t="shared" si="68"/>
        <v>#DIV/0!</v>
      </c>
      <c r="P392" s="26" t="e">
        <f t="shared" si="69"/>
        <v>#DIV/0!</v>
      </c>
    </row>
    <row r="393" spans="1:16" x14ac:dyDescent="0.25">
      <c r="A393" s="2">
        <v>43677</v>
      </c>
      <c r="B393">
        <v>52.61</v>
      </c>
      <c r="C393">
        <v>54.76</v>
      </c>
      <c r="D393">
        <v>52.61</v>
      </c>
      <c r="E393">
        <v>52.58</v>
      </c>
      <c r="G393">
        <f t="shared" si="60"/>
        <v>1.2099999999999937</v>
      </c>
      <c r="H393">
        <f t="shared" si="61"/>
        <v>-2.3999999999999986</v>
      </c>
      <c r="I393" s="3">
        <f t="shared" si="62"/>
        <v>1.1086140495153318</v>
      </c>
      <c r="J393" s="3">
        <f t="shared" si="63"/>
        <v>-0.96259771821311024</v>
      </c>
      <c r="K393" s="26" t="e">
        <f t="shared" si="64"/>
        <v>#DIV/0!</v>
      </c>
      <c r="L393" s="26" t="e">
        <f t="shared" si="65"/>
        <v>#DIV/0!</v>
      </c>
      <c r="M393" s="26" t="e">
        <f t="shared" si="66"/>
        <v>#DIV/0!</v>
      </c>
      <c r="N393" s="26" t="e">
        <f t="shared" si="67"/>
        <v>#DIV/0!</v>
      </c>
      <c r="O393" s="26" t="e">
        <f t="shared" si="68"/>
        <v>#DIV/0!</v>
      </c>
      <c r="P393" s="26" t="e">
        <f t="shared" si="69"/>
        <v>#DIV/0!</v>
      </c>
    </row>
    <row r="394" spans="1:16" x14ac:dyDescent="0.25">
      <c r="A394" s="2">
        <v>43676</v>
      </c>
      <c r="B394">
        <v>52.57</v>
      </c>
      <c r="C394">
        <v>54.97</v>
      </c>
      <c r="D394">
        <v>52.56</v>
      </c>
      <c r="E394">
        <v>52.53</v>
      </c>
      <c r="G394">
        <f t="shared" si="60"/>
        <v>0.99499999999999744</v>
      </c>
      <c r="H394">
        <f t="shared" si="61"/>
        <v>-2.2899999999999991</v>
      </c>
      <c r="I394" s="3">
        <f t="shared" si="62"/>
        <v>-3.9782991715733266E-14</v>
      </c>
      <c r="J394" s="3">
        <f t="shared" si="63"/>
        <v>-0.94499747184178018</v>
      </c>
      <c r="K394" s="26" t="e">
        <f t="shared" si="64"/>
        <v>#DIV/0!</v>
      </c>
      <c r="L394" s="26" t="e">
        <f t="shared" si="65"/>
        <v>#DIV/0!</v>
      </c>
      <c r="M394" s="26" t="e">
        <f t="shared" si="66"/>
        <v>#DIV/0!</v>
      </c>
      <c r="N394" s="26" t="e">
        <f t="shared" si="67"/>
        <v>#DIV/0!</v>
      </c>
      <c r="O394" s="26" t="e">
        <f t="shared" si="68"/>
        <v>#DIV/0!</v>
      </c>
      <c r="P394" s="26" t="e">
        <f t="shared" si="69"/>
        <v>#DIV/0!</v>
      </c>
    </row>
    <row r="395" spans="1:16" x14ac:dyDescent="0.25">
      <c r="A395" s="2">
        <v>43675</v>
      </c>
      <c r="B395">
        <v>52.47</v>
      </c>
      <c r="C395">
        <v>54.76</v>
      </c>
      <c r="D395">
        <v>52.62</v>
      </c>
      <c r="E395">
        <v>52.48</v>
      </c>
      <c r="G395">
        <f t="shared" si="60"/>
        <v>1.1150000000000091</v>
      </c>
      <c r="H395">
        <f t="shared" si="61"/>
        <v>-2.0700000000000003</v>
      </c>
      <c r="I395" s="3">
        <f t="shared" si="62"/>
        <v>0.70710678118654779</v>
      </c>
      <c r="J395" s="3">
        <f t="shared" si="63"/>
        <v>-0.70710678118654746</v>
      </c>
      <c r="K395" s="26" t="e">
        <f t="shared" si="64"/>
        <v>#DIV/0!</v>
      </c>
      <c r="L395" s="26" t="e">
        <f t="shared" si="65"/>
        <v>#DIV/0!</v>
      </c>
      <c r="M395" s="26" t="e">
        <f t="shared" si="66"/>
        <v>#DIV/0!</v>
      </c>
      <c r="N395" s="26" t="e">
        <f t="shared" si="67"/>
        <v>#DIV/0!</v>
      </c>
      <c r="O395" s="26" t="e">
        <f t="shared" si="68"/>
        <v>#DIV/0!</v>
      </c>
      <c r="P395" s="26" t="e">
        <f t="shared" si="69"/>
        <v>#DIV/0!</v>
      </c>
    </row>
    <row r="396" spans="1:16" x14ac:dyDescent="0.25">
      <c r="A396" s="2">
        <v>43672</v>
      </c>
      <c r="B396">
        <v>52.63</v>
      </c>
      <c r="C396">
        <v>54.7</v>
      </c>
      <c r="D396">
        <v>52.55</v>
      </c>
      <c r="E396">
        <v>52.52</v>
      </c>
      <c r="G396">
        <f t="shared" si="60"/>
        <v>0.875</v>
      </c>
      <c r="H396">
        <f t="shared" si="61"/>
        <v>-1.769999999999996</v>
      </c>
      <c r="I396" s="3" t="e">
        <f t="shared" si="62"/>
        <v>#DIV/0!</v>
      </c>
      <c r="J396" s="3" t="e">
        <f t="shared" si="63"/>
        <v>#DIV/0!</v>
      </c>
      <c r="K396" s="26" t="e">
        <f t="shared" si="64"/>
        <v>#DIV/0!</v>
      </c>
      <c r="L396" s="26" t="e">
        <f t="shared" si="65"/>
        <v>#DIV/0!</v>
      </c>
      <c r="M396" s="26" t="e">
        <f t="shared" si="66"/>
        <v>#DIV/0!</v>
      </c>
      <c r="N396" s="26" t="e">
        <f t="shared" si="67"/>
        <v>#DIV/0!</v>
      </c>
      <c r="O396" s="26" t="e">
        <f t="shared" si="68"/>
        <v>#DIV/0!</v>
      </c>
      <c r="P396" s="26" t="e">
        <f t="shared" si="69"/>
        <v>#DIV/0!</v>
      </c>
    </row>
    <row r="397" spans="1:16" x14ac:dyDescent="0.25">
      <c r="A397" s="2">
        <v>43671</v>
      </c>
      <c r="B397">
        <v>51.95</v>
      </c>
      <c r="C397">
        <v>53.72</v>
      </c>
      <c r="D397">
        <v>51.96</v>
      </c>
      <c r="E397">
        <v>51.93</v>
      </c>
    </row>
    <row r="398" spans="1:16" x14ac:dyDescent="0.25">
      <c r="A398" s="2">
        <v>43670</v>
      </c>
      <c r="B398">
        <v>52</v>
      </c>
      <c r="C398">
        <v>53.8</v>
      </c>
      <c r="D398">
        <v>51.94</v>
      </c>
      <c r="E398">
        <v>51.98</v>
      </c>
    </row>
    <row r="399" spans="1:16" x14ac:dyDescent="0.25">
      <c r="A399" s="2">
        <v>43669</v>
      </c>
      <c r="B399">
        <v>52.19</v>
      </c>
      <c r="C399">
        <v>53.32</v>
      </c>
      <c r="D399">
        <v>52.12</v>
      </c>
      <c r="E399">
        <v>52.08</v>
      </c>
    </row>
    <row r="400" spans="1:16" x14ac:dyDescent="0.25">
      <c r="A400" s="2">
        <v>43668</v>
      </c>
      <c r="B400">
        <v>51.96</v>
      </c>
      <c r="C400">
        <v>53.03</v>
      </c>
      <c r="D400">
        <v>51.76</v>
      </c>
      <c r="E400">
        <v>51.72</v>
      </c>
    </row>
    <row r="401" spans="1:5" x14ac:dyDescent="0.25">
      <c r="A401" s="2">
        <v>43665</v>
      </c>
      <c r="B401">
        <v>51.98</v>
      </c>
      <c r="C401">
        <v>53.12</v>
      </c>
      <c r="D401">
        <v>51.76</v>
      </c>
      <c r="E401">
        <v>51.73</v>
      </c>
    </row>
    <row r="402" spans="1:5" x14ac:dyDescent="0.25">
      <c r="A402" s="2">
        <v>43664</v>
      </c>
      <c r="B402">
        <v>51.79</v>
      </c>
      <c r="C402">
        <v>53.58</v>
      </c>
      <c r="D402">
        <v>51.77</v>
      </c>
      <c r="E402">
        <v>51.75</v>
      </c>
    </row>
    <row r="403" spans="1:5" x14ac:dyDescent="0.25">
      <c r="A403" s="2">
        <v>43663</v>
      </c>
      <c r="B403">
        <v>51.88</v>
      </c>
      <c r="C403">
        <v>53.03</v>
      </c>
      <c r="D403">
        <v>51.75</v>
      </c>
      <c r="E403">
        <v>51.72</v>
      </c>
    </row>
    <row r="404" spans="1:5" x14ac:dyDescent="0.25">
      <c r="A404" s="2">
        <v>43662</v>
      </c>
      <c r="B404">
        <v>51.85</v>
      </c>
      <c r="C404">
        <v>53.03</v>
      </c>
      <c r="D404">
        <v>51.71</v>
      </c>
      <c r="E404">
        <v>51.68</v>
      </c>
    </row>
    <row r="405" spans="1:5" x14ac:dyDescent="0.25">
      <c r="A405" s="2">
        <v>43661</v>
      </c>
      <c r="B405">
        <v>51.72</v>
      </c>
      <c r="C405">
        <v>53.03</v>
      </c>
      <c r="D405">
        <v>51.7</v>
      </c>
      <c r="E405">
        <v>51.63</v>
      </c>
    </row>
    <row r="406" spans="1:5" x14ac:dyDescent="0.25">
      <c r="A406" s="2">
        <v>43658</v>
      </c>
      <c r="B406">
        <v>50.6</v>
      </c>
      <c r="C406">
        <v>51.83</v>
      </c>
      <c r="D406">
        <v>50.42</v>
      </c>
      <c r="E406">
        <v>50.53</v>
      </c>
    </row>
    <row r="407" spans="1:5" x14ac:dyDescent="0.25">
      <c r="A407" s="2">
        <v>43657</v>
      </c>
      <c r="B407">
        <v>49.98</v>
      </c>
      <c r="C407">
        <v>51.11</v>
      </c>
      <c r="D407">
        <v>50.04</v>
      </c>
      <c r="E407">
        <v>50.01</v>
      </c>
    </row>
    <row r="408" spans="1:5" x14ac:dyDescent="0.25">
      <c r="A408" s="2">
        <v>43656</v>
      </c>
      <c r="B408">
        <v>49.5</v>
      </c>
      <c r="C408">
        <v>50.38</v>
      </c>
      <c r="D408">
        <v>49.26</v>
      </c>
      <c r="E408">
        <v>49.22</v>
      </c>
    </row>
    <row r="409" spans="1:5" x14ac:dyDescent="0.25">
      <c r="A409" s="2">
        <v>43655</v>
      </c>
      <c r="B409">
        <v>48.26</v>
      </c>
      <c r="C409">
        <v>50.13</v>
      </c>
      <c r="D409">
        <v>48.44</v>
      </c>
      <c r="E409">
        <v>48.54</v>
      </c>
    </row>
    <row r="410" spans="1:5" x14ac:dyDescent="0.25">
      <c r="A410" s="2">
        <v>43654</v>
      </c>
      <c r="B410">
        <v>48.35</v>
      </c>
      <c r="C410">
        <v>50.24</v>
      </c>
      <c r="D410">
        <v>48.57</v>
      </c>
      <c r="E410">
        <v>48.55</v>
      </c>
    </row>
    <row r="411" spans="1:5" x14ac:dyDescent="0.25">
      <c r="A411" s="2"/>
    </row>
    <row r="412" spans="1:5" x14ac:dyDescent="0.25">
      <c r="A412" s="2"/>
    </row>
    <row r="413" spans="1:5" x14ac:dyDescent="0.25">
      <c r="A413" s="2"/>
    </row>
    <row r="414" spans="1:5" x14ac:dyDescent="0.25">
      <c r="A414" s="2"/>
    </row>
    <row r="415" spans="1:5" x14ac:dyDescent="0.25">
      <c r="A415" s="2"/>
    </row>
    <row r="416" spans="1:5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C3AB-3060-4FA1-97EC-665588819239}">
  <dimension ref="A1:BH1852"/>
  <sheetViews>
    <sheetView workbookViewId="0">
      <selection sqref="A1:P1852"/>
    </sheetView>
  </sheetViews>
  <sheetFormatPr defaultRowHeight="15" x14ac:dyDescent="0.25"/>
  <cols>
    <col min="1" max="1" width="10.7109375" bestFit="1" customWidth="1"/>
    <col min="2" max="2" width="17.7109375" customWidth="1"/>
    <col min="3" max="3" width="22.140625" customWidth="1"/>
    <col min="4" max="4" width="16" customWidth="1"/>
    <col min="5" max="5" width="14.140625" customWidth="1"/>
    <col min="6" max="6" width="13.85546875" customWidth="1"/>
    <col min="7" max="12" width="9.140625" customWidth="1"/>
    <col min="13" max="13" width="14.28515625" customWidth="1"/>
    <col min="14" max="16" width="9.140625" customWidth="1"/>
    <col min="18" max="18" width="14.28515625" bestFit="1" customWidth="1"/>
    <col min="19" max="19" width="0" hidden="1" customWidth="1"/>
    <col min="20" max="20" width="17.7109375" hidden="1" customWidth="1"/>
    <col min="21" max="21" width="22.140625" hidden="1" customWidth="1"/>
    <col min="22" max="22" width="14.140625" hidden="1" customWidth="1"/>
    <col min="23" max="23" width="13.85546875" hidden="1" customWidth="1"/>
    <col min="24" max="24" width="15.7109375" hidden="1" customWidth="1"/>
    <col min="25" max="25" width="0" hidden="1" customWidth="1"/>
    <col min="26" max="26" width="17.7109375" hidden="1" customWidth="1"/>
    <col min="27" max="31" width="15.140625" hidden="1" customWidth="1"/>
    <col min="32" max="32" width="13.42578125" customWidth="1"/>
    <col min="33" max="35" width="15.7109375" customWidth="1"/>
    <col min="37" max="37" width="9.5703125" bestFit="1" customWidth="1"/>
    <col min="38" max="38" width="11.7109375" bestFit="1" customWidth="1"/>
    <col min="39" max="40" width="9.5703125" bestFit="1" customWidth="1"/>
    <col min="45" max="45" width="21.5703125" customWidth="1"/>
    <col min="58" max="58" width="18.85546875" bestFit="1" customWidth="1"/>
  </cols>
  <sheetData>
    <row r="1" spans="1:60" x14ac:dyDescent="0.25">
      <c r="A1" s="7" t="s">
        <v>66</v>
      </c>
      <c r="B1" s="7" t="s">
        <v>98</v>
      </c>
      <c r="C1" s="7" t="s">
        <v>99</v>
      </c>
      <c r="D1" s="7" t="s">
        <v>100</v>
      </c>
      <c r="E1" s="7" t="s">
        <v>101</v>
      </c>
      <c r="F1" s="7" t="s">
        <v>102</v>
      </c>
      <c r="G1" s="7" t="s">
        <v>103</v>
      </c>
      <c r="H1" s="7" t="s">
        <v>104</v>
      </c>
      <c r="I1" s="7" t="s">
        <v>105</v>
      </c>
      <c r="J1" s="7" t="s">
        <v>106</v>
      </c>
      <c r="K1" s="7" t="s">
        <v>107</v>
      </c>
      <c r="L1" s="7" t="s">
        <v>108</v>
      </c>
      <c r="M1" s="7" t="s">
        <v>109</v>
      </c>
      <c r="N1" s="7" t="s">
        <v>110</v>
      </c>
      <c r="O1" s="7" t="s">
        <v>111</v>
      </c>
      <c r="P1" s="7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59</v>
      </c>
      <c r="AD1" t="s">
        <v>123</v>
      </c>
      <c r="AE1" t="s">
        <v>124</v>
      </c>
      <c r="AG1" t="s">
        <v>125</v>
      </c>
      <c r="AH1" t="s">
        <v>126</v>
      </c>
      <c r="AK1" t="s">
        <v>77</v>
      </c>
      <c r="AL1" t="s">
        <v>78</v>
      </c>
      <c r="AM1" t="s">
        <v>79</v>
      </c>
      <c r="AN1" t="s">
        <v>77</v>
      </c>
      <c r="AO1" t="s">
        <v>78</v>
      </c>
      <c r="AP1" t="s">
        <v>79</v>
      </c>
      <c r="AS1" s="7" t="s">
        <v>66</v>
      </c>
      <c r="AT1" s="7" t="s">
        <v>114</v>
      </c>
      <c r="AU1" s="7" t="s">
        <v>115</v>
      </c>
      <c r="AV1" s="7" t="s">
        <v>116</v>
      </c>
      <c r="AW1" s="7" t="s">
        <v>117</v>
      </c>
      <c r="AX1" s="7" t="s">
        <v>118</v>
      </c>
      <c r="AY1" s="7" t="s">
        <v>119</v>
      </c>
      <c r="AZ1" s="7" t="s">
        <v>120</v>
      </c>
      <c r="BA1" s="7" t="s">
        <v>121</v>
      </c>
      <c r="BB1" s="7" t="s">
        <v>122</v>
      </c>
      <c r="BC1" s="7" t="s">
        <v>59</v>
      </c>
      <c r="BD1" s="7" t="s">
        <v>123</v>
      </c>
      <c r="BE1" s="7" t="s">
        <v>124</v>
      </c>
      <c r="BF1" s="7" t="s">
        <v>127</v>
      </c>
      <c r="BG1" s="7" t="s">
        <v>128</v>
      </c>
      <c r="BH1" s="7" t="s">
        <v>129</v>
      </c>
    </row>
    <row r="2" spans="1:60" x14ac:dyDescent="0.25">
      <c r="A2" s="2">
        <v>45499</v>
      </c>
      <c r="B2">
        <v>0</v>
      </c>
      <c r="C2">
        <v>8.6999999999999993</v>
      </c>
      <c r="D2">
        <v>0</v>
      </c>
      <c r="E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v>-27.213200000000001</v>
      </c>
      <c r="S2">
        <f t="shared" ref="S2:S33" si="0">SUM(B2:M2)</f>
        <v>8.6999999999999993</v>
      </c>
      <c r="AS2" t="s">
        <v>66</v>
      </c>
      <c r="AT2" t="s">
        <v>98</v>
      </c>
      <c r="AU2" t="s">
        <v>99</v>
      </c>
      <c r="AV2" t="s">
        <v>100</v>
      </c>
      <c r="AW2" t="s">
        <v>101</v>
      </c>
      <c r="AX2" t="s">
        <v>102</v>
      </c>
      <c r="AY2" t="s">
        <v>103</v>
      </c>
      <c r="AZ2" t="s">
        <v>104</v>
      </c>
      <c r="BA2" t="s">
        <v>105</v>
      </c>
      <c r="BB2" t="s">
        <v>106</v>
      </c>
      <c r="BC2" t="s">
        <v>107</v>
      </c>
      <c r="BD2" t="s">
        <v>108</v>
      </c>
      <c r="BE2" t="s">
        <v>109</v>
      </c>
      <c r="BF2" t="s">
        <v>110</v>
      </c>
      <c r="BG2" t="s">
        <v>111</v>
      </c>
      <c r="BH2" t="s">
        <v>130</v>
      </c>
    </row>
    <row r="3" spans="1:60" x14ac:dyDescent="0.25">
      <c r="A3" s="2">
        <v>45498</v>
      </c>
      <c r="B3">
        <v>0</v>
      </c>
      <c r="C3">
        <v>145.6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-17.198699999999999</v>
      </c>
      <c r="O3">
        <v>-27.186299999999999</v>
      </c>
      <c r="S3">
        <f>SUM(B3:M3)</f>
        <v>145.6</v>
      </c>
      <c r="T3">
        <f t="shared" ref="T3:AE3" si="1">B3/$S$3</f>
        <v>0</v>
      </c>
      <c r="U3">
        <f t="shared" si="1"/>
        <v>1</v>
      </c>
      <c r="V3">
        <f t="shared" si="1"/>
        <v>0</v>
      </c>
      <c r="W3">
        <f t="shared" si="1"/>
        <v>0</v>
      </c>
      <c r="X3">
        <f t="shared" si="1"/>
        <v>0</v>
      </c>
      <c r="Y3">
        <f t="shared" si="1"/>
        <v>0</v>
      </c>
      <c r="Z3">
        <f t="shared" si="1"/>
        <v>0</v>
      </c>
      <c r="AA3">
        <f t="shared" si="1"/>
        <v>0</v>
      </c>
      <c r="AB3">
        <f t="shared" si="1"/>
        <v>0</v>
      </c>
      <c r="AC3">
        <f t="shared" si="1"/>
        <v>0</v>
      </c>
      <c r="AD3">
        <f t="shared" si="1"/>
        <v>0</v>
      </c>
      <c r="AE3">
        <f t="shared" si="1"/>
        <v>0</v>
      </c>
      <c r="AS3" s="2">
        <v>45477</v>
      </c>
      <c r="AT3">
        <v>0</v>
      </c>
      <c r="AU3">
        <v>339.2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G3">
        <v>-26.767099999999999</v>
      </c>
    </row>
    <row r="4" spans="1:60" x14ac:dyDescent="0.25">
      <c r="A4" s="2">
        <v>45497</v>
      </c>
      <c r="B4">
        <v>25.3</v>
      </c>
      <c r="C4">
        <v>349</v>
      </c>
      <c r="D4">
        <v>30.7</v>
      </c>
      <c r="E4">
        <v>4.4000000000000004</v>
      </c>
      <c r="F4">
        <v>332.1</v>
      </c>
      <c r="G4">
        <v>0.7</v>
      </c>
      <c r="H4">
        <v>3.2</v>
      </c>
      <c r="I4">
        <v>188.2688</v>
      </c>
      <c r="J4">
        <v>33.166699999999999</v>
      </c>
      <c r="K4">
        <v>62.560400000000001</v>
      </c>
      <c r="L4">
        <v>4.3630000000000004</v>
      </c>
      <c r="M4">
        <v>32.947600000000001</v>
      </c>
      <c r="N4">
        <v>-18.2501</v>
      </c>
      <c r="O4">
        <v>-27.354099999999999</v>
      </c>
      <c r="P4">
        <v>83.52</v>
      </c>
      <c r="S4">
        <f t="shared" si="0"/>
        <v>1066.7065000000002</v>
      </c>
      <c r="T4">
        <f>B4/$S$4</f>
        <v>2.3717864286005565E-2</v>
      </c>
      <c r="U4">
        <f t="shared" ref="U4:AE4" si="2">C4/$S$4</f>
        <v>0.32717528204806096</v>
      </c>
      <c r="V4">
        <f t="shared" si="2"/>
        <v>2.8780175240330861E-2</v>
      </c>
      <c r="W4">
        <f t="shared" si="2"/>
        <v>4.1248459627835771E-3</v>
      </c>
      <c r="X4">
        <f t="shared" si="2"/>
        <v>0.31133212369100588</v>
      </c>
      <c r="Y4">
        <f t="shared" si="2"/>
        <v>6.5622549407920526E-4</v>
      </c>
      <c r="Z4">
        <f t="shared" si="2"/>
        <v>2.9998879729335104E-3</v>
      </c>
      <c r="AA4">
        <f t="shared" si="2"/>
        <v>0.17649540899957014</v>
      </c>
      <c r="AB4">
        <f t="shared" si="2"/>
        <v>3.1092620134966827E-2</v>
      </c>
      <c r="AC4">
        <f t="shared" si="2"/>
        <v>5.8648184856846738E-2</v>
      </c>
      <c r="AD4">
        <f t="shared" si="2"/>
        <v>4.0901597580965329E-3</v>
      </c>
      <c r="AE4">
        <f t="shared" si="2"/>
        <v>3.0887221555320039E-2</v>
      </c>
      <c r="AG4">
        <f>(P4-AVERAGE(P4:P368)) / _xlfn.STDEV.S(P4:P1831)</f>
        <v>0.18516053960759699</v>
      </c>
      <c r="AH4">
        <f>SUM(T4:Y4,Z4,AE4)</f>
        <v>0.72967362625051968</v>
      </c>
      <c r="AI4">
        <f>(AH4-AVERAGE(AH4:AH368))/_xlfn.STDEV.S(AH4:AH368)</f>
        <v>1.8976305846885357</v>
      </c>
      <c r="AK4" s="26">
        <f>AVERAGEA(AH4:AH24)-AVERAGE(AH370:AH390, AH735:AH755, AH1100:AH1120)</f>
        <v>0.37389464451472593</v>
      </c>
      <c r="AL4" s="26">
        <f>AVERAGEA(AH4:AH59)-AVERAGE(AH370:AH425, AH735:AH789, AH1100:AH1154)</f>
        <v>0.27964441189264433</v>
      </c>
      <c r="AM4" s="26">
        <f>AVERAGEA(AH4:AH116)-AVERAGE(AH370:AH482,AH735:AH846,AH1100:AH1211)</f>
        <v>0.19550063948349949</v>
      </c>
      <c r="AN4" s="26">
        <f>AVERAGEA(P4:P24)-AVERAGE(P370:P390, P735:P755, P1100:P1120)</f>
        <v>15.633333333333312</v>
      </c>
      <c r="AO4" s="26">
        <f>AVERAGEA(P4:P59)-AVERAGE(P370:P425, P735:P789, P1100:P1154)</f>
        <v>16.235391566265072</v>
      </c>
      <c r="AP4" s="26">
        <f>AVERAGEA(P4:P116)-AVERAGE(P370:P482,P735:P846,P1100:P1211)</f>
        <v>18.833477062051934</v>
      </c>
      <c r="AS4" s="2">
        <v>45476</v>
      </c>
      <c r="AT4">
        <v>0</v>
      </c>
      <c r="AU4">
        <v>378.9</v>
      </c>
      <c r="AV4">
        <v>0</v>
      </c>
      <c r="AW4">
        <v>0</v>
      </c>
      <c r="AX4">
        <v>228.27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-18.952500000000001</v>
      </c>
      <c r="BG4">
        <v>-26.724799999999998</v>
      </c>
    </row>
    <row r="5" spans="1:60" x14ac:dyDescent="0.25">
      <c r="A5" s="2">
        <v>45496</v>
      </c>
      <c r="B5">
        <v>25</v>
      </c>
      <c r="C5">
        <v>517.70000000000005</v>
      </c>
      <c r="D5">
        <v>24.8</v>
      </c>
      <c r="E5">
        <v>3.3</v>
      </c>
      <c r="F5">
        <v>300.45999999999998</v>
      </c>
      <c r="G5">
        <v>0.6</v>
      </c>
      <c r="H5">
        <v>3.4</v>
      </c>
      <c r="I5">
        <v>192.40600000000001</v>
      </c>
      <c r="J5">
        <v>21.994900000000001</v>
      </c>
      <c r="K5">
        <v>68.017300000000006</v>
      </c>
      <c r="L5">
        <v>4.2291999999999996</v>
      </c>
      <c r="M5">
        <v>39.125</v>
      </c>
      <c r="N5">
        <v>-19.263400000000001</v>
      </c>
      <c r="O5">
        <v>-28.021999999999998</v>
      </c>
      <c r="P5">
        <v>83.37</v>
      </c>
      <c r="S5">
        <f t="shared" si="0"/>
        <v>1201.0323999999998</v>
      </c>
      <c r="T5">
        <f t="shared" ref="T5:T68" si="3">B5/$S$4</f>
        <v>2.3436624788543046E-2</v>
      </c>
      <c r="U5">
        <f t="shared" ref="U5:U68" si="4">C5/$S$4</f>
        <v>0.48532562612114949</v>
      </c>
      <c r="V5">
        <f t="shared" ref="V5:V68" si="5">D5/$S$4</f>
        <v>2.3249131790234703E-2</v>
      </c>
      <c r="W5">
        <f t="shared" ref="W5:W68" si="6">E5/$S$4</f>
        <v>3.0936344720876819E-3</v>
      </c>
      <c r="X5">
        <f t="shared" ref="X5:X68" si="7">F5/$S$4</f>
        <v>0.28167073135862575</v>
      </c>
      <c r="Y5">
        <f t="shared" ref="Y5:Y68" si="8">G5/$S$4</f>
        <v>5.6247899492503314E-4</v>
      </c>
      <c r="Z5">
        <f t="shared" ref="Z5:Z68" si="9">H5/$S$4</f>
        <v>3.1873809712418544E-3</v>
      </c>
      <c r="AA5">
        <f t="shared" ref="AA5:AA68" si="10">I5/$S$4</f>
        <v>0.18037388916257655</v>
      </c>
      <c r="AB5">
        <f t="shared" ref="AB5:AB68" si="11">J5/$S$4</f>
        <v>2.0619448742461022E-2</v>
      </c>
      <c r="AC5">
        <f t="shared" ref="AC5:AC68" si="12">K5/$S$4</f>
        <v>6.3763837569190768E-2</v>
      </c>
      <c r="AD5">
        <f t="shared" ref="AD5:AD68" si="13">L5/$S$4</f>
        <v>3.9647269422282503E-3</v>
      </c>
      <c r="AE5">
        <f t="shared" ref="AE5:AE68" si="14">M5/$S$4</f>
        <v>3.6678317794069867E-2</v>
      </c>
      <c r="AG5">
        <f t="shared" ref="AG5:AG68" si="15">(P5-AVERAGE(P5:P369)) / _xlfn.STDEV.S(P5:P1832)</f>
        <v>0.17768162804505058</v>
      </c>
      <c r="AH5">
        <f t="shared" ref="AH5:AH68" si="16">SUM(T5:Y5,Z5,AE5)</f>
        <v>0.85720392629087727</v>
      </c>
      <c r="AI5">
        <f t="shared" ref="AI5:AI68" si="17">(AH5-AVERAGE(AH5:AH369))/_xlfn.STDEV.S(AH5:AH369)</f>
        <v>2.5408417249355928</v>
      </c>
      <c r="AK5" s="26">
        <f t="shared" ref="AK5:AK68" si="18">AVERAGEA(AH5:AH25)-AVERAGE(AH371:AH391, AH736:AH756, AH1101:AH1121)</f>
        <v>0.37122190355108681</v>
      </c>
      <c r="AL5" s="26">
        <f t="shared" ref="AL5:AL68" si="19">AVERAGEA(AH5:AH60)-AVERAGE(AH371:AH426, AH736:AH790, AH1101:AH1155)</f>
        <v>0.27811806350280233</v>
      </c>
      <c r="AM5" s="26">
        <f t="shared" ref="AM5:AM68" si="20">AVERAGEA(AH5:AH117)-AVERAGE(AH371:AH483,AH736:AH847,AH1101:AH1212)</f>
        <v>0.19321035942364778</v>
      </c>
      <c r="AN5" s="26">
        <f t="shared" ref="AN5:AN68" si="21">AVERAGEA(P5:P25)-AVERAGE(P371:P391, P736:P756, P1101:P1121)</f>
        <v>15.680634920634915</v>
      </c>
      <c r="AO5" s="26">
        <f t="shared" ref="AO5:AO68" si="22">AVERAGEA(P5:P60)-AVERAGE(P371:P426, P736:P790, P1101:P1155)</f>
        <v>16.300460413080899</v>
      </c>
      <c r="AP5" s="26">
        <f t="shared" ref="AP5:AP68" si="23">AVERAGEA(P5:P117)-AVERAGE(P371:P483,P736:P847,P1101:P1212)</f>
        <v>18.894389853207613</v>
      </c>
      <c r="AS5" s="2">
        <v>45475</v>
      </c>
      <c r="AT5">
        <v>22.3</v>
      </c>
      <c r="AU5">
        <v>546</v>
      </c>
      <c r="AV5">
        <v>44.9</v>
      </c>
      <c r="AW5">
        <v>5.0999999999999996</v>
      </c>
      <c r="AX5">
        <v>204.26</v>
      </c>
      <c r="AY5">
        <v>0.4</v>
      </c>
      <c r="AZ5">
        <v>2.6</v>
      </c>
      <c r="BA5">
        <v>233.9846</v>
      </c>
      <c r="BB5">
        <v>31.445799999999998</v>
      </c>
      <c r="BC5">
        <v>40.0732</v>
      </c>
      <c r="BD5">
        <v>4.3167</v>
      </c>
      <c r="BE5">
        <v>28.188400000000001</v>
      </c>
      <c r="BF5">
        <v>-18.6587</v>
      </c>
      <c r="BG5">
        <v>-24.534500000000001</v>
      </c>
      <c r="BH5">
        <v>77.87</v>
      </c>
    </row>
    <row r="6" spans="1:60" x14ac:dyDescent="0.25">
      <c r="A6" s="2">
        <v>45495</v>
      </c>
      <c r="B6">
        <v>24.9</v>
      </c>
      <c r="C6">
        <v>443.1</v>
      </c>
      <c r="D6">
        <v>22.5</v>
      </c>
      <c r="E6">
        <v>4.9000000000000004</v>
      </c>
      <c r="F6">
        <v>303.26</v>
      </c>
      <c r="G6">
        <v>0.6</v>
      </c>
      <c r="H6">
        <v>3.5</v>
      </c>
      <c r="I6">
        <v>176.59880000000001</v>
      </c>
      <c r="J6">
        <v>13.188800000000001</v>
      </c>
      <c r="K6">
        <v>58.481900000000003</v>
      </c>
      <c r="L6">
        <v>4.3712999999999997</v>
      </c>
      <c r="M6">
        <v>32.753</v>
      </c>
      <c r="N6">
        <v>-19.742599999999999</v>
      </c>
      <c r="O6">
        <v>-26.8522</v>
      </c>
      <c r="P6">
        <v>83.15</v>
      </c>
      <c r="S6">
        <f t="shared" si="0"/>
        <v>1088.1538</v>
      </c>
      <c r="T6">
        <f t="shared" si="3"/>
        <v>2.3342878289388875E-2</v>
      </c>
      <c r="U6">
        <f t="shared" si="4"/>
        <v>0.41539073775213697</v>
      </c>
      <c r="V6">
        <f t="shared" si="5"/>
        <v>2.1092962309688743E-2</v>
      </c>
      <c r="W6">
        <f t="shared" si="6"/>
        <v>4.5935784585544375E-3</v>
      </c>
      <c r="X6">
        <f t="shared" si="7"/>
        <v>0.28429563333494257</v>
      </c>
      <c r="Y6">
        <f t="shared" si="8"/>
        <v>5.6247899492503314E-4</v>
      </c>
      <c r="Z6">
        <f t="shared" si="9"/>
        <v>3.2811274703960268E-3</v>
      </c>
      <c r="AA6">
        <f t="shared" si="10"/>
        <v>0.16555519254827825</v>
      </c>
      <c r="AB6">
        <f t="shared" si="11"/>
        <v>1.2364038280445463E-2</v>
      </c>
      <c r="AC6">
        <f t="shared" si="12"/>
        <v>5.4824733888843832E-2</v>
      </c>
      <c r="AD6">
        <f t="shared" si="13"/>
        <v>4.0979407175263287E-3</v>
      </c>
      <c r="AE6">
        <f t="shared" si="14"/>
        <v>3.0704790867966018E-2</v>
      </c>
      <c r="AG6">
        <f t="shared" si="15"/>
        <v>0.16676696287292689</v>
      </c>
      <c r="AH6">
        <f t="shared" si="16"/>
        <v>0.78326418747799875</v>
      </c>
      <c r="AI6">
        <f t="shared" si="17"/>
        <v>2.1998710395086603</v>
      </c>
      <c r="AK6" s="26">
        <f t="shared" si="18"/>
        <v>0.37160438926763578</v>
      </c>
      <c r="AL6" s="26">
        <f t="shared" si="19"/>
        <v>0.26935529075507797</v>
      </c>
      <c r="AM6" s="26">
        <f t="shared" si="20"/>
        <v>0.18886115744648291</v>
      </c>
      <c r="AN6" s="26">
        <f t="shared" si="21"/>
        <v>15.723015873015868</v>
      </c>
      <c r="AO6" s="26">
        <f t="shared" si="22"/>
        <v>16.364036144578321</v>
      </c>
      <c r="AP6" s="26">
        <f t="shared" si="23"/>
        <v>18.950909902576058</v>
      </c>
      <c r="AS6" s="2">
        <v>45474</v>
      </c>
      <c r="AT6">
        <v>22.4</v>
      </c>
      <c r="AU6">
        <v>392.8</v>
      </c>
      <c r="AV6">
        <v>24.8</v>
      </c>
      <c r="AW6">
        <v>3.1</v>
      </c>
      <c r="AX6">
        <v>257.93</v>
      </c>
      <c r="AY6">
        <v>0.4</v>
      </c>
      <c r="AZ6">
        <v>2.5</v>
      </c>
      <c r="BA6">
        <v>226.1174</v>
      </c>
      <c r="BB6">
        <v>33.763100000000001</v>
      </c>
      <c r="BC6">
        <v>64.516199999999998</v>
      </c>
      <c r="BD6">
        <v>3.9047999999999998</v>
      </c>
      <c r="BE6">
        <v>28.999500000000001</v>
      </c>
      <c r="BF6">
        <v>-19.697600000000001</v>
      </c>
      <c r="BG6">
        <v>-24.885200000000001</v>
      </c>
      <c r="BH6">
        <v>77.62</v>
      </c>
    </row>
    <row r="7" spans="1:60" x14ac:dyDescent="0.25">
      <c r="A7" s="2">
        <v>45494</v>
      </c>
      <c r="B7">
        <v>23.6</v>
      </c>
      <c r="C7">
        <v>455.9</v>
      </c>
      <c r="D7">
        <v>23.3</v>
      </c>
      <c r="E7">
        <v>2.7</v>
      </c>
      <c r="F7">
        <v>354.06</v>
      </c>
      <c r="G7">
        <v>0.6</v>
      </c>
      <c r="H7">
        <v>3.2</v>
      </c>
      <c r="I7">
        <v>133.63640000000001</v>
      </c>
      <c r="J7">
        <v>5.9984999999999999</v>
      </c>
      <c r="K7">
        <v>34.044600000000003</v>
      </c>
      <c r="L7">
        <v>4.2862</v>
      </c>
      <c r="M7">
        <v>27.702500000000001</v>
      </c>
      <c r="P7">
        <v>82.91</v>
      </c>
      <c r="S7">
        <f t="shared" si="0"/>
        <v>1069.0282000000002</v>
      </c>
      <c r="T7">
        <f t="shared" si="3"/>
        <v>2.2124173800384637E-2</v>
      </c>
      <c r="U7">
        <f t="shared" si="4"/>
        <v>0.42739028964387099</v>
      </c>
      <c r="V7">
        <f t="shared" si="5"/>
        <v>2.1842934302922123E-2</v>
      </c>
      <c r="W7">
        <f t="shared" si="6"/>
        <v>2.5311554771626494E-3</v>
      </c>
      <c r="X7">
        <f t="shared" si="7"/>
        <v>0.33191885490526207</v>
      </c>
      <c r="Y7">
        <f t="shared" si="8"/>
        <v>5.6247899492503314E-4</v>
      </c>
      <c r="Z7">
        <f t="shared" si="9"/>
        <v>2.9998879729335104E-3</v>
      </c>
      <c r="AA7">
        <f t="shared" si="10"/>
        <v>0.12527944659566617</v>
      </c>
      <c r="AB7">
        <f t="shared" si="11"/>
        <v>5.6233837517630191E-3</v>
      </c>
      <c r="AC7">
        <f t="shared" si="12"/>
        <v>3.191562065104131E-2</v>
      </c>
      <c r="AD7">
        <f t="shared" si="13"/>
        <v>4.0181624467461284E-3</v>
      </c>
      <c r="AE7">
        <f t="shared" si="14"/>
        <v>2.5970123928184551E-2</v>
      </c>
      <c r="AG7">
        <f t="shared" si="15"/>
        <v>0.15487113355488702</v>
      </c>
      <c r="AH7">
        <f t="shared" si="16"/>
        <v>0.83533989902564554</v>
      </c>
      <c r="AI7">
        <f t="shared" si="17"/>
        <v>2.4814865592369646</v>
      </c>
      <c r="AK7" s="26">
        <f t="shared" si="18"/>
        <v>0.37642659311703225</v>
      </c>
      <c r="AL7" s="26">
        <f t="shared" si="19"/>
        <v>0.26763336215817674</v>
      </c>
      <c r="AM7" s="26">
        <f t="shared" si="20"/>
        <v>0.18559925531985766</v>
      </c>
      <c r="AN7" s="26">
        <f t="shared" si="21"/>
        <v>15.762539682539696</v>
      </c>
      <c r="AO7" s="26">
        <f t="shared" si="22"/>
        <v>16.428332616179013</v>
      </c>
      <c r="AP7" s="26">
        <f t="shared" si="23"/>
        <v>18.999415719125004</v>
      </c>
      <c r="AS7" s="2">
        <v>45473</v>
      </c>
      <c r="AT7">
        <v>23.2</v>
      </c>
      <c r="AU7">
        <v>495.6</v>
      </c>
      <c r="AV7">
        <v>22.4</v>
      </c>
      <c r="AW7">
        <v>4.4000000000000004</v>
      </c>
      <c r="AX7">
        <v>204.29</v>
      </c>
      <c r="AY7">
        <v>0.3</v>
      </c>
      <c r="AZ7">
        <v>2.7</v>
      </c>
      <c r="BA7">
        <v>110.5081</v>
      </c>
      <c r="BB7">
        <v>6.8221999999999996</v>
      </c>
      <c r="BC7">
        <v>31.522400000000001</v>
      </c>
      <c r="BD7">
        <v>4.4898999999999996</v>
      </c>
      <c r="BE7">
        <v>17.459</v>
      </c>
      <c r="BH7">
        <v>77.39</v>
      </c>
    </row>
    <row r="8" spans="1:60" x14ac:dyDescent="0.25">
      <c r="A8" s="2">
        <v>45493</v>
      </c>
      <c r="B8">
        <v>24.9</v>
      </c>
      <c r="C8">
        <v>173.1</v>
      </c>
      <c r="D8">
        <v>31.1</v>
      </c>
      <c r="E8">
        <v>2.5</v>
      </c>
      <c r="F8">
        <v>384.68</v>
      </c>
      <c r="G8">
        <v>0.6</v>
      </c>
      <c r="H8">
        <v>3.2</v>
      </c>
      <c r="I8">
        <v>156.072</v>
      </c>
      <c r="J8">
        <v>5.7930000000000001</v>
      </c>
      <c r="K8">
        <v>33.518500000000003</v>
      </c>
      <c r="L8">
        <v>4.2362000000000002</v>
      </c>
      <c r="M8">
        <v>30.937899999999999</v>
      </c>
      <c r="P8">
        <v>82.59</v>
      </c>
      <c r="S8">
        <f t="shared" si="0"/>
        <v>850.63760000000013</v>
      </c>
      <c r="T8">
        <f t="shared" si="3"/>
        <v>2.3342878289388875E-2</v>
      </c>
      <c r="U8">
        <f t="shared" si="4"/>
        <v>0.16227519003587207</v>
      </c>
      <c r="V8">
        <f t="shared" si="5"/>
        <v>2.9155161236947554E-2</v>
      </c>
      <c r="W8">
        <f t="shared" si="6"/>
        <v>2.3436624788543046E-3</v>
      </c>
      <c r="X8">
        <f t="shared" si="7"/>
        <v>0.3606240329462696</v>
      </c>
      <c r="Y8">
        <f t="shared" si="8"/>
        <v>5.6247899492503314E-4</v>
      </c>
      <c r="Z8">
        <f t="shared" si="9"/>
        <v>2.9998879729335104E-3</v>
      </c>
      <c r="AA8">
        <f t="shared" si="10"/>
        <v>0.14631203615989963</v>
      </c>
      <c r="AB8">
        <f t="shared" si="11"/>
        <v>5.4307346960011955E-3</v>
      </c>
      <c r="AC8">
        <f t="shared" si="12"/>
        <v>3.1422420318991208E-2</v>
      </c>
      <c r="AD8">
        <f t="shared" si="13"/>
        <v>3.9712891971690426E-3</v>
      </c>
      <c r="AE8">
        <f t="shared" si="14"/>
        <v>2.9003198161818636E-2</v>
      </c>
      <c r="AG8">
        <f t="shared" si="15"/>
        <v>0.13905001561511143</v>
      </c>
      <c r="AH8">
        <f t="shared" si="16"/>
        <v>0.61030649011700955</v>
      </c>
      <c r="AI8">
        <f t="shared" si="17"/>
        <v>1.3693276315012946</v>
      </c>
      <c r="AK8" s="26">
        <f t="shared" si="18"/>
        <v>0.37248242493087252</v>
      </c>
      <c r="AL8" s="26">
        <f t="shared" si="19"/>
        <v>0.26441354298215219</v>
      </c>
      <c r="AM8" s="26">
        <f t="shared" si="20"/>
        <v>0.18176873958653111</v>
      </c>
      <c r="AN8" s="26">
        <f t="shared" si="21"/>
        <v>15.80190476190478</v>
      </c>
      <c r="AO8" s="26">
        <f t="shared" si="22"/>
        <v>16.494315834767669</v>
      </c>
      <c r="AP8" s="26">
        <f t="shared" si="23"/>
        <v>19.052822142275652</v>
      </c>
      <c r="AS8" s="2">
        <v>45472</v>
      </c>
      <c r="AT8">
        <v>23</v>
      </c>
      <c r="AU8">
        <v>312.39999999999998</v>
      </c>
      <c r="AV8">
        <v>10.8</v>
      </c>
      <c r="AW8">
        <v>0.9</v>
      </c>
      <c r="AX8">
        <v>411.36</v>
      </c>
      <c r="AY8">
        <v>0.3</v>
      </c>
      <c r="AZ8">
        <v>2.9</v>
      </c>
      <c r="BA8">
        <v>117.98220000000001</v>
      </c>
      <c r="BB8">
        <v>5.3503999999999996</v>
      </c>
      <c r="BC8">
        <v>54.995399999999997</v>
      </c>
      <c r="BD8">
        <v>4.4855</v>
      </c>
      <c r="BE8">
        <v>34.761800000000001</v>
      </c>
      <c r="BH8">
        <v>77.05</v>
      </c>
    </row>
    <row r="9" spans="1:60" x14ac:dyDescent="0.25">
      <c r="A9" s="2">
        <v>45492</v>
      </c>
      <c r="B9">
        <v>21.6</v>
      </c>
      <c r="C9">
        <v>318.5</v>
      </c>
      <c r="D9">
        <v>7.9</v>
      </c>
      <c r="E9">
        <v>0.6</v>
      </c>
      <c r="F9">
        <v>403.81</v>
      </c>
      <c r="G9">
        <v>0.6</v>
      </c>
      <c r="H9">
        <v>2.9</v>
      </c>
      <c r="I9">
        <v>218.40989999999999</v>
      </c>
      <c r="J9">
        <v>30.218399999999999</v>
      </c>
      <c r="K9">
        <v>80.271699999999996</v>
      </c>
      <c r="L9">
        <v>4.0804</v>
      </c>
      <c r="M9">
        <v>37.505000000000003</v>
      </c>
      <c r="N9">
        <v>-22.4771</v>
      </c>
      <c r="O9">
        <v>-29.966799999999999</v>
      </c>
      <c r="P9">
        <v>82.27</v>
      </c>
      <c r="S9">
        <f t="shared" si="0"/>
        <v>1126.3954000000001</v>
      </c>
      <c r="T9">
        <f t="shared" si="3"/>
        <v>2.0249243817301196E-2</v>
      </c>
      <c r="U9">
        <f t="shared" si="4"/>
        <v>0.29858259980603841</v>
      </c>
      <c r="V9">
        <f t="shared" si="5"/>
        <v>7.405973433179603E-3</v>
      </c>
      <c r="W9">
        <f t="shared" si="6"/>
        <v>5.6247899492503314E-4</v>
      </c>
      <c r="X9">
        <f t="shared" si="7"/>
        <v>0.3785577382344627</v>
      </c>
      <c r="Y9">
        <f t="shared" si="8"/>
        <v>5.6247899492503314E-4</v>
      </c>
      <c r="Z9">
        <f t="shared" si="9"/>
        <v>2.7186484754709935E-3</v>
      </c>
      <c r="AA9">
        <f t="shared" si="10"/>
        <v>0.20475163505612831</v>
      </c>
      <c r="AB9">
        <f t="shared" si="11"/>
        <v>2.8328692100404368E-2</v>
      </c>
      <c r="AC9">
        <f t="shared" si="12"/>
        <v>7.525190856153964E-2</v>
      </c>
      <c r="AD9">
        <f t="shared" si="13"/>
        <v>3.8252321514868422E-3</v>
      </c>
      <c r="AE9">
        <f t="shared" si="14"/>
        <v>3.5159624507772283E-2</v>
      </c>
      <c r="AG9">
        <f t="shared" si="15"/>
        <v>0.12323120729703188</v>
      </c>
      <c r="AH9">
        <f t="shared" si="16"/>
        <v>0.74379878626407525</v>
      </c>
      <c r="AI9">
        <f t="shared" si="17"/>
        <v>2.0505529570626337</v>
      </c>
      <c r="AK9" s="26">
        <f t="shared" si="18"/>
        <v>0.38381337827867867</v>
      </c>
      <c r="AL9" s="26">
        <f t="shared" si="19"/>
        <v>0.26396736287272976</v>
      </c>
      <c r="AM9" s="26">
        <f t="shared" si="20"/>
        <v>0.18121663144178046</v>
      </c>
      <c r="AN9" s="26">
        <f t="shared" si="21"/>
        <v>15.841904761904793</v>
      </c>
      <c r="AO9" s="26">
        <f t="shared" si="22"/>
        <v>16.561447934595535</v>
      </c>
      <c r="AP9" s="26">
        <f t="shared" si="23"/>
        <v>19.1059754208135</v>
      </c>
      <c r="AS9" s="2">
        <v>45471</v>
      </c>
      <c r="AT9">
        <v>23.2</v>
      </c>
      <c r="AU9">
        <v>420.2</v>
      </c>
      <c r="AV9">
        <v>44.5</v>
      </c>
      <c r="AW9">
        <v>3.9</v>
      </c>
      <c r="AX9">
        <v>390.66</v>
      </c>
      <c r="AY9">
        <v>0.3</v>
      </c>
      <c r="AZ9">
        <v>2.9</v>
      </c>
      <c r="BA9">
        <v>164.50120000000001</v>
      </c>
      <c r="BB9">
        <v>19.578700000000001</v>
      </c>
      <c r="BC9">
        <v>53.536999999999999</v>
      </c>
      <c r="BD9">
        <v>4.4218000000000002</v>
      </c>
      <c r="BE9">
        <v>22.5611</v>
      </c>
      <c r="BF9">
        <v>-24.8398</v>
      </c>
      <c r="BG9">
        <v>-27.752500000000001</v>
      </c>
      <c r="BH9">
        <v>76.72</v>
      </c>
    </row>
    <row r="10" spans="1:60" x14ac:dyDescent="0.25">
      <c r="A10" s="2">
        <v>45491</v>
      </c>
      <c r="B10">
        <v>23</v>
      </c>
      <c r="C10">
        <v>540.6</v>
      </c>
      <c r="D10">
        <v>9.8000000000000007</v>
      </c>
      <c r="E10">
        <v>0.5</v>
      </c>
      <c r="F10">
        <v>414.71</v>
      </c>
      <c r="G10">
        <v>0.6</v>
      </c>
      <c r="H10">
        <v>2.9</v>
      </c>
      <c r="I10">
        <v>212.9247</v>
      </c>
      <c r="J10">
        <v>32.2301</v>
      </c>
      <c r="K10">
        <v>83.8369</v>
      </c>
      <c r="L10">
        <v>3.9897</v>
      </c>
      <c r="M10">
        <v>38.884500000000003</v>
      </c>
      <c r="N10">
        <v>-23.242799999999999</v>
      </c>
      <c r="O10">
        <v>-29.482099999999999</v>
      </c>
      <c r="P10">
        <v>82.03</v>
      </c>
      <c r="S10">
        <f t="shared" si="0"/>
        <v>1363.9758999999999</v>
      </c>
      <c r="T10">
        <f t="shared" si="3"/>
        <v>2.1561694805459605E-2</v>
      </c>
      <c r="U10">
        <f t="shared" si="4"/>
        <v>0.50679357442745487</v>
      </c>
      <c r="V10">
        <f t="shared" si="5"/>
        <v>9.1871569171088751E-3</v>
      </c>
      <c r="W10">
        <f t="shared" si="6"/>
        <v>4.6873249577086097E-4</v>
      </c>
      <c r="X10">
        <f t="shared" si="7"/>
        <v>0.38877610664226747</v>
      </c>
      <c r="Y10">
        <f t="shared" si="8"/>
        <v>5.6247899492503314E-4</v>
      </c>
      <c r="Z10">
        <f t="shared" si="9"/>
        <v>2.7186484754709935E-3</v>
      </c>
      <c r="AA10">
        <f t="shared" si="10"/>
        <v>0.19960945208452369</v>
      </c>
      <c r="AB10">
        <f t="shared" si="11"/>
        <v>3.0214590423888851E-2</v>
      </c>
      <c r="AC10">
        <f t="shared" si="12"/>
        <v>7.8594158749384191E-2</v>
      </c>
      <c r="AD10">
        <f t="shared" si="13"/>
        <v>3.7402040767540081E-3</v>
      </c>
      <c r="AE10">
        <f t="shared" si="14"/>
        <v>3.6452857463604091E-2</v>
      </c>
      <c r="AG10">
        <f t="shared" si="15"/>
        <v>0.11134458680248975</v>
      </c>
      <c r="AH10">
        <f t="shared" si="16"/>
        <v>0.9665212502220617</v>
      </c>
      <c r="AI10">
        <f t="shared" si="17"/>
        <v>3.1929025225500056</v>
      </c>
      <c r="AK10" s="26">
        <f t="shared" si="18"/>
        <v>0.38901789374398293</v>
      </c>
      <c r="AL10" s="26">
        <f t="shared" si="19"/>
        <v>0.26552169398749298</v>
      </c>
      <c r="AM10" s="26">
        <f t="shared" si="20"/>
        <v>0.17765234030123978</v>
      </c>
      <c r="AN10" s="26">
        <f t="shared" si="21"/>
        <v>15.883650793650816</v>
      </c>
      <c r="AO10" s="26">
        <f t="shared" si="22"/>
        <v>16.630742254733214</v>
      </c>
      <c r="AP10" s="26">
        <f t="shared" si="23"/>
        <v>19.160150468737655</v>
      </c>
      <c r="AS10" s="2">
        <v>45470</v>
      </c>
      <c r="AT10">
        <v>23.6</v>
      </c>
      <c r="AU10">
        <v>435.3</v>
      </c>
      <c r="AV10">
        <v>18.899999999999999</v>
      </c>
      <c r="AW10">
        <v>1.8</v>
      </c>
      <c r="AX10">
        <v>350.48</v>
      </c>
      <c r="AY10">
        <v>0.3</v>
      </c>
      <c r="AZ10">
        <v>2.8</v>
      </c>
      <c r="BA10">
        <v>222.84139999999999</v>
      </c>
      <c r="BB10">
        <v>45.656300000000002</v>
      </c>
      <c r="BC10">
        <v>78.556100000000001</v>
      </c>
      <c r="BD10">
        <v>4.4523000000000001</v>
      </c>
      <c r="BE10">
        <v>30.114599999999999</v>
      </c>
      <c r="BF10">
        <v>-23.7578</v>
      </c>
      <c r="BG10">
        <v>-25.816700000000001</v>
      </c>
      <c r="BH10">
        <v>76.45</v>
      </c>
    </row>
    <row r="11" spans="1:60" x14ac:dyDescent="0.25">
      <c r="A11" s="2">
        <v>45490</v>
      </c>
      <c r="B11">
        <v>23.9</v>
      </c>
      <c r="C11">
        <v>620.79999999999995</v>
      </c>
      <c r="D11">
        <v>46.4</v>
      </c>
      <c r="E11">
        <v>6</v>
      </c>
      <c r="F11">
        <v>295.20999999999998</v>
      </c>
      <c r="G11">
        <v>0.7</v>
      </c>
      <c r="H11">
        <v>3</v>
      </c>
      <c r="I11">
        <v>165.8074</v>
      </c>
      <c r="J11">
        <v>10.465</v>
      </c>
      <c r="K11">
        <v>48.624200000000002</v>
      </c>
      <c r="L11">
        <v>3.9744000000000002</v>
      </c>
      <c r="M11">
        <v>30.3857</v>
      </c>
      <c r="N11">
        <v>-21.944600000000001</v>
      </c>
      <c r="O11">
        <v>-29.2211</v>
      </c>
      <c r="P11">
        <v>81.83</v>
      </c>
      <c r="S11">
        <f t="shared" si="0"/>
        <v>1255.2666999999999</v>
      </c>
      <c r="T11">
        <f t="shared" si="3"/>
        <v>2.2405413297847152E-2</v>
      </c>
      <c r="U11">
        <f t="shared" si="4"/>
        <v>0.58197826674910091</v>
      </c>
      <c r="V11">
        <f t="shared" si="5"/>
        <v>4.3498375607535895E-2</v>
      </c>
      <c r="W11">
        <f t="shared" si="6"/>
        <v>5.6247899492503318E-3</v>
      </c>
      <c r="X11">
        <f t="shared" si="7"/>
        <v>0.2767490401530317</v>
      </c>
      <c r="Y11">
        <f t="shared" si="8"/>
        <v>6.5622549407920526E-4</v>
      </c>
      <c r="Z11">
        <f t="shared" si="9"/>
        <v>2.8123949746251659E-3</v>
      </c>
      <c r="AA11">
        <f t="shared" si="10"/>
        <v>0.15543863283855491</v>
      </c>
      <c r="AB11">
        <f t="shared" si="11"/>
        <v>9.8105711364841197E-3</v>
      </c>
      <c r="AC11">
        <f t="shared" si="12"/>
        <v>4.5583485241722996E-2</v>
      </c>
      <c r="AD11">
        <f t="shared" si="13"/>
        <v>3.7258608623834196E-3</v>
      </c>
      <c r="AE11">
        <f t="shared" si="14"/>
        <v>2.84855299934893E-2</v>
      </c>
      <c r="AG11">
        <f t="shared" si="15"/>
        <v>0.10142383345421417</v>
      </c>
      <c r="AH11">
        <f t="shared" si="16"/>
        <v>0.96221003621895962</v>
      </c>
      <c r="AI11">
        <f t="shared" si="17"/>
        <v>3.2225483347730246</v>
      </c>
      <c r="AK11" s="26">
        <f t="shared" si="18"/>
        <v>0.38350838818005745</v>
      </c>
      <c r="AL11" s="26">
        <f t="shared" si="19"/>
        <v>0.25986104253321196</v>
      </c>
      <c r="AM11" s="26">
        <f t="shared" si="20"/>
        <v>0.17384057852540491</v>
      </c>
      <c r="AN11" s="26">
        <f t="shared" si="21"/>
        <v>15.924920634920667</v>
      </c>
      <c r="AO11" s="26">
        <f t="shared" si="22"/>
        <v>16.70160068846819</v>
      </c>
      <c r="AP11" s="26">
        <f t="shared" si="23"/>
        <v>19.215108846931535</v>
      </c>
      <c r="AS11" s="2">
        <v>45469</v>
      </c>
      <c r="AT11">
        <v>23.2</v>
      </c>
      <c r="AU11">
        <v>610</v>
      </c>
      <c r="AV11">
        <v>10.3</v>
      </c>
      <c r="AW11">
        <v>2.1</v>
      </c>
      <c r="AX11">
        <v>407.51</v>
      </c>
      <c r="AY11">
        <v>0</v>
      </c>
      <c r="AZ11">
        <v>2.4</v>
      </c>
      <c r="BA11">
        <v>226.03030000000001</v>
      </c>
      <c r="BB11">
        <v>44.602899999999998</v>
      </c>
      <c r="BC11">
        <v>83.905100000000004</v>
      </c>
      <c r="BD11">
        <v>4.4683999999999999</v>
      </c>
      <c r="BE11">
        <v>29.229500000000002</v>
      </c>
      <c r="BF11">
        <v>-23.3826</v>
      </c>
      <c r="BG11">
        <v>-27.707100000000001</v>
      </c>
      <c r="BH11">
        <v>76.2</v>
      </c>
    </row>
    <row r="12" spans="1:60" x14ac:dyDescent="0.25">
      <c r="A12" s="2">
        <v>45489</v>
      </c>
      <c r="B12">
        <v>23.9</v>
      </c>
      <c r="C12">
        <v>520.9</v>
      </c>
      <c r="D12">
        <v>48.3</v>
      </c>
      <c r="E12">
        <v>5.2</v>
      </c>
      <c r="F12">
        <v>313.52999999999997</v>
      </c>
      <c r="G12">
        <v>0.5</v>
      </c>
      <c r="H12">
        <v>2.5</v>
      </c>
      <c r="I12">
        <v>159.47929999999999</v>
      </c>
      <c r="J12">
        <v>13.351100000000001</v>
      </c>
      <c r="K12">
        <v>40.407899999999998</v>
      </c>
      <c r="L12">
        <v>4.2819000000000003</v>
      </c>
      <c r="M12">
        <v>25.426100000000002</v>
      </c>
      <c r="N12">
        <v>-22.846900000000002</v>
      </c>
      <c r="O12">
        <v>-30.380600000000001</v>
      </c>
      <c r="P12">
        <v>81.61</v>
      </c>
      <c r="S12">
        <f t="shared" si="0"/>
        <v>1157.7762999999998</v>
      </c>
      <c r="T12">
        <f t="shared" si="3"/>
        <v>2.2405413297847152E-2</v>
      </c>
      <c r="U12">
        <f t="shared" si="4"/>
        <v>0.48832551409408292</v>
      </c>
      <c r="V12">
        <f t="shared" si="5"/>
        <v>4.5279559091465166E-2</v>
      </c>
      <c r="W12">
        <f t="shared" si="6"/>
        <v>4.874817956016954E-3</v>
      </c>
      <c r="X12">
        <f t="shared" si="7"/>
        <v>0.29392339879807605</v>
      </c>
      <c r="Y12">
        <f t="shared" si="8"/>
        <v>4.6873249577086097E-4</v>
      </c>
      <c r="Z12">
        <f t="shared" si="9"/>
        <v>2.3436624788543046E-3</v>
      </c>
      <c r="AA12">
        <f t="shared" si="10"/>
        <v>0.14950626062557973</v>
      </c>
      <c r="AB12">
        <f t="shared" si="11"/>
        <v>1.2516188848572684E-2</v>
      </c>
      <c r="AC12">
        <f t="shared" si="12"/>
        <v>3.7880991631718743E-2</v>
      </c>
      <c r="AD12">
        <f t="shared" si="13"/>
        <v>4.0141313472824994E-3</v>
      </c>
      <c r="AE12">
        <f t="shared" si="14"/>
        <v>2.3836078621438977E-2</v>
      </c>
      <c r="AG12">
        <f t="shared" si="15"/>
        <v>9.0519176874814825E-2</v>
      </c>
      <c r="AH12">
        <f t="shared" si="16"/>
        <v>0.8814571768335524</v>
      </c>
      <c r="AI12">
        <f t="shared" si="17"/>
        <v>2.833983529380586</v>
      </c>
      <c r="AK12" s="26">
        <f t="shared" si="18"/>
        <v>0.38580499140437602</v>
      </c>
      <c r="AL12" s="26">
        <f t="shared" si="19"/>
        <v>0.25371372301020234</v>
      </c>
      <c r="AM12" s="26">
        <f t="shared" si="20"/>
        <v>0.16973925558800018</v>
      </c>
      <c r="AN12" s="26">
        <f t="shared" si="21"/>
        <v>15.965555555555568</v>
      </c>
      <c r="AO12" s="26">
        <f t="shared" si="22"/>
        <v>16.772827022375211</v>
      </c>
      <c r="AP12" s="26">
        <f t="shared" si="23"/>
        <v>19.270199837189118</v>
      </c>
      <c r="AS12" s="2">
        <v>45468</v>
      </c>
      <c r="AT12">
        <v>23</v>
      </c>
      <c r="AU12">
        <v>459.9</v>
      </c>
      <c r="AV12">
        <v>6.9</v>
      </c>
      <c r="AW12">
        <v>2.2000000000000002</v>
      </c>
      <c r="AX12">
        <v>463.98</v>
      </c>
      <c r="AY12">
        <v>0</v>
      </c>
      <c r="AZ12">
        <v>2</v>
      </c>
      <c r="BA12">
        <v>199.2654</v>
      </c>
      <c r="BB12">
        <v>32.966999999999999</v>
      </c>
      <c r="BC12">
        <v>72.224000000000004</v>
      </c>
      <c r="BD12">
        <v>4.4675000000000002</v>
      </c>
      <c r="BE12">
        <v>31.0379</v>
      </c>
      <c r="BF12">
        <v>-25.2225</v>
      </c>
      <c r="BG12">
        <v>-28.479299999999999</v>
      </c>
      <c r="BH12">
        <v>75.95</v>
      </c>
    </row>
    <row r="13" spans="1:60" x14ac:dyDescent="0.25">
      <c r="A13" s="2">
        <v>45488</v>
      </c>
      <c r="B13">
        <v>23.1</v>
      </c>
      <c r="C13">
        <v>333.5</v>
      </c>
      <c r="D13">
        <v>35.4</v>
      </c>
      <c r="E13">
        <v>1.6</v>
      </c>
      <c r="F13">
        <v>429.82</v>
      </c>
      <c r="G13">
        <v>0.3</v>
      </c>
      <c r="H13">
        <v>2.9</v>
      </c>
      <c r="I13">
        <v>158.82990000000001</v>
      </c>
      <c r="J13">
        <v>11.7621</v>
      </c>
      <c r="K13">
        <v>67.700500000000005</v>
      </c>
      <c r="L13">
        <v>4.4641000000000002</v>
      </c>
      <c r="M13">
        <v>44.462699999999998</v>
      </c>
      <c r="N13">
        <v>-22.2364</v>
      </c>
      <c r="O13">
        <v>-31.918199999999999</v>
      </c>
      <c r="P13">
        <v>81.38</v>
      </c>
      <c r="S13">
        <f t="shared" si="0"/>
        <v>1113.8393000000001</v>
      </c>
      <c r="T13">
        <f t="shared" si="3"/>
        <v>2.1655441304613776E-2</v>
      </c>
      <c r="U13">
        <f t="shared" si="4"/>
        <v>0.31264457467916423</v>
      </c>
      <c r="V13">
        <f t="shared" si="5"/>
        <v>3.3186260700576953E-2</v>
      </c>
      <c r="W13">
        <f t="shared" si="6"/>
        <v>1.4999439864667552E-3</v>
      </c>
      <c r="X13">
        <f t="shared" si="7"/>
        <v>0.40294120266446293</v>
      </c>
      <c r="Y13">
        <f t="shared" si="8"/>
        <v>2.8123949746251657E-4</v>
      </c>
      <c r="Z13">
        <f t="shared" si="9"/>
        <v>2.7186484754709935E-3</v>
      </c>
      <c r="AA13">
        <f t="shared" si="10"/>
        <v>0.14889747086007254</v>
      </c>
      <c r="AB13">
        <f t="shared" si="11"/>
        <v>1.1026556977012887E-2</v>
      </c>
      <c r="AC13">
        <f t="shared" si="12"/>
        <v>6.3466848659870345E-2</v>
      </c>
      <c r="AD13">
        <f t="shared" si="13"/>
        <v>4.1849374687414013E-3</v>
      </c>
      <c r="AE13">
        <f t="shared" si="14"/>
        <v>4.168222467942212E-2</v>
      </c>
      <c r="AG13">
        <f t="shared" si="15"/>
        <v>7.9123316076382691E-2</v>
      </c>
      <c r="AH13">
        <f t="shared" si="16"/>
        <v>0.81660953598764019</v>
      </c>
      <c r="AI13">
        <f t="shared" si="17"/>
        <v>2.5293951375104027</v>
      </c>
      <c r="AK13" s="26">
        <f t="shared" si="18"/>
        <v>0.38728254336990203</v>
      </c>
      <c r="AL13" s="26">
        <f t="shared" si="19"/>
        <v>0.24644738135705457</v>
      </c>
      <c r="AM13" s="26">
        <f t="shared" si="20"/>
        <v>0.1655924260305458</v>
      </c>
      <c r="AN13" s="26">
        <f t="shared" si="21"/>
        <v>16.00603174603178</v>
      </c>
      <c r="AO13" s="26">
        <f t="shared" si="22"/>
        <v>16.845012908777996</v>
      </c>
      <c r="AP13" s="26">
        <f t="shared" si="23"/>
        <v>19.325778472203986</v>
      </c>
      <c r="AS13" s="2">
        <v>45467</v>
      </c>
      <c r="AT13">
        <v>21.9</v>
      </c>
      <c r="AU13">
        <v>428.3</v>
      </c>
      <c r="AV13">
        <v>0.8</v>
      </c>
      <c r="AW13">
        <v>0.7</v>
      </c>
      <c r="AX13">
        <v>429.65</v>
      </c>
      <c r="AY13">
        <v>0</v>
      </c>
      <c r="AZ13">
        <v>2.5</v>
      </c>
      <c r="BA13">
        <v>193.40989999999999</v>
      </c>
      <c r="BB13">
        <v>35.665700000000001</v>
      </c>
      <c r="BC13">
        <v>72.103099999999998</v>
      </c>
      <c r="BD13">
        <v>4.4287999999999998</v>
      </c>
      <c r="BE13">
        <v>34.125799999999998</v>
      </c>
      <c r="BF13">
        <v>-26.120100000000001</v>
      </c>
      <c r="BG13">
        <v>-30.356000000000002</v>
      </c>
      <c r="BH13">
        <v>75.72</v>
      </c>
    </row>
    <row r="14" spans="1:60" x14ac:dyDescent="0.25">
      <c r="A14" s="2">
        <v>45487</v>
      </c>
      <c r="B14">
        <v>21.5</v>
      </c>
      <c r="C14">
        <v>494.5</v>
      </c>
      <c r="D14">
        <v>54.2</v>
      </c>
      <c r="E14">
        <v>1.8</v>
      </c>
      <c r="F14">
        <v>378.3</v>
      </c>
      <c r="G14">
        <v>0.4</v>
      </c>
      <c r="H14">
        <v>2.2000000000000002</v>
      </c>
      <c r="I14">
        <v>102.3365</v>
      </c>
      <c r="J14">
        <v>5.8403999999999998</v>
      </c>
      <c r="K14">
        <v>27.739799999999999</v>
      </c>
      <c r="L14">
        <v>3.8195999999999999</v>
      </c>
      <c r="M14">
        <v>23.0913</v>
      </c>
      <c r="P14">
        <v>81.12</v>
      </c>
      <c r="S14">
        <f t="shared" si="0"/>
        <v>1115.7276000000002</v>
      </c>
      <c r="T14">
        <f t="shared" si="3"/>
        <v>2.0155497318147021E-2</v>
      </c>
      <c r="U14">
        <f t="shared" si="4"/>
        <v>0.46357643831738149</v>
      </c>
      <c r="V14">
        <f t="shared" si="5"/>
        <v>5.0810602541561327E-2</v>
      </c>
      <c r="W14">
        <f t="shared" si="6"/>
        <v>1.6874369847750994E-3</v>
      </c>
      <c r="X14">
        <f t="shared" si="7"/>
        <v>0.35464300630023343</v>
      </c>
      <c r="Y14">
        <f t="shared" si="8"/>
        <v>3.7498599661668879E-4</v>
      </c>
      <c r="Z14">
        <f t="shared" si="9"/>
        <v>2.0624229813917885E-3</v>
      </c>
      <c r="AA14">
        <f t="shared" si="10"/>
        <v>9.5936886106909425E-2</v>
      </c>
      <c r="AB14">
        <f t="shared" si="11"/>
        <v>5.4751705366002726E-3</v>
      </c>
      <c r="AC14">
        <f t="shared" si="12"/>
        <v>2.6005091372369057E-2</v>
      </c>
      <c r="AD14">
        <f t="shared" si="13"/>
        <v>3.5807412816927608E-3</v>
      </c>
      <c r="AE14">
        <f t="shared" si="14"/>
        <v>2.1647285359187363E-2</v>
      </c>
      <c r="AG14">
        <f t="shared" si="15"/>
        <v>6.6254595741534292E-2</v>
      </c>
      <c r="AH14">
        <f t="shared" si="16"/>
        <v>0.91495767579929421</v>
      </c>
      <c r="AI14">
        <f t="shared" si="17"/>
        <v>3.079559737974674</v>
      </c>
      <c r="AK14" s="26">
        <f t="shared" si="18"/>
        <v>0.38516501530348346</v>
      </c>
      <c r="AL14" s="26">
        <f t="shared" si="19"/>
        <v>0.24178734649334455</v>
      </c>
      <c r="AM14" s="26">
        <f t="shared" si="20"/>
        <v>0.16142143188695651</v>
      </c>
      <c r="AN14" s="26">
        <f t="shared" si="21"/>
        <v>16.044603174603196</v>
      </c>
      <c r="AO14" s="26">
        <f t="shared" si="22"/>
        <v>16.920191480206547</v>
      </c>
      <c r="AP14" s="26">
        <f t="shared" si="23"/>
        <v>19.38299834563167</v>
      </c>
      <c r="AS14" s="2">
        <v>45466</v>
      </c>
      <c r="AT14">
        <v>20.2</v>
      </c>
      <c r="AU14">
        <v>528</v>
      </c>
      <c r="AV14">
        <v>8.4</v>
      </c>
      <c r="AW14">
        <v>2.2999999999999998</v>
      </c>
      <c r="AX14">
        <v>337.14</v>
      </c>
      <c r="AY14">
        <v>0</v>
      </c>
      <c r="AZ14">
        <v>2.4</v>
      </c>
      <c r="BA14">
        <v>121.2033</v>
      </c>
      <c r="BB14">
        <v>10.1416</v>
      </c>
      <c r="BC14">
        <v>30.911000000000001</v>
      </c>
      <c r="BD14">
        <v>4.5715000000000003</v>
      </c>
      <c r="BE14">
        <v>22.0229</v>
      </c>
      <c r="BH14">
        <v>75.47</v>
      </c>
    </row>
    <row r="15" spans="1:60" x14ac:dyDescent="0.25">
      <c r="A15" s="2">
        <v>45486</v>
      </c>
      <c r="B15">
        <v>21.3</v>
      </c>
      <c r="C15">
        <v>592.4</v>
      </c>
      <c r="D15">
        <v>54.8</v>
      </c>
      <c r="E15">
        <v>5</v>
      </c>
      <c r="F15">
        <v>293.68</v>
      </c>
      <c r="G15">
        <v>0.6</v>
      </c>
      <c r="H15">
        <v>2.7</v>
      </c>
      <c r="I15">
        <v>97.245400000000004</v>
      </c>
      <c r="J15">
        <v>5.7256</v>
      </c>
      <c r="K15">
        <v>27.8309</v>
      </c>
      <c r="L15">
        <v>4.3407</v>
      </c>
      <c r="M15">
        <v>21.595600000000001</v>
      </c>
      <c r="P15">
        <v>80.83</v>
      </c>
      <c r="S15">
        <f t="shared" si="0"/>
        <v>1127.2181999999998</v>
      </c>
      <c r="T15">
        <f t="shared" si="3"/>
        <v>1.9968004319838677E-2</v>
      </c>
      <c r="U15">
        <f t="shared" si="4"/>
        <v>0.55535426098931606</v>
      </c>
      <c r="V15">
        <f t="shared" si="5"/>
        <v>5.1373081536486356E-2</v>
      </c>
      <c r="W15">
        <f t="shared" si="6"/>
        <v>4.6873249577086091E-3</v>
      </c>
      <c r="X15">
        <f t="shared" si="7"/>
        <v>0.27531471871597291</v>
      </c>
      <c r="Y15">
        <f t="shared" si="8"/>
        <v>5.6247899492503314E-4</v>
      </c>
      <c r="Z15">
        <f t="shared" si="9"/>
        <v>2.5311554771626494E-3</v>
      </c>
      <c r="AA15">
        <f t="shared" si="10"/>
        <v>9.1164158088471364E-2</v>
      </c>
      <c r="AB15">
        <f t="shared" si="11"/>
        <v>5.3675495555712827E-3</v>
      </c>
      <c r="AC15">
        <f t="shared" si="12"/>
        <v>2.6090494433098507E-2</v>
      </c>
      <c r="AD15">
        <f t="shared" si="13"/>
        <v>4.0692542887851525E-3</v>
      </c>
      <c r="AE15">
        <f t="shared" si="14"/>
        <v>2.0245118971338412E-2</v>
      </c>
      <c r="AG15">
        <f t="shared" si="15"/>
        <v>5.1922308164584569E-2</v>
      </c>
      <c r="AH15">
        <f t="shared" si="16"/>
        <v>0.9300361439627487</v>
      </c>
      <c r="AI15">
        <f t="shared" si="17"/>
        <v>3.2080930946892865</v>
      </c>
      <c r="AK15" s="26">
        <f t="shared" si="18"/>
        <v>0.38280616440372656</v>
      </c>
      <c r="AL15" s="26">
        <f t="shared" si="19"/>
        <v>0.23716467961347709</v>
      </c>
      <c r="AM15" s="26">
        <f t="shared" si="20"/>
        <v>0.15658081048304601</v>
      </c>
      <c r="AN15" s="26">
        <f t="shared" si="21"/>
        <v>16.083174603174641</v>
      </c>
      <c r="AO15" s="26">
        <f t="shared" si="22"/>
        <v>16.997536574870921</v>
      </c>
      <c r="AP15" s="26">
        <f t="shared" si="23"/>
        <v>19.440529397862448</v>
      </c>
      <c r="AS15" s="2">
        <v>45465</v>
      </c>
      <c r="AT15">
        <v>20.8</v>
      </c>
      <c r="AU15">
        <v>239</v>
      </c>
      <c r="AV15">
        <v>14.4</v>
      </c>
      <c r="AW15">
        <v>7</v>
      </c>
      <c r="AX15">
        <v>335.89</v>
      </c>
      <c r="AY15">
        <v>0</v>
      </c>
      <c r="AZ15">
        <v>2.5</v>
      </c>
      <c r="BA15">
        <v>105.6309</v>
      </c>
      <c r="BB15">
        <v>6.4265999999999996</v>
      </c>
      <c r="BC15">
        <v>21.817499999999999</v>
      </c>
      <c r="BD15">
        <v>4.1294000000000004</v>
      </c>
      <c r="BE15">
        <v>17.954699999999999</v>
      </c>
      <c r="BH15">
        <v>75.13</v>
      </c>
    </row>
    <row r="16" spans="1:60" x14ac:dyDescent="0.25">
      <c r="A16" s="2">
        <v>45485</v>
      </c>
      <c r="B16">
        <v>23.1</v>
      </c>
      <c r="C16">
        <v>202.2</v>
      </c>
      <c r="D16">
        <v>21.7</v>
      </c>
      <c r="E16">
        <v>3.9</v>
      </c>
      <c r="F16">
        <v>239.42</v>
      </c>
      <c r="G16">
        <v>0.6</v>
      </c>
      <c r="H16">
        <v>2.9</v>
      </c>
      <c r="I16">
        <v>221.98660000000001</v>
      </c>
      <c r="J16">
        <v>35.109400000000001</v>
      </c>
      <c r="K16">
        <v>88.791700000000006</v>
      </c>
      <c r="L16">
        <v>4.3993000000000002</v>
      </c>
      <c r="M16">
        <v>30.323</v>
      </c>
      <c r="N16">
        <v>-21.796399999999998</v>
      </c>
      <c r="O16">
        <v>-30.100200000000001</v>
      </c>
      <c r="P16">
        <v>80.540000000000006</v>
      </c>
      <c r="S16">
        <f t="shared" si="0"/>
        <v>874.43</v>
      </c>
      <c r="T16">
        <f t="shared" si="3"/>
        <v>2.1655441304613776E-2</v>
      </c>
      <c r="U16">
        <f t="shared" si="4"/>
        <v>0.18955542128973615</v>
      </c>
      <c r="V16">
        <f t="shared" si="5"/>
        <v>2.0342990316455364E-2</v>
      </c>
      <c r="W16">
        <f t="shared" si="6"/>
        <v>3.6561134670127153E-3</v>
      </c>
      <c r="X16">
        <f t="shared" si="7"/>
        <v>0.22444786827491905</v>
      </c>
      <c r="Y16">
        <f t="shared" si="8"/>
        <v>5.6247899492503314E-4</v>
      </c>
      <c r="Z16">
        <f t="shared" si="9"/>
        <v>2.7186484754709935E-3</v>
      </c>
      <c r="AA16">
        <f t="shared" si="10"/>
        <v>0.20810466609137562</v>
      </c>
      <c r="AB16">
        <f t="shared" si="11"/>
        <v>3.2913833374034931E-2</v>
      </c>
      <c r="AC16">
        <f t="shared" si="12"/>
        <v>8.3239110289475116E-2</v>
      </c>
      <c r="AD16">
        <f t="shared" si="13"/>
        <v>4.1241897372894971E-3</v>
      </c>
      <c r="AE16">
        <f t="shared" si="14"/>
        <v>2.8426750938519634E-2</v>
      </c>
      <c r="AG16">
        <f t="shared" si="15"/>
        <v>3.7600853346977783E-2</v>
      </c>
      <c r="AH16">
        <f t="shared" si="16"/>
        <v>0.49136571306165272</v>
      </c>
      <c r="AI16">
        <f t="shared" si="17"/>
        <v>0.86987831534526106</v>
      </c>
      <c r="AK16" s="26">
        <f t="shared" si="18"/>
        <v>0.37236282374246737</v>
      </c>
      <c r="AL16" s="26">
        <f t="shared" si="19"/>
        <v>0.23203490397490001</v>
      </c>
      <c r="AM16" s="26">
        <f t="shared" si="20"/>
        <v>0.15297768087024749</v>
      </c>
      <c r="AN16" s="26">
        <f t="shared" si="21"/>
        <v>16.118571428571435</v>
      </c>
      <c r="AO16" s="26">
        <f t="shared" si="22"/>
        <v>17.075669104991398</v>
      </c>
      <c r="AP16" s="26">
        <f t="shared" si="23"/>
        <v>19.498253984926862</v>
      </c>
      <c r="AS16" s="2">
        <v>45464</v>
      </c>
      <c r="AT16">
        <v>22.3</v>
      </c>
      <c r="AU16">
        <v>61.8</v>
      </c>
      <c r="AV16">
        <v>10.8</v>
      </c>
      <c r="AW16">
        <v>2.7</v>
      </c>
      <c r="AX16">
        <v>223.54</v>
      </c>
      <c r="AY16">
        <v>0</v>
      </c>
      <c r="AZ16">
        <v>2.7</v>
      </c>
      <c r="BA16">
        <v>268.11419999999998</v>
      </c>
      <c r="BB16">
        <v>74.4161</v>
      </c>
      <c r="BC16">
        <v>115.9242</v>
      </c>
      <c r="BD16">
        <v>4.6616999999999997</v>
      </c>
      <c r="BE16">
        <v>28.883199999999999</v>
      </c>
      <c r="BF16">
        <v>-24.406099999999999</v>
      </c>
      <c r="BG16">
        <v>-29.744</v>
      </c>
      <c r="BH16">
        <v>74.790000000000006</v>
      </c>
    </row>
    <row r="17" spans="1:60" x14ac:dyDescent="0.25">
      <c r="A17" s="2">
        <v>45484</v>
      </c>
      <c r="B17">
        <v>23.3</v>
      </c>
      <c r="C17">
        <v>409.3</v>
      </c>
      <c r="D17">
        <v>19.7</v>
      </c>
      <c r="E17">
        <v>1.1000000000000001</v>
      </c>
      <c r="F17">
        <v>344.13</v>
      </c>
      <c r="G17">
        <v>0.6</v>
      </c>
      <c r="H17">
        <v>3.2</v>
      </c>
      <c r="I17">
        <v>238.49629999999999</v>
      </c>
      <c r="J17">
        <v>47.962600000000002</v>
      </c>
      <c r="K17">
        <v>101.32859999999999</v>
      </c>
      <c r="L17">
        <v>4.3997999999999999</v>
      </c>
      <c r="M17">
        <v>40.4816</v>
      </c>
      <c r="N17">
        <v>-21.244499999999999</v>
      </c>
      <c r="O17">
        <v>-29.853200000000001</v>
      </c>
      <c r="P17">
        <v>80.319999999999993</v>
      </c>
      <c r="S17">
        <f t="shared" si="0"/>
        <v>1233.9989</v>
      </c>
      <c r="T17">
        <f t="shared" si="3"/>
        <v>2.1842934302922123E-2</v>
      </c>
      <c r="U17">
        <f t="shared" si="4"/>
        <v>0.38370442103802677</v>
      </c>
      <c r="V17">
        <f t="shared" si="5"/>
        <v>1.8468060333371922E-2</v>
      </c>
      <c r="W17">
        <f t="shared" si="6"/>
        <v>1.0312114906958943E-3</v>
      </c>
      <c r="X17">
        <f t="shared" si="7"/>
        <v>0.32260982753925277</v>
      </c>
      <c r="Y17">
        <f t="shared" si="8"/>
        <v>5.6247899492503314E-4</v>
      </c>
      <c r="Z17">
        <f t="shared" si="9"/>
        <v>2.9998879729335104E-3</v>
      </c>
      <c r="AA17">
        <f t="shared" si="10"/>
        <v>0.22358193186223196</v>
      </c>
      <c r="AB17">
        <f t="shared" si="11"/>
        <v>4.4963258403318995E-2</v>
      </c>
      <c r="AC17">
        <f t="shared" si="12"/>
        <v>9.4992015141934519E-2</v>
      </c>
      <c r="AD17">
        <f t="shared" si="13"/>
        <v>4.1246584697852678E-3</v>
      </c>
      <c r="AE17">
        <f t="shared" si="14"/>
        <v>3.795008280159537E-2</v>
      </c>
      <c r="AG17">
        <f t="shared" si="15"/>
        <v>2.672852857917719E-2</v>
      </c>
      <c r="AH17">
        <f t="shared" si="16"/>
        <v>0.78916890447372334</v>
      </c>
      <c r="AI17">
        <f t="shared" si="17"/>
        <v>2.4806323727146209</v>
      </c>
      <c r="AK17" s="26">
        <f t="shared" si="18"/>
        <v>0.3572537094020275</v>
      </c>
      <c r="AL17" s="26">
        <f t="shared" si="19"/>
        <v>0.23521585816780072</v>
      </c>
      <c r="AM17" s="26">
        <f t="shared" si="20"/>
        <v>0.15264408577348304</v>
      </c>
      <c r="AN17" s="26">
        <f t="shared" si="21"/>
        <v>16.150793650793659</v>
      </c>
      <c r="AO17" s="26">
        <f t="shared" si="22"/>
        <v>17.155126936316684</v>
      </c>
      <c r="AP17" s="26">
        <f t="shared" si="23"/>
        <v>19.556288175205488</v>
      </c>
      <c r="AS17" s="2">
        <v>45463</v>
      </c>
      <c r="AT17">
        <v>22.2</v>
      </c>
      <c r="AU17">
        <v>491</v>
      </c>
      <c r="AV17">
        <v>5.3</v>
      </c>
      <c r="AW17">
        <v>1.6</v>
      </c>
      <c r="AX17">
        <v>327.02999999999997</v>
      </c>
      <c r="AY17">
        <v>0</v>
      </c>
      <c r="AZ17">
        <v>2.7</v>
      </c>
      <c r="BA17">
        <v>256.17200000000003</v>
      </c>
      <c r="BB17">
        <v>48.588299999999997</v>
      </c>
      <c r="BC17">
        <v>72.337800000000001</v>
      </c>
      <c r="BD17">
        <v>4.7792000000000003</v>
      </c>
      <c r="BE17">
        <v>36.461399999999998</v>
      </c>
      <c r="BF17">
        <v>-24.461099999999998</v>
      </c>
      <c r="BG17">
        <v>-30.7</v>
      </c>
      <c r="BH17">
        <v>74.56</v>
      </c>
    </row>
    <row r="18" spans="1:60" x14ac:dyDescent="0.25">
      <c r="A18" s="2">
        <v>45483</v>
      </c>
      <c r="B18">
        <v>23.3</v>
      </c>
      <c r="C18">
        <v>623.1</v>
      </c>
      <c r="D18">
        <v>39.4</v>
      </c>
      <c r="E18">
        <v>2.8</v>
      </c>
      <c r="F18">
        <v>291.91000000000003</v>
      </c>
      <c r="G18">
        <v>0.6</v>
      </c>
      <c r="H18">
        <v>3.1</v>
      </c>
      <c r="I18">
        <v>233.8777</v>
      </c>
      <c r="J18">
        <v>32.240299999999998</v>
      </c>
      <c r="K18">
        <v>61.026899999999998</v>
      </c>
      <c r="L18">
        <v>4.3665000000000003</v>
      </c>
      <c r="M18">
        <v>39.487200000000001</v>
      </c>
      <c r="N18">
        <v>-20.400700000000001</v>
      </c>
      <c r="O18">
        <v>-29.386900000000001</v>
      </c>
      <c r="P18">
        <v>80.09</v>
      </c>
      <c r="S18">
        <f t="shared" si="0"/>
        <v>1355.2086000000002</v>
      </c>
      <c r="T18">
        <f t="shared" si="3"/>
        <v>2.1842934302922123E-2</v>
      </c>
      <c r="U18">
        <f t="shared" si="4"/>
        <v>0.58413443622964689</v>
      </c>
      <c r="V18">
        <f t="shared" si="5"/>
        <v>3.6936120666743844E-2</v>
      </c>
      <c r="W18">
        <f t="shared" si="6"/>
        <v>2.624901976316821E-3</v>
      </c>
      <c r="X18">
        <f t="shared" si="7"/>
        <v>0.27365540568094404</v>
      </c>
      <c r="Y18">
        <f t="shared" si="8"/>
        <v>5.6247899492503314E-4</v>
      </c>
      <c r="Z18">
        <f t="shared" si="9"/>
        <v>2.9061414737793379E-3</v>
      </c>
      <c r="AA18">
        <f t="shared" si="10"/>
        <v>0.21925215605229736</v>
      </c>
      <c r="AB18">
        <f t="shared" si="11"/>
        <v>3.0224152566802574E-2</v>
      </c>
      <c r="AC18">
        <f t="shared" si="12"/>
        <v>5.7210582292317506E-2</v>
      </c>
      <c r="AD18">
        <f t="shared" si="13"/>
        <v>4.0934408855669291E-3</v>
      </c>
      <c r="AE18">
        <f t="shared" si="14"/>
        <v>3.7017867614006279E-2</v>
      </c>
      <c r="AG18">
        <f t="shared" si="15"/>
        <v>1.5363637803124072E-2</v>
      </c>
      <c r="AH18">
        <f t="shared" si="16"/>
        <v>0.95968028693928431</v>
      </c>
      <c r="AI18">
        <f t="shared" si="17"/>
        <v>3.4307046744089886</v>
      </c>
      <c r="AK18" s="26">
        <f t="shared" si="18"/>
        <v>0.35963681981251006</v>
      </c>
      <c r="AL18" s="26">
        <f t="shared" si="19"/>
        <v>0.23132357139231924</v>
      </c>
      <c r="AM18" s="26">
        <f t="shared" si="20"/>
        <v>0.14917530548202684</v>
      </c>
      <c r="AN18" s="26">
        <f t="shared" si="21"/>
        <v>16.180634920634937</v>
      </c>
      <c r="AO18" s="26">
        <f t="shared" si="22"/>
        <v>17.234470740103262</v>
      </c>
      <c r="AP18" s="26">
        <f t="shared" si="23"/>
        <v>19.61362464221002</v>
      </c>
      <c r="AS18" s="2">
        <v>45462</v>
      </c>
      <c r="AT18">
        <v>22.6</v>
      </c>
      <c r="AU18">
        <v>510.8</v>
      </c>
      <c r="AV18">
        <v>17.7</v>
      </c>
      <c r="AW18">
        <v>2.4</v>
      </c>
      <c r="AX18">
        <v>295.22000000000003</v>
      </c>
      <c r="AY18">
        <v>0</v>
      </c>
      <c r="AZ18">
        <v>2.7</v>
      </c>
      <c r="BA18">
        <v>253.65770000000001</v>
      </c>
      <c r="BB18">
        <v>52.2502</v>
      </c>
      <c r="BC18">
        <v>63.673699999999997</v>
      </c>
      <c r="BD18">
        <v>4.6104000000000003</v>
      </c>
      <c r="BE18">
        <v>31.258500000000002</v>
      </c>
      <c r="BF18">
        <v>-24.6798</v>
      </c>
      <c r="BG18">
        <v>-29.951000000000001</v>
      </c>
      <c r="BH18">
        <v>74.34</v>
      </c>
    </row>
    <row r="19" spans="1:60" x14ac:dyDescent="0.25">
      <c r="A19" s="2">
        <v>45482</v>
      </c>
      <c r="B19">
        <v>22.9</v>
      </c>
      <c r="C19">
        <v>372</v>
      </c>
      <c r="D19">
        <v>33</v>
      </c>
      <c r="E19">
        <v>3.3</v>
      </c>
      <c r="F19">
        <v>441.08</v>
      </c>
      <c r="G19">
        <v>0.6</v>
      </c>
      <c r="H19">
        <v>2.4</v>
      </c>
      <c r="I19">
        <v>204.19450000000001</v>
      </c>
      <c r="J19">
        <v>19.892199999999999</v>
      </c>
      <c r="K19">
        <v>60.524000000000001</v>
      </c>
      <c r="L19">
        <v>4.3297999999999996</v>
      </c>
      <c r="M19">
        <v>29.087800000000001</v>
      </c>
      <c r="N19">
        <v>-20.5366</v>
      </c>
      <c r="O19">
        <v>-29.339400000000001</v>
      </c>
      <c r="P19">
        <v>79.849999999999994</v>
      </c>
      <c r="S19">
        <f t="shared" si="0"/>
        <v>1193.3082999999999</v>
      </c>
      <c r="T19">
        <f t="shared" si="3"/>
        <v>2.146794830630543E-2</v>
      </c>
      <c r="U19">
        <f t="shared" si="4"/>
        <v>0.34873697685352056</v>
      </c>
      <c r="V19">
        <f t="shared" si="5"/>
        <v>3.0936344720876825E-2</v>
      </c>
      <c r="W19">
        <f t="shared" si="6"/>
        <v>3.0936344720876819E-3</v>
      </c>
      <c r="X19">
        <f t="shared" si="7"/>
        <v>0.41349705846922269</v>
      </c>
      <c r="Y19">
        <f t="shared" si="8"/>
        <v>5.6247899492503314E-4</v>
      </c>
      <c r="Z19">
        <f t="shared" si="9"/>
        <v>2.2499159797001326E-3</v>
      </c>
      <c r="AA19">
        <f t="shared" si="10"/>
        <v>0.19142519521536613</v>
      </c>
      <c r="AB19">
        <f t="shared" si="11"/>
        <v>1.8648241104746239E-2</v>
      </c>
      <c r="AC19">
        <f t="shared" si="12"/>
        <v>5.6739131148071179E-2</v>
      </c>
      <c r="AD19">
        <f t="shared" si="13"/>
        <v>4.0590359203773472E-3</v>
      </c>
      <c r="AE19">
        <f t="shared" si="14"/>
        <v>2.7268794180967299E-2</v>
      </c>
      <c r="AG19">
        <f t="shared" si="15"/>
        <v>3.498025299030782E-3</v>
      </c>
      <c r="AH19">
        <f t="shared" si="16"/>
        <v>0.84781315197760565</v>
      </c>
      <c r="AI19">
        <f t="shared" si="17"/>
        <v>2.8631922030429888</v>
      </c>
      <c r="AK19" s="26">
        <f t="shared" si="18"/>
        <v>0.35285641974426579</v>
      </c>
      <c r="AL19" s="26">
        <f t="shared" si="19"/>
        <v>0.22637202507314197</v>
      </c>
      <c r="AM19" s="26">
        <f t="shared" si="20"/>
        <v>0.14482966494374433</v>
      </c>
      <c r="AN19" s="26">
        <f t="shared" si="21"/>
        <v>16.212857142857146</v>
      </c>
      <c r="AO19" s="26">
        <f t="shared" si="22"/>
        <v>17.314356712564539</v>
      </c>
      <c r="AP19" s="26">
        <f t="shared" si="23"/>
        <v>19.670379454321058</v>
      </c>
      <c r="AS19" s="2">
        <v>45461</v>
      </c>
      <c r="AT19">
        <v>22.3</v>
      </c>
      <c r="AU19">
        <v>436.8</v>
      </c>
      <c r="AV19">
        <v>4.7</v>
      </c>
      <c r="AW19">
        <v>0.9</v>
      </c>
      <c r="AX19">
        <v>367.02</v>
      </c>
      <c r="AY19">
        <v>0.1</v>
      </c>
      <c r="AZ19">
        <v>2.6</v>
      </c>
      <c r="BA19">
        <v>261.26</v>
      </c>
      <c r="BB19">
        <v>58.399099999999997</v>
      </c>
      <c r="BC19">
        <v>96.309899999999999</v>
      </c>
      <c r="BD19">
        <v>4.4889999999999999</v>
      </c>
      <c r="BE19">
        <v>31.3919</v>
      </c>
      <c r="BF19">
        <v>-24.628399999999999</v>
      </c>
      <c r="BG19">
        <v>-29.0823</v>
      </c>
      <c r="BH19">
        <v>74.09</v>
      </c>
    </row>
    <row r="20" spans="1:60" x14ac:dyDescent="0.25">
      <c r="A20" s="2">
        <v>45481</v>
      </c>
      <c r="B20">
        <v>22.3</v>
      </c>
      <c r="C20">
        <v>356.1</v>
      </c>
      <c r="D20">
        <v>22.3</v>
      </c>
      <c r="E20">
        <v>1.3</v>
      </c>
      <c r="F20">
        <v>405.43</v>
      </c>
      <c r="G20">
        <v>0.6</v>
      </c>
      <c r="H20">
        <v>2</v>
      </c>
      <c r="I20">
        <v>197.3261</v>
      </c>
      <c r="J20">
        <v>34.289900000000003</v>
      </c>
      <c r="K20">
        <v>57.091500000000003</v>
      </c>
      <c r="L20">
        <v>4.0479000000000003</v>
      </c>
      <c r="M20">
        <v>32.185600000000001</v>
      </c>
      <c r="N20">
        <v>-20.628499999999999</v>
      </c>
      <c r="O20">
        <v>-28.3492</v>
      </c>
      <c r="P20">
        <v>79.58</v>
      </c>
      <c r="S20">
        <f t="shared" si="0"/>
        <v>1134.9710000000002</v>
      </c>
      <c r="T20">
        <f t="shared" si="3"/>
        <v>2.09054693113804E-2</v>
      </c>
      <c r="U20">
        <f t="shared" si="4"/>
        <v>0.33383128348800717</v>
      </c>
      <c r="V20">
        <f t="shared" si="5"/>
        <v>2.09054693113804E-2</v>
      </c>
      <c r="W20">
        <f t="shared" si="6"/>
        <v>1.2187044890042385E-3</v>
      </c>
      <c r="X20">
        <f t="shared" si="7"/>
        <v>0.38007643152076032</v>
      </c>
      <c r="Y20">
        <f t="shared" si="8"/>
        <v>5.6247899492503314E-4</v>
      </c>
      <c r="Z20">
        <f t="shared" si="9"/>
        <v>1.8749299830834439E-3</v>
      </c>
      <c r="AA20">
        <f t="shared" si="10"/>
        <v>0.18498631066746096</v>
      </c>
      <c r="AB20">
        <f t="shared" si="11"/>
        <v>3.2145580813466496E-2</v>
      </c>
      <c r="AC20">
        <f t="shared" si="12"/>
        <v>5.3521282564604221E-2</v>
      </c>
      <c r="AD20">
        <f t="shared" si="13"/>
        <v>3.7947645392617363E-3</v>
      </c>
      <c r="AE20">
        <f t="shared" si="14"/>
        <v>3.0172873231765245E-2</v>
      </c>
      <c r="AG20">
        <f t="shared" si="15"/>
        <v>-9.8502556745536148E-3</v>
      </c>
      <c r="AH20">
        <f t="shared" si="16"/>
        <v>0.78954764033030622</v>
      </c>
      <c r="AI20">
        <f t="shared" si="17"/>
        <v>2.5625820211063872</v>
      </c>
      <c r="AK20" s="26">
        <f t="shared" si="18"/>
        <v>0.34759920535407984</v>
      </c>
      <c r="AL20" s="26">
        <f t="shared" si="19"/>
        <v>0.22546823742228389</v>
      </c>
      <c r="AM20" s="26">
        <f t="shared" si="20"/>
        <v>0.14050550322246352</v>
      </c>
      <c r="AN20" s="26">
        <f t="shared" si="21"/>
        <v>16.243650793650794</v>
      </c>
      <c r="AO20" s="26">
        <f t="shared" si="22"/>
        <v>17.392562392426839</v>
      </c>
      <c r="AP20" s="26">
        <f t="shared" si="23"/>
        <v>19.727084635382475</v>
      </c>
      <c r="AS20" s="2">
        <v>45460</v>
      </c>
      <c r="AT20">
        <v>23.5</v>
      </c>
      <c r="AU20">
        <v>361.9</v>
      </c>
      <c r="AV20">
        <v>23.3</v>
      </c>
      <c r="AW20">
        <v>1.8</v>
      </c>
      <c r="AX20">
        <v>321.91000000000003</v>
      </c>
      <c r="AY20">
        <v>0.1</v>
      </c>
      <c r="AZ20">
        <v>2.5</v>
      </c>
      <c r="BA20">
        <v>209.3826</v>
      </c>
      <c r="BB20">
        <v>34.637500000000003</v>
      </c>
      <c r="BC20">
        <v>52.923299999999998</v>
      </c>
      <c r="BD20">
        <v>4.4400000000000004</v>
      </c>
      <c r="BE20">
        <v>31.560500000000001</v>
      </c>
      <c r="BF20">
        <v>-23.9175</v>
      </c>
      <c r="BG20">
        <v>-29.2349</v>
      </c>
      <c r="BH20">
        <v>73.849999999999994</v>
      </c>
    </row>
    <row r="21" spans="1:60" x14ac:dyDescent="0.25">
      <c r="A21" s="2">
        <v>45480</v>
      </c>
      <c r="B21">
        <v>24.4</v>
      </c>
      <c r="C21">
        <v>308.3</v>
      </c>
      <c r="D21">
        <v>39.6</v>
      </c>
      <c r="E21">
        <v>1.6</v>
      </c>
      <c r="F21">
        <v>399.19</v>
      </c>
      <c r="G21">
        <v>0</v>
      </c>
      <c r="H21">
        <v>1.8</v>
      </c>
      <c r="I21">
        <v>100.7312</v>
      </c>
      <c r="J21">
        <v>7.2656999999999998</v>
      </c>
      <c r="K21">
        <v>21.401599999999998</v>
      </c>
      <c r="L21">
        <v>3.9891999999999999</v>
      </c>
      <c r="M21">
        <v>33.136699999999998</v>
      </c>
      <c r="P21">
        <v>79.3</v>
      </c>
      <c r="S21">
        <f t="shared" si="0"/>
        <v>941.41440000000011</v>
      </c>
      <c r="T21">
        <f t="shared" si="3"/>
        <v>2.2874145793618014E-2</v>
      </c>
      <c r="U21">
        <f t="shared" si="4"/>
        <v>0.28902045689231287</v>
      </c>
      <c r="V21">
        <f t="shared" si="5"/>
        <v>3.7123613665052187E-2</v>
      </c>
      <c r="W21">
        <f t="shared" si="6"/>
        <v>1.4999439864667552E-3</v>
      </c>
      <c r="X21">
        <f t="shared" si="7"/>
        <v>0.37422664997353999</v>
      </c>
      <c r="Y21">
        <f t="shared" si="8"/>
        <v>0</v>
      </c>
      <c r="Z21">
        <f t="shared" si="9"/>
        <v>1.6874369847750994E-3</v>
      </c>
      <c r="AA21">
        <f t="shared" si="10"/>
        <v>9.4431973555987495E-2</v>
      </c>
      <c r="AB21">
        <f t="shared" si="11"/>
        <v>6.8113393890446884E-3</v>
      </c>
      <c r="AC21">
        <f t="shared" si="12"/>
        <v>2.0063250762979313E-2</v>
      </c>
      <c r="AD21">
        <f t="shared" si="13"/>
        <v>3.739735344258237E-3</v>
      </c>
      <c r="AE21">
        <f t="shared" si="14"/>
        <v>3.1064496185220575E-2</v>
      </c>
      <c r="AG21">
        <f t="shared" si="15"/>
        <v>-2.36912754310881E-2</v>
      </c>
      <c r="AH21">
        <f t="shared" si="16"/>
        <v>0.7574967434809855</v>
      </c>
      <c r="AI21">
        <f t="shared" si="17"/>
        <v>2.37241373400194</v>
      </c>
      <c r="AK21" s="26">
        <f t="shared" si="18"/>
        <v>0.34047899654699659</v>
      </c>
      <c r="AL21" s="26">
        <f t="shared" si="19"/>
        <v>0.22302904199662688</v>
      </c>
      <c r="AM21" s="26">
        <f t="shared" si="20"/>
        <v>0.13743490258106239</v>
      </c>
      <c r="AN21" s="26">
        <f t="shared" si="21"/>
        <v>16.276666666666671</v>
      </c>
      <c r="AO21" s="26">
        <f t="shared" si="22"/>
        <v>17.471437177280549</v>
      </c>
      <c r="AP21" s="26">
        <f t="shared" si="23"/>
        <v>19.783026443633304</v>
      </c>
      <c r="AS21" s="2">
        <v>45459</v>
      </c>
      <c r="AT21">
        <v>23.1</v>
      </c>
      <c r="AU21">
        <v>152.1</v>
      </c>
      <c r="AV21">
        <v>43.5</v>
      </c>
      <c r="AW21">
        <v>3.6</v>
      </c>
      <c r="AX21">
        <v>340.6</v>
      </c>
      <c r="AY21">
        <v>0.1</v>
      </c>
      <c r="AZ21">
        <v>1.9</v>
      </c>
      <c r="BA21">
        <v>90.436400000000006</v>
      </c>
      <c r="BB21">
        <v>13.196</v>
      </c>
      <c r="BC21">
        <v>18.461099999999998</v>
      </c>
      <c r="BD21">
        <v>4.4104999999999999</v>
      </c>
      <c r="BE21">
        <v>20.2807</v>
      </c>
      <c r="BH21">
        <v>73.400000000000006</v>
      </c>
    </row>
    <row r="22" spans="1:60" x14ac:dyDescent="0.25">
      <c r="A22" s="2">
        <v>45479</v>
      </c>
      <c r="B22">
        <v>22.6</v>
      </c>
      <c r="C22">
        <v>74.099999999999994</v>
      </c>
      <c r="D22">
        <v>46</v>
      </c>
      <c r="E22">
        <v>6.4</v>
      </c>
      <c r="F22">
        <v>313.91000000000003</v>
      </c>
      <c r="G22">
        <v>0.2</v>
      </c>
      <c r="H22">
        <v>1.6</v>
      </c>
      <c r="I22">
        <v>87.118799999999993</v>
      </c>
      <c r="J22">
        <v>5.9116999999999997</v>
      </c>
      <c r="K22">
        <v>23.659800000000001</v>
      </c>
      <c r="L22">
        <v>3.9851000000000001</v>
      </c>
      <c r="M22">
        <v>13.995100000000001</v>
      </c>
      <c r="P22">
        <v>78.989999999999995</v>
      </c>
      <c r="S22">
        <f t="shared" si="0"/>
        <v>599.48050000000001</v>
      </c>
      <c r="T22">
        <f t="shared" si="3"/>
        <v>2.1186708808842915E-2</v>
      </c>
      <c r="U22">
        <f t="shared" si="4"/>
        <v>6.9466155873241592E-2</v>
      </c>
      <c r="V22">
        <f t="shared" si="5"/>
        <v>4.3123389610919209E-2</v>
      </c>
      <c r="W22">
        <f t="shared" si="6"/>
        <v>5.9997759458670207E-3</v>
      </c>
      <c r="X22">
        <f t="shared" si="7"/>
        <v>0.29427963549486197</v>
      </c>
      <c r="Y22">
        <f t="shared" si="8"/>
        <v>1.874929983083444E-4</v>
      </c>
      <c r="Z22">
        <f t="shared" si="9"/>
        <v>1.4999439864667552E-3</v>
      </c>
      <c r="AA22">
        <f t="shared" si="10"/>
        <v>8.1670825105124953E-2</v>
      </c>
      <c r="AB22">
        <f t="shared" si="11"/>
        <v>5.5420117904971975E-3</v>
      </c>
      <c r="AC22">
        <f t="shared" si="12"/>
        <v>2.2180234206878834E-2</v>
      </c>
      <c r="AD22">
        <f t="shared" si="13"/>
        <v>3.735891737792916E-3</v>
      </c>
      <c r="AE22">
        <f t="shared" si="14"/>
        <v>1.3119916303125553E-2</v>
      </c>
      <c r="AG22">
        <f t="shared" si="15"/>
        <v>-3.900301649020689E-2</v>
      </c>
      <c r="AH22">
        <f t="shared" si="16"/>
        <v>0.44886301902163328</v>
      </c>
      <c r="AI22">
        <f t="shared" si="17"/>
        <v>0.66479346439375941</v>
      </c>
      <c r="AK22" s="26">
        <f t="shared" si="18"/>
        <v>0.32451773694552294</v>
      </c>
      <c r="AL22" s="26">
        <f t="shared" si="19"/>
        <v>0.21890036638447291</v>
      </c>
      <c r="AM22" s="26">
        <f t="shared" si="20"/>
        <v>0.13383476580327802</v>
      </c>
      <c r="AN22" s="26">
        <f t="shared" si="21"/>
        <v>16.301428571428573</v>
      </c>
      <c r="AO22" s="26">
        <f t="shared" si="22"/>
        <v>17.552003012048182</v>
      </c>
      <c r="AP22" s="26">
        <f t="shared" si="23"/>
        <v>19.837497439668077</v>
      </c>
      <c r="AS22" s="2">
        <v>45458</v>
      </c>
      <c r="AT22">
        <v>22.3</v>
      </c>
      <c r="AU22">
        <v>14.7</v>
      </c>
      <c r="AV22">
        <v>39.5</v>
      </c>
      <c r="AW22">
        <v>5.7</v>
      </c>
      <c r="AX22">
        <v>298.89999999999998</v>
      </c>
      <c r="AY22">
        <v>0.1</v>
      </c>
      <c r="AZ22">
        <v>2</v>
      </c>
      <c r="BA22">
        <v>81.716999999999999</v>
      </c>
      <c r="BB22">
        <v>8.9725999999999999</v>
      </c>
      <c r="BC22">
        <v>20.8474</v>
      </c>
      <c r="BD22">
        <v>4.5083000000000002</v>
      </c>
      <c r="BE22">
        <v>20.481999999999999</v>
      </c>
      <c r="BH22">
        <v>73.260000000000005</v>
      </c>
    </row>
    <row r="23" spans="1:60" x14ac:dyDescent="0.25">
      <c r="A23" s="2">
        <v>45478</v>
      </c>
      <c r="B23">
        <v>23.8</v>
      </c>
      <c r="C23">
        <v>484.6</v>
      </c>
      <c r="D23">
        <v>64.3</v>
      </c>
      <c r="E23">
        <v>6.8</v>
      </c>
      <c r="F23">
        <v>340.59</v>
      </c>
      <c r="G23">
        <v>0.7</v>
      </c>
      <c r="H23">
        <v>2</v>
      </c>
      <c r="I23">
        <v>101.9211</v>
      </c>
      <c r="J23">
        <v>5.6978999999999997</v>
      </c>
      <c r="K23">
        <v>34.410899999999998</v>
      </c>
      <c r="L23">
        <v>3.9196</v>
      </c>
      <c r="M23">
        <v>34.493499999999997</v>
      </c>
      <c r="N23">
        <v>-20.627199999999998</v>
      </c>
      <c r="O23">
        <v>-27.7624</v>
      </c>
      <c r="P23">
        <v>78.72</v>
      </c>
      <c r="S23">
        <f t="shared" si="0"/>
        <v>1103.2329999999999</v>
      </c>
      <c r="T23">
        <f t="shared" si="3"/>
        <v>2.2311666798692981E-2</v>
      </c>
      <c r="U23">
        <f t="shared" si="4"/>
        <v>0.45429553490111846</v>
      </c>
      <c r="V23">
        <f t="shared" si="5"/>
        <v>6.0278998956132715E-2</v>
      </c>
      <c r="W23">
        <f t="shared" si="6"/>
        <v>6.3747619424837088E-3</v>
      </c>
      <c r="X23">
        <f t="shared" si="7"/>
        <v>0.31929120146919504</v>
      </c>
      <c r="Y23">
        <f t="shared" si="8"/>
        <v>6.5622549407920526E-4</v>
      </c>
      <c r="Z23">
        <f t="shared" si="9"/>
        <v>1.8749299830834439E-3</v>
      </c>
      <c r="AA23">
        <f t="shared" si="10"/>
        <v>9.5547463149422987E-2</v>
      </c>
      <c r="AB23">
        <f t="shared" si="11"/>
        <v>5.3415817753055773E-3</v>
      </c>
      <c r="AC23">
        <f t="shared" si="12"/>
        <v>3.2259014077443034E-2</v>
      </c>
      <c r="AD23">
        <f t="shared" si="13"/>
        <v>3.6744877808469333E-3</v>
      </c>
      <c r="AE23">
        <f t="shared" si="14"/>
        <v>3.2336448685744382E-2</v>
      </c>
      <c r="AG23">
        <f t="shared" si="15"/>
        <v>-5.2336995639724437E-2</v>
      </c>
      <c r="AH23">
        <f t="shared" si="16"/>
        <v>0.89741976823053005</v>
      </c>
      <c r="AI23">
        <f t="shared" si="17"/>
        <v>3.1562402205778231</v>
      </c>
      <c r="AK23" s="26">
        <f t="shared" si="18"/>
        <v>0.32378035227985064</v>
      </c>
      <c r="AL23" s="26">
        <f t="shared" si="19"/>
        <v>0.22197289984673524</v>
      </c>
      <c r="AM23" s="26">
        <f t="shared" si="20"/>
        <v>0.13520775043789723</v>
      </c>
      <c r="AN23" s="26">
        <f t="shared" si="21"/>
        <v>16.334603174603188</v>
      </c>
      <c r="AO23" s="26">
        <f t="shared" si="22"/>
        <v>17.633063683304655</v>
      </c>
      <c r="AP23" s="26">
        <f t="shared" si="23"/>
        <v>19.890674614637227</v>
      </c>
      <c r="AS23" s="2">
        <v>45457</v>
      </c>
      <c r="AT23">
        <v>23.5</v>
      </c>
      <c r="AU23">
        <v>403.8</v>
      </c>
      <c r="AV23">
        <v>29.5</v>
      </c>
      <c r="AW23">
        <v>6</v>
      </c>
      <c r="AX23">
        <v>237.93</v>
      </c>
      <c r="AY23">
        <v>0.3</v>
      </c>
      <c r="AZ23">
        <v>2.7</v>
      </c>
      <c r="BA23">
        <v>184.9425</v>
      </c>
      <c r="BB23">
        <v>28.6767</v>
      </c>
      <c r="BC23">
        <v>32.399900000000002</v>
      </c>
      <c r="BD23">
        <v>4.4874999999999998</v>
      </c>
      <c r="BE23">
        <v>32.922600000000003</v>
      </c>
      <c r="BF23">
        <v>-23.2423</v>
      </c>
      <c r="BG23">
        <v>-26.8447</v>
      </c>
      <c r="BH23">
        <v>72.98</v>
      </c>
    </row>
    <row r="24" spans="1:60" x14ac:dyDescent="0.25">
      <c r="A24" s="2">
        <v>45477</v>
      </c>
      <c r="B24">
        <v>23.9</v>
      </c>
      <c r="C24">
        <v>339.9</v>
      </c>
      <c r="D24">
        <v>75.900000000000006</v>
      </c>
      <c r="E24">
        <v>7.1</v>
      </c>
      <c r="F24">
        <v>285.57</v>
      </c>
      <c r="G24">
        <v>0.7</v>
      </c>
      <c r="H24">
        <v>2</v>
      </c>
      <c r="I24">
        <v>98.569100000000006</v>
      </c>
      <c r="J24">
        <v>5.0987</v>
      </c>
      <c r="K24">
        <v>31.020900000000001</v>
      </c>
      <c r="L24">
        <v>4.0227000000000004</v>
      </c>
      <c r="M24">
        <v>22.040700000000001</v>
      </c>
      <c r="N24">
        <v>-19.5029</v>
      </c>
      <c r="O24">
        <v>-26.714300000000001</v>
      </c>
      <c r="P24">
        <v>78.430000000000007</v>
      </c>
      <c r="S24">
        <f t="shared" si="0"/>
        <v>895.82209999999998</v>
      </c>
      <c r="T24">
        <f t="shared" si="3"/>
        <v>2.2405413297847152E-2</v>
      </c>
      <c r="U24">
        <f t="shared" si="4"/>
        <v>0.31864435062503127</v>
      </c>
      <c r="V24">
        <f t="shared" si="5"/>
        <v>7.1153592858016701E-2</v>
      </c>
      <c r="W24">
        <f t="shared" si="6"/>
        <v>6.6560014399462252E-3</v>
      </c>
      <c r="X24">
        <f t="shared" si="7"/>
        <v>0.2677118776345695</v>
      </c>
      <c r="Y24">
        <f t="shared" si="8"/>
        <v>6.5622549407920526E-4</v>
      </c>
      <c r="Z24">
        <f t="shared" si="9"/>
        <v>1.8749299830834439E-3</v>
      </c>
      <c r="AA24">
        <f t="shared" si="10"/>
        <v>9.2405080497775141E-2</v>
      </c>
      <c r="AB24">
        <f t="shared" si="11"/>
        <v>4.7798527523737772E-3</v>
      </c>
      <c r="AC24">
        <f t="shared" si="12"/>
        <v>2.9081007756116602E-2</v>
      </c>
      <c r="AD24">
        <f t="shared" si="13"/>
        <v>3.771140421474885E-3</v>
      </c>
      <c r="AE24">
        <f t="shared" si="14"/>
        <v>2.066238463907363E-2</v>
      </c>
      <c r="AG24">
        <f t="shared" si="15"/>
        <v>-6.6655355651540391E-2</v>
      </c>
      <c r="AH24">
        <f t="shared" si="16"/>
        <v>0.70976477597164711</v>
      </c>
      <c r="AI24">
        <f t="shared" si="17"/>
        <v>2.1224223508462345</v>
      </c>
      <c r="AK24" s="26">
        <f t="shared" si="18"/>
        <v>0.3143471271708983</v>
      </c>
      <c r="AL24" s="26">
        <f t="shared" si="19"/>
        <v>0.21726219576666256</v>
      </c>
      <c r="AM24" s="26">
        <f t="shared" si="20"/>
        <v>0.13239306519156741</v>
      </c>
      <c r="AN24" s="26">
        <f t="shared" si="21"/>
        <v>16.367301587301604</v>
      </c>
      <c r="AO24" s="26">
        <f t="shared" si="22"/>
        <v>17.712758175559365</v>
      </c>
      <c r="AP24" s="26">
        <f t="shared" si="23"/>
        <v>19.942822404873809</v>
      </c>
      <c r="AS24" s="2">
        <v>45456</v>
      </c>
      <c r="AT24">
        <v>21.5</v>
      </c>
      <c r="AU24">
        <v>181.6</v>
      </c>
      <c r="AV24">
        <v>22.2</v>
      </c>
      <c r="AW24">
        <v>2.4</v>
      </c>
      <c r="AX24">
        <v>358.24</v>
      </c>
      <c r="AY24">
        <v>0.4</v>
      </c>
      <c r="AZ24">
        <v>3.1</v>
      </c>
      <c r="BA24">
        <v>226.93180000000001</v>
      </c>
      <c r="BB24">
        <v>43.167299999999997</v>
      </c>
      <c r="BC24">
        <v>73.116399999999999</v>
      </c>
      <c r="BD24">
        <v>4.26</v>
      </c>
      <c r="BE24">
        <v>26.334199999999999</v>
      </c>
      <c r="BF24">
        <v>-24.076000000000001</v>
      </c>
      <c r="BG24">
        <v>-28.6204</v>
      </c>
      <c r="BH24">
        <v>72.7</v>
      </c>
    </row>
    <row r="25" spans="1:60" x14ac:dyDescent="0.25">
      <c r="A25" s="2">
        <v>45476</v>
      </c>
      <c r="B25">
        <v>23.5</v>
      </c>
      <c r="C25">
        <v>378.9</v>
      </c>
      <c r="D25">
        <v>37.200000000000003</v>
      </c>
      <c r="E25">
        <v>3.1</v>
      </c>
      <c r="F25">
        <v>228.27</v>
      </c>
      <c r="G25">
        <v>0.5</v>
      </c>
      <c r="H25">
        <v>2.2000000000000002</v>
      </c>
      <c r="I25">
        <v>246.1602</v>
      </c>
      <c r="J25">
        <v>28.581199999999999</v>
      </c>
      <c r="K25">
        <v>69.077200000000005</v>
      </c>
      <c r="L25">
        <v>4.0975999999999999</v>
      </c>
      <c r="M25">
        <v>36.278500000000001</v>
      </c>
      <c r="N25">
        <v>-18.730599999999999</v>
      </c>
      <c r="O25">
        <v>-26.647600000000001</v>
      </c>
      <c r="P25">
        <v>78.16</v>
      </c>
      <c r="S25">
        <f t="shared" si="0"/>
        <v>1057.8647000000001</v>
      </c>
      <c r="T25">
        <f t="shared" si="3"/>
        <v>2.2030427301230466E-2</v>
      </c>
      <c r="U25">
        <f t="shared" si="4"/>
        <v>0.35520548529515839</v>
      </c>
      <c r="V25">
        <f t="shared" si="5"/>
        <v>3.4873697685352055E-2</v>
      </c>
      <c r="W25">
        <f t="shared" si="6"/>
        <v>2.9061414737793379E-3</v>
      </c>
      <c r="X25">
        <f t="shared" si="7"/>
        <v>0.21399513361922887</v>
      </c>
      <c r="Y25">
        <f t="shared" si="8"/>
        <v>4.6873249577086097E-4</v>
      </c>
      <c r="Z25">
        <f t="shared" si="9"/>
        <v>2.0624229813917885E-3</v>
      </c>
      <c r="AA25">
        <f t="shared" si="10"/>
        <v>0.23076656981090857</v>
      </c>
      <c r="AB25">
        <f t="shared" si="11"/>
        <v>2.6793874416252261E-2</v>
      </c>
      <c r="AC25">
        <f t="shared" si="12"/>
        <v>6.4757456713725833E-2</v>
      </c>
      <c r="AD25">
        <f t="shared" si="13"/>
        <v>3.8413565493413595E-3</v>
      </c>
      <c r="AE25">
        <f t="shared" si="14"/>
        <v>3.4009823695646361E-2</v>
      </c>
      <c r="AG25">
        <f t="shared" si="15"/>
        <v>-7.9993906449237401E-2</v>
      </c>
      <c r="AH25">
        <f t="shared" si="16"/>
        <v>0.66555186454755799</v>
      </c>
      <c r="AI25">
        <f t="shared" si="17"/>
        <v>1.88016586287169</v>
      </c>
      <c r="AK25" s="26">
        <f t="shared" si="18"/>
        <v>0.30794525909780207</v>
      </c>
      <c r="AL25" s="26">
        <f t="shared" si="19"/>
        <v>0.21517111372615083</v>
      </c>
      <c r="AM25" s="26">
        <f t="shared" si="20"/>
        <v>0.13066249073095809</v>
      </c>
      <c r="AN25" s="26">
        <f t="shared" si="21"/>
        <v>16.399841269841275</v>
      </c>
      <c r="AO25" s="26">
        <f t="shared" si="22"/>
        <v>17.792448364888102</v>
      </c>
      <c r="AP25" s="26">
        <f t="shared" si="23"/>
        <v>19.993054804233068</v>
      </c>
      <c r="AS25" s="2">
        <v>45455</v>
      </c>
      <c r="AT25">
        <v>20.3</v>
      </c>
      <c r="AU25">
        <v>435.8</v>
      </c>
      <c r="AV25">
        <v>44.8</v>
      </c>
      <c r="AW25">
        <v>4.9000000000000004</v>
      </c>
      <c r="AX25">
        <v>349.1</v>
      </c>
      <c r="AY25">
        <v>0.4</v>
      </c>
      <c r="AZ25">
        <v>3.4</v>
      </c>
      <c r="BA25">
        <v>182.0026</v>
      </c>
      <c r="BB25">
        <v>36.991999999999997</v>
      </c>
      <c r="BC25">
        <v>55.4176</v>
      </c>
      <c r="BD25">
        <v>4.3362999999999996</v>
      </c>
      <c r="BE25">
        <v>19.266400000000001</v>
      </c>
      <c r="BF25">
        <v>-23.760999999999999</v>
      </c>
      <c r="BG25">
        <v>-28.407499999999999</v>
      </c>
      <c r="BH25">
        <v>72.5</v>
      </c>
    </row>
    <row r="26" spans="1:60" x14ac:dyDescent="0.25">
      <c r="A26" s="2">
        <v>45475</v>
      </c>
      <c r="B26">
        <v>22.3</v>
      </c>
      <c r="C26">
        <v>546</v>
      </c>
      <c r="D26">
        <v>44.9</v>
      </c>
      <c r="E26">
        <v>5.0999999999999996</v>
      </c>
      <c r="F26">
        <v>204.26</v>
      </c>
      <c r="G26">
        <v>0.4</v>
      </c>
      <c r="H26">
        <v>2.6</v>
      </c>
      <c r="I26">
        <v>233.9846</v>
      </c>
      <c r="J26">
        <v>31.445799999999998</v>
      </c>
      <c r="K26">
        <v>40.0732</v>
      </c>
      <c r="L26">
        <v>4.3167</v>
      </c>
      <c r="M26">
        <v>28.188400000000001</v>
      </c>
      <c r="N26">
        <v>-18.6587</v>
      </c>
      <c r="O26">
        <v>-24.534500000000001</v>
      </c>
      <c r="P26">
        <v>77.91</v>
      </c>
      <c r="S26">
        <f t="shared" si="0"/>
        <v>1163.5687</v>
      </c>
      <c r="T26">
        <f t="shared" si="3"/>
        <v>2.09054693113804E-2</v>
      </c>
      <c r="U26">
        <f t="shared" si="4"/>
        <v>0.51185588538178017</v>
      </c>
      <c r="V26">
        <f t="shared" si="5"/>
        <v>4.2092178120223311E-2</v>
      </c>
      <c r="W26">
        <f t="shared" si="6"/>
        <v>4.7810714568627816E-3</v>
      </c>
      <c r="X26">
        <f t="shared" si="7"/>
        <v>0.19148659917231212</v>
      </c>
      <c r="Y26">
        <f t="shared" si="8"/>
        <v>3.7498599661668879E-4</v>
      </c>
      <c r="Z26">
        <f t="shared" si="9"/>
        <v>2.437408978008477E-3</v>
      </c>
      <c r="AA26">
        <f t="shared" si="10"/>
        <v>0.21935237105989319</v>
      </c>
      <c r="AB26">
        <f t="shared" si="11"/>
        <v>2.9479336631022677E-2</v>
      </c>
      <c r="AC26">
        <f t="shared" si="12"/>
        <v>3.7567222099049731E-2</v>
      </c>
      <c r="AD26">
        <f t="shared" si="13"/>
        <v>4.0467551289881509E-3</v>
      </c>
      <c r="AE26">
        <f t="shared" si="14"/>
        <v>2.6425638167574674E-2</v>
      </c>
      <c r="AG26">
        <f t="shared" si="15"/>
        <v>-9.232118917408573E-2</v>
      </c>
      <c r="AH26">
        <f t="shared" si="16"/>
        <v>0.80035923658475872</v>
      </c>
      <c r="AI26">
        <f t="shared" si="17"/>
        <v>2.6226571237210901</v>
      </c>
      <c r="AK26" s="26">
        <f t="shared" si="18"/>
        <v>0.31393952334473463</v>
      </c>
      <c r="AL26" s="26">
        <f t="shared" si="19"/>
        <v>0.20957988746407219</v>
      </c>
      <c r="AM26" s="26">
        <f t="shared" si="20"/>
        <v>0.1278571115275956</v>
      </c>
      <c r="AN26" s="26">
        <f t="shared" si="21"/>
        <v>16.438253968253974</v>
      </c>
      <c r="AO26" s="26">
        <f t="shared" si="22"/>
        <v>17.87213640275386</v>
      </c>
      <c r="AP26" s="26">
        <f t="shared" si="23"/>
        <v>20.043203172185599</v>
      </c>
      <c r="AS26" s="2">
        <v>45454</v>
      </c>
      <c r="AT26">
        <v>18.899999999999999</v>
      </c>
      <c r="AU26">
        <v>81.7</v>
      </c>
      <c r="AV26">
        <v>45.7</v>
      </c>
      <c r="AW26">
        <v>9.3000000000000007</v>
      </c>
      <c r="AX26">
        <v>293.58</v>
      </c>
      <c r="AY26">
        <v>0.4</v>
      </c>
      <c r="AZ26">
        <v>2.8</v>
      </c>
      <c r="BA26">
        <v>132.99760000000001</v>
      </c>
      <c r="BB26">
        <v>36.142699999999998</v>
      </c>
      <c r="BC26">
        <v>49.591799999999999</v>
      </c>
      <c r="BD26">
        <v>3.7075999999999998</v>
      </c>
      <c r="BE26">
        <v>22.643699999999999</v>
      </c>
      <c r="BF26">
        <v>-21.915400000000002</v>
      </c>
      <c r="BG26">
        <v>-28.2971</v>
      </c>
      <c r="BH26">
        <v>72.319999999999993</v>
      </c>
    </row>
    <row r="27" spans="1:60" x14ac:dyDescent="0.25">
      <c r="A27" s="2">
        <v>45474</v>
      </c>
      <c r="B27">
        <v>22.4</v>
      </c>
      <c r="C27">
        <v>392.8</v>
      </c>
      <c r="D27">
        <v>24.8</v>
      </c>
      <c r="E27">
        <v>3.1</v>
      </c>
      <c r="F27">
        <v>257.93</v>
      </c>
      <c r="G27">
        <v>0.4</v>
      </c>
      <c r="H27">
        <v>2.5</v>
      </c>
      <c r="I27">
        <v>226.1174</v>
      </c>
      <c r="J27">
        <v>33.763100000000001</v>
      </c>
      <c r="K27">
        <v>64.516199999999998</v>
      </c>
      <c r="L27">
        <v>3.9047999999999998</v>
      </c>
      <c r="M27">
        <v>28.999500000000001</v>
      </c>
      <c r="N27">
        <v>-19.697600000000001</v>
      </c>
      <c r="O27">
        <v>-24.885200000000001</v>
      </c>
      <c r="P27">
        <v>77.66</v>
      </c>
      <c r="S27">
        <f t="shared" si="0"/>
        <v>1061.2309999999998</v>
      </c>
      <c r="T27">
        <f t="shared" si="3"/>
        <v>2.0999215810534568E-2</v>
      </c>
      <c r="U27">
        <f t="shared" si="4"/>
        <v>0.36823624867758836</v>
      </c>
      <c r="V27">
        <f t="shared" si="5"/>
        <v>2.3249131790234703E-2</v>
      </c>
      <c r="W27">
        <f t="shared" si="6"/>
        <v>2.9061414737793379E-3</v>
      </c>
      <c r="X27">
        <f t="shared" si="7"/>
        <v>0.24180034526835634</v>
      </c>
      <c r="Y27">
        <f t="shared" si="8"/>
        <v>3.7498599661668879E-4</v>
      </c>
      <c r="Z27">
        <f t="shared" si="9"/>
        <v>2.3436624788543046E-3</v>
      </c>
      <c r="AA27">
        <f t="shared" si="10"/>
        <v>0.21197714647843616</v>
      </c>
      <c r="AB27">
        <f t="shared" si="11"/>
        <v>3.165172425592231E-2</v>
      </c>
      <c r="AC27">
        <f t="shared" si="12"/>
        <v>6.048167888730404E-2</v>
      </c>
      <c r="AD27">
        <f t="shared" si="13"/>
        <v>3.6606132989721154E-3</v>
      </c>
      <c r="AE27">
        <f t="shared" si="14"/>
        <v>2.7186016022214165E-2</v>
      </c>
      <c r="AG27">
        <f t="shared" si="15"/>
        <v>-0.10464788380270661</v>
      </c>
      <c r="AH27">
        <f t="shared" si="16"/>
        <v>0.68709574751817837</v>
      </c>
      <c r="AI27">
        <f t="shared" si="17"/>
        <v>2.01394518154774</v>
      </c>
      <c r="AK27" s="26">
        <f t="shared" si="18"/>
        <v>0.28640162611784603</v>
      </c>
      <c r="AL27" s="26">
        <f t="shared" si="19"/>
        <v>0.20019277212829578</v>
      </c>
      <c r="AM27" s="26">
        <f t="shared" si="20"/>
        <v>0.12477100820972642</v>
      </c>
      <c r="AN27" s="26">
        <f t="shared" si="21"/>
        <v>16.481587301587304</v>
      </c>
      <c r="AO27" s="26">
        <f t="shared" si="22"/>
        <v>17.954503012048171</v>
      </c>
      <c r="AP27" s="26">
        <f t="shared" si="23"/>
        <v>20.093117039993686</v>
      </c>
      <c r="AS27" s="2">
        <v>45453</v>
      </c>
      <c r="AT27">
        <v>18.2</v>
      </c>
      <c r="AU27">
        <v>42.4</v>
      </c>
      <c r="AV27">
        <v>29.1</v>
      </c>
      <c r="AW27">
        <v>3.9</v>
      </c>
      <c r="AX27">
        <v>322.76</v>
      </c>
      <c r="AY27">
        <v>0.4</v>
      </c>
      <c r="AZ27">
        <v>2.9</v>
      </c>
      <c r="BA27">
        <v>164.989</v>
      </c>
      <c r="BB27">
        <v>36.911700000000003</v>
      </c>
      <c r="BC27">
        <v>75.7928</v>
      </c>
      <c r="BD27">
        <v>3.8658000000000001</v>
      </c>
      <c r="BE27">
        <v>29.400400000000001</v>
      </c>
      <c r="BF27">
        <v>-22.526900000000001</v>
      </c>
      <c r="BG27">
        <v>-29.221</v>
      </c>
      <c r="BH27">
        <v>72.14</v>
      </c>
    </row>
    <row r="28" spans="1:60" x14ac:dyDescent="0.25">
      <c r="A28" s="2">
        <v>45473</v>
      </c>
      <c r="B28">
        <v>23.2</v>
      </c>
      <c r="C28">
        <v>495.6</v>
      </c>
      <c r="D28">
        <v>22.4</v>
      </c>
      <c r="E28">
        <v>4.4000000000000004</v>
      </c>
      <c r="F28">
        <v>204.29</v>
      </c>
      <c r="G28">
        <v>0.3</v>
      </c>
      <c r="H28">
        <v>2.7</v>
      </c>
      <c r="I28">
        <v>110.5081</v>
      </c>
      <c r="J28">
        <v>6.8221999999999996</v>
      </c>
      <c r="K28">
        <v>31.522400000000001</v>
      </c>
      <c r="L28">
        <v>4.4898999999999996</v>
      </c>
      <c r="M28">
        <v>17.459</v>
      </c>
      <c r="P28">
        <v>77.42</v>
      </c>
      <c r="S28">
        <f t="shared" si="0"/>
        <v>923.69159999999988</v>
      </c>
      <c r="T28">
        <f t="shared" si="3"/>
        <v>2.1749187803767948E-2</v>
      </c>
      <c r="U28">
        <f t="shared" si="4"/>
        <v>0.46460764980807739</v>
      </c>
      <c r="V28">
        <f t="shared" si="5"/>
        <v>2.0999215810534568E-2</v>
      </c>
      <c r="W28">
        <f t="shared" si="6"/>
        <v>4.1248459627835771E-3</v>
      </c>
      <c r="X28">
        <f t="shared" si="7"/>
        <v>0.19151472312205836</v>
      </c>
      <c r="Y28">
        <f t="shared" si="8"/>
        <v>2.8123949746251657E-4</v>
      </c>
      <c r="Z28">
        <f t="shared" si="9"/>
        <v>2.5311554771626494E-3</v>
      </c>
      <c r="AA28">
        <f t="shared" si="10"/>
        <v>0.10359747503179176</v>
      </c>
      <c r="AB28">
        <f t="shared" si="11"/>
        <v>6.3955736652959345E-3</v>
      </c>
      <c r="AC28">
        <f t="shared" si="12"/>
        <v>2.9551146449374777E-2</v>
      </c>
      <c r="AD28">
        <f t="shared" si="13"/>
        <v>4.209124065523177E-3</v>
      </c>
      <c r="AE28">
        <f t="shared" si="14"/>
        <v>1.6367201287326924E-2</v>
      </c>
      <c r="AG28">
        <f t="shared" si="15"/>
        <v>-0.11647441252025337</v>
      </c>
      <c r="AH28">
        <f t="shared" si="16"/>
        <v>0.7221752187691739</v>
      </c>
      <c r="AI28">
        <f t="shared" si="17"/>
        <v>2.2287146127467792</v>
      </c>
      <c r="AK28" s="26">
        <f t="shared" si="18"/>
        <v>0.26577347978351912</v>
      </c>
      <c r="AL28" s="26">
        <f t="shared" si="19"/>
        <v>0.19328881418313032</v>
      </c>
      <c r="AM28" s="26">
        <f t="shared" si="20"/>
        <v>0.12119045345601981</v>
      </c>
      <c r="AN28" s="26">
        <f t="shared" si="21"/>
        <v>16.530634920634917</v>
      </c>
      <c r="AO28" s="26">
        <f t="shared" si="22"/>
        <v>18.039494406196198</v>
      </c>
      <c r="AP28" s="26">
        <f t="shared" si="23"/>
        <v>20.143568971403056</v>
      </c>
      <c r="AS28" s="2">
        <v>45452</v>
      </c>
      <c r="AT28">
        <v>18.899999999999999</v>
      </c>
      <c r="AU28">
        <v>28</v>
      </c>
      <c r="AV28">
        <v>34.299999999999997</v>
      </c>
      <c r="AW28">
        <v>3.2</v>
      </c>
      <c r="AX28">
        <v>362.32</v>
      </c>
      <c r="AY28">
        <v>0.4</v>
      </c>
      <c r="AZ28">
        <v>2.5</v>
      </c>
      <c r="BA28">
        <v>89.881100000000004</v>
      </c>
      <c r="BB28">
        <v>24.8369</v>
      </c>
      <c r="BC28">
        <v>45.128700000000002</v>
      </c>
      <c r="BD28">
        <v>3.9159000000000002</v>
      </c>
      <c r="BE28">
        <v>19.448799999999999</v>
      </c>
      <c r="BH28">
        <v>71.900000000000006</v>
      </c>
    </row>
    <row r="29" spans="1:60" x14ac:dyDescent="0.25">
      <c r="A29" s="2">
        <v>45472</v>
      </c>
      <c r="B29">
        <v>23</v>
      </c>
      <c r="C29">
        <v>312.39999999999998</v>
      </c>
      <c r="D29">
        <v>10.8</v>
      </c>
      <c r="E29">
        <v>0.9</v>
      </c>
      <c r="F29">
        <v>411.36</v>
      </c>
      <c r="G29">
        <v>0.3</v>
      </c>
      <c r="H29">
        <v>2.9</v>
      </c>
      <c r="I29">
        <v>117.98220000000001</v>
      </c>
      <c r="J29">
        <v>5.3503999999999996</v>
      </c>
      <c r="K29">
        <v>54.995399999999997</v>
      </c>
      <c r="L29">
        <v>4.4855</v>
      </c>
      <c r="M29">
        <v>34.761800000000001</v>
      </c>
      <c r="P29">
        <v>77.08</v>
      </c>
      <c r="S29">
        <f t="shared" si="0"/>
        <v>979.23530000000005</v>
      </c>
      <c r="T29">
        <f t="shared" si="3"/>
        <v>2.1561694805459605E-2</v>
      </c>
      <c r="U29">
        <f t="shared" si="4"/>
        <v>0.29286406335763393</v>
      </c>
      <c r="V29">
        <f t="shared" si="5"/>
        <v>1.0124621908650598E-2</v>
      </c>
      <c r="W29">
        <f t="shared" si="6"/>
        <v>8.4371849238754971E-4</v>
      </c>
      <c r="X29">
        <f t="shared" si="7"/>
        <v>0.38563559892060273</v>
      </c>
      <c r="Y29">
        <f t="shared" si="8"/>
        <v>2.8123949746251657E-4</v>
      </c>
      <c r="Z29">
        <f t="shared" si="9"/>
        <v>2.7186484754709935E-3</v>
      </c>
      <c r="AA29">
        <f t="shared" si="10"/>
        <v>0.11060418212507375</v>
      </c>
      <c r="AB29">
        <f t="shared" si="11"/>
        <v>5.0158126907448282E-3</v>
      </c>
      <c r="AC29">
        <f t="shared" si="12"/>
        <v>5.1556262195833612E-2</v>
      </c>
      <c r="AD29">
        <f t="shared" si="13"/>
        <v>4.2049992195603934E-3</v>
      </c>
      <c r="AE29">
        <f t="shared" si="14"/>
        <v>3.2587970542975027E-2</v>
      </c>
      <c r="AG29">
        <f t="shared" si="15"/>
        <v>-0.13320634782133825</v>
      </c>
      <c r="AH29">
        <f t="shared" si="16"/>
        <v>0.74661755600064295</v>
      </c>
      <c r="AI29">
        <f t="shared" si="17"/>
        <v>2.3892415588651734</v>
      </c>
      <c r="AK29" s="26">
        <f t="shared" si="18"/>
        <v>0.25107072675611913</v>
      </c>
      <c r="AL29" s="26">
        <f t="shared" si="19"/>
        <v>0.18622748747104062</v>
      </c>
      <c r="AM29" s="26">
        <f t="shared" si="20"/>
        <v>0.11941181822206876</v>
      </c>
      <c r="AN29" s="26">
        <f t="shared" si="21"/>
        <v>16.580952380952397</v>
      </c>
      <c r="AO29" s="26">
        <f t="shared" si="22"/>
        <v>18.125920826161803</v>
      </c>
      <c r="AP29" s="26">
        <f t="shared" si="23"/>
        <v>20.192609437777364</v>
      </c>
      <c r="AS29" s="2">
        <v>45451</v>
      </c>
      <c r="AT29">
        <v>19.899999999999999</v>
      </c>
      <c r="AU29">
        <v>117.4</v>
      </c>
      <c r="AV29">
        <v>41.3</v>
      </c>
      <c r="AW29">
        <v>3</v>
      </c>
      <c r="AX29">
        <v>389.14</v>
      </c>
      <c r="AY29">
        <v>0.4</v>
      </c>
      <c r="AZ29">
        <v>3.1</v>
      </c>
      <c r="BA29">
        <v>123.9709</v>
      </c>
      <c r="BB29">
        <v>14.1203</v>
      </c>
      <c r="BC29">
        <v>40.765300000000003</v>
      </c>
      <c r="BD29">
        <v>3.8894000000000002</v>
      </c>
      <c r="BE29">
        <v>27.837700000000002</v>
      </c>
      <c r="BH29">
        <v>71.61</v>
      </c>
    </row>
    <row r="30" spans="1:60" x14ac:dyDescent="0.25">
      <c r="A30" s="2">
        <v>45471</v>
      </c>
      <c r="B30">
        <v>23.2</v>
      </c>
      <c r="C30">
        <v>420.2</v>
      </c>
      <c r="D30">
        <v>44.5</v>
      </c>
      <c r="E30">
        <v>3.9</v>
      </c>
      <c r="F30">
        <v>390.66</v>
      </c>
      <c r="G30">
        <v>0.3</v>
      </c>
      <c r="H30">
        <v>2.9</v>
      </c>
      <c r="I30">
        <v>164.50120000000001</v>
      </c>
      <c r="J30">
        <v>19.578700000000001</v>
      </c>
      <c r="K30">
        <v>53.536999999999999</v>
      </c>
      <c r="L30">
        <v>4.4218000000000002</v>
      </c>
      <c r="M30">
        <v>22.5611</v>
      </c>
      <c r="N30">
        <v>-24.8398</v>
      </c>
      <c r="O30">
        <v>-27.752500000000001</v>
      </c>
      <c r="P30">
        <v>76.75</v>
      </c>
      <c r="S30">
        <f t="shared" si="0"/>
        <v>1150.2598</v>
      </c>
      <c r="T30">
        <f t="shared" si="3"/>
        <v>2.1749187803767948E-2</v>
      </c>
      <c r="U30">
        <f t="shared" si="4"/>
        <v>0.39392278944583153</v>
      </c>
      <c r="V30">
        <f t="shared" si="5"/>
        <v>4.1717192123606625E-2</v>
      </c>
      <c r="W30">
        <f t="shared" si="6"/>
        <v>3.6561134670127153E-3</v>
      </c>
      <c r="X30">
        <f t="shared" si="7"/>
        <v>0.3662300735956891</v>
      </c>
      <c r="Y30">
        <f t="shared" si="8"/>
        <v>2.8123949746251657E-4</v>
      </c>
      <c r="Z30">
        <f t="shared" si="9"/>
        <v>2.7186484754709935E-3</v>
      </c>
      <c r="AA30">
        <f t="shared" si="10"/>
        <v>0.15421411606660312</v>
      </c>
      <c r="AB30">
        <f t="shared" si="11"/>
        <v>1.8354345829897912E-2</v>
      </c>
      <c r="AC30">
        <f t="shared" si="12"/>
        <v>5.0189063252169167E-2</v>
      </c>
      <c r="AD30">
        <f t="shared" si="13"/>
        <v>4.145282699599186E-3</v>
      </c>
      <c r="AE30">
        <f t="shared" si="14"/>
        <v>2.1150241420671942E-2</v>
      </c>
      <c r="AG30">
        <f t="shared" si="15"/>
        <v>-0.14945347319349878</v>
      </c>
      <c r="AH30">
        <f t="shared" si="16"/>
        <v>0.85142548582951327</v>
      </c>
      <c r="AI30">
        <f t="shared" si="17"/>
        <v>3.0167498034853288</v>
      </c>
      <c r="AK30" s="26">
        <f t="shared" si="18"/>
        <v>0.24324323334979037</v>
      </c>
      <c r="AL30" s="26">
        <f t="shared" si="19"/>
        <v>0.17881579427109068</v>
      </c>
      <c r="AM30" s="26">
        <f t="shared" si="20"/>
        <v>0.11771420899252771</v>
      </c>
      <c r="AN30" s="26">
        <f t="shared" si="21"/>
        <v>16.633015873015886</v>
      </c>
      <c r="AO30" s="26">
        <f t="shared" si="22"/>
        <v>18.21448364888127</v>
      </c>
      <c r="AP30" s="26">
        <f t="shared" si="23"/>
        <v>20.240854756965419</v>
      </c>
      <c r="AS30" s="2">
        <v>45450</v>
      </c>
      <c r="AT30">
        <v>20</v>
      </c>
      <c r="AU30">
        <v>62.2</v>
      </c>
      <c r="AV30">
        <v>32</v>
      </c>
      <c r="AW30">
        <v>1.6</v>
      </c>
      <c r="AX30">
        <v>393.18</v>
      </c>
      <c r="AY30">
        <v>0.4</v>
      </c>
      <c r="AZ30">
        <v>3.2</v>
      </c>
      <c r="BA30">
        <v>195.6112</v>
      </c>
      <c r="BB30">
        <v>22.321999999999999</v>
      </c>
      <c r="BC30">
        <v>95.370699999999999</v>
      </c>
      <c r="BD30">
        <v>3.8879999999999999</v>
      </c>
      <c r="BE30">
        <v>28.7941</v>
      </c>
      <c r="BF30">
        <v>-21.2652</v>
      </c>
      <c r="BG30">
        <v>-30.1707</v>
      </c>
      <c r="BH30">
        <v>71.33</v>
      </c>
    </row>
    <row r="31" spans="1:60" x14ac:dyDescent="0.25">
      <c r="A31" s="2">
        <v>45470</v>
      </c>
      <c r="B31">
        <v>23.6</v>
      </c>
      <c r="C31">
        <v>435.3</v>
      </c>
      <c r="D31">
        <v>18.899999999999999</v>
      </c>
      <c r="E31">
        <v>1.8</v>
      </c>
      <c r="F31">
        <v>350.48</v>
      </c>
      <c r="G31">
        <v>0.3</v>
      </c>
      <c r="H31">
        <v>2.8</v>
      </c>
      <c r="I31">
        <v>222.84139999999999</v>
      </c>
      <c r="J31">
        <v>45.656300000000002</v>
      </c>
      <c r="K31">
        <v>78.556100000000001</v>
      </c>
      <c r="L31">
        <v>4.4523000000000001</v>
      </c>
      <c r="M31">
        <v>30.114599999999999</v>
      </c>
      <c r="N31">
        <v>-23.7578</v>
      </c>
      <c r="O31">
        <v>-25.816700000000001</v>
      </c>
      <c r="P31">
        <v>76.459999999999994</v>
      </c>
      <c r="S31">
        <f t="shared" si="0"/>
        <v>1214.8007</v>
      </c>
      <c r="T31">
        <f t="shared" si="3"/>
        <v>2.2124173800384637E-2</v>
      </c>
      <c r="U31">
        <f t="shared" si="4"/>
        <v>0.40807851081811158</v>
      </c>
      <c r="V31">
        <f t="shared" si="5"/>
        <v>1.7718088340138542E-2</v>
      </c>
      <c r="W31">
        <f t="shared" si="6"/>
        <v>1.6874369847750994E-3</v>
      </c>
      <c r="X31">
        <f t="shared" si="7"/>
        <v>0.32856273023554272</v>
      </c>
      <c r="Y31">
        <f t="shared" si="8"/>
        <v>2.8123949746251657E-4</v>
      </c>
      <c r="Z31">
        <f t="shared" si="9"/>
        <v>2.624901976316821E-3</v>
      </c>
      <c r="AA31">
        <f t="shared" si="10"/>
        <v>0.20890601116614546</v>
      </c>
      <c r="AB31">
        <f t="shared" si="11"/>
        <v>4.2801182893326323E-2</v>
      </c>
      <c r="AC31">
        <f t="shared" si="12"/>
        <v>7.3643593622050654E-2</v>
      </c>
      <c r="AD31">
        <f t="shared" si="13"/>
        <v>4.1738753818412085E-3</v>
      </c>
      <c r="AE31">
        <f t="shared" si="14"/>
        <v>2.8231383234282339E-2</v>
      </c>
      <c r="AG31">
        <f t="shared" si="15"/>
        <v>-0.16373348862714548</v>
      </c>
      <c r="AH31">
        <f t="shared" si="16"/>
        <v>0.80930846488701413</v>
      </c>
      <c r="AI31">
        <f t="shared" si="17"/>
        <v>2.8154090220695509</v>
      </c>
      <c r="AK31" s="26">
        <f t="shared" si="18"/>
        <v>0.22723018699175229</v>
      </c>
      <c r="AL31" s="26">
        <f t="shared" si="19"/>
        <v>0.17083505730012327</v>
      </c>
      <c r="AM31" s="26">
        <f t="shared" si="20"/>
        <v>0.11348091489790596</v>
      </c>
      <c r="AN31" s="26">
        <f t="shared" si="21"/>
        <v>16.688095238095244</v>
      </c>
      <c r="AO31" s="26">
        <f t="shared" si="22"/>
        <v>18.30368975903616</v>
      </c>
      <c r="AP31" s="26">
        <f t="shared" si="23"/>
        <v>20.288150783855485</v>
      </c>
      <c r="AS31" s="2">
        <v>45449</v>
      </c>
      <c r="AT31">
        <v>19.7</v>
      </c>
      <c r="AU31">
        <v>243.9</v>
      </c>
      <c r="AV31">
        <v>39.299999999999997</v>
      </c>
      <c r="AW31">
        <v>2.4</v>
      </c>
      <c r="AX31">
        <v>396.65</v>
      </c>
      <c r="AY31">
        <v>0.3</v>
      </c>
      <c r="AZ31">
        <v>3</v>
      </c>
      <c r="BA31">
        <v>231.3383</v>
      </c>
      <c r="BB31">
        <v>23.389600000000002</v>
      </c>
      <c r="BC31">
        <v>66.251999999999995</v>
      </c>
      <c r="BD31">
        <v>3.8879999999999999</v>
      </c>
      <c r="BE31">
        <v>20.6889</v>
      </c>
      <c r="BF31">
        <v>-21.189299999999999</v>
      </c>
      <c r="BG31">
        <v>-29.325399999999998</v>
      </c>
      <c r="BH31">
        <v>71.11</v>
      </c>
    </row>
    <row r="32" spans="1:60" x14ac:dyDescent="0.25">
      <c r="A32" s="2">
        <v>45469</v>
      </c>
      <c r="B32">
        <v>23.2</v>
      </c>
      <c r="C32">
        <v>610</v>
      </c>
      <c r="D32">
        <v>10.3</v>
      </c>
      <c r="E32">
        <v>2.1</v>
      </c>
      <c r="F32">
        <v>407.51</v>
      </c>
      <c r="G32">
        <v>0</v>
      </c>
      <c r="H32">
        <v>2.4</v>
      </c>
      <c r="I32">
        <v>226.03030000000001</v>
      </c>
      <c r="J32">
        <v>44.602899999999998</v>
      </c>
      <c r="K32">
        <v>83.905100000000004</v>
      </c>
      <c r="L32">
        <v>4.4683999999999999</v>
      </c>
      <c r="M32">
        <v>29.229500000000002</v>
      </c>
      <c r="N32">
        <v>-23.3826</v>
      </c>
      <c r="O32">
        <v>-27.707100000000001</v>
      </c>
      <c r="P32">
        <v>76.23</v>
      </c>
      <c r="S32">
        <f t="shared" si="0"/>
        <v>1443.7462</v>
      </c>
      <c r="T32">
        <f t="shared" si="3"/>
        <v>2.1749187803767948E-2</v>
      </c>
      <c r="U32">
        <f t="shared" si="4"/>
        <v>0.57185364484045031</v>
      </c>
      <c r="V32">
        <f t="shared" si="5"/>
        <v>9.6558894128797364E-3</v>
      </c>
      <c r="W32">
        <f t="shared" si="6"/>
        <v>1.9686764822376161E-3</v>
      </c>
      <c r="X32">
        <f t="shared" si="7"/>
        <v>0.38202635870316709</v>
      </c>
      <c r="Y32">
        <f t="shared" si="8"/>
        <v>0</v>
      </c>
      <c r="Z32">
        <f t="shared" si="9"/>
        <v>2.2499159797001326E-3</v>
      </c>
      <c r="AA32">
        <f t="shared" si="10"/>
        <v>0.21189549327767288</v>
      </c>
      <c r="AB32">
        <f t="shared" si="11"/>
        <v>4.1813657271236267E-2</v>
      </c>
      <c r="AC32">
        <f t="shared" si="12"/>
        <v>7.8658093861807332E-2</v>
      </c>
      <c r="AD32">
        <f t="shared" si="13"/>
        <v>4.1889685682050303E-3</v>
      </c>
      <c r="AE32">
        <f t="shared" si="14"/>
        <v>2.7401632970268763E-2</v>
      </c>
      <c r="AG32">
        <f t="shared" si="15"/>
        <v>-0.17506328138574642</v>
      </c>
      <c r="AH32">
        <f t="shared" si="16"/>
        <v>1.0169053061924718</v>
      </c>
      <c r="AI32">
        <f t="shared" si="17"/>
        <v>4.0643800162884061</v>
      </c>
      <c r="AK32" s="26">
        <f t="shared" si="18"/>
        <v>0.22386438411202492</v>
      </c>
      <c r="AL32" s="26">
        <f t="shared" si="19"/>
        <v>0.16787283053104179</v>
      </c>
      <c r="AM32" s="26">
        <f t="shared" si="20"/>
        <v>0.1105314358313596</v>
      </c>
      <c r="AN32" s="26">
        <f t="shared" si="21"/>
        <v>16.74761904761904</v>
      </c>
      <c r="AO32" s="26">
        <f t="shared" si="22"/>
        <v>18.394201807228924</v>
      </c>
      <c r="AP32" s="26">
        <f t="shared" si="23"/>
        <v>20.334318951708219</v>
      </c>
      <c r="AS32" s="2">
        <v>45448</v>
      </c>
      <c r="AT32">
        <v>18.100000000000001</v>
      </c>
      <c r="AU32">
        <v>67.5</v>
      </c>
      <c r="AV32">
        <v>40.1</v>
      </c>
      <c r="AW32">
        <v>6.3</v>
      </c>
      <c r="AX32">
        <v>302.62</v>
      </c>
      <c r="AY32">
        <v>0.1</v>
      </c>
      <c r="AZ32">
        <v>2.8</v>
      </c>
      <c r="BA32">
        <v>192.03200000000001</v>
      </c>
      <c r="BB32">
        <v>19.925999999999998</v>
      </c>
      <c r="BC32">
        <v>45.792000000000002</v>
      </c>
      <c r="BD32">
        <v>3.9289999999999998</v>
      </c>
      <c r="BE32">
        <v>18.224699999999999</v>
      </c>
      <c r="BF32">
        <v>-20.812000000000001</v>
      </c>
      <c r="BG32">
        <v>-30.313500000000001</v>
      </c>
      <c r="BH32">
        <v>70.89</v>
      </c>
    </row>
    <row r="33" spans="1:60" x14ac:dyDescent="0.25">
      <c r="A33" s="2">
        <v>45468</v>
      </c>
      <c r="B33">
        <v>23</v>
      </c>
      <c r="C33">
        <v>459.9</v>
      </c>
      <c r="D33">
        <v>6.9</v>
      </c>
      <c r="E33">
        <v>2.2000000000000002</v>
      </c>
      <c r="F33">
        <v>463.98</v>
      </c>
      <c r="G33">
        <v>0</v>
      </c>
      <c r="H33">
        <v>2</v>
      </c>
      <c r="I33">
        <v>199.2654</v>
      </c>
      <c r="J33">
        <v>32.966999999999999</v>
      </c>
      <c r="K33">
        <v>72.224000000000004</v>
      </c>
      <c r="L33">
        <v>4.4675000000000002</v>
      </c>
      <c r="M33">
        <v>31.0379</v>
      </c>
      <c r="N33">
        <v>-25.2225</v>
      </c>
      <c r="O33">
        <v>-28.479299999999999</v>
      </c>
      <c r="P33">
        <v>75.97</v>
      </c>
      <c r="S33">
        <f t="shared" si="0"/>
        <v>1297.9418000000001</v>
      </c>
      <c r="T33">
        <f t="shared" si="3"/>
        <v>2.1561694805459605E-2</v>
      </c>
      <c r="U33">
        <f t="shared" si="4"/>
        <v>0.43114014961003788</v>
      </c>
      <c r="V33">
        <f t="shared" si="5"/>
        <v>6.4685084416378812E-3</v>
      </c>
      <c r="W33">
        <f t="shared" si="6"/>
        <v>2.0624229813917885E-3</v>
      </c>
      <c r="X33">
        <f t="shared" si="7"/>
        <v>0.43496500677552813</v>
      </c>
      <c r="Y33">
        <f t="shared" si="8"/>
        <v>0</v>
      </c>
      <c r="Z33">
        <f t="shared" si="9"/>
        <v>1.8749299830834439E-3</v>
      </c>
      <c r="AA33">
        <f t="shared" si="10"/>
        <v>0.18680433652555783</v>
      </c>
      <c r="AB33">
        <f t="shared" si="11"/>
        <v>3.0905408376155945E-2</v>
      </c>
      <c r="AC33">
        <f t="shared" si="12"/>
        <v>6.7707471549109333E-2</v>
      </c>
      <c r="AD33">
        <f t="shared" si="13"/>
        <v>4.1881248497126428E-3</v>
      </c>
      <c r="AE33">
        <f t="shared" si="14"/>
        <v>2.9096944660972811E-2</v>
      </c>
      <c r="AG33">
        <f t="shared" si="15"/>
        <v>-0.18786885433455297</v>
      </c>
      <c r="AH33">
        <f t="shared" si="16"/>
        <v>0.92716965725811151</v>
      </c>
      <c r="AI33">
        <f t="shared" si="17"/>
        <v>3.6313994813219521</v>
      </c>
      <c r="AK33" s="26">
        <f t="shared" si="18"/>
        <v>0.19129760771805709</v>
      </c>
      <c r="AL33" s="26">
        <f t="shared" si="19"/>
        <v>0.161893404211162</v>
      </c>
      <c r="AM33" s="26">
        <f t="shared" si="20"/>
        <v>0.10423921430999311</v>
      </c>
      <c r="AN33" s="26">
        <f t="shared" si="21"/>
        <v>16.810476190476187</v>
      </c>
      <c r="AO33" s="26">
        <f t="shared" si="22"/>
        <v>18.484283562822746</v>
      </c>
      <c r="AP33" s="26">
        <f t="shared" si="23"/>
        <v>20.379419658097234</v>
      </c>
      <c r="AS33" s="2">
        <v>45447</v>
      </c>
      <c r="AT33">
        <v>15.8</v>
      </c>
      <c r="AU33">
        <v>262.39999999999998</v>
      </c>
      <c r="AV33">
        <v>24.3</v>
      </c>
      <c r="AW33">
        <v>1.4</v>
      </c>
      <c r="AX33">
        <v>340.9</v>
      </c>
      <c r="AY33">
        <v>0.1</v>
      </c>
      <c r="AZ33">
        <v>2.7</v>
      </c>
      <c r="BA33">
        <v>230.06479999999999</v>
      </c>
      <c r="BB33">
        <v>34.313200000000002</v>
      </c>
      <c r="BC33">
        <v>78.396199999999993</v>
      </c>
      <c r="BD33">
        <v>3.8887999999999998</v>
      </c>
      <c r="BE33">
        <v>22.5867</v>
      </c>
      <c r="BF33">
        <v>-20.421800000000001</v>
      </c>
      <c r="BG33">
        <v>-31.440100000000001</v>
      </c>
      <c r="BH33">
        <v>70.709999999999994</v>
      </c>
    </row>
    <row r="34" spans="1:60" x14ac:dyDescent="0.25">
      <c r="A34" s="2">
        <v>45467</v>
      </c>
      <c r="B34">
        <v>21.9</v>
      </c>
      <c r="C34">
        <v>428.3</v>
      </c>
      <c r="D34">
        <v>0.8</v>
      </c>
      <c r="E34">
        <v>0.7</v>
      </c>
      <c r="F34">
        <v>429.65</v>
      </c>
      <c r="G34">
        <v>0</v>
      </c>
      <c r="H34">
        <v>2.5</v>
      </c>
      <c r="I34">
        <v>193.40989999999999</v>
      </c>
      <c r="J34">
        <v>35.665700000000001</v>
      </c>
      <c r="K34">
        <v>72.103099999999998</v>
      </c>
      <c r="L34">
        <v>4.4287999999999998</v>
      </c>
      <c r="M34">
        <v>34.125799999999998</v>
      </c>
      <c r="N34">
        <v>-26.120100000000001</v>
      </c>
      <c r="O34">
        <v>-30.356000000000002</v>
      </c>
      <c r="P34">
        <v>75.72</v>
      </c>
      <c r="S34">
        <f t="shared" ref="S34:S65" si="24">SUM(B34:M34)</f>
        <v>1223.5833</v>
      </c>
      <c r="T34">
        <f t="shared" si="3"/>
        <v>2.0530483314763707E-2</v>
      </c>
      <c r="U34">
        <f t="shared" si="4"/>
        <v>0.40151625587731948</v>
      </c>
      <c r="V34">
        <f t="shared" si="5"/>
        <v>7.4997199323337759E-4</v>
      </c>
      <c r="W34">
        <f t="shared" si="6"/>
        <v>6.5622549407920526E-4</v>
      </c>
      <c r="X34">
        <f t="shared" si="7"/>
        <v>0.40278183361590081</v>
      </c>
      <c r="Y34">
        <f t="shared" si="8"/>
        <v>0</v>
      </c>
      <c r="Z34">
        <f t="shared" si="9"/>
        <v>2.3436624788543046E-3</v>
      </c>
      <c r="AA34">
        <f t="shared" si="10"/>
        <v>0.18131501026758529</v>
      </c>
      <c r="AB34">
        <f t="shared" si="11"/>
        <v>3.3435345148829593E-2</v>
      </c>
      <c r="AC34">
        <f t="shared" si="12"/>
        <v>6.7594132031631921E-2</v>
      </c>
      <c r="AD34">
        <f t="shared" si="13"/>
        <v>4.1518449545399775E-3</v>
      </c>
      <c r="AE34">
        <f t="shared" si="14"/>
        <v>3.1991742808354491E-2</v>
      </c>
      <c r="AG34">
        <f t="shared" si="15"/>
        <v>-0.20018095701862193</v>
      </c>
      <c r="AH34">
        <f t="shared" si="16"/>
        <v>0.86057017558250537</v>
      </c>
      <c r="AI34">
        <f t="shared" si="17"/>
        <v>3.2978122417093361</v>
      </c>
      <c r="AK34" s="26">
        <f t="shared" si="18"/>
        <v>0.176651069853277</v>
      </c>
      <c r="AL34" s="26">
        <f t="shared" si="19"/>
        <v>0.15653303126474061</v>
      </c>
      <c r="AM34" s="26">
        <f t="shared" si="20"/>
        <v>9.9790510547987543E-2</v>
      </c>
      <c r="AN34" s="26">
        <f t="shared" si="21"/>
        <v>16.878571428571419</v>
      </c>
      <c r="AO34" s="26">
        <f t="shared" si="22"/>
        <v>18.574300774526712</v>
      </c>
      <c r="AP34" s="26">
        <f t="shared" si="23"/>
        <v>20.422771460833502</v>
      </c>
      <c r="AS34" s="2">
        <v>45446</v>
      </c>
      <c r="AT34">
        <v>18.899999999999999</v>
      </c>
      <c r="AU34">
        <v>196.3</v>
      </c>
      <c r="AV34">
        <v>33.700000000000003</v>
      </c>
      <c r="AW34">
        <v>3.1</v>
      </c>
      <c r="AX34">
        <v>212.94</v>
      </c>
      <c r="AY34">
        <v>0.1</v>
      </c>
      <c r="AZ34">
        <v>2.6</v>
      </c>
      <c r="BA34">
        <v>227.2834</v>
      </c>
      <c r="BB34">
        <v>29.9922</v>
      </c>
      <c r="BC34">
        <v>109.3143</v>
      </c>
      <c r="BD34">
        <v>4.9499000000000004</v>
      </c>
      <c r="BE34">
        <v>37.3583</v>
      </c>
      <c r="BF34">
        <v>-19.388999999999999</v>
      </c>
      <c r="BG34">
        <v>-28.048999999999999</v>
      </c>
      <c r="BH34">
        <v>70.56</v>
      </c>
    </row>
    <row r="35" spans="1:60" x14ac:dyDescent="0.25">
      <c r="A35" s="2">
        <v>45466</v>
      </c>
      <c r="B35">
        <v>20.2</v>
      </c>
      <c r="C35">
        <v>528</v>
      </c>
      <c r="D35">
        <v>8.4</v>
      </c>
      <c r="E35">
        <v>2.2999999999999998</v>
      </c>
      <c r="F35">
        <v>337.14</v>
      </c>
      <c r="G35">
        <v>0</v>
      </c>
      <c r="H35">
        <v>2.4</v>
      </c>
      <c r="I35">
        <v>121.2033</v>
      </c>
      <c r="J35">
        <v>10.1416</v>
      </c>
      <c r="K35">
        <v>30.911000000000001</v>
      </c>
      <c r="L35">
        <v>4.5715000000000003</v>
      </c>
      <c r="M35">
        <v>22.0229</v>
      </c>
      <c r="P35">
        <v>75.47</v>
      </c>
      <c r="S35">
        <f t="shared" si="24"/>
        <v>1087.2902999999999</v>
      </c>
      <c r="T35">
        <f t="shared" si="3"/>
        <v>1.8936792829142783E-2</v>
      </c>
      <c r="U35">
        <f t="shared" si="4"/>
        <v>0.49498151553402919</v>
      </c>
      <c r="V35">
        <f t="shared" si="5"/>
        <v>7.8747059289504644E-3</v>
      </c>
      <c r="W35">
        <f t="shared" si="6"/>
        <v>2.1561694805459601E-3</v>
      </c>
      <c r="X35">
        <f t="shared" si="7"/>
        <v>0.31605694724837613</v>
      </c>
      <c r="Y35">
        <f t="shared" si="8"/>
        <v>0</v>
      </c>
      <c r="Z35">
        <f t="shared" si="9"/>
        <v>2.2499159797001326E-3</v>
      </c>
      <c r="AA35">
        <f t="shared" si="10"/>
        <v>0.11362385060932878</v>
      </c>
      <c r="AB35">
        <f t="shared" si="11"/>
        <v>9.5073949582195269E-3</v>
      </c>
      <c r="AC35">
        <f t="shared" si="12"/>
        <v>2.8977980353546168E-2</v>
      </c>
      <c r="AD35">
        <f t="shared" si="13"/>
        <v>4.285621208832982E-3</v>
      </c>
      <c r="AE35">
        <f t="shared" si="14"/>
        <v>2.0645697762224188E-2</v>
      </c>
      <c r="AG35">
        <f t="shared" si="15"/>
        <v>-0.21248236231125278</v>
      </c>
      <c r="AH35">
        <f t="shared" si="16"/>
        <v>0.86290174476296877</v>
      </c>
      <c r="AI35">
        <f t="shared" si="17"/>
        <v>3.356514174363487</v>
      </c>
      <c r="AK35" s="26">
        <f t="shared" si="18"/>
        <v>0.1620853697435215</v>
      </c>
      <c r="AL35" s="26">
        <f t="shared" si="19"/>
        <v>0.15315520500655883</v>
      </c>
      <c r="AM35" s="26">
        <f t="shared" si="20"/>
        <v>9.7313885507176401E-2</v>
      </c>
      <c r="AN35" s="26">
        <f t="shared" si="21"/>
        <v>16.954761904761902</v>
      </c>
      <c r="AO35" s="26">
        <f t="shared" si="22"/>
        <v>18.665094664371779</v>
      </c>
      <c r="AP35" s="26">
        <f t="shared" si="23"/>
        <v>20.464881962133362</v>
      </c>
      <c r="AS35" s="2">
        <v>45445</v>
      </c>
      <c r="AT35">
        <v>19.5</v>
      </c>
      <c r="AU35">
        <v>247.6</v>
      </c>
      <c r="AV35">
        <v>59.9</v>
      </c>
      <c r="AW35">
        <v>4.9000000000000004</v>
      </c>
      <c r="AX35">
        <v>228.63</v>
      </c>
      <c r="AY35">
        <v>0.1</v>
      </c>
      <c r="AZ35">
        <v>2.4</v>
      </c>
      <c r="BA35">
        <v>105.4965</v>
      </c>
      <c r="BB35">
        <v>6.1208999999999998</v>
      </c>
      <c r="BC35">
        <v>21.912199999999999</v>
      </c>
      <c r="BD35">
        <v>3.8740000000000001</v>
      </c>
      <c r="BE35">
        <v>15.8285</v>
      </c>
      <c r="BH35">
        <v>70.39</v>
      </c>
    </row>
    <row r="36" spans="1:60" x14ac:dyDescent="0.25">
      <c r="A36" s="2">
        <v>45465</v>
      </c>
      <c r="B36">
        <v>20.8</v>
      </c>
      <c r="C36">
        <v>239</v>
      </c>
      <c r="D36">
        <v>14.4</v>
      </c>
      <c r="E36">
        <v>7</v>
      </c>
      <c r="F36">
        <v>335.89</v>
      </c>
      <c r="G36">
        <v>0</v>
      </c>
      <c r="H36">
        <v>2.5</v>
      </c>
      <c r="I36">
        <v>105.6309</v>
      </c>
      <c r="J36">
        <v>6.4265999999999996</v>
      </c>
      <c r="K36">
        <v>21.817499999999999</v>
      </c>
      <c r="L36">
        <v>4.1294000000000004</v>
      </c>
      <c r="M36">
        <v>17.954699999999999</v>
      </c>
      <c r="P36">
        <v>75.13</v>
      </c>
      <c r="S36">
        <f t="shared" si="24"/>
        <v>775.54909999999995</v>
      </c>
      <c r="T36">
        <f t="shared" si="3"/>
        <v>1.9499271824067816E-2</v>
      </c>
      <c r="U36">
        <f t="shared" si="4"/>
        <v>0.22405413297847154</v>
      </c>
      <c r="V36">
        <f t="shared" si="5"/>
        <v>1.3499495878200795E-2</v>
      </c>
      <c r="W36">
        <f t="shared" si="6"/>
        <v>6.5622549407920536E-3</v>
      </c>
      <c r="X36">
        <f t="shared" si="7"/>
        <v>0.31488511600894897</v>
      </c>
      <c r="Y36">
        <f t="shared" si="8"/>
        <v>0</v>
      </c>
      <c r="Z36">
        <f t="shared" si="9"/>
        <v>2.3436624788543046E-3</v>
      </c>
      <c r="AA36">
        <f t="shared" si="10"/>
        <v>9.9025270775044472E-2</v>
      </c>
      <c r="AB36">
        <f t="shared" si="11"/>
        <v>6.0247125146420293E-3</v>
      </c>
      <c r="AC36">
        <f t="shared" si="12"/>
        <v>2.0453142452961516E-2</v>
      </c>
      <c r="AD36">
        <f t="shared" si="13"/>
        <v>3.8711679360723867E-3</v>
      </c>
      <c r="AE36">
        <f t="shared" si="14"/>
        <v>1.6831902683634152E-2</v>
      </c>
      <c r="AG36">
        <f t="shared" si="15"/>
        <v>-0.22918939400686211</v>
      </c>
      <c r="AH36">
        <f t="shared" si="16"/>
        <v>0.59767583679296965</v>
      </c>
      <c r="AI36">
        <f t="shared" si="17"/>
        <v>1.7434894349326533</v>
      </c>
      <c r="AK36" s="26">
        <f t="shared" si="18"/>
        <v>0.14300044405335799</v>
      </c>
      <c r="AL36" s="26">
        <f t="shared" si="19"/>
        <v>0.1467773135082357</v>
      </c>
      <c r="AM36" s="26">
        <f t="shared" si="20"/>
        <v>9.3050350553566974E-2</v>
      </c>
      <c r="AN36" s="26">
        <f t="shared" si="21"/>
        <v>17.039047619047615</v>
      </c>
      <c r="AO36" s="26">
        <f t="shared" si="22"/>
        <v>18.755208691910497</v>
      </c>
      <c r="AP36" s="26">
        <f t="shared" si="23"/>
        <v>20.503919277329906</v>
      </c>
      <c r="AS36" s="2">
        <v>45444</v>
      </c>
      <c r="AT36">
        <v>19</v>
      </c>
      <c r="AU36">
        <v>2.6</v>
      </c>
      <c r="AV36">
        <v>45.1</v>
      </c>
      <c r="AW36">
        <v>4.4000000000000004</v>
      </c>
      <c r="AX36">
        <v>220.85</v>
      </c>
      <c r="AY36">
        <v>0.1</v>
      </c>
      <c r="AZ36">
        <v>2.4</v>
      </c>
      <c r="BA36">
        <v>111.893</v>
      </c>
      <c r="BB36">
        <v>4.9236000000000004</v>
      </c>
      <c r="BC36">
        <v>25.882400000000001</v>
      </c>
      <c r="BD36">
        <v>3.8687</v>
      </c>
      <c r="BE36">
        <v>24.617100000000001</v>
      </c>
      <c r="BH36">
        <v>70.12</v>
      </c>
    </row>
    <row r="37" spans="1:60" x14ac:dyDescent="0.25">
      <c r="A37" s="2">
        <v>45464</v>
      </c>
      <c r="B37">
        <v>22.3</v>
      </c>
      <c r="C37">
        <v>61.8</v>
      </c>
      <c r="D37">
        <v>10.8</v>
      </c>
      <c r="E37">
        <v>2.7</v>
      </c>
      <c r="F37">
        <v>223.54</v>
      </c>
      <c r="G37">
        <v>0</v>
      </c>
      <c r="H37">
        <v>2.7</v>
      </c>
      <c r="I37">
        <v>268.11419999999998</v>
      </c>
      <c r="J37">
        <v>74.4161</v>
      </c>
      <c r="K37">
        <v>115.9242</v>
      </c>
      <c r="L37">
        <v>4.6616999999999997</v>
      </c>
      <c r="M37">
        <v>28.883199999999999</v>
      </c>
      <c r="N37">
        <v>-24.406099999999999</v>
      </c>
      <c r="O37">
        <v>-29.744</v>
      </c>
      <c r="P37">
        <v>74.790000000000006</v>
      </c>
      <c r="S37">
        <f t="shared" si="24"/>
        <v>815.83939999999996</v>
      </c>
      <c r="T37">
        <f t="shared" si="3"/>
        <v>2.09054693113804E-2</v>
      </c>
      <c r="U37">
        <f t="shared" si="4"/>
        <v>5.7935336477278408E-2</v>
      </c>
      <c r="V37">
        <f t="shared" si="5"/>
        <v>1.0124621908650598E-2</v>
      </c>
      <c r="W37">
        <f t="shared" si="6"/>
        <v>2.5311554771626494E-3</v>
      </c>
      <c r="X37">
        <f t="shared" si="7"/>
        <v>0.2095609242092365</v>
      </c>
      <c r="Y37">
        <f t="shared" si="8"/>
        <v>0</v>
      </c>
      <c r="Z37">
        <f t="shared" si="9"/>
        <v>2.5311554771626494E-3</v>
      </c>
      <c r="AA37">
        <f t="shared" si="10"/>
        <v>0.25134767623521553</v>
      </c>
      <c r="AB37">
        <f t="shared" si="11"/>
        <v>6.9762488557067931E-2</v>
      </c>
      <c r="AC37">
        <f t="shared" si="12"/>
        <v>0.10867487917248088</v>
      </c>
      <c r="AD37">
        <f t="shared" si="13"/>
        <v>4.370180551070045E-3</v>
      </c>
      <c r="AE37">
        <f t="shared" si="14"/>
        <v>2.7076988843697861E-2</v>
      </c>
      <c r="AG37">
        <f t="shared" si="15"/>
        <v>-0.24588454795722442</v>
      </c>
      <c r="AH37">
        <f t="shared" si="16"/>
        <v>0.33066565170456907</v>
      </c>
      <c r="AI37">
        <f t="shared" si="17"/>
        <v>7.8374323074257291E-2</v>
      </c>
      <c r="AK37" s="26">
        <f t="shared" si="18"/>
        <v>0.12436518311864547</v>
      </c>
      <c r="AL37" s="26">
        <f t="shared" si="19"/>
        <v>0.14302882535104905</v>
      </c>
      <c r="AM37" s="26">
        <f t="shared" si="20"/>
        <v>9.0736892484797493E-2</v>
      </c>
      <c r="AN37" s="26">
        <f t="shared" si="21"/>
        <v>17.134444444444433</v>
      </c>
      <c r="AO37" s="26">
        <f t="shared" si="22"/>
        <v>18.847162220309798</v>
      </c>
      <c r="AP37" s="26">
        <f t="shared" si="23"/>
        <v>20.54124313962344</v>
      </c>
      <c r="AS37" s="2">
        <v>45443</v>
      </c>
      <c r="AT37">
        <v>23.5</v>
      </c>
      <c r="AU37">
        <v>212.6</v>
      </c>
      <c r="AV37">
        <v>34</v>
      </c>
      <c r="AW37">
        <v>2.2000000000000002</v>
      </c>
      <c r="AX37">
        <v>197.22</v>
      </c>
      <c r="AY37">
        <v>0.1</v>
      </c>
      <c r="AZ37">
        <v>2.6</v>
      </c>
      <c r="BA37">
        <v>222.50149999999999</v>
      </c>
      <c r="BB37">
        <v>4.6288999999999998</v>
      </c>
      <c r="BC37">
        <v>56.784300000000002</v>
      </c>
      <c r="BD37">
        <v>3.8639999999999999</v>
      </c>
      <c r="BE37">
        <v>26.620200000000001</v>
      </c>
      <c r="BF37">
        <v>-28.488</v>
      </c>
      <c r="BG37">
        <v>-38.533900000000003</v>
      </c>
      <c r="BH37">
        <v>69.98</v>
      </c>
    </row>
    <row r="38" spans="1:60" x14ac:dyDescent="0.25">
      <c r="A38" s="2">
        <v>45463</v>
      </c>
      <c r="B38">
        <v>22.2</v>
      </c>
      <c r="C38">
        <v>491</v>
      </c>
      <c r="D38">
        <v>5.3</v>
      </c>
      <c r="E38">
        <v>1.6</v>
      </c>
      <c r="F38">
        <v>327.02999999999997</v>
      </c>
      <c r="G38">
        <v>0</v>
      </c>
      <c r="H38">
        <v>2.7</v>
      </c>
      <c r="I38">
        <v>256.17200000000003</v>
      </c>
      <c r="J38">
        <v>48.588299999999997</v>
      </c>
      <c r="K38">
        <v>72.337800000000001</v>
      </c>
      <c r="L38">
        <v>4.7792000000000003</v>
      </c>
      <c r="M38">
        <v>36.461399999999998</v>
      </c>
      <c r="N38">
        <v>-24.461099999999998</v>
      </c>
      <c r="O38">
        <v>-30.7</v>
      </c>
      <c r="P38">
        <v>74.56</v>
      </c>
      <c r="S38">
        <f t="shared" si="24"/>
        <v>1268.1686999999997</v>
      </c>
      <c r="T38">
        <f t="shared" si="3"/>
        <v>2.0811722812226225E-2</v>
      </c>
      <c r="U38">
        <f t="shared" si="4"/>
        <v>0.46029531084698544</v>
      </c>
      <c r="V38">
        <f t="shared" si="5"/>
        <v>4.9685644551711256E-3</v>
      </c>
      <c r="W38">
        <f t="shared" si="6"/>
        <v>1.4999439864667552E-3</v>
      </c>
      <c r="X38">
        <f t="shared" si="7"/>
        <v>0.3065791761838893</v>
      </c>
      <c r="Y38">
        <f t="shared" si="8"/>
        <v>0</v>
      </c>
      <c r="Z38">
        <f t="shared" si="9"/>
        <v>2.5311554771626494E-3</v>
      </c>
      <c r="AA38">
        <f t="shared" si="10"/>
        <v>0.24015228181322601</v>
      </c>
      <c r="AB38">
        <f t="shared" si="11"/>
        <v>4.5549830248526643E-2</v>
      </c>
      <c r="AC38">
        <f t="shared" si="12"/>
        <v>6.7814155065146778E-2</v>
      </c>
      <c r="AD38">
        <f t="shared" si="13"/>
        <v>4.4803326875761974E-3</v>
      </c>
      <c r="AE38">
        <f t="shared" si="14"/>
        <v>3.4181286042599339E-2</v>
      </c>
      <c r="AG38">
        <f t="shared" si="15"/>
        <v>-0.25717739651031618</v>
      </c>
      <c r="AH38">
        <f t="shared" si="16"/>
        <v>0.83086715980450077</v>
      </c>
      <c r="AI38">
        <f t="shared" si="17"/>
        <v>3.2213596711015047</v>
      </c>
      <c r="AK38" s="26">
        <f t="shared" si="18"/>
        <v>0.14160557798812573</v>
      </c>
      <c r="AL38" s="26">
        <f t="shared" si="19"/>
        <v>0.14800212662642503</v>
      </c>
      <c r="AM38" s="26">
        <f t="shared" si="20"/>
        <v>9.3568848450174269E-2</v>
      </c>
      <c r="AN38" s="26">
        <f t="shared" si="21"/>
        <v>17.244444444444461</v>
      </c>
      <c r="AO38" s="26">
        <f t="shared" si="22"/>
        <v>18.942323580034426</v>
      </c>
      <c r="AP38" s="26">
        <f t="shared" si="23"/>
        <v>20.579038890785448</v>
      </c>
      <c r="AS38" s="2">
        <v>45442</v>
      </c>
      <c r="AT38">
        <v>24.7</v>
      </c>
      <c r="AU38">
        <v>199.7</v>
      </c>
      <c r="AV38">
        <v>16.3</v>
      </c>
      <c r="AW38">
        <v>1.1000000000000001</v>
      </c>
      <c r="AX38">
        <v>263.43</v>
      </c>
      <c r="AY38">
        <v>0.1</v>
      </c>
      <c r="AZ38">
        <v>3</v>
      </c>
      <c r="BA38">
        <v>216.096</v>
      </c>
      <c r="BB38">
        <v>10.164</v>
      </c>
      <c r="BC38">
        <v>83.668499999999995</v>
      </c>
      <c r="BD38">
        <v>3.7124000000000001</v>
      </c>
      <c r="BE38">
        <v>27.1418</v>
      </c>
      <c r="BF38">
        <v>-29.325900000000001</v>
      </c>
      <c r="BG38">
        <v>-38.272399999999998</v>
      </c>
      <c r="BH38">
        <v>69.7</v>
      </c>
    </row>
    <row r="39" spans="1:60" x14ac:dyDescent="0.25">
      <c r="A39" s="2">
        <v>45462</v>
      </c>
      <c r="B39">
        <v>22.6</v>
      </c>
      <c r="C39">
        <v>510.8</v>
      </c>
      <c r="D39">
        <v>17.7</v>
      </c>
      <c r="E39">
        <v>2.4</v>
      </c>
      <c r="F39">
        <v>295.22000000000003</v>
      </c>
      <c r="G39">
        <v>0</v>
      </c>
      <c r="H39">
        <v>2.7</v>
      </c>
      <c r="I39">
        <v>253.65770000000001</v>
      </c>
      <c r="J39">
        <v>52.2502</v>
      </c>
      <c r="K39">
        <v>63.673699999999997</v>
      </c>
      <c r="L39">
        <v>4.6104000000000003</v>
      </c>
      <c r="M39">
        <v>31.258500000000002</v>
      </c>
      <c r="N39">
        <v>-24.6798</v>
      </c>
      <c r="O39">
        <v>-29.951000000000001</v>
      </c>
      <c r="P39">
        <v>74.34</v>
      </c>
      <c r="S39">
        <f t="shared" si="24"/>
        <v>1256.8705</v>
      </c>
      <c r="T39">
        <f t="shared" si="3"/>
        <v>2.1186708808842915E-2</v>
      </c>
      <c r="U39">
        <f t="shared" si="4"/>
        <v>0.47885711767951156</v>
      </c>
      <c r="V39">
        <f t="shared" si="5"/>
        <v>1.6593130350288476E-2</v>
      </c>
      <c r="W39">
        <f t="shared" si="6"/>
        <v>2.2499159797001326E-3</v>
      </c>
      <c r="X39">
        <f t="shared" si="7"/>
        <v>0.27675841480294716</v>
      </c>
      <c r="Y39">
        <f t="shared" si="8"/>
        <v>0</v>
      </c>
      <c r="Z39">
        <f t="shared" si="9"/>
        <v>2.5311554771626494E-3</v>
      </c>
      <c r="AA39">
        <f t="shared" si="10"/>
        <v>0.23779521358499264</v>
      </c>
      <c r="AB39">
        <f t="shared" si="11"/>
        <v>4.898273330105328E-2</v>
      </c>
      <c r="AC39">
        <f t="shared" si="12"/>
        <v>5.9691864631930137E-2</v>
      </c>
      <c r="AD39">
        <f t="shared" si="13"/>
        <v>4.3220885970039549E-3</v>
      </c>
      <c r="AE39">
        <f t="shared" si="14"/>
        <v>2.9303749438106916E-2</v>
      </c>
      <c r="AG39">
        <f t="shared" si="15"/>
        <v>-0.26798331999927572</v>
      </c>
      <c r="AH39">
        <f t="shared" si="16"/>
        <v>0.82748019253655969</v>
      </c>
      <c r="AI39">
        <f t="shared" si="17"/>
        <v>3.2351105257832509</v>
      </c>
      <c r="AK39" s="26">
        <f t="shared" si="18"/>
        <v>0.12688077518890878</v>
      </c>
      <c r="AL39" s="26">
        <f t="shared" si="19"/>
        <v>0.14020779190276039</v>
      </c>
      <c r="AM39" s="26">
        <f t="shared" si="20"/>
        <v>8.9192583965236549E-2</v>
      </c>
      <c r="AN39" s="26">
        <f t="shared" si="21"/>
        <v>17.358730158730182</v>
      </c>
      <c r="AO39" s="26">
        <f t="shared" si="22"/>
        <v>19.041465146299473</v>
      </c>
      <c r="AP39" s="26">
        <f t="shared" si="23"/>
        <v>20.615681310889968</v>
      </c>
      <c r="AS39" s="2">
        <v>45441</v>
      </c>
      <c r="AT39">
        <v>24.2</v>
      </c>
      <c r="AU39">
        <v>249.1</v>
      </c>
      <c r="AV39">
        <v>60.5</v>
      </c>
      <c r="AW39">
        <v>6.1</v>
      </c>
      <c r="AX39">
        <v>268.24</v>
      </c>
      <c r="AY39">
        <v>0.1</v>
      </c>
      <c r="AZ39">
        <v>2.5</v>
      </c>
      <c r="BA39">
        <v>183.40969999999999</v>
      </c>
      <c r="BB39">
        <v>20.4087</v>
      </c>
      <c r="BC39">
        <v>60.938200000000002</v>
      </c>
      <c r="BD39">
        <v>3.48</v>
      </c>
      <c r="BE39">
        <v>24.987200000000001</v>
      </c>
      <c r="BF39">
        <v>-27.6907</v>
      </c>
      <c r="BG39">
        <v>-37.535800000000002</v>
      </c>
      <c r="BH39">
        <v>69.48</v>
      </c>
    </row>
    <row r="40" spans="1:60" x14ac:dyDescent="0.25">
      <c r="A40" s="2">
        <v>45461</v>
      </c>
      <c r="B40">
        <v>22.3</v>
      </c>
      <c r="C40">
        <v>436.8</v>
      </c>
      <c r="D40">
        <v>4.7</v>
      </c>
      <c r="E40">
        <v>0.9</v>
      </c>
      <c r="F40">
        <v>367.02</v>
      </c>
      <c r="G40">
        <v>0.1</v>
      </c>
      <c r="H40">
        <v>2.6</v>
      </c>
      <c r="I40">
        <v>261.26</v>
      </c>
      <c r="J40">
        <v>58.399099999999997</v>
      </c>
      <c r="K40">
        <v>96.309899999999999</v>
      </c>
      <c r="L40">
        <v>4.4889999999999999</v>
      </c>
      <c r="M40">
        <v>31.3919</v>
      </c>
      <c r="N40">
        <v>-24.628399999999999</v>
      </c>
      <c r="O40">
        <v>-29.0823</v>
      </c>
      <c r="P40">
        <v>74.09</v>
      </c>
      <c r="S40">
        <f t="shared" si="24"/>
        <v>1286.2699000000002</v>
      </c>
      <c r="T40">
        <f t="shared" si="3"/>
        <v>2.09054693113804E-2</v>
      </c>
      <c r="U40">
        <f t="shared" si="4"/>
        <v>0.40948470830542416</v>
      </c>
      <c r="V40">
        <f t="shared" si="5"/>
        <v>4.4060854602460935E-3</v>
      </c>
      <c r="W40">
        <f t="shared" si="6"/>
        <v>8.4371849238754971E-4</v>
      </c>
      <c r="X40">
        <f t="shared" si="7"/>
        <v>0.34406840119564275</v>
      </c>
      <c r="Y40">
        <f t="shared" si="8"/>
        <v>9.3746499154172199E-5</v>
      </c>
      <c r="Z40">
        <f t="shared" si="9"/>
        <v>2.437408978008477E-3</v>
      </c>
      <c r="AA40">
        <f t="shared" si="10"/>
        <v>0.24492210369019027</v>
      </c>
      <c r="AB40">
        <f t="shared" si="11"/>
        <v>5.474711178754417E-2</v>
      </c>
      <c r="AC40">
        <f t="shared" si="12"/>
        <v>9.0287159588884086E-2</v>
      </c>
      <c r="AD40">
        <f t="shared" si="13"/>
        <v>4.2082803470307895E-3</v>
      </c>
      <c r="AE40">
        <f t="shared" si="14"/>
        <v>2.9428807267978578E-2</v>
      </c>
      <c r="AG40">
        <f t="shared" si="15"/>
        <v>-0.28027303544322441</v>
      </c>
      <c r="AH40">
        <f t="shared" si="16"/>
        <v>0.81166834551022216</v>
      </c>
      <c r="AI40">
        <f t="shared" si="17"/>
        <v>3.1892246178204302</v>
      </c>
      <c r="AK40" s="26">
        <f t="shared" si="18"/>
        <v>0.11842580372686845</v>
      </c>
      <c r="AL40" s="26">
        <f t="shared" si="19"/>
        <v>0.13431068015228725</v>
      </c>
      <c r="AM40" s="26">
        <f t="shared" si="20"/>
        <v>8.5477322601824834E-2</v>
      </c>
      <c r="AN40" s="26">
        <f t="shared" si="21"/>
        <v>17.473650793650798</v>
      </c>
      <c r="AO40" s="26">
        <f t="shared" si="22"/>
        <v>19.143726333907047</v>
      </c>
      <c r="AP40" s="26">
        <f t="shared" si="23"/>
        <v>20.650810115280599</v>
      </c>
      <c r="AS40" s="2">
        <v>45440</v>
      </c>
      <c r="AT40">
        <v>24.2</v>
      </c>
      <c r="AU40">
        <v>34.9</v>
      </c>
      <c r="AV40">
        <v>11.9</v>
      </c>
      <c r="AW40">
        <v>2.7</v>
      </c>
      <c r="AX40">
        <v>283.48</v>
      </c>
      <c r="AY40">
        <v>0.2</v>
      </c>
      <c r="AZ40">
        <v>2.2999999999999998</v>
      </c>
      <c r="BA40">
        <v>263.35070000000002</v>
      </c>
      <c r="BB40">
        <v>32.5411</v>
      </c>
      <c r="BC40">
        <v>70.506699999999995</v>
      </c>
      <c r="BD40">
        <v>3.48</v>
      </c>
      <c r="BE40">
        <v>27.420300000000001</v>
      </c>
      <c r="BF40">
        <v>-25.9345</v>
      </c>
      <c r="BG40">
        <v>-35.581800000000001</v>
      </c>
      <c r="BH40">
        <v>69.27</v>
      </c>
    </row>
    <row r="41" spans="1:60" x14ac:dyDescent="0.25">
      <c r="A41" s="2">
        <v>45460</v>
      </c>
      <c r="B41">
        <v>23.5</v>
      </c>
      <c r="C41">
        <v>361.9</v>
      </c>
      <c r="D41">
        <v>23.3</v>
      </c>
      <c r="E41">
        <v>1.8</v>
      </c>
      <c r="F41">
        <v>321.91000000000003</v>
      </c>
      <c r="G41">
        <v>0.1</v>
      </c>
      <c r="H41">
        <v>2.5</v>
      </c>
      <c r="I41">
        <v>209.3826</v>
      </c>
      <c r="J41">
        <v>34.637500000000003</v>
      </c>
      <c r="K41">
        <v>52.923299999999998</v>
      </c>
      <c r="L41">
        <v>4.4400000000000004</v>
      </c>
      <c r="M41">
        <v>31.560500000000001</v>
      </c>
      <c r="N41">
        <v>-23.9175</v>
      </c>
      <c r="O41">
        <v>-29.2349</v>
      </c>
      <c r="P41">
        <v>73.849999999999994</v>
      </c>
      <c r="S41">
        <f t="shared" si="24"/>
        <v>1067.9539000000002</v>
      </c>
      <c r="T41">
        <f t="shared" si="3"/>
        <v>2.2030427301230466E-2</v>
      </c>
      <c r="U41">
        <f t="shared" si="4"/>
        <v>0.33926858043894914</v>
      </c>
      <c r="V41">
        <f t="shared" si="5"/>
        <v>2.1842934302922123E-2</v>
      </c>
      <c r="W41">
        <f t="shared" si="6"/>
        <v>1.6874369847750994E-3</v>
      </c>
      <c r="X41">
        <f t="shared" si="7"/>
        <v>0.30177935542719575</v>
      </c>
      <c r="Y41">
        <f t="shared" si="8"/>
        <v>9.3746499154172199E-5</v>
      </c>
      <c r="Z41">
        <f t="shared" si="9"/>
        <v>2.3436624788543046E-3</v>
      </c>
      <c r="AA41">
        <f t="shared" si="10"/>
        <v>0.19628885733798374</v>
      </c>
      <c r="AB41">
        <f t="shared" si="11"/>
        <v>3.2471443644526393E-2</v>
      </c>
      <c r="AC41">
        <f t="shared" si="12"/>
        <v>4.9613740986860007E-2</v>
      </c>
      <c r="AD41">
        <f t="shared" si="13"/>
        <v>4.1623445624452459E-3</v>
      </c>
      <c r="AE41">
        <f t="shared" si="14"/>
        <v>2.9586863865552517E-2</v>
      </c>
      <c r="AG41">
        <f t="shared" si="15"/>
        <v>-0.29206065610818077</v>
      </c>
      <c r="AH41">
        <f t="shared" si="16"/>
        <v>0.71863300729863355</v>
      </c>
      <c r="AI41">
        <f t="shared" si="17"/>
        <v>2.6339860372482393</v>
      </c>
      <c r="AK41" s="26">
        <f t="shared" si="18"/>
        <v>0.1044260274238718</v>
      </c>
      <c r="AL41" s="26">
        <f t="shared" si="19"/>
        <v>0.13130130113291366</v>
      </c>
      <c r="AM41" s="26">
        <f t="shared" si="20"/>
        <v>8.3372163003752775E-2</v>
      </c>
      <c r="AN41" s="26">
        <f t="shared" si="21"/>
        <v>17.592063492063488</v>
      </c>
      <c r="AO41" s="26">
        <f t="shared" si="22"/>
        <v>19.250785283993103</v>
      </c>
      <c r="AP41" s="26">
        <f t="shared" si="23"/>
        <v>20.686263490979748</v>
      </c>
      <c r="AS41" s="2">
        <v>45439</v>
      </c>
      <c r="AT41">
        <v>21.3</v>
      </c>
      <c r="AU41">
        <v>255.4</v>
      </c>
      <c r="AV41">
        <v>28.5</v>
      </c>
      <c r="AW41">
        <v>2</v>
      </c>
      <c r="AX41">
        <v>302.43</v>
      </c>
      <c r="AY41">
        <v>0.1</v>
      </c>
      <c r="AZ41">
        <v>2.7</v>
      </c>
      <c r="BA41">
        <v>226.74469999999999</v>
      </c>
      <c r="BB41">
        <v>24.096399999999999</v>
      </c>
      <c r="BC41">
        <v>91.9071</v>
      </c>
      <c r="BD41">
        <v>3.4060000000000001</v>
      </c>
      <c r="BE41">
        <v>33.510199999999998</v>
      </c>
      <c r="BF41">
        <v>-26.084</v>
      </c>
      <c r="BG41">
        <v>-33.985500000000002</v>
      </c>
      <c r="BH41">
        <v>69.06</v>
      </c>
    </row>
    <row r="42" spans="1:60" x14ac:dyDescent="0.25">
      <c r="A42" s="2">
        <v>45459</v>
      </c>
      <c r="B42">
        <v>23.1</v>
      </c>
      <c r="C42">
        <v>152.1</v>
      </c>
      <c r="D42">
        <v>43.5</v>
      </c>
      <c r="E42">
        <v>3.6</v>
      </c>
      <c r="F42">
        <v>340.6</v>
      </c>
      <c r="G42">
        <v>0.1</v>
      </c>
      <c r="H42">
        <v>1.9</v>
      </c>
      <c r="I42">
        <v>90.436400000000006</v>
      </c>
      <c r="J42">
        <v>13.196</v>
      </c>
      <c r="K42">
        <v>18.461099999999998</v>
      </c>
      <c r="L42">
        <v>4.4104999999999999</v>
      </c>
      <c r="M42">
        <v>20.2807</v>
      </c>
      <c r="P42">
        <v>73.400000000000006</v>
      </c>
      <c r="S42">
        <f t="shared" si="24"/>
        <v>711.68470000000002</v>
      </c>
      <c r="T42">
        <f t="shared" si="3"/>
        <v>2.1655441304613776E-2</v>
      </c>
      <c r="U42">
        <f t="shared" si="4"/>
        <v>0.14258842521349591</v>
      </c>
      <c r="V42">
        <f t="shared" si="5"/>
        <v>4.0779727132064902E-2</v>
      </c>
      <c r="W42">
        <f t="shared" si="6"/>
        <v>3.3748739695501988E-3</v>
      </c>
      <c r="X42">
        <f t="shared" si="7"/>
        <v>0.3193005761191105</v>
      </c>
      <c r="Y42">
        <f t="shared" si="8"/>
        <v>9.3746499154172199E-5</v>
      </c>
      <c r="Z42">
        <f t="shared" si="9"/>
        <v>1.7811834839292716E-3</v>
      </c>
      <c r="AA42">
        <f t="shared" si="10"/>
        <v>8.4780958961063788E-2</v>
      </c>
      <c r="AB42">
        <f t="shared" si="11"/>
        <v>1.2370788028384563E-2</v>
      </c>
      <c r="AC42">
        <f t="shared" si="12"/>
        <v>1.730663495535088E-2</v>
      </c>
      <c r="AD42">
        <f t="shared" si="13"/>
        <v>4.1346893451947647E-3</v>
      </c>
      <c r="AE42">
        <f t="shared" si="14"/>
        <v>1.9012446253960199E-2</v>
      </c>
      <c r="AG42">
        <f t="shared" si="15"/>
        <v>-0.31414813566129252</v>
      </c>
      <c r="AH42">
        <f t="shared" si="16"/>
        <v>0.54858641997587887</v>
      </c>
      <c r="AI42">
        <f t="shared" si="17"/>
        <v>1.5445026230564354</v>
      </c>
      <c r="AK42" s="26">
        <f t="shared" si="18"/>
        <v>0.10675164295761902</v>
      </c>
      <c r="AL42" s="26">
        <f t="shared" si="19"/>
        <v>0.12645855069172485</v>
      </c>
      <c r="AM42" s="26">
        <f t="shared" si="20"/>
        <v>8.1629423122403344E-2</v>
      </c>
      <c r="AN42" s="26">
        <f t="shared" si="21"/>
        <v>17.710952380952371</v>
      </c>
      <c r="AO42" s="26">
        <f t="shared" si="22"/>
        <v>19.363846815834762</v>
      </c>
      <c r="AP42" s="26">
        <f t="shared" si="23"/>
        <v>20.721242351829005</v>
      </c>
      <c r="AS42" s="2">
        <v>45438</v>
      </c>
      <c r="AT42">
        <v>24</v>
      </c>
      <c r="AU42">
        <v>194.4</v>
      </c>
      <c r="AV42">
        <v>11.2</v>
      </c>
      <c r="AW42">
        <v>1.4</v>
      </c>
      <c r="AX42">
        <v>372.75</v>
      </c>
      <c r="AY42">
        <v>0.1</v>
      </c>
      <c r="AZ42">
        <v>2.2999999999999998</v>
      </c>
      <c r="BA42">
        <v>151.6431</v>
      </c>
      <c r="BB42">
        <v>6.8981000000000003</v>
      </c>
      <c r="BC42">
        <v>36.369</v>
      </c>
      <c r="BD42">
        <v>3.48</v>
      </c>
      <c r="BE42">
        <v>18.289200000000001</v>
      </c>
      <c r="BH42">
        <v>68.819999999999993</v>
      </c>
    </row>
    <row r="43" spans="1:60" x14ac:dyDescent="0.25">
      <c r="A43" s="2">
        <v>45458</v>
      </c>
      <c r="B43">
        <v>22.3</v>
      </c>
      <c r="C43">
        <v>14.7</v>
      </c>
      <c r="D43">
        <v>39.5</v>
      </c>
      <c r="E43">
        <v>5.7</v>
      </c>
      <c r="F43">
        <v>298.89999999999998</v>
      </c>
      <c r="G43">
        <v>0.1</v>
      </c>
      <c r="H43">
        <v>2</v>
      </c>
      <c r="I43">
        <v>81.716999999999999</v>
      </c>
      <c r="J43">
        <v>8.9725999999999999</v>
      </c>
      <c r="K43">
        <v>20.8474</v>
      </c>
      <c r="L43">
        <v>4.5083000000000002</v>
      </c>
      <c r="M43">
        <v>20.481999999999999</v>
      </c>
      <c r="P43">
        <v>73.260000000000005</v>
      </c>
      <c r="S43">
        <f t="shared" si="24"/>
        <v>519.72730000000001</v>
      </c>
      <c r="T43">
        <f t="shared" si="3"/>
        <v>2.09054693113804E-2</v>
      </c>
      <c r="U43">
        <f t="shared" si="4"/>
        <v>1.3780735375663312E-2</v>
      </c>
      <c r="V43">
        <f t="shared" si="5"/>
        <v>3.7029867165898019E-2</v>
      </c>
      <c r="W43">
        <f t="shared" si="6"/>
        <v>5.3435504517878154E-3</v>
      </c>
      <c r="X43">
        <f t="shared" si="7"/>
        <v>0.28020828597182068</v>
      </c>
      <c r="Y43">
        <f t="shared" si="8"/>
        <v>9.3746499154172199E-5</v>
      </c>
      <c r="Z43">
        <f t="shared" si="9"/>
        <v>1.8749299830834439E-3</v>
      </c>
      <c r="AA43">
        <f t="shared" si="10"/>
        <v>7.6606826713814885E-2</v>
      </c>
      <c r="AB43">
        <f t="shared" si="11"/>
        <v>8.4114983831072541E-3</v>
      </c>
      <c r="AC43">
        <f t="shared" si="12"/>
        <v>1.9543707664666895E-2</v>
      </c>
      <c r="AD43">
        <f t="shared" si="13"/>
        <v>4.2263734213675453E-3</v>
      </c>
      <c r="AE43">
        <f t="shared" si="14"/>
        <v>1.9201157956757548E-2</v>
      </c>
      <c r="AG43">
        <f t="shared" si="15"/>
        <v>-0.32101482087805794</v>
      </c>
      <c r="AH43">
        <f t="shared" si="16"/>
        <v>0.37843774271554537</v>
      </c>
      <c r="AI43">
        <f t="shared" si="17"/>
        <v>0.42626305980020179</v>
      </c>
      <c r="AK43" s="26">
        <f t="shared" si="18"/>
        <v>0.11532087354565246</v>
      </c>
      <c r="AL43" s="26">
        <f t="shared" si="19"/>
        <v>0.12509949793158792</v>
      </c>
      <c r="AM43" s="26">
        <f t="shared" si="20"/>
        <v>8.1300706747955309E-2</v>
      </c>
      <c r="AN43" s="26">
        <f t="shared" si="21"/>
        <v>17.841428571428565</v>
      </c>
      <c r="AO43" s="26">
        <f t="shared" si="22"/>
        <v>19.486245697073997</v>
      </c>
      <c r="AP43" s="26">
        <f t="shared" si="23"/>
        <v>20.756693101546723</v>
      </c>
      <c r="AS43" s="2">
        <v>45437</v>
      </c>
      <c r="AT43">
        <v>25.1</v>
      </c>
      <c r="AU43">
        <v>40.799999999999997</v>
      </c>
      <c r="AV43">
        <v>25.9</v>
      </c>
      <c r="AW43">
        <v>1.2</v>
      </c>
      <c r="AX43">
        <v>321.51</v>
      </c>
      <c r="AY43">
        <v>0.1</v>
      </c>
      <c r="AZ43">
        <v>2.2999999999999998</v>
      </c>
      <c r="BA43">
        <v>183.77029999999999</v>
      </c>
      <c r="BB43">
        <v>9.2726000000000006</v>
      </c>
      <c r="BC43">
        <v>55.630899999999997</v>
      </c>
      <c r="BD43">
        <v>3.48</v>
      </c>
      <c r="BE43">
        <v>19.092400000000001</v>
      </c>
      <c r="BH43">
        <v>68.48</v>
      </c>
    </row>
    <row r="44" spans="1:60" x14ac:dyDescent="0.25">
      <c r="A44" s="2">
        <v>45457</v>
      </c>
      <c r="B44">
        <v>23.5</v>
      </c>
      <c r="C44">
        <v>403.8</v>
      </c>
      <c r="D44">
        <v>29.5</v>
      </c>
      <c r="E44">
        <v>6</v>
      </c>
      <c r="F44">
        <v>237.93</v>
      </c>
      <c r="G44">
        <v>0.3</v>
      </c>
      <c r="H44">
        <v>2.7</v>
      </c>
      <c r="I44">
        <v>184.9425</v>
      </c>
      <c r="J44">
        <v>28.6767</v>
      </c>
      <c r="K44">
        <v>32.399900000000002</v>
      </c>
      <c r="L44">
        <v>4.4874999999999998</v>
      </c>
      <c r="M44">
        <v>32.922600000000003</v>
      </c>
      <c r="N44">
        <v>-23.2423</v>
      </c>
      <c r="O44">
        <v>-26.8447</v>
      </c>
      <c r="P44">
        <v>72.98</v>
      </c>
      <c r="S44">
        <f t="shared" si="24"/>
        <v>987.15919999999994</v>
      </c>
      <c r="T44">
        <f t="shared" si="3"/>
        <v>2.2030427301230466E-2</v>
      </c>
      <c r="U44">
        <f t="shared" si="4"/>
        <v>0.3785483635845473</v>
      </c>
      <c r="V44">
        <f t="shared" si="5"/>
        <v>2.7655217250480795E-2</v>
      </c>
      <c r="W44">
        <f t="shared" si="6"/>
        <v>5.6247899492503318E-3</v>
      </c>
      <c r="X44">
        <f t="shared" si="7"/>
        <v>0.22305104543752191</v>
      </c>
      <c r="Y44">
        <f t="shared" si="8"/>
        <v>2.8123949746251657E-4</v>
      </c>
      <c r="Z44">
        <f t="shared" si="9"/>
        <v>2.5311554771626494E-3</v>
      </c>
      <c r="AA44">
        <f t="shared" si="10"/>
        <v>0.17337711919820489</v>
      </c>
      <c r="AB44">
        <f t="shared" si="11"/>
        <v>2.6883402322944498E-2</v>
      </c>
      <c r="AC44">
        <f t="shared" si="12"/>
        <v>3.0373771979452638E-2</v>
      </c>
      <c r="AD44">
        <f t="shared" si="13"/>
        <v>4.2068741495434768E-3</v>
      </c>
      <c r="AE44">
        <f t="shared" si="14"/>
        <v>3.0863784930531497E-2</v>
      </c>
      <c r="AG44">
        <f t="shared" si="15"/>
        <v>-0.33472336649797352</v>
      </c>
      <c r="AH44">
        <f t="shared" si="16"/>
        <v>0.69058602342818742</v>
      </c>
      <c r="AI44">
        <f t="shared" si="17"/>
        <v>2.4888673856297081</v>
      </c>
      <c r="AK44" s="26">
        <f t="shared" si="18"/>
        <v>0.1214995803095717</v>
      </c>
      <c r="AL44" s="26">
        <f t="shared" si="19"/>
        <v>0.12659185883876756</v>
      </c>
      <c r="AM44" s="26">
        <f t="shared" si="20"/>
        <v>8.2332989133804768E-2</v>
      </c>
      <c r="AN44" s="26">
        <f t="shared" si="21"/>
        <v>17.96396825396824</v>
      </c>
      <c r="AO44" s="26">
        <f t="shared" si="22"/>
        <v>19.608143287435439</v>
      </c>
      <c r="AP44" s="26">
        <f t="shared" si="23"/>
        <v>20.790316430766012</v>
      </c>
      <c r="AS44" s="2">
        <v>45436</v>
      </c>
      <c r="AT44">
        <v>25.1</v>
      </c>
      <c r="AU44">
        <v>480.2</v>
      </c>
      <c r="AV44">
        <v>8.8000000000000007</v>
      </c>
      <c r="AW44">
        <v>1.9</v>
      </c>
      <c r="AX44">
        <v>282.45999999999998</v>
      </c>
      <c r="AY44">
        <v>0.1</v>
      </c>
      <c r="AZ44">
        <v>2.9</v>
      </c>
      <c r="BA44">
        <v>251.99039999999999</v>
      </c>
      <c r="BB44">
        <v>43.907600000000002</v>
      </c>
      <c r="BC44">
        <v>133.4366</v>
      </c>
      <c r="BD44">
        <v>3.48</v>
      </c>
      <c r="BE44">
        <v>32.017200000000003</v>
      </c>
      <c r="BF44">
        <v>-24.743300000000001</v>
      </c>
      <c r="BG44">
        <v>-33.993099999999998</v>
      </c>
      <c r="BH44">
        <v>68.19</v>
      </c>
    </row>
    <row r="45" spans="1:60" x14ac:dyDescent="0.25">
      <c r="A45" s="2">
        <v>45456</v>
      </c>
      <c r="B45">
        <v>21.5</v>
      </c>
      <c r="C45">
        <v>181.6</v>
      </c>
      <c r="D45">
        <v>22.2</v>
      </c>
      <c r="E45">
        <v>2.4</v>
      </c>
      <c r="F45">
        <v>358.24</v>
      </c>
      <c r="G45">
        <v>0.4</v>
      </c>
      <c r="H45">
        <v>3.1</v>
      </c>
      <c r="I45">
        <v>226.93180000000001</v>
      </c>
      <c r="J45">
        <v>43.167299999999997</v>
      </c>
      <c r="K45">
        <v>73.116399999999999</v>
      </c>
      <c r="L45">
        <v>4.26</v>
      </c>
      <c r="M45">
        <v>26.334199999999999</v>
      </c>
      <c r="N45">
        <v>-24.076000000000001</v>
      </c>
      <c r="O45">
        <v>-28.6204</v>
      </c>
      <c r="P45">
        <v>72.7</v>
      </c>
      <c r="S45">
        <f t="shared" si="24"/>
        <v>963.24970000000008</v>
      </c>
      <c r="T45">
        <f t="shared" si="3"/>
        <v>2.0155497318147021E-2</v>
      </c>
      <c r="U45">
        <f t="shared" si="4"/>
        <v>0.17024364246397669</v>
      </c>
      <c r="V45">
        <f t="shared" si="5"/>
        <v>2.0811722812226225E-2</v>
      </c>
      <c r="W45">
        <f t="shared" si="6"/>
        <v>2.2499159797001326E-3</v>
      </c>
      <c r="X45">
        <f t="shared" si="7"/>
        <v>0.33583745856990649</v>
      </c>
      <c r="Y45">
        <f t="shared" si="8"/>
        <v>3.7498599661668879E-4</v>
      </c>
      <c r="Z45">
        <f t="shared" si="9"/>
        <v>2.9061414737793379E-3</v>
      </c>
      <c r="AA45">
        <f t="shared" si="10"/>
        <v>0.21274061796754773</v>
      </c>
      <c r="AB45">
        <f t="shared" si="11"/>
        <v>4.0467832529378966E-2</v>
      </c>
      <c r="AC45">
        <f t="shared" si="12"/>
        <v>6.8544065307561158E-2</v>
      </c>
      <c r="AD45">
        <f t="shared" si="13"/>
        <v>3.993600863967735E-3</v>
      </c>
      <c r="AE45">
        <f t="shared" si="14"/>
        <v>2.4687390580258012E-2</v>
      </c>
      <c r="AG45">
        <f t="shared" si="15"/>
        <v>-0.34842270464522018</v>
      </c>
      <c r="AH45">
        <f t="shared" si="16"/>
        <v>0.57726675519461057</v>
      </c>
      <c r="AI45">
        <f t="shared" si="17"/>
        <v>1.7589458721973519</v>
      </c>
      <c r="AK45" s="26">
        <f t="shared" si="18"/>
        <v>0.13211332680961868</v>
      </c>
      <c r="AL45" s="26">
        <f t="shared" si="19"/>
        <v>0.12095103797596207</v>
      </c>
      <c r="AM45" s="26">
        <f t="shared" si="20"/>
        <v>7.9984781467420052E-2</v>
      </c>
      <c r="AN45" s="26">
        <f t="shared" si="21"/>
        <v>18.086825396825382</v>
      </c>
      <c r="AO45" s="26">
        <f t="shared" si="22"/>
        <v>19.731559810671236</v>
      </c>
      <c r="AP45" s="26">
        <f t="shared" si="23"/>
        <v>20.823643811874689</v>
      </c>
      <c r="AS45" s="2">
        <v>45435</v>
      </c>
      <c r="AT45">
        <v>24.7</v>
      </c>
      <c r="AU45">
        <v>117.8</v>
      </c>
      <c r="AV45">
        <v>14</v>
      </c>
      <c r="AW45">
        <v>2.6</v>
      </c>
      <c r="AX45">
        <v>336.67</v>
      </c>
      <c r="AY45">
        <v>0.1</v>
      </c>
      <c r="AZ45">
        <v>2.9</v>
      </c>
      <c r="BA45">
        <v>221.41200000000001</v>
      </c>
      <c r="BB45">
        <v>33.812399999999997</v>
      </c>
      <c r="BC45">
        <v>86.245400000000004</v>
      </c>
      <c r="BD45">
        <v>3.4060000000000001</v>
      </c>
      <c r="BE45">
        <v>32.094499999999996</v>
      </c>
      <c r="BF45">
        <v>-25.086500000000001</v>
      </c>
      <c r="BG45">
        <v>-32.639499999999998</v>
      </c>
      <c r="BH45">
        <v>67.959999999999994</v>
      </c>
    </row>
    <row r="46" spans="1:60" x14ac:dyDescent="0.25">
      <c r="A46" s="2">
        <v>45455</v>
      </c>
      <c r="B46">
        <v>20.3</v>
      </c>
      <c r="C46">
        <v>435.8</v>
      </c>
      <c r="D46">
        <v>44.8</v>
      </c>
      <c r="E46">
        <v>4.9000000000000004</v>
      </c>
      <c r="F46">
        <v>349.1</v>
      </c>
      <c r="G46">
        <v>0.4</v>
      </c>
      <c r="H46">
        <v>3.4</v>
      </c>
      <c r="I46">
        <v>182.0026</v>
      </c>
      <c r="J46">
        <v>36.991999999999997</v>
      </c>
      <c r="K46">
        <v>55.4176</v>
      </c>
      <c r="L46">
        <v>4.3362999999999996</v>
      </c>
      <c r="M46">
        <v>19.266400000000001</v>
      </c>
      <c r="N46">
        <v>-23.760999999999999</v>
      </c>
      <c r="O46">
        <v>-28.407499999999999</v>
      </c>
      <c r="P46">
        <v>72.5</v>
      </c>
      <c r="S46">
        <f t="shared" si="24"/>
        <v>1156.7148999999999</v>
      </c>
      <c r="T46">
        <f t="shared" si="3"/>
        <v>1.9030539328296955E-2</v>
      </c>
      <c r="U46">
        <f t="shared" si="4"/>
        <v>0.40854724331388242</v>
      </c>
      <c r="V46">
        <f t="shared" si="5"/>
        <v>4.1998431621069136E-2</v>
      </c>
      <c r="W46">
        <f t="shared" si="6"/>
        <v>4.5935784585544375E-3</v>
      </c>
      <c r="X46">
        <f t="shared" si="7"/>
        <v>0.32726902854721512</v>
      </c>
      <c r="Y46">
        <f t="shared" si="8"/>
        <v>3.7498599661668879E-4</v>
      </c>
      <c r="Z46">
        <f t="shared" si="9"/>
        <v>3.1873809712418544E-3</v>
      </c>
      <c r="AA46">
        <f t="shared" si="10"/>
        <v>0.1706210658695714</v>
      </c>
      <c r="AB46">
        <f t="shared" si="11"/>
        <v>3.4678704967111375E-2</v>
      </c>
      <c r="AC46">
        <f t="shared" si="12"/>
        <v>5.1952059915262527E-2</v>
      </c>
      <c r="AD46">
        <f t="shared" si="13"/>
        <v>4.065129442822368E-3</v>
      </c>
      <c r="AE46">
        <f t="shared" si="14"/>
        <v>1.806157551303943E-2</v>
      </c>
      <c r="AG46">
        <f t="shared" si="15"/>
        <v>-0.35819460483316318</v>
      </c>
      <c r="AH46">
        <f t="shared" si="16"/>
        <v>0.82306276374991605</v>
      </c>
      <c r="AI46">
        <f t="shared" si="17"/>
        <v>3.4102142004141975</v>
      </c>
      <c r="AK46" s="26">
        <f t="shared" si="18"/>
        <v>0.1349812331041001</v>
      </c>
      <c r="AL46" s="26">
        <f t="shared" si="19"/>
        <v>0.1196634754328379</v>
      </c>
      <c r="AM46" s="26">
        <f t="shared" si="20"/>
        <v>7.9701930104255803E-2</v>
      </c>
      <c r="AN46" s="26">
        <f t="shared" si="21"/>
        <v>18.212222222222216</v>
      </c>
      <c r="AO46" s="26">
        <f t="shared" si="22"/>
        <v>19.857080464715999</v>
      </c>
      <c r="AP46" s="26">
        <f t="shared" si="23"/>
        <v>20.855461778839846</v>
      </c>
      <c r="AS46" s="2">
        <v>45434</v>
      </c>
      <c r="AT46">
        <v>24.7</v>
      </c>
      <c r="AU46">
        <v>245.3</v>
      </c>
      <c r="AV46">
        <v>52.6</v>
      </c>
      <c r="AW46">
        <v>6</v>
      </c>
      <c r="AX46">
        <v>230.02</v>
      </c>
      <c r="AY46">
        <v>0.1</v>
      </c>
      <c r="AZ46">
        <v>2.9</v>
      </c>
      <c r="BA46">
        <v>170.50659999999999</v>
      </c>
      <c r="BB46">
        <v>20.151199999999999</v>
      </c>
      <c r="BC46">
        <v>75.658000000000001</v>
      </c>
      <c r="BD46">
        <v>3.48</v>
      </c>
      <c r="BE46">
        <v>30.712</v>
      </c>
      <c r="BF46">
        <v>-23.609400000000001</v>
      </c>
      <c r="BG46">
        <v>-32.857900000000001</v>
      </c>
      <c r="BH46">
        <v>67.73</v>
      </c>
    </row>
    <row r="47" spans="1:60" x14ac:dyDescent="0.25">
      <c r="A47" s="2">
        <v>45454</v>
      </c>
      <c r="B47">
        <v>18.899999999999999</v>
      </c>
      <c r="C47">
        <v>81.7</v>
      </c>
      <c r="D47">
        <v>45.7</v>
      </c>
      <c r="E47">
        <v>9.3000000000000007</v>
      </c>
      <c r="F47">
        <v>293.58</v>
      </c>
      <c r="G47">
        <v>0.4</v>
      </c>
      <c r="H47">
        <v>2.8</v>
      </c>
      <c r="I47">
        <v>132.99760000000001</v>
      </c>
      <c r="J47">
        <v>36.142699999999998</v>
      </c>
      <c r="K47">
        <v>49.591799999999999</v>
      </c>
      <c r="L47">
        <v>3.7075999999999998</v>
      </c>
      <c r="M47">
        <v>22.643699999999999</v>
      </c>
      <c r="N47">
        <v>-21.915400000000002</v>
      </c>
      <c r="O47">
        <v>-28.2971</v>
      </c>
      <c r="P47">
        <v>72.319999999999993</v>
      </c>
      <c r="S47">
        <f t="shared" si="24"/>
        <v>697.46339999999998</v>
      </c>
      <c r="T47">
        <f t="shared" si="3"/>
        <v>1.7718088340138542E-2</v>
      </c>
      <c r="U47">
        <f t="shared" si="4"/>
        <v>7.6590889808958687E-2</v>
      </c>
      <c r="V47">
        <f t="shared" si="5"/>
        <v>4.2842150113456691E-2</v>
      </c>
      <c r="W47">
        <f t="shared" si="6"/>
        <v>8.7184244213380137E-3</v>
      </c>
      <c r="X47">
        <f t="shared" si="7"/>
        <v>0.27522097221681868</v>
      </c>
      <c r="Y47">
        <f t="shared" si="8"/>
        <v>3.7498599661668879E-4</v>
      </c>
      <c r="Z47">
        <f t="shared" si="9"/>
        <v>2.624901976316821E-3</v>
      </c>
      <c r="AA47">
        <f t="shared" si="10"/>
        <v>0.12468059395906932</v>
      </c>
      <c r="AB47">
        <f t="shared" si="11"/>
        <v>3.3882515949794988E-2</v>
      </c>
      <c r="AC47">
        <f t="shared" si="12"/>
        <v>4.6490576367538762E-2</v>
      </c>
      <c r="AD47">
        <f t="shared" si="13"/>
        <v>3.475745202640088E-3</v>
      </c>
      <c r="AE47">
        <f t="shared" si="14"/>
        <v>2.1227676028973286E-2</v>
      </c>
      <c r="AG47">
        <f t="shared" si="15"/>
        <v>-0.366970825002153</v>
      </c>
      <c r="AH47">
        <f t="shared" si="16"/>
        <v>0.44531808890261743</v>
      </c>
      <c r="AI47">
        <f t="shared" si="17"/>
        <v>0.90555942301565595</v>
      </c>
      <c r="AK47" s="26">
        <f t="shared" si="18"/>
        <v>0.12608792384457013</v>
      </c>
      <c r="AL47" s="26">
        <f t="shared" si="19"/>
        <v>0.11327924126178934</v>
      </c>
      <c r="AM47" s="26">
        <f t="shared" si="20"/>
        <v>7.6475570982632912E-2</v>
      </c>
      <c r="AN47" s="26">
        <f t="shared" si="21"/>
        <v>18.334444444444443</v>
      </c>
      <c r="AO47" s="26">
        <f t="shared" si="22"/>
        <v>19.981650172117035</v>
      </c>
      <c r="AP47" s="26">
        <f t="shared" si="23"/>
        <v>20.885358052572151</v>
      </c>
      <c r="AS47" s="2">
        <v>45433</v>
      </c>
      <c r="AT47">
        <v>23.6</v>
      </c>
      <c r="AU47">
        <v>76</v>
      </c>
      <c r="AV47">
        <v>51.1</v>
      </c>
      <c r="AW47">
        <v>6.5</v>
      </c>
      <c r="AX47">
        <v>244.33</v>
      </c>
      <c r="AY47">
        <v>0.1</v>
      </c>
      <c r="AZ47">
        <v>3</v>
      </c>
      <c r="BA47">
        <v>146.55500000000001</v>
      </c>
      <c r="BB47">
        <v>14.300700000000001</v>
      </c>
      <c r="BC47">
        <v>74.944500000000005</v>
      </c>
      <c r="BD47">
        <v>3.48</v>
      </c>
      <c r="BE47">
        <v>33.018900000000002</v>
      </c>
      <c r="BF47">
        <v>-22.405999999999999</v>
      </c>
      <c r="BG47">
        <v>-34.630899999999997</v>
      </c>
      <c r="BH47">
        <v>67.53</v>
      </c>
    </row>
    <row r="48" spans="1:60" x14ac:dyDescent="0.25">
      <c r="A48" s="2">
        <v>45453</v>
      </c>
      <c r="B48">
        <v>18.2</v>
      </c>
      <c r="C48">
        <v>42.4</v>
      </c>
      <c r="D48">
        <v>29.1</v>
      </c>
      <c r="E48">
        <v>3.9</v>
      </c>
      <c r="F48">
        <v>322.76</v>
      </c>
      <c r="G48">
        <v>0.4</v>
      </c>
      <c r="H48">
        <v>2.9</v>
      </c>
      <c r="I48">
        <v>164.989</v>
      </c>
      <c r="J48">
        <v>36.911700000000003</v>
      </c>
      <c r="K48">
        <v>75.7928</v>
      </c>
      <c r="L48">
        <v>3.8658000000000001</v>
      </c>
      <c r="M48">
        <v>29.400400000000001</v>
      </c>
      <c r="N48">
        <v>-22.526900000000001</v>
      </c>
      <c r="O48">
        <v>-29.221</v>
      </c>
      <c r="P48">
        <v>72.14</v>
      </c>
      <c r="S48">
        <f t="shared" si="24"/>
        <v>730.61969999999997</v>
      </c>
      <c r="T48">
        <f t="shared" si="3"/>
        <v>1.7061862846059338E-2</v>
      </c>
      <c r="U48">
        <f t="shared" si="4"/>
        <v>3.9748515641369005E-2</v>
      </c>
      <c r="V48">
        <f t="shared" si="5"/>
        <v>2.7280231253864109E-2</v>
      </c>
      <c r="W48">
        <f t="shared" si="6"/>
        <v>3.6561134670127153E-3</v>
      </c>
      <c r="X48">
        <f t="shared" si="7"/>
        <v>0.30257620067000618</v>
      </c>
      <c r="Y48">
        <f t="shared" si="8"/>
        <v>3.7498599661668879E-4</v>
      </c>
      <c r="Z48">
        <f t="shared" si="9"/>
        <v>2.7186484754709935E-3</v>
      </c>
      <c r="AA48">
        <f t="shared" si="10"/>
        <v>0.15467141148947716</v>
      </c>
      <c r="AB48">
        <f t="shared" si="11"/>
        <v>3.4603426528290578E-2</v>
      </c>
      <c r="AC48">
        <f t="shared" si="12"/>
        <v>7.1053096610923419E-2</v>
      </c>
      <c r="AD48">
        <f t="shared" si="13"/>
        <v>3.6240521643019887E-3</v>
      </c>
      <c r="AE48">
        <f t="shared" si="14"/>
        <v>2.7561845737323242E-2</v>
      </c>
      <c r="AG48">
        <f t="shared" si="15"/>
        <v>-0.37572584598750924</v>
      </c>
      <c r="AH48">
        <f t="shared" si="16"/>
        <v>0.42097840408772225</v>
      </c>
      <c r="AI48">
        <f t="shared" si="17"/>
        <v>0.73956647379974561</v>
      </c>
      <c r="AK48" s="26">
        <f t="shared" si="18"/>
        <v>0.13670171498580719</v>
      </c>
      <c r="AL48" s="26">
        <f t="shared" si="19"/>
        <v>0.11579218198375685</v>
      </c>
      <c r="AM48" s="26">
        <f t="shared" si="20"/>
        <v>7.7774319499870292E-2</v>
      </c>
      <c r="AN48" s="26">
        <f t="shared" si="21"/>
        <v>18.454444444444441</v>
      </c>
      <c r="AO48" s="26">
        <f t="shared" si="22"/>
        <v>20.105516351118759</v>
      </c>
      <c r="AP48" s="26">
        <f t="shared" si="23"/>
        <v>20.913364407447276</v>
      </c>
      <c r="AS48" s="2">
        <v>45432</v>
      </c>
      <c r="AT48">
        <v>22.5</v>
      </c>
      <c r="AU48">
        <v>49.1</v>
      </c>
      <c r="AV48">
        <v>25.8</v>
      </c>
      <c r="AW48">
        <v>1.1000000000000001</v>
      </c>
      <c r="AX48">
        <v>381.3</v>
      </c>
      <c r="AY48">
        <v>0.1</v>
      </c>
      <c r="AZ48">
        <v>3.2</v>
      </c>
      <c r="BA48">
        <v>123.7617</v>
      </c>
      <c r="BB48">
        <v>4.5827999999999998</v>
      </c>
      <c r="BC48">
        <v>29.2182</v>
      </c>
      <c r="BD48">
        <v>3.48</v>
      </c>
      <c r="BE48">
        <v>31.849399999999999</v>
      </c>
      <c r="BF48">
        <v>-22.246700000000001</v>
      </c>
      <c r="BG48">
        <v>-35.850099999999998</v>
      </c>
      <c r="BH48">
        <v>67.39</v>
      </c>
    </row>
    <row r="49" spans="1:60" x14ac:dyDescent="0.25">
      <c r="A49" s="2">
        <v>45452</v>
      </c>
      <c r="B49">
        <v>18.899999999999999</v>
      </c>
      <c r="C49">
        <v>28</v>
      </c>
      <c r="D49">
        <v>34.299999999999997</v>
      </c>
      <c r="E49">
        <v>3.2</v>
      </c>
      <c r="F49">
        <v>362.32</v>
      </c>
      <c r="G49">
        <v>0.4</v>
      </c>
      <c r="H49">
        <v>2.5</v>
      </c>
      <c r="I49">
        <v>89.881100000000004</v>
      </c>
      <c r="J49">
        <v>24.8369</v>
      </c>
      <c r="K49">
        <v>45.128700000000002</v>
      </c>
      <c r="L49">
        <v>3.9159000000000002</v>
      </c>
      <c r="M49">
        <v>19.448799999999999</v>
      </c>
      <c r="P49">
        <v>71.900000000000006</v>
      </c>
      <c r="S49">
        <f t="shared" si="24"/>
        <v>632.83139999999992</v>
      </c>
      <c r="T49">
        <f t="shared" si="3"/>
        <v>1.7718088340138542E-2</v>
      </c>
      <c r="U49">
        <f t="shared" si="4"/>
        <v>2.6249019763168215E-2</v>
      </c>
      <c r="V49">
        <f t="shared" si="5"/>
        <v>3.2155049209881062E-2</v>
      </c>
      <c r="W49">
        <f t="shared" si="6"/>
        <v>2.9998879729335104E-3</v>
      </c>
      <c r="X49">
        <f t="shared" si="7"/>
        <v>0.33966231573539668</v>
      </c>
      <c r="Y49">
        <f t="shared" si="8"/>
        <v>3.7498599661668879E-4</v>
      </c>
      <c r="Z49">
        <f t="shared" si="9"/>
        <v>2.3436624788543046E-3</v>
      </c>
      <c r="AA49">
        <f t="shared" si="10"/>
        <v>8.4260384651260664E-2</v>
      </c>
      <c r="AB49">
        <f t="shared" si="11"/>
        <v>2.3283724248422594E-2</v>
      </c>
      <c r="AC49">
        <f t="shared" si="12"/>
        <v>4.2306576363788907E-2</v>
      </c>
      <c r="AD49">
        <f t="shared" si="13"/>
        <v>3.6710191603782291E-3</v>
      </c>
      <c r="AE49">
        <f t="shared" si="14"/>
        <v>1.8232569127496639E-2</v>
      </c>
      <c r="AG49">
        <f t="shared" si="15"/>
        <v>-0.38740130294512959</v>
      </c>
      <c r="AH49">
        <f t="shared" si="16"/>
        <v>0.43973557862448565</v>
      </c>
      <c r="AI49">
        <f t="shared" si="17"/>
        <v>0.86546553282561212</v>
      </c>
      <c r="AK49" s="26">
        <f t="shared" si="18"/>
        <v>0.14255604249421677</v>
      </c>
      <c r="AL49" s="26">
        <f t="shared" si="19"/>
        <v>0.1164168297118231</v>
      </c>
      <c r="AM49" s="26">
        <f t="shared" si="20"/>
        <v>7.7942795880135307E-2</v>
      </c>
      <c r="AN49" s="26">
        <f t="shared" si="21"/>
        <v>18.577142857142874</v>
      </c>
      <c r="AO49" s="26">
        <f t="shared" si="22"/>
        <v>20.231663080895011</v>
      </c>
      <c r="AP49" s="26">
        <f t="shared" si="23"/>
        <v>20.938917570441944</v>
      </c>
      <c r="AS49" s="2">
        <v>45431</v>
      </c>
      <c r="AT49">
        <v>22.7</v>
      </c>
      <c r="AU49">
        <v>273.8</v>
      </c>
      <c r="AV49">
        <v>27.1</v>
      </c>
      <c r="AW49">
        <v>0.8</v>
      </c>
      <c r="AX49">
        <v>306.64</v>
      </c>
      <c r="AY49">
        <v>0.1</v>
      </c>
      <c r="AZ49">
        <v>3</v>
      </c>
      <c r="BA49">
        <v>115.55289999999999</v>
      </c>
      <c r="BB49">
        <v>4.1185999999999998</v>
      </c>
      <c r="BC49">
        <v>32.615099999999998</v>
      </c>
      <c r="BD49">
        <v>3.48</v>
      </c>
      <c r="BE49">
        <v>25.4116</v>
      </c>
      <c r="BH49">
        <v>67.14</v>
      </c>
    </row>
    <row r="50" spans="1:60" x14ac:dyDescent="0.25">
      <c r="A50" s="2">
        <v>45451</v>
      </c>
      <c r="B50">
        <v>19.899999999999999</v>
      </c>
      <c r="C50">
        <v>117.4</v>
      </c>
      <c r="D50">
        <v>41.3</v>
      </c>
      <c r="E50">
        <v>3</v>
      </c>
      <c r="F50">
        <v>389.14</v>
      </c>
      <c r="G50">
        <v>0.4</v>
      </c>
      <c r="H50">
        <v>3.1</v>
      </c>
      <c r="I50">
        <v>123.9709</v>
      </c>
      <c r="J50">
        <v>14.1203</v>
      </c>
      <c r="K50">
        <v>40.765300000000003</v>
      </c>
      <c r="L50">
        <v>3.8894000000000002</v>
      </c>
      <c r="M50">
        <v>27.837700000000002</v>
      </c>
      <c r="P50">
        <v>71.61</v>
      </c>
      <c r="S50">
        <f t="shared" si="24"/>
        <v>784.82360000000017</v>
      </c>
      <c r="T50">
        <f t="shared" si="3"/>
        <v>1.8655553331680265E-2</v>
      </c>
      <c r="U50">
        <f t="shared" si="4"/>
        <v>0.11005839000699816</v>
      </c>
      <c r="V50">
        <f t="shared" si="5"/>
        <v>3.8717304150673114E-2</v>
      </c>
      <c r="W50">
        <f t="shared" si="6"/>
        <v>2.8123949746251659E-3</v>
      </c>
      <c r="X50">
        <f t="shared" si="7"/>
        <v>0.36480512680854565</v>
      </c>
      <c r="Y50">
        <f t="shared" si="8"/>
        <v>3.7498599661668879E-4</v>
      </c>
      <c r="Z50">
        <f t="shared" si="9"/>
        <v>2.9061414737793379E-3</v>
      </c>
      <c r="AA50">
        <f t="shared" si="10"/>
        <v>0.11621837871991965</v>
      </c>
      <c r="AB50">
        <f t="shared" si="11"/>
        <v>1.3237286920066576E-2</v>
      </c>
      <c r="AC50">
        <f t="shared" si="12"/>
        <v>3.8216041619695759E-2</v>
      </c>
      <c r="AD50">
        <f t="shared" si="13"/>
        <v>3.6461763381023735E-3</v>
      </c>
      <c r="AE50">
        <f t="shared" si="14"/>
        <v>2.6096869195040992E-2</v>
      </c>
      <c r="AG50">
        <f t="shared" si="15"/>
        <v>-0.40150078596838162</v>
      </c>
      <c r="AH50">
        <f t="shared" si="16"/>
        <v>0.56442676593795926</v>
      </c>
      <c r="AI50">
        <f t="shared" si="17"/>
        <v>1.7080737216815798</v>
      </c>
      <c r="AK50" s="26">
        <f t="shared" si="18"/>
        <v>0.14442831781453036</v>
      </c>
      <c r="AL50" s="26">
        <f t="shared" si="19"/>
        <v>0.11895657112185104</v>
      </c>
      <c r="AM50" s="26">
        <f t="shared" si="20"/>
        <v>7.7739210353991062E-2</v>
      </c>
      <c r="AN50" s="26">
        <f t="shared" si="21"/>
        <v>18.703174603174624</v>
      </c>
      <c r="AO50" s="26">
        <f t="shared" si="22"/>
        <v>20.355570137693626</v>
      </c>
      <c r="AP50" s="26">
        <f t="shared" si="23"/>
        <v>20.961989968750814</v>
      </c>
      <c r="AS50" s="2">
        <v>45430</v>
      </c>
      <c r="AT50">
        <v>23</v>
      </c>
      <c r="AU50">
        <v>376.8</v>
      </c>
      <c r="AV50">
        <v>31.5</v>
      </c>
      <c r="AW50">
        <v>2.9</v>
      </c>
      <c r="AX50">
        <v>294.93</v>
      </c>
      <c r="AY50">
        <v>0.1</v>
      </c>
      <c r="AZ50">
        <v>3</v>
      </c>
      <c r="BA50">
        <v>116.1431</v>
      </c>
      <c r="BB50">
        <v>5.101</v>
      </c>
      <c r="BC50">
        <v>45.154400000000003</v>
      </c>
      <c r="BD50">
        <v>3.48</v>
      </c>
      <c r="BE50">
        <v>29.100200000000001</v>
      </c>
      <c r="BH50">
        <v>66.83</v>
      </c>
    </row>
    <row r="51" spans="1:60" x14ac:dyDescent="0.25">
      <c r="A51" s="2">
        <v>45450</v>
      </c>
      <c r="B51">
        <v>20</v>
      </c>
      <c r="C51">
        <v>62.2</v>
      </c>
      <c r="D51">
        <v>32</v>
      </c>
      <c r="E51">
        <v>1.6</v>
      </c>
      <c r="F51">
        <v>393.18</v>
      </c>
      <c r="G51">
        <v>0.4</v>
      </c>
      <c r="H51">
        <v>3.2</v>
      </c>
      <c r="I51">
        <v>195.6112</v>
      </c>
      <c r="J51">
        <v>22.321999999999999</v>
      </c>
      <c r="K51">
        <v>95.370699999999999</v>
      </c>
      <c r="L51">
        <v>3.8879999999999999</v>
      </c>
      <c r="M51">
        <v>28.7941</v>
      </c>
      <c r="N51">
        <v>-21.2652</v>
      </c>
      <c r="O51">
        <v>-30.1707</v>
      </c>
      <c r="P51">
        <v>71.33</v>
      </c>
      <c r="S51">
        <f t="shared" si="24"/>
        <v>858.56600000000003</v>
      </c>
      <c r="T51">
        <f t="shared" si="3"/>
        <v>1.8749299830834436E-2</v>
      </c>
      <c r="U51">
        <f t="shared" si="4"/>
        <v>5.8310322473895108E-2</v>
      </c>
      <c r="V51">
        <f t="shared" si="5"/>
        <v>2.9998879729335102E-2</v>
      </c>
      <c r="W51">
        <f t="shared" si="6"/>
        <v>1.4999439864667552E-3</v>
      </c>
      <c r="X51">
        <f t="shared" si="7"/>
        <v>0.36859248537437422</v>
      </c>
      <c r="Y51">
        <f t="shared" si="8"/>
        <v>3.7498599661668879E-4</v>
      </c>
      <c r="Z51">
        <f t="shared" si="9"/>
        <v>2.9998879729335104E-3</v>
      </c>
      <c r="AA51">
        <f t="shared" si="10"/>
        <v>0.18337865195346606</v>
      </c>
      <c r="AB51">
        <f t="shared" si="11"/>
        <v>2.0926093541194315E-2</v>
      </c>
      <c r="AC51">
        <f t="shared" si="12"/>
        <v>8.9406692468828097E-2</v>
      </c>
      <c r="AD51">
        <f t="shared" si="13"/>
        <v>3.6448638871142145E-3</v>
      </c>
      <c r="AE51">
        <f t="shared" si="14"/>
        <v>2.6993460712951493E-2</v>
      </c>
      <c r="AG51">
        <f t="shared" si="15"/>
        <v>-0.41509029762333982</v>
      </c>
      <c r="AH51">
        <f t="shared" si="16"/>
        <v>0.50751926607740727</v>
      </c>
      <c r="AI51">
        <f t="shared" si="17"/>
        <v>1.3292686175241393</v>
      </c>
      <c r="AK51" s="26">
        <f t="shared" si="18"/>
        <v>0.15379696051380343</v>
      </c>
      <c r="AL51" s="26">
        <f t="shared" si="19"/>
        <v>0.11830375123962089</v>
      </c>
      <c r="AM51" s="26">
        <f t="shared" si="20"/>
        <v>7.6621190801496375E-2</v>
      </c>
      <c r="AN51" s="26">
        <f t="shared" si="21"/>
        <v>18.829047619047628</v>
      </c>
      <c r="AO51" s="26">
        <f t="shared" si="22"/>
        <v>20.475327022375204</v>
      </c>
      <c r="AP51" s="26">
        <f t="shared" si="23"/>
        <v>20.983171923006218</v>
      </c>
      <c r="AS51" s="2">
        <v>45429</v>
      </c>
      <c r="AT51">
        <v>23.6</v>
      </c>
      <c r="AU51">
        <v>292.10000000000002</v>
      </c>
      <c r="AV51">
        <v>36.799999999999997</v>
      </c>
      <c r="AW51">
        <v>8.9</v>
      </c>
      <c r="AX51">
        <v>231.82</v>
      </c>
      <c r="AY51">
        <v>0.1</v>
      </c>
      <c r="AZ51">
        <v>2.8</v>
      </c>
      <c r="BA51">
        <v>128.40389999999999</v>
      </c>
      <c r="BB51">
        <v>18.8307</v>
      </c>
      <c r="BC51">
        <v>76.263599999999997</v>
      </c>
      <c r="BD51">
        <v>3.7084999999999999</v>
      </c>
      <c r="BE51">
        <v>38.5869</v>
      </c>
      <c r="BF51">
        <v>-24.480899999999998</v>
      </c>
      <c r="BG51">
        <v>-37.123399999999997</v>
      </c>
      <c r="BH51">
        <v>66.540000000000006</v>
      </c>
    </row>
    <row r="52" spans="1:60" x14ac:dyDescent="0.25">
      <c r="A52" s="2">
        <v>45449</v>
      </c>
      <c r="B52">
        <v>19.7</v>
      </c>
      <c r="C52">
        <v>243.9</v>
      </c>
      <c r="D52">
        <v>39.299999999999997</v>
      </c>
      <c r="E52">
        <v>2.4</v>
      </c>
      <c r="F52">
        <v>396.65</v>
      </c>
      <c r="G52">
        <v>0.3</v>
      </c>
      <c r="H52">
        <v>3</v>
      </c>
      <c r="I52">
        <v>231.3383</v>
      </c>
      <c r="J52">
        <v>23.389600000000002</v>
      </c>
      <c r="K52">
        <v>66.251999999999995</v>
      </c>
      <c r="L52">
        <v>3.8879999999999999</v>
      </c>
      <c r="M52">
        <v>20.6889</v>
      </c>
      <c r="N52">
        <v>-21.189299999999999</v>
      </c>
      <c r="O52">
        <v>-29.325399999999998</v>
      </c>
      <c r="P52">
        <v>71.11</v>
      </c>
      <c r="S52">
        <f t="shared" si="24"/>
        <v>1050.8068000000001</v>
      </c>
      <c r="T52">
        <f t="shared" si="3"/>
        <v>1.8468060333371922E-2</v>
      </c>
      <c r="U52">
        <f t="shared" si="4"/>
        <v>0.22864771143702597</v>
      </c>
      <c r="V52">
        <f t="shared" si="5"/>
        <v>3.6842374167589668E-2</v>
      </c>
      <c r="W52">
        <f t="shared" si="6"/>
        <v>2.2499159797001326E-3</v>
      </c>
      <c r="X52">
        <f t="shared" si="7"/>
        <v>0.371845488895024</v>
      </c>
      <c r="Y52">
        <f t="shared" si="8"/>
        <v>2.8123949746251657E-4</v>
      </c>
      <c r="Z52">
        <f t="shared" si="9"/>
        <v>2.8123949746251659E-3</v>
      </c>
      <c r="AA52">
        <f t="shared" si="10"/>
        <v>0.21687155745277634</v>
      </c>
      <c r="AB52">
        <f t="shared" si="11"/>
        <v>2.192693116616426E-2</v>
      </c>
      <c r="AC52">
        <f t="shared" si="12"/>
        <v>6.2108930619622159E-2</v>
      </c>
      <c r="AD52">
        <f t="shared" si="13"/>
        <v>3.6448638871142145E-3</v>
      </c>
      <c r="AE52">
        <f t="shared" si="14"/>
        <v>1.939511946350753E-2</v>
      </c>
      <c r="AG52">
        <f t="shared" si="15"/>
        <v>-0.42573012271236321</v>
      </c>
      <c r="AH52">
        <f t="shared" si="16"/>
        <v>0.6805423047483069</v>
      </c>
      <c r="AI52">
        <f t="shared" si="17"/>
        <v>2.5085675974262127</v>
      </c>
      <c r="AK52" s="26">
        <f t="shared" si="18"/>
        <v>0.15999928395531116</v>
      </c>
      <c r="AL52" s="26">
        <f t="shared" si="19"/>
        <v>0.11791185547618865</v>
      </c>
      <c r="AM52" s="26">
        <f t="shared" si="20"/>
        <v>7.6164227958243236E-2</v>
      </c>
      <c r="AN52" s="26">
        <f t="shared" si="21"/>
        <v>18.954444444444455</v>
      </c>
      <c r="AO52" s="26">
        <f t="shared" si="22"/>
        <v>20.591364027538724</v>
      </c>
      <c r="AP52" s="26">
        <f t="shared" si="23"/>
        <v>21.002044851763351</v>
      </c>
      <c r="AS52" s="2">
        <v>45428</v>
      </c>
      <c r="AT52">
        <v>22.6</v>
      </c>
      <c r="AU52">
        <v>83.5</v>
      </c>
      <c r="AV52">
        <v>38</v>
      </c>
      <c r="AW52">
        <v>7.3</v>
      </c>
      <c r="AX52">
        <v>311.66000000000003</v>
      </c>
      <c r="AY52">
        <v>0.1</v>
      </c>
      <c r="AZ52">
        <v>2.9</v>
      </c>
      <c r="BA52">
        <v>118.928</v>
      </c>
      <c r="BB52">
        <v>32.100499999999997</v>
      </c>
      <c r="BC52">
        <v>101.7316</v>
      </c>
      <c r="BD52">
        <v>3.8607</v>
      </c>
      <c r="BE52">
        <v>33.977499999999999</v>
      </c>
      <c r="BF52">
        <v>-23.504100000000001</v>
      </c>
      <c r="BG52">
        <v>-37.428800000000003</v>
      </c>
      <c r="BH52">
        <v>66.290000000000006</v>
      </c>
    </row>
    <row r="53" spans="1:60" x14ac:dyDescent="0.25">
      <c r="A53" s="2">
        <v>45448</v>
      </c>
      <c r="B53">
        <v>18.100000000000001</v>
      </c>
      <c r="C53">
        <v>67.5</v>
      </c>
      <c r="D53">
        <v>40.1</v>
      </c>
      <c r="E53">
        <v>6.3</v>
      </c>
      <c r="F53">
        <v>302.62</v>
      </c>
      <c r="G53">
        <v>0.1</v>
      </c>
      <c r="H53">
        <v>2.8</v>
      </c>
      <c r="I53">
        <v>192.03200000000001</v>
      </c>
      <c r="J53">
        <v>19.925999999999998</v>
      </c>
      <c r="K53">
        <v>45.792000000000002</v>
      </c>
      <c r="L53">
        <v>3.9289999999999998</v>
      </c>
      <c r="M53">
        <v>18.224699999999999</v>
      </c>
      <c r="N53">
        <v>-20.812000000000001</v>
      </c>
      <c r="O53">
        <v>-30.313500000000001</v>
      </c>
      <c r="P53">
        <v>70.89</v>
      </c>
      <c r="S53">
        <f t="shared" si="24"/>
        <v>717.42370000000005</v>
      </c>
      <c r="T53">
        <f t="shared" si="3"/>
        <v>1.696811634690517E-2</v>
      </c>
      <c r="U53">
        <f t="shared" si="4"/>
        <v>6.3278886929066233E-2</v>
      </c>
      <c r="V53">
        <f t="shared" si="5"/>
        <v>3.7592346160823048E-2</v>
      </c>
      <c r="W53">
        <f t="shared" si="6"/>
        <v>5.9060294467128483E-3</v>
      </c>
      <c r="X53">
        <f t="shared" si="7"/>
        <v>0.28369565574035588</v>
      </c>
      <c r="Y53">
        <f t="shared" si="8"/>
        <v>9.3746499154172199E-5</v>
      </c>
      <c r="Z53">
        <f t="shared" si="9"/>
        <v>2.624901976316821E-3</v>
      </c>
      <c r="AA53">
        <f t="shared" si="10"/>
        <v>0.18002327725573994</v>
      </c>
      <c r="AB53">
        <f t="shared" si="11"/>
        <v>1.8679927421460348E-2</v>
      </c>
      <c r="AC53">
        <f t="shared" si="12"/>
        <v>4.2928396892678529E-2</v>
      </c>
      <c r="AD53">
        <f t="shared" si="13"/>
        <v>3.6832999517674254E-3</v>
      </c>
      <c r="AE53">
        <f t="shared" si="14"/>
        <v>1.7085018231350418E-2</v>
      </c>
      <c r="AG53">
        <f t="shared" si="15"/>
        <v>-0.43635845446943244</v>
      </c>
      <c r="AH53">
        <f t="shared" si="16"/>
        <v>0.4272447013306846</v>
      </c>
      <c r="AI53">
        <f t="shared" si="17"/>
        <v>0.7958988129334218</v>
      </c>
      <c r="AK53" s="26">
        <f t="shared" si="18"/>
        <v>0.15722118829505904</v>
      </c>
      <c r="AL53" s="26">
        <f t="shared" si="19"/>
        <v>0.11495097570795598</v>
      </c>
      <c r="AM53" s="26">
        <f t="shared" si="20"/>
        <v>7.386158782337654E-2</v>
      </c>
      <c r="AN53" s="26">
        <f t="shared" si="21"/>
        <v>19.078571428571415</v>
      </c>
      <c r="AO53" s="26">
        <f t="shared" si="22"/>
        <v>20.700118330464711</v>
      </c>
      <c r="AP53" s="26">
        <f t="shared" si="23"/>
        <v>21.017511882566126</v>
      </c>
      <c r="AS53" s="2">
        <v>45427</v>
      </c>
      <c r="AT53">
        <v>20.7</v>
      </c>
      <c r="AU53">
        <v>124.7</v>
      </c>
      <c r="AV53">
        <v>45.6</v>
      </c>
      <c r="AW53">
        <v>8.3000000000000007</v>
      </c>
      <c r="AX53">
        <v>355.26</v>
      </c>
      <c r="AY53">
        <v>0.1</v>
      </c>
      <c r="AZ53">
        <v>2.9</v>
      </c>
      <c r="BA53">
        <v>116.8347</v>
      </c>
      <c r="BB53">
        <v>33.764899999999997</v>
      </c>
      <c r="BC53">
        <v>91.851299999999995</v>
      </c>
      <c r="BD53">
        <v>5.7363999999999997</v>
      </c>
      <c r="BE53">
        <v>35.750399999999999</v>
      </c>
      <c r="BF53">
        <v>-22.699000000000002</v>
      </c>
      <c r="BG53">
        <v>-36.1389</v>
      </c>
      <c r="BH53">
        <v>66.06</v>
      </c>
    </row>
    <row r="54" spans="1:60" x14ac:dyDescent="0.25">
      <c r="A54" s="2">
        <v>45447</v>
      </c>
      <c r="B54">
        <v>15.8</v>
      </c>
      <c r="C54">
        <v>262.39999999999998</v>
      </c>
      <c r="D54">
        <v>24.3</v>
      </c>
      <c r="E54">
        <v>1.4</v>
      </c>
      <c r="F54">
        <v>340.9</v>
      </c>
      <c r="G54">
        <v>0.1</v>
      </c>
      <c r="H54">
        <v>2.7</v>
      </c>
      <c r="I54">
        <v>230.06479999999999</v>
      </c>
      <c r="J54">
        <v>34.313200000000002</v>
      </c>
      <c r="K54">
        <v>78.396199999999993</v>
      </c>
      <c r="L54">
        <v>3.8887999999999998</v>
      </c>
      <c r="M54">
        <v>22.5867</v>
      </c>
      <c r="N54">
        <v>-20.421800000000001</v>
      </c>
      <c r="O54">
        <v>-31.440100000000001</v>
      </c>
      <c r="P54">
        <v>70.709999999999994</v>
      </c>
      <c r="S54">
        <f t="shared" si="24"/>
        <v>1016.8497</v>
      </c>
      <c r="T54">
        <f t="shared" si="3"/>
        <v>1.4811946866359206E-2</v>
      </c>
      <c r="U54">
        <f t="shared" si="4"/>
        <v>0.2459908137805478</v>
      </c>
      <c r="V54">
        <f t="shared" si="5"/>
        <v>2.2780399294463842E-2</v>
      </c>
      <c r="W54">
        <f t="shared" si="6"/>
        <v>1.3124509881584105E-3</v>
      </c>
      <c r="X54">
        <f t="shared" si="7"/>
        <v>0.31958181561657295</v>
      </c>
      <c r="Y54">
        <f t="shared" si="8"/>
        <v>9.3746499154172199E-5</v>
      </c>
      <c r="Z54">
        <f t="shared" si="9"/>
        <v>2.5311554771626494E-3</v>
      </c>
      <c r="AA54">
        <f t="shared" si="10"/>
        <v>0.21567769578604792</v>
      </c>
      <c r="AB54">
        <f t="shared" si="11"/>
        <v>3.2167423747769416E-2</v>
      </c>
      <c r="AC54">
        <f t="shared" si="12"/>
        <v>7.3493692969903129E-2</v>
      </c>
      <c r="AD54">
        <f t="shared" si="13"/>
        <v>3.6456138591074482E-3</v>
      </c>
      <c r="AE54">
        <f t="shared" si="14"/>
        <v>2.117424052445541E-2</v>
      </c>
      <c r="AG54">
        <f t="shared" si="15"/>
        <v>-0.44502587960731116</v>
      </c>
      <c r="AH54">
        <f t="shared" si="16"/>
        <v>0.62827656904687434</v>
      </c>
      <c r="AI54">
        <f t="shared" si="17"/>
        <v>2.1557379322676966</v>
      </c>
      <c r="AK54" s="26">
        <f t="shared" si="18"/>
        <v>0.17037197249308061</v>
      </c>
      <c r="AL54" s="26">
        <f t="shared" si="19"/>
        <v>0.11619731131200201</v>
      </c>
      <c r="AM54" s="26">
        <f t="shared" si="20"/>
        <v>7.5162783965919633E-2</v>
      </c>
      <c r="AN54" s="26">
        <f t="shared" si="21"/>
        <v>19.202857142857134</v>
      </c>
      <c r="AO54" s="26">
        <f t="shared" si="22"/>
        <v>20.79921901893286</v>
      </c>
      <c r="AP54" s="26">
        <f t="shared" si="23"/>
        <v>21.029510517055762</v>
      </c>
      <c r="AS54" s="2">
        <v>45426</v>
      </c>
      <c r="AT54">
        <v>21.2</v>
      </c>
      <c r="AU54">
        <v>43.4</v>
      </c>
      <c r="AV54">
        <v>67.900000000000006</v>
      </c>
      <c r="AW54">
        <v>6.3</v>
      </c>
      <c r="AX54">
        <v>555.14</v>
      </c>
      <c r="AY54">
        <v>0.1</v>
      </c>
      <c r="AZ54">
        <v>2.8</v>
      </c>
      <c r="BA54">
        <v>93.970399999999998</v>
      </c>
      <c r="BB54">
        <v>18.931999999999999</v>
      </c>
      <c r="BC54">
        <v>58.385199999999998</v>
      </c>
      <c r="BD54">
        <v>3.7313999999999998</v>
      </c>
      <c r="BE54">
        <v>30.204999999999998</v>
      </c>
      <c r="BF54">
        <v>-21.9072</v>
      </c>
      <c r="BG54">
        <v>-35.706299999999999</v>
      </c>
      <c r="BH54">
        <v>65.790000000000006</v>
      </c>
    </row>
    <row r="55" spans="1:60" x14ac:dyDescent="0.25">
      <c r="A55" s="2">
        <v>45446</v>
      </c>
      <c r="B55">
        <v>18.899999999999999</v>
      </c>
      <c r="C55">
        <v>196.3</v>
      </c>
      <c r="D55">
        <v>33.700000000000003</v>
      </c>
      <c r="E55">
        <v>3.1</v>
      </c>
      <c r="F55">
        <v>212.94</v>
      </c>
      <c r="G55">
        <v>0.1</v>
      </c>
      <c r="H55">
        <v>2.6</v>
      </c>
      <c r="I55">
        <v>227.2834</v>
      </c>
      <c r="J55">
        <v>29.9922</v>
      </c>
      <c r="K55">
        <v>109.3143</v>
      </c>
      <c r="L55">
        <v>4.9499000000000004</v>
      </c>
      <c r="M55">
        <v>37.3583</v>
      </c>
      <c r="N55">
        <v>-19.388999999999999</v>
      </c>
      <c r="O55">
        <v>-28.048999999999999</v>
      </c>
      <c r="P55">
        <v>70.56</v>
      </c>
      <c r="S55">
        <f t="shared" si="24"/>
        <v>876.5381000000001</v>
      </c>
      <c r="T55">
        <f t="shared" si="3"/>
        <v>1.7718088340138542E-2</v>
      </c>
      <c r="U55">
        <f t="shared" si="4"/>
        <v>0.18402437783964001</v>
      </c>
      <c r="V55">
        <f t="shared" si="5"/>
        <v>3.1592570214956033E-2</v>
      </c>
      <c r="W55">
        <f t="shared" si="6"/>
        <v>2.9061414737793379E-3</v>
      </c>
      <c r="X55">
        <f t="shared" si="7"/>
        <v>0.19962379529889426</v>
      </c>
      <c r="Y55">
        <f t="shared" si="8"/>
        <v>9.3746499154172199E-5</v>
      </c>
      <c r="Z55">
        <f t="shared" si="9"/>
        <v>2.437408978008477E-3</v>
      </c>
      <c r="AA55">
        <f t="shared" si="10"/>
        <v>0.21307023065857381</v>
      </c>
      <c r="AB55">
        <f t="shared" si="11"/>
        <v>2.8116637519317634E-2</v>
      </c>
      <c r="AC55">
        <f t="shared" si="12"/>
        <v>0.10247832932488925</v>
      </c>
      <c r="AD55">
        <f t="shared" si="13"/>
        <v>4.6403579616323696E-3</v>
      </c>
      <c r="AE55">
        <f t="shared" si="14"/>
        <v>3.5022098393513112E-2</v>
      </c>
      <c r="AG55">
        <f t="shared" si="15"/>
        <v>-0.45221793251697395</v>
      </c>
      <c r="AH55">
        <f t="shared" si="16"/>
        <v>0.47341822703808401</v>
      </c>
      <c r="AI55">
        <f t="shared" si="17"/>
        <v>1.107018728971747</v>
      </c>
      <c r="AK55" s="26">
        <f t="shared" si="18"/>
        <v>0.17836986727407844</v>
      </c>
      <c r="AL55" s="26">
        <f t="shared" si="19"/>
        <v>0.11332879733932066</v>
      </c>
      <c r="AM55" s="26">
        <f t="shared" si="20"/>
        <v>7.3521974189550088E-2</v>
      </c>
      <c r="AN55" s="26">
        <f t="shared" si="21"/>
        <v>19.321746031746038</v>
      </c>
      <c r="AO55" s="26">
        <f t="shared" si="22"/>
        <v>20.893612306368318</v>
      </c>
      <c r="AP55" s="26">
        <f t="shared" si="23"/>
        <v>21.038335915548451</v>
      </c>
      <c r="AS55" s="2">
        <v>45425</v>
      </c>
      <c r="AT55">
        <v>22.8</v>
      </c>
      <c r="AU55">
        <v>136.69999999999999</v>
      </c>
      <c r="AV55">
        <v>62</v>
      </c>
      <c r="AW55">
        <v>6</v>
      </c>
      <c r="AX55">
        <v>398</v>
      </c>
      <c r="AY55">
        <v>0.1</v>
      </c>
      <c r="AZ55">
        <v>2.7</v>
      </c>
      <c r="BA55">
        <v>100.1277</v>
      </c>
      <c r="BB55">
        <v>18.3612</v>
      </c>
      <c r="BC55">
        <v>78.609499999999997</v>
      </c>
      <c r="BD55">
        <v>4.1989999999999998</v>
      </c>
      <c r="BE55">
        <v>38.017699999999998</v>
      </c>
      <c r="BF55">
        <v>-22.6449</v>
      </c>
      <c r="BG55">
        <v>-36.868000000000002</v>
      </c>
      <c r="BH55">
        <v>65.489999999999995</v>
      </c>
    </row>
    <row r="56" spans="1:60" x14ac:dyDescent="0.25">
      <c r="A56" s="2">
        <v>45445</v>
      </c>
      <c r="B56">
        <v>19.5</v>
      </c>
      <c r="C56">
        <v>247.6</v>
      </c>
      <c r="D56">
        <v>59.9</v>
      </c>
      <c r="E56">
        <v>4.9000000000000004</v>
      </c>
      <c r="F56">
        <v>228.63</v>
      </c>
      <c r="G56">
        <v>0.1</v>
      </c>
      <c r="H56">
        <v>2.4</v>
      </c>
      <c r="I56">
        <v>105.4965</v>
      </c>
      <c r="J56">
        <v>6.1208999999999998</v>
      </c>
      <c r="K56">
        <v>21.912199999999999</v>
      </c>
      <c r="L56">
        <v>3.8740000000000001</v>
      </c>
      <c r="M56">
        <v>15.8285</v>
      </c>
      <c r="P56">
        <v>70.39</v>
      </c>
      <c r="S56">
        <f t="shared" si="24"/>
        <v>716.26209999999992</v>
      </c>
      <c r="T56">
        <f t="shared" si="3"/>
        <v>1.8280567335063579E-2</v>
      </c>
      <c r="U56">
        <f t="shared" si="4"/>
        <v>0.23211633190573033</v>
      </c>
      <c r="V56">
        <f t="shared" si="5"/>
        <v>5.6154152993349138E-2</v>
      </c>
      <c r="W56">
        <f t="shared" si="6"/>
        <v>4.5935784585544375E-3</v>
      </c>
      <c r="X56">
        <f t="shared" si="7"/>
        <v>0.21433262101618389</v>
      </c>
      <c r="Y56">
        <f t="shared" si="8"/>
        <v>9.3746499154172199E-5</v>
      </c>
      <c r="Z56">
        <f t="shared" si="9"/>
        <v>2.2499159797001326E-3</v>
      </c>
      <c r="AA56">
        <f t="shared" si="10"/>
        <v>9.8899275480181265E-2</v>
      </c>
      <c r="AB56">
        <f t="shared" si="11"/>
        <v>5.7381294667277257E-3</v>
      </c>
      <c r="AC56">
        <f t="shared" si="12"/>
        <v>2.0541920387660517E-2</v>
      </c>
      <c r="AD56">
        <f t="shared" si="13"/>
        <v>3.6317393772326307E-3</v>
      </c>
      <c r="AE56">
        <f t="shared" si="14"/>
        <v>1.4838664618618146E-2</v>
      </c>
      <c r="AG56">
        <f t="shared" si="15"/>
        <v>-0.46037196878043718</v>
      </c>
      <c r="AH56">
        <f t="shared" si="16"/>
        <v>0.54265957880635385</v>
      </c>
      <c r="AI56">
        <f t="shared" si="17"/>
        <v>1.5827866121154293</v>
      </c>
      <c r="AK56" s="26">
        <f t="shared" si="18"/>
        <v>0.18745284058179401</v>
      </c>
      <c r="AL56" s="26">
        <f t="shared" si="19"/>
        <v>0.11326980787912738</v>
      </c>
      <c r="AM56" s="26">
        <f t="shared" si="20"/>
        <v>7.2928176404757517E-2</v>
      </c>
      <c r="AN56" s="26">
        <f t="shared" si="21"/>
        <v>19.434126984126998</v>
      </c>
      <c r="AO56" s="26">
        <f t="shared" si="22"/>
        <v>20.987172977624773</v>
      </c>
      <c r="AP56" s="26">
        <f t="shared" si="23"/>
        <v>21.044573146713603</v>
      </c>
      <c r="AS56" s="2">
        <v>45424</v>
      </c>
      <c r="AT56">
        <v>21.6</v>
      </c>
      <c r="AU56">
        <v>1.6</v>
      </c>
      <c r="AV56">
        <v>32.9</v>
      </c>
      <c r="AW56">
        <v>3.8</v>
      </c>
      <c r="AX56">
        <v>371.51</v>
      </c>
      <c r="AY56">
        <v>0.1</v>
      </c>
      <c r="AZ56">
        <v>2.2999999999999998</v>
      </c>
      <c r="BA56">
        <v>86.758799999999994</v>
      </c>
      <c r="BB56">
        <v>6.9808000000000003</v>
      </c>
      <c r="BC56">
        <v>31.474</v>
      </c>
      <c r="BD56">
        <v>3.19</v>
      </c>
      <c r="BE56">
        <v>20.751100000000001</v>
      </c>
      <c r="BH56">
        <v>65.19</v>
      </c>
    </row>
    <row r="57" spans="1:60" x14ac:dyDescent="0.25">
      <c r="A57" s="2">
        <v>45444</v>
      </c>
      <c r="B57">
        <v>19</v>
      </c>
      <c r="C57">
        <v>2.6</v>
      </c>
      <c r="D57">
        <v>45.1</v>
      </c>
      <c r="E57">
        <v>4.4000000000000004</v>
      </c>
      <c r="F57">
        <v>220.85</v>
      </c>
      <c r="G57">
        <v>0.1</v>
      </c>
      <c r="H57">
        <v>2.4</v>
      </c>
      <c r="I57">
        <v>111.893</v>
      </c>
      <c r="J57">
        <v>4.9236000000000004</v>
      </c>
      <c r="K57">
        <v>25.882400000000001</v>
      </c>
      <c r="L57">
        <v>3.8687</v>
      </c>
      <c r="M57">
        <v>24.617100000000001</v>
      </c>
      <c r="P57">
        <v>70.12</v>
      </c>
      <c r="S57">
        <f t="shared" si="24"/>
        <v>465.63479999999998</v>
      </c>
      <c r="T57">
        <f t="shared" si="3"/>
        <v>1.7811834839292717E-2</v>
      </c>
      <c r="U57">
        <f t="shared" si="4"/>
        <v>2.437408978008477E-3</v>
      </c>
      <c r="V57">
        <f t="shared" si="5"/>
        <v>4.2279671118531661E-2</v>
      </c>
      <c r="W57">
        <f t="shared" si="6"/>
        <v>4.1248459627835771E-3</v>
      </c>
      <c r="X57">
        <f t="shared" si="7"/>
        <v>0.20703914338198928</v>
      </c>
      <c r="Y57">
        <f t="shared" si="8"/>
        <v>9.3746499154172199E-5</v>
      </c>
      <c r="Z57">
        <f t="shared" si="9"/>
        <v>2.2499159797001326E-3</v>
      </c>
      <c r="AA57">
        <f t="shared" si="10"/>
        <v>0.10489577029857788</v>
      </c>
      <c r="AB57">
        <f t="shared" si="11"/>
        <v>4.6157026323548223E-3</v>
      </c>
      <c r="AC57">
        <f t="shared" si="12"/>
        <v>2.4263843897079463E-2</v>
      </c>
      <c r="AD57">
        <f t="shared" si="13"/>
        <v>3.6267708127774596E-3</v>
      </c>
      <c r="AE57">
        <f t="shared" si="14"/>
        <v>2.3077669443281722E-2</v>
      </c>
      <c r="AG57">
        <f t="shared" si="15"/>
        <v>-0.4733868210452582</v>
      </c>
      <c r="AH57">
        <f t="shared" si="16"/>
        <v>0.29911423620274175</v>
      </c>
      <c r="AI57">
        <f t="shared" si="17"/>
        <v>-7.8988566731629087E-2</v>
      </c>
      <c r="AK57" s="26">
        <f t="shared" si="18"/>
        <v>0.18560462537489025</v>
      </c>
      <c r="AL57" s="26">
        <f t="shared" si="19"/>
        <v>0.112273893357208</v>
      </c>
      <c r="AM57" s="26">
        <f t="shared" si="20"/>
        <v>7.1933572608106233E-2</v>
      </c>
      <c r="AN57" s="26">
        <f t="shared" si="21"/>
        <v>19.54174603174603</v>
      </c>
      <c r="AO57" s="26">
        <f t="shared" si="22"/>
        <v>21.072086919104976</v>
      </c>
      <c r="AP57" s="26">
        <f t="shared" si="23"/>
        <v>21.043028019222199</v>
      </c>
      <c r="AS57" s="2">
        <v>45423</v>
      </c>
      <c r="AT57">
        <v>23.3</v>
      </c>
      <c r="AU57">
        <v>3.3</v>
      </c>
      <c r="AV57">
        <v>5.9</v>
      </c>
      <c r="AW57">
        <v>1.4</v>
      </c>
      <c r="AX57">
        <v>403.09</v>
      </c>
      <c r="AY57">
        <v>0.1</v>
      </c>
      <c r="AZ57">
        <v>2.5</v>
      </c>
      <c r="BA57">
        <v>120.2209</v>
      </c>
      <c r="BB57">
        <v>9.8010999999999999</v>
      </c>
      <c r="BC57">
        <v>68.239400000000003</v>
      </c>
      <c r="BD57">
        <v>3.3435000000000001</v>
      </c>
      <c r="BE57">
        <v>26.534600000000001</v>
      </c>
      <c r="BH57">
        <v>64.819999999999993</v>
      </c>
    </row>
    <row r="58" spans="1:60" x14ac:dyDescent="0.25">
      <c r="A58" s="2">
        <v>45443</v>
      </c>
      <c r="B58">
        <v>23.5</v>
      </c>
      <c r="C58">
        <v>212.6</v>
      </c>
      <c r="D58">
        <v>34</v>
      </c>
      <c r="E58">
        <v>2.2000000000000002</v>
      </c>
      <c r="F58">
        <v>197.22</v>
      </c>
      <c r="G58">
        <v>0.1</v>
      </c>
      <c r="H58">
        <v>2.6</v>
      </c>
      <c r="I58">
        <v>222.50149999999999</v>
      </c>
      <c r="J58">
        <v>4.6288999999999998</v>
      </c>
      <c r="K58">
        <v>56.784300000000002</v>
      </c>
      <c r="L58">
        <v>3.8639999999999999</v>
      </c>
      <c r="M58">
        <v>26.620200000000001</v>
      </c>
      <c r="N58">
        <v>-28.488</v>
      </c>
      <c r="O58">
        <v>-38.533900000000003</v>
      </c>
      <c r="P58">
        <v>69.98</v>
      </c>
      <c r="S58">
        <f t="shared" si="24"/>
        <v>786.61890000000005</v>
      </c>
      <c r="T58">
        <f t="shared" si="3"/>
        <v>2.2030427301230466E-2</v>
      </c>
      <c r="U58">
        <f t="shared" si="4"/>
        <v>0.19930505720177008</v>
      </c>
      <c r="V58">
        <f t="shared" si="5"/>
        <v>3.1873809712418544E-2</v>
      </c>
      <c r="W58">
        <f t="shared" si="6"/>
        <v>2.0624229813917885E-3</v>
      </c>
      <c r="X58">
        <f t="shared" si="7"/>
        <v>0.18488684563185839</v>
      </c>
      <c r="Y58">
        <f t="shared" si="8"/>
        <v>9.3746499154172199E-5</v>
      </c>
      <c r="Z58">
        <f t="shared" si="9"/>
        <v>2.437408978008477E-3</v>
      </c>
      <c r="AA58">
        <f t="shared" si="10"/>
        <v>0.20858736681552043</v>
      </c>
      <c r="AB58">
        <f t="shared" si="11"/>
        <v>4.3394316993474761E-3</v>
      </c>
      <c r="AC58">
        <f t="shared" si="12"/>
        <v>5.3233293319202603E-2</v>
      </c>
      <c r="AD58">
        <f t="shared" si="13"/>
        <v>3.6223647273172133E-3</v>
      </c>
      <c r="AE58">
        <f t="shared" si="14"/>
        <v>2.4955505567838945E-2</v>
      </c>
      <c r="AG58">
        <f t="shared" si="15"/>
        <v>-0.48003018890158555</v>
      </c>
      <c r="AH58">
        <f t="shared" si="16"/>
        <v>0.46764522387367086</v>
      </c>
      <c r="AI58">
        <f t="shared" si="17"/>
        <v>1.0705265677052118</v>
      </c>
      <c r="AK58" s="26">
        <f t="shared" si="18"/>
        <v>0.20033935786281909</v>
      </c>
      <c r="AL58" s="26">
        <f t="shared" si="19"/>
        <v>0.11757525604897795</v>
      </c>
      <c r="AM58" s="26">
        <f t="shared" si="20"/>
        <v>7.2468813711685454E-2</v>
      </c>
      <c r="AN58" s="26">
        <f t="shared" si="21"/>
        <v>19.641111111111108</v>
      </c>
      <c r="AO58" s="26">
        <f t="shared" si="22"/>
        <v>21.149287865748697</v>
      </c>
      <c r="AP58" s="26">
        <f t="shared" si="23"/>
        <v>21.035999317244837</v>
      </c>
      <c r="AS58" s="2">
        <v>45422</v>
      </c>
      <c r="AT58">
        <v>23.5</v>
      </c>
      <c r="AU58">
        <v>96.1</v>
      </c>
      <c r="AV58">
        <v>5.7</v>
      </c>
      <c r="AW58">
        <v>0.7</v>
      </c>
      <c r="AX58">
        <v>399.67</v>
      </c>
      <c r="AY58">
        <v>0.1</v>
      </c>
      <c r="AZ58">
        <v>2.5</v>
      </c>
      <c r="BA58">
        <v>138.7276</v>
      </c>
      <c r="BB58">
        <v>11.684200000000001</v>
      </c>
      <c r="BC58">
        <v>91.876999999999995</v>
      </c>
      <c r="BD58">
        <v>3.48</v>
      </c>
      <c r="BE58">
        <v>25.0944</v>
      </c>
      <c r="BF58">
        <v>-20.447500000000002</v>
      </c>
      <c r="BG58">
        <v>-35.575600000000001</v>
      </c>
      <c r="BH58">
        <v>64.459999999999994</v>
      </c>
    </row>
    <row r="59" spans="1:60" x14ac:dyDescent="0.25">
      <c r="A59" s="2">
        <v>45442</v>
      </c>
      <c r="B59">
        <v>24.7</v>
      </c>
      <c r="C59">
        <v>199.7</v>
      </c>
      <c r="D59">
        <v>16.3</v>
      </c>
      <c r="E59">
        <v>1.1000000000000001</v>
      </c>
      <c r="F59">
        <v>263.43</v>
      </c>
      <c r="G59">
        <v>0.1</v>
      </c>
      <c r="H59">
        <v>3</v>
      </c>
      <c r="I59">
        <v>216.096</v>
      </c>
      <c r="J59">
        <v>10.164</v>
      </c>
      <c r="K59">
        <v>83.668499999999995</v>
      </c>
      <c r="L59">
        <v>3.7124000000000001</v>
      </c>
      <c r="M59">
        <v>27.1418</v>
      </c>
      <c r="N59">
        <v>-29.325900000000001</v>
      </c>
      <c r="O59">
        <v>-38.272399999999998</v>
      </c>
      <c r="P59">
        <v>69.7</v>
      </c>
      <c r="S59">
        <f t="shared" si="24"/>
        <v>849.11270000000002</v>
      </c>
      <c r="T59">
        <f t="shared" si="3"/>
        <v>2.3155385291080532E-2</v>
      </c>
      <c r="U59">
        <f t="shared" si="4"/>
        <v>0.18721175881088187</v>
      </c>
      <c r="V59">
        <f t="shared" si="5"/>
        <v>1.5280679362130067E-2</v>
      </c>
      <c r="W59">
        <f t="shared" si="6"/>
        <v>1.0312114906958943E-3</v>
      </c>
      <c r="X59">
        <f t="shared" si="7"/>
        <v>0.2469564027218358</v>
      </c>
      <c r="Y59">
        <f t="shared" si="8"/>
        <v>9.3746499154172199E-5</v>
      </c>
      <c r="Z59">
        <f t="shared" si="9"/>
        <v>2.8123949746251659E-3</v>
      </c>
      <c r="AA59">
        <f t="shared" si="10"/>
        <v>0.20258243481219995</v>
      </c>
      <c r="AB59">
        <f t="shared" si="11"/>
        <v>9.528394174030062E-3</v>
      </c>
      <c r="AC59">
        <f t="shared" si="12"/>
        <v>7.843628964480856E-2</v>
      </c>
      <c r="AD59">
        <f t="shared" si="13"/>
        <v>3.4802450345994885E-3</v>
      </c>
      <c r="AE59">
        <f t="shared" si="14"/>
        <v>2.5444487307427106E-2</v>
      </c>
      <c r="AG59">
        <f t="shared" si="15"/>
        <v>-0.49347925718377605</v>
      </c>
      <c r="AH59">
        <f t="shared" si="16"/>
        <v>0.50198606645783062</v>
      </c>
      <c r="AI59">
        <f t="shared" si="17"/>
        <v>1.2958463968356313</v>
      </c>
      <c r="AK59" s="26">
        <f t="shared" si="18"/>
        <v>0.20145688011844265</v>
      </c>
      <c r="AL59" s="26">
        <f t="shared" si="19"/>
        <v>0.1171083449137621</v>
      </c>
      <c r="AM59" s="26">
        <f t="shared" si="20"/>
        <v>7.193024306262813E-2</v>
      </c>
      <c r="AN59" s="26">
        <f t="shared" si="21"/>
        <v>19.729682539682543</v>
      </c>
      <c r="AO59" s="26">
        <f t="shared" si="22"/>
        <v>21.212000860585185</v>
      </c>
      <c r="AP59" s="26">
        <f t="shared" si="23"/>
        <v>21.024053464982558</v>
      </c>
      <c r="AS59" s="2">
        <v>45421</v>
      </c>
      <c r="AT59">
        <v>24.6</v>
      </c>
      <c r="AU59">
        <v>56.9</v>
      </c>
      <c r="AV59">
        <v>8.1</v>
      </c>
      <c r="AW59">
        <v>0.7</v>
      </c>
      <c r="AX59">
        <v>398.94</v>
      </c>
      <c r="AY59">
        <v>0.1</v>
      </c>
      <c r="AZ59">
        <v>2.7</v>
      </c>
      <c r="BA59">
        <v>161.6036</v>
      </c>
      <c r="BB59">
        <v>10.521000000000001</v>
      </c>
      <c r="BC59">
        <v>76.587299999999999</v>
      </c>
      <c r="BD59">
        <v>3.48</v>
      </c>
      <c r="BE59">
        <v>23.757000000000001</v>
      </c>
      <c r="BF59">
        <v>-20.215299999999999</v>
      </c>
      <c r="BG59">
        <v>-34.2453</v>
      </c>
      <c r="BH59">
        <v>64.19</v>
      </c>
    </row>
    <row r="60" spans="1:60" x14ac:dyDescent="0.25">
      <c r="A60" s="2">
        <v>45441</v>
      </c>
      <c r="B60">
        <v>24.2</v>
      </c>
      <c r="C60">
        <v>249.1</v>
      </c>
      <c r="D60">
        <v>60.5</v>
      </c>
      <c r="E60">
        <v>6.1</v>
      </c>
      <c r="F60">
        <v>268.24</v>
      </c>
      <c r="G60">
        <v>0.1</v>
      </c>
      <c r="H60">
        <v>2.5</v>
      </c>
      <c r="I60">
        <v>183.40969999999999</v>
      </c>
      <c r="J60">
        <v>20.4087</v>
      </c>
      <c r="K60">
        <v>60.938200000000002</v>
      </c>
      <c r="L60">
        <v>3.48</v>
      </c>
      <c r="M60">
        <v>24.987200000000001</v>
      </c>
      <c r="N60">
        <v>-27.6907</v>
      </c>
      <c r="O60">
        <v>-37.535800000000002</v>
      </c>
      <c r="P60">
        <v>69.48</v>
      </c>
      <c r="S60">
        <f t="shared" si="24"/>
        <v>903.96380000000022</v>
      </c>
      <c r="T60">
        <f t="shared" si="3"/>
        <v>2.268665279530967E-2</v>
      </c>
      <c r="U60">
        <f t="shared" si="4"/>
        <v>0.23352252939304291</v>
      </c>
      <c r="V60">
        <f t="shared" si="5"/>
        <v>5.6716631988274174E-2</v>
      </c>
      <c r="W60">
        <f t="shared" si="6"/>
        <v>5.7185364484045034E-3</v>
      </c>
      <c r="X60">
        <f t="shared" si="7"/>
        <v>0.25146560933115147</v>
      </c>
      <c r="Y60">
        <f t="shared" si="8"/>
        <v>9.3746499154172199E-5</v>
      </c>
      <c r="Z60">
        <f t="shared" si="9"/>
        <v>2.3436624788543046E-3</v>
      </c>
      <c r="AA60">
        <f t="shared" si="10"/>
        <v>0.17194017285916974</v>
      </c>
      <c r="AB60">
        <f t="shared" si="11"/>
        <v>1.913244177287754E-2</v>
      </c>
      <c r="AC60">
        <f t="shared" si="12"/>
        <v>5.7127429147567757E-2</v>
      </c>
      <c r="AD60">
        <f t="shared" si="13"/>
        <v>3.2623781705651924E-3</v>
      </c>
      <c r="AE60">
        <f t="shared" si="14"/>
        <v>2.3424625236651314E-2</v>
      </c>
      <c r="AG60">
        <f t="shared" si="15"/>
        <v>-0.50399346137647683</v>
      </c>
      <c r="AH60">
        <f t="shared" si="16"/>
        <v>0.59597199417084257</v>
      </c>
      <c r="AI60">
        <f t="shared" si="17"/>
        <v>1.9384396001402817</v>
      </c>
      <c r="AK60" s="26">
        <f t="shared" si="18"/>
        <v>0.19844201651427917</v>
      </c>
      <c r="AL60" s="26">
        <f t="shared" si="19"/>
        <v>0.11473773049792391</v>
      </c>
      <c r="AM60" s="26">
        <f t="shared" si="20"/>
        <v>7.1785347994968274E-2</v>
      </c>
      <c r="AN60" s="26">
        <f t="shared" si="21"/>
        <v>19.818253968253963</v>
      </c>
      <c r="AO60" s="26">
        <f t="shared" si="22"/>
        <v>21.269627796901887</v>
      </c>
      <c r="AP60" s="26">
        <f t="shared" si="23"/>
        <v>21.009490822194806</v>
      </c>
      <c r="AS60" s="2">
        <v>45420</v>
      </c>
      <c r="AT60">
        <v>24.5</v>
      </c>
      <c r="AU60">
        <v>53.8</v>
      </c>
      <c r="AV60">
        <v>2.2999999999999998</v>
      </c>
      <c r="AW60">
        <v>1.3</v>
      </c>
      <c r="AX60">
        <v>254.34</v>
      </c>
      <c r="AY60">
        <v>0.1</v>
      </c>
      <c r="AZ60">
        <v>2.7</v>
      </c>
      <c r="BA60">
        <v>231.90440000000001</v>
      </c>
      <c r="BB60">
        <v>24.744199999999999</v>
      </c>
      <c r="BC60">
        <v>143.76849999999999</v>
      </c>
      <c r="BD60">
        <v>3.48</v>
      </c>
      <c r="BE60">
        <v>25.124400000000001</v>
      </c>
      <c r="BF60">
        <v>-20.281199999999998</v>
      </c>
      <c r="BG60">
        <v>-33.870899999999999</v>
      </c>
      <c r="BH60">
        <v>63.93</v>
      </c>
    </row>
    <row r="61" spans="1:60" x14ac:dyDescent="0.25">
      <c r="A61" s="2">
        <v>45440</v>
      </c>
      <c r="B61">
        <v>24.2</v>
      </c>
      <c r="C61">
        <v>34.9</v>
      </c>
      <c r="D61">
        <v>11.9</v>
      </c>
      <c r="E61">
        <v>2.7</v>
      </c>
      <c r="F61">
        <v>283.48</v>
      </c>
      <c r="G61">
        <v>0.2</v>
      </c>
      <c r="H61">
        <v>2.2999999999999998</v>
      </c>
      <c r="I61">
        <v>263.35070000000002</v>
      </c>
      <c r="J61">
        <v>32.5411</v>
      </c>
      <c r="K61">
        <v>70.506699999999995</v>
      </c>
      <c r="L61">
        <v>3.48</v>
      </c>
      <c r="M61">
        <v>27.420300000000001</v>
      </c>
      <c r="N61">
        <v>-25.9345</v>
      </c>
      <c r="O61">
        <v>-35.581800000000001</v>
      </c>
      <c r="P61">
        <v>69.27</v>
      </c>
      <c r="S61">
        <f t="shared" si="24"/>
        <v>756.97880000000009</v>
      </c>
      <c r="T61">
        <f t="shared" si="3"/>
        <v>2.268665279530967E-2</v>
      </c>
      <c r="U61">
        <f t="shared" si="4"/>
        <v>3.2717528204806091E-2</v>
      </c>
      <c r="V61">
        <f t="shared" si="5"/>
        <v>1.115583339934649E-2</v>
      </c>
      <c r="W61">
        <f t="shared" si="6"/>
        <v>2.5311554771626494E-3</v>
      </c>
      <c r="X61">
        <f t="shared" si="7"/>
        <v>0.26575257580224737</v>
      </c>
      <c r="Y61">
        <f t="shared" si="8"/>
        <v>1.874929983083444E-4</v>
      </c>
      <c r="Z61">
        <f t="shared" si="9"/>
        <v>2.1561694805459601E-3</v>
      </c>
      <c r="AA61">
        <f t="shared" si="10"/>
        <v>0.24688206174800656</v>
      </c>
      <c r="AB61">
        <f t="shared" si="11"/>
        <v>3.0506142036258326E-2</v>
      </c>
      <c r="AC61">
        <f t="shared" si="12"/>
        <v>6.6097562919134725E-2</v>
      </c>
      <c r="AD61">
        <f t="shared" si="13"/>
        <v>3.2623781705651924E-3</v>
      </c>
      <c r="AE61">
        <f t="shared" si="14"/>
        <v>2.5705571307571479E-2</v>
      </c>
      <c r="AG61">
        <f t="shared" si="15"/>
        <v>-0.51401066894542902</v>
      </c>
      <c r="AH61">
        <f t="shared" si="16"/>
        <v>0.36289297946529808</v>
      </c>
      <c r="AI61">
        <f t="shared" si="17"/>
        <v>0.35462080691451059</v>
      </c>
      <c r="AK61" s="26">
        <f t="shared" si="18"/>
        <v>0.18962797810400223</v>
      </c>
      <c r="AL61" s="26">
        <f t="shared" si="19"/>
        <v>0.11062670143391379</v>
      </c>
      <c r="AM61" s="26">
        <f t="shared" si="20"/>
        <v>7.0236700273659081E-2</v>
      </c>
      <c r="AN61" s="26">
        <f t="shared" si="21"/>
        <v>19.905396825396835</v>
      </c>
      <c r="AO61" s="26">
        <f t="shared" si="22"/>
        <v>21.323360585197925</v>
      </c>
      <c r="AP61" s="26">
        <f t="shared" si="23"/>
        <v>20.99278826711484</v>
      </c>
      <c r="AS61" s="2">
        <v>45419</v>
      </c>
      <c r="AT61">
        <v>22.1</v>
      </c>
      <c r="AU61">
        <v>53.5</v>
      </c>
      <c r="AV61">
        <v>8</v>
      </c>
      <c r="AW61">
        <v>2.4</v>
      </c>
      <c r="AX61">
        <v>198.79</v>
      </c>
      <c r="AY61">
        <v>0.1</v>
      </c>
      <c r="AZ61">
        <v>2.7</v>
      </c>
      <c r="BA61">
        <v>218.4564</v>
      </c>
      <c r="BB61">
        <v>36.070700000000002</v>
      </c>
      <c r="BC61">
        <v>148.18690000000001</v>
      </c>
      <c r="BD61">
        <v>3.4548000000000001</v>
      </c>
      <c r="BE61">
        <v>33.861400000000003</v>
      </c>
      <c r="BF61">
        <v>-20.5426</v>
      </c>
      <c r="BG61">
        <v>-33.444499999999998</v>
      </c>
      <c r="BH61">
        <v>63.83</v>
      </c>
    </row>
    <row r="62" spans="1:60" x14ac:dyDescent="0.25">
      <c r="A62" s="2">
        <v>45439</v>
      </c>
      <c r="B62">
        <v>21.3</v>
      </c>
      <c r="C62">
        <v>255.4</v>
      </c>
      <c r="D62">
        <v>28.5</v>
      </c>
      <c r="E62">
        <v>2</v>
      </c>
      <c r="F62">
        <v>302.43</v>
      </c>
      <c r="G62">
        <v>0.1</v>
      </c>
      <c r="H62">
        <v>2.7</v>
      </c>
      <c r="I62">
        <v>226.74469999999999</v>
      </c>
      <c r="J62">
        <v>24.096399999999999</v>
      </c>
      <c r="K62">
        <v>91.9071</v>
      </c>
      <c r="L62">
        <v>3.4060000000000001</v>
      </c>
      <c r="M62">
        <v>33.510199999999998</v>
      </c>
      <c r="N62">
        <v>-26.084</v>
      </c>
      <c r="O62">
        <v>-33.985500000000002</v>
      </c>
      <c r="P62">
        <v>69.06</v>
      </c>
      <c r="S62">
        <f t="shared" si="24"/>
        <v>992.09439999999995</v>
      </c>
      <c r="T62">
        <f t="shared" si="3"/>
        <v>1.9968004319838677E-2</v>
      </c>
      <c r="U62">
        <f t="shared" si="4"/>
        <v>0.23942855883975578</v>
      </c>
      <c r="V62">
        <f t="shared" si="5"/>
        <v>2.6717752258939076E-2</v>
      </c>
      <c r="W62">
        <f t="shared" si="6"/>
        <v>1.8749299830834439E-3</v>
      </c>
      <c r="X62">
        <f t="shared" si="7"/>
        <v>0.28351753739196295</v>
      </c>
      <c r="Y62">
        <f t="shared" si="8"/>
        <v>9.3746499154172199E-5</v>
      </c>
      <c r="Z62">
        <f t="shared" si="9"/>
        <v>2.5311554771626494E-3</v>
      </c>
      <c r="AA62">
        <f t="shared" si="10"/>
        <v>0.21256521826763028</v>
      </c>
      <c r="AB62">
        <f t="shared" si="11"/>
        <v>2.2589531422185945E-2</v>
      </c>
      <c r="AC62">
        <f t="shared" si="12"/>
        <v>8.6159688724124189E-2</v>
      </c>
      <c r="AD62">
        <f t="shared" si="13"/>
        <v>3.193005761191105E-3</v>
      </c>
      <c r="AE62">
        <f t="shared" si="14"/>
        <v>3.141463935956141E-2</v>
      </c>
      <c r="AG62">
        <f t="shared" si="15"/>
        <v>-0.52401425007588309</v>
      </c>
      <c r="AH62">
        <f t="shared" si="16"/>
        <v>0.60554632412945819</v>
      </c>
      <c r="AI62">
        <f t="shared" si="17"/>
        <v>2.0116205052845029</v>
      </c>
      <c r="AK62" s="26">
        <f t="shared" si="18"/>
        <v>0.18823218052593721</v>
      </c>
      <c r="AL62" s="26">
        <f t="shared" si="19"/>
        <v>0.11144222306485235</v>
      </c>
      <c r="AM62" s="26">
        <f t="shared" si="20"/>
        <v>7.058126146077065E-2</v>
      </c>
      <c r="AN62" s="26">
        <f t="shared" si="21"/>
        <v>19.995873015873016</v>
      </c>
      <c r="AO62" s="26">
        <f t="shared" si="22"/>
        <v>21.376516781411354</v>
      </c>
      <c r="AP62" s="26">
        <f t="shared" si="23"/>
        <v>20.974425829153653</v>
      </c>
      <c r="AS62" s="2">
        <v>45418</v>
      </c>
      <c r="AT62">
        <v>19.600000000000001</v>
      </c>
      <c r="AU62">
        <v>55.2</v>
      </c>
      <c r="AV62">
        <v>9</v>
      </c>
      <c r="AW62">
        <v>2.2000000000000002</v>
      </c>
      <c r="AX62">
        <v>241.06</v>
      </c>
      <c r="AY62">
        <v>0.1</v>
      </c>
      <c r="AZ62">
        <v>2.6</v>
      </c>
      <c r="BA62">
        <v>196.57570000000001</v>
      </c>
      <c r="BB62">
        <v>33.236800000000002</v>
      </c>
      <c r="BC62">
        <v>126.2942</v>
      </c>
      <c r="BD62">
        <v>3.48</v>
      </c>
      <c r="BE62">
        <v>34.487099999999998</v>
      </c>
      <c r="BF62">
        <v>-21.513300000000001</v>
      </c>
      <c r="BG62">
        <v>-33.367100000000001</v>
      </c>
      <c r="BH62">
        <v>63.7</v>
      </c>
    </row>
    <row r="63" spans="1:60" x14ac:dyDescent="0.25">
      <c r="A63" s="2">
        <v>45438</v>
      </c>
      <c r="B63">
        <v>24</v>
      </c>
      <c r="C63">
        <v>194.4</v>
      </c>
      <c r="D63">
        <v>11.2</v>
      </c>
      <c r="E63">
        <v>1.4</v>
      </c>
      <c r="F63">
        <v>372.75</v>
      </c>
      <c r="G63">
        <v>0.1</v>
      </c>
      <c r="H63">
        <v>2.2999999999999998</v>
      </c>
      <c r="I63">
        <v>151.6431</v>
      </c>
      <c r="J63">
        <v>6.8981000000000003</v>
      </c>
      <c r="K63">
        <v>36.369</v>
      </c>
      <c r="L63">
        <v>3.48</v>
      </c>
      <c r="M63">
        <v>18.289200000000001</v>
      </c>
      <c r="P63">
        <v>68.819999999999993</v>
      </c>
      <c r="S63">
        <f t="shared" si="24"/>
        <v>822.82940000000008</v>
      </c>
      <c r="T63">
        <f t="shared" si="3"/>
        <v>2.2499159797001327E-2</v>
      </c>
      <c r="U63">
        <f t="shared" si="4"/>
        <v>0.18224319435571074</v>
      </c>
      <c r="V63">
        <f t="shared" si="5"/>
        <v>1.0499607905267284E-2</v>
      </c>
      <c r="W63">
        <f t="shared" si="6"/>
        <v>1.3124509881584105E-3</v>
      </c>
      <c r="X63">
        <f t="shared" si="7"/>
        <v>0.34944007559717682</v>
      </c>
      <c r="Y63">
        <f t="shared" si="8"/>
        <v>9.3746499154172199E-5</v>
      </c>
      <c r="Z63">
        <f t="shared" si="9"/>
        <v>2.1561694805459601E-3</v>
      </c>
      <c r="AA63">
        <f t="shared" si="10"/>
        <v>0.14216009745886049</v>
      </c>
      <c r="AB63">
        <f t="shared" si="11"/>
        <v>6.4667272581539524E-3</v>
      </c>
      <c r="AC63">
        <f t="shared" si="12"/>
        <v>3.4094664277380886E-2</v>
      </c>
      <c r="AD63">
        <f t="shared" si="13"/>
        <v>3.2623781705651924E-3</v>
      </c>
      <c r="AE63">
        <f t="shared" si="14"/>
        <v>1.7145484723304863E-2</v>
      </c>
      <c r="AG63">
        <f t="shared" si="15"/>
        <v>-0.53546199216955792</v>
      </c>
      <c r="AH63">
        <f t="shared" si="16"/>
        <v>0.58538988934631964</v>
      </c>
      <c r="AI63">
        <f t="shared" si="17"/>
        <v>1.8849182231826682</v>
      </c>
      <c r="AK63" s="26">
        <f t="shared" si="18"/>
        <v>0.1782376489973192</v>
      </c>
      <c r="AL63" s="26">
        <f t="shared" si="19"/>
        <v>0.1055961193331717</v>
      </c>
      <c r="AM63" s="26">
        <f t="shared" si="20"/>
        <v>6.8390817419687278E-2</v>
      </c>
      <c r="AN63" s="26">
        <f t="shared" si="21"/>
        <v>20.087301587301582</v>
      </c>
      <c r="AO63" s="26">
        <f t="shared" si="22"/>
        <v>21.422125645438896</v>
      </c>
      <c r="AP63" s="26">
        <f t="shared" si="23"/>
        <v>20.954521677476961</v>
      </c>
      <c r="AS63" s="2">
        <v>45417</v>
      </c>
      <c r="AT63">
        <v>18.3</v>
      </c>
      <c r="AU63">
        <v>3.9</v>
      </c>
      <c r="AV63">
        <v>31.6</v>
      </c>
      <c r="AW63">
        <v>6.2</v>
      </c>
      <c r="AX63">
        <v>248.19</v>
      </c>
      <c r="AY63">
        <v>0.1</v>
      </c>
      <c r="AZ63">
        <v>2.6</v>
      </c>
      <c r="BA63">
        <v>113.0592</v>
      </c>
      <c r="BB63">
        <v>9.4440000000000008</v>
      </c>
      <c r="BC63">
        <v>37.6768</v>
      </c>
      <c r="BD63">
        <v>3.48</v>
      </c>
      <c r="BE63">
        <v>10.2179</v>
      </c>
      <c r="BH63">
        <v>63.51</v>
      </c>
    </row>
    <row r="64" spans="1:60" x14ac:dyDescent="0.25">
      <c r="A64" s="2">
        <v>45437</v>
      </c>
      <c r="B64">
        <v>25.1</v>
      </c>
      <c r="C64">
        <v>40.799999999999997</v>
      </c>
      <c r="D64">
        <v>25.9</v>
      </c>
      <c r="E64">
        <v>1.2</v>
      </c>
      <c r="F64">
        <v>321.51</v>
      </c>
      <c r="G64">
        <v>0.1</v>
      </c>
      <c r="H64">
        <v>2.2999999999999998</v>
      </c>
      <c r="I64">
        <v>183.77029999999999</v>
      </c>
      <c r="J64">
        <v>9.2726000000000006</v>
      </c>
      <c r="K64">
        <v>55.630899999999997</v>
      </c>
      <c r="L64">
        <v>3.48</v>
      </c>
      <c r="M64">
        <v>19.092400000000001</v>
      </c>
      <c r="P64">
        <v>68.48</v>
      </c>
      <c r="S64">
        <f t="shared" si="24"/>
        <v>688.15620000000001</v>
      </c>
      <c r="T64">
        <f t="shared" si="3"/>
        <v>2.3530371287697222E-2</v>
      </c>
      <c r="U64">
        <f t="shared" si="4"/>
        <v>3.8248571654902253E-2</v>
      </c>
      <c r="V64">
        <f t="shared" si="5"/>
        <v>2.4280343280930598E-2</v>
      </c>
      <c r="W64">
        <f t="shared" si="6"/>
        <v>1.1249579898500663E-3</v>
      </c>
      <c r="X64">
        <f t="shared" si="7"/>
        <v>0.30140436943057902</v>
      </c>
      <c r="Y64">
        <f t="shared" si="8"/>
        <v>9.3746499154172199E-5</v>
      </c>
      <c r="Z64">
        <f t="shared" si="9"/>
        <v>2.1561694805459601E-3</v>
      </c>
      <c r="AA64">
        <f t="shared" si="10"/>
        <v>0.1722782227351197</v>
      </c>
      <c r="AB64">
        <f t="shared" si="11"/>
        <v>8.6927378805697706E-3</v>
      </c>
      <c r="AC64">
        <f t="shared" si="12"/>
        <v>5.2152021197958372E-2</v>
      </c>
      <c r="AD64">
        <f t="shared" si="13"/>
        <v>3.2623781705651924E-3</v>
      </c>
      <c r="AE64">
        <f t="shared" si="14"/>
        <v>1.7898456604511174E-2</v>
      </c>
      <c r="AG64">
        <f t="shared" si="15"/>
        <v>-0.55176613285938902</v>
      </c>
      <c r="AH64">
        <f t="shared" si="16"/>
        <v>0.40873698622817045</v>
      </c>
      <c r="AI64">
        <f t="shared" si="17"/>
        <v>0.67761928961869322</v>
      </c>
      <c r="AK64" s="26">
        <f t="shared" si="18"/>
        <v>0.16029933376223099</v>
      </c>
      <c r="AL64" s="26">
        <f t="shared" si="19"/>
        <v>0.10118625373897161</v>
      </c>
      <c r="AM64" s="26">
        <f t="shared" si="20"/>
        <v>6.6527468847746296E-2</v>
      </c>
      <c r="AN64" s="26">
        <f t="shared" si="21"/>
        <v>20.177142857142847</v>
      </c>
      <c r="AO64" s="26">
        <f t="shared" si="22"/>
        <v>21.452661359724601</v>
      </c>
      <c r="AP64" s="26">
        <f t="shared" si="23"/>
        <v>20.931893595231216</v>
      </c>
      <c r="AS64" s="2">
        <v>45416</v>
      </c>
      <c r="AT64">
        <v>20.2</v>
      </c>
      <c r="AU64">
        <v>2.2000000000000002</v>
      </c>
      <c r="AV64">
        <v>13.3</v>
      </c>
      <c r="AW64">
        <v>1.4</v>
      </c>
      <c r="AX64">
        <v>286.3</v>
      </c>
      <c r="AY64">
        <v>0.1</v>
      </c>
      <c r="AZ64">
        <v>2.7</v>
      </c>
      <c r="BA64">
        <v>132.97540000000001</v>
      </c>
      <c r="BB64">
        <v>8.3430999999999997</v>
      </c>
      <c r="BC64">
        <v>81.690799999999996</v>
      </c>
      <c r="BD64">
        <v>3.48</v>
      </c>
      <c r="BE64">
        <v>22.429500000000001</v>
      </c>
      <c r="BH64">
        <v>63.32</v>
      </c>
    </row>
    <row r="65" spans="1:60" x14ac:dyDescent="0.25">
      <c r="A65" s="2">
        <v>45436</v>
      </c>
      <c r="B65">
        <v>25.1</v>
      </c>
      <c r="C65">
        <v>480.2</v>
      </c>
      <c r="D65">
        <v>8.8000000000000007</v>
      </c>
      <c r="E65">
        <v>1.9</v>
      </c>
      <c r="F65">
        <v>282.45999999999998</v>
      </c>
      <c r="G65">
        <v>0.1</v>
      </c>
      <c r="H65">
        <v>2.9</v>
      </c>
      <c r="I65">
        <v>251.99039999999999</v>
      </c>
      <c r="J65">
        <v>43.907600000000002</v>
      </c>
      <c r="K65">
        <v>133.4366</v>
      </c>
      <c r="L65">
        <v>3.48</v>
      </c>
      <c r="M65">
        <v>32.017200000000003</v>
      </c>
      <c r="N65">
        <v>-24.743300000000001</v>
      </c>
      <c r="O65">
        <v>-33.993099999999998</v>
      </c>
      <c r="P65">
        <v>68.19</v>
      </c>
      <c r="S65">
        <f t="shared" si="24"/>
        <v>1266.2918</v>
      </c>
      <c r="T65">
        <f t="shared" si="3"/>
        <v>2.3530371287697222E-2</v>
      </c>
      <c r="U65">
        <f t="shared" si="4"/>
        <v>0.45017068893833484</v>
      </c>
      <c r="V65">
        <f t="shared" si="5"/>
        <v>8.2496919255671541E-3</v>
      </c>
      <c r="W65">
        <f t="shared" si="6"/>
        <v>1.7811834839292716E-3</v>
      </c>
      <c r="X65">
        <f t="shared" si="7"/>
        <v>0.26479636151087477</v>
      </c>
      <c r="Y65">
        <f t="shared" si="8"/>
        <v>9.3746499154172199E-5</v>
      </c>
      <c r="Z65">
        <f t="shared" si="9"/>
        <v>2.7186484754709935E-3</v>
      </c>
      <c r="AA65">
        <f t="shared" si="10"/>
        <v>0.23623217820459511</v>
      </c>
      <c r="AB65">
        <f t="shared" si="11"/>
        <v>4.1161837862617311E-2</v>
      </c>
      <c r="AC65">
        <f t="shared" si="12"/>
        <v>0.12509214109035613</v>
      </c>
      <c r="AD65">
        <f t="shared" si="13"/>
        <v>3.2623781705651924E-3</v>
      </c>
      <c r="AE65">
        <f t="shared" si="14"/>
        <v>3.0015004127189621E-2</v>
      </c>
      <c r="AG65">
        <f t="shared" si="15"/>
        <v>-0.56561539254255755</v>
      </c>
      <c r="AH65">
        <f t="shared" si="16"/>
        <v>0.78135569624821799</v>
      </c>
      <c r="AI65">
        <f t="shared" si="17"/>
        <v>3.2412489615099327</v>
      </c>
      <c r="AK65" s="26">
        <f t="shared" si="18"/>
        <v>0.15685366184130373</v>
      </c>
      <c r="AL65" s="26">
        <f t="shared" si="19"/>
        <v>0.10067498506003908</v>
      </c>
      <c r="AM65" s="26">
        <f t="shared" si="20"/>
        <v>6.6741177533510332E-2</v>
      </c>
      <c r="AN65" s="26">
        <f t="shared" si="21"/>
        <v>20.27015873015872</v>
      </c>
      <c r="AO65" s="26">
        <f t="shared" si="22"/>
        <v>21.493975903614441</v>
      </c>
      <c r="AP65" s="26">
        <f t="shared" si="23"/>
        <v>20.90733699220084</v>
      </c>
      <c r="AS65" s="2">
        <v>45415</v>
      </c>
      <c r="AT65">
        <v>19.7</v>
      </c>
      <c r="AU65">
        <v>85.7</v>
      </c>
      <c r="AV65">
        <v>56.7</v>
      </c>
      <c r="AW65">
        <v>6.2</v>
      </c>
      <c r="AX65">
        <v>177.47</v>
      </c>
      <c r="AY65">
        <v>0.2</v>
      </c>
      <c r="AZ65">
        <v>2.7</v>
      </c>
      <c r="BA65">
        <v>125.5711</v>
      </c>
      <c r="BB65">
        <v>18.967300000000002</v>
      </c>
      <c r="BC65">
        <v>72.045900000000003</v>
      </c>
      <c r="BD65">
        <v>3.4060000000000001</v>
      </c>
      <c r="BE65">
        <v>40.404899999999998</v>
      </c>
      <c r="BF65">
        <v>-20.6829</v>
      </c>
      <c r="BG65">
        <v>-34.6661</v>
      </c>
      <c r="BH65">
        <v>63.08</v>
      </c>
    </row>
    <row r="66" spans="1:60" x14ac:dyDescent="0.25">
      <c r="A66" s="2">
        <v>45435</v>
      </c>
      <c r="B66">
        <v>24.7</v>
      </c>
      <c r="C66">
        <v>117.8</v>
      </c>
      <c r="D66">
        <v>14</v>
      </c>
      <c r="E66">
        <v>2.6</v>
      </c>
      <c r="F66">
        <v>336.67</v>
      </c>
      <c r="G66">
        <v>0.1</v>
      </c>
      <c r="H66">
        <v>2.9</v>
      </c>
      <c r="I66">
        <v>221.41200000000001</v>
      </c>
      <c r="J66">
        <v>33.812399999999997</v>
      </c>
      <c r="K66">
        <v>86.245400000000004</v>
      </c>
      <c r="L66">
        <v>3.4060000000000001</v>
      </c>
      <c r="M66">
        <v>32.094499999999996</v>
      </c>
      <c r="N66">
        <v>-25.086500000000001</v>
      </c>
      <c r="O66">
        <v>-32.639499999999998</v>
      </c>
      <c r="P66">
        <v>67.959999999999994</v>
      </c>
      <c r="S66">
        <f t="shared" ref="S66:S129" si="25">SUM(B66:M66)</f>
        <v>875.74030000000005</v>
      </c>
      <c r="T66">
        <f t="shared" si="3"/>
        <v>2.3155385291080532E-2</v>
      </c>
      <c r="U66">
        <f t="shared" si="4"/>
        <v>0.11043337600361484</v>
      </c>
      <c r="V66">
        <f t="shared" si="5"/>
        <v>1.3124509881584107E-2</v>
      </c>
      <c r="W66">
        <f t="shared" si="6"/>
        <v>2.437408978008477E-3</v>
      </c>
      <c r="X66">
        <f t="shared" si="7"/>
        <v>0.31561633870235151</v>
      </c>
      <c r="Y66">
        <f t="shared" si="8"/>
        <v>9.3746499154172199E-5</v>
      </c>
      <c r="Z66">
        <f t="shared" si="9"/>
        <v>2.7186484754709935E-3</v>
      </c>
      <c r="AA66">
        <f t="shared" si="10"/>
        <v>0.20756599870723574</v>
      </c>
      <c r="AB66">
        <f t="shared" si="11"/>
        <v>3.1697941280005318E-2</v>
      </c>
      <c r="AC66">
        <f t="shared" si="12"/>
        <v>8.0852043181512429E-2</v>
      </c>
      <c r="AD66">
        <f t="shared" si="13"/>
        <v>3.193005761191105E-3</v>
      </c>
      <c r="AE66">
        <f t="shared" si="14"/>
        <v>3.0087470171035791E-2</v>
      </c>
      <c r="AG66">
        <f t="shared" si="15"/>
        <v>-0.57652678563149695</v>
      </c>
      <c r="AH66">
        <f t="shared" si="16"/>
        <v>0.49766688400230047</v>
      </c>
      <c r="AI66">
        <f t="shared" si="17"/>
        <v>1.3136344782870184</v>
      </c>
      <c r="AK66" s="26">
        <f t="shared" si="18"/>
        <v>0.13497249979928205</v>
      </c>
      <c r="AL66" s="26">
        <f t="shared" si="19"/>
        <v>9.327777285034955E-2</v>
      </c>
      <c r="AM66" s="26">
        <f t="shared" si="20"/>
        <v>6.367218848701689E-2</v>
      </c>
      <c r="AN66" s="26">
        <f t="shared" si="21"/>
        <v>20.361904761904761</v>
      </c>
      <c r="AO66" s="26">
        <f t="shared" si="22"/>
        <v>21.532882960413069</v>
      </c>
      <c r="AP66" s="26">
        <f t="shared" si="23"/>
        <v>20.881380741051963</v>
      </c>
      <c r="AS66" s="2">
        <v>45414</v>
      </c>
      <c r="AT66">
        <v>17.899999999999999</v>
      </c>
      <c r="AU66">
        <v>58</v>
      </c>
      <c r="AV66">
        <v>71.8</v>
      </c>
      <c r="AW66">
        <v>8.5</v>
      </c>
      <c r="AX66">
        <v>324.13</v>
      </c>
      <c r="AY66">
        <v>0.5</v>
      </c>
      <c r="AZ66">
        <v>2.7</v>
      </c>
      <c r="BA66">
        <v>85.631699999999995</v>
      </c>
      <c r="BB66">
        <v>23.363700000000001</v>
      </c>
      <c r="BC66">
        <v>43.508099999999999</v>
      </c>
      <c r="BD66">
        <v>3.48</v>
      </c>
      <c r="BE66">
        <v>25.671199999999999</v>
      </c>
      <c r="BF66">
        <v>-20.551500000000001</v>
      </c>
      <c r="BG66">
        <v>-34.585500000000003</v>
      </c>
      <c r="BH66">
        <v>62.88</v>
      </c>
    </row>
    <row r="67" spans="1:60" x14ac:dyDescent="0.25">
      <c r="A67" s="2">
        <v>45434</v>
      </c>
      <c r="B67">
        <v>24.7</v>
      </c>
      <c r="C67">
        <v>245.3</v>
      </c>
      <c r="D67">
        <v>52.6</v>
      </c>
      <c r="E67">
        <v>6</v>
      </c>
      <c r="F67">
        <v>230.02</v>
      </c>
      <c r="G67">
        <v>0.1</v>
      </c>
      <c r="H67">
        <v>2.9</v>
      </c>
      <c r="I67">
        <v>170.50659999999999</v>
      </c>
      <c r="J67">
        <v>20.151199999999999</v>
      </c>
      <c r="K67">
        <v>75.658000000000001</v>
      </c>
      <c r="L67">
        <v>3.48</v>
      </c>
      <c r="M67">
        <v>30.712</v>
      </c>
      <c r="N67">
        <v>-23.609400000000001</v>
      </c>
      <c r="O67">
        <v>-32.857900000000001</v>
      </c>
      <c r="P67">
        <v>67.73</v>
      </c>
      <c r="S67">
        <f t="shared" si="25"/>
        <v>862.12780000000009</v>
      </c>
      <c r="T67">
        <f t="shared" si="3"/>
        <v>2.3155385291080532E-2</v>
      </c>
      <c r="U67">
        <f t="shared" si="4"/>
        <v>0.22996016242518438</v>
      </c>
      <c r="V67">
        <f t="shared" si="5"/>
        <v>4.9310658555094575E-2</v>
      </c>
      <c r="W67">
        <f t="shared" si="6"/>
        <v>5.6247899492503318E-3</v>
      </c>
      <c r="X67">
        <f t="shared" si="7"/>
        <v>0.21563569735442689</v>
      </c>
      <c r="Y67">
        <f t="shared" si="8"/>
        <v>9.3746499154172199E-5</v>
      </c>
      <c r="Z67">
        <f t="shared" si="9"/>
        <v>2.7186484754709935E-3</v>
      </c>
      <c r="AA67">
        <f t="shared" si="10"/>
        <v>0.15984396832680775</v>
      </c>
      <c r="AB67">
        <f t="shared" si="11"/>
        <v>1.8891044537555544E-2</v>
      </c>
      <c r="AC67">
        <f t="shared" si="12"/>
        <v>7.0926726330063597E-2</v>
      </c>
      <c r="AD67">
        <f t="shared" si="13"/>
        <v>3.2623781705651924E-3</v>
      </c>
      <c r="AE67">
        <f t="shared" si="14"/>
        <v>2.8791424820229363E-2</v>
      </c>
      <c r="AG67">
        <f t="shared" si="15"/>
        <v>-0.58742968469749912</v>
      </c>
      <c r="AH67">
        <f t="shared" si="16"/>
        <v>0.55529051336989121</v>
      </c>
      <c r="AI67">
        <f t="shared" si="17"/>
        <v>1.7237570357583529</v>
      </c>
      <c r="AK67" s="26">
        <f t="shared" si="18"/>
        <v>0.13828879411117823</v>
      </c>
      <c r="AL67" s="26">
        <f t="shared" si="19"/>
        <v>8.9802621187291432E-2</v>
      </c>
      <c r="AM67" s="26">
        <f t="shared" si="20"/>
        <v>6.2743182156842853E-2</v>
      </c>
      <c r="AN67" s="26">
        <f t="shared" si="21"/>
        <v>20.451428571428572</v>
      </c>
      <c r="AO67" s="26">
        <f t="shared" si="22"/>
        <v>21.570294750430278</v>
      </c>
      <c r="AP67" s="26">
        <f t="shared" si="23"/>
        <v>20.853757254273781</v>
      </c>
      <c r="AS67" s="2">
        <v>45413</v>
      </c>
      <c r="AT67">
        <v>17.8</v>
      </c>
      <c r="AU67">
        <v>128.30000000000001</v>
      </c>
      <c r="AV67">
        <v>46.6</v>
      </c>
      <c r="AW67">
        <v>5.6</v>
      </c>
      <c r="AX67">
        <v>373.83</v>
      </c>
      <c r="AY67">
        <v>0.4</v>
      </c>
      <c r="AZ67">
        <v>2.7</v>
      </c>
      <c r="BA67">
        <v>89.909499999999994</v>
      </c>
      <c r="BB67">
        <v>9.9064999999999994</v>
      </c>
      <c r="BC67">
        <v>20.279900000000001</v>
      </c>
      <c r="BD67">
        <v>3.48</v>
      </c>
      <c r="BE67">
        <v>20.562999999999999</v>
      </c>
      <c r="BF67">
        <v>-25.0947</v>
      </c>
      <c r="BG67">
        <v>-40.756</v>
      </c>
      <c r="BH67">
        <v>62.69</v>
      </c>
    </row>
    <row r="68" spans="1:60" x14ac:dyDescent="0.25">
      <c r="A68" s="2">
        <v>45433</v>
      </c>
      <c r="B68">
        <v>23.6</v>
      </c>
      <c r="C68">
        <v>76</v>
      </c>
      <c r="D68">
        <v>51.1</v>
      </c>
      <c r="E68">
        <v>6.5</v>
      </c>
      <c r="F68">
        <v>244.33</v>
      </c>
      <c r="G68">
        <v>0.1</v>
      </c>
      <c r="H68">
        <v>3</v>
      </c>
      <c r="I68">
        <v>146.55500000000001</v>
      </c>
      <c r="J68">
        <v>14.300700000000001</v>
      </c>
      <c r="K68">
        <v>74.944500000000005</v>
      </c>
      <c r="L68">
        <v>3.48</v>
      </c>
      <c r="M68">
        <v>33.018900000000002</v>
      </c>
      <c r="N68">
        <v>-22.405999999999999</v>
      </c>
      <c r="O68">
        <v>-34.630899999999997</v>
      </c>
      <c r="P68">
        <v>67.53</v>
      </c>
      <c r="S68">
        <f t="shared" si="25"/>
        <v>676.92910000000006</v>
      </c>
      <c r="T68">
        <f t="shared" si="3"/>
        <v>2.2124173800384637E-2</v>
      </c>
      <c r="U68">
        <f t="shared" si="4"/>
        <v>7.1247339357170869E-2</v>
      </c>
      <c r="V68">
        <f t="shared" si="5"/>
        <v>4.7904461067781991E-2</v>
      </c>
      <c r="W68">
        <f t="shared" si="6"/>
        <v>6.0935224450211923E-3</v>
      </c>
      <c r="X68">
        <f t="shared" si="7"/>
        <v>0.22905082138338892</v>
      </c>
      <c r="Y68">
        <f t="shared" si="8"/>
        <v>9.3746499154172199E-5</v>
      </c>
      <c r="Z68">
        <f t="shared" si="9"/>
        <v>2.8123949746251659E-3</v>
      </c>
      <c r="AA68">
        <f t="shared" si="10"/>
        <v>0.13739018183539706</v>
      </c>
      <c r="AB68">
        <f t="shared" si="11"/>
        <v>1.3406405604540704E-2</v>
      </c>
      <c r="AC68">
        <f t="shared" si="12"/>
        <v>7.0257845058598584E-2</v>
      </c>
      <c r="AD68">
        <f t="shared" si="13"/>
        <v>3.2623781705651924E-3</v>
      </c>
      <c r="AE68">
        <f t="shared" si="14"/>
        <v>3.0954062809216965E-2</v>
      </c>
      <c r="AG68">
        <f t="shared" si="15"/>
        <v>-0.59686442141007434</v>
      </c>
      <c r="AH68">
        <f t="shared" si="16"/>
        <v>0.41028052233674395</v>
      </c>
      <c r="AI68">
        <f t="shared" si="17"/>
        <v>0.71006197965516693</v>
      </c>
      <c r="AK68" s="26">
        <f t="shared" si="18"/>
        <v>0.14415739489609397</v>
      </c>
      <c r="AL68" s="26">
        <f t="shared" si="19"/>
        <v>8.6146631236535376E-2</v>
      </c>
      <c r="AM68" s="26">
        <f t="shared" si="20"/>
        <v>6.1736919344347468E-2</v>
      </c>
      <c r="AN68" s="26">
        <f t="shared" si="21"/>
        <v>20.538730158730161</v>
      </c>
      <c r="AO68" s="26">
        <f t="shared" si="22"/>
        <v>21.606731927710833</v>
      </c>
      <c r="AP68" s="26">
        <f t="shared" si="23"/>
        <v>20.823695543709462</v>
      </c>
      <c r="AS68" s="2">
        <v>45412</v>
      </c>
      <c r="AT68">
        <v>19.3</v>
      </c>
      <c r="AU68">
        <v>21</v>
      </c>
      <c r="AV68">
        <v>46.6</v>
      </c>
      <c r="AW68">
        <v>3.9</v>
      </c>
      <c r="AX68">
        <v>369.2</v>
      </c>
      <c r="AY68">
        <v>0.1</v>
      </c>
      <c r="AZ68">
        <v>2.2000000000000002</v>
      </c>
      <c r="BA68">
        <v>112.5591</v>
      </c>
      <c r="BB68">
        <v>18.364699999999999</v>
      </c>
      <c r="BC68">
        <v>76.273600000000002</v>
      </c>
      <c r="BD68">
        <v>3.48</v>
      </c>
      <c r="BE68">
        <v>34.511899999999997</v>
      </c>
      <c r="BF68">
        <v>-26.084599999999998</v>
      </c>
      <c r="BG68">
        <v>-38.835000000000001</v>
      </c>
      <c r="BH68">
        <v>62.45</v>
      </c>
    </row>
    <row r="69" spans="1:60" x14ac:dyDescent="0.25">
      <c r="A69" s="2">
        <v>45432</v>
      </c>
      <c r="B69">
        <v>22.5</v>
      </c>
      <c r="C69">
        <v>49.1</v>
      </c>
      <c r="D69">
        <v>25.8</v>
      </c>
      <c r="E69">
        <v>1.1000000000000001</v>
      </c>
      <c r="F69">
        <v>381.3</v>
      </c>
      <c r="G69">
        <v>0.1</v>
      </c>
      <c r="H69">
        <v>3.2</v>
      </c>
      <c r="I69">
        <v>123.7617</v>
      </c>
      <c r="J69">
        <v>4.5827999999999998</v>
      </c>
      <c r="K69">
        <v>29.2182</v>
      </c>
      <c r="L69">
        <v>3.48</v>
      </c>
      <c r="M69">
        <v>31.849399999999999</v>
      </c>
      <c r="N69">
        <v>-22.246700000000001</v>
      </c>
      <c r="O69">
        <v>-35.850099999999998</v>
      </c>
      <c r="P69">
        <v>67.39</v>
      </c>
      <c r="S69">
        <f t="shared" si="25"/>
        <v>675.99210000000005</v>
      </c>
      <c r="T69">
        <f t="shared" ref="T69:T132" si="26">B69/$S$4</f>
        <v>2.1092962309688743E-2</v>
      </c>
      <c r="U69">
        <f t="shared" ref="U69:U132" si="27">C69/$S$4</f>
        <v>4.6029531084698545E-2</v>
      </c>
      <c r="V69">
        <f t="shared" ref="V69:V132" si="28">D69/$S$4</f>
        <v>2.4186596781776426E-2</v>
      </c>
      <c r="W69">
        <f t="shared" ref="W69:W132" si="29">E69/$S$4</f>
        <v>1.0312114906958943E-3</v>
      </c>
      <c r="X69">
        <f t="shared" ref="X69:X132" si="30">F69/$S$4</f>
        <v>0.35745540127485859</v>
      </c>
      <c r="Y69">
        <f t="shared" ref="Y69:Y132" si="31">G69/$S$4</f>
        <v>9.3746499154172199E-5</v>
      </c>
      <c r="Z69">
        <f t="shared" ref="Z69:Z132" si="32">H69/$S$4</f>
        <v>2.9998879729335104E-3</v>
      </c>
      <c r="AA69">
        <f t="shared" ref="AA69:AA132" si="33">I69/$S$4</f>
        <v>0.11602226104368912</v>
      </c>
      <c r="AB69">
        <f t="shared" ref="AB69:AB132" si="34">J69/$S$4</f>
        <v>4.2962145632374034E-3</v>
      </c>
      <c r="AC69">
        <f t="shared" ref="AC69:AC132" si="35">K69/$S$4</f>
        <v>2.7391039615864338E-2</v>
      </c>
      <c r="AD69">
        <f t="shared" ref="AD69:AD132" si="36">L69/$S$4</f>
        <v>3.2623781705651924E-3</v>
      </c>
      <c r="AE69">
        <f t="shared" ref="AE69:AE132" si="37">M69/$S$4</f>
        <v>2.9857697501608917E-2</v>
      </c>
      <c r="AG69">
        <f t="shared" ref="AG69:AG132" si="38">(P69-AVERAGE(P69:P433)) / _xlfn.STDEV.S(P69:P1896)</f>
        <v>-0.6033621970719284</v>
      </c>
      <c r="AH69">
        <f t="shared" ref="AH69:AH132" si="39">SUM(T69:Y69,Z69,AE69)</f>
        <v>0.48274703491541482</v>
      </c>
      <c r="AI69">
        <f t="shared" ref="AI69:AI132" si="40">(AH69-AVERAGE(AH69:AH433))/_xlfn.STDEV.S(AH69:AH433)</f>
        <v>1.2181733991582462</v>
      </c>
      <c r="AK69" s="26">
        <f t="shared" ref="AK69:AK132" si="41">AVERAGEA(AH69:AH89)-AVERAGE(AH435:AH455, AH800:AH820, AH1165:AH1185)</f>
        <v>0.14896577932108335</v>
      </c>
      <c r="AL69" s="26">
        <f t="shared" ref="AL69:AL132" si="42">AVERAGEA(AH69:AH124)-AVERAGE(AH435:AH490, AH800:AH854, AH1165:AH1219)</f>
        <v>8.6440466528146076E-2</v>
      </c>
      <c r="AM69" s="26">
        <f t="shared" ref="AM69:AM132" si="43">AVERAGEA(AH69:AH181)-AVERAGE(AH435:AH547,AH800:AH911,AH1165:AH1276)</f>
        <v>6.1364202467944606E-2</v>
      </c>
      <c r="AN69" s="26">
        <f t="shared" ref="AN69:AN132" si="44">AVERAGEA(P69:P89)-AVERAGE(P435:P455, P800:P820, P1165:P1185)</f>
        <v>20.622380952380951</v>
      </c>
      <c r="AO69" s="26">
        <f t="shared" ref="AO69:AO132" si="45">AVERAGEA(P69:P124)-AVERAGE(P435:P490, P800:P854, P1165:P1219)</f>
        <v>21.641538296041304</v>
      </c>
      <c r="AP69" s="26">
        <f t="shared" ref="AP69:AP132" si="46">AVERAGEA(P69:P181)-AVERAGE(P435:P547,P800:P911,P1165:P1276)</f>
        <v>20.792025944696839</v>
      </c>
      <c r="AS69" s="2">
        <v>45411</v>
      </c>
      <c r="AT69">
        <v>19.600000000000001</v>
      </c>
      <c r="AU69">
        <v>21</v>
      </c>
      <c r="AV69">
        <v>31.8</v>
      </c>
      <c r="AW69">
        <v>2.2999999999999998</v>
      </c>
      <c r="AX69">
        <v>342.58</v>
      </c>
      <c r="AY69">
        <v>0.1</v>
      </c>
      <c r="AZ69">
        <v>2.2000000000000002</v>
      </c>
      <c r="BA69">
        <v>138.6919</v>
      </c>
      <c r="BB69">
        <v>25.5122</v>
      </c>
      <c r="BC69">
        <v>98.586200000000005</v>
      </c>
      <c r="BD69">
        <v>3.48</v>
      </c>
      <c r="BE69">
        <v>33.373800000000003</v>
      </c>
      <c r="BF69">
        <v>-24.2818</v>
      </c>
      <c r="BG69">
        <v>-37.399099999999997</v>
      </c>
      <c r="BH69">
        <v>62.23</v>
      </c>
    </row>
    <row r="70" spans="1:60" x14ac:dyDescent="0.25">
      <c r="A70" s="2">
        <v>45431</v>
      </c>
      <c r="B70">
        <v>22.7</v>
      </c>
      <c r="C70">
        <v>273.8</v>
      </c>
      <c r="D70">
        <v>27.1</v>
      </c>
      <c r="E70">
        <v>0.8</v>
      </c>
      <c r="F70">
        <v>306.64</v>
      </c>
      <c r="G70">
        <v>0.1</v>
      </c>
      <c r="H70">
        <v>3</v>
      </c>
      <c r="I70">
        <v>115.55289999999999</v>
      </c>
      <c r="J70">
        <v>4.1185999999999998</v>
      </c>
      <c r="K70">
        <v>32.615099999999998</v>
      </c>
      <c r="L70">
        <v>3.48</v>
      </c>
      <c r="M70">
        <v>25.4116</v>
      </c>
      <c r="P70">
        <v>67.14</v>
      </c>
      <c r="S70">
        <f t="shared" si="25"/>
        <v>815.31820000000005</v>
      </c>
      <c r="T70">
        <f t="shared" si="26"/>
        <v>2.1280455307997086E-2</v>
      </c>
      <c r="U70">
        <f t="shared" si="27"/>
        <v>0.25667791468412349</v>
      </c>
      <c r="V70">
        <f t="shared" si="28"/>
        <v>2.5405301270780663E-2</v>
      </c>
      <c r="W70">
        <f t="shared" si="29"/>
        <v>7.4997199323337759E-4</v>
      </c>
      <c r="X70">
        <f t="shared" si="30"/>
        <v>0.28746426500635358</v>
      </c>
      <c r="Y70">
        <f t="shared" si="31"/>
        <v>9.3746499154172199E-5</v>
      </c>
      <c r="Z70">
        <f t="shared" si="32"/>
        <v>2.8123949746251659E-3</v>
      </c>
      <c r="AA70">
        <f t="shared" si="33"/>
        <v>0.10832679842112143</v>
      </c>
      <c r="AB70">
        <f t="shared" si="34"/>
        <v>3.8610433141637356E-3</v>
      </c>
      <c r="AC70">
        <f t="shared" si="35"/>
        <v>3.0575514445632411E-2</v>
      </c>
      <c r="AD70">
        <f t="shared" si="36"/>
        <v>3.2623781705651924E-3</v>
      </c>
      <c r="AE70">
        <f t="shared" si="37"/>
        <v>2.382248537906162E-2</v>
      </c>
      <c r="AG70">
        <f t="shared" si="38"/>
        <v>-0.6151983830856802</v>
      </c>
      <c r="AH70">
        <f t="shared" si="39"/>
        <v>0.61830653511532918</v>
      </c>
      <c r="AI70">
        <f t="shared" si="40"/>
        <v>2.1747356175548913</v>
      </c>
      <c r="AK70" s="26">
        <f t="shared" si="41"/>
        <v>0.15040080311286597</v>
      </c>
      <c r="AL70" s="26">
        <f t="shared" si="42"/>
        <v>8.39334376241892E-2</v>
      </c>
      <c r="AM70" s="26">
        <f t="shared" si="43"/>
        <v>6.1423338338618377E-2</v>
      </c>
      <c r="AN70" s="26">
        <f t="shared" si="44"/>
        <v>20.692222222222235</v>
      </c>
      <c r="AO70" s="26">
        <f t="shared" si="45"/>
        <v>21.674124354561101</v>
      </c>
      <c r="AP70" s="26">
        <f t="shared" si="46"/>
        <v>20.757594338383981</v>
      </c>
      <c r="AS70" s="2">
        <v>45410</v>
      </c>
      <c r="AT70">
        <v>18.600000000000001</v>
      </c>
      <c r="AU70">
        <v>98.1</v>
      </c>
      <c r="AV70">
        <v>51</v>
      </c>
      <c r="AW70">
        <v>6.5</v>
      </c>
      <c r="AX70">
        <v>285.68</v>
      </c>
      <c r="AY70">
        <v>0.1</v>
      </c>
      <c r="AZ70">
        <v>1.9</v>
      </c>
      <c r="BA70">
        <v>94.004800000000003</v>
      </c>
      <c r="BB70">
        <v>10.507</v>
      </c>
      <c r="BC70">
        <v>29.4785</v>
      </c>
      <c r="BD70">
        <v>3.48</v>
      </c>
      <c r="BE70">
        <v>10.741400000000001</v>
      </c>
      <c r="BH70">
        <v>62.06</v>
      </c>
    </row>
    <row r="71" spans="1:60" x14ac:dyDescent="0.25">
      <c r="A71" s="2">
        <v>45430</v>
      </c>
      <c r="B71">
        <v>23</v>
      </c>
      <c r="C71">
        <v>376.8</v>
      </c>
      <c r="D71">
        <v>31.5</v>
      </c>
      <c r="E71">
        <v>2.9</v>
      </c>
      <c r="F71">
        <v>294.93</v>
      </c>
      <c r="G71">
        <v>0.1</v>
      </c>
      <c r="H71">
        <v>3</v>
      </c>
      <c r="I71">
        <v>116.1431</v>
      </c>
      <c r="J71">
        <v>5.101</v>
      </c>
      <c r="K71">
        <v>45.154400000000003</v>
      </c>
      <c r="L71">
        <v>3.48</v>
      </c>
      <c r="M71">
        <v>29.100200000000001</v>
      </c>
      <c r="P71">
        <v>66.83</v>
      </c>
      <c r="S71">
        <f t="shared" si="25"/>
        <v>931.20870000000002</v>
      </c>
      <c r="T71">
        <f t="shared" si="26"/>
        <v>2.1561694805459605E-2</v>
      </c>
      <c r="U71">
        <f t="shared" si="27"/>
        <v>0.3532368088129208</v>
      </c>
      <c r="V71">
        <f t="shared" si="28"/>
        <v>2.9530147233564241E-2</v>
      </c>
      <c r="W71">
        <f t="shared" si="29"/>
        <v>2.7186484754709935E-3</v>
      </c>
      <c r="X71">
        <f t="shared" si="30"/>
        <v>0.27648654995540006</v>
      </c>
      <c r="Y71">
        <f t="shared" si="31"/>
        <v>9.3746499154172199E-5</v>
      </c>
      <c r="Z71">
        <f t="shared" si="32"/>
        <v>2.8123949746251659E-3</v>
      </c>
      <c r="AA71">
        <f t="shared" si="33"/>
        <v>0.10888009025912937</v>
      </c>
      <c r="AB71">
        <f t="shared" si="34"/>
        <v>4.7820089218543237E-3</v>
      </c>
      <c r="AC71">
        <f t="shared" si="35"/>
        <v>4.2330669214071533E-2</v>
      </c>
      <c r="AD71">
        <f t="shared" si="36"/>
        <v>3.2623781705651924E-3</v>
      </c>
      <c r="AE71">
        <f t="shared" si="37"/>
        <v>2.7280418746862416E-2</v>
      </c>
      <c r="AG71">
        <f t="shared" si="38"/>
        <v>-0.62992686858949487</v>
      </c>
      <c r="AH71">
        <f t="shared" si="39"/>
        <v>0.71372040950345739</v>
      </c>
      <c r="AI71">
        <f t="shared" si="40"/>
        <v>2.8680233654795626</v>
      </c>
      <c r="AK71" s="26">
        <f t="shared" si="41"/>
        <v>0.14953609135682649</v>
      </c>
      <c r="AL71" s="26">
        <f t="shared" si="42"/>
        <v>8.1901857160342095E-2</v>
      </c>
      <c r="AM71" s="26">
        <f t="shared" si="43"/>
        <v>6.2027019285493867E-2</v>
      </c>
      <c r="AN71" s="26">
        <f t="shared" si="44"/>
        <v>20.75952380952382</v>
      </c>
      <c r="AO71" s="26">
        <f t="shared" si="45"/>
        <v>21.709995697074021</v>
      </c>
      <c r="AP71" s="26">
        <f t="shared" si="46"/>
        <v>20.719539665449979</v>
      </c>
      <c r="AS71" s="2">
        <v>45409</v>
      </c>
      <c r="AT71">
        <v>18.899999999999999</v>
      </c>
      <c r="AU71">
        <v>3.9</v>
      </c>
      <c r="AV71">
        <v>13.4</v>
      </c>
      <c r="AW71">
        <v>2.8</v>
      </c>
      <c r="AX71">
        <v>354.42</v>
      </c>
      <c r="AY71">
        <v>0.1</v>
      </c>
      <c r="AZ71">
        <v>2.1</v>
      </c>
      <c r="BA71">
        <v>152.08420000000001</v>
      </c>
      <c r="BB71">
        <v>24.990400000000001</v>
      </c>
      <c r="BC71">
        <v>68.846800000000002</v>
      </c>
      <c r="BD71">
        <v>3.6082000000000001</v>
      </c>
      <c r="BE71">
        <v>25.613199999999999</v>
      </c>
      <c r="BH71">
        <v>61.85</v>
      </c>
    </row>
    <row r="72" spans="1:60" x14ac:dyDescent="0.25">
      <c r="A72" s="2">
        <v>45429</v>
      </c>
      <c r="B72">
        <v>23.6</v>
      </c>
      <c r="C72">
        <v>292.10000000000002</v>
      </c>
      <c r="D72">
        <v>36.799999999999997</v>
      </c>
      <c r="E72">
        <v>8.9</v>
      </c>
      <c r="F72">
        <v>231.82</v>
      </c>
      <c r="G72">
        <v>0.1</v>
      </c>
      <c r="H72">
        <v>2.8</v>
      </c>
      <c r="I72">
        <v>128.40389999999999</v>
      </c>
      <c r="J72">
        <v>18.8307</v>
      </c>
      <c r="K72">
        <v>76.263599999999997</v>
      </c>
      <c r="L72">
        <v>3.7084999999999999</v>
      </c>
      <c r="M72">
        <v>38.5869</v>
      </c>
      <c r="N72">
        <v>-24.480899999999998</v>
      </c>
      <c r="O72">
        <v>-37.123399999999997</v>
      </c>
      <c r="P72">
        <v>66.540000000000006</v>
      </c>
      <c r="S72">
        <f t="shared" si="25"/>
        <v>861.91359999999997</v>
      </c>
      <c r="T72">
        <f t="shared" si="26"/>
        <v>2.2124173800384637E-2</v>
      </c>
      <c r="U72">
        <f t="shared" si="27"/>
        <v>0.27383352402933697</v>
      </c>
      <c r="V72">
        <f t="shared" si="28"/>
        <v>3.4498711688735362E-2</v>
      </c>
      <c r="W72">
        <f t="shared" si="29"/>
        <v>8.3434384247213257E-3</v>
      </c>
      <c r="X72">
        <f t="shared" si="30"/>
        <v>0.21732313433920197</v>
      </c>
      <c r="Y72">
        <f t="shared" si="31"/>
        <v>9.3746499154172199E-5</v>
      </c>
      <c r="Z72">
        <f t="shared" si="32"/>
        <v>2.624901976316821E-3</v>
      </c>
      <c r="AA72">
        <f t="shared" si="33"/>
        <v>0.1203741610274241</v>
      </c>
      <c r="AB72">
        <f t="shared" si="34"/>
        <v>1.7653122016224702E-2</v>
      </c>
      <c r="AC72">
        <f t="shared" si="35"/>
        <v>7.1494455128941259E-2</v>
      </c>
      <c r="AD72">
        <f t="shared" si="36"/>
        <v>3.4765889211324755E-3</v>
      </c>
      <c r="AE72">
        <f t="shared" si="37"/>
        <v>3.617386788212127E-2</v>
      </c>
      <c r="AG72">
        <f t="shared" si="38"/>
        <v>-0.64365941215350464</v>
      </c>
      <c r="AH72">
        <f t="shared" si="39"/>
        <v>0.59501549863997261</v>
      </c>
      <c r="AI72">
        <f t="shared" si="40"/>
        <v>2.0599163511888579</v>
      </c>
      <c r="AK72" s="26">
        <f t="shared" si="41"/>
        <v>0.13300507624644592</v>
      </c>
      <c r="AL72" s="26">
        <f t="shared" si="42"/>
        <v>7.5158770668369179E-2</v>
      </c>
      <c r="AM72" s="26">
        <f t="shared" si="43"/>
        <v>5.8973986850291066E-2</v>
      </c>
      <c r="AN72" s="26">
        <f t="shared" si="44"/>
        <v>20.828095238095244</v>
      </c>
      <c r="AO72" s="26">
        <f t="shared" si="45"/>
        <v>21.748022805507759</v>
      </c>
      <c r="AP72" s="26">
        <f t="shared" si="46"/>
        <v>20.678957747958329</v>
      </c>
      <c r="AS72" s="2">
        <v>45408</v>
      </c>
      <c r="AT72">
        <v>18.8</v>
      </c>
      <c r="AU72">
        <v>50.1</v>
      </c>
      <c r="AV72">
        <v>12.2</v>
      </c>
      <c r="AW72">
        <v>3.9</v>
      </c>
      <c r="AX72">
        <v>264.75</v>
      </c>
      <c r="AY72">
        <v>0.1</v>
      </c>
      <c r="AZ72">
        <v>2.1</v>
      </c>
      <c r="BA72">
        <v>221.70920000000001</v>
      </c>
      <c r="BB72">
        <v>58.629399999999997</v>
      </c>
      <c r="BC72">
        <v>133.26570000000001</v>
      </c>
      <c r="BD72">
        <v>3.4830999999999999</v>
      </c>
      <c r="BE72">
        <v>31.649799999999999</v>
      </c>
      <c r="BF72">
        <v>-24.41</v>
      </c>
      <c r="BG72">
        <v>-38.287999999999997</v>
      </c>
      <c r="BH72">
        <v>61.72</v>
      </c>
    </row>
    <row r="73" spans="1:60" x14ac:dyDescent="0.25">
      <c r="A73" s="2">
        <v>45428</v>
      </c>
      <c r="B73">
        <v>22.6</v>
      </c>
      <c r="C73">
        <v>83.5</v>
      </c>
      <c r="D73">
        <v>38</v>
      </c>
      <c r="E73">
        <v>7.3</v>
      </c>
      <c r="F73">
        <v>311.66000000000003</v>
      </c>
      <c r="G73">
        <v>0.1</v>
      </c>
      <c r="H73">
        <v>2.9</v>
      </c>
      <c r="I73">
        <v>118.928</v>
      </c>
      <c r="J73">
        <v>32.100499999999997</v>
      </c>
      <c r="K73">
        <v>101.7316</v>
      </c>
      <c r="L73">
        <v>3.8607</v>
      </c>
      <c r="M73">
        <v>33.977499999999999</v>
      </c>
      <c r="N73">
        <v>-23.504100000000001</v>
      </c>
      <c r="O73">
        <v>-37.428800000000003</v>
      </c>
      <c r="P73">
        <v>66.290000000000006</v>
      </c>
      <c r="S73">
        <f t="shared" si="25"/>
        <v>756.65829999999994</v>
      </c>
      <c r="T73">
        <f t="shared" si="26"/>
        <v>2.1186708808842915E-2</v>
      </c>
      <c r="U73">
        <f t="shared" si="27"/>
        <v>7.8278326793733782E-2</v>
      </c>
      <c r="V73">
        <f t="shared" si="28"/>
        <v>3.5623669678585435E-2</v>
      </c>
      <c r="W73">
        <f t="shared" si="29"/>
        <v>6.8434944382545701E-3</v>
      </c>
      <c r="X73">
        <f t="shared" si="30"/>
        <v>0.29217033926389308</v>
      </c>
      <c r="Y73">
        <f t="shared" si="31"/>
        <v>9.3746499154172199E-5</v>
      </c>
      <c r="Z73">
        <f t="shared" si="32"/>
        <v>2.7186484754709935E-3</v>
      </c>
      <c r="AA73">
        <f t="shared" si="33"/>
        <v>0.1114908365140739</v>
      </c>
      <c r="AB73">
        <f t="shared" si="34"/>
        <v>3.0093094960985042E-2</v>
      </c>
      <c r="AC73">
        <f t="shared" si="35"/>
        <v>9.5369813533525832E-2</v>
      </c>
      <c r="AD73">
        <f t="shared" si="36"/>
        <v>3.619271092845126E-3</v>
      </c>
      <c r="AE73">
        <f t="shared" si="37"/>
        <v>3.1852716750108853E-2</v>
      </c>
      <c r="AG73">
        <f t="shared" si="38"/>
        <v>-0.65544730710211074</v>
      </c>
      <c r="AH73">
        <f t="shared" si="39"/>
        <v>0.46876765070804377</v>
      </c>
      <c r="AI73">
        <f t="shared" si="40"/>
        <v>1.1695344180250486</v>
      </c>
      <c r="AK73" s="26">
        <f t="shared" si="41"/>
        <v>0.12365116513989716</v>
      </c>
      <c r="AL73" s="26">
        <f t="shared" si="42"/>
        <v>7.1709982687046647E-2</v>
      </c>
      <c r="AM73" s="26">
        <f t="shared" si="43"/>
        <v>5.7773527929699198E-2</v>
      </c>
      <c r="AN73" s="26">
        <f t="shared" si="44"/>
        <v>20.900158730158736</v>
      </c>
      <c r="AO73" s="26">
        <f t="shared" si="45"/>
        <v>21.785991824440629</v>
      </c>
      <c r="AP73" s="26">
        <f t="shared" si="46"/>
        <v>20.635788713531696</v>
      </c>
      <c r="AS73" s="2">
        <v>45407</v>
      </c>
      <c r="AT73">
        <v>19.600000000000001</v>
      </c>
      <c r="AU73">
        <v>1.6</v>
      </c>
      <c r="AV73">
        <v>16.7</v>
      </c>
      <c r="AW73">
        <v>2.5</v>
      </c>
      <c r="AX73">
        <v>229.89</v>
      </c>
      <c r="AY73">
        <v>0.1</v>
      </c>
      <c r="AZ73">
        <v>2</v>
      </c>
      <c r="BA73">
        <v>244.31720000000001</v>
      </c>
      <c r="BB73">
        <v>54.404200000000003</v>
      </c>
      <c r="BC73">
        <v>165.56280000000001</v>
      </c>
      <c r="BD73">
        <v>3.48</v>
      </c>
      <c r="BE73">
        <v>28.063199999999998</v>
      </c>
      <c r="BF73">
        <v>-23.328800000000001</v>
      </c>
      <c r="BG73">
        <v>-38.009</v>
      </c>
      <c r="BH73">
        <v>61.75</v>
      </c>
    </row>
    <row r="74" spans="1:60" x14ac:dyDescent="0.25">
      <c r="A74" s="2">
        <v>45427</v>
      </c>
      <c r="B74">
        <v>20.7</v>
      </c>
      <c r="C74">
        <v>124.7</v>
      </c>
      <c r="D74">
        <v>45.6</v>
      </c>
      <c r="E74">
        <v>8.3000000000000007</v>
      </c>
      <c r="F74">
        <v>355.26</v>
      </c>
      <c r="G74">
        <v>0.1</v>
      </c>
      <c r="H74">
        <v>2.9</v>
      </c>
      <c r="I74">
        <v>116.8347</v>
      </c>
      <c r="J74">
        <v>33.764899999999997</v>
      </c>
      <c r="K74">
        <v>91.851299999999995</v>
      </c>
      <c r="L74">
        <v>5.7363999999999997</v>
      </c>
      <c r="M74">
        <v>35.750399999999999</v>
      </c>
      <c r="N74">
        <v>-22.699000000000002</v>
      </c>
      <c r="O74">
        <v>-36.1389</v>
      </c>
      <c r="P74">
        <v>66.06</v>
      </c>
      <c r="S74">
        <f t="shared" si="25"/>
        <v>841.49770000000001</v>
      </c>
      <c r="T74">
        <f t="shared" si="26"/>
        <v>1.9405525324913644E-2</v>
      </c>
      <c r="U74">
        <f t="shared" si="27"/>
        <v>0.11690188444525272</v>
      </c>
      <c r="V74">
        <f t="shared" si="28"/>
        <v>4.2748403614302523E-2</v>
      </c>
      <c r="W74">
        <f t="shared" si="29"/>
        <v>7.7809594297962928E-3</v>
      </c>
      <c r="X74">
        <f t="shared" si="30"/>
        <v>0.33304381289511209</v>
      </c>
      <c r="Y74">
        <f t="shared" si="31"/>
        <v>9.3746499154172199E-5</v>
      </c>
      <c r="Z74">
        <f t="shared" si="32"/>
        <v>2.7186484754709935E-3</v>
      </c>
      <c r="AA74">
        <f t="shared" si="33"/>
        <v>0.10952844104727961</v>
      </c>
      <c r="AB74">
        <f t="shared" si="34"/>
        <v>3.1653411692907085E-2</v>
      </c>
      <c r="AC74">
        <f t="shared" si="35"/>
        <v>8.6107378177596158E-2</v>
      </c>
      <c r="AD74">
        <f t="shared" si="36"/>
        <v>5.3776741774799333E-3</v>
      </c>
      <c r="AE74">
        <f t="shared" si="37"/>
        <v>3.3514748433613177E-2</v>
      </c>
      <c r="AG74">
        <f t="shared" si="38"/>
        <v>-0.66624945503085065</v>
      </c>
      <c r="AH74">
        <f t="shared" si="39"/>
        <v>0.55620772911761551</v>
      </c>
      <c r="AI74">
        <f t="shared" si="40"/>
        <v>1.7991067427630569</v>
      </c>
      <c r="AK74" s="26">
        <f t="shared" si="41"/>
        <v>0.11381394618901858</v>
      </c>
      <c r="AL74" s="26">
        <f t="shared" si="42"/>
        <v>6.8592300584050414E-2</v>
      </c>
      <c r="AM74" s="26">
        <f t="shared" si="43"/>
        <v>5.6743779739607397E-2</v>
      </c>
      <c r="AN74" s="26">
        <f t="shared" si="44"/>
        <v>20.977777777777781</v>
      </c>
      <c r="AO74" s="26">
        <f t="shared" si="45"/>
        <v>21.822635542168676</v>
      </c>
      <c r="AP74" s="26">
        <f t="shared" si="46"/>
        <v>20.588876342533041</v>
      </c>
      <c r="AS74" s="2">
        <v>45406</v>
      </c>
      <c r="AT74">
        <v>20.3</v>
      </c>
      <c r="AU74">
        <v>49.2</v>
      </c>
      <c r="AV74">
        <v>55</v>
      </c>
      <c r="AW74">
        <v>3.3</v>
      </c>
      <c r="AX74">
        <v>212.96</v>
      </c>
      <c r="AY74">
        <v>0.1</v>
      </c>
      <c r="AZ74">
        <v>2</v>
      </c>
      <c r="BA74">
        <v>228.47069999999999</v>
      </c>
      <c r="BB74">
        <v>49.8232</v>
      </c>
      <c r="BC74">
        <v>162.11410000000001</v>
      </c>
      <c r="BD74">
        <v>3.48</v>
      </c>
      <c r="BE74">
        <v>26.926100000000002</v>
      </c>
      <c r="BF74">
        <v>-23.589099999999998</v>
      </c>
      <c r="BG74">
        <v>-38.895200000000003</v>
      </c>
      <c r="BH74">
        <v>61.87</v>
      </c>
    </row>
    <row r="75" spans="1:60" x14ac:dyDescent="0.25">
      <c r="A75" s="2">
        <v>45426</v>
      </c>
      <c r="B75">
        <v>21.2</v>
      </c>
      <c r="C75">
        <v>43.4</v>
      </c>
      <c r="D75">
        <v>67.900000000000006</v>
      </c>
      <c r="E75">
        <v>6.3</v>
      </c>
      <c r="F75">
        <v>555.14</v>
      </c>
      <c r="G75">
        <v>0.1</v>
      </c>
      <c r="H75">
        <v>2.8</v>
      </c>
      <c r="I75">
        <v>93.970399999999998</v>
      </c>
      <c r="J75">
        <v>18.931999999999999</v>
      </c>
      <c r="K75">
        <v>58.385199999999998</v>
      </c>
      <c r="L75">
        <v>3.7313999999999998</v>
      </c>
      <c r="M75">
        <v>30.204999999999998</v>
      </c>
      <c r="N75">
        <v>-21.9072</v>
      </c>
      <c r="O75">
        <v>-35.706299999999999</v>
      </c>
      <c r="P75">
        <v>65.790000000000006</v>
      </c>
      <c r="S75">
        <f t="shared" si="25"/>
        <v>902.06400000000008</v>
      </c>
      <c r="T75">
        <f t="shared" si="26"/>
        <v>1.9874257820684502E-2</v>
      </c>
      <c r="U75">
        <f t="shared" si="27"/>
        <v>4.0685980632910727E-2</v>
      </c>
      <c r="V75">
        <f t="shared" si="28"/>
        <v>6.3653872925682919E-2</v>
      </c>
      <c r="W75">
        <f t="shared" si="29"/>
        <v>5.9060294467128483E-3</v>
      </c>
      <c r="X75">
        <f t="shared" si="30"/>
        <v>0.52042431540447154</v>
      </c>
      <c r="Y75">
        <f t="shared" si="31"/>
        <v>9.3746499154172199E-5</v>
      </c>
      <c r="Z75">
        <f t="shared" si="32"/>
        <v>2.624901976316821E-3</v>
      </c>
      <c r="AA75">
        <f t="shared" si="33"/>
        <v>8.809396024117222E-2</v>
      </c>
      <c r="AB75">
        <f t="shared" si="34"/>
        <v>1.7748087219867877E-2</v>
      </c>
      <c r="AC75">
        <f t="shared" si="35"/>
        <v>5.4734081024161739E-2</v>
      </c>
      <c r="AD75">
        <f t="shared" si="36"/>
        <v>3.4980568694387808E-3</v>
      </c>
      <c r="AE75">
        <f t="shared" si="37"/>
        <v>2.8316130069517709E-2</v>
      </c>
      <c r="AG75">
        <f t="shared" si="38"/>
        <v>-0.67898722013139345</v>
      </c>
      <c r="AH75">
        <f t="shared" si="39"/>
        <v>0.68157923477545124</v>
      </c>
      <c r="AI75">
        <f t="shared" si="40"/>
        <v>2.7176479849031274</v>
      </c>
      <c r="AK75" s="26">
        <f t="shared" si="41"/>
        <v>0.10700021105610663</v>
      </c>
      <c r="AL75" s="26">
        <f t="shared" si="42"/>
        <v>6.4569828722879086E-2</v>
      </c>
      <c r="AM75" s="26">
        <f t="shared" si="43"/>
        <v>5.5707913596508146E-2</v>
      </c>
      <c r="AN75" s="26">
        <f t="shared" si="44"/>
        <v>21.065238095238101</v>
      </c>
      <c r="AO75" s="26">
        <f t="shared" si="45"/>
        <v>21.855660499139425</v>
      </c>
      <c r="AP75" s="26">
        <f t="shared" si="46"/>
        <v>20.538015020613976</v>
      </c>
      <c r="AS75" s="2">
        <v>45405</v>
      </c>
      <c r="AT75">
        <v>21.1</v>
      </c>
      <c r="AU75">
        <v>97.8</v>
      </c>
      <c r="AV75">
        <v>30.6</v>
      </c>
      <c r="AW75">
        <v>1.7</v>
      </c>
      <c r="AX75">
        <v>249.16</v>
      </c>
      <c r="AY75">
        <v>0.1</v>
      </c>
      <c r="AZ75">
        <v>2</v>
      </c>
      <c r="BA75">
        <v>220.57810000000001</v>
      </c>
      <c r="BB75">
        <v>63.5321</v>
      </c>
      <c r="BC75">
        <v>173.27289999999999</v>
      </c>
      <c r="BD75">
        <v>3.48</v>
      </c>
      <c r="BE75">
        <v>31.077000000000002</v>
      </c>
      <c r="BF75">
        <v>-21.313700000000001</v>
      </c>
      <c r="BG75">
        <v>-37.596400000000003</v>
      </c>
      <c r="BH75">
        <v>62</v>
      </c>
    </row>
    <row r="76" spans="1:60" x14ac:dyDescent="0.25">
      <c r="A76" s="2">
        <v>45425</v>
      </c>
      <c r="B76">
        <v>22.8</v>
      </c>
      <c r="C76">
        <v>136.69999999999999</v>
      </c>
      <c r="D76">
        <v>62</v>
      </c>
      <c r="E76">
        <v>6</v>
      </c>
      <c r="F76">
        <v>398</v>
      </c>
      <c r="G76">
        <v>0.1</v>
      </c>
      <c r="H76">
        <v>2.7</v>
      </c>
      <c r="I76">
        <v>100.1277</v>
      </c>
      <c r="J76">
        <v>18.3612</v>
      </c>
      <c r="K76">
        <v>78.609499999999997</v>
      </c>
      <c r="L76">
        <v>4.1989999999999998</v>
      </c>
      <c r="M76">
        <v>38.017699999999998</v>
      </c>
      <c r="N76">
        <v>-22.6449</v>
      </c>
      <c r="O76">
        <v>-36.868000000000002</v>
      </c>
      <c r="P76">
        <v>65.489999999999995</v>
      </c>
      <c r="S76">
        <f t="shared" si="25"/>
        <v>867.6151000000001</v>
      </c>
      <c r="T76">
        <f t="shared" si="26"/>
        <v>2.1374201807151261E-2</v>
      </c>
      <c r="U76">
        <f t="shared" si="27"/>
        <v>0.12815146434375338</v>
      </c>
      <c r="V76">
        <f t="shared" si="28"/>
        <v>5.8122829475586758E-2</v>
      </c>
      <c r="W76">
        <f t="shared" si="29"/>
        <v>5.6247899492503318E-3</v>
      </c>
      <c r="X76">
        <f t="shared" si="30"/>
        <v>0.37311106663360533</v>
      </c>
      <c r="Y76">
        <f t="shared" si="31"/>
        <v>9.3746499154172199E-5</v>
      </c>
      <c r="Z76">
        <f t="shared" si="32"/>
        <v>2.5311554771626494E-3</v>
      </c>
      <c r="AA76">
        <f t="shared" si="33"/>
        <v>9.3866213433592069E-2</v>
      </c>
      <c r="AB76">
        <f t="shared" si="34"/>
        <v>1.7212982202695865E-2</v>
      </c>
      <c r="AC76">
        <f t="shared" si="35"/>
        <v>7.3693654252598981E-2</v>
      </c>
      <c r="AD76">
        <f t="shared" si="36"/>
        <v>3.9364154994836901E-3</v>
      </c>
      <c r="AE76">
        <f t="shared" si="37"/>
        <v>3.5640262808935716E-2</v>
      </c>
      <c r="AG76">
        <f t="shared" si="38"/>
        <v>-0.69316754647440515</v>
      </c>
      <c r="AH76">
        <f t="shared" si="39"/>
        <v>0.62464951699459959</v>
      </c>
      <c r="AI76">
        <f t="shared" si="40"/>
        <v>2.3345740335724319</v>
      </c>
      <c r="AK76" s="26">
        <f t="shared" si="41"/>
        <v>9.2752705908995869E-2</v>
      </c>
      <c r="AL76" s="26">
        <f t="shared" si="42"/>
        <v>5.8508025309034484E-2</v>
      </c>
      <c r="AM76" s="26">
        <f t="shared" si="43"/>
        <v>5.2888569712176065E-2</v>
      </c>
      <c r="AN76" s="26">
        <f t="shared" si="44"/>
        <v>21.169523809523817</v>
      </c>
      <c r="AO76" s="26">
        <f t="shared" si="45"/>
        <v>21.886736230636828</v>
      </c>
      <c r="AP76" s="26">
        <f t="shared" si="46"/>
        <v>20.485600955857258</v>
      </c>
      <c r="AS76" s="2">
        <v>45404</v>
      </c>
      <c r="AT76">
        <v>19.7</v>
      </c>
      <c r="AU76">
        <v>20.3</v>
      </c>
      <c r="AV76">
        <v>21.4</v>
      </c>
      <c r="AW76">
        <v>1.9</v>
      </c>
      <c r="AX76">
        <v>251.97</v>
      </c>
      <c r="AY76">
        <v>0.1</v>
      </c>
      <c r="AZ76">
        <v>2</v>
      </c>
      <c r="BA76">
        <v>232.2987</v>
      </c>
      <c r="BB76">
        <v>46.629199999999997</v>
      </c>
      <c r="BC76">
        <v>150.7629</v>
      </c>
      <c r="BD76">
        <v>3.48</v>
      </c>
      <c r="BE76">
        <v>34.677300000000002</v>
      </c>
      <c r="BF76">
        <v>-22.529800000000002</v>
      </c>
      <c r="BG76">
        <v>-37.872</v>
      </c>
      <c r="BH76">
        <v>62.14</v>
      </c>
    </row>
    <row r="77" spans="1:60" x14ac:dyDescent="0.25">
      <c r="A77" s="2">
        <v>45424</v>
      </c>
      <c r="B77">
        <v>21.6</v>
      </c>
      <c r="C77">
        <v>1.6</v>
      </c>
      <c r="D77">
        <v>32.9</v>
      </c>
      <c r="E77">
        <v>3.8</v>
      </c>
      <c r="F77">
        <v>371.51</v>
      </c>
      <c r="G77">
        <v>0.1</v>
      </c>
      <c r="H77">
        <v>2.2999999999999998</v>
      </c>
      <c r="I77">
        <v>86.758799999999994</v>
      </c>
      <c r="J77">
        <v>6.9808000000000003</v>
      </c>
      <c r="K77">
        <v>31.474</v>
      </c>
      <c r="L77">
        <v>3.19</v>
      </c>
      <c r="M77">
        <v>20.751100000000001</v>
      </c>
      <c r="P77">
        <v>65.19</v>
      </c>
      <c r="S77">
        <f t="shared" si="25"/>
        <v>582.96470000000011</v>
      </c>
      <c r="T77">
        <f t="shared" si="26"/>
        <v>2.0249243817301196E-2</v>
      </c>
      <c r="U77">
        <f t="shared" si="27"/>
        <v>1.4999439864667552E-3</v>
      </c>
      <c r="V77">
        <f t="shared" si="28"/>
        <v>3.084259822172265E-2</v>
      </c>
      <c r="W77">
        <f t="shared" si="29"/>
        <v>3.5623669678585433E-3</v>
      </c>
      <c r="X77">
        <f t="shared" si="30"/>
        <v>0.34827761900766507</v>
      </c>
      <c r="Y77">
        <f t="shared" si="31"/>
        <v>9.3746499154172199E-5</v>
      </c>
      <c r="Z77">
        <f t="shared" si="32"/>
        <v>2.1561694805459601E-3</v>
      </c>
      <c r="AA77">
        <f t="shared" si="33"/>
        <v>8.1333337708169931E-2</v>
      </c>
      <c r="AB77">
        <f t="shared" si="34"/>
        <v>6.5442556129544525E-3</v>
      </c>
      <c r="AC77">
        <f t="shared" si="35"/>
        <v>2.9505773143784157E-2</v>
      </c>
      <c r="AD77">
        <f t="shared" si="36"/>
        <v>2.9905133230180929E-3</v>
      </c>
      <c r="AE77">
        <f t="shared" si="37"/>
        <v>1.9453429785981427E-2</v>
      </c>
      <c r="AG77">
        <f t="shared" si="38"/>
        <v>-0.70735468529241918</v>
      </c>
      <c r="AH77">
        <f t="shared" si="39"/>
        <v>0.42613511776669577</v>
      </c>
      <c r="AI77">
        <f t="shared" si="40"/>
        <v>0.89841854596979553</v>
      </c>
      <c r="AK77" s="26">
        <f t="shared" si="41"/>
        <v>8.1248015001582741E-2</v>
      </c>
      <c r="AL77" s="26">
        <f t="shared" si="42"/>
        <v>5.2181462782180443E-2</v>
      </c>
      <c r="AM77" s="26">
        <f t="shared" si="43"/>
        <v>5.0734581700676629E-2</v>
      </c>
      <c r="AN77" s="26">
        <f t="shared" si="44"/>
        <v>21.287777777777784</v>
      </c>
      <c r="AO77" s="26">
        <f t="shared" si="45"/>
        <v>21.918018502581766</v>
      </c>
      <c r="AP77" s="26">
        <f t="shared" si="46"/>
        <v>20.431571124707865</v>
      </c>
      <c r="AS77" s="2">
        <v>45403</v>
      </c>
      <c r="AT77">
        <v>18.899999999999999</v>
      </c>
      <c r="AU77">
        <v>10.3</v>
      </c>
      <c r="AV77">
        <v>30.2</v>
      </c>
      <c r="AW77">
        <v>4.3</v>
      </c>
      <c r="AX77">
        <v>222.18</v>
      </c>
      <c r="AY77">
        <v>0.1</v>
      </c>
      <c r="AZ77">
        <v>2</v>
      </c>
      <c r="BA77">
        <v>131.3742</v>
      </c>
      <c r="BB77">
        <v>26.703800000000001</v>
      </c>
      <c r="BC77">
        <v>51.245800000000003</v>
      </c>
      <c r="BD77">
        <v>3.48</v>
      </c>
      <c r="BE77">
        <v>15.107100000000001</v>
      </c>
      <c r="BH77">
        <v>62.25</v>
      </c>
    </row>
    <row r="78" spans="1:60" x14ac:dyDescent="0.25">
      <c r="A78" s="2">
        <v>45423</v>
      </c>
      <c r="B78">
        <v>23.3</v>
      </c>
      <c r="C78">
        <v>3.3</v>
      </c>
      <c r="D78">
        <v>5.9</v>
      </c>
      <c r="E78">
        <v>1.4</v>
      </c>
      <c r="F78">
        <v>403.09</v>
      </c>
      <c r="G78">
        <v>0.1</v>
      </c>
      <c r="H78">
        <v>2.5</v>
      </c>
      <c r="I78">
        <v>120.2209</v>
      </c>
      <c r="J78">
        <v>9.8010999999999999</v>
      </c>
      <c r="K78">
        <v>68.239400000000003</v>
      </c>
      <c r="L78">
        <v>3.3435000000000001</v>
      </c>
      <c r="M78">
        <v>26.534600000000001</v>
      </c>
      <c r="P78">
        <v>64.819999999999993</v>
      </c>
      <c r="S78">
        <f t="shared" si="25"/>
        <v>667.72949999999992</v>
      </c>
      <c r="T78">
        <f t="shared" si="26"/>
        <v>2.1842934302922123E-2</v>
      </c>
      <c r="U78">
        <f t="shared" si="27"/>
        <v>3.0936344720876819E-3</v>
      </c>
      <c r="V78">
        <f t="shared" si="28"/>
        <v>5.5310434500961594E-3</v>
      </c>
      <c r="W78">
        <f t="shared" si="29"/>
        <v>1.3124509881584105E-3</v>
      </c>
      <c r="X78">
        <f t="shared" si="30"/>
        <v>0.37788276344055266</v>
      </c>
      <c r="Y78">
        <f t="shared" si="31"/>
        <v>9.3746499154172199E-5</v>
      </c>
      <c r="Z78">
        <f t="shared" si="32"/>
        <v>2.3436624788543046E-3</v>
      </c>
      <c r="AA78">
        <f t="shared" si="33"/>
        <v>0.11270288500163819</v>
      </c>
      <c r="AB78">
        <f t="shared" si="34"/>
        <v>9.1881881285995701E-3</v>
      </c>
      <c r="AC78">
        <f t="shared" si="35"/>
        <v>6.3972048543812179E-2</v>
      </c>
      <c r="AD78">
        <f t="shared" si="36"/>
        <v>3.1344141992197473E-3</v>
      </c>
      <c r="AE78">
        <f t="shared" si="37"/>
        <v>2.4875258564562974E-2</v>
      </c>
      <c r="AG78">
        <f t="shared" si="38"/>
        <v>-0.72492516664094764</v>
      </c>
      <c r="AH78">
        <f t="shared" si="39"/>
        <v>0.43697549419638848</v>
      </c>
      <c r="AI78">
        <f t="shared" si="40"/>
        <v>0.97330201292540341</v>
      </c>
      <c r="AK78" s="26">
        <f t="shared" si="41"/>
        <v>7.5254689707681288E-2</v>
      </c>
      <c r="AL78" s="26">
        <f t="shared" si="42"/>
        <v>5.1885654739906584E-2</v>
      </c>
      <c r="AM78" s="26">
        <f t="shared" si="43"/>
        <v>5.0836443272561593E-2</v>
      </c>
      <c r="AN78" s="26">
        <f t="shared" si="44"/>
        <v>21.416984126984126</v>
      </c>
      <c r="AO78" s="26">
        <f t="shared" si="45"/>
        <v>21.947338640275383</v>
      </c>
      <c r="AP78" s="26">
        <f t="shared" si="46"/>
        <v>20.375539770489219</v>
      </c>
      <c r="AS78" s="2">
        <v>45402</v>
      </c>
      <c r="AT78">
        <v>19.3</v>
      </c>
      <c r="AU78">
        <v>2.2999999999999998</v>
      </c>
      <c r="AV78">
        <v>42.1</v>
      </c>
      <c r="AW78">
        <v>5.6</v>
      </c>
      <c r="AX78">
        <v>215.07</v>
      </c>
      <c r="AY78">
        <v>0.1</v>
      </c>
      <c r="AZ78">
        <v>2.1</v>
      </c>
      <c r="BA78">
        <v>117.43899999999999</v>
      </c>
      <c r="BB78">
        <v>26.483000000000001</v>
      </c>
      <c r="BC78">
        <v>43.675899999999999</v>
      </c>
      <c r="BD78">
        <v>3.48</v>
      </c>
      <c r="BE78">
        <v>23.6021</v>
      </c>
      <c r="BH78">
        <v>62.2</v>
      </c>
    </row>
    <row r="79" spans="1:60" x14ac:dyDescent="0.25">
      <c r="A79" s="2">
        <v>45422</v>
      </c>
      <c r="B79">
        <v>23.5</v>
      </c>
      <c r="C79">
        <v>96.1</v>
      </c>
      <c r="D79">
        <v>5.7</v>
      </c>
      <c r="E79">
        <v>0.7</v>
      </c>
      <c r="F79">
        <v>399.67</v>
      </c>
      <c r="G79">
        <v>0.1</v>
      </c>
      <c r="H79">
        <v>2.5</v>
      </c>
      <c r="I79">
        <v>138.7276</v>
      </c>
      <c r="J79">
        <v>11.684200000000001</v>
      </c>
      <c r="K79">
        <v>91.876999999999995</v>
      </c>
      <c r="L79">
        <v>3.48</v>
      </c>
      <c r="M79">
        <v>25.0944</v>
      </c>
      <c r="N79">
        <v>-20.447500000000002</v>
      </c>
      <c r="O79">
        <v>-35.575600000000001</v>
      </c>
      <c r="P79">
        <v>64.459999999999994</v>
      </c>
      <c r="S79">
        <f t="shared" si="25"/>
        <v>799.1332000000001</v>
      </c>
      <c r="T79">
        <f t="shared" si="26"/>
        <v>2.2030427301230466E-2</v>
      </c>
      <c r="U79">
        <f t="shared" si="27"/>
        <v>9.0090385687159463E-2</v>
      </c>
      <c r="V79">
        <f t="shared" si="28"/>
        <v>5.3435504517878154E-3</v>
      </c>
      <c r="W79">
        <f t="shared" si="29"/>
        <v>6.5622549407920526E-4</v>
      </c>
      <c r="X79">
        <f t="shared" si="30"/>
        <v>0.37467663316948002</v>
      </c>
      <c r="Y79">
        <f t="shared" si="31"/>
        <v>9.3746499154172199E-5</v>
      </c>
      <c r="Z79">
        <f t="shared" si="32"/>
        <v>2.3436624788543046E-3</v>
      </c>
      <c r="AA79">
        <f t="shared" si="33"/>
        <v>0.13005226836060338</v>
      </c>
      <c r="AB79">
        <f t="shared" si="34"/>
        <v>1.0953528454171788E-2</v>
      </c>
      <c r="AC79">
        <f t="shared" si="35"/>
        <v>8.6131471027878784E-2</v>
      </c>
      <c r="AD79">
        <f t="shared" si="36"/>
        <v>3.2623781705651924E-3</v>
      </c>
      <c r="AE79">
        <f t="shared" si="37"/>
        <v>2.3525121483744586E-2</v>
      </c>
      <c r="AG79">
        <f t="shared" si="38"/>
        <v>-0.7419980279591627</v>
      </c>
      <c r="AH79">
        <f t="shared" si="39"/>
        <v>0.51875975256549012</v>
      </c>
      <c r="AI79">
        <f t="shared" si="40"/>
        <v>1.5773565275671184</v>
      </c>
      <c r="AK79" s="26">
        <f t="shared" si="41"/>
        <v>6.6279757008181395E-2</v>
      </c>
      <c r="AL79" s="26">
        <f t="shared" si="42"/>
        <v>4.8608156799955615E-2</v>
      </c>
      <c r="AM79" s="26">
        <f t="shared" si="43"/>
        <v>4.9722830622833503E-2</v>
      </c>
      <c r="AN79" s="26">
        <f t="shared" si="44"/>
        <v>21.553492063492072</v>
      </c>
      <c r="AO79" s="26">
        <f t="shared" si="45"/>
        <v>21.975004302925981</v>
      </c>
      <c r="AP79" s="26">
        <f t="shared" si="46"/>
        <v>20.319074341535149</v>
      </c>
      <c r="AS79" s="2">
        <v>45401</v>
      </c>
      <c r="AT79">
        <v>20.6</v>
      </c>
      <c r="AU79">
        <v>2.9</v>
      </c>
      <c r="AV79">
        <v>67</v>
      </c>
      <c r="AW79">
        <v>11.7</v>
      </c>
      <c r="AX79">
        <v>123.02</v>
      </c>
      <c r="AY79">
        <v>0.1</v>
      </c>
      <c r="AZ79">
        <v>2</v>
      </c>
      <c r="BA79">
        <v>119.7814</v>
      </c>
      <c r="BB79">
        <v>29.420100000000001</v>
      </c>
      <c r="BC79">
        <v>62.427300000000002</v>
      </c>
      <c r="BD79">
        <v>3.48</v>
      </c>
      <c r="BE79">
        <v>25.997900000000001</v>
      </c>
      <c r="BF79">
        <v>-23.8855</v>
      </c>
      <c r="BG79">
        <v>-38.758099999999999</v>
      </c>
      <c r="BH79">
        <v>62.14</v>
      </c>
    </row>
    <row r="80" spans="1:60" x14ac:dyDescent="0.25">
      <c r="A80" s="2">
        <v>45421</v>
      </c>
      <c r="B80">
        <v>24.6</v>
      </c>
      <c r="C80">
        <v>56.9</v>
      </c>
      <c r="D80">
        <v>8.1</v>
      </c>
      <c r="E80">
        <v>0.7</v>
      </c>
      <c r="F80">
        <v>398.94</v>
      </c>
      <c r="G80">
        <v>0.1</v>
      </c>
      <c r="H80">
        <v>2.7</v>
      </c>
      <c r="I80">
        <v>161.6036</v>
      </c>
      <c r="J80">
        <v>10.521000000000001</v>
      </c>
      <c r="K80">
        <v>76.587299999999999</v>
      </c>
      <c r="L80">
        <v>3.48</v>
      </c>
      <c r="M80">
        <v>23.757000000000001</v>
      </c>
      <c r="N80">
        <v>-20.215299999999999</v>
      </c>
      <c r="O80">
        <v>-34.2453</v>
      </c>
      <c r="P80">
        <v>64.19</v>
      </c>
      <c r="S80">
        <f t="shared" si="25"/>
        <v>767.98889999999994</v>
      </c>
      <c r="T80">
        <f t="shared" si="26"/>
        <v>2.306163879192636E-2</v>
      </c>
      <c r="U80">
        <f t="shared" si="27"/>
        <v>5.3341758018723977E-2</v>
      </c>
      <c r="V80">
        <f t="shared" si="28"/>
        <v>7.593466431487947E-3</v>
      </c>
      <c r="W80">
        <f t="shared" si="29"/>
        <v>6.5622549407920526E-4</v>
      </c>
      <c r="X80">
        <f t="shared" si="30"/>
        <v>0.37399228372565452</v>
      </c>
      <c r="Y80">
        <f t="shared" si="31"/>
        <v>9.3746499154172199E-5</v>
      </c>
      <c r="Z80">
        <f t="shared" si="32"/>
        <v>2.5311554771626494E-3</v>
      </c>
      <c r="AA80">
        <f t="shared" si="33"/>
        <v>0.1514977175071118</v>
      </c>
      <c r="AB80">
        <f t="shared" si="34"/>
        <v>9.8630691760104566E-3</v>
      </c>
      <c r="AC80">
        <f t="shared" si="35"/>
        <v>7.1797912546703313E-2</v>
      </c>
      <c r="AD80">
        <f t="shared" si="36"/>
        <v>3.2623781705651924E-3</v>
      </c>
      <c r="AE80">
        <f t="shared" si="37"/>
        <v>2.2271355804056689E-2</v>
      </c>
      <c r="AG80">
        <f t="shared" si="38"/>
        <v>-0.7547027154020256</v>
      </c>
      <c r="AH80">
        <f t="shared" si="39"/>
        <v>0.4835416302422455</v>
      </c>
      <c r="AI80">
        <f t="shared" si="40"/>
        <v>1.3286466472744631</v>
      </c>
      <c r="AK80" s="26">
        <f t="shared" si="41"/>
        <v>5.8112817944693029E-2</v>
      </c>
      <c r="AL80" s="26">
        <f t="shared" si="42"/>
        <v>4.7951977674895618E-2</v>
      </c>
      <c r="AM80" s="26">
        <f t="shared" si="43"/>
        <v>4.8904775661090388E-2</v>
      </c>
      <c r="AN80" s="26">
        <f t="shared" si="44"/>
        <v>21.695873015873026</v>
      </c>
      <c r="AO80" s="26">
        <f t="shared" si="45"/>
        <v>22.000537865748719</v>
      </c>
      <c r="AP80" s="26">
        <f t="shared" si="46"/>
        <v>20.263443974685543</v>
      </c>
      <c r="AS80" s="2">
        <v>45400</v>
      </c>
      <c r="AT80">
        <v>23.5</v>
      </c>
      <c r="AU80">
        <v>4.2</v>
      </c>
      <c r="AV80">
        <v>20.9</v>
      </c>
      <c r="AW80">
        <v>3</v>
      </c>
      <c r="AX80">
        <v>239.33</v>
      </c>
      <c r="AY80">
        <v>0.1</v>
      </c>
      <c r="AZ80">
        <v>1.9</v>
      </c>
      <c r="BA80">
        <v>236.3211</v>
      </c>
      <c r="BB80">
        <v>65.280100000000004</v>
      </c>
      <c r="BC80">
        <v>135.5752</v>
      </c>
      <c r="BD80">
        <v>2.706</v>
      </c>
      <c r="BE80">
        <v>35.892400000000002</v>
      </c>
      <c r="BF80">
        <v>-25.9406</v>
      </c>
      <c r="BG80">
        <v>-39.499600000000001</v>
      </c>
      <c r="BH80">
        <v>62.16</v>
      </c>
    </row>
    <row r="81" spans="1:60" x14ac:dyDescent="0.25">
      <c r="A81" s="2">
        <v>45420</v>
      </c>
      <c r="B81">
        <v>24.5</v>
      </c>
      <c r="C81">
        <v>53.8</v>
      </c>
      <c r="D81">
        <v>2.2999999999999998</v>
      </c>
      <c r="E81">
        <v>1.3</v>
      </c>
      <c r="F81">
        <v>254.34</v>
      </c>
      <c r="G81">
        <v>0.1</v>
      </c>
      <c r="H81">
        <v>2.7</v>
      </c>
      <c r="I81">
        <v>231.90440000000001</v>
      </c>
      <c r="J81">
        <v>24.744199999999999</v>
      </c>
      <c r="K81">
        <v>143.76849999999999</v>
      </c>
      <c r="L81">
        <v>3.48</v>
      </c>
      <c r="M81">
        <v>25.124400000000001</v>
      </c>
      <c r="N81">
        <v>-20.281199999999998</v>
      </c>
      <c r="O81">
        <v>-33.870899999999999</v>
      </c>
      <c r="P81">
        <v>63.93</v>
      </c>
      <c r="S81">
        <f t="shared" si="25"/>
        <v>768.06150000000014</v>
      </c>
      <c r="T81">
        <f t="shared" si="26"/>
        <v>2.2967892292772185E-2</v>
      </c>
      <c r="U81">
        <f t="shared" si="27"/>
        <v>5.0435616544944634E-2</v>
      </c>
      <c r="V81">
        <f t="shared" si="28"/>
        <v>2.1561694805459601E-3</v>
      </c>
      <c r="W81">
        <f t="shared" si="29"/>
        <v>1.2187044890042385E-3</v>
      </c>
      <c r="X81">
        <f t="shared" si="30"/>
        <v>0.23843484594872155</v>
      </c>
      <c r="Y81">
        <f t="shared" si="31"/>
        <v>9.3746499154172199E-5</v>
      </c>
      <c r="Z81">
        <f t="shared" si="32"/>
        <v>2.5311554771626494E-3</v>
      </c>
      <c r="AA81">
        <f t="shared" si="33"/>
        <v>0.2174022563844881</v>
      </c>
      <c r="AB81">
        <f t="shared" si="34"/>
        <v>2.3196821243706676E-2</v>
      </c>
      <c r="AC81">
        <f t="shared" si="35"/>
        <v>0.13477793563646603</v>
      </c>
      <c r="AD81">
        <f t="shared" si="36"/>
        <v>3.2623781705651924E-3</v>
      </c>
      <c r="AE81">
        <f t="shared" si="37"/>
        <v>2.3553245433490841E-2</v>
      </c>
      <c r="AG81">
        <f t="shared" si="38"/>
        <v>-0.76692445198302084</v>
      </c>
      <c r="AH81">
        <f t="shared" si="39"/>
        <v>0.34139137616579623</v>
      </c>
      <c r="AI81">
        <f t="shared" si="40"/>
        <v>0.28233892880161787</v>
      </c>
      <c r="AK81" s="26">
        <f t="shared" si="41"/>
        <v>5.624421510628258E-2</v>
      </c>
      <c r="AL81" s="26">
        <f t="shared" si="42"/>
        <v>4.8820898465431417E-2</v>
      </c>
      <c r="AM81" s="26">
        <f t="shared" si="43"/>
        <v>4.8663077777710312E-2</v>
      </c>
      <c r="AN81" s="26">
        <f t="shared" si="44"/>
        <v>21.842539682539716</v>
      </c>
      <c r="AO81" s="26">
        <f t="shared" si="45"/>
        <v>22.023216437177283</v>
      </c>
      <c r="AP81" s="26">
        <f t="shared" si="46"/>
        <v>20.206963052440862</v>
      </c>
      <c r="AS81" s="2">
        <v>45399</v>
      </c>
      <c r="AT81">
        <v>23.3</v>
      </c>
      <c r="AU81">
        <v>22.2</v>
      </c>
      <c r="AV81">
        <v>12.9</v>
      </c>
      <c r="AW81">
        <v>2.1</v>
      </c>
      <c r="AX81">
        <v>209.2</v>
      </c>
      <c r="AY81">
        <v>0.1</v>
      </c>
      <c r="AZ81">
        <v>2.1</v>
      </c>
      <c r="BA81">
        <v>228.59100000000001</v>
      </c>
      <c r="BB81">
        <v>69.300200000000004</v>
      </c>
      <c r="BC81">
        <v>137.76820000000001</v>
      </c>
      <c r="BD81">
        <v>2.7989000000000002</v>
      </c>
      <c r="BE81">
        <v>32.0854</v>
      </c>
      <c r="BF81">
        <v>-26.020700000000001</v>
      </c>
      <c r="BG81">
        <v>-40.489199999999997</v>
      </c>
      <c r="BH81">
        <v>62.18</v>
      </c>
    </row>
    <row r="82" spans="1:60" x14ac:dyDescent="0.25">
      <c r="A82" s="2">
        <v>45419</v>
      </c>
      <c r="B82">
        <v>22.1</v>
      </c>
      <c r="C82">
        <v>53.5</v>
      </c>
      <c r="D82">
        <v>8</v>
      </c>
      <c r="E82">
        <v>2.4</v>
      </c>
      <c r="F82">
        <v>198.79</v>
      </c>
      <c r="G82">
        <v>0.1</v>
      </c>
      <c r="H82">
        <v>2.7</v>
      </c>
      <c r="I82">
        <v>218.4564</v>
      </c>
      <c r="J82">
        <v>36.070700000000002</v>
      </c>
      <c r="K82">
        <v>148.18690000000001</v>
      </c>
      <c r="L82">
        <v>3.4548000000000001</v>
      </c>
      <c r="M82">
        <v>33.861400000000003</v>
      </c>
      <c r="N82">
        <v>-20.5426</v>
      </c>
      <c r="O82">
        <v>-33.444499999999998</v>
      </c>
      <c r="P82">
        <v>63.83</v>
      </c>
      <c r="S82">
        <f t="shared" si="25"/>
        <v>727.62019999999995</v>
      </c>
      <c r="T82">
        <f t="shared" si="26"/>
        <v>2.0717976313072057E-2</v>
      </c>
      <c r="U82">
        <f t="shared" si="27"/>
        <v>5.0154377047482122E-2</v>
      </c>
      <c r="V82">
        <f t="shared" si="28"/>
        <v>7.4997199323337755E-3</v>
      </c>
      <c r="W82">
        <f t="shared" si="29"/>
        <v>2.2499159797001326E-3</v>
      </c>
      <c r="X82">
        <f t="shared" si="30"/>
        <v>0.18635866566857889</v>
      </c>
      <c r="Y82">
        <f t="shared" si="31"/>
        <v>9.3746499154172199E-5</v>
      </c>
      <c r="Z82">
        <f t="shared" si="32"/>
        <v>2.5311554771626494E-3</v>
      </c>
      <c r="AA82">
        <f t="shared" si="33"/>
        <v>0.20479522717823501</v>
      </c>
      <c r="AB82">
        <f t="shared" si="34"/>
        <v>3.3815018470403989E-2</v>
      </c>
      <c r="AC82">
        <f t="shared" si="35"/>
        <v>0.138920030955094</v>
      </c>
      <c r="AD82">
        <f t="shared" si="36"/>
        <v>3.2387540527783411E-3</v>
      </c>
      <c r="AE82">
        <f t="shared" si="37"/>
        <v>3.1743877064590864E-2</v>
      </c>
      <c r="AG82">
        <f t="shared" si="38"/>
        <v>-0.77137643119304522</v>
      </c>
      <c r="AH82">
        <f t="shared" si="39"/>
        <v>0.30134943398207464</v>
      </c>
      <c r="AI82">
        <f t="shared" si="40"/>
        <v>-1.3921204767424472E-2</v>
      </c>
      <c r="AK82" s="26">
        <f t="shared" si="41"/>
        <v>5.6970356144215029E-2</v>
      </c>
      <c r="AL82" s="26">
        <f t="shared" si="42"/>
        <v>4.8939352431277061E-2</v>
      </c>
      <c r="AM82" s="26">
        <f t="shared" si="43"/>
        <v>4.8799417589240418E-2</v>
      </c>
      <c r="AN82" s="26">
        <f t="shared" si="44"/>
        <v>21.995079365079377</v>
      </c>
      <c r="AO82" s="26">
        <f t="shared" si="45"/>
        <v>22.041075731497415</v>
      </c>
      <c r="AP82" s="26">
        <f t="shared" si="46"/>
        <v>20.150548830125274</v>
      </c>
      <c r="AS82" s="2">
        <v>45398</v>
      </c>
      <c r="AT82">
        <v>21.2</v>
      </c>
      <c r="AU82">
        <v>5.4</v>
      </c>
      <c r="AV82">
        <v>42.1</v>
      </c>
      <c r="AW82">
        <v>9.6999999999999993</v>
      </c>
      <c r="AX82">
        <v>179.07</v>
      </c>
      <c r="AY82">
        <v>0.1</v>
      </c>
      <c r="AZ82">
        <v>2.1</v>
      </c>
      <c r="BA82">
        <v>137.73670000000001</v>
      </c>
      <c r="BB82">
        <v>28.078199999999999</v>
      </c>
      <c r="BC82">
        <v>62.066800000000001</v>
      </c>
      <c r="BD82">
        <v>2.7079</v>
      </c>
      <c r="BE82">
        <v>23.888200000000001</v>
      </c>
      <c r="BF82">
        <v>-24.006399999999999</v>
      </c>
      <c r="BG82">
        <v>-37.8202</v>
      </c>
      <c r="BH82">
        <v>62.19</v>
      </c>
    </row>
    <row r="83" spans="1:60" x14ac:dyDescent="0.25">
      <c r="A83" s="2">
        <v>45418</v>
      </c>
      <c r="B83">
        <v>19.600000000000001</v>
      </c>
      <c r="C83">
        <v>55.2</v>
      </c>
      <c r="D83">
        <v>9</v>
      </c>
      <c r="E83">
        <v>2.2000000000000002</v>
      </c>
      <c r="F83">
        <v>241.06</v>
      </c>
      <c r="G83">
        <v>0.1</v>
      </c>
      <c r="H83">
        <v>2.6</v>
      </c>
      <c r="I83">
        <v>196.57570000000001</v>
      </c>
      <c r="J83">
        <v>33.236800000000002</v>
      </c>
      <c r="K83">
        <v>126.2942</v>
      </c>
      <c r="L83">
        <v>3.48</v>
      </c>
      <c r="M83">
        <v>34.487099999999998</v>
      </c>
      <c r="N83">
        <v>-21.513300000000001</v>
      </c>
      <c r="O83">
        <v>-33.367100000000001</v>
      </c>
      <c r="P83">
        <v>63.7</v>
      </c>
      <c r="S83">
        <f t="shared" si="25"/>
        <v>723.83380000000011</v>
      </c>
      <c r="T83">
        <f t="shared" si="26"/>
        <v>1.837431383421775E-2</v>
      </c>
      <c r="U83">
        <f t="shared" si="27"/>
        <v>5.174806753310305E-2</v>
      </c>
      <c r="V83">
        <f t="shared" si="28"/>
        <v>8.4371849238754973E-3</v>
      </c>
      <c r="W83">
        <f t="shared" si="29"/>
        <v>2.0624229813917885E-3</v>
      </c>
      <c r="X83">
        <f t="shared" si="30"/>
        <v>0.22598531086104748</v>
      </c>
      <c r="Y83">
        <f t="shared" si="31"/>
        <v>9.3746499154172199E-5</v>
      </c>
      <c r="Z83">
        <f t="shared" si="32"/>
        <v>2.437408978008477E-3</v>
      </c>
      <c r="AA83">
        <f t="shared" si="33"/>
        <v>0.18428283693780809</v>
      </c>
      <c r="AB83">
        <f t="shared" si="34"/>
        <v>3.1158336430873904E-2</v>
      </c>
      <c r="AC83">
        <f t="shared" si="35"/>
        <v>0.11839639113476853</v>
      </c>
      <c r="AD83">
        <f t="shared" si="36"/>
        <v>3.2623781705651924E-3</v>
      </c>
      <c r="AE83">
        <f t="shared" si="37"/>
        <v>3.2330448909798519E-2</v>
      </c>
      <c r="AG83">
        <f t="shared" si="38"/>
        <v>-0.77726853760629</v>
      </c>
      <c r="AH83">
        <f t="shared" si="39"/>
        <v>0.34146890452059675</v>
      </c>
      <c r="AI83">
        <f t="shared" si="40"/>
        <v>0.27985648157566673</v>
      </c>
      <c r="AK83" s="26">
        <f t="shared" si="41"/>
        <v>5.9986084299426201E-2</v>
      </c>
      <c r="AL83" s="26">
        <f t="shared" si="42"/>
        <v>4.8233782011150972E-2</v>
      </c>
      <c r="AM83" s="26">
        <f t="shared" si="43"/>
        <v>5.0006717636052078E-2</v>
      </c>
      <c r="AN83" s="26">
        <f t="shared" si="44"/>
        <v>22.144285714285736</v>
      </c>
      <c r="AO83" s="26">
        <f t="shared" si="45"/>
        <v>22.055316265060249</v>
      </c>
      <c r="AP83" s="26">
        <f t="shared" si="46"/>
        <v>20.093852577400824</v>
      </c>
      <c r="AS83" s="2">
        <v>45397</v>
      </c>
      <c r="AT83">
        <v>19.600000000000001</v>
      </c>
      <c r="AU83">
        <v>3.5</v>
      </c>
      <c r="AV83">
        <v>42.8</v>
      </c>
      <c r="AW83">
        <v>6.3</v>
      </c>
      <c r="AX83">
        <v>179.49</v>
      </c>
      <c r="AY83">
        <v>0.1</v>
      </c>
      <c r="AZ83">
        <v>2.2000000000000002</v>
      </c>
      <c r="BA83">
        <v>125.5788</v>
      </c>
      <c r="BB83">
        <v>22.834700000000002</v>
      </c>
      <c r="BC83">
        <v>88.167900000000003</v>
      </c>
      <c r="BD83">
        <v>2.7732000000000001</v>
      </c>
      <c r="BE83">
        <v>36.864199999999997</v>
      </c>
      <c r="BF83">
        <v>-25.822700000000001</v>
      </c>
      <c r="BG83">
        <v>-41.343499999999999</v>
      </c>
      <c r="BH83">
        <v>62.33</v>
      </c>
    </row>
    <row r="84" spans="1:60" x14ac:dyDescent="0.25">
      <c r="A84" s="2">
        <v>45417</v>
      </c>
      <c r="B84">
        <v>18.3</v>
      </c>
      <c r="C84">
        <v>3.9</v>
      </c>
      <c r="D84">
        <v>31.6</v>
      </c>
      <c r="E84">
        <v>6.2</v>
      </c>
      <c r="F84">
        <v>248.19</v>
      </c>
      <c r="G84">
        <v>0.1</v>
      </c>
      <c r="H84">
        <v>2.6</v>
      </c>
      <c r="I84">
        <v>113.0592</v>
      </c>
      <c r="J84">
        <v>9.4440000000000008</v>
      </c>
      <c r="K84">
        <v>37.6768</v>
      </c>
      <c r="L84">
        <v>3.48</v>
      </c>
      <c r="M84">
        <v>10.2179</v>
      </c>
      <c r="P84">
        <v>63.51</v>
      </c>
      <c r="S84">
        <f t="shared" si="25"/>
        <v>484.76790000000005</v>
      </c>
      <c r="T84">
        <f t="shared" si="26"/>
        <v>1.7155609345213513E-2</v>
      </c>
      <c r="U84">
        <f t="shared" si="27"/>
        <v>3.6561134670127153E-3</v>
      </c>
      <c r="V84">
        <f t="shared" si="28"/>
        <v>2.9623893732718412E-2</v>
      </c>
      <c r="W84">
        <f t="shared" si="29"/>
        <v>5.8122829475586758E-3</v>
      </c>
      <c r="X84">
        <f t="shared" si="30"/>
        <v>0.23266943625073996</v>
      </c>
      <c r="Y84">
        <f t="shared" si="31"/>
        <v>9.3746499154172199E-5</v>
      </c>
      <c r="Z84">
        <f t="shared" si="32"/>
        <v>2.437408978008477E-3</v>
      </c>
      <c r="AA84">
        <f t="shared" si="33"/>
        <v>0.10598904197171385</v>
      </c>
      <c r="AB84">
        <f t="shared" si="34"/>
        <v>8.8534193801200218E-3</v>
      </c>
      <c r="AC84">
        <f t="shared" si="35"/>
        <v>3.5320680993319149E-2</v>
      </c>
      <c r="AD84">
        <f t="shared" si="36"/>
        <v>3.2623781705651924E-3</v>
      </c>
      <c r="AE84">
        <f t="shared" si="37"/>
        <v>9.5789235370741608E-3</v>
      </c>
      <c r="AG84">
        <f t="shared" si="38"/>
        <v>-0.78604941795668615</v>
      </c>
      <c r="AH84">
        <f t="shared" si="39"/>
        <v>0.30102741475748013</v>
      </c>
      <c r="AI84">
        <f t="shared" si="40"/>
        <v>-2.0258197502135974E-2</v>
      </c>
      <c r="AK84" s="26">
        <f t="shared" si="41"/>
        <v>5.9716616683786028E-2</v>
      </c>
      <c r="AL84" s="26">
        <f t="shared" si="42"/>
        <v>4.8819095438690452E-2</v>
      </c>
      <c r="AM84" s="26">
        <f t="shared" si="43"/>
        <v>4.9931783920742351E-2</v>
      </c>
      <c r="AN84" s="26">
        <f t="shared" si="44"/>
        <v>22.299682539682557</v>
      </c>
      <c r="AO84" s="26">
        <f t="shared" si="45"/>
        <v>22.06820783132531</v>
      </c>
      <c r="AP84" s="26">
        <f t="shared" si="46"/>
        <v>20.036697303117045</v>
      </c>
      <c r="AS84" s="2">
        <v>45396</v>
      </c>
      <c r="AT84">
        <v>16.8</v>
      </c>
      <c r="AU84">
        <v>37.200000000000003</v>
      </c>
      <c r="AV84">
        <v>47.8</v>
      </c>
      <c r="AW84">
        <v>7.3</v>
      </c>
      <c r="AX84">
        <v>297.98</v>
      </c>
      <c r="AY84">
        <v>0.1</v>
      </c>
      <c r="AZ84">
        <v>1.9</v>
      </c>
      <c r="BA84">
        <v>85.481999999999999</v>
      </c>
      <c r="BB84">
        <v>15.474</v>
      </c>
      <c r="BC84">
        <v>41.126300000000001</v>
      </c>
      <c r="BD84">
        <v>3.1478000000000002</v>
      </c>
      <c r="BE84">
        <v>21.9329</v>
      </c>
      <c r="BH84">
        <v>62.14</v>
      </c>
    </row>
    <row r="85" spans="1:60" x14ac:dyDescent="0.25">
      <c r="A85" s="2">
        <v>45416</v>
      </c>
      <c r="B85">
        <v>20.2</v>
      </c>
      <c r="C85">
        <v>2.2000000000000002</v>
      </c>
      <c r="D85">
        <v>13.3</v>
      </c>
      <c r="E85">
        <v>1.4</v>
      </c>
      <c r="F85">
        <v>286.3</v>
      </c>
      <c r="G85">
        <v>0.1</v>
      </c>
      <c r="H85">
        <v>2.7</v>
      </c>
      <c r="I85">
        <v>132.97540000000001</v>
      </c>
      <c r="J85">
        <v>8.3430999999999997</v>
      </c>
      <c r="K85">
        <v>81.690799999999996</v>
      </c>
      <c r="L85">
        <v>3.48</v>
      </c>
      <c r="M85">
        <v>22.429500000000001</v>
      </c>
      <c r="P85">
        <v>63.32</v>
      </c>
      <c r="S85">
        <f t="shared" si="25"/>
        <v>575.11880000000008</v>
      </c>
      <c r="T85">
        <f t="shared" si="26"/>
        <v>1.8936792829142783E-2</v>
      </c>
      <c r="U85">
        <f t="shared" si="27"/>
        <v>2.0624229813917885E-3</v>
      </c>
      <c r="V85">
        <f t="shared" si="28"/>
        <v>1.2468284387504903E-2</v>
      </c>
      <c r="W85">
        <f t="shared" si="29"/>
        <v>1.3124509881584105E-3</v>
      </c>
      <c r="X85">
        <f t="shared" si="30"/>
        <v>0.268396227078395</v>
      </c>
      <c r="Y85">
        <f t="shared" si="31"/>
        <v>9.3746499154172199E-5</v>
      </c>
      <c r="Z85">
        <f t="shared" si="32"/>
        <v>2.5311554771626494E-3</v>
      </c>
      <c r="AA85">
        <f t="shared" si="33"/>
        <v>0.12465978223625709</v>
      </c>
      <c r="AB85">
        <f t="shared" si="34"/>
        <v>7.82136417093174E-3</v>
      </c>
      <c r="AC85">
        <f t="shared" si="35"/>
        <v>7.6582265131036498E-2</v>
      </c>
      <c r="AD85">
        <f t="shared" si="36"/>
        <v>3.2623781705651924E-3</v>
      </c>
      <c r="AE85">
        <f t="shared" si="37"/>
        <v>2.1026871027785051E-2</v>
      </c>
      <c r="AG85">
        <f t="shared" si="38"/>
        <v>-0.79480438429422151</v>
      </c>
      <c r="AH85">
        <f t="shared" si="39"/>
        <v>0.32682795126869474</v>
      </c>
      <c r="AI85">
        <f t="shared" si="40"/>
        <v>0.1684972074401275</v>
      </c>
      <c r="AK85" s="26">
        <f t="shared" si="41"/>
        <v>7.3949405118569067E-2</v>
      </c>
      <c r="AL85" s="26">
        <f t="shared" si="42"/>
        <v>5.2343584565186896E-2</v>
      </c>
      <c r="AM85" s="26">
        <f t="shared" si="43"/>
        <v>5.1352173514324084E-2</v>
      </c>
      <c r="AN85" s="26">
        <f t="shared" si="44"/>
        <v>22.447142857142886</v>
      </c>
      <c r="AO85" s="26">
        <f t="shared" si="45"/>
        <v>22.082814113597259</v>
      </c>
      <c r="AP85" s="26">
        <f t="shared" si="46"/>
        <v>19.978345894278</v>
      </c>
      <c r="AS85" s="2">
        <v>45395</v>
      </c>
      <c r="AT85">
        <v>16.2</v>
      </c>
      <c r="AU85">
        <v>2.2999999999999998</v>
      </c>
      <c r="AV85">
        <v>57.2</v>
      </c>
      <c r="AW85">
        <v>6.8</v>
      </c>
      <c r="AX85">
        <v>315.89</v>
      </c>
      <c r="AY85">
        <v>0.1</v>
      </c>
      <c r="AZ85">
        <v>2.2000000000000002</v>
      </c>
      <c r="BA85">
        <v>78.386700000000005</v>
      </c>
      <c r="BB85">
        <v>17.616599999999998</v>
      </c>
      <c r="BC85">
        <v>27.921399999999998</v>
      </c>
      <c r="BD85">
        <v>3.6787999999999998</v>
      </c>
      <c r="BE85">
        <v>25.924499999999998</v>
      </c>
      <c r="BH85">
        <v>61.82</v>
      </c>
    </row>
    <row r="86" spans="1:60" x14ac:dyDescent="0.25">
      <c r="A86" s="2">
        <v>45415</v>
      </c>
      <c r="B86">
        <v>19.7</v>
      </c>
      <c r="C86">
        <v>85.7</v>
      </c>
      <c r="D86">
        <v>56.7</v>
      </c>
      <c r="E86">
        <v>6.2</v>
      </c>
      <c r="F86">
        <v>177.47</v>
      </c>
      <c r="G86">
        <v>0.2</v>
      </c>
      <c r="H86">
        <v>2.7</v>
      </c>
      <c r="I86">
        <v>125.5711</v>
      </c>
      <c r="J86">
        <v>18.967300000000002</v>
      </c>
      <c r="K86">
        <v>72.045900000000003</v>
      </c>
      <c r="L86">
        <v>3.4060000000000001</v>
      </c>
      <c r="M86">
        <v>40.404899999999998</v>
      </c>
      <c r="N86">
        <v>-20.6829</v>
      </c>
      <c r="O86">
        <v>-34.6661</v>
      </c>
      <c r="P86">
        <v>63.08</v>
      </c>
      <c r="S86">
        <f t="shared" si="25"/>
        <v>609.06519999999989</v>
      </c>
      <c r="T86">
        <f t="shared" si="26"/>
        <v>1.8468060333371922E-2</v>
      </c>
      <c r="U86">
        <f t="shared" si="27"/>
        <v>8.0340749775125564E-2</v>
      </c>
      <c r="V86">
        <f t="shared" si="28"/>
        <v>5.3154265020415634E-2</v>
      </c>
      <c r="W86">
        <f t="shared" si="29"/>
        <v>5.8122829475586758E-3</v>
      </c>
      <c r="X86">
        <f t="shared" si="30"/>
        <v>0.16637191204890939</v>
      </c>
      <c r="Y86">
        <f t="shared" si="31"/>
        <v>1.874929983083444E-4</v>
      </c>
      <c r="Z86">
        <f t="shared" si="32"/>
        <v>2.5311554771626494E-3</v>
      </c>
      <c r="AA86">
        <f t="shared" si="33"/>
        <v>0.11771851019938472</v>
      </c>
      <c r="AB86">
        <f t="shared" si="34"/>
        <v>1.7781179734069303E-2</v>
      </c>
      <c r="AC86">
        <f t="shared" si="35"/>
        <v>6.754050903411575E-2</v>
      </c>
      <c r="AD86">
        <f t="shared" si="36"/>
        <v>3.193005761191105E-3</v>
      </c>
      <c r="AE86">
        <f t="shared" si="37"/>
        <v>3.7878179236744115E-2</v>
      </c>
      <c r="AG86">
        <f t="shared" si="38"/>
        <v>-0.8059592713503535</v>
      </c>
      <c r="AH86">
        <f t="shared" si="39"/>
        <v>0.36474409783759626</v>
      </c>
      <c r="AI86">
        <f t="shared" si="40"/>
        <v>0.43957122651748143</v>
      </c>
      <c r="AK86" s="26">
        <f t="shared" si="41"/>
        <v>8.0120796679475137E-2</v>
      </c>
      <c r="AL86" s="26">
        <f t="shared" si="42"/>
        <v>5.5788534486577557E-2</v>
      </c>
      <c r="AM86" s="26">
        <f t="shared" si="43"/>
        <v>5.2546116549793742E-2</v>
      </c>
      <c r="AN86" s="26">
        <f t="shared" si="44"/>
        <v>22.582063492063511</v>
      </c>
      <c r="AO86" s="26">
        <f t="shared" si="45"/>
        <v>22.094169535284003</v>
      </c>
      <c r="AP86" s="26">
        <f t="shared" si="46"/>
        <v>19.916273469709331</v>
      </c>
      <c r="AS86" s="2">
        <v>45394</v>
      </c>
      <c r="AT86">
        <v>17.7</v>
      </c>
      <c r="AU86">
        <v>0</v>
      </c>
      <c r="AV86">
        <v>84</v>
      </c>
      <c r="AW86">
        <v>6</v>
      </c>
      <c r="AX86">
        <v>279.74</v>
      </c>
      <c r="AY86">
        <v>0.1</v>
      </c>
      <c r="AZ86">
        <v>2.4</v>
      </c>
      <c r="BA86">
        <v>122.01779999999999</v>
      </c>
      <c r="BB86">
        <v>27.283300000000001</v>
      </c>
      <c r="BC86">
        <v>62.520400000000002</v>
      </c>
      <c r="BD86">
        <v>3.6711</v>
      </c>
      <c r="BE86">
        <v>35.647599999999997</v>
      </c>
      <c r="BF86">
        <v>-26.281400000000001</v>
      </c>
      <c r="BG86">
        <v>-43.887599999999999</v>
      </c>
      <c r="BH86">
        <v>61.47</v>
      </c>
    </row>
    <row r="87" spans="1:60" x14ac:dyDescent="0.25">
      <c r="A87" s="2">
        <v>45414</v>
      </c>
      <c r="B87">
        <v>17.899999999999999</v>
      </c>
      <c r="C87">
        <v>58</v>
      </c>
      <c r="D87">
        <v>71.8</v>
      </c>
      <c r="E87">
        <v>8.5</v>
      </c>
      <c r="F87">
        <v>324.13</v>
      </c>
      <c r="G87">
        <v>0.5</v>
      </c>
      <c r="H87">
        <v>2.7</v>
      </c>
      <c r="I87">
        <v>85.631699999999995</v>
      </c>
      <c r="J87">
        <v>23.363700000000001</v>
      </c>
      <c r="K87">
        <v>43.508099999999999</v>
      </c>
      <c r="L87">
        <v>3.48</v>
      </c>
      <c r="M87">
        <v>25.671199999999999</v>
      </c>
      <c r="N87">
        <v>-20.551500000000001</v>
      </c>
      <c r="O87">
        <v>-34.585500000000003</v>
      </c>
      <c r="P87">
        <v>62.88</v>
      </c>
      <c r="S87">
        <f t="shared" si="25"/>
        <v>665.18470000000002</v>
      </c>
      <c r="T87">
        <f t="shared" si="26"/>
        <v>1.678062334859682E-2</v>
      </c>
      <c r="U87">
        <f t="shared" si="27"/>
        <v>5.4372969509419868E-2</v>
      </c>
      <c r="V87">
        <f t="shared" si="28"/>
        <v>6.7309986392695628E-2</v>
      </c>
      <c r="W87">
        <f t="shared" si="29"/>
        <v>7.9684524281046359E-3</v>
      </c>
      <c r="X87">
        <f t="shared" si="30"/>
        <v>0.30386052770841832</v>
      </c>
      <c r="Y87">
        <f t="shared" si="31"/>
        <v>4.6873249577086097E-4</v>
      </c>
      <c r="Z87">
        <f t="shared" si="32"/>
        <v>2.5311554771626494E-3</v>
      </c>
      <c r="AA87">
        <f t="shared" si="33"/>
        <v>8.0276720916203262E-2</v>
      </c>
      <c r="AB87">
        <f t="shared" si="34"/>
        <v>2.190265082288333E-2</v>
      </c>
      <c r="AC87">
        <f t="shared" si="35"/>
        <v>4.0787320598496393E-2</v>
      </c>
      <c r="AD87">
        <f t="shared" si="36"/>
        <v>3.2623781705651924E-3</v>
      </c>
      <c r="AE87">
        <f t="shared" si="37"/>
        <v>2.4065851290865851E-2</v>
      </c>
      <c r="AG87">
        <f t="shared" si="38"/>
        <v>-0.81516213072607291</v>
      </c>
      <c r="AH87">
        <f t="shared" si="39"/>
        <v>0.47735829865103463</v>
      </c>
      <c r="AI87">
        <f t="shared" si="40"/>
        <v>1.2594591603744369</v>
      </c>
      <c r="AK87" s="26">
        <f t="shared" si="41"/>
        <v>8.5269125254913258E-2</v>
      </c>
      <c r="AL87" s="26">
        <f t="shared" si="42"/>
        <v>5.8558129303389439E-2</v>
      </c>
      <c r="AM87" s="26">
        <f t="shared" si="43"/>
        <v>5.2959984877485794E-2</v>
      </c>
      <c r="AN87" s="26">
        <f t="shared" si="44"/>
        <v>22.696666666666673</v>
      </c>
      <c r="AO87" s="26">
        <f t="shared" si="45"/>
        <v>22.102738812392438</v>
      </c>
      <c r="AP87" s="26">
        <f t="shared" si="46"/>
        <v>19.858659436464393</v>
      </c>
      <c r="AS87" s="2">
        <v>45393</v>
      </c>
      <c r="AT87">
        <v>18</v>
      </c>
      <c r="AU87">
        <v>14.4</v>
      </c>
      <c r="AV87">
        <v>67.099999999999994</v>
      </c>
      <c r="AW87">
        <v>7</v>
      </c>
      <c r="AX87">
        <v>268.62</v>
      </c>
      <c r="AY87">
        <v>0.1</v>
      </c>
      <c r="AZ87">
        <v>2.2000000000000002</v>
      </c>
      <c r="BA87">
        <v>121.0108</v>
      </c>
      <c r="BB87">
        <v>41.836199999999998</v>
      </c>
      <c r="BC87">
        <v>79.204099999999997</v>
      </c>
      <c r="BD87">
        <v>3.798</v>
      </c>
      <c r="BE87">
        <v>31.474599999999999</v>
      </c>
      <c r="BF87">
        <v>-24.600200000000001</v>
      </c>
      <c r="BG87">
        <v>-42.000599999999999</v>
      </c>
      <c r="BH87">
        <v>61.22</v>
      </c>
    </row>
    <row r="88" spans="1:60" x14ac:dyDescent="0.25">
      <c r="A88" s="2">
        <v>45413</v>
      </c>
      <c r="B88">
        <v>17.8</v>
      </c>
      <c r="C88">
        <v>128.30000000000001</v>
      </c>
      <c r="D88">
        <v>46.6</v>
      </c>
      <c r="E88">
        <v>5.6</v>
      </c>
      <c r="F88">
        <v>373.83</v>
      </c>
      <c r="G88">
        <v>0.4</v>
      </c>
      <c r="H88">
        <v>2.7</v>
      </c>
      <c r="I88">
        <v>89.909499999999994</v>
      </c>
      <c r="J88">
        <v>9.9064999999999994</v>
      </c>
      <c r="K88">
        <v>20.279900000000001</v>
      </c>
      <c r="L88">
        <v>3.48</v>
      </c>
      <c r="M88">
        <v>20.562999999999999</v>
      </c>
      <c r="N88">
        <v>-25.0947</v>
      </c>
      <c r="O88">
        <v>-40.756</v>
      </c>
      <c r="P88">
        <v>62.69</v>
      </c>
      <c r="S88">
        <f t="shared" si="25"/>
        <v>719.36890000000005</v>
      </c>
      <c r="T88">
        <f t="shared" si="26"/>
        <v>1.6686876849442651E-2</v>
      </c>
      <c r="U88">
        <f t="shared" si="27"/>
        <v>0.12027675841480293</v>
      </c>
      <c r="V88">
        <f t="shared" si="28"/>
        <v>4.3685868605844246E-2</v>
      </c>
      <c r="W88">
        <f t="shared" si="29"/>
        <v>5.249803952633642E-3</v>
      </c>
      <c r="X88">
        <f t="shared" si="30"/>
        <v>0.35045253778804186</v>
      </c>
      <c r="Y88">
        <f t="shared" si="31"/>
        <v>3.7498599661668879E-4</v>
      </c>
      <c r="Z88">
        <f t="shared" si="32"/>
        <v>2.5311554771626494E-3</v>
      </c>
      <c r="AA88">
        <f t="shared" si="33"/>
        <v>8.4287008657020435E-2</v>
      </c>
      <c r="AB88">
        <f t="shared" si="34"/>
        <v>9.2869969387080684E-3</v>
      </c>
      <c r="AC88">
        <f t="shared" si="35"/>
        <v>1.9011696281966969E-2</v>
      </c>
      <c r="AD88">
        <f t="shared" si="36"/>
        <v>3.2623781705651924E-3</v>
      </c>
      <c r="AE88">
        <f t="shared" si="37"/>
        <v>1.9277092621072425E-2</v>
      </c>
      <c r="AG88">
        <f t="shared" si="38"/>
        <v>-0.82387824463707482</v>
      </c>
      <c r="AH88">
        <f t="shared" si="39"/>
        <v>0.55853507970561711</v>
      </c>
      <c r="AI88">
        <f t="shared" si="40"/>
        <v>1.856579202351869</v>
      </c>
      <c r="AK88" s="26">
        <f t="shared" si="41"/>
        <v>7.9438597452971604E-2</v>
      </c>
      <c r="AL88" s="26">
        <f t="shared" si="42"/>
        <v>5.4427792010334985E-2</v>
      </c>
      <c r="AM88" s="26">
        <f t="shared" si="43"/>
        <v>5.2325643512896536E-2</v>
      </c>
      <c r="AN88" s="26">
        <f t="shared" si="44"/>
        <v>22.797936507936512</v>
      </c>
      <c r="AO88" s="26">
        <f t="shared" si="45"/>
        <v>22.107299913941489</v>
      </c>
      <c r="AP88" s="26">
        <f t="shared" si="46"/>
        <v>19.802533809511324</v>
      </c>
      <c r="AS88" s="2">
        <v>45392</v>
      </c>
      <c r="AT88">
        <v>19.600000000000001</v>
      </c>
      <c r="AU88">
        <v>2.5</v>
      </c>
      <c r="AV88">
        <v>61.3</v>
      </c>
      <c r="AW88">
        <v>6</v>
      </c>
      <c r="AX88">
        <v>217.08</v>
      </c>
      <c r="AY88">
        <v>0.1</v>
      </c>
      <c r="AZ88">
        <v>2.1</v>
      </c>
      <c r="BA88">
        <v>136.2251</v>
      </c>
      <c r="BB88">
        <v>59.423499999999997</v>
      </c>
      <c r="BC88">
        <v>80.522300000000001</v>
      </c>
      <c r="BD88">
        <v>4.2480000000000002</v>
      </c>
      <c r="BE88">
        <v>32.079000000000001</v>
      </c>
      <c r="BF88">
        <v>-23.063199999999998</v>
      </c>
      <c r="BG88">
        <v>-41.355600000000003</v>
      </c>
      <c r="BH88">
        <v>60.79</v>
      </c>
    </row>
    <row r="89" spans="1:60" x14ac:dyDescent="0.25">
      <c r="A89" s="2">
        <v>45412</v>
      </c>
      <c r="B89">
        <v>19.3</v>
      </c>
      <c r="C89">
        <v>21</v>
      </c>
      <c r="D89">
        <v>46.6</v>
      </c>
      <c r="E89">
        <v>3.9</v>
      </c>
      <c r="F89">
        <v>369.2</v>
      </c>
      <c r="G89">
        <v>0.1</v>
      </c>
      <c r="H89">
        <v>2.2000000000000002</v>
      </c>
      <c r="I89">
        <v>112.5591</v>
      </c>
      <c r="J89">
        <v>18.364699999999999</v>
      </c>
      <c r="K89">
        <v>76.273600000000002</v>
      </c>
      <c r="L89">
        <v>3.48</v>
      </c>
      <c r="M89">
        <v>34.511899999999997</v>
      </c>
      <c r="N89">
        <v>-26.084599999999998</v>
      </c>
      <c r="O89">
        <v>-38.835000000000001</v>
      </c>
      <c r="P89">
        <v>62.45</v>
      </c>
      <c r="S89">
        <f t="shared" si="25"/>
        <v>707.48929999999996</v>
      </c>
      <c r="T89">
        <f t="shared" si="26"/>
        <v>1.8093074336755232E-2</v>
      </c>
      <c r="U89">
        <f t="shared" si="27"/>
        <v>1.9686764822376159E-2</v>
      </c>
      <c r="V89">
        <f t="shared" si="28"/>
        <v>4.3685868605844246E-2</v>
      </c>
      <c r="W89">
        <f t="shared" si="29"/>
        <v>3.6561134670127153E-3</v>
      </c>
      <c r="X89">
        <f t="shared" si="30"/>
        <v>0.34611207487720375</v>
      </c>
      <c r="Y89">
        <f t="shared" si="31"/>
        <v>9.3746499154172199E-5</v>
      </c>
      <c r="Z89">
        <f t="shared" si="32"/>
        <v>2.0624229813917885E-3</v>
      </c>
      <c r="AA89">
        <f t="shared" si="33"/>
        <v>0.10552021572944383</v>
      </c>
      <c r="AB89">
        <f t="shared" si="34"/>
        <v>1.7216263330166258E-2</v>
      </c>
      <c r="AC89">
        <f t="shared" si="35"/>
        <v>7.1503829778856678E-2</v>
      </c>
      <c r="AD89">
        <f t="shared" si="36"/>
        <v>3.2623781705651924E-3</v>
      </c>
      <c r="AE89">
        <f t="shared" si="37"/>
        <v>3.2353698041588747E-2</v>
      </c>
      <c r="AG89">
        <f t="shared" si="38"/>
        <v>-0.8350087329475202</v>
      </c>
      <c r="AH89">
        <f t="shared" si="39"/>
        <v>0.46574376363132686</v>
      </c>
      <c r="AI89">
        <f t="shared" si="40"/>
        <v>1.1893390460115376</v>
      </c>
      <c r="AK89" s="26">
        <f t="shared" si="41"/>
        <v>6.6289650983941184E-2</v>
      </c>
      <c r="AL89" s="26">
        <f t="shared" si="42"/>
        <v>4.8229943265465813E-2</v>
      </c>
      <c r="AM89" s="26">
        <f t="shared" si="43"/>
        <v>5.0209833321906067E-2</v>
      </c>
      <c r="AN89" s="26">
        <f t="shared" si="44"/>
        <v>22.877936507936518</v>
      </c>
      <c r="AO89" s="26">
        <f t="shared" si="45"/>
        <v>22.107663511187624</v>
      </c>
      <c r="AP89" s="26">
        <f t="shared" si="46"/>
        <v>19.748281295134085</v>
      </c>
      <c r="AS89" s="2">
        <v>45391</v>
      </c>
      <c r="AT89">
        <v>18.8</v>
      </c>
      <c r="AU89">
        <v>0</v>
      </c>
      <c r="AV89">
        <v>61.5</v>
      </c>
      <c r="AW89">
        <v>8.9</v>
      </c>
      <c r="AX89">
        <v>176.95</v>
      </c>
      <c r="AY89">
        <v>0.1</v>
      </c>
      <c r="AZ89">
        <v>1.8</v>
      </c>
      <c r="BA89">
        <v>125.46169999999999</v>
      </c>
      <c r="BB89">
        <v>40.207500000000003</v>
      </c>
      <c r="BC89">
        <v>55.750799999999998</v>
      </c>
      <c r="BD89">
        <v>3.7753000000000001</v>
      </c>
      <c r="BE89">
        <v>28.078399999999998</v>
      </c>
      <c r="BF89">
        <v>-22.644200000000001</v>
      </c>
      <c r="BG89">
        <v>-40.574199999999998</v>
      </c>
      <c r="BH89">
        <v>60.65</v>
      </c>
    </row>
    <row r="90" spans="1:60" x14ac:dyDescent="0.25">
      <c r="A90" s="2">
        <v>45411</v>
      </c>
      <c r="B90">
        <v>19.600000000000001</v>
      </c>
      <c r="C90">
        <v>21</v>
      </c>
      <c r="D90">
        <v>31.8</v>
      </c>
      <c r="E90">
        <v>2.2999999999999998</v>
      </c>
      <c r="F90">
        <v>342.58</v>
      </c>
      <c r="G90">
        <v>0.1</v>
      </c>
      <c r="H90">
        <v>2.2000000000000002</v>
      </c>
      <c r="I90">
        <v>138.6919</v>
      </c>
      <c r="J90">
        <v>25.5122</v>
      </c>
      <c r="K90">
        <v>98.586200000000005</v>
      </c>
      <c r="L90">
        <v>3.48</v>
      </c>
      <c r="M90">
        <v>33.373800000000003</v>
      </c>
      <c r="N90">
        <v>-24.2818</v>
      </c>
      <c r="O90">
        <v>-37.399099999999997</v>
      </c>
      <c r="P90">
        <v>62.23</v>
      </c>
      <c r="S90">
        <f t="shared" si="25"/>
        <v>719.22409999999991</v>
      </c>
      <c r="T90">
        <f t="shared" si="26"/>
        <v>1.837431383421775E-2</v>
      </c>
      <c r="U90">
        <f t="shared" si="27"/>
        <v>1.9686764822376159E-2</v>
      </c>
      <c r="V90">
        <f t="shared" si="28"/>
        <v>2.9811386731026759E-2</v>
      </c>
      <c r="W90">
        <f t="shared" si="29"/>
        <v>2.1561694805459601E-3</v>
      </c>
      <c r="X90">
        <f t="shared" si="30"/>
        <v>0.32115675680236305</v>
      </c>
      <c r="Y90">
        <f t="shared" si="31"/>
        <v>9.3746499154172199E-5</v>
      </c>
      <c r="Z90">
        <f t="shared" si="32"/>
        <v>2.0624229813917885E-3</v>
      </c>
      <c r="AA90">
        <f t="shared" si="33"/>
        <v>0.13001880086040535</v>
      </c>
      <c r="AB90">
        <f t="shared" si="34"/>
        <v>2.3916794357210718E-2</v>
      </c>
      <c r="AC90">
        <f t="shared" si="35"/>
        <v>9.2421111149130514E-2</v>
      </c>
      <c r="AD90">
        <f t="shared" si="36"/>
        <v>3.2623781705651924E-3</v>
      </c>
      <c r="AE90">
        <f t="shared" si="37"/>
        <v>3.128676913471512E-2</v>
      </c>
      <c r="AG90">
        <f t="shared" si="38"/>
        <v>-0.84517029766408291</v>
      </c>
      <c r="AH90">
        <f t="shared" si="39"/>
        <v>0.42462833028579078</v>
      </c>
      <c r="AI90">
        <f t="shared" si="40"/>
        <v>0.89272675047110528</v>
      </c>
      <c r="AK90" s="26">
        <f t="shared" si="41"/>
        <v>5.6886217917204329E-2</v>
      </c>
      <c r="AL90" s="26">
        <f t="shared" si="42"/>
        <v>4.3148089433479253E-2</v>
      </c>
      <c r="AM90" s="26">
        <f t="shared" si="43"/>
        <v>4.9094260488787289E-2</v>
      </c>
      <c r="AN90" s="26">
        <f t="shared" si="44"/>
        <v>22.95333333333334</v>
      </c>
      <c r="AO90" s="26">
        <f t="shared" si="45"/>
        <v>22.105075301204835</v>
      </c>
      <c r="AP90" s="26">
        <f t="shared" si="46"/>
        <v>19.696642682702688</v>
      </c>
      <c r="AS90" s="2">
        <v>45390</v>
      </c>
      <c r="AT90">
        <v>18.100000000000001</v>
      </c>
      <c r="AU90">
        <v>32.1</v>
      </c>
      <c r="AV90">
        <v>29</v>
      </c>
      <c r="AW90">
        <v>2.5</v>
      </c>
      <c r="AX90">
        <v>272.67</v>
      </c>
      <c r="AY90">
        <v>0.1</v>
      </c>
      <c r="AZ90">
        <v>2.1</v>
      </c>
      <c r="BA90">
        <v>177.73769999999999</v>
      </c>
      <c r="BB90">
        <v>61.088700000000003</v>
      </c>
      <c r="BC90">
        <v>103.57389999999999</v>
      </c>
      <c r="BD90">
        <v>3.8022</v>
      </c>
      <c r="BE90">
        <v>38.5411</v>
      </c>
      <c r="BF90">
        <v>-26.0472</v>
      </c>
      <c r="BG90">
        <v>-42.793100000000003</v>
      </c>
      <c r="BH90">
        <v>60.73</v>
      </c>
    </row>
    <row r="91" spans="1:60" x14ac:dyDescent="0.25">
      <c r="A91" s="2">
        <v>45410</v>
      </c>
      <c r="B91">
        <v>18.600000000000001</v>
      </c>
      <c r="C91">
        <v>98.1</v>
      </c>
      <c r="D91">
        <v>51</v>
      </c>
      <c r="E91">
        <v>6.5</v>
      </c>
      <c r="F91">
        <v>285.68</v>
      </c>
      <c r="G91">
        <v>0.1</v>
      </c>
      <c r="H91">
        <v>1.9</v>
      </c>
      <c r="I91">
        <v>94.004800000000003</v>
      </c>
      <c r="J91">
        <v>10.507</v>
      </c>
      <c r="K91">
        <v>29.4785</v>
      </c>
      <c r="L91">
        <v>3.48</v>
      </c>
      <c r="M91">
        <v>10.741400000000001</v>
      </c>
      <c r="P91">
        <v>62.06</v>
      </c>
      <c r="S91">
        <f t="shared" si="25"/>
        <v>610.09170000000006</v>
      </c>
      <c r="T91">
        <f t="shared" si="26"/>
        <v>1.7436848842676027E-2</v>
      </c>
      <c r="U91">
        <f t="shared" si="27"/>
        <v>9.1965315670242909E-2</v>
      </c>
      <c r="V91">
        <f t="shared" si="28"/>
        <v>4.7810714568627816E-2</v>
      </c>
      <c r="W91">
        <f t="shared" si="29"/>
        <v>6.0935224450211923E-3</v>
      </c>
      <c r="X91">
        <f t="shared" si="30"/>
        <v>0.26781499878363912</v>
      </c>
      <c r="Y91">
        <f t="shared" si="31"/>
        <v>9.3746499154172199E-5</v>
      </c>
      <c r="Z91">
        <f t="shared" si="32"/>
        <v>1.7811834839292716E-3</v>
      </c>
      <c r="AA91">
        <f t="shared" si="33"/>
        <v>8.8126209036881259E-2</v>
      </c>
      <c r="AB91">
        <f t="shared" si="34"/>
        <v>9.8499446661288719E-3</v>
      </c>
      <c r="AC91">
        <f t="shared" si="35"/>
        <v>2.7635061753162649E-2</v>
      </c>
      <c r="AD91">
        <f t="shared" si="36"/>
        <v>3.2623781705651924E-3</v>
      </c>
      <c r="AE91">
        <f t="shared" si="37"/>
        <v>1.0069686460146252E-2</v>
      </c>
      <c r="AG91">
        <f t="shared" si="38"/>
        <v>-0.85287942107415404</v>
      </c>
      <c r="AH91">
        <f t="shared" si="39"/>
        <v>0.44306601675343676</v>
      </c>
      <c r="AI91">
        <f t="shared" si="40"/>
        <v>1.0304641607501974</v>
      </c>
      <c r="AK91" s="26">
        <f t="shared" si="41"/>
        <v>5.0615176803776807E-2</v>
      </c>
      <c r="AL91" s="26">
        <f t="shared" si="42"/>
        <v>4.0037513649927914E-2</v>
      </c>
      <c r="AM91" s="26">
        <f t="shared" si="43"/>
        <v>4.7828584936870006E-2</v>
      </c>
      <c r="AN91" s="26">
        <f t="shared" si="44"/>
        <v>23.03587301587303</v>
      </c>
      <c r="AO91" s="26">
        <f t="shared" si="45"/>
        <v>22.100875645438911</v>
      </c>
      <c r="AP91" s="26">
        <f t="shared" si="46"/>
        <v>19.64759197500068</v>
      </c>
      <c r="AS91" s="2">
        <v>45389</v>
      </c>
      <c r="AT91">
        <v>15.7</v>
      </c>
      <c r="AU91">
        <v>0.8</v>
      </c>
      <c r="AV91">
        <v>65.900000000000006</v>
      </c>
      <c r="AW91">
        <v>6.4</v>
      </c>
      <c r="AX91">
        <v>270.82</v>
      </c>
      <c r="AY91">
        <v>0.1</v>
      </c>
      <c r="AZ91">
        <v>1.9</v>
      </c>
      <c r="BA91">
        <v>89.221500000000006</v>
      </c>
      <c r="BB91">
        <v>30.497399999999999</v>
      </c>
      <c r="BC91">
        <v>37.311799999999998</v>
      </c>
      <c r="BD91">
        <v>3.8031000000000001</v>
      </c>
      <c r="BE91">
        <v>21.769100000000002</v>
      </c>
      <c r="BH91">
        <v>60.43</v>
      </c>
    </row>
    <row r="92" spans="1:60" x14ac:dyDescent="0.25">
      <c r="A92" s="2">
        <v>45409</v>
      </c>
      <c r="B92">
        <v>18.899999999999999</v>
      </c>
      <c r="C92">
        <v>3.9</v>
      </c>
      <c r="D92">
        <v>13.4</v>
      </c>
      <c r="E92">
        <v>2.8</v>
      </c>
      <c r="F92">
        <v>354.42</v>
      </c>
      <c r="G92">
        <v>0.1</v>
      </c>
      <c r="H92">
        <v>2.1</v>
      </c>
      <c r="I92">
        <v>152.08420000000001</v>
      </c>
      <c r="J92">
        <v>24.990400000000001</v>
      </c>
      <c r="K92">
        <v>68.846800000000002</v>
      </c>
      <c r="L92">
        <v>3.6082000000000001</v>
      </c>
      <c r="M92">
        <v>25.613199999999999</v>
      </c>
      <c r="P92">
        <v>61.85</v>
      </c>
      <c r="S92">
        <f t="shared" si="25"/>
        <v>670.7628000000002</v>
      </c>
      <c r="T92">
        <f t="shared" si="26"/>
        <v>1.7718088340138542E-2</v>
      </c>
      <c r="U92">
        <f t="shared" si="27"/>
        <v>3.6561134670127153E-3</v>
      </c>
      <c r="V92">
        <f t="shared" si="28"/>
        <v>1.2562030886659074E-2</v>
      </c>
      <c r="W92">
        <f t="shared" si="29"/>
        <v>2.624901976316821E-3</v>
      </c>
      <c r="X92">
        <f t="shared" si="30"/>
        <v>0.33225634230221707</v>
      </c>
      <c r="Y92">
        <f t="shared" si="31"/>
        <v>9.3746499154172199E-5</v>
      </c>
      <c r="Z92">
        <f t="shared" si="32"/>
        <v>1.9686764822376161E-3</v>
      </c>
      <c r="AA92">
        <f t="shared" si="33"/>
        <v>0.14257361326662954</v>
      </c>
      <c r="AB92">
        <f t="shared" si="34"/>
        <v>2.3427625124624249E-2</v>
      </c>
      <c r="AC92">
        <f t="shared" si="35"/>
        <v>6.4541464779674623E-2</v>
      </c>
      <c r="AD92">
        <f t="shared" si="36"/>
        <v>3.3825611824808413E-3</v>
      </c>
      <c r="AE92">
        <f t="shared" si="37"/>
        <v>2.401147832135643E-2</v>
      </c>
      <c r="AG92">
        <f t="shared" si="38"/>
        <v>-0.86248814314505218</v>
      </c>
      <c r="AH92">
        <f t="shared" si="39"/>
        <v>0.39489137827509246</v>
      </c>
      <c r="AI92">
        <f t="shared" si="40"/>
        <v>0.68056987899204413</v>
      </c>
      <c r="AK92" s="26">
        <f t="shared" si="41"/>
        <v>5.3055596086035939E-2</v>
      </c>
      <c r="AL92" s="26">
        <f t="shared" si="42"/>
        <v>4.0923023859678775E-2</v>
      </c>
      <c r="AM92" s="26">
        <f t="shared" si="43"/>
        <v>4.792575446213046E-2</v>
      </c>
      <c r="AN92" s="26">
        <f t="shared" si="44"/>
        <v>23.101428571428578</v>
      </c>
      <c r="AO92" s="26">
        <f t="shared" si="45"/>
        <v>22.094363166953535</v>
      </c>
      <c r="AP92" s="26">
        <f t="shared" si="46"/>
        <v>19.596614847299193</v>
      </c>
      <c r="AS92" s="2">
        <v>45388</v>
      </c>
      <c r="AT92">
        <v>15.3</v>
      </c>
      <c r="AU92">
        <v>1.1000000000000001</v>
      </c>
      <c r="AV92">
        <v>63.9</v>
      </c>
      <c r="AW92">
        <v>6.1</v>
      </c>
      <c r="AX92">
        <v>319.52999999999997</v>
      </c>
      <c r="AY92">
        <v>0.1</v>
      </c>
      <c r="AZ92">
        <v>1.9</v>
      </c>
      <c r="BA92">
        <v>86.738100000000003</v>
      </c>
      <c r="BB92">
        <v>36.655999999999999</v>
      </c>
      <c r="BC92">
        <v>31.6221</v>
      </c>
      <c r="BD92">
        <v>3.7751999999999999</v>
      </c>
      <c r="BE92">
        <v>35.712600000000002</v>
      </c>
      <c r="BH92">
        <v>60.17</v>
      </c>
    </row>
    <row r="93" spans="1:60" x14ac:dyDescent="0.25">
      <c r="A93" s="2">
        <v>45408</v>
      </c>
      <c r="B93">
        <v>18.8</v>
      </c>
      <c r="C93">
        <v>50.1</v>
      </c>
      <c r="D93">
        <v>12.2</v>
      </c>
      <c r="E93">
        <v>3.9</v>
      </c>
      <c r="F93">
        <v>264.75</v>
      </c>
      <c r="G93">
        <v>0.1</v>
      </c>
      <c r="H93">
        <v>2.1</v>
      </c>
      <c r="I93">
        <v>221.70920000000001</v>
      </c>
      <c r="J93">
        <v>58.629399999999997</v>
      </c>
      <c r="K93">
        <v>133.26570000000001</v>
      </c>
      <c r="L93">
        <v>3.4830999999999999</v>
      </c>
      <c r="M93">
        <v>31.649799999999999</v>
      </c>
      <c r="N93">
        <v>-24.41</v>
      </c>
      <c r="O93">
        <v>-38.287999999999997</v>
      </c>
      <c r="P93">
        <v>61.72</v>
      </c>
      <c r="S93">
        <f t="shared" si="25"/>
        <v>800.68720000000019</v>
      </c>
      <c r="T93">
        <f t="shared" si="26"/>
        <v>1.7624341840984374E-2</v>
      </c>
      <c r="U93">
        <f t="shared" si="27"/>
        <v>4.6966996076240268E-2</v>
      </c>
      <c r="V93">
        <f t="shared" si="28"/>
        <v>1.1437072896809007E-2</v>
      </c>
      <c r="W93">
        <f t="shared" si="29"/>
        <v>3.6561134670127153E-3</v>
      </c>
      <c r="X93">
        <f t="shared" si="30"/>
        <v>0.24819385651067088</v>
      </c>
      <c r="Y93">
        <f t="shared" si="31"/>
        <v>9.3746499154172199E-5</v>
      </c>
      <c r="Z93">
        <f t="shared" si="32"/>
        <v>1.9686764822376161E-3</v>
      </c>
      <c r="AA93">
        <f t="shared" si="33"/>
        <v>0.20784461330272194</v>
      </c>
      <c r="AB93">
        <f t="shared" si="34"/>
        <v>5.4963009975096226E-2</v>
      </c>
      <c r="AC93">
        <f t="shared" si="35"/>
        <v>0.12493192832330166</v>
      </c>
      <c r="AD93">
        <f t="shared" si="36"/>
        <v>3.2652843120389713E-3</v>
      </c>
      <c r="AE93">
        <f t="shared" si="37"/>
        <v>2.9670579489297189E-2</v>
      </c>
      <c r="AG93">
        <f t="shared" si="38"/>
        <v>-0.86820099026042064</v>
      </c>
      <c r="AH93">
        <f t="shared" si="39"/>
        <v>0.35961138326240627</v>
      </c>
      <c r="AI93">
        <f t="shared" si="40"/>
        <v>0.42006912175710881</v>
      </c>
      <c r="AK93" s="26">
        <f t="shared" si="41"/>
        <v>5.7800901021411888E-2</v>
      </c>
      <c r="AL93" s="26">
        <f t="shared" si="42"/>
        <v>4.0668739344751237E-2</v>
      </c>
      <c r="AM93" s="26">
        <f t="shared" si="43"/>
        <v>4.8361857499363864E-2</v>
      </c>
      <c r="AN93" s="26">
        <f t="shared" si="44"/>
        <v>23.151904761904774</v>
      </c>
      <c r="AO93" s="26">
        <f t="shared" si="45"/>
        <v>22.082669965576599</v>
      </c>
      <c r="AP93" s="26">
        <f t="shared" si="46"/>
        <v>19.546105932092146</v>
      </c>
      <c r="AS93" s="2">
        <v>45387</v>
      </c>
      <c r="AT93">
        <v>16.2</v>
      </c>
      <c r="AU93">
        <v>17.399999999999999</v>
      </c>
      <c r="AV93">
        <v>64.599999999999994</v>
      </c>
      <c r="AW93">
        <v>11.5</v>
      </c>
      <c r="AX93">
        <v>216.04</v>
      </c>
      <c r="AY93">
        <v>0.1</v>
      </c>
      <c r="AZ93">
        <v>2.2000000000000002</v>
      </c>
      <c r="BA93">
        <v>106.3497</v>
      </c>
      <c r="BB93">
        <v>39.527900000000002</v>
      </c>
      <c r="BC93">
        <v>52.711399999999998</v>
      </c>
      <c r="BD93">
        <v>3.7875999999999999</v>
      </c>
      <c r="BE93">
        <v>33.669800000000002</v>
      </c>
      <c r="BF93">
        <v>-25.455500000000001</v>
      </c>
      <c r="BG93">
        <v>-43.110700000000001</v>
      </c>
      <c r="BH93">
        <v>59.61</v>
      </c>
    </row>
    <row r="94" spans="1:60" x14ac:dyDescent="0.25">
      <c r="A94" s="2">
        <v>45407</v>
      </c>
      <c r="B94">
        <v>19.600000000000001</v>
      </c>
      <c r="C94">
        <v>1.6</v>
      </c>
      <c r="D94">
        <v>16.7</v>
      </c>
      <c r="E94">
        <v>2.5</v>
      </c>
      <c r="F94">
        <v>229.89</v>
      </c>
      <c r="G94">
        <v>0.1</v>
      </c>
      <c r="H94">
        <v>2</v>
      </c>
      <c r="I94">
        <v>244.31720000000001</v>
      </c>
      <c r="J94">
        <v>54.404200000000003</v>
      </c>
      <c r="K94">
        <v>165.56280000000001</v>
      </c>
      <c r="L94">
        <v>3.48</v>
      </c>
      <c r="M94">
        <v>28.063199999999998</v>
      </c>
      <c r="N94">
        <v>-23.328800000000001</v>
      </c>
      <c r="O94">
        <v>-38.009</v>
      </c>
      <c r="P94">
        <v>61.75</v>
      </c>
      <c r="S94">
        <f t="shared" si="25"/>
        <v>768.21740000000011</v>
      </c>
      <c r="T94">
        <f t="shared" si="26"/>
        <v>1.837431383421775E-2</v>
      </c>
      <c r="U94">
        <f t="shared" si="27"/>
        <v>1.4999439864667552E-3</v>
      </c>
      <c r="V94">
        <f t="shared" si="28"/>
        <v>1.5655665358746754E-2</v>
      </c>
      <c r="W94">
        <f t="shared" si="29"/>
        <v>2.3436624788543046E-3</v>
      </c>
      <c r="X94">
        <f t="shared" si="30"/>
        <v>0.21551382690552642</v>
      </c>
      <c r="Y94">
        <f t="shared" si="31"/>
        <v>9.3746499154172199E-5</v>
      </c>
      <c r="Z94">
        <f t="shared" si="32"/>
        <v>1.8749299830834439E-3</v>
      </c>
      <c r="AA94">
        <f t="shared" si="33"/>
        <v>0.22903882183149718</v>
      </c>
      <c r="AB94">
        <f t="shared" si="34"/>
        <v>5.100203289283415E-2</v>
      </c>
      <c r="AC94">
        <f t="shared" si="35"/>
        <v>0.15520932890162381</v>
      </c>
      <c r="AD94">
        <f t="shared" si="36"/>
        <v>3.2623781705651924E-3</v>
      </c>
      <c r="AE94">
        <f t="shared" si="37"/>
        <v>2.630826755063365E-2</v>
      </c>
      <c r="AG94">
        <f t="shared" si="38"/>
        <v>-0.8661517147014115</v>
      </c>
      <c r="AH94">
        <f t="shared" si="39"/>
        <v>0.28166435659668321</v>
      </c>
      <c r="AI94">
        <f t="shared" si="40"/>
        <v>-0.15419573524265098</v>
      </c>
      <c r="AK94" s="26">
        <f t="shared" si="41"/>
        <v>5.9922375369032832E-2</v>
      </c>
      <c r="AL94" s="26">
        <f t="shared" si="42"/>
        <v>3.941871194790153E-2</v>
      </c>
      <c r="AM94" s="26">
        <f t="shared" si="43"/>
        <v>4.8038716374292467E-2</v>
      </c>
      <c r="AN94" s="26">
        <f t="shared" si="44"/>
        <v>23.170793650793641</v>
      </c>
      <c r="AO94" s="26">
        <f t="shared" si="45"/>
        <v>22.064546041308091</v>
      </c>
      <c r="AP94" s="26">
        <f t="shared" si="46"/>
        <v>19.493647225650612</v>
      </c>
      <c r="AS94" s="2">
        <v>45386</v>
      </c>
      <c r="AT94">
        <v>16.399999999999999</v>
      </c>
      <c r="AU94">
        <v>2.2000000000000002</v>
      </c>
      <c r="AV94">
        <v>74.5</v>
      </c>
      <c r="AW94">
        <v>11.3</v>
      </c>
      <c r="AX94">
        <v>127.73</v>
      </c>
      <c r="AY94">
        <v>0.1</v>
      </c>
      <c r="AZ94">
        <v>2</v>
      </c>
      <c r="BA94">
        <v>129.41980000000001</v>
      </c>
      <c r="BB94">
        <v>30.757999999999999</v>
      </c>
      <c r="BC94">
        <v>62.581400000000002</v>
      </c>
      <c r="BD94">
        <v>3.8193000000000001</v>
      </c>
      <c r="BE94">
        <v>23.0945</v>
      </c>
      <c r="BF94">
        <v>-26.436299999999999</v>
      </c>
      <c r="BG94">
        <v>-43.166699999999999</v>
      </c>
      <c r="BH94">
        <v>59.45</v>
      </c>
    </row>
    <row r="95" spans="1:60" x14ac:dyDescent="0.25">
      <c r="A95" s="2">
        <v>45406</v>
      </c>
      <c r="B95">
        <v>20.3</v>
      </c>
      <c r="C95">
        <v>49.2</v>
      </c>
      <c r="D95">
        <v>55</v>
      </c>
      <c r="E95">
        <v>3.3</v>
      </c>
      <c r="F95">
        <v>212.96</v>
      </c>
      <c r="G95">
        <v>0.1</v>
      </c>
      <c r="H95">
        <v>2</v>
      </c>
      <c r="I95">
        <v>228.47069999999999</v>
      </c>
      <c r="J95">
        <v>49.8232</v>
      </c>
      <c r="K95">
        <v>162.11410000000001</v>
      </c>
      <c r="L95">
        <v>3.48</v>
      </c>
      <c r="M95">
        <v>26.926100000000002</v>
      </c>
      <c r="N95">
        <v>-23.589099999999998</v>
      </c>
      <c r="O95">
        <v>-38.895200000000003</v>
      </c>
      <c r="P95">
        <v>61.87</v>
      </c>
      <c r="S95">
        <f t="shared" si="25"/>
        <v>813.67410000000007</v>
      </c>
      <c r="T95">
        <f t="shared" si="26"/>
        <v>1.9030539328296955E-2</v>
      </c>
      <c r="U95">
        <f t="shared" si="27"/>
        <v>4.612327758385272E-2</v>
      </c>
      <c r="V95">
        <f t="shared" si="28"/>
        <v>5.1560574534794706E-2</v>
      </c>
      <c r="W95">
        <f t="shared" si="29"/>
        <v>3.0936344720876819E-3</v>
      </c>
      <c r="X95">
        <f t="shared" si="30"/>
        <v>0.1996425445987251</v>
      </c>
      <c r="Y95">
        <f t="shared" si="31"/>
        <v>9.3746499154172199E-5</v>
      </c>
      <c r="Z95">
        <f t="shared" si="32"/>
        <v>1.8749299830834439E-3</v>
      </c>
      <c r="AA95">
        <f t="shared" si="33"/>
        <v>0.21418328284303129</v>
      </c>
      <c r="AB95">
        <f t="shared" si="34"/>
        <v>4.6707505766581517E-2</v>
      </c>
      <c r="AC95">
        <f t="shared" si="35"/>
        <v>0.15197629338529386</v>
      </c>
      <c r="AD95">
        <f t="shared" si="36"/>
        <v>3.2623781705651924E-3</v>
      </c>
      <c r="AE95">
        <f t="shared" si="37"/>
        <v>2.5242276108751561E-2</v>
      </c>
      <c r="AG95">
        <f t="shared" si="38"/>
        <v>-0.85971964464716333</v>
      </c>
      <c r="AH95">
        <f t="shared" si="39"/>
        <v>0.34666152310874632</v>
      </c>
      <c r="AI95">
        <f t="shared" si="40"/>
        <v>0.32365183011408366</v>
      </c>
      <c r="AK95" s="26">
        <f t="shared" si="41"/>
        <v>5.9007617862841699E-2</v>
      </c>
      <c r="AL95" s="26">
        <f t="shared" si="42"/>
        <v>4.069762667901683E-2</v>
      </c>
      <c r="AM95" s="26">
        <f t="shared" si="43"/>
        <v>4.8135638167148248E-2</v>
      </c>
      <c r="AN95" s="26">
        <f t="shared" si="44"/>
        <v>23.17222222222221</v>
      </c>
      <c r="AO95" s="26">
        <f t="shared" si="45"/>
        <v>22.042151462994845</v>
      </c>
      <c r="AP95" s="26">
        <f t="shared" si="46"/>
        <v>19.439896798928615</v>
      </c>
      <c r="AS95" s="2">
        <v>45385</v>
      </c>
      <c r="AT95">
        <v>16.7</v>
      </c>
      <c r="AU95">
        <v>1</v>
      </c>
      <c r="AV95">
        <v>39.5</v>
      </c>
      <c r="AW95">
        <v>5.3</v>
      </c>
      <c r="AX95">
        <v>157.4</v>
      </c>
      <c r="AY95">
        <v>0.1</v>
      </c>
      <c r="AZ95">
        <v>1.8</v>
      </c>
      <c r="BA95">
        <v>182.1944</v>
      </c>
      <c r="BB95">
        <v>42.851900000000001</v>
      </c>
      <c r="BC95">
        <v>143.35400000000001</v>
      </c>
      <c r="BD95">
        <v>3.9032</v>
      </c>
      <c r="BE95">
        <v>31.293099999999999</v>
      </c>
      <c r="BF95">
        <v>-25.856300000000001</v>
      </c>
      <c r="BG95">
        <v>-44.512099999999997</v>
      </c>
      <c r="BH95">
        <v>59.41</v>
      </c>
    </row>
    <row r="96" spans="1:60" x14ac:dyDescent="0.25">
      <c r="A96" s="2">
        <v>45405</v>
      </c>
      <c r="B96">
        <v>21.1</v>
      </c>
      <c r="C96">
        <v>97.8</v>
      </c>
      <c r="D96">
        <v>30.6</v>
      </c>
      <c r="E96">
        <v>1.7</v>
      </c>
      <c r="F96">
        <v>249.16</v>
      </c>
      <c r="G96">
        <v>0.1</v>
      </c>
      <c r="H96">
        <v>2</v>
      </c>
      <c r="I96">
        <v>220.57810000000001</v>
      </c>
      <c r="J96">
        <v>63.5321</v>
      </c>
      <c r="K96">
        <v>173.27289999999999</v>
      </c>
      <c r="L96">
        <v>3.48</v>
      </c>
      <c r="M96">
        <v>31.077000000000002</v>
      </c>
      <c r="N96">
        <v>-21.313700000000001</v>
      </c>
      <c r="O96">
        <v>-37.596400000000003</v>
      </c>
      <c r="P96">
        <v>62</v>
      </c>
      <c r="S96">
        <f t="shared" si="25"/>
        <v>894.40010000000007</v>
      </c>
      <c r="T96">
        <f t="shared" si="26"/>
        <v>1.9780511321530334E-2</v>
      </c>
      <c r="U96">
        <f t="shared" si="27"/>
        <v>9.1684076172780404E-2</v>
      </c>
      <c r="V96">
        <f t="shared" si="28"/>
        <v>2.8686428741176693E-2</v>
      </c>
      <c r="W96">
        <f t="shared" si="29"/>
        <v>1.5936904856209272E-3</v>
      </c>
      <c r="X96">
        <f t="shared" si="30"/>
        <v>0.23357877729253543</v>
      </c>
      <c r="Y96">
        <f t="shared" si="31"/>
        <v>9.3746499154172199E-5</v>
      </c>
      <c r="Z96">
        <f t="shared" si="32"/>
        <v>1.8749299830834439E-3</v>
      </c>
      <c r="AA96">
        <f t="shared" si="33"/>
        <v>0.20678424665078909</v>
      </c>
      <c r="AB96">
        <f t="shared" si="34"/>
        <v>5.955911958912783E-2</v>
      </c>
      <c r="AC96">
        <f t="shared" si="35"/>
        <v>0.16243727773290961</v>
      </c>
      <c r="AD96">
        <f t="shared" si="36"/>
        <v>3.2623781705651924E-3</v>
      </c>
      <c r="AE96">
        <f t="shared" si="37"/>
        <v>2.9133599542142095E-2</v>
      </c>
      <c r="AG96">
        <f t="shared" si="38"/>
        <v>-0.85277619421275264</v>
      </c>
      <c r="AH96">
        <f t="shared" si="39"/>
        <v>0.4064257600380235</v>
      </c>
      <c r="AI96">
        <f t="shared" si="40"/>
        <v>0.76581538382676728</v>
      </c>
      <c r="AK96" s="26">
        <f t="shared" si="41"/>
        <v>5.4255020045047453E-2</v>
      </c>
      <c r="AL96" s="26">
        <f t="shared" si="42"/>
        <v>3.8283287286469958E-2</v>
      </c>
      <c r="AM96" s="26">
        <f t="shared" si="43"/>
        <v>4.7645173058642021E-2</v>
      </c>
      <c r="AN96" s="26">
        <f t="shared" si="44"/>
        <v>23.164126984126987</v>
      </c>
      <c r="AO96" s="26">
        <f t="shared" si="45"/>
        <v>22.010630378657503</v>
      </c>
      <c r="AP96" s="26">
        <f t="shared" si="46"/>
        <v>19.382461595021162</v>
      </c>
      <c r="AS96" s="2">
        <v>45384</v>
      </c>
      <c r="AT96">
        <v>17.8</v>
      </c>
      <c r="AU96">
        <v>17.399999999999999</v>
      </c>
      <c r="AV96">
        <v>52.9</v>
      </c>
      <c r="AW96">
        <v>14.1</v>
      </c>
      <c r="AX96">
        <v>188.35</v>
      </c>
      <c r="AY96">
        <v>0.1</v>
      </c>
      <c r="AZ96">
        <v>2</v>
      </c>
      <c r="BA96">
        <v>79.615600000000001</v>
      </c>
      <c r="BB96">
        <v>27.282800000000002</v>
      </c>
      <c r="BC96">
        <v>45.566200000000002</v>
      </c>
      <c r="BD96">
        <v>3.9214000000000002</v>
      </c>
      <c r="BE96">
        <v>29.532599999999999</v>
      </c>
      <c r="BF96">
        <v>-27.303899999999999</v>
      </c>
      <c r="BG96">
        <v>-47.030799999999999</v>
      </c>
      <c r="BH96">
        <v>59.36</v>
      </c>
    </row>
    <row r="97" spans="1:60" x14ac:dyDescent="0.25">
      <c r="A97" s="2">
        <v>45404</v>
      </c>
      <c r="B97">
        <v>19.7</v>
      </c>
      <c r="C97">
        <v>20.3</v>
      </c>
      <c r="D97">
        <v>21.4</v>
      </c>
      <c r="E97">
        <v>1.9</v>
      </c>
      <c r="F97">
        <v>251.97</v>
      </c>
      <c r="G97">
        <v>0.1</v>
      </c>
      <c r="H97">
        <v>2</v>
      </c>
      <c r="I97">
        <v>232.2987</v>
      </c>
      <c r="J97">
        <v>46.629199999999997</v>
      </c>
      <c r="K97">
        <v>150.7629</v>
      </c>
      <c r="L97">
        <v>3.48</v>
      </c>
      <c r="M97">
        <v>34.677300000000002</v>
      </c>
      <c r="N97">
        <v>-22.529800000000002</v>
      </c>
      <c r="O97">
        <v>-37.872</v>
      </c>
      <c r="P97">
        <v>62.14</v>
      </c>
      <c r="S97">
        <f t="shared" si="25"/>
        <v>785.21810000000005</v>
      </c>
      <c r="T97">
        <f t="shared" si="26"/>
        <v>1.8468060333371922E-2</v>
      </c>
      <c r="U97">
        <f t="shared" si="27"/>
        <v>1.9030539328296955E-2</v>
      </c>
      <c r="V97">
        <f t="shared" si="28"/>
        <v>2.0061750818992849E-2</v>
      </c>
      <c r="W97">
        <f t="shared" si="29"/>
        <v>1.7811834839292716E-3</v>
      </c>
      <c r="X97">
        <f t="shared" si="30"/>
        <v>0.23621305391876768</v>
      </c>
      <c r="Y97">
        <f t="shared" si="31"/>
        <v>9.3746499154172199E-5</v>
      </c>
      <c r="Z97">
        <f t="shared" si="32"/>
        <v>1.8749299830834439E-3</v>
      </c>
      <c r="AA97">
        <f t="shared" si="33"/>
        <v>0.21777189883065298</v>
      </c>
      <c r="AB97">
        <f t="shared" si="34"/>
        <v>4.371324258359726E-2</v>
      </c>
      <c r="AC97">
        <f t="shared" si="35"/>
        <v>0.14133494077330547</v>
      </c>
      <c r="AD97">
        <f t="shared" si="36"/>
        <v>3.2623781705651924E-3</v>
      </c>
      <c r="AE97">
        <f t="shared" si="37"/>
        <v>3.2508754751189757E-2</v>
      </c>
      <c r="AG97">
        <f t="shared" si="38"/>
        <v>-0.84530577309566457</v>
      </c>
      <c r="AH97">
        <f t="shared" si="39"/>
        <v>0.33003201911678604</v>
      </c>
      <c r="AI97">
        <f t="shared" si="40"/>
        <v>0.20627648205881882</v>
      </c>
      <c r="AK97" s="26">
        <f t="shared" si="41"/>
        <v>5.5344912380094868E-2</v>
      </c>
      <c r="AL97" s="26">
        <f t="shared" si="42"/>
        <v>3.6304741504383259E-2</v>
      </c>
      <c r="AM97" s="26">
        <f t="shared" si="43"/>
        <v>4.7625921900796342E-2</v>
      </c>
      <c r="AN97" s="26">
        <f t="shared" si="44"/>
        <v>23.123492063492051</v>
      </c>
      <c r="AO97" s="26">
        <f t="shared" si="45"/>
        <v>21.969845094664393</v>
      </c>
      <c r="AP97" s="26">
        <f t="shared" si="46"/>
        <v>19.322790367900026</v>
      </c>
      <c r="AS97" s="2">
        <v>45383</v>
      </c>
      <c r="AT97">
        <v>16</v>
      </c>
      <c r="AU97">
        <v>2.1</v>
      </c>
      <c r="AV97">
        <v>28.3</v>
      </c>
      <c r="AW97">
        <v>6.4</v>
      </c>
      <c r="AX97">
        <v>103.85</v>
      </c>
      <c r="AY97">
        <v>0.1</v>
      </c>
      <c r="AZ97">
        <v>2.1</v>
      </c>
      <c r="BA97">
        <v>90.197299999999998</v>
      </c>
      <c r="BB97">
        <v>25.909300000000002</v>
      </c>
      <c r="BC97">
        <v>34.359099999999998</v>
      </c>
      <c r="BD97">
        <v>3.1419000000000001</v>
      </c>
      <c r="BE97">
        <v>17.0642</v>
      </c>
      <c r="BF97">
        <v>-33.037199999999999</v>
      </c>
      <c r="BG97">
        <v>-44.822499999999998</v>
      </c>
      <c r="BH97">
        <v>59.23</v>
      </c>
    </row>
    <row r="98" spans="1:60" x14ac:dyDescent="0.25">
      <c r="A98" s="2">
        <v>45403</v>
      </c>
      <c r="B98">
        <v>18.899999999999999</v>
      </c>
      <c r="C98">
        <v>10.3</v>
      </c>
      <c r="D98">
        <v>30.2</v>
      </c>
      <c r="E98">
        <v>4.3</v>
      </c>
      <c r="F98">
        <v>222.18</v>
      </c>
      <c r="G98">
        <v>0.1</v>
      </c>
      <c r="H98">
        <v>2</v>
      </c>
      <c r="I98">
        <v>131.3742</v>
      </c>
      <c r="J98">
        <v>26.703800000000001</v>
      </c>
      <c r="K98">
        <v>51.245800000000003</v>
      </c>
      <c r="L98">
        <v>3.48</v>
      </c>
      <c r="M98">
        <v>15.107100000000001</v>
      </c>
      <c r="P98">
        <v>62.25</v>
      </c>
      <c r="S98">
        <f t="shared" si="25"/>
        <v>515.89089999999999</v>
      </c>
      <c r="T98">
        <f t="shared" si="26"/>
        <v>1.7718088340138542E-2</v>
      </c>
      <c r="U98">
        <f t="shared" si="27"/>
        <v>9.6558894128797364E-3</v>
      </c>
      <c r="V98">
        <f t="shared" si="28"/>
        <v>2.831144274456E-2</v>
      </c>
      <c r="W98">
        <f t="shared" si="29"/>
        <v>4.0310994636294038E-3</v>
      </c>
      <c r="X98">
        <f t="shared" si="30"/>
        <v>0.20828597182073977</v>
      </c>
      <c r="Y98">
        <f t="shared" si="31"/>
        <v>9.3746499154172199E-5</v>
      </c>
      <c r="Z98">
        <f t="shared" si="32"/>
        <v>1.8749299830834439E-3</v>
      </c>
      <c r="AA98">
        <f t="shared" si="33"/>
        <v>0.12315871329180049</v>
      </c>
      <c r="AB98">
        <f t="shared" si="34"/>
        <v>2.5033877641131835E-2</v>
      </c>
      <c r="AC98">
        <f t="shared" si="35"/>
        <v>4.8041143463548777E-2</v>
      </c>
      <c r="AD98">
        <f t="shared" si="36"/>
        <v>3.2623781705651924E-3</v>
      </c>
      <c r="AE98">
        <f t="shared" si="37"/>
        <v>1.4162377373719948E-2</v>
      </c>
      <c r="AG98">
        <f t="shared" si="38"/>
        <v>-0.83923175945385664</v>
      </c>
      <c r="AH98">
        <f t="shared" si="39"/>
        <v>0.28413354563790499</v>
      </c>
      <c r="AI98">
        <f t="shared" si="40"/>
        <v>-0.1309296211747894</v>
      </c>
      <c r="AK98" s="26">
        <f t="shared" si="41"/>
        <v>5.0532953683820325E-2</v>
      </c>
      <c r="AL98" s="26">
        <f t="shared" si="42"/>
        <v>3.6800184209127673E-2</v>
      </c>
      <c r="AM98" s="26">
        <f t="shared" si="43"/>
        <v>4.7661214162654536E-2</v>
      </c>
      <c r="AN98" s="26">
        <f t="shared" si="44"/>
        <v>23.057777777777765</v>
      </c>
      <c r="AO98" s="26">
        <f t="shared" si="45"/>
        <v>21.9242555938038</v>
      </c>
      <c r="AP98" s="26">
        <f t="shared" si="46"/>
        <v>19.259943016202314</v>
      </c>
      <c r="AS98" s="2">
        <v>45382</v>
      </c>
      <c r="AT98">
        <v>15.5</v>
      </c>
      <c r="AU98">
        <v>2.8</v>
      </c>
      <c r="AV98">
        <v>9.6</v>
      </c>
      <c r="AW98">
        <v>2.4</v>
      </c>
      <c r="AX98">
        <v>180.35</v>
      </c>
      <c r="AY98">
        <v>0.1</v>
      </c>
      <c r="AZ98">
        <v>2.1</v>
      </c>
      <c r="BA98">
        <v>96.693600000000004</v>
      </c>
      <c r="BB98">
        <v>27.763400000000001</v>
      </c>
      <c r="BC98">
        <v>31.142700000000001</v>
      </c>
      <c r="BD98">
        <v>3.7181000000000002</v>
      </c>
      <c r="BE98">
        <v>14.1225</v>
      </c>
      <c r="BH98">
        <v>58.49</v>
      </c>
    </row>
    <row r="99" spans="1:60" x14ac:dyDescent="0.25">
      <c r="A99" s="2">
        <v>45402</v>
      </c>
      <c r="B99">
        <v>19.3</v>
      </c>
      <c r="C99">
        <v>2.2999999999999998</v>
      </c>
      <c r="D99">
        <v>42.1</v>
      </c>
      <c r="E99">
        <v>5.6</v>
      </c>
      <c r="F99">
        <v>215.07</v>
      </c>
      <c r="G99">
        <v>0.1</v>
      </c>
      <c r="H99">
        <v>2.1</v>
      </c>
      <c r="I99">
        <v>117.43899999999999</v>
      </c>
      <c r="J99">
        <v>26.483000000000001</v>
      </c>
      <c r="K99">
        <v>43.675899999999999</v>
      </c>
      <c r="L99">
        <v>3.48</v>
      </c>
      <c r="M99">
        <v>23.6021</v>
      </c>
      <c r="P99">
        <v>62.2</v>
      </c>
      <c r="S99">
        <f t="shared" si="25"/>
        <v>501.25000000000006</v>
      </c>
      <c r="T99">
        <f t="shared" si="26"/>
        <v>1.8093074336755232E-2</v>
      </c>
      <c r="U99">
        <f t="shared" si="27"/>
        <v>2.1561694805459601E-3</v>
      </c>
      <c r="V99">
        <f t="shared" si="28"/>
        <v>3.9467276143906493E-2</v>
      </c>
      <c r="W99">
        <f t="shared" si="29"/>
        <v>5.249803952633642E-3</v>
      </c>
      <c r="X99">
        <f t="shared" si="30"/>
        <v>0.20162059573087812</v>
      </c>
      <c r="Y99">
        <f t="shared" si="31"/>
        <v>9.3746499154172199E-5</v>
      </c>
      <c r="Z99">
        <f t="shared" si="32"/>
        <v>1.9686764822376161E-3</v>
      </c>
      <c r="AA99">
        <f t="shared" si="33"/>
        <v>0.11009495114166827</v>
      </c>
      <c r="AB99">
        <f t="shared" si="34"/>
        <v>2.4826885370999422E-2</v>
      </c>
      <c r="AC99">
        <f t="shared" si="35"/>
        <v>4.0944627224077088E-2</v>
      </c>
      <c r="AD99">
        <f t="shared" si="36"/>
        <v>3.2623781705651924E-3</v>
      </c>
      <c r="AE99">
        <f t="shared" si="37"/>
        <v>2.2126142476866874E-2</v>
      </c>
      <c r="AG99">
        <f t="shared" si="38"/>
        <v>-0.84083659286226853</v>
      </c>
      <c r="AH99">
        <f t="shared" si="39"/>
        <v>0.29077548510297818</v>
      </c>
      <c r="AI99">
        <f t="shared" si="40"/>
        <v>-8.3100722779515843E-2</v>
      </c>
      <c r="AK99" s="26">
        <f t="shared" si="41"/>
        <v>5.2921699300529867E-2</v>
      </c>
      <c r="AL99" s="26">
        <f t="shared" si="42"/>
        <v>3.8755888035483743E-2</v>
      </c>
      <c r="AM99" s="26">
        <f t="shared" si="43"/>
        <v>4.8706334732880247E-2</v>
      </c>
      <c r="AN99" s="26">
        <f t="shared" si="44"/>
        <v>22.95428571428571</v>
      </c>
      <c r="AO99" s="26">
        <f t="shared" si="45"/>
        <v>21.874042598967314</v>
      </c>
      <c r="AP99" s="26">
        <f t="shared" si="46"/>
        <v>19.194128830650456</v>
      </c>
      <c r="AS99" s="2">
        <v>45381</v>
      </c>
      <c r="AT99">
        <v>15.5</v>
      </c>
      <c r="AU99">
        <v>2.9</v>
      </c>
      <c r="AV99">
        <v>27</v>
      </c>
      <c r="AW99">
        <v>4.4000000000000004</v>
      </c>
      <c r="AX99">
        <v>180.79</v>
      </c>
      <c r="AY99">
        <v>0.1</v>
      </c>
      <c r="AZ99">
        <v>2.1</v>
      </c>
      <c r="BA99">
        <v>128.3528</v>
      </c>
      <c r="BB99">
        <v>34.926200000000001</v>
      </c>
      <c r="BC99">
        <v>47.365000000000002</v>
      </c>
      <c r="BD99">
        <v>3.7648999999999999</v>
      </c>
      <c r="BE99">
        <v>16.581800000000001</v>
      </c>
      <c r="BH99">
        <v>58.73</v>
      </c>
    </row>
    <row r="100" spans="1:60" x14ac:dyDescent="0.25">
      <c r="A100" s="2">
        <v>45401</v>
      </c>
      <c r="B100">
        <v>20.6</v>
      </c>
      <c r="C100">
        <v>2.9</v>
      </c>
      <c r="D100">
        <v>67</v>
      </c>
      <c r="E100">
        <v>11.7</v>
      </c>
      <c r="F100">
        <v>123.02</v>
      </c>
      <c r="G100">
        <v>0.1</v>
      </c>
      <c r="H100">
        <v>2</v>
      </c>
      <c r="I100">
        <v>119.7814</v>
      </c>
      <c r="J100">
        <v>29.420100000000001</v>
      </c>
      <c r="K100">
        <v>62.427300000000002</v>
      </c>
      <c r="L100">
        <v>3.48</v>
      </c>
      <c r="M100">
        <v>25.997900000000001</v>
      </c>
      <c r="N100">
        <v>-23.8855</v>
      </c>
      <c r="O100">
        <v>-38.758099999999999</v>
      </c>
      <c r="P100">
        <v>62.14</v>
      </c>
      <c r="S100">
        <f t="shared" si="25"/>
        <v>468.42670000000004</v>
      </c>
      <c r="T100">
        <f t="shared" si="26"/>
        <v>1.9311778825759473E-2</v>
      </c>
      <c r="U100">
        <f t="shared" si="27"/>
        <v>2.7186484754709935E-3</v>
      </c>
      <c r="V100">
        <f t="shared" si="28"/>
        <v>6.2810154433295365E-2</v>
      </c>
      <c r="W100">
        <f t="shared" si="29"/>
        <v>1.0968340401038145E-2</v>
      </c>
      <c r="X100">
        <f t="shared" si="30"/>
        <v>0.11532694325946262</v>
      </c>
      <c r="Y100">
        <f t="shared" si="31"/>
        <v>9.3746499154172199E-5</v>
      </c>
      <c r="Z100">
        <f t="shared" si="32"/>
        <v>1.8749299830834439E-3</v>
      </c>
      <c r="AA100">
        <f t="shared" si="33"/>
        <v>0.11229086913785562</v>
      </c>
      <c r="AB100">
        <f t="shared" si="34"/>
        <v>2.7580313797656613E-2</v>
      </c>
      <c r="AC100">
        <f t="shared" si="35"/>
        <v>5.8523408266472537E-2</v>
      </c>
      <c r="AD100">
        <f t="shared" si="36"/>
        <v>3.2623781705651924E-3</v>
      </c>
      <c r="AE100">
        <f t="shared" si="37"/>
        <v>2.4372121103602533E-2</v>
      </c>
      <c r="AG100">
        <f t="shared" si="38"/>
        <v>-0.84288736909140127</v>
      </c>
      <c r="AH100">
        <f t="shared" si="39"/>
        <v>0.23747666298086675</v>
      </c>
      <c r="AI100">
        <f t="shared" si="40"/>
        <v>-0.47777880244806015</v>
      </c>
      <c r="AK100" s="26">
        <f t="shared" si="41"/>
        <v>5.3464705808344837E-2</v>
      </c>
      <c r="AL100" s="26">
        <f t="shared" si="42"/>
        <v>3.9459749639260022E-2</v>
      </c>
      <c r="AM100" s="26">
        <f t="shared" si="43"/>
        <v>4.9344762877149478E-2</v>
      </c>
      <c r="AN100" s="26">
        <f t="shared" si="44"/>
        <v>22.855079365079355</v>
      </c>
      <c r="AO100" s="26">
        <f t="shared" si="45"/>
        <v>21.820288296041312</v>
      </c>
      <c r="AP100" s="26">
        <f t="shared" si="46"/>
        <v>19.126586224101267</v>
      </c>
      <c r="AS100" s="2">
        <v>45380</v>
      </c>
      <c r="AT100">
        <v>15.7</v>
      </c>
      <c r="AU100">
        <v>42.9</v>
      </c>
      <c r="AV100">
        <v>69.599999999999994</v>
      </c>
      <c r="AW100">
        <v>9.4</v>
      </c>
      <c r="AX100">
        <v>147.69</v>
      </c>
      <c r="AY100">
        <v>0.1</v>
      </c>
      <c r="AZ100">
        <v>2.2999999999999998</v>
      </c>
      <c r="BA100">
        <v>94.897300000000001</v>
      </c>
      <c r="BB100">
        <v>32.112900000000003</v>
      </c>
      <c r="BC100">
        <v>34.626899999999999</v>
      </c>
      <c r="BD100">
        <v>3.7765</v>
      </c>
      <c r="BE100">
        <v>23.683</v>
      </c>
      <c r="BF100">
        <v>-26.802199999999999</v>
      </c>
      <c r="BG100">
        <v>-44.603000000000002</v>
      </c>
      <c r="BH100">
        <v>58.71</v>
      </c>
    </row>
    <row r="101" spans="1:60" x14ac:dyDescent="0.25">
      <c r="A101" s="2">
        <v>45400</v>
      </c>
      <c r="B101">
        <v>23.5</v>
      </c>
      <c r="C101">
        <v>4.2</v>
      </c>
      <c r="D101">
        <v>20.9</v>
      </c>
      <c r="E101">
        <v>3</v>
      </c>
      <c r="F101">
        <v>239.33</v>
      </c>
      <c r="G101">
        <v>0.1</v>
      </c>
      <c r="H101">
        <v>1.9</v>
      </c>
      <c r="I101">
        <v>236.3211</v>
      </c>
      <c r="J101">
        <v>65.280100000000004</v>
      </c>
      <c r="K101">
        <v>135.5752</v>
      </c>
      <c r="L101">
        <v>2.706</v>
      </c>
      <c r="M101">
        <v>35.892400000000002</v>
      </c>
      <c r="N101">
        <v>-25.9406</v>
      </c>
      <c r="O101">
        <v>-39.499600000000001</v>
      </c>
      <c r="P101">
        <v>62.16</v>
      </c>
      <c r="S101">
        <f t="shared" si="25"/>
        <v>768.70479999999986</v>
      </c>
      <c r="T101">
        <f t="shared" si="26"/>
        <v>2.2030427301230466E-2</v>
      </c>
      <c r="U101">
        <f t="shared" si="27"/>
        <v>3.9373529644752322E-3</v>
      </c>
      <c r="V101">
        <f t="shared" si="28"/>
        <v>1.9593018323221988E-2</v>
      </c>
      <c r="W101">
        <f t="shared" si="29"/>
        <v>2.8123949746251659E-3</v>
      </c>
      <c r="X101">
        <f t="shared" si="30"/>
        <v>0.22436349642568032</v>
      </c>
      <c r="Y101">
        <f t="shared" si="31"/>
        <v>9.3746499154172199E-5</v>
      </c>
      <c r="Z101">
        <f t="shared" si="32"/>
        <v>1.7811834839292716E-3</v>
      </c>
      <c r="AA101">
        <f t="shared" si="33"/>
        <v>0.22154275801263043</v>
      </c>
      <c r="AB101">
        <f t="shared" si="34"/>
        <v>6.1197808394342766E-2</v>
      </c>
      <c r="AC101">
        <f t="shared" si="35"/>
        <v>0.12709700372126725</v>
      </c>
      <c r="AD101">
        <f t="shared" si="36"/>
        <v>2.5367802671118996E-3</v>
      </c>
      <c r="AE101">
        <f t="shared" si="37"/>
        <v>3.3647868462412099E-2</v>
      </c>
      <c r="AG101">
        <f t="shared" si="38"/>
        <v>-0.84105851576258339</v>
      </c>
      <c r="AH101">
        <f t="shared" si="39"/>
        <v>0.30825948843472867</v>
      </c>
      <c r="AI101">
        <f t="shared" si="40"/>
        <v>4.3424704566406944E-2</v>
      </c>
      <c r="AK101" s="26">
        <f t="shared" si="41"/>
        <v>5.7610664077953788E-2</v>
      </c>
      <c r="AL101" s="26">
        <f t="shared" si="42"/>
        <v>4.0883690749135643E-2</v>
      </c>
      <c r="AM101" s="26">
        <f t="shared" si="43"/>
        <v>5.0244762266536791E-2</v>
      </c>
      <c r="AN101" s="26">
        <f t="shared" si="44"/>
        <v>22.75396825396826</v>
      </c>
      <c r="AO101" s="26">
        <f t="shared" si="45"/>
        <v>21.76431153184167</v>
      </c>
      <c r="AP101" s="26">
        <f t="shared" si="46"/>
        <v>19.057609831674611</v>
      </c>
      <c r="AS101" s="2">
        <v>45379</v>
      </c>
      <c r="AT101">
        <v>16.399999999999999</v>
      </c>
      <c r="AU101">
        <v>4.5</v>
      </c>
      <c r="AV101">
        <v>37.799999999999997</v>
      </c>
      <c r="AW101">
        <v>10.1</v>
      </c>
      <c r="AX101">
        <v>158.72999999999999</v>
      </c>
      <c r="AY101">
        <v>0.5</v>
      </c>
      <c r="AZ101">
        <v>2.2000000000000002</v>
      </c>
      <c r="BA101">
        <v>118.4903</v>
      </c>
      <c r="BB101">
        <v>42.493600000000001</v>
      </c>
      <c r="BC101">
        <v>67.849699999999999</v>
      </c>
      <c r="BD101">
        <v>3.9533</v>
      </c>
      <c r="BE101">
        <v>20.5365</v>
      </c>
      <c r="BF101">
        <v>-26.7896</v>
      </c>
      <c r="BG101">
        <v>-44.561799999999998</v>
      </c>
      <c r="BH101">
        <v>58.71</v>
      </c>
    </row>
    <row r="102" spans="1:60" x14ac:dyDescent="0.25">
      <c r="A102" s="2">
        <v>45399</v>
      </c>
      <c r="B102">
        <v>23.3</v>
      </c>
      <c r="C102">
        <v>22.2</v>
      </c>
      <c r="D102">
        <v>12.9</v>
      </c>
      <c r="E102">
        <v>2.1</v>
      </c>
      <c r="F102">
        <v>209.2</v>
      </c>
      <c r="G102">
        <v>0.1</v>
      </c>
      <c r="H102">
        <v>2.1</v>
      </c>
      <c r="I102">
        <v>228.59100000000001</v>
      </c>
      <c r="J102">
        <v>69.300200000000004</v>
      </c>
      <c r="K102">
        <v>137.76820000000001</v>
      </c>
      <c r="L102">
        <v>2.7989000000000002</v>
      </c>
      <c r="M102">
        <v>32.0854</v>
      </c>
      <c r="N102">
        <v>-26.020700000000001</v>
      </c>
      <c r="O102">
        <v>-40.489199999999997</v>
      </c>
      <c r="P102">
        <v>62.18</v>
      </c>
      <c r="S102">
        <f t="shared" si="25"/>
        <v>742.44370000000004</v>
      </c>
      <c r="T102">
        <f t="shared" si="26"/>
        <v>2.1842934302922123E-2</v>
      </c>
      <c r="U102">
        <f t="shared" si="27"/>
        <v>2.0811722812226225E-2</v>
      </c>
      <c r="V102">
        <f t="shared" si="28"/>
        <v>1.2093298390888213E-2</v>
      </c>
      <c r="W102">
        <f t="shared" si="29"/>
        <v>1.9686764822376161E-3</v>
      </c>
      <c r="X102">
        <f t="shared" si="30"/>
        <v>0.19611767623052823</v>
      </c>
      <c r="Y102">
        <f t="shared" si="31"/>
        <v>9.3746499154172199E-5</v>
      </c>
      <c r="Z102">
        <f t="shared" si="32"/>
        <v>1.9686764822376161E-3</v>
      </c>
      <c r="AA102">
        <f t="shared" si="33"/>
        <v>0.21429605988151376</v>
      </c>
      <c r="AB102">
        <f t="shared" si="34"/>
        <v>6.4966511406839636E-2</v>
      </c>
      <c r="AC102">
        <f t="shared" si="35"/>
        <v>0.12915286444771826</v>
      </c>
      <c r="AD102">
        <f t="shared" si="36"/>
        <v>2.6238707648261255E-3</v>
      </c>
      <c r="AE102">
        <f t="shared" si="37"/>
        <v>3.0078939239612763E-2</v>
      </c>
      <c r="AG102">
        <f t="shared" si="38"/>
        <v>-0.83920771636711411</v>
      </c>
      <c r="AH102">
        <f t="shared" si="39"/>
        <v>0.28497567043980693</v>
      </c>
      <c r="AI102">
        <f t="shared" si="40"/>
        <v>-0.12735586140048202</v>
      </c>
      <c r="AK102" s="26">
        <f t="shared" si="41"/>
        <v>5.3560031117587892E-2</v>
      </c>
      <c r="AL102" s="26">
        <f t="shared" si="42"/>
        <v>3.9825566832942833E-2</v>
      </c>
      <c r="AM102" s="26">
        <f t="shared" si="43"/>
        <v>5.0363124790417518E-2</v>
      </c>
      <c r="AN102" s="26">
        <f t="shared" si="44"/>
        <v>22.646507936507945</v>
      </c>
      <c r="AO102" s="26">
        <f t="shared" si="45"/>
        <v>21.705208691910521</v>
      </c>
      <c r="AP102" s="26">
        <f t="shared" si="46"/>
        <v>18.985899267351186</v>
      </c>
      <c r="AS102" s="2">
        <v>45378</v>
      </c>
      <c r="AT102">
        <v>15.7</v>
      </c>
      <c r="AU102">
        <v>4.0999999999999996</v>
      </c>
      <c r="AV102">
        <v>39.6</v>
      </c>
      <c r="AW102">
        <v>3.7</v>
      </c>
      <c r="AX102">
        <v>192.83</v>
      </c>
      <c r="AY102">
        <v>0.4</v>
      </c>
      <c r="AZ102">
        <v>2.4</v>
      </c>
      <c r="BA102">
        <v>160.9212</v>
      </c>
      <c r="BB102">
        <v>64.340900000000005</v>
      </c>
      <c r="BC102">
        <v>98.614500000000007</v>
      </c>
      <c r="BD102">
        <v>3.1819999999999999</v>
      </c>
      <c r="BE102">
        <v>37.502800000000001</v>
      </c>
      <c r="BF102">
        <v>-26.827500000000001</v>
      </c>
      <c r="BG102">
        <v>-45.235399999999998</v>
      </c>
      <c r="BH102">
        <v>58.81</v>
      </c>
    </row>
    <row r="103" spans="1:60" x14ac:dyDescent="0.25">
      <c r="A103" s="2">
        <v>45398</v>
      </c>
      <c r="B103">
        <v>21.2</v>
      </c>
      <c r="C103">
        <v>5.4</v>
      </c>
      <c r="D103">
        <v>42.1</v>
      </c>
      <c r="E103">
        <v>9.6999999999999993</v>
      </c>
      <c r="F103">
        <v>179.07</v>
      </c>
      <c r="G103">
        <v>0.1</v>
      </c>
      <c r="H103">
        <v>2.1</v>
      </c>
      <c r="I103">
        <v>137.73670000000001</v>
      </c>
      <c r="J103">
        <v>28.078199999999999</v>
      </c>
      <c r="K103">
        <v>62.066800000000001</v>
      </c>
      <c r="L103">
        <v>2.7079</v>
      </c>
      <c r="M103">
        <v>23.888200000000001</v>
      </c>
      <c r="N103">
        <v>-24.006399999999999</v>
      </c>
      <c r="O103">
        <v>-37.8202</v>
      </c>
      <c r="P103">
        <v>62.19</v>
      </c>
      <c r="S103">
        <f t="shared" si="25"/>
        <v>514.14780000000007</v>
      </c>
      <c r="T103">
        <f t="shared" si="26"/>
        <v>1.9874257820684502E-2</v>
      </c>
      <c r="U103">
        <f t="shared" si="27"/>
        <v>5.0623109543252989E-3</v>
      </c>
      <c r="V103">
        <f t="shared" si="28"/>
        <v>3.9467276143906493E-2</v>
      </c>
      <c r="W103">
        <f t="shared" si="29"/>
        <v>9.0934104179547018E-3</v>
      </c>
      <c r="X103">
        <f t="shared" si="30"/>
        <v>0.16787185603537613</v>
      </c>
      <c r="Y103">
        <f t="shared" si="31"/>
        <v>9.3746499154172199E-5</v>
      </c>
      <c r="Z103">
        <f t="shared" si="32"/>
        <v>1.9686764822376161E-3</v>
      </c>
      <c r="AA103">
        <f t="shared" si="33"/>
        <v>0.1291233343004847</v>
      </c>
      <c r="AB103">
        <f t="shared" si="34"/>
        <v>2.6322329525506775E-2</v>
      </c>
      <c r="AC103">
        <f t="shared" si="35"/>
        <v>5.8185452137021747E-2</v>
      </c>
      <c r="AD103">
        <f t="shared" si="36"/>
        <v>2.5385614505958288E-3</v>
      </c>
      <c r="AE103">
        <f t="shared" si="37"/>
        <v>2.2394351210946961E-2</v>
      </c>
      <c r="AG103">
        <f t="shared" si="38"/>
        <v>-0.83781549687582824</v>
      </c>
      <c r="AH103">
        <f t="shared" si="39"/>
        <v>0.26582588556458586</v>
      </c>
      <c r="AI103">
        <f t="shared" si="40"/>
        <v>-0.26833272595986968</v>
      </c>
      <c r="AK103" s="26">
        <f t="shared" si="41"/>
        <v>5.2523547502344503E-2</v>
      </c>
      <c r="AL103" s="26">
        <f t="shared" si="42"/>
        <v>4.0180086302817275E-2</v>
      </c>
      <c r="AM103" s="26">
        <f t="shared" si="43"/>
        <v>5.0222508015499184E-2</v>
      </c>
      <c r="AN103" s="26">
        <f t="shared" si="44"/>
        <v>22.532063492063493</v>
      </c>
      <c r="AO103" s="26">
        <f t="shared" si="45"/>
        <v>21.639860154905335</v>
      </c>
      <c r="AP103" s="26">
        <f t="shared" si="46"/>
        <v>18.91189700900712</v>
      </c>
      <c r="AS103" s="2">
        <v>45377</v>
      </c>
      <c r="AT103">
        <v>16.100000000000001</v>
      </c>
      <c r="AU103">
        <v>48.8</v>
      </c>
      <c r="AV103">
        <v>44.3</v>
      </c>
      <c r="AW103">
        <v>7.5</v>
      </c>
      <c r="AX103">
        <v>237.89</v>
      </c>
      <c r="AY103">
        <v>0.3</v>
      </c>
      <c r="AZ103">
        <v>2.2000000000000002</v>
      </c>
      <c r="BA103">
        <v>202.2833</v>
      </c>
      <c r="BB103">
        <v>64.253</v>
      </c>
      <c r="BC103">
        <v>98.078199999999995</v>
      </c>
      <c r="BD103">
        <v>4.6269999999999998</v>
      </c>
      <c r="BE103">
        <v>26.914300000000001</v>
      </c>
      <c r="BF103">
        <v>-23.886099999999999</v>
      </c>
      <c r="BG103">
        <v>-41.2241</v>
      </c>
      <c r="BH103">
        <v>58.91</v>
      </c>
    </row>
    <row r="104" spans="1:60" x14ac:dyDescent="0.25">
      <c r="A104" s="2">
        <v>45397</v>
      </c>
      <c r="B104">
        <v>19.600000000000001</v>
      </c>
      <c r="C104">
        <v>3.5</v>
      </c>
      <c r="D104">
        <v>42.8</v>
      </c>
      <c r="E104">
        <v>6.3</v>
      </c>
      <c r="F104">
        <v>179.49</v>
      </c>
      <c r="G104">
        <v>0.1</v>
      </c>
      <c r="H104">
        <v>2.2000000000000002</v>
      </c>
      <c r="I104">
        <v>125.5788</v>
      </c>
      <c r="J104">
        <v>22.834700000000002</v>
      </c>
      <c r="K104">
        <v>88.167900000000003</v>
      </c>
      <c r="L104">
        <v>2.7732000000000001</v>
      </c>
      <c r="M104">
        <v>36.864199999999997</v>
      </c>
      <c r="N104">
        <v>-25.822700000000001</v>
      </c>
      <c r="O104">
        <v>-41.343499999999999</v>
      </c>
      <c r="P104">
        <v>62.33</v>
      </c>
      <c r="S104">
        <f t="shared" si="25"/>
        <v>530.2088</v>
      </c>
      <c r="T104">
        <f t="shared" si="26"/>
        <v>1.837431383421775E-2</v>
      </c>
      <c r="U104">
        <f t="shared" si="27"/>
        <v>3.2811274703960268E-3</v>
      </c>
      <c r="V104">
        <f t="shared" si="28"/>
        <v>4.0123501637985698E-2</v>
      </c>
      <c r="W104">
        <f t="shared" si="29"/>
        <v>5.9060294467128483E-3</v>
      </c>
      <c r="X104">
        <f t="shared" si="30"/>
        <v>0.16826559133182367</v>
      </c>
      <c r="Y104">
        <f t="shared" si="31"/>
        <v>9.3746499154172199E-5</v>
      </c>
      <c r="Z104">
        <f t="shared" si="32"/>
        <v>2.0624229813917885E-3</v>
      </c>
      <c r="AA104">
        <f t="shared" si="33"/>
        <v>0.11772572867981959</v>
      </c>
      <c r="AB104">
        <f t="shared" si="34"/>
        <v>2.1406731842357758E-2</v>
      </c>
      <c r="AC104">
        <f t="shared" si="35"/>
        <v>8.2654319627751383E-2</v>
      </c>
      <c r="AD104">
        <f t="shared" si="36"/>
        <v>2.5997779145435032E-3</v>
      </c>
      <c r="AE104">
        <f t="shared" si="37"/>
        <v>3.4558896941192345E-2</v>
      </c>
      <c r="AG104">
        <f t="shared" si="38"/>
        <v>-0.8301243731961091</v>
      </c>
      <c r="AH104">
        <f t="shared" si="39"/>
        <v>0.27266563014287426</v>
      </c>
      <c r="AI104">
        <f t="shared" si="40"/>
        <v>-0.21708197598371703</v>
      </c>
      <c r="AK104" s="26">
        <f t="shared" si="41"/>
        <v>5.4692088544699369E-2</v>
      </c>
      <c r="AL104" s="26">
        <f t="shared" si="42"/>
        <v>3.972031036935833E-2</v>
      </c>
      <c r="AM104" s="26">
        <f t="shared" si="43"/>
        <v>5.0361361046081715E-2</v>
      </c>
      <c r="AN104" s="26">
        <f t="shared" si="44"/>
        <v>22.414920634920648</v>
      </c>
      <c r="AO104" s="26">
        <f t="shared" si="45"/>
        <v>21.570669104991396</v>
      </c>
      <c r="AP104" s="26">
        <f t="shared" si="46"/>
        <v>18.83557758462225</v>
      </c>
      <c r="AS104" s="2">
        <v>45376</v>
      </c>
      <c r="AT104">
        <v>16.399999999999999</v>
      </c>
      <c r="AU104">
        <v>1.3</v>
      </c>
      <c r="AV104">
        <v>16.899999999999999</v>
      </c>
      <c r="AW104">
        <v>5.2</v>
      </c>
      <c r="AX104">
        <v>232.1</v>
      </c>
      <c r="AY104">
        <v>0.5</v>
      </c>
      <c r="AZ104">
        <v>2.2000000000000002</v>
      </c>
      <c r="BA104">
        <v>230.66929999999999</v>
      </c>
      <c r="BB104">
        <v>54.963099999999997</v>
      </c>
      <c r="BC104">
        <v>131.91829999999999</v>
      </c>
      <c r="BD104">
        <v>3.9981</v>
      </c>
      <c r="BE104">
        <v>37.521000000000001</v>
      </c>
      <c r="BF104">
        <v>-22.825700000000001</v>
      </c>
      <c r="BG104">
        <v>-38.264099999999999</v>
      </c>
      <c r="BH104">
        <v>59.01</v>
      </c>
    </row>
    <row r="105" spans="1:60" x14ac:dyDescent="0.25">
      <c r="A105" s="2">
        <v>45396</v>
      </c>
      <c r="B105">
        <v>16.8</v>
      </c>
      <c r="C105">
        <v>37.200000000000003</v>
      </c>
      <c r="D105">
        <v>47.8</v>
      </c>
      <c r="E105">
        <v>7.3</v>
      </c>
      <c r="F105">
        <v>297.98</v>
      </c>
      <c r="G105">
        <v>0.1</v>
      </c>
      <c r="H105">
        <v>1.9</v>
      </c>
      <c r="I105">
        <v>85.481999999999999</v>
      </c>
      <c r="J105">
        <v>15.474</v>
      </c>
      <c r="K105">
        <v>41.126300000000001</v>
      </c>
      <c r="L105">
        <v>3.1478000000000002</v>
      </c>
      <c r="M105">
        <v>21.9329</v>
      </c>
      <c r="P105">
        <v>62.14</v>
      </c>
      <c r="S105">
        <f t="shared" si="25"/>
        <v>576.24299999999994</v>
      </c>
      <c r="T105">
        <f t="shared" si="26"/>
        <v>1.5749411857900929E-2</v>
      </c>
      <c r="U105">
        <f t="shared" si="27"/>
        <v>3.4873697685352055E-2</v>
      </c>
      <c r="V105">
        <f t="shared" si="28"/>
        <v>4.4810826595694304E-2</v>
      </c>
      <c r="W105">
        <f t="shared" si="29"/>
        <v>6.8434944382545701E-3</v>
      </c>
      <c r="X105">
        <f t="shared" si="30"/>
        <v>0.2793458181796023</v>
      </c>
      <c r="Y105">
        <f t="shared" si="31"/>
        <v>9.3746499154172199E-5</v>
      </c>
      <c r="Z105">
        <f t="shared" si="32"/>
        <v>1.7811834839292716E-3</v>
      </c>
      <c r="AA105">
        <f t="shared" si="33"/>
        <v>8.0136382406969478E-2</v>
      </c>
      <c r="AB105">
        <f t="shared" si="34"/>
        <v>1.4506333279116605E-2</v>
      </c>
      <c r="AC105">
        <f t="shared" si="35"/>
        <v>3.8554466481642319E-2</v>
      </c>
      <c r="AD105">
        <f t="shared" si="36"/>
        <v>2.9509523003750323E-3</v>
      </c>
      <c r="AE105">
        <f t="shared" si="37"/>
        <v>2.0561325912985432E-2</v>
      </c>
      <c r="AG105">
        <f t="shared" si="38"/>
        <v>-0.83833890663523913</v>
      </c>
      <c r="AH105">
        <f t="shared" si="39"/>
        <v>0.40405950465287305</v>
      </c>
      <c r="AI105">
        <f t="shared" si="40"/>
        <v>0.7517629765595909</v>
      </c>
      <c r="AK105" s="26">
        <f t="shared" si="41"/>
        <v>5.1802318483359588E-2</v>
      </c>
      <c r="AL105" s="26">
        <f t="shared" si="42"/>
        <v>3.8895712855047393E-2</v>
      </c>
      <c r="AM105" s="26">
        <f t="shared" si="43"/>
        <v>5.0058879174364579E-2</v>
      </c>
      <c r="AN105" s="26">
        <f t="shared" si="44"/>
        <v>22.291587301587306</v>
      </c>
      <c r="AO105" s="26">
        <f t="shared" si="45"/>
        <v>21.496342512908782</v>
      </c>
      <c r="AP105" s="26">
        <f t="shared" si="46"/>
        <v>18.755050812741274</v>
      </c>
      <c r="AS105" s="2">
        <v>45375</v>
      </c>
      <c r="AT105">
        <v>16.399999999999999</v>
      </c>
      <c r="AU105">
        <v>10.3</v>
      </c>
      <c r="AV105">
        <v>80.099999999999994</v>
      </c>
      <c r="AW105">
        <v>11.9</v>
      </c>
      <c r="AX105">
        <v>132.78</v>
      </c>
      <c r="AY105">
        <v>0.4</v>
      </c>
      <c r="AZ105">
        <v>2.1</v>
      </c>
      <c r="BA105">
        <v>98.229200000000006</v>
      </c>
      <c r="BB105">
        <v>18.7989</v>
      </c>
      <c r="BC105">
        <v>33.697400000000002</v>
      </c>
      <c r="BD105">
        <v>3.9108000000000001</v>
      </c>
      <c r="BE105">
        <v>9.0695999999999994</v>
      </c>
      <c r="BH105">
        <v>59.17</v>
      </c>
    </row>
    <row r="106" spans="1:60" x14ac:dyDescent="0.25">
      <c r="A106" s="2">
        <v>45395</v>
      </c>
      <c r="B106">
        <v>16.2</v>
      </c>
      <c r="C106">
        <v>2.2999999999999998</v>
      </c>
      <c r="D106">
        <v>57.2</v>
      </c>
      <c r="E106">
        <v>6.8</v>
      </c>
      <c r="F106">
        <v>315.89</v>
      </c>
      <c r="G106">
        <v>0.1</v>
      </c>
      <c r="H106">
        <v>2.2000000000000002</v>
      </c>
      <c r="I106">
        <v>78.386700000000005</v>
      </c>
      <c r="J106">
        <v>17.616599999999998</v>
      </c>
      <c r="K106">
        <v>27.921399999999998</v>
      </c>
      <c r="L106">
        <v>3.6787999999999998</v>
      </c>
      <c r="M106">
        <v>25.924499999999998</v>
      </c>
      <c r="P106">
        <v>61.82</v>
      </c>
      <c r="S106">
        <f t="shared" si="25"/>
        <v>554.21799999999996</v>
      </c>
      <c r="T106">
        <f t="shared" si="26"/>
        <v>1.5186932862975894E-2</v>
      </c>
      <c r="U106">
        <f t="shared" si="27"/>
        <v>2.1561694805459601E-3</v>
      </c>
      <c r="V106">
        <f t="shared" si="28"/>
        <v>5.3622997516186495E-2</v>
      </c>
      <c r="W106">
        <f t="shared" si="29"/>
        <v>6.3747619424837088E-3</v>
      </c>
      <c r="X106">
        <f t="shared" si="30"/>
        <v>0.29613581617811452</v>
      </c>
      <c r="Y106">
        <f t="shared" si="31"/>
        <v>9.3746499154172199E-5</v>
      </c>
      <c r="Z106">
        <f t="shared" si="32"/>
        <v>2.0624229813917885E-3</v>
      </c>
      <c r="AA106">
        <f t="shared" si="33"/>
        <v>7.34847870524835E-2</v>
      </c>
      <c r="AB106">
        <f t="shared" si="34"/>
        <v>1.6514945769993898E-2</v>
      </c>
      <c r="AC106">
        <f t="shared" si="35"/>
        <v>2.6175335014833032E-2</v>
      </c>
      <c r="AD106">
        <f t="shared" si="36"/>
        <v>3.4487462108836863E-3</v>
      </c>
      <c r="AE106">
        <f t="shared" si="37"/>
        <v>2.4303311173223367E-2</v>
      </c>
      <c r="AG106">
        <f t="shared" si="38"/>
        <v>-0.85282347390019031</v>
      </c>
      <c r="AH106">
        <f t="shared" si="39"/>
        <v>0.39993615863407594</v>
      </c>
      <c r="AI106">
        <f t="shared" si="40"/>
        <v>0.7256847526402731</v>
      </c>
      <c r="AK106" s="26">
        <f t="shared" si="41"/>
        <v>4.1912123832220871E-2</v>
      </c>
      <c r="AL106" s="26">
        <f t="shared" si="42"/>
        <v>3.6859316205144821E-2</v>
      </c>
      <c r="AM106" s="26">
        <f t="shared" si="43"/>
        <v>4.8939386658835599E-2</v>
      </c>
      <c r="AN106" s="26">
        <f t="shared" si="44"/>
        <v>22.184285714285735</v>
      </c>
      <c r="AO106" s="26">
        <f t="shared" si="45"/>
        <v>21.422835628227205</v>
      </c>
      <c r="AP106" s="26">
        <f t="shared" si="46"/>
        <v>18.674125679472702</v>
      </c>
      <c r="AS106" s="2">
        <v>45374</v>
      </c>
      <c r="AT106">
        <v>17.2</v>
      </c>
      <c r="AU106">
        <v>25.2</v>
      </c>
      <c r="AV106">
        <v>72.5</v>
      </c>
      <c r="AW106">
        <v>7</v>
      </c>
      <c r="AX106">
        <v>152.66</v>
      </c>
      <c r="AY106">
        <v>0.5</v>
      </c>
      <c r="AZ106">
        <v>2.2999999999999998</v>
      </c>
      <c r="BA106">
        <v>113.5613</v>
      </c>
      <c r="BB106">
        <v>22.855699999999999</v>
      </c>
      <c r="BC106">
        <v>61.515300000000003</v>
      </c>
      <c r="BD106">
        <v>3.9211999999999998</v>
      </c>
      <c r="BE106">
        <v>27.6328</v>
      </c>
      <c r="BH106">
        <v>59.2</v>
      </c>
    </row>
    <row r="107" spans="1:60" x14ac:dyDescent="0.25">
      <c r="A107" s="2">
        <v>45394</v>
      </c>
      <c r="B107">
        <v>17.7</v>
      </c>
      <c r="C107">
        <v>0</v>
      </c>
      <c r="D107">
        <v>84</v>
      </c>
      <c r="E107">
        <v>6</v>
      </c>
      <c r="F107">
        <v>279.74</v>
      </c>
      <c r="G107">
        <v>0.1</v>
      </c>
      <c r="H107">
        <v>2.4</v>
      </c>
      <c r="I107">
        <v>122.01779999999999</v>
      </c>
      <c r="J107">
        <v>27.283300000000001</v>
      </c>
      <c r="K107">
        <v>62.520400000000002</v>
      </c>
      <c r="L107">
        <v>3.6711</v>
      </c>
      <c r="M107">
        <v>35.647599999999997</v>
      </c>
      <c r="N107">
        <v>-26.281400000000001</v>
      </c>
      <c r="O107">
        <v>-43.887599999999999</v>
      </c>
      <c r="P107">
        <v>61.47</v>
      </c>
      <c r="S107">
        <f t="shared" si="25"/>
        <v>641.0802000000001</v>
      </c>
      <c r="T107">
        <f t="shared" si="26"/>
        <v>1.6593130350288476E-2</v>
      </c>
      <c r="U107">
        <f t="shared" si="27"/>
        <v>0</v>
      </c>
      <c r="V107">
        <f t="shared" si="28"/>
        <v>7.8747059289504637E-2</v>
      </c>
      <c r="W107">
        <f t="shared" si="29"/>
        <v>5.6247899492503318E-3</v>
      </c>
      <c r="X107">
        <f t="shared" si="30"/>
        <v>0.26224645673388131</v>
      </c>
      <c r="Y107">
        <f t="shared" si="31"/>
        <v>9.3746499154172199E-5</v>
      </c>
      <c r="Z107">
        <f t="shared" si="32"/>
        <v>2.2499159797001326E-3</v>
      </c>
      <c r="AA107">
        <f t="shared" si="33"/>
        <v>0.11438741584493951</v>
      </c>
      <c r="AB107">
        <f t="shared" si="34"/>
        <v>2.5577138603730263E-2</v>
      </c>
      <c r="AC107">
        <f t="shared" si="35"/>
        <v>5.8610686257185074E-2</v>
      </c>
      <c r="AD107">
        <f t="shared" si="36"/>
        <v>3.4415277304488154E-3</v>
      </c>
      <c r="AE107">
        <f t="shared" si="37"/>
        <v>3.3418377032482682E-2</v>
      </c>
      <c r="AG107">
        <f t="shared" si="38"/>
        <v>-0.86877977307409637</v>
      </c>
      <c r="AH107">
        <f t="shared" si="39"/>
        <v>0.39897347583426174</v>
      </c>
      <c r="AI107">
        <f t="shared" si="40"/>
        <v>0.72215515437071709</v>
      </c>
      <c r="AK107" s="26">
        <f t="shared" si="41"/>
        <v>4.1188036289031782E-2</v>
      </c>
      <c r="AL107" s="26">
        <f t="shared" si="42"/>
        <v>3.5643630704357637E-2</v>
      </c>
      <c r="AM107" s="26">
        <f t="shared" si="43"/>
        <v>4.8548282113519664E-2</v>
      </c>
      <c r="AN107" s="26">
        <f t="shared" si="44"/>
        <v>22.089841269841294</v>
      </c>
      <c r="AO107" s="26">
        <f t="shared" si="45"/>
        <v>21.349117900172125</v>
      </c>
      <c r="AP107" s="26">
        <f t="shared" si="46"/>
        <v>18.593266983535109</v>
      </c>
      <c r="AS107" s="2">
        <v>45373</v>
      </c>
      <c r="AT107">
        <v>18.399999999999999</v>
      </c>
      <c r="AU107">
        <v>39.4</v>
      </c>
      <c r="AV107">
        <v>66.2</v>
      </c>
      <c r="AW107">
        <v>7.1</v>
      </c>
      <c r="AX107">
        <v>155.26</v>
      </c>
      <c r="AY107">
        <v>0.5</v>
      </c>
      <c r="AZ107">
        <v>2.7</v>
      </c>
      <c r="BA107">
        <v>161.9186</v>
      </c>
      <c r="BB107">
        <v>45.443899999999999</v>
      </c>
      <c r="BC107">
        <v>93.191000000000003</v>
      </c>
      <c r="BD107">
        <v>3.9257</v>
      </c>
      <c r="BE107">
        <v>27.666</v>
      </c>
      <c r="BF107">
        <v>-23.315799999999999</v>
      </c>
      <c r="BG107">
        <v>-37.782499999999999</v>
      </c>
      <c r="BH107">
        <v>59.18</v>
      </c>
    </row>
    <row r="108" spans="1:60" x14ac:dyDescent="0.25">
      <c r="A108" s="2">
        <v>45393</v>
      </c>
      <c r="B108">
        <v>18</v>
      </c>
      <c r="C108">
        <v>14.4</v>
      </c>
      <c r="D108">
        <v>67.099999999999994</v>
      </c>
      <c r="E108">
        <v>7</v>
      </c>
      <c r="F108">
        <v>268.62</v>
      </c>
      <c r="G108">
        <v>0.1</v>
      </c>
      <c r="H108">
        <v>2.2000000000000002</v>
      </c>
      <c r="I108">
        <v>121.0108</v>
      </c>
      <c r="J108">
        <v>41.836199999999998</v>
      </c>
      <c r="K108">
        <v>79.204099999999997</v>
      </c>
      <c r="L108">
        <v>3.798</v>
      </c>
      <c r="M108">
        <v>31.474599999999999</v>
      </c>
      <c r="N108">
        <v>-24.600200000000001</v>
      </c>
      <c r="O108">
        <v>-42.000599999999999</v>
      </c>
      <c r="P108">
        <v>61.22</v>
      </c>
      <c r="S108">
        <f t="shared" si="25"/>
        <v>654.7437000000001</v>
      </c>
      <c r="T108">
        <f t="shared" si="26"/>
        <v>1.6874369847750995E-2</v>
      </c>
      <c r="U108">
        <f t="shared" si="27"/>
        <v>1.3499495878200795E-2</v>
      </c>
      <c r="V108">
        <f t="shared" si="28"/>
        <v>6.2903900932449533E-2</v>
      </c>
      <c r="W108">
        <f t="shared" si="29"/>
        <v>6.5622549407920536E-3</v>
      </c>
      <c r="X108">
        <f t="shared" si="30"/>
        <v>0.25182184602793733</v>
      </c>
      <c r="Y108">
        <f t="shared" si="31"/>
        <v>9.3746499154172199E-5</v>
      </c>
      <c r="Z108">
        <f t="shared" si="32"/>
        <v>2.0624229813917885E-3</v>
      </c>
      <c r="AA108">
        <f t="shared" si="33"/>
        <v>0.113443388598457</v>
      </c>
      <c r="AB108">
        <f t="shared" si="34"/>
        <v>3.9219972879137782E-2</v>
      </c>
      <c r="AC108">
        <f t="shared" si="35"/>
        <v>7.4251070936569699E-2</v>
      </c>
      <c r="AD108">
        <f t="shared" si="36"/>
        <v>3.5604920378754599E-3</v>
      </c>
      <c r="AE108">
        <f t="shared" si="37"/>
        <v>2.950633562277908E-2</v>
      </c>
      <c r="AG108">
        <f t="shared" si="38"/>
        <v>-0.87995239524014401</v>
      </c>
      <c r="AH108">
        <f t="shared" si="39"/>
        <v>0.38332437273045578</v>
      </c>
      <c r="AI108">
        <f t="shared" si="40"/>
        <v>0.61004765301256625</v>
      </c>
      <c r="AK108" s="26">
        <f t="shared" si="41"/>
        <v>3.7838450065618423E-2</v>
      </c>
      <c r="AL108" s="26">
        <f t="shared" si="42"/>
        <v>3.4707206222313519E-2</v>
      </c>
      <c r="AM108" s="26">
        <f t="shared" si="43"/>
        <v>4.7736622080503416E-2</v>
      </c>
      <c r="AN108" s="26">
        <f t="shared" si="44"/>
        <v>22.013015873015902</v>
      </c>
      <c r="AO108" s="26">
        <f t="shared" si="45"/>
        <v>21.27873493975904</v>
      </c>
      <c r="AP108" s="26">
        <f t="shared" si="46"/>
        <v>18.514012499671765</v>
      </c>
      <c r="AS108" s="2">
        <v>45372</v>
      </c>
      <c r="AT108">
        <v>17.600000000000001</v>
      </c>
      <c r="AU108">
        <v>9.3000000000000007</v>
      </c>
      <c r="AV108">
        <v>45.7</v>
      </c>
      <c r="AW108">
        <v>4.8</v>
      </c>
      <c r="AX108">
        <v>148.07</v>
      </c>
      <c r="AY108">
        <v>0.5</v>
      </c>
      <c r="AZ108">
        <v>2.2999999999999998</v>
      </c>
      <c r="BA108">
        <v>286.28179999999998</v>
      </c>
      <c r="BB108">
        <v>76.239699999999999</v>
      </c>
      <c r="BC108">
        <v>123.50579999999999</v>
      </c>
      <c r="BD108">
        <v>3.9487999999999999</v>
      </c>
      <c r="BE108">
        <v>24.3733</v>
      </c>
      <c r="BF108">
        <v>-20.947900000000001</v>
      </c>
      <c r="BG108">
        <v>-36.300899999999999</v>
      </c>
      <c r="BH108">
        <v>59.21</v>
      </c>
    </row>
    <row r="109" spans="1:60" x14ac:dyDescent="0.25">
      <c r="A109" s="2">
        <v>45392</v>
      </c>
      <c r="B109">
        <v>19.600000000000001</v>
      </c>
      <c r="C109">
        <v>2.5</v>
      </c>
      <c r="D109">
        <v>61.3</v>
      </c>
      <c r="E109">
        <v>6</v>
      </c>
      <c r="F109">
        <v>217.08</v>
      </c>
      <c r="G109">
        <v>0.1</v>
      </c>
      <c r="H109">
        <v>2.1</v>
      </c>
      <c r="I109">
        <v>136.2251</v>
      </c>
      <c r="J109">
        <v>59.423499999999997</v>
      </c>
      <c r="K109">
        <v>80.522300000000001</v>
      </c>
      <c r="L109">
        <v>4.2480000000000002</v>
      </c>
      <c r="M109">
        <v>32.079000000000001</v>
      </c>
      <c r="N109">
        <v>-23.063199999999998</v>
      </c>
      <c r="O109">
        <v>-41.355600000000003</v>
      </c>
      <c r="P109">
        <v>60.79</v>
      </c>
      <c r="S109">
        <f t="shared" si="25"/>
        <v>621.17790000000002</v>
      </c>
      <c r="T109">
        <f t="shared" si="26"/>
        <v>1.837431383421775E-2</v>
      </c>
      <c r="U109">
        <f t="shared" si="27"/>
        <v>2.3436624788543046E-3</v>
      </c>
      <c r="V109">
        <f t="shared" si="28"/>
        <v>5.7466603981507554E-2</v>
      </c>
      <c r="W109">
        <f t="shared" si="29"/>
        <v>5.6247899492503318E-3</v>
      </c>
      <c r="X109">
        <f t="shared" si="30"/>
        <v>0.203504900363877</v>
      </c>
      <c r="Y109">
        <f t="shared" si="31"/>
        <v>9.3746499154172199E-5</v>
      </c>
      <c r="Z109">
        <f t="shared" si="32"/>
        <v>1.9686764822376161E-3</v>
      </c>
      <c r="AA109">
        <f t="shared" si="33"/>
        <v>0.12770626221927023</v>
      </c>
      <c r="AB109">
        <f t="shared" si="34"/>
        <v>5.5707450924879512E-2</v>
      </c>
      <c r="AC109">
        <f t="shared" si="35"/>
        <v>7.5486837288419997E-2</v>
      </c>
      <c r="AD109">
        <f t="shared" si="36"/>
        <v>3.9823512840692346E-3</v>
      </c>
      <c r="AE109">
        <f t="shared" si="37"/>
        <v>3.0072939463666896E-2</v>
      </c>
      <c r="AG109">
        <f t="shared" si="38"/>
        <v>-0.89982907107373977</v>
      </c>
      <c r="AH109">
        <f t="shared" si="39"/>
        <v>0.31944963305276569</v>
      </c>
      <c r="AI109">
        <f t="shared" si="40"/>
        <v>0.14256806988186688</v>
      </c>
      <c r="AK109" s="26">
        <f t="shared" si="41"/>
        <v>3.3821388768227378E-2</v>
      </c>
      <c r="AL109" s="26">
        <f t="shared" si="42"/>
        <v>3.4396937439668568E-2</v>
      </c>
      <c r="AM109" s="26">
        <f t="shared" si="43"/>
        <v>4.7176899748639645E-2</v>
      </c>
      <c r="AN109" s="26">
        <f t="shared" si="44"/>
        <v>21.944126984127003</v>
      </c>
      <c r="AO109" s="26">
        <f t="shared" si="45"/>
        <v>21.207777538726333</v>
      </c>
      <c r="AP109" s="26">
        <f t="shared" si="46"/>
        <v>18.434555290039668</v>
      </c>
      <c r="AS109" s="2">
        <v>45371</v>
      </c>
      <c r="AT109">
        <v>17.8</v>
      </c>
      <c r="AU109">
        <v>1.8</v>
      </c>
      <c r="AV109">
        <v>8.8000000000000007</v>
      </c>
      <c r="AW109">
        <v>0.6</v>
      </c>
      <c r="AX109">
        <v>237.02</v>
      </c>
      <c r="AY109">
        <v>0.4</v>
      </c>
      <c r="AZ109">
        <v>2.1</v>
      </c>
      <c r="BA109">
        <v>298.8485</v>
      </c>
      <c r="BB109">
        <v>102.8644</v>
      </c>
      <c r="BC109">
        <v>150.34450000000001</v>
      </c>
      <c r="BD109">
        <v>3.9752999999999998</v>
      </c>
      <c r="BE109">
        <v>29.821100000000001</v>
      </c>
      <c r="BF109">
        <v>-22.748100000000001</v>
      </c>
      <c r="BG109">
        <v>-36.289000000000001</v>
      </c>
      <c r="BH109">
        <v>59.28</v>
      </c>
    </row>
    <row r="110" spans="1:60" x14ac:dyDescent="0.25">
      <c r="A110" s="2">
        <v>45391</v>
      </c>
      <c r="B110">
        <v>18.8</v>
      </c>
      <c r="C110">
        <v>0</v>
      </c>
      <c r="D110">
        <v>61.5</v>
      </c>
      <c r="E110">
        <v>8.9</v>
      </c>
      <c r="F110">
        <v>176.95</v>
      </c>
      <c r="G110">
        <v>0.1</v>
      </c>
      <c r="H110">
        <v>1.8</v>
      </c>
      <c r="I110">
        <v>125.46169999999999</v>
      </c>
      <c r="J110">
        <v>40.207500000000003</v>
      </c>
      <c r="K110">
        <v>55.750799999999998</v>
      </c>
      <c r="L110">
        <v>3.7753000000000001</v>
      </c>
      <c r="M110">
        <v>28.078399999999998</v>
      </c>
      <c r="N110">
        <v>-22.644200000000001</v>
      </c>
      <c r="O110">
        <v>-40.574199999999998</v>
      </c>
      <c r="P110">
        <v>60.65</v>
      </c>
      <c r="S110">
        <f t="shared" si="25"/>
        <v>521.32370000000003</v>
      </c>
      <c r="T110">
        <f t="shared" si="26"/>
        <v>1.7624341840984374E-2</v>
      </c>
      <c r="U110">
        <f t="shared" si="27"/>
        <v>0</v>
      </c>
      <c r="V110">
        <f t="shared" si="28"/>
        <v>5.7654096979815897E-2</v>
      </c>
      <c r="W110">
        <f t="shared" si="29"/>
        <v>8.3434384247213257E-3</v>
      </c>
      <c r="X110">
        <f t="shared" si="30"/>
        <v>0.16588443025330768</v>
      </c>
      <c r="Y110">
        <f t="shared" si="31"/>
        <v>9.3746499154172199E-5</v>
      </c>
      <c r="Z110">
        <f t="shared" si="32"/>
        <v>1.6874369847750994E-3</v>
      </c>
      <c r="AA110">
        <f t="shared" si="33"/>
        <v>0.11761595152931005</v>
      </c>
      <c r="AB110">
        <f t="shared" si="34"/>
        <v>3.7693123647413784E-2</v>
      </c>
      <c r="AC110">
        <f t="shared" si="35"/>
        <v>5.2264423250444225E-2</v>
      </c>
      <c r="AD110">
        <f t="shared" si="36"/>
        <v>3.539211582567463E-3</v>
      </c>
      <c r="AE110">
        <f t="shared" si="37"/>
        <v>2.6322517018505083E-2</v>
      </c>
      <c r="AG110">
        <f t="shared" si="38"/>
        <v>-0.90575929634156305</v>
      </c>
      <c r="AH110">
        <f t="shared" si="39"/>
        <v>0.27761000800126362</v>
      </c>
      <c r="AI110">
        <f t="shared" si="40"/>
        <v>-0.16534421647875358</v>
      </c>
      <c r="AK110" s="26">
        <f t="shared" si="41"/>
        <v>3.0861985890571486E-2</v>
      </c>
      <c r="AL110" s="26">
        <f t="shared" si="42"/>
        <v>3.3192841410346979E-2</v>
      </c>
      <c r="AM110" s="26">
        <f t="shared" si="43"/>
        <v>4.7002943972768718E-2</v>
      </c>
      <c r="AN110" s="26">
        <f t="shared" si="44"/>
        <v>21.891746031746045</v>
      </c>
      <c r="AO110" s="26">
        <f t="shared" si="45"/>
        <v>21.13770438898451</v>
      </c>
      <c r="AP110" s="26">
        <f t="shared" si="46"/>
        <v>18.357224862792492</v>
      </c>
      <c r="AS110" s="2">
        <v>45370</v>
      </c>
      <c r="AT110">
        <v>18.8</v>
      </c>
      <c r="AU110">
        <v>0</v>
      </c>
      <c r="AV110">
        <v>44.8</v>
      </c>
      <c r="AW110">
        <v>2.4</v>
      </c>
      <c r="AX110">
        <v>222.91</v>
      </c>
      <c r="AY110">
        <v>0.5</v>
      </c>
      <c r="AZ110">
        <v>2</v>
      </c>
      <c r="BA110">
        <v>289.80849999999998</v>
      </c>
      <c r="BB110">
        <v>77.4208</v>
      </c>
      <c r="BC110">
        <v>134.60669999999999</v>
      </c>
      <c r="BD110">
        <v>3.8992</v>
      </c>
      <c r="BE110">
        <v>26.012</v>
      </c>
      <c r="BF110">
        <v>-25.5352</v>
      </c>
      <c r="BG110">
        <v>-37.1736</v>
      </c>
      <c r="BH110">
        <v>59.39</v>
      </c>
    </row>
    <row r="111" spans="1:60" x14ac:dyDescent="0.25">
      <c r="A111" s="2">
        <v>45390</v>
      </c>
      <c r="B111">
        <v>18.100000000000001</v>
      </c>
      <c r="C111">
        <v>32.1</v>
      </c>
      <c r="D111">
        <v>29</v>
      </c>
      <c r="E111">
        <v>2.5</v>
      </c>
      <c r="F111">
        <v>272.67</v>
      </c>
      <c r="G111">
        <v>0.1</v>
      </c>
      <c r="H111">
        <v>2.1</v>
      </c>
      <c r="I111">
        <v>177.73769999999999</v>
      </c>
      <c r="J111">
        <v>61.088700000000003</v>
      </c>
      <c r="K111">
        <v>103.57389999999999</v>
      </c>
      <c r="L111">
        <v>3.8022</v>
      </c>
      <c r="M111">
        <v>38.5411</v>
      </c>
      <c r="N111">
        <v>-26.0472</v>
      </c>
      <c r="O111">
        <v>-42.793100000000003</v>
      </c>
      <c r="P111">
        <v>60.73</v>
      </c>
      <c r="S111">
        <f t="shared" si="25"/>
        <v>741.31360000000006</v>
      </c>
      <c r="T111">
        <f t="shared" si="26"/>
        <v>1.696811634690517E-2</v>
      </c>
      <c r="U111">
        <f t="shared" si="27"/>
        <v>3.0092626228489273E-2</v>
      </c>
      <c r="V111">
        <f t="shared" si="28"/>
        <v>2.7186484754709934E-2</v>
      </c>
      <c r="W111">
        <f t="shared" si="29"/>
        <v>2.3436624788543046E-3</v>
      </c>
      <c r="X111">
        <f t="shared" si="30"/>
        <v>0.25561857924368131</v>
      </c>
      <c r="Y111">
        <f t="shared" si="31"/>
        <v>9.3746499154172199E-5</v>
      </c>
      <c r="Z111">
        <f t="shared" si="32"/>
        <v>1.9686764822376161E-3</v>
      </c>
      <c r="AA111">
        <f t="shared" si="33"/>
        <v>0.1666228714271451</v>
      </c>
      <c r="AB111">
        <f t="shared" si="34"/>
        <v>5.7268517628794792E-2</v>
      </c>
      <c r="AC111">
        <f t="shared" si="35"/>
        <v>9.709690528744315E-2</v>
      </c>
      <c r="AD111">
        <f t="shared" si="36"/>
        <v>3.5644293908399351E-3</v>
      </c>
      <c r="AE111">
        <f t="shared" si="37"/>
        <v>3.6130931985508659E-2</v>
      </c>
      <c r="AG111">
        <f t="shared" si="38"/>
        <v>-0.90108028284701558</v>
      </c>
      <c r="AH111">
        <f t="shared" si="39"/>
        <v>0.37040282401954044</v>
      </c>
      <c r="AI111">
        <f t="shared" si="40"/>
        <v>0.51739665059298856</v>
      </c>
      <c r="AK111" s="26">
        <f t="shared" si="41"/>
        <v>2.8653360035609921E-2</v>
      </c>
      <c r="AL111" s="26">
        <f t="shared" si="42"/>
        <v>3.475150797798876E-2</v>
      </c>
      <c r="AM111" s="26">
        <f t="shared" si="43"/>
        <v>4.7674364255205159E-2</v>
      </c>
      <c r="AN111" s="26">
        <f t="shared" si="44"/>
        <v>21.841746031746055</v>
      </c>
      <c r="AO111" s="26">
        <f t="shared" si="45"/>
        <v>21.062842082616172</v>
      </c>
      <c r="AP111" s="26">
        <f t="shared" si="46"/>
        <v>18.280074840471642</v>
      </c>
      <c r="AS111" s="2">
        <v>45369</v>
      </c>
      <c r="AT111">
        <v>15.6</v>
      </c>
      <c r="AU111">
        <v>4.0999999999999996</v>
      </c>
      <c r="AV111">
        <v>44.7</v>
      </c>
      <c r="AW111">
        <v>4.2</v>
      </c>
      <c r="AX111">
        <v>155.66</v>
      </c>
      <c r="AY111">
        <v>0.5</v>
      </c>
      <c r="AZ111">
        <v>2.1</v>
      </c>
      <c r="BA111">
        <v>271.3768</v>
      </c>
      <c r="BB111">
        <v>69.972899999999996</v>
      </c>
      <c r="BC111">
        <v>134.7886</v>
      </c>
      <c r="BD111">
        <v>3.8908999999999998</v>
      </c>
      <c r="BE111">
        <v>33.9133</v>
      </c>
      <c r="BF111">
        <v>-23.366</v>
      </c>
      <c r="BG111">
        <v>-35.035699999999999</v>
      </c>
      <c r="BH111">
        <v>59.53</v>
      </c>
    </row>
    <row r="112" spans="1:60" x14ac:dyDescent="0.25">
      <c r="A112" s="2">
        <v>45389</v>
      </c>
      <c r="B112">
        <v>15.7</v>
      </c>
      <c r="C112">
        <v>0.8</v>
      </c>
      <c r="D112">
        <v>65.900000000000006</v>
      </c>
      <c r="E112">
        <v>6.4</v>
      </c>
      <c r="F112">
        <v>270.82</v>
      </c>
      <c r="G112">
        <v>0.1</v>
      </c>
      <c r="H112">
        <v>1.9</v>
      </c>
      <c r="I112">
        <v>89.221500000000006</v>
      </c>
      <c r="J112">
        <v>30.497399999999999</v>
      </c>
      <c r="K112">
        <v>37.311799999999998</v>
      </c>
      <c r="L112">
        <v>3.8031000000000001</v>
      </c>
      <c r="M112">
        <v>21.769100000000002</v>
      </c>
      <c r="P112">
        <v>60.43</v>
      </c>
      <c r="S112">
        <f t="shared" si="25"/>
        <v>544.22289999999987</v>
      </c>
      <c r="T112">
        <f t="shared" si="26"/>
        <v>1.4718200367205033E-2</v>
      </c>
      <c r="U112">
        <f t="shared" si="27"/>
        <v>7.4997199323337759E-4</v>
      </c>
      <c r="V112">
        <f t="shared" si="28"/>
        <v>6.1778942942599481E-2</v>
      </c>
      <c r="W112">
        <f t="shared" si="29"/>
        <v>5.9997759458670207E-3</v>
      </c>
      <c r="X112">
        <f t="shared" si="30"/>
        <v>0.25388426900932914</v>
      </c>
      <c r="Y112">
        <f t="shared" si="31"/>
        <v>9.3746499154172199E-5</v>
      </c>
      <c r="Z112">
        <f t="shared" si="32"/>
        <v>1.7811834839292716E-3</v>
      </c>
      <c r="AA112">
        <f t="shared" si="33"/>
        <v>8.3642032742839753E-2</v>
      </c>
      <c r="AB112">
        <f t="shared" si="34"/>
        <v>2.8590244833044509E-2</v>
      </c>
      <c r="AC112">
        <f t="shared" si="35"/>
        <v>3.4978506271406418E-2</v>
      </c>
      <c r="AD112">
        <f t="shared" si="36"/>
        <v>3.5652731093323226E-3</v>
      </c>
      <c r="AE112">
        <f t="shared" si="37"/>
        <v>2.0407769147370899E-2</v>
      </c>
      <c r="AG112">
        <f t="shared" si="38"/>
        <v>-0.91468383349062099</v>
      </c>
      <c r="AH112">
        <f t="shared" si="39"/>
        <v>0.35941385938868842</v>
      </c>
      <c r="AI112">
        <f t="shared" si="40"/>
        <v>0.43931988440373754</v>
      </c>
      <c r="AK112" s="26">
        <f t="shared" si="41"/>
        <v>2.8023960920685542E-2</v>
      </c>
      <c r="AL112" s="26">
        <f t="shared" si="42"/>
        <v>3.4187581438690995E-2</v>
      </c>
      <c r="AM112" s="26">
        <f t="shared" si="43"/>
        <v>4.7953998942386389E-2</v>
      </c>
      <c r="AN112" s="26">
        <f t="shared" si="44"/>
        <v>21.78539682539683</v>
      </c>
      <c r="AO112" s="26">
        <f t="shared" si="45"/>
        <v>20.98280120481926</v>
      </c>
      <c r="AP112" s="26">
        <f t="shared" si="46"/>
        <v>18.20133741235788</v>
      </c>
      <c r="AS112" s="2">
        <v>45368</v>
      </c>
      <c r="AT112">
        <v>15</v>
      </c>
      <c r="AU112">
        <v>0</v>
      </c>
      <c r="AV112">
        <v>44.1</v>
      </c>
      <c r="AW112">
        <v>2.8</v>
      </c>
      <c r="AX112">
        <v>217.13</v>
      </c>
      <c r="AY112">
        <v>0.1</v>
      </c>
      <c r="AZ112">
        <v>2.2000000000000002</v>
      </c>
      <c r="BA112">
        <v>166.667</v>
      </c>
      <c r="BB112">
        <v>35.281399999999998</v>
      </c>
      <c r="BC112">
        <v>53.490900000000003</v>
      </c>
      <c r="BD112">
        <v>3.8229000000000002</v>
      </c>
      <c r="BE112">
        <v>20.8019</v>
      </c>
      <c r="BH112">
        <v>59.67</v>
      </c>
    </row>
    <row r="113" spans="1:60" x14ac:dyDescent="0.25">
      <c r="A113" s="2">
        <v>45388</v>
      </c>
      <c r="B113">
        <v>15.3</v>
      </c>
      <c r="C113">
        <v>1.1000000000000001</v>
      </c>
      <c r="D113">
        <v>63.9</v>
      </c>
      <c r="E113">
        <v>6.1</v>
      </c>
      <c r="F113">
        <v>319.52999999999997</v>
      </c>
      <c r="G113">
        <v>0.1</v>
      </c>
      <c r="H113">
        <v>1.9</v>
      </c>
      <c r="I113">
        <v>86.738100000000003</v>
      </c>
      <c r="J113">
        <v>36.655999999999999</v>
      </c>
      <c r="K113">
        <v>31.6221</v>
      </c>
      <c r="L113">
        <v>3.7751999999999999</v>
      </c>
      <c r="M113">
        <v>35.712600000000002</v>
      </c>
      <c r="P113">
        <v>60.17</v>
      </c>
      <c r="S113">
        <f t="shared" si="25"/>
        <v>602.43399999999997</v>
      </c>
      <c r="T113">
        <f t="shared" si="26"/>
        <v>1.4343214370588346E-2</v>
      </c>
      <c r="U113">
        <f t="shared" si="27"/>
        <v>1.0312114906958943E-3</v>
      </c>
      <c r="V113">
        <f t="shared" si="28"/>
        <v>5.9904012959516029E-2</v>
      </c>
      <c r="W113">
        <f t="shared" si="29"/>
        <v>5.7185364484045034E-3</v>
      </c>
      <c r="X113">
        <f t="shared" si="30"/>
        <v>0.29954818874732636</v>
      </c>
      <c r="Y113">
        <f t="shared" si="31"/>
        <v>9.3746499154172199E-5</v>
      </c>
      <c r="Z113">
        <f t="shared" si="32"/>
        <v>1.7811834839292716E-3</v>
      </c>
      <c r="AA113">
        <f t="shared" si="33"/>
        <v>8.1313932182845036E-2</v>
      </c>
      <c r="AB113">
        <f t="shared" si="34"/>
        <v>3.4363716729953357E-2</v>
      </c>
      <c r="AC113">
        <f t="shared" si="35"/>
        <v>2.9644611709031484E-2</v>
      </c>
      <c r="AD113">
        <f t="shared" si="36"/>
        <v>3.5391178360683084E-3</v>
      </c>
      <c r="AE113">
        <f t="shared" si="37"/>
        <v>3.3479312256932903E-2</v>
      </c>
      <c r="AG113">
        <f t="shared" si="38"/>
        <v>-0.9263724446626419</v>
      </c>
      <c r="AH113">
        <f t="shared" si="39"/>
        <v>0.41589940625654748</v>
      </c>
      <c r="AI113">
        <f t="shared" si="40"/>
        <v>0.85735923674347569</v>
      </c>
      <c r="AK113" s="26">
        <f t="shared" si="41"/>
        <v>2.4085924946002202E-2</v>
      </c>
      <c r="AL113" s="26">
        <f t="shared" si="42"/>
        <v>3.2480371808587122E-2</v>
      </c>
      <c r="AM113" s="26">
        <f t="shared" si="43"/>
        <v>4.7421036326039445E-2</v>
      </c>
      <c r="AN113" s="26">
        <f t="shared" si="44"/>
        <v>21.743015873015885</v>
      </c>
      <c r="AO113" s="26">
        <f t="shared" si="45"/>
        <v>20.907157917383799</v>
      </c>
      <c r="AP113" s="26">
        <f t="shared" si="46"/>
        <v>18.122248365326563</v>
      </c>
      <c r="AS113" s="2">
        <v>45367</v>
      </c>
      <c r="AT113">
        <v>14.3</v>
      </c>
      <c r="AU113">
        <v>0</v>
      </c>
      <c r="AV113">
        <v>67.400000000000006</v>
      </c>
      <c r="AW113">
        <v>11.3</v>
      </c>
      <c r="AX113">
        <v>131.16</v>
      </c>
      <c r="AY113">
        <v>0.1</v>
      </c>
      <c r="AZ113">
        <v>2.2000000000000002</v>
      </c>
      <c r="BA113">
        <v>112.1009</v>
      </c>
      <c r="BB113">
        <v>43.358899999999998</v>
      </c>
      <c r="BC113">
        <v>49.460500000000003</v>
      </c>
      <c r="BD113">
        <v>3.9064000000000001</v>
      </c>
      <c r="BE113">
        <v>18.4648</v>
      </c>
      <c r="BH113">
        <v>59.71</v>
      </c>
    </row>
    <row r="114" spans="1:60" x14ac:dyDescent="0.25">
      <c r="A114" s="2">
        <v>45387</v>
      </c>
      <c r="B114">
        <v>16.2</v>
      </c>
      <c r="C114">
        <v>17.399999999999999</v>
      </c>
      <c r="D114">
        <v>64.599999999999994</v>
      </c>
      <c r="E114">
        <v>11.5</v>
      </c>
      <c r="F114">
        <v>216.04</v>
      </c>
      <c r="G114">
        <v>0.1</v>
      </c>
      <c r="H114">
        <v>2.2000000000000002</v>
      </c>
      <c r="I114">
        <v>106.3497</v>
      </c>
      <c r="J114">
        <v>39.527900000000002</v>
      </c>
      <c r="K114">
        <v>52.711399999999998</v>
      </c>
      <c r="L114">
        <v>3.7875999999999999</v>
      </c>
      <c r="M114">
        <v>33.669800000000002</v>
      </c>
      <c r="N114">
        <v>-25.455500000000001</v>
      </c>
      <c r="O114">
        <v>-43.110700000000001</v>
      </c>
      <c r="P114">
        <v>59.61</v>
      </c>
      <c r="S114">
        <f t="shared" si="25"/>
        <v>564.08640000000003</v>
      </c>
      <c r="T114">
        <f t="shared" si="26"/>
        <v>1.5186932862975894E-2</v>
      </c>
      <c r="U114">
        <f t="shared" si="27"/>
        <v>1.6311890852825958E-2</v>
      </c>
      <c r="V114">
        <f t="shared" si="28"/>
        <v>6.0560238453595233E-2</v>
      </c>
      <c r="W114">
        <f t="shared" si="29"/>
        <v>1.0780847402729802E-2</v>
      </c>
      <c r="X114">
        <f t="shared" si="30"/>
        <v>0.20252993677267359</v>
      </c>
      <c r="Y114">
        <f t="shared" si="31"/>
        <v>9.3746499154172199E-5</v>
      </c>
      <c r="Z114">
        <f t="shared" si="32"/>
        <v>2.0624229813917885E-3</v>
      </c>
      <c r="AA114">
        <f t="shared" si="33"/>
        <v>9.9699120610964656E-2</v>
      </c>
      <c r="AB114">
        <f t="shared" si="34"/>
        <v>3.7056022439162034E-2</v>
      </c>
      <c r="AC114">
        <f t="shared" si="35"/>
        <v>4.9415092155152315E-2</v>
      </c>
      <c r="AD114">
        <f t="shared" si="36"/>
        <v>3.5507424019634256E-3</v>
      </c>
      <c r="AE114">
        <f t="shared" si="37"/>
        <v>3.1564258772211473E-2</v>
      </c>
      <c r="AG114">
        <f t="shared" si="38"/>
        <v>-0.9525364470616261</v>
      </c>
      <c r="AH114">
        <f t="shared" si="39"/>
        <v>0.33909027459755792</v>
      </c>
      <c r="AI114">
        <f t="shared" si="40"/>
        <v>0.29477941962614784</v>
      </c>
      <c r="AK114" s="26">
        <f t="shared" si="41"/>
        <v>1.7322710247896306E-2</v>
      </c>
      <c r="AL114" s="26">
        <f t="shared" si="42"/>
        <v>2.9867656594791431E-2</v>
      </c>
      <c r="AM114" s="26">
        <f t="shared" si="43"/>
        <v>4.6214839741079677E-2</v>
      </c>
      <c r="AN114" s="26">
        <f t="shared" si="44"/>
        <v>21.710634920634917</v>
      </c>
      <c r="AO114" s="26">
        <f t="shared" si="45"/>
        <v>20.825559380378621</v>
      </c>
      <c r="AP114" s="26">
        <f t="shared" si="46"/>
        <v>18.042751503374397</v>
      </c>
      <c r="AS114" s="2">
        <v>45366</v>
      </c>
      <c r="AT114">
        <v>14.6</v>
      </c>
      <c r="AU114">
        <v>0</v>
      </c>
      <c r="AV114">
        <v>96.2</v>
      </c>
      <c r="AW114">
        <v>9.1</v>
      </c>
      <c r="AX114">
        <v>167.31</v>
      </c>
      <c r="AY114">
        <v>0.4</v>
      </c>
      <c r="AZ114">
        <v>2.9</v>
      </c>
      <c r="BA114">
        <v>148.83860000000001</v>
      </c>
      <c r="BB114">
        <v>41.311100000000003</v>
      </c>
      <c r="BC114">
        <v>77.933800000000005</v>
      </c>
      <c r="BD114">
        <v>3.9196</v>
      </c>
      <c r="BE114">
        <v>25.041699999999999</v>
      </c>
      <c r="BF114">
        <v>-22.145</v>
      </c>
      <c r="BG114">
        <v>-36.555500000000002</v>
      </c>
      <c r="BH114">
        <v>59.74</v>
      </c>
    </row>
    <row r="115" spans="1:60" x14ac:dyDescent="0.25">
      <c r="A115" s="2">
        <v>45386</v>
      </c>
      <c r="B115">
        <v>16.399999999999999</v>
      </c>
      <c r="C115">
        <v>2.2000000000000002</v>
      </c>
      <c r="D115">
        <v>74.5</v>
      </c>
      <c r="E115">
        <v>11.3</v>
      </c>
      <c r="F115">
        <v>127.73</v>
      </c>
      <c r="G115">
        <v>0.1</v>
      </c>
      <c r="H115">
        <v>2</v>
      </c>
      <c r="I115">
        <v>129.41980000000001</v>
      </c>
      <c r="J115">
        <v>30.757999999999999</v>
      </c>
      <c r="K115">
        <v>62.581400000000002</v>
      </c>
      <c r="L115">
        <v>3.8193000000000001</v>
      </c>
      <c r="M115">
        <v>23.0945</v>
      </c>
      <c r="N115">
        <v>-26.436299999999999</v>
      </c>
      <c r="O115">
        <v>-43.166699999999999</v>
      </c>
      <c r="P115">
        <v>59.45</v>
      </c>
      <c r="S115">
        <f t="shared" si="25"/>
        <v>483.90299999999996</v>
      </c>
      <c r="T115">
        <f t="shared" si="26"/>
        <v>1.5374425861284237E-2</v>
      </c>
      <c r="U115">
        <f t="shared" si="27"/>
        <v>2.0624229813917885E-3</v>
      </c>
      <c r="V115">
        <f t="shared" si="28"/>
        <v>6.9841141869858278E-2</v>
      </c>
      <c r="W115">
        <f t="shared" si="29"/>
        <v>1.0593354404421457E-2</v>
      </c>
      <c r="X115">
        <f t="shared" si="30"/>
        <v>0.11974240336962415</v>
      </c>
      <c r="Y115">
        <f t="shared" si="31"/>
        <v>9.3746499154172199E-5</v>
      </c>
      <c r="Z115">
        <f t="shared" si="32"/>
        <v>1.8749299830834439E-3</v>
      </c>
      <c r="AA115">
        <f t="shared" si="33"/>
        <v>0.12132653171233135</v>
      </c>
      <c r="AB115">
        <f t="shared" si="34"/>
        <v>2.8834548209840282E-2</v>
      </c>
      <c r="AC115">
        <f t="shared" si="35"/>
        <v>5.8667871621669115E-2</v>
      </c>
      <c r="AD115">
        <f t="shared" si="36"/>
        <v>3.5804600421952986E-3</v>
      </c>
      <c r="AE115">
        <f t="shared" si="37"/>
        <v>2.1650285247160297E-2</v>
      </c>
      <c r="AG115">
        <f t="shared" si="38"/>
        <v>-0.95950684492338689</v>
      </c>
      <c r="AH115">
        <f t="shared" si="39"/>
        <v>0.24123271021597781</v>
      </c>
      <c r="AI115">
        <f t="shared" si="40"/>
        <v>-0.42676449671834266</v>
      </c>
      <c r="AK115" s="26">
        <f t="shared" si="41"/>
        <v>1.6893565559482571E-2</v>
      </c>
      <c r="AL115" s="26">
        <f t="shared" si="42"/>
        <v>2.6555434128649941E-2</v>
      </c>
      <c r="AM115" s="26">
        <f t="shared" si="43"/>
        <v>4.5127122864970975E-2</v>
      </c>
      <c r="AN115" s="26">
        <f t="shared" si="44"/>
        <v>21.69936507936508</v>
      </c>
      <c r="AO115" s="26">
        <f t="shared" si="45"/>
        <v>20.745970309810637</v>
      </c>
      <c r="AP115" s="26">
        <f t="shared" si="46"/>
        <v>17.966768729812784</v>
      </c>
      <c r="AS115" s="2">
        <v>45365</v>
      </c>
      <c r="AT115">
        <v>15.2</v>
      </c>
      <c r="AU115">
        <v>2</v>
      </c>
      <c r="AV115">
        <v>78.099999999999994</v>
      </c>
      <c r="AW115">
        <v>5.6</v>
      </c>
      <c r="AX115">
        <v>182.12</v>
      </c>
      <c r="AY115">
        <v>0.1</v>
      </c>
      <c r="AZ115">
        <v>3</v>
      </c>
      <c r="BA115">
        <v>213.99039999999999</v>
      </c>
      <c r="BB115">
        <v>72.77</v>
      </c>
      <c r="BC115">
        <v>129.5076</v>
      </c>
      <c r="BD115">
        <v>3.9403000000000001</v>
      </c>
      <c r="BE115">
        <v>28.1035</v>
      </c>
      <c r="BF115">
        <v>-21.636800000000001</v>
      </c>
      <c r="BG115">
        <v>-37.077199999999998</v>
      </c>
      <c r="BH115">
        <v>59.86</v>
      </c>
    </row>
    <row r="116" spans="1:60" x14ac:dyDescent="0.25">
      <c r="A116" s="2">
        <v>45385</v>
      </c>
      <c r="B116">
        <v>16.7</v>
      </c>
      <c r="C116">
        <v>1</v>
      </c>
      <c r="D116">
        <v>39.5</v>
      </c>
      <c r="E116">
        <v>5.3</v>
      </c>
      <c r="F116">
        <v>157.4</v>
      </c>
      <c r="G116">
        <v>0.1</v>
      </c>
      <c r="H116">
        <v>1.8</v>
      </c>
      <c r="I116">
        <v>182.1944</v>
      </c>
      <c r="J116">
        <v>42.851900000000001</v>
      </c>
      <c r="K116">
        <v>143.35400000000001</v>
      </c>
      <c r="L116">
        <v>3.9032</v>
      </c>
      <c r="M116">
        <v>31.293099999999999</v>
      </c>
      <c r="N116">
        <v>-25.856300000000001</v>
      </c>
      <c r="O116">
        <v>-44.512099999999997</v>
      </c>
      <c r="P116">
        <v>59.41</v>
      </c>
      <c r="S116">
        <f t="shared" si="25"/>
        <v>625.39660000000003</v>
      </c>
      <c r="T116">
        <f t="shared" si="26"/>
        <v>1.5655665358746754E-2</v>
      </c>
      <c r="U116">
        <f t="shared" si="27"/>
        <v>9.3746499154172193E-4</v>
      </c>
      <c r="V116">
        <f t="shared" si="28"/>
        <v>3.7029867165898019E-2</v>
      </c>
      <c r="W116">
        <f t="shared" si="29"/>
        <v>4.9685644551711256E-3</v>
      </c>
      <c r="X116">
        <f t="shared" si="30"/>
        <v>0.14755698966866704</v>
      </c>
      <c r="Y116">
        <f t="shared" si="31"/>
        <v>9.3746499154172199E-5</v>
      </c>
      <c r="Z116">
        <f t="shared" si="32"/>
        <v>1.6874369847750994E-3</v>
      </c>
      <c r="AA116">
        <f t="shared" si="33"/>
        <v>0.17080087165494909</v>
      </c>
      <c r="AB116">
        <f t="shared" si="34"/>
        <v>4.0172156071046711E-2</v>
      </c>
      <c r="AC116">
        <f t="shared" si="35"/>
        <v>0.13438935639747202</v>
      </c>
      <c r="AD116">
        <f t="shared" si="36"/>
        <v>3.6591133549856488E-3</v>
      </c>
      <c r="AE116">
        <f t="shared" si="37"/>
        <v>2.9336185726814255E-2</v>
      </c>
      <c r="AG116">
        <f t="shared" si="38"/>
        <v>-0.96072745918088853</v>
      </c>
      <c r="AH116">
        <f t="shared" si="39"/>
        <v>0.2372659208507682</v>
      </c>
      <c r="AI116">
        <f t="shared" si="40"/>
        <v>-0.45750126085218723</v>
      </c>
      <c r="AK116" s="26">
        <f t="shared" si="41"/>
        <v>2.3451886123389526E-2</v>
      </c>
      <c r="AL116" s="26">
        <f t="shared" si="42"/>
        <v>2.7867885157146777E-2</v>
      </c>
      <c r="AM116" s="26">
        <f t="shared" si="43"/>
        <v>4.6311002876833041E-2</v>
      </c>
      <c r="AN116" s="26">
        <f t="shared" si="44"/>
        <v>21.693015873015867</v>
      </c>
      <c r="AO116" s="26">
        <f t="shared" si="45"/>
        <v>20.663278829604103</v>
      </c>
      <c r="AP116" s="26">
        <f t="shared" si="46"/>
        <v>17.890876290013423</v>
      </c>
      <c r="AS116" s="2">
        <v>45364</v>
      </c>
      <c r="AT116">
        <v>15.1</v>
      </c>
      <c r="AU116">
        <v>16.899999999999999</v>
      </c>
      <c r="AV116">
        <v>61.5</v>
      </c>
      <c r="AW116">
        <v>3.5</v>
      </c>
      <c r="AX116">
        <v>124.39</v>
      </c>
      <c r="AY116">
        <v>0.1</v>
      </c>
      <c r="AZ116">
        <v>2.9</v>
      </c>
      <c r="BA116">
        <v>312.04320000000001</v>
      </c>
      <c r="BB116">
        <v>86.078000000000003</v>
      </c>
      <c r="BC116">
        <v>147.26079999999999</v>
      </c>
      <c r="BD116">
        <v>3.2863000000000002</v>
      </c>
      <c r="BE116">
        <v>27.569099999999999</v>
      </c>
      <c r="BF116">
        <v>-19.213899999999999</v>
      </c>
      <c r="BG116">
        <v>-34.621600000000001</v>
      </c>
      <c r="BH116">
        <v>59.88</v>
      </c>
    </row>
    <row r="117" spans="1:60" x14ac:dyDescent="0.25">
      <c r="A117" s="2">
        <v>45384</v>
      </c>
      <c r="B117">
        <v>17.8</v>
      </c>
      <c r="C117">
        <v>17.399999999999999</v>
      </c>
      <c r="D117">
        <v>52.9</v>
      </c>
      <c r="E117">
        <v>14.1</v>
      </c>
      <c r="F117">
        <v>188.35</v>
      </c>
      <c r="G117">
        <v>0.1</v>
      </c>
      <c r="H117">
        <v>2</v>
      </c>
      <c r="I117">
        <v>79.615600000000001</v>
      </c>
      <c r="J117">
        <v>27.282800000000002</v>
      </c>
      <c r="K117">
        <v>45.566200000000002</v>
      </c>
      <c r="L117">
        <v>3.9214000000000002</v>
      </c>
      <c r="M117">
        <v>29.532599999999999</v>
      </c>
      <c r="N117">
        <v>-27.303899999999999</v>
      </c>
      <c r="O117">
        <v>-47.030799999999999</v>
      </c>
      <c r="P117">
        <v>59.36</v>
      </c>
      <c r="S117">
        <f t="shared" si="25"/>
        <v>478.56859999999995</v>
      </c>
      <c r="T117">
        <f t="shared" si="26"/>
        <v>1.6686876849442651E-2</v>
      </c>
      <c r="U117">
        <f t="shared" si="27"/>
        <v>1.6311890852825958E-2</v>
      </c>
      <c r="V117">
        <f t="shared" si="28"/>
        <v>4.9591898052557086E-2</v>
      </c>
      <c r="W117">
        <f t="shared" si="29"/>
        <v>1.3218256380738279E-2</v>
      </c>
      <c r="X117">
        <f t="shared" si="30"/>
        <v>0.17657153115688332</v>
      </c>
      <c r="Y117">
        <f t="shared" si="31"/>
        <v>9.3746499154172199E-5</v>
      </c>
      <c r="Z117">
        <f t="shared" si="32"/>
        <v>1.8749299830834439E-3</v>
      </c>
      <c r="AA117">
        <f t="shared" si="33"/>
        <v>7.4636837780589119E-2</v>
      </c>
      <c r="AB117">
        <f t="shared" si="34"/>
        <v>2.5576669871234491E-2</v>
      </c>
      <c r="AC117">
        <f t="shared" si="35"/>
        <v>4.2716717297588414E-2</v>
      </c>
      <c r="AD117">
        <f t="shared" si="36"/>
        <v>3.6761752178317087E-3</v>
      </c>
      <c r="AE117">
        <f t="shared" si="37"/>
        <v>2.7685778609205056E-2</v>
      </c>
      <c r="AG117">
        <f t="shared" si="38"/>
        <v>-0.96245075027802351</v>
      </c>
      <c r="AH117">
        <f t="shared" si="39"/>
        <v>0.30203490838388997</v>
      </c>
      <c r="AI117">
        <f t="shared" si="40"/>
        <v>1.8676426337582881E-2</v>
      </c>
      <c r="AK117" s="26">
        <f t="shared" si="41"/>
        <v>2.3847295464464763E-2</v>
      </c>
      <c r="AL117" s="26">
        <f t="shared" si="42"/>
        <v>3.0263125677073788E-2</v>
      </c>
      <c r="AM117" s="26">
        <f t="shared" si="43"/>
        <v>4.6700420233802442E-2</v>
      </c>
      <c r="AN117" s="26">
        <f t="shared" si="44"/>
        <v>21.673015873015864</v>
      </c>
      <c r="AO117" s="26">
        <f t="shared" si="45"/>
        <v>20.57368760757312</v>
      </c>
      <c r="AP117" s="26">
        <f t="shared" si="46"/>
        <v>17.812055355689196</v>
      </c>
      <c r="AS117" s="2">
        <v>45363</v>
      </c>
      <c r="AT117">
        <v>14.4</v>
      </c>
      <c r="AU117">
        <v>9.9</v>
      </c>
      <c r="AV117">
        <v>12.2</v>
      </c>
      <c r="AW117">
        <v>2.1</v>
      </c>
      <c r="AX117">
        <v>94.98</v>
      </c>
      <c r="AY117">
        <v>0.1</v>
      </c>
      <c r="AZ117">
        <v>3</v>
      </c>
      <c r="BA117">
        <v>340.4289</v>
      </c>
      <c r="BB117">
        <v>102.1551</v>
      </c>
      <c r="BC117">
        <v>176.9974</v>
      </c>
      <c r="BD117">
        <v>3.9209000000000001</v>
      </c>
      <c r="BE117">
        <v>31.691700000000001</v>
      </c>
      <c r="BF117">
        <v>-18.535399999999999</v>
      </c>
      <c r="BG117">
        <v>-34.231000000000002</v>
      </c>
      <c r="BH117">
        <v>60.08</v>
      </c>
    </row>
    <row r="118" spans="1:60" x14ac:dyDescent="0.25">
      <c r="A118" s="2">
        <v>45383</v>
      </c>
      <c r="B118">
        <v>16</v>
      </c>
      <c r="C118">
        <v>2.1</v>
      </c>
      <c r="D118">
        <v>28.3</v>
      </c>
      <c r="E118">
        <v>6.4</v>
      </c>
      <c r="F118">
        <v>103.85</v>
      </c>
      <c r="G118">
        <v>0.1</v>
      </c>
      <c r="H118">
        <v>2.1</v>
      </c>
      <c r="I118">
        <v>90.197299999999998</v>
      </c>
      <c r="J118">
        <v>25.909300000000002</v>
      </c>
      <c r="K118">
        <v>34.359099999999998</v>
      </c>
      <c r="L118">
        <v>3.1419000000000001</v>
      </c>
      <c r="M118">
        <v>17.0642</v>
      </c>
      <c r="N118">
        <v>-33.037199999999999</v>
      </c>
      <c r="O118">
        <v>-44.822499999999998</v>
      </c>
      <c r="P118">
        <v>59.23</v>
      </c>
      <c r="S118">
        <f t="shared" si="25"/>
        <v>329.52179999999998</v>
      </c>
      <c r="T118">
        <f t="shared" si="26"/>
        <v>1.4999439864667551E-2</v>
      </c>
      <c r="U118">
        <f t="shared" si="27"/>
        <v>1.9686764822376161E-3</v>
      </c>
      <c r="V118">
        <f t="shared" si="28"/>
        <v>2.6530259260630729E-2</v>
      </c>
      <c r="W118">
        <f t="shared" si="29"/>
        <v>5.9997759458670207E-3</v>
      </c>
      <c r="X118">
        <f t="shared" si="30"/>
        <v>9.7355739371607811E-2</v>
      </c>
      <c r="Y118">
        <f t="shared" si="31"/>
        <v>9.3746499154172199E-5</v>
      </c>
      <c r="Z118">
        <f t="shared" si="32"/>
        <v>1.9686764822376161E-3</v>
      </c>
      <c r="AA118">
        <f t="shared" si="33"/>
        <v>8.455681108158615E-2</v>
      </c>
      <c r="AB118">
        <f t="shared" si="34"/>
        <v>2.4289061705351937E-2</v>
      </c>
      <c r="AC118">
        <f t="shared" si="35"/>
        <v>3.2210453390881175E-2</v>
      </c>
      <c r="AD118">
        <f t="shared" si="36"/>
        <v>2.9454212569249363E-3</v>
      </c>
      <c r="AE118">
        <f t="shared" si="37"/>
        <v>1.5997090108666252E-2</v>
      </c>
      <c r="AG118">
        <f t="shared" si="38"/>
        <v>-0.96804981788222177</v>
      </c>
      <c r="AH118">
        <f t="shared" si="39"/>
        <v>0.16491340401506877</v>
      </c>
      <c r="AI118">
        <f t="shared" si="40"/>
        <v>-0.99259425282571367</v>
      </c>
      <c r="AK118" s="26">
        <f t="shared" si="41"/>
        <v>1.5492321756228528E-2</v>
      </c>
      <c r="AL118" s="26">
        <f t="shared" si="42"/>
        <v>2.9061672278466205E-2</v>
      </c>
      <c r="AM118" s="26">
        <f t="shared" si="43"/>
        <v>4.6346283110503983E-2</v>
      </c>
      <c r="AN118" s="26">
        <f t="shared" si="44"/>
        <v>21.666984126984111</v>
      </c>
      <c r="AO118" s="26">
        <f t="shared" si="45"/>
        <v>20.486105851979325</v>
      </c>
      <c r="AP118" s="26">
        <f t="shared" si="46"/>
        <v>17.734371208739283</v>
      </c>
      <c r="AS118" s="2">
        <v>45362</v>
      </c>
      <c r="AT118">
        <v>14.4</v>
      </c>
      <c r="AU118">
        <v>76</v>
      </c>
      <c r="AV118">
        <v>83.2</v>
      </c>
      <c r="AW118">
        <v>6.8</v>
      </c>
      <c r="AX118">
        <v>162.19999999999999</v>
      </c>
      <c r="AY118">
        <v>0.1</v>
      </c>
      <c r="AZ118">
        <v>2.9</v>
      </c>
      <c r="BA118">
        <v>214.12739999999999</v>
      </c>
      <c r="BB118">
        <v>80.8215</v>
      </c>
      <c r="BC118">
        <v>126.9965</v>
      </c>
      <c r="BD118">
        <v>3.9064000000000001</v>
      </c>
      <c r="BE118">
        <v>30.203600000000002</v>
      </c>
      <c r="BF118">
        <v>-19.002500000000001</v>
      </c>
      <c r="BG118">
        <v>-34.016100000000002</v>
      </c>
      <c r="BH118">
        <v>60.34</v>
      </c>
    </row>
    <row r="119" spans="1:60" x14ac:dyDescent="0.25">
      <c r="A119" s="2">
        <v>45382</v>
      </c>
      <c r="B119">
        <v>15.5</v>
      </c>
      <c r="C119">
        <v>2.8</v>
      </c>
      <c r="D119">
        <v>9.6</v>
      </c>
      <c r="E119">
        <v>2.4</v>
      </c>
      <c r="F119">
        <v>180.35</v>
      </c>
      <c r="G119">
        <v>0.1</v>
      </c>
      <c r="H119">
        <v>2.1</v>
      </c>
      <c r="I119">
        <v>96.693600000000004</v>
      </c>
      <c r="J119">
        <v>27.763400000000001</v>
      </c>
      <c r="K119">
        <v>31.142700000000001</v>
      </c>
      <c r="L119">
        <v>3.7181000000000002</v>
      </c>
      <c r="M119">
        <v>14.1225</v>
      </c>
      <c r="P119">
        <v>58.49</v>
      </c>
      <c r="S119">
        <f t="shared" si="25"/>
        <v>386.29029999999995</v>
      </c>
      <c r="T119">
        <f t="shared" si="26"/>
        <v>1.453070736889669E-2</v>
      </c>
      <c r="U119">
        <f t="shared" si="27"/>
        <v>2.624901976316821E-3</v>
      </c>
      <c r="V119">
        <f t="shared" si="28"/>
        <v>8.9996639188005302E-3</v>
      </c>
      <c r="W119">
        <f t="shared" si="29"/>
        <v>2.2499159797001326E-3</v>
      </c>
      <c r="X119">
        <f t="shared" si="30"/>
        <v>0.16907181122454953</v>
      </c>
      <c r="Y119">
        <f t="shared" si="31"/>
        <v>9.3746499154172199E-5</v>
      </c>
      <c r="Z119">
        <f t="shared" si="32"/>
        <v>1.9686764822376161E-3</v>
      </c>
      <c r="AA119">
        <f t="shared" si="33"/>
        <v>9.0646864906138644E-2</v>
      </c>
      <c r="AB119">
        <f t="shared" si="34"/>
        <v>2.6027215546169442E-2</v>
      </c>
      <c r="AC119">
        <f t="shared" si="35"/>
        <v>2.9195190992086385E-2</v>
      </c>
      <c r="AD119">
        <f t="shared" si="36"/>
        <v>3.4855885850512765E-3</v>
      </c>
      <c r="AE119">
        <f t="shared" si="37"/>
        <v>1.3239349343047968E-2</v>
      </c>
      <c r="AG119">
        <f t="shared" si="38"/>
        <v>-1.0030412636324615</v>
      </c>
      <c r="AH119">
        <f t="shared" si="39"/>
        <v>0.21277877279270346</v>
      </c>
      <c r="AI119">
        <f t="shared" si="40"/>
        <v>-0.64179657943361634</v>
      </c>
      <c r="AK119" s="26">
        <f t="shared" si="41"/>
        <v>2.4521411659485792E-2</v>
      </c>
      <c r="AL119" s="26">
        <f t="shared" si="42"/>
        <v>3.105419129089157E-2</v>
      </c>
      <c r="AM119" s="26">
        <f t="shared" si="43"/>
        <v>4.7484097147302118E-2</v>
      </c>
      <c r="AN119" s="26">
        <f t="shared" si="44"/>
        <v>21.676349206349194</v>
      </c>
      <c r="AO119" s="26">
        <f t="shared" si="45"/>
        <v>20.400475473321833</v>
      </c>
      <c r="AP119" s="26">
        <f t="shared" si="46"/>
        <v>17.655892439799402</v>
      </c>
      <c r="AS119" s="2">
        <v>45361</v>
      </c>
      <c r="AT119">
        <v>13.3</v>
      </c>
      <c r="AU119">
        <v>0</v>
      </c>
      <c r="AV119">
        <v>99</v>
      </c>
      <c r="AW119">
        <v>10.6</v>
      </c>
      <c r="AX119">
        <v>147.04</v>
      </c>
      <c r="AY119">
        <v>0.1</v>
      </c>
      <c r="AZ119">
        <v>2.8</v>
      </c>
      <c r="BA119">
        <v>102.22190000000001</v>
      </c>
      <c r="BB119">
        <v>54.586799999999997</v>
      </c>
      <c r="BC119">
        <v>47.763100000000001</v>
      </c>
      <c r="BD119">
        <v>3.9106000000000001</v>
      </c>
      <c r="BE119">
        <v>11.578200000000001</v>
      </c>
      <c r="BH119">
        <v>60.58</v>
      </c>
    </row>
    <row r="120" spans="1:60" x14ac:dyDescent="0.25">
      <c r="A120" s="2">
        <v>45381</v>
      </c>
      <c r="B120">
        <v>15.5</v>
      </c>
      <c r="C120">
        <v>2.9</v>
      </c>
      <c r="D120">
        <v>27</v>
      </c>
      <c r="E120">
        <v>4.4000000000000004</v>
      </c>
      <c r="F120">
        <v>180.79</v>
      </c>
      <c r="G120">
        <v>0.1</v>
      </c>
      <c r="H120">
        <v>2.1</v>
      </c>
      <c r="I120">
        <v>128.3528</v>
      </c>
      <c r="J120">
        <v>34.926200000000001</v>
      </c>
      <c r="K120">
        <v>47.365000000000002</v>
      </c>
      <c r="L120">
        <v>3.7648999999999999</v>
      </c>
      <c r="M120">
        <v>16.581800000000001</v>
      </c>
      <c r="P120">
        <v>58.73</v>
      </c>
      <c r="S120">
        <f t="shared" si="25"/>
        <v>463.78069999999997</v>
      </c>
      <c r="T120">
        <f t="shared" si="26"/>
        <v>1.453070736889669E-2</v>
      </c>
      <c r="U120">
        <f t="shared" si="27"/>
        <v>2.7186484754709935E-3</v>
      </c>
      <c r="V120">
        <f t="shared" si="28"/>
        <v>2.5311554771626492E-2</v>
      </c>
      <c r="W120">
        <f t="shared" si="29"/>
        <v>4.1248459627835771E-3</v>
      </c>
      <c r="X120">
        <f t="shared" si="30"/>
        <v>0.16948429582082788</v>
      </c>
      <c r="Y120">
        <f t="shared" si="31"/>
        <v>9.3746499154172199E-5</v>
      </c>
      <c r="Z120">
        <f t="shared" si="32"/>
        <v>1.9686764822376161E-3</v>
      </c>
      <c r="AA120">
        <f t="shared" si="33"/>
        <v>0.12032625656635633</v>
      </c>
      <c r="AB120">
        <f t="shared" si="34"/>
        <v>3.2742089787584486E-2</v>
      </c>
      <c r="AC120">
        <f t="shared" si="35"/>
        <v>4.4403029324373663E-2</v>
      </c>
      <c r="AD120">
        <f t="shared" si="36"/>
        <v>3.5294619466554288E-3</v>
      </c>
      <c r="AE120">
        <f t="shared" si="37"/>
        <v>1.5544856996746525E-2</v>
      </c>
      <c r="AG120">
        <f t="shared" si="38"/>
        <v>-0.99094711936928359</v>
      </c>
      <c r="AH120">
        <f t="shared" si="39"/>
        <v>0.23377733237774392</v>
      </c>
      <c r="AI120">
        <f t="shared" si="40"/>
        <v>-0.48705635689154969</v>
      </c>
      <c r="AK120" s="26">
        <f t="shared" si="41"/>
        <v>2.7919418693732018E-2</v>
      </c>
      <c r="AL120" s="26">
        <f t="shared" si="42"/>
        <v>3.2079403651056382E-2</v>
      </c>
      <c r="AM120" s="26">
        <f t="shared" si="43"/>
        <v>4.8044035447407929E-2</v>
      </c>
      <c r="AN120" s="26">
        <f t="shared" si="44"/>
        <v>21.709682539682518</v>
      </c>
      <c r="AO120" s="26">
        <f t="shared" si="45"/>
        <v>20.322385972461248</v>
      </c>
      <c r="AP120" s="26">
        <f t="shared" si="46"/>
        <v>17.577928100627624</v>
      </c>
      <c r="AS120" s="2">
        <v>45360</v>
      </c>
      <c r="AT120">
        <v>13.9</v>
      </c>
      <c r="AU120">
        <v>0</v>
      </c>
      <c r="AV120">
        <v>102.2</v>
      </c>
      <c r="AW120">
        <v>10.3</v>
      </c>
      <c r="AX120">
        <v>241.42</v>
      </c>
      <c r="AY120">
        <v>0.1</v>
      </c>
      <c r="AZ120">
        <v>2.8</v>
      </c>
      <c r="BA120">
        <v>94.448999999999998</v>
      </c>
      <c r="BB120">
        <v>48.479700000000001</v>
      </c>
      <c r="BC120">
        <v>55.641800000000003</v>
      </c>
      <c r="BD120">
        <v>3.9203999999999999</v>
      </c>
      <c r="BE120">
        <v>22.166899999999998</v>
      </c>
      <c r="BH120">
        <v>60.66</v>
      </c>
    </row>
    <row r="121" spans="1:60" x14ac:dyDescent="0.25">
      <c r="A121" s="2">
        <v>45380</v>
      </c>
      <c r="B121">
        <v>15.7</v>
      </c>
      <c r="C121">
        <v>42.9</v>
      </c>
      <c r="D121">
        <v>69.599999999999994</v>
      </c>
      <c r="E121">
        <v>9.4</v>
      </c>
      <c r="F121">
        <v>147.69</v>
      </c>
      <c r="G121">
        <v>0.1</v>
      </c>
      <c r="H121">
        <v>2.2999999999999998</v>
      </c>
      <c r="I121">
        <v>94.897300000000001</v>
      </c>
      <c r="J121">
        <v>32.112900000000003</v>
      </c>
      <c r="K121">
        <v>34.626899999999999</v>
      </c>
      <c r="L121">
        <v>3.7765</v>
      </c>
      <c r="M121">
        <v>23.683</v>
      </c>
      <c r="N121">
        <v>-26.802199999999999</v>
      </c>
      <c r="O121">
        <v>-44.603000000000002</v>
      </c>
      <c r="P121">
        <v>58.71</v>
      </c>
      <c r="S121">
        <f t="shared" si="25"/>
        <v>476.78660000000002</v>
      </c>
      <c r="T121">
        <f t="shared" si="26"/>
        <v>1.4718200367205033E-2</v>
      </c>
      <c r="U121">
        <f t="shared" si="27"/>
        <v>4.0217248137139866E-2</v>
      </c>
      <c r="V121">
        <f t="shared" si="28"/>
        <v>6.5247563411303833E-2</v>
      </c>
      <c r="W121">
        <f t="shared" si="29"/>
        <v>8.8121709204921871E-3</v>
      </c>
      <c r="X121">
        <f t="shared" si="30"/>
        <v>0.13845420460079691</v>
      </c>
      <c r="Y121">
        <f t="shared" si="31"/>
        <v>9.3746499154172199E-5</v>
      </c>
      <c r="Z121">
        <f t="shared" si="32"/>
        <v>2.1561694805459601E-3</v>
      </c>
      <c r="AA121">
        <f t="shared" si="33"/>
        <v>8.8962896541832245E-2</v>
      </c>
      <c r="AB121">
        <f t="shared" si="34"/>
        <v>3.0104719526880163E-2</v>
      </c>
      <c r="AC121">
        <f t="shared" si="35"/>
        <v>3.2461506515616051E-2</v>
      </c>
      <c r="AD121">
        <f t="shared" si="36"/>
        <v>3.5403365405573127E-3</v>
      </c>
      <c r="AE121">
        <f t="shared" si="37"/>
        <v>2.2201983394682601E-2</v>
      </c>
      <c r="AG121">
        <f t="shared" si="38"/>
        <v>-0.99133161671992831</v>
      </c>
      <c r="AH121">
        <f t="shared" si="39"/>
        <v>0.29190128681132055</v>
      </c>
      <c r="AI121">
        <f t="shared" si="40"/>
        <v>-5.7364329252242531E-2</v>
      </c>
      <c r="AK121" s="26">
        <f t="shared" si="41"/>
        <v>3.6459942020468761E-2</v>
      </c>
      <c r="AL121" s="26">
        <f t="shared" si="42"/>
        <v>3.2701932401669631E-2</v>
      </c>
      <c r="AM121" s="26">
        <f t="shared" si="43"/>
        <v>4.8173780356060736E-2</v>
      </c>
      <c r="AN121" s="26">
        <f t="shared" si="44"/>
        <v>21.726031746031722</v>
      </c>
      <c r="AO121" s="26">
        <f t="shared" si="45"/>
        <v>20.237074010326985</v>
      </c>
      <c r="AP121" s="26">
        <f t="shared" si="46"/>
        <v>17.495036895039533</v>
      </c>
      <c r="AS121" s="2">
        <v>45359</v>
      </c>
      <c r="AT121">
        <v>15.2</v>
      </c>
      <c r="AU121">
        <v>0</v>
      </c>
      <c r="AV121">
        <v>71.8</v>
      </c>
      <c r="AW121">
        <v>10.5</v>
      </c>
      <c r="AX121">
        <v>260.42</v>
      </c>
      <c r="AY121">
        <v>0.1</v>
      </c>
      <c r="AZ121">
        <v>2.8</v>
      </c>
      <c r="BA121">
        <v>163.1892</v>
      </c>
      <c r="BB121">
        <v>50.542499999999997</v>
      </c>
      <c r="BC121">
        <v>88.242699999999999</v>
      </c>
      <c r="BD121">
        <v>3.7473999999999998</v>
      </c>
      <c r="BE121">
        <v>30.362300000000001</v>
      </c>
      <c r="BF121">
        <v>-19.4832</v>
      </c>
      <c r="BG121">
        <v>-34.162399999999998</v>
      </c>
      <c r="BH121">
        <v>60.77</v>
      </c>
    </row>
    <row r="122" spans="1:60" x14ac:dyDescent="0.25">
      <c r="A122" s="2">
        <v>45379</v>
      </c>
      <c r="B122">
        <v>16.399999999999999</v>
      </c>
      <c r="C122">
        <v>4.5</v>
      </c>
      <c r="D122">
        <v>37.799999999999997</v>
      </c>
      <c r="E122">
        <v>10.1</v>
      </c>
      <c r="F122">
        <v>158.72999999999999</v>
      </c>
      <c r="G122">
        <v>0.5</v>
      </c>
      <c r="H122">
        <v>2.2000000000000002</v>
      </c>
      <c r="I122">
        <v>118.4903</v>
      </c>
      <c r="J122">
        <v>42.493600000000001</v>
      </c>
      <c r="K122">
        <v>67.849699999999999</v>
      </c>
      <c r="L122">
        <v>3.9533</v>
      </c>
      <c r="M122">
        <v>20.5365</v>
      </c>
      <c r="N122">
        <v>-26.7896</v>
      </c>
      <c r="O122">
        <v>-44.561799999999998</v>
      </c>
      <c r="P122">
        <v>58.71</v>
      </c>
      <c r="S122">
        <f t="shared" si="25"/>
        <v>483.55339999999995</v>
      </c>
      <c r="T122">
        <f t="shared" si="26"/>
        <v>1.5374425861284237E-2</v>
      </c>
      <c r="U122">
        <f t="shared" si="27"/>
        <v>4.2185924619377486E-3</v>
      </c>
      <c r="V122">
        <f t="shared" si="28"/>
        <v>3.5436176680277084E-2</v>
      </c>
      <c r="W122">
        <f t="shared" si="29"/>
        <v>9.4683964145713916E-3</v>
      </c>
      <c r="X122">
        <f t="shared" si="30"/>
        <v>0.1488038181074175</v>
      </c>
      <c r="Y122">
        <f t="shared" si="31"/>
        <v>4.6873249577086097E-4</v>
      </c>
      <c r="Z122">
        <f t="shared" si="32"/>
        <v>2.0624229813917885E-3</v>
      </c>
      <c r="AA122">
        <f t="shared" si="33"/>
        <v>0.1110805080872761</v>
      </c>
      <c r="AB122">
        <f t="shared" si="34"/>
        <v>3.9836262364577317E-2</v>
      </c>
      <c r="AC122">
        <f t="shared" si="35"/>
        <v>6.3606718436608367E-2</v>
      </c>
      <c r="AD122">
        <f t="shared" si="36"/>
        <v>3.7060803510618892E-3</v>
      </c>
      <c r="AE122">
        <f t="shared" si="37"/>
        <v>1.9252249798796573E-2</v>
      </c>
      <c r="AG122">
        <f t="shared" si="38"/>
        <v>-0.99073150715773339</v>
      </c>
      <c r="AH122">
        <f t="shared" si="39"/>
        <v>0.23508481480144719</v>
      </c>
      <c r="AI122">
        <f t="shared" si="40"/>
        <v>-0.47578757449197645</v>
      </c>
      <c r="AK122" s="26">
        <f t="shared" si="41"/>
        <v>4.1838017968659297E-2</v>
      </c>
      <c r="AL122" s="26">
        <f t="shared" si="42"/>
        <v>3.3251024949151803E-2</v>
      </c>
      <c r="AM122" s="26">
        <f t="shared" si="43"/>
        <v>4.7793337122191026E-2</v>
      </c>
      <c r="AN122" s="26">
        <f t="shared" si="44"/>
        <v>21.728888888888875</v>
      </c>
      <c r="AO122" s="26">
        <f t="shared" si="45"/>
        <v>20.147071858863995</v>
      </c>
      <c r="AP122" s="26">
        <f t="shared" si="46"/>
        <v>17.410698248470389</v>
      </c>
      <c r="AS122" s="2">
        <v>45358</v>
      </c>
      <c r="AT122">
        <v>16.5</v>
      </c>
      <c r="AU122">
        <v>0</v>
      </c>
      <c r="AV122">
        <v>38.4</v>
      </c>
      <c r="AW122">
        <v>5.2</v>
      </c>
      <c r="AX122">
        <v>140.47</v>
      </c>
      <c r="AY122">
        <v>0.1</v>
      </c>
      <c r="AZ122">
        <v>2.8</v>
      </c>
      <c r="BA122">
        <v>335.93520000000001</v>
      </c>
      <c r="BB122">
        <v>97.063400000000001</v>
      </c>
      <c r="BC122">
        <v>138.60740000000001</v>
      </c>
      <c r="BD122">
        <v>3.9077999999999999</v>
      </c>
      <c r="BE122">
        <v>25.657499999999999</v>
      </c>
      <c r="BF122">
        <v>-16.329499999999999</v>
      </c>
      <c r="BG122">
        <v>-31.9711</v>
      </c>
      <c r="BH122">
        <v>61</v>
      </c>
    </row>
    <row r="123" spans="1:60" x14ac:dyDescent="0.25">
      <c r="A123" s="2">
        <v>45378</v>
      </c>
      <c r="B123">
        <v>15.7</v>
      </c>
      <c r="C123">
        <v>4.0999999999999996</v>
      </c>
      <c r="D123">
        <v>39.6</v>
      </c>
      <c r="E123">
        <v>3.7</v>
      </c>
      <c r="F123">
        <v>192.83</v>
      </c>
      <c r="G123">
        <v>0.4</v>
      </c>
      <c r="H123">
        <v>2.4</v>
      </c>
      <c r="I123">
        <v>160.9212</v>
      </c>
      <c r="J123">
        <v>64.340900000000005</v>
      </c>
      <c r="K123">
        <v>98.614500000000007</v>
      </c>
      <c r="L123">
        <v>3.1819999999999999</v>
      </c>
      <c r="M123">
        <v>37.502800000000001</v>
      </c>
      <c r="N123">
        <v>-26.827500000000001</v>
      </c>
      <c r="O123">
        <v>-45.235399999999998</v>
      </c>
      <c r="P123">
        <v>58.81</v>
      </c>
      <c r="S123">
        <f t="shared" si="25"/>
        <v>623.29139999999995</v>
      </c>
      <c r="T123">
        <f t="shared" si="26"/>
        <v>1.4718200367205033E-2</v>
      </c>
      <c r="U123">
        <f t="shared" si="27"/>
        <v>3.8436064653210593E-3</v>
      </c>
      <c r="V123">
        <f t="shared" si="28"/>
        <v>3.7123613665052187E-2</v>
      </c>
      <c r="W123">
        <f t="shared" si="29"/>
        <v>3.4686204687043713E-3</v>
      </c>
      <c r="X123">
        <f t="shared" si="30"/>
        <v>0.18077137431899024</v>
      </c>
      <c r="Y123">
        <f t="shared" si="31"/>
        <v>3.7498599661668879E-4</v>
      </c>
      <c r="Z123">
        <f t="shared" si="32"/>
        <v>2.2499159797001326E-3</v>
      </c>
      <c r="AA123">
        <f t="shared" si="33"/>
        <v>0.15085799139688374</v>
      </c>
      <c r="AB123">
        <f t="shared" si="34"/>
        <v>6.0317341274286777E-2</v>
      </c>
      <c r="AC123">
        <f t="shared" si="35"/>
        <v>9.2447641408391137E-2</v>
      </c>
      <c r="AD123">
        <f t="shared" si="36"/>
        <v>2.9830136030857589E-3</v>
      </c>
      <c r="AE123">
        <f t="shared" si="37"/>
        <v>3.5157562084790886E-2</v>
      </c>
      <c r="AG123">
        <f t="shared" si="38"/>
        <v>-0.98531589385054474</v>
      </c>
      <c r="AH123">
        <f t="shared" si="39"/>
        <v>0.27770787934638064</v>
      </c>
      <c r="AI123">
        <f t="shared" si="40"/>
        <v>-0.16099741342590948</v>
      </c>
      <c r="AK123" s="26">
        <f t="shared" si="41"/>
        <v>4.395334076028809E-2</v>
      </c>
      <c r="AL123" s="26">
        <f t="shared" si="42"/>
        <v>3.6262226135848868E-2</v>
      </c>
      <c r="AM123" s="26">
        <f t="shared" si="43"/>
        <v>4.8565364628117946E-2</v>
      </c>
      <c r="AN123" s="26">
        <f t="shared" si="44"/>
        <v>21.721587301587284</v>
      </c>
      <c r="AO123" s="26">
        <f t="shared" si="45"/>
        <v>20.054219018932841</v>
      </c>
      <c r="AP123" s="26">
        <f t="shared" si="46"/>
        <v>17.325946009821187</v>
      </c>
      <c r="AS123" s="2">
        <v>45357</v>
      </c>
      <c r="AT123">
        <v>17.100000000000001</v>
      </c>
      <c r="AU123">
        <v>2.4</v>
      </c>
      <c r="AV123">
        <v>40.6</v>
      </c>
      <c r="AW123">
        <v>1.7</v>
      </c>
      <c r="AX123">
        <v>122.03</v>
      </c>
      <c r="AY123">
        <v>0.2</v>
      </c>
      <c r="AZ123">
        <v>2.6</v>
      </c>
      <c r="BA123">
        <v>384.03480000000002</v>
      </c>
      <c r="BB123">
        <v>135.86689999999999</v>
      </c>
      <c r="BC123">
        <v>171.21119999999999</v>
      </c>
      <c r="BD123">
        <v>3.6806000000000001</v>
      </c>
      <c r="BE123">
        <v>27.6266</v>
      </c>
      <c r="BF123">
        <v>-15.1896</v>
      </c>
      <c r="BG123">
        <v>-30.725100000000001</v>
      </c>
      <c r="BH123">
        <v>61.28</v>
      </c>
    </row>
    <row r="124" spans="1:60" x14ac:dyDescent="0.25">
      <c r="A124" s="2">
        <v>45377</v>
      </c>
      <c r="B124">
        <v>16.100000000000001</v>
      </c>
      <c r="C124">
        <v>48.8</v>
      </c>
      <c r="D124">
        <v>44.3</v>
      </c>
      <c r="E124">
        <v>7.5</v>
      </c>
      <c r="F124">
        <v>237.89</v>
      </c>
      <c r="G124">
        <v>0.3</v>
      </c>
      <c r="H124">
        <v>2.2000000000000002</v>
      </c>
      <c r="I124">
        <v>202.2833</v>
      </c>
      <c r="J124">
        <v>64.253</v>
      </c>
      <c r="K124">
        <v>98.078199999999995</v>
      </c>
      <c r="L124">
        <v>4.6269999999999998</v>
      </c>
      <c r="M124">
        <v>26.914300000000001</v>
      </c>
      <c r="N124">
        <v>-23.886099999999999</v>
      </c>
      <c r="O124">
        <v>-41.2241</v>
      </c>
      <c r="P124">
        <v>58.91</v>
      </c>
      <c r="S124">
        <f t="shared" si="25"/>
        <v>753.24580000000003</v>
      </c>
      <c r="T124">
        <f t="shared" si="26"/>
        <v>1.5093186363821724E-2</v>
      </c>
      <c r="U124">
        <f t="shared" si="27"/>
        <v>4.5748291587236027E-2</v>
      </c>
      <c r="V124">
        <f t="shared" si="28"/>
        <v>4.1529699125298275E-2</v>
      </c>
      <c r="W124">
        <f t="shared" si="29"/>
        <v>7.0309874365629141E-3</v>
      </c>
      <c r="X124">
        <f t="shared" si="30"/>
        <v>0.2230135468378602</v>
      </c>
      <c r="Y124">
        <f t="shared" si="31"/>
        <v>2.8123949746251657E-4</v>
      </c>
      <c r="Z124">
        <f t="shared" si="32"/>
        <v>2.0624229813917885E-3</v>
      </c>
      <c r="AA124">
        <f t="shared" si="33"/>
        <v>0.18963351212353161</v>
      </c>
      <c r="AB124">
        <f t="shared" si="34"/>
        <v>6.0234938101530258E-2</v>
      </c>
      <c r="AC124">
        <f t="shared" si="35"/>
        <v>9.1944878933427301E-2</v>
      </c>
      <c r="AD124">
        <f t="shared" si="36"/>
        <v>4.3376505158635474E-3</v>
      </c>
      <c r="AE124">
        <f t="shared" si="37"/>
        <v>2.5231214021851366E-2</v>
      </c>
      <c r="AG124">
        <f t="shared" si="38"/>
        <v>-0.97989819043399129</v>
      </c>
      <c r="AH124">
        <f t="shared" si="39"/>
        <v>0.3599905878514848</v>
      </c>
      <c r="AI124">
        <f t="shared" si="40"/>
        <v>0.44620191454398439</v>
      </c>
      <c r="AK124" s="26">
        <f t="shared" si="41"/>
        <v>4.0193966268476961E-2</v>
      </c>
      <c r="AL124" s="26">
        <f t="shared" si="42"/>
        <v>3.6799579515971292E-2</v>
      </c>
      <c r="AM124" s="26">
        <f t="shared" si="43"/>
        <v>5.1051359112209954E-2</v>
      </c>
      <c r="AN124" s="26">
        <f t="shared" si="44"/>
        <v>21.705079365079364</v>
      </c>
      <c r="AO124" s="26">
        <f t="shared" si="45"/>
        <v>19.958401462994807</v>
      </c>
      <c r="AP124" s="26">
        <f t="shared" si="46"/>
        <v>17.241346603292982</v>
      </c>
      <c r="AS124" s="2">
        <v>45356</v>
      </c>
      <c r="AT124">
        <v>15.3</v>
      </c>
      <c r="AU124">
        <v>1.9</v>
      </c>
      <c r="AV124">
        <v>72.099999999999994</v>
      </c>
      <c r="AW124">
        <v>4</v>
      </c>
      <c r="AX124">
        <v>77.47</v>
      </c>
      <c r="AY124">
        <v>0.5</v>
      </c>
      <c r="AZ124">
        <v>2.5</v>
      </c>
      <c r="BA124">
        <v>376.12990000000002</v>
      </c>
      <c r="BB124">
        <v>122.60550000000001</v>
      </c>
      <c r="BC124">
        <v>174.63749999999999</v>
      </c>
      <c r="BD124">
        <v>3.8136000000000001</v>
      </c>
      <c r="BE124">
        <v>20.883299999999998</v>
      </c>
      <c r="BF124">
        <v>-17.770099999999999</v>
      </c>
      <c r="BG124">
        <v>-32.456099999999999</v>
      </c>
      <c r="BH124">
        <v>61.6</v>
      </c>
    </row>
    <row r="125" spans="1:60" x14ac:dyDescent="0.25">
      <c r="A125" s="2">
        <v>45376</v>
      </c>
      <c r="B125">
        <v>16.399999999999999</v>
      </c>
      <c r="C125">
        <v>1.3</v>
      </c>
      <c r="D125">
        <v>16.899999999999999</v>
      </c>
      <c r="E125">
        <v>5.2</v>
      </c>
      <c r="F125">
        <v>232.1</v>
      </c>
      <c r="G125">
        <v>0.5</v>
      </c>
      <c r="H125">
        <v>2.2000000000000002</v>
      </c>
      <c r="I125">
        <v>230.66929999999999</v>
      </c>
      <c r="J125">
        <v>54.963099999999997</v>
      </c>
      <c r="K125">
        <v>131.91829999999999</v>
      </c>
      <c r="L125">
        <v>3.9981</v>
      </c>
      <c r="M125">
        <v>37.521000000000001</v>
      </c>
      <c r="N125">
        <v>-22.825700000000001</v>
      </c>
      <c r="O125">
        <v>-38.264099999999999</v>
      </c>
      <c r="P125">
        <v>59.01</v>
      </c>
      <c r="S125">
        <f t="shared" si="25"/>
        <v>733.6697999999999</v>
      </c>
      <c r="T125">
        <f t="shared" si="26"/>
        <v>1.5374425861284237E-2</v>
      </c>
      <c r="U125">
        <f t="shared" si="27"/>
        <v>1.2187044890042385E-3</v>
      </c>
      <c r="V125">
        <f t="shared" si="28"/>
        <v>1.58431583570551E-2</v>
      </c>
      <c r="W125">
        <f t="shared" si="29"/>
        <v>4.874817956016954E-3</v>
      </c>
      <c r="X125">
        <f t="shared" si="30"/>
        <v>0.21758562453683364</v>
      </c>
      <c r="Y125">
        <f t="shared" si="31"/>
        <v>4.6873249577086097E-4</v>
      </c>
      <c r="Z125">
        <f t="shared" si="32"/>
        <v>2.0624229813917885E-3</v>
      </c>
      <c r="AA125">
        <f t="shared" si="33"/>
        <v>0.2162443933734349</v>
      </c>
      <c r="AB125">
        <f t="shared" si="34"/>
        <v>5.1525982076606816E-2</v>
      </c>
      <c r="AC125">
        <f t="shared" si="35"/>
        <v>0.12366878799369832</v>
      </c>
      <c r="AD125">
        <f t="shared" si="36"/>
        <v>3.7480787826829585E-3</v>
      </c>
      <c r="AE125">
        <f t="shared" si="37"/>
        <v>3.517462394763695E-2</v>
      </c>
      <c r="AG125">
        <f t="shared" si="38"/>
        <v>-0.97449555949659394</v>
      </c>
      <c r="AH125">
        <f t="shared" si="39"/>
        <v>0.29260251062499376</v>
      </c>
      <c r="AI125">
        <f t="shared" si="40"/>
        <v>-5.0317944585230513E-2</v>
      </c>
      <c r="AK125" s="26">
        <f t="shared" si="41"/>
        <v>3.4535496029355878E-2</v>
      </c>
      <c r="AL125" s="26">
        <f t="shared" si="42"/>
        <v>3.6699250148941265E-2</v>
      </c>
      <c r="AM125" s="26">
        <f t="shared" si="43"/>
        <v>5.0701130174876097E-2</v>
      </c>
      <c r="AN125" s="26">
        <f t="shared" si="44"/>
        <v>21.682857142857131</v>
      </c>
      <c r="AO125" s="26">
        <f t="shared" si="45"/>
        <v>19.857512908777942</v>
      </c>
      <c r="AP125" s="26">
        <f t="shared" si="46"/>
        <v>17.157285260366095</v>
      </c>
      <c r="AS125" s="2">
        <v>45355</v>
      </c>
      <c r="AT125">
        <v>15.9</v>
      </c>
      <c r="AU125">
        <v>14.1</v>
      </c>
      <c r="AV125">
        <v>33.799999999999997</v>
      </c>
      <c r="AW125">
        <v>3.1</v>
      </c>
      <c r="AX125">
        <v>106.77</v>
      </c>
      <c r="AY125">
        <v>0.5</v>
      </c>
      <c r="AZ125">
        <v>2.6</v>
      </c>
      <c r="BA125">
        <v>332.49279999999999</v>
      </c>
      <c r="BB125">
        <v>103.6074</v>
      </c>
      <c r="BC125">
        <v>144.83080000000001</v>
      </c>
      <c r="BD125">
        <v>3.4803000000000002</v>
      </c>
      <c r="BE125">
        <v>31.832100000000001</v>
      </c>
      <c r="BF125">
        <v>-19.657499999999999</v>
      </c>
      <c r="BG125">
        <v>-33.001399999999997</v>
      </c>
      <c r="BH125">
        <v>61.87</v>
      </c>
    </row>
    <row r="126" spans="1:60" x14ac:dyDescent="0.25">
      <c r="A126" s="2">
        <v>45375</v>
      </c>
      <c r="B126">
        <v>16.399999999999999</v>
      </c>
      <c r="C126">
        <v>10.3</v>
      </c>
      <c r="D126">
        <v>80.099999999999994</v>
      </c>
      <c r="E126">
        <v>11.9</v>
      </c>
      <c r="F126">
        <v>132.78</v>
      </c>
      <c r="G126">
        <v>0.4</v>
      </c>
      <c r="H126">
        <v>2.1</v>
      </c>
      <c r="I126">
        <v>98.229200000000006</v>
      </c>
      <c r="J126">
        <v>18.7989</v>
      </c>
      <c r="K126">
        <v>33.697400000000002</v>
      </c>
      <c r="L126">
        <v>3.9108000000000001</v>
      </c>
      <c r="M126">
        <v>9.0695999999999994</v>
      </c>
      <c r="P126">
        <v>59.17</v>
      </c>
      <c r="S126">
        <f t="shared" si="25"/>
        <v>417.6859</v>
      </c>
      <c r="T126">
        <f t="shared" si="26"/>
        <v>1.5374425861284237E-2</v>
      </c>
      <c r="U126">
        <f t="shared" si="27"/>
        <v>9.6558894128797364E-3</v>
      </c>
      <c r="V126">
        <f t="shared" si="28"/>
        <v>7.5090945822491914E-2</v>
      </c>
      <c r="W126">
        <f t="shared" si="29"/>
        <v>1.115583339934649E-2</v>
      </c>
      <c r="X126">
        <f t="shared" si="30"/>
        <v>0.12447660157690983</v>
      </c>
      <c r="Y126">
        <f t="shared" si="31"/>
        <v>3.7498599661668879E-4</v>
      </c>
      <c r="Z126">
        <f t="shared" si="32"/>
        <v>1.9686764822376161E-3</v>
      </c>
      <c r="AA126">
        <f t="shared" si="33"/>
        <v>9.2086436147150119E-2</v>
      </c>
      <c r="AB126">
        <f t="shared" si="34"/>
        <v>1.7623310629493676E-2</v>
      </c>
      <c r="AC126">
        <f t="shared" si="35"/>
        <v>3.159013280597802E-2</v>
      </c>
      <c r="AD126">
        <f t="shared" si="36"/>
        <v>3.666238088921366E-3</v>
      </c>
      <c r="AE126">
        <f t="shared" si="37"/>
        <v>8.5024324872868002E-3</v>
      </c>
      <c r="AG126">
        <f t="shared" si="38"/>
        <v>-0.9662116876893837</v>
      </c>
      <c r="AH126">
        <f t="shared" si="39"/>
        <v>0.24659979103905333</v>
      </c>
      <c r="AI126">
        <f t="shared" si="40"/>
        <v>-0.38813080728389976</v>
      </c>
      <c r="AK126" s="26">
        <f t="shared" si="41"/>
        <v>3.5116340409877128E-2</v>
      </c>
      <c r="AL126" s="26">
        <f t="shared" si="42"/>
        <v>3.7610719829242384E-2</v>
      </c>
      <c r="AM126" s="26">
        <f t="shared" si="43"/>
        <v>5.0854688577564811E-2</v>
      </c>
      <c r="AN126" s="26">
        <f t="shared" si="44"/>
        <v>21.646825396825399</v>
      </c>
      <c r="AO126" s="26">
        <f t="shared" si="45"/>
        <v>19.753532702237507</v>
      </c>
      <c r="AP126" s="26">
        <f t="shared" si="46"/>
        <v>17.072931120506325</v>
      </c>
      <c r="AS126" s="2">
        <v>45354</v>
      </c>
      <c r="AT126">
        <v>16.100000000000001</v>
      </c>
      <c r="AU126">
        <v>2.7</v>
      </c>
      <c r="AV126">
        <v>67.900000000000006</v>
      </c>
      <c r="AW126">
        <v>6.1</v>
      </c>
      <c r="AX126">
        <v>201.91</v>
      </c>
      <c r="AY126">
        <v>0.5</v>
      </c>
      <c r="AZ126">
        <v>2.7</v>
      </c>
      <c r="BA126">
        <v>192.77269999999999</v>
      </c>
      <c r="BB126">
        <v>55.158799999999999</v>
      </c>
      <c r="BC126">
        <v>75.947900000000004</v>
      </c>
      <c r="BD126">
        <v>3.9100999999999999</v>
      </c>
      <c r="BE126">
        <v>12.5831</v>
      </c>
      <c r="BH126">
        <v>62.09</v>
      </c>
    </row>
    <row r="127" spans="1:60" x14ac:dyDescent="0.25">
      <c r="A127" s="2">
        <v>45374</v>
      </c>
      <c r="B127">
        <v>17.2</v>
      </c>
      <c r="C127">
        <v>25.2</v>
      </c>
      <c r="D127">
        <v>72.5</v>
      </c>
      <c r="E127">
        <v>7</v>
      </c>
      <c r="F127">
        <v>152.66</v>
      </c>
      <c r="G127">
        <v>0.5</v>
      </c>
      <c r="H127">
        <v>2.2999999999999998</v>
      </c>
      <c r="I127">
        <v>113.5613</v>
      </c>
      <c r="J127">
        <v>22.855699999999999</v>
      </c>
      <c r="K127">
        <v>61.515300000000003</v>
      </c>
      <c r="L127">
        <v>3.9211999999999998</v>
      </c>
      <c r="M127">
        <v>27.6328</v>
      </c>
      <c r="P127">
        <v>59.2</v>
      </c>
      <c r="S127">
        <f t="shared" si="25"/>
        <v>506.84630000000004</v>
      </c>
      <c r="T127">
        <f t="shared" si="26"/>
        <v>1.6124397854517615E-2</v>
      </c>
      <c r="U127">
        <f t="shared" si="27"/>
        <v>2.3624117786851393E-2</v>
      </c>
      <c r="V127">
        <f t="shared" si="28"/>
        <v>6.7966211886774833E-2</v>
      </c>
      <c r="W127">
        <f t="shared" si="29"/>
        <v>6.5622549407920536E-3</v>
      </c>
      <c r="X127">
        <f t="shared" si="30"/>
        <v>0.14311340560875926</v>
      </c>
      <c r="Y127">
        <f t="shared" si="31"/>
        <v>4.6873249577086097E-4</v>
      </c>
      <c r="Z127">
        <f t="shared" si="32"/>
        <v>2.1561694805459601E-3</v>
      </c>
      <c r="AA127">
        <f t="shared" si="33"/>
        <v>0.10645974314396695</v>
      </c>
      <c r="AB127">
        <f t="shared" si="34"/>
        <v>2.1426418607180132E-2</v>
      </c>
      <c r="AC127">
        <f t="shared" si="35"/>
        <v>5.7668440194186488E-2</v>
      </c>
      <c r="AD127">
        <f t="shared" si="36"/>
        <v>3.6759877248333998E-3</v>
      </c>
      <c r="AE127">
        <f t="shared" si="37"/>
        <v>2.5904782618274093E-2</v>
      </c>
      <c r="AG127">
        <f t="shared" si="38"/>
        <v>-0.96416008979490431</v>
      </c>
      <c r="AH127">
        <f t="shared" si="39"/>
        <v>0.28592007267228609</v>
      </c>
      <c r="AI127">
        <f t="shared" si="40"/>
        <v>-9.7914797941251588E-2</v>
      </c>
      <c r="AK127" s="26">
        <f t="shared" si="41"/>
        <v>4.1501490357290921E-2</v>
      </c>
      <c r="AL127" s="26">
        <f t="shared" si="42"/>
        <v>4.127985722227448E-2</v>
      </c>
      <c r="AM127" s="26">
        <f t="shared" si="43"/>
        <v>5.095753745781112E-2</v>
      </c>
      <c r="AN127" s="26">
        <f t="shared" si="44"/>
        <v>21.59634920634921</v>
      </c>
      <c r="AO127" s="26">
        <f t="shared" si="45"/>
        <v>19.644726764199646</v>
      </c>
      <c r="AP127" s="26">
        <f t="shared" si="46"/>
        <v>16.98515033743864</v>
      </c>
      <c r="AS127" s="2">
        <v>45353</v>
      </c>
      <c r="AT127">
        <v>17.2</v>
      </c>
      <c r="AU127">
        <v>0</v>
      </c>
      <c r="AV127">
        <v>67.5</v>
      </c>
      <c r="AW127">
        <v>6</v>
      </c>
      <c r="AX127">
        <v>177.81</v>
      </c>
      <c r="AY127">
        <v>0.5</v>
      </c>
      <c r="AZ127">
        <v>2.6</v>
      </c>
      <c r="BA127">
        <v>186.83709999999999</v>
      </c>
      <c r="BB127">
        <v>45.427199999999999</v>
      </c>
      <c r="BC127">
        <v>90.161900000000003</v>
      </c>
      <c r="BD127">
        <v>3.8822000000000001</v>
      </c>
      <c r="BE127">
        <v>16.681799999999999</v>
      </c>
      <c r="BH127">
        <v>62.16</v>
      </c>
    </row>
    <row r="128" spans="1:60" x14ac:dyDescent="0.25">
      <c r="A128" s="2">
        <v>45373</v>
      </c>
      <c r="B128">
        <v>18.399999999999999</v>
      </c>
      <c r="C128">
        <v>39.4</v>
      </c>
      <c r="D128">
        <v>66.2</v>
      </c>
      <c r="E128">
        <v>7.1</v>
      </c>
      <c r="F128">
        <v>155.26</v>
      </c>
      <c r="G128">
        <v>0.5</v>
      </c>
      <c r="H128">
        <v>2.7</v>
      </c>
      <c r="I128">
        <v>161.9186</v>
      </c>
      <c r="J128">
        <v>45.443899999999999</v>
      </c>
      <c r="K128">
        <v>93.191000000000003</v>
      </c>
      <c r="L128">
        <v>3.9257</v>
      </c>
      <c r="M128">
        <v>27.666</v>
      </c>
      <c r="N128">
        <v>-23.315799999999999</v>
      </c>
      <c r="O128">
        <v>-37.782499999999999</v>
      </c>
      <c r="P128">
        <v>59.18</v>
      </c>
      <c r="S128">
        <f t="shared" si="25"/>
        <v>621.7052000000001</v>
      </c>
      <c r="T128">
        <f t="shared" si="26"/>
        <v>1.7249355844367681E-2</v>
      </c>
      <c r="U128">
        <f t="shared" si="27"/>
        <v>3.6936120666743844E-2</v>
      </c>
      <c r="V128">
        <f t="shared" si="28"/>
        <v>6.2060182440061992E-2</v>
      </c>
      <c r="W128">
        <f t="shared" si="29"/>
        <v>6.6560014399462252E-3</v>
      </c>
      <c r="X128">
        <f t="shared" si="30"/>
        <v>0.14555081458676775</v>
      </c>
      <c r="Y128">
        <f t="shared" si="31"/>
        <v>4.6873249577086097E-4</v>
      </c>
      <c r="Z128">
        <f t="shared" si="32"/>
        <v>2.5311554771626494E-3</v>
      </c>
      <c r="AA128">
        <f t="shared" si="33"/>
        <v>0.15179301897944744</v>
      </c>
      <c r="AB128">
        <f t="shared" si="34"/>
        <v>4.2602065329122855E-2</v>
      </c>
      <c r="AC128">
        <f t="shared" si="35"/>
        <v>8.7363300026764609E-2</v>
      </c>
      <c r="AD128">
        <f t="shared" si="36"/>
        <v>3.6802063172953377E-3</v>
      </c>
      <c r="AE128">
        <f t="shared" si="37"/>
        <v>2.5935906455993279E-2</v>
      </c>
      <c r="AG128">
        <f t="shared" si="38"/>
        <v>-0.964478641167694</v>
      </c>
      <c r="AH128">
        <f t="shared" si="39"/>
        <v>0.29738826940681429</v>
      </c>
      <c r="AI128">
        <f t="shared" si="40"/>
        <v>-1.2473216989595063E-2</v>
      </c>
      <c r="AK128" s="26">
        <f t="shared" si="41"/>
        <v>3.9418575581615795E-2</v>
      </c>
      <c r="AL128" s="26">
        <f t="shared" si="42"/>
        <v>4.2637712435426106E-2</v>
      </c>
      <c r="AM128" s="26">
        <f t="shared" si="43"/>
        <v>4.9996422652572342E-2</v>
      </c>
      <c r="AN128" s="26">
        <f t="shared" si="44"/>
        <v>21.528888888888893</v>
      </c>
      <c r="AO128" s="26">
        <f t="shared" si="45"/>
        <v>19.529823580034396</v>
      </c>
      <c r="AP128" s="26">
        <f t="shared" si="46"/>
        <v>16.896040282555639</v>
      </c>
      <c r="AS128" s="2">
        <v>45352</v>
      </c>
      <c r="AT128">
        <v>17.399999999999999</v>
      </c>
      <c r="AU128">
        <v>3.6</v>
      </c>
      <c r="AV128">
        <v>73.099999999999994</v>
      </c>
      <c r="AW128">
        <v>6.4</v>
      </c>
      <c r="AX128">
        <v>97.52</v>
      </c>
      <c r="AY128">
        <v>0.4</v>
      </c>
      <c r="AZ128">
        <v>2.6</v>
      </c>
      <c r="BA128">
        <v>243.1782</v>
      </c>
      <c r="BB128">
        <v>65.111000000000004</v>
      </c>
      <c r="BC128">
        <v>122.789</v>
      </c>
      <c r="BD128">
        <v>3.8921999999999999</v>
      </c>
      <c r="BE128">
        <v>25.386399999999998</v>
      </c>
      <c r="BF128">
        <v>-18.4892</v>
      </c>
      <c r="BG128">
        <v>-32.200499999999998</v>
      </c>
      <c r="BH128">
        <v>62.24</v>
      </c>
    </row>
    <row r="129" spans="1:60" x14ac:dyDescent="0.25">
      <c r="A129" s="2">
        <v>45372</v>
      </c>
      <c r="B129">
        <v>17.600000000000001</v>
      </c>
      <c r="C129">
        <v>9.3000000000000007</v>
      </c>
      <c r="D129">
        <v>45.7</v>
      </c>
      <c r="E129">
        <v>4.8</v>
      </c>
      <c r="F129">
        <v>148.07</v>
      </c>
      <c r="G129">
        <v>0.5</v>
      </c>
      <c r="H129">
        <v>2.2999999999999998</v>
      </c>
      <c r="I129">
        <v>286.28179999999998</v>
      </c>
      <c r="J129">
        <v>76.239699999999999</v>
      </c>
      <c r="K129">
        <v>123.50579999999999</v>
      </c>
      <c r="L129">
        <v>3.9487999999999999</v>
      </c>
      <c r="M129">
        <v>24.3733</v>
      </c>
      <c r="N129">
        <v>-20.947900000000001</v>
      </c>
      <c r="O129">
        <v>-36.300899999999999</v>
      </c>
      <c r="P129">
        <v>59.21</v>
      </c>
      <c r="S129">
        <f t="shared" si="25"/>
        <v>742.61939999999993</v>
      </c>
      <c r="T129">
        <f t="shared" si="26"/>
        <v>1.6499383851134308E-2</v>
      </c>
      <c r="U129">
        <f t="shared" si="27"/>
        <v>8.7184244213380137E-3</v>
      </c>
      <c r="V129">
        <f t="shared" si="28"/>
        <v>4.2842150113456691E-2</v>
      </c>
      <c r="W129">
        <f t="shared" si="29"/>
        <v>4.4998319594002651E-3</v>
      </c>
      <c r="X129">
        <f t="shared" si="30"/>
        <v>0.13881044129758274</v>
      </c>
      <c r="Y129">
        <f t="shared" si="31"/>
        <v>4.6873249577086097E-4</v>
      </c>
      <c r="Z129">
        <f t="shared" si="32"/>
        <v>2.1561694805459601E-3</v>
      </c>
      <c r="AA129">
        <f t="shared" si="33"/>
        <v>0.26837916521554889</v>
      </c>
      <c r="AB129">
        <f t="shared" si="34"/>
        <v>7.1472049715643415E-2</v>
      </c>
      <c r="AC129">
        <f t="shared" si="35"/>
        <v>0.1157823637523536</v>
      </c>
      <c r="AD129">
        <f t="shared" si="36"/>
        <v>3.7018617585999514E-3</v>
      </c>
      <c r="AE129">
        <f t="shared" si="37"/>
        <v>2.284911547834385E-2</v>
      </c>
      <c r="AG129">
        <f t="shared" si="38"/>
        <v>-0.96237789000700957</v>
      </c>
      <c r="AH129">
        <f t="shared" si="39"/>
        <v>0.23684424909757268</v>
      </c>
      <c r="AI129">
        <f t="shared" si="40"/>
        <v>-0.45741191915766299</v>
      </c>
      <c r="AK129" s="26">
        <f t="shared" si="41"/>
        <v>3.6854248724149219E-2</v>
      </c>
      <c r="AL129" s="26">
        <f t="shared" si="42"/>
        <v>4.2571022188422292E-2</v>
      </c>
      <c r="AM129" s="26">
        <f t="shared" si="43"/>
        <v>4.9591211983077449E-2</v>
      </c>
      <c r="AN129" s="26">
        <f t="shared" si="44"/>
        <v>21.450793650793663</v>
      </c>
      <c r="AO129" s="26">
        <f t="shared" si="45"/>
        <v>19.410262478485343</v>
      </c>
      <c r="AP129" s="26">
        <f t="shared" si="46"/>
        <v>16.807494813686645</v>
      </c>
      <c r="AS129" s="2">
        <v>45351</v>
      </c>
      <c r="AT129">
        <v>17.5</v>
      </c>
      <c r="AU129">
        <v>3.9</v>
      </c>
      <c r="AV129">
        <v>86.4</v>
      </c>
      <c r="AW129">
        <v>9</v>
      </c>
      <c r="AX129">
        <v>165.91</v>
      </c>
      <c r="AY129">
        <v>0.4</v>
      </c>
      <c r="AZ129">
        <v>2.5</v>
      </c>
      <c r="BA129">
        <v>226.4247</v>
      </c>
      <c r="BB129">
        <v>63.984099999999998</v>
      </c>
      <c r="BC129">
        <v>129.53309999999999</v>
      </c>
      <c r="BD129">
        <v>3.8923999999999999</v>
      </c>
      <c r="BE129">
        <v>25.546900000000001</v>
      </c>
      <c r="BF129">
        <v>-13.6151</v>
      </c>
      <c r="BG129">
        <v>-27.5977</v>
      </c>
      <c r="BH129">
        <v>62.52</v>
      </c>
    </row>
    <row r="130" spans="1:60" x14ac:dyDescent="0.25">
      <c r="A130" s="2">
        <v>45371</v>
      </c>
      <c r="B130">
        <v>17.8</v>
      </c>
      <c r="C130">
        <v>1.8</v>
      </c>
      <c r="D130">
        <v>8.8000000000000007</v>
      </c>
      <c r="E130">
        <v>0.6</v>
      </c>
      <c r="F130">
        <v>237.02</v>
      </c>
      <c r="G130">
        <v>0.4</v>
      </c>
      <c r="H130">
        <v>2.1</v>
      </c>
      <c r="I130">
        <v>298.8485</v>
      </c>
      <c r="J130">
        <v>102.8644</v>
      </c>
      <c r="K130">
        <v>150.34450000000001</v>
      </c>
      <c r="L130">
        <v>3.9752999999999998</v>
      </c>
      <c r="M130">
        <v>29.821100000000001</v>
      </c>
      <c r="N130">
        <v>-22.748100000000001</v>
      </c>
      <c r="O130">
        <v>-36.289000000000001</v>
      </c>
      <c r="P130">
        <v>59.28</v>
      </c>
      <c r="S130">
        <f t="shared" ref="S130:S193" si="47">SUM(B130:M130)</f>
        <v>854.37380000000007</v>
      </c>
      <c r="T130">
        <f t="shared" si="26"/>
        <v>1.6686876849442651E-2</v>
      </c>
      <c r="U130">
        <f t="shared" si="27"/>
        <v>1.6874369847750994E-3</v>
      </c>
      <c r="V130">
        <f t="shared" si="28"/>
        <v>8.2496919255671541E-3</v>
      </c>
      <c r="W130">
        <f t="shared" si="29"/>
        <v>5.6247899492503314E-4</v>
      </c>
      <c r="X130">
        <f t="shared" si="30"/>
        <v>0.22219795229521894</v>
      </c>
      <c r="Y130">
        <f t="shared" si="31"/>
        <v>3.7498599661668879E-4</v>
      </c>
      <c r="Z130">
        <f t="shared" si="32"/>
        <v>1.9686764822376161E-3</v>
      </c>
      <c r="AA130">
        <f t="shared" si="33"/>
        <v>0.28016000652475626</v>
      </c>
      <c r="AB130">
        <f t="shared" si="34"/>
        <v>9.6431773875944302E-2</v>
      </c>
      <c r="AC130">
        <f t="shared" si="35"/>
        <v>0.14094270542084442</v>
      </c>
      <c r="AD130">
        <f t="shared" si="36"/>
        <v>3.726704580875807E-3</v>
      </c>
      <c r="AE130">
        <f t="shared" si="37"/>
        <v>2.7956237259264844E-2</v>
      </c>
      <c r="AG130">
        <f t="shared" si="38"/>
        <v>-0.95834291136237626</v>
      </c>
      <c r="AH130">
        <f t="shared" si="39"/>
        <v>0.27968433678804805</v>
      </c>
      <c r="AI130">
        <f t="shared" si="40"/>
        <v>-0.14251820982059016</v>
      </c>
      <c r="AK130" s="26">
        <f t="shared" si="41"/>
        <v>3.7621678398780639E-2</v>
      </c>
      <c r="AL130" s="26">
        <f t="shared" si="42"/>
        <v>4.4588255363717744E-2</v>
      </c>
      <c r="AM130" s="26">
        <f t="shared" si="43"/>
        <v>4.9462769272158702E-2</v>
      </c>
      <c r="AN130" s="26">
        <f t="shared" si="44"/>
        <v>21.371111111111126</v>
      </c>
      <c r="AO130" s="26">
        <f t="shared" si="45"/>
        <v>19.286409208261595</v>
      </c>
      <c r="AP130" s="26">
        <f t="shared" si="46"/>
        <v>16.720226097003788</v>
      </c>
      <c r="AS130" s="2">
        <v>45350</v>
      </c>
      <c r="AT130">
        <v>18.3</v>
      </c>
      <c r="AU130">
        <v>3.9</v>
      </c>
      <c r="AV130">
        <v>43</v>
      </c>
      <c r="AW130">
        <v>1.3</v>
      </c>
      <c r="AX130">
        <v>104.81</v>
      </c>
      <c r="AY130">
        <v>0.5</v>
      </c>
      <c r="AZ130">
        <v>2.5</v>
      </c>
      <c r="BA130">
        <v>339.92919999999998</v>
      </c>
      <c r="BB130">
        <v>84.610799999999998</v>
      </c>
      <c r="BC130">
        <v>200.89930000000001</v>
      </c>
      <c r="BD130">
        <v>3.8957000000000002</v>
      </c>
      <c r="BE130">
        <v>29.724299999999999</v>
      </c>
      <c r="BF130">
        <v>-14.5061</v>
      </c>
      <c r="BG130">
        <v>-28.6113</v>
      </c>
      <c r="BH130">
        <v>62.78</v>
      </c>
    </row>
    <row r="131" spans="1:60" x14ac:dyDescent="0.25">
      <c r="A131" s="2">
        <v>45370</v>
      </c>
      <c r="B131">
        <v>18.8</v>
      </c>
      <c r="C131">
        <v>0</v>
      </c>
      <c r="D131">
        <v>44.8</v>
      </c>
      <c r="E131">
        <v>2.4</v>
      </c>
      <c r="F131">
        <v>222.91</v>
      </c>
      <c r="G131">
        <v>0.5</v>
      </c>
      <c r="H131">
        <v>2</v>
      </c>
      <c r="I131">
        <v>289.80849999999998</v>
      </c>
      <c r="J131">
        <v>77.4208</v>
      </c>
      <c r="K131">
        <v>134.60669999999999</v>
      </c>
      <c r="L131">
        <v>3.8992</v>
      </c>
      <c r="M131">
        <v>26.012</v>
      </c>
      <c r="N131">
        <v>-25.5352</v>
      </c>
      <c r="O131">
        <v>-37.1736</v>
      </c>
      <c r="P131">
        <v>59.39</v>
      </c>
      <c r="S131">
        <f t="shared" si="47"/>
        <v>823.15719999999988</v>
      </c>
      <c r="T131">
        <f t="shared" si="26"/>
        <v>1.7624341840984374E-2</v>
      </c>
      <c r="U131">
        <f t="shared" si="27"/>
        <v>0</v>
      </c>
      <c r="V131">
        <f t="shared" si="28"/>
        <v>4.1998431621069136E-2</v>
      </c>
      <c r="W131">
        <f t="shared" si="29"/>
        <v>2.2499159797001326E-3</v>
      </c>
      <c r="X131">
        <f t="shared" si="30"/>
        <v>0.20897032126456522</v>
      </c>
      <c r="Y131">
        <f t="shared" si="31"/>
        <v>4.6873249577086097E-4</v>
      </c>
      <c r="Z131">
        <f t="shared" si="32"/>
        <v>1.8749299830834439E-3</v>
      </c>
      <c r="AA131">
        <f t="shared" si="33"/>
        <v>0.27168532300121911</v>
      </c>
      <c r="AB131">
        <f t="shared" si="34"/>
        <v>7.2579289617153347E-2</v>
      </c>
      <c r="AC131">
        <f t="shared" si="35"/>
        <v>0.12618906887695908</v>
      </c>
      <c r="AD131">
        <f t="shared" si="36"/>
        <v>3.655363495019482E-3</v>
      </c>
      <c r="AE131">
        <f t="shared" si="37"/>
        <v>2.4385339359983271E-2</v>
      </c>
      <c r="AG131">
        <f t="shared" si="38"/>
        <v>-0.9523743411720359</v>
      </c>
      <c r="AH131">
        <f t="shared" si="39"/>
        <v>0.29757201254515642</v>
      </c>
      <c r="AI131">
        <f t="shared" si="40"/>
        <v>-9.201460559255489E-3</v>
      </c>
      <c r="AK131" s="26">
        <f t="shared" si="41"/>
        <v>3.7447436393725747E-2</v>
      </c>
      <c r="AL131" s="26">
        <f t="shared" si="42"/>
        <v>4.6050287927083822E-2</v>
      </c>
      <c r="AM131" s="26">
        <f t="shared" si="43"/>
        <v>4.9910899162265487E-2</v>
      </c>
      <c r="AN131" s="26">
        <f t="shared" si="44"/>
        <v>21.286666666666683</v>
      </c>
      <c r="AO131" s="26">
        <f t="shared" si="45"/>
        <v>19.156099397590339</v>
      </c>
      <c r="AP131" s="26">
        <f t="shared" si="46"/>
        <v>16.634325254063739</v>
      </c>
      <c r="AS131" s="2">
        <v>45349</v>
      </c>
      <c r="AT131">
        <v>17.7</v>
      </c>
      <c r="AU131">
        <v>15.1</v>
      </c>
      <c r="AV131">
        <v>9.8000000000000007</v>
      </c>
      <c r="AW131">
        <v>2.6</v>
      </c>
      <c r="AX131">
        <v>85.22</v>
      </c>
      <c r="AY131">
        <v>0.5</v>
      </c>
      <c r="AZ131">
        <v>2.6</v>
      </c>
      <c r="BA131">
        <v>335.98829999999998</v>
      </c>
      <c r="BB131">
        <v>76.161199999999994</v>
      </c>
      <c r="BC131">
        <v>183.1789</v>
      </c>
      <c r="BD131">
        <v>3.9986999999999999</v>
      </c>
      <c r="BE131">
        <v>39.280700000000003</v>
      </c>
      <c r="BF131">
        <v>-14.8187</v>
      </c>
      <c r="BG131">
        <v>-29.122299999999999</v>
      </c>
      <c r="BH131">
        <v>63.13</v>
      </c>
    </row>
    <row r="132" spans="1:60" x14ac:dyDescent="0.25">
      <c r="A132" s="2">
        <v>45369</v>
      </c>
      <c r="B132">
        <v>15.6</v>
      </c>
      <c r="C132">
        <v>4.0999999999999996</v>
      </c>
      <c r="D132">
        <v>44.7</v>
      </c>
      <c r="E132">
        <v>4.2</v>
      </c>
      <c r="F132">
        <v>155.66</v>
      </c>
      <c r="G132">
        <v>0.5</v>
      </c>
      <c r="H132">
        <v>2.1</v>
      </c>
      <c r="I132">
        <v>271.3768</v>
      </c>
      <c r="J132">
        <v>69.972899999999996</v>
      </c>
      <c r="K132">
        <v>134.7886</v>
      </c>
      <c r="L132">
        <v>3.8908999999999998</v>
      </c>
      <c r="M132">
        <v>33.9133</v>
      </c>
      <c r="N132">
        <v>-23.366</v>
      </c>
      <c r="O132">
        <v>-35.035699999999999</v>
      </c>
      <c r="P132">
        <v>59.53</v>
      </c>
      <c r="S132">
        <f t="shared" si="47"/>
        <v>740.80250000000001</v>
      </c>
      <c r="T132">
        <f t="shared" si="26"/>
        <v>1.4624453868050861E-2</v>
      </c>
      <c r="U132">
        <f t="shared" si="27"/>
        <v>3.8436064653210593E-3</v>
      </c>
      <c r="V132">
        <f t="shared" si="28"/>
        <v>4.1904685121914975E-2</v>
      </c>
      <c r="W132">
        <f t="shared" si="29"/>
        <v>3.9373529644752322E-3</v>
      </c>
      <c r="X132">
        <f t="shared" si="30"/>
        <v>0.14592580058338442</v>
      </c>
      <c r="Y132">
        <f t="shared" si="31"/>
        <v>4.6873249577086097E-4</v>
      </c>
      <c r="Z132">
        <f t="shared" si="32"/>
        <v>1.9686764822376161E-3</v>
      </c>
      <c r="AA132">
        <f t="shared" si="33"/>
        <v>0.25440624951661955</v>
      </c>
      <c r="AB132">
        <f t="shared" si="34"/>
        <v>6.5597144106649755E-2</v>
      </c>
      <c r="AC132">
        <f t="shared" si="35"/>
        <v>0.12635959375892053</v>
      </c>
      <c r="AD132">
        <f t="shared" si="36"/>
        <v>3.6475825355896858E-3</v>
      </c>
      <c r="AE132">
        <f t="shared" si="37"/>
        <v>3.1792531497651877E-2</v>
      </c>
      <c r="AG132">
        <f t="shared" si="38"/>
        <v>-0.94495826153440521</v>
      </c>
      <c r="AH132">
        <f t="shared" si="39"/>
        <v>0.2444658394788069</v>
      </c>
      <c r="AI132">
        <f t="shared" si="40"/>
        <v>-0.40209303987627287</v>
      </c>
      <c r="AK132" s="26">
        <f t="shared" si="41"/>
        <v>3.8995141989452003E-2</v>
      </c>
      <c r="AL132" s="26">
        <f t="shared" si="42"/>
        <v>4.8690438392699792E-2</v>
      </c>
      <c r="AM132" s="26">
        <f t="shared" si="43"/>
        <v>5.0874427069007883E-2</v>
      </c>
      <c r="AN132" s="26">
        <f t="shared" si="44"/>
        <v>21.200793650793656</v>
      </c>
      <c r="AO132" s="26">
        <f t="shared" si="45"/>
        <v>19.019225473321839</v>
      </c>
      <c r="AP132" s="26">
        <f t="shared" si="46"/>
        <v>16.549620545678984</v>
      </c>
      <c r="AS132" s="2">
        <v>45348</v>
      </c>
      <c r="AT132">
        <v>18.899999999999999</v>
      </c>
      <c r="AU132">
        <v>0.8</v>
      </c>
      <c r="AV132">
        <v>42.5</v>
      </c>
      <c r="AW132">
        <v>5.9</v>
      </c>
      <c r="AX132">
        <v>111.7</v>
      </c>
      <c r="AY132">
        <v>0.5</v>
      </c>
      <c r="AZ132">
        <v>2.5</v>
      </c>
      <c r="BA132">
        <v>267.1651</v>
      </c>
      <c r="BB132">
        <v>50.307600000000001</v>
      </c>
      <c r="BC132">
        <v>130.1739</v>
      </c>
      <c r="BD132">
        <v>3.2008000000000001</v>
      </c>
      <c r="BE132">
        <v>22.287500000000001</v>
      </c>
      <c r="BF132">
        <v>-13.299799999999999</v>
      </c>
      <c r="BG132">
        <v>-26.733699999999999</v>
      </c>
      <c r="BH132">
        <v>63.48</v>
      </c>
    </row>
    <row r="133" spans="1:60" x14ac:dyDescent="0.25">
      <c r="A133" s="2">
        <v>45368</v>
      </c>
      <c r="B133">
        <v>15</v>
      </c>
      <c r="C133">
        <v>0</v>
      </c>
      <c r="D133">
        <v>44.1</v>
      </c>
      <c r="E133">
        <v>2.8</v>
      </c>
      <c r="F133">
        <v>217.13</v>
      </c>
      <c r="G133">
        <v>0.1</v>
      </c>
      <c r="H133">
        <v>2.2000000000000002</v>
      </c>
      <c r="I133">
        <v>166.667</v>
      </c>
      <c r="J133">
        <v>35.281399999999998</v>
      </c>
      <c r="K133">
        <v>53.490900000000003</v>
      </c>
      <c r="L133">
        <v>3.8229000000000002</v>
      </c>
      <c r="M133">
        <v>20.8019</v>
      </c>
      <c r="P133">
        <v>59.67</v>
      </c>
      <c r="S133">
        <f t="shared" si="47"/>
        <v>561.39409999999998</v>
      </c>
      <c r="T133">
        <f t="shared" ref="T133:T196" si="48">B133/$S$4</f>
        <v>1.4061974873125828E-2</v>
      </c>
      <c r="U133">
        <f t="shared" ref="U133:U196" si="49">C133/$S$4</f>
        <v>0</v>
      </c>
      <c r="V133">
        <f t="shared" ref="V133:V196" si="50">D133/$S$4</f>
        <v>4.1342206126989939E-2</v>
      </c>
      <c r="W133">
        <f t="shared" ref="W133:W196" si="51">E133/$S$4</f>
        <v>2.624901976316821E-3</v>
      </c>
      <c r="X133">
        <f t="shared" ref="X133:X196" si="52">F133/$S$4</f>
        <v>0.20355177361345408</v>
      </c>
      <c r="Y133">
        <f t="shared" ref="Y133:Y196" si="53">G133/$S$4</f>
        <v>9.3746499154172199E-5</v>
      </c>
      <c r="Z133">
        <f t="shared" ref="Z133:Z196" si="54">H133/$S$4</f>
        <v>2.0624229813917885E-3</v>
      </c>
      <c r="AA133">
        <f t="shared" ref="AA133:AA196" si="55">I133/$S$4</f>
        <v>0.15624447774528416</v>
      </c>
      <c r="AB133">
        <f t="shared" ref="AB133:AB196" si="56">J133/$S$4</f>
        <v>3.3075077352580105E-2</v>
      </c>
      <c r="AC133">
        <f t="shared" ref="AC133:AC196" si="57">K133/$S$4</f>
        <v>5.0145846116059094E-2</v>
      </c>
      <c r="AD133">
        <f t="shared" ref="AD133:AD196" si="58">L133/$S$4</f>
        <v>3.583834916164849E-3</v>
      </c>
      <c r="AE133">
        <f t="shared" ref="AE133:AE196" si="59">M133/$S$4</f>
        <v>1.9501053007551745E-2</v>
      </c>
      <c r="AG133">
        <f t="shared" ref="AG133:AG196" si="60">(P133-AVERAGE(P133:P497)) / _xlfn.STDEV.S(P133:P1960)</f>
        <v>-0.93754062965197071</v>
      </c>
      <c r="AH133">
        <f t="shared" ref="AH133:AH196" si="61">SUM(T133:Y133,Z133,AE133)</f>
        <v>0.28323807907798437</v>
      </c>
      <c r="AI133">
        <f t="shared" ref="AI133:AI196" si="62">(AH133-AVERAGE(AH133:AH497))/_xlfn.STDEV.S(AH133:AH497)</f>
        <v>-0.116901687586573</v>
      </c>
      <c r="AK133" s="26">
        <f t="shared" ref="AK133:AK196" si="63">AVERAGEA(AH133:AH153)-AVERAGE(AH499:AH519, AH864:AH884, AH1229:AH1249)</f>
        <v>3.7516286501175916E-2</v>
      </c>
      <c r="AL133" s="26">
        <f t="shared" ref="AL133:AL196" si="64">AVERAGEA(AH133:AH188)-AVERAGE(AH499:AH554, AH864:AH918, AH1229:AH1283)</f>
        <v>4.8976266789363621E-2</v>
      </c>
      <c r="AM133" s="26">
        <f t="shared" ref="AM133:AM196" si="65">AVERAGEA(AH133:AH245)-AVERAGE(AH499:AH611,AH864:AH975,AH1229:AH1340)</f>
        <v>5.0897212945730963E-2</v>
      </c>
      <c r="AN133" s="26">
        <f t="shared" ref="AN133:AN196" si="66">AVERAGEA(P133:P153)-AVERAGE(P499:P519, P864:P884, P1229:P1249)</f>
        <v>21.120476190476204</v>
      </c>
      <c r="AO133" s="26">
        <f t="shared" ref="AO133:AO196" si="67">AVERAGEA(P133:P188)-AVERAGE(P499:P554, P864:P918, P1229:P1283)</f>
        <v>18.880832616178992</v>
      </c>
      <c r="AP133" s="26">
        <f t="shared" ref="AP133:AP196" si="68">AVERAGEA(P133:P245)-AVERAGE(P499:P611,P864:P975,P1229:P1340)</f>
        <v>16.465612772773852</v>
      </c>
      <c r="AS133" s="2">
        <v>45347</v>
      </c>
      <c r="AT133">
        <v>19.2</v>
      </c>
      <c r="AU133">
        <v>0</v>
      </c>
      <c r="AV133">
        <v>21</v>
      </c>
      <c r="AW133">
        <v>7.2</v>
      </c>
      <c r="AX133">
        <v>167.08</v>
      </c>
      <c r="AY133">
        <v>0.5</v>
      </c>
      <c r="AZ133">
        <v>2.8</v>
      </c>
      <c r="BA133">
        <v>183.91659999999999</v>
      </c>
      <c r="BB133">
        <v>36.0899</v>
      </c>
      <c r="BC133">
        <v>96.447900000000004</v>
      </c>
      <c r="BD133">
        <v>3.9716</v>
      </c>
      <c r="BE133">
        <v>20.882200000000001</v>
      </c>
      <c r="BH133">
        <v>63.8</v>
      </c>
    </row>
    <row r="134" spans="1:60" x14ac:dyDescent="0.25">
      <c r="A134" s="2">
        <v>45367</v>
      </c>
      <c r="B134">
        <v>14.3</v>
      </c>
      <c r="C134">
        <v>0</v>
      </c>
      <c r="D134">
        <v>67.400000000000006</v>
      </c>
      <c r="E134">
        <v>11.3</v>
      </c>
      <c r="F134">
        <v>131.16</v>
      </c>
      <c r="G134">
        <v>0.1</v>
      </c>
      <c r="H134">
        <v>2.2000000000000002</v>
      </c>
      <c r="I134">
        <v>112.1009</v>
      </c>
      <c r="J134">
        <v>43.358899999999998</v>
      </c>
      <c r="K134">
        <v>49.460500000000003</v>
      </c>
      <c r="L134">
        <v>3.9064000000000001</v>
      </c>
      <c r="M134">
        <v>18.4648</v>
      </c>
      <c r="P134">
        <v>59.71</v>
      </c>
      <c r="S134">
        <f t="shared" si="47"/>
        <v>453.75150000000002</v>
      </c>
      <c r="T134">
        <f t="shared" si="48"/>
        <v>1.3405749379046624E-2</v>
      </c>
      <c r="U134">
        <f t="shared" si="49"/>
        <v>0</v>
      </c>
      <c r="V134">
        <f t="shared" si="50"/>
        <v>6.3185140429912065E-2</v>
      </c>
      <c r="W134">
        <f t="shared" si="51"/>
        <v>1.0593354404421457E-2</v>
      </c>
      <c r="X134">
        <f t="shared" si="52"/>
        <v>0.12295790829061225</v>
      </c>
      <c r="Y134">
        <f t="shared" si="53"/>
        <v>9.3746499154172199E-5</v>
      </c>
      <c r="Z134">
        <f t="shared" si="54"/>
        <v>2.0624229813917885E-3</v>
      </c>
      <c r="AA134">
        <f t="shared" si="55"/>
        <v>0.1050906692703194</v>
      </c>
      <c r="AB134">
        <f t="shared" si="56"/>
        <v>4.0647450821758364E-2</v>
      </c>
      <c r="AC134">
        <f t="shared" si="57"/>
        <v>4.6367487214149343E-2</v>
      </c>
      <c r="AD134">
        <f t="shared" si="58"/>
        <v>3.6621132429585828E-3</v>
      </c>
      <c r="AE134">
        <f t="shared" si="59"/>
        <v>1.7310103575819587E-2</v>
      </c>
      <c r="AG134">
        <f t="shared" si="60"/>
        <v>-0.93490125974121552</v>
      </c>
      <c r="AH134">
        <f t="shared" si="61"/>
        <v>0.2296084255603579</v>
      </c>
      <c r="AI134">
        <f t="shared" si="62"/>
        <v>-0.51128733517197533</v>
      </c>
      <c r="AK134" s="26">
        <f t="shared" si="63"/>
        <v>3.7848690754621273E-2</v>
      </c>
      <c r="AL134" s="26">
        <f t="shared" si="64"/>
        <v>4.9008005384676201E-2</v>
      </c>
      <c r="AM134" s="26">
        <f t="shared" si="65"/>
        <v>5.1986375690681097E-2</v>
      </c>
      <c r="AN134" s="26">
        <f t="shared" si="66"/>
        <v>21.043174603174606</v>
      </c>
      <c r="AO134" s="26">
        <f t="shared" si="67"/>
        <v>18.741153184165221</v>
      </c>
      <c r="AP134" s="26">
        <f t="shared" si="68"/>
        <v>16.380174365169019</v>
      </c>
      <c r="AS134" s="2">
        <v>45346</v>
      </c>
      <c r="AT134">
        <v>20.399999999999999</v>
      </c>
      <c r="AU134">
        <v>0</v>
      </c>
      <c r="AV134">
        <v>37.1</v>
      </c>
      <c r="AW134">
        <v>7.6</v>
      </c>
      <c r="AX134">
        <v>153.15</v>
      </c>
      <c r="AY134">
        <v>0.5</v>
      </c>
      <c r="AZ134">
        <v>2.6</v>
      </c>
      <c r="BA134">
        <v>176.23330000000001</v>
      </c>
      <c r="BB134">
        <v>38.9039</v>
      </c>
      <c r="BC134">
        <v>102.98009999999999</v>
      </c>
      <c r="BD134">
        <v>4.1454000000000004</v>
      </c>
      <c r="BE134">
        <v>17.683</v>
      </c>
      <c r="BH134">
        <v>63.97</v>
      </c>
    </row>
    <row r="135" spans="1:60" x14ac:dyDescent="0.25">
      <c r="A135" s="2">
        <v>45366</v>
      </c>
      <c r="B135">
        <v>14.6</v>
      </c>
      <c r="C135">
        <v>0</v>
      </c>
      <c r="D135">
        <v>96.2</v>
      </c>
      <c r="E135">
        <v>9.1</v>
      </c>
      <c r="F135">
        <v>167.31</v>
      </c>
      <c r="G135">
        <v>0.4</v>
      </c>
      <c r="H135">
        <v>2.9</v>
      </c>
      <c r="I135">
        <v>148.83860000000001</v>
      </c>
      <c r="J135">
        <v>41.311100000000003</v>
      </c>
      <c r="K135">
        <v>77.933800000000005</v>
      </c>
      <c r="L135">
        <v>3.9196</v>
      </c>
      <c r="M135">
        <v>25.041699999999999</v>
      </c>
      <c r="N135">
        <v>-22.145</v>
      </c>
      <c r="O135">
        <v>-36.555500000000002</v>
      </c>
      <c r="P135">
        <v>59.74</v>
      </c>
      <c r="S135">
        <f t="shared" si="47"/>
        <v>587.55479999999989</v>
      </c>
      <c r="T135">
        <f t="shared" si="48"/>
        <v>1.368698887650914E-2</v>
      </c>
      <c r="U135">
        <f t="shared" si="49"/>
        <v>0</v>
      </c>
      <c r="V135">
        <f t="shared" si="50"/>
        <v>9.0184132186313645E-2</v>
      </c>
      <c r="W135">
        <f t="shared" si="51"/>
        <v>8.5309314230296689E-3</v>
      </c>
      <c r="X135">
        <f t="shared" si="52"/>
        <v>0.1568472677348455</v>
      </c>
      <c r="Y135">
        <f t="shared" si="53"/>
        <v>3.7498599661668879E-4</v>
      </c>
      <c r="Z135">
        <f t="shared" si="54"/>
        <v>2.7186484754709935E-3</v>
      </c>
      <c r="AA135">
        <f t="shared" si="55"/>
        <v>0.13953097689008173</v>
      </c>
      <c r="AB135">
        <f t="shared" si="56"/>
        <v>3.8727710012079232E-2</v>
      </c>
      <c r="AC135">
        <f t="shared" si="57"/>
        <v>7.3060209157814249E-2</v>
      </c>
      <c r="AD135">
        <f t="shared" si="58"/>
        <v>3.6744877808469333E-3</v>
      </c>
      <c r="AE135">
        <f t="shared" si="59"/>
        <v>2.3475717078690336E-2</v>
      </c>
      <c r="AG135">
        <f t="shared" si="60"/>
        <v>-0.9327303871062318</v>
      </c>
      <c r="AH135">
        <f t="shared" si="61"/>
        <v>0.29581867177147597</v>
      </c>
      <c r="AI135">
        <f t="shared" si="62"/>
        <v>-2.4901647473274342E-2</v>
      </c>
      <c r="AK135" s="26">
        <f t="shared" si="63"/>
        <v>3.8623620149185023E-2</v>
      </c>
      <c r="AL135" s="26">
        <f t="shared" si="64"/>
        <v>5.0454034686477328E-2</v>
      </c>
      <c r="AM135" s="26">
        <f t="shared" si="65"/>
        <v>5.2394480941198113E-2</v>
      </c>
      <c r="AN135" s="26">
        <f t="shared" si="66"/>
        <v>20.968095238095238</v>
      </c>
      <c r="AO135" s="26">
        <f t="shared" si="67"/>
        <v>18.601671686746982</v>
      </c>
      <c r="AP135" s="26">
        <f t="shared" si="68"/>
        <v>16.294428717733297</v>
      </c>
      <c r="AS135" s="2">
        <v>45345</v>
      </c>
      <c r="AT135">
        <v>19</v>
      </c>
      <c r="AU135">
        <v>36.299999999999997</v>
      </c>
      <c r="AV135">
        <v>65.2</v>
      </c>
      <c r="AW135">
        <v>15.5</v>
      </c>
      <c r="AX135">
        <v>90.03</v>
      </c>
      <c r="AY135">
        <v>0.5</v>
      </c>
      <c r="AZ135">
        <v>2.4</v>
      </c>
      <c r="BA135">
        <v>138.0471</v>
      </c>
      <c r="BB135">
        <v>55.599200000000003</v>
      </c>
      <c r="BC135">
        <v>99.616900000000001</v>
      </c>
      <c r="BD135">
        <v>4.4893999999999998</v>
      </c>
      <c r="BE135">
        <v>36.052100000000003</v>
      </c>
      <c r="BF135">
        <v>-12.894600000000001</v>
      </c>
      <c r="BG135">
        <v>-25.905899999999999</v>
      </c>
      <c r="BH135">
        <v>64.16</v>
      </c>
    </row>
    <row r="136" spans="1:60" x14ac:dyDescent="0.25">
      <c r="A136" s="2">
        <v>45365</v>
      </c>
      <c r="B136">
        <v>15.2</v>
      </c>
      <c r="C136">
        <v>2</v>
      </c>
      <c r="D136">
        <v>78.099999999999994</v>
      </c>
      <c r="E136">
        <v>5.6</v>
      </c>
      <c r="F136">
        <v>182.12</v>
      </c>
      <c r="G136">
        <v>0.1</v>
      </c>
      <c r="H136">
        <v>3</v>
      </c>
      <c r="I136">
        <v>213.99039999999999</v>
      </c>
      <c r="J136">
        <v>72.77</v>
      </c>
      <c r="K136">
        <v>129.5076</v>
      </c>
      <c r="L136">
        <v>3.9403000000000001</v>
      </c>
      <c r="M136">
        <v>28.1035</v>
      </c>
      <c r="N136">
        <v>-21.636800000000001</v>
      </c>
      <c r="O136">
        <v>-37.077199999999998</v>
      </c>
      <c r="P136">
        <v>59.86</v>
      </c>
      <c r="S136">
        <f t="shared" si="47"/>
        <v>734.43180000000007</v>
      </c>
      <c r="T136">
        <f t="shared" si="48"/>
        <v>1.4249467871434173E-2</v>
      </c>
      <c r="U136">
        <f t="shared" si="49"/>
        <v>1.8749299830834439E-3</v>
      </c>
      <c r="V136">
        <f t="shared" si="50"/>
        <v>7.3216015839408483E-2</v>
      </c>
      <c r="W136">
        <f t="shared" si="51"/>
        <v>5.249803952633642E-3</v>
      </c>
      <c r="X136">
        <f t="shared" si="52"/>
        <v>0.1707311242595784</v>
      </c>
      <c r="Y136">
        <f t="shared" si="53"/>
        <v>9.3746499154172199E-5</v>
      </c>
      <c r="Z136">
        <f t="shared" si="54"/>
        <v>2.8123949746251659E-3</v>
      </c>
      <c r="AA136">
        <f t="shared" si="55"/>
        <v>0.20060850852600967</v>
      </c>
      <c r="AB136">
        <f t="shared" si="56"/>
        <v>6.8219327434491106E-2</v>
      </c>
      <c r="AC136">
        <f t="shared" si="57"/>
        <v>0.1214088411385887</v>
      </c>
      <c r="AD136">
        <f t="shared" si="58"/>
        <v>3.6938933061718472E-3</v>
      </c>
      <c r="AE136">
        <f t="shared" si="59"/>
        <v>2.6346047389792782E-2</v>
      </c>
      <c r="AG136">
        <f t="shared" si="60"/>
        <v>-0.92625015245772158</v>
      </c>
      <c r="AH136">
        <f t="shared" si="61"/>
        <v>0.29457353076971027</v>
      </c>
      <c r="AI136">
        <f t="shared" si="62"/>
        <v>-3.4518198335971473E-2</v>
      </c>
      <c r="AK136" s="26">
        <f t="shared" si="63"/>
        <v>3.6851247348136607E-2</v>
      </c>
      <c r="AL136" s="26">
        <f t="shared" si="64"/>
        <v>4.9522418585003614E-2</v>
      </c>
      <c r="AM136" s="26">
        <f t="shared" si="65"/>
        <v>5.1748225708933615E-2</v>
      </c>
      <c r="AN136" s="26">
        <f t="shared" si="66"/>
        <v>20.896349206349193</v>
      </c>
      <c r="AO136" s="26">
        <f t="shared" si="67"/>
        <v>18.46340361445781</v>
      </c>
      <c r="AP136" s="26">
        <f t="shared" si="68"/>
        <v>16.208701714765908</v>
      </c>
      <c r="AS136" s="2">
        <v>45344</v>
      </c>
      <c r="AT136">
        <v>18.399999999999999</v>
      </c>
      <c r="AU136">
        <v>5.4</v>
      </c>
      <c r="AV136">
        <v>70.7</v>
      </c>
      <c r="AW136">
        <v>13.6</v>
      </c>
      <c r="AX136">
        <v>49.63</v>
      </c>
      <c r="AY136">
        <v>0.5</v>
      </c>
      <c r="AZ136">
        <v>2.4</v>
      </c>
      <c r="BA136">
        <v>153.51220000000001</v>
      </c>
      <c r="BB136">
        <v>58.273600000000002</v>
      </c>
      <c r="BC136">
        <v>88.949299999999994</v>
      </c>
      <c r="BD136">
        <v>3.8767</v>
      </c>
      <c r="BE136">
        <v>30.543600000000001</v>
      </c>
      <c r="BF136">
        <v>-14.250299999999999</v>
      </c>
      <c r="BG136">
        <v>-26.831099999999999</v>
      </c>
      <c r="BH136">
        <v>64.430000000000007</v>
      </c>
    </row>
    <row r="137" spans="1:60" x14ac:dyDescent="0.25">
      <c r="A137" s="2">
        <v>45364</v>
      </c>
      <c r="B137">
        <v>15.1</v>
      </c>
      <c r="C137">
        <v>16.899999999999999</v>
      </c>
      <c r="D137">
        <v>61.5</v>
      </c>
      <c r="E137">
        <v>3.5</v>
      </c>
      <c r="F137">
        <v>124.39</v>
      </c>
      <c r="G137">
        <v>0.1</v>
      </c>
      <c r="H137">
        <v>2.9</v>
      </c>
      <c r="I137">
        <v>312.04320000000001</v>
      </c>
      <c r="J137">
        <v>86.078000000000003</v>
      </c>
      <c r="K137">
        <v>147.26079999999999</v>
      </c>
      <c r="L137">
        <v>3.2863000000000002</v>
      </c>
      <c r="M137">
        <v>27.569099999999999</v>
      </c>
      <c r="N137">
        <v>-19.213899999999999</v>
      </c>
      <c r="O137">
        <v>-34.621600000000001</v>
      </c>
      <c r="P137">
        <v>59.88</v>
      </c>
      <c r="S137">
        <f t="shared" si="47"/>
        <v>800.62739999999997</v>
      </c>
      <c r="T137">
        <f t="shared" si="48"/>
        <v>1.415572137228E-2</v>
      </c>
      <c r="U137">
        <f t="shared" si="49"/>
        <v>1.58431583570551E-2</v>
      </c>
      <c r="V137">
        <f t="shared" si="50"/>
        <v>5.7654096979815897E-2</v>
      </c>
      <c r="W137">
        <f t="shared" si="51"/>
        <v>3.2811274703960268E-3</v>
      </c>
      <c r="X137">
        <f t="shared" si="52"/>
        <v>0.11661127029787478</v>
      </c>
      <c r="Y137">
        <f t="shared" si="53"/>
        <v>9.3746499154172199E-5</v>
      </c>
      <c r="Z137">
        <f t="shared" si="54"/>
        <v>2.7186484754709935E-3</v>
      </c>
      <c r="AA137">
        <f t="shared" si="55"/>
        <v>0.29252957584865186</v>
      </c>
      <c r="AB137">
        <f t="shared" si="56"/>
        <v>8.0695111541928335E-2</v>
      </c>
      <c r="AC137">
        <f t="shared" si="57"/>
        <v>0.13805184462642719</v>
      </c>
      <c r="AD137">
        <f t="shared" si="58"/>
        <v>3.0807912017035608E-3</v>
      </c>
      <c r="AE137">
        <f t="shared" si="59"/>
        <v>2.5845066098312885E-2</v>
      </c>
      <c r="AG137">
        <f t="shared" si="60"/>
        <v>-0.92457790512111382</v>
      </c>
      <c r="AH137">
        <f t="shared" si="61"/>
        <v>0.23620283555035984</v>
      </c>
      <c r="AI137">
        <f t="shared" si="62"/>
        <v>-0.46450791516636203</v>
      </c>
      <c r="AK137" s="26">
        <f t="shared" si="63"/>
        <v>3.0511878429182709E-2</v>
      </c>
      <c r="AL137" s="26">
        <f t="shared" si="64"/>
        <v>4.8216345969076702E-2</v>
      </c>
      <c r="AM137" s="26">
        <f t="shared" si="65"/>
        <v>5.1234994636926934E-2</v>
      </c>
      <c r="AN137" s="26">
        <f t="shared" si="66"/>
        <v>20.826507936507923</v>
      </c>
      <c r="AO137" s="26">
        <f t="shared" si="67"/>
        <v>18.327783993115297</v>
      </c>
      <c r="AP137" s="26">
        <f t="shared" si="68"/>
        <v>16.122968409443075</v>
      </c>
      <c r="AS137" s="2">
        <v>45343</v>
      </c>
      <c r="AT137">
        <v>18.600000000000001</v>
      </c>
      <c r="AU137">
        <v>0.8</v>
      </c>
      <c r="AV137">
        <v>70.7</v>
      </c>
      <c r="AW137">
        <v>11.2</v>
      </c>
      <c r="AX137">
        <v>117.33</v>
      </c>
      <c r="AY137">
        <v>0.5</v>
      </c>
      <c r="AZ137">
        <v>2.6</v>
      </c>
      <c r="BA137">
        <v>162.3449</v>
      </c>
      <c r="BB137">
        <v>74.847800000000007</v>
      </c>
      <c r="BC137">
        <v>102.4217</v>
      </c>
      <c r="BD137">
        <v>3.0785999999999998</v>
      </c>
      <c r="BE137">
        <v>27.948699999999999</v>
      </c>
      <c r="BF137">
        <v>-15.2362</v>
      </c>
      <c r="BG137">
        <v>-26.980599999999999</v>
      </c>
      <c r="BH137">
        <v>64.64</v>
      </c>
    </row>
    <row r="138" spans="1:60" x14ac:dyDescent="0.25">
      <c r="A138" s="2">
        <v>45363</v>
      </c>
      <c r="B138">
        <v>14.4</v>
      </c>
      <c r="C138">
        <v>9.9</v>
      </c>
      <c r="D138">
        <v>12.2</v>
      </c>
      <c r="E138">
        <v>2.1</v>
      </c>
      <c r="F138">
        <v>94.98</v>
      </c>
      <c r="G138">
        <v>0.1</v>
      </c>
      <c r="H138">
        <v>3</v>
      </c>
      <c r="I138">
        <v>340.4289</v>
      </c>
      <c r="J138">
        <v>102.1551</v>
      </c>
      <c r="K138">
        <v>176.9974</v>
      </c>
      <c r="L138">
        <v>3.9209000000000001</v>
      </c>
      <c r="M138">
        <v>31.691700000000001</v>
      </c>
      <c r="N138">
        <v>-18.535399999999999</v>
      </c>
      <c r="O138">
        <v>-34.231000000000002</v>
      </c>
      <c r="P138">
        <v>60.08</v>
      </c>
      <c r="S138">
        <f t="shared" si="47"/>
        <v>791.87399999999991</v>
      </c>
      <c r="T138">
        <f t="shared" si="48"/>
        <v>1.3499495878200795E-2</v>
      </c>
      <c r="U138">
        <f t="shared" si="49"/>
        <v>9.2809034162630467E-3</v>
      </c>
      <c r="V138">
        <f t="shared" si="50"/>
        <v>1.1437072896809007E-2</v>
      </c>
      <c r="W138">
        <f t="shared" si="51"/>
        <v>1.9686764822376161E-3</v>
      </c>
      <c r="X138">
        <f t="shared" si="52"/>
        <v>8.9040424896632747E-2</v>
      </c>
      <c r="Y138">
        <f t="shared" si="53"/>
        <v>9.3746499154172199E-5</v>
      </c>
      <c r="Z138">
        <f t="shared" si="54"/>
        <v>2.8123949746251659E-3</v>
      </c>
      <c r="AA138">
        <f t="shared" si="55"/>
        <v>0.31914017585905768</v>
      </c>
      <c r="AB138">
        <f t="shared" si="56"/>
        <v>9.5766829957443761E-2</v>
      </c>
      <c r="AC138">
        <f t="shared" si="57"/>
        <v>0.16592886609390678</v>
      </c>
      <c r="AD138">
        <f t="shared" si="58"/>
        <v>3.6757064853359376E-3</v>
      </c>
      <c r="AE138">
        <f t="shared" si="59"/>
        <v>2.9709859272442789E-2</v>
      </c>
      <c r="AG138">
        <f t="shared" si="60"/>
        <v>-0.91430594071115123</v>
      </c>
      <c r="AH138">
        <f t="shared" si="61"/>
        <v>0.15784257431636534</v>
      </c>
      <c r="AI138">
        <f t="shared" si="62"/>
        <v>-1.0410701697591183</v>
      </c>
      <c r="AK138" s="26">
        <f t="shared" si="63"/>
        <v>3.3715157616249408E-2</v>
      </c>
      <c r="AL138" s="26">
        <f t="shared" si="64"/>
        <v>4.9135175858868174E-2</v>
      </c>
      <c r="AM138" s="26">
        <f t="shared" si="65"/>
        <v>5.1420736773319292E-2</v>
      </c>
      <c r="AN138" s="26">
        <f t="shared" si="66"/>
        <v>20.760317460317474</v>
      </c>
      <c r="AO138" s="26">
        <f t="shared" si="67"/>
        <v>18.194012478485348</v>
      </c>
      <c r="AP138" s="26">
        <f t="shared" si="68"/>
        <v>16.03846773981779</v>
      </c>
      <c r="AS138" s="2">
        <v>45342</v>
      </c>
      <c r="AT138">
        <v>18.899999999999999</v>
      </c>
      <c r="AU138">
        <v>0.9</v>
      </c>
      <c r="AV138">
        <v>69.7</v>
      </c>
      <c r="AW138">
        <v>9.5</v>
      </c>
      <c r="AX138">
        <v>88.86</v>
      </c>
      <c r="AY138">
        <v>0.5</v>
      </c>
      <c r="AZ138">
        <v>2.5</v>
      </c>
      <c r="BA138">
        <v>205.62549999999999</v>
      </c>
      <c r="BB138">
        <v>76.022099999999995</v>
      </c>
      <c r="BC138">
        <v>110.001</v>
      </c>
      <c r="BD138">
        <v>2.9224999999999999</v>
      </c>
      <c r="BE138">
        <v>31.936299999999999</v>
      </c>
      <c r="BF138">
        <v>-16.760899999999999</v>
      </c>
      <c r="BG138">
        <v>-27.387699999999999</v>
      </c>
      <c r="BH138">
        <v>64.87</v>
      </c>
    </row>
    <row r="139" spans="1:60" x14ac:dyDescent="0.25">
      <c r="A139" s="2">
        <v>45362</v>
      </c>
      <c r="B139">
        <v>14.4</v>
      </c>
      <c r="C139">
        <v>76</v>
      </c>
      <c r="D139">
        <v>83.2</v>
      </c>
      <c r="E139">
        <v>6.8</v>
      </c>
      <c r="F139">
        <v>162.19999999999999</v>
      </c>
      <c r="G139">
        <v>0.1</v>
      </c>
      <c r="H139">
        <v>2.9</v>
      </c>
      <c r="I139">
        <v>214.12739999999999</v>
      </c>
      <c r="J139">
        <v>80.8215</v>
      </c>
      <c r="K139">
        <v>126.9965</v>
      </c>
      <c r="L139">
        <v>3.9064000000000001</v>
      </c>
      <c r="M139">
        <v>30.203600000000002</v>
      </c>
      <c r="N139">
        <v>-19.002500000000001</v>
      </c>
      <c r="O139">
        <v>-34.016100000000002</v>
      </c>
      <c r="P139">
        <v>60.34</v>
      </c>
      <c r="S139">
        <f t="shared" si="47"/>
        <v>801.65539999999999</v>
      </c>
      <c r="T139">
        <f t="shared" si="48"/>
        <v>1.3499495878200795E-2</v>
      </c>
      <c r="U139">
        <f t="shared" si="49"/>
        <v>7.1247339357170869E-2</v>
      </c>
      <c r="V139">
        <f t="shared" si="50"/>
        <v>7.7997087296271264E-2</v>
      </c>
      <c r="W139">
        <f t="shared" si="51"/>
        <v>6.3747619424837088E-3</v>
      </c>
      <c r="X139">
        <f t="shared" si="52"/>
        <v>0.15205682162806727</v>
      </c>
      <c r="Y139">
        <f t="shared" si="53"/>
        <v>9.3746499154172199E-5</v>
      </c>
      <c r="Z139">
        <f t="shared" si="54"/>
        <v>2.7186484754709935E-3</v>
      </c>
      <c r="AA139">
        <f t="shared" si="55"/>
        <v>0.20073694122985089</v>
      </c>
      <c r="AB139">
        <f t="shared" si="56"/>
        <v>7.5767326813889271E-2</v>
      </c>
      <c r="AC139">
        <f t="shared" si="57"/>
        <v>0.11905477279832828</v>
      </c>
      <c r="AD139">
        <f t="shared" si="58"/>
        <v>3.6621132429585828E-3</v>
      </c>
      <c r="AE139">
        <f t="shared" si="59"/>
        <v>2.8314817618529553E-2</v>
      </c>
      <c r="AG139">
        <f t="shared" si="60"/>
        <v>-0.90115395968939749</v>
      </c>
      <c r="AH139">
        <f t="shared" si="61"/>
        <v>0.35230271869534863</v>
      </c>
      <c r="AI139">
        <f t="shared" si="62"/>
        <v>0.39132692748904235</v>
      </c>
      <c r="AK139" s="26">
        <f t="shared" si="63"/>
        <v>3.7704590481103972E-2</v>
      </c>
      <c r="AL139" s="26">
        <f t="shared" si="64"/>
        <v>5.1178780077661662E-2</v>
      </c>
      <c r="AM139" s="26">
        <f t="shared" si="65"/>
        <v>5.2170062400430178E-2</v>
      </c>
      <c r="AN139" s="26">
        <f t="shared" si="66"/>
        <v>20.691428571428574</v>
      </c>
      <c r="AO139" s="26">
        <f t="shared" si="67"/>
        <v>18.060910068846795</v>
      </c>
      <c r="AP139" s="26">
        <f t="shared" si="68"/>
        <v>15.95370000787797</v>
      </c>
      <c r="AS139" s="2">
        <v>45341</v>
      </c>
      <c r="AT139">
        <v>16.899999999999999</v>
      </c>
      <c r="AU139">
        <v>42.7</v>
      </c>
      <c r="AV139">
        <v>67.599999999999994</v>
      </c>
      <c r="AW139">
        <v>12.6</v>
      </c>
      <c r="AX139">
        <v>62.97</v>
      </c>
      <c r="AY139">
        <v>0.4</v>
      </c>
      <c r="AZ139">
        <v>2.4</v>
      </c>
      <c r="BA139">
        <v>190.607</v>
      </c>
      <c r="BB139">
        <v>79.111400000000003</v>
      </c>
      <c r="BC139">
        <v>88.655600000000007</v>
      </c>
      <c r="BD139">
        <v>3.1808000000000001</v>
      </c>
      <c r="BE139">
        <v>31.434200000000001</v>
      </c>
      <c r="BF139">
        <v>-16.167100000000001</v>
      </c>
      <c r="BG139">
        <v>-26.8079</v>
      </c>
      <c r="BH139">
        <v>65.08</v>
      </c>
    </row>
    <row r="140" spans="1:60" x14ac:dyDescent="0.25">
      <c r="A140" s="2">
        <v>45361</v>
      </c>
      <c r="B140">
        <v>13.3</v>
      </c>
      <c r="C140">
        <v>0</v>
      </c>
      <c r="D140">
        <v>99</v>
      </c>
      <c r="E140">
        <v>10.6</v>
      </c>
      <c r="F140">
        <v>147.04</v>
      </c>
      <c r="G140">
        <v>0.1</v>
      </c>
      <c r="H140">
        <v>2.8</v>
      </c>
      <c r="I140">
        <v>102.22190000000001</v>
      </c>
      <c r="J140">
        <v>54.586799999999997</v>
      </c>
      <c r="K140">
        <v>47.763100000000001</v>
      </c>
      <c r="L140">
        <v>3.9106000000000001</v>
      </c>
      <c r="M140">
        <v>11.578200000000001</v>
      </c>
      <c r="P140">
        <v>60.58</v>
      </c>
      <c r="S140">
        <f t="shared" si="47"/>
        <v>492.9006</v>
      </c>
      <c r="T140">
        <f t="shared" si="48"/>
        <v>1.2468284387504903E-2</v>
      </c>
      <c r="U140">
        <f t="shared" si="49"/>
        <v>0</v>
      </c>
      <c r="V140">
        <f t="shared" si="50"/>
        <v>9.2809034162630463E-2</v>
      </c>
      <c r="W140">
        <f t="shared" si="51"/>
        <v>9.9371289103422512E-3</v>
      </c>
      <c r="X140">
        <f t="shared" si="52"/>
        <v>0.13784485235629479</v>
      </c>
      <c r="Y140">
        <f t="shared" si="53"/>
        <v>9.3746499154172199E-5</v>
      </c>
      <c r="Z140">
        <f t="shared" si="54"/>
        <v>2.624901976316821E-3</v>
      </c>
      <c r="AA140">
        <f t="shared" si="55"/>
        <v>9.5829452618878749E-2</v>
      </c>
      <c r="AB140">
        <f t="shared" si="56"/>
        <v>5.1173214000289666E-2</v>
      </c>
      <c r="AC140">
        <f t="shared" si="57"/>
        <v>4.4776234137506421E-2</v>
      </c>
      <c r="AD140">
        <f t="shared" si="58"/>
        <v>3.6660505959230576E-3</v>
      </c>
      <c r="AE140">
        <f t="shared" si="59"/>
        <v>1.0854157165068365E-2</v>
      </c>
      <c r="AG140">
        <f t="shared" si="60"/>
        <v>-0.88894210181908262</v>
      </c>
      <c r="AH140">
        <f t="shared" si="61"/>
        <v>0.26663210545731175</v>
      </c>
      <c r="AI140">
        <f t="shared" si="62"/>
        <v>-0.23663097193774682</v>
      </c>
      <c r="AK140" s="26">
        <f t="shared" si="63"/>
        <v>3.390431870702687E-2</v>
      </c>
      <c r="AL140" s="26">
        <f t="shared" si="64"/>
        <v>5.1014993487526666E-2</v>
      </c>
      <c r="AM140" s="26">
        <f t="shared" si="65"/>
        <v>5.2668548950870947E-2</v>
      </c>
      <c r="AN140" s="26">
        <f t="shared" si="66"/>
        <v>20.609999999999992</v>
      </c>
      <c r="AO140" s="26">
        <f t="shared" si="67"/>
        <v>17.928003442340774</v>
      </c>
      <c r="AP140" s="26">
        <f t="shared" si="68"/>
        <v>15.866447047083874</v>
      </c>
      <c r="AS140" s="2">
        <v>45340</v>
      </c>
      <c r="AT140">
        <v>17</v>
      </c>
      <c r="AU140">
        <v>2.2999999999999998</v>
      </c>
      <c r="AV140">
        <v>74.8</v>
      </c>
      <c r="AW140">
        <v>7.6</v>
      </c>
      <c r="AX140">
        <v>90.46</v>
      </c>
      <c r="AY140">
        <v>0.1</v>
      </c>
      <c r="AZ140">
        <v>2.9</v>
      </c>
      <c r="BA140">
        <v>139.7938</v>
      </c>
      <c r="BB140">
        <v>49.2164</v>
      </c>
      <c r="BC140">
        <v>67.540899999999993</v>
      </c>
      <c r="BD140">
        <v>3.1903000000000001</v>
      </c>
      <c r="BE140">
        <v>11.181800000000001</v>
      </c>
      <c r="BH140">
        <v>65.28</v>
      </c>
    </row>
    <row r="141" spans="1:60" x14ac:dyDescent="0.25">
      <c r="A141" s="2">
        <v>45360</v>
      </c>
      <c r="B141">
        <v>13.9</v>
      </c>
      <c r="C141">
        <v>0</v>
      </c>
      <c r="D141">
        <v>102.2</v>
      </c>
      <c r="E141">
        <v>10.3</v>
      </c>
      <c r="F141">
        <v>241.42</v>
      </c>
      <c r="G141">
        <v>0.1</v>
      </c>
      <c r="H141">
        <v>2.8</v>
      </c>
      <c r="I141">
        <v>94.448999999999998</v>
      </c>
      <c r="J141">
        <v>48.479700000000001</v>
      </c>
      <c r="K141">
        <v>55.641800000000003</v>
      </c>
      <c r="L141">
        <v>3.9203999999999999</v>
      </c>
      <c r="M141">
        <v>22.166899999999998</v>
      </c>
      <c r="P141">
        <v>60.66</v>
      </c>
      <c r="S141">
        <f t="shared" si="47"/>
        <v>595.37779999999998</v>
      </c>
      <c r="T141">
        <f t="shared" si="48"/>
        <v>1.3030763382429936E-2</v>
      </c>
      <c r="U141">
        <f t="shared" si="49"/>
        <v>0</v>
      </c>
      <c r="V141">
        <f t="shared" si="50"/>
        <v>9.5808922135563981E-2</v>
      </c>
      <c r="W141">
        <f t="shared" si="51"/>
        <v>9.6558894128797364E-3</v>
      </c>
      <c r="X141">
        <f t="shared" si="52"/>
        <v>0.2263227982580025</v>
      </c>
      <c r="Y141">
        <f t="shared" si="53"/>
        <v>9.3746499154172199E-5</v>
      </c>
      <c r="Z141">
        <f t="shared" si="54"/>
        <v>2.624901976316821E-3</v>
      </c>
      <c r="AA141">
        <f t="shared" si="55"/>
        <v>8.8542630986124096E-2</v>
      </c>
      <c r="AB141">
        <f t="shared" si="56"/>
        <v>4.5448021550445215E-2</v>
      </c>
      <c r="AC141">
        <f t="shared" si="57"/>
        <v>5.2162239566366182E-2</v>
      </c>
      <c r="AD141">
        <f t="shared" si="58"/>
        <v>3.6752377528401665E-3</v>
      </c>
      <c r="AE141">
        <f t="shared" si="59"/>
        <v>2.0780692721006192E-2</v>
      </c>
      <c r="AG141">
        <f t="shared" si="60"/>
        <v>-0.88438833925918414</v>
      </c>
      <c r="AH141">
        <f t="shared" si="61"/>
        <v>0.36831771438535332</v>
      </c>
      <c r="AI141">
        <f t="shared" si="62"/>
        <v>0.51440922247101306</v>
      </c>
      <c r="AK141" s="26">
        <f t="shared" si="63"/>
        <v>3.2959798919413918E-2</v>
      </c>
      <c r="AL141" s="26">
        <f t="shared" si="64"/>
        <v>5.1291509012572595E-2</v>
      </c>
      <c r="AM141" s="26">
        <f t="shared" si="65"/>
        <v>5.1805612160286119E-2</v>
      </c>
      <c r="AN141" s="26">
        <f t="shared" si="66"/>
        <v>20.522698412698389</v>
      </c>
      <c r="AO141" s="26">
        <f t="shared" si="67"/>
        <v>17.796262908777948</v>
      </c>
      <c r="AP141" s="26">
        <f t="shared" si="68"/>
        <v>15.77689372653029</v>
      </c>
      <c r="AS141" s="2">
        <v>45339</v>
      </c>
      <c r="AT141">
        <v>16.100000000000001</v>
      </c>
      <c r="AU141">
        <v>51.9</v>
      </c>
      <c r="AV141">
        <v>39.1</v>
      </c>
      <c r="AW141">
        <v>7.2</v>
      </c>
      <c r="AX141">
        <v>73.010000000000005</v>
      </c>
      <c r="AY141">
        <v>0.1</v>
      </c>
      <c r="AZ141">
        <v>3</v>
      </c>
      <c r="BA141">
        <v>217.90270000000001</v>
      </c>
      <c r="BB141">
        <v>61.420499999999997</v>
      </c>
      <c r="BC141">
        <v>104.2454</v>
      </c>
      <c r="BD141">
        <v>3.2267000000000001</v>
      </c>
      <c r="BE141">
        <v>24.609000000000002</v>
      </c>
      <c r="BH141">
        <v>65.38</v>
      </c>
    </row>
    <row r="142" spans="1:60" x14ac:dyDescent="0.25">
      <c r="A142" s="2">
        <v>45359</v>
      </c>
      <c r="B142">
        <v>15.2</v>
      </c>
      <c r="C142">
        <v>0</v>
      </c>
      <c r="D142">
        <v>71.8</v>
      </c>
      <c r="E142">
        <v>10.5</v>
      </c>
      <c r="F142">
        <v>260.42</v>
      </c>
      <c r="G142">
        <v>0.1</v>
      </c>
      <c r="H142">
        <v>2.8</v>
      </c>
      <c r="I142">
        <v>163.1892</v>
      </c>
      <c r="J142">
        <v>50.542499999999997</v>
      </c>
      <c r="K142">
        <v>88.242699999999999</v>
      </c>
      <c r="L142">
        <v>3.7473999999999998</v>
      </c>
      <c r="M142">
        <v>30.362300000000001</v>
      </c>
      <c r="N142">
        <v>-19.4832</v>
      </c>
      <c r="O142">
        <v>-34.162399999999998</v>
      </c>
      <c r="P142">
        <v>60.77</v>
      </c>
      <c r="S142">
        <f t="shared" si="47"/>
        <v>696.90410000000008</v>
      </c>
      <c r="T142">
        <f t="shared" si="48"/>
        <v>1.4249467871434173E-2</v>
      </c>
      <c r="U142">
        <f t="shared" si="49"/>
        <v>0</v>
      </c>
      <c r="V142">
        <f t="shared" si="50"/>
        <v>6.7309986392695628E-2</v>
      </c>
      <c r="W142">
        <f t="shared" si="51"/>
        <v>9.8433824111880796E-3</v>
      </c>
      <c r="X142">
        <f t="shared" si="52"/>
        <v>0.24413463309729524</v>
      </c>
      <c r="Y142">
        <f t="shared" si="53"/>
        <v>9.3746499154172199E-5</v>
      </c>
      <c r="Z142">
        <f t="shared" si="54"/>
        <v>2.624901976316821E-3</v>
      </c>
      <c r="AA142">
        <f t="shared" si="55"/>
        <v>0.15298416199770037</v>
      </c>
      <c r="AB142">
        <f t="shared" si="56"/>
        <v>4.7381824334997477E-2</v>
      </c>
      <c r="AC142">
        <f t="shared" si="57"/>
        <v>8.2724442009118701E-2</v>
      </c>
      <c r="AD142">
        <f t="shared" si="58"/>
        <v>3.5130563093034484E-3</v>
      </c>
      <c r="AE142">
        <f t="shared" si="59"/>
        <v>2.8463593312687226E-2</v>
      </c>
      <c r="AG142">
        <f t="shared" si="60"/>
        <v>-0.8784179689842615</v>
      </c>
      <c r="AH142">
        <f t="shared" si="61"/>
        <v>0.36671971156077132</v>
      </c>
      <c r="AI142">
        <f t="shared" si="62"/>
        <v>0.50668775983460657</v>
      </c>
      <c r="AK142" s="26">
        <f t="shared" si="63"/>
        <v>2.7771845335627016E-2</v>
      </c>
      <c r="AL142" s="26">
        <f t="shared" si="64"/>
        <v>4.8596143492661031E-2</v>
      </c>
      <c r="AM142" s="26">
        <f t="shared" si="65"/>
        <v>5.0224223117806777E-2</v>
      </c>
      <c r="AN142" s="26">
        <f t="shared" si="66"/>
        <v>20.432380952380925</v>
      </c>
      <c r="AO142" s="26">
        <f t="shared" si="67"/>
        <v>17.666168244406187</v>
      </c>
      <c r="AP142" s="26">
        <f t="shared" si="68"/>
        <v>15.687993750164125</v>
      </c>
      <c r="AS142" s="2">
        <v>45338</v>
      </c>
      <c r="AT142">
        <v>16.100000000000001</v>
      </c>
      <c r="AU142">
        <v>9.3000000000000007</v>
      </c>
      <c r="AV142">
        <v>80.5</v>
      </c>
      <c r="AW142">
        <v>11.2</v>
      </c>
      <c r="AX142">
        <v>97.63</v>
      </c>
      <c r="AY142">
        <v>0.1</v>
      </c>
      <c r="AZ142">
        <v>3</v>
      </c>
      <c r="BA142">
        <v>219.16579999999999</v>
      </c>
      <c r="BB142">
        <v>69.072299999999998</v>
      </c>
      <c r="BC142">
        <v>91.438199999999995</v>
      </c>
      <c r="BD142">
        <v>3.2947000000000002</v>
      </c>
      <c r="BE142">
        <v>24.804300000000001</v>
      </c>
      <c r="BF142">
        <v>-17.089200000000002</v>
      </c>
      <c r="BG142">
        <v>-27.747900000000001</v>
      </c>
      <c r="BH142">
        <v>65.489999999999995</v>
      </c>
    </row>
    <row r="143" spans="1:60" x14ac:dyDescent="0.25">
      <c r="A143" s="2">
        <v>45358</v>
      </c>
      <c r="B143">
        <v>16.5</v>
      </c>
      <c r="C143">
        <v>0</v>
      </c>
      <c r="D143">
        <v>38.4</v>
      </c>
      <c r="E143">
        <v>5.2</v>
      </c>
      <c r="F143">
        <v>140.47</v>
      </c>
      <c r="G143">
        <v>0.1</v>
      </c>
      <c r="H143">
        <v>2.8</v>
      </c>
      <c r="I143">
        <v>335.93520000000001</v>
      </c>
      <c r="J143">
        <v>97.063400000000001</v>
      </c>
      <c r="K143">
        <v>138.60740000000001</v>
      </c>
      <c r="L143">
        <v>3.9077999999999999</v>
      </c>
      <c r="M143">
        <v>25.657499999999999</v>
      </c>
      <c r="N143">
        <v>-16.329499999999999</v>
      </c>
      <c r="O143">
        <v>-31.9711</v>
      </c>
      <c r="P143">
        <v>61</v>
      </c>
      <c r="S143">
        <f t="shared" si="47"/>
        <v>804.6413</v>
      </c>
      <c r="T143">
        <f t="shared" si="48"/>
        <v>1.5468172360438412E-2</v>
      </c>
      <c r="U143">
        <f t="shared" si="49"/>
        <v>0</v>
      </c>
      <c r="V143">
        <f t="shared" si="50"/>
        <v>3.5998655675202121E-2</v>
      </c>
      <c r="W143">
        <f t="shared" si="51"/>
        <v>4.874817956016954E-3</v>
      </c>
      <c r="X143">
        <f t="shared" si="52"/>
        <v>0.13168570736186569</v>
      </c>
      <c r="Y143">
        <f t="shared" si="53"/>
        <v>9.3746499154172199E-5</v>
      </c>
      <c r="Z143">
        <f t="shared" si="54"/>
        <v>2.624901976316821E-3</v>
      </c>
      <c r="AA143">
        <f t="shared" si="55"/>
        <v>0.31492748942656668</v>
      </c>
      <c r="AB143">
        <f t="shared" si="56"/>
        <v>9.0993539460010778E-2</v>
      </c>
      <c r="AC143">
        <f t="shared" si="57"/>
        <v>0.12993958506862008</v>
      </c>
      <c r="AD143">
        <f t="shared" si="58"/>
        <v>3.6634256939467409E-3</v>
      </c>
      <c r="AE143">
        <f t="shared" si="59"/>
        <v>2.4053008020481728E-2</v>
      </c>
      <c r="AG143">
        <f t="shared" si="60"/>
        <v>-0.86672464107537328</v>
      </c>
      <c r="AH143">
        <f t="shared" si="61"/>
        <v>0.21479900984947586</v>
      </c>
      <c r="AI143">
        <f t="shared" si="62"/>
        <v>-0.6029829735451776</v>
      </c>
      <c r="AK143" s="26">
        <f t="shared" si="63"/>
        <v>2.3523603683282129E-2</v>
      </c>
      <c r="AL143" s="26">
        <f t="shared" si="64"/>
        <v>4.7810296985254686E-2</v>
      </c>
      <c r="AM143" s="26">
        <f t="shared" si="65"/>
        <v>4.9073703866444301E-2</v>
      </c>
      <c r="AN143" s="26">
        <f t="shared" si="66"/>
        <v>20.339206349206329</v>
      </c>
      <c r="AO143" s="26">
        <f t="shared" si="67"/>
        <v>17.534040447504296</v>
      </c>
      <c r="AP143" s="26">
        <f t="shared" si="68"/>
        <v>15.601108951970815</v>
      </c>
      <c r="AS143" s="2">
        <v>45337</v>
      </c>
      <c r="AT143">
        <v>16.899999999999999</v>
      </c>
      <c r="AU143">
        <v>1.7</v>
      </c>
      <c r="AV143">
        <v>63.6</v>
      </c>
      <c r="AW143">
        <v>7</v>
      </c>
      <c r="AX143">
        <v>96.8</v>
      </c>
      <c r="AY143">
        <v>0.2</v>
      </c>
      <c r="AZ143">
        <v>2.9</v>
      </c>
      <c r="BA143">
        <v>278.00009999999997</v>
      </c>
      <c r="BB143">
        <v>98.8446</v>
      </c>
      <c r="BC143">
        <v>117.7679</v>
      </c>
      <c r="BD143">
        <v>3.6143000000000001</v>
      </c>
      <c r="BE143">
        <v>23.570900000000002</v>
      </c>
      <c r="BF143">
        <v>-15.962899999999999</v>
      </c>
      <c r="BG143">
        <v>-27.0288</v>
      </c>
      <c r="BH143">
        <v>65.67</v>
      </c>
    </row>
    <row r="144" spans="1:60" x14ac:dyDescent="0.25">
      <c r="A144" s="2">
        <v>45357</v>
      </c>
      <c r="B144">
        <v>17.100000000000001</v>
      </c>
      <c r="C144">
        <v>2.4</v>
      </c>
      <c r="D144">
        <v>40.6</v>
      </c>
      <c r="E144">
        <v>1.7</v>
      </c>
      <c r="F144">
        <v>122.03</v>
      </c>
      <c r="G144">
        <v>0.2</v>
      </c>
      <c r="H144">
        <v>2.6</v>
      </c>
      <c r="I144">
        <v>384.03480000000002</v>
      </c>
      <c r="J144">
        <v>135.86689999999999</v>
      </c>
      <c r="K144">
        <v>171.21119999999999</v>
      </c>
      <c r="L144">
        <v>3.6806000000000001</v>
      </c>
      <c r="M144">
        <v>27.6266</v>
      </c>
      <c r="N144">
        <v>-15.1896</v>
      </c>
      <c r="O144">
        <v>-30.725100000000001</v>
      </c>
      <c r="P144">
        <v>61.28</v>
      </c>
      <c r="S144">
        <f t="shared" si="47"/>
        <v>909.05010000000004</v>
      </c>
      <c r="T144">
        <f t="shared" si="48"/>
        <v>1.6030651355363447E-2</v>
      </c>
      <c r="U144">
        <f t="shared" si="49"/>
        <v>2.2499159797001326E-3</v>
      </c>
      <c r="V144">
        <f t="shared" si="50"/>
        <v>3.8061078656593909E-2</v>
      </c>
      <c r="W144">
        <f t="shared" si="51"/>
        <v>1.5936904856209272E-3</v>
      </c>
      <c r="X144">
        <f t="shared" si="52"/>
        <v>0.11439885291783633</v>
      </c>
      <c r="Y144">
        <f t="shared" si="53"/>
        <v>1.874929983083444E-4</v>
      </c>
      <c r="Z144">
        <f t="shared" si="54"/>
        <v>2.437408978008477E-3</v>
      </c>
      <c r="AA144">
        <f t="shared" si="55"/>
        <v>0.36001918053372689</v>
      </c>
      <c r="AB144">
        <f t="shared" si="56"/>
        <v>0.12737046225929996</v>
      </c>
      <c r="AC144">
        <f t="shared" si="57"/>
        <v>0.16050450615984804</v>
      </c>
      <c r="AD144">
        <f t="shared" si="58"/>
        <v>3.4504336478684617E-3</v>
      </c>
      <c r="AE144">
        <f t="shared" si="59"/>
        <v>2.5898970335326534E-2</v>
      </c>
      <c r="AG144">
        <f t="shared" si="60"/>
        <v>-0.85265929014322106</v>
      </c>
      <c r="AH144">
        <f t="shared" si="61"/>
        <v>0.2008580617067581</v>
      </c>
      <c r="AI144">
        <f t="shared" si="62"/>
        <v>-0.70366923978153706</v>
      </c>
      <c r="AK144" s="26">
        <f t="shared" si="63"/>
        <v>2.6687678977226348E-2</v>
      </c>
      <c r="AL144" s="26">
        <f t="shared" si="64"/>
        <v>4.8834969435773257E-2</v>
      </c>
      <c r="AM144" s="26">
        <f t="shared" si="65"/>
        <v>4.8976879963239212E-2</v>
      </c>
      <c r="AN144" s="26">
        <f t="shared" si="66"/>
        <v>20.239206349206327</v>
      </c>
      <c r="AO144" s="26">
        <f t="shared" si="67"/>
        <v>17.414330895008597</v>
      </c>
      <c r="AP144" s="26">
        <f t="shared" si="68"/>
        <v>15.515385625377519</v>
      </c>
      <c r="AS144" s="2">
        <v>45336</v>
      </c>
      <c r="AT144">
        <v>17.5</v>
      </c>
      <c r="AU144">
        <v>2.4</v>
      </c>
      <c r="AV144">
        <v>39.5</v>
      </c>
      <c r="AW144">
        <v>9.3000000000000007</v>
      </c>
      <c r="AX144">
        <v>62.24</v>
      </c>
      <c r="AY144">
        <v>0.5</v>
      </c>
      <c r="AZ144">
        <v>3</v>
      </c>
      <c r="BA144">
        <v>281.16770000000002</v>
      </c>
      <c r="BB144">
        <v>100.6765</v>
      </c>
      <c r="BC144">
        <v>102.81359999999999</v>
      </c>
      <c r="BD144">
        <v>3.9098000000000002</v>
      </c>
      <c r="BE144">
        <v>26.5319</v>
      </c>
      <c r="BF144">
        <v>-14.8203</v>
      </c>
      <c r="BG144">
        <v>-24.861499999999999</v>
      </c>
      <c r="BH144">
        <v>65.89</v>
      </c>
    </row>
    <row r="145" spans="1:60" x14ac:dyDescent="0.25">
      <c r="A145" s="2">
        <v>45356</v>
      </c>
      <c r="B145">
        <v>15.3</v>
      </c>
      <c r="C145">
        <v>1.9</v>
      </c>
      <c r="D145">
        <v>72.099999999999994</v>
      </c>
      <c r="E145">
        <v>4</v>
      </c>
      <c r="F145">
        <v>77.47</v>
      </c>
      <c r="G145">
        <v>0.5</v>
      </c>
      <c r="H145">
        <v>2.5</v>
      </c>
      <c r="I145">
        <v>376.12990000000002</v>
      </c>
      <c r="J145">
        <v>122.60550000000001</v>
      </c>
      <c r="K145">
        <v>174.63749999999999</v>
      </c>
      <c r="L145">
        <v>3.8136000000000001</v>
      </c>
      <c r="M145">
        <v>20.883299999999998</v>
      </c>
      <c r="N145">
        <v>-17.770099999999999</v>
      </c>
      <c r="O145">
        <v>-32.456099999999999</v>
      </c>
      <c r="P145">
        <v>61.6</v>
      </c>
      <c r="S145">
        <f t="shared" si="47"/>
        <v>871.83979999999997</v>
      </c>
      <c r="T145">
        <f t="shared" si="48"/>
        <v>1.4343214370588346E-2</v>
      </c>
      <c r="U145">
        <f t="shared" si="49"/>
        <v>1.7811834839292716E-3</v>
      </c>
      <c r="V145">
        <f t="shared" si="50"/>
        <v>6.7591225890158146E-2</v>
      </c>
      <c r="W145">
        <f t="shared" si="51"/>
        <v>3.7498599661668877E-3</v>
      </c>
      <c r="X145">
        <f t="shared" si="52"/>
        <v>7.2625412894737201E-2</v>
      </c>
      <c r="Y145">
        <f t="shared" si="53"/>
        <v>4.6873249577086097E-4</v>
      </c>
      <c r="Z145">
        <f t="shared" si="54"/>
        <v>2.3436624788543046E-3</v>
      </c>
      <c r="AA145">
        <f t="shared" si="55"/>
        <v>0.35260861352208872</v>
      </c>
      <c r="AB145">
        <f t="shared" si="56"/>
        <v>0.11493836402046859</v>
      </c>
      <c r="AC145">
        <f t="shared" si="57"/>
        <v>0.16371654246036746</v>
      </c>
      <c r="AD145">
        <f t="shared" si="58"/>
        <v>3.5751164917435106E-3</v>
      </c>
      <c r="AE145">
        <f t="shared" si="59"/>
        <v>1.9577362657863241E-2</v>
      </c>
      <c r="AG145">
        <f t="shared" si="60"/>
        <v>-0.83671118536118294</v>
      </c>
      <c r="AH145">
        <f t="shared" si="61"/>
        <v>0.18248065423806828</v>
      </c>
      <c r="AI145">
        <f t="shared" si="62"/>
        <v>-0.83793197256159102</v>
      </c>
      <c r="AK145" s="26">
        <f t="shared" si="63"/>
        <v>2.9447629481753279E-2</v>
      </c>
      <c r="AL145" s="26">
        <f t="shared" si="64"/>
        <v>5.263517673784246E-2</v>
      </c>
      <c r="AM145" s="26">
        <f t="shared" si="65"/>
        <v>4.9951281146838888E-2</v>
      </c>
      <c r="AN145" s="26">
        <f t="shared" si="66"/>
        <v>20.13047619047618</v>
      </c>
      <c r="AO145" s="26">
        <f t="shared" si="67"/>
        <v>17.300705679862304</v>
      </c>
      <c r="AP145" s="26">
        <f t="shared" si="68"/>
        <v>15.430178829337507</v>
      </c>
      <c r="AS145" s="2">
        <v>45335</v>
      </c>
      <c r="AT145">
        <v>18.2</v>
      </c>
      <c r="AU145">
        <v>0.7</v>
      </c>
      <c r="AV145">
        <v>81.099999999999994</v>
      </c>
      <c r="AW145">
        <v>8.4</v>
      </c>
      <c r="AX145">
        <v>128.18</v>
      </c>
      <c r="AY145">
        <v>0.5</v>
      </c>
      <c r="AZ145">
        <v>2.8</v>
      </c>
      <c r="BA145">
        <v>264.47500000000002</v>
      </c>
      <c r="BB145">
        <v>85.254499999999993</v>
      </c>
      <c r="BC145">
        <v>120.24979999999999</v>
      </c>
      <c r="BD145">
        <v>3.8317000000000001</v>
      </c>
      <c r="BE145">
        <v>18.848800000000001</v>
      </c>
      <c r="BF145">
        <v>-15.7202</v>
      </c>
      <c r="BG145">
        <v>-24.722100000000001</v>
      </c>
      <c r="BH145">
        <v>66.17</v>
      </c>
    </row>
    <row r="146" spans="1:60" x14ac:dyDescent="0.25">
      <c r="A146" s="2">
        <v>45355</v>
      </c>
      <c r="B146">
        <v>15.9</v>
      </c>
      <c r="C146">
        <v>14.1</v>
      </c>
      <c r="D146">
        <v>33.799999999999997</v>
      </c>
      <c r="E146">
        <v>3.1</v>
      </c>
      <c r="F146">
        <v>106.77</v>
      </c>
      <c r="G146">
        <v>0.5</v>
      </c>
      <c r="H146">
        <v>2.6</v>
      </c>
      <c r="I146">
        <v>332.49279999999999</v>
      </c>
      <c r="J146">
        <v>103.6074</v>
      </c>
      <c r="K146">
        <v>144.83080000000001</v>
      </c>
      <c r="L146">
        <v>3.4803000000000002</v>
      </c>
      <c r="M146">
        <v>31.832100000000001</v>
      </c>
      <c r="N146">
        <v>-19.657499999999999</v>
      </c>
      <c r="O146">
        <v>-33.001399999999997</v>
      </c>
      <c r="P146">
        <v>61.87</v>
      </c>
      <c r="S146">
        <f t="shared" si="47"/>
        <v>793.01340000000005</v>
      </c>
      <c r="T146">
        <f t="shared" si="48"/>
        <v>1.4905693365513379E-2</v>
      </c>
      <c r="U146">
        <f t="shared" si="49"/>
        <v>1.3218256380738279E-2</v>
      </c>
      <c r="V146">
        <f t="shared" si="50"/>
        <v>3.1686316714110201E-2</v>
      </c>
      <c r="W146">
        <f t="shared" si="51"/>
        <v>2.9061414737793379E-3</v>
      </c>
      <c r="X146">
        <f t="shared" si="52"/>
        <v>0.10009313714690965</v>
      </c>
      <c r="Y146">
        <f t="shared" si="53"/>
        <v>4.6873249577086097E-4</v>
      </c>
      <c r="Z146">
        <f t="shared" si="54"/>
        <v>2.437408978008477E-3</v>
      </c>
      <c r="AA146">
        <f t="shared" si="55"/>
        <v>0.31170035993968342</v>
      </c>
      <c r="AB146">
        <f t="shared" si="56"/>
        <v>9.7128310364659798E-2</v>
      </c>
      <c r="AC146">
        <f t="shared" si="57"/>
        <v>0.13577380469698083</v>
      </c>
      <c r="AD146">
        <f t="shared" si="58"/>
        <v>3.2626594100626551E-3</v>
      </c>
      <c r="AE146">
        <f t="shared" si="59"/>
        <v>2.9841479357255247E-2</v>
      </c>
      <c r="AG146">
        <f t="shared" si="60"/>
        <v>-0.82318547371315176</v>
      </c>
      <c r="AH146">
        <f t="shared" si="61"/>
        <v>0.19555716591208544</v>
      </c>
      <c r="AI146">
        <f t="shared" si="62"/>
        <v>-0.7426737577005621</v>
      </c>
      <c r="AK146" s="26">
        <f t="shared" si="63"/>
        <v>3.4946657758368416E-2</v>
      </c>
      <c r="AL146" s="26">
        <f t="shared" si="64"/>
        <v>5.4622323014965724E-2</v>
      </c>
      <c r="AM146" s="26">
        <f t="shared" si="65"/>
        <v>5.0621849271850206E-2</v>
      </c>
      <c r="AN146" s="26">
        <f t="shared" si="66"/>
        <v>20.00968253968253</v>
      </c>
      <c r="AO146" s="26">
        <f t="shared" si="67"/>
        <v>17.192082616178986</v>
      </c>
      <c r="AP146" s="26">
        <f t="shared" si="68"/>
        <v>15.34495811559573</v>
      </c>
      <c r="AS146" s="2">
        <v>45334</v>
      </c>
      <c r="AT146">
        <v>18.100000000000001</v>
      </c>
      <c r="AU146">
        <v>4.2</v>
      </c>
      <c r="AV146">
        <v>30.5</v>
      </c>
      <c r="AW146">
        <v>6.4</v>
      </c>
      <c r="AX146">
        <v>60.52</v>
      </c>
      <c r="AY146">
        <v>0.5</v>
      </c>
      <c r="AZ146">
        <v>3</v>
      </c>
      <c r="BA146">
        <v>285.8956</v>
      </c>
      <c r="BB146">
        <v>73.620099999999994</v>
      </c>
      <c r="BC146">
        <v>131.9443</v>
      </c>
      <c r="BD146">
        <v>3.774</v>
      </c>
      <c r="BE146">
        <v>38.825299999999999</v>
      </c>
      <c r="BF146">
        <v>-14.713699999999999</v>
      </c>
      <c r="BG146">
        <v>-23.683</v>
      </c>
      <c r="BH146">
        <v>66.52</v>
      </c>
    </row>
    <row r="147" spans="1:60" x14ac:dyDescent="0.25">
      <c r="A147" s="2">
        <v>45354</v>
      </c>
      <c r="B147">
        <v>16.100000000000001</v>
      </c>
      <c r="C147">
        <v>2.7</v>
      </c>
      <c r="D147">
        <v>67.900000000000006</v>
      </c>
      <c r="E147">
        <v>6.1</v>
      </c>
      <c r="F147">
        <v>201.91</v>
      </c>
      <c r="G147">
        <v>0.5</v>
      </c>
      <c r="H147">
        <v>2.7</v>
      </c>
      <c r="I147">
        <v>192.77269999999999</v>
      </c>
      <c r="J147">
        <v>55.158799999999999</v>
      </c>
      <c r="K147">
        <v>75.947900000000004</v>
      </c>
      <c r="L147">
        <v>3.9100999999999999</v>
      </c>
      <c r="M147">
        <v>12.5831</v>
      </c>
      <c r="P147">
        <v>62.09</v>
      </c>
      <c r="S147">
        <f t="shared" si="47"/>
        <v>638.28259999999989</v>
      </c>
      <c r="T147">
        <f t="shared" si="48"/>
        <v>1.5093186363821724E-2</v>
      </c>
      <c r="U147">
        <f t="shared" si="49"/>
        <v>2.5311554771626494E-3</v>
      </c>
      <c r="V147">
        <f t="shared" si="50"/>
        <v>6.3653872925682919E-2</v>
      </c>
      <c r="W147">
        <f t="shared" si="51"/>
        <v>5.7185364484045034E-3</v>
      </c>
      <c r="X147">
        <f t="shared" si="52"/>
        <v>0.18928355644218905</v>
      </c>
      <c r="Y147">
        <f t="shared" si="53"/>
        <v>4.6873249577086097E-4</v>
      </c>
      <c r="Z147">
        <f t="shared" si="54"/>
        <v>2.5311554771626494E-3</v>
      </c>
      <c r="AA147">
        <f t="shared" si="55"/>
        <v>0.18071765757497488</v>
      </c>
      <c r="AB147">
        <f t="shared" si="56"/>
        <v>5.1709443975451533E-2</v>
      </c>
      <c r="AC147">
        <f t="shared" si="57"/>
        <v>7.1198497431111549E-2</v>
      </c>
      <c r="AD147">
        <f t="shared" si="58"/>
        <v>3.6655818634272869E-3</v>
      </c>
      <c r="AE147">
        <f t="shared" si="59"/>
        <v>1.179621573506864E-2</v>
      </c>
      <c r="AG147">
        <f t="shared" si="60"/>
        <v>-0.81207328129777556</v>
      </c>
      <c r="AH147">
        <f t="shared" si="61"/>
        <v>0.29107641136526297</v>
      </c>
      <c r="AI147">
        <f t="shared" si="62"/>
        <v>-4.2311465239129452E-2</v>
      </c>
      <c r="AK147" s="26">
        <f t="shared" si="63"/>
        <v>3.586832423274311E-2</v>
      </c>
      <c r="AL147" s="26">
        <f t="shared" si="64"/>
        <v>5.5611098987038976E-2</v>
      </c>
      <c r="AM147" s="26">
        <f t="shared" si="65"/>
        <v>5.0607628129054782E-2</v>
      </c>
      <c r="AN147" s="26">
        <f t="shared" si="66"/>
        <v>19.885238095238087</v>
      </c>
      <c r="AO147" s="26">
        <f t="shared" si="67"/>
        <v>17.092794750430286</v>
      </c>
      <c r="AP147" s="26">
        <f t="shared" si="68"/>
        <v>15.260667261889139</v>
      </c>
      <c r="AS147" s="2">
        <v>45333</v>
      </c>
      <c r="AT147">
        <v>16.600000000000001</v>
      </c>
      <c r="AU147">
        <v>0</v>
      </c>
      <c r="AV147">
        <v>80.7</v>
      </c>
      <c r="AW147">
        <v>6</v>
      </c>
      <c r="AX147">
        <v>32.92</v>
      </c>
      <c r="AY147">
        <v>0.5</v>
      </c>
      <c r="AZ147">
        <v>3</v>
      </c>
      <c r="BA147">
        <v>199.18389999999999</v>
      </c>
      <c r="BB147">
        <v>51.353299999999997</v>
      </c>
      <c r="BC147">
        <v>69.408900000000003</v>
      </c>
      <c r="BD147">
        <v>3.6166</v>
      </c>
      <c r="BE147">
        <v>15.841699999999999</v>
      </c>
      <c r="BH147">
        <v>67.06</v>
      </c>
    </row>
    <row r="148" spans="1:60" x14ac:dyDescent="0.25">
      <c r="A148" s="2">
        <v>45353</v>
      </c>
      <c r="B148">
        <v>17.2</v>
      </c>
      <c r="C148">
        <v>0</v>
      </c>
      <c r="D148">
        <v>67.5</v>
      </c>
      <c r="E148">
        <v>6</v>
      </c>
      <c r="F148">
        <v>177.81</v>
      </c>
      <c r="G148">
        <v>0.5</v>
      </c>
      <c r="H148">
        <v>2.6</v>
      </c>
      <c r="I148">
        <v>186.83709999999999</v>
      </c>
      <c r="J148">
        <v>45.427199999999999</v>
      </c>
      <c r="K148">
        <v>90.161900000000003</v>
      </c>
      <c r="L148">
        <v>3.8822000000000001</v>
      </c>
      <c r="M148">
        <v>16.681799999999999</v>
      </c>
      <c r="P148">
        <v>62.16</v>
      </c>
      <c r="S148">
        <f t="shared" si="47"/>
        <v>614.60019999999997</v>
      </c>
      <c r="T148">
        <f t="shared" si="48"/>
        <v>1.6124397854517615E-2</v>
      </c>
      <c r="U148">
        <f t="shared" si="49"/>
        <v>0</v>
      </c>
      <c r="V148">
        <f t="shared" si="50"/>
        <v>6.3278886929066233E-2</v>
      </c>
      <c r="W148">
        <f t="shared" si="51"/>
        <v>5.6247899492503318E-3</v>
      </c>
      <c r="X148">
        <f t="shared" si="52"/>
        <v>0.16669065014603357</v>
      </c>
      <c r="Y148">
        <f t="shared" si="53"/>
        <v>4.6873249577086097E-4</v>
      </c>
      <c r="Z148">
        <f t="shared" si="54"/>
        <v>2.437408978008477E-3</v>
      </c>
      <c r="AA148">
        <f t="shared" si="55"/>
        <v>0.17515324037117985</v>
      </c>
      <c r="AB148">
        <f t="shared" si="56"/>
        <v>4.2586409663764112E-2</v>
      </c>
      <c r="AC148">
        <f t="shared" si="57"/>
        <v>8.4523624820885573E-2</v>
      </c>
      <c r="AD148">
        <f t="shared" si="58"/>
        <v>3.6394265901632727E-3</v>
      </c>
      <c r="AE148">
        <f t="shared" si="59"/>
        <v>1.5638603495900696E-2</v>
      </c>
      <c r="AG148">
        <f t="shared" si="60"/>
        <v>-0.80818520886605405</v>
      </c>
      <c r="AH148">
        <f t="shared" si="61"/>
        <v>0.27026346984854777</v>
      </c>
      <c r="AI148">
        <f t="shared" si="62"/>
        <v>-0.19052526505306916</v>
      </c>
      <c r="AK148" s="26">
        <f t="shared" si="63"/>
        <v>3.2308918463826136E-2</v>
      </c>
      <c r="AL148" s="26">
        <f t="shared" si="64"/>
        <v>5.474241246190506E-2</v>
      </c>
      <c r="AM148" s="26">
        <f t="shared" si="65"/>
        <v>4.9772158545751344E-2</v>
      </c>
      <c r="AN148" s="26">
        <f t="shared" si="66"/>
        <v>19.761746031746021</v>
      </c>
      <c r="AO148" s="26">
        <f t="shared" si="67"/>
        <v>16.999769793459556</v>
      </c>
      <c r="AP148" s="26">
        <f t="shared" si="68"/>
        <v>15.175438932801129</v>
      </c>
      <c r="AS148" s="2">
        <v>45332</v>
      </c>
      <c r="AT148">
        <v>16.7</v>
      </c>
      <c r="AU148">
        <v>0</v>
      </c>
      <c r="AV148">
        <v>61.9</v>
      </c>
      <c r="AW148">
        <v>4.3</v>
      </c>
      <c r="AX148">
        <v>78.61</v>
      </c>
      <c r="AY148">
        <v>0.5</v>
      </c>
      <c r="AZ148">
        <v>3.2</v>
      </c>
      <c r="BA148">
        <v>254.1301</v>
      </c>
      <c r="BB148">
        <v>54.67</v>
      </c>
      <c r="BC148">
        <v>92.356800000000007</v>
      </c>
      <c r="BD148">
        <v>3.7867999999999999</v>
      </c>
      <c r="BE148">
        <v>19.0504</v>
      </c>
      <c r="BH148">
        <v>67.040000000000006</v>
      </c>
    </row>
    <row r="149" spans="1:60" x14ac:dyDescent="0.25">
      <c r="A149" s="2">
        <v>45352</v>
      </c>
      <c r="B149">
        <v>17.399999999999999</v>
      </c>
      <c r="C149">
        <v>3.6</v>
      </c>
      <c r="D149">
        <v>73.099999999999994</v>
      </c>
      <c r="E149">
        <v>6.4</v>
      </c>
      <c r="F149">
        <v>97.52</v>
      </c>
      <c r="G149">
        <v>0.4</v>
      </c>
      <c r="H149">
        <v>2.6</v>
      </c>
      <c r="I149">
        <v>243.1782</v>
      </c>
      <c r="J149">
        <v>65.111000000000004</v>
      </c>
      <c r="K149">
        <v>122.789</v>
      </c>
      <c r="L149">
        <v>3.8921999999999999</v>
      </c>
      <c r="M149">
        <v>25.386399999999998</v>
      </c>
      <c r="N149">
        <v>-18.4892</v>
      </c>
      <c r="O149">
        <v>-32.200499999999998</v>
      </c>
      <c r="P149">
        <v>62.24</v>
      </c>
      <c r="S149">
        <f t="shared" si="47"/>
        <v>661.3768</v>
      </c>
      <c r="T149">
        <f t="shared" si="48"/>
        <v>1.6311890852825958E-2</v>
      </c>
      <c r="U149">
        <f t="shared" si="49"/>
        <v>3.3748739695501988E-3</v>
      </c>
      <c r="V149">
        <f t="shared" si="50"/>
        <v>6.8528690881699869E-2</v>
      </c>
      <c r="W149">
        <f t="shared" si="51"/>
        <v>5.9997759458670207E-3</v>
      </c>
      <c r="X149">
        <f t="shared" si="52"/>
        <v>9.1421585975148711E-2</v>
      </c>
      <c r="Y149">
        <f t="shared" si="53"/>
        <v>3.7498599661668879E-4</v>
      </c>
      <c r="Z149">
        <f t="shared" si="54"/>
        <v>2.437408978008477E-3</v>
      </c>
      <c r="AA149">
        <f t="shared" si="55"/>
        <v>0.22797104920613115</v>
      </c>
      <c r="AB149">
        <f t="shared" si="56"/>
        <v>6.1039283064273059E-2</v>
      </c>
      <c r="AC149">
        <f t="shared" si="57"/>
        <v>0.11511038884641649</v>
      </c>
      <c r="AD149">
        <f t="shared" si="58"/>
        <v>3.6488012400786897E-3</v>
      </c>
      <c r="AE149">
        <f t="shared" si="59"/>
        <v>2.3798861261274767E-2</v>
      </c>
      <c r="AG149">
        <f t="shared" si="60"/>
        <v>-0.80383700875293085</v>
      </c>
      <c r="AH149">
        <f t="shared" si="61"/>
        <v>0.2122480738609917</v>
      </c>
      <c r="AI149">
        <f t="shared" si="62"/>
        <v>-0.61009200331497726</v>
      </c>
      <c r="AK149" s="26">
        <f t="shared" si="63"/>
        <v>2.886365872988722E-2</v>
      </c>
      <c r="AL149" s="26">
        <f t="shared" si="64"/>
        <v>5.5558449476727639E-2</v>
      </c>
      <c r="AM149" s="26">
        <f t="shared" si="65"/>
        <v>4.9927784917779577E-2</v>
      </c>
      <c r="AN149" s="26">
        <f t="shared" si="66"/>
        <v>19.621269841269836</v>
      </c>
      <c r="AO149" s="26">
        <f t="shared" si="67"/>
        <v>16.909576161790014</v>
      </c>
      <c r="AP149" s="26">
        <f t="shared" si="68"/>
        <v>15.091461096084672</v>
      </c>
      <c r="AS149" s="2">
        <v>45331</v>
      </c>
      <c r="AT149">
        <v>17.899999999999999</v>
      </c>
      <c r="AU149">
        <v>0</v>
      </c>
      <c r="AV149">
        <v>81.8</v>
      </c>
      <c r="AW149">
        <v>10.199999999999999</v>
      </c>
      <c r="AX149">
        <v>43.84</v>
      </c>
      <c r="AY149">
        <v>0.5</v>
      </c>
      <c r="AZ149">
        <v>3</v>
      </c>
      <c r="BA149">
        <v>246.73419999999999</v>
      </c>
      <c r="BB149">
        <v>55.255099999999999</v>
      </c>
      <c r="BC149">
        <v>119.7514</v>
      </c>
      <c r="BD149">
        <v>3.9392</v>
      </c>
      <c r="BE149">
        <v>22.570399999999999</v>
      </c>
      <c r="BF149">
        <v>-16.197199999999999</v>
      </c>
      <c r="BG149">
        <v>-24.2075</v>
      </c>
      <c r="BH149">
        <v>67.22</v>
      </c>
    </row>
    <row r="150" spans="1:60" x14ac:dyDescent="0.25">
      <c r="A150" s="2">
        <v>45351</v>
      </c>
      <c r="B150">
        <v>17.5</v>
      </c>
      <c r="C150">
        <v>3.9</v>
      </c>
      <c r="D150">
        <v>86.4</v>
      </c>
      <c r="E150">
        <v>9</v>
      </c>
      <c r="F150">
        <v>165.91</v>
      </c>
      <c r="G150">
        <v>0.4</v>
      </c>
      <c r="H150">
        <v>2.5</v>
      </c>
      <c r="I150">
        <v>226.4247</v>
      </c>
      <c r="J150">
        <v>63.984099999999998</v>
      </c>
      <c r="K150">
        <v>129.53309999999999</v>
      </c>
      <c r="L150">
        <v>3.8923999999999999</v>
      </c>
      <c r="M150">
        <v>25.546900000000001</v>
      </c>
      <c r="N150">
        <v>-13.6151</v>
      </c>
      <c r="O150">
        <v>-27.5977</v>
      </c>
      <c r="P150">
        <v>62.52</v>
      </c>
      <c r="S150">
        <f t="shared" si="47"/>
        <v>734.99120000000005</v>
      </c>
      <c r="T150">
        <f t="shared" si="48"/>
        <v>1.6405637351980133E-2</v>
      </c>
      <c r="U150">
        <f t="shared" si="49"/>
        <v>3.6561134670127153E-3</v>
      </c>
      <c r="V150">
        <f t="shared" si="50"/>
        <v>8.0996975269204782E-2</v>
      </c>
      <c r="W150">
        <f t="shared" si="51"/>
        <v>8.4371849238754973E-3</v>
      </c>
      <c r="X150">
        <f t="shared" si="52"/>
        <v>0.15553481674668707</v>
      </c>
      <c r="Y150">
        <f t="shared" si="53"/>
        <v>3.7498599661668879E-4</v>
      </c>
      <c r="Z150">
        <f t="shared" si="54"/>
        <v>2.3436624788543046E-3</v>
      </c>
      <c r="AA150">
        <f t="shared" si="55"/>
        <v>0.21226522947033694</v>
      </c>
      <c r="AB150">
        <f t="shared" si="56"/>
        <v>5.998285376530469E-2</v>
      </c>
      <c r="AC150">
        <f t="shared" si="57"/>
        <v>0.121432746495873</v>
      </c>
      <c r="AD150">
        <f t="shared" si="58"/>
        <v>3.6489887330769981E-3</v>
      </c>
      <c r="AE150">
        <f t="shared" si="59"/>
        <v>2.3949324392417218E-2</v>
      </c>
      <c r="AG150">
        <f t="shared" si="60"/>
        <v>-0.78997359370498033</v>
      </c>
      <c r="AH150">
        <f t="shared" si="61"/>
        <v>0.29169870062664838</v>
      </c>
      <c r="AI150">
        <f t="shared" si="62"/>
        <v>-3.2185421822560879E-2</v>
      </c>
      <c r="AK150" s="26">
        <f t="shared" si="63"/>
        <v>2.6482081000263835E-2</v>
      </c>
      <c r="AL150" s="26">
        <f t="shared" si="64"/>
        <v>5.7285578261318831E-2</v>
      </c>
      <c r="AM150" s="26">
        <f t="shared" si="65"/>
        <v>4.9650805589539659E-2</v>
      </c>
      <c r="AN150" s="26">
        <f t="shared" si="66"/>
        <v>19.472539682539661</v>
      </c>
      <c r="AO150" s="26">
        <f t="shared" si="67"/>
        <v>16.825320567986218</v>
      </c>
      <c r="AP150" s="26">
        <f t="shared" si="68"/>
        <v>15.009057535253774</v>
      </c>
      <c r="AS150" s="2">
        <v>45330</v>
      </c>
      <c r="AT150">
        <v>19.100000000000001</v>
      </c>
      <c r="AU150">
        <v>96.4</v>
      </c>
      <c r="AV150">
        <v>25.7</v>
      </c>
      <c r="AW150">
        <v>3.3</v>
      </c>
      <c r="AX150">
        <v>44.46</v>
      </c>
      <c r="AY150">
        <v>0.4</v>
      </c>
      <c r="AZ150">
        <v>2.5</v>
      </c>
      <c r="BA150">
        <v>323.8895</v>
      </c>
      <c r="BB150">
        <v>141.7424</v>
      </c>
      <c r="BC150">
        <v>195.86699999999999</v>
      </c>
      <c r="BD150">
        <v>3.7549000000000001</v>
      </c>
      <c r="BE150">
        <v>28.803899999999999</v>
      </c>
      <c r="BF150">
        <v>-15.386100000000001</v>
      </c>
      <c r="BG150">
        <v>-23.543900000000001</v>
      </c>
      <c r="BH150">
        <v>67.48</v>
      </c>
    </row>
    <row r="151" spans="1:60" x14ac:dyDescent="0.25">
      <c r="A151" s="2">
        <v>45350</v>
      </c>
      <c r="B151">
        <v>18.3</v>
      </c>
      <c r="C151">
        <v>3.9</v>
      </c>
      <c r="D151">
        <v>43</v>
      </c>
      <c r="E151">
        <v>1.3</v>
      </c>
      <c r="F151">
        <v>104.81</v>
      </c>
      <c r="G151">
        <v>0.5</v>
      </c>
      <c r="H151">
        <v>2.5</v>
      </c>
      <c r="I151">
        <v>339.92919999999998</v>
      </c>
      <c r="J151">
        <v>84.610799999999998</v>
      </c>
      <c r="K151">
        <v>200.89930000000001</v>
      </c>
      <c r="L151">
        <v>3.8957000000000002</v>
      </c>
      <c r="M151">
        <v>29.724299999999999</v>
      </c>
      <c r="N151">
        <v>-14.5061</v>
      </c>
      <c r="O151">
        <v>-28.6113</v>
      </c>
      <c r="P151">
        <v>62.78</v>
      </c>
      <c r="S151">
        <f t="shared" si="47"/>
        <v>833.36930000000007</v>
      </c>
      <c r="T151">
        <f t="shared" si="48"/>
        <v>1.7155609345213513E-2</v>
      </c>
      <c r="U151">
        <f t="shared" si="49"/>
        <v>3.6561134670127153E-3</v>
      </c>
      <c r="V151">
        <f t="shared" si="50"/>
        <v>4.0310994636294041E-2</v>
      </c>
      <c r="W151">
        <f t="shared" si="51"/>
        <v>1.2187044890042385E-3</v>
      </c>
      <c r="X151">
        <f t="shared" si="52"/>
        <v>9.8255705763487869E-2</v>
      </c>
      <c r="Y151">
        <f t="shared" si="53"/>
        <v>4.6873249577086097E-4</v>
      </c>
      <c r="Z151">
        <f t="shared" si="54"/>
        <v>2.3436624788543046E-3</v>
      </c>
      <c r="AA151">
        <f t="shared" si="55"/>
        <v>0.31867172460278426</v>
      </c>
      <c r="AB151">
        <f t="shared" si="56"/>
        <v>7.9319662906338323E-2</v>
      </c>
      <c r="AC151">
        <f t="shared" si="57"/>
        <v>0.18833606057523786</v>
      </c>
      <c r="AD151">
        <f t="shared" si="58"/>
        <v>3.6520823675490863E-3</v>
      </c>
      <c r="AE151">
        <f t="shared" si="59"/>
        <v>2.7865490648083604E-2</v>
      </c>
      <c r="AG151">
        <f t="shared" si="60"/>
        <v>-0.7770955478280045</v>
      </c>
      <c r="AH151">
        <f t="shared" si="61"/>
        <v>0.19127501332372115</v>
      </c>
      <c r="AI151">
        <f t="shared" si="62"/>
        <v>-0.76281886297537527</v>
      </c>
      <c r="AK151" s="26">
        <f t="shared" si="63"/>
        <v>2.7125254898405282E-2</v>
      </c>
      <c r="AL151" s="26">
        <f t="shared" si="64"/>
        <v>5.7284153427479334E-2</v>
      </c>
      <c r="AM151" s="26">
        <f t="shared" si="65"/>
        <v>4.9839317291107271E-2</v>
      </c>
      <c r="AN151" s="26">
        <f t="shared" si="66"/>
        <v>19.311428571428557</v>
      </c>
      <c r="AO151" s="26">
        <f t="shared" si="67"/>
        <v>16.74004302925988</v>
      </c>
      <c r="AP151" s="26">
        <f t="shared" si="68"/>
        <v>14.926636905543432</v>
      </c>
      <c r="AS151" s="2">
        <v>45329</v>
      </c>
      <c r="AT151">
        <v>18</v>
      </c>
      <c r="AU151">
        <v>89.4</v>
      </c>
      <c r="AV151">
        <v>68.900000000000006</v>
      </c>
      <c r="AW151">
        <v>12.4</v>
      </c>
      <c r="AX151">
        <v>51.56</v>
      </c>
      <c r="AY151">
        <v>0.5</v>
      </c>
      <c r="AZ151">
        <v>2.2999999999999998</v>
      </c>
      <c r="BA151">
        <v>241.07740000000001</v>
      </c>
      <c r="BB151">
        <v>93.548199999999994</v>
      </c>
      <c r="BC151">
        <v>134.4864</v>
      </c>
      <c r="BD151">
        <v>3.3969999999999998</v>
      </c>
      <c r="BE151">
        <v>34.765700000000002</v>
      </c>
      <c r="BF151">
        <v>-16.1357</v>
      </c>
      <c r="BG151">
        <v>-24.665400000000002</v>
      </c>
      <c r="BH151">
        <v>67.87</v>
      </c>
    </row>
    <row r="152" spans="1:60" x14ac:dyDescent="0.25">
      <c r="A152" s="2">
        <v>45349</v>
      </c>
      <c r="B152">
        <v>17.7</v>
      </c>
      <c r="C152">
        <v>15.1</v>
      </c>
      <c r="D152">
        <v>9.8000000000000007</v>
      </c>
      <c r="E152">
        <v>2.6</v>
      </c>
      <c r="F152">
        <v>85.22</v>
      </c>
      <c r="G152">
        <v>0.5</v>
      </c>
      <c r="H152">
        <v>2.6</v>
      </c>
      <c r="I152">
        <v>335.98829999999998</v>
      </c>
      <c r="J152">
        <v>76.161199999999994</v>
      </c>
      <c r="K152">
        <v>183.1789</v>
      </c>
      <c r="L152">
        <v>3.9986999999999999</v>
      </c>
      <c r="M152">
        <v>39.280700000000003</v>
      </c>
      <c r="N152">
        <v>-14.8187</v>
      </c>
      <c r="O152">
        <v>-29.122299999999999</v>
      </c>
      <c r="P152">
        <v>63.13</v>
      </c>
      <c r="S152">
        <f t="shared" si="47"/>
        <v>772.12779999999998</v>
      </c>
      <c r="T152">
        <f t="shared" si="48"/>
        <v>1.6593130350288476E-2</v>
      </c>
      <c r="U152">
        <f t="shared" si="49"/>
        <v>1.415572137228E-2</v>
      </c>
      <c r="V152">
        <f t="shared" si="50"/>
        <v>9.1871569171088751E-3</v>
      </c>
      <c r="W152">
        <f t="shared" si="51"/>
        <v>2.437408978008477E-3</v>
      </c>
      <c r="X152">
        <f t="shared" si="52"/>
        <v>7.9890766579185535E-2</v>
      </c>
      <c r="Y152">
        <f t="shared" si="53"/>
        <v>4.6873249577086097E-4</v>
      </c>
      <c r="Z152">
        <f t="shared" si="54"/>
        <v>2.437408978008477E-3</v>
      </c>
      <c r="AA152">
        <f t="shared" si="55"/>
        <v>0.31497726881761751</v>
      </c>
      <c r="AB152">
        <f t="shared" si="56"/>
        <v>7.1398458713807386E-2</v>
      </c>
      <c r="AC152">
        <f t="shared" si="57"/>
        <v>0.17172380593912193</v>
      </c>
      <c r="AD152">
        <f t="shared" si="58"/>
        <v>3.7486412616778834E-3</v>
      </c>
      <c r="AE152">
        <f t="shared" si="59"/>
        <v>3.682428109325292E-2</v>
      </c>
      <c r="AG152">
        <f t="shared" si="60"/>
        <v>-0.75994250437757804</v>
      </c>
      <c r="AH152">
        <f t="shared" si="61"/>
        <v>0.16199460676390362</v>
      </c>
      <c r="AI152">
        <f t="shared" si="62"/>
        <v>-0.97897513545064163</v>
      </c>
      <c r="AK152" s="26">
        <f t="shared" si="63"/>
        <v>3.3660610546098757E-2</v>
      </c>
      <c r="AL152" s="26">
        <f t="shared" si="64"/>
        <v>5.7367463952593289E-2</v>
      </c>
      <c r="AM152" s="26">
        <f t="shared" si="65"/>
        <v>4.9936836392019013E-2</v>
      </c>
      <c r="AN152" s="26">
        <f t="shared" si="66"/>
        <v>19.14968253968253</v>
      </c>
      <c r="AO152" s="26">
        <f t="shared" si="67"/>
        <v>16.657220309810661</v>
      </c>
      <c r="AP152" s="26">
        <f t="shared" si="68"/>
        <v>14.844880649142596</v>
      </c>
      <c r="AS152" s="2">
        <v>45328</v>
      </c>
      <c r="AT152">
        <v>18.2</v>
      </c>
      <c r="AU152">
        <v>0</v>
      </c>
      <c r="AV152">
        <v>74.2</v>
      </c>
      <c r="AW152">
        <v>24</v>
      </c>
      <c r="AX152">
        <v>42.04</v>
      </c>
      <c r="AY152">
        <v>0.4</v>
      </c>
      <c r="AZ152">
        <v>2.6</v>
      </c>
      <c r="BA152">
        <v>96.340299999999999</v>
      </c>
      <c r="BB152">
        <v>76.355999999999995</v>
      </c>
      <c r="BC152">
        <v>57.655700000000003</v>
      </c>
      <c r="BD152">
        <v>4.1417000000000002</v>
      </c>
      <c r="BE152">
        <v>22.864799999999999</v>
      </c>
      <c r="BF152">
        <v>-15.637700000000001</v>
      </c>
      <c r="BG152">
        <v>-23.701899999999998</v>
      </c>
      <c r="BH152">
        <v>68.28</v>
      </c>
    </row>
    <row r="153" spans="1:60" x14ac:dyDescent="0.25">
      <c r="A153" s="2">
        <v>45348</v>
      </c>
      <c r="B153">
        <v>18.899999999999999</v>
      </c>
      <c r="C153">
        <v>0.8</v>
      </c>
      <c r="D153">
        <v>42.5</v>
      </c>
      <c r="E153">
        <v>5.9</v>
      </c>
      <c r="F153">
        <v>111.7</v>
      </c>
      <c r="G153">
        <v>0.5</v>
      </c>
      <c r="H153">
        <v>2.5</v>
      </c>
      <c r="I153">
        <v>267.1651</v>
      </c>
      <c r="J153">
        <v>50.307600000000001</v>
      </c>
      <c r="K153">
        <v>130.1739</v>
      </c>
      <c r="L153">
        <v>3.2008000000000001</v>
      </c>
      <c r="M153">
        <v>22.287500000000001</v>
      </c>
      <c r="N153">
        <v>-13.299799999999999</v>
      </c>
      <c r="O153">
        <v>-26.733699999999999</v>
      </c>
      <c r="P153">
        <v>63.48</v>
      </c>
      <c r="S153">
        <f t="shared" si="47"/>
        <v>655.93489999999997</v>
      </c>
      <c r="T153">
        <f t="shared" si="48"/>
        <v>1.7718088340138542E-2</v>
      </c>
      <c r="U153">
        <f t="shared" si="49"/>
        <v>7.4997199323337759E-4</v>
      </c>
      <c r="V153">
        <f t="shared" si="50"/>
        <v>3.984226214052318E-2</v>
      </c>
      <c r="W153">
        <f t="shared" si="51"/>
        <v>5.5310434500961594E-3</v>
      </c>
      <c r="X153">
        <f t="shared" si="52"/>
        <v>0.10471483955521034</v>
      </c>
      <c r="Y153">
        <f t="shared" si="53"/>
        <v>4.6873249577086097E-4</v>
      </c>
      <c r="Z153">
        <f t="shared" si="54"/>
        <v>2.3436624788543046E-3</v>
      </c>
      <c r="AA153">
        <f t="shared" si="55"/>
        <v>0.25045792821174329</v>
      </c>
      <c r="AB153">
        <f t="shared" si="56"/>
        <v>4.7161613808484333E-2</v>
      </c>
      <c r="AC153">
        <f t="shared" si="57"/>
        <v>0.12203347406245296</v>
      </c>
      <c r="AD153">
        <f t="shared" si="58"/>
        <v>3.0006379449267436E-3</v>
      </c>
      <c r="AE153">
        <f t="shared" si="59"/>
        <v>2.0893750998986129E-2</v>
      </c>
      <c r="AG153">
        <f t="shared" si="60"/>
        <v>-0.74281894670769588</v>
      </c>
      <c r="AH153">
        <f t="shared" si="61"/>
        <v>0.1922623514528129</v>
      </c>
      <c r="AI153">
        <f t="shared" si="62"/>
        <v>-0.7597578101346053</v>
      </c>
      <c r="AK153" s="26">
        <f t="shared" si="63"/>
        <v>3.3877849457392722E-2</v>
      </c>
      <c r="AL153" s="26">
        <f t="shared" si="64"/>
        <v>5.793878698579441E-2</v>
      </c>
      <c r="AM153" s="26">
        <f t="shared" si="65"/>
        <v>5.1300639349611377E-2</v>
      </c>
      <c r="AN153" s="26">
        <f t="shared" si="66"/>
        <v>18.985555555555536</v>
      </c>
      <c r="AO153" s="26">
        <f t="shared" si="67"/>
        <v>16.572678571428561</v>
      </c>
      <c r="AP153" s="26">
        <f t="shared" si="68"/>
        <v>14.762964207872699</v>
      </c>
      <c r="AS153" s="2">
        <v>45327</v>
      </c>
      <c r="AT153">
        <v>17.2</v>
      </c>
      <c r="AU153">
        <v>2.2000000000000002</v>
      </c>
      <c r="AV153">
        <v>70.599999999999994</v>
      </c>
      <c r="AW153">
        <v>21.2</v>
      </c>
      <c r="AX153">
        <v>71.11</v>
      </c>
      <c r="AY153">
        <v>0.3</v>
      </c>
      <c r="AZ153">
        <v>2.8</v>
      </c>
      <c r="BA153">
        <v>90.2971</v>
      </c>
      <c r="BB153">
        <v>74.854500000000002</v>
      </c>
      <c r="BC153">
        <v>64.344800000000006</v>
      </c>
      <c r="BD153">
        <v>4.3280000000000003</v>
      </c>
      <c r="BE153">
        <v>34.750500000000002</v>
      </c>
      <c r="BF153">
        <v>-14.913399999999999</v>
      </c>
      <c r="BG153">
        <v>-22.7728</v>
      </c>
      <c r="BH153">
        <v>68.599999999999994</v>
      </c>
    </row>
    <row r="154" spans="1:60" x14ac:dyDescent="0.25">
      <c r="A154" s="2">
        <v>45347</v>
      </c>
      <c r="B154">
        <v>19.2</v>
      </c>
      <c r="C154">
        <v>0</v>
      </c>
      <c r="D154">
        <v>21</v>
      </c>
      <c r="E154">
        <v>7.2</v>
      </c>
      <c r="F154">
        <v>167.08</v>
      </c>
      <c r="G154">
        <v>0.5</v>
      </c>
      <c r="H154">
        <v>2.8</v>
      </c>
      <c r="I154">
        <v>183.91659999999999</v>
      </c>
      <c r="J154">
        <v>36.0899</v>
      </c>
      <c r="K154">
        <v>96.447900000000004</v>
      </c>
      <c r="L154">
        <v>3.9716</v>
      </c>
      <c r="M154">
        <v>20.882200000000001</v>
      </c>
      <c r="P154">
        <v>63.8</v>
      </c>
      <c r="S154">
        <f t="shared" si="47"/>
        <v>559.08820000000003</v>
      </c>
      <c r="T154">
        <f t="shared" si="48"/>
        <v>1.799932783760106E-2</v>
      </c>
      <c r="U154">
        <f t="shared" si="49"/>
        <v>0</v>
      </c>
      <c r="V154">
        <f t="shared" si="50"/>
        <v>1.9686764822376159E-2</v>
      </c>
      <c r="W154">
        <f t="shared" si="51"/>
        <v>6.7497479391003977E-3</v>
      </c>
      <c r="X154">
        <f t="shared" si="52"/>
        <v>0.15663165078679092</v>
      </c>
      <c r="Y154">
        <f t="shared" si="53"/>
        <v>4.6873249577086097E-4</v>
      </c>
      <c r="Z154">
        <f t="shared" si="54"/>
        <v>2.624901976316821E-3</v>
      </c>
      <c r="AA154">
        <f t="shared" si="55"/>
        <v>0.17241537386338224</v>
      </c>
      <c r="AB154">
        <f t="shared" si="56"/>
        <v>3.3833017798241591E-2</v>
      </c>
      <c r="AC154">
        <f t="shared" si="57"/>
        <v>9.0416529757716843E-2</v>
      </c>
      <c r="AD154">
        <f t="shared" si="58"/>
        <v>3.7232359604071029E-3</v>
      </c>
      <c r="AE154">
        <f t="shared" si="59"/>
        <v>1.9576331446372545E-2</v>
      </c>
      <c r="AG154">
        <f t="shared" si="60"/>
        <v>-0.72716871003108419</v>
      </c>
      <c r="AH154">
        <f t="shared" si="61"/>
        <v>0.22373745730432879</v>
      </c>
      <c r="AI154">
        <f t="shared" si="62"/>
        <v>-0.53003435372664143</v>
      </c>
      <c r="AK154" s="26">
        <f t="shared" si="63"/>
        <v>3.6418733737912046E-2</v>
      </c>
      <c r="AL154" s="26">
        <f t="shared" si="64"/>
        <v>5.9080348452800718E-2</v>
      </c>
      <c r="AM154" s="26">
        <f t="shared" si="65"/>
        <v>5.1632811737825968E-2</v>
      </c>
      <c r="AN154" s="26">
        <f t="shared" si="66"/>
        <v>18.814285714285688</v>
      </c>
      <c r="AO154" s="26">
        <f t="shared" si="67"/>
        <v>16.489526678141139</v>
      </c>
      <c r="AP154" s="26">
        <f t="shared" si="68"/>
        <v>14.679374228617931</v>
      </c>
      <c r="AS154" s="2">
        <v>45326</v>
      </c>
      <c r="AT154">
        <v>16.399999999999999</v>
      </c>
      <c r="AU154">
        <v>0</v>
      </c>
      <c r="AV154">
        <v>87</v>
      </c>
      <c r="AW154">
        <v>19.899999999999999</v>
      </c>
      <c r="AX154">
        <v>40.03</v>
      </c>
      <c r="AY154">
        <v>0.5</v>
      </c>
      <c r="AZ154">
        <v>2.9</v>
      </c>
      <c r="BA154">
        <v>84.121300000000005</v>
      </c>
      <c r="BB154">
        <v>57.5304</v>
      </c>
      <c r="BC154">
        <v>30.724399999999999</v>
      </c>
      <c r="BD154">
        <v>3.9272999999999998</v>
      </c>
      <c r="BE154">
        <v>16.346499999999999</v>
      </c>
      <c r="BH154">
        <v>68.930000000000007</v>
      </c>
    </row>
    <row r="155" spans="1:60" x14ac:dyDescent="0.25">
      <c r="A155" s="2">
        <v>45346</v>
      </c>
      <c r="B155">
        <v>20.399999999999999</v>
      </c>
      <c r="C155">
        <v>0</v>
      </c>
      <c r="D155">
        <v>37.1</v>
      </c>
      <c r="E155">
        <v>7.6</v>
      </c>
      <c r="F155">
        <v>153.15</v>
      </c>
      <c r="G155">
        <v>0.5</v>
      </c>
      <c r="H155">
        <v>2.6</v>
      </c>
      <c r="I155">
        <v>176.23330000000001</v>
      </c>
      <c r="J155">
        <v>38.9039</v>
      </c>
      <c r="K155">
        <v>102.98009999999999</v>
      </c>
      <c r="L155">
        <v>4.1454000000000004</v>
      </c>
      <c r="M155">
        <v>17.683</v>
      </c>
      <c r="P155">
        <v>63.97</v>
      </c>
      <c r="S155">
        <f t="shared" si="47"/>
        <v>561.29570000000001</v>
      </c>
      <c r="T155">
        <f t="shared" si="48"/>
        <v>1.9124285827451126E-2</v>
      </c>
      <c r="U155">
        <f t="shared" si="49"/>
        <v>0</v>
      </c>
      <c r="V155">
        <f t="shared" si="50"/>
        <v>3.4779951186197887E-2</v>
      </c>
      <c r="W155">
        <f t="shared" si="51"/>
        <v>7.1247339357170866E-3</v>
      </c>
      <c r="X155">
        <f t="shared" si="52"/>
        <v>0.14357276345461473</v>
      </c>
      <c r="Y155">
        <f t="shared" si="53"/>
        <v>4.6873249577086097E-4</v>
      </c>
      <c r="Z155">
        <f t="shared" si="54"/>
        <v>2.437408978008477E-3</v>
      </c>
      <c r="AA155">
        <f t="shared" si="55"/>
        <v>0.16521254909386976</v>
      </c>
      <c r="AB155">
        <f t="shared" si="56"/>
        <v>3.6471044284439993E-2</v>
      </c>
      <c r="AC155">
        <f t="shared" si="57"/>
        <v>9.6540238575465676E-2</v>
      </c>
      <c r="AD155">
        <f t="shared" si="58"/>
        <v>3.8861673759370543E-3</v>
      </c>
      <c r="AE155">
        <f t="shared" si="59"/>
        <v>1.6577193445432268E-2</v>
      </c>
      <c r="AG155">
        <f t="shared" si="60"/>
        <v>-0.7186774467187742</v>
      </c>
      <c r="AH155">
        <f t="shared" si="61"/>
        <v>0.22408506932319244</v>
      </c>
      <c r="AI155">
        <f t="shared" si="62"/>
        <v>-0.52290946916580372</v>
      </c>
      <c r="AK155" s="26">
        <f t="shared" si="63"/>
        <v>3.7008003399039757E-2</v>
      </c>
      <c r="AL155" s="26">
        <f t="shared" si="64"/>
        <v>5.908357720082652E-2</v>
      </c>
      <c r="AM155" s="26">
        <f t="shared" si="65"/>
        <v>5.179855752512838E-2</v>
      </c>
      <c r="AN155" s="26">
        <f t="shared" si="66"/>
        <v>18.636507936507911</v>
      </c>
      <c r="AO155" s="26">
        <f t="shared" si="67"/>
        <v>16.406108003442327</v>
      </c>
      <c r="AP155" s="26">
        <f t="shared" si="68"/>
        <v>14.593252803235188</v>
      </c>
      <c r="AS155" s="2">
        <v>45325</v>
      </c>
      <c r="AT155">
        <v>17.3</v>
      </c>
      <c r="AU155">
        <v>1</v>
      </c>
      <c r="AV155">
        <v>77.3</v>
      </c>
      <c r="AW155">
        <v>19.100000000000001</v>
      </c>
      <c r="AX155">
        <v>54.42</v>
      </c>
      <c r="AY155">
        <v>0.5</v>
      </c>
      <c r="AZ155">
        <v>3.4</v>
      </c>
      <c r="BA155">
        <v>89.841399999999993</v>
      </c>
      <c r="BB155">
        <v>73.9452</v>
      </c>
      <c r="BC155">
        <v>44.533900000000003</v>
      </c>
      <c r="BD155">
        <v>4.1543000000000001</v>
      </c>
      <c r="BE155">
        <v>24.285599999999999</v>
      </c>
      <c r="BH155">
        <v>69.14</v>
      </c>
    </row>
    <row r="156" spans="1:60" x14ac:dyDescent="0.25">
      <c r="A156" s="2">
        <v>45345</v>
      </c>
      <c r="B156">
        <v>19</v>
      </c>
      <c r="C156">
        <v>36.299999999999997</v>
      </c>
      <c r="D156">
        <v>65.2</v>
      </c>
      <c r="E156">
        <v>15.5</v>
      </c>
      <c r="F156">
        <v>90.03</v>
      </c>
      <c r="G156">
        <v>0.5</v>
      </c>
      <c r="H156">
        <v>2.4</v>
      </c>
      <c r="I156">
        <v>138.0471</v>
      </c>
      <c r="J156">
        <v>55.599200000000003</v>
      </c>
      <c r="K156">
        <v>99.616900000000001</v>
      </c>
      <c r="L156">
        <v>4.4893999999999998</v>
      </c>
      <c r="M156">
        <v>36.052100000000003</v>
      </c>
      <c r="N156">
        <v>-12.894600000000001</v>
      </c>
      <c r="O156">
        <v>-25.905899999999999</v>
      </c>
      <c r="P156">
        <v>64.16</v>
      </c>
      <c r="S156">
        <f t="shared" si="47"/>
        <v>562.73470000000009</v>
      </c>
      <c r="T156">
        <f t="shared" si="48"/>
        <v>1.7811834839292717E-2</v>
      </c>
      <c r="U156">
        <f t="shared" si="49"/>
        <v>3.40299791929645E-2</v>
      </c>
      <c r="V156">
        <f t="shared" si="50"/>
        <v>6.112271744852027E-2</v>
      </c>
      <c r="W156">
        <f t="shared" si="51"/>
        <v>1.453070736889669E-2</v>
      </c>
      <c r="X156">
        <f t="shared" si="52"/>
        <v>8.4399973188501218E-2</v>
      </c>
      <c r="Y156">
        <f t="shared" si="53"/>
        <v>4.6873249577086097E-4</v>
      </c>
      <c r="Z156">
        <f t="shared" si="54"/>
        <v>2.2499159797001326E-3</v>
      </c>
      <c r="AA156">
        <f t="shared" si="55"/>
        <v>0.12941432343385925</v>
      </c>
      <c r="AB156">
        <f t="shared" si="56"/>
        <v>5.2122303557726506E-2</v>
      </c>
      <c r="AC156">
        <f t="shared" si="57"/>
        <v>9.3387356315912565E-2</v>
      </c>
      <c r="AD156">
        <f t="shared" si="58"/>
        <v>4.2086553330274064E-3</v>
      </c>
      <c r="AE156">
        <f t="shared" si="59"/>
        <v>3.3797581621561316E-2</v>
      </c>
      <c r="AG156">
        <f t="shared" si="60"/>
        <v>-0.70924371591713331</v>
      </c>
      <c r="AH156">
        <f t="shared" si="61"/>
        <v>0.24841144213520774</v>
      </c>
      <c r="AI156">
        <f t="shared" si="62"/>
        <v>-0.34107325020370527</v>
      </c>
      <c r="AK156" s="26">
        <f t="shared" si="63"/>
        <v>3.8686172872755636E-2</v>
      </c>
      <c r="AL156" s="26">
        <f t="shared" si="64"/>
        <v>5.9891147644182768E-2</v>
      </c>
      <c r="AM156" s="26">
        <f t="shared" si="65"/>
        <v>5.4226263027793264E-2</v>
      </c>
      <c r="AN156" s="26">
        <f t="shared" si="66"/>
        <v>18.452063492063481</v>
      </c>
      <c r="AO156" s="26">
        <f t="shared" si="67"/>
        <v>16.324270654044732</v>
      </c>
      <c r="AP156" s="26">
        <f t="shared" si="68"/>
        <v>14.50595651374698</v>
      </c>
      <c r="AS156" s="2">
        <v>45324</v>
      </c>
      <c r="AT156">
        <v>19.399999999999999</v>
      </c>
      <c r="AU156">
        <v>0.5</v>
      </c>
      <c r="AV156">
        <v>79.3</v>
      </c>
      <c r="AW156">
        <v>17.2</v>
      </c>
      <c r="AX156">
        <v>53.41</v>
      </c>
      <c r="AY156">
        <v>0.5</v>
      </c>
      <c r="AZ156">
        <v>3.2</v>
      </c>
      <c r="BA156">
        <v>140.7347</v>
      </c>
      <c r="BB156">
        <v>81.656199999999998</v>
      </c>
      <c r="BC156">
        <v>91.589299999999994</v>
      </c>
      <c r="BD156">
        <v>3.2881</v>
      </c>
      <c r="BE156">
        <v>22.558499999999999</v>
      </c>
      <c r="BF156">
        <v>-16.894100000000002</v>
      </c>
      <c r="BG156">
        <v>-23.0657</v>
      </c>
      <c r="BH156">
        <v>69.36</v>
      </c>
    </row>
    <row r="157" spans="1:60" x14ac:dyDescent="0.25">
      <c r="A157" s="2">
        <v>45344</v>
      </c>
      <c r="B157">
        <v>18.399999999999999</v>
      </c>
      <c r="C157">
        <v>5.4</v>
      </c>
      <c r="D157">
        <v>70.7</v>
      </c>
      <c r="E157">
        <v>13.6</v>
      </c>
      <c r="F157">
        <v>49.63</v>
      </c>
      <c r="G157">
        <v>0.5</v>
      </c>
      <c r="H157">
        <v>2.4</v>
      </c>
      <c r="I157">
        <v>153.51220000000001</v>
      </c>
      <c r="J157">
        <v>58.273600000000002</v>
      </c>
      <c r="K157">
        <v>88.949299999999994</v>
      </c>
      <c r="L157">
        <v>3.8767</v>
      </c>
      <c r="M157">
        <v>30.543600000000001</v>
      </c>
      <c r="N157">
        <v>-14.250299999999999</v>
      </c>
      <c r="O157">
        <v>-26.831099999999999</v>
      </c>
      <c r="P157">
        <v>64.430000000000007</v>
      </c>
      <c r="S157">
        <f t="shared" si="47"/>
        <v>495.78540000000004</v>
      </c>
      <c r="T157">
        <f t="shared" si="48"/>
        <v>1.7249355844367681E-2</v>
      </c>
      <c r="U157">
        <f t="shared" si="49"/>
        <v>5.0623109543252989E-3</v>
      </c>
      <c r="V157">
        <f t="shared" si="50"/>
        <v>6.6278774901999737E-2</v>
      </c>
      <c r="W157">
        <f t="shared" si="51"/>
        <v>1.2749523884967418E-2</v>
      </c>
      <c r="X157">
        <f t="shared" si="52"/>
        <v>4.6526387530215658E-2</v>
      </c>
      <c r="Y157">
        <f t="shared" si="53"/>
        <v>4.6873249577086097E-4</v>
      </c>
      <c r="Z157">
        <f t="shared" si="54"/>
        <v>2.2499159797001326E-3</v>
      </c>
      <c r="AA157">
        <f t="shared" si="55"/>
        <v>0.14391231327455112</v>
      </c>
      <c r="AB157">
        <f t="shared" si="56"/>
        <v>5.4629459931105691E-2</v>
      </c>
      <c r="AC157">
        <f t="shared" si="57"/>
        <v>8.3386854772142083E-2</v>
      </c>
      <c r="AD157">
        <f t="shared" si="58"/>
        <v>3.6342705327097932E-3</v>
      </c>
      <c r="AE157">
        <f t="shared" si="59"/>
        <v>2.8633555715653739E-2</v>
      </c>
      <c r="AG157">
        <f t="shared" si="60"/>
        <v>-0.69600695536406221</v>
      </c>
      <c r="AH157">
        <f t="shared" si="61"/>
        <v>0.17921855730700054</v>
      </c>
      <c r="AI157">
        <f t="shared" si="62"/>
        <v>-0.83871715923624979</v>
      </c>
      <c r="AK157" s="26">
        <f t="shared" si="63"/>
        <v>3.8438250583484546E-2</v>
      </c>
      <c r="AL157" s="26">
        <f t="shared" si="64"/>
        <v>5.9790986084999748E-2</v>
      </c>
      <c r="AM157" s="26">
        <f t="shared" si="65"/>
        <v>5.3684744911601662E-2</v>
      </c>
      <c r="AN157" s="26">
        <f t="shared" si="66"/>
        <v>18.258888888888862</v>
      </c>
      <c r="AO157" s="26">
        <f t="shared" si="67"/>
        <v>16.242575301204816</v>
      </c>
      <c r="AP157" s="26">
        <f t="shared" si="68"/>
        <v>14.418433339460591</v>
      </c>
      <c r="AS157" s="2">
        <v>45323</v>
      </c>
      <c r="AT157">
        <v>20.5</v>
      </c>
      <c r="AU157">
        <v>55.3</v>
      </c>
      <c r="AV157">
        <v>63.3</v>
      </c>
      <c r="AW157">
        <v>16.3</v>
      </c>
      <c r="AX157">
        <v>69.86</v>
      </c>
      <c r="AY157">
        <v>0.1</v>
      </c>
      <c r="AZ157">
        <v>2.9</v>
      </c>
      <c r="BA157">
        <v>173.71870000000001</v>
      </c>
      <c r="BB157">
        <v>103.3755</v>
      </c>
      <c r="BC157">
        <v>105.2128</v>
      </c>
      <c r="BD157">
        <v>3.8997000000000002</v>
      </c>
      <c r="BE157">
        <v>35.429400000000001</v>
      </c>
      <c r="BF157">
        <v>-16.064900000000002</v>
      </c>
      <c r="BG157">
        <v>-21.339099999999998</v>
      </c>
      <c r="BH157">
        <v>69.73</v>
      </c>
    </row>
    <row r="158" spans="1:60" x14ac:dyDescent="0.25">
      <c r="A158" s="2">
        <v>45343</v>
      </c>
      <c r="B158">
        <v>18.600000000000001</v>
      </c>
      <c r="C158">
        <v>0.8</v>
      </c>
      <c r="D158">
        <v>70.7</v>
      </c>
      <c r="E158">
        <v>11.2</v>
      </c>
      <c r="F158">
        <v>117.33</v>
      </c>
      <c r="G158">
        <v>0.5</v>
      </c>
      <c r="H158">
        <v>2.6</v>
      </c>
      <c r="I158">
        <v>162.3449</v>
      </c>
      <c r="J158">
        <v>74.847800000000007</v>
      </c>
      <c r="K158">
        <v>102.4217</v>
      </c>
      <c r="L158">
        <v>3.0785999999999998</v>
      </c>
      <c r="M158">
        <v>27.948699999999999</v>
      </c>
      <c r="N158">
        <v>-15.2362</v>
      </c>
      <c r="O158">
        <v>-26.980599999999999</v>
      </c>
      <c r="P158">
        <v>64.64</v>
      </c>
      <c r="S158">
        <f t="shared" si="47"/>
        <v>592.37170000000003</v>
      </c>
      <c r="T158">
        <f t="shared" si="48"/>
        <v>1.7436848842676027E-2</v>
      </c>
      <c r="U158">
        <f t="shared" si="49"/>
        <v>7.4997199323337759E-4</v>
      </c>
      <c r="V158">
        <f t="shared" si="50"/>
        <v>6.6278774901999737E-2</v>
      </c>
      <c r="W158">
        <f t="shared" si="51"/>
        <v>1.0499607905267284E-2</v>
      </c>
      <c r="X158">
        <f t="shared" si="52"/>
        <v>0.10999276745759023</v>
      </c>
      <c r="Y158">
        <f t="shared" si="53"/>
        <v>4.6873249577086097E-4</v>
      </c>
      <c r="Z158">
        <f t="shared" si="54"/>
        <v>2.437408978008477E-3</v>
      </c>
      <c r="AA158">
        <f t="shared" si="55"/>
        <v>0.15219266030534168</v>
      </c>
      <c r="AB158">
        <f t="shared" si="56"/>
        <v>7.0167192193916497E-2</v>
      </c>
      <c r="AC158">
        <f t="shared" si="57"/>
        <v>9.6016758124188778E-2</v>
      </c>
      <c r="AD158">
        <f t="shared" si="58"/>
        <v>2.886079722960345E-3</v>
      </c>
      <c r="AE158">
        <f t="shared" si="59"/>
        <v>2.6200927809102121E-2</v>
      </c>
      <c r="AG158">
        <f t="shared" si="60"/>
        <v>-0.68563869175492276</v>
      </c>
      <c r="AH158">
        <f t="shared" si="61"/>
        <v>0.23406504038364814</v>
      </c>
      <c r="AI158">
        <f t="shared" si="62"/>
        <v>-0.44151919764316472</v>
      </c>
      <c r="AK158" s="26">
        <f t="shared" si="63"/>
        <v>4.6163228472889117E-2</v>
      </c>
      <c r="AL158" s="26">
        <f t="shared" si="64"/>
        <v>6.127981893304181E-2</v>
      </c>
      <c r="AM158" s="26">
        <f t="shared" si="65"/>
        <v>5.3899176521939429E-2</v>
      </c>
      <c r="AN158" s="26">
        <f t="shared" si="66"/>
        <v>18.06111111111111</v>
      </c>
      <c r="AO158" s="26">
        <f t="shared" si="67"/>
        <v>16.160490533562808</v>
      </c>
      <c r="AP158" s="26">
        <f t="shared" si="68"/>
        <v>14.330661484729887</v>
      </c>
      <c r="AS158" s="2">
        <v>45322</v>
      </c>
      <c r="AT158">
        <v>20.7</v>
      </c>
      <c r="AU158">
        <v>3.7</v>
      </c>
      <c r="AV158">
        <v>73.900000000000006</v>
      </c>
      <c r="AW158">
        <v>9.6999999999999993</v>
      </c>
      <c r="AX158">
        <v>49.87</v>
      </c>
      <c r="AY158">
        <v>0.4</v>
      </c>
      <c r="AZ158">
        <v>2.8</v>
      </c>
      <c r="BA158">
        <v>221.93450000000001</v>
      </c>
      <c r="BB158">
        <v>107.43170000000001</v>
      </c>
      <c r="BC158">
        <v>122.0727</v>
      </c>
      <c r="BD158">
        <v>3.9786000000000001</v>
      </c>
      <c r="BE158">
        <v>30.652100000000001</v>
      </c>
      <c r="BF158">
        <v>-14.313000000000001</v>
      </c>
      <c r="BG158">
        <v>-20.351099999999999</v>
      </c>
      <c r="BH158">
        <v>70.17</v>
      </c>
    </row>
    <row r="159" spans="1:60" x14ac:dyDescent="0.25">
      <c r="A159" s="2">
        <v>45342</v>
      </c>
      <c r="B159">
        <v>18.899999999999999</v>
      </c>
      <c r="C159">
        <v>0.9</v>
      </c>
      <c r="D159">
        <v>69.7</v>
      </c>
      <c r="E159">
        <v>9.5</v>
      </c>
      <c r="F159">
        <v>88.86</v>
      </c>
      <c r="G159">
        <v>0.5</v>
      </c>
      <c r="H159">
        <v>2.5</v>
      </c>
      <c r="I159">
        <v>205.62549999999999</v>
      </c>
      <c r="J159">
        <v>76.022099999999995</v>
      </c>
      <c r="K159">
        <v>110.001</v>
      </c>
      <c r="L159">
        <v>2.9224999999999999</v>
      </c>
      <c r="M159">
        <v>31.936299999999999</v>
      </c>
      <c r="N159">
        <v>-16.760899999999999</v>
      </c>
      <c r="O159">
        <v>-27.387699999999999</v>
      </c>
      <c r="P159">
        <v>64.87</v>
      </c>
      <c r="S159">
        <f t="shared" si="47"/>
        <v>617.36739999999998</v>
      </c>
      <c r="T159">
        <f t="shared" si="48"/>
        <v>1.7718088340138542E-2</v>
      </c>
      <c r="U159">
        <f t="shared" si="49"/>
        <v>8.4371849238754971E-4</v>
      </c>
      <c r="V159">
        <f t="shared" si="50"/>
        <v>6.5341309910458015E-2</v>
      </c>
      <c r="W159">
        <f t="shared" si="51"/>
        <v>8.9059174196463586E-3</v>
      </c>
      <c r="X159">
        <f t="shared" si="52"/>
        <v>8.3303139148397404E-2</v>
      </c>
      <c r="Y159">
        <f t="shared" si="53"/>
        <v>4.6873249577086097E-4</v>
      </c>
      <c r="Z159">
        <f t="shared" si="54"/>
        <v>2.3436624788543046E-3</v>
      </c>
      <c r="AA159">
        <f t="shared" si="55"/>
        <v>0.19276670761826234</v>
      </c>
      <c r="AB159">
        <f t="shared" si="56"/>
        <v>7.1268057333483931E-2</v>
      </c>
      <c r="AC159">
        <f t="shared" si="57"/>
        <v>0.10312208653458095</v>
      </c>
      <c r="AD159">
        <f t="shared" si="58"/>
        <v>2.7397414377806823E-3</v>
      </c>
      <c r="AE159">
        <f t="shared" si="59"/>
        <v>2.9939163209373891E-2</v>
      </c>
      <c r="AG159">
        <f t="shared" si="60"/>
        <v>-0.67433107859178587</v>
      </c>
      <c r="AH159">
        <f t="shared" si="61"/>
        <v>0.20886373149502693</v>
      </c>
      <c r="AI159">
        <f t="shared" si="62"/>
        <v>-0.62319989471283332</v>
      </c>
      <c r="AK159" s="26">
        <f t="shared" si="63"/>
        <v>4.4660140258601488E-2</v>
      </c>
      <c r="AL159" s="26">
        <f t="shared" si="64"/>
        <v>6.1019198118859808E-2</v>
      </c>
      <c r="AM159" s="26">
        <f t="shared" si="65"/>
        <v>5.2885330710440187E-2</v>
      </c>
      <c r="AN159" s="26">
        <f t="shared" si="66"/>
        <v>17.861428571428569</v>
      </c>
      <c r="AO159" s="26">
        <f t="shared" si="67"/>
        <v>16.076742685025806</v>
      </c>
      <c r="AP159" s="26">
        <f t="shared" si="68"/>
        <v>14.243855465980403</v>
      </c>
      <c r="AS159" s="2">
        <v>45321</v>
      </c>
      <c r="AT159">
        <v>20.6</v>
      </c>
      <c r="AU159">
        <v>3.1</v>
      </c>
      <c r="AV159">
        <v>61.9</v>
      </c>
      <c r="AW159">
        <v>6.7</v>
      </c>
      <c r="AX159">
        <v>84.58</v>
      </c>
      <c r="AY159">
        <v>0.5</v>
      </c>
      <c r="AZ159">
        <v>2.5</v>
      </c>
      <c r="BA159">
        <v>228.18389999999999</v>
      </c>
      <c r="BB159">
        <v>91.336299999999994</v>
      </c>
      <c r="BC159">
        <v>128.02619999999999</v>
      </c>
      <c r="BD159">
        <v>3.9077000000000002</v>
      </c>
      <c r="BE159">
        <v>25.7517</v>
      </c>
      <c r="BF159">
        <v>-17.710799999999999</v>
      </c>
      <c r="BG159">
        <v>-23.191500000000001</v>
      </c>
      <c r="BH159">
        <v>70.599999999999994</v>
      </c>
    </row>
    <row r="160" spans="1:60" x14ac:dyDescent="0.25">
      <c r="A160" s="2">
        <v>45341</v>
      </c>
      <c r="B160">
        <v>16.899999999999999</v>
      </c>
      <c r="C160">
        <v>42.7</v>
      </c>
      <c r="D160">
        <v>67.599999999999994</v>
      </c>
      <c r="E160">
        <v>12.6</v>
      </c>
      <c r="F160">
        <v>62.97</v>
      </c>
      <c r="G160">
        <v>0.4</v>
      </c>
      <c r="H160">
        <v>2.4</v>
      </c>
      <c r="I160">
        <v>190.607</v>
      </c>
      <c r="J160">
        <v>79.111400000000003</v>
      </c>
      <c r="K160">
        <v>88.655600000000007</v>
      </c>
      <c r="L160">
        <v>3.1808000000000001</v>
      </c>
      <c r="M160">
        <v>31.434200000000001</v>
      </c>
      <c r="N160">
        <v>-16.167100000000001</v>
      </c>
      <c r="O160">
        <v>-26.8079</v>
      </c>
      <c r="P160">
        <v>65.08</v>
      </c>
      <c r="S160">
        <f t="shared" si="47"/>
        <v>598.55900000000008</v>
      </c>
      <c r="T160">
        <f t="shared" si="48"/>
        <v>1.58431583570551E-2</v>
      </c>
      <c r="U160">
        <f t="shared" si="49"/>
        <v>4.002975513883153E-2</v>
      </c>
      <c r="V160">
        <f t="shared" si="50"/>
        <v>6.3372633428220401E-2</v>
      </c>
      <c r="W160">
        <f t="shared" si="51"/>
        <v>1.1812058893425697E-2</v>
      </c>
      <c r="X160">
        <f t="shared" si="52"/>
        <v>5.9032170517382229E-2</v>
      </c>
      <c r="Y160">
        <f t="shared" si="53"/>
        <v>3.7498599661668879E-4</v>
      </c>
      <c r="Z160">
        <f t="shared" si="54"/>
        <v>2.2499159797001326E-3</v>
      </c>
      <c r="AA160">
        <f t="shared" si="55"/>
        <v>0.17868738964279299</v>
      </c>
      <c r="AB160">
        <f t="shared" si="56"/>
        <v>7.4164167931853778E-2</v>
      </c>
      <c r="AC160">
        <f t="shared" si="57"/>
        <v>8.3111521304126287E-2</v>
      </c>
      <c r="AD160">
        <f t="shared" si="58"/>
        <v>2.9818886450959092E-3</v>
      </c>
      <c r="AE160">
        <f t="shared" si="59"/>
        <v>2.9468462037120797E-2</v>
      </c>
      <c r="AG160">
        <f t="shared" si="60"/>
        <v>-0.66399127257186086</v>
      </c>
      <c r="AH160">
        <f t="shared" si="61"/>
        <v>0.22218314034835263</v>
      </c>
      <c r="AI160">
        <f t="shared" si="62"/>
        <v>-0.5237908460191294</v>
      </c>
      <c r="AK160" s="26">
        <f t="shared" si="63"/>
        <v>4.7987883547711802E-2</v>
      </c>
      <c r="AL160" s="26">
        <f t="shared" si="64"/>
        <v>6.1278815756756311E-2</v>
      </c>
      <c r="AM160" s="26">
        <f t="shared" si="65"/>
        <v>5.3593007587437125E-2</v>
      </c>
      <c r="AN160" s="26">
        <f t="shared" si="66"/>
        <v>17.659047619047605</v>
      </c>
      <c r="AO160" s="26">
        <f t="shared" si="67"/>
        <v>15.992168674698803</v>
      </c>
      <c r="AP160" s="26">
        <f t="shared" si="68"/>
        <v>14.158252671936125</v>
      </c>
      <c r="AS160" s="2">
        <v>45320</v>
      </c>
      <c r="AT160">
        <v>19.3</v>
      </c>
      <c r="AU160">
        <v>29.4</v>
      </c>
      <c r="AV160">
        <v>46.4</v>
      </c>
      <c r="AW160">
        <v>8.9</v>
      </c>
      <c r="AX160">
        <v>132.72</v>
      </c>
      <c r="AY160">
        <v>0.5</v>
      </c>
      <c r="AZ160">
        <v>2.8</v>
      </c>
      <c r="BA160">
        <v>201.14240000000001</v>
      </c>
      <c r="BB160">
        <v>110.636</v>
      </c>
      <c r="BC160">
        <v>148.22569999999999</v>
      </c>
      <c r="BD160">
        <v>3.3275999999999999</v>
      </c>
      <c r="BE160">
        <v>31.654299999999999</v>
      </c>
      <c r="BF160">
        <v>-14.6332</v>
      </c>
      <c r="BG160">
        <v>-21.1877</v>
      </c>
      <c r="BH160">
        <v>71.069999999999993</v>
      </c>
    </row>
    <row r="161" spans="1:60" x14ac:dyDescent="0.25">
      <c r="A161" s="2">
        <v>45340</v>
      </c>
      <c r="B161">
        <v>17</v>
      </c>
      <c r="C161">
        <v>2.2999999999999998</v>
      </c>
      <c r="D161">
        <v>74.8</v>
      </c>
      <c r="E161">
        <v>7.6</v>
      </c>
      <c r="F161">
        <v>90.46</v>
      </c>
      <c r="G161">
        <v>0.1</v>
      </c>
      <c r="H161">
        <v>2.9</v>
      </c>
      <c r="I161">
        <v>139.7938</v>
      </c>
      <c r="J161">
        <v>49.2164</v>
      </c>
      <c r="K161">
        <v>67.540899999999993</v>
      </c>
      <c r="L161">
        <v>3.1903000000000001</v>
      </c>
      <c r="M161">
        <v>11.181800000000001</v>
      </c>
      <c r="P161">
        <v>65.28</v>
      </c>
      <c r="S161">
        <f t="shared" si="47"/>
        <v>466.08319999999998</v>
      </c>
      <c r="T161">
        <f t="shared" si="48"/>
        <v>1.5936904856209272E-2</v>
      </c>
      <c r="U161">
        <f t="shared" si="49"/>
        <v>2.1561694805459601E-3</v>
      </c>
      <c r="V161">
        <f t="shared" si="50"/>
        <v>7.0122381367320796E-2</v>
      </c>
      <c r="W161">
        <f t="shared" si="51"/>
        <v>7.1247339357170866E-3</v>
      </c>
      <c r="X161">
        <f t="shared" si="52"/>
        <v>8.4803083134864163E-2</v>
      </c>
      <c r="Y161">
        <f t="shared" si="53"/>
        <v>9.3746499154172199E-5</v>
      </c>
      <c r="Z161">
        <f t="shared" si="54"/>
        <v>2.7186484754709935E-3</v>
      </c>
      <c r="AA161">
        <f t="shared" si="55"/>
        <v>0.13105179353458518</v>
      </c>
      <c r="AB161">
        <f t="shared" si="56"/>
        <v>4.6138652009714003E-2</v>
      </c>
      <c r="AC161">
        <f t="shared" si="57"/>
        <v>6.3317229247220275E-2</v>
      </c>
      <c r="AD161">
        <f t="shared" si="58"/>
        <v>2.9907945625155556E-3</v>
      </c>
      <c r="AE161">
        <f t="shared" si="59"/>
        <v>1.0482546042421227E-2</v>
      </c>
      <c r="AG161">
        <f t="shared" si="60"/>
        <v>-0.65413666261013559</v>
      </c>
      <c r="AH161">
        <f t="shared" si="61"/>
        <v>0.19343821379170364</v>
      </c>
      <c r="AI161">
        <f t="shared" si="62"/>
        <v>-0.72903769251203399</v>
      </c>
      <c r="AK161" s="26">
        <f t="shared" si="63"/>
        <v>4.9356598803799112E-2</v>
      </c>
      <c r="AL161" s="26">
        <f t="shared" si="64"/>
        <v>6.151316050426138E-2</v>
      </c>
      <c r="AM161" s="26">
        <f t="shared" si="65"/>
        <v>5.3401477721748164E-2</v>
      </c>
      <c r="AN161" s="26">
        <f t="shared" si="66"/>
        <v>17.458730158730148</v>
      </c>
      <c r="AO161" s="26">
        <f t="shared" si="67"/>
        <v>15.907205249569706</v>
      </c>
      <c r="AP161" s="26">
        <f t="shared" si="68"/>
        <v>14.072635960190084</v>
      </c>
      <c r="AS161" s="2">
        <v>45319</v>
      </c>
      <c r="AT161">
        <v>19.399999999999999</v>
      </c>
      <c r="AU161">
        <v>16.8</v>
      </c>
      <c r="AV161">
        <v>68.8</v>
      </c>
      <c r="AW161">
        <v>8.6</v>
      </c>
      <c r="AX161">
        <v>153.05000000000001</v>
      </c>
      <c r="AY161">
        <v>0.5</v>
      </c>
      <c r="AZ161">
        <v>2.6</v>
      </c>
      <c r="BA161">
        <v>120.1521</v>
      </c>
      <c r="BB161">
        <v>49.528199999999998</v>
      </c>
      <c r="BC161">
        <v>89.389300000000006</v>
      </c>
      <c r="BD161">
        <v>0</v>
      </c>
      <c r="BE161">
        <v>8.9295000000000009</v>
      </c>
      <c r="BH161">
        <v>71.540000000000006</v>
      </c>
    </row>
    <row r="162" spans="1:60" x14ac:dyDescent="0.25">
      <c r="A162" s="2">
        <v>45339</v>
      </c>
      <c r="B162">
        <v>16.100000000000001</v>
      </c>
      <c r="C162">
        <v>51.9</v>
      </c>
      <c r="D162">
        <v>39.1</v>
      </c>
      <c r="E162">
        <v>7.2</v>
      </c>
      <c r="F162">
        <v>73.010000000000005</v>
      </c>
      <c r="G162">
        <v>0.1</v>
      </c>
      <c r="H162">
        <v>3</v>
      </c>
      <c r="I162">
        <v>217.90270000000001</v>
      </c>
      <c r="J162">
        <v>61.420499999999997</v>
      </c>
      <c r="K162">
        <v>104.2454</v>
      </c>
      <c r="L162">
        <v>3.2267000000000001</v>
      </c>
      <c r="M162">
        <v>24.609000000000002</v>
      </c>
      <c r="P162">
        <v>65.38</v>
      </c>
      <c r="S162">
        <f t="shared" si="47"/>
        <v>601.81430000000012</v>
      </c>
      <c r="T162">
        <f t="shared" si="48"/>
        <v>1.5093186363821724E-2</v>
      </c>
      <c r="U162">
        <f t="shared" si="49"/>
        <v>4.8654433061015363E-2</v>
      </c>
      <c r="V162">
        <f t="shared" si="50"/>
        <v>3.6654881169281325E-2</v>
      </c>
      <c r="W162">
        <f t="shared" si="51"/>
        <v>6.7497479391003977E-3</v>
      </c>
      <c r="X162">
        <f t="shared" si="52"/>
        <v>6.8444319032461121E-2</v>
      </c>
      <c r="Y162">
        <f t="shared" si="53"/>
        <v>9.3746499154172199E-5</v>
      </c>
      <c r="Z162">
        <f t="shared" si="54"/>
        <v>2.8123949746251659E-3</v>
      </c>
      <c r="AA162">
        <f t="shared" si="55"/>
        <v>0.20427615281241837</v>
      </c>
      <c r="AB162">
        <f t="shared" si="56"/>
        <v>5.757956851298833E-2</v>
      </c>
      <c r="AC162">
        <f t="shared" si="57"/>
        <v>9.7726413029263423E-2</v>
      </c>
      <c r="AD162">
        <f t="shared" si="58"/>
        <v>3.024918288207674E-3</v>
      </c>
      <c r="AE162">
        <f t="shared" si="59"/>
        <v>2.3070075976850235E-2</v>
      </c>
      <c r="AG162">
        <f t="shared" si="60"/>
        <v>-0.64904387213838755</v>
      </c>
      <c r="AH162">
        <f t="shared" si="61"/>
        <v>0.20157278501630949</v>
      </c>
      <c r="AI162">
        <f t="shared" si="62"/>
        <v>-0.66748058106610186</v>
      </c>
      <c r="AK162" s="26">
        <f t="shared" si="63"/>
        <v>5.4220131466965582E-2</v>
      </c>
      <c r="AL162" s="26">
        <f t="shared" si="64"/>
        <v>6.1581331554669175E-2</v>
      </c>
      <c r="AM162" s="26">
        <f t="shared" si="65"/>
        <v>5.2689598861822451E-2</v>
      </c>
      <c r="AN162" s="26">
        <f t="shared" si="66"/>
        <v>17.255396825396822</v>
      </c>
      <c r="AO162" s="26">
        <f t="shared" si="67"/>
        <v>15.82041308089503</v>
      </c>
      <c r="AP162" s="26">
        <f t="shared" si="68"/>
        <v>13.986445208896811</v>
      </c>
      <c r="AS162" s="2">
        <v>45318</v>
      </c>
      <c r="AT162">
        <v>20.6</v>
      </c>
      <c r="AU162">
        <v>16.8</v>
      </c>
      <c r="AV162">
        <v>73.599999999999994</v>
      </c>
      <c r="AW162">
        <v>11.5</v>
      </c>
      <c r="AX162">
        <v>134.63</v>
      </c>
      <c r="AY162">
        <v>0.5</v>
      </c>
      <c r="AZ162">
        <v>2.9</v>
      </c>
      <c r="BA162">
        <v>138.57089999999999</v>
      </c>
      <c r="BB162">
        <v>72.251800000000003</v>
      </c>
      <c r="BC162">
        <v>92.691100000000006</v>
      </c>
      <c r="BD162">
        <v>0</v>
      </c>
      <c r="BE162">
        <v>24.3203</v>
      </c>
      <c r="BH162">
        <v>71.91</v>
      </c>
    </row>
    <row r="163" spans="1:60" x14ac:dyDescent="0.25">
      <c r="A163" s="2">
        <v>45338</v>
      </c>
      <c r="B163">
        <v>16.100000000000001</v>
      </c>
      <c r="C163">
        <v>9.3000000000000007</v>
      </c>
      <c r="D163">
        <v>80.5</v>
      </c>
      <c r="E163">
        <v>11.2</v>
      </c>
      <c r="F163">
        <v>97.63</v>
      </c>
      <c r="G163">
        <v>0.1</v>
      </c>
      <c r="H163">
        <v>3</v>
      </c>
      <c r="I163">
        <v>219.16579999999999</v>
      </c>
      <c r="J163">
        <v>69.072299999999998</v>
      </c>
      <c r="K163">
        <v>91.438199999999995</v>
      </c>
      <c r="L163">
        <v>3.2947000000000002</v>
      </c>
      <c r="M163">
        <v>24.804300000000001</v>
      </c>
      <c r="N163">
        <v>-17.089200000000002</v>
      </c>
      <c r="O163">
        <v>-27.747900000000001</v>
      </c>
      <c r="P163">
        <v>65.489999999999995</v>
      </c>
      <c r="S163">
        <f t="shared" si="47"/>
        <v>625.60530000000006</v>
      </c>
      <c r="T163">
        <f t="shared" si="48"/>
        <v>1.5093186363821724E-2</v>
      </c>
      <c r="U163">
        <f t="shared" si="49"/>
        <v>8.7184244213380137E-3</v>
      </c>
      <c r="V163">
        <f t="shared" si="50"/>
        <v>7.5465931819108614E-2</v>
      </c>
      <c r="W163">
        <f t="shared" si="51"/>
        <v>1.0499607905267284E-2</v>
      </c>
      <c r="X163">
        <f t="shared" si="52"/>
        <v>9.1524707124218299E-2</v>
      </c>
      <c r="Y163">
        <f t="shared" si="53"/>
        <v>9.3746499154172199E-5</v>
      </c>
      <c r="Z163">
        <f t="shared" si="54"/>
        <v>2.8123949746251659E-3</v>
      </c>
      <c r="AA163">
        <f t="shared" si="55"/>
        <v>0.20546026484323471</v>
      </c>
      <c r="AB163">
        <f t="shared" si="56"/>
        <v>6.4752863135267277E-2</v>
      </c>
      <c r="AC163">
        <f t="shared" si="57"/>
        <v>8.5720111389590278E-2</v>
      </c>
      <c r="AD163">
        <f t="shared" si="58"/>
        <v>3.0886659076325112E-3</v>
      </c>
      <c r="AE163">
        <f t="shared" si="59"/>
        <v>2.3253162889698333E-2</v>
      </c>
      <c r="AG163">
        <f t="shared" si="60"/>
        <v>-0.6434767740672086</v>
      </c>
      <c r="AH163">
        <f t="shared" si="61"/>
        <v>0.2274611619972316</v>
      </c>
      <c r="AI163">
        <f t="shared" si="62"/>
        <v>-0.47598925660197255</v>
      </c>
      <c r="AK163" s="26">
        <f t="shared" si="63"/>
        <v>5.9487238344871629E-2</v>
      </c>
      <c r="AL163" s="26">
        <f t="shared" si="64"/>
        <v>6.1052026234856116E-2</v>
      </c>
      <c r="AM163" s="26">
        <f t="shared" si="65"/>
        <v>5.1794964952295658E-2</v>
      </c>
      <c r="AN163" s="26">
        <f t="shared" si="66"/>
        <v>17.047301587301568</v>
      </c>
      <c r="AO163" s="26">
        <f t="shared" si="67"/>
        <v>15.735077452667845</v>
      </c>
      <c r="AP163" s="26">
        <f t="shared" si="68"/>
        <v>13.900684593366748</v>
      </c>
      <c r="AS163" s="2">
        <v>45317</v>
      </c>
      <c r="AT163">
        <v>21.7</v>
      </c>
      <c r="AU163">
        <v>0</v>
      </c>
      <c r="AV163">
        <v>69.3</v>
      </c>
      <c r="AW163">
        <v>15.2</v>
      </c>
      <c r="AX163">
        <v>28.97</v>
      </c>
      <c r="AY163">
        <v>0.5</v>
      </c>
      <c r="AZ163">
        <v>2.7</v>
      </c>
      <c r="BA163">
        <v>144.61600000000001</v>
      </c>
      <c r="BB163">
        <v>93.756100000000004</v>
      </c>
      <c r="BC163">
        <v>100.8069</v>
      </c>
      <c r="BD163">
        <v>0</v>
      </c>
      <c r="BE163">
        <v>15.6121</v>
      </c>
      <c r="BF163">
        <v>-16.959399999999999</v>
      </c>
      <c r="BG163">
        <v>-24.374600000000001</v>
      </c>
      <c r="BH163">
        <v>72.260000000000005</v>
      </c>
    </row>
    <row r="164" spans="1:60" x14ac:dyDescent="0.25">
      <c r="A164" s="2">
        <v>45337</v>
      </c>
      <c r="B164">
        <v>16.899999999999999</v>
      </c>
      <c r="C164">
        <v>1.7</v>
      </c>
      <c r="D164">
        <v>63.6</v>
      </c>
      <c r="E164">
        <v>7</v>
      </c>
      <c r="F164">
        <v>96.8</v>
      </c>
      <c r="G164">
        <v>0.2</v>
      </c>
      <c r="H164">
        <v>2.9</v>
      </c>
      <c r="I164">
        <v>278.00009999999997</v>
      </c>
      <c r="J164">
        <v>98.8446</v>
      </c>
      <c r="K164">
        <v>117.7679</v>
      </c>
      <c r="L164">
        <v>3.6143000000000001</v>
      </c>
      <c r="M164">
        <v>23.570900000000002</v>
      </c>
      <c r="N164">
        <v>-15.962899999999999</v>
      </c>
      <c r="O164">
        <v>-27.0288</v>
      </c>
      <c r="P164">
        <v>65.67</v>
      </c>
      <c r="S164">
        <f t="shared" si="47"/>
        <v>710.89780000000007</v>
      </c>
      <c r="T164">
        <f t="shared" si="48"/>
        <v>1.58431583570551E-2</v>
      </c>
      <c r="U164">
        <f t="shared" si="49"/>
        <v>1.5936904856209272E-3</v>
      </c>
      <c r="V164">
        <f t="shared" si="50"/>
        <v>5.9622773462053517E-2</v>
      </c>
      <c r="W164">
        <f t="shared" si="51"/>
        <v>6.5622549407920536E-3</v>
      </c>
      <c r="X164">
        <f t="shared" si="52"/>
        <v>9.0746611181238682E-2</v>
      </c>
      <c r="Y164">
        <f t="shared" si="53"/>
        <v>1.874929983083444E-4</v>
      </c>
      <c r="Z164">
        <f t="shared" si="54"/>
        <v>2.7186484754709935E-3</v>
      </c>
      <c r="AA164">
        <f t="shared" si="55"/>
        <v>0.26061536139509783</v>
      </c>
      <c r="AB164">
        <f t="shared" si="56"/>
        <v>9.2663352102944879E-2</v>
      </c>
      <c r="AC164">
        <f t="shared" si="57"/>
        <v>0.11040328337738635</v>
      </c>
      <c r="AD164">
        <f t="shared" si="58"/>
        <v>3.3882797189292457E-3</v>
      </c>
      <c r="AE164">
        <f t="shared" si="59"/>
        <v>2.2096893569130773E-2</v>
      </c>
      <c r="AG164">
        <f t="shared" si="60"/>
        <v>-0.63459564133577917</v>
      </c>
      <c r="AH164">
        <f t="shared" si="61"/>
        <v>0.19937152346967038</v>
      </c>
      <c r="AI164">
        <f t="shared" si="62"/>
        <v>-0.673398142526072</v>
      </c>
      <c r="AK164" s="26">
        <f t="shared" si="63"/>
        <v>5.9220361406295385E-2</v>
      </c>
      <c r="AL164" s="26">
        <f t="shared" si="64"/>
        <v>6.0966695218553357E-2</v>
      </c>
      <c r="AM164" s="26">
        <f t="shared" si="65"/>
        <v>5.0989930761627944E-2</v>
      </c>
      <c r="AN164" s="26">
        <f t="shared" si="66"/>
        <v>16.837460317460298</v>
      </c>
      <c r="AO164" s="26">
        <f t="shared" si="67"/>
        <v>15.651790017211738</v>
      </c>
      <c r="AP164" s="26">
        <f t="shared" si="68"/>
        <v>13.817128226674711</v>
      </c>
      <c r="AS164" s="2">
        <v>45316</v>
      </c>
      <c r="AT164">
        <v>22.4</v>
      </c>
      <c r="AU164">
        <v>30</v>
      </c>
      <c r="AV164">
        <v>49.8</v>
      </c>
      <c r="AW164">
        <v>12.5</v>
      </c>
      <c r="AX164">
        <v>70.540000000000006</v>
      </c>
      <c r="AY164">
        <v>0.5</v>
      </c>
      <c r="AZ164">
        <v>2.6</v>
      </c>
      <c r="BA164">
        <v>158.001</v>
      </c>
      <c r="BB164">
        <v>101.9926</v>
      </c>
      <c r="BC164">
        <v>140.6962</v>
      </c>
      <c r="BD164">
        <v>0</v>
      </c>
      <c r="BE164">
        <v>31.299900000000001</v>
      </c>
      <c r="BF164">
        <v>-13.211499999999999</v>
      </c>
      <c r="BG164">
        <v>-20.5992</v>
      </c>
      <c r="BH164">
        <v>72.64</v>
      </c>
    </row>
    <row r="165" spans="1:60" x14ac:dyDescent="0.25">
      <c r="A165" s="2">
        <v>45336</v>
      </c>
      <c r="B165">
        <v>17.5</v>
      </c>
      <c r="C165">
        <v>2.4</v>
      </c>
      <c r="D165">
        <v>39.5</v>
      </c>
      <c r="E165">
        <v>9.3000000000000007</v>
      </c>
      <c r="F165">
        <v>62.24</v>
      </c>
      <c r="G165">
        <v>0.5</v>
      </c>
      <c r="H165">
        <v>3</v>
      </c>
      <c r="I165">
        <v>281.16770000000002</v>
      </c>
      <c r="J165">
        <v>100.6765</v>
      </c>
      <c r="K165">
        <v>102.81359999999999</v>
      </c>
      <c r="L165">
        <v>3.9098000000000002</v>
      </c>
      <c r="M165">
        <v>26.5319</v>
      </c>
      <c r="N165">
        <v>-14.8203</v>
      </c>
      <c r="O165">
        <v>-24.861499999999999</v>
      </c>
      <c r="P165">
        <v>65.89</v>
      </c>
      <c r="S165">
        <f t="shared" si="47"/>
        <v>649.53949999999998</v>
      </c>
      <c r="T165">
        <f t="shared" si="48"/>
        <v>1.6405637351980133E-2</v>
      </c>
      <c r="U165">
        <f t="shared" si="49"/>
        <v>2.2499159797001326E-3</v>
      </c>
      <c r="V165">
        <f t="shared" si="50"/>
        <v>3.7029867165898019E-2</v>
      </c>
      <c r="W165">
        <f t="shared" si="51"/>
        <v>8.7184244213380137E-3</v>
      </c>
      <c r="X165">
        <f t="shared" si="52"/>
        <v>5.8347821073556773E-2</v>
      </c>
      <c r="Y165">
        <f t="shared" si="53"/>
        <v>4.6873249577086097E-4</v>
      </c>
      <c r="Z165">
        <f t="shared" si="54"/>
        <v>2.8123949746251659E-3</v>
      </c>
      <c r="AA165">
        <f t="shared" si="55"/>
        <v>0.26358487550230542</v>
      </c>
      <c r="AB165">
        <f t="shared" si="56"/>
        <v>9.4380694220950176E-2</v>
      </c>
      <c r="AC165">
        <f t="shared" si="57"/>
        <v>9.6384150654373973E-2</v>
      </c>
      <c r="AD165">
        <f t="shared" si="58"/>
        <v>3.6653006239298243E-3</v>
      </c>
      <c r="AE165">
        <f t="shared" si="59"/>
        <v>2.4872727409085811E-2</v>
      </c>
      <c r="AG165">
        <f t="shared" si="60"/>
        <v>-0.62383569259420613</v>
      </c>
      <c r="AH165">
        <f t="shared" si="61"/>
        <v>0.15090552087195488</v>
      </c>
      <c r="AI165">
        <f t="shared" si="62"/>
        <v>-1.0198393655526266</v>
      </c>
      <c r="AK165" s="26">
        <f t="shared" si="63"/>
        <v>6.2374785274945804E-2</v>
      </c>
      <c r="AL165" s="26">
        <f t="shared" si="64"/>
        <v>6.0249935383289224E-2</v>
      </c>
      <c r="AM165" s="26">
        <f t="shared" si="65"/>
        <v>5.0475881595647865E-2</v>
      </c>
      <c r="AN165" s="26">
        <f t="shared" si="66"/>
        <v>16.628412698412696</v>
      </c>
      <c r="AO165" s="26">
        <f t="shared" si="67"/>
        <v>15.570068846815857</v>
      </c>
      <c r="AP165" s="26">
        <f t="shared" si="68"/>
        <v>13.738406554449696</v>
      </c>
      <c r="AS165" s="2">
        <v>45315</v>
      </c>
      <c r="AT165">
        <v>19.5</v>
      </c>
      <c r="AU165">
        <v>0.4</v>
      </c>
      <c r="AV165">
        <v>59.5</v>
      </c>
      <c r="AW165">
        <v>17</v>
      </c>
      <c r="AX165">
        <v>44.87</v>
      </c>
      <c r="AY165">
        <v>0.5</v>
      </c>
      <c r="AZ165">
        <v>2.5</v>
      </c>
      <c r="BA165">
        <v>98.040499999999994</v>
      </c>
      <c r="BB165">
        <v>88.585099999999997</v>
      </c>
      <c r="BC165">
        <v>72.509299999999996</v>
      </c>
      <c r="BD165">
        <v>1.3899999999999999E-2</v>
      </c>
      <c r="BE165">
        <v>24.851099999999999</v>
      </c>
      <c r="BF165">
        <v>-13.9658</v>
      </c>
      <c r="BG165">
        <v>-21.0959</v>
      </c>
      <c r="BH165">
        <v>73.040000000000006</v>
      </c>
    </row>
    <row r="166" spans="1:60" x14ac:dyDescent="0.25">
      <c r="A166" s="2">
        <v>45335</v>
      </c>
      <c r="B166">
        <v>18.2</v>
      </c>
      <c r="C166">
        <v>0.7</v>
      </c>
      <c r="D166">
        <v>81.099999999999994</v>
      </c>
      <c r="E166">
        <v>8.4</v>
      </c>
      <c r="F166">
        <v>128.18</v>
      </c>
      <c r="G166">
        <v>0.5</v>
      </c>
      <c r="H166">
        <v>2.8</v>
      </c>
      <c r="I166">
        <v>264.47500000000002</v>
      </c>
      <c r="J166">
        <v>85.254499999999993</v>
      </c>
      <c r="K166">
        <v>120.24979999999999</v>
      </c>
      <c r="L166">
        <v>3.8317000000000001</v>
      </c>
      <c r="M166">
        <v>18.848800000000001</v>
      </c>
      <c r="N166">
        <v>-15.7202</v>
      </c>
      <c r="O166">
        <v>-24.722100000000001</v>
      </c>
      <c r="P166">
        <v>66.17</v>
      </c>
      <c r="S166">
        <f t="shared" si="47"/>
        <v>732.53980000000001</v>
      </c>
      <c r="T166">
        <f t="shared" si="48"/>
        <v>1.7061862846059338E-2</v>
      </c>
      <c r="U166">
        <f t="shared" si="49"/>
        <v>6.5622549407920526E-4</v>
      </c>
      <c r="V166">
        <f t="shared" si="50"/>
        <v>7.6028410814033637E-2</v>
      </c>
      <c r="W166">
        <f t="shared" si="51"/>
        <v>7.8747059289504644E-3</v>
      </c>
      <c r="X166">
        <f t="shared" si="52"/>
        <v>0.12016426261581792</v>
      </c>
      <c r="Y166">
        <f t="shared" si="53"/>
        <v>4.6873249577086097E-4</v>
      </c>
      <c r="Z166">
        <f t="shared" si="54"/>
        <v>2.624901976316821E-3</v>
      </c>
      <c r="AA166">
        <f t="shared" si="55"/>
        <v>0.24793605363799692</v>
      </c>
      <c r="AB166">
        <f t="shared" si="56"/>
        <v>7.9923109121393721E-2</v>
      </c>
      <c r="AC166">
        <f t="shared" si="57"/>
        <v>0.11272997773989374</v>
      </c>
      <c r="AD166">
        <f t="shared" si="58"/>
        <v>3.5920846080904159E-3</v>
      </c>
      <c r="AE166">
        <f t="shared" si="59"/>
        <v>1.7670090132571609E-2</v>
      </c>
      <c r="AG166">
        <f t="shared" si="60"/>
        <v>-0.61024877582203896</v>
      </c>
      <c r="AH166">
        <f t="shared" si="61"/>
        <v>0.24254919230359989</v>
      </c>
      <c r="AI166">
        <f t="shared" si="62"/>
        <v>-0.36168199870136525</v>
      </c>
      <c r="AK166" s="26">
        <f t="shared" si="63"/>
        <v>6.601309137123812E-2</v>
      </c>
      <c r="AL166" s="26">
        <f t="shared" si="64"/>
        <v>6.0949058976877052E-2</v>
      </c>
      <c r="AM166" s="26">
        <f t="shared" si="65"/>
        <v>4.9919232844712835E-2</v>
      </c>
      <c r="AN166" s="26">
        <f t="shared" si="66"/>
        <v>16.42015873015874</v>
      </c>
      <c r="AO166" s="26">
        <f t="shared" si="67"/>
        <v>15.489311531841679</v>
      </c>
      <c r="AP166" s="26">
        <f t="shared" si="68"/>
        <v>13.66054305296602</v>
      </c>
      <c r="AS166" s="2">
        <v>45314</v>
      </c>
      <c r="AT166">
        <v>19.100000000000001</v>
      </c>
      <c r="AU166">
        <v>0</v>
      </c>
      <c r="AV166">
        <v>65.3</v>
      </c>
      <c r="AW166">
        <v>18.7</v>
      </c>
      <c r="AX166">
        <v>60.34</v>
      </c>
      <c r="AY166">
        <v>0.5</v>
      </c>
      <c r="AZ166">
        <v>2.5</v>
      </c>
      <c r="BA166">
        <v>110.2069</v>
      </c>
      <c r="BB166">
        <v>92.817400000000006</v>
      </c>
      <c r="BC166">
        <v>109.37220000000001</v>
      </c>
      <c r="BD166">
        <v>0</v>
      </c>
      <c r="BE166">
        <v>30.526</v>
      </c>
      <c r="BF166">
        <v>-13.3249</v>
      </c>
      <c r="BG166">
        <v>-21.709099999999999</v>
      </c>
      <c r="BH166">
        <v>73.42</v>
      </c>
    </row>
    <row r="167" spans="1:60" x14ac:dyDescent="0.25">
      <c r="A167" s="2">
        <v>45334</v>
      </c>
      <c r="B167">
        <v>18.100000000000001</v>
      </c>
      <c r="C167">
        <v>4.2</v>
      </c>
      <c r="D167">
        <v>30.5</v>
      </c>
      <c r="E167">
        <v>6.4</v>
      </c>
      <c r="F167">
        <v>60.52</v>
      </c>
      <c r="G167">
        <v>0.5</v>
      </c>
      <c r="H167">
        <v>3</v>
      </c>
      <c r="I167">
        <v>285.8956</v>
      </c>
      <c r="J167">
        <v>73.620099999999994</v>
      </c>
      <c r="K167">
        <v>131.9443</v>
      </c>
      <c r="L167">
        <v>3.774</v>
      </c>
      <c r="M167">
        <v>38.825299999999999</v>
      </c>
      <c r="N167">
        <v>-14.713699999999999</v>
      </c>
      <c r="O167">
        <v>-23.683</v>
      </c>
      <c r="P167">
        <v>66.52</v>
      </c>
      <c r="S167">
        <f t="shared" si="47"/>
        <v>657.27929999999992</v>
      </c>
      <c r="T167">
        <f t="shared" si="48"/>
        <v>1.696811634690517E-2</v>
      </c>
      <c r="U167">
        <f t="shared" si="49"/>
        <v>3.9373529644752322E-3</v>
      </c>
      <c r="V167">
        <f t="shared" si="50"/>
        <v>2.8592682242022518E-2</v>
      </c>
      <c r="W167">
        <f t="shared" si="51"/>
        <v>5.9997759458670207E-3</v>
      </c>
      <c r="X167">
        <f t="shared" si="52"/>
        <v>5.6735381288105013E-2</v>
      </c>
      <c r="Y167">
        <f t="shared" si="53"/>
        <v>4.6873249577086097E-4</v>
      </c>
      <c r="Z167">
        <f t="shared" si="54"/>
        <v>2.8123949746251659E-3</v>
      </c>
      <c r="AA167">
        <f t="shared" si="55"/>
        <v>0.26801711623581553</v>
      </c>
      <c r="AB167">
        <f t="shared" si="56"/>
        <v>6.901626642380071E-2</v>
      </c>
      <c r="AC167">
        <f t="shared" si="57"/>
        <v>0.12369316208347841</v>
      </c>
      <c r="AD167">
        <f t="shared" si="58"/>
        <v>3.5379928780784587E-3</v>
      </c>
      <c r="AE167">
        <f t="shared" si="59"/>
        <v>3.6397359536104817E-2</v>
      </c>
      <c r="AG167">
        <f t="shared" si="60"/>
        <v>-0.59335856980021295</v>
      </c>
      <c r="AH167">
        <f t="shared" si="61"/>
        <v>0.15191179579387581</v>
      </c>
      <c r="AI167">
        <f t="shared" si="62"/>
        <v>-1.0050195085354274</v>
      </c>
      <c r="AK167" s="26">
        <f t="shared" si="63"/>
        <v>6.582752092018232E-2</v>
      </c>
      <c r="AL167" s="26">
        <f t="shared" si="64"/>
        <v>5.9838795750769377E-2</v>
      </c>
      <c r="AM167" s="26">
        <f t="shared" si="65"/>
        <v>4.9671984649642564E-2</v>
      </c>
      <c r="AN167" s="26">
        <f t="shared" si="66"/>
        <v>16.211746031746031</v>
      </c>
      <c r="AO167" s="26">
        <f t="shared" si="67"/>
        <v>15.410654044750444</v>
      </c>
      <c r="AP167" s="26">
        <f t="shared" si="68"/>
        <v>13.585100968987135</v>
      </c>
      <c r="AS167" s="2">
        <v>45313</v>
      </c>
      <c r="AT167">
        <v>17.100000000000001</v>
      </c>
      <c r="AU167">
        <v>0</v>
      </c>
      <c r="AV167">
        <v>57.8</v>
      </c>
      <c r="AW167">
        <v>22.2</v>
      </c>
      <c r="AX167">
        <v>27.34</v>
      </c>
      <c r="AY167">
        <v>0.5</v>
      </c>
      <c r="AZ167">
        <v>2.5</v>
      </c>
      <c r="BA167">
        <v>90.717299999999994</v>
      </c>
      <c r="BB167">
        <v>90.698700000000002</v>
      </c>
      <c r="BC167">
        <v>90.607399999999998</v>
      </c>
      <c r="BD167">
        <v>0</v>
      </c>
      <c r="BE167">
        <v>25.903700000000001</v>
      </c>
      <c r="BF167">
        <v>-13.902100000000001</v>
      </c>
      <c r="BG167">
        <v>-21.700700000000001</v>
      </c>
      <c r="BH167">
        <v>73.900000000000006</v>
      </c>
    </row>
    <row r="168" spans="1:60" x14ac:dyDescent="0.25">
      <c r="A168" s="2">
        <v>45333</v>
      </c>
      <c r="B168">
        <v>16.600000000000001</v>
      </c>
      <c r="C168">
        <v>0</v>
      </c>
      <c r="D168">
        <v>80.7</v>
      </c>
      <c r="E168">
        <v>6</v>
      </c>
      <c r="F168">
        <v>32.92</v>
      </c>
      <c r="G168">
        <v>0.5</v>
      </c>
      <c r="H168">
        <v>3</v>
      </c>
      <c r="I168">
        <v>199.18389999999999</v>
      </c>
      <c r="J168">
        <v>51.353299999999997</v>
      </c>
      <c r="K168">
        <v>69.408900000000003</v>
      </c>
      <c r="L168">
        <v>3.6166</v>
      </c>
      <c r="M168">
        <v>15.841699999999999</v>
      </c>
      <c r="P168">
        <v>67.06</v>
      </c>
      <c r="S168">
        <f t="shared" si="47"/>
        <v>479.12440000000004</v>
      </c>
      <c r="T168">
        <f t="shared" si="48"/>
        <v>1.5561918859592586E-2</v>
      </c>
      <c r="U168">
        <f t="shared" si="49"/>
        <v>0</v>
      </c>
      <c r="V168">
        <f t="shared" si="50"/>
        <v>7.5653424817416964E-2</v>
      </c>
      <c r="W168">
        <f t="shared" si="51"/>
        <v>5.6247899492503318E-3</v>
      </c>
      <c r="X168">
        <f t="shared" si="52"/>
        <v>3.0861347521553485E-2</v>
      </c>
      <c r="Y168">
        <f t="shared" si="53"/>
        <v>4.6873249577086097E-4</v>
      </c>
      <c r="Z168">
        <f t="shared" si="54"/>
        <v>2.8123949746251659E-3</v>
      </c>
      <c r="AA168">
        <f t="shared" si="55"/>
        <v>0.18672793312874716</v>
      </c>
      <c r="AB168">
        <f t="shared" si="56"/>
        <v>4.8141920950139507E-2</v>
      </c>
      <c r="AC168">
        <f t="shared" si="57"/>
        <v>6.5068413851420218E-2</v>
      </c>
      <c r="AD168">
        <f t="shared" si="58"/>
        <v>3.3904358884097913E-3</v>
      </c>
      <c r="AE168">
        <f t="shared" si="59"/>
        <v>1.4851039156506495E-2</v>
      </c>
      <c r="AG168">
        <f t="shared" si="60"/>
        <v>-0.56744840976954058</v>
      </c>
      <c r="AH168">
        <f t="shared" si="61"/>
        <v>0.14583364777471589</v>
      </c>
      <c r="AI168">
        <f t="shared" si="62"/>
        <v>-1.0460166605872574</v>
      </c>
      <c r="AK168" s="26">
        <f t="shared" si="63"/>
        <v>6.4186153643562949E-2</v>
      </c>
      <c r="AL168" s="26">
        <f t="shared" si="64"/>
        <v>6.0546263791242547E-2</v>
      </c>
      <c r="AM168" s="26">
        <f t="shared" si="65"/>
        <v>4.9975356597361659E-2</v>
      </c>
      <c r="AN168" s="26">
        <f t="shared" si="66"/>
        <v>16.00777777777779</v>
      </c>
      <c r="AO168" s="26">
        <f t="shared" si="67"/>
        <v>15.336086488812427</v>
      </c>
      <c r="AP168" s="26">
        <f t="shared" si="68"/>
        <v>13.511371287518699</v>
      </c>
      <c r="AS168" s="2">
        <v>45312</v>
      </c>
      <c r="AT168">
        <v>16.5</v>
      </c>
      <c r="AU168">
        <v>0.5</v>
      </c>
      <c r="AV168">
        <v>80.3</v>
      </c>
      <c r="AW168">
        <v>17.2</v>
      </c>
      <c r="AX168">
        <v>52.97</v>
      </c>
      <c r="AY168">
        <v>0.5</v>
      </c>
      <c r="AZ168">
        <v>2.2999999999999998</v>
      </c>
      <c r="BA168">
        <v>95.946100000000001</v>
      </c>
      <c r="BB168">
        <v>66.849000000000004</v>
      </c>
      <c r="BC168">
        <v>92.587100000000007</v>
      </c>
      <c r="BD168">
        <v>1.3887</v>
      </c>
      <c r="BE168">
        <v>13.5267</v>
      </c>
      <c r="BH168">
        <v>74.42</v>
      </c>
    </row>
    <row r="169" spans="1:60" x14ac:dyDescent="0.25">
      <c r="A169" s="2">
        <v>45332</v>
      </c>
      <c r="B169">
        <v>16.7</v>
      </c>
      <c r="C169">
        <v>0</v>
      </c>
      <c r="D169">
        <v>61.9</v>
      </c>
      <c r="E169">
        <v>4.3</v>
      </c>
      <c r="F169">
        <v>78.61</v>
      </c>
      <c r="G169">
        <v>0.5</v>
      </c>
      <c r="H169">
        <v>3.2</v>
      </c>
      <c r="I169">
        <v>254.1301</v>
      </c>
      <c r="J169">
        <v>54.67</v>
      </c>
      <c r="K169">
        <v>92.356800000000007</v>
      </c>
      <c r="L169">
        <v>3.7867999999999999</v>
      </c>
      <c r="M169">
        <v>19.0504</v>
      </c>
      <c r="P169">
        <v>67.040000000000006</v>
      </c>
      <c r="S169">
        <f t="shared" si="47"/>
        <v>589.20409999999993</v>
      </c>
      <c r="T169">
        <f t="shared" si="48"/>
        <v>1.5655665358746754E-2</v>
      </c>
      <c r="U169">
        <f t="shared" si="49"/>
        <v>0</v>
      </c>
      <c r="V169">
        <f t="shared" si="50"/>
        <v>5.8029082976432583E-2</v>
      </c>
      <c r="W169">
        <f t="shared" si="51"/>
        <v>4.0310994636294038E-3</v>
      </c>
      <c r="X169">
        <f t="shared" si="52"/>
        <v>7.3694122985094757E-2</v>
      </c>
      <c r="Y169">
        <f t="shared" si="53"/>
        <v>4.6873249577086097E-4</v>
      </c>
      <c r="Z169">
        <f t="shared" si="54"/>
        <v>2.9998879729335104E-3</v>
      </c>
      <c r="AA169">
        <f t="shared" si="55"/>
        <v>0.23823807204699693</v>
      </c>
      <c r="AB169">
        <f t="shared" si="56"/>
        <v>5.1251211087585936E-2</v>
      </c>
      <c r="AC169">
        <f t="shared" si="57"/>
        <v>8.6581266730820505E-2</v>
      </c>
      <c r="AD169">
        <f t="shared" si="58"/>
        <v>3.5499924299701923E-3</v>
      </c>
      <c r="AE169">
        <f t="shared" si="59"/>
        <v>1.785908307486642E-2</v>
      </c>
      <c r="AG169">
        <f t="shared" si="60"/>
        <v>-0.56816827346800114</v>
      </c>
      <c r="AH169">
        <f t="shared" si="61"/>
        <v>0.17273767432747431</v>
      </c>
      <c r="AI169">
        <f t="shared" si="62"/>
        <v>-0.85065397632076445</v>
      </c>
      <c r="AK169" s="26">
        <f t="shared" si="63"/>
        <v>6.5704214513001208E-2</v>
      </c>
      <c r="AL169" s="26">
        <f t="shared" si="64"/>
        <v>6.1755731769266992E-2</v>
      </c>
      <c r="AM169" s="26">
        <f t="shared" si="65"/>
        <v>4.9789394984711133E-2</v>
      </c>
      <c r="AN169" s="26">
        <f t="shared" si="66"/>
        <v>15.802380952380972</v>
      </c>
      <c r="AO169" s="26">
        <f t="shared" si="67"/>
        <v>15.261738382099857</v>
      </c>
      <c r="AP169" s="26">
        <f t="shared" si="68"/>
        <v>13.436757963288741</v>
      </c>
      <c r="AS169" s="2">
        <v>45311</v>
      </c>
      <c r="AT169">
        <v>17.3</v>
      </c>
      <c r="AU169">
        <v>34</v>
      </c>
      <c r="AV169">
        <v>77.400000000000006</v>
      </c>
      <c r="AW169">
        <v>14.3</v>
      </c>
      <c r="AX169">
        <v>64.900000000000006</v>
      </c>
      <c r="AY169">
        <v>0.5</v>
      </c>
      <c r="AZ169">
        <v>2.5</v>
      </c>
      <c r="BA169">
        <v>189.19220000000001</v>
      </c>
      <c r="BB169">
        <v>79.190700000000007</v>
      </c>
      <c r="BC169">
        <v>151.244</v>
      </c>
      <c r="BD169">
        <v>0</v>
      </c>
      <c r="BE169">
        <v>21.401</v>
      </c>
      <c r="BH169">
        <v>74.94</v>
      </c>
    </row>
    <row r="170" spans="1:60" x14ac:dyDescent="0.25">
      <c r="A170" s="2">
        <v>45331</v>
      </c>
      <c r="B170">
        <v>17.899999999999999</v>
      </c>
      <c r="C170">
        <v>0</v>
      </c>
      <c r="D170">
        <v>81.8</v>
      </c>
      <c r="E170">
        <v>10.199999999999999</v>
      </c>
      <c r="F170">
        <v>43.84</v>
      </c>
      <c r="G170">
        <v>0.5</v>
      </c>
      <c r="H170">
        <v>3</v>
      </c>
      <c r="I170">
        <v>246.73419999999999</v>
      </c>
      <c r="J170">
        <v>55.255099999999999</v>
      </c>
      <c r="K170">
        <v>119.7514</v>
      </c>
      <c r="L170">
        <v>3.9392</v>
      </c>
      <c r="M170">
        <v>22.570399999999999</v>
      </c>
      <c r="N170">
        <v>-16.197199999999999</v>
      </c>
      <c r="O170">
        <v>-24.2075</v>
      </c>
      <c r="P170">
        <v>67.22</v>
      </c>
      <c r="S170">
        <f t="shared" si="47"/>
        <v>605.49029999999993</v>
      </c>
      <c r="T170">
        <f t="shared" si="48"/>
        <v>1.678062334859682E-2</v>
      </c>
      <c r="U170">
        <f t="shared" si="49"/>
        <v>0</v>
      </c>
      <c r="V170">
        <f t="shared" si="50"/>
        <v>7.6684636308112855E-2</v>
      </c>
      <c r="W170">
        <f t="shared" si="51"/>
        <v>9.5621429137255631E-3</v>
      </c>
      <c r="X170">
        <f t="shared" si="52"/>
        <v>4.1098465229189092E-2</v>
      </c>
      <c r="Y170">
        <f t="shared" si="53"/>
        <v>4.6873249577086097E-4</v>
      </c>
      <c r="Z170">
        <f t="shared" si="54"/>
        <v>2.8123949746251659E-3</v>
      </c>
      <c r="AA170">
        <f t="shared" si="55"/>
        <v>0.23130467471605351</v>
      </c>
      <c r="AB170">
        <f t="shared" si="56"/>
        <v>5.1799721854136997E-2</v>
      </c>
      <c r="AC170">
        <f t="shared" si="57"/>
        <v>0.11226274518810936</v>
      </c>
      <c r="AD170">
        <f t="shared" si="58"/>
        <v>3.6928620946811508E-3</v>
      </c>
      <c r="AE170">
        <f t="shared" si="59"/>
        <v>2.1158959845093278E-2</v>
      </c>
      <c r="AG170">
        <f t="shared" si="60"/>
        <v>-0.55943462100516428</v>
      </c>
      <c r="AH170">
        <f t="shared" si="61"/>
        <v>0.16856595511511363</v>
      </c>
      <c r="AI170">
        <f t="shared" si="62"/>
        <v>-0.87765563227221588</v>
      </c>
      <c r="AK170" s="26">
        <f t="shared" si="63"/>
        <v>7.1742683954384157E-2</v>
      </c>
      <c r="AL170" s="26">
        <f t="shared" si="64"/>
        <v>6.3515622151792087E-2</v>
      </c>
      <c r="AM170" s="26">
        <f t="shared" si="65"/>
        <v>4.9508928924792445E-2</v>
      </c>
      <c r="AN170" s="26">
        <f t="shared" si="66"/>
        <v>15.622222222222248</v>
      </c>
      <c r="AO170" s="26">
        <f t="shared" si="67"/>
        <v>15.193431583476801</v>
      </c>
      <c r="AP170" s="26">
        <f t="shared" si="68"/>
        <v>13.366870092697113</v>
      </c>
      <c r="AS170" s="2">
        <v>45310</v>
      </c>
      <c r="AT170">
        <v>19.600000000000001</v>
      </c>
      <c r="AU170">
        <v>20.9</v>
      </c>
      <c r="AV170">
        <v>81.7</v>
      </c>
      <c r="AW170">
        <v>13.7</v>
      </c>
      <c r="AX170">
        <v>41.9</v>
      </c>
      <c r="AY170">
        <v>0.5</v>
      </c>
      <c r="AZ170">
        <v>2.8</v>
      </c>
      <c r="BA170">
        <v>281.5043</v>
      </c>
      <c r="BB170">
        <v>114.92270000000001</v>
      </c>
      <c r="BC170">
        <v>186.53149999999999</v>
      </c>
      <c r="BD170">
        <v>1.7415</v>
      </c>
      <c r="BE170">
        <v>27.9878</v>
      </c>
      <c r="BF170">
        <v>-9.9024000000000001</v>
      </c>
      <c r="BG170">
        <v>-17.224399999999999</v>
      </c>
      <c r="BH170">
        <v>75.489999999999995</v>
      </c>
    </row>
    <row r="171" spans="1:60" x14ac:dyDescent="0.25">
      <c r="A171" s="2">
        <v>45330</v>
      </c>
      <c r="B171">
        <v>19.100000000000001</v>
      </c>
      <c r="C171">
        <v>96.4</v>
      </c>
      <c r="D171">
        <v>25.7</v>
      </c>
      <c r="E171">
        <v>3.3</v>
      </c>
      <c r="F171">
        <v>44.46</v>
      </c>
      <c r="G171">
        <v>0.4</v>
      </c>
      <c r="H171">
        <v>2.5</v>
      </c>
      <c r="I171">
        <v>323.8895</v>
      </c>
      <c r="J171">
        <v>141.7424</v>
      </c>
      <c r="K171">
        <v>195.86699999999999</v>
      </c>
      <c r="L171">
        <v>3.7549000000000001</v>
      </c>
      <c r="M171">
        <v>28.803899999999999</v>
      </c>
      <c r="N171">
        <v>-15.386100000000001</v>
      </c>
      <c r="O171">
        <v>-23.543900000000001</v>
      </c>
      <c r="P171">
        <v>67.48</v>
      </c>
      <c r="S171">
        <f t="shared" si="47"/>
        <v>885.91769999999997</v>
      </c>
      <c r="T171">
        <f t="shared" si="48"/>
        <v>1.7905581338446889E-2</v>
      </c>
      <c r="U171">
        <f t="shared" si="49"/>
        <v>9.0371625184621995E-2</v>
      </c>
      <c r="V171">
        <f t="shared" si="50"/>
        <v>2.4092850282622251E-2</v>
      </c>
      <c r="W171">
        <f t="shared" si="51"/>
        <v>3.0936344720876819E-3</v>
      </c>
      <c r="X171">
        <f t="shared" si="52"/>
        <v>4.1679693523944954E-2</v>
      </c>
      <c r="Y171">
        <f t="shared" si="53"/>
        <v>3.7498599661668879E-4</v>
      </c>
      <c r="Z171">
        <f t="shared" si="54"/>
        <v>2.3436624788543046E-3</v>
      </c>
      <c r="AA171">
        <f t="shared" si="55"/>
        <v>0.30363506737795254</v>
      </c>
      <c r="AB171">
        <f t="shared" si="56"/>
        <v>0.13287853781710338</v>
      </c>
      <c r="AC171">
        <f t="shared" si="57"/>
        <v>0.18361845549830244</v>
      </c>
      <c r="AD171">
        <f t="shared" si="58"/>
        <v>3.5200872967400118E-3</v>
      </c>
      <c r="AE171">
        <f t="shared" si="59"/>
        <v>2.7002647869868602E-2</v>
      </c>
      <c r="AG171">
        <f t="shared" si="60"/>
        <v>-0.54695396078053271</v>
      </c>
      <c r="AH171">
        <f t="shared" si="61"/>
        <v>0.20686468114706341</v>
      </c>
      <c r="AI171">
        <f t="shared" si="62"/>
        <v>-0.60857862003200969</v>
      </c>
      <c r="AK171" s="26">
        <f t="shared" si="63"/>
        <v>7.7528475331713601E-2</v>
      </c>
      <c r="AL171" s="26">
        <f t="shared" si="64"/>
        <v>6.4605397633146017E-2</v>
      </c>
      <c r="AM171" s="26">
        <f t="shared" si="65"/>
        <v>5.0548029771384839E-2</v>
      </c>
      <c r="AN171" s="26">
        <f t="shared" si="66"/>
        <v>15.457936507936523</v>
      </c>
      <c r="AO171" s="26">
        <f t="shared" si="67"/>
        <v>15.126755593803821</v>
      </c>
      <c r="AP171" s="26">
        <f t="shared" si="68"/>
        <v>13.300764948399419</v>
      </c>
      <c r="AS171" s="2">
        <v>45309</v>
      </c>
      <c r="AT171">
        <v>19.899999999999999</v>
      </c>
      <c r="AU171">
        <v>1.6</v>
      </c>
      <c r="AV171">
        <v>51.4</v>
      </c>
      <c r="AW171">
        <v>3.9</v>
      </c>
      <c r="AX171">
        <v>29.73</v>
      </c>
      <c r="AY171">
        <v>0.5</v>
      </c>
      <c r="AZ171">
        <v>3</v>
      </c>
      <c r="BA171">
        <v>363.04450000000003</v>
      </c>
      <c r="BB171">
        <v>145.92699999999999</v>
      </c>
      <c r="BC171">
        <v>223.53790000000001</v>
      </c>
      <c r="BD171">
        <v>4.7027999999999999</v>
      </c>
      <c r="BE171">
        <v>34.770000000000003</v>
      </c>
      <c r="BF171">
        <v>-9.1076999999999995</v>
      </c>
      <c r="BG171">
        <v>-18.473800000000001</v>
      </c>
      <c r="BH171">
        <v>76.180000000000007</v>
      </c>
    </row>
    <row r="172" spans="1:60" x14ac:dyDescent="0.25">
      <c r="A172" s="2">
        <v>45329</v>
      </c>
      <c r="B172">
        <v>18</v>
      </c>
      <c r="C172">
        <v>89.4</v>
      </c>
      <c r="D172">
        <v>68.900000000000006</v>
      </c>
      <c r="E172">
        <v>12.4</v>
      </c>
      <c r="F172">
        <v>51.56</v>
      </c>
      <c r="G172">
        <v>0.5</v>
      </c>
      <c r="H172">
        <v>2.2999999999999998</v>
      </c>
      <c r="I172">
        <v>241.07740000000001</v>
      </c>
      <c r="J172">
        <v>93.548199999999994</v>
      </c>
      <c r="K172">
        <v>134.4864</v>
      </c>
      <c r="L172">
        <v>3.3969999999999998</v>
      </c>
      <c r="M172">
        <v>34.765700000000002</v>
      </c>
      <c r="N172">
        <v>-16.1357</v>
      </c>
      <c r="O172">
        <v>-24.665400000000002</v>
      </c>
      <c r="P172">
        <v>67.87</v>
      </c>
      <c r="S172">
        <f t="shared" si="47"/>
        <v>750.33470000000011</v>
      </c>
      <c r="T172">
        <f t="shared" si="48"/>
        <v>1.6874369847750995E-2</v>
      </c>
      <c r="U172">
        <f t="shared" si="49"/>
        <v>8.380937024382995E-2</v>
      </c>
      <c r="V172">
        <f t="shared" si="50"/>
        <v>6.4591337917224642E-2</v>
      </c>
      <c r="W172">
        <f t="shared" si="51"/>
        <v>1.1624565895117352E-2</v>
      </c>
      <c r="X172">
        <f t="shared" si="52"/>
        <v>4.8335694963891181E-2</v>
      </c>
      <c r="Y172">
        <f t="shared" si="53"/>
        <v>4.6873249577086097E-4</v>
      </c>
      <c r="Z172">
        <f t="shared" si="54"/>
        <v>2.1561694805459601E-3</v>
      </c>
      <c r="AA172">
        <f t="shared" si="55"/>
        <v>0.22600162275190033</v>
      </c>
      <c r="AB172">
        <f t="shared" si="56"/>
        <v>8.7698162521743298E-2</v>
      </c>
      <c r="AC172">
        <f t="shared" si="57"/>
        <v>0.12607629183847663</v>
      </c>
      <c r="AD172">
        <f t="shared" si="58"/>
        <v>3.1845685762672293E-3</v>
      </c>
      <c r="AE172">
        <f t="shared" si="59"/>
        <v>3.2591626656442045E-2</v>
      </c>
      <c r="AG172">
        <f t="shared" si="60"/>
        <v>-0.52835550563743927</v>
      </c>
      <c r="AH172">
        <f t="shared" si="61"/>
        <v>0.26045186750057298</v>
      </c>
      <c r="AI172">
        <f t="shared" si="62"/>
        <v>-0.2317481404303986</v>
      </c>
      <c r="AK172" s="26">
        <f t="shared" si="63"/>
        <v>7.7151715591811332E-2</v>
      </c>
      <c r="AL172" s="26">
        <f t="shared" si="64"/>
        <v>6.3602111001900871E-2</v>
      </c>
      <c r="AM172" s="26">
        <f t="shared" si="65"/>
        <v>5.0624319306608934E-2</v>
      </c>
      <c r="AN172" s="26">
        <f t="shared" si="66"/>
        <v>15.310317460317471</v>
      </c>
      <c r="AO172" s="26">
        <f t="shared" si="67"/>
        <v>15.062895869191081</v>
      </c>
      <c r="AP172" s="26">
        <f t="shared" si="68"/>
        <v>13.237732465008762</v>
      </c>
      <c r="AS172" s="2">
        <v>45308</v>
      </c>
      <c r="AT172">
        <v>19</v>
      </c>
      <c r="AU172">
        <v>19.899999999999999</v>
      </c>
      <c r="AV172">
        <v>54</v>
      </c>
      <c r="AW172">
        <v>5.6</v>
      </c>
      <c r="AX172">
        <v>17.079999999999998</v>
      </c>
      <c r="AY172">
        <v>0.5</v>
      </c>
      <c r="AZ172">
        <v>2.9</v>
      </c>
      <c r="BA172">
        <v>340.1601</v>
      </c>
      <c r="BB172">
        <v>179.5652</v>
      </c>
      <c r="BC172">
        <v>217.24950000000001</v>
      </c>
      <c r="BD172">
        <v>4.7999000000000001</v>
      </c>
      <c r="BE172">
        <v>34.673299999999998</v>
      </c>
      <c r="BF172">
        <v>-8.3782999999999994</v>
      </c>
      <c r="BG172">
        <v>-18.7624</v>
      </c>
      <c r="BH172">
        <v>76.849999999999994</v>
      </c>
    </row>
    <row r="173" spans="1:60" x14ac:dyDescent="0.25">
      <c r="A173" s="2">
        <v>45328</v>
      </c>
      <c r="B173">
        <v>18.2</v>
      </c>
      <c r="C173">
        <v>0</v>
      </c>
      <c r="D173">
        <v>74.2</v>
      </c>
      <c r="E173">
        <v>24</v>
      </c>
      <c r="F173">
        <v>42.04</v>
      </c>
      <c r="G173">
        <v>0.4</v>
      </c>
      <c r="H173">
        <v>2.6</v>
      </c>
      <c r="I173">
        <v>96.340299999999999</v>
      </c>
      <c r="J173">
        <v>76.355999999999995</v>
      </c>
      <c r="K173">
        <v>57.655700000000003</v>
      </c>
      <c r="L173">
        <v>4.1417000000000002</v>
      </c>
      <c r="M173">
        <v>22.864799999999999</v>
      </c>
      <c r="N173">
        <v>-15.637700000000001</v>
      </c>
      <c r="O173">
        <v>-23.701899999999998</v>
      </c>
      <c r="P173">
        <v>68.28</v>
      </c>
      <c r="S173">
        <f t="shared" si="47"/>
        <v>418.79850000000005</v>
      </c>
      <c r="T173">
        <f t="shared" si="48"/>
        <v>1.7061862846059338E-2</v>
      </c>
      <c r="U173">
        <f t="shared" si="49"/>
        <v>0</v>
      </c>
      <c r="V173">
        <f t="shared" si="50"/>
        <v>6.9559902372395774E-2</v>
      </c>
      <c r="W173">
        <f t="shared" si="51"/>
        <v>2.2499159797001327E-2</v>
      </c>
      <c r="X173">
        <f t="shared" si="52"/>
        <v>3.941102824441399E-2</v>
      </c>
      <c r="Y173">
        <f t="shared" si="53"/>
        <v>3.7498599661668879E-4</v>
      </c>
      <c r="Z173">
        <f t="shared" si="54"/>
        <v>2.437408978008477E-3</v>
      </c>
      <c r="AA173">
        <f t="shared" si="55"/>
        <v>9.0315658524626946E-2</v>
      </c>
      <c r="AB173">
        <f t="shared" si="56"/>
        <v>7.1581076894159712E-2</v>
      </c>
      <c r="AC173">
        <f t="shared" si="57"/>
        <v>5.4050200312832059E-2</v>
      </c>
      <c r="AD173">
        <f t="shared" si="58"/>
        <v>3.8826987554683497E-3</v>
      </c>
      <c r="AE173">
        <f t="shared" si="59"/>
        <v>2.143494953860316E-2</v>
      </c>
      <c r="AG173">
        <f t="shared" si="60"/>
        <v>-0.50885178173035084</v>
      </c>
      <c r="AH173">
        <f t="shared" si="61"/>
        <v>0.17277929777309878</v>
      </c>
      <c r="AI173">
        <f t="shared" si="62"/>
        <v>-0.85248921816351342</v>
      </c>
      <c r="AK173" s="26">
        <f t="shared" si="63"/>
        <v>7.3781628645876701E-2</v>
      </c>
      <c r="AL173" s="26">
        <f t="shared" si="64"/>
        <v>6.3079561843836549E-2</v>
      </c>
      <c r="AM173" s="26">
        <f t="shared" si="65"/>
        <v>4.9661152639363493E-2</v>
      </c>
      <c r="AN173" s="26">
        <f t="shared" si="66"/>
        <v>15.170317460317484</v>
      </c>
      <c r="AO173" s="26">
        <f t="shared" si="67"/>
        <v>14.997953958691937</v>
      </c>
      <c r="AP173" s="26">
        <f t="shared" si="68"/>
        <v>13.17665029804887</v>
      </c>
      <c r="AS173" s="2">
        <v>45307</v>
      </c>
      <c r="AT173">
        <v>17.7</v>
      </c>
      <c r="AU173">
        <v>6.7</v>
      </c>
      <c r="AV173">
        <v>55.1</v>
      </c>
      <c r="AW173">
        <v>6.2</v>
      </c>
      <c r="AX173">
        <v>37.92</v>
      </c>
      <c r="AY173">
        <v>0.5</v>
      </c>
      <c r="AZ173">
        <v>3.2</v>
      </c>
      <c r="BA173">
        <v>348.90980000000002</v>
      </c>
      <c r="BB173">
        <v>187.87809999999999</v>
      </c>
      <c r="BC173">
        <v>214.43889999999999</v>
      </c>
      <c r="BD173">
        <v>4.7312000000000003</v>
      </c>
      <c r="BE173">
        <v>33.080100000000002</v>
      </c>
      <c r="BF173">
        <v>-9.4367000000000001</v>
      </c>
      <c r="BG173">
        <v>-18.2498</v>
      </c>
      <c r="BH173">
        <v>77.58</v>
      </c>
    </row>
    <row r="174" spans="1:60" x14ac:dyDescent="0.25">
      <c r="A174" s="2">
        <v>45327</v>
      </c>
      <c r="B174">
        <v>17.2</v>
      </c>
      <c r="C174">
        <v>2.2000000000000002</v>
      </c>
      <c r="D174">
        <v>70.599999999999994</v>
      </c>
      <c r="E174">
        <v>21.2</v>
      </c>
      <c r="F174">
        <v>71.11</v>
      </c>
      <c r="G174">
        <v>0.3</v>
      </c>
      <c r="H174">
        <v>2.8</v>
      </c>
      <c r="I174">
        <v>90.2971</v>
      </c>
      <c r="J174">
        <v>74.854500000000002</v>
      </c>
      <c r="K174">
        <v>64.344800000000006</v>
      </c>
      <c r="L174">
        <v>4.3280000000000003</v>
      </c>
      <c r="M174">
        <v>34.750500000000002</v>
      </c>
      <c r="N174">
        <v>-14.913399999999999</v>
      </c>
      <c r="O174">
        <v>-22.7728</v>
      </c>
      <c r="P174">
        <v>68.599999999999994</v>
      </c>
      <c r="S174">
        <f t="shared" si="47"/>
        <v>453.98489999999998</v>
      </c>
      <c r="T174">
        <f t="shared" si="48"/>
        <v>1.6124397854517615E-2</v>
      </c>
      <c r="U174">
        <f t="shared" si="49"/>
        <v>2.0624229813917885E-3</v>
      </c>
      <c r="V174">
        <f t="shared" si="50"/>
        <v>6.6185028402845555E-2</v>
      </c>
      <c r="W174">
        <f t="shared" si="51"/>
        <v>1.9874257820684502E-2</v>
      </c>
      <c r="X174">
        <f t="shared" si="52"/>
        <v>6.6663135548531843E-2</v>
      </c>
      <c r="Y174">
        <f t="shared" si="53"/>
        <v>2.8123949746251657E-4</v>
      </c>
      <c r="Z174">
        <f t="shared" si="54"/>
        <v>2.624901976316821E-3</v>
      </c>
      <c r="AA174">
        <f t="shared" si="55"/>
        <v>8.4650370087742025E-2</v>
      </c>
      <c r="AB174">
        <f t="shared" si="56"/>
        <v>7.0173473209359821E-2</v>
      </c>
      <c r="AC174">
        <f t="shared" si="57"/>
        <v>6.0320997387753796E-2</v>
      </c>
      <c r="AD174">
        <f t="shared" si="58"/>
        <v>4.057348483392573E-3</v>
      </c>
      <c r="AE174">
        <f t="shared" si="59"/>
        <v>3.2577377188570608E-2</v>
      </c>
      <c r="AG174">
        <f t="shared" si="60"/>
        <v>-0.49366514975160813</v>
      </c>
      <c r="AH174">
        <f t="shared" si="61"/>
        <v>0.20639276127032125</v>
      </c>
      <c r="AI174">
        <f t="shared" si="62"/>
        <v>-0.61289903627843678</v>
      </c>
      <c r="AK174" s="26">
        <f t="shared" si="63"/>
        <v>7.5743114920433133E-2</v>
      </c>
      <c r="AL174" s="26">
        <f t="shared" si="64"/>
        <v>6.3565462615218005E-2</v>
      </c>
      <c r="AM174" s="26">
        <f t="shared" si="65"/>
        <v>5.079767069684768E-2</v>
      </c>
      <c r="AN174" s="26">
        <f t="shared" si="66"/>
        <v>15.037936507936514</v>
      </c>
      <c r="AO174" s="26">
        <f t="shared" si="67"/>
        <v>14.93013339070572</v>
      </c>
      <c r="AP174" s="26">
        <f t="shared" si="68"/>
        <v>13.116094640371799</v>
      </c>
      <c r="AS174" s="2">
        <v>45306</v>
      </c>
      <c r="AT174">
        <v>16.3</v>
      </c>
      <c r="AU174">
        <v>42.7</v>
      </c>
      <c r="AV174">
        <v>76.599999999999994</v>
      </c>
      <c r="AW174">
        <v>11.3</v>
      </c>
      <c r="AX174">
        <v>27.35</v>
      </c>
      <c r="AY174">
        <v>0.5</v>
      </c>
      <c r="AZ174">
        <v>2.9</v>
      </c>
      <c r="BA174">
        <v>271.8193</v>
      </c>
      <c r="BB174">
        <v>108.1887</v>
      </c>
      <c r="BC174">
        <v>160.4008</v>
      </c>
      <c r="BD174">
        <v>4.0180999999999996</v>
      </c>
      <c r="BE174">
        <v>24.957599999999999</v>
      </c>
      <c r="BF174">
        <v>-10.8804</v>
      </c>
      <c r="BG174">
        <v>-19.066099999999999</v>
      </c>
      <c r="BH174">
        <v>78.33</v>
      </c>
    </row>
    <row r="175" spans="1:60" x14ac:dyDescent="0.25">
      <c r="A175" s="2">
        <v>45326</v>
      </c>
      <c r="B175">
        <v>16.399999999999999</v>
      </c>
      <c r="C175">
        <v>0</v>
      </c>
      <c r="D175">
        <v>87</v>
      </c>
      <c r="E175">
        <v>19.899999999999999</v>
      </c>
      <c r="F175">
        <v>40.03</v>
      </c>
      <c r="G175">
        <v>0.5</v>
      </c>
      <c r="H175">
        <v>2.9</v>
      </c>
      <c r="I175">
        <v>84.121300000000005</v>
      </c>
      <c r="J175">
        <v>57.5304</v>
      </c>
      <c r="K175">
        <v>30.724399999999999</v>
      </c>
      <c r="L175">
        <v>3.9272999999999998</v>
      </c>
      <c r="M175">
        <v>16.346499999999999</v>
      </c>
      <c r="P175">
        <v>68.930000000000007</v>
      </c>
      <c r="S175">
        <f t="shared" si="47"/>
        <v>359.37990000000002</v>
      </c>
      <c r="T175">
        <f t="shared" si="48"/>
        <v>1.5374425861284237E-2</v>
      </c>
      <c r="U175">
        <f t="shared" si="49"/>
        <v>0</v>
      </c>
      <c r="V175">
        <f t="shared" si="50"/>
        <v>8.1559454264129805E-2</v>
      </c>
      <c r="W175">
        <f t="shared" si="51"/>
        <v>1.8655553331680265E-2</v>
      </c>
      <c r="X175">
        <f t="shared" si="52"/>
        <v>3.7526723611415132E-2</v>
      </c>
      <c r="Y175">
        <f t="shared" si="53"/>
        <v>4.6873249577086097E-4</v>
      </c>
      <c r="Z175">
        <f t="shared" si="54"/>
        <v>2.7186484754709935E-3</v>
      </c>
      <c r="AA175">
        <f t="shared" si="55"/>
        <v>7.886077379297865E-2</v>
      </c>
      <c r="AB175">
        <f t="shared" si="56"/>
        <v>5.393273594939188E-2</v>
      </c>
      <c r="AC175">
        <f t="shared" si="57"/>
        <v>2.880304938612448E-2</v>
      </c>
      <c r="AD175">
        <f t="shared" si="58"/>
        <v>3.6817062612818042E-3</v>
      </c>
      <c r="AE175">
        <f t="shared" si="59"/>
        <v>1.5324271484236757E-2</v>
      </c>
      <c r="AG175">
        <f t="shared" si="60"/>
        <v>-0.47805493573408359</v>
      </c>
      <c r="AH175">
        <f t="shared" si="61"/>
        <v>0.17162780952398804</v>
      </c>
      <c r="AI175">
        <f t="shared" si="62"/>
        <v>-0.85741399766222925</v>
      </c>
      <c r="AK175" s="26">
        <f t="shared" si="63"/>
        <v>7.7196191609481477E-2</v>
      </c>
      <c r="AL175" s="26">
        <f t="shared" si="64"/>
        <v>6.3492864321846268E-2</v>
      </c>
      <c r="AM175" s="26">
        <f t="shared" si="65"/>
        <v>5.0779233595679596E-2</v>
      </c>
      <c r="AN175" s="26">
        <f t="shared" si="66"/>
        <v>14.914920634920627</v>
      </c>
      <c r="AO175" s="26">
        <f t="shared" si="67"/>
        <v>14.860922977624796</v>
      </c>
      <c r="AP175" s="26">
        <f t="shared" si="68"/>
        <v>13.056061815603542</v>
      </c>
      <c r="AS175" s="2">
        <v>45305</v>
      </c>
      <c r="AT175">
        <v>16.3</v>
      </c>
      <c r="AU175">
        <v>18.2</v>
      </c>
      <c r="AV175">
        <v>79.5</v>
      </c>
      <c r="AW175">
        <v>10.9</v>
      </c>
      <c r="AX175">
        <v>40.229999999999997</v>
      </c>
      <c r="AY175">
        <v>0.5</v>
      </c>
      <c r="AZ175">
        <v>2.8</v>
      </c>
      <c r="BA175">
        <v>222.8707</v>
      </c>
      <c r="BB175">
        <v>101.54649999999999</v>
      </c>
      <c r="BC175">
        <v>115.98699999999999</v>
      </c>
      <c r="BD175">
        <v>4.3437000000000001</v>
      </c>
      <c r="BE175">
        <v>19.264700000000001</v>
      </c>
      <c r="BH175">
        <v>79.03</v>
      </c>
    </row>
    <row r="176" spans="1:60" x14ac:dyDescent="0.25">
      <c r="A176" s="2">
        <v>45325</v>
      </c>
      <c r="B176">
        <v>17.3</v>
      </c>
      <c r="C176">
        <v>1</v>
      </c>
      <c r="D176">
        <v>77.3</v>
      </c>
      <c r="E176">
        <v>19.100000000000001</v>
      </c>
      <c r="F176">
        <v>54.42</v>
      </c>
      <c r="G176">
        <v>0.5</v>
      </c>
      <c r="H176">
        <v>3.4</v>
      </c>
      <c r="I176">
        <v>89.841399999999993</v>
      </c>
      <c r="J176">
        <v>73.9452</v>
      </c>
      <c r="K176">
        <v>44.533900000000003</v>
      </c>
      <c r="L176">
        <v>4.1543000000000001</v>
      </c>
      <c r="M176">
        <v>24.285599999999999</v>
      </c>
      <c r="P176">
        <v>69.14</v>
      </c>
      <c r="S176">
        <f t="shared" si="47"/>
        <v>409.78039999999999</v>
      </c>
      <c r="T176">
        <f t="shared" si="48"/>
        <v>1.621814435367179E-2</v>
      </c>
      <c r="U176">
        <f t="shared" si="49"/>
        <v>9.3746499154172193E-4</v>
      </c>
      <c r="V176">
        <f t="shared" si="50"/>
        <v>7.2466043846175096E-2</v>
      </c>
      <c r="W176">
        <f t="shared" si="51"/>
        <v>1.7905581338446889E-2</v>
      </c>
      <c r="X176">
        <f t="shared" si="52"/>
        <v>5.1016844839700509E-2</v>
      </c>
      <c r="Y176">
        <f t="shared" si="53"/>
        <v>4.6873249577086097E-4</v>
      </c>
      <c r="Z176">
        <f t="shared" si="54"/>
        <v>3.1873809712418544E-3</v>
      </c>
      <c r="AA176">
        <f t="shared" si="55"/>
        <v>8.4223167291096454E-2</v>
      </c>
      <c r="AB176">
        <f t="shared" si="56"/>
        <v>6.932103629255093E-2</v>
      </c>
      <c r="AC176">
        <f t="shared" si="57"/>
        <v>4.1748972186819895E-2</v>
      </c>
      <c r="AD176">
        <f t="shared" si="58"/>
        <v>3.8945108143617754E-3</v>
      </c>
      <c r="AE176">
        <f t="shared" si="59"/>
        <v>2.2766899798585639E-2</v>
      </c>
      <c r="AG176">
        <f t="shared" si="60"/>
        <v>-0.4681477982592982</v>
      </c>
      <c r="AH176">
        <f t="shared" si="61"/>
        <v>0.18496709263513439</v>
      </c>
      <c r="AI176">
        <f t="shared" si="62"/>
        <v>-0.76065742563788274</v>
      </c>
      <c r="AK176" s="26">
        <f t="shared" si="63"/>
        <v>7.7205408527191946E-2</v>
      </c>
      <c r="AL176" s="26">
        <f t="shared" si="64"/>
        <v>6.3693170699765961E-2</v>
      </c>
      <c r="AM176" s="26">
        <f t="shared" si="65"/>
        <v>5.1716269791950292E-2</v>
      </c>
      <c r="AN176" s="26">
        <f t="shared" si="66"/>
        <v>14.799682539682529</v>
      </c>
      <c r="AO176" s="26">
        <f t="shared" si="67"/>
        <v>14.789246987951842</v>
      </c>
      <c r="AP176" s="26">
        <f t="shared" si="68"/>
        <v>12.994956802604946</v>
      </c>
      <c r="AS176" s="2">
        <v>45304</v>
      </c>
      <c r="AT176">
        <v>17.2</v>
      </c>
      <c r="AU176">
        <v>5.2</v>
      </c>
      <c r="AV176">
        <v>66.3</v>
      </c>
      <c r="AW176">
        <v>11</v>
      </c>
      <c r="AX176">
        <v>18.22</v>
      </c>
      <c r="AY176">
        <v>0.5</v>
      </c>
      <c r="AZ176">
        <v>2.9</v>
      </c>
      <c r="BA176">
        <v>245.49459999999999</v>
      </c>
      <c r="BB176">
        <v>119.6357</v>
      </c>
      <c r="BC176">
        <v>140.14400000000001</v>
      </c>
      <c r="BD176">
        <v>4.1635999999999997</v>
      </c>
      <c r="BE176">
        <v>20.4072</v>
      </c>
      <c r="BH176">
        <v>79.58</v>
      </c>
    </row>
    <row r="177" spans="1:60" x14ac:dyDescent="0.25">
      <c r="A177" s="2">
        <v>45324</v>
      </c>
      <c r="B177">
        <v>19.399999999999999</v>
      </c>
      <c r="C177">
        <v>0.5</v>
      </c>
      <c r="D177">
        <v>79.3</v>
      </c>
      <c r="E177">
        <v>17.2</v>
      </c>
      <c r="F177">
        <v>53.41</v>
      </c>
      <c r="G177">
        <v>0.5</v>
      </c>
      <c r="H177">
        <v>3.2</v>
      </c>
      <c r="I177">
        <v>140.7347</v>
      </c>
      <c r="J177">
        <v>81.656199999999998</v>
      </c>
      <c r="K177">
        <v>91.589299999999994</v>
      </c>
      <c r="L177">
        <v>3.2881</v>
      </c>
      <c r="M177">
        <v>22.558499999999999</v>
      </c>
      <c r="N177">
        <v>-16.894100000000002</v>
      </c>
      <c r="O177">
        <v>-23.0657</v>
      </c>
      <c r="P177">
        <v>69.36</v>
      </c>
      <c r="S177">
        <f t="shared" si="47"/>
        <v>513.33679999999993</v>
      </c>
      <c r="T177">
        <f t="shared" si="48"/>
        <v>1.8186820835909404E-2</v>
      </c>
      <c r="U177">
        <f t="shared" si="49"/>
        <v>4.6873249577086097E-4</v>
      </c>
      <c r="V177">
        <f t="shared" si="50"/>
        <v>7.4340973829258541E-2</v>
      </c>
      <c r="W177">
        <f t="shared" si="51"/>
        <v>1.6124397854517615E-2</v>
      </c>
      <c r="X177">
        <f t="shared" si="52"/>
        <v>5.0070005198243367E-2</v>
      </c>
      <c r="Y177">
        <f t="shared" si="53"/>
        <v>4.6873249577086097E-4</v>
      </c>
      <c r="Z177">
        <f t="shared" si="54"/>
        <v>2.9998879729335104E-3</v>
      </c>
      <c r="AA177">
        <f t="shared" si="55"/>
        <v>0.13193385434512678</v>
      </c>
      <c r="AB177">
        <f t="shared" si="56"/>
        <v>7.6549828842329151E-2</v>
      </c>
      <c r="AC177">
        <f t="shared" si="57"/>
        <v>8.5861762349812229E-2</v>
      </c>
      <c r="AD177">
        <f t="shared" si="58"/>
        <v>3.0824786386883358E-3</v>
      </c>
      <c r="AE177">
        <f t="shared" si="59"/>
        <v>2.1147804011693933E-2</v>
      </c>
      <c r="AG177">
        <f t="shared" si="60"/>
        <v>-0.4577846074304181</v>
      </c>
      <c r="AH177">
        <f t="shared" si="61"/>
        <v>0.18380735469409812</v>
      </c>
      <c r="AI177">
        <f t="shared" si="62"/>
        <v>-0.76354964480990895</v>
      </c>
      <c r="AK177" s="26">
        <f t="shared" si="63"/>
        <v>7.6855228151859356E-2</v>
      </c>
      <c r="AL177" s="26">
        <f t="shared" si="64"/>
        <v>6.379054475278241E-2</v>
      </c>
      <c r="AM177" s="26">
        <f t="shared" si="65"/>
        <v>5.1563051487114847E-2</v>
      </c>
      <c r="AN177" s="26">
        <f t="shared" si="66"/>
        <v>14.674444444444426</v>
      </c>
      <c r="AO177" s="26">
        <f t="shared" si="67"/>
        <v>14.714500860585247</v>
      </c>
      <c r="AP177" s="26">
        <f t="shared" si="68"/>
        <v>12.933726005094371</v>
      </c>
      <c r="AS177" s="2">
        <v>45303</v>
      </c>
      <c r="AT177">
        <v>18.100000000000001</v>
      </c>
      <c r="AU177">
        <v>61.1</v>
      </c>
      <c r="AV177">
        <v>56</v>
      </c>
      <c r="AW177">
        <v>3</v>
      </c>
      <c r="AX177">
        <v>26.07</v>
      </c>
      <c r="AY177">
        <v>0.5</v>
      </c>
      <c r="AZ177">
        <v>2.8</v>
      </c>
      <c r="BA177">
        <v>345.31139999999999</v>
      </c>
      <c r="BB177">
        <v>215.49100000000001</v>
      </c>
      <c r="BC177">
        <v>227.76339999999999</v>
      </c>
      <c r="BD177">
        <v>4.7656000000000001</v>
      </c>
      <c r="BE177">
        <v>38.241599999999998</v>
      </c>
      <c r="BF177">
        <v>-10.103199999999999</v>
      </c>
      <c r="BG177">
        <v>-14.4604</v>
      </c>
      <c r="BH177">
        <v>80.180000000000007</v>
      </c>
    </row>
    <row r="178" spans="1:60" x14ac:dyDescent="0.25">
      <c r="A178" s="2">
        <v>45323</v>
      </c>
      <c r="B178">
        <v>20.5</v>
      </c>
      <c r="C178">
        <v>55.3</v>
      </c>
      <c r="D178">
        <v>63.3</v>
      </c>
      <c r="E178">
        <v>16.3</v>
      </c>
      <c r="F178">
        <v>69.86</v>
      </c>
      <c r="G178">
        <v>0.1</v>
      </c>
      <c r="H178">
        <v>2.9</v>
      </c>
      <c r="I178">
        <v>173.71870000000001</v>
      </c>
      <c r="J178">
        <v>103.3755</v>
      </c>
      <c r="K178">
        <v>105.2128</v>
      </c>
      <c r="L178">
        <v>3.8997000000000002</v>
      </c>
      <c r="M178">
        <v>35.429400000000001</v>
      </c>
      <c r="N178">
        <v>-16.064900000000002</v>
      </c>
      <c r="O178">
        <v>-21.339099999999998</v>
      </c>
      <c r="P178">
        <v>69.73</v>
      </c>
      <c r="S178">
        <f t="shared" si="47"/>
        <v>649.89610000000005</v>
      </c>
      <c r="T178">
        <f t="shared" si="48"/>
        <v>1.9218032326605298E-2</v>
      </c>
      <c r="U178">
        <f t="shared" si="49"/>
        <v>5.1841814032257218E-2</v>
      </c>
      <c r="V178">
        <f t="shared" si="50"/>
        <v>5.9341533964590992E-2</v>
      </c>
      <c r="W178">
        <f t="shared" si="51"/>
        <v>1.5280679362130067E-2</v>
      </c>
      <c r="X178">
        <f t="shared" si="52"/>
        <v>6.5491304309104686E-2</v>
      </c>
      <c r="Y178">
        <f t="shared" si="53"/>
        <v>9.3746499154172199E-5</v>
      </c>
      <c r="Z178">
        <f t="shared" si="54"/>
        <v>2.7186484754709935E-3</v>
      </c>
      <c r="AA178">
        <f t="shared" si="55"/>
        <v>0.16285519962613892</v>
      </c>
      <c r="AB178">
        <f t="shared" si="56"/>
        <v>9.6910912233121274E-2</v>
      </c>
      <c r="AC178">
        <f t="shared" si="57"/>
        <v>9.8633316662080875E-2</v>
      </c>
      <c r="AD178">
        <f t="shared" si="58"/>
        <v>3.6558322275152531E-3</v>
      </c>
      <c r="AE178">
        <f t="shared" si="59"/>
        <v>3.3213822171328282E-2</v>
      </c>
      <c r="AG178">
        <f t="shared" si="60"/>
        <v>-0.44033111420898341</v>
      </c>
      <c r="AH178">
        <f t="shared" si="61"/>
        <v>0.24719958114064169</v>
      </c>
      <c r="AI178">
        <f t="shared" si="62"/>
        <v>-0.31679350668113659</v>
      </c>
      <c r="AK178" s="26">
        <f t="shared" si="63"/>
        <v>7.8621450884955368E-2</v>
      </c>
      <c r="AL178" s="26">
        <f t="shared" si="64"/>
        <v>6.295417535664917E-2</v>
      </c>
      <c r="AM178" s="26">
        <f t="shared" si="65"/>
        <v>5.101832344017837E-2</v>
      </c>
      <c r="AN178" s="26">
        <f t="shared" si="66"/>
        <v>14.579999999999984</v>
      </c>
      <c r="AO178" s="26">
        <f t="shared" si="67"/>
        <v>14.638300344234111</v>
      </c>
      <c r="AP178" s="26">
        <f t="shared" si="68"/>
        <v>12.872339749481341</v>
      </c>
      <c r="AS178" s="2">
        <v>45302</v>
      </c>
      <c r="AT178">
        <v>18.5</v>
      </c>
      <c r="AU178">
        <v>14.7</v>
      </c>
      <c r="AV178">
        <v>22.2</v>
      </c>
      <c r="AW178">
        <v>2.4</v>
      </c>
      <c r="AX178">
        <v>73.84</v>
      </c>
      <c r="AY178">
        <v>0.5</v>
      </c>
      <c r="AZ178">
        <v>2.9</v>
      </c>
      <c r="BA178">
        <v>362.72219999999999</v>
      </c>
      <c r="BB178">
        <v>220.20009999999999</v>
      </c>
      <c r="BC178">
        <v>248.57859999999999</v>
      </c>
      <c r="BD178">
        <v>4.8315999999999999</v>
      </c>
      <c r="BE178">
        <v>31.384</v>
      </c>
      <c r="BF178">
        <v>-8.5344999999999995</v>
      </c>
      <c r="BG178">
        <v>-15.4901</v>
      </c>
      <c r="BH178">
        <v>80.930000000000007</v>
      </c>
    </row>
    <row r="179" spans="1:60" x14ac:dyDescent="0.25">
      <c r="A179" s="2">
        <v>45322</v>
      </c>
      <c r="B179">
        <v>20.7</v>
      </c>
      <c r="C179">
        <v>3.7</v>
      </c>
      <c r="D179">
        <v>73.900000000000006</v>
      </c>
      <c r="E179">
        <v>9.6999999999999993</v>
      </c>
      <c r="F179">
        <v>49.87</v>
      </c>
      <c r="G179">
        <v>0.4</v>
      </c>
      <c r="H179">
        <v>2.8</v>
      </c>
      <c r="I179">
        <v>221.93450000000001</v>
      </c>
      <c r="J179">
        <v>107.43170000000001</v>
      </c>
      <c r="K179">
        <v>122.0727</v>
      </c>
      <c r="L179">
        <v>3.9786000000000001</v>
      </c>
      <c r="M179">
        <v>30.652100000000001</v>
      </c>
      <c r="N179">
        <v>-14.313000000000001</v>
      </c>
      <c r="O179">
        <v>-20.351099999999999</v>
      </c>
      <c r="P179">
        <v>70.17</v>
      </c>
      <c r="S179">
        <f t="shared" si="47"/>
        <v>647.13960000000009</v>
      </c>
      <c r="T179">
        <f t="shared" si="48"/>
        <v>1.9405525324913644E-2</v>
      </c>
      <c r="U179">
        <f t="shared" si="49"/>
        <v>3.4686204687043713E-3</v>
      </c>
      <c r="V179">
        <f t="shared" si="50"/>
        <v>6.9278662874933256E-2</v>
      </c>
      <c r="W179">
        <f t="shared" si="51"/>
        <v>9.0934104179547018E-3</v>
      </c>
      <c r="X179">
        <f t="shared" si="52"/>
        <v>4.6751379128185666E-2</v>
      </c>
      <c r="Y179">
        <f t="shared" si="53"/>
        <v>3.7498599661668879E-4</v>
      </c>
      <c r="Z179">
        <f t="shared" si="54"/>
        <v>2.624901976316821E-3</v>
      </c>
      <c r="AA179">
        <f t="shared" si="55"/>
        <v>0.20805582416531629</v>
      </c>
      <c r="AB179">
        <f t="shared" si="56"/>
        <v>0.10071345773181281</v>
      </c>
      <c r="AC179">
        <f t="shared" si="57"/>
        <v>0.11443888267297515</v>
      </c>
      <c r="AD179">
        <f t="shared" si="58"/>
        <v>3.7297982153478948E-3</v>
      </c>
      <c r="AE179">
        <f t="shared" si="59"/>
        <v>2.8735270667236013E-2</v>
      </c>
      <c r="AG179">
        <f t="shared" si="60"/>
        <v>-0.41957781179872811</v>
      </c>
      <c r="AH179">
        <f t="shared" si="61"/>
        <v>0.17973275685486118</v>
      </c>
      <c r="AI179">
        <f t="shared" si="62"/>
        <v>-0.78861400413397398</v>
      </c>
      <c r="AK179" s="26">
        <f t="shared" si="63"/>
        <v>7.5942454202547263E-2</v>
      </c>
      <c r="AL179" s="26">
        <f t="shared" si="64"/>
        <v>6.0501762622564528E-2</v>
      </c>
      <c r="AM179" s="26">
        <f t="shared" si="65"/>
        <v>5.037869751396673E-2</v>
      </c>
      <c r="AN179" s="26">
        <f t="shared" si="66"/>
        <v>14.498888888888885</v>
      </c>
      <c r="AO179" s="26">
        <f t="shared" si="67"/>
        <v>14.562691480206581</v>
      </c>
      <c r="AP179" s="26">
        <f t="shared" si="68"/>
        <v>12.811691919854994</v>
      </c>
      <c r="AS179" s="2">
        <v>45301</v>
      </c>
      <c r="AT179">
        <v>18.8</v>
      </c>
      <c r="AU179">
        <v>97.3</v>
      </c>
      <c r="AV179">
        <v>13.1</v>
      </c>
      <c r="AW179">
        <v>3</v>
      </c>
      <c r="AX179">
        <v>79.680000000000007</v>
      </c>
      <c r="AY179">
        <v>0.4</v>
      </c>
      <c r="AZ179">
        <v>3</v>
      </c>
      <c r="BA179">
        <v>348.71629999999999</v>
      </c>
      <c r="BB179">
        <v>213.17259999999999</v>
      </c>
      <c r="BC179">
        <v>245.00960000000001</v>
      </c>
      <c r="BD179">
        <v>5.1574999999999998</v>
      </c>
      <c r="BE179">
        <v>38.631100000000004</v>
      </c>
      <c r="BF179">
        <v>-7.6795999999999998</v>
      </c>
      <c r="BG179">
        <v>-16.2653</v>
      </c>
      <c r="BH179">
        <v>81.77</v>
      </c>
    </row>
    <row r="180" spans="1:60" x14ac:dyDescent="0.25">
      <c r="A180" s="2">
        <v>45321</v>
      </c>
      <c r="B180">
        <v>20.6</v>
      </c>
      <c r="C180">
        <v>3.1</v>
      </c>
      <c r="D180">
        <v>61.9</v>
      </c>
      <c r="E180">
        <v>6.7</v>
      </c>
      <c r="F180">
        <v>84.58</v>
      </c>
      <c r="G180">
        <v>0.5</v>
      </c>
      <c r="H180">
        <v>2.5</v>
      </c>
      <c r="I180">
        <v>228.18389999999999</v>
      </c>
      <c r="J180">
        <v>91.336299999999994</v>
      </c>
      <c r="K180">
        <v>128.02619999999999</v>
      </c>
      <c r="L180">
        <v>3.9077000000000002</v>
      </c>
      <c r="M180">
        <v>25.7517</v>
      </c>
      <c r="N180">
        <v>-17.710799999999999</v>
      </c>
      <c r="O180">
        <v>-23.191500000000001</v>
      </c>
      <c r="P180">
        <v>70.599999999999994</v>
      </c>
      <c r="S180">
        <f t="shared" si="47"/>
        <v>657.08579999999995</v>
      </c>
      <c r="T180">
        <f t="shared" si="48"/>
        <v>1.9311778825759473E-2</v>
      </c>
      <c r="U180">
        <f t="shared" si="49"/>
        <v>2.9061414737793379E-3</v>
      </c>
      <c r="V180">
        <f t="shared" si="50"/>
        <v>5.8029082976432583E-2</v>
      </c>
      <c r="W180">
        <f t="shared" si="51"/>
        <v>6.2810154433295372E-3</v>
      </c>
      <c r="X180">
        <f t="shared" si="52"/>
        <v>7.9290788984598834E-2</v>
      </c>
      <c r="Y180">
        <f t="shared" si="53"/>
        <v>4.6873249577086097E-4</v>
      </c>
      <c r="Z180">
        <f t="shared" si="54"/>
        <v>2.3436624788543046E-3</v>
      </c>
      <c r="AA180">
        <f t="shared" si="55"/>
        <v>0.21391441788345711</v>
      </c>
      <c r="AB180">
        <f t="shared" si="56"/>
        <v>8.5624583706952168E-2</v>
      </c>
      <c r="AC180">
        <f t="shared" si="57"/>
        <v>0.12002008050011878</v>
      </c>
      <c r="AD180">
        <f t="shared" si="58"/>
        <v>3.6633319474475867E-3</v>
      </c>
      <c r="AE180">
        <f t="shared" si="59"/>
        <v>2.414131722268496E-2</v>
      </c>
      <c r="AG180">
        <f t="shared" si="60"/>
        <v>-0.39931600488044733</v>
      </c>
      <c r="AH180">
        <f t="shared" si="61"/>
        <v>0.19277251990120992</v>
      </c>
      <c r="AI180">
        <f t="shared" si="62"/>
        <v>-0.69544593152144352</v>
      </c>
      <c r="AK180" s="26">
        <f t="shared" si="63"/>
        <v>8.185935377904302E-2</v>
      </c>
      <c r="AL180" s="26">
        <f t="shared" si="64"/>
        <v>6.0599681728376431E-2</v>
      </c>
      <c r="AM180" s="26">
        <f t="shared" si="65"/>
        <v>5.0331370504352768E-2</v>
      </c>
      <c r="AN180" s="26">
        <f t="shared" si="66"/>
        <v>14.434920634920651</v>
      </c>
      <c r="AO180" s="26">
        <f t="shared" si="67"/>
        <v>14.488448795180787</v>
      </c>
      <c r="AP180" s="26">
        <f t="shared" si="68"/>
        <v>12.751253643549262</v>
      </c>
      <c r="AS180" s="2">
        <v>45300</v>
      </c>
      <c r="AT180">
        <v>18.5</v>
      </c>
      <c r="AU180">
        <v>2.6</v>
      </c>
      <c r="AV180">
        <v>16.100000000000001</v>
      </c>
      <c r="AW180">
        <v>4.7</v>
      </c>
      <c r="AX180">
        <v>85.52</v>
      </c>
      <c r="AY180">
        <v>0.5</v>
      </c>
      <c r="AZ180">
        <v>3</v>
      </c>
      <c r="BA180">
        <v>320.44880000000001</v>
      </c>
      <c r="BB180">
        <v>183.0797</v>
      </c>
      <c r="BC180">
        <v>196.8409</v>
      </c>
      <c r="BD180">
        <v>5.2881999999999998</v>
      </c>
      <c r="BE180">
        <v>37.407499999999999</v>
      </c>
      <c r="BF180">
        <v>-6.6300999999999997</v>
      </c>
      <c r="BG180">
        <v>-17.8613</v>
      </c>
      <c r="BH180">
        <v>82.64</v>
      </c>
    </row>
    <row r="181" spans="1:60" x14ac:dyDescent="0.25">
      <c r="A181" s="2">
        <v>45320</v>
      </c>
      <c r="B181">
        <v>19.3</v>
      </c>
      <c r="C181">
        <v>29.4</v>
      </c>
      <c r="D181">
        <v>46.4</v>
      </c>
      <c r="E181">
        <v>8.9</v>
      </c>
      <c r="F181">
        <v>132.72</v>
      </c>
      <c r="G181">
        <v>0.5</v>
      </c>
      <c r="H181">
        <v>2.8</v>
      </c>
      <c r="I181">
        <v>201.14240000000001</v>
      </c>
      <c r="J181">
        <v>110.636</v>
      </c>
      <c r="K181">
        <v>148.22569999999999</v>
      </c>
      <c r="L181">
        <v>3.3275999999999999</v>
      </c>
      <c r="M181">
        <v>31.654299999999999</v>
      </c>
      <c r="N181">
        <v>-14.6332</v>
      </c>
      <c r="O181">
        <v>-21.1877</v>
      </c>
      <c r="P181">
        <v>71.069999999999993</v>
      </c>
      <c r="S181">
        <f t="shared" si="47"/>
        <v>735.00599999999997</v>
      </c>
      <c r="T181">
        <f t="shared" si="48"/>
        <v>1.8093074336755232E-2</v>
      </c>
      <c r="U181">
        <f t="shared" si="49"/>
        <v>2.7561470751326624E-2</v>
      </c>
      <c r="V181">
        <f t="shared" si="50"/>
        <v>4.3498375607535895E-2</v>
      </c>
      <c r="W181">
        <f t="shared" si="51"/>
        <v>8.3434384247213257E-3</v>
      </c>
      <c r="X181">
        <f t="shared" si="52"/>
        <v>0.12442035367741733</v>
      </c>
      <c r="Y181">
        <f t="shared" si="53"/>
        <v>4.6873249577086097E-4</v>
      </c>
      <c r="Z181">
        <f t="shared" si="54"/>
        <v>2.624901976316821E-3</v>
      </c>
      <c r="AA181">
        <f t="shared" si="55"/>
        <v>0.18856395831468165</v>
      </c>
      <c r="AB181">
        <f t="shared" si="56"/>
        <v>0.10371737680420993</v>
      </c>
      <c r="AC181">
        <f t="shared" si="57"/>
        <v>0.13895640459676581</v>
      </c>
      <c r="AD181">
        <f t="shared" si="58"/>
        <v>3.1195085058542339E-3</v>
      </c>
      <c r="AE181">
        <f t="shared" si="59"/>
        <v>2.9674798081759126E-2</v>
      </c>
      <c r="AG181">
        <f t="shared" si="60"/>
        <v>-0.3771764948119451</v>
      </c>
      <c r="AH181">
        <f t="shared" si="61"/>
        <v>0.25468514535160319</v>
      </c>
      <c r="AI181">
        <f t="shared" si="62"/>
        <v>-0.26016818430344907</v>
      </c>
      <c r="AK181" s="26">
        <f t="shared" si="63"/>
        <v>8.1499222882443101E-2</v>
      </c>
      <c r="AL181" s="26">
        <f t="shared" si="64"/>
        <v>6.4504980812411059E-2</v>
      </c>
      <c r="AM181" s="26">
        <f t="shared" si="65"/>
        <v>5.0062594673005334E-2</v>
      </c>
      <c r="AN181" s="26">
        <f t="shared" si="66"/>
        <v>14.39190476190479</v>
      </c>
      <c r="AO181" s="26">
        <f t="shared" si="67"/>
        <v>14.416703958691969</v>
      </c>
      <c r="AP181" s="26">
        <f t="shared" si="68"/>
        <v>12.694076048423099</v>
      </c>
      <c r="AS181" s="2">
        <v>45299</v>
      </c>
      <c r="AT181">
        <v>18.600000000000001</v>
      </c>
      <c r="AU181">
        <v>20.6</v>
      </c>
      <c r="AV181">
        <v>76.599999999999994</v>
      </c>
      <c r="AW181">
        <v>7.7</v>
      </c>
      <c r="AX181">
        <v>45.97</v>
      </c>
      <c r="AY181">
        <v>0.5</v>
      </c>
      <c r="AZ181">
        <v>2.8</v>
      </c>
      <c r="BA181">
        <v>278.70229999999998</v>
      </c>
      <c r="BB181">
        <v>115.4671</v>
      </c>
      <c r="BC181">
        <v>166.11539999999999</v>
      </c>
      <c r="BD181">
        <v>2.8990999999999998</v>
      </c>
      <c r="BE181">
        <v>22.6496</v>
      </c>
      <c r="BF181">
        <v>-5.8224</v>
      </c>
      <c r="BG181">
        <v>-15.835699999999999</v>
      </c>
      <c r="BH181">
        <v>83.48</v>
      </c>
    </row>
    <row r="182" spans="1:60" x14ac:dyDescent="0.25">
      <c r="A182" s="2">
        <v>45319</v>
      </c>
      <c r="B182">
        <v>19.399999999999999</v>
      </c>
      <c r="C182">
        <v>16.8</v>
      </c>
      <c r="D182">
        <v>68.8</v>
      </c>
      <c r="E182">
        <v>8.6</v>
      </c>
      <c r="F182">
        <v>153.05000000000001</v>
      </c>
      <c r="G182">
        <v>0.5</v>
      </c>
      <c r="H182">
        <v>2.6</v>
      </c>
      <c r="I182">
        <v>120.1521</v>
      </c>
      <c r="J182">
        <v>49.528199999999998</v>
      </c>
      <c r="K182">
        <v>89.389300000000006</v>
      </c>
      <c r="L182">
        <v>0</v>
      </c>
      <c r="M182">
        <v>8.9295000000000009</v>
      </c>
      <c r="P182">
        <v>71.540000000000006</v>
      </c>
      <c r="S182">
        <f t="shared" si="47"/>
        <v>537.7491</v>
      </c>
      <c r="T182">
        <f t="shared" si="48"/>
        <v>1.8186820835909404E-2</v>
      </c>
      <c r="U182">
        <f t="shared" si="49"/>
        <v>1.5749411857900929E-2</v>
      </c>
      <c r="V182">
        <f t="shared" si="50"/>
        <v>6.449759141807046E-2</v>
      </c>
      <c r="W182">
        <f t="shared" si="51"/>
        <v>8.0621989272588075E-3</v>
      </c>
      <c r="X182">
        <f t="shared" si="52"/>
        <v>0.14347901695546056</v>
      </c>
      <c r="Y182">
        <f t="shared" si="53"/>
        <v>4.6873249577086097E-4</v>
      </c>
      <c r="Z182">
        <f t="shared" si="54"/>
        <v>2.437408978008477E-3</v>
      </c>
      <c r="AA182">
        <f t="shared" si="55"/>
        <v>0.11263838741022013</v>
      </c>
      <c r="AB182">
        <f t="shared" si="56"/>
        <v>4.6430953594076708E-2</v>
      </c>
      <c r="AC182">
        <f t="shared" si="57"/>
        <v>8.3799339368420447E-2</v>
      </c>
      <c r="AD182">
        <f t="shared" si="58"/>
        <v>0</v>
      </c>
      <c r="AE182">
        <f t="shared" si="59"/>
        <v>8.3710936419718069E-3</v>
      </c>
      <c r="AG182">
        <f t="shared" si="60"/>
        <v>-0.35506446628750615</v>
      </c>
      <c r="AH182">
        <f t="shared" si="61"/>
        <v>0.26125227511035126</v>
      </c>
      <c r="AI182">
        <f t="shared" si="62"/>
        <v>-0.20949524022531379</v>
      </c>
      <c r="AK182" s="26">
        <f t="shared" si="63"/>
        <v>8.1917802489206146E-2</v>
      </c>
      <c r="AL182" s="26">
        <f t="shared" si="64"/>
        <v>6.4047899102511421E-2</v>
      </c>
      <c r="AM182" s="26">
        <f t="shared" si="65"/>
        <v>5.1211357338846575E-2</v>
      </c>
      <c r="AN182" s="26">
        <f t="shared" si="66"/>
        <v>14.364761904761913</v>
      </c>
      <c r="AO182" s="26">
        <f t="shared" si="67"/>
        <v>14.348547762478532</v>
      </c>
      <c r="AP182" s="26">
        <f t="shared" si="68"/>
        <v>12.637907092775905</v>
      </c>
      <c r="AS182" s="2">
        <v>45298</v>
      </c>
      <c r="AT182">
        <v>19</v>
      </c>
      <c r="AU182">
        <v>9</v>
      </c>
      <c r="AV182">
        <v>63.7</v>
      </c>
      <c r="AW182">
        <v>5.4</v>
      </c>
      <c r="AX182">
        <v>19.239999999999998</v>
      </c>
      <c r="AY182">
        <v>0.5</v>
      </c>
      <c r="AZ182">
        <v>2.9</v>
      </c>
      <c r="BA182">
        <v>253.80670000000001</v>
      </c>
      <c r="BB182">
        <v>61.842500000000001</v>
      </c>
      <c r="BC182">
        <v>123.0652</v>
      </c>
      <c r="BD182">
        <v>3.1396000000000002</v>
      </c>
      <c r="BE182">
        <v>15.438700000000001</v>
      </c>
      <c r="BH182">
        <v>84.27</v>
      </c>
    </row>
    <row r="183" spans="1:60" x14ac:dyDescent="0.25">
      <c r="A183" s="2">
        <v>45318</v>
      </c>
      <c r="B183">
        <v>20.6</v>
      </c>
      <c r="C183">
        <v>16.8</v>
      </c>
      <c r="D183">
        <v>73.599999999999994</v>
      </c>
      <c r="E183">
        <v>11.5</v>
      </c>
      <c r="F183">
        <v>134.63</v>
      </c>
      <c r="G183">
        <v>0.5</v>
      </c>
      <c r="H183">
        <v>2.9</v>
      </c>
      <c r="I183">
        <v>138.57089999999999</v>
      </c>
      <c r="J183">
        <v>72.251800000000003</v>
      </c>
      <c r="K183">
        <v>92.691100000000006</v>
      </c>
      <c r="L183">
        <v>0</v>
      </c>
      <c r="M183">
        <v>24.3203</v>
      </c>
      <c r="P183">
        <v>71.91</v>
      </c>
      <c r="S183">
        <f t="shared" si="47"/>
        <v>588.36409999999989</v>
      </c>
      <c r="T183">
        <f t="shared" si="48"/>
        <v>1.9311778825759473E-2</v>
      </c>
      <c r="U183">
        <f t="shared" si="49"/>
        <v>1.5749411857900929E-2</v>
      </c>
      <c r="V183">
        <f t="shared" si="50"/>
        <v>6.8997423377470724E-2</v>
      </c>
      <c r="W183">
        <f t="shared" si="51"/>
        <v>1.0780847402729802E-2</v>
      </c>
      <c r="X183">
        <f t="shared" si="52"/>
        <v>0.12621091181126201</v>
      </c>
      <c r="Y183">
        <f t="shared" si="53"/>
        <v>4.6873249577086097E-4</v>
      </c>
      <c r="Z183">
        <f t="shared" si="54"/>
        <v>2.7186484754709935E-3</v>
      </c>
      <c r="AA183">
        <f t="shared" si="55"/>
        <v>0.12990536759642879</v>
      </c>
      <c r="AB183">
        <f t="shared" si="56"/>
        <v>6.773353307587418E-2</v>
      </c>
      <c r="AC183">
        <f t="shared" si="57"/>
        <v>8.6894661277492902E-2</v>
      </c>
      <c r="AD183">
        <f t="shared" si="58"/>
        <v>0</v>
      </c>
      <c r="AE183">
        <f t="shared" si="59"/>
        <v>2.2799429833792139E-2</v>
      </c>
      <c r="AG183">
        <f t="shared" si="60"/>
        <v>-0.33770976794423185</v>
      </c>
      <c r="AH183">
        <f t="shared" si="61"/>
        <v>0.26703718408015692</v>
      </c>
      <c r="AI183">
        <f t="shared" si="62"/>
        <v>-0.16901658165346478</v>
      </c>
      <c r="AK183" s="26">
        <f t="shared" si="63"/>
        <v>7.6542763629980179E-2</v>
      </c>
      <c r="AL183" s="26">
        <f t="shared" si="64"/>
        <v>6.210903491461936E-2</v>
      </c>
      <c r="AM183" s="26">
        <f t="shared" si="65"/>
        <v>4.9429617500795414E-2</v>
      </c>
      <c r="AN183" s="26">
        <f t="shared" si="66"/>
        <v>14.358412698412728</v>
      </c>
      <c r="AO183" s="26">
        <f t="shared" si="67"/>
        <v>14.285305507745335</v>
      </c>
      <c r="AP183" s="26">
        <f t="shared" si="68"/>
        <v>12.5826307082272</v>
      </c>
      <c r="AS183" s="2">
        <v>45297</v>
      </c>
      <c r="AT183">
        <v>18.2</v>
      </c>
      <c r="AU183">
        <v>46.4</v>
      </c>
      <c r="AV183">
        <v>93.2</v>
      </c>
      <c r="AW183">
        <v>5.8</v>
      </c>
      <c r="AX183">
        <v>14.7</v>
      </c>
      <c r="AY183">
        <v>0.5</v>
      </c>
      <c r="AZ183">
        <v>2.6</v>
      </c>
      <c r="BA183">
        <v>266.22809999999998</v>
      </c>
      <c r="BB183">
        <v>53.272599999999997</v>
      </c>
      <c r="BC183">
        <v>115.8503</v>
      </c>
      <c r="BD183">
        <v>3.1238000000000001</v>
      </c>
      <c r="BE183">
        <v>16.806000000000001</v>
      </c>
      <c r="BH183">
        <v>84.62</v>
      </c>
    </row>
    <row r="184" spans="1:60" x14ac:dyDescent="0.25">
      <c r="A184" s="2">
        <v>45317</v>
      </c>
      <c r="B184">
        <v>21.7</v>
      </c>
      <c r="C184">
        <v>0</v>
      </c>
      <c r="D184">
        <v>69.3</v>
      </c>
      <c r="E184">
        <v>15.2</v>
      </c>
      <c r="F184">
        <v>28.97</v>
      </c>
      <c r="G184">
        <v>0.5</v>
      </c>
      <c r="H184">
        <v>2.7</v>
      </c>
      <c r="I184">
        <v>144.61600000000001</v>
      </c>
      <c r="J184">
        <v>93.756100000000004</v>
      </c>
      <c r="K184">
        <v>100.8069</v>
      </c>
      <c r="L184">
        <v>0</v>
      </c>
      <c r="M184">
        <v>15.6121</v>
      </c>
      <c r="N184">
        <v>-16.959399999999999</v>
      </c>
      <c r="O184">
        <v>-24.374600000000001</v>
      </c>
      <c r="P184">
        <v>72.260000000000005</v>
      </c>
      <c r="S184">
        <f t="shared" si="47"/>
        <v>493.16109999999998</v>
      </c>
      <c r="T184">
        <f t="shared" si="48"/>
        <v>2.0342990316455364E-2</v>
      </c>
      <c r="U184">
        <f t="shared" si="49"/>
        <v>0</v>
      </c>
      <c r="V184">
        <f t="shared" si="50"/>
        <v>6.4966323913841328E-2</v>
      </c>
      <c r="W184">
        <f t="shared" si="51"/>
        <v>1.4249467871434173E-2</v>
      </c>
      <c r="X184">
        <f t="shared" si="52"/>
        <v>2.7158360804963682E-2</v>
      </c>
      <c r="Y184">
        <f t="shared" si="53"/>
        <v>4.6873249577086097E-4</v>
      </c>
      <c r="Z184">
        <f t="shared" si="54"/>
        <v>2.5311554771626494E-3</v>
      </c>
      <c r="AA184">
        <f t="shared" si="55"/>
        <v>0.13557243721679768</v>
      </c>
      <c r="AB184">
        <f t="shared" si="56"/>
        <v>8.7893061493484831E-2</v>
      </c>
      <c r="AC184">
        <f t="shared" si="57"/>
        <v>9.4502939655847204E-2</v>
      </c>
      <c r="AD184">
        <f t="shared" si="58"/>
        <v>0</v>
      </c>
      <c r="AE184">
        <f t="shared" si="59"/>
        <v>1.4635797194448517E-2</v>
      </c>
      <c r="AG184">
        <f t="shared" si="60"/>
        <v>-0.3213400118304014</v>
      </c>
      <c r="AH184">
        <f t="shared" si="61"/>
        <v>0.14435282807407659</v>
      </c>
      <c r="AI184">
        <f t="shared" si="62"/>
        <v>-1.0201581446798278</v>
      </c>
      <c r="AK184" s="26">
        <f t="shared" si="63"/>
        <v>7.1576428258233363E-2</v>
      </c>
      <c r="AL184" s="26">
        <f t="shared" si="64"/>
        <v>5.8345681846214609E-2</v>
      </c>
      <c r="AM184" s="26">
        <f t="shared" si="65"/>
        <v>4.8528514376300208E-2</v>
      </c>
      <c r="AN184" s="26">
        <f t="shared" si="66"/>
        <v>14.364603174603175</v>
      </c>
      <c r="AO184" s="26">
        <f t="shared" si="67"/>
        <v>14.225243115318492</v>
      </c>
      <c r="AP184" s="26">
        <f t="shared" si="68"/>
        <v>12.529756571518618</v>
      </c>
      <c r="AS184" s="2">
        <v>45296</v>
      </c>
      <c r="AT184">
        <v>17.5</v>
      </c>
      <c r="AU184">
        <v>40</v>
      </c>
      <c r="AV184">
        <v>81.900000000000006</v>
      </c>
      <c r="AW184">
        <v>8.6999999999999993</v>
      </c>
      <c r="AX184">
        <v>29.23</v>
      </c>
      <c r="AY184">
        <v>0.5</v>
      </c>
      <c r="AZ184">
        <v>2.2999999999999998</v>
      </c>
      <c r="BA184">
        <v>258.86489999999998</v>
      </c>
      <c r="BB184">
        <v>61.994199999999999</v>
      </c>
      <c r="BC184">
        <v>125.7697</v>
      </c>
      <c r="BD184">
        <v>3.1478999999999999</v>
      </c>
      <c r="BE184">
        <v>19.184799999999999</v>
      </c>
      <c r="BF184">
        <v>-3.7044999999999999</v>
      </c>
      <c r="BG184">
        <v>-10.573399999999999</v>
      </c>
      <c r="BH184">
        <v>85.1</v>
      </c>
    </row>
    <row r="185" spans="1:60" x14ac:dyDescent="0.25">
      <c r="A185" s="2">
        <v>45316</v>
      </c>
      <c r="B185">
        <v>22.4</v>
      </c>
      <c r="C185">
        <v>30</v>
      </c>
      <c r="D185">
        <v>49.8</v>
      </c>
      <c r="E185">
        <v>12.5</v>
      </c>
      <c r="F185">
        <v>70.540000000000006</v>
      </c>
      <c r="G185">
        <v>0.5</v>
      </c>
      <c r="H185">
        <v>2.6</v>
      </c>
      <c r="I185">
        <v>158.001</v>
      </c>
      <c r="J185">
        <v>101.9926</v>
      </c>
      <c r="K185">
        <v>140.6962</v>
      </c>
      <c r="L185">
        <v>0</v>
      </c>
      <c r="M185">
        <v>31.299900000000001</v>
      </c>
      <c r="N185">
        <v>-13.211499999999999</v>
      </c>
      <c r="O185">
        <v>-20.5992</v>
      </c>
      <c r="P185">
        <v>72.64</v>
      </c>
      <c r="S185">
        <f t="shared" si="47"/>
        <v>620.3297</v>
      </c>
      <c r="T185">
        <f t="shared" si="48"/>
        <v>2.0999215810534568E-2</v>
      </c>
      <c r="U185">
        <f t="shared" si="49"/>
        <v>2.8123949746251656E-2</v>
      </c>
      <c r="V185">
        <f t="shared" si="50"/>
        <v>4.668575657877775E-2</v>
      </c>
      <c r="W185">
        <f t="shared" si="51"/>
        <v>1.1718312394271523E-2</v>
      </c>
      <c r="X185">
        <f t="shared" si="52"/>
        <v>6.6128780503353066E-2</v>
      </c>
      <c r="Y185">
        <f t="shared" si="53"/>
        <v>4.6873249577086097E-4</v>
      </c>
      <c r="Z185">
        <f t="shared" si="54"/>
        <v>2.437408978008477E-3</v>
      </c>
      <c r="AA185">
        <f t="shared" si="55"/>
        <v>0.1481204061285836</v>
      </c>
      <c r="AB185">
        <f t="shared" si="56"/>
        <v>9.5614491896318224E-2</v>
      </c>
      <c r="AC185">
        <f t="shared" si="57"/>
        <v>0.13189776194295241</v>
      </c>
      <c r="AD185">
        <f t="shared" si="58"/>
        <v>0</v>
      </c>
      <c r="AE185">
        <f t="shared" si="59"/>
        <v>2.9342560488756744E-2</v>
      </c>
      <c r="AG185">
        <f t="shared" si="60"/>
        <v>-0.30360643744593829</v>
      </c>
      <c r="AH185">
        <f t="shared" si="61"/>
        <v>0.20590471699572466</v>
      </c>
      <c r="AI185">
        <f t="shared" si="62"/>
        <v>-0.58684804048563954</v>
      </c>
      <c r="AK185" s="26">
        <f t="shared" si="63"/>
        <v>7.386363748812079E-2</v>
      </c>
      <c r="AL185" s="26">
        <f t="shared" si="64"/>
        <v>5.6929846762964711E-2</v>
      </c>
      <c r="AM185" s="26">
        <f t="shared" si="65"/>
        <v>4.8093112536096327E-2</v>
      </c>
      <c r="AN185" s="26">
        <f t="shared" si="66"/>
        <v>14.3888888888889</v>
      </c>
      <c r="AO185" s="26">
        <f t="shared" si="67"/>
        <v>14.169911790017281</v>
      </c>
      <c r="AP185" s="26">
        <f t="shared" si="68"/>
        <v>12.479787558099844</v>
      </c>
      <c r="AS185" s="2">
        <v>45295</v>
      </c>
      <c r="AT185">
        <v>16.899999999999999</v>
      </c>
      <c r="AU185">
        <v>36.4</v>
      </c>
      <c r="AV185">
        <v>44.2</v>
      </c>
      <c r="AW185">
        <v>11.4</v>
      </c>
      <c r="AX185">
        <v>30.59</v>
      </c>
      <c r="AY185">
        <v>0.5</v>
      </c>
      <c r="AZ185">
        <v>2.6</v>
      </c>
      <c r="BA185">
        <v>190.35050000000001</v>
      </c>
      <c r="BB185">
        <v>59.235399999999998</v>
      </c>
      <c r="BC185">
        <v>101.2174</v>
      </c>
      <c r="BD185">
        <v>3.1764999999999999</v>
      </c>
      <c r="BE185">
        <v>31.716899999999999</v>
      </c>
      <c r="BF185">
        <v>-3.8693</v>
      </c>
      <c r="BG185">
        <v>-11.361599999999999</v>
      </c>
      <c r="BH185">
        <v>85.37</v>
      </c>
    </row>
    <row r="186" spans="1:60" x14ac:dyDescent="0.25">
      <c r="A186" s="2">
        <v>45315</v>
      </c>
      <c r="B186">
        <v>19.5</v>
      </c>
      <c r="C186">
        <v>0.4</v>
      </c>
      <c r="D186">
        <v>59.5</v>
      </c>
      <c r="E186">
        <v>17</v>
      </c>
      <c r="F186">
        <v>44.87</v>
      </c>
      <c r="G186">
        <v>0.5</v>
      </c>
      <c r="H186">
        <v>2.5</v>
      </c>
      <c r="I186">
        <v>98.040499999999994</v>
      </c>
      <c r="J186">
        <v>88.585099999999997</v>
      </c>
      <c r="K186">
        <v>72.509299999999996</v>
      </c>
      <c r="L186">
        <v>1.3899999999999999E-2</v>
      </c>
      <c r="M186">
        <v>24.851099999999999</v>
      </c>
      <c r="N186">
        <v>-13.9658</v>
      </c>
      <c r="O186">
        <v>-21.0959</v>
      </c>
      <c r="P186">
        <v>73.040000000000006</v>
      </c>
      <c r="S186">
        <f t="shared" si="47"/>
        <v>428.26989999999995</v>
      </c>
      <c r="T186">
        <f t="shared" si="48"/>
        <v>1.8280567335063579E-2</v>
      </c>
      <c r="U186">
        <f t="shared" si="49"/>
        <v>3.7498599661668879E-4</v>
      </c>
      <c r="V186">
        <f t="shared" si="50"/>
        <v>5.5779166996732452E-2</v>
      </c>
      <c r="W186">
        <f t="shared" si="51"/>
        <v>1.5936904856209272E-2</v>
      </c>
      <c r="X186">
        <f t="shared" si="52"/>
        <v>4.206405417047706E-2</v>
      </c>
      <c r="Y186">
        <f t="shared" si="53"/>
        <v>4.6873249577086097E-4</v>
      </c>
      <c r="Z186">
        <f t="shared" si="54"/>
        <v>2.3436624788543046E-3</v>
      </c>
      <c r="AA186">
        <f t="shared" si="55"/>
        <v>9.1909536503246181E-2</v>
      </c>
      <c r="AB186">
        <f t="shared" si="56"/>
        <v>8.3045430022222588E-2</v>
      </c>
      <c r="AC186">
        <f t="shared" si="57"/>
        <v>6.7974930311196169E-2</v>
      </c>
      <c r="AD186">
        <f t="shared" si="58"/>
        <v>1.3030763382429934E-5</v>
      </c>
      <c r="AE186">
        <f t="shared" si="59"/>
        <v>2.3297036251302486E-2</v>
      </c>
      <c r="AG186">
        <f t="shared" si="60"/>
        <v>-0.28497067506154722</v>
      </c>
      <c r="AH186">
        <f t="shared" si="61"/>
        <v>0.15854511058102672</v>
      </c>
      <c r="AI186">
        <f t="shared" si="62"/>
        <v>-0.91138202187674644</v>
      </c>
      <c r="AK186" s="26">
        <f t="shared" si="63"/>
        <v>6.7055610475379598E-2</v>
      </c>
      <c r="AL186" s="26">
        <f t="shared" si="64"/>
        <v>5.4582857554050818E-2</v>
      </c>
      <c r="AM186" s="26">
        <f t="shared" si="65"/>
        <v>4.7575517036628295E-2</v>
      </c>
      <c r="AN186" s="26">
        <f t="shared" si="66"/>
        <v>14.426507936507946</v>
      </c>
      <c r="AO186" s="26">
        <f t="shared" si="67"/>
        <v>14.120391566265127</v>
      </c>
      <c r="AP186" s="26">
        <f t="shared" si="68"/>
        <v>12.433492030146283</v>
      </c>
      <c r="AS186" s="2">
        <v>45294</v>
      </c>
      <c r="AT186">
        <v>16.899999999999999</v>
      </c>
      <c r="AU186">
        <v>1.8</v>
      </c>
      <c r="AV186">
        <v>68.099999999999994</v>
      </c>
      <c r="AW186">
        <v>15.5</v>
      </c>
      <c r="AX186">
        <v>37.56</v>
      </c>
      <c r="AY186">
        <v>0.5</v>
      </c>
      <c r="AZ186">
        <v>2.8</v>
      </c>
      <c r="BA186">
        <v>90.905100000000004</v>
      </c>
      <c r="BB186">
        <v>37.943800000000003</v>
      </c>
      <c r="BC186">
        <v>58.673999999999999</v>
      </c>
      <c r="BD186">
        <v>4.1429</v>
      </c>
      <c r="BE186">
        <v>22.537600000000001</v>
      </c>
      <c r="BF186">
        <v>-4.2897999999999996</v>
      </c>
      <c r="BG186">
        <v>-12.461600000000001</v>
      </c>
      <c r="BH186">
        <v>85.7</v>
      </c>
    </row>
    <row r="187" spans="1:60" x14ac:dyDescent="0.25">
      <c r="A187" s="2">
        <v>45314</v>
      </c>
      <c r="B187">
        <v>19.100000000000001</v>
      </c>
      <c r="C187">
        <v>0</v>
      </c>
      <c r="D187">
        <v>65.3</v>
      </c>
      <c r="E187">
        <v>18.7</v>
      </c>
      <c r="F187">
        <v>60.34</v>
      </c>
      <c r="G187">
        <v>0.5</v>
      </c>
      <c r="H187">
        <v>2.5</v>
      </c>
      <c r="I187">
        <v>110.2069</v>
      </c>
      <c r="J187">
        <v>92.817400000000006</v>
      </c>
      <c r="K187">
        <v>109.37220000000001</v>
      </c>
      <c r="L187">
        <v>0</v>
      </c>
      <c r="M187">
        <v>30.526</v>
      </c>
      <c r="N187">
        <v>-13.3249</v>
      </c>
      <c r="O187">
        <v>-21.709099999999999</v>
      </c>
      <c r="P187">
        <v>73.42</v>
      </c>
      <c r="S187">
        <f t="shared" si="47"/>
        <v>509.36250000000007</v>
      </c>
      <c r="T187">
        <f t="shared" si="48"/>
        <v>1.7905581338446889E-2</v>
      </c>
      <c r="U187">
        <f t="shared" si="49"/>
        <v>0</v>
      </c>
      <c r="V187">
        <f t="shared" si="50"/>
        <v>6.1216463947674438E-2</v>
      </c>
      <c r="W187">
        <f t="shared" si="51"/>
        <v>1.7530595341830199E-2</v>
      </c>
      <c r="X187">
        <f t="shared" si="52"/>
        <v>5.6566637589627503E-2</v>
      </c>
      <c r="Y187">
        <f t="shared" si="53"/>
        <v>4.6873249577086097E-4</v>
      </c>
      <c r="Z187">
        <f t="shared" si="54"/>
        <v>2.3436624788543046E-3</v>
      </c>
      <c r="AA187">
        <f t="shared" si="55"/>
        <v>0.10331511057633939</v>
      </c>
      <c r="AB187">
        <f t="shared" si="56"/>
        <v>8.7013063105924632E-2</v>
      </c>
      <c r="AC187">
        <f t="shared" si="57"/>
        <v>0.10253260854789953</v>
      </c>
      <c r="AD187">
        <f t="shared" si="58"/>
        <v>0</v>
      </c>
      <c r="AE187">
        <f t="shared" si="59"/>
        <v>2.8617056331802601E-2</v>
      </c>
      <c r="AG187">
        <f t="shared" si="60"/>
        <v>-0.26731725349628033</v>
      </c>
      <c r="AH187">
        <f t="shared" si="61"/>
        <v>0.18464872952400679</v>
      </c>
      <c r="AI187">
        <f t="shared" si="62"/>
        <v>-0.72615952217284974</v>
      </c>
      <c r="AK187" s="26">
        <f t="shared" si="63"/>
        <v>6.5819833707251613E-2</v>
      </c>
      <c r="AL187" s="26">
        <f t="shared" si="64"/>
        <v>5.3269972806810895E-2</v>
      </c>
      <c r="AM187" s="26">
        <f t="shared" si="65"/>
        <v>4.7081894240968536E-2</v>
      </c>
      <c r="AN187" s="26">
        <f t="shared" si="66"/>
        <v>14.47904761904762</v>
      </c>
      <c r="AO187" s="26">
        <f t="shared" si="67"/>
        <v>14.077519363166999</v>
      </c>
      <c r="AP187" s="26">
        <f t="shared" si="68"/>
        <v>12.390607126913679</v>
      </c>
      <c r="AS187" s="2">
        <v>45293</v>
      </c>
      <c r="AT187">
        <v>17.2</v>
      </c>
      <c r="AU187">
        <v>0</v>
      </c>
      <c r="AV187">
        <v>74.2</v>
      </c>
      <c r="AW187">
        <v>13.3</v>
      </c>
      <c r="AX187">
        <v>12.91</v>
      </c>
      <c r="AY187">
        <v>0.5</v>
      </c>
      <c r="AZ187">
        <v>3.1</v>
      </c>
      <c r="BA187">
        <v>94.508200000000002</v>
      </c>
      <c r="BB187">
        <v>35.588500000000003</v>
      </c>
      <c r="BC187">
        <v>69.123000000000005</v>
      </c>
      <c r="BD187">
        <v>4.0991999999999997</v>
      </c>
      <c r="BE187">
        <v>35.579099999999997</v>
      </c>
      <c r="BF187">
        <v>-2.6867999999999999</v>
      </c>
      <c r="BG187">
        <v>-13.550599999999999</v>
      </c>
      <c r="BH187">
        <v>85.92</v>
      </c>
    </row>
    <row r="188" spans="1:60" x14ac:dyDescent="0.25">
      <c r="A188" s="2">
        <v>45313</v>
      </c>
      <c r="B188">
        <v>17.100000000000001</v>
      </c>
      <c r="C188">
        <v>0</v>
      </c>
      <c r="D188">
        <v>57.8</v>
      </c>
      <c r="E188">
        <v>22.2</v>
      </c>
      <c r="F188">
        <v>27.34</v>
      </c>
      <c r="G188">
        <v>0.5</v>
      </c>
      <c r="H188">
        <v>2.5</v>
      </c>
      <c r="I188">
        <v>90.717299999999994</v>
      </c>
      <c r="J188">
        <v>90.698700000000002</v>
      </c>
      <c r="K188">
        <v>90.607399999999998</v>
      </c>
      <c r="L188">
        <v>0</v>
      </c>
      <c r="M188">
        <v>25.903700000000001</v>
      </c>
      <c r="N188">
        <v>-13.902100000000001</v>
      </c>
      <c r="O188">
        <v>-21.700700000000001</v>
      </c>
      <c r="P188">
        <v>73.900000000000006</v>
      </c>
      <c r="S188">
        <f t="shared" si="47"/>
        <v>425.36709999999999</v>
      </c>
      <c r="T188">
        <f t="shared" si="48"/>
        <v>1.6030651355363447E-2</v>
      </c>
      <c r="U188">
        <f t="shared" si="49"/>
        <v>0</v>
      </c>
      <c r="V188">
        <f t="shared" si="50"/>
        <v>5.4185476511111524E-2</v>
      </c>
      <c r="W188">
        <f t="shared" si="51"/>
        <v>2.0811722812226225E-2</v>
      </c>
      <c r="X188">
        <f t="shared" si="52"/>
        <v>2.5630292868750678E-2</v>
      </c>
      <c r="Y188">
        <f t="shared" si="53"/>
        <v>4.6873249577086097E-4</v>
      </c>
      <c r="Z188">
        <f t="shared" si="54"/>
        <v>2.3436624788543046E-3</v>
      </c>
      <c r="AA188">
        <f t="shared" si="55"/>
        <v>8.5044292877187844E-2</v>
      </c>
      <c r="AB188">
        <f t="shared" si="56"/>
        <v>8.5026856028345171E-2</v>
      </c>
      <c r="AC188">
        <f t="shared" si="57"/>
        <v>8.4941265474617417E-2</v>
      </c>
      <c r="AD188">
        <f t="shared" si="58"/>
        <v>0</v>
      </c>
      <c r="AE188">
        <f t="shared" si="59"/>
        <v>2.4283811901399301E-2</v>
      </c>
      <c r="AG188">
        <f t="shared" si="60"/>
        <v>-0.24499975954231396</v>
      </c>
      <c r="AH188">
        <f t="shared" si="61"/>
        <v>0.14375435042347631</v>
      </c>
      <c r="AI188">
        <f t="shared" si="62"/>
        <v>-1.0052405241467652</v>
      </c>
      <c r="AK188" s="26">
        <f t="shared" si="63"/>
        <v>6.3021624214792113E-2</v>
      </c>
      <c r="AL188" s="26">
        <f t="shared" si="64"/>
        <v>5.2361828061509463E-2</v>
      </c>
      <c r="AM188" s="26">
        <f t="shared" si="65"/>
        <v>4.7730770276369461E-2</v>
      </c>
      <c r="AN188" s="26">
        <f t="shared" si="66"/>
        <v>14.54507936507936</v>
      </c>
      <c r="AO188" s="26">
        <f t="shared" si="67"/>
        <v>14.041471600688496</v>
      </c>
      <c r="AP188" s="26">
        <f t="shared" si="68"/>
        <v>12.350808014495414</v>
      </c>
      <c r="AS188" s="2">
        <v>45292</v>
      </c>
      <c r="AT188">
        <v>17.600000000000001</v>
      </c>
      <c r="AU188">
        <v>0</v>
      </c>
      <c r="AV188">
        <v>67.3</v>
      </c>
      <c r="AW188">
        <v>11</v>
      </c>
      <c r="AX188">
        <v>44.29</v>
      </c>
      <c r="AY188">
        <v>0.5</v>
      </c>
      <c r="AZ188">
        <v>3</v>
      </c>
      <c r="BA188">
        <v>82.543800000000005</v>
      </c>
      <c r="BB188">
        <v>30.392199999999999</v>
      </c>
      <c r="BC188">
        <v>34.997199999999999</v>
      </c>
      <c r="BD188">
        <v>4.0659999999999998</v>
      </c>
      <c r="BE188">
        <v>19.138999999999999</v>
      </c>
      <c r="BF188">
        <v>-7.7866</v>
      </c>
      <c r="BG188">
        <v>-20.048200000000001</v>
      </c>
      <c r="BH188">
        <v>86.25</v>
      </c>
    </row>
    <row r="189" spans="1:60" x14ac:dyDescent="0.25">
      <c r="A189" s="2">
        <v>45312</v>
      </c>
      <c r="B189">
        <v>16.5</v>
      </c>
      <c r="C189">
        <v>0.5</v>
      </c>
      <c r="D189">
        <v>80.3</v>
      </c>
      <c r="E189">
        <v>17.2</v>
      </c>
      <c r="F189">
        <v>52.97</v>
      </c>
      <c r="G189">
        <v>0.5</v>
      </c>
      <c r="H189">
        <v>2.2999999999999998</v>
      </c>
      <c r="I189">
        <v>95.946100000000001</v>
      </c>
      <c r="J189">
        <v>66.849000000000004</v>
      </c>
      <c r="K189">
        <v>92.587100000000007</v>
      </c>
      <c r="L189">
        <v>1.3887</v>
      </c>
      <c r="M189">
        <v>13.5267</v>
      </c>
      <c r="P189">
        <v>74.42</v>
      </c>
      <c r="S189">
        <f t="shared" si="47"/>
        <v>440.56759999999997</v>
      </c>
      <c r="T189">
        <f t="shared" si="48"/>
        <v>1.5468172360438412E-2</v>
      </c>
      <c r="U189">
        <f t="shared" si="49"/>
        <v>4.6873249577086097E-4</v>
      </c>
      <c r="V189">
        <f t="shared" si="50"/>
        <v>7.5278438820800264E-2</v>
      </c>
      <c r="W189">
        <f t="shared" si="51"/>
        <v>1.6124397854517615E-2</v>
      </c>
      <c r="X189">
        <f t="shared" si="52"/>
        <v>4.9657520601965009E-2</v>
      </c>
      <c r="Y189">
        <f t="shared" si="53"/>
        <v>4.6873249577086097E-4</v>
      </c>
      <c r="Z189">
        <f t="shared" si="54"/>
        <v>2.1561694805459601E-3</v>
      </c>
      <c r="AA189">
        <f t="shared" si="55"/>
        <v>8.9946109824961207E-2</v>
      </c>
      <c r="AB189">
        <f t="shared" si="56"/>
        <v>6.2668597219572575E-2</v>
      </c>
      <c r="AC189">
        <f t="shared" si="57"/>
        <v>8.6797164918372569E-2</v>
      </c>
      <c r="AD189">
        <f t="shared" si="58"/>
        <v>1.3018576337539892E-3</v>
      </c>
      <c r="AE189">
        <f t="shared" si="59"/>
        <v>1.2680807701087409E-2</v>
      </c>
      <c r="AG189">
        <f t="shared" si="60"/>
        <v>-0.22084172899400881</v>
      </c>
      <c r="AH189">
        <f t="shared" si="61"/>
        <v>0.17230297181089638</v>
      </c>
      <c r="AI189">
        <f t="shared" si="62"/>
        <v>-0.80364940092405612</v>
      </c>
      <c r="AK189" s="26">
        <f t="shared" si="63"/>
        <v>6.4158706751866135E-2</v>
      </c>
      <c r="AL189" s="26">
        <f t="shared" si="64"/>
        <v>5.3446381733777568E-2</v>
      </c>
      <c r="AM189" s="26">
        <f t="shared" si="65"/>
        <v>4.7906698655239E-2</v>
      </c>
      <c r="AN189" s="26">
        <f t="shared" si="66"/>
        <v>14.627777777777766</v>
      </c>
      <c r="AO189" s="26">
        <f t="shared" si="67"/>
        <v>14.010780981067171</v>
      </c>
      <c r="AP189" s="26">
        <f t="shared" si="68"/>
        <v>12.312466846984051</v>
      </c>
      <c r="AS189" s="2">
        <v>45291</v>
      </c>
      <c r="AT189">
        <v>17.8</v>
      </c>
      <c r="AU189">
        <v>0</v>
      </c>
      <c r="AV189">
        <v>88.3</v>
      </c>
      <c r="AW189">
        <v>14.6</v>
      </c>
      <c r="AX189">
        <v>30.21</v>
      </c>
      <c r="AY189">
        <v>0.5</v>
      </c>
      <c r="AZ189">
        <v>3</v>
      </c>
      <c r="BA189">
        <v>76.992599999999996</v>
      </c>
      <c r="BB189">
        <v>32.961799999999997</v>
      </c>
      <c r="BC189">
        <v>28.8233</v>
      </c>
      <c r="BD189">
        <v>4.0826000000000002</v>
      </c>
      <c r="BE189">
        <v>21.839500000000001</v>
      </c>
      <c r="BH189">
        <v>86.41</v>
      </c>
    </row>
    <row r="190" spans="1:60" x14ac:dyDescent="0.25">
      <c r="A190" s="2">
        <v>45311</v>
      </c>
      <c r="B190">
        <v>17.3</v>
      </c>
      <c r="C190">
        <v>34</v>
      </c>
      <c r="D190">
        <v>77.400000000000006</v>
      </c>
      <c r="E190">
        <v>14.3</v>
      </c>
      <c r="F190">
        <v>64.900000000000006</v>
      </c>
      <c r="G190">
        <v>0.5</v>
      </c>
      <c r="H190">
        <v>2.5</v>
      </c>
      <c r="I190">
        <v>189.19220000000001</v>
      </c>
      <c r="J190">
        <v>79.190700000000007</v>
      </c>
      <c r="K190">
        <v>151.244</v>
      </c>
      <c r="L190">
        <v>0</v>
      </c>
      <c r="M190">
        <v>21.401</v>
      </c>
      <c r="P190">
        <v>74.94</v>
      </c>
      <c r="S190">
        <f t="shared" si="47"/>
        <v>651.92790000000002</v>
      </c>
      <c r="T190">
        <f t="shared" si="48"/>
        <v>1.621814435367179E-2</v>
      </c>
      <c r="U190">
        <f t="shared" si="49"/>
        <v>3.1873809712418544E-2</v>
      </c>
      <c r="V190">
        <f t="shared" si="50"/>
        <v>7.2559790345329278E-2</v>
      </c>
      <c r="W190">
        <f t="shared" si="51"/>
        <v>1.3405749379046624E-2</v>
      </c>
      <c r="X190">
        <f t="shared" si="52"/>
        <v>6.0841477951057758E-2</v>
      </c>
      <c r="Y190">
        <f t="shared" si="53"/>
        <v>4.6873249577086097E-4</v>
      </c>
      <c r="Z190">
        <f t="shared" si="54"/>
        <v>2.3436624788543046E-3</v>
      </c>
      <c r="AA190">
        <f t="shared" si="55"/>
        <v>0.17736106417275976</v>
      </c>
      <c r="AB190">
        <f t="shared" si="56"/>
        <v>7.4238508905683037E-2</v>
      </c>
      <c r="AC190">
        <f t="shared" si="57"/>
        <v>0.1417859551807362</v>
      </c>
      <c r="AD190">
        <f t="shared" si="58"/>
        <v>0</v>
      </c>
      <c r="AE190">
        <f t="shared" si="59"/>
        <v>2.006268828398439E-2</v>
      </c>
      <c r="AG190">
        <f t="shared" si="60"/>
        <v>-0.19670218447666976</v>
      </c>
      <c r="AH190">
        <f t="shared" si="61"/>
        <v>0.21777405500013358</v>
      </c>
      <c r="AI190">
        <f t="shared" si="62"/>
        <v>-0.48577621457882014</v>
      </c>
      <c r="AK190" s="26">
        <f t="shared" si="63"/>
        <v>6.4402322654334779E-2</v>
      </c>
      <c r="AL190" s="26">
        <f t="shared" si="64"/>
        <v>5.3340196074578558E-2</v>
      </c>
      <c r="AM190" s="26">
        <f t="shared" si="65"/>
        <v>4.7052311830449417E-2</v>
      </c>
      <c r="AN190" s="26">
        <f t="shared" si="66"/>
        <v>14.718253968253961</v>
      </c>
      <c r="AO190" s="26">
        <f t="shared" si="67"/>
        <v>13.983061531841699</v>
      </c>
      <c r="AP190" s="26">
        <f t="shared" si="68"/>
        <v>12.272629395236464</v>
      </c>
      <c r="AS190" s="2">
        <v>45290</v>
      </c>
      <c r="AT190">
        <v>17.7</v>
      </c>
      <c r="AU190">
        <v>0</v>
      </c>
      <c r="AV190">
        <v>86.6</v>
      </c>
      <c r="AW190">
        <v>23.2</v>
      </c>
      <c r="AX190">
        <v>52.66</v>
      </c>
      <c r="AY190">
        <v>0.5</v>
      </c>
      <c r="AZ190">
        <v>3</v>
      </c>
      <c r="BA190">
        <v>77.928399999999996</v>
      </c>
      <c r="BB190">
        <v>38.299900000000001</v>
      </c>
      <c r="BC190">
        <v>33.6706</v>
      </c>
      <c r="BD190">
        <v>4.0195999999999996</v>
      </c>
      <c r="BE190">
        <v>35.522500000000001</v>
      </c>
      <c r="BH190">
        <v>86.51</v>
      </c>
    </row>
    <row r="191" spans="1:60" x14ac:dyDescent="0.25">
      <c r="A191" s="2">
        <v>45310</v>
      </c>
      <c r="B191">
        <v>19.600000000000001</v>
      </c>
      <c r="C191">
        <v>20.9</v>
      </c>
      <c r="D191">
        <v>81.7</v>
      </c>
      <c r="E191">
        <v>13.7</v>
      </c>
      <c r="F191">
        <v>41.9</v>
      </c>
      <c r="G191">
        <v>0.5</v>
      </c>
      <c r="H191">
        <v>2.8</v>
      </c>
      <c r="I191">
        <v>281.5043</v>
      </c>
      <c r="J191">
        <v>114.92270000000001</v>
      </c>
      <c r="K191">
        <v>186.53149999999999</v>
      </c>
      <c r="L191">
        <v>1.7415</v>
      </c>
      <c r="M191">
        <v>27.9878</v>
      </c>
      <c r="N191">
        <v>-9.9024000000000001</v>
      </c>
      <c r="O191">
        <v>-17.224399999999999</v>
      </c>
      <c r="P191">
        <v>75.489999999999995</v>
      </c>
      <c r="S191">
        <f t="shared" si="47"/>
        <v>793.78780000000006</v>
      </c>
      <c r="T191">
        <f t="shared" si="48"/>
        <v>1.837431383421775E-2</v>
      </c>
      <c r="U191">
        <f t="shared" si="49"/>
        <v>1.9593018323221988E-2</v>
      </c>
      <c r="V191">
        <f t="shared" si="50"/>
        <v>7.6590889808958687E-2</v>
      </c>
      <c r="W191">
        <f t="shared" si="51"/>
        <v>1.2843270384121589E-2</v>
      </c>
      <c r="X191">
        <f t="shared" si="52"/>
        <v>3.9279783145598143E-2</v>
      </c>
      <c r="Y191">
        <f t="shared" si="53"/>
        <v>4.6873249577086097E-4</v>
      </c>
      <c r="Z191">
        <f t="shared" si="54"/>
        <v>2.624901976316821E-3</v>
      </c>
      <c r="AA191">
        <f t="shared" si="55"/>
        <v>0.26390042621845833</v>
      </c>
      <c r="AB191">
        <f t="shared" si="56"/>
        <v>0.10773600798345186</v>
      </c>
      <c r="AC191">
        <f t="shared" si="57"/>
        <v>0.17486675106976468</v>
      </c>
      <c r="AD191">
        <f t="shared" si="58"/>
        <v>1.6325952827699088E-3</v>
      </c>
      <c r="AE191">
        <f t="shared" si="59"/>
        <v>2.6237582690271405E-2</v>
      </c>
      <c r="AG191">
        <f t="shared" si="60"/>
        <v>-0.1711605005548413</v>
      </c>
      <c r="AH191">
        <f t="shared" si="61"/>
        <v>0.19601249265847726</v>
      </c>
      <c r="AI191">
        <f t="shared" si="62"/>
        <v>-0.628768623471612</v>
      </c>
      <c r="AK191" s="26">
        <f t="shared" si="63"/>
        <v>6.461889938797595E-2</v>
      </c>
      <c r="AL191" s="26">
        <f t="shared" si="64"/>
        <v>5.4608963332067634E-2</v>
      </c>
      <c r="AM191" s="26">
        <f t="shared" si="65"/>
        <v>4.7093627895086587E-2</v>
      </c>
      <c r="AN191" s="26">
        <f t="shared" si="66"/>
        <v>14.811269841269862</v>
      </c>
      <c r="AO191" s="26">
        <f t="shared" si="67"/>
        <v>13.954976333907098</v>
      </c>
      <c r="AP191" s="26">
        <f t="shared" si="68"/>
        <v>12.233127018723252</v>
      </c>
      <c r="AS191" s="2">
        <v>45289</v>
      </c>
      <c r="AT191">
        <v>18.2</v>
      </c>
      <c r="AU191">
        <v>0</v>
      </c>
      <c r="AV191">
        <v>79.7</v>
      </c>
      <c r="AW191">
        <v>25.1</v>
      </c>
      <c r="AX191">
        <v>34.880000000000003</v>
      </c>
      <c r="AY191">
        <v>0.5</v>
      </c>
      <c r="AZ191">
        <v>3</v>
      </c>
      <c r="BA191">
        <v>73.394999999999996</v>
      </c>
      <c r="BB191">
        <v>39.723100000000002</v>
      </c>
      <c r="BC191">
        <v>24.173300000000001</v>
      </c>
      <c r="BD191">
        <v>3.9672000000000001</v>
      </c>
      <c r="BE191">
        <v>21.033899999999999</v>
      </c>
      <c r="BF191">
        <v>-7.5015000000000001</v>
      </c>
      <c r="BG191">
        <v>-19.784700000000001</v>
      </c>
      <c r="BH191">
        <v>86.6</v>
      </c>
    </row>
    <row r="192" spans="1:60" x14ac:dyDescent="0.25">
      <c r="A192" s="2">
        <v>45309</v>
      </c>
      <c r="B192">
        <v>19.899999999999999</v>
      </c>
      <c r="C192">
        <v>1.6</v>
      </c>
      <c r="D192">
        <v>51.4</v>
      </c>
      <c r="E192">
        <v>3.9</v>
      </c>
      <c r="F192">
        <v>29.73</v>
      </c>
      <c r="G192">
        <v>0.5</v>
      </c>
      <c r="H192">
        <v>3</v>
      </c>
      <c r="I192">
        <v>363.04450000000003</v>
      </c>
      <c r="J192">
        <v>145.92699999999999</v>
      </c>
      <c r="K192">
        <v>223.53790000000001</v>
      </c>
      <c r="L192">
        <v>4.7027999999999999</v>
      </c>
      <c r="M192">
        <v>34.770000000000003</v>
      </c>
      <c r="N192">
        <v>-9.1076999999999995</v>
      </c>
      <c r="O192">
        <v>-18.473800000000001</v>
      </c>
      <c r="P192">
        <v>76.180000000000007</v>
      </c>
      <c r="S192">
        <f t="shared" si="47"/>
        <v>882.01220000000012</v>
      </c>
      <c r="T192">
        <f t="shared" si="48"/>
        <v>1.8655553331680265E-2</v>
      </c>
      <c r="U192">
        <f t="shared" si="49"/>
        <v>1.4999439864667552E-3</v>
      </c>
      <c r="V192">
        <f t="shared" si="50"/>
        <v>4.8185700565244502E-2</v>
      </c>
      <c r="W192">
        <f t="shared" si="51"/>
        <v>3.6561134670127153E-3</v>
      </c>
      <c r="X192">
        <f t="shared" si="52"/>
        <v>2.7870834198535394E-2</v>
      </c>
      <c r="Y192">
        <f t="shared" si="53"/>
        <v>4.6873249577086097E-4</v>
      </c>
      <c r="Z192">
        <f t="shared" si="54"/>
        <v>2.8123949746251659E-3</v>
      </c>
      <c r="AA192">
        <f t="shared" si="55"/>
        <v>0.34034150912176869</v>
      </c>
      <c r="AB192">
        <f t="shared" si="56"/>
        <v>0.13680145382070885</v>
      </c>
      <c r="AC192">
        <f t="shared" si="57"/>
        <v>0.20955895553275428</v>
      </c>
      <c r="AD192">
        <f t="shared" si="58"/>
        <v>4.4087103622224098E-3</v>
      </c>
      <c r="AE192">
        <f t="shared" si="59"/>
        <v>3.2595657755905671E-2</v>
      </c>
      <c r="AG192">
        <f t="shared" si="60"/>
        <v>-0.13902668126802767</v>
      </c>
      <c r="AH192">
        <f t="shared" si="61"/>
        <v>0.1357449307752413</v>
      </c>
      <c r="AI192">
        <f t="shared" si="62"/>
        <v>-1.0355258199880568</v>
      </c>
      <c r="AK192" s="26">
        <f t="shared" si="63"/>
        <v>6.3862484182975354E-2</v>
      </c>
      <c r="AL192" s="26">
        <f t="shared" si="64"/>
        <v>5.4232344496524143E-2</v>
      </c>
      <c r="AM192" s="26">
        <f t="shared" si="65"/>
        <v>4.7742751685048129E-2</v>
      </c>
      <c r="AN192" s="26">
        <f t="shared" si="66"/>
        <v>14.905238095238076</v>
      </c>
      <c r="AO192" s="26">
        <f t="shared" si="67"/>
        <v>13.92653614457835</v>
      </c>
      <c r="AP192" s="26">
        <f t="shared" si="68"/>
        <v>12.194373046926302</v>
      </c>
      <c r="AS192" s="2">
        <v>45288</v>
      </c>
      <c r="AT192">
        <v>18.7</v>
      </c>
      <c r="AU192">
        <v>0</v>
      </c>
      <c r="AV192">
        <v>76.400000000000006</v>
      </c>
      <c r="AW192">
        <v>26.4</v>
      </c>
      <c r="AX192">
        <v>36.619999999999997</v>
      </c>
      <c r="AY192">
        <v>0</v>
      </c>
      <c r="AZ192">
        <v>3.2</v>
      </c>
      <c r="BA192">
        <v>77.475300000000004</v>
      </c>
      <c r="BB192">
        <v>37.679900000000004</v>
      </c>
      <c r="BC192">
        <v>28.711400000000001</v>
      </c>
      <c r="BD192">
        <v>5.1879</v>
      </c>
      <c r="BE192">
        <v>27.991199999999999</v>
      </c>
      <c r="BF192">
        <v>-11.264699999999999</v>
      </c>
      <c r="BG192">
        <v>-20.671299999999999</v>
      </c>
      <c r="BH192">
        <v>86.72</v>
      </c>
    </row>
    <row r="193" spans="1:60" x14ac:dyDescent="0.25">
      <c r="A193" s="2">
        <v>45308</v>
      </c>
      <c r="B193">
        <v>19</v>
      </c>
      <c r="C193">
        <v>19.899999999999999</v>
      </c>
      <c r="D193">
        <v>54</v>
      </c>
      <c r="E193">
        <v>5.6</v>
      </c>
      <c r="F193">
        <v>17.079999999999998</v>
      </c>
      <c r="G193">
        <v>0.5</v>
      </c>
      <c r="H193">
        <v>2.9</v>
      </c>
      <c r="I193">
        <v>340.1601</v>
      </c>
      <c r="J193">
        <v>179.5652</v>
      </c>
      <c r="K193">
        <v>217.24950000000001</v>
      </c>
      <c r="L193">
        <v>4.7999000000000001</v>
      </c>
      <c r="M193">
        <v>34.673299999999998</v>
      </c>
      <c r="N193">
        <v>-8.3782999999999994</v>
      </c>
      <c r="O193">
        <v>-18.7624</v>
      </c>
      <c r="P193">
        <v>76.849999999999994</v>
      </c>
      <c r="S193">
        <f t="shared" si="47"/>
        <v>895.42800000000011</v>
      </c>
      <c r="T193">
        <f t="shared" si="48"/>
        <v>1.7811834839292717E-2</v>
      </c>
      <c r="U193">
        <f t="shared" si="49"/>
        <v>1.8655553331680265E-2</v>
      </c>
      <c r="V193">
        <f t="shared" si="50"/>
        <v>5.0623109543252984E-2</v>
      </c>
      <c r="W193">
        <f t="shared" si="51"/>
        <v>5.249803952633642E-3</v>
      </c>
      <c r="X193">
        <f t="shared" si="52"/>
        <v>1.6011902055532608E-2</v>
      </c>
      <c r="Y193">
        <f t="shared" si="53"/>
        <v>4.6873249577086097E-4</v>
      </c>
      <c r="Z193">
        <f t="shared" si="54"/>
        <v>2.7186484754709935E-3</v>
      </c>
      <c r="AA193">
        <f t="shared" si="55"/>
        <v>0.31888818526933127</v>
      </c>
      <c r="AB193">
        <f t="shared" si="56"/>
        <v>0.16833608869918762</v>
      </c>
      <c r="AC193">
        <f t="shared" si="57"/>
        <v>0.20366380067994333</v>
      </c>
      <c r="AD193">
        <f t="shared" si="58"/>
        <v>4.4997382129011113E-3</v>
      </c>
      <c r="AE193">
        <f t="shared" si="59"/>
        <v>3.2505004891223585E-2</v>
      </c>
      <c r="AG193">
        <f t="shared" si="60"/>
        <v>-0.10784475627341916</v>
      </c>
      <c r="AH193">
        <f t="shared" si="61"/>
        <v>0.14404458958485766</v>
      </c>
      <c r="AI193">
        <f t="shared" si="62"/>
        <v>-0.97940482474480106</v>
      </c>
      <c r="AK193" s="26">
        <f t="shared" si="63"/>
        <v>6.3870128242755592E-2</v>
      </c>
      <c r="AL193" s="26">
        <f t="shared" si="64"/>
        <v>5.4086273171039589E-2</v>
      </c>
      <c r="AM193" s="26">
        <f t="shared" si="65"/>
        <v>4.8108876674236661E-2</v>
      </c>
      <c r="AN193" s="26">
        <f t="shared" si="66"/>
        <v>14.993650793650801</v>
      </c>
      <c r="AO193" s="26">
        <f t="shared" si="67"/>
        <v>13.895542168674723</v>
      </c>
      <c r="AP193" s="26">
        <f t="shared" si="68"/>
        <v>12.155720963210001</v>
      </c>
      <c r="AS193" s="2">
        <v>45287</v>
      </c>
      <c r="AT193">
        <v>18.899999999999999</v>
      </c>
      <c r="AU193">
        <v>0</v>
      </c>
      <c r="AV193">
        <v>60.4</v>
      </c>
      <c r="AW193">
        <v>14.5</v>
      </c>
      <c r="AX193">
        <v>56.88</v>
      </c>
      <c r="AY193">
        <v>0.1</v>
      </c>
      <c r="AZ193">
        <v>3.1</v>
      </c>
      <c r="BA193">
        <v>111.3706</v>
      </c>
      <c r="BB193">
        <v>27.463000000000001</v>
      </c>
      <c r="BC193">
        <v>71.759</v>
      </c>
      <c r="BD193">
        <v>3.8704999999999998</v>
      </c>
      <c r="BE193">
        <v>36.875</v>
      </c>
      <c r="BF193">
        <v>-7.4805999999999999</v>
      </c>
      <c r="BG193">
        <v>-11.855</v>
      </c>
      <c r="BH193">
        <v>86.82</v>
      </c>
    </row>
    <row r="194" spans="1:60" x14ac:dyDescent="0.25">
      <c r="A194" s="2">
        <v>45307</v>
      </c>
      <c r="B194">
        <v>17.7</v>
      </c>
      <c r="C194">
        <v>6.7</v>
      </c>
      <c r="D194">
        <v>55.1</v>
      </c>
      <c r="E194">
        <v>6.2</v>
      </c>
      <c r="F194">
        <v>37.92</v>
      </c>
      <c r="G194">
        <v>0.5</v>
      </c>
      <c r="H194">
        <v>3.2</v>
      </c>
      <c r="I194">
        <v>348.90980000000002</v>
      </c>
      <c r="J194">
        <v>187.87809999999999</v>
      </c>
      <c r="K194">
        <v>214.43889999999999</v>
      </c>
      <c r="L194">
        <v>4.7312000000000003</v>
      </c>
      <c r="M194">
        <v>33.080100000000002</v>
      </c>
      <c r="N194">
        <v>-9.4367000000000001</v>
      </c>
      <c r="O194">
        <v>-18.2498</v>
      </c>
      <c r="P194">
        <v>77.58</v>
      </c>
      <c r="S194">
        <f t="shared" ref="S194:S257" si="69">SUM(B194:M194)</f>
        <v>916.35809999999992</v>
      </c>
      <c r="T194">
        <f t="shared" si="48"/>
        <v>1.6593130350288476E-2</v>
      </c>
      <c r="U194">
        <f t="shared" si="49"/>
        <v>6.2810154433295372E-3</v>
      </c>
      <c r="V194">
        <f t="shared" si="50"/>
        <v>5.1654321033948881E-2</v>
      </c>
      <c r="W194">
        <f t="shared" si="51"/>
        <v>5.8122829475586758E-3</v>
      </c>
      <c r="X194">
        <f t="shared" si="52"/>
        <v>3.5548672479262099E-2</v>
      </c>
      <c r="Y194">
        <f t="shared" si="53"/>
        <v>4.6873249577086097E-4</v>
      </c>
      <c r="Z194">
        <f t="shared" si="54"/>
        <v>2.9998879729335104E-3</v>
      </c>
      <c r="AA194">
        <f t="shared" si="55"/>
        <v>0.3270907227058239</v>
      </c>
      <c r="AB194">
        <f t="shared" si="56"/>
        <v>0.17612914142737476</v>
      </c>
      <c r="AC194">
        <f t="shared" si="57"/>
        <v>0.20102896157471614</v>
      </c>
      <c r="AD194">
        <f t="shared" si="58"/>
        <v>4.435334367982195E-3</v>
      </c>
      <c r="AE194">
        <f t="shared" si="59"/>
        <v>3.1011435666699318E-2</v>
      </c>
      <c r="AG194">
        <f t="shared" si="60"/>
        <v>-7.3823937344924664E-2</v>
      </c>
      <c r="AH194">
        <f t="shared" si="61"/>
        <v>0.15036947838979134</v>
      </c>
      <c r="AI194">
        <f t="shared" si="62"/>
        <v>-0.9339263286645425</v>
      </c>
      <c r="AK194" s="26">
        <f t="shared" si="63"/>
        <v>6.3844754190317834E-2</v>
      </c>
      <c r="AL194" s="26">
        <f t="shared" si="64"/>
        <v>5.385776319515391E-2</v>
      </c>
      <c r="AM194" s="26">
        <f t="shared" si="65"/>
        <v>4.9917657462378612E-2</v>
      </c>
      <c r="AN194" s="26">
        <f t="shared" si="66"/>
        <v>15.074603174603169</v>
      </c>
      <c r="AO194" s="26">
        <f t="shared" si="67"/>
        <v>13.862291308089539</v>
      </c>
      <c r="AP194" s="26">
        <f t="shared" si="68"/>
        <v>12.117585147448864</v>
      </c>
      <c r="AS194" s="2">
        <v>45286</v>
      </c>
      <c r="AT194">
        <v>19.100000000000001</v>
      </c>
      <c r="AU194">
        <v>0</v>
      </c>
      <c r="AV194">
        <v>73.900000000000006</v>
      </c>
      <c r="AW194">
        <v>19.5</v>
      </c>
      <c r="AX194">
        <v>33.880000000000003</v>
      </c>
      <c r="AY194">
        <v>0.1</v>
      </c>
      <c r="AZ194">
        <v>2.6</v>
      </c>
      <c r="BA194">
        <v>91.671999999999997</v>
      </c>
      <c r="BB194">
        <v>21.9941</v>
      </c>
      <c r="BC194">
        <v>33.5017</v>
      </c>
      <c r="BD194">
        <v>3.9081999999999999</v>
      </c>
      <c r="BE194">
        <v>13.730600000000001</v>
      </c>
      <c r="BF194">
        <v>-10.7837</v>
      </c>
      <c r="BG194">
        <v>-16.5059</v>
      </c>
      <c r="BH194">
        <v>86.97</v>
      </c>
    </row>
    <row r="195" spans="1:60" x14ac:dyDescent="0.25">
      <c r="A195" s="2">
        <v>45306</v>
      </c>
      <c r="B195">
        <v>16.3</v>
      </c>
      <c r="C195">
        <v>42.7</v>
      </c>
      <c r="D195">
        <v>76.599999999999994</v>
      </c>
      <c r="E195">
        <v>11.3</v>
      </c>
      <c r="F195">
        <v>27.35</v>
      </c>
      <c r="G195">
        <v>0.5</v>
      </c>
      <c r="H195">
        <v>2.9</v>
      </c>
      <c r="I195">
        <v>271.8193</v>
      </c>
      <c r="J195">
        <v>108.1887</v>
      </c>
      <c r="K195">
        <v>160.4008</v>
      </c>
      <c r="L195">
        <v>4.0180999999999996</v>
      </c>
      <c r="M195">
        <v>24.957599999999999</v>
      </c>
      <c r="N195">
        <v>-10.8804</v>
      </c>
      <c r="O195">
        <v>-19.066099999999999</v>
      </c>
      <c r="P195">
        <v>78.33</v>
      </c>
      <c r="S195">
        <f t="shared" si="69"/>
        <v>747.03449999999998</v>
      </c>
      <c r="T195">
        <f t="shared" si="48"/>
        <v>1.5280679362130067E-2</v>
      </c>
      <c r="U195">
        <f t="shared" si="49"/>
        <v>4.002975513883153E-2</v>
      </c>
      <c r="V195">
        <f t="shared" si="50"/>
        <v>7.1809818352095892E-2</v>
      </c>
      <c r="W195">
        <f t="shared" si="51"/>
        <v>1.0593354404421457E-2</v>
      </c>
      <c r="X195">
        <f t="shared" si="52"/>
        <v>2.5639667518666094E-2</v>
      </c>
      <c r="Y195">
        <f t="shared" si="53"/>
        <v>4.6873249577086097E-4</v>
      </c>
      <c r="Z195">
        <f t="shared" si="54"/>
        <v>2.7186484754709935E-3</v>
      </c>
      <c r="AA195">
        <f t="shared" si="55"/>
        <v>0.25482107777537677</v>
      </c>
      <c r="AB195">
        <f t="shared" si="56"/>
        <v>0.10142311873040989</v>
      </c>
      <c r="AC195">
        <f t="shared" si="57"/>
        <v>0.15037013461528542</v>
      </c>
      <c r="AD195">
        <f t="shared" si="58"/>
        <v>3.7668280825137925E-3</v>
      </c>
      <c r="AE195">
        <f t="shared" si="59"/>
        <v>2.3396876272901677E-2</v>
      </c>
      <c r="AG195">
        <f t="shared" si="60"/>
        <v>-3.8845497336322997E-2</v>
      </c>
      <c r="AH195">
        <f t="shared" si="61"/>
        <v>0.1899375320202886</v>
      </c>
      <c r="AI195">
        <f t="shared" si="62"/>
        <v>-0.66181737917117711</v>
      </c>
      <c r="AK195" s="26">
        <f t="shared" si="63"/>
        <v>6.3299348962556221E-2</v>
      </c>
      <c r="AL195" s="26">
        <f t="shared" si="64"/>
        <v>5.333160699531625E-2</v>
      </c>
      <c r="AM195" s="26">
        <f t="shared" si="65"/>
        <v>5.1562717297499228E-2</v>
      </c>
      <c r="AN195" s="26">
        <f t="shared" si="66"/>
        <v>15.149365079365069</v>
      </c>
      <c r="AO195" s="26">
        <f t="shared" si="67"/>
        <v>13.826607142857185</v>
      </c>
      <c r="AP195" s="26">
        <f t="shared" si="68"/>
        <v>12.079849006066027</v>
      </c>
      <c r="AS195" s="2">
        <v>45285</v>
      </c>
      <c r="AT195">
        <v>18.7</v>
      </c>
      <c r="AU195">
        <v>0</v>
      </c>
      <c r="AV195">
        <v>58.9</v>
      </c>
      <c r="AW195">
        <v>18</v>
      </c>
      <c r="AX195">
        <v>32.53</v>
      </c>
      <c r="AY195">
        <v>0.1</v>
      </c>
      <c r="AZ195">
        <v>2.6</v>
      </c>
      <c r="BA195">
        <v>81.680400000000006</v>
      </c>
      <c r="BB195">
        <v>22.385400000000001</v>
      </c>
      <c r="BC195">
        <v>27.189800000000002</v>
      </c>
      <c r="BD195">
        <v>3.8692000000000002</v>
      </c>
      <c r="BE195">
        <v>26.371600000000001</v>
      </c>
      <c r="BF195">
        <v>-10.7837</v>
      </c>
      <c r="BG195">
        <v>-16.3812</v>
      </c>
      <c r="BH195">
        <v>87.03</v>
      </c>
    </row>
    <row r="196" spans="1:60" x14ac:dyDescent="0.25">
      <c r="A196" s="2">
        <v>45305</v>
      </c>
      <c r="B196">
        <v>16.3</v>
      </c>
      <c r="C196">
        <v>18.2</v>
      </c>
      <c r="D196">
        <v>79.5</v>
      </c>
      <c r="E196">
        <v>10.9</v>
      </c>
      <c r="F196">
        <v>40.229999999999997</v>
      </c>
      <c r="G196">
        <v>0.5</v>
      </c>
      <c r="H196">
        <v>2.8</v>
      </c>
      <c r="I196">
        <v>222.8707</v>
      </c>
      <c r="J196">
        <v>101.54649999999999</v>
      </c>
      <c r="K196">
        <v>115.98699999999999</v>
      </c>
      <c r="L196">
        <v>4.3437000000000001</v>
      </c>
      <c r="M196">
        <v>19.264700000000001</v>
      </c>
      <c r="P196">
        <v>79.03</v>
      </c>
      <c r="S196">
        <f t="shared" si="69"/>
        <v>632.44259999999997</v>
      </c>
      <c r="T196">
        <f t="shared" si="48"/>
        <v>1.5280679362130067E-2</v>
      </c>
      <c r="U196">
        <f t="shared" si="49"/>
        <v>1.7061862846059338E-2</v>
      </c>
      <c r="V196">
        <f t="shared" si="50"/>
        <v>7.4528466827566892E-2</v>
      </c>
      <c r="W196">
        <f t="shared" si="51"/>
        <v>1.0218368407804769E-2</v>
      </c>
      <c r="X196">
        <f t="shared" si="52"/>
        <v>3.7714216609723468E-2</v>
      </c>
      <c r="Y196">
        <f t="shared" si="53"/>
        <v>4.6873249577086097E-4</v>
      </c>
      <c r="Z196">
        <f t="shared" si="54"/>
        <v>2.624901976316821E-3</v>
      </c>
      <c r="AA196">
        <f t="shared" si="55"/>
        <v>0.20893347889039765</v>
      </c>
      <c r="AB196">
        <f t="shared" si="56"/>
        <v>9.5196288763591458E-2</v>
      </c>
      <c r="AC196">
        <f t="shared" si="57"/>
        <v>0.10873375197394969</v>
      </c>
      <c r="AD196">
        <f t="shared" si="58"/>
        <v>4.0720666837597772E-3</v>
      </c>
      <c r="AE196">
        <f t="shared" si="59"/>
        <v>1.8059981822553813E-2</v>
      </c>
      <c r="AG196">
        <f t="shared" si="60"/>
        <v>-6.2031561552858645E-3</v>
      </c>
      <c r="AH196">
        <f t="shared" si="61"/>
        <v>0.17595721034792602</v>
      </c>
      <c r="AI196">
        <f t="shared" si="62"/>
        <v>-0.75514081059796245</v>
      </c>
      <c r="AK196" s="26">
        <f t="shared" si="63"/>
        <v>6.1670784779249976E-2</v>
      </c>
      <c r="AL196" s="26">
        <f t="shared" si="64"/>
        <v>5.178965588429793E-2</v>
      </c>
      <c r="AM196" s="26">
        <f t="shared" si="65"/>
        <v>5.1499346734415974E-2</v>
      </c>
      <c r="AN196" s="26">
        <f t="shared" si="66"/>
        <v>15.210634920634931</v>
      </c>
      <c r="AO196" s="26">
        <f t="shared" si="67"/>
        <v>13.788511187607611</v>
      </c>
      <c r="AP196" s="26">
        <f t="shared" si="68"/>
        <v>12.042603660618141</v>
      </c>
      <c r="AS196" s="2">
        <v>45284</v>
      </c>
      <c r="AT196">
        <v>18.5</v>
      </c>
      <c r="AU196">
        <v>0</v>
      </c>
      <c r="AV196">
        <v>65.2</v>
      </c>
      <c r="AW196">
        <v>15</v>
      </c>
      <c r="AX196">
        <v>13.36</v>
      </c>
      <c r="AY196">
        <v>0.2</v>
      </c>
      <c r="AZ196">
        <v>3</v>
      </c>
      <c r="BA196">
        <v>80.832700000000003</v>
      </c>
      <c r="BB196">
        <v>22.465599999999998</v>
      </c>
      <c r="BC196">
        <v>26.923300000000001</v>
      </c>
      <c r="BD196">
        <v>3.7094</v>
      </c>
      <c r="BE196">
        <v>15.2026</v>
      </c>
      <c r="BH196">
        <v>87.05</v>
      </c>
    </row>
    <row r="197" spans="1:60" x14ac:dyDescent="0.25">
      <c r="A197" s="2">
        <v>45304</v>
      </c>
      <c r="B197">
        <v>17.2</v>
      </c>
      <c r="C197">
        <v>5.2</v>
      </c>
      <c r="D197">
        <v>66.3</v>
      </c>
      <c r="E197">
        <v>11</v>
      </c>
      <c r="F197">
        <v>18.22</v>
      </c>
      <c r="G197">
        <v>0.5</v>
      </c>
      <c r="H197">
        <v>2.9</v>
      </c>
      <c r="I197">
        <v>245.49459999999999</v>
      </c>
      <c r="J197">
        <v>119.6357</v>
      </c>
      <c r="K197">
        <v>140.14400000000001</v>
      </c>
      <c r="L197">
        <v>4.1635999999999997</v>
      </c>
      <c r="M197">
        <v>20.4072</v>
      </c>
      <c r="P197">
        <v>79.58</v>
      </c>
      <c r="S197">
        <f t="shared" si="69"/>
        <v>651.16509999999994</v>
      </c>
      <c r="T197">
        <f t="shared" ref="T197:T260" si="70">B197/$S$4</f>
        <v>1.6124397854517615E-2</v>
      </c>
      <c r="U197">
        <f t="shared" ref="U197:U260" si="71">C197/$S$4</f>
        <v>4.874817956016954E-3</v>
      </c>
      <c r="V197">
        <f t="shared" ref="V197:V260" si="72">D197/$S$4</f>
        <v>6.215392893921616E-2</v>
      </c>
      <c r="W197">
        <f t="shared" ref="W197:W260" si="73">E197/$S$4</f>
        <v>1.0312114906958941E-2</v>
      </c>
      <c r="X197">
        <f t="shared" ref="X197:X260" si="74">F197/$S$4</f>
        <v>1.7080612145890173E-2</v>
      </c>
      <c r="Y197">
        <f t="shared" ref="Y197:Y260" si="75">G197/$S$4</f>
        <v>4.6873249577086097E-4</v>
      </c>
      <c r="Z197">
        <f t="shared" ref="Z197:Z260" si="76">H197/$S$4</f>
        <v>2.7186484754709935E-3</v>
      </c>
      <c r="AA197">
        <f t="shared" ref="AA197:AA260" si="77">I197/$S$4</f>
        <v>0.2301425931125384</v>
      </c>
      <c r="AB197">
        <f t="shared" ref="AB197:AB260" si="78">J197/$S$4</f>
        <v>0.11215428048858798</v>
      </c>
      <c r="AC197">
        <f t="shared" ref="AC197:AC260" si="79">K197/$S$4</f>
        <v>0.13138009377462309</v>
      </c>
      <c r="AD197">
        <f t="shared" ref="AD197:AD260" si="80">L197/$S$4</f>
        <v>3.9032292387831129E-3</v>
      </c>
      <c r="AE197">
        <f t="shared" ref="AE197:AE260" si="81">M197/$S$4</f>
        <v>1.9131035575390226E-2</v>
      </c>
      <c r="AG197">
        <f t="shared" ref="AG197:AG260" si="82">(P197-AVERAGE(P197:P561)) / _xlfn.STDEV.S(P197:P2024)</f>
        <v>1.9407580011762342E-2</v>
      </c>
      <c r="AH197">
        <f t="shared" ref="AH197:AH260" si="83">SUM(T197:Y197,Z197,AE197)</f>
        <v>0.13286428834923192</v>
      </c>
      <c r="AI197">
        <f t="shared" ref="AI197:AI260" si="84">(AH197-AVERAGE(AH197:AH561))/_xlfn.STDEV.S(AH197:AH561)</f>
        <v>-1.0412879129090715</v>
      </c>
      <c r="AK197" s="26">
        <f t="shared" ref="AK197:AK260" si="85">AVERAGEA(AH197:AH217)-AVERAGE(AH563:AH583, AH928:AH948, AH1293:AH1313)</f>
        <v>6.1004598347625741E-2</v>
      </c>
      <c r="AL197" s="26">
        <f t="shared" ref="AL197:AL260" si="86">AVERAGEA(AH197:AH252)-AVERAGE(AH563:AH618, AH928:AH982, AH1293:AH1347)</f>
        <v>5.4080137474771472E-2</v>
      </c>
      <c r="AM197" s="26">
        <f t="shared" ref="AM197:AM260" si="87">AVERAGEA(AH197:AH309)-AVERAGE(AH563:AH675,AH928:AH1039,AH1293:AH1404)</f>
        <v>5.0623785273316568E-2</v>
      </c>
      <c r="AN197" s="26">
        <f t="shared" ref="AN197:AN260" si="88">AVERAGEA(P197:P217)-AVERAGE(P563:P583, P928:P948, P1293:P1313)</f>
        <v>15.260317460317452</v>
      </c>
      <c r="AO197" s="26">
        <f t="shared" ref="AO197:AO260" si="89">AVERAGEA(P197:P252)-AVERAGE(P563:P618, P928:P982, P1293:P1347)</f>
        <v>13.747467728055113</v>
      </c>
      <c r="AP197" s="26">
        <f t="shared" ref="AP197:AP260" si="90">AVERAGEA(P197:P309)-AVERAGE(P563:P675,P928:P1039,P1293:P1404)</f>
        <v>12.004426354349931</v>
      </c>
      <c r="AS197" s="2">
        <v>45283</v>
      </c>
      <c r="AT197">
        <v>18.600000000000001</v>
      </c>
      <c r="AU197">
        <v>0.8</v>
      </c>
      <c r="AV197">
        <v>62.3</v>
      </c>
      <c r="AW197">
        <v>19.3</v>
      </c>
      <c r="AX197">
        <v>12.53</v>
      </c>
      <c r="AY197">
        <v>0.5</v>
      </c>
      <c r="AZ197">
        <v>2.9</v>
      </c>
      <c r="BA197">
        <v>94.017300000000006</v>
      </c>
      <c r="BB197">
        <v>36.113599999999998</v>
      </c>
      <c r="BC197">
        <v>39.988199999999999</v>
      </c>
      <c r="BD197">
        <v>3.87</v>
      </c>
      <c r="BE197">
        <v>37.926200000000001</v>
      </c>
      <c r="BH197">
        <v>87.1</v>
      </c>
    </row>
    <row r="198" spans="1:60" x14ac:dyDescent="0.25">
      <c r="A198" s="2">
        <v>45303</v>
      </c>
      <c r="B198">
        <v>18.100000000000001</v>
      </c>
      <c r="C198">
        <v>61.1</v>
      </c>
      <c r="D198">
        <v>56</v>
      </c>
      <c r="E198">
        <v>3</v>
      </c>
      <c r="F198">
        <v>26.07</v>
      </c>
      <c r="G198">
        <v>0.5</v>
      </c>
      <c r="H198">
        <v>2.8</v>
      </c>
      <c r="I198">
        <v>345.31139999999999</v>
      </c>
      <c r="J198">
        <v>215.49100000000001</v>
      </c>
      <c r="K198">
        <v>227.76339999999999</v>
      </c>
      <c r="L198">
        <v>4.7656000000000001</v>
      </c>
      <c r="M198">
        <v>38.241599999999998</v>
      </c>
      <c r="N198">
        <v>-10.103199999999999</v>
      </c>
      <c r="O198">
        <v>-14.4604</v>
      </c>
      <c r="P198">
        <v>80.180000000000007</v>
      </c>
      <c r="S198">
        <f t="shared" si="69"/>
        <v>999.14299999999992</v>
      </c>
      <c r="T198">
        <f t="shared" si="70"/>
        <v>1.696811634690517E-2</v>
      </c>
      <c r="U198">
        <f t="shared" si="71"/>
        <v>5.7279110983199211E-2</v>
      </c>
      <c r="V198">
        <f t="shared" si="72"/>
        <v>5.2498039526336429E-2</v>
      </c>
      <c r="W198">
        <f t="shared" si="73"/>
        <v>2.8123949746251659E-3</v>
      </c>
      <c r="X198">
        <f t="shared" si="74"/>
        <v>2.4439712329492689E-2</v>
      </c>
      <c r="Y198">
        <f t="shared" si="75"/>
        <v>4.6873249577086097E-4</v>
      </c>
      <c r="Z198">
        <f t="shared" si="76"/>
        <v>2.624901976316821E-3</v>
      </c>
      <c r="AA198">
        <f t="shared" si="77"/>
        <v>0.32371734868026014</v>
      </c>
      <c r="AB198">
        <f t="shared" si="78"/>
        <v>0.20201526849231721</v>
      </c>
      <c r="AC198">
        <f t="shared" si="79"/>
        <v>0.21352021385451381</v>
      </c>
      <c r="AD198">
        <f t="shared" si="80"/>
        <v>4.4675831636912296E-3</v>
      </c>
      <c r="AE198">
        <f t="shared" si="81"/>
        <v>3.585016122054191E-2</v>
      </c>
      <c r="AG198">
        <f t="shared" si="82"/>
        <v>4.7410925610310545E-2</v>
      </c>
      <c r="AH198">
        <f t="shared" si="83"/>
        <v>0.19294116985318827</v>
      </c>
      <c r="AI198">
        <f t="shared" si="84"/>
        <v>-0.63158124372416302</v>
      </c>
      <c r="AK198" s="26">
        <f t="shared" si="85"/>
        <v>5.9823809109390502E-2</v>
      </c>
      <c r="AL198" s="26">
        <f t="shared" si="86"/>
        <v>5.2692933012052176E-2</v>
      </c>
      <c r="AM198" s="26">
        <f t="shared" si="87"/>
        <v>4.9929373539489674E-2</v>
      </c>
      <c r="AN198" s="26">
        <f t="shared" si="88"/>
        <v>15.318730158730133</v>
      </c>
      <c r="AO198" s="26">
        <f t="shared" si="89"/>
        <v>13.710524956970787</v>
      </c>
      <c r="AP198" s="26">
        <f t="shared" si="90"/>
        <v>11.970173577374567</v>
      </c>
      <c r="AS198" s="2">
        <v>45282</v>
      </c>
      <c r="AT198">
        <v>19.3</v>
      </c>
      <c r="AU198">
        <v>1.2</v>
      </c>
      <c r="AV198">
        <v>84.1</v>
      </c>
      <c r="AW198">
        <v>30.9</v>
      </c>
      <c r="AX198">
        <v>19.87</v>
      </c>
      <c r="AY198">
        <v>0.5</v>
      </c>
      <c r="AZ198">
        <v>3.2</v>
      </c>
      <c r="BA198">
        <v>91.697100000000006</v>
      </c>
      <c r="BB198">
        <v>34.863</v>
      </c>
      <c r="BC198">
        <v>36.922800000000002</v>
      </c>
      <c r="BD198">
        <v>3.8632</v>
      </c>
      <c r="BE198">
        <v>30.3291</v>
      </c>
      <c r="BF198">
        <v>-10.0259</v>
      </c>
      <c r="BG198">
        <v>-15.8238</v>
      </c>
      <c r="BH198">
        <v>87.21</v>
      </c>
    </row>
    <row r="199" spans="1:60" x14ac:dyDescent="0.25">
      <c r="A199" s="2">
        <v>45302</v>
      </c>
      <c r="B199">
        <v>18.5</v>
      </c>
      <c r="C199">
        <v>14.7</v>
      </c>
      <c r="D199">
        <v>22.2</v>
      </c>
      <c r="E199">
        <v>2.4</v>
      </c>
      <c r="F199">
        <v>73.84</v>
      </c>
      <c r="G199">
        <v>0.5</v>
      </c>
      <c r="H199">
        <v>2.9</v>
      </c>
      <c r="I199">
        <v>362.72219999999999</v>
      </c>
      <c r="J199">
        <v>220.20009999999999</v>
      </c>
      <c r="K199">
        <v>248.57859999999999</v>
      </c>
      <c r="L199">
        <v>4.8315999999999999</v>
      </c>
      <c r="M199">
        <v>31.384</v>
      </c>
      <c r="N199">
        <v>-8.5344999999999995</v>
      </c>
      <c r="O199">
        <v>-15.4901</v>
      </c>
      <c r="P199">
        <v>80.930000000000007</v>
      </c>
      <c r="S199">
        <f t="shared" si="69"/>
        <v>1002.7565</v>
      </c>
      <c r="T199">
        <f t="shared" si="70"/>
        <v>1.7343102343521856E-2</v>
      </c>
      <c r="U199">
        <f t="shared" si="71"/>
        <v>1.3780735375663312E-2</v>
      </c>
      <c r="V199">
        <f t="shared" si="72"/>
        <v>2.0811722812226225E-2</v>
      </c>
      <c r="W199">
        <f t="shared" si="73"/>
        <v>2.2499159797001326E-3</v>
      </c>
      <c r="X199">
        <f t="shared" si="74"/>
        <v>6.9222414975440752E-2</v>
      </c>
      <c r="Y199">
        <f t="shared" si="75"/>
        <v>4.6873249577086097E-4</v>
      </c>
      <c r="Z199">
        <f t="shared" si="76"/>
        <v>2.7186484754709935E-3</v>
      </c>
      <c r="AA199">
        <f t="shared" si="77"/>
        <v>0.34003936415499475</v>
      </c>
      <c r="AB199">
        <f t="shared" si="78"/>
        <v>0.20642988488398631</v>
      </c>
      <c r="AC199">
        <f t="shared" si="79"/>
        <v>0.23303373514645306</v>
      </c>
      <c r="AD199">
        <f t="shared" si="80"/>
        <v>4.5294558531329835E-3</v>
      </c>
      <c r="AE199">
        <f t="shared" si="81"/>
        <v>2.9421401294545402E-2</v>
      </c>
      <c r="AG199">
        <f t="shared" si="82"/>
        <v>8.2522156718822112E-2</v>
      </c>
      <c r="AH199">
        <f t="shared" si="83"/>
        <v>0.15601667375233952</v>
      </c>
      <c r="AI199">
        <f t="shared" si="84"/>
        <v>-0.87402446433866843</v>
      </c>
      <c r="AK199" s="26">
        <f t="shared" si="85"/>
        <v>5.8180941888784754E-2</v>
      </c>
      <c r="AL199" s="26">
        <f t="shared" si="86"/>
        <v>5.0939359404983911E-2</v>
      </c>
      <c r="AM199" s="26">
        <f t="shared" si="87"/>
        <v>5.1982252865827971E-2</v>
      </c>
      <c r="AN199" s="26">
        <f t="shared" si="88"/>
        <v>15.345079365079343</v>
      </c>
      <c r="AO199" s="26">
        <f t="shared" si="89"/>
        <v>13.665443201376945</v>
      </c>
      <c r="AP199" s="26">
        <f t="shared" si="90"/>
        <v>11.932902234710212</v>
      </c>
      <c r="AS199" s="2">
        <v>45281</v>
      </c>
      <c r="AT199">
        <v>17.899999999999999</v>
      </c>
      <c r="AU199">
        <v>0.5</v>
      </c>
      <c r="AV199">
        <v>70.900000000000006</v>
      </c>
      <c r="AW199">
        <v>32.4</v>
      </c>
      <c r="AX199">
        <v>11.2</v>
      </c>
      <c r="AY199">
        <v>0.4</v>
      </c>
      <c r="AZ199">
        <v>3.4</v>
      </c>
      <c r="BA199">
        <v>92.671199999999999</v>
      </c>
      <c r="BB199">
        <v>52.622100000000003</v>
      </c>
      <c r="BC199">
        <v>38.4895</v>
      </c>
      <c r="BD199">
        <v>4.1698000000000004</v>
      </c>
      <c r="BE199">
        <v>25.333300000000001</v>
      </c>
      <c r="BF199">
        <v>-11.3588</v>
      </c>
      <c r="BG199">
        <v>-17.2105</v>
      </c>
      <c r="BH199">
        <v>87.39</v>
      </c>
    </row>
    <row r="200" spans="1:60" x14ac:dyDescent="0.25">
      <c r="A200" s="2">
        <v>45301</v>
      </c>
      <c r="B200">
        <v>18.8</v>
      </c>
      <c r="C200">
        <v>97.3</v>
      </c>
      <c r="D200">
        <v>13.1</v>
      </c>
      <c r="E200">
        <v>3</v>
      </c>
      <c r="F200">
        <v>79.680000000000007</v>
      </c>
      <c r="G200">
        <v>0.4</v>
      </c>
      <c r="H200">
        <v>3</v>
      </c>
      <c r="I200">
        <v>348.71629999999999</v>
      </c>
      <c r="J200">
        <v>213.17259999999999</v>
      </c>
      <c r="K200">
        <v>245.00960000000001</v>
      </c>
      <c r="L200">
        <v>5.1574999999999998</v>
      </c>
      <c r="M200">
        <v>38.631100000000004</v>
      </c>
      <c r="N200">
        <v>-7.6795999999999998</v>
      </c>
      <c r="O200">
        <v>-16.2653</v>
      </c>
      <c r="P200">
        <v>81.77</v>
      </c>
      <c r="S200">
        <f t="shared" si="69"/>
        <v>1065.9671000000001</v>
      </c>
      <c r="T200">
        <f t="shared" si="70"/>
        <v>1.7624341840984374E-2</v>
      </c>
      <c r="U200">
        <f t="shared" si="71"/>
        <v>9.1215343677009536E-2</v>
      </c>
      <c r="V200">
        <f t="shared" si="72"/>
        <v>1.2280791389196556E-2</v>
      </c>
      <c r="W200">
        <f t="shared" si="73"/>
        <v>2.8123949746251659E-3</v>
      </c>
      <c r="X200">
        <f t="shared" si="74"/>
        <v>7.4697210526044402E-2</v>
      </c>
      <c r="Y200">
        <f t="shared" si="75"/>
        <v>3.7498599661668879E-4</v>
      </c>
      <c r="Z200">
        <f t="shared" si="76"/>
        <v>2.8123949746251659E-3</v>
      </c>
      <c r="AA200">
        <f t="shared" si="77"/>
        <v>0.32690932322996052</v>
      </c>
      <c r="AB200">
        <f t="shared" si="78"/>
        <v>0.19984184965592686</v>
      </c>
      <c r="AC200">
        <f t="shared" si="79"/>
        <v>0.22968792259164067</v>
      </c>
      <c r="AD200">
        <f t="shared" si="80"/>
        <v>4.8349756938764303E-3</v>
      </c>
      <c r="AE200">
        <f t="shared" si="81"/>
        <v>3.6215303834747414E-2</v>
      </c>
      <c r="AG200">
        <f t="shared" si="82"/>
        <v>0.12193259308827342</v>
      </c>
      <c r="AH200">
        <f t="shared" si="83"/>
        <v>0.23803276721384931</v>
      </c>
      <c r="AI200">
        <f t="shared" si="84"/>
        <v>-0.31930330486060166</v>
      </c>
      <c r="AK200" s="26">
        <f t="shared" si="85"/>
        <v>5.5834045899729387E-2</v>
      </c>
      <c r="AL200" s="26">
        <f t="shared" si="86"/>
        <v>4.9947265859673462E-2</v>
      </c>
      <c r="AM200" s="26">
        <f t="shared" si="87"/>
        <v>5.2110768614872904E-2</v>
      </c>
      <c r="AN200" s="26">
        <f t="shared" si="88"/>
        <v>15.353650793650758</v>
      </c>
      <c r="AO200" s="26">
        <f t="shared" si="89"/>
        <v>13.617898020654081</v>
      </c>
      <c r="AP200" s="26">
        <f t="shared" si="90"/>
        <v>11.895170557495859</v>
      </c>
      <c r="AS200" s="2">
        <v>45280</v>
      </c>
      <c r="AT200">
        <v>18.100000000000001</v>
      </c>
      <c r="AU200">
        <v>0.7</v>
      </c>
      <c r="AV200">
        <v>67.7</v>
      </c>
      <c r="AW200">
        <v>26.3</v>
      </c>
      <c r="AX200">
        <v>28.28</v>
      </c>
      <c r="AY200">
        <v>0.1</v>
      </c>
      <c r="AZ200">
        <v>3.3</v>
      </c>
      <c r="BA200">
        <v>134.40110000000001</v>
      </c>
      <c r="BB200">
        <v>68.977000000000004</v>
      </c>
      <c r="BC200">
        <v>92.866500000000002</v>
      </c>
      <c r="BD200">
        <v>4.4649999999999999</v>
      </c>
      <c r="BE200">
        <v>26.930099999999999</v>
      </c>
      <c r="BF200">
        <v>-14.384</v>
      </c>
      <c r="BG200">
        <v>-20.268000000000001</v>
      </c>
      <c r="BH200">
        <v>87.61</v>
      </c>
    </row>
    <row r="201" spans="1:60" x14ac:dyDescent="0.25">
      <c r="A201" s="2">
        <v>45300</v>
      </c>
      <c r="B201">
        <v>18.5</v>
      </c>
      <c r="C201">
        <v>2.6</v>
      </c>
      <c r="D201">
        <v>16.100000000000001</v>
      </c>
      <c r="E201">
        <v>4.7</v>
      </c>
      <c r="F201">
        <v>85.52</v>
      </c>
      <c r="G201">
        <v>0.5</v>
      </c>
      <c r="H201">
        <v>3</v>
      </c>
      <c r="I201">
        <v>320.44880000000001</v>
      </c>
      <c r="J201">
        <v>183.0797</v>
      </c>
      <c r="K201">
        <v>196.8409</v>
      </c>
      <c r="L201">
        <v>5.2881999999999998</v>
      </c>
      <c r="M201">
        <v>37.407499999999999</v>
      </c>
      <c r="N201">
        <v>-6.6300999999999997</v>
      </c>
      <c r="O201">
        <v>-17.8613</v>
      </c>
      <c r="P201">
        <v>82.64</v>
      </c>
      <c r="S201">
        <f t="shared" si="69"/>
        <v>873.98509999999999</v>
      </c>
      <c r="T201">
        <f t="shared" si="70"/>
        <v>1.7343102343521856E-2</v>
      </c>
      <c r="U201">
        <f t="shared" si="71"/>
        <v>2.437408978008477E-3</v>
      </c>
      <c r="V201">
        <f t="shared" si="72"/>
        <v>1.5093186363821724E-2</v>
      </c>
      <c r="W201">
        <f t="shared" si="73"/>
        <v>4.4060854602460935E-3</v>
      </c>
      <c r="X201">
        <f t="shared" si="74"/>
        <v>8.0172006076648053E-2</v>
      </c>
      <c r="Y201">
        <f t="shared" si="75"/>
        <v>4.6873249577086097E-4</v>
      </c>
      <c r="Z201">
        <f t="shared" si="76"/>
        <v>2.8123949746251659E-3</v>
      </c>
      <c r="AA201">
        <f t="shared" si="77"/>
        <v>0.30040953158155492</v>
      </c>
      <c r="AB201">
        <f t="shared" si="78"/>
        <v>0.17163080941196099</v>
      </c>
      <c r="AC201">
        <f t="shared" si="79"/>
        <v>0.18453145265356494</v>
      </c>
      <c r="AD201">
        <f t="shared" si="80"/>
        <v>4.9575023682709336E-3</v>
      </c>
      <c r="AE201">
        <f t="shared" si="81"/>
        <v>3.5068221671096959E-2</v>
      </c>
      <c r="AG201">
        <f t="shared" si="82"/>
        <v>0.16281479053703679</v>
      </c>
      <c r="AH201">
        <f t="shared" si="83"/>
        <v>0.15780113836373919</v>
      </c>
      <c r="AI201">
        <f t="shared" si="84"/>
        <v>-0.8495102749790131</v>
      </c>
      <c r="AK201" s="26">
        <f t="shared" si="85"/>
        <v>4.937653853536525E-2</v>
      </c>
      <c r="AL201" s="26">
        <f t="shared" si="86"/>
        <v>4.6852374200239591E-2</v>
      </c>
      <c r="AM201" s="26">
        <f t="shared" si="87"/>
        <v>5.1379681650921549E-2</v>
      </c>
      <c r="AN201" s="26">
        <f t="shared" si="88"/>
        <v>15.340793650793628</v>
      </c>
      <c r="AO201" s="26">
        <f t="shared" si="89"/>
        <v>13.56465791738384</v>
      </c>
      <c r="AP201" s="26">
        <f t="shared" si="90"/>
        <v>11.856417898689614</v>
      </c>
      <c r="AS201" s="2">
        <v>45279</v>
      </c>
      <c r="AT201">
        <v>18</v>
      </c>
      <c r="AU201">
        <v>0.6</v>
      </c>
      <c r="AV201">
        <v>61.2</v>
      </c>
      <c r="AW201">
        <v>19.7</v>
      </c>
      <c r="AX201">
        <v>43.46</v>
      </c>
      <c r="AY201">
        <v>0.3</v>
      </c>
      <c r="AZ201">
        <v>3.1</v>
      </c>
      <c r="BA201">
        <v>207.4545</v>
      </c>
      <c r="BB201">
        <v>77.587699999999998</v>
      </c>
      <c r="BC201">
        <v>101.49169999999999</v>
      </c>
      <c r="BD201">
        <v>3.1583000000000001</v>
      </c>
      <c r="BE201">
        <v>29.630199999999999</v>
      </c>
      <c r="BF201">
        <v>-15.4819</v>
      </c>
      <c r="BG201">
        <v>-21.4878</v>
      </c>
      <c r="BH201">
        <v>87.93</v>
      </c>
    </row>
    <row r="202" spans="1:60" x14ac:dyDescent="0.25">
      <c r="A202" s="2">
        <v>45299</v>
      </c>
      <c r="B202">
        <v>18.600000000000001</v>
      </c>
      <c r="C202">
        <v>20.6</v>
      </c>
      <c r="D202">
        <v>76.599999999999994</v>
      </c>
      <c r="E202">
        <v>7.7</v>
      </c>
      <c r="F202">
        <v>45.97</v>
      </c>
      <c r="G202">
        <v>0.5</v>
      </c>
      <c r="H202">
        <v>2.8</v>
      </c>
      <c r="I202">
        <v>278.70229999999998</v>
      </c>
      <c r="J202">
        <v>115.4671</v>
      </c>
      <c r="K202">
        <v>166.11539999999999</v>
      </c>
      <c r="L202">
        <v>2.8990999999999998</v>
      </c>
      <c r="M202">
        <v>22.6496</v>
      </c>
      <c r="N202">
        <v>-5.8224</v>
      </c>
      <c r="O202">
        <v>-15.835699999999999</v>
      </c>
      <c r="P202">
        <v>83.48</v>
      </c>
      <c r="S202">
        <f t="shared" si="69"/>
        <v>758.60349999999994</v>
      </c>
      <c r="T202">
        <f t="shared" si="70"/>
        <v>1.7436848842676027E-2</v>
      </c>
      <c r="U202">
        <f t="shared" si="71"/>
        <v>1.9311778825759473E-2</v>
      </c>
      <c r="V202">
        <f t="shared" si="72"/>
        <v>7.1809818352095892E-2</v>
      </c>
      <c r="W202">
        <f t="shared" si="73"/>
        <v>7.218480434871259E-3</v>
      </c>
      <c r="X202">
        <f t="shared" si="74"/>
        <v>4.3095265661172957E-2</v>
      </c>
      <c r="Y202">
        <f t="shared" si="75"/>
        <v>4.6873249577086097E-4</v>
      </c>
      <c r="Z202">
        <f t="shared" si="76"/>
        <v>2.624901976316821E-3</v>
      </c>
      <c r="AA202">
        <f t="shared" si="77"/>
        <v>0.26127364931215841</v>
      </c>
      <c r="AB202">
        <f t="shared" si="78"/>
        <v>0.10824636392484716</v>
      </c>
      <c r="AC202">
        <f t="shared" si="79"/>
        <v>0.15572737205594975</v>
      </c>
      <c r="AD202">
        <f t="shared" si="80"/>
        <v>2.717804756978606E-3</v>
      </c>
      <c r="AE202">
        <f t="shared" si="81"/>
        <v>2.1233207072423384E-2</v>
      </c>
      <c r="AG202">
        <f t="shared" si="82"/>
        <v>0.20234930388510872</v>
      </c>
      <c r="AH202">
        <f t="shared" si="83"/>
        <v>0.18319903366108667</v>
      </c>
      <c r="AI202">
        <f t="shared" si="84"/>
        <v>-0.67657189052811362</v>
      </c>
      <c r="AK202" s="26">
        <f t="shared" si="85"/>
        <v>4.7603060120842644E-2</v>
      </c>
      <c r="AL202" s="26">
        <f t="shared" si="86"/>
        <v>4.6427803102594895E-2</v>
      </c>
      <c r="AM202" s="26">
        <f t="shared" si="87"/>
        <v>5.1233131400330895E-2</v>
      </c>
      <c r="AN202" s="26">
        <f t="shared" si="88"/>
        <v>15.308095238095234</v>
      </c>
      <c r="AO202" s="26">
        <f t="shared" si="89"/>
        <v>13.503341222030969</v>
      </c>
      <c r="AP202" s="26">
        <f t="shared" si="90"/>
        <v>11.815994590478198</v>
      </c>
      <c r="AS202" s="2">
        <v>45278</v>
      </c>
      <c r="AT202">
        <v>17</v>
      </c>
      <c r="AU202">
        <v>1.3</v>
      </c>
      <c r="AV202">
        <v>68.8</v>
      </c>
      <c r="AW202">
        <v>19.5</v>
      </c>
      <c r="AX202">
        <v>66.25</v>
      </c>
      <c r="AY202">
        <v>0.5</v>
      </c>
      <c r="AZ202">
        <v>2.8</v>
      </c>
      <c r="BA202">
        <v>169.88720000000001</v>
      </c>
      <c r="BB202">
        <v>102.31780000000001</v>
      </c>
      <c r="BC202">
        <v>107.2495</v>
      </c>
      <c r="BD202">
        <v>4.5993000000000004</v>
      </c>
      <c r="BE202">
        <v>31.322900000000001</v>
      </c>
      <c r="BF202">
        <v>-15.4588</v>
      </c>
      <c r="BG202">
        <v>-16.1526</v>
      </c>
      <c r="BH202">
        <v>88.31</v>
      </c>
    </row>
    <row r="203" spans="1:60" x14ac:dyDescent="0.25">
      <c r="A203" s="2">
        <v>45298</v>
      </c>
      <c r="B203">
        <v>19</v>
      </c>
      <c r="C203">
        <v>9</v>
      </c>
      <c r="D203">
        <v>63.7</v>
      </c>
      <c r="E203">
        <v>5.4</v>
      </c>
      <c r="F203">
        <v>19.239999999999998</v>
      </c>
      <c r="G203">
        <v>0.5</v>
      </c>
      <c r="H203">
        <v>2.9</v>
      </c>
      <c r="I203">
        <v>253.80670000000001</v>
      </c>
      <c r="J203">
        <v>61.842500000000001</v>
      </c>
      <c r="K203">
        <v>123.0652</v>
      </c>
      <c r="L203">
        <v>3.1396000000000002</v>
      </c>
      <c r="M203">
        <v>15.438700000000001</v>
      </c>
      <c r="P203">
        <v>84.27</v>
      </c>
      <c r="S203">
        <f t="shared" si="69"/>
        <v>577.03269999999998</v>
      </c>
      <c r="T203">
        <f t="shared" si="70"/>
        <v>1.7811834839292717E-2</v>
      </c>
      <c r="U203">
        <f t="shared" si="71"/>
        <v>8.4371849238754973E-3</v>
      </c>
      <c r="V203">
        <f t="shared" si="72"/>
        <v>5.9716519961207686E-2</v>
      </c>
      <c r="W203">
        <f t="shared" si="73"/>
        <v>5.0623109543252989E-3</v>
      </c>
      <c r="X203">
        <f t="shared" si="74"/>
        <v>1.8036826437262728E-2</v>
      </c>
      <c r="Y203">
        <f t="shared" si="75"/>
        <v>4.6873249577086097E-4</v>
      </c>
      <c r="Z203">
        <f t="shared" si="76"/>
        <v>2.7186484754709935E-3</v>
      </c>
      <c r="AA203">
        <f t="shared" si="77"/>
        <v>0.23793489586873234</v>
      </c>
      <c r="AB203">
        <f t="shared" si="78"/>
        <v>5.7975178739418938E-2</v>
      </c>
      <c r="AC203">
        <f t="shared" si="79"/>
        <v>0.11536931667708032</v>
      </c>
      <c r="AD203">
        <f t="shared" si="80"/>
        <v>2.9432650874443903E-3</v>
      </c>
      <c r="AE203">
        <f t="shared" si="81"/>
        <v>1.4473240764915183E-2</v>
      </c>
      <c r="AG203">
        <f t="shared" si="82"/>
        <v>0.23959491194753982</v>
      </c>
      <c r="AH203">
        <f t="shared" si="83"/>
        <v>0.12672529885212097</v>
      </c>
      <c r="AI203">
        <f t="shared" si="84"/>
        <v>-1.0457936599443431</v>
      </c>
      <c r="AK203" s="26">
        <f t="shared" si="85"/>
        <v>4.8142536998562552E-2</v>
      </c>
      <c r="AL203" s="26">
        <f t="shared" si="86"/>
        <v>4.5740727951069649E-2</v>
      </c>
      <c r="AM203" s="26">
        <f t="shared" si="87"/>
        <v>5.1628553385386411E-2</v>
      </c>
      <c r="AN203" s="26">
        <f t="shared" si="88"/>
        <v>15.259999999999991</v>
      </c>
      <c r="AO203" s="26">
        <f t="shared" si="89"/>
        <v>13.436417814113597</v>
      </c>
      <c r="AP203" s="26">
        <f t="shared" si="90"/>
        <v>11.774284813949222</v>
      </c>
      <c r="AS203" s="2">
        <v>45277</v>
      </c>
      <c r="AT203">
        <v>17.399999999999999</v>
      </c>
      <c r="AU203">
        <v>0</v>
      </c>
      <c r="AV203">
        <v>55.7</v>
      </c>
      <c r="AW203">
        <v>23.3</v>
      </c>
      <c r="AX203">
        <v>60.59</v>
      </c>
      <c r="AY203">
        <v>0.5</v>
      </c>
      <c r="AZ203">
        <v>3.2</v>
      </c>
      <c r="BA203">
        <v>152.6293</v>
      </c>
      <c r="BB203">
        <v>89.164199999999994</v>
      </c>
      <c r="BC203">
        <v>67.935299999999998</v>
      </c>
      <c r="BD203">
        <v>4.1208</v>
      </c>
      <c r="BE203">
        <v>18.031600000000001</v>
      </c>
      <c r="BH203">
        <v>88.67</v>
      </c>
    </row>
    <row r="204" spans="1:60" x14ac:dyDescent="0.25">
      <c r="A204" s="2">
        <v>45297</v>
      </c>
      <c r="B204">
        <v>18.2</v>
      </c>
      <c r="C204">
        <v>46.4</v>
      </c>
      <c r="D204">
        <v>93.2</v>
      </c>
      <c r="E204">
        <v>5.8</v>
      </c>
      <c r="F204">
        <v>14.7</v>
      </c>
      <c r="G204">
        <v>0.5</v>
      </c>
      <c r="H204">
        <v>2.6</v>
      </c>
      <c r="I204">
        <v>266.22809999999998</v>
      </c>
      <c r="J204">
        <v>53.272599999999997</v>
      </c>
      <c r="K204">
        <v>115.8503</v>
      </c>
      <c r="L204">
        <v>3.1238000000000001</v>
      </c>
      <c r="M204">
        <v>16.806000000000001</v>
      </c>
      <c r="P204">
        <v>84.62</v>
      </c>
      <c r="S204">
        <f t="shared" si="69"/>
        <v>636.68079999999998</v>
      </c>
      <c r="T204">
        <f t="shared" si="70"/>
        <v>1.7061862846059338E-2</v>
      </c>
      <c r="U204">
        <f t="shared" si="71"/>
        <v>4.3498375607535895E-2</v>
      </c>
      <c r="V204">
        <f t="shared" si="72"/>
        <v>8.7371737211688491E-2</v>
      </c>
      <c r="W204">
        <f t="shared" si="73"/>
        <v>5.4372969509419869E-3</v>
      </c>
      <c r="X204">
        <f t="shared" si="74"/>
        <v>1.3780735375663312E-2</v>
      </c>
      <c r="Y204">
        <f t="shared" si="75"/>
        <v>4.6873249577086097E-4</v>
      </c>
      <c r="Z204">
        <f t="shared" si="76"/>
        <v>2.437408978008477E-3</v>
      </c>
      <c r="AA204">
        <f t="shared" si="77"/>
        <v>0.24957952351466867</v>
      </c>
      <c r="AB204">
        <f t="shared" si="78"/>
        <v>4.9941197508405533E-2</v>
      </c>
      <c r="AC204">
        <f t="shared" si="79"/>
        <v>0.10860560050960595</v>
      </c>
      <c r="AD204">
        <f t="shared" si="80"/>
        <v>2.9284531405780311E-3</v>
      </c>
      <c r="AE204">
        <f t="shared" si="81"/>
        <v>1.575503664785018E-2</v>
      </c>
      <c r="AG204">
        <f t="shared" si="82"/>
        <v>0.25619201562462107</v>
      </c>
      <c r="AH204">
        <f t="shared" si="83"/>
        <v>0.18581118611351857</v>
      </c>
      <c r="AI204">
        <f t="shared" si="84"/>
        <v>-0.65113446048487933</v>
      </c>
      <c r="AK204" s="26">
        <f t="shared" si="85"/>
        <v>5.1037190806096353E-2</v>
      </c>
      <c r="AL204" s="26">
        <f t="shared" si="86"/>
        <v>4.5701690864056704E-2</v>
      </c>
      <c r="AM204" s="26">
        <f t="shared" si="87"/>
        <v>5.2297574327589552E-2</v>
      </c>
      <c r="AN204" s="26">
        <f t="shared" si="88"/>
        <v>15.193333333333328</v>
      </c>
      <c r="AO204" s="26">
        <f t="shared" si="89"/>
        <v>13.36386402753871</v>
      </c>
      <c r="AP204" s="26">
        <f t="shared" si="90"/>
        <v>11.730071951892029</v>
      </c>
      <c r="AS204" s="2">
        <v>45276</v>
      </c>
      <c r="AT204">
        <v>18</v>
      </c>
      <c r="AU204">
        <v>0</v>
      </c>
      <c r="AV204">
        <v>75.599999999999994</v>
      </c>
      <c r="AW204">
        <v>20.9</v>
      </c>
      <c r="AX204">
        <v>44.01</v>
      </c>
      <c r="AY204">
        <v>0.5</v>
      </c>
      <c r="AZ204">
        <v>3.3</v>
      </c>
      <c r="BA204">
        <v>179.494</v>
      </c>
      <c r="BB204">
        <v>68.810500000000005</v>
      </c>
      <c r="BC204">
        <v>77.327500000000001</v>
      </c>
      <c r="BD204">
        <v>4.1273</v>
      </c>
      <c r="BE204">
        <v>21.7499</v>
      </c>
      <c r="BH204">
        <v>88.85</v>
      </c>
    </row>
    <row r="205" spans="1:60" x14ac:dyDescent="0.25">
      <c r="A205" s="2">
        <v>45296</v>
      </c>
      <c r="B205">
        <v>17.5</v>
      </c>
      <c r="C205">
        <v>40</v>
      </c>
      <c r="D205">
        <v>81.900000000000006</v>
      </c>
      <c r="E205">
        <v>8.6999999999999993</v>
      </c>
      <c r="F205">
        <v>29.23</v>
      </c>
      <c r="G205">
        <v>0.5</v>
      </c>
      <c r="H205">
        <v>2.2999999999999998</v>
      </c>
      <c r="I205">
        <v>258.86489999999998</v>
      </c>
      <c r="J205">
        <v>61.994199999999999</v>
      </c>
      <c r="K205">
        <v>125.7697</v>
      </c>
      <c r="L205">
        <v>3.1478999999999999</v>
      </c>
      <c r="M205">
        <v>19.184799999999999</v>
      </c>
      <c r="N205">
        <v>-3.7044999999999999</v>
      </c>
      <c r="O205">
        <v>-10.573399999999999</v>
      </c>
      <c r="P205">
        <v>85.1</v>
      </c>
      <c r="S205">
        <f t="shared" si="69"/>
        <v>649.0915</v>
      </c>
      <c r="T205">
        <f t="shared" si="70"/>
        <v>1.6405637351980133E-2</v>
      </c>
      <c r="U205">
        <f t="shared" si="71"/>
        <v>3.7498599661668873E-2</v>
      </c>
      <c r="V205">
        <f t="shared" si="72"/>
        <v>7.6778382807267023E-2</v>
      </c>
      <c r="W205">
        <f t="shared" si="73"/>
        <v>8.1559454264129791E-3</v>
      </c>
      <c r="X205">
        <f t="shared" si="74"/>
        <v>2.7402101702764532E-2</v>
      </c>
      <c r="Y205">
        <f t="shared" si="75"/>
        <v>4.6873249577086097E-4</v>
      </c>
      <c r="Z205">
        <f t="shared" si="76"/>
        <v>2.1561694805459601E-3</v>
      </c>
      <c r="AA205">
        <f t="shared" si="77"/>
        <v>0.24267678128894868</v>
      </c>
      <c r="AB205">
        <f t="shared" si="78"/>
        <v>5.8117392178635818E-2</v>
      </c>
      <c r="AC205">
        <f t="shared" si="79"/>
        <v>0.1179046907467049</v>
      </c>
      <c r="AD205">
        <f t="shared" si="80"/>
        <v>2.9510460468741865E-3</v>
      </c>
      <c r="AE205">
        <f t="shared" si="81"/>
        <v>1.7985078369729627E-2</v>
      </c>
      <c r="AG205">
        <f t="shared" si="82"/>
        <v>0.27894918533874191</v>
      </c>
      <c r="AH205">
        <f t="shared" si="83"/>
        <v>0.18685064729613998</v>
      </c>
      <c r="AI205">
        <f t="shared" si="84"/>
        <v>-0.63928420428027888</v>
      </c>
      <c r="AK205" s="26">
        <f t="shared" si="85"/>
        <v>4.9810961300485374E-2</v>
      </c>
      <c r="AL205" s="26">
        <f t="shared" si="86"/>
        <v>4.4313462692793709E-2</v>
      </c>
      <c r="AM205" s="26">
        <f t="shared" si="87"/>
        <v>5.1799028655384022E-2</v>
      </c>
      <c r="AN205" s="26">
        <f t="shared" si="88"/>
        <v>15.114126984126997</v>
      </c>
      <c r="AO205" s="26">
        <f t="shared" si="89"/>
        <v>13.289339500860578</v>
      </c>
      <c r="AP205" s="26">
        <f t="shared" si="90"/>
        <v>11.686980121320332</v>
      </c>
      <c r="AS205" s="2">
        <v>45275</v>
      </c>
      <c r="AT205">
        <v>18.100000000000001</v>
      </c>
      <c r="AU205">
        <v>29.9</v>
      </c>
      <c r="AV205">
        <v>51.6</v>
      </c>
      <c r="AW205">
        <v>9.9</v>
      </c>
      <c r="AX205">
        <v>23.8</v>
      </c>
      <c r="AY205">
        <v>0.4</v>
      </c>
      <c r="AZ205">
        <v>3.5</v>
      </c>
      <c r="BA205">
        <v>374.39330000000001</v>
      </c>
      <c r="BB205">
        <v>117.6011</v>
      </c>
      <c r="BC205">
        <v>148.41030000000001</v>
      </c>
      <c r="BD205">
        <v>3.9910999999999999</v>
      </c>
      <c r="BE205">
        <v>27.025099999999998</v>
      </c>
      <c r="BF205">
        <v>-12.478899999999999</v>
      </c>
      <c r="BG205">
        <v>-16.883600000000001</v>
      </c>
      <c r="BH205">
        <v>89.01</v>
      </c>
    </row>
    <row r="206" spans="1:60" x14ac:dyDescent="0.25">
      <c r="A206" s="2">
        <v>45295</v>
      </c>
      <c r="B206">
        <v>16.899999999999999</v>
      </c>
      <c r="C206">
        <v>36.4</v>
      </c>
      <c r="D206">
        <v>44.2</v>
      </c>
      <c r="E206">
        <v>11.4</v>
      </c>
      <c r="F206">
        <v>30.59</v>
      </c>
      <c r="G206">
        <v>0.5</v>
      </c>
      <c r="H206">
        <v>2.6</v>
      </c>
      <c r="I206">
        <v>190.35050000000001</v>
      </c>
      <c r="J206">
        <v>59.235399999999998</v>
      </c>
      <c r="K206">
        <v>101.2174</v>
      </c>
      <c r="L206">
        <v>3.1764999999999999</v>
      </c>
      <c r="M206">
        <v>31.716899999999999</v>
      </c>
      <c r="N206">
        <v>-3.8693</v>
      </c>
      <c r="O206">
        <v>-11.361599999999999</v>
      </c>
      <c r="P206">
        <v>85.37</v>
      </c>
      <c r="S206">
        <f t="shared" si="69"/>
        <v>528.2867</v>
      </c>
      <c r="T206">
        <f t="shared" si="70"/>
        <v>1.58431583570551E-2</v>
      </c>
      <c r="U206">
        <f t="shared" si="71"/>
        <v>3.4123725692118675E-2</v>
      </c>
      <c r="V206">
        <f t="shared" si="72"/>
        <v>4.1435952626144114E-2</v>
      </c>
      <c r="W206">
        <f t="shared" si="73"/>
        <v>1.0687100903575631E-2</v>
      </c>
      <c r="X206">
        <f t="shared" si="74"/>
        <v>2.8677054091261273E-2</v>
      </c>
      <c r="Y206">
        <f t="shared" si="75"/>
        <v>4.6873249577086097E-4</v>
      </c>
      <c r="Z206">
        <f t="shared" si="76"/>
        <v>2.437408978008477E-3</v>
      </c>
      <c r="AA206">
        <f t="shared" si="77"/>
        <v>0.17844692987246255</v>
      </c>
      <c r="AB206">
        <f t="shared" si="78"/>
        <v>5.553111375997051E-2</v>
      </c>
      <c r="AC206">
        <f t="shared" si="79"/>
        <v>9.4887769034875086E-2</v>
      </c>
      <c r="AD206">
        <f t="shared" si="80"/>
        <v>2.9778575456322794E-3</v>
      </c>
      <c r="AE206">
        <f t="shared" si="81"/>
        <v>2.9733483390229638E-2</v>
      </c>
      <c r="AG206">
        <f t="shared" si="82"/>
        <v>0.29186575484566141</v>
      </c>
      <c r="AH206">
        <f t="shared" si="83"/>
        <v>0.1634066165341638</v>
      </c>
      <c r="AI206">
        <f t="shared" si="84"/>
        <v>-0.78945680678063068</v>
      </c>
      <c r="AK206" s="26">
        <f t="shared" si="85"/>
        <v>4.5146968804788495E-2</v>
      </c>
      <c r="AL206" s="26">
        <f t="shared" si="86"/>
        <v>4.350644161844433E-2</v>
      </c>
      <c r="AM206" s="26">
        <f t="shared" si="87"/>
        <v>5.1408790900228485E-2</v>
      </c>
      <c r="AN206" s="26">
        <f t="shared" si="88"/>
        <v>15.016190476190459</v>
      </c>
      <c r="AO206" s="26">
        <f t="shared" si="89"/>
        <v>13.211546901893271</v>
      </c>
      <c r="AP206" s="26">
        <f t="shared" si="90"/>
        <v>11.644421102387</v>
      </c>
      <c r="AS206" s="2">
        <v>45274</v>
      </c>
      <c r="AT206">
        <v>17.100000000000001</v>
      </c>
      <c r="AU206">
        <v>16.8</v>
      </c>
      <c r="AV206">
        <v>23.6</v>
      </c>
      <c r="AW206">
        <v>4.2</v>
      </c>
      <c r="AX206">
        <v>19.440000000000001</v>
      </c>
      <c r="AY206">
        <v>0.5</v>
      </c>
      <c r="AZ206">
        <v>3.4</v>
      </c>
      <c r="BA206">
        <v>377.19529999999997</v>
      </c>
      <c r="BB206">
        <v>183.471</v>
      </c>
      <c r="BC206">
        <v>182.6557</v>
      </c>
      <c r="BD206">
        <v>4.0837000000000003</v>
      </c>
      <c r="BE206">
        <v>36.768599999999999</v>
      </c>
      <c r="BF206">
        <v>-12.8803</v>
      </c>
      <c r="BG206">
        <v>-14.7662</v>
      </c>
      <c r="BH206">
        <v>89.34</v>
      </c>
    </row>
    <row r="207" spans="1:60" x14ac:dyDescent="0.25">
      <c r="A207" s="2">
        <v>45294</v>
      </c>
      <c r="B207">
        <v>16.899999999999999</v>
      </c>
      <c r="C207">
        <v>1.8</v>
      </c>
      <c r="D207">
        <v>68.099999999999994</v>
      </c>
      <c r="E207">
        <v>15.5</v>
      </c>
      <c r="F207">
        <v>37.56</v>
      </c>
      <c r="G207">
        <v>0.5</v>
      </c>
      <c r="H207">
        <v>2.8</v>
      </c>
      <c r="I207">
        <v>90.905100000000004</v>
      </c>
      <c r="J207">
        <v>37.943800000000003</v>
      </c>
      <c r="K207">
        <v>58.673999999999999</v>
      </c>
      <c r="L207">
        <v>4.1429</v>
      </c>
      <c r="M207">
        <v>22.537600000000001</v>
      </c>
      <c r="N207">
        <v>-4.2897999999999996</v>
      </c>
      <c r="O207">
        <v>-12.461600000000001</v>
      </c>
      <c r="P207">
        <v>85.7</v>
      </c>
      <c r="S207">
        <f t="shared" si="69"/>
        <v>357.36340000000001</v>
      </c>
      <c r="T207">
        <f t="shared" si="70"/>
        <v>1.58431583570551E-2</v>
      </c>
      <c r="U207">
        <f t="shared" si="71"/>
        <v>1.6874369847750994E-3</v>
      </c>
      <c r="V207">
        <f t="shared" si="72"/>
        <v>6.3841365923991256E-2</v>
      </c>
      <c r="W207">
        <f t="shared" si="73"/>
        <v>1.453070736889669E-2</v>
      </c>
      <c r="X207">
        <f t="shared" si="74"/>
        <v>3.5211185082307077E-2</v>
      </c>
      <c r="Y207">
        <f t="shared" si="75"/>
        <v>4.6873249577086097E-4</v>
      </c>
      <c r="Z207">
        <f t="shared" si="76"/>
        <v>2.624901976316821E-3</v>
      </c>
      <c r="AA207">
        <f t="shared" si="77"/>
        <v>8.5220348802599391E-2</v>
      </c>
      <c r="AB207">
        <f t="shared" si="78"/>
        <v>3.5570984146060788E-2</v>
      </c>
      <c r="AC207">
        <f t="shared" si="79"/>
        <v>5.5004820913718992E-2</v>
      </c>
      <c r="AD207">
        <f t="shared" si="80"/>
        <v>3.8838237134581999E-3</v>
      </c>
      <c r="AE207">
        <f t="shared" si="81"/>
        <v>2.1128210993370714E-2</v>
      </c>
      <c r="AG207">
        <f t="shared" si="82"/>
        <v>0.30762351938070415</v>
      </c>
      <c r="AH207">
        <f t="shared" si="83"/>
        <v>0.15533569918248363</v>
      </c>
      <c r="AI207">
        <f t="shared" si="84"/>
        <v>-0.8369491856942074</v>
      </c>
      <c r="AK207" s="26">
        <f t="shared" si="85"/>
        <v>4.5928022970630339E-2</v>
      </c>
      <c r="AL207" s="26">
        <f t="shared" si="86"/>
        <v>4.3029149853507045E-2</v>
      </c>
      <c r="AM207" s="26">
        <f t="shared" si="87"/>
        <v>5.156200948570519E-2</v>
      </c>
      <c r="AN207" s="26">
        <f t="shared" si="88"/>
        <v>14.909523809523805</v>
      </c>
      <c r="AO207" s="26">
        <f t="shared" si="89"/>
        <v>13.132536574870883</v>
      </c>
      <c r="AP207" s="26">
        <f t="shared" si="90"/>
        <v>11.603657204380127</v>
      </c>
      <c r="AS207" s="2">
        <v>45273</v>
      </c>
      <c r="AT207">
        <v>16.8</v>
      </c>
      <c r="AU207">
        <v>25.2</v>
      </c>
      <c r="AV207">
        <v>99.6</v>
      </c>
      <c r="AW207">
        <v>13</v>
      </c>
      <c r="AX207">
        <v>26.78</v>
      </c>
      <c r="AY207">
        <v>0.5</v>
      </c>
      <c r="AZ207">
        <v>3.1</v>
      </c>
      <c r="BA207">
        <v>357.5145</v>
      </c>
      <c r="BB207">
        <v>136.4393</v>
      </c>
      <c r="BC207">
        <v>157.15780000000001</v>
      </c>
      <c r="BD207">
        <v>4.0677000000000003</v>
      </c>
      <c r="BE207">
        <v>22.5627</v>
      </c>
      <c r="BF207">
        <v>-15.4297</v>
      </c>
      <c r="BG207">
        <v>-17.082799999999999</v>
      </c>
      <c r="BH207">
        <v>89.72</v>
      </c>
    </row>
    <row r="208" spans="1:60" x14ac:dyDescent="0.25">
      <c r="A208" s="2">
        <v>45293</v>
      </c>
      <c r="B208">
        <v>17.2</v>
      </c>
      <c r="C208">
        <v>0</v>
      </c>
      <c r="D208">
        <v>74.2</v>
      </c>
      <c r="E208">
        <v>13.3</v>
      </c>
      <c r="F208">
        <v>12.91</v>
      </c>
      <c r="G208">
        <v>0.5</v>
      </c>
      <c r="H208">
        <v>3.1</v>
      </c>
      <c r="I208">
        <v>94.508200000000002</v>
      </c>
      <c r="J208">
        <v>35.588500000000003</v>
      </c>
      <c r="K208">
        <v>69.123000000000005</v>
      </c>
      <c r="L208">
        <v>4.0991999999999997</v>
      </c>
      <c r="M208">
        <v>35.579099999999997</v>
      </c>
      <c r="N208">
        <v>-2.6867999999999999</v>
      </c>
      <c r="O208">
        <v>-13.550599999999999</v>
      </c>
      <c r="P208">
        <v>85.92</v>
      </c>
      <c r="S208">
        <f t="shared" si="69"/>
        <v>360.108</v>
      </c>
      <c r="T208">
        <f t="shared" si="70"/>
        <v>1.6124397854517615E-2</v>
      </c>
      <c r="U208">
        <f t="shared" si="71"/>
        <v>0</v>
      </c>
      <c r="V208">
        <f t="shared" si="72"/>
        <v>6.9559902372395774E-2</v>
      </c>
      <c r="W208">
        <f t="shared" si="73"/>
        <v>1.2468284387504903E-2</v>
      </c>
      <c r="X208">
        <f t="shared" si="74"/>
        <v>1.2102673040803629E-2</v>
      </c>
      <c r="Y208">
        <f t="shared" si="75"/>
        <v>4.6873249577086097E-4</v>
      </c>
      <c r="Z208">
        <f t="shared" si="76"/>
        <v>2.9061414737793379E-3</v>
      </c>
      <c r="AA208">
        <f t="shared" si="77"/>
        <v>8.859812891362337E-2</v>
      </c>
      <c r="AB208">
        <f t="shared" si="78"/>
        <v>3.3362972851482577E-2</v>
      </c>
      <c r="AC208">
        <f t="shared" si="79"/>
        <v>6.4800392610338445E-2</v>
      </c>
      <c r="AD208">
        <f t="shared" si="80"/>
        <v>3.842856493327826E-3</v>
      </c>
      <c r="AE208">
        <f t="shared" si="81"/>
        <v>3.3354160680562073E-2</v>
      </c>
      <c r="AG208">
        <f t="shared" si="82"/>
        <v>0.31823259720101071</v>
      </c>
      <c r="AH208">
        <f t="shared" si="83"/>
        <v>0.14698429230533419</v>
      </c>
      <c r="AI208">
        <f t="shared" si="84"/>
        <v>-0.89197813711053786</v>
      </c>
      <c r="AK208" s="26">
        <f t="shared" si="85"/>
        <v>4.7530500330497369E-2</v>
      </c>
      <c r="AL208" s="26">
        <f t="shared" si="86"/>
        <v>4.3105993362701114E-2</v>
      </c>
      <c r="AM208" s="26">
        <f t="shared" si="87"/>
        <v>5.1639839849920266E-2</v>
      </c>
      <c r="AN208" s="26">
        <f t="shared" si="88"/>
        <v>14.793650793650798</v>
      </c>
      <c r="AO208" s="26">
        <f t="shared" si="89"/>
        <v>13.05129948364889</v>
      </c>
      <c r="AP208" s="26">
        <f t="shared" si="90"/>
        <v>11.564661904886961</v>
      </c>
      <c r="AS208" s="2">
        <v>45272</v>
      </c>
      <c r="AT208">
        <v>17.100000000000001</v>
      </c>
      <c r="AU208">
        <v>26.6</v>
      </c>
      <c r="AV208">
        <v>38.299999999999997</v>
      </c>
      <c r="AW208">
        <v>6.3</v>
      </c>
      <c r="AX208">
        <v>27.31</v>
      </c>
      <c r="AY208">
        <v>0.5</v>
      </c>
      <c r="AZ208">
        <v>3</v>
      </c>
      <c r="BA208">
        <v>375.24950000000001</v>
      </c>
      <c r="BB208">
        <v>178.9205</v>
      </c>
      <c r="BC208">
        <v>161.45150000000001</v>
      </c>
      <c r="BD208">
        <v>4.0644</v>
      </c>
      <c r="BE208">
        <v>33.069200000000002</v>
      </c>
      <c r="BF208">
        <v>-15.123200000000001</v>
      </c>
      <c r="BG208">
        <v>-18.504899999999999</v>
      </c>
      <c r="BH208">
        <v>90.07</v>
      </c>
    </row>
    <row r="209" spans="1:60" x14ac:dyDescent="0.25">
      <c r="A209" s="2">
        <v>45292</v>
      </c>
      <c r="B209">
        <v>17.600000000000001</v>
      </c>
      <c r="C209">
        <v>0</v>
      </c>
      <c r="D209">
        <v>67.3</v>
      </c>
      <c r="E209">
        <v>11</v>
      </c>
      <c r="F209">
        <v>44.29</v>
      </c>
      <c r="G209">
        <v>0.5</v>
      </c>
      <c r="H209">
        <v>3</v>
      </c>
      <c r="I209">
        <v>82.543800000000005</v>
      </c>
      <c r="J209">
        <v>30.392199999999999</v>
      </c>
      <c r="K209">
        <v>34.997199999999999</v>
      </c>
      <c r="L209">
        <v>4.0659999999999998</v>
      </c>
      <c r="M209">
        <v>19.138999999999999</v>
      </c>
      <c r="N209">
        <v>-7.7866</v>
      </c>
      <c r="O209">
        <v>-20.048200000000001</v>
      </c>
      <c r="P209">
        <v>86.25</v>
      </c>
      <c r="S209">
        <f t="shared" si="69"/>
        <v>314.82819999999998</v>
      </c>
      <c r="T209">
        <f t="shared" si="70"/>
        <v>1.6499383851134308E-2</v>
      </c>
      <c r="U209">
        <f t="shared" si="71"/>
        <v>0</v>
      </c>
      <c r="V209">
        <f t="shared" si="72"/>
        <v>6.3091393930757883E-2</v>
      </c>
      <c r="W209">
        <f t="shared" si="73"/>
        <v>1.0312114906958941E-2</v>
      </c>
      <c r="X209">
        <f t="shared" si="74"/>
        <v>4.1520324475382862E-2</v>
      </c>
      <c r="Y209">
        <f t="shared" si="75"/>
        <v>4.6873249577086097E-4</v>
      </c>
      <c r="Z209">
        <f t="shared" si="76"/>
        <v>2.8123949746251659E-3</v>
      </c>
      <c r="AA209">
        <f t="shared" si="77"/>
        <v>7.7381922768821595E-2</v>
      </c>
      <c r="AB209">
        <f t="shared" si="78"/>
        <v>2.849162351593432E-2</v>
      </c>
      <c r="AC209">
        <f t="shared" si="79"/>
        <v>3.2808649801983947E-2</v>
      </c>
      <c r="AD209">
        <f t="shared" si="80"/>
        <v>3.8117326556086411E-3</v>
      </c>
      <c r="AE209">
        <f t="shared" si="81"/>
        <v>1.7942142473117016E-2</v>
      </c>
      <c r="AG209">
        <f t="shared" si="82"/>
        <v>0.33403690686435361</v>
      </c>
      <c r="AH209">
        <f t="shared" si="83"/>
        <v>0.15264648710774703</v>
      </c>
      <c r="AI209">
        <f t="shared" si="84"/>
        <v>-0.85430781917078469</v>
      </c>
      <c r="AK209" s="26">
        <f t="shared" si="85"/>
        <v>4.8220435875240705E-2</v>
      </c>
      <c r="AL209" s="26">
        <f t="shared" si="86"/>
        <v>4.2473579781945187E-2</v>
      </c>
      <c r="AM209" s="26">
        <f t="shared" si="87"/>
        <v>5.2751980957052663E-2</v>
      </c>
      <c r="AN209" s="26">
        <f t="shared" si="88"/>
        <v>14.667936507936503</v>
      </c>
      <c r="AO209" s="26">
        <f t="shared" si="89"/>
        <v>12.96853485370049</v>
      </c>
      <c r="AP209" s="26">
        <f t="shared" si="90"/>
        <v>11.528022373362063</v>
      </c>
      <c r="AS209" s="2">
        <v>45271</v>
      </c>
      <c r="AT209">
        <v>18.3</v>
      </c>
      <c r="AU209">
        <v>24.8</v>
      </c>
      <c r="AV209">
        <v>20.7</v>
      </c>
      <c r="AW209">
        <v>17</v>
      </c>
      <c r="AX209">
        <v>26.73</v>
      </c>
      <c r="AY209">
        <v>0.5</v>
      </c>
      <c r="AZ209">
        <v>3.4</v>
      </c>
      <c r="BA209">
        <v>298.322</v>
      </c>
      <c r="BB209">
        <v>94.409700000000001</v>
      </c>
      <c r="BC209">
        <v>97.408000000000001</v>
      </c>
      <c r="BD209">
        <v>1.9935</v>
      </c>
      <c r="BE209">
        <v>29.712199999999999</v>
      </c>
      <c r="BF209">
        <v>-16.336200000000002</v>
      </c>
      <c r="BG209">
        <v>-19.221800000000002</v>
      </c>
      <c r="BH209">
        <v>90.41</v>
      </c>
    </row>
    <row r="210" spans="1:60" x14ac:dyDescent="0.25">
      <c r="A210" s="2">
        <v>45291</v>
      </c>
      <c r="B210">
        <v>17.8</v>
      </c>
      <c r="C210">
        <v>0</v>
      </c>
      <c r="D210">
        <v>88.3</v>
      </c>
      <c r="E210">
        <v>14.6</v>
      </c>
      <c r="F210">
        <v>30.21</v>
      </c>
      <c r="G210">
        <v>0.5</v>
      </c>
      <c r="H210">
        <v>3</v>
      </c>
      <c r="I210">
        <v>76.992599999999996</v>
      </c>
      <c r="J210">
        <v>32.961799999999997</v>
      </c>
      <c r="K210">
        <v>28.8233</v>
      </c>
      <c r="L210">
        <v>4.0826000000000002</v>
      </c>
      <c r="M210">
        <v>21.839500000000001</v>
      </c>
      <c r="P210">
        <v>86.41</v>
      </c>
      <c r="S210">
        <f t="shared" si="69"/>
        <v>319.10980000000001</v>
      </c>
      <c r="T210">
        <f t="shared" si="70"/>
        <v>1.6686876849442651E-2</v>
      </c>
      <c r="U210">
        <f t="shared" si="71"/>
        <v>0</v>
      </c>
      <c r="V210">
        <f t="shared" si="72"/>
        <v>8.2778158753134046E-2</v>
      </c>
      <c r="W210">
        <f t="shared" si="73"/>
        <v>1.368698887650914E-2</v>
      </c>
      <c r="X210">
        <f t="shared" si="74"/>
        <v>2.8320817394475419E-2</v>
      </c>
      <c r="Y210">
        <f t="shared" si="75"/>
        <v>4.6873249577086097E-4</v>
      </c>
      <c r="Z210">
        <f t="shared" si="76"/>
        <v>2.8123949746251659E-3</v>
      </c>
      <c r="AA210">
        <f t="shared" si="77"/>
        <v>7.217786710777517E-2</v>
      </c>
      <c r="AB210">
        <f t="shared" si="78"/>
        <v>3.0900533558199925E-2</v>
      </c>
      <c r="AC210">
        <f t="shared" si="79"/>
        <v>2.7020834690704511E-2</v>
      </c>
      <c r="AD210">
        <f t="shared" si="80"/>
        <v>3.827294574468234E-3</v>
      </c>
      <c r="AE210">
        <f t="shared" si="81"/>
        <v>2.0473766682775438E-2</v>
      </c>
      <c r="AG210">
        <f t="shared" si="82"/>
        <v>0.34187791101552306</v>
      </c>
      <c r="AH210">
        <f t="shared" si="83"/>
        <v>0.16522773602673269</v>
      </c>
      <c r="AI210">
        <f t="shared" si="84"/>
        <v>-0.77132961633344854</v>
      </c>
      <c r="AK210" s="26">
        <f t="shared" si="85"/>
        <v>4.9258977449346625E-2</v>
      </c>
      <c r="AL210" s="26">
        <f t="shared" si="86"/>
        <v>4.4528150243541703E-2</v>
      </c>
      <c r="AM210" s="26">
        <f t="shared" si="87"/>
        <v>5.1798015215379828E-2</v>
      </c>
      <c r="AN210" s="26">
        <f t="shared" si="88"/>
        <v>14.521746031746034</v>
      </c>
      <c r="AO210" s="26">
        <f t="shared" si="89"/>
        <v>12.881501721170366</v>
      </c>
      <c r="AP210" s="26">
        <f t="shared" si="90"/>
        <v>11.491194033770114</v>
      </c>
      <c r="AS210" s="2">
        <v>45270</v>
      </c>
      <c r="AT210">
        <v>17.8</v>
      </c>
      <c r="AU210">
        <v>0</v>
      </c>
      <c r="AV210">
        <v>62.5</v>
      </c>
      <c r="AW210">
        <v>21.1</v>
      </c>
      <c r="AX210">
        <v>31.25</v>
      </c>
      <c r="AY210">
        <v>0.5</v>
      </c>
      <c r="AZ210">
        <v>3.3</v>
      </c>
      <c r="BA210">
        <v>142.78149999999999</v>
      </c>
      <c r="BB210">
        <v>39.1511</v>
      </c>
      <c r="BC210">
        <v>57.805199999999999</v>
      </c>
      <c r="BD210">
        <v>3.48</v>
      </c>
      <c r="BE210">
        <v>17.237500000000001</v>
      </c>
      <c r="BH210">
        <v>90.72</v>
      </c>
    </row>
    <row r="211" spans="1:60" x14ac:dyDescent="0.25">
      <c r="A211" s="2">
        <v>45290</v>
      </c>
      <c r="B211">
        <v>17.7</v>
      </c>
      <c r="C211">
        <v>0</v>
      </c>
      <c r="D211">
        <v>86.6</v>
      </c>
      <c r="E211">
        <v>23.2</v>
      </c>
      <c r="F211">
        <v>52.66</v>
      </c>
      <c r="G211">
        <v>0.5</v>
      </c>
      <c r="H211">
        <v>3</v>
      </c>
      <c r="I211">
        <v>77.928399999999996</v>
      </c>
      <c r="J211">
        <v>38.299900000000001</v>
      </c>
      <c r="K211">
        <v>33.6706</v>
      </c>
      <c r="L211">
        <v>4.0195999999999996</v>
      </c>
      <c r="M211">
        <v>35.522500000000001</v>
      </c>
      <c r="P211">
        <v>86.51</v>
      </c>
      <c r="S211">
        <f t="shared" si="69"/>
        <v>373.10099999999994</v>
      </c>
      <c r="T211">
        <f t="shared" si="70"/>
        <v>1.6593130350288476E-2</v>
      </c>
      <c r="U211">
        <f t="shared" si="71"/>
        <v>0</v>
      </c>
      <c r="V211">
        <f t="shared" si="72"/>
        <v>8.1184468267513119E-2</v>
      </c>
      <c r="W211">
        <f t="shared" si="73"/>
        <v>2.1749187803767948E-2</v>
      </c>
      <c r="X211">
        <f t="shared" si="74"/>
        <v>4.9366906454587071E-2</v>
      </c>
      <c r="Y211">
        <f t="shared" si="75"/>
        <v>4.6873249577086097E-4</v>
      </c>
      <c r="Z211">
        <f t="shared" si="76"/>
        <v>2.8123949746251659E-3</v>
      </c>
      <c r="AA211">
        <f t="shared" si="77"/>
        <v>7.3055146846859917E-2</v>
      </c>
      <c r="AB211">
        <f t="shared" si="78"/>
        <v>3.5904815429548799E-2</v>
      </c>
      <c r="AC211">
        <f t="shared" si="79"/>
        <v>3.1565008744204703E-2</v>
      </c>
      <c r="AD211">
        <f t="shared" si="80"/>
        <v>3.7682342800011048E-3</v>
      </c>
      <c r="AE211">
        <f t="shared" si="81"/>
        <v>3.3301100162040818E-2</v>
      </c>
      <c r="AG211">
        <f t="shared" si="82"/>
        <v>0.34693393864782168</v>
      </c>
      <c r="AH211">
        <f t="shared" si="83"/>
        <v>0.20547592050859345</v>
      </c>
      <c r="AI211">
        <f t="shared" si="84"/>
        <v>-0.50373367592502116</v>
      </c>
      <c r="AK211" s="26">
        <f t="shared" si="85"/>
        <v>5.0087770903852941E-2</v>
      </c>
      <c r="AL211" s="26">
        <f t="shared" si="86"/>
        <v>4.4396392665208423E-2</v>
      </c>
      <c r="AM211" s="26">
        <f t="shared" si="87"/>
        <v>5.2892024527062931E-2</v>
      </c>
      <c r="AN211" s="26">
        <f t="shared" si="88"/>
        <v>14.359206349206346</v>
      </c>
      <c r="AO211" s="26">
        <f t="shared" si="89"/>
        <v>12.791729776247848</v>
      </c>
      <c r="AP211" s="26">
        <f t="shared" si="90"/>
        <v>11.454350200887589</v>
      </c>
      <c r="AS211" s="2">
        <v>45269</v>
      </c>
      <c r="AT211">
        <v>17.7</v>
      </c>
      <c r="AU211">
        <v>0.7</v>
      </c>
      <c r="AV211">
        <v>88.2</v>
      </c>
      <c r="AW211">
        <v>15.6</v>
      </c>
      <c r="AX211">
        <v>27.29</v>
      </c>
      <c r="AY211">
        <v>0.5</v>
      </c>
      <c r="AZ211">
        <v>3.7</v>
      </c>
      <c r="BA211">
        <v>238.66409999999999</v>
      </c>
      <c r="BB211">
        <v>59.2087</v>
      </c>
      <c r="BC211">
        <v>87.435699999999997</v>
      </c>
      <c r="BD211">
        <v>3.48</v>
      </c>
      <c r="BE211">
        <v>7.3655999999999997</v>
      </c>
      <c r="BH211">
        <v>90.92</v>
      </c>
    </row>
    <row r="212" spans="1:60" x14ac:dyDescent="0.25">
      <c r="A212" s="2">
        <v>45289</v>
      </c>
      <c r="B212">
        <v>18.2</v>
      </c>
      <c r="C212">
        <v>0</v>
      </c>
      <c r="D212">
        <v>79.7</v>
      </c>
      <c r="E212">
        <v>25.1</v>
      </c>
      <c r="F212">
        <v>34.880000000000003</v>
      </c>
      <c r="G212">
        <v>0.5</v>
      </c>
      <c r="H212">
        <v>3</v>
      </c>
      <c r="I212">
        <v>73.394999999999996</v>
      </c>
      <c r="J212">
        <v>39.723100000000002</v>
      </c>
      <c r="K212">
        <v>24.173300000000001</v>
      </c>
      <c r="L212">
        <v>3.9672000000000001</v>
      </c>
      <c r="M212">
        <v>21.033899999999999</v>
      </c>
      <c r="N212">
        <v>-7.7866</v>
      </c>
      <c r="O212">
        <v>-20.069800000000001</v>
      </c>
      <c r="P212">
        <v>86.6</v>
      </c>
      <c r="S212">
        <f t="shared" si="69"/>
        <v>323.67249999999996</v>
      </c>
      <c r="T212">
        <f t="shared" si="70"/>
        <v>1.7061862846059338E-2</v>
      </c>
      <c r="U212">
        <f t="shared" si="71"/>
        <v>0</v>
      </c>
      <c r="V212">
        <f t="shared" si="72"/>
        <v>7.4715959825875242E-2</v>
      </c>
      <c r="W212">
        <f t="shared" si="73"/>
        <v>2.3530371287697222E-2</v>
      </c>
      <c r="X212">
        <f t="shared" si="74"/>
        <v>3.2698778904975259E-2</v>
      </c>
      <c r="Y212">
        <f t="shared" si="75"/>
        <v>4.6873249577086097E-4</v>
      </c>
      <c r="Z212">
        <f t="shared" si="76"/>
        <v>2.8123949746251659E-3</v>
      </c>
      <c r="AA212">
        <f t="shared" si="77"/>
        <v>6.8805243054204671E-2</v>
      </c>
      <c r="AB212">
        <f t="shared" si="78"/>
        <v>3.7239015605510975E-2</v>
      </c>
      <c r="AC212">
        <f t="shared" si="79"/>
        <v>2.2661622480035507E-2</v>
      </c>
      <c r="AD212">
        <f t="shared" si="80"/>
        <v>3.7191111144443192E-3</v>
      </c>
      <c r="AE212">
        <f t="shared" si="81"/>
        <v>1.9718544885589422E-2</v>
      </c>
      <c r="AG212">
        <f t="shared" si="82"/>
        <v>0.35154329759404102</v>
      </c>
      <c r="AH212">
        <f t="shared" si="83"/>
        <v>0.1710066452205925</v>
      </c>
      <c r="AI212">
        <f t="shared" si="84"/>
        <v>-0.72408988286608289</v>
      </c>
      <c r="AK212" s="26">
        <f t="shared" si="85"/>
        <v>4.7202206042618114E-2</v>
      </c>
      <c r="AL212" s="26">
        <f t="shared" si="86"/>
        <v>4.3847349189419932E-2</v>
      </c>
      <c r="AM212" s="26">
        <f t="shared" si="87"/>
        <v>5.2980135909160841E-2</v>
      </c>
      <c r="AN212" s="26">
        <f t="shared" si="88"/>
        <v>14.180634920634944</v>
      </c>
      <c r="AO212" s="26">
        <f t="shared" si="89"/>
        <v>12.699464285714271</v>
      </c>
      <c r="AP212" s="26">
        <f t="shared" si="90"/>
        <v>11.419001601848677</v>
      </c>
      <c r="AS212" s="2">
        <v>45268</v>
      </c>
      <c r="AT212">
        <v>17.899999999999999</v>
      </c>
      <c r="AU212">
        <v>1.1000000000000001</v>
      </c>
      <c r="AV212">
        <v>68.400000000000006</v>
      </c>
      <c r="AW212">
        <v>10.1</v>
      </c>
      <c r="AX212">
        <v>13.06</v>
      </c>
      <c r="AY212">
        <v>0.5</v>
      </c>
      <c r="AZ212">
        <v>3.4</v>
      </c>
      <c r="BA212">
        <v>335.98090000000002</v>
      </c>
      <c r="BB212">
        <v>153.84909999999999</v>
      </c>
      <c r="BC212">
        <v>159.27590000000001</v>
      </c>
      <c r="BD212">
        <v>4.6898999999999997</v>
      </c>
      <c r="BE212">
        <v>27.3521</v>
      </c>
      <c r="BF212">
        <v>-12.113200000000001</v>
      </c>
      <c r="BG212">
        <v>-11.336499999999999</v>
      </c>
      <c r="BH212">
        <v>91.18</v>
      </c>
    </row>
    <row r="213" spans="1:60" x14ac:dyDescent="0.25">
      <c r="A213" s="2">
        <v>45288</v>
      </c>
      <c r="B213">
        <v>18.7</v>
      </c>
      <c r="C213">
        <v>0</v>
      </c>
      <c r="D213">
        <v>76.400000000000006</v>
      </c>
      <c r="E213">
        <v>26.4</v>
      </c>
      <c r="F213">
        <v>36.619999999999997</v>
      </c>
      <c r="G213">
        <v>0</v>
      </c>
      <c r="H213">
        <v>3.2</v>
      </c>
      <c r="I213">
        <v>77.475300000000004</v>
      </c>
      <c r="J213">
        <v>37.679900000000004</v>
      </c>
      <c r="K213">
        <v>28.711400000000001</v>
      </c>
      <c r="L213">
        <v>5.1879</v>
      </c>
      <c r="M213">
        <v>27.991199999999999</v>
      </c>
      <c r="N213">
        <v>-10.9664</v>
      </c>
      <c r="O213">
        <v>-20.373000000000001</v>
      </c>
      <c r="P213">
        <v>86.72</v>
      </c>
      <c r="S213">
        <f t="shared" si="69"/>
        <v>338.3657</v>
      </c>
      <c r="T213">
        <f t="shared" si="70"/>
        <v>1.7530595341830199E-2</v>
      </c>
      <c r="U213">
        <f t="shared" si="71"/>
        <v>0</v>
      </c>
      <c r="V213">
        <f t="shared" si="72"/>
        <v>7.1622325353787555E-2</v>
      </c>
      <c r="W213">
        <f t="shared" si="73"/>
        <v>2.4749075776701455E-2</v>
      </c>
      <c r="X213">
        <f t="shared" si="74"/>
        <v>3.4329967990257851E-2</v>
      </c>
      <c r="Y213">
        <f t="shared" si="75"/>
        <v>0</v>
      </c>
      <c r="Z213">
        <f t="shared" si="76"/>
        <v>2.9998879729335104E-3</v>
      </c>
      <c r="AA213">
        <f t="shared" si="77"/>
        <v>7.2630381459192372E-2</v>
      </c>
      <c r="AB213">
        <f t="shared" si="78"/>
        <v>3.532358713479293E-2</v>
      </c>
      <c r="AC213">
        <f t="shared" si="79"/>
        <v>2.6915932358150995E-2</v>
      </c>
      <c r="AD213">
        <f t="shared" si="80"/>
        <v>4.863474629619299E-3</v>
      </c>
      <c r="AE213">
        <f t="shared" si="81"/>
        <v>2.6240770071242647E-2</v>
      </c>
      <c r="AG213">
        <f t="shared" si="82"/>
        <v>0.35758188367856752</v>
      </c>
      <c r="AH213">
        <f t="shared" si="83"/>
        <v>0.17747262250675325</v>
      </c>
      <c r="AI213">
        <f t="shared" si="84"/>
        <v>-0.68144708037644097</v>
      </c>
      <c r="AK213" s="26">
        <f t="shared" si="85"/>
        <v>4.5221991300786191E-2</v>
      </c>
      <c r="AL213" s="26">
        <f t="shared" si="86"/>
        <v>4.812027095452226E-2</v>
      </c>
      <c r="AM213" s="26">
        <f t="shared" si="87"/>
        <v>5.3109946473104519E-2</v>
      </c>
      <c r="AN213" s="26">
        <f t="shared" si="88"/>
        <v>13.993015873015878</v>
      </c>
      <c r="AO213" s="26">
        <f t="shared" si="89"/>
        <v>12.605484079173806</v>
      </c>
      <c r="AP213" s="26">
        <f t="shared" si="90"/>
        <v>11.385796854074187</v>
      </c>
      <c r="AS213" s="2">
        <v>45267</v>
      </c>
      <c r="AT213">
        <v>20.2</v>
      </c>
      <c r="AU213">
        <v>1.6</v>
      </c>
      <c r="AV213">
        <v>16.2</v>
      </c>
      <c r="AW213">
        <v>2.9</v>
      </c>
      <c r="AX213">
        <v>36.24</v>
      </c>
      <c r="AY213">
        <v>0.5</v>
      </c>
      <c r="AZ213">
        <v>3.4</v>
      </c>
      <c r="BA213">
        <v>349.88189999999997</v>
      </c>
      <c r="BB213">
        <v>207.12459999999999</v>
      </c>
      <c r="BC213">
        <v>206.71270000000001</v>
      </c>
      <c r="BD213">
        <v>3.48</v>
      </c>
      <c r="BE213">
        <v>32.716799999999999</v>
      </c>
      <c r="BF213">
        <v>-10.464600000000001</v>
      </c>
      <c r="BG213">
        <v>-6.9931999999999999</v>
      </c>
      <c r="BH213">
        <v>91.6</v>
      </c>
    </row>
    <row r="214" spans="1:60" x14ac:dyDescent="0.25">
      <c r="A214" s="2">
        <v>45287</v>
      </c>
      <c r="B214">
        <v>18.899999999999999</v>
      </c>
      <c r="C214">
        <v>0</v>
      </c>
      <c r="D214">
        <v>60.4</v>
      </c>
      <c r="E214">
        <v>14.5</v>
      </c>
      <c r="F214">
        <v>56.88</v>
      </c>
      <c r="G214">
        <v>0.1</v>
      </c>
      <c r="H214">
        <v>3.1</v>
      </c>
      <c r="I214">
        <v>111.3706</v>
      </c>
      <c r="J214">
        <v>27.463000000000001</v>
      </c>
      <c r="K214">
        <v>71.759</v>
      </c>
      <c r="L214">
        <v>3.8704999999999998</v>
      </c>
      <c r="M214">
        <v>36.875</v>
      </c>
      <c r="N214">
        <v>-10.0311</v>
      </c>
      <c r="O214">
        <v>-14.4056</v>
      </c>
      <c r="P214">
        <v>86.82</v>
      </c>
      <c r="S214">
        <f t="shared" si="69"/>
        <v>405.21809999999999</v>
      </c>
      <c r="T214">
        <f t="shared" si="70"/>
        <v>1.7718088340138542E-2</v>
      </c>
      <c r="U214">
        <f t="shared" si="71"/>
        <v>0</v>
      </c>
      <c r="V214">
        <f t="shared" si="72"/>
        <v>5.6622885489119999E-2</v>
      </c>
      <c r="W214">
        <f t="shared" si="73"/>
        <v>1.3593242377354967E-2</v>
      </c>
      <c r="X214">
        <f t="shared" si="74"/>
        <v>5.3323008718893145E-2</v>
      </c>
      <c r="Y214">
        <f t="shared" si="75"/>
        <v>9.3746499154172199E-5</v>
      </c>
      <c r="Z214">
        <f t="shared" si="76"/>
        <v>2.9061414737793379E-3</v>
      </c>
      <c r="AA214">
        <f t="shared" si="77"/>
        <v>0.10440603858699649</v>
      </c>
      <c r="AB214">
        <f t="shared" si="78"/>
        <v>2.5745601062710309E-2</v>
      </c>
      <c r="AC214">
        <f t="shared" si="79"/>
        <v>6.7271550328042426E-2</v>
      </c>
      <c r="AD214">
        <f t="shared" si="80"/>
        <v>3.6284582497622345E-3</v>
      </c>
      <c r="AE214">
        <f t="shared" si="81"/>
        <v>3.4569021563100995E-2</v>
      </c>
      <c r="AG214">
        <f t="shared" si="82"/>
        <v>0.36269825772634745</v>
      </c>
      <c r="AH214">
        <f t="shared" si="83"/>
        <v>0.17882613446154116</v>
      </c>
      <c r="AI214">
        <f t="shared" si="84"/>
        <v>-0.67256336804542605</v>
      </c>
      <c r="AK214" s="26">
        <f t="shared" si="85"/>
        <v>4.3734957546488637E-2</v>
      </c>
      <c r="AL214" s="26">
        <f t="shared" si="86"/>
        <v>4.7527315714949225E-2</v>
      </c>
      <c r="AM214" s="26">
        <f t="shared" si="87"/>
        <v>5.4308328074570894E-2</v>
      </c>
      <c r="AN214" s="26">
        <f t="shared" si="88"/>
        <v>13.804603174603173</v>
      </c>
      <c r="AO214" s="26">
        <f t="shared" si="89"/>
        <v>12.51171256454387</v>
      </c>
      <c r="AP214" s="26">
        <f t="shared" si="90"/>
        <v>11.354916099892321</v>
      </c>
      <c r="AS214" s="2">
        <v>45266</v>
      </c>
      <c r="AT214">
        <v>20.7</v>
      </c>
      <c r="AU214">
        <v>40.799999999999997</v>
      </c>
      <c r="AV214">
        <v>50.3</v>
      </c>
      <c r="AW214">
        <v>4</v>
      </c>
      <c r="AX214">
        <v>11.16</v>
      </c>
      <c r="AY214">
        <v>0.5</v>
      </c>
      <c r="AZ214">
        <v>3.2</v>
      </c>
      <c r="BA214">
        <v>358.9239</v>
      </c>
      <c r="BB214">
        <v>210.95099999999999</v>
      </c>
      <c r="BC214">
        <v>222.78309999999999</v>
      </c>
      <c r="BD214">
        <v>3.11</v>
      </c>
      <c r="BE214">
        <v>37.999699999999997</v>
      </c>
      <c r="BF214">
        <v>-13.260199999999999</v>
      </c>
      <c r="BG214">
        <v>-10.1938</v>
      </c>
      <c r="BH214">
        <v>92.13</v>
      </c>
    </row>
    <row r="215" spans="1:60" x14ac:dyDescent="0.25">
      <c r="A215" s="2">
        <v>45286</v>
      </c>
      <c r="B215">
        <v>19.100000000000001</v>
      </c>
      <c r="C215">
        <v>0</v>
      </c>
      <c r="D215">
        <v>73.900000000000006</v>
      </c>
      <c r="E215">
        <v>19.5</v>
      </c>
      <c r="F215">
        <v>33.880000000000003</v>
      </c>
      <c r="G215">
        <v>0.1</v>
      </c>
      <c r="H215">
        <v>2.6</v>
      </c>
      <c r="I215">
        <v>91.671999999999997</v>
      </c>
      <c r="J215">
        <v>21.9941</v>
      </c>
      <c r="K215">
        <v>33.5017</v>
      </c>
      <c r="L215">
        <v>3.9081999999999999</v>
      </c>
      <c r="M215">
        <v>13.730600000000001</v>
      </c>
      <c r="N215">
        <v>-10.7837</v>
      </c>
      <c r="O215">
        <v>-16.5059</v>
      </c>
      <c r="P215">
        <v>86.97</v>
      </c>
      <c r="S215">
        <f t="shared" si="69"/>
        <v>313.88659999999999</v>
      </c>
      <c r="T215">
        <f t="shared" si="70"/>
        <v>1.7905581338446889E-2</v>
      </c>
      <c r="U215">
        <f t="shared" si="71"/>
        <v>0</v>
      </c>
      <c r="V215">
        <f t="shared" si="72"/>
        <v>6.9278662874933256E-2</v>
      </c>
      <c r="W215">
        <f t="shared" si="73"/>
        <v>1.8280567335063579E-2</v>
      </c>
      <c r="X215">
        <f t="shared" si="74"/>
        <v>3.1761313913433543E-2</v>
      </c>
      <c r="Y215">
        <f t="shared" si="75"/>
        <v>9.3746499154172199E-5</v>
      </c>
      <c r="Z215">
        <f t="shared" si="76"/>
        <v>2.437408978008477E-3</v>
      </c>
      <c r="AA215">
        <f t="shared" si="77"/>
        <v>8.5939290704612731E-2</v>
      </c>
      <c r="AB215">
        <f t="shared" si="78"/>
        <v>2.0618698770467785E-2</v>
      </c>
      <c r="AC215">
        <f t="shared" si="79"/>
        <v>3.1406670907133304E-2</v>
      </c>
      <c r="AD215">
        <f t="shared" si="80"/>
        <v>3.6638006799433573E-3</v>
      </c>
      <c r="AE215">
        <f t="shared" si="81"/>
        <v>1.2871956812862767E-2</v>
      </c>
      <c r="AG215">
        <f t="shared" si="82"/>
        <v>0.370179254411104</v>
      </c>
      <c r="AH215">
        <f t="shared" si="83"/>
        <v>0.15262923775190268</v>
      </c>
      <c r="AI215">
        <f t="shared" si="84"/>
        <v>-0.84364039859328555</v>
      </c>
      <c r="AK215" s="26">
        <f t="shared" si="85"/>
        <v>4.3007632028979517E-2</v>
      </c>
      <c r="AL215" s="26">
        <f t="shared" si="86"/>
        <v>4.639584496540558E-2</v>
      </c>
      <c r="AM215" s="26">
        <f t="shared" si="87"/>
        <v>5.5110500991906286E-2</v>
      </c>
      <c r="AN215" s="26">
        <f t="shared" si="88"/>
        <v>13.623809523809527</v>
      </c>
      <c r="AO215" s="26">
        <f t="shared" si="89"/>
        <v>12.418642426850226</v>
      </c>
      <c r="AP215" s="26">
        <f t="shared" si="90"/>
        <v>11.327099078280511</v>
      </c>
      <c r="AS215" s="2">
        <v>45265</v>
      </c>
      <c r="AT215">
        <v>20.2</v>
      </c>
      <c r="AU215">
        <v>252.7</v>
      </c>
      <c r="AV215">
        <v>96.1</v>
      </c>
      <c r="AW215">
        <v>14.4</v>
      </c>
      <c r="AX215">
        <v>15.77</v>
      </c>
      <c r="AY215">
        <v>0.5</v>
      </c>
      <c r="AZ215">
        <v>3.5</v>
      </c>
      <c r="BA215">
        <v>360.8537</v>
      </c>
      <c r="BB215">
        <v>185.0909</v>
      </c>
      <c r="BC215">
        <v>173.65199999999999</v>
      </c>
      <c r="BD215">
        <v>3.48</v>
      </c>
      <c r="BE215">
        <v>31.571300000000001</v>
      </c>
      <c r="BF215">
        <v>-12.403</v>
      </c>
      <c r="BG215">
        <v>-10.4787</v>
      </c>
      <c r="BH215">
        <v>92.71</v>
      </c>
    </row>
    <row r="216" spans="1:60" x14ac:dyDescent="0.25">
      <c r="A216" s="2">
        <v>45285</v>
      </c>
      <c r="B216">
        <v>18.7</v>
      </c>
      <c r="C216">
        <v>0</v>
      </c>
      <c r="D216">
        <v>58.9</v>
      </c>
      <c r="E216">
        <v>18</v>
      </c>
      <c r="F216">
        <v>32.53</v>
      </c>
      <c r="G216">
        <v>0.1</v>
      </c>
      <c r="H216">
        <v>2.6</v>
      </c>
      <c r="I216">
        <v>81.680400000000006</v>
      </c>
      <c r="J216">
        <v>22.385400000000001</v>
      </c>
      <c r="K216">
        <v>27.189800000000002</v>
      </c>
      <c r="L216">
        <v>3.8692000000000002</v>
      </c>
      <c r="M216">
        <v>26.371600000000001</v>
      </c>
      <c r="N216">
        <v>-10.7837</v>
      </c>
      <c r="O216">
        <v>-16.3812</v>
      </c>
      <c r="P216">
        <v>87.03</v>
      </c>
      <c r="S216">
        <f t="shared" si="69"/>
        <v>292.32639999999998</v>
      </c>
      <c r="T216">
        <f t="shared" si="70"/>
        <v>1.7530595341830199E-2</v>
      </c>
      <c r="U216">
        <f t="shared" si="71"/>
        <v>0</v>
      </c>
      <c r="V216">
        <f t="shared" si="72"/>
        <v>5.5216688001807422E-2</v>
      </c>
      <c r="W216">
        <f t="shared" si="73"/>
        <v>1.6874369847750995E-2</v>
      </c>
      <c r="X216">
        <f t="shared" si="74"/>
        <v>3.0495736174852215E-2</v>
      </c>
      <c r="Y216">
        <f t="shared" si="75"/>
        <v>9.3746499154172199E-5</v>
      </c>
      <c r="Z216">
        <f t="shared" si="76"/>
        <v>2.437408978008477E-3</v>
      </c>
      <c r="AA216">
        <f t="shared" si="77"/>
        <v>7.6572515495124463E-2</v>
      </c>
      <c r="AB216">
        <f t="shared" si="78"/>
        <v>2.0985528821658061E-2</v>
      </c>
      <c r="AC216">
        <f t="shared" si="79"/>
        <v>2.5489485627021111E-2</v>
      </c>
      <c r="AD216">
        <f t="shared" si="80"/>
        <v>3.6272395452732306E-3</v>
      </c>
      <c r="AE216">
        <f t="shared" si="81"/>
        <v>2.4722451770941675E-2</v>
      </c>
      <c r="AG216">
        <f t="shared" si="82"/>
        <v>0.37344305422119811</v>
      </c>
      <c r="AH216">
        <f t="shared" si="83"/>
        <v>0.14737099661434513</v>
      </c>
      <c r="AI216">
        <f t="shared" si="84"/>
        <v>-0.8777622121603027</v>
      </c>
      <c r="AK216" s="26">
        <f t="shared" si="85"/>
        <v>5.5325143773090807E-2</v>
      </c>
      <c r="AL216" s="26">
        <f t="shared" si="86"/>
        <v>4.485826411932628E-2</v>
      </c>
      <c r="AM216" s="26">
        <f t="shared" si="87"/>
        <v>5.6179939112539518E-2</v>
      </c>
      <c r="AN216" s="26">
        <f t="shared" si="88"/>
        <v>13.449206349206349</v>
      </c>
      <c r="AO216" s="26">
        <f t="shared" si="89"/>
        <v>12.326228485370038</v>
      </c>
      <c r="AP216" s="26">
        <f t="shared" si="90"/>
        <v>11.301312465533982</v>
      </c>
      <c r="AS216" s="2">
        <v>45264</v>
      </c>
      <c r="AT216">
        <v>20.399999999999999</v>
      </c>
      <c r="AU216">
        <v>1.9</v>
      </c>
      <c r="AV216">
        <v>70.8</v>
      </c>
      <c r="AW216">
        <v>12.1</v>
      </c>
      <c r="AX216">
        <v>9.1999999999999993</v>
      </c>
      <c r="AY216">
        <v>0.5</v>
      </c>
      <c r="AZ216">
        <v>3.6</v>
      </c>
      <c r="BA216">
        <v>375.58019999999999</v>
      </c>
      <c r="BB216">
        <v>197.32329999999999</v>
      </c>
      <c r="BC216">
        <v>194.80070000000001</v>
      </c>
      <c r="BD216">
        <v>4.3564999999999996</v>
      </c>
      <c r="BE216">
        <v>29.1891</v>
      </c>
      <c r="BF216">
        <v>-10.082000000000001</v>
      </c>
      <c r="BG216">
        <v>-5.5128000000000004</v>
      </c>
      <c r="BH216">
        <v>93.3</v>
      </c>
    </row>
    <row r="217" spans="1:60" x14ac:dyDescent="0.25">
      <c r="A217" s="2">
        <v>45284</v>
      </c>
      <c r="B217">
        <v>18.5</v>
      </c>
      <c r="C217">
        <v>0</v>
      </c>
      <c r="D217">
        <v>65.2</v>
      </c>
      <c r="E217">
        <v>15</v>
      </c>
      <c r="F217">
        <v>13.36</v>
      </c>
      <c r="G217">
        <v>0.2</v>
      </c>
      <c r="H217">
        <v>3</v>
      </c>
      <c r="I217">
        <v>80.832700000000003</v>
      </c>
      <c r="J217">
        <v>22.465599999999998</v>
      </c>
      <c r="K217">
        <v>26.923300000000001</v>
      </c>
      <c r="L217">
        <v>3.7094</v>
      </c>
      <c r="M217">
        <v>15.2026</v>
      </c>
      <c r="P217">
        <v>87.05</v>
      </c>
      <c r="S217">
        <f t="shared" si="69"/>
        <v>264.39359999999999</v>
      </c>
      <c r="T217">
        <f t="shared" si="70"/>
        <v>1.7343102343521856E-2</v>
      </c>
      <c r="U217">
        <f t="shared" si="71"/>
        <v>0</v>
      </c>
      <c r="V217">
        <f t="shared" si="72"/>
        <v>6.112271744852027E-2</v>
      </c>
      <c r="W217">
        <f t="shared" si="73"/>
        <v>1.4061974873125828E-2</v>
      </c>
      <c r="X217">
        <f t="shared" si="74"/>
        <v>1.2524532286997405E-2</v>
      </c>
      <c r="Y217">
        <f t="shared" si="75"/>
        <v>1.874929983083444E-4</v>
      </c>
      <c r="Z217">
        <f t="shared" si="76"/>
        <v>2.8123949746251659E-3</v>
      </c>
      <c r="AA217">
        <f t="shared" si="77"/>
        <v>7.577782642179455E-2</v>
      </c>
      <c r="AB217">
        <f t="shared" si="78"/>
        <v>2.1060713513979708E-2</v>
      </c>
      <c r="AC217">
        <f t="shared" si="79"/>
        <v>2.5239651206775241E-2</v>
      </c>
      <c r="AD217">
        <f t="shared" si="80"/>
        <v>3.4774326396248634E-3</v>
      </c>
      <c r="AE217">
        <f t="shared" si="81"/>
        <v>1.4251905280412182E-2</v>
      </c>
      <c r="AG217">
        <f t="shared" si="82"/>
        <v>0.37484594281857692</v>
      </c>
      <c r="AH217">
        <f t="shared" si="83"/>
        <v>0.12230412020551104</v>
      </c>
      <c r="AI217">
        <f t="shared" si="84"/>
        <v>-1.0417191082211028</v>
      </c>
      <c r="AK217" s="26">
        <f t="shared" si="85"/>
        <v>5.3762017622273464E-2</v>
      </c>
      <c r="AL217" s="26">
        <f t="shared" si="86"/>
        <v>4.5339081805464615E-2</v>
      </c>
      <c r="AM217" s="26">
        <f t="shared" si="87"/>
        <v>5.3710455368423782E-2</v>
      </c>
      <c r="AN217" s="26">
        <f t="shared" si="88"/>
        <v>13.286984126984109</v>
      </c>
      <c r="AO217" s="26">
        <f t="shared" si="89"/>
        <v>12.238362736660903</v>
      </c>
      <c r="AP217" s="26">
        <f t="shared" si="90"/>
        <v>11.278057036317307</v>
      </c>
      <c r="AS217" s="2">
        <v>45263</v>
      </c>
      <c r="AT217">
        <v>21.1</v>
      </c>
      <c r="AU217">
        <v>51.1</v>
      </c>
      <c r="AV217">
        <v>36.1</v>
      </c>
      <c r="AW217">
        <v>3.9</v>
      </c>
      <c r="AX217">
        <v>23.83</v>
      </c>
      <c r="AY217">
        <v>0.5</v>
      </c>
      <c r="AZ217">
        <v>3.5</v>
      </c>
      <c r="BA217">
        <v>357.44569999999999</v>
      </c>
      <c r="BB217">
        <v>199.11699999999999</v>
      </c>
      <c r="BC217">
        <v>148.58099999999999</v>
      </c>
      <c r="BD217">
        <v>3.48</v>
      </c>
      <c r="BE217">
        <v>17.9314</v>
      </c>
      <c r="BH217">
        <v>93.89</v>
      </c>
    </row>
    <row r="218" spans="1:60" x14ac:dyDescent="0.25">
      <c r="A218" s="2">
        <v>45283</v>
      </c>
      <c r="B218">
        <v>18.600000000000001</v>
      </c>
      <c r="C218">
        <v>0.8</v>
      </c>
      <c r="D218">
        <v>62.3</v>
      </c>
      <c r="E218">
        <v>19.3</v>
      </c>
      <c r="F218">
        <v>12.53</v>
      </c>
      <c r="G218">
        <v>0.5</v>
      </c>
      <c r="H218">
        <v>2.9</v>
      </c>
      <c r="I218">
        <v>94.017300000000006</v>
      </c>
      <c r="J218">
        <v>36.113599999999998</v>
      </c>
      <c r="K218">
        <v>39.988199999999999</v>
      </c>
      <c r="L218">
        <v>3.87</v>
      </c>
      <c r="M218">
        <v>37.926200000000001</v>
      </c>
      <c r="P218">
        <v>87.1</v>
      </c>
      <c r="S218">
        <f t="shared" si="69"/>
        <v>328.84530000000001</v>
      </c>
      <c r="T218">
        <f t="shared" si="70"/>
        <v>1.7436848842676027E-2</v>
      </c>
      <c r="U218">
        <f t="shared" si="71"/>
        <v>7.4997199323337759E-4</v>
      </c>
      <c r="V218">
        <f t="shared" si="72"/>
        <v>5.840406897304927E-2</v>
      </c>
      <c r="W218">
        <f t="shared" si="73"/>
        <v>1.8093074336755232E-2</v>
      </c>
      <c r="X218">
        <f t="shared" si="74"/>
        <v>1.1746436344017775E-2</v>
      </c>
      <c r="Y218">
        <f t="shared" si="75"/>
        <v>4.6873249577086097E-4</v>
      </c>
      <c r="Z218">
        <f t="shared" si="76"/>
        <v>2.7186484754709935E-3</v>
      </c>
      <c r="AA218">
        <f t="shared" si="77"/>
        <v>8.813792734927553E-2</v>
      </c>
      <c r="AB218">
        <f t="shared" si="78"/>
        <v>3.3855235718541127E-2</v>
      </c>
      <c r="AC218">
        <f t="shared" si="79"/>
        <v>3.7487537574768685E-2</v>
      </c>
      <c r="AD218">
        <f t="shared" si="80"/>
        <v>3.6279895172664639E-3</v>
      </c>
      <c r="AE218">
        <f t="shared" si="81"/>
        <v>3.5554484762209654E-2</v>
      </c>
      <c r="AG218">
        <f t="shared" si="82"/>
        <v>0.37767754648835344</v>
      </c>
      <c r="AH218">
        <f t="shared" si="83"/>
        <v>0.14517226622318319</v>
      </c>
      <c r="AI218">
        <f t="shared" si="84"/>
        <v>-0.89036149272177245</v>
      </c>
      <c r="AK218" s="26">
        <f t="shared" si="85"/>
        <v>5.4245578433347055E-2</v>
      </c>
      <c r="AL218" s="26">
        <f t="shared" si="86"/>
        <v>4.5051724219456413E-2</v>
      </c>
      <c r="AM218" s="26">
        <f t="shared" si="87"/>
        <v>5.1885106594406261E-2</v>
      </c>
      <c r="AN218" s="26">
        <f t="shared" si="88"/>
        <v>13.134603174603171</v>
      </c>
      <c r="AO218" s="26">
        <f t="shared" si="89"/>
        <v>12.152086919104974</v>
      </c>
      <c r="AP218" s="26">
        <f t="shared" si="90"/>
        <v>11.256237493763265</v>
      </c>
      <c r="AS218" s="2">
        <v>45262</v>
      </c>
      <c r="AT218">
        <v>20.9</v>
      </c>
      <c r="AU218">
        <v>21.1</v>
      </c>
      <c r="AV218">
        <v>12.3</v>
      </c>
      <c r="AW218">
        <v>1.8</v>
      </c>
      <c r="AX218">
        <v>10.52</v>
      </c>
      <c r="AY218">
        <v>0.5</v>
      </c>
      <c r="AZ218">
        <v>3.6</v>
      </c>
      <c r="BA218">
        <v>364.92809999999997</v>
      </c>
      <c r="BB218">
        <v>216.2389</v>
      </c>
      <c r="BC218">
        <v>198.8837</v>
      </c>
      <c r="BD218">
        <v>3.48</v>
      </c>
      <c r="BE218">
        <v>24.6814</v>
      </c>
      <c r="BH218">
        <v>94.32</v>
      </c>
    </row>
    <row r="219" spans="1:60" x14ac:dyDescent="0.25">
      <c r="A219" s="2">
        <v>45282</v>
      </c>
      <c r="B219">
        <v>19.3</v>
      </c>
      <c r="C219">
        <v>1.2</v>
      </c>
      <c r="D219">
        <v>84.1</v>
      </c>
      <c r="E219">
        <v>30.9</v>
      </c>
      <c r="F219">
        <v>19.87</v>
      </c>
      <c r="G219">
        <v>0.5</v>
      </c>
      <c r="H219">
        <v>3.2</v>
      </c>
      <c r="I219">
        <v>91.697100000000006</v>
      </c>
      <c r="J219">
        <v>34.863</v>
      </c>
      <c r="K219">
        <v>36.922800000000002</v>
      </c>
      <c r="L219">
        <v>3.8632</v>
      </c>
      <c r="M219">
        <v>30.3291</v>
      </c>
      <c r="N219">
        <v>-10.7837</v>
      </c>
      <c r="O219">
        <v>-16.581600000000002</v>
      </c>
      <c r="P219">
        <v>87.21</v>
      </c>
      <c r="S219">
        <f t="shared" si="69"/>
        <v>356.74519999999995</v>
      </c>
      <c r="T219">
        <f t="shared" si="70"/>
        <v>1.8093074336755232E-2</v>
      </c>
      <c r="U219">
        <f t="shared" si="71"/>
        <v>1.1249579898500663E-3</v>
      </c>
      <c r="V219">
        <f t="shared" si="72"/>
        <v>7.8840805788658805E-2</v>
      </c>
      <c r="W219">
        <f t="shared" si="73"/>
        <v>2.8967668238639204E-2</v>
      </c>
      <c r="X219">
        <f t="shared" si="74"/>
        <v>1.8627429381934017E-2</v>
      </c>
      <c r="Y219">
        <f t="shared" si="75"/>
        <v>4.6873249577086097E-4</v>
      </c>
      <c r="Z219">
        <f t="shared" si="76"/>
        <v>2.9998879729335104E-3</v>
      </c>
      <c r="AA219">
        <f t="shared" si="77"/>
        <v>8.5962821075900434E-2</v>
      </c>
      <c r="AB219">
        <f t="shared" si="78"/>
        <v>3.2682842000119047E-2</v>
      </c>
      <c r="AC219">
        <f t="shared" si="79"/>
        <v>3.4613832389696689E-2</v>
      </c>
      <c r="AD219">
        <f t="shared" si="80"/>
        <v>3.62161475532398E-3</v>
      </c>
      <c r="AE219">
        <f t="shared" si="81"/>
        <v>2.8432469474968039E-2</v>
      </c>
      <c r="AG219">
        <f t="shared" si="82"/>
        <v>0.38334568748132564</v>
      </c>
      <c r="AH219">
        <f t="shared" si="83"/>
        <v>0.17755502567950976</v>
      </c>
      <c r="AI219">
        <f t="shared" si="84"/>
        <v>-0.67552555941248371</v>
      </c>
      <c r="AK219" s="26">
        <f t="shared" si="85"/>
        <v>5.0408755940877431E-2</v>
      </c>
      <c r="AL219" s="26">
        <f t="shared" si="86"/>
        <v>4.4068853933953239E-2</v>
      </c>
      <c r="AM219" s="26">
        <f t="shared" si="87"/>
        <v>5.2544191357940584E-2</v>
      </c>
      <c r="AN219" s="26">
        <f t="shared" si="88"/>
        <v>12.987301587301587</v>
      </c>
      <c r="AO219" s="26">
        <f t="shared" si="89"/>
        <v>12.067786144578307</v>
      </c>
      <c r="AP219" s="26">
        <f t="shared" si="90"/>
        <v>11.23860560384442</v>
      </c>
      <c r="AS219" s="2">
        <v>45261</v>
      </c>
      <c r="AT219">
        <v>21</v>
      </c>
      <c r="AU219">
        <v>33.6</v>
      </c>
      <c r="AV219">
        <v>25.1</v>
      </c>
      <c r="AW219">
        <v>1.7</v>
      </c>
      <c r="AX219">
        <v>8.4499999999999993</v>
      </c>
      <c r="AY219">
        <v>0.5</v>
      </c>
      <c r="AZ219">
        <v>3.7</v>
      </c>
      <c r="BA219">
        <v>372.48770000000002</v>
      </c>
      <c r="BB219">
        <v>236.46449999999999</v>
      </c>
      <c r="BC219">
        <v>232.41720000000001</v>
      </c>
      <c r="BD219">
        <v>4.7588999999999997</v>
      </c>
      <c r="BE219">
        <v>37.071800000000003</v>
      </c>
      <c r="BF219">
        <v>-12.677</v>
      </c>
      <c r="BG219">
        <v>-3.0105</v>
      </c>
      <c r="BH219">
        <v>94.8</v>
      </c>
    </row>
    <row r="220" spans="1:60" x14ac:dyDescent="0.25">
      <c r="A220" s="2">
        <v>45281</v>
      </c>
      <c r="B220">
        <v>17.899999999999999</v>
      </c>
      <c r="C220">
        <v>0.5</v>
      </c>
      <c r="D220">
        <v>70.900000000000006</v>
      </c>
      <c r="E220">
        <v>32.4</v>
      </c>
      <c r="F220">
        <v>11.2</v>
      </c>
      <c r="G220">
        <v>0.4</v>
      </c>
      <c r="H220">
        <v>3.4</v>
      </c>
      <c r="I220">
        <v>92.671199999999999</v>
      </c>
      <c r="J220">
        <v>52.622100000000003</v>
      </c>
      <c r="K220">
        <v>38.4895</v>
      </c>
      <c r="L220">
        <v>4.1698000000000004</v>
      </c>
      <c r="M220">
        <v>25.333300000000001</v>
      </c>
      <c r="N220">
        <v>-12.806100000000001</v>
      </c>
      <c r="O220">
        <v>-18.657800000000002</v>
      </c>
      <c r="P220">
        <v>87.39</v>
      </c>
      <c r="S220">
        <f t="shared" si="69"/>
        <v>349.98590000000007</v>
      </c>
      <c r="T220">
        <f t="shared" si="70"/>
        <v>1.678062334859682E-2</v>
      </c>
      <c r="U220">
        <f t="shared" si="71"/>
        <v>4.6873249577086097E-4</v>
      </c>
      <c r="V220">
        <f t="shared" si="72"/>
        <v>6.6466267900308088E-2</v>
      </c>
      <c r="W220">
        <f t="shared" si="73"/>
        <v>3.0373865725951788E-2</v>
      </c>
      <c r="X220">
        <f t="shared" si="74"/>
        <v>1.0499607905267284E-2</v>
      </c>
      <c r="Y220">
        <f t="shared" si="75"/>
        <v>3.7498599661668879E-4</v>
      </c>
      <c r="Z220">
        <f t="shared" si="76"/>
        <v>3.1873809712418544E-3</v>
      </c>
      <c r="AA220">
        <f t="shared" si="77"/>
        <v>8.6876005724161223E-2</v>
      </c>
      <c r="AB220">
        <f t="shared" si="78"/>
        <v>4.933137653140765E-2</v>
      </c>
      <c r="AC220">
        <f t="shared" si="79"/>
        <v>3.6082558791945107E-2</v>
      </c>
      <c r="AD220">
        <f t="shared" si="80"/>
        <v>3.9090415217306728E-3</v>
      </c>
      <c r="AE220">
        <f t="shared" si="81"/>
        <v>2.3749081870223905E-2</v>
      </c>
      <c r="AG220">
        <f t="shared" si="82"/>
        <v>0.39231494180767673</v>
      </c>
      <c r="AH220">
        <f t="shared" si="83"/>
        <v>0.15190054621397728</v>
      </c>
      <c r="AI220">
        <f t="shared" si="84"/>
        <v>-0.84041002253503205</v>
      </c>
      <c r="AK220" s="26">
        <f t="shared" si="85"/>
        <v>4.6896937680578704E-2</v>
      </c>
      <c r="AL220" s="26">
        <f t="shared" si="86"/>
        <v>4.2377341537954916E-2</v>
      </c>
      <c r="AM220" s="26">
        <f t="shared" si="87"/>
        <v>5.2558728579141484E-2</v>
      </c>
      <c r="AN220" s="26">
        <f t="shared" si="88"/>
        <v>12.851111111111109</v>
      </c>
      <c r="AO220" s="26">
        <f t="shared" si="89"/>
        <v>11.985836919104997</v>
      </c>
      <c r="AP220" s="26">
        <f t="shared" si="90"/>
        <v>11.225783461568753</v>
      </c>
      <c r="AS220" s="2">
        <v>45260</v>
      </c>
      <c r="AT220">
        <v>22.1</v>
      </c>
      <c r="AU220">
        <v>55.5</v>
      </c>
      <c r="AV220">
        <v>16.7</v>
      </c>
      <c r="AW220">
        <v>1.3</v>
      </c>
      <c r="AX220">
        <v>17.309999999999999</v>
      </c>
      <c r="AY220">
        <v>0.5</v>
      </c>
      <c r="AZ220">
        <v>3.4</v>
      </c>
      <c r="BA220">
        <v>363.27519999999998</v>
      </c>
      <c r="BB220">
        <v>236.87389999999999</v>
      </c>
      <c r="BC220">
        <v>232.62899999999999</v>
      </c>
      <c r="BD220">
        <v>4.0350999999999999</v>
      </c>
      <c r="BE220">
        <v>37.536000000000001</v>
      </c>
      <c r="BF220">
        <v>-21.7181</v>
      </c>
      <c r="BG220">
        <v>-16.7438</v>
      </c>
      <c r="BH220">
        <v>95.33</v>
      </c>
    </row>
    <row r="221" spans="1:60" x14ac:dyDescent="0.25">
      <c r="A221" s="2">
        <v>45280</v>
      </c>
      <c r="B221">
        <v>18.100000000000001</v>
      </c>
      <c r="C221">
        <v>0.7</v>
      </c>
      <c r="D221">
        <v>67.7</v>
      </c>
      <c r="E221">
        <v>26.3</v>
      </c>
      <c r="F221">
        <v>28.28</v>
      </c>
      <c r="G221">
        <v>0.1</v>
      </c>
      <c r="H221">
        <v>3.3</v>
      </c>
      <c r="I221">
        <v>134.40110000000001</v>
      </c>
      <c r="J221">
        <v>68.977000000000004</v>
      </c>
      <c r="K221">
        <v>92.866500000000002</v>
      </c>
      <c r="L221">
        <v>4.4649999999999999</v>
      </c>
      <c r="M221">
        <v>26.930099999999999</v>
      </c>
      <c r="N221">
        <v>-13.897</v>
      </c>
      <c r="O221">
        <v>-19.780999999999999</v>
      </c>
      <c r="P221">
        <v>87.61</v>
      </c>
      <c r="S221">
        <f t="shared" si="69"/>
        <v>472.11969999999997</v>
      </c>
      <c r="T221">
        <f t="shared" si="70"/>
        <v>1.696811634690517E-2</v>
      </c>
      <c r="U221">
        <f t="shared" si="71"/>
        <v>6.5622549407920526E-4</v>
      </c>
      <c r="V221">
        <f t="shared" si="72"/>
        <v>6.3466379927374569E-2</v>
      </c>
      <c r="W221">
        <f t="shared" si="73"/>
        <v>2.4655329277547287E-2</v>
      </c>
      <c r="X221">
        <f t="shared" si="74"/>
        <v>2.6511509960799897E-2</v>
      </c>
      <c r="Y221">
        <f t="shared" si="75"/>
        <v>9.3746499154172199E-5</v>
      </c>
      <c r="Z221">
        <f t="shared" si="76"/>
        <v>3.0936344720876819E-3</v>
      </c>
      <c r="AA221">
        <f t="shared" si="77"/>
        <v>0.12599632607469813</v>
      </c>
      <c r="AB221">
        <f t="shared" si="78"/>
        <v>6.4663522721573358E-2</v>
      </c>
      <c r="AC221">
        <f t="shared" si="79"/>
        <v>8.7059092637009325E-2</v>
      </c>
      <c r="AD221">
        <f t="shared" si="80"/>
        <v>4.1857811872337879E-3</v>
      </c>
      <c r="AE221">
        <f t="shared" si="81"/>
        <v>2.5246025968717726E-2</v>
      </c>
      <c r="AG221">
        <f t="shared" si="82"/>
        <v>0.40317588107605679</v>
      </c>
      <c r="AH221">
        <f t="shared" si="83"/>
        <v>0.16069096794666571</v>
      </c>
      <c r="AI221">
        <f t="shared" si="84"/>
        <v>-0.7822054893356214</v>
      </c>
      <c r="AK221" s="26">
        <f t="shared" si="85"/>
        <v>4.7022007414767711E-2</v>
      </c>
      <c r="AL221" s="26">
        <f t="shared" si="86"/>
        <v>4.1381597082834287E-2</v>
      </c>
      <c r="AM221" s="26">
        <f t="shared" si="87"/>
        <v>5.4057353413693887E-2</v>
      </c>
      <c r="AN221" s="26">
        <f t="shared" si="88"/>
        <v>12.728412698412654</v>
      </c>
      <c r="AO221" s="26">
        <f t="shared" si="89"/>
        <v>11.907370912220316</v>
      </c>
      <c r="AP221" s="26">
        <f t="shared" si="90"/>
        <v>11.214492003886434</v>
      </c>
      <c r="AS221" s="2">
        <v>45259</v>
      </c>
      <c r="AT221">
        <v>22.2</v>
      </c>
      <c r="AU221">
        <v>41.1</v>
      </c>
      <c r="AV221">
        <v>36</v>
      </c>
      <c r="AW221">
        <v>11.4</v>
      </c>
      <c r="AX221">
        <v>23.74</v>
      </c>
      <c r="AY221">
        <v>0.4</v>
      </c>
      <c r="AZ221">
        <v>3.4</v>
      </c>
      <c r="BA221">
        <v>347.70580000000001</v>
      </c>
      <c r="BB221">
        <v>218.52940000000001</v>
      </c>
      <c r="BC221">
        <v>170.6284</v>
      </c>
      <c r="BD221">
        <v>4.0152000000000001</v>
      </c>
      <c r="BE221">
        <v>27.952500000000001</v>
      </c>
      <c r="BF221">
        <v>-19.165900000000001</v>
      </c>
      <c r="BG221">
        <v>-13.7409</v>
      </c>
      <c r="BH221">
        <v>95.91</v>
      </c>
    </row>
    <row r="222" spans="1:60" x14ac:dyDescent="0.25">
      <c r="A222" s="2">
        <v>45279</v>
      </c>
      <c r="B222">
        <v>18</v>
      </c>
      <c r="C222">
        <v>0.6</v>
      </c>
      <c r="D222">
        <v>61.2</v>
      </c>
      <c r="E222">
        <v>19.7</v>
      </c>
      <c r="F222">
        <v>43.46</v>
      </c>
      <c r="G222">
        <v>0.3</v>
      </c>
      <c r="H222">
        <v>3.1</v>
      </c>
      <c r="I222">
        <v>207.4545</v>
      </c>
      <c r="J222">
        <v>77.587699999999998</v>
      </c>
      <c r="K222">
        <v>101.49169999999999</v>
      </c>
      <c r="L222">
        <v>3.1583000000000001</v>
      </c>
      <c r="M222">
        <v>29.630199999999999</v>
      </c>
      <c r="N222">
        <v>-15.283899999999999</v>
      </c>
      <c r="O222">
        <v>-21.2898</v>
      </c>
      <c r="P222">
        <v>87.93</v>
      </c>
      <c r="S222">
        <f t="shared" si="69"/>
        <v>565.68240000000003</v>
      </c>
      <c r="T222">
        <f t="shared" si="70"/>
        <v>1.6874369847750995E-2</v>
      </c>
      <c r="U222">
        <f t="shared" si="71"/>
        <v>5.6247899492503314E-4</v>
      </c>
      <c r="V222">
        <f t="shared" si="72"/>
        <v>5.7372857482353386E-2</v>
      </c>
      <c r="W222">
        <f t="shared" si="73"/>
        <v>1.8468060333371922E-2</v>
      </c>
      <c r="X222">
        <f t="shared" si="74"/>
        <v>4.0742228532403238E-2</v>
      </c>
      <c r="Y222">
        <f t="shared" si="75"/>
        <v>2.8123949746251657E-4</v>
      </c>
      <c r="Z222">
        <f t="shared" si="76"/>
        <v>2.9061414737793379E-3</v>
      </c>
      <c r="AA222">
        <f t="shared" si="77"/>
        <v>0.19448133108779214</v>
      </c>
      <c r="AB222">
        <f t="shared" si="78"/>
        <v>7.2735752524241651E-2</v>
      </c>
      <c r="AC222">
        <f t="shared" si="79"/>
        <v>9.5144915682054979E-2</v>
      </c>
      <c r="AD222">
        <f t="shared" si="80"/>
        <v>2.9607956827862204E-3</v>
      </c>
      <c r="AE222">
        <f t="shared" si="81"/>
        <v>2.7777275192379526E-2</v>
      </c>
      <c r="AG222">
        <f t="shared" si="82"/>
        <v>0.41874621144557328</v>
      </c>
      <c r="AH222">
        <f t="shared" si="83"/>
        <v>0.16498465135442594</v>
      </c>
      <c r="AI222">
        <f t="shared" si="84"/>
        <v>-0.75392791015404992</v>
      </c>
      <c r="AK222" s="26">
        <f t="shared" si="85"/>
        <v>4.6087990211139365E-2</v>
      </c>
      <c r="AL222" s="26">
        <f t="shared" si="86"/>
        <v>4.1071641023827266E-2</v>
      </c>
      <c r="AM222" s="26">
        <f t="shared" si="87"/>
        <v>5.4270469727242282E-2</v>
      </c>
      <c r="AN222" s="26">
        <f t="shared" si="88"/>
        <v>12.619523809523784</v>
      </c>
      <c r="AO222" s="26">
        <f t="shared" si="89"/>
        <v>11.836073580034466</v>
      </c>
      <c r="AP222" s="26">
        <f t="shared" si="90"/>
        <v>11.206332554292175</v>
      </c>
      <c r="AS222" s="2">
        <v>45258</v>
      </c>
      <c r="AT222">
        <v>20.5</v>
      </c>
      <c r="AU222">
        <v>35.1</v>
      </c>
      <c r="AV222">
        <v>57.2</v>
      </c>
      <c r="AW222">
        <v>9.1999999999999993</v>
      </c>
      <c r="AX222">
        <v>17.329999999999998</v>
      </c>
      <c r="AY222">
        <v>0.1</v>
      </c>
      <c r="AZ222">
        <v>3.4</v>
      </c>
      <c r="BA222">
        <v>315.9239</v>
      </c>
      <c r="BB222">
        <v>203.8535</v>
      </c>
      <c r="BC222">
        <v>197.32249999999999</v>
      </c>
      <c r="BD222">
        <v>3.5112999999999999</v>
      </c>
      <c r="BE222">
        <v>31.7211</v>
      </c>
      <c r="BF222">
        <v>-22.528600000000001</v>
      </c>
      <c r="BG222">
        <v>-13.0456</v>
      </c>
      <c r="BH222">
        <v>96.49</v>
      </c>
    </row>
    <row r="223" spans="1:60" x14ac:dyDescent="0.25">
      <c r="A223" s="2">
        <v>45278</v>
      </c>
      <c r="B223">
        <v>17</v>
      </c>
      <c r="C223">
        <v>1.3</v>
      </c>
      <c r="D223">
        <v>68.8</v>
      </c>
      <c r="E223">
        <v>19.5</v>
      </c>
      <c r="F223">
        <v>66.25</v>
      </c>
      <c r="G223">
        <v>0.5</v>
      </c>
      <c r="H223">
        <v>2.8</v>
      </c>
      <c r="I223">
        <v>169.88720000000001</v>
      </c>
      <c r="J223">
        <v>102.31780000000001</v>
      </c>
      <c r="K223">
        <v>107.2495</v>
      </c>
      <c r="L223">
        <v>4.5993000000000004</v>
      </c>
      <c r="M223">
        <v>31.322900000000001</v>
      </c>
      <c r="N223">
        <v>-16.438500000000001</v>
      </c>
      <c r="O223">
        <v>-17.132300000000001</v>
      </c>
      <c r="P223">
        <v>88.31</v>
      </c>
      <c r="S223">
        <f t="shared" si="69"/>
        <v>591.52670000000001</v>
      </c>
      <c r="T223">
        <f t="shared" si="70"/>
        <v>1.5936904856209272E-2</v>
      </c>
      <c r="U223">
        <f t="shared" si="71"/>
        <v>1.2187044890042385E-3</v>
      </c>
      <c r="V223">
        <f t="shared" si="72"/>
        <v>6.449759141807046E-2</v>
      </c>
      <c r="W223">
        <f t="shared" si="73"/>
        <v>1.8280567335063579E-2</v>
      </c>
      <c r="X223">
        <f t="shared" si="74"/>
        <v>6.2107055689639076E-2</v>
      </c>
      <c r="Y223">
        <f t="shared" si="75"/>
        <v>4.6873249577086097E-4</v>
      </c>
      <c r="Z223">
        <f t="shared" si="76"/>
        <v>2.624901976316821E-3</v>
      </c>
      <c r="AA223">
        <f t="shared" si="77"/>
        <v>0.15926330251104681</v>
      </c>
      <c r="AB223">
        <f t="shared" si="78"/>
        <v>9.5919355511567606E-2</v>
      </c>
      <c r="AC223">
        <f t="shared" si="79"/>
        <v>0.1005426516103539</v>
      </c>
      <c r="AD223">
        <f t="shared" si="80"/>
        <v>4.311682735597842E-3</v>
      </c>
      <c r="AE223">
        <f t="shared" si="81"/>
        <v>2.9364122183562203E-2</v>
      </c>
      <c r="AG223">
        <f t="shared" si="82"/>
        <v>0.43714315861186914</v>
      </c>
      <c r="AH223">
        <f t="shared" si="83"/>
        <v>0.19449858044363652</v>
      </c>
      <c r="AI223">
        <f t="shared" si="84"/>
        <v>-0.56207757235672839</v>
      </c>
      <c r="AK223" s="26">
        <f t="shared" si="85"/>
        <v>4.6671175278060098E-2</v>
      </c>
      <c r="AL223" s="26">
        <f t="shared" si="86"/>
        <v>3.9264078005161518E-2</v>
      </c>
      <c r="AM223" s="26">
        <f t="shared" si="87"/>
        <v>5.468333451368998E-2</v>
      </c>
      <c r="AN223" s="26">
        <f t="shared" si="88"/>
        <v>12.521269841269813</v>
      </c>
      <c r="AO223" s="26">
        <f t="shared" si="89"/>
        <v>11.761536144578344</v>
      </c>
      <c r="AP223" s="26">
        <f t="shared" si="90"/>
        <v>11.200626296578335</v>
      </c>
      <c r="AS223" s="2">
        <v>45257</v>
      </c>
      <c r="AT223">
        <v>19</v>
      </c>
      <c r="AU223">
        <v>35.700000000000003</v>
      </c>
      <c r="AV223">
        <v>57.1</v>
      </c>
      <c r="AW223">
        <v>12.1</v>
      </c>
      <c r="AX223">
        <v>24.52</v>
      </c>
      <c r="AY223">
        <v>0.1</v>
      </c>
      <c r="AZ223">
        <v>3.5</v>
      </c>
      <c r="BA223">
        <v>363.77670000000001</v>
      </c>
      <c r="BB223">
        <v>171.63130000000001</v>
      </c>
      <c r="BC223">
        <v>166.6953</v>
      </c>
      <c r="BD223">
        <v>3.48</v>
      </c>
      <c r="BE223">
        <v>23.603999999999999</v>
      </c>
      <c r="BF223">
        <v>-23.081600000000002</v>
      </c>
      <c r="BG223">
        <v>-12.557399999999999</v>
      </c>
      <c r="BH223">
        <v>96.99</v>
      </c>
    </row>
    <row r="224" spans="1:60" x14ac:dyDescent="0.25">
      <c r="A224" s="2">
        <v>45277</v>
      </c>
      <c r="B224">
        <v>17.399999999999999</v>
      </c>
      <c r="C224">
        <v>0</v>
      </c>
      <c r="D224">
        <v>55.7</v>
      </c>
      <c r="E224">
        <v>23.3</v>
      </c>
      <c r="F224">
        <v>60.59</v>
      </c>
      <c r="G224">
        <v>0.5</v>
      </c>
      <c r="H224">
        <v>3.2</v>
      </c>
      <c r="I224">
        <v>152.6293</v>
      </c>
      <c r="J224">
        <v>89.164199999999994</v>
      </c>
      <c r="K224">
        <v>67.935299999999998</v>
      </c>
      <c r="L224">
        <v>4.1208</v>
      </c>
      <c r="M224">
        <v>18.031600000000001</v>
      </c>
      <c r="P224">
        <v>88.67</v>
      </c>
      <c r="S224">
        <f t="shared" si="69"/>
        <v>492.57119999999998</v>
      </c>
      <c r="T224">
        <f t="shared" si="70"/>
        <v>1.6311890852825958E-2</v>
      </c>
      <c r="U224">
        <f t="shared" si="71"/>
        <v>0</v>
      </c>
      <c r="V224">
        <f t="shared" si="72"/>
        <v>5.2216800028873911E-2</v>
      </c>
      <c r="W224">
        <f t="shared" si="73"/>
        <v>2.1842934302922123E-2</v>
      </c>
      <c r="X224">
        <f t="shared" si="74"/>
        <v>5.6801003837512937E-2</v>
      </c>
      <c r="Y224">
        <f t="shared" si="75"/>
        <v>4.6873249577086097E-4</v>
      </c>
      <c r="Z224">
        <f t="shared" si="76"/>
        <v>2.9998879729335104E-3</v>
      </c>
      <c r="AA224">
        <f t="shared" si="77"/>
        <v>0.14308462543351894</v>
      </c>
      <c r="AB224">
        <f t="shared" si="78"/>
        <v>8.3588315998824395E-2</v>
      </c>
      <c r="AC224">
        <f t="shared" si="79"/>
        <v>6.3686965439884335E-2</v>
      </c>
      <c r="AD224">
        <f t="shared" si="80"/>
        <v>3.8631057371451278E-3</v>
      </c>
      <c r="AE224">
        <f t="shared" si="81"/>
        <v>1.6903993741483714E-2</v>
      </c>
      <c r="AG224">
        <f t="shared" si="82"/>
        <v>0.45460214773408342</v>
      </c>
      <c r="AH224">
        <f t="shared" si="83"/>
        <v>0.16754524323232303</v>
      </c>
      <c r="AI224">
        <f t="shared" si="84"/>
        <v>-0.73479399936240164</v>
      </c>
      <c r="AK224" s="26">
        <f t="shared" si="85"/>
        <v>4.4495089874582699E-2</v>
      </c>
      <c r="AL224" s="26">
        <f t="shared" si="86"/>
        <v>3.8580795916055344E-2</v>
      </c>
      <c r="AM224" s="26">
        <f t="shared" si="87"/>
        <v>5.2623135663744075E-2</v>
      </c>
      <c r="AN224" s="26">
        <f t="shared" si="88"/>
        <v>12.430476190476156</v>
      </c>
      <c r="AO224" s="26">
        <f t="shared" si="89"/>
        <v>11.687515060240997</v>
      </c>
      <c r="AP224" s="26">
        <f t="shared" si="90"/>
        <v>11.195866179984762</v>
      </c>
      <c r="AS224" s="2">
        <v>45256</v>
      </c>
      <c r="AT224">
        <v>19.2</v>
      </c>
      <c r="AU224">
        <v>61.6</v>
      </c>
      <c r="AV224">
        <v>21.5</v>
      </c>
      <c r="AW224">
        <v>4.7</v>
      </c>
      <c r="AX224">
        <v>38.65</v>
      </c>
      <c r="AY224">
        <v>0.1</v>
      </c>
      <c r="AZ224">
        <v>3.5</v>
      </c>
      <c r="BA224">
        <v>332.20490000000001</v>
      </c>
      <c r="BB224">
        <v>176.44290000000001</v>
      </c>
      <c r="BC224">
        <v>121.7009</v>
      </c>
      <c r="BD224">
        <v>3.48</v>
      </c>
      <c r="BE224">
        <v>13.1755</v>
      </c>
      <c r="BH224">
        <v>97.42</v>
      </c>
    </row>
    <row r="225" spans="1:60" x14ac:dyDescent="0.25">
      <c r="A225" s="2">
        <v>45276</v>
      </c>
      <c r="B225">
        <v>18</v>
      </c>
      <c r="C225">
        <v>0</v>
      </c>
      <c r="D225">
        <v>75.599999999999994</v>
      </c>
      <c r="E225">
        <v>20.9</v>
      </c>
      <c r="F225">
        <v>44.01</v>
      </c>
      <c r="G225">
        <v>0.5</v>
      </c>
      <c r="H225">
        <v>3.3</v>
      </c>
      <c r="I225">
        <v>179.494</v>
      </c>
      <c r="J225">
        <v>68.810500000000005</v>
      </c>
      <c r="K225">
        <v>77.327500000000001</v>
      </c>
      <c r="L225">
        <v>4.1273</v>
      </c>
      <c r="M225">
        <v>21.7499</v>
      </c>
      <c r="P225">
        <v>88.85</v>
      </c>
      <c r="S225">
        <f t="shared" si="69"/>
        <v>513.81919999999991</v>
      </c>
      <c r="T225">
        <f t="shared" si="70"/>
        <v>1.6874369847750995E-2</v>
      </c>
      <c r="U225">
        <f t="shared" si="71"/>
        <v>0</v>
      </c>
      <c r="V225">
        <f t="shared" si="72"/>
        <v>7.0872353360554169E-2</v>
      </c>
      <c r="W225">
        <f t="shared" si="73"/>
        <v>1.9593018323221988E-2</v>
      </c>
      <c r="X225">
        <f t="shared" si="74"/>
        <v>4.1257834277751176E-2</v>
      </c>
      <c r="Y225">
        <f t="shared" si="75"/>
        <v>4.6873249577086097E-4</v>
      </c>
      <c r="Z225">
        <f t="shared" si="76"/>
        <v>3.0936344720876819E-3</v>
      </c>
      <c r="AA225">
        <f t="shared" si="77"/>
        <v>0.16826934119178982</v>
      </c>
      <c r="AB225">
        <f t="shared" si="78"/>
        <v>6.4507434800481656E-2</v>
      </c>
      <c r="AC225">
        <f t="shared" si="79"/>
        <v>7.2491824133442503E-2</v>
      </c>
      <c r="AD225">
        <f t="shared" si="80"/>
        <v>3.8691992595901487E-3</v>
      </c>
      <c r="AE225">
        <f t="shared" si="81"/>
        <v>2.0389769819533297E-2</v>
      </c>
      <c r="AG225">
        <f t="shared" si="82"/>
        <v>0.46360353122291986</v>
      </c>
      <c r="AH225">
        <f t="shared" si="83"/>
        <v>0.17254971259667018</v>
      </c>
      <c r="AI225">
        <f t="shared" si="84"/>
        <v>-0.69821226474453424</v>
      </c>
      <c r="AK225" s="26">
        <f t="shared" si="85"/>
        <v>4.141246838408616E-2</v>
      </c>
      <c r="AL225" s="26">
        <f t="shared" si="86"/>
        <v>3.8441233054222118E-2</v>
      </c>
      <c r="AM225" s="26">
        <f t="shared" si="87"/>
        <v>5.1582961396226479E-2</v>
      </c>
      <c r="AN225" s="26">
        <f t="shared" si="88"/>
        <v>12.346666666666621</v>
      </c>
      <c r="AO225" s="26">
        <f t="shared" si="89"/>
        <v>11.615027969018968</v>
      </c>
      <c r="AP225" s="26">
        <f t="shared" si="90"/>
        <v>11.192056406081761</v>
      </c>
      <c r="AS225" s="2">
        <v>45255</v>
      </c>
      <c r="AT225">
        <v>19.600000000000001</v>
      </c>
      <c r="AU225">
        <v>183.1</v>
      </c>
      <c r="AV225">
        <v>69.5</v>
      </c>
      <c r="AW225">
        <v>15.2</v>
      </c>
      <c r="AX225">
        <v>34.020000000000003</v>
      </c>
      <c r="AY225">
        <v>0.1</v>
      </c>
      <c r="AZ225">
        <v>3.4</v>
      </c>
      <c r="BA225">
        <v>219.76320000000001</v>
      </c>
      <c r="BB225">
        <v>102.12609999999999</v>
      </c>
      <c r="BC225">
        <v>89.1601</v>
      </c>
      <c r="BD225">
        <v>3.48</v>
      </c>
      <c r="BE225">
        <v>14.2464</v>
      </c>
      <c r="BH225">
        <v>97.68</v>
      </c>
    </row>
    <row r="226" spans="1:60" x14ac:dyDescent="0.25">
      <c r="A226" s="2">
        <v>45275</v>
      </c>
      <c r="B226">
        <v>18.100000000000001</v>
      </c>
      <c r="C226">
        <v>29.9</v>
      </c>
      <c r="D226">
        <v>51.6</v>
      </c>
      <c r="E226">
        <v>9.9</v>
      </c>
      <c r="F226">
        <v>23.8</v>
      </c>
      <c r="G226">
        <v>0.4</v>
      </c>
      <c r="H226">
        <v>3.5</v>
      </c>
      <c r="I226">
        <v>374.39330000000001</v>
      </c>
      <c r="J226">
        <v>117.6011</v>
      </c>
      <c r="K226">
        <v>148.41030000000001</v>
      </c>
      <c r="L226">
        <v>3.9910999999999999</v>
      </c>
      <c r="M226">
        <v>27.025099999999998</v>
      </c>
      <c r="N226">
        <v>-12.622999999999999</v>
      </c>
      <c r="O226">
        <v>-17.0276</v>
      </c>
      <c r="P226">
        <v>89.01</v>
      </c>
      <c r="S226">
        <f t="shared" si="69"/>
        <v>808.62089999999989</v>
      </c>
      <c r="T226">
        <f t="shared" si="70"/>
        <v>1.696811634690517E-2</v>
      </c>
      <c r="U226">
        <f t="shared" si="71"/>
        <v>2.8030203247097485E-2</v>
      </c>
      <c r="V226">
        <f t="shared" si="72"/>
        <v>4.8373193563552852E-2</v>
      </c>
      <c r="W226">
        <f t="shared" si="73"/>
        <v>9.2809034162630467E-3</v>
      </c>
      <c r="X226">
        <f t="shared" si="74"/>
        <v>2.2311666798692981E-2</v>
      </c>
      <c r="Y226">
        <f t="shared" si="75"/>
        <v>3.7498599661668879E-4</v>
      </c>
      <c r="Z226">
        <f t="shared" si="76"/>
        <v>3.2811274703960268E-3</v>
      </c>
      <c r="AA226">
        <f t="shared" si="77"/>
        <v>0.35098061181777734</v>
      </c>
      <c r="AB226">
        <f t="shared" si="78"/>
        <v>0.11024691421679719</v>
      </c>
      <c r="AC226">
        <f t="shared" si="79"/>
        <v>0.13912946063420442</v>
      </c>
      <c r="AD226">
        <f t="shared" si="80"/>
        <v>3.7415165277421662E-3</v>
      </c>
      <c r="AE226">
        <f t="shared" si="81"/>
        <v>2.5335085142914188E-2</v>
      </c>
      <c r="AG226">
        <f t="shared" si="82"/>
        <v>0.47163503343516261</v>
      </c>
      <c r="AH226">
        <f t="shared" si="83"/>
        <v>0.15395528198243844</v>
      </c>
      <c r="AI226">
        <f t="shared" si="84"/>
        <v>-0.81277666360071688</v>
      </c>
      <c r="AK226" s="26">
        <f t="shared" si="85"/>
        <v>4.6637831285154599E-2</v>
      </c>
      <c r="AL226" s="26">
        <f t="shared" si="86"/>
        <v>3.7489495622076013E-2</v>
      </c>
      <c r="AM226" s="26">
        <f t="shared" si="87"/>
        <v>5.187428143768294E-2</v>
      </c>
      <c r="AN226" s="26">
        <f t="shared" si="88"/>
        <v>12.271904761904707</v>
      </c>
      <c r="AO226" s="26">
        <f t="shared" si="89"/>
        <v>11.545744406196221</v>
      </c>
      <c r="AP226" s="26">
        <f t="shared" si="90"/>
        <v>11.191737874530588</v>
      </c>
      <c r="AS226" s="2">
        <v>45254</v>
      </c>
      <c r="AT226">
        <v>19</v>
      </c>
      <c r="AU226">
        <v>59.7</v>
      </c>
      <c r="AV226">
        <v>58.1</v>
      </c>
      <c r="AW226">
        <v>25.5</v>
      </c>
      <c r="AX226">
        <v>39.270000000000003</v>
      </c>
      <c r="AY226">
        <v>0.1</v>
      </c>
      <c r="AZ226">
        <v>3.3</v>
      </c>
      <c r="BA226">
        <v>136.8193</v>
      </c>
      <c r="BB226">
        <v>99.365300000000005</v>
      </c>
      <c r="BC226">
        <v>85.536799999999999</v>
      </c>
      <c r="BD226">
        <v>3.48</v>
      </c>
      <c r="BE226">
        <v>26.235900000000001</v>
      </c>
      <c r="BF226">
        <v>-27.924199999999999</v>
      </c>
      <c r="BG226">
        <v>-14.541</v>
      </c>
      <c r="BH226">
        <v>97.92</v>
      </c>
    </row>
    <row r="227" spans="1:60" x14ac:dyDescent="0.25">
      <c r="A227" s="2">
        <v>45274</v>
      </c>
      <c r="B227">
        <v>17.100000000000001</v>
      </c>
      <c r="C227">
        <v>16.8</v>
      </c>
      <c r="D227">
        <v>23.6</v>
      </c>
      <c r="E227">
        <v>4.2</v>
      </c>
      <c r="F227">
        <v>19.440000000000001</v>
      </c>
      <c r="G227">
        <v>0.5</v>
      </c>
      <c r="H227">
        <v>3.4</v>
      </c>
      <c r="I227">
        <v>377.19529999999997</v>
      </c>
      <c r="J227">
        <v>183.471</v>
      </c>
      <c r="K227">
        <v>182.6557</v>
      </c>
      <c r="L227">
        <v>4.0837000000000003</v>
      </c>
      <c r="M227">
        <v>36.768599999999999</v>
      </c>
      <c r="N227">
        <v>-13.5649</v>
      </c>
      <c r="O227">
        <v>-15.450799999999999</v>
      </c>
      <c r="P227">
        <v>89.34</v>
      </c>
      <c r="S227">
        <f t="shared" si="69"/>
        <v>869.21430000000009</v>
      </c>
      <c r="T227">
        <f t="shared" si="70"/>
        <v>1.6030651355363447E-2</v>
      </c>
      <c r="U227">
        <f t="shared" si="71"/>
        <v>1.5749411857900929E-2</v>
      </c>
      <c r="V227">
        <f t="shared" si="72"/>
        <v>2.2124173800384637E-2</v>
      </c>
      <c r="W227">
        <f t="shared" si="73"/>
        <v>3.9373529644752322E-3</v>
      </c>
      <c r="X227">
        <f t="shared" si="74"/>
        <v>1.8224319435571075E-2</v>
      </c>
      <c r="Y227">
        <f t="shared" si="75"/>
        <v>4.6873249577086097E-4</v>
      </c>
      <c r="Z227">
        <f t="shared" si="76"/>
        <v>3.1873809712418544E-3</v>
      </c>
      <c r="AA227">
        <f t="shared" si="77"/>
        <v>0.35360738872407721</v>
      </c>
      <c r="AB227">
        <f t="shared" si="78"/>
        <v>0.17199763946315128</v>
      </c>
      <c r="AC227">
        <f t="shared" si="79"/>
        <v>0.1712333242555473</v>
      </c>
      <c r="AD227">
        <f t="shared" si="80"/>
        <v>3.8283257859589299E-3</v>
      </c>
      <c r="AE227">
        <f t="shared" si="81"/>
        <v>3.4469275288000957E-2</v>
      </c>
      <c r="AG227">
        <f t="shared" si="82"/>
        <v>0.48760109445791067</v>
      </c>
      <c r="AH227">
        <f t="shared" si="83"/>
        <v>0.11419129816870899</v>
      </c>
      <c r="AI227">
        <f t="shared" si="84"/>
        <v>-1.0673027777142592</v>
      </c>
      <c r="AK227" s="26">
        <f t="shared" si="85"/>
        <v>4.8698926935161535E-2</v>
      </c>
      <c r="AL227" s="26">
        <f t="shared" si="86"/>
        <v>3.6271192621413539E-2</v>
      </c>
      <c r="AM227" s="26">
        <f t="shared" si="87"/>
        <v>5.2225223073415789E-2</v>
      </c>
      <c r="AN227" s="26">
        <f t="shared" si="88"/>
        <v>12.207142857142813</v>
      </c>
      <c r="AO227" s="26">
        <f t="shared" si="89"/>
        <v>11.480867039586926</v>
      </c>
      <c r="AP227" s="26">
        <f t="shared" si="90"/>
        <v>11.195530579554102</v>
      </c>
      <c r="AS227" s="2">
        <v>45253</v>
      </c>
      <c r="AT227">
        <v>19</v>
      </c>
      <c r="AU227">
        <v>44.3</v>
      </c>
      <c r="AV227">
        <v>44.2</v>
      </c>
      <c r="AW227">
        <v>30.5</v>
      </c>
      <c r="AX227">
        <v>43.68</v>
      </c>
      <c r="AY227">
        <v>0.1</v>
      </c>
      <c r="AZ227">
        <v>3.5</v>
      </c>
      <c r="BA227">
        <v>137.13509999999999</v>
      </c>
      <c r="BB227">
        <v>103.304</v>
      </c>
      <c r="BC227">
        <v>105.47929999999999</v>
      </c>
      <c r="BD227">
        <v>6.8038999999999996</v>
      </c>
      <c r="BE227">
        <v>19.452000000000002</v>
      </c>
      <c r="BF227">
        <v>-28.2178</v>
      </c>
      <c r="BG227">
        <v>-14.005699999999999</v>
      </c>
      <c r="BH227">
        <v>98.16</v>
      </c>
    </row>
    <row r="228" spans="1:60" x14ac:dyDescent="0.25">
      <c r="A228" s="2">
        <v>45273</v>
      </c>
      <c r="B228">
        <v>16.8</v>
      </c>
      <c r="C228">
        <v>25.2</v>
      </c>
      <c r="D228">
        <v>99.6</v>
      </c>
      <c r="E228">
        <v>13</v>
      </c>
      <c r="F228">
        <v>26.78</v>
      </c>
      <c r="G228">
        <v>0.5</v>
      </c>
      <c r="H228">
        <v>3.1</v>
      </c>
      <c r="I228">
        <v>357.5145</v>
      </c>
      <c r="J228">
        <v>136.4393</v>
      </c>
      <c r="K228">
        <v>157.15780000000001</v>
      </c>
      <c r="L228">
        <v>4.0677000000000003</v>
      </c>
      <c r="M228">
        <v>22.5627</v>
      </c>
      <c r="N228">
        <v>-14.700799999999999</v>
      </c>
      <c r="O228">
        <v>-16.353899999999999</v>
      </c>
      <c r="P228">
        <v>89.72</v>
      </c>
      <c r="S228">
        <f t="shared" si="69"/>
        <v>862.72199999999987</v>
      </c>
      <c r="T228">
        <f t="shared" si="70"/>
        <v>1.5749411857900929E-2</v>
      </c>
      <c r="U228">
        <f t="shared" si="71"/>
        <v>2.3624117786851393E-2</v>
      </c>
      <c r="V228">
        <f t="shared" si="72"/>
        <v>9.33715131575555E-2</v>
      </c>
      <c r="W228">
        <f t="shared" si="73"/>
        <v>1.2187044890042385E-2</v>
      </c>
      <c r="X228">
        <f t="shared" si="74"/>
        <v>2.5105312473487313E-2</v>
      </c>
      <c r="Y228">
        <f t="shared" si="75"/>
        <v>4.6873249577086097E-4</v>
      </c>
      <c r="Z228">
        <f t="shared" si="76"/>
        <v>2.9061414737793379E-3</v>
      </c>
      <c r="AA228">
        <f t="shared" si="77"/>
        <v>0.33515732771854295</v>
      </c>
      <c r="AB228">
        <f t="shared" si="78"/>
        <v>0.12790706722045847</v>
      </c>
      <c r="AC228">
        <f t="shared" si="79"/>
        <v>0.14732993564771563</v>
      </c>
      <c r="AD228">
        <f t="shared" si="80"/>
        <v>3.8133263460942623E-3</v>
      </c>
      <c r="AE228">
        <f t="shared" si="81"/>
        <v>2.1151741364658409E-2</v>
      </c>
      <c r="AG228">
        <f t="shared" si="82"/>
        <v>0.50587476054189318</v>
      </c>
      <c r="AH228">
        <f t="shared" si="83"/>
        <v>0.19456401550004615</v>
      </c>
      <c r="AI228">
        <f t="shared" si="84"/>
        <v>-0.55274645125684285</v>
      </c>
      <c r="AK228" s="26">
        <f t="shared" si="85"/>
        <v>5.0625426421017791E-2</v>
      </c>
      <c r="AL228" s="26">
        <f t="shared" si="86"/>
        <v>3.7249852099770747E-2</v>
      </c>
      <c r="AM228" s="26">
        <f t="shared" si="87"/>
        <v>5.3832710418977664E-2</v>
      </c>
      <c r="AN228" s="26">
        <f t="shared" si="88"/>
        <v>12.148571428571387</v>
      </c>
      <c r="AO228" s="26">
        <f t="shared" si="89"/>
        <v>11.419453528399316</v>
      </c>
      <c r="AP228" s="26">
        <f t="shared" si="90"/>
        <v>11.202551140988945</v>
      </c>
      <c r="AS228" s="2">
        <v>45252</v>
      </c>
      <c r="AT228">
        <v>18.7</v>
      </c>
      <c r="AU228">
        <v>19.100000000000001</v>
      </c>
      <c r="AV228">
        <v>59.3</v>
      </c>
      <c r="AW228">
        <v>9.8000000000000007</v>
      </c>
      <c r="AX228">
        <v>52.01</v>
      </c>
      <c r="AY228">
        <v>0.1</v>
      </c>
      <c r="AZ228">
        <v>3.4</v>
      </c>
      <c r="BA228">
        <v>297.07819999999998</v>
      </c>
      <c r="BB228">
        <v>173.58420000000001</v>
      </c>
      <c r="BC228">
        <v>153.16380000000001</v>
      </c>
      <c r="BD228">
        <v>3.3565</v>
      </c>
      <c r="BE228">
        <v>24.482399999999998</v>
      </c>
      <c r="BF228">
        <v>-27.8065</v>
      </c>
      <c r="BG228">
        <v>-16.699000000000002</v>
      </c>
      <c r="BH228">
        <v>98.4</v>
      </c>
    </row>
    <row r="229" spans="1:60" x14ac:dyDescent="0.25">
      <c r="A229" s="2">
        <v>45272</v>
      </c>
      <c r="B229">
        <v>17.100000000000001</v>
      </c>
      <c r="C229">
        <v>26.6</v>
      </c>
      <c r="D229">
        <v>38.299999999999997</v>
      </c>
      <c r="E229">
        <v>6.3</v>
      </c>
      <c r="F229">
        <v>27.31</v>
      </c>
      <c r="G229">
        <v>0.5</v>
      </c>
      <c r="H229">
        <v>3</v>
      </c>
      <c r="I229">
        <v>375.24950000000001</v>
      </c>
      <c r="J229">
        <v>178.9205</v>
      </c>
      <c r="K229">
        <v>161.45150000000001</v>
      </c>
      <c r="L229">
        <v>4.0644</v>
      </c>
      <c r="M229">
        <v>33.069200000000002</v>
      </c>
      <c r="N229">
        <v>-14.6973</v>
      </c>
      <c r="O229">
        <v>-18.079000000000001</v>
      </c>
      <c r="P229">
        <v>90.07</v>
      </c>
      <c r="S229">
        <f t="shared" si="69"/>
        <v>871.86509999999998</v>
      </c>
      <c r="T229">
        <f t="shared" si="70"/>
        <v>1.6030651355363447E-2</v>
      </c>
      <c r="U229">
        <f t="shared" si="71"/>
        <v>2.4936568775009806E-2</v>
      </c>
      <c r="V229">
        <f t="shared" si="72"/>
        <v>3.5904909176047946E-2</v>
      </c>
      <c r="W229">
        <f t="shared" si="73"/>
        <v>5.9060294467128483E-3</v>
      </c>
      <c r="X229">
        <f t="shared" si="74"/>
        <v>2.5602168919004423E-2</v>
      </c>
      <c r="Y229">
        <f t="shared" si="75"/>
        <v>4.6873249577086097E-4</v>
      </c>
      <c r="Z229">
        <f t="shared" si="76"/>
        <v>2.8123949746251659E-3</v>
      </c>
      <c r="AA229">
        <f t="shared" si="77"/>
        <v>0.35178326934353538</v>
      </c>
      <c r="AB229">
        <f t="shared" si="78"/>
        <v>0.16773170501914067</v>
      </c>
      <c r="AC229">
        <f t="shared" si="79"/>
        <v>0.15135512908189833</v>
      </c>
      <c r="AD229">
        <f t="shared" si="80"/>
        <v>3.8102327116221746E-3</v>
      </c>
      <c r="AE229">
        <f t="shared" si="81"/>
        <v>3.1001217298291511E-2</v>
      </c>
      <c r="AG229">
        <f t="shared" si="82"/>
        <v>0.52269963676836018</v>
      </c>
      <c r="AH229">
        <f t="shared" si="83"/>
        <v>0.142662672440826</v>
      </c>
      <c r="AI229">
        <f t="shared" si="84"/>
        <v>-0.88490407930110448</v>
      </c>
      <c r="AK229" s="26">
        <f t="shared" si="85"/>
        <v>4.8770712944878919E-2</v>
      </c>
      <c r="AL229" s="26">
        <f t="shared" si="86"/>
        <v>3.6746392879365181E-2</v>
      </c>
      <c r="AM229" s="26">
        <f t="shared" si="87"/>
        <v>5.6175769388588287E-2</v>
      </c>
      <c r="AN229" s="26">
        <f t="shared" si="88"/>
        <v>12.096031746031727</v>
      </c>
      <c r="AO229" s="26">
        <f t="shared" si="89"/>
        <v>11.360903614457811</v>
      </c>
      <c r="AP229" s="26">
        <f t="shared" si="90"/>
        <v>11.211858932275916</v>
      </c>
      <c r="AS229" s="2">
        <v>45251</v>
      </c>
      <c r="AT229">
        <v>18.600000000000001</v>
      </c>
      <c r="AU229">
        <v>8.6999999999999993</v>
      </c>
      <c r="AV229">
        <v>50.7</v>
      </c>
      <c r="AW229">
        <v>6.3</v>
      </c>
      <c r="AX229">
        <v>31.95</v>
      </c>
      <c r="AY229">
        <v>0.1</v>
      </c>
      <c r="AZ229">
        <v>3.5</v>
      </c>
      <c r="BA229">
        <v>327.1157</v>
      </c>
      <c r="BB229">
        <v>224.18039999999999</v>
      </c>
      <c r="BC229">
        <v>150.37739999999999</v>
      </c>
      <c r="BD229">
        <v>3.48</v>
      </c>
      <c r="BE229">
        <v>27.504999999999999</v>
      </c>
      <c r="BF229">
        <v>-26.147600000000001</v>
      </c>
      <c r="BG229">
        <v>-15.2203</v>
      </c>
      <c r="BH229">
        <v>98.68</v>
      </c>
    </row>
    <row r="230" spans="1:60" x14ac:dyDescent="0.25">
      <c r="A230" s="2">
        <v>45271</v>
      </c>
      <c r="B230">
        <v>18.3</v>
      </c>
      <c r="C230">
        <v>24.8</v>
      </c>
      <c r="D230">
        <v>20.7</v>
      </c>
      <c r="E230">
        <v>17</v>
      </c>
      <c r="F230">
        <v>26.73</v>
      </c>
      <c r="G230">
        <v>0.5</v>
      </c>
      <c r="H230">
        <v>3.4</v>
      </c>
      <c r="I230">
        <v>298.322</v>
      </c>
      <c r="J230">
        <v>94.409700000000001</v>
      </c>
      <c r="K230">
        <v>97.408000000000001</v>
      </c>
      <c r="L230">
        <v>1.9935</v>
      </c>
      <c r="M230">
        <v>29.712199999999999</v>
      </c>
      <c r="N230">
        <v>-16.7211</v>
      </c>
      <c r="O230">
        <v>-19.6068</v>
      </c>
      <c r="P230">
        <v>90.41</v>
      </c>
      <c r="S230">
        <f t="shared" si="69"/>
        <v>633.2754000000001</v>
      </c>
      <c r="T230">
        <f t="shared" si="70"/>
        <v>1.7155609345213513E-2</v>
      </c>
      <c r="U230">
        <f t="shared" si="71"/>
        <v>2.3249131790234703E-2</v>
      </c>
      <c r="V230">
        <f t="shared" si="72"/>
        <v>1.9405525324913644E-2</v>
      </c>
      <c r="W230">
        <f t="shared" si="73"/>
        <v>1.5936904856209272E-2</v>
      </c>
      <c r="X230">
        <f t="shared" si="74"/>
        <v>2.5058439223910225E-2</v>
      </c>
      <c r="Y230">
        <f t="shared" si="75"/>
        <v>4.6873249577086097E-4</v>
      </c>
      <c r="Z230">
        <f t="shared" si="76"/>
        <v>3.1873809712418544E-3</v>
      </c>
      <c r="AA230">
        <f t="shared" si="77"/>
        <v>0.27966643120670959</v>
      </c>
      <c r="AB230">
        <f t="shared" si="78"/>
        <v>8.8505788611956501E-2</v>
      </c>
      <c r="AC230">
        <f t="shared" si="79"/>
        <v>9.1316589896096048E-2</v>
      </c>
      <c r="AD230">
        <f t="shared" si="80"/>
        <v>1.8688364606384226E-3</v>
      </c>
      <c r="AE230">
        <f t="shared" si="81"/>
        <v>2.7854147321685948E-2</v>
      </c>
      <c r="AG230">
        <f t="shared" si="82"/>
        <v>0.53900415627140774</v>
      </c>
      <c r="AH230">
        <f t="shared" si="83"/>
        <v>0.13231587132918002</v>
      </c>
      <c r="AI230">
        <f t="shared" si="84"/>
        <v>-0.95000544501974304</v>
      </c>
      <c r="AK230" s="26">
        <f t="shared" si="85"/>
        <v>4.7197466636271931E-2</v>
      </c>
      <c r="AL230" s="26">
        <f t="shared" si="86"/>
        <v>3.6177374400540085E-2</v>
      </c>
      <c r="AM230" s="26">
        <f t="shared" si="87"/>
        <v>5.7895264697337606E-2</v>
      </c>
      <c r="AN230" s="26">
        <f t="shared" si="88"/>
        <v>12.055238095238082</v>
      </c>
      <c r="AO230" s="26">
        <f t="shared" si="89"/>
        <v>11.306951376936311</v>
      </c>
      <c r="AP230" s="26">
        <f t="shared" si="90"/>
        <v>11.225343084477828</v>
      </c>
      <c r="AS230" s="2">
        <v>45250</v>
      </c>
      <c r="AT230">
        <v>17.7</v>
      </c>
      <c r="AU230">
        <v>1.4</v>
      </c>
      <c r="AV230">
        <v>19.100000000000001</v>
      </c>
      <c r="AW230">
        <v>10.3</v>
      </c>
      <c r="AX230">
        <v>47.83</v>
      </c>
      <c r="AY230">
        <v>0.1</v>
      </c>
      <c r="AZ230">
        <v>3.7</v>
      </c>
      <c r="BA230">
        <v>268.37619999999998</v>
      </c>
      <c r="BB230">
        <v>139.64009999999999</v>
      </c>
      <c r="BC230">
        <v>108.7672</v>
      </c>
      <c r="BD230">
        <v>3.5087000000000002</v>
      </c>
      <c r="BE230">
        <v>31.3447</v>
      </c>
      <c r="BF230">
        <v>-28.755800000000001</v>
      </c>
      <c r="BG230">
        <v>-14.270899999999999</v>
      </c>
      <c r="BH230">
        <v>98.88</v>
      </c>
    </row>
    <row r="231" spans="1:60" x14ac:dyDescent="0.25">
      <c r="A231" s="2">
        <v>45270</v>
      </c>
      <c r="B231">
        <v>17.8</v>
      </c>
      <c r="C231">
        <v>0</v>
      </c>
      <c r="D231">
        <v>62.5</v>
      </c>
      <c r="E231">
        <v>21.1</v>
      </c>
      <c r="F231">
        <v>31.25</v>
      </c>
      <c r="G231">
        <v>0.5</v>
      </c>
      <c r="H231">
        <v>3.3</v>
      </c>
      <c r="I231">
        <v>142.78149999999999</v>
      </c>
      <c r="J231">
        <v>39.1511</v>
      </c>
      <c r="K231">
        <v>57.805199999999999</v>
      </c>
      <c r="L231">
        <v>3.48</v>
      </c>
      <c r="M231">
        <v>17.237500000000001</v>
      </c>
      <c r="P231">
        <v>90.72</v>
      </c>
      <c r="S231">
        <f t="shared" si="69"/>
        <v>396.90530000000001</v>
      </c>
      <c r="T231">
        <f t="shared" si="70"/>
        <v>1.6686876849442651E-2</v>
      </c>
      <c r="U231">
        <f t="shared" si="71"/>
        <v>0</v>
      </c>
      <c r="V231">
        <f t="shared" si="72"/>
        <v>5.859156197135762E-2</v>
      </c>
      <c r="W231">
        <f t="shared" si="73"/>
        <v>1.9780511321530334E-2</v>
      </c>
      <c r="X231">
        <f t="shared" si="74"/>
        <v>2.929578098567881E-2</v>
      </c>
      <c r="Y231">
        <f t="shared" si="75"/>
        <v>4.6873249577086097E-4</v>
      </c>
      <c r="Z231">
        <f t="shared" si="76"/>
        <v>3.0936344720876819E-3</v>
      </c>
      <c r="AA231">
        <f t="shared" si="77"/>
        <v>0.13385265768981436</v>
      </c>
      <c r="AB231">
        <f t="shared" si="78"/>
        <v>3.6702785630349108E-2</v>
      </c>
      <c r="AC231">
        <f t="shared" si="79"/>
        <v>5.4190351329067542E-2</v>
      </c>
      <c r="AD231">
        <f t="shared" si="80"/>
        <v>3.2623781705651924E-3</v>
      </c>
      <c r="AE231">
        <f t="shared" si="81"/>
        <v>1.6159552791700432E-2</v>
      </c>
      <c r="AG231">
        <f t="shared" si="82"/>
        <v>0.55385696965472531</v>
      </c>
      <c r="AH231">
        <f t="shared" si="83"/>
        <v>0.14407665088756835</v>
      </c>
      <c r="AI231">
        <f t="shared" si="84"/>
        <v>-0.87255789580496002</v>
      </c>
      <c r="AK231" s="26">
        <f t="shared" si="85"/>
        <v>4.4759736241694936E-2</v>
      </c>
      <c r="AL231" s="26">
        <f t="shared" si="86"/>
        <v>3.7457290613727101E-2</v>
      </c>
      <c r="AM231" s="26">
        <f t="shared" si="87"/>
        <v>5.8237951493592788E-2</v>
      </c>
      <c r="AN231" s="26">
        <f t="shared" si="88"/>
        <v>12.023333333333312</v>
      </c>
      <c r="AO231" s="26">
        <f t="shared" si="89"/>
        <v>11.256990103270226</v>
      </c>
      <c r="AP231" s="26">
        <f t="shared" si="90"/>
        <v>11.241556944407989</v>
      </c>
      <c r="AS231" s="2">
        <v>45249</v>
      </c>
      <c r="AT231">
        <v>18.2</v>
      </c>
      <c r="AU231">
        <v>113.6</v>
      </c>
      <c r="AV231">
        <v>80.2</v>
      </c>
      <c r="AW231">
        <v>20.5</v>
      </c>
      <c r="AX231">
        <v>53.19</v>
      </c>
      <c r="AY231">
        <v>0.1</v>
      </c>
      <c r="AZ231">
        <v>3.8</v>
      </c>
      <c r="BA231">
        <v>107.5962</v>
      </c>
      <c r="BB231">
        <v>34.896599999999999</v>
      </c>
      <c r="BC231">
        <v>38.454000000000001</v>
      </c>
      <c r="BD231">
        <v>3.48</v>
      </c>
      <c r="BE231">
        <v>22.0471</v>
      </c>
      <c r="BH231">
        <v>99</v>
      </c>
    </row>
    <row r="232" spans="1:60" x14ac:dyDescent="0.25">
      <c r="A232" s="2">
        <v>45269</v>
      </c>
      <c r="B232">
        <v>17.7</v>
      </c>
      <c r="C232">
        <v>0.7</v>
      </c>
      <c r="D232">
        <v>88.2</v>
      </c>
      <c r="E232">
        <v>15.6</v>
      </c>
      <c r="F232">
        <v>27.29</v>
      </c>
      <c r="G232">
        <v>0.5</v>
      </c>
      <c r="H232">
        <v>3.7</v>
      </c>
      <c r="I232">
        <v>238.66409999999999</v>
      </c>
      <c r="J232">
        <v>59.2087</v>
      </c>
      <c r="K232">
        <v>87.435699999999997</v>
      </c>
      <c r="L232">
        <v>3.48</v>
      </c>
      <c r="M232">
        <v>7.3655999999999997</v>
      </c>
      <c r="P232">
        <v>90.92</v>
      </c>
      <c r="S232">
        <f t="shared" si="69"/>
        <v>549.84409999999991</v>
      </c>
      <c r="T232">
        <f t="shared" si="70"/>
        <v>1.6593130350288476E-2</v>
      </c>
      <c r="U232">
        <f t="shared" si="71"/>
        <v>6.5622549407920526E-4</v>
      </c>
      <c r="V232">
        <f t="shared" si="72"/>
        <v>8.2684412253979878E-2</v>
      </c>
      <c r="W232">
        <f t="shared" si="73"/>
        <v>1.4624453868050861E-2</v>
      </c>
      <c r="X232">
        <f t="shared" si="74"/>
        <v>2.558341961917359E-2</v>
      </c>
      <c r="Y232">
        <f t="shared" si="75"/>
        <v>4.6873249577086097E-4</v>
      </c>
      <c r="Z232">
        <f t="shared" si="76"/>
        <v>3.4686204687043713E-3</v>
      </c>
      <c r="AA232">
        <f t="shared" si="77"/>
        <v>0.22373923848781266</v>
      </c>
      <c r="AB232">
        <f t="shared" si="78"/>
        <v>5.5506083444696347E-2</v>
      </c>
      <c r="AC232">
        <f t="shared" si="79"/>
        <v>8.1967907760944536E-2</v>
      </c>
      <c r="AD232">
        <f t="shared" si="80"/>
        <v>3.2623781705651924E-3</v>
      </c>
      <c r="AE232">
        <f t="shared" si="81"/>
        <v>6.9049921416997062E-3</v>
      </c>
      <c r="AG232">
        <f t="shared" si="82"/>
        <v>0.56352583454903082</v>
      </c>
      <c r="AH232">
        <f t="shared" si="83"/>
        <v>0.15098398669174695</v>
      </c>
      <c r="AI232">
        <f t="shared" si="84"/>
        <v>-0.82349022176030895</v>
      </c>
      <c r="AK232" s="26">
        <f t="shared" si="85"/>
        <v>4.804247377101295E-2</v>
      </c>
      <c r="AL232" s="26">
        <f t="shared" si="86"/>
        <v>3.725246417412803E-2</v>
      </c>
      <c r="AM232" s="26">
        <f t="shared" si="87"/>
        <v>5.8814373862905472E-2</v>
      </c>
      <c r="AN232" s="26">
        <f t="shared" si="88"/>
        <v>12.001428571428548</v>
      </c>
      <c r="AO232" s="26">
        <f t="shared" si="89"/>
        <v>11.212282702237502</v>
      </c>
      <c r="AP232" s="26">
        <f t="shared" si="90"/>
        <v>11.260146529765521</v>
      </c>
      <c r="AS232" s="2">
        <v>45248</v>
      </c>
      <c r="AT232">
        <v>18.7</v>
      </c>
      <c r="AU232">
        <v>16.8</v>
      </c>
      <c r="AV232">
        <v>61</v>
      </c>
      <c r="AW232">
        <v>8.3000000000000007</v>
      </c>
      <c r="AX232">
        <v>53.95</v>
      </c>
      <c r="AY232">
        <v>0.1</v>
      </c>
      <c r="AZ232">
        <v>3.5</v>
      </c>
      <c r="BA232">
        <v>246.1841</v>
      </c>
      <c r="BB232">
        <v>54.6509</v>
      </c>
      <c r="BC232">
        <v>95.666300000000007</v>
      </c>
      <c r="BD232">
        <v>3.48</v>
      </c>
      <c r="BE232">
        <v>13.683999999999999</v>
      </c>
      <c r="BH232">
        <v>98.97</v>
      </c>
    </row>
    <row r="233" spans="1:60" x14ac:dyDescent="0.25">
      <c r="A233" s="2">
        <v>45268</v>
      </c>
      <c r="B233">
        <v>17.899999999999999</v>
      </c>
      <c r="C233">
        <v>1.1000000000000001</v>
      </c>
      <c r="D233">
        <v>68.400000000000006</v>
      </c>
      <c r="E233">
        <v>10.1</v>
      </c>
      <c r="F233">
        <v>13.06</v>
      </c>
      <c r="G233">
        <v>0.5</v>
      </c>
      <c r="H233">
        <v>3.4</v>
      </c>
      <c r="I233">
        <v>335.98090000000002</v>
      </c>
      <c r="J233">
        <v>153.84909999999999</v>
      </c>
      <c r="K233">
        <v>159.27590000000001</v>
      </c>
      <c r="L233">
        <v>4.6898999999999997</v>
      </c>
      <c r="M233">
        <v>27.3521</v>
      </c>
      <c r="N233">
        <v>-13.9185</v>
      </c>
      <c r="O233">
        <v>-13.1419</v>
      </c>
      <c r="P233">
        <v>91.18</v>
      </c>
      <c r="S233">
        <f t="shared" si="69"/>
        <v>795.60789999999997</v>
      </c>
      <c r="T233">
        <f t="shared" si="70"/>
        <v>1.678062334859682E-2</v>
      </c>
      <c r="U233">
        <f t="shared" si="71"/>
        <v>1.0312114906958943E-3</v>
      </c>
      <c r="V233">
        <f t="shared" si="72"/>
        <v>6.4122605421453788E-2</v>
      </c>
      <c r="W233">
        <f t="shared" si="73"/>
        <v>9.4683964145713916E-3</v>
      </c>
      <c r="X233">
        <f t="shared" si="74"/>
        <v>1.2243292789534888E-2</v>
      </c>
      <c r="Y233">
        <f t="shared" si="75"/>
        <v>4.6873249577086097E-4</v>
      </c>
      <c r="Z233">
        <f t="shared" si="76"/>
        <v>3.1873809712418544E-3</v>
      </c>
      <c r="AA233">
        <f t="shared" si="77"/>
        <v>0.31497033157668014</v>
      </c>
      <c r="AB233">
        <f t="shared" si="78"/>
        <v>0.14422814523020153</v>
      </c>
      <c r="AC233">
        <f t="shared" si="79"/>
        <v>0.14931558024630015</v>
      </c>
      <c r="AD233">
        <f t="shared" si="80"/>
        <v>4.396617063831521E-3</v>
      </c>
      <c r="AE233">
        <f t="shared" si="81"/>
        <v>2.564163619514833E-2</v>
      </c>
      <c r="AG233">
        <f t="shared" si="82"/>
        <v>0.57598666573241852</v>
      </c>
      <c r="AH233">
        <f t="shared" si="83"/>
        <v>0.13294387912701383</v>
      </c>
      <c r="AI233">
        <f t="shared" si="84"/>
        <v>-0.93397733837916497</v>
      </c>
      <c r="AK233" s="26">
        <f t="shared" si="85"/>
        <v>4.6877875892417348E-2</v>
      </c>
      <c r="AL233" s="26">
        <f t="shared" si="86"/>
        <v>3.9568104961142825E-2</v>
      </c>
      <c r="AM233" s="26">
        <f t="shared" si="87"/>
        <v>5.9935997748087499E-2</v>
      </c>
      <c r="AN233" s="26">
        <f t="shared" si="88"/>
        <v>11.989206349206341</v>
      </c>
      <c r="AO233" s="26">
        <f t="shared" si="89"/>
        <v>11.171688898450938</v>
      </c>
      <c r="AP233" s="26">
        <f t="shared" si="90"/>
        <v>11.281937974317913</v>
      </c>
      <c r="AS233" s="2">
        <v>45247</v>
      </c>
      <c r="AT233">
        <v>19.7</v>
      </c>
      <c r="AU233">
        <v>34.4</v>
      </c>
      <c r="AV233">
        <v>14.1</v>
      </c>
      <c r="AW233">
        <v>8.8000000000000007</v>
      </c>
      <c r="AX233">
        <v>47.18</v>
      </c>
      <c r="AY233">
        <v>0.1</v>
      </c>
      <c r="AZ233">
        <v>3.5</v>
      </c>
      <c r="BA233">
        <v>362.00599999999997</v>
      </c>
      <c r="BB233">
        <v>196.16079999999999</v>
      </c>
      <c r="BC233">
        <v>128.75829999999999</v>
      </c>
      <c r="BD233">
        <v>3.48</v>
      </c>
      <c r="BE233">
        <v>33.551600000000001</v>
      </c>
      <c r="BF233">
        <v>-31.5642</v>
      </c>
      <c r="BG233">
        <v>-18.600200000000001</v>
      </c>
      <c r="BH233">
        <v>99.04</v>
      </c>
    </row>
    <row r="234" spans="1:60" x14ac:dyDescent="0.25">
      <c r="A234" s="2">
        <v>45267</v>
      </c>
      <c r="B234">
        <v>20.2</v>
      </c>
      <c r="C234">
        <v>1.6</v>
      </c>
      <c r="D234">
        <v>16.2</v>
      </c>
      <c r="E234">
        <v>2.9</v>
      </c>
      <c r="F234">
        <v>36.24</v>
      </c>
      <c r="G234">
        <v>0.5</v>
      </c>
      <c r="H234">
        <v>3.4</v>
      </c>
      <c r="I234">
        <v>349.88189999999997</v>
      </c>
      <c r="J234">
        <v>207.12459999999999</v>
      </c>
      <c r="K234">
        <v>206.71270000000001</v>
      </c>
      <c r="L234">
        <v>3.48</v>
      </c>
      <c r="M234">
        <v>32.716799999999999</v>
      </c>
      <c r="N234">
        <v>-11.0108</v>
      </c>
      <c r="O234">
        <v>-7.5393999999999997</v>
      </c>
      <c r="P234">
        <v>91.6</v>
      </c>
      <c r="S234">
        <f t="shared" si="69"/>
        <v>880.95600000000002</v>
      </c>
      <c r="T234">
        <f t="shared" si="70"/>
        <v>1.8936792829142783E-2</v>
      </c>
      <c r="U234">
        <f t="shared" si="71"/>
        <v>1.4999439864667552E-3</v>
      </c>
      <c r="V234">
        <f t="shared" si="72"/>
        <v>1.5186932862975894E-2</v>
      </c>
      <c r="W234">
        <f t="shared" si="73"/>
        <v>2.7186484754709935E-3</v>
      </c>
      <c r="X234">
        <f t="shared" si="74"/>
        <v>3.3973731293472004E-2</v>
      </c>
      <c r="Y234">
        <f t="shared" si="75"/>
        <v>4.6873249577086097E-4</v>
      </c>
      <c r="Z234">
        <f t="shared" si="76"/>
        <v>3.1873809712418544E-3</v>
      </c>
      <c r="AA234">
        <f t="shared" si="77"/>
        <v>0.32800203242410159</v>
      </c>
      <c r="AB234">
        <f t="shared" si="78"/>
        <v>0.19417206138708251</v>
      </c>
      <c r="AC234">
        <f t="shared" si="79"/>
        <v>0.1937859195570665</v>
      </c>
      <c r="AD234">
        <f t="shared" si="80"/>
        <v>3.2623781705651924E-3</v>
      </c>
      <c r="AE234">
        <f t="shared" si="81"/>
        <v>3.0670854635272207E-2</v>
      </c>
      <c r="AG234">
        <f t="shared" si="82"/>
        <v>0.5959395014298533</v>
      </c>
      <c r="AH234">
        <f t="shared" si="83"/>
        <v>0.10664301754981334</v>
      </c>
      <c r="AI234">
        <f t="shared" si="84"/>
        <v>-1.1001827965202053</v>
      </c>
      <c r="AK234" s="26">
        <f t="shared" si="85"/>
        <v>4.6923655432837608E-2</v>
      </c>
      <c r="AL234" s="26">
        <f t="shared" si="86"/>
        <v>4.0011763939186651E-2</v>
      </c>
      <c r="AM234" s="26">
        <f t="shared" si="87"/>
        <v>5.9854186103161067E-2</v>
      </c>
      <c r="AN234" s="26">
        <f t="shared" si="88"/>
        <v>11.985714285714295</v>
      </c>
      <c r="AO234" s="26">
        <f t="shared" si="89"/>
        <v>11.132463425129075</v>
      </c>
      <c r="AP234" s="26">
        <f t="shared" si="90"/>
        <v>11.306043696331514</v>
      </c>
      <c r="AS234" s="2">
        <v>45246</v>
      </c>
      <c r="AT234">
        <v>20.6</v>
      </c>
      <c r="AU234">
        <v>22.8</v>
      </c>
      <c r="AV234">
        <v>38.200000000000003</v>
      </c>
      <c r="AW234">
        <v>15.2</v>
      </c>
      <c r="AX234">
        <v>47.97</v>
      </c>
      <c r="AY234">
        <v>0.1</v>
      </c>
      <c r="AZ234">
        <v>3</v>
      </c>
      <c r="BA234">
        <v>316.42129999999997</v>
      </c>
      <c r="BB234">
        <v>178.5804</v>
      </c>
      <c r="BC234">
        <v>126.25369999999999</v>
      </c>
      <c r="BD234">
        <v>6.0362999999999998</v>
      </c>
      <c r="BE234">
        <v>30.203600000000002</v>
      </c>
      <c r="BF234">
        <v>-30.7532</v>
      </c>
      <c r="BG234">
        <v>-16.760100000000001</v>
      </c>
      <c r="BH234">
        <v>99.2</v>
      </c>
    </row>
    <row r="235" spans="1:60" x14ac:dyDescent="0.25">
      <c r="A235" s="2">
        <v>45266</v>
      </c>
      <c r="B235">
        <v>20.7</v>
      </c>
      <c r="C235">
        <v>40.799999999999997</v>
      </c>
      <c r="D235">
        <v>50.3</v>
      </c>
      <c r="E235">
        <v>4</v>
      </c>
      <c r="F235">
        <v>11.16</v>
      </c>
      <c r="G235">
        <v>0.5</v>
      </c>
      <c r="H235">
        <v>3.2</v>
      </c>
      <c r="I235">
        <v>358.9239</v>
      </c>
      <c r="J235">
        <v>210.95099999999999</v>
      </c>
      <c r="K235">
        <v>222.78309999999999</v>
      </c>
      <c r="L235">
        <v>3.11</v>
      </c>
      <c r="M235">
        <v>37.999699999999997</v>
      </c>
      <c r="N235">
        <v>-13.0664</v>
      </c>
      <c r="O235">
        <v>-10</v>
      </c>
      <c r="P235">
        <v>92.13</v>
      </c>
      <c r="S235">
        <f t="shared" si="69"/>
        <v>964.42769999999996</v>
      </c>
      <c r="T235">
        <f t="shared" si="70"/>
        <v>1.9405525324913644E-2</v>
      </c>
      <c r="U235">
        <f t="shared" si="71"/>
        <v>3.8248571654902253E-2</v>
      </c>
      <c r="V235">
        <f t="shared" si="72"/>
        <v>4.7154489074548611E-2</v>
      </c>
      <c r="W235">
        <f t="shared" si="73"/>
        <v>3.7498599661668877E-3</v>
      </c>
      <c r="X235">
        <f t="shared" si="74"/>
        <v>1.0462109305605616E-2</v>
      </c>
      <c r="Y235">
        <f t="shared" si="75"/>
        <v>4.6873249577086097E-4</v>
      </c>
      <c r="Z235">
        <f t="shared" si="76"/>
        <v>2.9998879729335104E-3</v>
      </c>
      <c r="AA235">
        <f t="shared" si="77"/>
        <v>0.33647859087762183</v>
      </c>
      <c r="AB235">
        <f t="shared" si="78"/>
        <v>0.19775917743071778</v>
      </c>
      <c r="AC235">
        <f t="shared" si="79"/>
        <v>0.20885135695713858</v>
      </c>
      <c r="AD235">
        <f t="shared" si="80"/>
        <v>2.9155161236947549E-3</v>
      </c>
      <c r="AE235">
        <f t="shared" si="81"/>
        <v>3.5623388439087966E-2</v>
      </c>
      <c r="AG235">
        <f t="shared" si="82"/>
        <v>0.62105551441690465</v>
      </c>
      <c r="AH235">
        <f t="shared" si="83"/>
        <v>0.15811256423392933</v>
      </c>
      <c r="AI235">
        <f t="shared" si="84"/>
        <v>-0.77229343538779915</v>
      </c>
      <c r="AK235" s="26">
        <f t="shared" si="85"/>
        <v>4.6840317771168927E-2</v>
      </c>
      <c r="AL235" s="26">
        <f t="shared" si="86"/>
        <v>3.9872754802910165E-2</v>
      </c>
      <c r="AM235" s="26">
        <f t="shared" si="87"/>
        <v>6.033674094307126E-2</v>
      </c>
      <c r="AN235" s="26">
        <f t="shared" si="88"/>
        <v>11.987460317460318</v>
      </c>
      <c r="AO235" s="26">
        <f t="shared" si="89"/>
        <v>11.090662650602397</v>
      </c>
      <c r="AP235" s="26">
        <f t="shared" si="90"/>
        <v>11.331374176098322</v>
      </c>
      <c r="AS235" s="2">
        <v>45245</v>
      </c>
      <c r="AT235">
        <v>19</v>
      </c>
      <c r="AU235">
        <v>18.5</v>
      </c>
      <c r="AV235">
        <v>41.2</v>
      </c>
      <c r="AW235">
        <v>11.5</v>
      </c>
      <c r="AX235">
        <v>54.11</v>
      </c>
      <c r="AY235">
        <v>0.1</v>
      </c>
      <c r="AZ235">
        <v>2.8</v>
      </c>
      <c r="BA235">
        <v>278.49709999999999</v>
      </c>
      <c r="BB235">
        <v>105.08969999999999</v>
      </c>
      <c r="BC235">
        <v>86.893500000000003</v>
      </c>
      <c r="BD235">
        <v>3.48</v>
      </c>
      <c r="BE235">
        <v>30.0655</v>
      </c>
      <c r="BF235">
        <v>-30.196400000000001</v>
      </c>
      <c r="BG235">
        <v>-15.700200000000001</v>
      </c>
      <c r="BH235">
        <v>99.35</v>
      </c>
    </row>
    <row r="236" spans="1:60" x14ac:dyDescent="0.25">
      <c r="A236" s="2">
        <v>45265</v>
      </c>
      <c r="B236">
        <v>20.2</v>
      </c>
      <c r="C236">
        <v>252.7</v>
      </c>
      <c r="D236">
        <v>96.1</v>
      </c>
      <c r="E236">
        <v>14.4</v>
      </c>
      <c r="F236">
        <v>15.77</v>
      </c>
      <c r="G236">
        <v>0.5</v>
      </c>
      <c r="H236">
        <v>3.5</v>
      </c>
      <c r="I236">
        <v>360.8537</v>
      </c>
      <c r="J236">
        <v>185.0909</v>
      </c>
      <c r="K236">
        <v>173.65199999999999</v>
      </c>
      <c r="L236">
        <v>3.48</v>
      </c>
      <c r="M236">
        <v>31.571300000000001</v>
      </c>
      <c r="N236">
        <v>-11.935</v>
      </c>
      <c r="O236">
        <v>-10.0107</v>
      </c>
      <c r="P236">
        <v>92.71</v>
      </c>
      <c r="S236">
        <f t="shared" si="69"/>
        <v>1157.8179</v>
      </c>
      <c r="T236">
        <f t="shared" si="70"/>
        <v>1.8936792829142783E-2</v>
      </c>
      <c r="U236">
        <f t="shared" si="71"/>
        <v>0.23689740336259313</v>
      </c>
      <c r="V236">
        <f t="shared" si="72"/>
        <v>9.0090385687159463E-2</v>
      </c>
      <c r="W236">
        <f t="shared" si="73"/>
        <v>1.3499495878200795E-2</v>
      </c>
      <c r="X236">
        <f t="shared" si="74"/>
        <v>1.4783822916612954E-2</v>
      </c>
      <c r="Y236">
        <f t="shared" si="75"/>
        <v>4.6873249577086097E-4</v>
      </c>
      <c r="Z236">
        <f t="shared" si="76"/>
        <v>3.2811274703960268E-3</v>
      </c>
      <c r="AA236">
        <f t="shared" si="77"/>
        <v>0.33828771081829906</v>
      </c>
      <c r="AB236">
        <f t="shared" si="78"/>
        <v>0.17351623900294971</v>
      </c>
      <c r="AC236">
        <f t="shared" si="79"/>
        <v>0.16279267071120307</v>
      </c>
      <c r="AD236">
        <f t="shared" si="80"/>
        <v>3.2623781705651924E-3</v>
      </c>
      <c r="AE236">
        <f t="shared" si="81"/>
        <v>2.9596988487461166E-2</v>
      </c>
      <c r="AG236">
        <f t="shared" si="82"/>
        <v>0.64853743008105791</v>
      </c>
      <c r="AH236">
        <f t="shared" si="83"/>
        <v>0.40755474912733725</v>
      </c>
      <c r="AI236">
        <f t="shared" si="84"/>
        <v>0.81885552588972255</v>
      </c>
      <c r="AK236" s="26">
        <f t="shared" si="85"/>
        <v>4.5394417897444722E-2</v>
      </c>
      <c r="AL236" s="26">
        <f t="shared" si="86"/>
        <v>4.0195391487772597E-2</v>
      </c>
      <c r="AM236" s="26">
        <f t="shared" si="87"/>
        <v>5.9488515747936205E-2</v>
      </c>
      <c r="AN236" s="26">
        <f t="shared" si="88"/>
        <v>11.988571428571404</v>
      </c>
      <c r="AO236" s="26">
        <f t="shared" si="89"/>
        <v>11.047015920826126</v>
      </c>
      <c r="AP236" s="26">
        <f t="shared" si="90"/>
        <v>11.357161576639271</v>
      </c>
      <c r="AS236" s="2">
        <v>45244</v>
      </c>
      <c r="AT236">
        <v>21</v>
      </c>
      <c r="AU236">
        <v>0</v>
      </c>
      <c r="AV236">
        <v>48.2</v>
      </c>
      <c r="AW236">
        <v>23.6</v>
      </c>
      <c r="AX236">
        <v>35.06</v>
      </c>
      <c r="AY236">
        <v>0.1</v>
      </c>
      <c r="AZ236">
        <v>2.9</v>
      </c>
      <c r="BA236">
        <v>158.3409</v>
      </c>
      <c r="BB236">
        <v>72.549599999999998</v>
      </c>
      <c r="BC236">
        <v>58.470399999999998</v>
      </c>
      <c r="BD236">
        <v>3.48</v>
      </c>
      <c r="BE236">
        <v>26.200199999999999</v>
      </c>
      <c r="BF236">
        <v>-31.5822</v>
      </c>
      <c r="BG236">
        <v>-15.6418</v>
      </c>
      <c r="BH236">
        <v>99.4</v>
      </c>
    </row>
    <row r="237" spans="1:60" x14ac:dyDescent="0.25">
      <c r="A237" s="2">
        <v>45264</v>
      </c>
      <c r="B237">
        <v>20.399999999999999</v>
      </c>
      <c r="C237">
        <v>1.9</v>
      </c>
      <c r="D237">
        <v>70.8</v>
      </c>
      <c r="E237">
        <v>12.1</v>
      </c>
      <c r="F237">
        <v>9.1999999999999993</v>
      </c>
      <c r="G237">
        <v>0.5</v>
      </c>
      <c r="H237">
        <v>3.6</v>
      </c>
      <c r="I237">
        <v>375.58019999999999</v>
      </c>
      <c r="J237">
        <v>197.32329999999999</v>
      </c>
      <c r="K237">
        <v>194.80070000000001</v>
      </c>
      <c r="L237">
        <v>4.3564999999999996</v>
      </c>
      <c r="M237">
        <v>29.1891</v>
      </c>
      <c r="N237">
        <v>-12.3355</v>
      </c>
      <c r="O237">
        <v>-7.7663000000000002</v>
      </c>
      <c r="P237">
        <v>93.3</v>
      </c>
      <c r="S237">
        <f t="shared" si="69"/>
        <v>919.74980000000005</v>
      </c>
      <c r="T237">
        <f t="shared" si="70"/>
        <v>1.9124285827451126E-2</v>
      </c>
      <c r="U237">
        <f t="shared" si="71"/>
        <v>1.7811834839292716E-3</v>
      </c>
      <c r="V237">
        <f t="shared" si="72"/>
        <v>6.6372521401153906E-2</v>
      </c>
      <c r="W237">
        <f t="shared" si="73"/>
        <v>1.1343326397654835E-2</v>
      </c>
      <c r="X237">
        <f t="shared" si="74"/>
        <v>8.6246779221838404E-3</v>
      </c>
      <c r="Y237">
        <f t="shared" si="75"/>
        <v>4.6873249577086097E-4</v>
      </c>
      <c r="Z237">
        <f t="shared" si="76"/>
        <v>3.3748739695501988E-3</v>
      </c>
      <c r="AA237">
        <f t="shared" si="77"/>
        <v>0.35209328901623821</v>
      </c>
      <c r="AB237">
        <f t="shared" si="78"/>
        <v>0.18498368576548466</v>
      </c>
      <c r="AC237">
        <f t="shared" si="79"/>
        <v>0.18261883657782152</v>
      </c>
      <c r="AD237">
        <f t="shared" si="80"/>
        <v>4.0840662356515112E-3</v>
      </c>
      <c r="AE237">
        <f t="shared" si="81"/>
        <v>2.7363759384610473E-2</v>
      </c>
      <c r="AG237">
        <f t="shared" si="82"/>
        <v>0.67651920347331462</v>
      </c>
      <c r="AH237">
        <f t="shared" si="83"/>
        <v>0.13845336088230453</v>
      </c>
      <c r="AI237">
        <f t="shared" si="84"/>
        <v>-0.89012812418458886</v>
      </c>
      <c r="AK237" s="26">
        <f t="shared" si="85"/>
        <v>3.3539567447254309E-2</v>
      </c>
      <c r="AL237" s="26">
        <f t="shared" si="86"/>
        <v>3.5423168486243412E-2</v>
      </c>
      <c r="AM237" s="26">
        <f t="shared" si="87"/>
        <v>5.5021872991046522E-2</v>
      </c>
      <c r="AN237" s="26">
        <f t="shared" si="88"/>
        <v>11.982063492063489</v>
      </c>
      <c r="AO237" s="26">
        <f t="shared" si="89"/>
        <v>10.999492254733184</v>
      </c>
      <c r="AP237" s="26">
        <f t="shared" si="90"/>
        <v>11.383936346209396</v>
      </c>
      <c r="AS237" s="2">
        <v>45243</v>
      </c>
      <c r="AT237">
        <v>20.399999999999999</v>
      </c>
      <c r="AU237">
        <v>5.3</v>
      </c>
      <c r="AV237">
        <v>38.799999999999997</v>
      </c>
      <c r="AW237">
        <v>14.5</v>
      </c>
      <c r="AX237">
        <v>30.78</v>
      </c>
      <c r="AY237">
        <v>0.1</v>
      </c>
      <c r="AZ237">
        <v>3</v>
      </c>
      <c r="BA237">
        <v>262.58010000000002</v>
      </c>
      <c r="BB237">
        <v>79.336600000000004</v>
      </c>
      <c r="BC237">
        <v>82.701999999999998</v>
      </c>
      <c r="BD237">
        <v>3.48</v>
      </c>
      <c r="BE237">
        <v>30.195</v>
      </c>
      <c r="BF237">
        <v>-33.748100000000001</v>
      </c>
      <c r="BG237">
        <v>-17.816400000000002</v>
      </c>
      <c r="BH237">
        <v>99.42</v>
      </c>
    </row>
    <row r="238" spans="1:60" x14ac:dyDescent="0.25">
      <c r="A238" s="2">
        <v>45263</v>
      </c>
      <c r="B238">
        <v>21.1</v>
      </c>
      <c r="C238">
        <v>51.1</v>
      </c>
      <c r="D238">
        <v>36.1</v>
      </c>
      <c r="E238">
        <v>3.9</v>
      </c>
      <c r="F238">
        <v>23.83</v>
      </c>
      <c r="G238">
        <v>0.5</v>
      </c>
      <c r="H238">
        <v>3.5</v>
      </c>
      <c r="I238">
        <v>357.44569999999999</v>
      </c>
      <c r="J238">
        <v>199.11699999999999</v>
      </c>
      <c r="K238">
        <v>148.58099999999999</v>
      </c>
      <c r="L238">
        <v>3.48</v>
      </c>
      <c r="M238">
        <v>17.9314</v>
      </c>
      <c r="P238">
        <v>93.89</v>
      </c>
      <c r="S238">
        <f t="shared" si="69"/>
        <v>866.58510000000012</v>
      </c>
      <c r="T238">
        <f t="shared" si="70"/>
        <v>1.9780511321530334E-2</v>
      </c>
      <c r="U238">
        <f t="shared" si="71"/>
        <v>4.7904461067781991E-2</v>
      </c>
      <c r="V238">
        <f t="shared" si="72"/>
        <v>3.3842486194656164E-2</v>
      </c>
      <c r="W238">
        <f t="shared" si="73"/>
        <v>3.6561134670127153E-3</v>
      </c>
      <c r="X238">
        <f t="shared" si="74"/>
        <v>2.2339790748439232E-2</v>
      </c>
      <c r="Y238">
        <f t="shared" si="75"/>
        <v>4.6873249577086097E-4</v>
      </c>
      <c r="Z238">
        <f t="shared" si="76"/>
        <v>3.2811274703960268E-3</v>
      </c>
      <c r="AA238">
        <f t="shared" si="77"/>
        <v>0.33509283012712487</v>
      </c>
      <c r="AB238">
        <f t="shared" si="78"/>
        <v>0.18666521672081304</v>
      </c>
      <c r="AC238">
        <f t="shared" si="79"/>
        <v>0.13928948590826057</v>
      </c>
      <c r="AD238">
        <f t="shared" si="80"/>
        <v>3.2623781705651924E-3</v>
      </c>
      <c r="AE238">
        <f t="shared" si="81"/>
        <v>1.6810059749331231E-2</v>
      </c>
      <c r="AG238">
        <f t="shared" si="82"/>
        <v>0.70453833957632006</v>
      </c>
      <c r="AH238">
        <f t="shared" si="83"/>
        <v>0.14808328251491856</v>
      </c>
      <c r="AI238">
        <f t="shared" si="84"/>
        <v>-0.82773709565894849</v>
      </c>
      <c r="AK238" s="26">
        <f t="shared" si="85"/>
        <v>3.4392726063302709E-2</v>
      </c>
      <c r="AL238" s="26">
        <f t="shared" si="86"/>
        <v>3.5775911391383475E-2</v>
      </c>
      <c r="AM238" s="26">
        <f t="shared" si="87"/>
        <v>5.6473393945503353E-2</v>
      </c>
      <c r="AN238" s="26">
        <f t="shared" si="88"/>
        <v>11.965396825396823</v>
      </c>
      <c r="AO238" s="26">
        <f t="shared" si="89"/>
        <v>10.955062392426797</v>
      </c>
      <c r="AP238" s="26">
        <f t="shared" si="90"/>
        <v>11.409748956172351</v>
      </c>
      <c r="AS238" s="2">
        <v>45242</v>
      </c>
      <c r="AT238">
        <v>17.8</v>
      </c>
      <c r="AU238">
        <v>46.5</v>
      </c>
      <c r="AV238">
        <v>14.7</v>
      </c>
      <c r="AW238">
        <v>4.5</v>
      </c>
      <c r="AX238">
        <v>64.88</v>
      </c>
      <c r="AY238">
        <v>0.1</v>
      </c>
      <c r="AZ238">
        <v>3</v>
      </c>
      <c r="BA238">
        <v>292.69799999999998</v>
      </c>
      <c r="BB238">
        <v>54.445900000000002</v>
      </c>
      <c r="BC238">
        <v>66.125799999999998</v>
      </c>
      <c r="BD238">
        <v>3.48</v>
      </c>
      <c r="BE238">
        <v>19.550599999999999</v>
      </c>
      <c r="BH238">
        <v>99.5</v>
      </c>
    </row>
    <row r="239" spans="1:60" x14ac:dyDescent="0.25">
      <c r="A239" s="2">
        <v>45262</v>
      </c>
      <c r="B239">
        <v>20.9</v>
      </c>
      <c r="C239">
        <v>21.1</v>
      </c>
      <c r="D239">
        <v>12.3</v>
      </c>
      <c r="E239">
        <v>1.8</v>
      </c>
      <c r="F239">
        <v>10.52</v>
      </c>
      <c r="G239">
        <v>0.5</v>
      </c>
      <c r="H239">
        <v>3.6</v>
      </c>
      <c r="I239">
        <v>364.92809999999997</v>
      </c>
      <c r="J239">
        <v>216.2389</v>
      </c>
      <c r="K239">
        <v>198.8837</v>
      </c>
      <c r="L239">
        <v>3.48</v>
      </c>
      <c r="M239">
        <v>24.6814</v>
      </c>
      <c r="P239">
        <v>94.32</v>
      </c>
      <c r="S239">
        <f t="shared" si="69"/>
        <v>878.93209999999999</v>
      </c>
      <c r="T239">
        <f t="shared" si="70"/>
        <v>1.9593018323221988E-2</v>
      </c>
      <c r="U239">
        <f t="shared" si="71"/>
        <v>1.9780511321530334E-2</v>
      </c>
      <c r="V239">
        <f t="shared" si="72"/>
        <v>1.153081939596318E-2</v>
      </c>
      <c r="W239">
        <f t="shared" si="73"/>
        <v>1.6874369847750994E-3</v>
      </c>
      <c r="X239">
        <f t="shared" si="74"/>
        <v>9.8621317110189136E-3</v>
      </c>
      <c r="Y239">
        <f t="shared" si="75"/>
        <v>4.6873249577086097E-4</v>
      </c>
      <c r="Z239">
        <f t="shared" si="76"/>
        <v>3.3748739695501988E-3</v>
      </c>
      <c r="AA239">
        <f t="shared" si="77"/>
        <v>0.34210731817983664</v>
      </c>
      <c r="AB239">
        <f t="shared" si="78"/>
        <v>0.20271639855949125</v>
      </c>
      <c r="AC239">
        <f t="shared" si="79"/>
        <v>0.18644650613828637</v>
      </c>
      <c r="AD239">
        <f t="shared" si="80"/>
        <v>3.2623781705651924E-3</v>
      </c>
      <c r="AE239">
        <f t="shared" si="81"/>
        <v>2.3137948442237856E-2</v>
      </c>
      <c r="AG239">
        <f t="shared" si="82"/>
        <v>0.72509593213224532</v>
      </c>
      <c r="AH239">
        <f t="shared" si="83"/>
        <v>8.9435472644068426E-2</v>
      </c>
      <c r="AI239">
        <f t="shared" si="84"/>
        <v>-1.1951081521511056</v>
      </c>
      <c r="AK239" s="26">
        <f t="shared" si="85"/>
        <v>3.3998530962597445E-2</v>
      </c>
      <c r="AL239" s="26">
        <f t="shared" si="86"/>
        <v>3.8525832634037915E-2</v>
      </c>
      <c r="AM239" s="26">
        <f t="shared" si="87"/>
        <v>5.5534232386287907E-2</v>
      </c>
      <c r="AN239" s="26">
        <f t="shared" si="88"/>
        <v>11.942063492063511</v>
      </c>
      <c r="AO239" s="26">
        <f t="shared" si="89"/>
        <v>10.911441480206506</v>
      </c>
      <c r="AP239" s="26">
        <f t="shared" si="90"/>
        <v>11.43445418975341</v>
      </c>
      <c r="AS239" s="2">
        <v>45241</v>
      </c>
      <c r="AT239">
        <v>18.100000000000001</v>
      </c>
      <c r="AU239">
        <v>34.299999999999997</v>
      </c>
      <c r="AV239">
        <v>16.5</v>
      </c>
      <c r="AW239">
        <v>7.2</v>
      </c>
      <c r="AX239">
        <v>57.84</v>
      </c>
      <c r="AY239">
        <v>0.1</v>
      </c>
      <c r="AZ239">
        <v>2.7</v>
      </c>
      <c r="BA239">
        <v>286.79649999999998</v>
      </c>
      <c r="BB239">
        <v>55.087499999999999</v>
      </c>
      <c r="BC239">
        <v>70.1143</v>
      </c>
      <c r="BD239">
        <v>3.48</v>
      </c>
      <c r="BE239">
        <v>16.179200000000002</v>
      </c>
      <c r="BH239">
        <v>99.49</v>
      </c>
    </row>
    <row r="240" spans="1:60" x14ac:dyDescent="0.25">
      <c r="A240" s="2">
        <v>45261</v>
      </c>
      <c r="B240">
        <v>21</v>
      </c>
      <c r="C240">
        <v>33.6</v>
      </c>
      <c r="D240">
        <v>25.1</v>
      </c>
      <c r="E240">
        <v>1.7</v>
      </c>
      <c r="F240">
        <v>8.4499999999999993</v>
      </c>
      <c r="G240">
        <v>0.5</v>
      </c>
      <c r="H240">
        <v>3.7</v>
      </c>
      <c r="I240">
        <v>372.48770000000002</v>
      </c>
      <c r="J240">
        <v>236.46449999999999</v>
      </c>
      <c r="K240">
        <v>232.41720000000001</v>
      </c>
      <c r="L240">
        <v>4.7588999999999997</v>
      </c>
      <c r="M240">
        <v>37.071800000000003</v>
      </c>
      <c r="N240">
        <v>-12.8895</v>
      </c>
      <c r="O240">
        <v>-3.2229999999999999</v>
      </c>
      <c r="P240">
        <v>94.8</v>
      </c>
      <c r="S240">
        <f t="shared" si="69"/>
        <v>977.25010000000009</v>
      </c>
      <c r="T240">
        <f t="shared" si="70"/>
        <v>1.9686764822376159E-2</v>
      </c>
      <c r="U240">
        <f t="shared" si="71"/>
        <v>3.1498823715801857E-2</v>
      </c>
      <c r="V240">
        <f t="shared" si="72"/>
        <v>2.3530371287697222E-2</v>
      </c>
      <c r="W240">
        <f t="shared" si="73"/>
        <v>1.5936904856209272E-3</v>
      </c>
      <c r="X240">
        <f t="shared" si="74"/>
        <v>7.9215791785275502E-3</v>
      </c>
      <c r="Y240">
        <f t="shared" si="75"/>
        <v>4.6873249577086097E-4</v>
      </c>
      <c r="Z240">
        <f t="shared" si="76"/>
        <v>3.4686204687043713E-3</v>
      </c>
      <c r="AA240">
        <f t="shared" si="77"/>
        <v>0.34919417852989548</v>
      </c>
      <c r="AB240">
        <f t="shared" si="78"/>
        <v>0.22167719049241749</v>
      </c>
      <c r="AC240">
        <f t="shared" si="79"/>
        <v>0.2178829884321507</v>
      </c>
      <c r="AD240">
        <f t="shared" si="80"/>
        <v>4.4613021482479004E-3</v>
      </c>
      <c r="AE240">
        <f t="shared" si="81"/>
        <v>3.475351467343641E-2</v>
      </c>
      <c r="AG240">
        <f t="shared" si="82"/>
        <v>0.74803386673612782</v>
      </c>
      <c r="AH240">
        <f t="shared" si="83"/>
        <v>0.12292209712793536</v>
      </c>
      <c r="AI240">
        <f t="shared" si="84"/>
        <v>-0.97927029363258344</v>
      </c>
      <c r="AK240" s="26">
        <f t="shared" si="85"/>
        <v>3.5432666394697582E-2</v>
      </c>
      <c r="AL240" s="26">
        <f t="shared" si="86"/>
        <v>3.8653868286764176E-2</v>
      </c>
      <c r="AM240" s="26">
        <f t="shared" si="87"/>
        <v>5.6669380621334586E-2</v>
      </c>
      <c r="AN240" s="26">
        <f t="shared" si="88"/>
        <v>11.917619047619041</v>
      </c>
      <c r="AO240" s="26">
        <f t="shared" si="89"/>
        <v>10.869750430292555</v>
      </c>
      <c r="AP240" s="26">
        <f t="shared" si="90"/>
        <v>11.459616869304895</v>
      </c>
      <c r="AS240" s="2">
        <v>45240</v>
      </c>
      <c r="AT240">
        <v>18.100000000000001</v>
      </c>
      <c r="AU240">
        <v>47.8</v>
      </c>
      <c r="AV240">
        <v>63.5</v>
      </c>
      <c r="AW240">
        <v>14.5</v>
      </c>
      <c r="AX240">
        <v>59.16</v>
      </c>
      <c r="AY240">
        <v>0.1</v>
      </c>
      <c r="AZ240">
        <v>2.6</v>
      </c>
      <c r="BA240">
        <v>301.5641</v>
      </c>
      <c r="BB240">
        <v>65.307500000000005</v>
      </c>
      <c r="BC240">
        <v>81.139899999999997</v>
      </c>
      <c r="BD240">
        <v>2.9</v>
      </c>
      <c r="BE240">
        <v>29.321100000000001</v>
      </c>
      <c r="BF240">
        <v>-32.960500000000003</v>
      </c>
      <c r="BG240">
        <v>-20.3642</v>
      </c>
      <c r="BH240">
        <v>99.48</v>
      </c>
    </row>
    <row r="241" spans="1:60" x14ac:dyDescent="0.25">
      <c r="A241" s="2">
        <v>45260</v>
      </c>
      <c r="B241">
        <v>22.1</v>
      </c>
      <c r="C241">
        <v>55.5</v>
      </c>
      <c r="D241">
        <v>16.7</v>
      </c>
      <c r="E241">
        <v>1.3</v>
      </c>
      <c r="F241">
        <v>17.309999999999999</v>
      </c>
      <c r="G241">
        <v>0.5</v>
      </c>
      <c r="H241">
        <v>3.4</v>
      </c>
      <c r="I241">
        <v>363.27519999999998</v>
      </c>
      <c r="J241">
        <v>236.87389999999999</v>
      </c>
      <c r="K241">
        <v>232.62899999999999</v>
      </c>
      <c r="L241">
        <v>4.0350999999999999</v>
      </c>
      <c r="M241">
        <v>37.536000000000001</v>
      </c>
      <c r="N241">
        <v>-23.423200000000001</v>
      </c>
      <c r="O241">
        <v>-18.448899999999998</v>
      </c>
      <c r="P241">
        <v>95.33</v>
      </c>
      <c r="S241">
        <f t="shared" si="69"/>
        <v>991.15920000000006</v>
      </c>
      <c r="T241">
        <f t="shared" si="70"/>
        <v>2.0717976313072057E-2</v>
      </c>
      <c r="U241">
        <f t="shared" si="71"/>
        <v>5.2029307030565568E-2</v>
      </c>
      <c r="V241">
        <f t="shared" si="72"/>
        <v>1.5655665358746754E-2</v>
      </c>
      <c r="W241">
        <f t="shared" si="73"/>
        <v>1.2187044890042385E-3</v>
      </c>
      <c r="X241">
        <f t="shared" si="74"/>
        <v>1.6227519003587206E-2</v>
      </c>
      <c r="Y241">
        <f t="shared" si="75"/>
        <v>4.6873249577086097E-4</v>
      </c>
      <c r="Z241">
        <f t="shared" si="76"/>
        <v>3.1873809712418544E-3</v>
      </c>
      <c r="AA241">
        <f t="shared" si="77"/>
        <v>0.3405577822953173</v>
      </c>
      <c r="AB241">
        <f t="shared" si="78"/>
        <v>0.22206098865995466</v>
      </c>
      <c r="AC241">
        <f t="shared" si="79"/>
        <v>0.21808154351735923</v>
      </c>
      <c r="AD241">
        <f t="shared" si="80"/>
        <v>3.7827649873700018E-3</v>
      </c>
      <c r="AE241">
        <f t="shared" si="81"/>
        <v>3.5188685922510073E-2</v>
      </c>
      <c r="AG241">
        <f t="shared" si="82"/>
        <v>0.77334119681349422</v>
      </c>
      <c r="AH241">
        <f t="shared" si="83"/>
        <v>0.14469397158449862</v>
      </c>
      <c r="AI241">
        <f t="shared" si="84"/>
        <v>-0.84086299832789979</v>
      </c>
      <c r="AK241" s="26">
        <f t="shared" si="85"/>
        <v>3.782703084919764E-2</v>
      </c>
      <c r="AL241" s="26">
        <f t="shared" si="86"/>
        <v>4.0245983597236357E-2</v>
      </c>
      <c r="AM241" s="26">
        <f t="shared" si="87"/>
        <v>5.6904109383911633E-2</v>
      </c>
      <c r="AN241" s="26">
        <f t="shared" si="88"/>
        <v>11.887936507936516</v>
      </c>
      <c r="AO241" s="26">
        <f t="shared" si="89"/>
        <v>10.828440189328717</v>
      </c>
      <c r="AP241" s="26">
        <f t="shared" si="90"/>
        <v>11.48644573409311</v>
      </c>
      <c r="AS241" s="2">
        <v>45239</v>
      </c>
      <c r="AT241">
        <v>17.3</v>
      </c>
      <c r="AU241">
        <v>1.1000000000000001</v>
      </c>
      <c r="AV241">
        <v>49.8</v>
      </c>
      <c r="AW241">
        <v>18.600000000000001</v>
      </c>
      <c r="AX241">
        <v>56.37</v>
      </c>
      <c r="AY241">
        <v>0.1</v>
      </c>
      <c r="AZ241">
        <v>2.6</v>
      </c>
      <c r="BA241">
        <v>261.20150000000001</v>
      </c>
      <c r="BB241">
        <v>97.16</v>
      </c>
      <c r="BC241">
        <v>72.446700000000007</v>
      </c>
      <c r="BD241">
        <v>3.0261</v>
      </c>
      <c r="BE241">
        <v>19.5138</v>
      </c>
      <c r="BF241">
        <v>-32.0366</v>
      </c>
      <c r="BG241">
        <v>-16.772600000000001</v>
      </c>
      <c r="BH241">
        <v>99.53</v>
      </c>
    </row>
    <row r="242" spans="1:60" x14ac:dyDescent="0.25">
      <c r="A242" s="2">
        <v>45259</v>
      </c>
      <c r="B242">
        <v>22.2</v>
      </c>
      <c r="C242">
        <v>41.1</v>
      </c>
      <c r="D242">
        <v>36</v>
      </c>
      <c r="E242">
        <v>11.4</v>
      </c>
      <c r="F242">
        <v>23.74</v>
      </c>
      <c r="G242">
        <v>0.4</v>
      </c>
      <c r="H242">
        <v>3.4</v>
      </c>
      <c r="I242">
        <v>347.70580000000001</v>
      </c>
      <c r="J242">
        <v>218.52940000000001</v>
      </c>
      <c r="K242">
        <v>170.6284</v>
      </c>
      <c r="L242">
        <v>4.0152000000000001</v>
      </c>
      <c r="M242">
        <v>27.952500000000001</v>
      </c>
      <c r="N242">
        <v>-19.687999999999999</v>
      </c>
      <c r="O242">
        <v>-14.263</v>
      </c>
      <c r="P242">
        <v>95.91</v>
      </c>
      <c r="S242">
        <f t="shared" si="69"/>
        <v>907.07130000000018</v>
      </c>
      <c r="T242">
        <f t="shared" si="70"/>
        <v>2.0811722812226225E-2</v>
      </c>
      <c r="U242">
        <f t="shared" si="71"/>
        <v>3.8529811152364771E-2</v>
      </c>
      <c r="V242">
        <f t="shared" si="72"/>
        <v>3.3748739695501989E-2</v>
      </c>
      <c r="W242">
        <f t="shared" si="73"/>
        <v>1.0687100903575631E-2</v>
      </c>
      <c r="X242">
        <f t="shared" si="74"/>
        <v>2.2255418899200477E-2</v>
      </c>
      <c r="Y242">
        <f t="shared" si="75"/>
        <v>3.7498599661668879E-4</v>
      </c>
      <c r="Z242">
        <f t="shared" si="76"/>
        <v>3.1873809712418544E-3</v>
      </c>
      <c r="AA242">
        <f t="shared" si="77"/>
        <v>0.32596201485600768</v>
      </c>
      <c r="AB242">
        <f t="shared" si="78"/>
        <v>0.20486366212261758</v>
      </c>
      <c r="AC242">
        <f t="shared" si="79"/>
        <v>0.15995815156277754</v>
      </c>
      <c r="AD242">
        <f t="shared" si="80"/>
        <v>3.7641094340383221E-3</v>
      </c>
      <c r="AE242">
        <f t="shared" si="81"/>
        <v>2.6204490176069982E-2</v>
      </c>
      <c r="AG242">
        <f t="shared" si="82"/>
        <v>0.80102680631602607</v>
      </c>
      <c r="AH242">
        <f t="shared" si="83"/>
        <v>0.15579965060679765</v>
      </c>
      <c r="AI242">
        <f t="shared" si="84"/>
        <v>-0.7689896123650819</v>
      </c>
      <c r="AK242" s="26">
        <f t="shared" si="85"/>
        <v>3.5275709458439136E-2</v>
      </c>
      <c r="AL242" s="26">
        <f t="shared" si="86"/>
        <v>3.9846902471216084E-2</v>
      </c>
      <c r="AM242" s="26">
        <f t="shared" si="87"/>
        <v>5.6780782076847836E-2</v>
      </c>
      <c r="AN242" s="26">
        <f t="shared" si="88"/>
        <v>11.852698412698416</v>
      </c>
      <c r="AO242" s="26">
        <f t="shared" si="89"/>
        <v>10.786314543889816</v>
      </c>
      <c r="AP242" s="26">
        <f t="shared" si="90"/>
        <v>11.51328694099422</v>
      </c>
      <c r="AS242" s="2">
        <v>45238</v>
      </c>
      <c r="AT242">
        <v>16.5</v>
      </c>
      <c r="AU242">
        <v>1</v>
      </c>
      <c r="AV242">
        <v>87.3</v>
      </c>
      <c r="AW242">
        <v>20.9</v>
      </c>
      <c r="AX242">
        <v>85.51</v>
      </c>
      <c r="AY242">
        <v>0.1</v>
      </c>
      <c r="AZ242">
        <v>2.7</v>
      </c>
      <c r="BA242">
        <v>208.71950000000001</v>
      </c>
      <c r="BB242">
        <v>71.242199999999997</v>
      </c>
      <c r="BC242">
        <v>67.195599999999999</v>
      </c>
      <c r="BD242">
        <v>3.48</v>
      </c>
      <c r="BE242">
        <v>25.323899999999998</v>
      </c>
      <c r="BF242">
        <v>-30.674199999999999</v>
      </c>
      <c r="BG242">
        <v>-18.373799999999999</v>
      </c>
      <c r="BH242">
        <v>99.57</v>
      </c>
    </row>
    <row r="243" spans="1:60" x14ac:dyDescent="0.25">
      <c r="A243" s="2">
        <v>45258</v>
      </c>
      <c r="B243">
        <v>20.5</v>
      </c>
      <c r="C243">
        <v>35.1</v>
      </c>
      <c r="D243">
        <v>57.2</v>
      </c>
      <c r="E243">
        <v>9.1999999999999993</v>
      </c>
      <c r="F243">
        <v>17.329999999999998</v>
      </c>
      <c r="G243">
        <v>0.1</v>
      </c>
      <c r="H243">
        <v>3.4</v>
      </c>
      <c r="I243">
        <v>315.9239</v>
      </c>
      <c r="J243">
        <v>203.8535</v>
      </c>
      <c r="K243">
        <v>197.32249999999999</v>
      </c>
      <c r="L243">
        <v>3.5112999999999999</v>
      </c>
      <c r="M243">
        <v>31.7211</v>
      </c>
      <c r="N243">
        <v>-22.708400000000001</v>
      </c>
      <c r="O243">
        <v>-13.2254</v>
      </c>
      <c r="P243">
        <v>96.49</v>
      </c>
      <c r="S243">
        <f t="shared" si="69"/>
        <v>895.16230000000007</v>
      </c>
      <c r="T243">
        <f t="shared" si="70"/>
        <v>1.9218032326605298E-2</v>
      </c>
      <c r="U243">
        <f t="shared" si="71"/>
        <v>3.2905021203114442E-2</v>
      </c>
      <c r="V243">
        <f t="shared" si="72"/>
        <v>5.3622997516186495E-2</v>
      </c>
      <c r="W243">
        <f t="shared" si="73"/>
        <v>8.6246779221838404E-3</v>
      </c>
      <c r="X243">
        <f t="shared" si="74"/>
        <v>1.6246268303418038E-2</v>
      </c>
      <c r="Y243">
        <f t="shared" si="75"/>
        <v>9.3746499154172199E-5</v>
      </c>
      <c r="Z243">
        <f t="shared" si="76"/>
        <v>3.1873809712418544E-3</v>
      </c>
      <c r="AA243">
        <f t="shared" si="77"/>
        <v>0.29616759624132782</v>
      </c>
      <c r="AB243">
        <f t="shared" si="78"/>
        <v>0.1911055196532504</v>
      </c>
      <c r="AC243">
        <f t="shared" si="79"/>
        <v>0.18498293579349143</v>
      </c>
      <c r="AD243">
        <f t="shared" si="80"/>
        <v>3.2917208248004481E-3</v>
      </c>
      <c r="AE243">
        <f t="shared" si="81"/>
        <v>2.9737420743194114E-2</v>
      </c>
      <c r="AG243">
        <f t="shared" si="82"/>
        <v>0.82875881456355938</v>
      </c>
      <c r="AH243">
        <f t="shared" si="83"/>
        <v>0.16363554548509823</v>
      </c>
      <c r="AI243">
        <f t="shared" si="84"/>
        <v>-0.7183750230113618</v>
      </c>
      <c r="AK243" s="26">
        <f t="shared" si="85"/>
        <v>3.383725127110021E-2</v>
      </c>
      <c r="AL243" s="26">
        <f t="shared" si="86"/>
        <v>4.1070034122507454E-2</v>
      </c>
      <c r="AM243" s="26">
        <f t="shared" si="87"/>
        <v>5.6360322105656363E-2</v>
      </c>
      <c r="AN243" s="26">
        <f t="shared" si="88"/>
        <v>11.810476190476223</v>
      </c>
      <c r="AO243" s="26">
        <f t="shared" si="89"/>
        <v>10.744148020654023</v>
      </c>
      <c r="AP243" s="26">
        <f t="shared" si="90"/>
        <v>11.539876053675059</v>
      </c>
      <c r="AS243" s="2">
        <v>45237</v>
      </c>
      <c r="AT243">
        <v>16.7</v>
      </c>
      <c r="AU243">
        <v>45.9</v>
      </c>
      <c r="AV243">
        <v>79.3</v>
      </c>
      <c r="AW243">
        <v>19.2</v>
      </c>
      <c r="AX243">
        <v>71.44</v>
      </c>
      <c r="AY243">
        <v>0.1</v>
      </c>
      <c r="AZ243">
        <v>2.5</v>
      </c>
      <c r="BA243">
        <v>203.54239999999999</v>
      </c>
      <c r="BB243">
        <v>65.9148</v>
      </c>
      <c r="BC243">
        <v>79.219499999999996</v>
      </c>
      <c r="BD243">
        <v>3.48</v>
      </c>
      <c r="BE243">
        <v>34.288800000000002</v>
      </c>
      <c r="BF243">
        <v>-31.148</v>
      </c>
      <c r="BG243">
        <v>-16.615200000000002</v>
      </c>
      <c r="BH243">
        <v>99.61</v>
      </c>
    </row>
    <row r="244" spans="1:60" x14ac:dyDescent="0.25">
      <c r="A244" s="2">
        <v>45257</v>
      </c>
      <c r="B244">
        <v>19</v>
      </c>
      <c r="C244">
        <v>35.700000000000003</v>
      </c>
      <c r="D244">
        <v>57.1</v>
      </c>
      <c r="E244">
        <v>12.1</v>
      </c>
      <c r="F244">
        <v>24.52</v>
      </c>
      <c r="G244">
        <v>0.1</v>
      </c>
      <c r="H244">
        <v>3.5</v>
      </c>
      <c r="I244">
        <v>363.77670000000001</v>
      </c>
      <c r="J244">
        <v>171.63130000000001</v>
      </c>
      <c r="K244">
        <v>166.6953</v>
      </c>
      <c r="L244">
        <v>3.48</v>
      </c>
      <c r="M244">
        <v>23.603999999999999</v>
      </c>
      <c r="N244">
        <v>-22.859100000000002</v>
      </c>
      <c r="O244">
        <v>-12.334899999999999</v>
      </c>
      <c r="P244">
        <v>96.99</v>
      </c>
      <c r="S244">
        <f t="shared" si="69"/>
        <v>881.20730000000003</v>
      </c>
      <c r="T244">
        <f t="shared" si="70"/>
        <v>1.7811834839292717E-2</v>
      </c>
      <c r="U244">
        <f t="shared" si="71"/>
        <v>3.3467500198039478E-2</v>
      </c>
      <c r="V244">
        <f t="shared" si="72"/>
        <v>5.352925101703232E-2</v>
      </c>
      <c r="W244">
        <f t="shared" si="73"/>
        <v>1.1343326397654835E-2</v>
      </c>
      <c r="X244">
        <f t="shared" si="74"/>
        <v>2.2986641592603021E-2</v>
      </c>
      <c r="Y244">
        <f t="shared" si="75"/>
        <v>9.3746499154172199E-5</v>
      </c>
      <c r="Z244">
        <f t="shared" si="76"/>
        <v>3.2811274703960268E-3</v>
      </c>
      <c r="AA244">
        <f t="shared" si="77"/>
        <v>0.34102792098857554</v>
      </c>
      <c r="AB244">
        <f t="shared" si="78"/>
        <v>0.16089833520279476</v>
      </c>
      <c r="AC244">
        <f t="shared" si="79"/>
        <v>0.1562710080045448</v>
      </c>
      <c r="AD244">
        <f t="shared" si="80"/>
        <v>3.2623781705651924E-3</v>
      </c>
      <c r="AE244">
        <f t="shared" si="81"/>
        <v>2.2127923660350803E-2</v>
      </c>
      <c r="AG244">
        <f t="shared" si="82"/>
        <v>0.85277822483570764</v>
      </c>
      <c r="AH244">
        <f t="shared" si="83"/>
        <v>0.16464135167452337</v>
      </c>
      <c r="AI244">
        <f t="shared" si="84"/>
        <v>-0.71368534490763602</v>
      </c>
      <c r="AK244" s="26">
        <f t="shared" si="85"/>
        <v>3.4752066810838339E-2</v>
      </c>
      <c r="AL244" s="26">
        <f t="shared" si="86"/>
        <v>4.0541961585293745E-2</v>
      </c>
      <c r="AM244" s="26">
        <f t="shared" si="87"/>
        <v>5.4683004317058415E-2</v>
      </c>
      <c r="AN244" s="26">
        <f t="shared" si="88"/>
        <v>11.759841269841274</v>
      </c>
      <c r="AO244" s="26">
        <f t="shared" si="89"/>
        <v>10.700206540447468</v>
      </c>
      <c r="AP244" s="26">
        <f t="shared" si="90"/>
        <v>11.565384312386726</v>
      </c>
      <c r="AS244" s="2">
        <v>45236</v>
      </c>
      <c r="AT244">
        <v>16.7</v>
      </c>
      <c r="AU244">
        <v>89.3</v>
      </c>
      <c r="AV244">
        <v>68.900000000000006</v>
      </c>
      <c r="AW244">
        <v>23.1</v>
      </c>
      <c r="AX244">
        <v>89.76</v>
      </c>
      <c r="AY244">
        <v>0.1</v>
      </c>
      <c r="AZ244">
        <v>2.5</v>
      </c>
      <c r="BA244">
        <v>151.1104</v>
      </c>
      <c r="BB244">
        <v>42.887500000000003</v>
      </c>
      <c r="BC244">
        <v>62.580199999999998</v>
      </c>
      <c r="BD244">
        <v>3.4821</v>
      </c>
      <c r="BE244">
        <v>30.7074</v>
      </c>
      <c r="BF244">
        <v>-31.595400000000001</v>
      </c>
      <c r="BG244">
        <v>-20.3794</v>
      </c>
      <c r="BH244">
        <v>99.62</v>
      </c>
    </row>
    <row r="245" spans="1:60" x14ac:dyDescent="0.25">
      <c r="A245" s="2">
        <v>45256</v>
      </c>
      <c r="B245">
        <v>19.2</v>
      </c>
      <c r="C245">
        <v>61.6</v>
      </c>
      <c r="D245">
        <v>21.5</v>
      </c>
      <c r="E245">
        <v>4.7</v>
      </c>
      <c r="F245">
        <v>38.65</v>
      </c>
      <c r="G245">
        <v>0.1</v>
      </c>
      <c r="H245">
        <v>3.5</v>
      </c>
      <c r="I245">
        <v>332.20490000000001</v>
      </c>
      <c r="J245">
        <v>176.44290000000001</v>
      </c>
      <c r="K245">
        <v>121.7009</v>
      </c>
      <c r="L245">
        <v>3.48</v>
      </c>
      <c r="M245">
        <v>13.1755</v>
      </c>
      <c r="P245">
        <v>97.42</v>
      </c>
      <c r="S245">
        <f t="shared" si="69"/>
        <v>796.25420000000008</v>
      </c>
      <c r="T245">
        <f t="shared" si="70"/>
        <v>1.799932783760106E-2</v>
      </c>
      <c r="U245">
        <f t="shared" si="71"/>
        <v>5.7747843478970072E-2</v>
      </c>
      <c r="V245">
        <f t="shared" si="72"/>
        <v>2.0155497318147021E-2</v>
      </c>
      <c r="W245">
        <f t="shared" si="73"/>
        <v>4.4060854602460935E-3</v>
      </c>
      <c r="X245">
        <f t="shared" si="74"/>
        <v>3.6233021923087548E-2</v>
      </c>
      <c r="Y245">
        <f t="shared" si="75"/>
        <v>9.3746499154172199E-5</v>
      </c>
      <c r="Z245">
        <f t="shared" si="76"/>
        <v>3.2811274703960268E-3</v>
      </c>
      <c r="AA245">
        <f t="shared" si="77"/>
        <v>0.3114304637686186</v>
      </c>
      <c r="AB245">
        <f t="shared" si="78"/>
        <v>0.16540904175609689</v>
      </c>
      <c r="AC245">
        <f t="shared" si="79"/>
        <v>0.11409033318911994</v>
      </c>
      <c r="AD245">
        <f t="shared" si="80"/>
        <v>3.2623781705651924E-3</v>
      </c>
      <c r="AE245">
        <f t="shared" si="81"/>
        <v>1.2351569996057956E-2</v>
      </c>
      <c r="AG245">
        <f t="shared" si="82"/>
        <v>0.87355670328408275</v>
      </c>
      <c r="AH245">
        <f t="shared" si="83"/>
        <v>0.15226821998365994</v>
      </c>
      <c r="AI245">
        <f t="shared" si="84"/>
        <v>-0.79152995422072658</v>
      </c>
      <c r="AK245" s="26">
        <f t="shared" si="85"/>
        <v>3.9278823360011539E-2</v>
      </c>
      <c r="AL245" s="26">
        <f t="shared" si="86"/>
        <v>4.2423954423169263E-2</v>
      </c>
      <c r="AM245" s="26">
        <f t="shared" si="87"/>
        <v>5.2615345187128237E-2</v>
      </c>
      <c r="AN245" s="26">
        <f t="shared" si="88"/>
        <v>11.700000000000003</v>
      </c>
      <c r="AO245" s="26">
        <f t="shared" si="89"/>
        <v>10.655266781411328</v>
      </c>
      <c r="AP245" s="26">
        <f t="shared" si="90"/>
        <v>11.590043853890379</v>
      </c>
      <c r="AS245" s="2">
        <v>45235</v>
      </c>
      <c r="AT245">
        <v>17.3</v>
      </c>
      <c r="AU245">
        <v>43.4</v>
      </c>
      <c r="AV245">
        <v>42.3</v>
      </c>
      <c r="AW245">
        <v>17.100000000000001</v>
      </c>
      <c r="AX245">
        <v>54.8</v>
      </c>
      <c r="AY245">
        <v>0.1</v>
      </c>
      <c r="AZ245">
        <v>2.6</v>
      </c>
      <c r="BA245">
        <v>95.748500000000007</v>
      </c>
      <c r="BB245">
        <v>27.308599999999998</v>
      </c>
      <c r="BC245">
        <v>17.686299999999999</v>
      </c>
      <c r="BD245">
        <v>3.3380000000000001</v>
      </c>
      <c r="BE245">
        <v>24.128</v>
      </c>
      <c r="BH245">
        <v>99.63</v>
      </c>
    </row>
    <row r="246" spans="1:60" x14ac:dyDescent="0.25">
      <c r="A246" s="2">
        <v>45255</v>
      </c>
      <c r="B246">
        <v>19.600000000000001</v>
      </c>
      <c r="C246">
        <v>183.1</v>
      </c>
      <c r="D246">
        <v>69.5</v>
      </c>
      <c r="E246">
        <v>15.2</v>
      </c>
      <c r="F246">
        <v>34.020000000000003</v>
      </c>
      <c r="G246">
        <v>0.1</v>
      </c>
      <c r="H246">
        <v>3.4</v>
      </c>
      <c r="I246">
        <v>219.76320000000001</v>
      </c>
      <c r="J246">
        <v>102.12609999999999</v>
      </c>
      <c r="K246">
        <v>89.1601</v>
      </c>
      <c r="L246">
        <v>3.48</v>
      </c>
      <c r="M246">
        <v>14.2464</v>
      </c>
      <c r="P246">
        <v>97.68</v>
      </c>
      <c r="S246">
        <f t="shared" si="69"/>
        <v>753.69579999999996</v>
      </c>
      <c r="T246">
        <f t="shared" si="70"/>
        <v>1.837431383421775E-2</v>
      </c>
      <c r="U246">
        <f t="shared" si="71"/>
        <v>0.17164983995128927</v>
      </c>
      <c r="V246">
        <f t="shared" si="72"/>
        <v>6.5153816912149679E-2</v>
      </c>
      <c r="W246">
        <f t="shared" si="73"/>
        <v>1.4249467871434173E-2</v>
      </c>
      <c r="X246">
        <f t="shared" si="74"/>
        <v>3.1892559012249383E-2</v>
      </c>
      <c r="Y246">
        <f t="shared" si="75"/>
        <v>9.3746499154172199E-5</v>
      </c>
      <c r="Z246">
        <f t="shared" si="76"/>
        <v>3.1873809712418544E-3</v>
      </c>
      <c r="AA246">
        <f t="shared" si="77"/>
        <v>0.20602030642918176</v>
      </c>
      <c r="AB246">
        <f t="shared" si="78"/>
        <v>9.573964347268904E-2</v>
      </c>
      <c r="AC246">
        <f t="shared" si="79"/>
        <v>8.3584472392359083E-2</v>
      </c>
      <c r="AD246">
        <f t="shared" si="80"/>
        <v>3.2623781705651924E-3</v>
      </c>
      <c r="AE246">
        <f t="shared" si="81"/>
        <v>1.3355501255499986E-2</v>
      </c>
      <c r="AG246">
        <f t="shared" si="82"/>
        <v>0.88641141528268819</v>
      </c>
      <c r="AH246">
        <f t="shared" si="83"/>
        <v>0.3179566263072362</v>
      </c>
      <c r="AI246">
        <f t="shared" si="84"/>
        <v>0.25755842089065611</v>
      </c>
      <c r="AK246" s="26">
        <f t="shared" si="85"/>
        <v>4.1451027956031894E-2</v>
      </c>
      <c r="AL246" s="26">
        <f t="shared" si="86"/>
        <v>4.2567513471559487E-2</v>
      </c>
      <c r="AM246" s="26">
        <f t="shared" si="87"/>
        <v>5.1675825170211021E-2</v>
      </c>
      <c r="AN246" s="26">
        <f t="shared" si="88"/>
        <v>11.630634920634932</v>
      </c>
      <c r="AO246" s="26">
        <f t="shared" si="89"/>
        <v>10.610393717728044</v>
      </c>
      <c r="AP246" s="26">
        <f t="shared" si="90"/>
        <v>11.61257713820541</v>
      </c>
      <c r="AS246" s="2">
        <v>45234</v>
      </c>
      <c r="AT246">
        <v>18.899999999999999</v>
      </c>
      <c r="AU246">
        <v>0</v>
      </c>
      <c r="AV246">
        <v>92.9</v>
      </c>
      <c r="AW246">
        <v>20.5</v>
      </c>
      <c r="AX246">
        <v>95.71</v>
      </c>
      <c r="AY246">
        <v>0.1</v>
      </c>
      <c r="AZ246">
        <v>2.6</v>
      </c>
      <c r="BA246">
        <v>80.776899999999998</v>
      </c>
      <c r="BB246">
        <v>29.609200000000001</v>
      </c>
      <c r="BC246">
        <v>20.5779</v>
      </c>
      <c r="BD246">
        <v>3.48</v>
      </c>
      <c r="BE246">
        <v>18.223299999999998</v>
      </c>
      <c r="BH246">
        <v>99.56</v>
      </c>
    </row>
    <row r="247" spans="1:60" x14ac:dyDescent="0.25">
      <c r="A247" s="2">
        <v>45254</v>
      </c>
      <c r="B247">
        <v>19</v>
      </c>
      <c r="C247">
        <v>59.7</v>
      </c>
      <c r="D247">
        <v>58.1</v>
      </c>
      <c r="E247">
        <v>25.5</v>
      </c>
      <c r="F247">
        <v>39.270000000000003</v>
      </c>
      <c r="G247">
        <v>0.1</v>
      </c>
      <c r="H247">
        <v>3.3</v>
      </c>
      <c r="I247">
        <v>136.8193</v>
      </c>
      <c r="J247">
        <v>99.365300000000005</v>
      </c>
      <c r="K247">
        <v>85.536799999999999</v>
      </c>
      <c r="L247">
        <v>3.48</v>
      </c>
      <c r="M247">
        <v>26.235900000000001</v>
      </c>
      <c r="N247">
        <v>-28.103899999999999</v>
      </c>
      <c r="O247">
        <v>-14.720700000000001</v>
      </c>
      <c r="P247">
        <v>97.92</v>
      </c>
      <c r="S247">
        <f t="shared" si="69"/>
        <v>556.40730000000008</v>
      </c>
      <c r="T247">
        <f t="shared" si="70"/>
        <v>1.7811834839292717E-2</v>
      </c>
      <c r="U247">
        <f t="shared" si="71"/>
        <v>5.5966659995040802E-2</v>
      </c>
      <c r="V247">
        <f t="shared" si="72"/>
        <v>5.4466716008574043E-2</v>
      </c>
      <c r="W247">
        <f t="shared" si="73"/>
        <v>2.3905357284313908E-2</v>
      </c>
      <c r="X247">
        <f t="shared" si="74"/>
        <v>3.6814250217843424E-2</v>
      </c>
      <c r="Y247">
        <f t="shared" si="75"/>
        <v>9.3746499154172199E-5</v>
      </c>
      <c r="Z247">
        <f t="shared" si="76"/>
        <v>3.0936344720876819E-3</v>
      </c>
      <c r="AA247">
        <f t="shared" si="77"/>
        <v>0.1282633039172443</v>
      </c>
      <c r="AB247">
        <f t="shared" si="78"/>
        <v>9.315149012404067E-2</v>
      </c>
      <c r="AC247">
        <f t="shared" si="79"/>
        <v>8.0187755488505957E-2</v>
      </c>
      <c r="AD247">
        <f t="shared" si="80"/>
        <v>3.2623781705651924E-3</v>
      </c>
      <c r="AE247">
        <f t="shared" si="81"/>
        <v>2.4595237771589461E-2</v>
      </c>
      <c r="AG247">
        <f t="shared" si="82"/>
        <v>0.89836605400111202</v>
      </c>
      <c r="AH247">
        <f t="shared" si="83"/>
        <v>0.21674743708789623</v>
      </c>
      <c r="AI247">
        <f t="shared" si="84"/>
        <v>-0.37592372684658443</v>
      </c>
      <c r="AK247" s="26">
        <f t="shared" si="85"/>
        <v>3.7008484035852773E-2</v>
      </c>
      <c r="AL247" s="26">
        <f t="shared" si="86"/>
        <v>3.8885752511373689E-2</v>
      </c>
      <c r="AM247" s="26">
        <f t="shared" si="87"/>
        <v>5.0034706715503557E-2</v>
      </c>
      <c r="AN247" s="26">
        <f t="shared" si="88"/>
        <v>11.557777777777787</v>
      </c>
      <c r="AO247" s="26">
        <f t="shared" si="89"/>
        <v>10.56354776247845</v>
      </c>
      <c r="AP247" s="26">
        <f t="shared" si="90"/>
        <v>11.635851999684874</v>
      </c>
      <c r="AS247" s="2">
        <v>45233</v>
      </c>
      <c r="AT247">
        <v>19.100000000000001</v>
      </c>
      <c r="AU247">
        <v>279.60000000000002</v>
      </c>
      <c r="AV247">
        <v>78.5</v>
      </c>
      <c r="AW247">
        <v>18.100000000000001</v>
      </c>
      <c r="AX247">
        <v>55.45</v>
      </c>
      <c r="AY247">
        <v>0.3</v>
      </c>
      <c r="AZ247">
        <v>2.8</v>
      </c>
      <c r="BA247">
        <v>132.86420000000001</v>
      </c>
      <c r="BB247">
        <v>48.723100000000002</v>
      </c>
      <c r="BC247">
        <v>64.963499999999996</v>
      </c>
      <c r="BD247">
        <v>3.48</v>
      </c>
      <c r="BE247">
        <v>41.495600000000003</v>
      </c>
      <c r="BF247">
        <v>-34.015799999999999</v>
      </c>
      <c r="BG247">
        <v>-19.480699999999999</v>
      </c>
      <c r="BH247">
        <v>99.5</v>
      </c>
    </row>
    <row r="248" spans="1:60" x14ac:dyDescent="0.25">
      <c r="A248" s="2">
        <v>45253</v>
      </c>
      <c r="B248">
        <v>19</v>
      </c>
      <c r="C248">
        <v>44.3</v>
      </c>
      <c r="D248">
        <v>44.2</v>
      </c>
      <c r="E248">
        <v>30.5</v>
      </c>
      <c r="F248">
        <v>43.68</v>
      </c>
      <c r="G248">
        <v>0.1</v>
      </c>
      <c r="H248">
        <v>3.5</v>
      </c>
      <c r="I248">
        <v>137.13509999999999</v>
      </c>
      <c r="J248">
        <v>103.304</v>
      </c>
      <c r="K248">
        <v>105.47929999999999</v>
      </c>
      <c r="L248">
        <v>6.8038999999999996</v>
      </c>
      <c r="M248">
        <v>19.452000000000002</v>
      </c>
      <c r="N248">
        <v>-26.8017</v>
      </c>
      <c r="O248">
        <v>-12.589600000000001</v>
      </c>
      <c r="P248">
        <v>98.16</v>
      </c>
      <c r="S248">
        <f t="shared" si="69"/>
        <v>557.45429999999999</v>
      </c>
      <c r="T248">
        <f t="shared" si="70"/>
        <v>1.7811834839292717E-2</v>
      </c>
      <c r="U248">
        <f t="shared" si="71"/>
        <v>4.1529699125298275E-2</v>
      </c>
      <c r="V248">
        <f t="shared" si="72"/>
        <v>4.1435952626144114E-2</v>
      </c>
      <c r="W248">
        <f t="shared" si="73"/>
        <v>2.8592682242022518E-2</v>
      </c>
      <c r="X248">
        <f t="shared" si="74"/>
        <v>4.0948470830542413E-2</v>
      </c>
      <c r="Y248">
        <f t="shared" si="75"/>
        <v>9.3746499154172199E-5</v>
      </c>
      <c r="Z248">
        <f t="shared" si="76"/>
        <v>3.2811274703960268E-3</v>
      </c>
      <c r="AA248">
        <f t="shared" si="77"/>
        <v>0.12855935536157317</v>
      </c>
      <c r="AB248">
        <f t="shared" si="78"/>
        <v>9.6843883486226037E-2</v>
      </c>
      <c r="AC248">
        <f t="shared" si="79"/>
        <v>9.8883151082326745E-2</v>
      </c>
      <c r="AD248">
        <f t="shared" si="80"/>
        <v>6.3784180559507218E-3</v>
      </c>
      <c r="AE248">
        <f t="shared" si="81"/>
        <v>1.8235569015469577E-2</v>
      </c>
      <c r="AG248">
        <f t="shared" si="82"/>
        <v>0.91034289913912581</v>
      </c>
      <c r="AH248">
        <f t="shared" si="83"/>
        <v>0.19192908264831979</v>
      </c>
      <c r="AI248">
        <f t="shared" si="84"/>
        <v>-0.5306600682822793</v>
      </c>
      <c r="AK248" s="26">
        <f t="shared" si="85"/>
        <v>4.8313341631981754E-2</v>
      </c>
      <c r="AL248" s="26">
        <f t="shared" si="86"/>
        <v>3.9825233012308808E-2</v>
      </c>
      <c r="AM248" s="26">
        <f t="shared" si="87"/>
        <v>4.8837627685959645E-2</v>
      </c>
      <c r="AN248" s="26">
        <f t="shared" si="88"/>
        <v>11.482857142857128</v>
      </c>
      <c r="AO248" s="26">
        <f t="shared" si="89"/>
        <v>10.517943201376895</v>
      </c>
      <c r="AP248" s="26">
        <f t="shared" si="90"/>
        <v>11.660931960820349</v>
      </c>
      <c r="AS248" s="2">
        <v>45232</v>
      </c>
      <c r="AT248">
        <v>16.3</v>
      </c>
      <c r="AU248">
        <v>2.9</v>
      </c>
      <c r="AV248">
        <v>75</v>
      </c>
      <c r="AW248">
        <v>25.1</v>
      </c>
      <c r="AX248">
        <v>41.65</v>
      </c>
      <c r="AY248">
        <v>0.5</v>
      </c>
      <c r="AZ248">
        <v>2.8</v>
      </c>
      <c r="BA248">
        <v>110.07989999999999</v>
      </c>
      <c r="BB248">
        <v>46.383600000000001</v>
      </c>
      <c r="BC248">
        <v>29.604900000000001</v>
      </c>
      <c r="BD248">
        <v>3.48</v>
      </c>
      <c r="BE248">
        <v>20.789200000000001</v>
      </c>
      <c r="BF248">
        <v>-35.574399999999997</v>
      </c>
      <c r="BG248">
        <v>-20.685400000000001</v>
      </c>
      <c r="BH248">
        <v>99.49</v>
      </c>
    </row>
    <row r="249" spans="1:60" x14ac:dyDescent="0.25">
      <c r="A249" s="2">
        <v>45252</v>
      </c>
      <c r="B249">
        <v>18.7</v>
      </c>
      <c r="C249">
        <v>19.100000000000001</v>
      </c>
      <c r="D249">
        <v>59.3</v>
      </c>
      <c r="E249">
        <v>9.8000000000000007</v>
      </c>
      <c r="F249">
        <v>52.01</v>
      </c>
      <c r="G249">
        <v>0.1</v>
      </c>
      <c r="H249">
        <v>3.4</v>
      </c>
      <c r="I249">
        <v>297.07819999999998</v>
      </c>
      <c r="J249">
        <v>173.58420000000001</v>
      </c>
      <c r="K249">
        <v>153.16380000000001</v>
      </c>
      <c r="L249">
        <v>3.3565</v>
      </c>
      <c r="M249">
        <v>24.482399999999998</v>
      </c>
      <c r="N249">
        <v>-26.247199999999999</v>
      </c>
      <c r="O249">
        <v>-15.139699999999999</v>
      </c>
      <c r="P249">
        <v>98.4</v>
      </c>
      <c r="S249">
        <f t="shared" si="69"/>
        <v>814.07510000000002</v>
      </c>
      <c r="T249">
        <f t="shared" si="70"/>
        <v>1.7530595341830199E-2</v>
      </c>
      <c r="U249">
        <f t="shared" si="71"/>
        <v>1.7905581338446889E-2</v>
      </c>
      <c r="V249">
        <f t="shared" si="72"/>
        <v>5.5591673998424108E-2</v>
      </c>
      <c r="W249">
        <f t="shared" si="73"/>
        <v>9.1871569171088751E-3</v>
      </c>
      <c r="X249">
        <f t="shared" si="74"/>
        <v>4.8757554210084958E-2</v>
      </c>
      <c r="Y249">
        <f t="shared" si="75"/>
        <v>9.3746499154172199E-5</v>
      </c>
      <c r="Z249">
        <f t="shared" si="76"/>
        <v>3.1873809712418544E-3</v>
      </c>
      <c r="AA249">
        <f t="shared" si="77"/>
        <v>0.27850041225022998</v>
      </c>
      <c r="AB249">
        <f t="shared" si="78"/>
        <v>0.16272911058477657</v>
      </c>
      <c r="AC249">
        <f t="shared" si="79"/>
        <v>0.14358570047149799</v>
      </c>
      <c r="AD249">
        <f t="shared" si="80"/>
        <v>3.1466012441097894E-3</v>
      </c>
      <c r="AE249">
        <f t="shared" si="81"/>
        <v>2.2951392908921051E-2</v>
      </c>
      <c r="AG249">
        <f t="shared" si="82"/>
        <v>0.9223424468589746</v>
      </c>
      <c r="AH249">
        <f t="shared" si="83"/>
        <v>0.17520508218521208</v>
      </c>
      <c r="AI249">
        <f t="shared" si="84"/>
        <v>-0.63579275956848824</v>
      </c>
      <c r="AK249" s="26">
        <f t="shared" si="85"/>
        <v>4.6353745167805077E-2</v>
      </c>
      <c r="AL249" s="26">
        <f t="shared" si="86"/>
        <v>4.1480782976537345E-2</v>
      </c>
      <c r="AM249" s="26">
        <f t="shared" si="87"/>
        <v>4.8222421306031493E-2</v>
      </c>
      <c r="AN249" s="26">
        <f t="shared" si="88"/>
        <v>11.409999999999982</v>
      </c>
      <c r="AO249" s="26">
        <f t="shared" si="89"/>
        <v>10.473263769363129</v>
      </c>
      <c r="AP249" s="26">
        <f t="shared" si="90"/>
        <v>11.687254273784831</v>
      </c>
      <c r="AS249" s="2">
        <v>45231</v>
      </c>
      <c r="AT249">
        <v>18</v>
      </c>
      <c r="AU249">
        <v>2</v>
      </c>
      <c r="AV249">
        <v>73.7</v>
      </c>
      <c r="AW249">
        <v>12.6</v>
      </c>
      <c r="AX249">
        <v>100.7</v>
      </c>
      <c r="AY249">
        <v>0.5</v>
      </c>
      <c r="AZ249">
        <v>2.8</v>
      </c>
      <c r="BA249">
        <v>118.0654</v>
      </c>
      <c r="BB249">
        <v>29.0457</v>
      </c>
      <c r="BC249">
        <v>44.331499999999998</v>
      </c>
      <c r="BD249">
        <v>2.61</v>
      </c>
      <c r="BE249">
        <v>13.067600000000001</v>
      </c>
      <c r="BF249">
        <v>-33.259799999999998</v>
      </c>
      <c r="BG249">
        <v>-20.017700000000001</v>
      </c>
      <c r="BH249">
        <v>99.41</v>
      </c>
    </row>
    <row r="250" spans="1:60" x14ac:dyDescent="0.25">
      <c r="A250" s="2">
        <v>45251</v>
      </c>
      <c r="B250">
        <v>18.600000000000001</v>
      </c>
      <c r="C250">
        <v>8.6999999999999993</v>
      </c>
      <c r="D250">
        <v>50.7</v>
      </c>
      <c r="E250">
        <v>6.3</v>
      </c>
      <c r="F250">
        <v>31.95</v>
      </c>
      <c r="G250">
        <v>0.1</v>
      </c>
      <c r="H250">
        <v>3.5</v>
      </c>
      <c r="I250">
        <v>327.1157</v>
      </c>
      <c r="J250">
        <v>224.18039999999999</v>
      </c>
      <c r="K250">
        <v>150.37739999999999</v>
      </c>
      <c r="L250">
        <v>3.48</v>
      </c>
      <c r="M250">
        <v>27.504999999999999</v>
      </c>
      <c r="N250">
        <v>-27.087800000000001</v>
      </c>
      <c r="O250">
        <v>-16.160499999999999</v>
      </c>
      <c r="P250">
        <v>98.68</v>
      </c>
      <c r="S250">
        <f t="shared" si="69"/>
        <v>852.50849999999991</v>
      </c>
      <c r="T250">
        <f t="shared" si="70"/>
        <v>1.7436848842676027E-2</v>
      </c>
      <c r="U250">
        <f t="shared" si="71"/>
        <v>8.1559454264129791E-3</v>
      </c>
      <c r="V250">
        <f t="shared" si="72"/>
        <v>4.7529475071165304E-2</v>
      </c>
      <c r="W250">
        <f t="shared" si="73"/>
        <v>5.9060294467128483E-3</v>
      </c>
      <c r="X250">
        <f t="shared" si="74"/>
        <v>2.9952006479758014E-2</v>
      </c>
      <c r="Y250">
        <f t="shared" si="75"/>
        <v>9.3746499154172199E-5</v>
      </c>
      <c r="Z250">
        <f t="shared" si="76"/>
        <v>3.2811274703960268E-3</v>
      </c>
      <c r="AA250">
        <f t="shared" si="77"/>
        <v>0.30665951693366444</v>
      </c>
      <c r="AB250">
        <f t="shared" si="78"/>
        <v>0.21016127678981983</v>
      </c>
      <c r="AC250">
        <f t="shared" si="79"/>
        <v>0.14097354801906611</v>
      </c>
      <c r="AD250">
        <f t="shared" si="80"/>
        <v>3.2623781705651924E-3</v>
      </c>
      <c r="AE250">
        <f t="shared" si="81"/>
        <v>2.578497459235506E-2</v>
      </c>
      <c r="AG250">
        <f t="shared" si="82"/>
        <v>0.93624573670145117</v>
      </c>
      <c r="AH250">
        <f t="shared" si="83"/>
        <v>0.13814015382863043</v>
      </c>
      <c r="AI250">
        <f t="shared" si="84"/>
        <v>-0.86888966207711593</v>
      </c>
      <c r="AK250" s="26">
        <f t="shared" si="85"/>
        <v>4.3395994014181843E-2</v>
      </c>
      <c r="AL250" s="26">
        <f t="shared" si="86"/>
        <v>4.2129676155147011E-2</v>
      </c>
      <c r="AM250" s="26">
        <f t="shared" si="87"/>
        <v>4.7750807832955738E-2</v>
      </c>
      <c r="AN250" s="26">
        <f t="shared" si="88"/>
        <v>11.344126984126987</v>
      </c>
      <c r="AO250" s="26">
        <f t="shared" si="89"/>
        <v>10.429384681583443</v>
      </c>
      <c r="AP250" s="26">
        <f t="shared" si="90"/>
        <v>11.715444184764038</v>
      </c>
      <c r="AS250" s="2">
        <v>45230</v>
      </c>
      <c r="AT250">
        <v>17.7</v>
      </c>
      <c r="AU250">
        <v>2</v>
      </c>
      <c r="AV250">
        <v>28.3</v>
      </c>
      <c r="AW250">
        <v>14.3</v>
      </c>
      <c r="AX250">
        <v>52.49</v>
      </c>
      <c r="AY250">
        <v>0.4</v>
      </c>
      <c r="AZ250">
        <v>2.5</v>
      </c>
      <c r="BA250">
        <v>241.3605</v>
      </c>
      <c r="BB250">
        <v>70.252700000000004</v>
      </c>
      <c r="BC250">
        <v>67.640600000000006</v>
      </c>
      <c r="BD250">
        <v>4.4203000000000001</v>
      </c>
      <c r="BE250">
        <v>24.988099999999999</v>
      </c>
      <c r="BF250">
        <v>-31.418399999999998</v>
      </c>
      <c r="BG250">
        <v>-26.840299999999999</v>
      </c>
      <c r="BH250">
        <v>99.31</v>
      </c>
    </row>
    <row r="251" spans="1:60" x14ac:dyDescent="0.25">
      <c r="A251" s="2">
        <v>45250</v>
      </c>
      <c r="B251">
        <v>17.7</v>
      </c>
      <c r="C251">
        <v>1.4</v>
      </c>
      <c r="D251">
        <v>19.100000000000001</v>
      </c>
      <c r="E251">
        <v>10.3</v>
      </c>
      <c r="F251">
        <v>47.83</v>
      </c>
      <c r="G251">
        <v>0.1</v>
      </c>
      <c r="H251">
        <v>3.7</v>
      </c>
      <c r="I251">
        <v>268.37619999999998</v>
      </c>
      <c r="J251">
        <v>139.64009999999999</v>
      </c>
      <c r="K251">
        <v>108.7672</v>
      </c>
      <c r="L251">
        <v>3.5087000000000002</v>
      </c>
      <c r="M251">
        <v>31.3447</v>
      </c>
      <c r="N251">
        <v>-29.013999999999999</v>
      </c>
      <c r="O251">
        <v>-14.5291</v>
      </c>
      <c r="P251">
        <v>98.88</v>
      </c>
      <c r="S251">
        <f t="shared" si="69"/>
        <v>651.76689999999996</v>
      </c>
      <c r="T251">
        <f t="shared" si="70"/>
        <v>1.6593130350288476E-2</v>
      </c>
      <c r="U251">
        <f t="shared" si="71"/>
        <v>1.3124509881584105E-3</v>
      </c>
      <c r="V251">
        <f t="shared" si="72"/>
        <v>1.7905581338446889E-2</v>
      </c>
      <c r="W251">
        <f t="shared" si="73"/>
        <v>9.6558894128797364E-3</v>
      </c>
      <c r="X251">
        <f t="shared" si="74"/>
        <v>4.4838950545440556E-2</v>
      </c>
      <c r="Y251">
        <f t="shared" si="75"/>
        <v>9.3746499154172199E-5</v>
      </c>
      <c r="Z251">
        <f t="shared" si="76"/>
        <v>3.4686204687043713E-3</v>
      </c>
      <c r="AA251">
        <f t="shared" si="77"/>
        <v>0.25159329206299946</v>
      </c>
      <c r="AB251">
        <f t="shared" si="78"/>
        <v>0.13090770516538519</v>
      </c>
      <c r="AC251">
        <f t="shared" si="79"/>
        <v>0.10196544222801678</v>
      </c>
      <c r="AD251">
        <f t="shared" si="80"/>
        <v>3.2892834158224399E-3</v>
      </c>
      <c r="AE251">
        <f t="shared" si="81"/>
        <v>2.938455892037781E-2</v>
      </c>
      <c r="AG251">
        <f t="shared" si="82"/>
        <v>0.94640673494878191</v>
      </c>
      <c r="AH251">
        <f t="shared" si="83"/>
        <v>0.12325292852345042</v>
      </c>
      <c r="AI251">
        <f t="shared" si="84"/>
        <v>-0.96235550318990559</v>
      </c>
      <c r="AK251" s="26">
        <f t="shared" si="85"/>
        <v>4.1137108131356293E-2</v>
      </c>
      <c r="AL251" s="26">
        <f t="shared" si="86"/>
        <v>4.6493382489888296E-2</v>
      </c>
      <c r="AM251" s="26">
        <f t="shared" si="87"/>
        <v>4.7433494915994023E-2</v>
      </c>
      <c r="AN251" s="26">
        <f t="shared" si="88"/>
        <v>11.27555555555557</v>
      </c>
      <c r="AO251" s="26">
        <f t="shared" si="89"/>
        <v>10.385591652323555</v>
      </c>
      <c r="AP251" s="26">
        <f t="shared" si="90"/>
        <v>11.747945169507091</v>
      </c>
      <c r="AS251" s="2">
        <v>45229</v>
      </c>
      <c r="AT251">
        <v>11.8</v>
      </c>
      <c r="AU251">
        <v>19.2</v>
      </c>
      <c r="AV251">
        <v>60.9</v>
      </c>
      <c r="AW251">
        <v>15.5</v>
      </c>
      <c r="AX251">
        <v>85.88</v>
      </c>
      <c r="AY251">
        <v>0.5</v>
      </c>
      <c r="AZ251">
        <v>2.4</v>
      </c>
      <c r="BA251">
        <v>217.36949999999999</v>
      </c>
      <c r="BB251">
        <v>94.604100000000003</v>
      </c>
      <c r="BC251">
        <v>83.775999999999996</v>
      </c>
      <c r="BD251">
        <v>3.48</v>
      </c>
      <c r="BE251">
        <v>35.676200000000001</v>
      </c>
      <c r="BF251">
        <v>-33.804900000000004</v>
      </c>
      <c r="BG251">
        <v>-17.75</v>
      </c>
      <c r="BH251">
        <v>99.23</v>
      </c>
    </row>
    <row r="252" spans="1:60" x14ac:dyDescent="0.25">
      <c r="A252" s="2">
        <v>45249</v>
      </c>
      <c r="B252">
        <v>18.2</v>
      </c>
      <c r="C252">
        <v>113.6</v>
      </c>
      <c r="D252">
        <v>80.2</v>
      </c>
      <c r="E252">
        <v>20.5</v>
      </c>
      <c r="F252">
        <v>53.19</v>
      </c>
      <c r="G252">
        <v>0.1</v>
      </c>
      <c r="H252">
        <v>3.8</v>
      </c>
      <c r="I252">
        <v>107.5962</v>
      </c>
      <c r="J252">
        <v>34.896599999999999</v>
      </c>
      <c r="K252">
        <v>38.454000000000001</v>
      </c>
      <c r="L252">
        <v>3.48</v>
      </c>
      <c r="M252">
        <v>22.0471</v>
      </c>
      <c r="P252">
        <v>99</v>
      </c>
      <c r="S252">
        <f t="shared" si="69"/>
        <v>496.06390000000005</v>
      </c>
      <c r="T252">
        <f t="shared" si="70"/>
        <v>1.7061862846059338E-2</v>
      </c>
      <c r="U252">
        <f t="shared" si="71"/>
        <v>0.1064960230391396</v>
      </c>
      <c r="V252">
        <f t="shared" si="72"/>
        <v>7.5184692321646096E-2</v>
      </c>
      <c r="W252">
        <f t="shared" si="73"/>
        <v>1.9218032326605298E-2</v>
      </c>
      <c r="X252">
        <f t="shared" si="74"/>
        <v>4.9863762900104185E-2</v>
      </c>
      <c r="Y252">
        <f t="shared" si="75"/>
        <v>9.3746499154172199E-5</v>
      </c>
      <c r="Z252">
        <f t="shared" si="76"/>
        <v>3.5623669678585433E-3</v>
      </c>
      <c r="AA252">
        <f t="shared" si="77"/>
        <v>0.10086767072292141</v>
      </c>
      <c r="AB252">
        <f t="shared" si="78"/>
        <v>3.2714340823834849E-2</v>
      </c>
      <c r="AC252">
        <f t="shared" si="79"/>
        <v>3.6049278784745377E-2</v>
      </c>
      <c r="AD252">
        <f t="shared" si="80"/>
        <v>3.2623781705651924E-3</v>
      </c>
      <c r="AE252">
        <f t="shared" si="81"/>
        <v>2.0668384415019496E-2</v>
      </c>
      <c r="AG252">
        <f t="shared" si="82"/>
        <v>0.95281223429163153</v>
      </c>
      <c r="AH252">
        <f t="shared" si="83"/>
        <v>0.29214887131558676</v>
      </c>
      <c r="AI252">
        <f t="shared" si="84"/>
        <v>0.10083472748553046</v>
      </c>
      <c r="AK252" s="26">
        <f t="shared" si="85"/>
        <v>4.3489864020628571E-2</v>
      </c>
      <c r="AL252" s="26">
        <f t="shared" si="86"/>
        <v>5.0459386990367366E-2</v>
      </c>
      <c r="AM252" s="26">
        <f t="shared" si="87"/>
        <v>4.5979272112150804E-2</v>
      </c>
      <c r="AN252" s="26">
        <f t="shared" si="88"/>
        <v>11.208412698412687</v>
      </c>
      <c r="AO252" s="26">
        <f t="shared" si="89"/>
        <v>10.344995697073969</v>
      </c>
      <c r="AP252" s="26">
        <f t="shared" si="90"/>
        <v>11.77964155353061</v>
      </c>
      <c r="AS252" s="2">
        <v>45228</v>
      </c>
      <c r="AT252">
        <v>12.1</v>
      </c>
      <c r="AU252">
        <v>0.5</v>
      </c>
      <c r="AV252">
        <v>89</v>
      </c>
      <c r="AW252">
        <v>15.6</v>
      </c>
      <c r="AX252">
        <v>74.010000000000005</v>
      </c>
      <c r="AY252">
        <v>0.4</v>
      </c>
      <c r="AZ252">
        <v>2.5</v>
      </c>
      <c r="BA252">
        <v>83.446600000000004</v>
      </c>
      <c r="BB252">
        <v>25.367000000000001</v>
      </c>
      <c r="BC252">
        <v>22.443000000000001</v>
      </c>
      <c r="BD252">
        <v>3.3319000000000001</v>
      </c>
      <c r="BE252">
        <v>18.360399999999998</v>
      </c>
      <c r="BH252">
        <v>99.14</v>
      </c>
    </row>
    <row r="253" spans="1:60" x14ac:dyDescent="0.25">
      <c r="A253" s="2">
        <v>45248</v>
      </c>
      <c r="B253">
        <v>18.7</v>
      </c>
      <c r="C253">
        <v>16.8</v>
      </c>
      <c r="D253">
        <v>61</v>
      </c>
      <c r="E253">
        <v>8.3000000000000007</v>
      </c>
      <c r="F253">
        <v>53.95</v>
      </c>
      <c r="G253">
        <v>0.1</v>
      </c>
      <c r="H253">
        <v>3.5</v>
      </c>
      <c r="I253">
        <v>246.1841</v>
      </c>
      <c r="J253">
        <v>54.6509</v>
      </c>
      <c r="K253">
        <v>95.666300000000007</v>
      </c>
      <c r="L253">
        <v>3.48</v>
      </c>
      <c r="M253">
        <v>13.683999999999999</v>
      </c>
      <c r="P253">
        <v>98.97</v>
      </c>
      <c r="S253">
        <f t="shared" si="69"/>
        <v>576.01529999999991</v>
      </c>
      <c r="T253">
        <f t="shared" si="70"/>
        <v>1.7530595341830199E-2</v>
      </c>
      <c r="U253">
        <f t="shared" si="71"/>
        <v>1.5749411857900929E-2</v>
      </c>
      <c r="V253">
        <f t="shared" si="72"/>
        <v>5.7185364484045036E-2</v>
      </c>
      <c r="W253">
        <f t="shared" si="73"/>
        <v>7.7809594297962928E-3</v>
      </c>
      <c r="X253">
        <f t="shared" si="74"/>
        <v>5.05762362936759E-2</v>
      </c>
      <c r="Y253">
        <f t="shared" si="75"/>
        <v>9.3746499154172199E-5</v>
      </c>
      <c r="Z253">
        <f t="shared" si="76"/>
        <v>3.2811274703960268E-3</v>
      </c>
      <c r="AA253">
        <f t="shared" si="77"/>
        <v>0.23078897522420641</v>
      </c>
      <c r="AB253">
        <f t="shared" si="78"/>
        <v>5.1233305506247488E-2</v>
      </c>
      <c r="AC253">
        <f t="shared" si="79"/>
        <v>8.9683807120327835E-2</v>
      </c>
      <c r="AD253">
        <f t="shared" si="80"/>
        <v>3.2623781705651924E-3</v>
      </c>
      <c r="AE253">
        <f t="shared" si="81"/>
        <v>1.2828270944256922E-2</v>
      </c>
      <c r="AG253">
        <f t="shared" si="82"/>
        <v>0.95216084745526131</v>
      </c>
      <c r="AH253">
        <f t="shared" si="83"/>
        <v>0.16502571232105548</v>
      </c>
      <c r="AI253">
        <f t="shared" si="84"/>
        <v>-0.69236636809140506</v>
      </c>
      <c r="AK253" s="26">
        <f t="shared" si="85"/>
        <v>3.7519652446907525E-2</v>
      </c>
      <c r="AL253" s="26">
        <f t="shared" si="86"/>
        <v>4.9492761714608646E-2</v>
      </c>
      <c r="AM253" s="26">
        <f t="shared" si="87"/>
        <v>4.3594064395506171E-2</v>
      </c>
      <c r="AN253" s="26">
        <f t="shared" si="88"/>
        <v>11.139999999999986</v>
      </c>
      <c r="AO253" s="26">
        <f t="shared" si="89"/>
        <v>10.30927065404471</v>
      </c>
      <c r="AP253" s="26">
        <f t="shared" si="90"/>
        <v>11.810771250754925</v>
      </c>
      <c r="AS253" s="2">
        <v>45227</v>
      </c>
      <c r="AT253">
        <v>14.6</v>
      </c>
      <c r="AU253">
        <v>2.2000000000000002</v>
      </c>
      <c r="AV253">
        <v>65</v>
      </c>
      <c r="AW253">
        <v>8.6</v>
      </c>
      <c r="AX253">
        <v>82.51</v>
      </c>
      <c r="AY253">
        <v>0.5</v>
      </c>
      <c r="AZ253">
        <v>2.7</v>
      </c>
      <c r="BA253">
        <v>147.70740000000001</v>
      </c>
      <c r="BB253">
        <v>33.819400000000002</v>
      </c>
      <c r="BC253">
        <v>35.642000000000003</v>
      </c>
      <c r="BD253">
        <v>3.5310999999999999</v>
      </c>
      <c r="BE253">
        <v>24.026800000000001</v>
      </c>
      <c r="BH253">
        <v>98.97</v>
      </c>
    </row>
    <row r="254" spans="1:60" x14ac:dyDescent="0.25">
      <c r="A254" s="2">
        <v>45247</v>
      </c>
      <c r="B254">
        <v>19.7</v>
      </c>
      <c r="C254">
        <v>34.4</v>
      </c>
      <c r="D254">
        <v>14.1</v>
      </c>
      <c r="E254">
        <v>8.8000000000000007</v>
      </c>
      <c r="F254">
        <v>47.18</v>
      </c>
      <c r="G254">
        <v>0.1</v>
      </c>
      <c r="H254">
        <v>3.5</v>
      </c>
      <c r="I254">
        <v>362.00599999999997</v>
      </c>
      <c r="J254">
        <v>196.16079999999999</v>
      </c>
      <c r="K254">
        <v>128.75829999999999</v>
      </c>
      <c r="L254">
        <v>3.48</v>
      </c>
      <c r="M254">
        <v>33.551600000000001</v>
      </c>
      <c r="N254">
        <v>-32.4754</v>
      </c>
      <c r="O254">
        <v>-19.511500000000002</v>
      </c>
      <c r="P254">
        <v>99.04</v>
      </c>
      <c r="S254">
        <f t="shared" si="69"/>
        <v>851.73669999999993</v>
      </c>
      <c r="T254">
        <f t="shared" si="70"/>
        <v>1.8468060333371922E-2</v>
      </c>
      <c r="U254">
        <f t="shared" si="71"/>
        <v>3.224879570903523E-2</v>
      </c>
      <c r="V254">
        <f t="shared" si="72"/>
        <v>1.3218256380738279E-2</v>
      </c>
      <c r="W254">
        <f t="shared" si="73"/>
        <v>8.2496919255671541E-3</v>
      </c>
      <c r="X254">
        <f t="shared" si="74"/>
        <v>4.4229598300938443E-2</v>
      </c>
      <c r="Y254">
        <f t="shared" si="75"/>
        <v>9.3746499154172199E-5</v>
      </c>
      <c r="Z254">
        <f t="shared" si="76"/>
        <v>3.2811274703960268E-3</v>
      </c>
      <c r="AA254">
        <f t="shared" si="77"/>
        <v>0.33936795172805256</v>
      </c>
      <c r="AB254">
        <f t="shared" si="78"/>
        <v>0.1838938827128174</v>
      </c>
      <c r="AC254">
        <f t="shared" si="79"/>
        <v>0.12070639862042648</v>
      </c>
      <c r="AD254">
        <f t="shared" si="80"/>
        <v>3.2623781705651924E-3</v>
      </c>
      <c r="AE254">
        <f t="shared" si="81"/>
        <v>3.1453450410211234E-2</v>
      </c>
      <c r="AG254">
        <f t="shared" si="82"/>
        <v>0.95620642947946455</v>
      </c>
      <c r="AH254">
        <f t="shared" si="83"/>
        <v>0.15124272702941244</v>
      </c>
      <c r="AI254">
        <f t="shared" si="84"/>
        <v>-0.77431965022816884</v>
      </c>
      <c r="AK254" s="26">
        <f t="shared" si="85"/>
        <v>3.5617083615009926E-2</v>
      </c>
      <c r="AL254" s="26">
        <f t="shared" si="86"/>
        <v>4.8590020523165883E-2</v>
      </c>
      <c r="AM254" s="26">
        <f t="shared" si="87"/>
        <v>4.432351711876753E-2</v>
      </c>
      <c r="AN254" s="26">
        <f t="shared" si="88"/>
        <v>11.073809523809544</v>
      </c>
      <c r="AO254" s="26">
        <f t="shared" si="89"/>
        <v>10.277136402753868</v>
      </c>
      <c r="AP254" s="26">
        <f t="shared" si="90"/>
        <v>11.843283789816411</v>
      </c>
      <c r="AS254" s="2">
        <v>45226</v>
      </c>
      <c r="AT254">
        <v>14.5</v>
      </c>
      <c r="AU254">
        <v>1.2</v>
      </c>
      <c r="AV254">
        <v>70.5</v>
      </c>
      <c r="AW254">
        <v>6.1</v>
      </c>
      <c r="AX254">
        <v>50.67</v>
      </c>
      <c r="AY254">
        <v>0.5</v>
      </c>
      <c r="AZ254">
        <v>2.7</v>
      </c>
      <c r="BA254">
        <v>334.6866</v>
      </c>
      <c r="BB254">
        <v>145.50149999999999</v>
      </c>
      <c r="BC254">
        <v>80.5839</v>
      </c>
      <c r="BD254">
        <v>3.48</v>
      </c>
      <c r="BE254">
        <v>26.744</v>
      </c>
      <c r="BF254">
        <v>-36.5623</v>
      </c>
      <c r="BG254">
        <v>-21.922899999999998</v>
      </c>
      <c r="BH254">
        <v>98.79</v>
      </c>
    </row>
    <row r="255" spans="1:60" x14ac:dyDescent="0.25">
      <c r="A255" s="2">
        <v>45246</v>
      </c>
      <c r="B255">
        <v>20.6</v>
      </c>
      <c r="C255">
        <v>22.8</v>
      </c>
      <c r="D255">
        <v>38.200000000000003</v>
      </c>
      <c r="E255">
        <v>15.2</v>
      </c>
      <c r="F255">
        <v>47.97</v>
      </c>
      <c r="G255">
        <v>0.1</v>
      </c>
      <c r="H255">
        <v>3</v>
      </c>
      <c r="I255">
        <v>316.42129999999997</v>
      </c>
      <c r="J255">
        <v>178.5804</v>
      </c>
      <c r="K255">
        <v>126.25369999999999</v>
      </c>
      <c r="L255">
        <v>6.0362999999999998</v>
      </c>
      <c r="M255">
        <v>30.203600000000002</v>
      </c>
      <c r="N255">
        <v>-31.903400000000001</v>
      </c>
      <c r="O255">
        <v>-17.910299999999999</v>
      </c>
      <c r="P255">
        <v>99.2</v>
      </c>
      <c r="S255">
        <f t="shared" si="69"/>
        <v>805.36529999999993</v>
      </c>
      <c r="T255">
        <f t="shared" si="70"/>
        <v>1.9311778825759473E-2</v>
      </c>
      <c r="U255">
        <f t="shared" si="71"/>
        <v>2.1374201807151261E-2</v>
      </c>
      <c r="V255">
        <f t="shared" si="72"/>
        <v>3.5811162676893778E-2</v>
      </c>
      <c r="W255">
        <f t="shared" si="73"/>
        <v>1.4249467871434173E-2</v>
      </c>
      <c r="X255">
        <f t="shared" si="74"/>
        <v>4.4970195644256396E-2</v>
      </c>
      <c r="Y255">
        <f t="shared" si="75"/>
        <v>9.3746499154172199E-5</v>
      </c>
      <c r="Z255">
        <f t="shared" si="76"/>
        <v>2.8123949746251659E-3</v>
      </c>
      <c r="AA255">
        <f t="shared" si="77"/>
        <v>0.29663389132812062</v>
      </c>
      <c r="AB255">
        <f t="shared" si="78"/>
        <v>0.16741287317551731</v>
      </c>
      <c r="AC255">
        <f t="shared" si="79"/>
        <v>0.11835842380261109</v>
      </c>
      <c r="AD255">
        <f t="shared" si="80"/>
        <v>5.658819928443296E-3</v>
      </c>
      <c r="AE255">
        <f t="shared" si="81"/>
        <v>2.8314817618529553E-2</v>
      </c>
      <c r="AG255">
        <f t="shared" si="82"/>
        <v>0.96449569106787414</v>
      </c>
      <c r="AH255">
        <f t="shared" si="83"/>
        <v>0.16693776591780396</v>
      </c>
      <c r="AI255">
        <f t="shared" si="84"/>
        <v>-0.67659195515801185</v>
      </c>
      <c r="AK255" s="26">
        <f t="shared" si="85"/>
        <v>3.5168726846428217E-2</v>
      </c>
      <c r="AL255" s="26">
        <f t="shared" si="86"/>
        <v>4.7795057894808396E-2</v>
      </c>
      <c r="AM255" s="26">
        <f t="shared" si="87"/>
        <v>4.3239446622304223E-2</v>
      </c>
      <c r="AN255" s="26">
        <f t="shared" si="88"/>
        <v>11.00460317460319</v>
      </c>
      <c r="AO255" s="26">
        <f t="shared" si="89"/>
        <v>10.247401032702228</v>
      </c>
      <c r="AP255" s="26">
        <f t="shared" si="90"/>
        <v>11.877237467503448</v>
      </c>
      <c r="AS255" s="2">
        <v>45225</v>
      </c>
      <c r="AT255">
        <v>13.4</v>
      </c>
      <c r="AU255">
        <v>0</v>
      </c>
      <c r="AV255">
        <v>55.8</v>
      </c>
      <c r="AW255">
        <v>7</v>
      </c>
      <c r="AX255">
        <v>50.87</v>
      </c>
      <c r="AY255">
        <v>0.4</v>
      </c>
      <c r="AZ255">
        <v>2.6</v>
      </c>
      <c r="BA255">
        <v>327.35770000000002</v>
      </c>
      <c r="BB255">
        <v>160.37139999999999</v>
      </c>
      <c r="BC255">
        <v>105.48139999999999</v>
      </c>
      <c r="BD255">
        <v>3.5188000000000001</v>
      </c>
      <c r="BE255">
        <v>22.393899999999999</v>
      </c>
      <c r="BF255">
        <v>-35.314799999999998</v>
      </c>
      <c r="BG255">
        <v>-20.802299999999999</v>
      </c>
      <c r="BH255">
        <v>98.74</v>
      </c>
    </row>
    <row r="256" spans="1:60" x14ac:dyDescent="0.25">
      <c r="A256" s="2">
        <v>45245</v>
      </c>
      <c r="B256">
        <v>19</v>
      </c>
      <c r="C256">
        <v>18.5</v>
      </c>
      <c r="D256">
        <v>41.2</v>
      </c>
      <c r="E256">
        <v>11.5</v>
      </c>
      <c r="F256">
        <v>54.11</v>
      </c>
      <c r="G256">
        <v>0.1</v>
      </c>
      <c r="H256">
        <v>2.8</v>
      </c>
      <c r="I256">
        <v>278.49709999999999</v>
      </c>
      <c r="J256">
        <v>105.08969999999999</v>
      </c>
      <c r="K256">
        <v>86.893500000000003</v>
      </c>
      <c r="L256">
        <v>3.48</v>
      </c>
      <c r="M256">
        <v>30.0655</v>
      </c>
      <c r="N256">
        <v>-31.6587</v>
      </c>
      <c r="O256">
        <v>-17.162500000000001</v>
      </c>
      <c r="P256">
        <v>99.35</v>
      </c>
      <c r="S256">
        <f t="shared" si="69"/>
        <v>651.23580000000004</v>
      </c>
      <c r="T256">
        <f t="shared" si="70"/>
        <v>1.7811834839292717E-2</v>
      </c>
      <c r="U256">
        <f t="shared" si="71"/>
        <v>1.7343102343521856E-2</v>
      </c>
      <c r="V256">
        <f t="shared" si="72"/>
        <v>3.8623557651518946E-2</v>
      </c>
      <c r="W256">
        <f t="shared" si="73"/>
        <v>1.0780847402729802E-2</v>
      </c>
      <c r="X256">
        <f t="shared" si="74"/>
        <v>5.0726230692322571E-2</v>
      </c>
      <c r="Y256">
        <f t="shared" si="75"/>
        <v>9.3746499154172199E-5</v>
      </c>
      <c r="Z256">
        <f t="shared" si="76"/>
        <v>2.624901976316821E-3</v>
      </c>
      <c r="AA256">
        <f t="shared" si="77"/>
        <v>0.26108128149589405</v>
      </c>
      <c r="AB256">
        <f t="shared" si="78"/>
        <v>9.8517914721622094E-2</v>
      </c>
      <c r="AC256">
        <f t="shared" si="79"/>
        <v>8.145961424253062E-2</v>
      </c>
      <c r="AD256">
        <f t="shared" si="80"/>
        <v>3.2623781705651924E-3</v>
      </c>
      <c r="AE256">
        <f t="shared" si="81"/>
        <v>2.8185353703197639E-2</v>
      </c>
      <c r="AG256">
        <f t="shared" si="82"/>
        <v>0.97233844832487493</v>
      </c>
      <c r="AH256">
        <f t="shared" si="83"/>
        <v>0.16618957510805452</v>
      </c>
      <c r="AI256">
        <f t="shared" si="84"/>
        <v>-0.68144942552819632</v>
      </c>
      <c r="AK256" s="26">
        <f t="shared" si="85"/>
        <v>3.1631053896878591E-2</v>
      </c>
      <c r="AL256" s="26">
        <f t="shared" si="86"/>
        <v>5.3602199891653685E-2</v>
      </c>
      <c r="AM256" s="26">
        <f t="shared" si="87"/>
        <v>4.2183485775190377E-2</v>
      </c>
      <c r="AN256" s="26">
        <f t="shared" si="88"/>
        <v>10.934761904761885</v>
      </c>
      <c r="AO256" s="26">
        <f t="shared" si="89"/>
        <v>10.218870481927709</v>
      </c>
      <c r="AP256" s="26">
        <f t="shared" si="90"/>
        <v>11.911777526850628</v>
      </c>
      <c r="AS256" s="2">
        <v>45224</v>
      </c>
      <c r="AT256">
        <v>13.1</v>
      </c>
      <c r="AU256">
        <v>0</v>
      </c>
      <c r="AV256">
        <v>71.2</v>
      </c>
      <c r="AW256">
        <v>7.9</v>
      </c>
      <c r="AX256">
        <v>105.45</v>
      </c>
      <c r="AY256">
        <v>0.5</v>
      </c>
      <c r="AZ256">
        <v>2.6</v>
      </c>
      <c r="BA256">
        <v>319.76530000000002</v>
      </c>
      <c r="BB256">
        <v>155.22190000000001</v>
      </c>
      <c r="BC256">
        <v>104.2692</v>
      </c>
      <c r="BD256">
        <v>3.4821</v>
      </c>
      <c r="BE256">
        <v>21.9011</v>
      </c>
      <c r="BF256">
        <v>-28.418399999999998</v>
      </c>
      <c r="BG256">
        <v>-15.0609</v>
      </c>
      <c r="BH256">
        <v>98.96</v>
      </c>
    </row>
    <row r="257" spans="1:60" x14ac:dyDescent="0.25">
      <c r="A257" s="2">
        <v>45244</v>
      </c>
      <c r="B257">
        <v>21</v>
      </c>
      <c r="C257">
        <v>0</v>
      </c>
      <c r="D257">
        <v>48.2</v>
      </c>
      <c r="E257">
        <v>23.6</v>
      </c>
      <c r="F257">
        <v>35.06</v>
      </c>
      <c r="G257">
        <v>0.1</v>
      </c>
      <c r="H257">
        <v>2.9</v>
      </c>
      <c r="I257">
        <v>158.3409</v>
      </c>
      <c r="J257">
        <v>72.549599999999998</v>
      </c>
      <c r="K257">
        <v>58.470399999999998</v>
      </c>
      <c r="L257">
        <v>3.48</v>
      </c>
      <c r="M257">
        <v>26.200199999999999</v>
      </c>
      <c r="N257">
        <v>-30.4818</v>
      </c>
      <c r="O257">
        <v>-14.541399999999999</v>
      </c>
      <c r="P257">
        <v>99.4</v>
      </c>
      <c r="S257">
        <f t="shared" si="69"/>
        <v>449.90110000000004</v>
      </c>
      <c r="T257">
        <f t="shared" si="70"/>
        <v>1.9686764822376159E-2</v>
      </c>
      <c r="U257">
        <f t="shared" si="71"/>
        <v>0</v>
      </c>
      <c r="V257">
        <f t="shared" si="72"/>
        <v>4.5185812592310998E-2</v>
      </c>
      <c r="W257">
        <f t="shared" si="73"/>
        <v>2.2124173800384637E-2</v>
      </c>
      <c r="X257">
        <f t="shared" si="74"/>
        <v>3.286752260345277E-2</v>
      </c>
      <c r="Y257">
        <f t="shared" si="75"/>
        <v>9.3746499154172199E-5</v>
      </c>
      <c r="Z257">
        <f t="shared" si="76"/>
        <v>2.7186484754709935E-3</v>
      </c>
      <c r="AA257">
        <f t="shared" si="77"/>
        <v>0.14843905047920863</v>
      </c>
      <c r="AB257">
        <f t="shared" si="78"/>
        <v>6.8012710150355302E-2</v>
      </c>
      <c r="AC257">
        <f t="shared" si="79"/>
        <v>5.4813953041441092E-2</v>
      </c>
      <c r="AD257">
        <f t="shared" si="80"/>
        <v>3.2623781705651924E-3</v>
      </c>
      <c r="AE257">
        <f t="shared" si="81"/>
        <v>2.456177027139142E-2</v>
      </c>
      <c r="AG257">
        <f t="shared" si="82"/>
        <v>0.97548762478019979</v>
      </c>
      <c r="AH257">
        <f t="shared" si="83"/>
        <v>0.14723843906454115</v>
      </c>
      <c r="AI257">
        <f t="shared" si="84"/>
        <v>-0.80064147393678076</v>
      </c>
      <c r="AK257" s="26">
        <f t="shared" si="85"/>
        <v>3.039527415267132E-2</v>
      </c>
      <c r="AL257" s="26">
        <f t="shared" si="86"/>
        <v>5.5024548016966074E-2</v>
      </c>
      <c r="AM257" s="26">
        <f t="shared" si="87"/>
        <v>4.2005958957089307E-2</v>
      </c>
      <c r="AN257" s="26">
        <f t="shared" si="88"/>
        <v>10.876349206349232</v>
      </c>
      <c r="AO257" s="26">
        <f t="shared" si="89"/>
        <v>10.191234939759056</v>
      </c>
      <c r="AP257" s="26">
        <f t="shared" si="90"/>
        <v>11.946873243874848</v>
      </c>
      <c r="AS257" s="2">
        <v>45223</v>
      </c>
      <c r="AT257">
        <v>12.1</v>
      </c>
      <c r="AU257">
        <v>18</v>
      </c>
      <c r="AV257">
        <v>76.8</v>
      </c>
      <c r="AW257">
        <v>9.4</v>
      </c>
      <c r="AX257">
        <v>32.950000000000003</v>
      </c>
      <c r="AY257">
        <v>0.5</v>
      </c>
      <c r="AZ257">
        <v>2.8</v>
      </c>
      <c r="BA257">
        <v>345.26459999999997</v>
      </c>
      <c r="BB257">
        <v>142.64920000000001</v>
      </c>
      <c r="BC257">
        <v>114.7373</v>
      </c>
      <c r="BD257">
        <v>4.2953999999999999</v>
      </c>
      <c r="BE257">
        <v>25.798100000000002</v>
      </c>
      <c r="BF257">
        <v>-25.481000000000002</v>
      </c>
      <c r="BG257">
        <v>-14.948</v>
      </c>
      <c r="BH257">
        <v>98.66</v>
      </c>
    </row>
    <row r="258" spans="1:60" x14ac:dyDescent="0.25">
      <c r="A258" s="2">
        <v>45243</v>
      </c>
      <c r="B258">
        <v>20.399999999999999</v>
      </c>
      <c r="C258">
        <v>5.3</v>
      </c>
      <c r="D258">
        <v>38.799999999999997</v>
      </c>
      <c r="E258">
        <v>14.5</v>
      </c>
      <c r="F258">
        <v>30.78</v>
      </c>
      <c r="G258">
        <v>0.1</v>
      </c>
      <c r="H258">
        <v>3</v>
      </c>
      <c r="I258">
        <v>262.58010000000002</v>
      </c>
      <c r="J258">
        <v>79.336600000000004</v>
      </c>
      <c r="K258">
        <v>82.701999999999998</v>
      </c>
      <c r="L258">
        <v>3.48</v>
      </c>
      <c r="M258">
        <v>30.195</v>
      </c>
      <c r="N258">
        <v>-32.488799999999998</v>
      </c>
      <c r="O258">
        <v>-16.557099999999998</v>
      </c>
      <c r="P258">
        <v>99.42</v>
      </c>
      <c r="S258">
        <f t="shared" ref="S258:S321" si="91">SUM(B258:M258)</f>
        <v>571.17370000000005</v>
      </c>
      <c r="T258">
        <f t="shared" si="70"/>
        <v>1.9124285827451126E-2</v>
      </c>
      <c r="U258">
        <f t="shared" si="71"/>
        <v>4.9685644551711256E-3</v>
      </c>
      <c r="V258">
        <f t="shared" si="72"/>
        <v>3.6373641671818807E-2</v>
      </c>
      <c r="W258">
        <f t="shared" si="73"/>
        <v>1.3593242377354967E-2</v>
      </c>
      <c r="X258">
        <f t="shared" si="74"/>
        <v>2.88551724396542E-2</v>
      </c>
      <c r="Y258">
        <f t="shared" si="75"/>
        <v>9.3746499154172199E-5</v>
      </c>
      <c r="Z258">
        <f t="shared" si="76"/>
        <v>2.8123949746251659E-3</v>
      </c>
      <c r="AA258">
        <f t="shared" si="77"/>
        <v>0.2461596512255245</v>
      </c>
      <c r="AB258">
        <f t="shared" si="78"/>
        <v>7.4375285047948977E-2</v>
      </c>
      <c r="AC258">
        <f t="shared" si="79"/>
        <v>7.7530229730483485E-2</v>
      </c>
      <c r="AD258">
        <f t="shared" si="80"/>
        <v>3.2623781705651924E-3</v>
      </c>
      <c r="AE258">
        <f t="shared" si="81"/>
        <v>2.8306755419602293E-2</v>
      </c>
      <c r="AG258">
        <f t="shared" si="82"/>
        <v>0.97721732367570002</v>
      </c>
      <c r="AH258">
        <f t="shared" si="83"/>
        <v>0.13412780366483185</v>
      </c>
      <c r="AI258">
        <f t="shared" si="84"/>
        <v>-0.88485908390119461</v>
      </c>
      <c r="AK258" s="26">
        <f t="shared" si="85"/>
        <v>2.6686897756399958E-2</v>
      </c>
      <c r="AL258" s="26">
        <f t="shared" si="86"/>
        <v>5.5541222831416354E-2</v>
      </c>
      <c r="AM258" s="26">
        <f t="shared" si="87"/>
        <v>4.1041416859504132E-2</v>
      </c>
      <c r="AN258" s="26">
        <f t="shared" si="88"/>
        <v>10.808253968253979</v>
      </c>
      <c r="AO258" s="26">
        <f t="shared" si="89"/>
        <v>10.166454388984519</v>
      </c>
      <c r="AP258" s="26">
        <f t="shared" si="90"/>
        <v>11.982667209369453</v>
      </c>
      <c r="AS258" s="2">
        <v>45222</v>
      </c>
      <c r="AT258">
        <v>11.6</v>
      </c>
      <c r="AU258">
        <v>57</v>
      </c>
      <c r="AV258">
        <v>21.9</v>
      </c>
      <c r="AW258">
        <v>4.9000000000000004</v>
      </c>
      <c r="AX258">
        <v>116.21</v>
      </c>
      <c r="AY258">
        <v>0.5</v>
      </c>
      <c r="AZ258">
        <v>3.1</v>
      </c>
      <c r="BA258">
        <v>336.1</v>
      </c>
      <c r="BB258">
        <v>121.8334</v>
      </c>
      <c r="BC258">
        <v>110.77079999999999</v>
      </c>
      <c r="BD258">
        <v>3.1017000000000001</v>
      </c>
      <c r="BE258">
        <v>37.902900000000002</v>
      </c>
      <c r="BF258">
        <v>-22.9894</v>
      </c>
      <c r="BG258">
        <v>-9.5473999999999997</v>
      </c>
      <c r="BH258">
        <v>98.6</v>
      </c>
    </row>
    <row r="259" spans="1:60" x14ac:dyDescent="0.25">
      <c r="A259" s="2">
        <v>45242</v>
      </c>
      <c r="B259">
        <v>17.8</v>
      </c>
      <c r="C259">
        <v>46.5</v>
      </c>
      <c r="D259">
        <v>14.7</v>
      </c>
      <c r="E259">
        <v>4.5</v>
      </c>
      <c r="F259">
        <v>64.88</v>
      </c>
      <c r="G259">
        <v>0.1</v>
      </c>
      <c r="H259">
        <v>3</v>
      </c>
      <c r="I259">
        <v>292.69799999999998</v>
      </c>
      <c r="J259">
        <v>54.445900000000002</v>
      </c>
      <c r="K259">
        <v>66.125799999999998</v>
      </c>
      <c r="L259">
        <v>3.48</v>
      </c>
      <c r="M259">
        <v>19.550599999999999</v>
      </c>
      <c r="P259">
        <v>99.5</v>
      </c>
      <c r="S259">
        <f t="shared" si="91"/>
        <v>587.78030000000001</v>
      </c>
      <c r="T259">
        <f t="shared" si="70"/>
        <v>1.6686876849442651E-2</v>
      </c>
      <c r="U259">
        <f t="shared" si="71"/>
        <v>4.359212210669007E-2</v>
      </c>
      <c r="V259">
        <f t="shared" si="72"/>
        <v>1.3780735375663312E-2</v>
      </c>
      <c r="W259">
        <f t="shared" si="73"/>
        <v>4.2185924619377486E-3</v>
      </c>
      <c r="X259">
        <f t="shared" si="74"/>
        <v>6.0822728651226912E-2</v>
      </c>
      <c r="Y259">
        <f t="shared" si="75"/>
        <v>9.3746499154172199E-5</v>
      </c>
      <c r="Z259">
        <f t="shared" si="76"/>
        <v>2.8123949746251659E-3</v>
      </c>
      <c r="AA259">
        <f t="shared" si="77"/>
        <v>0.27439412809427888</v>
      </c>
      <c r="AB259">
        <f t="shared" si="78"/>
        <v>5.1041125182981435E-2</v>
      </c>
      <c r="AC259">
        <f t="shared" si="79"/>
        <v>6.1990622537689589E-2</v>
      </c>
      <c r="AD259">
        <f t="shared" si="80"/>
        <v>3.2623781705651924E-3</v>
      </c>
      <c r="AE259">
        <f t="shared" si="81"/>
        <v>1.8328003063635589E-2</v>
      </c>
      <c r="AG259">
        <f t="shared" si="82"/>
        <v>0.98177546569025864</v>
      </c>
      <c r="AH259">
        <f t="shared" si="83"/>
        <v>0.16033519998237561</v>
      </c>
      <c r="AI259">
        <f t="shared" si="84"/>
        <v>-0.71856316324658343</v>
      </c>
      <c r="AK259" s="26">
        <f t="shared" si="85"/>
        <v>2.7221531064996862E-2</v>
      </c>
      <c r="AL259" s="26">
        <f t="shared" si="86"/>
        <v>5.5683900102010353E-2</v>
      </c>
      <c r="AM259" s="26">
        <f t="shared" si="87"/>
        <v>4.0302839382624078E-2</v>
      </c>
      <c r="AN259" s="26">
        <f t="shared" si="88"/>
        <v>10.742857142857162</v>
      </c>
      <c r="AO259" s="26">
        <f t="shared" si="89"/>
        <v>10.146396299483669</v>
      </c>
      <c r="AP259" s="26">
        <f t="shared" si="90"/>
        <v>12.019455108846898</v>
      </c>
      <c r="AS259" s="2">
        <v>45221</v>
      </c>
      <c r="AT259">
        <v>11.8</v>
      </c>
      <c r="AU259">
        <v>17.5</v>
      </c>
      <c r="AV259">
        <v>74.099999999999994</v>
      </c>
      <c r="AW259">
        <v>14.5</v>
      </c>
      <c r="AX259">
        <v>127.58</v>
      </c>
      <c r="AY259">
        <v>0.5</v>
      </c>
      <c r="AZ259">
        <v>3.1</v>
      </c>
      <c r="BA259">
        <v>154.01750000000001</v>
      </c>
      <c r="BB259">
        <v>32.857100000000003</v>
      </c>
      <c r="BC259">
        <v>29.8279</v>
      </c>
      <c r="BD259">
        <v>3.48</v>
      </c>
      <c r="BE259">
        <v>19.548300000000001</v>
      </c>
      <c r="BH259">
        <v>98.55</v>
      </c>
    </row>
    <row r="260" spans="1:60" x14ac:dyDescent="0.25">
      <c r="A260" s="2">
        <v>45241</v>
      </c>
      <c r="B260">
        <v>18.100000000000001</v>
      </c>
      <c r="C260">
        <v>34.299999999999997</v>
      </c>
      <c r="D260">
        <v>16.5</v>
      </c>
      <c r="E260">
        <v>7.2</v>
      </c>
      <c r="F260">
        <v>57.84</v>
      </c>
      <c r="G260">
        <v>0.1</v>
      </c>
      <c r="H260">
        <v>2.7</v>
      </c>
      <c r="I260">
        <v>286.79649999999998</v>
      </c>
      <c r="J260">
        <v>55.087499999999999</v>
      </c>
      <c r="K260">
        <v>70.1143</v>
      </c>
      <c r="L260">
        <v>3.48</v>
      </c>
      <c r="M260">
        <v>16.179200000000002</v>
      </c>
      <c r="P260">
        <v>99.49</v>
      </c>
      <c r="S260">
        <f t="shared" si="91"/>
        <v>568.39749999999992</v>
      </c>
      <c r="T260">
        <f t="shared" si="70"/>
        <v>1.696811634690517E-2</v>
      </c>
      <c r="U260">
        <f t="shared" si="71"/>
        <v>3.2155049209881062E-2</v>
      </c>
      <c r="V260">
        <f t="shared" si="72"/>
        <v>1.5468172360438412E-2</v>
      </c>
      <c r="W260">
        <f t="shared" si="73"/>
        <v>6.7497479391003977E-3</v>
      </c>
      <c r="X260">
        <f t="shared" si="74"/>
        <v>5.4222975110773196E-2</v>
      </c>
      <c r="Y260">
        <f t="shared" si="75"/>
        <v>9.3746499154172199E-5</v>
      </c>
      <c r="Z260">
        <f t="shared" si="76"/>
        <v>2.5311554771626494E-3</v>
      </c>
      <c r="AA260">
        <f t="shared" si="77"/>
        <v>0.26886167844669545</v>
      </c>
      <c r="AB260">
        <f t="shared" si="78"/>
        <v>5.1642602721554604E-2</v>
      </c>
      <c r="AC260">
        <f t="shared" si="79"/>
        <v>6.5729701656453754E-2</v>
      </c>
      <c r="AD260">
        <f t="shared" si="80"/>
        <v>3.2623781705651924E-3</v>
      </c>
      <c r="AE260">
        <f t="shared" si="81"/>
        <v>1.5167433591151828E-2</v>
      </c>
      <c r="AG260">
        <f t="shared" si="82"/>
        <v>0.98211505280930933</v>
      </c>
      <c r="AH260">
        <f t="shared" si="83"/>
        <v>0.14335639653456689</v>
      </c>
      <c r="AI260">
        <f t="shared" si="84"/>
        <v>-0.81930757556868417</v>
      </c>
      <c r="AK260" s="26">
        <f t="shared" si="85"/>
        <v>2.8829448697894194E-2</v>
      </c>
      <c r="AL260" s="26">
        <f t="shared" si="86"/>
        <v>5.7231856091785355E-2</v>
      </c>
      <c r="AM260" s="26">
        <f t="shared" si="87"/>
        <v>4.0188939631282117E-2</v>
      </c>
      <c r="AN260" s="26">
        <f t="shared" si="88"/>
        <v>10.680000000000021</v>
      </c>
      <c r="AO260" s="26">
        <f t="shared" si="89"/>
        <v>10.130892857142868</v>
      </c>
      <c r="AP260" s="26">
        <f t="shared" si="90"/>
        <v>12.05579186470942</v>
      </c>
      <c r="AS260" s="2">
        <v>45220</v>
      </c>
      <c r="AT260">
        <v>13.8</v>
      </c>
      <c r="AU260">
        <v>1</v>
      </c>
      <c r="AV260">
        <v>66.900000000000006</v>
      </c>
      <c r="AW260">
        <v>12.5</v>
      </c>
      <c r="AX260">
        <v>121.02</v>
      </c>
      <c r="AY260">
        <v>0.4</v>
      </c>
      <c r="AZ260">
        <v>3</v>
      </c>
      <c r="BA260">
        <v>117.99</v>
      </c>
      <c r="BB260">
        <v>39.737200000000001</v>
      </c>
      <c r="BC260">
        <v>37.496099999999998</v>
      </c>
      <c r="BD260">
        <v>3.48</v>
      </c>
      <c r="BE260">
        <v>25.1098</v>
      </c>
      <c r="BH260">
        <v>98.4</v>
      </c>
    </row>
    <row r="261" spans="1:60" x14ac:dyDescent="0.25">
      <c r="A261" s="2">
        <v>45240</v>
      </c>
      <c r="B261">
        <v>18.100000000000001</v>
      </c>
      <c r="C261">
        <v>47.8</v>
      </c>
      <c r="D261">
        <v>63.5</v>
      </c>
      <c r="E261">
        <v>14.5</v>
      </c>
      <c r="F261">
        <v>59.16</v>
      </c>
      <c r="G261">
        <v>0.1</v>
      </c>
      <c r="H261">
        <v>2.6</v>
      </c>
      <c r="I261">
        <v>301.5641</v>
      </c>
      <c r="J261">
        <v>65.307500000000005</v>
      </c>
      <c r="K261">
        <v>81.139899999999997</v>
      </c>
      <c r="L261">
        <v>2.9</v>
      </c>
      <c r="M261">
        <v>29.321100000000001</v>
      </c>
      <c r="N261">
        <v>-31.552299999999999</v>
      </c>
      <c r="O261">
        <v>-18.956</v>
      </c>
      <c r="P261">
        <v>99.48</v>
      </c>
      <c r="S261">
        <f t="shared" si="91"/>
        <v>685.99259999999992</v>
      </c>
      <c r="T261">
        <f t="shared" ref="T261:T324" si="92">B261/$S$4</f>
        <v>1.696811634690517E-2</v>
      </c>
      <c r="U261">
        <f t="shared" ref="U261:U324" si="93">C261/$S$4</f>
        <v>4.4810826595694304E-2</v>
      </c>
      <c r="V261">
        <f t="shared" ref="V261:V324" si="94">D261/$S$4</f>
        <v>5.9529026962899342E-2</v>
      </c>
      <c r="W261">
        <f t="shared" ref="W261:W324" si="95">E261/$S$4</f>
        <v>1.3593242377354967E-2</v>
      </c>
      <c r="X261">
        <f t="shared" ref="X261:X324" si="96">F261/$S$4</f>
        <v>5.5460428899608262E-2</v>
      </c>
      <c r="Y261">
        <f t="shared" ref="Y261:Y324" si="97">G261/$S$4</f>
        <v>9.3746499154172199E-5</v>
      </c>
      <c r="Z261">
        <f t="shared" ref="Z261:Z324" si="98">H261/$S$4</f>
        <v>2.437408978008477E-3</v>
      </c>
      <c r="AA261">
        <f t="shared" ref="AA261:AA324" si="99">I261/$S$4</f>
        <v>0.28270578645578698</v>
      </c>
      <c r="AB261">
        <f t="shared" ref="AB261:AB324" si="100">J261/$S$4</f>
        <v>6.1223494935111006E-2</v>
      </c>
      <c r="AC261">
        <f t="shared" ref="AC261:AC324" si="101">K261/$S$4</f>
        <v>7.6065815667196154E-2</v>
      </c>
      <c r="AD261">
        <f t="shared" ref="AD261:AD324" si="102">L261/$S$4</f>
        <v>2.7186484754709935E-3</v>
      </c>
      <c r="AE261">
        <f t="shared" ref="AE261:AE324" si="103">M261/$S$4</f>
        <v>2.7487504763493983E-2</v>
      </c>
      <c r="AG261">
        <f t="shared" ref="AG261:AG324" si="104">(P261-AVERAGE(P261:P625)) / _xlfn.STDEV.S(P261:P2088)</f>
        <v>0.98246472822312736</v>
      </c>
      <c r="AH261">
        <f t="shared" ref="AH261:AH324" si="105">SUM(T261:Y261,Z261,AE261)</f>
        <v>0.22038030142311868</v>
      </c>
      <c r="AI261">
        <f t="shared" ref="AI261:AI324" si="106">(AH261-AVERAGE(AH261:AH625))/_xlfn.STDEV.S(AH261:AH625)</f>
        <v>-0.33875434850958297</v>
      </c>
      <c r="AK261" s="26">
        <f t="shared" ref="AK261:AK324" si="107">AVERAGEA(AH261:AH281)-AVERAGE(AH627:AH647, AH992:AH1012, AH1357:AH1377)</f>
        <v>2.9846891357531824E-2</v>
      </c>
      <c r="AL261" s="26">
        <f t="shared" ref="AL261:AL324" si="108">AVERAGEA(AH261:AH316)-AVERAGE(AH627:AH682, AH992:AH1046, AH1357:AH1411)</f>
        <v>5.9760407179060643E-2</v>
      </c>
      <c r="AM261" s="26">
        <f t="shared" ref="AM261:AM324" si="109">AVERAGEA(AH261:AH373)-AVERAGE(AH627:AH739,AH992:AH1103,AH1357:AH1468)</f>
        <v>3.9980313132768508E-2</v>
      </c>
      <c r="AN261" s="26">
        <f t="shared" ref="AN261:AN324" si="110">AVERAGEA(P261:P281)-AVERAGE(P627:P647, P992:P1012, P1357:P1377)</f>
        <v>10.618730158730187</v>
      </c>
      <c r="AO261" s="26">
        <f t="shared" ref="AO261:AO324" si="111">AVERAGEA(P261:P316)-AVERAGE(P627:P682, P992:P1046, P1357:P1411)</f>
        <v>10.11861015490534</v>
      </c>
      <c r="AP261" s="26">
        <f t="shared" ref="AP261:AP324" si="112">AVERAGEA(P261:P373)-AVERAGE(P627:P739,P992:P1103,P1357:P1468)</f>
        <v>12.091731046978794</v>
      </c>
      <c r="AS261" s="2">
        <v>45219</v>
      </c>
      <c r="AT261">
        <v>10.7</v>
      </c>
      <c r="AU261">
        <v>19.899999999999999</v>
      </c>
      <c r="AV261">
        <v>31.9</v>
      </c>
      <c r="AW261">
        <v>23.8</v>
      </c>
      <c r="AX261">
        <v>41.27</v>
      </c>
      <c r="AY261">
        <v>0.4</v>
      </c>
      <c r="AZ261">
        <v>3.1</v>
      </c>
      <c r="BA261">
        <v>176.95359999999999</v>
      </c>
      <c r="BB261">
        <v>72.464399999999998</v>
      </c>
      <c r="BC261">
        <v>68.050399999999996</v>
      </c>
      <c r="BD261">
        <v>3.48</v>
      </c>
      <c r="BE261">
        <v>23.548500000000001</v>
      </c>
      <c r="BF261">
        <v>-22.966699999999999</v>
      </c>
      <c r="BG261">
        <v>-11.7339</v>
      </c>
      <c r="BH261">
        <v>98.24</v>
      </c>
    </row>
    <row r="262" spans="1:60" x14ac:dyDescent="0.25">
      <c r="A262" s="2">
        <v>45239</v>
      </c>
      <c r="B262">
        <v>17.3</v>
      </c>
      <c r="C262">
        <v>1.1000000000000001</v>
      </c>
      <c r="D262">
        <v>49.8</v>
      </c>
      <c r="E262">
        <v>18.600000000000001</v>
      </c>
      <c r="F262">
        <v>56.37</v>
      </c>
      <c r="G262">
        <v>0.1</v>
      </c>
      <c r="H262">
        <v>2.6</v>
      </c>
      <c r="I262">
        <v>261.20150000000001</v>
      </c>
      <c r="J262">
        <v>97.16</v>
      </c>
      <c r="K262">
        <v>72.446700000000007</v>
      </c>
      <c r="L262">
        <v>3.0261</v>
      </c>
      <c r="M262">
        <v>19.5138</v>
      </c>
      <c r="N262">
        <v>-31.011500000000002</v>
      </c>
      <c r="O262">
        <v>-15.7476</v>
      </c>
      <c r="P262">
        <v>99.53</v>
      </c>
      <c r="S262">
        <f t="shared" si="91"/>
        <v>599.21809999999994</v>
      </c>
      <c r="T262">
        <f t="shared" si="92"/>
        <v>1.621814435367179E-2</v>
      </c>
      <c r="U262">
        <f t="shared" si="93"/>
        <v>1.0312114906958943E-3</v>
      </c>
      <c r="V262">
        <f t="shared" si="94"/>
        <v>4.668575657877775E-2</v>
      </c>
      <c r="W262">
        <f t="shared" si="95"/>
        <v>1.7436848842676027E-2</v>
      </c>
      <c r="X262">
        <f t="shared" si="96"/>
        <v>5.2844901573206864E-2</v>
      </c>
      <c r="Y262">
        <f t="shared" si="97"/>
        <v>9.3746499154172199E-5</v>
      </c>
      <c r="Z262">
        <f t="shared" si="98"/>
        <v>2.437408978008477E-3</v>
      </c>
      <c r="AA262">
        <f t="shared" si="99"/>
        <v>0.24486726198818509</v>
      </c>
      <c r="AB262">
        <f t="shared" si="100"/>
        <v>9.1084098578193703E-2</v>
      </c>
      <c r="AC262">
        <f t="shared" si="101"/>
        <v>6.7916245002725667E-2</v>
      </c>
      <c r="AD262">
        <f t="shared" si="102"/>
        <v>2.8368628109044047E-3</v>
      </c>
      <c r="AE262">
        <f t="shared" si="103"/>
        <v>1.8293504351946852E-2</v>
      </c>
      <c r="AG262">
        <f t="shared" si="104"/>
        <v>0.98565508060180518</v>
      </c>
      <c r="AH262">
        <f t="shared" si="105"/>
        <v>0.15504152266813784</v>
      </c>
      <c r="AI262">
        <f t="shared" si="106"/>
        <v>-0.74600793536813903</v>
      </c>
      <c r="AK262" s="26">
        <f t="shared" si="107"/>
        <v>2.6574622187286068E-2</v>
      </c>
      <c r="AL262" s="26">
        <f t="shared" si="108"/>
        <v>5.9403119464617599E-2</v>
      </c>
      <c r="AM262" s="26">
        <f t="shared" si="109"/>
        <v>4.0807863265090005E-2</v>
      </c>
      <c r="AN262" s="26">
        <f t="shared" si="110"/>
        <v>10.561111111111146</v>
      </c>
      <c r="AO262" s="26">
        <f t="shared" si="111"/>
        <v>10.110742254733211</v>
      </c>
      <c r="AP262" s="26">
        <f t="shared" si="112"/>
        <v>12.128276830965561</v>
      </c>
      <c r="AS262" s="2">
        <v>45218</v>
      </c>
      <c r="AT262">
        <v>10.9</v>
      </c>
      <c r="AU262">
        <v>61.3</v>
      </c>
      <c r="AV262">
        <v>74.5</v>
      </c>
      <c r="AW262">
        <v>18.3</v>
      </c>
      <c r="AX262">
        <v>59.83</v>
      </c>
      <c r="AY262">
        <v>0.2</v>
      </c>
      <c r="AZ262">
        <v>3</v>
      </c>
      <c r="BA262">
        <v>226.44800000000001</v>
      </c>
      <c r="BB262">
        <v>99.83</v>
      </c>
      <c r="BC262">
        <v>97.242599999999996</v>
      </c>
      <c r="BD262">
        <v>2.9</v>
      </c>
      <c r="BE262">
        <v>32.136600000000001</v>
      </c>
      <c r="BF262">
        <v>-23.3719</v>
      </c>
      <c r="BG262">
        <v>-13.8001</v>
      </c>
      <c r="BH262">
        <v>98.15</v>
      </c>
    </row>
    <row r="263" spans="1:60" x14ac:dyDescent="0.25">
      <c r="A263" s="2">
        <v>45238</v>
      </c>
      <c r="B263">
        <v>16.5</v>
      </c>
      <c r="C263">
        <v>1</v>
      </c>
      <c r="D263">
        <v>87.3</v>
      </c>
      <c r="E263">
        <v>20.9</v>
      </c>
      <c r="F263">
        <v>85.51</v>
      </c>
      <c r="G263">
        <v>0.1</v>
      </c>
      <c r="H263">
        <v>2.7</v>
      </c>
      <c r="I263">
        <v>208.71950000000001</v>
      </c>
      <c r="J263">
        <v>71.242199999999997</v>
      </c>
      <c r="K263">
        <v>67.195599999999999</v>
      </c>
      <c r="L263">
        <v>3.48</v>
      </c>
      <c r="M263">
        <v>25.323899999999998</v>
      </c>
      <c r="N263">
        <v>-30.9207</v>
      </c>
      <c r="O263">
        <v>-18.6203</v>
      </c>
      <c r="P263">
        <v>99.57</v>
      </c>
      <c r="S263">
        <f t="shared" si="91"/>
        <v>589.97119999999995</v>
      </c>
      <c r="T263">
        <f t="shared" si="92"/>
        <v>1.5468172360438412E-2</v>
      </c>
      <c r="U263">
        <f t="shared" si="93"/>
        <v>9.3746499154172193E-4</v>
      </c>
      <c r="V263">
        <f t="shared" si="94"/>
        <v>8.1840693761592323E-2</v>
      </c>
      <c r="W263">
        <f t="shared" si="95"/>
        <v>1.9593018323221988E-2</v>
      </c>
      <c r="X263">
        <f t="shared" si="96"/>
        <v>8.0162631426732647E-2</v>
      </c>
      <c r="Y263">
        <f t="shared" si="97"/>
        <v>9.3746499154172199E-5</v>
      </c>
      <c r="Z263">
        <f t="shared" si="98"/>
        <v>2.5311554771626494E-3</v>
      </c>
      <c r="AA263">
        <f t="shared" si="99"/>
        <v>0.19566722430209244</v>
      </c>
      <c r="AB263">
        <f t="shared" si="100"/>
        <v>6.6787068420413653E-2</v>
      </c>
      <c r="AC263">
        <f t="shared" si="101"/>
        <v>6.2993522585640921E-2</v>
      </c>
      <c r="AD263">
        <f t="shared" si="102"/>
        <v>3.2623781705651924E-3</v>
      </c>
      <c r="AE263">
        <f t="shared" si="103"/>
        <v>2.3740269699303408E-2</v>
      </c>
      <c r="AG263">
        <f t="shared" si="104"/>
        <v>0.98839110360933558</v>
      </c>
      <c r="AH263">
        <f t="shared" si="105"/>
        <v>0.22436715253914732</v>
      </c>
      <c r="AI263">
        <f t="shared" si="106"/>
        <v>-0.31484115063836932</v>
      </c>
      <c r="AK263" s="26">
        <f t="shared" si="107"/>
        <v>2.9392252085467141E-2</v>
      </c>
      <c r="AL263" s="26">
        <f t="shared" si="108"/>
        <v>6.091953003979611E-2</v>
      </c>
      <c r="AM263" s="26">
        <f t="shared" si="109"/>
        <v>4.1882654199799252E-2</v>
      </c>
      <c r="AN263" s="26">
        <f t="shared" si="110"/>
        <v>10.504444444444488</v>
      </c>
      <c r="AO263" s="26">
        <f t="shared" si="111"/>
        <v>10.106090791738382</v>
      </c>
      <c r="AP263" s="26">
        <f t="shared" si="112"/>
        <v>12.165222026732465</v>
      </c>
      <c r="AS263" s="2">
        <v>45217</v>
      </c>
      <c r="AT263">
        <v>11.4</v>
      </c>
      <c r="AU263">
        <v>47.6</v>
      </c>
      <c r="AV263">
        <v>61.6</v>
      </c>
      <c r="AW263">
        <v>11.7</v>
      </c>
      <c r="AX263">
        <v>140.72999999999999</v>
      </c>
      <c r="AY263">
        <v>0.5</v>
      </c>
      <c r="AZ263">
        <v>2.9</v>
      </c>
      <c r="BA263">
        <v>289.85730000000001</v>
      </c>
      <c r="BB263">
        <v>70.108500000000006</v>
      </c>
      <c r="BC263">
        <v>75.186099999999996</v>
      </c>
      <c r="BD263">
        <v>3.5402</v>
      </c>
      <c r="BE263">
        <v>20.7988</v>
      </c>
      <c r="BF263">
        <v>-22.6752</v>
      </c>
      <c r="BG263">
        <v>-12.6653</v>
      </c>
      <c r="BH263">
        <v>98.1</v>
      </c>
    </row>
    <row r="264" spans="1:60" x14ac:dyDescent="0.25">
      <c r="A264" s="2">
        <v>45237</v>
      </c>
      <c r="B264">
        <v>16.7</v>
      </c>
      <c r="C264">
        <v>45.9</v>
      </c>
      <c r="D264">
        <v>79.3</v>
      </c>
      <c r="E264">
        <v>19.2</v>
      </c>
      <c r="F264">
        <v>71.44</v>
      </c>
      <c r="G264">
        <v>0.1</v>
      </c>
      <c r="H264">
        <v>2.5</v>
      </c>
      <c r="I264">
        <v>203.54239999999999</v>
      </c>
      <c r="J264">
        <v>65.9148</v>
      </c>
      <c r="K264">
        <v>79.219499999999996</v>
      </c>
      <c r="L264">
        <v>3.48</v>
      </c>
      <c r="M264">
        <v>34.288800000000002</v>
      </c>
      <c r="N264">
        <v>-31.135899999999999</v>
      </c>
      <c r="O264">
        <v>-16.603200000000001</v>
      </c>
      <c r="P264">
        <v>99.61</v>
      </c>
      <c r="S264">
        <f t="shared" si="91"/>
        <v>621.58550000000002</v>
      </c>
      <c r="T264">
        <f t="shared" si="92"/>
        <v>1.5655665358746754E-2</v>
      </c>
      <c r="U264">
        <f t="shared" si="93"/>
        <v>4.3029643111765034E-2</v>
      </c>
      <c r="V264">
        <f t="shared" si="94"/>
        <v>7.4340973829258541E-2</v>
      </c>
      <c r="W264">
        <f t="shared" si="95"/>
        <v>1.799932783760106E-2</v>
      </c>
      <c r="X264">
        <f t="shared" si="96"/>
        <v>6.6972498995740606E-2</v>
      </c>
      <c r="Y264">
        <f t="shared" si="97"/>
        <v>9.3746499154172199E-5</v>
      </c>
      <c r="Z264">
        <f t="shared" si="98"/>
        <v>2.3436624788543046E-3</v>
      </c>
      <c r="AA264">
        <f t="shared" si="99"/>
        <v>0.19081387429438176</v>
      </c>
      <c r="AB264">
        <f t="shared" si="100"/>
        <v>6.1792817424474289E-2</v>
      </c>
      <c r="AC264">
        <f t="shared" si="101"/>
        <v>7.4265507897439437E-2</v>
      </c>
      <c r="AD264">
        <f t="shared" si="102"/>
        <v>3.2623781705651924E-3</v>
      </c>
      <c r="AE264">
        <f t="shared" si="103"/>
        <v>3.2144549601975797E-2</v>
      </c>
      <c r="AG264">
        <f t="shared" si="104"/>
        <v>0.99114600244419915</v>
      </c>
      <c r="AH264">
        <f t="shared" si="105"/>
        <v>0.25258006771309627</v>
      </c>
      <c r="AI264">
        <f t="shared" si="106"/>
        <v>-0.13896703594482177</v>
      </c>
      <c r="AK264" s="26">
        <f t="shared" si="107"/>
        <v>3.547200867550937E-2</v>
      </c>
      <c r="AL264" s="26">
        <f t="shared" si="108"/>
        <v>6.1487338607908698E-2</v>
      </c>
      <c r="AM264" s="26">
        <f t="shared" si="109"/>
        <v>4.5066384990429309E-2</v>
      </c>
      <c r="AN264" s="26">
        <f t="shared" si="110"/>
        <v>10.45174603174604</v>
      </c>
      <c r="AO264" s="26">
        <f t="shared" si="111"/>
        <v>10.105185025817548</v>
      </c>
      <c r="AP264" s="26">
        <f t="shared" si="112"/>
        <v>12.20277434941309</v>
      </c>
      <c r="AS264" s="2">
        <v>45216</v>
      </c>
      <c r="AT264">
        <v>12</v>
      </c>
      <c r="AU264">
        <v>23</v>
      </c>
      <c r="AV264">
        <v>9.1</v>
      </c>
      <c r="AW264">
        <v>2.8</v>
      </c>
      <c r="AX264">
        <v>132.59</v>
      </c>
      <c r="AY264">
        <v>0.5</v>
      </c>
      <c r="AZ264">
        <v>3.1</v>
      </c>
      <c r="BA264">
        <v>357.66809999999998</v>
      </c>
      <c r="BB264">
        <v>178.6037</v>
      </c>
      <c r="BC264">
        <v>116.4208</v>
      </c>
      <c r="BD264">
        <v>3.48</v>
      </c>
      <c r="BE264">
        <v>21.683499999999999</v>
      </c>
      <c r="BF264">
        <v>-21.4693</v>
      </c>
      <c r="BG264">
        <v>-15.349600000000001</v>
      </c>
      <c r="BH264">
        <v>98.08</v>
      </c>
    </row>
    <row r="265" spans="1:60" x14ac:dyDescent="0.25">
      <c r="A265" s="2">
        <v>45236</v>
      </c>
      <c r="B265">
        <v>16.7</v>
      </c>
      <c r="C265">
        <v>89.3</v>
      </c>
      <c r="D265">
        <v>68.900000000000006</v>
      </c>
      <c r="E265">
        <v>23.1</v>
      </c>
      <c r="F265">
        <v>89.76</v>
      </c>
      <c r="G265">
        <v>0.1</v>
      </c>
      <c r="H265">
        <v>2.5</v>
      </c>
      <c r="I265">
        <v>151.1104</v>
      </c>
      <c r="J265">
        <v>42.887500000000003</v>
      </c>
      <c r="K265">
        <v>62.580199999999998</v>
      </c>
      <c r="L265">
        <v>3.4821</v>
      </c>
      <c r="M265">
        <v>30.7074</v>
      </c>
      <c r="N265">
        <v>-32.191499999999998</v>
      </c>
      <c r="O265">
        <v>-20.9755</v>
      </c>
      <c r="P265">
        <v>99.62</v>
      </c>
      <c r="S265">
        <f t="shared" si="91"/>
        <v>581.12760000000003</v>
      </c>
      <c r="T265">
        <f t="shared" si="92"/>
        <v>1.5655665358746754E-2</v>
      </c>
      <c r="U265">
        <f t="shared" si="93"/>
        <v>8.3715623744675768E-2</v>
      </c>
      <c r="V265">
        <f t="shared" si="94"/>
        <v>6.4591337917224642E-2</v>
      </c>
      <c r="W265">
        <f t="shared" si="95"/>
        <v>2.1655441304613776E-2</v>
      </c>
      <c r="X265">
        <f t="shared" si="96"/>
        <v>8.4146857640784958E-2</v>
      </c>
      <c r="Y265">
        <f t="shared" si="97"/>
        <v>9.3746499154172199E-5</v>
      </c>
      <c r="Z265">
        <f t="shared" si="98"/>
        <v>2.3436624788543046E-3</v>
      </c>
      <c r="AA265">
        <f t="shared" si="99"/>
        <v>0.14166070985786622</v>
      </c>
      <c r="AB265">
        <f t="shared" si="100"/>
        <v>4.0205529824745602E-2</v>
      </c>
      <c r="AC265">
        <f t="shared" si="101"/>
        <v>5.8666746663679263E-2</v>
      </c>
      <c r="AD265">
        <f t="shared" si="102"/>
        <v>3.26434684704743E-3</v>
      </c>
      <c r="AE265">
        <f t="shared" si="103"/>
        <v>2.8787112481268272E-2</v>
      </c>
      <c r="AG265">
        <f t="shared" si="104"/>
        <v>0.99249868113151496</v>
      </c>
      <c r="AH265">
        <f t="shared" si="105"/>
        <v>0.30098944742532263</v>
      </c>
      <c r="AI265">
        <f t="shared" si="106"/>
        <v>0.16364608181192319</v>
      </c>
      <c r="AK265" s="26">
        <f t="shared" si="107"/>
        <v>3.3046520383290146E-2</v>
      </c>
      <c r="AL265" s="26">
        <f t="shared" si="108"/>
        <v>6.131264971137404E-2</v>
      </c>
      <c r="AM265" s="26">
        <f t="shared" si="109"/>
        <v>4.5975139159593725E-2</v>
      </c>
      <c r="AN265" s="26">
        <f t="shared" si="110"/>
        <v>10.398412698412727</v>
      </c>
      <c r="AO265" s="26">
        <f t="shared" si="111"/>
        <v>10.107904475043014</v>
      </c>
      <c r="AP265" s="26">
        <f t="shared" si="112"/>
        <v>12.240460071951901</v>
      </c>
      <c r="AS265" s="2">
        <v>45215</v>
      </c>
      <c r="AT265">
        <v>11</v>
      </c>
      <c r="AU265">
        <v>20</v>
      </c>
      <c r="AV265">
        <v>54.8</v>
      </c>
      <c r="AW265">
        <v>6.6</v>
      </c>
      <c r="AX265">
        <v>157.88999999999999</v>
      </c>
      <c r="AY265">
        <v>0.5</v>
      </c>
      <c r="AZ265">
        <v>3.2</v>
      </c>
      <c r="BA265">
        <v>294.0779</v>
      </c>
      <c r="BB265">
        <v>154.59540000000001</v>
      </c>
      <c r="BC265">
        <v>93.205500000000001</v>
      </c>
      <c r="BD265">
        <v>4.944</v>
      </c>
      <c r="BE265">
        <v>27.912099999999999</v>
      </c>
      <c r="BF265">
        <v>-16.721299999999999</v>
      </c>
      <c r="BG265">
        <v>-12.4267</v>
      </c>
      <c r="BH265">
        <v>98.07</v>
      </c>
    </row>
    <row r="266" spans="1:60" x14ac:dyDescent="0.25">
      <c r="A266" s="2">
        <v>45235</v>
      </c>
      <c r="B266">
        <v>17.3</v>
      </c>
      <c r="C266">
        <v>43.4</v>
      </c>
      <c r="D266">
        <v>42.3</v>
      </c>
      <c r="E266">
        <v>17.100000000000001</v>
      </c>
      <c r="F266">
        <v>54.8</v>
      </c>
      <c r="G266">
        <v>0.1</v>
      </c>
      <c r="H266">
        <v>2.6</v>
      </c>
      <c r="I266">
        <v>95.748500000000007</v>
      </c>
      <c r="J266">
        <v>27.308599999999998</v>
      </c>
      <c r="K266">
        <v>17.686299999999999</v>
      </c>
      <c r="L266">
        <v>3.3380000000000001</v>
      </c>
      <c r="M266">
        <v>24.128</v>
      </c>
      <c r="P266">
        <v>99.63</v>
      </c>
      <c r="S266">
        <f t="shared" si="91"/>
        <v>345.80939999999998</v>
      </c>
      <c r="T266">
        <f t="shared" si="92"/>
        <v>1.621814435367179E-2</v>
      </c>
      <c r="U266">
        <f t="shared" si="93"/>
        <v>4.0685980632910727E-2</v>
      </c>
      <c r="V266">
        <f t="shared" si="94"/>
        <v>3.9654769142214837E-2</v>
      </c>
      <c r="W266">
        <f t="shared" si="95"/>
        <v>1.6030651355363447E-2</v>
      </c>
      <c r="X266">
        <f t="shared" si="96"/>
        <v>5.1373081536486356E-2</v>
      </c>
      <c r="Y266">
        <f t="shared" si="97"/>
        <v>9.3746499154172199E-5</v>
      </c>
      <c r="Z266">
        <f t="shared" si="98"/>
        <v>2.437408978008477E-3</v>
      </c>
      <c r="AA266">
        <f t="shared" si="99"/>
        <v>8.9760866742632561E-2</v>
      </c>
      <c r="AB266">
        <f t="shared" si="100"/>
        <v>2.5600856468016266E-2</v>
      </c>
      <c r="AC266">
        <f t="shared" si="101"/>
        <v>1.6580287079904357E-2</v>
      </c>
      <c r="AD266">
        <f t="shared" si="102"/>
        <v>3.1292581417662678E-3</v>
      </c>
      <c r="AE266">
        <f t="shared" si="103"/>
        <v>2.2619155315918665E-2</v>
      </c>
      <c r="AG266">
        <f t="shared" si="104"/>
        <v>0.99386170101518312</v>
      </c>
      <c r="AH266">
        <f t="shared" si="105"/>
        <v>0.18911293781372848</v>
      </c>
      <c r="AI266">
        <f t="shared" si="106"/>
        <v>-0.53173110910399779</v>
      </c>
      <c r="AK266" s="26">
        <f t="shared" si="107"/>
        <v>2.9989201519327185E-2</v>
      </c>
      <c r="AL266" s="26">
        <f t="shared" si="108"/>
        <v>6.1382124983731301E-2</v>
      </c>
      <c r="AM266" s="26">
        <f t="shared" si="109"/>
        <v>4.4642849456587697E-2</v>
      </c>
      <c r="AN266" s="26">
        <f t="shared" si="110"/>
        <v>10.348888888888922</v>
      </c>
      <c r="AO266" s="26">
        <f t="shared" si="111"/>
        <v>10.116650172117005</v>
      </c>
      <c r="AP266" s="26">
        <f t="shared" si="112"/>
        <v>12.278309393135672</v>
      </c>
      <c r="AS266" s="2">
        <v>45214</v>
      </c>
      <c r="AT266">
        <v>11</v>
      </c>
      <c r="AU266">
        <v>0</v>
      </c>
      <c r="AV266">
        <v>73</v>
      </c>
      <c r="AW266">
        <v>16.899999999999999</v>
      </c>
      <c r="AX266">
        <v>124.67</v>
      </c>
      <c r="AY266">
        <v>0.4</v>
      </c>
      <c r="AZ266">
        <v>3.3</v>
      </c>
      <c r="BA266">
        <v>127.3192</v>
      </c>
      <c r="BB266">
        <v>46.636899999999997</v>
      </c>
      <c r="BC266">
        <v>20.678899999999999</v>
      </c>
      <c r="BD266">
        <v>3.48</v>
      </c>
      <c r="BE266">
        <v>21.619199999999999</v>
      </c>
      <c r="BH266">
        <v>98.04</v>
      </c>
    </row>
    <row r="267" spans="1:60" x14ac:dyDescent="0.25">
      <c r="A267" s="2">
        <v>45234</v>
      </c>
      <c r="B267">
        <v>18.899999999999999</v>
      </c>
      <c r="C267">
        <v>0</v>
      </c>
      <c r="D267">
        <v>92.9</v>
      </c>
      <c r="E267">
        <v>20.5</v>
      </c>
      <c r="F267">
        <v>95.71</v>
      </c>
      <c r="G267">
        <v>0.1</v>
      </c>
      <c r="H267">
        <v>2.6</v>
      </c>
      <c r="I267">
        <v>80.776899999999998</v>
      </c>
      <c r="J267">
        <v>29.609200000000001</v>
      </c>
      <c r="K267">
        <v>20.5779</v>
      </c>
      <c r="L267">
        <v>3.48</v>
      </c>
      <c r="M267">
        <v>18.223299999999998</v>
      </c>
      <c r="P267">
        <v>99.56</v>
      </c>
      <c r="S267">
        <f t="shared" si="91"/>
        <v>383.37729999999999</v>
      </c>
      <c r="T267">
        <f t="shared" si="92"/>
        <v>1.7718088340138542E-2</v>
      </c>
      <c r="U267">
        <f t="shared" si="93"/>
        <v>0</v>
      </c>
      <c r="V267">
        <f t="shared" si="94"/>
        <v>8.7090497714225973E-2</v>
      </c>
      <c r="W267">
        <f t="shared" si="95"/>
        <v>1.9218032326605298E-2</v>
      </c>
      <c r="X267">
        <f t="shared" si="96"/>
        <v>8.9724774340458197E-2</v>
      </c>
      <c r="Y267">
        <f t="shared" si="97"/>
        <v>9.3746499154172199E-5</v>
      </c>
      <c r="Z267">
        <f t="shared" si="98"/>
        <v>2.437408978008477E-3</v>
      </c>
      <c r="AA267">
        <f t="shared" si="99"/>
        <v>7.5725515875266519E-2</v>
      </c>
      <c r="AB267">
        <f t="shared" si="100"/>
        <v>2.7757588427557153E-2</v>
      </c>
      <c r="AC267">
        <f t="shared" si="101"/>
        <v>1.9291060849446397E-2</v>
      </c>
      <c r="AD267">
        <f t="shared" si="102"/>
        <v>3.2623781705651924E-3</v>
      </c>
      <c r="AE267">
        <f t="shared" si="103"/>
        <v>1.7083705780362259E-2</v>
      </c>
      <c r="AG267">
        <f t="shared" si="104"/>
        <v>0.99145891216477078</v>
      </c>
      <c r="AH267">
        <f t="shared" si="105"/>
        <v>0.23336625397895291</v>
      </c>
      <c r="AI267">
        <f t="shared" si="106"/>
        <v>-0.25361329992844373</v>
      </c>
      <c r="AK267" s="26">
        <f t="shared" si="107"/>
        <v>3.0188811624661055E-2</v>
      </c>
      <c r="AL267" s="26">
        <f t="shared" si="108"/>
        <v>5.8838334584148444E-2</v>
      </c>
      <c r="AM267" s="26">
        <f t="shared" si="109"/>
        <v>4.4193604288153721E-2</v>
      </c>
      <c r="AN267" s="26">
        <f t="shared" si="110"/>
        <v>10.306190476190523</v>
      </c>
      <c r="AO267" s="26">
        <f t="shared" si="111"/>
        <v>10.131970740103228</v>
      </c>
      <c r="AP267" s="26">
        <f t="shared" si="112"/>
        <v>12.316030829022353</v>
      </c>
      <c r="AS267" s="2">
        <v>45213</v>
      </c>
      <c r="AT267">
        <v>11.7</v>
      </c>
      <c r="AU267">
        <v>153.19999999999999</v>
      </c>
      <c r="AV267">
        <v>50.3</v>
      </c>
      <c r="AW267">
        <v>15</v>
      </c>
      <c r="AX267">
        <v>117.73</v>
      </c>
      <c r="AY267">
        <v>0.4</v>
      </c>
      <c r="AZ267">
        <v>3.5</v>
      </c>
      <c r="BA267">
        <v>101.4884</v>
      </c>
      <c r="BB267">
        <v>46.421300000000002</v>
      </c>
      <c r="BC267">
        <v>18.3812</v>
      </c>
      <c r="BD267">
        <v>3.335</v>
      </c>
      <c r="BE267">
        <v>31.9878</v>
      </c>
      <c r="BH267">
        <v>97.88</v>
      </c>
    </row>
    <row r="268" spans="1:60" x14ac:dyDescent="0.25">
      <c r="A268" s="2">
        <v>45233</v>
      </c>
      <c r="B268">
        <v>19.100000000000001</v>
      </c>
      <c r="C268">
        <v>279.60000000000002</v>
      </c>
      <c r="D268">
        <v>78.5</v>
      </c>
      <c r="E268">
        <v>18.100000000000001</v>
      </c>
      <c r="F268">
        <v>55.45</v>
      </c>
      <c r="G268">
        <v>0.3</v>
      </c>
      <c r="H268">
        <v>2.8</v>
      </c>
      <c r="I268">
        <v>132.86420000000001</v>
      </c>
      <c r="J268">
        <v>48.723100000000002</v>
      </c>
      <c r="K268">
        <v>64.963499999999996</v>
      </c>
      <c r="L268">
        <v>3.48</v>
      </c>
      <c r="M268">
        <v>41.495600000000003</v>
      </c>
      <c r="N268">
        <v>-34.236699999999999</v>
      </c>
      <c r="O268">
        <v>-19.701599999999999</v>
      </c>
      <c r="P268">
        <v>99.5</v>
      </c>
      <c r="S268">
        <f t="shared" si="91"/>
        <v>745.3764000000001</v>
      </c>
      <c r="T268">
        <f t="shared" si="92"/>
        <v>1.7905581338446889E-2</v>
      </c>
      <c r="U268">
        <f t="shared" si="93"/>
        <v>0.26211521163506546</v>
      </c>
      <c r="V268">
        <f t="shared" si="94"/>
        <v>7.3591001836025169E-2</v>
      </c>
      <c r="W268">
        <f t="shared" si="95"/>
        <v>1.696811634690517E-2</v>
      </c>
      <c r="X268">
        <f t="shared" si="96"/>
        <v>5.1982433780988484E-2</v>
      </c>
      <c r="Y268">
        <f t="shared" si="97"/>
        <v>2.8123949746251657E-4</v>
      </c>
      <c r="Z268">
        <f t="shared" si="98"/>
        <v>2.624901976316821E-3</v>
      </c>
      <c r="AA268">
        <f t="shared" si="99"/>
        <v>0.12455553612919766</v>
      </c>
      <c r="AB268">
        <f t="shared" si="100"/>
        <v>4.5676200529386472E-2</v>
      </c>
      <c r="AC268">
        <f t="shared" si="101"/>
        <v>6.0901006978020651E-2</v>
      </c>
      <c r="AD268">
        <f t="shared" si="102"/>
        <v>3.2623781705651924E-3</v>
      </c>
      <c r="AE268">
        <f t="shared" si="103"/>
        <v>3.8900672303018677E-2</v>
      </c>
      <c r="AG268">
        <f t="shared" si="104"/>
        <v>0.98951976620200932</v>
      </c>
      <c r="AH268">
        <f t="shared" si="105"/>
        <v>0.46436915871422918</v>
      </c>
      <c r="AI268">
        <f t="shared" si="106"/>
        <v>1.1830034695990173</v>
      </c>
      <c r="AK268" s="26">
        <f t="shared" si="107"/>
        <v>3.5751648530327529E-2</v>
      </c>
      <c r="AL268" s="26">
        <f t="shared" si="108"/>
        <v>6.0843706144795562E-2</v>
      </c>
      <c r="AM268" s="26">
        <f t="shared" si="109"/>
        <v>4.3776522465080014E-2</v>
      </c>
      <c r="AN268" s="26">
        <f t="shared" si="110"/>
        <v>10.265238095238132</v>
      </c>
      <c r="AO268" s="26">
        <f t="shared" si="111"/>
        <v>10.152540877796866</v>
      </c>
      <c r="AP268" s="26">
        <f t="shared" si="112"/>
        <v>12.353620178041567</v>
      </c>
      <c r="AS268" s="2">
        <v>45212</v>
      </c>
      <c r="AT268">
        <v>13</v>
      </c>
      <c r="AU268">
        <v>0</v>
      </c>
      <c r="AV268">
        <v>45.8</v>
      </c>
      <c r="AW268">
        <v>18.3</v>
      </c>
      <c r="AX268">
        <v>137.56</v>
      </c>
      <c r="AY268">
        <v>0.4</v>
      </c>
      <c r="AZ268">
        <v>3.5</v>
      </c>
      <c r="BA268">
        <v>181.57429999999999</v>
      </c>
      <c r="BB268">
        <v>52.2727</v>
      </c>
      <c r="BC268">
        <v>56.061500000000002</v>
      </c>
      <c r="BD268">
        <v>3.48</v>
      </c>
      <c r="BE268">
        <v>22.026299999999999</v>
      </c>
      <c r="BF268">
        <v>-17.993099999999998</v>
      </c>
      <c r="BG268">
        <v>-4.0091000000000001</v>
      </c>
      <c r="BH268">
        <v>97.66</v>
      </c>
    </row>
    <row r="269" spans="1:60" x14ac:dyDescent="0.25">
      <c r="A269" s="2">
        <v>45232</v>
      </c>
      <c r="B269">
        <v>16.3</v>
      </c>
      <c r="C269">
        <v>2.9</v>
      </c>
      <c r="D269">
        <v>75</v>
      </c>
      <c r="E269">
        <v>25.1</v>
      </c>
      <c r="F269">
        <v>41.65</v>
      </c>
      <c r="G269">
        <v>0.5</v>
      </c>
      <c r="H269">
        <v>2.8</v>
      </c>
      <c r="I269">
        <v>110.07989999999999</v>
      </c>
      <c r="J269">
        <v>46.383600000000001</v>
      </c>
      <c r="K269">
        <v>29.604900000000001</v>
      </c>
      <c r="L269">
        <v>3.48</v>
      </c>
      <c r="M269">
        <v>20.789200000000001</v>
      </c>
      <c r="N269">
        <v>-33.75</v>
      </c>
      <c r="O269">
        <v>-18.861000000000001</v>
      </c>
      <c r="P269">
        <v>99.49</v>
      </c>
      <c r="S269">
        <f t="shared" si="91"/>
        <v>374.58760000000001</v>
      </c>
      <c r="T269">
        <f t="shared" si="92"/>
        <v>1.5280679362130067E-2</v>
      </c>
      <c r="U269">
        <f t="shared" si="93"/>
        <v>2.7186484754709935E-3</v>
      </c>
      <c r="V269">
        <f t="shared" si="94"/>
        <v>7.0309874365629146E-2</v>
      </c>
      <c r="W269">
        <f t="shared" si="95"/>
        <v>2.3530371287697222E-2</v>
      </c>
      <c r="X269">
        <f t="shared" si="96"/>
        <v>3.9045416897712716E-2</v>
      </c>
      <c r="Y269">
        <f t="shared" si="97"/>
        <v>4.6873249577086097E-4</v>
      </c>
      <c r="Z269">
        <f t="shared" si="98"/>
        <v>2.624901976316821E-3</v>
      </c>
      <c r="AA269">
        <f t="shared" si="99"/>
        <v>0.10319605252241359</v>
      </c>
      <c r="AB269">
        <f t="shared" si="100"/>
        <v>4.3483001181674613E-2</v>
      </c>
      <c r="AC269">
        <f t="shared" si="101"/>
        <v>2.7753557328093523E-2</v>
      </c>
      <c r="AD269">
        <f t="shared" si="102"/>
        <v>3.2623781705651924E-3</v>
      </c>
      <c r="AE269">
        <f t="shared" si="103"/>
        <v>1.9489147202159166E-2</v>
      </c>
      <c r="AG269">
        <f t="shared" si="104"/>
        <v>0.98994285209287458</v>
      </c>
      <c r="AH269">
        <f t="shared" si="105"/>
        <v>0.17346777206288699</v>
      </c>
      <c r="AI269">
        <f t="shared" si="106"/>
        <v>-0.61828677483670125</v>
      </c>
      <c r="AK269" s="26">
        <f t="shared" si="107"/>
        <v>2.3928195717155404E-2</v>
      </c>
      <c r="AL269" s="26">
        <f t="shared" si="108"/>
        <v>5.7710646993940601E-2</v>
      </c>
      <c r="AM269" s="26">
        <f t="shared" si="109"/>
        <v>4.2715897753635435E-2</v>
      </c>
      <c r="AN269" s="26">
        <f t="shared" si="110"/>
        <v>10.218730158730182</v>
      </c>
      <c r="AO269" s="26">
        <f t="shared" si="111"/>
        <v>10.178425129087756</v>
      </c>
      <c r="AP269" s="26">
        <f t="shared" si="112"/>
        <v>12.391963446338067</v>
      </c>
      <c r="AS269" s="2">
        <v>45211</v>
      </c>
      <c r="AT269">
        <v>13</v>
      </c>
      <c r="AU269">
        <v>9.1999999999999993</v>
      </c>
      <c r="AV269">
        <v>43.2</v>
      </c>
      <c r="AW269">
        <v>9.1</v>
      </c>
      <c r="AX269">
        <v>84.91</v>
      </c>
      <c r="AY269">
        <v>0.4</v>
      </c>
      <c r="AZ269">
        <v>3.3</v>
      </c>
      <c r="BA269">
        <v>258.41370000000001</v>
      </c>
      <c r="BB269">
        <v>151.43119999999999</v>
      </c>
      <c r="BC269">
        <v>96.828900000000004</v>
      </c>
      <c r="BD269">
        <v>3.4977999999999998</v>
      </c>
      <c r="BE269">
        <v>36.200899999999997</v>
      </c>
      <c r="BF269">
        <v>-19.413599999999999</v>
      </c>
      <c r="BG269">
        <v>-4.3959999999999999</v>
      </c>
      <c r="BH269">
        <v>97.45</v>
      </c>
    </row>
    <row r="270" spans="1:60" x14ac:dyDescent="0.25">
      <c r="A270" s="2">
        <v>45231</v>
      </c>
      <c r="B270">
        <v>18</v>
      </c>
      <c r="C270">
        <v>2</v>
      </c>
      <c r="D270">
        <v>73.7</v>
      </c>
      <c r="E270">
        <v>12.6</v>
      </c>
      <c r="F270">
        <v>100.7</v>
      </c>
      <c r="G270">
        <v>0.5</v>
      </c>
      <c r="H270">
        <v>2.8</v>
      </c>
      <c r="I270">
        <v>118.0654</v>
      </c>
      <c r="J270">
        <v>29.0457</v>
      </c>
      <c r="K270">
        <v>44.331499999999998</v>
      </c>
      <c r="L270">
        <v>2.61</v>
      </c>
      <c r="M270">
        <v>13.067600000000001</v>
      </c>
      <c r="N270">
        <v>-32.357599999999998</v>
      </c>
      <c r="O270">
        <v>-19.115600000000001</v>
      </c>
      <c r="P270">
        <v>99.41</v>
      </c>
      <c r="S270">
        <f t="shared" si="91"/>
        <v>417.42020000000008</v>
      </c>
      <c r="T270">
        <f t="shared" si="92"/>
        <v>1.6874369847750995E-2</v>
      </c>
      <c r="U270">
        <f t="shared" si="93"/>
        <v>1.8749299830834439E-3</v>
      </c>
      <c r="V270">
        <f t="shared" si="94"/>
        <v>6.9091169876624905E-2</v>
      </c>
      <c r="W270">
        <f t="shared" si="95"/>
        <v>1.1812058893425697E-2</v>
      </c>
      <c r="X270">
        <f t="shared" si="96"/>
        <v>9.4402724648251404E-2</v>
      </c>
      <c r="Y270">
        <f t="shared" si="97"/>
        <v>4.6873249577086097E-4</v>
      </c>
      <c r="Z270">
        <f t="shared" si="98"/>
        <v>2.624901976316821E-3</v>
      </c>
      <c r="AA270">
        <f t="shared" si="99"/>
        <v>0.11068217921237002</v>
      </c>
      <c r="AB270">
        <f t="shared" si="100"/>
        <v>2.7229326904823391E-2</v>
      </c>
      <c r="AC270">
        <f t="shared" si="101"/>
        <v>4.155922927253184E-2</v>
      </c>
      <c r="AD270">
        <f t="shared" si="102"/>
        <v>2.446783627923894E-3</v>
      </c>
      <c r="AE270">
        <f t="shared" si="103"/>
        <v>1.2250417523470605E-2</v>
      </c>
      <c r="AG270">
        <f t="shared" si="104"/>
        <v>0.98705182322206331</v>
      </c>
      <c r="AH270">
        <f t="shared" si="105"/>
        <v>0.20939930524469474</v>
      </c>
      <c r="AI270">
        <f t="shared" si="106"/>
        <v>-0.39612088982004018</v>
      </c>
      <c r="AK270" s="26">
        <f t="shared" si="107"/>
        <v>2.2533718030276761E-2</v>
      </c>
      <c r="AL270" s="26">
        <f t="shared" si="108"/>
        <v>5.8760688743685868E-2</v>
      </c>
      <c r="AM270" s="26">
        <f t="shared" si="109"/>
        <v>4.4042237735777423E-2</v>
      </c>
      <c r="AN270" s="26">
        <f t="shared" si="110"/>
        <v>10.166666666666714</v>
      </c>
      <c r="AO270" s="26">
        <f t="shared" si="111"/>
        <v>10.207631239242673</v>
      </c>
      <c r="AP270" s="26">
        <f t="shared" si="112"/>
        <v>12.430763372810603</v>
      </c>
      <c r="AS270" s="2">
        <v>45210</v>
      </c>
      <c r="AT270">
        <v>13.9</v>
      </c>
      <c r="AU270">
        <v>0</v>
      </c>
      <c r="AV270">
        <v>56.5</v>
      </c>
      <c r="AW270">
        <v>20.5</v>
      </c>
      <c r="AX270">
        <v>181.71</v>
      </c>
      <c r="AY270">
        <v>0.4</v>
      </c>
      <c r="AZ270">
        <v>3.3</v>
      </c>
      <c r="BA270">
        <v>154.48859999999999</v>
      </c>
      <c r="BB270">
        <v>77.844099999999997</v>
      </c>
      <c r="BC270">
        <v>35.4041</v>
      </c>
      <c r="BD270">
        <v>3.48</v>
      </c>
      <c r="BE270">
        <v>27.165900000000001</v>
      </c>
      <c r="BF270">
        <v>-13.2173</v>
      </c>
      <c r="BG270">
        <v>-9.7446999999999999</v>
      </c>
      <c r="BH270">
        <v>97.32</v>
      </c>
    </row>
    <row r="271" spans="1:60" x14ac:dyDescent="0.25">
      <c r="A271" s="2">
        <v>45230</v>
      </c>
      <c r="B271">
        <v>17.7</v>
      </c>
      <c r="C271">
        <v>2</v>
      </c>
      <c r="D271">
        <v>28.3</v>
      </c>
      <c r="E271">
        <v>14.3</v>
      </c>
      <c r="F271">
        <v>52.49</v>
      </c>
      <c r="G271">
        <v>0.4</v>
      </c>
      <c r="H271">
        <v>2.5</v>
      </c>
      <c r="I271">
        <v>241.3605</v>
      </c>
      <c r="J271">
        <v>70.252700000000004</v>
      </c>
      <c r="K271">
        <v>67.640600000000006</v>
      </c>
      <c r="L271">
        <v>4.4203000000000001</v>
      </c>
      <c r="M271">
        <v>24.988099999999999</v>
      </c>
      <c r="N271">
        <v>-30.789400000000001</v>
      </c>
      <c r="O271">
        <v>-26.211200000000002</v>
      </c>
      <c r="P271">
        <v>99.31</v>
      </c>
      <c r="S271">
        <f t="shared" si="91"/>
        <v>526.35220000000004</v>
      </c>
      <c r="T271">
        <f t="shared" si="92"/>
        <v>1.6593130350288476E-2</v>
      </c>
      <c r="U271">
        <f t="shared" si="93"/>
        <v>1.8749299830834439E-3</v>
      </c>
      <c r="V271">
        <f t="shared" si="94"/>
        <v>2.6530259260630729E-2</v>
      </c>
      <c r="W271">
        <f t="shared" si="95"/>
        <v>1.3405749379046624E-2</v>
      </c>
      <c r="X271">
        <f t="shared" si="96"/>
        <v>4.9207537406024987E-2</v>
      </c>
      <c r="Y271">
        <f t="shared" si="97"/>
        <v>3.7498599661668879E-4</v>
      </c>
      <c r="Z271">
        <f t="shared" si="98"/>
        <v>2.3436624788543046E-3</v>
      </c>
      <c r="AA271">
        <f t="shared" si="99"/>
        <v>0.22626701909100577</v>
      </c>
      <c r="AB271">
        <f t="shared" si="100"/>
        <v>6.5859446811283126E-2</v>
      </c>
      <c r="AC271">
        <f t="shared" si="101"/>
        <v>6.3410694506877002E-2</v>
      </c>
      <c r="AD271">
        <f t="shared" si="102"/>
        <v>4.1438765021118732E-3</v>
      </c>
      <c r="AE271">
        <f t="shared" si="103"/>
        <v>2.3425468955143702E-2</v>
      </c>
      <c r="AG271">
        <f t="shared" si="104"/>
        <v>0.98321067935818451</v>
      </c>
      <c r="AH271">
        <f t="shared" si="105"/>
        <v>0.13375572380968895</v>
      </c>
      <c r="AI271">
        <f t="shared" si="106"/>
        <v>-0.86620618204765576</v>
      </c>
      <c r="AK271" s="26">
        <f t="shared" si="107"/>
        <v>2.6790008489191885E-2</v>
      </c>
      <c r="AL271" s="26">
        <f t="shared" si="108"/>
        <v>6.2206049713624839E-2</v>
      </c>
      <c r="AM271" s="26">
        <f t="shared" si="109"/>
        <v>4.5800246137828404E-2</v>
      </c>
      <c r="AN271" s="26">
        <f t="shared" si="110"/>
        <v>10.106349206349279</v>
      </c>
      <c r="AO271" s="26">
        <f t="shared" si="111"/>
        <v>10.237375215146287</v>
      </c>
      <c r="AP271" s="26">
        <f t="shared" si="112"/>
        <v>12.469716919198561</v>
      </c>
      <c r="AS271" s="2">
        <v>45209</v>
      </c>
      <c r="AT271">
        <v>14.1</v>
      </c>
      <c r="AU271">
        <v>18.399999999999999</v>
      </c>
      <c r="AV271">
        <v>38.9</v>
      </c>
      <c r="AW271">
        <v>6</v>
      </c>
      <c r="AX271">
        <v>155.91999999999999</v>
      </c>
      <c r="AY271">
        <v>0.5</v>
      </c>
      <c r="AZ271">
        <v>3.1</v>
      </c>
      <c r="BA271">
        <v>279.44659999999999</v>
      </c>
      <c r="BB271">
        <v>125.2231</v>
      </c>
      <c r="BC271">
        <v>112.9974</v>
      </c>
      <c r="BD271">
        <v>3.48</v>
      </c>
      <c r="BE271">
        <v>26.298200000000001</v>
      </c>
      <c r="BF271">
        <v>-11.731999999999999</v>
      </c>
      <c r="BG271">
        <v>-2.3355999999999999</v>
      </c>
      <c r="BH271">
        <v>97.16</v>
      </c>
    </row>
    <row r="272" spans="1:60" x14ac:dyDescent="0.25">
      <c r="A272" s="2">
        <v>45229</v>
      </c>
      <c r="B272">
        <v>11.8</v>
      </c>
      <c r="C272">
        <v>19.2</v>
      </c>
      <c r="D272">
        <v>60.9</v>
      </c>
      <c r="E272">
        <v>15.5</v>
      </c>
      <c r="F272">
        <v>85.88</v>
      </c>
      <c r="G272">
        <v>0.5</v>
      </c>
      <c r="H272">
        <v>2.4</v>
      </c>
      <c r="I272">
        <v>217.36949999999999</v>
      </c>
      <c r="J272">
        <v>94.604100000000003</v>
      </c>
      <c r="K272">
        <v>83.775999999999996</v>
      </c>
      <c r="L272">
        <v>3.48</v>
      </c>
      <c r="M272">
        <v>35.676200000000001</v>
      </c>
      <c r="N272">
        <v>-36.0792</v>
      </c>
      <c r="O272">
        <v>-20.0243</v>
      </c>
      <c r="P272">
        <v>99.23</v>
      </c>
      <c r="S272">
        <f t="shared" si="91"/>
        <v>631.08579999999995</v>
      </c>
      <c r="T272">
        <f t="shared" si="92"/>
        <v>1.1062086900192319E-2</v>
      </c>
      <c r="U272">
        <f t="shared" si="93"/>
        <v>1.799932783760106E-2</v>
      </c>
      <c r="V272">
        <f t="shared" si="94"/>
        <v>5.7091617984890861E-2</v>
      </c>
      <c r="W272">
        <f t="shared" si="95"/>
        <v>1.453070736889669E-2</v>
      </c>
      <c r="X272">
        <f t="shared" si="96"/>
        <v>8.0509493473603075E-2</v>
      </c>
      <c r="Y272">
        <f t="shared" si="97"/>
        <v>4.6873249577086097E-4</v>
      </c>
      <c r="Z272">
        <f t="shared" si="98"/>
        <v>2.2499159797001326E-3</v>
      </c>
      <c r="AA272">
        <f t="shared" si="99"/>
        <v>0.20377629647892831</v>
      </c>
      <c r="AB272">
        <f t="shared" si="100"/>
        <v>8.8688031806312212E-2</v>
      </c>
      <c r="AC272">
        <f t="shared" si="101"/>
        <v>7.8537067131399296E-2</v>
      </c>
      <c r="AD272">
        <f t="shared" si="102"/>
        <v>3.2623781705651924E-3</v>
      </c>
      <c r="AE272">
        <f t="shared" si="103"/>
        <v>3.3445188531240781E-2</v>
      </c>
      <c r="AG272">
        <f t="shared" si="104"/>
        <v>0.98032112666448679</v>
      </c>
      <c r="AH272">
        <f t="shared" si="105"/>
        <v>0.21735707057189582</v>
      </c>
      <c r="AI272">
        <f t="shared" si="106"/>
        <v>-0.35043329843122828</v>
      </c>
      <c r="AK272" s="26">
        <f t="shared" si="107"/>
        <v>2.9351003625839284E-2</v>
      </c>
      <c r="AL272" s="26">
        <f t="shared" si="108"/>
        <v>6.5367936356692413E-2</v>
      </c>
      <c r="AM272" s="26">
        <f t="shared" si="109"/>
        <v>4.8760645035682781E-2</v>
      </c>
      <c r="AN272" s="26">
        <f t="shared" si="110"/>
        <v>10.054126984127038</v>
      </c>
      <c r="AO272" s="26">
        <f t="shared" si="111"/>
        <v>10.270540017211687</v>
      </c>
      <c r="AP272" s="26">
        <f t="shared" si="112"/>
        <v>12.510101100286221</v>
      </c>
      <c r="AS272" s="2">
        <v>45208</v>
      </c>
      <c r="AT272">
        <v>13.3</v>
      </c>
      <c r="AU272">
        <v>81.599999999999994</v>
      </c>
      <c r="AV272">
        <v>37.299999999999997</v>
      </c>
      <c r="AW272">
        <v>6</v>
      </c>
      <c r="AX272">
        <v>71.349999999999994</v>
      </c>
      <c r="AY272">
        <v>0.5</v>
      </c>
      <c r="AZ272">
        <v>2.9</v>
      </c>
      <c r="BA272">
        <v>247.69919999999999</v>
      </c>
      <c r="BB272">
        <v>106.2527</v>
      </c>
      <c r="BC272">
        <v>125.3276</v>
      </c>
      <c r="BD272">
        <v>3.48</v>
      </c>
      <c r="BE272">
        <v>35.896299999999997</v>
      </c>
      <c r="BF272">
        <v>-14.365500000000001</v>
      </c>
      <c r="BG272">
        <v>-12.4964</v>
      </c>
      <c r="BH272">
        <v>97.09</v>
      </c>
    </row>
    <row r="273" spans="1:60" x14ac:dyDescent="0.25">
      <c r="A273" s="2">
        <v>45228</v>
      </c>
      <c r="B273">
        <v>12.1</v>
      </c>
      <c r="C273">
        <v>0.5</v>
      </c>
      <c r="D273">
        <v>89</v>
      </c>
      <c r="E273">
        <v>15.6</v>
      </c>
      <c r="F273">
        <v>74.010000000000005</v>
      </c>
      <c r="G273">
        <v>0.4</v>
      </c>
      <c r="H273">
        <v>2.5</v>
      </c>
      <c r="I273">
        <v>83.446600000000004</v>
      </c>
      <c r="J273">
        <v>25.367000000000001</v>
      </c>
      <c r="K273">
        <v>22.443000000000001</v>
      </c>
      <c r="L273">
        <v>3.3319000000000001</v>
      </c>
      <c r="M273">
        <v>18.360399999999998</v>
      </c>
      <c r="P273">
        <v>99.14</v>
      </c>
      <c r="S273">
        <f t="shared" si="91"/>
        <v>347.05889999999999</v>
      </c>
      <c r="T273">
        <f t="shared" si="92"/>
        <v>1.1343326397654835E-2</v>
      </c>
      <c r="U273">
        <f t="shared" si="93"/>
        <v>4.6873249577086097E-4</v>
      </c>
      <c r="V273">
        <f t="shared" si="94"/>
        <v>8.343438424721325E-2</v>
      </c>
      <c r="W273">
        <f t="shared" si="95"/>
        <v>1.4624453868050861E-2</v>
      </c>
      <c r="X273">
        <f t="shared" si="96"/>
        <v>6.9381784024002843E-2</v>
      </c>
      <c r="Y273">
        <f t="shared" si="97"/>
        <v>3.7498599661668879E-4</v>
      </c>
      <c r="Z273">
        <f t="shared" si="98"/>
        <v>2.3436624788543046E-3</v>
      </c>
      <c r="AA273">
        <f t="shared" si="99"/>
        <v>7.8228266163185456E-2</v>
      </c>
      <c r="AB273">
        <f t="shared" si="100"/>
        <v>2.3780674440438861E-2</v>
      </c>
      <c r="AC273">
        <f t="shared" si="101"/>
        <v>2.1039526805170867E-2</v>
      </c>
      <c r="AD273">
        <f t="shared" si="102"/>
        <v>3.1235396053178634E-3</v>
      </c>
      <c r="AE273">
        <f t="shared" si="103"/>
        <v>1.7212232230702628E-2</v>
      </c>
      <c r="AG273">
        <f t="shared" si="104"/>
        <v>0.97695106228309736</v>
      </c>
      <c r="AH273">
        <f t="shared" si="105"/>
        <v>0.19918356173886628</v>
      </c>
      <c r="AI273">
        <f t="shared" si="106"/>
        <v>-0.46310363799378157</v>
      </c>
      <c r="AK273" s="26">
        <f t="shared" si="107"/>
        <v>2.9464149698159664E-2</v>
      </c>
      <c r="AL273" s="26">
        <f t="shared" si="108"/>
        <v>6.7083820099457903E-2</v>
      </c>
      <c r="AM273" s="26">
        <f t="shared" si="109"/>
        <v>5.2839043873144531E-2</v>
      </c>
      <c r="AN273" s="26">
        <f t="shared" si="110"/>
        <v>10.00587301587305</v>
      </c>
      <c r="AO273" s="26">
        <f t="shared" si="111"/>
        <v>10.307321428571413</v>
      </c>
      <c r="AP273" s="26">
        <f t="shared" si="112"/>
        <v>12.550792521204784</v>
      </c>
      <c r="AS273" s="2">
        <v>45207</v>
      </c>
      <c r="AT273">
        <v>11.4</v>
      </c>
      <c r="AU273">
        <v>240.3</v>
      </c>
      <c r="AV273">
        <v>20.6</v>
      </c>
      <c r="AW273">
        <v>3.3</v>
      </c>
      <c r="AX273">
        <v>121.59</v>
      </c>
      <c r="AY273">
        <v>0.5</v>
      </c>
      <c r="AZ273">
        <v>3.1</v>
      </c>
      <c r="BA273">
        <v>165.64920000000001</v>
      </c>
      <c r="BB273">
        <v>33.741999999999997</v>
      </c>
      <c r="BC273">
        <v>64.314099999999996</v>
      </c>
      <c r="BD273">
        <v>3.48</v>
      </c>
      <c r="BE273">
        <v>24.869</v>
      </c>
      <c r="BH273">
        <v>97</v>
      </c>
    </row>
    <row r="274" spans="1:60" x14ac:dyDescent="0.25">
      <c r="A274" s="2">
        <v>45227</v>
      </c>
      <c r="B274">
        <v>14.6</v>
      </c>
      <c r="C274">
        <v>2.2000000000000002</v>
      </c>
      <c r="D274">
        <v>65</v>
      </c>
      <c r="E274">
        <v>8.6</v>
      </c>
      <c r="F274">
        <v>82.51</v>
      </c>
      <c r="G274">
        <v>0.5</v>
      </c>
      <c r="H274">
        <v>2.7</v>
      </c>
      <c r="I274">
        <v>147.70740000000001</v>
      </c>
      <c r="J274">
        <v>33.819400000000002</v>
      </c>
      <c r="K274">
        <v>35.642000000000003</v>
      </c>
      <c r="L274">
        <v>3.5310999999999999</v>
      </c>
      <c r="M274">
        <v>24.026800000000001</v>
      </c>
      <c r="P274">
        <v>98.97</v>
      </c>
      <c r="S274">
        <f t="shared" si="91"/>
        <v>420.83669999999995</v>
      </c>
      <c r="T274">
        <f t="shared" si="92"/>
        <v>1.368698887650914E-2</v>
      </c>
      <c r="U274">
        <f t="shared" si="93"/>
        <v>2.0624229813917885E-3</v>
      </c>
      <c r="V274">
        <f t="shared" si="94"/>
        <v>6.0935224450211926E-2</v>
      </c>
      <c r="W274">
        <f t="shared" si="95"/>
        <v>8.0621989272588075E-3</v>
      </c>
      <c r="X274">
        <f t="shared" si="96"/>
        <v>7.7350236452107479E-2</v>
      </c>
      <c r="Y274">
        <f t="shared" si="97"/>
        <v>4.6873249577086097E-4</v>
      </c>
      <c r="Z274">
        <f t="shared" si="98"/>
        <v>2.5311554771626494E-3</v>
      </c>
      <c r="AA274">
        <f t="shared" si="99"/>
        <v>0.13847051649164974</v>
      </c>
      <c r="AB274">
        <f t="shared" si="100"/>
        <v>3.170450353494611E-2</v>
      </c>
      <c r="AC274">
        <f t="shared" si="101"/>
        <v>3.3413127228530057E-2</v>
      </c>
      <c r="AD274">
        <f t="shared" si="102"/>
        <v>3.3102826316329741E-3</v>
      </c>
      <c r="AE274">
        <f t="shared" si="103"/>
        <v>2.2524283858774644E-2</v>
      </c>
      <c r="AG274">
        <f t="shared" si="104"/>
        <v>0.96981661857861201</v>
      </c>
      <c r="AH274">
        <f t="shared" si="105"/>
        <v>0.1876212435191873</v>
      </c>
      <c r="AI274">
        <f t="shared" si="106"/>
        <v>-0.53231035059388221</v>
      </c>
      <c r="AK274" s="26">
        <f t="shared" si="107"/>
        <v>3.9547280596716361E-2</v>
      </c>
      <c r="AL274" s="26">
        <f t="shared" si="108"/>
        <v>6.289279372702114E-2</v>
      </c>
      <c r="AM274" s="26">
        <f t="shared" si="109"/>
        <v>5.5102686350598673E-2</v>
      </c>
      <c r="AN274" s="26">
        <f t="shared" si="110"/>
        <v>9.9639682539682752</v>
      </c>
      <c r="AO274" s="26">
        <f t="shared" si="111"/>
        <v>10.348504733218562</v>
      </c>
      <c r="AP274" s="26">
        <f t="shared" si="112"/>
        <v>12.591230534912413</v>
      </c>
      <c r="AS274" s="2">
        <v>45206</v>
      </c>
      <c r="AT274">
        <v>11.9</v>
      </c>
      <c r="AU274">
        <v>0.9</v>
      </c>
      <c r="AV274">
        <v>30</v>
      </c>
      <c r="AW274">
        <v>16.3</v>
      </c>
      <c r="AX274">
        <v>117.01</v>
      </c>
      <c r="AY274">
        <v>0.5</v>
      </c>
      <c r="AZ274">
        <v>3.2</v>
      </c>
      <c r="BA274">
        <v>113.0047</v>
      </c>
      <c r="BB274">
        <v>35.318300000000001</v>
      </c>
      <c r="BC274">
        <v>29.2226</v>
      </c>
      <c r="BD274">
        <v>3.48</v>
      </c>
      <c r="BE274">
        <v>19.023599999999998</v>
      </c>
      <c r="BH274">
        <v>96.86</v>
      </c>
    </row>
    <row r="275" spans="1:60" x14ac:dyDescent="0.25">
      <c r="A275" s="2">
        <v>45226</v>
      </c>
      <c r="B275">
        <v>14.5</v>
      </c>
      <c r="C275">
        <v>1.2</v>
      </c>
      <c r="D275">
        <v>70.5</v>
      </c>
      <c r="E275">
        <v>6.1</v>
      </c>
      <c r="F275">
        <v>50.67</v>
      </c>
      <c r="G275">
        <v>0.5</v>
      </c>
      <c r="H275">
        <v>2.7</v>
      </c>
      <c r="I275">
        <v>334.6866</v>
      </c>
      <c r="J275">
        <v>145.50149999999999</v>
      </c>
      <c r="K275">
        <v>80.5839</v>
      </c>
      <c r="L275">
        <v>3.48</v>
      </c>
      <c r="M275">
        <v>26.744</v>
      </c>
      <c r="N275">
        <v>-36.970399999999998</v>
      </c>
      <c r="O275">
        <v>-22.331</v>
      </c>
      <c r="P275">
        <v>98.79</v>
      </c>
      <c r="S275">
        <f t="shared" si="91"/>
        <v>737.16599999999994</v>
      </c>
      <c r="T275">
        <f t="shared" si="92"/>
        <v>1.3593242377354967E-2</v>
      </c>
      <c r="U275">
        <f t="shared" si="93"/>
        <v>1.1249579898500663E-3</v>
      </c>
      <c r="V275">
        <f t="shared" si="94"/>
        <v>6.6091281903691401E-2</v>
      </c>
      <c r="W275">
        <f t="shared" si="95"/>
        <v>5.7185364484045034E-3</v>
      </c>
      <c r="X275">
        <f t="shared" si="96"/>
        <v>4.7501351121419053E-2</v>
      </c>
      <c r="Y275">
        <f t="shared" si="97"/>
        <v>4.6873249577086097E-4</v>
      </c>
      <c r="Z275">
        <f t="shared" si="98"/>
        <v>2.5311554771626494E-3</v>
      </c>
      <c r="AA275">
        <f t="shared" si="99"/>
        <v>0.31375697063812769</v>
      </c>
      <c r="AB275">
        <f t="shared" si="100"/>
        <v>0.13640256246680785</v>
      </c>
      <c r="AC275">
        <f t="shared" si="101"/>
        <v>7.5544585131898961E-2</v>
      </c>
      <c r="AD275">
        <f t="shared" si="102"/>
        <v>3.2623781705651924E-3</v>
      </c>
      <c r="AE275">
        <f t="shared" si="103"/>
        <v>2.507156373379181E-2</v>
      </c>
      <c r="AG275">
        <f t="shared" si="104"/>
        <v>0.96218994546393843</v>
      </c>
      <c r="AH275">
        <f t="shared" si="105"/>
        <v>0.16210082154744532</v>
      </c>
      <c r="AI275">
        <f t="shared" si="106"/>
        <v>-0.68899489158997085</v>
      </c>
      <c r="AK275" s="26">
        <f t="shared" si="107"/>
        <v>3.7049321796531975E-2</v>
      </c>
      <c r="AL275" s="26">
        <f t="shared" si="108"/>
        <v>6.0555993318449686E-2</v>
      </c>
      <c r="AM275" s="26">
        <f t="shared" si="109"/>
        <v>5.6982046610913772E-2</v>
      </c>
      <c r="AN275" s="26">
        <f t="shared" si="110"/>
        <v>9.9271428571428544</v>
      </c>
      <c r="AO275" s="26">
        <f t="shared" si="111"/>
        <v>10.392887263339063</v>
      </c>
      <c r="AP275" s="26">
        <f t="shared" si="112"/>
        <v>12.631826895302112</v>
      </c>
      <c r="AS275" s="2">
        <v>45205</v>
      </c>
      <c r="AT275">
        <v>12.6</v>
      </c>
      <c r="AU275">
        <v>22.4</v>
      </c>
      <c r="AV275">
        <v>66.900000000000006</v>
      </c>
      <c r="AW275">
        <v>20.3</v>
      </c>
      <c r="AX275">
        <v>178</v>
      </c>
      <c r="AY275">
        <v>0.5</v>
      </c>
      <c r="AZ275">
        <v>2.9</v>
      </c>
      <c r="BA275">
        <v>167.6429</v>
      </c>
      <c r="BB275">
        <v>61.505600000000001</v>
      </c>
      <c r="BC275">
        <v>79.501999999999995</v>
      </c>
      <c r="BD275">
        <v>3.48</v>
      </c>
      <c r="BE275">
        <v>29.192399999999999</v>
      </c>
      <c r="BF275">
        <v>-12.6637</v>
      </c>
      <c r="BG275">
        <v>-19.411899999999999</v>
      </c>
      <c r="BH275">
        <v>96.69</v>
      </c>
    </row>
    <row r="276" spans="1:60" x14ac:dyDescent="0.25">
      <c r="A276" s="2">
        <v>45225</v>
      </c>
      <c r="B276">
        <v>13.4</v>
      </c>
      <c r="C276">
        <v>0</v>
      </c>
      <c r="D276">
        <v>55.8</v>
      </c>
      <c r="E276">
        <v>7</v>
      </c>
      <c r="F276">
        <v>50.87</v>
      </c>
      <c r="G276">
        <v>0.4</v>
      </c>
      <c r="H276">
        <v>2.6</v>
      </c>
      <c r="I276">
        <v>327.35770000000002</v>
      </c>
      <c r="J276">
        <v>160.37139999999999</v>
      </c>
      <c r="K276">
        <v>105.48139999999999</v>
      </c>
      <c r="L276">
        <v>3.5188000000000001</v>
      </c>
      <c r="M276">
        <v>22.393899999999999</v>
      </c>
      <c r="N276">
        <v>-34.609400000000001</v>
      </c>
      <c r="O276">
        <v>-20.096900000000002</v>
      </c>
      <c r="P276">
        <v>98.74</v>
      </c>
      <c r="S276">
        <f t="shared" si="91"/>
        <v>749.19320000000005</v>
      </c>
      <c r="T276">
        <f t="shared" si="92"/>
        <v>1.2562030886659074E-2</v>
      </c>
      <c r="U276">
        <f t="shared" si="93"/>
        <v>0</v>
      </c>
      <c r="V276">
        <f t="shared" si="94"/>
        <v>5.2310546528028079E-2</v>
      </c>
      <c r="W276">
        <f t="shared" si="95"/>
        <v>6.5622549407920536E-3</v>
      </c>
      <c r="X276">
        <f t="shared" si="96"/>
        <v>4.7688844119727389E-2</v>
      </c>
      <c r="Y276">
        <f t="shared" si="97"/>
        <v>3.7498599661668879E-4</v>
      </c>
      <c r="Z276">
        <f t="shared" si="98"/>
        <v>2.437408978008477E-3</v>
      </c>
      <c r="AA276">
        <f t="shared" si="99"/>
        <v>0.30688638346161756</v>
      </c>
      <c r="AB276">
        <f t="shared" si="100"/>
        <v>0.15034257314453409</v>
      </c>
      <c r="AC276">
        <f t="shared" si="101"/>
        <v>9.8885119758808981E-2</v>
      </c>
      <c r="AD276">
        <f t="shared" si="102"/>
        <v>3.2987518122370111E-3</v>
      </c>
      <c r="AE276">
        <f t="shared" si="103"/>
        <v>2.0993497274086163E-2</v>
      </c>
      <c r="AG276">
        <f t="shared" si="104"/>
        <v>0.96071963551407535</v>
      </c>
      <c r="AH276">
        <f t="shared" si="105"/>
        <v>0.14292956872391793</v>
      </c>
      <c r="AI276">
        <f t="shared" si="106"/>
        <v>-0.80967491293350624</v>
      </c>
      <c r="AK276" s="26">
        <f t="shared" si="107"/>
        <v>4.0103139303153512E-2</v>
      </c>
      <c r="AL276" s="26">
        <f t="shared" si="108"/>
        <v>6.2221178660002263E-2</v>
      </c>
      <c r="AM276" s="26">
        <f t="shared" si="109"/>
        <v>5.9925099799414905E-2</v>
      </c>
      <c r="AN276" s="26">
        <f t="shared" si="110"/>
        <v>9.8973015873016266</v>
      </c>
      <c r="AO276" s="26">
        <f t="shared" si="111"/>
        <v>10.444645008605846</v>
      </c>
      <c r="AP276" s="26">
        <f t="shared" si="112"/>
        <v>12.673556629290189</v>
      </c>
      <c r="AS276" s="2">
        <v>45204</v>
      </c>
      <c r="AT276">
        <v>12.7</v>
      </c>
      <c r="AU276">
        <v>27.9</v>
      </c>
      <c r="AV276">
        <v>49</v>
      </c>
      <c r="AW276">
        <v>14.7</v>
      </c>
      <c r="AX276">
        <v>134.62</v>
      </c>
      <c r="AY276">
        <v>0.5</v>
      </c>
      <c r="AZ276">
        <v>2.8</v>
      </c>
      <c r="BA276">
        <v>185.07910000000001</v>
      </c>
      <c r="BB276">
        <v>84.554299999999998</v>
      </c>
      <c r="BC276">
        <v>105.5677</v>
      </c>
      <c r="BD276">
        <v>3.48</v>
      </c>
      <c r="BE276">
        <v>31.089700000000001</v>
      </c>
      <c r="BF276">
        <v>-10.194000000000001</v>
      </c>
      <c r="BG276">
        <v>-20.514800000000001</v>
      </c>
      <c r="BH276">
        <v>96.53</v>
      </c>
    </row>
    <row r="277" spans="1:60" x14ac:dyDescent="0.25">
      <c r="A277" s="2">
        <v>45224</v>
      </c>
      <c r="B277">
        <v>13.1</v>
      </c>
      <c r="C277">
        <v>0</v>
      </c>
      <c r="D277">
        <v>71.2</v>
      </c>
      <c r="E277">
        <v>7.9</v>
      </c>
      <c r="F277">
        <v>105.45</v>
      </c>
      <c r="G277">
        <v>0.5</v>
      </c>
      <c r="H277">
        <v>2.6</v>
      </c>
      <c r="I277">
        <v>319.76530000000002</v>
      </c>
      <c r="J277">
        <v>155.22190000000001</v>
      </c>
      <c r="K277">
        <v>104.2692</v>
      </c>
      <c r="L277">
        <v>3.4821</v>
      </c>
      <c r="M277">
        <v>21.9011</v>
      </c>
      <c r="N277">
        <v>-28.968599999999999</v>
      </c>
      <c r="O277">
        <v>-15.6111</v>
      </c>
      <c r="P277">
        <v>98.96</v>
      </c>
      <c r="S277">
        <f t="shared" si="91"/>
        <v>805.38959999999997</v>
      </c>
      <c r="T277">
        <f t="shared" si="92"/>
        <v>1.2280791389196556E-2</v>
      </c>
      <c r="U277">
        <f t="shared" si="93"/>
        <v>0</v>
      </c>
      <c r="V277">
        <f t="shared" si="94"/>
        <v>6.6747507397770606E-2</v>
      </c>
      <c r="W277">
        <f t="shared" si="95"/>
        <v>7.405973433179603E-3</v>
      </c>
      <c r="X277">
        <f t="shared" si="96"/>
        <v>9.8855683358074584E-2</v>
      </c>
      <c r="Y277">
        <f t="shared" si="97"/>
        <v>4.6873249577086097E-4</v>
      </c>
      <c r="Z277">
        <f t="shared" si="98"/>
        <v>2.437408978008477E-3</v>
      </c>
      <c r="AA277">
        <f t="shared" si="99"/>
        <v>0.29976877425983617</v>
      </c>
      <c r="AB277">
        <f t="shared" si="100"/>
        <v>0.14551509717059</v>
      </c>
      <c r="AC277">
        <f t="shared" si="101"/>
        <v>9.7748724696062106E-2</v>
      </c>
      <c r="AD277">
        <f t="shared" si="102"/>
        <v>3.26434684704743E-3</v>
      </c>
      <c r="AE277">
        <f t="shared" si="103"/>
        <v>2.0531514526254405E-2</v>
      </c>
      <c r="AG277">
        <f t="shared" si="104"/>
        <v>0.97207423854054542</v>
      </c>
      <c r="AH277">
        <f t="shared" si="105"/>
        <v>0.20872761157825509</v>
      </c>
      <c r="AI277">
        <f t="shared" si="106"/>
        <v>-0.40196556558446384</v>
      </c>
      <c r="AK277" s="26">
        <f t="shared" si="107"/>
        <v>4.3948684684163519E-2</v>
      </c>
      <c r="AL277" s="26">
        <f t="shared" si="108"/>
        <v>6.4628857271005924E-2</v>
      </c>
      <c r="AM277" s="26">
        <f t="shared" si="109"/>
        <v>6.1676149063122576E-2</v>
      </c>
      <c r="AN277" s="26">
        <f t="shared" si="110"/>
        <v>9.8701587301587494</v>
      </c>
      <c r="AO277" s="26">
        <f t="shared" si="111"/>
        <v>10.501559810671253</v>
      </c>
      <c r="AP277" s="26">
        <f t="shared" si="112"/>
        <v>12.715949686195202</v>
      </c>
      <c r="AS277" s="2">
        <v>45203</v>
      </c>
      <c r="AT277">
        <v>11.9</v>
      </c>
      <c r="AU277">
        <v>6</v>
      </c>
      <c r="AV277">
        <v>66.8</v>
      </c>
      <c r="AW277">
        <v>19</v>
      </c>
      <c r="AX277">
        <v>178.2</v>
      </c>
      <c r="AY277">
        <v>0.5</v>
      </c>
      <c r="AZ277">
        <v>3</v>
      </c>
      <c r="BA277">
        <v>134.38579999999999</v>
      </c>
      <c r="BB277">
        <v>67.027199999999993</v>
      </c>
      <c r="BC277">
        <v>62.805500000000002</v>
      </c>
      <c r="BD277">
        <v>3.48</v>
      </c>
      <c r="BE277">
        <v>31.622</v>
      </c>
      <c r="BF277">
        <v>-13.305400000000001</v>
      </c>
      <c r="BG277">
        <v>-19.855399999999999</v>
      </c>
      <c r="BH277">
        <v>96.46</v>
      </c>
    </row>
    <row r="278" spans="1:60" x14ac:dyDescent="0.25">
      <c r="A278" s="2">
        <v>45223</v>
      </c>
      <c r="B278">
        <v>12.1</v>
      </c>
      <c r="C278">
        <v>18</v>
      </c>
      <c r="D278">
        <v>76.8</v>
      </c>
      <c r="E278">
        <v>9.4</v>
      </c>
      <c r="F278">
        <v>32.950000000000003</v>
      </c>
      <c r="G278">
        <v>0.5</v>
      </c>
      <c r="H278">
        <v>2.8</v>
      </c>
      <c r="I278">
        <v>345.26459999999997</v>
      </c>
      <c r="J278">
        <v>142.64920000000001</v>
      </c>
      <c r="K278">
        <v>114.7373</v>
      </c>
      <c r="L278">
        <v>4.2953999999999999</v>
      </c>
      <c r="M278">
        <v>25.798100000000002</v>
      </c>
      <c r="N278">
        <v>-26.114999999999998</v>
      </c>
      <c r="O278">
        <v>-15.582000000000001</v>
      </c>
      <c r="P278">
        <v>98.66</v>
      </c>
      <c r="S278">
        <f t="shared" si="91"/>
        <v>785.29459999999995</v>
      </c>
      <c r="T278">
        <f t="shared" si="92"/>
        <v>1.1343326397654835E-2</v>
      </c>
      <c r="U278">
        <f t="shared" si="93"/>
        <v>1.6874369847750995E-2</v>
      </c>
      <c r="V278">
        <f t="shared" si="94"/>
        <v>7.1997311350404242E-2</v>
      </c>
      <c r="W278">
        <f t="shared" si="95"/>
        <v>8.8121709204921871E-3</v>
      </c>
      <c r="X278">
        <f t="shared" si="96"/>
        <v>3.088947147129974E-2</v>
      </c>
      <c r="Y278">
        <f t="shared" si="97"/>
        <v>4.6873249577086097E-4</v>
      </c>
      <c r="Z278">
        <f t="shared" si="98"/>
        <v>2.624901976316821E-3</v>
      </c>
      <c r="AA278">
        <f t="shared" si="99"/>
        <v>0.32367347531865598</v>
      </c>
      <c r="AB278">
        <f t="shared" si="100"/>
        <v>0.1337286310714334</v>
      </c>
      <c r="AC278">
        <f t="shared" si="101"/>
        <v>0.10756220197402001</v>
      </c>
      <c r="AD278">
        <f t="shared" si="102"/>
        <v>4.0267871246683126E-3</v>
      </c>
      <c r="AE278">
        <f t="shared" si="103"/>
        <v>2.4184815598292497E-2</v>
      </c>
      <c r="AG278">
        <f t="shared" si="104"/>
        <v>0.95879811852440033</v>
      </c>
      <c r="AH278">
        <f t="shared" si="105"/>
        <v>0.16719510005798219</v>
      </c>
      <c r="AI278">
        <f t="shared" si="106"/>
        <v>-0.66005585698368718</v>
      </c>
      <c r="AK278" s="26">
        <f t="shared" si="107"/>
        <v>4.8618843616249158E-2</v>
      </c>
      <c r="AL278" s="26">
        <f t="shared" si="108"/>
        <v>6.8409843938920079E-2</v>
      </c>
      <c r="AM278" s="26">
        <f t="shared" si="109"/>
        <v>6.4558678294672711E-2</v>
      </c>
      <c r="AN278" s="26">
        <f t="shared" si="110"/>
        <v>9.8369841269841203</v>
      </c>
      <c r="AO278" s="26">
        <f t="shared" si="111"/>
        <v>10.552409638554209</v>
      </c>
      <c r="AP278" s="26">
        <f t="shared" si="112"/>
        <v>12.756914996980086</v>
      </c>
      <c r="AS278" s="2">
        <v>45202</v>
      </c>
      <c r="AT278">
        <v>13.2</v>
      </c>
      <c r="AU278">
        <v>3.3</v>
      </c>
      <c r="AV278">
        <v>57</v>
      </c>
      <c r="AW278">
        <v>17.899999999999999</v>
      </c>
      <c r="AX278">
        <v>134.99</v>
      </c>
      <c r="AY278">
        <v>0.4</v>
      </c>
      <c r="AZ278">
        <v>3.3</v>
      </c>
      <c r="BA278">
        <v>97.016599999999997</v>
      </c>
      <c r="BB278">
        <v>31.470700000000001</v>
      </c>
      <c r="BC278">
        <v>26.2194</v>
      </c>
      <c r="BD278">
        <v>3.48</v>
      </c>
      <c r="BE278">
        <v>15.377700000000001</v>
      </c>
      <c r="BF278">
        <v>-10.8933</v>
      </c>
      <c r="BG278">
        <v>-20.539899999999999</v>
      </c>
      <c r="BH278">
        <v>96.33</v>
      </c>
    </row>
    <row r="279" spans="1:60" x14ac:dyDescent="0.25">
      <c r="A279" s="2">
        <v>45222</v>
      </c>
      <c r="B279">
        <v>11.6</v>
      </c>
      <c r="C279">
        <v>57</v>
      </c>
      <c r="D279">
        <v>21.9</v>
      </c>
      <c r="E279">
        <v>4.9000000000000004</v>
      </c>
      <c r="F279">
        <v>116.21</v>
      </c>
      <c r="G279">
        <v>0.5</v>
      </c>
      <c r="H279">
        <v>3.1</v>
      </c>
      <c r="I279">
        <v>336.1</v>
      </c>
      <c r="J279">
        <v>121.8334</v>
      </c>
      <c r="K279">
        <v>110.77079999999999</v>
      </c>
      <c r="L279">
        <v>3.1017000000000001</v>
      </c>
      <c r="M279">
        <v>37.902900000000002</v>
      </c>
      <c r="N279">
        <v>-25.564399999999999</v>
      </c>
      <c r="O279">
        <v>-12.122400000000001</v>
      </c>
      <c r="P279">
        <v>98.6</v>
      </c>
      <c r="S279">
        <f t="shared" si="91"/>
        <v>824.91880000000015</v>
      </c>
      <c r="T279">
        <f t="shared" si="92"/>
        <v>1.0874593901883974E-2</v>
      </c>
      <c r="U279">
        <f t="shared" si="93"/>
        <v>5.3435504517878152E-2</v>
      </c>
      <c r="V279">
        <f t="shared" si="94"/>
        <v>2.0530483314763707E-2</v>
      </c>
      <c r="W279">
        <f t="shared" si="95"/>
        <v>4.5935784585544375E-3</v>
      </c>
      <c r="X279">
        <f t="shared" si="96"/>
        <v>0.10894280666706349</v>
      </c>
      <c r="Y279">
        <f t="shared" si="97"/>
        <v>4.6873249577086097E-4</v>
      </c>
      <c r="Z279">
        <f t="shared" si="98"/>
        <v>2.9061414737793379E-3</v>
      </c>
      <c r="AA279">
        <f t="shared" si="99"/>
        <v>0.31508198365717277</v>
      </c>
      <c r="AB279">
        <f t="shared" si="100"/>
        <v>0.11421454730049922</v>
      </c>
      <c r="AC279">
        <f t="shared" si="101"/>
        <v>0.10384374708506976</v>
      </c>
      <c r="AD279">
        <f t="shared" si="102"/>
        <v>2.9077351642649591E-3</v>
      </c>
      <c r="AE279">
        <f t="shared" si="103"/>
        <v>3.5532641827906733E-2</v>
      </c>
      <c r="AG279">
        <f t="shared" si="104"/>
        <v>0.95686714873828671</v>
      </c>
      <c r="AH279">
        <f t="shared" si="105"/>
        <v>0.23728448265760071</v>
      </c>
      <c r="AI279">
        <f t="shared" si="106"/>
        <v>-0.22481412011534149</v>
      </c>
      <c r="AK279" s="26">
        <f t="shared" si="107"/>
        <v>5.0909543787200334E-2</v>
      </c>
      <c r="AL279" s="26">
        <f t="shared" si="108"/>
        <v>6.9808306896329747E-2</v>
      </c>
      <c r="AM279" s="26">
        <f t="shared" si="109"/>
        <v>6.4563508680219872E-2</v>
      </c>
      <c r="AN279" s="26">
        <f t="shared" si="110"/>
        <v>9.8203174603174546</v>
      </c>
      <c r="AO279" s="26">
        <f t="shared" si="111"/>
        <v>10.610081755593839</v>
      </c>
      <c r="AP279" s="26">
        <f t="shared" si="112"/>
        <v>12.801762821354444</v>
      </c>
      <c r="AS279" s="2">
        <v>45201</v>
      </c>
      <c r="AT279">
        <v>13.1</v>
      </c>
      <c r="AU279">
        <v>62.9</v>
      </c>
      <c r="AV279">
        <v>19.8</v>
      </c>
      <c r="AW279">
        <v>4.5</v>
      </c>
      <c r="AX279">
        <v>209.31</v>
      </c>
      <c r="AY279">
        <v>0.5</v>
      </c>
      <c r="AZ279">
        <v>3.3</v>
      </c>
      <c r="BA279">
        <v>239.27709999999999</v>
      </c>
      <c r="BB279">
        <v>59.784599999999998</v>
      </c>
      <c r="BC279">
        <v>76.387200000000007</v>
      </c>
      <c r="BD279">
        <v>3.48</v>
      </c>
      <c r="BE279">
        <v>29.652799999999999</v>
      </c>
      <c r="BF279">
        <v>-10.786</v>
      </c>
      <c r="BG279">
        <v>-17.8642</v>
      </c>
      <c r="BH279">
        <v>96.15</v>
      </c>
    </row>
    <row r="280" spans="1:60" x14ac:dyDescent="0.25">
      <c r="A280" s="2">
        <v>45221</v>
      </c>
      <c r="B280">
        <v>11.8</v>
      </c>
      <c r="C280">
        <v>17.5</v>
      </c>
      <c r="D280">
        <v>74.099999999999994</v>
      </c>
      <c r="E280">
        <v>14.5</v>
      </c>
      <c r="F280">
        <v>127.58</v>
      </c>
      <c r="G280">
        <v>0.5</v>
      </c>
      <c r="H280">
        <v>3.1</v>
      </c>
      <c r="I280">
        <v>154.01750000000001</v>
      </c>
      <c r="J280">
        <v>32.857100000000003</v>
      </c>
      <c r="K280">
        <v>29.8279</v>
      </c>
      <c r="L280">
        <v>3.48</v>
      </c>
      <c r="M280">
        <v>19.548300000000001</v>
      </c>
      <c r="P280">
        <v>98.55</v>
      </c>
      <c r="S280">
        <f t="shared" si="91"/>
        <v>488.81079999999997</v>
      </c>
      <c r="T280">
        <f t="shared" si="92"/>
        <v>1.1062086900192319E-2</v>
      </c>
      <c r="U280">
        <f t="shared" si="93"/>
        <v>1.6405637351980133E-2</v>
      </c>
      <c r="V280">
        <f t="shared" si="94"/>
        <v>6.9466155873241592E-2</v>
      </c>
      <c r="W280">
        <f t="shared" si="95"/>
        <v>1.3593242377354967E-2</v>
      </c>
      <c r="X280">
        <f t="shared" si="96"/>
        <v>0.11960178362089288</v>
      </c>
      <c r="Y280">
        <f t="shared" si="97"/>
        <v>4.6873249577086097E-4</v>
      </c>
      <c r="Z280">
        <f t="shared" si="98"/>
        <v>2.9061414737793379E-3</v>
      </c>
      <c r="AA280">
        <f t="shared" si="99"/>
        <v>0.14438601433477716</v>
      </c>
      <c r="AB280">
        <f t="shared" si="100"/>
        <v>3.0802380973585515E-2</v>
      </c>
      <c r="AC280">
        <f t="shared" si="101"/>
        <v>2.7962612021207325E-2</v>
      </c>
      <c r="AD280">
        <f t="shared" si="102"/>
        <v>3.2623781705651924E-3</v>
      </c>
      <c r="AE280">
        <f t="shared" si="103"/>
        <v>1.8325846894155045E-2</v>
      </c>
      <c r="AG280">
        <f t="shared" si="104"/>
        <v>0.9554257907859427</v>
      </c>
      <c r="AH280">
        <f t="shared" si="105"/>
        <v>0.25182962698736716</v>
      </c>
      <c r="AI280">
        <f t="shared" si="106"/>
        <v>-0.13374036327853842</v>
      </c>
      <c r="AK280" s="26">
        <f t="shared" si="107"/>
        <v>5.3907702658038348E-2</v>
      </c>
      <c r="AL280" s="26">
        <f t="shared" si="108"/>
        <v>7.0226731991238883E-2</v>
      </c>
      <c r="AM280" s="26">
        <f t="shared" si="109"/>
        <v>6.4774592535398856E-2</v>
      </c>
      <c r="AN280" s="26">
        <f t="shared" si="110"/>
        <v>9.8063492063492106</v>
      </c>
      <c r="AO280" s="26">
        <f t="shared" si="111"/>
        <v>10.672332185886432</v>
      </c>
      <c r="AP280" s="26">
        <f t="shared" si="112"/>
        <v>12.847778419684317</v>
      </c>
      <c r="AS280" s="2">
        <v>45200</v>
      </c>
      <c r="AT280">
        <v>13.6</v>
      </c>
      <c r="AU280">
        <v>20.2</v>
      </c>
      <c r="AV280">
        <v>37.1</v>
      </c>
      <c r="AW280">
        <v>4.7</v>
      </c>
      <c r="AX280">
        <v>199.3</v>
      </c>
      <c r="AY280">
        <v>0.5</v>
      </c>
      <c r="AZ280">
        <v>3.3</v>
      </c>
      <c r="BA280">
        <v>162.744</v>
      </c>
      <c r="BB280">
        <v>23.338000000000001</v>
      </c>
      <c r="BC280">
        <v>32.500599999999999</v>
      </c>
      <c r="BD280">
        <v>3.48</v>
      </c>
      <c r="BE280">
        <v>16.636700000000001</v>
      </c>
      <c r="BH280">
        <v>95.99</v>
      </c>
    </row>
    <row r="281" spans="1:60" x14ac:dyDescent="0.25">
      <c r="A281" s="2">
        <v>45220</v>
      </c>
      <c r="B281">
        <v>13.8</v>
      </c>
      <c r="C281">
        <v>1</v>
      </c>
      <c r="D281">
        <v>66.900000000000006</v>
      </c>
      <c r="E281">
        <v>12.5</v>
      </c>
      <c r="F281">
        <v>121.02</v>
      </c>
      <c r="G281">
        <v>0.4</v>
      </c>
      <c r="H281">
        <v>3</v>
      </c>
      <c r="I281">
        <v>117.99</v>
      </c>
      <c r="J281">
        <v>39.737200000000001</v>
      </c>
      <c r="K281">
        <v>37.496099999999998</v>
      </c>
      <c r="L281">
        <v>3.48</v>
      </c>
      <c r="M281">
        <v>25.1098</v>
      </c>
      <c r="P281">
        <v>98.4</v>
      </c>
      <c r="S281">
        <f t="shared" si="91"/>
        <v>442.43310000000008</v>
      </c>
      <c r="T281">
        <f t="shared" si="92"/>
        <v>1.2937016883275762E-2</v>
      </c>
      <c r="U281">
        <f t="shared" si="93"/>
        <v>9.3746499154172193E-4</v>
      </c>
      <c r="V281">
        <f t="shared" si="94"/>
        <v>6.2716407934141197E-2</v>
      </c>
      <c r="W281">
        <f t="shared" si="95"/>
        <v>1.1718312394271523E-2</v>
      </c>
      <c r="X281">
        <f t="shared" si="96"/>
        <v>0.11345201327637919</v>
      </c>
      <c r="Y281">
        <f t="shared" si="97"/>
        <v>3.7498599661668879E-4</v>
      </c>
      <c r="Z281">
        <f t="shared" si="98"/>
        <v>2.8123949746251659E-3</v>
      </c>
      <c r="AA281">
        <f t="shared" si="99"/>
        <v>0.11061149435200776</v>
      </c>
      <c r="AB281">
        <f t="shared" si="100"/>
        <v>3.7252233861891713E-2</v>
      </c>
      <c r="AC281">
        <f t="shared" si="101"/>
        <v>3.5151281069347555E-2</v>
      </c>
      <c r="AD281">
        <f t="shared" si="102"/>
        <v>3.2623781705651924E-3</v>
      </c>
      <c r="AE281">
        <f t="shared" si="103"/>
        <v>2.353955844461433E-2</v>
      </c>
      <c r="AG281">
        <f t="shared" si="104"/>
        <v>0.94925298258887303</v>
      </c>
      <c r="AH281">
        <f t="shared" si="105"/>
        <v>0.22848815489546559</v>
      </c>
      <c r="AI281">
        <f t="shared" si="106"/>
        <v>-0.27599665189298861</v>
      </c>
      <c r="AK281" s="26">
        <f t="shared" si="107"/>
        <v>5.2748367975752386E-2</v>
      </c>
      <c r="AL281" s="26">
        <f t="shared" si="108"/>
        <v>6.6416880356715363E-2</v>
      </c>
      <c r="AM281" s="26">
        <f t="shared" si="109"/>
        <v>6.3530911033271076E-2</v>
      </c>
      <c r="AN281" s="26">
        <f t="shared" si="110"/>
        <v>9.7933333333333223</v>
      </c>
      <c r="AO281" s="26">
        <f t="shared" si="111"/>
        <v>10.736886833046498</v>
      </c>
      <c r="AP281" s="26">
        <f t="shared" si="112"/>
        <v>12.893334996454868</v>
      </c>
      <c r="AS281" s="2">
        <v>45199</v>
      </c>
      <c r="AU281">
        <v>2.8</v>
      </c>
      <c r="AX281">
        <v>187</v>
      </c>
      <c r="BC281">
        <v>39.344799999999999</v>
      </c>
      <c r="BH281">
        <v>95.62</v>
      </c>
    </row>
    <row r="282" spans="1:60" x14ac:dyDescent="0.25">
      <c r="A282" s="2">
        <v>45219</v>
      </c>
      <c r="B282">
        <v>10.7</v>
      </c>
      <c r="C282">
        <v>19.899999999999999</v>
      </c>
      <c r="D282">
        <v>31.9</v>
      </c>
      <c r="E282">
        <v>23.8</v>
      </c>
      <c r="F282">
        <v>41.27</v>
      </c>
      <c r="G282">
        <v>0.4</v>
      </c>
      <c r="H282">
        <v>3.1</v>
      </c>
      <c r="I282">
        <v>176.95359999999999</v>
      </c>
      <c r="J282">
        <v>72.464399999999998</v>
      </c>
      <c r="K282">
        <v>68.050399999999996</v>
      </c>
      <c r="L282">
        <v>3.48</v>
      </c>
      <c r="M282">
        <v>23.548500000000001</v>
      </c>
      <c r="N282">
        <v>-21.8339</v>
      </c>
      <c r="O282">
        <v>-10.601100000000001</v>
      </c>
      <c r="P282">
        <v>98.24</v>
      </c>
      <c r="S282">
        <f t="shared" si="91"/>
        <v>475.56690000000003</v>
      </c>
      <c r="T282">
        <f t="shared" si="92"/>
        <v>1.0030875409496424E-2</v>
      </c>
      <c r="U282">
        <f t="shared" si="93"/>
        <v>1.8655553331680265E-2</v>
      </c>
      <c r="V282">
        <f t="shared" si="94"/>
        <v>2.9905133230180927E-2</v>
      </c>
      <c r="W282">
        <f t="shared" si="95"/>
        <v>2.2311666798692981E-2</v>
      </c>
      <c r="X282">
        <f t="shared" si="96"/>
        <v>3.8689180200926869E-2</v>
      </c>
      <c r="Y282">
        <f t="shared" si="97"/>
        <v>3.7498599661668879E-4</v>
      </c>
      <c r="Z282">
        <f t="shared" si="98"/>
        <v>2.9061414737793379E-3</v>
      </c>
      <c r="AA282">
        <f t="shared" si="99"/>
        <v>0.16588780512727724</v>
      </c>
      <c r="AB282">
        <f t="shared" si="100"/>
        <v>6.7932838133075948E-2</v>
      </c>
      <c r="AC282">
        <f t="shared" si="101"/>
        <v>6.3794867660410787E-2</v>
      </c>
      <c r="AD282">
        <f t="shared" si="102"/>
        <v>3.2623781705651924E-3</v>
      </c>
      <c r="AE282">
        <f t="shared" si="103"/>
        <v>2.207589435332024E-2</v>
      </c>
      <c r="AG282">
        <f t="shared" si="104"/>
        <v>0.94260426951153931</v>
      </c>
      <c r="AH282">
        <f t="shared" si="105"/>
        <v>0.14494943079469375</v>
      </c>
      <c r="AI282">
        <f t="shared" si="106"/>
        <v>-0.78956692778616633</v>
      </c>
      <c r="AK282" s="26">
        <f t="shared" si="107"/>
        <v>5.3041034129833992E-2</v>
      </c>
      <c r="AL282" s="26">
        <f t="shared" si="108"/>
        <v>6.6207970841592162E-2</v>
      </c>
      <c r="AM282" s="26">
        <f t="shared" si="109"/>
        <v>6.2246948018612969E-2</v>
      </c>
      <c r="AN282" s="26">
        <f t="shared" si="110"/>
        <v>9.7731746031745814</v>
      </c>
      <c r="AO282" s="26">
        <f t="shared" si="111"/>
        <v>10.804046901893273</v>
      </c>
      <c r="AP282" s="26">
        <f t="shared" si="112"/>
        <v>12.94011186681017</v>
      </c>
      <c r="AS282" s="2">
        <v>45198</v>
      </c>
      <c r="AT282">
        <v>14.9</v>
      </c>
      <c r="AU282">
        <v>25.3</v>
      </c>
      <c r="AV282">
        <v>60.3</v>
      </c>
      <c r="AW282">
        <v>9.4</v>
      </c>
      <c r="AX282">
        <v>156.97999999999999</v>
      </c>
      <c r="AY282">
        <v>0.5</v>
      </c>
      <c r="AZ282">
        <v>3</v>
      </c>
      <c r="BA282">
        <v>248.74019999999999</v>
      </c>
      <c r="BB282">
        <v>49.910200000000003</v>
      </c>
      <c r="BC282">
        <v>59.407400000000003</v>
      </c>
      <c r="BD282">
        <v>3.48</v>
      </c>
      <c r="BE282">
        <v>18.562100000000001</v>
      </c>
      <c r="BF282">
        <v>-18.319099999999999</v>
      </c>
      <c r="BG282">
        <v>-28.101199999999999</v>
      </c>
      <c r="BH282">
        <v>95.41</v>
      </c>
    </row>
    <row r="283" spans="1:60" x14ac:dyDescent="0.25">
      <c r="A283" s="2">
        <v>45218</v>
      </c>
      <c r="B283">
        <v>10.9</v>
      </c>
      <c r="C283">
        <v>61.3</v>
      </c>
      <c r="D283">
        <v>74.5</v>
      </c>
      <c r="E283">
        <v>18.3</v>
      </c>
      <c r="F283">
        <v>59.83</v>
      </c>
      <c r="G283">
        <v>0.2</v>
      </c>
      <c r="H283">
        <v>3</v>
      </c>
      <c r="I283">
        <v>226.44800000000001</v>
      </c>
      <c r="J283">
        <v>99.83</v>
      </c>
      <c r="K283">
        <v>97.242599999999996</v>
      </c>
      <c r="L283">
        <v>2.9</v>
      </c>
      <c r="M283">
        <v>32.136600000000001</v>
      </c>
      <c r="N283">
        <v>-20.2639</v>
      </c>
      <c r="O283">
        <v>-10.6921</v>
      </c>
      <c r="P283">
        <v>98.15</v>
      </c>
      <c r="S283">
        <f t="shared" si="91"/>
        <v>686.58720000000005</v>
      </c>
      <c r="T283">
        <f t="shared" si="92"/>
        <v>1.0218368407804769E-2</v>
      </c>
      <c r="U283">
        <f t="shared" si="93"/>
        <v>5.7466603981507554E-2</v>
      </c>
      <c r="V283">
        <f t="shared" si="94"/>
        <v>6.9841141869858278E-2</v>
      </c>
      <c r="W283">
        <f t="shared" si="95"/>
        <v>1.7155609345213513E-2</v>
      </c>
      <c r="X283">
        <f t="shared" si="96"/>
        <v>5.6088530443941222E-2</v>
      </c>
      <c r="Y283">
        <f t="shared" si="97"/>
        <v>1.874929983083444E-4</v>
      </c>
      <c r="Z283">
        <f t="shared" si="98"/>
        <v>2.8123949746251659E-3</v>
      </c>
      <c r="AA283">
        <f t="shared" si="99"/>
        <v>0.21228707240463984</v>
      </c>
      <c r="AB283">
        <f t="shared" si="100"/>
        <v>9.3587130105610095E-2</v>
      </c>
      <c r="AC283">
        <f t="shared" si="101"/>
        <v>9.1161533186495045E-2</v>
      </c>
      <c r="AD283">
        <f t="shared" si="102"/>
        <v>2.7186484754709935E-3</v>
      </c>
      <c r="AE283">
        <f t="shared" si="103"/>
        <v>3.0126937447179702E-2</v>
      </c>
      <c r="AG283">
        <f t="shared" si="104"/>
        <v>0.93926963856103551</v>
      </c>
      <c r="AH283">
        <f t="shared" si="105"/>
        <v>0.24389707946843853</v>
      </c>
      <c r="AI283">
        <f t="shared" si="106"/>
        <v>-0.1792758899154421</v>
      </c>
      <c r="AK283" s="26">
        <f t="shared" si="107"/>
        <v>5.8594286571991672E-2</v>
      </c>
      <c r="AL283" s="26">
        <f t="shared" si="108"/>
        <v>6.8212752109900465E-2</v>
      </c>
      <c r="AM283" s="26">
        <f t="shared" si="109"/>
        <v>6.228794322163389E-2</v>
      </c>
      <c r="AN283" s="26">
        <f t="shared" si="110"/>
        <v>9.7552380952380844</v>
      </c>
      <c r="AO283" s="26">
        <f t="shared" si="111"/>
        <v>10.874285714285719</v>
      </c>
      <c r="AP283" s="26">
        <f t="shared" si="112"/>
        <v>12.987575956513709</v>
      </c>
      <c r="AS283" s="2">
        <v>45197</v>
      </c>
      <c r="AT283">
        <v>14.5</v>
      </c>
      <c r="AU283">
        <v>19.2</v>
      </c>
      <c r="AV283">
        <v>66.099999999999994</v>
      </c>
      <c r="AW283">
        <v>6.9</v>
      </c>
      <c r="AX283">
        <v>219.29</v>
      </c>
      <c r="AY283">
        <v>0.3</v>
      </c>
      <c r="AZ283">
        <v>3.4</v>
      </c>
      <c r="BA283">
        <v>231.0506</v>
      </c>
      <c r="BB283">
        <v>90.955600000000004</v>
      </c>
      <c r="BC283">
        <v>63.3857</v>
      </c>
      <c r="BD283">
        <v>3.48</v>
      </c>
      <c r="BE283">
        <v>27.575900000000001</v>
      </c>
      <c r="BF283">
        <v>-17.932700000000001</v>
      </c>
      <c r="BG283">
        <v>-26.6037</v>
      </c>
      <c r="BH283">
        <v>95.27</v>
      </c>
    </row>
    <row r="284" spans="1:60" x14ac:dyDescent="0.25">
      <c r="A284" s="2">
        <v>45217</v>
      </c>
      <c r="B284">
        <v>11.4</v>
      </c>
      <c r="C284">
        <v>47.6</v>
      </c>
      <c r="D284">
        <v>61.6</v>
      </c>
      <c r="E284">
        <v>11.7</v>
      </c>
      <c r="F284">
        <v>140.72999999999999</v>
      </c>
      <c r="G284">
        <v>0.5</v>
      </c>
      <c r="H284">
        <v>2.9</v>
      </c>
      <c r="I284">
        <v>289.85730000000001</v>
      </c>
      <c r="J284">
        <v>70.108500000000006</v>
      </c>
      <c r="K284">
        <v>75.186099999999996</v>
      </c>
      <c r="L284">
        <v>3.5402</v>
      </c>
      <c r="M284">
        <v>20.7988</v>
      </c>
      <c r="N284">
        <v>-20.579499999999999</v>
      </c>
      <c r="O284">
        <v>-10.569599999999999</v>
      </c>
      <c r="P284">
        <v>98.1</v>
      </c>
      <c r="S284">
        <f t="shared" si="91"/>
        <v>735.92090000000007</v>
      </c>
      <c r="T284">
        <f t="shared" si="92"/>
        <v>1.0687100903575631E-2</v>
      </c>
      <c r="U284">
        <f t="shared" si="93"/>
        <v>4.4623333597385961E-2</v>
      </c>
      <c r="V284">
        <f t="shared" si="94"/>
        <v>5.7747843478970072E-2</v>
      </c>
      <c r="W284">
        <f t="shared" si="95"/>
        <v>1.0968340401038145E-2</v>
      </c>
      <c r="X284">
        <f t="shared" si="96"/>
        <v>0.13192944825966652</v>
      </c>
      <c r="Y284">
        <f t="shared" si="97"/>
        <v>4.6873249577086097E-4</v>
      </c>
      <c r="Z284">
        <f t="shared" si="98"/>
        <v>2.7186484754709935E-3</v>
      </c>
      <c r="AA284">
        <f t="shared" si="99"/>
        <v>0.27173107129280638</v>
      </c>
      <c r="AB284">
        <f t="shared" si="100"/>
        <v>6.5724264359502821E-2</v>
      </c>
      <c r="AC284">
        <f t="shared" si="101"/>
        <v>7.0484336600555059E-2</v>
      </c>
      <c r="AD284">
        <f t="shared" si="102"/>
        <v>3.318813563056004E-3</v>
      </c>
      <c r="AE284">
        <f t="shared" si="103"/>
        <v>1.9498146866077967E-2</v>
      </c>
      <c r="AG284">
        <f t="shared" si="104"/>
        <v>0.93784094494744874</v>
      </c>
      <c r="AH284">
        <f t="shared" si="105"/>
        <v>0.27864159447795611</v>
      </c>
      <c r="AI284">
        <f t="shared" si="106"/>
        <v>3.7253723943742503E-2</v>
      </c>
      <c r="AK284" s="26">
        <f t="shared" si="107"/>
        <v>6.4018640553891809E-2</v>
      </c>
      <c r="AL284" s="26">
        <f t="shared" si="108"/>
        <v>6.8420130176727351E-2</v>
      </c>
      <c r="AM284" s="26">
        <f t="shared" si="109"/>
        <v>6.2157688112042309E-2</v>
      </c>
      <c r="AN284" s="26">
        <f t="shared" si="110"/>
        <v>9.737460317460318</v>
      </c>
      <c r="AO284" s="26">
        <f t="shared" si="111"/>
        <v>10.947549483648885</v>
      </c>
      <c r="AP284" s="26">
        <f t="shared" si="112"/>
        <v>13.036262965783436</v>
      </c>
      <c r="AS284" s="2">
        <v>45196</v>
      </c>
      <c r="AT284">
        <v>16.600000000000001</v>
      </c>
      <c r="AU284">
        <v>4.7</v>
      </c>
      <c r="AV284">
        <v>18</v>
      </c>
      <c r="AW284">
        <v>2.1</v>
      </c>
      <c r="AX284">
        <v>227.54</v>
      </c>
      <c r="AY284">
        <v>0.5</v>
      </c>
      <c r="AZ284">
        <v>3.6</v>
      </c>
      <c r="BA284">
        <v>256.42349999999999</v>
      </c>
      <c r="BB284">
        <v>127.0586</v>
      </c>
      <c r="BC284">
        <v>81.613299999999995</v>
      </c>
      <c r="BD284">
        <v>3.19</v>
      </c>
      <c r="BE284">
        <v>27.889600000000002</v>
      </c>
      <c r="BF284">
        <v>-18.4009</v>
      </c>
      <c r="BG284">
        <v>-26.7605</v>
      </c>
      <c r="BH284">
        <v>95.15</v>
      </c>
    </row>
    <row r="285" spans="1:60" x14ac:dyDescent="0.25">
      <c r="A285" s="2">
        <v>45216</v>
      </c>
      <c r="B285">
        <v>12</v>
      </c>
      <c r="C285">
        <v>23</v>
      </c>
      <c r="D285">
        <v>9.1</v>
      </c>
      <c r="E285">
        <v>2.8</v>
      </c>
      <c r="F285">
        <v>132.59</v>
      </c>
      <c r="G285">
        <v>0.5</v>
      </c>
      <c r="H285">
        <v>3.1</v>
      </c>
      <c r="I285">
        <v>357.66809999999998</v>
      </c>
      <c r="J285">
        <v>178.6037</v>
      </c>
      <c r="K285">
        <v>116.4208</v>
      </c>
      <c r="L285">
        <v>3.48</v>
      </c>
      <c r="M285">
        <v>21.683499999999999</v>
      </c>
      <c r="N285">
        <v>-19.690899999999999</v>
      </c>
      <c r="O285">
        <v>-13.571199999999999</v>
      </c>
      <c r="P285">
        <v>98.08</v>
      </c>
      <c r="S285">
        <f t="shared" si="91"/>
        <v>860.9461</v>
      </c>
      <c r="T285">
        <f t="shared" si="92"/>
        <v>1.1249579898500664E-2</v>
      </c>
      <c r="U285">
        <f t="shared" si="93"/>
        <v>2.1561694805459605E-2</v>
      </c>
      <c r="V285">
        <f t="shared" si="94"/>
        <v>8.5309314230296689E-3</v>
      </c>
      <c r="W285">
        <f t="shared" si="95"/>
        <v>2.624901976316821E-3</v>
      </c>
      <c r="X285">
        <f t="shared" si="96"/>
        <v>0.12429848322851692</v>
      </c>
      <c r="Y285">
        <f t="shared" si="97"/>
        <v>4.6873249577086097E-4</v>
      </c>
      <c r="Z285">
        <f t="shared" si="98"/>
        <v>2.9061414737793379E-3</v>
      </c>
      <c r="AA285">
        <f t="shared" si="99"/>
        <v>0.33530132234124371</v>
      </c>
      <c r="AB285">
        <f t="shared" si="100"/>
        <v>0.16743471610982025</v>
      </c>
      <c r="AC285">
        <f t="shared" si="101"/>
        <v>0.1091404242872805</v>
      </c>
      <c r="AD285">
        <f t="shared" si="102"/>
        <v>3.2623781705651924E-3</v>
      </c>
      <c r="AE285">
        <f t="shared" si="103"/>
        <v>2.0327522144094924E-2</v>
      </c>
      <c r="AG285">
        <f t="shared" si="104"/>
        <v>0.93784824314623327</v>
      </c>
      <c r="AH285">
        <f t="shared" si="105"/>
        <v>0.19196798744546881</v>
      </c>
      <c r="AI285">
        <f t="shared" si="106"/>
        <v>-0.49752235297439856</v>
      </c>
      <c r="AK285" s="26">
        <f t="shared" si="107"/>
        <v>6.4428271090084727E-2</v>
      </c>
      <c r="AL285" s="26">
        <f t="shared" si="108"/>
        <v>6.9928693395428898E-2</v>
      </c>
      <c r="AM285" s="26">
        <f t="shared" si="109"/>
        <v>5.9226284771770055E-2</v>
      </c>
      <c r="AN285" s="26">
        <f t="shared" si="110"/>
        <v>9.7214285714285751</v>
      </c>
      <c r="AO285" s="26">
        <f t="shared" si="111"/>
        <v>11.022633390705693</v>
      </c>
      <c r="AP285" s="26">
        <f t="shared" si="112"/>
        <v>13.085758514744853</v>
      </c>
      <c r="AS285" s="2">
        <v>45195</v>
      </c>
      <c r="AT285">
        <v>17</v>
      </c>
      <c r="AU285">
        <v>136.69999999999999</v>
      </c>
      <c r="AV285">
        <v>12.2</v>
      </c>
      <c r="AW285">
        <v>1.1000000000000001</v>
      </c>
      <c r="AX285">
        <v>242.88</v>
      </c>
      <c r="AY285">
        <v>0.4</v>
      </c>
      <c r="AZ285">
        <v>2.9</v>
      </c>
      <c r="BA285">
        <v>261.30250000000001</v>
      </c>
      <c r="BB285">
        <v>120.4956</v>
      </c>
      <c r="BC285">
        <v>86.200199999999995</v>
      </c>
      <c r="BD285">
        <v>3.48</v>
      </c>
      <c r="BE285">
        <v>29.138500000000001</v>
      </c>
      <c r="BF285">
        <v>-17.692</v>
      </c>
      <c r="BG285">
        <v>-24.115100000000002</v>
      </c>
      <c r="BH285">
        <v>95.03</v>
      </c>
    </row>
    <row r="286" spans="1:60" x14ac:dyDescent="0.25">
      <c r="A286" s="2">
        <v>45215</v>
      </c>
      <c r="B286">
        <v>11</v>
      </c>
      <c r="C286">
        <v>20</v>
      </c>
      <c r="D286">
        <v>54.8</v>
      </c>
      <c r="E286">
        <v>6.6</v>
      </c>
      <c r="F286">
        <v>157.88999999999999</v>
      </c>
      <c r="G286">
        <v>0.5</v>
      </c>
      <c r="H286">
        <v>3.2</v>
      </c>
      <c r="I286">
        <v>294.0779</v>
      </c>
      <c r="J286">
        <v>154.59540000000001</v>
      </c>
      <c r="K286">
        <v>93.205500000000001</v>
      </c>
      <c r="L286">
        <v>4.944</v>
      </c>
      <c r="M286">
        <v>27.912099999999999</v>
      </c>
      <c r="N286">
        <v>-17.927399999999999</v>
      </c>
      <c r="O286">
        <v>-13.6328</v>
      </c>
      <c r="P286">
        <v>98.07</v>
      </c>
      <c r="S286">
        <f t="shared" si="91"/>
        <v>828.72490000000005</v>
      </c>
      <c r="T286">
        <f t="shared" si="92"/>
        <v>1.0312114906958941E-2</v>
      </c>
      <c r="U286">
        <f t="shared" si="93"/>
        <v>1.8749299830834436E-2</v>
      </c>
      <c r="V286">
        <f t="shared" si="94"/>
        <v>5.1373081536486356E-2</v>
      </c>
      <c r="W286">
        <f t="shared" si="95"/>
        <v>6.1872689441753639E-3</v>
      </c>
      <c r="X286">
        <f t="shared" si="96"/>
        <v>0.14801634751452247</v>
      </c>
      <c r="Y286">
        <f t="shared" si="97"/>
        <v>4.6873249577086097E-4</v>
      </c>
      <c r="Z286">
        <f t="shared" si="98"/>
        <v>2.9998879729335104E-3</v>
      </c>
      <c r="AA286">
        <f t="shared" si="99"/>
        <v>0.27568773603610736</v>
      </c>
      <c r="AB286">
        <f t="shared" si="100"/>
        <v>0.14492777535338913</v>
      </c>
      <c r="AC286">
        <f t="shared" si="101"/>
        <v>8.7376893269141956E-2</v>
      </c>
      <c r="AD286">
        <f t="shared" si="102"/>
        <v>4.6348269181822731E-3</v>
      </c>
      <c r="AE286">
        <f t="shared" si="103"/>
        <v>2.6166616590411695E-2</v>
      </c>
      <c r="AG286">
        <f t="shared" si="104"/>
        <v>0.93835000753893882</v>
      </c>
      <c r="AH286">
        <f t="shared" si="105"/>
        <v>0.26427334979209366</v>
      </c>
      <c r="AI286">
        <f t="shared" si="106"/>
        <v>-5.0756641507147135E-2</v>
      </c>
      <c r="AK286" s="26">
        <f t="shared" si="107"/>
        <v>7.3944881477975177E-2</v>
      </c>
      <c r="AL286" s="26">
        <f t="shared" si="108"/>
        <v>7.5835399075494608E-2</v>
      </c>
      <c r="AM286" s="26">
        <f t="shared" si="109"/>
        <v>5.9220174514241775E-2</v>
      </c>
      <c r="AN286" s="26">
        <f t="shared" si="110"/>
        <v>9.7112698412698393</v>
      </c>
      <c r="AO286" s="26">
        <f t="shared" si="111"/>
        <v>11.099148020654084</v>
      </c>
      <c r="AP286" s="26">
        <f t="shared" si="112"/>
        <v>13.136718573566853</v>
      </c>
      <c r="AS286" s="2">
        <v>45194</v>
      </c>
      <c r="AT286">
        <v>17.5</v>
      </c>
      <c r="AU286">
        <v>75.8</v>
      </c>
      <c r="AV286">
        <v>56.1</v>
      </c>
      <c r="AW286">
        <v>9.3000000000000007</v>
      </c>
      <c r="AX286">
        <v>252.51</v>
      </c>
      <c r="AY286">
        <v>0.4</v>
      </c>
      <c r="AZ286">
        <v>2.9</v>
      </c>
      <c r="BA286">
        <v>171.96250000000001</v>
      </c>
      <c r="BB286">
        <v>86.675700000000006</v>
      </c>
      <c r="BC286">
        <v>51.541600000000003</v>
      </c>
      <c r="BD286">
        <v>3.48</v>
      </c>
      <c r="BE286">
        <v>27.946100000000001</v>
      </c>
      <c r="BF286">
        <v>-20.092300000000002</v>
      </c>
      <c r="BG286">
        <v>-19.184699999999999</v>
      </c>
      <c r="BH286">
        <v>94.93</v>
      </c>
    </row>
    <row r="287" spans="1:60" x14ac:dyDescent="0.25">
      <c r="A287" s="2">
        <v>45214</v>
      </c>
      <c r="B287">
        <v>11</v>
      </c>
      <c r="C287">
        <v>0</v>
      </c>
      <c r="D287">
        <v>73</v>
      </c>
      <c r="E287">
        <v>16.899999999999999</v>
      </c>
      <c r="F287">
        <v>124.67</v>
      </c>
      <c r="G287">
        <v>0.4</v>
      </c>
      <c r="H287">
        <v>3.3</v>
      </c>
      <c r="I287">
        <v>127.3192</v>
      </c>
      <c r="J287">
        <v>46.636899999999997</v>
      </c>
      <c r="K287">
        <v>20.678899999999999</v>
      </c>
      <c r="L287">
        <v>3.48</v>
      </c>
      <c r="M287">
        <v>21.619199999999999</v>
      </c>
      <c r="P287">
        <v>98.04</v>
      </c>
      <c r="S287">
        <f t="shared" si="91"/>
        <v>449.00419999999997</v>
      </c>
      <c r="T287">
        <f t="shared" si="92"/>
        <v>1.0312114906958941E-2</v>
      </c>
      <c r="U287">
        <f t="shared" si="93"/>
        <v>0</v>
      </c>
      <c r="V287">
        <f t="shared" si="94"/>
        <v>6.8434944382545701E-2</v>
      </c>
      <c r="W287">
        <f t="shared" si="95"/>
        <v>1.58431583570551E-2</v>
      </c>
      <c r="X287">
        <f t="shared" si="96"/>
        <v>0.11687376049550648</v>
      </c>
      <c r="Y287">
        <f t="shared" si="97"/>
        <v>3.7498599661668879E-4</v>
      </c>
      <c r="Z287">
        <f t="shared" si="98"/>
        <v>3.0936344720876819E-3</v>
      </c>
      <c r="AA287">
        <f t="shared" si="99"/>
        <v>0.1193572927510988</v>
      </c>
      <c r="AB287">
        <f t="shared" si="100"/>
        <v>4.3720461064032129E-2</v>
      </c>
      <c r="AC287">
        <f t="shared" si="101"/>
        <v>1.9385744813592114E-2</v>
      </c>
      <c r="AD287">
        <f t="shared" si="102"/>
        <v>3.2623781705651924E-3</v>
      </c>
      <c r="AE287">
        <f t="shared" si="103"/>
        <v>2.0267243145138794E-2</v>
      </c>
      <c r="AG287">
        <f t="shared" si="104"/>
        <v>0.93792687958482801</v>
      </c>
      <c r="AH287">
        <f t="shared" si="105"/>
        <v>0.23519984175590941</v>
      </c>
      <c r="AI287">
        <f t="shared" si="106"/>
        <v>-0.23005099516766081</v>
      </c>
      <c r="AK287" s="26">
        <f t="shared" si="107"/>
        <v>7.9847272667697061E-2</v>
      </c>
      <c r="AL287" s="26">
        <f t="shared" si="108"/>
        <v>7.8538698376958177E-2</v>
      </c>
      <c r="AM287" s="26">
        <f t="shared" si="109"/>
        <v>5.9795739822292027E-2</v>
      </c>
      <c r="AN287" s="26">
        <f t="shared" si="110"/>
        <v>9.7104761904761716</v>
      </c>
      <c r="AO287" s="26">
        <f t="shared" si="111"/>
        <v>11.180193631669553</v>
      </c>
      <c r="AP287" s="26">
        <f t="shared" si="112"/>
        <v>13.187870854231733</v>
      </c>
      <c r="AS287" s="2">
        <v>45193</v>
      </c>
      <c r="AT287">
        <v>18.8</v>
      </c>
      <c r="AU287">
        <v>16.7</v>
      </c>
      <c r="AV287">
        <v>54.8</v>
      </c>
      <c r="AW287">
        <v>3.8</v>
      </c>
      <c r="AX287">
        <v>232.39</v>
      </c>
      <c r="AY287">
        <v>0.5</v>
      </c>
      <c r="AZ287">
        <v>3</v>
      </c>
      <c r="BA287">
        <v>131.8623</v>
      </c>
      <c r="BB287">
        <v>31.919499999999999</v>
      </c>
      <c r="BC287">
        <v>13.209199999999999</v>
      </c>
      <c r="BD287">
        <v>3.48</v>
      </c>
      <c r="BE287">
        <v>17.232500000000002</v>
      </c>
      <c r="BH287">
        <v>94.81</v>
      </c>
    </row>
    <row r="288" spans="1:60" x14ac:dyDescent="0.25">
      <c r="A288" s="2">
        <v>45213</v>
      </c>
      <c r="B288">
        <v>11.7</v>
      </c>
      <c r="C288">
        <v>153.19999999999999</v>
      </c>
      <c r="D288">
        <v>50.3</v>
      </c>
      <c r="E288">
        <v>15</v>
      </c>
      <c r="F288">
        <v>117.73</v>
      </c>
      <c r="G288">
        <v>0.4</v>
      </c>
      <c r="H288">
        <v>3.5</v>
      </c>
      <c r="I288">
        <v>101.4884</v>
      </c>
      <c r="J288">
        <v>46.421300000000002</v>
      </c>
      <c r="K288">
        <v>18.3812</v>
      </c>
      <c r="L288">
        <v>3.335</v>
      </c>
      <c r="M288">
        <v>31.9878</v>
      </c>
      <c r="P288">
        <v>97.88</v>
      </c>
      <c r="S288">
        <f t="shared" si="91"/>
        <v>553.44370000000004</v>
      </c>
      <c r="T288">
        <f t="shared" si="92"/>
        <v>1.0968340401038145E-2</v>
      </c>
      <c r="U288">
        <f t="shared" si="93"/>
        <v>0.14361963670419178</v>
      </c>
      <c r="V288">
        <f t="shared" si="94"/>
        <v>4.7154489074548611E-2</v>
      </c>
      <c r="W288">
        <f t="shared" si="95"/>
        <v>1.4061974873125828E-2</v>
      </c>
      <c r="X288">
        <f t="shared" si="96"/>
        <v>0.11036775345420692</v>
      </c>
      <c r="Y288">
        <f t="shared" si="97"/>
        <v>3.7498599661668879E-4</v>
      </c>
      <c r="Z288">
        <f t="shared" si="98"/>
        <v>3.2811274703960268E-3</v>
      </c>
      <c r="AA288">
        <f t="shared" si="99"/>
        <v>9.5141822047582883E-2</v>
      </c>
      <c r="AB288">
        <f t="shared" si="100"/>
        <v>4.3518343611855741E-2</v>
      </c>
      <c r="AC288">
        <f t="shared" si="101"/>
        <v>1.7231731502526697E-2</v>
      </c>
      <c r="AD288">
        <f t="shared" si="102"/>
        <v>3.1264457467916427E-3</v>
      </c>
      <c r="AE288">
        <f t="shared" si="103"/>
        <v>2.9987442656438292E-2</v>
      </c>
      <c r="AG288">
        <f t="shared" si="104"/>
        <v>0.93134636980414776</v>
      </c>
      <c r="AH288">
        <f t="shared" si="105"/>
        <v>0.35981575063056226</v>
      </c>
      <c r="AI288">
        <f t="shared" si="106"/>
        <v>0.54281568418670967</v>
      </c>
      <c r="AK288" s="26">
        <f t="shared" si="107"/>
        <v>8.0725739862437668E-2</v>
      </c>
      <c r="AL288" s="26">
        <f t="shared" si="108"/>
        <v>7.8953975420860079E-2</v>
      </c>
      <c r="AM288" s="26">
        <f t="shared" si="109"/>
        <v>5.9813142600297575E-2</v>
      </c>
      <c r="AN288" s="26">
        <f t="shared" si="110"/>
        <v>9.7141269841269775</v>
      </c>
      <c r="AO288" s="26">
        <f t="shared" si="111"/>
        <v>11.263388554216888</v>
      </c>
      <c r="AP288" s="26">
        <f t="shared" si="112"/>
        <v>13.238149733462862</v>
      </c>
      <c r="AS288" s="2">
        <v>45192</v>
      </c>
      <c r="AT288">
        <v>20.7</v>
      </c>
      <c r="AU288">
        <v>15.5</v>
      </c>
      <c r="AV288">
        <v>23.3</v>
      </c>
      <c r="AW288">
        <v>8.8000000000000007</v>
      </c>
      <c r="AX288">
        <v>163.93</v>
      </c>
      <c r="AY288">
        <v>0.5</v>
      </c>
      <c r="AZ288">
        <v>3.1</v>
      </c>
      <c r="BA288">
        <v>179.43960000000001</v>
      </c>
      <c r="BB288">
        <v>27.589600000000001</v>
      </c>
      <c r="BC288">
        <v>22.5746</v>
      </c>
      <c r="BD288">
        <v>3.3487</v>
      </c>
      <c r="BE288">
        <v>16.608799999999999</v>
      </c>
      <c r="BH288">
        <v>94.61</v>
      </c>
    </row>
    <row r="289" spans="1:60" x14ac:dyDescent="0.25">
      <c r="A289" s="2">
        <v>45212</v>
      </c>
      <c r="B289">
        <v>13</v>
      </c>
      <c r="C289">
        <v>0</v>
      </c>
      <c r="D289">
        <v>45.8</v>
      </c>
      <c r="E289">
        <v>18.3</v>
      </c>
      <c r="F289">
        <v>137.56</v>
      </c>
      <c r="G289">
        <v>0.4</v>
      </c>
      <c r="H289">
        <v>3.5</v>
      </c>
      <c r="I289">
        <v>181.57429999999999</v>
      </c>
      <c r="J289">
        <v>52.2727</v>
      </c>
      <c r="K289">
        <v>56.061500000000002</v>
      </c>
      <c r="L289">
        <v>3.48</v>
      </c>
      <c r="M289">
        <v>22.026299999999999</v>
      </c>
      <c r="N289">
        <v>-17.792400000000001</v>
      </c>
      <c r="O289">
        <v>-3.8083999999999998</v>
      </c>
      <c r="P289">
        <v>97.66</v>
      </c>
      <c r="S289">
        <f t="shared" si="91"/>
        <v>533.97480000000007</v>
      </c>
      <c r="T289">
        <f t="shared" si="92"/>
        <v>1.2187044890042385E-2</v>
      </c>
      <c r="U289">
        <f t="shared" si="93"/>
        <v>0</v>
      </c>
      <c r="V289">
        <f t="shared" si="94"/>
        <v>4.2935896612610859E-2</v>
      </c>
      <c r="W289">
        <f t="shared" si="95"/>
        <v>1.7155609345213513E-2</v>
      </c>
      <c r="X289">
        <f t="shared" si="96"/>
        <v>0.12895768423647927</v>
      </c>
      <c r="Y289">
        <f t="shared" si="97"/>
        <v>3.7498599661668879E-4</v>
      </c>
      <c r="Z289">
        <f t="shared" si="98"/>
        <v>3.2811274703960268E-3</v>
      </c>
      <c r="AA289">
        <f t="shared" si="99"/>
        <v>0.17021954961369407</v>
      </c>
      <c r="AB289">
        <f t="shared" si="100"/>
        <v>4.9003826263362971E-2</v>
      </c>
      <c r="AC289">
        <f t="shared" si="101"/>
        <v>5.2555693623316246E-2</v>
      </c>
      <c r="AD289">
        <f t="shared" si="102"/>
        <v>3.2623781705651924E-3</v>
      </c>
      <c r="AE289">
        <f t="shared" si="103"/>
        <v>2.064888514319543E-2</v>
      </c>
      <c r="AG289">
        <f t="shared" si="104"/>
        <v>0.92191648149381789</v>
      </c>
      <c r="AH289">
        <f t="shared" si="105"/>
        <v>0.22554123369455417</v>
      </c>
      <c r="AI289">
        <f t="shared" si="106"/>
        <v>-0.28119182420834393</v>
      </c>
      <c r="AK289" s="26">
        <f t="shared" si="107"/>
        <v>6.982118576985577E-2</v>
      </c>
      <c r="AL289" s="26">
        <f t="shared" si="108"/>
        <v>7.8149491230044249E-2</v>
      </c>
      <c r="AM289" s="26">
        <f t="shared" si="109"/>
        <v>5.7622271888446819E-2</v>
      </c>
      <c r="AN289" s="26">
        <f t="shared" si="110"/>
        <v>9.7247619047618912</v>
      </c>
      <c r="AO289" s="26">
        <f t="shared" si="111"/>
        <v>11.349804216867497</v>
      </c>
      <c r="AP289" s="26">
        <f t="shared" si="112"/>
        <v>13.288824873296377</v>
      </c>
      <c r="AS289" s="2">
        <v>45191</v>
      </c>
      <c r="AT289">
        <v>16.3</v>
      </c>
      <c r="AU289">
        <v>38</v>
      </c>
      <c r="AV289">
        <v>32.9</v>
      </c>
      <c r="AW289">
        <v>8.6</v>
      </c>
      <c r="AX289">
        <v>104.4</v>
      </c>
      <c r="AY289">
        <v>0.5</v>
      </c>
      <c r="AZ289">
        <v>2.9</v>
      </c>
      <c r="BA289">
        <v>255.72540000000001</v>
      </c>
      <c r="BB289">
        <v>74.671999999999997</v>
      </c>
      <c r="BC289">
        <v>65.762500000000003</v>
      </c>
      <c r="BD289">
        <v>3.48</v>
      </c>
      <c r="BE289">
        <v>28.6511</v>
      </c>
      <c r="BF289">
        <v>-14.6126</v>
      </c>
      <c r="BG289">
        <v>-22.1142</v>
      </c>
      <c r="BH289">
        <v>94.45</v>
      </c>
    </row>
    <row r="290" spans="1:60" x14ac:dyDescent="0.25">
      <c r="A290" s="2">
        <v>45211</v>
      </c>
      <c r="B290">
        <v>13</v>
      </c>
      <c r="C290">
        <v>9.1999999999999993</v>
      </c>
      <c r="D290">
        <v>43.2</v>
      </c>
      <c r="E290">
        <v>9.1</v>
      </c>
      <c r="F290">
        <v>84.91</v>
      </c>
      <c r="G290">
        <v>0.4</v>
      </c>
      <c r="H290">
        <v>3.3</v>
      </c>
      <c r="I290">
        <v>258.41370000000001</v>
      </c>
      <c r="J290">
        <v>151.43119999999999</v>
      </c>
      <c r="K290">
        <v>96.828900000000004</v>
      </c>
      <c r="L290">
        <v>3.4977999999999998</v>
      </c>
      <c r="M290">
        <v>36.200899999999997</v>
      </c>
      <c r="N290">
        <v>-17.199400000000001</v>
      </c>
      <c r="O290">
        <v>-2.1818</v>
      </c>
      <c r="P290">
        <v>97.45</v>
      </c>
      <c r="S290">
        <f t="shared" si="91"/>
        <v>709.48249999999996</v>
      </c>
      <c r="T290">
        <f t="shared" si="92"/>
        <v>1.2187044890042385E-2</v>
      </c>
      <c r="U290">
        <f t="shared" si="93"/>
        <v>8.6246779221838404E-3</v>
      </c>
      <c r="V290">
        <f t="shared" si="94"/>
        <v>4.0498487634602391E-2</v>
      </c>
      <c r="W290">
        <f t="shared" si="95"/>
        <v>8.5309314230296689E-3</v>
      </c>
      <c r="X290">
        <f t="shared" si="96"/>
        <v>7.9600152431807611E-2</v>
      </c>
      <c r="Y290">
        <f t="shared" si="97"/>
        <v>3.7498599661668879E-4</v>
      </c>
      <c r="Z290">
        <f t="shared" si="98"/>
        <v>3.0936344720876819E-3</v>
      </c>
      <c r="AA290">
        <f t="shared" si="99"/>
        <v>0.24225379708476508</v>
      </c>
      <c r="AB290">
        <f t="shared" si="100"/>
        <v>0.14196144862715279</v>
      </c>
      <c r="AC290">
        <f t="shared" si="101"/>
        <v>9.0773703919494242E-2</v>
      </c>
      <c r="AD290">
        <f t="shared" si="102"/>
        <v>3.2790650474146346E-3</v>
      </c>
      <c r="AE290">
        <f t="shared" si="103"/>
        <v>3.3937076412302716E-2</v>
      </c>
      <c r="AG290">
        <f t="shared" si="104"/>
        <v>0.91293617056533205</v>
      </c>
      <c r="AH290">
        <f t="shared" si="105"/>
        <v>0.18684699118267301</v>
      </c>
      <c r="AI290">
        <f t="shared" si="106"/>
        <v>-0.5187606062240061</v>
      </c>
      <c r="AK290" s="26">
        <f t="shared" si="107"/>
        <v>6.6646387662055911E-2</v>
      </c>
      <c r="AL290" s="26">
        <f t="shared" si="108"/>
        <v>8.0451501986038287E-2</v>
      </c>
      <c r="AM290" s="26">
        <f t="shared" si="109"/>
        <v>5.5887363041302929E-2</v>
      </c>
      <c r="AN290" s="26">
        <f t="shared" si="110"/>
        <v>9.7498412698412551</v>
      </c>
      <c r="AO290" s="26">
        <f t="shared" si="111"/>
        <v>11.440998278829653</v>
      </c>
      <c r="AP290" s="26">
        <f t="shared" si="112"/>
        <v>13.342201360258372</v>
      </c>
      <c r="AS290" s="2">
        <v>45190</v>
      </c>
      <c r="AT290">
        <v>16.2</v>
      </c>
      <c r="AU290">
        <v>319.2</v>
      </c>
      <c r="AV290">
        <v>25</v>
      </c>
      <c r="AW290">
        <v>12.2</v>
      </c>
      <c r="AX290">
        <v>195.01</v>
      </c>
      <c r="AY290">
        <v>0.4</v>
      </c>
      <c r="AZ290">
        <v>3</v>
      </c>
      <c r="BA290">
        <v>202.20769999999999</v>
      </c>
      <c r="BB290">
        <v>82.241900000000001</v>
      </c>
      <c r="BC290">
        <v>50.426600000000001</v>
      </c>
      <c r="BD290">
        <v>4.2625999999999999</v>
      </c>
      <c r="BE290">
        <v>33.700299999999999</v>
      </c>
      <c r="BF290">
        <v>-16.8081</v>
      </c>
      <c r="BG290">
        <v>-24.875900000000001</v>
      </c>
      <c r="BH290">
        <v>94.33</v>
      </c>
    </row>
    <row r="291" spans="1:60" x14ac:dyDescent="0.25">
      <c r="A291" s="2">
        <v>45210</v>
      </c>
      <c r="B291">
        <v>13.9</v>
      </c>
      <c r="C291">
        <v>0</v>
      </c>
      <c r="D291">
        <v>56.5</v>
      </c>
      <c r="E291">
        <v>20.5</v>
      </c>
      <c r="F291">
        <v>181.71</v>
      </c>
      <c r="G291">
        <v>0.4</v>
      </c>
      <c r="H291">
        <v>3.3</v>
      </c>
      <c r="I291">
        <v>154.48859999999999</v>
      </c>
      <c r="J291">
        <v>77.844099999999997</v>
      </c>
      <c r="K291">
        <v>35.4041</v>
      </c>
      <c r="L291">
        <v>3.48</v>
      </c>
      <c r="M291">
        <v>27.165900000000001</v>
      </c>
      <c r="N291">
        <v>-13.8941</v>
      </c>
      <c r="O291">
        <v>-10.4215</v>
      </c>
      <c r="P291">
        <v>97.32</v>
      </c>
      <c r="S291">
        <f t="shared" si="91"/>
        <v>574.69269999999995</v>
      </c>
      <c r="T291">
        <f t="shared" si="92"/>
        <v>1.3030763382429936E-2</v>
      </c>
      <c r="U291">
        <f t="shared" si="93"/>
        <v>0</v>
      </c>
      <c r="V291">
        <f t="shared" si="94"/>
        <v>5.296677202210729E-2</v>
      </c>
      <c r="W291">
        <f t="shared" si="95"/>
        <v>1.9218032326605298E-2</v>
      </c>
      <c r="X291">
        <f t="shared" si="96"/>
        <v>0.17034676361304629</v>
      </c>
      <c r="Y291">
        <f t="shared" si="97"/>
        <v>3.7498599661668879E-4</v>
      </c>
      <c r="Z291">
        <f t="shared" si="98"/>
        <v>3.0936344720876819E-3</v>
      </c>
      <c r="AA291">
        <f t="shared" si="99"/>
        <v>0.14482765409229245</v>
      </c>
      <c r="AB291">
        <f t="shared" si="100"/>
        <v>7.2976118548072955E-2</v>
      </c>
      <c r="AC291">
        <f t="shared" si="101"/>
        <v>3.3190104307042279E-2</v>
      </c>
      <c r="AD291">
        <f t="shared" si="102"/>
        <v>3.2623781705651924E-3</v>
      </c>
      <c r="AE291">
        <f t="shared" si="103"/>
        <v>2.5467080213723264E-2</v>
      </c>
      <c r="AG291">
        <f t="shared" si="104"/>
        <v>0.90774332686680159</v>
      </c>
      <c r="AH291">
        <f t="shared" si="105"/>
        <v>0.28449803202661639</v>
      </c>
      <c r="AI291">
        <f t="shared" si="106"/>
        <v>8.2616904435231689E-2</v>
      </c>
      <c r="AK291" s="26">
        <f t="shared" si="107"/>
        <v>8.4502537810734524E-2</v>
      </c>
      <c r="AL291" s="26">
        <f t="shared" si="108"/>
        <v>8.0853548308986334E-2</v>
      </c>
      <c r="AM291" s="26">
        <f t="shared" si="109"/>
        <v>5.7326636130486608E-2</v>
      </c>
      <c r="AN291" s="26">
        <f t="shared" si="110"/>
        <v>9.784285714285673</v>
      </c>
      <c r="AO291" s="26">
        <f t="shared" si="111"/>
        <v>11.53450086058524</v>
      </c>
      <c r="AP291" s="26">
        <f t="shared" si="112"/>
        <v>13.397711194558966</v>
      </c>
      <c r="AS291" s="2">
        <v>45189</v>
      </c>
      <c r="AT291">
        <v>16.8</v>
      </c>
      <c r="AU291">
        <v>3.4</v>
      </c>
      <c r="AV291">
        <v>40.1</v>
      </c>
      <c r="AW291">
        <v>12.4</v>
      </c>
      <c r="AX291">
        <v>234.19</v>
      </c>
      <c r="AY291">
        <v>0.4</v>
      </c>
      <c r="AZ291">
        <v>3.2</v>
      </c>
      <c r="BA291">
        <v>150.54810000000001</v>
      </c>
      <c r="BB291">
        <v>67.112899999999996</v>
      </c>
      <c r="BC291">
        <v>43.421500000000002</v>
      </c>
      <c r="BD291">
        <v>3.48</v>
      </c>
      <c r="BE291">
        <v>24.300999999999998</v>
      </c>
      <c r="BF291">
        <v>-16.345099999999999</v>
      </c>
      <c r="BG291">
        <v>-27.700399999999998</v>
      </c>
      <c r="BH291">
        <v>94.24</v>
      </c>
    </row>
    <row r="292" spans="1:60" x14ac:dyDescent="0.25">
      <c r="A292" s="2">
        <v>45209</v>
      </c>
      <c r="B292">
        <v>14.1</v>
      </c>
      <c r="C292">
        <v>18.399999999999999</v>
      </c>
      <c r="D292">
        <v>38.9</v>
      </c>
      <c r="E292">
        <v>6</v>
      </c>
      <c r="F292">
        <v>155.91999999999999</v>
      </c>
      <c r="G292">
        <v>0.5</v>
      </c>
      <c r="H292">
        <v>3.1</v>
      </c>
      <c r="I292">
        <v>279.44659999999999</v>
      </c>
      <c r="J292">
        <v>125.2231</v>
      </c>
      <c r="K292">
        <v>112.9974</v>
      </c>
      <c r="L292">
        <v>3.48</v>
      </c>
      <c r="M292">
        <v>26.298200000000001</v>
      </c>
      <c r="N292">
        <v>-15.4003</v>
      </c>
      <c r="O292">
        <v>-6.0038999999999998</v>
      </c>
      <c r="P292">
        <v>97.16</v>
      </c>
      <c r="S292">
        <f t="shared" si="91"/>
        <v>784.36529999999993</v>
      </c>
      <c r="T292">
        <f t="shared" si="92"/>
        <v>1.3218256380738279E-2</v>
      </c>
      <c r="U292">
        <f t="shared" si="93"/>
        <v>1.7249355844367681E-2</v>
      </c>
      <c r="V292">
        <f t="shared" si="94"/>
        <v>3.6467388170972982E-2</v>
      </c>
      <c r="W292">
        <f t="shared" si="95"/>
        <v>5.6247899492503318E-3</v>
      </c>
      <c r="X292">
        <f t="shared" si="96"/>
        <v>0.14616954148118527</v>
      </c>
      <c r="Y292">
        <f t="shared" si="97"/>
        <v>4.6873249577086097E-4</v>
      </c>
      <c r="Z292">
        <f t="shared" si="98"/>
        <v>2.9061414737793379E-3</v>
      </c>
      <c r="AA292">
        <f t="shared" si="99"/>
        <v>0.26197140450536294</v>
      </c>
      <c r="AB292">
        <f t="shared" si="100"/>
        <v>0.1173922723823282</v>
      </c>
      <c r="AC292">
        <f t="shared" si="101"/>
        <v>0.10593110663523657</v>
      </c>
      <c r="AD292">
        <f t="shared" si="102"/>
        <v>3.2623781705651924E-3</v>
      </c>
      <c r="AE292">
        <f t="shared" si="103"/>
        <v>2.4653641840562512E-2</v>
      </c>
      <c r="AG292">
        <f t="shared" si="104"/>
        <v>0.90111407282345035</v>
      </c>
      <c r="AH292">
        <f t="shared" si="105"/>
        <v>0.24675784763662728</v>
      </c>
      <c r="AI292">
        <f t="shared" si="106"/>
        <v>-0.14895332772641631</v>
      </c>
      <c r="AK292" s="26">
        <f t="shared" si="107"/>
        <v>8.5018206053748574E-2</v>
      </c>
      <c r="AL292" s="26">
        <f t="shared" si="108"/>
        <v>8.0701956710411082E-2</v>
      </c>
      <c r="AM292" s="26">
        <f t="shared" si="109"/>
        <v>5.5287930959221965E-2</v>
      </c>
      <c r="AN292" s="26">
        <f t="shared" si="110"/>
        <v>9.827301587301605</v>
      </c>
      <c r="AO292" s="26">
        <f t="shared" si="111"/>
        <v>11.629124354561142</v>
      </c>
      <c r="AP292" s="26">
        <f t="shared" si="112"/>
        <v>13.455860402825579</v>
      </c>
      <c r="AS292" s="2">
        <v>45188</v>
      </c>
      <c r="AT292">
        <v>17.100000000000001</v>
      </c>
      <c r="AU292">
        <v>23.3</v>
      </c>
      <c r="AV292">
        <v>34.9</v>
      </c>
      <c r="AW292">
        <v>15.7</v>
      </c>
      <c r="AX292">
        <v>196.26</v>
      </c>
      <c r="AY292">
        <v>0.4</v>
      </c>
      <c r="AZ292">
        <v>3.1</v>
      </c>
      <c r="BA292">
        <v>150.66990000000001</v>
      </c>
      <c r="BB292">
        <v>48.570300000000003</v>
      </c>
      <c r="BC292">
        <v>33.402099999999997</v>
      </c>
      <c r="BD292">
        <v>4.2192999999999996</v>
      </c>
      <c r="BE292">
        <v>26.177299999999999</v>
      </c>
      <c r="BF292">
        <v>-17.1737</v>
      </c>
      <c r="BG292">
        <v>-29.049700000000001</v>
      </c>
      <c r="BH292">
        <v>94.18</v>
      </c>
    </row>
    <row r="293" spans="1:60" x14ac:dyDescent="0.25">
      <c r="A293" s="2">
        <v>45208</v>
      </c>
      <c r="B293">
        <v>13.3</v>
      </c>
      <c r="C293">
        <v>81.599999999999994</v>
      </c>
      <c r="D293">
        <v>37.299999999999997</v>
      </c>
      <c r="E293">
        <v>6</v>
      </c>
      <c r="F293">
        <v>71.349999999999994</v>
      </c>
      <c r="G293">
        <v>0.5</v>
      </c>
      <c r="H293">
        <v>2.9</v>
      </c>
      <c r="I293">
        <v>247.69919999999999</v>
      </c>
      <c r="J293">
        <v>106.2527</v>
      </c>
      <c r="K293">
        <v>125.3276</v>
      </c>
      <c r="L293">
        <v>3.48</v>
      </c>
      <c r="M293">
        <v>35.896299999999997</v>
      </c>
      <c r="N293">
        <v>-14.473699999999999</v>
      </c>
      <c r="O293">
        <v>-12.6046</v>
      </c>
      <c r="P293">
        <v>97.09</v>
      </c>
      <c r="S293">
        <f t="shared" si="91"/>
        <v>731.60579999999993</v>
      </c>
      <c r="T293">
        <f t="shared" si="92"/>
        <v>1.2468284387504903E-2</v>
      </c>
      <c r="U293">
        <f t="shared" si="93"/>
        <v>7.6497143309804505E-2</v>
      </c>
      <c r="V293">
        <f t="shared" si="94"/>
        <v>3.4967444184506223E-2</v>
      </c>
      <c r="W293">
        <f t="shared" si="95"/>
        <v>5.6247899492503318E-3</v>
      </c>
      <c r="X293">
        <f t="shared" si="96"/>
        <v>6.6888127146501858E-2</v>
      </c>
      <c r="Y293">
        <f t="shared" si="97"/>
        <v>4.6873249577086097E-4</v>
      </c>
      <c r="Z293">
        <f t="shared" si="98"/>
        <v>2.7186484754709935E-3</v>
      </c>
      <c r="AA293">
        <f t="shared" si="99"/>
        <v>0.23220932843289127</v>
      </c>
      <c r="AB293">
        <f t="shared" si="100"/>
        <v>9.9608186506785115E-2</v>
      </c>
      <c r="AC293">
        <f t="shared" si="101"/>
        <v>0.11749023747394431</v>
      </c>
      <c r="AD293">
        <f t="shared" si="102"/>
        <v>3.2623781705651924E-3</v>
      </c>
      <c r="AE293">
        <f t="shared" si="103"/>
        <v>3.365152457587911E-2</v>
      </c>
      <c r="AG293">
        <f t="shared" si="104"/>
        <v>0.89876607664728336</v>
      </c>
      <c r="AH293">
        <f t="shared" si="105"/>
        <v>0.23328469452468878</v>
      </c>
      <c r="AI293">
        <f t="shared" si="106"/>
        <v>-0.23232649420000684</v>
      </c>
      <c r="AK293" s="26">
        <f t="shared" si="107"/>
        <v>8.8080055998503992E-2</v>
      </c>
      <c r="AL293" s="26">
        <f t="shared" si="108"/>
        <v>7.9296014444311946E-2</v>
      </c>
      <c r="AM293" s="26">
        <f t="shared" si="109"/>
        <v>5.4119357504802901E-2</v>
      </c>
      <c r="AN293" s="26">
        <f t="shared" si="110"/>
        <v>9.8696825396825432</v>
      </c>
      <c r="AO293" s="26">
        <f t="shared" si="111"/>
        <v>11.721660929432062</v>
      </c>
      <c r="AP293" s="26">
        <f t="shared" si="112"/>
        <v>13.513274073685025</v>
      </c>
      <c r="AS293" s="2">
        <v>45187</v>
      </c>
      <c r="AT293">
        <v>15.4</v>
      </c>
      <c r="AU293">
        <v>18</v>
      </c>
      <c r="AV293">
        <v>46.8</v>
      </c>
      <c r="AW293">
        <v>13.6</v>
      </c>
      <c r="AX293">
        <v>130.26</v>
      </c>
      <c r="AY293">
        <v>0.4</v>
      </c>
      <c r="AZ293">
        <v>3.1</v>
      </c>
      <c r="BA293">
        <v>172.7996</v>
      </c>
      <c r="BB293">
        <v>55.790799999999997</v>
      </c>
      <c r="BC293">
        <v>45.996299999999998</v>
      </c>
      <c r="BD293">
        <v>7.7558999999999996</v>
      </c>
      <c r="BE293">
        <v>26.5061</v>
      </c>
      <c r="BF293">
        <v>-12.0838</v>
      </c>
      <c r="BG293">
        <v>-27.8566</v>
      </c>
      <c r="BH293">
        <v>94.09</v>
      </c>
    </row>
    <row r="294" spans="1:60" x14ac:dyDescent="0.25">
      <c r="A294" s="2">
        <v>45207</v>
      </c>
      <c r="B294">
        <v>11.4</v>
      </c>
      <c r="C294">
        <v>240.3</v>
      </c>
      <c r="D294">
        <v>20.6</v>
      </c>
      <c r="E294">
        <v>3.3</v>
      </c>
      <c r="F294">
        <v>121.59</v>
      </c>
      <c r="G294">
        <v>0.5</v>
      </c>
      <c r="H294">
        <v>3.1</v>
      </c>
      <c r="I294">
        <v>165.64920000000001</v>
      </c>
      <c r="J294">
        <v>33.741999999999997</v>
      </c>
      <c r="K294">
        <v>64.314099999999996</v>
      </c>
      <c r="L294">
        <v>3.48</v>
      </c>
      <c r="M294">
        <v>24.869</v>
      </c>
      <c r="P294">
        <v>97</v>
      </c>
      <c r="S294">
        <f t="shared" si="91"/>
        <v>692.84430000000009</v>
      </c>
      <c r="T294">
        <f t="shared" si="92"/>
        <v>1.0687100903575631E-2</v>
      </c>
      <c r="U294">
        <f t="shared" si="93"/>
        <v>0.22527283746747578</v>
      </c>
      <c r="V294">
        <f t="shared" si="94"/>
        <v>1.9311778825759473E-2</v>
      </c>
      <c r="W294">
        <f t="shared" si="95"/>
        <v>3.0936344720876819E-3</v>
      </c>
      <c r="X294">
        <f t="shared" si="96"/>
        <v>0.11398636832155797</v>
      </c>
      <c r="Y294">
        <f t="shared" si="97"/>
        <v>4.6873249577086097E-4</v>
      </c>
      <c r="Z294">
        <f t="shared" si="98"/>
        <v>2.9061414737793379E-3</v>
      </c>
      <c r="AA294">
        <f t="shared" si="99"/>
        <v>0.15529032587689301</v>
      </c>
      <c r="AB294">
        <f t="shared" si="100"/>
        <v>3.163194374460078E-2</v>
      </c>
      <c r="AC294">
        <f t="shared" si="101"/>
        <v>6.0292217212513453E-2</v>
      </c>
      <c r="AD294">
        <f t="shared" si="102"/>
        <v>3.2623781705651924E-3</v>
      </c>
      <c r="AE294">
        <f t="shared" si="103"/>
        <v>2.3313816874651082E-2</v>
      </c>
      <c r="AG294">
        <f t="shared" si="104"/>
        <v>0.89547987758447301</v>
      </c>
      <c r="AH294">
        <f t="shared" si="105"/>
        <v>0.39904041083465774</v>
      </c>
      <c r="AI294">
        <f t="shared" si="106"/>
        <v>0.78908211449000998</v>
      </c>
      <c r="AK294" s="26">
        <f t="shared" si="107"/>
        <v>8.7708773732623702E-2</v>
      </c>
      <c r="AL294" s="26">
        <f t="shared" si="108"/>
        <v>7.4389313461252382E-2</v>
      </c>
      <c r="AM294" s="26">
        <f t="shared" si="109"/>
        <v>5.1908595521868772E-2</v>
      </c>
      <c r="AN294" s="26">
        <f t="shared" si="110"/>
        <v>9.9146031746031582</v>
      </c>
      <c r="AO294" s="26">
        <f t="shared" si="111"/>
        <v>11.816501721170454</v>
      </c>
      <c r="AP294" s="26">
        <f t="shared" si="112"/>
        <v>13.570312491793814</v>
      </c>
      <c r="AS294" s="2">
        <v>45186</v>
      </c>
      <c r="AT294">
        <v>15.6</v>
      </c>
      <c r="AU294">
        <v>45.2</v>
      </c>
      <c r="AV294">
        <v>20.399999999999999</v>
      </c>
      <c r="AW294">
        <v>3.8</v>
      </c>
      <c r="AX294">
        <v>234.18</v>
      </c>
      <c r="AY294">
        <v>0.4</v>
      </c>
      <c r="AZ294">
        <v>3.1</v>
      </c>
      <c r="BA294">
        <v>160.90100000000001</v>
      </c>
      <c r="BB294">
        <v>35.796900000000001</v>
      </c>
      <c r="BC294">
        <v>32.956099999999999</v>
      </c>
      <c r="BD294">
        <v>3.9906000000000001</v>
      </c>
      <c r="BE294">
        <v>17.598199999999999</v>
      </c>
      <c r="BH294">
        <v>94</v>
      </c>
    </row>
    <row r="295" spans="1:60" x14ac:dyDescent="0.25">
      <c r="A295" s="2">
        <v>45206</v>
      </c>
      <c r="B295">
        <v>11.9</v>
      </c>
      <c r="C295">
        <v>0.9</v>
      </c>
      <c r="D295">
        <v>30</v>
      </c>
      <c r="E295">
        <v>16.3</v>
      </c>
      <c r="F295">
        <v>117.01</v>
      </c>
      <c r="G295">
        <v>0.5</v>
      </c>
      <c r="H295">
        <v>3.2</v>
      </c>
      <c r="I295">
        <v>113.0047</v>
      </c>
      <c r="J295">
        <v>35.318300000000001</v>
      </c>
      <c r="K295">
        <v>29.2226</v>
      </c>
      <c r="L295">
        <v>3.48</v>
      </c>
      <c r="M295">
        <v>19.023599999999998</v>
      </c>
      <c r="P295">
        <v>96.86</v>
      </c>
      <c r="S295">
        <f t="shared" si="91"/>
        <v>379.85920000000004</v>
      </c>
      <c r="T295">
        <f t="shared" si="92"/>
        <v>1.115583339934649E-2</v>
      </c>
      <c r="U295">
        <f t="shared" si="93"/>
        <v>8.4371849238754971E-4</v>
      </c>
      <c r="V295">
        <f t="shared" si="94"/>
        <v>2.8123949746251656E-2</v>
      </c>
      <c r="W295">
        <f t="shared" si="95"/>
        <v>1.5280679362130067E-2</v>
      </c>
      <c r="X295">
        <f t="shared" si="96"/>
        <v>0.10969277866029689</v>
      </c>
      <c r="Y295">
        <f t="shared" si="97"/>
        <v>4.6873249577086097E-4</v>
      </c>
      <c r="Z295">
        <f t="shared" si="98"/>
        <v>2.9998879729335104E-3</v>
      </c>
      <c r="AA295">
        <f t="shared" si="99"/>
        <v>0.10593795012967482</v>
      </c>
      <c r="AB295">
        <f t="shared" si="100"/>
        <v>3.3109669810767996E-2</v>
      </c>
      <c r="AC295">
        <f t="shared" si="101"/>
        <v>2.7395164461827121E-2</v>
      </c>
      <c r="AD295">
        <f t="shared" si="102"/>
        <v>3.2623781705651924E-3</v>
      </c>
      <c r="AE295">
        <f t="shared" si="103"/>
        <v>1.7833959013093099E-2</v>
      </c>
      <c r="AG295">
        <f t="shared" si="104"/>
        <v>0.88983222622339297</v>
      </c>
      <c r="AH295">
        <f t="shared" si="105"/>
        <v>0.18639953914221014</v>
      </c>
      <c r="AI295">
        <f t="shared" si="106"/>
        <v>-0.51751377755721717</v>
      </c>
      <c r="AK295" s="26">
        <f t="shared" si="107"/>
        <v>8.3304932236198725E-2</v>
      </c>
      <c r="AL295" s="26">
        <f t="shared" si="108"/>
        <v>7.3745991765363783E-2</v>
      </c>
      <c r="AM295" s="26">
        <f t="shared" si="109"/>
        <v>4.9265953266855844E-2</v>
      </c>
      <c r="AN295" s="26">
        <f t="shared" si="110"/>
        <v>9.9606349206349023</v>
      </c>
      <c r="AO295" s="26">
        <f t="shared" si="111"/>
        <v>11.910905765920859</v>
      </c>
      <c r="AP295" s="26">
        <f t="shared" si="112"/>
        <v>13.625912659856624</v>
      </c>
      <c r="AS295" s="2">
        <v>45185</v>
      </c>
      <c r="AT295">
        <v>16.3</v>
      </c>
      <c r="AU295">
        <v>38.6</v>
      </c>
      <c r="AV295">
        <v>10.5</v>
      </c>
      <c r="AW295">
        <v>4.4000000000000004</v>
      </c>
      <c r="AX295">
        <v>265.68</v>
      </c>
      <c r="AY295">
        <v>0.5</v>
      </c>
      <c r="AZ295">
        <v>3.1</v>
      </c>
      <c r="BA295">
        <v>187.29640000000001</v>
      </c>
      <c r="BB295">
        <v>43.825899999999997</v>
      </c>
      <c r="BC295">
        <v>37.4114</v>
      </c>
      <c r="BD295">
        <v>3.48</v>
      </c>
      <c r="BE295">
        <v>22.561499999999999</v>
      </c>
      <c r="BH295">
        <v>93.86</v>
      </c>
    </row>
    <row r="296" spans="1:60" x14ac:dyDescent="0.25">
      <c r="A296" s="2">
        <v>45205</v>
      </c>
      <c r="B296">
        <v>12.6</v>
      </c>
      <c r="C296">
        <v>22.4</v>
      </c>
      <c r="D296">
        <v>66.900000000000006</v>
      </c>
      <c r="E296">
        <v>20.3</v>
      </c>
      <c r="F296">
        <v>178</v>
      </c>
      <c r="G296">
        <v>0.5</v>
      </c>
      <c r="H296">
        <v>2.9</v>
      </c>
      <c r="I296">
        <v>167.6429</v>
      </c>
      <c r="J296">
        <v>61.505600000000001</v>
      </c>
      <c r="K296">
        <v>79.501999999999995</v>
      </c>
      <c r="L296">
        <v>3.48</v>
      </c>
      <c r="M296">
        <v>29.192399999999999</v>
      </c>
      <c r="N296">
        <v>-13.434900000000001</v>
      </c>
      <c r="O296">
        <v>-20.1831</v>
      </c>
      <c r="P296">
        <v>96.69</v>
      </c>
      <c r="S296">
        <f t="shared" si="91"/>
        <v>644.92289999999991</v>
      </c>
      <c r="T296">
        <f t="shared" si="92"/>
        <v>1.1812058893425697E-2</v>
      </c>
      <c r="U296">
        <f t="shared" si="93"/>
        <v>2.0999215810534568E-2</v>
      </c>
      <c r="V296">
        <f t="shared" si="94"/>
        <v>6.2716407934141197E-2</v>
      </c>
      <c r="W296">
        <f t="shared" si="95"/>
        <v>1.9030539328296955E-2</v>
      </c>
      <c r="X296">
        <f t="shared" si="96"/>
        <v>0.1668687684944265</v>
      </c>
      <c r="Y296">
        <f t="shared" si="97"/>
        <v>4.6873249577086097E-4</v>
      </c>
      <c r="Z296">
        <f t="shared" si="98"/>
        <v>2.7186484754709935E-3</v>
      </c>
      <c r="AA296">
        <f t="shared" si="99"/>
        <v>0.15715934983052973</v>
      </c>
      <c r="AB296">
        <f t="shared" si="100"/>
        <v>5.7659346783768529E-2</v>
      </c>
      <c r="AC296">
        <f t="shared" si="101"/>
        <v>7.4530341757549967E-2</v>
      </c>
      <c r="AD296">
        <f t="shared" si="102"/>
        <v>3.2623781705651924E-3</v>
      </c>
      <c r="AE296">
        <f t="shared" si="103"/>
        <v>2.7366853019082562E-2</v>
      </c>
      <c r="AG296">
        <f t="shared" si="104"/>
        <v>0.88276861169955911</v>
      </c>
      <c r="AH296">
        <f t="shared" si="105"/>
        <v>0.31198122445114929</v>
      </c>
      <c r="AI296">
        <f t="shared" si="106"/>
        <v>0.25667494492233994</v>
      </c>
      <c r="AK296" s="26">
        <f t="shared" si="107"/>
        <v>8.6846624380894577E-2</v>
      </c>
      <c r="AL296" s="26">
        <f t="shared" si="108"/>
        <v>7.4313317038809334E-2</v>
      </c>
      <c r="AM296" s="26">
        <f t="shared" si="109"/>
        <v>4.7952002723670006E-2</v>
      </c>
      <c r="AN296" s="26">
        <f t="shared" si="110"/>
        <v>10.010952380952361</v>
      </c>
      <c r="AO296" s="26">
        <f t="shared" si="111"/>
        <v>12.005116179001746</v>
      </c>
      <c r="AP296" s="26">
        <f t="shared" si="112"/>
        <v>13.681403587090671</v>
      </c>
      <c r="AS296" s="2">
        <v>45184</v>
      </c>
      <c r="AT296">
        <v>18.3</v>
      </c>
      <c r="AU296">
        <v>20.2</v>
      </c>
      <c r="AV296">
        <v>18.2</v>
      </c>
      <c r="AW296">
        <v>3.9</v>
      </c>
      <c r="AX296">
        <v>271.81</v>
      </c>
      <c r="AY296">
        <v>0.4</v>
      </c>
      <c r="AZ296">
        <v>3.3</v>
      </c>
      <c r="BA296">
        <v>266.98770000000002</v>
      </c>
      <c r="BB296">
        <v>57.634900000000002</v>
      </c>
      <c r="BC296">
        <v>75.613699999999994</v>
      </c>
      <c r="BD296">
        <v>3.48</v>
      </c>
      <c r="BE296">
        <v>23.7393</v>
      </c>
      <c r="BF296">
        <v>-15.7685</v>
      </c>
      <c r="BG296">
        <v>-28.666699999999999</v>
      </c>
      <c r="BH296">
        <v>93.77</v>
      </c>
    </row>
    <row r="297" spans="1:60" x14ac:dyDescent="0.25">
      <c r="A297" s="2">
        <v>45204</v>
      </c>
      <c r="B297">
        <v>12.7</v>
      </c>
      <c r="C297">
        <v>27.9</v>
      </c>
      <c r="D297">
        <v>49</v>
      </c>
      <c r="E297">
        <v>14.7</v>
      </c>
      <c r="F297">
        <v>134.62</v>
      </c>
      <c r="G297">
        <v>0.5</v>
      </c>
      <c r="H297">
        <v>2.8</v>
      </c>
      <c r="I297">
        <v>185.07910000000001</v>
      </c>
      <c r="J297">
        <v>84.554299999999998</v>
      </c>
      <c r="K297">
        <v>105.5677</v>
      </c>
      <c r="L297">
        <v>3.48</v>
      </c>
      <c r="M297">
        <v>31.089700000000001</v>
      </c>
      <c r="N297">
        <v>-11.6358</v>
      </c>
      <c r="O297">
        <v>-21.956700000000001</v>
      </c>
      <c r="P297">
        <v>96.53</v>
      </c>
      <c r="S297">
        <f t="shared" si="91"/>
        <v>651.99080000000004</v>
      </c>
      <c r="T297">
        <f t="shared" si="92"/>
        <v>1.1905805392579868E-2</v>
      </c>
      <c r="U297">
        <f t="shared" si="93"/>
        <v>2.615527326401404E-2</v>
      </c>
      <c r="V297">
        <f t="shared" si="94"/>
        <v>4.593578458554437E-2</v>
      </c>
      <c r="W297">
        <f t="shared" si="95"/>
        <v>1.3780735375663312E-2</v>
      </c>
      <c r="X297">
        <f t="shared" si="96"/>
        <v>0.12620153716134661</v>
      </c>
      <c r="Y297">
        <f t="shared" si="97"/>
        <v>4.6873249577086097E-4</v>
      </c>
      <c r="Z297">
        <f t="shared" si="98"/>
        <v>2.624901976316821E-3</v>
      </c>
      <c r="AA297">
        <f t="shared" si="99"/>
        <v>0.17350517691604952</v>
      </c>
      <c r="AB297">
        <f t="shared" si="100"/>
        <v>7.9266696134316209E-2</v>
      </c>
      <c r="AC297">
        <f t="shared" si="101"/>
        <v>9.8966022987579033E-2</v>
      </c>
      <c r="AD297">
        <f t="shared" si="102"/>
        <v>3.2623781705651924E-3</v>
      </c>
      <c r="AE297">
        <f t="shared" si="103"/>
        <v>2.9145505347534673E-2</v>
      </c>
      <c r="AG297">
        <f t="shared" si="104"/>
        <v>0.87617501740353732</v>
      </c>
      <c r="AH297">
        <f t="shared" si="105"/>
        <v>0.25621827559877053</v>
      </c>
      <c r="AI297">
        <f t="shared" si="106"/>
        <v>-8.8435928971844158E-2</v>
      </c>
      <c r="AK297" s="26">
        <f t="shared" si="107"/>
        <v>8.7306114662280582E-2</v>
      </c>
      <c r="AL297" s="26">
        <f t="shared" si="108"/>
        <v>7.4350760758044199E-2</v>
      </c>
      <c r="AM297" s="26">
        <f t="shared" si="109"/>
        <v>4.7226608664262815E-2</v>
      </c>
      <c r="AN297" s="26">
        <f t="shared" si="110"/>
        <v>10.066031746031697</v>
      </c>
      <c r="AO297" s="26">
        <f t="shared" si="111"/>
        <v>12.098405765920859</v>
      </c>
      <c r="AP297" s="26">
        <f t="shared" si="112"/>
        <v>13.736960163861241</v>
      </c>
      <c r="AS297" s="2">
        <v>45183</v>
      </c>
      <c r="AT297">
        <v>19.2</v>
      </c>
      <c r="AU297">
        <v>87.6</v>
      </c>
      <c r="AV297">
        <v>12.8</v>
      </c>
      <c r="AW297">
        <v>1</v>
      </c>
      <c r="AX297">
        <v>225.08</v>
      </c>
      <c r="AY297">
        <v>0.3</v>
      </c>
      <c r="AZ297">
        <v>3</v>
      </c>
      <c r="BA297">
        <v>271.85300000000001</v>
      </c>
      <c r="BB297">
        <v>120.95310000000001</v>
      </c>
      <c r="BC297">
        <v>100.0063</v>
      </c>
      <c r="BD297">
        <v>3.335</v>
      </c>
      <c r="BE297">
        <v>24.6036</v>
      </c>
      <c r="BF297">
        <v>-14.247</v>
      </c>
      <c r="BG297">
        <v>-29.193899999999999</v>
      </c>
      <c r="BH297">
        <v>93.71</v>
      </c>
    </row>
    <row r="298" spans="1:60" x14ac:dyDescent="0.25">
      <c r="A298" s="2">
        <v>45203</v>
      </c>
      <c r="B298">
        <v>11.9</v>
      </c>
      <c r="C298">
        <v>6</v>
      </c>
      <c r="D298">
        <v>66.8</v>
      </c>
      <c r="E298">
        <v>19</v>
      </c>
      <c r="F298">
        <v>178.2</v>
      </c>
      <c r="G298">
        <v>0.5</v>
      </c>
      <c r="H298">
        <v>3</v>
      </c>
      <c r="I298">
        <v>134.38579999999999</v>
      </c>
      <c r="J298">
        <v>67.027199999999993</v>
      </c>
      <c r="K298">
        <v>62.805500000000002</v>
      </c>
      <c r="L298">
        <v>3.48</v>
      </c>
      <c r="M298">
        <v>31.622</v>
      </c>
      <c r="N298">
        <v>-13.321400000000001</v>
      </c>
      <c r="O298">
        <v>-19.871400000000001</v>
      </c>
      <c r="P298">
        <v>96.46</v>
      </c>
      <c r="S298">
        <f t="shared" si="91"/>
        <v>584.72050000000002</v>
      </c>
      <c r="T298">
        <f t="shared" si="92"/>
        <v>1.115583339934649E-2</v>
      </c>
      <c r="U298">
        <f t="shared" si="93"/>
        <v>5.6247899492503318E-3</v>
      </c>
      <c r="V298">
        <f t="shared" si="94"/>
        <v>6.2622661434987015E-2</v>
      </c>
      <c r="W298">
        <f t="shared" si="95"/>
        <v>1.7811834839292717E-2</v>
      </c>
      <c r="X298">
        <f t="shared" si="96"/>
        <v>0.16705626149273484</v>
      </c>
      <c r="Y298">
        <f t="shared" si="97"/>
        <v>4.6873249577086097E-4</v>
      </c>
      <c r="Z298">
        <f t="shared" si="98"/>
        <v>2.8123949746251659E-3</v>
      </c>
      <c r="AA298">
        <f t="shared" si="99"/>
        <v>0.12598198286032752</v>
      </c>
      <c r="AB298">
        <f t="shared" si="100"/>
        <v>6.283565348106529E-2</v>
      </c>
      <c r="AC298">
        <f t="shared" si="101"/>
        <v>5.8877957526273617E-2</v>
      </c>
      <c r="AD298">
        <f t="shared" si="102"/>
        <v>3.2623781705651924E-3</v>
      </c>
      <c r="AE298">
        <f t="shared" si="103"/>
        <v>2.964451796253233E-2</v>
      </c>
      <c r="AG298">
        <f t="shared" si="104"/>
        <v>0.8738813866285402</v>
      </c>
      <c r="AH298">
        <f t="shared" si="105"/>
        <v>0.29719702654853969</v>
      </c>
      <c r="AI298">
        <f t="shared" si="106"/>
        <v>0.1632310084168169</v>
      </c>
      <c r="AK298" s="26">
        <f t="shared" si="107"/>
        <v>9.0432042571267357E-2</v>
      </c>
      <c r="AL298" s="26">
        <f t="shared" si="108"/>
        <v>7.4433488876981424E-2</v>
      </c>
      <c r="AM298" s="26">
        <f t="shared" si="109"/>
        <v>4.6748552070934868E-2</v>
      </c>
      <c r="AN298" s="26">
        <f t="shared" si="110"/>
        <v>10.125238095238046</v>
      </c>
      <c r="AO298" s="26">
        <f t="shared" si="111"/>
        <v>12.193625215146341</v>
      </c>
      <c r="AP298" s="26">
        <f t="shared" si="112"/>
        <v>13.792640161760431</v>
      </c>
      <c r="AS298" s="2">
        <v>45182</v>
      </c>
      <c r="AT298">
        <v>18.5</v>
      </c>
      <c r="AU298">
        <v>71.900000000000006</v>
      </c>
      <c r="AV298">
        <v>53.7</v>
      </c>
      <c r="AW298">
        <v>6.5</v>
      </c>
      <c r="AX298">
        <v>128.76</v>
      </c>
      <c r="AY298">
        <v>0.4</v>
      </c>
      <c r="AZ298">
        <v>3.1</v>
      </c>
      <c r="BA298">
        <v>282.286</v>
      </c>
      <c r="BB298">
        <v>108.1678</v>
      </c>
      <c r="BC298">
        <v>90.543199999999999</v>
      </c>
      <c r="BD298">
        <v>3.48</v>
      </c>
      <c r="BE298">
        <v>20.315999999999999</v>
      </c>
      <c r="BF298">
        <v>-16.569700000000001</v>
      </c>
      <c r="BG298">
        <v>-28.362100000000002</v>
      </c>
      <c r="BH298">
        <v>93.7</v>
      </c>
    </row>
    <row r="299" spans="1:60" x14ac:dyDescent="0.25">
      <c r="A299" s="2">
        <v>45202</v>
      </c>
      <c r="B299">
        <v>13.2</v>
      </c>
      <c r="C299">
        <v>3.3</v>
      </c>
      <c r="D299">
        <v>57</v>
      </c>
      <c r="E299">
        <v>17.899999999999999</v>
      </c>
      <c r="F299">
        <v>134.99</v>
      </c>
      <c r="G299">
        <v>0.4</v>
      </c>
      <c r="H299">
        <v>3.3</v>
      </c>
      <c r="I299">
        <v>97.016599999999997</v>
      </c>
      <c r="J299">
        <v>31.470700000000001</v>
      </c>
      <c r="K299">
        <v>26.2194</v>
      </c>
      <c r="L299">
        <v>3.48</v>
      </c>
      <c r="M299">
        <v>15.377700000000001</v>
      </c>
      <c r="N299">
        <v>-10.8835</v>
      </c>
      <c r="O299">
        <v>-20.530100000000001</v>
      </c>
      <c r="P299">
        <v>96.33</v>
      </c>
      <c r="S299">
        <f t="shared" si="91"/>
        <v>403.65440000000007</v>
      </c>
      <c r="T299">
        <f t="shared" si="92"/>
        <v>1.2374537888350728E-2</v>
      </c>
      <c r="U299">
        <f t="shared" si="93"/>
        <v>3.0936344720876819E-3</v>
      </c>
      <c r="V299">
        <f t="shared" si="94"/>
        <v>5.3435504517878152E-2</v>
      </c>
      <c r="W299">
        <f t="shared" si="95"/>
        <v>1.678062334859682E-2</v>
      </c>
      <c r="X299">
        <f t="shared" si="96"/>
        <v>0.12654839920821706</v>
      </c>
      <c r="Y299">
        <f t="shared" si="97"/>
        <v>3.7498599661668879E-4</v>
      </c>
      <c r="Z299">
        <f t="shared" si="98"/>
        <v>3.0936344720876819E-3</v>
      </c>
      <c r="AA299">
        <f t="shared" si="99"/>
        <v>9.0949666098406615E-2</v>
      </c>
      <c r="AB299">
        <f t="shared" si="100"/>
        <v>2.9502679509312069E-2</v>
      </c>
      <c r="AC299">
        <f t="shared" si="101"/>
        <v>2.4579769599229025E-2</v>
      </c>
      <c r="AD299">
        <f t="shared" si="102"/>
        <v>3.2623781705651924E-3</v>
      </c>
      <c r="AE299">
        <f t="shared" si="103"/>
        <v>1.4416055400431138E-2</v>
      </c>
      <c r="AG299">
        <f t="shared" si="104"/>
        <v>0.86874273914998057</v>
      </c>
      <c r="AH299">
        <f t="shared" si="105"/>
        <v>0.23011737530426596</v>
      </c>
      <c r="AI299">
        <f t="shared" si="106"/>
        <v>-0.25019950881768993</v>
      </c>
      <c r="AK299" s="26">
        <f t="shared" si="107"/>
        <v>8.6279507166320824E-2</v>
      </c>
      <c r="AL299" s="26">
        <f t="shared" si="108"/>
        <v>7.3208751292492436E-2</v>
      </c>
      <c r="AM299" s="26">
        <f t="shared" si="109"/>
        <v>4.5431137754496975E-2</v>
      </c>
      <c r="AN299" s="26">
        <f t="shared" si="110"/>
        <v>10.18888888888884</v>
      </c>
      <c r="AO299" s="26">
        <f t="shared" si="111"/>
        <v>12.28702022375218</v>
      </c>
      <c r="AP299" s="26">
        <f t="shared" si="112"/>
        <v>13.848182295632981</v>
      </c>
      <c r="AS299" s="2">
        <v>45181</v>
      </c>
      <c r="AT299">
        <v>18</v>
      </c>
      <c r="AU299">
        <v>49.2</v>
      </c>
      <c r="AV299">
        <v>22.8</v>
      </c>
      <c r="AW299">
        <v>1.6</v>
      </c>
      <c r="AX299">
        <v>223.92</v>
      </c>
      <c r="AY299">
        <v>0.4</v>
      </c>
      <c r="AZ299">
        <v>3.4</v>
      </c>
      <c r="BA299">
        <v>272.89350000000002</v>
      </c>
      <c r="BB299">
        <v>119.6275</v>
      </c>
      <c r="BC299">
        <v>96.582300000000004</v>
      </c>
      <c r="BD299">
        <v>3.5632999999999999</v>
      </c>
      <c r="BE299">
        <v>24.682200000000002</v>
      </c>
      <c r="BF299">
        <v>-13.4476</v>
      </c>
      <c r="BG299">
        <v>-26.689</v>
      </c>
      <c r="BH299">
        <v>93.69</v>
      </c>
    </row>
    <row r="300" spans="1:60" x14ac:dyDescent="0.25">
      <c r="A300" s="2">
        <v>45201</v>
      </c>
      <c r="B300">
        <v>13.1</v>
      </c>
      <c r="C300">
        <v>62.9</v>
      </c>
      <c r="D300">
        <v>19.8</v>
      </c>
      <c r="E300">
        <v>4.5</v>
      </c>
      <c r="F300">
        <v>209.31</v>
      </c>
      <c r="G300">
        <v>0.5</v>
      </c>
      <c r="H300">
        <v>3.3</v>
      </c>
      <c r="I300">
        <v>239.27709999999999</v>
      </c>
      <c r="J300">
        <v>59.784599999999998</v>
      </c>
      <c r="K300">
        <v>76.387200000000007</v>
      </c>
      <c r="L300">
        <v>3.48</v>
      </c>
      <c r="M300">
        <v>29.652799999999999</v>
      </c>
      <c r="N300">
        <v>-11.425800000000001</v>
      </c>
      <c r="O300">
        <v>-18.504000000000001</v>
      </c>
      <c r="P300">
        <v>96.15</v>
      </c>
      <c r="S300">
        <f t="shared" si="91"/>
        <v>721.99169999999992</v>
      </c>
      <c r="T300">
        <f t="shared" si="92"/>
        <v>1.2280791389196556E-2</v>
      </c>
      <c r="U300">
        <f t="shared" si="93"/>
        <v>5.8966547967974306E-2</v>
      </c>
      <c r="V300">
        <f t="shared" si="94"/>
        <v>1.8561806832526093E-2</v>
      </c>
      <c r="W300">
        <f t="shared" si="95"/>
        <v>4.2185924619377486E-3</v>
      </c>
      <c r="X300">
        <f t="shared" si="96"/>
        <v>0.19622079737959783</v>
      </c>
      <c r="Y300">
        <f t="shared" si="97"/>
        <v>4.6873249577086097E-4</v>
      </c>
      <c r="Z300">
        <f t="shared" si="98"/>
        <v>3.0936344720876819E-3</v>
      </c>
      <c r="AA300">
        <f t="shared" si="99"/>
        <v>0.22431390452762773</v>
      </c>
      <c r="AB300">
        <f t="shared" si="100"/>
        <v>5.6045969533325225E-2</v>
      </c>
      <c r="AC300">
        <f t="shared" si="101"/>
        <v>7.161032580189583E-2</v>
      </c>
      <c r="AD300">
        <f t="shared" si="102"/>
        <v>3.2623781705651924E-3</v>
      </c>
      <c r="AE300">
        <f t="shared" si="103"/>
        <v>2.779846190118837E-2</v>
      </c>
      <c r="AG300">
        <f t="shared" si="104"/>
        <v>0.86122083856734521</v>
      </c>
      <c r="AH300">
        <f t="shared" si="105"/>
        <v>0.32160936490027936</v>
      </c>
      <c r="AI300">
        <f t="shared" si="106"/>
        <v>0.31331482139657363</v>
      </c>
      <c r="AK300" s="26">
        <f t="shared" si="107"/>
        <v>9.0362479692815578E-2</v>
      </c>
      <c r="AL300" s="26">
        <f t="shared" si="108"/>
        <v>7.2102096156957174E-2</v>
      </c>
      <c r="AM300" s="26">
        <f t="shared" si="109"/>
        <v>4.567439366968673E-2</v>
      </c>
      <c r="AN300" s="26">
        <f t="shared" si="110"/>
        <v>10.258888888888848</v>
      </c>
      <c r="AO300" s="26">
        <f t="shared" si="111"/>
        <v>12.379361015490588</v>
      </c>
      <c r="AP300" s="26">
        <f t="shared" si="112"/>
        <v>13.903881725795003</v>
      </c>
      <c r="AS300" s="2">
        <v>45180</v>
      </c>
      <c r="AT300">
        <v>17.8</v>
      </c>
      <c r="AU300">
        <v>49.1</v>
      </c>
      <c r="AV300">
        <v>26.8</v>
      </c>
      <c r="AW300">
        <v>1.1000000000000001</v>
      </c>
      <c r="AX300">
        <v>276.47000000000003</v>
      </c>
      <c r="AY300">
        <v>0.4</v>
      </c>
      <c r="AZ300">
        <v>3.5</v>
      </c>
      <c r="BA300">
        <v>239.37200000000001</v>
      </c>
      <c r="BB300">
        <v>72.427599999999998</v>
      </c>
      <c r="BC300">
        <v>93.691299999999998</v>
      </c>
      <c r="BD300">
        <v>3.5158</v>
      </c>
      <c r="BE300">
        <v>30.751000000000001</v>
      </c>
      <c r="BF300">
        <v>-13.629</v>
      </c>
      <c r="BG300">
        <v>-24.322299999999998</v>
      </c>
      <c r="BH300">
        <v>93.69</v>
      </c>
    </row>
    <row r="301" spans="1:60" x14ac:dyDescent="0.25">
      <c r="A301" s="2">
        <v>45200</v>
      </c>
      <c r="B301">
        <v>13.6</v>
      </c>
      <c r="C301">
        <v>20.2</v>
      </c>
      <c r="D301">
        <v>37.1</v>
      </c>
      <c r="E301">
        <v>4.7</v>
      </c>
      <c r="F301">
        <v>199.3</v>
      </c>
      <c r="G301">
        <v>0.5</v>
      </c>
      <c r="H301">
        <v>3.3</v>
      </c>
      <c r="I301">
        <v>162.744</v>
      </c>
      <c r="J301">
        <v>23.338000000000001</v>
      </c>
      <c r="K301">
        <v>32.500599999999999</v>
      </c>
      <c r="L301">
        <v>3.48</v>
      </c>
      <c r="M301">
        <v>16.636700000000001</v>
      </c>
      <c r="P301">
        <v>95.99</v>
      </c>
      <c r="S301">
        <f t="shared" si="91"/>
        <v>517.39930000000015</v>
      </c>
      <c r="T301">
        <f t="shared" si="92"/>
        <v>1.2749523884967418E-2</v>
      </c>
      <c r="U301">
        <f t="shared" si="93"/>
        <v>1.8936792829142783E-2</v>
      </c>
      <c r="V301">
        <f t="shared" si="94"/>
        <v>3.4779951186197887E-2</v>
      </c>
      <c r="W301">
        <f t="shared" si="95"/>
        <v>4.4060854602460935E-3</v>
      </c>
      <c r="X301">
        <f t="shared" si="96"/>
        <v>0.1868367728142652</v>
      </c>
      <c r="Y301">
        <f t="shared" si="97"/>
        <v>4.6873249577086097E-4</v>
      </c>
      <c r="Z301">
        <f t="shared" si="98"/>
        <v>3.0936344720876819E-3</v>
      </c>
      <c r="AA301">
        <f t="shared" si="99"/>
        <v>0.152566802583466</v>
      </c>
      <c r="AB301">
        <f t="shared" si="100"/>
        <v>2.1878557972600708E-2</v>
      </c>
      <c r="AC301">
        <f t="shared" si="101"/>
        <v>3.0468174704100886E-2</v>
      </c>
      <c r="AD301">
        <f t="shared" si="102"/>
        <v>3.2623781705651924E-3</v>
      </c>
      <c r="AE301">
        <f t="shared" si="103"/>
        <v>1.5596323824782167E-2</v>
      </c>
      <c r="AG301">
        <f t="shared" si="104"/>
        <v>0.85465736726030517</v>
      </c>
      <c r="AH301">
        <f t="shared" si="105"/>
        <v>0.27686781696746005</v>
      </c>
      <c r="AI301">
        <f t="shared" si="106"/>
        <v>3.9297255877195361E-2</v>
      </c>
      <c r="AK301" s="26">
        <f t="shared" si="107"/>
        <v>8.3015091869448637E-2</v>
      </c>
      <c r="AL301" s="26">
        <f t="shared" si="108"/>
        <v>6.7377119474926417E-2</v>
      </c>
      <c r="AM301" s="26">
        <f t="shared" si="109"/>
        <v>4.47433423286E-2</v>
      </c>
      <c r="AN301" s="26">
        <f t="shared" si="110"/>
        <v>10.338888888888874</v>
      </c>
      <c r="AO301" s="26">
        <f t="shared" si="111"/>
        <v>12.472091222031025</v>
      </c>
      <c r="AP301" s="26">
        <f t="shared" si="112"/>
        <v>13.960180404926334</v>
      </c>
      <c r="AS301" s="2">
        <v>45179</v>
      </c>
      <c r="AT301">
        <v>17.7</v>
      </c>
      <c r="AU301">
        <v>48.5</v>
      </c>
      <c r="AV301">
        <v>3.1</v>
      </c>
      <c r="AW301">
        <v>0.2</v>
      </c>
      <c r="AX301">
        <v>278.68</v>
      </c>
      <c r="AY301">
        <v>0.4</v>
      </c>
      <c r="AZ301">
        <v>3.5</v>
      </c>
      <c r="BA301">
        <v>202.67140000000001</v>
      </c>
      <c r="BB301">
        <v>48.780799999999999</v>
      </c>
      <c r="BC301">
        <v>49.541899999999998</v>
      </c>
      <c r="BD301">
        <v>3.1097999999999999</v>
      </c>
      <c r="BE301">
        <v>18.5442</v>
      </c>
      <c r="BH301">
        <v>93.66</v>
      </c>
    </row>
    <row r="302" spans="1:60" x14ac:dyDescent="0.25">
      <c r="A302" s="2">
        <v>45199</v>
      </c>
      <c r="C302">
        <v>2.8</v>
      </c>
      <c r="F302">
        <v>187</v>
      </c>
      <c r="K302">
        <v>39.344799999999999</v>
      </c>
      <c r="P302">
        <v>95.62</v>
      </c>
      <c r="S302">
        <f t="shared" si="91"/>
        <v>229.1448</v>
      </c>
      <c r="T302">
        <f t="shared" si="92"/>
        <v>0</v>
      </c>
      <c r="U302">
        <f t="shared" si="93"/>
        <v>2.624901976316821E-3</v>
      </c>
      <c r="V302">
        <f t="shared" si="94"/>
        <v>0</v>
      </c>
      <c r="W302">
        <f t="shared" si="95"/>
        <v>0</v>
      </c>
      <c r="X302">
        <f t="shared" si="96"/>
        <v>0.17530595341830199</v>
      </c>
      <c r="Y302">
        <f t="shared" si="97"/>
        <v>0</v>
      </c>
      <c r="Z302">
        <f t="shared" si="98"/>
        <v>0</v>
      </c>
      <c r="AA302">
        <f t="shared" si="99"/>
        <v>0</v>
      </c>
      <c r="AB302">
        <f t="shared" si="100"/>
        <v>0</v>
      </c>
      <c r="AC302">
        <f t="shared" si="101"/>
        <v>3.6884372599210742E-2</v>
      </c>
      <c r="AD302">
        <f t="shared" si="102"/>
        <v>0</v>
      </c>
      <c r="AE302">
        <f t="shared" si="103"/>
        <v>0</v>
      </c>
      <c r="AG302">
        <f t="shared" si="104"/>
        <v>0.83807710865344975</v>
      </c>
      <c r="AH302">
        <f t="shared" si="105"/>
        <v>0.17793085539461881</v>
      </c>
      <c r="AI302">
        <f t="shared" si="106"/>
        <v>-0.56523741263759686</v>
      </c>
      <c r="AK302" s="26">
        <f t="shared" si="107"/>
        <v>8.383644363756973E-2</v>
      </c>
      <c r="AL302" s="26">
        <f t="shared" si="108"/>
        <v>6.3167772418591117E-2</v>
      </c>
      <c r="AM302" s="26">
        <f t="shared" si="109"/>
        <v>4.5003207104822807E-2</v>
      </c>
      <c r="AN302" s="26">
        <f t="shared" si="110"/>
        <v>10.427619047619032</v>
      </c>
      <c r="AO302" s="26">
        <f t="shared" si="111"/>
        <v>12.56593373493979</v>
      </c>
      <c r="AP302" s="26">
        <f t="shared" si="112"/>
        <v>14.015422389117916</v>
      </c>
      <c r="AS302" s="2">
        <v>45178</v>
      </c>
      <c r="AT302">
        <v>18.399999999999999</v>
      </c>
      <c r="AU302">
        <v>138.80000000000001</v>
      </c>
      <c r="AV302">
        <v>4.5</v>
      </c>
      <c r="AW302">
        <v>1.5</v>
      </c>
      <c r="AX302">
        <v>292.02999999999997</v>
      </c>
      <c r="AY302">
        <v>0.3</v>
      </c>
      <c r="AZ302">
        <v>3.6</v>
      </c>
      <c r="BA302">
        <v>226.64670000000001</v>
      </c>
      <c r="BB302">
        <v>53.040199999999999</v>
      </c>
      <c r="BC302">
        <v>59.8904</v>
      </c>
      <c r="BD302">
        <v>3.0706000000000002</v>
      </c>
      <c r="BE302">
        <v>19.486799999999999</v>
      </c>
      <c r="BH302">
        <v>93.55</v>
      </c>
    </row>
    <row r="303" spans="1:60" x14ac:dyDescent="0.25">
      <c r="A303" s="2">
        <v>45198</v>
      </c>
      <c r="B303">
        <v>14.9</v>
      </c>
      <c r="C303">
        <v>25.3</v>
      </c>
      <c r="D303">
        <v>60.3</v>
      </c>
      <c r="E303">
        <v>9.4</v>
      </c>
      <c r="F303">
        <v>156.97999999999999</v>
      </c>
      <c r="G303">
        <v>0.5</v>
      </c>
      <c r="H303">
        <v>3</v>
      </c>
      <c r="I303">
        <v>248.74019999999999</v>
      </c>
      <c r="J303">
        <v>49.910200000000003</v>
      </c>
      <c r="K303">
        <v>59.407400000000003</v>
      </c>
      <c r="L303">
        <v>3.48</v>
      </c>
      <c r="M303">
        <v>18.562100000000001</v>
      </c>
      <c r="N303">
        <v>-18.8385</v>
      </c>
      <c r="O303">
        <v>-28.6205</v>
      </c>
      <c r="P303">
        <v>95.41</v>
      </c>
      <c r="S303">
        <f t="shared" si="91"/>
        <v>650.47990000000004</v>
      </c>
      <c r="T303">
        <f t="shared" si="92"/>
        <v>1.3968228373971657E-2</v>
      </c>
      <c r="U303">
        <f t="shared" si="93"/>
        <v>2.3717864286005565E-2</v>
      </c>
      <c r="V303">
        <f t="shared" si="94"/>
        <v>5.6529138989965831E-2</v>
      </c>
      <c r="W303">
        <f t="shared" si="95"/>
        <v>8.8121709204921871E-3</v>
      </c>
      <c r="X303">
        <f t="shared" si="96"/>
        <v>0.1471632543722195</v>
      </c>
      <c r="Y303">
        <f t="shared" si="97"/>
        <v>4.6873249577086097E-4</v>
      </c>
      <c r="Z303">
        <f t="shared" si="98"/>
        <v>2.8123949746251659E-3</v>
      </c>
      <c r="AA303">
        <f t="shared" si="99"/>
        <v>0.23318522948908621</v>
      </c>
      <c r="AB303">
        <f t="shared" si="100"/>
        <v>4.6789065220845652E-2</v>
      </c>
      <c r="AC303">
        <f t="shared" si="101"/>
        <v>5.5692357738515691E-2</v>
      </c>
      <c r="AD303">
        <f t="shared" si="102"/>
        <v>3.2623781705651924E-3</v>
      </c>
      <c r="AE303">
        <f t="shared" si="103"/>
        <v>1.7401318919496596E-2</v>
      </c>
      <c r="AG303">
        <f t="shared" si="104"/>
        <v>0.82911766835898892</v>
      </c>
      <c r="AH303">
        <f t="shared" si="105"/>
        <v>0.27087310333254733</v>
      </c>
      <c r="AI303">
        <f t="shared" si="106"/>
        <v>6.2433657954611092E-3</v>
      </c>
      <c r="AK303" s="26">
        <f t="shared" si="107"/>
        <v>9.2890453741165613E-2</v>
      </c>
      <c r="AL303" s="26">
        <f t="shared" si="108"/>
        <v>6.1863640040557055E-2</v>
      </c>
      <c r="AM303" s="26">
        <f t="shared" si="109"/>
        <v>4.5635888842994354E-2</v>
      </c>
      <c r="AN303" s="26">
        <f t="shared" si="110"/>
        <v>10.534126984126971</v>
      </c>
      <c r="AO303" s="26">
        <f t="shared" si="111"/>
        <v>12.661454388984552</v>
      </c>
      <c r="AP303" s="26">
        <f t="shared" si="112"/>
        <v>14.07173314776395</v>
      </c>
      <c r="AS303" s="2">
        <v>45177</v>
      </c>
      <c r="AT303">
        <v>18.5</v>
      </c>
      <c r="AU303">
        <v>48.8</v>
      </c>
      <c r="AV303">
        <v>20.6</v>
      </c>
      <c r="AW303">
        <v>5.5</v>
      </c>
      <c r="AX303">
        <v>298.98</v>
      </c>
      <c r="AY303">
        <v>0.1</v>
      </c>
      <c r="AZ303">
        <v>3.5</v>
      </c>
      <c r="BA303">
        <v>214.1987</v>
      </c>
      <c r="BB303">
        <v>56.037700000000001</v>
      </c>
      <c r="BC303">
        <v>94.531999999999996</v>
      </c>
      <c r="BD303">
        <v>3.5459000000000001</v>
      </c>
      <c r="BE303">
        <v>29.8124</v>
      </c>
      <c r="BF303">
        <v>-13.032400000000001</v>
      </c>
      <c r="BG303">
        <v>-25.546099999999999</v>
      </c>
      <c r="BH303">
        <v>93.43</v>
      </c>
    </row>
    <row r="304" spans="1:60" x14ac:dyDescent="0.25">
      <c r="A304" s="2">
        <v>45197</v>
      </c>
      <c r="B304">
        <v>14.5</v>
      </c>
      <c r="C304">
        <v>19.2</v>
      </c>
      <c r="D304">
        <v>66.099999999999994</v>
      </c>
      <c r="E304">
        <v>6.9</v>
      </c>
      <c r="F304">
        <v>219.29</v>
      </c>
      <c r="G304">
        <v>0.3</v>
      </c>
      <c r="H304">
        <v>3.4</v>
      </c>
      <c r="I304">
        <v>231.0506</v>
      </c>
      <c r="J304">
        <v>90.955600000000004</v>
      </c>
      <c r="K304">
        <v>63.3857</v>
      </c>
      <c r="L304">
        <v>3.48</v>
      </c>
      <c r="M304">
        <v>27.575900000000001</v>
      </c>
      <c r="N304">
        <v>-18.856300000000001</v>
      </c>
      <c r="O304">
        <v>-27.5274</v>
      </c>
      <c r="P304">
        <v>95.27</v>
      </c>
      <c r="S304">
        <f t="shared" si="91"/>
        <v>746.13780000000008</v>
      </c>
      <c r="T304">
        <f t="shared" si="92"/>
        <v>1.3593242377354967E-2</v>
      </c>
      <c r="U304">
        <f t="shared" si="93"/>
        <v>1.799932783760106E-2</v>
      </c>
      <c r="V304">
        <f t="shared" si="94"/>
        <v>6.196643594090781E-2</v>
      </c>
      <c r="W304">
        <f t="shared" si="95"/>
        <v>6.4685084416378812E-3</v>
      </c>
      <c r="X304">
        <f t="shared" si="96"/>
        <v>0.20557669799518419</v>
      </c>
      <c r="Y304">
        <f t="shared" si="97"/>
        <v>2.8123949746251657E-4</v>
      </c>
      <c r="Z304">
        <f t="shared" si="98"/>
        <v>3.1873809712418544E-3</v>
      </c>
      <c r="AA304">
        <f t="shared" si="99"/>
        <v>0.21660184877470978</v>
      </c>
      <c r="AB304">
        <f t="shared" si="100"/>
        <v>8.5267690784672251E-2</v>
      </c>
      <c r="AC304">
        <f t="shared" si="101"/>
        <v>5.9421874714366121E-2</v>
      </c>
      <c r="AD304">
        <f t="shared" si="102"/>
        <v>3.2623781705651924E-3</v>
      </c>
      <c r="AE304">
        <f t="shared" si="103"/>
        <v>2.585144086025537E-2</v>
      </c>
      <c r="AG304">
        <f t="shared" si="104"/>
        <v>0.82349299446011215</v>
      </c>
      <c r="AH304">
        <f t="shared" si="105"/>
        <v>0.33492427392164559</v>
      </c>
      <c r="AI304">
        <f t="shared" si="106"/>
        <v>0.40110255180525456</v>
      </c>
      <c r="AK304" s="26">
        <f t="shared" si="107"/>
        <v>9.2944402619369287E-2</v>
      </c>
      <c r="AL304" s="26">
        <f t="shared" si="108"/>
        <v>5.9819955104575606E-2</v>
      </c>
      <c r="AM304" s="26">
        <f t="shared" si="109"/>
        <v>4.589541671427394E-2</v>
      </c>
      <c r="AN304" s="26">
        <f t="shared" si="110"/>
        <v>10.6474603174603</v>
      </c>
      <c r="AO304" s="26">
        <f t="shared" si="111"/>
        <v>12.757054647160118</v>
      </c>
      <c r="AP304" s="26">
        <f t="shared" si="112"/>
        <v>14.127633728105877</v>
      </c>
      <c r="AS304" s="2">
        <v>45176</v>
      </c>
      <c r="AT304">
        <v>19.7</v>
      </c>
      <c r="AU304">
        <v>41.7</v>
      </c>
      <c r="AV304">
        <v>41</v>
      </c>
      <c r="AW304">
        <v>8</v>
      </c>
      <c r="AX304">
        <v>287.36</v>
      </c>
      <c r="AY304">
        <v>0.1</v>
      </c>
      <c r="AZ304">
        <v>3.5</v>
      </c>
      <c r="BA304">
        <v>212.18610000000001</v>
      </c>
      <c r="BB304">
        <v>43.6496</v>
      </c>
      <c r="BC304">
        <v>75.861199999999997</v>
      </c>
      <c r="BD304">
        <v>3.48</v>
      </c>
      <c r="BE304">
        <v>20.415400000000002</v>
      </c>
      <c r="BF304">
        <v>-13.405099999999999</v>
      </c>
      <c r="BG304">
        <v>-29.9846</v>
      </c>
      <c r="BH304">
        <v>93.38</v>
      </c>
    </row>
    <row r="305" spans="1:60" x14ac:dyDescent="0.25">
      <c r="A305" s="2">
        <v>45196</v>
      </c>
      <c r="B305">
        <v>16.600000000000001</v>
      </c>
      <c r="C305">
        <v>4.7</v>
      </c>
      <c r="D305">
        <v>18</v>
      </c>
      <c r="E305">
        <v>2.1</v>
      </c>
      <c r="F305">
        <v>227.54</v>
      </c>
      <c r="G305">
        <v>0.5</v>
      </c>
      <c r="H305">
        <v>3.6</v>
      </c>
      <c r="I305">
        <v>256.42349999999999</v>
      </c>
      <c r="J305">
        <v>127.0586</v>
      </c>
      <c r="K305">
        <v>81.613299999999995</v>
      </c>
      <c r="L305">
        <v>3.19</v>
      </c>
      <c r="M305">
        <v>27.889600000000002</v>
      </c>
      <c r="N305">
        <v>-17.997199999999999</v>
      </c>
      <c r="O305">
        <v>-26.3569</v>
      </c>
      <c r="P305">
        <v>95.15</v>
      </c>
      <c r="S305">
        <f t="shared" si="91"/>
        <v>769.21500000000003</v>
      </c>
      <c r="T305">
        <f t="shared" si="92"/>
        <v>1.5561918859592586E-2</v>
      </c>
      <c r="U305">
        <f t="shared" si="93"/>
        <v>4.4060854602460935E-3</v>
      </c>
      <c r="V305">
        <f t="shared" si="94"/>
        <v>1.6874369847750995E-2</v>
      </c>
      <c r="W305">
        <f t="shared" si="95"/>
        <v>1.9686764822376161E-3</v>
      </c>
      <c r="X305">
        <f t="shared" si="96"/>
        <v>0.21331078417540339</v>
      </c>
      <c r="Y305">
        <f t="shared" si="97"/>
        <v>4.6873249577086097E-4</v>
      </c>
      <c r="Z305">
        <f t="shared" si="98"/>
        <v>3.3748739695501988E-3</v>
      </c>
      <c r="AA305">
        <f t="shared" si="99"/>
        <v>0.24038805425859872</v>
      </c>
      <c r="AB305">
        <f t="shared" si="100"/>
        <v>0.11911298937430302</v>
      </c>
      <c r="AC305">
        <f t="shared" si="101"/>
        <v>7.6509611594192006E-2</v>
      </c>
      <c r="AD305">
        <f t="shared" si="102"/>
        <v>2.9905133230180929E-3</v>
      </c>
      <c r="AE305">
        <f t="shared" si="103"/>
        <v>2.6145523628102008E-2</v>
      </c>
      <c r="AG305">
        <f t="shared" si="104"/>
        <v>0.81883555693175314</v>
      </c>
      <c r="AH305">
        <f t="shared" si="105"/>
        <v>0.28211096491865373</v>
      </c>
      <c r="AI305">
        <f t="shared" si="106"/>
        <v>7.9631306260978696E-2</v>
      </c>
      <c r="AK305" s="26">
        <f t="shared" si="107"/>
        <v>9.1161426047638827E-2</v>
      </c>
      <c r="AL305" s="26">
        <f t="shared" si="108"/>
        <v>5.5615081922423537E-2</v>
      </c>
      <c r="AM305" s="26">
        <f t="shared" si="109"/>
        <v>4.5839574078034351E-2</v>
      </c>
      <c r="AN305" s="26">
        <f t="shared" si="110"/>
        <v>10.76968253968252</v>
      </c>
      <c r="AO305" s="26">
        <f t="shared" si="111"/>
        <v>12.85472246127371</v>
      </c>
      <c r="AP305" s="26">
        <f t="shared" si="112"/>
        <v>14.18422310338488</v>
      </c>
      <c r="AS305" s="2">
        <v>45175</v>
      </c>
      <c r="AT305">
        <v>21.6</v>
      </c>
      <c r="AU305">
        <v>140.80000000000001</v>
      </c>
      <c r="AV305">
        <v>16.5</v>
      </c>
      <c r="AW305">
        <v>2.6</v>
      </c>
      <c r="AX305">
        <v>297.36</v>
      </c>
      <c r="AY305">
        <v>0.1</v>
      </c>
      <c r="AZ305">
        <v>3.1</v>
      </c>
      <c r="BA305">
        <v>230.63249999999999</v>
      </c>
      <c r="BB305">
        <v>49.509300000000003</v>
      </c>
      <c r="BC305">
        <v>89.631299999999996</v>
      </c>
      <c r="BD305">
        <v>3.5550000000000002</v>
      </c>
      <c r="BE305">
        <v>29.627400000000002</v>
      </c>
      <c r="BF305">
        <v>-10.2041</v>
      </c>
      <c r="BG305">
        <v>-30.7958</v>
      </c>
      <c r="BH305">
        <v>93.32</v>
      </c>
    </row>
    <row r="306" spans="1:60" x14ac:dyDescent="0.25">
      <c r="A306" s="2">
        <v>45195</v>
      </c>
      <c r="B306">
        <v>17</v>
      </c>
      <c r="C306">
        <v>136.69999999999999</v>
      </c>
      <c r="D306">
        <v>12.2</v>
      </c>
      <c r="E306">
        <v>1.1000000000000001</v>
      </c>
      <c r="F306">
        <v>242.88</v>
      </c>
      <c r="G306">
        <v>0.4</v>
      </c>
      <c r="H306">
        <v>2.9</v>
      </c>
      <c r="I306">
        <v>261.30250000000001</v>
      </c>
      <c r="J306">
        <v>120.4956</v>
      </c>
      <c r="K306">
        <v>86.200199999999995</v>
      </c>
      <c r="L306">
        <v>3.48</v>
      </c>
      <c r="M306">
        <v>29.138500000000001</v>
      </c>
      <c r="N306">
        <v>-16.850100000000001</v>
      </c>
      <c r="O306">
        <v>-23.273199999999999</v>
      </c>
      <c r="P306">
        <v>95.03</v>
      </c>
      <c r="S306">
        <f t="shared" si="91"/>
        <v>913.79679999999996</v>
      </c>
      <c r="T306">
        <f t="shared" si="92"/>
        <v>1.5936904856209272E-2</v>
      </c>
      <c r="U306">
        <f t="shared" si="93"/>
        <v>0.12815146434375338</v>
      </c>
      <c r="V306">
        <f t="shared" si="94"/>
        <v>1.1437072896809007E-2</v>
      </c>
      <c r="W306">
        <f t="shared" si="95"/>
        <v>1.0312114906958943E-3</v>
      </c>
      <c r="X306">
        <f t="shared" si="96"/>
        <v>0.22769149714565343</v>
      </c>
      <c r="Y306">
        <f t="shared" si="97"/>
        <v>3.7498599661668879E-4</v>
      </c>
      <c r="Z306">
        <f t="shared" si="98"/>
        <v>2.7186484754709935E-3</v>
      </c>
      <c r="AA306">
        <f t="shared" si="99"/>
        <v>0.24496194595233078</v>
      </c>
      <c r="AB306">
        <f t="shared" si="100"/>
        <v>0.1129604066348147</v>
      </c>
      <c r="AC306">
        <f t="shared" si="101"/>
        <v>8.0809669763894726E-2</v>
      </c>
      <c r="AD306">
        <f t="shared" si="102"/>
        <v>3.2623781705651924E-3</v>
      </c>
      <c r="AE306">
        <f t="shared" si="103"/>
        <v>2.7316323656038463E-2</v>
      </c>
      <c r="AG306">
        <f t="shared" si="104"/>
        <v>0.81416808644453165</v>
      </c>
      <c r="AH306">
        <f t="shared" si="105"/>
        <v>0.41465810886124715</v>
      </c>
      <c r="AI306">
        <f t="shared" si="106"/>
        <v>0.89486292486597829</v>
      </c>
      <c r="AK306" s="26">
        <f t="shared" si="107"/>
        <v>9.4672461599071556E-2</v>
      </c>
      <c r="AL306" s="26">
        <f t="shared" si="108"/>
        <v>5.3192329043777242E-2</v>
      </c>
      <c r="AM306" s="26">
        <f t="shared" si="109"/>
        <v>4.7538297231931315E-2</v>
      </c>
      <c r="AN306" s="26">
        <f t="shared" si="110"/>
        <v>10.89730158730157</v>
      </c>
      <c r="AO306" s="26">
        <f t="shared" si="111"/>
        <v>12.951876075731533</v>
      </c>
      <c r="AP306" s="26">
        <f t="shared" si="112"/>
        <v>14.241677214358859</v>
      </c>
      <c r="AS306" s="2">
        <v>45174</v>
      </c>
      <c r="AT306">
        <v>21.4</v>
      </c>
      <c r="AU306">
        <v>97.7</v>
      </c>
      <c r="AV306">
        <v>5.4</v>
      </c>
      <c r="AW306">
        <v>4.5999999999999996</v>
      </c>
      <c r="AX306">
        <v>296.08999999999997</v>
      </c>
      <c r="AY306">
        <v>0.3</v>
      </c>
      <c r="AZ306">
        <v>3.6</v>
      </c>
      <c r="BA306">
        <v>206.3673</v>
      </c>
      <c r="BB306">
        <v>39.516500000000001</v>
      </c>
      <c r="BC306">
        <v>74.135900000000007</v>
      </c>
      <c r="BD306">
        <v>3.3264</v>
      </c>
      <c r="BE306">
        <v>25.915900000000001</v>
      </c>
      <c r="BF306">
        <v>-13.1851</v>
      </c>
      <c r="BG306">
        <v>-29.088799999999999</v>
      </c>
      <c r="BH306">
        <v>93.28</v>
      </c>
    </row>
    <row r="307" spans="1:60" x14ac:dyDescent="0.25">
      <c r="A307" s="2">
        <v>45194</v>
      </c>
      <c r="B307">
        <v>17.5</v>
      </c>
      <c r="C307">
        <v>75.8</v>
      </c>
      <c r="D307">
        <v>56.1</v>
      </c>
      <c r="E307">
        <v>9.3000000000000007</v>
      </c>
      <c r="F307">
        <v>252.51</v>
      </c>
      <c r="G307">
        <v>0.4</v>
      </c>
      <c r="H307">
        <v>2.9</v>
      </c>
      <c r="I307">
        <v>171.96250000000001</v>
      </c>
      <c r="J307">
        <v>86.675700000000006</v>
      </c>
      <c r="K307">
        <v>51.541600000000003</v>
      </c>
      <c r="L307">
        <v>3.48</v>
      </c>
      <c r="M307">
        <v>27.946100000000001</v>
      </c>
      <c r="N307">
        <v>-19.049600000000002</v>
      </c>
      <c r="O307">
        <v>-18.141999999999999</v>
      </c>
      <c r="P307">
        <v>94.93</v>
      </c>
      <c r="S307">
        <f t="shared" si="91"/>
        <v>756.11590000000001</v>
      </c>
      <c r="T307">
        <f t="shared" si="92"/>
        <v>1.6405637351980133E-2</v>
      </c>
      <c r="U307">
        <f t="shared" si="93"/>
        <v>7.1059846358862519E-2</v>
      </c>
      <c r="V307">
        <f t="shared" si="94"/>
        <v>5.2591786025490597E-2</v>
      </c>
      <c r="W307">
        <f t="shared" si="95"/>
        <v>8.7184244213380137E-3</v>
      </c>
      <c r="X307">
        <f t="shared" si="96"/>
        <v>0.2367192850142002</v>
      </c>
      <c r="Y307">
        <f t="shared" si="97"/>
        <v>3.7498599661668879E-4</v>
      </c>
      <c r="Z307">
        <f t="shared" si="98"/>
        <v>2.7186484754709935E-3</v>
      </c>
      <c r="AA307">
        <f t="shared" si="99"/>
        <v>0.16120882360799335</v>
      </c>
      <c r="AB307">
        <f t="shared" si="100"/>
        <v>8.1255434367372828E-2</v>
      </c>
      <c r="AC307">
        <f t="shared" si="101"/>
        <v>4.8318445608046816E-2</v>
      </c>
      <c r="AD307">
        <f t="shared" si="102"/>
        <v>3.2623781705651924E-3</v>
      </c>
      <c r="AE307">
        <f t="shared" si="103"/>
        <v>2.6198490400124116E-2</v>
      </c>
      <c r="AG307">
        <f t="shared" si="104"/>
        <v>0.81046278004496985</v>
      </c>
      <c r="AH307">
        <f t="shared" si="105"/>
        <v>0.41478710404408325</v>
      </c>
      <c r="AI307">
        <f t="shared" si="106"/>
        <v>0.89961719281288299</v>
      </c>
      <c r="AK307" s="26">
        <f t="shared" si="107"/>
        <v>9.0468928098585311E-2</v>
      </c>
      <c r="AL307" s="26">
        <f t="shared" si="108"/>
        <v>4.9148884348125033E-2</v>
      </c>
      <c r="AM307" s="26">
        <f t="shared" si="109"/>
        <v>4.7124654665385179E-2</v>
      </c>
      <c r="AN307" s="26">
        <f t="shared" si="110"/>
        <v>11.030952380952399</v>
      </c>
      <c r="AO307" s="26">
        <f t="shared" si="111"/>
        <v>13.04966867469885</v>
      </c>
      <c r="AP307" s="26">
        <f t="shared" si="112"/>
        <v>14.29996638743728</v>
      </c>
      <c r="AS307" s="2">
        <v>45173</v>
      </c>
      <c r="AT307">
        <v>21.8</v>
      </c>
      <c r="AU307">
        <v>91.8</v>
      </c>
      <c r="AV307">
        <v>9.5</v>
      </c>
      <c r="AW307">
        <v>3</v>
      </c>
      <c r="AX307">
        <v>301.2</v>
      </c>
      <c r="AY307">
        <v>0.5</v>
      </c>
      <c r="AZ307">
        <v>3.8</v>
      </c>
      <c r="BA307">
        <v>181.80940000000001</v>
      </c>
      <c r="BB307">
        <v>42.442300000000003</v>
      </c>
      <c r="BC307">
        <v>68.287700000000001</v>
      </c>
      <c r="BD307">
        <v>3.48</v>
      </c>
      <c r="BE307">
        <v>26.976099999999999</v>
      </c>
      <c r="BF307">
        <v>-8.8573000000000004</v>
      </c>
      <c r="BG307">
        <v>-25.008099999999999</v>
      </c>
      <c r="BH307">
        <v>93.19</v>
      </c>
    </row>
    <row r="308" spans="1:60" x14ac:dyDescent="0.25">
      <c r="A308" s="2">
        <v>45193</v>
      </c>
      <c r="B308">
        <v>18.8</v>
      </c>
      <c r="C308">
        <v>16.7</v>
      </c>
      <c r="D308">
        <v>54.8</v>
      </c>
      <c r="E308">
        <v>3.8</v>
      </c>
      <c r="F308">
        <v>232.39</v>
      </c>
      <c r="G308">
        <v>0.5</v>
      </c>
      <c r="H308">
        <v>3</v>
      </c>
      <c r="I308">
        <v>131.8623</v>
      </c>
      <c r="J308">
        <v>31.919499999999999</v>
      </c>
      <c r="K308">
        <v>13.209199999999999</v>
      </c>
      <c r="L308">
        <v>3.48</v>
      </c>
      <c r="M308">
        <v>17.232500000000002</v>
      </c>
      <c r="P308">
        <v>94.81</v>
      </c>
      <c r="S308">
        <f t="shared" si="91"/>
        <v>527.69349999999997</v>
      </c>
      <c r="T308">
        <f t="shared" si="92"/>
        <v>1.7624341840984374E-2</v>
      </c>
      <c r="U308">
        <f t="shared" si="93"/>
        <v>1.5655665358746754E-2</v>
      </c>
      <c r="V308">
        <f t="shared" si="94"/>
        <v>5.1373081536486356E-2</v>
      </c>
      <c r="W308">
        <f t="shared" si="95"/>
        <v>3.5623669678585433E-3</v>
      </c>
      <c r="X308">
        <f t="shared" si="96"/>
        <v>0.21785748938438074</v>
      </c>
      <c r="Y308">
        <f t="shared" si="97"/>
        <v>4.6873249577086097E-4</v>
      </c>
      <c r="Z308">
        <f t="shared" si="98"/>
        <v>2.8123949746251659E-3</v>
      </c>
      <c r="AA308">
        <f t="shared" si="99"/>
        <v>0.123616289954172</v>
      </c>
      <c r="AB308">
        <f t="shared" si="100"/>
        <v>2.992341379751599E-2</v>
      </c>
      <c r="AC308">
        <f t="shared" si="101"/>
        <v>1.2383162566272912E-2</v>
      </c>
      <c r="AD308">
        <f t="shared" si="102"/>
        <v>3.2623781705651924E-3</v>
      </c>
      <c r="AE308">
        <f t="shared" si="103"/>
        <v>1.6154865466742725E-2</v>
      </c>
      <c r="AG308">
        <f t="shared" si="104"/>
        <v>0.80581288011711405</v>
      </c>
      <c r="AH308">
        <f t="shared" si="105"/>
        <v>0.3255089380255955</v>
      </c>
      <c r="AI308">
        <f t="shared" si="106"/>
        <v>0.35507959927481547</v>
      </c>
      <c r="AK308" s="26">
        <f t="shared" si="107"/>
        <v>8.7039636518335572E-2</v>
      </c>
      <c r="AL308" s="26">
        <f t="shared" si="108"/>
        <v>4.4924656305709465E-2</v>
      </c>
      <c r="AM308" s="26">
        <f t="shared" si="109"/>
        <v>4.5270153859034934E-2</v>
      </c>
      <c r="AN308" s="26">
        <f t="shared" si="110"/>
        <v>11.162222222222212</v>
      </c>
      <c r="AO308" s="26">
        <f t="shared" si="111"/>
        <v>13.153136833046517</v>
      </c>
      <c r="AP308" s="26">
        <f t="shared" si="112"/>
        <v>14.357432052729692</v>
      </c>
      <c r="AS308" s="2">
        <v>45172</v>
      </c>
      <c r="AT308">
        <v>23.4</v>
      </c>
      <c r="AU308">
        <v>4</v>
      </c>
      <c r="AV308">
        <v>22.1</v>
      </c>
      <c r="AW308">
        <v>3.5</v>
      </c>
      <c r="AY308">
        <v>0.5</v>
      </c>
      <c r="AZ308">
        <v>3.7</v>
      </c>
      <c r="BA308">
        <v>156.54910000000001</v>
      </c>
      <c r="BB308">
        <v>21.751100000000001</v>
      </c>
      <c r="BC308">
        <v>40.667400000000001</v>
      </c>
      <c r="BD308">
        <v>3.48</v>
      </c>
      <c r="BE308">
        <v>14.536300000000001</v>
      </c>
      <c r="BH308">
        <v>93.08</v>
      </c>
    </row>
    <row r="309" spans="1:60" x14ac:dyDescent="0.25">
      <c r="A309" s="2">
        <v>45192</v>
      </c>
      <c r="B309">
        <v>20.7</v>
      </c>
      <c r="C309">
        <v>15.5</v>
      </c>
      <c r="D309">
        <v>23.3</v>
      </c>
      <c r="E309">
        <v>8.8000000000000007</v>
      </c>
      <c r="F309">
        <v>163.93</v>
      </c>
      <c r="G309">
        <v>0.5</v>
      </c>
      <c r="H309">
        <v>3.1</v>
      </c>
      <c r="I309">
        <v>179.43960000000001</v>
      </c>
      <c r="J309">
        <v>27.589600000000001</v>
      </c>
      <c r="K309">
        <v>22.5746</v>
      </c>
      <c r="L309">
        <v>3.3487</v>
      </c>
      <c r="M309">
        <v>16.608799999999999</v>
      </c>
      <c r="P309">
        <v>94.61</v>
      </c>
      <c r="S309">
        <f t="shared" si="91"/>
        <v>485.3913</v>
      </c>
      <c r="T309">
        <f t="shared" si="92"/>
        <v>1.9405525324913644E-2</v>
      </c>
      <c r="U309">
        <f t="shared" si="93"/>
        <v>1.453070736889669E-2</v>
      </c>
      <c r="V309">
        <f t="shared" si="94"/>
        <v>2.1842934302922123E-2</v>
      </c>
      <c r="W309">
        <f t="shared" si="95"/>
        <v>8.2496919255671541E-3</v>
      </c>
      <c r="X309">
        <f t="shared" si="96"/>
        <v>0.15367863606343449</v>
      </c>
      <c r="Y309">
        <f t="shared" si="97"/>
        <v>4.6873249577086097E-4</v>
      </c>
      <c r="Z309">
        <f t="shared" si="98"/>
        <v>2.9061414737793379E-3</v>
      </c>
      <c r="AA309">
        <f t="shared" si="99"/>
        <v>0.16821834309624997</v>
      </c>
      <c r="AB309">
        <f t="shared" si="100"/>
        <v>2.586428413063949E-2</v>
      </c>
      <c r="AC309">
        <f t="shared" si="101"/>
        <v>2.1162897198057754E-2</v>
      </c>
      <c r="AD309">
        <f t="shared" si="102"/>
        <v>3.1392890171757643E-3</v>
      </c>
      <c r="AE309">
        <f t="shared" si="103"/>
        <v>1.5570168551518149E-2</v>
      </c>
      <c r="AG309">
        <f t="shared" si="104"/>
        <v>0.79735750043809916</v>
      </c>
      <c r="AH309">
        <f t="shared" si="105"/>
        <v>0.23665253750680249</v>
      </c>
      <c r="AI309">
        <f t="shared" si="106"/>
        <v>-0.18774837432739863</v>
      </c>
      <c r="AK309" s="26">
        <f t="shared" si="107"/>
        <v>7.3418478516788011E-2</v>
      </c>
      <c r="AL309" s="26">
        <f t="shared" si="108"/>
        <v>4.0462522923711663E-2</v>
      </c>
      <c r="AM309" s="26">
        <f t="shared" si="109"/>
        <v>4.4031614296134391E-2</v>
      </c>
      <c r="AN309" s="26">
        <f t="shared" si="110"/>
        <v>11.295714285714268</v>
      </c>
      <c r="AO309" s="26">
        <f t="shared" si="111"/>
        <v>13.253270223752182</v>
      </c>
      <c r="AP309" s="26">
        <f t="shared" si="112"/>
        <v>14.414078937002699</v>
      </c>
      <c r="AS309" s="2">
        <v>45171</v>
      </c>
      <c r="AT309">
        <v>24.3</v>
      </c>
      <c r="AU309">
        <v>53</v>
      </c>
      <c r="AV309">
        <v>8.6</v>
      </c>
      <c r="AW309">
        <v>1.4</v>
      </c>
      <c r="AX309">
        <v>2.02</v>
      </c>
      <c r="AY309">
        <v>0.5</v>
      </c>
      <c r="AZ309">
        <v>3.6</v>
      </c>
      <c r="BA309">
        <v>182.6952</v>
      </c>
      <c r="BB309">
        <v>36.550600000000003</v>
      </c>
      <c r="BC309">
        <v>60.908200000000001</v>
      </c>
      <c r="BD309">
        <v>3.48</v>
      </c>
      <c r="BE309">
        <v>18.343499999999999</v>
      </c>
      <c r="BH309">
        <v>92.88</v>
      </c>
    </row>
    <row r="310" spans="1:60" x14ac:dyDescent="0.25">
      <c r="A310" s="2">
        <v>45191</v>
      </c>
      <c r="B310">
        <v>16.3</v>
      </c>
      <c r="C310">
        <v>38</v>
      </c>
      <c r="D310">
        <v>32.9</v>
      </c>
      <c r="E310">
        <v>8.6</v>
      </c>
      <c r="F310">
        <v>104.4</v>
      </c>
      <c r="G310">
        <v>0.5</v>
      </c>
      <c r="H310">
        <v>2.9</v>
      </c>
      <c r="I310">
        <v>255.72540000000001</v>
      </c>
      <c r="J310">
        <v>74.671999999999997</v>
      </c>
      <c r="K310">
        <v>65.762500000000003</v>
      </c>
      <c r="L310">
        <v>3.48</v>
      </c>
      <c r="M310">
        <v>28.6511</v>
      </c>
      <c r="N310">
        <v>-15.089600000000001</v>
      </c>
      <c r="O310">
        <v>-22.591200000000001</v>
      </c>
      <c r="P310">
        <v>94.45</v>
      </c>
      <c r="S310">
        <f t="shared" si="91"/>
        <v>631.89100000000008</v>
      </c>
      <c r="T310">
        <f t="shared" si="92"/>
        <v>1.5280679362130067E-2</v>
      </c>
      <c r="U310">
        <f t="shared" si="93"/>
        <v>3.5623669678585435E-2</v>
      </c>
      <c r="V310">
        <f t="shared" si="94"/>
        <v>3.084259822172265E-2</v>
      </c>
      <c r="W310">
        <f t="shared" si="95"/>
        <v>8.0621989272588075E-3</v>
      </c>
      <c r="X310">
        <f t="shared" si="96"/>
        <v>9.7871345116955777E-2</v>
      </c>
      <c r="Y310">
        <f t="shared" si="97"/>
        <v>4.6873249577086097E-4</v>
      </c>
      <c r="Z310">
        <f t="shared" si="98"/>
        <v>2.7186484754709935E-3</v>
      </c>
      <c r="AA310">
        <f t="shared" si="99"/>
        <v>0.23973360994800347</v>
      </c>
      <c r="AB310">
        <f t="shared" si="100"/>
        <v>7.0002385848403459E-2</v>
      </c>
      <c r="AC310">
        <f t="shared" si="101"/>
        <v>6.1650041506262493E-2</v>
      </c>
      <c r="AD310">
        <f t="shared" si="102"/>
        <v>3.2623781705651924E-3</v>
      </c>
      <c r="AE310">
        <f t="shared" si="103"/>
        <v>2.6859403219161027E-2</v>
      </c>
      <c r="AG310">
        <f t="shared" si="104"/>
        <v>0.79082208227269624</v>
      </c>
      <c r="AH310">
        <f t="shared" si="105"/>
        <v>0.21772727549705562</v>
      </c>
      <c r="AI310">
        <f t="shared" si="106"/>
        <v>-0.30393555033294628</v>
      </c>
      <c r="AK310" s="26">
        <f t="shared" si="107"/>
        <v>6.9353548471281334E-2</v>
      </c>
      <c r="AL310" s="26">
        <f t="shared" si="108"/>
        <v>3.8984636068583212E-2</v>
      </c>
      <c r="AM310" s="26">
        <f t="shared" si="109"/>
        <v>4.5604695292994379E-2</v>
      </c>
      <c r="AN310" s="26">
        <f t="shared" si="110"/>
        <v>11.432857142857117</v>
      </c>
      <c r="AO310" s="26">
        <f t="shared" si="111"/>
        <v>13.351817986230671</v>
      </c>
      <c r="AP310" s="26">
        <f t="shared" si="112"/>
        <v>14.471029909928831</v>
      </c>
      <c r="AS310" s="2">
        <v>45170</v>
      </c>
      <c r="AT310">
        <v>24.3</v>
      </c>
      <c r="AU310">
        <v>82.4</v>
      </c>
      <c r="AV310">
        <v>18.2</v>
      </c>
      <c r="AW310">
        <v>4.9000000000000004</v>
      </c>
      <c r="AX310">
        <v>177.29</v>
      </c>
      <c r="AY310">
        <v>0.7</v>
      </c>
      <c r="AZ310">
        <v>3.4</v>
      </c>
      <c r="BA310">
        <v>238.93770000000001</v>
      </c>
      <c r="BB310">
        <v>40.859400000000001</v>
      </c>
      <c r="BC310">
        <v>80.156400000000005</v>
      </c>
      <c r="BD310">
        <v>3.48</v>
      </c>
      <c r="BE310">
        <v>25.892800000000001</v>
      </c>
      <c r="BF310">
        <v>-13.196</v>
      </c>
      <c r="BG310">
        <v>-25.776599999999998</v>
      </c>
      <c r="BH310">
        <v>92.86</v>
      </c>
    </row>
    <row r="311" spans="1:60" x14ac:dyDescent="0.25">
      <c r="A311" s="2">
        <v>45190</v>
      </c>
      <c r="B311">
        <v>16.2</v>
      </c>
      <c r="C311">
        <v>319.2</v>
      </c>
      <c r="D311">
        <v>25</v>
      </c>
      <c r="E311">
        <v>12.2</v>
      </c>
      <c r="F311">
        <v>195.01</v>
      </c>
      <c r="G311">
        <v>0.4</v>
      </c>
      <c r="H311">
        <v>3</v>
      </c>
      <c r="I311">
        <v>202.20769999999999</v>
      </c>
      <c r="J311">
        <v>82.241900000000001</v>
      </c>
      <c r="K311">
        <v>50.426600000000001</v>
      </c>
      <c r="L311">
        <v>4.2625999999999999</v>
      </c>
      <c r="M311">
        <v>33.700299999999999</v>
      </c>
      <c r="N311">
        <v>-15.472300000000001</v>
      </c>
      <c r="O311">
        <v>-23.540199999999999</v>
      </c>
      <c r="P311">
        <v>94.33</v>
      </c>
      <c r="S311">
        <f t="shared" si="91"/>
        <v>943.84909999999991</v>
      </c>
      <c r="T311">
        <f t="shared" si="92"/>
        <v>1.5186932862975894E-2</v>
      </c>
      <c r="U311">
        <f t="shared" si="93"/>
        <v>0.29923882530011764</v>
      </c>
      <c r="V311">
        <f t="shared" si="94"/>
        <v>2.3436624788543046E-2</v>
      </c>
      <c r="W311">
        <f t="shared" si="95"/>
        <v>1.1437072896809007E-2</v>
      </c>
      <c r="X311">
        <f t="shared" si="96"/>
        <v>0.18281504800055118</v>
      </c>
      <c r="Y311">
        <f t="shared" si="97"/>
        <v>3.7498599661668879E-4</v>
      </c>
      <c r="Z311">
        <f t="shared" si="98"/>
        <v>2.8123949746251659E-3</v>
      </c>
      <c r="AA311">
        <f t="shared" si="99"/>
        <v>0.18956263977017104</v>
      </c>
      <c r="AB311">
        <f t="shared" si="100"/>
        <v>7.7098902087875135E-2</v>
      </c>
      <c r="AC311">
        <f t="shared" si="101"/>
        <v>4.7273172142477796E-2</v>
      </c>
      <c r="AD311">
        <f t="shared" si="102"/>
        <v>3.9960382729457436E-3</v>
      </c>
      <c r="AE311">
        <f t="shared" si="103"/>
        <v>3.1592851454453487E-2</v>
      </c>
      <c r="AG311">
        <f t="shared" si="104"/>
        <v>0.78620370357601899</v>
      </c>
      <c r="AH311">
        <f t="shared" si="105"/>
        <v>0.566894736274692</v>
      </c>
      <c r="AI311">
        <f t="shared" si="106"/>
        <v>1.8383066294239241</v>
      </c>
      <c r="AK311" s="26">
        <f t="shared" si="107"/>
        <v>7.2874940778811181E-2</v>
      </c>
      <c r="AL311" s="26">
        <f t="shared" si="108"/>
        <v>4.1250199706464874E-2</v>
      </c>
      <c r="AM311" s="26">
        <f t="shared" si="109"/>
        <v>4.8463726695337439E-2</v>
      </c>
      <c r="AN311" s="26">
        <f t="shared" si="110"/>
        <v>11.580476190476176</v>
      </c>
      <c r="AO311" s="26">
        <f t="shared" si="111"/>
        <v>13.449688037865783</v>
      </c>
      <c r="AP311" s="26">
        <f t="shared" si="112"/>
        <v>14.527636354087335</v>
      </c>
      <c r="AS311" s="2">
        <v>45169</v>
      </c>
      <c r="AT311">
        <v>22.4</v>
      </c>
      <c r="AU311">
        <v>101</v>
      </c>
      <c r="AV311">
        <v>22.1</v>
      </c>
      <c r="AW311">
        <v>8.8000000000000007</v>
      </c>
      <c r="AX311">
        <v>204.31</v>
      </c>
      <c r="AY311">
        <v>0.7</v>
      </c>
      <c r="AZ311">
        <v>2.8</v>
      </c>
      <c r="BA311">
        <v>239.69059999999999</v>
      </c>
      <c r="BB311">
        <v>46.712499999999999</v>
      </c>
      <c r="BC311">
        <v>77.708600000000004</v>
      </c>
      <c r="BD311">
        <v>3.3287</v>
      </c>
      <c r="BE311">
        <v>16.251000000000001</v>
      </c>
      <c r="BF311">
        <v>-44.522199999999998</v>
      </c>
      <c r="BG311">
        <v>-25.335999999999999</v>
      </c>
      <c r="BH311">
        <v>92.92</v>
      </c>
    </row>
    <row r="312" spans="1:60" x14ac:dyDescent="0.25">
      <c r="A312" s="2">
        <v>45189</v>
      </c>
      <c r="B312">
        <v>16.8</v>
      </c>
      <c r="C312">
        <v>3.4</v>
      </c>
      <c r="D312">
        <v>40.1</v>
      </c>
      <c r="E312">
        <v>12.4</v>
      </c>
      <c r="F312">
        <v>234.19</v>
      </c>
      <c r="G312">
        <v>0.4</v>
      </c>
      <c r="H312">
        <v>3.2</v>
      </c>
      <c r="I312">
        <v>150.54810000000001</v>
      </c>
      <c r="J312">
        <v>67.112899999999996</v>
      </c>
      <c r="K312">
        <v>43.421500000000002</v>
      </c>
      <c r="L312">
        <v>3.48</v>
      </c>
      <c r="M312">
        <v>24.300999999999998</v>
      </c>
      <c r="N312">
        <v>-15.2597</v>
      </c>
      <c r="O312">
        <v>-26.614999999999998</v>
      </c>
      <c r="P312">
        <v>94.24</v>
      </c>
      <c r="S312">
        <f t="shared" si="91"/>
        <v>599.35350000000005</v>
      </c>
      <c r="T312">
        <f t="shared" si="92"/>
        <v>1.5749411857900929E-2</v>
      </c>
      <c r="U312">
        <f t="shared" si="93"/>
        <v>3.1873809712418544E-3</v>
      </c>
      <c r="V312">
        <f t="shared" si="94"/>
        <v>3.7592346160823048E-2</v>
      </c>
      <c r="W312">
        <f t="shared" si="95"/>
        <v>1.1624565895117352E-2</v>
      </c>
      <c r="X312">
        <f t="shared" si="96"/>
        <v>0.21954492636915585</v>
      </c>
      <c r="Y312">
        <f t="shared" si="97"/>
        <v>3.7498599661668879E-4</v>
      </c>
      <c r="Z312">
        <f t="shared" si="98"/>
        <v>2.9998879729335104E-3</v>
      </c>
      <c r="AA312">
        <f t="shared" si="99"/>
        <v>0.14113357329312232</v>
      </c>
      <c r="AB312">
        <f t="shared" si="100"/>
        <v>6.2915994230840419E-2</v>
      </c>
      <c r="AC312">
        <f t="shared" si="101"/>
        <v>4.070613613022888E-2</v>
      </c>
      <c r="AD312">
        <f t="shared" si="102"/>
        <v>3.2623781705651924E-3</v>
      </c>
      <c r="AE312">
        <f t="shared" si="103"/>
        <v>2.2781336759455383E-2</v>
      </c>
      <c r="AG312">
        <f t="shared" si="104"/>
        <v>0.78302989276146429</v>
      </c>
      <c r="AH312">
        <f t="shared" si="105"/>
        <v>0.31385484198324454</v>
      </c>
      <c r="AI312">
        <f t="shared" si="106"/>
        <v>0.29051605954822451</v>
      </c>
      <c r="AK312" s="26">
        <f t="shared" si="107"/>
        <v>6.2777619933969853E-2</v>
      </c>
      <c r="AL312" s="26">
        <f t="shared" si="108"/>
        <v>3.2956140919004895E-2</v>
      </c>
      <c r="AM312" s="26">
        <f t="shared" si="109"/>
        <v>4.6522743501556663E-2</v>
      </c>
      <c r="AN312" s="26">
        <f t="shared" si="110"/>
        <v>11.73031746031748</v>
      </c>
      <c r="AO312" s="26">
        <f t="shared" si="111"/>
        <v>13.547887263339092</v>
      </c>
      <c r="AP312" s="26">
        <f t="shared" si="112"/>
        <v>14.585080486331762</v>
      </c>
      <c r="AS312" s="2">
        <v>45168</v>
      </c>
      <c r="AT312">
        <v>20.8</v>
      </c>
      <c r="AU312">
        <v>195.3</v>
      </c>
      <c r="AV312">
        <v>18.5</v>
      </c>
      <c r="AW312">
        <v>2.8</v>
      </c>
      <c r="AX312">
        <v>179.84</v>
      </c>
      <c r="AY312">
        <v>0.7</v>
      </c>
      <c r="AZ312">
        <v>2.9</v>
      </c>
      <c r="BA312">
        <v>279.68770000000001</v>
      </c>
      <c r="BB312">
        <v>84.549000000000007</v>
      </c>
      <c r="BC312">
        <v>92.527500000000003</v>
      </c>
      <c r="BD312">
        <v>3.48</v>
      </c>
      <c r="BE312">
        <v>19.6145</v>
      </c>
      <c r="BF312">
        <v>-9.2592999999999996</v>
      </c>
      <c r="BG312">
        <v>-22.979199999999999</v>
      </c>
      <c r="BH312">
        <v>92.77</v>
      </c>
    </row>
    <row r="313" spans="1:60" x14ac:dyDescent="0.25">
      <c r="A313" s="2">
        <v>45188</v>
      </c>
      <c r="B313">
        <v>17.100000000000001</v>
      </c>
      <c r="C313">
        <v>23.3</v>
      </c>
      <c r="D313">
        <v>34.9</v>
      </c>
      <c r="E313">
        <v>15.7</v>
      </c>
      <c r="F313">
        <v>196.26</v>
      </c>
      <c r="G313">
        <v>0.4</v>
      </c>
      <c r="H313">
        <v>3.1</v>
      </c>
      <c r="I313">
        <v>150.66990000000001</v>
      </c>
      <c r="J313">
        <v>48.570300000000003</v>
      </c>
      <c r="K313">
        <v>33.402099999999997</v>
      </c>
      <c r="L313">
        <v>4.2192999999999996</v>
      </c>
      <c r="M313">
        <v>26.177299999999999</v>
      </c>
      <c r="N313">
        <v>-13.639099999999999</v>
      </c>
      <c r="O313">
        <v>-25.515000000000001</v>
      </c>
      <c r="P313">
        <v>94.18</v>
      </c>
      <c r="S313">
        <f t="shared" si="91"/>
        <v>553.79889999999989</v>
      </c>
      <c r="T313">
        <f t="shared" si="92"/>
        <v>1.6030651355363447E-2</v>
      </c>
      <c r="U313">
        <f t="shared" si="93"/>
        <v>2.1842934302922123E-2</v>
      </c>
      <c r="V313">
        <f t="shared" si="94"/>
        <v>3.2717528204806091E-2</v>
      </c>
      <c r="W313">
        <f t="shared" si="95"/>
        <v>1.4718200367205033E-2</v>
      </c>
      <c r="X313">
        <f t="shared" si="96"/>
        <v>0.18398687923997833</v>
      </c>
      <c r="Y313">
        <f t="shared" si="97"/>
        <v>3.7498599661668879E-4</v>
      </c>
      <c r="Z313">
        <f t="shared" si="98"/>
        <v>2.9061414737793379E-3</v>
      </c>
      <c r="AA313">
        <f t="shared" si="99"/>
        <v>0.14124775652909211</v>
      </c>
      <c r="AB313">
        <f t="shared" si="100"/>
        <v>4.55329558786789E-2</v>
      </c>
      <c r="AC313">
        <f t="shared" si="101"/>
        <v>3.1313299393975744E-2</v>
      </c>
      <c r="AD313">
        <f t="shared" si="102"/>
        <v>3.9554460388119871E-3</v>
      </c>
      <c r="AE313">
        <f t="shared" si="103"/>
        <v>2.4540302323085118E-2</v>
      </c>
      <c r="AG313">
        <f t="shared" si="104"/>
        <v>0.78130489055535357</v>
      </c>
      <c r="AH313">
        <f t="shared" si="105"/>
        <v>0.29711762326375613</v>
      </c>
      <c r="AI313">
        <f t="shared" si="106"/>
        <v>0.18850956496610513</v>
      </c>
      <c r="AK313" s="26">
        <f t="shared" si="107"/>
        <v>6.5040831548113465E-2</v>
      </c>
      <c r="AL313" s="26">
        <f t="shared" si="108"/>
        <v>2.9454371159766235E-2</v>
      </c>
      <c r="AM313" s="26">
        <f t="shared" si="109"/>
        <v>4.6724920843568551E-2</v>
      </c>
      <c r="AN313" s="26">
        <f t="shared" si="110"/>
        <v>11.879523809523803</v>
      </c>
      <c r="AO313" s="26">
        <f t="shared" si="111"/>
        <v>13.644679432013817</v>
      </c>
      <c r="AP313" s="26">
        <f t="shared" si="112"/>
        <v>14.644283238360345</v>
      </c>
      <c r="AS313" s="2">
        <v>45167</v>
      </c>
      <c r="AT313">
        <v>17.2</v>
      </c>
      <c r="AU313">
        <v>195.2</v>
      </c>
      <c r="AV313">
        <v>3.6</v>
      </c>
      <c r="AW313">
        <v>1.2</v>
      </c>
      <c r="AX313">
        <v>113.3</v>
      </c>
      <c r="AY313">
        <v>0.5</v>
      </c>
      <c r="AZ313">
        <v>3.1</v>
      </c>
      <c r="BA313">
        <v>277.54070000000002</v>
      </c>
      <c r="BB313">
        <v>101.5788</v>
      </c>
      <c r="BC313">
        <v>114.4255</v>
      </c>
      <c r="BD313">
        <v>3.48</v>
      </c>
      <c r="BE313">
        <v>24.6431</v>
      </c>
      <c r="BF313">
        <v>-8.327</v>
      </c>
      <c r="BG313">
        <v>-23.4556</v>
      </c>
      <c r="BH313">
        <v>92.68</v>
      </c>
    </row>
    <row r="314" spans="1:60" x14ac:dyDescent="0.25">
      <c r="A314" s="2">
        <v>45187</v>
      </c>
      <c r="B314">
        <v>15.4</v>
      </c>
      <c r="C314">
        <v>18</v>
      </c>
      <c r="D314">
        <v>46.8</v>
      </c>
      <c r="E314">
        <v>13.6</v>
      </c>
      <c r="F314">
        <v>130.26</v>
      </c>
      <c r="G314">
        <v>0.4</v>
      </c>
      <c r="H314">
        <v>3.1</v>
      </c>
      <c r="I314">
        <v>172.7996</v>
      </c>
      <c r="J314">
        <v>55.790799999999997</v>
      </c>
      <c r="K314">
        <v>45.996299999999998</v>
      </c>
      <c r="L314">
        <v>7.7558999999999996</v>
      </c>
      <c r="M314">
        <v>26.5061</v>
      </c>
      <c r="N314">
        <v>-12.1585</v>
      </c>
      <c r="O314">
        <v>-27.9312</v>
      </c>
      <c r="P314">
        <v>94.09</v>
      </c>
      <c r="S314">
        <f t="shared" si="91"/>
        <v>536.40869999999995</v>
      </c>
      <c r="T314">
        <f t="shared" si="92"/>
        <v>1.4436960869742518E-2</v>
      </c>
      <c r="U314">
        <f t="shared" si="93"/>
        <v>1.6874369847750995E-2</v>
      </c>
      <c r="V314">
        <f t="shared" si="94"/>
        <v>4.3873361604152582E-2</v>
      </c>
      <c r="W314">
        <f t="shared" si="95"/>
        <v>1.2749523884967418E-2</v>
      </c>
      <c r="X314">
        <f t="shared" si="96"/>
        <v>0.12211418979822469</v>
      </c>
      <c r="Y314">
        <f t="shared" si="97"/>
        <v>3.7498599661668879E-4</v>
      </c>
      <c r="Z314">
        <f t="shared" si="98"/>
        <v>2.9061414737793379E-3</v>
      </c>
      <c r="AA314">
        <f t="shared" si="99"/>
        <v>0.16199357555241292</v>
      </c>
      <c r="AB314">
        <f t="shared" si="100"/>
        <v>5.2301921850105897E-2</v>
      </c>
      <c r="AC314">
        <f t="shared" si="101"/>
        <v>4.3119920990450498E-2</v>
      </c>
      <c r="AD314">
        <f t="shared" si="102"/>
        <v>7.2708847278984403E-3</v>
      </c>
      <c r="AE314">
        <f t="shared" si="103"/>
        <v>2.4848540812304035E-2</v>
      </c>
      <c r="AG314">
        <f t="shared" si="104"/>
        <v>0.77816292911185314</v>
      </c>
      <c r="AH314">
        <f t="shared" si="105"/>
        <v>0.23817807428753829</v>
      </c>
      <c r="AI314">
        <f t="shared" si="106"/>
        <v>-0.17468977918953954</v>
      </c>
      <c r="AK314" s="26">
        <f t="shared" si="107"/>
        <v>6.4612390702463218E-2</v>
      </c>
      <c r="AL314" s="26">
        <f t="shared" si="108"/>
        <v>2.7707175279514662E-2</v>
      </c>
      <c r="AM314" s="26">
        <f t="shared" si="109"/>
        <v>4.7087170213490681E-2</v>
      </c>
      <c r="AN314" s="26">
        <f t="shared" si="110"/>
        <v>12.028571428571425</v>
      </c>
      <c r="AO314" s="26">
        <f t="shared" si="111"/>
        <v>13.739647160068856</v>
      </c>
      <c r="AP314" s="26">
        <f t="shared" si="112"/>
        <v>14.700915417137139</v>
      </c>
      <c r="AS314" s="2">
        <v>45166</v>
      </c>
      <c r="AT314">
        <v>22.3</v>
      </c>
      <c r="AU314">
        <v>103</v>
      </c>
      <c r="AV314">
        <v>22</v>
      </c>
      <c r="AW314">
        <v>4.9000000000000004</v>
      </c>
      <c r="AX314">
        <v>130.21</v>
      </c>
      <c r="AY314">
        <v>0.8</v>
      </c>
      <c r="AZ314">
        <v>3.2</v>
      </c>
      <c r="BA314">
        <v>259.98439999999999</v>
      </c>
      <c r="BB314">
        <v>78.551400000000001</v>
      </c>
      <c r="BC314">
        <v>92.726900000000001</v>
      </c>
      <c r="BD314">
        <v>3.48</v>
      </c>
      <c r="BE314">
        <v>20.633600000000001</v>
      </c>
      <c r="BF314">
        <v>-9.8398000000000003</v>
      </c>
      <c r="BG314">
        <v>-18.872199999999999</v>
      </c>
      <c r="BH314">
        <v>92.62</v>
      </c>
    </row>
    <row r="315" spans="1:60" x14ac:dyDescent="0.25">
      <c r="A315" s="2">
        <v>45186</v>
      </c>
      <c r="B315">
        <v>15.6</v>
      </c>
      <c r="C315">
        <v>45.2</v>
      </c>
      <c r="D315">
        <v>20.399999999999999</v>
      </c>
      <c r="E315">
        <v>3.8</v>
      </c>
      <c r="F315">
        <v>234.18</v>
      </c>
      <c r="G315">
        <v>0.4</v>
      </c>
      <c r="H315">
        <v>3.1</v>
      </c>
      <c r="I315">
        <v>160.90100000000001</v>
      </c>
      <c r="J315">
        <v>35.796900000000001</v>
      </c>
      <c r="K315">
        <v>32.956099999999999</v>
      </c>
      <c r="L315">
        <v>3.9906000000000001</v>
      </c>
      <c r="M315">
        <v>17.598199999999999</v>
      </c>
      <c r="P315">
        <v>94</v>
      </c>
      <c r="S315">
        <f t="shared" si="91"/>
        <v>573.92280000000005</v>
      </c>
      <c r="T315">
        <f t="shared" si="92"/>
        <v>1.4624453868050861E-2</v>
      </c>
      <c r="U315">
        <f t="shared" si="93"/>
        <v>4.237341761768583E-2</v>
      </c>
      <c r="V315">
        <f t="shared" si="94"/>
        <v>1.9124285827451126E-2</v>
      </c>
      <c r="W315">
        <f t="shared" si="95"/>
        <v>3.5623669678585433E-3</v>
      </c>
      <c r="X315">
        <f t="shared" si="96"/>
        <v>0.21953555171924044</v>
      </c>
      <c r="Y315">
        <f t="shared" si="97"/>
        <v>3.7498599661668879E-4</v>
      </c>
      <c r="Z315">
        <f t="shared" si="98"/>
        <v>2.9061414737793379E-3</v>
      </c>
      <c r="AA315">
        <f t="shared" si="99"/>
        <v>0.15083905460405461</v>
      </c>
      <c r="AB315">
        <f t="shared" si="100"/>
        <v>3.3558340555719865E-2</v>
      </c>
      <c r="AC315">
        <f t="shared" si="101"/>
        <v>3.0895190007748142E-2</v>
      </c>
      <c r="AD315">
        <f t="shared" si="102"/>
        <v>3.7410477952463956E-3</v>
      </c>
      <c r="AE315">
        <f t="shared" si="103"/>
        <v>1.649769641414953E-2</v>
      </c>
      <c r="AG315">
        <f t="shared" si="104"/>
        <v>0.77503506451339033</v>
      </c>
      <c r="AH315">
        <f t="shared" si="105"/>
        <v>0.31899889988483232</v>
      </c>
      <c r="AI315">
        <f t="shared" si="106"/>
        <v>0.32444928884763358</v>
      </c>
      <c r="AK315" s="26">
        <f t="shared" si="107"/>
        <v>6.5730911432704708E-2</v>
      </c>
      <c r="AL315" s="26">
        <f t="shared" si="108"/>
        <v>2.556954923164878E-2</v>
      </c>
      <c r="AM315" s="26">
        <f t="shared" si="109"/>
        <v>4.7813347976004728E-2</v>
      </c>
      <c r="AN315" s="26">
        <f t="shared" si="110"/>
        <v>12.177619047619075</v>
      </c>
      <c r="AO315" s="26">
        <f t="shared" si="111"/>
        <v>13.832540877796916</v>
      </c>
      <c r="AP315" s="26">
        <f t="shared" si="112"/>
        <v>14.756550773351535</v>
      </c>
      <c r="AS315" s="2">
        <v>45165</v>
      </c>
      <c r="AT315">
        <v>21.9</v>
      </c>
      <c r="AU315">
        <v>18.100000000000001</v>
      </c>
      <c r="AV315">
        <v>15.9</v>
      </c>
      <c r="AW315">
        <v>3.1</v>
      </c>
      <c r="AX315">
        <v>123</v>
      </c>
      <c r="AY315">
        <v>0.8</v>
      </c>
      <c r="AZ315">
        <v>3.1</v>
      </c>
      <c r="BA315">
        <v>205.7758</v>
      </c>
      <c r="BB315">
        <v>24.31</v>
      </c>
      <c r="BC315">
        <v>40.0944</v>
      </c>
      <c r="BD315">
        <v>3.48</v>
      </c>
      <c r="BE315">
        <v>12.728899999999999</v>
      </c>
      <c r="BH315">
        <v>92.5</v>
      </c>
    </row>
    <row r="316" spans="1:60" x14ac:dyDescent="0.25">
      <c r="A316" s="2">
        <v>45185</v>
      </c>
      <c r="B316">
        <v>16.3</v>
      </c>
      <c r="C316">
        <v>38.6</v>
      </c>
      <c r="D316">
        <v>10.5</v>
      </c>
      <c r="E316">
        <v>4.4000000000000004</v>
      </c>
      <c r="F316">
        <v>265.68</v>
      </c>
      <c r="G316">
        <v>0.5</v>
      </c>
      <c r="H316">
        <v>3.1</v>
      </c>
      <c r="I316">
        <v>187.29640000000001</v>
      </c>
      <c r="J316">
        <v>43.825899999999997</v>
      </c>
      <c r="K316">
        <v>37.4114</v>
      </c>
      <c r="L316">
        <v>3.48</v>
      </c>
      <c r="M316">
        <v>22.561499999999999</v>
      </c>
      <c r="P316">
        <v>93.86</v>
      </c>
      <c r="S316">
        <f t="shared" si="91"/>
        <v>633.65520000000015</v>
      </c>
      <c r="T316">
        <f t="shared" si="92"/>
        <v>1.5280679362130067E-2</v>
      </c>
      <c r="U316">
        <f t="shared" si="93"/>
        <v>3.6186148673510464E-2</v>
      </c>
      <c r="V316">
        <f t="shared" si="94"/>
        <v>9.8433824111880796E-3</v>
      </c>
      <c r="W316">
        <f t="shared" si="95"/>
        <v>4.1248459627835771E-3</v>
      </c>
      <c r="X316">
        <f t="shared" si="96"/>
        <v>0.24906569895280467</v>
      </c>
      <c r="Y316">
        <f t="shared" si="97"/>
        <v>4.6873249577086097E-4</v>
      </c>
      <c r="Z316">
        <f t="shared" si="98"/>
        <v>2.9061414737793379E-3</v>
      </c>
      <c r="AA316">
        <f t="shared" si="99"/>
        <v>0.17558381804179496</v>
      </c>
      <c r="AB316">
        <f t="shared" si="100"/>
        <v>4.1085246972808347E-2</v>
      </c>
      <c r="AC316">
        <f t="shared" si="101"/>
        <v>3.5071877784563978E-2</v>
      </c>
      <c r="AD316">
        <f t="shared" si="102"/>
        <v>3.2623781705651924E-3</v>
      </c>
      <c r="AE316">
        <f t="shared" si="103"/>
        <v>2.1150616406668557E-2</v>
      </c>
      <c r="AG316">
        <f t="shared" si="104"/>
        <v>0.76954513938733826</v>
      </c>
      <c r="AH316">
        <f t="shared" si="105"/>
        <v>0.33902624573863555</v>
      </c>
      <c r="AI316">
        <f t="shared" si="106"/>
        <v>0.45084523339826255</v>
      </c>
      <c r="AK316" s="26">
        <f t="shared" si="107"/>
        <v>5.1671527236642867E-2</v>
      </c>
      <c r="AL316" s="26">
        <f t="shared" si="108"/>
        <v>2.2462872519896759E-2</v>
      </c>
      <c r="AM316" s="26">
        <f t="shared" si="109"/>
        <v>4.7820498743112505E-2</v>
      </c>
      <c r="AN316" s="26">
        <f t="shared" si="110"/>
        <v>12.329365079365104</v>
      </c>
      <c r="AO316" s="26">
        <f t="shared" si="111"/>
        <v>13.92474827882964</v>
      </c>
      <c r="AP316" s="26">
        <f t="shared" si="112"/>
        <v>14.811013891441917</v>
      </c>
      <c r="AS316" s="2">
        <v>45164</v>
      </c>
      <c r="AT316">
        <v>20</v>
      </c>
      <c r="AU316">
        <v>39.200000000000003</v>
      </c>
      <c r="AV316">
        <v>14.5</v>
      </c>
      <c r="AW316">
        <v>5.7</v>
      </c>
      <c r="AX316">
        <v>207.58</v>
      </c>
      <c r="AY316">
        <v>0.7</v>
      </c>
      <c r="AZ316">
        <v>3.3</v>
      </c>
      <c r="BA316">
        <v>223.41980000000001</v>
      </c>
      <c r="BB316">
        <v>31.749099999999999</v>
      </c>
      <c r="BC316">
        <v>50.661299999999997</v>
      </c>
      <c r="BD316">
        <v>3.3435000000000001</v>
      </c>
      <c r="BE316">
        <v>11.563599999999999</v>
      </c>
      <c r="BH316">
        <v>92.28</v>
      </c>
    </row>
    <row r="317" spans="1:60" x14ac:dyDescent="0.25">
      <c r="A317" s="2">
        <v>45184</v>
      </c>
      <c r="B317">
        <v>18.3</v>
      </c>
      <c r="C317">
        <v>20.2</v>
      </c>
      <c r="D317">
        <v>18.2</v>
      </c>
      <c r="E317">
        <v>3.9</v>
      </c>
      <c r="F317">
        <v>271.81</v>
      </c>
      <c r="G317">
        <v>0.4</v>
      </c>
      <c r="H317">
        <v>3.3</v>
      </c>
      <c r="I317">
        <v>266.98770000000002</v>
      </c>
      <c r="J317">
        <v>57.634900000000002</v>
      </c>
      <c r="K317">
        <v>75.613699999999994</v>
      </c>
      <c r="L317">
        <v>3.48</v>
      </c>
      <c r="M317">
        <v>23.7393</v>
      </c>
      <c r="N317">
        <v>-16.117899999999999</v>
      </c>
      <c r="O317">
        <v>-29.016100000000002</v>
      </c>
      <c r="P317">
        <v>93.77</v>
      </c>
      <c r="S317">
        <f t="shared" si="91"/>
        <v>763.56560000000002</v>
      </c>
      <c r="T317">
        <f t="shared" si="92"/>
        <v>1.7155609345213513E-2</v>
      </c>
      <c r="U317">
        <f t="shared" si="93"/>
        <v>1.8936792829142783E-2</v>
      </c>
      <c r="V317">
        <f t="shared" si="94"/>
        <v>1.7061862846059338E-2</v>
      </c>
      <c r="W317">
        <f t="shared" si="95"/>
        <v>3.6561134670127153E-3</v>
      </c>
      <c r="X317">
        <f t="shared" si="96"/>
        <v>0.25481235935095542</v>
      </c>
      <c r="Y317">
        <f t="shared" si="97"/>
        <v>3.7498599661668879E-4</v>
      </c>
      <c r="Z317">
        <f t="shared" si="98"/>
        <v>3.0936344720876819E-3</v>
      </c>
      <c r="AA317">
        <f t="shared" si="99"/>
        <v>0.2502916219222438</v>
      </c>
      <c r="AB317">
        <f t="shared" si="100"/>
        <v>5.4030701041007989E-2</v>
      </c>
      <c r="AC317">
        <f t="shared" si="101"/>
        <v>7.0885196630938299E-2</v>
      </c>
      <c r="AD317">
        <f t="shared" si="102"/>
        <v>3.2623781705651924E-3</v>
      </c>
      <c r="AE317">
        <f t="shared" si="103"/>
        <v>2.2254762673706401E-2</v>
      </c>
      <c r="AG317">
        <f t="shared" si="104"/>
        <v>0.76647526265054755</v>
      </c>
      <c r="AH317">
        <f t="shared" si="105"/>
        <v>0.33734612098079453</v>
      </c>
      <c r="AI317">
        <f t="shared" si="106"/>
        <v>0.44373111506444934</v>
      </c>
      <c r="AK317" s="26">
        <f t="shared" si="107"/>
        <v>5.1451321174248665E-2</v>
      </c>
      <c r="AL317" s="26">
        <f t="shared" si="108"/>
        <v>2.3227348092908495E-2</v>
      </c>
      <c r="AM317" s="26">
        <f t="shared" si="109"/>
        <v>4.9338433377231095E-2</v>
      </c>
      <c r="AN317" s="26">
        <f t="shared" si="110"/>
        <v>12.480634920634941</v>
      </c>
      <c r="AO317" s="26">
        <f t="shared" si="111"/>
        <v>14.013993115318428</v>
      </c>
      <c r="AP317" s="26">
        <f t="shared" si="112"/>
        <v>14.864125154276394</v>
      </c>
      <c r="AS317" s="2">
        <v>45163</v>
      </c>
      <c r="AT317">
        <v>18.7</v>
      </c>
      <c r="AU317">
        <v>163.9</v>
      </c>
      <c r="AV317">
        <v>11</v>
      </c>
      <c r="AW317">
        <v>4.7</v>
      </c>
      <c r="AX317">
        <v>161.91</v>
      </c>
      <c r="AY317">
        <v>0.6</v>
      </c>
      <c r="AZ317">
        <v>3.2</v>
      </c>
      <c r="BA317">
        <v>266.5394</v>
      </c>
      <c r="BB317">
        <v>80.746099999999998</v>
      </c>
      <c r="BC317">
        <v>109.9654</v>
      </c>
      <c r="BD317">
        <v>3.48</v>
      </c>
      <c r="BE317">
        <v>26.7803</v>
      </c>
      <c r="BF317">
        <v>-10.023300000000001</v>
      </c>
      <c r="BG317">
        <v>-26.345300000000002</v>
      </c>
      <c r="BH317">
        <v>92.09</v>
      </c>
    </row>
    <row r="318" spans="1:60" x14ac:dyDescent="0.25">
      <c r="A318" s="2">
        <v>45183</v>
      </c>
      <c r="B318">
        <v>19.2</v>
      </c>
      <c r="C318">
        <v>87.6</v>
      </c>
      <c r="D318">
        <v>12.8</v>
      </c>
      <c r="E318">
        <v>1</v>
      </c>
      <c r="F318">
        <v>225.08</v>
      </c>
      <c r="G318">
        <v>0.3</v>
      </c>
      <c r="H318">
        <v>3</v>
      </c>
      <c r="I318">
        <v>271.85300000000001</v>
      </c>
      <c r="J318">
        <v>120.95310000000001</v>
      </c>
      <c r="K318">
        <v>100.0063</v>
      </c>
      <c r="L318">
        <v>3.335</v>
      </c>
      <c r="M318">
        <v>24.6036</v>
      </c>
      <c r="N318">
        <v>-14.3216</v>
      </c>
      <c r="O318">
        <v>-29.2685</v>
      </c>
      <c r="P318">
        <v>93.71</v>
      </c>
      <c r="S318">
        <f t="shared" si="91"/>
        <v>869.73100000000011</v>
      </c>
      <c r="T318">
        <f t="shared" si="92"/>
        <v>1.799932783760106E-2</v>
      </c>
      <c r="U318">
        <f t="shared" si="93"/>
        <v>8.2121933259054827E-2</v>
      </c>
      <c r="V318">
        <f t="shared" si="94"/>
        <v>1.1999551891734041E-2</v>
      </c>
      <c r="W318">
        <f t="shared" si="95"/>
        <v>9.3746499154172193E-4</v>
      </c>
      <c r="X318">
        <f t="shared" si="96"/>
        <v>0.21100462029621078</v>
      </c>
      <c r="Y318">
        <f t="shared" si="97"/>
        <v>2.8123949746251657E-4</v>
      </c>
      <c r="Z318">
        <f t="shared" si="98"/>
        <v>2.8123949746251659E-3</v>
      </c>
      <c r="AA318">
        <f t="shared" si="99"/>
        <v>0.25485267034559173</v>
      </c>
      <c r="AB318">
        <f t="shared" si="100"/>
        <v>0.11338929686844505</v>
      </c>
      <c r="AC318">
        <f t="shared" si="101"/>
        <v>9.3752405183618895E-2</v>
      </c>
      <c r="AD318">
        <f t="shared" si="102"/>
        <v>3.1264457467916427E-3</v>
      </c>
      <c r="AE318">
        <f t="shared" si="103"/>
        <v>2.306501366589591E-2</v>
      </c>
      <c r="AG318">
        <f t="shared" si="104"/>
        <v>0.76487118946941546</v>
      </c>
      <c r="AH318">
        <f t="shared" si="105"/>
        <v>0.35022154641412601</v>
      </c>
      <c r="AI318">
        <f t="shared" si="106"/>
        <v>0.52447209614248003</v>
      </c>
      <c r="AK318" s="26">
        <f t="shared" si="107"/>
        <v>5.2227766881235205E-2</v>
      </c>
      <c r="AL318" s="26">
        <f t="shared" si="108"/>
        <v>2.090934841565939E-2</v>
      </c>
      <c r="AM318" s="26">
        <f t="shared" si="109"/>
        <v>4.906719922420627E-2</v>
      </c>
      <c r="AN318" s="26">
        <f t="shared" si="110"/>
        <v>12.632222222222239</v>
      </c>
      <c r="AO318" s="26">
        <f t="shared" si="111"/>
        <v>14.098414371772819</v>
      </c>
      <c r="AP318" s="26">
        <f t="shared" si="112"/>
        <v>14.91659567763449</v>
      </c>
      <c r="AS318" s="2">
        <v>45162</v>
      </c>
      <c r="AT318">
        <v>17.600000000000001</v>
      </c>
      <c r="AU318">
        <v>33.299999999999997</v>
      </c>
      <c r="AV318">
        <v>10.3</v>
      </c>
      <c r="AW318">
        <v>1.6</v>
      </c>
      <c r="AX318">
        <v>249.29</v>
      </c>
      <c r="AY318">
        <v>0.6</v>
      </c>
      <c r="AZ318">
        <v>3.3</v>
      </c>
      <c r="BA318">
        <v>272.30860000000001</v>
      </c>
      <c r="BB318">
        <v>134.31219999999999</v>
      </c>
      <c r="BC318">
        <v>117.761</v>
      </c>
      <c r="BD318">
        <v>3.48</v>
      </c>
      <c r="BE318">
        <v>27.411799999999999</v>
      </c>
      <c r="BF318">
        <v>-6.2228000000000003</v>
      </c>
      <c r="BG318">
        <v>-27.454599999999999</v>
      </c>
      <c r="BH318">
        <v>91.94</v>
      </c>
    </row>
    <row r="319" spans="1:60" x14ac:dyDescent="0.25">
      <c r="A319" s="2">
        <v>45182</v>
      </c>
      <c r="B319">
        <v>18.5</v>
      </c>
      <c r="C319">
        <v>71.900000000000006</v>
      </c>
      <c r="D319">
        <v>53.7</v>
      </c>
      <c r="E319">
        <v>6.5</v>
      </c>
      <c r="F319">
        <v>128.76</v>
      </c>
      <c r="G319">
        <v>0.4</v>
      </c>
      <c r="H319">
        <v>3.1</v>
      </c>
      <c r="I319">
        <v>282.286</v>
      </c>
      <c r="J319">
        <v>108.1678</v>
      </c>
      <c r="K319">
        <v>90.543199999999999</v>
      </c>
      <c r="L319">
        <v>3.48</v>
      </c>
      <c r="M319">
        <v>20.315999999999999</v>
      </c>
      <c r="N319">
        <v>-13.9405</v>
      </c>
      <c r="O319">
        <v>-25.732900000000001</v>
      </c>
      <c r="P319">
        <v>93.7</v>
      </c>
      <c r="S319">
        <f t="shared" si="91"/>
        <v>787.65299999999991</v>
      </c>
      <c r="T319">
        <f t="shared" si="92"/>
        <v>1.7343102343521856E-2</v>
      </c>
      <c r="U319">
        <f t="shared" si="93"/>
        <v>6.740373289184981E-2</v>
      </c>
      <c r="V319">
        <f t="shared" si="94"/>
        <v>5.0341870045790472E-2</v>
      </c>
      <c r="W319">
        <f t="shared" si="95"/>
        <v>6.0935224450211923E-3</v>
      </c>
      <c r="X319">
        <f t="shared" si="96"/>
        <v>0.1207079923109121</v>
      </c>
      <c r="Y319">
        <f t="shared" si="97"/>
        <v>3.7498599661668879E-4</v>
      </c>
      <c r="Z319">
        <f t="shared" si="98"/>
        <v>2.9061414737793379E-3</v>
      </c>
      <c r="AA319">
        <f t="shared" si="99"/>
        <v>0.2646332426023465</v>
      </c>
      <c r="AB319">
        <f t="shared" si="100"/>
        <v>0.10140352571208666</v>
      </c>
      <c r="AC319">
        <f t="shared" si="101"/>
        <v>8.488108022216044E-2</v>
      </c>
      <c r="AD319">
        <f t="shared" si="102"/>
        <v>3.2623781705651924E-3</v>
      </c>
      <c r="AE319">
        <f t="shared" si="103"/>
        <v>1.9045538768161622E-2</v>
      </c>
      <c r="AG319">
        <f t="shared" si="104"/>
        <v>0.76568609604927351</v>
      </c>
      <c r="AH319">
        <f t="shared" si="105"/>
        <v>0.28421688627565306</v>
      </c>
      <c r="AI319">
        <f t="shared" si="106"/>
        <v>0.12041017741141917</v>
      </c>
      <c r="AK319" s="26">
        <f t="shared" si="107"/>
        <v>5.1441044772293776E-2</v>
      </c>
      <c r="AL319" s="26">
        <f t="shared" si="108"/>
        <v>2.191370060656378E-2</v>
      </c>
      <c r="AM319" s="26">
        <f t="shared" si="109"/>
        <v>4.8915467616595987E-2</v>
      </c>
      <c r="AN319" s="26">
        <f t="shared" si="110"/>
        <v>12.783492063492076</v>
      </c>
      <c r="AO319" s="26">
        <f t="shared" si="111"/>
        <v>14.179143717728081</v>
      </c>
      <c r="AP319" s="26">
        <f t="shared" si="112"/>
        <v>14.968838790998106</v>
      </c>
      <c r="AS319" s="2">
        <v>45161</v>
      </c>
      <c r="AT319">
        <v>17.899999999999999</v>
      </c>
      <c r="AU319">
        <v>121.4</v>
      </c>
      <c r="AV319">
        <v>10.7</v>
      </c>
      <c r="AW319">
        <v>1.4</v>
      </c>
      <c r="AX319">
        <v>292.69</v>
      </c>
      <c r="AY319">
        <v>0.4</v>
      </c>
      <c r="AZ319">
        <v>3.3</v>
      </c>
      <c r="BA319">
        <v>263.8682</v>
      </c>
      <c r="BB319">
        <v>118.57</v>
      </c>
      <c r="BC319">
        <v>119.0368</v>
      </c>
      <c r="BD319">
        <v>3.9138000000000002</v>
      </c>
      <c r="BE319">
        <v>27.9574</v>
      </c>
      <c r="BF319">
        <v>-7.6430999999999996</v>
      </c>
      <c r="BG319">
        <v>-21.523199999999999</v>
      </c>
      <c r="BH319">
        <v>91.83</v>
      </c>
    </row>
    <row r="320" spans="1:60" x14ac:dyDescent="0.25">
      <c r="A320" s="2">
        <v>45181</v>
      </c>
      <c r="B320">
        <v>18</v>
      </c>
      <c r="C320">
        <v>49.2</v>
      </c>
      <c r="D320">
        <v>22.8</v>
      </c>
      <c r="E320">
        <v>1.6</v>
      </c>
      <c r="F320">
        <v>223.92</v>
      </c>
      <c r="G320">
        <v>0.4</v>
      </c>
      <c r="H320">
        <v>3.4</v>
      </c>
      <c r="I320">
        <v>272.89350000000002</v>
      </c>
      <c r="J320">
        <v>119.6275</v>
      </c>
      <c r="K320">
        <v>96.582300000000004</v>
      </c>
      <c r="L320">
        <v>3.5632999999999999</v>
      </c>
      <c r="M320">
        <v>24.682200000000002</v>
      </c>
      <c r="N320">
        <v>-13.3949</v>
      </c>
      <c r="O320">
        <v>-26.636399999999998</v>
      </c>
      <c r="P320">
        <v>93.69</v>
      </c>
      <c r="S320">
        <f t="shared" si="91"/>
        <v>836.66879999999992</v>
      </c>
      <c r="T320">
        <f t="shared" si="92"/>
        <v>1.6874369847750995E-2</v>
      </c>
      <c r="U320">
        <f t="shared" si="93"/>
        <v>4.612327758385272E-2</v>
      </c>
      <c r="V320">
        <f t="shared" si="94"/>
        <v>2.1374201807151261E-2</v>
      </c>
      <c r="W320">
        <f t="shared" si="95"/>
        <v>1.4999439864667552E-3</v>
      </c>
      <c r="X320">
        <f t="shared" si="96"/>
        <v>0.20991716090602236</v>
      </c>
      <c r="Y320">
        <f t="shared" si="97"/>
        <v>3.7498599661668879E-4</v>
      </c>
      <c r="Z320">
        <f t="shared" si="98"/>
        <v>3.1873809712418544E-3</v>
      </c>
      <c r="AA320">
        <f t="shared" si="99"/>
        <v>0.2558281026692909</v>
      </c>
      <c r="AB320">
        <f t="shared" si="100"/>
        <v>0.11214659327565733</v>
      </c>
      <c r="AC320">
        <f t="shared" si="101"/>
        <v>9.054252505258005E-2</v>
      </c>
      <c r="AD320">
        <f t="shared" si="102"/>
        <v>3.3404690043606178E-3</v>
      </c>
      <c r="AE320">
        <f t="shared" si="103"/>
        <v>2.313869841423109E-2</v>
      </c>
      <c r="AG320">
        <f t="shared" si="104"/>
        <v>0.7665291429103025</v>
      </c>
      <c r="AH320">
        <f t="shared" si="105"/>
        <v>0.32249001951333367</v>
      </c>
      <c r="AI320">
        <f t="shared" si="106"/>
        <v>0.35659218329452508</v>
      </c>
      <c r="AK320" s="26">
        <f t="shared" si="107"/>
        <v>6.1717117870426996E-2</v>
      </c>
      <c r="AL320" s="26">
        <f t="shared" si="108"/>
        <v>2.3729652121674882E-2</v>
      </c>
      <c r="AM320" s="26">
        <f t="shared" si="109"/>
        <v>5.1066263276819346E-2</v>
      </c>
      <c r="AN320" s="26">
        <f t="shared" si="110"/>
        <v>12.933650793650813</v>
      </c>
      <c r="AO320" s="26">
        <f t="shared" si="111"/>
        <v>14.255096815834804</v>
      </c>
      <c r="AP320" s="26">
        <f t="shared" si="112"/>
        <v>15.020499986870064</v>
      </c>
      <c r="AS320" s="2">
        <v>45160</v>
      </c>
      <c r="AT320">
        <v>17.600000000000001</v>
      </c>
      <c r="AU320">
        <v>294.39999999999998</v>
      </c>
      <c r="AV320">
        <v>9.8000000000000007</v>
      </c>
      <c r="AW320">
        <v>1.9</v>
      </c>
      <c r="AX320">
        <v>273.64</v>
      </c>
      <c r="AY320">
        <v>0.6</v>
      </c>
      <c r="AZ320">
        <v>3.4</v>
      </c>
      <c r="BA320">
        <v>274.18490000000003</v>
      </c>
      <c r="BB320">
        <v>98.806700000000006</v>
      </c>
      <c r="BC320">
        <v>113.7105</v>
      </c>
      <c r="BD320">
        <v>3.8214000000000001</v>
      </c>
      <c r="BE320">
        <v>25.299900000000001</v>
      </c>
      <c r="BF320">
        <v>-12.644600000000001</v>
      </c>
      <c r="BG320">
        <v>-16.6249</v>
      </c>
      <c r="BH320">
        <v>91.6</v>
      </c>
    </row>
    <row r="321" spans="1:60" x14ac:dyDescent="0.25">
      <c r="A321" s="2">
        <v>45180</v>
      </c>
      <c r="B321">
        <v>17.8</v>
      </c>
      <c r="C321">
        <v>49.1</v>
      </c>
      <c r="D321">
        <v>26.8</v>
      </c>
      <c r="E321">
        <v>1.1000000000000001</v>
      </c>
      <c r="F321">
        <v>276.47000000000003</v>
      </c>
      <c r="G321">
        <v>0.4</v>
      </c>
      <c r="H321">
        <v>3.5</v>
      </c>
      <c r="I321">
        <v>239.37200000000001</v>
      </c>
      <c r="J321">
        <v>72.427599999999998</v>
      </c>
      <c r="K321">
        <v>93.691299999999998</v>
      </c>
      <c r="L321">
        <v>3.5158</v>
      </c>
      <c r="M321">
        <v>30.751000000000001</v>
      </c>
      <c r="N321">
        <v>-14.325699999999999</v>
      </c>
      <c r="O321">
        <v>-25.018999999999998</v>
      </c>
      <c r="P321">
        <v>93.69</v>
      </c>
      <c r="S321">
        <f t="shared" si="91"/>
        <v>814.92769999999996</v>
      </c>
      <c r="T321">
        <f t="shared" si="92"/>
        <v>1.6686876849442651E-2</v>
      </c>
      <c r="U321">
        <f t="shared" si="93"/>
        <v>4.6029531084698545E-2</v>
      </c>
      <c r="V321">
        <f t="shared" si="94"/>
        <v>2.5124061773318149E-2</v>
      </c>
      <c r="W321">
        <f t="shared" si="95"/>
        <v>1.0312114906958943E-3</v>
      </c>
      <c r="X321">
        <f t="shared" si="96"/>
        <v>0.25918094621153986</v>
      </c>
      <c r="Y321">
        <f t="shared" si="97"/>
        <v>3.7498599661668879E-4</v>
      </c>
      <c r="Z321">
        <f t="shared" si="98"/>
        <v>3.2811274703960268E-3</v>
      </c>
      <c r="AA321">
        <f t="shared" si="99"/>
        <v>0.22440286995532507</v>
      </c>
      <c r="AB321">
        <f t="shared" si="100"/>
        <v>6.7898339421387219E-2</v>
      </c>
      <c r="AC321">
        <f t="shared" si="101"/>
        <v>8.7832313762032932E-2</v>
      </c>
      <c r="AD321">
        <f t="shared" si="102"/>
        <v>3.295939417262386E-3</v>
      </c>
      <c r="AE321">
        <f t="shared" si="103"/>
        <v>2.8827985954899493E-2</v>
      </c>
      <c r="AG321">
        <f t="shared" si="104"/>
        <v>0.76788485167670772</v>
      </c>
      <c r="AH321">
        <f t="shared" si="105"/>
        <v>0.38053672683160733</v>
      </c>
      <c r="AI321">
        <f t="shared" si="106"/>
        <v>0.71531639034736716</v>
      </c>
      <c r="AK321" s="26">
        <f t="shared" si="107"/>
        <v>7.0102971377876744E-2</v>
      </c>
      <c r="AL321" s="26">
        <f t="shared" si="108"/>
        <v>2.7823159747165538E-2</v>
      </c>
      <c r="AM321" s="26">
        <f t="shared" si="109"/>
        <v>5.1304946752732561E-2</v>
      </c>
      <c r="AN321" s="26">
        <f t="shared" si="110"/>
        <v>13.076349206349221</v>
      </c>
      <c r="AO321" s="26">
        <f t="shared" si="111"/>
        <v>14.326757745266804</v>
      </c>
      <c r="AP321" s="26">
        <f t="shared" si="112"/>
        <v>15.071462146477202</v>
      </c>
      <c r="AS321" s="2">
        <v>45159</v>
      </c>
      <c r="AT321">
        <v>16.3</v>
      </c>
      <c r="AU321">
        <v>192.5</v>
      </c>
      <c r="AV321">
        <v>7.2</v>
      </c>
      <c r="AW321">
        <v>1.2</v>
      </c>
      <c r="AX321">
        <v>290.74</v>
      </c>
      <c r="AY321">
        <v>0.6</v>
      </c>
      <c r="AZ321">
        <v>3.4</v>
      </c>
      <c r="BA321">
        <v>235.0403</v>
      </c>
      <c r="BB321">
        <v>72.972099999999998</v>
      </c>
      <c r="BC321">
        <v>99.426599999999993</v>
      </c>
      <c r="BD321">
        <v>3.6976</v>
      </c>
      <c r="BE321">
        <v>30.511299999999999</v>
      </c>
      <c r="BF321">
        <v>-15.8986</v>
      </c>
      <c r="BG321">
        <v>-22.2163</v>
      </c>
      <c r="BH321">
        <v>91.53</v>
      </c>
    </row>
    <row r="322" spans="1:60" x14ac:dyDescent="0.25">
      <c r="A322" s="2">
        <v>45179</v>
      </c>
      <c r="B322">
        <v>17.7</v>
      </c>
      <c r="C322">
        <v>48.5</v>
      </c>
      <c r="D322">
        <v>3.1</v>
      </c>
      <c r="E322">
        <v>0.2</v>
      </c>
      <c r="F322">
        <v>278.68</v>
      </c>
      <c r="G322">
        <v>0.4</v>
      </c>
      <c r="H322">
        <v>3.5</v>
      </c>
      <c r="I322">
        <v>202.67140000000001</v>
      </c>
      <c r="J322">
        <v>48.780799999999999</v>
      </c>
      <c r="K322">
        <v>49.541899999999998</v>
      </c>
      <c r="L322">
        <v>3.1097999999999999</v>
      </c>
      <c r="M322">
        <v>18.5442</v>
      </c>
      <c r="P322">
        <v>93.66</v>
      </c>
      <c r="S322">
        <f t="shared" ref="S322:S385" si="113">SUM(B322:M322)</f>
        <v>674.72810000000004</v>
      </c>
      <c r="T322">
        <f t="shared" si="92"/>
        <v>1.6593130350288476E-2</v>
      </c>
      <c r="U322">
        <f t="shared" si="93"/>
        <v>4.5467052089773516E-2</v>
      </c>
      <c r="V322">
        <f t="shared" si="94"/>
        <v>2.9061414737793379E-3</v>
      </c>
      <c r="W322">
        <f t="shared" si="95"/>
        <v>1.874929983083444E-4</v>
      </c>
      <c r="X322">
        <f t="shared" si="96"/>
        <v>0.26125274384284708</v>
      </c>
      <c r="Y322">
        <f t="shared" si="97"/>
        <v>3.7498599661668879E-4</v>
      </c>
      <c r="Z322">
        <f t="shared" si="98"/>
        <v>3.2811274703960268E-3</v>
      </c>
      <c r="AA322">
        <f t="shared" si="99"/>
        <v>0.18999734228674894</v>
      </c>
      <c r="AB322">
        <f t="shared" si="100"/>
        <v>4.5730292259398425E-2</v>
      </c>
      <c r="AC322">
        <f t="shared" si="101"/>
        <v>4.6443796864460832E-2</v>
      </c>
      <c r="AD322">
        <f t="shared" si="102"/>
        <v>2.9153286306964469E-3</v>
      </c>
      <c r="AE322">
        <f t="shared" si="103"/>
        <v>1.7384538296148E-2</v>
      </c>
      <c r="AG322">
        <f t="shared" si="104"/>
        <v>0.76783643867003348</v>
      </c>
      <c r="AH322">
        <f t="shared" si="105"/>
        <v>0.34744721251815747</v>
      </c>
      <c r="AI322">
        <f t="shared" si="106"/>
        <v>0.514591257095528</v>
      </c>
      <c r="AK322" s="26">
        <f t="shared" si="107"/>
        <v>8.292776626146664E-2</v>
      </c>
      <c r="AL322" s="26">
        <f t="shared" si="108"/>
        <v>3.1469904514180469E-2</v>
      </c>
      <c r="AM322" s="26">
        <f t="shared" si="109"/>
        <v>5.1948568360984826E-2</v>
      </c>
      <c r="AN322" s="26">
        <f t="shared" si="110"/>
        <v>13.219682539682537</v>
      </c>
      <c r="AO322" s="26">
        <f t="shared" si="111"/>
        <v>14.394373924268521</v>
      </c>
      <c r="AP322" s="26">
        <f t="shared" si="112"/>
        <v>15.121666973031125</v>
      </c>
      <c r="AS322" s="2">
        <v>45158</v>
      </c>
      <c r="AT322">
        <v>16.8</v>
      </c>
      <c r="AU322">
        <v>56.9</v>
      </c>
      <c r="AV322">
        <v>10.9</v>
      </c>
      <c r="AW322">
        <v>2</v>
      </c>
      <c r="AX322">
        <v>296.36</v>
      </c>
      <c r="AY322">
        <v>0.6</v>
      </c>
      <c r="AZ322">
        <v>3</v>
      </c>
      <c r="BA322">
        <v>131.36660000000001</v>
      </c>
      <c r="BB322">
        <v>30.845300000000002</v>
      </c>
      <c r="BC322">
        <v>38.350299999999997</v>
      </c>
      <c r="BD322">
        <v>3.335</v>
      </c>
      <c r="BE322">
        <v>21.0825</v>
      </c>
      <c r="BH322">
        <v>91.31</v>
      </c>
    </row>
    <row r="323" spans="1:60" x14ac:dyDescent="0.25">
      <c r="A323" s="2">
        <v>45178</v>
      </c>
      <c r="B323">
        <v>18.399999999999999</v>
      </c>
      <c r="C323">
        <v>138.80000000000001</v>
      </c>
      <c r="D323">
        <v>4.5</v>
      </c>
      <c r="E323">
        <v>1.5</v>
      </c>
      <c r="F323">
        <v>292.02999999999997</v>
      </c>
      <c r="G323">
        <v>0.3</v>
      </c>
      <c r="H323">
        <v>3.6</v>
      </c>
      <c r="I323">
        <v>226.64670000000001</v>
      </c>
      <c r="J323">
        <v>53.040199999999999</v>
      </c>
      <c r="K323">
        <v>59.8904</v>
      </c>
      <c r="L323">
        <v>3.0706000000000002</v>
      </c>
      <c r="M323">
        <v>19.486799999999999</v>
      </c>
      <c r="P323">
        <v>93.55</v>
      </c>
      <c r="S323">
        <f t="shared" si="113"/>
        <v>821.26470000000018</v>
      </c>
      <c r="T323">
        <f t="shared" si="92"/>
        <v>1.7249355844367681E-2</v>
      </c>
      <c r="U323">
        <f t="shared" si="93"/>
        <v>0.13012014082599102</v>
      </c>
      <c r="V323">
        <f t="shared" si="94"/>
        <v>4.2185924619377486E-3</v>
      </c>
      <c r="W323">
        <f t="shared" si="95"/>
        <v>1.406197487312583E-3</v>
      </c>
      <c r="X323">
        <f t="shared" si="96"/>
        <v>0.27376790147992902</v>
      </c>
      <c r="Y323">
        <f t="shared" si="97"/>
        <v>2.8123949746251657E-4</v>
      </c>
      <c r="Z323">
        <f t="shared" si="98"/>
        <v>3.3748739695501988E-3</v>
      </c>
      <c r="AA323">
        <f t="shared" si="99"/>
        <v>0.21247334669845919</v>
      </c>
      <c r="AB323">
        <f t="shared" si="100"/>
        <v>4.972333064437124E-2</v>
      </c>
      <c r="AC323">
        <f t="shared" si="101"/>
        <v>5.614515332943034E-2</v>
      </c>
      <c r="AD323">
        <f t="shared" si="102"/>
        <v>2.8785800030280114E-3</v>
      </c>
      <c r="AE323">
        <f t="shared" si="103"/>
        <v>1.8268192797175224E-2</v>
      </c>
      <c r="AG323">
        <f t="shared" si="104"/>
        <v>0.76399466369285129</v>
      </c>
      <c r="AH323">
        <f t="shared" si="105"/>
        <v>0.44868649436372599</v>
      </c>
      <c r="AI323">
        <f t="shared" si="106"/>
        <v>1.1416039502606923</v>
      </c>
      <c r="AK323" s="26">
        <f t="shared" si="107"/>
        <v>8.6688252318910697E-2</v>
      </c>
      <c r="AL323" s="26">
        <f t="shared" si="108"/>
        <v>3.0147007951436766E-2</v>
      </c>
      <c r="AM323" s="26">
        <f t="shared" si="109"/>
        <v>5.0582819690260628E-2</v>
      </c>
      <c r="AN323" s="26">
        <f t="shared" si="110"/>
        <v>13.359047619047629</v>
      </c>
      <c r="AO323" s="26">
        <f t="shared" si="111"/>
        <v>14.458429432013787</v>
      </c>
      <c r="AP323" s="26">
        <f t="shared" si="112"/>
        <v>15.169637614558411</v>
      </c>
      <c r="AS323" s="2">
        <v>45157</v>
      </c>
      <c r="AT323">
        <v>18</v>
      </c>
      <c r="AU323">
        <v>41.3</v>
      </c>
      <c r="AV323">
        <v>48.2</v>
      </c>
      <c r="AW323">
        <v>5.5</v>
      </c>
      <c r="AX323">
        <v>264.45</v>
      </c>
      <c r="AY323">
        <v>0.5</v>
      </c>
      <c r="AZ323">
        <v>3</v>
      </c>
      <c r="BA323">
        <v>126.7932</v>
      </c>
      <c r="BB323">
        <v>24.553000000000001</v>
      </c>
      <c r="BC323">
        <v>41.372900000000001</v>
      </c>
      <c r="BD323">
        <v>3.48</v>
      </c>
      <c r="BE323">
        <v>18.0229</v>
      </c>
      <c r="BH323">
        <v>91.02</v>
      </c>
    </row>
    <row r="324" spans="1:60" x14ac:dyDescent="0.25">
      <c r="A324" s="2">
        <v>45177</v>
      </c>
      <c r="B324">
        <v>18.5</v>
      </c>
      <c r="C324">
        <v>48.8</v>
      </c>
      <c r="D324">
        <v>20.6</v>
      </c>
      <c r="E324">
        <v>5.5</v>
      </c>
      <c r="F324">
        <v>298.98</v>
      </c>
      <c r="G324">
        <v>0.1</v>
      </c>
      <c r="H324">
        <v>3.5</v>
      </c>
      <c r="I324">
        <v>214.1987</v>
      </c>
      <c r="J324">
        <v>56.037700000000001</v>
      </c>
      <c r="K324">
        <v>94.531999999999996</v>
      </c>
      <c r="L324">
        <v>3.5459000000000001</v>
      </c>
      <c r="M324">
        <v>29.8124</v>
      </c>
      <c r="N324">
        <v>-12.714700000000001</v>
      </c>
      <c r="O324">
        <v>-25.228400000000001</v>
      </c>
      <c r="P324">
        <v>93.43</v>
      </c>
      <c r="S324">
        <f t="shared" si="113"/>
        <v>794.10670000000005</v>
      </c>
      <c r="T324">
        <f t="shared" si="92"/>
        <v>1.7343102343521856E-2</v>
      </c>
      <c r="U324">
        <f t="shared" si="93"/>
        <v>4.5748291587236027E-2</v>
      </c>
      <c r="V324">
        <f t="shared" si="94"/>
        <v>1.9311778825759473E-2</v>
      </c>
      <c r="W324">
        <f t="shared" si="95"/>
        <v>5.1560574534794705E-3</v>
      </c>
      <c r="X324">
        <f t="shared" si="96"/>
        <v>0.28028328317114404</v>
      </c>
      <c r="Y324">
        <f t="shared" si="97"/>
        <v>9.3746499154172199E-5</v>
      </c>
      <c r="Z324">
        <f t="shared" si="98"/>
        <v>3.2811274703960268E-3</v>
      </c>
      <c r="AA324">
        <f t="shared" si="99"/>
        <v>0.20080378248374783</v>
      </c>
      <c r="AB324">
        <f t="shared" si="100"/>
        <v>5.253338195651755E-2</v>
      </c>
      <c r="AC324">
        <f t="shared" si="101"/>
        <v>8.8620440580422052E-2</v>
      </c>
      <c r="AD324">
        <f t="shared" si="102"/>
        <v>3.3241571135077916E-3</v>
      </c>
      <c r="AE324">
        <f t="shared" si="103"/>
        <v>2.7948081313838431E-2</v>
      </c>
      <c r="AG324">
        <f t="shared" si="104"/>
        <v>0.75970133376876348</v>
      </c>
      <c r="AH324">
        <f t="shared" si="105"/>
        <v>0.39916546866452951</v>
      </c>
      <c r="AI324">
        <f t="shared" si="106"/>
        <v>0.84166844347992276</v>
      </c>
      <c r="AK324" s="26">
        <f t="shared" si="107"/>
        <v>8.1279168600095208E-2</v>
      </c>
      <c r="AL324" s="26">
        <f t="shared" si="108"/>
        <v>2.7275872908929411E-2</v>
      </c>
      <c r="AM324" s="26">
        <f t="shared" si="109"/>
        <v>4.7651266285675398E-2</v>
      </c>
      <c r="AN324" s="26">
        <f t="shared" si="110"/>
        <v>13.493333333333325</v>
      </c>
      <c r="AO324" s="26">
        <f t="shared" si="111"/>
        <v>14.517964716006901</v>
      </c>
      <c r="AP324" s="26">
        <f t="shared" si="112"/>
        <v>15.215814448149942</v>
      </c>
      <c r="AS324" s="2">
        <v>45156</v>
      </c>
      <c r="AT324">
        <v>19</v>
      </c>
      <c r="AU324">
        <v>133.19999999999999</v>
      </c>
      <c r="AV324">
        <v>37.200000000000003</v>
      </c>
      <c r="AW324">
        <v>3.6</v>
      </c>
      <c r="AX324">
        <v>296.83</v>
      </c>
      <c r="AY324">
        <v>0.6</v>
      </c>
      <c r="AZ324">
        <v>2.8</v>
      </c>
      <c r="BA324">
        <v>186.0746</v>
      </c>
      <c r="BB324">
        <v>41.749400000000001</v>
      </c>
      <c r="BC324">
        <v>77.694400000000002</v>
      </c>
      <c r="BD324">
        <v>3.48</v>
      </c>
      <c r="BE324">
        <v>26.9421</v>
      </c>
      <c r="BF324">
        <v>-14.466799999999999</v>
      </c>
      <c r="BG324">
        <v>-27.383099999999999</v>
      </c>
      <c r="BH324">
        <v>90.71</v>
      </c>
    </row>
    <row r="325" spans="1:60" x14ac:dyDescent="0.25">
      <c r="A325" s="2">
        <v>45176</v>
      </c>
      <c r="B325">
        <v>19.7</v>
      </c>
      <c r="C325">
        <v>41.7</v>
      </c>
      <c r="D325">
        <v>41</v>
      </c>
      <c r="E325">
        <v>8</v>
      </c>
      <c r="F325">
        <v>287.36</v>
      </c>
      <c r="G325">
        <v>0.1</v>
      </c>
      <c r="H325">
        <v>3.5</v>
      </c>
      <c r="I325">
        <v>212.18610000000001</v>
      </c>
      <c r="J325">
        <v>43.6496</v>
      </c>
      <c r="K325">
        <v>75.861199999999997</v>
      </c>
      <c r="L325">
        <v>3.48</v>
      </c>
      <c r="M325">
        <v>20.415400000000002</v>
      </c>
      <c r="N325">
        <v>-12.2689</v>
      </c>
      <c r="O325">
        <v>-28.848299999999998</v>
      </c>
      <c r="P325">
        <v>93.38</v>
      </c>
      <c r="S325">
        <f t="shared" si="113"/>
        <v>756.95230000000004</v>
      </c>
      <c r="T325">
        <f t="shared" ref="T325:T388" si="114">B325/$S$4</f>
        <v>1.8468060333371922E-2</v>
      </c>
      <c r="U325">
        <f t="shared" ref="U325:U388" si="115">C325/$S$4</f>
        <v>3.9092290147289807E-2</v>
      </c>
      <c r="V325">
        <f t="shared" ref="V325:V388" si="116">D325/$S$4</f>
        <v>3.8436064653210596E-2</v>
      </c>
      <c r="W325">
        <f t="shared" ref="W325:W388" si="117">E325/$S$4</f>
        <v>7.4997199323337755E-3</v>
      </c>
      <c r="X325">
        <f t="shared" ref="X325:X388" si="118">F325/$S$4</f>
        <v>0.26938993996942923</v>
      </c>
      <c r="Y325">
        <f t="shared" ref="Y325:Y388" si="119">G325/$S$4</f>
        <v>9.3746499154172199E-5</v>
      </c>
      <c r="Z325">
        <f t="shared" ref="Z325:Z388" si="120">H325/$S$4</f>
        <v>3.2811274703960268E-3</v>
      </c>
      <c r="AA325">
        <f t="shared" ref="AA325:AA388" si="121">I325/$S$4</f>
        <v>0.19891704044177097</v>
      </c>
      <c r="AB325">
        <f t="shared" ref="AB325:AB388" si="122">J325/$S$4</f>
        <v>4.0919971894799546E-2</v>
      </c>
      <c r="AC325">
        <f t="shared" ref="AC325:AC388" si="123">K325/$S$4</f>
        <v>7.1117219216344868E-2</v>
      </c>
      <c r="AD325">
        <f t="shared" ref="AD325:AD388" si="124">L325/$S$4</f>
        <v>3.2623781705651924E-3</v>
      </c>
      <c r="AE325">
        <f t="shared" ref="AE325:AE388" si="125">M325/$S$4</f>
        <v>1.9138722788320871E-2</v>
      </c>
      <c r="AG325">
        <f t="shared" ref="AG325:AG388" si="126">(P325-AVERAGE(P325:P689)) / _xlfn.STDEV.S(P325:P2152)</f>
        <v>0.75878303057990604</v>
      </c>
      <c r="AH325">
        <f t="shared" ref="AH325:AH388" si="127">SUM(T325:Y325,Z325,AE325)</f>
        <v>0.39539967179350638</v>
      </c>
      <c r="AI325">
        <f t="shared" ref="AI325:AI388" si="128">(AH325-AVERAGE(AH325:AH689))/_xlfn.STDEV.S(AH325:AH689)</f>
        <v>0.82243786444503708</v>
      </c>
      <c r="AK325" s="26">
        <f t="shared" ref="AK325:AK388" si="129">AVERAGEA(AH325:AH345)-AVERAGE(AH691:AH711, AH1056:AH1076, AH1421:AH1441)</f>
        <v>8.4499790889505377E-2</v>
      </c>
      <c r="AL325" s="26">
        <f t="shared" ref="AL325:AL388" si="130">AVERAGEA(AH325:AH380)-AVERAGE(AH691:AH746, AH1056:AH1110, AH1421:AH1475)</f>
        <v>2.6043789535937056E-2</v>
      </c>
      <c r="AM325" s="26">
        <f t="shared" ref="AM325:AM388" si="131">AVERAGEA(AH325:AH437)-AVERAGE(AH691:AH803,AH1056:AH1167,AH1421:AH1532)</f>
        <v>4.7358856186681175E-2</v>
      </c>
      <c r="AN325" s="26">
        <f t="shared" ref="AN325:AN388" si="132">AVERAGEA(P325:P345)-AVERAGE(P691:P711, P1056:P1076, P1421:P1441)</f>
        <v>13.620952380952389</v>
      </c>
      <c r="AO325" s="26">
        <f t="shared" ref="AO325:AO388" si="133">AVERAGEA(P325:P380)-AVERAGE(P691:P746, P1056:P1110, P1421:P1475)</f>
        <v>14.571953528399362</v>
      </c>
      <c r="AP325" s="26">
        <f t="shared" ref="AP325:AP388" si="134">AVERAGEA(P325:P437)-AVERAGE(P691:P803,P1056:P1167,P1421:P1532)</f>
        <v>15.261759144980402</v>
      </c>
      <c r="AS325" s="2">
        <v>45155</v>
      </c>
      <c r="AT325">
        <v>19.399999999999999</v>
      </c>
      <c r="AU325">
        <v>161.30000000000001</v>
      </c>
      <c r="AV325">
        <v>25.8</v>
      </c>
      <c r="AW325">
        <v>5.5</v>
      </c>
      <c r="AX325">
        <v>211.07</v>
      </c>
      <c r="AY325">
        <v>0.6</v>
      </c>
      <c r="AZ325">
        <v>3</v>
      </c>
      <c r="BA325">
        <v>187.61109999999999</v>
      </c>
      <c r="BB325">
        <v>52.189300000000003</v>
      </c>
      <c r="BC325">
        <v>78.1203</v>
      </c>
      <c r="BD325">
        <v>3.7822</v>
      </c>
      <c r="BE325">
        <v>24.7484</v>
      </c>
      <c r="BF325">
        <v>-14.6326</v>
      </c>
      <c r="BG325">
        <v>-26.923999999999999</v>
      </c>
      <c r="BH325">
        <v>90.41</v>
      </c>
    </row>
    <row r="326" spans="1:60" x14ac:dyDescent="0.25">
      <c r="A326" s="2">
        <v>45175</v>
      </c>
      <c r="B326">
        <v>21.6</v>
      </c>
      <c r="C326">
        <v>140.80000000000001</v>
      </c>
      <c r="D326">
        <v>16.5</v>
      </c>
      <c r="E326">
        <v>2.6</v>
      </c>
      <c r="F326">
        <v>297.36</v>
      </c>
      <c r="G326">
        <v>0.1</v>
      </c>
      <c r="H326">
        <v>3.1</v>
      </c>
      <c r="I326">
        <v>230.63249999999999</v>
      </c>
      <c r="J326">
        <v>49.509300000000003</v>
      </c>
      <c r="K326">
        <v>89.631299999999996</v>
      </c>
      <c r="L326">
        <v>3.5550000000000002</v>
      </c>
      <c r="M326">
        <v>29.627400000000002</v>
      </c>
      <c r="N326">
        <v>-12.335000000000001</v>
      </c>
      <c r="O326">
        <v>-32.926600000000001</v>
      </c>
      <c r="P326">
        <v>93.32</v>
      </c>
      <c r="S326">
        <f t="shared" si="113"/>
        <v>885.01550000000009</v>
      </c>
      <c r="T326">
        <f t="shared" si="114"/>
        <v>2.0249243817301196E-2</v>
      </c>
      <c r="U326">
        <f t="shared" si="115"/>
        <v>0.13199507080907447</v>
      </c>
      <c r="V326">
        <f t="shared" si="116"/>
        <v>1.5468172360438412E-2</v>
      </c>
      <c r="W326">
        <f t="shared" si="117"/>
        <v>2.437408978008477E-3</v>
      </c>
      <c r="X326">
        <f t="shared" si="118"/>
        <v>0.27876458988484643</v>
      </c>
      <c r="Y326">
        <f t="shared" si="119"/>
        <v>9.3746499154172199E-5</v>
      </c>
      <c r="Z326">
        <f t="shared" si="120"/>
        <v>2.9061414737793379E-3</v>
      </c>
      <c r="AA326">
        <f t="shared" si="121"/>
        <v>0.21620989466174617</v>
      </c>
      <c r="AB326">
        <f t="shared" si="122"/>
        <v>4.6413235505736575E-2</v>
      </c>
      <c r="AC326">
        <f t="shared" si="123"/>
        <v>8.4026205896373538E-2</v>
      </c>
      <c r="AD326">
        <f t="shared" si="124"/>
        <v>3.3326880449308215E-3</v>
      </c>
      <c r="AE326">
        <f t="shared" si="125"/>
        <v>2.7774650290403213E-2</v>
      </c>
      <c r="AG326">
        <f t="shared" si="126"/>
        <v>0.75741824133998426</v>
      </c>
      <c r="AH326">
        <f t="shared" si="127"/>
        <v>0.47968902411300568</v>
      </c>
      <c r="AI326">
        <f t="shared" si="128"/>
        <v>1.3469820893893183</v>
      </c>
      <c r="AK326" s="26">
        <f t="shared" si="129"/>
        <v>8.2955274162790082E-2</v>
      </c>
      <c r="AL326" s="26">
        <f t="shared" si="130"/>
        <v>2.7040938232131551E-2</v>
      </c>
      <c r="AM326" s="26">
        <f t="shared" si="131"/>
        <v>4.7701233556221856E-2</v>
      </c>
      <c r="AN326" s="26">
        <f t="shared" si="132"/>
        <v>13.74126984126984</v>
      </c>
      <c r="AO326" s="26">
        <f t="shared" si="133"/>
        <v>14.62177710843379</v>
      </c>
      <c r="AP326" s="26">
        <f t="shared" si="134"/>
        <v>15.306559701688471</v>
      </c>
      <c r="AS326" s="2">
        <v>45154</v>
      </c>
      <c r="AT326">
        <v>19.5</v>
      </c>
      <c r="AU326">
        <v>82</v>
      </c>
      <c r="AV326">
        <v>14.8</v>
      </c>
      <c r="AW326">
        <v>1.4</v>
      </c>
      <c r="AX326">
        <v>250.6</v>
      </c>
      <c r="AY326">
        <v>0.7</v>
      </c>
      <c r="AZ326">
        <v>3</v>
      </c>
      <c r="BA326">
        <v>178.75559999999999</v>
      </c>
      <c r="BB326">
        <v>50.812899999999999</v>
      </c>
      <c r="BC326">
        <v>91.9114</v>
      </c>
      <c r="BD326">
        <v>3.48</v>
      </c>
      <c r="BE326">
        <v>19.298500000000001</v>
      </c>
      <c r="BF326">
        <v>-14.692500000000001</v>
      </c>
      <c r="BG326">
        <v>-24.510400000000001</v>
      </c>
      <c r="BH326">
        <v>90.11</v>
      </c>
    </row>
    <row r="327" spans="1:60" x14ac:dyDescent="0.25">
      <c r="A327" s="2">
        <v>45174</v>
      </c>
      <c r="B327">
        <v>21.4</v>
      </c>
      <c r="C327">
        <v>97.7</v>
      </c>
      <c r="D327">
        <v>5.4</v>
      </c>
      <c r="E327">
        <v>4.5999999999999996</v>
      </c>
      <c r="F327">
        <v>296.08999999999997</v>
      </c>
      <c r="G327">
        <v>0.3</v>
      </c>
      <c r="H327">
        <v>3.6</v>
      </c>
      <c r="I327">
        <v>206.3673</v>
      </c>
      <c r="J327">
        <v>39.516500000000001</v>
      </c>
      <c r="K327">
        <v>74.135900000000007</v>
      </c>
      <c r="L327">
        <v>3.3264</v>
      </c>
      <c r="M327">
        <v>25.915900000000001</v>
      </c>
      <c r="N327">
        <v>-12.9392</v>
      </c>
      <c r="O327">
        <v>-28.8429</v>
      </c>
      <c r="P327">
        <v>93.28</v>
      </c>
      <c r="S327">
        <f t="shared" si="113"/>
        <v>778.35199999999998</v>
      </c>
      <c r="T327">
        <f t="shared" si="114"/>
        <v>2.0061750818992849E-2</v>
      </c>
      <c r="U327">
        <f t="shared" si="115"/>
        <v>9.1590329673626236E-2</v>
      </c>
      <c r="V327">
        <f t="shared" si="116"/>
        <v>5.0623109543252989E-3</v>
      </c>
      <c r="W327">
        <f t="shared" si="117"/>
        <v>4.3123389610919202E-3</v>
      </c>
      <c r="X327">
        <f t="shared" si="118"/>
        <v>0.2775740093455884</v>
      </c>
      <c r="Y327">
        <f t="shared" si="119"/>
        <v>2.8123949746251657E-4</v>
      </c>
      <c r="Z327">
        <f t="shared" si="120"/>
        <v>3.3748739695501988E-3</v>
      </c>
      <c r="AA327">
        <f t="shared" si="121"/>
        <v>0.19346211914898798</v>
      </c>
      <c r="AB327">
        <f t="shared" si="122"/>
        <v>3.7045335338258455E-2</v>
      </c>
      <c r="AC327">
        <f t="shared" si="123"/>
        <v>6.9499810866437944E-2</v>
      </c>
      <c r="AD327">
        <f t="shared" si="124"/>
        <v>3.1183835478643838E-3</v>
      </c>
      <c r="AE327">
        <f t="shared" si="125"/>
        <v>2.4295248974296111E-2</v>
      </c>
      <c r="AG327">
        <f t="shared" si="126"/>
        <v>0.75703364350918601</v>
      </c>
      <c r="AH327">
        <f t="shared" si="127"/>
        <v>0.42655210219493356</v>
      </c>
      <c r="AI327">
        <f t="shared" si="128"/>
        <v>1.0230078955128419</v>
      </c>
      <c r="AK327" s="26">
        <f t="shared" si="129"/>
        <v>7.2011309339571672E-2</v>
      </c>
      <c r="AL327" s="26">
        <f t="shared" si="130"/>
        <v>2.6502537888363542E-2</v>
      </c>
      <c r="AM327" s="26">
        <f t="shared" si="131"/>
        <v>4.6152399710655878E-2</v>
      </c>
      <c r="AN327" s="26">
        <f t="shared" si="132"/>
        <v>13.854126984126978</v>
      </c>
      <c r="AO327" s="26">
        <f t="shared" si="133"/>
        <v>14.668263769363236</v>
      </c>
      <c r="AP327" s="26">
        <f t="shared" si="134"/>
        <v>15.350392059032046</v>
      </c>
      <c r="AS327" s="2">
        <v>45153</v>
      </c>
      <c r="AT327">
        <v>18.2</v>
      </c>
      <c r="AU327">
        <v>83.8</v>
      </c>
      <c r="AV327">
        <v>38.1</v>
      </c>
      <c r="AW327">
        <v>3.5</v>
      </c>
      <c r="AX327">
        <v>242.29</v>
      </c>
      <c r="AY327">
        <v>0.7</v>
      </c>
      <c r="AZ327">
        <v>3</v>
      </c>
      <c r="BA327">
        <v>165.83250000000001</v>
      </c>
      <c r="BB327">
        <v>38.205599999999997</v>
      </c>
      <c r="BC327">
        <v>82.822400000000002</v>
      </c>
      <c r="BD327">
        <v>3.5152999999999999</v>
      </c>
      <c r="BE327">
        <v>24.775200000000002</v>
      </c>
      <c r="BF327">
        <v>-14.754899999999999</v>
      </c>
      <c r="BG327">
        <v>-22.0898</v>
      </c>
      <c r="BH327">
        <v>89.85</v>
      </c>
    </row>
    <row r="328" spans="1:60" x14ac:dyDescent="0.25">
      <c r="A328" s="2">
        <v>45173</v>
      </c>
      <c r="B328">
        <v>21.8</v>
      </c>
      <c r="C328">
        <v>91.8</v>
      </c>
      <c r="D328">
        <v>9.5</v>
      </c>
      <c r="E328">
        <v>3</v>
      </c>
      <c r="F328">
        <v>301.2</v>
      </c>
      <c r="G328">
        <v>0.5</v>
      </c>
      <c r="H328">
        <v>3.8</v>
      </c>
      <c r="I328">
        <v>181.80940000000001</v>
      </c>
      <c r="J328">
        <v>42.442300000000003</v>
      </c>
      <c r="K328">
        <v>68.287700000000001</v>
      </c>
      <c r="L328">
        <v>3.48</v>
      </c>
      <c r="M328">
        <v>26.976099999999999</v>
      </c>
      <c r="N328">
        <v>-10.2822</v>
      </c>
      <c r="O328">
        <v>-26.433</v>
      </c>
      <c r="P328">
        <v>93.19</v>
      </c>
      <c r="S328">
        <f t="shared" si="113"/>
        <v>754.59550000000002</v>
      </c>
      <c r="T328">
        <f t="shared" si="114"/>
        <v>2.0436736815609539E-2</v>
      </c>
      <c r="U328">
        <f t="shared" si="115"/>
        <v>8.6059286223530068E-2</v>
      </c>
      <c r="V328">
        <f t="shared" si="116"/>
        <v>8.9059174196463586E-3</v>
      </c>
      <c r="W328">
        <f t="shared" si="117"/>
        <v>2.8123949746251659E-3</v>
      </c>
      <c r="X328">
        <f t="shared" si="118"/>
        <v>0.2823644554523666</v>
      </c>
      <c r="Y328">
        <f t="shared" si="119"/>
        <v>4.6873249577086097E-4</v>
      </c>
      <c r="Z328">
        <f t="shared" si="120"/>
        <v>3.5623669678585433E-3</v>
      </c>
      <c r="AA328">
        <f t="shared" si="121"/>
        <v>0.17043994763320555</v>
      </c>
      <c r="AB328">
        <f t="shared" si="122"/>
        <v>3.9788170410511227E-2</v>
      </c>
      <c r="AC328">
        <f t="shared" si="123"/>
        <v>6.4017328102903642E-2</v>
      </c>
      <c r="AD328">
        <f t="shared" si="124"/>
        <v>3.2623781705651924E-3</v>
      </c>
      <c r="AE328">
        <f t="shared" si="125"/>
        <v>2.5289149358328645E-2</v>
      </c>
      <c r="AG328">
        <f t="shared" si="126"/>
        <v>0.754282679026967</v>
      </c>
      <c r="AH328">
        <f t="shared" si="127"/>
        <v>0.4298990397077358</v>
      </c>
      <c r="AI328">
        <f t="shared" si="128"/>
        <v>1.0450047019241506</v>
      </c>
      <c r="AK328" s="26">
        <f t="shared" si="129"/>
        <v>5.5228456907550461E-2</v>
      </c>
      <c r="AL328" s="26">
        <f t="shared" si="130"/>
        <v>2.7425809724474837E-2</v>
      </c>
      <c r="AM328" s="26">
        <f t="shared" si="131"/>
        <v>4.6248044703814328E-2</v>
      </c>
      <c r="AN328" s="26">
        <f t="shared" si="132"/>
        <v>13.959999999999994</v>
      </c>
      <c r="AO328" s="26">
        <f t="shared" si="133"/>
        <v>14.712310671256517</v>
      </c>
      <c r="AP328" s="26">
        <f t="shared" si="134"/>
        <v>15.392667997163912</v>
      </c>
      <c r="AS328" s="2">
        <v>45152</v>
      </c>
      <c r="AT328">
        <v>18</v>
      </c>
      <c r="AU328">
        <v>35.799999999999997</v>
      </c>
      <c r="AV328">
        <v>17.2</v>
      </c>
      <c r="AW328">
        <v>1.5</v>
      </c>
      <c r="AX328">
        <v>273.19</v>
      </c>
      <c r="AY328">
        <v>0.7</v>
      </c>
      <c r="AZ328">
        <v>3.1</v>
      </c>
      <c r="BA328">
        <v>156.4555</v>
      </c>
      <c r="BB328">
        <v>51.271099999999997</v>
      </c>
      <c r="BC328">
        <v>76.827600000000004</v>
      </c>
      <c r="BD328">
        <v>3.48</v>
      </c>
      <c r="BE328">
        <v>27.476800000000001</v>
      </c>
      <c r="BF328">
        <v>-12.8948</v>
      </c>
      <c r="BG328">
        <v>-29.168399999999998</v>
      </c>
      <c r="BH328">
        <v>89.71</v>
      </c>
    </row>
    <row r="329" spans="1:60" x14ac:dyDescent="0.25">
      <c r="A329" s="2">
        <v>45172</v>
      </c>
      <c r="B329">
        <v>23.4</v>
      </c>
      <c r="C329">
        <v>4</v>
      </c>
      <c r="D329">
        <v>22.1</v>
      </c>
      <c r="E329">
        <v>3.5</v>
      </c>
      <c r="G329">
        <v>0.5</v>
      </c>
      <c r="H329">
        <v>3.7</v>
      </c>
      <c r="I329">
        <v>156.54910000000001</v>
      </c>
      <c r="J329">
        <v>21.751100000000001</v>
      </c>
      <c r="K329">
        <v>40.667400000000001</v>
      </c>
      <c r="L329">
        <v>3.48</v>
      </c>
      <c r="M329">
        <v>14.536300000000001</v>
      </c>
      <c r="P329">
        <v>93.08</v>
      </c>
      <c r="S329">
        <f t="shared" si="113"/>
        <v>294.18389999999999</v>
      </c>
      <c r="T329">
        <f t="shared" si="114"/>
        <v>2.1936680802076291E-2</v>
      </c>
      <c r="U329">
        <f t="shared" si="115"/>
        <v>3.7498599661668877E-3</v>
      </c>
      <c r="V329">
        <f t="shared" si="116"/>
        <v>2.0717976313072057E-2</v>
      </c>
      <c r="W329">
        <f t="shared" si="117"/>
        <v>3.2811274703960268E-3</v>
      </c>
      <c r="X329">
        <f t="shared" si="118"/>
        <v>0</v>
      </c>
      <c r="Y329">
        <f t="shared" si="119"/>
        <v>4.6873249577086097E-4</v>
      </c>
      <c r="Z329">
        <f t="shared" si="120"/>
        <v>3.4686204687043713E-3</v>
      </c>
      <c r="AA329">
        <f t="shared" si="121"/>
        <v>0.14675930070736418</v>
      </c>
      <c r="AB329">
        <f t="shared" si="122"/>
        <v>2.039089477752315E-2</v>
      </c>
      <c r="AC329">
        <f t="shared" si="123"/>
        <v>3.812426379702382E-2</v>
      </c>
      <c r="AD329">
        <f t="shared" si="124"/>
        <v>3.2623781705651924E-3</v>
      </c>
      <c r="AE329">
        <f t="shared" si="125"/>
        <v>1.3627272356547933E-2</v>
      </c>
      <c r="AG329">
        <f t="shared" si="126"/>
        <v>0.75059840961027291</v>
      </c>
      <c r="AH329">
        <f t="shared" si="127"/>
        <v>6.7250269872734442E-2</v>
      </c>
      <c r="AI329">
        <f t="shared" si="128"/>
        <v>-1.2059555028154845</v>
      </c>
      <c r="AK329" s="26">
        <f t="shared" si="129"/>
        <v>5.5182605941226148E-2</v>
      </c>
      <c r="AL329" s="26">
        <f t="shared" si="130"/>
        <v>3.0277643032424195E-2</v>
      </c>
      <c r="AM329" s="26">
        <f t="shared" si="131"/>
        <v>4.5395587135253157E-2</v>
      </c>
      <c r="AN329" s="26">
        <f t="shared" si="132"/>
        <v>14.065714285714265</v>
      </c>
      <c r="AO329" s="26">
        <f t="shared" si="133"/>
        <v>14.756144578313311</v>
      </c>
      <c r="AP329" s="26">
        <f t="shared" si="134"/>
        <v>15.434771670911985</v>
      </c>
      <c r="AS329" s="2">
        <v>45151</v>
      </c>
      <c r="AT329">
        <v>17.7</v>
      </c>
      <c r="AU329">
        <v>103</v>
      </c>
      <c r="AV329">
        <v>40.6</v>
      </c>
      <c r="AW329">
        <v>3.7</v>
      </c>
      <c r="AX329">
        <v>246.59</v>
      </c>
      <c r="AY329">
        <v>0.7</v>
      </c>
      <c r="AZ329">
        <v>2.8</v>
      </c>
      <c r="BA329">
        <v>94.972899999999996</v>
      </c>
      <c r="BB329">
        <v>24.019100000000002</v>
      </c>
      <c r="BC329">
        <v>32.818100000000001</v>
      </c>
      <c r="BD329">
        <v>3.48</v>
      </c>
      <c r="BE329">
        <v>14.3429</v>
      </c>
      <c r="BH329">
        <v>89.41</v>
      </c>
    </row>
    <row r="330" spans="1:60" x14ac:dyDescent="0.25">
      <c r="A330" s="2">
        <v>45171</v>
      </c>
      <c r="B330">
        <v>24.3</v>
      </c>
      <c r="C330">
        <v>53</v>
      </c>
      <c r="D330">
        <v>8.6</v>
      </c>
      <c r="E330">
        <v>1.4</v>
      </c>
      <c r="F330">
        <v>2.02</v>
      </c>
      <c r="G330">
        <v>0.5</v>
      </c>
      <c r="H330">
        <v>3.6</v>
      </c>
      <c r="I330">
        <v>182.6952</v>
      </c>
      <c r="J330">
        <v>36.550600000000003</v>
      </c>
      <c r="K330">
        <v>60.908200000000001</v>
      </c>
      <c r="L330">
        <v>3.48</v>
      </c>
      <c r="M330">
        <v>18.343499999999999</v>
      </c>
      <c r="P330">
        <v>92.88</v>
      </c>
      <c r="S330">
        <f t="shared" si="113"/>
        <v>395.39750000000004</v>
      </c>
      <c r="T330">
        <f t="shared" si="114"/>
        <v>2.2780399294463842E-2</v>
      </c>
      <c r="U330">
        <f t="shared" si="115"/>
        <v>4.9685644551711261E-2</v>
      </c>
      <c r="V330">
        <f t="shared" si="116"/>
        <v>8.0621989272588075E-3</v>
      </c>
      <c r="W330">
        <f t="shared" si="117"/>
        <v>1.3124509881584105E-3</v>
      </c>
      <c r="X330">
        <f t="shared" si="118"/>
        <v>1.8936792829142783E-3</v>
      </c>
      <c r="Y330">
        <f t="shared" si="119"/>
        <v>4.6873249577086097E-4</v>
      </c>
      <c r="Z330">
        <f t="shared" si="120"/>
        <v>3.3748739695501988E-3</v>
      </c>
      <c r="AA330">
        <f t="shared" si="121"/>
        <v>0.17127035412271319</v>
      </c>
      <c r="AB330">
        <f t="shared" si="122"/>
        <v>3.4264907919844864E-2</v>
      </c>
      <c r="AC330">
        <f t="shared" si="123"/>
        <v>5.7099305197821505E-2</v>
      </c>
      <c r="AD330">
        <f t="shared" si="124"/>
        <v>3.2623781705651924E-3</v>
      </c>
      <c r="AE330">
        <f t="shared" si="125"/>
        <v>1.7196389072345573E-2</v>
      </c>
      <c r="AG330">
        <f t="shared" si="126"/>
        <v>0.74263155769637179</v>
      </c>
      <c r="AH330">
        <f t="shared" si="127"/>
        <v>0.10477436858217323</v>
      </c>
      <c r="AI330">
        <f t="shared" si="128"/>
        <v>-0.97789406416100477</v>
      </c>
      <c r="AK330" s="26">
        <f t="shared" si="129"/>
        <v>6.8870358182085534E-2</v>
      </c>
      <c r="AL330" s="26">
        <f t="shared" si="130"/>
        <v>4.2980659537327104E-2</v>
      </c>
      <c r="AM330" s="26">
        <f t="shared" si="131"/>
        <v>4.9035400185702849E-2</v>
      </c>
      <c r="AN330" s="26">
        <f t="shared" si="132"/>
        <v>14.165555555555542</v>
      </c>
      <c r="AO330" s="26">
        <f t="shared" si="133"/>
        <v>14.798629518072374</v>
      </c>
      <c r="AP330" s="26">
        <f t="shared" si="134"/>
        <v>15.475169507103281</v>
      </c>
      <c r="AS330" s="2">
        <v>45150</v>
      </c>
      <c r="AT330">
        <v>18.7</v>
      </c>
      <c r="AU330">
        <v>68.8</v>
      </c>
      <c r="AV330">
        <v>29.2</v>
      </c>
      <c r="AW330">
        <v>4.3</v>
      </c>
      <c r="AX330">
        <v>201.19</v>
      </c>
      <c r="AY330">
        <v>0.7</v>
      </c>
      <c r="AZ330">
        <v>2.9</v>
      </c>
      <c r="BA330">
        <v>131.38550000000001</v>
      </c>
      <c r="BB330">
        <v>21.2349</v>
      </c>
      <c r="BC330">
        <v>32.357300000000002</v>
      </c>
      <c r="BD330">
        <v>3.48</v>
      </c>
      <c r="BE330">
        <v>16.665500000000002</v>
      </c>
      <c r="BH330">
        <v>89.05</v>
      </c>
    </row>
    <row r="331" spans="1:60" x14ac:dyDescent="0.25">
      <c r="A331" s="2">
        <v>45170</v>
      </c>
      <c r="B331">
        <v>24.3</v>
      </c>
      <c r="C331">
        <v>82.4</v>
      </c>
      <c r="D331">
        <v>18.2</v>
      </c>
      <c r="E331">
        <v>4.9000000000000004</v>
      </c>
      <c r="F331">
        <v>177.29</v>
      </c>
      <c r="G331">
        <v>0.7</v>
      </c>
      <c r="H331">
        <v>3.4</v>
      </c>
      <c r="I331">
        <v>238.93770000000001</v>
      </c>
      <c r="J331">
        <v>40.859400000000001</v>
      </c>
      <c r="K331">
        <v>80.156400000000005</v>
      </c>
      <c r="L331">
        <v>3.48</v>
      </c>
      <c r="M331">
        <v>25.892800000000001</v>
      </c>
      <c r="N331">
        <v>-12.857200000000001</v>
      </c>
      <c r="O331">
        <v>-25.437799999999999</v>
      </c>
      <c r="P331">
        <v>92.86</v>
      </c>
      <c r="S331">
        <f t="shared" si="113"/>
        <v>700.5163</v>
      </c>
      <c r="T331">
        <f t="shared" si="114"/>
        <v>2.2780399294463842E-2</v>
      </c>
      <c r="U331">
        <f t="shared" si="115"/>
        <v>7.7247115303037892E-2</v>
      </c>
      <c r="V331">
        <f t="shared" si="116"/>
        <v>1.7061862846059338E-2</v>
      </c>
      <c r="W331">
        <f t="shared" si="117"/>
        <v>4.5935784585544375E-3</v>
      </c>
      <c r="X331">
        <f t="shared" si="118"/>
        <v>0.16620316835043186</v>
      </c>
      <c r="Y331">
        <f t="shared" si="119"/>
        <v>6.5622549407920526E-4</v>
      </c>
      <c r="Z331">
        <f t="shared" si="120"/>
        <v>3.1873809712418544E-3</v>
      </c>
      <c r="AA331">
        <f t="shared" si="121"/>
        <v>0.22399572890949848</v>
      </c>
      <c r="AB331">
        <f t="shared" si="122"/>
        <v>3.8304257075399833E-2</v>
      </c>
      <c r="AC331">
        <f t="shared" si="123"/>
        <v>7.5143818848014882E-2</v>
      </c>
      <c r="AD331">
        <f t="shared" si="124"/>
        <v>3.2623781705651924E-3</v>
      </c>
      <c r="AE331">
        <f t="shared" si="125"/>
        <v>2.4273593532991498E-2</v>
      </c>
      <c r="AG331">
        <f t="shared" si="126"/>
        <v>0.74332231843616492</v>
      </c>
      <c r="AH331">
        <f t="shared" si="127"/>
        <v>0.31600332425085997</v>
      </c>
      <c r="AI331">
        <f t="shared" si="128"/>
        <v>0.33536184010386</v>
      </c>
      <c r="AK331" s="26">
        <f t="shared" si="129"/>
        <v>6.9252427247527282E-2</v>
      </c>
      <c r="AL331" s="26">
        <f t="shared" si="130"/>
        <v>5.017600340478251E-2</v>
      </c>
      <c r="AM331" s="26">
        <f t="shared" si="131"/>
        <v>5.0293631705289554E-2</v>
      </c>
      <c r="AN331" s="26">
        <f t="shared" si="132"/>
        <v>14.259206349206323</v>
      </c>
      <c r="AO331" s="26">
        <f t="shared" si="133"/>
        <v>14.838315404475125</v>
      </c>
      <c r="AP331" s="26">
        <f t="shared" si="134"/>
        <v>15.514301882828683</v>
      </c>
      <c r="AS331" s="2">
        <v>45149</v>
      </c>
      <c r="AT331">
        <v>20.2</v>
      </c>
      <c r="AU331">
        <v>113.2</v>
      </c>
      <c r="AV331">
        <v>18.7</v>
      </c>
      <c r="AW331">
        <v>1.9</v>
      </c>
      <c r="AX331">
        <v>324.89</v>
      </c>
      <c r="AY331">
        <v>0.7</v>
      </c>
      <c r="AZ331">
        <v>2.8</v>
      </c>
      <c r="BA331">
        <v>152.45650000000001</v>
      </c>
      <c r="BB331">
        <v>43.9495</v>
      </c>
      <c r="BC331">
        <v>73.497299999999996</v>
      </c>
      <c r="BD331">
        <v>3.4965000000000002</v>
      </c>
      <c r="BE331">
        <v>24.484500000000001</v>
      </c>
      <c r="BF331">
        <v>-10.023300000000001</v>
      </c>
      <c r="BG331">
        <v>-24.297999999999998</v>
      </c>
      <c r="BH331">
        <v>88.68</v>
      </c>
    </row>
    <row r="332" spans="1:60" x14ac:dyDescent="0.25">
      <c r="A332" s="2">
        <v>45169</v>
      </c>
      <c r="B332">
        <v>22.4</v>
      </c>
      <c r="C332">
        <v>101</v>
      </c>
      <c r="D332">
        <v>22.1</v>
      </c>
      <c r="E332">
        <v>8.8000000000000007</v>
      </c>
      <c r="F332">
        <v>204.31</v>
      </c>
      <c r="G332">
        <v>0.7</v>
      </c>
      <c r="H332">
        <v>2.8</v>
      </c>
      <c r="I332">
        <v>239.69059999999999</v>
      </c>
      <c r="J332">
        <v>46.712499999999999</v>
      </c>
      <c r="K332">
        <v>77.708600000000004</v>
      </c>
      <c r="L332">
        <v>3.3287</v>
      </c>
      <c r="M332">
        <v>16.251000000000001</v>
      </c>
      <c r="N332">
        <v>-4.5404</v>
      </c>
      <c r="O332">
        <v>-24.290099999999999</v>
      </c>
      <c r="P332">
        <v>92.92</v>
      </c>
      <c r="S332">
        <f t="shared" si="113"/>
        <v>745.80140000000006</v>
      </c>
      <c r="T332">
        <f t="shared" si="114"/>
        <v>2.0999215810534568E-2</v>
      </c>
      <c r="U332">
        <f t="shared" si="115"/>
        <v>9.4683964145713909E-2</v>
      </c>
      <c r="V332">
        <f t="shared" si="116"/>
        <v>2.0717976313072057E-2</v>
      </c>
      <c r="W332">
        <f t="shared" si="117"/>
        <v>8.2496919255671541E-3</v>
      </c>
      <c r="X332">
        <f t="shared" si="118"/>
        <v>0.1915334724218892</v>
      </c>
      <c r="Y332">
        <f t="shared" si="119"/>
        <v>6.5622549407920526E-4</v>
      </c>
      <c r="Z332">
        <f t="shared" si="120"/>
        <v>2.624901976316821E-3</v>
      </c>
      <c r="AA332">
        <f t="shared" si="121"/>
        <v>0.22470154630163025</v>
      </c>
      <c r="AB332">
        <f t="shared" si="122"/>
        <v>4.3791333417392685E-2</v>
      </c>
      <c r="AC332">
        <f t="shared" si="123"/>
        <v>7.2849092041719049E-2</v>
      </c>
      <c r="AD332">
        <f t="shared" si="124"/>
        <v>3.1205397173449298E-3</v>
      </c>
      <c r="AE332">
        <f t="shared" si="125"/>
        <v>1.5234743577544525E-2</v>
      </c>
      <c r="AG332">
        <f t="shared" si="126"/>
        <v>0.74788844502815</v>
      </c>
      <c r="AH332">
        <f t="shared" si="127"/>
        <v>0.35470019166471745</v>
      </c>
      <c r="AI332">
        <f t="shared" si="128"/>
        <v>0.57765691789765483</v>
      </c>
      <c r="AK332" s="26">
        <f t="shared" si="129"/>
        <v>6.8411181877069793E-2</v>
      </c>
      <c r="AL332" s="26">
        <f t="shared" si="130"/>
        <v>5.2726103298736393E-2</v>
      </c>
      <c r="AM332" s="26">
        <f t="shared" si="131"/>
        <v>4.9509924233892388E-2</v>
      </c>
      <c r="AN332" s="26">
        <f t="shared" si="132"/>
        <v>14.338095238095221</v>
      </c>
      <c r="AO332" s="26">
        <f t="shared" si="133"/>
        <v>14.871749139414888</v>
      </c>
      <c r="AP332" s="26">
        <f t="shared" si="134"/>
        <v>15.55163729944065</v>
      </c>
      <c r="AS332" s="2">
        <v>45148</v>
      </c>
      <c r="AT332">
        <v>21.5</v>
      </c>
      <c r="AU332">
        <v>88.8</v>
      </c>
      <c r="AV332">
        <v>25.6</v>
      </c>
      <c r="AW332">
        <v>2.9</v>
      </c>
      <c r="AX332">
        <v>310.89</v>
      </c>
      <c r="AY332">
        <v>0.8</v>
      </c>
      <c r="AZ332">
        <v>2.7</v>
      </c>
      <c r="BA332">
        <v>144.6996</v>
      </c>
      <c r="BB332">
        <v>37.832799999999999</v>
      </c>
      <c r="BC332">
        <v>90.114699999999999</v>
      </c>
      <c r="BD332">
        <v>3.3580999999999999</v>
      </c>
      <c r="BE332">
        <v>22.597799999999999</v>
      </c>
      <c r="BF332">
        <v>-13.467499999999999</v>
      </c>
      <c r="BG332">
        <v>-22.544799999999999</v>
      </c>
      <c r="BH332">
        <v>88.51</v>
      </c>
    </row>
    <row r="333" spans="1:60" x14ac:dyDescent="0.25">
      <c r="A333" s="2">
        <v>45168</v>
      </c>
      <c r="B333">
        <v>20.8</v>
      </c>
      <c r="C333">
        <v>195.3</v>
      </c>
      <c r="D333">
        <v>18.5</v>
      </c>
      <c r="E333">
        <v>2.8</v>
      </c>
      <c r="F333">
        <v>179.84</v>
      </c>
      <c r="G333">
        <v>0.7</v>
      </c>
      <c r="H333">
        <v>2.9</v>
      </c>
      <c r="I333">
        <v>279.68770000000001</v>
      </c>
      <c r="J333">
        <v>84.549000000000007</v>
      </c>
      <c r="K333">
        <v>92.527500000000003</v>
      </c>
      <c r="L333">
        <v>3.48</v>
      </c>
      <c r="M333">
        <v>19.6145</v>
      </c>
      <c r="N333">
        <v>-9.1393000000000004</v>
      </c>
      <c r="O333">
        <v>-22.859200000000001</v>
      </c>
      <c r="P333">
        <v>92.77</v>
      </c>
      <c r="S333">
        <f t="shared" si="113"/>
        <v>900.69870000000003</v>
      </c>
      <c r="T333">
        <f t="shared" si="114"/>
        <v>1.9499271824067816E-2</v>
      </c>
      <c r="U333">
        <f t="shared" si="115"/>
        <v>0.1830869128480983</v>
      </c>
      <c r="V333">
        <f t="shared" si="116"/>
        <v>1.7343102343521856E-2</v>
      </c>
      <c r="W333">
        <f t="shared" si="117"/>
        <v>2.624901976316821E-3</v>
      </c>
      <c r="X333">
        <f t="shared" si="118"/>
        <v>0.16859370407886326</v>
      </c>
      <c r="Y333">
        <f t="shared" si="119"/>
        <v>6.5622549407920526E-4</v>
      </c>
      <c r="Z333">
        <f t="shared" si="120"/>
        <v>2.7186484754709935E-3</v>
      </c>
      <c r="AA333">
        <f t="shared" si="121"/>
        <v>0.26219742731482365</v>
      </c>
      <c r="AB333">
        <f t="shared" si="122"/>
        <v>7.9261727569861051E-2</v>
      </c>
      <c r="AC333">
        <f t="shared" si="123"/>
        <v>8.674129200487668E-2</v>
      </c>
      <c r="AD333">
        <f t="shared" si="124"/>
        <v>3.2623781705651924E-3</v>
      </c>
      <c r="AE333">
        <f t="shared" si="125"/>
        <v>1.8387907076595104E-2</v>
      </c>
      <c r="AG333">
        <f t="shared" si="126"/>
        <v>0.74242224440295845</v>
      </c>
      <c r="AH333">
        <f t="shared" si="127"/>
        <v>0.41291067411701338</v>
      </c>
      <c r="AI333">
        <f t="shared" si="128"/>
        <v>0.94330313242376351</v>
      </c>
      <c r="AK333" s="26">
        <f t="shared" si="129"/>
        <v>6.2299024711272188E-2</v>
      </c>
      <c r="AL333" s="26">
        <f t="shared" si="130"/>
        <v>5.6162937028218118E-2</v>
      </c>
      <c r="AM333" s="26">
        <f t="shared" si="131"/>
        <v>4.9598640395505045E-2</v>
      </c>
      <c r="AN333" s="26">
        <f t="shared" si="132"/>
        <v>14.419682539682526</v>
      </c>
      <c r="AO333" s="26">
        <f t="shared" si="133"/>
        <v>14.90296901893295</v>
      </c>
      <c r="AP333" s="26">
        <f t="shared" si="134"/>
        <v>15.589550694572083</v>
      </c>
      <c r="AS333" s="2">
        <v>45147</v>
      </c>
      <c r="AT333">
        <v>20.399999999999999</v>
      </c>
      <c r="AU333">
        <v>202.2</v>
      </c>
      <c r="AV333">
        <v>51.2</v>
      </c>
      <c r="AW333">
        <v>11.2</v>
      </c>
      <c r="AX333">
        <v>204.36</v>
      </c>
      <c r="AY333">
        <v>0.8</v>
      </c>
      <c r="AZ333">
        <v>2.6</v>
      </c>
      <c r="BA333">
        <v>126.2315</v>
      </c>
      <c r="BB333">
        <v>40.579900000000002</v>
      </c>
      <c r="BC333">
        <v>85.910300000000007</v>
      </c>
      <c r="BD333">
        <v>3.4948000000000001</v>
      </c>
      <c r="BE333">
        <v>24.604800000000001</v>
      </c>
      <c r="BF333">
        <v>-16.542200000000001</v>
      </c>
      <c r="BG333">
        <v>-20.501899999999999</v>
      </c>
      <c r="BH333">
        <v>88.24</v>
      </c>
    </row>
    <row r="334" spans="1:60" x14ac:dyDescent="0.25">
      <c r="A334" s="2">
        <v>45167</v>
      </c>
      <c r="B334">
        <v>17.2</v>
      </c>
      <c r="C334">
        <v>195.2</v>
      </c>
      <c r="D334">
        <v>3.6</v>
      </c>
      <c r="E334">
        <v>1.2</v>
      </c>
      <c r="F334">
        <v>113.3</v>
      </c>
      <c r="G334">
        <v>0.5</v>
      </c>
      <c r="H334">
        <v>3.1</v>
      </c>
      <c r="I334">
        <v>277.54070000000002</v>
      </c>
      <c r="J334">
        <v>101.5788</v>
      </c>
      <c r="K334">
        <v>114.4255</v>
      </c>
      <c r="L334">
        <v>3.48</v>
      </c>
      <c r="M334">
        <v>24.6431</v>
      </c>
      <c r="N334">
        <v>-7.1367000000000003</v>
      </c>
      <c r="O334">
        <v>-22.2653</v>
      </c>
      <c r="P334">
        <v>92.68</v>
      </c>
      <c r="S334">
        <f t="shared" si="113"/>
        <v>855.7681</v>
      </c>
      <c r="T334">
        <f t="shared" si="114"/>
        <v>1.6124397854517615E-2</v>
      </c>
      <c r="U334">
        <f t="shared" si="115"/>
        <v>0.18299316634894411</v>
      </c>
      <c r="V334">
        <f t="shared" si="116"/>
        <v>3.3748739695501988E-3</v>
      </c>
      <c r="W334">
        <f t="shared" si="117"/>
        <v>1.1249579898500663E-3</v>
      </c>
      <c r="X334">
        <f t="shared" si="118"/>
        <v>0.10621478354167709</v>
      </c>
      <c r="Y334">
        <f t="shared" si="119"/>
        <v>4.6873249577086097E-4</v>
      </c>
      <c r="Z334">
        <f t="shared" si="120"/>
        <v>2.9061414737793379E-3</v>
      </c>
      <c r="AA334">
        <f t="shared" si="121"/>
        <v>0.26018468997798361</v>
      </c>
      <c r="AB334">
        <f t="shared" si="122"/>
        <v>9.522656888281826E-2</v>
      </c>
      <c r="AC334">
        <f t="shared" si="123"/>
        <v>0.10726990038965729</v>
      </c>
      <c r="AD334">
        <f t="shared" si="124"/>
        <v>3.2623781705651924E-3</v>
      </c>
      <c r="AE334">
        <f t="shared" si="125"/>
        <v>2.3102043533061809E-2</v>
      </c>
      <c r="AG334">
        <f t="shared" si="126"/>
        <v>0.73982767566495411</v>
      </c>
      <c r="AH334">
        <f t="shared" si="127"/>
        <v>0.33630909720715108</v>
      </c>
      <c r="AI334">
        <f t="shared" si="128"/>
        <v>0.46843825365039204</v>
      </c>
      <c r="AK334" s="26">
        <f t="shared" si="129"/>
        <v>5.7466696239967197E-2</v>
      </c>
      <c r="AL334" s="26">
        <f t="shared" si="130"/>
        <v>5.6151278194831233E-2</v>
      </c>
      <c r="AM334" s="26">
        <f t="shared" si="131"/>
        <v>4.9721255009093579E-2</v>
      </c>
      <c r="AN334" s="26">
        <f t="shared" si="132"/>
        <v>14.5</v>
      </c>
      <c r="AO334" s="26">
        <f t="shared" si="133"/>
        <v>14.932945352840008</v>
      </c>
      <c r="AP334" s="26">
        <f t="shared" si="134"/>
        <v>15.628268953021212</v>
      </c>
      <c r="AS334" s="2">
        <v>45146</v>
      </c>
      <c r="AT334">
        <v>19.8</v>
      </c>
      <c r="AU334">
        <v>111.3</v>
      </c>
      <c r="AV334">
        <v>46.8</v>
      </c>
      <c r="AW334">
        <v>10.5</v>
      </c>
      <c r="AX334">
        <v>234.5</v>
      </c>
      <c r="AY334">
        <v>0.2</v>
      </c>
      <c r="AZ334">
        <v>2.4</v>
      </c>
      <c r="BA334">
        <v>106.7704</v>
      </c>
      <c r="BB334">
        <v>39.244199999999999</v>
      </c>
      <c r="BC334">
        <v>58.232199999999999</v>
      </c>
      <c r="BD334">
        <v>3.4803000000000002</v>
      </c>
      <c r="BE334">
        <v>22.711600000000001</v>
      </c>
      <c r="BF334">
        <v>-8.9032999999999998</v>
      </c>
      <c r="BG334">
        <v>-29.906600000000001</v>
      </c>
      <c r="BH334">
        <v>87.97</v>
      </c>
    </row>
    <row r="335" spans="1:60" x14ac:dyDescent="0.25">
      <c r="A335" s="2">
        <v>45166</v>
      </c>
      <c r="B335">
        <v>22.3</v>
      </c>
      <c r="C335">
        <v>103</v>
      </c>
      <c r="D335">
        <v>22</v>
      </c>
      <c r="E335">
        <v>4.9000000000000004</v>
      </c>
      <c r="F335">
        <v>130.21</v>
      </c>
      <c r="G335">
        <v>0.8</v>
      </c>
      <c r="H335">
        <v>3.2</v>
      </c>
      <c r="I335">
        <v>259.98439999999999</v>
      </c>
      <c r="J335">
        <v>78.551400000000001</v>
      </c>
      <c r="K335">
        <v>92.726900000000001</v>
      </c>
      <c r="L335">
        <v>3.48</v>
      </c>
      <c r="M335">
        <v>20.633600000000001</v>
      </c>
      <c r="N335">
        <v>-9.8777000000000008</v>
      </c>
      <c r="O335">
        <v>-18.9101</v>
      </c>
      <c r="P335">
        <v>92.62</v>
      </c>
      <c r="S335">
        <f t="shared" si="113"/>
        <v>741.78629999999998</v>
      </c>
      <c r="T335">
        <f t="shared" si="114"/>
        <v>2.09054693113804E-2</v>
      </c>
      <c r="U335">
        <f t="shared" si="115"/>
        <v>9.6558894128797354E-2</v>
      </c>
      <c r="V335">
        <f t="shared" si="116"/>
        <v>2.0624229813917882E-2</v>
      </c>
      <c r="W335">
        <f t="shared" si="117"/>
        <v>4.5935784585544375E-3</v>
      </c>
      <c r="X335">
        <f t="shared" si="118"/>
        <v>0.12206731654864762</v>
      </c>
      <c r="Y335">
        <f t="shared" si="119"/>
        <v>7.4997199323337759E-4</v>
      </c>
      <c r="Z335">
        <f t="shared" si="120"/>
        <v>2.9998879729335104E-3</v>
      </c>
      <c r="AA335">
        <f t="shared" si="121"/>
        <v>0.24372627334697963</v>
      </c>
      <c r="AB335">
        <f t="shared" si="122"/>
        <v>7.363918753659042E-2</v>
      </c>
      <c r="AC335">
        <f t="shared" si="123"/>
        <v>8.6928222524190094E-2</v>
      </c>
      <c r="AD335">
        <f t="shared" si="124"/>
        <v>3.2623781705651924E-3</v>
      </c>
      <c r="AE335">
        <f t="shared" si="125"/>
        <v>1.9343277649475275E-2</v>
      </c>
      <c r="AG335">
        <f t="shared" si="126"/>
        <v>0.73869467551888912</v>
      </c>
      <c r="AH335">
        <f t="shared" si="127"/>
        <v>0.28784262587693987</v>
      </c>
      <c r="AI335">
        <f t="shared" si="128"/>
        <v>0.16673950705207949</v>
      </c>
      <c r="AK335" s="26">
        <f t="shared" si="129"/>
        <v>4.9257587620295806E-2</v>
      </c>
      <c r="AL335" s="26">
        <f t="shared" si="130"/>
        <v>6.0273504479464446E-2</v>
      </c>
      <c r="AM335" s="26">
        <f t="shared" si="131"/>
        <v>4.9851595175151364E-2</v>
      </c>
      <c r="AN335" s="26">
        <f t="shared" si="132"/>
        <v>14.575873015873</v>
      </c>
      <c r="AO335" s="26">
        <f t="shared" si="133"/>
        <v>14.961456540447571</v>
      </c>
      <c r="AP335" s="26">
        <f t="shared" si="134"/>
        <v>15.667765027178923</v>
      </c>
      <c r="AS335" s="2">
        <v>45145</v>
      </c>
      <c r="AT335">
        <v>21</v>
      </c>
      <c r="AU335">
        <v>54.2</v>
      </c>
      <c r="AV335">
        <v>36.5</v>
      </c>
      <c r="AW335">
        <v>14.7</v>
      </c>
      <c r="AX335">
        <v>170.46</v>
      </c>
      <c r="AY335">
        <v>0.8</v>
      </c>
      <c r="AZ335">
        <v>2.6</v>
      </c>
      <c r="BA335">
        <v>101.3425</v>
      </c>
      <c r="BB335">
        <v>37.774099999999997</v>
      </c>
      <c r="BC335">
        <v>44.188800000000001</v>
      </c>
      <c r="BD335">
        <v>3.6364999999999998</v>
      </c>
      <c r="BE335">
        <v>24.860800000000001</v>
      </c>
      <c r="BF335">
        <v>-9.3528000000000002</v>
      </c>
      <c r="BG335">
        <v>-28.882000000000001</v>
      </c>
      <c r="BH335">
        <v>87.66</v>
      </c>
    </row>
    <row r="336" spans="1:60" x14ac:dyDescent="0.25">
      <c r="A336" s="2">
        <v>45165</v>
      </c>
      <c r="B336">
        <v>21.9</v>
      </c>
      <c r="C336">
        <v>18.100000000000001</v>
      </c>
      <c r="D336">
        <v>15.9</v>
      </c>
      <c r="E336">
        <v>3.1</v>
      </c>
      <c r="F336">
        <v>123</v>
      </c>
      <c r="G336">
        <v>0.8</v>
      </c>
      <c r="H336">
        <v>3.1</v>
      </c>
      <c r="I336">
        <v>205.7758</v>
      </c>
      <c r="J336">
        <v>24.31</v>
      </c>
      <c r="K336">
        <v>40.0944</v>
      </c>
      <c r="L336">
        <v>3.48</v>
      </c>
      <c r="M336">
        <v>12.728899999999999</v>
      </c>
      <c r="P336">
        <v>92.5</v>
      </c>
      <c r="S336">
        <f t="shared" si="113"/>
        <v>472.28910000000002</v>
      </c>
      <c r="T336">
        <f t="shared" si="114"/>
        <v>2.0530483314763707E-2</v>
      </c>
      <c r="U336">
        <f t="shared" si="115"/>
        <v>1.696811634690517E-2</v>
      </c>
      <c r="V336">
        <f t="shared" si="116"/>
        <v>1.4905693365513379E-2</v>
      </c>
      <c r="W336">
        <f t="shared" si="117"/>
        <v>2.9061414737793379E-3</v>
      </c>
      <c r="X336">
        <f t="shared" si="118"/>
        <v>0.11530819395963179</v>
      </c>
      <c r="Y336">
        <f t="shared" si="119"/>
        <v>7.4997199323337759E-4</v>
      </c>
      <c r="Z336">
        <f t="shared" si="120"/>
        <v>2.9061414737793379E-3</v>
      </c>
      <c r="AA336">
        <f t="shared" si="121"/>
        <v>0.19290760860649106</v>
      </c>
      <c r="AB336">
        <f t="shared" si="122"/>
        <v>2.2789773944379258E-2</v>
      </c>
      <c r="AC336">
        <f t="shared" si="123"/>
        <v>3.7587096356870416E-2</v>
      </c>
      <c r="AD336">
        <f t="shared" si="124"/>
        <v>3.2623781705651924E-3</v>
      </c>
      <c r="AE336">
        <f t="shared" si="125"/>
        <v>1.1932898130835423E-2</v>
      </c>
      <c r="AG336">
        <f t="shared" si="126"/>
        <v>0.73470815467754713</v>
      </c>
      <c r="AH336">
        <f t="shared" si="127"/>
        <v>0.18620764005844154</v>
      </c>
      <c r="AI336">
        <f t="shared" si="128"/>
        <v>-0.46808119470123905</v>
      </c>
      <c r="AK336" s="26">
        <f t="shared" si="129"/>
        <v>3.9212089244970882E-2</v>
      </c>
      <c r="AL336" s="26">
        <f t="shared" si="130"/>
        <v>5.8279368460943948E-2</v>
      </c>
      <c r="AM336" s="26">
        <f t="shared" si="131"/>
        <v>5.0930276182153289E-2</v>
      </c>
      <c r="AN336" s="26">
        <f t="shared" si="132"/>
        <v>14.645555555555532</v>
      </c>
      <c r="AO336" s="26">
        <f t="shared" si="133"/>
        <v>14.990722891566321</v>
      </c>
      <c r="AP336" s="26">
        <f t="shared" si="134"/>
        <v>15.706709382631772</v>
      </c>
      <c r="AS336" s="2">
        <v>45144</v>
      </c>
      <c r="AT336">
        <v>20.7</v>
      </c>
      <c r="AU336">
        <v>53.3</v>
      </c>
      <c r="AV336">
        <v>16.3</v>
      </c>
      <c r="AW336">
        <v>5.2</v>
      </c>
      <c r="AX336">
        <v>148.44</v>
      </c>
      <c r="AY336">
        <v>0.7</v>
      </c>
      <c r="AZ336">
        <v>3</v>
      </c>
      <c r="BA336">
        <v>87.778300000000002</v>
      </c>
      <c r="BB336">
        <v>20.568000000000001</v>
      </c>
      <c r="BC336">
        <v>18.384599999999999</v>
      </c>
      <c r="BD336">
        <v>3.19</v>
      </c>
      <c r="BE336">
        <v>20.236699999999999</v>
      </c>
      <c r="BH336">
        <v>87.37</v>
      </c>
    </row>
    <row r="337" spans="1:60" x14ac:dyDescent="0.25">
      <c r="A337" s="2">
        <v>45164</v>
      </c>
      <c r="B337">
        <v>20</v>
      </c>
      <c r="C337">
        <v>39.200000000000003</v>
      </c>
      <c r="D337">
        <v>14.5</v>
      </c>
      <c r="E337">
        <v>5.7</v>
      </c>
      <c r="F337">
        <v>207.58</v>
      </c>
      <c r="G337">
        <v>0.7</v>
      </c>
      <c r="H337">
        <v>3.3</v>
      </c>
      <c r="I337">
        <v>223.41980000000001</v>
      </c>
      <c r="J337">
        <v>31.749099999999999</v>
      </c>
      <c r="K337">
        <v>50.661299999999997</v>
      </c>
      <c r="L337">
        <v>3.3435000000000001</v>
      </c>
      <c r="M337">
        <v>11.563599999999999</v>
      </c>
      <c r="P337">
        <v>92.28</v>
      </c>
      <c r="S337">
        <f t="shared" si="113"/>
        <v>611.71729999999991</v>
      </c>
      <c r="T337">
        <f t="shared" si="114"/>
        <v>1.8749299830834436E-2</v>
      </c>
      <c r="U337">
        <f t="shared" si="115"/>
        <v>3.67486276684355E-2</v>
      </c>
      <c r="V337">
        <f t="shared" si="116"/>
        <v>1.3593242377354967E-2</v>
      </c>
      <c r="W337">
        <f t="shared" si="117"/>
        <v>5.3435504517878154E-3</v>
      </c>
      <c r="X337">
        <f t="shared" si="118"/>
        <v>0.19459898294423064</v>
      </c>
      <c r="Y337">
        <f t="shared" si="119"/>
        <v>6.5622549407920526E-4</v>
      </c>
      <c r="Z337">
        <f t="shared" si="120"/>
        <v>3.0936344720876819E-3</v>
      </c>
      <c r="AA337">
        <f t="shared" si="121"/>
        <v>0.2094482409172532</v>
      </c>
      <c r="AB337">
        <f t="shared" si="122"/>
        <v>2.976366976295728E-2</v>
      </c>
      <c r="AC337">
        <f t="shared" si="123"/>
        <v>4.7493195175992632E-2</v>
      </c>
      <c r="AD337">
        <f t="shared" si="124"/>
        <v>3.1344141992197473E-3</v>
      </c>
      <c r="AE337">
        <f t="shared" si="125"/>
        <v>1.0840470176191854E-2</v>
      </c>
      <c r="AG337">
        <f t="shared" si="126"/>
        <v>0.72595246711187666</v>
      </c>
      <c r="AH337">
        <f t="shared" si="127"/>
        <v>0.28362403341500209</v>
      </c>
      <c r="AI337">
        <f t="shared" si="128"/>
        <v>0.14147915288284951</v>
      </c>
      <c r="AK337" s="26">
        <f t="shared" si="129"/>
        <v>3.9986042485511741E-2</v>
      </c>
      <c r="AL337" s="26">
        <f t="shared" si="130"/>
        <v>6.2600426532210485E-2</v>
      </c>
      <c r="AM337" s="26">
        <f t="shared" si="131"/>
        <v>5.2496297952662641E-2</v>
      </c>
      <c r="AN337" s="26">
        <f t="shared" si="132"/>
        <v>14.710476190476186</v>
      </c>
      <c r="AO337" s="26">
        <f t="shared" si="133"/>
        <v>15.019657917383896</v>
      </c>
      <c r="AP337" s="26">
        <f t="shared" si="134"/>
        <v>15.743529844279323</v>
      </c>
      <c r="AS337" s="2">
        <v>45143</v>
      </c>
      <c r="AT337">
        <v>21.5</v>
      </c>
      <c r="AU337">
        <v>141</v>
      </c>
      <c r="AV337">
        <v>11.1</v>
      </c>
      <c r="AW337">
        <v>2.5</v>
      </c>
      <c r="AX337">
        <v>194.85</v>
      </c>
      <c r="AY337">
        <v>0.7</v>
      </c>
      <c r="AZ337">
        <v>3</v>
      </c>
      <c r="BA337">
        <v>95.866200000000006</v>
      </c>
      <c r="BB337">
        <v>25.756</v>
      </c>
      <c r="BC337">
        <v>63.4621</v>
      </c>
      <c r="BD337">
        <v>3.48</v>
      </c>
      <c r="BE337">
        <v>19.619900000000001</v>
      </c>
      <c r="BH337">
        <v>87.04</v>
      </c>
    </row>
    <row r="338" spans="1:60" x14ac:dyDescent="0.25">
      <c r="A338" s="2">
        <v>45163</v>
      </c>
      <c r="B338">
        <v>18.7</v>
      </c>
      <c r="C338">
        <v>163.9</v>
      </c>
      <c r="D338">
        <v>11</v>
      </c>
      <c r="E338">
        <v>4.7</v>
      </c>
      <c r="F338">
        <v>161.91</v>
      </c>
      <c r="G338">
        <v>0.6</v>
      </c>
      <c r="H338">
        <v>3.2</v>
      </c>
      <c r="I338">
        <v>266.5394</v>
      </c>
      <c r="J338">
        <v>80.746099999999998</v>
      </c>
      <c r="K338">
        <v>109.9654</v>
      </c>
      <c r="L338">
        <v>3.48</v>
      </c>
      <c r="M338">
        <v>26.7803</v>
      </c>
      <c r="N338">
        <v>-11.022600000000001</v>
      </c>
      <c r="O338">
        <v>-27.3446</v>
      </c>
      <c r="P338">
        <v>92.09</v>
      </c>
      <c r="S338">
        <f t="shared" si="113"/>
        <v>851.52120000000002</v>
      </c>
      <c r="T338">
        <f t="shared" si="114"/>
        <v>1.7530595341830199E-2</v>
      </c>
      <c r="U338">
        <f t="shared" si="115"/>
        <v>0.15365051211368821</v>
      </c>
      <c r="V338">
        <f t="shared" si="116"/>
        <v>1.0312114906958941E-2</v>
      </c>
      <c r="W338">
        <f t="shared" si="117"/>
        <v>4.4060854602460935E-3</v>
      </c>
      <c r="X338">
        <f t="shared" si="118"/>
        <v>0.1517849567805202</v>
      </c>
      <c r="Y338">
        <f t="shared" si="119"/>
        <v>5.6247899492503314E-4</v>
      </c>
      <c r="Z338">
        <f t="shared" si="120"/>
        <v>2.9998879729335104E-3</v>
      </c>
      <c r="AA338">
        <f t="shared" si="121"/>
        <v>0.24987135636653562</v>
      </c>
      <c r="AB338">
        <f t="shared" si="122"/>
        <v>7.569664195352703E-2</v>
      </c>
      <c r="AC338">
        <f t="shared" si="123"/>
        <v>0.10308871278088207</v>
      </c>
      <c r="AD338">
        <f t="shared" si="124"/>
        <v>3.2623781705651924E-3</v>
      </c>
      <c r="AE338">
        <f t="shared" si="125"/>
        <v>2.5105593712984774E-2</v>
      </c>
      <c r="AG338">
        <f t="shared" si="126"/>
        <v>0.71865151367290803</v>
      </c>
      <c r="AH338">
        <f t="shared" si="127"/>
        <v>0.3663522252840869</v>
      </c>
      <c r="AI338">
        <f t="shared" si="128"/>
        <v>0.65416920855523908</v>
      </c>
      <c r="AK338" s="26">
        <f t="shared" si="129"/>
        <v>3.5922298407621289E-2</v>
      </c>
      <c r="AL338" s="26">
        <f t="shared" si="130"/>
        <v>6.1757503574066897E-2</v>
      </c>
      <c r="AM338" s="26">
        <f t="shared" si="131"/>
        <v>5.4457945576890932E-2</v>
      </c>
      <c r="AN338" s="26">
        <f t="shared" si="132"/>
        <v>14.764126984126975</v>
      </c>
      <c r="AO338" s="26">
        <f t="shared" si="133"/>
        <v>15.046753442340858</v>
      </c>
      <c r="AP338" s="26">
        <f t="shared" si="134"/>
        <v>15.77893332633073</v>
      </c>
      <c r="AS338" s="2">
        <v>45142</v>
      </c>
      <c r="AT338">
        <v>20.7</v>
      </c>
      <c r="AU338">
        <v>219.7</v>
      </c>
      <c r="AV338">
        <v>34.6</v>
      </c>
      <c r="AW338">
        <v>6.3</v>
      </c>
      <c r="AX338">
        <v>195.75</v>
      </c>
      <c r="AY338">
        <v>0.7</v>
      </c>
      <c r="AZ338">
        <v>2.6</v>
      </c>
      <c r="BA338">
        <v>112.43899999999999</v>
      </c>
      <c r="BB338">
        <v>41.968499999999999</v>
      </c>
      <c r="BC338">
        <v>78.172899999999998</v>
      </c>
      <c r="BD338">
        <v>3.48</v>
      </c>
      <c r="BE338">
        <v>33.616700000000002</v>
      </c>
      <c r="BF338">
        <v>-6.2160000000000002</v>
      </c>
      <c r="BG338">
        <v>-28.084499999999998</v>
      </c>
      <c r="BH338">
        <v>86.74</v>
      </c>
    </row>
    <row r="339" spans="1:60" x14ac:dyDescent="0.25">
      <c r="A339" s="2">
        <v>45162</v>
      </c>
      <c r="B339">
        <v>17.600000000000001</v>
      </c>
      <c r="C339">
        <v>33.299999999999997</v>
      </c>
      <c r="D339">
        <v>10.3</v>
      </c>
      <c r="E339">
        <v>1.6</v>
      </c>
      <c r="F339">
        <v>249.29</v>
      </c>
      <c r="G339">
        <v>0.6</v>
      </c>
      <c r="H339">
        <v>3.3</v>
      </c>
      <c r="I339">
        <v>272.30860000000001</v>
      </c>
      <c r="J339">
        <v>134.31219999999999</v>
      </c>
      <c r="K339">
        <v>117.761</v>
      </c>
      <c r="L339">
        <v>3.48</v>
      </c>
      <c r="M339">
        <v>27.411799999999999</v>
      </c>
      <c r="N339">
        <v>-7.1127000000000002</v>
      </c>
      <c r="O339">
        <v>-28.3445</v>
      </c>
      <c r="P339">
        <v>91.94</v>
      </c>
      <c r="S339">
        <f t="shared" si="113"/>
        <v>871.2636</v>
      </c>
      <c r="T339">
        <f t="shared" si="114"/>
        <v>1.6499383851134308E-2</v>
      </c>
      <c r="U339">
        <f t="shared" si="115"/>
        <v>3.1217584218339336E-2</v>
      </c>
      <c r="V339">
        <f t="shared" si="116"/>
        <v>9.6558894128797364E-3</v>
      </c>
      <c r="W339">
        <f t="shared" si="117"/>
        <v>1.4999439864667552E-3</v>
      </c>
      <c r="X339">
        <f t="shared" si="118"/>
        <v>0.23370064774143584</v>
      </c>
      <c r="Y339">
        <f t="shared" si="119"/>
        <v>5.6247899492503314E-4</v>
      </c>
      <c r="Z339">
        <f t="shared" si="120"/>
        <v>3.0936344720876819E-3</v>
      </c>
      <c r="AA339">
        <f t="shared" si="121"/>
        <v>0.25527977939573815</v>
      </c>
      <c r="AB339">
        <f t="shared" si="122"/>
        <v>0.12591298543695006</v>
      </c>
      <c r="AC339">
        <f t="shared" si="123"/>
        <v>0.1103968148689447</v>
      </c>
      <c r="AD339">
        <f t="shared" si="124"/>
        <v>3.2623781705651924E-3</v>
      </c>
      <c r="AE339">
        <f t="shared" si="125"/>
        <v>2.5697602855143373E-2</v>
      </c>
      <c r="AG339">
        <f t="shared" si="126"/>
        <v>0.71328310388824656</v>
      </c>
      <c r="AH339">
        <f t="shared" si="127"/>
        <v>0.32192716553241202</v>
      </c>
      <c r="AI339">
        <f t="shared" si="128"/>
        <v>0.37832754238745209</v>
      </c>
      <c r="AK339" s="26">
        <f t="shared" si="129"/>
        <v>3.1878962793792764E-2</v>
      </c>
      <c r="AL339" s="26">
        <f t="shared" si="130"/>
        <v>5.7362924851177444E-2</v>
      </c>
      <c r="AM339" s="26">
        <f t="shared" si="131"/>
        <v>5.4850085117431502E-2</v>
      </c>
      <c r="AN339" s="26">
        <f t="shared" si="132"/>
        <v>14.81174603174604</v>
      </c>
      <c r="AO339" s="26">
        <f t="shared" si="133"/>
        <v>15.072771084337404</v>
      </c>
      <c r="AP339" s="26">
        <f t="shared" si="134"/>
        <v>15.813125968330695</v>
      </c>
      <c r="AS339" s="2">
        <v>45141</v>
      </c>
      <c r="AT339">
        <v>18.7</v>
      </c>
      <c r="AU339">
        <v>103.9</v>
      </c>
      <c r="AV339">
        <v>32.1</v>
      </c>
      <c r="AW339">
        <v>16.600000000000001</v>
      </c>
      <c r="AX339">
        <v>211</v>
      </c>
      <c r="AY339">
        <v>0.7</v>
      </c>
      <c r="AZ339">
        <v>2.8</v>
      </c>
      <c r="BA339">
        <v>73.653400000000005</v>
      </c>
      <c r="BB339">
        <v>35.723799999999997</v>
      </c>
      <c r="BC339">
        <v>35.114699999999999</v>
      </c>
      <c r="BD339">
        <v>3.4857999999999998</v>
      </c>
      <c r="BE339">
        <v>17.113800000000001</v>
      </c>
      <c r="BF339">
        <v>-7.3505000000000003</v>
      </c>
      <c r="BG339">
        <v>-27.220600000000001</v>
      </c>
      <c r="BH339">
        <v>86.51</v>
      </c>
    </row>
    <row r="340" spans="1:60" x14ac:dyDescent="0.25">
      <c r="A340" s="2">
        <v>45161</v>
      </c>
      <c r="B340">
        <v>17.899999999999999</v>
      </c>
      <c r="C340">
        <v>121.4</v>
      </c>
      <c r="D340">
        <v>10.7</v>
      </c>
      <c r="E340">
        <v>1.4</v>
      </c>
      <c r="F340">
        <v>292.69</v>
      </c>
      <c r="G340">
        <v>0.4</v>
      </c>
      <c r="H340">
        <v>3.3</v>
      </c>
      <c r="I340">
        <v>263.8682</v>
      </c>
      <c r="J340">
        <v>118.57</v>
      </c>
      <c r="K340">
        <v>119.0368</v>
      </c>
      <c r="L340">
        <v>3.9138000000000002</v>
      </c>
      <c r="M340">
        <v>27.9574</v>
      </c>
      <c r="N340">
        <v>-7.5951000000000004</v>
      </c>
      <c r="O340">
        <v>-21.475200000000001</v>
      </c>
      <c r="P340">
        <v>91.83</v>
      </c>
      <c r="S340">
        <f t="shared" si="113"/>
        <v>981.13620000000003</v>
      </c>
      <c r="T340">
        <f t="shared" si="114"/>
        <v>1.678062334859682E-2</v>
      </c>
      <c r="U340">
        <f t="shared" si="115"/>
        <v>0.11380824997316505</v>
      </c>
      <c r="V340">
        <f t="shared" si="116"/>
        <v>1.0030875409496424E-2</v>
      </c>
      <c r="W340">
        <f t="shared" si="117"/>
        <v>1.3124509881584105E-3</v>
      </c>
      <c r="X340">
        <f t="shared" si="118"/>
        <v>0.27438662837434658</v>
      </c>
      <c r="Y340">
        <f t="shared" si="119"/>
        <v>3.7498599661668879E-4</v>
      </c>
      <c r="Z340">
        <f t="shared" si="120"/>
        <v>3.0936344720876819E-3</v>
      </c>
      <c r="AA340">
        <f t="shared" si="121"/>
        <v>0.24736719988112937</v>
      </c>
      <c r="AB340">
        <f t="shared" si="122"/>
        <v>0.11115522404710196</v>
      </c>
      <c r="AC340">
        <f t="shared" si="123"/>
        <v>0.11159283270515365</v>
      </c>
      <c r="AD340">
        <f t="shared" si="124"/>
        <v>3.6690504838959915E-3</v>
      </c>
      <c r="AE340">
        <f t="shared" si="125"/>
        <v>2.6209083754528534E-2</v>
      </c>
      <c r="AG340">
        <f t="shared" si="126"/>
        <v>0.70985684514286984</v>
      </c>
      <c r="AH340">
        <f t="shared" si="127"/>
        <v>0.44599653231699615</v>
      </c>
      <c r="AI340">
        <f t="shared" si="128"/>
        <v>1.1526177265117372</v>
      </c>
      <c r="AK340" s="26">
        <f t="shared" si="129"/>
        <v>2.8667143747065027E-2</v>
      </c>
      <c r="AL340" s="26">
        <f t="shared" si="130"/>
        <v>5.5844018396474127E-2</v>
      </c>
      <c r="AM340" s="26">
        <f t="shared" si="131"/>
        <v>5.5289625498400718E-2</v>
      </c>
      <c r="AN340" s="26">
        <f t="shared" si="132"/>
        <v>14.857936507936515</v>
      </c>
      <c r="AO340" s="26">
        <f t="shared" si="133"/>
        <v>15.096762048192815</v>
      </c>
      <c r="AP340" s="26">
        <f t="shared" si="134"/>
        <v>15.847320711115806</v>
      </c>
      <c r="AS340" s="2">
        <v>45140</v>
      </c>
      <c r="AT340">
        <v>19.399999999999999</v>
      </c>
      <c r="AU340">
        <v>98.3</v>
      </c>
      <c r="AV340">
        <v>37.9</v>
      </c>
      <c r="AW340">
        <v>12</v>
      </c>
      <c r="AX340">
        <v>151.9</v>
      </c>
      <c r="AY340">
        <v>0.7</v>
      </c>
      <c r="AZ340">
        <v>3.1</v>
      </c>
      <c r="BA340">
        <v>86.417699999999996</v>
      </c>
      <c r="BB340">
        <v>32.528500000000001</v>
      </c>
      <c r="BC340">
        <v>40.745699999999999</v>
      </c>
      <c r="BD340">
        <v>3.48</v>
      </c>
      <c r="BE340">
        <v>25.8203</v>
      </c>
      <c r="BF340">
        <v>-7.7702999999999998</v>
      </c>
      <c r="BG340">
        <v>-29.1601</v>
      </c>
      <c r="BH340">
        <v>86.26</v>
      </c>
    </row>
    <row r="341" spans="1:60" x14ac:dyDescent="0.25">
      <c r="A341" s="2">
        <v>45160</v>
      </c>
      <c r="B341">
        <v>17.600000000000001</v>
      </c>
      <c r="C341">
        <v>294.39999999999998</v>
      </c>
      <c r="D341">
        <v>9.8000000000000007</v>
      </c>
      <c r="E341">
        <v>1.9</v>
      </c>
      <c r="F341">
        <v>273.64</v>
      </c>
      <c r="G341">
        <v>0.6</v>
      </c>
      <c r="H341">
        <v>3.4</v>
      </c>
      <c r="I341">
        <v>274.18490000000003</v>
      </c>
      <c r="J341">
        <v>98.806700000000006</v>
      </c>
      <c r="K341">
        <v>113.7105</v>
      </c>
      <c r="L341">
        <v>3.8214000000000001</v>
      </c>
      <c r="M341">
        <v>25.299900000000001</v>
      </c>
      <c r="N341">
        <v>-11.985300000000001</v>
      </c>
      <c r="O341">
        <v>-15.9656</v>
      </c>
      <c r="P341">
        <v>91.6</v>
      </c>
      <c r="S341">
        <f t="shared" si="113"/>
        <v>1117.1633999999999</v>
      </c>
      <c r="T341">
        <f t="shared" si="114"/>
        <v>1.6499383851134308E-2</v>
      </c>
      <c r="U341">
        <f t="shared" si="115"/>
        <v>0.27598969350988289</v>
      </c>
      <c r="V341">
        <f t="shared" si="116"/>
        <v>9.1871569171088751E-3</v>
      </c>
      <c r="W341">
        <f t="shared" si="117"/>
        <v>1.7811834839292716E-3</v>
      </c>
      <c r="X341">
        <f t="shared" si="118"/>
        <v>0.25652792028547677</v>
      </c>
      <c r="Y341">
        <f t="shared" si="119"/>
        <v>5.6247899492503314E-4</v>
      </c>
      <c r="Z341">
        <f t="shared" si="120"/>
        <v>3.1873809712418544E-3</v>
      </c>
      <c r="AA341">
        <f t="shared" si="121"/>
        <v>0.2570387449593679</v>
      </c>
      <c r="AB341">
        <f t="shared" si="122"/>
        <v>9.2627822179765465E-2</v>
      </c>
      <c r="AC341">
        <f t="shared" si="123"/>
        <v>0.10659961292070497</v>
      </c>
      <c r="AD341">
        <f t="shared" si="124"/>
        <v>3.5824287186775362E-3</v>
      </c>
      <c r="AE341">
        <f t="shared" si="125"/>
        <v>2.3717770539506411E-2</v>
      </c>
      <c r="AG341">
        <f t="shared" si="126"/>
        <v>0.7006862099043043</v>
      </c>
      <c r="AH341">
        <f t="shared" si="127"/>
        <v>0.58745296855320539</v>
      </c>
      <c r="AI341">
        <f t="shared" si="128"/>
        <v>2.041002643018194</v>
      </c>
      <c r="AK341" s="26">
        <f t="shared" si="129"/>
        <v>1.7596124144739045E-2</v>
      </c>
      <c r="AL341" s="26">
        <f t="shared" si="130"/>
        <v>5.2401626374936283E-2</v>
      </c>
      <c r="AM341" s="26">
        <f t="shared" si="131"/>
        <v>5.4311738518593167E-2</v>
      </c>
      <c r="AN341" s="26">
        <f t="shared" si="132"/>
        <v>14.898888888888891</v>
      </c>
      <c r="AO341" s="26">
        <f t="shared" si="133"/>
        <v>15.118425129087811</v>
      </c>
      <c r="AP341" s="26">
        <f t="shared" si="134"/>
        <v>15.880097949108489</v>
      </c>
      <c r="AS341" s="2">
        <v>45139</v>
      </c>
      <c r="AT341">
        <v>16.399999999999999</v>
      </c>
      <c r="AU341">
        <v>74.400000000000006</v>
      </c>
      <c r="AV341">
        <v>33.200000000000003</v>
      </c>
      <c r="AW341">
        <v>13.5</v>
      </c>
      <c r="AX341">
        <v>173.74</v>
      </c>
      <c r="AY341">
        <v>0.7</v>
      </c>
      <c r="AZ341">
        <v>2.8</v>
      </c>
      <c r="BA341">
        <v>91.232100000000003</v>
      </c>
      <c r="BB341">
        <v>34.804000000000002</v>
      </c>
      <c r="BC341">
        <v>30.7667</v>
      </c>
      <c r="BD341">
        <v>3.48</v>
      </c>
      <c r="BE341">
        <v>20.744800000000001</v>
      </c>
      <c r="BF341">
        <v>-4.7847</v>
      </c>
      <c r="BG341">
        <v>-29.364699999999999</v>
      </c>
      <c r="BH341">
        <v>85.97</v>
      </c>
    </row>
    <row r="342" spans="1:60" x14ac:dyDescent="0.25">
      <c r="A342" s="2">
        <v>45159</v>
      </c>
      <c r="B342">
        <v>16.3</v>
      </c>
      <c r="C342">
        <v>192.5</v>
      </c>
      <c r="D342">
        <v>7.2</v>
      </c>
      <c r="E342">
        <v>1.2</v>
      </c>
      <c r="F342">
        <v>290.74</v>
      </c>
      <c r="G342">
        <v>0.6</v>
      </c>
      <c r="H342">
        <v>3.4</v>
      </c>
      <c r="I342">
        <v>235.0403</v>
      </c>
      <c r="J342">
        <v>72.972099999999998</v>
      </c>
      <c r="K342">
        <v>99.426599999999993</v>
      </c>
      <c r="L342">
        <v>3.6976</v>
      </c>
      <c r="M342">
        <v>30.511299999999999</v>
      </c>
      <c r="N342">
        <v>-14.6096</v>
      </c>
      <c r="O342">
        <v>-20.927299999999999</v>
      </c>
      <c r="P342">
        <v>91.53</v>
      </c>
      <c r="S342">
        <f t="shared" si="113"/>
        <v>953.58789999999988</v>
      </c>
      <c r="T342">
        <f t="shared" si="114"/>
        <v>1.5280679362130067E-2</v>
      </c>
      <c r="U342">
        <f t="shared" si="115"/>
        <v>0.18046201087178146</v>
      </c>
      <c r="V342">
        <f t="shared" si="116"/>
        <v>6.7497479391003977E-3</v>
      </c>
      <c r="W342">
        <f t="shared" si="117"/>
        <v>1.1249579898500663E-3</v>
      </c>
      <c r="X342">
        <f t="shared" si="118"/>
        <v>0.27255857164084024</v>
      </c>
      <c r="Y342">
        <f t="shared" si="119"/>
        <v>5.6247899492503314E-4</v>
      </c>
      <c r="Z342">
        <f t="shared" si="120"/>
        <v>3.1873809712418544E-3</v>
      </c>
      <c r="AA342">
        <f t="shared" si="121"/>
        <v>0.22034205285146377</v>
      </c>
      <c r="AB342">
        <f t="shared" si="122"/>
        <v>6.8408789109281679E-2</v>
      </c>
      <c r="AC342">
        <f t="shared" si="123"/>
        <v>9.3208956728022166E-2</v>
      </c>
      <c r="AD342">
        <f t="shared" si="124"/>
        <v>3.466370552724671E-3</v>
      </c>
      <c r="AE342">
        <f t="shared" si="125"/>
        <v>2.860327559642694E-2</v>
      </c>
      <c r="AG342">
        <f t="shared" si="126"/>
        <v>0.69920670220958481</v>
      </c>
      <c r="AH342">
        <f t="shared" si="127"/>
        <v>0.50852910336629609</v>
      </c>
      <c r="AI342">
        <f t="shared" si="128"/>
        <v>1.5622538205780978</v>
      </c>
      <c r="AK342" s="26">
        <f t="shared" si="129"/>
        <v>-1.5624059396172618E-3</v>
      </c>
      <c r="AL342" s="26">
        <f t="shared" si="130"/>
        <v>4.3294753471608161E-2</v>
      </c>
      <c r="AM342" s="26">
        <f t="shared" si="131"/>
        <v>5.2499032920182931E-2</v>
      </c>
      <c r="AN342" s="26">
        <f t="shared" si="132"/>
        <v>14.947619047619042</v>
      </c>
      <c r="AO342" s="26">
        <f t="shared" si="133"/>
        <v>15.140501290877822</v>
      </c>
      <c r="AP342" s="26">
        <f t="shared" si="134"/>
        <v>15.913141199023144</v>
      </c>
      <c r="AS342" s="2">
        <v>45138</v>
      </c>
      <c r="AT342">
        <v>16.3</v>
      </c>
      <c r="AU342">
        <v>166.1</v>
      </c>
      <c r="AV342">
        <v>34.9</v>
      </c>
      <c r="AW342">
        <v>13.2</v>
      </c>
      <c r="AX342">
        <v>170.41</v>
      </c>
      <c r="AY342">
        <v>0.7</v>
      </c>
      <c r="AZ342">
        <v>2.9</v>
      </c>
      <c r="BA342">
        <v>88.942999999999998</v>
      </c>
      <c r="BB342">
        <v>22.3447</v>
      </c>
      <c r="BC342">
        <v>22.6846</v>
      </c>
      <c r="BD342">
        <v>3.48</v>
      </c>
      <c r="BE342">
        <v>22.806799999999999</v>
      </c>
      <c r="BF342">
        <v>-60.365400000000001</v>
      </c>
      <c r="BG342">
        <v>-39.1676</v>
      </c>
      <c r="BH342">
        <v>86.09</v>
      </c>
    </row>
    <row r="343" spans="1:60" x14ac:dyDescent="0.25">
      <c r="A343" s="2">
        <v>45158</v>
      </c>
      <c r="B343">
        <v>16.8</v>
      </c>
      <c r="C343">
        <v>56.9</v>
      </c>
      <c r="D343">
        <v>10.9</v>
      </c>
      <c r="E343">
        <v>2</v>
      </c>
      <c r="F343">
        <v>296.36</v>
      </c>
      <c r="G343">
        <v>0.6</v>
      </c>
      <c r="H343">
        <v>3</v>
      </c>
      <c r="I343">
        <v>131.36660000000001</v>
      </c>
      <c r="J343">
        <v>30.845300000000002</v>
      </c>
      <c r="K343">
        <v>38.350299999999997</v>
      </c>
      <c r="L343">
        <v>3.335</v>
      </c>
      <c r="M343">
        <v>21.0825</v>
      </c>
      <c r="P343">
        <v>91.31</v>
      </c>
      <c r="S343">
        <f t="shared" si="113"/>
        <v>611.53969999999993</v>
      </c>
      <c r="T343">
        <f t="shared" si="114"/>
        <v>1.5749411857900929E-2</v>
      </c>
      <c r="U343">
        <f t="shared" si="115"/>
        <v>5.3341758018723977E-2</v>
      </c>
      <c r="V343">
        <f t="shared" si="116"/>
        <v>1.0218368407804769E-2</v>
      </c>
      <c r="W343">
        <f t="shared" si="117"/>
        <v>1.8749299830834439E-3</v>
      </c>
      <c r="X343">
        <f t="shared" si="118"/>
        <v>0.27782712489330474</v>
      </c>
      <c r="Y343">
        <f t="shared" si="119"/>
        <v>5.6247899492503314E-4</v>
      </c>
      <c r="Z343">
        <f t="shared" si="120"/>
        <v>2.8123949746251659E-3</v>
      </c>
      <c r="AA343">
        <f t="shared" si="121"/>
        <v>0.12315158855786477</v>
      </c>
      <c r="AB343">
        <f t="shared" si="122"/>
        <v>2.8916388903601875E-2</v>
      </c>
      <c r="AC343">
        <f t="shared" si="123"/>
        <v>3.5952063665122498E-2</v>
      </c>
      <c r="AD343">
        <f t="shared" si="124"/>
        <v>3.1264457467916427E-3</v>
      </c>
      <c r="AE343">
        <f t="shared" si="125"/>
        <v>1.9764105684178353E-2</v>
      </c>
      <c r="AG343">
        <f t="shared" si="126"/>
        <v>0.69055100354564702</v>
      </c>
      <c r="AH343">
        <f t="shared" si="127"/>
        <v>0.3821505728145464</v>
      </c>
      <c r="AI343">
        <f t="shared" si="128"/>
        <v>0.77447820078161989</v>
      </c>
      <c r="AK343" s="26">
        <f t="shared" si="129"/>
        <v>-1.5251792048033452E-2</v>
      </c>
      <c r="AL343" s="26">
        <f t="shared" si="130"/>
        <v>3.9332852901618642E-2</v>
      </c>
      <c r="AM343" s="26">
        <f t="shared" si="131"/>
        <v>5.1575756637673609E-2</v>
      </c>
      <c r="AN343" s="26">
        <f t="shared" si="132"/>
        <v>14.998888888888899</v>
      </c>
      <c r="AO343" s="26">
        <f t="shared" si="133"/>
        <v>15.160742254733265</v>
      </c>
      <c r="AP343" s="26">
        <f t="shared" si="134"/>
        <v>15.944036658701208</v>
      </c>
      <c r="AS343" s="2">
        <v>45137</v>
      </c>
      <c r="AT343">
        <v>17.100000000000001</v>
      </c>
      <c r="AU343">
        <v>17.899999999999999</v>
      </c>
      <c r="AV343">
        <v>38.799999999999997</v>
      </c>
      <c r="AW343">
        <v>7.1</v>
      </c>
      <c r="AX343">
        <v>229.16</v>
      </c>
      <c r="AY343">
        <v>0.6</v>
      </c>
      <c r="AZ343">
        <v>2.8</v>
      </c>
      <c r="BA343">
        <v>96.405199999999994</v>
      </c>
      <c r="BB343">
        <v>26.620100000000001</v>
      </c>
      <c r="BC343">
        <v>20.383600000000001</v>
      </c>
      <c r="BD343">
        <v>3.48</v>
      </c>
      <c r="BE343">
        <v>8.7330000000000005</v>
      </c>
      <c r="BH343">
        <v>85.79</v>
      </c>
    </row>
    <row r="344" spans="1:60" x14ac:dyDescent="0.25">
      <c r="A344" s="2">
        <v>45157</v>
      </c>
      <c r="B344">
        <v>18</v>
      </c>
      <c r="C344">
        <v>41.3</v>
      </c>
      <c r="D344">
        <v>48.2</v>
      </c>
      <c r="E344">
        <v>5.5</v>
      </c>
      <c r="F344">
        <v>264.45</v>
      </c>
      <c r="G344">
        <v>0.5</v>
      </c>
      <c r="H344">
        <v>3</v>
      </c>
      <c r="I344">
        <v>126.7932</v>
      </c>
      <c r="J344">
        <v>24.553000000000001</v>
      </c>
      <c r="K344">
        <v>41.372900000000001</v>
      </c>
      <c r="L344">
        <v>3.48</v>
      </c>
      <c r="M344">
        <v>18.0229</v>
      </c>
      <c r="P344">
        <v>91.02</v>
      </c>
      <c r="S344">
        <f t="shared" si="113"/>
        <v>595.17200000000003</v>
      </c>
      <c r="T344">
        <f t="shared" si="114"/>
        <v>1.6874369847750995E-2</v>
      </c>
      <c r="U344">
        <f t="shared" si="115"/>
        <v>3.8717304150673114E-2</v>
      </c>
      <c r="V344">
        <f t="shared" si="116"/>
        <v>4.5185812592310998E-2</v>
      </c>
      <c r="W344">
        <f t="shared" si="117"/>
        <v>5.1560574534794705E-3</v>
      </c>
      <c r="X344">
        <f t="shared" si="118"/>
        <v>0.24791261701320835</v>
      </c>
      <c r="Y344">
        <f t="shared" si="119"/>
        <v>4.6873249577086097E-4</v>
      </c>
      <c r="Z344">
        <f t="shared" si="120"/>
        <v>2.8123949746251659E-3</v>
      </c>
      <c r="AA344">
        <f t="shared" si="121"/>
        <v>0.11886418616554785</v>
      </c>
      <c r="AB344">
        <f t="shared" si="122"/>
        <v>2.30175779373239E-2</v>
      </c>
      <c r="AC344">
        <f t="shared" si="123"/>
        <v>3.8785645348556511E-2</v>
      </c>
      <c r="AD344">
        <f t="shared" si="124"/>
        <v>3.2623781705651924E-3</v>
      </c>
      <c r="AE344">
        <f t="shared" si="125"/>
        <v>1.68958377960573E-2</v>
      </c>
      <c r="AG344">
        <f t="shared" si="126"/>
        <v>0.67855290140105484</v>
      </c>
      <c r="AH344">
        <f t="shared" si="127"/>
        <v>0.37402312632387624</v>
      </c>
      <c r="AI344">
        <f t="shared" si="128"/>
        <v>0.72721968856767527</v>
      </c>
      <c r="AK344" s="26">
        <f t="shared" si="129"/>
        <v>-3.0145496277932782E-2</v>
      </c>
      <c r="AL344" s="26">
        <f t="shared" si="130"/>
        <v>3.9285649784572996E-2</v>
      </c>
      <c r="AM344" s="26">
        <f t="shared" si="131"/>
        <v>5.0056612658699207E-2</v>
      </c>
      <c r="AN344" s="26">
        <f t="shared" si="132"/>
        <v>15.045396825396836</v>
      </c>
      <c r="AO344" s="26">
        <f t="shared" si="133"/>
        <v>15.180393717728094</v>
      </c>
      <c r="AP344" s="26">
        <f t="shared" si="134"/>
        <v>15.971382841837148</v>
      </c>
      <c r="AS344" s="2">
        <v>45136</v>
      </c>
      <c r="AT344">
        <v>18.2</v>
      </c>
      <c r="AU344">
        <v>144.19999999999999</v>
      </c>
      <c r="AV344">
        <v>27.6</v>
      </c>
      <c r="AW344">
        <v>6</v>
      </c>
      <c r="AX344">
        <v>209.27</v>
      </c>
      <c r="AY344">
        <v>0.7</v>
      </c>
      <c r="AZ344">
        <v>2.8</v>
      </c>
      <c r="BA344">
        <v>106.4903</v>
      </c>
      <c r="BB344">
        <v>22.455100000000002</v>
      </c>
      <c r="BC344">
        <v>36.622100000000003</v>
      </c>
      <c r="BD344">
        <v>3.48</v>
      </c>
      <c r="BE344">
        <v>19.538799999999998</v>
      </c>
      <c r="BH344">
        <v>85.4</v>
      </c>
    </row>
    <row r="345" spans="1:60" x14ac:dyDescent="0.25">
      <c r="A345" s="2">
        <v>45156</v>
      </c>
      <c r="B345">
        <v>19</v>
      </c>
      <c r="C345">
        <v>133.19999999999999</v>
      </c>
      <c r="D345">
        <v>37.200000000000003</v>
      </c>
      <c r="E345">
        <v>3.6</v>
      </c>
      <c r="F345">
        <v>296.83</v>
      </c>
      <c r="G345">
        <v>0.6</v>
      </c>
      <c r="H345">
        <v>2.8</v>
      </c>
      <c r="I345">
        <v>186.0746</v>
      </c>
      <c r="J345">
        <v>41.749400000000001</v>
      </c>
      <c r="K345">
        <v>77.694400000000002</v>
      </c>
      <c r="L345">
        <v>3.48</v>
      </c>
      <c r="M345">
        <v>26.9421</v>
      </c>
      <c r="N345">
        <v>-15.393599999999999</v>
      </c>
      <c r="O345">
        <v>-28.31</v>
      </c>
      <c r="P345">
        <v>90.71</v>
      </c>
      <c r="S345">
        <f t="shared" si="113"/>
        <v>829.17049999999995</v>
      </c>
      <c r="T345">
        <f t="shared" si="114"/>
        <v>1.7811834839292717E-2</v>
      </c>
      <c r="U345">
        <f t="shared" si="115"/>
        <v>0.12487033687335734</v>
      </c>
      <c r="V345">
        <f t="shared" si="116"/>
        <v>3.4873697685352055E-2</v>
      </c>
      <c r="W345">
        <f t="shared" si="117"/>
        <v>3.3748739695501988E-3</v>
      </c>
      <c r="X345">
        <f t="shared" si="118"/>
        <v>0.27826773343932931</v>
      </c>
      <c r="Y345">
        <f t="shared" si="119"/>
        <v>5.6247899492503314E-4</v>
      </c>
      <c r="Z345">
        <f t="shared" si="120"/>
        <v>2.624901976316821E-3</v>
      </c>
      <c r="AA345">
        <f t="shared" si="121"/>
        <v>0.17443842331512929</v>
      </c>
      <c r="AB345">
        <f t="shared" si="122"/>
        <v>3.9138600917871968E-2</v>
      </c>
      <c r="AC345">
        <f t="shared" si="123"/>
        <v>7.2835780038839157E-2</v>
      </c>
      <c r="AD345">
        <f t="shared" si="124"/>
        <v>3.2623781705651924E-3</v>
      </c>
      <c r="AE345">
        <f t="shared" si="125"/>
        <v>2.5257275548616225E-2</v>
      </c>
      <c r="AG345">
        <f t="shared" si="126"/>
        <v>0.66560528065175351</v>
      </c>
      <c r="AH345">
        <f t="shared" si="127"/>
        <v>0.4876431333267397</v>
      </c>
      <c r="AI345">
        <f t="shared" si="128"/>
        <v>1.4476836368048858</v>
      </c>
      <c r="AK345" s="26">
        <f t="shared" si="129"/>
        <v>-3.3770189787332094E-2</v>
      </c>
      <c r="AL345" s="26">
        <f t="shared" si="130"/>
        <v>3.9452545741165634E-2</v>
      </c>
      <c r="AM345" s="26">
        <f t="shared" si="131"/>
        <v>5.0415485387104053E-2</v>
      </c>
      <c r="AN345" s="26">
        <f t="shared" si="132"/>
        <v>15.088888888888917</v>
      </c>
      <c r="AO345" s="26">
        <f t="shared" si="133"/>
        <v>15.198491824440623</v>
      </c>
      <c r="AP345" s="26">
        <f t="shared" si="134"/>
        <v>15.997693600483188</v>
      </c>
      <c r="AS345" s="2">
        <v>45135</v>
      </c>
      <c r="AT345">
        <v>18.100000000000001</v>
      </c>
      <c r="AU345">
        <v>281.39999999999998</v>
      </c>
      <c r="AV345">
        <v>2.8</v>
      </c>
      <c r="AW345">
        <v>6.5</v>
      </c>
      <c r="AX345">
        <v>184.73</v>
      </c>
      <c r="AY345">
        <v>0.7</v>
      </c>
      <c r="AZ345">
        <v>2.8</v>
      </c>
      <c r="BA345">
        <v>157.47730000000001</v>
      </c>
      <c r="BB345">
        <v>22.255500000000001</v>
      </c>
      <c r="BC345">
        <v>76.834400000000002</v>
      </c>
      <c r="BD345">
        <v>3.48</v>
      </c>
      <c r="BE345">
        <v>23.352799999999998</v>
      </c>
      <c r="BF345">
        <v>-12.9232</v>
      </c>
      <c r="BG345">
        <v>-42.356699999999996</v>
      </c>
      <c r="BH345">
        <v>85.03</v>
      </c>
    </row>
    <row r="346" spans="1:60" x14ac:dyDescent="0.25">
      <c r="A346" s="2">
        <v>45155</v>
      </c>
      <c r="B346">
        <v>19.399999999999999</v>
      </c>
      <c r="C346">
        <v>161.30000000000001</v>
      </c>
      <c r="D346">
        <v>25.8</v>
      </c>
      <c r="E346">
        <v>5.5</v>
      </c>
      <c r="F346">
        <v>211.07</v>
      </c>
      <c r="G346">
        <v>0.6</v>
      </c>
      <c r="H346">
        <v>3</v>
      </c>
      <c r="I346">
        <v>187.61109999999999</v>
      </c>
      <c r="J346">
        <v>52.189300000000003</v>
      </c>
      <c r="K346">
        <v>78.1203</v>
      </c>
      <c r="L346">
        <v>3.7822</v>
      </c>
      <c r="M346">
        <v>24.7484</v>
      </c>
      <c r="N346">
        <v>-14.183199999999999</v>
      </c>
      <c r="O346">
        <v>-26.474599999999999</v>
      </c>
      <c r="P346">
        <v>90.41</v>
      </c>
      <c r="S346">
        <f t="shared" si="113"/>
        <v>773.12130000000002</v>
      </c>
      <c r="T346">
        <f t="shared" si="114"/>
        <v>1.8186820835909404E-2</v>
      </c>
      <c r="U346">
        <f t="shared" si="115"/>
        <v>0.15121310313567976</v>
      </c>
      <c r="V346">
        <f t="shared" si="116"/>
        <v>2.4186596781776426E-2</v>
      </c>
      <c r="W346">
        <f t="shared" si="117"/>
        <v>5.1560574534794705E-3</v>
      </c>
      <c r="X346">
        <f t="shared" si="118"/>
        <v>0.19787073576471123</v>
      </c>
      <c r="Y346">
        <f t="shared" si="119"/>
        <v>5.6247899492503314E-4</v>
      </c>
      <c r="Z346">
        <f t="shared" si="120"/>
        <v>2.8123949746251659E-3</v>
      </c>
      <c r="AA346">
        <f t="shared" si="121"/>
        <v>0.17587883827463313</v>
      </c>
      <c r="AB346">
        <f t="shared" si="122"/>
        <v>4.8925641683068392E-2</v>
      </c>
      <c r="AC346">
        <f t="shared" si="123"/>
        <v>7.3235046378736776E-2</v>
      </c>
      <c r="AD346">
        <f t="shared" si="124"/>
        <v>3.5456800910091007E-3</v>
      </c>
      <c r="AE346">
        <f t="shared" si="125"/>
        <v>2.3200758596671152E-2</v>
      </c>
      <c r="AG346">
        <f t="shared" si="126"/>
        <v>0.65313788098291847</v>
      </c>
      <c r="AH346">
        <f t="shared" si="127"/>
        <v>0.42318894653777761</v>
      </c>
      <c r="AI346">
        <f t="shared" si="128"/>
        <v>1.048750687763444</v>
      </c>
      <c r="AK346" s="26">
        <f t="shared" si="129"/>
        <v>-3.5934729491016892E-2</v>
      </c>
      <c r="AL346" s="26">
        <f t="shared" si="130"/>
        <v>3.5539198233775771E-2</v>
      </c>
      <c r="AM346" s="26">
        <f t="shared" si="131"/>
        <v>4.9576573735936658E-2</v>
      </c>
      <c r="AN346" s="26">
        <f t="shared" si="132"/>
        <v>15.13111111111111</v>
      </c>
      <c r="AO346" s="26">
        <f t="shared" si="133"/>
        <v>15.215275387263347</v>
      </c>
      <c r="AP346" s="26">
        <f t="shared" si="134"/>
        <v>16.024385914235467</v>
      </c>
      <c r="AS346" s="2">
        <v>45134</v>
      </c>
      <c r="AT346">
        <v>19.7</v>
      </c>
      <c r="AU346">
        <v>64.5</v>
      </c>
      <c r="AV346">
        <v>20.2</v>
      </c>
      <c r="AW346">
        <v>8.5</v>
      </c>
      <c r="AX346">
        <v>135.91999999999999</v>
      </c>
      <c r="AY346">
        <v>0.8</v>
      </c>
      <c r="AZ346">
        <v>3.1</v>
      </c>
      <c r="BA346">
        <v>149.75030000000001</v>
      </c>
      <c r="BB346">
        <v>27.439599999999999</v>
      </c>
      <c r="BC346">
        <v>50.569699999999997</v>
      </c>
      <c r="BD346">
        <v>3.48</v>
      </c>
      <c r="BE346">
        <v>20.360700000000001</v>
      </c>
      <c r="BF346">
        <v>-14.3247</v>
      </c>
      <c r="BG346">
        <v>-42.2577</v>
      </c>
      <c r="BH346">
        <v>84.78</v>
      </c>
    </row>
    <row r="347" spans="1:60" x14ac:dyDescent="0.25">
      <c r="A347" s="2">
        <v>45154</v>
      </c>
      <c r="B347">
        <v>19.5</v>
      </c>
      <c r="C347">
        <v>82</v>
      </c>
      <c r="D347">
        <v>14.8</v>
      </c>
      <c r="E347">
        <v>1.4</v>
      </c>
      <c r="F347">
        <v>250.6</v>
      </c>
      <c r="G347">
        <v>0.7</v>
      </c>
      <c r="H347">
        <v>3</v>
      </c>
      <c r="I347">
        <v>178.75559999999999</v>
      </c>
      <c r="J347">
        <v>50.812899999999999</v>
      </c>
      <c r="K347">
        <v>91.9114</v>
      </c>
      <c r="L347">
        <v>3.48</v>
      </c>
      <c r="M347">
        <v>19.298500000000001</v>
      </c>
      <c r="N347">
        <v>-14.2774</v>
      </c>
      <c r="O347">
        <v>-24.095300000000002</v>
      </c>
      <c r="P347">
        <v>90.11</v>
      </c>
      <c r="S347">
        <f t="shared" si="113"/>
        <v>716.25839999999994</v>
      </c>
      <c r="T347">
        <f t="shared" si="114"/>
        <v>1.8280567335063579E-2</v>
      </c>
      <c r="U347">
        <f t="shared" si="115"/>
        <v>7.6872129306421191E-2</v>
      </c>
      <c r="V347">
        <f t="shared" si="116"/>
        <v>1.3874481874817485E-2</v>
      </c>
      <c r="W347">
        <f t="shared" si="117"/>
        <v>1.3124509881584105E-3</v>
      </c>
      <c r="X347">
        <f t="shared" si="118"/>
        <v>0.23492872688035552</v>
      </c>
      <c r="Y347">
        <f t="shared" si="119"/>
        <v>6.5622549407920526E-4</v>
      </c>
      <c r="Z347">
        <f t="shared" si="120"/>
        <v>2.8123949746251659E-3</v>
      </c>
      <c r="AA347">
        <f t="shared" si="121"/>
        <v>0.1675771170420354</v>
      </c>
      <c r="AB347">
        <f t="shared" si="122"/>
        <v>4.7635314868710359E-2</v>
      </c>
      <c r="AC347">
        <f t="shared" si="123"/>
        <v>8.6163719823587823E-2</v>
      </c>
      <c r="AD347">
        <f t="shared" si="124"/>
        <v>3.2623781705651924E-3</v>
      </c>
      <c r="AE347">
        <f t="shared" si="125"/>
        <v>1.8091668139267922E-2</v>
      </c>
      <c r="AG347">
        <f t="shared" si="126"/>
        <v>0.6406629251043966</v>
      </c>
      <c r="AH347">
        <f t="shared" si="127"/>
        <v>0.3668286449927885</v>
      </c>
      <c r="AI347">
        <f t="shared" si="128"/>
        <v>0.69597289233531745</v>
      </c>
      <c r="AK347" s="26">
        <f t="shared" si="129"/>
        <v>-4.9873457478548266E-2</v>
      </c>
      <c r="AL347" s="26">
        <f t="shared" si="130"/>
        <v>3.1331276676864084E-2</v>
      </c>
      <c r="AM347" s="26">
        <f t="shared" si="131"/>
        <v>4.917086968674772E-2</v>
      </c>
      <c r="AN347" s="26">
        <f t="shared" si="132"/>
        <v>15.176825396825379</v>
      </c>
      <c r="AO347" s="26">
        <f t="shared" si="133"/>
        <v>15.232467728055099</v>
      </c>
      <c r="AP347" s="26">
        <f t="shared" si="134"/>
        <v>16.051516504293524</v>
      </c>
      <c r="AS347" s="2">
        <v>45133</v>
      </c>
      <c r="AT347">
        <v>20.8</v>
      </c>
      <c r="AU347">
        <v>69.599999999999994</v>
      </c>
      <c r="AV347">
        <v>37.799999999999997</v>
      </c>
      <c r="AW347">
        <v>9</v>
      </c>
      <c r="AX347">
        <v>229.86</v>
      </c>
      <c r="AY347">
        <v>0.8</v>
      </c>
      <c r="AZ347">
        <v>3.2</v>
      </c>
      <c r="BA347">
        <v>138.1687</v>
      </c>
      <c r="BB347">
        <v>41.1</v>
      </c>
      <c r="BC347">
        <v>71.696100000000001</v>
      </c>
      <c r="BD347">
        <v>3.48</v>
      </c>
      <c r="BE347">
        <v>13.944900000000001</v>
      </c>
      <c r="BF347">
        <v>-11.0669</v>
      </c>
      <c r="BG347">
        <v>-37.317100000000003</v>
      </c>
      <c r="BH347">
        <v>84.51</v>
      </c>
    </row>
    <row r="348" spans="1:60" x14ac:dyDescent="0.25">
      <c r="A348" s="2">
        <v>45153</v>
      </c>
      <c r="B348">
        <v>18.2</v>
      </c>
      <c r="C348">
        <v>83.8</v>
      </c>
      <c r="D348">
        <v>38.1</v>
      </c>
      <c r="E348">
        <v>3.5</v>
      </c>
      <c r="F348">
        <v>242.29</v>
      </c>
      <c r="G348">
        <v>0.7</v>
      </c>
      <c r="H348">
        <v>3</v>
      </c>
      <c r="I348">
        <v>165.83250000000001</v>
      </c>
      <c r="J348">
        <v>38.205599999999997</v>
      </c>
      <c r="K348">
        <v>82.822400000000002</v>
      </c>
      <c r="L348">
        <v>3.5152999999999999</v>
      </c>
      <c r="M348">
        <v>24.775200000000002</v>
      </c>
      <c r="N348">
        <v>-15.488899999999999</v>
      </c>
      <c r="O348">
        <v>-22.823699999999999</v>
      </c>
      <c r="P348">
        <v>89.85</v>
      </c>
      <c r="S348">
        <f t="shared" si="113"/>
        <v>704.7410000000001</v>
      </c>
      <c r="T348">
        <f t="shared" si="114"/>
        <v>1.7061862846059338E-2</v>
      </c>
      <c r="U348">
        <f t="shared" si="115"/>
        <v>7.8559566291196287E-2</v>
      </c>
      <c r="V348">
        <f t="shared" si="116"/>
        <v>3.5717416177739603E-2</v>
      </c>
      <c r="W348">
        <f t="shared" si="117"/>
        <v>3.2811274703960268E-3</v>
      </c>
      <c r="X348">
        <f t="shared" si="118"/>
        <v>0.2271383928006438</v>
      </c>
      <c r="Y348">
        <f t="shared" si="119"/>
        <v>6.5622549407920526E-4</v>
      </c>
      <c r="Z348">
        <f t="shared" si="120"/>
        <v>2.8123949746251659E-3</v>
      </c>
      <c r="AA348">
        <f t="shared" si="121"/>
        <v>0.1554621632098426</v>
      </c>
      <c r="AB348">
        <f t="shared" si="122"/>
        <v>3.581641248084641E-2</v>
      </c>
      <c r="AC348">
        <f t="shared" si="123"/>
        <v>7.7643100515465108E-2</v>
      </c>
      <c r="AD348">
        <f t="shared" si="124"/>
        <v>3.2954706847666149E-3</v>
      </c>
      <c r="AE348">
        <f t="shared" si="125"/>
        <v>2.3225882658444469E-2</v>
      </c>
      <c r="AG348">
        <f t="shared" si="126"/>
        <v>0.63010338063371418</v>
      </c>
      <c r="AH348">
        <f t="shared" si="127"/>
        <v>0.38845286871318385</v>
      </c>
      <c r="AI348">
        <f t="shared" si="128"/>
        <v>0.82705351231428192</v>
      </c>
      <c r="AK348" s="26">
        <f t="shared" si="129"/>
        <v>-4.967992452722314E-2</v>
      </c>
      <c r="AL348" s="26">
        <f t="shared" si="130"/>
        <v>3.4615343870472493E-2</v>
      </c>
      <c r="AM348" s="26">
        <f t="shared" si="131"/>
        <v>4.9471928618509076E-2</v>
      </c>
      <c r="AN348" s="26">
        <f t="shared" si="132"/>
        <v>15.224126984126997</v>
      </c>
      <c r="AO348" s="26">
        <f t="shared" si="133"/>
        <v>15.25041092943205</v>
      </c>
      <c r="AP348" s="26">
        <f t="shared" si="134"/>
        <v>16.079793860455389</v>
      </c>
      <c r="AS348" s="2">
        <v>45132</v>
      </c>
      <c r="AT348">
        <v>18.100000000000001</v>
      </c>
      <c r="AU348">
        <v>157.30000000000001</v>
      </c>
      <c r="AV348">
        <v>43.8</v>
      </c>
      <c r="AW348">
        <v>7.3</v>
      </c>
      <c r="AX348">
        <v>183.9</v>
      </c>
      <c r="AY348">
        <v>0.8</v>
      </c>
      <c r="AZ348">
        <v>3.1</v>
      </c>
      <c r="BA348">
        <v>151.09549999999999</v>
      </c>
      <c r="BB348">
        <v>32.477600000000002</v>
      </c>
      <c r="BC348">
        <v>101.50109999999999</v>
      </c>
      <c r="BD348">
        <v>3.48</v>
      </c>
      <c r="BE348">
        <v>20.245799999999999</v>
      </c>
      <c r="BF348">
        <v>-14.3864</v>
      </c>
      <c r="BG348">
        <v>-35.322099999999999</v>
      </c>
      <c r="BH348">
        <v>84.25</v>
      </c>
    </row>
    <row r="349" spans="1:60" x14ac:dyDescent="0.25">
      <c r="A349" s="2">
        <v>45152</v>
      </c>
      <c r="B349">
        <v>18</v>
      </c>
      <c r="C349">
        <v>35.799999999999997</v>
      </c>
      <c r="D349">
        <v>17.2</v>
      </c>
      <c r="E349">
        <v>1.5</v>
      </c>
      <c r="F349">
        <v>273.19</v>
      </c>
      <c r="G349">
        <v>0.7</v>
      </c>
      <c r="H349">
        <v>3.1</v>
      </c>
      <c r="I349">
        <v>156.4555</v>
      </c>
      <c r="J349">
        <v>51.271099999999997</v>
      </c>
      <c r="K349">
        <v>76.827600000000004</v>
      </c>
      <c r="L349">
        <v>3.48</v>
      </c>
      <c r="M349">
        <v>27.476800000000001</v>
      </c>
      <c r="N349">
        <v>-12.302899999999999</v>
      </c>
      <c r="O349">
        <v>-28.576499999999999</v>
      </c>
      <c r="P349">
        <v>89.71</v>
      </c>
      <c r="S349">
        <f t="shared" si="113"/>
        <v>665.00100000000009</v>
      </c>
      <c r="T349">
        <f t="shared" si="114"/>
        <v>1.6874369847750995E-2</v>
      </c>
      <c r="U349">
        <f t="shared" si="115"/>
        <v>3.3561246697193639E-2</v>
      </c>
      <c r="V349">
        <f t="shared" si="116"/>
        <v>1.6124397854517615E-2</v>
      </c>
      <c r="W349">
        <f t="shared" si="117"/>
        <v>1.406197487312583E-3</v>
      </c>
      <c r="X349">
        <f t="shared" si="118"/>
        <v>0.25610606103928302</v>
      </c>
      <c r="Y349">
        <f t="shared" si="119"/>
        <v>6.5622549407920526E-4</v>
      </c>
      <c r="Z349">
        <f t="shared" si="120"/>
        <v>2.9061414737793379E-3</v>
      </c>
      <c r="AA349">
        <f t="shared" si="121"/>
        <v>0.14667155398415588</v>
      </c>
      <c r="AB349">
        <f t="shared" si="122"/>
        <v>4.8064861327834774E-2</v>
      </c>
      <c r="AC349">
        <f t="shared" si="123"/>
        <v>7.2023185384170796E-2</v>
      </c>
      <c r="AD349">
        <f t="shared" si="124"/>
        <v>3.2623781705651924E-3</v>
      </c>
      <c r="AE349">
        <f t="shared" si="125"/>
        <v>2.5758538079593586E-2</v>
      </c>
      <c r="AG349">
        <f t="shared" si="126"/>
        <v>0.62531899911951816</v>
      </c>
      <c r="AH349">
        <f t="shared" si="127"/>
        <v>0.35339317797351</v>
      </c>
      <c r="AI349">
        <f t="shared" si="128"/>
        <v>0.60501732295387056</v>
      </c>
      <c r="AK349" s="26">
        <f t="shared" si="129"/>
        <v>-4.4614969326405962E-2</v>
      </c>
      <c r="AL349" s="26">
        <f t="shared" si="130"/>
        <v>3.5827014871057827E-2</v>
      </c>
      <c r="AM349" s="26">
        <f t="shared" si="131"/>
        <v>5.1321321110889606E-2</v>
      </c>
      <c r="AN349" s="26">
        <f t="shared" si="132"/>
        <v>15.267142857142872</v>
      </c>
      <c r="AO349" s="26">
        <f t="shared" si="133"/>
        <v>15.270428141136051</v>
      </c>
      <c r="AP349" s="26">
        <f t="shared" si="134"/>
        <v>16.108009243454788</v>
      </c>
      <c r="AS349" s="2">
        <v>45131</v>
      </c>
      <c r="AT349">
        <v>14.3</v>
      </c>
      <c r="AU349">
        <v>214.7</v>
      </c>
      <c r="AV349">
        <v>30.1</v>
      </c>
      <c r="AW349">
        <v>10.7</v>
      </c>
      <c r="AX349">
        <v>188.56</v>
      </c>
      <c r="AY349">
        <v>0.7</v>
      </c>
      <c r="AZ349">
        <v>3.1</v>
      </c>
      <c r="BA349">
        <v>129.4502</v>
      </c>
      <c r="BB349">
        <v>37.102800000000002</v>
      </c>
      <c r="BC349">
        <v>72.334199999999996</v>
      </c>
      <c r="BD349">
        <v>3.48</v>
      </c>
      <c r="BE349">
        <v>24.8704</v>
      </c>
      <c r="BF349">
        <v>-11.8634</v>
      </c>
      <c r="BG349">
        <v>-35.854500000000002</v>
      </c>
      <c r="BH349">
        <v>84</v>
      </c>
    </row>
    <row r="350" spans="1:60" x14ac:dyDescent="0.25">
      <c r="A350" s="2">
        <v>45151</v>
      </c>
      <c r="B350">
        <v>17.7</v>
      </c>
      <c r="C350">
        <v>103</v>
      </c>
      <c r="D350">
        <v>40.6</v>
      </c>
      <c r="E350">
        <v>3.7</v>
      </c>
      <c r="F350">
        <v>246.59</v>
      </c>
      <c r="G350">
        <v>0.7</v>
      </c>
      <c r="H350">
        <v>2.8</v>
      </c>
      <c r="I350">
        <v>94.972899999999996</v>
      </c>
      <c r="J350">
        <v>24.019100000000002</v>
      </c>
      <c r="K350">
        <v>32.818100000000001</v>
      </c>
      <c r="L350">
        <v>3.48</v>
      </c>
      <c r="M350">
        <v>14.3429</v>
      </c>
      <c r="P350">
        <v>89.41</v>
      </c>
      <c r="S350">
        <f t="shared" si="113"/>
        <v>584.72299999999996</v>
      </c>
      <c r="T350">
        <f t="shared" si="114"/>
        <v>1.6593130350288476E-2</v>
      </c>
      <c r="U350">
        <f t="shared" si="115"/>
        <v>9.6558894128797354E-2</v>
      </c>
      <c r="V350">
        <f t="shared" si="116"/>
        <v>3.8061078656593909E-2</v>
      </c>
      <c r="W350">
        <f t="shared" si="117"/>
        <v>3.4686204687043713E-3</v>
      </c>
      <c r="X350">
        <f t="shared" si="118"/>
        <v>0.23116949226427322</v>
      </c>
      <c r="Y350">
        <f t="shared" si="119"/>
        <v>6.5622549407920526E-4</v>
      </c>
      <c r="Z350">
        <f t="shared" si="120"/>
        <v>2.624901976316821E-3</v>
      </c>
      <c r="AA350">
        <f t="shared" si="121"/>
        <v>8.9033768895192794E-2</v>
      </c>
      <c r="AB350">
        <f t="shared" si="122"/>
        <v>2.2517065378339775E-2</v>
      </c>
      <c r="AC350">
        <f t="shared" si="123"/>
        <v>3.0765819838915385E-2</v>
      </c>
      <c r="AD350">
        <f t="shared" si="124"/>
        <v>3.2623781705651924E-3</v>
      </c>
      <c r="AE350">
        <f t="shared" si="125"/>
        <v>1.3445966627183763E-2</v>
      </c>
      <c r="AG350">
        <f t="shared" si="126"/>
        <v>0.61287284635357231</v>
      </c>
      <c r="AH350">
        <f t="shared" si="127"/>
        <v>0.40257830996623717</v>
      </c>
      <c r="AI350">
        <f t="shared" si="128"/>
        <v>0.90996462595699767</v>
      </c>
      <c r="AK350" s="26">
        <f t="shared" si="129"/>
        <v>-4.970261862021691E-2</v>
      </c>
      <c r="AL350" s="26">
        <f t="shared" si="130"/>
        <v>3.1284443745542678E-2</v>
      </c>
      <c r="AM350" s="26">
        <f t="shared" si="131"/>
        <v>4.9342759588241913E-2</v>
      </c>
      <c r="AN350" s="26">
        <f t="shared" si="132"/>
        <v>15.304285714285726</v>
      </c>
      <c r="AO350" s="26">
        <f t="shared" si="133"/>
        <v>15.288969449225505</v>
      </c>
      <c r="AP350" s="26">
        <f t="shared" si="134"/>
        <v>16.134956540006868</v>
      </c>
      <c r="AS350" s="2">
        <v>45130</v>
      </c>
      <c r="AT350">
        <v>14.4</v>
      </c>
      <c r="AU350">
        <v>56.9</v>
      </c>
      <c r="AV350">
        <v>56.9</v>
      </c>
      <c r="AW350">
        <v>10</v>
      </c>
      <c r="AX350">
        <v>234.46</v>
      </c>
      <c r="AY350">
        <v>0.6</v>
      </c>
      <c r="AZ350">
        <v>2.5</v>
      </c>
      <c r="BA350">
        <v>94.973399999999998</v>
      </c>
      <c r="BB350">
        <v>30.050799999999999</v>
      </c>
      <c r="BC350">
        <v>26.456</v>
      </c>
      <c r="BD350">
        <v>2.8748</v>
      </c>
      <c r="BE350">
        <v>10.016299999999999</v>
      </c>
      <c r="BH350">
        <v>83.74</v>
      </c>
    </row>
    <row r="351" spans="1:60" x14ac:dyDescent="0.25">
      <c r="A351" s="2">
        <v>45150</v>
      </c>
      <c r="B351">
        <v>18.7</v>
      </c>
      <c r="C351">
        <v>68.8</v>
      </c>
      <c r="D351">
        <v>29.2</v>
      </c>
      <c r="E351">
        <v>4.3</v>
      </c>
      <c r="F351">
        <v>201.19</v>
      </c>
      <c r="G351">
        <v>0.7</v>
      </c>
      <c r="H351">
        <v>2.9</v>
      </c>
      <c r="I351">
        <v>131.38550000000001</v>
      </c>
      <c r="J351">
        <v>21.2349</v>
      </c>
      <c r="K351">
        <v>32.357300000000002</v>
      </c>
      <c r="L351">
        <v>3.48</v>
      </c>
      <c r="M351">
        <v>16.665500000000002</v>
      </c>
      <c r="P351">
        <v>89.05</v>
      </c>
      <c r="S351">
        <f t="shared" si="113"/>
        <v>530.91319999999985</v>
      </c>
      <c r="T351">
        <f t="shared" si="114"/>
        <v>1.7530595341830199E-2</v>
      </c>
      <c r="U351">
        <f t="shared" si="115"/>
        <v>6.449759141807046E-2</v>
      </c>
      <c r="V351">
        <f t="shared" si="116"/>
        <v>2.737397775301828E-2</v>
      </c>
      <c r="W351">
        <f t="shared" si="117"/>
        <v>4.0310994636294038E-3</v>
      </c>
      <c r="X351">
        <f t="shared" si="118"/>
        <v>0.18860858164827904</v>
      </c>
      <c r="Y351">
        <f t="shared" si="119"/>
        <v>6.5622549407920526E-4</v>
      </c>
      <c r="Z351">
        <f t="shared" si="120"/>
        <v>2.7186484754709935E-3</v>
      </c>
      <c r="AA351">
        <f t="shared" si="121"/>
        <v>0.12316930664620492</v>
      </c>
      <c r="AB351">
        <f t="shared" si="122"/>
        <v>1.990697534888931E-2</v>
      </c>
      <c r="AC351">
        <f t="shared" si="123"/>
        <v>3.0333835970812961E-2</v>
      </c>
      <c r="AD351">
        <f t="shared" si="124"/>
        <v>3.2623781705651924E-3</v>
      </c>
      <c r="AE351">
        <f t="shared" si="125"/>
        <v>1.5623322816538568E-2</v>
      </c>
      <c r="AG351">
        <f t="shared" si="126"/>
        <v>0.59755494812607102</v>
      </c>
      <c r="AH351">
        <f t="shared" si="127"/>
        <v>0.32104004241091616</v>
      </c>
      <c r="AI351">
        <f t="shared" si="128"/>
        <v>0.39838006641871354</v>
      </c>
      <c r="AK351" s="26">
        <f t="shared" si="129"/>
        <v>-5.8062017758429008E-2</v>
      </c>
      <c r="AL351" s="26">
        <f t="shared" si="130"/>
        <v>2.6193672963577219E-2</v>
      </c>
      <c r="AM351" s="26">
        <f t="shared" si="131"/>
        <v>4.8378252585588477E-2</v>
      </c>
      <c r="AN351" s="26">
        <f t="shared" si="132"/>
        <v>15.340952380952359</v>
      </c>
      <c r="AO351" s="26">
        <f t="shared" si="133"/>
        <v>15.308468158347736</v>
      </c>
      <c r="AP351" s="26">
        <f t="shared" si="134"/>
        <v>16.162499934350485</v>
      </c>
      <c r="AS351" s="2">
        <v>45129</v>
      </c>
      <c r="AT351">
        <v>16.3</v>
      </c>
      <c r="AU351">
        <v>164.2</v>
      </c>
      <c r="AV351">
        <v>26.3</v>
      </c>
      <c r="AW351">
        <v>6.9</v>
      </c>
      <c r="AX351">
        <v>265.44</v>
      </c>
      <c r="AY351">
        <v>0.8</v>
      </c>
      <c r="AZ351">
        <v>2.7</v>
      </c>
      <c r="BA351">
        <v>117.19199999999999</v>
      </c>
      <c r="BB351">
        <v>28.423400000000001</v>
      </c>
      <c r="BC351">
        <v>34.353400000000001</v>
      </c>
      <c r="BD351">
        <v>3.48</v>
      </c>
      <c r="BE351">
        <v>17.288</v>
      </c>
      <c r="BH351">
        <v>83.37</v>
      </c>
    </row>
    <row r="352" spans="1:60" x14ac:dyDescent="0.25">
      <c r="A352" s="2">
        <v>45149</v>
      </c>
      <c r="B352">
        <v>20.2</v>
      </c>
      <c r="C352">
        <v>113.2</v>
      </c>
      <c r="D352">
        <v>18.7</v>
      </c>
      <c r="E352">
        <v>1.9</v>
      </c>
      <c r="F352">
        <v>324.89</v>
      </c>
      <c r="G352">
        <v>0.7</v>
      </c>
      <c r="H352">
        <v>2.8</v>
      </c>
      <c r="I352">
        <v>152.45650000000001</v>
      </c>
      <c r="J352">
        <v>43.9495</v>
      </c>
      <c r="K352">
        <v>73.497299999999996</v>
      </c>
      <c r="L352">
        <v>3.4965000000000002</v>
      </c>
      <c r="M352">
        <v>24.484500000000001</v>
      </c>
      <c r="N352">
        <v>-11.7659</v>
      </c>
      <c r="O352">
        <v>-26.040600000000001</v>
      </c>
      <c r="P352">
        <v>88.68</v>
      </c>
      <c r="S352">
        <f t="shared" si="113"/>
        <v>780.27430000000004</v>
      </c>
      <c r="T352">
        <f t="shared" si="114"/>
        <v>1.8936792829142783E-2</v>
      </c>
      <c r="U352">
        <f t="shared" si="115"/>
        <v>0.10612103704252292</v>
      </c>
      <c r="V352">
        <f t="shared" si="116"/>
        <v>1.7530595341830199E-2</v>
      </c>
      <c r="W352">
        <f t="shared" si="117"/>
        <v>1.7811834839292716E-3</v>
      </c>
      <c r="X352">
        <f t="shared" si="118"/>
        <v>0.30457300110199004</v>
      </c>
      <c r="Y352">
        <f t="shared" si="119"/>
        <v>6.5622549407920526E-4</v>
      </c>
      <c r="Z352">
        <f t="shared" si="120"/>
        <v>2.624901976316821E-3</v>
      </c>
      <c r="AA352">
        <f t="shared" si="121"/>
        <v>0.14292263148298054</v>
      </c>
      <c r="AB352">
        <f t="shared" si="122"/>
        <v>4.1201117645762911E-2</v>
      </c>
      <c r="AC352">
        <f t="shared" si="123"/>
        <v>6.8901145722839396E-2</v>
      </c>
      <c r="AD352">
        <f t="shared" si="124"/>
        <v>3.2778463429256307E-3</v>
      </c>
      <c r="AE352">
        <f t="shared" si="125"/>
        <v>2.295336158540329E-2</v>
      </c>
      <c r="AG352">
        <f t="shared" si="126"/>
        <v>0.58176131109993845</v>
      </c>
      <c r="AH352">
        <f t="shared" si="127"/>
        <v>0.47517709885521459</v>
      </c>
      <c r="AI352">
        <f t="shared" si="128"/>
        <v>1.3685530152231251</v>
      </c>
      <c r="AK352" s="26">
        <f t="shared" si="129"/>
        <v>-4.9362168536280726E-2</v>
      </c>
      <c r="AL352" s="26">
        <f t="shared" si="130"/>
        <v>2.715444852233001E-2</v>
      </c>
      <c r="AM352" s="26">
        <f t="shared" si="131"/>
        <v>4.9859438749591423E-2</v>
      </c>
      <c r="AN352" s="26">
        <f t="shared" si="132"/>
        <v>15.371587301587283</v>
      </c>
      <c r="AO352" s="26">
        <f t="shared" si="133"/>
        <v>15.327491394148041</v>
      </c>
      <c r="AP352" s="26">
        <f t="shared" si="134"/>
        <v>16.187994275360417</v>
      </c>
      <c r="AS352" s="2">
        <v>45128</v>
      </c>
      <c r="AT352">
        <v>17.100000000000001</v>
      </c>
      <c r="AU352">
        <v>219.1</v>
      </c>
      <c r="AV352">
        <v>13.5</v>
      </c>
      <c r="AW352">
        <v>2.2999999999999998</v>
      </c>
      <c r="AX352">
        <v>200.81</v>
      </c>
      <c r="AY352">
        <v>0.8</v>
      </c>
      <c r="AZ352">
        <v>2.9</v>
      </c>
      <c r="BA352">
        <v>194.22130000000001</v>
      </c>
      <c r="BB352">
        <v>36.722499999999997</v>
      </c>
      <c r="BC352">
        <v>123.7186</v>
      </c>
      <c r="BD352">
        <v>3.48</v>
      </c>
      <c r="BE352">
        <v>21.0962</v>
      </c>
      <c r="BF352">
        <v>-8.7193000000000005</v>
      </c>
      <c r="BG352">
        <v>-36.603999999999999</v>
      </c>
      <c r="BH352">
        <v>83.02</v>
      </c>
    </row>
    <row r="353" spans="1:60" x14ac:dyDescent="0.25">
      <c r="A353" s="2">
        <v>45148</v>
      </c>
      <c r="B353">
        <v>21.5</v>
      </c>
      <c r="C353">
        <v>88.8</v>
      </c>
      <c r="D353">
        <v>25.6</v>
      </c>
      <c r="E353">
        <v>2.9</v>
      </c>
      <c r="F353">
        <v>310.89</v>
      </c>
      <c r="G353">
        <v>0.8</v>
      </c>
      <c r="H353">
        <v>2.7</v>
      </c>
      <c r="I353">
        <v>144.6996</v>
      </c>
      <c r="J353">
        <v>37.832799999999999</v>
      </c>
      <c r="K353">
        <v>90.114699999999999</v>
      </c>
      <c r="L353">
        <v>3.3580999999999999</v>
      </c>
      <c r="M353">
        <v>22.597799999999999</v>
      </c>
      <c r="N353">
        <v>-14.355</v>
      </c>
      <c r="O353">
        <v>-23.432200000000002</v>
      </c>
      <c r="P353">
        <v>88.51</v>
      </c>
      <c r="S353">
        <f t="shared" si="113"/>
        <v>751.79300000000001</v>
      </c>
      <c r="T353">
        <f t="shared" si="114"/>
        <v>2.0155497318147021E-2</v>
      </c>
      <c r="U353">
        <f t="shared" si="115"/>
        <v>8.32468912489049E-2</v>
      </c>
      <c r="V353">
        <f t="shared" si="116"/>
        <v>2.3999103783468083E-2</v>
      </c>
      <c r="W353">
        <f t="shared" si="117"/>
        <v>2.7186484754709935E-3</v>
      </c>
      <c r="X353">
        <f t="shared" si="118"/>
        <v>0.29144849122040589</v>
      </c>
      <c r="Y353">
        <f t="shared" si="119"/>
        <v>7.4997199323337759E-4</v>
      </c>
      <c r="Z353">
        <f t="shared" si="120"/>
        <v>2.5311554771626494E-3</v>
      </c>
      <c r="AA353">
        <f t="shared" si="121"/>
        <v>0.13565080929009055</v>
      </c>
      <c r="AB353">
        <f t="shared" si="122"/>
        <v>3.5466925531999656E-2</v>
      </c>
      <c r="AC353">
        <f t="shared" si="123"/>
        <v>8.4479376473284809E-2</v>
      </c>
      <c r="AD353">
        <f t="shared" si="124"/>
        <v>3.1481011880962564E-3</v>
      </c>
      <c r="AE353">
        <f t="shared" si="125"/>
        <v>2.1184646385861521E-2</v>
      </c>
      <c r="AG353">
        <f t="shared" si="126"/>
        <v>0.57557443541827658</v>
      </c>
      <c r="AH353">
        <f t="shared" si="127"/>
        <v>0.44603440590265447</v>
      </c>
      <c r="AI353">
        <f t="shared" si="128"/>
        <v>1.1827961207379938</v>
      </c>
      <c r="AK353" s="26">
        <f t="shared" si="129"/>
        <v>-5.2760428537270532E-2</v>
      </c>
      <c r="AL353" s="26">
        <f t="shared" si="130"/>
        <v>2.26520960366276E-2</v>
      </c>
      <c r="AM353" s="26">
        <f t="shared" si="131"/>
        <v>4.912463496010766E-2</v>
      </c>
      <c r="AN353" s="26">
        <f t="shared" si="132"/>
        <v>15.397777777777762</v>
      </c>
      <c r="AO353" s="26">
        <f t="shared" si="133"/>
        <v>15.347166523235813</v>
      </c>
      <c r="AP353" s="26">
        <f t="shared" si="134"/>
        <v>16.214931067986676</v>
      </c>
      <c r="AS353" s="2">
        <v>45127</v>
      </c>
      <c r="AT353">
        <v>17.7</v>
      </c>
      <c r="AU353">
        <v>249.7</v>
      </c>
      <c r="AV353">
        <v>37.6</v>
      </c>
      <c r="AW353">
        <v>6.1</v>
      </c>
      <c r="AX353">
        <v>278.89</v>
      </c>
      <c r="AY353">
        <v>0.8</v>
      </c>
      <c r="AZ353">
        <v>2.9</v>
      </c>
      <c r="BA353">
        <v>187.20230000000001</v>
      </c>
      <c r="BB353">
        <v>45.173400000000001</v>
      </c>
      <c r="BC353">
        <v>107.35939999999999</v>
      </c>
      <c r="BD353">
        <v>3.48</v>
      </c>
      <c r="BE353">
        <v>20.359400000000001</v>
      </c>
      <c r="BF353">
        <v>-8.5991999999999997</v>
      </c>
      <c r="BG353">
        <v>-35.930999999999997</v>
      </c>
      <c r="BH353">
        <v>82.76</v>
      </c>
    </row>
    <row r="354" spans="1:60" x14ac:dyDescent="0.25">
      <c r="A354" s="2">
        <v>45147</v>
      </c>
      <c r="B354">
        <v>20.399999999999999</v>
      </c>
      <c r="C354">
        <v>202.2</v>
      </c>
      <c r="D354">
        <v>51.2</v>
      </c>
      <c r="E354">
        <v>11.2</v>
      </c>
      <c r="F354">
        <v>204.36</v>
      </c>
      <c r="G354">
        <v>0.8</v>
      </c>
      <c r="H354">
        <v>2.6</v>
      </c>
      <c r="I354">
        <v>126.2315</v>
      </c>
      <c r="J354">
        <v>40.579900000000002</v>
      </c>
      <c r="K354">
        <v>85.910300000000007</v>
      </c>
      <c r="L354">
        <v>3.4948000000000001</v>
      </c>
      <c r="M354">
        <v>24.604800000000001</v>
      </c>
      <c r="N354">
        <v>-13.998100000000001</v>
      </c>
      <c r="O354">
        <v>-17.957799999999999</v>
      </c>
      <c r="P354">
        <v>88.24</v>
      </c>
      <c r="S354">
        <f t="shared" si="113"/>
        <v>773.58130000000006</v>
      </c>
      <c r="T354">
        <f t="shared" si="114"/>
        <v>1.9124285827451126E-2</v>
      </c>
      <c r="U354">
        <f t="shared" si="115"/>
        <v>0.18955542128973615</v>
      </c>
      <c r="V354">
        <f t="shared" si="116"/>
        <v>4.7998207566936166E-2</v>
      </c>
      <c r="W354">
        <f t="shared" si="117"/>
        <v>1.0499607905267284E-2</v>
      </c>
      <c r="X354">
        <f t="shared" si="118"/>
        <v>0.19158034567146631</v>
      </c>
      <c r="Y354">
        <f t="shared" si="119"/>
        <v>7.4997199323337759E-4</v>
      </c>
      <c r="Z354">
        <f t="shared" si="120"/>
        <v>2.437408978008477E-3</v>
      </c>
      <c r="AA354">
        <f t="shared" si="121"/>
        <v>0.11833761207979887</v>
      </c>
      <c r="AB354">
        <f t="shared" si="122"/>
        <v>3.8042235610263923E-2</v>
      </c>
      <c r="AC354">
        <f t="shared" si="123"/>
        <v>8.0537898662846802E-2</v>
      </c>
      <c r="AD354">
        <f t="shared" si="124"/>
        <v>3.2762526524400099E-3</v>
      </c>
      <c r="AE354">
        <f t="shared" si="125"/>
        <v>2.3066138623885759E-2</v>
      </c>
      <c r="AG354">
        <f t="shared" si="126"/>
        <v>0.56460464134915878</v>
      </c>
      <c r="AH354">
        <f t="shared" si="127"/>
        <v>0.48501138785598463</v>
      </c>
      <c r="AI354">
        <f t="shared" si="128"/>
        <v>1.4294574747059154</v>
      </c>
      <c r="AK354" s="26">
        <f t="shared" si="129"/>
        <v>-4.206761504940526E-2</v>
      </c>
      <c r="AL354" s="26">
        <f t="shared" si="130"/>
        <v>2.2165672680953319E-2</v>
      </c>
      <c r="AM354" s="26">
        <f t="shared" si="131"/>
        <v>4.8846364974891421E-2</v>
      </c>
      <c r="AN354" s="26">
        <f t="shared" si="132"/>
        <v>15.413174603174582</v>
      </c>
      <c r="AO354" s="26">
        <f t="shared" si="133"/>
        <v>15.364036144578336</v>
      </c>
      <c r="AP354" s="26">
        <f t="shared" si="134"/>
        <v>16.240976602505192</v>
      </c>
      <c r="AS354" s="2">
        <v>45126</v>
      </c>
      <c r="AT354">
        <v>17.3</v>
      </c>
      <c r="AU354">
        <v>169</v>
      </c>
      <c r="AV354">
        <v>6.9</v>
      </c>
      <c r="AW354">
        <v>2.8</v>
      </c>
      <c r="AX354">
        <v>254.6</v>
      </c>
      <c r="AY354">
        <v>0.7</v>
      </c>
      <c r="AZ354">
        <v>3.1</v>
      </c>
      <c r="BA354">
        <v>206.33770000000001</v>
      </c>
      <c r="BB354">
        <v>51.473399999999998</v>
      </c>
      <c r="BC354">
        <v>118.3205</v>
      </c>
      <c r="BD354">
        <v>3.335</v>
      </c>
      <c r="BE354">
        <v>18.036300000000001</v>
      </c>
      <c r="BF354">
        <v>-6.9546000000000001</v>
      </c>
      <c r="BG354">
        <v>-33.553100000000001</v>
      </c>
      <c r="BH354">
        <v>82.55</v>
      </c>
    </row>
    <row r="355" spans="1:60" x14ac:dyDescent="0.25">
      <c r="A355" s="2">
        <v>45146</v>
      </c>
      <c r="B355">
        <v>19.8</v>
      </c>
      <c r="C355">
        <v>111.3</v>
      </c>
      <c r="D355">
        <v>46.8</v>
      </c>
      <c r="E355">
        <v>10.5</v>
      </c>
      <c r="F355">
        <v>234.5</v>
      </c>
      <c r="G355">
        <v>0.2</v>
      </c>
      <c r="H355">
        <v>2.4</v>
      </c>
      <c r="I355">
        <v>106.7704</v>
      </c>
      <c r="J355">
        <v>39.244199999999999</v>
      </c>
      <c r="K355">
        <v>58.232199999999999</v>
      </c>
      <c r="L355">
        <v>3.4803000000000002</v>
      </c>
      <c r="M355">
        <v>22.711600000000001</v>
      </c>
      <c r="N355">
        <v>-9.0115999999999996</v>
      </c>
      <c r="O355">
        <v>-30.014900000000001</v>
      </c>
      <c r="P355">
        <v>87.97</v>
      </c>
      <c r="S355">
        <f t="shared" si="113"/>
        <v>655.93869999999993</v>
      </c>
      <c r="T355">
        <f t="shared" si="114"/>
        <v>1.8561806832526093E-2</v>
      </c>
      <c r="U355">
        <f t="shared" si="115"/>
        <v>0.10433985355859364</v>
      </c>
      <c r="V355">
        <f t="shared" si="116"/>
        <v>4.3873361604152582E-2</v>
      </c>
      <c r="W355">
        <f t="shared" si="117"/>
        <v>9.8433824111880796E-3</v>
      </c>
      <c r="X355">
        <f t="shared" si="118"/>
        <v>0.21983554051653378</v>
      </c>
      <c r="Y355">
        <f t="shared" si="119"/>
        <v>1.874929983083444E-4</v>
      </c>
      <c r="Z355">
        <f t="shared" si="120"/>
        <v>2.2499159797001326E-3</v>
      </c>
      <c r="AA355">
        <f t="shared" si="121"/>
        <v>0.10009351213290626</v>
      </c>
      <c r="AB355">
        <f t="shared" si="122"/>
        <v>3.6790063621061644E-2</v>
      </c>
      <c r="AC355">
        <f t="shared" si="123"/>
        <v>5.459064888045586E-2</v>
      </c>
      <c r="AD355">
        <f t="shared" si="124"/>
        <v>3.2626594100626551E-3</v>
      </c>
      <c r="AE355">
        <f t="shared" si="125"/>
        <v>2.1291329901898973E-2</v>
      </c>
      <c r="AG355">
        <f t="shared" si="126"/>
        <v>0.55364915256163227</v>
      </c>
      <c r="AH355">
        <f t="shared" si="127"/>
        <v>0.42018268380290158</v>
      </c>
      <c r="AI355">
        <f t="shared" si="128"/>
        <v>1.0261896834140989</v>
      </c>
      <c r="AK355" s="26">
        <f t="shared" si="129"/>
        <v>-4.1549248990471077E-2</v>
      </c>
      <c r="AL355" s="26">
        <f t="shared" si="130"/>
        <v>2.0949263065103141E-2</v>
      </c>
      <c r="AM355" s="26">
        <f t="shared" si="131"/>
        <v>4.8713853856449885E-2</v>
      </c>
      <c r="AN355" s="26">
        <f t="shared" si="132"/>
        <v>15.425873015873009</v>
      </c>
      <c r="AO355" s="26">
        <f t="shared" si="133"/>
        <v>15.380058089500906</v>
      </c>
      <c r="AP355" s="26">
        <f t="shared" si="134"/>
        <v>16.267224600194368</v>
      </c>
      <c r="AS355" s="2">
        <v>45125</v>
      </c>
      <c r="AT355">
        <v>15.9</v>
      </c>
      <c r="AU355">
        <v>398.6</v>
      </c>
      <c r="AV355">
        <v>28.6</v>
      </c>
      <c r="AW355">
        <v>4.8</v>
      </c>
      <c r="AX355">
        <v>305.93</v>
      </c>
      <c r="AY355">
        <v>0.7</v>
      </c>
      <c r="AZ355">
        <v>3.2</v>
      </c>
      <c r="BA355">
        <v>191.46190000000001</v>
      </c>
      <c r="BB355">
        <v>44.229799999999997</v>
      </c>
      <c r="BC355">
        <v>106.1262</v>
      </c>
      <c r="BD355">
        <v>3.637</v>
      </c>
      <c r="BE355">
        <v>23.284500000000001</v>
      </c>
      <c r="BF355">
        <v>-9.5840999999999994</v>
      </c>
      <c r="BG355">
        <v>-34.346499999999999</v>
      </c>
      <c r="BH355">
        <v>82.33</v>
      </c>
    </row>
    <row r="356" spans="1:60" x14ac:dyDescent="0.25">
      <c r="A356" s="2">
        <v>45145</v>
      </c>
      <c r="B356">
        <v>21</v>
      </c>
      <c r="C356">
        <v>54.2</v>
      </c>
      <c r="D356">
        <v>36.5</v>
      </c>
      <c r="E356">
        <v>14.7</v>
      </c>
      <c r="F356">
        <v>170.46</v>
      </c>
      <c r="G356">
        <v>0.8</v>
      </c>
      <c r="H356">
        <v>2.6</v>
      </c>
      <c r="I356">
        <v>101.3425</v>
      </c>
      <c r="J356">
        <v>37.774099999999997</v>
      </c>
      <c r="K356">
        <v>44.188800000000001</v>
      </c>
      <c r="L356">
        <v>3.6364999999999998</v>
      </c>
      <c r="M356">
        <v>24.860800000000001</v>
      </c>
      <c r="N356">
        <v>-8.7195</v>
      </c>
      <c r="O356">
        <v>-28.248799999999999</v>
      </c>
      <c r="P356">
        <v>87.66</v>
      </c>
      <c r="S356">
        <f t="shared" si="113"/>
        <v>512.06270000000006</v>
      </c>
      <c r="T356">
        <f t="shared" si="114"/>
        <v>1.9686764822376159E-2</v>
      </c>
      <c r="U356">
        <f t="shared" si="115"/>
        <v>5.0810602541561327E-2</v>
      </c>
      <c r="V356">
        <f t="shared" si="116"/>
        <v>3.4217472191272851E-2</v>
      </c>
      <c r="W356">
        <f t="shared" si="117"/>
        <v>1.3780735375663312E-2</v>
      </c>
      <c r="X356">
        <f t="shared" si="118"/>
        <v>0.15980028245820194</v>
      </c>
      <c r="Y356">
        <f t="shared" si="119"/>
        <v>7.4997199323337759E-4</v>
      </c>
      <c r="Z356">
        <f t="shared" si="120"/>
        <v>2.437408978008477E-3</v>
      </c>
      <c r="AA356">
        <f t="shared" si="121"/>
        <v>9.5005045905316957E-2</v>
      </c>
      <c r="AB356">
        <f t="shared" si="122"/>
        <v>3.5411896336996151E-2</v>
      </c>
      <c r="AC356">
        <f t="shared" si="123"/>
        <v>4.1425453018238842E-2</v>
      </c>
      <c r="AD356">
        <f t="shared" si="124"/>
        <v>3.4090914417414715E-3</v>
      </c>
      <c r="AE356">
        <f t="shared" si="125"/>
        <v>2.3306129661720441E-2</v>
      </c>
      <c r="AG356">
        <f t="shared" si="126"/>
        <v>0.54078312003327811</v>
      </c>
      <c r="AH356">
        <f t="shared" si="127"/>
        <v>0.30478936802203793</v>
      </c>
      <c r="AI356">
        <f t="shared" si="128"/>
        <v>0.29759018650575475</v>
      </c>
      <c r="AK356" s="26">
        <f t="shared" si="129"/>
        <v>-1.7648806701184294E-2</v>
      </c>
      <c r="AL356" s="26">
        <f t="shared" si="130"/>
        <v>2.1474165990421734E-2</v>
      </c>
      <c r="AM356" s="26">
        <f t="shared" si="131"/>
        <v>4.9490751842701741E-2</v>
      </c>
      <c r="AN356" s="26">
        <f t="shared" si="132"/>
        <v>15.435555555555553</v>
      </c>
      <c r="AO356" s="26">
        <f t="shared" si="133"/>
        <v>15.396622203098161</v>
      </c>
      <c r="AP356" s="26">
        <f t="shared" si="134"/>
        <v>16.293940547779783</v>
      </c>
      <c r="AS356" s="2">
        <v>45124</v>
      </c>
      <c r="AT356">
        <v>15.7</v>
      </c>
      <c r="AU356">
        <v>103.9</v>
      </c>
      <c r="AV356">
        <v>54.2</v>
      </c>
      <c r="AW356">
        <v>11.4</v>
      </c>
      <c r="AX356">
        <v>286.67</v>
      </c>
      <c r="AY356">
        <v>0.6</v>
      </c>
      <c r="AZ356">
        <v>3</v>
      </c>
      <c r="BA356">
        <v>136.244</v>
      </c>
      <c r="BB356">
        <v>44.8157</v>
      </c>
      <c r="BC356">
        <v>66.992699999999999</v>
      </c>
      <c r="BD356">
        <v>3.48</v>
      </c>
      <c r="BE356">
        <v>18.380700000000001</v>
      </c>
      <c r="BF356">
        <v>-6.6289999999999996</v>
      </c>
      <c r="BG356">
        <v>-31.976099999999999</v>
      </c>
      <c r="BH356">
        <v>82.09</v>
      </c>
    </row>
    <row r="357" spans="1:60" x14ac:dyDescent="0.25">
      <c r="A357" s="2">
        <v>45144</v>
      </c>
      <c r="B357">
        <v>20.7</v>
      </c>
      <c r="C357">
        <v>53.3</v>
      </c>
      <c r="D357">
        <v>16.3</v>
      </c>
      <c r="E357">
        <v>5.2</v>
      </c>
      <c r="F357">
        <v>148.44</v>
      </c>
      <c r="G357">
        <v>0.7</v>
      </c>
      <c r="H357">
        <v>3</v>
      </c>
      <c r="I357">
        <v>87.778300000000002</v>
      </c>
      <c r="J357">
        <v>20.568000000000001</v>
      </c>
      <c r="K357">
        <v>18.384599999999999</v>
      </c>
      <c r="L357">
        <v>3.19</v>
      </c>
      <c r="M357">
        <v>20.236699999999999</v>
      </c>
      <c r="P357">
        <v>87.37</v>
      </c>
      <c r="S357">
        <f t="shared" si="113"/>
        <v>397.79759999999993</v>
      </c>
      <c r="T357">
        <f t="shared" si="114"/>
        <v>1.9405525324913644E-2</v>
      </c>
      <c r="U357">
        <f t="shared" si="115"/>
        <v>4.9966884049173772E-2</v>
      </c>
      <c r="V357">
        <f t="shared" si="116"/>
        <v>1.5280679362130067E-2</v>
      </c>
      <c r="W357">
        <f t="shared" si="117"/>
        <v>4.874817956016954E-3</v>
      </c>
      <c r="X357">
        <f t="shared" si="118"/>
        <v>0.1391573033444532</v>
      </c>
      <c r="Y357">
        <f t="shared" si="119"/>
        <v>6.5622549407920526E-4</v>
      </c>
      <c r="Z357">
        <f t="shared" si="120"/>
        <v>2.8123949746251659E-3</v>
      </c>
      <c r="AA357">
        <f t="shared" si="121"/>
        <v>8.2289083267046731E-2</v>
      </c>
      <c r="AB357">
        <f t="shared" si="122"/>
        <v>1.9281779946030139E-2</v>
      </c>
      <c r="AC357">
        <f t="shared" si="123"/>
        <v>1.723491888349794E-2</v>
      </c>
      <c r="AD357">
        <f t="shared" si="124"/>
        <v>2.9905133230180929E-3</v>
      </c>
      <c r="AE357">
        <f t="shared" si="125"/>
        <v>1.8971197794332362E-2</v>
      </c>
      <c r="AG357">
        <f t="shared" si="126"/>
        <v>0.52888351664119115</v>
      </c>
      <c r="AH357">
        <f t="shared" si="127"/>
        <v>0.25112502829972433</v>
      </c>
      <c r="AI357">
        <f t="shared" si="128"/>
        <v>-4.3175835085562796E-2</v>
      </c>
      <c r="AK357" s="26">
        <f t="shared" si="129"/>
        <v>-5.6906014796963555E-3</v>
      </c>
      <c r="AL357" s="26">
        <f t="shared" si="130"/>
        <v>2.4641846441438409E-2</v>
      </c>
      <c r="AM357" s="26">
        <f t="shared" si="131"/>
        <v>5.0431918505146278E-2</v>
      </c>
      <c r="AN357" s="26">
        <f t="shared" si="132"/>
        <v>15.443809523809506</v>
      </c>
      <c r="AO357" s="26">
        <f t="shared" si="133"/>
        <v>15.414931153184213</v>
      </c>
      <c r="AP357" s="26">
        <f t="shared" si="134"/>
        <v>16.32138783120196</v>
      </c>
      <c r="AS357" s="2">
        <v>45123</v>
      </c>
      <c r="AT357">
        <v>14.2</v>
      </c>
      <c r="AU357">
        <v>26.5</v>
      </c>
      <c r="AV357">
        <v>47.3</v>
      </c>
      <c r="AW357">
        <v>8.6</v>
      </c>
      <c r="AX357">
        <v>286.74</v>
      </c>
      <c r="AY357">
        <v>0.3</v>
      </c>
      <c r="AZ357">
        <v>3</v>
      </c>
      <c r="BA357">
        <v>106.8261</v>
      </c>
      <c r="BB357">
        <v>20.659500000000001</v>
      </c>
      <c r="BC357">
        <v>34.171700000000001</v>
      </c>
      <c r="BD357">
        <v>3.48</v>
      </c>
      <c r="BE357">
        <v>12.489100000000001</v>
      </c>
      <c r="BH357">
        <v>81.81</v>
      </c>
    </row>
    <row r="358" spans="1:60" x14ac:dyDescent="0.25">
      <c r="A358" s="2">
        <v>45143</v>
      </c>
      <c r="B358">
        <v>21.5</v>
      </c>
      <c r="C358">
        <v>141</v>
      </c>
      <c r="D358">
        <v>11.1</v>
      </c>
      <c r="E358">
        <v>2.5</v>
      </c>
      <c r="F358">
        <v>194.85</v>
      </c>
      <c r="G358">
        <v>0.7</v>
      </c>
      <c r="H358">
        <v>3</v>
      </c>
      <c r="I358">
        <v>95.866200000000006</v>
      </c>
      <c r="J358">
        <v>25.756</v>
      </c>
      <c r="K358">
        <v>63.4621</v>
      </c>
      <c r="L358">
        <v>3.48</v>
      </c>
      <c r="M358">
        <v>19.619900000000001</v>
      </c>
      <c r="P358">
        <v>87.04</v>
      </c>
      <c r="S358">
        <f t="shared" si="113"/>
        <v>582.83420000000001</v>
      </c>
      <c r="T358">
        <f t="shared" si="114"/>
        <v>2.0155497318147021E-2</v>
      </c>
      <c r="U358">
        <f t="shared" si="115"/>
        <v>0.1321825638073828</v>
      </c>
      <c r="V358">
        <f t="shared" si="116"/>
        <v>1.0405861406113113E-2</v>
      </c>
      <c r="W358">
        <f t="shared" si="117"/>
        <v>2.3436624788543046E-3</v>
      </c>
      <c r="X358">
        <f t="shared" si="118"/>
        <v>0.18266505360190452</v>
      </c>
      <c r="Y358">
        <f t="shared" si="119"/>
        <v>6.5622549407920526E-4</v>
      </c>
      <c r="Z358">
        <f t="shared" si="120"/>
        <v>2.8123949746251659E-3</v>
      </c>
      <c r="AA358">
        <f t="shared" si="121"/>
        <v>8.9871206372137025E-2</v>
      </c>
      <c r="AB358">
        <f t="shared" si="122"/>
        <v>2.414534832214859E-2</v>
      </c>
      <c r="AC358">
        <f t="shared" si="123"/>
        <v>5.9493497039719907E-2</v>
      </c>
      <c r="AD358">
        <f t="shared" si="124"/>
        <v>3.2623781705651924E-3</v>
      </c>
      <c r="AE358">
        <f t="shared" si="125"/>
        <v>1.8392969387549432E-2</v>
      </c>
      <c r="AG358">
        <f t="shared" si="126"/>
        <v>0.51508055379003959</v>
      </c>
      <c r="AH358">
        <f t="shared" si="127"/>
        <v>0.3696142284686556</v>
      </c>
      <c r="AI358">
        <f t="shared" si="128"/>
        <v>0.70213209116328945</v>
      </c>
      <c r="AK358" s="26">
        <f t="shared" si="129"/>
        <v>1.8584573839453E-4</v>
      </c>
      <c r="AL358" s="26">
        <f t="shared" si="130"/>
        <v>2.7482239973816436E-2</v>
      </c>
      <c r="AM358" s="26">
        <f t="shared" si="131"/>
        <v>5.086540308776788E-2</v>
      </c>
      <c r="AN358" s="26">
        <f t="shared" si="132"/>
        <v>15.449047619047619</v>
      </c>
      <c r="AO358" s="26">
        <f t="shared" si="133"/>
        <v>15.434565404475094</v>
      </c>
      <c r="AP358" s="26">
        <f t="shared" si="134"/>
        <v>16.348119272077973</v>
      </c>
      <c r="AS358" s="2">
        <v>45122</v>
      </c>
      <c r="AT358">
        <v>16.3</v>
      </c>
      <c r="AU358">
        <v>56.8</v>
      </c>
      <c r="AV358">
        <v>47.5</v>
      </c>
      <c r="AW358">
        <v>12.8</v>
      </c>
      <c r="AX358">
        <v>287.51</v>
      </c>
      <c r="AY358">
        <v>0.6</v>
      </c>
      <c r="AZ358">
        <v>3.1</v>
      </c>
      <c r="BA358">
        <v>106.95829999999999</v>
      </c>
      <c r="BB358">
        <v>22.488600000000002</v>
      </c>
      <c r="BC358">
        <v>33.643500000000003</v>
      </c>
      <c r="BD358">
        <v>3.48</v>
      </c>
      <c r="BE358">
        <v>17.564699999999998</v>
      </c>
      <c r="BH358">
        <v>81.430000000000007</v>
      </c>
    </row>
    <row r="359" spans="1:60" x14ac:dyDescent="0.25">
      <c r="A359" s="2">
        <v>45142</v>
      </c>
      <c r="B359">
        <v>20.7</v>
      </c>
      <c r="C359">
        <v>219.7</v>
      </c>
      <c r="D359">
        <v>34.6</v>
      </c>
      <c r="E359">
        <v>6.3</v>
      </c>
      <c r="F359">
        <v>195.75</v>
      </c>
      <c r="G359">
        <v>0.7</v>
      </c>
      <c r="H359">
        <v>2.6</v>
      </c>
      <c r="I359">
        <v>112.43899999999999</v>
      </c>
      <c r="J359">
        <v>41.968499999999999</v>
      </c>
      <c r="K359">
        <v>78.172899999999998</v>
      </c>
      <c r="L359">
        <v>3.48</v>
      </c>
      <c r="M359">
        <v>33.616700000000002</v>
      </c>
      <c r="N359">
        <v>-6.7752999999999997</v>
      </c>
      <c r="O359">
        <v>-28.643799999999999</v>
      </c>
      <c r="P359">
        <v>86.74</v>
      </c>
      <c r="S359">
        <f t="shared" si="113"/>
        <v>750.02710000000002</v>
      </c>
      <c r="T359">
        <f t="shared" si="114"/>
        <v>1.9405525324913644E-2</v>
      </c>
      <c r="U359">
        <f t="shared" si="115"/>
        <v>0.20596105864171629</v>
      </c>
      <c r="V359">
        <f t="shared" si="116"/>
        <v>3.243628870734358E-2</v>
      </c>
      <c r="W359">
        <f t="shared" si="117"/>
        <v>5.9060294467128483E-3</v>
      </c>
      <c r="X359">
        <f t="shared" si="118"/>
        <v>0.18350877209429206</v>
      </c>
      <c r="Y359">
        <f t="shared" si="119"/>
        <v>6.5622549407920526E-4</v>
      </c>
      <c r="Z359">
        <f t="shared" si="120"/>
        <v>2.437408978008477E-3</v>
      </c>
      <c r="AA359">
        <f t="shared" si="121"/>
        <v>0.10540762618395966</v>
      </c>
      <c r="AB359">
        <f t="shared" si="122"/>
        <v>3.9343999497518753E-2</v>
      </c>
      <c r="AC359">
        <f t="shared" si="123"/>
        <v>7.3284357037291872E-2</v>
      </c>
      <c r="AD359">
        <f t="shared" si="124"/>
        <v>3.2623781705651924E-3</v>
      </c>
      <c r="AE359">
        <f t="shared" si="125"/>
        <v>3.1514479381160601E-2</v>
      </c>
      <c r="AG359">
        <f t="shared" si="126"/>
        <v>0.50273165864846003</v>
      </c>
      <c r="AH359">
        <f t="shared" si="127"/>
        <v>0.48182578806822673</v>
      </c>
      <c r="AI359">
        <f t="shared" si="128"/>
        <v>1.411411097946969</v>
      </c>
      <c r="AK359" s="26">
        <f t="shared" si="129"/>
        <v>3.8245089642076624E-3</v>
      </c>
      <c r="AL359" s="26">
        <f t="shared" si="130"/>
        <v>3.0795106987478116E-2</v>
      </c>
      <c r="AM359" s="26">
        <f t="shared" si="131"/>
        <v>5.1192944321132361E-2</v>
      </c>
      <c r="AN359" s="26">
        <f t="shared" si="132"/>
        <v>15.454126984126987</v>
      </c>
      <c r="AO359" s="26">
        <f t="shared" si="133"/>
        <v>15.455776678141191</v>
      </c>
      <c r="AP359" s="26">
        <f t="shared" si="134"/>
        <v>16.377420761009475</v>
      </c>
      <c r="AS359" s="2">
        <v>45121</v>
      </c>
      <c r="AT359">
        <v>20</v>
      </c>
      <c r="AU359">
        <v>192</v>
      </c>
      <c r="AV359">
        <v>10.9</v>
      </c>
      <c r="AW359">
        <v>2.2999999999999998</v>
      </c>
      <c r="AX359">
        <v>301.43</v>
      </c>
      <c r="AY359">
        <v>0.5</v>
      </c>
      <c r="AZ359">
        <v>3.1</v>
      </c>
      <c r="BA359">
        <v>181.50550000000001</v>
      </c>
      <c r="BB359">
        <v>23.4527</v>
      </c>
      <c r="BC359">
        <v>100.696</v>
      </c>
      <c r="BD359">
        <v>3.2481</v>
      </c>
      <c r="BE359">
        <v>17.752800000000001</v>
      </c>
      <c r="BF359">
        <v>-5.2365000000000004</v>
      </c>
      <c r="BG359">
        <v>-28.301400000000001</v>
      </c>
      <c r="BH359">
        <v>81.05</v>
      </c>
    </row>
    <row r="360" spans="1:60" x14ac:dyDescent="0.25">
      <c r="A360" s="2">
        <v>45141</v>
      </c>
      <c r="B360">
        <v>18.7</v>
      </c>
      <c r="C360">
        <v>103.9</v>
      </c>
      <c r="D360">
        <v>32.1</v>
      </c>
      <c r="E360">
        <v>16.600000000000001</v>
      </c>
      <c r="F360">
        <v>211</v>
      </c>
      <c r="G360">
        <v>0.7</v>
      </c>
      <c r="H360">
        <v>2.8</v>
      </c>
      <c r="I360">
        <v>73.653400000000005</v>
      </c>
      <c r="J360">
        <v>35.723799999999997</v>
      </c>
      <c r="K360">
        <v>35.114699999999999</v>
      </c>
      <c r="L360">
        <v>3.4857999999999998</v>
      </c>
      <c r="M360">
        <v>17.113800000000001</v>
      </c>
      <c r="N360">
        <v>-7.6798999999999999</v>
      </c>
      <c r="O360">
        <v>-27.55</v>
      </c>
      <c r="P360">
        <v>86.51</v>
      </c>
      <c r="S360">
        <f t="shared" si="113"/>
        <v>550.89149999999995</v>
      </c>
      <c r="T360">
        <f t="shared" si="114"/>
        <v>1.7530595341830199E-2</v>
      </c>
      <c r="U360">
        <f t="shared" si="115"/>
        <v>9.7402612621184909E-2</v>
      </c>
      <c r="V360">
        <f t="shared" si="116"/>
        <v>3.0092626228489273E-2</v>
      </c>
      <c r="W360">
        <f t="shared" si="117"/>
        <v>1.5561918859592586E-2</v>
      </c>
      <c r="X360">
        <f t="shared" si="118"/>
        <v>0.19780511321530334</v>
      </c>
      <c r="Y360">
        <f t="shared" si="119"/>
        <v>6.5622549407920526E-4</v>
      </c>
      <c r="Z360">
        <f t="shared" si="120"/>
        <v>2.624901976316821E-3</v>
      </c>
      <c r="AA360">
        <f t="shared" si="121"/>
        <v>6.9047484008019064E-2</v>
      </c>
      <c r="AB360">
        <f t="shared" si="122"/>
        <v>3.3489811864838161E-2</v>
      </c>
      <c r="AC360">
        <f t="shared" si="123"/>
        <v>3.2918801938490103E-2</v>
      </c>
      <c r="AD360">
        <f t="shared" si="124"/>
        <v>3.2678154675161342E-3</v>
      </c>
      <c r="AE360">
        <f t="shared" si="125"/>
        <v>1.6043588372246721E-2</v>
      </c>
      <c r="AG360">
        <f t="shared" si="126"/>
        <v>0.49369239976447032</v>
      </c>
      <c r="AH360">
        <f t="shared" si="127"/>
        <v>0.3777175821090431</v>
      </c>
      <c r="AI360">
        <f t="shared" si="128"/>
        <v>0.75995326276459285</v>
      </c>
      <c r="AK360" s="26">
        <f t="shared" si="129"/>
        <v>3.388456795649808E-3</v>
      </c>
      <c r="AL360" s="26">
        <f t="shared" si="130"/>
        <v>3.1950415063552673E-2</v>
      </c>
      <c r="AM360" s="26">
        <f t="shared" si="131"/>
        <v>5.0784103110992351E-2</v>
      </c>
      <c r="AN360" s="26">
        <f t="shared" si="132"/>
        <v>15.452222222222218</v>
      </c>
      <c r="AO360" s="26">
        <f t="shared" si="133"/>
        <v>15.475197934595599</v>
      </c>
      <c r="AP360" s="26">
        <f t="shared" si="134"/>
        <v>16.407032903547744</v>
      </c>
      <c r="AS360" s="2">
        <v>45120</v>
      </c>
      <c r="AT360">
        <v>19</v>
      </c>
      <c r="AU360">
        <v>322.89999999999998</v>
      </c>
      <c r="AV360">
        <v>43.8</v>
      </c>
      <c r="AW360">
        <v>8.5</v>
      </c>
      <c r="AX360">
        <v>268.35000000000002</v>
      </c>
      <c r="AY360">
        <v>0.5</v>
      </c>
      <c r="AZ360">
        <v>3.1</v>
      </c>
      <c r="BA360">
        <v>196.7406</v>
      </c>
      <c r="BB360">
        <v>21.971800000000002</v>
      </c>
      <c r="BC360">
        <v>99.543599999999998</v>
      </c>
      <c r="BD360">
        <v>3.48</v>
      </c>
      <c r="BE360">
        <v>18.621300000000002</v>
      </c>
      <c r="BF360">
        <v>-6.3000999999999996</v>
      </c>
      <c r="BG360">
        <v>-27.508900000000001</v>
      </c>
      <c r="BH360">
        <v>80.760000000000005</v>
      </c>
    </row>
    <row r="361" spans="1:60" x14ac:dyDescent="0.25">
      <c r="A361" s="2">
        <v>45140</v>
      </c>
      <c r="B361">
        <v>19.399999999999999</v>
      </c>
      <c r="C361">
        <v>98.3</v>
      </c>
      <c r="D361">
        <v>37.9</v>
      </c>
      <c r="E361">
        <v>12</v>
      </c>
      <c r="F361">
        <v>151.9</v>
      </c>
      <c r="G361">
        <v>0.7</v>
      </c>
      <c r="H361">
        <v>3.1</v>
      </c>
      <c r="I361">
        <v>86.417699999999996</v>
      </c>
      <c r="J361">
        <v>32.528500000000001</v>
      </c>
      <c r="K361">
        <v>40.745699999999999</v>
      </c>
      <c r="L361">
        <v>3.48</v>
      </c>
      <c r="M361">
        <v>25.8203</v>
      </c>
      <c r="N361">
        <v>-8.1760000000000002</v>
      </c>
      <c r="O361">
        <v>-29.5657</v>
      </c>
      <c r="P361">
        <v>86.26</v>
      </c>
      <c r="S361">
        <f t="shared" si="113"/>
        <v>512.29220000000009</v>
      </c>
      <c r="T361">
        <f t="shared" si="114"/>
        <v>1.8186820835909404E-2</v>
      </c>
      <c r="U361">
        <f t="shared" si="115"/>
        <v>9.2152808668551259E-2</v>
      </c>
      <c r="V361">
        <f t="shared" si="116"/>
        <v>3.5529923179431259E-2</v>
      </c>
      <c r="W361">
        <f t="shared" si="117"/>
        <v>1.1249579898500664E-2</v>
      </c>
      <c r="X361">
        <f t="shared" si="118"/>
        <v>0.14240093221518757</v>
      </c>
      <c r="Y361">
        <f t="shared" si="119"/>
        <v>6.5622549407920526E-4</v>
      </c>
      <c r="Z361">
        <f t="shared" si="120"/>
        <v>2.9061414737793379E-3</v>
      </c>
      <c r="AA361">
        <f t="shared" si="121"/>
        <v>8.1013568399555064E-2</v>
      </c>
      <c r="AB361">
        <f t="shared" si="122"/>
        <v>3.0494329977364901E-2</v>
      </c>
      <c r="AC361">
        <f t="shared" si="123"/>
        <v>3.8197667305861535E-2</v>
      </c>
      <c r="AD361">
        <f t="shared" si="124"/>
        <v>3.2623781705651924E-3</v>
      </c>
      <c r="AE361">
        <f t="shared" si="125"/>
        <v>2.4205627321104723E-2</v>
      </c>
      <c r="AG361">
        <f t="shared" si="126"/>
        <v>0.48369684686912506</v>
      </c>
      <c r="AH361">
        <f t="shared" si="127"/>
        <v>0.32728805908654346</v>
      </c>
      <c r="AI361">
        <f t="shared" si="128"/>
        <v>0.4389842249772381</v>
      </c>
      <c r="AK361" s="26">
        <f t="shared" si="129"/>
        <v>1.3874219979835622E-2</v>
      </c>
      <c r="AL361" s="26">
        <f t="shared" si="130"/>
        <v>3.420038878770798E-2</v>
      </c>
      <c r="AM361" s="26">
        <f t="shared" si="131"/>
        <v>5.0493278458030311E-2</v>
      </c>
      <c r="AN361" s="26">
        <f t="shared" si="132"/>
        <v>15.445079365079366</v>
      </c>
      <c r="AO361" s="26">
        <f t="shared" si="133"/>
        <v>15.49174483648887</v>
      </c>
      <c r="AP361" s="26">
        <f t="shared" si="134"/>
        <v>16.436014022741034</v>
      </c>
      <c r="AS361" s="2">
        <v>45119</v>
      </c>
      <c r="AT361">
        <v>16.5</v>
      </c>
      <c r="AU361">
        <v>248.1</v>
      </c>
      <c r="AV361">
        <v>35.9</v>
      </c>
      <c r="AW361">
        <v>12</v>
      </c>
      <c r="AX361">
        <v>266.82</v>
      </c>
      <c r="AY361">
        <v>0.6</v>
      </c>
      <c r="AZ361">
        <v>3</v>
      </c>
      <c r="BA361">
        <v>200.10149999999999</v>
      </c>
      <c r="BB361">
        <v>30.7012</v>
      </c>
      <c r="BC361">
        <v>87.312200000000004</v>
      </c>
      <c r="BD361">
        <v>5.0891999999999999</v>
      </c>
      <c r="BE361">
        <v>16.7774</v>
      </c>
      <c r="BF361">
        <v>-5.4463999999999997</v>
      </c>
      <c r="BG361">
        <v>-27.283200000000001</v>
      </c>
      <c r="BH361">
        <v>80.53</v>
      </c>
    </row>
    <row r="362" spans="1:60" x14ac:dyDescent="0.25">
      <c r="A362" s="2">
        <v>45139</v>
      </c>
      <c r="B362">
        <v>16.399999999999999</v>
      </c>
      <c r="C362">
        <v>74.400000000000006</v>
      </c>
      <c r="D362">
        <v>33.200000000000003</v>
      </c>
      <c r="E362">
        <v>13.5</v>
      </c>
      <c r="F362">
        <v>173.74</v>
      </c>
      <c r="G362">
        <v>0.7</v>
      </c>
      <c r="H362">
        <v>2.8</v>
      </c>
      <c r="I362">
        <v>91.232100000000003</v>
      </c>
      <c r="J362">
        <v>34.804000000000002</v>
      </c>
      <c r="K362">
        <v>30.7667</v>
      </c>
      <c r="L362">
        <v>3.48</v>
      </c>
      <c r="M362">
        <v>20.744800000000001</v>
      </c>
      <c r="N362">
        <v>-6.2119</v>
      </c>
      <c r="O362">
        <v>-30.791899999999998</v>
      </c>
      <c r="P362">
        <v>85.97</v>
      </c>
      <c r="S362">
        <f t="shared" si="113"/>
        <v>495.76760000000007</v>
      </c>
      <c r="T362">
        <f t="shared" si="114"/>
        <v>1.5374425861284237E-2</v>
      </c>
      <c r="U362">
        <f t="shared" si="115"/>
        <v>6.974739537070411E-2</v>
      </c>
      <c r="V362">
        <f t="shared" si="116"/>
        <v>3.1123837719185171E-2</v>
      </c>
      <c r="W362">
        <f t="shared" si="117"/>
        <v>1.2655777385813246E-2</v>
      </c>
      <c r="X362">
        <f t="shared" si="118"/>
        <v>0.16287516763045878</v>
      </c>
      <c r="Y362">
        <f t="shared" si="119"/>
        <v>6.5622549407920526E-4</v>
      </c>
      <c r="Z362">
        <f t="shared" si="120"/>
        <v>2.624901976316821E-3</v>
      </c>
      <c r="AA362">
        <f t="shared" si="121"/>
        <v>8.5526899854833527E-2</v>
      </c>
      <c r="AB362">
        <f t="shared" si="122"/>
        <v>3.2627531565618088E-2</v>
      </c>
      <c r="AC362">
        <f t="shared" si="123"/>
        <v>2.8842704155266696E-2</v>
      </c>
      <c r="AD362">
        <f t="shared" si="124"/>
        <v>3.2623781705651924E-3</v>
      </c>
      <c r="AE362">
        <f t="shared" si="125"/>
        <v>1.9447523756534715E-2</v>
      </c>
      <c r="AG362">
        <f t="shared" si="126"/>
        <v>0.47179345582747068</v>
      </c>
      <c r="AH362">
        <f t="shared" si="127"/>
        <v>0.31450525519437628</v>
      </c>
      <c r="AI362">
        <f t="shared" si="128"/>
        <v>0.35579509100558987</v>
      </c>
      <c r="AK362" s="26">
        <f t="shared" si="129"/>
        <v>2.1815944239403695E-2</v>
      </c>
      <c r="AL362" s="26">
        <f t="shared" si="130"/>
        <v>3.7136287352698638E-2</v>
      </c>
      <c r="AM362" s="26">
        <f t="shared" si="131"/>
        <v>5.0341966256516824E-2</v>
      </c>
      <c r="AN362" s="26">
        <f t="shared" si="132"/>
        <v>15.437460317460307</v>
      </c>
      <c r="AO362" s="26">
        <f t="shared" si="133"/>
        <v>15.50690834767645</v>
      </c>
      <c r="AP362" s="26">
        <f t="shared" si="134"/>
        <v>16.464422415377776</v>
      </c>
      <c r="AS362" s="2">
        <v>45118</v>
      </c>
      <c r="AT362">
        <v>15.9</v>
      </c>
      <c r="AU362">
        <v>219.8</v>
      </c>
      <c r="AV362">
        <v>40.1</v>
      </c>
      <c r="AW362">
        <v>5</v>
      </c>
      <c r="AX362">
        <v>339.41</v>
      </c>
      <c r="AY362">
        <v>0.6</v>
      </c>
      <c r="AZ362">
        <v>2.7</v>
      </c>
      <c r="BA362">
        <v>200.4691</v>
      </c>
      <c r="BB362">
        <v>28.3276</v>
      </c>
      <c r="BC362">
        <v>99.2363</v>
      </c>
      <c r="BD362">
        <v>3.48</v>
      </c>
      <c r="BE362">
        <v>20.555499999999999</v>
      </c>
      <c r="BF362">
        <v>-8.4413999999999998</v>
      </c>
      <c r="BG362">
        <v>-27.816400000000002</v>
      </c>
      <c r="BH362">
        <v>80.349999999999994</v>
      </c>
    </row>
    <row r="363" spans="1:60" x14ac:dyDescent="0.25">
      <c r="A363" s="2">
        <v>45138</v>
      </c>
      <c r="B363">
        <v>16.3</v>
      </c>
      <c r="C363">
        <v>166.1</v>
      </c>
      <c r="D363">
        <v>34.9</v>
      </c>
      <c r="E363">
        <v>13.2</v>
      </c>
      <c r="F363">
        <v>170.41</v>
      </c>
      <c r="G363">
        <v>0.7</v>
      </c>
      <c r="H363">
        <v>2.9</v>
      </c>
      <c r="I363">
        <v>88.942999999999998</v>
      </c>
      <c r="J363">
        <v>22.3447</v>
      </c>
      <c r="K363">
        <v>22.6846</v>
      </c>
      <c r="L363">
        <v>3.48</v>
      </c>
      <c r="M363">
        <v>22.806799999999999</v>
      </c>
      <c r="N363">
        <v>-12.8507</v>
      </c>
      <c r="O363">
        <v>-38.043199999999999</v>
      </c>
      <c r="P363">
        <v>86.09</v>
      </c>
      <c r="S363">
        <f t="shared" si="113"/>
        <v>564.76909999999998</v>
      </c>
      <c r="T363">
        <f t="shared" si="114"/>
        <v>1.5280679362130067E-2</v>
      </c>
      <c r="U363">
        <f t="shared" si="115"/>
        <v>0.15571293509508</v>
      </c>
      <c r="V363">
        <f t="shared" si="116"/>
        <v>3.2717528204806091E-2</v>
      </c>
      <c r="W363">
        <f t="shared" si="117"/>
        <v>1.2374537888350728E-2</v>
      </c>
      <c r="X363">
        <f t="shared" si="118"/>
        <v>0.15975340920862482</v>
      </c>
      <c r="Y363">
        <f t="shared" si="119"/>
        <v>6.5622549407920526E-4</v>
      </c>
      <c r="Z363">
        <f t="shared" si="120"/>
        <v>2.7186484754709935E-3</v>
      </c>
      <c r="AA363">
        <f t="shared" si="121"/>
        <v>8.3380948742695374E-2</v>
      </c>
      <c r="AB363">
        <f t="shared" si="122"/>
        <v>2.0947373996502313E-2</v>
      </c>
      <c r="AC363">
        <f t="shared" si="123"/>
        <v>2.1266018347127345E-2</v>
      </c>
      <c r="AD363">
        <f t="shared" si="124"/>
        <v>3.2623781705651924E-3</v>
      </c>
      <c r="AE363">
        <f t="shared" si="125"/>
        <v>2.1380576569093743E-2</v>
      </c>
      <c r="AG363">
        <f t="shared" si="126"/>
        <v>0.47959721053052939</v>
      </c>
      <c r="AH363">
        <f t="shared" si="127"/>
        <v>0.40059454029763569</v>
      </c>
      <c r="AI363">
        <f t="shared" si="128"/>
        <v>0.8960445143200817</v>
      </c>
      <c r="AK363" s="26">
        <f t="shared" si="129"/>
        <v>3.821596275359318E-2</v>
      </c>
      <c r="AL363" s="26">
        <f t="shared" si="130"/>
        <v>4.4769581907709355E-2</v>
      </c>
      <c r="AM363" s="26">
        <f t="shared" si="131"/>
        <v>5.2161815778326459E-2</v>
      </c>
      <c r="AN363" s="26">
        <f t="shared" si="132"/>
        <v>15.423809523809524</v>
      </c>
      <c r="AO363" s="26">
        <f t="shared" si="133"/>
        <v>15.520305507745277</v>
      </c>
      <c r="AP363" s="26">
        <f t="shared" si="134"/>
        <v>16.490982642262587</v>
      </c>
      <c r="AS363" s="2">
        <v>45117</v>
      </c>
      <c r="AT363">
        <v>15.8</v>
      </c>
      <c r="AU363">
        <v>348.3</v>
      </c>
      <c r="AV363">
        <v>11.2</v>
      </c>
      <c r="AW363">
        <v>5.2</v>
      </c>
      <c r="AX363">
        <v>269.38</v>
      </c>
      <c r="AY363">
        <v>0.5</v>
      </c>
      <c r="AZ363">
        <v>3.3</v>
      </c>
      <c r="BA363">
        <v>218.2782</v>
      </c>
      <c r="BB363">
        <v>32.880800000000001</v>
      </c>
      <c r="BC363">
        <v>107.14409999999999</v>
      </c>
      <c r="BD363">
        <v>3.3149000000000002</v>
      </c>
      <c r="BE363">
        <v>29.168399999999998</v>
      </c>
      <c r="BF363">
        <v>-8.0898000000000003</v>
      </c>
      <c r="BG363">
        <v>-27.8718</v>
      </c>
      <c r="BH363">
        <v>80.13</v>
      </c>
    </row>
    <row r="364" spans="1:60" x14ac:dyDescent="0.25">
      <c r="A364" s="2">
        <v>45137</v>
      </c>
      <c r="B364">
        <v>17.100000000000001</v>
      </c>
      <c r="C364">
        <v>17.899999999999999</v>
      </c>
      <c r="D364">
        <v>38.799999999999997</v>
      </c>
      <c r="E364">
        <v>7.1</v>
      </c>
      <c r="F364">
        <v>229.16</v>
      </c>
      <c r="G364">
        <v>0.6</v>
      </c>
      <c r="H364">
        <v>2.8</v>
      </c>
      <c r="I364">
        <v>96.405199999999994</v>
      </c>
      <c r="J364">
        <v>26.620100000000001</v>
      </c>
      <c r="K364">
        <v>20.383600000000001</v>
      </c>
      <c r="L364">
        <v>3.48</v>
      </c>
      <c r="M364">
        <v>8.7330000000000005</v>
      </c>
      <c r="P364">
        <v>85.79</v>
      </c>
      <c r="S364">
        <f t="shared" si="113"/>
        <v>469.08190000000002</v>
      </c>
      <c r="T364">
        <f t="shared" si="114"/>
        <v>1.6030651355363447E-2</v>
      </c>
      <c r="U364">
        <f t="shared" si="115"/>
        <v>1.678062334859682E-2</v>
      </c>
      <c r="V364">
        <f t="shared" si="116"/>
        <v>3.6373641671818807E-2</v>
      </c>
      <c r="W364">
        <f t="shared" si="117"/>
        <v>6.6560014399462252E-3</v>
      </c>
      <c r="X364">
        <f t="shared" si="118"/>
        <v>0.214829477461701</v>
      </c>
      <c r="Y364">
        <f t="shared" si="119"/>
        <v>5.6247899492503314E-4</v>
      </c>
      <c r="Z364">
        <f t="shared" si="120"/>
        <v>2.624901976316821E-3</v>
      </c>
      <c r="AA364">
        <f t="shared" si="121"/>
        <v>9.0376500002578006E-2</v>
      </c>
      <c r="AB364">
        <f t="shared" si="122"/>
        <v>2.4955411821339792E-2</v>
      </c>
      <c r="AC364">
        <f t="shared" si="123"/>
        <v>1.9108911401589844E-2</v>
      </c>
      <c r="AD364">
        <f t="shared" si="124"/>
        <v>3.2623781705651924E-3</v>
      </c>
      <c r="AE364">
        <f t="shared" si="125"/>
        <v>8.1868817711338582E-3</v>
      </c>
      <c r="AG364">
        <f t="shared" si="126"/>
        <v>0.46733611709004702</v>
      </c>
      <c r="AH364">
        <f t="shared" si="127"/>
        <v>0.30204465801980201</v>
      </c>
      <c r="AI364">
        <f t="shared" si="128"/>
        <v>0.27966864057793434</v>
      </c>
      <c r="AK364" s="26">
        <f t="shared" si="129"/>
        <v>5.6004508284024701E-2</v>
      </c>
      <c r="AL364" s="26">
        <f t="shared" si="130"/>
        <v>4.8729899436557311E-2</v>
      </c>
      <c r="AM364" s="26">
        <f t="shared" si="131"/>
        <v>5.1794148239372673E-2</v>
      </c>
      <c r="AN364" s="26">
        <f t="shared" si="132"/>
        <v>15.401111111111135</v>
      </c>
      <c r="AO364" s="26">
        <f t="shared" si="133"/>
        <v>15.531904044750476</v>
      </c>
      <c r="AP364" s="26">
        <f t="shared" si="134"/>
        <v>16.514266957275332</v>
      </c>
      <c r="AS364" s="2">
        <v>45116</v>
      </c>
      <c r="AT364">
        <v>15.2</v>
      </c>
      <c r="AU364">
        <v>541.4</v>
      </c>
      <c r="AV364">
        <v>32.1</v>
      </c>
      <c r="AW364">
        <v>5.0999999999999996</v>
      </c>
      <c r="AX364">
        <v>332.85</v>
      </c>
      <c r="AY364">
        <v>0.5</v>
      </c>
      <c r="AZ364">
        <v>3.2</v>
      </c>
      <c r="BA364">
        <v>158.59379999999999</v>
      </c>
      <c r="BB364">
        <v>16.57</v>
      </c>
      <c r="BC364">
        <v>45.269300000000001</v>
      </c>
      <c r="BD364">
        <v>3.48</v>
      </c>
      <c r="BE364">
        <v>16.2943</v>
      </c>
      <c r="BH364">
        <v>79.849999999999994</v>
      </c>
    </row>
    <row r="365" spans="1:60" x14ac:dyDescent="0.25">
      <c r="A365" s="2">
        <v>45136</v>
      </c>
      <c r="B365">
        <v>18.2</v>
      </c>
      <c r="C365">
        <v>144.19999999999999</v>
      </c>
      <c r="D365">
        <v>27.6</v>
      </c>
      <c r="E365">
        <v>6</v>
      </c>
      <c r="F365">
        <v>209.27</v>
      </c>
      <c r="G365">
        <v>0.7</v>
      </c>
      <c r="H365">
        <v>2.8</v>
      </c>
      <c r="I365">
        <v>106.4903</v>
      </c>
      <c r="J365">
        <v>22.455100000000002</v>
      </c>
      <c r="K365">
        <v>36.622100000000003</v>
      </c>
      <c r="L365">
        <v>3.48</v>
      </c>
      <c r="M365">
        <v>19.538799999999998</v>
      </c>
      <c r="P365">
        <v>85.4</v>
      </c>
      <c r="S365">
        <f t="shared" si="113"/>
        <v>597.35630000000015</v>
      </c>
      <c r="T365">
        <f t="shared" si="114"/>
        <v>1.7061862846059338E-2</v>
      </c>
      <c r="U365">
        <f t="shared" si="115"/>
        <v>0.13518245178031629</v>
      </c>
      <c r="V365">
        <f t="shared" si="116"/>
        <v>2.5874033766551525E-2</v>
      </c>
      <c r="W365">
        <f t="shared" si="117"/>
        <v>5.6247899492503318E-3</v>
      </c>
      <c r="X365">
        <f t="shared" si="118"/>
        <v>0.19618329877993615</v>
      </c>
      <c r="Y365">
        <f t="shared" si="119"/>
        <v>6.5622549407920526E-4</v>
      </c>
      <c r="Z365">
        <f t="shared" si="120"/>
        <v>2.624901976316821E-3</v>
      </c>
      <c r="AA365">
        <f t="shared" si="121"/>
        <v>9.9830928188775439E-2</v>
      </c>
      <c r="AB365">
        <f t="shared" si="122"/>
        <v>2.1050870131568523E-2</v>
      </c>
      <c r="AC365">
        <f t="shared" si="123"/>
        <v>3.4331936666740094E-2</v>
      </c>
      <c r="AD365">
        <f t="shared" si="124"/>
        <v>3.2623781705651924E-3</v>
      </c>
      <c r="AE365">
        <f t="shared" si="125"/>
        <v>1.8316940976735394E-2</v>
      </c>
      <c r="AG365">
        <f t="shared" si="126"/>
        <v>0.45076090496010507</v>
      </c>
      <c r="AH365">
        <f t="shared" si="127"/>
        <v>0.40152450556924513</v>
      </c>
      <c r="AI365">
        <f t="shared" si="128"/>
        <v>0.90670791527782379</v>
      </c>
      <c r="AK365" s="26">
        <f t="shared" si="129"/>
        <v>8.7816385785414619E-2</v>
      </c>
      <c r="AL365" s="26">
        <f t="shared" si="130"/>
        <v>5.1626715715330007E-2</v>
      </c>
      <c r="AM365" s="26">
        <f t="shared" si="131"/>
        <v>5.3434387119970561E-2</v>
      </c>
      <c r="AN365" s="26">
        <f t="shared" si="132"/>
        <v>15.378571428571433</v>
      </c>
      <c r="AO365" s="26">
        <f t="shared" si="133"/>
        <v>15.546200516351142</v>
      </c>
      <c r="AP365" s="26">
        <f t="shared" si="134"/>
        <v>16.536921824531959</v>
      </c>
      <c r="AS365" s="2">
        <v>45115</v>
      </c>
      <c r="AT365">
        <v>15.9</v>
      </c>
      <c r="AU365">
        <v>235.4</v>
      </c>
      <c r="AV365">
        <v>37.200000000000003</v>
      </c>
      <c r="AW365">
        <v>5.8</v>
      </c>
      <c r="AX365">
        <v>343.45</v>
      </c>
      <c r="AY365">
        <v>0.5</v>
      </c>
      <c r="AZ365">
        <v>3.3</v>
      </c>
      <c r="BA365">
        <v>156.71250000000001</v>
      </c>
      <c r="BB365">
        <v>16.0625</v>
      </c>
      <c r="BC365">
        <v>35.278599999999997</v>
      </c>
      <c r="BD365">
        <v>3.48</v>
      </c>
      <c r="BE365">
        <v>12.2926</v>
      </c>
      <c r="BH365">
        <v>79.5</v>
      </c>
    </row>
    <row r="366" spans="1:60" x14ac:dyDescent="0.25">
      <c r="A366" s="2">
        <v>45135</v>
      </c>
      <c r="B366">
        <v>18.100000000000001</v>
      </c>
      <c r="C366">
        <v>281.39999999999998</v>
      </c>
      <c r="D366">
        <v>2.8</v>
      </c>
      <c r="E366">
        <v>6.5</v>
      </c>
      <c r="F366">
        <v>184.73</v>
      </c>
      <c r="G366">
        <v>0.7</v>
      </c>
      <c r="H366">
        <v>2.8</v>
      </c>
      <c r="I366">
        <v>157.47730000000001</v>
      </c>
      <c r="J366">
        <v>22.255500000000001</v>
      </c>
      <c r="K366">
        <v>76.834400000000002</v>
      </c>
      <c r="L366">
        <v>3.48</v>
      </c>
      <c r="M366">
        <v>23.352799999999998</v>
      </c>
      <c r="N366">
        <v>-12.0839</v>
      </c>
      <c r="O366">
        <v>-41.517400000000002</v>
      </c>
      <c r="P366">
        <v>85.03</v>
      </c>
      <c r="S366">
        <f t="shared" si="113"/>
        <v>780.43</v>
      </c>
      <c r="T366">
        <f t="shared" si="114"/>
        <v>1.696811634690517E-2</v>
      </c>
      <c r="U366">
        <f t="shared" si="115"/>
        <v>0.26380264861984054</v>
      </c>
      <c r="V366">
        <f t="shared" si="116"/>
        <v>2.624901976316821E-3</v>
      </c>
      <c r="W366">
        <f t="shared" si="117"/>
        <v>6.0935224450211923E-3</v>
      </c>
      <c r="X366">
        <f t="shared" si="118"/>
        <v>0.17317790788750229</v>
      </c>
      <c r="Y366">
        <f t="shared" si="119"/>
        <v>6.5622549407920526E-4</v>
      </c>
      <c r="Z366">
        <f t="shared" si="120"/>
        <v>2.624901976316821E-3</v>
      </c>
      <c r="AA366">
        <f t="shared" si="121"/>
        <v>0.14762945571251321</v>
      </c>
      <c r="AB366">
        <f t="shared" si="122"/>
        <v>2.0863752119256795E-2</v>
      </c>
      <c r="AC366">
        <f t="shared" si="123"/>
        <v>7.2029560146113281E-2</v>
      </c>
      <c r="AD366">
        <f t="shared" si="124"/>
        <v>3.2623781705651924E-3</v>
      </c>
      <c r="AE366">
        <f t="shared" si="125"/>
        <v>2.1892432454475523E-2</v>
      </c>
      <c r="AG366">
        <f t="shared" si="126"/>
        <v>0.43514737893674382</v>
      </c>
      <c r="AH366">
        <f t="shared" si="127"/>
        <v>0.48784065720045755</v>
      </c>
      <c r="AI366">
        <f t="shared" si="128"/>
        <v>1.4542777204713313</v>
      </c>
      <c r="AK366" s="26">
        <f t="shared" si="129"/>
        <v>0.10114274527203465</v>
      </c>
      <c r="AL366" s="26">
        <f t="shared" si="130"/>
        <v>5.0969199472335247E-2</v>
      </c>
      <c r="AM366" s="26">
        <f t="shared" si="131"/>
        <v>5.3497367375027582E-2</v>
      </c>
      <c r="AN366" s="26">
        <f t="shared" si="132"/>
        <v>15.353333333333325</v>
      </c>
      <c r="AO366" s="26">
        <f t="shared" si="133"/>
        <v>15.561873924268518</v>
      </c>
      <c r="AP366" s="26">
        <f t="shared" si="134"/>
        <v>16.559769701425964</v>
      </c>
      <c r="AS366" s="2">
        <v>45114</v>
      </c>
      <c r="AT366">
        <v>17.7</v>
      </c>
      <c r="AU366">
        <v>196.3</v>
      </c>
      <c r="AV366">
        <v>7.4</v>
      </c>
      <c r="AW366">
        <v>2</v>
      </c>
      <c r="AX366">
        <v>371.36</v>
      </c>
      <c r="AY366">
        <v>0.6</v>
      </c>
      <c r="AZ366">
        <v>3.2</v>
      </c>
      <c r="BA366">
        <v>207.8092</v>
      </c>
      <c r="BB366">
        <v>37.781999999999996</v>
      </c>
      <c r="BC366">
        <v>78.990899999999996</v>
      </c>
      <c r="BD366">
        <v>3.5003000000000002</v>
      </c>
      <c r="BE366">
        <v>21.665800000000001</v>
      </c>
      <c r="BF366">
        <v>-10.800700000000001</v>
      </c>
      <c r="BG366">
        <v>-25.816800000000001</v>
      </c>
      <c r="BH366">
        <v>79.14</v>
      </c>
    </row>
    <row r="367" spans="1:60" x14ac:dyDescent="0.25">
      <c r="A367" s="2">
        <v>45134</v>
      </c>
      <c r="B367">
        <v>19.7</v>
      </c>
      <c r="C367">
        <v>64.5</v>
      </c>
      <c r="D367">
        <v>20.2</v>
      </c>
      <c r="E367">
        <v>8.5</v>
      </c>
      <c r="F367">
        <v>135.91999999999999</v>
      </c>
      <c r="G367">
        <v>0.8</v>
      </c>
      <c r="H367">
        <v>3.1</v>
      </c>
      <c r="I367">
        <v>149.75030000000001</v>
      </c>
      <c r="J367">
        <v>27.439599999999999</v>
      </c>
      <c r="K367">
        <v>50.569699999999997</v>
      </c>
      <c r="L367">
        <v>3.48</v>
      </c>
      <c r="M367">
        <v>20.360700000000001</v>
      </c>
      <c r="N367">
        <v>-14.7925</v>
      </c>
      <c r="O367">
        <v>-42.725499999999997</v>
      </c>
      <c r="P367">
        <v>84.78</v>
      </c>
      <c r="S367">
        <f t="shared" si="113"/>
        <v>504.32030000000003</v>
      </c>
      <c r="T367">
        <f t="shared" si="114"/>
        <v>1.8468060333371922E-2</v>
      </c>
      <c r="U367">
        <f t="shared" si="115"/>
        <v>6.0466491954441065E-2</v>
      </c>
      <c r="V367">
        <f t="shared" si="116"/>
        <v>1.8936792829142783E-2</v>
      </c>
      <c r="W367">
        <f t="shared" si="117"/>
        <v>7.9684524281046359E-3</v>
      </c>
      <c r="X367">
        <f t="shared" si="118"/>
        <v>0.12742024165035082</v>
      </c>
      <c r="Y367">
        <f t="shared" si="119"/>
        <v>7.4997199323337759E-4</v>
      </c>
      <c r="Z367">
        <f t="shared" si="120"/>
        <v>2.9061414737793379E-3</v>
      </c>
      <c r="AA367">
        <f t="shared" si="121"/>
        <v>0.14038566372287034</v>
      </c>
      <c r="AB367">
        <f t="shared" si="122"/>
        <v>2.5723664381908231E-2</v>
      </c>
      <c r="AC367">
        <f t="shared" si="123"/>
        <v>4.7407323382767409E-2</v>
      </c>
      <c r="AD367">
        <f t="shared" si="124"/>
        <v>3.2623781705651924E-3</v>
      </c>
      <c r="AE367">
        <f t="shared" si="125"/>
        <v>1.9087443453283538E-2</v>
      </c>
      <c r="AG367">
        <f t="shared" si="126"/>
        <v>0.42529176297114996</v>
      </c>
      <c r="AH367">
        <f t="shared" si="127"/>
        <v>0.2560035961157075</v>
      </c>
      <c r="AI367">
        <f t="shared" si="128"/>
        <v>-3.8417736458771288E-3</v>
      </c>
      <c r="AK367" s="26">
        <f t="shared" si="129"/>
        <v>0.10136585747590288</v>
      </c>
      <c r="AL367" s="26">
        <f t="shared" si="130"/>
        <v>5.1370493564338204E-2</v>
      </c>
      <c r="AM367" s="26">
        <f t="shared" si="131"/>
        <v>5.3005645229878773E-2</v>
      </c>
      <c r="AN367" s="26">
        <f t="shared" si="132"/>
        <v>15.325873015873043</v>
      </c>
      <c r="AO367" s="26">
        <f t="shared" si="133"/>
        <v>15.579167383821009</v>
      </c>
      <c r="AP367" s="26">
        <f t="shared" si="134"/>
        <v>16.584048475617799</v>
      </c>
      <c r="AS367" s="2">
        <v>45113</v>
      </c>
      <c r="AT367">
        <v>18.2</v>
      </c>
      <c r="AU367">
        <v>466.5</v>
      </c>
      <c r="AV367">
        <v>34.6</v>
      </c>
      <c r="AW367">
        <v>8</v>
      </c>
      <c r="AX367">
        <v>313.49</v>
      </c>
      <c r="AY367">
        <v>0.7</v>
      </c>
      <c r="AZ367">
        <v>3.3</v>
      </c>
      <c r="BA367">
        <v>205.23060000000001</v>
      </c>
      <c r="BB367">
        <v>54.886299999999999</v>
      </c>
      <c r="BC367">
        <v>83.446899999999999</v>
      </c>
      <c r="BD367">
        <v>3.4889999999999999</v>
      </c>
      <c r="BE367">
        <v>16.066500000000001</v>
      </c>
      <c r="BF367">
        <v>-8.0264000000000006</v>
      </c>
      <c r="BG367">
        <v>-26.393699999999999</v>
      </c>
      <c r="BH367">
        <v>78.849999999999994</v>
      </c>
    </row>
    <row r="368" spans="1:60" x14ac:dyDescent="0.25">
      <c r="A368" s="2">
        <v>45133</v>
      </c>
      <c r="B368">
        <v>20.8</v>
      </c>
      <c r="C368">
        <v>69.599999999999994</v>
      </c>
      <c r="D368">
        <v>37.799999999999997</v>
      </c>
      <c r="E368">
        <v>9</v>
      </c>
      <c r="F368">
        <v>229.86</v>
      </c>
      <c r="G368">
        <v>0.8</v>
      </c>
      <c r="H368">
        <v>3.2</v>
      </c>
      <c r="I368">
        <v>138.1687</v>
      </c>
      <c r="J368">
        <v>41.1</v>
      </c>
      <c r="K368">
        <v>71.696100000000001</v>
      </c>
      <c r="L368">
        <v>3.48</v>
      </c>
      <c r="M368">
        <v>13.944900000000001</v>
      </c>
      <c r="N368">
        <v>-12.443899999999999</v>
      </c>
      <c r="O368">
        <v>-38.694099999999999</v>
      </c>
      <c r="P368">
        <v>84.51</v>
      </c>
      <c r="S368">
        <f t="shared" si="113"/>
        <v>639.44970000000001</v>
      </c>
      <c r="T368">
        <f t="shared" si="114"/>
        <v>1.9499271824067816E-2</v>
      </c>
      <c r="U368">
        <f t="shared" si="115"/>
        <v>6.5247563411303833E-2</v>
      </c>
      <c r="V368">
        <f t="shared" si="116"/>
        <v>3.5436176680277084E-2</v>
      </c>
      <c r="W368">
        <f t="shared" si="117"/>
        <v>8.4371849238754973E-3</v>
      </c>
      <c r="X368">
        <f t="shared" si="118"/>
        <v>0.21548570295578021</v>
      </c>
      <c r="Y368">
        <f t="shared" si="119"/>
        <v>7.4997199323337759E-4</v>
      </c>
      <c r="Z368">
        <f t="shared" si="120"/>
        <v>2.9998879729335104E-3</v>
      </c>
      <c r="AA368">
        <f t="shared" si="121"/>
        <v>0.12952831917683072</v>
      </c>
      <c r="AB368">
        <f t="shared" si="122"/>
        <v>3.8529811152364771E-2</v>
      </c>
      <c r="AC368">
        <f t="shared" si="123"/>
        <v>6.7212583780074456E-2</v>
      </c>
      <c r="AD368">
        <f t="shared" si="124"/>
        <v>3.2623781705651924E-3</v>
      </c>
      <c r="AE368">
        <f t="shared" si="125"/>
        <v>1.3072855560550158E-2</v>
      </c>
      <c r="AG368">
        <f t="shared" si="126"/>
        <v>0.41448716884606335</v>
      </c>
      <c r="AH368">
        <f t="shared" si="127"/>
        <v>0.36092861532202147</v>
      </c>
      <c r="AI368">
        <f t="shared" si="128"/>
        <v>0.65517936835995483</v>
      </c>
      <c r="AK368" s="26">
        <f t="shared" si="129"/>
        <v>0.12595231432540488</v>
      </c>
      <c r="AL368" s="26">
        <f t="shared" si="130"/>
        <v>6.0506439378855303E-2</v>
      </c>
      <c r="AM368" s="26">
        <f t="shared" si="131"/>
        <v>5.5460962977212147E-2</v>
      </c>
      <c r="AN368" s="26">
        <f t="shared" si="132"/>
        <v>15.295873015873013</v>
      </c>
      <c r="AO368" s="26">
        <f t="shared" si="133"/>
        <v>15.594862306368313</v>
      </c>
      <c r="AP368" s="26">
        <f t="shared" si="134"/>
        <v>16.608487959875028</v>
      </c>
      <c r="AS368" s="2">
        <v>45112</v>
      </c>
      <c r="AT368">
        <v>17</v>
      </c>
      <c r="AU368">
        <v>339.2</v>
      </c>
      <c r="AV368">
        <v>52.1</v>
      </c>
      <c r="AW368">
        <v>18.600000000000001</v>
      </c>
      <c r="AX368">
        <v>243.04</v>
      </c>
      <c r="AY368">
        <v>0.7</v>
      </c>
      <c r="AZ368">
        <v>3</v>
      </c>
      <c r="BA368">
        <v>146.1944</v>
      </c>
      <c r="BB368">
        <v>48.978499999999997</v>
      </c>
      <c r="BC368">
        <v>38.921599999999998</v>
      </c>
      <c r="BD368">
        <v>3.335</v>
      </c>
      <c r="BE368">
        <v>13.9892</v>
      </c>
      <c r="BF368">
        <v>-6.3217999999999996</v>
      </c>
      <c r="BG368">
        <v>-22.906400000000001</v>
      </c>
      <c r="BH368">
        <v>78.599999999999994</v>
      </c>
    </row>
    <row r="369" spans="1:60" x14ac:dyDescent="0.25">
      <c r="A369" s="2">
        <v>45132</v>
      </c>
      <c r="B369">
        <v>18.100000000000001</v>
      </c>
      <c r="C369">
        <v>157.30000000000001</v>
      </c>
      <c r="D369">
        <v>43.8</v>
      </c>
      <c r="E369">
        <v>7.3</v>
      </c>
      <c r="F369">
        <v>183.9</v>
      </c>
      <c r="G369">
        <v>0.8</v>
      </c>
      <c r="H369">
        <v>3.1</v>
      </c>
      <c r="I369">
        <v>151.09549999999999</v>
      </c>
      <c r="J369">
        <v>32.477600000000002</v>
      </c>
      <c r="K369">
        <v>101.50109999999999</v>
      </c>
      <c r="L369">
        <v>3.48</v>
      </c>
      <c r="M369">
        <v>20.245799999999999</v>
      </c>
      <c r="N369">
        <v>-14.6249</v>
      </c>
      <c r="O369">
        <v>-35.560600000000001</v>
      </c>
      <c r="P369">
        <v>84.25</v>
      </c>
      <c r="S369">
        <f t="shared" si="113"/>
        <v>723.1</v>
      </c>
      <c r="T369">
        <f t="shared" si="114"/>
        <v>1.696811634690517E-2</v>
      </c>
      <c r="U369">
        <f t="shared" si="115"/>
        <v>0.14746324316951287</v>
      </c>
      <c r="V369">
        <f t="shared" si="116"/>
        <v>4.1060966629527414E-2</v>
      </c>
      <c r="W369">
        <f t="shared" si="117"/>
        <v>6.8434944382545701E-3</v>
      </c>
      <c r="X369">
        <f t="shared" si="118"/>
        <v>0.17239981194452267</v>
      </c>
      <c r="Y369">
        <f t="shared" si="119"/>
        <v>7.4997199323337759E-4</v>
      </c>
      <c r="Z369">
        <f t="shared" si="120"/>
        <v>2.9061414737793379E-3</v>
      </c>
      <c r="AA369">
        <f t="shared" si="121"/>
        <v>0.14164674162949223</v>
      </c>
      <c r="AB369">
        <f t="shared" si="122"/>
        <v>3.044661300929543E-2</v>
      </c>
      <c r="AC369">
        <f t="shared" si="123"/>
        <v>9.5153727852975462E-2</v>
      </c>
      <c r="AD369">
        <f t="shared" si="124"/>
        <v>3.2623781705651924E-3</v>
      </c>
      <c r="AE369">
        <f t="shared" si="125"/>
        <v>1.8979728725755391E-2</v>
      </c>
      <c r="AG369">
        <f t="shared" si="126"/>
        <v>0.40417298771120075</v>
      </c>
      <c r="AH369">
        <f t="shared" si="127"/>
        <v>0.40737147472149077</v>
      </c>
      <c r="AI369">
        <f t="shared" si="128"/>
        <v>0.94833623675813938</v>
      </c>
      <c r="AK369" s="26">
        <f t="shared" si="129"/>
        <v>0.13532995520055707</v>
      </c>
      <c r="AL369" s="26">
        <f t="shared" si="130"/>
        <v>6.3606658453371101E-2</v>
      </c>
      <c r="AM369" s="26">
        <f t="shared" si="131"/>
        <v>5.6391526012304238E-2</v>
      </c>
      <c r="AN369" s="26">
        <f t="shared" si="132"/>
        <v>15.268412698412689</v>
      </c>
      <c r="AO369" s="26">
        <f t="shared" si="133"/>
        <v>15.611637263339055</v>
      </c>
      <c r="AP369" s="26">
        <f t="shared" si="134"/>
        <v>16.636141382841885</v>
      </c>
      <c r="AS369" s="2">
        <v>45111</v>
      </c>
      <c r="AT369">
        <v>16.3</v>
      </c>
      <c r="AU369">
        <v>431.1</v>
      </c>
      <c r="AV369">
        <v>54.9</v>
      </c>
      <c r="AW369">
        <v>15.3</v>
      </c>
      <c r="AX369">
        <v>293.27999999999997</v>
      </c>
      <c r="AY369">
        <v>0.7</v>
      </c>
      <c r="AZ369">
        <v>3</v>
      </c>
      <c r="BA369">
        <v>136.60839999999999</v>
      </c>
      <c r="BB369">
        <v>56.535899999999998</v>
      </c>
      <c r="BC369">
        <v>46.616300000000003</v>
      </c>
      <c r="BD369">
        <v>3.8062</v>
      </c>
      <c r="BE369">
        <v>16.64</v>
      </c>
      <c r="BF369">
        <v>-8.0663999999999998</v>
      </c>
      <c r="BG369">
        <v>-21.226900000000001</v>
      </c>
      <c r="BH369">
        <v>78.319999999999993</v>
      </c>
    </row>
    <row r="370" spans="1:60" x14ac:dyDescent="0.25">
      <c r="A370" s="2">
        <v>45131</v>
      </c>
      <c r="B370">
        <v>14.3</v>
      </c>
      <c r="C370">
        <v>214.7</v>
      </c>
      <c r="D370">
        <v>30.1</v>
      </c>
      <c r="E370">
        <v>10.7</v>
      </c>
      <c r="F370">
        <v>188.56</v>
      </c>
      <c r="G370">
        <v>0.7</v>
      </c>
      <c r="H370">
        <v>3.1</v>
      </c>
      <c r="I370">
        <v>129.4502</v>
      </c>
      <c r="J370">
        <v>37.102800000000002</v>
      </c>
      <c r="K370">
        <v>72.334199999999996</v>
      </c>
      <c r="L370">
        <v>3.48</v>
      </c>
      <c r="M370">
        <v>24.8704</v>
      </c>
      <c r="N370">
        <v>-11.6441</v>
      </c>
      <c r="O370">
        <v>-35.635199999999998</v>
      </c>
      <c r="P370">
        <v>84</v>
      </c>
      <c r="S370">
        <f t="shared" si="113"/>
        <v>729.39760000000012</v>
      </c>
      <c r="T370">
        <f t="shared" si="114"/>
        <v>1.3405749379046624E-2</v>
      </c>
      <c r="U370">
        <f t="shared" si="115"/>
        <v>0.20127373368400769</v>
      </c>
      <c r="V370">
        <f t="shared" si="116"/>
        <v>2.8217696245405832E-2</v>
      </c>
      <c r="W370">
        <f t="shared" si="117"/>
        <v>1.0030875409496424E-2</v>
      </c>
      <c r="X370">
        <f t="shared" si="118"/>
        <v>0.17676839880510709</v>
      </c>
      <c r="Y370">
        <f t="shared" si="119"/>
        <v>6.5622549407920526E-4</v>
      </c>
      <c r="Z370">
        <f t="shared" si="120"/>
        <v>2.9061414737793379E-3</v>
      </c>
      <c r="AA370">
        <f t="shared" si="121"/>
        <v>0.12135503064807421</v>
      </c>
      <c r="AB370">
        <f t="shared" si="122"/>
        <v>3.47825760881742E-2</v>
      </c>
      <c r="AC370">
        <f t="shared" si="123"/>
        <v>6.7810780191177214E-2</v>
      </c>
      <c r="AD370">
        <f t="shared" si="124"/>
        <v>3.2623781705651924E-3</v>
      </c>
      <c r="AE370">
        <f t="shared" si="125"/>
        <v>2.3315129325639242E-2</v>
      </c>
      <c r="AG370">
        <f t="shared" si="126"/>
        <v>0.3943533288737826</v>
      </c>
      <c r="AH370">
        <f t="shared" si="127"/>
        <v>0.45657394981656141</v>
      </c>
      <c r="AI370">
        <f t="shared" si="128"/>
        <v>1.2603606764707889</v>
      </c>
      <c r="AK370" s="26">
        <f t="shared" si="129"/>
        <v>0.15423223890173338</v>
      </c>
      <c r="AL370" s="26">
        <f t="shared" si="130"/>
        <v>6.763190352073728E-2</v>
      </c>
      <c r="AM370" s="26">
        <f t="shared" si="131"/>
        <v>5.8067454392656925E-2</v>
      </c>
      <c r="AN370" s="26">
        <f t="shared" si="132"/>
        <v>15.245555555555555</v>
      </c>
      <c r="AO370" s="26">
        <f t="shared" si="133"/>
        <v>15.633588640275377</v>
      </c>
      <c r="AP370" s="26">
        <f t="shared" si="134"/>
        <v>16.663625955200779</v>
      </c>
      <c r="AS370" s="2">
        <v>45110</v>
      </c>
      <c r="AT370">
        <v>15.8</v>
      </c>
      <c r="AU370">
        <v>131.5</v>
      </c>
      <c r="AV370">
        <v>65.7</v>
      </c>
      <c r="AW370">
        <v>15.7</v>
      </c>
      <c r="AX370">
        <v>243.31</v>
      </c>
      <c r="AY370">
        <v>0.7</v>
      </c>
      <c r="AZ370">
        <v>2.9</v>
      </c>
      <c r="BA370">
        <v>100.67959999999999</v>
      </c>
      <c r="BB370">
        <v>53.040100000000002</v>
      </c>
      <c r="BC370">
        <v>48.887700000000002</v>
      </c>
      <c r="BD370">
        <v>3.6667999999999998</v>
      </c>
      <c r="BE370">
        <v>22.385300000000001</v>
      </c>
      <c r="BF370">
        <v>-5.4444999999999997</v>
      </c>
      <c r="BG370">
        <v>-22.243600000000001</v>
      </c>
      <c r="BH370">
        <v>78.11</v>
      </c>
    </row>
    <row r="371" spans="1:60" x14ac:dyDescent="0.25">
      <c r="A371" s="2">
        <v>45130</v>
      </c>
      <c r="B371">
        <v>14.4</v>
      </c>
      <c r="C371">
        <v>56.9</v>
      </c>
      <c r="D371">
        <v>56.9</v>
      </c>
      <c r="E371">
        <v>10</v>
      </c>
      <c r="F371">
        <v>234.46</v>
      </c>
      <c r="G371">
        <v>0.6</v>
      </c>
      <c r="H371">
        <v>2.5</v>
      </c>
      <c r="I371">
        <v>94.973399999999998</v>
      </c>
      <c r="J371">
        <v>30.050799999999999</v>
      </c>
      <c r="K371">
        <v>26.456</v>
      </c>
      <c r="L371">
        <v>2.8748</v>
      </c>
      <c r="M371">
        <v>10.016299999999999</v>
      </c>
      <c r="P371">
        <v>83.74</v>
      </c>
      <c r="S371">
        <f t="shared" si="113"/>
        <v>540.13130000000001</v>
      </c>
      <c r="T371">
        <f t="shared" si="114"/>
        <v>1.3499495878200795E-2</v>
      </c>
      <c r="U371">
        <f t="shared" si="115"/>
        <v>5.3341758018723977E-2</v>
      </c>
      <c r="V371">
        <f t="shared" si="116"/>
        <v>5.3341758018723977E-2</v>
      </c>
      <c r="W371">
        <f t="shared" si="117"/>
        <v>9.3746499154172182E-3</v>
      </c>
      <c r="X371">
        <f t="shared" si="118"/>
        <v>0.21979804191687213</v>
      </c>
      <c r="Y371">
        <f t="shared" si="119"/>
        <v>5.6247899492503314E-4</v>
      </c>
      <c r="Z371">
        <f t="shared" si="120"/>
        <v>2.3436624788543046E-3</v>
      </c>
      <c r="AA371">
        <f t="shared" si="121"/>
        <v>8.903423762768857E-2</v>
      </c>
      <c r="AB371">
        <f t="shared" si="122"/>
        <v>2.8171572967821974E-2</v>
      </c>
      <c r="AC371">
        <f t="shared" si="123"/>
        <v>2.4801573816227794E-2</v>
      </c>
      <c r="AD371">
        <f t="shared" si="124"/>
        <v>2.6950243576841421E-3</v>
      </c>
      <c r="AE371">
        <f t="shared" si="125"/>
        <v>9.3899305947793485E-3</v>
      </c>
      <c r="AG371">
        <f t="shared" si="126"/>
        <v>0.38407097711711918</v>
      </c>
      <c r="AH371">
        <f t="shared" si="127"/>
        <v>0.36165177581649677</v>
      </c>
      <c r="AI371">
        <f t="shared" si="128"/>
        <v>0.66360028771119428</v>
      </c>
      <c r="AK371" s="26">
        <f t="shared" si="129"/>
        <v>0.15821680141275102</v>
      </c>
      <c r="AL371" s="26">
        <f t="shared" si="130"/>
        <v>6.9301610295475546E-2</v>
      </c>
      <c r="AM371" s="26">
        <f t="shared" si="131"/>
        <v>5.7804115727786765E-2</v>
      </c>
      <c r="AN371" s="26">
        <f t="shared" si="132"/>
        <v>15.22809523809525</v>
      </c>
      <c r="AO371" s="26">
        <f t="shared" si="133"/>
        <v>15.652291308089488</v>
      </c>
      <c r="AP371" s="26">
        <f t="shared" si="134"/>
        <v>16.691153068459364</v>
      </c>
      <c r="AS371" s="2">
        <v>45109</v>
      </c>
      <c r="AT371">
        <v>16.2</v>
      </c>
      <c r="AU371">
        <v>21.5</v>
      </c>
      <c r="AV371">
        <v>53.4</v>
      </c>
      <c r="AW371">
        <v>11.2</v>
      </c>
      <c r="AX371">
        <v>261.68</v>
      </c>
      <c r="AY371">
        <v>0.4</v>
      </c>
      <c r="AZ371">
        <v>2.2999999999999998</v>
      </c>
      <c r="BA371">
        <v>79.419700000000006</v>
      </c>
      <c r="BB371">
        <v>22.014700000000001</v>
      </c>
      <c r="BC371">
        <v>30.554300000000001</v>
      </c>
      <c r="BD371">
        <v>3.48</v>
      </c>
      <c r="BE371">
        <v>12.385899999999999</v>
      </c>
      <c r="BH371">
        <v>77.849999999999994</v>
      </c>
    </row>
    <row r="372" spans="1:60" x14ac:dyDescent="0.25">
      <c r="A372" s="2">
        <v>45129</v>
      </c>
      <c r="B372">
        <v>16.3</v>
      </c>
      <c r="C372">
        <v>164.2</v>
      </c>
      <c r="D372">
        <v>26.3</v>
      </c>
      <c r="E372">
        <v>6.9</v>
      </c>
      <c r="F372">
        <v>265.44</v>
      </c>
      <c r="G372">
        <v>0.8</v>
      </c>
      <c r="H372">
        <v>2.7</v>
      </c>
      <c r="I372">
        <v>117.19199999999999</v>
      </c>
      <c r="J372">
        <v>28.423400000000001</v>
      </c>
      <c r="K372">
        <v>34.353400000000001</v>
      </c>
      <c r="L372">
        <v>3.48</v>
      </c>
      <c r="M372">
        <v>17.288</v>
      </c>
      <c r="P372">
        <v>83.37</v>
      </c>
      <c r="S372">
        <f t="shared" si="113"/>
        <v>683.3768</v>
      </c>
      <c r="T372">
        <f t="shared" si="114"/>
        <v>1.5280679362130067E-2</v>
      </c>
      <c r="U372">
        <f t="shared" si="115"/>
        <v>0.15393175161115072</v>
      </c>
      <c r="V372">
        <f t="shared" si="116"/>
        <v>2.4655329277547287E-2</v>
      </c>
      <c r="W372">
        <f t="shared" si="117"/>
        <v>6.4685084416378812E-3</v>
      </c>
      <c r="X372">
        <f t="shared" si="118"/>
        <v>0.24884070735483466</v>
      </c>
      <c r="Y372">
        <f t="shared" si="119"/>
        <v>7.4997199323337759E-4</v>
      </c>
      <c r="Z372">
        <f t="shared" si="120"/>
        <v>2.5311554771626494E-3</v>
      </c>
      <c r="AA372">
        <f t="shared" si="121"/>
        <v>0.10986339728875746</v>
      </c>
      <c r="AB372">
        <f t="shared" si="122"/>
        <v>2.6645942440586979E-2</v>
      </c>
      <c r="AC372">
        <f t="shared" si="123"/>
        <v>3.2205109840429388E-2</v>
      </c>
      <c r="AD372">
        <f t="shared" si="124"/>
        <v>3.2623781705651924E-3</v>
      </c>
      <c r="AE372">
        <f t="shared" si="125"/>
        <v>1.6206894773773288E-2</v>
      </c>
      <c r="AG372">
        <f t="shared" si="126"/>
        <v>0.36853760484326814</v>
      </c>
      <c r="AH372">
        <f t="shared" si="127"/>
        <v>0.46866499829146996</v>
      </c>
      <c r="AI372">
        <f t="shared" si="128"/>
        <v>1.3393740108439247</v>
      </c>
      <c r="AK372" s="26">
        <f t="shared" si="129"/>
        <v>0.16564158961950665</v>
      </c>
      <c r="AL372" s="26">
        <f t="shared" si="130"/>
        <v>7.3187623417276138E-2</v>
      </c>
      <c r="AM372" s="26">
        <f t="shared" si="131"/>
        <v>5.8101635780286709E-2</v>
      </c>
      <c r="AN372" s="26">
        <f t="shared" si="132"/>
        <v>15.211904761904748</v>
      </c>
      <c r="AO372" s="26">
        <f t="shared" si="133"/>
        <v>15.671850258175546</v>
      </c>
      <c r="AP372" s="26">
        <f t="shared" si="134"/>
        <v>16.719056484861234</v>
      </c>
      <c r="AS372" s="2">
        <v>45108</v>
      </c>
      <c r="AT372">
        <v>18.7</v>
      </c>
      <c r="AU372">
        <v>41.3</v>
      </c>
      <c r="AV372">
        <v>66.2</v>
      </c>
      <c r="AW372">
        <v>12.4</v>
      </c>
      <c r="AX372">
        <v>205.43</v>
      </c>
      <c r="AY372">
        <v>0.7</v>
      </c>
      <c r="AZ372">
        <v>2.7</v>
      </c>
      <c r="BA372">
        <v>92.601799999999997</v>
      </c>
      <c r="BB372">
        <v>20.014900000000001</v>
      </c>
      <c r="BC372">
        <v>24.357399999999998</v>
      </c>
      <c r="BD372">
        <v>3.3538999999999999</v>
      </c>
      <c r="BE372">
        <v>14.267300000000001</v>
      </c>
      <c r="BH372">
        <v>77.5</v>
      </c>
    </row>
    <row r="373" spans="1:60" x14ac:dyDescent="0.25">
      <c r="A373" s="2">
        <v>45128</v>
      </c>
      <c r="B373">
        <v>17.100000000000001</v>
      </c>
      <c r="C373">
        <v>219.1</v>
      </c>
      <c r="D373">
        <v>13.5</v>
      </c>
      <c r="E373">
        <v>2.2999999999999998</v>
      </c>
      <c r="F373">
        <v>200.81</v>
      </c>
      <c r="G373">
        <v>0.8</v>
      </c>
      <c r="H373">
        <v>2.9</v>
      </c>
      <c r="I373">
        <v>194.22130000000001</v>
      </c>
      <c r="J373">
        <v>36.722499999999997</v>
      </c>
      <c r="K373">
        <v>123.7186</v>
      </c>
      <c r="L373">
        <v>3.48</v>
      </c>
      <c r="M373">
        <v>21.0962</v>
      </c>
      <c r="N373">
        <v>-11.179</v>
      </c>
      <c r="O373">
        <v>-39.063800000000001</v>
      </c>
      <c r="P373">
        <v>83.02</v>
      </c>
      <c r="S373">
        <f t="shared" si="113"/>
        <v>835.74860000000001</v>
      </c>
      <c r="T373">
        <f t="shared" si="114"/>
        <v>1.6030651355363447E-2</v>
      </c>
      <c r="U373">
        <f t="shared" si="115"/>
        <v>0.20539857964679126</v>
      </c>
      <c r="V373">
        <f t="shared" si="116"/>
        <v>1.2655777385813246E-2</v>
      </c>
      <c r="W373">
        <f t="shared" si="117"/>
        <v>2.1561694805459601E-3</v>
      </c>
      <c r="X373">
        <f t="shared" si="118"/>
        <v>0.18825234495149318</v>
      </c>
      <c r="Y373">
        <f t="shared" si="119"/>
        <v>7.4997199323337759E-4</v>
      </c>
      <c r="Z373">
        <f t="shared" si="120"/>
        <v>2.7186484754709935E-3</v>
      </c>
      <c r="AA373">
        <f t="shared" si="121"/>
        <v>0.18207566936172226</v>
      </c>
      <c r="AB373">
        <f t="shared" si="122"/>
        <v>3.4426058151890877E-2</v>
      </c>
      <c r="AC373">
        <f t="shared" si="123"/>
        <v>0.11598185630255367</v>
      </c>
      <c r="AD373">
        <f t="shared" si="124"/>
        <v>3.2623781705651924E-3</v>
      </c>
      <c r="AE373">
        <f t="shared" si="125"/>
        <v>1.9776948954562473E-2</v>
      </c>
      <c r="AG373">
        <f t="shared" si="126"/>
        <v>0.35397311443003066</v>
      </c>
      <c r="AH373">
        <f t="shared" si="127"/>
        <v>0.44773909224327391</v>
      </c>
      <c r="AI373">
        <f t="shared" si="128"/>
        <v>1.2134105753890234</v>
      </c>
      <c r="AK373" s="26">
        <f t="shared" si="129"/>
        <v>0.15621941022901842</v>
      </c>
      <c r="AL373" s="26">
        <f t="shared" si="130"/>
        <v>7.4595673648438443E-2</v>
      </c>
      <c r="AM373" s="26">
        <f t="shared" si="131"/>
        <v>5.7586747036504127E-2</v>
      </c>
      <c r="AN373" s="26">
        <f t="shared" si="132"/>
        <v>15.201111111111103</v>
      </c>
      <c r="AO373" s="26">
        <f t="shared" si="133"/>
        <v>15.694180292598965</v>
      </c>
      <c r="AP373" s="26">
        <f t="shared" si="134"/>
        <v>16.74999789921484</v>
      </c>
      <c r="AS373" s="2">
        <v>45107</v>
      </c>
      <c r="AT373">
        <v>18</v>
      </c>
      <c r="AU373">
        <v>63.7</v>
      </c>
      <c r="AV373">
        <v>15.6</v>
      </c>
      <c r="AW373">
        <v>2.6</v>
      </c>
      <c r="AX373">
        <v>179.67</v>
      </c>
      <c r="AY373">
        <v>0.7</v>
      </c>
      <c r="AZ373">
        <v>3.1</v>
      </c>
      <c r="BA373">
        <v>268.89659999999998</v>
      </c>
      <c r="BB373">
        <v>64.163300000000007</v>
      </c>
      <c r="BC373">
        <v>82.910300000000007</v>
      </c>
      <c r="BD373">
        <v>3.202</v>
      </c>
      <c r="BE373">
        <v>18.715299999999999</v>
      </c>
      <c r="BF373">
        <v>-40.4392</v>
      </c>
      <c r="BG373">
        <v>-25.292899999999999</v>
      </c>
      <c r="BH373">
        <v>77.28</v>
      </c>
    </row>
    <row r="374" spans="1:60" x14ac:dyDescent="0.25">
      <c r="A374" s="2">
        <v>45127</v>
      </c>
      <c r="B374">
        <v>17.7</v>
      </c>
      <c r="C374">
        <v>249.7</v>
      </c>
      <c r="D374">
        <v>37.6</v>
      </c>
      <c r="E374">
        <v>6.1</v>
      </c>
      <c r="F374">
        <v>278.89</v>
      </c>
      <c r="G374">
        <v>0.8</v>
      </c>
      <c r="H374">
        <v>2.9</v>
      </c>
      <c r="I374">
        <v>187.20230000000001</v>
      </c>
      <c r="J374">
        <v>45.173400000000001</v>
      </c>
      <c r="K374">
        <v>107.35939999999999</v>
      </c>
      <c r="L374">
        <v>3.48</v>
      </c>
      <c r="M374">
        <v>20.359400000000001</v>
      </c>
      <c r="N374">
        <v>-9.7735000000000003</v>
      </c>
      <c r="O374">
        <v>-37.1053</v>
      </c>
      <c r="P374">
        <v>82.76</v>
      </c>
      <c r="S374">
        <f t="shared" si="113"/>
        <v>957.2645</v>
      </c>
      <c r="T374">
        <f t="shared" si="114"/>
        <v>1.6593130350288476E-2</v>
      </c>
      <c r="U374">
        <f t="shared" si="115"/>
        <v>0.23408500838796795</v>
      </c>
      <c r="V374">
        <f t="shared" si="116"/>
        <v>3.5248683681968748E-2</v>
      </c>
      <c r="W374">
        <f t="shared" si="117"/>
        <v>5.7185364484045034E-3</v>
      </c>
      <c r="X374">
        <f t="shared" si="118"/>
        <v>0.26144961149107082</v>
      </c>
      <c r="Y374">
        <f t="shared" si="119"/>
        <v>7.4997199323337759E-4</v>
      </c>
      <c r="Z374">
        <f t="shared" si="120"/>
        <v>2.7186484754709935E-3</v>
      </c>
      <c r="AA374">
        <f t="shared" si="121"/>
        <v>0.1754956025860909</v>
      </c>
      <c r="AB374">
        <f t="shared" si="122"/>
        <v>4.234848104891082E-2</v>
      </c>
      <c r="AC374">
        <f t="shared" si="123"/>
        <v>0.10064567901292433</v>
      </c>
      <c r="AD374">
        <f t="shared" si="124"/>
        <v>3.2623781705651924E-3</v>
      </c>
      <c r="AE374">
        <f t="shared" si="125"/>
        <v>1.9086224748794532E-2</v>
      </c>
      <c r="AG374">
        <f t="shared" si="126"/>
        <v>0.34372683689296596</v>
      </c>
      <c r="AH374">
        <f t="shared" si="127"/>
        <v>0.5756498155771993</v>
      </c>
      <c r="AI374">
        <f t="shared" si="128"/>
        <v>2.0303965565577085</v>
      </c>
      <c r="AK374" s="26">
        <f t="shared" si="129"/>
        <v>0.14926885877676949</v>
      </c>
      <c r="AL374" s="26">
        <f t="shared" si="130"/>
        <v>7.8441192376954572E-2</v>
      </c>
      <c r="AM374" s="26">
        <f t="shared" si="131"/>
        <v>5.7603040675826223E-2</v>
      </c>
      <c r="AN374" s="26">
        <f t="shared" si="132"/>
        <v>15.199365079365052</v>
      </c>
      <c r="AO374" s="26">
        <f t="shared" si="133"/>
        <v>15.717964716006897</v>
      </c>
      <c r="AP374" s="26">
        <f t="shared" si="134"/>
        <v>16.78001102912215</v>
      </c>
      <c r="AS374" s="2">
        <v>45106</v>
      </c>
      <c r="AT374">
        <v>19.5</v>
      </c>
      <c r="AU374">
        <v>146.6</v>
      </c>
      <c r="AV374">
        <v>21.3</v>
      </c>
      <c r="AW374">
        <v>1.7</v>
      </c>
      <c r="AX374">
        <v>255.02</v>
      </c>
      <c r="AY374">
        <v>0.3</v>
      </c>
      <c r="AZ374">
        <v>2.9</v>
      </c>
      <c r="BA374">
        <v>277.55380000000002</v>
      </c>
      <c r="BB374">
        <v>75.388300000000001</v>
      </c>
      <c r="BC374">
        <v>112.1747</v>
      </c>
      <c r="BD374">
        <v>3.4801000000000002</v>
      </c>
      <c r="BE374">
        <v>20.299499999999998</v>
      </c>
      <c r="BF374">
        <v>-11.928900000000001</v>
      </c>
      <c r="BG374">
        <v>-27.409099999999999</v>
      </c>
      <c r="BH374">
        <v>77.03</v>
      </c>
    </row>
    <row r="375" spans="1:60" x14ac:dyDescent="0.25">
      <c r="A375" s="2">
        <v>45126</v>
      </c>
      <c r="B375">
        <v>17.3</v>
      </c>
      <c r="C375">
        <v>169</v>
      </c>
      <c r="D375">
        <v>6.9</v>
      </c>
      <c r="E375">
        <v>2.8</v>
      </c>
      <c r="F375">
        <v>254.6</v>
      </c>
      <c r="G375">
        <v>0.7</v>
      </c>
      <c r="H375">
        <v>3.1</v>
      </c>
      <c r="I375">
        <v>206.33770000000001</v>
      </c>
      <c r="J375">
        <v>51.473399999999998</v>
      </c>
      <c r="K375">
        <v>118.3205</v>
      </c>
      <c r="L375">
        <v>3.335</v>
      </c>
      <c r="M375">
        <v>18.036300000000001</v>
      </c>
      <c r="N375">
        <v>-8.0760000000000005</v>
      </c>
      <c r="O375">
        <v>-34.674500000000002</v>
      </c>
      <c r="P375">
        <v>82.55</v>
      </c>
      <c r="S375">
        <f t="shared" si="113"/>
        <v>851.90290000000005</v>
      </c>
      <c r="T375">
        <f t="shared" si="114"/>
        <v>1.621814435367179E-2</v>
      </c>
      <c r="U375">
        <f t="shared" si="115"/>
        <v>0.15843158357055101</v>
      </c>
      <c r="V375">
        <f t="shared" si="116"/>
        <v>6.4685084416378812E-3</v>
      </c>
      <c r="W375">
        <f t="shared" si="117"/>
        <v>2.624901976316821E-3</v>
      </c>
      <c r="X375">
        <f t="shared" si="118"/>
        <v>0.23867858684652241</v>
      </c>
      <c r="Y375">
        <f t="shared" si="119"/>
        <v>6.5622549407920526E-4</v>
      </c>
      <c r="Z375">
        <f t="shared" si="120"/>
        <v>2.9061414737793379E-3</v>
      </c>
      <c r="AA375">
        <f t="shared" si="121"/>
        <v>0.19343437018523837</v>
      </c>
      <c r="AB375">
        <f t="shared" si="122"/>
        <v>4.8254510495623668E-2</v>
      </c>
      <c r="AC375">
        <f t="shared" si="123"/>
        <v>0.1109213265317123</v>
      </c>
      <c r="AD375">
        <f t="shared" si="124"/>
        <v>3.1264457467916427E-3</v>
      </c>
      <c r="AE375">
        <f t="shared" si="125"/>
        <v>1.6908399826943959E-2</v>
      </c>
      <c r="AG375">
        <f t="shared" si="126"/>
        <v>0.33588290039976132</v>
      </c>
      <c r="AH375">
        <f t="shared" si="127"/>
        <v>0.44289249198350245</v>
      </c>
      <c r="AI375">
        <f t="shared" si="128"/>
        <v>1.1910875053303422</v>
      </c>
      <c r="AK375" s="26">
        <f t="shared" si="129"/>
        <v>0.13596314435251872</v>
      </c>
      <c r="AL375" s="26">
        <f t="shared" si="130"/>
        <v>7.5020599784728581E-2</v>
      </c>
      <c r="AM375" s="26">
        <f t="shared" si="131"/>
        <v>5.5648113378975073E-2</v>
      </c>
      <c r="AN375" s="26">
        <f t="shared" si="132"/>
        <v>15.203333333333319</v>
      </c>
      <c r="AO375" s="26">
        <f t="shared" si="133"/>
        <v>15.743388554216885</v>
      </c>
      <c r="AP375" s="26">
        <f t="shared" si="134"/>
        <v>16.810368687797052</v>
      </c>
      <c r="AS375" s="2">
        <v>45105</v>
      </c>
      <c r="AT375">
        <v>19.600000000000001</v>
      </c>
      <c r="AU375">
        <v>198.4</v>
      </c>
      <c r="AV375">
        <v>21.7</v>
      </c>
      <c r="AW375">
        <v>5.2</v>
      </c>
      <c r="AX375">
        <v>270.19</v>
      </c>
      <c r="AY375">
        <v>0.4</v>
      </c>
      <c r="AZ375">
        <v>2.8</v>
      </c>
      <c r="BA375">
        <v>235.96129999999999</v>
      </c>
      <c r="BB375">
        <v>76.680999999999997</v>
      </c>
      <c r="BC375">
        <v>110.12</v>
      </c>
      <c r="BD375">
        <v>3.48</v>
      </c>
      <c r="BE375">
        <v>19.739000000000001</v>
      </c>
      <c r="BF375">
        <v>-8.8620000000000001</v>
      </c>
      <c r="BG375">
        <v>-25.584</v>
      </c>
      <c r="BH375">
        <v>76.819999999999993</v>
      </c>
    </row>
    <row r="376" spans="1:60" x14ac:dyDescent="0.25">
      <c r="A376" s="2">
        <v>45125</v>
      </c>
      <c r="B376">
        <v>15.9</v>
      </c>
      <c r="C376">
        <v>398.6</v>
      </c>
      <c r="D376">
        <v>28.6</v>
      </c>
      <c r="E376">
        <v>4.8</v>
      </c>
      <c r="F376">
        <v>305.93</v>
      </c>
      <c r="G376">
        <v>0.7</v>
      </c>
      <c r="H376">
        <v>3.2</v>
      </c>
      <c r="I376">
        <v>191.46190000000001</v>
      </c>
      <c r="J376">
        <v>44.229799999999997</v>
      </c>
      <c r="K376">
        <v>106.1262</v>
      </c>
      <c r="L376">
        <v>3.637</v>
      </c>
      <c r="M376">
        <v>23.284500000000001</v>
      </c>
      <c r="N376">
        <v>-8.0480999999999998</v>
      </c>
      <c r="O376">
        <v>-32.810499999999998</v>
      </c>
      <c r="P376">
        <v>82.33</v>
      </c>
      <c r="S376">
        <f t="shared" si="113"/>
        <v>1126.4694</v>
      </c>
      <c r="T376">
        <f t="shared" si="114"/>
        <v>1.4905693365513379E-2</v>
      </c>
      <c r="U376">
        <f t="shared" si="115"/>
        <v>0.37367354562853039</v>
      </c>
      <c r="V376">
        <f t="shared" si="116"/>
        <v>2.6811498758093247E-2</v>
      </c>
      <c r="W376">
        <f t="shared" si="117"/>
        <v>4.4998319594002651E-3</v>
      </c>
      <c r="X376">
        <f t="shared" si="118"/>
        <v>0.286798664862359</v>
      </c>
      <c r="Y376">
        <f t="shared" si="119"/>
        <v>6.5622549407920526E-4</v>
      </c>
      <c r="Z376">
        <f t="shared" si="120"/>
        <v>2.9998879729335104E-3</v>
      </c>
      <c r="AA376">
        <f t="shared" si="121"/>
        <v>0.17948882846406203</v>
      </c>
      <c r="AB376">
        <f t="shared" si="122"/>
        <v>4.1463889082892051E-2</v>
      </c>
      <c r="AC376">
        <f t="shared" si="123"/>
        <v>9.9489597185355091E-2</v>
      </c>
      <c r="AD376">
        <f t="shared" si="124"/>
        <v>3.4095601742372425E-3</v>
      </c>
      <c r="AE376">
        <f t="shared" si="125"/>
        <v>2.1828403595553224E-2</v>
      </c>
      <c r="AG376">
        <f t="shared" si="126"/>
        <v>0.32756565457785863</v>
      </c>
      <c r="AH376">
        <f t="shared" si="127"/>
        <v>0.73217375163646226</v>
      </c>
      <c r="AI376">
        <f t="shared" si="128"/>
        <v>3.0328872204320674</v>
      </c>
      <c r="AK376" s="26">
        <f t="shared" si="129"/>
        <v>0.12944000402246902</v>
      </c>
      <c r="AL376" s="26">
        <f t="shared" si="130"/>
        <v>7.5449940094333201E-2</v>
      </c>
      <c r="AM376" s="26">
        <f t="shared" si="131"/>
        <v>5.5516914157624719E-2</v>
      </c>
      <c r="AN376" s="26">
        <f t="shared" si="132"/>
        <v>15.212063492063464</v>
      </c>
      <c r="AO376" s="26">
        <f t="shared" si="133"/>
        <v>15.769845094664362</v>
      </c>
      <c r="AP376" s="26">
        <f t="shared" si="134"/>
        <v>16.841423281951599</v>
      </c>
      <c r="AS376" s="2">
        <v>45104</v>
      </c>
      <c r="AT376">
        <v>18.899999999999999</v>
      </c>
      <c r="AU376">
        <v>48.1</v>
      </c>
      <c r="AV376">
        <v>41.7</v>
      </c>
      <c r="AW376">
        <v>12.8</v>
      </c>
      <c r="AX376">
        <v>262.76</v>
      </c>
      <c r="AY376">
        <v>0.1</v>
      </c>
      <c r="AZ376">
        <v>2.2999999999999998</v>
      </c>
      <c r="BA376">
        <v>195.81389999999999</v>
      </c>
      <c r="BB376">
        <v>48.040399999999998</v>
      </c>
      <c r="BC376">
        <v>70.188599999999994</v>
      </c>
      <c r="BD376">
        <v>3.48</v>
      </c>
      <c r="BE376">
        <v>20.209199999999999</v>
      </c>
      <c r="BF376">
        <v>-12.800599999999999</v>
      </c>
      <c r="BG376">
        <v>-29.215399999999999</v>
      </c>
      <c r="BH376">
        <v>76.63</v>
      </c>
    </row>
    <row r="377" spans="1:60" x14ac:dyDescent="0.25">
      <c r="A377" s="2">
        <v>45124</v>
      </c>
      <c r="B377">
        <v>15.7</v>
      </c>
      <c r="C377">
        <v>103.9</v>
      </c>
      <c r="D377">
        <v>54.2</v>
      </c>
      <c r="E377">
        <v>11.4</v>
      </c>
      <c r="F377">
        <v>286.67</v>
      </c>
      <c r="G377">
        <v>0.6</v>
      </c>
      <c r="H377">
        <v>3</v>
      </c>
      <c r="I377">
        <v>136.244</v>
      </c>
      <c r="J377">
        <v>44.8157</v>
      </c>
      <c r="K377">
        <v>66.992699999999999</v>
      </c>
      <c r="L377">
        <v>3.48</v>
      </c>
      <c r="M377">
        <v>18.380700000000001</v>
      </c>
      <c r="N377">
        <v>-6.5810000000000004</v>
      </c>
      <c r="O377">
        <v>-31.928100000000001</v>
      </c>
      <c r="P377">
        <v>82.09</v>
      </c>
      <c r="S377">
        <f t="shared" si="113"/>
        <v>745.38310000000013</v>
      </c>
      <c r="T377">
        <f t="shared" si="114"/>
        <v>1.4718200367205033E-2</v>
      </c>
      <c r="U377">
        <f t="shared" si="115"/>
        <v>9.7402612621184909E-2</v>
      </c>
      <c r="V377">
        <f t="shared" si="116"/>
        <v>5.0810602541561327E-2</v>
      </c>
      <c r="W377">
        <f t="shared" si="117"/>
        <v>1.0687100903575631E-2</v>
      </c>
      <c r="X377">
        <f t="shared" si="118"/>
        <v>0.26874308912526546</v>
      </c>
      <c r="Y377">
        <f t="shared" si="119"/>
        <v>5.6247899492503314E-4</v>
      </c>
      <c r="Z377">
        <f t="shared" si="120"/>
        <v>2.8123949746251659E-3</v>
      </c>
      <c r="AA377">
        <f t="shared" si="121"/>
        <v>0.12772398030761037</v>
      </c>
      <c r="AB377">
        <f t="shared" si="122"/>
        <v>4.2013149821436349E-2</v>
      </c>
      <c r="AC377">
        <f t="shared" si="123"/>
        <v>6.2803310938857118E-2</v>
      </c>
      <c r="AD377">
        <f t="shared" si="124"/>
        <v>3.2623781705651924E-3</v>
      </c>
      <c r="AE377">
        <f t="shared" si="125"/>
        <v>1.7231262770030929E-2</v>
      </c>
      <c r="AG377">
        <f t="shared" si="126"/>
        <v>0.31829457379155202</v>
      </c>
      <c r="AH377">
        <f t="shared" si="127"/>
        <v>0.46296774229837345</v>
      </c>
      <c r="AI377">
        <f t="shared" si="128"/>
        <v>1.3425951015604107</v>
      </c>
      <c r="AK377" s="26">
        <f t="shared" si="129"/>
        <v>0.10736027945504045</v>
      </c>
      <c r="AL377" s="26">
        <f t="shared" si="130"/>
        <v>7.243296097285723E-2</v>
      </c>
      <c r="AM377" s="26">
        <f t="shared" si="131"/>
        <v>5.223131504002454E-2</v>
      </c>
      <c r="AN377" s="26">
        <f t="shared" si="132"/>
        <v>15.226984126984114</v>
      </c>
      <c r="AO377" s="26">
        <f t="shared" si="133"/>
        <v>15.798773666092963</v>
      </c>
      <c r="AP377" s="26">
        <f t="shared" si="134"/>
        <v>16.87482917990598</v>
      </c>
      <c r="AS377" s="2">
        <v>45103</v>
      </c>
      <c r="AT377">
        <v>19.3</v>
      </c>
      <c r="AU377">
        <v>59.3</v>
      </c>
      <c r="AV377">
        <v>54</v>
      </c>
      <c r="AW377">
        <v>12.6</v>
      </c>
      <c r="AX377">
        <v>307.2</v>
      </c>
      <c r="AY377">
        <v>0</v>
      </c>
      <c r="AZ377">
        <v>2.6</v>
      </c>
      <c r="BA377">
        <v>160.99510000000001</v>
      </c>
      <c r="BB377">
        <v>29.9117</v>
      </c>
      <c r="BC377">
        <v>58.784799999999997</v>
      </c>
      <c r="BD377">
        <v>3.4060000000000001</v>
      </c>
      <c r="BE377">
        <v>15.279199999999999</v>
      </c>
      <c r="BF377">
        <v>-4.8360000000000003</v>
      </c>
      <c r="BG377">
        <v>-23.963699999999999</v>
      </c>
      <c r="BH377">
        <v>76.41</v>
      </c>
    </row>
    <row r="378" spans="1:60" x14ac:dyDescent="0.25">
      <c r="A378" s="2">
        <v>45123</v>
      </c>
      <c r="B378">
        <v>14.2</v>
      </c>
      <c r="C378">
        <v>26.5</v>
      </c>
      <c r="D378">
        <v>47.3</v>
      </c>
      <c r="E378">
        <v>8.6</v>
      </c>
      <c r="F378">
        <v>286.74</v>
      </c>
      <c r="G378">
        <v>0.3</v>
      </c>
      <c r="H378">
        <v>3</v>
      </c>
      <c r="I378">
        <v>106.8261</v>
      </c>
      <c r="J378">
        <v>20.659500000000001</v>
      </c>
      <c r="K378">
        <v>34.171700000000001</v>
      </c>
      <c r="L378">
        <v>3.48</v>
      </c>
      <c r="M378">
        <v>12.489100000000001</v>
      </c>
      <c r="P378">
        <v>81.81</v>
      </c>
      <c r="S378">
        <f t="shared" si="113"/>
        <v>564.26640000000009</v>
      </c>
      <c r="T378">
        <f t="shared" si="114"/>
        <v>1.331200287989245E-2</v>
      </c>
      <c r="U378">
        <f t="shared" si="115"/>
        <v>2.4842822275855631E-2</v>
      </c>
      <c r="V378">
        <f t="shared" si="116"/>
        <v>4.4342094099923443E-2</v>
      </c>
      <c r="W378">
        <f t="shared" si="117"/>
        <v>8.0621989272588075E-3</v>
      </c>
      <c r="X378">
        <f t="shared" si="118"/>
        <v>0.26880871167467335</v>
      </c>
      <c r="Y378">
        <f t="shared" si="119"/>
        <v>2.8123949746251657E-4</v>
      </c>
      <c r="Z378">
        <f t="shared" si="120"/>
        <v>2.8123949746251659E-3</v>
      </c>
      <c r="AA378">
        <f t="shared" si="121"/>
        <v>0.10014572893293514</v>
      </c>
      <c r="AB378">
        <f t="shared" si="122"/>
        <v>1.9367557992756204E-2</v>
      </c>
      <c r="AC378">
        <f t="shared" si="123"/>
        <v>3.2034772451466263E-2</v>
      </c>
      <c r="AD378">
        <f t="shared" si="124"/>
        <v>3.2623781705651924E-3</v>
      </c>
      <c r="AE378">
        <f t="shared" si="125"/>
        <v>1.170809402586372E-2</v>
      </c>
      <c r="AG378">
        <f t="shared" si="126"/>
        <v>0.30711525732018324</v>
      </c>
      <c r="AH378">
        <f t="shared" si="127"/>
        <v>0.37416955835555504</v>
      </c>
      <c r="AI378">
        <f t="shared" si="128"/>
        <v>0.7744549555186081</v>
      </c>
      <c r="AK378" s="26">
        <f t="shared" si="129"/>
        <v>0.10433820629868013</v>
      </c>
      <c r="AL378" s="26">
        <f t="shared" si="130"/>
        <v>7.2634896559245432E-2</v>
      </c>
      <c r="AM378" s="26">
        <f t="shared" si="131"/>
        <v>5.0517768457586043E-2</v>
      </c>
      <c r="AN378" s="26">
        <f t="shared" si="132"/>
        <v>15.247460317460316</v>
      </c>
      <c r="AO378" s="26">
        <f t="shared" si="133"/>
        <v>15.830658347676447</v>
      </c>
      <c r="AP378" s="26">
        <f t="shared" si="134"/>
        <v>16.909521808776027</v>
      </c>
      <c r="AS378" s="2">
        <v>45102</v>
      </c>
      <c r="AT378">
        <v>20.9</v>
      </c>
      <c r="AU378">
        <v>211.2</v>
      </c>
      <c r="AV378">
        <v>8.1999999999999993</v>
      </c>
      <c r="AW378">
        <v>0.7</v>
      </c>
      <c r="AX378">
        <v>345.11</v>
      </c>
      <c r="AY378">
        <v>0.3</v>
      </c>
      <c r="AZ378">
        <v>2.4</v>
      </c>
      <c r="BA378">
        <v>131.75360000000001</v>
      </c>
      <c r="BB378">
        <v>23.523700000000002</v>
      </c>
      <c r="BC378">
        <v>38.259700000000002</v>
      </c>
      <c r="BD378">
        <v>3.6678000000000002</v>
      </c>
      <c r="BE378">
        <v>20.494399999999999</v>
      </c>
      <c r="BH378">
        <v>76.13</v>
      </c>
    </row>
    <row r="379" spans="1:60" x14ac:dyDescent="0.25">
      <c r="A379" s="2">
        <v>45122</v>
      </c>
      <c r="B379">
        <v>16.3</v>
      </c>
      <c r="C379">
        <v>56.8</v>
      </c>
      <c r="D379">
        <v>47.5</v>
      </c>
      <c r="E379">
        <v>12.8</v>
      </c>
      <c r="F379">
        <v>287.51</v>
      </c>
      <c r="G379">
        <v>0.6</v>
      </c>
      <c r="H379">
        <v>3.1</v>
      </c>
      <c r="I379">
        <v>106.95829999999999</v>
      </c>
      <c r="J379">
        <v>22.488600000000002</v>
      </c>
      <c r="K379">
        <v>33.643500000000003</v>
      </c>
      <c r="L379">
        <v>3.48</v>
      </c>
      <c r="M379">
        <v>17.564699999999998</v>
      </c>
      <c r="P379">
        <v>81.430000000000007</v>
      </c>
      <c r="S379">
        <f t="shared" si="113"/>
        <v>608.74510000000009</v>
      </c>
      <c r="T379">
        <f t="shared" si="114"/>
        <v>1.5280679362130067E-2</v>
      </c>
      <c r="U379">
        <f t="shared" si="115"/>
        <v>5.3248011519569802E-2</v>
      </c>
      <c r="V379">
        <f t="shared" si="116"/>
        <v>4.4529587098231793E-2</v>
      </c>
      <c r="W379">
        <f t="shared" si="117"/>
        <v>1.1999551891734041E-2</v>
      </c>
      <c r="X379">
        <f t="shared" si="118"/>
        <v>0.26953055971816048</v>
      </c>
      <c r="Y379">
        <f t="shared" si="119"/>
        <v>5.6247899492503314E-4</v>
      </c>
      <c r="Z379">
        <f t="shared" si="120"/>
        <v>2.9061414737793379E-3</v>
      </c>
      <c r="AA379">
        <f t="shared" si="121"/>
        <v>0.10026966180481695</v>
      </c>
      <c r="AB379">
        <f t="shared" si="122"/>
        <v>2.1082275208785167E-2</v>
      </c>
      <c r="AC379">
        <f t="shared" si="123"/>
        <v>3.1539603442933925E-2</v>
      </c>
      <c r="AD379">
        <f t="shared" si="124"/>
        <v>3.2623781705651924E-3</v>
      </c>
      <c r="AE379">
        <f t="shared" si="125"/>
        <v>1.6466291336932882E-2</v>
      </c>
      <c r="AG379">
        <f t="shared" si="126"/>
        <v>0.29116051334010873</v>
      </c>
      <c r="AH379">
        <f t="shared" si="127"/>
        <v>0.41452330139546339</v>
      </c>
      <c r="AI379">
        <f t="shared" si="128"/>
        <v>1.0371636998085303</v>
      </c>
      <c r="AK379" s="26">
        <f t="shared" si="129"/>
        <v>0.11027695773771667</v>
      </c>
      <c r="AL379" s="26">
        <f t="shared" si="130"/>
        <v>7.3684676411767847E-2</v>
      </c>
      <c r="AM379" s="26">
        <f t="shared" si="131"/>
        <v>5.0240263438977639E-2</v>
      </c>
      <c r="AN379" s="26">
        <f t="shared" si="132"/>
        <v>15.269682539682513</v>
      </c>
      <c r="AO379" s="26">
        <f t="shared" si="133"/>
        <v>15.866034853700519</v>
      </c>
      <c r="AP379" s="26">
        <f t="shared" si="134"/>
        <v>16.944346524513534</v>
      </c>
      <c r="AS379" s="2">
        <v>45101</v>
      </c>
      <c r="AT379">
        <v>22.6</v>
      </c>
      <c r="AU379">
        <v>214.8</v>
      </c>
      <c r="AV379">
        <v>9.4</v>
      </c>
      <c r="AW379">
        <v>2.5</v>
      </c>
      <c r="AX379">
        <v>337.99</v>
      </c>
      <c r="AY379">
        <v>0.4</v>
      </c>
      <c r="AZ379">
        <v>2.2999999999999998</v>
      </c>
      <c r="BA379">
        <v>155.62119999999999</v>
      </c>
      <c r="BB379">
        <v>25.004100000000001</v>
      </c>
      <c r="BC379">
        <v>42.418300000000002</v>
      </c>
      <c r="BD379">
        <v>3.48</v>
      </c>
      <c r="BE379">
        <v>18.727699999999999</v>
      </c>
      <c r="BH379">
        <v>75.78</v>
      </c>
    </row>
    <row r="380" spans="1:60" x14ac:dyDescent="0.25">
      <c r="A380" s="2">
        <v>45121</v>
      </c>
      <c r="B380">
        <v>20</v>
      </c>
      <c r="C380">
        <v>192</v>
      </c>
      <c r="D380">
        <v>10.9</v>
      </c>
      <c r="E380">
        <v>2.2999999999999998</v>
      </c>
      <c r="F380">
        <v>301.43</v>
      </c>
      <c r="G380">
        <v>0.5</v>
      </c>
      <c r="H380">
        <v>3.1</v>
      </c>
      <c r="I380">
        <v>181.50550000000001</v>
      </c>
      <c r="J380">
        <v>23.4527</v>
      </c>
      <c r="K380">
        <v>100.696</v>
      </c>
      <c r="L380">
        <v>3.2481</v>
      </c>
      <c r="M380">
        <v>17.752800000000001</v>
      </c>
      <c r="N380">
        <v>-5.9276999999999997</v>
      </c>
      <c r="O380">
        <v>-28.992599999999999</v>
      </c>
      <c r="P380">
        <v>81.05</v>
      </c>
      <c r="S380">
        <f t="shared" si="113"/>
        <v>856.88510000000008</v>
      </c>
      <c r="T380">
        <f t="shared" si="114"/>
        <v>1.8749299830834436E-2</v>
      </c>
      <c r="U380">
        <f t="shared" si="115"/>
        <v>0.17999327837601062</v>
      </c>
      <c r="V380">
        <f t="shared" si="116"/>
        <v>1.0218368407804769E-2</v>
      </c>
      <c r="W380">
        <f t="shared" si="117"/>
        <v>2.1561694805459601E-3</v>
      </c>
      <c r="X380">
        <f t="shared" si="118"/>
        <v>0.28258007240042127</v>
      </c>
      <c r="Y380">
        <f t="shared" si="119"/>
        <v>4.6873249577086097E-4</v>
      </c>
      <c r="Z380">
        <f t="shared" si="120"/>
        <v>2.9061414737793379E-3</v>
      </c>
      <c r="AA380">
        <f t="shared" si="121"/>
        <v>0.17015505202227602</v>
      </c>
      <c r="AB380">
        <f t="shared" si="122"/>
        <v>2.1986085207130541E-2</v>
      </c>
      <c r="AC380">
        <f t="shared" si="123"/>
        <v>9.4398974788285225E-2</v>
      </c>
      <c r="AD380">
        <f t="shared" si="124"/>
        <v>3.044980039026667E-3</v>
      </c>
      <c r="AE380">
        <f t="shared" si="125"/>
        <v>1.664262850184188E-2</v>
      </c>
      <c r="AG380">
        <f t="shared" si="126"/>
        <v>0.27521607234046547</v>
      </c>
      <c r="AH380">
        <f t="shared" si="127"/>
        <v>0.51371469096700906</v>
      </c>
      <c r="AI380">
        <f t="shared" si="128"/>
        <v>1.6795797983514933</v>
      </c>
      <c r="AK380" s="26">
        <f t="shared" si="129"/>
        <v>0.11970449109493458</v>
      </c>
      <c r="AL380" s="26">
        <f t="shared" si="130"/>
        <v>7.2643214624800889E-2</v>
      </c>
      <c r="AM380" s="26">
        <f t="shared" si="131"/>
        <v>5.0039613366551217E-2</v>
      </c>
      <c r="AN380" s="26">
        <f t="shared" si="132"/>
        <v>15.296984126984107</v>
      </c>
      <c r="AO380" s="26">
        <f t="shared" si="133"/>
        <v>15.903952237521523</v>
      </c>
      <c r="AP380" s="26">
        <f t="shared" si="134"/>
        <v>16.978302302985746</v>
      </c>
      <c r="AS380" s="2">
        <v>45100</v>
      </c>
      <c r="AT380">
        <v>22.7</v>
      </c>
      <c r="AU380">
        <v>53.5</v>
      </c>
      <c r="AV380">
        <v>16.7</v>
      </c>
      <c r="AW380">
        <v>9.8000000000000007</v>
      </c>
      <c r="AX380">
        <v>172.15</v>
      </c>
      <c r="AY380">
        <v>0.4</v>
      </c>
      <c r="AZ380">
        <v>2.4</v>
      </c>
      <c r="BA380">
        <v>266.74270000000001</v>
      </c>
      <c r="BB380">
        <v>42.076099999999997</v>
      </c>
      <c r="BC380">
        <v>59.7102</v>
      </c>
      <c r="BD380">
        <v>3.48</v>
      </c>
      <c r="BE380">
        <v>21.9038</v>
      </c>
      <c r="BF380">
        <v>2.7764000000000002</v>
      </c>
      <c r="BG380">
        <v>-15.645300000000001</v>
      </c>
      <c r="BH380">
        <v>75.42</v>
      </c>
    </row>
    <row r="381" spans="1:60" x14ac:dyDescent="0.25">
      <c r="A381" s="2">
        <v>45120</v>
      </c>
      <c r="B381">
        <v>19</v>
      </c>
      <c r="C381">
        <v>322.89999999999998</v>
      </c>
      <c r="D381">
        <v>43.8</v>
      </c>
      <c r="E381">
        <v>8.5</v>
      </c>
      <c r="F381">
        <v>268.35000000000002</v>
      </c>
      <c r="G381">
        <v>0.5</v>
      </c>
      <c r="H381">
        <v>3.1</v>
      </c>
      <c r="I381">
        <v>196.7406</v>
      </c>
      <c r="J381">
        <v>21.971800000000002</v>
      </c>
      <c r="K381">
        <v>99.543599999999998</v>
      </c>
      <c r="L381">
        <v>3.48</v>
      </c>
      <c r="M381">
        <v>18.621300000000002</v>
      </c>
      <c r="N381">
        <v>-7.1498999999999997</v>
      </c>
      <c r="O381">
        <v>-28.358599999999999</v>
      </c>
      <c r="P381">
        <v>80.760000000000005</v>
      </c>
      <c r="S381">
        <f t="shared" si="113"/>
        <v>1006.5073</v>
      </c>
      <c r="T381">
        <f t="shared" si="114"/>
        <v>1.7811834839292717E-2</v>
      </c>
      <c r="U381">
        <f t="shared" si="115"/>
        <v>0.30270744576882197</v>
      </c>
      <c r="V381">
        <f t="shared" si="116"/>
        <v>4.1060966629527414E-2</v>
      </c>
      <c r="W381">
        <f t="shared" si="117"/>
        <v>7.9684524281046359E-3</v>
      </c>
      <c r="X381">
        <f t="shared" si="118"/>
        <v>0.2515687304802211</v>
      </c>
      <c r="Y381">
        <f t="shared" si="119"/>
        <v>4.6873249577086097E-4</v>
      </c>
      <c r="Z381">
        <f t="shared" si="120"/>
        <v>2.9061414737793379E-3</v>
      </c>
      <c r="AA381">
        <f t="shared" si="121"/>
        <v>0.1844374249149133</v>
      </c>
      <c r="AB381">
        <f t="shared" si="122"/>
        <v>2.0597793301156408E-2</v>
      </c>
      <c r="AC381">
        <f t="shared" si="123"/>
        <v>9.3318640132032546E-2</v>
      </c>
      <c r="AD381">
        <f t="shared" si="124"/>
        <v>3.2623781705651924E-3</v>
      </c>
      <c r="AE381">
        <f t="shared" si="125"/>
        <v>1.7456816846995869E-2</v>
      </c>
      <c r="AG381">
        <f t="shared" si="126"/>
        <v>0.26358291450230392</v>
      </c>
      <c r="AH381">
        <f t="shared" si="127"/>
        <v>0.64194912096251389</v>
      </c>
      <c r="AI381">
        <f t="shared" si="128"/>
        <v>2.519549125873747</v>
      </c>
      <c r="AK381" s="26">
        <f t="shared" si="129"/>
        <v>0.11464321284013979</v>
      </c>
      <c r="AL381" s="26">
        <f t="shared" si="130"/>
        <v>7.0153712161328041E-2</v>
      </c>
      <c r="AM381" s="26">
        <f t="shared" si="131"/>
        <v>4.9749039247483418E-2</v>
      </c>
      <c r="AN381" s="26">
        <f t="shared" si="132"/>
        <v>15.327619047619038</v>
      </c>
      <c r="AO381" s="26">
        <f t="shared" si="133"/>
        <v>15.943625215146319</v>
      </c>
      <c r="AP381" s="26">
        <f t="shared" si="134"/>
        <v>17.01159318295214</v>
      </c>
      <c r="AS381" s="2">
        <v>45099</v>
      </c>
      <c r="AT381">
        <v>22.5</v>
      </c>
      <c r="AU381">
        <v>25.1</v>
      </c>
      <c r="AV381">
        <v>7.2</v>
      </c>
      <c r="AW381">
        <v>4.9000000000000004</v>
      </c>
      <c r="AX381">
        <v>277.51</v>
      </c>
      <c r="AY381">
        <v>0.3</v>
      </c>
      <c r="AZ381">
        <v>2.4</v>
      </c>
      <c r="BA381">
        <v>308.46300000000002</v>
      </c>
      <c r="BB381">
        <v>81.195300000000003</v>
      </c>
      <c r="BC381">
        <v>105.83410000000001</v>
      </c>
      <c r="BD381">
        <v>3.48</v>
      </c>
      <c r="BE381">
        <v>16.500699999999998</v>
      </c>
      <c r="BF381">
        <v>-4.0890000000000004</v>
      </c>
      <c r="BG381">
        <v>-20.6617</v>
      </c>
      <c r="BH381">
        <v>75.180000000000007</v>
      </c>
    </row>
    <row r="382" spans="1:60" x14ac:dyDescent="0.25">
      <c r="A382" s="2">
        <v>45119</v>
      </c>
      <c r="B382">
        <v>16.5</v>
      </c>
      <c r="C382">
        <v>248.1</v>
      </c>
      <c r="D382">
        <v>35.9</v>
      </c>
      <c r="E382">
        <v>12</v>
      </c>
      <c r="F382">
        <v>266.82</v>
      </c>
      <c r="G382">
        <v>0.6</v>
      </c>
      <c r="H382">
        <v>3</v>
      </c>
      <c r="I382">
        <v>200.10149999999999</v>
      </c>
      <c r="J382">
        <v>30.7012</v>
      </c>
      <c r="K382">
        <v>87.312200000000004</v>
      </c>
      <c r="L382">
        <v>5.0891999999999999</v>
      </c>
      <c r="M382">
        <v>16.7774</v>
      </c>
      <c r="N382">
        <v>-5.6473000000000004</v>
      </c>
      <c r="O382">
        <v>-27.484100000000002</v>
      </c>
      <c r="P382">
        <v>80.53</v>
      </c>
      <c r="S382">
        <f t="shared" si="113"/>
        <v>922.90149999999994</v>
      </c>
      <c r="T382">
        <f t="shared" si="114"/>
        <v>1.5468172360438412E-2</v>
      </c>
      <c r="U382">
        <f t="shared" si="115"/>
        <v>0.2325850644015012</v>
      </c>
      <c r="V382">
        <f t="shared" si="116"/>
        <v>3.3654993196347814E-2</v>
      </c>
      <c r="W382">
        <f t="shared" si="117"/>
        <v>1.1249579898500664E-2</v>
      </c>
      <c r="X382">
        <f t="shared" si="118"/>
        <v>0.25013440904316225</v>
      </c>
      <c r="Y382">
        <f t="shared" si="119"/>
        <v>5.6247899492503314E-4</v>
      </c>
      <c r="Z382">
        <f t="shared" si="120"/>
        <v>2.8123949746251659E-3</v>
      </c>
      <c r="AA382">
        <f t="shared" si="121"/>
        <v>0.18758815100498585</v>
      </c>
      <c r="AB382">
        <f t="shared" si="122"/>
        <v>2.8781300198320713E-2</v>
      </c>
      <c r="AC382">
        <f t="shared" si="123"/>
        <v>8.185213083448914E-2</v>
      </c>
      <c r="AD382">
        <f t="shared" si="124"/>
        <v>4.7709468349541309E-3</v>
      </c>
      <c r="AE382">
        <f t="shared" si="125"/>
        <v>1.5728225149092084E-2</v>
      </c>
      <c r="AG382">
        <f t="shared" si="126"/>
        <v>0.25482860857691259</v>
      </c>
      <c r="AH382">
        <f t="shared" si="127"/>
        <v>0.56219531801859257</v>
      </c>
      <c r="AI382">
        <f t="shared" si="128"/>
        <v>2.014560441709059</v>
      </c>
      <c r="AK382" s="26">
        <f t="shared" si="129"/>
        <v>9.3344642137210776E-2</v>
      </c>
      <c r="AL382" s="26">
        <f t="shared" si="130"/>
        <v>6.7378724843386029E-2</v>
      </c>
      <c r="AM382" s="26">
        <f t="shared" si="131"/>
        <v>4.8250646998091395E-2</v>
      </c>
      <c r="AN382" s="26">
        <f t="shared" si="132"/>
        <v>15.360952380952376</v>
      </c>
      <c r="AO382" s="26">
        <f t="shared" si="133"/>
        <v>15.98533132530121</v>
      </c>
      <c r="AP382" s="26">
        <f t="shared" si="134"/>
        <v>17.043210787531841</v>
      </c>
      <c r="AS382" s="2">
        <v>45098</v>
      </c>
      <c r="AT382">
        <v>21.4</v>
      </c>
      <c r="AU382">
        <v>291.60000000000002</v>
      </c>
      <c r="AV382">
        <v>30.6</v>
      </c>
      <c r="AW382">
        <v>5.7</v>
      </c>
      <c r="AX382">
        <v>282.12</v>
      </c>
      <c r="AY382">
        <v>0.3</v>
      </c>
      <c r="AZ382">
        <v>2.6</v>
      </c>
      <c r="BA382">
        <v>282.36720000000003</v>
      </c>
      <c r="BB382">
        <v>74.929199999999994</v>
      </c>
      <c r="BC382">
        <v>100.54130000000001</v>
      </c>
      <c r="BD382">
        <v>3.4878999999999998</v>
      </c>
      <c r="BE382">
        <v>17.424800000000001</v>
      </c>
      <c r="BF382">
        <v>-4.3330000000000002</v>
      </c>
      <c r="BG382">
        <v>-16.1235</v>
      </c>
      <c r="BH382">
        <v>75.03</v>
      </c>
    </row>
    <row r="383" spans="1:60" x14ac:dyDescent="0.25">
      <c r="A383" s="2">
        <v>45118</v>
      </c>
      <c r="B383">
        <v>15.9</v>
      </c>
      <c r="C383">
        <v>219.8</v>
      </c>
      <c r="D383">
        <v>40.1</v>
      </c>
      <c r="E383">
        <v>5</v>
      </c>
      <c r="F383">
        <v>339.41</v>
      </c>
      <c r="G383">
        <v>0.6</v>
      </c>
      <c r="H383">
        <v>2.7</v>
      </c>
      <c r="I383">
        <v>200.4691</v>
      </c>
      <c r="J383">
        <v>28.3276</v>
      </c>
      <c r="K383">
        <v>99.2363</v>
      </c>
      <c r="L383">
        <v>3.48</v>
      </c>
      <c r="M383">
        <v>20.555499999999999</v>
      </c>
      <c r="N383">
        <v>-7.9394</v>
      </c>
      <c r="O383">
        <v>-27.314299999999999</v>
      </c>
      <c r="P383">
        <v>80.349999999999994</v>
      </c>
      <c r="S383">
        <f t="shared" si="113"/>
        <v>975.57850000000019</v>
      </c>
      <c r="T383">
        <f t="shared" si="114"/>
        <v>1.4905693365513379E-2</v>
      </c>
      <c r="U383">
        <f t="shared" si="115"/>
        <v>0.20605480514087049</v>
      </c>
      <c r="V383">
        <f t="shared" si="116"/>
        <v>3.7592346160823048E-2</v>
      </c>
      <c r="W383">
        <f t="shared" si="117"/>
        <v>4.6873249577086091E-3</v>
      </c>
      <c r="X383">
        <f t="shared" si="118"/>
        <v>0.31818499277917583</v>
      </c>
      <c r="Y383">
        <f t="shared" si="119"/>
        <v>5.6247899492503314E-4</v>
      </c>
      <c r="Z383">
        <f t="shared" si="120"/>
        <v>2.5311554771626494E-3</v>
      </c>
      <c r="AA383">
        <f t="shared" si="121"/>
        <v>0.18793276313587659</v>
      </c>
      <c r="AB383">
        <f t="shared" si="122"/>
        <v>2.6556133294397283E-2</v>
      </c>
      <c r="AC383">
        <f t="shared" si="123"/>
        <v>9.3030557140131781E-2</v>
      </c>
      <c r="AD383">
        <f t="shared" si="124"/>
        <v>3.2623781705651924E-3</v>
      </c>
      <c r="AE383">
        <f t="shared" si="125"/>
        <v>1.9270061633635864E-2</v>
      </c>
      <c r="AG383">
        <f t="shared" si="126"/>
        <v>0.24847943697023359</v>
      </c>
      <c r="AH383">
        <f t="shared" si="127"/>
        <v>0.6037888585098149</v>
      </c>
      <c r="AI383">
        <f t="shared" si="128"/>
        <v>2.2988121633376433</v>
      </c>
      <c r="AK383" s="26">
        <f t="shared" si="129"/>
        <v>9.5204815230895579E-2</v>
      </c>
      <c r="AL383" s="26">
        <f t="shared" si="130"/>
        <v>6.7479877436988578E-2</v>
      </c>
      <c r="AM383" s="26">
        <f t="shared" si="131"/>
        <v>4.6971022291560582E-2</v>
      </c>
      <c r="AN383" s="26">
        <f t="shared" si="132"/>
        <v>15.39714285714286</v>
      </c>
      <c r="AO383" s="26">
        <f t="shared" si="133"/>
        <v>16.025486230636837</v>
      </c>
      <c r="AP383" s="26">
        <f t="shared" si="134"/>
        <v>17.072503348126375</v>
      </c>
      <c r="AS383" s="2">
        <v>45097</v>
      </c>
      <c r="AT383">
        <v>19.2</v>
      </c>
      <c r="AU383">
        <v>19.399999999999999</v>
      </c>
      <c r="AV383">
        <v>29.5</v>
      </c>
      <c r="AW383">
        <v>2.6</v>
      </c>
      <c r="AX383">
        <v>277.57</v>
      </c>
      <c r="AY383">
        <v>0.3</v>
      </c>
      <c r="AZ383">
        <v>3</v>
      </c>
      <c r="BA383">
        <v>290.71850000000001</v>
      </c>
      <c r="BB383">
        <v>64.178200000000004</v>
      </c>
      <c r="BC383">
        <v>107.1571</v>
      </c>
      <c r="BD383">
        <v>4.1418999999999997</v>
      </c>
      <c r="BE383">
        <v>20.678799999999999</v>
      </c>
      <c r="BF383">
        <v>-2.7345000000000002</v>
      </c>
      <c r="BG383">
        <v>-12.9856</v>
      </c>
      <c r="BH383">
        <v>74.930000000000007</v>
      </c>
    </row>
    <row r="384" spans="1:60" x14ac:dyDescent="0.25">
      <c r="A384" s="2">
        <v>45117</v>
      </c>
      <c r="B384">
        <v>15.8</v>
      </c>
      <c r="C384">
        <v>348.3</v>
      </c>
      <c r="D384">
        <v>11.2</v>
      </c>
      <c r="E384">
        <v>5.2</v>
      </c>
      <c r="F384">
        <v>269.38</v>
      </c>
      <c r="G384">
        <v>0.5</v>
      </c>
      <c r="H384">
        <v>3.3</v>
      </c>
      <c r="I384">
        <v>218.2782</v>
      </c>
      <c r="J384">
        <v>32.880800000000001</v>
      </c>
      <c r="K384">
        <v>107.14409999999999</v>
      </c>
      <c r="L384">
        <v>3.3149000000000002</v>
      </c>
      <c r="M384">
        <v>29.168399999999998</v>
      </c>
      <c r="N384">
        <v>-8.0657999999999994</v>
      </c>
      <c r="O384">
        <v>-27.847799999999999</v>
      </c>
      <c r="P384">
        <v>80.13</v>
      </c>
      <c r="S384">
        <f t="shared" si="113"/>
        <v>1044.4663999999998</v>
      </c>
      <c r="T384">
        <f t="shared" si="114"/>
        <v>1.4811946866359206E-2</v>
      </c>
      <c r="U384">
        <f t="shared" si="115"/>
        <v>0.32651905655398178</v>
      </c>
      <c r="V384">
        <f t="shared" si="116"/>
        <v>1.0499607905267284E-2</v>
      </c>
      <c r="W384">
        <f t="shared" si="117"/>
        <v>4.874817956016954E-3</v>
      </c>
      <c r="X384">
        <f t="shared" si="118"/>
        <v>0.25253431942150906</v>
      </c>
      <c r="Y384">
        <f t="shared" si="119"/>
        <v>4.6873249577086097E-4</v>
      </c>
      <c r="Z384">
        <f t="shared" si="120"/>
        <v>3.0936344720876819E-3</v>
      </c>
      <c r="AA384">
        <f t="shared" si="121"/>
        <v>0.20462817091674229</v>
      </c>
      <c r="AB384">
        <f t="shared" si="122"/>
        <v>3.0824598893885051E-2</v>
      </c>
      <c r="AC384">
        <f t="shared" si="123"/>
        <v>0.1004438428002454</v>
      </c>
      <c r="AD384">
        <f t="shared" si="124"/>
        <v>3.1076027004616541E-3</v>
      </c>
      <c r="AE384">
        <f t="shared" si="125"/>
        <v>2.7344353859285561E-2</v>
      </c>
      <c r="AG384">
        <f t="shared" si="126"/>
        <v>0.24022723048242167</v>
      </c>
      <c r="AH384">
        <f t="shared" si="127"/>
        <v>0.64014646953027832</v>
      </c>
      <c r="AI384">
        <f t="shared" si="128"/>
        <v>2.5598284713267838</v>
      </c>
      <c r="AK384" s="26">
        <f t="shared" si="129"/>
        <v>7.6285802987759055E-2</v>
      </c>
      <c r="AL384" s="26">
        <f t="shared" si="130"/>
        <v>6.3704067399124598E-2</v>
      </c>
      <c r="AM384" s="26">
        <f t="shared" si="131"/>
        <v>4.6208611749607498E-2</v>
      </c>
      <c r="AN384" s="26">
        <f t="shared" si="132"/>
        <v>15.438571428571443</v>
      </c>
      <c r="AO384" s="26">
        <f t="shared" si="133"/>
        <v>16.064515920826167</v>
      </c>
      <c r="AP384" s="26">
        <f t="shared" si="134"/>
        <v>17.101071663034062</v>
      </c>
      <c r="AS384" s="2">
        <v>45096</v>
      </c>
      <c r="AT384">
        <v>17.600000000000001</v>
      </c>
      <c r="AU384">
        <v>46.9</v>
      </c>
      <c r="AV384">
        <v>55.5</v>
      </c>
      <c r="AW384">
        <v>5.8</v>
      </c>
      <c r="AX384">
        <v>260.39</v>
      </c>
      <c r="AY384">
        <v>0.3</v>
      </c>
      <c r="AZ384">
        <v>3.2</v>
      </c>
      <c r="BA384">
        <v>250.27760000000001</v>
      </c>
      <c r="BB384">
        <v>48.170699999999997</v>
      </c>
      <c r="BC384">
        <v>76.237399999999994</v>
      </c>
      <c r="BD384">
        <v>3.48</v>
      </c>
      <c r="BE384">
        <v>27.083400000000001</v>
      </c>
      <c r="BF384">
        <v>-4.0715000000000003</v>
      </c>
      <c r="BG384">
        <v>-19.584099999999999</v>
      </c>
      <c r="BH384">
        <v>74.650000000000006</v>
      </c>
    </row>
    <row r="385" spans="1:60" x14ac:dyDescent="0.25">
      <c r="A385" s="2">
        <v>45116</v>
      </c>
      <c r="B385">
        <v>15.2</v>
      </c>
      <c r="C385">
        <v>541.4</v>
      </c>
      <c r="D385">
        <v>32.1</v>
      </c>
      <c r="E385">
        <v>5.0999999999999996</v>
      </c>
      <c r="F385">
        <v>332.85</v>
      </c>
      <c r="G385">
        <v>0.5</v>
      </c>
      <c r="H385">
        <v>3.2</v>
      </c>
      <c r="I385">
        <v>158.59379999999999</v>
      </c>
      <c r="J385">
        <v>16.57</v>
      </c>
      <c r="K385">
        <v>45.269300000000001</v>
      </c>
      <c r="L385">
        <v>3.48</v>
      </c>
      <c r="M385">
        <v>16.2943</v>
      </c>
      <c r="P385">
        <v>79.849999999999994</v>
      </c>
      <c r="S385">
        <f t="shared" si="113"/>
        <v>1170.5573999999999</v>
      </c>
      <c r="T385">
        <f t="shared" si="114"/>
        <v>1.4249467871434173E-2</v>
      </c>
      <c r="U385">
        <f t="shared" si="115"/>
        <v>0.50754354642068822</v>
      </c>
      <c r="V385">
        <f t="shared" si="116"/>
        <v>3.0092626228489273E-2</v>
      </c>
      <c r="W385">
        <f t="shared" si="117"/>
        <v>4.7810714568627816E-3</v>
      </c>
      <c r="X385">
        <f t="shared" si="118"/>
        <v>0.31203522243466214</v>
      </c>
      <c r="Y385">
        <f t="shared" si="119"/>
        <v>4.6873249577086097E-4</v>
      </c>
      <c r="Z385">
        <f t="shared" si="120"/>
        <v>2.9998879729335104E-3</v>
      </c>
      <c r="AA385">
        <f t="shared" si="121"/>
        <v>0.14867613537556953</v>
      </c>
      <c r="AB385">
        <f t="shared" si="122"/>
        <v>1.5533794909846332E-2</v>
      </c>
      <c r="AC385">
        <f t="shared" si="123"/>
        <v>4.2438383941599669E-2</v>
      </c>
      <c r="AD385">
        <f t="shared" si="124"/>
        <v>3.2623781705651924E-3</v>
      </c>
      <c r="AE385">
        <f t="shared" si="125"/>
        <v>1.5275335811678279E-2</v>
      </c>
      <c r="AG385">
        <f t="shared" si="126"/>
        <v>0.22910649865430258</v>
      </c>
      <c r="AH385">
        <f t="shared" si="127"/>
        <v>0.88744589069251933</v>
      </c>
      <c r="AI385">
        <f t="shared" si="128"/>
        <v>4.230472924134931</v>
      </c>
      <c r="AK385" s="26">
        <f t="shared" si="129"/>
        <v>4.9985862507113732E-2</v>
      </c>
      <c r="AL385" s="26">
        <f t="shared" si="130"/>
        <v>6.0417785484812248E-2</v>
      </c>
      <c r="AM385" s="26">
        <f t="shared" si="131"/>
        <v>4.3399396169985671E-2</v>
      </c>
      <c r="AN385" s="26">
        <f t="shared" si="132"/>
        <v>15.476984126984135</v>
      </c>
      <c r="AO385" s="26">
        <f t="shared" si="133"/>
        <v>16.102549483648872</v>
      </c>
      <c r="AP385" s="26">
        <f t="shared" si="134"/>
        <v>17.12810876815211</v>
      </c>
      <c r="AS385" s="2">
        <v>45095</v>
      </c>
      <c r="AT385">
        <v>18</v>
      </c>
      <c r="AU385">
        <v>55.3</v>
      </c>
      <c r="AV385">
        <v>6.5</v>
      </c>
      <c r="AW385">
        <v>0.8</v>
      </c>
      <c r="AX385">
        <v>304.3</v>
      </c>
      <c r="AY385">
        <v>0.4</v>
      </c>
      <c r="AZ385">
        <v>2.9</v>
      </c>
      <c r="BA385">
        <v>170.17060000000001</v>
      </c>
      <c r="BB385">
        <v>25.2241</v>
      </c>
      <c r="BC385">
        <v>37.680700000000002</v>
      </c>
      <c r="BD385">
        <v>2.8748</v>
      </c>
      <c r="BE385">
        <v>14.6098</v>
      </c>
      <c r="BH385">
        <v>74.38</v>
      </c>
    </row>
    <row r="386" spans="1:60" x14ac:dyDescent="0.25">
      <c r="A386" s="2">
        <v>45115</v>
      </c>
      <c r="B386">
        <v>15.9</v>
      </c>
      <c r="C386">
        <v>235.4</v>
      </c>
      <c r="D386">
        <v>37.200000000000003</v>
      </c>
      <c r="E386">
        <v>5.8</v>
      </c>
      <c r="F386">
        <v>343.45</v>
      </c>
      <c r="G386">
        <v>0.5</v>
      </c>
      <c r="H386">
        <v>3.3</v>
      </c>
      <c r="I386">
        <v>156.71250000000001</v>
      </c>
      <c r="J386">
        <v>16.0625</v>
      </c>
      <c r="K386">
        <v>35.278599999999997</v>
      </c>
      <c r="L386">
        <v>3.48</v>
      </c>
      <c r="M386">
        <v>12.2926</v>
      </c>
      <c r="P386">
        <v>79.5</v>
      </c>
      <c r="S386">
        <f t="shared" ref="S386:S449" si="135">SUM(B386:M386)</f>
        <v>865.37619999999993</v>
      </c>
      <c r="T386">
        <f t="shared" si="114"/>
        <v>1.4905693365513379E-2</v>
      </c>
      <c r="U386">
        <f t="shared" si="115"/>
        <v>0.22067925900892135</v>
      </c>
      <c r="V386">
        <f t="shared" si="116"/>
        <v>3.4873697685352055E-2</v>
      </c>
      <c r="W386">
        <f t="shared" si="117"/>
        <v>5.4372969509419869E-3</v>
      </c>
      <c r="X386">
        <f t="shared" si="118"/>
        <v>0.3219723513450044</v>
      </c>
      <c r="Y386">
        <f t="shared" si="119"/>
        <v>4.6873249577086097E-4</v>
      </c>
      <c r="Z386">
        <f t="shared" si="120"/>
        <v>3.0936344720876819E-3</v>
      </c>
      <c r="AA386">
        <f t="shared" si="121"/>
        <v>0.1469124824869821</v>
      </c>
      <c r="AB386">
        <f t="shared" si="122"/>
        <v>1.5058031426638908E-2</v>
      </c>
      <c r="AC386">
        <f t="shared" si="123"/>
        <v>3.3072452450603786E-2</v>
      </c>
      <c r="AD386">
        <f t="shared" si="124"/>
        <v>3.2623781705651924E-3</v>
      </c>
      <c r="AE386">
        <f t="shared" si="125"/>
        <v>1.1523882155025771E-2</v>
      </c>
      <c r="AG386">
        <f t="shared" si="126"/>
        <v>0.21466535488480679</v>
      </c>
      <c r="AH386">
        <f t="shared" si="127"/>
        <v>0.61295454747861733</v>
      </c>
      <c r="AI386">
        <f t="shared" si="128"/>
        <v>2.4811594895096696</v>
      </c>
      <c r="AK386" s="26">
        <f t="shared" si="129"/>
        <v>2.4119690054134113E-2</v>
      </c>
      <c r="AL386" s="26">
        <f t="shared" si="130"/>
        <v>5.2103378382364007E-2</v>
      </c>
      <c r="AM386" s="26">
        <f t="shared" si="131"/>
        <v>3.9239350404339624E-2</v>
      </c>
      <c r="AN386" s="26">
        <f t="shared" si="132"/>
        <v>15.517619047619071</v>
      </c>
      <c r="AO386" s="26">
        <f t="shared" si="133"/>
        <v>16.143638123924255</v>
      </c>
      <c r="AP386" s="26">
        <f t="shared" si="134"/>
        <v>17.153352327932581</v>
      </c>
      <c r="AS386" s="2">
        <v>45094</v>
      </c>
      <c r="AT386">
        <v>19.100000000000001</v>
      </c>
      <c r="AU386">
        <v>106.3</v>
      </c>
      <c r="AV386">
        <v>2.7</v>
      </c>
      <c r="AW386">
        <v>1.2</v>
      </c>
      <c r="AX386">
        <v>317.64</v>
      </c>
      <c r="AY386">
        <v>0.5</v>
      </c>
      <c r="AZ386">
        <v>2.7</v>
      </c>
      <c r="BA386">
        <v>174.8518</v>
      </c>
      <c r="BB386">
        <v>31.012</v>
      </c>
      <c r="BC386">
        <v>48.917499999999997</v>
      </c>
      <c r="BD386">
        <v>3.48</v>
      </c>
      <c r="BE386">
        <v>18.593299999999999</v>
      </c>
      <c r="BH386">
        <v>73.989999999999995</v>
      </c>
    </row>
    <row r="387" spans="1:60" x14ac:dyDescent="0.25">
      <c r="A387" s="2">
        <v>45114</v>
      </c>
      <c r="B387">
        <v>17.7</v>
      </c>
      <c r="C387">
        <v>196.3</v>
      </c>
      <c r="D387">
        <v>7.4</v>
      </c>
      <c r="E387">
        <v>2</v>
      </c>
      <c r="F387">
        <v>371.36</v>
      </c>
      <c r="G387">
        <v>0.6</v>
      </c>
      <c r="H387">
        <v>3.2</v>
      </c>
      <c r="I387">
        <v>207.8092</v>
      </c>
      <c r="J387">
        <v>37.781999999999996</v>
      </c>
      <c r="K387">
        <v>78.990899999999996</v>
      </c>
      <c r="L387">
        <v>3.5003000000000002</v>
      </c>
      <c r="M387">
        <v>21.665800000000001</v>
      </c>
      <c r="N387">
        <v>-10.5101</v>
      </c>
      <c r="O387">
        <v>-25.526199999999999</v>
      </c>
      <c r="P387">
        <v>79.14</v>
      </c>
      <c r="S387">
        <f t="shared" si="135"/>
        <v>948.30820000000017</v>
      </c>
      <c r="T387">
        <f t="shared" si="114"/>
        <v>1.6593130350288476E-2</v>
      </c>
      <c r="U387">
        <f t="shared" si="115"/>
        <v>0.18402437783964001</v>
      </c>
      <c r="V387">
        <f t="shared" si="116"/>
        <v>6.9372409374087425E-3</v>
      </c>
      <c r="W387">
        <f t="shared" si="117"/>
        <v>1.8749299830834439E-3</v>
      </c>
      <c r="X387">
        <f t="shared" si="118"/>
        <v>0.34813699925893388</v>
      </c>
      <c r="Y387">
        <f t="shared" si="119"/>
        <v>5.6247899492503314E-4</v>
      </c>
      <c r="Z387">
        <f t="shared" si="120"/>
        <v>2.9998879729335104E-3</v>
      </c>
      <c r="AA387">
        <f t="shared" si="121"/>
        <v>0.19481384992029199</v>
      </c>
      <c r="AB387">
        <f t="shared" si="122"/>
        <v>3.5419302310429335E-2</v>
      </c>
      <c r="AC387">
        <f t="shared" si="123"/>
        <v>7.4051203400372995E-2</v>
      </c>
      <c r="AD387">
        <f t="shared" si="124"/>
        <v>3.2814087098934895E-3</v>
      </c>
      <c r="AE387">
        <f t="shared" si="125"/>
        <v>2.0310929013744639E-2</v>
      </c>
      <c r="AG387">
        <f t="shared" si="126"/>
        <v>0.19976667642700238</v>
      </c>
      <c r="AH387">
        <f t="shared" si="127"/>
        <v>0.58143997435095773</v>
      </c>
      <c r="AI387">
        <f t="shared" si="128"/>
        <v>2.2902281860361517</v>
      </c>
      <c r="AK387" s="26">
        <f t="shared" si="129"/>
        <v>3.9034360762973397E-3</v>
      </c>
      <c r="AL387" s="26">
        <f t="shared" si="130"/>
        <v>5.1179736925266561E-2</v>
      </c>
      <c r="AM387" s="26">
        <f t="shared" si="131"/>
        <v>3.7705116202967237E-2</v>
      </c>
      <c r="AN387" s="26">
        <f t="shared" si="132"/>
        <v>15.557936507936532</v>
      </c>
      <c r="AO387" s="26">
        <f t="shared" si="133"/>
        <v>16.186183304647152</v>
      </c>
      <c r="AP387" s="26">
        <f t="shared" si="134"/>
        <v>17.177630576928145</v>
      </c>
      <c r="AS387" s="2">
        <v>45093</v>
      </c>
      <c r="AT387">
        <v>20.2</v>
      </c>
      <c r="AU387">
        <v>53.4</v>
      </c>
      <c r="AV387">
        <v>13.7</v>
      </c>
      <c r="AW387">
        <v>3.6</v>
      </c>
      <c r="AX387">
        <v>261.95999999999998</v>
      </c>
      <c r="AY387">
        <v>0.5</v>
      </c>
      <c r="AZ387">
        <v>2.7</v>
      </c>
      <c r="BA387">
        <v>245.56030000000001</v>
      </c>
      <c r="BB387">
        <v>119.51009999999999</v>
      </c>
      <c r="BC387">
        <v>71.738600000000005</v>
      </c>
      <c r="BD387">
        <v>3.48</v>
      </c>
      <c r="BE387">
        <v>21.091000000000001</v>
      </c>
      <c r="BF387">
        <v>-3.0289000000000001</v>
      </c>
      <c r="BG387">
        <v>-18.054400000000001</v>
      </c>
      <c r="BH387">
        <v>73.67</v>
      </c>
    </row>
    <row r="388" spans="1:60" x14ac:dyDescent="0.25">
      <c r="A388" s="2">
        <v>45113</v>
      </c>
      <c r="B388">
        <v>18.2</v>
      </c>
      <c r="C388">
        <v>466.5</v>
      </c>
      <c r="D388">
        <v>34.6</v>
      </c>
      <c r="E388">
        <v>8</v>
      </c>
      <c r="F388">
        <v>313.49</v>
      </c>
      <c r="G388">
        <v>0.7</v>
      </c>
      <c r="H388">
        <v>3.3</v>
      </c>
      <c r="I388">
        <v>205.23060000000001</v>
      </c>
      <c r="J388">
        <v>54.886299999999999</v>
      </c>
      <c r="K388">
        <v>83.446899999999999</v>
      </c>
      <c r="L388">
        <v>3.4889999999999999</v>
      </c>
      <c r="M388">
        <v>16.066500000000001</v>
      </c>
      <c r="N388">
        <v>-8.4125999999999994</v>
      </c>
      <c r="O388">
        <v>-26.779900000000001</v>
      </c>
      <c r="P388">
        <v>78.849999999999994</v>
      </c>
      <c r="S388">
        <f t="shared" si="135"/>
        <v>1207.9092999999998</v>
      </c>
      <c r="T388">
        <f t="shared" si="114"/>
        <v>1.7061862846059338E-2</v>
      </c>
      <c r="U388">
        <f t="shared" si="115"/>
        <v>0.43732741855421325</v>
      </c>
      <c r="V388">
        <f t="shared" si="116"/>
        <v>3.243628870734358E-2</v>
      </c>
      <c r="W388">
        <f t="shared" si="117"/>
        <v>7.4997199323337755E-3</v>
      </c>
      <c r="X388">
        <f t="shared" si="118"/>
        <v>0.29388590019841443</v>
      </c>
      <c r="Y388">
        <f t="shared" si="119"/>
        <v>6.5622549407920526E-4</v>
      </c>
      <c r="Z388">
        <f t="shared" si="120"/>
        <v>3.0936344720876819E-3</v>
      </c>
      <c r="AA388">
        <f t="shared" si="121"/>
        <v>0.19239650269310252</v>
      </c>
      <c r="AB388">
        <f t="shared" si="122"/>
        <v>5.1453984765256408E-2</v>
      </c>
      <c r="AC388">
        <f t="shared" si="123"/>
        <v>7.822854740268291E-2</v>
      </c>
      <c r="AD388">
        <f t="shared" si="124"/>
        <v>3.2708153554890677E-3</v>
      </c>
      <c r="AE388">
        <f t="shared" si="125"/>
        <v>1.5061781286605076E-2</v>
      </c>
      <c r="AG388">
        <f t="shared" si="126"/>
        <v>0.18822255682449709</v>
      </c>
      <c r="AH388">
        <f t="shared" si="127"/>
        <v>0.80702283149113629</v>
      </c>
      <c r="AI388">
        <f t="shared" si="128"/>
        <v>3.8740296278342354</v>
      </c>
      <c r="AK388" s="26">
        <f t="shared" si="129"/>
        <v>-8.2519418415466506E-3</v>
      </c>
      <c r="AL388" s="26">
        <f t="shared" si="130"/>
        <v>4.9369017364355117E-2</v>
      </c>
      <c r="AM388" s="26">
        <f t="shared" si="131"/>
        <v>3.7808109401765266E-2</v>
      </c>
      <c r="AN388" s="26">
        <f t="shared" si="132"/>
        <v>15.601428571428585</v>
      </c>
      <c r="AO388" s="26">
        <f t="shared" si="133"/>
        <v>16.229399741824423</v>
      </c>
      <c r="AP388" s="26">
        <f t="shared" si="134"/>
        <v>17.202092907224078</v>
      </c>
      <c r="AS388" s="2">
        <v>45092</v>
      </c>
      <c r="AT388">
        <v>19.8</v>
      </c>
      <c r="AU388">
        <v>88.6</v>
      </c>
      <c r="AV388">
        <v>7.4</v>
      </c>
      <c r="AW388">
        <v>3.5</v>
      </c>
      <c r="AX388">
        <v>304.08</v>
      </c>
      <c r="AY388">
        <v>0.5</v>
      </c>
      <c r="AZ388">
        <v>3</v>
      </c>
      <c r="BA388">
        <v>214.5273</v>
      </c>
      <c r="BB388">
        <v>82.109499999999997</v>
      </c>
      <c r="BC388">
        <v>94.544899999999998</v>
      </c>
      <c r="BD388">
        <v>3.48</v>
      </c>
      <c r="BE388">
        <v>23.0212</v>
      </c>
      <c r="BF388">
        <v>-5.5707000000000004</v>
      </c>
      <c r="BG388">
        <v>-9.5385000000000009</v>
      </c>
      <c r="BH388">
        <v>73.38</v>
      </c>
    </row>
    <row r="389" spans="1:60" x14ac:dyDescent="0.25">
      <c r="A389" s="2">
        <v>45112</v>
      </c>
      <c r="B389">
        <v>17</v>
      </c>
      <c r="C389">
        <v>339.2</v>
      </c>
      <c r="D389">
        <v>52.1</v>
      </c>
      <c r="E389">
        <v>18.600000000000001</v>
      </c>
      <c r="F389">
        <v>243.04</v>
      </c>
      <c r="G389">
        <v>0.7</v>
      </c>
      <c r="H389">
        <v>3</v>
      </c>
      <c r="I389">
        <v>146.1944</v>
      </c>
      <c r="J389">
        <v>48.978499999999997</v>
      </c>
      <c r="K389">
        <v>38.921599999999998</v>
      </c>
      <c r="L389">
        <v>3.335</v>
      </c>
      <c r="M389">
        <v>13.9892</v>
      </c>
      <c r="N389">
        <v>-9.2937999999999992</v>
      </c>
      <c r="O389">
        <v>-25.878499999999999</v>
      </c>
      <c r="P389">
        <v>78.599999999999994</v>
      </c>
      <c r="S389">
        <f t="shared" si="135"/>
        <v>925.05870000000016</v>
      </c>
      <c r="T389">
        <f t="shared" ref="T389:T452" si="136">B389/$S$4</f>
        <v>1.5936904856209272E-2</v>
      </c>
      <c r="U389">
        <f t="shared" ref="U389:U452" si="137">C389/$S$4</f>
        <v>0.31798812513095204</v>
      </c>
      <c r="V389">
        <f t="shared" ref="V389:V452" si="138">D389/$S$4</f>
        <v>4.8841926059323713E-2</v>
      </c>
      <c r="W389">
        <f t="shared" ref="W389:W452" si="139">E389/$S$4</f>
        <v>1.7436848842676027E-2</v>
      </c>
      <c r="X389">
        <f t="shared" ref="X389:X452" si="140">F389/$S$4</f>
        <v>0.22784149154430008</v>
      </c>
      <c r="Y389">
        <f t="shared" ref="Y389:Y452" si="141">G389/$S$4</f>
        <v>6.5622549407920526E-4</v>
      </c>
      <c r="Z389">
        <f t="shared" ref="Z389:Z452" si="142">H389/$S$4</f>
        <v>2.8123949746251659E-3</v>
      </c>
      <c r="AA389">
        <f t="shared" ref="AA389:AA452" si="143">I389/$S$4</f>
        <v>0.1370521319594471</v>
      </c>
      <c r="AB389">
        <f t="shared" ref="AB389:AB452" si="144">J389/$S$4</f>
        <v>4.5915629088226224E-2</v>
      </c>
      <c r="AC389">
        <f t="shared" ref="AC389:AC452" si="145">K389/$S$4</f>
        <v>3.6487637414790282E-2</v>
      </c>
      <c r="AD389">
        <f t="shared" ref="AD389:AD452" si="146">L389/$S$4</f>
        <v>3.1264457467916427E-3</v>
      </c>
      <c r="AE389">
        <f t="shared" ref="AE389:AE452" si="147">M389/$S$4</f>
        <v>1.3114385259675456E-2</v>
      </c>
      <c r="AG389">
        <f t="shared" ref="AG389:AG452" si="148">(P389-AVERAGE(P389:P753)) / _xlfn.STDEV.S(P389:P2216)</f>
        <v>0.17860406586853511</v>
      </c>
      <c r="AH389">
        <f t="shared" ref="AH389:AH452" si="149">SUM(T389:Y389,Z389,AE389)</f>
        <v>0.64462830216184097</v>
      </c>
      <c r="AI389">
        <f t="shared" ref="AI389:AI452" si="150">(AH389-AVERAGE(AH389:AH753))/_xlfn.STDEV.S(AH389:AH753)</f>
        <v>2.8129696931851238</v>
      </c>
      <c r="AK389" s="26">
        <f t="shared" ref="AK389:AK452" si="151">AVERAGEA(AH389:AH409)-AVERAGE(AH755:AH775, AH1120:AH1140, AH1485:AH1505)</f>
        <v>-2.3706308169935075E-2</v>
      </c>
      <c r="AL389" s="26">
        <f t="shared" ref="AL389:AL452" si="152">AVERAGEA(AH389:AH444)-AVERAGE(AH755:AH810, AH1120:AH1174, AH1485:AH1539)</f>
        <v>4.326497439595528E-2</v>
      </c>
      <c r="AM389" s="26">
        <f t="shared" ref="AM389:AM452" si="153">AVERAGEA(AH389:AH501)-AVERAGE(AH755:AH867,AH1120:AH1231,AH1485:AH1596)</f>
        <v>3.5512536831249775E-2</v>
      </c>
      <c r="AN389" s="26">
        <f t="shared" ref="AN389:AN452" si="154">AVERAGEA(P389:P409)-AVERAGE(P755:P775, P1120:P1140, P1485:P1505)</f>
        <v>15.644761904761907</v>
      </c>
      <c r="AO389" s="26">
        <f t="shared" ref="AO389:AO452" si="155">AVERAGEA(P389:P444)-AVERAGE(P755:P810, P1120:P1174, P1485:P1539)</f>
        <v>16.272973321858849</v>
      </c>
      <c r="AP389" s="26">
        <f t="shared" ref="AP389:AP452" si="156">AVERAGEA(P389:P501)-AVERAGE(P755:P867,P1120:P1231,P1485:P1596)</f>
        <v>17.226618523673224</v>
      </c>
      <c r="AS389" s="2">
        <v>45091</v>
      </c>
      <c r="AT389">
        <v>21.1</v>
      </c>
      <c r="AU389">
        <v>46.7</v>
      </c>
      <c r="AV389">
        <v>26.6</v>
      </c>
      <c r="AW389">
        <v>5.8</v>
      </c>
      <c r="AX389">
        <v>326.08</v>
      </c>
      <c r="AY389">
        <v>0.5</v>
      </c>
      <c r="AZ389">
        <v>3</v>
      </c>
      <c r="BA389">
        <v>196.5334</v>
      </c>
      <c r="BB389">
        <v>32.324599999999997</v>
      </c>
      <c r="BC389">
        <v>67.324600000000004</v>
      </c>
      <c r="BD389">
        <v>3.4060000000000001</v>
      </c>
      <c r="BE389">
        <v>24.314299999999999</v>
      </c>
      <c r="BF389">
        <v>5.8400000000000001E-2</v>
      </c>
      <c r="BG389">
        <v>-10.1813</v>
      </c>
      <c r="BH389">
        <v>73.13</v>
      </c>
    </row>
    <row r="390" spans="1:60" x14ac:dyDescent="0.25">
      <c r="A390" s="2">
        <v>45111</v>
      </c>
      <c r="B390">
        <v>16.3</v>
      </c>
      <c r="C390">
        <v>431.1</v>
      </c>
      <c r="D390">
        <v>54.9</v>
      </c>
      <c r="E390">
        <v>15.3</v>
      </c>
      <c r="F390">
        <v>293.27999999999997</v>
      </c>
      <c r="G390">
        <v>0.7</v>
      </c>
      <c r="H390">
        <v>3</v>
      </c>
      <c r="I390">
        <v>136.60839999999999</v>
      </c>
      <c r="J390">
        <v>56.535899999999998</v>
      </c>
      <c r="K390">
        <v>46.616300000000003</v>
      </c>
      <c r="L390">
        <v>3.8062</v>
      </c>
      <c r="M390">
        <v>16.64</v>
      </c>
      <c r="N390">
        <v>-7.6561000000000003</v>
      </c>
      <c r="O390">
        <v>-20.816600000000001</v>
      </c>
      <c r="P390">
        <v>78.319999999999993</v>
      </c>
      <c r="S390">
        <f t="shared" si="135"/>
        <v>1074.7868000000001</v>
      </c>
      <c r="T390">
        <f t="shared" si="136"/>
        <v>1.5280679362130067E-2</v>
      </c>
      <c r="U390">
        <f t="shared" si="137"/>
        <v>0.40414115785363636</v>
      </c>
      <c r="V390">
        <f t="shared" si="138"/>
        <v>5.1466828035640531E-2</v>
      </c>
      <c r="W390">
        <f t="shared" si="139"/>
        <v>1.4343214370588346E-2</v>
      </c>
      <c r="X390">
        <f t="shared" si="140"/>
        <v>0.27493973271935618</v>
      </c>
      <c r="Y390">
        <f t="shared" si="141"/>
        <v>6.5622549407920526E-4</v>
      </c>
      <c r="Z390">
        <f t="shared" si="142"/>
        <v>2.8123949746251659E-3</v>
      </c>
      <c r="AA390">
        <f t="shared" si="143"/>
        <v>0.12806559255052816</v>
      </c>
      <c r="AB390">
        <f t="shared" si="144"/>
        <v>5.3000427015303636E-2</v>
      </c>
      <c r="AC390">
        <f t="shared" si="145"/>
        <v>4.3701149285206374E-2</v>
      </c>
      <c r="AD390">
        <f t="shared" si="146"/>
        <v>3.5681792508061019E-3</v>
      </c>
      <c r="AE390">
        <f t="shared" si="147"/>
        <v>1.5599417459254254E-2</v>
      </c>
      <c r="AG390">
        <f t="shared" si="148"/>
        <v>0.16756947461105515</v>
      </c>
      <c r="AH390">
        <f t="shared" si="149"/>
        <v>0.77923965026931008</v>
      </c>
      <c r="AI390">
        <f t="shared" si="150"/>
        <v>3.8011851082111776</v>
      </c>
      <c r="AK390" s="26">
        <f t="shared" si="151"/>
        <v>-3.7887391690335503E-2</v>
      </c>
      <c r="AL390" s="26">
        <f t="shared" si="152"/>
        <v>4.3175466134076024E-2</v>
      </c>
      <c r="AM390" s="26">
        <f t="shared" si="153"/>
        <v>3.3620696408527606E-2</v>
      </c>
      <c r="AN390" s="26">
        <f t="shared" si="154"/>
        <v>15.687301587301583</v>
      </c>
      <c r="AO390" s="26">
        <f t="shared" si="155"/>
        <v>16.316959982788283</v>
      </c>
      <c r="AP390" s="26">
        <f t="shared" si="156"/>
        <v>17.250968987158956</v>
      </c>
      <c r="AS390" s="2">
        <v>45090</v>
      </c>
      <c r="AT390">
        <v>20.100000000000001</v>
      </c>
      <c r="AU390">
        <v>40.700000000000003</v>
      </c>
      <c r="AV390">
        <v>49.4</v>
      </c>
      <c r="AW390">
        <v>9.1999999999999993</v>
      </c>
      <c r="AX390">
        <v>366.51</v>
      </c>
      <c r="AY390">
        <v>0.5</v>
      </c>
      <c r="AZ390">
        <v>3.1</v>
      </c>
      <c r="BA390">
        <v>175.0136</v>
      </c>
      <c r="BB390">
        <v>28.4284</v>
      </c>
      <c r="BC390">
        <v>52.3812</v>
      </c>
      <c r="BD390">
        <v>3.48</v>
      </c>
      <c r="BE390">
        <v>21.861699999999999</v>
      </c>
      <c r="BF390">
        <v>-5.6802000000000001</v>
      </c>
      <c r="BG390">
        <v>-18.3765</v>
      </c>
      <c r="BH390">
        <v>72.86</v>
      </c>
    </row>
    <row r="391" spans="1:60" x14ac:dyDescent="0.25">
      <c r="A391" s="2">
        <v>45110</v>
      </c>
      <c r="B391">
        <v>15.8</v>
      </c>
      <c r="C391">
        <v>131.5</v>
      </c>
      <c r="D391">
        <v>65.7</v>
      </c>
      <c r="E391">
        <v>15.7</v>
      </c>
      <c r="F391">
        <v>243.31</v>
      </c>
      <c r="G391">
        <v>0.7</v>
      </c>
      <c r="H391">
        <v>2.9</v>
      </c>
      <c r="I391">
        <v>100.67959999999999</v>
      </c>
      <c r="J391">
        <v>53.040100000000002</v>
      </c>
      <c r="K391">
        <v>48.887700000000002</v>
      </c>
      <c r="L391">
        <v>3.6667999999999998</v>
      </c>
      <c r="M391">
        <v>22.385300000000001</v>
      </c>
      <c r="N391">
        <v>-5.8295000000000003</v>
      </c>
      <c r="O391">
        <v>-22.628599999999999</v>
      </c>
      <c r="P391">
        <v>78.11</v>
      </c>
      <c r="S391">
        <f t="shared" si="135"/>
        <v>704.26949999999999</v>
      </c>
      <c r="T391">
        <f t="shared" si="136"/>
        <v>1.4811946866359206E-2</v>
      </c>
      <c r="U391">
        <f t="shared" si="137"/>
        <v>0.12327664638773643</v>
      </c>
      <c r="V391">
        <f t="shared" si="138"/>
        <v>6.1591449944291131E-2</v>
      </c>
      <c r="W391">
        <f t="shared" si="139"/>
        <v>1.4718200367205033E-2</v>
      </c>
      <c r="X391">
        <f t="shared" si="140"/>
        <v>0.22809460709201637</v>
      </c>
      <c r="Y391">
        <f t="shared" si="141"/>
        <v>6.5622549407920526E-4</v>
      </c>
      <c r="Z391">
        <f t="shared" si="142"/>
        <v>2.7186484754709935E-3</v>
      </c>
      <c r="AA391">
        <f t="shared" si="143"/>
        <v>9.4383600362423936E-2</v>
      </c>
      <c r="AB391">
        <f t="shared" si="144"/>
        <v>4.9723236897872086E-2</v>
      </c>
      <c r="AC391">
        <f t="shared" si="145"/>
        <v>4.5830507266994239E-2</v>
      </c>
      <c r="AD391">
        <f t="shared" si="146"/>
        <v>3.4374966309851859E-3</v>
      </c>
      <c r="AE391">
        <f t="shared" si="147"/>
        <v>2.0985435075158907E-2</v>
      </c>
      <c r="AG391">
        <f t="shared" si="148"/>
        <v>0.15989510588964842</v>
      </c>
      <c r="AH391">
        <f t="shared" si="149"/>
        <v>0.46685315970231733</v>
      </c>
      <c r="AI391">
        <f t="shared" si="150"/>
        <v>1.6121675754888773</v>
      </c>
      <c r="AK391" s="26">
        <f t="shared" si="151"/>
        <v>-4.7603957408762998E-2</v>
      </c>
      <c r="AL391" s="26">
        <f t="shared" si="152"/>
        <v>4.0796691698630538E-2</v>
      </c>
      <c r="AM391" s="26">
        <f t="shared" si="153"/>
        <v>3.1197533776871622E-2</v>
      </c>
      <c r="AN391" s="26">
        <f t="shared" si="154"/>
        <v>15.731111111111119</v>
      </c>
      <c r="AO391" s="26">
        <f t="shared" si="155"/>
        <v>16.362198795180724</v>
      </c>
      <c r="AP391" s="26">
        <f t="shared" si="156"/>
        <v>17.274821564559765</v>
      </c>
      <c r="AS391" s="2">
        <v>45089</v>
      </c>
      <c r="AT391">
        <v>19.600000000000001</v>
      </c>
      <c r="AU391">
        <v>43.5</v>
      </c>
      <c r="AV391">
        <v>43.9</v>
      </c>
      <c r="AW391">
        <v>6.9</v>
      </c>
      <c r="AX391">
        <v>361.99</v>
      </c>
      <c r="AY391">
        <v>0.5</v>
      </c>
      <c r="AZ391">
        <v>2.8</v>
      </c>
      <c r="BA391">
        <v>162.41120000000001</v>
      </c>
      <c r="BB391">
        <v>26.521899999999999</v>
      </c>
      <c r="BC391">
        <v>50.5075</v>
      </c>
      <c r="BD391">
        <v>3.8275000000000001</v>
      </c>
      <c r="BE391">
        <v>28.276199999999999</v>
      </c>
      <c r="BF391">
        <v>-1.6782999999999999</v>
      </c>
      <c r="BG391">
        <v>-22.504000000000001</v>
      </c>
      <c r="BH391">
        <v>72.56</v>
      </c>
    </row>
    <row r="392" spans="1:60" x14ac:dyDescent="0.25">
      <c r="A392" s="2">
        <v>45109</v>
      </c>
      <c r="B392">
        <v>16.2</v>
      </c>
      <c r="C392">
        <v>21.5</v>
      </c>
      <c r="D392">
        <v>53.4</v>
      </c>
      <c r="E392">
        <v>11.2</v>
      </c>
      <c r="F392">
        <v>261.68</v>
      </c>
      <c r="G392">
        <v>0.4</v>
      </c>
      <c r="H392">
        <v>2.2999999999999998</v>
      </c>
      <c r="I392">
        <v>79.419700000000006</v>
      </c>
      <c r="J392">
        <v>22.014700000000001</v>
      </c>
      <c r="K392">
        <v>30.554300000000001</v>
      </c>
      <c r="L392">
        <v>3.48</v>
      </c>
      <c r="M392">
        <v>12.385899999999999</v>
      </c>
      <c r="P392">
        <v>77.849999999999994</v>
      </c>
      <c r="S392">
        <f t="shared" si="135"/>
        <v>514.53460000000007</v>
      </c>
      <c r="T392">
        <f t="shared" si="136"/>
        <v>1.5186932862975894E-2</v>
      </c>
      <c r="U392">
        <f t="shared" si="137"/>
        <v>2.0155497318147021E-2</v>
      </c>
      <c r="V392">
        <f t="shared" si="138"/>
        <v>5.0060630548327947E-2</v>
      </c>
      <c r="W392">
        <f t="shared" si="139"/>
        <v>1.0499607905267284E-2</v>
      </c>
      <c r="X392">
        <f t="shared" si="140"/>
        <v>0.24531583898663781</v>
      </c>
      <c r="Y392">
        <f t="shared" si="141"/>
        <v>3.7498599661668879E-4</v>
      </c>
      <c r="Z392">
        <f t="shared" si="142"/>
        <v>2.1561694805459601E-3</v>
      </c>
      <c r="AA392">
        <f t="shared" si="143"/>
        <v>7.4453188388746094E-2</v>
      </c>
      <c r="AB392">
        <f t="shared" si="144"/>
        <v>2.0638010549293546E-2</v>
      </c>
      <c r="AC392">
        <f t="shared" si="145"/>
        <v>2.8643586591063235E-2</v>
      </c>
      <c r="AD392">
        <f t="shared" si="146"/>
        <v>3.2623781705651924E-3</v>
      </c>
      <c r="AE392">
        <f t="shared" si="147"/>
        <v>1.1611347638736613E-2</v>
      </c>
      <c r="AG392">
        <f t="shared" si="148"/>
        <v>0.14985546136939842</v>
      </c>
      <c r="AH392">
        <f t="shared" si="149"/>
        <v>0.35536101073725523</v>
      </c>
      <c r="AI392">
        <f t="shared" si="150"/>
        <v>0.80793001545515364</v>
      </c>
      <c r="AK392" s="26">
        <f t="shared" si="151"/>
        <v>-5.4650149634664968E-2</v>
      </c>
      <c r="AL392" s="26">
        <f t="shared" si="152"/>
        <v>4.0326951165794045E-2</v>
      </c>
      <c r="AM392" s="26">
        <f t="shared" si="153"/>
        <v>2.919841808872331E-2</v>
      </c>
      <c r="AN392" s="26">
        <f t="shared" si="154"/>
        <v>15.771269841269849</v>
      </c>
      <c r="AO392" s="26">
        <f t="shared" si="155"/>
        <v>16.408883390705682</v>
      </c>
      <c r="AP392" s="26">
        <f t="shared" si="156"/>
        <v>17.296313647225666</v>
      </c>
      <c r="AS392" s="2">
        <v>45088</v>
      </c>
      <c r="AT392">
        <v>17.5</v>
      </c>
      <c r="AU392">
        <v>40.700000000000003</v>
      </c>
      <c r="AV392">
        <v>57.4</v>
      </c>
      <c r="AW392">
        <v>6.3</v>
      </c>
      <c r="AX392">
        <v>348.45</v>
      </c>
      <c r="AY392">
        <v>0.4</v>
      </c>
      <c r="AZ392">
        <v>2.8</v>
      </c>
      <c r="BA392">
        <v>95.817700000000002</v>
      </c>
      <c r="BB392">
        <v>18.654900000000001</v>
      </c>
      <c r="BC392">
        <v>38.598399999999998</v>
      </c>
      <c r="BD392">
        <v>3.48</v>
      </c>
      <c r="BE392">
        <v>14.5664</v>
      </c>
      <c r="BH392">
        <v>72.27</v>
      </c>
    </row>
    <row r="393" spans="1:60" x14ac:dyDescent="0.25">
      <c r="A393" s="2">
        <v>45108</v>
      </c>
      <c r="B393">
        <v>18.7</v>
      </c>
      <c r="C393">
        <v>41.3</v>
      </c>
      <c r="D393">
        <v>66.2</v>
      </c>
      <c r="E393">
        <v>12.4</v>
      </c>
      <c r="F393">
        <v>205.43</v>
      </c>
      <c r="G393">
        <v>0.7</v>
      </c>
      <c r="H393">
        <v>2.7</v>
      </c>
      <c r="I393">
        <v>92.601799999999997</v>
      </c>
      <c r="J393">
        <v>20.014900000000001</v>
      </c>
      <c r="K393">
        <v>24.357399999999998</v>
      </c>
      <c r="L393">
        <v>3.3538999999999999</v>
      </c>
      <c r="M393">
        <v>14.267300000000001</v>
      </c>
      <c r="P393">
        <v>77.5</v>
      </c>
      <c r="S393">
        <f t="shared" si="135"/>
        <v>502.02529999999996</v>
      </c>
      <c r="T393">
        <f t="shared" si="136"/>
        <v>1.7530595341830199E-2</v>
      </c>
      <c r="U393">
        <f t="shared" si="137"/>
        <v>3.8717304150673114E-2</v>
      </c>
      <c r="V393">
        <f t="shared" si="138"/>
        <v>6.2060182440061992E-2</v>
      </c>
      <c r="W393">
        <f t="shared" si="139"/>
        <v>1.1624565895117352E-2</v>
      </c>
      <c r="X393">
        <f t="shared" si="140"/>
        <v>0.19258343321241594</v>
      </c>
      <c r="Y393">
        <f t="shared" si="141"/>
        <v>6.5622549407920526E-4</v>
      </c>
      <c r="Z393">
        <f t="shared" si="142"/>
        <v>2.5311554771626494E-3</v>
      </c>
      <c r="AA393">
        <f t="shared" si="143"/>
        <v>8.6810945653748223E-2</v>
      </c>
      <c r="AB393">
        <f t="shared" si="144"/>
        <v>1.8763268059208412E-2</v>
      </c>
      <c r="AC393">
        <f t="shared" si="145"/>
        <v>2.2834209784978337E-2</v>
      </c>
      <c r="AD393">
        <f t="shared" si="146"/>
        <v>3.1441638351317812E-3</v>
      </c>
      <c r="AE393">
        <f t="shared" si="147"/>
        <v>1.3375094273823209E-2</v>
      </c>
      <c r="AG393">
        <f t="shared" si="148"/>
        <v>0.13554644870391225</v>
      </c>
      <c r="AH393">
        <f t="shared" si="149"/>
        <v>0.3390785562851637</v>
      </c>
      <c r="AI393">
        <f t="shared" si="150"/>
        <v>0.68965988610281292</v>
      </c>
      <c r="AK393" s="26">
        <f t="shared" si="151"/>
        <v>-5.3723711017071296E-2</v>
      </c>
      <c r="AL393" s="26">
        <f t="shared" si="152"/>
        <v>4.2525498521353511E-2</v>
      </c>
      <c r="AM393" s="26">
        <f t="shared" si="153"/>
        <v>2.781170477768774E-2</v>
      </c>
      <c r="AN393" s="26">
        <f t="shared" si="154"/>
        <v>15.812539682539693</v>
      </c>
      <c r="AO393" s="26">
        <f t="shared" si="155"/>
        <v>16.456839500860589</v>
      </c>
      <c r="AP393" s="26">
        <f t="shared" si="156"/>
        <v>17.318110606339133</v>
      </c>
      <c r="AS393" s="2">
        <v>45087</v>
      </c>
      <c r="AT393">
        <v>19.899999999999999</v>
      </c>
      <c r="AU393">
        <v>73.599999999999994</v>
      </c>
      <c r="AV393">
        <v>54.4</v>
      </c>
      <c r="AW393">
        <v>4.5999999999999996</v>
      </c>
      <c r="AX393">
        <v>325.87</v>
      </c>
      <c r="AY393">
        <v>0.5</v>
      </c>
      <c r="AZ393">
        <v>3.3</v>
      </c>
      <c r="BA393">
        <v>94.257400000000004</v>
      </c>
      <c r="BB393">
        <v>17.747399999999999</v>
      </c>
      <c r="BC393">
        <v>45.516199999999998</v>
      </c>
      <c r="BD393">
        <v>3.3487</v>
      </c>
      <c r="BE393">
        <v>23.984400000000001</v>
      </c>
      <c r="BH393">
        <v>71.89</v>
      </c>
    </row>
    <row r="394" spans="1:60" x14ac:dyDescent="0.25">
      <c r="A394" s="2">
        <v>45107</v>
      </c>
      <c r="B394">
        <v>18</v>
      </c>
      <c r="C394">
        <v>63.7</v>
      </c>
      <c r="D394">
        <v>15.6</v>
      </c>
      <c r="E394">
        <v>2.6</v>
      </c>
      <c r="F394">
        <v>179.67</v>
      </c>
      <c r="G394">
        <v>0.7</v>
      </c>
      <c r="H394">
        <v>3.1</v>
      </c>
      <c r="I394">
        <v>268.89659999999998</v>
      </c>
      <c r="J394">
        <v>64.163300000000007</v>
      </c>
      <c r="K394">
        <v>82.910300000000007</v>
      </c>
      <c r="L394">
        <v>3.202</v>
      </c>
      <c r="M394">
        <v>18.715299999999999</v>
      </c>
      <c r="N394">
        <v>-15.0656</v>
      </c>
      <c r="O394">
        <v>-28.873000000000001</v>
      </c>
      <c r="P394">
        <v>77.28</v>
      </c>
      <c r="S394">
        <f t="shared" si="135"/>
        <v>721.25749999999994</v>
      </c>
      <c r="T394">
        <f t="shared" si="136"/>
        <v>1.6874369847750995E-2</v>
      </c>
      <c r="U394">
        <f t="shared" si="137"/>
        <v>5.9716519961207686E-2</v>
      </c>
      <c r="V394">
        <f t="shared" si="138"/>
        <v>1.4624453868050861E-2</v>
      </c>
      <c r="W394">
        <f t="shared" si="139"/>
        <v>2.437408978008477E-3</v>
      </c>
      <c r="X394">
        <f t="shared" si="140"/>
        <v>0.16843433503030117</v>
      </c>
      <c r="Y394">
        <f t="shared" si="141"/>
        <v>6.5622549407920526E-4</v>
      </c>
      <c r="Z394">
        <f t="shared" si="142"/>
        <v>2.9061414737793379E-3</v>
      </c>
      <c r="AA394">
        <f t="shared" si="143"/>
        <v>0.25208114884459776</v>
      </c>
      <c r="AB394">
        <f t="shared" si="144"/>
        <v>6.0150847491788971E-2</v>
      </c>
      <c r="AC394">
        <f t="shared" si="145"/>
        <v>7.7725503688221634E-2</v>
      </c>
      <c r="AD394">
        <f t="shared" si="146"/>
        <v>3.0017629029165933E-3</v>
      </c>
      <c r="AE394">
        <f t="shared" si="147"/>
        <v>1.7544938556200786E-2</v>
      </c>
      <c r="AG394">
        <f t="shared" si="148"/>
        <v>0.1274643775894603</v>
      </c>
      <c r="AH394">
        <f t="shared" si="149"/>
        <v>0.2831943932093785</v>
      </c>
      <c r="AI394">
        <f t="shared" si="150"/>
        <v>0.28798882283346555</v>
      </c>
      <c r="AK394" s="26">
        <f t="shared" si="151"/>
        <v>-4.270581294289294E-2</v>
      </c>
      <c r="AL394" s="26">
        <f t="shared" si="152"/>
        <v>4.5335968465672005E-2</v>
      </c>
      <c r="AM394" s="26">
        <f t="shared" si="153"/>
        <v>2.8219322928475121E-2</v>
      </c>
      <c r="AN394" s="26">
        <f t="shared" si="154"/>
        <v>15.850793650793662</v>
      </c>
      <c r="AO394" s="26">
        <f t="shared" si="155"/>
        <v>16.50461703958694</v>
      </c>
      <c r="AP394" s="26">
        <f t="shared" si="156"/>
        <v>17.34139045718338</v>
      </c>
      <c r="AS394" s="2">
        <v>45086</v>
      </c>
      <c r="AT394">
        <v>20</v>
      </c>
      <c r="AU394">
        <v>47.1</v>
      </c>
      <c r="AV394">
        <v>30.3</v>
      </c>
      <c r="AW394">
        <v>5.7</v>
      </c>
      <c r="AX394">
        <v>340.71</v>
      </c>
      <c r="AY394">
        <v>0.5</v>
      </c>
      <c r="AZ394">
        <v>3.2</v>
      </c>
      <c r="BA394">
        <v>138.65549999999999</v>
      </c>
      <c r="BB394">
        <v>26.284600000000001</v>
      </c>
      <c r="BC394">
        <v>64.734800000000007</v>
      </c>
      <c r="BD394">
        <v>3.1774</v>
      </c>
      <c r="BE394">
        <v>21.259399999999999</v>
      </c>
      <c r="BF394">
        <v>-1.8528</v>
      </c>
      <c r="BG394">
        <v>-20.745200000000001</v>
      </c>
      <c r="BH394">
        <v>71.510000000000005</v>
      </c>
    </row>
    <row r="395" spans="1:60" x14ac:dyDescent="0.25">
      <c r="A395" s="2">
        <v>45106</v>
      </c>
      <c r="B395">
        <v>19.5</v>
      </c>
      <c r="C395">
        <v>146.6</v>
      </c>
      <c r="D395">
        <v>21.3</v>
      </c>
      <c r="E395">
        <v>1.7</v>
      </c>
      <c r="F395">
        <v>255.02</v>
      </c>
      <c r="G395">
        <v>0.3</v>
      </c>
      <c r="H395">
        <v>2.9</v>
      </c>
      <c r="I395">
        <v>277.55380000000002</v>
      </c>
      <c r="J395">
        <v>75.388300000000001</v>
      </c>
      <c r="K395">
        <v>112.1747</v>
      </c>
      <c r="L395">
        <v>3.4801000000000002</v>
      </c>
      <c r="M395">
        <v>20.299499999999998</v>
      </c>
      <c r="N395">
        <v>-12.704599999999999</v>
      </c>
      <c r="O395">
        <v>-28.184899999999999</v>
      </c>
      <c r="P395">
        <v>77.03</v>
      </c>
      <c r="S395">
        <f t="shared" si="135"/>
        <v>936.21640000000002</v>
      </c>
      <c r="T395">
        <f t="shared" si="136"/>
        <v>1.8280567335063579E-2</v>
      </c>
      <c r="U395">
        <f t="shared" si="137"/>
        <v>0.13743236776001644</v>
      </c>
      <c r="V395">
        <f t="shared" si="138"/>
        <v>1.9968004319838677E-2</v>
      </c>
      <c r="W395">
        <f t="shared" si="139"/>
        <v>1.5936904856209272E-3</v>
      </c>
      <c r="X395">
        <f t="shared" si="140"/>
        <v>0.23907232214296992</v>
      </c>
      <c r="Y395">
        <f t="shared" si="141"/>
        <v>2.8123949746251657E-4</v>
      </c>
      <c r="Z395">
        <f t="shared" si="142"/>
        <v>2.7186484754709935E-3</v>
      </c>
      <c r="AA395">
        <f t="shared" si="143"/>
        <v>0.26019697076937282</v>
      </c>
      <c r="AB395">
        <f t="shared" si="144"/>
        <v>7.0673892021844792E-2</v>
      </c>
      <c r="AC395">
        <f t="shared" si="145"/>
        <v>0.1051598541866952</v>
      </c>
      <c r="AD395">
        <f t="shared" si="146"/>
        <v>3.2624719170643466E-3</v>
      </c>
      <c r="AE395">
        <f t="shared" si="147"/>
        <v>1.9030070595801182E-2</v>
      </c>
      <c r="AG395">
        <f t="shared" si="148"/>
        <v>0.11797193594996015</v>
      </c>
      <c r="AH395">
        <f t="shared" si="149"/>
        <v>0.43837691061224421</v>
      </c>
      <c r="AI395">
        <f t="shared" si="150"/>
        <v>1.4042849669360165</v>
      </c>
      <c r="AK395" s="26">
        <f t="shared" si="151"/>
        <v>-2.8046930301017958E-2</v>
      </c>
      <c r="AL395" s="26">
        <f t="shared" si="152"/>
        <v>5.259652226078837E-2</v>
      </c>
      <c r="AM395" s="26">
        <f t="shared" si="153"/>
        <v>2.9276502182204345E-2</v>
      </c>
      <c r="AN395" s="26">
        <f t="shared" si="154"/>
        <v>15.880634920634918</v>
      </c>
      <c r="AO395" s="26">
        <f t="shared" si="155"/>
        <v>16.550135542168675</v>
      </c>
      <c r="AP395" s="26">
        <f t="shared" si="156"/>
        <v>17.364791890969251</v>
      </c>
      <c r="AS395" s="2">
        <v>45085</v>
      </c>
      <c r="AT395">
        <v>19.899999999999999</v>
      </c>
      <c r="AU395">
        <v>101.9</v>
      </c>
      <c r="AV395">
        <v>22.9</v>
      </c>
      <c r="AW395">
        <v>2.5</v>
      </c>
      <c r="AX395">
        <v>293.16000000000003</v>
      </c>
      <c r="AY395">
        <v>0.5</v>
      </c>
      <c r="AZ395">
        <v>3.2</v>
      </c>
      <c r="BA395">
        <v>133.63820000000001</v>
      </c>
      <c r="BB395">
        <v>28.4937</v>
      </c>
      <c r="BC395">
        <v>74.332999999999998</v>
      </c>
      <c r="BD395">
        <v>3.48</v>
      </c>
      <c r="BE395">
        <v>22.060300000000002</v>
      </c>
      <c r="BF395">
        <v>-0.95469999999999999</v>
      </c>
      <c r="BG395">
        <v>-26.336300000000001</v>
      </c>
      <c r="BH395">
        <v>71.2</v>
      </c>
    </row>
    <row r="396" spans="1:60" x14ac:dyDescent="0.25">
      <c r="A396" s="2">
        <v>45105</v>
      </c>
      <c r="B396">
        <v>19.600000000000001</v>
      </c>
      <c r="C396">
        <v>198.4</v>
      </c>
      <c r="D396">
        <v>21.7</v>
      </c>
      <c r="E396">
        <v>5.2</v>
      </c>
      <c r="F396">
        <v>270.19</v>
      </c>
      <c r="G396">
        <v>0.4</v>
      </c>
      <c r="H396">
        <v>2.8</v>
      </c>
      <c r="I396">
        <v>235.96129999999999</v>
      </c>
      <c r="J396">
        <v>76.680999999999997</v>
      </c>
      <c r="K396">
        <v>110.12</v>
      </c>
      <c r="L396">
        <v>3.48</v>
      </c>
      <c r="M396">
        <v>19.739000000000001</v>
      </c>
      <c r="N396">
        <v>-8.6408000000000005</v>
      </c>
      <c r="O396">
        <v>-25.3628</v>
      </c>
      <c r="P396">
        <v>76.819999999999993</v>
      </c>
      <c r="S396">
        <f t="shared" si="135"/>
        <v>964.2713</v>
      </c>
      <c r="T396">
        <f t="shared" si="136"/>
        <v>1.837431383421775E-2</v>
      </c>
      <c r="U396">
        <f t="shared" si="137"/>
        <v>0.18599305432187763</v>
      </c>
      <c r="V396">
        <f t="shared" si="138"/>
        <v>2.0342990316455364E-2</v>
      </c>
      <c r="W396">
        <f t="shared" si="139"/>
        <v>4.874817956016954E-3</v>
      </c>
      <c r="X396">
        <f t="shared" si="140"/>
        <v>0.25329366606465786</v>
      </c>
      <c r="Y396">
        <f t="shared" si="141"/>
        <v>3.7498599661668879E-4</v>
      </c>
      <c r="Z396">
        <f t="shared" si="142"/>
        <v>2.624901976316821E-3</v>
      </c>
      <c r="AA396">
        <f t="shared" si="143"/>
        <v>0.2212054581086737</v>
      </c>
      <c r="AB396">
        <f t="shared" si="144"/>
        <v>7.1885753016410772E-2</v>
      </c>
      <c r="AC396">
        <f t="shared" si="145"/>
        <v>0.10323364486857442</v>
      </c>
      <c r="AD396">
        <f t="shared" si="146"/>
        <v>3.2623781705651924E-3</v>
      </c>
      <c r="AE396">
        <f t="shared" si="147"/>
        <v>1.8504621468042048E-2</v>
      </c>
      <c r="AG396">
        <f t="shared" si="148"/>
        <v>0.11039776590460046</v>
      </c>
      <c r="AH396">
        <f t="shared" si="149"/>
        <v>0.50438335193420114</v>
      </c>
      <c r="AI396">
        <f t="shared" si="150"/>
        <v>1.8858199474237833</v>
      </c>
      <c r="AK396" s="26">
        <f t="shared" si="151"/>
        <v>-2.1198467298308099E-2</v>
      </c>
      <c r="AL396" s="26">
        <f t="shared" si="152"/>
        <v>5.5831788552515471E-2</v>
      </c>
      <c r="AM396" s="26">
        <f t="shared" si="153"/>
        <v>2.9266361534201091E-2</v>
      </c>
      <c r="AN396" s="26">
        <f t="shared" si="154"/>
        <v>15.906031746031736</v>
      </c>
      <c r="AO396" s="26">
        <f t="shared" si="155"/>
        <v>16.594098537005152</v>
      </c>
      <c r="AP396" s="26">
        <f t="shared" si="156"/>
        <v>17.388100890207724</v>
      </c>
      <c r="AS396" s="2">
        <v>45084</v>
      </c>
      <c r="AT396">
        <v>20.8</v>
      </c>
      <c r="AU396">
        <v>159.4</v>
      </c>
      <c r="AV396">
        <v>15.3</v>
      </c>
      <c r="AW396">
        <v>2.2000000000000002</v>
      </c>
      <c r="AX396">
        <v>287.64999999999998</v>
      </c>
      <c r="AY396">
        <v>0.5</v>
      </c>
      <c r="AZ396">
        <v>3.1</v>
      </c>
      <c r="BA396">
        <v>177.4477</v>
      </c>
      <c r="BB396">
        <v>56.263300000000001</v>
      </c>
      <c r="BC396">
        <v>117.13030000000001</v>
      </c>
      <c r="BD396">
        <v>3.48</v>
      </c>
      <c r="BE396">
        <v>27.680700000000002</v>
      </c>
      <c r="BF396">
        <v>-0.59140000000000004</v>
      </c>
      <c r="BG396">
        <v>-26.681799999999999</v>
      </c>
      <c r="BH396">
        <v>70.94</v>
      </c>
    </row>
    <row r="397" spans="1:60" x14ac:dyDescent="0.25">
      <c r="A397" s="2">
        <v>45104</v>
      </c>
      <c r="B397">
        <v>18.899999999999999</v>
      </c>
      <c r="C397">
        <v>48.1</v>
      </c>
      <c r="D397">
        <v>41.7</v>
      </c>
      <c r="E397">
        <v>12.8</v>
      </c>
      <c r="F397">
        <v>262.76</v>
      </c>
      <c r="G397">
        <v>0.1</v>
      </c>
      <c r="H397">
        <v>2.2999999999999998</v>
      </c>
      <c r="I397">
        <v>195.81389999999999</v>
      </c>
      <c r="J397">
        <v>48.040399999999998</v>
      </c>
      <c r="K397">
        <v>70.188599999999994</v>
      </c>
      <c r="L397">
        <v>3.48</v>
      </c>
      <c r="M397">
        <v>20.209199999999999</v>
      </c>
      <c r="N397">
        <v>-9.9808000000000003</v>
      </c>
      <c r="O397">
        <v>-26.395499999999998</v>
      </c>
      <c r="P397">
        <v>76.63</v>
      </c>
      <c r="S397">
        <f t="shared" si="135"/>
        <v>724.39209999999991</v>
      </c>
      <c r="T397">
        <f t="shared" si="136"/>
        <v>1.7718088340138542E-2</v>
      </c>
      <c r="U397">
        <f t="shared" si="137"/>
        <v>4.5092066093156823E-2</v>
      </c>
      <c r="V397">
        <f t="shared" si="138"/>
        <v>3.9092290147289807E-2</v>
      </c>
      <c r="W397">
        <f t="shared" si="139"/>
        <v>1.1999551891734041E-2</v>
      </c>
      <c r="X397">
        <f t="shared" si="140"/>
        <v>0.24632830117750285</v>
      </c>
      <c r="Y397">
        <f t="shared" si="141"/>
        <v>9.3746499154172199E-5</v>
      </c>
      <c r="Z397">
        <f t="shared" si="142"/>
        <v>2.1561694805459601E-3</v>
      </c>
      <c r="AA397">
        <f t="shared" si="143"/>
        <v>0.18356867610725158</v>
      </c>
      <c r="AB397">
        <f t="shared" si="144"/>
        <v>4.5036193179660934E-2</v>
      </c>
      <c r="AC397">
        <f t="shared" si="145"/>
        <v>6.5799355305325297E-2</v>
      </c>
      <c r="AD397">
        <f t="shared" si="146"/>
        <v>3.2623781705651924E-3</v>
      </c>
      <c r="AE397">
        <f t="shared" si="147"/>
        <v>1.8945417507064966E-2</v>
      </c>
      <c r="AG397">
        <f t="shared" si="148"/>
        <v>0.10379374477470851</v>
      </c>
      <c r="AH397">
        <f t="shared" si="149"/>
        <v>0.38142563113658717</v>
      </c>
      <c r="AI397">
        <f t="shared" si="150"/>
        <v>1.0034963260307317</v>
      </c>
      <c r="AK397" s="26">
        <f t="shared" si="151"/>
        <v>-1.00021443395652E-2</v>
      </c>
      <c r="AL397" s="26">
        <f t="shared" si="152"/>
        <v>5.9646430637179448E-2</v>
      </c>
      <c r="AM397" s="26">
        <f t="shared" si="153"/>
        <v>2.9771366478303307E-2</v>
      </c>
      <c r="AN397" s="26">
        <f t="shared" si="154"/>
        <v>15.929682539682545</v>
      </c>
      <c r="AO397" s="26">
        <f t="shared" si="155"/>
        <v>16.63763554216866</v>
      </c>
      <c r="AP397" s="26">
        <f t="shared" si="156"/>
        <v>17.411877051548018</v>
      </c>
      <c r="AS397" s="2">
        <v>45083</v>
      </c>
      <c r="AT397">
        <v>20.9</v>
      </c>
      <c r="AU397">
        <v>334.1</v>
      </c>
      <c r="AV397">
        <v>13.1</v>
      </c>
      <c r="AW397">
        <v>2.7</v>
      </c>
      <c r="AX397">
        <v>267.8</v>
      </c>
      <c r="AY397">
        <v>0.5</v>
      </c>
      <c r="AZ397">
        <v>3.2</v>
      </c>
      <c r="BA397">
        <v>135.1232</v>
      </c>
      <c r="BB397">
        <v>42.108899999999998</v>
      </c>
      <c r="BC397">
        <v>115.7881</v>
      </c>
      <c r="BD397">
        <v>3.4847000000000001</v>
      </c>
      <c r="BE397">
        <v>29.210100000000001</v>
      </c>
      <c r="BF397">
        <v>-5.5399999999999998E-2</v>
      </c>
      <c r="BG397">
        <v>-25.9725</v>
      </c>
      <c r="BH397">
        <v>70.739999999999995</v>
      </c>
    </row>
    <row r="398" spans="1:60" x14ac:dyDescent="0.25">
      <c r="A398" s="2">
        <v>45103</v>
      </c>
      <c r="B398">
        <v>19.3</v>
      </c>
      <c r="C398">
        <v>59.3</v>
      </c>
      <c r="D398">
        <v>54</v>
      </c>
      <c r="E398">
        <v>12.6</v>
      </c>
      <c r="F398">
        <v>307.2</v>
      </c>
      <c r="G398">
        <v>0</v>
      </c>
      <c r="H398">
        <v>2.6</v>
      </c>
      <c r="I398">
        <v>160.99510000000001</v>
      </c>
      <c r="J398">
        <v>29.9117</v>
      </c>
      <c r="K398">
        <v>58.784799999999997</v>
      </c>
      <c r="L398">
        <v>3.4060000000000001</v>
      </c>
      <c r="M398">
        <v>15.279199999999999</v>
      </c>
      <c r="N398">
        <v>-6.8022999999999998</v>
      </c>
      <c r="O398">
        <v>-25.93</v>
      </c>
      <c r="P398">
        <v>76.41</v>
      </c>
      <c r="S398">
        <f t="shared" si="135"/>
        <v>723.37679999999989</v>
      </c>
      <c r="T398">
        <f t="shared" si="136"/>
        <v>1.8093074336755232E-2</v>
      </c>
      <c r="U398">
        <f t="shared" si="137"/>
        <v>5.5591673998424108E-2</v>
      </c>
      <c r="V398">
        <f t="shared" si="138"/>
        <v>5.0623109543252984E-2</v>
      </c>
      <c r="W398">
        <f t="shared" si="139"/>
        <v>1.1812058893425697E-2</v>
      </c>
      <c r="X398">
        <f t="shared" si="140"/>
        <v>0.28798924540161697</v>
      </c>
      <c r="Y398">
        <f t="shared" si="141"/>
        <v>0</v>
      </c>
      <c r="Z398">
        <f t="shared" si="142"/>
        <v>2.437408978008477E-3</v>
      </c>
      <c r="AA398">
        <f t="shared" si="143"/>
        <v>0.15092727005975867</v>
      </c>
      <c r="AB398">
        <f t="shared" si="144"/>
        <v>2.8041171587498522E-2</v>
      </c>
      <c r="AC398">
        <f t="shared" si="145"/>
        <v>5.510869203478181E-2</v>
      </c>
      <c r="AD398">
        <f t="shared" si="146"/>
        <v>3.193005761191105E-3</v>
      </c>
      <c r="AE398">
        <f t="shared" si="147"/>
        <v>1.4323715098764277E-2</v>
      </c>
      <c r="AG398">
        <f t="shared" si="148"/>
        <v>9.5777403634909622E-2</v>
      </c>
      <c r="AH398">
        <f t="shared" si="149"/>
        <v>0.44087028625024777</v>
      </c>
      <c r="AI398">
        <f t="shared" si="150"/>
        <v>1.4376334808033975</v>
      </c>
      <c r="AK398" s="26">
        <f t="shared" si="151"/>
        <v>4.9210736691314705E-3</v>
      </c>
      <c r="AL398" s="26">
        <f t="shared" si="152"/>
        <v>6.2488426250435547E-2</v>
      </c>
      <c r="AM398" s="26">
        <f t="shared" si="153"/>
        <v>3.0121119876359237E-2</v>
      </c>
      <c r="AN398" s="26">
        <f t="shared" si="154"/>
        <v>15.955873015873038</v>
      </c>
      <c r="AO398" s="26">
        <f t="shared" si="155"/>
        <v>16.679195352839912</v>
      </c>
      <c r="AP398" s="26">
        <f t="shared" si="156"/>
        <v>17.43671437199653</v>
      </c>
      <c r="AS398" s="2">
        <v>45082</v>
      </c>
      <c r="AT398">
        <v>21.1</v>
      </c>
      <c r="AU398">
        <v>183.8</v>
      </c>
      <c r="AV398">
        <v>1.7</v>
      </c>
      <c r="AW398">
        <v>2.8</v>
      </c>
      <c r="AX398">
        <v>327.99</v>
      </c>
      <c r="AY398">
        <v>0.5</v>
      </c>
      <c r="AZ398">
        <v>3.3</v>
      </c>
      <c r="BA398">
        <v>118.70010000000001</v>
      </c>
      <c r="BB398">
        <v>26.835899999999999</v>
      </c>
      <c r="BC398">
        <v>103.2251</v>
      </c>
      <c r="BD398">
        <v>3.48</v>
      </c>
      <c r="BE398">
        <v>33.003300000000003</v>
      </c>
      <c r="BF398">
        <v>-5.1412000000000004</v>
      </c>
      <c r="BG398">
        <v>-26.798100000000002</v>
      </c>
      <c r="BH398">
        <v>70.540000000000006</v>
      </c>
    </row>
    <row r="399" spans="1:60" x14ac:dyDescent="0.25">
      <c r="A399" s="2">
        <v>45102</v>
      </c>
      <c r="B399">
        <v>20.9</v>
      </c>
      <c r="C399">
        <v>211.2</v>
      </c>
      <c r="D399">
        <v>8.1999999999999993</v>
      </c>
      <c r="E399">
        <v>0.7</v>
      </c>
      <c r="F399">
        <v>345.11</v>
      </c>
      <c r="G399">
        <v>0.3</v>
      </c>
      <c r="H399">
        <v>2.4</v>
      </c>
      <c r="I399">
        <v>131.75360000000001</v>
      </c>
      <c r="J399">
        <v>23.523700000000002</v>
      </c>
      <c r="K399">
        <v>38.259700000000002</v>
      </c>
      <c r="L399">
        <v>3.6678000000000002</v>
      </c>
      <c r="M399">
        <v>20.494399999999999</v>
      </c>
      <c r="P399">
        <v>76.13</v>
      </c>
      <c r="S399">
        <f t="shared" si="135"/>
        <v>806.50919999999996</v>
      </c>
      <c r="T399">
        <f t="shared" si="136"/>
        <v>1.9593018323221988E-2</v>
      </c>
      <c r="U399">
        <f t="shared" si="137"/>
        <v>0.19799260621361164</v>
      </c>
      <c r="V399">
        <f t="shared" si="138"/>
        <v>7.6872129306421186E-3</v>
      </c>
      <c r="W399">
        <f t="shared" si="139"/>
        <v>6.5622549407920526E-4</v>
      </c>
      <c r="X399">
        <f t="shared" si="140"/>
        <v>0.32352854323096364</v>
      </c>
      <c r="Y399">
        <f t="shared" si="141"/>
        <v>2.8123949746251657E-4</v>
      </c>
      <c r="Z399">
        <f t="shared" si="142"/>
        <v>2.2499159797001326E-3</v>
      </c>
      <c r="AA399">
        <f t="shared" si="143"/>
        <v>0.12351438750959141</v>
      </c>
      <c r="AB399">
        <f t="shared" si="144"/>
        <v>2.2052645221530005E-2</v>
      </c>
      <c r="AC399">
        <f t="shared" si="145"/>
        <v>3.586712933688882E-2</v>
      </c>
      <c r="AD399">
        <f t="shared" si="146"/>
        <v>3.4384340959767276E-3</v>
      </c>
      <c r="AE399">
        <f t="shared" si="147"/>
        <v>1.9212782522652665E-2</v>
      </c>
      <c r="AG399">
        <f t="shared" si="148"/>
        <v>8.4912440912375403E-2</v>
      </c>
      <c r="AH399">
        <f t="shared" si="149"/>
        <v>0.57120154419233393</v>
      </c>
      <c r="AI399">
        <f t="shared" si="150"/>
        <v>2.3929443739566816</v>
      </c>
      <c r="AK399" s="26">
        <f t="shared" si="151"/>
        <v>1.0052249611303687E-2</v>
      </c>
      <c r="AL399" s="26">
        <f t="shared" si="152"/>
        <v>6.2834168300942461E-2</v>
      </c>
      <c r="AM399" s="26">
        <f t="shared" si="153"/>
        <v>2.9444807664233519E-2</v>
      </c>
      <c r="AN399" s="26">
        <f t="shared" si="154"/>
        <v>15.985079365079379</v>
      </c>
      <c r="AO399" s="26">
        <f t="shared" si="155"/>
        <v>16.720753012048164</v>
      </c>
      <c r="AP399" s="26">
        <f t="shared" si="156"/>
        <v>17.461370762322403</v>
      </c>
      <c r="AS399" s="2">
        <v>45081</v>
      </c>
      <c r="AT399">
        <v>20.100000000000001</v>
      </c>
      <c r="AU399">
        <v>16.8</v>
      </c>
      <c r="AV399">
        <v>6.6</v>
      </c>
      <c r="AW399">
        <v>2.6</v>
      </c>
      <c r="AX399">
        <v>363.71</v>
      </c>
      <c r="AY399">
        <v>0.5</v>
      </c>
      <c r="AZ399">
        <v>3.1</v>
      </c>
      <c r="BA399">
        <v>93.277900000000002</v>
      </c>
      <c r="BB399">
        <v>20.177600000000002</v>
      </c>
      <c r="BC399">
        <v>32.0017</v>
      </c>
      <c r="BD399">
        <v>3.48</v>
      </c>
      <c r="BE399">
        <v>17.645399999999999</v>
      </c>
      <c r="BH399">
        <v>70.3</v>
      </c>
    </row>
    <row r="400" spans="1:60" x14ac:dyDescent="0.25">
      <c r="A400" s="2">
        <v>45101</v>
      </c>
      <c r="B400">
        <v>22.6</v>
      </c>
      <c r="C400">
        <v>214.8</v>
      </c>
      <c r="D400">
        <v>9.4</v>
      </c>
      <c r="E400">
        <v>2.5</v>
      </c>
      <c r="F400">
        <v>337.99</v>
      </c>
      <c r="G400">
        <v>0.4</v>
      </c>
      <c r="H400">
        <v>2.2999999999999998</v>
      </c>
      <c r="I400">
        <v>155.62119999999999</v>
      </c>
      <c r="J400">
        <v>25.004100000000001</v>
      </c>
      <c r="K400">
        <v>42.418300000000002</v>
      </c>
      <c r="L400">
        <v>3.48</v>
      </c>
      <c r="M400">
        <v>18.727699999999999</v>
      </c>
      <c r="P400">
        <v>75.78</v>
      </c>
      <c r="S400">
        <f t="shared" si="135"/>
        <v>835.24129999999991</v>
      </c>
      <c r="T400">
        <f t="shared" si="136"/>
        <v>2.1186708808842915E-2</v>
      </c>
      <c r="U400">
        <f t="shared" si="137"/>
        <v>0.20136748018316189</v>
      </c>
      <c r="V400">
        <f t="shared" si="138"/>
        <v>8.8121709204921871E-3</v>
      </c>
      <c r="W400">
        <f t="shared" si="139"/>
        <v>2.3436624788543046E-3</v>
      </c>
      <c r="X400">
        <f t="shared" si="140"/>
        <v>0.31685379249118661</v>
      </c>
      <c r="Y400">
        <f t="shared" si="141"/>
        <v>3.7498599661668879E-4</v>
      </c>
      <c r="Z400">
        <f t="shared" si="142"/>
        <v>2.1561694805459601E-3</v>
      </c>
      <c r="AA400">
        <f t="shared" si="143"/>
        <v>0.14588942694171261</v>
      </c>
      <c r="AB400">
        <f t="shared" si="144"/>
        <v>2.3440468395008369E-2</v>
      </c>
      <c r="AC400">
        <f t="shared" si="145"/>
        <v>3.9765671250714223E-2</v>
      </c>
      <c r="AD400">
        <f t="shared" si="146"/>
        <v>3.2623781705651924E-3</v>
      </c>
      <c r="AE400">
        <f t="shared" si="147"/>
        <v>1.7556563122095904E-2</v>
      </c>
      <c r="AG400">
        <f t="shared" si="148"/>
        <v>7.073624009979021E-2</v>
      </c>
      <c r="AH400">
        <f t="shared" si="149"/>
        <v>0.57065153348179642</v>
      </c>
      <c r="AI400">
        <f t="shared" si="150"/>
        <v>2.4126709640583246</v>
      </c>
      <c r="AK400" s="26">
        <f t="shared" si="151"/>
        <v>4.9312012671194339E-3</v>
      </c>
      <c r="AL400" s="26">
        <f t="shared" si="152"/>
        <v>6.3344293607394131E-2</v>
      </c>
      <c r="AM400" s="26">
        <f t="shared" si="153"/>
        <v>2.7724295195751925E-2</v>
      </c>
      <c r="AN400" s="26">
        <f t="shared" si="154"/>
        <v>16.020317460317465</v>
      </c>
      <c r="AO400" s="26">
        <f t="shared" si="155"/>
        <v>16.762581755593786</v>
      </c>
      <c r="AP400" s="26">
        <f t="shared" si="156"/>
        <v>17.48743704209447</v>
      </c>
      <c r="AS400" s="2">
        <v>45080</v>
      </c>
      <c r="AU400">
        <v>41.3</v>
      </c>
      <c r="AX400">
        <v>371</v>
      </c>
      <c r="BC400">
        <v>40.930500000000002</v>
      </c>
      <c r="BH400">
        <v>69.95</v>
      </c>
    </row>
    <row r="401" spans="1:60" x14ac:dyDescent="0.25">
      <c r="A401" s="2">
        <v>45100</v>
      </c>
      <c r="B401">
        <v>22.7</v>
      </c>
      <c r="C401">
        <v>53.5</v>
      </c>
      <c r="D401">
        <v>16.7</v>
      </c>
      <c r="E401">
        <v>9.8000000000000007</v>
      </c>
      <c r="F401">
        <v>172.15</v>
      </c>
      <c r="G401">
        <v>0.4</v>
      </c>
      <c r="H401">
        <v>2.4</v>
      </c>
      <c r="I401">
        <v>266.74270000000001</v>
      </c>
      <c r="J401">
        <v>42.076099999999997</v>
      </c>
      <c r="K401">
        <v>59.7102</v>
      </c>
      <c r="L401">
        <v>3.48</v>
      </c>
      <c r="M401">
        <v>21.9038</v>
      </c>
      <c r="N401">
        <v>-7.0875000000000004</v>
      </c>
      <c r="O401">
        <v>-25.5092</v>
      </c>
      <c r="P401">
        <v>75.42</v>
      </c>
      <c r="S401">
        <f t="shared" si="135"/>
        <v>671.56280000000004</v>
      </c>
      <c r="T401">
        <f t="shared" si="136"/>
        <v>2.1280455307997086E-2</v>
      </c>
      <c r="U401">
        <f t="shared" si="137"/>
        <v>5.0154377047482122E-2</v>
      </c>
      <c r="V401">
        <f t="shared" si="138"/>
        <v>1.5655665358746754E-2</v>
      </c>
      <c r="W401">
        <f t="shared" si="139"/>
        <v>9.1871569171088751E-3</v>
      </c>
      <c r="X401">
        <f t="shared" si="140"/>
        <v>0.16138459829390744</v>
      </c>
      <c r="Y401">
        <f t="shared" si="141"/>
        <v>3.7498599661668879E-4</v>
      </c>
      <c r="Z401">
        <f t="shared" si="142"/>
        <v>2.2499159797001326E-3</v>
      </c>
      <c r="AA401">
        <f t="shared" si="143"/>
        <v>0.25006194299931606</v>
      </c>
      <c r="AB401">
        <f t="shared" si="144"/>
        <v>3.9444870730608643E-2</v>
      </c>
      <c r="AC401">
        <f t="shared" si="145"/>
        <v>5.5976222137954522E-2</v>
      </c>
      <c r="AD401">
        <f t="shared" si="146"/>
        <v>3.2623781705651924E-3</v>
      </c>
      <c r="AE401">
        <f t="shared" si="147"/>
        <v>2.0534045681731568E-2</v>
      </c>
      <c r="AG401">
        <f t="shared" si="148"/>
        <v>5.6101678468721744E-2</v>
      </c>
      <c r="AH401">
        <f t="shared" si="149"/>
        <v>0.28082120058329063</v>
      </c>
      <c r="AI401">
        <f t="shared" si="150"/>
        <v>0.28840252975850889</v>
      </c>
      <c r="AK401" s="26">
        <f t="shared" si="151"/>
        <v>-3.8123873930631103E-3</v>
      </c>
      <c r="AL401" s="26">
        <f t="shared" si="152"/>
        <v>5.9882109315883947E-2</v>
      </c>
      <c r="AM401" s="26">
        <f t="shared" si="153"/>
        <v>2.5756460871247222E-2</v>
      </c>
      <c r="AN401" s="26">
        <f t="shared" si="154"/>
        <v>16.060793650793663</v>
      </c>
      <c r="AO401" s="26">
        <f t="shared" si="155"/>
        <v>16.800875645438886</v>
      </c>
      <c r="AP401" s="26">
        <f t="shared" si="156"/>
        <v>17.512851290669879</v>
      </c>
      <c r="AS401" s="2">
        <v>45079</v>
      </c>
      <c r="AT401">
        <v>21.2</v>
      </c>
      <c r="AU401">
        <v>108.9</v>
      </c>
      <c r="AV401">
        <v>29.9</v>
      </c>
      <c r="AW401">
        <v>7.1</v>
      </c>
      <c r="AX401">
        <v>326.32</v>
      </c>
      <c r="AY401">
        <v>0.5</v>
      </c>
      <c r="AZ401">
        <v>3.2</v>
      </c>
      <c r="BA401">
        <v>102.3746</v>
      </c>
      <c r="BB401">
        <v>18.966100000000001</v>
      </c>
      <c r="BC401">
        <v>72.781800000000004</v>
      </c>
      <c r="BD401">
        <v>3.48</v>
      </c>
      <c r="BE401">
        <v>26.682700000000001</v>
      </c>
      <c r="BF401">
        <v>-5.9782000000000002</v>
      </c>
      <c r="BG401">
        <v>-30.7895</v>
      </c>
      <c r="BH401">
        <v>69.61</v>
      </c>
    </row>
    <row r="402" spans="1:60" x14ac:dyDescent="0.25">
      <c r="A402" s="2">
        <v>45099</v>
      </c>
      <c r="B402">
        <v>22.5</v>
      </c>
      <c r="C402">
        <v>25.1</v>
      </c>
      <c r="D402">
        <v>7.2</v>
      </c>
      <c r="E402">
        <v>4.9000000000000004</v>
      </c>
      <c r="F402">
        <v>277.51</v>
      </c>
      <c r="G402">
        <v>0.3</v>
      </c>
      <c r="H402">
        <v>2.4</v>
      </c>
      <c r="I402">
        <v>308.46300000000002</v>
      </c>
      <c r="J402">
        <v>81.195300000000003</v>
      </c>
      <c r="K402">
        <v>105.83410000000001</v>
      </c>
      <c r="L402">
        <v>3.48</v>
      </c>
      <c r="M402">
        <v>16.500699999999998</v>
      </c>
      <c r="N402">
        <v>-5.9109999999999996</v>
      </c>
      <c r="O402">
        <v>-22.404699999999998</v>
      </c>
      <c r="P402">
        <v>75.180000000000007</v>
      </c>
      <c r="S402">
        <f t="shared" si="135"/>
        <v>855.38310000000013</v>
      </c>
      <c r="T402">
        <f t="shared" si="136"/>
        <v>2.1092962309688743E-2</v>
      </c>
      <c r="U402">
        <f t="shared" si="137"/>
        <v>2.3530371287697222E-2</v>
      </c>
      <c r="V402">
        <f t="shared" si="138"/>
        <v>6.7497479391003977E-3</v>
      </c>
      <c r="W402">
        <f t="shared" si="139"/>
        <v>4.5935784585544375E-3</v>
      </c>
      <c r="X402">
        <f t="shared" si="140"/>
        <v>0.26015590980274322</v>
      </c>
      <c r="Y402">
        <f t="shared" si="141"/>
        <v>2.8123949746251657E-4</v>
      </c>
      <c r="Z402">
        <f t="shared" si="142"/>
        <v>2.2499159797001326E-3</v>
      </c>
      <c r="AA402">
        <f t="shared" si="143"/>
        <v>0.28917326368593421</v>
      </c>
      <c r="AB402">
        <f t="shared" si="144"/>
        <v>7.611775122772757E-2</v>
      </c>
      <c r="AC402">
        <f t="shared" si="145"/>
        <v>9.9215763661325757E-2</v>
      </c>
      <c r="AD402">
        <f t="shared" si="146"/>
        <v>3.2623781705651924E-3</v>
      </c>
      <c r="AE402">
        <f t="shared" si="147"/>
        <v>1.5468828585932489E-2</v>
      </c>
      <c r="AG402">
        <f t="shared" si="148"/>
        <v>4.7189240432405397E-2</v>
      </c>
      <c r="AH402">
        <f t="shared" si="149"/>
        <v>0.33412255386087919</v>
      </c>
      <c r="AI402">
        <f t="shared" si="150"/>
        <v>0.67666029611071099</v>
      </c>
      <c r="AK402" s="26">
        <f t="shared" si="151"/>
        <v>8.6634964130319903E-3</v>
      </c>
      <c r="AL402" s="26">
        <f t="shared" si="152"/>
        <v>6.3890064245258504E-2</v>
      </c>
      <c r="AM402" s="26">
        <f t="shared" si="153"/>
        <v>2.7252623927803088E-2</v>
      </c>
      <c r="AN402" s="26">
        <f t="shared" si="154"/>
        <v>16.108095238095245</v>
      </c>
      <c r="AO402" s="26">
        <f t="shared" si="155"/>
        <v>16.839287865748688</v>
      </c>
      <c r="AP402" s="26">
        <f t="shared" si="156"/>
        <v>17.540033612562688</v>
      </c>
      <c r="AS402" s="2">
        <v>45078</v>
      </c>
      <c r="AT402">
        <v>20.7</v>
      </c>
      <c r="AU402">
        <v>242.6</v>
      </c>
      <c r="AV402">
        <v>44.9</v>
      </c>
      <c r="AW402">
        <v>10.3</v>
      </c>
      <c r="AX402">
        <v>328.31</v>
      </c>
      <c r="AY402">
        <v>0.5</v>
      </c>
      <c r="AZ402">
        <v>2.8</v>
      </c>
      <c r="BA402">
        <v>101.9443</v>
      </c>
      <c r="BB402">
        <v>36.142699999999998</v>
      </c>
      <c r="BC402">
        <v>93.568200000000004</v>
      </c>
      <c r="BD402">
        <v>3.48</v>
      </c>
      <c r="BE402">
        <v>24.317599999999999</v>
      </c>
      <c r="BF402">
        <v>-4.1311999999999998</v>
      </c>
      <c r="BG402">
        <v>-27.103000000000002</v>
      </c>
      <c r="BH402">
        <v>69.23</v>
      </c>
    </row>
    <row r="403" spans="1:60" x14ac:dyDescent="0.25">
      <c r="A403" s="2">
        <v>45098</v>
      </c>
      <c r="B403">
        <v>21.4</v>
      </c>
      <c r="C403">
        <v>291.60000000000002</v>
      </c>
      <c r="D403">
        <v>30.6</v>
      </c>
      <c r="E403">
        <v>5.7</v>
      </c>
      <c r="F403">
        <v>282.12</v>
      </c>
      <c r="G403">
        <v>0.3</v>
      </c>
      <c r="H403">
        <v>2.6</v>
      </c>
      <c r="I403">
        <v>282.36720000000003</v>
      </c>
      <c r="J403">
        <v>74.929199999999994</v>
      </c>
      <c r="K403">
        <v>100.54130000000001</v>
      </c>
      <c r="L403">
        <v>3.4878999999999998</v>
      </c>
      <c r="M403">
        <v>17.424800000000001</v>
      </c>
      <c r="N403">
        <v>-5.1744000000000003</v>
      </c>
      <c r="O403">
        <v>-16.9649</v>
      </c>
      <c r="P403">
        <v>75.03</v>
      </c>
      <c r="S403">
        <f t="shared" si="135"/>
        <v>1113.0704000000003</v>
      </c>
      <c r="T403">
        <f t="shared" si="136"/>
        <v>2.0061750818992849E-2</v>
      </c>
      <c r="U403">
        <f t="shared" si="137"/>
        <v>0.27336479153356613</v>
      </c>
      <c r="V403">
        <f t="shared" si="138"/>
        <v>2.8686428741176693E-2</v>
      </c>
      <c r="W403">
        <f t="shared" si="139"/>
        <v>5.3435504517878154E-3</v>
      </c>
      <c r="X403">
        <f t="shared" si="140"/>
        <v>0.26447762341375058</v>
      </c>
      <c r="Y403">
        <f t="shared" si="141"/>
        <v>2.8123949746251657E-4</v>
      </c>
      <c r="Z403">
        <f t="shared" si="142"/>
        <v>2.437408978008477E-3</v>
      </c>
      <c r="AA403">
        <f t="shared" si="143"/>
        <v>0.26470936475965973</v>
      </c>
      <c r="AB403">
        <f t="shared" si="144"/>
        <v>7.0243501844227979E-2</v>
      </c>
      <c r="AC403">
        <f t="shared" si="145"/>
        <v>9.4253948954093725E-2</v>
      </c>
      <c r="AD403">
        <f t="shared" si="146"/>
        <v>3.2697841439983718E-3</v>
      </c>
      <c r="AE403">
        <f t="shared" si="147"/>
        <v>1.6335139984616196E-2</v>
      </c>
      <c r="AG403">
        <f t="shared" si="148"/>
        <v>4.2575141420807809E-2</v>
      </c>
      <c r="AH403">
        <f t="shared" si="149"/>
        <v>0.61098793341936131</v>
      </c>
      <c r="AI403">
        <f t="shared" si="150"/>
        <v>2.7174816039455609</v>
      </c>
      <c r="AK403" s="26">
        <f t="shared" si="151"/>
        <v>3.493212258688061E-2</v>
      </c>
      <c r="AL403" s="26">
        <f t="shared" si="152"/>
        <v>6.9233263873766215E-2</v>
      </c>
      <c r="AM403" s="26">
        <f t="shared" si="153"/>
        <v>2.927220993863644E-2</v>
      </c>
      <c r="AN403" s="26">
        <f t="shared" si="154"/>
        <v>16.151269841269837</v>
      </c>
      <c r="AO403" s="26">
        <f t="shared" si="155"/>
        <v>16.87745697074007</v>
      </c>
      <c r="AP403" s="26">
        <f t="shared" si="156"/>
        <v>17.568068853233889</v>
      </c>
      <c r="AS403" s="2">
        <v>45077</v>
      </c>
      <c r="AT403">
        <v>20.7</v>
      </c>
      <c r="AU403">
        <v>46</v>
      </c>
      <c r="AV403">
        <v>30.5</v>
      </c>
      <c r="AW403">
        <v>5.8</v>
      </c>
      <c r="AX403">
        <v>350.79</v>
      </c>
      <c r="AY403">
        <v>0.5</v>
      </c>
      <c r="AZ403">
        <v>3.2</v>
      </c>
      <c r="BA403">
        <v>112.8338</v>
      </c>
      <c r="BB403">
        <v>15.358599999999999</v>
      </c>
      <c r="BC403">
        <v>69.194100000000006</v>
      </c>
      <c r="BD403">
        <v>3.48</v>
      </c>
      <c r="BE403">
        <v>27.282900000000001</v>
      </c>
      <c r="BF403">
        <v>-44.371699999999997</v>
      </c>
      <c r="BG403">
        <v>-31.899100000000001</v>
      </c>
      <c r="BH403">
        <v>68.98</v>
      </c>
    </row>
    <row r="404" spans="1:60" x14ac:dyDescent="0.25">
      <c r="A404" s="2">
        <v>45097</v>
      </c>
      <c r="B404">
        <v>19.2</v>
      </c>
      <c r="C404">
        <v>19.399999999999999</v>
      </c>
      <c r="D404">
        <v>29.5</v>
      </c>
      <c r="E404">
        <v>2.6</v>
      </c>
      <c r="F404">
        <v>277.57</v>
      </c>
      <c r="G404">
        <v>0.3</v>
      </c>
      <c r="H404">
        <v>3</v>
      </c>
      <c r="I404">
        <v>290.71850000000001</v>
      </c>
      <c r="J404">
        <v>64.178200000000004</v>
      </c>
      <c r="K404">
        <v>107.1571</v>
      </c>
      <c r="L404">
        <v>4.1418999999999997</v>
      </c>
      <c r="M404">
        <v>20.678799999999999</v>
      </c>
      <c r="N404">
        <v>-3.3940000000000001</v>
      </c>
      <c r="O404">
        <v>-13.645099999999999</v>
      </c>
      <c r="P404">
        <v>74.930000000000007</v>
      </c>
      <c r="S404">
        <f t="shared" si="135"/>
        <v>838.44449999999995</v>
      </c>
      <c r="T404">
        <f t="shared" si="136"/>
        <v>1.799932783760106E-2</v>
      </c>
      <c r="U404">
        <f t="shared" si="137"/>
        <v>1.8186820835909404E-2</v>
      </c>
      <c r="V404">
        <f t="shared" si="138"/>
        <v>2.7655217250480795E-2</v>
      </c>
      <c r="W404">
        <f t="shared" si="139"/>
        <v>2.437408978008477E-3</v>
      </c>
      <c r="X404">
        <f t="shared" si="140"/>
        <v>0.26021215770223577</v>
      </c>
      <c r="Y404">
        <f t="shared" si="141"/>
        <v>2.8123949746251657E-4</v>
      </c>
      <c r="Z404">
        <f t="shared" si="142"/>
        <v>2.8123949746251659E-3</v>
      </c>
      <c r="AA404">
        <f t="shared" si="143"/>
        <v>0.27253841614352209</v>
      </c>
      <c r="AB404">
        <f t="shared" si="144"/>
        <v>6.016481572016294E-2</v>
      </c>
      <c r="AC404">
        <f t="shared" si="145"/>
        <v>0.10045602984513545</v>
      </c>
      <c r="AD404">
        <f t="shared" si="146"/>
        <v>3.8828862484666577E-3</v>
      </c>
      <c r="AE404">
        <f t="shared" si="147"/>
        <v>1.9385651067092956E-2</v>
      </c>
      <c r="AG404">
        <f t="shared" si="148"/>
        <v>4.0362167240820049E-2</v>
      </c>
      <c r="AH404">
        <f t="shared" si="149"/>
        <v>0.34897021814341611</v>
      </c>
      <c r="AI404">
        <f t="shared" si="150"/>
        <v>0.78560094850654982</v>
      </c>
      <c r="AK404" s="26">
        <f t="shared" si="151"/>
        <v>3.3476940321700344E-2</v>
      </c>
      <c r="AL404" s="26">
        <f t="shared" si="152"/>
        <v>6.6543510235507919E-2</v>
      </c>
      <c r="AM404" s="26">
        <f t="shared" si="153"/>
        <v>2.8443624483675711E-2</v>
      </c>
      <c r="AN404" s="26">
        <f t="shared" si="154"/>
        <v>16.205555555555542</v>
      </c>
      <c r="AO404" s="26">
        <f t="shared" si="155"/>
        <v>16.913461703958667</v>
      </c>
      <c r="AP404" s="26">
        <f t="shared" si="156"/>
        <v>17.595895590977115</v>
      </c>
      <c r="AS404" s="2">
        <v>45076</v>
      </c>
      <c r="AT404">
        <v>20.399999999999999</v>
      </c>
      <c r="AU404">
        <v>55.5</v>
      </c>
      <c r="AV404">
        <v>23.2</v>
      </c>
      <c r="AW404">
        <v>4</v>
      </c>
      <c r="AX404">
        <v>332.97</v>
      </c>
      <c r="AY404">
        <v>0.5</v>
      </c>
      <c r="AZ404">
        <v>2.9</v>
      </c>
      <c r="BA404">
        <v>97.680300000000003</v>
      </c>
      <c r="BB404">
        <v>23.099699999999999</v>
      </c>
      <c r="BC404">
        <v>67.211500000000001</v>
      </c>
      <c r="BD404">
        <v>3.0449999999999999</v>
      </c>
      <c r="BE404">
        <v>31.964600000000001</v>
      </c>
      <c r="BF404">
        <v>-9.5284999999999993</v>
      </c>
      <c r="BG404">
        <v>-32.455800000000004</v>
      </c>
      <c r="BH404">
        <v>68.739999999999995</v>
      </c>
    </row>
    <row r="405" spans="1:60" x14ac:dyDescent="0.25">
      <c r="A405" s="2">
        <v>45096</v>
      </c>
      <c r="B405">
        <v>17.600000000000001</v>
      </c>
      <c r="C405">
        <v>46.9</v>
      </c>
      <c r="D405">
        <v>55.5</v>
      </c>
      <c r="E405">
        <v>5.8</v>
      </c>
      <c r="F405">
        <v>260.39</v>
      </c>
      <c r="G405">
        <v>0.3</v>
      </c>
      <c r="H405">
        <v>3.2</v>
      </c>
      <c r="I405">
        <v>250.27760000000001</v>
      </c>
      <c r="J405">
        <v>48.170699999999997</v>
      </c>
      <c r="K405">
        <v>76.237399999999994</v>
      </c>
      <c r="L405">
        <v>3.48</v>
      </c>
      <c r="M405">
        <v>27.083400000000001</v>
      </c>
      <c r="N405">
        <v>-4.5989000000000004</v>
      </c>
      <c r="O405">
        <v>-20.111499999999999</v>
      </c>
      <c r="P405">
        <v>74.650000000000006</v>
      </c>
      <c r="S405">
        <f t="shared" si="135"/>
        <v>794.93909999999994</v>
      </c>
      <c r="T405">
        <f t="shared" si="136"/>
        <v>1.6499383851134308E-2</v>
      </c>
      <c r="U405">
        <f t="shared" si="137"/>
        <v>4.3967108103306757E-2</v>
      </c>
      <c r="V405">
        <f t="shared" si="138"/>
        <v>5.2029307030565568E-2</v>
      </c>
      <c r="W405">
        <f t="shared" si="139"/>
        <v>5.4372969509419869E-3</v>
      </c>
      <c r="X405">
        <f t="shared" si="140"/>
        <v>0.24410650914754894</v>
      </c>
      <c r="Y405">
        <f t="shared" si="141"/>
        <v>2.8123949746251657E-4</v>
      </c>
      <c r="Z405">
        <f t="shared" si="142"/>
        <v>2.9998879729335104E-3</v>
      </c>
      <c r="AA405">
        <f t="shared" si="143"/>
        <v>0.23462648816708245</v>
      </c>
      <c r="AB405">
        <f t="shared" si="144"/>
        <v>4.5158344868058822E-2</v>
      </c>
      <c r="AC405">
        <f t="shared" si="145"/>
        <v>7.1469893546162858E-2</v>
      </c>
      <c r="AD405">
        <f t="shared" si="146"/>
        <v>3.2623781705651924E-3</v>
      </c>
      <c r="AE405">
        <f t="shared" si="147"/>
        <v>2.5389739351921074E-2</v>
      </c>
      <c r="AG405">
        <f t="shared" si="148"/>
        <v>2.9594179379653609E-2</v>
      </c>
      <c r="AH405">
        <f t="shared" si="149"/>
        <v>0.39071047190581465</v>
      </c>
      <c r="AI405">
        <f t="shared" si="150"/>
        <v>1.0937893896410098</v>
      </c>
      <c r="AK405" s="26">
        <f t="shared" si="151"/>
        <v>4.4749708342364747E-2</v>
      </c>
      <c r="AL405" s="26">
        <f t="shared" si="152"/>
        <v>6.9512824485989944E-2</v>
      </c>
      <c r="AM405" s="26">
        <f t="shared" si="153"/>
        <v>3.056460557656665E-2</v>
      </c>
      <c r="AN405" s="26">
        <f t="shared" si="154"/>
        <v>16.241904761904742</v>
      </c>
      <c r="AO405" s="26">
        <f t="shared" si="155"/>
        <v>16.947839931153169</v>
      </c>
      <c r="AP405" s="26">
        <f t="shared" si="156"/>
        <v>17.62437173393554</v>
      </c>
      <c r="AS405" s="2">
        <v>45075</v>
      </c>
      <c r="AT405">
        <v>19.7</v>
      </c>
      <c r="AU405">
        <v>38.9</v>
      </c>
      <c r="AV405">
        <v>37.9</v>
      </c>
      <c r="AW405">
        <v>4.9000000000000004</v>
      </c>
      <c r="AX405">
        <v>349.08</v>
      </c>
      <c r="AY405">
        <v>0.5</v>
      </c>
      <c r="AZ405">
        <v>3</v>
      </c>
      <c r="BA405">
        <v>80.340599999999995</v>
      </c>
      <c r="BB405">
        <v>23.1569</v>
      </c>
      <c r="BC405">
        <v>16.872900000000001</v>
      </c>
      <c r="BD405">
        <v>3.48</v>
      </c>
      <c r="BE405">
        <v>13.7933</v>
      </c>
      <c r="BF405">
        <v>-8.7431000000000001</v>
      </c>
      <c r="BG405">
        <v>-34.023699999999998</v>
      </c>
      <c r="BH405">
        <v>68.47</v>
      </c>
    </row>
    <row r="406" spans="1:60" x14ac:dyDescent="0.25">
      <c r="A406" s="2">
        <v>45095</v>
      </c>
      <c r="B406">
        <v>18</v>
      </c>
      <c r="C406">
        <v>55.3</v>
      </c>
      <c r="D406">
        <v>6.5</v>
      </c>
      <c r="E406">
        <v>0.8</v>
      </c>
      <c r="F406">
        <v>304.3</v>
      </c>
      <c r="G406">
        <v>0.4</v>
      </c>
      <c r="H406">
        <v>2.9</v>
      </c>
      <c r="I406">
        <v>170.17060000000001</v>
      </c>
      <c r="J406">
        <v>25.2241</v>
      </c>
      <c r="K406">
        <v>37.680700000000002</v>
      </c>
      <c r="L406">
        <v>2.8748</v>
      </c>
      <c r="M406">
        <v>14.6098</v>
      </c>
      <c r="P406">
        <v>74.38</v>
      </c>
      <c r="S406">
        <f t="shared" si="135"/>
        <v>638.76</v>
      </c>
      <c r="T406">
        <f t="shared" si="136"/>
        <v>1.6874369847750995E-2</v>
      </c>
      <c r="U406">
        <f t="shared" si="137"/>
        <v>5.1841814032257218E-2</v>
      </c>
      <c r="V406">
        <f t="shared" si="138"/>
        <v>6.0935224450211923E-3</v>
      </c>
      <c r="W406">
        <f t="shared" si="139"/>
        <v>7.4997199323337759E-4</v>
      </c>
      <c r="X406">
        <f t="shared" si="140"/>
        <v>0.28527059692614598</v>
      </c>
      <c r="Y406">
        <f t="shared" si="141"/>
        <v>3.7498599661668879E-4</v>
      </c>
      <c r="Z406">
        <f t="shared" si="142"/>
        <v>2.7186484754709935E-3</v>
      </c>
      <c r="AA406">
        <f t="shared" si="143"/>
        <v>0.15952898008964975</v>
      </c>
      <c r="AB406">
        <f t="shared" si="144"/>
        <v>2.3646710693147548E-2</v>
      </c>
      <c r="AC406">
        <f t="shared" si="145"/>
        <v>3.5324337106786161E-2</v>
      </c>
      <c r="AD406">
        <f t="shared" si="146"/>
        <v>2.6950243576841421E-3</v>
      </c>
      <c r="AE406">
        <f t="shared" si="147"/>
        <v>1.3696176033426249E-2</v>
      </c>
      <c r="AG406">
        <f t="shared" si="148"/>
        <v>1.9313894591877732E-2</v>
      </c>
      <c r="AH406">
        <f t="shared" si="149"/>
        <v>0.37762008574992267</v>
      </c>
      <c r="AI406">
        <f t="shared" si="150"/>
        <v>0.98743000725308627</v>
      </c>
      <c r="AK406" s="26">
        <f t="shared" si="151"/>
        <v>6.2171016098736598E-2</v>
      </c>
      <c r="AL406" s="26">
        <f t="shared" si="152"/>
        <v>7.3365771858134088E-2</v>
      </c>
      <c r="AM406" s="26">
        <f t="shared" si="153"/>
        <v>3.2753496817092831E-2</v>
      </c>
      <c r="AN406" s="26">
        <f t="shared" si="154"/>
        <v>16.279999999999994</v>
      </c>
      <c r="AO406" s="26">
        <f t="shared" si="155"/>
        <v>16.982745266781386</v>
      </c>
      <c r="AP406" s="26">
        <f t="shared" si="156"/>
        <v>17.655145348073809</v>
      </c>
      <c r="AS406" s="2">
        <v>45074</v>
      </c>
      <c r="AT406">
        <v>20.399999999999999</v>
      </c>
      <c r="AU406">
        <v>69.400000000000006</v>
      </c>
      <c r="AV406">
        <v>10.4</v>
      </c>
      <c r="AW406">
        <v>2.2999999999999998</v>
      </c>
      <c r="AX406">
        <v>353.25</v>
      </c>
      <c r="AY406">
        <v>0.5</v>
      </c>
      <c r="AZ406">
        <v>3.1</v>
      </c>
      <c r="BA406">
        <v>82.4268</v>
      </c>
      <c r="BB406">
        <v>31.324200000000001</v>
      </c>
      <c r="BC406">
        <v>21.778600000000001</v>
      </c>
      <c r="BD406">
        <v>3.48</v>
      </c>
      <c r="BE406">
        <v>20.7699</v>
      </c>
      <c r="BH406">
        <v>68.150000000000006</v>
      </c>
    </row>
    <row r="407" spans="1:60" x14ac:dyDescent="0.25">
      <c r="A407" s="2">
        <v>45094</v>
      </c>
      <c r="B407">
        <v>19.100000000000001</v>
      </c>
      <c r="C407">
        <v>106.3</v>
      </c>
      <c r="D407">
        <v>2.7</v>
      </c>
      <c r="E407">
        <v>1.2</v>
      </c>
      <c r="F407">
        <v>317.64</v>
      </c>
      <c r="G407">
        <v>0.5</v>
      </c>
      <c r="H407">
        <v>2.7</v>
      </c>
      <c r="I407">
        <v>174.8518</v>
      </c>
      <c r="J407">
        <v>31.012</v>
      </c>
      <c r="K407">
        <v>48.917499999999997</v>
      </c>
      <c r="L407">
        <v>3.48</v>
      </c>
      <c r="M407">
        <v>18.593299999999999</v>
      </c>
      <c r="P407">
        <v>73.989999999999995</v>
      </c>
      <c r="S407">
        <f t="shared" si="135"/>
        <v>726.99459999999999</v>
      </c>
      <c r="T407">
        <f t="shared" si="136"/>
        <v>1.7905581338446889E-2</v>
      </c>
      <c r="U407">
        <f t="shared" si="137"/>
        <v>9.965252860088504E-2</v>
      </c>
      <c r="V407">
        <f t="shared" si="138"/>
        <v>2.5311554771626494E-3</v>
      </c>
      <c r="W407">
        <f t="shared" si="139"/>
        <v>1.1249579898500663E-3</v>
      </c>
      <c r="X407">
        <f t="shared" si="140"/>
        <v>0.29777637991331252</v>
      </c>
      <c r="Y407">
        <f t="shared" si="141"/>
        <v>4.6873249577086097E-4</v>
      </c>
      <c r="Z407">
        <f t="shared" si="142"/>
        <v>2.5311554771626494E-3</v>
      </c>
      <c r="AA407">
        <f t="shared" si="143"/>
        <v>0.16391744120805485</v>
      </c>
      <c r="AB407">
        <f t="shared" si="144"/>
        <v>2.9072664317691881E-2</v>
      </c>
      <c r="AC407">
        <f t="shared" si="145"/>
        <v>4.5858443723742176E-2</v>
      </c>
      <c r="AD407">
        <f t="shared" si="146"/>
        <v>3.2623781705651924E-3</v>
      </c>
      <c r="AE407">
        <f t="shared" si="147"/>
        <v>1.7430567827232697E-2</v>
      </c>
      <c r="AG407">
        <f t="shared" si="148"/>
        <v>3.351829829916234E-3</v>
      </c>
      <c r="AH407">
        <f t="shared" si="149"/>
        <v>0.43942105911982332</v>
      </c>
      <c r="AI407">
        <f t="shared" si="150"/>
        <v>1.4323833049453838</v>
      </c>
      <c r="AK407" s="26">
        <f t="shared" si="151"/>
        <v>7.2259837260988002E-2</v>
      </c>
      <c r="AL407" s="26">
        <f t="shared" si="152"/>
        <v>7.2472736616089273E-2</v>
      </c>
      <c r="AM407" s="26">
        <f t="shared" si="153"/>
        <v>3.1979297543937801E-2</v>
      </c>
      <c r="AN407" s="26">
        <f t="shared" si="154"/>
        <v>16.315714285714293</v>
      </c>
      <c r="AO407" s="26">
        <f t="shared" si="155"/>
        <v>17.017594664371735</v>
      </c>
      <c r="AP407" s="26">
        <f t="shared" si="156"/>
        <v>17.684438171266478</v>
      </c>
      <c r="AS407" s="2">
        <v>45073</v>
      </c>
      <c r="AT407">
        <v>21.9</v>
      </c>
      <c r="AU407">
        <v>37.5</v>
      </c>
      <c r="AV407">
        <v>5.6</v>
      </c>
      <c r="AW407">
        <v>3</v>
      </c>
      <c r="AX407">
        <v>367.29</v>
      </c>
      <c r="AY407">
        <v>0.5</v>
      </c>
      <c r="AZ407">
        <v>2.8</v>
      </c>
      <c r="BA407">
        <v>88.748999999999995</v>
      </c>
      <c r="BB407">
        <v>19.4025</v>
      </c>
      <c r="BC407">
        <v>47.5745</v>
      </c>
      <c r="BD407">
        <v>3.48</v>
      </c>
      <c r="BE407">
        <v>23.577999999999999</v>
      </c>
      <c r="BH407">
        <v>67.78</v>
      </c>
    </row>
    <row r="408" spans="1:60" x14ac:dyDescent="0.25">
      <c r="A408" s="2">
        <v>45093</v>
      </c>
      <c r="B408">
        <v>20.2</v>
      </c>
      <c r="C408">
        <v>53.4</v>
      </c>
      <c r="D408">
        <v>13.7</v>
      </c>
      <c r="E408">
        <v>3.6</v>
      </c>
      <c r="F408">
        <v>261.95999999999998</v>
      </c>
      <c r="G408">
        <v>0.5</v>
      </c>
      <c r="H408">
        <v>2.7</v>
      </c>
      <c r="I408">
        <v>245.56030000000001</v>
      </c>
      <c r="J408">
        <v>119.51009999999999</v>
      </c>
      <c r="K408">
        <v>71.738600000000005</v>
      </c>
      <c r="L408">
        <v>3.48</v>
      </c>
      <c r="M408">
        <v>21.091000000000001</v>
      </c>
      <c r="N408">
        <v>-5.2568999999999999</v>
      </c>
      <c r="O408">
        <v>-20.1633</v>
      </c>
      <c r="P408">
        <v>73.67</v>
      </c>
      <c r="S408">
        <f t="shared" si="135"/>
        <v>817.43999999999994</v>
      </c>
      <c r="T408">
        <f t="shared" si="136"/>
        <v>1.8936792829142783E-2</v>
      </c>
      <c r="U408">
        <f t="shared" si="137"/>
        <v>5.0060630548327947E-2</v>
      </c>
      <c r="V408">
        <f t="shared" si="138"/>
        <v>1.2843270384121589E-2</v>
      </c>
      <c r="W408">
        <f t="shared" si="139"/>
        <v>3.3748739695501988E-3</v>
      </c>
      <c r="X408">
        <f t="shared" si="140"/>
        <v>0.24557832918426944</v>
      </c>
      <c r="Y408">
        <f t="shared" si="141"/>
        <v>4.6873249577086097E-4</v>
      </c>
      <c r="Z408">
        <f t="shared" si="142"/>
        <v>2.5311554771626494E-3</v>
      </c>
      <c r="AA408">
        <f t="shared" si="143"/>
        <v>0.23020418456248271</v>
      </c>
      <c r="AB408">
        <f t="shared" si="144"/>
        <v>0.11203653488565034</v>
      </c>
      <c r="AC408">
        <f t="shared" si="145"/>
        <v>6.7252426042214972E-2</v>
      </c>
      <c r="AD408">
        <f t="shared" si="146"/>
        <v>3.2623781705651924E-3</v>
      </c>
      <c r="AE408">
        <f t="shared" si="147"/>
        <v>1.9772074136606459E-2</v>
      </c>
      <c r="AG408">
        <f t="shared" si="148"/>
        <v>-9.2651333371520789E-3</v>
      </c>
      <c r="AH408">
        <f t="shared" si="149"/>
        <v>0.35356585902495191</v>
      </c>
      <c r="AI408">
        <f t="shared" si="150"/>
        <v>0.81063426013912543</v>
      </c>
      <c r="AK408" s="26">
        <f t="shared" si="151"/>
        <v>8.5449795591338751E-2</v>
      </c>
      <c r="AL408" s="26">
        <f t="shared" si="152"/>
        <v>7.5016514974652337E-2</v>
      </c>
      <c r="AM408" s="26">
        <f t="shared" si="153"/>
        <v>3.1608463130521069E-2</v>
      </c>
      <c r="AN408" s="26">
        <f t="shared" si="154"/>
        <v>16.353333333333346</v>
      </c>
      <c r="AO408" s="26">
        <f t="shared" si="155"/>
        <v>17.05647160068844</v>
      </c>
      <c r="AP408" s="26">
        <f t="shared" si="156"/>
        <v>17.714053990178797</v>
      </c>
      <c r="AS408" s="2">
        <v>45072</v>
      </c>
      <c r="AT408">
        <v>21.8</v>
      </c>
      <c r="AU408">
        <v>62.6</v>
      </c>
      <c r="AV408">
        <v>34.9</v>
      </c>
      <c r="AW408">
        <v>6.6</v>
      </c>
      <c r="AX408">
        <v>345.81</v>
      </c>
      <c r="AY408">
        <v>0.6</v>
      </c>
      <c r="AZ408">
        <v>3.1</v>
      </c>
      <c r="BA408">
        <v>111.2312</v>
      </c>
      <c r="BB408">
        <v>22.285299999999999</v>
      </c>
      <c r="BC408">
        <v>58.283999999999999</v>
      </c>
      <c r="BD408">
        <v>3.48</v>
      </c>
      <c r="BE408">
        <v>28.121099999999998</v>
      </c>
      <c r="BF408">
        <v>-6.1459000000000001</v>
      </c>
      <c r="BG408">
        <v>-32.641500000000001</v>
      </c>
      <c r="BH408">
        <v>67.39</v>
      </c>
    </row>
    <row r="409" spans="1:60" x14ac:dyDescent="0.25">
      <c r="A409" s="2">
        <v>45092</v>
      </c>
      <c r="B409">
        <v>19.8</v>
      </c>
      <c r="C409">
        <v>88.6</v>
      </c>
      <c r="D409">
        <v>7.4</v>
      </c>
      <c r="E409">
        <v>3.5</v>
      </c>
      <c r="F409">
        <v>304.08</v>
      </c>
      <c r="G409">
        <v>0.5</v>
      </c>
      <c r="H409">
        <v>3</v>
      </c>
      <c r="I409">
        <v>214.5273</v>
      </c>
      <c r="J409">
        <v>82.109499999999997</v>
      </c>
      <c r="K409">
        <v>94.544899999999998</v>
      </c>
      <c r="L409">
        <v>3.48</v>
      </c>
      <c r="M409">
        <v>23.0212</v>
      </c>
      <c r="N409">
        <v>-6.1577999999999999</v>
      </c>
      <c r="O409">
        <v>-10.1256</v>
      </c>
      <c r="P409">
        <v>73.38</v>
      </c>
      <c r="S409">
        <f t="shared" si="135"/>
        <v>844.56290000000001</v>
      </c>
      <c r="T409">
        <f t="shared" si="136"/>
        <v>1.8561806832526093E-2</v>
      </c>
      <c r="U409">
        <f t="shared" si="137"/>
        <v>8.305939825059655E-2</v>
      </c>
      <c r="V409">
        <f t="shared" si="138"/>
        <v>6.9372409374087425E-3</v>
      </c>
      <c r="W409">
        <f t="shared" si="139"/>
        <v>3.2811274703960268E-3</v>
      </c>
      <c r="X409">
        <f t="shared" si="140"/>
        <v>0.28506435462800678</v>
      </c>
      <c r="Y409">
        <f t="shared" si="141"/>
        <v>4.6873249577086097E-4</v>
      </c>
      <c r="Z409">
        <f t="shared" si="142"/>
        <v>2.8123949746251659E-3</v>
      </c>
      <c r="AA409">
        <f t="shared" si="143"/>
        <v>0.20111183347996844</v>
      </c>
      <c r="AB409">
        <f t="shared" si="144"/>
        <v>7.6974781722995017E-2</v>
      </c>
      <c r="AC409">
        <f t="shared" si="145"/>
        <v>8.8632533878812939E-2</v>
      </c>
      <c r="AD409">
        <f t="shared" si="146"/>
        <v>3.2623781705651924E-3</v>
      </c>
      <c r="AE409">
        <f t="shared" si="147"/>
        <v>2.1581569063280289E-2</v>
      </c>
      <c r="AG409">
        <f t="shared" si="148"/>
        <v>-2.0446123548405512E-2</v>
      </c>
      <c r="AH409">
        <f t="shared" si="149"/>
        <v>0.42176662465261044</v>
      </c>
      <c r="AI409">
        <f t="shared" si="150"/>
        <v>1.2924327404173208</v>
      </c>
      <c r="AK409" s="26">
        <f t="shared" si="151"/>
        <v>9.8061815682641995E-2</v>
      </c>
      <c r="AL409" s="26">
        <f t="shared" si="152"/>
        <v>7.8335169120253567E-2</v>
      </c>
      <c r="AM409" s="26">
        <f t="shared" si="153"/>
        <v>3.2409493616253615E-2</v>
      </c>
      <c r="AN409" s="26">
        <f t="shared" si="154"/>
        <v>16.390634920634923</v>
      </c>
      <c r="AO409" s="26">
        <f t="shared" si="155"/>
        <v>17.09089285714284</v>
      </c>
      <c r="AP409" s="26">
        <f t="shared" si="156"/>
        <v>17.744291116304673</v>
      </c>
      <c r="AS409" s="2">
        <v>45071</v>
      </c>
      <c r="AT409">
        <v>21.2</v>
      </c>
      <c r="AU409">
        <v>21</v>
      </c>
      <c r="AV409">
        <v>42.5</v>
      </c>
      <c r="AW409">
        <v>5.5</v>
      </c>
      <c r="AX409">
        <v>311.89999999999998</v>
      </c>
      <c r="AY409">
        <v>0.9</v>
      </c>
      <c r="AZ409">
        <v>3.2</v>
      </c>
      <c r="BA409">
        <v>170.36510000000001</v>
      </c>
      <c r="BB409">
        <v>23.1448</v>
      </c>
      <c r="BC409">
        <v>72.353499999999997</v>
      </c>
      <c r="BD409">
        <v>3.1135000000000002</v>
      </c>
      <c r="BE409">
        <v>20.301100000000002</v>
      </c>
      <c r="BF409">
        <v>-7.0989000000000004</v>
      </c>
      <c r="BG409">
        <v>-31.871099999999998</v>
      </c>
      <c r="BH409">
        <v>67.069999999999993</v>
      </c>
    </row>
    <row r="410" spans="1:60" x14ac:dyDescent="0.25">
      <c r="A410" s="2">
        <v>45091</v>
      </c>
      <c r="B410">
        <v>21.1</v>
      </c>
      <c r="C410">
        <v>46.7</v>
      </c>
      <c r="D410">
        <v>26.6</v>
      </c>
      <c r="E410">
        <v>5.8</v>
      </c>
      <c r="F410">
        <v>326.08</v>
      </c>
      <c r="G410">
        <v>0.5</v>
      </c>
      <c r="H410">
        <v>3</v>
      </c>
      <c r="I410">
        <v>196.5334</v>
      </c>
      <c r="J410">
        <v>32.324599999999997</v>
      </c>
      <c r="K410">
        <v>67.324600000000004</v>
      </c>
      <c r="L410">
        <v>3.4060000000000001</v>
      </c>
      <c r="M410">
        <v>24.314299999999999</v>
      </c>
      <c r="N410">
        <v>-2.8243999999999998</v>
      </c>
      <c r="O410">
        <v>-13.0641</v>
      </c>
      <c r="P410">
        <v>73.13</v>
      </c>
      <c r="S410">
        <f t="shared" si="135"/>
        <v>753.68290000000002</v>
      </c>
      <c r="T410">
        <f t="shared" si="136"/>
        <v>1.9780511321530334E-2</v>
      </c>
      <c r="U410">
        <f t="shared" si="137"/>
        <v>4.3779615104998414E-2</v>
      </c>
      <c r="V410">
        <f t="shared" si="138"/>
        <v>2.4936568775009806E-2</v>
      </c>
      <c r="W410">
        <f t="shared" si="139"/>
        <v>5.4372969509419869E-3</v>
      </c>
      <c r="X410">
        <f t="shared" si="140"/>
        <v>0.30568858444192465</v>
      </c>
      <c r="Y410">
        <f t="shared" si="141"/>
        <v>4.6873249577086097E-4</v>
      </c>
      <c r="Z410">
        <f t="shared" si="142"/>
        <v>2.8123949746251659E-3</v>
      </c>
      <c r="AA410">
        <f t="shared" si="143"/>
        <v>0.18424318216866584</v>
      </c>
      <c r="AB410">
        <f t="shared" si="144"/>
        <v>3.030318086558954E-2</v>
      </c>
      <c r="AC410">
        <f t="shared" si="145"/>
        <v>6.311445556954981E-2</v>
      </c>
      <c r="AD410">
        <f t="shared" si="146"/>
        <v>3.193005761191105E-3</v>
      </c>
      <c r="AE410">
        <f t="shared" si="147"/>
        <v>2.2793805043842888E-2</v>
      </c>
      <c r="AG410">
        <f t="shared" si="148"/>
        <v>-2.9713102980487051E-2</v>
      </c>
      <c r="AH410">
        <f t="shared" si="149"/>
        <v>0.42569750910864407</v>
      </c>
      <c r="AI410">
        <f t="shared" si="150"/>
        <v>1.3099560445002758</v>
      </c>
      <c r="AK410" s="26">
        <f t="shared" si="151"/>
        <v>0.1043361528039366</v>
      </c>
      <c r="AL410" s="26">
        <f t="shared" si="152"/>
        <v>7.7775679686664878E-2</v>
      </c>
      <c r="AM410" s="26">
        <f t="shared" si="153"/>
        <v>3.2534438239368357E-2</v>
      </c>
      <c r="AN410" s="26">
        <f t="shared" si="154"/>
        <v>16.429047619047623</v>
      </c>
      <c r="AO410" s="26">
        <f t="shared" si="155"/>
        <v>17.126729776247835</v>
      </c>
      <c r="AP410" s="26">
        <f t="shared" si="156"/>
        <v>17.774291116304688</v>
      </c>
      <c r="AS410" s="2">
        <v>45070</v>
      </c>
      <c r="AT410">
        <v>22.2</v>
      </c>
      <c r="AU410">
        <v>19</v>
      </c>
      <c r="AV410">
        <v>41.1</v>
      </c>
      <c r="AW410">
        <v>5.2</v>
      </c>
      <c r="AX410">
        <v>211.15</v>
      </c>
      <c r="AY410">
        <v>0.9</v>
      </c>
      <c r="AZ410">
        <v>3.6</v>
      </c>
      <c r="BA410">
        <v>199.4058</v>
      </c>
      <c r="BB410">
        <v>24.127300000000002</v>
      </c>
      <c r="BC410">
        <v>106.54989999999999</v>
      </c>
      <c r="BD410">
        <v>3.1598999999999999</v>
      </c>
      <c r="BE410">
        <v>25.736000000000001</v>
      </c>
      <c r="BF410">
        <v>-8.3213000000000008</v>
      </c>
      <c r="BG410">
        <v>-30.959199999999999</v>
      </c>
      <c r="BH410">
        <v>66.819999999999993</v>
      </c>
    </row>
    <row r="411" spans="1:60" x14ac:dyDescent="0.25">
      <c r="A411" s="2">
        <v>45090</v>
      </c>
      <c r="B411">
        <v>20.100000000000001</v>
      </c>
      <c r="C411">
        <v>40.700000000000003</v>
      </c>
      <c r="D411">
        <v>49.4</v>
      </c>
      <c r="E411">
        <v>9.1999999999999993</v>
      </c>
      <c r="F411">
        <v>366.51</v>
      </c>
      <c r="G411">
        <v>0.5</v>
      </c>
      <c r="H411">
        <v>3.1</v>
      </c>
      <c r="I411">
        <v>175.0136</v>
      </c>
      <c r="J411">
        <v>28.4284</v>
      </c>
      <c r="K411">
        <v>52.3812</v>
      </c>
      <c r="L411">
        <v>3.48</v>
      </c>
      <c r="M411">
        <v>21.861699999999999</v>
      </c>
      <c r="N411">
        <v>-3.9373999999999998</v>
      </c>
      <c r="O411">
        <v>-16.633700000000001</v>
      </c>
      <c r="P411">
        <v>72.86</v>
      </c>
      <c r="S411">
        <f t="shared" si="135"/>
        <v>770.67490000000009</v>
      </c>
      <c r="T411">
        <f t="shared" si="136"/>
        <v>1.8843046329988612E-2</v>
      </c>
      <c r="U411">
        <f t="shared" si="137"/>
        <v>3.8154825155748084E-2</v>
      </c>
      <c r="V411">
        <f t="shared" si="138"/>
        <v>4.6310770582161064E-2</v>
      </c>
      <c r="W411">
        <f t="shared" si="139"/>
        <v>8.6246779221838404E-3</v>
      </c>
      <c r="X411">
        <f t="shared" si="140"/>
        <v>0.3435902940499565</v>
      </c>
      <c r="Y411">
        <f t="shared" si="141"/>
        <v>4.6873249577086097E-4</v>
      </c>
      <c r="Z411">
        <f t="shared" si="142"/>
        <v>2.9061414737793379E-3</v>
      </c>
      <c r="AA411">
        <f t="shared" si="143"/>
        <v>0.16406912304368629</v>
      </c>
      <c r="AB411">
        <f t="shared" si="144"/>
        <v>2.6650629765544689E-2</v>
      </c>
      <c r="AC411">
        <f t="shared" si="145"/>
        <v>4.9105541214945245E-2</v>
      </c>
      <c r="AD411">
        <f t="shared" si="146"/>
        <v>3.2623781705651924E-3</v>
      </c>
      <c r="AE411">
        <f t="shared" si="147"/>
        <v>2.049457840558766E-2</v>
      </c>
      <c r="AG411">
        <f t="shared" si="148"/>
        <v>-3.9912811476839692E-2</v>
      </c>
      <c r="AH411">
        <f t="shared" si="149"/>
        <v>0.47939306641517593</v>
      </c>
      <c r="AI411">
        <f t="shared" si="150"/>
        <v>1.6974878211514173</v>
      </c>
      <c r="AK411" s="26">
        <f t="shared" si="151"/>
        <v>0.11419440668357778</v>
      </c>
      <c r="AL411" s="26">
        <f t="shared" si="152"/>
        <v>7.9969597381044977E-2</v>
      </c>
      <c r="AM411" s="26">
        <f t="shared" si="153"/>
        <v>3.4087924223874966E-2</v>
      </c>
      <c r="AN411" s="26">
        <f t="shared" si="154"/>
        <v>16.468888888888891</v>
      </c>
      <c r="AO411" s="26">
        <f t="shared" si="155"/>
        <v>17.161340361445781</v>
      </c>
      <c r="AP411" s="26">
        <f t="shared" si="156"/>
        <v>17.803342874399277</v>
      </c>
      <c r="AS411" s="2">
        <v>45069</v>
      </c>
      <c r="AT411">
        <v>21.7</v>
      </c>
      <c r="AU411">
        <v>267.10000000000002</v>
      </c>
      <c r="AV411">
        <v>59.4</v>
      </c>
      <c r="AW411">
        <v>15.3</v>
      </c>
      <c r="AX411">
        <v>171.38</v>
      </c>
      <c r="AY411">
        <v>0.9</v>
      </c>
      <c r="AZ411">
        <v>3.6</v>
      </c>
      <c r="BA411">
        <v>175.94890000000001</v>
      </c>
      <c r="BB411">
        <v>28.084599999999998</v>
      </c>
      <c r="BC411">
        <v>66.8005</v>
      </c>
      <c r="BD411">
        <v>3.0095999999999998</v>
      </c>
      <c r="BE411">
        <v>17.813300000000002</v>
      </c>
      <c r="BF411">
        <v>-10.165100000000001</v>
      </c>
      <c r="BG411">
        <v>-30.980699999999999</v>
      </c>
      <c r="BH411">
        <v>66.59</v>
      </c>
    </row>
    <row r="412" spans="1:60" x14ac:dyDescent="0.25">
      <c r="A412" s="2">
        <v>45089</v>
      </c>
      <c r="B412">
        <v>19.600000000000001</v>
      </c>
      <c r="C412">
        <v>43.5</v>
      </c>
      <c r="D412">
        <v>43.9</v>
      </c>
      <c r="E412">
        <v>6.9</v>
      </c>
      <c r="F412">
        <v>361.99</v>
      </c>
      <c r="G412">
        <v>0.5</v>
      </c>
      <c r="H412">
        <v>2.8</v>
      </c>
      <c r="I412">
        <v>162.41120000000001</v>
      </c>
      <c r="J412">
        <v>26.521899999999999</v>
      </c>
      <c r="K412">
        <v>50.5075</v>
      </c>
      <c r="L412">
        <v>3.8275000000000001</v>
      </c>
      <c r="M412">
        <v>28.276199999999999</v>
      </c>
      <c r="N412">
        <v>-1.2407999999999999</v>
      </c>
      <c r="O412">
        <v>-22.066500000000001</v>
      </c>
      <c r="P412">
        <v>72.56</v>
      </c>
      <c r="S412">
        <f t="shared" si="135"/>
        <v>750.73430000000008</v>
      </c>
      <c r="T412">
        <f t="shared" si="136"/>
        <v>1.837431383421775E-2</v>
      </c>
      <c r="U412">
        <f t="shared" si="137"/>
        <v>4.0779727132064902E-2</v>
      </c>
      <c r="V412">
        <f t="shared" si="138"/>
        <v>4.1154713128681589E-2</v>
      </c>
      <c r="W412">
        <f t="shared" si="139"/>
        <v>6.4685084416378812E-3</v>
      </c>
      <c r="X412">
        <f t="shared" si="140"/>
        <v>0.3393529522881879</v>
      </c>
      <c r="Y412">
        <f t="shared" si="141"/>
        <v>4.6873249577086097E-4</v>
      </c>
      <c r="Z412">
        <f t="shared" si="142"/>
        <v>2.624901976316821E-3</v>
      </c>
      <c r="AA412">
        <f t="shared" si="143"/>
        <v>0.15225481423428092</v>
      </c>
      <c r="AB412">
        <f t="shared" si="144"/>
        <v>2.4863352759170392E-2</v>
      </c>
      <c r="AC412">
        <f t="shared" si="145"/>
        <v>4.7349013060293522E-2</v>
      </c>
      <c r="AD412">
        <f t="shared" si="146"/>
        <v>3.5881472551259406E-3</v>
      </c>
      <c r="AE412">
        <f t="shared" si="147"/>
        <v>2.6507947593832036E-2</v>
      </c>
      <c r="AG412">
        <f t="shared" si="148"/>
        <v>-5.1523259913142383E-2</v>
      </c>
      <c r="AH412">
        <f t="shared" si="149"/>
        <v>0.47573179689070971</v>
      </c>
      <c r="AI412">
        <f t="shared" si="150"/>
        <v>1.6708676492105203</v>
      </c>
      <c r="AK412" s="26">
        <f t="shared" si="151"/>
        <v>0.12124335178286755</v>
      </c>
      <c r="AL412" s="26">
        <f t="shared" si="152"/>
        <v>7.8869200268050887E-2</v>
      </c>
      <c r="AM412" s="26">
        <f t="shared" si="153"/>
        <v>3.2361087691053558E-2</v>
      </c>
      <c r="AN412" s="26">
        <f t="shared" si="154"/>
        <v>16.510476190476176</v>
      </c>
      <c r="AO412" s="26">
        <f t="shared" si="155"/>
        <v>17.19502581755593</v>
      </c>
      <c r="AP412" s="26">
        <f t="shared" si="156"/>
        <v>17.832097633990678</v>
      </c>
      <c r="AS412" s="2">
        <v>45068</v>
      </c>
      <c r="AT412">
        <v>21.4</v>
      </c>
      <c r="AU412">
        <v>21.4</v>
      </c>
      <c r="AV412">
        <v>42.9</v>
      </c>
      <c r="AW412">
        <v>8</v>
      </c>
      <c r="AX412">
        <v>292.82</v>
      </c>
      <c r="AY412">
        <v>0.8</v>
      </c>
      <c r="AZ412">
        <v>3.3</v>
      </c>
      <c r="BA412">
        <v>165.03989999999999</v>
      </c>
      <c r="BB412">
        <v>30.342500000000001</v>
      </c>
      <c r="BC412">
        <v>70.750399999999999</v>
      </c>
      <c r="BD412">
        <v>3.1025</v>
      </c>
      <c r="BE412">
        <v>36.756</v>
      </c>
      <c r="BF412">
        <v>-10.5265</v>
      </c>
      <c r="BG412">
        <v>-31.497599999999998</v>
      </c>
      <c r="BH412">
        <v>66.33</v>
      </c>
    </row>
    <row r="413" spans="1:60" x14ac:dyDescent="0.25">
      <c r="A413" s="2">
        <v>45088</v>
      </c>
      <c r="B413">
        <v>17.5</v>
      </c>
      <c r="C413">
        <v>40.700000000000003</v>
      </c>
      <c r="D413">
        <v>57.4</v>
      </c>
      <c r="E413">
        <v>6.3</v>
      </c>
      <c r="F413">
        <v>348.45</v>
      </c>
      <c r="G413">
        <v>0.4</v>
      </c>
      <c r="H413">
        <v>2.8</v>
      </c>
      <c r="I413">
        <v>95.817700000000002</v>
      </c>
      <c r="J413">
        <v>18.654900000000001</v>
      </c>
      <c r="K413">
        <v>38.598399999999998</v>
      </c>
      <c r="L413">
        <v>3.48</v>
      </c>
      <c r="M413">
        <v>14.5664</v>
      </c>
      <c r="P413">
        <v>72.27</v>
      </c>
      <c r="S413">
        <f t="shared" si="135"/>
        <v>644.66740000000004</v>
      </c>
      <c r="T413">
        <f t="shared" si="136"/>
        <v>1.6405637351980133E-2</v>
      </c>
      <c r="U413">
        <f t="shared" si="137"/>
        <v>3.8154825155748084E-2</v>
      </c>
      <c r="V413">
        <f t="shared" si="138"/>
        <v>5.3810490514494838E-2</v>
      </c>
      <c r="W413">
        <f t="shared" si="139"/>
        <v>5.9060294467128483E-3</v>
      </c>
      <c r="X413">
        <f t="shared" si="140"/>
        <v>0.32665967630271298</v>
      </c>
      <c r="Y413">
        <f t="shared" si="141"/>
        <v>3.7498599661668879E-4</v>
      </c>
      <c r="Z413">
        <f t="shared" si="142"/>
        <v>2.624901976316821E-3</v>
      </c>
      <c r="AA413">
        <f t="shared" si="143"/>
        <v>8.9825739320047254E-2</v>
      </c>
      <c r="AB413">
        <f t="shared" si="144"/>
        <v>1.7488315670711671E-2</v>
      </c>
      <c r="AC413">
        <f t="shared" si="145"/>
        <v>3.6184648729523997E-2</v>
      </c>
      <c r="AD413">
        <f t="shared" si="146"/>
        <v>3.2623781705651924E-3</v>
      </c>
      <c r="AE413">
        <f t="shared" si="147"/>
        <v>1.3655490052793338E-2</v>
      </c>
      <c r="AG413">
        <f t="shared" si="148"/>
        <v>-6.2634125183312794E-2</v>
      </c>
      <c r="AH413">
        <f t="shared" si="149"/>
        <v>0.4575920367973757</v>
      </c>
      <c r="AI413">
        <f t="shared" si="150"/>
        <v>1.5439017895061649</v>
      </c>
      <c r="AK413" s="26">
        <f t="shared" si="151"/>
        <v>0.12840498017414065</v>
      </c>
      <c r="AL413" s="26">
        <f t="shared" si="152"/>
        <v>7.9278468822907233E-2</v>
      </c>
      <c r="AM413" s="26">
        <f t="shared" si="153"/>
        <v>3.2283862721794565E-2</v>
      </c>
      <c r="AN413" s="26">
        <f t="shared" si="154"/>
        <v>16.555714285714281</v>
      </c>
      <c r="AO413" s="26">
        <f t="shared" si="155"/>
        <v>17.229219018932866</v>
      </c>
      <c r="AP413" s="26">
        <f t="shared" si="156"/>
        <v>17.859518395000116</v>
      </c>
      <c r="AS413" s="2">
        <v>45067</v>
      </c>
      <c r="AT413">
        <v>20.5</v>
      </c>
      <c r="AU413">
        <v>1.9</v>
      </c>
      <c r="AV413">
        <v>40.5</v>
      </c>
      <c r="AW413">
        <v>7.1</v>
      </c>
      <c r="AX413">
        <v>285.38</v>
      </c>
      <c r="AY413">
        <v>0.8</v>
      </c>
      <c r="AZ413">
        <v>3.1</v>
      </c>
      <c r="BA413">
        <v>109.0895</v>
      </c>
      <c r="BB413">
        <v>31.1889</v>
      </c>
      <c r="BC413">
        <v>20.460999999999999</v>
      </c>
      <c r="BD413">
        <v>3.0823999999999998</v>
      </c>
      <c r="BE413">
        <v>19.681799999999999</v>
      </c>
      <c r="BH413">
        <v>66.06</v>
      </c>
    </row>
    <row r="414" spans="1:60" x14ac:dyDescent="0.25">
      <c r="A414" s="2">
        <v>45087</v>
      </c>
      <c r="B414">
        <v>19.899999999999999</v>
      </c>
      <c r="C414">
        <v>73.599999999999994</v>
      </c>
      <c r="D414">
        <v>54.4</v>
      </c>
      <c r="E414">
        <v>4.5999999999999996</v>
      </c>
      <c r="F414">
        <v>325.87</v>
      </c>
      <c r="G414">
        <v>0.5</v>
      </c>
      <c r="H414">
        <v>3.3</v>
      </c>
      <c r="I414">
        <v>94.257400000000004</v>
      </c>
      <c r="J414">
        <v>17.747399999999999</v>
      </c>
      <c r="K414">
        <v>45.516199999999998</v>
      </c>
      <c r="L414">
        <v>3.3487</v>
      </c>
      <c r="M414">
        <v>23.984400000000001</v>
      </c>
      <c r="P414">
        <v>71.89</v>
      </c>
      <c r="S414">
        <f t="shared" si="135"/>
        <v>667.02410000000009</v>
      </c>
      <c r="T414">
        <f t="shared" si="136"/>
        <v>1.8655553331680265E-2</v>
      </c>
      <c r="U414">
        <f t="shared" si="137"/>
        <v>6.8997423377470724E-2</v>
      </c>
      <c r="V414">
        <f t="shared" si="138"/>
        <v>5.099809553986967E-2</v>
      </c>
      <c r="W414">
        <f t="shared" si="139"/>
        <v>4.3123389610919202E-3</v>
      </c>
      <c r="X414">
        <f t="shared" si="140"/>
        <v>0.30549171679370091</v>
      </c>
      <c r="Y414">
        <f t="shared" si="141"/>
        <v>4.6873249577086097E-4</v>
      </c>
      <c r="Z414">
        <f t="shared" si="142"/>
        <v>3.0936344720876819E-3</v>
      </c>
      <c r="AA414">
        <f t="shared" si="143"/>
        <v>8.8363012693744705E-2</v>
      </c>
      <c r="AB414">
        <f t="shared" si="144"/>
        <v>1.6637566190887555E-2</v>
      </c>
      <c r="AC414">
        <f t="shared" si="145"/>
        <v>4.2669844048011323E-2</v>
      </c>
      <c r="AD414">
        <f t="shared" si="146"/>
        <v>3.1392890171757643E-3</v>
      </c>
      <c r="AE414">
        <f t="shared" si="147"/>
        <v>2.2484535343133275E-2</v>
      </c>
      <c r="AG414">
        <f t="shared" si="148"/>
        <v>-7.7980592710351057E-2</v>
      </c>
      <c r="AH414">
        <f t="shared" si="149"/>
        <v>0.47450203031480526</v>
      </c>
      <c r="AI414">
        <f t="shared" si="150"/>
        <v>1.6642260284247665</v>
      </c>
      <c r="AK414" s="26">
        <f t="shared" si="151"/>
        <v>0.12468062520790235</v>
      </c>
      <c r="AL414" s="26">
        <f t="shared" si="152"/>
        <v>7.7084358371364514E-2</v>
      </c>
      <c r="AM414" s="26">
        <f t="shared" si="153"/>
        <v>3.0638957913906473E-2</v>
      </c>
      <c r="AN414" s="26">
        <f t="shared" si="154"/>
        <v>16.603174603174594</v>
      </c>
      <c r="AO414" s="26">
        <f t="shared" si="155"/>
        <v>17.26451807228915</v>
      </c>
      <c r="AP414" s="26">
        <f t="shared" si="156"/>
        <v>17.88448386334391</v>
      </c>
      <c r="AS414" s="2">
        <v>45066</v>
      </c>
      <c r="AT414">
        <v>21.7</v>
      </c>
      <c r="AU414">
        <v>38</v>
      </c>
      <c r="AV414">
        <v>46.5</v>
      </c>
      <c r="AW414">
        <v>10.7</v>
      </c>
      <c r="AX414">
        <v>231.59</v>
      </c>
      <c r="AY414">
        <v>0.9</v>
      </c>
      <c r="AZ414">
        <v>3.2</v>
      </c>
      <c r="BA414">
        <v>99.730800000000002</v>
      </c>
      <c r="BB414">
        <v>19.5078</v>
      </c>
      <c r="BC414">
        <v>20.0303</v>
      </c>
      <c r="BD414">
        <v>2.5525000000000002</v>
      </c>
      <c r="BE414">
        <v>26.314599999999999</v>
      </c>
      <c r="BH414">
        <v>65.63</v>
      </c>
    </row>
    <row r="415" spans="1:60" x14ac:dyDescent="0.25">
      <c r="A415" s="2">
        <v>45086</v>
      </c>
      <c r="B415">
        <v>20</v>
      </c>
      <c r="C415">
        <v>47.1</v>
      </c>
      <c r="D415">
        <v>30.3</v>
      </c>
      <c r="E415">
        <v>5.7</v>
      </c>
      <c r="F415">
        <v>340.71</v>
      </c>
      <c r="G415">
        <v>0.5</v>
      </c>
      <c r="H415">
        <v>3.2</v>
      </c>
      <c r="I415">
        <v>138.65549999999999</v>
      </c>
      <c r="J415">
        <v>26.284600000000001</v>
      </c>
      <c r="K415">
        <v>64.734800000000007</v>
      </c>
      <c r="L415">
        <v>3.1774</v>
      </c>
      <c r="M415">
        <v>21.259399999999999</v>
      </c>
      <c r="N415">
        <v>-4.1952999999999996</v>
      </c>
      <c r="O415">
        <v>-23.087800000000001</v>
      </c>
      <c r="P415">
        <v>71.510000000000005</v>
      </c>
      <c r="S415">
        <f t="shared" si="135"/>
        <v>701.62170000000003</v>
      </c>
      <c r="T415">
        <f t="shared" si="136"/>
        <v>1.8749299830834436E-2</v>
      </c>
      <c r="U415">
        <f t="shared" si="137"/>
        <v>4.41546011016151E-2</v>
      </c>
      <c r="V415">
        <f t="shared" si="138"/>
        <v>2.8405189243714175E-2</v>
      </c>
      <c r="W415">
        <f t="shared" si="139"/>
        <v>5.3435504517878154E-3</v>
      </c>
      <c r="X415">
        <f t="shared" si="140"/>
        <v>0.31940369726818008</v>
      </c>
      <c r="Y415">
        <f t="shared" si="141"/>
        <v>4.6873249577086097E-4</v>
      </c>
      <c r="Z415">
        <f t="shared" si="142"/>
        <v>2.9998879729335104E-3</v>
      </c>
      <c r="AA415">
        <f t="shared" si="143"/>
        <v>0.12998467713471321</v>
      </c>
      <c r="AB415">
        <f t="shared" si="144"/>
        <v>2.4640892316677546E-2</v>
      </c>
      <c r="AC415">
        <f t="shared" si="145"/>
        <v>6.0686608734455069E-2</v>
      </c>
      <c r="AD415">
        <f t="shared" si="146"/>
        <v>2.9787012641246673E-3</v>
      </c>
      <c r="AE415">
        <f t="shared" si="147"/>
        <v>1.9929943241182083E-2</v>
      </c>
      <c r="AG415">
        <f t="shared" si="148"/>
        <v>-9.3298429545851658E-2</v>
      </c>
      <c r="AH415">
        <f t="shared" si="149"/>
        <v>0.43945490160601802</v>
      </c>
      <c r="AI415">
        <f t="shared" si="150"/>
        <v>1.4202879499719019</v>
      </c>
      <c r="AK415" s="26">
        <f t="shared" si="151"/>
        <v>0.11071516607575482</v>
      </c>
      <c r="AL415" s="26">
        <f t="shared" si="152"/>
        <v>7.3746040796719425E-2</v>
      </c>
      <c r="AM415" s="26">
        <f t="shared" si="153"/>
        <v>2.8532957411140314E-2</v>
      </c>
      <c r="AN415" s="26">
        <f t="shared" si="154"/>
        <v>16.653015873015839</v>
      </c>
      <c r="AO415" s="26">
        <f t="shared" si="155"/>
        <v>17.301830895008592</v>
      </c>
      <c r="AP415" s="26">
        <f t="shared" si="156"/>
        <v>17.908326199417019</v>
      </c>
      <c r="AS415" s="2">
        <v>45065</v>
      </c>
      <c r="AT415">
        <v>21.5</v>
      </c>
      <c r="AU415">
        <v>22.8</v>
      </c>
      <c r="AV415">
        <v>17.600000000000001</v>
      </c>
      <c r="AW415">
        <v>5.6</v>
      </c>
      <c r="AX415">
        <v>254.44</v>
      </c>
      <c r="AY415">
        <v>0.8</v>
      </c>
      <c r="AZ415">
        <v>3.5</v>
      </c>
      <c r="BA415">
        <v>126.6617</v>
      </c>
      <c r="BB415">
        <v>22.007999999999999</v>
      </c>
      <c r="BC415">
        <v>44.447899999999997</v>
      </c>
      <c r="BD415">
        <v>2.4205999999999999</v>
      </c>
      <c r="BE415">
        <v>30.736999999999998</v>
      </c>
      <c r="BF415">
        <v>-9.4837000000000007</v>
      </c>
      <c r="BG415">
        <v>-30.301500000000001</v>
      </c>
      <c r="BH415">
        <v>65.209999999999994</v>
      </c>
    </row>
    <row r="416" spans="1:60" x14ac:dyDescent="0.25">
      <c r="A416" s="2">
        <v>45085</v>
      </c>
      <c r="B416">
        <v>19.899999999999999</v>
      </c>
      <c r="C416">
        <v>101.9</v>
      </c>
      <c r="D416">
        <v>22.9</v>
      </c>
      <c r="E416">
        <v>2.5</v>
      </c>
      <c r="F416">
        <v>293.16000000000003</v>
      </c>
      <c r="G416">
        <v>0.5</v>
      </c>
      <c r="H416">
        <v>3.2</v>
      </c>
      <c r="I416">
        <v>133.63820000000001</v>
      </c>
      <c r="J416">
        <v>28.4937</v>
      </c>
      <c r="K416">
        <v>74.332999999999998</v>
      </c>
      <c r="L416">
        <v>3.48</v>
      </c>
      <c r="M416">
        <v>22.060300000000002</v>
      </c>
      <c r="N416">
        <v>-2.4658000000000002</v>
      </c>
      <c r="O416">
        <v>-27.8475</v>
      </c>
      <c r="P416">
        <v>71.2</v>
      </c>
      <c r="S416">
        <f t="shared" si="135"/>
        <v>706.0652</v>
      </c>
      <c r="T416">
        <f t="shared" si="136"/>
        <v>1.8655553331680265E-2</v>
      </c>
      <c r="U416">
        <f t="shared" si="137"/>
        <v>9.5527682638101463E-2</v>
      </c>
      <c r="V416">
        <f t="shared" si="138"/>
        <v>2.146794830630543E-2</v>
      </c>
      <c r="W416">
        <f t="shared" si="139"/>
        <v>2.3436624788543046E-3</v>
      </c>
      <c r="X416">
        <f t="shared" si="140"/>
        <v>0.2748272369203712</v>
      </c>
      <c r="Y416">
        <f t="shared" si="141"/>
        <v>4.6873249577086097E-4</v>
      </c>
      <c r="Z416">
        <f t="shared" si="142"/>
        <v>2.9998879729335104E-3</v>
      </c>
      <c r="AA416">
        <f t="shared" si="143"/>
        <v>0.12528113403265095</v>
      </c>
      <c r="AB416">
        <f t="shared" si="144"/>
        <v>2.6711846229492364E-2</v>
      </c>
      <c r="AC416">
        <f t="shared" si="145"/>
        <v>6.9684585216270814E-2</v>
      </c>
      <c r="AD416">
        <f t="shared" si="146"/>
        <v>3.2623781705651924E-3</v>
      </c>
      <c r="AE416">
        <f t="shared" si="147"/>
        <v>2.068075895290785E-2</v>
      </c>
      <c r="AG416">
        <f t="shared" si="148"/>
        <v>-0.10530273121908286</v>
      </c>
      <c r="AH416">
        <f t="shared" si="149"/>
        <v>0.43697146309692486</v>
      </c>
      <c r="AI416">
        <f t="shared" si="150"/>
        <v>1.4061577648893799</v>
      </c>
      <c r="AK416" s="26">
        <f t="shared" si="151"/>
        <v>0.10559113867615305</v>
      </c>
      <c r="AL416" s="26">
        <f t="shared" si="152"/>
        <v>7.0643816357923939E-2</v>
      </c>
      <c r="AM416" s="26">
        <f t="shared" si="153"/>
        <v>2.699226287931189E-2</v>
      </c>
      <c r="AN416" s="26">
        <f t="shared" si="154"/>
        <v>16.705555555555534</v>
      </c>
      <c r="AO416" s="26">
        <f t="shared" si="155"/>
        <v>17.343844664371751</v>
      </c>
      <c r="AP416" s="26">
        <f t="shared" si="156"/>
        <v>17.932521204800281</v>
      </c>
      <c r="AS416" s="2">
        <v>45064</v>
      </c>
      <c r="AT416">
        <v>20.399999999999999</v>
      </c>
      <c r="AU416">
        <v>8.4</v>
      </c>
      <c r="AV416">
        <v>3.8</v>
      </c>
      <c r="AW416">
        <v>2.8</v>
      </c>
      <c r="AX416">
        <v>288.75</v>
      </c>
      <c r="AY416">
        <v>0.8</v>
      </c>
      <c r="AZ416">
        <v>3.1</v>
      </c>
      <c r="BA416">
        <v>136.62540000000001</v>
      </c>
      <c r="BB416">
        <v>32.873600000000003</v>
      </c>
      <c r="BC416">
        <v>44.915999999999997</v>
      </c>
      <c r="BD416">
        <v>2.448</v>
      </c>
      <c r="BE416">
        <v>25.705400000000001</v>
      </c>
      <c r="BF416">
        <v>-9.7131000000000007</v>
      </c>
      <c r="BG416">
        <v>-29.806899999999999</v>
      </c>
      <c r="BH416">
        <v>64.989999999999995</v>
      </c>
    </row>
    <row r="417" spans="1:60" x14ac:dyDescent="0.25">
      <c r="A417" s="2">
        <v>45084</v>
      </c>
      <c r="B417">
        <v>20.8</v>
      </c>
      <c r="C417">
        <v>159.4</v>
      </c>
      <c r="D417">
        <v>15.3</v>
      </c>
      <c r="E417">
        <v>2.2000000000000002</v>
      </c>
      <c r="F417">
        <v>287.64999999999998</v>
      </c>
      <c r="G417">
        <v>0.5</v>
      </c>
      <c r="H417">
        <v>3.1</v>
      </c>
      <c r="I417">
        <v>177.4477</v>
      </c>
      <c r="J417">
        <v>56.263300000000001</v>
      </c>
      <c r="K417">
        <v>117.13030000000001</v>
      </c>
      <c r="L417">
        <v>3.48</v>
      </c>
      <c r="M417">
        <v>27.680700000000002</v>
      </c>
      <c r="N417">
        <v>-1.389</v>
      </c>
      <c r="O417">
        <v>-27.479399999999998</v>
      </c>
      <c r="P417">
        <v>70.94</v>
      </c>
      <c r="S417">
        <f t="shared" si="135"/>
        <v>870.952</v>
      </c>
      <c r="T417">
        <f t="shared" si="136"/>
        <v>1.9499271824067816E-2</v>
      </c>
      <c r="U417">
        <f t="shared" si="137"/>
        <v>0.14943191965175048</v>
      </c>
      <c r="V417">
        <f t="shared" si="138"/>
        <v>1.4343214370588346E-2</v>
      </c>
      <c r="W417">
        <f t="shared" si="139"/>
        <v>2.0624229813917885E-3</v>
      </c>
      <c r="X417">
        <f t="shared" si="140"/>
        <v>0.26966180481697627</v>
      </c>
      <c r="Y417">
        <f t="shared" si="141"/>
        <v>4.6873249577086097E-4</v>
      </c>
      <c r="Z417">
        <f t="shared" si="142"/>
        <v>2.9061414737793379E-3</v>
      </c>
      <c r="AA417">
        <f t="shared" si="143"/>
        <v>0.166351006579598</v>
      </c>
      <c r="AB417">
        <f t="shared" si="144"/>
        <v>5.2744874058609365E-2</v>
      </c>
      <c r="AC417">
        <f t="shared" si="145"/>
        <v>0.10980555569877935</v>
      </c>
      <c r="AD417">
        <f t="shared" si="146"/>
        <v>3.2623781705651924E-3</v>
      </c>
      <c r="AE417">
        <f t="shared" si="147"/>
        <v>2.5949687191368944E-2</v>
      </c>
      <c r="AG417">
        <f t="shared" si="148"/>
        <v>-0.11493631124195437</v>
      </c>
      <c r="AH417">
        <f t="shared" si="149"/>
        <v>0.4843231948056938</v>
      </c>
      <c r="AI417">
        <f t="shared" si="150"/>
        <v>1.7553114839513204</v>
      </c>
      <c r="AK417" s="26">
        <f t="shared" si="151"/>
        <v>0.10267186078817475</v>
      </c>
      <c r="AL417" s="26">
        <f t="shared" si="152"/>
        <v>6.8124192103541481E-2</v>
      </c>
      <c r="AM417" s="26">
        <f t="shared" si="153"/>
        <v>2.6516129055459747E-2</v>
      </c>
      <c r="AN417" s="26">
        <f t="shared" si="154"/>
        <v>16.76460317460316</v>
      </c>
      <c r="AO417" s="26">
        <f t="shared" si="155"/>
        <v>17.386755593803777</v>
      </c>
      <c r="AP417" s="26">
        <f t="shared" si="156"/>
        <v>17.956592526456745</v>
      </c>
      <c r="AS417" s="2">
        <v>45063</v>
      </c>
      <c r="AT417">
        <v>19.7</v>
      </c>
      <c r="AU417">
        <v>124.7</v>
      </c>
      <c r="AV417">
        <v>44.7</v>
      </c>
      <c r="AW417">
        <v>13</v>
      </c>
      <c r="AX417">
        <v>244.37</v>
      </c>
      <c r="AY417">
        <v>0.9</v>
      </c>
      <c r="AZ417">
        <v>3.3</v>
      </c>
      <c r="BA417">
        <v>162.62389999999999</v>
      </c>
      <c r="BB417">
        <v>37.164000000000001</v>
      </c>
      <c r="BC417">
        <v>75.495699999999999</v>
      </c>
      <c r="BD417">
        <v>2.2766999999999999</v>
      </c>
      <c r="BE417">
        <v>32.269599999999997</v>
      </c>
      <c r="BF417">
        <v>-12.234400000000001</v>
      </c>
      <c r="BG417">
        <v>-27.7912</v>
      </c>
      <c r="BH417">
        <v>64.69</v>
      </c>
    </row>
    <row r="418" spans="1:60" x14ac:dyDescent="0.25">
      <c r="A418" s="2">
        <v>45083</v>
      </c>
      <c r="B418">
        <v>20.9</v>
      </c>
      <c r="C418">
        <v>334.1</v>
      </c>
      <c r="D418">
        <v>13.1</v>
      </c>
      <c r="E418">
        <v>2.7</v>
      </c>
      <c r="F418">
        <v>267.8</v>
      </c>
      <c r="G418">
        <v>0.5</v>
      </c>
      <c r="H418">
        <v>3.2</v>
      </c>
      <c r="I418">
        <v>135.1232</v>
      </c>
      <c r="J418">
        <v>42.108899999999998</v>
      </c>
      <c r="K418">
        <v>115.7881</v>
      </c>
      <c r="L418">
        <v>3.4847000000000001</v>
      </c>
      <c r="M418">
        <v>29.210100000000001</v>
      </c>
      <c r="N418">
        <v>0.1118</v>
      </c>
      <c r="O418">
        <v>-25.805299999999999</v>
      </c>
      <c r="P418">
        <v>70.739999999999995</v>
      </c>
      <c r="S418">
        <f t="shared" si="135"/>
        <v>968.01499999999999</v>
      </c>
      <c r="T418">
        <f t="shared" si="136"/>
        <v>1.9593018323221988E-2</v>
      </c>
      <c r="U418">
        <f t="shared" si="137"/>
        <v>0.3132070536740893</v>
      </c>
      <c r="V418">
        <f t="shared" si="138"/>
        <v>1.2280791389196556E-2</v>
      </c>
      <c r="W418">
        <f t="shared" si="139"/>
        <v>2.5311554771626494E-3</v>
      </c>
      <c r="X418">
        <f t="shared" si="140"/>
        <v>0.25105312473487312</v>
      </c>
      <c r="Y418">
        <f t="shared" si="141"/>
        <v>4.6873249577086097E-4</v>
      </c>
      <c r="Z418">
        <f t="shared" si="142"/>
        <v>2.9998879729335104E-3</v>
      </c>
      <c r="AA418">
        <f t="shared" si="143"/>
        <v>0.12667326954509039</v>
      </c>
      <c r="AB418">
        <f t="shared" si="144"/>
        <v>3.9475619582331214E-2</v>
      </c>
      <c r="AC418">
        <f t="shared" si="145"/>
        <v>0.10854729018713205</v>
      </c>
      <c r="AD418">
        <f t="shared" si="146"/>
        <v>3.2667842560254383E-3</v>
      </c>
      <c r="AE418">
        <f t="shared" si="147"/>
        <v>2.738344614943285E-2</v>
      </c>
      <c r="AG418">
        <f t="shared" si="148"/>
        <v>-0.12171833101688564</v>
      </c>
      <c r="AH418">
        <f t="shared" si="149"/>
        <v>0.62951721021668083</v>
      </c>
      <c r="AI418">
        <f t="shared" si="150"/>
        <v>2.8240093416638392</v>
      </c>
      <c r="AK418" s="26">
        <f t="shared" si="151"/>
        <v>0.10427602856110596</v>
      </c>
      <c r="AL418" s="26">
        <f t="shared" si="152"/>
        <v>6.4994297219740316E-2</v>
      </c>
      <c r="AM418" s="26">
        <f t="shared" si="153"/>
        <v>2.4143499174237526E-2</v>
      </c>
      <c r="AN418" s="26">
        <f t="shared" si="154"/>
        <v>16.821746031746009</v>
      </c>
      <c r="AO418" s="26">
        <f t="shared" si="155"/>
        <v>17.428061531841649</v>
      </c>
      <c r="AP418" s="26">
        <f t="shared" si="156"/>
        <v>17.979768125837019</v>
      </c>
      <c r="AS418" s="2">
        <v>45062</v>
      </c>
      <c r="AT418">
        <v>21</v>
      </c>
      <c r="AU418">
        <v>54.4</v>
      </c>
      <c r="AV418">
        <v>55.6</v>
      </c>
      <c r="AW418">
        <v>14.6</v>
      </c>
      <c r="AX418">
        <v>161.82</v>
      </c>
      <c r="AY418">
        <v>0.9</v>
      </c>
      <c r="AZ418">
        <v>3.3</v>
      </c>
      <c r="BA418">
        <v>156.51079999999999</v>
      </c>
      <c r="BB418">
        <v>37.106299999999997</v>
      </c>
      <c r="BC418">
        <v>92.218500000000006</v>
      </c>
      <c r="BD418">
        <v>2.09</v>
      </c>
      <c r="BE418">
        <v>23.173300000000001</v>
      </c>
      <c r="BF418">
        <v>-10.970800000000001</v>
      </c>
      <c r="BG418">
        <v>-26.1553</v>
      </c>
      <c r="BH418">
        <v>64.42</v>
      </c>
    </row>
    <row r="419" spans="1:60" x14ac:dyDescent="0.25">
      <c r="A419" s="2">
        <v>45082</v>
      </c>
      <c r="B419">
        <v>21.1</v>
      </c>
      <c r="C419">
        <v>183.8</v>
      </c>
      <c r="D419">
        <v>1.7</v>
      </c>
      <c r="E419">
        <v>2.8</v>
      </c>
      <c r="F419">
        <v>327.99</v>
      </c>
      <c r="G419">
        <v>0.5</v>
      </c>
      <c r="H419">
        <v>3.3</v>
      </c>
      <c r="I419">
        <v>118.70010000000001</v>
      </c>
      <c r="J419">
        <v>26.835899999999999</v>
      </c>
      <c r="K419">
        <v>103.2251</v>
      </c>
      <c r="L419">
        <v>3.48</v>
      </c>
      <c r="M419">
        <v>33.003300000000003</v>
      </c>
      <c r="N419">
        <v>-2.802</v>
      </c>
      <c r="O419">
        <v>-24.4589</v>
      </c>
      <c r="P419">
        <v>70.540000000000006</v>
      </c>
      <c r="S419">
        <f t="shared" si="135"/>
        <v>826.43439999999998</v>
      </c>
      <c r="T419">
        <f t="shared" si="136"/>
        <v>1.9780511321530334E-2</v>
      </c>
      <c r="U419">
        <f t="shared" si="137"/>
        <v>0.1723060654453685</v>
      </c>
      <c r="V419">
        <f t="shared" si="138"/>
        <v>1.5936904856209272E-3</v>
      </c>
      <c r="W419">
        <f t="shared" si="139"/>
        <v>2.624901976316821E-3</v>
      </c>
      <c r="X419">
        <f t="shared" si="140"/>
        <v>0.30747914257576936</v>
      </c>
      <c r="Y419">
        <f t="shared" si="141"/>
        <v>4.6873249577086097E-4</v>
      </c>
      <c r="Z419">
        <f t="shared" si="142"/>
        <v>3.0936344720876819E-3</v>
      </c>
      <c r="AA419">
        <f t="shared" si="143"/>
        <v>0.11127718824250155</v>
      </c>
      <c r="AB419">
        <f t="shared" si="144"/>
        <v>2.5157716766514494E-2</v>
      </c>
      <c r="AC419">
        <f t="shared" si="145"/>
        <v>9.6769917498393393E-2</v>
      </c>
      <c r="AD419">
        <f t="shared" si="146"/>
        <v>3.2623781705651924E-3</v>
      </c>
      <c r="AE419">
        <f t="shared" si="147"/>
        <v>3.0939438355348913E-2</v>
      </c>
      <c r="AG419">
        <f t="shared" si="148"/>
        <v>-0.12847608923805326</v>
      </c>
      <c r="AH419">
        <f t="shared" si="149"/>
        <v>0.53828611712781338</v>
      </c>
      <c r="AI419">
        <f t="shared" si="150"/>
        <v>2.1867674080246928</v>
      </c>
      <c r="AK419" s="26">
        <f t="shared" si="151"/>
        <v>9.3718471927004332E-2</v>
      </c>
      <c r="AL419" s="26">
        <f t="shared" si="152"/>
        <v>5.97154021632883E-2</v>
      </c>
      <c r="AM419" s="26">
        <f t="shared" si="153"/>
        <v>2.195546174298163E-2</v>
      </c>
      <c r="AN419" s="26">
        <f t="shared" si="154"/>
        <v>16.874444444444428</v>
      </c>
      <c r="AO419" s="26">
        <f t="shared" si="155"/>
        <v>17.466148881239242</v>
      </c>
      <c r="AP419" s="26">
        <f t="shared" si="156"/>
        <v>18.001455581523579</v>
      </c>
      <c r="AS419" s="2">
        <v>45061</v>
      </c>
      <c r="AT419">
        <v>19.8</v>
      </c>
      <c r="AU419">
        <v>101.5</v>
      </c>
      <c r="AV419">
        <v>28.5</v>
      </c>
      <c r="AW419">
        <v>3.6</v>
      </c>
      <c r="AX419">
        <v>231.32</v>
      </c>
      <c r="AY419">
        <v>0.9</v>
      </c>
      <c r="AZ419">
        <v>3.5</v>
      </c>
      <c r="BA419">
        <v>188.8912</v>
      </c>
      <c r="BB419">
        <v>33.921500000000002</v>
      </c>
      <c r="BC419">
        <v>96.230400000000003</v>
      </c>
      <c r="BD419">
        <v>2.3902000000000001</v>
      </c>
      <c r="BE419">
        <v>31.6768</v>
      </c>
      <c r="BF419">
        <v>-10.168200000000001</v>
      </c>
      <c r="BG419">
        <v>-25.017199999999999</v>
      </c>
      <c r="BH419">
        <v>64.069999999999993</v>
      </c>
    </row>
    <row r="420" spans="1:60" x14ac:dyDescent="0.25">
      <c r="A420" s="2">
        <v>45081</v>
      </c>
      <c r="B420">
        <v>20.100000000000001</v>
      </c>
      <c r="C420">
        <v>16.8</v>
      </c>
      <c r="D420">
        <v>6.6</v>
      </c>
      <c r="E420">
        <v>2.6</v>
      </c>
      <c r="F420">
        <v>363.71</v>
      </c>
      <c r="G420">
        <v>0.5</v>
      </c>
      <c r="H420">
        <v>3.1</v>
      </c>
      <c r="I420">
        <v>93.277900000000002</v>
      </c>
      <c r="J420">
        <v>20.177600000000002</v>
      </c>
      <c r="K420">
        <v>32.0017</v>
      </c>
      <c r="L420">
        <v>3.48</v>
      </c>
      <c r="M420">
        <v>17.645399999999999</v>
      </c>
      <c r="P420">
        <v>70.3</v>
      </c>
      <c r="S420">
        <f t="shared" si="135"/>
        <v>579.99260000000004</v>
      </c>
      <c r="T420">
        <f t="shared" si="136"/>
        <v>1.8843046329988612E-2</v>
      </c>
      <c r="U420">
        <f t="shared" si="137"/>
        <v>1.5749411857900929E-2</v>
      </c>
      <c r="V420">
        <f t="shared" si="138"/>
        <v>6.1872689441753639E-3</v>
      </c>
      <c r="W420">
        <f t="shared" si="139"/>
        <v>2.437408978008477E-3</v>
      </c>
      <c r="X420">
        <f t="shared" si="140"/>
        <v>0.34096539207363968</v>
      </c>
      <c r="Y420">
        <f t="shared" si="141"/>
        <v>4.6873249577086097E-4</v>
      </c>
      <c r="Z420">
        <f t="shared" si="142"/>
        <v>2.9061414737793379E-3</v>
      </c>
      <c r="AA420">
        <f t="shared" si="143"/>
        <v>8.7444765734529584E-2</v>
      </c>
      <c r="AB420">
        <f t="shared" si="144"/>
        <v>1.891579361333225E-2</v>
      </c>
      <c r="AC420">
        <f t="shared" si="145"/>
        <v>3.0000473419820723E-2</v>
      </c>
      <c r="AD420">
        <f t="shared" si="146"/>
        <v>3.2623781705651924E-3</v>
      </c>
      <c r="AE420">
        <f t="shared" si="147"/>
        <v>1.6541944761750298E-2</v>
      </c>
      <c r="AG420">
        <f t="shared" si="148"/>
        <v>-0.13709186540541099</v>
      </c>
      <c r="AH420">
        <f t="shared" si="149"/>
        <v>0.40409934691501354</v>
      </c>
      <c r="AI420">
        <f t="shared" si="150"/>
        <v>1.2112723149204931</v>
      </c>
      <c r="AK420" s="26">
        <f t="shared" si="151"/>
        <v>8.9689826240789305E-2</v>
      </c>
      <c r="AL420" s="26">
        <f t="shared" si="152"/>
        <v>5.8263619472639805E-2</v>
      </c>
      <c r="AM420" s="26">
        <f t="shared" si="153"/>
        <v>2.015449216936982E-2</v>
      </c>
      <c r="AN420" s="26">
        <f t="shared" si="154"/>
        <v>16.919365079365072</v>
      </c>
      <c r="AO420" s="26">
        <f t="shared" si="155"/>
        <v>17.501751290877799</v>
      </c>
      <c r="AP420" s="26">
        <f t="shared" si="156"/>
        <v>18.020527297077273</v>
      </c>
      <c r="AS420" s="2">
        <v>45060</v>
      </c>
      <c r="AT420">
        <v>21.7</v>
      </c>
      <c r="AU420">
        <v>99.3</v>
      </c>
      <c r="AV420">
        <v>10.5</v>
      </c>
      <c r="AW420">
        <v>2.8</v>
      </c>
      <c r="AX420">
        <v>227.91</v>
      </c>
      <c r="AY420">
        <v>0.9</v>
      </c>
      <c r="AZ420">
        <v>3.4</v>
      </c>
      <c r="BA420">
        <v>140.2491</v>
      </c>
      <c r="BB420">
        <v>37.328400000000002</v>
      </c>
      <c r="BC420">
        <v>35.091299999999997</v>
      </c>
      <c r="BD420">
        <v>2.5219999999999998</v>
      </c>
      <c r="BE420">
        <v>17.0411</v>
      </c>
      <c r="BH420">
        <v>63.87</v>
      </c>
    </row>
    <row r="421" spans="1:60" x14ac:dyDescent="0.25">
      <c r="A421" s="2">
        <v>45080</v>
      </c>
      <c r="C421">
        <v>41.3</v>
      </c>
      <c r="F421">
        <v>371</v>
      </c>
      <c r="K421">
        <v>40.930500000000002</v>
      </c>
      <c r="P421">
        <v>69.95</v>
      </c>
      <c r="S421">
        <f t="shared" si="135"/>
        <v>453.23050000000001</v>
      </c>
      <c r="T421">
        <f t="shared" si="136"/>
        <v>0</v>
      </c>
      <c r="U421">
        <f t="shared" si="137"/>
        <v>3.8717304150673114E-2</v>
      </c>
      <c r="V421">
        <f t="shared" si="138"/>
        <v>0</v>
      </c>
      <c r="W421">
        <f t="shared" si="139"/>
        <v>0</v>
      </c>
      <c r="X421">
        <f t="shared" si="140"/>
        <v>0.34779951186197883</v>
      </c>
      <c r="Y421">
        <f t="shared" si="141"/>
        <v>0</v>
      </c>
      <c r="Z421">
        <f t="shared" si="142"/>
        <v>0</v>
      </c>
      <c r="AA421">
        <f t="shared" si="143"/>
        <v>0</v>
      </c>
      <c r="AB421">
        <f t="shared" si="144"/>
        <v>0</v>
      </c>
      <c r="AC421">
        <f t="shared" si="145"/>
        <v>3.8370910836298448E-2</v>
      </c>
      <c r="AD421">
        <f t="shared" si="146"/>
        <v>0</v>
      </c>
      <c r="AE421">
        <f t="shared" si="147"/>
        <v>0</v>
      </c>
      <c r="AG421">
        <f t="shared" si="148"/>
        <v>-0.15087666407835951</v>
      </c>
      <c r="AH421">
        <f t="shared" si="149"/>
        <v>0.38651681601265192</v>
      </c>
      <c r="AI421">
        <f t="shared" si="150"/>
        <v>1.0859793907576809</v>
      </c>
      <c r="AK421" s="26">
        <f t="shared" si="151"/>
        <v>9.5935859359537801E-2</v>
      </c>
      <c r="AL421" s="26">
        <f t="shared" si="152"/>
        <v>5.6640180366876847E-2</v>
      </c>
      <c r="AM421" s="26">
        <f t="shared" si="153"/>
        <v>1.9433662979309541E-2</v>
      </c>
      <c r="AN421" s="26">
        <f t="shared" si="154"/>
        <v>16.965238095238071</v>
      </c>
      <c r="AO421" s="26">
        <f t="shared" si="155"/>
        <v>17.533975903614454</v>
      </c>
      <c r="AP421" s="26">
        <f t="shared" si="156"/>
        <v>18.035976996402397</v>
      </c>
      <c r="AS421" s="2">
        <v>45059</v>
      </c>
      <c r="AT421">
        <v>21.4</v>
      </c>
      <c r="AU421">
        <v>248.8</v>
      </c>
      <c r="AV421">
        <v>24.9</v>
      </c>
      <c r="AW421">
        <v>7</v>
      </c>
      <c r="AX421">
        <v>238.51</v>
      </c>
      <c r="AY421">
        <v>0.9</v>
      </c>
      <c r="AZ421">
        <v>3.4</v>
      </c>
      <c r="BA421">
        <v>139.1584</v>
      </c>
      <c r="BB421">
        <v>30.6572</v>
      </c>
      <c r="BC421">
        <v>31.246400000000001</v>
      </c>
      <c r="BD421">
        <v>2.6448999999999998</v>
      </c>
      <c r="BE421">
        <v>21.9344</v>
      </c>
      <c r="BH421">
        <v>63.47</v>
      </c>
    </row>
    <row r="422" spans="1:60" x14ac:dyDescent="0.25">
      <c r="A422" s="2">
        <v>45079</v>
      </c>
      <c r="B422">
        <v>21.2</v>
      </c>
      <c r="C422">
        <v>108.9</v>
      </c>
      <c r="D422">
        <v>29.9</v>
      </c>
      <c r="E422">
        <v>7.1</v>
      </c>
      <c r="F422">
        <v>326.32</v>
      </c>
      <c r="G422">
        <v>0.5</v>
      </c>
      <c r="H422">
        <v>3.2</v>
      </c>
      <c r="I422">
        <v>102.3746</v>
      </c>
      <c r="J422">
        <v>18.966100000000001</v>
      </c>
      <c r="K422">
        <v>72.781800000000004</v>
      </c>
      <c r="L422">
        <v>3.48</v>
      </c>
      <c r="M422">
        <v>26.682700000000001</v>
      </c>
      <c r="N422">
        <v>-5.9016000000000002</v>
      </c>
      <c r="O422">
        <v>-30.713000000000001</v>
      </c>
      <c r="P422">
        <v>69.61</v>
      </c>
      <c r="S422">
        <f t="shared" si="135"/>
        <v>721.40519999999992</v>
      </c>
      <c r="T422">
        <f t="shared" si="136"/>
        <v>1.9874257820684502E-2</v>
      </c>
      <c r="U422">
        <f t="shared" si="137"/>
        <v>0.10208993757889352</v>
      </c>
      <c r="V422">
        <f t="shared" si="138"/>
        <v>2.8030203247097485E-2</v>
      </c>
      <c r="W422">
        <f t="shared" si="139"/>
        <v>6.6560014399462252E-3</v>
      </c>
      <c r="X422">
        <f t="shared" si="140"/>
        <v>0.30591357603989466</v>
      </c>
      <c r="Y422">
        <f t="shared" si="141"/>
        <v>4.6873249577086097E-4</v>
      </c>
      <c r="Z422">
        <f t="shared" si="142"/>
        <v>2.9998879729335104E-3</v>
      </c>
      <c r="AA422">
        <f t="shared" si="143"/>
        <v>9.597260352308716E-2</v>
      </c>
      <c r="AB422">
        <f t="shared" si="144"/>
        <v>1.7780054776079454E-2</v>
      </c>
      <c r="AC422">
        <f t="shared" si="145"/>
        <v>6.8230389521391294E-2</v>
      </c>
      <c r="AD422">
        <f t="shared" si="146"/>
        <v>3.2623781705651924E-3</v>
      </c>
      <c r="AE422">
        <f t="shared" si="147"/>
        <v>2.5014097129810304E-2</v>
      </c>
      <c r="AG422">
        <f t="shared" si="148"/>
        <v>-0.16415876224247158</v>
      </c>
      <c r="AH422">
        <f t="shared" si="149"/>
        <v>0.49104669372503101</v>
      </c>
      <c r="AI422">
        <f t="shared" si="150"/>
        <v>1.8658006685129833</v>
      </c>
      <c r="AK422" s="26">
        <f t="shared" si="151"/>
        <v>0.1045073145668764</v>
      </c>
      <c r="AL422" s="26">
        <f t="shared" si="152"/>
        <v>5.7223721969447139E-2</v>
      </c>
      <c r="AM422" s="26">
        <f t="shared" si="153"/>
        <v>1.8890227689235706E-2</v>
      </c>
      <c r="AN422" s="26">
        <f t="shared" si="154"/>
        <v>17.008253968253946</v>
      </c>
      <c r="AO422" s="26">
        <f t="shared" si="155"/>
        <v>17.564778399311528</v>
      </c>
      <c r="AP422" s="26">
        <f t="shared" si="156"/>
        <v>18.049486620624464</v>
      </c>
      <c r="AS422" s="2">
        <v>45058</v>
      </c>
      <c r="AT422">
        <v>21.1</v>
      </c>
      <c r="AU422">
        <v>23.9</v>
      </c>
      <c r="AV422">
        <v>32.799999999999997</v>
      </c>
      <c r="AW422">
        <v>8.1</v>
      </c>
      <c r="AX422">
        <v>205.9</v>
      </c>
      <c r="AY422">
        <v>0.9</v>
      </c>
      <c r="AZ422">
        <v>3.4</v>
      </c>
      <c r="BA422">
        <v>257.6866</v>
      </c>
      <c r="BB422">
        <v>32.954799999999999</v>
      </c>
      <c r="BC422">
        <v>62.936100000000003</v>
      </c>
      <c r="BD422">
        <v>2.6501999999999999</v>
      </c>
      <c r="BE422">
        <v>27.584800000000001</v>
      </c>
      <c r="BF422">
        <v>-10.039</v>
      </c>
      <c r="BG422">
        <v>-25.652000000000001</v>
      </c>
      <c r="BH422">
        <v>63.07</v>
      </c>
    </row>
    <row r="423" spans="1:60" x14ac:dyDescent="0.25">
      <c r="A423" s="2">
        <v>45078</v>
      </c>
      <c r="B423">
        <v>20.7</v>
      </c>
      <c r="C423">
        <v>242.6</v>
      </c>
      <c r="D423">
        <v>44.9</v>
      </c>
      <c r="E423">
        <v>10.3</v>
      </c>
      <c r="F423">
        <v>328.31</v>
      </c>
      <c r="G423">
        <v>0.5</v>
      </c>
      <c r="H423">
        <v>2.8</v>
      </c>
      <c r="I423">
        <v>101.9443</v>
      </c>
      <c r="J423">
        <v>36.142699999999998</v>
      </c>
      <c r="K423">
        <v>93.568200000000004</v>
      </c>
      <c r="L423">
        <v>3.48</v>
      </c>
      <c r="M423">
        <v>24.317599999999999</v>
      </c>
      <c r="N423">
        <v>-4.5940000000000003</v>
      </c>
      <c r="O423">
        <v>-27.565799999999999</v>
      </c>
      <c r="P423">
        <v>69.23</v>
      </c>
      <c r="S423">
        <f t="shared" si="135"/>
        <v>909.56279999999992</v>
      </c>
      <c r="T423">
        <f t="shared" si="136"/>
        <v>1.9405525324913644E-2</v>
      </c>
      <c r="U423">
        <f t="shared" si="137"/>
        <v>0.22742900694802173</v>
      </c>
      <c r="V423">
        <f t="shared" si="138"/>
        <v>4.2092178120223311E-2</v>
      </c>
      <c r="W423">
        <f t="shared" si="139"/>
        <v>9.6558894128797364E-3</v>
      </c>
      <c r="X423">
        <f t="shared" si="140"/>
        <v>0.30777913137306273</v>
      </c>
      <c r="Y423">
        <f t="shared" si="141"/>
        <v>4.6873249577086097E-4</v>
      </c>
      <c r="Z423">
        <f t="shared" si="142"/>
        <v>2.624901976316821E-3</v>
      </c>
      <c r="AA423">
        <f t="shared" si="143"/>
        <v>9.5569212337226761E-2</v>
      </c>
      <c r="AB423">
        <f t="shared" si="144"/>
        <v>3.3882515949794988E-2</v>
      </c>
      <c r="AC423">
        <f t="shared" si="145"/>
        <v>8.7716911821574151E-2</v>
      </c>
      <c r="AD423">
        <f t="shared" si="146"/>
        <v>3.2623781705651924E-3</v>
      </c>
      <c r="AE423">
        <f t="shared" si="147"/>
        <v>2.2796898678314977E-2</v>
      </c>
      <c r="AG423">
        <f t="shared" si="148"/>
        <v>-0.17931304776504542</v>
      </c>
      <c r="AH423">
        <f t="shared" si="149"/>
        <v>0.63225226432950388</v>
      </c>
      <c r="AI423">
        <f t="shared" si="150"/>
        <v>2.9272697885058681</v>
      </c>
      <c r="AK423" s="26">
        <f t="shared" si="151"/>
        <v>9.923736850928172E-2</v>
      </c>
      <c r="AL423" s="26">
        <f t="shared" si="152"/>
        <v>5.4579614667407461E-2</v>
      </c>
      <c r="AM423" s="26">
        <f t="shared" si="153"/>
        <v>1.844077966884744E-2</v>
      </c>
      <c r="AN423" s="26">
        <f t="shared" si="154"/>
        <v>17.045079365079353</v>
      </c>
      <c r="AO423" s="26">
        <f t="shared" si="155"/>
        <v>17.594447074010318</v>
      </c>
      <c r="AP423" s="26">
        <f t="shared" si="156"/>
        <v>18.063155641921171</v>
      </c>
      <c r="AS423" s="2">
        <v>45057</v>
      </c>
      <c r="AT423">
        <v>22.6</v>
      </c>
      <c r="AU423">
        <v>40.299999999999997</v>
      </c>
      <c r="AV423">
        <v>19.899999999999999</v>
      </c>
      <c r="AW423">
        <v>2.9</v>
      </c>
      <c r="AX423">
        <v>145.02000000000001</v>
      </c>
      <c r="AY423">
        <v>0.9</v>
      </c>
      <c r="AZ423">
        <v>3.3</v>
      </c>
      <c r="BA423">
        <v>292.65499999999997</v>
      </c>
      <c r="BB423">
        <v>96.025499999999994</v>
      </c>
      <c r="BC423">
        <v>91.096199999999996</v>
      </c>
      <c r="BD423">
        <v>2.6063000000000001</v>
      </c>
      <c r="BE423">
        <v>29.522600000000001</v>
      </c>
      <c r="BF423">
        <v>-14.3802</v>
      </c>
      <c r="BG423">
        <v>-25.413</v>
      </c>
      <c r="BH423">
        <v>62.8</v>
      </c>
    </row>
    <row r="424" spans="1:60" x14ac:dyDescent="0.25">
      <c r="A424" s="2">
        <v>45077</v>
      </c>
      <c r="B424">
        <v>20.7</v>
      </c>
      <c r="C424">
        <v>46</v>
      </c>
      <c r="D424">
        <v>30.5</v>
      </c>
      <c r="E424">
        <v>5.8</v>
      </c>
      <c r="F424">
        <v>350.79</v>
      </c>
      <c r="G424">
        <v>0.5</v>
      </c>
      <c r="H424">
        <v>3.2</v>
      </c>
      <c r="I424">
        <v>112.8338</v>
      </c>
      <c r="J424">
        <v>15.358599999999999</v>
      </c>
      <c r="K424">
        <v>69.194100000000006</v>
      </c>
      <c r="L424">
        <v>3.48</v>
      </c>
      <c r="M424">
        <v>27.282900000000001</v>
      </c>
      <c r="N424">
        <v>-9.5774000000000008</v>
      </c>
      <c r="O424">
        <v>-32.371099999999998</v>
      </c>
      <c r="P424">
        <v>68.98</v>
      </c>
      <c r="S424">
        <f t="shared" si="135"/>
        <v>685.63940000000014</v>
      </c>
      <c r="T424">
        <f t="shared" si="136"/>
        <v>1.9405525324913644E-2</v>
      </c>
      <c r="U424">
        <f t="shared" si="137"/>
        <v>4.3123389610919209E-2</v>
      </c>
      <c r="V424">
        <f t="shared" si="138"/>
        <v>2.8592682242022518E-2</v>
      </c>
      <c r="W424">
        <f t="shared" si="139"/>
        <v>5.4372969509419869E-3</v>
      </c>
      <c r="X424">
        <f t="shared" si="140"/>
        <v>0.32885334438292063</v>
      </c>
      <c r="Y424">
        <f t="shared" si="141"/>
        <v>4.6873249577086097E-4</v>
      </c>
      <c r="Z424">
        <f t="shared" si="142"/>
        <v>2.9998879729335104E-3</v>
      </c>
      <c r="AA424">
        <f t="shared" si="143"/>
        <v>0.10577773736262033</v>
      </c>
      <c r="AB424">
        <f t="shared" si="144"/>
        <v>1.4398149819092688E-2</v>
      </c>
      <c r="AC424">
        <f t="shared" si="145"/>
        <v>6.4867046371237067E-2</v>
      </c>
      <c r="AD424">
        <f t="shared" si="146"/>
        <v>3.2623781705651924E-3</v>
      </c>
      <c r="AE424">
        <f t="shared" si="147"/>
        <v>2.5576763617733644E-2</v>
      </c>
      <c r="AG424">
        <f t="shared" si="148"/>
        <v>-0.18830160104714214</v>
      </c>
      <c r="AH424">
        <f t="shared" si="149"/>
        <v>0.45445762259815597</v>
      </c>
      <c r="AI424">
        <f t="shared" si="150"/>
        <v>1.625973723099176</v>
      </c>
      <c r="AK424" s="26">
        <f t="shared" si="151"/>
        <v>8.0754789372858238E-2</v>
      </c>
      <c r="AL424" s="26">
        <f t="shared" si="152"/>
        <v>4.9903771437231792E-2</v>
      </c>
      <c r="AM424" s="26">
        <f t="shared" si="153"/>
        <v>1.7576913891591994E-2</v>
      </c>
      <c r="AN424" s="26">
        <f t="shared" si="154"/>
        <v>17.08952380952379</v>
      </c>
      <c r="AO424" s="26">
        <f t="shared" si="155"/>
        <v>17.627030981067122</v>
      </c>
      <c r="AP424" s="26">
        <f t="shared" si="156"/>
        <v>18.078786796565218</v>
      </c>
      <c r="AS424" s="2">
        <v>45056</v>
      </c>
      <c r="AT424">
        <v>24.4</v>
      </c>
      <c r="AU424">
        <v>204.8</v>
      </c>
      <c r="AV424">
        <v>22.3</v>
      </c>
      <c r="AW424">
        <v>7.6</v>
      </c>
      <c r="AX424">
        <v>221.62</v>
      </c>
      <c r="AY424">
        <v>0.9</v>
      </c>
      <c r="AZ424">
        <v>3.5</v>
      </c>
      <c r="BA424">
        <v>247.48740000000001</v>
      </c>
      <c r="BB424">
        <v>88.831000000000003</v>
      </c>
      <c r="BC424">
        <v>66.871300000000005</v>
      </c>
      <c r="BD424">
        <v>2.5924999999999998</v>
      </c>
      <c r="BE424">
        <v>27.400600000000001</v>
      </c>
      <c r="BF424">
        <v>-13.987500000000001</v>
      </c>
      <c r="BG424">
        <v>-26.703399999999998</v>
      </c>
      <c r="BH424">
        <v>62.59</v>
      </c>
    </row>
    <row r="425" spans="1:60" x14ac:dyDescent="0.25">
      <c r="A425" s="2">
        <v>45076</v>
      </c>
      <c r="B425">
        <v>20.399999999999999</v>
      </c>
      <c r="C425">
        <v>55.5</v>
      </c>
      <c r="D425">
        <v>23.2</v>
      </c>
      <c r="E425">
        <v>4</v>
      </c>
      <c r="F425">
        <v>332.97</v>
      </c>
      <c r="G425">
        <v>0.5</v>
      </c>
      <c r="H425">
        <v>2.9</v>
      </c>
      <c r="I425">
        <v>97.680300000000003</v>
      </c>
      <c r="J425">
        <v>23.099699999999999</v>
      </c>
      <c r="K425">
        <v>67.211500000000001</v>
      </c>
      <c r="L425">
        <v>3.0449999999999999</v>
      </c>
      <c r="M425">
        <v>31.964600000000001</v>
      </c>
      <c r="N425">
        <v>-9.2352000000000007</v>
      </c>
      <c r="O425">
        <v>-32.162500000000001</v>
      </c>
      <c r="P425">
        <v>68.739999999999995</v>
      </c>
      <c r="S425">
        <f t="shared" si="135"/>
        <v>662.47109999999998</v>
      </c>
      <c r="T425">
        <f t="shared" si="136"/>
        <v>1.9124285827451126E-2</v>
      </c>
      <c r="U425">
        <f t="shared" si="137"/>
        <v>5.2029307030565568E-2</v>
      </c>
      <c r="V425">
        <f t="shared" si="138"/>
        <v>2.1749187803767948E-2</v>
      </c>
      <c r="W425">
        <f t="shared" si="139"/>
        <v>3.7498599661668877E-3</v>
      </c>
      <c r="X425">
        <f t="shared" si="140"/>
        <v>0.31214771823364718</v>
      </c>
      <c r="Y425">
        <f t="shared" si="141"/>
        <v>4.6873249577086097E-4</v>
      </c>
      <c r="Z425">
        <f t="shared" si="142"/>
        <v>2.7186484754709935E-3</v>
      </c>
      <c r="AA425">
        <f t="shared" si="143"/>
        <v>9.1571861613292865E-2</v>
      </c>
      <c r="AB425">
        <f t="shared" si="144"/>
        <v>2.1655160065116311E-2</v>
      </c>
      <c r="AC425">
        <f t="shared" si="145"/>
        <v>6.3008428279006448E-2</v>
      </c>
      <c r="AD425">
        <f t="shared" si="146"/>
        <v>2.8545808992445432E-3</v>
      </c>
      <c r="AE425">
        <f t="shared" si="147"/>
        <v>2.9965693468634525E-2</v>
      </c>
      <c r="AG425">
        <f t="shared" si="148"/>
        <v>-0.19679905875500836</v>
      </c>
      <c r="AH425">
        <f t="shared" si="149"/>
        <v>0.44195343330147507</v>
      </c>
      <c r="AI425">
        <f t="shared" si="150"/>
        <v>1.5399384047995983</v>
      </c>
      <c r="AK425" s="26">
        <f t="shared" si="151"/>
        <v>8.0495092225685405E-2</v>
      </c>
      <c r="AL425" s="26">
        <f t="shared" si="152"/>
        <v>4.8271888611719993E-2</v>
      </c>
      <c r="AM425" s="26">
        <f t="shared" si="153"/>
        <v>1.6895586018971676E-2</v>
      </c>
      <c r="AN425" s="26">
        <f t="shared" si="154"/>
        <v>17.125079365079351</v>
      </c>
      <c r="AO425" s="26">
        <f t="shared" si="155"/>
        <v>17.653941480206548</v>
      </c>
      <c r="AP425" s="26">
        <f t="shared" si="156"/>
        <v>18.09244137496389</v>
      </c>
      <c r="AS425" s="2">
        <v>45055</v>
      </c>
      <c r="AT425">
        <v>24.1</v>
      </c>
      <c r="AU425">
        <v>72.099999999999994</v>
      </c>
      <c r="AV425">
        <v>25.6</v>
      </c>
      <c r="AW425">
        <v>14.1</v>
      </c>
      <c r="AX425">
        <v>277.42</v>
      </c>
      <c r="AY425">
        <v>0.8</v>
      </c>
      <c r="AZ425">
        <v>3.5</v>
      </c>
      <c r="BA425">
        <v>184.20400000000001</v>
      </c>
      <c r="BB425">
        <v>93.3416</v>
      </c>
      <c r="BC425">
        <v>72.351500000000001</v>
      </c>
      <c r="BD425">
        <v>2.6120999999999999</v>
      </c>
      <c r="BE425">
        <v>25.444099999999999</v>
      </c>
      <c r="BF425">
        <v>-15.3043</v>
      </c>
      <c r="BG425">
        <v>-27.102599999999999</v>
      </c>
      <c r="BH425">
        <v>62.37</v>
      </c>
    </row>
    <row r="426" spans="1:60" x14ac:dyDescent="0.25">
      <c r="A426" s="2">
        <v>45075</v>
      </c>
      <c r="B426">
        <v>19.7</v>
      </c>
      <c r="C426">
        <v>38.9</v>
      </c>
      <c r="D426">
        <v>37.9</v>
      </c>
      <c r="E426">
        <v>4.9000000000000004</v>
      </c>
      <c r="F426">
        <v>349.08</v>
      </c>
      <c r="G426">
        <v>0.5</v>
      </c>
      <c r="H426">
        <v>3</v>
      </c>
      <c r="I426">
        <v>80.340599999999995</v>
      </c>
      <c r="J426">
        <v>23.1569</v>
      </c>
      <c r="K426">
        <v>16.872900000000001</v>
      </c>
      <c r="L426">
        <v>3.48</v>
      </c>
      <c r="M426">
        <v>13.7933</v>
      </c>
      <c r="N426">
        <v>-8.9303000000000008</v>
      </c>
      <c r="O426">
        <v>-34.210900000000002</v>
      </c>
      <c r="P426">
        <v>68.47</v>
      </c>
      <c r="S426">
        <f t="shared" si="135"/>
        <v>591.62369999999999</v>
      </c>
      <c r="T426">
        <f t="shared" si="136"/>
        <v>1.8468060333371922E-2</v>
      </c>
      <c r="U426">
        <f t="shared" si="137"/>
        <v>3.6467388170972982E-2</v>
      </c>
      <c r="V426">
        <f t="shared" si="138"/>
        <v>3.5529923179431259E-2</v>
      </c>
      <c r="W426">
        <f t="shared" si="139"/>
        <v>4.5935784585544375E-3</v>
      </c>
      <c r="X426">
        <f t="shared" si="140"/>
        <v>0.32725027924738426</v>
      </c>
      <c r="Y426">
        <f t="shared" si="141"/>
        <v>4.6873249577086097E-4</v>
      </c>
      <c r="Z426">
        <f t="shared" si="142"/>
        <v>2.8123949746251659E-3</v>
      </c>
      <c r="AA426">
        <f t="shared" si="143"/>
        <v>7.5316499899456865E-2</v>
      </c>
      <c r="AB426">
        <f t="shared" si="144"/>
        <v>2.1708783062632499E-2</v>
      </c>
      <c r="AC426">
        <f t="shared" si="145"/>
        <v>1.5817753055784322E-2</v>
      </c>
      <c r="AD426">
        <f t="shared" si="146"/>
        <v>3.2623781705651924E-3</v>
      </c>
      <c r="AE426">
        <f t="shared" si="147"/>
        <v>1.2930735867832433E-2</v>
      </c>
      <c r="AG426">
        <f t="shared" si="148"/>
        <v>-0.20666745244020782</v>
      </c>
      <c r="AH426">
        <f t="shared" si="149"/>
        <v>0.43852109272794326</v>
      </c>
      <c r="AI426">
        <f t="shared" si="150"/>
        <v>1.5207195364063648</v>
      </c>
      <c r="AK426" s="26">
        <f t="shared" si="151"/>
        <v>8.3050910472323825E-2</v>
      </c>
      <c r="AL426" s="26">
        <f t="shared" si="152"/>
        <v>4.8328400889248391E-2</v>
      </c>
      <c r="AM426" s="26">
        <f t="shared" si="153"/>
        <v>1.6184391121253916E-2</v>
      </c>
      <c r="AN426" s="26">
        <f t="shared" si="154"/>
        <v>17.177619047619025</v>
      </c>
      <c r="AO426" s="26">
        <f t="shared" si="155"/>
        <v>17.690774526678155</v>
      </c>
      <c r="AP426" s="26">
        <f t="shared" si="156"/>
        <v>18.109521020981596</v>
      </c>
      <c r="AS426" s="2">
        <v>45054</v>
      </c>
      <c r="AT426">
        <v>24</v>
      </c>
      <c r="AU426">
        <v>39</v>
      </c>
      <c r="AV426">
        <v>35.700000000000003</v>
      </c>
      <c r="AW426">
        <v>10.5</v>
      </c>
      <c r="AX426">
        <v>237.43</v>
      </c>
      <c r="AY426">
        <v>0.9</v>
      </c>
      <c r="AZ426">
        <v>3.6</v>
      </c>
      <c r="BA426">
        <v>198.39859999999999</v>
      </c>
      <c r="BB426">
        <v>63.794699999999999</v>
      </c>
      <c r="BC426">
        <v>74.466300000000004</v>
      </c>
      <c r="BD426">
        <v>2.7557</v>
      </c>
      <c r="BE426">
        <v>36.654400000000003</v>
      </c>
      <c r="BF426">
        <v>-16.119800000000001</v>
      </c>
      <c r="BG426">
        <v>-25.965299999999999</v>
      </c>
      <c r="BH426">
        <v>62.16</v>
      </c>
    </row>
    <row r="427" spans="1:60" x14ac:dyDescent="0.25">
      <c r="A427" s="2">
        <v>45074</v>
      </c>
      <c r="B427">
        <v>20.399999999999999</v>
      </c>
      <c r="C427">
        <v>69.400000000000006</v>
      </c>
      <c r="D427">
        <v>10.4</v>
      </c>
      <c r="E427">
        <v>2.2999999999999998</v>
      </c>
      <c r="F427">
        <v>353.25</v>
      </c>
      <c r="G427">
        <v>0.5</v>
      </c>
      <c r="H427">
        <v>3.1</v>
      </c>
      <c r="I427">
        <v>82.4268</v>
      </c>
      <c r="J427">
        <v>31.324200000000001</v>
      </c>
      <c r="K427">
        <v>21.778600000000001</v>
      </c>
      <c r="L427">
        <v>3.48</v>
      </c>
      <c r="M427">
        <v>20.7699</v>
      </c>
      <c r="P427">
        <v>68.150000000000006</v>
      </c>
      <c r="S427">
        <f t="shared" si="135"/>
        <v>619.12950000000001</v>
      </c>
      <c r="T427">
        <f t="shared" si="136"/>
        <v>1.9124285827451126E-2</v>
      </c>
      <c r="U427">
        <f t="shared" si="137"/>
        <v>6.506007041299551E-2</v>
      </c>
      <c r="V427">
        <f t="shared" si="138"/>
        <v>9.749635912033908E-3</v>
      </c>
      <c r="W427">
        <f t="shared" si="139"/>
        <v>2.1561694805459601E-3</v>
      </c>
      <c r="X427">
        <f t="shared" si="140"/>
        <v>0.33115950826211327</v>
      </c>
      <c r="Y427">
        <f t="shared" si="141"/>
        <v>4.6873249577086097E-4</v>
      </c>
      <c r="Z427">
        <f t="shared" si="142"/>
        <v>2.9061414737793379E-3</v>
      </c>
      <c r="AA427">
        <f t="shared" si="143"/>
        <v>7.7272239364811202E-2</v>
      </c>
      <c r="AB427">
        <f t="shared" si="144"/>
        <v>2.9365340888051206E-2</v>
      </c>
      <c r="AC427">
        <f t="shared" si="145"/>
        <v>2.0416675064790547E-2</v>
      </c>
      <c r="AD427">
        <f t="shared" si="146"/>
        <v>3.2623781705651924E-3</v>
      </c>
      <c r="AE427">
        <f t="shared" si="147"/>
        <v>1.947105412782241E-2</v>
      </c>
      <c r="AG427">
        <f t="shared" si="148"/>
        <v>-0.21888432587081277</v>
      </c>
      <c r="AH427">
        <f t="shared" si="149"/>
        <v>0.45009559799251236</v>
      </c>
      <c r="AI427">
        <f t="shared" si="150"/>
        <v>1.6092840310114567</v>
      </c>
      <c r="AK427" s="26">
        <f t="shared" si="151"/>
        <v>8.0942654381083723E-2</v>
      </c>
      <c r="AL427" s="26">
        <f t="shared" si="152"/>
        <v>4.7144919771564542E-2</v>
      </c>
      <c r="AM427" s="26">
        <f t="shared" si="153"/>
        <v>1.4974518029560291E-2</v>
      </c>
      <c r="AN427" s="26">
        <f t="shared" si="154"/>
        <v>17.233968253968243</v>
      </c>
      <c r="AO427" s="26">
        <f t="shared" si="155"/>
        <v>17.72559380378658</v>
      </c>
      <c r="AP427" s="26">
        <f t="shared" si="156"/>
        <v>18.127947007694146</v>
      </c>
      <c r="AS427" s="2">
        <v>45053</v>
      </c>
      <c r="AT427">
        <v>23.6</v>
      </c>
      <c r="AU427">
        <v>159.6</v>
      </c>
      <c r="AV427">
        <v>68.3</v>
      </c>
      <c r="AW427">
        <v>10.7</v>
      </c>
      <c r="AX427">
        <v>232.62</v>
      </c>
      <c r="AY427">
        <v>0.9</v>
      </c>
      <c r="AZ427">
        <v>3.4</v>
      </c>
      <c r="BA427">
        <v>160.94649999999999</v>
      </c>
      <c r="BB427">
        <v>33.5229</v>
      </c>
      <c r="BC427">
        <v>47.041600000000003</v>
      </c>
      <c r="BD427">
        <v>2.5933000000000002</v>
      </c>
      <c r="BE427">
        <v>11.4566</v>
      </c>
      <c r="BH427">
        <v>61.87</v>
      </c>
    </row>
    <row r="428" spans="1:60" x14ac:dyDescent="0.25">
      <c r="A428" s="2">
        <v>45073</v>
      </c>
      <c r="B428">
        <v>21.9</v>
      </c>
      <c r="C428">
        <v>37.5</v>
      </c>
      <c r="D428">
        <v>5.6</v>
      </c>
      <c r="E428">
        <v>3</v>
      </c>
      <c r="F428">
        <v>367.29</v>
      </c>
      <c r="G428">
        <v>0.5</v>
      </c>
      <c r="H428">
        <v>2.8</v>
      </c>
      <c r="I428">
        <v>88.748999999999995</v>
      </c>
      <c r="J428">
        <v>19.4025</v>
      </c>
      <c r="K428">
        <v>47.5745</v>
      </c>
      <c r="L428">
        <v>3.48</v>
      </c>
      <c r="M428">
        <v>23.577999999999999</v>
      </c>
      <c r="P428">
        <v>67.78</v>
      </c>
      <c r="S428">
        <f t="shared" si="135"/>
        <v>621.37400000000002</v>
      </c>
      <c r="T428">
        <f t="shared" si="136"/>
        <v>2.0530483314763707E-2</v>
      </c>
      <c r="U428">
        <f t="shared" si="137"/>
        <v>3.5154937182814573E-2</v>
      </c>
      <c r="V428">
        <f t="shared" si="138"/>
        <v>5.249803952633642E-3</v>
      </c>
      <c r="W428">
        <f t="shared" si="139"/>
        <v>2.8123949746251659E-3</v>
      </c>
      <c r="X428">
        <f t="shared" si="140"/>
        <v>0.34432151674335904</v>
      </c>
      <c r="Y428">
        <f t="shared" si="141"/>
        <v>4.6873249577086097E-4</v>
      </c>
      <c r="Z428">
        <f t="shared" si="142"/>
        <v>2.624901976316821E-3</v>
      </c>
      <c r="AA428">
        <f t="shared" si="143"/>
        <v>8.3199080534336278E-2</v>
      </c>
      <c r="AB428">
        <f t="shared" si="144"/>
        <v>1.8189164498388258E-2</v>
      </c>
      <c r="AC428">
        <f t="shared" si="145"/>
        <v>4.459942824010165E-2</v>
      </c>
      <c r="AD428">
        <f t="shared" si="146"/>
        <v>3.2623781705651924E-3</v>
      </c>
      <c r="AE428">
        <f t="shared" si="147"/>
        <v>2.2103549570570719E-2</v>
      </c>
      <c r="AG428">
        <f t="shared" si="148"/>
        <v>-0.2334355498925485</v>
      </c>
      <c r="AH428">
        <f t="shared" si="149"/>
        <v>0.43326632021085448</v>
      </c>
      <c r="AI428">
        <f t="shared" si="150"/>
        <v>1.4914180565796786</v>
      </c>
      <c r="AK428" s="26">
        <f t="shared" si="151"/>
        <v>8.3186822063541999E-2</v>
      </c>
      <c r="AL428" s="26">
        <f t="shared" si="152"/>
        <v>4.3981142748897084E-2</v>
      </c>
      <c r="AM428" s="26">
        <f t="shared" si="153"/>
        <v>1.2870842531550797E-2</v>
      </c>
      <c r="AN428" s="26">
        <f t="shared" si="154"/>
        <v>17.290476190476184</v>
      </c>
      <c r="AO428" s="26">
        <f t="shared" si="155"/>
        <v>17.761654475043038</v>
      </c>
      <c r="AP428" s="26">
        <f t="shared" si="156"/>
        <v>18.144678185972012</v>
      </c>
      <c r="AS428" s="2">
        <v>45052</v>
      </c>
      <c r="AT428">
        <v>23.4</v>
      </c>
      <c r="AU428">
        <v>29.5</v>
      </c>
      <c r="AV428">
        <v>49.8</v>
      </c>
      <c r="AW428">
        <v>7.5</v>
      </c>
      <c r="AX428">
        <v>213.62</v>
      </c>
      <c r="AY428">
        <v>0.9</v>
      </c>
      <c r="AZ428">
        <v>3.6</v>
      </c>
      <c r="BA428">
        <v>210.624</v>
      </c>
      <c r="BB428">
        <v>33.564300000000003</v>
      </c>
      <c r="BC428">
        <v>50.399900000000002</v>
      </c>
      <c r="BD428">
        <v>2.5821000000000001</v>
      </c>
      <c r="BE428">
        <v>22.302499999999998</v>
      </c>
      <c r="BH428">
        <v>61.51</v>
      </c>
    </row>
    <row r="429" spans="1:60" x14ac:dyDescent="0.25">
      <c r="A429" s="2">
        <v>45072</v>
      </c>
      <c r="B429">
        <v>21.8</v>
      </c>
      <c r="C429">
        <v>62.6</v>
      </c>
      <c r="D429">
        <v>34.9</v>
      </c>
      <c r="E429">
        <v>6.6</v>
      </c>
      <c r="F429">
        <v>345.81</v>
      </c>
      <c r="G429">
        <v>0.6</v>
      </c>
      <c r="H429">
        <v>3.1</v>
      </c>
      <c r="I429">
        <v>111.2312</v>
      </c>
      <c r="J429">
        <v>22.285299999999999</v>
      </c>
      <c r="K429">
        <v>58.283999999999999</v>
      </c>
      <c r="L429">
        <v>3.48</v>
      </c>
      <c r="M429">
        <v>28.121099999999998</v>
      </c>
      <c r="N429">
        <v>-6.4847999999999999</v>
      </c>
      <c r="O429">
        <v>-32.9803</v>
      </c>
      <c r="P429">
        <v>67.39</v>
      </c>
      <c r="S429">
        <f t="shared" si="135"/>
        <v>698.8116</v>
      </c>
      <c r="T429">
        <f t="shared" si="136"/>
        <v>2.0436736815609539E-2</v>
      </c>
      <c r="U429">
        <f t="shared" si="137"/>
        <v>5.8685308470511795E-2</v>
      </c>
      <c r="V429">
        <f t="shared" si="138"/>
        <v>3.2717528204806091E-2</v>
      </c>
      <c r="W429">
        <f t="shared" si="139"/>
        <v>6.1872689441753639E-3</v>
      </c>
      <c r="X429">
        <f t="shared" si="140"/>
        <v>0.32418476872504287</v>
      </c>
      <c r="Y429">
        <f t="shared" si="141"/>
        <v>5.6247899492503314E-4</v>
      </c>
      <c r="Z429">
        <f t="shared" si="142"/>
        <v>2.9061414737793379E-3</v>
      </c>
      <c r="AA429">
        <f t="shared" si="143"/>
        <v>0.10427535596717558</v>
      </c>
      <c r="AB429">
        <f t="shared" si="144"/>
        <v>2.0891688576004736E-2</v>
      </c>
      <c r="AC429">
        <f t="shared" si="145"/>
        <v>5.4639209567017719E-2</v>
      </c>
      <c r="AD429">
        <f t="shared" si="146"/>
        <v>3.2623781705651924E-3</v>
      </c>
      <c r="AE429">
        <f t="shared" si="147"/>
        <v>2.6362546773643913E-2</v>
      </c>
      <c r="AG429">
        <f t="shared" si="148"/>
        <v>-0.24890685711494781</v>
      </c>
      <c r="AH429">
        <f t="shared" si="149"/>
        <v>0.47204277840249392</v>
      </c>
      <c r="AI429">
        <f t="shared" si="150"/>
        <v>1.7966492948851893</v>
      </c>
      <c r="AK429" s="26">
        <f t="shared" si="151"/>
        <v>7.59454838513135E-2</v>
      </c>
      <c r="AL429" s="26">
        <f t="shared" si="152"/>
        <v>4.0923902289385694E-2</v>
      </c>
      <c r="AM429" s="26">
        <f t="shared" si="153"/>
        <v>1.0794896876756804E-2</v>
      </c>
      <c r="AN429" s="26">
        <f t="shared" si="154"/>
        <v>17.345396825396804</v>
      </c>
      <c r="AO429" s="26">
        <f t="shared" si="155"/>
        <v>17.80036359724614</v>
      </c>
      <c r="AP429" s="26">
        <f t="shared" si="156"/>
        <v>18.160631811139432</v>
      </c>
      <c r="AS429" s="2">
        <v>45051</v>
      </c>
      <c r="AT429">
        <v>22.2</v>
      </c>
      <c r="AU429">
        <v>239.8</v>
      </c>
      <c r="AV429">
        <v>53.9</v>
      </c>
      <c r="AW429">
        <v>14.2</v>
      </c>
      <c r="AX429">
        <v>243.08</v>
      </c>
      <c r="AY429">
        <v>0.9</v>
      </c>
      <c r="AZ429">
        <v>3.6</v>
      </c>
      <c r="BA429">
        <v>204.28200000000001</v>
      </c>
      <c r="BB429">
        <v>51.633600000000001</v>
      </c>
      <c r="BC429">
        <v>83.522499999999994</v>
      </c>
      <c r="BD429">
        <v>2.2965</v>
      </c>
      <c r="BE429">
        <v>29.541799999999999</v>
      </c>
      <c r="BF429">
        <v>-16.378799999999998</v>
      </c>
      <c r="BG429">
        <v>-26.654800000000002</v>
      </c>
      <c r="BH429">
        <v>61.15</v>
      </c>
    </row>
    <row r="430" spans="1:60" x14ac:dyDescent="0.25">
      <c r="A430" s="2">
        <v>45071</v>
      </c>
      <c r="B430">
        <v>21.2</v>
      </c>
      <c r="C430">
        <v>21</v>
      </c>
      <c r="D430">
        <v>42.5</v>
      </c>
      <c r="E430">
        <v>5.5</v>
      </c>
      <c r="F430">
        <v>311.89999999999998</v>
      </c>
      <c r="G430">
        <v>0.9</v>
      </c>
      <c r="H430">
        <v>3.2</v>
      </c>
      <c r="I430">
        <v>170.36510000000001</v>
      </c>
      <c r="J430">
        <v>23.1448</v>
      </c>
      <c r="K430">
        <v>72.353499999999997</v>
      </c>
      <c r="L430">
        <v>3.1135000000000002</v>
      </c>
      <c r="M430">
        <v>20.301100000000002</v>
      </c>
      <c r="N430">
        <v>-7.1573000000000002</v>
      </c>
      <c r="O430">
        <v>-31.929600000000001</v>
      </c>
      <c r="P430">
        <v>67.069999999999993</v>
      </c>
      <c r="S430">
        <f t="shared" si="135"/>
        <v>695.47800000000007</v>
      </c>
      <c r="T430">
        <f t="shared" si="136"/>
        <v>1.9874257820684502E-2</v>
      </c>
      <c r="U430">
        <f t="shared" si="137"/>
        <v>1.9686764822376159E-2</v>
      </c>
      <c r="V430">
        <f t="shared" si="138"/>
        <v>3.984226214052318E-2</v>
      </c>
      <c r="W430">
        <f t="shared" si="139"/>
        <v>5.1560574534794705E-3</v>
      </c>
      <c r="X430">
        <f t="shared" si="140"/>
        <v>0.29239533086186303</v>
      </c>
      <c r="Y430">
        <f t="shared" si="141"/>
        <v>8.4371849238754971E-4</v>
      </c>
      <c r="Z430">
        <f t="shared" si="142"/>
        <v>2.9998879729335104E-3</v>
      </c>
      <c r="AA430">
        <f t="shared" si="143"/>
        <v>0.15971131703050462</v>
      </c>
      <c r="AB430">
        <f t="shared" si="144"/>
        <v>2.1697439736234846E-2</v>
      </c>
      <c r="AC430">
        <f t="shared" si="145"/>
        <v>6.782887326551397E-2</v>
      </c>
      <c r="AD430">
        <f t="shared" si="146"/>
        <v>2.9187972511651515E-3</v>
      </c>
      <c r="AE430">
        <f t="shared" si="147"/>
        <v>1.9031570539787653E-2</v>
      </c>
      <c r="AG430">
        <f t="shared" si="148"/>
        <v>-0.26105041146833763</v>
      </c>
      <c r="AH430">
        <f t="shared" si="149"/>
        <v>0.39982985010403504</v>
      </c>
      <c r="AI430">
        <f t="shared" si="150"/>
        <v>1.2521849678447037</v>
      </c>
      <c r="AK430" s="26">
        <f t="shared" si="151"/>
        <v>8.3338210755358633E-2</v>
      </c>
      <c r="AL430" s="26">
        <f t="shared" si="152"/>
        <v>3.8733120584823699E-2</v>
      </c>
      <c r="AM430" s="26">
        <f t="shared" si="153"/>
        <v>9.3782380989218261E-3</v>
      </c>
      <c r="AN430" s="26">
        <f t="shared" si="154"/>
        <v>17.397936507936492</v>
      </c>
      <c r="AO430" s="26">
        <f t="shared" si="155"/>
        <v>17.842728055077465</v>
      </c>
      <c r="AP430" s="26">
        <f t="shared" si="156"/>
        <v>18.176455975420808</v>
      </c>
      <c r="AS430" s="2">
        <v>45050</v>
      </c>
      <c r="AT430">
        <v>22.7</v>
      </c>
      <c r="AU430">
        <v>31.8</v>
      </c>
      <c r="AV430">
        <v>32.5</v>
      </c>
      <c r="AW430">
        <v>6.3</v>
      </c>
      <c r="AX430">
        <v>326.73</v>
      </c>
      <c r="AY430">
        <v>0.9</v>
      </c>
      <c r="AZ430">
        <v>3.5</v>
      </c>
      <c r="BA430">
        <v>215.9778</v>
      </c>
      <c r="BB430">
        <v>26.8752</v>
      </c>
      <c r="BC430">
        <v>70.753200000000007</v>
      </c>
      <c r="BD430">
        <v>2.6389999999999998</v>
      </c>
      <c r="BE430">
        <v>28.388400000000001</v>
      </c>
      <c r="BF430">
        <v>-15.7456</v>
      </c>
      <c r="BG430">
        <v>-27.627700000000001</v>
      </c>
      <c r="BH430">
        <v>60.85</v>
      </c>
    </row>
    <row r="431" spans="1:60" x14ac:dyDescent="0.25">
      <c r="A431" s="2">
        <v>45070</v>
      </c>
      <c r="B431">
        <v>22.2</v>
      </c>
      <c r="C431">
        <v>19</v>
      </c>
      <c r="D431">
        <v>41.1</v>
      </c>
      <c r="E431">
        <v>5.2</v>
      </c>
      <c r="F431">
        <v>211.15</v>
      </c>
      <c r="G431">
        <v>0.9</v>
      </c>
      <c r="H431">
        <v>3.6</v>
      </c>
      <c r="I431">
        <v>199.4058</v>
      </c>
      <c r="J431">
        <v>24.127300000000002</v>
      </c>
      <c r="K431">
        <v>106.54989999999999</v>
      </c>
      <c r="L431">
        <v>3.1598999999999999</v>
      </c>
      <c r="M431">
        <v>25.736000000000001</v>
      </c>
      <c r="N431">
        <v>-9.0413999999999994</v>
      </c>
      <c r="O431">
        <v>-31.679300000000001</v>
      </c>
      <c r="P431">
        <v>66.819999999999993</v>
      </c>
      <c r="S431">
        <f t="shared" si="135"/>
        <v>662.12890000000004</v>
      </c>
      <c r="T431">
        <f t="shared" si="136"/>
        <v>2.0811722812226225E-2</v>
      </c>
      <c r="U431">
        <f t="shared" si="137"/>
        <v>1.7811834839292717E-2</v>
      </c>
      <c r="V431">
        <f t="shared" si="138"/>
        <v>3.8529811152364771E-2</v>
      </c>
      <c r="W431">
        <f t="shared" si="139"/>
        <v>4.874817956016954E-3</v>
      </c>
      <c r="X431">
        <f t="shared" si="140"/>
        <v>0.19794573296403459</v>
      </c>
      <c r="Y431">
        <f t="shared" si="141"/>
        <v>8.4371849238754971E-4</v>
      </c>
      <c r="Z431">
        <f t="shared" si="142"/>
        <v>3.3748739695501988E-3</v>
      </c>
      <c r="AA431">
        <f t="shared" si="143"/>
        <v>0.1869359566103703</v>
      </c>
      <c r="AB431">
        <f t="shared" si="144"/>
        <v>2.2618499090424588E-2</v>
      </c>
      <c r="AC431">
        <f t="shared" si="145"/>
        <v>9.9886801102271314E-2</v>
      </c>
      <c r="AD431">
        <f t="shared" si="146"/>
        <v>2.9622956267726869E-3</v>
      </c>
      <c r="AE431">
        <f t="shared" si="147"/>
        <v>2.4126599022317757E-2</v>
      </c>
      <c r="AG431">
        <f t="shared" si="148"/>
        <v>-0.26986070192145595</v>
      </c>
      <c r="AH431">
        <f t="shared" si="149"/>
        <v>0.30831911120819078</v>
      </c>
      <c r="AI431">
        <f t="shared" si="150"/>
        <v>0.55204058634252173</v>
      </c>
      <c r="AK431" s="26">
        <f t="shared" si="151"/>
        <v>8.3134727282766052E-2</v>
      </c>
      <c r="AL431" s="26">
        <f t="shared" si="152"/>
        <v>3.6028360225615008E-2</v>
      </c>
      <c r="AM431" s="26">
        <f t="shared" si="153"/>
        <v>8.6387003020175768E-3</v>
      </c>
      <c r="AN431" s="26">
        <f t="shared" si="154"/>
        <v>17.448888888888881</v>
      </c>
      <c r="AO431" s="26">
        <f t="shared" si="155"/>
        <v>17.879582616179015</v>
      </c>
      <c r="AP431" s="26">
        <f t="shared" si="156"/>
        <v>18.192002310863693</v>
      </c>
      <c r="AS431" s="2">
        <v>45049</v>
      </c>
      <c r="AT431">
        <v>22.8</v>
      </c>
      <c r="AU431">
        <v>33.299999999999997</v>
      </c>
      <c r="AV431">
        <v>8.4</v>
      </c>
      <c r="AW431">
        <v>2.8</v>
      </c>
      <c r="AX431">
        <v>312.2</v>
      </c>
      <c r="AY431">
        <v>0.4</v>
      </c>
      <c r="AZ431">
        <v>3.5</v>
      </c>
      <c r="BA431">
        <v>232.94800000000001</v>
      </c>
      <c r="BB431">
        <v>33.212600000000002</v>
      </c>
      <c r="BC431">
        <v>83.578299999999999</v>
      </c>
      <c r="BD431">
        <v>2.6755</v>
      </c>
      <c r="BE431">
        <v>27.778300000000002</v>
      </c>
      <c r="BF431">
        <v>-16.532800000000002</v>
      </c>
      <c r="BG431">
        <v>-27.434799999999999</v>
      </c>
      <c r="BH431">
        <v>60.66</v>
      </c>
    </row>
    <row r="432" spans="1:60" x14ac:dyDescent="0.25">
      <c r="A432" s="2">
        <v>45069</v>
      </c>
      <c r="B432">
        <v>21.7</v>
      </c>
      <c r="C432">
        <v>267.10000000000002</v>
      </c>
      <c r="D432">
        <v>59.4</v>
      </c>
      <c r="E432">
        <v>15.3</v>
      </c>
      <c r="F432">
        <v>171.38</v>
      </c>
      <c r="G432">
        <v>0.9</v>
      </c>
      <c r="H432">
        <v>3.6</v>
      </c>
      <c r="I432">
        <v>175.94890000000001</v>
      </c>
      <c r="J432">
        <v>28.084599999999998</v>
      </c>
      <c r="K432">
        <v>66.8005</v>
      </c>
      <c r="L432">
        <v>3.0095999999999998</v>
      </c>
      <c r="M432">
        <v>17.813300000000002</v>
      </c>
      <c r="N432">
        <v>-10.6715</v>
      </c>
      <c r="O432">
        <v>-31.487200000000001</v>
      </c>
      <c r="P432">
        <v>66.59</v>
      </c>
      <c r="S432">
        <f t="shared" si="135"/>
        <v>831.03689999999995</v>
      </c>
      <c r="T432">
        <f t="shared" si="136"/>
        <v>2.0342990316455364E-2</v>
      </c>
      <c r="U432">
        <f t="shared" si="137"/>
        <v>0.25039689924079395</v>
      </c>
      <c r="V432">
        <f t="shared" si="138"/>
        <v>5.5685420497578283E-2</v>
      </c>
      <c r="W432">
        <f t="shared" si="139"/>
        <v>1.4343214370588346E-2</v>
      </c>
      <c r="X432">
        <f t="shared" si="140"/>
        <v>0.16066275025042029</v>
      </c>
      <c r="Y432">
        <f t="shared" si="141"/>
        <v>8.4371849238754971E-4</v>
      </c>
      <c r="Z432">
        <f t="shared" si="142"/>
        <v>3.3748739695501988E-3</v>
      </c>
      <c r="AA432">
        <f t="shared" si="143"/>
        <v>0.16494593405027527</v>
      </c>
      <c r="AB432">
        <f t="shared" si="144"/>
        <v>2.6328329301452642E-2</v>
      </c>
      <c r="AC432">
        <f t="shared" si="145"/>
        <v>6.2623130167482791E-2</v>
      </c>
      <c r="AD432">
        <f t="shared" si="146"/>
        <v>2.821394638543966E-3</v>
      </c>
      <c r="AE432">
        <f t="shared" si="147"/>
        <v>1.6699345133830156E-2</v>
      </c>
      <c r="AG432">
        <f t="shared" si="148"/>
        <v>-0.27769525188134636</v>
      </c>
      <c r="AH432">
        <f t="shared" si="149"/>
        <v>0.52234921227160414</v>
      </c>
      <c r="AI432">
        <f t="shared" si="150"/>
        <v>2.1960294036629238</v>
      </c>
      <c r="AK432" s="26">
        <f t="shared" si="151"/>
        <v>8.7418128336412715E-2</v>
      </c>
      <c r="AL432" s="26">
        <f t="shared" si="152"/>
        <v>3.5099544518434611E-2</v>
      </c>
      <c r="AM432" s="26">
        <f t="shared" si="153"/>
        <v>8.0990069671802445E-3</v>
      </c>
      <c r="AN432" s="26">
        <f t="shared" si="154"/>
        <v>17.498095238095253</v>
      </c>
      <c r="AO432" s="26">
        <f t="shared" si="155"/>
        <v>17.913078743545626</v>
      </c>
      <c r="AP432" s="26">
        <f t="shared" si="156"/>
        <v>18.206382710538058</v>
      </c>
      <c r="AS432" s="2">
        <v>45048</v>
      </c>
      <c r="AT432">
        <v>21.9</v>
      </c>
      <c r="AU432">
        <v>24.3</v>
      </c>
      <c r="AV432">
        <v>43.1</v>
      </c>
      <c r="AW432">
        <v>10.6</v>
      </c>
      <c r="AX432">
        <v>188.2</v>
      </c>
      <c r="AY432">
        <v>0.3</v>
      </c>
      <c r="AZ432">
        <v>3.2</v>
      </c>
      <c r="BA432">
        <v>227.429</v>
      </c>
      <c r="BB432">
        <v>31.3385</v>
      </c>
      <c r="BC432">
        <v>72.678600000000003</v>
      </c>
      <c r="BD432">
        <v>2.5838999999999999</v>
      </c>
      <c r="BE432">
        <v>32.851700000000001</v>
      </c>
      <c r="BF432">
        <v>-16.402699999999999</v>
      </c>
      <c r="BG432">
        <v>-30.152799999999999</v>
      </c>
      <c r="BH432">
        <v>60.42</v>
      </c>
    </row>
    <row r="433" spans="1:60" x14ac:dyDescent="0.25">
      <c r="A433" s="2">
        <v>45068</v>
      </c>
      <c r="B433">
        <v>21.4</v>
      </c>
      <c r="C433">
        <v>21.4</v>
      </c>
      <c r="D433">
        <v>42.9</v>
      </c>
      <c r="E433">
        <v>8</v>
      </c>
      <c r="F433">
        <v>292.82</v>
      </c>
      <c r="G433">
        <v>0.8</v>
      </c>
      <c r="H433">
        <v>3.3</v>
      </c>
      <c r="I433">
        <v>165.03989999999999</v>
      </c>
      <c r="J433">
        <v>30.342500000000001</v>
      </c>
      <c r="K433">
        <v>70.750399999999999</v>
      </c>
      <c r="L433">
        <v>3.1025</v>
      </c>
      <c r="M433">
        <v>36.756</v>
      </c>
      <c r="N433">
        <v>-10.1593</v>
      </c>
      <c r="O433">
        <v>-31.130299999999998</v>
      </c>
      <c r="P433">
        <v>66.33</v>
      </c>
      <c r="S433">
        <f t="shared" si="135"/>
        <v>696.61129999999991</v>
      </c>
      <c r="T433">
        <f t="shared" si="136"/>
        <v>2.0061750818992849E-2</v>
      </c>
      <c r="U433">
        <f t="shared" si="137"/>
        <v>2.0061750818992849E-2</v>
      </c>
      <c r="V433">
        <f t="shared" si="138"/>
        <v>4.0217248137139866E-2</v>
      </c>
      <c r="W433">
        <f t="shared" si="139"/>
        <v>7.4997199323337755E-3</v>
      </c>
      <c r="X433">
        <f t="shared" si="140"/>
        <v>0.27450849882324702</v>
      </c>
      <c r="Y433">
        <f t="shared" si="141"/>
        <v>7.4997199323337759E-4</v>
      </c>
      <c r="Z433">
        <f t="shared" si="142"/>
        <v>3.0936344720876819E-3</v>
      </c>
      <c r="AA433">
        <f t="shared" si="143"/>
        <v>0.15471912845754662</v>
      </c>
      <c r="AB433">
        <f t="shared" si="144"/>
        <v>2.8445031505854698E-2</v>
      </c>
      <c r="AC433">
        <f t="shared" si="145"/>
        <v>6.6326023137573437E-2</v>
      </c>
      <c r="AD433">
        <f t="shared" si="146"/>
        <v>2.9084851362581924E-3</v>
      </c>
      <c r="AE433">
        <f t="shared" si="147"/>
        <v>3.4457463229107532E-2</v>
      </c>
      <c r="AG433">
        <f t="shared" si="148"/>
        <v>-0.28691473595006911</v>
      </c>
      <c r="AH433">
        <f t="shared" si="149"/>
        <v>0.40065003822513495</v>
      </c>
      <c r="AI433">
        <f t="shared" si="150"/>
        <v>1.2754543999488825</v>
      </c>
      <c r="AK433" s="26">
        <f t="shared" si="151"/>
        <v>8.0692061060606612E-2</v>
      </c>
      <c r="AL433" s="26">
        <f t="shared" si="152"/>
        <v>3.1533916491471914E-2</v>
      </c>
      <c r="AM433" s="26">
        <f t="shared" si="153"/>
        <v>6.7293882653977621E-3</v>
      </c>
      <c r="AN433" s="26">
        <f t="shared" si="154"/>
        <v>17.542539682539704</v>
      </c>
      <c r="AO433" s="26">
        <f t="shared" si="155"/>
        <v>17.944941910499161</v>
      </c>
      <c r="AP433" s="26">
        <f t="shared" si="156"/>
        <v>18.220102675875104</v>
      </c>
      <c r="AS433" s="2">
        <v>45047</v>
      </c>
      <c r="AT433">
        <v>21.6</v>
      </c>
      <c r="AU433">
        <v>16.8</v>
      </c>
      <c r="AV433">
        <v>19.600000000000001</v>
      </c>
      <c r="AW433">
        <v>4.2</v>
      </c>
      <c r="AX433">
        <v>229.11</v>
      </c>
      <c r="AY433">
        <v>0.5</v>
      </c>
      <c r="AZ433">
        <v>3</v>
      </c>
      <c r="BA433">
        <v>174.4633</v>
      </c>
      <c r="BB433">
        <v>36.545200000000001</v>
      </c>
      <c r="BC433">
        <v>36.732399999999998</v>
      </c>
      <c r="BD433">
        <v>2.5922999999999998</v>
      </c>
      <c r="BE433">
        <v>15.953799999999999</v>
      </c>
      <c r="BF433">
        <v>-46.447099999999999</v>
      </c>
      <c r="BG433">
        <v>-23.693999999999999</v>
      </c>
      <c r="BH433">
        <v>60.21</v>
      </c>
    </row>
    <row r="434" spans="1:60" x14ac:dyDescent="0.25">
      <c r="A434" s="2">
        <v>45067</v>
      </c>
      <c r="B434">
        <v>20.5</v>
      </c>
      <c r="C434">
        <v>1.9</v>
      </c>
      <c r="D434">
        <v>40.5</v>
      </c>
      <c r="E434">
        <v>7.1</v>
      </c>
      <c r="F434">
        <v>285.38</v>
      </c>
      <c r="G434">
        <v>0.8</v>
      </c>
      <c r="H434">
        <v>3.1</v>
      </c>
      <c r="I434">
        <v>109.0895</v>
      </c>
      <c r="J434">
        <v>31.1889</v>
      </c>
      <c r="K434">
        <v>20.460999999999999</v>
      </c>
      <c r="L434">
        <v>3.0823999999999998</v>
      </c>
      <c r="M434">
        <v>19.681799999999999</v>
      </c>
      <c r="P434">
        <v>66.06</v>
      </c>
      <c r="S434">
        <f t="shared" si="135"/>
        <v>542.78359999999998</v>
      </c>
      <c r="T434">
        <f t="shared" si="136"/>
        <v>1.9218032326605298E-2</v>
      </c>
      <c r="U434">
        <f t="shared" si="137"/>
        <v>1.7811834839292716E-3</v>
      </c>
      <c r="V434">
        <f t="shared" si="138"/>
        <v>3.7967332157439734E-2</v>
      </c>
      <c r="W434">
        <f t="shared" si="139"/>
        <v>6.6560014399462252E-3</v>
      </c>
      <c r="X434">
        <f t="shared" si="140"/>
        <v>0.26753375928617662</v>
      </c>
      <c r="Y434">
        <f t="shared" si="141"/>
        <v>7.4997199323337759E-4</v>
      </c>
      <c r="Z434">
        <f t="shared" si="142"/>
        <v>2.9061414737793379E-3</v>
      </c>
      <c r="AA434">
        <f t="shared" si="143"/>
        <v>0.10226758719479068</v>
      </c>
      <c r="AB434">
        <f t="shared" si="144"/>
        <v>2.9238501874695611E-2</v>
      </c>
      <c r="AC434">
        <f t="shared" si="145"/>
        <v>1.9181471191935171E-2</v>
      </c>
      <c r="AD434">
        <f t="shared" si="146"/>
        <v>2.8896420899282033E-3</v>
      </c>
      <c r="AE434">
        <f t="shared" si="147"/>
        <v>1.8450998470525861E-2</v>
      </c>
      <c r="AG434">
        <f t="shared" si="148"/>
        <v>-0.29657602434370567</v>
      </c>
      <c r="AH434">
        <f t="shared" si="149"/>
        <v>0.35526342063163574</v>
      </c>
      <c r="AI434">
        <f t="shared" si="150"/>
        <v>0.92645020623258101</v>
      </c>
      <c r="AK434" s="26">
        <f t="shared" si="151"/>
        <v>7.8770052478471686E-2</v>
      </c>
      <c r="AL434" s="26">
        <f t="shared" si="152"/>
        <v>2.9991528394298139E-2</v>
      </c>
      <c r="AM434" s="26">
        <f t="shared" si="153"/>
        <v>4.7913329209406108E-3</v>
      </c>
      <c r="AN434" s="26">
        <f t="shared" si="154"/>
        <v>17.590793650793664</v>
      </c>
      <c r="AO434" s="26">
        <f t="shared" si="155"/>
        <v>17.978571428571449</v>
      </c>
      <c r="AP434" s="26">
        <f t="shared" si="156"/>
        <v>18.233244400094534</v>
      </c>
      <c r="AS434" s="2">
        <v>45046</v>
      </c>
      <c r="AT434">
        <v>21.8</v>
      </c>
      <c r="AU434">
        <v>20.8</v>
      </c>
      <c r="AV434">
        <v>10.3</v>
      </c>
      <c r="AW434">
        <v>3.1</v>
      </c>
      <c r="AX434">
        <v>301.42</v>
      </c>
      <c r="AY434">
        <v>0.5</v>
      </c>
      <c r="AZ434">
        <v>2.4</v>
      </c>
      <c r="BA434">
        <v>170.512</v>
      </c>
      <c r="BB434">
        <v>40.434100000000001</v>
      </c>
      <c r="BC434">
        <v>44.488700000000001</v>
      </c>
      <c r="BD434">
        <v>2.4519000000000002</v>
      </c>
      <c r="BE434">
        <v>26.357500000000002</v>
      </c>
      <c r="BH434">
        <v>59.79</v>
      </c>
    </row>
    <row r="435" spans="1:60" x14ac:dyDescent="0.25">
      <c r="A435" s="2">
        <v>45066</v>
      </c>
      <c r="B435">
        <v>21.7</v>
      </c>
      <c r="C435">
        <v>38</v>
      </c>
      <c r="D435">
        <v>46.5</v>
      </c>
      <c r="E435">
        <v>10.7</v>
      </c>
      <c r="F435">
        <v>231.59</v>
      </c>
      <c r="G435">
        <v>0.9</v>
      </c>
      <c r="H435">
        <v>3.2</v>
      </c>
      <c r="I435">
        <v>99.730800000000002</v>
      </c>
      <c r="J435">
        <v>19.5078</v>
      </c>
      <c r="K435">
        <v>20.0303</v>
      </c>
      <c r="L435">
        <v>2.5525000000000002</v>
      </c>
      <c r="M435">
        <v>26.314599999999999</v>
      </c>
      <c r="P435">
        <v>65.63</v>
      </c>
      <c r="S435">
        <f t="shared" si="135"/>
        <v>520.726</v>
      </c>
      <c r="T435">
        <f t="shared" si="136"/>
        <v>2.0342990316455364E-2</v>
      </c>
      <c r="U435">
        <f t="shared" si="137"/>
        <v>3.5623669678585435E-2</v>
      </c>
      <c r="V435">
        <f t="shared" si="138"/>
        <v>4.359212210669007E-2</v>
      </c>
      <c r="W435">
        <f t="shared" si="139"/>
        <v>1.0030875409496424E-2</v>
      </c>
      <c r="X435">
        <f t="shared" si="140"/>
        <v>0.21710751739114739</v>
      </c>
      <c r="Y435">
        <f t="shared" si="141"/>
        <v>8.4371849238754971E-4</v>
      </c>
      <c r="Z435">
        <f t="shared" si="142"/>
        <v>2.9998879729335104E-3</v>
      </c>
      <c r="AA435">
        <f t="shared" si="143"/>
        <v>9.3494133578449157E-2</v>
      </c>
      <c r="AB435">
        <f t="shared" si="144"/>
        <v>1.8287879561997601E-2</v>
      </c>
      <c r="AC435">
        <f t="shared" si="145"/>
        <v>1.8777705020078153E-2</v>
      </c>
      <c r="AD435">
        <f t="shared" si="146"/>
        <v>2.3928793909102452E-3</v>
      </c>
      <c r="AE435">
        <f t="shared" si="147"/>
        <v>2.4669016266423795E-2</v>
      </c>
      <c r="AG435">
        <f t="shared" si="148"/>
        <v>-0.3137384131369616</v>
      </c>
      <c r="AH435">
        <f t="shared" si="149"/>
        <v>0.35520979763411958</v>
      </c>
      <c r="AI435">
        <f t="shared" si="150"/>
        <v>0.92935685412077229</v>
      </c>
      <c r="AK435" s="26">
        <f t="shared" si="151"/>
        <v>8.4718291658438694E-2</v>
      </c>
      <c r="AL435" s="26">
        <f t="shared" si="152"/>
        <v>2.8320555577929452E-2</v>
      </c>
      <c r="AM435" s="26">
        <f t="shared" si="153"/>
        <v>5.8109641082885188E-3</v>
      </c>
      <c r="AN435" s="26">
        <f t="shared" si="154"/>
        <v>17.621904761904773</v>
      </c>
      <c r="AO435" s="26">
        <f t="shared" si="155"/>
        <v>18.013020654044773</v>
      </c>
      <c r="AP435" s="26">
        <f t="shared" si="156"/>
        <v>18.245454426091754</v>
      </c>
      <c r="AS435" s="2">
        <v>45045</v>
      </c>
      <c r="AT435">
        <v>21.7</v>
      </c>
      <c r="AU435">
        <v>22.5</v>
      </c>
      <c r="AV435">
        <v>22.1</v>
      </c>
      <c r="AW435">
        <v>8.1999999999999993</v>
      </c>
      <c r="AX435">
        <v>169.1</v>
      </c>
      <c r="AY435">
        <v>0.5</v>
      </c>
      <c r="AZ435">
        <v>2.5</v>
      </c>
      <c r="BA435">
        <v>251.5977</v>
      </c>
      <c r="BB435">
        <v>31.308599999999998</v>
      </c>
      <c r="BC435">
        <v>60.592700000000001</v>
      </c>
      <c r="BD435">
        <v>2.5952999999999999</v>
      </c>
      <c r="BE435">
        <v>18.827200000000001</v>
      </c>
      <c r="BH435">
        <v>59.35</v>
      </c>
    </row>
    <row r="436" spans="1:60" x14ac:dyDescent="0.25">
      <c r="A436" s="2">
        <v>45065</v>
      </c>
      <c r="B436">
        <v>21.5</v>
      </c>
      <c r="C436">
        <v>22.8</v>
      </c>
      <c r="D436">
        <v>17.600000000000001</v>
      </c>
      <c r="E436">
        <v>5.6</v>
      </c>
      <c r="F436">
        <v>254.44</v>
      </c>
      <c r="G436">
        <v>0.8</v>
      </c>
      <c r="H436">
        <v>3.5</v>
      </c>
      <c r="I436">
        <v>126.6617</v>
      </c>
      <c r="J436">
        <v>22.007999999999999</v>
      </c>
      <c r="K436">
        <v>44.447899999999997</v>
      </c>
      <c r="L436">
        <v>2.4205999999999999</v>
      </c>
      <c r="M436">
        <v>30.736999999999998</v>
      </c>
      <c r="N436">
        <v>-9.3902999999999999</v>
      </c>
      <c r="O436">
        <v>-30.208100000000002</v>
      </c>
      <c r="P436">
        <v>65.209999999999994</v>
      </c>
      <c r="S436">
        <f t="shared" si="135"/>
        <v>552.51519999999994</v>
      </c>
      <c r="T436">
        <f t="shared" si="136"/>
        <v>2.0155497318147021E-2</v>
      </c>
      <c r="U436">
        <f t="shared" si="137"/>
        <v>2.1374201807151261E-2</v>
      </c>
      <c r="V436">
        <f t="shared" si="138"/>
        <v>1.6499383851134308E-2</v>
      </c>
      <c r="W436">
        <f t="shared" si="139"/>
        <v>5.249803952633642E-3</v>
      </c>
      <c r="X436">
        <f t="shared" si="140"/>
        <v>0.23852859244787572</v>
      </c>
      <c r="Y436">
        <f t="shared" si="141"/>
        <v>7.4997199323337759E-4</v>
      </c>
      <c r="Z436">
        <f t="shared" si="142"/>
        <v>3.2811274703960268E-3</v>
      </c>
      <c r="AA436">
        <f t="shared" si="143"/>
        <v>0.11874090951916011</v>
      </c>
      <c r="AB436">
        <f t="shared" si="144"/>
        <v>2.0631729533850215E-2</v>
      </c>
      <c r="AC436">
        <f t="shared" si="145"/>
        <v>4.1668350197547298E-2</v>
      </c>
      <c r="AD436">
        <f t="shared" si="146"/>
        <v>2.2692277585258918E-3</v>
      </c>
      <c r="AE436">
        <f t="shared" si="147"/>
        <v>2.8814861445017905E-2</v>
      </c>
      <c r="AG436">
        <f t="shared" si="148"/>
        <v>-0.33040496088536292</v>
      </c>
      <c r="AH436">
        <f t="shared" si="149"/>
        <v>0.3346534402855893</v>
      </c>
      <c r="AI436">
        <f t="shared" si="150"/>
        <v>0.76960025617973915</v>
      </c>
      <c r="AK436" s="26">
        <f t="shared" si="151"/>
        <v>9.1481812892716341E-2</v>
      </c>
      <c r="AL436" s="26">
        <f t="shared" si="152"/>
        <v>3.1022799162309211E-2</v>
      </c>
      <c r="AM436" s="26">
        <f t="shared" si="153"/>
        <v>6.9259452264829324E-3</v>
      </c>
      <c r="AN436" s="26">
        <f t="shared" si="154"/>
        <v>17.64809523809523</v>
      </c>
      <c r="AO436" s="26">
        <f t="shared" si="155"/>
        <v>18.049117900172149</v>
      </c>
      <c r="AP436" s="26">
        <f t="shared" si="156"/>
        <v>18.258056511121019</v>
      </c>
      <c r="AS436" s="2">
        <v>45044</v>
      </c>
      <c r="AT436">
        <v>16.600000000000001</v>
      </c>
      <c r="AU436">
        <v>219.3</v>
      </c>
      <c r="AV436">
        <v>37.1</v>
      </c>
      <c r="AW436">
        <v>7.4</v>
      </c>
      <c r="AX436">
        <v>124.61</v>
      </c>
      <c r="AY436">
        <v>0.5</v>
      </c>
      <c r="AZ436">
        <v>2.4</v>
      </c>
      <c r="BA436">
        <v>300.71730000000002</v>
      </c>
      <c r="BB436">
        <v>39.927399999999999</v>
      </c>
      <c r="BC436">
        <v>82.865200000000002</v>
      </c>
      <c r="BD436">
        <v>2.6855000000000002</v>
      </c>
      <c r="BE436">
        <v>31.24</v>
      </c>
      <c r="BF436">
        <v>-54.416699999999999</v>
      </c>
      <c r="BG436">
        <v>-34.0276</v>
      </c>
      <c r="BH436">
        <v>59</v>
      </c>
    </row>
    <row r="437" spans="1:60" x14ac:dyDescent="0.25">
      <c r="A437" s="2">
        <v>45064</v>
      </c>
      <c r="B437">
        <v>20.399999999999999</v>
      </c>
      <c r="C437">
        <v>8.4</v>
      </c>
      <c r="D437">
        <v>3.8</v>
      </c>
      <c r="E437">
        <v>2.8</v>
      </c>
      <c r="F437">
        <v>288.75</v>
      </c>
      <c r="G437">
        <v>0.8</v>
      </c>
      <c r="H437">
        <v>3.1</v>
      </c>
      <c r="I437">
        <v>136.62540000000001</v>
      </c>
      <c r="J437">
        <v>32.873600000000003</v>
      </c>
      <c r="K437">
        <v>44.915999999999997</v>
      </c>
      <c r="L437">
        <v>2.448</v>
      </c>
      <c r="M437">
        <v>25.705400000000001</v>
      </c>
      <c r="N437">
        <v>-10.2096</v>
      </c>
      <c r="O437">
        <v>-30.3033</v>
      </c>
      <c r="P437">
        <v>64.989999999999995</v>
      </c>
      <c r="S437">
        <f t="shared" si="135"/>
        <v>570.61840000000007</v>
      </c>
      <c r="T437">
        <f t="shared" si="136"/>
        <v>1.9124285827451126E-2</v>
      </c>
      <c r="U437">
        <f t="shared" si="137"/>
        <v>7.8747059289504644E-3</v>
      </c>
      <c r="V437">
        <f t="shared" si="138"/>
        <v>3.5623669678585433E-3</v>
      </c>
      <c r="W437">
        <f t="shared" si="139"/>
        <v>2.624901976316821E-3</v>
      </c>
      <c r="X437">
        <f t="shared" si="140"/>
        <v>0.27069301630767217</v>
      </c>
      <c r="Y437">
        <f t="shared" si="141"/>
        <v>7.4997199323337759E-4</v>
      </c>
      <c r="Z437">
        <f t="shared" si="142"/>
        <v>2.9061414737793379E-3</v>
      </c>
      <c r="AA437">
        <f t="shared" si="143"/>
        <v>0.1280815294553844</v>
      </c>
      <c r="AB437">
        <f t="shared" si="144"/>
        <v>3.0817849145945951E-2</v>
      </c>
      <c r="AC437">
        <f t="shared" si="145"/>
        <v>4.2107177560087979E-2</v>
      </c>
      <c r="AD437">
        <f t="shared" si="146"/>
        <v>2.2949142992941354E-3</v>
      </c>
      <c r="AE437">
        <f t="shared" si="147"/>
        <v>2.4097912593576579E-2</v>
      </c>
      <c r="AG437">
        <f t="shared" si="148"/>
        <v>-0.33763362831445592</v>
      </c>
      <c r="AH437">
        <f t="shared" si="149"/>
        <v>0.33163330306883843</v>
      </c>
      <c r="AI437">
        <f t="shared" si="150"/>
        <v>0.72959901822705087</v>
      </c>
      <c r="AK437" s="26">
        <f t="shared" si="151"/>
        <v>9.4952140142921304E-2</v>
      </c>
      <c r="AL437" s="26">
        <f t="shared" si="152"/>
        <v>3.0145583278950894E-2</v>
      </c>
      <c r="AM437" s="26">
        <f t="shared" si="153"/>
        <v>6.0431905402028308E-3</v>
      </c>
      <c r="AN437" s="26">
        <f t="shared" si="154"/>
        <v>17.673333333333318</v>
      </c>
      <c r="AO437" s="26">
        <f t="shared" si="155"/>
        <v>18.081858864027559</v>
      </c>
      <c r="AP437" s="26">
        <f t="shared" si="156"/>
        <v>18.271430109503413</v>
      </c>
      <c r="AS437" s="2">
        <v>45043</v>
      </c>
      <c r="AT437">
        <v>16.3</v>
      </c>
      <c r="AU437">
        <v>32.799999999999997</v>
      </c>
      <c r="AV437">
        <v>28.8</v>
      </c>
      <c r="AW437">
        <v>3.9</v>
      </c>
      <c r="AX437">
        <v>262.75</v>
      </c>
      <c r="AY437">
        <v>0.4</v>
      </c>
      <c r="AZ437">
        <v>2.1</v>
      </c>
      <c r="BA437">
        <v>274.63749999999999</v>
      </c>
      <c r="BB437">
        <v>62.1158</v>
      </c>
      <c r="BC437">
        <v>103.99209999999999</v>
      </c>
      <c r="BD437">
        <v>2.6701000000000001</v>
      </c>
      <c r="BE437">
        <v>27.981300000000001</v>
      </c>
      <c r="BF437">
        <v>-20.674800000000001</v>
      </c>
      <c r="BG437">
        <v>-31.554300000000001</v>
      </c>
      <c r="BH437">
        <v>58.77</v>
      </c>
    </row>
    <row r="438" spans="1:60" x14ac:dyDescent="0.25">
      <c r="A438" s="2">
        <v>45063</v>
      </c>
      <c r="B438">
        <v>19.7</v>
      </c>
      <c r="C438">
        <v>124.7</v>
      </c>
      <c r="D438">
        <v>44.7</v>
      </c>
      <c r="E438">
        <v>13</v>
      </c>
      <c r="F438">
        <v>244.37</v>
      </c>
      <c r="G438">
        <v>0.9</v>
      </c>
      <c r="H438">
        <v>3.3</v>
      </c>
      <c r="I438">
        <v>162.62389999999999</v>
      </c>
      <c r="J438">
        <v>37.164000000000001</v>
      </c>
      <c r="K438">
        <v>75.495699999999999</v>
      </c>
      <c r="L438">
        <v>2.2766999999999999</v>
      </c>
      <c r="M438">
        <v>32.269599999999997</v>
      </c>
      <c r="N438">
        <v>-11.9276</v>
      </c>
      <c r="O438">
        <v>-27.484400000000001</v>
      </c>
      <c r="P438">
        <v>64.69</v>
      </c>
      <c r="S438">
        <f t="shared" si="135"/>
        <v>760.49990000000003</v>
      </c>
      <c r="T438">
        <f t="shared" si="136"/>
        <v>1.8468060333371922E-2</v>
      </c>
      <c r="U438">
        <f t="shared" si="137"/>
        <v>0.11690188444525272</v>
      </c>
      <c r="V438">
        <f t="shared" si="138"/>
        <v>4.1904685121914975E-2</v>
      </c>
      <c r="W438">
        <f t="shared" si="139"/>
        <v>1.2187044890042385E-2</v>
      </c>
      <c r="X438">
        <f t="shared" si="140"/>
        <v>0.2290883199830506</v>
      </c>
      <c r="Y438">
        <f t="shared" si="141"/>
        <v>8.4371849238754971E-4</v>
      </c>
      <c r="Z438">
        <f t="shared" si="142"/>
        <v>3.0936344720876819E-3</v>
      </c>
      <c r="AA438">
        <f t="shared" si="143"/>
        <v>0.15245421303798182</v>
      </c>
      <c r="AB438">
        <f t="shared" si="144"/>
        <v>3.4839948945656556E-2</v>
      </c>
      <c r="AC438">
        <f t="shared" si="145"/>
        <v>7.0774575761936367E-2</v>
      </c>
      <c r="AD438">
        <f t="shared" si="146"/>
        <v>2.1343265462430384E-3</v>
      </c>
      <c r="AE438">
        <f t="shared" si="147"/>
        <v>3.0251620291054746E-2</v>
      </c>
      <c r="AG438">
        <f t="shared" si="148"/>
        <v>-0.34859580162303716</v>
      </c>
      <c r="AH438">
        <f t="shared" si="149"/>
        <v>0.45273896802916258</v>
      </c>
      <c r="AI438">
        <f t="shared" si="150"/>
        <v>1.6510201056978824</v>
      </c>
      <c r="AK438" s="26">
        <f t="shared" si="151"/>
        <v>9.6988642961316762E-2</v>
      </c>
      <c r="AL438" s="26">
        <f t="shared" si="152"/>
        <v>2.8788250690430561E-2</v>
      </c>
      <c r="AM438" s="26">
        <f t="shared" si="153"/>
        <v>5.4702770215338259E-3</v>
      </c>
      <c r="AN438" s="26">
        <f t="shared" si="154"/>
        <v>17.695238095238068</v>
      </c>
      <c r="AO438" s="26">
        <f t="shared" si="155"/>
        <v>18.108440189328761</v>
      </c>
      <c r="AP438" s="26">
        <f t="shared" si="156"/>
        <v>18.283601270975026</v>
      </c>
      <c r="AS438" s="2">
        <v>45042</v>
      </c>
      <c r="AT438">
        <v>16.3</v>
      </c>
      <c r="AU438">
        <v>21.9</v>
      </c>
      <c r="AV438">
        <v>50.4</v>
      </c>
      <c r="AW438">
        <v>11.3</v>
      </c>
      <c r="AX438">
        <v>229.19</v>
      </c>
      <c r="AY438">
        <v>0.4</v>
      </c>
      <c r="AZ438">
        <v>2.2000000000000002</v>
      </c>
      <c r="BA438">
        <v>251.7422</v>
      </c>
      <c r="BB438">
        <v>103.80719999999999</v>
      </c>
      <c r="BC438">
        <v>99.419700000000006</v>
      </c>
      <c r="BD438">
        <v>2.3927999999999998</v>
      </c>
      <c r="BE438">
        <v>29.409099999999999</v>
      </c>
      <c r="BF438">
        <v>-19.415700000000001</v>
      </c>
      <c r="BG438">
        <v>-30.511900000000001</v>
      </c>
      <c r="BH438">
        <v>58.6</v>
      </c>
    </row>
    <row r="439" spans="1:60" x14ac:dyDescent="0.25">
      <c r="A439" s="2">
        <v>45062</v>
      </c>
      <c r="B439">
        <v>21</v>
      </c>
      <c r="C439">
        <v>54.4</v>
      </c>
      <c r="D439">
        <v>55.6</v>
      </c>
      <c r="E439">
        <v>14.6</v>
      </c>
      <c r="F439">
        <v>161.82</v>
      </c>
      <c r="G439">
        <v>0.9</v>
      </c>
      <c r="H439">
        <v>3.3</v>
      </c>
      <c r="I439">
        <v>156.51079999999999</v>
      </c>
      <c r="J439">
        <v>37.106299999999997</v>
      </c>
      <c r="K439">
        <v>92.218500000000006</v>
      </c>
      <c r="L439">
        <v>2.09</v>
      </c>
      <c r="M439">
        <v>23.173300000000001</v>
      </c>
      <c r="N439">
        <v>-11.3619</v>
      </c>
      <c r="O439">
        <v>-26.546500000000002</v>
      </c>
      <c r="P439">
        <v>64.42</v>
      </c>
      <c r="S439">
        <f t="shared" si="135"/>
        <v>622.71889999999996</v>
      </c>
      <c r="T439">
        <f t="shared" si="136"/>
        <v>1.9686764822376159E-2</v>
      </c>
      <c r="U439">
        <f t="shared" si="137"/>
        <v>5.099809553986967E-2</v>
      </c>
      <c r="V439">
        <f t="shared" si="138"/>
        <v>5.2123053529719743E-2</v>
      </c>
      <c r="W439">
        <f t="shared" si="139"/>
        <v>1.368698887650914E-2</v>
      </c>
      <c r="X439">
        <f t="shared" si="140"/>
        <v>0.15170058493128144</v>
      </c>
      <c r="Y439">
        <f t="shared" si="141"/>
        <v>8.4371849238754971E-4</v>
      </c>
      <c r="Z439">
        <f t="shared" si="142"/>
        <v>3.0936344720876819E-3</v>
      </c>
      <c r="AA439">
        <f t="shared" si="143"/>
        <v>0.14672339579818811</v>
      </c>
      <c r="AB439">
        <f t="shared" si="144"/>
        <v>3.4785857215644596E-2</v>
      </c>
      <c r="AC439">
        <f t="shared" si="145"/>
        <v>8.6451615322490294E-2</v>
      </c>
      <c r="AD439">
        <f t="shared" si="146"/>
        <v>1.9593018323221987E-3</v>
      </c>
      <c r="AE439">
        <f t="shared" si="147"/>
        <v>2.1724157488493785E-2</v>
      </c>
      <c r="AG439">
        <f t="shared" si="148"/>
        <v>-0.35812704348284041</v>
      </c>
      <c r="AH439">
        <f t="shared" si="149"/>
        <v>0.31385699815272511</v>
      </c>
      <c r="AI439">
        <f t="shared" si="150"/>
        <v>0.59632774549387491</v>
      </c>
      <c r="AK439" s="26">
        <f t="shared" si="151"/>
        <v>9.0324888834694361E-2</v>
      </c>
      <c r="AL439" s="26">
        <f t="shared" si="152"/>
        <v>2.6535941452158318E-2</v>
      </c>
      <c r="AM439" s="26">
        <f t="shared" si="153"/>
        <v>3.7135272759672988E-3</v>
      </c>
      <c r="AN439" s="26">
        <f t="shared" si="154"/>
        <v>17.718571428571416</v>
      </c>
      <c r="AO439" s="26">
        <f t="shared" si="155"/>
        <v>18.130032271944941</v>
      </c>
      <c r="AP439" s="26">
        <f t="shared" si="156"/>
        <v>18.294657440718467</v>
      </c>
      <c r="AS439" s="2">
        <v>45041</v>
      </c>
      <c r="AT439">
        <v>16.100000000000001</v>
      </c>
      <c r="AU439">
        <v>3.4</v>
      </c>
      <c r="AV439">
        <v>50.5</v>
      </c>
      <c r="AW439">
        <v>15.8</v>
      </c>
      <c r="AX439">
        <v>162.80000000000001</v>
      </c>
      <c r="AY439">
        <v>0.4</v>
      </c>
      <c r="AZ439">
        <v>2.4</v>
      </c>
      <c r="BA439">
        <v>217.99109999999999</v>
      </c>
      <c r="BB439">
        <v>113.1687</v>
      </c>
      <c r="BC439">
        <v>103.0722</v>
      </c>
      <c r="BD439">
        <v>2.7654999999999998</v>
      </c>
      <c r="BE439">
        <v>27.0289</v>
      </c>
      <c r="BF439">
        <v>-19.438700000000001</v>
      </c>
      <c r="BG439">
        <v>-29.595600000000001</v>
      </c>
      <c r="BH439">
        <v>58.5</v>
      </c>
    </row>
    <row r="440" spans="1:60" x14ac:dyDescent="0.25">
      <c r="A440" s="2">
        <v>45061</v>
      </c>
      <c r="B440">
        <v>19.8</v>
      </c>
      <c r="C440">
        <v>101.5</v>
      </c>
      <c r="D440">
        <v>28.5</v>
      </c>
      <c r="E440">
        <v>3.6</v>
      </c>
      <c r="F440">
        <v>231.32</v>
      </c>
      <c r="G440">
        <v>0.9</v>
      </c>
      <c r="H440">
        <v>3.5</v>
      </c>
      <c r="I440">
        <v>188.8912</v>
      </c>
      <c r="J440">
        <v>33.921500000000002</v>
      </c>
      <c r="K440">
        <v>96.230400000000003</v>
      </c>
      <c r="L440">
        <v>2.3902000000000001</v>
      </c>
      <c r="M440">
        <v>31.6768</v>
      </c>
      <c r="N440">
        <v>-11.203799999999999</v>
      </c>
      <c r="O440">
        <v>-26.052900000000001</v>
      </c>
      <c r="P440">
        <v>64.069999999999993</v>
      </c>
      <c r="S440">
        <f t="shared" si="135"/>
        <v>742.23010000000011</v>
      </c>
      <c r="T440">
        <f t="shared" si="136"/>
        <v>1.8561806832526093E-2</v>
      </c>
      <c r="U440">
        <f t="shared" si="137"/>
        <v>9.5152696641484777E-2</v>
      </c>
      <c r="V440">
        <f t="shared" si="138"/>
        <v>2.6717752258939076E-2</v>
      </c>
      <c r="W440">
        <f t="shared" si="139"/>
        <v>3.3748739695501988E-3</v>
      </c>
      <c r="X440">
        <f t="shared" si="140"/>
        <v>0.2168544018434311</v>
      </c>
      <c r="Y440">
        <f t="shared" si="141"/>
        <v>8.4371849238754971E-4</v>
      </c>
      <c r="Z440">
        <f t="shared" si="142"/>
        <v>3.2811274703960268E-3</v>
      </c>
      <c r="AA440">
        <f t="shared" si="143"/>
        <v>0.17707888721030571</v>
      </c>
      <c r="AB440">
        <f t="shared" si="144"/>
        <v>3.1800218710582522E-2</v>
      </c>
      <c r="AC440">
        <f t="shared" si="145"/>
        <v>9.0212631122056519E-2</v>
      </c>
      <c r="AD440">
        <f t="shared" si="146"/>
        <v>2.240728822783024E-3</v>
      </c>
      <c r="AE440">
        <f t="shared" si="147"/>
        <v>2.9695891044068817E-2</v>
      </c>
      <c r="AG440">
        <f t="shared" si="148"/>
        <v>-0.37139940267495475</v>
      </c>
      <c r="AH440">
        <f t="shared" si="149"/>
        <v>0.39448226855278368</v>
      </c>
      <c r="AI440">
        <f t="shared" si="150"/>
        <v>1.2143108625874739</v>
      </c>
      <c r="AK440" s="26">
        <f t="shared" si="151"/>
        <v>8.8126711994289286E-2</v>
      </c>
      <c r="AL440" s="26">
        <f t="shared" si="152"/>
        <v>2.5903575833789494E-2</v>
      </c>
      <c r="AM440" s="26">
        <f t="shared" si="153"/>
        <v>3.1895941749098267E-3</v>
      </c>
      <c r="AN440" s="26">
        <f t="shared" si="154"/>
        <v>17.744444444444426</v>
      </c>
      <c r="AO440" s="26">
        <f t="shared" si="155"/>
        <v>18.146331755593806</v>
      </c>
      <c r="AP440" s="26">
        <f t="shared" si="156"/>
        <v>18.306784485701534</v>
      </c>
      <c r="AS440" s="2">
        <v>45040</v>
      </c>
      <c r="AT440">
        <v>16.100000000000001</v>
      </c>
      <c r="AU440">
        <v>0.7</v>
      </c>
      <c r="AV440">
        <v>37.299999999999997</v>
      </c>
      <c r="AW440">
        <v>16</v>
      </c>
      <c r="AX440">
        <v>156.53</v>
      </c>
      <c r="AY440">
        <v>0.5</v>
      </c>
      <c r="AZ440">
        <v>2.6</v>
      </c>
      <c r="BA440">
        <v>210.74250000000001</v>
      </c>
      <c r="BB440">
        <v>55.614699999999999</v>
      </c>
      <c r="BC440">
        <v>63.617899999999999</v>
      </c>
      <c r="BD440">
        <v>2.7416999999999998</v>
      </c>
      <c r="BE440">
        <v>27.837499999999999</v>
      </c>
      <c r="BF440">
        <v>-20.452999999999999</v>
      </c>
      <c r="BG440">
        <v>-29.1433</v>
      </c>
      <c r="BH440">
        <v>58.29</v>
      </c>
    </row>
    <row r="441" spans="1:60" x14ac:dyDescent="0.25">
      <c r="A441" s="2">
        <v>45060</v>
      </c>
      <c r="B441">
        <v>21.7</v>
      </c>
      <c r="C441">
        <v>99.3</v>
      </c>
      <c r="D441">
        <v>10.5</v>
      </c>
      <c r="E441">
        <v>2.8</v>
      </c>
      <c r="F441">
        <v>227.91</v>
      </c>
      <c r="G441">
        <v>0.9</v>
      </c>
      <c r="H441">
        <v>3.4</v>
      </c>
      <c r="I441">
        <v>140.2491</v>
      </c>
      <c r="J441">
        <v>37.328400000000002</v>
      </c>
      <c r="K441">
        <v>35.091299999999997</v>
      </c>
      <c r="L441">
        <v>2.5219999999999998</v>
      </c>
      <c r="M441">
        <v>17.0411</v>
      </c>
      <c r="P441">
        <v>63.87</v>
      </c>
      <c r="S441">
        <f t="shared" si="135"/>
        <v>598.7419000000001</v>
      </c>
      <c r="T441">
        <f t="shared" si="136"/>
        <v>2.0342990316455364E-2</v>
      </c>
      <c r="U441">
        <f t="shared" si="137"/>
        <v>9.3090273660092981E-2</v>
      </c>
      <c r="V441">
        <f t="shared" si="138"/>
        <v>9.8433824111880796E-3</v>
      </c>
      <c r="W441">
        <f t="shared" si="139"/>
        <v>2.624901976316821E-3</v>
      </c>
      <c r="X441">
        <f t="shared" si="140"/>
        <v>0.21365764622227384</v>
      </c>
      <c r="Y441">
        <f t="shared" si="141"/>
        <v>8.4371849238754971E-4</v>
      </c>
      <c r="Z441">
        <f t="shared" si="142"/>
        <v>3.1873809712418544E-3</v>
      </c>
      <c r="AA441">
        <f t="shared" si="143"/>
        <v>0.13147862134523411</v>
      </c>
      <c r="AB441">
        <f t="shared" si="144"/>
        <v>3.4994068190266014E-2</v>
      </c>
      <c r="AC441">
        <f t="shared" si="145"/>
        <v>3.2896865257688021E-2</v>
      </c>
      <c r="AD441">
        <f t="shared" si="146"/>
        <v>2.3642867086682224E-3</v>
      </c>
      <c r="AE441">
        <f t="shared" si="147"/>
        <v>1.5975434667361638E-2</v>
      </c>
      <c r="AG441">
        <f t="shared" si="148"/>
        <v>-0.37759752116862166</v>
      </c>
      <c r="AH441">
        <f t="shared" si="149"/>
        <v>0.35956572871731818</v>
      </c>
      <c r="AI441">
        <f t="shared" si="150"/>
        <v>0.94787504332940065</v>
      </c>
      <c r="AK441" s="26">
        <f t="shared" si="151"/>
        <v>7.9017325982446984E-2</v>
      </c>
      <c r="AL441" s="26">
        <f t="shared" si="152"/>
        <v>2.6897108109526835E-2</v>
      </c>
      <c r="AM441" s="26">
        <f t="shared" si="153"/>
        <v>1.1979418587232671E-3</v>
      </c>
      <c r="AN441" s="26">
        <f t="shared" si="154"/>
        <v>17.77523809523808</v>
      </c>
      <c r="AO441" s="26">
        <f t="shared" si="155"/>
        <v>18.163027108433731</v>
      </c>
      <c r="AP441" s="26">
        <f t="shared" si="156"/>
        <v>18.319861610777025</v>
      </c>
      <c r="AS441" s="2">
        <v>45039</v>
      </c>
      <c r="AT441">
        <v>13.9</v>
      </c>
      <c r="AU441">
        <v>16.7</v>
      </c>
      <c r="AV441">
        <v>26.5</v>
      </c>
      <c r="AW441">
        <v>5.5</v>
      </c>
      <c r="AX441">
        <v>204.7</v>
      </c>
      <c r="AY441">
        <v>0.5</v>
      </c>
      <c r="AZ441">
        <v>2.5</v>
      </c>
      <c r="BA441">
        <v>179.4118</v>
      </c>
      <c r="BB441">
        <v>21.060600000000001</v>
      </c>
      <c r="BC441">
        <v>44.859699999999997</v>
      </c>
      <c r="BD441">
        <v>2.7321</v>
      </c>
      <c r="BE441">
        <v>17.417999999999999</v>
      </c>
      <c r="BH441">
        <v>58</v>
      </c>
    </row>
    <row r="442" spans="1:60" x14ac:dyDescent="0.25">
      <c r="A442" s="2">
        <v>45059</v>
      </c>
      <c r="B442">
        <v>21.4</v>
      </c>
      <c r="C442">
        <v>248.8</v>
      </c>
      <c r="D442">
        <v>24.9</v>
      </c>
      <c r="E442">
        <v>7</v>
      </c>
      <c r="F442">
        <v>238.51</v>
      </c>
      <c r="G442">
        <v>0.9</v>
      </c>
      <c r="H442">
        <v>3.4</v>
      </c>
      <c r="I442">
        <v>139.1584</v>
      </c>
      <c r="J442">
        <v>30.6572</v>
      </c>
      <c r="K442">
        <v>31.246400000000001</v>
      </c>
      <c r="L442">
        <v>2.6448999999999998</v>
      </c>
      <c r="M442">
        <v>21.9344</v>
      </c>
      <c r="P442">
        <v>63.47</v>
      </c>
      <c r="S442">
        <f t="shared" si="135"/>
        <v>770.55129999999986</v>
      </c>
      <c r="T442">
        <f t="shared" si="136"/>
        <v>2.0061750818992849E-2</v>
      </c>
      <c r="U442">
        <f t="shared" si="137"/>
        <v>0.23324128989558043</v>
      </c>
      <c r="V442">
        <f t="shared" si="138"/>
        <v>2.3342878289388875E-2</v>
      </c>
      <c r="W442">
        <f t="shared" si="139"/>
        <v>6.5622549407920536E-3</v>
      </c>
      <c r="X442">
        <f t="shared" si="140"/>
        <v>0.22359477513261608</v>
      </c>
      <c r="Y442">
        <f t="shared" si="141"/>
        <v>8.4371849238754971E-4</v>
      </c>
      <c r="Z442">
        <f t="shared" si="142"/>
        <v>3.1873809712418544E-3</v>
      </c>
      <c r="AA442">
        <f t="shared" si="143"/>
        <v>0.13045612827895955</v>
      </c>
      <c r="AB442">
        <f t="shared" si="144"/>
        <v>2.8740051738692877E-2</v>
      </c>
      <c r="AC442">
        <f t="shared" si="145"/>
        <v>2.929240611170926E-2</v>
      </c>
      <c r="AD442">
        <f t="shared" si="146"/>
        <v>2.4795011561287001E-3</v>
      </c>
      <c r="AE442">
        <f t="shared" si="147"/>
        <v>2.0562732110472746E-2</v>
      </c>
      <c r="AG442">
        <f t="shared" si="148"/>
        <v>-0.39314660793414236</v>
      </c>
      <c r="AH442">
        <f t="shared" si="149"/>
        <v>0.53139678065147233</v>
      </c>
      <c r="AI442">
        <f t="shared" si="150"/>
        <v>2.2687735297758458</v>
      </c>
      <c r="AK442" s="26">
        <f t="shared" si="151"/>
        <v>7.1347226996039292E-2</v>
      </c>
      <c r="AL442" s="26">
        <f t="shared" si="152"/>
        <v>2.4656664539914552E-2</v>
      </c>
      <c r="AM442" s="26">
        <f t="shared" si="153"/>
        <v>-1.0388424375100402E-3</v>
      </c>
      <c r="AN442" s="26">
        <f t="shared" si="154"/>
        <v>17.806666666666658</v>
      </c>
      <c r="AO442" s="26">
        <f t="shared" si="155"/>
        <v>18.176099397590363</v>
      </c>
      <c r="AP442" s="26">
        <f t="shared" si="156"/>
        <v>18.33031774375673</v>
      </c>
      <c r="AS442" s="2">
        <v>45038</v>
      </c>
      <c r="AT442">
        <v>14.4</v>
      </c>
      <c r="AU442">
        <v>0</v>
      </c>
      <c r="AV442">
        <v>39.4</v>
      </c>
      <c r="AW442">
        <v>12.2</v>
      </c>
      <c r="AX442">
        <v>270.38</v>
      </c>
      <c r="AY442">
        <v>0.5</v>
      </c>
      <c r="AZ442">
        <v>2.6</v>
      </c>
      <c r="BA442">
        <v>176.72450000000001</v>
      </c>
      <c r="BB442">
        <v>57.880600000000001</v>
      </c>
      <c r="BC442">
        <v>63.081400000000002</v>
      </c>
      <c r="BD442">
        <v>2.7425999999999999</v>
      </c>
      <c r="BE442">
        <v>24.3996</v>
      </c>
      <c r="BH442">
        <v>57.65</v>
      </c>
    </row>
    <row r="443" spans="1:60" x14ac:dyDescent="0.25">
      <c r="A443" s="2">
        <v>45058</v>
      </c>
      <c r="B443">
        <v>21.1</v>
      </c>
      <c r="C443">
        <v>23.9</v>
      </c>
      <c r="D443">
        <v>32.799999999999997</v>
      </c>
      <c r="E443">
        <v>8.1</v>
      </c>
      <c r="F443">
        <v>205.9</v>
      </c>
      <c r="G443">
        <v>0.9</v>
      </c>
      <c r="H443">
        <v>3.4</v>
      </c>
      <c r="I443">
        <v>257.6866</v>
      </c>
      <c r="J443">
        <v>32.954799999999999</v>
      </c>
      <c r="K443">
        <v>62.936100000000003</v>
      </c>
      <c r="L443">
        <v>2.6501999999999999</v>
      </c>
      <c r="M443">
        <v>27.584800000000001</v>
      </c>
      <c r="N443">
        <v>-11.133599999999999</v>
      </c>
      <c r="O443">
        <v>-26.746600000000001</v>
      </c>
      <c r="P443">
        <v>63.07</v>
      </c>
      <c r="S443">
        <f t="shared" si="135"/>
        <v>679.91249999999991</v>
      </c>
      <c r="T443">
        <f t="shared" si="136"/>
        <v>1.9780511321530334E-2</v>
      </c>
      <c r="U443">
        <f t="shared" si="137"/>
        <v>2.2405413297847152E-2</v>
      </c>
      <c r="V443">
        <f t="shared" si="138"/>
        <v>3.0748851722568474E-2</v>
      </c>
      <c r="W443">
        <f t="shared" si="139"/>
        <v>7.593466431487947E-3</v>
      </c>
      <c r="X443">
        <f t="shared" si="140"/>
        <v>0.19302404175844054</v>
      </c>
      <c r="Y443">
        <f t="shared" si="141"/>
        <v>8.4371849238754971E-4</v>
      </c>
      <c r="Z443">
        <f t="shared" si="142"/>
        <v>3.1873809712418544E-3</v>
      </c>
      <c r="AA443">
        <f t="shared" si="143"/>
        <v>0.24157216628941508</v>
      </c>
      <c r="AB443">
        <f t="shared" si="144"/>
        <v>3.0893971303259136E-2</v>
      </c>
      <c r="AC443">
        <f t="shared" si="145"/>
        <v>5.9000390454168966E-2</v>
      </c>
      <c r="AD443">
        <f t="shared" si="146"/>
        <v>2.4844697205838712E-3</v>
      </c>
      <c r="AE443">
        <f t="shared" si="147"/>
        <v>2.5859784298680091E-2</v>
      </c>
      <c r="AG443">
        <f t="shared" si="148"/>
        <v>-0.40866529166408355</v>
      </c>
      <c r="AH443">
        <f t="shared" si="149"/>
        <v>0.30344316829418394</v>
      </c>
      <c r="AI443">
        <f t="shared" si="150"/>
        <v>0.52748704603182339</v>
      </c>
      <c r="AK443" s="26">
        <f t="shared" si="151"/>
        <v>6.3530307599599267E-2</v>
      </c>
      <c r="AL443" s="26">
        <f t="shared" si="152"/>
        <v>2.2258723725495255E-2</v>
      </c>
      <c r="AM443" s="26">
        <f t="shared" si="153"/>
        <v>-4.0662770490566824E-3</v>
      </c>
      <c r="AN443" s="26">
        <f t="shared" si="154"/>
        <v>17.826031746031738</v>
      </c>
      <c r="AO443" s="26">
        <f t="shared" si="155"/>
        <v>18.186501721170394</v>
      </c>
      <c r="AP443" s="26">
        <f t="shared" si="156"/>
        <v>18.34004254089966</v>
      </c>
      <c r="AS443" s="2">
        <v>45037</v>
      </c>
      <c r="AT443">
        <v>14.8</v>
      </c>
      <c r="AU443">
        <v>20.5</v>
      </c>
      <c r="AV443">
        <v>50.6</v>
      </c>
      <c r="AW443">
        <v>16.8</v>
      </c>
      <c r="AX443">
        <v>280.89</v>
      </c>
      <c r="AY443">
        <v>0.5</v>
      </c>
      <c r="AZ443">
        <v>2.6</v>
      </c>
      <c r="BA443">
        <v>192.81729999999999</v>
      </c>
      <c r="BB443">
        <v>96.709299999999999</v>
      </c>
      <c r="BC443">
        <v>87.735500000000002</v>
      </c>
      <c r="BD443">
        <v>2.7467999999999999</v>
      </c>
      <c r="BE443">
        <v>28.936599999999999</v>
      </c>
      <c r="BF443">
        <v>-20.509699999999999</v>
      </c>
      <c r="BG443">
        <v>-30.347999999999999</v>
      </c>
      <c r="BH443">
        <v>57.32</v>
      </c>
    </row>
    <row r="444" spans="1:60" x14ac:dyDescent="0.25">
      <c r="A444" s="2">
        <v>45057</v>
      </c>
      <c r="B444">
        <v>22.6</v>
      </c>
      <c r="C444">
        <v>40.299999999999997</v>
      </c>
      <c r="D444">
        <v>19.899999999999999</v>
      </c>
      <c r="E444">
        <v>2.9</v>
      </c>
      <c r="F444">
        <v>145.02000000000001</v>
      </c>
      <c r="G444">
        <v>0.9</v>
      </c>
      <c r="H444">
        <v>3.3</v>
      </c>
      <c r="I444">
        <v>292.65499999999997</v>
      </c>
      <c r="J444">
        <v>96.025499999999994</v>
      </c>
      <c r="K444">
        <v>91.096199999999996</v>
      </c>
      <c r="L444">
        <v>2.6063000000000001</v>
      </c>
      <c r="M444">
        <v>29.522600000000001</v>
      </c>
      <c r="N444">
        <v>-13.4887</v>
      </c>
      <c r="O444">
        <v>-24.5215</v>
      </c>
      <c r="P444">
        <v>62.8</v>
      </c>
      <c r="S444">
        <f t="shared" si="135"/>
        <v>746.82560000000001</v>
      </c>
      <c r="T444">
        <f t="shared" si="136"/>
        <v>2.1186708808842915E-2</v>
      </c>
      <c r="U444">
        <f t="shared" si="137"/>
        <v>3.7779839159131391E-2</v>
      </c>
      <c r="V444">
        <f t="shared" si="138"/>
        <v>1.8655553331680265E-2</v>
      </c>
      <c r="W444">
        <f t="shared" si="139"/>
        <v>2.7186484754709935E-3</v>
      </c>
      <c r="X444">
        <f t="shared" si="140"/>
        <v>0.13595117307338053</v>
      </c>
      <c r="Y444">
        <f t="shared" si="141"/>
        <v>8.4371849238754971E-4</v>
      </c>
      <c r="Z444">
        <f t="shared" si="142"/>
        <v>3.0936344720876819E-3</v>
      </c>
      <c r="AA444">
        <f t="shared" si="143"/>
        <v>0.27435381709964263</v>
      </c>
      <c r="AB444">
        <f t="shared" si="144"/>
        <v>9.0020544545289613E-2</v>
      </c>
      <c r="AC444">
        <f t="shared" si="145"/>
        <v>8.5399498362483006E-2</v>
      </c>
      <c r="AD444">
        <f t="shared" si="146"/>
        <v>2.4433150074551898E-3</v>
      </c>
      <c r="AE444">
        <f t="shared" si="147"/>
        <v>2.767640395928964E-2</v>
      </c>
      <c r="AG444">
        <f t="shared" si="148"/>
        <v>-0.41804801830691973</v>
      </c>
      <c r="AH444">
        <f t="shared" si="149"/>
        <v>0.24790567977227099</v>
      </c>
      <c r="AI444">
        <f t="shared" si="150"/>
        <v>9.290677487555063E-2</v>
      </c>
      <c r="AK444" s="26">
        <f t="shared" si="151"/>
        <v>6.434490664370196E-2</v>
      </c>
      <c r="AL444" s="26">
        <f t="shared" si="152"/>
        <v>2.3359922060451233E-2</v>
      </c>
      <c r="AM444" s="26">
        <f t="shared" si="153"/>
        <v>-4.9087113466026455E-3</v>
      </c>
      <c r="AN444" s="26">
        <f t="shared" si="154"/>
        <v>17.84571428571428</v>
      </c>
      <c r="AO444" s="26">
        <f t="shared" si="155"/>
        <v>18.19472030981067</v>
      </c>
      <c r="AP444" s="26">
        <f t="shared" si="156"/>
        <v>18.350070376303151</v>
      </c>
      <c r="AS444" s="2">
        <v>45036</v>
      </c>
      <c r="AT444">
        <v>15.1</v>
      </c>
      <c r="AU444">
        <v>9.4</v>
      </c>
      <c r="AV444">
        <v>54.9</v>
      </c>
      <c r="AW444">
        <v>13.4</v>
      </c>
      <c r="AX444">
        <v>140.61000000000001</v>
      </c>
      <c r="AY444">
        <v>0.5</v>
      </c>
      <c r="AZ444">
        <v>2.6</v>
      </c>
      <c r="BA444">
        <v>220.92660000000001</v>
      </c>
      <c r="BB444">
        <v>126.8485</v>
      </c>
      <c r="BC444">
        <v>94.307000000000002</v>
      </c>
      <c r="BD444">
        <v>2.6515</v>
      </c>
      <c r="BE444">
        <v>35.919600000000003</v>
      </c>
      <c r="BF444">
        <v>-18.894600000000001</v>
      </c>
      <c r="BG444">
        <v>-28.364899999999999</v>
      </c>
      <c r="BH444">
        <v>57.17</v>
      </c>
    </row>
    <row r="445" spans="1:60" x14ac:dyDescent="0.25">
      <c r="A445" s="2">
        <v>45056</v>
      </c>
      <c r="B445">
        <v>24.4</v>
      </c>
      <c r="C445">
        <v>204.8</v>
      </c>
      <c r="D445">
        <v>22.3</v>
      </c>
      <c r="E445">
        <v>7.6</v>
      </c>
      <c r="F445">
        <v>221.62</v>
      </c>
      <c r="G445">
        <v>0.9</v>
      </c>
      <c r="H445">
        <v>3.5</v>
      </c>
      <c r="I445">
        <v>247.48740000000001</v>
      </c>
      <c r="J445">
        <v>88.831000000000003</v>
      </c>
      <c r="K445">
        <v>66.871300000000005</v>
      </c>
      <c r="L445">
        <v>2.5924999999999998</v>
      </c>
      <c r="M445">
        <v>27.400600000000001</v>
      </c>
      <c r="N445">
        <v>-14.318099999999999</v>
      </c>
      <c r="O445">
        <v>-27.033999999999999</v>
      </c>
      <c r="P445">
        <v>62.59</v>
      </c>
      <c r="S445">
        <f t="shared" si="135"/>
        <v>918.30280000000005</v>
      </c>
      <c r="T445">
        <f t="shared" si="136"/>
        <v>2.2874145793618014E-2</v>
      </c>
      <c r="U445">
        <f t="shared" si="137"/>
        <v>0.19199283026774466</v>
      </c>
      <c r="V445">
        <f t="shared" si="138"/>
        <v>2.09054693113804E-2</v>
      </c>
      <c r="W445">
        <f t="shared" si="139"/>
        <v>7.1247339357170866E-3</v>
      </c>
      <c r="X445">
        <f t="shared" si="140"/>
        <v>0.20776099142547641</v>
      </c>
      <c r="Y445">
        <f t="shared" si="141"/>
        <v>8.4371849238754971E-4</v>
      </c>
      <c r="Z445">
        <f t="shared" si="142"/>
        <v>3.2811274703960268E-3</v>
      </c>
      <c r="AA445">
        <f t="shared" si="143"/>
        <v>0.23201077334768275</v>
      </c>
      <c r="AB445">
        <f t="shared" si="144"/>
        <v>8.3275952663642697E-2</v>
      </c>
      <c r="AC445">
        <f t="shared" si="145"/>
        <v>6.2689502688883958E-2</v>
      </c>
      <c r="AD445">
        <f t="shared" si="146"/>
        <v>2.430377990571914E-3</v>
      </c>
      <c r="AE445">
        <f t="shared" si="147"/>
        <v>2.5687103247238104E-2</v>
      </c>
      <c r="AG445">
        <f t="shared" si="148"/>
        <v>-0.4245862125329028</v>
      </c>
      <c r="AH445">
        <f t="shared" si="149"/>
        <v>0.48047011994395827</v>
      </c>
      <c r="AI445">
        <f t="shared" si="150"/>
        <v>1.874274655891649</v>
      </c>
      <c r="AK445" s="26">
        <f t="shared" si="151"/>
        <v>6.603554737788464E-2</v>
      </c>
      <c r="AL445" s="26">
        <f t="shared" si="152"/>
        <v>2.6898726688820429E-2</v>
      </c>
      <c r="AM445" s="26">
        <f t="shared" si="153"/>
        <v>-4.2604821721391462E-3</v>
      </c>
      <c r="AN445" s="26">
        <f t="shared" si="154"/>
        <v>17.862698412698421</v>
      </c>
      <c r="AO445" s="26">
        <f t="shared" si="155"/>
        <v>18.199608433734952</v>
      </c>
      <c r="AP445" s="26">
        <f t="shared" si="156"/>
        <v>18.358183083427448</v>
      </c>
      <c r="AS445" s="2">
        <v>45035</v>
      </c>
      <c r="AT445">
        <v>14.4</v>
      </c>
      <c r="AU445">
        <v>0.9</v>
      </c>
      <c r="AV445">
        <v>23.8</v>
      </c>
      <c r="AW445">
        <v>16.600000000000001</v>
      </c>
      <c r="AX445">
        <v>202.69</v>
      </c>
      <c r="AY445">
        <v>0.5</v>
      </c>
      <c r="AZ445">
        <v>2.1</v>
      </c>
      <c r="BA445">
        <v>202.0804</v>
      </c>
      <c r="BB445">
        <v>109.76139999999999</v>
      </c>
      <c r="BC445">
        <v>65.637100000000004</v>
      </c>
      <c r="BD445">
        <v>2.6511</v>
      </c>
      <c r="BE445">
        <v>25.569099999999999</v>
      </c>
      <c r="BF445">
        <v>-17.853300000000001</v>
      </c>
      <c r="BG445">
        <v>-27.585699999999999</v>
      </c>
      <c r="BH445">
        <v>57.02</v>
      </c>
    </row>
    <row r="446" spans="1:60" x14ac:dyDescent="0.25">
      <c r="A446" s="2">
        <v>45055</v>
      </c>
      <c r="B446">
        <v>24.1</v>
      </c>
      <c r="C446">
        <v>72.099999999999994</v>
      </c>
      <c r="D446">
        <v>25.6</v>
      </c>
      <c r="E446">
        <v>14.1</v>
      </c>
      <c r="F446">
        <v>277.42</v>
      </c>
      <c r="G446">
        <v>0.8</v>
      </c>
      <c r="H446">
        <v>3.5</v>
      </c>
      <c r="I446">
        <v>184.20400000000001</v>
      </c>
      <c r="J446">
        <v>93.3416</v>
      </c>
      <c r="K446">
        <v>72.351500000000001</v>
      </c>
      <c r="L446">
        <v>2.6120999999999999</v>
      </c>
      <c r="M446">
        <v>25.444099999999999</v>
      </c>
      <c r="N446">
        <v>-15.207000000000001</v>
      </c>
      <c r="O446">
        <v>-27.005299999999998</v>
      </c>
      <c r="P446">
        <v>62.37</v>
      </c>
      <c r="S446">
        <f t="shared" si="135"/>
        <v>795.57330000000013</v>
      </c>
      <c r="T446">
        <f t="shared" si="136"/>
        <v>2.2592906296155499E-2</v>
      </c>
      <c r="U446">
        <f t="shared" si="137"/>
        <v>6.7591225890158146E-2</v>
      </c>
      <c r="V446">
        <f t="shared" si="138"/>
        <v>2.3999103783468083E-2</v>
      </c>
      <c r="W446">
        <f t="shared" si="139"/>
        <v>1.3218256380738279E-2</v>
      </c>
      <c r="X446">
        <f t="shared" si="140"/>
        <v>0.26007153795350452</v>
      </c>
      <c r="Y446">
        <f t="shared" si="141"/>
        <v>7.4997199323337759E-4</v>
      </c>
      <c r="Z446">
        <f t="shared" si="142"/>
        <v>3.2811274703960268E-3</v>
      </c>
      <c r="AA446">
        <f t="shared" si="143"/>
        <v>0.17268480130195135</v>
      </c>
      <c r="AB446">
        <f t="shared" si="144"/>
        <v>8.7504482254490784E-2</v>
      </c>
      <c r="AC446">
        <f t="shared" si="145"/>
        <v>6.7826998335530894E-2</v>
      </c>
      <c r="AD446">
        <f t="shared" si="146"/>
        <v>2.4487523044061316E-3</v>
      </c>
      <c r="AE446">
        <f t="shared" si="147"/>
        <v>2.3852952991286726E-2</v>
      </c>
      <c r="AG446">
        <f t="shared" si="148"/>
        <v>-0.43156439154748794</v>
      </c>
      <c r="AH446">
        <f t="shared" si="149"/>
        <v>0.41535708275894068</v>
      </c>
      <c r="AI446">
        <f t="shared" si="150"/>
        <v>1.3781472573154361</v>
      </c>
      <c r="AK446" s="26">
        <f t="shared" si="151"/>
        <v>5.8819144246391453E-2</v>
      </c>
      <c r="AL446" s="26">
        <f t="shared" si="152"/>
        <v>2.5002743456606524E-2</v>
      </c>
      <c r="AM446" s="26">
        <f t="shared" si="153"/>
        <v>-5.7992354958668613E-3</v>
      </c>
      <c r="AN446" s="26">
        <f t="shared" si="154"/>
        <v>17.874126984126988</v>
      </c>
      <c r="AO446" s="26">
        <f t="shared" si="155"/>
        <v>18.20103485370052</v>
      </c>
      <c r="AP446" s="26">
        <f t="shared" si="156"/>
        <v>18.362520154407726</v>
      </c>
      <c r="AS446" s="2">
        <v>45034</v>
      </c>
      <c r="AT446">
        <v>15.1</v>
      </c>
      <c r="AU446">
        <v>63.9</v>
      </c>
      <c r="AV446">
        <v>32.700000000000003</v>
      </c>
      <c r="AW446">
        <v>7.1</v>
      </c>
      <c r="AX446">
        <v>146.44999999999999</v>
      </c>
      <c r="AY446">
        <v>0.5</v>
      </c>
      <c r="AZ446">
        <v>2.6</v>
      </c>
      <c r="BA446">
        <v>271.6678</v>
      </c>
      <c r="BB446">
        <v>108.7021</v>
      </c>
      <c r="BC446">
        <v>81.053200000000004</v>
      </c>
      <c r="BD446">
        <v>2.6335999999999999</v>
      </c>
      <c r="BE446">
        <v>28.699200000000001</v>
      </c>
      <c r="BF446">
        <v>-22.223800000000001</v>
      </c>
      <c r="BG446">
        <v>-26.713000000000001</v>
      </c>
      <c r="BH446">
        <v>56.85</v>
      </c>
    </row>
    <row r="447" spans="1:60" x14ac:dyDescent="0.25">
      <c r="A447" s="2">
        <v>45054</v>
      </c>
      <c r="B447">
        <v>24</v>
      </c>
      <c r="C447">
        <v>39</v>
      </c>
      <c r="D447">
        <v>35.700000000000003</v>
      </c>
      <c r="E447">
        <v>10.5</v>
      </c>
      <c r="F447">
        <v>237.43</v>
      </c>
      <c r="G447">
        <v>0.9</v>
      </c>
      <c r="H447">
        <v>3.6</v>
      </c>
      <c r="I447">
        <v>198.39859999999999</v>
      </c>
      <c r="J447">
        <v>63.794699999999999</v>
      </c>
      <c r="K447">
        <v>74.466300000000004</v>
      </c>
      <c r="L447">
        <v>2.7557</v>
      </c>
      <c r="M447">
        <v>36.654400000000003</v>
      </c>
      <c r="N447">
        <v>-15.5892</v>
      </c>
      <c r="O447">
        <v>-25.434699999999999</v>
      </c>
      <c r="P447">
        <v>62.16</v>
      </c>
      <c r="S447">
        <f t="shared" si="135"/>
        <v>727.19970000000012</v>
      </c>
      <c r="T447">
        <f t="shared" si="136"/>
        <v>2.2499159797001327E-2</v>
      </c>
      <c r="U447">
        <f t="shared" si="137"/>
        <v>3.6561134670127157E-2</v>
      </c>
      <c r="V447">
        <f t="shared" si="138"/>
        <v>3.3467500198039478E-2</v>
      </c>
      <c r="W447">
        <f t="shared" si="139"/>
        <v>9.8433824111880796E-3</v>
      </c>
      <c r="X447">
        <f t="shared" si="140"/>
        <v>0.22258231294175104</v>
      </c>
      <c r="Y447">
        <f t="shared" si="141"/>
        <v>8.4371849238754971E-4</v>
      </c>
      <c r="Z447">
        <f t="shared" si="142"/>
        <v>3.3748739695501988E-3</v>
      </c>
      <c r="AA447">
        <f t="shared" si="143"/>
        <v>0.18599174187088946</v>
      </c>
      <c r="AB447">
        <f t="shared" si="144"/>
        <v>5.9805297895906682E-2</v>
      </c>
      <c r="AC447">
        <f t="shared" si="145"/>
        <v>6.9809549299643336E-2</v>
      </c>
      <c r="AD447">
        <f t="shared" si="146"/>
        <v>2.5833722771915232E-3</v>
      </c>
      <c r="AE447">
        <f t="shared" si="147"/>
        <v>3.4362216785966897E-2</v>
      </c>
      <c r="AG447">
        <f t="shared" si="148"/>
        <v>-0.43804469069725455</v>
      </c>
      <c r="AH447">
        <f t="shared" si="149"/>
        <v>0.36353429926601177</v>
      </c>
      <c r="AI447">
        <f t="shared" si="150"/>
        <v>0.9772658163837834</v>
      </c>
      <c r="AK447" s="26">
        <f t="shared" si="151"/>
        <v>5.3873248587539668E-2</v>
      </c>
      <c r="AL447" s="26">
        <f t="shared" si="152"/>
        <v>2.1896345443031318E-2</v>
      </c>
      <c r="AM447" s="26">
        <f t="shared" si="153"/>
        <v>-7.1669372256317476E-3</v>
      </c>
      <c r="AN447" s="26">
        <f t="shared" si="154"/>
        <v>17.879206349206349</v>
      </c>
      <c r="AO447" s="26">
        <f t="shared" si="155"/>
        <v>18.200008605851977</v>
      </c>
      <c r="AP447" s="26">
        <f t="shared" si="156"/>
        <v>18.363556366692066</v>
      </c>
      <c r="AS447" s="2">
        <v>45033</v>
      </c>
      <c r="AT447">
        <v>17.100000000000001</v>
      </c>
      <c r="AU447">
        <v>1.3</v>
      </c>
      <c r="AV447">
        <v>14.4</v>
      </c>
      <c r="AW447">
        <v>6</v>
      </c>
      <c r="AX447">
        <v>164.42</v>
      </c>
      <c r="AY447">
        <v>0.4</v>
      </c>
      <c r="AZ447">
        <v>3</v>
      </c>
      <c r="BA447">
        <v>266.60939999999999</v>
      </c>
      <c r="BB447">
        <v>108.1536</v>
      </c>
      <c r="BC447">
        <v>112.4799</v>
      </c>
      <c r="BD447">
        <v>3.1021000000000001</v>
      </c>
      <c r="BE447">
        <v>35.702300000000001</v>
      </c>
      <c r="BF447">
        <v>-20.063300000000002</v>
      </c>
      <c r="BG447">
        <v>-26.203399999999998</v>
      </c>
      <c r="BH447">
        <v>56.71</v>
      </c>
    </row>
    <row r="448" spans="1:60" x14ac:dyDescent="0.25">
      <c r="A448" s="2">
        <v>45053</v>
      </c>
      <c r="B448">
        <v>23.6</v>
      </c>
      <c r="C448">
        <v>159.6</v>
      </c>
      <c r="D448">
        <v>68.3</v>
      </c>
      <c r="E448">
        <v>10.7</v>
      </c>
      <c r="F448">
        <v>232.62</v>
      </c>
      <c r="G448">
        <v>0.9</v>
      </c>
      <c r="H448">
        <v>3.4</v>
      </c>
      <c r="I448">
        <v>160.94649999999999</v>
      </c>
      <c r="J448">
        <v>33.5229</v>
      </c>
      <c r="K448">
        <v>47.041600000000003</v>
      </c>
      <c r="L448">
        <v>2.5933000000000002</v>
      </c>
      <c r="M448">
        <v>11.4566</v>
      </c>
      <c r="P448">
        <v>61.87</v>
      </c>
      <c r="S448">
        <f t="shared" si="135"/>
        <v>754.68089999999995</v>
      </c>
      <c r="T448">
        <f t="shared" si="136"/>
        <v>2.2124173800384637E-2</v>
      </c>
      <c r="U448">
        <f t="shared" si="137"/>
        <v>0.14961941265005882</v>
      </c>
      <c r="V448">
        <f t="shared" si="138"/>
        <v>6.4028858922299606E-2</v>
      </c>
      <c r="W448">
        <f t="shared" si="139"/>
        <v>1.0030875409496424E-2</v>
      </c>
      <c r="X448">
        <f t="shared" si="140"/>
        <v>0.21807310633243535</v>
      </c>
      <c r="Y448">
        <f t="shared" si="141"/>
        <v>8.4371849238754971E-4</v>
      </c>
      <c r="Z448">
        <f t="shared" si="142"/>
        <v>3.1873809712418544E-3</v>
      </c>
      <c r="AA448">
        <f t="shared" si="143"/>
        <v>0.15088170926116973</v>
      </c>
      <c r="AB448">
        <f t="shared" si="144"/>
        <v>3.1426545164953988E-2</v>
      </c>
      <c r="AC448">
        <f t="shared" si="145"/>
        <v>4.4099853146109071E-2</v>
      </c>
      <c r="AD448">
        <f t="shared" si="146"/>
        <v>2.4311279625651478E-3</v>
      </c>
      <c r="AE448">
        <f t="shared" si="147"/>
        <v>1.0740161422096892E-2</v>
      </c>
      <c r="AG448">
        <f t="shared" si="148"/>
        <v>-0.44824570657561075</v>
      </c>
      <c r="AH448">
        <f t="shared" si="149"/>
        <v>0.47864768800040114</v>
      </c>
      <c r="AI448">
        <f t="shared" si="150"/>
        <v>1.8634787356522207</v>
      </c>
      <c r="AK448" s="26">
        <f t="shared" si="151"/>
        <v>4.8816117499302591E-2</v>
      </c>
      <c r="AL448" s="26">
        <f t="shared" si="152"/>
        <v>2.031297536186355E-2</v>
      </c>
      <c r="AM448" s="26">
        <f t="shared" si="153"/>
        <v>-7.9676518471325786E-3</v>
      </c>
      <c r="AN448" s="26">
        <f t="shared" si="154"/>
        <v>17.88031746031745</v>
      </c>
      <c r="AO448" s="26">
        <f t="shared" si="155"/>
        <v>18.196613597246127</v>
      </c>
      <c r="AP448" s="26">
        <f t="shared" si="156"/>
        <v>18.360761272025428</v>
      </c>
      <c r="AS448" s="2">
        <v>45032</v>
      </c>
      <c r="AT448">
        <v>16</v>
      </c>
      <c r="AU448">
        <v>59.6</v>
      </c>
      <c r="AV448">
        <v>13.8</v>
      </c>
      <c r="AW448">
        <v>5</v>
      </c>
      <c r="AX448">
        <v>95.23</v>
      </c>
      <c r="AY448">
        <v>0.5</v>
      </c>
      <c r="AZ448">
        <v>3.1</v>
      </c>
      <c r="BA448">
        <v>241.44370000000001</v>
      </c>
      <c r="BB448">
        <v>56.537300000000002</v>
      </c>
      <c r="BC448">
        <v>65.859300000000005</v>
      </c>
      <c r="BD448">
        <v>3.0436000000000001</v>
      </c>
      <c r="BE448">
        <v>18.8017</v>
      </c>
      <c r="BH448">
        <v>56.6</v>
      </c>
    </row>
    <row r="449" spans="1:60" x14ac:dyDescent="0.25">
      <c r="A449" s="2">
        <v>45052</v>
      </c>
      <c r="B449">
        <v>23.4</v>
      </c>
      <c r="C449">
        <v>29.5</v>
      </c>
      <c r="D449">
        <v>49.8</v>
      </c>
      <c r="E449">
        <v>7.5</v>
      </c>
      <c r="F449">
        <v>213.62</v>
      </c>
      <c r="G449">
        <v>0.9</v>
      </c>
      <c r="H449">
        <v>3.6</v>
      </c>
      <c r="I449">
        <v>210.624</v>
      </c>
      <c r="J449">
        <v>33.564300000000003</v>
      </c>
      <c r="K449">
        <v>50.399900000000002</v>
      </c>
      <c r="L449">
        <v>2.5821000000000001</v>
      </c>
      <c r="M449">
        <v>22.302499999999998</v>
      </c>
      <c r="P449">
        <v>61.51</v>
      </c>
      <c r="S449">
        <f t="shared" si="135"/>
        <v>647.79279999999994</v>
      </c>
      <c r="T449">
        <f t="shared" si="136"/>
        <v>2.1936680802076291E-2</v>
      </c>
      <c r="U449">
        <f t="shared" si="137"/>
        <v>2.7655217250480795E-2</v>
      </c>
      <c r="V449">
        <f t="shared" si="138"/>
        <v>4.668575657877775E-2</v>
      </c>
      <c r="W449">
        <f t="shared" si="139"/>
        <v>7.0309874365629141E-3</v>
      </c>
      <c r="X449">
        <f t="shared" si="140"/>
        <v>0.20026127149314263</v>
      </c>
      <c r="Y449">
        <f t="shared" si="141"/>
        <v>8.4371849238754971E-4</v>
      </c>
      <c r="Z449">
        <f t="shared" si="142"/>
        <v>3.3748739695501988E-3</v>
      </c>
      <c r="AA449">
        <f t="shared" si="143"/>
        <v>0.19745262637848363</v>
      </c>
      <c r="AB449">
        <f t="shared" si="144"/>
        <v>3.1465356215603819E-2</v>
      </c>
      <c r="AC449">
        <f t="shared" si="145"/>
        <v>4.7248141827203632E-2</v>
      </c>
      <c r="AD449">
        <f t="shared" si="146"/>
        <v>2.4206283546598802E-3</v>
      </c>
      <c r="AE449">
        <f t="shared" si="147"/>
        <v>2.0907812973859251E-2</v>
      </c>
      <c r="AG449">
        <f t="shared" si="148"/>
        <v>-0.46169633797833315</v>
      </c>
      <c r="AH449">
        <f t="shared" si="149"/>
        <v>0.32869631899683738</v>
      </c>
      <c r="AI449">
        <f t="shared" si="150"/>
        <v>0.72148446473636052</v>
      </c>
      <c r="AK449" s="26">
        <f t="shared" si="151"/>
        <v>3.5325259691381006E-2</v>
      </c>
      <c r="AL449" s="26">
        <f t="shared" si="152"/>
        <v>1.4301211945463077E-2</v>
      </c>
      <c r="AM449" s="26">
        <f t="shared" si="153"/>
        <v>-1.1032877572725086E-2</v>
      </c>
      <c r="AN449" s="26">
        <f t="shared" si="154"/>
        <v>17.884761904761895</v>
      </c>
      <c r="AO449" s="26">
        <f t="shared" si="155"/>
        <v>18.191568416523239</v>
      </c>
      <c r="AP449" s="26">
        <f t="shared" si="156"/>
        <v>18.35316246947297</v>
      </c>
      <c r="AS449" s="2">
        <v>45031</v>
      </c>
      <c r="AT449">
        <v>15.5</v>
      </c>
      <c r="AU449">
        <v>2.1</v>
      </c>
      <c r="AV449">
        <v>56.6</v>
      </c>
      <c r="AW449">
        <v>8.1</v>
      </c>
      <c r="AX449">
        <v>94.27</v>
      </c>
      <c r="AY449">
        <v>0.5</v>
      </c>
      <c r="AZ449">
        <v>3.1</v>
      </c>
      <c r="BA449">
        <v>228.20099999999999</v>
      </c>
      <c r="BB449">
        <v>51.042200000000001</v>
      </c>
      <c r="BC449">
        <v>72.805599999999998</v>
      </c>
      <c r="BD449">
        <v>2.948</v>
      </c>
      <c r="BE449">
        <v>13.7043</v>
      </c>
      <c r="BH449">
        <v>56.38</v>
      </c>
    </row>
    <row r="450" spans="1:60" x14ac:dyDescent="0.25">
      <c r="A450" s="2">
        <v>45051</v>
      </c>
      <c r="B450">
        <v>22.2</v>
      </c>
      <c r="C450">
        <v>239.8</v>
      </c>
      <c r="D450">
        <v>53.9</v>
      </c>
      <c r="E450">
        <v>14.2</v>
      </c>
      <c r="F450">
        <v>243.08</v>
      </c>
      <c r="G450">
        <v>0.9</v>
      </c>
      <c r="H450">
        <v>3.6</v>
      </c>
      <c r="I450">
        <v>204.28200000000001</v>
      </c>
      <c r="J450">
        <v>51.633600000000001</v>
      </c>
      <c r="K450">
        <v>83.522499999999994</v>
      </c>
      <c r="L450">
        <v>2.2965</v>
      </c>
      <c r="M450">
        <v>29.541799999999999</v>
      </c>
      <c r="N450">
        <v>-15.837400000000001</v>
      </c>
      <c r="O450">
        <v>-26.113499999999998</v>
      </c>
      <c r="P450">
        <v>61.15</v>
      </c>
      <c r="S450">
        <f t="shared" ref="S450:S513" si="157">SUM(B450:M450)</f>
        <v>948.95640000000003</v>
      </c>
      <c r="T450">
        <f t="shared" si="136"/>
        <v>2.0811722812226225E-2</v>
      </c>
      <c r="U450">
        <f t="shared" si="137"/>
        <v>0.22480410497170492</v>
      </c>
      <c r="V450">
        <f t="shared" si="138"/>
        <v>5.0529363044098809E-2</v>
      </c>
      <c r="W450">
        <f t="shared" si="139"/>
        <v>1.331200287989245E-2</v>
      </c>
      <c r="X450">
        <f t="shared" si="140"/>
        <v>0.22787899014396176</v>
      </c>
      <c r="Y450">
        <f t="shared" si="141"/>
        <v>8.4371849238754971E-4</v>
      </c>
      <c r="Z450">
        <f t="shared" si="142"/>
        <v>3.3748739695501988E-3</v>
      </c>
      <c r="AA450">
        <f t="shared" si="143"/>
        <v>0.19150722340212606</v>
      </c>
      <c r="AB450">
        <f t="shared" si="144"/>
        <v>4.8404692387268654E-2</v>
      </c>
      <c r="AC450">
        <f t="shared" si="145"/>
        <v>7.8299419756043459E-2</v>
      </c>
      <c r="AD450">
        <f t="shared" si="146"/>
        <v>2.1528883530755644E-3</v>
      </c>
      <c r="AE450">
        <f t="shared" si="147"/>
        <v>2.7694403287127238E-2</v>
      </c>
      <c r="AG450">
        <f t="shared" si="148"/>
        <v>-0.4751189913018336</v>
      </c>
      <c r="AH450">
        <f t="shared" si="149"/>
        <v>0.56924917960094912</v>
      </c>
      <c r="AI450">
        <f t="shared" si="150"/>
        <v>2.5810276373391896</v>
      </c>
      <c r="AK450" s="26">
        <f t="shared" si="151"/>
        <v>3.3029949573535056E-2</v>
      </c>
      <c r="AL450" s="26">
        <f t="shared" si="152"/>
        <v>1.3377747957265484E-2</v>
      </c>
      <c r="AM450" s="26">
        <f t="shared" si="153"/>
        <v>-1.175778204355768E-2</v>
      </c>
      <c r="AN450" s="26">
        <f t="shared" si="154"/>
        <v>17.89079365079364</v>
      </c>
      <c r="AO450" s="26">
        <f t="shared" si="155"/>
        <v>18.19008820998279</v>
      </c>
      <c r="AP450" s="26">
        <f t="shared" si="156"/>
        <v>18.338650508127415</v>
      </c>
      <c r="AS450" s="2">
        <v>45030</v>
      </c>
      <c r="AT450">
        <v>15.7</v>
      </c>
      <c r="AU450">
        <v>0.8</v>
      </c>
      <c r="AV450">
        <v>31.5</v>
      </c>
      <c r="AW450">
        <v>3.2</v>
      </c>
      <c r="AX450">
        <v>170.31</v>
      </c>
      <c r="AY450">
        <v>0.5</v>
      </c>
      <c r="AZ450">
        <v>3.2</v>
      </c>
      <c r="BA450">
        <v>275.95370000000003</v>
      </c>
      <c r="BB450">
        <v>110.7931</v>
      </c>
      <c r="BC450">
        <v>118.9962</v>
      </c>
      <c r="BD450">
        <v>2.9460000000000002</v>
      </c>
      <c r="BE450">
        <v>30.3325</v>
      </c>
      <c r="BF450">
        <v>-17.155000000000001</v>
      </c>
      <c r="BG450">
        <v>-23.137</v>
      </c>
      <c r="BH450">
        <v>56.27</v>
      </c>
    </row>
    <row r="451" spans="1:60" x14ac:dyDescent="0.25">
      <c r="A451" s="2">
        <v>45050</v>
      </c>
      <c r="B451">
        <v>22.7</v>
      </c>
      <c r="C451">
        <v>31.8</v>
      </c>
      <c r="D451">
        <v>32.5</v>
      </c>
      <c r="E451">
        <v>6.3</v>
      </c>
      <c r="F451">
        <v>326.73</v>
      </c>
      <c r="G451">
        <v>0.9</v>
      </c>
      <c r="H451">
        <v>3.5</v>
      </c>
      <c r="I451">
        <v>215.9778</v>
      </c>
      <c r="J451">
        <v>26.8752</v>
      </c>
      <c r="K451">
        <v>70.753200000000007</v>
      </c>
      <c r="L451">
        <v>2.6389999999999998</v>
      </c>
      <c r="M451">
        <v>28.388400000000001</v>
      </c>
      <c r="N451">
        <v>-15.786300000000001</v>
      </c>
      <c r="O451">
        <v>-27.668299999999999</v>
      </c>
      <c r="P451">
        <v>60.85</v>
      </c>
      <c r="S451">
        <f t="shared" si="157"/>
        <v>769.06359999999995</v>
      </c>
      <c r="T451">
        <f t="shared" si="136"/>
        <v>2.1280455307997086E-2</v>
      </c>
      <c r="U451">
        <f t="shared" si="137"/>
        <v>2.9811386731026759E-2</v>
      </c>
      <c r="V451">
        <f t="shared" si="138"/>
        <v>3.0467612225105963E-2</v>
      </c>
      <c r="W451">
        <f t="shared" si="139"/>
        <v>5.9060294467128483E-3</v>
      </c>
      <c r="X451">
        <f t="shared" si="140"/>
        <v>0.3062979366864268</v>
      </c>
      <c r="Y451">
        <f t="shared" si="141"/>
        <v>8.4371849238754971E-4</v>
      </c>
      <c r="Z451">
        <f t="shared" si="142"/>
        <v>3.2811274703960268E-3</v>
      </c>
      <c r="AA451">
        <f t="shared" si="143"/>
        <v>0.2024716264501997</v>
      </c>
      <c r="AB451">
        <f t="shared" si="144"/>
        <v>2.5194559140682086E-2</v>
      </c>
      <c r="AC451">
        <f t="shared" si="145"/>
        <v>6.632864803954977E-2</v>
      </c>
      <c r="AD451">
        <f t="shared" si="146"/>
        <v>2.4739701126786041E-3</v>
      </c>
      <c r="AE451">
        <f t="shared" si="147"/>
        <v>2.6613131165883017E-2</v>
      </c>
      <c r="AG451">
        <f t="shared" si="148"/>
        <v>-0.4857140466738249</v>
      </c>
      <c r="AH451">
        <f t="shared" si="149"/>
        <v>0.42450139752593613</v>
      </c>
      <c r="AI451">
        <f t="shared" si="150"/>
        <v>1.4776736331339968</v>
      </c>
      <c r="AK451" s="26">
        <f t="shared" si="151"/>
        <v>1.7167741332636044E-2</v>
      </c>
      <c r="AL451" s="26">
        <f t="shared" si="152"/>
        <v>6.7250233285782168E-3</v>
      </c>
      <c r="AM451" s="26">
        <f t="shared" si="153"/>
        <v>-1.522036090845541E-2</v>
      </c>
      <c r="AN451" s="26">
        <f t="shared" si="154"/>
        <v>17.906666666666659</v>
      </c>
      <c r="AO451" s="26">
        <f t="shared" si="155"/>
        <v>18.192035283993114</v>
      </c>
      <c r="AP451" s="26">
        <f t="shared" si="156"/>
        <v>18.324403770909385</v>
      </c>
      <c r="AS451" s="2">
        <v>45029</v>
      </c>
      <c r="AT451">
        <v>13.6</v>
      </c>
      <c r="AU451">
        <v>3.2</v>
      </c>
      <c r="AV451">
        <v>63.5</v>
      </c>
      <c r="AW451">
        <v>11.6</v>
      </c>
      <c r="AX451">
        <v>160.76</v>
      </c>
      <c r="AY451">
        <v>0.5</v>
      </c>
      <c r="AZ451">
        <v>3.1</v>
      </c>
      <c r="BA451">
        <v>224.2911</v>
      </c>
      <c r="BB451">
        <v>71.578299999999999</v>
      </c>
      <c r="BC451">
        <v>81.213300000000004</v>
      </c>
      <c r="BD451">
        <v>2.9531999999999998</v>
      </c>
      <c r="BE451">
        <v>25.083500000000001</v>
      </c>
      <c r="BF451">
        <v>-18.806699999999999</v>
      </c>
      <c r="BG451">
        <v>-23.0746</v>
      </c>
      <c r="BH451">
        <v>56.27</v>
      </c>
    </row>
    <row r="452" spans="1:60" x14ac:dyDescent="0.25">
      <c r="A452" s="2">
        <v>45049</v>
      </c>
      <c r="B452">
        <v>22.8</v>
      </c>
      <c r="C452">
        <v>33.299999999999997</v>
      </c>
      <c r="D452">
        <v>8.4</v>
      </c>
      <c r="E452">
        <v>2.8</v>
      </c>
      <c r="F452">
        <v>312.2</v>
      </c>
      <c r="G452">
        <v>0.4</v>
      </c>
      <c r="H452">
        <v>3.5</v>
      </c>
      <c r="I452">
        <v>232.94800000000001</v>
      </c>
      <c r="J452">
        <v>33.212600000000002</v>
      </c>
      <c r="K452">
        <v>83.578299999999999</v>
      </c>
      <c r="L452">
        <v>2.6755</v>
      </c>
      <c r="M452">
        <v>27.778300000000002</v>
      </c>
      <c r="N452">
        <v>-15.741300000000001</v>
      </c>
      <c r="O452">
        <v>-26.6433</v>
      </c>
      <c r="P452">
        <v>60.66</v>
      </c>
      <c r="S452">
        <f t="shared" si="157"/>
        <v>763.59269999999992</v>
      </c>
      <c r="T452">
        <f t="shared" si="136"/>
        <v>2.1374201807151261E-2</v>
      </c>
      <c r="U452">
        <f t="shared" si="137"/>
        <v>3.1217584218339336E-2</v>
      </c>
      <c r="V452">
        <f t="shared" si="138"/>
        <v>7.8747059289504644E-3</v>
      </c>
      <c r="W452">
        <f t="shared" si="139"/>
        <v>2.624901976316821E-3</v>
      </c>
      <c r="X452">
        <f t="shared" si="140"/>
        <v>0.29267657035932559</v>
      </c>
      <c r="Y452">
        <f t="shared" si="141"/>
        <v>3.7498599661668879E-4</v>
      </c>
      <c r="Z452">
        <f t="shared" si="142"/>
        <v>3.2811274703960268E-3</v>
      </c>
      <c r="AA452">
        <f t="shared" si="143"/>
        <v>0.21838059484966105</v>
      </c>
      <c r="AB452">
        <f t="shared" si="144"/>
        <v>3.1135649778078596E-2</v>
      </c>
      <c r="AC452">
        <f t="shared" si="145"/>
        <v>7.835173030257149E-2</v>
      </c>
      <c r="AD452">
        <f t="shared" si="146"/>
        <v>2.5081875848698768E-3</v>
      </c>
      <c r="AE452">
        <f t="shared" si="147"/>
        <v>2.6041183774543415E-2</v>
      </c>
      <c r="AG452">
        <f t="shared" si="148"/>
        <v>-0.49113453711118171</v>
      </c>
      <c r="AH452">
        <f t="shared" si="149"/>
        <v>0.38546526153163962</v>
      </c>
      <c r="AI452">
        <f t="shared" si="150"/>
        <v>1.1752176575496951</v>
      </c>
      <c r="AK452" s="26">
        <f t="shared" si="151"/>
        <v>1.0282459764393348E-2</v>
      </c>
      <c r="AL452" s="26">
        <f t="shared" si="152"/>
        <v>3.6067417562515303E-3</v>
      </c>
      <c r="AM452" s="26">
        <f t="shared" si="153"/>
        <v>-1.7006002504800943E-2</v>
      </c>
      <c r="AN452" s="26">
        <f t="shared" si="154"/>
        <v>17.922698412698402</v>
      </c>
      <c r="AO452" s="26">
        <f t="shared" si="155"/>
        <v>18.194578313253011</v>
      </c>
      <c r="AP452" s="26">
        <f t="shared" si="156"/>
        <v>18.305887450434597</v>
      </c>
      <c r="AS452" s="2">
        <v>45028</v>
      </c>
      <c r="AT452">
        <v>11.8</v>
      </c>
      <c r="AU452">
        <v>20.100000000000001</v>
      </c>
      <c r="AV452">
        <v>36.1</v>
      </c>
      <c r="AW452">
        <v>14.3</v>
      </c>
      <c r="AX452">
        <v>134.06</v>
      </c>
      <c r="AY452">
        <v>0.5</v>
      </c>
      <c r="AZ452">
        <v>3.1</v>
      </c>
      <c r="BA452">
        <v>203.65289999999999</v>
      </c>
      <c r="BB452">
        <v>65.864199999999997</v>
      </c>
      <c r="BC452">
        <v>83.996499999999997</v>
      </c>
      <c r="BD452">
        <v>2.7035999999999998</v>
      </c>
      <c r="BE452">
        <v>27.989699999999999</v>
      </c>
      <c r="BF452">
        <v>-18.109500000000001</v>
      </c>
      <c r="BG452">
        <v>-22.7498</v>
      </c>
      <c r="BH452">
        <v>56.19</v>
      </c>
    </row>
    <row r="453" spans="1:60" x14ac:dyDescent="0.25">
      <c r="A453" s="2">
        <v>45048</v>
      </c>
      <c r="B453">
        <v>21.9</v>
      </c>
      <c r="C453">
        <v>24.3</v>
      </c>
      <c r="D453">
        <v>43.1</v>
      </c>
      <c r="E453">
        <v>10.6</v>
      </c>
      <c r="F453">
        <v>188.2</v>
      </c>
      <c r="G453">
        <v>0.3</v>
      </c>
      <c r="H453">
        <v>3.2</v>
      </c>
      <c r="I453">
        <v>227.429</v>
      </c>
      <c r="J453">
        <v>31.3385</v>
      </c>
      <c r="K453">
        <v>72.678600000000003</v>
      </c>
      <c r="L453">
        <v>2.5838999999999999</v>
      </c>
      <c r="M453">
        <v>32.851700000000001</v>
      </c>
      <c r="N453">
        <v>-16.6722</v>
      </c>
      <c r="O453">
        <v>-30.4224</v>
      </c>
      <c r="P453">
        <v>60.42</v>
      </c>
      <c r="S453">
        <f t="shared" si="157"/>
        <v>658.48169999999993</v>
      </c>
      <c r="T453">
        <f t="shared" ref="T453:T516" si="158">B453/$S$4</f>
        <v>2.0530483314763707E-2</v>
      </c>
      <c r="U453">
        <f t="shared" ref="U453:U516" si="159">C453/$S$4</f>
        <v>2.2780399294463842E-2</v>
      </c>
      <c r="V453">
        <f t="shared" ref="V453:V516" si="160">D453/$S$4</f>
        <v>4.0404741135448216E-2</v>
      </c>
      <c r="W453">
        <f t="shared" ref="W453:W516" si="161">E453/$S$4</f>
        <v>9.9371289103422512E-3</v>
      </c>
      <c r="X453">
        <f t="shared" ref="X453:X516" si="162">F453/$S$4</f>
        <v>0.17643091140815206</v>
      </c>
      <c r="Y453">
        <f t="shared" ref="Y453:Y516" si="163">G453/$S$4</f>
        <v>2.8123949746251657E-4</v>
      </c>
      <c r="Z453">
        <f t="shared" ref="Z453:Z516" si="164">H453/$S$4</f>
        <v>2.9998879729335104E-3</v>
      </c>
      <c r="AA453">
        <f t="shared" ref="AA453:AA516" si="165">I453/$S$4</f>
        <v>0.21320672556134226</v>
      </c>
      <c r="AB453">
        <f t="shared" ref="AB453:AB516" si="166">J453/$S$4</f>
        <v>2.9378746637430252E-2</v>
      </c>
      <c r="AC453">
        <f t="shared" ref="AC453:AC516" si="167">K453/$S$4</f>
        <v>6.8133643134264191E-2</v>
      </c>
      <c r="AD453">
        <f t="shared" ref="AD453:AD516" si="168">L453/$S$4</f>
        <v>2.4223157916446552E-3</v>
      </c>
      <c r="AE453">
        <f t="shared" ref="AE453:AE516" si="169">M453/$S$4</f>
        <v>3.0797318662631187E-2</v>
      </c>
      <c r="AG453">
        <f t="shared" ref="AG453:AG516" si="170">(P453-AVERAGE(P453:P817)) / _xlfn.STDEV.S(P453:P2280)</f>
        <v>-0.49886919355337989</v>
      </c>
      <c r="AH453">
        <f t="shared" ref="AH453:AH516" si="171">SUM(T453:Y453,Z453,AE453)</f>
        <v>0.30416211019619727</v>
      </c>
      <c r="AI453">
        <f t="shared" ref="AI453:AI516" si="172">(AH453-AVERAGE(AH453:AH817))/_xlfn.STDEV.S(AH453:AH817)</f>
        <v>0.54216803573219596</v>
      </c>
      <c r="AK453" s="26">
        <f t="shared" ref="AK453:AK516" si="173">AVERAGEA(AH453:AH473)-AVERAGE(AH819:AH839, AH1184:AH1204, AH1549:AH1569)</f>
        <v>-2.539693848783886E-3</v>
      </c>
      <c r="AL453" s="26">
        <f t="shared" ref="AL453:AL516" si="174">AVERAGEA(AH453:AH508)-AVERAGE(AH819:AH874, AH1184:AH1238, AH1549:AH1603)</f>
        <v>-1.0428249232030673E-5</v>
      </c>
      <c r="AM453" s="26">
        <f t="shared" ref="AM453:AM516" si="175">AVERAGEA(AH453:AH565)-AVERAGE(AH819:AH931,AH1184:AH1295,AH1549:AH1660)</f>
        <v>-1.9221983529463638E-2</v>
      </c>
      <c r="AN453" s="26">
        <f t="shared" ref="AN453:AN516" si="176">AVERAGEA(P453:P473)-AVERAGE(P819:P839, P1184:P1204, P1549:P1569)</f>
        <v>17.937460317460307</v>
      </c>
      <c r="AO453" s="26">
        <f t="shared" ref="AO453:AO516" si="177">AVERAGEA(P453:P508)-AVERAGE(P819:P874, P1184:P1238, P1549:P1603)</f>
        <v>18.195673407917383</v>
      </c>
      <c r="AP453" s="26">
        <f t="shared" ref="AP453:AP516" si="178">AVERAGEA(P453:P565)-AVERAGE(P819:P931,P1184:P1295,P1549:P1660)</f>
        <v>18.282806911583201</v>
      </c>
      <c r="AS453" s="2">
        <v>45027</v>
      </c>
      <c r="AT453">
        <v>11</v>
      </c>
      <c r="AU453">
        <v>3.1</v>
      </c>
      <c r="AV453">
        <v>63.2</v>
      </c>
      <c r="AW453">
        <v>14.6</v>
      </c>
      <c r="AX453">
        <v>176.65</v>
      </c>
      <c r="AY453">
        <v>0.5</v>
      </c>
      <c r="AZ453">
        <v>2.9</v>
      </c>
      <c r="BA453">
        <v>130.56880000000001</v>
      </c>
      <c r="BB453">
        <v>53.909300000000002</v>
      </c>
      <c r="BC453">
        <v>68.466800000000006</v>
      </c>
      <c r="BD453">
        <v>3.3999000000000001</v>
      </c>
      <c r="BE453">
        <v>49.424500000000002</v>
      </c>
      <c r="BF453">
        <v>-20.067499999999999</v>
      </c>
      <c r="BG453">
        <v>-24.043900000000001</v>
      </c>
      <c r="BH453">
        <v>56.11</v>
      </c>
    </row>
    <row r="454" spans="1:60" x14ac:dyDescent="0.25">
      <c r="A454" s="2">
        <v>45047</v>
      </c>
      <c r="B454">
        <v>21.6</v>
      </c>
      <c r="C454">
        <v>16.8</v>
      </c>
      <c r="D454">
        <v>19.600000000000001</v>
      </c>
      <c r="E454">
        <v>4.2</v>
      </c>
      <c r="F454">
        <v>229.11</v>
      </c>
      <c r="G454">
        <v>0.5</v>
      </c>
      <c r="H454">
        <v>3</v>
      </c>
      <c r="I454">
        <v>174.4633</v>
      </c>
      <c r="J454">
        <v>36.545200000000001</v>
      </c>
      <c r="K454">
        <v>36.732399999999998</v>
      </c>
      <c r="L454">
        <v>2.5922999999999998</v>
      </c>
      <c r="M454">
        <v>15.953799999999999</v>
      </c>
      <c r="N454">
        <v>-53.664900000000003</v>
      </c>
      <c r="O454">
        <v>-32.800899999999999</v>
      </c>
      <c r="P454">
        <v>60.21</v>
      </c>
      <c r="S454">
        <f t="shared" si="157"/>
        <v>561.09700000000009</v>
      </c>
      <c r="T454">
        <f t="shared" si="158"/>
        <v>2.0249243817301196E-2</v>
      </c>
      <c r="U454">
        <f t="shared" si="159"/>
        <v>1.5749411857900929E-2</v>
      </c>
      <c r="V454">
        <f t="shared" si="160"/>
        <v>1.837431383421775E-2</v>
      </c>
      <c r="W454">
        <f t="shared" si="161"/>
        <v>3.9373529644752322E-3</v>
      </c>
      <c r="X454">
        <f t="shared" si="162"/>
        <v>0.21478260421212392</v>
      </c>
      <c r="Y454">
        <f t="shared" si="163"/>
        <v>4.6873249577086097E-4</v>
      </c>
      <c r="Z454">
        <f t="shared" si="164"/>
        <v>2.8123949746251659E-3</v>
      </c>
      <c r="AA454">
        <f t="shared" si="165"/>
        <v>0.1635532360588409</v>
      </c>
      <c r="AB454">
        <f t="shared" si="166"/>
        <v>3.4259845608890539E-2</v>
      </c>
      <c r="AC454">
        <f t="shared" si="167"/>
        <v>3.4435339055307143E-2</v>
      </c>
      <c r="AD454">
        <f t="shared" si="168"/>
        <v>2.4301904975736056E-3</v>
      </c>
      <c r="AE454">
        <f t="shared" si="169"/>
        <v>1.4956128982058323E-2</v>
      </c>
      <c r="AG454">
        <f t="shared" si="170"/>
        <v>-0.50517458941395088</v>
      </c>
      <c r="AH454">
        <f t="shared" si="171"/>
        <v>0.29133018313847336</v>
      </c>
      <c r="AI454">
        <f t="shared" si="172"/>
        <v>0.44317945818730053</v>
      </c>
      <c r="AK454" s="26">
        <f t="shared" si="173"/>
        <v>-4.0010425503528291E-3</v>
      </c>
      <c r="AL454" s="26">
        <f t="shared" si="174"/>
        <v>-2.2482574855352544E-3</v>
      </c>
      <c r="AM454" s="26">
        <f t="shared" si="175"/>
        <v>-2.046208257169202E-2</v>
      </c>
      <c r="AN454" s="26">
        <f t="shared" si="176"/>
        <v>17.951904761904757</v>
      </c>
      <c r="AO454" s="26">
        <f t="shared" si="177"/>
        <v>18.19823580034425</v>
      </c>
      <c r="AP454" s="26">
        <f t="shared" si="178"/>
        <v>18.256318373992286</v>
      </c>
      <c r="AS454" s="2">
        <v>45026</v>
      </c>
      <c r="AT454">
        <v>11.3</v>
      </c>
      <c r="AU454">
        <v>2.2999999999999998</v>
      </c>
      <c r="AV454">
        <v>75</v>
      </c>
      <c r="AW454">
        <v>12.6</v>
      </c>
      <c r="AX454">
        <v>230.65</v>
      </c>
      <c r="AY454">
        <v>0.5</v>
      </c>
      <c r="AZ454">
        <v>3</v>
      </c>
      <c r="BA454">
        <v>106.7855</v>
      </c>
      <c r="BB454">
        <v>33.682299999999998</v>
      </c>
      <c r="BC454">
        <v>42.588799999999999</v>
      </c>
      <c r="BD454">
        <v>3.3986000000000001</v>
      </c>
      <c r="BE454">
        <v>12.052300000000001</v>
      </c>
      <c r="BF454">
        <v>-17.4039</v>
      </c>
      <c r="BG454">
        <v>-24.302</v>
      </c>
      <c r="BH454">
        <v>55.98</v>
      </c>
    </row>
    <row r="455" spans="1:60" x14ac:dyDescent="0.25">
      <c r="A455" s="2">
        <v>45046</v>
      </c>
      <c r="B455">
        <v>21.8</v>
      </c>
      <c r="C455">
        <v>20.8</v>
      </c>
      <c r="D455">
        <v>10.3</v>
      </c>
      <c r="E455">
        <v>3.1</v>
      </c>
      <c r="F455">
        <v>301.42</v>
      </c>
      <c r="G455">
        <v>0.5</v>
      </c>
      <c r="H455">
        <v>2.4</v>
      </c>
      <c r="I455">
        <v>170.512</v>
      </c>
      <c r="J455">
        <v>40.434100000000001</v>
      </c>
      <c r="K455">
        <v>44.488700000000001</v>
      </c>
      <c r="L455">
        <v>2.4519000000000002</v>
      </c>
      <c r="M455">
        <v>26.357500000000002</v>
      </c>
      <c r="P455">
        <v>59.79</v>
      </c>
      <c r="S455">
        <f t="shared" si="157"/>
        <v>644.56420000000003</v>
      </c>
      <c r="T455">
        <f t="shared" si="158"/>
        <v>2.0436736815609539E-2</v>
      </c>
      <c r="U455">
        <f t="shared" si="159"/>
        <v>1.9499271824067816E-2</v>
      </c>
      <c r="V455">
        <f t="shared" si="160"/>
        <v>9.6558894128797364E-3</v>
      </c>
      <c r="W455">
        <f t="shared" si="161"/>
        <v>2.9061414737793379E-3</v>
      </c>
      <c r="X455">
        <f t="shared" si="162"/>
        <v>0.28257069775050581</v>
      </c>
      <c r="Y455">
        <f t="shared" si="163"/>
        <v>4.6873249577086097E-4</v>
      </c>
      <c r="Z455">
        <f t="shared" si="164"/>
        <v>2.2499159797001326E-3</v>
      </c>
      <c r="AA455">
        <f t="shared" si="165"/>
        <v>0.1598490306377621</v>
      </c>
      <c r="AB455">
        <f t="shared" si="166"/>
        <v>3.7905553214497137E-2</v>
      </c>
      <c r="AC455">
        <f t="shared" si="167"/>
        <v>4.1706598769202206E-2</v>
      </c>
      <c r="AD455">
        <f t="shared" si="168"/>
        <v>2.298570412761148E-3</v>
      </c>
      <c r="AE455">
        <f t="shared" si="169"/>
        <v>2.4709233514560936E-2</v>
      </c>
      <c r="AG455">
        <f t="shared" si="170"/>
        <v>-0.52128603302201204</v>
      </c>
      <c r="AH455">
        <f t="shared" si="171"/>
        <v>0.36249661926687415</v>
      </c>
      <c r="AI455">
        <f t="shared" si="172"/>
        <v>0.99846010451334943</v>
      </c>
      <c r="AK455" s="26">
        <f t="shared" si="173"/>
        <v>-5.3058226940169706E-3</v>
      </c>
      <c r="AL455" s="26">
        <f t="shared" si="174"/>
        <v>-4.0360955993980485E-3</v>
      </c>
      <c r="AM455" s="26">
        <f t="shared" si="175"/>
        <v>-2.1993904956602445E-2</v>
      </c>
      <c r="AN455" s="26">
        <f t="shared" si="176"/>
        <v>17.956666666666671</v>
      </c>
      <c r="AO455" s="26">
        <f t="shared" si="177"/>
        <v>18.200824010327025</v>
      </c>
      <c r="AP455" s="26">
        <f t="shared" si="178"/>
        <v>18.224555027441511</v>
      </c>
      <c r="AS455" s="2">
        <v>45025</v>
      </c>
      <c r="AT455">
        <v>13.3</v>
      </c>
      <c r="AU455">
        <v>1.2</v>
      </c>
      <c r="AV455">
        <v>12.5</v>
      </c>
      <c r="AW455">
        <v>1.6</v>
      </c>
      <c r="AX455">
        <v>186.34</v>
      </c>
      <c r="AY455">
        <v>0.5</v>
      </c>
      <c r="AZ455">
        <v>3.1</v>
      </c>
      <c r="BA455">
        <v>190.5018</v>
      </c>
      <c r="BB455">
        <v>40.086500000000001</v>
      </c>
      <c r="BC455">
        <v>58.626399999999997</v>
      </c>
      <c r="BD455">
        <v>3.3347000000000002</v>
      </c>
      <c r="BE455">
        <v>23.008199999999999</v>
      </c>
      <c r="BH455">
        <v>55.76</v>
      </c>
    </row>
    <row r="456" spans="1:60" x14ac:dyDescent="0.25">
      <c r="A456" s="2">
        <v>45045</v>
      </c>
      <c r="B456">
        <v>21.7</v>
      </c>
      <c r="C456">
        <v>22.5</v>
      </c>
      <c r="D456">
        <v>22.1</v>
      </c>
      <c r="E456">
        <v>8.1999999999999993</v>
      </c>
      <c r="F456">
        <v>169.1</v>
      </c>
      <c r="G456">
        <v>0.5</v>
      </c>
      <c r="H456">
        <v>2.5</v>
      </c>
      <c r="I456">
        <v>251.5977</v>
      </c>
      <c r="J456">
        <v>31.308599999999998</v>
      </c>
      <c r="K456">
        <v>60.592700000000001</v>
      </c>
      <c r="L456">
        <v>2.5952999999999999</v>
      </c>
      <c r="M456">
        <v>18.827200000000001</v>
      </c>
      <c r="P456">
        <v>59.35</v>
      </c>
      <c r="S456">
        <f t="shared" si="157"/>
        <v>611.52149999999995</v>
      </c>
      <c r="T456">
        <f t="shared" si="158"/>
        <v>2.0342990316455364E-2</v>
      </c>
      <c r="U456">
        <f t="shared" si="159"/>
        <v>2.1092962309688743E-2</v>
      </c>
      <c r="V456">
        <f t="shared" si="160"/>
        <v>2.0717976313072057E-2</v>
      </c>
      <c r="W456">
        <f t="shared" si="161"/>
        <v>7.6872129306421186E-3</v>
      </c>
      <c r="X456">
        <f t="shared" si="162"/>
        <v>0.15852533006970518</v>
      </c>
      <c r="Y456">
        <f t="shared" si="163"/>
        <v>4.6873249577086097E-4</v>
      </c>
      <c r="Z456">
        <f t="shared" si="164"/>
        <v>2.3436624788543046E-3</v>
      </c>
      <c r="AA456">
        <f t="shared" si="165"/>
        <v>0.23586403570241668</v>
      </c>
      <c r="AB456">
        <f t="shared" si="166"/>
        <v>2.9350716434183154E-2</v>
      </c>
      <c r="AC456">
        <f t="shared" si="167"/>
        <v>5.6803534992990096E-2</v>
      </c>
      <c r="AD456">
        <f t="shared" si="168"/>
        <v>2.4330028925482307E-3</v>
      </c>
      <c r="AE456">
        <f t="shared" si="169"/>
        <v>1.7649840888754306E-2</v>
      </c>
      <c r="AG456">
        <f t="shared" si="170"/>
        <v>-0.53832090398939458</v>
      </c>
      <c r="AH456">
        <f t="shared" si="171"/>
        <v>0.24882870780294292</v>
      </c>
      <c r="AI456">
        <f t="shared" si="172"/>
        <v>0.11884806539957495</v>
      </c>
      <c r="AK456" s="26">
        <f t="shared" si="173"/>
        <v>-1.6597009669705731E-2</v>
      </c>
      <c r="AL456" s="26">
        <f t="shared" si="174"/>
        <v>-6.9975505935678251E-3</v>
      </c>
      <c r="AM456" s="26">
        <f t="shared" si="175"/>
        <v>-2.3907654143703688E-2</v>
      </c>
      <c r="AN456" s="26">
        <f t="shared" si="176"/>
        <v>17.968095238095238</v>
      </c>
      <c r="AO456" s="26">
        <f t="shared" si="177"/>
        <v>18.209802065404475</v>
      </c>
      <c r="AP456" s="26">
        <f t="shared" si="178"/>
        <v>18.189472177726415</v>
      </c>
      <c r="AS456" s="2">
        <v>45024</v>
      </c>
      <c r="AT456">
        <v>13.5</v>
      </c>
      <c r="AU456">
        <v>148.9</v>
      </c>
      <c r="AV456">
        <v>18.5</v>
      </c>
      <c r="AW456">
        <v>3.3</v>
      </c>
      <c r="AX456">
        <v>78.34</v>
      </c>
      <c r="AY456">
        <v>0.8</v>
      </c>
      <c r="AZ456">
        <v>3.1</v>
      </c>
      <c r="BA456">
        <v>262.61630000000002</v>
      </c>
      <c r="BB456">
        <v>48.680799999999998</v>
      </c>
      <c r="BC456">
        <v>84.720699999999994</v>
      </c>
      <c r="BD456">
        <v>2.7259000000000002</v>
      </c>
      <c r="BE456">
        <v>28.936900000000001</v>
      </c>
      <c r="BH456">
        <v>55.58</v>
      </c>
    </row>
    <row r="457" spans="1:60" x14ac:dyDescent="0.25">
      <c r="A457" s="2">
        <v>45044</v>
      </c>
      <c r="B457">
        <v>16.600000000000001</v>
      </c>
      <c r="C457">
        <v>219.3</v>
      </c>
      <c r="D457">
        <v>37.1</v>
      </c>
      <c r="E457">
        <v>7.4</v>
      </c>
      <c r="F457">
        <v>124.61</v>
      </c>
      <c r="G457">
        <v>0.5</v>
      </c>
      <c r="H457">
        <v>2.4</v>
      </c>
      <c r="I457">
        <v>300.71730000000002</v>
      </c>
      <c r="J457">
        <v>39.927399999999999</v>
      </c>
      <c r="K457">
        <v>82.865200000000002</v>
      </c>
      <c r="L457">
        <v>2.6855000000000002</v>
      </c>
      <c r="M457">
        <v>31.24</v>
      </c>
      <c r="N457">
        <v>-19.8339</v>
      </c>
      <c r="O457">
        <v>-33.7742</v>
      </c>
      <c r="P457">
        <v>59</v>
      </c>
      <c r="S457">
        <f t="shared" si="157"/>
        <v>865.34540000000004</v>
      </c>
      <c r="T457">
        <f t="shared" si="158"/>
        <v>1.5561918859592586E-2</v>
      </c>
      <c r="U457">
        <f t="shared" si="159"/>
        <v>0.20558607264509962</v>
      </c>
      <c r="V457">
        <f t="shared" si="160"/>
        <v>3.4779951186197887E-2</v>
      </c>
      <c r="W457">
        <f t="shared" si="161"/>
        <v>6.9372409374087425E-3</v>
      </c>
      <c r="X457">
        <f t="shared" si="162"/>
        <v>0.11681751259601397</v>
      </c>
      <c r="Y457">
        <f t="shared" si="163"/>
        <v>4.6873249577086097E-4</v>
      </c>
      <c r="Z457">
        <f t="shared" si="164"/>
        <v>2.2499159797001326E-3</v>
      </c>
      <c r="AA457">
        <f t="shared" si="165"/>
        <v>0.28191194110094947</v>
      </c>
      <c r="AB457">
        <f t="shared" si="166"/>
        <v>3.7430539703282945E-2</v>
      </c>
      <c r="AC457">
        <f t="shared" si="167"/>
        <v>7.7683224017103092E-2</v>
      </c>
      <c r="AD457">
        <f t="shared" si="168"/>
        <v>2.5175622347852946E-3</v>
      </c>
      <c r="AE457">
        <f t="shared" si="169"/>
        <v>2.928640633576339E-2</v>
      </c>
      <c r="AG457">
        <f t="shared" si="170"/>
        <v>-0.55114348174937677</v>
      </c>
      <c r="AH457">
        <f t="shared" si="171"/>
        <v>0.41168775103554717</v>
      </c>
      <c r="AI457">
        <f t="shared" si="172"/>
        <v>1.3866147134139752</v>
      </c>
      <c r="AK457" s="26">
        <f t="shared" si="173"/>
        <v>-1.2579973668989108E-2</v>
      </c>
      <c r="AL457" s="26">
        <f t="shared" si="174"/>
        <v>-7.5661281935794356E-3</v>
      </c>
      <c r="AM457" s="26">
        <f t="shared" si="175"/>
        <v>-2.4205290610641222E-2</v>
      </c>
      <c r="AN457" s="26">
        <f t="shared" si="176"/>
        <v>17.984285714285697</v>
      </c>
      <c r="AO457" s="26">
        <f t="shared" si="177"/>
        <v>18.22549268502582</v>
      </c>
      <c r="AP457" s="26">
        <f t="shared" si="178"/>
        <v>18.151189044405342</v>
      </c>
      <c r="AS457" s="2">
        <v>45023</v>
      </c>
      <c r="AT457">
        <v>12.9</v>
      </c>
      <c r="AU457">
        <v>0</v>
      </c>
      <c r="AV457">
        <v>58</v>
      </c>
      <c r="AW457">
        <v>8.6</v>
      </c>
      <c r="AX457">
        <v>171.62</v>
      </c>
      <c r="AY457">
        <v>0.9</v>
      </c>
      <c r="AZ457">
        <v>3.1</v>
      </c>
      <c r="BA457">
        <v>257.25510000000003</v>
      </c>
      <c r="BB457">
        <v>64.831699999999998</v>
      </c>
      <c r="BC457">
        <v>77.641499999999994</v>
      </c>
      <c r="BD457">
        <v>3.2627999999999999</v>
      </c>
      <c r="BE457">
        <v>18.918500000000002</v>
      </c>
      <c r="BF457">
        <v>-18.0443</v>
      </c>
      <c r="BG457">
        <v>-24.6858</v>
      </c>
      <c r="BH457">
        <v>55.47</v>
      </c>
    </row>
    <row r="458" spans="1:60" x14ac:dyDescent="0.25">
      <c r="A458" s="2">
        <v>45043</v>
      </c>
      <c r="B458">
        <v>16.3</v>
      </c>
      <c r="C458">
        <v>32.799999999999997</v>
      </c>
      <c r="D458">
        <v>28.8</v>
      </c>
      <c r="E458">
        <v>3.9</v>
      </c>
      <c r="F458">
        <v>262.75</v>
      </c>
      <c r="G458">
        <v>0.4</v>
      </c>
      <c r="H458">
        <v>2.1</v>
      </c>
      <c r="I458">
        <v>274.63749999999999</v>
      </c>
      <c r="J458">
        <v>62.1158</v>
      </c>
      <c r="K458">
        <v>103.99209999999999</v>
      </c>
      <c r="L458">
        <v>2.6701000000000001</v>
      </c>
      <c r="M458">
        <v>27.981300000000001</v>
      </c>
      <c r="N458">
        <v>-20.4178</v>
      </c>
      <c r="O458">
        <v>-31.2973</v>
      </c>
      <c r="P458">
        <v>58.77</v>
      </c>
      <c r="S458">
        <f t="shared" si="157"/>
        <v>818.44680000000005</v>
      </c>
      <c r="T458">
        <f t="shared" si="158"/>
        <v>1.5280679362130067E-2</v>
      </c>
      <c r="U458">
        <f t="shared" si="159"/>
        <v>3.0748851722568474E-2</v>
      </c>
      <c r="V458">
        <f t="shared" si="160"/>
        <v>2.6998991756401591E-2</v>
      </c>
      <c r="W458">
        <f t="shared" si="161"/>
        <v>3.6561134670127153E-3</v>
      </c>
      <c r="X458">
        <f t="shared" si="162"/>
        <v>0.24631892652758744</v>
      </c>
      <c r="Y458">
        <f t="shared" si="163"/>
        <v>3.7498599661668879E-4</v>
      </c>
      <c r="Z458">
        <f t="shared" si="164"/>
        <v>1.9686764822376161E-3</v>
      </c>
      <c r="AA458">
        <f t="shared" si="165"/>
        <v>0.25746304161453964</v>
      </c>
      <c r="AB458">
        <f t="shared" si="166"/>
        <v>5.8231387921607293E-2</v>
      </c>
      <c r="AC458">
        <f t="shared" si="167"/>
        <v>9.7488953146905893E-2</v>
      </c>
      <c r="AD458">
        <f t="shared" si="168"/>
        <v>2.5031252739155518E-3</v>
      </c>
      <c r="AE458">
        <f t="shared" si="169"/>
        <v>2.6231489167826385E-2</v>
      </c>
      <c r="AG458">
        <f t="shared" si="170"/>
        <v>-0.55835399887533255</v>
      </c>
      <c r="AH458">
        <f t="shared" si="171"/>
        <v>0.35157871448238098</v>
      </c>
      <c r="AI458">
        <f t="shared" si="172"/>
        <v>0.9202267117286187</v>
      </c>
      <c r="AK458" s="26">
        <f t="shared" si="173"/>
        <v>-1.7825893838086471E-2</v>
      </c>
      <c r="AL458" s="26">
        <f t="shared" si="174"/>
        <v>-9.7571344218136957E-3</v>
      </c>
      <c r="AM458" s="26">
        <f t="shared" si="175"/>
        <v>-2.5657056907128301E-2</v>
      </c>
      <c r="AN458" s="26">
        <f t="shared" si="176"/>
        <v>18.003174603174593</v>
      </c>
      <c r="AO458" s="26">
        <f t="shared" si="177"/>
        <v>18.240522805507744</v>
      </c>
      <c r="AP458" s="26">
        <f t="shared" si="178"/>
        <v>18.109442766734055</v>
      </c>
      <c r="AS458" s="2">
        <v>45022</v>
      </c>
      <c r="AT458">
        <v>13.8</v>
      </c>
      <c r="AU458">
        <v>0</v>
      </c>
      <c r="AV458">
        <v>36.1</v>
      </c>
      <c r="AW458">
        <v>5.2</v>
      </c>
      <c r="AX458">
        <v>256.75</v>
      </c>
      <c r="AY458">
        <v>0.9</v>
      </c>
      <c r="AZ458">
        <v>3</v>
      </c>
      <c r="BA458">
        <v>282.53530000000001</v>
      </c>
      <c r="BB458">
        <v>109.3583</v>
      </c>
      <c r="BC458">
        <v>100.6434</v>
      </c>
      <c r="BD458">
        <v>3.2641</v>
      </c>
      <c r="BE458">
        <v>30.772200000000002</v>
      </c>
      <c r="BF458">
        <v>-19.191500000000001</v>
      </c>
      <c r="BG458">
        <v>-25.7074</v>
      </c>
      <c r="BH458">
        <v>55.54</v>
      </c>
    </row>
    <row r="459" spans="1:60" x14ac:dyDescent="0.25">
      <c r="A459" s="2">
        <v>45042</v>
      </c>
      <c r="B459">
        <v>16.3</v>
      </c>
      <c r="C459">
        <v>21.9</v>
      </c>
      <c r="D459">
        <v>50.4</v>
      </c>
      <c r="E459">
        <v>11.3</v>
      </c>
      <c r="F459">
        <v>229.19</v>
      </c>
      <c r="G459">
        <v>0.4</v>
      </c>
      <c r="H459">
        <v>2.2000000000000002</v>
      </c>
      <c r="I459">
        <v>251.7422</v>
      </c>
      <c r="J459">
        <v>103.80719999999999</v>
      </c>
      <c r="K459">
        <v>99.419700000000006</v>
      </c>
      <c r="L459">
        <v>2.3927999999999998</v>
      </c>
      <c r="M459">
        <v>29.409099999999999</v>
      </c>
      <c r="N459">
        <v>-19.072600000000001</v>
      </c>
      <c r="O459">
        <v>-30.168700000000001</v>
      </c>
      <c r="P459">
        <v>58.6</v>
      </c>
      <c r="S459">
        <f t="shared" si="157"/>
        <v>818.4609999999999</v>
      </c>
      <c r="T459">
        <f t="shared" si="158"/>
        <v>1.5280679362130067E-2</v>
      </c>
      <c r="U459">
        <f t="shared" si="159"/>
        <v>2.0530483314763707E-2</v>
      </c>
      <c r="V459">
        <f t="shared" si="160"/>
        <v>4.7248235573702786E-2</v>
      </c>
      <c r="W459">
        <f t="shared" si="161"/>
        <v>1.0593354404421457E-2</v>
      </c>
      <c r="X459">
        <f t="shared" si="162"/>
        <v>0.21485760141144725</v>
      </c>
      <c r="Y459">
        <f t="shared" si="163"/>
        <v>3.7498599661668879E-4</v>
      </c>
      <c r="Z459">
        <f t="shared" si="164"/>
        <v>2.0624229813917885E-3</v>
      </c>
      <c r="AA459">
        <f t="shared" si="165"/>
        <v>0.23599949939369447</v>
      </c>
      <c r="AB459">
        <f t="shared" si="166"/>
        <v>9.7315615869969826E-2</v>
      </c>
      <c r="AC459">
        <f t="shared" si="167"/>
        <v>9.3202488219580534E-2</v>
      </c>
      <c r="AD459">
        <f t="shared" si="168"/>
        <v>2.2431662317610318E-3</v>
      </c>
      <c r="AE459">
        <f t="shared" si="169"/>
        <v>2.7570001682749652E-2</v>
      </c>
      <c r="AG459">
        <f t="shared" si="170"/>
        <v>-0.56274969880204773</v>
      </c>
      <c r="AH459">
        <f t="shared" si="171"/>
        <v>0.33851776472722339</v>
      </c>
      <c r="AI459">
        <f t="shared" si="172"/>
        <v>0.81838110205808212</v>
      </c>
      <c r="AK459" s="26">
        <f t="shared" si="173"/>
        <v>-1.7236255143120827E-2</v>
      </c>
      <c r="AL459" s="26">
        <f t="shared" si="174"/>
        <v>-1.0157806636491129E-2</v>
      </c>
      <c r="AM459" s="26">
        <f t="shared" si="175"/>
        <v>-2.7470757152423392E-2</v>
      </c>
      <c r="AN459" s="26">
        <f t="shared" si="176"/>
        <v>18.029047619047624</v>
      </c>
      <c r="AO459" s="26">
        <f t="shared" si="177"/>
        <v>18.256794320137693</v>
      </c>
      <c r="AP459" s="26">
        <f t="shared" si="178"/>
        <v>18.064087077545231</v>
      </c>
      <c r="AS459" s="2">
        <v>45021</v>
      </c>
      <c r="AT459">
        <v>14.7</v>
      </c>
      <c r="AU459">
        <v>3.3</v>
      </c>
      <c r="AV459">
        <v>4.3</v>
      </c>
      <c r="AW459">
        <v>1.3</v>
      </c>
      <c r="AX459">
        <v>266.52</v>
      </c>
      <c r="AY459">
        <v>0.9</v>
      </c>
      <c r="AZ459">
        <v>2.9</v>
      </c>
      <c r="BA459">
        <v>285.19349999999997</v>
      </c>
      <c r="BB459">
        <v>155.22569999999999</v>
      </c>
      <c r="BC459">
        <v>110.40130000000001</v>
      </c>
      <c r="BD459">
        <v>3.2888999999999999</v>
      </c>
      <c r="BE459">
        <v>35.386899999999997</v>
      </c>
      <c r="BF459">
        <v>-17.035799999999998</v>
      </c>
      <c r="BG459">
        <v>-23.258099999999999</v>
      </c>
      <c r="BH459">
        <v>55.62</v>
      </c>
    </row>
    <row r="460" spans="1:60" x14ac:dyDescent="0.25">
      <c r="A460" s="2">
        <v>45041</v>
      </c>
      <c r="B460">
        <v>16.100000000000001</v>
      </c>
      <c r="C460">
        <v>3.4</v>
      </c>
      <c r="D460">
        <v>50.5</v>
      </c>
      <c r="E460">
        <v>15.8</v>
      </c>
      <c r="F460">
        <v>162.80000000000001</v>
      </c>
      <c r="G460">
        <v>0.4</v>
      </c>
      <c r="H460">
        <v>2.4</v>
      </c>
      <c r="I460">
        <v>217.99109999999999</v>
      </c>
      <c r="J460">
        <v>113.1687</v>
      </c>
      <c r="K460">
        <v>103.0722</v>
      </c>
      <c r="L460">
        <v>2.7654999999999998</v>
      </c>
      <c r="M460">
        <v>27.0289</v>
      </c>
      <c r="N460">
        <v>-19.529199999999999</v>
      </c>
      <c r="O460">
        <v>-29.686199999999999</v>
      </c>
      <c r="P460">
        <v>58.5</v>
      </c>
      <c r="S460">
        <f t="shared" si="157"/>
        <v>715.42639999999994</v>
      </c>
      <c r="T460">
        <f t="shared" si="158"/>
        <v>1.5093186363821724E-2</v>
      </c>
      <c r="U460">
        <f t="shared" si="159"/>
        <v>3.1873809712418544E-3</v>
      </c>
      <c r="V460">
        <f t="shared" si="160"/>
        <v>4.7341982072856954E-2</v>
      </c>
      <c r="W460">
        <f t="shared" si="161"/>
        <v>1.4811946866359206E-2</v>
      </c>
      <c r="X460">
        <f t="shared" si="162"/>
        <v>0.15261930062299234</v>
      </c>
      <c r="Y460">
        <f t="shared" si="163"/>
        <v>3.7498599661668879E-4</v>
      </c>
      <c r="Z460">
        <f t="shared" si="164"/>
        <v>2.2499159797001326E-3</v>
      </c>
      <c r="AA460">
        <f t="shared" si="165"/>
        <v>0.20435902471767065</v>
      </c>
      <c r="AB460">
        <f t="shared" si="166"/>
        <v>0.10609169438828767</v>
      </c>
      <c r="AC460">
        <f t="shared" si="167"/>
        <v>9.662657910118666E-2</v>
      </c>
      <c r="AD460">
        <f t="shared" si="168"/>
        <v>2.5925594341086318E-3</v>
      </c>
      <c r="AE460">
        <f t="shared" si="169"/>
        <v>2.5338647509882049E-2</v>
      </c>
      <c r="AG460">
        <f t="shared" si="170"/>
        <v>-0.56385238784660341</v>
      </c>
      <c r="AH460">
        <f t="shared" si="171"/>
        <v>0.26101734638347096</v>
      </c>
      <c r="AI460">
        <f t="shared" si="172"/>
        <v>0.21697951523274528</v>
      </c>
      <c r="AK460" s="26">
        <f t="shared" si="173"/>
        <v>-1.657369060005115E-2</v>
      </c>
      <c r="AL460" s="26">
        <f t="shared" si="174"/>
        <v>-1.0807041501727732E-2</v>
      </c>
      <c r="AM460" s="26">
        <f t="shared" si="175"/>
        <v>-2.761517953153006E-2</v>
      </c>
      <c r="AN460" s="26">
        <f t="shared" si="176"/>
        <v>18.058730158730157</v>
      </c>
      <c r="AO460" s="26">
        <f t="shared" si="177"/>
        <v>18.27365103270224</v>
      </c>
      <c r="AP460" s="26">
        <f t="shared" si="178"/>
        <v>18.015365667918381</v>
      </c>
      <c r="AS460" s="2">
        <v>45020</v>
      </c>
      <c r="AT460">
        <v>15.8</v>
      </c>
      <c r="AU460">
        <v>19</v>
      </c>
      <c r="AV460">
        <v>4.5</v>
      </c>
      <c r="AW460">
        <v>2.2999999999999998</v>
      </c>
      <c r="AX460">
        <v>266.86</v>
      </c>
      <c r="AY460">
        <v>0.9</v>
      </c>
      <c r="AZ460">
        <v>2.5</v>
      </c>
      <c r="BA460">
        <v>269.15120000000002</v>
      </c>
      <c r="BB460">
        <v>149.3587</v>
      </c>
      <c r="BC460">
        <v>110.9104</v>
      </c>
      <c r="BD460">
        <v>3.1779999999999999</v>
      </c>
      <c r="BE460">
        <v>31.787800000000001</v>
      </c>
      <c r="BF460">
        <v>-19.2879</v>
      </c>
      <c r="BG460">
        <v>-20.930199999999999</v>
      </c>
      <c r="BH460">
        <v>55.74</v>
      </c>
    </row>
    <row r="461" spans="1:60" x14ac:dyDescent="0.25">
      <c r="A461" s="2">
        <v>45040</v>
      </c>
      <c r="B461">
        <v>16.100000000000001</v>
      </c>
      <c r="C461">
        <v>0.7</v>
      </c>
      <c r="D461">
        <v>37.299999999999997</v>
      </c>
      <c r="E461">
        <v>16</v>
      </c>
      <c r="F461">
        <v>156.53</v>
      </c>
      <c r="G461">
        <v>0.5</v>
      </c>
      <c r="H461">
        <v>2.6</v>
      </c>
      <c r="I461">
        <v>210.74250000000001</v>
      </c>
      <c r="J461">
        <v>55.614699999999999</v>
      </c>
      <c r="K461">
        <v>63.617899999999999</v>
      </c>
      <c r="L461">
        <v>2.7416999999999998</v>
      </c>
      <c r="M461">
        <v>27.837499999999999</v>
      </c>
      <c r="N461">
        <v>-18.539300000000001</v>
      </c>
      <c r="O461">
        <v>-27.229500000000002</v>
      </c>
      <c r="P461">
        <v>58.29</v>
      </c>
      <c r="S461">
        <f t="shared" si="157"/>
        <v>590.28429999999992</v>
      </c>
      <c r="T461">
        <f t="shared" si="158"/>
        <v>1.5093186363821724E-2</v>
      </c>
      <c r="U461">
        <f t="shared" si="159"/>
        <v>6.5622549407920526E-4</v>
      </c>
      <c r="V461">
        <f t="shared" si="160"/>
        <v>3.4967444184506223E-2</v>
      </c>
      <c r="W461">
        <f t="shared" si="161"/>
        <v>1.4999439864667551E-2</v>
      </c>
      <c r="X461">
        <f t="shared" si="162"/>
        <v>0.14674139512602574</v>
      </c>
      <c r="Y461">
        <f t="shared" si="163"/>
        <v>4.6873249577086097E-4</v>
      </c>
      <c r="Z461">
        <f t="shared" si="164"/>
        <v>2.437408978008477E-3</v>
      </c>
      <c r="AA461">
        <f t="shared" si="165"/>
        <v>0.19756371597998135</v>
      </c>
      <c r="AB461">
        <f t="shared" si="166"/>
        <v>5.2136834265095404E-2</v>
      </c>
      <c r="AC461">
        <f t="shared" si="167"/>
        <v>5.9639554085402106E-2</v>
      </c>
      <c r="AD461">
        <f t="shared" si="168"/>
        <v>2.5702477673099386E-3</v>
      </c>
      <c r="AE461">
        <f t="shared" si="169"/>
        <v>2.6096681702042681E-2</v>
      </c>
      <c r="AG461">
        <f t="shared" si="170"/>
        <v>-0.57008318211624709</v>
      </c>
      <c r="AH461">
        <f t="shared" si="171"/>
        <v>0.24146051420892248</v>
      </c>
      <c r="AI461">
        <f t="shared" si="172"/>
        <v>6.2490130990384807E-2</v>
      </c>
      <c r="AK461" s="26">
        <f t="shared" si="173"/>
        <v>-1.2211548439273634E-2</v>
      </c>
      <c r="AL461" s="26">
        <f t="shared" si="174"/>
        <v>-9.0081719985059816E-3</v>
      </c>
      <c r="AM461" s="26">
        <f t="shared" si="175"/>
        <v>-2.7311128695301945E-2</v>
      </c>
      <c r="AN461" s="26">
        <f t="shared" si="176"/>
        <v>18.099841269841264</v>
      </c>
      <c r="AO461" s="26">
        <f t="shared" si="177"/>
        <v>18.289610585197941</v>
      </c>
      <c r="AP461" s="26">
        <f t="shared" si="178"/>
        <v>17.962688217221185</v>
      </c>
      <c r="AS461" s="2">
        <v>45019</v>
      </c>
      <c r="AT461">
        <v>15.7</v>
      </c>
      <c r="AU461">
        <v>2.2999999999999998</v>
      </c>
      <c r="AV461">
        <v>14</v>
      </c>
      <c r="AW461">
        <v>7.1</v>
      </c>
      <c r="AX461">
        <v>216.67</v>
      </c>
      <c r="AY461">
        <v>0.9</v>
      </c>
      <c r="AZ461">
        <v>2.9</v>
      </c>
      <c r="BA461">
        <v>250.58320000000001</v>
      </c>
      <c r="BB461">
        <v>103.2551</v>
      </c>
      <c r="BC461">
        <v>108.7784</v>
      </c>
      <c r="BD461">
        <v>3.2073999999999998</v>
      </c>
      <c r="BE461">
        <v>28.325199999999999</v>
      </c>
      <c r="BF461">
        <v>-23.976400000000002</v>
      </c>
      <c r="BG461">
        <v>-19.0562</v>
      </c>
      <c r="BH461">
        <v>55.87</v>
      </c>
    </row>
    <row r="462" spans="1:60" x14ac:dyDescent="0.25">
      <c r="A462" s="2">
        <v>45039</v>
      </c>
      <c r="B462">
        <v>13.9</v>
      </c>
      <c r="C462">
        <v>16.7</v>
      </c>
      <c r="D462">
        <v>26.5</v>
      </c>
      <c r="E462">
        <v>5.5</v>
      </c>
      <c r="F462">
        <v>204.7</v>
      </c>
      <c r="G462">
        <v>0.5</v>
      </c>
      <c r="H462">
        <v>2.5</v>
      </c>
      <c r="I462">
        <v>179.4118</v>
      </c>
      <c r="J462">
        <v>21.060600000000001</v>
      </c>
      <c r="K462">
        <v>44.859699999999997</v>
      </c>
      <c r="L462">
        <v>2.7321</v>
      </c>
      <c r="M462">
        <v>17.417999999999999</v>
      </c>
      <c r="P462">
        <v>58</v>
      </c>
      <c r="S462">
        <f t="shared" si="157"/>
        <v>535.78219999999999</v>
      </c>
      <c r="T462">
        <f t="shared" si="158"/>
        <v>1.3030763382429936E-2</v>
      </c>
      <c r="U462">
        <f t="shared" si="159"/>
        <v>1.5655665358746754E-2</v>
      </c>
      <c r="V462">
        <f t="shared" si="160"/>
        <v>2.4842822275855631E-2</v>
      </c>
      <c r="W462">
        <f t="shared" si="161"/>
        <v>5.1560574534794705E-3</v>
      </c>
      <c r="X462">
        <f t="shared" si="162"/>
        <v>0.19189908376859047</v>
      </c>
      <c r="Y462">
        <f t="shared" si="163"/>
        <v>4.6873249577086097E-4</v>
      </c>
      <c r="Z462">
        <f t="shared" si="164"/>
        <v>2.3436624788543046E-3</v>
      </c>
      <c r="AA462">
        <f t="shared" si="165"/>
        <v>0.1681922815694851</v>
      </c>
      <c r="AB462">
        <f t="shared" si="166"/>
        <v>1.9743575200863589E-2</v>
      </c>
      <c r="AC462">
        <f t="shared" si="167"/>
        <v>4.2054398281064179E-2</v>
      </c>
      <c r="AD462">
        <f t="shared" si="168"/>
        <v>2.5612481033911384E-3</v>
      </c>
      <c r="AE462">
        <f t="shared" si="169"/>
        <v>1.6328765222673711E-2</v>
      </c>
      <c r="AG462">
        <f t="shared" si="170"/>
        <v>-0.58004202962766338</v>
      </c>
      <c r="AH462">
        <f t="shared" si="171"/>
        <v>0.26972555243640112</v>
      </c>
      <c r="AI462">
        <f t="shared" si="172"/>
        <v>0.28270959610361446</v>
      </c>
      <c r="AK462" s="26">
        <f t="shared" si="173"/>
        <v>-4.682957561279788E-3</v>
      </c>
      <c r="AL462" s="26">
        <f t="shared" si="174"/>
        <v>-5.873515809076052E-3</v>
      </c>
      <c r="AM462" s="26">
        <f t="shared" si="175"/>
        <v>-2.631210520454963E-2</v>
      </c>
      <c r="AN462" s="26">
        <f t="shared" si="176"/>
        <v>18.133333333333333</v>
      </c>
      <c r="AO462" s="26">
        <f t="shared" si="177"/>
        <v>18.308844664371783</v>
      </c>
      <c r="AP462" s="26">
        <f t="shared" si="178"/>
        <v>17.906824138021584</v>
      </c>
      <c r="AS462" s="2">
        <v>45018</v>
      </c>
      <c r="AT462">
        <v>13.1</v>
      </c>
      <c r="AU462">
        <v>29.4</v>
      </c>
      <c r="AV462">
        <v>62</v>
      </c>
      <c r="AW462">
        <v>14.4</v>
      </c>
      <c r="AX462">
        <v>120.63</v>
      </c>
      <c r="AY462">
        <v>0.8</v>
      </c>
      <c r="AZ462">
        <v>2.7</v>
      </c>
      <c r="BA462">
        <v>153.99019999999999</v>
      </c>
      <c r="BB462">
        <v>44.615499999999997</v>
      </c>
      <c r="BC462">
        <v>38.493899999999996</v>
      </c>
      <c r="BD462">
        <v>3.1844000000000001</v>
      </c>
      <c r="BE462">
        <v>22.057500000000001</v>
      </c>
      <c r="BH462">
        <v>55.94</v>
      </c>
    </row>
    <row r="463" spans="1:60" x14ac:dyDescent="0.25">
      <c r="A463" s="2">
        <v>45038</v>
      </c>
      <c r="B463">
        <v>14.4</v>
      </c>
      <c r="C463">
        <v>0</v>
      </c>
      <c r="D463">
        <v>39.4</v>
      </c>
      <c r="E463">
        <v>12.2</v>
      </c>
      <c r="F463">
        <v>270.38</v>
      </c>
      <c r="G463">
        <v>0.5</v>
      </c>
      <c r="H463">
        <v>2.6</v>
      </c>
      <c r="I463">
        <v>176.72450000000001</v>
      </c>
      <c r="J463">
        <v>57.880600000000001</v>
      </c>
      <c r="K463">
        <v>63.081400000000002</v>
      </c>
      <c r="L463">
        <v>2.7425999999999999</v>
      </c>
      <c r="M463">
        <v>24.3996</v>
      </c>
      <c r="P463">
        <v>57.65</v>
      </c>
      <c r="S463">
        <f t="shared" si="157"/>
        <v>664.30870000000004</v>
      </c>
      <c r="T463">
        <f t="shared" si="158"/>
        <v>1.3499495878200795E-2</v>
      </c>
      <c r="U463">
        <f t="shared" si="159"/>
        <v>0</v>
      </c>
      <c r="V463">
        <f t="shared" si="160"/>
        <v>3.6936120666743844E-2</v>
      </c>
      <c r="W463">
        <f t="shared" si="161"/>
        <v>1.1437072896809007E-2</v>
      </c>
      <c r="X463">
        <f t="shared" si="162"/>
        <v>0.25347178441305074</v>
      </c>
      <c r="Y463">
        <f t="shared" si="163"/>
        <v>4.6873249577086097E-4</v>
      </c>
      <c r="Z463">
        <f t="shared" si="164"/>
        <v>2.437408978008477E-3</v>
      </c>
      <c r="AA463">
        <f t="shared" si="165"/>
        <v>0.16567303189771504</v>
      </c>
      <c r="AB463">
        <f t="shared" si="166"/>
        <v>5.426103618942979E-2</v>
      </c>
      <c r="AC463">
        <f t="shared" si="167"/>
        <v>5.9136604117439977E-2</v>
      </c>
      <c r="AD463">
        <f t="shared" si="168"/>
        <v>2.5710914858023265E-3</v>
      </c>
      <c r="AE463">
        <f t="shared" si="169"/>
        <v>2.2873770807621398E-2</v>
      </c>
      <c r="AG463">
        <f t="shared" si="170"/>
        <v>-0.59278342356588731</v>
      </c>
      <c r="AH463">
        <f t="shared" si="171"/>
        <v>0.3411243861362051</v>
      </c>
      <c r="AI463">
        <f t="shared" si="172"/>
        <v>0.84022802648965511</v>
      </c>
      <c r="AK463" s="26">
        <f t="shared" si="173"/>
        <v>-4.2212768855008354E-3</v>
      </c>
      <c r="AL463" s="26">
        <f t="shared" si="174"/>
        <v>-5.0208823029540828E-3</v>
      </c>
      <c r="AM463" s="26">
        <f t="shared" si="175"/>
        <v>-2.6873945831628943E-2</v>
      </c>
      <c r="AN463" s="26">
        <f t="shared" si="176"/>
        <v>18.160476190476196</v>
      </c>
      <c r="AO463" s="26">
        <f t="shared" si="177"/>
        <v>18.330776678141142</v>
      </c>
      <c r="AP463" s="26">
        <f t="shared" si="178"/>
        <v>17.844988314382491</v>
      </c>
      <c r="AS463" s="2">
        <v>45017</v>
      </c>
      <c r="AT463">
        <v>16.600000000000001</v>
      </c>
      <c r="AU463">
        <v>14.6</v>
      </c>
      <c r="AV463">
        <v>82</v>
      </c>
      <c r="AW463">
        <v>17.899999999999999</v>
      </c>
      <c r="AX463">
        <v>86.86</v>
      </c>
      <c r="AY463">
        <v>0.7</v>
      </c>
      <c r="AZ463">
        <v>3</v>
      </c>
      <c r="BA463">
        <v>133.69159999999999</v>
      </c>
      <c r="BB463">
        <v>40.683100000000003</v>
      </c>
      <c r="BC463">
        <v>28.712499999999999</v>
      </c>
      <c r="BD463">
        <v>3.2454999999999998</v>
      </c>
      <c r="BE463">
        <v>21.858599999999999</v>
      </c>
      <c r="BH463">
        <v>55.86</v>
      </c>
    </row>
    <row r="464" spans="1:60" x14ac:dyDescent="0.25">
      <c r="A464" s="2">
        <v>45037</v>
      </c>
      <c r="B464">
        <v>14.8</v>
      </c>
      <c r="C464">
        <v>20.5</v>
      </c>
      <c r="D464">
        <v>50.6</v>
      </c>
      <c r="E464">
        <v>16.8</v>
      </c>
      <c r="F464">
        <v>280.89</v>
      </c>
      <c r="G464">
        <v>0.5</v>
      </c>
      <c r="H464">
        <v>2.6</v>
      </c>
      <c r="I464">
        <v>192.81729999999999</v>
      </c>
      <c r="J464">
        <v>96.709299999999999</v>
      </c>
      <c r="K464">
        <v>87.735500000000002</v>
      </c>
      <c r="L464">
        <v>2.7467999999999999</v>
      </c>
      <c r="M464">
        <v>28.936599999999999</v>
      </c>
      <c r="N464">
        <v>-19.0259</v>
      </c>
      <c r="O464">
        <v>-28.8642</v>
      </c>
      <c r="P464">
        <v>57.32</v>
      </c>
      <c r="S464">
        <f t="shared" si="157"/>
        <v>795.63549999999998</v>
      </c>
      <c r="T464">
        <f t="shared" si="158"/>
        <v>1.3874481874817485E-2</v>
      </c>
      <c r="U464">
        <f t="shared" si="159"/>
        <v>1.9218032326605298E-2</v>
      </c>
      <c r="V464">
        <f t="shared" si="160"/>
        <v>4.7435728572011129E-2</v>
      </c>
      <c r="W464">
        <f t="shared" si="161"/>
        <v>1.5749411857900929E-2</v>
      </c>
      <c r="X464">
        <f t="shared" si="162"/>
        <v>0.26332454147415424</v>
      </c>
      <c r="Y464">
        <f t="shared" si="163"/>
        <v>4.6873249577086097E-4</v>
      </c>
      <c r="Z464">
        <f t="shared" si="164"/>
        <v>2.437408978008477E-3</v>
      </c>
      <c r="AA464">
        <f t="shared" si="165"/>
        <v>0.18075946851359764</v>
      </c>
      <c r="AB464">
        <f t="shared" si="166"/>
        <v>9.066158310650585E-2</v>
      </c>
      <c r="AC464">
        <f t="shared" si="167"/>
        <v>8.2248959765408747E-2</v>
      </c>
      <c r="AD464">
        <f t="shared" si="168"/>
        <v>2.5750288387668017E-3</v>
      </c>
      <c r="AE464">
        <f t="shared" si="169"/>
        <v>2.7127049474246188E-2</v>
      </c>
      <c r="AG464">
        <f t="shared" si="170"/>
        <v>-0.60458041651732286</v>
      </c>
      <c r="AH464">
        <f t="shared" si="171"/>
        <v>0.38963538705351458</v>
      </c>
      <c r="AI464">
        <f t="shared" si="172"/>
        <v>1.2221431021160034</v>
      </c>
      <c r="AK464" s="26">
        <f t="shared" si="173"/>
        <v>-4.9424448948592326E-3</v>
      </c>
      <c r="AL464" s="26">
        <f t="shared" si="174"/>
        <v>-7.3648751535071999E-3</v>
      </c>
      <c r="AM464" s="26">
        <f t="shared" si="175"/>
        <v>-2.739561541298946E-2</v>
      </c>
      <c r="AN464" s="26">
        <f t="shared" si="176"/>
        <v>18.215714285714292</v>
      </c>
      <c r="AO464" s="26">
        <f t="shared" si="177"/>
        <v>18.356075731497427</v>
      </c>
      <c r="AP464" s="26">
        <f t="shared" si="178"/>
        <v>17.78290144691578</v>
      </c>
      <c r="AS464" s="2">
        <v>45016</v>
      </c>
      <c r="AT464">
        <v>17.8</v>
      </c>
      <c r="AU464">
        <v>23.3</v>
      </c>
      <c r="AV464">
        <v>36.1</v>
      </c>
      <c r="AW464">
        <v>10.9</v>
      </c>
      <c r="AX464">
        <v>111.11</v>
      </c>
      <c r="AY464">
        <v>0.9</v>
      </c>
      <c r="AZ464">
        <v>3.2</v>
      </c>
      <c r="BA464">
        <v>194.9188</v>
      </c>
      <c r="BB464">
        <v>44.353400000000001</v>
      </c>
      <c r="BC464">
        <v>74.497299999999996</v>
      </c>
      <c r="BD464">
        <v>3.5024000000000002</v>
      </c>
      <c r="BE464">
        <v>37.099499999999999</v>
      </c>
      <c r="BF464">
        <v>-34.827300000000001</v>
      </c>
      <c r="BG464">
        <v>-17.672499999999999</v>
      </c>
      <c r="BH464">
        <v>55.84</v>
      </c>
    </row>
    <row r="465" spans="1:60" x14ac:dyDescent="0.25">
      <c r="A465" s="2">
        <v>45036</v>
      </c>
      <c r="B465">
        <v>15.1</v>
      </c>
      <c r="C465">
        <v>9.4</v>
      </c>
      <c r="D465">
        <v>54.9</v>
      </c>
      <c r="E465">
        <v>13.4</v>
      </c>
      <c r="F465">
        <v>140.61000000000001</v>
      </c>
      <c r="G465">
        <v>0.5</v>
      </c>
      <c r="H465">
        <v>2.6</v>
      </c>
      <c r="I465">
        <v>220.92660000000001</v>
      </c>
      <c r="J465">
        <v>126.8485</v>
      </c>
      <c r="K465">
        <v>94.307000000000002</v>
      </c>
      <c r="L465">
        <v>2.6515</v>
      </c>
      <c r="M465">
        <v>35.919600000000003</v>
      </c>
      <c r="N465">
        <v>-19.069900000000001</v>
      </c>
      <c r="O465">
        <v>-28.540199999999999</v>
      </c>
      <c r="P465">
        <v>57.17</v>
      </c>
      <c r="S465">
        <f t="shared" si="157"/>
        <v>717.16320000000019</v>
      </c>
      <c r="T465">
        <f t="shared" si="158"/>
        <v>1.415572137228E-2</v>
      </c>
      <c r="U465">
        <f t="shared" si="159"/>
        <v>8.8121709204921871E-3</v>
      </c>
      <c r="V465">
        <f t="shared" si="160"/>
        <v>5.1466828035640531E-2</v>
      </c>
      <c r="W465">
        <f t="shared" si="161"/>
        <v>1.2562030886659074E-2</v>
      </c>
      <c r="X465">
        <f t="shared" si="162"/>
        <v>0.13181695246068154</v>
      </c>
      <c r="Y465">
        <f t="shared" si="163"/>
        <v>4.6873249577086097E-4</v>
      </c>
      <c r="Z465">
        <f t="shared" si="164"/>
        <v>2.437408978008477E-3</v>
      </c>
      <c r="AA465">
        <f t="shared" si="165"/>
        <v>0.2071109532003414</v>
      </c>
      <c r="AB465">
        <f t="shared" si="166"/>
        <v>0.11891602797958012</v>
      </c>
      <c r="AC465">
        <f t="shared" si="167"/>
        <v>8.8409510957325174E-2</v>
      </c>
      <c r="AD465">
        <f t="shared" si="168"/>
        <v>2.4856884250728756E-3</v>
      </c>
      <c r="AE465">
        <f t="shared" si="169"/>
        <v>3.3673367510182038E-2</v>
      </c>
      <c r="AG465">
        <f t="shared" si="170"/>
        <v>-0.60797111000288717</v>
      </c>
      <c r="AH465">
        <f t="shared" si="171"/>
        <v>0.25539321265971471</v>
      </c>
      <c r="AI465">
        <f t="shared" si="172"/>
        <v>0.17693531291017853</v>
      </c>
      <c r="AK465" s="26">
        <f t="shared" si="173"/>
        <v>-9.1117951480665926E-3</v>
      </c>
      <c r="AL465" s="26">
        <f t="shared" si="174"/>
        <v>-1.1817118945428223E-2</v>
      </c>
      <c r="AM465" s="26">
        <f t="shared" si="175"/>
        <v>-2.7577875512290101E-2</v>
      </c>
      <c r="AN465" s="26">
        <f t="shared" si="176"/>
        <v>18.265079365079359</v>
      </c>
      <c r="AO465" s="26">
        <f t="shared" si="177"/>
        <v>18.381553356282261</v>
      </c>
      <c r="AP465" s="26">
        <f t="shared" si="178"/>
        <v>17.718604028255548</v>
      </c>
      <c r="AS465" s="2">
        <v>45015</v>
      </c>
      <c r="AT465">
        <v>13.8</v>
      </c>
      <c r="AU465">
        <v>0.9</v>
      </c>
      <c r="AV465">
        <v>78.8</v>
      </c>
      <c r="AW465">
        <v>19</v>
      </c>
      <c r="AX465">
        <v>105.27</v>
      </c>
      <c r="AY465">
        <v>0.9</v>
      </c>
      <c r="AZ465">
        <v>3.1</v>
      </c>
      <c r="BA465">
        <v>182.96520000000001</v>
      </c>
      <c r="BB465">
        <v>51.479700000000001</v>
      </c>
      <c r="BC465">
        <v>60.712000000000003</v>
      </c>
      <c r="BD465">
        <v>2.9142000000000001</v>
      </c>
      <c r="BE465">
        <v>24.805499999999999</v>
      </c>
      <c r="BF465">
        <v>-20.680800000000001</v>
      </c>
      <c r="BG465">
        <v>-26.115100000000002</v>
      </c>
      <c r="BH465">
        <v>55.65</v>
      </c>
    </row>
    <row r="466" spans="1:60" x14ac:dyDescent="0.25">
      <c r="A466" s="2">
        <v>45035</v>
      </c>
      <c r="B466">
        <v>14.4</v>
      </c>
      <c r="C466">
        <v>0.9</v>
      </c>
      <c r="D466">
        <v>23.8</v>
      </c>
      <c r="E466">
        <v>16.600000000000001</v>
      </c>
      <c r="F466">
        <v>202.69</v>
      </c>
      <c r="G466">
        <v>0.5</v>
      </c>
      <c r="H466">
        <v>2.1</v>
      </c>
      <c r="I466">
        <v>202.0804</v>
      </c>
      <c r="J466">
        <v>109.76139999999999</v>
      </c>
      <c r="K466">
        <v>65.637100000000004</v>
      </c>
      <c r="L466">
        <v>2.6511</v>
      </c>
      <c r="M466">
        <v>25.569099999999999</v>
      </c>
      <c r="N466">
        <v>-19.0381</v>
      </c>
      <c r="O466">
        <v>-28.770499999999998</v>
      </c>
      <c r="P466">
        <v>57.02</v>
      </c>
      <c r="S466">
        <f t="shared" si="157"/>
        <v>666.68910000000017</v>
      </c>
      <c r="T466">
        <f t="shared" si="158"/>
        <v>1.3499495878200795E-2</v>
      </c>
      <c r="U466">
        <f t="shared" si="159"/>
        <v>8.4371849238754971E-4</v>
      </c>
      <c r="V466">
        <f t="shared" si="160"/>
        <v>2.2311666798692981E-2</v>
      </c>
      <c r="W466">
        <f t="shared" si="161"/>
        <v>1.5561918859592586E-2</v>
      </c>
      <c r="X466">
        <f t="shared" si="162"/>
        <v>0.19001477913559162</v>
      </c>
      <c r="Y466">
        <f t="shared" si="163"/>
        <v>4.6873249577086097E-4</v>
      </c>
      <c r="Z466">
        <f t="shared" si="164"/>
        <v>1.9686764822376161E-3</v>
      </c>
      <c r="AA466">
        <f t="shared" si="165"/>
        <v>0.18944330047674779</v>
      </c>
      <c r="AB466">
        <f t="shared" si="166"/>
        <v>0.10289746992260755</v>
      </c>
      <c r="AC466">
        <f t="shared" si="167"/>
        <v>6.1532483396323161E-2</v>
      </c>
      <c r="AD466">
        <f t="shared" si="168"/>
        <v>2.4853134390762591E-3</v>
      </c>
      <c r="AE466">
        <f t="shared" si="169"/>
        <v>2.397013611522944E-2</v>
      </c>
      <c r="AG466">
        <f t="shared" si="170"/>
        <v>-0.61134599266545042</v>
      </c>
      <c r="AH466">
        <f t="shared" si="171"/>
        <v>0.26863912425770342</v>
      </c>
      <c r="AI466">
        <f t="shared" si="172"/>
        <v>0.27664333057293661</v>
      </c>
      <c r="AK466" s="26">
        <f t="shared" si="173"/>
        <v>-6.148627530047801E-3</v>
      </c>
      <c r="AL466" s="26">
        <f t="shared" si="174"/>
        <v>-1.2069801641677508E-2</v>
      </c>
      <c r="AM466" s="26">
        <f t="shared" si="175"/>
        <v>-2.6927647837053065E-2</v>
      </c>
      <c r="AN466" s="26">
        <f t="shared" si="176"/>
        <v>18.302380952380965</v>
      </c>
      <c r="AO466" s="26">
        <f t="shared" si="177"/>
        <v>18.406817986230635</v>
      </c>
      <c r="AP466" s="26">
        <f t="shared" si="178"/>
        <v>17.650709802788782</v>
      </c>
      <c r="AS466" s="2">
        <v>45014</v>
      </c>
      <c r="AT466">
        <v>13.4</v>
      </c>
      <c r="AU466">
        <v>17</v>
      </c>
      <c r="AV466">
        <v>52.4</v>
      </c>
      <c r="AW466">
        <v>7.1</v>
      </c>
      <c r="AX466">
        <v>121.4</v>
      </c>
      <c r="AY466">
        <v>0.9</v>
      </c>
      <c r="AZ466">
        <v>2.9</v>
      </c>
      <c r="BA466">
        <v>279.70729999999998</v>
      </c>
      <c r="BB466">
        <v>81.896100000000004</v>
      </c>
      <c r="BC466">
        <v>110.1908</v>
      </c>
      <c r="BD466">
        <v>3.427</v>
      </c>
      <c r="BE466">
        <v>37.786799999999999</v>
      </c>
      <c r="BF466">
        <v>-20.052</v>
      </c>
      <c r="BG466">
        <v>-27.209900000000001</v>
      </c>
      <c r="BH466">
        <v>55.61</v>
      </c>
    </row>
    <row r="467" spans="1:60" x14ac:dyDescent="0.25">
      <c r="A467" s="2">
        <v>45034</v>
      </c>
      <c r="B467">
        <v>15.1</v>
      </c>
      <c r="C467">
        <v>63.9</v>
      </c>
      <c r="D467">
        <v>32.700000000000003</v>
      </c>
      <c r="E467">
        <v>7.1</v>
      </c>
      <c r="F467">
        <v>146.44999999999999</v>
      </c>
      <c r="G467">
        <v>0.5</v>
      </c>
      <c r="H467">
        <v>2.6</v>
      </c>
      <c r="I467">
        <v>271.6678</v>
      </c>
      <c r="J467">
        <v>108.7021</v>
      </c>
      <c r="K467">
        <v>81.053200000000004</v>
      </c>
      <c r="L467">
        <v>2.6335999999999999</v>
      </c>
      <c r="M467">
        <v>28.699200000000001</v>
      </c>
      <c r="N467">
        <v>-21.412800000000001</v>
      </c>
      <c r="O467">
        <v>-25.902000000000001</v>
      </c>
      <c r="P467">
        <v>56.85</v>
      </c>
      <c r="S467">
        <f t="shared" si="157"/>
        <v>761.10590000000013</v>
      </c>
      <c r="T467">
        <f t="shared" si="158"/>
        <v>1.415572137228E-2</v>
      </c>
      <c r="U467">
        <f t="shared" si="159"/>
        <v>5.9904012959516029E-2</v>
      </c>
      <c r="V467">
        <f t="shared" si="160"/>
        <v>3.065510522341431E-2</v>
      </c>
      <c r="W467">
        <f t="shared" si="161"/>
        <v>6.6560014399462252E-3</v>
      </c>
      <c r="X467">
        <f t="shared" si="162"/>
        <v>0.13729174801128516</v>
      </c>
      <c r="Y467">
        <f t="shared" si="163"/>
        <v>4.6873249577086097E-4</v>
      </c>
      <c r="Z467">
        <f t="shared" si="164"/>
        <v>2.437408978008477E-3</v>
      </c>
      <c r="AA467">
        <f t="shared" si="165"/>
        <v>0.25467905182915818</v>
      </c>
      <c r="AB467">
        <f t="shared" si="166"/>
        <v>0.10190441325706741</v>
      </c>
      <c r="AC467">
        <f t="shared" si="167"/>
        <v>7.5984537452429501E-2</v>
      </c>
      <c r="AD467">
        <f t="shared" si="168"/>
        <v>2.4689078017242788E-3</v>
      </c>
      <c r="AE467">
        <f t="shared" si="169"/>
        <v>2.6904495285254185E-2</v>
      </c>
      <c r="AG467">
        <f t="shared" si="170"/>
        <v>-0.61564082766968775</v>
      </c>
      <c r="AH467">
        <f t="shared" si="171"/>
        <v>0.27847322576547523</v>
      </c>
      <c r="AI467">
        <f t="shared" si="172"/>
        <v>0.3513772604410067</v>
      </c>
      <c r="AK467" s="26">
        <f t="shared" si="173"/>
        <v>-8.5218186680960928E-3</v>
      </c>
      <c r="AL467" s="26">
        <f t="shared" si="174"/>
        <v>-1.2171597108755622E-2</v>
      </c>
      <c r="AM467" s="26">
        <f t="shared" si="175"/>
        <v>-2.6080856642587164E-2</v>
      </c>
      <c r="AN467" s="26">
        <f t="shared" si="176"/>
        <v>18.33492063492065</v>
      </c>
      <c r="AO467" s="26">
        <f t="shared" si="177"/>
        <v>18.430064543889848</v>
      </c>
      <c r="AP467" s="26">
        <f t="shared" si="178"/>
        <v>17.579098500564584</v>
      </c>
      <c r="AS467" s="2">
        <v>45013</v>
      </c>
      <c r="AT467">
        <v>13.5</v>
      </c>
      <c r="AU467">
        <v>11.6</v>
      </c>
      <c r="AV467">
        <v>47.2</v>
      </c>
      <c r="AW467">
        <v>8.1999999999999993</v>
      </c>
      <c r="AX467">
        <v>206.92</v>
      </c>
      <c r="AY467">
        <v>0.9</v>
      </c>
      <c r="AZ467">
        <v>2.8</v>
      </c>
      <c r="BA467">
        <v>227.08090000000001</v>
      </c>
      <c r="BB467">
        <v>122.88849999999999</v>
      </c>
      <c r="BC467">
        <v>84.340299999999999</v>
      </c>
      <c r="BD467">
        <v>3.363</v>
      </c>
      <c r="BE467">
        <v>36.930999999999997</v>
      </c>
      <c r="BF467">
        <v>-18.603400000000001</v>
      </c>
      <c r="BG467">
        <v>-25.128699999999998</v>
      </c>
      <c r="BH467">
        <v>55.69</v>
      </c>
    </row>
    <row r="468" spans="1:60" x14ac:dyDescent="0.25">
      <c r="A468" s="2">
        <v>45033</v>
      </c>
      <c r="B468">
        <v>17.100000000000001</v>
      </c>
      <c r="C468">
        <v>1.3</v>
      </c>
      <c r="D468">
        <v>14.4</v>
      </c>
      <c r="E468">
        <v>6</v>
      </c>
      <c r="F468">
        <v>164.42</v>
      </c>
      <c r="G468">
        <v>0.4</v>
      </c>
      <c r="H468">
        <v>3</v>
      </c>
      <c r="I468">
        <v>266.60939999999999</v>
      </c>
      <c r="J468">
        <v>108.1536</v>
      </c>
      <c r="K468">
        <v>112.4799</v>
      </c>
      <c r="L468">
        <v>3.1021000000000001</v>
      </c>
      <c r="M468">
        <v>35.702300000000001</v>
      </c>
      <c r="N468">
        <v>-19.0563</v>
      </c>
      <c r="O468">
        <v>-25.196400000000001</v>
      </c>
      <c r="P468">
        <v>56.71</v>
      </c>
      <c r="S468">
        <f t="shared" si="157"/>
        <v>732.66730000000007</v>
      </c>
      <c r="T468">
        <f t="shared" si="158"/>
        <v>1.6030651355363447E-2</v>
      </c>
      <c r="U468">
        <f t="shared" si="159"/>
        <v>1.2187044890042385E-3</v>
      </c>
      <c r="V468">
        <f t="shared" si="160"/>
        <v>1.3499495878200795E-2</v>
      </c>
      <c r="W468">
        <f t="shared" si="161"/>
        <v>5.6247899492503318E-3</v>
      </c>
      <c r="X468">
        <f t="shared" si="162"/>
        <v>0.15413799390928989</v>
      </c>
      <c r="Y468">
        <f t="shared" si="163"/>
        <v>3.7498599661668879E-4</v>
      </c>
      <c r="Z468">
        <f t="shared" si="164"/>
        <v>2.8123949746251659E-3</v>
      </c>
      <c r="AA468">
        <f t="shared" si="165"/>
        <v>0.24993697891594355</v>
      </c>
      <c r="AB468">
        <f t="shared" si="166"/>
        <v>0.10139021370920677</v>
      </c>
      <c r="AC468">
        <f t="shared" si="167"/>
        <v>0.10544596850211373</v>
      </c>
      <c r="AD468">
        <f t="shared" si="168"/>
        <v>2.9081101502615755E-3</v>
      </c>
      <c r="AE468">
        <f t="shared" si="169"/>
        <v>3.3469656367520022E-2</v>
      </c>
      <c r="AG468">
        <f t="shared" si="170"/>
        <v>-0.61852162713663839</v>
      </c>
      <c r="AH468">
        <f t="shared" si="171"/>
        <v>0.22716867291987058</v>
      </c>
      <c r="AI468">
        <f t="shared" si="172"/>
        <v>-4.8948589866972918E-2</v>
      </c>
      <c r="AK468" s="26">
        <f t="shared" si="173"/>
        <v>-6.5855189529790414E-3</v>
      </c>
      <c r="AL468" s="26">
        <f t="shared" si="174"/>
        <v>-1.1796414764856461E-2</v>
      </c>
      <c r="AM468" s="26">
        <f t="shared" si="175"/>
        <v>-2.5887995495864263E-2</v>
      </c>
      <c r="AN468" s="26">
        <f t="shared" si="176"/>
        <v>18.368888888888897</v>
      </c>
      <c r="AO468" s="26">
        <f t="shared" si="177"/>
        <v>18.451404905335629</v>
      </c>
      <c r="AP468" s="26">
        <f t="shared" si="178"/>
        <v>17.504153777474322</v>
      </c>
      <c r="AS468" s="2">
        <v>45012</v>
      </c>
      <c r="AT468">
        <v>12.9</v>
      </c>
      <c r="AU468">
        <v>3.9</v>
      </c>
      <c r="AV468">
        <v>65.5</v>
      </c>
      <c r="AW468">
        <v>15.5</v>
      </c>
      <c r="AX468">
        <v>181.78</v>
      </c>
      <c r="AY468">
        <v>0.9</v>
      </c>
      <c r="AZ468">
        <v>3.2</v>
      </c>
      <c r="BA468">
        <v>162.19560000000001</v>
      </c>
      <c r="BB468">
        <v>96.406099999999995</v>
      </c>
      <c r="BC468">
        <v>65.303100000000001</v>
      </c>
      <c r="BD468">
        <v>3.3424999999999998</v>
      </c>
      <c r="BE468">
        <v>32.970500000000001</v>
      </c>
      <c r="BF468">
        <v>-18.9071</v>
      </c>
      <c r="BG468">
        <v>-23.0303</v>
      </c>
      <c r="BH468">
        <v>55.9</v>
      </c>
    </row>
    <row r="469" spans="1:60" x14ac:dyDescent="0.25">
      <c r="A469" s="2">
        <v>45032</v>
      </c>
      <c r="B469">
        <v>16</v>
      </c>
      <c r="C469">
        <v>59.6</v>
      </c>
      <c r="D469">
        <v>13.8</v>
      </c>
      <c r="E469">
        <v>5</v>
      </c>
      <c r="F469">
        <v>95.23</v>
      </c>
      <c r="G469">
        <v>0.5</v>
      </c>
      <c r="H469">
        <v>3.1</v>
      </c>
      <c r="I469">
        <v>241.44370000000001</v>
      </c>
      <c r="J469">
        <v>56.537300000000002</v>
      </c>
      <c r="K469">
        <v>65.859300000000005</v>
      </c>
      <c r="L469">
        <v>3.0436000000000001</v>
      </c>
      <c r="M469">
        <v>18.8017</v>
      </c>
      <c r="P469">
        <v>56.6</v>
      </c>
      <c r="S469">
        <f t="shared" si="157"/>
        <v>578.91559999999993</v>
      </c>
      <c r="T469">
        <f t="shared" si="158"/>
        <v>1.4999439864667551E-2</v>
      </c>
      <c r="U469">
        <f t="shared" si="159"/>
        <v>5.5872913495886627E-2</v>
      </c>
      <c r="V469">
        <f t="shared" si="160"/>
        <v>1.2937016883275762E-2</v>
      </c>
      <c r="W469">
        <f t="shared" si="161"/>
        <v>4.6873249577086091E-3</v>
      </c>
      <c r="X469">
        <f t="shared" si="162"/>
        <v>8.9274791144518181E-2</v>
      </c>
      <c r="Y469">
        <f t="shared" si="163"/>
        <v>4.6873249577086097E-4</v>
      </c>
      <c r="Z469">
        <f t="shared" si="164"/>
        <v>2.9061414737793379E-3</v>
      </c>
      <c r="AA469">
        <f t="shared" si="165"/>
        <v>0.22634501617830205</v>
      </c>
      <c r="AB469">
        <f t="shared" si="166"/>
        <v>5.3001739466291796E-2</v>
      </c>
      <c r="AC469">
        <f t="shared" si="167"/>
        <v>6.1740788117443733E-2</v>
      </c>
      <c r="AD469">
        <f t="shared" si="168"/>
        <v>2.8532684482563851E-3</v>
      </c>
      <c r="AE469">
        <f t="shared" si="169"/>
        <v>1.7625935531469992E-2</v>
      </c>
      <c r="AG469">
        <f t="shared" si="170"/>
        <v>-0.61996881629040945</v>
      </c>
      <c r="AH469">
        <f t="shared" si="171"/>
        <v>0.19877229584707695</v>
      </c>
      <c r="AI469">
        <f t="shared" si="172"/>
        <v>-0.27158837450515849</v>
      </c>
      <c r="AK469" s="26">
        <f t="shared" si="173"/>
        <v>-4.8997530367523301E-3</v>
      </c>
      <c r="AL469" s="26">
        <f t="shared" si="174"/>
        <v>-1.3717776553965555E-2</v>
      </c>
      <c r="AM469" s="26">
        <f t="shared" si="175"/>
        <v>-2.5404058372058669E-2</v>
      </c>
      <c r="AN469" s="26">
        <f t="shared" si="176"/>
        <v>18.409206349206357</v>
      </c>
      <c r="AO469" s="26">
        <f t="shared" si="177"/>
        <v>18.472771084337353</v>
      </c>
      <c r="AP469" s="26">
        <f t="shared" si="178"/>
        <v>17.425616449147874</v>
      </c>
      <c r="AS469" s="2">
        <v>45011</v>
      </c>
      <c r="AT469">
        <v>12</v>
      </c>
      <c r="AU469">
        <v>5.8</v>
      </c>
      <c r="AV469">
        <v>52.2</v>
      </c>
      <c r="AW469">
        <v>11.9</v>
      </c>
      <c r="AX469">
        <v>107.95</v>
      </c>
      <c r="AY469">
        <v>0.9</v>
      </c>
      <c r="AZ469">
        <v>3.4</v>
      </c>
      <c r="BA469">
        <v>111.9359</v>
      </c>
      <c r="BB469">
        <v>40.187100000000001</v>
      </c>
      <c r="BC469">
        <v>36.347299999999997</v>
      </c>
      <c r="BD469">
        <v>3.0497000000000001</v>
      </c>
      <c r="BE469">
        <v>21.900400000000001</v>
      </c>
      <c r="BH469">
        <v>56.02</v>
      </c>
    </row>
    <row r="470" spans="1:60" x14ac:dyDescent="0.25">
      <c r="A470" s="2">
        <v>45031</v>
      </c>
      <c r="B470">
        <v>15.5</v>
      </c>
      <c r="C470">
        <v>2.1</v>
      </c>
      <c r="D470">
        <v>56.6</v>
      </c>
      <c r="E470">
        <v>8.1</v>
      </c>
      <c r="F470">
        <v>94.27</v>
      </c>
      <c r="G470">
        <v>0.5</v>
      </c>
      <c r="H470">
        <v>3.1</v>
      </c>
      <c r="I470">
        <v>228.20099999999999</v>
      </c>
      <c r="J470">
        <v>51.042200000000001</v>
      </c>
      <c r="K470">
        <v>72.805599999999998</v>
      </c>
      <c r="L470">
        <v>2.948</v>
      </c>
      <c r="M470">
        <v>13.7043</v>
      </c>
      <c r="P470">
        <v>56.38</v>
      </c>
      <c r="S470">
        <f t="shared" si="157"/>
        <v>548.87109999999996</v>
      </c>
      <c r="T470">
        <f t="shared" si="158"/>
        <v>1.453070736889669E-2</v>
      </c>
      <c r="U470">
        <f t="shared" si="159"/>
        <v>1.9686764822376161E-3</v>
      </c>
      <c r="V470">
        <f t="shared" si="160"/>
        <v>5.3060518521261459E-2</v>
      </c>
      <c r="W470">
        <f t="shared" si="161"/>
        <v>7.593466431487947E-3</v>
      </c>
      <c r="X470">
        <f t="shared" si="162"/>
        <v>8.8374824752638123E-2</v>
      </c>
      <c r="Y470">
        <f t="shared" si="163"/>
        <v>4.6873249577086097E-4</v>
      </c>
      <c r="Z470">
        <f t="shared" si="164"/>
        <v>2.9061414737793379E-3</v>
      </c>
      <c r="AA470">
        <f t="shared" si="165"/>
        <v>0.21393044853481247</v>
      </c>
      <c r="AB470">
        <f t="shared" si="166"/>
        <v>4.7850275591270877E-2</v>
      </c>
      <c r="AC470">
        <f t="shared" si="167"/>
        <v>6.825270118818999E-2</v>
      </c>
      <c r="AD470">
        <f t="shared" si="168"/>
        <v>2.7636467950649963E-3</v>
      </c>
      <c r="AE470">
        <f t="shared" si="169"/>
        <v>1.2847301483585219E-2</v>
      </c>
      <c r="AG470">
        <f t="shared" si="170"/>
        <v>-0.62650238841173056</v>
      </c>
      <c r="AH470">
        <f t="shared" si="171"/>
        <v>0.18175036900965724</v>
      </c>
      <c r="AI470">
        <f t="shared" si="172"/>
        <v>-0.40464505242535309</v>
      </c>
      <c r="AK470" s="26">
        <f t="shared" si="173"/>
        <v>-6.1489132336643992E-3</v>
      </c>
      <c r="AL470" s="26">
        <f t="shared" si="174"/>
        <v>-1.3442899454718299E-2</v>
      </c>
      <c r="AM470" s="26">
        <f t="shared" si="175"/>
        <v>-2.5259792305226125E-2</v>
      </c>
      <c r="AN470" s="26">
        <f t="shared" si="176"/>
        <v>18.451904761904771</v>
      </c>
      <c r="AO470" s="26">
        <f t="shared" si="177"/>
        <v>18.491953528399314</v>
      </c>
      <c r="AP470" s="26">
        <f t="shared" si="178"/>
        <v>17.343133058480603</v>
      </c>
      <c r="AS470" s="2">
        <v>45010</v>
      </c>
      <c r="AT470">
        <v>13.1</v>
      </c>
      <c r="AU470">
        <v>5.7</v>
      </c>
      <c r="AV470">
        <v>70.3</v>
      </c>
      <c r="AW470">
        <v>17.600000000000001</v>
      </c>
      <c r="AX470">
        <v>144.34</v>
      </c>
      <c r="AY470">
        <v>0.7</v>
      </c>
      <c r="AZ470">
        <v>3.3</v>
      </c>
      <c r="BA470">
        <v>97.978200000000001</v>
      </c>
      <c r="BB470">
        <v>49.755600000000001</v>
      </c>
      <c r="BC470">
        <v>34.278300000000002</v>
      </c>
      <c r="BD470">
        <v>3.2431000000000001</v>
      </c>
      <c r="BE470">
        <v>13.7509</v>
      </c>
      <c r="BH470">
        <v>56.05</v>
      </c>
    </row>
    <row r="471" spans="1:60" x14ac:dyDescent="0.25">
      <c r="A471" s="2">
        <v>45030</v>
      </c>
      <c r="B471">
        <v>15.7</v>
      </c>
      <c r="C471">
        <v>0.8</v>
      </c>
      <c r="D471">
        <v>31.5</v>
      </c>
      <c r="E471">
        <v>3.2</v>
      </c>
      <c r="F471">
        <v>170.31</v>
      </c>
      <c r="G471">
        <v>0.5</v>
      </c>
      <c r="H471">
        <v>3.2</v>
      </c>
      <c r="I471">
        <v>275.95370000000003</v>
      </c>
      <c r="J471">
        <v>110.7931</v>
      </c>
      <c r="K471">
        <v>118.9962</v>
      </c>
      <c r="L471">
        <v>2.9460000000000002</v>
      </c>
      <c r="M471">
        <v>30.3325</v>
      </c>
      <c r="N471">
        <v>-19.4589</v>
      </c>
      <c r="O471">
        <v>-25.440899999999999</v>
      </c>
      <c r="P471">
        <v>56.27</v>
      </c>
      <c r="S471">
        <f t="shared" si="157"/>
        <v>764.2315000000001</v>
      </c>
      <c r="T471">
        <f t="shared" si="158"/>
        <v>1.4718200367205033E-2</v>
      </c>
      <c r="U471">
        <f t="shared" si="159"/>
        <v>7.4997199323337759E-4</v>
      </c>
      <c r="V471">
        <f t="shared" si="160"/>
        <v>2.9530147233564241E-2</v>
      </c>
      <c r="W471">
        <f t="shared" si="161"/>
        <v>2.9998879729335104E-3</v>
      </c>
      <c r="X471">
        <f t="shared" si="162"/>
        <v>0.15965966270947066</v>
      </c>
      <c r="Y471">
        <f t="shared" si="163"/>
        <v>4.6873249577086097E-4</v>
      </c>
      <c r="Z471">
        <f t="shared" si="164"/>
        <v>2.9998879729335104E-3</v>
      </c>
      <c r="AA471">
        <f t="shared" si="165"/>
        <v>0.2586969330364069</v>
      </c>
      <c r="AB471">
        <f t="shared" si="166"/>
        <v>0.10386465255438114</v>
      </c>
      <c r="AC471">
        <f t="shared" si="167"/>
        <v>0.11155477162649705</v>
      </c>
      <c r="AD471">
        <f t="shared" si="168"/>
        <v>2.7617718650819129E-3</v>
      </c>
      <c r="AE471">
        <f t="shared" si="169"/>
        <v>2.8435656855939278E-2</v>
      </c>
      <c r="AG471">
        <f t="shared" si="170"/>
        <v>-0.62788247744938264</v>
      </c>
      <c r="AH471">
        <f t="shared" si="171"/>
        <v>0.23956214760105046</v>
      </c>
      <c r="AI471">
        <f t="shared" si="172"/>
        <v>4.4653583784604545E-2</v>
      </c>
      <c r="AK471" s="26">
        <f t="shared" si="173"/>
        <v>-5.5976317372493645E-3</v>
      </c>
      <c r="AL471" s="26">
        <f t="shared" si="174"/>
        <v>-1.3705842673029323E-2</v>
      </c>
      <c r="AM471" s="26">
        <f t="shared" si="175"/>
        <v>-2.5426521924876766E-2</v>
      </c>
      <c r="AN471" s="26">
        <f t="shared" si="176"/>
        <v>18.496349206349208</v>
      </c>
      <c r="AO471" s="26">
        <f t="shared" si="177"/>
        <v>18.508952237521513</v>
      </c>
      <c r="AP471" s="26">
        <f t="shared" si="178"/>
        <v>17.258445944171633</v>
      </c>
      <c r="AS471" s="2">
        <v>45009</v>
      </c>
      <c r="AT471">
        <v>11.5</v>
      </c>
      <c r="AU471">
        <v>39.299999999999997</v>
      </c>
      <c r="AV471">
        <v>58.2</v>
      </c>
      <c r="AW471">
        <v>20.399999999999999</v>
      </c>
      <c r="AX471">
        <v>99.82</v>
      </c>
      <c r="AY471">
        <v>0.9</v>
      </c>
      <c r="AZ471">
        <v>3.3</v>
      </c>
      <c r="BA471">
        <v>131.98609999999999</v>
      </c>
      <c r="BB471">
        <v>80.046199999999999</v>
      </c>
      <c r="BC471">
        <v>50.442300000000003</v>
      </c>
      <c r="BD471">
        <v>3.4319999999999999</v>
      </c>
      <c r="BE471">
        <v>31.588000000000001</v>
      </c>
      <c r="BF471">
        <v>-21.542300000000001</v>
      </c>
      <c r="BG471">
        <v>-27.038799999999998</v>
      </c>
      <c r="BH471">
        <v>55.83</v>
      </c>
    </row>
    <row r="472" spans="1:60" x14ac:dyDescent="0.25">
      <c r="A472" s="2">
        <v>45029</v>
      </c>
      <c r="B472">
        <v>13.6</v>
      </c>
      <c r="C472">
        <v>3.2</v>
      </c>
      <c r="D472">
        <v>63.5</v>
      </c>
      <c r="E472">
        <v>11.6</v>
      </c>
      <c r="F472">
        <v>160.76</v>
      </c>
      <c r="G472">
        <v>0.5</v>
      </c>
      <c r="H472">
        <v>3.1</v>
      </c>
      <c r="I472">
        <v>224.2911</v>
      </c>
      <c r="J472">
        <v>71.578299999999999</v>
      </c>
      <c r="K472">
        <v>81.213300000000004</v>
      </c>
      <c r="L472">
        <v>2.9531999999999998</v>
      </c>
      <c r="M472">
        <v>25.083500000000001</v>
      </c>
      <c r="N472">
        <v>-19.685700000000001</v>
      </c>
      <c r="O472">
        <v>-23.953600000000002</v>
      </c>
      <c r="P472">
        <v>56.27</v>
      </c>
      <c r="S472">
        <f t="shared" si="157"/>
        <v>661.37940000000003</v>
      </c>
      <c r="T472">
        <f t="shared" si="158"/>
        <v>1.2749523884967418E-2</v>
      </c>
      <c r="U472">
        <f t="shared" si="159"/>
        <v>2.9998879729335104E-3</v>
      </c>
      <c r="V472">
        <f t="shared" si="160"/>
        <v>5.9529026962899342E-2</v>
      </c>
      <c r="W472">
        <f t="shared" si="161"/>
        <v>1.0874593901883974E-2</v>
      </c>
      <c r="X472">
        <f t="shared" si="162"/>
        <v>0.15070687204024721</v>
      </c>
      <c r="Y472">
        <f t="shared" si="163"/>
        <v>4.6873249577086097E-4</v>
      </c>
      <c r="Z472">
        <f t="shared" si="164"/>
        <v>2.9061414737793379E-3</v>
      </c>
      <c r="AA472">
        <f t="shared" si="165"/>
        <v>0.21026505416438351</v>
      </c>
      <c r="AB472">
        <f t="shared" si="166"/>
        <v>6.7102150404070832E-2</v>
      </c>
      <c r="AC472">
        <f t="shared" si="167"/>
        <v>7.6134625597575334E-2</v>
      </c>
      <c r="AD472">
        <f t="shared" si="168"/>
        <v>2.7685216130210128E-3</v>
      </c>
      <c r="AE472">
        <f t="shared" si="169"/>
        <v>2.3514903115336782E-2</v>
      </c>
      <c r="AG472">
        <f t="shared" si="170"/>
        <v>-0.62409914387199639</v>
      </c>
      <c r="AH472">
        <f t="shared" si="171"/>
        <v>0.26374968184781844</v>
      </c>
      <c r="AI472">
        <f t="shared" si="172"/>
        <v>0.23240761100480883</v>
      </c>
      <c r="AK472" s="26">
        <f t="shared" si="173"/>
        <v>-2.7172928713324329E-3</v>
      </c>
      <c r="AL472" s="26">
        <f t="shared" si="174"/>
        <v>-1.5337019636615296E-2</v>
      </c>
      <c r="AM472" s="26">
        <f t="shared" si="175"/>
        <v>-2.4867431336247303E-2</v>
      </c>
      <c r="AN472" s="26">
        <f t="shared" si="176"/>
        <v>18.521428571428572</v>
      </c>
      <c r="AO472" s="26">
        <f t="shared" si="177"/>
        <v>18.519279259896734</v>
      </c>
      <c r="AP472" s="26">
        <f t="shared" si="178"/>
        <v>17.170101625482538</v>
      </c>
      <c r="AS472" s="2">
        <v>45008</v>
      </c>
      <c r="AT472">
        <v>11.2</v>
      </c>
      <c r="AU472">
        <v>2.2999999999999998</v>
      </c>
      <c r="AV472">
        <v>52.6</v>
      </c>
      <c r="AW472">
        <v>19.5</v>
      </c>
      <c r="AX472">
        <v>96.63</v>
      </c>
      <c r="AY472">
        <v>0.8</v>
      </c>
      <c r="AZ472">
        <v>2.9</v>
      </c>
      <c r="BA472">
        <v>143.4152</v>
      </c>
      <c r="BB472">
        <v>84.708299999999994</v>
      </c>
      <c r="BC472">
        <v>52.778500000000001</v>
      </c>
      <c r="BD472">
        <v>3.4432</v>
      </c>
      <c r="BE472">
        <v>38.116300000000003</v>
      </c>
      <c r="BF472">
        <v>-18.9434</v>
      </c>
      <c r="BG472">
        <v>-22.225999999999999</v>
      </c>
      <c r="BH472">
        <v>55.68</v>
      </c>
    </row>
    <row r="473" spans="1:60" x14ac:dyDescent="0.25">
      <c r="A473" s="2">
        <v>45028</v>
      </c>
      <c r="B473">
        <v>11.8</v>
      </c>
      <c r="C473">
        <v>20.100000000000001</v>
      </c>
      <c r="D473">
        <v>36.1</v>
      </c>
      <c r="E473">
        <v>14.3</v>
      </c>
      <c r="F473">
        <v>134.06</v>
      </c>
      <c r="G473">
        <v>0.5</v>
      </c>
      <c r="H473">
        <v>3.1</v>
      </c>
      <c r="I473">
        <v>203.65289999999999</v>
      </c>
      <c r="J473">
        <v>65.864199999999997</v>
      </c>
      <c r="K473">
        <v>83.996499999999997</v>
      </c>
      <c r="L473">
        <v>2.7035999999999998</v>
      </c>
      <c r="M473">
        <v>27.989699999999999</v>
      </c>
      <c r="N473">
        <v>-19.9161</v>
      </c>
      <c r="O473">
        <v>-24.5564</v>
      </c>
      <c r="P473">
        <v>56.19</v>
      </c>
      <c r="S473">
        <f t="shared" si="157"/>
        <v>604.16689999999994</v>
      </c>
      <c r="T473">
        <f t="shared" si="158"/>
        <v>1.1062086900192319E-2</v>
      </c>
      <c r="U473">
        <f t="shared" si="159"/>
        <v>1.8843046329988612E-2</v>
      </c>
      <c r="V473">
        <f t="shared" si="160"/>
        <v>3.3842486194656164E-2</v>
      </c>
      <c r="W473">
        <f t="shared" si="161"/>
        <v>1.3405749379046624E-2</v>
      </c>
      <c r="X473">
        <f t="shared" si="162"/>
        <v>0.12567655676608325</v>
      </c>
      <c r="Y473">
        <f t="shared" si="163"/>
        <v>4.6873249577086097E-4</v>
      </c>
      <c r="Z473">
        <f t="shared" si="164"/>
        <v>2.9061414737793379E-3</v>
      </c>
      <c r="AA473">
        <f t="shared" si="165"/>
        <v>0.19091746417594713</v>
      </c>
      <c r="AB473">
        <f t="shared" si="166"/>
        <v>6.1745381695902275E-2</v>
      </c>
      <c r="AC473">
        <f t="shared" si="167"/>
        <v>7.8743778162034248E-2</v>
      </c>
      <c r="AD473">
        <f t="shared" si="168"/>
        <v>2.534530351132199E-3</v>
      </c>
      <c r="AE473">
        <f t="shared" si="169"/>
        <v>2.6239363873755334E-2</v>
      </c>
      <c r="AG473">
        <f t="shared" si="170"/>
        <v>-0.62396652862080282</v>
      </c>
      <c r="AH473">
        <f t="shared" si="171"/>
        <v>0.23244416341327251</v>
      </c>
      <c r="AI473">
        <f t="shared" si="172"/>
        <v>-1.3177419901170707E-2</v>
      </c>
      <c r="AK473" s="26">
        <f t="shared" si="173"/>
        <v>-2.4690461894135152E-3</v>
      </c>
      <c r="AL473" s="26">
        <f t="shared" si="174"/>
        <v>-1.560154573471409E-2</v>
      </c>
      <c r="AM473" s="26">
        <f t="shared" si="175"/>
        <v>-2.4469822128998786E-2</v>
      </c>
      <c r="AN473" s="26">
        <f t="shared" si="176"/>
        <v>18.533174603174608</v>
      </c>
      <c r="AO473" s="26">
        <f t="shared" si="177"/>
        <v>18.52750430292599</v>
      </c>
      <c r="AP473" s="26">
        <f t="shared" si="178"/>
        <v>17.079497387148436</v>
      </c>
      <c r="AS473" s="2">
        <v>45007</v>
      </c>
      <c r="AT473">
        <v>11.8</v>
      </c>
      <c r="AU473">
        <v>3.4</v>
      </c>
      <c r="AV473">
        <v>68.900000000000006</v>
      </c>
      <c r="AW473">
        <v>19</v>
      </c>
      <c r="AX473">
        <v>181.25</v>
      </c>
      <c r="AY473">
        <v>0.9</v>
      </c>
      <c r="AZ473">
        <v>2.9</v>
      </c>
      <c r="BA473">
        <v>163.58109999999999</v>
      </c>
      <c r="BB473">
        <v>91.323800000000006</v>
      </c>
      <c r="BC473">
        <v>60.518599999999999</v>
      </c>
      <c r="BD473">
        <v>3.8784999999999998</v>
      </c>
      <c r="BE473">
        <v>25.3079</v>
      </c>
      <c r="BF473">
        <v>-18.176500000000001</v>
      </c>
      <c r="BG473">
        <v>-27.200800000000001</v>
      </c>
      <c r="BH473">
        <v>55.61</v>
      </c>
    </row>
    <row r="474" spans="1:60" x14ac:dyDescent="0.25">
      <c r="A474" s="2">
        <v>45027</v>
      </c>
      <c r="B474">
        <v>11</v>
      </c>
      <c r="C474">
        <v>3.1</v>
      </c>
      <c r="D474">
        <v>63.2</v>
      </c>
      <c r="E474">
        <v>14.6</v>
      </c>
      <c r="F474">
        <v>176.65</v>
      </c>
      <c r="G474">
        <v>0.5</v>
      </c>
      <c r="H474">
        <v>2.9</v>
      </c>
      <c r="I474">
        <v>130.56880000000001</v>
      </c>
      <c r="J474">
        <v>53.909300000000002</v>
      </c>
      <c r="K474">
        <v>68.466800000000006</v>
      </c>
      <c r="L474">
        <v>3.3999000000000001</v>
      </c>
      <c r="M474">
        <v>49.424500000000002</v>
      </c>
      <c r="N474">
        <v>-20.624500000000001</v>
      </c>
      <c r="O474">
        <v>-24.600899999999999</v>
      </c>
      <c r="P474">
        <v>56.11</v>
      </c>
      <c r="S474">
        <f t="shared" si="157"/>
        <v>577.71929999999998</v>
      </c>
      <c r="T474">
        <f t="shared" si="158"/>
        <v>1.0312114906958941E-2</v>
      </c>
      <c r="U474">
        <f t="shared" si="159"/>
        <v>2.9061414737793379E-3</v>
      </c>
      <c r="V474">
        <f t="shared" si="160"/>
        <v>5.9247787465436824E-2</v>
      </c>
      <c r="W474">
        <f t="shared" si="161"/>
        <v>1.368698887650914E-2</v>
      </c>
      <c r="X474">
        <f t="shared" si="162"/>
        <v>0.16560319075584518</v>
      </c>
      <c r="Y474">
        <f t="shared" si="163"/>
        <v>4.6873249577086097E-4</v>
      </c>
      <c r="Z474">
        <f t="shared" si="164"/>
        <v>2.7186484754709935E-3</v>
      </c>
      <c r="AA474">
        <f t="shared" si="165"/>
        <v>0.12240367898761279</v>
      </c>
      <c r="AB474">
        <f t="shared" si="166"/>
        <v>5.0538081468520152E-2</v>
      </c>
      <c r="AC474">
        <f t="shared" si="167"/>
        <v>6.4185228082888776E-2</v>
      </c>
      <c r="AD474">
        <f t="shared" si="168"/>
        <v>3.1872872247427006E-3</v>
      </c>
      <c r="AE474">
        <f t="shared" si="169"/>
        <v>4.6333738474453837E-2</v>
      </c>
      <c r="AG474">
        <f t="shared" si="170"/>
        <v>-0.62385010768071558</v>
      </c>
      <c r="AH474">
        <f t="shared" si="171"/>
        <v>0.30127734292422509</v>
      </c>
      <c r="AI474">
        <f t="shared" si="172"/>
        <v>0.5155145392320909</v>
      </c>
      <c r="AK474" s="26">
        <f t="shared" si="173"/>
        <v>6.5347500155481519E-3</v>
      </c>
      <c r="AL474" s="26">
        <f t="shared" si="174"/>
        <v>-1.2735273065758723E-2</v>
      </c>
      <c r="AM474" s="26">
        <f t="shared" si="175"/>
        <v>-2.3939385606738722E-2</v>
      </c>
      <c r="AN474" s="26">
        <f t="shared" si="176"/>
        <v>18.532063492063493</v>
      </c>
      <c r="AO474" s="26">
        <f t="shared" si="177"/>
        <v>18.533046471600684</v>
      </c>
      <c r="AP474" s="26">
        <f t="shared" si="178"/>
        <v>16.986566529240299</v>
      </c>
      <c r="AS474" s="2">
        <v>45006</v>
      </c>
      <c r="AT474">
        <v>13.1</v>
      </c>
      <c r="AU474">
        <v>1.8</v>
      </c>
      <c r="AV474">
        <v>58.4</v>
      </c>
      <c r="AW474">
        <v>5.3</v>
      </c>
      <c r="AX474">
        <v>127.68</v>
      </c>
      <c r="AY474">
        <v>0.9</v>
      </c>
      <c r="AZ474">
        <v>3</v>
      </c>
      <c r="BA474">
        <v>322.3646</v>
      </c>
      <c r="BB474">
        <v>96.284000000000006</v>
      </c>
      <c r="BC474">
        <v>124.1776</v>
      </c>
      <c r="BD474">
        <v>3.0007999999999999</v>
      </c>
      <c r="BE474">
        <v>19.905999999999999</v>
      </c>
      <c r="BF474">
        <v>-27.1158</v>
      </c>
      <c r="BG474">
        <v>-32.551499999999997</v>
      </c>
      <c r="BH474">
        <v>55.58</v>
      </c>
    </row>
    <row r="475" spans="1:60" x14ac:dyDescent="0.25">
      <c r="A475" s="2">
        <v>45026</v>
      </c>
      <c r="B475">
        <v>11.3</v>
      </c>
      <c r="C475">
        <v>2.2999999999999998</v>
      </c>
      <c r="D475">
        <v>75</v>
      </c>
      <c r="E475">
        <v>12.6</v>
      </c>
      <c r="F475">
        <v>230.65</v>
      </c>
      <c r="G475">
        <v>0.5</v>
      </c>
      <c r="H475">
        <v>3</v>
      </c>
      <c r="I475">
        <v>106.7855</v>
      </c>
      <c r="J475">
        <v>33.682299999999998</v>
      </c>
      <c r="K475">
        <v>42.588799999999999</v>
      </c>
      <c r="L475">
        <v>3.3986000000000001</v>
      </c>
      <c r="M475">
        <v>12.052300000000001</v>
      </c>
      <c r="N475">
        <v>-19.229299999999999</v>
      </c>
      <c r="O475">
        <v>-26.127400000000002</v>
      </c>
      <c r="P475">
        <v>55.98</v>
      </c>
      <c r="S475">
        <f t="shared" si="157"/>
        <v>533.85749999999996</v>
      </c>
      <c r="T475">
        <f t="shared" si="158"/>
        <v>1.0593354404421457E-2</v>
      </c>
      <c r="U475">
        <f t="shared" si="159"/>
        <v>2.1561694805459601E-3</v>
      </c>
      <c r="V475">
        <f t="shared" si="160"/>
        <v>7.0309874365629146E-2</v>
      </c>
      <c r="W475">
        <f t="shared" si="161"/>
        <v>1.1812058893425697E-2</v>
      </c>
      <c r="X475">
        <f t="shared" si="162"/>
        <v>0.21622630029909817</v>
      </c>
      <c r="Y475">
        <f t="shared" si="163"/>
        <v>4.6873249577086097E-4</v>
      </c>
      <c r="Z475">
        <f t="shared" si="164"/>
        <v>2.8123949746251659E-3</v>
      </c>
      <c r="AA475">
        <f t="shared" si="165"/>
        <v>0.10010766785427855</v>
      </c>
      <c r="AB475">
        <f t="shared" si="166"/>
        <v>3.1575977084605737E-2</v>
      </c>
      <c r="AC475">
        <f t="shared" si="167"/>
        <v>3.9925509031772083E-2</v>
      </c>
      <c r="AD475">
        <f t="shared" si="168"/>
        <v>3.1860685202536963E-3</v>
      </c>
      <c r="AE475">
        <f t="shared" si="169"/>
        <v>1.1298609317558295E-2</v>
      </c>
      <c r="AG475">
        <f t="shared" si="170"/>
        <v>-0.62604344627013997</v>
      </c>
      <c r="AH475">
        <f t="shared" si="171"/>
        <v>0.32567749423107467</v>
      </c>
      <c r="AI475">
        <f t="shared" si="172"/>
        <v>0.7036490093598512</v>
      </c>
      <c r="AK475" s="26">
        <f t="shared" si="173"/>
        <v>3.6588083068535004E-3</v>
      </c>
      <c r="AL475" s="26">
        <f t="shared" si="174"/>
        <v>-1.5994842532315229E-2</v>
      </c>
      <c r="AM475" s="26">
        <f t="shared" si="175"/>
        <v>-2.4265537685419863E-2</v>
      </c>
      <c r="AN475" s="26">
        <f t="shared" si="176"/>
        <v>18.522380952380949</v>
      </c>
      <c r="AO475" s="26">
        <f t="shared" si="177"/>
        <v>18.536796471600688</v>
      </c>
      <c r="AP475" s="26">
        <f t="shared" si="178"/>
        <v>16.893350227147387</v>
      </c>
      <c r="AS475" s="2">
        <v>45005</v>
      </c>
      <c r="AT475">
        <v>12.6</v>
      </c>
      <c r="AU475">
        <v>208.6</v>
      </c>
      <c r="AV475">
        <v>38.4</v>
      </c>
      <c r="AW475">
        <v>1.4</v>
      </c>
      <c r="AX475">
        <v>88.7</v>
      </c>
      <c r="AY475">
        <v>0.9</v>
      </c>
      <c r="AZ475">
        <v>2.9</v>
      </c>
      <c r="BA475">
        <v>293.49419999999998</v>
      </c>
      <c r="BB475">
        <v>98.866399999999999</v>
      </c>
      <c r="BC475">
        <v>120.1397</v>
      </c>
      <c r="BD475">
        <v>3.048</v>
      </c>
      <c r="BE475">
        <v>29.784700000000001</v>
      </c>
      <c r="BF475">
        <v>-18.664999999999999</v>
      </c>
      <c r="BG475">
        <v>-26.248999999999999</v>
      </c>
      <c r="BH475">
        <v>55.63</v>
      </c>
    </row>
    <row r="476" spans="1:60" x14ac:dyDescent="0.25">
      <c r="A476" s="2">
        <v>45025</v>
      </c>
      <c r="B476">
        <v>13.3</v>
      </c>
      <c r="C476">
        <v>1.2</v>
      </c>
      <c r="D476">
        <v>12.5</v>
      </c>
      <c r="E476">
        <v>1.6</v>
      </c>
      <c r="F476">
        <v>186.34</v>
      </c>
      <c r="G476">
        <v>0.5</v>
      </c>
      <c r="H476">
        <v>3.1</v>
      </c>
      <c r="I476">
        <v>190.5018</v>
      </c>
      <c r="J476">
        <v>40.086500000000001</v>
      </c>
      <c r="K476">
        <v>58.626399999999997</v>
      </c>
      <c r="L476">
        <v>3.3347000000000002</v>
      </c>
      <c r="M476">
        <v>23.008199999999999</v>
      </c>
      <c r="P476">
        <v>55.76</v>
      </c>
      <c r="S476">
        <f t="shared" si="157"/>
        <v>534.09759999999994</v>
      </c>
      <c r="T476">
        <f t="shared" si="158"/>
        <v>1.2468284387504903E-2</v>
      </c>
      <c r="U476">
        <f t="shared" si="159"/>
        <v>1.1249579898500663E-3</v>
      </c>
      <c r="V476">
        <f t="shared" si="160"/>
        <v>1.1718312394271523E-2</v>
      </c>
      <c r="W476">
        <f t="shared" si="161"/>
        <v>1.4999439864667552E-3</v>
      </c>
      <c r="X476">
        <f t="shared" si="162"/>
        <v>0.17468722652388446</v>
      </c>
      <c r="Y476">
        <f t="shared" si="163"/>
        <v>4.6873249577086097E-4</v>
      </c>
      <c r="Z476">
        <f t="shared" si="164"/>
        <v>2.9061414737793379E-3</v>
      </c>
      <c r="AA476">
        <f t="shared" si="165"/>
        <v>0.1785887683256828</v>
      </c>
      <c r="AB476">
        <f t="shared" si="166"/>
        <v>3.7579690383437239E-2</v>
      </c>
      <c r="AC476">
        <f t="shared" si="167"/>
        <v>5.4960197580121599E-2</v>
      </c>
      <c r="AD476">
        <f t="shared" si="168"/>
        <v>3.12616450729418E-3</v>
      </c>
      <c r="AE476">
        <f t="shared" si="169"/>
        <v>2.1569382018390246E-2</v>
      </c>
      <c r="AG476">
        <f t="shared" si="170"/>
        <v>-0.63242900450290718</v>
      </c>
      <c r="AH476">
        <f t="shared" si="171"/>
        <v>0.22644298126991819</v>
      </c>
      <c r="AI476">
        <f t="shared" si="172"/>
        <v>-6.3483704278626832E-2</v>
      </c>
      <c r="AK476" s="26">
        <f t="shared" si="173"/>
        <v>4.103052133789753E-3</v>
      </c>
      <c r="AL476" s="26">
        <f t="shared" si="174"/>
        <v>-1.6789670107626581E-2</v>
      </c>
      <c r="AM476" s="26">
        <f t="shared" si="175"/>
        <v>-2.4818156319135726E-2</v>
      </c>
      <c r="AN476" s="26">
        <f t="shared" si="176"/>
        <v>18.509523809523806</v>
      </c>
      <c r="AO476" s="26">
        <f t="shared" si="177"/>
        <v>18.540060240963854</v>
      </c>
      <c r="AP476" s="26">
        <f t="shared" si="178"/>
        <v>16.800790157821467</v>
      </c>
      <c r="AS476" s="2">
        <v>45004</v>
      </c>
      <c r="AT476">
        <v>11.6</v>
      </c>
      <c r="AU476">
        <v>96.9</v>
      </c>
      <c r="AV476">
        <v>31.3</v>
      </c>
      <c r="AW476">
        <v>2.6</v>
      </c>
      <c r="AX476">
        <v>132.32</v>
      </c>
      <c r="AY476">
        <v>0.9</v>
      </c>
      <c r="AZ476">
        <v>3.1</v>
      </c>
      <c r="BA476">
        <v>156.6404</v>
      </c>
      <c r="BB476">
        <v>59.457900000000002</v>
      </c>
      <c r="BC476">
        <v>61.008699999999997</v>
      </c>
      <c r="BD476">
        <v>3.1884999999999999</v>
      </c>
      <c r="BE476">
        <v>20.203600000000002</v>
      </c>
      <c r="BH476">
        <v>55.75</v>
      </c>
    </row>
    <row r="477" spans="1:60" x14ac:dyDescent="0.25">
      <c r="A477" s="2">
        <v>45024</v>
      </c>
      <c r="B477">
        <v>13.5</v>
      </c>
      <c r="C477">
        <v>148.9</v>
      </c>
      <c r="D477">
        <v>18.5</v>
      </c>
      <c r="E477">
        <v>3.3</v>
      </c>
      <c r="F477">
        <v>78.34</v>
      </c>
      <c r="G477">
        <v>0.8</v>
      </c>
      <c r="H477">
        <v>3.1</v>
      </c>
      <c r="I477">
        <v>262.61630000000002</v>
      </c>
      <c r="J477">
        <v>48.680799999999998</v>
      </c>
      <c r="K477">
        <v>84.720699999999994</v>
      </c>
      <c r="L477">
        <v>2.7259000000000002</v>
      </c>
      <c r="M477">
        <v>28.936900000000001</v>
      </c>
      <c r="P477">
        <v>55.58</v>
      </c>
      <c r="S477">
        <f t="shared" si="157"/>
        <v>694.12060000000008</v>
      </c>
      <c r="T477">
        <f t="shared" si="158"/>
        <v>1.2655777385813246E-2</v>
      </c>
      <c r="U477">
        <f t="shared" si="159"/>
        <v>0.13958853724056239</v>
      </c>
      <c r="V477">
        <f t="shared" si="160"/>
        <v>1.7343102343521856E-2</v>
      </c>
      <c r="W477">
        <f t="shared" si="161"/>
        <v>3.0936344720876819E-3</v>
      </c>
      <c r="X477">
        <f t="shared" si="162"/>
        <v>7.3441007437378497E-2</v>
      </c>
      <c r="Y477">
        <f t="shared" si="163"/>
        <v>7.4997199323337759E-4</v>
      </c>
      <c r="Z477">
        <f t="shared" si="164"/>
        <v>2.9061414737793379E-3</v>
      </c>
      <c r="AA477">
        <f t="shared" si="165"/>
        <v>0.24619358745821832</v>
      </c>
      <c r="AB477">
        <f t="shared" si="166"/>
        <v>4.5636545760244257E-2</v>
      </c>
      <c r="AC477">
        <f t="shared" si="167"/>
        <v>7.942269030890875E-2</v>
      </c>
      <c r="AD477">
        <f t="shared" si="168"/>
        <v>2.5554358204435798E-3</v>
      </c>
      <c r="AE477">
        <f t="shared" si="169"/>
        <v>2.7127330713743653E-2</v>
      </c>
      <c r="AG477">
        <f t="shared" si="170"/>
        <v>-0.63695242706664013</v>
      </c>
      <c r="AH477">
        <f t="shared" si="171"/>
        <v>0.27690550306012007</v>
      </c>
      <c r="AI477">
        <f t="shared" si="172"/>
        <v>0.32573767296263778</v>
      </c>
      <c r="AK477" s="26">
        <f t="shared" si="173"/>
        <v>1.1766573984859918E-2</v>
      </c>
      <c r="AL477" s="26">
        <f t="shared" si="174"/>
        <v>-1.5834504433774876E-2</v>
      </c>
      <c r="AM477" s="26">
        <f t="shared" si="175"/>
        <v>-2.475913621053169E-2</v>
      </c>
      <c r="AN477" s="26">
        <f t="shared" si="176"/>
        <v>18.499206349206347</v>
      </c>
      <c r="AO477" s="26">
        <f t="shared" si="177"/>
        <v>18.543420826161793</v>
      </c>
      <c r="AP477" s="26">
        <f t="shared" si="178"/>
        <v>16.709653633045328</v>
      </c>
      <c r="AS477" s="2">
        <v>45003</v>
      </c>
      <c r="AT477">
        <v>12</v>
      </c>
      <c r="AU477">
        <v>0.6</v>
      </c>
      <c r="AV477">
        <v>14.4</v>
      </c>
      <c r="AW477">
        <v>6</v>
      </c>
      <c r="AX477">
        <v>191.73</v>
      </c>
      <c r="AY477">
        <v>0.9</v>
      </c>
      <c r="AZ477">
        <v>3.1</v>
      </c>
      <c r="BA477">
        <v>238.0943</v>
      </c>
      <c r="BB477">
        <v>54.572000000000003</v>
      </c>
      <c r="BC477">
        <v>54.356999999999999</v>
      </c>
      <c r="BD477">
        <v>3.048</v>
      </c>
      <c r="BE477">
        <v>18.683199999999999</v>
      </c>
      <c r="BH477">
        <v>55.72</v>
      </c>
    </row>
    <row r="478" spans="1:60" x14ac:dyDescent="0.25">
      <c r="A478" s="2">
        <v>45023</v>
      </c>
      <c r="B478">
        <v>12.9</v>
      </c>
      <c r="C478">
        <v>0</v>
      </c>
      <c r="D478">
        <v>58</v>
      </c>
      <c r="E478">
        <v>8.6</v>
      </c>
      <c r="F478">
        <v>171.62</v>
      </c>
      <c r="G478">
        <v>0.9</v>
      </c>
      <c r="H478">
        <v>3.1</v>
      </c>
      <c r="I478">
        <v>257.25510000000003</v>
      </c>
      <c r="J478">
        <v>64.831699999999998</v>
      </c>
      <c r="K478">
        <v>77.641499999999994</v>
      </c>
      <c r="L478">
        <v>3.2627999999999999</v>
      </c>
      <c r="M478">
        <v>18.918500000000002</v>
      </c>
      <c r="N478">
        <v>-18.0443</v>
      </c>
      <c r="O478">
        <v>-24.6858</v>
      </c>
      <c r="P478">
        <v>55.47</v>
      </c>
      <c r="S478">
        <f t="shared" si="157"/>
        <v>677.02959999999985</v>
      </c>
      <c r="T478">
        <f t="shared" si="158"/>
        <v>1.2093298390888213E-2</v>
      </c>
      <c r="U478">
        <f t="shared" si="159"/>
        <v>0</v>
      </c>
      <c r="V478">
        <f t="shared" si="160"/>
        <v>5.4372969509419868E-2</v>
      </c>
      <c r="W478">
        <f t="shared" si="161"/>
        <v>8.0621989272588075E-3</v>
      </c>
      <c r="X478">
        <f t="shared" si="162"/>
        <v>0.16088774184839033</v>
      </c>
      <c r="Y478">
        <f t="shared" si="163"/>
        <v>8.4371849238754971E-4</v>
      </c>
      <c r="Z478">
        <f t="shared" si="164"/>
        <v>2.9061414737793379E-3</v>
      </c>
      <c r="AA478">
        <f t="shared" si="165"/>
        <v>0.24116765014556485</v>
      </c>
      <c r="AB478">
        <f t="shared" si="166"/>
        <v>6.0777449092135449E-2</v>
      </c>
      <c r="AC478">
        <f t="shared" si="167"/>
        <v>7.2786188140786592E-2</v>
      </c>
      <c r="AD478">
        <f t="shared" si="168"/>
        <v>3.0587607744023302E-3</v>
      </c>
      <c r="AE478">
        <f t="shared" si="169"/>
        <v>1.7735431442482068E-2</v>
      </c>
      <c r="AG478">
        <f t="shared" si="170"/>
        <v>-0.63821895267848583</v>
      </c>
      <c r="AH478">
        <f t="shared" si="171"/>
        <v>0.25690150008460616</v>
      </c>
      <c r="AI478">
        <f t="shared" si="172"/>
        <v>0.16738488000581714</v>
      </c>
      <c r="AK478" s="26">
        <f t="shared" si="173"/>
        <v>1.1752247138925642E-2</v>
      </c>
      <c r="AL478" s="26">
        <f t="shared" si="174"/>
        <v>-1.781171723261521E-2</v>
      </c>
      <c r="AM478" s="26">
        <f t="shared" si="175"/>
        <v>-2.5876298512207768E-2</v>
      </c>
      <c r="AN478" s="26">
        <f t="shared" si="176"/>
        <v>18.484126984126981</v>
      </c>
      <c r="AO478" s="26">
        <f t="shared" si="177"/>
        <v>18.543833907056801</v>
      </c>
      <c r="AP478" s="26">
        <f t="shared" si="178"/>
        <v>16.61979123447388</v>
      </c>
      <c r="AS478" s="2">
        <v>45002</v>
      </c>
      <c r="AT478">
        <v>12.6</v>
      </c>
      <c r="AU478">
        <v>39.4</v>
      </c>
      <c r="AV478">
        <v>57.8</v>
      </c>
      <c r="AW478">
        <v>13.4</v>
      </c>
      <c r="AX478">
        <v>181.98</v>
      </c>
      <c r="AY478">
        <v>0.9</v>
      </c>
      <c r="AZ478">
        <v>3.3</v>
      </c>
      <c r="BA478">
        <v>235.22110000000001</v>
      </c>
      <c r="BB478">
        <v>79.620500000000007</v>
      </c>
      <c r="BC478">
        <v>60.706800000000001</v>
      </c>
      <c r="BD478">
        <v>3.0442999999999998</v>
      </c>
      <c r="BE478">
        <v>32.336799999999997</v>
      </c>
      <c r="BF478">
        <v>-20.2272</v>
      </c>
      <c r="BG478">
        <v>-21.917999999999999</v>
      </c>
      <c r="BH478">
        <v>55.67</v>
      </c>
    </row>
    <row r="479" spans="1:60" x14ac:dyDescent="0.25">
      <c r="A479" s="2">
        <v>45022</v>
      </c>
      <c r="B479">
        <v>13.8</v>
      </c>
      <c r="C479">
        <v>0</v>
      </c>
      <c r="D479">
        <v>36.1</v>
      </c>
      <c r="E479">
        <v>5.2</v>
      </c>
      <c r="F479">
        <v>256.75</v>
      </c>
      <c r="G479">
        <v>0.9</v>
      </c>
      <c r="H479">
        <v>3</v>
      </c>
      <c r="I479">
        <v>282.53530000000001</v>
      </c>
      <c r="J479">
        <v>109.3583</v>
      </c>
      <c r="K479">
        <v>100.6434</v>
      </c>
      <c r="L479">
        <v>3.2641</v>
      </c>
      <c r="M479">
        <v>30.772200000000002</v>
      </c>
      <c r="N479">
        <v>-19.488299999999999</v>
      </c>
      <c r="O479">
        <v>-26.004200000000001</v>
      </c>
      <c r="P479">
        <v>55.54</v>
      </c>
      <c r="S479">
        <f t="shared" si="157"/>
        <v>842.32330000000002</v>
      </c>
      <c r="T479">
        <f t="shared" si="158"/>
        <v>1.2937016883275762E-2</v>
      </c>
      <c r="U479">
        <f t="shared" si="159"/>
        <v>0</v>
      </c>
      <c r="V479">
        <f t="shared" si="160"/>
        <v>3.3842486194656164E-2</v>
      </c>
      <c r="W479">
        <f t="shared" si="161"/>
        <v>4.874817956016954E-3</v>
      </c>
      <c r="X479">
        <f t="shared" si="162"/>
        <v>0.2406941365783371</v>
      </c>
      <c r="Y479">
        <f t="shared" si="163"/>
        <v>8.4371849238754971E-4</v>
      </c>
      <c r="Z479">
        <f t="shared" si="164"/>
        <v>2.8123949746251659E-3</v>
      </c>
      <c r="AA479">
        <f t="shared" si="165"/>
        <v>0.26486695262473786</v>
      </c>
      <c r="AB479">
        <f t="shared" si="166"/>
        <v>0.10251957778451709</v>
      </c>
      <c r="AC479">
        <f t="shared" si="167"/>
        <v>9.4349664129730129E-2</v>
      </c>
      <c r="AD479">
        <f t="shared" si="168"/>
        <v>3.0599794788913346E-3</v>
      </c>
      <c r="AE479">
        <f t="shared" si="169"/>
        <v>2.8847860212720178E-2</v>
      </c>
      <c r="AG479">
        <f t="shared" si="170"/>
        <v>-0.63110467139375626</v>
      </c>
      <c r="AH479">
        <f t="shared" si="171"/>
        <v>0.32485243129201891</v>
      </c>
      <c r="AI479">
        <f t="shared" si="172"/>
        <v>0.69230231539960829</v>
      </c>
      <c r="AK479" s="26">
        <f t="shared" si="173"/>
        <v>1.7871715043617564E-2</v>
      </c>
      <c r="AL479" s="26">
        <f t="shared" si="174"/>
        <v>-1.8449506594224313E-2</v>
      </c>
      <c r="AM479" s="26">
        <f t="shared" si="175"/>
        <v>-2.5665449945207947E-2</v>
      </c>
      <c r="AN479" s="26">
        <f t="shared" si="176"/>
        <v>18.461904761904776</v>
      </c>
      <c r="AO479" s="26">
        <f t="shared" si="177"/>
        <v>18.541962134251293</v>
      </c>
      <c r="AP479" s="26">
        <f t="shared" si="178"/>
        <v>16.532444526141632</v>
      </c>
      <c r="AS479" s="2">
        <v>45001</v>
      </c>
      <c r="AT479">
        <v>13.7</v>
      </c>
      <c r="AU479">
        <v>2.4</v>
      </c>
      <c r="AV479">
        <v>71.2</v>
      </c>
      <c r="AW479">
        <v>15.9</v>
      </c>
      <c r="AX479">
        <v>213.14</v>
      </c>
      <c r="AY479">
        <v>0.8</v>
      </c>
      <c r="AZ479">
        <v>3.2</v>
      </c>
      <c r="BA479">
        <v>248.4307</v>
      </c>
      <c r="BB479">
        <v>71.448999999999998</v>
      </c>
      <c r="BC479">
        <v>89.814700000000002</v>
      </c>
      <c r="BD479">
        <v>2.8788</v>
      </c>
      <c r="BE479">
        <v>18.0579</v>
      </c>
      <c r="BF479">
        <v>-22.713699999999999</v>
      </c>
      <c r="BG479">
        <v>-23.804500000000001</v>
      </c>
      <c r="BH479">
        <v>55.76</v>
      </c>
    </row>
    <row r="480" spans="1:60" x14ac:dyDescent="0.25">
      <c r="A480" s="2">
        <v>45021</v>
      </c>
      <c r="B480">
        <v>14.7</v>
      </c>
      <c r="C480">
        <v>3.3</v>
      </c>
      <c r="D480">
        <v>4.3</v>
      </c>
      <c r="E480">
        <v>1.3</v>
      </c>
      <c r="F480">
        <v>266.52</v>
      </c>
      <c r="G480">
        <v>0.9</v>
      </c>
      <c r="H480">
        <v>2.9</v>
      </c>
      <c r="I480">
        <v>285.19349999999997</v>
      </c>
      <c r="J480">
        <v>155.22569999999999</v>
      </c>
      <c r="K480">
        <v>110.40130000000001</v>
      </c>
      <c r="L480">
        <v>3.2888999999999999</v>
      </c>
      <c r="M480">
        <v>35.386899999999997</v>
      </c>
      <c r="N480">
        <v>-17.895800000000001</v>
      </c>
      <c r="O480">
        <v>-24.118099999999998</v>
      </c>
      <c r="P480">
        <v>55.62</v>
      </c>
      <c r="S480">
        <f t="shared" si="157"/>
        <v>883.41629999999986</v>
      </c>
      <c r="T480">
        <f t="shared" si="158"/>
        <v>1.3780735375663312E-2</v>
      </c>
      <c r="U480">
        <f t="shared" si="159"/>
        <v>3.0936344720876819E-3</v>
      </c>
      <c r="V480">
        <f t="shared" si="160"/>
        <v>4.0310994636294038E-3</v>
      </c>
      <c r="W480">
        <f t="shared" si="161"/>
        <v>1.2187044890042385E-3</v>
      </c>
      <c r="X480">
        <f t="shared" si="162"/>
        <v>0.24985316954569969</v>
      </c>
      <c r="Y480">
        <f t="shared" si="163"/>
        <v>8.4371849238754971E-4</v>
      </c>
      <c r="Z480">
        <f t="shared" si="164"/>
        <v>2.7186484754709935E-3</v>
      </c>
      <c r="AA480">
        <f t="shared" si="165"/>
        <v>0.26735892206525402</v>
      </c>
      <c r="AB480">
        <f t="shared" si="166"/>
        <v>0.14551865953755785</v>
      </c>
      <c r="AC480">
        <f t="shared" si="167"/>
        <v>0.10349735377069511</v>
      </c>
      <c r="AD480">
        <f t="shared" si="168"/>
        <v>3.083228610681569E-3</v>
      </c>
      <c r="AE480">
        <f t="shared" si="169"/>
        <v>3.3173979909187759E-2</v>
      </c>
      <c r="AG480">
        <f t="shared" si="170"/>
        <v>-0.623499861092628</v>
      </c>
      <c r="AH480">
        <f t="shared" si="171"/>
        <v>0.30871369022313061</v>
      </c>
      <c r="AI480">
        <f t="shared" si="172"/>
        <v>0.57023935986289764</v>
      </c>
      <c r="AK480" s="26">
        <f t="shared" si="173"/>
        <v>1.8769752936086459E-2</v>
      </c>
      <c r="AL480" s="26">
        <f t="shared" si="174"/>
        <v>-1.8316213211044957E-2</v>
      </c>
      <c r="AM480" s="26">
        <f t="shared" si="175"/>
        <v>-2.5930078545757185E-2</v>
      </c>
      <c r="AN480" s="26">
        <f t="shared" si="176"/>
        <v>18.428412698412693</v>
      </c>
      <c r="AO480" s="26">
        <f t="shared" si="177"/>
        <v>18.538052925989675</v>
      </c>
      <c r="AP480" s="26">
        <f t="shared" si="178"/>
        <v>16.446253249652045</v>
      </c>
      <c r="AS480" s="2">
        <v>45000</v>
      </c>
      <c r="AT480">
        <v>16.2</v>
      </c>
      <c r="AU480">
        <v>1</v>
      </c>
      <c r="AV480">
        <v>66</v>
      </c>
      <c r="AW480">
        <v>12</v>
      </c>
      <c r="AX480">
        <v>151.84</v>
      </c>
      <c r="AY480">
        <v>0.6</v>
      </c>
      <c r="AZ480">
        <v>3</v>
      </c>
      <c r="BA480">
        <v>274.49279999999999</v>
      </c>
      <c r="BB480">
        <v>104.456</v>
      </c>
      <c r="BC480">
        <v>122.2236</v>
      </c>
      <c r="BD480">
        <v>3.1379999999999999</v>
      </c>
      <c r="BE480">
        <v>35.726500000000001</v>
      </c>
      <c r="BF480">
        <v>-19.782800000000002</v>
      </c>
      <c r="BG480">
        <v>-24.3779</v>
      </c>
      <c r="BH480">
        <v>55.96</v>
      </c>
    </row>
    <row r="481" spans="1:60" x14ac:dyDescent="0.25">
      <c r="A481" s="2">
        <v>45020</v>
      </c>
      <c r="B481">
        <v>15.8</v>
      </c>
      <c r="C481">
        <v>19</v>
      </c>
      <c r="D481">
        <v>4.5</v>
      </c>
      <c r="E481">
        <v>2.2999999999999998</v>
      </c>
      <c r="F481">
        <v>266.86</v>
      </c>
      <c r="G481">
        <v>0.9</v>
      </c>
      <c r="H481">
        <v>2.5</v>
      </c>
      <c r="I481">
        <v>269.15120000000002</v>
      </c>
      <c r="J481">
        <v>149.3587</v>
      </c>
      <c r="K481">
        <v>110.9104</v>
      </c>
      <c r="L481">
        <v>3.1779999999999999</v>
      </c>
      <c r="M481">
        <v>31.787800000000001</v>
      </c>
      <c r="N481">
        <v>-19.670000000000002</v>
      </c>
      <c r="O481">
        <v>-21.3123</v>
      </c>
      <c r="P481">
        <v>55.74</v>
      </c>
      <c r="S481">
        <f t="shared" si="157"/>
        <v>876.24609999999996</v>
      </c>
      <c r="T481">
        <f t="shared" si="158"/>
        <v>1.4811946866359206E-2</v>
      </c>
      <c r="U481">
        <f t="shared" si="159"/>
        <v>1.7811834839292717E-2</v>
      </c>
      <c r="V481">
        <f t="shared" si="160"/>
        <v>4.2185924619377486E-3</v>
      </c>
      <c r="W481">
        <f t="shared" si="161"/>
        <v>2.1561694805459601E-3</v>
      </c>
      <c r="X481">
        <f t="shared" si="162"/>
        <v>0.25017190764282393</v>
      </c>
      <c r="Y481">
        <f t="shared" si="163"/>
        <v>8.4371849238754971E-4</v>
      </c>
      <c r="Z481">
        <f t="shared" si="164"/>
        <v>2.3436624788543046E-3</v>
      </c>
      <c r="AA481">
        <f t="shared" si="165"/>
        <v>0.25231982743144432</v>
      </c>
      <c r="AB481">
        <f t="shared" si="166"/>
        <v>0.14001855243218259</v>
      </c>
      <c r="AC481">
        <f t="shared" si="167"/>
        <v>0.10397461719788899</v>
      </c>
      <c r="AD481">
        <f t="shared" si="168"/>
        <v>2.9792637431195921E-3</v>
      </c>
      <c r="AE481">
        <f t="shared" si="169"/>
        <v>2.9799949658129949E-2</v>
      </c>
      <c r="AG481">
        <f t="shared" si="170"/>
        <v>-0.61401260300420324</v>
      </c>
      <c r="AH481">
        <f t="shared" si="171"/>
        <v>0.3221577819203314</v>
      </c>
      <c r="AI481">
        <f t="shared" si="172"/>
        <v>0.67673385259300434</v>
      </c>
      <c r="AK481" s="26">
        <f t="shared" si="173"/>
        <v>1.9002784412388701E-2</v>
      </c>
      <c r="AL481" s="26">
        <f t="shared" si="174"/>
        <v>-1.5155238942468702E-2</v>
      </c>
      <c r="AM481" s="26">
        <f t="shared" si="175"/>
        <v>-2.599724553310459E-2</v>
      </c>
      <c r="AN481" s="26">
        <f t="shared" si="176"/>
        <v>18.390158730158738</v>
      </c>
      <c r="AO481" s="26">
        <f t="shared" si="177"/>
        <v>18.534014629948366</v>
      </c>
      <c r="AP481" s="26">
        <f t="shared" si="178"/>
        <v>16.361779627635812</v>
      </c>
      <c r="AS481" s="2">
        <v>44999</v>
      </c>
      <c r="AT481">
        <v>14.2</v>
      </c>
      <c r="AU481">
        <v>5.2</v>
      </c>
      <c r="AV481">
        <v>48.4</v>
      </c>
      <c r="AW481">
        <v>24.4</v>
      </c>
      <c r="AX481">
        <v>85.36</v>
      </c>
      <c r="AY481">
        <v>0.2</v>
      </c>
      <c r="AZ481">
        <v>2.9</v>
      </c>
      <c r="BA481">
        <v>146.7131</v>
      </c>
      <c r="BB481">
        <v>95.9435</v>
      </c>
      <c r="BC481">
        <v>55.766199999999998</v>
      </c>
      <c r="BD481">
        <v>3.2452000000000001</v>
      </c>
      <c r="BE481">
        <v>26.615600000000001</v>
      </c>
      <c r="BF481">
        <v>-17.4513</v>
      </c>
      <c r="BG481">
        <v>-22.376100000000001</v>
      </c>
      <c r="BH481">
        <v>56.22</v>
      </c>
    </row>
    <row r="482" spans="1:60" x14ac:dyDescent="0.25">
      <c r="A482" s="2">
        <v>45019</v>
      </c>
      <c r="B482">
        <v>15.7</v>
      </c>
      <c r="C482">
        <v>2.2999999999999998</v>
      </c>
      <c r="D482">
        <v>14</v>
      </c>
      <c r="E482">
        <v>7.1</v>
      </c>
      <c r="F482">
        <v>216.67</v>
      </c>
      <c r="G482">
        <v>0.9</v>
      </c>
      <c r="H482">
        <v>2.9</v>
      </c>
      <c r="I482">
        <v>250.58320000000001</v>
      </c>
      <c r="J482">
        <v>103.2551</v>
      </c>
      <c r="K482">
        <v>108.7784</v>
      </c>
      <c r="L482">
        <v>3.2073999999999998</v>
      </c>
      <c r="M482">
        <v>28.325199999999999</v>
      </c>
      <c r="N482">
        <v>-22.492699999999999</v>
      </c>
      <c r="O482">
        <v>-17.572500000000002</v>
      </c>
      <c r="P482">
        <v>55.87</v>
      </c>
      <c r="S482">
        <f t="shared" si="157"/>
        <v>753.71929999999998</v>
      </c>
      <c r="T482">
        <f t="shared" si="158"/>
        <v>1.4718200367205033E-2</v>
      </c>
      <c r="U482">
        <f t="shared" si="159"/>
        <v>2.1561694805459601E-3</v>
      </c>
      <c r="V482">
        <f t="shared" si="160"/>
        <v>1.3124509881584107E-2</v>
      </c>
      <c r="W482">
        <f t="shared" si="161"/>
        <v>6.6560014399462252E-3</v>
      </c>
      <c r="X482">
        <f t="shared" si="162"/>
        <v>0.20312053971734487</v>
      </c>
      <c r="Y482">
        <f t="shared" si="163"/>
        <v>8.4371849238754971E-4</v>
      </c>
      <c r="Z482">
        <f t="shared" si="164"/>
        <v>2.7186484754709935E-3</v>
      </c>
      <c r="AA482">
        <f t="shared" si="165"/>
        <v>0.23491297746849762</v>
      </c>
      <c r="AB482">
        <f t="shared" si="166"/>
        <v>9.6798041448139652E-2</v>
      </c>
      <c r="AC482">
        <f t="shared" si="167"/>
        <v>0.10197594183592204</v>
      </c>
      <c r="AD482">
        <f t="shared" si="168"/>
        <v>3.0068252138709187E-3</v>
      </c>
      <c r="AE482">
        <f t="shared" si="169"/>
        <v>2.6553883378417579E-2</v>
      </c>
      <c r="AG482">
        <f t="shared" si="170"/>
        <v>-0.6040688306407539</v>
      </c>
      <c r="AH482">
        <f t="shared" si="171"/>
        <v>0.26989167123290231</v>
      </c>
      <c r="AI482">
        <f t="shared" si="172"/>
        <v>0.27516673243429907</v>
      </c>
      <c r="AK482" s="26">
        <f t="shared" si="173"/>
        <v>1.3469187486220419E-2</v>
      </c>
      <c r="AL482" s="26">
        <f t="shared" si="174"/>
        <v>-1.5227296398410334E-2</v>
      </c>
      <c r="AM482" s="26">
        <f t="shared" si="175"/>
        <v>-2.676445644675754E-2</v>
      </c>
      <c r="AN482" s="26">
        <f t="shared" si="176"/>
        <v>18.337777777777781</v>
      </c>
      <c r="AO482" s="26">
        <f t="shared" si="177"/>
        <v>18.525402323580046</v>
      </c>
      <c r="AP482" s="26">
        <f t="shared" si="178"/>
        <v>16.277895013261194</v>
      </c>
      <c r="AS482" s="2">
        <v>44998</v>
      </c>
      <c r="AT482">
        <v>10.8</v>
      </c>
      <c r="AU482">
        <v>12.3</v>
      </c>
      <c r="AV482">
        <v>66.599999999999994</v>
      </c>
      <c r="AW482">
        <v>25.5</v>
      </c>
      <c r="AX482">
        <v>106.25</v>
      </c>
      <c r="AY482">
        <v>0.4</v>
      </c>
      <c r="AZ482">
        <v>3</v>
      </c>
      <c r="BA482">
        <v>114.6583</v>
      </c>
      <c r="BB482">
        <v>67.425799999999995</v>
      </c>
      <c r="BC482">
        <v>47.277500000000003</v>
      </c>
      <c r="BD482">
        <v>3.1421999999999999</v>
      </c>
      <c r="BE482">
        <v>27.048500000000001</v>
      </c>
      <c r="BF482">
        <v>-18.93</v>
      </c>
      <c r="BG482">
        <v>-15.9712</v>
      </c>
      <c r="BH482">
        <v>56.38</v>
      </c>
    </row>
    <row r="483" spans="1:60" x14ac:dyDescent="0.25">
      <c r="A483" s="2">
        <v>45018</v>
      </c>
      <c r="B483">
        <v>13.1</v>
      </c>
      <c r="C483">
        <v>29.4</v>
      </c>
      <c r="D483">
        <v>62</v>
      </c>
      <c r="E483">
        <v>14.4</v>
      </c>
      <c r="F483">
        <v>120.63</v>
      </c>
      <c r="G483">
        <v>0.8</v>
      </c>
      <c r="H483">
        <v>2.7</v>
      </c>
      <c r="I483">
        <v>153.99019999999999</v>
      </c>
      <c r="J483">
        <v>44.615499999999997</v>
      </c>
      <c r="K483">
        <v>38.493899999999996</v>
      </c>
      <c r="L483">
        <v>3.1844000000000001</v>
      </c>
      <c r="M483">
        <v>22.057500000000001</v>
      </c>
      <c r="P483">
        <v>55.94</v>
      </c>
      <c r="S483">
        <f t="shared" si="157"/>
        <v>505.37149999999997</v>
      </c>
      <c r="T483">
        <f t="shared" si="158"/>
        <v>1.2280791389196556E-2</v>
      </c>
      <c r="U483">
        <f t="shared" si="159"/>
        <v>2.7561470751326624E-2</v>
      </c>
      <c r="V483">
        <f t="shared" si="160"/>
        <v>5.8122829475586758E-2</v>
      </c>
      <c r="W483">
        <f t="shared" si="161"/>
        <v>1.3499495878200795E-2</v>
      </c>
      <c r="X483">
        <f t="shared" si="162"/>
        <v>0.11308640192967791</v>
      </c>
      <c r="Y483">
        <f t="shared" si="163"/>
        <v>7.4997199323337759E-4</v>
      </c>
      <c r="Z483">
        <f t="shared" si="164"/>
        <v>2.5311554771626494E-3</v>
      </c>
      <c r="AA483">
        <f t="shared" si="165"/>
        <v>0.14436042154050804</v>
      </c>
      <c r="AB483">
        <f t="shared" si="166"/>
        <v>4.1825469330129691E-2</v>
      </c>
      <c r="AC483">
        <f t="shared" si="167"/>
        <v>3.6086683637907888E-2</v>
      </c>
      <c r="AD483">
        <f t="shared" si="168"/>
        <v>2.9852635190654592E-3</v>
      </c>
      <c r="AE483">
        <f t="shared" si="169"/>
        <v>2.0678134050931531E-2</v>
      </c>
      <c r="AG483">
        <f t="shared" si="170"/>
        <v>-0.5968286902064075</v>
      </c>
      <c r="AH483">
        <f t="shared" si="171"/>
        <v>0.2485102509453162</v>
      </c>
      <c r="AI483">
        <f t="shared" si="172"/>
        <v>0.11119987725670213</v>
      </c>
      <c r="AK483" s="26">
        <f t="shared" si="173"/>
        <v>1.0357806653038815E-2</v>
      </c>
      <c r="AL483" s="26">
        <f t="shared" si="174"/>
        <v>-1.6416750305633832E-2</v>
      </c>
      <c r="AM483" s="26">
        <f t="shared" si="175"/>
        <v>-2.7514564085742099E-2</v>
      </c>
      <c r="AN483" s="26">
        <f t="shared" si="176"/>
        <v>18.285555555555561</v>
      </c>
      <c r="AO483" s="26">
        <f t="shared" si="177"/>
        <v>18.521858864027543</v>
      </c>
      <c r="AP483" s="26">
        <f t="shared" si="178"/>
        <v>16.196591738662306</v>
      </c>
      <c r="AS483" s="2">
        <v>44997</v>
      </c>
      <c r="AT483">
        <v>10.9</v>
      </c>
      <c r="AU483">
        <v>0.7</v>
      </c>
      <c r="AV483">
        <v>35.4</v>
      </c>
      <c r="AW483">
        <v>10.3</v>
      </c>
      <c r="AX483">
        <v>87.07</v>
      </c>
      <c r="AY483">
        <v>0.5</v>
      </c>
      <c r="AZ483">
        <v>2.8</v>
      </c>
      <c r="BA483">
        <v>142.97309999999999</v>
      </c>
      <c r="BB483">
        <v>50.8553</v>
      </c>
      <c r="BC483">
        <v>71.661799999999999</v>
      </c>
      <c r="BD483">
        <v>3.0264000000000002</v>
      </c>
      <c r="BE483">
        <v>16.257100000000001</v>
      </c>
      <c r="BH483">
        <v>56.48</v>
      </c>
    </row>
    <row r="484" spans="1:60" x14ac:dyDescent="0.25">
      <c r="A484" s="2">
        <v>45017</v>
      </c>
      <c r="B484">
        <v>16.600000000000001</v>
      </c>
      <c r="C484">
        <v>14.6</v>
      </c>
      <c r="D484">
        <v>82</v>
      </c>
      <c r="E484">
        <v>17.899999999999999</v>
      </c>
      <c r="F484">
        <v>86.86</v>
      </c>
      <c r="G484">
        <v>0.7</v>
      </c>
      <c r="H484">
        <v>3</v>
      </c>
      <c r="I484">
        <v>133.69159999999999</v>
      </c>
      <c r="J484">
        <v>40.683100000000003</v>
      </c>
      <c r="K484">
        <v>28.712499999999999</v>
      </c>
      <c r="L484">
        <v>3.2454999999999998</v>
      </c>
      <c r="M484">
        <v>21.858599999999999</v>
      </c>
      <c r="P484">
        <v>55.86</v>
      </c>
      <c r="S484">
        <f t="shared" si="157"/>
        <v>449.85129999999998</v>
      </c>
      <c r="T484">
        <f t="shared" si="158"/>
        <v>1.5561918859592586E-2</v>
      </c>
      <c r="U484">
        <f t="shared" si="159"/>
        <v>1.368698887650914E-2</v>
      </c>
      <c r="V484">
        <f t="shared" si="160"/>
        <v>7.6872129306421191E-2</v>
      </c>
      <c r="W484">
        <f t="shared" si="161"/>
        <v>1.678062334859682E-2</v>
      </c>
      <c r="X484">
        <f t="shared" si="162"/>
        <v>8.1428209165313958E-2</v>
      </c>
      <c r="Y484">
        <f t="shared" si="163"/>
        <v>6.5622549407920526E-4</v>
      </c>
      <c r="Z484">
        <f t="shared" si="164"/>
        <v>2.8123949746251659E-3</v>
      </c>
      <c r="AA484">
        <f t="shared" si="165"/>
        <v>0.12533119466319925</v>
      </c>
      <c r="AB484">
        <f t="shared" si="166"/>
        <v>3.8138981997391026E-2</v>
      </c>
      <c r="AC484">
        <f t="shared" si="167"/>
        <v>2.691696356964169E-2</v>
      </c>
      <c r="AD484">
        <f t="shared" si="168"/>
        <v>3.0425426300486583E-3</v>
      </c>
      <c r="AE484">
        <f t="shared" si="169"/>
        <v>2.0491672264113883E-2</v>
      </c>
      <c r="AG484">
        <f t="shared" si="170"/>
        <v>-0.59663615720512231</v>
      </c>
      <c r="AH484">
        <f t="shared" si="171"/>
        <v>0.22829016228925195</v>
      </c>
      <c r="AI484">
        <f t="shared" si="172"/>
        <v>-4.168559782505192E-2</v>
      </c>
      <c r="AK484" s="26">
        <f t="shared" si="173"/>
        <v>7.6832606972809803E-3</v>
      </c>
      <c r="AL484" s="26">
        <f t="shared" si="174"/>
        <v>-1.6032606478134842E-2</v>
      </c>
      <c r="AM484" s="26">
        <f t="shared" si="175"/>
        <v>-2.8723885325883325E-2</v>
      </c>
      <c r="AN484" s="26">
        <f t="shared" si="176"/>
        <v>18.234285714285726</v>
      </c>
      <c r="AO484" s="26">
        <f t="shared" si="177"/>
        <v>18.522226764199658</v>
      </c>
      <c r="AP484" s="26">
        <f t="shared" si="178"/>
        <v>16.114199206953586</v>
      </c>
      <c r="AS484" s="2">
        <v>44996</v>
      </c>
      <c r="AU484">
        <v>35.299999999999997</v>
      </c>
      <c r="AX484">
        <v>122.31</v>
      </c>
      <c r="BC484">
        <v>84.072800000000001</v>
      </c>
      <c r="BH484">
        <v>56.63</v>
      </c>
    </row>
    <row r="485" spans="1:60" x14ac:dyDescent="0.25">
      <c r="A485" s="2">
        <v>45016</v>
      </c>
      <c r="B485">
        <v>17.8</v>
      </c>
      <c r="C485">
        <v>23.3</v>
      </c>
      <c r="D485">
        <v>36.1</v>
      </c>
      <c r="E485">
        <v>10.9</v>
      </c>
      <c r="F485">
        <v>111.11</v>
      </c>
      <c r="G485">
        <v>0.9</v>
      </c>
      <c r="H485">
        <v>3.2</v>
      </c>
      <c r="I485">
        <v>194.9188</v>
      </c>
      <c r="J485">
        <v>44.353400000000001</v>
      </c>
      <c r="K485">
        <v>74.497299999999996</v>
      </c>
      <c r="L485">
        <v>3.5024000000000002</v>
      </c>
      <c r="M485">
        <v>37.099499999999999</v>
      </c>
      <c r="N485">
        <v>-22.619900000000001</v>
      </c>
      <c r="O485">
        <v>-23.005500000000001</v>
      </c>
      <c r="P485">
        <v>55.84</v>
      </c>
      <c r="S485">
        <f t="shared" si="157"/>
        <v>557.68140000000005</v>
      </c>
      <c r="T485">
        <f t="shared" si="158"/>
        <v>1.6686876849442651E-2</v>
      </c>
      <c r="U485">
        <f t="shared" si="159"/>
        <v>2.1842934302922123E-2</v>
      </c>
      <c r="V485">
        <f t="shared" si="160"/>
        <v>3.3842486194656164E-2</v>
      </c>
      <c r="W485">
        <f t="shared" si="161"/>
        <v>1.0218368407804769E-2</v>
      </c>
      <c r="X485">
        <f t="shared" si="162"/>
        <v>0.10416173521020072</v>
      </c>
      <c r="Y485">
        <f t="shared" si="163"/>
        <v>8.4371849238754971E-4</v>
      </c>
      <c r="Z485">
        <f t="shared" si="164"/>
        <v>2.9998879729335104E-3</v>
      </c>
      <c r="AA485">
        <f t="shared" si="165"/>
        <v>0.1827295511933226</v>
      </c>
      <c r="AB485">
        <f t="shared" si="166"/>
        <v>4.1579759755846608E-2</v>
      </c>
      <c r="AC485">
        <f t="shared" si="167"/>
        <v>6.9838610714381119E-2</v>
      </c>
      <c r="AD485">
        <f t="shared" si="168"/>
        <v>3.2833773863757271E-3</v>
      </c>
      <c r="AE485">
        <f t="shared" si="169"/>
        <v>3.4779482453702111E-2</v>
      </c>
      <c r="AG485">
        <f t="shared" si="170"/>
        <v>-0.59369221011048179</v>
      </c>
      <c r="AH485">
        <f t="shared" si="171"/>
        <v>0.2253754898840496</v>
      </c>
      <c r="AI485">
        <f t="shared" si="172"/>
        <v>-6.2731526452711003E-2</v>
      </c>
      <c r="AK485" s="26">
        <f t="shared" si="173"/>
        <v>4.6279000935225967E-3</v>
      </c>
      <c r="AL485" s="26">
        <f t="shared" si="174"/>
        <v>-1.7008234322178906E-2</v>
      </c>
      <c r="AM485" s="26">
        <f t="shared" si="175"/>
        <v>-2.9676492579087888E-2</v>
      </c>
      <c r="AN485" s="26">
        <f t="shared" si="176"/>
        <v>18.169206349206362</v>
      </c>
      <c r="AO485" s="26">
        <f t="shared" si="177"/>
        <v>18.514016781411371</v>
      </c>
      <c r="AP485" s="26">
        <f t="shared" si="178"/>
        <v>16.027892649877877</v>
      </c>
      <c r="AS485" s="2">
        <v>44995</v>
      </c>
      <c r="AU485">
        <v>41.6</v>
      </c>
      <c r="AX485">
        <v>80</v>
      </c>
      <c r="BC485">
        <v>108.8493</v>
      </c>
      <c r="BF485">
        <v>-32.157600000000002</v>
      </c>
      <c r="BG485">
        <v>-22.460100000000001</v>
      </c>
      <c r="BH485">
        <v>56.86</v>
      </c>
    </row>
    <row r="486" spans="1:60" x14ac:dyDescent="0.25">
      <c r="A486" s="2">
        <v>45015</v>
      </c>
      <c r="B486">
        <v>13.8</v>
      </c>
      <c r="C486">
        <v>0.9</v>
      </c>
      <c r="D486">
        <v>78.8</v>
      </c>
      <c r="E486">
        <v>19</v>
      </c>
      <c r="F486">
        <v>105.27</v>
      </c>
      <c r="G486">
        <v>0.9</v>
      </c>
      <c r="H486">
        <v>3.1</v>
      </c>
      <c r="I486">
        <v>182.96520000000001</v>
      </c>
      <c r="J486">
        <v>51.479700000000001</v>
      </c>
      <c r="K486">
        <v>60.712000000000003</v>
      </c>
      <c r="L486">
        <v>2.9142000000000001</v>
      </c>
      <c r="M486">
        <v>24.805499999999999</v>
      </c>
      <c r="N486">
        <v>-21.322600000000001</v>
      </c>
      <c r="O486">
        <v>-26.756900000000002</v>
      </c>
      <c r="P486">
        <v>55.65</v>
      </c>
      <c r="S486">
        <f t="shared" si="157"/>
        <v>544.64660000000003</v>
      </c>
      <c r="T486">
        <f t="shared" si="158"/>
        <v>1.2937016883275762E-2</v>
      </c>
      <c r="U486">
        <f t="shared" si="159"/>
        <v>8.4371849238754971E-4</v>
      </c>
      <c r="V486">
        <f t="shared" si="160"/>
        <v>7.3872241333487687E-2</v>
      </c>
      <c r="W486">
        <f t="shared" si="161"/>
        <v>1.7811834839292717E-2</v>
      </c>
      <c r="X486">
        <f t="shared" si="162"/>
        <v>9.8686939659597059E-2</v>
      </c>
      <c r="Y486">
        <f t="shared" si="163"/>
        <v>8.4371849238754971E-4</v>
      </c>
      <c r="Z486">
        <f t="shared" si="164"/>
        <v>2.9061414737793379E-3</v>
      </c>
      <c r="AA486">
        <f t="shared" si="165"/>
        <v>0.17152346967042947</v>
      </c>
      <c r="AB486">
        <f t="shared" si="166"/>
        <v>4.8260416525070383E-2</v>
      </c>
      <c r="AC486">
        <f t="shared" si="167"/>
        <v>5.6915374566481026E-2</v>
      </c>
      <c r="AD486">
        <f t="shared" si="168"/>
        <v>2.7319604783508861E-3</v>
      </c>
      <c r="AE486">
        <f t="shared" si="169"/>
        <v>2.3254287847688182E-2</v>
      </c>
      <c r="AG486">
        <f t="shared" si="170"/>
        <v>-0.59860663609589415</v>
      </c>
      <c r="AH486">
        <f t="shared" si="171"/>
        <v>0.23115589902189584</v>
      </c>
      <c r="AI486">
        <f t="shared" si="172"/>
        <v>-1.6769841438200844E-2</v>
      </c>
      <c r="AK486" s="26">
        <f t="shared" si="173"/>
        <v>1.8050084870715466E-3</v>
      </c>
      <c r="AL486" s="26">
        <f t="shared" si="174"/>
        <v>-1.8367955187475832E-2</v>
      </c>
      <c r="AM486" s="26">
        <f t="shared" si="175"/>
        <v>-2.9759433401470498E-2</v>
      </c>
      <c r="AN486" s="26">
        <f t="shared" si="176"/>
        <v>18.115555555555559</v>
      </c>
      <c r="AO486" s="26">
        <f t="shared" si="177"/>
        <v>18.506759896729776</v>
      </c>
      <c r="AP486" s="26">
        <f t="shared" si="178"/>
        <v>15.943132533284292</v>
      </c>
      <c r="AS486" s="2">
        <v>44994</v>
      </c>
      <c r="AT486">
        <v>11.1</v>
      </c>
      <c r="AU486">
        <v>3.6</v>
      </c>
      <c r="AV486">
        <v>9</v>
      </c>
      <c r="AW486">
        <v>6.5</v>
      </c>
      <c r="AX486">
        <v>75.760000000000005</v>
      </c>
      <c r="AY486">
        <v>0.9</v>
      </c>
      <c r="AZ486">
        <v>2.7</v>
      </c>
      <c r="BA486">
        <v>318.08030000000002</v>
      </c>
      <c r="BB486">
        <v>171.98750000000001</v>
      </c>
      <c r="BC486">
        <v>148.43639999999999</v>
      </c>
      <c r="BD486">
        <v>3.2654000000000001</v>
      </c>
      <c r="BE486">
        <v>27.54</v>
      </c>
      <c r="BF486">
        <v>-22.0717</v>
      </c>
      <c r="BG486">
        <v>-27.766300000000001</v>
      </c>
      <c r="BH486">
        <v>57.15</v>
      </c>
    </row>
    <row r="487" spans="1:60" x14ac:dyDescent="0.25">
      <c r="A487" s="2">
        <v>45014</v>
      </c>
      <c r="B487">
        <v>13.4</v>
      </c>
      <c r="C487">
        <v>17</v>
      </c>
      <c r="D487">
        <v>52.4</v>
      </c>
      <c r="E487">
        <v>7.1</v>
      </c>
      <c r="F487">
        <v>121.4</v>
      </c>
      <c r="G487">
        <v>0.9</v>
      </c>
      <c r="H487">
        <v>2.9</v>
      </c>
      <c r="I487">
        <v>279.70729999999998</v>
      </c>
      <c r="J487">
        <v>81.896100000000004</v>
      </c>
      <c r="K487">
        <v>110.1908</v>
      </c>
      <c r="L487">
        <v>3.427</v>
      </c>
      <c r="M487">
        <v>37.786799999999999</v>
      </c>
      <c r="N487">
        <v>-19.952200000000001</v>
      </c>
      <c r="O487">
        <v>-27.110099999999999</v>
      </c>
      <c r="P487">
        <v>55.61</v>
      </c>
      <c r="S487">
        <f t="shared" si="157"/>
        <v>728.10799999999995</v>
      </c>
      <c r="T487">
        <f t="shared" si="158"/>
        <v>1.2562030886659074E-2</v>
      </c>
      <c r="U487">
        <f t="shared" si="159"/>
        <v>1.5936904856209272E-2</v>
      </c>
      <c r="V487">
        <f t="shared" si="160"/>
        <v>4.9123165556786225E-2</v>
      </c>
      <c r="W487">
        <f t="shared" si="161"/>
        <v>6.6560014399462252E-3</v>
      </c>
      <c r="X487">
        <f t="shared" si="162"/>
        <v>0.11380824997316505</v>
      </c>
      <c r="Y487">
        <f t="shared" si="163"/>
        <v>8.4371849238754971E-4</v>
      </c>
      <c r="Z487">
        <f t="shared" si="164"/>
        <v>2.7186484754709935E-3</v>
      </c>
      <c r="AA487">
        <f t="shared" si="165"/>
        <v>0.26221580162865787</v>
      </c>
      <c r="AB487">
        <f t="shared" si="166"/>
        <v>7.6774726693800019E-2</v>
      </c>
      <c r="AC487">
        <f t="shared" si="167"/>
        <v>0.10330001738997557</v>
      </c>
      <c r="AD487">
        <f t="shared" si="168"/>
        <v>3.2126925260134811E-3</v>
      </c>
      <c r="AE487">
        <f t="shared" si="169"/>
        <v>3.5423802142388737E-2</v>
      </c>
      <c r="AG487">
        <f t="shared" si="170"/>
        <v>-0.5966197873566873</v>
      </c>
      <c r="AH487">
        <f t="shared" si="171"/>
        <v>0.23707252182301314</v>
      </c>
      <c r="AI487">
        <f t="shared" si="172"/>
        <v>3.058759034778399E-2</v>
      </c>
      <c r="AK487" s="26">
        <f t="shared" si="173"/>
        <v>-4.2154512101962027E-3</v>
      </c>
      <c r="AL487" s="26">
        <f t="shared" si="174"/>
        <v>-1.9484072567815952E-2</v>
      </c>
      <c r="AM487" s="26">
        <f t="shared" si="175"/>
        <v>-3.0202778310836481E-2</v>
      </c>
      <c r="AN487" s="26">
        <f t="shared" si="176"/>
        <v>18.070476190476192</v>
      </c>
      <c r="AO487" s="26">
        <f t="shared" si="177"/>
        <v>18.502211703958693</v>
      </c>
      <c r="AP487" s="26">
        <f t="shared" si="178"/>
        <v>15.860650193009619</v>
      </c>
      <c r="AS487" s="2">
        <v>44993</v>
      </c>
      <c r="AT487">
        <v>9.6</v>
      </c>
      <c r="AU487">
        <v>60.2</v>
      </c>
      <c r="AV487">
        <v>14.2</v>
      </c>
      <c r="AW487">
        <v>5.7</v>
      </c>
      <c r="AX487">
        <v>48.43</v>
      </c>
      <c r="AY487">
        <v>0.9</v>
      </c>
      <c r="AZ487">
        <v>2.5</v>
      </c>
      <c r="BA487">
        <v>342.86059999999998</v>
      </c>
      <c r="BB487">
        <v>210.14410000000001</v>
      </c>
      <c r="BC487">
        <v>186.61949999999999</v>
      </c>
      <c r="BD487">
        <v>3.2683</v>
      </c>
      <c r="BE487">
        <v>36.1858</v>
      </c>
      <c r="BF487">
        <v>-19.354900000000001</v>
      </c>
      <c r="BG487">
        <v>-24.558700000000002</v>
      </c>
      <c r="BH487">
        <v>57.53</v>
      </c>
    </row>
    <row r="488" spans="1:60" x14ac:dyDescent="0.25">
      <c r="A488" s="2">
        <v>45013</v>
      </c>
      <c r="B488">
        <v>13.5</v>
      </c>
      <c r="C488">
        <v>11.6</v>
      </c>
      <c r="D488">
        <v>47.2</v>
      </c>
      <c r="E488">
        <v>8.1999999999999993</v>
      </c>
      <c r="F488">
        <v>206.92</v>
      </c>
      <c r="G488">
        <v>0.9</v>
      </c>
      <c r="H488">
        <v>2.8</v>
      </c>
      <c r="I488">
        <v>227.08090000000001</v>
      </c>
      <c r="J488">
        <v>122.88849999999999</v>
      </c>
      <c r="K488">
        <v>84.340299999999999</v>
      </c>
      <c r="L488">
        <v>3.363</v>
      </c>
      <c r="M488">
        <v>36.930999999999997</v>
      </c>
      <c r="N488">
        <v>-17.8262</v>
      </c>
      <c r="O488">
        <v>-24.351500000000001</v>
      </c>
      <c r="P488">
        <v>55.69</v>
      </c>
      <c r="S488">
        <f t="shared" si="157"/>
        <v>765.72370000000012</v>
      </c>
      <c r="T488">
        <f t="shared" si="158"/>
        <v>1.2655777385813246E-2</v>
      </c>
      <c r="U488">
        <f t="shared" si="159"/>
        <v>1.0874593901883974E-2</v>
      </c>
      <c r="V488">
        <f t="shared" si="160"/>
        <v>4.4248347600769275E-2</v>
      </c>
      <c r="W488">
        <f t="shared" si="161"/>
        <v>7.6872129306421186E-3</v>
      </c>
      <c r="X488">
        <f t="shared" si="162"/>
        <v>0.19398025604981309</v>
      </c>
      <c r="Y488">
        <f t="shared" si="163"/>
        <v>8.4371849238754971E-4</v>
      </c>
      <c r="Z488">
        <f t="shared" si="164"/>
        <v>2.624901976316821E-3</v>
      </c>
      <c r="AA488">
        <f t="shared" si="165"/>
        <v>0.2128803939977866</v>
      </c>
      <c r="AB488">
        <f t="shared" si="166"/>
        <v>0.11520366661307489</v>
      </c>
      <c r="AC488">
        <f t="shared" si="167"/>
        <v>7.9066078626126288E-2</v>
      </c>
      <c r="AD488">
        <f t="shared" si="168"/>
        <v>3.1526947665548107E-3</v>
      </c>
      <c r="AE488">
        <f t="shared" si="169"/>
        <v>3.4621519602627326E-2</v>
      </c>
      <c r="AG488">
        <f t="shared" si="170"/>
        <v>-0.5890676133619529</v>
      </c>
      <c r="AH488">
        <f t="shared" si="171"/>
        <v>0.30753632794025343</v>
      </c>
      <c r="AI488">
        <f t="shared" si="172"/>
        <v>0.57388477333362531</v>
      </c>
      <c r="AK488" s="26">
        <f t="shared" si="173"/>
        <v>-3.2154141505682521E-3</v>
      </c>
      <c r="AL488" s="26">
        <f t="shared" si="174"/>
        <v>-1.8059807984112136E-2</v>
      </c>
      <c r="AM488" s="26">
        <f t="shared" si="175"/>
        <v>-2.9996854257456573E-2</v>
      </c>
      <c r="AN488" s="26">
        <f t="shared" si="176"/>
        <v>18.030317460317463</v>
      </c>
      <c r="AO488" s="26">
        <f t="shared" si="177"/>
        <v>18.497799053356289</v>
      </c>
      <c r="AP488" s="26">
        <f t="shared" si="178"/>
        <v>15.779001076652385</v>
      </c>
      <c r="AS488" s="2">
        <v>44992</v>
      </c>
      <c r="AT488">
        <v>10.3</v>
      </c>
      <c r="AU488">
        <v>4.2</v>
      </c>
      <c r="AV488">
        <v>50.5</v>
      </c>
      <c r="AW488">
        <v>21.3</v>
      </c>
      <c r="AX488">
        <v>94.84</v>
      </c>
      <c r="AY488">
        <v>0.8</v>
      </c>
      <c r="AZ488">
        <v>2.5</v>
      </c>
      <c r="BA488">
        <v>279.02969999999999</v>
      </c>
      <c r="BB488">
        <v>130.00319999999999</v>
      </c>
      <c r="BC488">
        <v>118.98520000000001</v>
      </c>
      <c r="BD488">
        <v>3.3677000000000001</v>
      </c>
      <c r="BE488">
        <v>18.667000000000002</v>
      </c>
      <c r="BF488">
        <v>-22.026900000000001</v>
      </c>
      <c r="BG488">
        <v>-24.528199999999998</v>
      </c>
      <c r="BH488">
        <v>58.03</v>
      </c>
    </row>
    <row r="489" spans="1:60" x14ac:dyDescent="0.25">
      <c r="A489" s="2">
        <v>45012</v>
      </c>
      <c r="B489">
        <v>12.9</v>
      </c>
      <c r="C489">
        <v>3.9</v>
      </c>
      <c r="D489">
        <v>65.5</v>
      </c>
      <c r="E489">
        <v>15.5</v>
      </c>
      <c r="F489">
        <v>181.78</v>
      </c>
      <c r="G489">
        <v>0.9</v>
      </c>
      <c r="H489">
        <v>3.2</v>
      </c>
      <c r="I489">
        <v>162.19560000000001</v>
      </c>
      <c r="J489">
        <v>96.406099999999995</v>
      </c>
      <c r="K489">
        <v>65.303100000000001</v>
      </c>
      <c r="L489">
        <v>3.3424999999999998</v>
      </c>
      <c r="M489">
        <v>32.970500000000001</v>
      </c>
      <c r="N489">
        <v>-19.252600000000001</v>
      </c>
      <c r="O489">
        <v>-23.375800000000002</v>
      </c>
      <c r="P489">
        <v>55.9</v>
      </c>
      <c r="S489">
        <f t="shared" si="157"/>
        <v>643.89779999999996</v>
      </c>
      <c r="T489">
        <f t="shared" si="158"/>
        <v>1.2093298390888213E-2</v>
      </c>
      <c r="U489">
        <f t="shared" si="159"/>
        <v>3.6561134670127153E-3</v>
      </c>
      <c r="V489">
        <f t="shared" si="160"/>
        <v>6.1403956945982788E-2</v>
      </c>
      <c r="W489">
        <f t="shared" si="161"/>
        <v>1.453070736889669E-2</v>
      </c>
      <c r="X489">
        <f t="shared" si="162"/>
        <v>0.17041238616245422</v>
      </c>
      <c r="Y489">
        <f t="shared" si="163"/>
        <v>8.4371849238754971E-4</v>
      </c>
      <c r="Z489">
        <f t="shared" si="164"/>
        <v>2.9998879729335104E-3</v>
      </c>
      <c r="AA489">
        <f t="shared" si="165"/>
        <v>0.15205269678210453</v>
      </c>
      <c r="AB489">
        <f t="shared" si="166"/>
        <v>9.0377343721070397E-2</v>
      </c>
      <c r="AC489">
        <f t="shared" si="167"/>
        <v>6.1219370089148219E-2</v>
      </c>
      <c r="AD489">
        <f t="shared" si="168"/>
        <v>3.1334767342282052E-3</v>
      </c>
      <c r="AE489">
        <f t="shared" si="169"/>
        <v>3.0908689503626345E-2</v>
      </c>
      <c r="AG489">
        <f t="shared" si="170"/>
        <v>-0.57546345286720557</v>
      </c>
      <c r="AH489">
        <f t="shared" si="171"/>
        <v>0.29684875830418206</v>
      </c>
      <c r="AI489">
        <f t="shared" si="172"/>
        <v>0.49270448521453142</v>
      </c>
      <c r="AK489" s="26">
        <f t="shared" si="173"/>
        <v>-8.3984557154074546E-3</v>
      </c>
      <c r="AL489" s="26">
        <f t="shared" si="174"/>
        <v>-1.8900425661788123E-2</v>
      </c>
      <c r="AM489" s="26">
        <f t="shared" si="175"/>
        <v>-3.0258458024961188E-2</v>
      </c>
      <c r="AN489" s="26">
        <f t="shared" si="176"/>
        <v>17.993968253968255</v>
      </c>
      <c r="AO489" s="26">
        <f t="shared" si="177"/>
        <v>18.491071428571438</v>
      </c>
      <c r="AP489" s="26">
        <f t="shared" si="178"/>
        <v>15.697184160079807</v>
      </c>
      <c r="AS489" s="2">
        <v>44991</v>
      </c>
      <c r="AT489">
        <v>10.1</v>
      </c>
      <c r="AU489">
        <v>42.5</v>
      </c>
      <c r="AV489">
        <v>36.1</v>
      </c>
      <c r="AW489">
        <v>5.7</v>
      </c>
      <c r="AX489">
        <v>72.739999999999995</v>
      </c>
      <c r="AY489">
        <v>0.9</v>
      </c>
      <c r="AZ489">
        <v>2.5</v>
      </c>
      <c r="BA489">
        <v>331.13799999999998</v>
      </c>
      <c r="BB489">
        <v>208.13130000000001</v>
      </c>
      <c r="BC489">
        <v>179.88249999999999</v>
      </c>
      <c r="BD489">
        <v>3.2496999999999998</v>
      </c>
      <c r="BE489">
        <v>41.071800000000003</v>
      </c>
      <c r="BF489">
        <v>-19.060500000000001</v>
      </c>
      <c r="BG489">
        <v>-21.17</v>
      </c>
      <c r="BH489">
        <v>58.54</v>
      </c>
    </row>
    <row r="490" spans="1:60" x14ac:dyDescent="0.25">
      <c r="A490" s="2">
        <v>45011</v>
      </c>
      <c r="B490">
        <v>12</v>
      </c>
      <c r="C490">
        <v>5.8</v>
      </c>
      <c r="D490">
        <v>52.2</v>
      </c>
      <c r="E490">
        <v>11.9</v>
      </c>
      <c r="F490">
        <v>107.95</v>
      </c>
      <c r="G490">
        <v>0.9</v>
      </c>
      <c r="H490">
        <v>3.4</v>
      </c>
      <c r="I490">
        <v>111.9359</v>
      </c>
      <c r="J490">
        <v>40.187100000000001</v>
      </c>
      <c r="K490">
        <v>36.347299999999997</v>
      </c>
      <c r="L490">
        <v>3.0497000000000001</v>
      </c>
      <c r="M490">
        <v>21.900400000000001</v>
      </c>
      <c r="P490">
        <v>56.02</v>
      </c>
      <c r="S490">
        <f t="shared" si="157"/>
        <v>407.57040000000001</v>
      </c>
      <c r="T490">
        <f t="shared" si="158"/>
        <v>1.1249579898500664E-2</v>
      </c>
      <c r="U490">
        <f t="shared" si="159"/>
        <v>5.4372969509419869E-3</v>
      </c>
      <c r="V490">
        <f t="shared" si="160"/>
        <v>4.8935672558477888E-2</v>
      </c>
      <c r="W490">
        <f t="shared" si="161"/>
        <v>1.115583339934649E-2</v>
      </c>
      <c r="X490">
        <f t="shared" si="162"/>
        <v>0.10119934583692888</v>
      </c>
      <c r="Y490">
        <f t="shared" si="163"/>
        <v>8.4371849238754971E-4</v>
      </c>
      <c r="Z490">
        <f t="shared" si="164"/>
        <v>3.1873809712418544E-3</v>
      </c>
      <c r="AA490">
        <f t="shared" si="165"/>
        <v>0.10493598754671503</v>
      </c>
      <c r="AB490">
        <f t="shared" si="166"/>
        <v>3.767399936158633E-2</v>
      </c>
      <c r="AC490">
        <f t="shared" si="167"/>
        <v>3.4074321287064425E-2</v>
      </c>
      <c r="AD490">
        <f t="shared" si="168"/>
        <v>2.8589869847047895E-3</v>
      </c>
      <c r="AE490">
        <f t="shared" si="169"/>
        <v>2.0530858300760329E-2</v>
      </c>
      <c r="AG490">
        <f t="shared" si="170"/>
        <v>-0.56599786337005797</v>
      </c>
      <c r="AH490">
        <f t="shared" si="171"/>
        <v>0.20253968640858563</v>
      </c>
      <c r="AI490">
        <f t="shared" si="172"/>
        <v>-0.23297028061735264</v>
      </c>
      <c r="AK490" s="26">
        <f t="shared" si="173"/>
        <v>-9.1223542775586419E-3</v>
      </c>
      <c r="AL490" s="26">
        <f t="shared" si="174"/>
        <v>-1.8059413111272238E-2</v>
      </c>
      <c r="AM490" s="26">
        <f t="shared" si="175"/>
        <v>-3.0917084584971555E-2</v>
      </c>
      <c r="AN490" s="26">
        <f t="shared" si="176"/>
        <v>17.956507936507926</v>
      </c>
      <c r="AO490" s="26">
        <f t="shared" si="177"/>
        <v>18.481936316695368</v>
      </c>
      <c r="AP490" s="26">
        <f t="shared" si="178"/>
        <v>15.613575798954855</v>
      </c>
      <c r="AS490" s="2">
        <v>44990</v>
      </c>
      <c r="AT490">
        <v>8.3000000000000007</v>
      </c>
      <c r="AU490">
        <v>22</v>
      </c>
      <c r="AV490">
        <v>47.5</v>
      </c>
      <c r="AW490">
        <v>8.6999999999999993</v>
      </c>
      <c r="AX490">
        <v>66.52</v>
      </c>
      <c r="AY490">
        <v>0.9</v>
      </c>
      <c r="AZ490">
        <v>2.8</v>
      </c>
      <c r="BA490">
        <v>275.99759999999998</v>
      </c>
      <c r="BB490">
        <v>111.1459</v>
      </c>
      <c r="BC490">
        <v>118.4346</v>
      </c>
      <c r="BD490">
        <v>3.3359999999999999</v>
      </c>
      <c r="BE490">
        <v>17.158799999999999</v>
      </c>
      <c r="BH490">
        <v>58.94</v>
      </c>
    </row>
    <row r="491" spans="1:60" x14ac:dyDescent="0.25">
      <c r="A491" s="2">
        <v>45010</v>
      </c>
      <c r="B491">
        <v>13.1</v>
      </c>
      <c r="C491">
        <v>5.7</v>
      </c>
      <c r="D491">
        <v>70.3</v>
      </c>
      <c r="E491">
        <v>17.600000000000001</v>
      </c>
      <c r="F491">
        <v>144.34</v>
      </c>
      <c r="G491">
        <v>0.7</v>
      </c>
      <c r="H491">
        <v>3.3</v>
      </c>
      <c r="I491">
        <v>97.978200000000001</v>
      </c>
      <c r="J491">
        <v>49.755600000000001</v>
      </c>
      <c r="K491">
        <v>34.278300000000002</v>
      </c>
      <c r="L491">
        <v>3.2431000000000001</v>
      </c>
      <c r="M491">
        <v>13.7509</v>
      </c>
      <c r="P491">
        <v>56.05</v>
      </c>
      <c r="S491">
        <f t="shared" si="157"/>
        <v>454.04610000000002</v>
      </c>
      <c r="T491">
        <f t="shared" si="158"/>
        <v>1.2280791389196556E-2</v>
      </c>
      <c r="U491">
        <f t="shared" si="159"/>
        <v>5.3435504517878154E-3</v>
      </c>
      <c r="V491">
        <f t="shared" si="160"/>
        <v>6.5903788905383051E-2</v>
      </c>
      <c r="W491">
        <f t="shared" si="161"/>
        <v>1.6499383851134308E-2</v>
      </c>
      <c r="X491">
        <f t="shared" si="162"/>
        <v>0.13531369687913214</v>
      </c>
      <c r="Y491">
        <f t="shared" si="163"/>
        <v>6.5622549407920526E-4</v>
      </c>
      <c r="Z491">
        <f t="shared" si="164"/>
        <v>3.0936344720876819E-3</v>
      </c>
      <c r="AA491">
        <f t="shared" si="165"/>
        <v>9.1851132434273133E-2</v>
      </c>
      <c r="AB491">
        <f t="shared" si="166"/>
        <v>4.6644133133153298E-2</v>
      </c>
      <c r="AC491">
        <f t="shared" si="167"/>
        <v>3.2134706219564609E-2</v>
      </c>
      <c r="AD491">
        <f t="shared" si="168"/>
        <v>3.0402927140689585E-3</v>
      </c>
      <c r="AE491">
        <f t="shared" si="169"/>
        <v>1.2890987352191064E-2</v>
      </c>
      <c r="AG491">
        <f t="shared" si="170"/>
        <v>-0.56066881769618626</v>
      </c>
      <c r="AH491">
        <f t="shared" si="171"/>
        <v>0.2519820587949918</v>
      </c>
      <c r="AI491">
        <f t="shared" si="172"/>
        <v>0.14662713329389579</v>
      </c>
      <c r="AK491" s="26">
        <f t="shared" si="173"/>
        <v>-5.8316170469795148E-3</v>
      </c>
      <c r="AL491" s="26">
        <f t="shared" si="174"/>
        <v>-1.8351338418808788E-2</v>
      </c>
      <c r="AM491" s="26">
        <f t="shared" si="175"/>
        <v>-3.1513143201212873E-2</v>
      </c>
      <c r="AN491" s="26">
        <f t="shared" si="176"/>
        <v>17.915396825396833</v>
      </c>
      <c r="AO491" s="26">
        <f t="shared" si="177"/>
        <v>18.472641996557662</v>
      </c>
      <c r="AP491" s="26">
        <f t="shared" si="178"/>
        <v>15.526664740946906</v>
      </c>
      <c r="AS491" s="2">
        <v>44989</v>
      </c>
      <c r="AU491">
        <v>31.7</v>
      </c>
      <c r="AX491">
        <v>84.07</v>
      </c>
      <c r="BC491">
        <v>100.26479999999999</v>
      </c>
      <c r="BH491">
        <v>59.5</v>
      </c>
    </row>
    <row r="492" spans="1:60" x14ac:dyDescent="0.25">
      <c r="A492" s="2">
        <v>45009</v>
      </c>
      <c r="B492">
        <v>11.5</v>
      </c>
      <c r="C492">
        <v>39.299999999999997</v>
      </c>
      <c r="D492">
        <v>58.2</v>
      </c>
      <c r="E492">
        <v>20.399999999999999</v>
      </c>
      <c r="F492">
        <v>99.82</v>
      </c>
      <c r="G492">
        <v>0.9</v>
      </c>
      <c r="H492">
        <v>3.3</v>
      </c>
      <c r="I492">
        <v>131.98609999999999</v>
      </c>
      <c r="J492">
        <v>80.046199999999999</v>
      </c>
      <c r="K492">
        <v>50.442300000000003</v>
      </c>
      <c r="L492">
        <v>3.4319999999999999</v>
      </c>
      <c r="M492">
        <v>31.588000000000001</v>
      </c>
      <c r="N492">
        <v>-18.157599999999999</v>
      </c>
      <c r="O492">
        <v>-23.6541</v>
      </c>
      <c r="P492">
        <v>55.83</v>
      </c>
      <c r="S492">
        <f t="shared" si="157"/>
        <v>530.91460000000006</v>
      </c>
      <c r="T492">
        <f t="shared" si="158"/>
        <v>1.0780847402729802E-2</v>
      </c>
      <c r="U492">
        <f t="shared" si="159"/>
        <v>3.6842374167589668E-2</v>
      </c>
      <c r="V492">
        <f t="shared" si="160"/>
        <v>5.4560462507728218E-2</v>
      </c>
      <c r="W492">
        <f t="shared" si="161"/>
        <v>1.9124285827451126E-2</v>
      </c>
      <c r="X492">
        <f t="shared" si="162"/>
        <v>9.3577755455694675E-2</v>
      </c>
      <c r="Y492">
        <f t="shared" si="163"/>
        <v>8.4371849238754971E-4</v>
      </c>
      <c r="Z492">
        <f t="shared" si="164"/>
        <v>3.0936344720876819E-3</v>
      </c>
      <c r="AA492">
        <f t="shared" si="165"/>
        <v>0.12373234812012486</v>
      </c>
      <c r="AB492">
        <f t="shared" si="166"/>
        <v>7.5040510205946973E-2</v>
      </c>
      <c r="AC492">
        <f t="shared" si="167"/>
        <v>4.7287890342845001E-2</v>
      </c>
      <c r="AD492">
        <f t="shared" si="168"/>
        <v>3.2173798509711896E-3</v>
      </c>
      <c r="AE492">
        <f t="shared" si="169"/>
        <v>2.9612644152819913E-2</v>
      </c>
      <c r="AG492">
        <f t="shared" si="170"/>
        <v>-0.56689866733136718</v>
      </c>
      <c r="AH492">
        <f t="shared" si="171"/>
        <v>0.24843572247848864</v>
      </c>
      <c r="AI492">
        <f t="shared" si="172"/>
        <v>0.11903234345278538</v>
      </c>
      <c r="AK492" s="26">
        <f t="shared" si="173"/>
        <v>-7.3368272058352557E-3</v>
      </c>
      <c r="AL492" s="26">
        <f t="shared" si="174"/>
        <v>-1.4818574187179162E-2</v>
      </c>
      <c r="AM492" s="26">
        <f t="shared" si="175"/>
        <v>-3.1974287178701266E-2</v>
      </c>
      <c r="AN492" s="26">
        <f t="shared" si="176"/>
        <v>17.886507936507932</v>
      </c>
      <c r="AO492" s="26">
        <f t="shared" si="177"/>
        <v>18.464447074010323</v>
      </c>
      <c r="AP492" s="26">
        <f t="shared" si="178"/>
        <v>15.438226149523373</v>
      </c>
      <c r="AS492" s="2">
        <v>44988</v>
      </c>
      <c r="AU492">
        <v>18.2</v>
      </c>
      <c r="AX492">
        <v>118.91</v>
      </c>
      <c r="BC492">
        <v>164.5248</v>
      </c>
      <c r="BF492">
        <v>-17.387</v>
      </c>
      <c r="BG492">
        <v>-17.1068</v>
      </c>
      <c r="BH492">
        <v>59.7</v>
      </c>
    </row>
    <row r="493" spans="1:60" x14ac:dyDescent="0.25">
      <c r="A493" s="2">
        <v>45008</v>
      </c>
      <c r="B493">
        <v>11.2</v>
      </c>
      <c r="C493">
        <v>2.2999999999999998</v>
      </c>
      <c r="D493">
        <v>52.6</v>
      </c>
      <c r="E493">
        <v>19.5</v>
      </c>
      <c r="F493">
        <v>96.63</v>
      </c>
      <c r="G493">
        <v>0.8</v>
      </c>
      <c r="H493">
        <v>2.9</v>
      </c>
      <c r="I493">
        <v>143.4152</v>
      </c>
      <c r="J493">
        <v>84.708299999999994</v>
      </c>
      <c r="K493">
        <v>52.778500000000001</v>
      </c>
      <c r="L493">
        <v>3.4432</v>
      </c>
      <c r="M493">
        <v>38.116300000000003</v>
      </c>
      <c r="N493">
        <v>-19.326699999999999</v>
      </c>
      <c r="O493">
        <v>-22.609300000000001</v>
      </c>
      <c r="P493">
        <v>55.68</v>
      </c>
      <c r="S493">
        <f t="shared" si="157"/>
        <v>508.39150000000001</v>
      </c>
      <c r="T493">
        <f t="shared" si="158"/>
        <v>1.0499607905267284E-2</v>
      </c>
      <c r="U493">
        <f t="shared" si="159"/>
        <v>2.1561694805459601E-3</v>
      </c>
      <c r="V493">
        <f t="shared" si="160"/>
        <v>4.9310658555094575E-2</v>
      </c>
      <c r="W493">
        <f t="shared" si="161"/>
        <v>1.8280567335063579E-2</v>
      </c>
      <c r="X493">
        <f t="shared" si="162"/>
        <v>9.058724213267659E-2</v>
      </c>
      <c r="Y493">
        <f t="shared" si="163"/>
        <v>7.4997199323337759E-4</v>
      </c>
      <c r="Z493">
        <f t="shared" si="164"/>
        <v>2.7186484754709935E-3</v>
      </c>
      <c r="AA493">
        <f t="shared" si="165"/>
        <v>0.13444672925495435</v>
      </c>
      <c r="AB493">
        <f t="shared" si="166"/>
        <v>7.941106574301364E-2</v>
      </c>
      <c r="AC493">
        <f t="shared" si="167"/>
        <v>4.9477996056084772E-2</v>
      </c>
      <c r="AD493">
        <f t="shared" si="168"/>
        <v>3.2278794588764567E-3</v>
      </c>
      <c r="AE493">
        <f t="shared" si="169"/>
        <v>3.5732696857101738E-2</v>
      </c>
      <c r="AG493">
        <f t="shared" si="170"/>
        <v>-0.5698957306904513</v>
      </c>
      <c r="AH493">
        <f t="shared" si="171"/>
        <v>0.21003556273445409</v>
      </c>
      <c r="AI493">
        <f t="shared" si="172"/>
        <v>-0.17841654952227723</v>
      </c>
      <c r="AK493" s="26">
        <f t="shared" si="173"/>
        <v>-1.0889640959018065E-2</v>
      </c>
      <c r="AL493" s="26">
        <f t="shared" si="174"/>
        <v>-1.6291203332023524E-2</v>
      </c>
      <c r="AM493" s="26">
        <f t="shared" si="175"/>
        <v>-3.2544335093792093E-2</v>
      </c>
      <c r="AN493" s="26">
        <f t="shared" si="176"/>
        <v>17.864920634920615</v>
      </c>
      <c r="AO493" s="26">
        <f t="shared" si="177"/>
        <v>18.460839070567992</v>
      </c>
      <c r="AP493" s="26">
        <f t="shared" si="178"/>
        <v>15.352036711220819</v>
      </c>
      <c r="AS493" s="2">
        <v>44987</v>
      </c>
      <c r="AT493">
        <v>10.3</v>
      </c>
      <c r="AU493">
        <v>55.9</v>
      </c>
      <c r="AV493">
        <v>11.1</v>
      </c>
      <c r="AW493">
        <v>3</v>
      </c>
      <c r="AX493">
        <v>167.57</v>
      </c>
      <c r="AY493">
        <v>0.9</v>
      </c>
      <c r="AZ493">
        <v>3.1</v>
      </c>
      <c r="BA493">
        <v>342.23149999999998</v>
      </c>
      <c r="BB493">
        <v>186.262</v>
      </c>
      <c r="BC493">
        <v>159.62020000000001</v>
      </c>
      <c r="BD493">
        <v>3.3515999999999999</v>
      </c>
      <c r="BE493">
        <v>31.325299999999999</v>
      </c>
      <c r="BF493">
        <v>-16.912500000000001</v>
      </c>
      <c r="BG493">
        <v>-18.770499999999998</v>
      </c>
      <c r="BH493">
        <v>60.14</v>
      </c>
    </row>
    <row r="494" spans="1:60" x14ac:dyDescent="0.25">
      <c r="A494" s="2">
        <v>45007</v>
      </c>
      <c r="B494">
        <v>11.8</v>
      </c>
      <c r="C494">
        <v>3.4</v>
      </c>
      <c r="D494">
        <v>68.900000000000006</v>
      </c>
      <c r="E494">
        <v>19</v>
      </c>
      <c r="F494">
        <v>181.25</v>
      </c>
      <c r="G494">
        <v>0.9</v>
      </c>
      <c r="H494">
        <v>2.9</v>
      </c>
      <c r="I494">
        <v>163.58109999999999</v>
      </c>
      <c r="J494">
        <v>91.323800000000006</v>
      </c>
      <c r="K494">
        <v>60.518599999999999</v>
      </c>
      <c r="L494">
        <v>3.8784999999999998</v>
      </c>
      <c r="M494">
        <v>25.3079</v>
      </c>
      <c r="N494">
        <v>-19.363499999999998</v>
      </c>
      <c r="O494">
        <v>-28.387799999999999</v>
      </c>
      <c r="P494">
        <v>55.61</v>
      </c>
      <c r="S494">
        <f t="shared" si="157"/>
        <v>632.75990000000002</v>
      </c>
      <c r="T494">
        <f t="shared" si="158"/>
        <v>1.1062086900192319E-2</v>
      </c>
      <c r="U494">
        <f t="shared" si="159"/>
        <v>3.1873809712418544E-3</v>
      </c>
      <c r="V494">
        <f t="shared" si="160"/>
        <v>6.4591337917224642E-2</v>
      </c>
      <c r="W494">
        <f t="shared" si="161"/>
        <v>1.7811834839292717E-2</v>
      </c>
      <c r="X494">
        <f t="shared" si="162"/>
        <v>0.1699155297169371</v>
      </c>
      <c r="Y494">
        <f t="shared" si="163"/>
        <v>8.4371849238754971E-4</v>
      </c>
      <c r="Z494">
        <f t="shared" si="164"/>
        <v>2.7186484754709935E-3</v>
      </c>
      <c r="AA494">
        <f t="shared" si="165"/>
        <v>0.15335155452788557</v>
      </c>
      <c r="AB494">
        <f t="shared" si="166"/>
        <v>8.561286539455791E-2</v>
      </c>
      <c r="AC494">
        <f t="shared" si="167"/>
        <v>5.6734068837116854E-2</v>
      </c>
      <c r="AD494">
        <f t="shared" si="168"/>
        <v>3.6359579696945681E-3</v>
      </c>
      <c r="AE494">
        <f t="shared" si="169"/>
        <v>2.3725270259438744E-2</v>
      </c>
      <c r="AG494">
        <f t="shared" si="170"/>
        <v>-0.56918945740785143</v>
      </c>
      <c r="AH494">
        <f t="shared" si="171"/>
        <v>0.29385580757218599</v>
      </c>
      <c r="AI494">
        <f t="shared" si="172"/>
        <v>0.46611928571030259</v>
      </c>
      <c r="AK494" s="26">
        <f t="shared" si="173"/>
        <v>-6.5621745866500103E-3</v>
      </c>
      <c r="AL494" s="26">
        <f t="shared" si="174"/>
        <v>-1.7251445677308713E-2</v>
      </c>
      <c r="AM494" s="26">
        <f t="shared" si="175"/>
        <v>-3.3096692113206649E-2</v>
      </c>
      <c r="AN494" s="26">
        <f t="shared" si="176"/>
        <v>17.861746031746016</v>
      </c>
      <c r="AO494" s="26">
        <f t="shared" si="177"/>
        <v>18.46198580034423</v>
      </c>
      <c r="AP494" s="26">
        <f t="shared" si="178"/>
        <v>15.26824794516952</v>
      </c>
      <c r="AS494" s="2">
        <v>44986</v>
      </c>
      <c r="AT494">
        <v>10.5</v>
      </c>
      <c r="AU494">
        <v>9.6999999999999993</v>
      </c>
      <c r="AV494">
        <v>4</v>
      </c>
      <c r="AW494">
        <v>3.2</v>
      </c>
      <c r="AX494">
        <v>190.6</v>
      </c>
      <c r="AY494">
        <v>0.9</v>
      </c>
      <c r="AZ494">
        <v>3.1</v>
      </c>
      <c r="BA494">
        <v>335.92180000000002</v>
      </c>
      <c r="BB494">
        <v>187.4494</v>
      </c>
      <c r="BC494">
        <v>168.84100000000001</v>
      </c>
      <c r="BD494">
        <v>4.0050999999999997</v>
      </c>
      <c r="BE494">
        <v>21.814</v>
      </c>
      <c r="BF494">
        <v>-17.0276</v>
      </c>
      <c r="BG494">
        <v>-22.096499999999999</v>
      </c>
      <c r="BH494">
        <v>60.61</v>
      </c>
    </row>
    <row r="495" spans="1:60" x14ac:dyDescent="0.25">
      <c r="A495" s="2">
        <v>45006</v>
      </c>
      <c r="B495">
        <v>13.1</v>
      </c>
      <c r="C495">
        <v>1.8</v>
      </c>
      <c r="D495">
        <v>58.4</v>
      </c>
      <c r="E495">
        <v>5.3</v>
      </c>
      <c r="F495">
        <v>127.68</v>
      </c>
      <c r="G495">
        <v>0.9</v>
      </c>
      <c r="H495">
        <v>3</v>
      </c>
      <c r="I495">
        <v>322.3646</v>
      </c>
      <c r="J495">
        <v>96.284000000000006</v>
      </c>
      <c r="K495">
        <v>124.1776</v>
      </c>
      <c r="L495">
        <v>3.0007999999999999</v>
      </c>
      <c r="M495">
        <v>19.905999999999999</v>
      </c>
      <c r="N495">
        <v>-21.665700000000001</v>
      </c>
      <c r="O495">
        <v>-27.101299999999998</v>
      </c>
      <c r="P495">
        <v>55.58</v>
      </c>
      <c r="S495">
        <f t="shared" si="157"/>
        <v>775.9129999999999</v>
      </c>
      <c r="T495">
        <f t="shared" si="158"/>
        <v>1.2280791389196556E-2</v>
      </c>
      <c r="U495">
        <f t="shared" si="159"/>
        <v>1.6874369847750994E-3</v>
      </c>
      <c r="V495">
        <f t="shared" si="160"/>
        <v>5.4747955506036561E-2</v>
      </c>
      <c r="W495">
        <f t="shared" si="161"/>
        <v>4.9685644551711256E-3</v>
      </c>
      <c r="X495">
        <f t="shared" si="162"/>
        <v>0.11969553012004706</v>
      </c>
      <c r="Y495">
        <f t="shared" si="163"/>
        <v>8.4371849238754971E-4</v>
      </c>
      <c r="Z495">
        <f t="shared" si="164"/>
        <v>2.8123949746251659E-3</v>
      </c>
      <c r="AA495">
        <f t="shared" si="165"/>
        <v>0.30220552701235054</v>
      </c>
      <c r="AB495">
        <f t="shared" si="166"/>
        <v>9.0262879245603153E-2</v>
      </c>
      <c r="AC495">
        <f t="shared" si="167"/>
        <v>0.11641215273367132</v>
      </c>
      <c r="AD495">
        <f t="shared" si="168"/>
        <v>2.8131449466183992E-3</v>
      </c>
      <c r="AE495">
        <f t="shared" si="169"/>
        <v>1.8661178121629516E-2</v>
      </c>
      <c r="AG495">
        <f t="shared" si="170"/>
        <v>-0.56663489047773108</v>
      </c>
      <c r="AH495">
        <f t="shared" si="171"/>
        <v>0.21569757004386864</v>
      </c>
      <c r="AI495">
        <f t="shared" si="172"/>
        <v>-0.1354232676092231</v>
      </c>
      <c r="AK495" s="26">
        <f t="shared" si="173"/>
        <v>-9.8881485965937321E-3</v>
      </c>
      <c r="AL495" s="26">
        <f t="shared" si="174"/>
        <v>-1.9069183135837692E-2</v>
      </c>
      <c r="AM495" s="26">
        <f t="shared" si="175"/>
        <v>-3.3803364624267723E-2</v>
      </c>
      <c r="AN495" s="26">
        <f t="shared" si="176"/>
        <v>17.876031746031735</v>
      </c>
      <c r="AO495" s="26">
        <f t="shared" si="177"/>
        <v>18.465570137693639</v>
      </c>
      <c r="AP495" s="26">
        <f t="shared" si="178"/>
        <v>15.186629815393502</v>
      </c>
      <c r="AS495" s="2">
        <v>44985</v>
      </c>
      <c r="AT495">
        <v>10.1</v>
      </c>
      <c r="AU495">
        <v>82.9</v>
      </c>
      <c r="AV495">
        <v>4.7</v>
      </c>
      <c r="AW495">
        <v>2.8</v>
      </c>
      <c r="AX495">
        <v>178.07</v>
      </c>
      <c r="AY495">
        <v>0.9</v>
      </c>
      <c r="AZ495">
        <v>3.1</v>
      </c>
      <c r="BA495">
        <v>351.82330000000002</v>
      </c>
      <c r="BB495">
        <v>198.90960000000001</v>
      </c>
      <c r="BC495">
        <v>165.85059999999999</v>
      </c>
      <c r="BD495">
        <v>3.4016999999999999</v>
      </c>
      <c r="BE495">
        <v>26.890699999999999</v>
      </c>
      <c r="BF495">
        <v>-31.857600000000001</v>
      </c>
      <c r="BG495">
        <v>-22.474799999999998</v>
      </c>
      <c r="BH495">
        <v>61.04</v>
      </c>
    </row>
    <row r="496" spans="1:60" x14ac:dyDescent="0.25">
      <c r="A496" s="2">
        <v>45005</v>
      </c>
      <c r="B496">
        <v>12.6</v>
      </c>
      <c r="C496">
        <v>208.6</v>
      </c>
      <c r="D496">
        <v>38.4</v>
      </c>
      <c r="E496">
        <v>1.4</v>
      </c>
      <c r="F496">
        <v>88.7</v>
      </c>
      <c r="G496">
        <v>0.9</v>
      </c>
      <c r="H496">
        <v>2.9</v>
      </c>
      <c r="I496">
        <v>293.49419999999998</v>
      </c>
      <c r="J496">
        <v>98.866399999999999</v>
      </c>
      <c r="K496">
        <v>120.1397</v>
      </c>
      <c r="L496">
        <v>3.048</v>
      </c>
      <c r="M496">
        <v>29.784700000000001</v>
      </c>
      <c r="N496">
        <v>-20.660599999999999</v>
      </c>
      <c r="O496">
        <v>-28.244599999999998</v>
      </c>
      <c r="P496">
        <v>55.63</v>
      </c>
      <c r="S496">
        <f t="shared" si="157"/>
        <v>898.83299999999997</v>
      </c>
      <c r="T496">
        <f t="shared" si="158"/>
        <v>1.1812058893425697E-2</v>
      </c>
      <c r="U496">
        <f t="shared" si="159"/>
        <v>0.19555519723560319</v>
      </c>
      <c r="V496">
        <f t="shared" si="160"/>
        <v>3.5998655675202121E-2</v>
      </c>
      <c r="W496">
        <f t="shared" si="161"/>
        <v>1.3124509881584105E-3</v>
      </c>
      <c r="X496">
        <f t="shared" si="162"/>
        <v>8.3153144749750732E-2</v>
      </c>
      <c r="Y496">
        <f t="shared" si="163"/>
        <v>8.4371849238754971E-4</v>
      </c>
      <c r="Z496">
        <f t="shared" si="164"/>
        <v>2.7186484754709935E-3</v>
      </c>
      <c r="AA496">
        <f t="shared" si="165"/>
        <v>0.27514053772054442</v>
      </c>
      <c r="AB496">
        <f t="shared" si="166"/>
        <v>9.26837888397605E-2</v>
      </c>
      <c r="AC496">
        <f t="shared" si="167"/>
        <v>0.11262676284432502</v>
      </c>
      <c r="AD496">
        <f t="shared" si="168"/>
        <v>2.8573932942191683E-3</v>
      </c>
      <c r="AE496">
        <f t="shared" si="169"/>
        <v>2.7922113533572726E-2</v>
      </c>
      <c r="AG496">
        <f t="shared" si="170"/>
        <v>-0.56038151800241953</v>
      </c>
      <c r="AH496">
        <f t="shared" si="171"/>
        <v>0.3593159880435714</v>
      </c>
      <c r="AI496">
        <f t="shared" si="172"/>
        <v>0.96878293873113464</v>
      </c>
      <c r="AK496" s="26">
        <f t="shared" si="173"/>
        <v>-4.9260987790940292E-3</v>
      </c>
      <c r="AL496" s="26">
        <f t="shared" si="174"/>
        <v>-1.9392463178236757E-2</v>
      </c>
      <c r="AM496" s="26">
        <f t="shared" si="175"/>
        <v>-3.2596102985924344E-2</v>
      </c>
      <c r="AN496" s="26">
        <f t="shared" si="176"/>
        <v>17.90285714285713</v>
      </c>
      <c r="AO496" s="26">
        <f t="shared" si="177"/>
        <v>18.469442771084331</v>
      </c>
      <c r="AP496" s="26">
        <f t="shared" si="178"/>
        <v>15.106234867781836</v>
      </c>
      <c r="AS496" s="2">
        <v>44984</v>
      </c>
      <c r="AT496">
        <v>10</v>
      </c>
      <c r="AU496">
        <v>47.9</v>
      </c>
      <c r="AV496">
        <v>7.2</v>
      </c>
      <c r="AW496">
        <v>4.5</v>
      </c>
      <c r="AX496">
        <v>125.99</v>
      </c>
      <c r="AY496">
        <v>0.8</v>
      </c>
      <c r="AZ496">
        <v>3</v>
      </c>
      <c r="BA496">
        <v>344.77809999999999</v>
      </c>
      <c r="BB496">
        <v>196.33539999999999</v>
      </c>
      <c r="BC496">
        <v>169.2586</v>
      </c>
      <c r="BD496">
        <v>3.3359999999999999</v>
      </c>
      <c r="BE496">
        <v>24.909300000000002</v>
      </c>
      <c r="BF496">
        <v>-12.3291</v>
      </c>
      <c r="BG496">
        <v>-20.452999999999999</v>
      </c>
      <c r="BH496">
        <v>61.57</v>
      </c>
    </row>
    <row r="497" spans="1:60" x14ac:dyDescent="0.25">
      <c r="A497" s="2">
        <v>45004</v>
      </c>
      <c r="B497">
        <v>11.6</v>
      </c>
      <c r="C497">
        <v>96.9</v>
      </c>
      <c r="D497">
        <v>31.3</v>
      </c>
      <c r="E497">
        <v>2.6</v>
      </c>
      <c r="F497">
        <v>132.32</v>
      </c>
      <c r="G497">
        <v>0.9</v>
      </c>
      <c r="H497">
        <v>3.1</v>
      </c>
      <c r="I497">
        <v>156.6404</v>
      </c>
      <c r="J497">
        <v>59.457900000000002</v>
      </c>
      <c r="K497">
        <v>61.008699999999997</v>
      </c>
      <c r="L497">
        <v>3.1884999999999999</v>
      </c>
      <c r="M497">
        <v>20.203600000000002</v>
      </c>
      <c r="P497">
        <v>55.75</v>
      </c>
      <c r="S497">
        <f t="shared" si="157"/>
        <v>579.21910000000003</v>
      </c>
      <c r="T497">
        <f t="shared" si="158"/>
        <v>1.0874593901883974E-2</v>
      </c>
      <c r="U497">
        <f t="shared" si="159"/>
        <v>9.0840357680392864E-2</v>
      </c>
      <c r="V497">
        <f t="shared" si="160"/>
        <v>2.9342654235255897E-2</v>
      </c>
      <c r="W497">
        <f t="shared" si="161"/>
        <v>2.437408978008477E-3</v>
      </c>
      <c r="X497">
        <f t="shared" si="162"/>
        <v>0.12404536768080064</v>
      </c>
      <c r="Y497">
        <f t="shared" si="163"/>
        <v>8.4371849238754971E-4</v>
      </c>
      <c r="Z497">
        <f t="shared" si="164"/>
        <v>2.9061414737793379E-3</v>
      </c>
      <c r="AA497">
        <f t="shared" si="165"/>
        <v>0.14684489126109193</v>
      </c>
      <c r="AB497">
        <f t="shared" si="166"/>
        <v>5.5739699720588551E-2</v>
      </c>
      <c r="AC497">
        <f t="shared" si="167"/>
        <v>5.7193520429471449E-2</v>
      </c>
      <c r="AD497">
        <f t="shared" si="168"/>
        <v>2.9891071255307802E-3</v>
      </c>
      <c r="AE497">
        <f t="shared" si="169"/>
        <v>1.8940167703112333E-2</v>
      </c>
      <c r="AG497">
        <f t="shared" si="170"/>
        <v>-0.55089045132617698</v>
      </c>
      <c r="AH497">
        <f t="shared" si="171"/>
        <v>0.28023041014562111</v>
      </c>
      <c r="AI497">
        <f t="shared" si="172"/>
        <v>0.36158088707568248</v>
      </c>
      <c r="AK497" s="26">
        <f t="shared" si="173"/>
        <v>-4.7806681981124866E-3</v>
      </c>
      <c r="AL497" s="26">
        <f t="shared" si="174"/>
        <v>-2.0936653112168024E-2</v>
      </c>
      <c r="AM497" s="26">
        <f t="shared" si="175"/>
        <v>-3.2835782492234858E-2</v>
      </c>
      <c r="AN497" s="26">
        <f t="shared" si="176"/>
        <v>17.942539682539682</v>
      </c>
      <c r="AO497" s="26">
        <f t="shared" si="177"/>
        <v>18.477549483648886</v>
      </c>
      <c r="AP497" s="26">
        <f t="shared" si="178"/>
        <v>15.02582679026284</v>
      </c>
      <c r="AS497" s="2">
        <v>44983</v>
      </c>
      <c r="AT497">
        <v>10.199999999999999</v>
      </c>
      <c r="AU497">
        <v>17.8</v>
      </c>
      <c r="AV497">
        <v>51.9</v>
      </c>
      <c r="AW497">
        <v>10.4</v>
      </c>
      <c r="AX497">
        <v>100.94</v>
      </c>
      <c r="AY497">
        <v>0.6</v>
      </c>
      <c r="AZ497">
        <v>2.8</v>
      </c>
      <c r="BA497">
        <v>227.64080000000001</v>
      </c>
      <c r="BB497">
        <v>72.4602</v>
      </c>
      <c r="BC497">
        <v>85.709500000000006</v>
      </c>
      <c r="BD497">
        <v>3.3359999999999999</v>
      </c>
      <c r="BE497">
        <v>11.7601</v>
      </c>
      <c r="BH497">
        <v>62.18</v>
      </c>
    </row>
    <row r="498" spans="1:60" x14ac:dyDescent="0.25">
      <c r="A498" s="2">
        <v>45003</v>
      </c>
      <c r="B498">
        <v>12</v>
      </c>
      <c r="C498">
        <v>0.6</v>
      </c>
      <c r="D498">
        <v>14.4</v>
      </c>
      <c r="E498">
        <v>6</v>
      </c>
      <c r="F498">
        <v>191.73</v>
      </c>
      <c r="G498">
        <v>0.9</v>
      </c>
      <c r="H498">
        <v>3.1</v>
      </c>
      <c r="I498">
        <v>238.0943</v>
      </c>
      <c r="J498">
        <v>54.572000000000003</v>
      </c>
      <c r="K498">
        <v>54.356999999999999</v>
      </c>
      <c r="L498">
        <v>3.048</v>
      </c>
      <c r="M498">
        <v>18.683199999999999</v>
      </c>
      <c r="P498">
        <v>55.72</v>
      </c>
      <c r="S498">
        <f t="shared" si="157"/>
        <v>597.48450000000003</v>
      </c>
      <c r="T498">
        <f t="shared" si="158"/>
        <v>1.1249579898500664E-2</v>
      </c>
      <c r="U498">
        <f t="shared" si="159"/>
        <v>5.6247899492503314E-4</v>
      </c>
      <c r="V498">
        <f t="shared" si="160"/>
        <v>1.3499495878200795E-2</v>
      </c>
      <c r="W498">
        <f t="shared" si="161"/>
        <v>5.6247899492503318E-3</v>
      </c>
      <c r="X498">
        <f t="shared" si="162"/>
        <v>0.17974016282829433</v>
      </c>
      <c r="Y498">
        <f t="shared" si="163"/>
        <v>8.4371849238754971E-4</v>
      </c>
      <c r="Z498">
        <f t="shared" si="164"/>
        <v>2.9061414737793379E-3</v>
      </c>
      <c r="AA498">
        <f t="shared" si="165"/>
        <v>0.22320507093563222</v>
      </c>
      <c r="AB498">
        <f t="shared" si="166"/>
        <v>5.1159339518414851E-2</v>
      </c>
      <c r="AC498">
        <f t="shared" si="167"/>
        <v>5.0957784545233378E-2</v>
      </c>
      <c r="AD498">
        <f t="shared" si="168"/>
        <v>2.8573932942191683E-3</v>
      </c>
      <c r="AE498">
        <f t="shared" si="169"/>
        <v>1.7514845929972298E-2</v>
      </c>
      <c r="AG498">
        <f t="shared" si="170"/>
        <v>-0.5483063330496698</v>
      </c>
      <c r="AH498">
        <f t="shared" si="171"/>
        <v>0.23194121344531035</v>
      </c>
      <c r="AI498">
        <f t="shared" si="172"/>
        <v>-1.0642140025156807E-2</v>
      </c>
      <c r="AK498" s="26">
        <f t="shared" si="173"/>
        <v>-8.4502722327653712E-3</v>
      </c>
      <c r="AL498" s="26">
        <f t="shared" si="174"/>
        <v>-2.4771742764514743E-2</v>
      </c>
      <c r="AM498" s="26">
        <f t="shared" si="175"/>
        <v>-3.4098236668658632E-2</v>
      </c>
      <c r="AN498" s="26">
        <f t="shared" si="176"/>
        <v>17.9984126984127</v>
      </c>
      <c r="AO498" s="26">
        <f t="shared" si="177"/>
        <v>18.489130808950087</v>
      </c>
      <c r="AP498" s="26">
        <f t="shared" si="178"/>
        <v>14.943167196239571</v>
      </c>
      <c r="AS498" s="2">
        <v>44982</v>
      </c>
      <c r="AU498">
        <v>1.1000000000000001</v>
      </c>
      <c r="AX498">
        <v>79.92</v>
      </c>
      <c r="AY498">
        <v>0.6</v>
      </c>
      <c r="BC498">
        <v>68.0732</v>
      </c>
      <c r="BH498">
        <v>62.42</v>
      </c>
    </row>
    <row r="499" spans="1:60" x14ac:dyDescent="0.25">
      <c r="A499" s="2">
        <v>45002</v>
      </c>
      <c r="B499">
        <v>12.6</v>
      </c>
      <c r="C499">
        <v>39.4</v>
      </c>
      <c r="D499">
        <v>57.8</v>
      </c>
      <c r="E499">
        <v>13.4</v>
      </c>
      <c r="F499">
        <v>181.98</v>
      </c>
      <c r="G499">
        <v>0.9</v>
      </c>
      <c r="H499">
        <v>3.3</v>
      </c>
      <c r="I499">
        <v>235.22110000000001</v>
      </c>
      <c r="J499">
        <v>79.620500000000007</v>
      </c>
      <c r="K499">
        <v>60.706800000000001</v>
      </c>
      <c r="L499">
        <v>3.0442999999999998</v>
      </c>
      <c r="M499">
        <v>32.336799999999997</v>
      </c>
      <c r="N499">
        <v>-21.240600000000001</v>
      </c>
      <c r="O499">
        <v>-22.9314</v>
      </c>
      <c r="P499">
        <v>55.67</v>
      </c>
      <c r="S499">
        <f t="shared" si="157"/>
        <v>720.30950000000007</v>
      </c>
      <c r="T499">
        <f t="shared" si="158"/>
        <v>1.1812058893425697E-2</v>
      </c>
      <c r="U499">
        <f t="shared" si="159"/>
        <v>3.6936120666743844E-2</v>
      </c>
      <c r="V499">
        <f t="shared" si="160"/>
        <v>5.4185476511111524E-2</v>
      </c>
      <c r="W499">
        <f t="shared" si="161"/>
        <v>1.2562030886659074E-2</v>
      </c>
      <c r="X499">
        <f t="shared" si="162"/>
        <v>0.17059987916076255</v>
      </c>
      <c r="Y499">
        <f t="shared" si="163"/>
        <v>8.4371849238754971E-4</v>
      </c>
      <c r="Z499">
        <f t="shared" si="164"/>
        <v>3.0936344720876819E-3</v>
      </c>
      <c r="AA499">
        <f t="shared" si="165"/>
        <v>0.22051154652193453</v>
      </c>
      <c r="AB499">
        <f t="shared" si="166"/>
        <v>7.4641431359047675E-2</v>
      </c>
      <c r="AC499">
        <f t="shared" si="167"/>
        <v>5.6910499748525002E-2</v>
      </c>
      <c r="AD499">
        <f t="shared" si="168"/>
        <v>2.8539246737504637E-3</v>
      </c>
      <c r="AE499">
        <f t="shared" si="169"/>
        <v>3.031461793848635E-2</v>
      </c>
      <c r="AG499">
        <f t="shared" si="170"/>
        <v>-0.54666462954918649</v>
      </c>
      <c r="AH499">
        <f t="shared" si="171"/>
        <v>0.32034753702166424</v>
      </c>
      <c r="AI499">
        <f t="shared" si="172"/>
        <v>0.67094091693333169</v>
      </c>
      <c r="AK499" s="26">
        <f t="shared" si="173"/>
        <v>-1.6334703988993143E-2</v>
      </c>
      <c r="AL499" s="26">
        <f t="shared" si="174"/>
        <v>-2.745165981738637E-2</v>
      </c>
      <c r="AM499" s="26">
        <f t="shared" si="175"/>
        <v>-3.5018136494282967E-2</v>
      </c>
      <c r="AN499" s="26">
        <f t="shared" si="176"/>
        <v>18.059682539682534</v>
      </c>
      <c r="AO499" s="26">
        <f t="shared" si="177"/>
        <v>18.501972891566268</v>
      </c>
      <c r="AP499" s="26">
        <f t="shared" si="178"/>
        <v>14.859612667734552</v>
      </c>
      <c r="AS499" s="2">
        <v>44981</v>
      </c>
      <c r="AU499">
        <v>2.2000000000000002</v>
      </c>
      <c r="AX499">
        <v>51.93</v>
      </c>
      <c r="BC499">
        <v>116.2479</v>
      </c>
      <c r="BF499">
        <v>-10.8207</v>
      </c>
      <c r="BG499">
        <v>-12.6357</v>
      </c>
      <c r="BH499">
        <v>62.66</v>
      </c>
    </row>
    <row r="500" spans="1:60" x14ac:dyDescent="0.25">
      <c r="A500" s="2">
        <v>45001</v>
      </c>
      <c r="B500">
        <v>13.7</v>
      </c>
      <c r="C500">
        <v>2.4</v>
      </c>
      <c r="D500">
        <v>71.2</v>
      </c>
      <c r="E500">
        <v>15.9</v>
      </c>
      <c r="F500">
        <v>213.14</v>
      </c>
      <c r="G500">
        <v>0.8</v>
      </c>
      <c r="H500">
        <v>3.2</v>
      </c>
      <c r="I500">
        <v>248.4307</v>
      </c>
      <c r="J500">
        <v>71.448999999999998</v>
      </c>
      <c r="K500">
        <v>89.814700000000002</v>
      </c>
      <c r="L500">
        <v>2.8788</v>
      </c>
      <c r="M500">
        <v>18.0579</v>
      </c>
      <c r="N500">
        <v>-21.668500000000002</v>
      </c>
      <c r="O500">
        <v>-22.7593</v>
      </c>
      <c r="P500">
        <v>55.76</v>
      </c>
      <c r="S500">
        <f t="shared" si="157"/>
        <v>750.97109999999998</v>
      </c>
      <c r="T500">
        <f t="shared" si="158"/>
        <v>1.2843270384121589E-2</v>
      </c>
      <c r="U500">
        <f t="shared" si="159"/>
        <v>2.2499159797001326E-3</v>
      </c>
      <c r="V500">
        <f t="shared" si="160"/>
        <v>6.6747507397770606E-2</v>
      </c>
      <c r="W500">
        <f t="shared" si="161"/>
        <v>1.4905693365513379E-2</v>
      </c>
      <c r="X500">
        <f t="shared" si="162"/>
        <v>0.1998112882972026</v>
      </c>
      <c r="Y500">
        <f t="shared" si="163"/>
        <v>7.4997199323337759E-4</v>
      </c>
      <c r="Z500">
        <f t="shared" si="164"/>
        <v>2.9998879729335104E-3</v>
      </c>
      <c r="AA500">
        <f t="shared" si="165"/>
        <v>0.23289508407420406</v>
      </c>
      <c r="AB500">
        <f t="shared" si="166"/>
        <v>6.6980936180664488E-2</v>
      </c>
      <c r="AC500">
        <f t="shared" si="167"/>
        <v>8.4198136975822291E-2</v>
      </c>
      <c r="AD500">
        <f t="shared" si="168"/>
        <v>2.6987742176503089E-3</v>
      </c>
      <c r="AE500">
        <f t="shared" si="169"/>
        <v>1.6928649070761258E-2</v>
      </c>
      <c r="AG500">
        <f t="shared" si="170"/>
        <v>-0.53856013695712823</v>
      </c>
      <c r="AH500">
        <f t="shared" si="171"/>
        <v>0.31723618446123647</v>
      </c>
      <c r="AI500">
        <f t="shared" si="172"/>
        <v>0.65041695460698967</v>
      </c>
      <c r="AK500" s="26">
        <f t="shared" si="173"/>
        <v>-2.894567501232978E-2</v>
      </c>
      <c r="AL500" s="26">
        <f t="shared" si="174"/>
        <v>-3.2194868337935001E-2</v>
      </c>
      <c r="AM500" s="26">
        <f t="shared" si="175"/>
        <v>-3.5849396817678222E-2</v>
      </c>
      <c r="AN500" s="26">
        <f t="shared" si="176"/>
        <v>18.131428571428586</v>
      </c>
      <c r="AO500" s="26">
        <f t="shared" si="177"/>
        <v>18.516617900172136</v>
      </c>
      <c r="AP500" s="26">
        <f t="shared" si="178"/>
        <v>14.776372469210365</v>
      </c>
      <c r="AS500" s="2">
        <v>44980</v>
      </c>
      <c r="AT500">
        <v>10.8</v>
      </c>
      <c r="AU500">
        <v>2.7</v>
      </c>
      <c r="AV500">
        <v>39.6</v>
      </c>
      <c r="AW500">
        <v>5</v>
      </c>
      <c r="AX500">
        <v>56.26</v>
      </c>
      <c r="AY500">
        <v>0.9</v>
      </c>
      <c r="AZ500">
        <v>2.9</v>
      </c>
      <c r="BA500">
        <v>377.4194</v>
      </c>
      <c r="BB500">
        <v>222.7013</v>
      </c>
      <c r="BC500">
        <v>149.34440000000001</v>
      </c>
      <c r="BD500">
        <v>3.5434999999999999</v>
      </c>
      <c r="BE500">
        <v>20.509499999999999</v>
      </c>
      <c r="BF500">
        <v>-11.9297</v>
      </c>
      <c r="BG500">
        <v>-12.4069</v>
      </c>
      <c r="BH500">
        <v>62.94</v>
      </c>
    </row>
    <row r="501" spans="1:60" x14ac:dyDescent="0.25">
      <c r="A501" s="2">
        <v>45000</v>
      </c>
      <c r="B501">
        <v>16.2</v>
      </c>
      <c r="C501">
        <v>1</v>
      </c>
      <c r="D501">
        <v>66</v>
      </c>
      <c r="E501">
        <v>12</v>
      </c>
      <c r="F501">
        <v>151.84</v>
      </c>
      <c r="G501">
        <v>0.6</v>
      </c>
      <c r="H501">
        <v>3</v>
      </c>
      <c r="I501">
        <v>274.49279999999999</v>
      </c>
      <c r="J501">
        <v>104.456</v>
      </c>
      <c r="K501">
        <v>122.2236</v>
      </c>
      <c r="L501">
        <v>3.1379999999999999</v>
      </c>
      <c r="M501">
        <v>35.726500000000001</v>
      </c>
      <c r="N501">
        <v>-19.938800000000001</v>
      </c>
      <c r="O501">
        <v>-24.533899999999999</v>
      </c>
      <c r="P501">
        <v>55.96</v>
      </c>
      <c r="S501">
        <f t="shared" si="157"/>
        <v>790.67690000000005</v>
      </c>
      <c r="T501">
        <f t="shared" si="158"/>
        <v>1.5186932862975894E-2</v>
      </c>
      <c r="U501">
        <f t="shared" si="159"/>
        <v>9.3746499154172193E-4</v>
      </c>
      <c r="V501">
        <f t="shared" si="160"/>
        <v>6.1872689441753649E-2</v>
      </c>
      <c r="W501">
        <f t="shared" si="161"/>
        <v>1.1249579898500664E-2</v>
      </c>
      <c r="X501">
        <f t="shared" si="162"/>
        <v>0.14234468431569505</v>
      </c>
      <c r="Y501">
        <f t="shared" si="163"/>
        <v>5.6247899492503314E-4</v>
      </c>
      <c r="Z501">
        <f t="shared" si="164"/>
        <v>2.8123949746251659E-3</v>
      </c>
      <c r="AA501">
        <f t="shared" si="165"/>
        <v>0.25732739043026354</v>
      </c>
      <c r="AB501">
        <f t="shared" si="166"/>
        <v>9.7923843156482102E-2</v>
      </c>
      <c r="AC501">
        <f t="shared" si="167"/>
        <v>0.11458034614019881</v>
      </c>
      <c r="AD501">
        <f t="shared" si="168"/>
        <v>2.9417651434579233E-3</v>
      </c>
      <c r="AE501">
        <f t="shared" si="169"/>
        <v>3.3492343020315327E-2</v>
      </c>
      <c r="AG501">
        <f t="shared" si="170"/>
        <v>-0.52536879981998419</v>
      </c>
      <c r="AH501">
        <f t="shared" si="171"/>
        <v>0.26845856850033251</v>
      </c>
      <c r="AI501">
        <f t="shared" si="172"/>
        <v>0.27700783790449141</v>
      </c>
      <c r="AK501" s="26">
        <f t="shared" si="173"/>
        <v>-3.6182129478364217E-2</v>
      </c>
      <c r="AL501" s="26">
        <f t="shared" si="174"/>
        <v>-3.5161908751751486E-2</v>
      </c>
      <c r="AM501" s="26">
        <f t="shared" si="175"/>
        <v>-3.6520847433991477E-2</v>
      </c>
      <c r="AN501" s="26">
        <f t="shared" si="176"/>
        <v>18.206984126984146</v>
      </c>
      <c r="AO501" s="26">
        <f t="shared" si="177"/>
        <v>18.53145223752152</v>
      </c>
      <c r="AP501" s="26">
        <f t="shared" si="178"/>
        <v>14.69262309288095</v>
      </c>
      <c r="AS501" s="2">
        <v>44979</v>
      </c>
      <c r="AT501">
        <v>10.5</v>
      </c>
      <c r="AU501">
        <v>2.7</v>
      </c>
      <c r="AV501">
        <v>17.899999999999999</v>
      </c>
      <c r="AW501">
        <v>3.9</v>
      </c>
      <c r="AX501">
        <v>119.07</v>
      </c>
      <c r="AY501">
        <v>0.9</v>
      </c>
      <c r="AZ501">
        <v>2.9</v>
      </c>
      <c r="BA501">
        <v>355.3141</v>
      </c>
      <c r="BB501">
        <v>215.88800000000001</v>
      </c>
      <c r="BC501">
        <v>149.9589</v>
      </c>
      <c r="BD501">
        <v>3.4413999999999998</v>
      </c>
      <c r="BE501">
        <v>18.4071</v>
      </c>
      <c r="BF501">
        <v>-12.396100000000001</v>
      </c>
      <c r="BG501">
        <v>-8.2525999999999993</v>
      </c>
      <c r="BH501">
        <v>63.21</v>
      </c>
    </row>
    <row r="502" spans="1:60" x14ac:dyDescent="0.25">
      <c r="A502" s="2">
        <v>44999</v>
      </c>
      <c r="B502">
        <v>14.2</v>
      </c>
      <c r="C502">
        <v>5.2</v>
      </c>
      <c r="D502">
        <v>48.4</v>
      </c>
      <c r="E502">
        <v>24.4</v>
      </c>
      <c r="F502">
        <v>85.36</v>
      </c>
      <c r="G502">
        <v>0.2</v>
      </c>
      <c r="H502">
        <v>2.9</v>
      </c>
      <c r="I502">
        <v>146.7131</v>
      </c>
      <c r="J502">
        <v>95.9435</v>
      </c>
      <c r="K502">
        <v>55.766199999999998</v>
      </c>
      <c r="L502">
        <v>3.2452000000000001</v>
      </c>
      <c r="M502">
        <v>26.615600000000001</v>
      </c>
      <c r="N502">
        <v>-19.164400000000001</v>
      </c>
      <c r="O502">
        <v>-24.089200000000002</v>
      </c>
      <c r="P502">
        <v>56.22</v>
      </c>
      <c r="S502">
        <f t="shared" si="157"/>
        <v>508.94360000000006</v>
      </c>
      <c r="T502">
        <f t="shared" si="158"/>
        <v>1.331200287989245E-2</v>
      </c>
      <c r="U502">
        <f t="shared" si="159"/>
        <v>4.874817956016954E-3</v>
      </c>
      <c r="V502">
        <f t="shared" si="160"/>
        <v>4.5373305590619341E-2</v>
      </c>
      <c r="W502">
        <f t="shared" si="161"/>
        <v>2.2874145793618014E-2</v>
      </c>
      <c r="X502">
        <f t="shared" si="162"/>
        <v>8.0022011678001381E-2</v>
      </c>
      <c r="Y502">
        <f t="shared" si="163"/>
        <v>1.874929983083444E-4</v>
      </c>
      <c r="Z502">
        <f t="shared" si="164"/>
        <v>2.7186484754709935E-3</v>
      </c>
      <c r="AA502">
        <f t="shared" si="165"/>
        <v>0.13753839505055979</v>
      </c>
      <c r="AB502">
        <f t="shared" si="166"/>
        <v>8.9943672415983195E-2</v>
      </c>
      <c r="AC502">
        <f t="shared" si="167"/>
        <v>5.227886021131397E-2</v>
      </c>
      <c r="AD502">
        <f t="shared" si="168"/>
        <v>3.0422613905511961E-3</v>
      </c>
      <c r="AE502">
        <f t="shared" si="169"/>
        <v>2.4951193228877854E-2</v>
      </c>
      <c r="AG502">
        <f t="shared" si="170"/>
        <v>-0.5093944411463468</v>
      </c>
      <c r="AH502">
        <f t="shared" si="171"/>
        <v>0.19431361860080532</v>
      </c>
      <c r="AI502">
        <f t="shared" si="172"/>
        <v>-0.29143353766784119</v>
      </c>
      <c r="AK502" s="26">
        <f t="shared" si="173"/>
        <v>-3.9876484076833502E-2</v>
      </c>
      <c r="AL502" s="26">
        <f t="shared" si="174"/>
        <v>-3.5977151765190202E-2</v>
      </c>
      <c r="AM502" s="26">
        <f t="shared" si="175"/>
        <v>-3.6694441362309274E-2</v>
      </c>
      <c r="AN502" s="26">
        <f t="shared" si="176"/>
        <v>18.279206349206355</v>
      </c>
      <c r="AO502" s="26">
        <f t="shared" si="177"/>
        <v>18.543007745266792</v>
      </c>
      <c r="AP502" s="26">
        <f t="shared" si="178"/>
        <v>14.608042856017427</v>
      </c>
      <c r="AS502" s="2">
        <v>44978</v>
      </c>
      <c r="AT502">
        <v>9.8000000000000007</v>
      </c>
      <c r="AU502">
        <v>30.6</v>
      </c>
      <c r="AV502">
        <v>33.299999999999997</v>
      </c>
      <c r="AW502">
        <v>13.4</v>
      </c>
      <c r="AX502">
        <v>109.55</v>
      </c>
      <c r="AY502">
        <v>0.8</v>
      </c>
      <c r="AZ502">
        <v>3</v>
      </c>
      <c r="BA502">
        <v>276.2749</v>
      </c>
      <c r="BB502">
        <v>158.98820000000001</v>
      </c>
      <c r="BC502">
        <v>104.28959999999999</v>
      </c>
      <c r="BD502">
        <v>2.9077999999999999</v>
      </c>
      <c r="BE502">
        <v>24.7073</v>
      </c>
      <c r="BF502">
        <v>-12.5067</v>
      </c>
      <c r="BG502">
        <v>-12.710900000000001</v>
      </c>
      <c r="BH502">
        <v>63.5</v>
      </c>
    </row>
    <row r="503" spans="1:60" x14ac:dyDescent="0.25">
      <c r="A503" s="2">
        <v>44998</v>
      </c>
      <c r="B503">
        <v>10.8</v>
      </c>
      <c r="C503">
        <v>12.3</v>
      </c>
      <c r="D503">
        <v>66.599999999999994</v>
      </c>
      <c r="E503">
        <v>25.5</v>
      </c>
      <c r="F503">
        <v>106.25</v>
      </c>
      <c r="G503">
        <v>0.4</v>
      </c>
      <c r="H503">
        <v>3</v>
      </c>
      <c r="I503">
        <v>114.6583</v>
      </c>
      <c r="J503">
        <v>67.425799999999995</v>
      </c>
      <c r="K503">
        <v>47.277500000000003</v>
      </c>
      <c r="L503">
        <v>3.1421999999999999</v>
      </c>
      <c r="M503">
        <v>27.048500000000001</v>
      </c>
      <c r="N503">
        <v>-17.772300000000001</v>
      </c>
      <c r="O503">
        <v>-14.813499999999999</v>
      </c>
      <c r="P503">
        <v>56.38</v>
      </c>
      <c r="S503">
        <f t="shared" si="157"/>
        <v>484.40229999999997</v>
      </c>
      <c r="T503">
        <f t="shared" si="158"/>
        <v>1.0124621908650598E-2</v>
      </c>
      <c r="U503">
        <f t="shared" si="159"/>
        <v>1.153081939596318E-2</v>
      </c>
      <c r="V503">
        <f t="shared" si="160"/>
        <v>6.2435168436678672E-2</v>
      </c>
      <c r="W503">
        <f t="shared" si="161"/>
        <v>2.3905357284313908E-2</v>
      </c>
      <c r="X503">
        <f t="shared" si="162"/>
        <v>9.9605655351307956E-2</v>
      </c>
      <c r="Y503">
        <f t="shared" si="163"/>
        <v>3.7498599661668879E-4</v>
      </c>
      <c r="Z503">
        <f t="shared" si="164"/>
        <v>2.8123949746251659E-3</v>
      </c>
      <c r="AA503">
        <f t="shared" si="165"/>
        <v>0.10748814223968821</v>
      </c>
      <c r="AB503">
        <f t="shared" si="166"/>
        <v>6.3209327026693823E-2</v>
      </c>
      <c r="AC503">
        <f t="shared" si="167"/>
        <v>4.4321001137613759E-2</v>
      </c>
      <c r="AD503">
        <f t="shared" si="168"/>
        <v>2.9457024964223985E-3</v>
      </c>
      <c r="AE503">
        <f t="shared" si="169"/>
        <v>2.5357021823716266E-2</v>
      </c>
      <c r="AG503">
        <f t="shared" si="170"/>
        <v>-0.49803664133194187</v>
      </c>
      <c r="AH503">
        <f t="shared" si="171"/>
        <v>0.23614602517187244</v>
      </c>
      <c r="AI503">
        <f t="shared" si="172"/>
        <v>3.0989031240450927E-2</v>
      </c>
      <c r="AK503" s="26">
        <f t="shared" si="173"/>
        <v>-3.7885515272312875E-2</v>
      </c>
      <c r="AL503" s="26">
        <f t="shared" si="174"/>
        <v>-3.5804266036580989E-2</v>
      </c>
      <c r="AM503" s="26">
        <f t="shared" si="175"/>
        <v>-3.6306203757310376E-2</v>
      </c>
      <c r="AN503" s="26">
        <f t="shared" si="176"/>
        <v>18.348730158730156</v>
      </c>
      <c r="AO503" s="26">
        <f t="shared" si="177"/>
        <v>18.548369191049915</v>
      </c>
      <c r="AP503" s="26">
        <f t="shared" si="178"/>
        <v>14.523286153199727</v>
      </c>
      <c r="AS503" s="2">
        <v>44977</v>
      </c>
      <c r="AU503">
        <v>0.6</v>
      </c>
      <c r="AX503">
        <v>112.8</v>
      </c>
      <c r="BC503">
        <v>55.5334</v>
      </c>
      <c r="BF503">
        <v>-10.841100000000001</v>
      </c>
      <c r="BG503">
        <v>-8.2518999999999991</v>
      </c>
      <c r="BH503">
        <v>63.8</v>
      </c>
    </row>
    <row r="504" spans="1:60" x14ac:dyDescent="0.25">
      <c r="A504" s="2">
        <v>44997</v>
      </c>
      <c r="B504">
        <v>10.9</v>
      </c>
      <c r="C504">
        <v>0.7</v>
      </c>
      <c r="D504">
        <v>35.4</v>
      </c>
      <c r="E504">
        <v>10.3</v>
      </c>
      <c r="F504">
        <v>87.07</v>
      </c>
      <c r="G504">
        <v>0.5</v>
      </c>
      <c r="H504">
        <v>2.8</v>
      </c>
      <c r="I504">
        <v>142.97309999999999</v>
      </c>
      <c r="J504">
        <v>50.8553</v>
      </c>
      <c r="K504">
        <v>71.661799999999999</v>
      </c>
      <c r="L504">
        <v>3.0264000000000002</v>
      </c>
      <c r="M504">
        <v>16.257100000000001</v>
      </c>
      <c r="P504">
        <v>56.48</v>
      </c>
      <c r="S504">
        <f t="shared" si="157"/>
        <v>432.44370000000004</v>
      </c>
      <c r="T504">
        <f t="shared" si="158"/>
        <v>1.0218368407804769E-2</v>
      </c>
      <c r="U504">
        <f t="shared" si="159"/>
        <v>6.5622549407920526E-4</v>
      </c>
      <c r="V504">
        <f t="shared" si="160"/>
        <v>3.3186260700576953E-2</v>
      </c>
      <c r="W504">
        <f t="shared" si="161"/>
        <v>9.6558894128797364E-3</v>
      </c>
      <c r="X504">
        <f t="shared" si="162"/>
        <v>8.1625076813537714E-2</v>
      </c>
      <c r="Y504">
        <f t="shared" si="163"/>
        <v>4.6873249577086097E-4</v>
      </c>
      <c r="Z504">
        <f t="shared" si="164"/>
        <v>2.624901976316821E-3</v>
      </c>
      <c r="AA504">
        <f t="shared" si="165"/>
        <v>0.13403227598219375</v>
      </c>
      <c r="AB504">
        <f t="shared" si="166"/>
        <v>4.7675063384351728E-2</v>
      </c>
      <c r="AC504">
        <f t="shared" si="167"/>
        <v>6.7180428730864564E-2</v>
      </c>
      <c r="AD504">
        <f t="shared" si="168"/>
        <v>2.8371440504018674E-3</v>
      </c>
      <c r="AE504">
        <f t="shared" si="169"/>
        <v>1.5240462113992928E-2</v>
      </c>
      <c r="AG504">
        <f t="shared" si="170"/>
        <v>-0.48945917252899374</v>
      </c>
      <c r="AH504">
        <f t="shared" si="171"/>
        <v>0.15367591741495901</v>
      </c>
      <c r="AI504">
        <f t="shared" si="172"/>
        <v>-0.6053776976141042</v>
      </c>
      <c r="AK504" s="26">
        <f t="shared" si="173"/>
        <v>-4.1865768420448674E-2</v>
      </c>
      <c r="AL504" s="26">
        <f t="shared" si="174"/>
        <v>-3.6172790362119012E-2</v>
      </c>
      <c r="AM504" s="26">
        <f t="shared" si="175"/>
        <v>-3.6656084812687825E-2</v>
      </c>
      <c r="AN504" s="26">
        <f t="shared" si="176"/>
        <v>18.420952380952365</v>
      </c>
      <c r="AO504" s="26">
        <f t="shared" si="177"/>
        <v>18.55155335628227</v>
      </c>
      <c r="AP504" s="26">
        <f t="shared" si="178"/>
        <v>14.438853233896147</v>
      </c>
      <c r="AS504" s="2">
        <v>44976</v>
      </c>
      <c r="AT504">
        <v>9.6999999999999993</v>
      </c>
      <c r="AU504">
        <v>5.4</v>
      </c>
      <c r="AV504">
        <v>33.799999999999997</v>
      </c>
      <c r="AW504">
        <v>10.7</v>
      </c>
      <c r="AX504">
        <v>73.3</v>
      </c>
      <c r="AY504">
        <v>0.6</v>
      </c>
      <c r="AZ504">
        <v>3.2</v>
      </c>
      <c r="BA504">
        <v>197.58690000000001</v>
      </c>
      <c r="BB504">
        <v>50.690800000000003</v>
      </c>
      <c r="BC504">
        <v>65.395899999999997</v>
      </c>
      <c r="BD504">
        <v>3.4314</v>
      </c>
      <c r="BE504">
        <v>24.626799999999999</v>
      </c>
      <c r="BH504">
        <v>64.040000000000006</v>
      </c>
    </row>
    <row r="505" spans="1:60" x14ac:dyDescent="0.25">
      <c r="A505" s="2">
        <v>44996</v>
      </c>
      <c r="C505">
        <v>35.299999999999997</v>
      </c>
      <c r="F505">
        <v>122.31</v>
      </c>
      <c r="K505">
        <v>84.072800000000001</v>
      </c>
      <c r="P505">
        <v>56.63</v>
      </c>
      <c r="S505">
        <f t="shared" si="157"/>
        <v>241.68280000000001</v>
      </c>
      <c r="T505">
        <f t="shared" si="158"/>
        <v>0</v>
      </c>
      <c r="U505">
        <f t="shared" si="159"/>
        <v>3.3092514201422778E-2</v>
      </c>
      <c r="V505">
        <f t="shared" si="160"/>
        <v>0</v>
      </c>
      <c r="W505">
        <f t="shared" si="161"/>
        <v>0</v>
      </c>
      <c r="X505">
        <f t="shared" si="162"/>
        <v>0.11466134311546801</v>
      </c>
      <c r="Y505">
        <f t="shared" si="163"/>
        <v>0</v>
      </c>
      <c r="Z505">
        <f t="shared" si="164"/>
        <v>0</v>
      </c>
      <c r="AA505">
        <f t="shared" si="165"/>
        <v>0</v>
      </c>
      <c r="AB505">
        <f t="shared" si="166"/>
        <v>0</v>
      </c>
      <c r="AC505">
        <f t="shared" si="167"/>
        <v>7.881530674088888E-2</v>
      </c>
      <c r="AD505">
        <f t="shared" si="168"/>
        <v>0</v>
      </c>
      <c r="AE505">
        <f t="shared" si="169"/>
        <v>0</v>
      </c>
      <c r="AG505">
        <f t="shared" si="170"/>
        <v>-0.4785632387244837</v>
      </c>
      <c r="AH505">
        <f t="shared" si="171"/>
        <v>0.14775385731689078</v>
      </c>
      <c r="AI505">
        <f t="shared" si="172"/>
        <v>-0.65413826857631552</v>
      </c>
      <c r="AK505" s="26">
        <f t="shared" si="173"/>
        <v>-3.9796708782132623E-2</v>
      </c>
      <c r="AL505" s="26">
        <f t="shared" si="174"/>
        <v>-3.4753911845566643E-2</v>
      </c>
      <c r="AM505" s="26">
        <f t="shared" si="175"/>
        <v>-3.6861588088767536E-2</v>
      </c>
      <c r="AN505" s="26">
        <f t="shared" si="176"/>
        <v>18.485873015873004</v>
      </c>
      <c r="AO505" s="26">
        <f t="shared" si="177"/>
        <v>18.549246987951818</v>
      </c>
      <c r="AP505" s="26">
        <f t="shared" si="178"/>
        <v>14.352253617289435</v>
      </c>
      <c r="AS505" s="2">
        <v>44975</v>
      </c>
      <c r="AT505">
        <v>9.3000000000000007</v>
      </c>
      <c r="AU505">
        <v>0</v>
      </c>
      <c r="AV505">
        <v>38.700000000000003</v>
      </c>
      <c r="AW505">
        <v>19.899999999999999</v>
      </c>
      <c r="AX505">
        <v>45.64</v>
      </c>
      <c r="BC505">
        <v>41.436300000000003</v>
      </c>
      <c r="BH505">
        <v>64.17</v>
      </c>
    </row>
    <row r="506" spans="1:60" x14ac:dyDescent="0.25">
      <c r="A506" s="2">
        <v>44995</v>
      </c>
      <c r="C506">
        <v>41.6</v>
      </c>
      <c r="F506">
        <v>80</v>
      </c>
      <c r="K506">
        <v>108.8493</v>
      </c>
      <c r="N506">
        <v>-20.884799999999998</v>
      </c>
      <c r="O506">
        <v>-11.1873</v>
      </c>
      <c r="P506">
        <v>56.86</v>
      </c>
      <c r="S506">
        <f t="shared" si="157"/>
        <v>230.44929999999999</v>
      </c>
      <c r="T506">
        <f t="shared" si="158"/>
        <v>0</v>
      </c>
      <c r="U506">
        <f t="shared" si="159"/>
        <v>3.8998543648135632E-2</v>
      </c>
      <c r="V506">
        <f t="shared" si="160"/>
        <v>0</v>
      </c>
      <c r="W506">
        <f t="shared" si="161"/>
        <v>0</v>
      </c>
      <c r="X506">
        <f t="shared" si="162"/>
        <v>7.4997199323337746E-2</v>
      </c>
      <c r="Y506">
        <f t="shared" si="163"/>
        <v>0</v>
      </c>
      <c r="Z506">
        <f t="shared" si="164"/>
        <v>0</v>
      </c>
      <c r="AA506">
        <f t="shared" si="165"/>
        <v>0</v>
      </c>
      <c r="AB506">
        <f t="shared" si="166"/>
        <v>0</v>
      </c>
      <c r="AC506">
        <f t="shared" si="167"/>
        <v>0.10204240810382235</v>
      </c>
      <c r="AD506">
        <f t="shared" si="168"/>
        <v>0</v>
      </c>
      <c r="AE506">
        <f t="shared" si="169"/>
        <v>0</v>
      </c>
      <c r="AG506">
        <f t="shared" si="170"/>
        <v>-0.46395800336289633</v>
      </c>
      <c r="AH506">
        <f t="shared" si="171"/>
        <v>0.11399574297147338</v>
      </c>
      <c r="AI506">
        <f t="shared" si="172"/>
        <v>-0.91786443137052565</v>
      </c>
      <c r="AK506" s="26">
        <f t="shared" si="173"/>
        <v>-4.1086540079280892E-2</v>
      </c>
      <c r="AL506" s="26">
        <f t="shared" si="174"/>
        <v>-3.5682375721006299E-2</v>
      </c>
      <c r="AM506" s="26">
        <f t="shared" si="175"/>
        <v>-3.7844360102858701E-2</v>
      </c>
      <c r="AN506" s="26">
        <f t="shared" si="176"/>
        <v>18.539365079365069</v>
      </c>
      <c r="AO506" s="26">
        <f t="shared" si="177"/>
        <v>18.537409638554237</v>
      </c>
      <c r="AP506" s="26">
        <f t="shared" si="178"/>
        <v>14.263817389249191</v>
      </c>
      <c r="AS506" s="2">
        <v>44974</v>
      </c>
      <c r="AU506">
        <v>1.2</v>
      </c>
      <c r="AX506">
        <v>38.03</v>
      </c>
      <c r="BC506">
        <v>48.012999999999998</v>
      </c>
      <c r="BF506">
        <v>-11.3802</v>
      </c>
      <c r="BG506">
        <v>-8.7524999999999995</v>
      </c>
      <c r="BH506">
        <v>64.27</v>
      </c>
    </row>
    <row r="507" spans="1:60" x14ac:dyDescent="0.25">
      <c r="A507" s="2">
        <v>44994</v>
      </c>
      <c r="B507">
        <v>11.1</v>
      </c>
      <c r="C507">
        <v>3.6</v>
      </c>
      <c r="D507">
        <v>9</v>
      </c>
      <c r="E507">
        <v>6.5</v>
      </c>
      <c r="F507">
        <v>75.760000000000005</v>
      </c>
      <c r="G507">
        <v>0.9</v>
      </c>
      <c r="H507">
        <v>2.7</v>
      </c>
      <c r="I507">
        <v>318.08030000000002</v>
      </c>
      <c r="J507">
        <v>171.98750000000001</v>
      </c>
      <c r="K507">
        <v>148.43639999999999</v>
      </c>
      <c r="L507">
        <v>3.2654000000000001</v>
      </c>
      <c r="M507">
        <v>27.54</v>
      </c>
      <c r="N507">
        <v>-18.761700000000001</v>
      </c>
      <c r="O507">
        <v>-24.456299999999999</v>
      </c>
      <c r="P507">
        <v>57.15</v>
      </c>
      <c r="S507">
        <f t="shared" si="157"/>
        <v>778.86959999999999</v>
      </c>
      <c r="T507">
        <f t="shared" si="158"/>
        <v>1.0405861406113113E-2</v>
      </c>
      <c r="U507">
        <f t="shared" si="159"/>
        <v>3.3748739695501988E-3</v>
      </c>
      <c r="V507">
        <f t="shared" si="160"/>
        <v>8.4371849238754973E-3</v>
      </c>
      <c r="W507">
        <f t="shared" si="161"/>
        <v>6.0935224450211923E-3</v>
      </c>
      <c r="X507">
        <f t="shared" si="162"/>
        <v>7.1022347759200855E-2</v>
      </c>
      <c r="Y507">
        <f t="shared" si="163"/>
        <v>8.4371849238754971E-4</v>
      </c>
      <c r="Z507">
        <f t="shared" si="164"/>
        <v>2.5311554771626494E-3</v>
      </c>
      <c r="AA507">
        <f t="shared" si="165"/>
        <v>0.29818914574908839</v>
      </c>
      <c r="AB507">
        <f t="shared" si="166"/>
        <v>0.16123226023278192</v>
      </c>
      <c r="AC507">
        <f t="shared" si="167"/>
        <v>0.13915392847048363</v>
      </c>
      <c r="AD507">
        <f t="shared" si="168"/>
        <v>3.0611981833803389E-3</v>
      </c>
      <c r="AE507">
        <f t="shared" si="169"/>
        <v>2.5817785867059021E-2</v>
      </c>
      <c r="AG507">
        <f t="shared" si="170"/>
        <v>-0.44657220669206721</v>
      </c>
      <c r="AH507">
        <f t="shared" si="171"/>
        <v>0.12852645034037008</v>
      </c>
      <c r="AI507">
        <f t="shared" si="172"/>
        <v>-0.8104148415008473</v>
      </c>
      <c r="AK507" s="26">
        <f t="shared" si="173"/>
        <v>-4.2474241233506349E-2</v>
      </c>
      <c r="AL507" s="26">
        <f t="shared" si="174"/>
        <v>-3.5987831907715484E-2</v>
      </c>
      <c r="AM507" s="26">
        <f t="shared" si="175"/>
        <v>-3.6663301769289711E-2</v>
      </c>
      <c r="AN507" s="26">
        <f t="shared" si="176"/>
        <v>18.579841269841253</v>
      </c>
      <c r="AO507" s="26">
        <f t="shared" si="177"/>
        <v>18.509195352839946</v>
      </c>
      <c r="AP507" s="26">
        <f t="shared" si="178"/>
        <v>14.173992804810737</v>
      </c>
      <c r="AS507" s="2">
        <v>44973</v>
      </c>
      <c r="AU507">
        <v>2</v>
      </c>
      <c r="AX507">
        <v>109.56</v>
      </c>
      <c r="BC507">
        <v>112.79649999999999</v>
      </c>
      <c r="BF507">
        <v>-13.168900000000001</v>
      </c>
      <c r="BG507">
        <v>-5.9287999999999998</v>
      </c>
      <c r="BH507">
        <v>64.52</v>
      </c>
    </row>
    <row r="508" spans="1:60" x14ac:dyDescent="0.25">
      <c r="A508" s="2">
        <v>44993</v>
      </c>
      <c r="B508">
        <v>9.6</v>
      </c>
      <c r="C508">
        <v>60.2</v>
      </c>
      <c r="D508">
        <v>14.2</v>
      </c>
      <c r="E508">
        <v>5.7</v>
      </c>
      <c r="F508">
        <v>48.43</v>
      </c>
      <c r="G508">
        <v>0.9</v>
      </c>
      <c r="H508">
        <v>2.5</v>
      </c>
      <c r="I508">
        <v>342.86059999999998</v>
      </c>
      <c r="J508">
        <v>210.14410000000001</v>
      </c>
      <c r="K508">
        <v>186.61949999999999</v>
      </c>
      <c r="L508">
        <v>3.2683</v>
      </c>
      <c r="M508">
        <v>36.1858</v>
      </c>
      <c r="N508">
        <v>-21.0242</v>
      </c>
      <c r="O508">
        <v>-26.228000000000002</v>
      </c>
      <c r="P508">
        <v>57.53</v>
      </c>
      <c r="S508">
        <f t="shared" si="157"/>
        <v>920.60829999999987</v>
      </c>
      <c r="T508">
        <f t="shared" si="158"/>
        <v>8.9996639188005302E-3</v>
      </c>
      <c r="U508">
        <f t="shared" si="159"/>
        <v>5.6435392490811663E-2</v>
      </c>
      <c r="V508">
        <f t="shared" si="160"/>
        <v>1.331200287989245E-2</v>
      </c>
      <c r="W508">
        <f t="shared" si="161"/>
        <v>5.3435504517878154E-3</v>
      </c>
      <c r="X508">
        <f t="shared" si="162"/>
        <v>4.5401429540365593E-2</v>
      </c>
      <c r="Y508">
        <f t="shared" si="163"/>
        <v>8.4371849238754971E-4</v>
      </c>
      <c r="Z508">
        <f t="shared" si="164"/>
        <v>2.3436624788543046E-3</v>
      </c>
      <c r="AA508">
        <f t="shared" si="165"/>
        <v>0.32141980947898968</v>
      </c>
      <c r="AB508">
        <f t="shared" si="166"/>
        <v>0.19700273692904277</v>
      </c>
      <c r="AC508">
        <f t="shared" si="167"/>
        <v>0.17494924798902037</v>
      </c>
      <c r="AD508">
        <f t="shared" si="168"/>
        <v>3.0639168318558098E-3</v>
      </c>
      <c r="AE508">
        <f t="shared" si="169"/>
        <v>3.392292069093044E-2</v>
      </c>
      <c r="AG508">
        <f t="shared" si="170"/>
        <v>-0.42501256630417489</v>
      </c>
      <c r="AH508">
        <f t="shared" si="171"/>
        <v>0.16660234094383036</v>
      </c>
      <c r="AI508">
        <f t="shared" si="172"/>
        <v>-0.52036368766641772</v>
      </c>
      <c r="AK508" s="26">
        <f t="shared" si="173"/>
        <v>-3.945844760454964E-2</v>
      </c>
      <c r="AL508" s="26">
        <f t="shared" si="174"/>
        <v>-3.6181922900808933E-2</v>
      </c>
      <c r="AM508" s="26">
        <f t="shared" si="175"/>
        <v>-3.5468994286642366E-2</v>
      </c>
      <c r="AN508" s="26">
        <f t="shared" si="176"/>
        <v>18.615238095238084</v>
      </c>
      <c r="AO508" s="26">
        <f t="shared" si="177"/>
        <v>18.480449655765923</v>
      </c>
      <c r="AP508" s="26">
        <f t="shared" si="178"/>
        <v>14.082844988314321</v>
      </c>
      <c r="AS508" s="2">
        <v>44972</v>
      </c>
      <c r="AT508">
        <v>10.3</v>
      </c>
      <c r="AU508">
        <v>36.1</v>
      </c>
      <c r="AV508">
        <v>18.3</v>
      </c>
      <c r="AW508">
        <v>2.6</v>
      </c>
      <c r="AX508">
        <v>112.74</v>
      </c>
      <c r="AY508">
        <v>0.9</v>
      </c>
      <c r="AZ508">
        <v>3.2</v>
      </c>
      <c r="BA508">
        <v>380.66379999999998</v>
      </c>
      <c r="BB508">
        <v>273.2131</v>
      </c>
      <c r="BC508">
        <v>158.72579999999999</v>
      </c>
      <c r="BD508">
        <v>3.492</v>
      </c>
      <c r="BE508">
        <v>24.217700000000001</v>
      </c>
      <c r="BF508">
        <v>-15.7865</v>
      </c>
      <c r="BG508">
        <v>-2.2374000000000001</v>
      </c>
      <c r="BH508">
        <v>64.87</v>
      </c>
    </row>
    <row r="509" spans="1:60" x14ac:dyDescent="0.25">
      <c r="A509" s="2">
        <v>44992</v>
      </c>
      <c r="B509">
        <v>10.3</v>
      </c>
      <c r="C509">
        <v>4.2</v>
      </c>
      <c r="D509">
        <v>50.5</v>
      </c>
      <c r="E509">
        <v>21.3</v>
      </c>
      <c r="F509">
        <v>94.84</v>
      </c>
      <c r="G509">
        <v>0.8</v>
      </c>
      <c r="H509">
        <v>2.5</v>
      </c>
      <c r="I509">
        <v>279.02969999999999</v>
      </c>
      <c r="J509">
        <v>130.00319999999999</v>
      </c>
      <c r="K509">
        <v>118.98520000000001</v>
      </c>
      <c r="L509">
        <v>3.3677000000000001</v>
      </c>
      <c r="M509">
        <v>18.667000000000002</v>
      </c>
      <c r="N509">
        <v>-20.557099999999998</v>
      </c>
      <c r="O509">
        <v>-23.058399999999999</v>
      </c>
      <c r="P509">
        <v>58.03</v>
      </c>
      <c r="S509">
        <f t="shared" si="157"/>
        <v>734.49279999999999</v>
      </c>
      <c r="T509">
        <f t="shared" si="158"/>
        <v>9.6558894128797364E-3</v>
      </c>
      <c r="U509">
        <f t="shared" si="159"/>
        <v>3.9373529644752322E-3</v>
      </c>
      <c r="V509">
        <f t="shared" si="160"/>
        <v>4.7341982072856954E-2</v>
      </c>
      <c r="W509">
        <f t="shared" si="161"/>
        <v>1.9968004319838677E-2</v>
      </c>
      <c r="X509">
        <f t="shared" si="162"/>
        <v>8.8909179797816915E-2</v>
      </c>
      <c r="Y509">
        <f t="shared" si="163"/>
        <v>7.4997199323337759E-4</v>
      </c>
      <c r="Z509">
        <f t="shared" si="164"/>
        <v>2.3436624788543046E-3</v>
      </c>
      <c r="AA509">
        <f t="shared" si="165"/>
        <v>0.2615805753503892</v>
      </c>
      <c r="AB509">
        <f t="shared" si="166"/>
        <v>0.12187344878839677</v>
      </c>
      <c r="AC509">
        <f t="shared" si="167"/>
        <v>0.1115444595115901</v>
      </c>
      <c r="AD509">
        <f t="shared" si="168"/>
        <v>3.157100852015057E-3</v>
      </c>
      <c r="AE509">
        <f t="shared" si="169"/>
        <v>1.7499658997109323E-2</v>
      </c>
      <c r="AG509">
        <f t="shared" si="170"/>
        <v>-0.39790633609284976</v>
      </c>
      <c r="AH509">
        <f t="shared" si="171"/>
        <v>0.1904057020370645</v>
      </c>
      <c r="AI509">
        <f t="shared" si="172"/>
        <v>-0.33904080132708275</v>
      </c>
      <c r="AK509" s="26">
        <f t="shared" si="173"/>
        <v>-3.7232890834232868E-2</v>
      </c>
      <c r="AL509" s="26">
        <f t="shared" si="174"/>
        <v>-3.7343612535850543E-2</v>
      </c>
      <c r="AM509" s="26">
        <f t="shared" si="175"/>
        <v>-3.4512194456915682E-2</v>
      </c>
      <c r="AN509" s="26">
        <f t="shared" si="176"/>
        <v>18.643333333333331</v>
      </c>
      <c r="AO509" s="26">
        <f t="shared" si="177"/>
        <v>18.441381239242709</v>
      </c>
      <c r="AP509" s="26">
        <f t="shared" si="178"/>
        <v>13.989933562668995</v>
      </c>
      <c r="AS509" s="2">
        <v>44971</v>
      </c>
      <c r="AU509">
        <v>0.6</v>
      </c>
      <c r="AX509">
        <v>56.33</v>
      </c>
      <c r="BC509">
        <v>199.49600000000001</v>
      </c>
      <c r="BF509">
        <v>-11.0182</v>
      </c>
      <c r="BG509">
        <v>2.7778999999999998</v>
      </c>
      <c r="BH509">
        <v>65.28</v>
      </c>
    </row>
    <row r="510" spans="1:60" x14ac:dyDescent="0.25">
      <c r="A510" s="2">
        <v>44991</v>
      </c>
      <c r="B510">
        <v>10.1</v>
      </c>
      <c r="C510">
        <v>42.5</v>
      </c>
      <c r="D510">
        <v>36.1</v>
      </c>
      <c r="E510">
        <v>5.7</v>
      </c>
      <c r="F510">
        <v>72.739999999999995</v>
      </c>
      <c r="G510">
        <v>0.9</v>
      </c>
      <c r="H510">
        <v>2.5</v>
      </c>
      <c r="I510">
        <v>331.13799999999998</v>
      </c>
      <c r="J510">
        <v>208.13130000000001</v>
      </c>
      <c r="K510">
        <v>179.88249999999999</v>
      </c>
      <c r="L510">
        <v>3.2496999999999998</v>
      </c>
      <c r="M510">
        <v>41.071800000000003</v>
      </c>
      <c r="N510">
        <v>-20.067499999999999</v>
      </c>
      <c r="O510">
        <v>-22.177</v>
      </c>
      <c r="P510">
        <v>58.54</v>
      </c>
      <c r="S510">
        <f t="shared" si="157"/>
        <v>934.01330000000007</v>
      </c>
      <c r="T510">
        <f t="shared" si="158"/>
        <v>9.4683964145713916E-3</v>
      </c>
      <c r="U510">
        <f t="shared" si="159"/>
        <v>3.984226214052318E-2</v>
      </c>
      <c r="V510">
        <f t="shared" si="160"/>
        <v>3.3842486194656164E-2</v>
      </c>
      <c r="W510">
        <f t="shared" si="161"/>
        <v>5.3435504517878154E-3</v>
      </c>
      <c r="X510">
        <f t="shared" si="162"/>
        <v>6.8191203484744847E-2</v>
      </c>
      <c r="Y510">
        <f t="shared" si="163"/>
        <v>8.4371849238754971E-4</v>
      </c>
      <c r="Z510">
        <f t="shared" si="164"/>
        <v>2.3436624788543046E-3</v>
      </c>
      <c r="AA510">
        <f t="shared" si="165"/>
        <v>0.31043028236914266</v>
      </c>
      <c r="AB510">
        <f t="shared" si="166"/>
        <v>0.19511580739406759</v>
      </c>
      <c r="AC510">
        <f t="shared" si="167"/>
        <v>0.16863354634100378</v>
      </c>
      <c r="AD510">
        <f t="shared" si="168"/>
        <v>3.0464799830131335E-3</v>
      </c>
      <c r="AE510">
        <f t="shared" si="169"/>
        <v>3.8503374639603294E-2</v>
      </c>
      <c r="AG510">
        <f t="shared" si="170"/>
        <v>-0.37032680869068568</v>
      </c>
      <c r="AH510">
        <f t="shared" si="171"/>
        <v>0.19837865429712856</v>
      </c>
      <c r="AI510">
        <f t="shared" si="172"/>
        <v>-0.27834218454961401</v>
      </c>
      <c r="AK510" s="26">
        <f t="shared" si="173"/>
        <v>-3.8740276507084892E-2</v>
      </c>
      <c r="AL510" s="26">
        <f t="shared" si="174"/>
        <v>-3.8016738498738337E-2</v>
      </c>
      <c r="AM510" s="26">
        <f t="shared" si="175"/>
        <v>-3.3451040131048118E-2</v>
      </c>
      <c r="AN510" s="26">
        <f t="shared" si="176"/>
        <v>18.659999999999982</v>
      </c>
      <c r="AO510" s="26">
        <f t="shared" si="177"/>
        <v>18.391097246127394</v>
      </c>
      <c r="AP510" s="26">
        <f t="shared" si="178"/>
        <v>13.895677109319564</v>
      </c>
      <c r="AS510" s="2">
        <v>44970</v>
      </c>
      <c r="AT510">
        <v>9.4</v>
      </c>
      <c r="AU510">
        <v>22.6</v>
      </c>
      <c r="AV510">
        <v>14.7</v>
      </c>
      <c r="AW510">
        <v>2.6</v>
      </c>
      <c r="AX510">
        <v>79.69</v>
      </c>
      <c r="AY510">
        <v>0.8</v>
      </c>
      <c r="AZ510">
        <v>3.8</v>
      </c>
      <c r="BA510">
        <v>356.80380000000002</v>
      </c>
      <c r="BB510">
        <v>264.24959999999999</v>
      </c>
      <c r="BC510">
        <v>184.8432</v>
      </c>
      <c r="BD510">
        <v>3.48</v>
      </c>
      <c r="BE510">
        <v>26.170999999999999</v>
      </c>
      <c r="BF510">
        <v>-11.4322</v>
      </c>
      <c r="BG510">
        <v>2.6661999999999999</v>
      </c>
      <c r="BH510">
        <v>65.73</v>
      </c>
    </row>
    <row r="511" spans="1:60" x14ac:dyDescent="0.25">
      <c r="A511" s="2">
        <v>44990</v>
      </c>
      <c r="B511">
        <v>8.3000000000000007</v>
      </c>
      <c r="C511">
        <v>22</v>
      </c>
      <c r="D511">
        <v>47.5</v>
      </c>
      <c r="E511">
        <v>8.6999999999999993</v>
      </c>
      <c r="F511">
        <v>66.52</v>
      </c>
      <c r="G511">
        <v>0.9</v>
      </c>
      <c r="H511">
        <v>2.8</v>
      </c>
      <c r="I511">
        <v>275.99759999999998</v>
      </c>
      <c r="J511">
        <v>111.1459</v>
      </c>
      <c r="K511">
        <v>118.4346</v>
      </c>
      <c r="L511">
        <v>3.3359999999999999</v>
      </c>
      <c r="M511">
        <v>17.158799999999999</v>
      </c>
      <c r="P511">
        <v>58.94</v>
      </c>
      <c r="S511">
        <f t="shared" si="157"/>
        <v>682.79290000000003</v>
      </c>
      <c r="T511">
        <f t="shared" si="158"/>
        <v>7.7809594297962928E-3</v>
      </c>
      <c r="U511">
        <f t="shared" si="159"/>
        <v>2.0624229813917882E-2</v>
      </c>
      <c r="V511">
        <f t="shared" si="160"/>
        <v>4.4529587098231793E-2</v>
      </c>
      <c r="W511">
        <f t="shared" si="161"/>
        <v>8.1559454264129791E-3</v>
      </c>
      <c r="X511">
        <f t="shared" si="162"/>
        <v>6.2360171237355336E-2</v>
      </c>
      <c r="Y511">
        <f t="shared" si="163"/>
        <v>8.4371849238754971E-4</v>
      </c>
      <c r="Z511">
        <f t="shared" si="164"/>
        <v>2.624901976316821E-3</v>
      </c>
      <c r="AA511">
        <f t="shared" si="165"/>
        <v>0.25873808774953555</v>
      </c>
      <c r="AB511">
        <f t="shared" si="166"/>
        <v>0.10419539020339706</v>
      </c>
      <c r="AC511">
        <f t="shared" si="167"/>
        <v>0.11102829128724723</v>
      </c>
      <c r="AD511">
        <f t="shared" si="168"/>
        <v>3.1273832117831839E-3</v>
      </c>
      <c r="AE511">
        <f t="shared" si="169"/>
        <v>1.6085774296866098E-2</v>
      </c>
      <c r="AG511">
        <f t="shared" si="170"/>
        <v>-0.34781883353547155</v>
      </c>
      <c r="AH511">
        <f t="shared" si="171"/>
        <v>0.16300528777128476</v>
      </c>
      <c r="AI511">
        <f t="shared" si="172"/>
        <v>-0.55394531993766227</v>
      </c>
      <c r="AK511" s="26">
        <f t="shared" si="173"/>
        <v>-3.9473722331753114E-2</v>
      </c>
      <c r="AL511" s="26">
        <f t="shared" si="174"/>
        <v>-3.9174091672440889E-2</v>
      </c>
      <c r="AM511" s="26">
        <f t="shared" si="175"/>
        <v>-3.4145446367752227E-2</v>
      </c>
      <c r="AN511" s="26">
        <f t="shared" si="176"/>
        <v>18.663333333333327</v>
      </c>
      <c r="AO511" s="26">
        <f t="shared" si="177"/>
        <v>18.331533993115329</v>
      </c>
      <c r="AP511" s="26">
        <f t="shared" si="178"/>
        <v>13.799158898138117</v>
      </c>
      <c r="AS511" s="2">
        <v>44969</v>
      </c>
      <c r="AT511">
        <v>9.1</v>
      </c>
      <c r="AU511">
        <v>0</v>
      </c>
      <c r="AV511">
        <v>18.3</v>
      </c>
      <c r="AW511">
        <v>3.7</v>
      </c>
      <c r="AX511">
        <v>57.84</v>
      </c>
      <c r="AY511">
        <v>0.9</v>
      </c>
      <c r="AZ511">
        <v>3.7</v>
      </c>
      <c r="BA511">
        <v>349.54160000000002</v>
      </c>
      <c r="BB511">
        <v>210.35140000000001</v>
      </c>
      <c r="BC511">
        <v>105.58159999999999</v>
      </c>
      <c r="BD511">
        <v>3.4761000000000002</v>
      </c>
      <c r="BE511">
        <v>12.664099999999999</v>
      </c>
      <c r="BH511">
        <v>66.180000000000007</v>
      </c>
    </row>
    <row r="512" spans="1:60" x14ac:dyDescent="0.25">
      <c r="A512" s="2">
        <v>44989</v>
      </c>
      <c r="C512">
        <v>31.7</v>
      </c>
      <c r="F512">
        <v>84.07</v>
      </c>
      <c r="K512">
        <v>100.26479999999999</v>
      </c>
      <c r="P512">
        <v>59.5</v>
      </c>
      <c r="S512">
        <f t="shared" si="157"/>
        <v>216.03479999999999</v>
      </c>
      <c r="T512">
        <f t="shared" si="158"/>
        <v>0</v>
      </c>
      <c r="U512">
        <f t="shared" si="159"/>
        <v>2.9717640231872584E-2</v>
      </c>
      <c r="V512">
        <f t="shared" si="160"/>
        <v>0</v>
      </c>
      <c r="W512">
        <f t="shared" si="161"/>
        <v>0</v>
      </c>
      <c r="X512">
        <f t="shared" si="162"/>
        <v>7.881268183891256E-2</v>
      </c>
      <c r="Y512">
        <f t="shared" si="163"/>
        <v>0</v>
      </c>
      <c r="Z512">
        <f t="shared" si="164"/>
        <v>0</v>
      </c>
      <c r="AA512">
        <f t="shared" si="165"/>
        <v>0</v>
      </c>
      <c r="AB512">
        <f t="shared" si="166"/>
        <v>0</v>
      </c>
      <c r="AC512">
        <f t="shared" si="167"/>
        <v>9.3994739883932435E-2</v>
      </c>
      <c r="AD512">
        <f t="shared" si="168"/>
        <v>0</v>
      </c>
      <c r="AE512">
        <f t="shared" si="169"/>
        <v>0</v>
      </c>
      <c r="AG512">
        <f t="shared" si="170"/>
        <v>-0.31791910938523305</v>
      </c>
      <c r="AH512">
        <f t="shared" si="171"/>
        <v>0.10853032207078514</v>
      </c>
      <c r="AI512">
        <f t="shared" si="172"/>
        <v>-0.97642180201483453</v>
      </c>
      <c r="AK512" s="26">
        <f t="shared" si="173"/>
        <v>-4.0634699809833752E-2</v>
      </c>
      <c r="AL512" s="26">
        <f t="shared" si="174"/>
        <v>-4.0612565062883937E-2</v>
      </c>
      <c r="AM512" s="26">
        <f t="shared" si="175"/>
        <v>-3.5257946163992332E-2</v>
      </c>
      <c r="AN512" s="26">
        <f t="shared" si="176"/>
        <v>18.657301587301589</v>
      </c>
      <c r="AO512" s="26">
        <f t="shared" si="177"/>
        <v>18.265202237521542</v>
      </c>
      <c r="AP512" s="26">
        <f t="shared" si="178"/>
        <v>13.699195136682306</v>
      </c>
      <c r="AS512" s="2">
        <v>44968</v>
      </c>
      <c r="AU512">
        <v>1.3</v>
      </c>
      <c r="AX512">
        <v>54.53</v>
      </c>
      <c r="BC512">
        <v>81.231200000000001</v>
      </c>
      <c r="BH512">
        <v>66.540000000000006</v>
      </c>
    </row>
    <row r="513" spans="1:60" x14ac:dyDescent="0.25">
      <c r="A513" s="2">
        <v>44988</v>
      </c>
      <c r="C513">
        <v>18.2</v>
      </c>
      <c r="F513">
        <v>118.91</v>
      </c>
      <c r="K513">
        <v>164.5248</v>
      </c>
      <c r="N513">
        <v>-19.471399999999999</v>
      </c>
      <c r="O513">
        <v>-19.191199999999998</v>
      </c>
      <c r="P513">
        <v>59.7</v>
      </c>
      <c r="S513">
        <f t="shared" si="157"/>
        <v>301.63479999999998</v>
      </c>
      <c r="T513">
        <f t="shared" si="158"/>
        <v>0</v>
      </c>
      <c r="U513">
        <f t="shared" si="159"/>
        <v>1.7061862846059338E-2</v>
      </c>
      <c r="V513">
        <f t="shared" si="160"/>
        <v>0</v>
      </c>
      <c r="W513">
        <f t="shared" si="161"/>
        <v>0</v>
      </c>
      <c r="X513">
        <f t="shared" si="162"/>
        <v>0.11147396214422615</v>
      </c>
      <c r="Y513">
        <f t="shared" si="163"/>
        <v>0</v>
      </c>
      <c r="Z513">
        <f t="shared" si="164"/>
        <v>0</v>
      </c>
      <c r="AA513">
        <f t="shared" si="165"/>
        <v>0</v>
      </c>
      <c r="AB513">
        <f t="shared" si="166"/>
        <v>0</v>
      </c>
      <c r="AC513">
        <f t="shared" si="167"/>
        <v>0.1542362402404035</v>
      </c>
      <c r="AD513">
        <f t="shared" si="168"/>
        <v>0</v>
      </c>
      <c r="AE513">
        <f t="shared" si="169"/>
        <v>0</v>
      </c>
      <c r="AG513">
        <f t="shared" si="170"/>
        <v>-0.30458524363394257</v>
      </c>
      <c r="AH513">
        <f t="shared" si="171"/>
        <v>0.12853582499028549</v>
      </c>
      <c r="AI513">
        <f t="shared" si="172"/>
        <v>-0.82535493475227195</v>
      </c>
      <c r="AK513" s="26">
        <f t="shared" si="173"/>
        <v>-4.1091776490876475E-2</v>
      </c>
      <c r="AL513" s="26">
        <f t="shared" si="174"/>
        <v>-4.0214087258513664E-2</v>
      </c>
      <c r="AM513" s="26">
        <f t="shared" si="175"/>
        <v>-3.4610216942137062E-2</v>
      </c>
      <c r="AN513" s="26">
        <f t="shared" si="176"/>
        <v>18.628412698412696</v>
      </c>
      <c r="AO513" s="26">
        <f t="shared" si="177"/>
        <v>18.184156626506031</v>
      </c>
      <c r="AP513" s="26">
        <f t="shared" si="178"/>
        <v>13.594724928441963</v>
      </c>
      <c r="AS513" s="2">
        <v>44967</v>
      </c>
      <c r="AU513">
        <v>1.1000000000000001</v>
      </c>
      <c r="AX513">
        <v>110.33</v>
      </c>
      <c r="BC513">
        <v>147.06890000000001</v>
      </c>
      <c r="BF513">
        <v>-12.501799999999999</v>
      </c>
      <c r="BG513">
        <v>3.7536</v>
      </c>
      <c r="BH513">
        <v>66.97</v>
      </c>
    </row>
    <row r="514" spans="1:60" x14ac:dyDescent="0.25">
      <c r="A514" s="2">
        <v>44987</v>
      </c>
      <c r="B514">
        <v>10.3</v>
      </c>
      <c r="C514">
        <v>55.9</v>
      </c>
      <c r="D514">
        <v>11.1</v>
      </c>
      <c r="E514">
        <v>3</v>
      </c>
      <c r="F514">
        <v>167.57</v>
      </c>
      <c r="G514">
        <v>0.9</v>
      </c>
      <c r="H514">
        <v>3.1</v>
      </c>
      <c r="I514">
        <v>342.23149999999998</v>
      </c>
      <c r="J514">
        <v>186.262</v>
      </c>
      <c r="K514">
        <v>159.62020000000001</v>
      </c>
      <c r="L514">
        <v>3.3515999999999999</v>
      </c>
      <c r="M514">
        <v>31.325299999999999</v>
      </c>
      <c r="N514">
        <v>-17.883199999999999</v>
      </c>
      <c r="O514">
        <v>-19.741199999999999</v>
      </c>
      <c r="P514">
        <v>60.14</v>
      </c>
      <c r="S514">
        <f t="shared" ref="S514:S577" si="179">SUM(B514:M514)</f>
        <v>974.66059999999993</v>
      </c>
      <c r="T514">
        <f t="shared" si="158"/>
        <v>9.6558894128797364E-3</v>
      </c>
      <c r="U514">
        <f t="shared" si="159"/>
        <v>5.2404293027182254E-2</v>
      </c>
      <c r="V514">
        <f t="shared" si="160"/>
        <v>1.0405861406113113E-2</v>
      </c>
      <c r="W514">
        <f t="shared" si="161"/>
        <v>2.8123949746251659E-3</v>
      </c>
      <c r="X514">
        <f t="shared" si="162"/>
        <v>0.15709100863264633</v>
      </c>
      <c r="Y514">
        <f t="shared" si="163"/>
        <v>8.4371849238754971E-4</v>
      </c>
      <c r="Z514">
        <f t="shared" si="164"/>
        <v>2.9061414737793379E-3</v>
      </c>
      <c r="AA514">
        <f t="shared" si="165"/>
        <v>0.32083005025281081</v>
      </c>
      <c r="AB514">
        <f t="shared" si="166"/>
        <v>0.17461410425454421</v>
      </c>
      <c r="AC514">
        <f t="shared" si="167"/>
        <v>0.14963834944288798</v>
      </c>
      <c r="AD514">
        <f t="shared" si="168"/>
        <v>3.1420076656512351E-3</v>
      </c>
      <c r="AE514">
        <f t="shared" si="169"/>
        <v>2.9366372099541901E-2</v>
      </c>
      <c r="AG514">
        <f t="shared" si="170"/>
        <v>-0.28020589735064183</v>
      </c>
      <c r="AH514">
        <f t="shared" si="171"/>
        <v>0.26548567951915542</v>
      </c>
      <c r="AI514">
        <f t="shared" si="172"/>
        <v>0.2296027688895198</v>
      </c>
      <c r="AK514" s="26">
        <f t="shared" si="173"/>
        <v>-4.1220124376456557E-2</v>
      </c>
      <c r="AL514" s="26">
        <f t="shared" si="174"/>
        <v>-4.0651098504494526E-2</v>
      </c>
      <c r="AM514" s="26">
        <f t="shared" si="175"/>
        <v>-3.3329477144373287E-2</v>
      </c>
      <c r="AN514" s="26">
        <f t="shared" si="176"/>
        <v>18.600952380952371</v>
      </c>
      <c r="AO514" s="26">
        <f t="shared" si="177"/>
        <v>18.095916523235815</v>
      </c>
      <c r="AP514" s="26">
        <f t="shared" si="178"/>
        <v>13.489318295212783</v>
      </c>
      <c r="AS514" s="2">
        <v>44966</v>
      </c>
      <c r="AT514">
        <v>10.1</v>
      </c>
      <c r="AU514">
        <v>3.3</v>
      </c>
      <c r="AV514">
        <v>71.099999999999994</v>
      </c>
      <c r="AW514">
        <v>12.8</v>
      </c>
      <c r="AX514">
        <v>141.9</v>
      </c>
      <c r="AY514">
        <v>0.9</v>
      </c>
      <c r="AZ514">
        <v>3.9</v>
      </c>
      <c r="BA514">
        <v>304.45710000000003</v>
      </c>
      <c r="BB514">
        <v>208.4853</v>
      </c>
      <c r="BC514">
        <v>165.1371</v>
      </c>
      <c r="BD514">
        <v>3.641</v>
      </c>
      <c r="BE514">
        <v>30.248699999999999</v>
      </c>
      <c r="BF514">
        <v>-12.6053</v>
      </c>
      <c r="BG514">
        <v>6.5486000000000004</v>
      </c>
      <c r="BH514">
        <v>67.55</v>
      </c>
    </row>
    <row r="515" spans="1:60" x14ac:dyDescent="0.25">
      <c r="A515" s="2">
        <v>44986</v>
      </c>
      <c r="B515">
        <v>10.5</v>
      </c>
      <c r="C515">
        <v>9.6999999999999993</v>
      </c>
      <c r="D515">
        <v>4</v>
      </c>
      <c r="E515">
        <v>3.2</v>
      </c>
      <c r="F515">
        <v>190.6</v>
      </c>
      <c r="G515">
        <v>0.9</v>
      </c>
      <c r="H515">
        <v>3.1</v>
      </c>
      <c r="I515">
        <v>335.92180000000002</v>
      </c>
      <c r="J515">
        <v>187.4494</v>
      </c>
      <c r="K515">
        <v>168.84100000000001</v>
      </c>
      <c r="L515">
        <v>4.0050999999999997</v>
      </c>
      <c r="M515">
        <v>21.814</v>
      </c>
      <c r="N515">
        <v>-18.664899999999999</v>
      </c>
      <c r="O515">
        <v>-23.733799999999999</v>
      </c>
      <c r="P515">
        <v>60.61</v>
      </c>
      <c r="S515">
        <f t="shared" si="179"/>
        <v>940.03129999999999</v>
      </c>
      <c r="T515">
        <f t="shared" si="158"/>
        <v>9.8433824111880796E-3</v>
      </c>
      <c r="U515">
        <f t="shared" si="159"/>
        <v>9.0934104179547018E-3</v>
      </c>
      <c r="V515">
        <f t="shared" si="160"/>
        <v>3.7498599661668877E-3</v>
      </c>
      <c r="W515">
        <f t="shared" si="161"/>
        <v>2.9998879729335104E-3</v>
      </c>
      <c r="X515">
        <f t="shared" si="162"/>
        <v>0.17868082738785218</v>
      </c>
      <c r="Y515">
        <f t="shared" si="163"/>
        <v>8.4371849238754971E-4</v>
      </c>
      <c r="Z515">
        <f t="shared" si="164"/>
        <v>2.9061414737793379E-3</v>
      </c>
      <c r="AA515">
        <f t="shared" si="165"/>
        <v>0.31491492739568</v>
      </c>
      <c r="AB515">
        <f t="shared" si="166"/>
        <v>0.17572725018550084</v>
      </c>
      <c r="AC515">
        <f t="shared" si="167"/>
        <v>0.15828252663689588</v>
      </c>
      <c r="AD515">
        <f t="shared" si="168"/>
        <v>3.75464103762375E-3</v>
      </c>
      <c r="AE515">
        <f t="shared" si="169"/>
        <v>2.0449861325491123E-2</v>
      </c>
      <c r="AG515">
        <f t="shared" si="170"/>
        <v>-0.25444173883374194</v>
      </c>
      <c r="AH515">
        <f t="shared" si="171"/>
        <v>0.22856708944775336</v>
      </c>
      <c r="AI515">
        <f t="shared" si="172"/>
        <v>-5.455300203941027E-2</v>
      </c>
      <c r="AK515" s="26">
        <f t="shared" si="173"/>
        <v>-3.8846826099552173E-2</v>
      </c>
      <c r="AL515" s="26">
        <f t="shared" si="174"/>
        <v>-4.3090326644613861E-2</v>
      </c>
      <c r="AM515" s="26">
        <f t="shared" si="175"/>
        <v>-3.3468250608226988E-2</v>
      </c>
      <c r="AN515" s="26">
        <f t="shared" si="176"/>
        <v>18.571904761904747</v>
      </c>
      <c r="AO515" s="26">
        <f t="shared" si="177"/>
        <v>17.99667598967298</v>
      </c>
      <c r="AP515" s="26">
        <f t="shared" si="178"/>
        <v>13.380702975236957</v>
      </c>
      <c r="AS515" s="2">
        <v>44965</v>
      </c>
      <c r="AT515">
        <v>10.8</v>
      </c>
      <c r="AU515">
        <v>166.8</v>
      </c>
      <c r="AV515">
        <v>33.299999999999997</v>
      </c>
      <c r="AW515">
        <v>6.5</v>
      </c>
      <c r="AX515">
        <v>153.63</v>
      </c>
      <c r="AY515">
        <v>0.9</v>
      </c>
      <c r="AZ515">
        <v>4</v>
      </c>
      <c r="BA515">
        <v>320.49790000000002</v>
      </c>
      <c r="BB515">
        <v>255.4444</v>
      </c>
      <c r="BC515">
        <v>166.1969</v>
      </c>
      <c r="BD515">
        <v>3.8986000000000001</v>
      </c>
      <c r="BE515">
        <v>23.187100000000001</v>
      </c>
      <c r="BF515">
        <v>-15.423500000000001</v>
      </c>
      <c r="BG515">
        <v>4.1261999999999999</v>
      </c>
      <c r="BH515">
        <v>68.23</v>
      </c>
    </row>
    <row r="516" spans="1:60" x14ac:dyDescent="0.25">
      <c r="A516" s="2">
        <v>44985</v>
      </c>
      <c r="B516">
        <v>10.1</v>
      </c>
      <c r="C516">
        <v>82.9</v>
      </c>
      <c r="D516">
        <v>4.7</v>
      </c>
      <c r="E516">
        <v>2.8</v>
      </c>
      <c r="F516">
        <v>178.07</v>
      </c>
      <c r="G516">
        <v>0.9</v>
      </c>
      <c r="H516">
        <v>3.1</v>
      </c>
      <c r="I516">
        <v>351.82330000000002</v>
      </c>
      <c r="J516">
        <v>198.90960000000001</v>
      </c>
      <c r="K516">
        <v>165.85059999999999</v>
      </c>
      <c r="L516">
        <v>3.4016999999999999</v>
      </c>
      <c r="M516">
        <v>26.890699999999999</v>
      </c>
      <c r="N516">
        <v>-14.2881</v>
      </c>
      <c r="O516">
        <v>-22.230599999999999</v>
      </c>
      <c r="P516">
        <v>61.04</v>
      </c>
      <c r="S516">
        <f t="shared" si="179"/>
        <v>1029.4458999999999</v>
      </c>
      <c r="T516">
        <f t="shared" si="158"/>
        <v>9.4683964145713916E-3</v>
      </c>
      <c r="U516">
        <f t="shared" si="159"/>
        <v>7.7715847798808746E-2</v>
      </c>
      <c r="V516">
        <f t="shared" si="160"/>
        <v>4.4060854602460935E-3</v>
      </c>
      <c r="W516">
        <f t="shared" si="161"/>
        <v>2.624901976316821E-3</v>
      </c>
      <c r="X516">
        <f t="shared" si="162"/>
        <v>0.16693439104383442</v>
      </c>
      <c r="Y516">
        <f t="shared" si="163"/>
        <v>8.4371849238754971E-4</v>
      </c>
      <c r="Z516">
        <f t="shared" si="164"/>
        <v>2.9061414737793379E-3</v>
      </c>
      <c r="AA516">
        <f t="shared" si="165"/>
        <v>0.32982202695868068</v>
      </c>
      <c r="AB516">
        <f t="shared" si="166"/>
        <v>0.18647078648156729</v>
      </c>
      <c r="AC516">
        <f t="shared" si="167"/>
        <v>0.15547913132618948</v>
      </c>
      <c r="AD516">
        <f t="shared" si="168"/>
        <v>3.1889746617274756E-3</v>
      </c>
      <c r="AE516">
        <f t="shared" si="169"/>
        <v>2.5209089848050981E-2</v>
      </c>
      <c r="AG516">
        <f t="shared" si="170"/>
        <v>-0.23051629480101052</v>
      </c>
      <c r="AH516">
        <f t="shared" si="171"/>
        <v>0.29010857250799538</v>
      </c>
      <c r="AI516">
        <f t="shared" si="172"/>
        <v>0.4211270907293026</v>
      </c>
      <c r="AK516" s="26">
        <f t="shared" si="173"/>
        <v>-2.8532346697559025E-2</v>
      </c>
      <c r="AL516" s="26">
        <f t="shared" si="174"/>
        <v>-4.540131532211579E-2</v>
      </c>
      <c r="AM516" s="26">
        <f t="shared" si="175"/>
        <v>-3.2758730907595124E-2</v>
      </c>
      <c r="AN516" s="26">
        <f t="shared" si="176"/>
        <v>18.543809523809507</v>
      </c>
      <c r="AO516" s="26">
        <f t="shared" si="177"/>
        <v>17.887267641996566</v>
      </c>
      <c r="AP516" s="26">
        <f t="shared" si="178"/>
        <v>13.26861453218136</v>
      </c>
      <c r="AS516" s="2">
        <v>44964</v>
      </c>
      <c r="AT516">
        <v>11.2</v>
      </c>
      <c r="AU516">
        <v>20.8</v>
      </c>
      <c r="AV516">
        <v>20.2</v>
      </c>
      <c r="AW516">
        <v>3.1</v>
      </c>
      <c r="AX516">
        <v>136.56</v>
      </c>
      <c r="AY516">
        <v>0.9</v>
      </c>
      <c r="AZ516">
        <v>3.7</v>
      </c>
      <c r="BA516">
        <v>330.00920000000002</v>
      </c>
      <c r="BB516">
        <v>248.49529999999999</v>
      </c>
      <c r="BC516">
        <v>190.78149999999999</v>
      </c>
      <c r="BD516">
        <v>3.6808999999999998</v>
      </c>
      <c r="BE516">
        <v>33.792000000000002</v>
      </c>
      <c r="BF516">
        <v>-15.0327</v>
      </c>
      <c r="BG516">
        <v>5.5795000000000003</v>
      </c>
      <c r="BH516">
        <v>68.89</v>
      </c>
    </row>
    <row r="517" spans="1:60" x14ac:dyDescent="0.25">
      <c r="A517" s="2">
        <v>44984</v>
      </c>
      <c r="B517">
        <v>10</v>
      </c>
      <c r="C517">
        <v>47.9</v>
      </c>
      <c r="D517">
        <v>7.2</v>
      </c>
      <c r="E517">
        <v>4.5</v>
      </c>
      <c r="F517">
        <v>125.99</v>
      </c>
      <c r="G517">
        <v>0.8</v>
      </c>
      <c r="H517">
        <v>3</v>
      </c>
      <c r="I517">
        <v>344.77809999999999</v>
      </c>
      <c r="J517">
        <v>196.33539999999999</v>
      </c>
      <c r="K517">
        <v>169.2586</v>
      </c>
      <c r="L517">
        <v>3.3359999999999999</v>
      </c>
      <c r="M517">
        <v>24.909300000000002</v>
      </c>
      <c r="N517">
        <v>-13.4696</v>
      </c>
      <c r="O517">
        <v>-21.593499999999999</v>
      </c>
      <c r="P517">
        <v>61.57</v>
      </c>
      <c r="S517">
        <f t="shared" si="179"/>
        <v>938.00740000000008</v>
      </c>
      <c r="T517">
        <f t="shared" ref="T517:T580" si="180">B517/$S$4</f>
        <v>9.3746499154172182E-3</v>
      </c>
      <c r="U517">
        <f t="shared" ref="U517:U580" si="181">C517/$S$4</f>
        <v>4.4904573094848479E-2</v>
      </c>
      <c r="V517">
        <f t="shared" ref="V517:V580" si="182">D517/$S$4</f>
        <v>6.7497479391003977E-3</v>
      </c>
      <c r="W517">
        <f t="shared" ref="W517:W580" si="183">E517/$S$4</f>
        <v>4.2185924619377486E-3</v>
      </c>
      <c r="X517">
        <f t="shared" ref="X517:X580" si="184">F517/$S$4</f>
        <v>0.11811121428434154</v>
      </c>
      <c r="Y517">
        <f t="shared" ref="Y517:Y580" si="185">G517/$S$4</f>
        <v>7.4997199323337759E-4</v>
      </c>
      <c r="Z517">
        <f t="shared" ref="Z517:Z580" si="186">H517/$S$4</f>
        <v>2.8123949746251659E-3</v>
      </c>
      <c r="AA517">
        <f t="shared" ref="AA517:AA580" si="187">I517/$S$4</f>
        <v>0.32321739860027093</v>
      </c>
      <c r="AB517">
        <f t="shared" ref="AB517:AB580" si="188">J517/$S$4</f>
        <v>0.18405756410034058</v>
      </c>
      <c r="AC517">
        <f t="shared" ref="AC517:AC580" si="189">K517/$S$4</f>
        <v>0.1586740120173637</v>
      </c>
      <c r="AD517">
        <f t="shared" ref="AD517:AD580" si="190">L517/$S$4</f>
        <v>3.1273832117831839E-3</v>
      </c>
      <c r="AE517">
        <f t="shared" ref="AE517:AE580" si="191">M517/$S$4</f>
        <v>2.3351596713810215E-2</v>
      </c>
      <c r="AG517">
        <f t="shared" ref="AG517:AG580" si="192">(P517-AVERAGE(P517:P881)) / _xlfn.STDEV.S(P517:P2344)</f>
        <v>-0.20199081978111155</v>
      </c>
      <c r="AH517">
        <f t="shared" ref="AH517:AH580" si="193">SUM(T517:Y517,Z517,AE517)</f>
        <v>0.21027274137731414</v>
      </c>
      <c r="AI517">
        <f t="shared" ref="AI517:AI580" si="194">(AH517-AVERAGE(AH517:AH881))/_xlfn.STDEV.S(AH517:AH881)</f>
        <v>-0.19675649677789064</v>
      </c>
      <c r="AK517" s="26">
        <f t="shared" ref="AK517:AK580" si="195">AVERAGEA(AH517:AH537)-AVERAGE(AH883:AH903, AH1248:AH1268, AH1613:AH1633)</f>
        <v>-2.9240686316929915E-2</v>
      </c>
      <c r="AL517" s="26">
        <f t="shared" ref="AL517:AL580" si="196">AVERAGEA(AH517:AH572)-AVERAGE(AH883:AH938, AH1248:AH1302, AH1613:AH1667)</f>
        <v>-4.6848141993559245E-2</v>
      </c>
      <c r="AM517" s="26">
        <f t="shared" ref="AM517:AM580" si="197">AVERAGEA(AH517:AH629)-AVERAGE(AH883:AH995,AH1248:AH1359,AH1613:AH1724)</f>
        <v>-3.3822594298284353E-2</v>
      </c>
      <c r="AN517" s="26">
        <f t="shared" ref="AN517:AN580" si="198">AVERAGEA(P517:P537)-AVERAGE(P883:P903, P1248:P1268, P1613:P1633)</f>
        <v>18.518730158730165</v>
      </c>
      <c r="AO517" s="26">
        <f t="shared" ref="AO517:AO580" si="199">AVERAGEA(P517:P572)-AVERAGE(P883:P938, P1248:P1302, P1613:P1667)</f>
        <v>17.769503012048219</v>
      </c>
      <c r="AP517" s="26">
        <f t="shared" ref="AP517:AP580" si="200">AVERAGEA(P517:P629)-AVERAGE(P883:P995,P1248:P1359,P1613:P1724)</f>
        <v>13.154414800031503</v>
      </c>
      <c r="AS517" s="2">
        <v>44963</v>
      </c>
      <c r="AT517">
        <v>10</v>
      </c>
      <c r="AU517">
        <v>32.1</v>
      </c>
      <c r="AV517">
        <v>7</v>
      </c>
      <c r="AW517">
        <v>3.7</v>
      </c>
      <c r="AX517">
        <v>51.54</v>
      </c>
      <c r="AY517">
        <v>0.9</v>
      </c>
      <c r="AZ517">
        <v>3.8</v>
      </c>
      <c r="BA517">
        <v>348.30509999999998</v>
      </c>
      <c r="BB517">
        <v>223.0856</v>
      </c>
      <c r="BC517">
        <v>178.8742</v>
      </c>
      <c r="BD517">
        <v>3.8675000000000002</v>
      </c>
      <c r="BE517">
        <v>33.062100000000001</v>
      </c>
      <c r="BF517">
        <v>-18.8931</v>
      </c>
      <c r="BG517">
        <v>3.7972000000000001</v>
      </c>
      <c r="BH517">
        <v>69.540000000000006</v>
      </c>
    </row>
    <row r="518" spans="1:60" x14ac:dyDescent="0.25">
      <c r="A518" s="2">
        <v>44983</v>
      </c>
      <c r="B518">
        <v>10.199999999999999</v>
      </c>
      <c r="C518">
        <v>17.8</v>
      </c>
      <c r="D518">
        <v>51.9</v>
      </c>
      <c r="E518">
        <v>10.4</v>
      </c>
      <c r="F518">
        <v>100.94</v>
      </c>
      <c r="G518">
        <v>0.6</v>
      </c>
      <c r="H518">
        <v>2.8</v>
      </c>
      <c r="I518">
        <v>227.64080000000001</v>
      </c>
      <c r="J518">
        <v>72.4602</v>
      </c>
      <c r="K518">
        <v>85.709500000000006</v>
      </c>
      <c r="L518">
        <v>3.3359999999999999</v>
      </c>
      <c r="M518">
        <v>11.7601</v>
      </c>
      <c r="P518">
        <v>62.18</v>
      </c>
      <c r="S518">
        <f t="shared" si="179"/>
        <v>595.54660000000001</v>
      </c>
      <c r="T518">
        <f t="shared" si="180"/>
        <v>9.5621429137255631E-3</v>
      </c>
      <c r="U518">
        <f t="shared" si="181"/>
        <v>1.6686876849442651E-2</v>
      </c>
      <c r="V518">
        <f t="shared" si="182"/>
        <v>4.8654433061015363E-2</v>
      </c>
      <c r="W518">
        <f t="shared" si="183"/>
        <v>9.749635912033908E-3</v>
      </c>
      <c r="X518">
        <f t="shared" si="184"/>
        <v>9.4627716246221405E-2</v>
      </c>
      <c r="Y518">
        <f t="shared" si="185"/>
        <v>5.6247899492503314E-4</v>
      </c>
      <c r="Z518">
        <f t="shared" si="186"/>
        <v>2.624901976316821E-3</v>
      </c>
      <c r="AA518">
        <f t="shared" si="187"/>
        <v>0.21340528064655082</v>
      </c>
      <c r="AB518">
        <f t="shared" si="188"/>
        <v>6.7928900780111476E-2</v>
      </c>
      <c r="AC518">
        <f t="shared" si="189"/>
        <v>8.0349655692545222E-2</v>
      </c>
      <c r="AD518">
        <f t="shared" si="190"/>
        <v>3.1273832117831839E-3</v>
      </c>
      <c r="AE518">
        <f t="shared" si="191"/>
        <v>1.1024682047029803E-2</v>
      </c>
      <c r="AG518">
        <f t="shared" si="192"/>
        <v>-0.16977948987664501</v>
      </c>
      <c r="AH518">
        <f t="shared" si="193"/>
        <v>0.19349286800071056</v>
      </c>
      <c r="AI518">
        <f t="shared" si="194"/>
        <v>-0.3274620723034895</v>
      </c>
      <c r="AK518" s="26">
        <f t="shared" si="195"/>
        <v>-3.3990956840681708E-2</v>
      </c>
      <c r="AL518" s="26">
        <f t="shared" si="196"/>
        <v>-4.763199219266237E-2</v>
      </c>
      <c r="AM518" s="26">
        <f t="shared" si="197"/>
        <v>-3.3870781234655922E-2</v>
      </c>
      <c r="AN518" s="26">
        <f t="shared" si="198"/>
        <v>18.493968253968248</v>
      </c>
      <c r="AO518" s="26">
        <f t="shared" si="199"/>
        <v>17.642015920826182</v>
      </c>
      <c r="AP518" s="26">
        <f t="shared" si="200"/>
        <v>13.036833066358525</v>
      </c>
      <c r="AS518" s="2">
        <v>44962</v>
      </c>
      <c r="AT518">
        <v>10.1</v>
      </c>
      <c r="AU518">
        <v>21.2</v>
      </c>
      <c r="AV518">
        <v>61.5</v>
      </c>
      <c r="AW518">
        <v>6.2</v>
      </c>
      <c r="AX518">
        <v>47.86</v>
      </c>
      <c r="AY518">
        <v>0.9</v>
      </c>
      <c r="AZ518">
        <v>3.8</v>
      </c>
      <c r="BA518">
        <v>293.38400000000001</v>
      </c>
      <c r="BB518">
        <v>151.77709999999999</v>
      </c>
      <c r="BC518">
        <v>77.972099999999998</v>
      </c>
      <c r="BD518">
        <v>3.6151</v>
      </c>
      <c r="BE518">
        <v>9.7396999999999991</v>
      </c>
      <c r="BH518">
        <v>70.19</v>
      </c>
    </row>
    <row r="519" spans="1:60" x14ac:dyDescent="0.25">
      <c r="A519" s="2">
        <v>44982</v>
      </c>
      <c r="C519">
        <v>1.1000000000000001</v>
      </c>
      <c r="F519">
        <v>79.92</v>
      </c>
      <c r="G519">
        <v>0.6</v>
      </c>
      <c r="K519">
        <v>68.0732</v>
      </c>
      <c r="P519">
        <v>62.42</v>
      </c>
      <c r="S519">
        <f t="shared" si="179"/>
        <v>149.69319999999999</v>
      </c>
      <c r="T519">
        <f t="shared" si="180"/>
        <v>0</v>
      </c>
      <c r="U519">
        <f t="shared" si="181"/>
        <v>1.0312114906958943E-3</v>
      </c>
      <c r="V519">
        <f t="shared" si="182"/>
        <v>0</v>
      </c>
      <c r="W519">
        <f t="shared" si="183"/>
        <v>0</v>
      </c>
      <c r="X519">
        <f t="shared" si="184"/>
        <v>7.4922202124014417E-2</v>
      </c>
      <c r="Y519">
        <f t="shared" si="185"/>
        <v>5.6247899492503314E-4</v>
      </c>
      <c r="Z519">
        <f t="shared" si="186"/>
        <v>0</v>
      </c>
      <c r="AA519">
        <f t="shared" si="187"/>
        <v>0</v>
      </c>
      <c r="AB519">
        <f t="shared" si="188"/>
        <v>0</v>
      </c>
      <c r="AC519">
        <f t="shared" si="189"/>
        <v>6.3816241862217946E-2</v>
      </c>
      <c r="AD519">
        <f t="shared" si="190"/>
        <v>0</v>
      </c>
      <c r="AE519">
        <f t="shared" si="191"/>
        <v>0</v>
      </c>
      <c r="AG519">
        <f t="shared" si="192"/>
        <v>-0.15455630666060699</v>
      </c>
      <c r="AH519">
        <f t="shared" si="193"/>
        <v>7.6515892609635344E-2</v>
      </c>
      <c r="AI519">
        <f t="shared" si="194"/>
        <v>-1.2283290259835886</v>
      </c>
      <c r="AK519" s="26">
        <f t="shared" si="195"/>
        <v>-3.4242483162031323E-2</v>
      </c>
      <c r="AL519" s="26">
        <f t="shared" si="196"/>
        <v>-4.7473827044387407E-2</v>
      </c>
      <c r="AM519" s="26">
        <f t="shared" si="197"/>
        <v>-3.4290305387777206E-2</v>
      </c>
      <c r="AN519" s="26">
        <f t="shared" si="198"/>
        <v>18.464603174603191</v>
      </c>
      <c r="AO519" s="26">
        <f t="shared" si="199"/>
        <v>17.50550129087781</v>
      </c>
      <c r="AP519" s="26">
        <f t="shared" si="200"/>
        <v>12.914452876762667</v>
      </c>
      <c r="AS519" s="2">
        <v>44961</v>
      </c>
      <c r="AU519">
        <v>35.299999999999997</v>
      </c>
      <c r="AX519">
        <v>77.98</v>
      </c>
      <c r="BC519">
        <v>95.260999999999996</v>
      </c>
      <c r="BH519">
        <v>70.5</v>
      </c>
    </row>
    <row r="520" spans="1:60" x14ac:dyDescent="0.25">
      <c r="A520" s="2">
        <v>44981</v>
      </c>
      <c r="C520">
        <v>2.2000000000000002</v>
      </c>
      <c r="F520">
        <v>51.93</v>
      </c>
      <c r="K520">
        <v>116.2479</v>
      </c>
      <c r="N520">
        <v>-11.7971</v>
      </c>
      <c r="O520">
        <v>-13.6121</v>
      </c>
      <c r="P520">
        <v>62.66</v>
      </c>
      <c r="S520">
        <f t="shared" si="179"/>
        <v>170.37790000000001</v>
      </c>
      <c r="T520">
        <f t="shared" si="180"/>
        <v>0</v>
      </c>
      <c r="U520">
        <f t="shared" si="181"/>
        <v>2.0624229813917885E-3</v>
      </c>
      <c r="V520">
        <f t="shared" si="182"/>
        <v>0</v>
      </c>
      <c r="W520">
        <f t="shared" si="183"/>
        <v>0</v>
      </c>
      <c r="X520">
        <f t="shared" si="184"/>
        <v>4.8682557010761615E-2</v>
      </c>
      <c r="Y520">
        <f t="shared" si="185"/>
        <v>0</v>
      </c>
      <c r="Z520">
        <f t="shared" si="186"/>
        <v>0</v>
      </c>
      <c r="AA520">
        <f t="shared" si="187"/>
        <v>0</v>
      </c>
      <c r="AB520">
        <f t="shared" si="188"/>
        <v>0</v>
      </c>
      <c r="AC520">
        <f t="shared" si="189"/>
        <v>0.10897833659024293</v>
      </c>
      <c r="AD520">
        <f t="shared" si="190"/>
        <v>0</v>
      </c>
      <c r="AE520">
        <f t="shared" si="191"/>
        <v>0</v>
      </c>
      <c r="AG520">
        <f t="shared" si="192"/>
        <v>-0.13933447295306317</v>
      </c>
      <c r="AH520">
        <f t="shared" si="193"/>
        <v>5.0744979992153404E-2</v>
      </c>
      <c r="AI520">
        <f t="shared" si="194"/>
        <v>-1.4330916355767722</v>
      </c>
      <c r="AK520" s="26">
        <f t="shared" si="195"/>
        <v>-2.9615330064422657E-2</v>
      </c>
      <c r="AL520" s="26">
        <f t="shared" si="196"/>
        <v>-4.6697743908126713E-2</v>
      </c>
      <c r="AM520" s="26">
        <f t="shared" si="197"/>
        <v>-3.4257765404575577E-2</v>
      </c>
      <c r="AN520" s="26">
        <f t="shared" si="198"/>
        <v>18.43238095238096</v>
      </c>
      <c r="AO520" s="26">
        <f t="shared" si="199"/>
        <v>17.361781411359729</v>
      </c>
      <c r="AP520" s="26">
        <f t="shared" si="200"/>
        <v>12.791225808145754</v>
      </c>
      <c r="AS520" s="2">
        <v>44960</v>
      </c>
      <c r="AU520">
        <v>24.8</v>
      </c>
      <c r="AX520">
        <v>23.27</v>
      </c>
      <c r="BC520">
        <v>75.253500000000003</v>
      </c>
      <c r="BF520">
        <v>-14.6435</v>
      </c>
      <c r="BG520">
        <v>8.0792999999999999</v>
      </c>
      <c r="BH520">
        <v>70.81</v>
      </c>
    </row>
    <row r="521" spans="1:60" x14ac:dyDescent="0.25">
      <c r="A521" s="2">
        <v>44980</v>
      </c>
      <c r="B521">
        <v>10.8</v>
      </c>
      <c r="C521">
        <v>2.7</v>
      </c>
      <c r="D521">
        <v>39.6</v>
      </c>
      <c r="E521">
        <v>5</v>
      </c>
      <c r="F521">
        <v>56.26</v>
      </c>
      <c r="G521">
        <v>0.9</v>
      </c>
      <c r="H521">
        <v>2.9</v>
      </c>
      <c r="I521">
        <v>377.4194</v>
      </c>
      <c r="J521">
        <v>222.7013</v>
      </c>
      <c r="K521">
        <v>149.34440000000001</v>
      </c>
      <c r="L521">
        <v>3.5434999999999999</v>
      </c>
      <c r="M521">
        <v>20.509499999999999</v>
      </c>
      <c r="N521">
        <v>-12.5747</v>
      </c>
      <c r="O521">
        <v>-13.0519</v>
      </c>
      <c r="P521">
        <v>62.94</v>
      </c>
      <c r="S521">
        <f t="shared" si="179"/>
        <v>891.67809999999997</v>
      </c>
      <c r="T521">
        <f t="shared" si="180"/>
        <v>1.0124621908650598E-2</v>
      </c>
      <c r="U521">
        <f t="shared" si="181"/>
        <v>2.5311554771626494E-3</v>
      </c>
      <c r="V521">
        <f t="shared" si="182"/>
        <v>3.7123613665052187E-2</v>
      </c>
      <c r="W521">
        <f t="shared" si="183"/>
        <v>4.6873249577086091E-3</v>
      </c>
      <c r="X521">
        <f t="shared" si="184"/>
        <v>5.2741780424137276E-2</v>
      </c>
      <c r="Y521">
        <f t="shared" si="185"/>
        <v>8.4371849238754971E-4</v>
      </c>
      <c r="Z521">
        <f t="shared" si="186"/>
        <v>2.7186484754709935E-3</v>
      </c>
      <c r="AA521">
        <f t="shared" si="187"/>
        <v>0.35381747462868174</v>
      </c>
      <c r="AB521">
        <f t="shared" si="188"/>
        <v>0.20877467232083047</v>
      </c>
      <c r="AC521">
        <f t="shared" si="189"/>
        <v>0.14000514668280353</v>
      </c>
      <c r="AD521">
        <f t="shared" si="190"/>
        <v>3.3219071975280914E-3</v>
      </c>
      <c r="AE521">
        <f t="shared" si="191"/>
        <v>1.9226938244024945E-2</v>
      </c>
      <c r="AG521">
        <f t="shared" si="192"/>
        <v>-0.12228492601455926</v>
      </c>
      <c r="AH521">
        <f t="shared" si="193"/>
        <v>0.12999780164459482</v>
      </c>
      <c r="AI521">
        <f t="shared" si="194"/>
        <v>-0.82534559986147049</v>
      </c>
      <c r="AK521" s="26">
        <f t="shared" si="195"/>
        <v>-3.0161635556184063E-2</v>
      </c>
      <c r="AL521" s="26">
        <f t="shared" si="196"/>
        <v>-4.4574668797349726E-2</v>
      </c>
      <c r="AM521" s="26">
        <f t="shared" si="197"/>
        <v>-3.2218512662769025E-2</v>
      </c>
      <c r="AN521" s="26">
        <f t="shared" si="198"/>
        <v>18.394444444444446</v>
      </c>
      <c r="AO521" s="26">
        <f t="shared" si="199"/>
        <v>17.212409638554242</v>
      </c>
      <c r="AP521" s="26">
        <f t="shared" si="200"/>
        <v>12.666233029594792</v>
      </c>
      <c r="AS521" s="2">
        <v>44959</v>
      </c>
      <c r="AT521">
        <v>9.8000000000000007</v>
      </c>
      <c r="AU521">
        <v>54.5</v>
      </c>
      <c r="AV521">
        <v>46.8</v>
      </c>
      <c r="AW521">
        <v>17.2</v>
      </c>
      <c r="AX521">
        <v>31.63</v>
      </c>
      <c r="AY521">
        <v>0.9</v>
      </c>
      <c r="AZ521">
        <v>3.3</v>
      </c>
      <c r="BA521">
        <v>264.0172</v>
      </c>
      <c r="BB521">
        <v>171.09469999999999</v>
      </c>
      <c r="BC521">
        <v>121.7848</v>
      </c>
      <c r="BD521">
        <v>3.7989000000000002</v>
      </c>
      <c r="BE521">
        <v>26.8841</v>
      </c>
      <c r="BF521">
        <v>-16.698499999999999</v>
      </c>
      <c r="BG521">
        <v>5.4824000000000002</v>
      </c>
      <c r="BH521">
        <v>71.19</v>
      </c>
    </row>
    <row r="522" spans="1:60" x14ac:dyDescent="0.25">
      <c r="A522" s="2">
        <v>44979</v>
      </c>
      <c r="B522">
        <v>10.5</v>
      </c>
      <c r="C522">
        <v>2.7</v>
      </c>
      <c r="D522">
        <v>17.899999999999999</v>
      </c>
      <c r="E522">
        <v>3.9</v>
      </c>
      <c r="F522">
        <v>119.07</v>
      </c>
      <c r="G522">
        <v>0.9</v>
      </c>
      <c r="H522">
        <v>2.9</v>
      </c>
      <c r="I522">
        <v>355.3141</v>
      </c>
      <c r="J522">
        <v>215.88800000000001</v>
      </c>
      <c r="K522">
        <v>149.9589</v>
      </c>
      <c r="L522">
        <v>3.4413999999999998</v>
      </c>
      <c r="M522">
        <v>18.4071</v>
      </c>
      <c r="N522">
        <v>-10.7155</v>
      </c>
      <c r="O522">
        <v>-6.5720000000000001</v>
      </c>
      <c r="P522">
        <v>63.21</v>
      </c>
      <c r="S522">
        <f t="shared" si="179"/>
        <v>900.87950000000001</v>
      </c>
      <c r="T522">
        <f t="shared" si="180"/>
        <v>9.8433824111880796E-3</v>
      </c>
      <c r="U522">
        <f t="shared" si="181"/>
        <v>2.5311554771626494E-3</v>
      </c>
      <c r="V522">
        <f t="shared" si="182"/>
        <v>1.678062334859682E-2</v>
      </c>
      <c r="W522">
        <f t="shared" si="183"/>
        <v>3.6561134670127153E-3</v>
      </c>
      <c r="X522">
        <f t="shared" si="184"/>
        <v>0.11162395654287283</v>
      </c>
      <c r="Y522">
        <f t="shared" si="185"/>
        <v>8.4371849238754971E-4</v>
      </c>
      <c r="Z522">
        <f t="shared" si="186"/>
        <v>2.7186484754709935E-3</v>
      </c>
      <c r="AA522">
        <f t="shared" si="187"/>
        <v>0.33309452975115456</v>
      </c>
      <c r="AB522">
        <f t="shared" si="188"/>
        <v>0.20238744209395926</v>
      </c>
      <c r="AC522">
        <f t="shared" si="189"/>
        <v>0.14058121892010592</v>
      </c>
      <c r="AD522">
        <f t="shared" si="190"/>
        <v>3.2261920218916817E-3</v>
      </c>
      <c r="AE522">
        <f t="shared" si="191"/>
        <v>1.725601184580763E-2</v>
      </c>
      <c r="AG522">
        <f t="shared" si="192"/>
        <v>-0.10570292838866985</v>
      </c>
      <c r="AH522">
        <f t="shared" si="193"/>
        <v>0.16525361006049927</v>
      </c>
      <c r="AI522">
        <f t="shared" si="194"/>
        <v>-0.55544718175473051</v>
      </c>
      <c r="AK522" s="26">
        <f t="shared" si="195"/>
        <v>-2.500004408317516E-2</v>
      </c>
      <c r="AL522" s="26">
        <f t="shared" si="196"/>
        <v>-4.3204058009549434E-2</v>
      </c>
      <c r="AM522" s="26">
        <f t="shared" si="197"/>
        <v>-3.1241574895498891E-2</v>
      </c>
      <c r="AN522" s="26">
        <f t="shared" si="198"/>
        <v>18.352857142857154</v>
      </c>
      <c r="AO522" s="26">
        <f t="shared" si="199"/>
        <v>17.056904044750432</v>
      </c>
      <c r="AP522" s="26">
        <f t="shared" si="200"/>
        <v>12.540335600430637</v>
      </c>
      <c r="AS522" s="2">
        <v>44958</v>
      </c>
      <c r="AT522">
        <v>9.1999999999999993</v>
      </c>
      <c r="AU522">
        <v>1.2</v>
      </c>
      <c r="AV522">
        <v>49.6</v>
      </c>
      <c r="AW522">
        <v>26.5</v>
      </c>
      <c r="AX522">
        <v>27.79</v>
      </c>
      <c r="AY522">
        <v>0.9</v>
      </c>
      <c r="AZ522">
        <v>2.9</v>
      </c>
      <c r="BA522">
        <v>160.084</v>
      </c>
      <c r="BB522">
        <v>104.5331</v>
      </c>
      <c r="BC522">
        <v>112.3629</v>
      </c>
      <c r="BD522">
        <v>3.9369000000000001</v>
      </c>
      <c r="BE522">
        <v>22.578399999999998</v>
      </c>
      <c r="BF522">
        <v>-19.8767</v>
      </c>
      <c r="BG522">
        <v>3.7704</v>
      </c>
      <c r="BH522">
        <v>71.64</v>
      </c>
    </row>
    <row r="523" spans="1:60" x14ac:dyDescent="0.25">
      <c r="A523" s="2">
        <v>44978</v>
      </c>
      <c r="B523">
        <v>9.8000000000000007</v>
      </c>
      <c r="C523">
        <v>30.6</v>
      </c>
      <c r="D523">
        <v>33.299999999999997</v>
      </c>
      <c r="E523">
        <v>13.4</v>
      </c>
      <c r="F523">
        <v>109.55</v>
      </c>
      <c r="G523">
        <v>0.8</v>
      </c>
      <c r="H523">
        <v>3</v>
      </c>
      <c r="I523">
        <v>276.2749</v>
      </c>
      <c r="J523">
        <v>158.98820000000001</v>
      </c>
      <c r="K523">
        <v>104.28959999999999</v>
      </c>
      <c r="L523">
        <v>2.9077999999999999</v>
      </c>
      <c r="M523">
        <v>24.7073</v>
      </c>
      <c r="N523">
        <v>-12.330399999999999</v>
      </c>
      <c r="O523">
        <v>-12.534599999999999</v>
      </c>
      <c r="P523">
        <v>63.5</v>
      </c>
      <c r="S523">
        <f t="shared" si="179"/>
        <v>767.61779999999999</v>
      </c>
      <c r="T523">
        <f t="shared" si="180"/>
        <v>9.1871569171088751E-3</v>
      </c>
      <c r="U523">
        <f t="shared" si="181"/>
        <v>2.8686428741176693E-2</v>
      </c>
      <c r="V523">
        <f t="shared" si="182"/>
        <v>3.1217584218339336E-2</v>
      </c>
      <c r="W523">
        <f t="shared" si="183"/>
        <v>1.2562030886659074E-2</v>
      </c>
      <c r="X523">
        <f t="shared" si="184"/>
        <v>0.10269928982339563</v>
      </c>
      <c r="Y523">
        <f t="shared" si="185"/>
        <v>7.4997199323337759E-4</v>
      </c>
      <c r="Z523">
        <f t="shared" si="186"/>
        <v>2.8123949746251659E-3</v>
      </c>
      <c r="AA523">
        <f t="shared" si="187"/>
        <v>0.25899804679169008</v>
      </c>
      <c r="AB523">
        <f t="shared" si="188"/>
        <v>0.1490458715682336</v>
      </c>
      <c r="AC523">
        <f t="shared" si="189"/>
        <v>9.776784898188956E-2</v>
      </c>
      <c r="AD523">
        <f t="shared" si="190"/>
        <v>2.7259607024050191E-3</v>
      </c>
      <c r="AE523">
        <f t="shared" si="191"/>
        <v>2.3162228785518785E-2</v>
      </c>
      <c r="AG523">
        <f t="shared" si="192"/>
        <v>-8.8214702487600105E-2</v>
      </c>
      <c r="AH523">
        <f t="shared" si="193"/>
        <v>0.21107708634005692</v>
      </c>
      <c r="AI523">
        <f t="shared" si="194"/>
        <v>-0.20004454421443044</v>
      </c>
      <c r="AK523" s="26">
        <f t="shared" si="195"/>
        <v>-2.2998748283350912E-2</v>
      </c>
      <c r="AL523" s="26">
        <f t="shared" si="196"/>
        <v>-4.1997567652687445E-2</v>
      </c>
      <c r="AM523" s="26">
        <f t="shared" si="197"/>
        <v>-3.0514864542287204E-2</v>
      </c>
      <c r="AN523" s="26">
        <f t="shared" si="198"/>
        <v>18.313015873015871</v>
      </c>
      <c r="AO523" s="26">
        <f t="shared" si="199"/>
        <v>16.895017211703966</v>
      </c>
      <c r="AP523" s="26">
        <f t="shared" si="200"/>
        <v>12.414427404742497</v>
      </c>
      <c r="AS523" s="2">
        <v>44957</v>
      </c>
      <c r="AT523">
        <v>10.199999999999999</v>
      </c>
      <c r="AU523">
        <v>2.2999999999999998</v>
      </c>
      <c r="AV523">
        <v>48.5</v>
      </c>
      <c r="AW523">
        <v>23.6</v>
      </c>
      <c r="AX523">
        <v>29.31</v>
      </c>
      <c r="AY523">
        <v>0.9</v>
      </c>
      <c r="AZ523">
        <v>2.7</v>
      </c>
      <c r="BA523">
        <v>150.83260000000001</v>
      </c>
      <c r="BB523">
        <v>111.6885</v>
      </c>
      <c r="BC523">
        <v>142.4855</v>
      </c>
      <c r="BD523">
        <v>4.2789000000000001</v>
      </c>
      <c r="BE523">
        <v>25.932200000000002</v>
      </c>
      <c r="BF523">
        <v>-37.376199999999997</v>
      </c>
      <c r="BG523">
        <v>9.2120999999999995</v>
      </c>
      <c r="BH523">
        <v>72.12</v>
      </c>
    </row>
    <row r="524" spans="1:60" x14ac:dyDescent="0.25">
      <c r="A524" s="2">
        <v>44977</v>
      </c>
      <c r="C524">
        <v>0.6</v>
      </c>
      <c r="F524">
        <v>112.8</v>
      </c>
      <c r="K524">
        <v>55.5334</v>
      </c>
      <c r="N524">
        <v>-12.5146</v>
      </c>
      <c r="O524">
        <v>-9.9253999999999998</v>
      </c>
      <c r="P524">
        <v>63.8</v>
      </c>
      <c r="S524">
        <f t="shared" si="179"/>
        <v>168.93340000000001</v>
      </c>
      <c r="T524">
        <f t="shared" si="180"/>
        <v>0</v>
      </c>
      <c r="U524">
        <f t="shared" si="181"/>
        <v>5.6247899492503314E-4</v>
      </c>
      <c r="V524">
        <f t="shared" si="182"/>
        <v>0</v>
      </c>
      <c r="W524">
        <f t="shared" si="183"/>
        <v>0</v>
      </c>
      <c r="X524">
        <f t="shared" si="184"/>
        <v>0.10574605104590623</v>
      </c>
      <c r="Y524">
        <f t="shared" si="185"/>
        <v>0</v>
      </c>
      <c r="Z524">
        <f t="shared" si="186"/>
        <v>0</v>
      </c>
      <c r="AA524">
        <f t="shared" si="187"/>
        <v>0</v>
      </c>
      <c r="AB524">
        <f t="shared" si="188"/>
        <v>0</v>
      </c>
      <c r="AC524">
        <f t="shared" si="189"/>
        <v>5.2060618361283062E-2</v>
      </c>
      <c r="AD524">
        <f t="shared" si="190"/>
        <v>0</v>
      </c>
      <c r="AE524">
        <f t="shared" si="191"/>
        <v>0</v>
      </c>
      <c r="AG524">
        <f t="shared" si="192"/>
        <v>-7.028444985439318E-2</v>
      </c>
      <c r="AH524">
        <f t="shared" si="193"/>
        <v>0.10630853004083127</v>
      </c>
      <c r="AI524">
        <f t="shared" si="194"/>
        <v>-1.0132902446113174</v>
      </c>
      <c r="AK524" s="26">
        <f t="shared" si="195"/>
        <v>-2.3043032343903758E-2</v>
      </c>
      <c r="AL524" s="26">
        <f t="shared" si="196"/>
        <v>-4.0461873676764945E-2</v>
      </c>
      <c r="AM524" s="26">
        <f t="shared" si="197"/>
        <v>-2.9106870965499479E-2</v>
      </c>
      <c r="AN524" s="26">
        <f t="shared" si="198"/>
        <v>18.272698412698396</v>
      </c>
      <c r="AO524" s="26">
        <f t="shared" si="199"/>
        <v>16.726024096385558</v>
      </c>
      <c r="AP524" s="26">
        <f t="shared" si="200"/>
        <v>12.288395000131274</v>
      </c>
      <c r="AS524" s="2">
        <v>44956</v>
      </c>
      <c r="AT524">
        <v>9.3000000000000007</v>
      </c>
      <c r="AU524">
        <v>47</v>
      </c>
      <c r="AV524">
        <v>53.2</v>
      </c>
      <c r="AW524">
        <v>23.7</v>
      </c>
      <c r="AX524">
        <v>32.65</v>
      </c>
      <c r="AY524">
        <v>0.8</v>
      </c>
      <c r="AZ524">
        <v>2.9</v>
      </c>
      <c r="BA524">
        <v>185.87270000000001</v>
      </c>
      <c r="BB524">
        <v>98.927099999999996</v>
      </c>
      <c r="BC524">
        <v>124.20610000000001</v>
      </c>
      <c r="BD524">
        <v>4.7176999999999998</v>
      </c>
      <c r="BE524">
        <v>28.927900000000001</v>
      </c>
      <c r="BF524">
        <v>-20.015999999999998</v>
      </c>
      <c r="BG524">
        <v>-1.3361000000000001</v>
      </c>
      <c r="BH524">
        <v>72.599999999999994</v>
      </c>
    </row>
    <row r="525" spans="1:60" x14ac:dyDescent="0.25">
      <c r="A525" s="2">
        <v>44976</v>
      </c>
      <c r="B525">
        <v>9.6999999999999993</v>
      </c>
      <c r="C525">
        <v>5.4</v>
      </c>
      <c r="D525">
        <v>33.799999999999997</v>
      </c>
      <c r="E525">
        <v>10.7</v>
      </c>
      <c r="F525">
        <v>73.3</v>
      </c>
      <c r="G525">
        <v>0.6</v>
      </c>
      <c r="H525">
        <v>3.2</v>
      </c>
      <c r="I525">
        <v>197.58690000000001</v>
      </c>
      <c r="J525">
        <v>50.690800000000003</v>
      </c>
      <c r="K525">
        <v>65.395899999999997</v>
      </c>
      <c r="L525">
        <v>3.4314</v>
      </c>
      <c r="M525">
        <v>24.626799999999999</v>
      </c>
      <c r="P525">
        <v>64.040000000000006</v>
      </c>
      <c r="S525">
        <f t="shared" si="179"/>
        <v>478.43179999999995</v>
      </c>
      <c r="T525">
        <f t="shared" si="180"/>
        <v>9.0934104179547018E-3</v>
      </c>
      <c r="U525">
        <f t="shared" si="181"/>
        <v>5.0623109543252989E-3</v>
      </c>
      <c r="V525">
        <f t="shared" si="182"/>
        <v>3.1686316714110201E-2</v>
      </c>
      <c r="W525">
        <f t="shared" si="183"/>
        <v>1.0030875409496424E-2</v>
      </c>
      <c r="X525">
        <f t="shared" si="184"/>
        <v>6.8716183880008219E-2</v>
      </c>
      <c r="Y525">
        <f t="shared" si="185"/>
        <v>5.6247899492503314E-4</v>
      </c>
      <c r="Z525">
        <f t="shared" si="186"/>
        <v>2.9998879729335104E-3</v>
      </c>
      <c r="AA525">
        <f t="shared" si="187"/>
        <v>0.18523080153725507</v>
      </c>
      <c r="AB525">
        <f t="shared" si="188"/>
        <v>4.7520850393243122E-2</v>
      </c>
      <c r="AC525">
        <f t="shared" si="189"/>
        <v>6.1306366840363287E-2</v>
      </c>
      <c r="AD525">
        <f t="shared" si="190"/>
        <v>3.2168173719762647E-3</v>
      </c>
      <c r="AE525">
        <f t="shared" si="191"/>
        <v>2.3086762853699677E-2</v>
      </c>
      <c r="AG525">
        <f t="shared" si="192"/>
        <v>-5.5125653810957569E-2</v>
      </c>
      <c r="AH525">
        <f t="shared" si="193"/>
        <v>0.15123822719745308</v>
      </c>
      <c r="AI525">
        <f t="shared" si="194"/>
        <v>-0.66591156215114866</v>
      </c>
      <c r="AK525" s="26">
        <f t="shared" si="195"/>
        <v>-1.6384468499647337E-2</v>
      </c>
      <c r="AL525" s="26">
        <f t="shared" si="196"/>
        <v>-3.8051042819558109E-2</v>
      </c>
      <c r="AM525" s="26">
        <f t="shared" si="197"/>
        <v>-2.8068705402774174E-2</v>
      </c>
      <c r="AN525" s="26">
        <f t="shared" si="198"/>
        <v>18.231904761904772</v>
      </c>
      <c r="AO525" s="26">
        <f t="shared" si="199"/>
        <v>16.551428571428566</v>
      </c>
      <c r="AP525" s="26">
        <f t="shared" si="200"/>
        <v>12.162173787453042</v>
      </c>
      <c r="AS525" s="2">
        <v>44955</v>
      </c>
      <c r="AU525">
        <v>29.8</v>
      </c>
      <c r="AX525">
        <v>32.79</v>
      </c>
      <c r="BC525">
        <v>139.62209999999999</v>
      </c>
      <c r="BH525">
        <v>73.180000000000007</v>
      </c>
    </row>
    <row r="526" spans="1:60" x14ac:dyDescent="0.25">
      <c r="A526" s="2">
        <v>44975</v>
      </c>
      <c r="B526">
        <v>9.3000000000000007</v>
      </c>
      <c r="C526">
        <v>0</v>
      </c>
      <c r="D526">
        <v>38.700000000000003</v>
      </c>
      <c r="E526">
        <v>19.899999999999999</v>
      </c>
      <c r="F526">
        <v>45.64</v>
      </c>
      <c r="K526">
        <v>41.436300000000003</v>
      </c>
      <c r="P526">
        <v>64.17</v>
      </c>
      <c r="S526">
        <f t="shared" si="179"/>
        <v>154.97630000000001</v>
      </c>
      <c r="T526">
        <f t="shared" si="180"/>
        <v>8.7184244213380137E-3</v>
      </c>
      <c r="U526">
        <f t="shared" si="181"/>
        <v>0</v>
      </c>
      <c r="V526">
        <f t="shared" si="182"/>
        <v>3.6279895172664639E-2</v>
      </c>
      <c r="W526">
        <f t="shared" si="183"/>
        <v>1.8655553331680265E-2</v>
      </c>
      <c r="X526">
        <f t="shared" si="184"/>
        <v>4.2785902213964187E-2</v>
      </c>
      <c r="Y526">
        <f t="shared" si="185"/>
        <v>0</v>
      </c>
      <c r="Z526">
        <f t="shared" si="186"/>
        <v>0</v>
      </c>
      <c r="AA526">
        <f t="shared" si="187"/>
        <v>0</v>
      </c>
      <c r="AB526">
        <f t="shared" si="188"/>
        <v>0</v>
      </c>
      <c r="AC526">
        <f t="shared" si="189"/>
        <v>3.8845080629020257E-2</v>
      </c>
      <c r="AD526">
        <f t="shared" si="190"/>
        <v>0</v>
      </c>
      <c r="AE526">
        <f t="shared" si="191"/>
        <v>0</v>
      </c>
      <c r="AG526">
        <f t="shared" si="192"/>
        <v>-4.5017846036626369E-2</v>
      </c>
      <c r="AH526">
        <f t="shared" si="193"/>
        <v>0.10643977513964711</v>
      </c>
      <c r="AI526">
        <f t="shared" si="194"/>
        <v>-1.0161592791817937</v>
      </c>
      <c r="AK526" s="26">
        <f t="shared" si="195"/>
        <v>-1.7867218187737455E-2</v>
      </c>
      <c r="AL526" s="26">
        <f t="shared" si="196"/>
        <v>-3.6717916956693478E-2</v>
      </c>
      <c r="AM526" s="26">
        <f t="shared" si="197"/>
        <v>-2.8602856384809819E-2</v>
      </c>
      <c r="AN526" s="26">
        <f t="shared" si="198"/>
        <v>18.201904761904771</v>
      </c>
      <c r="AO526" s="26">
        <f t="shared" si="199"/>
        <v>16.373171256454391</v>
      </c>
      <c r="AP526" s="26">
        <f t="shared" si="200"/>
        <v>12.032689792810018</v>
      </c>
      <c r="AS526" s="2">
        <v>44954</v>
      </c>
      <c r="AU526">
        <v>255.3</v>
      </c>
      <c r="AX526">
        <v>24.95</v>
      </c>
      <c r="BC526">
        <v>187.72829999999999</v>
      </c>
      <c r="BH526">
        <v>73.7</v>
      </c>
    </row>
    <row r="527" spans="1:60" x14ac:dyDescent="0.25">
      <c r="A527" s="2">
        <v>44974</v>
      </c>
      <c r="C527">
        <v>1.2</v>
      </c>
      <c r="F527">
        <v>38.03</v>
      </c>
      <c r="K527">
        <v>48.012999999999998</v>
      </c>
      <c r="N527">
        <v>-12.7987</v>
      </c>
      <c r="O527">
        <v>-10.170999999999999</v>
      </c>
      <c r="P527">
        <v>64.27</v>
      </c>
      <c r="S527">
        <f t="shared" si="179"/>
        <v>87.242999999999995</v>
      </c>
      <c r="T527">
        <f t="shared" si="180"/>
        <v>0</v>
      </c>
      <c r="U527">
        <f t="shared" si="181"/>
        <v>1.1249579898500663E-3</v>
      </c>
      <c r="V527">
        <f t="shared" si="182"/>
        <v>0</v>
      </c>
      <c r="W527">
        <f t="shared" si="183"/>
        <v>0</v>
      </c>
      <c r="X527">
        <f t="shared" si="184"/>
        <v>3.5651793628331686E-2</v>
      </c>
      <c r="Y527">
        <f t="shared" si="185"/>
        <v>0</v>
      </c>
      <c r="Z527">
        <f t="shared" si="186"/>
        <v>0</v>
      </c>
      <c r="AA527">
        <f t="shared" si="187"/>
        <v>0</v>
      </c>
      <c r="AB527">
        <f t="shared" si="188"/>
        <v>0</v>
      </c>
      <c r="AC527">
        <f t="shared" si="189"/>
        <v>4.5010506638892694E-2</v>
      </c>
      <c r="AD527">
        <f t="shared" si="190"/>
        <v>0</v>
      </c>
      <c r="AE527">
        <f t="shared" si="191"/>
        <v>0</v>
      </c>
      <c r="AG527">
        <f t="shared" si="192"/>
        <v>-3.6305122389063478E-2</v>
      </c>
      <c r="AH527">
        <f t="shared" si="193"/>
        <v>3.6776751618181752E-2</v>
      </c>
      <c r="AI527">
        <f t="shared" si="194"/>
        <v>-1.5609692978281919</v>
      </c>
      <c r="AK527" s="26">
        <f t="shared" si="195"/>
        <v>-7.4311183275082848E-3</v>
      </c>
      <c r="AL527" s="26">
        <f t="shared" si="196"/>
        <v>-3.5743678811721039E-2</v>
      </c>
      <c r="AM527" s="26">
        <f t="shared" si="197"/>
        <v>-2.8422033968979618E-2</v>
      </c>
      <c r="AN527" s="26">
        <f t="shared" si="198"/>
        <v>18.178888888888899</v>
      </c>
      <c r="AO527" s="26">
        <f t="shared" si="199"/>
        <v>16.192738812392406</v>
      </c>
      <c r="AP527" s="26">
        <f t="shared" si="200"/>
        <v>11.903841548278635</v>
      </c>
      <c r="AS527" s="2">
        <v>44953</v>
      </c>
      <c r="AU527">
        <v>38.200000000000003</v>
      </c>
      <c r="AX527">
        <v>18.489999999999998</v>
      </c>
      <c r="BC527">
        <v>204.74010000000001</v>
      </c>
      <c r="BF527">
        <v>-20.700500000000002</v>
      </c>
      <c r="BG527">
        <v>-1.7658</v>
      </c>
      <c r="BH527">
        <v>74.28</v>
      </c>
    </row>
    <row r="528" spans="1:60" x14ac:dyDescent="0.25">
      <c r="A528" s="2">
        <v>44973</v>
      </c>
      <c r="C528">
        <v>2</v>
      </c>
      <c r="F528">
        <v>109.56</v>
      </c>
      <c r="K528">
        <v>112.79649999999999</v>
      </c>
      <c r="N528">
        <v>-14.507199999999999</v>
      </c>
      <c r="O528">
        <v>-7.2671000000000001</v>
      </c>
      <c r="P528">
        <v>64.52</v>
      </c>
      <c r="S528">
        <f t="shared" si="179"/>
        <v>224.35649999999998</v>
      </c>
      <c r="T528">
        <f t="shared" si="180"/>
        <v>0</v>
      </c>
      <c r="U528">
        <f t="shared" si="181"/>
        <v>1.8749299830834439E-3</v>
      </c>
      <c r="V528">
        <f t="shared" si="182"/>
        <v>0</v>
      </c>
      <c r="W528">
        <f t="shared" si="183"/>
        <v>0</v>
      </c>
      <c r="X528">
        <f t="shared" si="184"/>
        <v>0.10270866447331105</v>
      </c>
      <c r="Y528">
        <f t="shared" si="185"/>
        <v>0</v>
      </c>
      <c r="Z528">
        <f t="shared" si="186"/>
        <v>0</v>
      </c>
      <c r="AA528">
        <f t="shared" si="187"/>
        <v>0</v>
      </c>
      <c r="AB528">
        <f t="shared" si="188"/>
        <v>0</v>
      </c>
      <c r="AC528">
        <f t="shared" si="189"/>
        <v>0.10574276991843583</v>
      </c>
      <c r="AD528">
        <f t="shared" si="190"/>
        <v>0</v>
      </c>
      <c r="AE528">
        <f t="shared" si="191"/>
        <v>0</v>
      </c>
      <c r="AG528">
        <f t="shared" si="192"/>
        <v>-2.0736417675956662E-2</v>
      </c>
      <c r="AH528">
        <f t="shared" si="193"/>
        <v>0.10458359445639449</v>
      </c>
      <c r="AI528">
        <f t="shared" si="194"/>
        <v>-1.0398413550719152</v>
      </c>
      <c r="AK528" s="26">
        <f t="shared" si="195"/>
        <v>-5.6468322808689575E-3</v>
      </c>
      <c r="AL528" s="26">
        <f t="shared" si="196"/>
        <v>-3.5260158894846114E-2</v>
      </c>
      <c r="AM528" s="26">
        <f t="shared" si="197"/>
        <v>-2.6807861339274972E-2</v>
      </c>
      <c r="AN528" s="26">
        <f t="shared" si="198"/>
        <v>18.162380952380964</v>
      </c>
      <c r="AO528" s="26">
        <f t="shared" si="199"/>
        <v>16.011017641996531</v>
      </c>
      <c r="AP528" s="26">
        <f t="shared" si="200"/>
        <v>11.775363567133169</v>
      </c>
      <c r="AS528" s="2">
        <v>44952</v>
      </c>
      <c r="AU528">
        <v>22.5</v>
      </c>
      <c r="AX528">
        <v>11.96</v>
      </c>
      <c r="BC528">
        <v>224.3494</v>
      </c>
      <c r="BF528">
        <v>-19.285900000000002</v>
      </c>
      <c r="BG528">
        <v>-0.37159999999999999</v>
      </c>
      <c r="BH528">
        <v>74.989999999999995</v>
      </c>
    </row>
    <row r="529" spans="1:60" x14ac:dyDescent="0.25">
      <c r="A529" s="2">
        <v>44972</v>
      </c>
      <c r="B529">
        <v>10.3</v>
      </c>
      <c r="C529">
        <v>36.1</v>
      </c>
      <c r="D529">
        <v>18.3</v>
      </c>
      <c r="E529">
        <v>2.6</v>
      </c>
      <c r="F529">
        <v>112.74</v>
      </c>
      <c r="G529">
        <v>0.9</v>
      </c>
      <c r="H529">
        <v>3.2</v>
      </c>
      <c r="I529">
        <v>380.66379999999998</v>
      </c>
      <c r="J529">
        <v>273.2131</v>
      </c>
      <c r="K529">
        <v>158.72579999999999</v>
      </c>
      <c r="L529">
        <v>3.492</v>
      </c>
      <c r="M529">
        <v>24.217700000000001</v>
      </c>
      <c r="N529">
        <v>-14.9125</v>
      </c>
      <c r="O529">
        <v>-1.3633999999999999</v>
      </c>
      <c r="P529">
        <v>64.87</v>
      </c>
      <c r="S529">
        <f t="shared" si="179"/>
        <v>1024.4523999999997</v>
      </c>
      <c r="T529">
        <f t="shared" si="180"/>
        <v>9.6558894128797364E-3</v>
      </c>
      <c r="U529">
        <f t="shared" si="181"/>
        <v>3.3842486194656164E-2</v>
      </c>
      <c r="V529">
        <f t="shared" si="182"/>
        <v>1.7155609345213513E-2</v>
      </c>
      <c r="W529">
        <f t="shared" si="183"/>
        <v>2.437408978008477E-3</v>
      </c>
      <c r="X529">
        <f t="shared" si="184"/>
        <v>0.10568980314641373</v>
      </c>
      <c r="Y529">
        <f t="shared" si="185"/>
        <v>8.4371849238754971E-4</v>
      </c>
      <c r="Z529">
        <f t="shared" si="186"/>
        <v>2.9998879729335104E-3</v>
      </c>
      <c r="AA529">
        <f t="shared" si="187"/>
        <v>0.3568589860472397</v>
      </c>
      <c r="AB529">
        <f t="shared" si="188"/>
        <v>0.25612771648058763</v>
      </c>
      <c r="AC529">
        <f t="shared" si="189"/>
        <v>0.14879988075445302</v>
      </c>
      <c r="AD529">
        <f t="shared" si="190"/>
        <v>3.2736277504636928E-3</v>
      </c>
      <c r="AE529">
        <f t="shared" si="191"/>
        <v>2.2703245925659959E-2</v>
      </c>
      <c r="AG529">
        <f t="shared" si="192"/>
        <v>-5.9289780146081904E-4</v>
      </c>
      <c r="AH529">
        <f t="shared" si="193"/>
        <v>0.19532804946815263</v>
      </c>
      <c r="AI529">
        <f t="shared" si="194"/>
        <v>-0.33238249643227502</v>
      </c>
      <c r="AK529" s="26">
        <f t="shared" si="195"/>
        <v>-7.1488624989517191E-3</v>
      </c>
      <c r="AL529" s="26">
        <f t="shared" si="196"/>
        <v>-3.4435780155981893E-2</v>
      </c>
      <c r="AM529" s="26">
        <f t="shared" si="197"/>
        <v>-2.6432084859848895E-2</v>
      </c>
      <c r="AN529" s="26">
        <f t="shared" si="198"/>
        <v>18.154444444444451</v>
      </c>
      <c r="AO529" s="26">
        <f t="shared" si="199"/>
        <v>15.82645223752148</v>
      </c>
      <c r="AP529" s="26">
        <f t="shared" si="200"/>
        <v>11.646460964785518</v>
      </c>
      <c r="AS529" s="2">
        <v>44951</v>
      </c>
      <c r="AU529">
        <v>71</v>
      </c>
      <c r="AX529">
        <v>9.16</v>
      </c>
      <c r="BC529">
        <v>244.93340000000001</v>
      </c>
      <c r="BF529">
        <v>-26.1952</v>
      </c>
      <c r="BG529">
        <v>-2.4529000000000001</v>
      </c>
      <c r="BH529">
        <v>75.63</v>
      </c>
    </row>
    <row r="530" spans="1:60" x14ac:dyDescent="0.25">
      <c r="A530" s="2">
        <v>44971</v>
      </c>
      <c r="C530">
        <v>0.6</v>
      </c>
      <c r="F530">
        <v>56.33</v>
      </c>
      <c r="K530">
        <v>199.49600000000001</v>
      </c>
      <c r="N530">
        <v>-13.3332</v>
      </c>
      <c r="O530">
        <v>0.46289999999999998</v>
      </c>
      <c r="P530">
        <v>65.28</v>
      </c>
      <c r="S530">
        <f t="shared" si="179"/>
        <v>256.42599999999999</v>
      </c>
      <c r="T530">
        <f t="shared" si="180"/>
        <v>0</v>
      </c>
      <c r="U530">
        <f t="shared" si="181"/>
        <v>5.6247899492503314E-4</v>
      </c>
      <c r="V530">
        <f t="shared" si="182"/>
        <v>0</v>
      </c>
      <c r="W530">
        <f t="shared" si="183"/>
        <v>0</v>
      </c>
      <c r="X530">
        <f t="shared" si="184"/>
        <v>5.2807402973545192E-2</v>
      </c>
      <c r="Y530">
        <f t="shared" si="185"/>
        <v>0</v>
      </c>
      <c r="Z530">
        <f t="shared" si="186"/>
        <v>0</v>
      </c>
      <c r="AA530">
        <f t="shared" si="187"/>
        <v>0</v>
      </c>
      <c r="AB530">
        <f t="shared" si="188"/>
        <v>0</v>
      </c>
      <c r="AC530">
        <f t="shared" si="189"/>
        <v>0.18702051595260735</v>
      </c>
      <c r="AD530">
        <f t="shared" si="190"/>
        <v>0</v>
      </c>
      <c r="AE530">
        <f t="shared" si="191"/>
        <v>0</v>
      </c>
      <c r="AG530">
        <f t="shared" si="192"/>
        <v>2.2292014338049167E-2</v>
      </c>
      <c r="AH530">
        <f t="shared" si="193"/>
        <v>5.3369881968470229E-2</v>
      </c>
      <c r="AI530">
        <f t="shared" si="194"/>
        <v>-1.4408291046827564</v>
      </c>
      <c r="AK530" s="26">
        <f t="shared" si="195"/>
        <v>-8.6095014055985186E-3</v>
      </c>
      <c r="AL530" s="26">
        <f t="shared" si="196"/>
        <v>-3.460993285400539E-2</v>
      </c>
      <c r="AM530" s="26">
        <f t="shared" si="197"/>
        <v>-2.661986288877384E-2</v>
      </c>
      <c r="AN530" s="26">
        <f t="shared" si="198"/>
        <v>18.148412698412713</v>
      </c>
      <c r="AO530" s="26">
        <f t="shared" si="199"/>
        <v>15.638448795180665</v>
      </c>
      <c r="AP530" s="26">
        <f t="shared" si="200"/>
        <v>11.517640818255742</v>
      </c>
      <c r="AS530" s="2">
        <v>44950</v>
      </c>
      <c r="AU530">
        <v>35.1</v>
      </c>
      <c r="AX530">
        <v>14.55</v>
      </c>
      <c r="BC530">
        <v>200.7251</v>
      </c>
      <c r="BF530">
        <v>-19.130299999999998</v>
      </c>
      <c r="BG530">
        <v>1.2256</v>
      </c>
      <c r="BH530">
        <v>76.22</v>
      </c>
    </row>
    <row r="531" spans="1:60" x14ac:dyDescent="0.25">
      <c r="A531" s="2">
        <v>44970</v>
      </c>
      <c r="B531">
        <v>9.4</v>
      </c>
      <c r="C531">
        <v>22.6</v>
      </c>
      <c r="D531">
        <v>14.7</v>
      </c>
      <c r="E531">
        <v>2.6</v>
      </c>
      <c r="F531">
        <v>79.69</v>
      </c>
      <c r="G531">
        <v>0.8</v>
      </c>
      <c r="H531">
        <v>3.8</v>
      </c>
      <c r="I531">
        <v>356.80380000000002</v>
      </c>
      <c r="J531">
        <v>264.24959999999999</v>
      </c>
      <c r="K531">
        <v>184.8432</v>
      </c>
      <c r="L531">
        <v>3.48</v>
      </c>
      <c r="M531">
        <v>26.170999999999999</v>
      </c>
      <c r="N531">
        <v>-11.8</v>
      </c>
      <c r="O531">
        <v>2.2984</v>
      </c>
      <c r="P531">
        <v>65.73</v>
      </c>
      <c r="S531">
        <f t="shared" si="179"/>
        <v>969.13760000000013</v>
      </c>
      <c r="T531">
        <f t="shared" si="180"/>
        <v>8.8121709204921871E-3</v>
      </c>
      <c r="U531">
        <f t="shared" si="181"/>
        <v>2.1186708808842915E-2</v>
      </c>
      <c r="V531">
        <f t="shared" si="182"/>
        <v>1.3780735375663312E-2</v>
      </c>
      <c r="W531">
        <f t="shared" si="183"/>
        <v>2.437408978008477E-3</v>
      </c>
      <c r="X531">
        <f t="shared" si="184"/>
        <v>7.4706585175959822E-2</v>
      </c>
      <c r="Y531">
        <f t="shared" si="185"/>
        <v>7.4997199323337759E-4</v>
      </c>
      <c r="Z531">
        <f t="shared" si="186"/>
        <v>3.5623669678585433E-3</v>
      </c>
      <c r="AA531">
        <f t="shared" si="187"/>
        <v>0.33449107134905426</v>
      </c>
      <c r="AB531">
        <f t="shared" si="188"/>
        <v>0.24772474902890337</v>
      </c>
      <c r="AC531">
        <f t="shared" si="189"/>
        <v>0.17328402892454481</v>
      </c>
      <c r="AD531">
        <f t="shared" si="190"/>
        <v>3.2623781705651924E-3</v>
      </c>
      <c r="AE531">
        <f t="shared" si="191"/>
        <v>2.4534396293638402E-2</v>
      </c>
      <c r="AG531">
        <f t="shared" si="192"/>
        <v>4.6998814530095412E-2</v>
      </c>
      <c r="AH531">
        <f t="shared" si="193"/>
        <v>0.14977034451369703</v>
      </c>
      <c r="AI531">
        <f t="shared" si="194"/>
        <v>-0.69258612437100142</v>
      </c>
      <c r="AK531" s="26">
        <f t="shared" si="195"/>
        <v>-7.1962610265320637E-3</v>
      </c>
      <c r="AL531" s="26">
        <f t="shared" si="196"/>
        <v>-3.4027276014274868E-2</v>
      </c>
      <c r="AM531" s="26">
        <f t="shared" si="197"/>
        <v>-2.6247310293380607E-2</v>
      </c>
      <c r="AN531" s="26">
        <f t="shared" si="198"/>
        <v>18.142380952380968</v>
      </c>
      <c r="AO531" s="26">
        <f t="shared" si="199"/>
        <v>15.44760972461269</v>
      </c>
      <c r="AP531" s="26">
        <f t="shared" si="200"/>
        <v>11.389526798140736</v>
      </c>
      <c r="AS531" s="2">
        <v>44949</v>
      </c>
      <c r="AU531">
        <v>78.900000000000006</v>
      </c>
      <c r="AX531">
        <v>14.08</v>
      </c>
      <c r="BC531">
        <v>239.70429999999999</v>
      </c>
      <c r="BF531">
        <v>-23.796700000000001</v>
      </c>
      <c r="BG531">
        <v>5.6363000000000003</v>
      </c>
      <c r="BH531">
        <v>77.03</v>
      </c>
    </row>
    <row r="532" spans="1:60" x14ac:dyDescent="0.25">
      <c r="A532" s="2">
        <v>44969</v>
      </c>
      <c r="B532">
        <v>9.1</v>
      </c>
      <c r="C532">
        <v>0</v>
      </c>
      <c r="D532">
        <v>18.3</v>
      </c>
      <c r="E532">
        <v>3.7</v>
      </c>
      <c r="F532">
        <v>57.84</v>
      </c>
      <c r="G532">
        <v>0.9</v>
      </c>
      <c r="H532">
        <v>3.7</v>
      </c>
      <c r="I532">
        <v>349.54160000000002</v>
      </c>
      <c r="J532">
        <v>210.35140000000001</v>
      </c>
      <c r="K532">
        <v>105.58159999999999</v>
      </c>
      <c r="L532">
        <v>3.4761000000000002</v>
      </c>
      <c r="M532">
        <v>12.664099999999999</v>
      </c>
      <c r="P532">
        <v>66.180000000000007</v>
      </c>
      <c r="S532">
        <f t="shared" si="179"/>
        <v>775.15479999999991</v>
      </c>
      <c r="T532">
        <f t="shared" si="180"/>
        <v>8.5309314230296689E-3</v>
      </c>
      <c r="U532">
        <f t="shared" si="181"/>
        <v>0</v>
      </c>
      <c r="V532">
        <f t="shared" si="182"/>
        <v>1.7155609345213513E-2</v>
      </c>
      <c r="W532">
        <f t="shared" si="183"/>
        <v>3.4686204687043713E-3</v>
      </c>
      <c r="X532">
        <f t="shared" si="184"/>
        <v>5.4222975110773196E-2</v>
      </c>
      <c r="Y532">
        <f t="shared" si="185"/>
        <v>8.4371849238754971E-4</v>
      </c>
      <c r="Z532">
        <f t="shared" si="186"/>
        <v>3.4686204687043713E-3</v>
      </c>
      <c r="AA532">
        <f t="shared" si="187"/>
        <v>0.32768301308747994</v>
      </c>
      <c r="AB532">
        <f t="shared" si="188"/>
        <v>0.19719707342178938</v>
      </c>
      <c r="AC532">
        <f t="shared" si="189"/>
        <v>9.8979053750961457E-2</v>
      </c>
      <c r="AD532">
        <f t="shared" si="190"/>
        <v>3.2587220570981798E-3</v>
      </c>
      <c r="AE532">
        <f t="shared" si="191"/>
        <v>1.1872150399383521E-2</v>
      </c>
      <c r="AG532">
        <f t="shared" si="192"/>
        <v>7.1698395594493952E-2</v>
      </c>
      <c r="AH532">
        <f t="shared" si="193"/>
        <v>9.9562625708196198E-2</v>
      </c>
      <c r="AI532">
        <f t="shared" si="194"/>
        <v>-1.0879479117853073</v>
      </c>
      <c r="AK532" s="26">
        <f t="shared" si="195"/>
        <v>-9.0915875693600157E-3</v>
      </c>
      <c r="AL532" s="26">
        <f t="shared" si="196"/>
        <v>-3.3625274991377976E-2</v>
      </c>
      <c r="AM532" s="26">
        <f t="shared" si="197"/>
        <v>-2.5992408104445919E-2</v>
      </c>
      <c r="AN532" s="26">
        <f t="shared" si="198"/>
        <v>18.148730158730174</v>
      </c>
      <c r="AO532" s="26">
        <f t="shared" si="199"/>
        <v>15.258737091221981</v>
      </c>
      <c r="AP532" s="26">
        <f t="shared" si="200"/>
        <v>11.260526509282769</v>
      </c>
      <c r="AS532" s="2">
        <v>44948</v>
      </c>
      <c r="AU532">
        <v>22.8</v>
      </c>
      <c r="AX532">
        <v>11.28</v>
      </c>
      <c r="BC532">
        <v>124.0989</v>
      </c>
      <c r="BH532">
        <v>77.8</v>
      </c>
    </row>
    <row r="533" spans="1:60" x14ac:dyDescent="0.25">
      <c r="A533" s="2">
        <v>44968</v>
      </c>
      <c r="C533">
        <v>1.3</v>
      </c>
      <c r="F533">
        <v>54.53</v>
      </c>
      <c r="K533">
        <v>81.231200000000001</v>
      </c>
      <c r="P533">
        <v>66.540000000000006</v>
      </c>
      <c r="S533">
        <f t="shared" si="179"/>
        <v>137.06119999999999</v>
      </c>
      <c r="T533">
        <f t="shared" si="180"/>
        <v>0</v>
      </c>
      <c r="U533">
        <f t="shared" si="181"/>
        <v>1.2187044890042385E-3</v>
      </c>
      <c r="V533">
        <f t="shared" si="182"/>
        <v>0</v>
      </c>
      <c r="W533">
        <f t="shared" si="183"/>
        <v>0</v>
      </c>
      <c r="X533">
        <f t="shared" si="184"/>
        <v>5.1119965988770097E-2</v>
      </c>
      <c r="Y533">
        <f t="shared" si="185"/>
        <v>0</v>
      </c>
      <c r="Z533">
        <f t="shared" si="186"/>
        <v>0</v>
      </c>
      <c r="AA533">
        <f t="shared" si="187"/>
        <v>0</v>
      </c>
      <c r="AB533">
        <f t="shared" si="188"/>
        <v>0</v>
      </c>
      <c r="AC533">
        <f t="shared" si="189"/>
        <v>7.6151406220923923E-2</v>
      </c>
      <c r="AD533">
        <f t="shared" si="190"/>
        <v>0</v>
      </c>
      <c r="AE533">
        <f t="shared" si="191"/>
        <v>0</v>
      </c>
      <c r="AG533">
        <f t="shared" si="192"/>
        <v>9.2282887250460466E-2</v>
      </c>
      <c r="AH533">
        <f t="shared" si="193"/>
        <v>5.2338670477774338E-2</v>
      </c>
      <c r="AI533">
        <f t="shared" si="194"/>
        <v>-1.4629923146929829</v>
      </c>
      <c r="AK533" s="26">
        <f t="shared" si="195"/>
        <v>-1.3272904637586458E-2</v>
      </c>
      <c r="AL533" s="26">
        <f t="shared" si="196"/>
        <v>-3.315917661491348E-2</v>
      </c>
      <c r="AM533" s="26">
        <f t="shared" si="197"/>
        <v>-2.6473448596578575E-2</v>
      </c>
      <c r="AN533" s="26">
        <f t="shared" si="198"/>
        <v>18.168253968253985</v>
      </c>
      <c r="AO533" s="26">
        <f t="shared" si="199"/>
        <v>15.075002151462954</v>
      </c>
      <c r="AP533" s="26">
        <f t="shared" si="200"/>
        <v>11.130730548042266</v>
      </c>
      <c r="AS533" s="2">
        <v>44947</v>
      </c>
      <c r="AU533">
        <v>0</v>
      </c>
      <c r="AX533">
        <v>17.760000000000002</v>
      </c>
      <c r="BC533">
        <v>108.5484</v>
      </c>
      <c r="BH533">
        <v>78.349999999999994</v>
      </c>
    </row>
    <row r="534" spans="1:60" x14ac:dyDescent="0.25">
      <c r="A534" s="2">
        <v>44967</v>
      </c>
      <c r="C534">
        <v>1.1000000000000001</v>
      </c>
      <c r="F534">
        <v>110.33</v>
      </c>
      <c r="K534">
        <v>147.06890000000001</v>
      </c>
      <c r="N534">
        <v>-11.742699999999999</v>
      </c>
      <c r="O534">
        <v>4.5126999999999997</v>
      </c>
      <c r="P534">
        <v>66.97</v>
      </c>
      <c r="S534">
        <f t="shared" si="179"/>
        <v>258.49889999999999</v>
      </c>
      <c r="T534">
        <f t="shared" si="180"/>
        <v>0</v>
      </c>
      <c r="U534">
        <f t="shared" si="181"/>
        <v>1.0312114906958943E-3</v>
      </c>
      <c r="V534">
        <f t="shared" si="182"/>
        <v>0</v>
      </c>
      <c r="W534">
        <f t="shared" si="183"/>
        <v>0</v>
      </c>
      <c r="X534">
        <f t="shared" si="184"/>
        <v>0.10343051251679818</v>
      </c>
      <c r="Y534">
        <f t="shared" si="185"/>
        <v>0</v>
      </c>
      <c r="Z534">
        <f t="shared" si="186"/>
        <v>0</v>
      </c>
      <c r="AA534">
        <f t="shared" si="187"/>
        <v>0</v>
      </c>
      <c r="AB534">
        <f t="shared" si="188"/>
        <v>0</v>
      </c>
      <c r="AC534">
        <f t="shared" si="189"/>
        <v>0.13787194509455036</v>
      </c>
      <c r="AD534">
        <f t="shared" si="190"/>
        <v>0</v>
      </c>
      <c r="AE534">
        <f t="shared" si="191"/>
        <v>0</v>
      </c>
      <c r="AG534">
        <f t="shared" si="192"/>
        <v>0.11605646226003456</v>
      </c>
      <c r="AH534">
        <f t="shared" si="193"/>
        <v>0.10446172400749407</v>
      </c>
      <c r="AI534">
        <f t="shared" si="194"/>
        <v>-1.0582971809244643</v>
      </c>
      <c r="AK534" s="26">
        <f t="shared" si="195"/>
        <v>-1.6697476156005697E-2</v>
      </c>
      <c r="AL534" s="26">
        <f t="shared" si="196"/>
        <v>-3.2864273847568209E-2</v>
      </c>
      <c r="AM534" s="26">
        <f t="shared" si="197"/>
        <v>-2.6605023532608338E-2</v>
      </c>
      <c r="AN534" s="26">
        <f t="shared" si="198"/>
        <v>18.195238095238125</v>
      </c>
      <c r="AO534" s="26">
        <f t="shared" si="199"/>
        <v>14.89729130808945</v>
      </c>
      <c r="AP534" s="26">
        <f t="shared" si="200"/>
        <v>11.00126125889544</v>
      </c>
      <c r="AS534" s="2">
        <v>44946</v>
      </c>
      <c r="AU534">
        <v>0.9</v>
      </c>
      <c r="AX534">
        <v>25.78</v>
      </c>
      <c r="BC534">
        <v>167.8552</v>
      </c>
      <c r="BF534">
        <v>-24.481400000000001</v>
      </c>
      <c r="BG534">
        <v>6.0585000000000004</v>
      </c>
      <c r="BH534">
        <v>78.88</v>
      </c>
    </row>
    <row r="535" spans="1:60" x14ac:dyDescent="0.25">
      <c r="A535" s="2">
        <v>44966</v>
      </c>
      <c r="B535">
        <v>10.1</v>
      </c>
      <c r="C535">
        <v>3.3</v>
      </c>
      <c r="D535">
        <v>71.099999999999994</v>
      </c>
      <c r="E535">
        <v>12.8</v>
      </c>
      <c r="F535">
        <v>141.9</v>
      </c>
      <c r="G535">
        <v>0.9</v>
      </c>
      <c r="H535">
        <v>3.9</v>
      </c>
      <c r="I535">
        <v>304.45710000000003</v>
      </c>
      <c r="J535">
        <v>208.4853</v>
      </c>
      <c r="K535">
        <v>165.1371</v>
      </c>
      <c r="L535">
        <v>3.641</v>
      </c>
      <c r="M535">
        <v>30.248699999999999</v>
      </c>
      <c r="N535">
        <v>-13.1433</v>
      </c>
      <c r="O535">
        <v>6.0106000000000002</v>
      </c>
      <c r="P535">
        <v>67.55</v>
      </c>
      <c r="S535">
        <f t="shared" si="179"/>
        <v>955.96920000000011</v>
      </c>
      <c r="T535">
        <f t="shared" si="180"/>
        <v>9.4683964145713916E-3</v>
      </c>
      <c r="U535">
        <f t="shared" si="181"/>
        <v>3.0936344720876819E-3</v>
      </c>
      <c r="V535">
        <f t="shared" si="182"/>
        <v>6.6653760898616424E-2</v>
      </c>
      <c r="W535">
        <f t="shared" si="183"/>
        <v>1.1999551891734041E-2</v>
      </c>
      <c r="X535">
        <f t="shared" si="184"/>
        <v>0.13302628229977034</v>
      </c>
      <c r="Y535">
        <f t="shared" si="185"/>
        <v>8.4371849238754971E-4</v>
      </c>
      <c r="Z535">
        <f t="shared" si="186"/>
        <v>3.6561134670127153E-3</v>
      </c>
      <c r="AA535">
        <f t="shared" si="187"/>
        <v>0.28541787267631719</v>
      </c>
      <c r="AB535">
        <f t="shared" si="188"/>
        <v>0.19544767000107335</v>
      </c>
      <c r="AC535">
        <f t="shared" si="189"/>
        <v>0.15481025005472449</v>
      </c>
      <c r="AD535">
        <f t="shared" si="190"/>
        <v>3.4133100342034093E-3</v>
      </c>
      <c r="AE535">
        <f t="shared" si="191"/>
        <v>2.8357097289648085E-2</v>
      </c>
      <c r="AG535">
        <f t="shared" si="192"/>
        <v>0.14667512029384816</v>
      </c>
      <c r="AH535">
        <f t="shared" si="193"/>
        <v>0.25709855522582825</v>
      </c>
      <c r="AI535">
        <f t="shared" si="194"/>
        <v>0.14181752602678269</v>
      </c>
      <c r="AK535" s="26">
        <f t="shared" si="195"/>
        <v>-1.905877636905802E-2</v>
      </c>
      <c r="AL535" s="26">
        <f t="shared" si="196"/>
        <v>-3.3398632765235817E-2</v>
      </c>
      <c r="AM535" s="26">
        <f t="shared" si="197"/>
        <v>-2.5323726157225043E-2</v>
      </c>
      <c r="AN535" s="26">
        <f t="shared" si="198"/>
        <v>18.220634920634915</v>
      </c>
      <c r="AO535" s="26">
        <f t="shared" si="199"/>
        <v>14.722715146299436</v>
      </c>
      <c r="AP535" s="26">
        <f t="shared" si="200"/>
        <v>10.87214726504024</v>
      </c>
      <c r="AS535" s="2">
        <v>44945</v>
      </c>
      <c r="AU535">
        <v>40.9</v>
      </c>
      <c r="AX535">
        <v>37.03</v>
      </c>
      <c r="BC535">
        <v>152.3503</v>
      </c>
      <c r="BF535">
        <v>-8.9177999999999997</v>
      </c>
      <c r="BG535">
        <v>8.7268000000000008</v>
      </c>
      <c r="BH535">
        <v>79.489999999999995</v>
      </c>
    </row>
    <row r="536" spans="1:60" x14ac:dyDescent="0.25">
      <c r="A536" s="2">
        <v>44965</v>
      </c>
      <c r="B536">
        <v>10.8</v>
      </c>
      <c r="C536">
        <v>166.8</v>
      </c>
      <c r="D536">
        <v>33.299999999999997</v>
      </c>
      <c r="E536">
        <v>6.5</v>
      </c>
      <c r="F536">
        <v>153.63</v>
      </c>
      <c r="G536">
        <v>0.9</v>
      </c>
      <c r="H536">
        <v>4</v>
      </c>
      <c r="I536">
        <v>320.49790000000002</v>
      </c>
      <c r="J536">
        <v>255.4444</v>
      </c>
      <c r="K536">
        <v>166.1969</v>
      </c>
      <c r="L536">
        <v>3.8986000000000001</v>
      </c>
      <c r="M536">
        <v>23.187100000000001</v>
      </c>
      <c r="N536">
        <v>-16.786000000000001</v>
      </c>
      <c r="O536">
        <v>2.7637</v>
      </c>
      <c r="P536">
        <v>68.23</v>
      </c>
      <c r="S536">
        <f t="shared" si="179"/>
        <v>1145.1549</v>
      </c>
      <c r="T536">
        <f t="shared" si="180"/>
        <v>1.0124621908650598E-2</v>
      </c>
      <c r="U536">
        <f t="shared" si="181"/>
        <v>0.15636916058915923</v>
      </c>
      <c r="V536">
        <f t="shared" si="182"/>
        <v>3.1217584218339336E-2</v>
      </c>
      <c r="W536">
        <f t="shared" si="183"/>
        <v>6.0935224450211923E-3</v>
      </c>
      <c r="X536">
        <f t="shared" si="184"/>
        <v>0.14402274665055473</v>
      </c>
      <c r="Y536">
        <f t="shared" si="185"/>
        <v>8.4371849238754971E-4</v>
      </c>
      <c r="Z536">
        <f t="shared" si="186"/>
        <v>3.7498599661668877E-3</v>
      </c>
      <c r="AA536">
        <f t="shared" si="187"/>
        <v>0.30045556111263966</v>
      </c>
      <c r="AB536">
        <f t="shared" si="188"/>
        <v>0.23947018228538022</v>
      </c>
      <c r="AC536">
        <f t="shared" si="189"/>
        <v>0.15580377545276039</v>
      </c>
      <c r="AD536">
        <f t="shared" si="190"/>
        <v>3.6548010160245572E-3</v>
      </c>
      <c r="AE536">
        <f t="shared" si="191"/>
        <v>2.1737094505377062E-2</v>
      </c>
      <c r="AG536">
        <f t="shared" si="192"/>
        <v>0.18186458478566386</v>
      </c>
      <c r="AH536">
        <f t="shared" si="193"/>
        <v>0.37415830877565665</v>
      </c>
      <c r="AI536">
        <f t="shared" si="194"/>
        <v>1.0649542295297183</v>
      </c>
      <c r="AK536" s="26">
        <f t="shared" si="195"/>
        <v>-2.7395420404650178E-2</v>
      </c>
      <c r="AL536" s="26">
        <f t="shared" si="196"/>
        <v>-3.5346579694032404E-2</v>
      </c>
      <c r="AM536" s="26">
        <f t="shared" si="197"/>
        <v>-2.6574380221704288E-2</v>
      </c>
      <c r="AN536" s="26">
        <f t="shared" si="198"/>
        <v>18.238888888888901</v>
      </c>
      <c r="AO536" s="26">
        <f t="shared" si="199"/>
        <v>14.550849827882942</v>
      </c>
      <c r="AP536" s="26">
        <f t="shared" si="200"/>
        <v>10.74123184790308</v>
      </c>
      <c r="AS536" s="2">
        <v>44944</v>
      </c>
      <c r="AT536">
        <v>14</v>
      </c>
      <c r="AU536">
        <v>4.4000000000000004</v>
      </c>
      <c r="AV536">
        <v>68</v>
      </c>
      <c r="AW536">
        <v>7.6</v>
      </c>
      <c r="AX536">
        <v>34.92</v>
      </c>
      <c r="AY536">
        <v>0.5</v>
      </c>
      <c r="AZ536">
        <v>3</v>
      </c>
      <c r="BA536">
        <v>330.34769999999997</v>
      </c>
      <c r="BB536">
        <v>244.8493</v>
      </c>
      <c r="BC536">
        <v>166.5052</v>
      </c>
      <c r="BD536">
        <v>2.7252999999999998</v>
      </c>
      <c r="BE536">
        <v>24.492799999999999</v>
      </c>
      <c r="BF536">
        <v>22.688400000000001</v>
      </c>
      <c r="BG536">
        <v>44.112499999999997</v>
      </c>
      <c r="BH536">
        <v>80.09</v>
      </c>
    </row>
    <row r="537" spans="1:60" x14ac:dyDescent="0.25">
      <c r="A537" s="2">
        <v>44964</v>
      </c>
      <c r="B537">
        <v>11.2</v>
      </c>
      <c r="C537">
        <v>20.8</v>
      </c>
      <c r="D537">
        <v>20.2</v>
      </c>
      <c r="E537">
        <v>3.1</v>
      </c>
      <c r="F537">
        <v>136.56</v>
      </c>
      <c r="G537">
        <v>0.9</v>
      </c>
      <c r="H537">
        <v>3.7</v>
      </c>
      <c r="I537">
        <v>330.00920000000002</v>
      </c>
      <c r="J537">
        <v>248.49529999999999</v>
      </c>
      <c r="K537">
        <v>190.78149999999999</v>
      </c>
      <c r="L537">
        <v>3.6808999999999998</v>
      </c>
      <c r="M537">
        <v>33.792000000000002</v>
      </c>
      <c r="N537">
        <v>-17.431699999999999</v>
      </c>
      <c r="O537">
        <v>3.1804999999999999</v>
      </c>
      <c r="P537">
        <v>68.89</v>
      </c>
      <c r="S537">
        <f t="shared" si="179"/>
        <v>1003.2189000000001</v>
      </c>
      <c r="T537">
        <f t="shared" si="180"/>
        <v>1.0499607905267284E-2</v>
      </c>
      <c r="U537">
        <f t="shared" si="181"/>
        <v>1.9499271824067816E-2</v>
      </c>
      <c r="V537">
        <f t="shared" si="182"/>
        <v>1.8936792829142783E-2</v>
      </c>
      <c r="W537">
        <f t="shared" si="183"/>
        <v>2.9061414737793379E-3</v>
      </c>
      <c r="X537">
        <f t="shared" si="184"/>
        <v>0.12802021924493753</v>
      </c>
      <c r="Y537">
        <f t="shared" si="185"/>
        <v>8.4371849238754971E-4</v>
      </c>
      <c r="Z537">
        <f t="shared" si="186"/>
        <v>3.4686204687043713E-3</v>
      </c>
      <c r="AA537">
        <f t="shared" si="187"/>
        <v>0.30937207188669041</v>
      </c>
      <c r="AB537">
        <f t="shared" si="188"/>
        <v>0.23295564431265764</v>
      </c>
      <c r="AC537">
        <f t="shared" si="189"/>
        <v>0.17885097728381702</v>
      </c>
      <c r="AD537">
        <f t="shared" si="190"/>
        <v>3.4507148873659239E-3</v>
      </c>
      <c r="AE537">
        <f t="shared" si="191"/>
        <v>3.1678816994177871E-2</v>
      </c>
      <c r="AG537">
        <f t="shared" si="192"/>
        <v>0.21615428157231795</v>
      </c>
      <c r="AH537">
        <f t="shared" si="193"/>
        <v>0.21585318923246452</v>
      </c>
      <c r="AI537">
        <f t="shared" si="194"/>
        <v>-0.17736596555372761</v>
      </c>
      <c r="AK537" s="26">
        <f t="shared" si="195"/>
        <v>-3.6460321470584395E-2</v>
      </c>
      <c r="AL537" s="26">
        <f t="shared" si="196"/>
        <v>-3.8189388429085633E-2</v>
      </c>
      <c r="AM537" s="26">
        <f t="shared" si="197"/>
        <v>-2.8551314997276783E-2</v>
      </c>
      <c r="AN537" s="26">
        <f t="shared" si="198"/>
        <v>18.241746031746047</v>
      </c>
      <c r="AO537" s="26">
        <f t="shared" si="199"/>
        <v>14.380733648881218</v>
      </c>
      <c r="AP537" s="26">
        <f t="shared" si="200"/>
        <v>10.607124550300597</v>
      </c>
      <c r="AS537" s="2">
        <v>44943</v>
      </c>
      <c r="AU537">
        <v>25.3</v>
      </c>
      <c r="AX537">
        <v>63.82</v>
      </c>
      <c r="BC537">
        <v>130.38810000000001</v>
      </c>
      <c r="BF537">
        <v>-5.3334000000000001</v>
      </c>
      <c r="BG537">
        <v>16.380500000000001</v>
      </c>
      <c r="BH537">
        <v>80.58</v>
      </c>
    </row>
    <row r="538" spans="1:60" x14ac:dyDescent="0.25">
      <c r="A538" s="2">
        <v>44963</v>
      </c>
      <c r="B538">
        <v>10</v>
      </c>
      <c r="C538">
        <v>32.1</v>
      </c>
      <c r="D538">
        <v>7</v>
      </c>
      <c r="E538">
        <v>3.7</v>
      </c>
      <c r="F538">
        <v>51.54</v>
      </c>
      <c r="G538">
        <v>0.9</v>
      </c>
      <c r="H538">
        <v>3.8</v>
      </c>
      <c r="I538">
        <v>348.30509999999998</v>
      </c>
      <c r="J538">
        <v>223.0856</v>
      </c>
      <c r="K538">
        <v>178.8742</v>
      </c>
      <c r="L538">
        <v>3.8675000000000002</v>
      </c>
      <c r="M538">
        <v>33.062100000000001</v>
      </c>
      <c r="N538">
        <v>-18.516200000000001</v>
      </c>
      <c r="O538">
        <v>4.1741000000000001</v>
      </c>
      <c r="P538">
        <v>69.540000000000006</v>
      </c>
      <c r="S538">
        <f t="shared" si="179"/>
        <v>896.23449999999991</v>
      </c>
      <c r="T538">
        <f t="shared" si="180"/>
        <v>9.3746499154172182E-3</v>
      </c>
      <c r="U538">
        <f t="shared" si="181"/>
        <v>3.0092626228489273E-2</v>
      </c>
      <c r="V538">
        <f t="shared" si="182"/>
        <v>6.5622549407920536E-3</v>
      </c>
      <c r="W538">
        <f t="shared" si="183"/>
        <v>3.4686204687043713E-3</v>
      </c>
      <c r="X538">
        <f t="shared" si="184"/>
        <v>4.8316945664060348E-2</v>
      </c>
      <c r="Y538">
        <f t="shared" si="185"/>
        <v>8.4371849238754971E-4</v>
      </c>
      <c r="Z538">
        <f t="shared" si="186"/>
        <v>3.5623669678585433E-3</v>
      </c>
      <c r="AA538">
        <f t="shared" si="187"/>
        <v>0.32652383762543857</v>
      </c>
      <c r="AB538">
        <f t="shared" si="188"/>
        <v>0.20913494011707995</v>
      </c>
      <c r="AC538">
        <f t="shared" si="189"/>
        <v>0.16768830039003227</v>
      </c>
      <c r="AD538">
        <f t="shared" si="190"/>
        <v>3.6256458547876094E-3</v>
      </c>
      <c r="AE538">
        <f t="shared" si="191"/>
        <v>3.0994561296851564E-2</v>
      </c>
      <c r="AG538">
        <f t="shared" si="192"/>
        <v>0.24999726393570754</v>
      </c>
      <c r="AH538">
        <f t="shared" si="193"/>
        <v>0.13321574397456093</v>
      </c>
      <c r="AI538">
        <f t="shared" si="194"/>
        <v>-0.82746990353901817</v>
      </c>
      <c r="AK538" s="26">
        <f t="shared" si="195"/>
        <v>-4.1989228095715633E-2</v>
      </c>
      <c r="AL538" s="26">
        <f t="shared" si="196"/>
        <v>-3.8968246546431981E-2</v>
      </c>
      <c r="AM538" s="26">
        <f t="shared" si="197"/>
        <v>-2.8790875100566063E-2</v>
      </c>
      <c r="AN538" s="26">
        <f t="shared" si="198"/>
        <v>18.22571428571429</v>
      </c>
      <c r="AO538" s="26">
        <f t="shared" si="199"/>
        <v>14.212835628227197</v>
      </c>
      <c r="AP538" s="26">
        <f t="shared" si="200"/>
        <v>10.470508390010693</v>
      </c>
      <c r="AS538" s="2">
        <v>44942</v>
      </c>
      <c r="AU538">
        <v>17.899999999999999</v>
      </c>
      <c r="AX538">
        <v>52.08</v>
      </c>
      <c r="BC538">
        <v>74.992599999999996</v>
      </c>
      <c r="BF538">
        <v>1.1335999999999999</v>
      </c>
      <c r="BG538">
        <v>18.085999999999999</v>
      </c>
      <c r="BH538">
        <v>81.06</v>
      </c>
    </row>
    <row r="539" spans="1:60" x14ac:dyDescent="0.25">
      <c r="A539" s="2">
        <v>44962</v>
      </c>
      <c r="B539">
        <v>10.1</v>
      </c>
      <c r="C539">
        <v>21.2</v>
      </c>
      <c r="D539">
        <v>61.5</v>
      </c>
      <c r="E539">
        <v>6.2</v>
      </c>
      <c r="F539">
        <v>47.86</v>
      </c>
      <c r="G539">
        <v>0.9</v>
      </c>
      <c r="H539">
        <v>3.8</v>
      </c>
      <c r="I539">
        <v>293.38400000000001</v>
      </c>
      <c r="J539">
        <v>151.77709999999999</v>
      </c>
      <c r="K539">
        <v>77.972099999999998</v>
      </c>
      <c r="L539">
        <v>3.6151</v>
      </c>
      <c r="M539">
        <v>9.7396999999999991</v>
      </c>
      <c r="P539">
        <v>70.19</v>
      </c>
      <c r="S539">
        <f t="shared" si="179"/>
        <v>688.048</v>
      </c>
      <c r="T539">
        <f t="shared" si="180"/>
        <v>9.4683964145713916E-3</v>
      </c>
      <c r="U539">
        <f t="shared" si="181"/>
        <v>1.9874257820684502E-2</v>
      </c>
      <c r="V539">
        <f t="shared" si="182"/>
        <v>5.7654096979815897E-2</v>
      </c>
      <c r="W539">
        <f t="shared" si="183"/>
        <v>5.8122829475586758E-3</v>
      </c>
      <c r="X539">
        <f t="shared" si="184"/>
        <v>4.4867074495186808E-2</v>
      </c>
      <c r="Y539">
        <f t="shared" si="185"/>
        <v>8.4371849238754971E-4</v>
      </c>
      <c r="Z539">
        <f t="shared" si="186"/>
        <v>3.5623669678585433E-3</v>
      </c>
      <c r="AA539">
        <f t="shared" si="187"/>
        <v>0.27503722907847655</v>
      </c>
      <c r="AB539">
        <f t="shared" si="188"/>
        <v>0.14228571776772708</v>
      </c>
      <c r="AC539">
        <f t="shared" si="189"/>
        <v>7.3096114066990292E-2</v>
      </c>
      <c r="AD539">
        <f t="shared" si="190"/>
        <v>3.389029690922479E-3</v>
      </c>
      <c r="AE539">
        <f t="shared" si="191"/>
        <v>9.1306277781189084E-3</v>
      </c>
      <c r="AG539">
        <f t="shared" si="192"/>
        <v>0.28384723505327336</v>
      </c>
      <c r="AH539">
        <f t="shared" si="193"/>
        <v>0.15121282189618226</v>
      </c>
      <c r="AI539">
        <f t="shared" si="194"/>
        <v>-0.68567848889768346</v>
      </c>
      <c r="AK539" s="26">
        <f t="shared" si="195"/>
        <v>-4.2611980137438166E-2</v>
      </c>
      <c r="AL539" s="26">
        <f t="shared" si="196"/>
        <v>-3.848849651755111E-2</v>
      </c>
      <c r="AM539" s="26">
        <f t="shared" si="197"/>
        <v>-2.8183244196485741E-2</v>
      </c>
      <c r="AN539" s="26">
        <f t="shared" si="198"/>
        <v>18.18952380952382</v>
      </c>
      <c r="AO539" s="26">
        <f t="shared" si="199"/>
        <v>14.048586488812376</v>
      </c>
      <c r="AP539" s="26">
        <f t="shared" si="200"/>
        <v>10.329248969302199</v>
      </c>
      <c r="AS539" s="2">
        <v>44941</v>
      </c>
      <c r="AT539">
        <v>11.3</v>
      </c>
      <c r="AU539">
        <v>0</v>
      </c>
      <c r="AV539">
        <v>68</v>
      </c>
      <c r="AW539">
        <v>27.1</v>
      </c>
      <c r="AX539">
        <v>25.8</v>
      </c>
      <c r="AY539">
        <v>0.1</v>
      </c>
      <c r="AZ539">
        <v>2.8</v>
      </c>
      <c r="BA539">
        <v>98.2624</v>
      </c>
      <c r="BB539">
        <v>54.691000000000003</v>
      </c>
      <c r="BC539">
        <v>30.0305</v>
      </c>
      <c r="BD539">
        <v>0</v>
      </c>
      <c r="BE539">
        <v>10.6251</v>
      </c>
      <c r="BH539">
        <v>81.48</v>
      </c>
    </row>
    <row r="540" spans="1:60" x14ac:dyDescent="0.25">
      <c r="A540" s="2">
        <v>44961</v>
      </c>
      <c r="C540">
        <v>35.299999999999997</v>
      </c>
      <c r="F540">
        <v>77.98</v>
      </c>
      <c r="K540">
        <v>95.260999999999996</v>
      </c>
      <c r="P540">
        <v>70.5</v>
      </c>
      <c r="S540">
        <f t="shared" si="179"/>
        <v>208.541</v>
      </c>
      <c r="T540">
        <f t="shared" si="180"/>
        <v>0</v>
      </c>
      <c r="U540">
        <f t="shared" si="181"/>
        <v>3.3092514201422778E-2</v>
      </c>
      <c r="V540">
        <f t="shared" si="182"/>
        <v>0</v>
      </c>
      <c r="W540">
        <f t="shared" si="183"/>
        <v>0</v>
      </c>
      <c r="X540">
        <f t="shared" si="184"/>
        <v>7.3103520040423475E-2</v>
      </c>
      <c r="Y540">
        <f t="shared" si="185"/>
        <v>0</v>
      </c>
      <c r="Z540">
        <f t="shared" si="186"/>
        <v>0</v>
      </c>
      <c r="AA540">
        <f t="shared" si="187"/>
        <v>0</v>
      </c>
      <c r="AB540">
        <f t="shared" si="188"/>
        <v>0</v>
      </c>
      <c r="AC540">
        <f t="shared" si="189"/>
        <v>8.9303852559255964E-2</v>
      </c>
      <c r="AD540">
        <f t="shared" si="190"/>
        <v>0</v>
      </c>
      <c r="AE540">
        <f t="shared" si="191"/>
        <v>0</v>
      </c>
      <c r="AG540">
        <f t="shared" si="192"/>
        <v>0.30220021208146269</v>
      </c>
      <c r="AH540">
        <f t="shared" si="193"/>
        <v>0.10619603424184626</v>
      </c>
      <c r="AI540">
        <f t="shared" si="194"/>
        <v>-1.0413706413843198</v>
      </c>
      <c r="AK540" s="26">
        <f t="shared" si="195"/>
        <v>-4.2444434310894286E-2</v>
      </c>
      <c r="AL540" s="26">
        <f t="shared" si="196"/>
        <v>-3.8934437884006509E-2</v>
      </c>
      <c r="AM540" s="26">
        <f t="shared" si="197"/>
        <v>-2.8937448516371839E-2</v>
      </c>
      <c r="AN540" s="26">
        <f t="shared" si="198"/>
        <v>18.131269841269848</v>
      </c>
      <c r="AO540" s="26">
        <f t="shared" si="199"/>
        <v>13.885772375215097</v>
      </c>
      <c r="AP540" s="26">
        <f t="shared" si="200"/>
        <v>10.183438985320706</v>
      </c>
      <c r="AS540" s="2">
        <v>44940</v>
      </c>
      <c r="AU540">
        <v>0</v>
      </c>
      <c r="AX540">
        <v>31.39</v>
      </c>
      <c r="BC540">
        <v>37.402999999999999</v>
      </c>
      <c r="BH540">
        <v>81.69</v>
      </c>
    </row>
    <row r="541" spans="1:60" x14ac:dyDescent="0.25">
      <c r="A541" s="2">
        <v>44960</v>
      </c>
      <c r="C541">
        <v>24.8</v>
      </c>
      <c r="F541">
        <v>23.27</v>
      </c>
      <c r="K541">
        <v>75.253500000000003</v>
      </c>
      <c r="N541">
        <v>-16.1233</v>
      </c>
      <c r="O541">
        <v>6.5994999999999999</v>
      </c>
      <c r="P541">
        <v>70.81</v>
      </c>
      <c r="S541">
        <f t="shared" si="179"/>
        <v>123.3235</v>
      </c>
      <c r="T541">
        <f t="shared" si="180"/>
        <v>0</v>
      </c>
      <c r="U541">
        <f t="shared" si="181"/>
        <v>2.3249131790234703E-2</v>
      </c>
      <c r="V541">
        <f t="shared" si="182"/>
        <v>0</v>
      </c>
      <c r="W541">
        <f t="shared" si="183"/>
        <v>0</v>
      </c>
      <c r="X541">
        <f t="shared" si="184"/>
        <v>2.1814810353175867E-2</v>
      </c>
      <c r="Y541">
        <f t="shared" si="185"/>
        <v>0</v>
      </c>
      <c r="Z541">
        <f t="shared" si="186"/>
        <v>0</v>
      </c>
      <c r="AA541">
        <f t="shared" si="187"/>
        <v>0</v>
      </c>
      <c r="AB541">
        <f t="shared" si="188"/>
        <v>0</v>
      </c>
      <c r="AC541">
        <f t="shared" si="189"/>
        <v>7.054752174098497E-2</v>
      </c>
      <c r="AD541">
        <f t="shared" si="190"/>
        <v>0</v>
      </c>
      <c r="AE541">
        <f t="shared" si="191"/>
        <v>0</v>
      </c>
      <c r="AG541">
        <f t="shared" si="192"/>
        <v>0.32054827180120166</v>
      </c>
      <c r="AH541">
        <f t="shared" si="193"/>
        <v>4.5063942143410571E-2</v>
      </c>
      <c r="AI541">
        <f t="shared" si="194"/>
        <v>-1.5250034344911678</v>
      </c>
      <c r="AK541" s="26">
        <f t="shared" si="195"/>
        <v>-4.634716803246762E-2</v>
      </c>
      <c r="AL541" s="26">
        <f t="shared" si="196"/>
        <v>-4.1042909436219507E-2</v>
      </c>
      <c r="AM541" s="26">
        <f t="shared" si="197"/>
        <v>-2.9773898224604453E-2</v>
      </c>
      <c r="AN541" s="26">
        <f t="shared" si="198"/>
        <v>18.056507936507941</v>
      </c>
      <c r="AO541" s="26">
        <f t="shared" si="199"/>
        <v>13.724249139414766</v>
      </c>
      <c r="AP541" s="26">
        <f t="shared" si="200"/>
        <v>10.035791076914933</v>
      </c>
      <c r="AS541" s="2">
        <v>44939</v>
      </c>
      <c r="AU541">
        <v>0</v>
      </c>
      <c r="AX541">
        <v>36.450000000000003</v>
      </c>
      <c r="BC541">
        <v>62.817599999999999</v>
      </c>
      <c r="BF541">
        <v>-6.4835000000000003</v>
      </c>
      <c r="BG541">
        <v>25.5136</v>
      </c>
      <c r="BH541">
        <v>81.88</v>
      </c>
    </row>
    <row r="542" spans="1:60" x14ac:dyDescent="0.25">
      <c r="A542" s="2">
        <v>44959</v>
      </c>
      <c r="B542">
        <v>9.8000000000000007</v>
      </c>
      <c r="C542">
        <v>54.5</v>
      </c>
      <c r="D542">
        <v>46.8</v>
      </c>
      <c r="E542">
        <v>17.2</v>
      </c>
      <c r="F542">
        <v>31.63</v>
      </c>
      <c r="G542">
        <v>0.9</v>
      </c>
      <c r="H542">
        <v>3.3</v>
      </c>
      <c r="I542">
        <v>264.0172</v>
      </c>
      <c r="J542">
        <v>171.09469999999999</v>
      </c>
      <c r="K542">
        <v>121.7848</v>
      </c>
      <c r="L542">
        <v>3.7989000000000002</v>
      </c>
      <c r="M542">
        <v>26.8841</v>
      </c>
      <c r="N542">
        <v>-18.730499999999999</v>
      </c>
      <c r="O542">
        <v>3.4504000000000001</v>
      </c>
      <c r="P542">
        <v>71.19</v>
      </c>
      <c r="S542">
        <f t="shared" si="179"/>
        <v>751.7097</v>
      </c>
      <c r="T542">
        <f t="shared" si="180"/>
        <v>9.1871569171088751E-3</v>
      </c>
      <c r="U542">
        <f t="shared" si="181"/>
        <v>5.1091842039023845E-2</v>
      </c>
      <c r="V542">
        <f t="shared" si="182"/>
        <v>4.3873361604152582E-2</v>
      </c>
      <c r="W542">
        <f t="shared" si="183"/>
        <v>1.6124397854517615E-2</v>
      </c>
      <c r="X542">
        <f t="shared" si="184"/>
        <v>2.9652017682464664E-2</v>
      </c>
      <c r="Y542">
        <f t="shared" si="185"/>
        <v>8.4371849238754971E-4</v>
      </c>
      <c r="Z542">
        <f t="shared" si="186"/>
        <v>3.0936344720876819E-3</v>
      </c>
      <c r="AA542">
        <f t="shared" si="187"/>
        <v>0.2475068821648691</v>
      </c>
      <c r="AB542">
        <f t="shared" si="188"/>
        <v>0.16039529148833342</v>
      </c>
      <c r="AC542">
        <f t="shared" si="189"/>
        <v>0.11416898650191031</v>
      </c>
      <c r="AD542">
        <f t="shared" si="190"/>
        <v>3.5613357563678474E-3</v>
      </c>
      <c r="AE542">
        <f t="shared" si="191"/>
        <v>2.5202902579106807E-2</v>
      </c>
      <c r="AG542">
        <f t="shared" si="192"/>
        <v>0.34207277003537701</v>
      </c>
      <c r="AH542">
        <f t="shared" si="193"/>
        <v>0.17906903164084964</v>
      </c>
      <c r="AI542">
        <f t="shared" si="194"/>
        <v>-0.47097480689518484</v>
      </c>
      <c r="AK542" s="26">
        <f t="shared" si="195"/>
        <v>-4.2445480402781705E-2</v>
      </c>
      <c r="AL542" s="26">
        <f t="shared" si="196"/>
        <v>-3.9847245690703234E-2</v>
      </c>
      <c r="AM542" s="26">
        <f t="shared" si="197"/>
        <v>-2.8315179237138527E-2</v>
      </c>
      <c r="AN542" s="26">
        <f t="shared" si="198"/>
        <v>17.946349206349204</v>
      </c>
      <c r="AO542" s="26">
        <f t="shared" si="199"/>
        <v>13.562398881239176</v>
      </c>
      <c r="AP542" s="26">
        <f t="shared" si="200"/>
        <v>9.8880168588008956</v>
      </c>
      <c r="AS542" s="2">
        <v>44938</v>
      </c>
      <c r="AU542">
        <v>0</v>
      </c>
      <c r="AX542">
        <v>20.100000000000001</v>
      </c>
      <c r="BC542">
        <v>46.347700000000003</v>
      </c>
      <c r="BF542">
        <v>-5.7091000000000003</v>
      </c>
      <c r="BG542">
        <v>28.517900000000001</v>
      </c>
      <c r="BH542">
        <v>82.12</v>
      </c>
    </row>
    <row r="543" spans="1:60" x14ac:dyDescent="0.25">
      <c r="A543" s="2">
        <v>44958</v>
      </c>
      <c r="B543">
        <v>9.1999999999999993</v>
      </c>
      <c r="C543">
        <v>1.2</v>
      </c>
      <c r="D543">
        <v>49.6</v>
      </c>
      <c r="E543">
        <v>26.5</v>
      </c>
      <c r="F543">
        <v>27.79</v>
      </c>
      <c r="G543">
        <v>0.9</v>
      </c>
      <c r="H543">
        <v>2.9</v>
      </c>
      <c r="I543">
        <v>160.084</v>
      </c>
      <c r="J543">
        <v>104.5331</v>
      </c>
      <c r="K543">
        <v>112.3629</v>
      </c>
      <c r="L543">
        <v>3.9369000000000001</v>
      </c>
      <c r="M543">
        <v>22.578399999999998</v>
      </c>
      <c r="N543">
        <v>-18.882999999999999</v>
      </c>
      <c r="O543">
        <v>4.7641</v>
      </c>
      <c r="P543">
        <v>71.64</v>
      </c>
      <c r="S543">
        <f t="shared" si="179"/>
        <v>521.58529999999996</v>
      </c>
      <c r="T543">
        <f t="shared" si="180"/>
        <v>8.6246779221838404E-3</v>
      </c>
      <c r="U543">
        <f t="shared" si="181"/>
        <v>1.1249579898500663E-3</v>
      </c>
      <c r="V543">
        <f t="shared" si="182"/>
        <v>4.6498263580469407E-2</v>
      </c>
      <c r="W543">
        <f t="shared" si="183"/>
        <v>2.4842822275855631E-2</v>
      </c>
      <c r="X543">
        <f t="shared" si="184"/>
        <v>2.6052152114944452E-2</v>
      </c>
      <c r="Y543">
        <f t="shared" si="185"/>
        <v>8.4371849238754971E-4</v>
      </c>
      <c r="Z543">
        <f t="shared" si="186"/>
        <v>2.7186484754709935E-3</v>
      </c>
      <c r="AA543">
        <f t="shared" si="187"/>
        <v>0.150073145705965</v>
      </c>
      <c r="AB543">
        <f t="shared" si="188"/>
        <v>9.7996121707329978E-2</v>
      </c>
      <c r="AC543">
        <f t="shared" si="189"/>
        <v>0.10533628509810335</v>
      </c>
      <c r="AD543">
        <f t="shared" si="190"/>
        <v>3.6907059252006052E-3</v>
      </c>
      <c r="AE543">
        <f t="shared" si="191"/>
        <v>2.1166459565025612E-2</v>
      </c>
      <c r="AG543">
        <f t="shared" si="192"/>
        <v>0.36677034841586231</v>
      </c>
      <c r="AH543">
        <f t="shared" si="193"/>
        <v>0.13187170041618756</v>
      </c>
      <c r="AI543">
        <f t="shared" si="194"/>
        <v>-0.84311900651452576</v>
      </c>
      <c r="AK543" s="26">
        <f t="shared" si="195"/>
        <v>-5.1039345487537205E-2</v>
      </c>
      <c r="AL543" s="26">
        <f t="shared" si="196"/>
        <v>-4.1781387176839019E-2</v>
      </c>
      <c r="AM543" s="26">
        <f t="shared" si="197"/>
        <v>-2.8656617110730906E-2</v>
      </c>
      <c r="AN543" s="26">
        <f t="shared" si="198"/>
        <v>17.836190476190474</v>
      </c>
      <c r="AO543" s="26">
        <f t="shared" si="199"/>
        <v>13.401129518072224</v>
      </c>
      <c r="AP543" s="26">
        <f t="shared" si="200"/>
        <v>9.7394375147710406</v>
      </c>
      <c r="AS543" s="2">
        <v>44937</v>
      </c>
      <c r="AU543">
        <v>0</v>
      </c>
      <c r="AX543">
        <v>19.649999999999999</v>
      </c>
      <c r="BC543">
        <v>64.338899999999995</v>
      </c>
      <c r="BF543">
        <v>-5.8011999999999997</v>
      </c>
      <c r="BG543">
        <v>29.811800000000002</v>
      </c>
      <c r="BH543">
        <v>82.32</v>
      </c>
    </row>
    <row r="544" spans="1:60" x14ac:dyDescent="0.25">
      <c r="A544" s="2">
        <v>44957</v>
      </c>
      <c r="B544">
        <v>10.199999999999999</v>
      </c>
      <c r="C544">
        <v>2.2999999999999998</v>
      </c>
      <c r="D544">
        <v>48.5</v>
      </c>
      <c r="E544">
        <v>23.6</v>
      </c>
      <c r="F544">
        <v>29.31</v>
      </c>
      <c r="G544">
        <v>0.9</v>
      </c>
      <c r="H544">
        <v>2.7</v>
      </c>
      <c r="I544">
        <v>150.83260000000001</v>
      </c>
      <c r="J544">
        <v>111.6885</v>
      </c>
      <c r="K544">
        <v>142.4855</v>
      </c>
      <c r="L544">
        <v>4.2789000000000001</v>
      </c>
      <c r="M544">
        <v>25.932200000000002</v>
      </c>
      <c r="N544">
        <v>-15.678000000000001</v>
      </c>
      <c r="O544">
        <v>9.2608999999999995</v>
      </c>
      <c r="P544">
        <v>72.12</v>
      </c>
      <c r="S544">
        <f t="shared" si="179"/>
        <v>552.72770000000003</v>
      </c>
      <c r="T544">
        <f t="shared" si="180"/>
        <v>9.5621429137255631E-3</v>
      </c>
      <c r="U544">
        <f t="shared" si="181"/>
        <v>2.1561694805459601E-3</v>
      </c>
      <c r="V544">
        <f t="shared" si="182"/>
        <v>4.5467052089773516E-2</v>
      </c>
      <c r="W544">
        <f t="shared" si="183"/>
        <v>2.2124173800384637E-2</v>
      </c>
      <c r="X544">
        <f t="shared" si="184"/>
        <v>2.7477098902087868E-2</v>
      </c>
      <c r="Y544">
        <f t="shared" si="185"/>
        <v>8.4371849238754971E-4</v>
      </c>
      <c r="Z544">
        <f t="shared" si="186"/>
        <v>2.5311554771626494E-3</v>
      </c>
      <c r="AA544">
        <f t="shared" si="187"/>
        <v>0.14140028208321595</v>
      </c>
      <c r="AB544">
        <f t="shared" si="188"/>
        <v>0.10470405870780761</v>
      </c>
      <c r="AC544">
        <f t="shared" si="189"/>
        <v>0.13357516805231801</v>
      </c>
      <c r="AD544">
        <f t="shared" si="190"/>
        <v>4.0113189523078739E-3</v>
      </c>
      <c r="AE544">
        <f t="shared" si="191"/>
        <v>2.4310529653658243E-2</v>
      </c>
      <c r="AG544">
        <f t="shared" si="192"/>
        <v>0.39281912505052291</v>
      </c>
      <c r="AH544">
        <f t="shared" si="193"/>
        <v>0.134472040809726</v>
      </c>
      <c r="AI544">
        <f t="shared" si="194"/>
        <v>-0.8225868365475697</v>
      </c>
      <c r="AK544" s="26">
        <f t="shared" si="195"/>
        <v>-5.6223526890762959E-2</v>
      </c>
      <c r="AL544" s="26">
        <f t="shared" si="196"/>
        <v>-4.2428198590192562E-2</v>
      </c>
      <c r="AM544" s="26">
        <f t="shared" si="197"/>
        <v>-2.8778211489841804E-2</v>
      </c>
      <c r="AN544" s="26">
        <f t="shared" si="198"/>
        <v>17.702539682539673</v>
      </c>
      <c r="AO544" s="26">
        <f t="shared" si="199"/>
        <v>13.240148450946577</v>
      </c>
      <c r="AP544" s="26">
        <f t="shared" si="200"/>
        <v>9.589968750820546</v>
      </c>
      <c r="AS544" s="2">
        <v>44936</v>
      </c>
      <c r="AU544">
        <v>2.4</v>
      </c>
      <c r="AX544">
        <v>30</v>
      </c>
      <c r="BC544">
        <v>68.304100000000005</v>
      </c>
      <c r="BF544">
        <v>-3.4327000000000001</v>
      </c>
      <c r="BG544">
        <v>37.6372</v>
      </c>
      <c r="BH544">
        <v>82.59</v>
      </c>
    </row>
    <row r="545" spans="1:60" x14ac:dyDescent="0.25">
      <c r="A545" s="2">
        <v>44956</v>
      </c>
      <c r="B545">
        <v>9.3000000000000007</v>
      </c>
      <c r="C545">
        <v>47</v>
      </c>
      <c r="D545">
        <v>53.2</v>
      </c>
      <c r="E545">
        <v>23.7</v>
      </c>
      <c r="F545">
        <v>32.65</v>
      </c>
      <c r="G545">
        <v>0.8</v>
      </c>
      <c r="H545">
        <v>2.9</v>
      </c>
      <c r="I545">
        <v>185.87270000000001</v>
      </c>
      <c r="J545">
        <v>98.927099999999996</v>
      </c>
      <c r="K545">
        <v>124.20610000000001</v>
      </c>
      <c r="L545">
        <v>4.7176999999999998</v>
      </c>
      <c r="M545">
        <v>28.927900000000001</v>
      </c>
      <c r="N545">
        <v>-19.148900000000001</v>
      </c>
      <c r="O545">
        <v>-0.46899999999999997</v>
      </c>
      <c r="P545">
        <v>72.599999999999994</v>
      </c>
      <c r="S545">
        <f t="shared" si="179"/>
        <v>612.20150000000012</v>
      </c>
      <c r="T545">
        <f t="shared" si="180"/>
        <v>8.7184244213380137E-3</v>
      </c>
      <c r="U545">
        <f t="shared" si="181"/>
        <v>4.4060854602460932E-2</v>
      </c>
      <c r="V545">
        <f t="shared" si="182"/>
        <v>4.9873137550019611E-2</v>
      </c>
      <c r="W545">
        <f t="shared" si="183"/>
        <v>2.2217920299538809E-2</v>
      </c>
      <c r="X545">
        <f t="shared" si="184"/>
        <v>3.0608231973837219E-2</v>
      </c>
      <c r="Y545">
        <f t="shared" si="185"/>
        <v>7.4997199323337759E-4</v>
      </c>
      <c r="Z545">
        <f t="shared" si="186"/>
        <v>2.7186484754709935E-3</v>
      </c>
      <c r="AA545">
        <f t="shared" si="187"/>
        <v>0.17424914913333703</v>
      </c>
      <c r="AB545">
        <f t="shared" si="188"/>
        <v>9.2740692964747073E-2</v>
      </c>
      <c r="AC545">
        <f t="shared" si="189"/>
        <v>0.11643887048593027</v>
      </c>
      <c r="AD545">
        <f t="shared" si="190"/>
        <v>4.422678590596381E-3</v>
      </c>
      <c r="AE545">
        <f t="shared" si="191"/>
        <v>2.7118893528819778E-2</v>
      </c>
      <c r="AG545">
        <f t="shared" si="192"/>
        <v>0.41885446915539642</v>
      </c>
      <c r="AH545">
        <f t="shared" si="193"/>
        <v>0.18606608284471871</v>
      </c>
      <c r="AI545">
        <f t="shared" si="194"/>
        <v>-0.41458632043541649</v>
      </c>
      <c r="AK545" s="26">
        <f t="shared" si="195"/>
        <v>-5.97028433886089E-2</v>
      </c>
      <c r="AL545" s="26">
        <f t="shared" si="196"/>
        <v>-4.3078704640208826E-2</v>
      </c>
      <c r="AM545" s="26">
        <f t="shared" si="197"/>
        <v>-2.8196500920417075E-2</v>
      </c>
      <c r="AN545" s="26">
        <f t="shared" si="198"/>
        <v>17.549206349206329</v>
      </c>
      <c r="AO545" s="26">
        <f t="shared" si="199"/>
        <v>13.079649311531782</v>
      </c>
      <c r="AP545" s="26">
        <f t="shared" si="200"/>
        <v>9.4411562196370085</v>
      </c>
      <c r="AS545" s="2">
        <v>44935</v>
      </c>
      <c r="AU545">
        <v>29.2</v>
      </c>
      <c r="AX545">
        <v>26.29</v>
      </c>
      <c r="BC545">
        <v>64.191900000000004</v>
      </c>
      <c r="BF545">
        <v>-13.61</v>
      </c>
      <c r="BG545">
        <v>35.511499999999998</v>
      </c>
      <c r="BH545">
        <v>82.83</v>
      </c>
    </row>
    <row r="546" spans="1:60" x14ac:dyDescent="0.25">
      <c r="A546" s="2">
        <v>44955</v>
      </c>
      <c r="C546">
        <v>29.8</v>
      </c>
      <c r="F546">
        <v>32.79</v>
      </c>
      <c r="K546">
        <v>139.62209999999999</v>
      </c>
      <c r="P546">
        <v>73.180000000000007</v>
      </c>
      <c r="S546">
        <f t="shared" si="179"/>
        <v>202.21209999999999</v>
      </c>
      <c r="T546">
        <f t="shared" si="180"/>
        <v>0</v>
      </c>
      <c r="U546">
        <f t="shared" si="181"/>
        <v>2.7936456747943313E-2</v>
      </c>
      <c r="V546">
        <f t="shared" si="182"/>
        <v>0</v>
      </c>
      <c r="W546">
        <f t="shared" si="183"/>
        <v>0</v>
      </c>
      <c r="X546">
        <f t="shared" si="184"/>
        <v>3.0739477072653062E-2</v>
      </c>
      <c r="Y546">
        <f t="shared" si="185"/>
        <v>0</v>
      </c>
      <c r="Z546">
        <f t="shared" si="186"/>
        <v>0</v>
      </c>
      <c r="AA546">
        <f t="shared" si="187"/>
        <v>0</v>
      </c>
      <c r="AB546">
        <f t="shared" si="188"/>
        <v>0</v>
      </c>
      <c r="AC546">
        <f t="shared" si="189"/>
        <v>0.13089083079553743</v>
      </c>
      <c r="AD546">
        <f t="shared" si="190"/>
        <v>0</v>
      </c>
      <c r="AE546">
        <f t="shared" si="191"/>
        <v>0</v>
      </c>
      <c r="AG546">
        <f t="shared" si="192"/>
        <v>0.44941751588368695</v>
      </c>
      <c r="AH546">
        <f t="shared" si="193"/>
        <v>5.8675933820596375E-2</v>
      </c>
      <c r="AI546">
        <f t="shared" si="194"/>
        <v>-1.4202490922127677</v>
      </c>
      <c r="AK546" s="26">
        <f t="shared" si="195"/>
        <v>-6.4852200199458365E-2</v>
      </c>
      <c r="AL546" s="26">
        <f t="shared" si="196"/>
        <v>-4.3366637512661788E-2</v>
      </c>
      <c r="AM546" s="26">
        <f t="shared" si="197"/>
        <v>-2.7938667864033997E-2</v>
      </c>
      <c r="AN546" s="26">
        <f t="shared" si="198"/>
        <v>17.379841269841258</v>
      </c>
      <c r="AO546" s="26">
        <f t="shared" si="199"/>
        <v>12.920662650602338</v>
      </c>
      <c r="AP546" s="26">
        <f t="shared" si="200"/>
        <v>9.2917271080065404</v>
      </c>
      <c r="AS546" s="2">
        <v>44934</v>
      </c>
      <c r="AU546">
        <v>0</v>
      </c>
      <c r="AX546">
        <v>23.95</v>
      </c>
      <c r="BC546">
        <v>32.175800000000002</v>
      </c>
      <c r="BH546">
        <v>83.05</v>
      </c>
    </row>
    <row r="547" spans="1:60" x14ac:dyDescent="0.25">
      <c r="A547" s="2">
        <v>44954</v>
      </c>
      <c r="C547">
        <v>255.3</v>
      </c>
      <c r="F547">
        <v>24.95</v>
      </c>
      <c r="K547">
        <v>187.72829999999999</v>
      </c>
      <c r="P547">
        <v>73.7</v>
      </c>
      <c r="S547">
        <f t="shared" si="179"/>
        <v>467.97829999999999</v>
      </c>
      <c r="T547">
        <f t="shared" si="180"/>
        <v>0</v>
      </c>
      <c r="U547">
        <f t="shared" si="181"/>
        <v>0.23933481234060161</v>
      </c>
      <c r="V547">
        <f t="shared" si="182"/>
        <v>0</v>
      </c>
      <c r="W547">
        <f t="shared" si="183"/>
        <v>0</v>
      </c>
      <c r="X547">
        <f t="shared" si="184"/>
        <v>2.3389751538965962E-2</v>
      </c>
      <c r="Y547">
        <f t="shared" si="185"/>
        <v>0</v>
      </c>
      <c r="Z547">
        <f t="shared" si="186"/>
        <v>0</v>
      </c>
      <c r="AA547">
        <f t="shared" si="187"/>
        <v>0</v>
      </c>
      <c r="AB547">
        <f t="shared" si="188"/>
        <v>0</v>
      </c>
      <c r="AC547">
        <f t="shared" si="189"/>
        <v>0.17598870917164183</v>
      </c>
      <c r="AD547">
        <f t="shared" si="190"/>
        <v>0</v>
      </c>
      <c r="AE547">
        <f t="shared" si="191"/>
        <v>0</v>
      </c>
      <c r="AG547">
        <f t="shared" si="192"/>
        <v>0.47725622043402882</v>
      </c>
      <c r="AH547">
        <f t="shared" si="193"/>
        <v>0.26272456387956755</v>
      </c>
      <c r="AI547">
        <f t="shared" si="194"/>
        <v>0.19059204567454541</v>
      </c>
      <c r="AK547" s="26">
        <f t="shared" si="195"/>
        <v>-6.5945010580296906E-2</v>
      </c>
      <c r="AL547" s="26">
        <f t="shared" si="196"/>
        <v>-4.3171198328735824E-2</v>
      </c>
      <c r="AM547" s="26">
        <f t="shared" si="197"/>
        <v>-2.7550514636053958E-2</v>
      </c>
      <c r="AN547" s="26">
        <f t="shared" si="198"/>
        <v>17.18333333333333</v>
      </c>
      <c r="AO547" s="26">
        <f t="shared" si="199"/>
        <v>12.75996342512903</v>
      </c>
      <c r="AP547" s="26">
        <f t="shared" si="200"/>
        <v>9.1381602373886466</v>
      </c>
      <c r="AS547" s="2">
        <v>44933</v>
      </c>
      <c r="AU547">
        <v>0</v>
      </c>
      <c r="AX547">
        <v>46.86</v>
      </c>
      <c r="BC547">
        <v>35.664200000000001</v>
      </c>
      <c r="BH547">
        <v>83.12</v>
      </c>
    </row>
    <row r="548" spans="1:60" x14ac:dyDescent="0.25">
      <c r="A548" s="2">
        <v>44953</v>
      </c>
      <c r="C548">
        <v>38.200000000000003</v>
      </c>
      <c r="F548">
        <v>18.489999999999998</v>
      </c>
      <c r="K548">
        <v>204.74010000000001</v>
      </c>
      <c r="N548">
        <v>-18.604700000000001</v>
      </c>
      <c r="O548">
        <v>0.33</v>
      </c>
      <c r="P548">
        <v>74.28</v>
      </c>
      <c r="S548">
        <f t="shared" si="179"/>
        <v>261.43010000000004</v>
      </c>
      <c r="T548">
        <f t="shared" si="180"/>
        <v>0</v>
      </c>
      <c r="U548">
        <f t="shared" si="181"/>
        <v>3.5811162676893778E-2</v>
      </c>
      <c r="V548">
        <f t="shared" si="182"/>
        <v>0</v>
      </c>
      <c r="W548">
        <f t="shared" si="183"/>
        <v>0</v>
      </c>
      <c r="X548">
        <f t="shared" si="184"/>
        <v>1.7333727693606436E-2</v>
      </c>
      <c r="Y548">
        <f t="shared" si="185"/>
        <v>0</v>
      </c>
      <c r="Z548">
        <f t="shared" si="186"/>
        <v>0</v>
      </c>
      <c r="AA548">
        <f t="shared" si="187"/>
        <v>0</v>
      </c>
      <c r="AB548">
        <f t="shared" si="188"/>
        <v>0</v>
      </c>
      <c r="AC548">
        <f t="shared" si="189"/>
        <v>0.19193667611475132</v>
      </c>
      <c r="AD548">
        <f t="shared" si="190"/>
        <v>0</v>
      </c>
      <c r="AE548">
        <f t="shared" si="191"/>
        <v>0</v>
      </c>
      <c r="AG548">
        <f t="shared" si="192"/>
        <v>0.50782810347345797</v>
      </c>
      <c r="AH548">
        <f t="shared" si="193"/>
        <v>5.3144890370500214E-2</v>
      </c>
      <c r="AI548">
        <f t="shared" si="194"/>
        <v>-1.4652325803676112</v>
      </c>
      <c r="AK548" s="26">
        <f t="shared" si="195"/>
        <v>-7.5770154089260661E-2</v>
      </c>
      <c r="AL548" s="26">
        <f t="shared" si="196"/>
        <v>-4.8096337017464033E-2</v>
      </c>
      <c r="AM548" s="26">
        <f t="shared" si="197"/>
        <v>-2.8486049827317159E-2</v>
      </c>
      <c r="AN548" s="26">
        <f t="shared" si="198"/>
        <v>16.964126984126999</v>
      </c>
      <c r="AO548" s="26">
        <f t="shared" si="199"/>
        <v>12.59666308089497</v>
      </c>
      <c r="AP548" s="26">
        <f t="shared" si="200"/>
        <v>8.9830642577662729</v>
      </c>
      <c r="AS548" s="2">
        <v>44932</v>
      </c>
      <c r="AU548">
        <v>0</v>
      </c>
      <c r="AX548">
        <v>30.94</v>
      </c>
      <c r="BC548">
        <v>60.141300000000001</v>
      </c>
      <c r="BF548">
        <v>5.6619000000000002</v>
      </c>
      <c r="BG548">
        <v>46.391500000000001</v>
      </c>
      <c r="BH548">
        <v>83.16</v>
      </c>
    </row>
    <row r="549" spans="1:60" x14ac:dyDescent="0.25">
      <c r="A549" s="2">
        <v>44952</v>
      </c>
      <c r="C549">
        <v>22.5</v>
      </c>
      <c r="F549">
        <v>11.96</v>
      </c>
      <c r="K549">
        <v>224.3494</v>
      </c>
      <c r="N549">
        <v>-20.979900000000001</v>
      </c>
      <c r="O549">
        <v>-2.0655999999999999</v>
      </c>
      <c r="P549">
        <v>74.989999999999995</v>
      </c>
      <c r="S549">
        <f t="shared" si="179"/>
        <v>258.80939999999998</v>
      </c>
      <c r="T549">
        <f t="shared" si="180"/>
        <v>0</v>
      </c>
      <c r="U549">
        <f t="shared" si="181"/>
        <v>2.1092962309688743E-2</v>
      </c>
      <c r="V549">
        <f t="shared" si="182"/>
        <v>0</v>
      </c>
      <c r="W549">
        <f t="shared" si="183"/>
        <v>0</v>
      </c>
      <c r="X549">
        <f t="shared" si="184"/>
        <v>1.1212081298838996E-2</v>
      </c>
      <c r="Y549">
        <f t="shared" si="185"/>
        <v>0</v>
      </c>
      <c r="Z549">
        <f t="shared" si="186"/>
        <v>0</v>
      </c>
      <c r="AA549">
        <f t="shared" si="187"/>
        <v>0</v>
      </c>
      <c r="AB549">
        <f t="shared" si="188"/>
        <v>0</v>
      </c>
      <c r="AC549">
        <f t="shared" si="189"/>
        <v>0.2103197083733904</v>
      </c>
      <c r="AD549">
        <f t="shared" si="190"/>
        <v>0</v>
      </c>
      <c r="AE549">
        <f t="shared" si="191"/>
        <v>0</v>
      </c>
      <c r="AG549">
        <f t="shared" si="192"/>
        <v>0.54430051038212768</v>
      </c>
      <c r="AH549">
        <f t="shared" si="193"/>
        <v>3.2305043608527741E-2</v>
      </c>
      <c r="AI549">
        <f t="shared" si="194"/>
        <v>-1.6365881463129202</v>
      </c>
      <c r="AK549" s="26">
        <f t="shared" si="195"/>
        <v>-7.7299162466544502E-2</v>
      </c>
      <c r="AL549" s="26">
        <f t="shared" si="196"/>
        <v>-4.8680988269591718E-2</v>
      </c>
      <c r="AM549" s="26">
        <f t="shared" si="197"/>
        <v>-2.6201710845070295E-2</v>
      </c>
      <c r="AN549" s="26">
        <f t="shared" si="198"/>
        <v>16.725396825396821</v>
      </c>
      <c r="AO549" s="26">
        <f t="shared" si="199"/>
        <v>12.431675989672939</v>
      </c>
      <c r="AP549" s="26">
        <f t="shared" si="200"/>
        <v>8.827948845881096</v>
      </c>
      <c r="AS549" s="2">
        <v>44931</v>
      </c>
      <c r="AU549">
        <v>33.200000000000003</v>
      </c>
      <c r="AX549">
        <v>23.28</v>
      </c>
      <c r="BC549">
        <v>54.267600000000002</v>
      </c>
      <c r="BF549">
        <v>-11.5799</v>
      </c>
      <c r="BG549">
        <v>31.033000000000001</v>
      </c>
      <c r="BH549">
        <v>83.21</v>
      </c>
    </row>
    <row r="550" spans="1:60" x14ac:dyDescent="0.25">
      <c r="A550" s="2">
        <v>44951</v>
      </c>
      <c r="C550">
        <v>71</v>
      </c>
      <c r="F550">
        <v>9.16</v>
      </c>
      <c r="K550">
        <v>244.93340000000001</v>
      </c>
      <c r="N550">
        <v>-25.111000000000001</v>
      </c>
      <c r="O550">
        <v>-1.3687</v>
      </c>
      <c r="P550">
        <v>75.63</v>
      </c>
      <c r="S550">
        <f t="shared" si="179"/>
        <v>325.09339999999997</v>
      </c>
      <c r="T550">
        <f t="shared" si="180"/>
        <v>0</v>
      </c>
      <c r="U550">
        <f t="shared" si="181"/>
        <v>6.6560014399462256E-2</v>
      </c>
      <c r="V550">
        <f t="shared" si="182"/>
        <v>0</v>
      </c>
      <c r="W550">
        <f t="shared" si="183"/>
        <v>0</v>
      </c>
      <c r="X550">
        <f t="shared" si="184"/>
        <v>8.5871793225221725E-3</v>
      </c>
      <c r="Y550">
        <f t="shared" si="185"/>
        <v>0</v>
      </c>
      <c r="Z550">
        <f t="shared" si="186"/>
        <v>0</v>
      </c>
      <c r="AA550">
        <f t="shared" si="187"/>
        <v>0</v>
      </c>
      <c r="AB550">
        <f t="shared" si="188"/>
        <v>0</v>
      </c>
      <c r="AC550">
        <f t="shared" si="189"/>
        <v>0.2296164877592852</v>
      </c>
      <c r="AD550">
        <f t="shared" si="190"/>
        <v>0</v>
      </c>
      <c r="AE550">
        <f t="shared" si="191"/>
        <v>0</v>
      </c>
      <c r="AG550">
        <f t="shared" si="192"/>
        <v>0.57758154653302507</v>
      </c>
      <c r="AH550">
        <f t="shared" si="193"/>
        <v>7.5147193721984432E-2</v>
      </c>
      <c r="AI550">
        <f t="shared" si="194"/>
        <v>-1.3031703804399426</v>
      </c>
      <c r="AK550" s="26">
        <f t="shared" si="195"/>
        <v>-7.7761850545179423E-2</v>
      </c>
      <c r="AL550" s="26">
        <f t="shared" si="196"/>
        <v>-4.8500252038108399E-2</v>
      </c>
      <c r="AM550" s="26">
        <f t="shared" si="197"/>
        <v>-2.4581263686674876E-2</v>
      </c>
      <c r="AN550" s="26">
        <f t="shared" si="198"/>
        <v>16.460317460317469</v>
      </c>
      <c r="AO550" s="26">
        <f t="shared" si="199"/>
        <v>12.265296901893237</v>
      </c>
      <c r="AP550" s="26">
        <f t="shared" si="200"/>
        <v>8.6711627845906634</v>
      </c>
      <c r="AS550" s="2">
        <v>44930</v>
      </c>
      <c r="AU550">
        <v>0</v>
      </c>
      <c r="AX550">
        <v>14.19</v>
      </c>
      <c r="BC550">
        <v>25.290800000000001</v>
      </c>
      <c r="BF550">
        <v>2.7839</v>
      </c>
      <c r="BG550">
        <v>31.058</v>
      </c>
      <c r="BH550">
        <v>83.34</v>
      </c>
    </row>
    <row r="551" spans="1:60" x14ac:dyDescent="0.25">
      <c r="A551" s="2">
        <v>44950</v>
      </c>
      <c r="C551">
        <v>35.1</v>
      </c>
      <c r="F551">
        <v>14.55</v>
      </c>
      <c r="K551">
        <v>200.7251</v>
      </c>
      <c r="N551">
        <v>-20.3432</v>
      </c>
      <c r="O551">
        <v>1.2699999999999999E-2</v>
      </c>
      <c r="P551">
        <v>76.22</v>
      </c>
      <c r="S551">
        <f t="shared" si="179"/>
        <v>250.3751</v>
      </c>
      <c r="T551">
        <f t="shared" si="180"/>
        <v>0</v>
      </c>
      <c r="U551">
        <f t="shared" si="181"/>
        <v>3.2905021203114442E-2</v>
      </c>
      <c r="V551">
        <f t="shared" si="182"/>
        <v>0</v>
      </c>
      <c r="W551">
        <f t="shared" si="183"/>
        <v>0</v>
      </c>
      <c r="X551">
        <f t="shared" si="184"/>
        <v>1.3640115626932054E-2</v>
      </c>
      <c r="Y551">
        <f t="shared" si="185"/>
        <v>0</v>
      </c>
      <c r="Z551">
        <f t="shared" si="186"/>
        <v>0</v>
      </c>
      <c r="AA551">
        <f t="shared" si="187"/>
        <v>0</v>
      </c>
      <c r="AB551">
        <f t="shared" si="188"/>
        <v>0</v>
      </c>
      <c r="AC551">
        <f t="shared" si="189"/>
        <v>0.18817275417371129</v>
      </c>
      <c r="AD551">
        <f t="shared" si="190"/>
        <v>0</v>
      </c>
      <c r="AE551">
        <f t="shared" si="191"/>
        <v>0</v>
      </c>
      <c r="AG551">
        <f t="shared" si="192"/>
        <v>0.60856482806003676</v>
      </c>
      <c r="AH551">
        <f t="shared" si="193"/>
        <v>4.6545136830046498E-2</v>
      </c>
      <c r="AI551">
        <f t="shared" si="194"/>
        <v>-1.5331855220490451</v>
      </c>
      <c r="AK551" s="26">
        <f t="shared" si="195"/>
        <v>-8.3698439862576801E-2</v>
      </c>
      <c r="AL551" s="26">
        <f t="shared" si="196"/>
        <v>-4.9972384334575015E-2</v>
      </c>
      <c r="AM551" s="26">
        <f t="shared" si="197"/>
        <v>-2.3368277185145281E-2</v>
      </c>
      <c r="AN551" s="26">
        <f t="shared" si="198"/>
        <v>16.183492063492068</v>
      </c>
      <c r="AO551" s="26">
        <f t="shared" si="199"/>
        <v>12.099195352839899</v>
      </c>
      <c r="AP551" s="26">
        <f t="shared" si="200"/>
        <v>8.5137404479923902</v>
      </c>
      <c r="AS551" s="2">
        <v>44929</v>
      </c>
      <c r="AT551">
        <v>13.5</v>
      </c>
      <c r="AU551">
        <v>2.7</v>
      </c>
      <c r="AV551">
        <v>58.5</v>
      </c>
      <c r="AW551">
        <v>9.6</v>
      </c>
      <c r="AX551">
        <v>45.25</v>
      </c>
      <c r="AY551">
        <v>0.9</v>
      </c>
      <c r="AZ551">
        <v>3.3</v>
      </c>
      <c r="BA551">
        <v>316.63339999999999</v>
      </c>
      <c r="BB551">
        <v>142.6816</v>
      </c>
      <c r="BC551">
        <v>54.869399999999999</v>
      </c>
      <c r="BD551">
        <v>2.8708999999999998</v>
      </c>
      <c r="BE551">
        <v>41.225099999999998</v>
      </c>
      <c r="BF551">
        <v>9.7327999999999992</v>
      </c>
      <c r="BG551">
        <v>46.956299999999999</v>
      </c>
      <c r="BH551">
        <v>83.41</v>
      </c>
    </row>
    <row r="552" spans="1:60" x14ac:dyDescent="0.25">
      <c r="A552" s="2">
        <v>44949</v>
      </c>
      <c r="C552">
        <v>78.900000000000006</v>
      </c>
      <c r="F552">
        <v>14.08</v>
      </c>
      <c r="K552">
        <v>239.70429999999999</v>
      </c>
      <c r="N552">
        <v>-24.7898</v>
      </c>
      <c r="O552">
        <v>4.6432000000000002</v>
      </c>
      <c r="P552">
        <v>77.03</v>
      </c>
      <c r="S552">
        <f t="shared" si="179"/>
        <v>332.68430000000001</v>
      </c>
      <c r="T552">
        <f t="shared" si="180"/>
        <v>0</v>
      </c>
      <c r="U552">
        <f t="shared" si="181"/>
        <v>7.3965987832641869E-2</v>
      </c>
      <c r="V552">
        <f t="shared" si="182"/>
        <v>0</v>
      </c>
      <c r="W552">
        <f t="shared" si="183"/>
        <v>0</v>
      </c>
      <c r="X552">
        <f t="shared" si="184"/>
        <v>1.3199507080907445E-2</v>
      </c>
      <c r="Y552">
        <f t="shared" si="185"/>
        <v>0</v>
      </c>
      <c r="Z552">
        <f t="shared" si="186"/>
        <v>0</v>
      </c>
      <c r="AA552">
        <f t="shared" si="187"/>
        <v>0</v>
      </c>
      <c r="AB552">
        <f t="shared" si="188"/>
        <v>0</v>
      </c>
      <c r="AC552">
        <f t="shared" si="189"/>
        <v>0.22471438957201437</v>
      </c>
      <c r="AD552">
        <f t="shared" si="190"/>
        <v>0</v>
      </c>
      <c r="AE552">
        <f t="shared" si="191"/>
        <v>0</v>
      </c>
      <c r="AG552">
        <f t="shared" si="192"/>
        <v>0.64951688195761326</v>
      </c>
      <c r="AH552">
        <f t="shared" si="193"/>
        <v>8.7165494913549316E-2</v>
      </c>
      <c r="AI552">
        <f t="shared" si="194"/>
        <v>-1.2138729465008449</v>
      </c>
      <c r="AK552" s="26">
        <f t="shared" si="195"/>
        <v>-7.8322051351370992E-2</v>
      </c>
      <c r="AL552" s="26">
        <f t="shared" si="196"/>
        <v>-4.9025613449962882E-2</v>
      </c>
      <c r="AM552" s="26">
        <f t="shared" si="197"/>
        <v>-2.2667953663801754E-2</v>
      </c>
      <c r="AN552" s="26">
        <f t="shared" si="198"/>
        <v>15.892380952380933</v>
      </c>
      <c r="AO552" s="26">
        <f t="shared" si="199"/>
        <v>11.934518072289094</v>
      </c>
      <c r="AP552" s="26">
        <f t="shared" si="200"/>
        <v>8.3566568630024705</v>
      </c>
      <c r="AS552" s="2">
        <v>44928</v>
      </c>
      <c r="AT552">
        <v>11.6</v>
      </c>
      <c r="AU552">
        <v>0</v>
      </c>
      <c r="AV552">
        <v>49.2</v>
      </c>
      <c r="AW552">
        <v>17.3</v>
      </c>
      <c r="AX552">
        <v>35.07</v>
      </c>
      <c r="AY552">
        <v>0.4</v>
      </c>
      <c r="AZ552">
        <v>3.1</v>
      </c>
      <c r="BA552">
        <v>247.79400000000001</v>
      </c>
      <c r="BB552">
        <v>64.534700000000001</v>
      </c>
      <c r="BC552">
        <v>31.981400000000001</v>
      </c>
      <c r="BD552">
        <v>4.1977000000000002</v>
      </c>
      <c r="BE552">
        <v>22.445599999999999</v>
      </c>
      <c r="BF552">
        <v>4.7248999999999999</v>
      </c>
      <c r="BG552">
        <v>68.626300000000001</v>
      </c>
      <c r="BH552">
        <v>83.49</v>
      </c>
    </row>
    <row r="553" spans="1:60" x14ac:dyDescent="0.25">
      <c r="A553" s="2">
        <v>44948</v>
      </c>
      <c r="C553">
        <v>22.8</v>
      </c>
      <c r="F553">
        <v>11.28</v>
      </c>
      <c r="K553">
        <v>124.0989</v>
      </c>
      <c r="P553">
        <v>77.8</v>
      </c>
      <c r="S553">
        <f t="shared" si="179"/>
        <v>158.1789</v>
      </c>
      <c r="T553">
        <f t="shared" si="180"/>
        <v>0</v>
      </c>
      <c r="U553">
        <f t="shared" si="181"/>
        <v>2.1374201807151261E-2</v>
      </c>
      <c r="V553">
        <f t="shared" si="182"/>
        <v>0</v>
      </c>
      <c r="W553">
        <f t="shared" si="183"/>
        <v>0</v>
      </c>
      <c r="X553">
        <f t="shared" si="184"/>
        <v>1.0574605104590622E-2</v>
      </c>
      <c r="Y553">
        <f t="shared" si="185"/>
        <v>0</v>
      </c>
      <c r="Z553">
        <f t="shared" si="186"/>
        <v>0</v>
      </c>
      <c r="AA553">
        <f t="shared" si="187"/>
        <v>0</v>
      </c>
      <c r="AB553">
        <f t="shared" si="188"/>
        <v>0</v>
      </c>
      <c r="AC553">
        <f t="shared" si="189"/>
        <v>0.116338374238837</v>
      </c>
      <c r="AD553">
        <f t="shared" si="190"/>
        <v>0</v>
      </c>
      <c r="AE553">
        <f t="shared" si="191"/>
        <v>0</v>
      </c>
      <c r="AG553">
        <f t="shared" si="192"/>
        <v>0.68864472302752877</v>
      </c>
      <c r="AH553">
        <f t="shared" si="193"/>
        <v>3.1948806911741887E-2</v>
      </c>
      <c r="AI553">
        <f t="shared" si="194"/>
        <v>-1.6538934047377796</v>
      </c>
      <c r="AK553" s="26">
        <f t="shared" si="195"/>
        <v>-7.5522080019943261E-2</v>
      </c>
      <c r="AL553" s="26">
        <f t="shared" si="196"/>
        <v>-4.5897274923435191E-2</v>
      </c>
      <c r="AM553" s="26">
        <f t="shared" si="197"/>
        <v>-2.2182956279670374E-2</v>
      </c>
      <c r="AN553" s="26">
        <f t="shared" si="198"/>
        <v>15.580952380952382</v>
      </c>
      <c r="AO553" s="26">
        <f t="shared" si="199"/>
        <v>11.766975043029191</v>
      </c>
      <c r="AP553" s="26">
        <f t="shared" si="200"/>
        <v>8.19681100811421</v>
      </c>
      <c r="AS553" s="2">
        <v>44927</v>
      </c>
      <c r="AT553">
        <v>11.9</v>
      </c>
      <c r="AU553">
        <v>0</v>
      </c>
      <c r="AV553">
        <v>60.1</v>
      </c>
      <c r="AW553">
        <v>7.2</v>
      </c>
      <c r="AX553">
        <v>45.06</v>
      </c>
      <c r="AY553">
        <v>0.1</v>
      </c>
      <c r="AZ553">
        <v>3.3</v>
      </c>
      <c r="BA553">
        <v>93.457700000000003</v>
      </c>
      <c r="BB553">
        <v>42.077199999999998</v>
      </c>
      <c r="BC553">
        <v>20.360399999999998</v>
      </c>
      <c r="BD553">
        <v>0</v>
      </c>
      <c r="BE553">
        <v>17.842300000000002</v>
      </c>
      <c r="BH553">
        <v>83.5</v>
      </c>
    </row>
    <row r="554" spans="1:60" x14ac:dyDescent="0.25">
      <c r="A554" s="2">
        <v>44947</v>
      </c>
      <c r="C554">
        <v>0</v>
      </c>
      <c r="F554">
        <v>17.760000000000002</v>
      </c>
      <c r="K554">
        <v>108.5484</v>
      </c>
      <c r="P554">
        <v>78.349999999999994</v>
      </c>
      <c r="S554">
        <f t="shared" si="179"/>
        <v>126.30840000000001</v>
      </c>
      <c r="T554">
        <f t="shared" si="180"/>
        <v>0</v>
      </c>
      <c r="U554">
        <f t="shared" si="181"/>
        <v>0</v>
      </c>
      <c r="V554">
        <f t="shared" si="182"/>
        <v>0</v>
      </c>
      <c r="W554">
        <f t="shared" si="183"/>
        <v>0</v>
      </c>
      <c r="X554">
        <f t="shared" si="184"/>
        <v>1.6649378249780983E-2</v>
      </c>
      <c r="Y554">
        <f t="shared" si="185"/>
        <v>0</v>
      </c>
      <c r="Z554">
        <f t="shared" si="186"/>
        <v>0</v>
      </c>
      <c r="AA554">
        <f t="shared" si="187"/>
        <v>0</v>
      </c>
      <c r="AB554">
        <f t="shared" si="188"/>
        <v>0</v>
      </c>
      <c r="AC554">
        <f t="shared" si="189"/>
        <v>0.10176032488786745</v>
      </c>
      <c r="AD554">
        <f t="shared" si="190"/>
        <v>0</v>
      </c>
      <c r="AE554">
        <f t="shared" si="191"/>
        <v>0</v>
      </c>
      <c r="AG554">
        <f t="shared" si="192"/>
        <v>0.71778742379551497</v>
      </c>
      <c r="AH554">
        <f t="shared" si="193"/>
        <v>1.6649378249780983E-2</v>
      </c>
      <c r="AI554">
        <f t="shared" si="194"/>
        <v>-1.7814024856522719</v>
      </c>
      <c r="AK554" s="26">
        <f t="shared" si="195"/>
        <v>-6.9707285261423141E-2</v>
      </c>
      <c r="AL554" s="26">
        <f t="shared" si="196"/>
        <v>-4.3060868904852848E-2</v>
      </c>
      <c r="AM554" s="26">
        <f t="shared" si="197"/>
        <v>-2.2685532583604034E-2</v>
      </c>
      <c r="AN554" s="26">
        <f t="shared" si="198"/>
        <v>15.249047619047602</v>
      </c>
      <c r="AO554" s="26">
        <f t="shared" si="199"/>
        <v>11.597063253011967</v>
      </c>
      <c r="AP554" s="26">
        <f t="shared" si="200"/>
        <v>8.0338483758303738</v>
      </c>
      <c r="AS554" s="2">
        <v>44926</v>
      </c>
      <c r="AU554">
        <v>0</v>
      </c>
      <c r="AX554">
        <v>35.65</v>
      </c>
      <c r="BC554">
        <v>19.366499999999998</v>
      </c>
      <c r="BH554">
        <v>83.35</v>
      </c>
    </row>
    <row r="555" spans="1:60" x14ac:dyDescent="0.25">
      <c r="A555" s="2">
        <v>44946</v>
      </c>
      <c r="C555">
        <v>0.9</v>
      </c>
      <c r="F555">
        <v>25.78</v>
      </c>
      <c r="K555">
        <v>167.8552</v>
      </c>
      <c r="N555">
        <v>-22.721299999999999</v>
      </c>
      <c r="O555">
        <v>7.8186</v>
      </c>
      <c r="P555">
        <v>78.88</v>
      </c>
      <c r="S555">
        <f t="shared" si="179"/>
        <v>194.5352</v>
      </c>
      <c r="T555">
        <f t="shared" si="180"/>
        <v>0</v>
      </c>
      <c r="U555">
        <f t="shared" si="181"/>
        <v>8.4371849238754971E-4</v>
      </c>
      <c r="V555">
        <f t="shared" si="182"/>
        <v>0</v>
      </c>
      <c r="W555">
        <f t="shared" si="183"/>
        <v>0</v>
      </c>
      <c r="X555">
        <f t="shared" si="184"/>
        <v>2.416784748194559E-2</v>
      </c>
      <c r="Y555">
        <f t="shared" si="185"/>
        <v>0</v>
      </c>
      <c r="Z555">
        <f t="shared" si="186"/>
        <v>0</v>
      </c>
      <c r="AA555">
        <f t="shared" si="187"/>
        <v>0</v>
      </c>
      <c r="AB555">
        <f t="shared" si="188"/>
        <v>0</v>
      </c>
      <c r="AC555">
        <f t="shared" si="189"/>
        <v>0.15735837364823405</v>
      </c>
      <c r="AD555">
        <f t="shared" si="190"/>
        <v>0</v>
      </c>
      <c r="AE555">
        <f t="shared" si="191"/>
        <v>0</v>
      </c>
      <c r="AG555">
        <f t="shared" si="192"/>
        <v>0.74600611397422956</v>
      </c>
      <c r="AH555">
        <f t="shared" si="193"/>
        <v>2.5011565974333141E-2</v>
      </c>
      <c r="AI555">
        <f t="shared" si="194"/>
        <v>-1.7265135487884673</v>
      </c>
      <c r="AK555" s="26">
        <f t="shared" si="195"/>
        <v>-6.5437103952196846E-2</v>
      </c>
      <c r="AL555" s="26">
        <f t="shared" si="196"/>
        <v>-4.1255565382542631E-2</v>
      </c>
      <c r="AM555" s="26">
        <f t="shared" si="197"/>
        <v>-2.185303339139702E-2</v>
      </c>
      <c r="AN555" s="26">
        <f t="shared" si="198"/>
        <v>14.906825396825383</v>
      </c>
      <c r="AO555" s="26">
        <f t="shared" si="199"/>
        <v>11.423885542168591</v>
      </c>
      <c r="AP555" s="26">
        <f t="shared" si="200"/>
        <v>7.8698928599563374</v>
      </c>
      <c r="AS555" s="2">
        <v>44925</v>
      </c>
      <c r="AU555">
        <v>0</v>
      </c>
      <c r="AX555">
        <v>50.6</v>
      </c>
      <c r="BC555">
        <v>20.814399999999999</v>
      </c>
      <c r="BF555">
        <v>-28.5822</v>
      </c>
      <c r="BG555">
        <v>32.311700000000002</v>
      </c>
      <c r="BH555">
        <v>83.26</v>
      </c>
    </row>
    <row r="556" spans="1:60" x14ac:dyDescent="0.25">
      <c r="A556" s="2">
        <v>44945</v>
      </c>
      <c r="C556">
        <v>40.9</v>
      </c>
      <c r="F556">
        <v>37.03</v>
      </c>
      <c r="K556">
        <v>152.3503</v>
      </c>
      <c r="N556">
        <v>-13.086499999999999</v>
      </c>
      <c r="O556">
        <v>4.5580999999999996</v>
      </c>
      <c r="P556">
        <v>79.489999999999995</v>
      </c>
      <c r="S556">
        <f t="shared" si="179"/>
        <v>230.28030000000001</v>
      </c>
      <c r="T556">
        <f t="shared" si="180"/>
        <v>0</v>
      </c>
      <c r="U556">
        <f t="shared" si="181"/>
        <v>3.8342318154056428E-2</v>
      </c>
      <c r="V556">
        <f t="shared" si="182"/>
        <v>0</v>
      </c>
      <c r="W556">
        <f t="shared" si="183"/>
        <v>0</v>
      </c>
      <c r="X556">
        <f t="shared" si="184"/>
        <v>3.4714328636789964E-2</v>
      </c>
      <c r="Y556">
        <f t="shared" si="185"/>
        <v>0</v>
      </c>
      <c r="Z556">
        <f t="shared" si="186"/>
        <v>0</v>
      </c>
      <c r="AA556">
        <f t="shared" si="187"/>
        <v>0</v>
      </c>
      <c r="AB556">
        <f t="shared" si="188"/>
        <v>0</v>
      </c>
      <c r="AC556">
        <f t="shared" si="189"/>
        <v>0.14282307270087879</v>
      </c>
      <c r="AD556">
        <f t="shared" si="190"/>
        <v>0</v>
      </c>
      <c r="AE556">
        <f t="shared" si="191"/>
        <v>0</v>
      </c>
      <c r="AG556">
        <f t="shared" si="192"/>
        <v>0.77782690323065973</v>
      </c>
      <c r="AH556">
        <f t="shared" si="193"/>
        <v>7.3056646790846391E-2</v>
      </c>
      <c r="AI556">
        <f t="shared" si="194"/>
        <v>-1.3492055315025662</v>
      </c>
      <c r="AK556" s="26">
        <f t="shared" si="195"/>
        <v>-6.2712934849553439E-2</v>
      </c>
      <c r="AL556" s="26">
        <f t="shared" si="196"/>
        <v>-4.051595721807677E-2</v>
      </c>
      <c r="AM556" s="26">
        <f t="shared" si="197"/>
        <v>-2.0857023540040792E-2</v>
      </c>
      <c r="AN556" s="26">
        <f t="shared" si="198"/>
        <v>14.554920634920634</v>
      </c>
      <c r="AO556" s="26">
        <f t="shared" si="199"/>
        <v>11.248278829604061</v>
      </c>
      <c r="AP556" s="26">
        <f t="shared" si="200"/>
        <v>7.7068658911267249</v>
      </c>
      <c r="AS556" s="2">
        <v>44924</v>
      </c>
      <c r="AT556">
        <v>13.7</v>
      </c>
      <c r="AU556">
        <v>0</v>
      </c>
      <c r="AV556">
        <v>62.6</v>
      </c>
      <c r="AW556">
        <v>22.4</v>
      </c>
      <c r="AX556">
        <v>33.18</v>
      </c>
      <c r="AY556">
        <v>0.5</v>
      </c>
      <c r="AZ556">
        <v>2.9</v>
      </c>
      <c r="BA556">
        <v>115.5508</v>
      </c>
      <c r="BB556">
        <v>64.088300000000004</v>
      </c>
      <c r="BC556">
        <v>23.092700000000001</v>
      </c>
      <c r="BD556">
        <v>1.3468</v>
      </c>
      <c r="BE556">
        <v>27.462599999999998</v>
      </c>
      <c r="BF556">
        <v>-8.2857000000000003</v>
      </c>
      <c r="BG556">
        <v>52.3142</v>
      </c>
      <c r="BH556">
        <v>83.21</v>
      </c>
    </row>
    <row r="557" spans="1:60" x14ac:dyDescent="0.25">
      <c r="A557" s="2">
        <v>44944</v>
      </c>
      <c r="B557">
        <v>14</v>
      </c>
      <c r="C557">
        <v>4.4000000000000004</v>
      </c>
      <c r="D557">
        <v>68</v>
      </c>
      <c r="E557">
        <v>7.6</v>
      </c>
      <c r="F557">
        <v>34.92</v>
      </c>
      <c r="G557">
        <v>0.5</v>
      </c>
      <c r="H557">
        <v>3</v>
      </c>
      <c r="I557">
        <v>330.34769999999997</v>
      </c>
      <c r="J557">
        <v>244.8493</v>
      </c>
      <c r="K557">
        <v>166.5052</v>
      </c>
      <c r="L557">
        <v>2.7252999999999998</v>
      </c>
      <c r="M557">
        <v>24.492799999999999</v>
      </c>
      <c r="N557">
        <v>-10.159599999999999</v>
      </c>
      <c r="O557">
        <v>11.2645</v>
      </c>
      <c r="P557">
        <v>80.09</v>
      </c>
      <c r="S557">
        <f t="shared" si="179"/>
        <v>901.34029999999996</v>
      </c>
      <c r="T557">
        <f t="shared" si="180"/>
        <v>1.3124509881584107E-2</v>
      </c>
      <c r="U557">
        <f t="shared" si="181"/>
        <v>4.1248459627835771E-3</v>
      </c>
      <c r="V557">
        <f t="shared" si="182"/>
        <v>6.3747619424837088E-2</v>
      </c>
      <c r="W557">
        <f t="shared" si="183"/>
        <v>7.1247339357170866E-3</v>
      </c>
      <c r="X557">
        <f t="shared" si="184"/>
        <v>3.2736277504636931E-2</v>
      </c>
      <c r="Y557">
        <f t="shared" si="185"/>
        <v>4.6873249577086097E-4</v>
      </c>
      <c r="Z557">
        <f t="shared" si="186"/>
        <v>2.8123949746251659E-3</v>
      </c>
      <c r="AA557">
        <f t="shared" si="187"/>
        <v>0.30968940378632726</v>
      </c>
      <c r="AB557">
        <f t="shared" si="188"/>
        <v>0.22953764695349654</v>
      </c>
      <c r="AC557">
        <f t="shared" si="189"/>
        <v>0.15609279590965272</v>
      </c>
      <c r="AD557">
        <f t="shared" si="190"/>
        <v>2.5548733414486545E-3</v>
      </c>
      <c r="AE557">
        <f t="shared" si="191"/>
        <v>2.2961142544833085E-2</v>
      </c>
      <c r="AG557">
        <f t="shared" si="192"/>
        <v>0.80917853165659726</v>
      </c>
      <c r="AH557">
        <f t="shared" si="193"/>
        <v>0.14710025672478788</v>
      </c>
      <c r="AI557">
        <f t="shared" si="194"/>
        <v>-0.75643192637710965</v>
      </c>
      <c r="AK557" s="26">
        <f t="shared" si="195"/>
        <v>-5.842244328688348E-2</v>
      </c>
      <c r="AL557" s="26">
        <f t="shared" si="196"/>
        <v>-3.9142846416063262E-2</v>
      </c>
      <c r="AM557" s="26">
        <f t="shared" si="197"/>
        <v>-2.0695045950397145E-2</v>
      </c>
      <c r="AN557" s="26">
        <f t="shared" si="198"/>
        <v>14.190476190476176</v>
      </c>
      <c r="AO557" s="26">
        <f t="shared" si="199"/>
        <v>11.070957401032629</v>
      </c>
      <c r="AP557" s="26">
        <f t="shared" si="200"/>
        <v>7.5427575431316711</v>
      </c>
      <c r="AS557" s="2">
        <v>44923</v>
      </c>
      <c r="AT557">
        <v>15.1</v>
      </c>
      <c r="AU557">
        <v>0</v>
      </c>
      <c r="AV557">
        <v>82.5</v>
      </c>
      <c r="AW557">
        <v>27.2</v>
      </c>
      <c r="AX557">
        <v>32.520000000000003</v>
      </c>
      <c r="AY557">
        <v>0.7</v>
      </c>
      <c r="AZ557">
        <v>2.9</v>
      </c>
      <c r="BA557">
        <v>117.48779999999999</v>
      </c>
      <c r="BB557">
        <v>53.377800000000001</v>
      </c>
      <c r="BC557">
        <v>27.168099999999999</v>
      </c>
      <c r="BD557">
        <v>0</v>
      </c>
      <c r="BE557">
        <v>25.719799999999999</v>
      </c>
      <c r="BF557">
        <v>-0.52580000000000005</v>
      </c>
      <c r="BG557">
        <v>54.322800000000001</v>
      </c>
      <c r="BH557">
        <v>83.18</v>
      </c>
    </row>
    <row r="558" spans="1:60" x14ac:dyDescent="0.25">
      <c r="A558" s="2">
        <v>44943</v>
      </c>
      <c r="C558">
        <v>25.3</v>
      </c>
      <c r="F558">
        <v>63.82</v>
      </c>
      <c r="K558">
        <v>130.38810000000001</v>
      </c>
      <c r="N558">
        <v>-3.7978999999999998</v>
      </c>
      <c r="O558">
        <v>17.916</v>
      </c>
      <c r="P558">
        <v>80.58</v>
      </c>
      <c r="S558">
        <f t="shared" si="179"/>
        <v>219.50810000000001</v>
      </c>
      <c r="T558">
        <f t="shared" si="180"/>
        <v>0</v>
      </c>
      <c r="U558">
        <f t="shared" si="181"/>
        <v>2.3717864286005565E-2</v>
      </c>
      <c r="V558">
        <f t="shared" si="182"/>
        <v>0</v>
      </c>
      <c r="W558">
        <f t="shared" si="183"/>
        <v>0</v>
      </c>
      <c r="X558">
        <f t="shared" si="184"/>
        <v>5.9829015760192693E-2</v>
      </c>
      <c r="Y558">
        <f t="shared" si="185"/>
        <v>0</v>
      </c>
      <c r="Z558">
        <f t="shared" si="186"/>
        <v>0</v>
      </c>
      <c r="AA558">
        <f t="shared" si="187"/>
        <v>0</v>
      </c>
      <c r="AB558">
        <f t="shared" si="188"/>
        <v>0</v>
      </c>
      <c r="AC558">
        <f t="shared" si="189"/>
        <v>0.1222342790636412</v>
      </c>
      <c r="AD558">
        <f t="shared" si="190"/>
        <v>0</v>
      </c>
      <c r="AE558">
        <f t="shared" si="191"/>
        <v>0</v>
      </c>
      <c r="AG558">
        <f t="shared" si="192"/>
        <v>0.83552717169022528</v>
      </c>
      <c r="AH558">
        <f t="shared" si="193"/>
        <v>8.3546880046198257E-2</v>
      </c>
      <c r="AI558">
        <f t="shared" si="194"/>
        <v>-1.268887329337989</v>
      </c>
      <c r="AK558" s="26">
        <f t="shared" si="195"/>
        <v>-5.689378013480284E-2</v>
      </c>
      <c r="AL558" s="26">
        <f t="shared" si="196"/>
        <v>-3.9077358213778987E-2</v>
      </c>
      <c r="AM558" s="26">
        <f t="shared" si="197"/>
        <v>-2.0948211425183327E-2</v>
      </c>
      <c r="AN558" s="26">
        <f t="shared" si="198"/>
        <v>13.815873015873009</v>
      </c>
      <c r="AO558" s="26">
        <f t="shared" si="199"/>
        <v>10.893605851979288</v>
      </c>
      <c r="AP558" s="26">
        <f t="shared" si="200"/>
        <v>7.380524671095742</v>
      </c>
      <c r="AS558" s="2">
        <v>44922</v>
      </c>
      <c r="AT558">
        <v>15.3</v>
      </c>
      <c r="AU558">
        <v>0</v>
      </c>
      <c r="AV558">
        <v>84</v>
      </c>
      <c r="AW558">
        <v>21.8</v>
      </c>
      <c r="AX558">
        <v>51.48</v>
      </c>
      <c r="AY558">
        <v>0.8</v>
      </c>
      <c r="AZ558">
        <v>2.9</v>
      </c>
      <c r="BA558">
        <v>154.3398</v>
      </c>
      <c r="BB558">
        <v>76.927199999999999</v>
      </c>
      <c r="BC558">
        <v>25.2562</v>
      </c>
      <c r="BD558">
        <v>0</v>
      </c>
      <c r="BE558">
        <v>30.423400000000001</v>
      </c>
      <c r="BF558">
        <v>2.9531999999999998</v>
      </c>
      <c r="BG558">
        <v>51.906199999999998</v>
      </c>
      <c r="BH558">
        <v>83.18</v>
      </c>
    </row>
    <row r="559" spans="1:60" x14ac:dyDescent="0.25">
      <c r="A559" s="2">
        <v>44942</v>
      </c>
      <c r="C559">
        <v>17.899999999999999</v>
      </c>
      <c r="F559">
        <v>52.08</v>
      </c>
      <c r="K559">
        <v>74.992599999999996</v>
      </c>
      <c r="N559">
        <v>-2.7948</v>
      </c>
      <c r="O559">
        <v>14.1576</v>
      </c>
      <c r="P559">
        <v>81.06</v>
      </c>
      <c r="S559">
        <f t="shared" si="179"/>
        <v>144.9726</v>
      </c>
      <c r="T559">
        <f t="shared" si="180"/>
        <v>0</v>
      </c>
      <c r="U559">
        <f t="shared" si="181"/>
        <v>1.678062334859682E-2</v>
      </c>
      <c r="V559">
        <f t="shared" si="182"/>
        <v>0</v>
      </c>
      <c r="W559">
        <f t="shared" si="183"/>
        <v>0</v>
      </c>
      <c r="X559">
        <f t="shared" si="184"/>
        <v>4.8823176759492874E-2</v>
      </c>
      <c r="Y559">
        <f t="shared" si="185"/>
        <v>0</v>
      </c>
      <c r="Z559">
        <f t="shared" si="186"/>
        <v>0</v>
      </c>
      <c r="AA559">
        <f t="shared" si="187"/>
        <v>0</v>
      </c>
      <c r="AB559">
        <f t="shared" si="188"/>
        <v>0</v>
      </c>
      <c r="AC559">
        <f t="shared" si="189"/>
        <v>7.0302937124691725E-2</v>
      </c>
      <c r="AD559">
        <f t="shared" si="190"/>
        <v>0</v>
      </c>
      <c r="AE559">
        <f t="shared" si="191"/>
        <v>0</v>
      </c>
      <c r="AG559">
        <f t="shared" si="192"/>
        <v>0.86139093526422739</v>
      </c>
      <c r="AH559">
        <f t="shared" si="193"/>
        <v>6.5603800108089694E-2</v>
      </c>
      <c r="AI559">
        <f t="shared" si="194"/>
        <v>-1.4167837286857772</v>
      </c>
      <c r="AK559" s="26">
        <f t="shared" si="195"/>
        <v>-5.1806156137666232E-2</v>
      </c>
      <c r="AL559" s="26">
        <f t="shared" si="196"/>
        <v>-3.7914085376242093E-2</v>
      </c>
      <c r="AM559" s="26">
        <f t="shared" si="197"/>
        <v>-2.0311140353867163E-2</v>
      </c>
      <c r="AN559" s="26">
        <f t="shared" si="198"/>
        <v>13.436190476190475</v>
      </c>
      <c r="AO559" s="26">
        <f t="shared" si="199"/>
        <v>10.718666092943153</v>
      </c>
      <c r="AP559" s="26">
        <f t="shared" si="200"/>
        <v>7.2201974738057686</v>
      </c>
      <c r="AS559" s="2">
        <v>44921</v>
      </c>
      <c r="AT559">
        <v>15.1</v>
      </c>
      <c r="AU559">
        <v>19.600000000000001</v>
      </c>
      <c r="AV559">
        <v>66.900000000000006</v>
      </c>
      <c r="AW559">
        <v>19.899999999999999</v>
      </c>
      <c r="AX559">
        <v>16.71</v>
      </c>
      <c r="AY559">
        <v>0.7</v>
      </c>
      <c r="AZ559">
        <v>3</v>
      </c>
      <c r="BA559">
        <v>124.53919999999999</v>
      </c>
      <c r="BB559">
        <v>68.572599999999994</v>
      </c>
      <c r="BC559">
        <v>25.470300000000002</v>
      </c>
      <c r="BD559">
        <v>0</v>
      </c>
      <c r="BE559">
        <v>16.1129</v>
      </c>
      <c r="BF559">
        <v>5.4504999999999999</v>
      </c>
      <c r="BG559">
        <v>59.415500000000002</v>
      </c>
      <c r="BH559">
        <v>83.2</v>
      </c>
    </row>
    <row r="560" spans="1:60" x14ac:dyDescent="0.25">
      <c r="A560" s="2">
        <v>44941</v>
      </c>
      <c r="B560">
        <v>11.3</v>
      </c>
      <c r="C560">
        <v>0</v>
      </c>
      <c r="D560">
        <v>68</v>
      </c>
      <c r="E560">
        <v>27.1</v>
      </c>
      <c r="F560">
        <v>25.8</v>
      </c>
      <c r="G560">
        <v>0.1</v>
      </c>
      <c r="H560">
        <v>2.8</v>
      </c>
      <c r="I560">
        <v>98.2624</v>
      </c>
      <c r="J560">
        <v>54.691000000000003</v>
      </c>
      <c r="K560">
        <v>30.0305</v>
      </c>
      <c r="L560">
        <v>0</v>
      </c>
      <c r="M560">
        <v>10.6251</v>
      </c>
      <c r="P560">
        <v>81.48</v>
      </c>
      <c r="S560">
        <f t="shared" si="179"/>
        <v>328.709</v>
      </c>
      <c r="T560">
        <f t="shared" si="180"/>
        <v>1.0593354404421457E-2</v>
      </c>
      <c r="U560">
        <f t="shared" si="181"/>
        <v>0</v>
      </c>
      <c r="V560">
        <f t="shared" si="182"/>
        <v>6.3747619424837088E-2</v>
      </c>
      <c r="W560">
        <f t="shared" si="183"/>
        <v>2.5405301270780663E-2</v>
      </c>
      <c r="X560">
        <f t="shared" si="184"/>
        <v>2.4186596781776426E-2</v>
      </c>
      <c r="Y560">
        <f t="shared" si="185"/>
        <v>9.3746499154172199E-5</v>
      </c>
      <c r="Z560">
        <f t="shared" si="186"/>
        <v>2.624901976316821E-3</v>
      </c>
      <c r="AA560">
        <f t="shared" si="187"/>
        <v>9.2117559984869299E-2</v>
      </c>
      <c r="AB560">
        <f t="shared" si="188"/>
        <v>5.1270897852408313E-2</v>
      </c>
      <c r="AC560">
        <f t="shared" si="189"/>
        <v>2.8152542428493681E-2</v>
      </c>
      <c r="AD560">
        <f t="shared" si="190"/>
        <v>0</v>
      </c>
      <c r="AE560">
        <f t="shared" si="191"/>
        <v>9.9606592816299487E-3</v>
      </c>
      <c r="AG560">
        <f t="shared" si="192"/>
        <v>0.88450822838236465</v>
      </c>
      <c r="AH560">
        <f t="shared" si="193"/>
        <v>0.13661217963891659</v>
      </c>
      <c r="AI560">
        <f t="shared" si="194"/>
        <v>-0.84547774497782813</v>
      </c>
      <c r="AK560" s="26">
        <f t="shared" si="195"/>
        <v>-4.8698337671452541E-2</v>
      </c>
      <c r="AL560" s="26">
        <f t="shared" si="196"/>
        <v>-3.6956629185786266E-2</v>
      </c>
      <c r="AM560" s="26">
        <f t="shared" si="197"/>
        <v>-2.0150374415753819E-2</v>
      </c>
      <c r="AN560" s="26">
        <f t="shared" si="198"/>
        <v>13.054285714285726</v>
      </c>
      <c r="AO560" s="26">
        <f t="shared" si="199"/>
        <v>10.548117469879486</v>
      </c>
      <c r="AP560" s="26">
        <f t="shared" si="200"/>
        <v>7.0619841915915345</v>
      </c>
      <c r="AS560" s="2">
        <v>44920</v>
      </c>
      <c r="AT560">
        <v>16.8</v>
      </c>
      <c r="AU560">
        <v>39.200000000000003</v>
      </c>
      <c r="AV560">
        <v>46</v>
      </c>
      <c r="AW560">
        <v>10.199999999999999</v>
      </c>
      <c r="AX560">
        <v>38.61</v>
      </c>
      <c r="AY560">
        <v>0.9</v>
      </c>
      <c r="AZ560">
        <v>2.8</v>
      </c>
      <c r="BA560">
        <v>199.31180000000001</v>
      </c>
      <c r="BB560">
        <v>48.362699999999997</v>
      </c>
      <c r="BC560">
        <v>31.181899999999999</v>
      </c>
      <c r="BD560">
        <v>0</v>
      </c>
      <c r="BE560">
        <v>23.133299999999998</v>
      </c>
      <c r="BH560">
        <v>83.1</v>
      </c>
    </row>
    <row r="561" spans="1:60" x14ac:dyDescent="0.25">
      <c r="A561" s="2">
        <v>44940</v>
      </c>
      <c r="C561">
        <v>0</v>
      </c>
      <c r="F561">
        <v>31.39</v>
      </c>
      <c r="K561">
        <v>37.402999999999999</v>
      </c>
      <c r="P561">
        <v>81.69</v>
      </c>
      <c r="S561">
        <f t="shared" si="179"/>
        <v>68.793000000000006</v>
      </c>
      <c r="T561">
        <f t="shared" si="180"/>
        <v>0</v>
      </c>
      <c r="U561">
        <f t="shared" si="181"/>
        <v>0</v>
      </c>
      <c r="V561">
        <f t="shared" si="182"/>
        <v>0</v>
      </c>
      <c r="W561">
        <f t="shared" si="183"/>
        <v>0</v>
      </c>
      <c r="X561">
        <f t="shared" si="184"/>
        <v>2.9427026084494653E-2</v>
      </c>
      <c r="Y561">
        <f t="shared" si="185"/>
        <v>0</v>
      </c>
      <c r="Z561">
        <f t="shared" si="186"/>
        <v>0</v>
      </c>
      <c r="AA561">
        <f t="shared" si="187"/>
        <v>0</v>
      </c>
      <c r="AB561">
        <f t="shared" si="188"/>
        <v>0</v>
      </c>
      <c r="AC561">
        <f t="shared" si="189"/>
        <v>3.5064003078635025E-2</v>
      </c>
      <c r="AD561">
        <f t="shared" si="190"/>
        <v>0</v>
      </c>
      <c r="AE561">
        <f t="shared" si="191"/>
        <v>0</v>
      </c>
      <c r="AG561">
        <f t="shared" si="192"/>
        <v>0.8980902779659431</v>
      </c>
      <c r="AH561">
        <f t="shared" si="193"/>
        <v>2.9427026084494653E-2</v>
      </c>
      <c r="AI561">
        <f t="shared" si="194"/>
        <v>-1.7097300227278935</v>
      </c>
      <c r="AK561" s="26">
        <f t="shared" si="195"/>
        <v>-4.4717888102080466E-2</v>
      </c>
      <c r="AL561" s="26">
        <f t="shared" si="196"/>
        <v>-3.783424290685887E-2</v>
      </c>
      <c r="AM561" s="26">
        <f t="shared" si="197"/>
        <v>-2.1246065472819459E-2</v>
      </c>
      <c r="AN561" s="26">
        <f t="shared" si="198"/>
        <v>12.669999999999987</v>
      </c>
      <c r="AO561" s="26">
        <f t="shared" si="199"/>
        <v>10.382854991394126</v>
      </c>
      <c r="AP561" s="26">
        <f t="shared" si="200"/>
        <v>6.9047593287990736</v>
      </c>
      <c r="AS561" s="2">
        <v>44919</v>
      </c>
      <c r="AU561">
        <v>35.799999999999997</v>
      </c>
      <c r="AX561">
        <v>28.96</v>
      </c>
      <c r="BC561">
        <v>46.517499999999998</v>
      </c>
      <c r="BH561">
        <v>82.98</v>
      </c>
    </row>
    <row r="562" spans="1:60" x14ac:dyDescent="0.25">
      <c r="A562" s="2">
        <v>44939</v>
      </c>
      <c r="C562">
        <v>0</v>
      </c>
      <c r="F562">
        <v>36.450000000000003</v>
      </c>
      <c r="K562">
        <v>62.817599999999999</v>
      </c>
      <c r="N562">
        <v>-3.4964</v>
      </c>
      <c r="O562">
        <v>28.500699999999998</v>
      </c>
      <c r="P562">
        <v>81.88</v>
      </c>
      <c r="S562">
        <f t="shared" si="179"/>
        <v>99.267600000000002</v>
      </c>
      <c r="T562">
        <f t="shared" si="180"/>
        <v>0</v>
      </c>
      <c r="U562">
        <f t="shared" si="181"/>
        <v>0</v>
      </c>
      <c r="V562">
        <f t="shared" si="182"/>
        <v>0</v>
      </c>
      <c r="W562">
        <f t="shared" si="183"/>
        <v>0</v>
      </c>
      <c r="X562">
        <f t="shared" si="184"/>
        <v>3.4170598941695766E-2</v>
      </c>
      <c r="Y562">
        <f t="shared" si="185"/>
        <v>0</v>
      </c>
      <c r="Z562">
        <f t="shared" si="186"/>
        <v>0</v>
      </c>
      <c r="AA562">
        <f t="shared" si="187"/>
        <v>0</v>
      </c>
      <c r="AB562">
        <f t="shared" si="188"/>
        <v>0</v>
      </c>
      <c r="AC562">
        <f t="shared" si="189"/>
        <v>5.8889300852671272E-2</v>
      </c>
      <c r="AD562">
        <f t="shared" si="190"/>
        <v>0</v>
      </c>
      <c r="AE562">
        <f t="shared" si="191"/>
        <v>0</v>
      </c>
      <c r="AG562">
        <f t="shared" si="192"/>
        <v>0.91071951271143892</v>
      </c>
      <c r="AH562">
        <f t="shared" si="193"/>
        <v>3.4170598941695766E-2</v>
      </c>
      <c r="AI562">
        <f t="shared" si="194"/>
        <v>-1.6797097332021038</v>
      </c>
      <c r="AK562" s="26">
        <f t="shared" si="195"/>
        <v>-4.0648351085758205E-2</v>
      </c>
      <c r="AL562" s="26">
        <f t="shared" si="196"/>
        <v>-3.7449626676067452E-2</v>
      </c>
      <c r="AM562" s="26">
        <f t="shared" si="197"/>
        <v>-1.9910101675609748E-2</v>
      </c>
      <c r="AN562" s="26">
        <f t="shared" si="198"/>
        <v>12.295238095238105</v>
      </c>
      <c r="AO562" s="26">
        <f t="shared" si="199"/>
        <v>10.22333691910498</v>
      </c>
      <c r="AP562" s="26">
        <f t="shared" si="200"/>
        <v>6.7503510937212212</v>
      </c>
      <c r="AS562" s="2">
        <v>44918</v>
      </c>
      <c r="AU562">
        <v>11.6</v>
      </c>
      <c r="AX562">
        <v>12.92</v>
      </c>
      <c r="BC562">
        <v>78.907899999999998</v>
      </c>
      <c r="BF562">
        <v>3.9104999999999999</v>
      </c>
      <c r="BG562">
        <v>59.147100000000002</v>
      </c>
      <c r="BH562">
        <v>82.91</v>
      </c>
    </row>
    <row r="563" spans="1:60" x14ac:dyDescent="0.25">
      <c r="A563" s="2">
        <v>44938</v>
      </c>
      <c r="C563">
        <v>0</v>
      </c>
      <c r="F563">
        <v>20.100000000000001</v>
      </c>
      <c r="K563">
        <v>46.347700000000003</v>
      </c>
      <c r="N563">
        <v>-9.1301000000000005</v>
      </c>
      <c r="O563">
        <v>25.096900000000002</v>
      </c>
      <c r="P563">
        <v>82.12</v>
      </c>
      <c r="S563">
        <f t="shared" si="179"/>
        <v>66.447699999999998</v>
      </c>
      <c r="T563">
        <f t="shared" si="180"/>
        <v>0</v>
      </c>
      <c r="U563">
        <f t="shared" si="181"/>
        <v>0</v>
      </c>
      <c r="V563">
        <f t="shared" si="182"/>
        <v>0</v>
      </c>
      <c r="W563">
        <f t="shared" si="183"/>
        <v>0</v>
      </c>
      <c r="X563">
        <f t="shared" si="184"/>
        <v>1.8843046329988612E-2</v>
      </c>
      <c r="Y563">
        <f t="shared" si="185"/>
        <v>0</v>
      </c>
      <c r="Z563">
        <f t="shared" si="186"/>
        <v>0</v>
      </c>
      <c r="AA563">
        <f t="shared" si="187"/>
        <v>0</v>
      </c>
      <c r="AB563">
        <f t="shared" si="188"/>
        <v>0</v>
      </c>
      <c r="AC563">
        <f t="shared" si="189"/>
        <v>4.3449346188478268E-2</v>
      </c>
      <c r="AD563">
        <f t="shared" si="190"/>
        <v>0</v>
      </c>
      <c r="AE563">
        <f t="shared" si="191"/>
        <v>0</v>
      </c>
      <c r="AG563">
        <f t="shared" si="192"/>
        <v>0.9255493082007723</v>
      </c>
      <c r="AH563">
        <f t="shared" si="193"/>
        <v>1.8843046329988612E-2</v>
      </c>
      <c r="AI563">
        <f t="shared" si="194"/>
        <v>-1.8128717909040468</v>
      </c>
      <c r="AK563" s="26">
        <f t="shared" si="195"/>
        <v>-4.1149048161661317E-2</v>
      </c>
      <c r="AL563" s="26">
        <f t="shared" si="196"/>
        <v>-3.8949998572544067E-2</v>
      </c>
      <c r="AM563" s="26">
        <f t="shared" si="197"/>
        <v>-1.8218359175888044E-2</v>
      </c>
      <c r="AN563" s="26">
        <f t="shared" si="198"/>
        <v>11.945714285714303</v>
      </c>
      <c r="AO563" s="26">
        <f t="shared" si="199"/>
        <v>10.07588855421686</v>
      </c>
      <c r="AP563" s="26">
        <f t="shared" si="200"/>
        <v>6.6028491898846653</v>
      </c>
      <c r="AS563" s="2">
        <v>44917</v>
      </c>
      <c r="AT563">
        <v>10.5</v>
      </c>
      <c r="AU563">
        <v>0.7</v>
      </c>
      <c r="AV563">
        <v>64.2</v>
      </c>
      <c r="AW563">
        <v>16.899999999999999</v>
      </c>
      <c r="AX563">
        <v>19.690000000000001</v>
      </c>
      <c r="AY563">
        <v>0.7</v>
      </c>
      <c r="AZ563">
        <v>2.7</v>
      </c>
      <c r="BA563">
        <v>303.9171</v>
      </c>
      <c r="BB563">
        <v>136.92240000000001</v>
      </c>
      <c r="BC563">
        <v>60.861199999999997</v>
      </c>
      <c r="BD563">
        <v>2.6280000000000001</v>
      </c>
      <c r="BE563">
        <v>17.364699999999999</v>
      </c>
      <c r="BF563">
        <v>7.0045000000000002</v>
      </c>
      <c r="BG563">
        <v>79.3673</v>
      </c>
      <c r="BH563">
        <v>82.94</v>
      </c>
    </row>
    <row r="564" spans="1:60" x14ac:dyDescent="0.25">
      <c r="A564" s="2">
        <v>44937</v>
      </c>
      <c r="C564">
        <v>0</v>
      </c>
      <c r="F564">
        <v>19.649999999999999</v>
      </c>
      <c r="K564">
        <v>64.338899999999995</v>
      </c>
      <c r="N564">
        <v>-8.3328000000000007</v>
      </c>
      <c r="O564">
        <v>27.280200000000001</v>
      </c>
      <c r="P564">
        <v>82.32</v>
      </c>
      <c r="S564">
        <f t="shared" si="179"/>
        <v>83.988900000000001</v>
      </c>
      <c r="T564">
        <f t="shared" si="180"/>
        <v>0</v>
      </c>
      <c r="U564">
        <f t="shared" si="181"/>
        <v>0</v>
      </c>
      <c r="V564">
        <f t="shared" si="182"/>
        <v>0</v>
      </c>
      <c r="W564">
        <f t="shared" si="183"/>
        <v>0</v>
      </c>
      <c r="X564">
        <f t="shared" si="184"/>
        <v>1.8421187083794834E-2</v>
      </c>
      <c r="Y564">
        <f t="shared" si="185"/>
        <v>0</v>
      </c>
      <c r="Z564">
        <f t="shared" si="186"/>
        <v>0</v>
      </c>
      <c r="AA564">
        <f t="shared" si="187"/>
        <v>0</v>
      </c>
      <c r="AB564">
        <f t="shared" si="188"/>
        <v>0</v>
      </c>
      <c r="AC564">
        <f t="shared" si="189"/>
        <v>6.0315466344303688E-2</v>
      </c>
      <c r="AD564">
        <f t="shared" si="190"/>
        <v>0</v>
      </c>
      <c r="AE564">
        <f t="shared" si="191"/>
        <v>0</v>
      </c>
      <c r="AG564">
        <f t="shared" si="192"/>
        <v>0.93836582535336288</v>
      </c>
      <c r="AH564">
        <f t="shared" si="193"/>
        <v>1.8421187083794834E-2</v>
      </c>
      <c r="AI564">
        <f t="shared" si="194"/>
        <v>-1.8243941869975253</v>
      </c>
      <c r="AK564" s="26">
        <f t="shared" si="195"/>
        <v>-3.511909774738399E-2</v>
      </c>
      <c r="AL564" s="26">
        <f t="shared" si="196"/>
        <v>-3.6158882661551262E-2</v>
      </c>
      <c r="AM564" s="26">
        <f t="shared" si="197"/>
        <v>-1.6862609449010552E-2</v>
      </c>
      <c r="AN564" s="26">
        <f t="shared" si="198"/>
        <v>11.583650793650804</v>
      </c>
      <c r="AO564" s="26">
        <f t="shared" si="199"/>
        <v>9.9273838209982728</v>
      </c>
      <c r="AP564" s="26">
        <f t="shared" si="200"/>
        <v>6.4551934035345084</v>
      </c>
      <c r="AS564" s="2">
        <v>44916</v>
      </c>
      <c r="AT564">
        <v>9.9</v>
      </c>
      <c r="AU564">
        <v>0.9</v>
      </c>
      <c r="AV564">
        <v>56.7</v>
      </c>
      <c r="AW564">
        <v>13.4</v>
      </c>
      <c r="AX564">
        <v>16.940000000000001</v>
      </c>
      <c r="AY564">
        <v>0.5</v>
      </c>
      <c r="AZ564">
        <v>2.8</v>
      </c>
      <c r="BA564">
        <v>296.90280000000001</v>
      </c>
      <c r="BB564">
        <v>175.88720000000001</v>
      </c>
      <c r="BC564">
        <v>90.485200000000006</v>
      </c>
      <c r="BD564">
        <v>1.3320000000000001</v>
      </c>
      <c r="BE564">
        <v>19.919</v>
      </c>
      <c r="BF564">
        <v>11.685</v>
      </c>
      <c r="BG564">
        <v>96.066599999999994</v>
      </c>
      <c r="BH564">
        <v>83.03</v>
      </c>
    </row>
    <row r="565" spans="1:60" x14ac:dyDescent="0.25">
      <c r="A565" s="2">
        <v>44936</v>
      </c>
      <c r="C565">
        <v>2.4</v>
      </c>
      <c r="F565">
        <v>30</v>
      </c>
      <c r="K565">
        <v>68.304100000000005</v>
      </c>
      <c r="N565">
        <v>-13.6534</v>
      </c>
      <c r="O565">
        <v>27.416499999999999</v>
      </c>
      <c r="P565">
        <v>82.59</v>
      </c>
      <c r="S565">
        <f t="shared" si="179"/>
        <v>100.70410000000001</v>
      </c>
      <c r="T565">
        <f t="shared" si="180"/>
        <v>0</v>
      </c>
      <c r="U565">
        <f t="shared" si="181"/>
        <v>2.2499159797001326E-3</v>
      </c>
      <c r="V565">
        <f t="shared" si="182"/>
        <v>0</v>
      </c>
      <c r="W565">
        <f t="shared" si="183"/>
        <v>0</v>
      </c>
      <c r="X565">
        <f t="shared" si="184"/>
        <v>2.8123949746251656E-2</v>
      </c>
      <c r="Y565">
        <f t="shared" si="185"/>
        <v>0</v>
      </c>
      <c r="Z565">
        <f t="shared" si="186"/>
        <v>0</v>
      </c>
      <c r="AA565">
        <f t="shared" si="187"/>
        <v>0</v>
      </c>
      <c r="AB565">
        <f t="shared" si="188"/>
        <v>0</v>
      </c>
      <c r="AC565">
        <f t="shared" si="189"/>
        <v>6.4032702528764932E-2</v>
      </c>
      <c r="AD565">
        <f t="shared" si="190"/>
        <v>0</v>
      </c>
      <c r="AE565">
        <f t="shared" si="191"/>
        <v>0</v>
      </c>
      <c r="AG565">
        <f t="shared" si="192"/>
        <v>0.95442637848621614</v>
      </c>
      <c r="AH565">
        <f t="shared" si="193"/>
        <v>3.0373865725951788E-2</v>
      </c>
      <c r="AI565">
        <f t="shared" si="194"/>
        <v>-1.7353854252062464</v>
      </c>
      <c r="AK565" s="26">
        <f t="shared" si="195"/>
        <v>-3.4532860711101912E-2</v>
      </c>
      <c r="AL565" s="26">
        <f t="shared" si="196"/>
        <v>-3.3818152261777909E-2</v>
      </c>
      <c r="AM565" s="26">
        <f t="shared" si="197"/>
        <v>-1.6444503026748825E-2</v>
      </c>
      <c r="AN565" s="26">
        <f t="shared" si="198"/>
        <v>11.230952380952374</v>
      </c>
      <c r="AO565" s="26">
        <f t="shared" si="199"/>
        <v>9.7839694492254665</v>
      </c>
      <c r="AP565" s="26">
        <f t="shared" si="200"/>
        <v>6.3113573698169176</v>
      </c>
      <c r="AS565" s="2">
        <v>44915</v>
      </c>
      <c r="AT565">
        <v>9.4</v>
      </c>
      <c r="AU565">
        <v>1</v>
      </c>
      <c r="AV565">
        <v>67.5</v>
      </c>
      <c r="AW565">
        <v>27.9</v>
      </c>
      <c r="AX565">
        <v>12.91</v>
      </c>
      <c r="AY565">
        <v>0.9</v>
      </c>
      <c r="AZ565">
        <v>3.1</v>
      </c>
      <c r="BA565">
        <v>256.846</v>
      </c>
      <c r="BB565">
        <v>145.8732</v>
      </c>
      <c r="BC565">
        <v>105.0766</v>
      </c>
      <c r="BD565">
        <v>4.4661</v>
      </c>
      <c r="BE565">
        <v>32.055999999999997</v>
      </c>
      <c r="BF565">
        <v>18.5182</v>
      </c>
      <c r="BG565">
        <v>117.6035</v>
      </c>
      <c r="BH565">
        <v>83.18</v>
      </c>
    </row>
    <row r="566" spans="1:60" x14ac:dyDescent="0.25">
      <c r="A566" s="2">
        <v>44935</v>
      </c>
      <c r="C566">
        <v>29.2</v>
      </c>
      <c r="F566">
        <v>26.29</v>
      </c>
      <c r="K566">
        <v>64.191900000000004</v>
      </c>
      <c r="N566">
        <v>-12.509600000000001</v>
      </c>
      <c r="O566">
        <v>36.611899999999999</v>
      </c>
      <c r="P566">
        <v>82.83</v>
      </c>
      <c r="S566">
        <f t="shared" si="179"/>
        <v>119.6819</v>
      </c>
      <c r="T566">
        <f t="shared" si="180"/>
        <v>0</v>
      </c>
      <c r="U566">
        <f t="shared" si="181"/>
        <v>2.737397775301828E-2</v>
      </c>
      <c r="V566">
        <f t="shared" si="182"/>
        <v>0</v>
      </c>
      <c r="W566">
        <f t="shared" si="183"/>
        <v>0</v>
      </c>
      <c r="X566">
        <f t="shared" si="184"/>
        <v>2.4645954627631868E-2</v>
      </c>
      <c r="Y566">
        <f t="shared" si="185"/>
        <v>0</v>
      </c>
      <c r="Z566">
        <f t="shared" si="186"/>
        <v>0</v>
      </c>
      <c r="AA566">
        <f t="shared" si="187"/>
        <v>0</v>
      </c>
      <c r="AB566">
        <f t="shared" si="188"/>
        <v>0</v>
      </c>
      <c r="AC566">
        <f t="shared" si="189"/>
        <v>6.0177658990547063E-2</v>
      </c>
      <c r="AD566">
        <f t="shared" si="190"/>
        <v>0</v>
      </c>
      <c r="AE566">
        <f t="shared" si="191"/>
        <v>0</v>
      </c>
      <c r="AG566">
        <f t="shared" si="192"/>
        <v>0.9690709615830051</v>
      </c>
      <c r="AH566">
        <f t="shared" si="193"/>
        <v>5.2019932380650148E-2</v>
      </c>
      <c r="AI566">
        <f t="shared" si="194"/>
        <v>-1.5627584699848247</v>
      </c>
      <c r="AK566" s="26">
        <f t="shared" si="195"/>
        <v>-3.0800172722716596E-2</v>
      </c>
      <c r="AL566" s="26">
        <f t="shared" si="196"/>
        <v>-3.127082559418802E-2</v>
      </c>
      <c r="AM566" s="26">
        <f t="shared" si="197"/>
        <v>-1.5445124000410621E-2</v>
      </c>
      <c r="AN566" s="26">
        <f t="shared" si="198"/>
        <v>10.888412698412708</v>
      </c>
      <c r="AO566" s="26">
        <f t="shared" si="199"/>
        <v>9.6450580895008358</v>
      </c>
      <c r="AP566" s="26">
        <f t="shared" si="200"/>
        <v>6.1710188808066562</v>
      </c>
      <c r="AS566" s="2">
        <v>44914</v>
      </c>
      <c r="AT566">
        <v>9.1999999999999993</v>
      </c>
      <c r="AU566">
        <v>5</v>
      </c>
      <c r="AV566">
        <v>76.599999999999994</v>
      </c>
      <c r="AW566">
        <v>26</v>
      </c>
      <c r="AX566">
        <v>7.97</v>
      </c>
      <c r="AY566">
        <v>0.9</v>
      </c>
      <c r="AZ566">
        <v>3.1</v>
      </c>
      <c r="BA566">
        <v>267.62020000000001</v>
      </c>
      <c r="BB566">
        <v>144.1746</v>
      </c>
      <c r="BC566">
        <v>125.3888</v>
      </c>
      <c r="BD566">
        <v>0</v>
      </c>
      <c r="BE566">
        <v>21.724699999999999</v>
      </c>
      <c r="BF566">
        <v>13.983599999999999</v>
      </c>
      <c r="BG566">
        <v>118.218</v>
      </c>
      <c r="BH566">
        <v>83.45</v>
      </c>
    </row>
    <row r="567" spans="1:60" x14ac:dyDescent="0.25">
      <c r="A567" s="2">
        <v>44934</v>
      </c>
      <c r="C567">
        <v>0</v>
      </c>
      <c r="F567">
        <v>23.95</v>
      </c>
      <c r="K567">
        <v>32.175800000000002</v>
      </c>
      <c r="P567">
        <v>83.05</v>
      </c>
      <c r="S567">
        <f t="shared" si="179"/>
        <v>56.125799999999998</v>
      </c>
      <c r="T567">
        <f t="shared" si="180"/>
        <v>0</v>
      </c>
      <c r="U567">
        <f t="shared" si="181"/>
        <v>0</v>
      </c>
      <c r="V567">
        <f t="shared" si="182"/>
        <v>0</v>
      </c>
      <c r="W567">
        <f t="shared" si="183"/>
        <v>0</v>
      </c>
      <c r="X567">
        <f t="shared" si="184"/>
        <v>2.245228654742424E-2</v>
      </c>
      <c r="Y567">
        <f t="shared" si="185"/>
        <v>0</v>
      </c>
      <c r="Z567">
        <f t="shared" si="186"/>
        <v>0</v>
      </c>
      <c r="AA567">
        <f t="shared" si="187"/>
        <v>0</v>
      </c>
      <c r="AB567">
        <f t="shared" si="188"/>
        <v>0</v>
      </c>
      <c r="AC567">
        <f t="shared" si="189"/>
        <v>3.0163686074848137E-2</v>
      </c>
      <c r="AD567">
        <f t="shared" si="190"/>
        <v>0</v>
      </c>
      <c r="AE567">
        <f t="shared" si="191"/>
        <v>0</v>
      </c>
      <c r="AG567">
        <f t="shared" si="192"/>
        <v>0.98274686166967562</v>
      </c>
      <c r="AH567">
        <f t="shared" si="193"/>
        <v>2.245228654742424E-2</v>
      </c>
      <c r="AI567">
        <f t="shared" si="194"/>
        <v>-1.8108938600618618</v>
      </c>
      <c r="AK567" s="26">
        <f t="shared" si="195"/>
        <v>-2.7535602669718801E-2</v>
      </c>
      <c r="AL567" s="26">
        <f t="shared" si="196"/>
        <v>-2.8913872310296032E-2</v>
      </c>
      <c r="AM567" s="26">
        <f t="shared" si="197"/>
        <v>-1.5234900010445113E-2</v>
      </c>
      <c r="AN567" s="26">
        <f t="shared" si="198"/>
        <v>10.561904761904771</v>
      </c>
      <c r="AO567" s="26">
        <f t="shared" si="199"/>
        <v>9.5127388123924277</v>
      </c>
      <c r="AP567" s="26">
        <f t="shared" si="200"/>
        <v>6.0332564796092214</v>
      </c>
      <c r="AS567" s="2">
        <v>44913</v>
      </c>
      <c r="AT567">
        <v>9.5</v>
      </c>
      <c r="AU567">
        <v>5.0999999999999996</v>
      </c>
      <c r="AV567">
        <v>67.8</v>
      </c>
      <c r="AW567">
        <v>14.8</v>
      </c>
      <c r="AX567">
        <v>19.18</v>
      </c>
      <c r="AY567">
        <v>0.7</v>
      </c>
      <c r="AZ567">
        <v>3.1</v>
      </c>
      <c r="BA567">
        <v>299.33999999999997</v>
      </c>
      <c r="BB567">
        <v>208.60730000000001</v>
      </c>
      <c r="BC567">
        <v>110.5017</v>
      </c>
      <c r="BD567">
        <v>0</v>
      </c>
      <c r="BE567">
        <v>16.239799999999999</v>
      </c>
      <c r="BH567">
        <v>83.82</v>
      </c>
    </row>
    <row r="568" spans="1:60" x14ac:dyDescent="0.25">
      <c r="A568" s="2">
        <v>44933</v>
      </c>
      <c r="C568">
        <v>0</v>
      </c>
      <c r="F568">
        <v>46.86</v>
      </c>
      <c r="K568">
        <v>35.664200000000001</v>
      </c>
      <c r="P568">
        <v>83.12</v>
      </c>
      <c r="S568">
        <f t="shared" si="179"/>
        <v>82.524200000000008</v>
      </c>
      <c r="T568">
        <f t="shared" si="180"/>
        <v>0</v>
      </c>
      <c r="U568">
        <f t="shared" si="181"/>
        <v>0</v>
      </c>
      <c r="V568">
        <f t="shared" si="182"/>
        <v>0</v>
      </c>
      <c r="W568">
        <f t="shared" si="183"/>
        <v>0</v>
      </c>
      <c r="X568">
        <f t="shared" si="184"/>
        <v>4.3929609503645085E-2</v>
      </c>
      <c r="Y568">
        <f t="shared" si="185"/>
        <v>0</v>
      </c>
      <c r="Z568">
        <f t="shared" si="186"/>
        <v>0</v>
      </c>
      <c r="AA568">
        <f t="shared" si="187"/>
        <v>0</v>
      </c>
      <c r="AB568">
        <f t="shared" si="188"/>
        <v>0</v>
      </c>
      <c r="AC568">
        <f t="shared" si="189"/>
        <v>3.3433938951342279E-2</v>
      </c>
      <c r="AD568">
        <f t="shared" si="190"/>
        <v>0</v>
      </c>
      <c r="AE568">
        <f t="shared" si="191"/>
        <v>0</v>
      </c>
      <c r="AG568">
        <f t="shared" si="192"/>
        <v>0.98960485716564739</v>
      </c>
      <c r="AH568">
        <f t="shared" si="193"/>
        <v>4.3929609503645085E-2</v>
      </c>
      <c r="AI568">
        <f t="shared" si="194"/>
        <v>-1.6439587695972475</v>
      </c>
      <c r="AK568" s="26">
        <f t="shared" si="195"/>
        <v>-2.2962352321084123E-2</v>
      </c>
      <c r="AL568" s="26">
        <f t="shared" si="196"/>
        <v>-2.864376412047058E-2</v>
      </c>
      <c r="AM568" s="26">
        <f t="shared" si="197"/>
        <v>-1.5525211262172878E-2</v>
      </c>
      <c r="AN568" s="26">
        <f t="shared" si="198"/>
        <v>10.260476190476183</v>
      </c>
      <c r="AO568" s="26">
        <f t="shared" si="199"/>
        <v>9.3875602409638503</v>
      </c>
      <c r="AP568" s="26">
        <f t="shared" si="200"/>
        <v>5.8972752816364533</v>
      </c>
      <c r="AS568" s="2">
        <v>44912</v>
      </c>
      <c r="AU568">
        <v>22.3</v>
      </c>
      <c r="AX568">
        <v>16.8</v>
      </c>
      <c r="BC568">
        <v>159.73179999999999</v>
      </c>
      <c r="BH568">
        <v>84.18</v>
      </c>
    </row>
    <row r="569" spans="1:60" x14ac:dyDescent="0.25">
      <c r="A569" s="2">
        <v>44932</v>
      </c>
      <c r="C569">
        <v>0</v>
      </c>
      <c r="F569">
        <v>30.94</v>
      </c>
      <c r="K569">
        <v>60.141300000000001</v>
      </c>
      <c r="N569">
        <v>-4.6451000000000002</v>
      </c>
      <c r="O569">
        <v>36.084499999999998</v>
      </c>
      <c r="P569">
        <v>83.16</v>
      </c>
      <c r="S569">
        <f t="shared" si="179"/>
        <v>91.081299999999999</v>
      </c>
      <c r="T569">
        <f t="shared" si="180"/>
        <v>0</v>
      </c>
      <c r="U569">
        <f t="shared" si="181"/>
        <v>0</v>
      </c>
      <c r="V569">
        <f t="shared" si="182"/>
        <v>0</v>
      </c>
      <c r="W569">
        <f t="shared" si="183"/>
        <v>0</v>
      </c>
      <c r="X569">
        <f t="shared" si="184"/>
        <v>2.9005166838300876E-2</v>
      </c>
      <c r="Y569">
        <f t="shared" si="185"/>
        <v>0</v>
      </c>
      <c r="Z569">
        <f t="shared" si="186"/>
        <v>0</v>
      </c>
      <c r="AA569">
        <f t="shared" si="187"/>
        <v>0</v>
      </c>
      <c r="AB569">
        <f t="shared" si="188"/>
        <v>0</v>
      </c>
      <c r="AC569">
        <f t="shared" si="189"/>
        <v>5.6380363295808159E-2</v>
      </c>
      <c r="AD569">
        <f t="shared" si="190"/>
        <v>0</v>
      </c>
      <c r="AE569">
        <f t="shared" si="191"/>
        <v>0</v>
      </c>
      <c r="AG569">
        <f t="shared" si="192"/>
        <v>0.99506029390656936</v>
      </c>
      <c r="AH569">
        <f t="shared" si="193"/>
        <v>2.9005166838300876E-2</v>
      </c>
      <c r="AI569">
        <f t="shared" si="194"/>
        <v>-1.7747771554329816</v>
      </c>
      <c r="AK569" s="26">
        <f t="shared" si="195"/>
        <v>-2.2182687984293237E-2</v>
      </c>
      <c r="AL569" s="26">
        <f t="shared" si="196"/>
        <v>-2.9681205719517725E-2</v>
      </c>
      <c r="AM569" s="26">
        <f t="shared" si="197"/>
        <v>-1.5577670331948346E-2</v>
      </c>
      <c r="AN569" s="26">
        <f t="shared" si="198"/>
        <v>9.9855555555555782</v>
      </c>
      <c r="AO569" s="26">
        <f t="shared" si="199"/>
        <v>9.2666351118760701</v>
      </c>
      <c r="AP569" s="26">
        <f t="shared" si="200"/>
        <v>5.7636317323599116</v>
      </c>
      <c r="AS569" s="2">
        <v>44911</v>
      </c>
      <c r="AU569">
        <v>0.3</v>
      </c>
      <c r="AX569">
        <v>17.73</v>
      </c>
      <c r="BC569">
        <v>231.1781</v>
      </c>
      <c r="BF569">
        <v>20.247499999999999</v>
      </c>
      <c r="BG569">
        <v>138.1721</v>
      </c>
      <c r="BH569">
        <v>84.6</v>
      </c>
    </row>
    <row r="570" spans="1:60" x14ac:dyDescent="0.25">
      <c r="A570" s="2">
        <v>44931</v>
      </c>
      <c r="C570">
        <v>33.200000000000003</v>
      </c>
      <c r="F570">
        <v>23.28</v>
      </c>
      <c r="K570">
        <v>54.267600000000002</v>
      </c>
      <c r="N570">
        <v>-3.4855999999999998</v>
      </c>
      <c r="O570">
        <v>39.127299999999998</v>
      </c>
      <c r="P570">
        <v>83.21</v>
      </c>
      <c r="S570">
        <f t="shared" si="179"/>
        <v>110.74760000000001</v>
      </c>
      <c r="T570">
        <f t="shared" si="180"/>
        <v>0</v>
      </c>
      <c r="U570">
        <f t="shared" si="181"/>
        <v>3.1123837719185171E-2</v>
      </c>
      <c r="V570">
        <f t="shared" si="182"/>
        <v>0</v>
      </c>
      <c r="W570">
        <f t="shared" si="183"/>
        <v>0</v>
      </c>
      <c r="X570">
        <f t="shared" si="184"/>
        <v>2.1824185003091287E-2</v>
      </c>
      <c r="Y570">
        <f t="shared" si="185"/>
        <v>0</v>
      </c>
      <c r="Z570">
        <f t="shared" si="186"/>
        <v>0</v>
      </c>
      <c r="AA570">
        <f t="shared" si="187"/>
        <v>0</v>
      </c>
      <c r="AB570">
        <f t="shared" si="188"/>
        <v>0</v>
      </c>
      <c r="AC570">
        <f t="shared" si="189"/>
        <v>5.0873975174989552E-2</v>
      </c>
      <c r="AD570">
        <f t="shared" si="190"/>
        <v>0</v>
      </c>
      <c r="AE570">
        <f t="shared" si="191"/>
        <v>0</v>
      </c>
      <c r="AG570">
        <f t="shared" si="192"/>
        <v>1.0009074736268107</v>
      </c>
      <c r="AH570">
        <f t="shared" si="193"/>
        <v>5.2948022722276458E-2</v>
      </c>
      <c r="AI570">
        <f t="shared" si="194"/>
        <v>-1.5849092627940915</v>
      </c>
      <c r="AK570" s="26">
        <f t="shared" si="195"/>
        <v>-2.2328161718425166E-2</v>
      </c>
      <c r="AL570" s="26">
        <f t="shared" si="196"/>
        <v>-2.8007483960516527E-2</v>
      </c>
      <c r="AM570" s="26">
        <f t="shared" si="197"/>
        <v>-1.5654988789221058E-2</v>
      </c>
      <c r="AN570" s="26">
        <f t="shared" si="198"/>
        <v>9.7380952380952408</v>
      </c>
      <c r="AO570" s="26">
        <f t="shared" si="199"/>
        <v>9.1498924268502577</v>
      </c>
      <c r="AP570" s="26">
        <f t="shared" si="200"/>
        <v>5.6329156272156098</v>
      </c>
      <c r="AS570" s="2">
        <v>44910</v>
      </c>
      <c r="AT570">
        <v>10.8</v>
      </c>
      <c r="AU570">
        <v>1.1000000000000001</v>
      </c>
      <c r="AV570">
        <v>44.8</v>
      </c>
      <c r="AW570">
        <v>6.3</v>
      </c>
      <c r="AX570">
        <v>21.8</v>
      </c>
      <c r="AY570">
        <v>0.8</v>
      </c>
      <c r="AZ570">
        <v>3.6</v>
      </c>
      <c r="BA570">
        <v>350.22140000000002</v>
      </c>
      <c r="BB570">
        <v>266.02980000000002</v>
      </c>
      <c r="BC570">
        <v>240.71770000000001</v>
      </c>
      <c r="BD570">
        <v>7.1807999999999996</v>
      </c>
      <c r="BE570">
        <v>37.0197</v>
      </c>
      <c r="BF570">
        <v>16.594999999999999</v>
      </c>
      <c r="BG570">
        <v>167.29040000000001</v>
      </c>
      <c r="BH570">
        <v>85.18</v>
      </c>
    </row>
    <row r="571" spans="1:60" x14ac:dyDescent="0.25">
      <c r="A571" s="2">
        <v>44930</v>
      </c>
      <c r="C571">
        <v>0</v>
      </c>
      <c r="F571">
        <v>14.19</v>
      </c>
      <c r="K571">
        <v>25.290800000000001</v>
      </c>
      <c r="N571">
        <v>-1.8258000000000001</v>
      </c>
      <c r="O571">
        <v>26.4483</v>
      </c>
      <c r="P571">
        <v>83.34</v>
      </c>
      <c r="S571">
        <f t="shared" si="179"/>
        <v>39.480800000000002</v>
      </c>
      <c r="T571">
        <f t="shared" si="180"/>
        <v>0</v>
      </c>
      <c r="U571">
        <f t="shared" si="181"/>
        <v>0</v>
      </c>
      <c r="V571">
        <f t="shared" si="182"/>
        <v>0</v>
      </c>
      <c r="W571">
        <f t="shared" si="183"/>
        <v>0</v>
      </c>
      <c r="X571">
        <f t="shared" si="184"/>
        <v>1.3302628229977033E-2</v>
      </c>
      <c r="Y571">
        <f t="shared" si="185"/>
        <v>0</v>
      </c>
      <c r="Z571">
        <f t="shared" si="186"/>
        <v>0</v>
      </c>
      <c r="AA571">
        <f t="shared" si="187"/>
        <v>0</v>
      </c>
      <c r="AB571">
        <f t="shared" si="188"/>
        <v>0</v>
      </c>
      <c r="AC571">
        <f t="shared" si="189"/>
        <v>2.3709239608083382E-2</v>
      </c>
      <c r="AD571">
        <f t="shared" si="190"/>
        <v>0</v>
      </c>
      <c r="AE571">
        <f t="shared" si="191"/>
        <v>0</v>
      </c>
      <c r="AG571">
        <f t="shared" si="192"/>
        <v>1.0103310245734403</v>
      </c>
      <c r="AH571">
        <f t="shared" si="193"/>
        <v>1.3302628229977033E-2</v>
      </c>
      <c r="AI571">
        <f t="shared" si="194"/>
        <v>-1.9218272713522584</v>
      </c>
      <c r="AK571" s="26">
        <f t="shared" si="195"/>
        <v>-1.9089102617514647E-2</v>
      </c>
      <c r="AL571" s="26">
        <f t="shared" si="196"/>
        <v>-2.5238379961487936E-2</v>
      </c>
      <c r="AM571" s="26">
        <f t="shared" si="197"/>
        <v>-1.605059515806484E-2</v>
      </c>
      <c r="AN571" s="26">
        <f t="shared" si="198"/>
        <v>9.5253968253968395</v>
      </c>
      <c r="AO571" s="26">
        <f t="shared" si="199"/>
        <v>9.0379302925989435</v>
      </c>
      <c r="AP571" s="26">
        <f t="shared" si="200"/>
        <v>5.5060134975446431</v>
      </c>
      <c r="AS571" s="2">
        <v>44909</v>
      </c>
      <c r="AT571">
        <v>11</v>
      </c>
      <c r="AU571">
        <v>86.2</v>
      </c>
      <c r="AV571">
        <v>40.9</v>
      </c>
      <c r="AW571">
        <v>8</v>
      </c>
      <c r="AX571">
        <v>16.82</v>
      </c>
      <c r="AY571">
        <v>0.6</v>
      </c>
      <c r="AZ571">
        <v>3.7</v>
      </c>
      <c r="BA571">
        <v>371.65030000000002</v>
      </c>
      <c r="BB571">
        <v>290.0729</v>
      </c>
      <c r="BC571">
        <v>231.9298</v>
      </c>
      <c r="BD571">
        <v>4.7496999999999998</v>
      </c>
      <c r="BE571">
        <v>43.968499999999999</v>
      </c>
      <c r="BF571">
        <v>16.8566</v>
      </c>
      <c r="BG571">
        <v>158.60079999999999</v>
      </c>
      <c r="BH571">
        <v>85.85</v>
      </c>
    </row>
    <row r="572" spans="1:60" x14ac:dyDescent="0.25">
      <c r="A572" s="2">
        <v>44929</v>
      </c>
      <c r="B572">
        <v>13.5</v>
      </c>
      <c r="C572">
        <v>2.7</v>
      </c>
      <c r="D572">
        <v>58.5</v>
      </c>
      <c r="E572">
        <v>9.6</v>
      </c>
      <c r="F572">
        <v>45.25</v>
      </c>
      <c r="G572">
        <v>0.9</v>
      </c>
      <c r="H572">
        <v>3.3</v>
      </c>
      <c r="I572">
        <v>316.63339999999999</v>
      </c>
      <c r="J572">
        <v>142.6816</v>
      </c>
      <c r="K572">
        <v>54.869399999999999</v>
      </c>
      <c r="L572">
        <v>2.8708999999999998</v>
      </c>
      <c r="M572">
        <v>41.225099999999998</v>
      </c>
      <c r="N572">
        <v>4.7252000000000001</v>
      </c>
      <c r="O572">
        <v>41.948700000000002</v>
      </c>
      <c r="P572">
        <v>83.41</v>
      </c>
      <c r="S572">
        <f t="shared" si="179"/>
        <v>692.0304000000001</v>
      </c>
      <c r="T572">
        <f t="shared" si="180"/>
        <v>1.2655777385813246E-2</v>
      </c>
      <c r="U572">
        <f t="shared" si="181"/>
        <v>2.5311554771626494E-3</v>
      </c>
      <c r="V572">
        <f t="shared" si="182"/>
        <v>5.4841702005190729E-2</v>
      </c>
      <c r="W572">
        <f t="shared" si="183"/>
        <v>8.9996639188005302E-3</v>
      </c>
      <c r="X572">
        <f t="shared" si="184"/>
        <v>4.2420290867262914E-2</v>
      </c>
      <c r="Y572">
        <f t="shared" si="185"/>
        <v>8.4371849238754971E-4</v>
      </c>
      <c r="Z572">
        <f t="shared" si="186"/>
        <v>3.0936344720876819E-3</v>
      </c>
      <c r="AA572">
        <f t="shared" si="187"/>
        <v>0.29683272765282664</v>
      </c>
      <c r="AB572">
        <f t="shared" si="188"/>
        <v>0.13375900493715936</v>
      </c>
      <c r="AC572">
        <f t="shared" si="189"/>
        <v>5.1438141606899357E-2</v>
      </c>
      <c r="AD572">
        <f t="shared" si="190"/>
        <v>2.6913682442171291E-3</v>
      </c>
      <c r="AE572">
        <f t="shared" si="191"/>
        <v>3.8647088022806635E-2</v>
      </c>
      <c r="AG572">
        <f t="shared" si="192"/>
        <v>1.0170074889781904</v>
      </c>
      <c r="AH572">
        <f t="shared" si="193"/>
        <v>0.16403303064151195</v>
      </c>
      <c r="AI572">
        <f t="shared" si="194"/>
        <v>-0.67039352777653705</v>
      </c>
      <c r="AK572" s="26">
        <f t="shared" si="195"/>
        <v>-7.8520445728295502E-3</v>
      </c>
      <c r="AL572" s="26">
        <f t="shared" si="196"/>
        <v>-2.2005293054004837E-2</v>
      </c>
      <c r="AM572" s="26">
        <f t="shared" si="197"/>
        <v>-1.5450971629389937E-2</v>
      </c>
      <c r="AN572" s="26">
        <f t="shared" si="198"/>
        <v>9.3412698412698205</v>
      </c>
      <c r="AO572" s="26">
        <f t="shared" si="199"/>
        <v>8.9261876075731124</v>
      </c>
      <c r="AP572" s="26">
        <f t="shared" si="200"/>
        <v>5.3813255954412256</v>
      </c>
      <c r="AS572" s="2">
        <v>44908</v>
      </c>
      <c r="AT572">
        <v>10</v>
      </c>
      <c r="AU572">
        <v>3.9</v>
      </c>
      <c r="AV572">
        <v>41.3</v>
      </c>
      <c r="AW572">
        <v>5.6</v>
      </c>
      <c r="AX572">
        <v>35.44</v>
      </c>
      <c r="AY572">
        <v>0.1</v>
      </c>
      <c r="AZ572">
        <v>3.2</v>
      </c>
      <c r="BA572">
        <v>363.96960000000001</v>
      </c>
      <c r="BB572">
        <v>300.62189999999998</v>
      </c>
      <c r="BC572">
        <v>224.1413</v>
      </c>
      <c r="BD572">
        <v>4.6997</v>
      </c>
      <c r="BE572">
        <v>39.5989</v>
      </c>
      <c r="BF572">
        <v>20.133900000000001</v>
      </c>
      <c r="BG572">
        <v>168.8655</v>
      </c>
      <c r="BH572">
        <v>86.56</v>
      </c>
    </row>
    <row r="573" spans="1:60" x14ac:dyDescent="0.25">
      <c r="A573" s="2">
        <v>44928</v>
      </c>
      <c r="B573">
        <v>11.6</v>
      </c>
      <c r="C573">
        <v>0</v>
      </c>
      <c r="D573">
        <v>49.2</v>
      </c>
      <c r="E573">
        <v>17.3</v>
      </c>
      <c r="F573">
        <v>35.07</v>
      </c>
      <c r="G573">
        <v>0.4</v>
      </c>
      <c r="H573">
        <v>3.1</v>
      </c>
      <c r="I573">
        <v>247.79400000000001</v>
      </c>
      <c r="J573">
        <v>64.534700000000001</v>
      </c>
      <c r="K573">
        <v>31.981400000000001</v>
      </c>
      <c r="L573">
        <v>4.1977000000000002</v>
      </c>
      <c r="M573">
        <v>22.445599999999999</v>
      </c>
      <c r="N573">
        <v>-19.892299999999999</v>
      </c>
      <c r="O573">
        <v>46.645499999999998</v>
      </c>
      <c r="P573">
        <v>83.49</v>
      </c>
      <c r="S573">
        <f t="shared" si="179"/>
        <v>487.62340000000006</v>
      </c>
      <c r="T573">
        <f t="shared" si="180"/>
        <v>1.0874593901883974E-2</v>
      </c>
      <c r="U573">
        <f t="shared" si="181"/>
        <v>0</v>
      </c>
      <c r="V573">
        <f t="shared" si="182"/>
        <v>4.612327758385272E-2</v>
      </c>
      <c r="W573">
        <f t="shared" si="183"/>
        <v>1.621814435367179E-2</v>
      </c>
      <c r="X573">
        <f t="shared" si="184"/>
        <v>3.287689725336819E-2</v>
      </c>
      <c r="Y573">
        <f t="shared" si="185"/>
        <v>3.7498599661668879E-4</v>
      </c>
      <c r="Z573">
        <f t="shared" si="186"/>
        <v>2.9061414737793379E-3</v>
      </c>
      <c r="AA573">
        <f t="shared" si="187"/>
        <v>0.23229820011408944</v>
      </c>
      <c r="AB573">
        <f t="shared" si="188"/>
        <v>6.0499021989647558E-2</v>
      </c>
      <c r="AC573">
        <f t="shared" si="189"/>
        <v>2.9981442880492426E-2</v>
      </c>
      <c r="AD573">
        <f t="shared" si="190"/>
        <v>3.9351967949946866E-3</v>
      </c>
      <c r="AE573">
        <f t="shared" si="191"/>
        <v>2.1041964214148872E-2</v>
      </c>
      <c r="AG573">
        <f t="shared" si="192"/>
        <v>1.0241130104209555</v>
      </c>
      <c r="AH573">
        <f t="shared" si="193"/>
        <v>0.13041600477732157</v>
      </c>
      <c r="AI573">
        <f t="shared" si="194"/>
        <v>-0.95129470769558477</v>
      </c>
      <c r="AK573" s="26">
        <f t="shared" si="195"/>
        <v>-9.9891626814918588E-3</v>
      </c>
      <c r="AL573" s="26">
        <f t="shared" si="196"/>
        <v>-2.1465197729966717E-2</v>
      </c>
      <c r="AM573" s="26">
        <f t="shared" si="197"/>
        <v>-1.6007589064203603E-2</v>
      </c>
      <c r="AN573" s="26">
        <f t="shared" si="198"/>
        <v>9.1904761904761614</v>
      </c>
      <c r="AO573" s="26">
        <f t="shared" si="199"/>
        <v>8.8163425129087329</v>
      </c>
      <c r="AP573" s="26">
        <f t="shared" si="200"/>
        <v>5.2596817310469106</v>
      </c>
      <c r="AS573" s="2">
        <v>44907</v>
      </c>
      <c r="AT573">
        <v>9.3000000000000007</v>
      </c>
      <c r="AU573">
        <v>3.7</v>
      </c>
      <c r="AV573">
        <v>23.4</v>
      </c>
      <c r="AW573">
        <v>2.2000000000000002</v>
      </c>
      <c r="AX573">
        <v>25.8</v>
      </c>
      <c r="AY573">
        <v>0.6</v>
      </c>
      <c r="AZ573">
        <v>3.5</v>
      </c>
      <c r="BA573">
        <v>363.66419999999999</v>
      </c>
      <c r="BB573">
        <v>295.31920000000002</v>
      </c>
      <c r="BC573">
        <v>240.06540000000001</v>
      </c>
      <c r="BD573">
        <v>3.5179</v>
      </c>
      <c r="BE573">
        <v>39.528599999999997</v>
      </c>
      <c r="BF573">
        <v>35.688600000000001</v>
      </c>
      <c r="BG573">
        <v>182.1198</v>
      </c>
      <c r="BH573">
        <v>87.33</v>
      </c>
    </row>
    <row r="574" spans="1:60" x14ac:dyDescent="0.25">
      <c r="A574" s="2">
        <v>44927</v>
      </c>
      <c r="B574">
        <v>11.9</v>
      </c>
      <c r="C574">
        <v>0</v>
      </c>
      <c r="D574">
        <v>60.1</v>
      </c>
      <c r="E574">
        <v>7.2</v>
      </c>
      <c r="F574">
        <v>45.06</v>
      </c>
      <c r="G574">
        <v>0.1</v>
      </c>
      <c r="H574">
        <v>3.3</v>
      </c>
      <c r="I574">
        <v>93.457700000000003</v>
      </c>
      <c r="J574">
        <v>42.077199999999998</v>
      </c>
      <c r="K574">
        <v>20.360399999999998</v>
      </c>
      <c r="L574">
        <v>0</v>
      </c>
      <c r="M574">
        <v>17.842300000000002</v>
      </c>
      <c r="P574">
        <v>83.5</v>
      </c>
      <c r="S574">
        <f t="shared" si="179"/>
        <v>301.39760000000001</v>
      </c>
      <c r="T574">
        <f t="shared" si="180"/>
        <v>1.115583339934649E-2</v>
      </c>
      <c r="U574">
        <f t="shared" si="181"/>
        <v>0</v>
      </c>
      <c r="V574">
        <f t="shared" si="182"/>
        <v>5.6341645991657488E-2</v>
      </c>
      <c r="W574">
        <f t="shared" si="183"/>
        <v>6.7497479391003977E-3</v>
      </c>
      <c r="X574">
        <f t="shared" si="184"/>
        <v>4.224217251886999E-2</v>
      </c>
      <c r="Y574">
        <f t="shared" si="185"/>
        <v>9.3746499154172199E-5</v>
      </c>
      <c r="Z574">
        <f t="shared" si="186"/>
        <v>3.0936344720876819E-3</v>
      </c>
      <c r="AA574">
        <f t="shared" si="187"/>
        <v>8.7613321940008787E-2</v>
      </c>
      <c r="AB574">
        <f t="shared" si="188"/>
        <v>3.9445901942099341E-2</v>
      </c>
      <c r="AC574">
        <f t="shared" si="189"/>
        <v>1.9087162213786073E-2</v>
      </c>
      <c r="AD574">
        <f t="shared" si="190"/>
        <v>0</v>
      </c>
      <c r="AE574">
        <f t="shared" si="191"/>
        <v>1.6726531618584867E-2</v>
      </c>
      <c r="AG574">
        <f t="shared" si="192"/>
        <v>1.0280449722621183</v>
      </c>
      <c r="AH574">
        <f t="shared" si="193"/>
        <v>0.13640331243880108</v>
      </c>
      <c r="AI574">
        <f t="shared" si="194"/>
        <v>-0.90179649080798208</v>
      </c>
      <c r="AK574" s="26">
        <f t="shared" si="195"/>
        <v>-1.0632899058628173E-2</v>
      </c>
      <c r="AL574" s="26">
        <f t="shared" si="196"/>
        <v>-2.2121494260011934E-2</v>
      </c>
      <c r="AM574" s="26">
        <f t="shared" si="197"/>
        <v>-1.7685549506581494E-2</v>
      </c>
      <c r="AN574" s="26">
        <f t="shared" si="198"/>
        <v>9.0684126984126578</v>
      </c>
      <c r="AO574" s="26">
        <f t="shared" si="199"/>
        <v>8.7091759896729286</v>
      </c>
      <c r="AP574" s="26">
        <f t="shared" si="200"/>
        <v>5.1399839815130122</v>
      </c>
      <c r="AS574" s="2">
        <v>44906</v>
      </c>
      <c r="AT574">
        <v>8.9</v>
      </c>
      <c r="AU574">
        <v>2.1</v>
      </c>
      <c r="AV574">
        <v>33.799999999999997</v>
      </c>
      <c r="AW574">
        <v>1.5</v>
      </c>
      <c r="AX574">
        <v>12.51</v>
      </c>
      <c r="AY574">
        <v>0.9</v>
      </c>
      <c r="AZ574">
        <v>3.7</v>
      </c>
      <c r="BA574">
        <v>330.96379999999999</v>
      </c>
      <c r="BB574">
        <v>272.87869999999998</v>
      </c>
      <c r="BC574">
        <v>189.76429999999999</v>
      </c>
      <c r="BD574">
        <v>0</v>
      </c>
      <c r="BE574">
        <v>20.433299999999999</v>
      </c>
      <c r="BH574">
        <v>88.03</v>
      </c>
    </row>
    <row r="575" spans="1:60" x14ac:dyDescent="0.25">
      <c r="A575" s="2">
        <v>44926</v>
      </c>
      <c r="C575">
        <v>0</v>
      </c>
      <c r="F575">
        <v>35.65</v>
      </c>
      <c r="K575">
        <v>19.366499999999998</v>
      </c>
      <c r="P575">
        <v>83.35</v>
      </c>
      <c r="S575">
        <f t="shared" si="179"/>
        <v>55.016499999999994</v>
      </c>
      <c r="T575">
        <f t="shared" si="180"/>
        <v>0</v>
      </c>
      <c r="U575">
        <f t="shared" si="181"/>
        <v>0</v>
      </c>
      <c r="V575">
        <f t="shared" si="182"/>
        <v>0</v>
      </c>
      <c r="W575">
        <f t="shared" si="183"/>
        <v>0</v>
      </c>
      <c r="X575">
        <f t="shared" si="184"/>
        <v>3.3420626948462387E-2</v>
      </c>
      <c r="Y575">
        <f t="shared" si="185"/>
        <v>0</v>
      </c>
      <c r="Z575">
        <f t="shared" si="186"/>
        <v>0</v>
      </c>
      <c r="AA575">
        <f t="shared" si="187"/>
        <v>0</v>
      </c>
      <c r="AB575">
        <f t="shared" si="188"/>
        <v>0</v>
      </c>
      <c r="AC575">
        <f t="shared" si="189"/>
        <v>1.8155415758692756E-2</v>
      </c>
      <c r="AD575">
        <f t="shared" si="190"/>
        <v>0</v>
      </c>
      <c r="AE575">
        <f t="shared" si="191"/>
        <v>0</v>
      </c>
      <c r="AG575">
        <f t="shared" si="192"/>
        <v>1.0247420262943516</v>
      </c>
      <c r="AH575">
        <f t="shared" si="193"/>
        <v>3.3420626948462387E-2</v>
      </c>
      <c r="AI575">
        <f t="shared" si="194"/>
        <v>-1.7643315107084319</v>
      </c>
      <c r="AK575" s="26">
        <f t="shared" si="195"/>
        <v>-1.4861364663770499E-2</v>
      </c>
      <c r="AL575" s="26">
        <f t="shared" si="196"/>
        <v>-2.1015967047340725E-2</v>
      </c>
      <c r="AM575" s="26">
        <f t="shared" si="197"/>
        <v>-1.9184340648176701E-2</v>
      </c>
      <c r="AN575" s="26">
        <f t="shared" si="198"/>
        <v>8.9698412698412398</v>
      </c>
      <c r="AO575" s="26">
        <f t="shared" si="199"/>
        <v>8.6052753872632763</v>
      </c>
      <c r="AP575" s="26">
        <f t="shared" si="200"/>
        <v>5.0214030618943042</v>
      </c>
      <c r="AS575" s="2">
        <v>44905</v>
      </c>
      <c r="AU575">
        <v>0</v>
      </c>
      <c r="AX575">
        <v>14.68</v>
      </c>
      <c r="BC575">
        <v>192.03749999999999</v>
      </c>
      <c r="BH575">
        <v>88.5</v>
      </c>
    </row>
    <row r="576" spans="1:60" x14ac:dyDescent="0.25">
      <c r="A576" s="2">
        <v>44925</v>
      </c>
      <c r="C576">
        <v>0</v>
      </c>
      <c r="F576">
        <v>50.6</v>
      </c>
      <c r="K576">
        <v>20.814399999999999</v>
      </c>
      <c r="N576">
        <v>-17.723299999999998</v>
      </c>
      <c r="O576">
        <v>21.8873</v>
      </c>
      <c r="P576">
        <v>83.26</v>
      </c>
      <c r="S576">
        <f t="shared" si="179"/>
        <v>71.414400000000001</v>
      </c>
      <c r="T576">
        <f t="shared" si="180"/>
        <v>0</v>
      </c>
      <c r="U576">
        <f t="shared" si="181"/>
        <v>0</v>
      </c>
      <c r="V576">
        <f t="shared" si="182"/>
        <v>0</v>
      </c>
      <c r="W576">
        <f t="shared" si="183"/>
        <v>0</v>
      </c>
      <c r="X576">
        <f t="shared" si="184"/>
        <v>4.7435728572011129E-2</v>
      </c>
      <c r="Y576">
        <f t="shared" si="185"/>
        <v>0</v>
      </c>
      <c r="Z576">
        <f t="shared" si="186"/>
        <v>0</v>
      </c>
      <c r="AA576">
        <f t="shared" si="187"/>
        <v>0</v>
      </c>
      <c r="AB576">
        <f t="shared" si="188"/>
        <v>0</v>
      </c>
      <c r="AC576">
        <f t="shared" si="189"/>
        <v>1.9512771319946016E-2</v>
      </c>
      <c r="AD576">
        <f t="shared" si="190"/>
        <v>0</v>
      </c>
      <c r="AE576">
        <f t="shared" si="191"/>
        <v>0</v>
      </c>
      <c r="AG576">
        <f t="shared" si="192"/>
        <v>1.0241585969532496</v>
      </c>
      <c r="AH576">
        <f t="shared" si="193"/>
        <v>4.7435728572011129E-2</v>
      </c>
      <c r="AI576">
        <f t="shared" si="194"/>
        <v>-1.656860238869724</v>
      </c>
      <c r="AK576" s="26">
        <f t="shared" si="195"/>
        <v>-1.589798220258426E-2</v>
      </c>
      <c r="AL576" s="26">
        <f t="shared" si="196"/>
        <v>-2.0502164268226097E-2</v>
      </c>
      <c r="AM576" s="26">
        <f t="shared" si="197"/>
        <v>-1.9567276434575814E-2</v>
      </c>
      <c r="AN576" s="26">
        <f t="shared" si="198"/>
        <v>8.8823809523809274</v>
      </c>
      <c r="AO576" s="26">
        <f t="shared" si="199"/>
        <v>8.5028141135972106</v>
      </c>
      <c r="AP576" s="26">
        <f t="shared" si="200"/>
        <v>4.9041086105931271</v>
      </c>
      <c r="AS576" s="2">
        <v>44904</v>
      </c>
      <c r="AU576">
        <v>0</v>
      </c>
      <c r="AX576">
        <v>21.12</v>
      </c>
      <c r="BC576">
        <v>236.2989</v>
      </c>
      <c r="BF576">
        <v>42.911799999999999</v>
      </c>
      <c r="BG576">
        <v>187.09829999999999</v>
      </c>
      <c r="BH576">
        <v>88.93</v>
      </c>
    </row>
    <row r="577" spans="1:60" x14ac:dyDescent="0.25">
      <c r="A577" s="2">
        <v>44924</v>
      </c>
      <c r="B577">
        <v>13.7</v>
      </c>
      <c r="C577">
        <v>0</v>
      </c>
      <c r="D577">
        <v>62.6</v>
      </c>
      <c r="E577">
        <v>22.4</v>
      </c>
      <c r="F577">
        <v>33.18</v>
      </c>
      <c r="G577">
        <v>0.5</v>
      </c>
      <c r="H577">
        <v>2.9</v>
      </c>
      <c r="I577">
        <v>115.5508</v>
      </c>
      <c r="J577">
        <v>64.088300000000004</v>
      </c>
      <c r="K577">
        <v>23.092700000000001</v>
      </c>
      <c r="L577">
        <v>1.3468</v>
      </c>
      <c r="M577">
        <v>27.462599999999998</v>
      </c>
      <c r="N577">
        <v>-11.0351</v>
      </c>
      <c r="O577">
        <v>49.564799999999998</v>
      </c>
      <c r="P577">
        <v>83.21</v>
      </c>
      <c r="S577">
        <f t="shared" si="179"/>
        <v>366.82119999999998</v>
      </c>
      <c r="T577">
        <f t="shared" si="180"/>
        <v>1.2843270384121589E-2</v>
      </c>
      <c r="U577">
        <f t="shared" si="181"/>
        <v>0</v>
      </c>
      <c r="V577">
        <f t="shared" si="182"/>
        <v>5.8685308470511795E-2</v>
      </c>
      <c r="W577">
        <f t="shared" si="183"/>
        <v>2.0999215810534568E-2</v>
      </c>
      <c r="X577">
        <f t="shared" si="184"/>
        <v>3.1105088419354332E-2</v>
      </c>
      <c r="Y577">
        <f t="shared" si="185"/>
        <v>4.6873249577086097E-4</v>
      </c>
      <c r="Z577">
        <f t="shared" si="186"/>
        <v>2.7186484754709935E-3</v>
      </c>
      <c r="AA577">
        <f t="shared" si="187"/>
        <v>0.1083248297446392</v>
      </c>
      <c r="AB577">
        <f t="shared" si="188"/>
        <v>6.0080537617423338E-2</v>
      </c>
      <c r="AC577">
        <f t="shared" si="189"/>
        <v>2.1648597810175522E-2</v>
      </c>
      <c r="AD577">
        <f t="shared" si="190"/>
        <v>1.262577850608391E-3</v>
      </c>
      <c r="AE577">
        <f t="shared" si="191"/>
        <v>2.574522607671369E-2</v>
      </c>
      <c r="AG577">
        <f t="shared" si="192"/>
        <v>1.0253857842556109</v>
      </c>
      <c r="AH577">
        <f t="shared" si="193"/>
        <v>0.15256549013247783</v>
      </c>
      <c r="AI577">
        <f t="shared" si="194"/>
        <v>-0.77819276524667613</v>
      </c>
      <c r="AK577" s="26">
        <f t="shared" si="195"/>
        <v>-1.819232360660579E-2</v>
      </c>
      <c r="AL577" s="26">
        <f t="shared" si="196"/>
        <v>-2.1833241524019775E-2</v>
      </c>
      <c r="AM577" s="26">
        <f t="shared" si="197"/>
        <v>-2.0317341846893627E-2</v>
      </c>
      <c r="AN577" s="26">
        <f t="shared" si="198"/>
        <v>8.8069841269841049</v>
      </c>
      <c r="AO577" s="26">
        <f t="shared" si="199"/>
        <v>8.4035907917383241</v>
      </c>
      <c r="AP577" s="26">
        <f t="shared" si="200"/>
        <v>4.7889018145530855</v>
      </c>
      <c r="AS577" s="2">
        <v>44903</v>
      </c>
      <c r="AT577">
        <v>10.1</v>
      </c>
      <c r="AU577">
        <v>3.5</v>
      </c>
      <c r="AV577">
        <v>15.3</v>
      </c>
      <c r="AW577">
        <v>4.8</v>
      </c>
      <c r="AX577">
        <v>26.84</v>
      </c>
      <c r="AY577">
        <v>0.8</v>
      </c>
      <c r="AZ577">
        <v>3.8</v>
      </c>
      <c r="BA577">
        <v>360.70909999999998</v>
      </c>
      <c r="BB577">
        <v>296.94119999999998</v>
      </c>
      <c r="BC577">
        <v>214.95840000000001</v>
      </c>
      <c r="BD577">
        <v>7.0266000000000002</v>
      </c>
      <c r="BE577">
        <v>30.690200000000001</v>
      </c>
      <c r="BF577">
        <v>64.4602</v>
      </c>
      <c r="BG577">
        <v>208.78569999999999</v>
      </c>
      <c r="BH577">
        <v>89.41</v>
      </c>
    </row>
    <row r="578" spans="1:60" x14ac:dyDescent="0.25">
      <c r="A578" s="2">
        <v>44923</v>
      </c>
      <c r="B578">
        <v>15.1</v>
      </c>
      <c r="C578">
        <v>0</v>
      </c>
      <c r="D578">
        <v>82.5</v>
      </c>
      <c r="E578">
        <v>27.2</v>
      </c>
      <c r="F578">
        <v>32.520000000000003</v>
      </c>
      <c r="G578">
        <v>0.7</v>
      </c>
      <c r="H578">
        <v>2.9</v>
      </c>
      <c r="I578">
        <v>117.48779999999999</v>
      </c>
      <c r="J578">
        <v>53.377800000000001</v>
      </c>
      <c r="K578">
        <v>27.168099999999999</v>
      </c>
      <c r="L578">
        <v>0</v>
      </c>
      <c r="M578">
        <v>25.719799999999999</v>
      </c>
      <c r="N578">
        <v>1.0258</v>
      </c>
      <c r="O578">
        <v>55.874400000000001</v>
      </c>
      <c r="P578">
        <v>83.18</v>
      </c>
      <c r="S578">
        <f t="shared" ref="S578:S641" si="201">SUM(B578:M578)</f>
        <v>384.67349999999993</v>
      </c>
      <c r="T578">
        <f t="shared" si="180"/>
        <v>1.415572137228E-2</v>
      </c>
      <c r="U578">
        <f t="shared" si="181"/>
        <v>0</v>
      </c>
      <c r="V578">
        <f t="shared" si="182"/>
        <v>7.734086180219206E-2</v>
      </c>
      <c r="W578">
        <f t="shared" si="183"/>
        <v>2.5499047769934835E-2</v>
      </c>
      <c r="X578">
        <f t="shared" si="184"/>
        <v>3.0486361524936799E-2</v>
      </c>
      <c r="Y578">
        <f t="shared" si="185"/>
        <v>6.5622549407920526E-4</v>
      </c>
      <c r="Z578">
        <f t="shared" si="186"/>
        <v>2.7186484754709935E-3</v>
      </c>
      <c r="AA578">
        <f t="shared" si="187"/>
        <v>0.11014069943325551</v>
      </c>
      <c r="AB578">
        <f t="shared" si="188"/>
        <v>5.0039818825515725E-2</v>
      </c>
      <c r="AC578">
        <f t="shared" si="189"/>
        <v>2.5469142636704654E-2</v>
      </c>
      <c r="AD578">
        <f t="shared" si="190"/>
        <v>0</v>
      </c>
      <c r="AE578">
        <f t="shared" si="191"/>
        <v>2.4111412089454779E-2</v>
      </c>
      <c r="AG578">
        <f t="shared" si="192"/>
        <v>1.027504976523131</v>
      </c>
      <c r="AH578">
        <f t="shared" si="193"/>
        <v>0.17496827852834865</v>
      </c>
      <c r="AI578">
        <f t="shared" si="194"/>
        <v>-0.58700986773718167</v>
      </c>
      <c r="AK578" s="26">
        <f t="shared" si="195"/>
        <v>-2.1516599763287098E-2</v>
      </c>
      <c r="AL578" s="26">
        <f t="shared" si="196"/>
        <v>-2.1007558704390555E-2</v>
      </c>
      <c r="AM578" s="26">
        <f t="shared" si="197"/>
        <v>-2.0622642656958512E-2</v>
      </c>
      <c r="AN578" s="26">
        <f t="shared" si="198"/>
        <v>8.7488888888888567</v>
      </c>
      <c r="AO578" s="26">
        <f t="shared" si="199"/>
        <v>8.3070159208261174</v>
      </c>
      <c r="AP578" s="26">
        <f t="shared" si="200"/>
        <v>4.6753407210944147</v>
      </c>
      <c r="AS578" s="2">
        <v>44902</v>
      </c>
      <c r="AT578">
        <v>11.1</v>
      </c>
      <c r="AU578">
        <v>0</v>
      </c>
      <c r="AV578">
        <v>48.1</v>
      </c>
      <c r="AW578">
        <v>10.7</v>
      </c>
      <c r="AX578">
        <v>29.51</v>
      </c>
      <c r="AY578">
        <v>0.6</v>
      </c>
      <c r="AZ578">
        <v>3.9</v>
      </c>
      <c r="BA578">
        <v>348.60550000000001</v>
      </c>
      <c r="BB578">
        <v>280.27690000000001</v>
      </c>
      <c r="BC578">
        <v>189.90989999999999</v>
      </c>
      <c r="BD578">
        <v>0.73899999999999999</v>
      </c>
      <c r="BE578">
        <v>20.488099999999999</v>
      </c>
      <c r="BF578">
        <v>47.153700000000001</v>
      </c>
      <c r="BG578">
        <v>208.5574</v>
      </c>
      <c r="BH578">
        <v>89.92</v>
      </c>
    </row>
    <row r="579" spans="1:60" x14ac:dyDescent="0.25">
      <c r="A579" s="2">
        <v>44922</v>
      </c>
      <c r="B579">
        <v>15.3</v>
      </c>
      <c r="C579">
        <v>0</v>
      </c>
      <c r="D579">
        <v>84</v>
      </c>
      <c r="E579">
        <v>21.8</v>
      </c>
      <c r="F579">
        <v>51.48</v>
      </c>
      <c r="G579">
        <v>0.8</v>
      </c>
      <c r="H579">
        <v>2.9</v>
      </c>
      <c r="I579">
        <v>154.3398</v>
      </c>
      <c r="J579">
        <v>76.927199999999999</v>
      </c>
      <c r="K579">
        <v>25.2562</v>
      </c>
      <c r="L579">
        <v>0</v>
      </c>
      <c r="M579">
        <v>30.423400000000001</v>
      </c>
      <c r="N579">
        <v>13.639799999999999</v>
      </c>
      <c r="O579">
        <v>62.592799999999997</v>
      </c>
      <c r="P579">
        <v>83.18</v>
      </c>
      <c r="S579">
        <f t="shared" si="201"/>
        <v>463.22660000000002</v>
      </c>
      <c r="T579">
        <f t="shared" si="180"/>
        <v>1.4343214370588346E-2</v>
      </c>
      <c r="U579">
        <f t="shared" si="181"/>
        <v>0</v>
      </c>
      <c r="V579">
        <f t="shared" si="182"/>
        <v>7.8747059289504637E-2</v>
      </c>
      <c r="W579">
        <f t="shared" si="183"/>
        <v>2.0436736815609539E-2</v>
      </c>
      <c r="X579">
        <f t="shared" si="184"/>
        <v>4.8260697764567838E-2</v>
      </c>
      <c r="Y579">
        <f t="shared" si="185"/>
        <v>7.4997199323337759E-4</v>
      </c>
      <c r="Z579">
        <f t="shared" si="186"/>
        <v>2.7186484754709935E-3</v>
      </c>
      <c r="AA579">
        <f t="shared" si="187"/>
        <v>0.14468815930155104</v>
      </c>
      <c r="AB579">
        <f t="shared" si="188"/>
        <v>7.2116556897328349E-2</v>
      </c>
      <c r="AC579">
        <f t="shared" si="189"/>
        <v>2.3676803319376036E-2</v>
      </c>
      <c r="AD579">
        <f t="shared" si="190"/>
        <v>0</v>
      </c>
      <c r="AE579">
        <f t="shared" si="191"/>
        <v>2.8520872423670424E-2</v>
      </c>
      <c r="AG579">
        <f t="shared" si="192"/>
        <v>1.0309604274444575</v>
      </c>
      <c r="AH579">
        <f t="shared" si="193"/>
        <v>0.19377720113264515</v>
      </c>
      <c r="AI579">
        <f t="shared" si="194"/>
        <v>-0.42656902984656969</v>
      </c>
      <c r="AK579" s="26">
        <f t="shared" si="195"/>
        <v>-2.4738105948260744E-2</v>
      </c>
      <c r="AL579" s="26">
        <f t="shared" si="196"/>
        <v>-2.0900699736374553E-2</v>
      </c>
      <c r="AM579" s="26">
        <f t="shared" si="197"/>
        <v>-2.0415335805174101E-2</v>
      </c>
      <c r="AN579" s="26">
        <f t="shared" si="198"/>
        <v>8.7123809523809399</v>
      </c>
      <c r="AO579" s="26">
        <f t="shared" si="199"/>
        <v>8.2147740963855114</v>
      </c>
      <c r="AP579" s="26">
        <f t="shared" si="200"/>
        <v>4.5643420603449698</v>
      </c>
      <c r="AS579" s="2">
        <v>44901</v>
      </c>
      <c r="AT579">
        <v>12.5</v>
      </c>
      <c r="AU579">
        <v>0</v>
      </c>
      <c r="AV579">
        <v>26.8</v>
      </c>
      <c r="AW579">
        <v>3.6</v>
      </c>
      <c r="AX579">
        <v>15.04</v>
      </c>
      <c r="AY579">
        <v>0.6</v>
      </c>
      <c r="AZ579">
        <v>3.2</v>
      </c>
      <c r="BA579">
        <v>360.50360000000001</v>
      </c>
      <c r="BB579">
        <v>290.18729999999999</v>
      </c>
      <c r="BC579">
        <v>227.6866</v>
      </c>
      <c r="BD579">
        <v>1.5288999999999999</v>
      </c>
      <c r="BE579">
        <v>28.828099999999999</v>
      </c>
      <c r="BF579">
        <v>35.79</v>
      </c>
      <c r="BG579">
        <v>173.39070000000001</v>
      </c>
      <c r="BH579">
        <v>90.4</v>
      </c>
    </row>
    <row r="580" spans="1:60" x14ac:dyDescent="0.25">
      <c r="A580" s="2">
        <v>44921</v>
      </c>
      <c r="B580">
        <v>15.1</v>
      </c>
      <c r="C580">
        <v>19.600000000000001</v>
      </c>
      <c r="D580">
        <v>66.900000000000006</v>
      </c>
      <c r="E580">
        <v>19.899999999999999</v>
      </c>
      <c r="F580">
        <v>16.71</v>
      </c>
      <c r="G580">
        <v>0.7</v>
      </c>
      <c r="H580">
        <v>3</v>
      </c>
      <c r="I580">
        <v>124.53919999999999</v>
      </c>
      <c r="J580">
        <v>68.572599999999994</v>
      </c>
      <c r="K580">
        <v>25.470300000000002</v>
      </c>
      <c r="L580">
        <v>0</v>
      </c>
      <c r="M580">
        <v>16.1129</v>
      </c>
      <c r="N580">
        <v>5.4504999999999999</v>
      </c>
      <c r="O580">
        <v>59.415500000000002</v>
      </c>
      <c r="P580">
        <v>83.2</v>
      </c>
      <c r="S580">
        <f t="shared" si="201"/>
        <v>376.60500000000002</v>
      </c>
      <c r="T580">
        <f t="shared" si="180"/>
        <v>1.415572137228E-2</v>
      </c>
      <c r="U580">
        <f t="shared" si="181"/>
        <v>1.837431383421775E-2</v>
      </c>
      <c r="V580">
        <f t="shared" si="182"/>
        <v>6.2716407934141197E-2</v>
      </c>
      <c r="W580">
        <f t="shared" si="183"/>
        <v>1.8655553331680265E-2</v>
      </c>
      <c r="X580">
        <f t="shared" si="184"/>
        <v>1.5665040008662173E-2</v>
      </c>
      <c r="Y580">
        <f t="shared" si="185"/>
        <v>6.5622549407920526E-4</v>
      </c>
      <c r="Z580">
        <f t="shared" si="186"/>
        <v>2.8123949746251659E-3</v>
      </c>
      <c r="AA580">
        <f t="shared" si="187"/>
        <v>0.11675114007461281</v>
      </c>
      <c r="AB580">
        <f t="shared" si="188"/>
        <v>6.4284411878993877E-2</v>
      </c>
      <c r="AC580">
        <f t="shared" si="189"/>
        <v>2.3877514574065121E-2</v>
      </c>
      <c r="AD580">
        <f t="shared" si="190"/>
        <v>0</v>
      </c>
      <c r="AE580">
        <f t="shared" si="191"/>
        <v>1.510527966221261E-2</v>
      </c>
      <c r="AG580">
        <f t="shared" si="192"/>
        <v>1.0352892876516639</v>
      </c>
      <c r="AH580">
        <f t="shared" si="193"/>
        <v>0.14814093661189837</v>
      </c>
      <c r="AI580">
        <f t="shared" si="194"/>
        <v>-0.80783565042313765</v>
      </c>
      <c r="AK580" s="26">
        <f t="shared" si="195"/>
        <v>-2.9847903224506811E-2</v>
      </c>
      <c r="AL580" s="26">
        <f t="shared" si="196"/>
        <v>-2.1211289713726739E-2</v>
      </c>
      <c r="AM580" s="26">
        <f t="shared" si="197"/>
        <v>-2.0455689398203858E-2</v>
      </c>
      <c r="AN580" s="26">
        <f t="shared" si="198"/>
        <v>8.6934920634920445</v>
      </c>
      <c r="AO580" s="26">
        <f t="shared" si="199"/>
        <v>8.1271901893287151</v>
      </c>
      <c r="AP580" s="26">
        <f t="shared" si="200"/>
        <v>4.4553764344422717</v>
      </c>
      <c r="AS580" s="2">
        <v>44900</v>
      </c>
      <c r="AT580">
        <v>10.8</v>
      </c>
      <c r="AU580">
        <v>5.2</v>
      </c>
      <c r="AV580">
        <v>66.2</v>
      </c>
      <c r="AW580">
        <v>9.4</v>
      </c>
      <c r="AX580">
        <v>9.57</v>
      </c>
      <c r="AY580">
        <v>0.9</v>
      </c>
      <c r="AZ580">
        <v>3.2</v>
      </c>
      <c r="BA580">
        <v>363.61540000000002</v>
      </c>
      <c r="BB580">
        <v>261.94119999999998</v>
      </c>
      <c r="BC580">
        <v>185.172</v>
      </c>
      <c r="BD580">
        <v>5.7835999999999999</v>
      </c>
      <c r="BE580">
        <v>33.305199999999999</v>
      </c>
      <c r="BF580">
        <v>47.879199999999997</v>
      </c>
      <c r="BG580">
        <v>179.60650000000001</v>
      </c>
      <c r="BH580">
        <v>90.85</v>
      </c>
    </row>
    <row r="581" spans="1:60" x14ac:dyDescent="0.25">
      <c r="A581" s="2">
        <v>44920</v>
      </c>
      <c r="B581">
        <v>16.8</v>
      </c>
      <c r="C581">
        <v>39.200000000000003</v>
      </c>
      <c r="D581">
        <v>46</v>
      </c>
      <c r="E581">
        <v>10.199999999999999</v>
      </c>
      <c r="F581">
        <v>38.61</v>
      </c>
      <c r="G581">
        <v>0.9</v>
      </c>
      <c r="H581">
        <v>2.8</v>
      </c>
      <c r="I581">
        <v>199.31180000000001</v>
      </c>
      <c r="J581">
        <v>48.362699999999997</v>
      </c>
      <c r="K581">
        <v>31.181899999999999</v>
      </c>
      <c r="L581">
        <v>0</v>
      </c>
      <c r="M581">
        <v>23.133299999999998</v>
      </c>
      <c r="P581">
        <v>83.1</v>
      </c>
      <c r="S581">
        <f t="shared" si="201"/>
        <v>456.49970000000008</v>
      </c>
      <c r="T581">
        <f t="shared" ref="T581:T644" si="202">B581/$S$4</f>
        <v>1.5749411857900929E-2</v>
      </c>
      <c r="U581">
        <f t="shared" ref="U581:U644" si="203">C581/$S$4</f>
        <v>3.67486276684355E-2</v>
      </c>
      <c r="V581">
        <f t="shared" ref="V581:V644" si="204">D581/$S$4</f>
        <v>4.3123389610919209E-2</v>
      </c>
      <c r="W581">
        <f t="shared" ref="W581:W644" si="205">E581/$S$4</f>
        <v>9.5621429137255631E-3</v>
      </c>
      <c r="X581">
        <f t="shared" ref="X581:X644" si="206">F581/$S$4</f>
        <v>3.6195523323425884E-2</v>
      </c>
      <c r="Y581">
        <f t="shared" ref="Y581:Y644" si="207">G581/$S$4</f>
        <v>8.4371849238754971E-4</v>
      </c>
      <c r="Z581">
        <f t="shared" ref="Z581:Z644" si="208">H581/$S$4</f>
        <v>2.624901976316821E-3</v>
      </c>
      <c r="AA581">
        <f t="shared" ref="AA581:AA644" si="209">I581/$S$4</f>
        <v>0.18684783490116538</v>
      </c>
      <c r="AB581">
        <f t="shared" ref="AB581:AB644" si="210">J581/$S$4</f>
        <v>4.5338338146434828E-2</v>
      </c>
      <c r="AC581">
        <f t="shared" ref="AC581:AC644" si="211">K581/$S$4</f>
        <v>2.9231939619754819E-2</v>
      </c>
      <c r="AD581">
        <f t="shared" ref="AD581:AD644" si="212">L581/$S$4</f>
        <v>0</v>
      </c>
      <c r="AE581">
        <f t="shared" ref="AE581:AE644" si="213">M581/$S$4</f>
        <v>2.1686658888832113E-2</v>
      </c>
      <c r="AG581">
        <f t="shared" ref="AG581:AG644" si="214">(P581-AVERAGE(P581:P945)) / _xlfn.STDEV.S(P581:P2408)</f>
        <v>1.0341636868496034</v>
      </c>
      <c r="AH581">
        <f t="shared" ref="AH581:AH644" si="215">SUM(T581:Y581,Z581,AE581)</f>
        <v>0.16653437473194355</v>
      </c>
      <c r="AI581">
        <f t="shared" ref="AI581:AI644" si="216">(AH581-AVERAGE(AH581:AH945))/_xlfn.STDEV.S(AH581:AH945)</f>
        <v>-0.65174239045239668</v>
      </c>
      <c r="AK581" s="26">
        <f t="shared" ref="AK581:AK644" si="217">AVERAGEA(AH581:AH601)-AVERAGE(AH947:AH967, AH1312:AH1332, AH1677:AH1697)</f>
        <v>-3.0916891578282521E-2</v>
      </c>
      <c r="AL581" s="26">
        <f t="shared" ref="AL581:AL644" si="218">AVERAGEA(AH581:AH636)-AVERAGE(AH947:AH1002, AH1312:AH1366, AH1677:AH1731)</f>
        <v>-1.8615077494071097E-2</v>
      </c>
      <c r="AM581" s="26">
        <f t="shared" ref="AM581:AM644" si="219">AVERAGEA(AH581:AH693)-AVERAGE(AH947:AH1059,AH1312:AH1423,AH1677:AH1788)</f>
        <v>-2.0008422396358916E-2</v>
      </c>
      <c r="AN581" s="26">
        <f t="shared" ref="AN581:AN644" si="220">AVERAGEA(P581:P601)-AVERAGE(P947:P967, P1312:P1332, P1677:P1697)</f>
        <v>8.6871428571428453</v>
      </c>
      <c r="AO581" s="26">
        <f t="shared" ref="AO581:AO644" si="221">AVERAGEA(P581:P636)-AVERAGE(P947:P1002, P1312:P1366, P1677:P1731)</f>
        <v>8.0438640275387172</v>
      </c>
      <c r="AP581" s="26">
        <f t="shared" ref="AP581:AP644" si="222">AVERAGEA(P581:P693)-AVERAGE(P947:P1059,P1312:P1423,P1677:P1788)</f>
        <v>4.3474370420943842</v>
      </c>
      <c r="AS581" s="2">
        <v>44899</v>
      </c>
      <c r="AT581">
        <v>10.6</v>
      </c>
      <c r="AU581">
        <v>2</v>
      </c>
      <c r="AV581">
        <v>63.4</v>
      </c>
      <c r="AW581">
        <v>7</v>
      </c>
      <c r="AX581">
        <v>12.06</v>
      </c>
      <c r="AY581">
        <v>0.9</v>
      </c>
      <c r="AZ581">
        <v>3</v>
      </c>
      <c r="BA581">
        <v>294.78660000000002</v>
      </c>
      <c r="BB581">
        <v>222.04150000000001</v>
      </c>
      <c r="BC581">
        <v>141.4221</v>
      </c>
      <c r="BD581">
        <v>1.2628999999999999</v>
      </c>
      <c r="BE581">
        <v>12.9252</v>
      </c>
      <c r="BH581">
        <v>91.27</v>
      </c>
    </row>
    <row r="582" spans="1:60" x14ac:dyDescent="0.25">
      <c r="A582" s="2">
        <v>44919</v>
      </c>
      <c r="C582">
        <v>35.799999999999997</v>
      </c>
      <c r="F582">
        <v>28.96</v>
      </c>
      <c r="K582">
        <v>46.517499999999998</v>
      </c>
      <c r="P582">
        <v>82.98</v>
      </c>
      <c r="S582">
        <f t="shared" si="201"/>
        <v>111.27749999999999</v>
      </c>
      <c r="T582">
        <f t="shared" si="202"/>
        <v>0</v>
      </c>
      <c r="U582">
        <f t="shared" si="203"/>
        <v>3.3561246697193639E-2</v>
      </c>
      <c r="V582">
        <f t="shared" si="204"/>
        <v>0</v>
      </c>
      <c r="W582">
        <f t="shared" si="205"/>
        <v>0</v>
      </c>
      <c r="X582">
        <f t="shared" si="206"/>
        <v>2.7148986155048266E-2</v>
      </c>
      <c r="Y582">
        <f t="shared" si="207"/>
        <v>0</v>
      </c>
      <c r="Z582">
        <f t="shared" si="208"/>
        <v>0</v>
      </c>
      <c r="AA582">
        <f t="shared" si="209"/>
        <v>0</v>
      </c>
      <c r="AB582">
        <f t="shared" si="210"/>
        <v>0</v>
      </c>
      <c r="AC582">
        <f t="shared" si="211"/>
        <v>4.3608527744042044E-2</v>
      </c>
      <c r="AD582">
        <f t="shared" si="212"/>
        <v>0</v>
      </c>
      <c r="AE582">
        <f t="shared" si="213"/>
        <v>0</v>
      </c>
      <c r="AG582">
        <f t="shared" si="214"/>
        <v>1.0320787034652339</v>
      </c>
      <c r="AH582">
        <f t="shared" si="215"/>
        <v>6.0710232852241905E-2</v>
      </c>
      <c r="AI582">
        <f t="shared" si="216"/>
        <v>-1.5341270643533962</v>
      </c>
      <c r="AK582" s="26">
        <f t="shared" si="217"/>
        <v>-3.76230191225225E-2</v>
      </c>
      <c r="AL582" s="26">
        <f t="shared" si="218"/>
        <v>-1.9688508934847679E-2</v>
      </c>
      <c r="AM582" s="26">
        <f t="shared" si="219"/>
        <v>-2.1057693661087062E-2</v>
      </c>
      <c r="AN582" s="26">
        <f t="shared" si="220"/>
        <v>8.6934920634920587</v>
      </c>
      <c r="AO582" s="26">
        <f t="shared" si="221"/>
        <v>7.9666135972461092</v>
      </c>
      <c r="AP582" s="26">
        <f t="shared" si="222"/>
        <v>4.2403744649561901</v>
      </c>
      <c r="AS582" s="2">
        <v>44898</v>
      </c>
      <c r="AU582">
        <v>5.2</v>
      </c>
      <c r="AX582">
        <v>9.27</v>
      </c>
      <c r="BC582">
        <v>163.84880000000001</v>
      </c>
      <c r="BH582">
        <v>91.56</v>
      </c>
    </row>
    <row r="583" spans="1:60" x14ac:dyDescent="0.25">
      <c r="A583" s="2">
        <v>44918</v>
      </c>
      <c r="C583">
        <v>11.6</v>
      </c>
      <c r="F583">
        <v>12.92</v>
      </c>
      <c r="K583">
        <v>78.907899999999998</v>
      </c>
      <c r="N583">
        <v>5.4504999999999999</v>
      </c>
      <c r="O583">
        <v>60.687100000000001</v>
      </c>
      <c r="P583">
        <v>82.91</v>
      </c>
      <c r="S583">
        <f t="shared" si="201"/>
        <v>103.42789999999999</v>
      </c>
      <c r="T583">
        <f t="shared" si="202"/>
        <v>0</v>
      </c>
      <c r="U583">
        <f t="shared" si="203"/>
        <v>1.0874593901883974E-2</v>
      </c>
      <c r="V583">
        <f t="shared" si="204"/>
        <v>0</v>
      </c>
      <c r="W583">
        <f t="shared" si="205"/>
        <v>0</v>
      </c>
      <c r="X583">
        <f t="shared" si="206"/>
        <v>1.2112047690719047E-2</v>
      </c>
      <c r="Y583">
        <f t="shared" si="207"/>
        <v>0</v>
      </c>
      <c r="Z583">
        <f t="shared" si="208"/>
        <v>0</v>
      </c>
      <c r="AA583">
        <f t="shared" si="209"/>
        <v>0</v>
      </c>
      <c r="AB583">
        <f t="shared" si="210"/>
        <v>0</v>
      </c>
      <c r="AC583">
        <f t="shared" si="211"/>
        <v>7.3973393806075038E-2</v>
      </c>
      <c r="AD583">
        <f t="shared" si="212"/>
        <v>0</v>
      </c>
      <c r="AE583">
        <f t="shared" si="213"/>
        <v>0</v>
      </c>
      <c r="AG583">
        <f t="shared" si="214"/>
        <v>1.0322001468013946</v>
      </c>
      <c r="AH583">
        <f t="shared" si="215"/>
        <v>2.2986641592603021E-2</v>
      </c>
      <c r="AI583">
        <f t="shared" si="216"/>
        <v>-1.8507397648883555</v>
      </c>
      <c r="AK583" s="26">
        <f t="shared" si="217"/>
        <v>-4.1072597147581213E-2</v>
      </c>
      <c r="AL583" s="26">
        <f t="shared" si="218"/>
        <v>-2.0726869846595247E-2</v>
      </c>
      <c r="AM583" s="26">
        <f t="shared" si="219"/>
        <v>-2.1010398418097542E-2</v>
      </c>
      <c r="AN583" s="26">
        <f t="shared" si="220"/>
        <v>8.7019047619047711</v>
      </c>
      <c r="AO583" s="26">
        <f t="shared" si="221"/>
        <v>7.8864608433734986</v>
      </c>
      <c r="AP583" s="26">
        <f t="shared" si="222"/>
        <v>4.1340387594862733</v>
      </c>
      <c r="AS583" s="2">
        <v>44897</v>
      </c>
      <c r="AU583">
        <v>1.4</v>
      </c>
      <c r="AX583">
        <v>8.9700000000000006</v>
      </c>
      <c r="BC583">
        <v>199.78720000000001</v>
      </c>
      <c r="BF583">
        <v>39.774099999999997</v>
      </c>
      <c r="BG583">
        <v>169.83</v>
      </c>
      <c r="BH583">
        <v>91.86</v>
      </c>
    </row>
    <row r="584" spans="1:60" x14ac:dyDescent="0.25">
      <c r="A584" s="2">
        <v>44917</v>
      </c>
      <c r="B584">
        <v>10.5</v>
      </c>
      <c r="C584">
        <v>0.7</v>
      </c>
      <c r="D584">
        <v>64.2</v>
      </c>
      <c r="E584">
        <v>16.899999999999999</v>
      </c>
      <c r="F584">
        <v>19.690000000000001</v>
      </c>
      <c r="G584">
        <v>0.7</v>
      </c>
      <c r="H584">
        <v>2.7</v>
      </c>
      <c r="I584">
        <v>303.9171</v>
      </c>
      <c r="J584">
        <v>136.92240000000001</v>
      </c>
      <c r="K584">
        <v>60.861199999999997</v>
      </c>
      <c r="L584">
        <v>2.6280000000000001</v>
      </c>
      <c r="M584">
        <v>17.364699999999999</v>
      </c>
      <c r="N584">
        <v>2.7624</v>
      </c>
      <c r="O584">
        <v>75.125299999999996</v>
      </c>
      <c r="P584">
        <v>82.94</v>
      </c>
      <c r="S584">
        <f t="shared" si="201"/>
        <v>637.08339999999998</v>
      </c>
      <c r="T584">
        <f t="shared" si="202"/>
        <v>9.8433824111880796E-3</v>
      </c>
      <c r="U584">
        <f t="shared" si="203"/>
        <v>6.5622549407920526E-4</v>
      </c>
      <c r="V584">
        <f t="shared" si="204"/>
        <v>6.0185252456978547E-2</v>
      </c>
      <c r="W584">
        <f t="shared" si="205"/>
        <v>1.58431583570551E-2</v>
      </c>
      <c r="X584">
        <f t="shared" si="206"/>
        <v>1.8458685683456506E-2</v>
      </c>
      <c r="Y584">
        <f t="shared" si="207"/>
        <v>6.5622549407920526E-4</v>
      </c>
      <c r="Z584">
        <f t="shared" si="208"/>
        <v>2.5311554771626494E-3</v>
      </c>
      <c r="AA584">
        <f t="shared" si="209"/>
        <v>0.28491164158088467</v>
      </c>
      <c r="AB584">
        <f t="shared" si="210"/>
        <v>0.12835995655787227</v>
      </c>
      <c r="AC584">
        <f t="shared" si="211"/>
        <v>5.7055244343219041E-2</v>
      </c>
      <c r="AD584">
        <f t="shared" si="212"/>
        <v>2.4636579977716454E-3</v>
      </c>
      <c r="AE584">
        <f t="shared" si="213"/>
        <v>1.6278798338624539E-2</v>
      </c>
      <c r="AG584">
        <f t="shared" si="214"/>
        <v>1.0367817211447099</v>
      </c>
      <c r="AH584">
        <f t="shared" si="215"/>
        <v>0.12445288371262384</v>
      </c>
      <c r="AI584">
        <f t="shared" si="216"/>
        <v>-1.0052790256730741</v>
      </c>
      <c r="AK584" s="26">
        <f t="shared" si="217"/>
        <v>-4.3506007762998802E-2</v>
      </c>
      <c r="AL584" s="26">
        <f t="shared" si="218"/>
        <v>-2.0172380683463442E-2</v>
      </c>
      <c r="AM584" s="26">
        <f t="shared" si="219"/>
        <v>-1.9526159022120931E-2</v>
      </c>
      <c r="AN584" s="26">
        <f t="shared" si="220"/>
        <v>8.716825396825385</v>
      </c>
      <c r="AO584" s="26">
        <f t="shared" si="221"/>
        <v>7.8094492254733296</v>
      </c>
      <c r="AP584" s="26">
        <f t="shared" si="222"/>
        <v>4.0307709881567746</v>
      </c>
      <c r="AS584" s="2">
        <v>44896</v>
      </c>
      <c r="AT584">
        <v>13.5</v>
      </c>
      <c r="AU584">
        <v>18</v>
      </c>
      <c r="AV584">
        <v>21.4</v>
      </c>
      <c r="AW584">
        <v>2.5</v>
      </c>
      <c r="AX584">
        <v>17.18</v>
      </c>
      <c r="AY584">
        <v>0.6</v>
      </c>
      <c r="AZ584">
        <v>2.9</v>
      </c>
      <c r="BA584">
        <v>359.47500000000002</v>
      </c>
      <c r="BB584">
        <v>320.48489999999998</v>
      </c>
      <c r="BC584">
        <v>237.3135</v>
      </c>
      <c r="BD584">
        <v>5.4789000000000003</v>
      </c>
      <c r="BE584">
        <v>37.478400000000001</v>
      </c>
      <c r="BF584">
        <v>53.632300000000001</v>
      </c>
      <c r="BG584">
        <v>194.3415</v>
      </c>
      <c r="BH584">
        <v>92.32</v>
      </c>
    </row>
    <row r="585" spans="1:60" x14ac:dyDescent="0.25">
      <c r="A585" s="2">
        <v>44916</v>
      </c>
      <c r="B585">
        <v>9.9</v>
      </c>
      <c r="C585">
        <v>0.9</v>
      </c>
      <c r="D585">
        <v>56.7</v>
      </c>
      <c r="E585">
        <v>13.4</v>
      </c>
      <c r="F585">
        <v>16.940000000000001</v>
      </c>
      <c r="G585">
        <v>0.5</v>
      </c>
      <c r="H585">
        <v>2.8</v>
      </c>
      <c r="I585">
        <v>296.90280000000001</v>
      </c>
      <c r="J585">
        <v>175.88720000000001</v>
      </c>
      <c r="K585">
        <v>90.485200000000006</v>
      </c>
      <c r="L585">
        <v>1.3320000000000001</v>
      </c>
      <c r="M585">
        <v>19.919</v>
      </c>
      <c r="N585">
        <v>9.7729999999999997</v>
      </c>
      <c r="O585">
        <v>94.154600000000002</v>
      </c>
      <c r="P585">
        <v>83.03</v>
      </c>
      <c r="S585">
        <f t="shared" si="201"/>
        <v>685.6662</v>
      </c>
      <c r="T585">
        <f t="shared" si="202"/>
        <v>9.2809034162630467E-3</v>
      </c>
      <c r="U585">
        <f t="shared" si="203"/>
        <v>8.4371849238754971E-4</v>
      </c>
      <c r="V585">
        <f t="shared" si="204"/>
        <v>5.3154265020415634E-2</v>
      </c>
      <c r="W585">
        <f t="shared" si="205"/>
        <v>1.2562030886659074E-2</v>
      </c>
      <c r="X585">
        <f t="shared" si="206"/>
        <v>1.5880656956716772E-2</v>
      </c>
      <c r="Y585">
        <f t="shared" si="207"/>
        <v>4.6873249577086097E-4</v>
      </c>
      <c r="Z585">
        <f t="shared" si="208"/>
        <v>2.624901976316821E-3</v>
      </c>
      <c r="AA585">
        <f t="shared" si="209"/>
        <v>0.27833598089071354</v>
      </c>
      <c r="AB585">
        <f t="shared" si="210"/>
        <v>0.16488809246029715</v>
      </c>
      <c r="AC585">
        <f t="shared" si="211"/>
        <v>8.4826707252651026E-2</v>
      </c>
      <c r="AD585">
        <f t="shared" si="212"/>
        <v>1.2487033687335737E-3</v>
      </c>
      <c r="AE585">
        <f t="shared" si="213"/>
        <v>1.8673365166519559E-2</v>
      </c>
      <c r="AG585">
        <f t="shared" si="214"/>
        <v>1.043997413155467</v>
      </c>
      <c r="AH585">
        <f t="shared" si="215"/>
        <v>0.1134885744110493</v>
      </c>
      <c r="AI585">
        <f t="shared" si="216"/>
        <v>-1.0979813460141963</v>
      </c>
      <c r="AK585" s="26">
        <f t="shared" si="217"/>
        <v>-4.877220991278608E-2</v>
      </c>
      <c r="AL585" s="26">
        <f t="shared" si="218"/>
        <v>-1.9293606607433317E-2</v>
      </c>
      <c r="AM585" s="26">
        <f t="shared" si="219"/>
        <v>-2.0099053452258792E-2</v>
      </c>
      <c r="AN585" s="26">
        <f t="shared" si="220"/>
        <v>8.7463492063491799</v>
      </c>
      <c r="AO585" s="26">
        <f t="shared" si="221"/>
        <v>7.7347697934595345</v>
      </c>
      <c r="AP585" s="26">
        <f t="shared" si="222"/>
        <v>3.9292702397520145</v>
      </c>
      <c r="AS585" s="2">
        <v>44895</v>
      </c>
      <c r="AT585">
        <v>13.3</v>
      </c>
      <c r="AU585">
        <v>18</v>
      </c>
      <c r="AV585">
        <v>15.2</v>
      </c>
      <c r="AW585">
        <v>3.3</v>
      </c>
      <c r="AX585">
        <v>18.55</v>
      </c>
      <c r="AY585">
        <v>0.9</v>
      </c>
      <c r="AZ585">
        <v>2.6</v>
      </c>
      <c r="BA585">
        <v>359.82960000000003</v>
      </c>
      <c r="BB585">
        <v>306.79590000000002</v>
      </c>
      <c r="BC585">
        <v>254.27680000000001</v>
      </c>
      <c r="BD585">
        <v>2.6267999999999998</v>
      </c>
      <c r="BE585">
        <v>28.1478</v>
      </c>
      <c r="BF585">
        <v>-10.353999999999999</v>
      </c>
      <c r="BG585">
        <v>139.28319999999999</v>
      </c>
      <c r="BH585">
        <v>92.79</v>
      </c>
    </row>
    <row r="586" spans="1:60" x14ac:dyDescent="0.25">
      <c r="A586" s="2">
        <v>44915</v>
      </c>
      <c r="B586">
        <v>9.4</v>
      </c>
      <c r="C586">
        <v>1</v>
      </c>
      <c r="D586">
        <v>67.5</v>
      </c>
      <c r="E586">
        <v>27.9</v>
      </c>
      <c r="F586">
        <v>12.91</v>
      </c>
      <c r="G586">
        <v>0.9</v>
      </c>
      <c r="H586">
        <v>3.1</v>
      </c>
      <c r="I586">
        <v>256.846</v>
      </c>
      <c r="J586">
        <v>145.8732</v>
      </c>
      <c r="K586">
        <v>105.0766</v>
      </c>
      <c r="L586">
        <v>4.4661</v>
      </c>
      <c r="M586">
        <v>32.055999999999997</v>
      </c>
      <c r="N586">
        <v>13.3223</v>
      </c>
      <c r="O586">
        <v>112.4076</v>
      </c>
      <c r="P586">
        <v>83.18</v>
      </c>
      <c r="S586">
        <f t="shared" si="201"/>
        <v>667.02790000000005</v>
      </c>
      <c r="T586">
        <f t="shared" si="202"/>
        <v>8.8121709204921871E-3</v>
      </c>
      <c r="U586">
        <f t="shared" si="203"/>
        <v>9.3746499154172193E-4</v>
      </c>
      <c r="V586">
        <f t="shared" si="204"/>
        <v>6.3278886929066233E-2</v>
      </c>
      <c r="W586">
        <f t="shared" si="205"/>
        <v>2.615527326401404E-2</v>
      </c>
      <c r="X586">
        <f t="shared" si="206"/>
        <v>1.2102673040803629E-2</v>
      </c>
      <c r="Y586">
        <f t="shared" si="207"/>
        <v>8.4371849238754971E-4</v>
      </c>
      <c r="Z586">
        <f t="shared" si="208"/>
        <v>2.9061414737793379E-3</v>
      </c>
      <c r="AA586">
        <f t="shared" si="209"/>
        <v>0.24078413321752512</v>
      </c>
      <c r="AB586">
        <f t="shared" si="210"/>
        <v>0.13675101820416391</v>
      </c>
      <c r="AC586">
        <f t="shared" si="211"/>
        <v>9.85056339302329E-2</v>
      </c>
      <c r="AD586">
        <f t="shared" si="212"/>
        <v>4.1868123987244838E-3</v>
      </c>
      <c r="AE586">
        <f t="shared" si="213"/>
        <v>3.0051377768861433E-2</v>
      </c>
      <c r="AG586">
        <f t="shared" si="214"/>
        <v>1.0538285771495699</v>
      </c>
      <c r="AH586">
        <f t="shared" si="215"/>
        <v>0.14508770688094613</v>
      </c>
      <c r="AI586">
        <f t="shared" si="216"/>
        <v>-0.83222148058408885</v>
      </c>
      <c r="AK586" s="26">
        <f t="shared" si="217"/>
        <v>-4.572588170981913E-2</v>
      </c>
      <c r="AL586" s="26">
        <f t="shared" si="218"/>
        <v>-1.7670147090427357E-2</v>
      </c>
      <c r="AM586" s="26">
        <f t="shared" si="219"/>
        <v>-1.9340569505354038E-2</v>
      </c>
      <c r="AN586" s="26">
        <f t="shared" si="220"/>
        <v>8.7949206349206008</v>
      </c>
      <c r="AO586" s="26">
        <f t="shared" si="221"/>
        <v>7.6615253872633531</v>
      </c>
      <c r="AP586" s="26">
        <f t="shared" si="222"/>
        <v>3.8311633097869446</v>
      </c>
      <c r="AS586" s="2">
        <v>44894</v>
      </c>
      <c r="AT586">
        <v>12.1</v>
      </c>
      <c r="AU586">
        <v>41.6</v>
      </c>
      <c r="AV586">
        <v>18.7</v>
      </c>
      <c r="AW586">
        <v>4.3</v>
      </c>
      <c r="AX586">
        <v>15.23</v>
      </c>
      <c r="AY586">
        <v>0.9</v>
      </c>
      <c r="AZ586">
        <v>2.6</v>
      </c>
      <c r="BA586">
        <v>347.72949999999997</v>
      </c>
      <c r="BB586">
        <v>310.69200000000001</v>
      </c>
      <c r="BC586">
        <v>209.35329999999999</v>
      </c>
      <c r="BD586">
        <v>5.5429000000000004</v>
      </c>
      <c r="BE586">
        <v>31.2501</v>
      </c>
      <c r="BF586">
        <v>-3.609</v>
      </c>
      <c r="BG586">
        <v>126.1853</v>
      </c>
      <c r="BH586">
        <v>93.2</v>
      </c>
    </row>
    <row r="587" spans="1:60" x14ac:dyDescent="0.25">
      <c r="A587" s="2">
        <v>44914</v>
      </c>
      <c r="B587">
        <v>9.1999999999999993</v>
      </c>
      <c r="C587">
        <v>5</v>
      </c>
      <c r="D587">
        <v>76.599999999999994</v>
      </c>
      <c r="E587">
        <v>26</v>
      </c>
      <c r="F587">
        <v>7.97</v>
      </c>
      <c r="G587">
        <v>0.9</v>
      </c>
      <c r="H587">
        <v>3.1</v>
      </c>
      <c r="I587">
        <v>267.62020000000001</v>
      </c>
      <c r="J587">
        <v>144.1746</v>
      </c>
      <c r="K587">
        <v>125.3888</v>
      </c>
      <c r="L587">
        <v>0</v>
      </c>
      <c r="M587">
        <v>21.724699999999999</v>
      </c>
      <c r="N587">
        <v>7.5762</v>
      </c>
      <c r="O587">
        <v>111.81059999999999</v>
      </c>
      <c r="P587">
        <v>83.45</v>
      </c>
      <c r="S587">
        <f t="shared" si="201"/>
        <v>687.67830000000004</v>
      </c>
      <c r="T587">
        <f t="shared" si="202"/>
        <v>8.6246779221838404E-3</v>
      </c>
      <c r="U587">
        <f t="shared" si="203"/>
        <v>4.6873249577086091E-3</v>
      </c>
      <c r="V587">
        <f t="shared" si="204"/>
        <v>7.1809818352095892E-2</v>
      </c>
      <c r="W587">
        <f t="shared" si="205"/>
        <v>2.4374089780084769E-2</v>
      </c>
      <c r="X587">
        <f t="shared" si="206"/>
        <v>7.4715959825875236E-3</v>
      </c>
      <c r="Y587">
        <f t="shared" si="207"/>
        <v>8.4371849238754971E-4</v>
      </c>
      <c r="Z587">
        <f t="shared" si="208"/>
        <v>2.9061414737793379E-3</v>
      </c>
      <c r="AA587">
        <f t="shared" si="209"/>
        <v>0.25088456852939395</v>
      </c>
      <c r="AB587">
        <f t="shared" si="210"/>
        <v>0.13515864016953114</v>
      </c>
      <c r="AC587">
        <f t="shared" si="211"/>
        <v>0.11754761033142666</v>
      </c>
      <c r="AD587">
        <f t="shared" si="212"/>
        <v>0</v>
      </c>
      <c r="AE587">
        <f t="shared" si="213"/>
        <v>2.0366145701746444E-2</v>
      </c>
      <c r="AG587">
        <f t="shared" si="214"/>
        <v>1.0689947062609664</v>
      </c>
      <c r="AH587">
        <f t="shared" si="215"/>
        <v>0.14108351266257399</v>
      </c>
      <c r="AI587">
        <f t="shared" si="216"/>
        <v>-0.86430124667314856</v>
      </c>
      <c r="AK587" s="26">
        <f t="shared" si="217"/>
        <v>-4.6239920549395547E-2</v>
      </c>
      <c r="AL587" s="26">
        <f t="shared" si="218"/>
        <v>-1.7999210331769711E-2</v>
      </c>
      <c r="AM587" s="26">
        <f t="shared" si="219"/>
        <v>-1.9226290455001988E-2</v>
      </c>
      <c r="AN587" s="26">
        <f t="shared" si="220"/>
        <v>8.8499999999999801</v>
      </c>
      <c r="AO587" s="26">
        <f t="shared" si="221"/>
        <v>7.5898988812392361</v>
      </c>
      <c r="AP587" s="26">
        <f t="shared" si="222"/>
        <v>3.7343247288673211</v>
      </c>
      <c r="AS587" s="2">
        <v>44893</v>
      </c>
      <c r="AT587">
        <v>10.7</v>
      </c>
      <c r="AU587">
        <v>107.7</v>
      </c>
      <c r="AV587">
        <v>56.8</v>
      </c>
      <c r="AW587">
        <v>13.8</v>
      </c>
      <c r="AX587">
        <v>22.09</v>
      </c>
      <c r="AY587">
        <v>0.9</v>
      </c>
      <c r="AZ587">
        <v>2.4</v>
      </c>
      <c r="BA587">
        <v>333.3535</v>
      </c>
      <c r="BB587">
        <v>229.73390000000001</v>
      </c>
      <c r="BC587">
        <v>130.19970000000001</v>
      </c>
      <c r="BD587">
        <v>0</v>
      </c>
      <c r="BE587">
        <v>36.079900000000002</v>
      </c>
      <c r="BF587">
        <v>-19.5688</v>
      </c>
      <c r="BG587">
        <v>97.423699999999997</v>
      </c>
      <c r="BH587">
        <v>93.61</v>
      </c>
    </row>
    <row r="588" spans="1:60" x14ac:dyDescent="0.25">
      <c r="A588" s="2">
        <v>44913</v>
      </c>
      <c r="B588">
        <v>9.5</v>
      </c>
      <c r="C588">
        <v>5.0999999999999996</v>
      </c>
      <c r="D588">
        <v>67.8</v>
      </c>
      <c r="E588">
        <v>14.8</v>
      </c>
      <c r="F588">
        <v>19.18</v>
      </c>
      <c r="G588">
        <v>0.7</v>
      </c>
      <c r="H588">
        <v>3.1</v>
      </c>
      <c r="I588">
        <v>299.33999999999997</v>
      </c>
      <c r="J588">
        <v>208.60730000000001</v>
      </c>
      <c r="K588">
        <v>110.5017</v>
      </c>
      <c r="L588">
        <v>0</v>
      </c>
      <c r="M588">
        <v>16.239799999999999</v>
      </c>
      <c r="P588">
        <v>83.82</v>
      </c>
      <c r="S588">
        <f t="shared" si="201"/>
        <v>754.86879999999996</v>
      </c>
      <c r="T588">
        <f t="shared" si="202"/>
        <v>8.9059174196463586E-3</v>
      </c>
      <c r="U588">
        <f t="shared" si="203"/>
        <v>4.7810714568627816E-3</v>
      </c>
      <c r="V588">
        <f t="shared" si="204"/>
        <v>6.3560126426528737E-2</v>
      </c>
      <c r="W588">
        <f t="shared" si="205"/>
        <v>1.3874481874817485E-2</v>
      </c>
      <c r="X588">
        <f t="shared" si="206"/>
        <v>1.7980578537770225E-2</v>
      </c>
      <c r="Y588">
        <f t="shared" si="207"/>
        <v>6.5622549407920526E-4</v>
      </c>
      <c r="Z588">
        <f t="shared" si="208"/>
        <v>2.9061414737793379E-3</v>
      </c>
      <c r="AA588">
        <f t="shared" si="209"/>
        <v>0.28062077056809903</v>
      </c>
      <c r="AB588">
        <f t="shared" si="210"/>
        <v>0.19556204073004146</v>
      </c>
      <c r="AC588">
        <f t="shared" si="211"/>
        <v>0.10359147525584589</v>
      </c>
      <c r="AD588">
        <f t="shared" si="212"/>
        <v>0</v>
      </c>
      <c r="AE588">
        <f t="shared" si="213"/>
        <v>1.5224243969639254E-2</v>
      </c>
      <c r="AG588">
        <f t="shared" si="214"/>
        <v>1.0886201751166273</v>
      </c>
      <c r="AH588">
        <f t="shared" si="215"/>
        <v>0.12788878665312339</v>
      </c>
      <c r="AI588">
        <f t="shared" si="216"/>
        <v>-0.97365852016872867</v>
      </c>
      <c r="AK588" s="26">
        <f t="shared" si="217"/>
        <v>-4.0080522588222686E-2</v>
      </c>
      <c r="AL588" s="26">
        <f t="shared" si="218"/>
        <v>-1.8810858485639376E-2</v>
      </c>
      <c r="AM588" s="26">
        <f t="shared" si="219"/>
        <v>-2.0034378054890389E-2</v>
      </c>
      <c r="AN588" s="26">
        <f t="shared" si="220"/>
        <v>8.9088888888888818</v>
      </c>
      <c r="AO588" s="26">
        <f t="shared" si="221"/>
        <v>7.5186402753872557</v>
      </c>
      <c r="AP588" s="26">
        <f t="shared" si="222"/>
        <v>3.6369512355241795</v>
      </c>
      <c r="AS588" s="2">
        <v>44892</v>
      </c>
      <c r="AT588">
        <v>11.1</v>
      </c>
      <c r="AU588">
        <v>0</v>
      </c>
      <c r="AV588">
        <v>67.900000000000006</v>
      </c>
      <c r="AW588">
        <v>12.8</v>
      </c>
      <c r="AX588">
        <v>48.35</v>
      </c>
      <c r="AY588">
        <v>0.9</v>
      </c>
      <c r="AZ588">
        <v>2.2999999999999998</v>
      </c>
      <c r="BA588">
        <v>295.57940000000002</v>
      </c>
      <c r="BB588">
        <v>192.77719999999999</v>
      </c>
      <c r="BC588">
        <v>58.150100000000002</v>
      </c>
      <c r="BD588">
        <v>0</v>
      </c>
      <c r="BE588">
        <v>16.1388</v>
      </c>
      <c r="BH588">
        <v>93.91</v>
      </c>
    </row>
    <row r="589" spans="1:60" x14ac:dyDescent="0.25">
      <c r="A589" s="2">
        <v>44912</v>
      </c>
      <c r="C589">
        <v>22.3</v>
      </c>
      <c r="F589">
        <v>16.8</v>
      </c>
      <c r="K589">
        <v>159.73179999999999</v>
      </c>
      <c r="P589">
        <v>84.18</v>
      </c>
      <c r="S589">
        <f t="shared" si="201"/>
        <v>198.83179999999999</v>
      </c>
      <c r="T589">
        <f t="shared" si="202"/>
        <v>0</v>
      </c>
      <c r="U589">
        <f t="shared" si="203"/>
        <v>2.09054693113804E-2</v>
      </c>
      <c r="V589">
        <f t="shared" si="204"/>
        <v>0</v>
      </c>
      <c r="W589">
        <f t="shared" si="205"/>
        <v>0</v>
      </c>
      <c r="X589">
        <f t="shared" si="206"/>
        <v>1.5749411857900929E-2</v>
      </c>
      <c r="Y589">
        <f t="shared" si="207"/>
        <v>0</v>
      </c>
      <c r="Z589">
        <f t="shared" si="208"/>
        <v>0</v>
      </c>
      <c r="AA589">
        <f t="shared" si="209"/>
        <v>0</v>
      </c>
      <c r="AB589">
        <f t="shared" si="210"/>
        <v>0</v>
      </c>
      <c r="AC589">
        <f t="shared" si="211"/>
        <v>0.14974297053594401</v>
      </c>
      <c r="AD589">
        <f t="shared" si="212"/>
        <v>0</v>
      </c>
      <c r="AE589">
        <f t="shared" si="213"/>
        <v>0</v>
      </c>
      <c r="AG589">
        <f t="shared" si="214"/>
        <v>1.1077901224973696</v>
      </c>
      <c r="AH589">
        <f t="shared" si="215"/>
        <v>3.6654881169281325E-2</v>
      </c>
      <c r="AI589">
        <f t="shared" si="216"/>
        <v>-1.7363941372055418</v>
      </c>
      <c r="AK589" s="26">
        <f t="shared" si="217"/>
        <v>-3.8988035111992364E-2</v>
      </c>
      <c r="AL589" s="26">
        <f t="shared" si="218"/>
        <v>-1.8614235792499989E-2</v>
      </c>
      <c r="AM589" s="26">
        <f t="shared" si="219"/>
        <v>-2.2345855128502123E-2</v>
      </c>
      <c r="AN589" s="26">
        <f t="shared" si="220"/>
        <v>8.9619047619047478</v>
      </c>
      <c r="AO589" s="26">
        <f t="shared" si="221"/>
        <v>7.4428033562822691</v>
      </c>
      <c r="AP589" s="26">
        <f t="shared" si="222"/>
        <v>3.5365321288830955</v>
      </c>
      <c r="AS589" s="2">
        <v>44891</v>
      </c>
      <c r="AU589">
        <v>16.8</v>
      </c>
      <c r="AX589">
        <v>37.69</v>
      </c>
      <c r="BC589">
        <v>66.218500000000006</v>
      </c>
      <c r="BH589">
        <v>93.96</v>
      </c>
    </row>
    <row r="590" spans="1:60" x14ac:dyDescent="0.25">
      <c r="A590" s="2">
        <v>44911</v>
      </c>
      <c r="C590">
        <v>0.3</v>
      </c>
      <c r="F590">
        <v>17.73</v>
      </c>
      <c r="K590">
        <v>231.1781</v>
      </c>
      <c r="N590">
        <v>11.803699999999999</v>
      </c>
      <c r="O590">
        <v>129.79140000000001</v>
      </c>
      <c r="P590">
        <v>84.6</v>
      </c>
      <c r="S590">
        <f t="shared" si="201"/>
        <v>249.2081</v>
      </c>
      <c r="T590">
        <f t="shared" si="202"/>
        <v>0</v>
      </c>
      <c r="U590">
        <f t="shared" si="203"/>
        <v>2.8123949746251657E-4</v>
      </c>
      <c r="V590">
        <f t="shared" si="204"/>
        <v>0</v>
      </c>
      <c r="W590">
        <f t="shared" si="205"/>
        <v>0</v>
      </c>
      <c r="X590">
        <f t="shared" si="206"/>
        <v>1.6621254300034728E-2</v>
      </c>
      <c r="Y590">
        <f t="shared" si="207"/>
        <v>0</v>
      </c>
      <c r="Z590">
        <f t="shared" si="208"/>
        <v>0</v>
      </c>
      <c r="AA590">
        <f t="shared" si="209"/>
        <v>0</v>
      </c>
      <c r="AB590">
        <f t="shared" si="210"/>
        <v>0</v>
      </c>
      <c r="AC590">
        <f t="shared" si="211"/>
        <v>0.21672137556113133</v>
      </c>
      <c r="AD590">
        <f t="shared" si="212"/>
        <v>0</v>
      </c>
      <c r="AE590">
        <f t="shared" si="213"/>
        <v>0</v>
      </c>
      <c r="AG590">
        <f t="shared" si="214"/>
        <v>1.1296628829589008</v>
      </c>
      <c r="AH590">
        <f t="shared" si="215"/>
        <v>1.6902493797497246E-2</v>
      </c>
      <c r="AI590">
        <f t="shared" si="216"/>
        <v>-1.9060883448225565</v>
      </c>
      <c r="AK590" s="26">
        <f t="shared" si="217"/>
        <v>-4.0329108543186165E-2</v>
      </c>
      <c r="AL590" s="26">
        <f t="shared" si="218"/>
        <v>-1.9113244777039406E-2</v>
      </c>
      <c r="AM590" s="26">
        <f t="shared" si="219"/>
        <v>-2.149873331398075E-2</v>
      </c>
      <c r="AN590" s="26">
        <f t="shared" si="220"/>
        <v>9.0009523809523841</v>
      </c>
      <c r="AO590" s="26">
        <f t="shared" si="221"/>
        <v>7.3630550774526711</v>
      </c>
      <c r="AP590" s="26">
        <f t="shared" si="222"/>
        <v>3.4344901656993585</v>
      </c>
      <c r="AS590" s="2">
        <v>44890</v>
      </c>
      <c r="AU590">
        <v>22</v>
      </c>
      <c r="AX590">
        <v>44.38</v>
      </c>
      <c r="BC590">
        <v>115.9995</v>
      </c>
      <c r="BF590">
        <v>-19.153700000000001</v>
      </c>
      <c r="BG590">
        <v>103.8728</v>
      </c>
      <c r="BH590">
        <v>94.02</v>
      </c>
    </row>
    <row r="591" spans="1:60" x14ac:dyDescent="0.25">
      <c r="A591" s="2">
        <v>44910</v>
      </c>
      <c r="B591">
        <v>10.8</v>
      </c>
      <c r="C591">
        <v>1.1000000000000001</v>
      </c>
      <c r="D591">
        <v>44.8</v>
      </c>
      <c r="E591">
        <v>6.3</v>
      </c>
      <c r="F591">
        <v>21.8</v>
      </c>
      <c r="G591">
        <v>0.8</v>
      </c>
      <c r="H591">
        <v>3.6</v>
      </c>
      <c r="I591">
        <v>350.22140000000002</v>
      </c>
      <c r="J591">
        <v>266.02980000000002</v>
      </c>
      <c r="K591">
        <v>240.71770000000001</v>
      </c>
      <c r="L591">
        <v>7.1807999999999996</v>
      </c>
      <c r="M591">
        <v>37.0197</v>
      </c>
      <c r="N591">
        <v>15.6722</v>
      </c>
      <c r="O591">
        <v>166.36760000000001</v>
      </c>
      <c r="P591">
        <v>85.18</v>
      </c>
      <c r="S591">
        <f t="shared" si="201"/>
        <v>990.36940000000004</v>
      </c>
      <c r="T591">
        <f t="shared" si="202"/>
        <v>1.0124621908650598E-2</v>
      </c>
      <c r="U591">
        <f t="shared" si="203"/>
        <v>1.0312114906958943E-3</v>
      </c>
      <c r="V591">
        <f t="shared" si="204"/>
        <v>4.1998431621069136E-2</v>
      </c>
      <c r="W591">
        <f t="shared" si="205"/>
        <v>5.9060294467128483E-3</v>
      </c>
      <c r="X591">
        <f t="shared" si="206"/>
        <v>2.0436736815609539E-2</v>
      </c>
      <c r="Y591">
        <f t="shared" si="207"/>
        <v>7.4997199323337759E-4</v>
      </c>
      <c r="Z591">
        <f t="shared" si="208"/>
        <v>3.3748739695501988E-3</v>
      </c>
      <c r="AA591">
        <f t="shared" si="209"/>
        <v>0.32832030178873001</v>
      </c>
      <c r="AB591">
        <f t="shared" si="210"/>
        <v>0.24939362420684599</v>
      </c>
      <c r="AC591">
        <f t="shared" si="211"/>
        <v>0.22566441659444275</v>
      </c>
      <c r="AD591">
        <f t="shared" si="212"/>
        <v>6.7317486112627965E-3</v>
      </c>
      <c r="AE591">
        <f t="shared" si="213"/>
        <v>3.4704672747377083E-2</v>
      </c>
      <c r="AG591">
        <f t="shared" si="214"/>
        <v>1.1587437905789859</v>
      </c>
      <c r="AH591">
        <f t="shared" si="215"/>
        <v>0.11832654999289867</v>
      </c>
      <c r="AI591">
        <f t="shared" si="216"/>
        <v>-1.0591501372677377</v>
      </c>
      <c r="AK591" s="26">
        <f t="shared" si="217"/>
        <v>-3.8291593857815678E-2</v>
      </c>
      <c r="AL591" s="26">
        <f t="shared" si="218"/>
        <v>-1.9130354319903536E-2</v>
      </c>
      <c r="AM591" s="26">
        <f t="shared" si="219"/>
        <v>-2.0852097935858765E-2</v>
      </c>
      <c r="AN591" s="26">
        <f t="shared" si="220"/>
        <v>9.0242857142857247</v>
      </c>
      <c r="AO591" s="26">
        <f t="shared" si="221"/>
        <v>7.2783218588640466</v>
      </c>
      <c r="AP591" s="26">
        <f t="shared" si="222"/>
        <v>3.3311220818780356</v>
      </c>
      <c r="AS591" s="2">
        <v>44889</v>
      </c>
      <c r="AT591">
        <v>12.9</v>
      </c>
      <c r="AU591">
        <v>2.2000000000000002</v>
      </c>
      <c r="AV591">
        <v>59.3</v>
      </c>
      <c r="AW591">
        <v>9.1</v>
      </c>
      <c r="AX591">
        <v>38.14</v>
      </c>
      <c r="AY591">
        <v>0.9</v>
      </c>
      <c r="AZ591">
        <v>2.6</v>
      </c>
      <c r="BA591">
        <v>355.1157</v>
      </c>
      <c r="BB591">
        <v>228.024</v>
      </c>
      <c r="BC591">
        <v>105.6889</v>
      </c>
      <c r="BD591">
        <v>2.2713999999999999</v>
      </c>
      <c r="BE591">
        <v>33.818300000000001</v>
      </c>
      <c r="BF591">
        <v>-7.5384000000000002</v>
      </c>
      <c r="BG591">
        <v>116.76949999999999</v>
      </c>
      <c r="BH591">
        <v>94.2</v>
      </c>
    </row>
    <row r="592" spans="1:60" x14ac:dyDescent="0.25">
      <c r="A592" s="2">
        <v>44909</v>
      </c>
      <c r="B592">
        <v>11</v>
      </c>
      <c r="C592">
        <v>86.2</v>
      </c>
      <c r="D592">
        <v>40.9</v>
      </c>
      <c r="E592">
        <v>8</v>
      </c>
      <c r="F592">
        <v>16.82</v>
      </c>
      <c r="G592">
        <v>0.6</v>
      </c>
      <c r="H592">
        <v>3.7</v>
      </c>
      <c r="I592">
        <v>371.65030000000002</v>
      </c>
      <c r="J592">
        <v>290.0729</v>
      </c>
      <c r="K592">
        <v>231.9298</v>
      </c>
      <c r="L592">
        <v>4.7496999999999998</v>
      </c>
      <c r="M592">
        <v>43.968499999999999</v>
      </c>
      <c r="N592">
        <v>15.5762</v>
      </c>
      <c r="O592">
        <v>157.32040000000001</v>
      </c>
      <c r="P592">
        <v>85.85</v>
      </c>
      <c r="S592">
        <f t="shared" si="201"/>
        <v>1109.5912000000001</v>
      </c>
      <c r="T592">
        <f t="shared" si="202"/>
        <v>1.0312114906958941E-2</v>
      </c>
      <c r="U592">
        <f t="shared" si="203"/>
        <v>8.0809482270896432E-2</v>
      </c>
      <c r="V592">
        <f t="shared" si="204"/>
        <v>3.8342318154056428E-2</v>
      </c>
      <c r="W592">
        <f t="shared" si="205"/>
        <v>7.4997199323337755E-3</v>
      </c>
      <c r="X592">
        <f t="shared" si="206"/>
        <v>1.5768161157731764E-2</v>
      </c>
      <c r="Y592">
        <f t="shared" si="207"/>
        <v>5.6247899492503314E-4</v>
      </c>
      <c r="Z592">
        <f t="shared" si="208"/>
        <v>3.4686204687043713E-3</v>
      </c>
      <c r="AA592">
        <f t="shared" si="209"/>
        <v>0.34840914534597844</v>
      </c>
      <c r="AB592">
        <f t="shared" si="210"/>
        <v>0.27193318874498273</v>
      </c>
      <c r="AC592">
        <f t="shared" si="211"/>
        <v>0.21742606799527325</v>
      </c>
      <c r="AD592">
        <f t="shared" si="212"/>
        <v>4.4526774703257162E-3</v>
      </c>
      <c r="AE592">
        <f t="shared" si="213"/>
        <v>4.1218929480602198E-2</v>
      </c>
      <c r="AG592">
        <f t="shared" si="214"/>
        <v>1.1919016338234354</v>
      </c>
      <c r="AH592">
        <f t="shared" si="215"/>
        <v>0.19798182536620895</v>
      </c>
      <c r="AI592">
        <f t="shared" si="216"/>
        <v>-0.38967353147509626</v>
      </c>
      <c r="AK592" s="26">
        <f t="shared" si="217"/>
        <v>-3.8528132643617999E-2</v>
      </c>
      <c r="AL592" s="26">
        <f t="shared" si="218"/>
        <v>-1.7624416769608353E-2</v>
      </c>
      <c r="AM592" s="26">
        <f t="shared" si="219"/>
        <v>-2.1221736165019073E-2</v>
      </c>
      <c r="AN592" s="26">
        <f t="shared" si="220"/>
        <v>9.0287301587301698</v>
      </c>
      <c r="AO592" s="26">
        <f t="shared" si="221"/>
        <v>7.1884380378657653</v>
      </c>
      <c r="AP592" s="26">
        <f t="shared" si="222"/>
        <v>3.2245975683411103</v>
      </c>
      <c r="AS592" s="2">
        <v>44888</v>
      </c>
      <c r="AT592">
        <v>12.8</v>
      </c>
      <c r="AU592">
        <v>0</v>
      </c>
      <c r="AV592">
        <v>77</v>
      </c>
      <c r="AW592">
        <v>13.6</v>
      </c>
      <c r="AX592">
        <v>68.56</v>
      </c>
      <c r="AY592">
        <v>0.7</v>
      </c>
      <c r="AZ592">
        <v>2.4</v>
      </c>
      <c r="BA592">
        <v>305.60860000000002</v>
      </c>
      <c r="BB592">
        <v>218.06489999999999</v>
      </c>
      <c r="BC592">
        <v>89.741699999999994</v>
      </c>
      <c r="BD592">
        <v>3.3784000000000001</v>
      </c>
      <c r="BE592">
        <v>25.140499999999999</v>
      </c>
      <c r="BF592">
        <v>-15.862500000000001</v>
      </c>
      <c r="BG592">
        <v>116.88720000000001</v>
      </c>
      <c r="BH592">
        <v>94.38</v>
      </c>
    </row>
    <row r="593" spans="1:60" x14ac:dyDescent="0.25">
      <c r="A593" s="2">
        <v>44908</v>
      </c>
      <c r="B593">
        <v>10</v>
      </c>
      <c r="C593">
        <v>3.9</v>
      </c>
      <c r="D593">
        <v>41.3</v>
      </c>
      <c r="E593">
        <v>5.6</v>
      </c>
      <c r="F593">
        <v>35.44</v>
      </c>
      <c r="G593">
        <v>0.1</v>
      </c>
      <c r="H593">
        <v>3.2</v>
      </c>
      <c r="I593">
        <v>363.96960000000001</v>
      </c>
      <c r="J593">
        <v>300.62189999999998</v>
      </c>
      <c r="K593">
        <v>224.1413</v>
      </c>
      <c r="L593">
        <v>4.6997</v>
      </c>
      <c r="M593">
        <v>39.5989</v>
      </c>
      <c r="N593">
        <v>19.395</v>
      </c>
      <c r="O593">
        <v>168.1266</v>
      </c>
      <c r="P593">
        <v>86.56</v>
      </c>
      <c r="S593">
        <f t="shared" si="201"/>
        <v>1032.5714</v>
      </c>
      <c r="T593">
        <f t="shared" si="202"/>
        <v>9.3746499154172182E-3</v>
      </c>
      <c r="U593">
        <f t="shared" si="203"/>
        <v>3.6561134670127153E-3</v>
      </c>
      <c r="V593">
        <f t="shared" si="204"/>
        <v>3.8717304150673114E-2</v>
      </c>
      <c r="W593">
        <f t="shared" si="205"/>
        <v>5.249803952633642E-3</v>
      </c>
      <c r="X593">
        <f t="shared" si="206"/>
        <v>3.3223759300238624E-2</v>
      </c>
      <c r="Y593">
        <f t="shared" si="207"/>
        <v>9.3746499154172199E-5</v>
      </c>
      <c r="Z593">
        <f t="shared" si="208"/>
        <v>2.9998879729335104E-3</v>
      </c>
      <c r="AA593">
        <f t="shared" si="209"/>
        <v>0.34120875798544392</v>
      </c>
      <c r="AB593">
        <f t="shared" si="210"/>
        <v>0.28182250694075633</v>
      </c>
      <c r="AC593">
        <f t="shared" si="211"/>
        <v>0.21012462190865056</v>
      </c>
      <c r="AD593">
        <f t="shared" si="212"/>
        <v>4.4058042207486305E-3</v>
      </c>
      <c r="AE593">
        <f t="shared" si="213"/>
        <v>3.7122582453561495E-2</v>
      </c>
      <c r="AG593">
        <f t="shared" si="214"/>
        <v>1.2268998783629723</v>
      </c>
      <c r="AH593">
        <f t="shared" si="215"/>
        <v>0.13043784771162448</v>
      </c>
      <c r="AI593">
        <f t="shared" si="216"/>
        <v>-0.95450907430418763</v>
      </c>
      <c r="AK593" s="26">
        <f t="shared" si="217"/>
        <v>-4.0644284273342435E-2</v>
      </c>
      <c r="AL593" s="26">
        <f t="shared" si="218"/>
        <v>-1.9968993902074961E-2</v>
      </c>
      <c r="AM593" s="26">
        <f t="shared" si="219"/>
        <v>-2.1942435162139146E-2</v>
      </c>
      <c r="AN593" s="26">
        <f t="shared" si="220"/>
        <v>9.0141269841269889</v>
      </c>
      <c r="AO593" s="26">
        <f t="shared" si="221"/>
        <v>7.0902969018933106</v>
      </c>
      <c r="AP593" s="26">
        <f t="shared" si="222"/>
        <v>3.1149483994642537</v>
      </c>
      <c r="AS593" s="2">
        <v>44887</v>
      </c>
      <c r="AT593">
        <v>12.2</v>
      </c>
      <c r="AU593">
        <v>0</v>
      </c>
      <c r="AV593">
        <v>88.2</v>
      </c>
      <c r="AW593">
        <v>15.3</v>
      </c>
      <c r="AX593">
        <v>31.31</v>
      </c>
      <c r="AY593">
        <v>0.4</v>
      </c>
      <c r="AZ593">
        <v>2.4</v>
      </c>
      <c r="BA593">
        <v>313.62549999999999</v>
      </c>
      <c r="BB593">
        <v>189.26840000000001</v>
      </c>
      <c r="BC593">
        <v>95.998800000000003</v>
      </c>
      <c r="BD593">
        <v>2.8534999999999999</v>
      </c>
      <c r="BE593">
        <v>32.537799999999997</v>
      </c>
      <c r="BF593">
        <v>-16.067900000000002</v>
      </c>
      <c r="BG593">
        <v>99.546499999999995</v>
      </c>
      <c r="BH593">
        <v>94.58</v>
      </c>
    </row>
    <row r="594" spans="1:60" x14ac:dyDescent="0.25">
      <c r="A594" s="2">
        <v>44907</v>
      </c>
      <c r="B594">
        <v>9.3000000000000007</v>
      </c>
      <c r="C594">
        <v>3.7</v>
      </c>
      <c r="D594">
        <v>23.4</v>
      </c>
      <c r="E594">
        <v>2.2000000000000002</v>
      </c>
      <c r="F594">
        <v>25.8</v>
      </c>
      <c r="G594">
        <v>0.6</v>
      </c>
      <c r="H594">
        <v>3.5</v>
      </c>
      <c r="I594">
        <v>363.66419999999999</v>
      </c>
      <c r="J594">
        <v>295.31920000000002</v>
      </c>
      <c r="K594">
        <v>240.06540000000001</v>
      </c>
      <c r="L594">
        <v>3.5179</v>
      </c>
      <c r="M594">
        <v>39.528599999999997</v>
      </c>
      <c r="N594">
        <v>29.071899999999999</v>
      </c>
      <c r="O594">
        <v>175.50309999999999</v>
      </c>
      <c r="P594">
        <v>87.33</v>
      </c>
      <c r="S594">
        <f t="shared" si="201"/>
        <v>1010.5953000000001</v>
      </c>
      <c r="T594">
        <f t="shared" si="202"/>
        <v>8.7184244213380137E-3</v>
      </c>
      <c r="U594">
        <f t="shared" si="203"/>
        <v>3.4686204687043713E-3</v>
      </c>
      <c r="V594">
        <f t="shared" si="204"/>
        <v>2.1936680802076291E-2</v>
      </c>
      <c r="W594">
        <f t="shared" si="205"/>
        <v>2.0624229813917885E-3</v>
      </c>
      <c r="X594">
        <f t="shared" si="206"/>
        <v>2.4186596781776426E-2</v>
      </c>
      <c r="Y594">
        <f t="shared" si="207"/>
        <v>5.6247899492503314E-4</v>
      </c>
      <c r="Z594">
        <f t="shared" si="208"/>
        <v>3.2811274703960268E-3</v>
      </c>
      <c r="AA594">
        <f t="shared" si="209"/>
        <v>0.34092245617702704</v>
      </c>
      <c r="AB594">
        <f t="shared" si="210"/>
        <v>0.2768514113301081</v>
      </c>
      <c r="AC594">
        <f t="shared" si="211"/>
        <v>0.22505290818046009</v>
      </c>
      <c r="AD594">
        <f t="shared" si="212"/>
        <v>3.2979080937446236E-3</v>
      </c>
      <c r="AE594">
        <f t="shared" si="213"/>
        <v>3.7056678664656104E-2</v>
      </c>
      <c r="AG594">
        <f t="shared" si="214"/>
        <v>1.2646445550677501</v>
      </c>
      <c r="AH594">
        <f t="shared" si="215"/>
        <v>0.10127303058526406</v>
      </c>
      <c r="AI594">
        <f t="shared" si="216"/>
        <v>-1.1993893182737481</v>
      </c>
      <c r="AK594" s="26">
        <f t="shared" si="217"/>
        <v>-3.8901709466667989E-2</v>
      </c>
      <c r="AL594" s="26">
        <f t="shared" si="218"/>
        <v>-2.0175962614567278E-2</v>
      </c>
      <c r="AM594" s="26">
        <f t="shared" si="219"/>
        <v>-2.2581291569937934E-2</v>
      </c>
      <c r="AN594" s="26">
        <f t="shared" si="220"/>
        <v>8.9814285714285802</v>
      </c>
      <c r="AO594" s="26">
        <f t="shared" si="221"/>
        <v>6.9824569707401309</v>
      </c>
      <c r="AP594" s="26">
        <f t="shared" si="222"/>
        <v>3.0022074000157062</v>
      </c>
      <c r="AS594" s="2">
        <v>44886</v>
      </c>
      <c r="AT594">
        <v>11.3</v>
      </c>
      <c r="AU594">
        <v>1.8</v>
      </c>
      <c r="AV594">
        <v>27.2</v>
      </c>
      <c r="AW594">
        <v>6.1</v>
      </c>
      <c r="AX594">
        <v>48.59</v>
      </c>
      <c r="AY594">
        <v>0.5</v>
      </c>
      <c r="AZ594">
        <v>2.4</v>
      </c>
      <c r="BA594">
        <v>335.86610000000002</v>
      </c>
      <c r="BB594">
        <v>218.4178</v>
      </c>
      <c r="BC594">
        <v>124.8887</v>
      </c>
      <c r="BD594">
        <v>1.9265000000000001</v>
      </c>
      <c r="BE594">
        <v>42.806600000000003</v>
      </c>
      <c r="BF594">
        <v>-21.416499999999999</v>
      </c>
      <c r="BG594">
        <v>89.931700000000006</v>
      </c>
      <c r="BH594">
        <v>94.81</v>
      </c>
    </row>
    <row r="595" spans="1:60" x14ac:dyDescent="0.25">
      <c r="A595" s="2">
        <v>44906</v>
      </c>
      <c r="B595">
        <v>8.9</v>
      </c>
      <c r="C595">
        <v>2.1</v>
      </c>
      <c r="D595">
        <v>33.799999999999997</v>
      </c>
      <c r="E595">
        <v>1.5</v>
      </c>
      <c r="F595">
        <v>12.51</v>
      </c>
      <c r="G595">
        <v>0.9</v>
      </c>
      <c r="H595">
        <v>3.7</v>
      </c>
      <c r="I595">
        <v>330.96379999999999</v>
      </c>
      <c r="J595">
        <v>272.87869999999998</v>
      </c>
      <c r="K595">
        <v>189.76429999999999</v>
      </c>
      <c r="L595">
        <v>0</v>
      </c>
      <c r="M595">
        <v>20.433299999999999</v>
      </c>
      <c r="P595">
        <v>88.03</v>
      </c>
      <c r="S595">
        <f t="shared" si="201"/>
        <v>877.45009999999991</v>
      </c>
      <c r="T595">
        <f t="shared" si="202"/>
        <v>8.3434384247213257E-3</v>
      </c>
      <c r="U595">
        <f t="shared" si="203"/>
        <v>1.9686764822376161E-3</v>
      </c>
      <c r="V595">
        <f t="shared" si="204"/>
        <v>3.1686316714110201E-2</v>
      </c>
      <c r="W595">
        <f t="shared" si="205"/>
        <v>1.406197487312583E-3</v>
      </c>
      <c r="X595">
        <f t="shared" si="206"/>
        <v>1.1727687044186941E-2</v>
      </c>
      <c r="Y595">
        <f t="shared" si="207"/>
        <v>8.4371849238754971E-4</v>
      </c>
      <c r="Z595">
        <f t="shared" si="208"/>
        <v>3.4686204687043713E-3</v>
      </c>
      <c r="AA595">
        <f t="shared" si="209"/>
        <v>0.31026697596761615</v>
      </c>
      <c r="AB595">
        <f t="shared" si="210"/>
        <v>0.25581422818741606</v>
      </c>
      <c r="AC595">
        <f t="shared" si="211"/>
        <v>0.17789738789442078</v>
      </c>
      <c r="AD595">
        <f t="shared" si="212"/>
        <v>0</v>
      </c>
      <c r="AE595">
        <f t="shared" si="213"/>
        <v>1.9155503411669467E-2</v>
      </c>
      <c r="AG595">
        <f t="shared" si="214"/>
        <v>1.299288946534751</v>
      </c>
      <c r="AH595">
        <f t="shared" si="215"/>
        <v>7.8600158525330061E-2</v>
      </c>
      <c r="AI595">
        <f t="shared" si="216"/>
        <v>-1.3901653178330786</v>
      </c>
      <c r="AK595" s="26">
        <f t="shared" si="217"/>
        <v>-3.8716438111585663E-2</v>
      </c>
      <c r="AL595" s="26">
        <f t="shared" si="218"/>
        <v>-1.9185233415628444E-2</v>
      </c>
      <c r="AM595" s="26">
        <f t="shared" si="219"/>
        <v>-2.3502952924309012E-2</v>
      </c>
      <c r="AN595" s="26">
        <f t="shared" si="220"/>
        <v>8.9323809523809672</v>
      </c>
      <c r="AO595" s="26">
        <f t="shared" si="221"/>
        <v>6.8668653184165578</v>
      </c>
      <c r="AP595" s="26">
        <f t="shared" si="222"/>
        <v>2.8856067330164308</v>
      </c>
      <c r="AS595" s="2">
        <v>44885</v>
      </c>
      <c r="AT595">
        <v>11.7</v>
      </c>
      <c r="AU595">
        <v>0</v>
      </c>
      <c r="AV595">
        <v>13.3</v>
      </c>
      <c r="AW595">
        <v>4.0999999999999996</v>
      </c>
      <c r="AX595">
        <v>37.81</v>
      </c>
      <c r="AY595">
        <v>0.4</v>
      </c>
      <c r="AZ595">
        <v>2.4</v>
      </c>
      <c r="BA595">
        <v>341.14780000000002</v>
      </c>
      <c r="BB595">
        <v>237.8897</v>
      </c>
      <c r="BC595">
        <v>43.667200000000001</v>
      </c>
      <c r="BD595">
        <v>0</v>
      </c>
      <c r="BE595">
        <v>16.348199999999999</v>
      </c>
      <c r="BH595">
        <v>95.02</v>
      </c>
    </row>
    <row r="596" spans="1:60" x14ac:dyDescent="0.25">
      <c r="A596" s="2">
        <v>44905</v>
      </c>
      <c r="C596">
        <v>0</v>
      </c>
      <c r="F596">
        <v>14.68</v>
      </c>
      <c r="K596">
        <v>192.03749999999999</v>
      </c>
      <c r="P596">
        <v>88.5</v>
      </c>
      <c r="S596">
        <f t="shared" si="201"/>
        <v>206.7175</v>
      </c>
      <c r="T596">
        <f t="shared" si="202"/>
        <v>0</v>
      </c>
      <c r="U596">
        <f t="shared" si="203"/>
        <v>0</v>
      </c>
      <c r="V596">
        <f t="shared" si="204"/>
        <v>0</v>
      </c>
      <c r="W596">
        <f t="shared" si="205"/>
        <v>0</v>
      </c>
      <c r="X596">
        <f t="shared" si="206"/>
        <v>1.3761986075832478E-2</v>
      </c>
      <c r="Y596">
        <f t="shared" si="207"/>
        <v>0</v>
      </c>
      <c r="Z596">
        <f t="shared" si="208"/>
        <v>0</v>
      </c>
      <c r="AA596">
        <f t="shared" si="209"/>
        <v>0</v>
      </c>
      <c r="AB596">
        <f t="shared" si="210"/>
        <v>0</v>
      </c>
      <c r="AC596">
        <f t="shared" si="211"/>
        <v>0.1800284333131934</v>
      </c>
      <c r="AD596">
        <f t="shared" si="212"/>
        <v>0</v>
      </c>
      <c r="AE596">
        <f t="shared" si="213"/>
        <v>0</v>
      </c>
      <c r="AG596">
        <f t="shared" si="214"/>
        <v>1.3236369582268743</v>
      </c>
      <c r="AH596">
        <f t="shared" si="215"/>
        <v>1.3761986075832478E-2</v>
      </c>
      <c r="AI596">
        <f t="shared" si="216"/>
        <v>-1.9343828119156117</v>
      </c>
      <c r="AK596" s="26">
        <f t="shared" si="217"/>
        <v>-3.7664693161495663E-2</v>
      </c>
      <c r="AL596" s="26">
        <f t="shared" si="218"/>
        <v>-1.695263248289744E-2</v>
      </c>
      <c r="AM596" s="26">
        <f t="shared" si="219"/>
        <v>-2.4844988353943193E-2</v>
      </c>
      <c r="AN596" s="26">
        <f t="shared" si="220"/>
        <v>8.8709523809524029</v>
      </c>
      <c r="AO596" s="26">
        <f t="shared" si="221"/>
        <v>6.7433369191050332</v>
      </c>
      <c r="AP596" s="26">
        <f t="shared" si="222"/>
        <v>2.7662464221002239</v>
      </c>
      <c r="AS596" s="2">
        <v>44884</v>
      </c>
      <c r="AU596">
        <v>15.2</v>
      </c>
      <c r="AX596">
        <v>43.69</v>
      </c>
      <c r="BC596">
        <v>54.540500000000002</v>
      </c>
      <c r="BH596">
        <v>95.13</v>
      </c>
    </row>
    <row r="597" spans="1:60" x14ac:dyDescent="0.25">
      <c r="A597" s="2">
        <v>44904</v>
      </c>
      <c r="C597">
        <v>0</v>
      </c>
      <c r="F597">
        <v>21.12</v>
      </c>
      <c r="K597">
        <v>236.2989</v>
      </c>
      <c r="N597">
        <v>52.457900000000002</v>
      </c>
      <c r="O597">
        <v>196.74010000000001</v>
      </c>
      <c r="P597">
        <v>88.93</v>
      </c>
      <c r="S597">
        <f t="shared" si="201"/>
        <v>257.41890000000001</v>
      </c>
      <c r="T597">
        <f t="shared" si="202"/>
        <v>0</v>
      </c>
      <c r="U597">
        <f t="shared" si="203"/>
        <v>0</v>
      </c>
      <c r="V597">
        <f t="shared" si="204"/>
        <v>0</v>
      </c>
      <c r="W597">
        <f t="shared" si="205"/>
        <v>0</v>
      </c>
      <c r="X597">
        <f t="shared" si="206"/>
        <v>1.9799260621361166E-2</v>
      </c>
      <c r="Y597">
        <f t="shared" si="207"/>
        <v>0</v>
      </c>
      <c r="Z597">
        <f t="shared" si="208"/>
        <v>0</v>
      </c>
      <c r="AA597">
        <f t="shared" si="209"/>
        <v>0</v>
      </c>
      <c r="AB597">
        <f t="shared" si="210"/>
        <v>0</v>
      </c>
      <c r="AC597">
        <f t="shared" si="211"/>
        <v>0.22152194628981819</v>
      </c>
      <c r="AD597">
        <f t="shared" si="212"/>
        <v>0</v>
      </c>
      <c r="AE597">
        <f t="shared" si="213"/>
        <v>0</v>
      </c>
      <c r="AG597">
        <f t="shared" si="214"/>
        <v>1.346199526064457</v>
      </c>
      <c r="AH597">
        <f t="shared" si="215"/>
        <v>1.9799260621361166E-2</v>
      </c>
      <c r="AI597">
        <f t="shared" si="216"/>
        <v>-1.8914995973368136</v>
      </c>
      <c r="AK597" s="26">
        <f t="shared" si="217"/>
        <v>-4.0496676690325001E-2</v>
      </c>
      <c r="AL597" s="26">
        <f t="shared" si="218"/>
        <v>-1.6820212003060719E-2</v>
      </c>
      <c r="AM597" s="26">
        <f t="shared" si="219"/>
        <v>-2.4930427856190207E-2</v>
      </c>
      <c r="AN597" s="26">
        <f t="shared" si="220"/>
        <v>8.8066666666667004</v>
      </c>
      <c r="AO597" s="26">
        <f t="shared" si="221"/>
        <v>6.6159337349398015</v>
      </c>
      <c r="AP597" s="26">
        <f t="shared" si="222"/>
        <v>2.6461623906934619</v>
      </c>
      <c r="AS597" s="2">
        <v>44883</v>
      </c>
      <c r="AU597">
        <v>0</v>
      </c>
      <c r="AX597">
        <v>28.15</v>
      </c>
      <c r="BC597">
        <v>78.334199999999996</v>
      </c>
      <c r="BF597">
        <v>-48.074300000000001</v>
      </c>
      <c r="BG597">
        <v>68.028000000000006</v>
      </c>
      <c r="BH597">
        <v>95.22</v>
      </c>
    </row>
    <row r="598" spans="1:60" x14ac:dyDescent="0.25">
      <c r="A598" s="2">
        <v>44903</v>
      </c>
      <c r="B598">
        <v>10.1</v>
      </c>
      <c r="C598">
        <v>3.5</v>
      </c>
      <c r="D598">
        <v>15.3</v>
      </c>
      <c r="E598">
        <v>4.8</v>
      </c>
      <c r="F598">
        <v>26.84</v>
      </c>
      <c r="G598">
        <v>0.8</v>
      </c>
      <c r="H598">
        <v>3.8</v>
      </c>
      <c r="I598">
        <v>360.70909999999998</v>
      </c>
      <c r="J598">
        <v>296.94119999999998</v>
      </c>
      <c r="K598">
        <v>214.95840000000001</v>
      </c>
      <c r="L598">
        <v>7.0266000000000002</v>
      </c>
      <c r="M598">
        <v>30.690200000000001</v>
      </c>
      <c r="N598">
        <v>58.691600000000001</v>
      </c>
      <c r="O598">
        <v>203.0171</v>
      </c>
      <c r="P598">
        <v>89.41</v>
      </c>
      <c r="S598">
        <f t="shared" si="201"/>
        <v>975.46549999999991</v>
      </c>
      <c r="T598">
        <f t="shared" si="202"/>
        <v>9.4683964145713916E-3</v>
      </c>
      <c r="U598">
        <f t="shared" si="203"/>
        <v>3.2811274703960268E-3</v>
      </c>
      <c r="V598">
        <f t="shared" si="204"/>
        <v>1.4343214370588346E-2</v>
      </c>
      <c r="W598">
        <f t="shared" si="205"/>
        <v>4.4998319594002651E-3</v>
      </c>
      <c r="X598">
        <f t="shared" si="206"/>
        <v>2.5161560372979817E-2</v>
      </c>
      <c r="Y598">
        <f t="shared" si="207"/>
        <v>7.4997199323337759E-4</v>
      </c>
      <c r="Z598">
        <f t="shared" si="208"/>
        <v>3.5623669678585433E-3</v>
      </c>
      <c r="AA598">
        <f t="shared" si="209"/>
        <v>0.33815215338052212</v>
      </c>
      <c r="AB598">
        <f t="shared" si="210"/>
        <v>0.27837197954638876</v>
      </c>
      <c r="AC598">
        <f t="shared" si="211"/>
        <v>0.20151597463782209</v>
      </c>
      <c r="AD598">
        <f t="shared" si="212"/>
        <v>6.5871915095670631E-3</v>
      </c>
      <c r="AE598">
        <f t="shared" si="213"/>
        <v>2.8770988083413756E-2</v>
      </c>
      <c r="AG598">
        <f t="shared" si="214"/>
        <v>1.3710102412678864</v>
      </c>
      <c r="AH598">
        <f t="shared" si="215"/>
        <v>8.9837457632441511E-2</v>
      </c>
      <c r="AI598">
        <f t="shared" si="216"/>
        <v>-1.3077579487366491</v>
      </c>
      <c r="AK598" s="26">
        <f t="shared" si="217"/>
        <v>-4.0781030654815018E-2</v>
      </c>
      <c r="AL598" s="26">
        <f t="shared" si="218"/>
        <v>-1.729934188916854E-2</v>
      </c>
      <c r="AM598" s="26">
        <f t="shared" si="219"/>
        <v>-2.5281650655105736E-2</v>
      </c>
      <c r="AN598" s="26">
        <f t="shared" si="220"/>
        <v>8.7406349206349461</v>
      </c>
      <c r="AO598" s="26">
        <f t="shared" si="221"/>
        <v>6.4842276247848787</v>
      </c>
      <c r="AP598" s="26">
        <f t="shared" si="222"/>
        <v>2.5261203749900858</v>
      </c>
      <c r="AS598" s="2">
        <v>44882</v>
      </c>
      <c r="AT598">
        <v>11</v>
      </c>
      <c r="AU598">
        <v>30.3</v>
      </c>
      <c r="AV598">
        <v>45.7</v>
      </c>
      <c r="AW598">
        <v>32.299999999999997</v>
      </c>
      <c r="AX598">
        <v>30.41</v>
      </c>
      <c r="AY598">
        <v>0.4</v>
      </c>
      <c r="AZ598">
        <v>2.4</v>
      </c>
      <c r="BA598">
        <v>213.6199</v>
      </c>
      <c r="BB598">
        <v>157.21600000000001</v>
      </c>
      <c r="BC598">
        <v>55.128799999999998</v>
      </c>
      <c r="BD598">
        <v>4.8853</v>
      </c>
      <c r="BE598">
        <v>25.937100000000001</v>
      </c>
      <c r="BF598">
        <v>-38.033700000000003</v>
      </c>
      <c r="BG598">
        <v>77.586100000000002</v>
      </c>
      <c r="BH598">
        <v>95.33</v>
      </c>
    </row>
    <row r="599" spans="1:60" x14ac:dyDescent="0.25">
      <c r="A599" s="2">
        <v>44902</v>
      </c>
      <c r="B599">
        <v>11.1</v>
      </c>
      <c r="C599">
        <v>0</v>
      </c>
      <c r="D599">
        <v>48.1</v>
      </c>
      <c r="E599">
        <v>10.7</v>
      </c>
      <c r="F599">
        <v>29.51</v>
      </c>
      <c r="G599">
        <v>0.6</v>
      </c>
      <c r="H599">
        <v>3.9</v>
      </c>
      <c r="I599">
        <v>348.60550000000001</v>
      </c>
      <c r="J599">
        <v>280.27690000000001</v>
      </c>
      <c r="K599">
        <v>189.90989999999999</v>
      </c>
      <c r="L599">
        <v>0.73899999999999999</v>
      </c>
      <c r="M599">
        <v>20.488099999999999</v>
      </c>
      <c r="N599">
        <v>56.4816</v>
      </c>
      <c r="O599">
        <v>217.8853</v>
      </c>
      <c r="P599">
        <v>89.92</v>
      </c>
      <c r="S599">
        <f t="shared" si="201"/>
        <v>943.9294000000001</v>
      </c>
      <c r="T599">
        <f t="shared" si="202"/>
        <v>1.0405861406113113E-2</v>
      </c>
      <c r="U599">
        <f t="shared" si="203"/>
        <v>0</v>
      </c>
      <c r="V599">
        <f t="shared" si="204"/>
        <v>4.5092066093156823E-2</v>
      </c>
      <c r="W599">
        <f t="shared" si="205"/>
        <v>1.0030875409496424E-2</v>
      </c>
      <c r="X599">
        <f t="shared" si="206"/>
        <v>2.7664591900396215E-2</v>
      </c>
      <c r="Y599">
        <f t="shared" si="207"/>
        <v>5.6247899492503314E-4</v>
      </c>
      <c r="Z599">
        <f t="shared" si="208"/>
        <v>3.6561134670127153E-3</v>
      </c>
      <c r="AA599">
        <f t="shared" si="209"/>
        <v>0.32680545210889772</v>
      </c>
      <c r="AB599">
        <f t="shared" si="210"/>
        <v>0.26274978168784002</v>
      </c>
      <c r="AC599">
        <f t="shared" si="211"/>
        <v>0.17803388279718924</v>
      </c>
      <c r="AD599">
        <f t="shared" si="212"/>
        <v>6.9278662874933247E-4</v>
      </c>
      <c r="AE599">
        <f t="shared" si="213"/>
        <v>1.9206876493205953E-2</v>
      </c>
      <c r="AG599">
        <f t="shared" si="214"/>
        <v>1.3971759730904898</v>
      </c>
      <c r="AH599">
        <f t="shared" si="215"/>
        <v>0.11661886376430627</v>
      </c>
      <c r="AI599">
        <f t="shared" si="216"/>
        <v>-1.0841227596172407</v>
      </c>
      <c r="AK599" s="26">
        <f t="shared" si="217"/>
        <v>-3.6178501637650823E-2</v>
      </c>
      <c r="AL599" s="26">
        <f t="shared" si="218"/>
        <v>-1.6607381734235038E-2</v>
      </c>
      <c r="AM599" s="26">
        <f t="shared" si="219"/>
        <v>-2.5284705854030143E-2</v>
      </c>
      <c r="AN599" s="26">
        <f t="shared" si="220"/>
        <v>8.6680952380952476</v>
      </c>
      <c r="AO599" s="26">
        <f t="shared" si="221"/>
        <v>6.3498773666093342</v>
      </c>
      <c r="AP599" s="26">
        <f t="shared" si="222"/>
        <v>2.4062083453690235</v>
      </c>
      <c r="AS599" s="2">
        <v>44881</v>
      </c>
      <c r="AT599">
        <v>12.5</v>
      </c>
      <c r="AU599">
        <v>4.7</v>
      </c>
      <c r="AV599">
        <v>71</v>
      </c>
      <c r="AW599">
        <v>24.9</v>
      </c>
      <c r="AX599">
        <v>36.82</v>
      </c>
      <c r="AY599">
        <v>0.4</v>
      </c>
      <c r="AZ599">
        <v>3</v>
      </c>
      <c r="BA599">
        <v>346.7475</v>
      </c>
      <c r="BB599">
        <v>174.61099999999999</v>
      </c>
      <c r="BC599">
        <v>76.674400000000006</v>
      </c>
      <c r="BD599">
        <v>5.2286999999999999</v>
      </c>
      <c r="BE599">
        <v>32.423000000000002</v>
      </c>
      <c r="BF599">
        <v>-31.526</v>
      </c>
      <c r="BG599">
        <v>90.232299999999995</v>
      </c>
      <c r="BH599">
        <v>95.39</v>
      </c>
    </row>
    <row r="600" spans="1:60" x14ac:dyDescent="0.25">
      <c r="A600" s="2">
        <v>44901</v>
      </c>
      <c r="B600">
        <v>12.5</v>
      </c>
      <c r="C600">
        <v>0</v>
      </c>
      <c r="D600">
        <v>26.8</v>
      </c>
      <c r="E600">
        <v>3.6</v>
      </c>
      <c r="F600">
        <v>15.04</v>
      </c>
      <c r="G600">
        <v>0.6</v>
      </c>
      <c r="H600">
        <v>3.2</v>
      </c>
      <c r="I600">
        <v>360.50360000000001</v>
      </c>
      <c r="J600">
        <v>290.18729999999999</v>
      </c>
      <c r="K600">
        <v>227.6866</v>
      </c>
      <c r="L600">
        <v>1.5288999999999999</v>
      </c>
      <c r="M600">
        <v>28.828099999999999</v>
      </c>
      <c r="N600">
        <v>48.413200000000003</v>
      </c>
      <c r="O600">
        <v>186.01390000000001</v>
      </c>
      <c r="P600">
        <v>90.4</v>
      </c>
      <c r="S600">
        <f t="shared" si="201"/>
        <v>970.47450000000003</v>
      </c>
      <c r="T600">
        <f t="shared" si="202"/>
        <v>1.1718312394271523E-2</v>
      </c>
      <c r="U600">
        <f t="shared" si="203"/>
        <v>0</v>
      </c>
      <c r="V600">
        <f t="shared" si="204"/>
        <v>2.5124061773318149E-2</v>
      </c>
      <c r="W600">
        <f t="shared" si="205"/>
        <v>3.3748739695501988E-3</v>
      </c>
      <c r="X600">
        <f t="shared" si="206"/>
        <v>1.4099473472787496E-2</v>
      </c>
      <c r="Y600">
        <f t="shared" si="207"/>
        <v>5.6247899492503314E-4</v>
      </c>
      <c r="Z600">
        <f t="shared" si="208"/>
        <v>2.9998879729335104E-3</v>
      </c>
      <c r="AA600">
        <f t="shared" si="209"/>
        <v>0.3379595043247603</v>
      </c>
      <c r="AB600">
        <f t="shared" si="210"/>
        <v>0.2720404347400151</v>
      </c>
      <c r="AC600">
        <f t="shared" si="211"/>
        <v>0.21344821654316343</v>
      </c>
      <c r="AD600">
        <f t="shared" si="212"/>
        <v>1.4332902255681386E-3</v>
      </c>
      <c r="AE600">
        <f t="shared" si="213"/>
        <v>2.7025334522663914E-2</v>
      </c>
      <c r="AG600">
        <f t="shared" si="214"/>
        <v>1.4220054558858017</v>
      </c>
      <c r="AH600">
        <f t="shared" si="215"/>
        <v>8.4904423100449836E-2</v>
      </c>
      <c r="AI600">
        <f t="shared" si="216"/>
        <v>-1.3539411568341713</v>
      </c>
      <c r="AK600" s="26">
        <f t="shared" si="217"/>
        <v>-3.4090776029725406E-2</v>
      </c>
      <c r="AL600" s="26">
        <f t="shared" si="218"/>
        <v>-1.6012212177342194E-2</v>
      </c>
      <c r="AM600" s="26">
        <f t="shared" si="219"/>
        <v>-2.3332392900642401E-2</v>
      </c>
      <c r="AN600" s="26">
        <f t="shared" si="220"/>
        <v>8.5838095238095349</v>
      </c>
      <c r="AO600" s="26">
        <f t="shared" si="221"/>
        <v>6.210600258175603</v>
      </c>
      <c r="AP600" s="26">
        <f t="shared" si="222"/>
        <v>2.2856266904755245</v>
      </c>
      <c r="AS600" s="2">
        <v>44880</v>
      </c>
      <c r="AT600">
        <v>12.6</v>
      </c>
      <c r="AU600">
        <v>1.4</v>
      </c>
      <c r="AV600">
        <v>55.9</v>
      </c>
      <c r="AW600">
        <v>11.6</v>
      </c>
      <c r="AX600">
        <v>84.72</v>
      </c>
      <c r="AY600">
        <v>0.4</v>
      </c>
      <c r="AZ600">
        <v>3.3</v>
      </c>
      <c r="BA600">
        <v>362.78919999999999</v>
      </c>
      <c r="BB600">
        <v>221.10820000000001</v>
      </c>
      <c r="BC600">
        <v>60.557299999999998</v>
      </c>
      <c r="BD600">
        <v>5.1806000000000001</v>
      </c>
      <c r="BE600">
        <v>35.142400000000002</v>
      </c>
      <c r="BF600">
        <v>-35.512300000000003</v>
      </c>
      <c r="BG600">
        <v>101.8814</v>
      </c>
      <c r="BH600">
        <v>95.45</v>
      </c>
    </row>
    <row r="601" spans="1:60" x14ac:dyDescent="0.25">
      <c r="A601" s="2">
        <v>44900</v>
      </c>
      <c r="B601">
        <v>10.8</v>
      </c>
      <c r="C601">
        <v>5.2</v>
      </c>
      <c r="D601">
        <v>66.2</v>
      </c>
      <c r="E601">
        <v>9.4</v>
      </c>
      <c r="F601">
        <v>9.57</v>
      </c>
      <c r="G601">
        <v>0.9</v>
      </c>
      <c r="H601">
        <v>3.2</v>
      </c>
      <c r="I601">
        <v>363.61540000000002</v>
      </c>
      <c r="J601">
        <v>261.94119999999998</v>
      </c>
      <c r="K601">
        <v>185.172</v>
      </c>
      <c r="L601">
        <v>5.7835999999999999</v>
      </c>
      <c r="M601">
        <v>33.305199999999999</v>
      </c>
      <c r="N601">
        <v>38.854199999999999</v>
      </c>
      <c r="O601">
        <v>170.58150000000001</v>
      </c>
      <c r="P601">
        <v>90.85</v>
      </c>
      <c r="S601">
        <f t="shared" si="201"/>
        <v>955.08740000000012</v>
      </c>
      <c r="T601">
        <f t="shared" si="202"/>
        <v>1.0124621908650598E-2</v>
      </c>
      <c r="U601">
        <f t="shared" si="203"/>
        <v>4.874817956016954E-3</v>
      </c>
      <c r="V601">
        <f t="shared" si="204"/>
        <v>6.2060182440061992E-2</v>
      </c>
      <c r="W601">
        <f t="shared" si="205"/>
        <v>8.8121709204921871E-3</v>
      </c>
      <c r="X601">
        <f t="shared" si="206"/>
        <v>8.9715399690542784E-3</v>
      </c>
      <c r="Y601">
        <f t="shared" si="207"/>
        <v>8.4371849238754971E-4</v>
      </c>
      <c r="Z601">
        <f t="shared" si="208"/>
        <v>2.9998879729335104E-3</v>
      </c>
      <c r="AA601">
        <f t="shared" si="209"/>
        <v>0.34087670788543983</v>
      </c>
      <c r="AB601">
        <f t="shared" si="210"/>
        <v>0.24556070484242848</v>
      </c>
      <c r="AC601">
        <f t="shared" si="211"/>
        <v>0.17359226741376374</v>
      </c>
      <c r="AD601">
        <f t="shared" si="212"/>
        <v>5.4219225250807029E-3</v>
      </c>
      <c r="AE601">
        <f t="shared" si="213"/>
        <v>3.1222459036295357E-2</v>
      </c>
      <c r="AG601">
        <f t="shared" si="214"/>
        <v>1.4454942794133074</v>
      </c>
      <c r="AH601">
        <f t="shared" si="215"/>
        <v>0.12990939869589244</v>
      </c>
      <c r="AI601">
        <f t="shared" si="216"/>
        <v>-0.975614917891929</v>
      </c>
      <c r="AK601" s="26">
        <f t="shared" si="217"/>
        <v>-3.1116507635775059E-2</v>
      </c>
      <c r="AL601" s="26">
        <f t="shared" si="218"/>
        <v>-1.5367955557782642E-2</v>
      </c>
      <c r="AM601" s="26">
        <f t="shared" si="219"/>
        <v>-2.4894688161032991E-2</v>
      </c>
      <c r="AN601" s="26">
        <f t="shared" si="220"/>
        <v>8.4917460317460325</v>
      </c>
      <c r="AO601" s="26">
        <f t="shared" si="221"/>
        <v>6.0682616179002196</v>
      </c>
      <c r="AP601" s="26">
        <f t="shared" si="222"/>
        <v>2.1644066594889466</v>
      </c>
      <c r="AS601" s="2">
        <v>44879</v>
      </c>
      <c r="AT601">
        <v>11.8</v>
      </c>
      <c r="AU601">
        <v>42.5</v>
      </c>
      <c r="AV601">
        <v>66.599999999999994</v>
      </c>
      <c r="AW601">
        <v>14.6</v>
      </c>
      <c r="AX601">
        <v>78.63</v>
      </c>
      <c r="AY601">
        <v>0.5</v>
      </c>
      <c r="AZ601">
        <v>3.2</v>
      </c>
      <c r="BA601">
        <v>363.0061</v>
      </c>
      <c r="BB601">
        <v>174.60570000000001</v>
      </c>
      <c r="BC601">
        <v>92.461100000000002</v>
      </c>
      <c r="BD601">
        <v>5.2023000000000001</v>
      </c>
      <c r="BE601">
        <v>32.180300000000003</v>
      </c>
      <c r="BF601">
        <v>-44.338700000000003</v>
      </c>
      <c r="BG601">
        <v>77.820400000000006</v>
      </c>
      <c r="BH601">
        <v>95.57</v>
      </c>
    </row>
    <row r="602" spans="1:60" x14ac:dyDescent="0.25">
      <c r="A602" s="2">
        <v>44899</v>
      </c>
      <c r="B602">
        <v>10.6</v>
      </c>
      <c r="C602">
        <v>2</v>
      </c>
      <c r="D602">
        <v>63.4</v>
      </c>
      <c r="E602">
        <v>7</v>
      </c>
      <c r="F602">
        <v>12.06</v>
      </c>
      <c r="G602">
        <v>0.9</v>
      </c>
      <c r="H602">
        <v>3</v>
      </c>
      <c r="I602">
        <v>294.78660000000002</v>
      </c>
      <c r="J602">
        <v>222.04150000000001</v>
      </c>
      <c r="K602">
        <v>141.4221</v>
      </c>
      <c r="L602">
        <v>1.2628999999999999</v>
      </c>
      <c r="M602">
        <v>12.9252</v>
      </c>
      <c r="P602">
        <v>91.27</v>
      </c>
      <c r="S602">
        <f t="shared" si="201"/>
        <v>771.39830000000006</v>
      </c>
      <c r="T602">
        <f t="shared" si="202"/>
        <v>9.9371289103422512E-3</v>
      </c>
      <c r="U602">
        <f t="shared" si="203"/>
        <v>1.8749299830834439E-3</v>
      </c>
      <c r="V602">
        <f t="shared" si="204"/>
        <v>5.9435280463745167E-2</v>
      </c>
      <c r="W602">
        <f t="shared" si="205"/>
        <v>6.5622549407920536E-3</v>
      </c>
      <c r="X602">
        <f t="shared" si="206"/>
        <v>1.1305827797993167E-2</v>
      </c>
      <c r="Y602">
        <f t="shared" si="207"/>
        <v>8.4371849238754971E-4</v>
      </c>
      <c r="Z602">
        <f t="shared" si="208"/>
        <v>2.8123949746251659E-3</v>
      </c>
      <c r="AA602">
        <f t="shared" si="209"/>
        <v>0.276352117475613</v>
      </c>
      <c r="AB602">
        <f t="shared" si="210"/>
        <v>0.20815613291941126</v>
      </c>
      <c r="AC602">
        <f t="shared" si="211"/>
        <v>0.13257826778031256</v>
      </c>
      <c r="AD602">
        <f t="shared" si="212"/>
        <v>1.1839245378180406E-3</v>
      </c>
      <c r="AE602">
        <f t="shared" si="213"/>
        <v>1.2116922508675064E-2</v>
      </c>
      <c r="AG602">
        <f t="shared" si="214"/>
        <v>1.4676377212202329</v>
      </c>
      <c r="AH602">
        <f t="shared" si="215"/>
        <v>0.10488845807164388</v>
      </c>
      <c r="AI602">
        <f t="shared" si="216"/>
        <v>-1.1882021158607379</v>
      </c>
      <c r="AK602" s="26">
        <f t="shared" si="217"/>
        <v>-2.5590626195291039E-2</v>
      </c>
      <c r="AL602" s="26">
        <f t="shared" si="218"/>
        <v>-1.4046940520354462E-2</v>
      </c>
      <c r="AM602" s="26">
        <f t="shared" si="219"/>
        <v>-2.2761550238963979E-2</v>
      </c>
      <c r="AN602" s="26">
        <f t="shared" si="220"/>
        <v>8.3980952380952232</v>
      </c>
      <c r="AO602" s="26">
        <f t="shared" si="221"/>
        <v>5.9268954388985122</v>
      </c>
      <c r="AP602" s="26">
        <f t="shared" si="222"/>
        <v>2.0420136025839213</v>
      </c>
      <c r="AS602" s="2">
        <v>44878</v>
      </c>
      <c r="AT602">
        <v>11.9</v>
      </c>
      <c r="AU602">
        <v>2.1</v>
      </c>
      <c r="AV602">
        <v>23.4</v>
      </c>
      <c r="AW602">
        <v>8.4</v>
      </c>
      <c r="AY602">
        <v>0.4</v>
      </c>
      <c r="AZ602">
        <v>3</v>
      </c>
      <c r="BA602">
        <v>337.03410000000002</v>
      </c>
      <c r="BB602">
        <v>143.48390000000001</v>
      </c>
      <c r="BC602">
        <v>40.56</v>
      </c>
      <c r="BD602">
        <v>4.5274000000000001</v>
      </c>
      <c r="BE602">
        <v>17.552399999999999</v>
      </c>
      <c r="BH602">
        <v>95.64</v>
      </c>
    </row>
    <row r="603" spans="1:60" x14ac:dyDescent="0.25">
      <c r="A603" s="2">
        <v>44898</v>
      </c>
      <c r="C603">
        <v>5.2</v>
      </c>
      <c r="F603">
        <v>9.27</v>
      </c>
      <c r="K603">
        <v>163.84880000000001</v>
      </c>
      <c r="P603">
        <v>91.56</v>
      </c>
      <c r="S603">
        <f t="shared" si="201"/>
        <v>178.31880000000001</v>
      </c>
      <c r="T603">
        <f t="shared" si="202"/>
        <v>0</v>
      </c>
      <c r="U603">
        <f t="shared" si="203"/>
        <v>4.874817956016954E-3</v>
      </c>
      <c r="V603">
        <f t="shared" si="204"/>
        <v>0</v>
      </c>
      <c r="W603">
        <f t="shared" si="205"/>
        <v>0</v>
      </c>
      <c r="X603">
        <f t="shared" si="206"/>
        <v>8.6903004715917619E-3</v>
      </c>
      <c r="Y603">
        <f t="shared" si="207"/>
        <v>0</v>
      </c>
      <c r="Z603">
        <f t="shared" si="208"/>
        <v>0</v>
      </c>
      <c r="AA603">
        <f t="shared" si="209"/>
        <v>0</v>
      </c>
      <c r="AB603">
        <f t="shared" si="210"/>
        <v>0</v>
      </c>
      <c r="AC603">
        <f t="shared" si="211"/>
        <v>0.15360251390612129</v>
      </c>
      <c r="AD603">
        <f t="shared" si="212"/>
        <v>0</v>
      </c>
      <c r="AE603">
        <f t="shared" si="213"/>
        <v>0</v>
      </c>
      <c r="AG603">
        <f t="shared" si="214"/>
        <v>1.4839476232300508</v>
      </c>
      <c r="AH603">
        <f t="shared" si="215"/>
        <v>1.3565118427608717E-2</v>
      </c>
      <c r="AI603">
        <f t="shared" si="216"/>
        <v>-1.9616573956644834</v>
      </c>
      <c r="AK603" s="26">
        <f t="shared" si="217"/>
        <v>-2.6244307141536083E-2</v>
      </c>
      <c r="AL603" s="26">
        <f t="shared" si="218"/>
        <v>-1.1661095868354315E-2</v>
      </c>
      <c r="AM603" s="26">
        <f t="shared" si="219"/>
        <v>-2.2240420901930624E-2</v>
      </c>
      <c r="AN603" s="26">
        <f t="shared" si="220"/>
        <v>8.3015873015873041</v>
      </c>
      <c r="AO603" s="26">
        <f t="shared" si="221"/>
        <v>5.7858455249570397</v>
      </c>
      <c r="AP603" s="26">
        <f t="shared" si="222"/>
        <v>1.9189535463879253</v>
      </c>
      <c r="AS603" s="2">
        <v>44877</v>
      </c>
      <c r="AU603">
        <v>1.4</v>
      </c>
      <c r="AY603">
        <v>0.5</v>
      </c>
      <c r="BC603">
        <v>39.6935</v>
      </c>
      <c r="BH603">
        <v>95.54</v>
      </c>
    </row>
    <row r="604" spans="1:60" x14ac:dyDescent="0.25">
      <c r="A604" s="2">
        <v>44897</v>
      </c>
      <c r="C604">
        <v>1.4</v>
      </c>
      <c r="F604">
        <v>8.9700000000000006</v>
      </c>
      <c r="K604">
        <v>199.78720000000001</v>
      </c>
      <c r="N604">
        <v>43.087299999999999</v>
      </c>
      <c r="O604">
        <v>173.14320000000001</v>
      </c>
      <c r="P604">
        <v>91.86</v>
      </c>
      <c r="S604">
        <f t="shared" si="201"/>
        <v>210.15720000000002</v>
      </c>
      <c r="T604">
        <f t="shared" si="202"/>
        <v>0</v>
      </c>
      <c r="U604">
        <f t="shared" si="203"/>
        <v>1.3124509881584105E-3</v>
      </c>
      <c r="V604">
        <f t="shared" si="204"/>
        <v>0</v>
      </c>
      <c r="W604">
        <f t="shared" si="205"/>
        <v>0</v>
      </c>
      <c r="X604">
        <f t="shared" si="206"/>
        <v>8.4090609741292455E-3</v>
      </c>
      <c r="Y604">
        <f t="shared" si="207"/>
        <v>0</v>
      </c>
      <c r="Z604">
        <f t="shared" si="208"/>
        <v>0</v>
      </c>
      <c r="AA604">
        <f t="shared" si="209"/>
        <v>0</v>
      </c>
      <c r="AB604">
        <f t="shared" si="210"/>
        <v>0</v>
      </c>
      <c r="AC604">
        <f t="shared" si="211"/>
        <v>0.18729350575814432</v>
      </c>
      <c r="AD604">
        <f t="shared" si="212"/>
        <v>0</v>
      </c>
      <c r="AE604">
        <f t="shared" si="213"/>
        <v>0</v>
      </c>
      <c r="AG604">
        <f t="shared" si="214"/>
        <v>1.5007093843303252</v>
      </c>
      <c r="AH604">
        <f t="shared" si="215"/>
        <v>9.7215119622876562E-3</v>
      </c>
      <c r="AI604">
        <f t="shared" si="216"/>
        <v>-2.0072217223824329</v>
      </c>
      <c r="AK604" s="26">
        <f t="shared" si="217"/>
        <v>-2.6547749678901528E-2</v>
      </c>
      <c r="AL604" s="26">
        <f t="shared" si="218"/>
        <v>-1.0086628174994117E-2</v>
      </c>
      <c r="AM604" s="26">
        <f t="shared" si="219"/>
        <v>-2.1895145029775132E-2</v>
      </c>
      <c r="AN604" s="26">
        <f t="shared" si="220"/>
        <v>8.200952380952387</v>
      </c>
      <c r="AO604" s="26">
        <f t="shared" si="221"/>
        <v>5.6434767641997183</v>
      </c>
      <c r="AP604" s="26">
        <f t="shared" si="222"/>
        <v>1.7966148472991534</v>
      </c>
      <c r="AS604" s="2">
        <v>44876</v>
      </c>
      <c r="AU604">
        <v>54.3</v>
      </c>
      <c r="AX604">
        <v>73.099999999999994</v>
      </c>
      <c r="BC604">
        <v>53.400799999999997</v>
      </c>
      <c r="BF604">
        <v>-9.4837000000000007</v>
      </c>
      <c r="BG604">
        <v>83.540999999999997</v>
      </c>
      <c r="BH604">
        <v>95.46</v>
      </c>
    </row>
    <row r="605" spans="1:60" x14ac:dyDescent="0.25">
      <c r="A605" s="2">
        <v>44896</v>
      </c>
      <c r="B605">
        <v>13.5</v>
      </c>
      <c r="C605">
        <v>18</v>
      </c>
      <c r="D605">
        <v>21.4</v>
      </c>
      <c r="E605">
        <v>2.5</v>
      </c>
      <c r="F605">
        <v>17.18</v>
      </c>
      <c r="G605">
        <v>0.6</v>
      </c>
      <c r="H605">
        <v>2.9</v>
      </c>
      <c r="I605">
        <v>359.47500000000002</v>
      </c>
      <c r="J605">
        <v>320.48489999999998</v>
      </c>
      <c r="K605">
        <v>237.3135</v>
      </c>
      <c r="L605">
        <v>5.4789000000000003</v>
      </c>
      <c r="M605">
        <v>37.478400000000001</v>
      </c>
      <c r="N605">
        <v>55.007800000000003</v>
      </c>
      <c r="O605">
        <v>195.71700000000001</v>
      </c>
      <c r="P605">
        <v>92.32</v>
      </c>
      <c r="S605">
        <f t="shared" si="201"/>
        <v>1036.3107</v>
      </c>
      <c r="T605">
        <f t="shared" si="202"/>
        <v>1.2655777385813246E-2</v>
      </c>
      <c r="U605">
        <f t="shared" si="203"/>
        <v>1.6874369847750995E-2</v>
      </c>
      <c r="V605">
        <f t="shared" si="204"/>
        <v>2.0061750818992849E-2</v>
      </c>
      <c r="W605">
        <f t="shared" si="205"/>
        <v>2.3436624788543046E-3</v>
      </c>
      <c r="X605">
        <f t="shared" si="206"/>
        <v>1.6105648554686783E-2</v>
      </c>
      <c r="Y605">
        <f t="shared" si="207"/>
        <v>5.6247899492503314E-4</v>
      </c>
      <c r="Z605">
        <f t="shared" si="208"/>
        <v>2.7186484754709935E-3</v>
      </c>
      <c r="AA605">
        <f t="shared" si="209"/>
        <v>0.33699522783446051</v>
      </c>
      <c r="AB605">
        <f t="shared" si="210"/>
        <v>0.30044337406774957</v>
      </c>
      <c r="AC605">
        <f t="shared" si="211"/>
        <v>0.22247309827023642</v>
      </c>
      <c r="AD605">
        <f t="shared" si="212"/>
        <v>5.1362769421579406E-3</v>
      </c>
      <c r="AE605">
        <f t="shared" si="213"/>
        <v>3.5134687938997274E-2</v>
      </c>
      <c r="AG605">
        <f t="shared" si="214"/>
        <v>1.5246620165325728</v>
      </c>
      <c r="AH605">
        <f t="shared" si="215"/>
        <v>0.10645702449549149</v>
      </c>
      <c r="AI605">
        <f t="shared" si="216"/>
        <v>-1.1913840169802208</v>
      </c>
      <c r="AK605" s="26">
        <f t="shared" si="217"/>
        <v>-2.0377768779601901E-2</v>
      </c>
      <c r="AL605" s="26">
        <f t="shared" si="218"/>
        <v>-6.9414762904861649E-3</v>
      </c>
      <c r="AM605" s="26">
        <f t="shared" si="219"/>
        <v>-2.0380184427704506E-2</v>
      </c>
      <c r="AN605" s="26">
        <f t="shared" si="220"/>
        <v>8.0961904761905004</v>
      </c>
      <c r="AO605" s="26">
        <f t="shared" si="221"/>
        <v>5.5000946643718294</v>
      </c>
      <c r="AP605" s="26">
        <f t="shared" si="222"/>
        <v>1.6749938289435562</v>
      </c>
      <c r="AS605" s="2">
        <v>44875</v>
      </c>
      <c r="AT605">
        <v>12.4</v>
      </c>
      <c r="AU605">
        <v>3.3</v>
      </c>
      <c r="AV605">
        <v>83.4</v>
      </c>
      <c r="AW605">
        <v>21.4</v>
      </c>
      <c r="AX605">
        <v>91.8</v>
      </c>
      <c r="AY605">
        <v>0.5</v>
      </c>
      <c r="AZ605">
        <v>3.1</v>
      </c>
      <c r="BA605">
        <v>299.476</v>
      </c>
      <c r="BB605">
        <v>117.04130000000001</v>
      </c>
      <c r="BC605">
        <v>47.866500000000002</v>
      </c>
      <c r="BD605">
        <v>3.2446000000000002</v>
      </c>
      <c r="BE605">
        <v>29.573699999999999</v>
      </c>
      <c r="BF605">
        <v>-13.146800000000001</v>
      </c>
      <c r="BG605">
        <v>109.6824</v>
      </c>
      <c r="BH605">
        <v>95.41</v>
      </c>
    </row>
    <row r="606" spans="1:60" x14ac:dyDescent="0.25">
      <c r="A606" s="2">
        <v>44895</v>
      </c>
      <c r="B606">
        <v>13.3</v>
      </c>
      <c r="C606">
        <v>18</v>
      </c>
      <c r="D606">
        <v>15.2</v>
      </c>
      <c r="E606">
        <v>3.3</v>
      </c>
      <c r="F606">
        <v>18.55</v>
      </c>
      <c r="G606">
        <v>0.9</v>
      </c>
      <c r="H606">
        <v>2.6</v>
      </c>
      <c r="I606">
        <v>359.82960000000003</v>
      </c>
      <c r="J606">
        <v>306.79590000000002</v>
      </c>
      <c r="K606">
        <v>254.27680000000001</v>
      </c>
      <c r="L606">
        <v>2.6267999999999998</v>
      </c>
      <c r="M606">
        <v>28.1478</v>
      </c>
      <c r="N606">
        <v>-5.1148999999999996</v>
      </c>
      <c r="O606">
        <v>131.78290000000001</v>
      </c>
      <c r="P606">
        <v>92.79</v>
      </c>
      <c r="S606">
        <f t="shared" si="201"/>
        <v>1023.5269</v>
      </c>
      <c r="T606">
        <f t="shared" si="202"/>
        <v>1.2468284387504903E-2</v>
      </c>
      <c r="U606">
        <f t="shared" si="203"/>
        <v>1.6874369847750995E-2</v>
      </c>
      <c r="V606">
        <f t="shared" si="204"/>
        <v>1.4249467871434173E-2</v>
      </c>
      <c r="W606">
        <f t="shared" si="205"/>
        <v>3.0936344720876819E-3</v>
      </c>
      <c r="X606">
        <f t="shared" si="206"/>
        <v>1.7389975593098943E-2</v>
      </c>
      <c r="Y606">
        <f t="shared" si="207"/>
        <v>8.4371849238754971E-4</v>
      </c>
      <c r="Z606">
        <f t="shared" si="208"/>
        <v>2.437408978008477E-3</v>
      </c>
      <c r="AA606">
        <f t="shared" si="209"/>
        <v>0.33732765292046119</v>
      </c>
      <c r="AB606">
        <f t="shared" si="210"/>
        <v>0.28761041579853497</v>
      </c>
      <c r="AC606">
        <f t="shared" si="211"/>
        <v>0.23837559816125611</v>
      </c>
      <c r="AD606">
        <f t="shared" si="212"/>
        <v>2.4625330397817949E-3</v>
      </c>
      <c r="AE606">
        <f t="shared" si="213"/>
        <v>2.638757708891808E-2</v>
      </c>
      <c r="AG606">
        <f t="shared" si="214"/>
        <v>1.5490878413997953</v>
      </c>
      <c r="AH606">
        <f t="shared" si="215"/>
        <v>9.3744436731190803E-2</v>
      </c>
      <c r="AI606">
        <f t="shared" si="216"/>
        <v>-1.3017904191163179</v>
      </c>
      <c r="AK606" s="26">
        <f t="shared" si="217"/>
        <v>-1.2421354592420414E-2</v>
      </c>
      <c r="AL606" s="26">
        <f t="shared" si="218"/>
        <v>-2.0491856449361412E-3</v>
      </c>
      <c r="AM606" s="26">
        <f t="shared" si="219"/>
        <v>-2.012249768882679E-2</v>
      </c>
      <c r="AN606" s="26">
        <f t="shared" si="220"/>
        <v>7.9804761904762103</v>
      </c>
      <c r="AO606" s="26">
        <f t="shared" si="221"/>
        <v>5.3552237521515167</v>
      </c>
      <c r="AP606" s="26">
        <f t="shared" si="222"/>
        <v>1.5528822772511148</v>
      </c>
      <c r="AS606" s="2">
        <v>44874</v>
      </c>
      <c r="AT606">
        <v>11.1</v>
      </c>
      <c r="AU606">
        <v>4.3</v>
      </c>
      <c r="AV606">
        <v>74.099999999999994</v>
      </c>
      <c r="AW606">
        <v>24.3</v>
      </c>
      <c r="AX606">
        <v>57.98</v>
      </c>
      <c r="AY606">
        <v>0.5</v>
      </c>
      <c r="AZ606">
        <v>3</v>
      </c>
      <c r="BA606">
        <v>272.19299999999998</v>
      </c>
      <c r="BB606">
        <v>105.7877</v>
      </c>
      <c r="BC606">
        <v>56.613</v>
      </c>
      <c r="BD606">
        <v>3.6556999999999999</v>
      </c>
      <c r="BE606">
        <v>28.730399999999999</v>
      </c>
      <c r="BF606">
        <v>-4.2276999999999996</v>
      </c>
      <c r="BG606">
        <v>120.10890000000001</v>
      </c>
      <c r="BH606">
        <v>95.36</v>
      </c>
    </row>
    <row r="607" spans="1:60" x14ac:dyDescent="0.25">
      <c r="A607" s="2">
        <v>44894</v>
      </c>
      <c r="B607">
        <v>12.1</v>
      </c>
      <c r="C607">
        <v>41.6</v>
      </c>
      <c r="D607">
        <v>18.7</v>
      </c>
      <c r="E607">
        <v>4.3</v>
      </c>
      <c r="F607">
        <v>15.23</v>
      </c>
      <c r="G607">
        <v>0.9</v>
      </c>
      <c r="H607">
        <v>2.6</v>
      </c>
      <c r="I607">
        <v>347.72949999999997</v>
      </c>
      <c r="J607">
        <v>310.69200000000001</v>
      </c>
      <c r="K607">
        <v>209.35329999999999</v>
      </c>
      <c r="L607">
        <v>5.5429000000000004</v>
      </c>
      <c r="M607">
        <v>31.2501</v>
      </c>
      <c r="N607">
        <v>-0.97529999999999994</v>
      </c>
      <c r="O607">
        <v>128.81899999999999</v>
      </c>
      <c r="P607">
        <v>93.2</v>
      </c>
      <c r="S607">
        <f t="shared" si="201"/>
        <v>999.99779999999998</v>
      </c>
      <c r="T607">
        <f t="shared" si="202"/>
        <v>1.1343326397654835E-2</v>
      </c>
      <c r="U607">
        <f t="shared" si="203"/>
        <v>3.8998543648135632E-2</v>
      </c>
      <c r="V607">
        <f t="shared" si="204"/>
        <v>1.7530595341830199E-2</v>
      </c>
      <c r="W607">
        <f t="shared" si="205"/>
        <v>4.0310994636294038E-3</v>
      </c>
      <c r="X607">
        <f t="shared" si="206"/>
        <v>1.4277591821180425E-2</v>
      </c>
      <c r="Y607">
        <f t="shared" si="207"/>
        <v>8.4371849238754971E-4</v>
      </c>
      <c r="Z607">
        <f t="shared" si="208"/>
        <v>2.437408978008477E-3</v>
      </c>
      <c r="AA607">
        <f t="shared" si="209"/>
        <v>0.32598423277630717</v>
      </c>
      <c r="AB607">
        <f t="shared" si="210"/>
        <v>0.29126287315208066</v>
      </c>
      <c r="AC607">
        <f t="shared" si="211"/>
        <v>0.19626138961373157</v>
      </c>
      <c r="AD607">
        <f t="shared" si="212"/>
        <v>5.196274701616611E-3</v>
      </c>
      <c r="AE607">
        <f t="shared" si="213"/>
        <v>2.9295874732177964E-2</v>
      </c>
      <c r="AG607">
        <f t="shared" si="214"/>
        <v>1.5708344973756718</v>
      </c>
      <c r="AH607">
        <f t="shared" si="215"/>
        <v>0.11875815887500449</v>
      </c>
      <c r="AI607">
        <f t="shared" si="216"/>
        <v>-1.0896502982931959</v>
      </c>
      <c r="AK607" s="26">
        <f t="shared" si="217"/>
        <v>-8.7164765774111752E-3</v>
      </c>
      <c r="AL607" s="26">
        <f t="shared" si="218"/>
        <v>3.6502783121786231E-4</v>
      </c>
      <c r="AM607" s="26">
        <f t="shared" si="219"/>
        <v>-2.0807087361595117E-2</v>
      </c>
      <c r="AN607" s="26">
        <f t="shared" si="220"/>
        <v>7.8488888888889079</v>
      </c>
      <c r="AO607" s="26">
        <f t="shared" si="221"/>
        <v>5.2053270223752577</v>
      </c>
      <c r="AP607" s="26">
        <f t="shared" si="222"/>
        <v>1.4287101179065615</v>
      </c>
      <c r="AS607" s="2">
        <v>44873</v>
      </c>
      <c r="AT607">
        <v>11.4</v>
      </c>
      <c r="AU607">
        <v>1.2</v>
      </c>
      <c r="AV607">
        <v>69.3</v>
      </c>
      <c r="AW607">
        <v>22.2</v>
      </c>
      <c r="AX607">
        <v>101.14</v>
      </c>
      <c r="AY607">
        <v>0.5</v>
      </c>
      <c r="AZ607">
        <v>2.2999999999999998</v>
      </c>
      <c r="BA607">
        <v>247.67619999999999</v>
      </c>
      <c r="BB607">
        <v>93.661799999999999</v>
      </c>
      <c r="BC607">
        <v>54.525399999999998</v>
      </c>
      <c r="BD607">
        <v>3.2134</v>
      </c>
      <c r="BE607">
        <v>29.225300000000001</v>
      </c>
      <c r="BF607">
        <v>-16.053000000000001</v>
      </c>
      <c r="BG607">
        <v>113.87479999999999</v>
      </c>
      <c r="BH607">
        <v>95.29</v>
      </c>
    </row>
    <row r="608" spans="1:60" x14ac:dyDescent="0.25">
      <c r="A608" s="2">
        <v>44893</v>
      </c>
      <c r="B608">
        <v>10.7</v>
      </c>
      <c r="C608">
        <v>107.7</v>
      </c>
      <c r="D608">
        <v>56.8</v>
      </c>
      <c r="E608">
        <v>13.8</v>
      </c>
      <c r="F608">
        <v>22.09</v>
      </c>
      <c r="G608">
        <v>0.9</v>
      </c>
      <c r="H608">
        <v>2.4</v>
      </c>
      <c r="I608">
        <v>333.3535</v>
      </c>
      <c r="J608">
        <v>229.73390000000001</v>
      </c>
      <c r="K608">
        <v>130.19970000000001</v>
      </c>
      <c r="L608">
        <v>0</v>
      </c>
      <c r="M608">
        <v>36.079900000000002</v>
      </c>
      <c r="N608">
        <v>-18.6342</v>
      </c>
      <c r="O608">
        <v>98.3583</v>
      </c>
      <c r="P608">
        <v>93.61</v>
      </c>
      <c r="S608">
        <f t="shared" si="201"/>
        <v>943.75699999999995</v>
      </c>
      <c r="T608">
        <f t="shared" si="202"/>
        <v>1.0030875409496424E-2</v>
      </c>
      <c r="U608">
        <f t="shared" si="203"/>
        <v>0.10096497958904345</v>
      </c>
      <c r="V608">
        <f t="shared" si="204"/>
        <v>5.3248011519569802E-2</v>
      </c>
      <c r="W608">
        <f t="shared" si="205"/>
        <v>1.2937016883275762E-2</v>
      </c>
      <c r="X608">
        <f t="shared" si="206"/>
        <v>2.0708601663156637E-2</v>
      </c>
      <c r="Y608">
        <f t="shared" si="207"/>
        <v>8.4371849238754971E-4</v>
      </c>
      <c r="Z608">
        <f t="shared" si="208"/>
        <v>2.2499159797001326E-3</v>
      </c>
      <c r="AA608">
        <f t="shared" si="209"/>
        <v>0.31250723605790337</v>
      </c>
      <c r="AB608">
        <f t="shared" si="210"/>
        <v>0.2153674886203468</v>
      </c>
      <c r="AC608">
        <f t="shared" si="211"/>
        <v>0.12205766065923473</v>
      </c>
      <c r="AD608">
        <f t="shared" si="212"/>
        <v>0</v>
      </c>
      <c r="AE608">
        <f t="shared" si="213"/>
        <v>3.3823643148326171E-2</v>
      </c>
      <c r="AG608">
        <f t="shared" si="214"/>
        <v>1.592597957662937</v>
      </c>
      <c r="AH608">
        <f t="shared" si="215"/>
        <v>0.23480676268495593</v>
      </c>
      <c r="AI608">
        <f t="shared" si="216"/>
        <v>-9.4226432919706338E-2</v>
      </c>
      <c r="AK608" s="26">
        <f t="shared" si="217"/>
        <v>-8.6381164084355644E-3</v>
      </c>
      <c r="AL608" s="26">
        <f t="shared" si="218"/>
        <v>2.5173361177452946E-3</v>
      </c>
      <c r="AM608" s="26">
        <f t="shared" si="219"/>
        <v>-2.0251652913512053E-2</v>
      </c>
      <c r="AN608" s="26">
        <f t="shared" si="220"/>
        <v>7.7099999999999937</v>
      </c>
      <c r="AO608" s="26">
        <f t="shared" si="221"/>
        <v>5.0538833907057068</v>
      </c>
      <c r="AP608" s="26">
        <f t="shared" si="222"/>
        <v>1.3045206270843579</v>
      </c>
      <c r="AS608" s="2">
        <v>44872</v>
      </c>
      <c r="AT608">
        <v>11.4</v>
      </c>
      <c r="AU608">
        <v>0</v>
      </c>
      <c r="AV608">
        <v>68.5</v>
      </c>
      <c r="AW608">
        <v>27.3</v>
      </c>
      <c r="AX608">
        <v>69.48</v>
      </c>
      <c r="AY608">
        <v>0.2</v>
      </c>
      <c r="AZ608">
        <v>2.5</v>
      </c>
      <c r="BA608">
        <v>221.53219999999999</v>
      </c>
      <c r="BB608">
        <v>100.79949999999999</v>
      </c>
      <c r="BC608">
        <v>44.51</v>
      </c>
      <c r="BD608">
        <v>3.1959</v>
      </c>
      <c r="BE608">
        <v>30.759799999999998</v>
      </c>
      <c r="BF608">
        <v>2.5158</v>
      </c>
      <c r="BG608">
        <v>111.0475</v>
      </c>
      <c r="BH608">
        <v>95.24</v>
      </c>
    </row>
    <row r="609" spans="1:60" x14ac:dyDescent="0.25">
      <c r="A609" s="2">
        <v>44892</v>
      </c>
      <c r="B609">
        <v>11.1</v>
      </c>
      <c r="C609">
        <v>0</v>
      </c>
      <c r="D609">
        <v>67.900000000000006</v>
      </c>
      <c r="E609">
        <v>12.8</v>
      </c>
      <c r="F609">
        <v>48.35</v>
      </c>
      <c r="G609">
        <v>0.9</v>
      </c>
      <c r="H609">
        <v>2.2999999999999998</v>
      </c>
      <c r="I609">
        <v>295.57940000000002</v>
      </c>
      <c r="J609">
        <v>192.77719999999999</v>
      </c>
      <c r="K609">
        <v>58.150100000000002</v>
      </c>
      <c r="L609">
        <v>0</v>
      </c>
      <c r="M609">
        <v>16.1388</v>
      </c>
      <c r="P609">
        <v>93.91</v>
      </c>
      <c r="S609">
        <f t="shared" si="201"/>
        <v>705.99549999999988</v>
      </c>
      <c r="T609">
        <f t="shared" si="202"/>
        <v>1.0405861406113113E-2</v>
      </c>
      <c r="U609">
        <f t="shared" si="203"/>
        <v>0</v>
      </c>
      <c r="V609">
        <f t="shared" si="204"/>
        <v>6.3653872925682919E-2</v>
      </c>
      <c r="W609">
        <f t="shared" si="205"/>
        <v>1.1999551891734041E-2</v>
      </c>
      <c r="X609">
        <f t="shared" si="206"/>
        <v>4.5326432341042257E-2</v>
      </c>
      <c r="Y609">
        <f t="shared" si="207"/>
        <v>8.4371849238754971E-4</v>
      </c>
      <c r="Z609">
        <f t="shared" si="208"/>
        <v>2.1561694805459601E-3</v>
      </c>
      <c r="AA609">
        <f t="shared" si="209"/>
        <v>0.27709533972090727</v>
      </c>
      <c r="AB609">
        <f t="shared" si="210"/>
        <v>0.18072187616743682</v>
      </c>
      <c r="AC609">
        <f t="shared" si="211"/>
        <v>5.4513683004650287E-2</v>
      </c>
      <c r="AD609">
        <f t="shared" si="212"/>
        <v>0</v>
      </c>
      <c r="AE609">
        <f t="shared" si="213"/>
        <v>1.5129560005493542E-2</v>
      </c>
      <c r="AG609">
        <f t="shared" si="214"/>
        <v>1.609417272658048</v>
      </c>
      <c r="AH609">
        <f t="shared" si="215"/>
        <v>0.14951516654299937</v>
      </c>
      <c r="AI609">
        <f t="shared" si="216"/>
        <v>-0.82172561741727401</v>
      </c>
      <c r="AK609" s="26">
        <f t="shared" si="217"/>
        <v>-1.3096932042396425E-2</v>
      </c>
      <c r="AL609" s="26">
        <f t="shared" si="218"/>
        <v>5.8387818638638844E-4</v>
      </c>
      <c r="AM609" s="26">
        <f t="shared" si="219"/>
        <v>-2.2695701665001067E-2</v>
      </c>
      <c r="AN609" s="26">
        <f t="shared" si="220"/>
        <v>7.5607936507936557</v>
      </c>
      <c r="AO609" s="26">
        <f t="shared" si="221"/>
        <v>4.9006454388985077</v>
      </c>
      <c r="AP609" s="26">
        <f t="shared" si="222"/>
        <v>1.17921535673959</v>
      </c>
      <c r="AS609" s="2">
        <v>44871</v>
      </c>
      <c r="AT609">
        <v>11.7</v>
      </c>
      <c r="AU609">
        <v>0</v>
      </c>
      <c r="AV609">
        <v>67</v>
      </c>
      <c r="AW609">
        <v>23.2</v>
      </c>
      <c r="AX609">
        <v>95.87</v>
      </c>
      <c r="AY609">
        <v>0.1</v>
      </c>
      <c r="AZ609">
        <v>2.6</v>
      </c>
      <c r="BA609">
        <v>133.03370000000001</v>
      </c>
      <c r="BB609">
        <v>99.302099999999996</v>
      </c>
      <c r="BC609">
        <v>28.2852</v>
      </c>
      <c r="BD609">
        <v>3.1838000000000002</v>
      </c>
      <c r="BE609">
        <v>21.628299999999999</v>
      </c>
      <c r="BH609">
        <v>95.19</v>
      </c>
    </row>
    <row r="610" spans="1:60" x14ac:dyDescent="0.25">
      <c r="A610" s="2">
        <v>44891</v>
      </c>
      <c r="C610">
        <v>16.8</v>
      </c>
      <c r="F610">
        <v>37.69</v>
      </c>
      <c r="K610">
        <v>66.218500000000006</v>
      </c>
      <c r="P610">
        <v>93.96</v>
      </c>
      <c r="S610">
        <f t="shared" si="201"/>
        <v>120.7085</v>
      </c>
      <c r="T610">
        <f t="shared" si="202"/>
        <v>0</v>
      </c>
      <c r="U610">
        <f t="shared" si="203"/>
        <v>1.5749411857900929E-2</v>
      </c>
      <c r="V610">
        <f t="shared" si="204"/>
        <v>0</v>
      </c>
      <c r="W610">
        <f t="shared" si="205"/>
        <v>0</v>
      </c>
      <c r="X610">
        <f t="shared" si="206"/>
        <v>3.5333055531207497E-2</v>
      </c>
      <c r="Y610">
        <f t="shared" si="207"/>
        <v>0</v>
      </c>
      <c r="Z610">
        <f t="shared" si="208"/>
        <v>0</v>
      </c>
      <c r="AA610">
        <f t="shared" si="209"/>
        <v>0</v>
      </c>
      <c r="AB610">
        <f t="shared" si="210"/>
        <v>0</v>
      </c>
      <c r="AC610">
        <f t="shared" si="211"/>
        <v>6.2077525542405518E-2</v>
      </c>
      <c r="AD610">
        <f t="shared" si="212"/>
        <v>0</v>
      </c>
      <c r="AE610">
        <f t="shared" si="213"/>
        <v>0</v>
      </c>
      <c r="AG610">
        <f t="shared" si="214"/>
        <v>1.6149803231846587</v>
      </c>
      <c r="AH610">
        <f t="shared" si="215"/>
        <v>5.1082467389108425E-2</v>
      </c>
      <c r="AI610">
        <f t="shared" si="216"/>
        <v>-1.6613686385386808</v>
      </c>
      <c r="AK610" s="26">
        <f t="shared" si="217"/>
        <v>-1.1773785025096406E-2</v>
      </c>
      <c r="AL610" s="26">
        <f t="shared" si="218"/>
        <v>1.2183061470599776E-4</v>
      </c>
      <c r="AM610" s="26">
        <f t="shared" si="219"/>
        <v>-2.4869426193607491E-2</v>
      </c>
      <c r="AN610" s="26">
        <f t="shared" si="220"/>
        <v>7.406507936507964</v>
      </c>
      <c r="AO610" s="26">
        <f t="shared" si="221"/>
        <v>4.7459036144578874</v>
      </c>
      <c r="AP610" s="26">
        <f t="shared" si="222"/>
        <v>1.0538609805415007</v>
      </c>
      <c r="AS610" s="2">
        <v>44870</v>
      </c>
      <c r="AU610">
        <v>0</v>
      </c>
      <c r="AX610">
        <v>77.239999999999995</v>
      </c>
      <c r="BC610">
        <v>47.826000000000001</v>
      </c>
      <c r="BH610">
        <v>95.07</v>
      </c>
    </row>
    <row r="611" spans="1:60" x14ac:dyDescent="0.25">
      <c r="A611" s="2">
        <v>44890</v>
      </c>
      <c r="C611">
        <v>22</v>
      </c>
      <c r="F611">
        <v>44.38</v>
      </c>
      <c r="K611">
        <v>115.9995</v>
      </c>
      <c r="N611">
        <v>-12.235200000000001</v>
      </c>
      <c r="O611">
        <v>110.79130000000001</v>
      </c>
      <c r="P611">
        <v>94.02</v>
      </c>
      <c r="S611">
        <f t="shared" si="201"/>
        <v>182.37950000000001</v>
      </c>
      <c r="T611">
        <f t="shared" si="202"/>
        <v>0</v>
      </c>
      <c r="U611">
        <f t="shared" si="203"/>
        <v>2.0624229813917882E-2</v>
      </c>
      <c r="V611">
        <f t="shared" si="204"/>
        <v>0</v>
      </c>
      <c r="W611">
        <f t="shared" si="205"/>
        <v>0</v>
      </c>
      <c r="X611">
        <f t="shared" si="206"/>
        <v>4.1604696324621618E-2</v>
      </c>
      <c r="Y611">
        <f t="shared" si="207"/>
        <v>0</v>
      </c>
      <c r="Z611">
        <f t="shared" si="208"/>
        <v>0</v>
      </c>
      <c r="AA611">
        <f t="shared" si="209"/>
        <v>0</v>
      </c>
      <c r="AB611">
        <f t="shared" si="210"/>
        <v>0</v>
      </c>
      <c r="AC611">
        <f t="shared" si="211"/>
        <v>0.10874547028634397</v>
      </c>
      <c r="AD611">
        <f t="shared" si="212"/>
        <v>0</v>
      </c>
      <c r="AE611">
        <f t="shared" si="213"/>
        <v>0</v>
      </c>
      <c r="AG611">
        <f t="shared" si="214"/>
        <v>1.6209547102234962</v>
      </c>
      <c r="AH611">
        <f t="shared" si="215"/>
        <v>6.2228926138539503E-2</v>
      </c>
      <c r="AI611">
        <f t="shared" si="216"/>
        <v>-1.5717643390535434</v>
      </c>
      <c r="AK611" s="26">
        <f t="shared" si="217"/>
        <v>-1.2885819390420189E-2</v>
      </c>
      <c r="AL611" s="26">
        <f t="shared" si="218"/>
        <v>-1.4825505215999013E-3</v>
      </c>
      <c r="AM611" s="26">
        <f t="shared" si="219"/>
        <v>-2.6544771357051106E-2</v>
      </c>
      <c r="AN611" s="26">
        <f t="shared" si="220"/>
        <v>7.2536507936508059</v>
      </c>
      <c r="AO611" s="26">
        <f t="shared" si="221"/>
        <v>4.5927517211704583</v>
      </c>
      <c r="AP611" s="26">
        <f t="shared" si="222"/>
        <v>0.92971980777817009</v>
      </c>
      <c r="AS611" s="2">
        <v>44869</v>
      </c>
      <c r="AU611">
        <v>20</v>
      </c>
      <c r="AX611">
        <v>41.4</v>
      </c>
      <c r="BC611">
        <v>81.514399999999995</v>
      </c>
      <c r="BF611">
        <v>16.055900000000001</v>
      </c>
      <c r="BG611">
        <v>127.3798</v>
      </c>
      <c r="BH611">
        <v>95.05</v>
      </c>
    </row>
    <row r="612" spans="1:60" x14ac:dyDescent="0.25">
      <c r="A612" s="2">
        <v>44889</v>
      </c>
      <c r="B612">
        <v>12.9</v>
      </c>
      <c r="C612">
        <v>2.2000000000000002</v>
      </c>
      <c r="D612">
        <v>59.3</v>
      </c>
      <c r="E612">
        <v>9.1</v>
      </c>
      <c r="F612">
        <v>38.14</v>
      </c>
      <c r="G612">
        <v>0.9</v>
      </c>
      <c r="H612">
        <v>2.6</v>
      </c>
      <c r="I612">
        <v>355.1157</v>
      </c>
      <c r="J612">
        <v>228.024</v>
      </c>
      <c r="K612">
        <v>105.6889</v>
      </c>
      <c r="L612">
        <v>2.2713999999999999</v>
      </c>
      <c r="M612">
        <v>33.818300000000001</v>
      </c>
      <c r="N612">
        <v>-18.0901</v>
      </c>
      <c r="O612">
        <v>106.2178</v>
      </c>
      <c r="P612">
        <v>94.2</v>
      </c>
      <c r="S612">
        <f t="shared" si="201"/>
        <v>850.05830000000003</v>
      </c>
      <c r="T612">
        <f t="shared" si="202"/>
        <v>1.2093298390888213E-2</v>
      </c>
      <c r="U612">
        <f t="shared" si="203"/>
        <v>2.0624229813917885E-3</v>
      </c>
      <c r="V612">
        <f t="shared" si="204"/>
        <v>5.5591673998424108E-2</v>
      </c>
      <c r="W612">
        <f t="shared" si="205"/>
        <v>8.5309314230296689E-3</v>
      </c>
      <c r="X612">
        <f t="shared" si="206"/>
        <v>3.5754914777401274E-2</v>
      </c>
      <c r="Y612">
        <f t="shared" si="207"/>
        <v>8.4371849238754971E-4</v>
      </c>
      <c r="Z612">
        <f t="shared" si="208"/>
        <v>2.437408978008477E-3</v>
      </c>
      <c r="AA612">
        <f t="shared" si="209"/>
        <v>0.33290853669683268</v>
      </c>
      <c r="AB612">
        <f t="shared" si="210"/>
        <v>0.2137645172313096</v>
      </c>
      <c r="AC612">
        <f t="shared" si="211"/>
        <v>9.90796437445539E-2</v>
      </c>
      <c r="AD612">
        <f t="shared" si="212"/>
        <v>2.1293579817878668E-3</v>
      </c>
      <c r="AE612">
        <f t="shared" si="213"/>
        <v>3.1703472323455412E-2</v>
      </c>
      <c r="AG612">
        <f t="shared" si="214"/>
        <v>1.632293197053553</v>
      </c>
      <c r="AH612">
        <f t="shared" si="215"/>
        <v>0.14901784136498653</v>
      </c>
      <c r="AI612">
        <f t="shared" si="216"/>
        <v>-0.83156348929948609</v>
      </c>
      <c r="AK612" s="26">
        <f t="shared" si="217"/>
        <v>-1.2956807810874937E-2</v>
      </c>
      <c r="AL612" s="26">
        <f t="shared" si="218"/>
        <v>-1.6129337496322282E-3</v>
      </c>
      <c r="AM612" s="26">
        <f t="shared" si="219"/>
        <v>-2.7041219033760999E-2</v>
      </c>
      <c r="AN612" s="26">
        <f t="shared" si="220"/>
        <v>7.1061904761904771</v>
      </c>
      <c r="AO612" s="26">
        <f t="shared" si="221"/>
        <v>4.4406454388985139</v>
      </c>
      <c r="AP612" s="26">
        <f t="shared" si="222"/>
        <v>0.81118536803128904</v>
      </c>
      <c r="AS612" s="2">
        <v>44868</v>
      </c>
      <c r="AT612">
        <v>12.4</v>
      </c>
      <c r="AU612">
        <v>1.4</v>
      </c>
      <c r="AV612">
        <v>80.5</v>
      </c>
      <c r="AW612">
        <v>21.4</v>
      </c>
      <c r="AX612">
        <v>79.06</v>
      </c>
      <c r="AY612">
        <v>0.5</v>
      </c>
      <c r="AZ612">
        <v>2.4</v>
      </c>
      <c r="BA612">
        <v>207.68010000000001</v>
      </c>
      <c r="BB612">
        <v>47.382300000000001</v>
      </c>
      <c r="BC612">
        <v>53.300699999999999</v>
      </c>
      <c r="BD612">
        <v>3.2021999999999999</v>
      </c>
      <c r="BE612">
        <v>23.7744</v>
      </c>
      <c r="BF612">
        <v>17.534099999999999</v>
      </c>
      <c r="BG612">
        <v>146.26089999999999</v>
      </c>
      <c r="BH612">
        <v>95.01</v>
      </c>
    </row>
    <row r="613" spans="1:60" x14ac:dyDescent="0.25">
      <c r="A613" s="2">
        <v>44888</v>
      </c>
      <c r="B613">
        <v>12.8</v>
      </c>
      <c r="C613">
        <v>0</v>
      </c>
      <c r="D613">
        <v>77</v>
      </c>
      <c r="E613">
        <v>13.6</v>
      </c>
      <c r="F613">
        <v>68.56</v>
      </c>
      <c r="G613">
        <v>0.7</v>
      </c>
      <c r="H613">
        <v>2.4</v>
      </c>
      <c r="I613">
        <v>305.60860000000002</v>
      </c>
      <c r="J613">
        <v>218.06489999999999</v>
      </c>
      <c r="K613">
        <v>89.741699999999994</v>
      </c>
      <c r="L613">
        <v>3.3784000000000001</v>
      </c>
      <c r="M613">
        <v>25.140499999999999</v>
      </c>
      <c r="N613">
        <v>-20.618500000000001</v>
      </c>
      <c r="O613">
        <v>112.13120000000001</v>
      </c>
      <c r="P613">
        <v>94.38</v>
      </c>
      <c r="S613">
        <f t="shared" si="201"/>
        <v>816.9941</v>
      </c>
      <c r="T613">
        <f t="shared" si="202"/>
        <v>1.1999551891734041E-2</v>
      </c>
      <c r="U613">
        <f t="shared" si="203"/>
        <v>0</v>
      </c>
      <c r="V613">
        <f t="shared" si="204"/>
        <v>7.2184804348712592E-2</v>
      </c>
      <c r="W613">
        <f t="shared" si="205"/>
        <v>1.2749523884967418E-2</v>
      </c>
      <c r="X613">
        <f t="shared" si="206"/>
        <v>6.4272599820100459E-2</v>
      </c>
      <c r="Y613">
        <f t="shared" si="207"/>
        <v>6.5622549407920526E-4</v>
      </c>
      <c r="Z613">
        <f t="shared" si="208"/>
        <v>2.2499159797001326E-3</v>
      </c>
      <c r="AA613">
        <f t="shared" si="209"/>
        <v>0.28649736361407752</v>
      </c>
      <c r="AB613">
        <f t="shared" si="210"/>
        <v>0.20442820963404643</v>
      </c>
      <c r="AC613">
        <f t="shared" si="211"/>
        <v>8.412970203143974E-2</v>
      </c>
      <c r="AD613">
        <f t="shared" si="212"/>
        <v>3.1671317274245534E-3</v>
      </c>
      <c r="AE613">
        <f t="shared" si="213"/>
        <v>2.3568338619854658E-2</v>
      </c>
      <c r="AG613">
        <f t="shared" si="214"/>
        <v>1.6436087680481228</v>
      </c>
      <c r="AH613">
        <f t="shared" si="215"/>
        <v>0.18768096003914853</v>
      </c>
      <c r="AI613">
        <f t="shared" si="216"/>
        <v>-0.49892339693335813</v>
      </c>
      <c r="AK613" s="26">
        <f t="shared" si="217"/>
        <v>-9.2923151924854674E-3</v>
      </c>
      <c r="AL613" s="26">
        <f t="shared" si="218"/>
        <v>-1.4702090007122637E-3</v>
      </c>
      <c r="AM613" s="26">
        <f t="shared" si="219"/>
        <v>-2.6471741920894881E-2</v>
      </c>
      <c r="AN613" s="26">
        <f t="shared" si="220"/>
        <v>6.9604761904762</v>
      </c>
      <c r="AO613" s="26">
        <f t="shared" si="221"/>
        <v>4.291030550774579</v>
      </c>
      <c r="AP613" s="26">
        <f t="shared" si="222"/>
        <v>0.69421811402010292</v>
      </c>
      <c r="AS613" s="2">
        <v>44867</v>
      </c>
      <c r="AT613">
        <v>11.7</v>
      </c>
      <c r="AU613">
        <v>3.8</v>
      </c>
      <c r="AV613">
        <v>77.7</v>
      </c>
      <c r="AW613">
        <v>25.4</v>
      </c>
      <c r="AX613">
        <v>97.38</v>
      </c>
      <c r="AY613">
        <v>0.6</v>
      </c>
      <c r="AZ613">
        <v>2.5</v>
      </c>
      <c r="BA613">
        <v>99.254900000000006</v>
      </c>
      <c r="BB613">
        <v>58.235700000000001</v>
      </c>
      <c r="BC613">
        <v>50.671599999999998</v>
      </c>
      <c r="BD613">
        <v>3.1913</v>
      </c>
      <c r="BE613">
        <v>25.302299999999999</v>
      </c>
      <c r="BF613">
        <v>2.4430999999999998</v>
      </c>
      <c r="BG613">
        <v>128.27080000000001</v>
      </c>
      <c r="BH613">
        <v>95</v>
      </c>
    </row>
    <row r="614" spans="1:60" x14ac:dyDescent="0.25">
      <c r="A614" s="2">
        <v>44887</v>
      </c>
      <c r="B614">
        <v>12.2</v>
      </c>
      <c r="C614">
        <v>0</v>
      </c>
      <c r="D614">
        <v>88.2</v>
      </c>
      <c r="E614">
        <v>15.3</v>
      </c>
      <c r="F614">
        <v>31.31</v>
      </c>
      <c r="G614">
        <v>0.4</v>
      </c>
      <c r="H614">
        <v>2.4</v>
      </c>
      <c r="I614">
        <v>313.62549999999999</v>
      </c>
      <c r="J614">
        <v>189.26840000000001</v>
      </c>
      <c r="K614">
        <v>95.998800000000003</v>
      </c>
      <c r="L614">
        <v>2.8534999999999999</v>
      </c>
      <c r="M614">
        <v>32.537799999999997</v>
      </c>
      <c r="N614">
        <v>-13.3452</v>
      </c>
      <c r="O614">
        <v>102.2692</v>
      </c>
      <c r="P614">
        <v>94.58</v>
      </c>
      <c r="S614">
        <f t="shared" si="201"/>
        <v>784.09399999999994</v>
      </c>
      <c r="T614">
        <f t="shared" si="202"/>
        <v>1.1437072896809007E-2</v>
      </c>
      <c r="U614">
        <f t="shared" si="203"/>
        <v>0</v>
      </c>
      <c r="V614">
        <f t="shared" si="204"/>
        <v>8.2684412253979878E-2</v>
      </c>
      <c r="W614">
        <f t="shared" si="205"/>
        <v>1.4343214370588346E-2</v>
      </c>
      <c r="X614">
        <f t="shared" si="206"/>
        <v>2.9352028885171313E-2</v>
      </c>
      <c r="Y614">
        <f t="shared" si="207"/>
        <v>3.7498599661668879E-4</v>
      </c>
      <c r="Z614">
        <f t="shared" si="208"/>
        <v>2.2499159797001326E-3</v>
      </c>
      <c r="AA614">
        <f t="shared" si="209"/>
        <v>0.29401292670476831</v>
      </c>
      <c r="AB614">
        <f t="shared" si="210"/>
        <v>0.17743249900511526</v>
      </c>
      <c r="AC614">
        <f t="shared" si="211"/>
        <v>8.999551423001545E-2</v>
      </c>
      <c r="AD614">
        <f t="shared" si="212"/>
        <v>2.6750563533643034E-3</v>
      </c>
      <c r="AE614">
        <f t="shared" si="213"/>
        <v>3.0503048401786238E-2</v>
      </c>
      <c r="AG614">
        <f t="shared" si="214"/>
        <v>1.6557942379484087</v>
      </c>
      <c r="AH614">
        <f t="shared" si="215"/>
        <v>0.17094467878465164</v>
      </c>
      <c r="AI614">
        <f t="shared" si="216"/>
        <v>-0.64164964300088112</v>
      </c>
      <c r="AK614" s="26">
        <f t="shared" si="217"/>
        <v>-7.702853715604141E-3</v>
      </c>
      <c r="AL614" s="26">
        <f t="shared" si="218"/>
        <v>-3.2893394055560077E-3</v>
      </c>
      <c r="AM614" s="26">
        <f t="shared" si="219"/>
        <v>-2.5660158200153244E-2</v>
      </c>
      <c r="AN614" s="26">
        <f t="shared" si="220"/>
        <v>6.8169841269841243</v>
      </c>
      <c r="AO614" s="26">
        <f t="shared" si="221"/>
        <v>4.1390425989673361</v>
      </c>
      <c r="AP614" s="26">
        <f t="shared" si="222"/>
        <v>0.57725007221448266</v>
      </c>
      <c r="AS614" s="2">
        <v>44866</v>
      </c>
      <c r="AT614">
        <v>13</v>
      </c>
      <c r="AU614">
        <v>0</v>
      </c>
      <c r="AV614">
        <v>77.900000000000006</v>
      </c>
      <c r="AW614">
        <v>21.5</v>
      </c>
      <c r="AX614">
        <v>78.66</v>
      </c>
      <c r="AY614">
        <v>0.6</v>
      </c>
      <c r="AZ614">
        <v>2.6</v>
      </c>
      <c r="BA614">
        <v>154.65600000000001</v>
      </c>
      <c r="BB614">
        <v>40.306899999999999</v>
      </c>
      <c r="BC614">
        <v>78.334199999999996</v>
      </c>
      <c r="BD614">
        <v>3.2157</v>
      </c>
      <c r="BE614">
        <v>21.397400000000001</v>
      </c>
      <c r="BF614">
        <v>12.590299999999999</v>
      </c>
      <c r="BG614">
        <v>121.9408</v>
      </c>
      <c r="BH614">
        <v>94.91</v>
      </c>
    </row>
    <row r="615" spans="1:60" x14ac:dyDescent="0.25">
      <c r="A615" s="2">
        <v>44886</v>
      </c>
      <c r="B615">
        <v>11.3</v>
      </c>
      <c r="C615">
        <v>1.8</v>
      </c>
      <c r="D615">
        <v>27.2</v>
      </c>
      <c r="E615">
        <v>6.1</v>
      </c>
      <c r="F615">
        <v>48.59</v>
      </c>
      <c r="G615">
        <v>0.5</v>
      </c>
      <c r="H615">
        <v>2.4</v>
      </c>
      <c r="I615">
        <v>335.86610000000002</v>
      </c>
      <c r="J615">
        <v>218.4178</v>
      </c>
      <c r="K615">
        <v>124.8887</v>
      </c>
      <c r="L615">
        <v>1.9265000000000001</v>
      </c>
      <c r="M615">
        <v>42.806600000000003</v>
      </c>
      <c r="N615">
        <v>-18.5518</v>
      </c>
      <c r="O615">
        <v>92.796400000000006</v>
      </c>
      <c r="P615">
        <v>94.81</v>
      </c>
      <c r="S615">
        <f t="shared" si="201"/>
        <v>821.79570000000001</v>
      </c>
      <c r="T615">
        <f t="shared" si="202"/>
        <v>1.0593354404421457E-2</v>
      </c>
      <c r="U615">
        <f t="shared" si="203"/>
        <v>1.6874369847750994E-3</v>
      </c>
      <c r="V615">
        <f t="shared" si="204"/>
        <v>2.5499047769934835E-2</v>
      </c>
      <c r="W615">
        <f t="shared" si="205"/>
        <v>5.7185364484045034E-3</v>
      </c>
      <c r="X615">
        <f t="shared" si="206"/>
        <v>4.5551423939012271E-2</v>
      </c>
      <c r="Y615">
        <f t="shared" si="207"/>
        <v>4.6873249577086097E-4</v>
      </c>
      <c r="Z615">
        <f t="shared" si="208"/>
        <v>2.2499159797001326E-3</v>
      </c>
      <c r="AA615">
        <f t="shared" si="209"/>
        <v>0.31486271059565113</v>
      </c>
      <c r="AB615">
        <f t="shared" si="210"/>
        <v>0.20475904102956149</v>
      </c>
      <c r="AC615">
        <f t="shared" si="211"/>
        <v>0.11707878408915665</v>
      </c>
      <c r="AD615">
        <f t="shared" si="212"/>
        <v>1.8060263062051273E-3</v>
      </c>
      <c r="AE615">
        <f t="shared" si="213"/>
        <v>4.0129688906929875E-2</v>
      </c>
      <c r="AG615">
        <f t="shared" si="214"/>
        <v>1.6693243534693318</v>
      </c>
      <c r="AH615">
        <f t="shared" si="215"/>
        <v>0.13189813692894903</v>
      </c>
      <c r="AI615">
        <f t="shared" si="216"/>
        <v>-0.97456128778060447</v>
      </c>
      <c r="AK615" s="26">
        <f t="shared" si="217"/>
        <v>-9.2553106219938897E-3</v>
      </c>
      <c r="AL615" s="26">
        <f t="shared" si="218"/>
        <v>-4.0657292550294322E-3</v>
      </c>
      <c r="AM615" s="26">
        <f t="shared" si="219"/>
        <v>-2.6560057947112692E-2</v>
      </c>
      <c r="AN615" s="26">
        <f t="shared" si="220"/>
        <v>6.6780952380952527</v>
      </c>
      <c r="AO615" s="26">
        <f t="shared" si="221"/>
        <v>3.9885606712565078</v>
      </c>
      <c r="AP615" s="26">
        <f t="shared" si="222"/>
        <v>0.46019379743177069</v>
      </c>
      <c r="AS615" s="2">
        <v>44865</v>
      </c>
      <c r="AT615">
        <v>14.2</v>
      </c>
      <c r="AU615">
        <v>205</v>
      </c>
      <c r="AV615">
        <v>27.1</v>
      </c>
      <c r="AW615">
        <v>5.4</v>
      </c>
      <c r="AX615">
        <v>87.03</v>
      </c>
      <c r="AY615">
        <v>0.8</v>
      </c>
      <c r="AZ615">
        <v>2.4</v>
      </c>
      <c r="BA615">
        <v>295.30689999999998</v>
      </c>
      <c r="BB615">
        <v>40.6935</v>
      </c>
      <c r="BC615">
        <v>97.096199999999996</v>
      </c>
      <c r="BD615">
        <v>3.2927</v>
      </c>
      <c r="BE615">
        <v>30.508199999999999</v>
      </c>
      <c r="BF615">
        <v>-102.73779999999999</v>
      </c>
      <c r="BG615">
        <v>38.663600000000002</v>
      </c>
      <c r="BH615">
        <v>94.74</v>
      </c>
    </row>
    <row r="616" spans="1:60" x14ac:dyDescent="0.25">
      <c r="A616" s="2">
        <v>44885</v>
      </c>
      <c r="B616">
        <v>11.7</v>
      </c>
      <c r="C616">
        <v>0</v>
      </c>
      <c r="D616">
        <v>13.3</v>
      </c>
      <c r="E616">
        <v>4.0999999999999996</v>
      </c>
      <c r="F616">
        <v>37.81</v>
      </c>
      <c r="G616">
        <v>0.4</v>
      </c>
      <c r="H616">
        <v>2.4</v>
      </c>
      <c r="I616">
        <v>341.14780000000002</v>
      </c>
      <c r="J616">
        <v>237.8897</v>
      </c>
      <c r="K616">
        <v>43.667200000000001</v>
      </c>
      <c r="L616">
        <v>0</v>
      </c>
      <c r="M616">
        <v>16.348199999999999</v>
      </c>
      <c r="P616">
        <v>95.02</v>
      </c>
      <c r="S616">
        <f t="shared" si="201"/>
        <v>708.76289999999995</v>
      </c>
      <c r="T616">
        <f t="shared" si="202"/>
        <v>1.0968340401038145E-2</v>
      </c>
      <c r="U616">
        <f t="shared" si="203"/>
        <v>0</v>
      </c>
      <c r="V616">
        <f t="shared" si="204"/>
        <v>1.2468284387504903E-2</v>
      </c>
      <c r="W616">
        <f t="shared" si="205"/>
        <v>3.8436064653210593E-3</v>
      </c>
      <c r="X616">
        <f t="shared" si="206"/>
        <v>3.5445551330192511E-2</v>
      </c>
      <c r="Y616">
        <f t="shared" si="207"/>
        <v>3.7498599661668879E-4</v>
      </c>
      <c r="Z616">
        <f t="shared" si="208"/>
        <v>2.2499159797001326E-3</v>
      </c>
      <c r="AA616">
        <f t="shared" si="209"/>
        <v>0.31981411944147703</v>
      </c>
      <c r="AB616">
        <f t="shared" si="210"/>
        <v>0.22301326559836276</v>
      </c>
      <c r="AC616">
        <f t="shared" si="211"/>
        <v>4.0936471278650681E-2</v>
      </c>
      <c r="AD616">
        <f t="shared" si="212"/>
        <v>0</v>
      </c>
      <c r="AE616">
        <f t="shared" si="213"/>
        <v>1.5325865174722376E-2</v>
      </c>
      <c r="AG616">
        <f t="shared" si="214"/>
        <v>1.6819574407163387</v>
      </c>
      <c r="AH616">
        <f t="shared" si="215"/>
        <v>8.0676549735095804E-2</v>
      </c>
      <c r="AI616">
        <f t="shared" si="216"/>
        <v>-1.4140373954147065</v>
      </c>
      <c r="AK616" s="26">
        <f t="shared" si="217"/>
        <v>-5.5844045526301511E-4</v>
      </c>
      <c r="AL616" s="26">
        <f t="shared" si="218"/>
        <v>-3.4438562256800254E-3</v>
      </c>
      <c r="AM616" s="26">
        <f t="shared" si="219"/>
        <v>-2.9396411923358262E-2</v>
      </c>
      <c r="AN616" s="26">
        <f t="shared" si="220"/>
        <v>6.5353968253968162</v>
      </c>
      <c r="AO616" s="26">
        <f t="shared" si="221"/>
        <v>3.8382314974182918</v>
      </c>
      <c r="AP616" s="26">
        <f t="shared" si="222"/>
        <v>0.34007168929386467</v>
      </c>
      <c r="AS616" s="2">
        <v>44864</v>
      </c>
      <c r="AT616">
        <v>11.6</v>
      </c>
      <c r="AU616">
        <v>33.200000000000003</v>
      </c>
      <c r="AV616">
        <v>16</v>
      </c>
      <c r="AW616">
        <v>4.4000000000000004</v>
      </c>
      <c r="AX616">
        <v>127.85</v>
      </c>
      <c r="AY616">
        <v>0.7</v>
      </c>
      <c r="AZ616">
        <v>2.4</v>
      </c>
      <c r="BA616">
        <v>276.73090000000002</v>
      </c>
      <c r="BB616">
        <v>29.052600000000002</v>
      </c>
      <c r="BC616">
        <v>45.068899999999999</v>
      </c>
      <c r="BD616">
        <v>3.0682</v>
      </c>
      <c r="BE616">
        <v>15.427199999999999</v>
      </c>
      <c r="BH616">
        <v>94.68</v>
      </c>
    </row>
    <row r="617" spans="1:60" x14ac:dyDescent="0.25">
      <c r="A617" s="2">
        <v>44884</v>
      </c>
      <c r="C617">
        <v>15.2</v>
      </c>
      <c r="F617">
        <v>43.69</v>
      </c>
      <c r="K617">
        <v>54.540500000000002</v>
      </c>
      <c r="P617">
        <v>95.13</v>
      </c>
      <c r="S617">
        <f t="shared" si="201"/>
        <v>113.43049999999999</v>
      </c>
      <c r="T617">
        <f t="shared" si="202"/>
        <v>0</v>
      </c>
      <c r="U617">
        <f t="shared" si="203"/>
        <v>1.4249467871434173E-2</v>
      </c>
      <c r="V617">
        <f t="shared" si="204"/>
        <v>0</v>
      </c>
      <c r="W617">
        <f t="shared" si="205"/>
        <v>0</v>
      </c>
      <c r="X617">
        <f t="shared" si="206"/>
        <v>4.0957845480457826E-2</v>
      </c>
      <c r="Y617">
        <f t="shared" si="207"/>
        <v>0</v>
      </c>
      <c r="Z617">
        <f t="shared" si="208"/>
        <v>0</v>
      </c>
      <c r="AA617">
        <f t="shared" si="209"/>
        <v>0</v>
      </c>
      <c r="AB617">
        <f t="shared" si="210"/>
        <v>0</v>
      </c>
      <c r="AC617">
        <f t="shared" si="211"/>
        <v>5.1129809371181285E-2</v>
      </c>
      <c r="AD617">
        <f t="shared" si="212"/>
        <v>0</v>
      </c>
      <c r="AE617">
        <f t="shared" si="213"/>
        <v>0</v>
      </c>
      <c r="AG617">
        <f t="shared" si="214"/>
        <v>1.6901042548783058</v>
      </c>
      <c r="AH617">
        <f t="shared" si="215"/>
        <v>5.5207313351891996E-2</v>
      </c>
      <c r="AI617">
        <f t="shared" si="216"/>
        <v>-1.6364298384062623</v>
      </c>
      <c r="AK617" s="26">
        <f t="shared" si="217"/>
        <v>3.7801505016714088E-3</v>
      </c>
      <c r="AL617" s="26">
        <f t="shared" si="218"/>
        <v>-2.7420615224503231E-3</v>
      </c>
      <c r="AM617" s="26">
        <f t="shared" si="219"/>
        <v>-3.2318074270977909E-2</v>
      </c>
      <c r="AN617" s="26">
        <f t="shared" si="220"/>
        <v>6.3874603174603237</v>
      </c>
      <c r="AO617" s="26">
        <f t="shared" si="221"/>
        <v>3.6906454388984855</v>
      </c>
      <c r="AP617" s="26">
        <f t="shared" si="222"/>
        <v>0.21831884666890744</v>
      </c>
      <c r="AS617" s="2">
        <v>44863</v>
      </c>
      <c r="AU617">
        <v>0</v>
      </c>
      <c r="AX617">
        <v>93.84</v>
      </c>
      <c r="BC617">
        <v>58.857300000000002</v>
      </c>
      <c r="BH617">
        <v>94.33</v>
      </c>
    </row>
    <row r="618" spans="1:60" x14ac:dyDescent="0.25">
      <c r="A618" s="2">
        <v>44883</v>
      </c>
      <c r="C618">
        <v>0</v>
      </c>
      <c r="F618">
        <v>28.15</v>
      </c>
      <c r="K618">
        <v>78.334199999999996</v>
      </c>
      <c r="N618">
        <v>-43.824800000000003</v>
      </c>
      <c r="O618">
        <v>72.277500000000003</v>
      </c>
      <c r="P618">
        <v>95.22</v>
      </c>
      <c r="S618">
        <f t="shared" si="201"/>
        <v>106.48419999999999</v>
      </c>
      <c r="T618">
        <f t="shared" si="202"/>
        <v>0</v>
      </c>
      <c r="U618">
        <f t="shared" si="203"/>
        <v>0</v>
      </c>
      <c r="V618">
        <f t="shared" si="204"/>
        <v>0</v>
      </c>
      <c r="W618">
        <f t="shared" si="205"/>
        <v>0</v>
      </c>
      <c r="X618">
        <f t="shared" si="206"/>
        <v>2.638963951189947E-2</v>
      </c>
      <c r="Y618">
        <f t="shared" si="207"/>
        <v>0</v>
      </c>
      <c r="Z618">
        <f t="shared" si="208"/>
        <v>0</v>
      </c>
      <c r="AA618">
        <f t="shared" si="209"/>
        <v>0</v>
      </c>
      <c r="AB618">
        <f t="shared" si="210"/>
        <v>0</v>
      </c>
      <c r="AC618">
        <f t="shared" si="211"/>
        <v>7.343557014042755E-2</v>
      </c>
      <c r="AD618">
        <f t="shared" si="212"/>
        <v>0</v>
      </c>
      <c r="AE618">
        <f t="shared" si="213"/>
        <v>0</v>
      </c>
      <c r="AG618">
        <f t="shared" si="214"/>
        <v>1.6973566441341232</v>
      </c>
      <c r="AH618">
        <f t="shared" si="215"/>
        <v>2.638963951189947E-2</v>
      </c>
      <c r="AI618">
        <f t="shared" si="216"/>
        <v>-1.8915466782621857</v>
      </c>
      <c r="AK618" s="26">
        <f t="shared" si="217"/>
        <v>6.6133080937998134E-3</v>
      </c>
      <c r="AL618" s="26">
        <f t="shared" si="218"/>
        <v>-2.1590464775078644E-3</v>
      </c>
      <c r="AM618" s="26">
        <f t="shared" si="219"/>
        <v>-3.3326929268583771E-2</v>
      </c>
      <c r="AN618" s="26">
        <f t="shared" si="220"/>
        <v>6.2280952380952641</v>
      </c>
      <c r="AO618" s="26">
        <f t="shared" si="221"/>
        <v>3.5430916523236391</v>
      </c>
      <c r="AP618" s="26">
        <f t="shared" si="222"/>
        <v>9.7186786061271846E-2</v>
      </c>
      <c r="AS618" s="2">
        <v>44862</v>
      </c>
      <c r="AU618">
        <v>16.2</v>
      </c>
      <c r="AX618">
        <v>109.1</v>
      </c>
      <c r="BC618">
        <v>54.931800000000003</v>
      </c>
      <c r="BF618">
        <v>-3.7601</v>
      </c>
      <c r="BG618">
        <v>93.284800000000004</v>
      </c>
      <c r="BH618">
        <v>94.22</v>
      </c>
    </row>
    <row r="619" spans="1:60" x14ac:dyDescent="0.25">
      <c r="A619" s="2">
        <v>44882</v>
      </c>
      <c r="B619">
        <v>11</v>
      </c>
      <c r="C619">
        <v>30.3</v>
      </c>
      <c r="D619">
        <v>45.7</v>
      </c>
      <c r="E619">
        <v>32.299999999999997</v>
      </c>
      <c r="F619">
        <v>30.41</v>
      </c>
      <c r="G619">
        <v>0.4</v>
      </c>
      <c r="H619">
        <v>2.4</v>
      </c>
      <c r="I619">
        <v>213.6199</v>
      </c>
      <c r="J619">
        <v>157.21600000000001</v>
      </c>
      <c r="K619">
        <v>55.128799999999998</v>
      </c>
      <c r="L619">
        <v>4.8853</v>
      </c>
      <c r="M619">
        <v>25.937100000000001</v>
      </c>
      <c r="N619">
        <v>-34.658900000000003</v>
      </c>
      <c r="O619">
        <v>80.960899999999995</v>
      </c>
      <c r="P619">
        <v>95.33</v>
      </c>
      <c r="S619">
        <f t="shared" si="201"/>
        <v>609.2971</v>
      </c>
      <c r="T619">
        <f t="shared" si="202"/>
        <v>1.0312114906958941E-2</v>
      </c>
      <c r="U619">
        <f t="shared" si="203"/>
        <v>2.8405189243714175E-2</v>
      </c>
      <c r="V619">
        <f t="shared" si="204"/>
        <v>4.2842150113456691E-2</v>
      </c>
      <c r="W619">
        <f t="shared" si="205"/>
        <v>3.0280119226797617E-2</v>
      </c>
      <c r="X619">
        <f t="shared" si="206"/>
        <v>2.8508310392783762E-2</v>
      </c>
      <c r="Y619">
        <f t="shared" si="207"/>
        <v>3.7498599661668879E-4</v>
      </c>
      <c r="Z619">
        <f t="shared" si="208"/>
        <v>2.2499159797001326E-3</v>
      </c>
      <c r="AA619">
        <f t="shared" si="209"/>
        <v>0.20026117774664348</v>
      </c>
      <c r="AB619">
        <f t="shared" si="210"/>
        <v>0.14738449611022336</v>
      </c>
      <c r="AC619">
        <f t="shared" si="211"/>
        <v>5.1681320025705274E-2</v>
      </c>
      <c r="AD619">
        <f t="shared" si="212"/>
        <v>4.5797977231787738E-3</v>
      </c>
      <c r="AE619">
        <f t="shared" si="213"/>
        <v>2.4315123232116796E-2</v>
      </c>
      <c r="AG619">
        <f t="shared" si="214"/>
        <v>1.705511723540396</v>
      </c>
      <c r="AH619">
        <f t="shared" si="215"/>
        <v>0.16728790909214483</v>
      </c>
      <c r="AI619">
        <f t="shared" si="216"/>
        <v>-0.68457144938413561</v>
      </c>
      <c r="AK619" s="26">
        <f t="shared" si="217"/>
        <v>8.7865662219058505E-3</v>
      </c>
      <c r="AL619" s="26">
        <f t="shared" si="218"/>
        <v>3.9119456059444335E-4</v>
      </c>
      <c r="AM619" s="26">
        <f t="shared" si="219"/>
        <v>-3.1204326679563715E-2</v>
      </c>
      <c r="AN619" s="26">
        <f t="shared" si="220"/>
        <v>6.0671428571428692</v>
      </c>
      <c r="AO619" s="26">
        <f t="shared" si="221"/>
        <v>3.3950215146300025</v>
      </c>
      <c r="AP619" s="26">
        <f t="shared" si="222"/>
        <v>-2.3121504162233464E-2</v>
      </c>
      <c r="AS619" s="2">
        <v>44861</v>
      </c>
      <c r="AT619">
        <v>15.9</v>
      </c>
      <c r="AU619">
        <v>0</v>
      </c>
      <c r="AV619">
        <v>57.4</v>
      </c>
      <c r="AW619">
        <v>11.7</v>
      </c>
      <c r="AX619">
        <v>138.32</v>
      </c>
      <c r="AY619">
        <v>0.1</v>
      </c>
      <c r="AZ619">
        <v>2.6</v>
      </c>
      <c r="BA619">
        <v>323.95760000000001</v>
      </c>
      <c r="BB619">
        <v>35.292000000000002</v>
      </c>
      <c r="BC619">
        <v>71.234899999999996</v>
      </c>
      <c r="BD619">
        <v>3.0449999999999999</v>
      </c>
      <c r="BE619">
        <v>25.535699999999999</v>
      </c>
      <c r="BF619">
        <v>2.3576999999999999</v>
      </c>
      <c r="BG619">
        <v>89.875399999999999</v>
      </c>
      <c r="BH619">
        <v>94.05</v>
      </c>
    </row>
    <row r="620" spans="1:60" x14ac:dyDescent="0.25">
      <c r="A620" s="2">
        <v>44881</v>
      </c>
      <c r="B620">
        <v>12.5</v>
      </c>
      <c r="C620">
        <v>4.7</v>
      </c>
      <c r="D620">
        <v>71</v>
      </c>
      <c r="E620">
        <v>24.9</v>
      </c>
      <c r="F620">
        <v>36.82</v>
      </c>
      <c r="G620">
        <v>0.4</v>
      </c>
      <c r="H620">
        <v>3</v>
      </c>
      <c r="I620">
        <v>346.7475</v>
      </c>
      <c r="J620">
        <v>174.61099999999999</v>
      </c>
      <c r="K620">
        <v>76.674400000000006</v>
      </c>
      <c r="L620">
        <v>5.2286999999999999</v>
      </c>
      <c r="M620">
        <v>32.423000000000002</v>
      </c>
      <c r="N620">
        <v>-29.7776</v>
      </c>
      <c r="O620">
        <v>91.980699999999999</v>
      </c>
      <c r="P620">
        <v>95.39</v>
      </c>
      <c r="S620">
        <f t="shared" si="201"/>
        <v>789.00459999999998</v>
      </c>
      <c r="T620">
        <f t="shared" si="202"/>
        <v>1.1718312394271523E-2</v>
      </c>
      <c r="U620">
        <f t="shared" si="203"/>
        <v>4.4060854602460935E-3</v>
      </c>
      <c r="V620">
        <f t="shared" si="204"/>
        <v>6.6560014399462256E-2</v>
      </c>
      <c r="W620">
        <f t="shared" si="205"/>
        <v>2.3342878289388875E-2</v>
      </c>
      <c r="X620">
        <f t="shared" si="206"/>
        <v>3.4517460988566201E-2</v>
      </c>
      <c r="Y620">
        <f t="shared" si="207"/>
        <v>3.7498599661668879E-4</v>
      </c>
      <c r="Z620">
        <f t="shared" si="208"/>
        <v>2.8123949746251659E-3</v>
      </c>
      <c r="AA620">
        <f t="shared" si="209"/>
        <v>0.3250636421546132</v>
      </c>
      <c r="AB620">
        <f t="shared" si="210"/>
        <v>0.1636916996380916</v>
      </c>
      <c r="AC620">
        <f t="shared" si="211"/>
        <v>7.1879565747466609E-2</v>
      </c>
      <c r="AD620">
        <f t="shared" si="212"/>
        <v>4.9017232012742015E-3</v>
      </c>
      <c r="AE620">
        <f t="shared" si="213"/>
        <v>3.0395427420757251E-2</v>
      </c>
      <c r="AG620">
        <f t="shared" si="214"/>
        <v>1.7114023442241395</v>
      </c>
      <c r="AH620">
        <f t="shared" si="215"/>
        <v>0.17412755992393408</v>
      </c>
      <c r="AI620">
        <f t="shared" si="216"/>
        <v>-0.62400372159368578</v>
      </c>
      <c r="AK620" s="26">
        <f t="shared" si="217"/>
        <v>1.0234357394049459E-2</v>
      </c>
      <c r="AL620" s="26">
        <f t="shared" si="218"/>
        <v>1.2878316004172885E-3</v>
      </c>
      <c r="AM620" s="26">
        <f t="shared" si="219"/>
        <v>-3.0687427468364614E-2</v>
      </c>
      <c r="AN620" s="26">
        <f t="shared" si="220"/>
        <v>5.9028571428571439</v>
      </c>
      <c r="AO620" s="26">
        <f t="shared" si="221"/>
        <v>3.2475666953529014</v>
      </c>
      <c r="AP620" s="26">
        <f t="shared" si="222"/>
        <v>-0.14385126441011664</v>
      </c>
      <c r="AS620" s="2">
        <v>44860</v>
      </c>
      <c r="AT620">
        <v>16.100000000000001</v>
      </c>
      <c r="AU620">
        <v>0.9</v>
      </c>
      <c r="AV620">
        <v>42.4</v>
      </c>
      <c r="AW620">
        <v>7</v>
      </c>
      <c r="AX620">
        <v>102.45</v>
      </c>
      <c r="AY620">
        <v>0.1</v>
      </c>
      <c r="AZ620">
        <v>2.5</v>
      </c>
      <c r="BA620">
        <v>311.78859999999997</v>
      </c>
      <c r="BB620">
        <v>45.930900000000001</v>
      </c>
      <c r="BC620">
        <v>127.7606</v>
      </c>
      <c r="BD620">
        <v>3.0579000000000001</v>
      </c>
      <c r="BE620">
        <v>20.398599999999998</v>
      </c>
      <c r="BF620">
        <v>-9.5371000000000006</v>
      </c>
      <c r="BG620">
        <v>71.922600000000003</v>
      </c>
      <c r="BH620">
        <v>93.91</v>
      </c>
    </row>
    <row r="621" spans="1:60" x14ac:dyDescent="0.25">
      <c r="A621" s="2">
        <v>44880</v>
      </c>
      <c r="B621">
        <v>12.6</v>
      </c>
      <c r="C621">
        <v>1.4</v>
      </c>
      <c r="D621">
        <v>55.9</v>
      </c>
      <c r="E621">
        <v>11.6</v>
      </c>
      <c r="F621">
        <v>84.72</v>
      </c>
      <c r="G621">
        <v>0.4</v>
      </c>
      <c r="H621">
        <v>3.3</v>
      </c>
      <c r="I621">
        <v>362.78919999999999</v>
      </c>
      <c r="J621">
        <v>221.10820000000001</v>
      </c>
      <c r="K621">
        <v>60.557299999999998</v>
      </c>
      <c r="L621">
        <v>5.1806000000000001</v>
      </c>
      <c r="M621">
        <v>35.142400000000002</v>
      </c>
      <c r="N621">
        <v>-34.2423</v>
      </c>
      <c r="O621">
        <v>103.1514</v>
      </c>
      <c r="P621">
        <v>95.45</v>
      </c>
      <c r="S621">
        <f t="shared" si="201"/>
        <v>854.69770000000005</v>
      </c>
      <c r="T621">
        <f t="shared" si="202"/>
        <v>1.1812058893425697E-2</v>
      </c>
      <c r="U621">
        <f t="shared" si="203"/>
        <v>1.3124509881584105E-3</v>
      </c>
      <c r="V621">
        <f t="shared" si="204"/>
        <v>5.2404293027182254E-2</v>
      </c>
      <c r="W621">
        <f t="shared" si="205"/>
        <v>1.0874593901883974E-2</v>
      </c>
      <c r="X621">
        <f t="shared" si="206"/>
        <v>7.942203408341468E-2</v>
      </c>
      <c r="Y621">
        <f t="shared" si="207"/>
        <v>3.7498599661668879E-4</v>
      </c>
      <c r="Z621">
        <f t="shared" si="208"/>
        <v>3.0936344720876819E-3</v>
      </c>
      <c r="AA621">
        <f t="shared" si="209"/>
        <v>0.34010217430942807</v>
      </c>
      <c r="AB621">
        <f t="shared" si="210"/>
        <v>0.20728119684280535</v>
      </c>
      <c r="AC621">
        <f t="shared" si="211"/>
        <v>5.6770348732289512E-2</v>
      </c>
      <c r="AD621">
        <f t="shared" si="212"/>
        <v>4.8566311351810445E-3</v>
      </c>
      <c r="AE621">
        <f t="shared" si="213"/>
        <v>3.2944769718755811E-2</v>
      </c>
      <c r="AG621">
        <f t="shared" si="214"/>
        <v>1.7172699123957444</v>
      </c>
      <c r="AH621">
        <f t="shared" si="215"/>
        <v>0.19223882108152524</v>
      </c>
      <c r="AI621">
        <f t="shared" si="216"/>
        <v>-0.46363145744380752</v>
      </c>
      <c r="AK621" s="26">
        <f t="shared" si="217"/>
        <v>7.054476142739935E-3</v>
      </c>
      <c r="AL621" s="26">
        <f t="shared" si="218"/>
        <v>1.2987627084522779E-3</v>
      </c>
      <c r="AM621" s="26">
        <f t="shared" si="219"/>
        <v>-3.1420242953708349E-2</v>
      </c>
      <c r="AN621" s="26">
        <f t="shared" si="220"/>
        <v>5.7403174603174421</v>
      </c>
      <c r="AO621" s="26">
        <f t="shared" si="221"/>
        <v>3.1008950086059173</v>
      </c>
      <c r="AP621" s="26">
        <f t="shared" si="222"/>
        <v>-0.2636099367138911</v>
      </c>
      <c r="AS621" s="2">
        <v>44859</v>
      </c>
      <c r="AT621">
        <v>16.2</v>
      </c>
      <c r="AU621">
        <v>1.7</v>
      </c>
      <c r="AV621">
        <v>64</v>
      </c>
      <c r="AW621">
        <v>15.9</v>
      </c>
      <c r="AX621">
        <v>104.01</v>
      </c>
      <c r="AY621">
        <v>0.1</v>
      </c>
      <c r="AZ621">
        <v>2.5</v>
      </c>
      <c r="BA621">
        <v>251.6943</v>
      </c>
      <c r="BB621">
        <v>46.776899999999998</v>
      </c>
      <c r="BC621">
        <v>109.8511</v>
      </c>
      <c r="BD621">
        <v>3.0731999999999999</v>
      </c>
      <c r="BE621">
        <v>24.172599999999999</v>
      </c>
      <c r="BF621">
        <v>2.8643999999999998</v>
      </c>
      <c r="BG621">
        <v>70.564599999999999</v>
      </c>
      <c r="BH621">
        <v>93.82</v>
      </c>
    </row>
    <row r="622" spans="1:60" x14ac:dyDescent="0.25">
      <c r="A622" s="2">
        <v>44879</v>
      </c>
      <c r="B622">
        <v>11.8</v>
      </c>
      <c r="C622">
        <v>42.5</v>
      </c>
      <c r="D622">
        <v>66.599999999999994</v>
      </c>
      <c r="E622">
        <v>14.6</v>
      </c>
      <c r="F622">
        <v>78.63</v>
      </c>
      <c r="G622">
        <v>0.5</v>
      </c>
      <c r="H622">
        <v>3.2</v>
      </c>
      <c r="I622">
        <v>363.0061</v>
      </c>
      <c r="J622">
        <v>174.60570000000001</v>
      </c>
      <c r="K622">
        <v>92.461100000000002</v>
      </c>
      <c r="L622">
        <v>5.2023000000000001</v>
      </c>
      <c r="M622">
        <v>32.180300000000003</v>
      </c>
      <c r="N622">
        <v>-34.903599999999997</v>
      </c>
      <c r="O622">
        <v>87.255499999999998</v>
      </c>
      <c r="P622">
        <v>95.57</v>
      </c>
      <c r="S622">
        <f t="shared" si="201"/>
        <v>885.28550000000007</v>
      </c>
      <c r="T622">
        <f t="shared" si="202"/>
        <v>1.1062086900192319E-2</v>
      </c>
      <c r="U622">
        <f t="shared" si="203"/>
        <v>3.984226214052318E-2</v>
      </c>
      <c r="V622">
        <f t="shared" si="204"/>
        <v>6.2435168436678672E-2</v>
      </c>
      <c r="W622">
        <f t="shared" si="205"/>
        <v>1.368698887650914E-2</v>
      </c>
      <c r="X622">
        <f t="shared" si="206"/>
        <v>7.3712872284925596E-2</v>
      </c>
      <c r="Y622">
        <f t="shared" si="207"/>
        <v>4.6873249577086097E-4</v>
      </c>
      <c r="Z622">
        <f t="shared" si="208"/>
        <v>2.9998879729335104E-3</v>
      </c>
      <c r="AA622">
        <f t="shared" si="209"/>
        <v>0.34030551046609347</v>
      </c>
      <c r="AB622">
        <f t="shared" si="210"/>
        <v>0.16368673107363643</v>
      </c>
      <c r="AC622">
        <f t="shared" si="211"/>
        <v>8.6679044329438307E-2</v>
      </c>
      <c r="AD622">
        <f t="shared" si="212"/>
        <v>4.8769741254974996E-3</v>
      </c>
      <c r="AE622">
        <f t="shared" si="213"/>
        <v>3.0167904667310078E-2</v>
      </c>
      <c r="AG622">
        <f t="shared" si="214"/>
        <v>1.7258201763536902</v>
      </c>
      <c r="AH622">
        <f t="shared" si="215"/>
        <v>0.23437590377484341</v>
      </c>
      <c r="AI622">
        <f t="shared" si="216"/>
        <v>-9.8652465639824091E-2</v>
      </c>
      <c r="AK622" s="26">
        <f t="shared" si="217"/>
        <v>5.1741356474195865E-3</v>
      </c>
      <c r="AL622" s="26">
        <f t="shared" si="218"/>
        <v>-2.4528041378313326E-5</v>
      </c>
      <c r="AM622" s="26">
        <f t="shared" si="219"/>
        <v>-3.0880243340754843E-2</v>
      </c>
      <c r="AN622" s="26">
        <f t="shared" si="220"/>
        <v>5.5790476190476141</v>
      </c>
      <c r="AO622" s="26">
        <f t="shared" si="221"/>
        <v>2.9547030981067763</v>
      </c>
      <c r="AP622" s="26">
        <f t="shared" si="222"/>
        <v>-0.38281190094801332</v>
      </c>
      <c r="AS622" s="2">
        <v>44858</v>
      </c>
      <c r="AT622">
        <v>11.9</v>
      </c>
      <c r="AU622">
        <v>0</v>
      </c>
      <c r="AV622">
        <v>69</v>
      </c>
      <c r="AW622">
        <v>24.1</v>
      </c>
      <c r="AX622">
        <v>59.26</v>
      </c>
      <c r="AY622">
        <v>0.4</v>
      </c>
      <c r="AZ622">
        <v>2.8</v>
      </c>
      <c r="BA622">
        <v>208.2225</v>
      </c>
      <c r="BB622">
        <v>59.436100000000003</v>
      </c>
      <c r="BC622">
        <v>66.589200000000005</v>
      </c>
      <c r="BD622">
        <v>3.0223</v>
      </c>
      <c r="BE622">
        <v>17.541899999999998</v>
      </c>
      <c r="BF622">
        <v>9.6149000000000004</v>
      </c>
      <c r="BG622">
        <v>79.520499999999998</v>
      </c>
      <c r="BH622">
        <v>93.78</v>
      </c>
    </row>
    <row r="623" spans="1:60" x14ac:dyDescent="0.25">
      <c r="A623" s="2">
        <v>44878</v>
      </c>
      <c r="B623">
        <v>11.9</v>
      </c>
      <c r="C623">
        <v>2.1</v>
      </c>
      <c r="D623">
        <v>23.4</v>
      </c>
      <c r="E623">
        <v>8.4</v>
      </c>
      <c r="G623">
        <v>0.4</v>
      </c>
      <c r="H623">
        <v>3</v>
      </c>
      <c r="I623">
        <v>337.03410000000002</v>
      </c>
      <c r="J623">
        <v>143.48390000000001</v>
      </c>
      <c r="K623">
        <v>40.56</v>
      </c>
      <c r="L623">
        <v>4.5274000000000001</v>
      </c>
      <c r="M623">
        <v>17.552399999999999</v>
      </c>
      <c r="P623">
        <v>95.64</v>
      </c>
      <c r="S623">
        <f t="shared" si="201"/>
        <v>592.3578</v>
      </c>
      <c r="T623">
        <f t="shared" si="202"/>
        <v>1.115583339934649E-2</v>
      </c>
      <c r="U623">
        <f t="shared" si="203"/>
        <v>1.9686764822376161E-3</v>
      </c>
      <c r="V623">
        <f t="shared" si="204"/>
        <v>2.1936680802076291E-2</v>
      </c>
      <c r="W623">
        <f t="shared" si="205"/>
        <v>7.8747059289504644E-3</v>
      </c>
      <c r="X623">
        <f t="shared" si="206"/>
        <v>0</v>
      </c>
      <c r="Y623">
        <f t="shared" si="207"/>
        <v>3.7498599661668879E-4</v>
      </c>
      <c r="Z623">
        <f t="shared" si="208"/>
        <v>2.8123949746251659E-3</v>
      </c>
      <c r="AA623">
        <f t="shared" si="209"/>
        <v>0.31595766970577188</v>
      </c>
      <c r="AB623">
        <f t="shared" si="210"/>
        <v>0.13451113309987328</v>
      </c>
      <c r="AC623">
        <f t="shared" si="211"/>
        <v>3.8023580056932245E-2</v>
      </c>
      <c r="AD623">
        <f t="shared" si="212"/>
        <v>4.2442790027059918E-3</v>
      </c>
      <c r="AE623">
        <f t="shared" si="213"/>
        <v>1.6454760517536918E-2</v>
      </c>
      <c r="AG623">
        <f t="shared" si="214"/>
        <v>1.732102152273993</v>
      </c>
      <c r="AH623">
        <f t="shared" si="215"/>
        <v>6.2578038101389635E-2</v>
      </c>
      <c r="AI623">
        <f t="shared" si="216"/>
        <v>-1.5702120786225231</v>
      </c>
      <c r="AK623" s="26">
        <f t="shared" si="217"/>
        <v>-5.998793839684935E-4</v>
      </c>
      <c r="AL623" s="26">
        <f t="shared" si="218"/>
        <v>-1.2396705466296565E-3</v>
      </c>
      <c r="AM623" s="26">
        <f t="shared" si="219"/>
        <v>-3.219376071657376E-2</v>
      </c>
      <c r="AN623" s="26">
        <f t="shared" si="220"/>
        <v>5.416031746031706</v>
      </c>
      <c r="AO623" s="26">
        <f t="shared" si="221"/>
        <v>2.80834337349404</v>
      </c>
      <c r="AP623" s="26">
        <f t="shared" si="222"/>
        <v>-0.5030855282162463</v>
      </c>
      <c r="AS623" s="2">
        <v>44857</v>
      </c>
      <c r="AT623">
        <v>12.1</v>
      </c>
      <c r="AU623">
        <v>37.200000000000003</v>
      </c>
      <c r="AV623">
        <v>33.299999999999997</v>
      </c>
      <c r="AW623">
        <v>9.1</v>
      </c>
      <c r="AX623">
        <v>102.97</v>
      </c>
      <c r="AY623">
        <v>0.7</v>
      </c>
      <c r="AZ623">
        <v>3</v>
      </c>
      <c r="BA623">
        <v>254.8672</v>
      </c>
      <c r="BB623">
        <v>34.145899999999997</v>
      </c>
      <c r="BC623">
        <v>64.905900000000003</v>
      </c>
      <c r="BD623">
        <v>3.0303</v>
      </c>
      <c r="BE623">
        <v>11.649900000000001</v>
      </c>
      <c r="BH623">
        <v>93.59</v>
      </c>
    </row>
    <row r="624" spans="1:60" x14ac:dyDescent="0.25">
      <c r="A624" s="2">
        <v>44877</v>
      </c>
      <c r="C624">
        <v>1.4</v>
      </c>
      <c r="G624">
        <v>0.5</v>
      </c>
      <c r="K624">
        <v>39.6935</v>
      </c>
      <c r="P624">
        <v>95.54</v>
      </c>
      <c r="S624">
        <f t="shared" si="201"/>
        <v>41.593499999999999</v>
      </c>
      <c r="T624">
        <f t="shared" si="202"/>
        <v>0</v>
      </c>
      <c r="U624">
        <f t="shared" si="203"/>
        <v>1.3124509881584105E-3</v>
      </c>
      <c r="V624">
        <f t="shared" si="204"/>
        <v>0</v>
      </c>
      <c r="W624">
        <f t="shared" si="205"/>
        <v>0</v>
      </c>
      <c r="X624">
        <f t="shared" si="206"/>
        <v>0</v>
      </c>
      <c r="Y624">
        <f t="shared" si="207"/>
        <v>4.6873249577086097E-4</v>
      </c>
      <c r="Z624">
        <f t="shared" si="208"/>
        <v>0</v>
      </c>
      <c r="AA624">
        <f t="shared" si="209"/>
        <v>0</v>
      </c>
      <c r="AB624">
        <f t="shared" si="210"/>
        <v>0</v>
      </c>
      <c r="AC624">
        <f t="shared" si="211"/>
        <v>3.7211266641761338E-2</v>
      </c>
      <c r="AD624">
        <f t="shared" si="212"/>
        <v>0</v>
      </c>
      <c r="AE624">
        <f t="shared" si="213"/>
        <v>0</v>
      </c>
      <c r="AG624">
        <f t="shared" si="214"/>
        <v>1.7307034209786236</v>
      </c>
      <c r="AH624">
        <f t="shared" si="215"/>
        <v>1.7811834839292714E-3</v>
      </c>
      <c r="AI624">
        <f t="shared" si="216"/>
        <v>-2.0946205121737145</v>
      </c>
      <c r="AK624" s="26">
        <f t="shared" si="217"/>
        <v>3.753664883600849E-3</v>
      </c>
      <c r="AL624" s="26">
        <f t="shared" si="218"/>
        <v>-6.4642493090605324E-4</v>
      </c>
      <c r="AM624" s="26">
        <f t="shared" si="219"/>
        <v>-3.1134771415157914E-2</v>
      </c>
      <c r="AN624" s="26">
        <f t="shared" si="220"/>
        <v>5.2492063492063323</v>
      </c>
      <c r="AO624" s="26">
        <f t="shared" si="221"/>
        <v>2.6637327882961159</v>
      </c>
      <c r="AP624" s="26">
        <f t="shared" si="222"/>
        <v>-0.62436937055230146</v>
      </c>
      <c r="AS624" s="2">
        <v>44856</v>
      </c>
      <c r="AU624">
        <v>17.2</v>
      </c>
      <c r="AX624">
        <v>104.58</v>
      </c>
      <c r="BC624">
        <v>88.402500000000003</v>
      </c>
      <c r="BH624">
        <v>93.37</v>
      </c>
    </row>
    <row r="625" spans="1:60" x14ac:dyDescent="0.25">
      <c r="A625" s="2">
        <v>44876</v>
      </c>
      <c r="C625">
        <v>54.3</v>
      </c>
      <c r="F625">
        <v>73.099999999999994</v>
      </c>
      <c r="K625">
        <v>53.400799999999997</v>
      </c>
      <c r="N625">
        <v>-12.7029</v>
      </c>
      <c r="O625">
        <v>80.321799999999996</v>
      </c>
      <c r="P625">
        <v>95.46</v>
      </c>
      <c r="S625">
        <f t="shared" si="201"/>
        <v>180.80079999999998</v>
      </c>
      <c r="T625">
        <f t="shared" si="202"/>
        <v>0</v>
      </c>
      <c r="U625">
        <f t="shared" si="203"/>
        <v>5.0904349040715495E-2</v>
      </c>
      <c r="V625">
        <f t="shared" si="204"/>
        <v>0</v>
      </c>
      <c r="W625">
        <f t="shared" si="205"/>
        <v>0</v>
      </c>
      <c r="X625">
        <f t="shared" si="206"/>
        <v>6.8528690881699869E-2</v>
      </c>
      <c r="Y625">
        <f t="shared" si="207"/>
        <v>0</v>
      </c>
      <c r="Z625">
        <f t="shared" si="208"/>
        <v>0</v>
      </c>
      <c r="AA625">
        <f t="shared" si="209"/>
        <v>0</v>
      </c>
      <c r="AB625">
        <f t="shared" si="210"/>
        <v>0</v>
      </c>
      <c r="AC625">
        <f t="shared" si="211"/>
        <v>5.0061380520321178E-2</v>
      </c>
      <c r="AD625">
        <f t="shared" si="212"/>
        <v>0</v>
      </c>
      <c r="AE625">
        <f t="shared" si="213"/>
        <v>0</v>
      </c>
      <c r="AG625">
        <f t="shared" si="214"/>
        <v>1.7301697197798938</v>
      </c>
      <c r="AH625">
        <f t="shared" si="215"/>
        <v>0.11943303992241536</v>
      </c>
      <c r="AI625">
        <f t="shared" si="216"/>
        <v>-1.0914745387779741</v>
      </c>
      <c r="AK625" s="26">
        <f t="shared" si="217"/>
        <v>5.449053952367694E-3</v>
      </c>
      <c r="AL625" s="26">
        <f t="shared" si="218"/>
        <v>-7.4656708730669319E-4</v>
      </c>
      <c r="AM625" s="26">
        <f t="shared" si="219"/>
        <v>-3.1358342786851234E-2</v>
      </c>
      <c r="AN625" s="26">
        <f t="shared" si="220"/>
        <v>5.0853968253967992</v>
      </c>
      <c r="AO625" s="26">
        <f t="shared" si="221"/>
        <v>2.5210456110155377</v>
      </c>
      <c r="AP625" s="26">
        <f t="shared" si="222"/>
        <v>-0.74492371523865586</v>
      </c>
      <c r="AS625" s="2">
        <v>44855</v>
      </c>
      <c r="AU625">
        <v>13.2</v>
      </c>
      <c r="AX625">
        <v>54.03</v>
      </c>
      <c r="BC625">
        <v>141.56280000000001</v>
      </c>
      <c r="BF625">
        <v>7.7359999999999998</v>
      </c>
      <c r="BG625">
        <v>103.2526</v>
      </c>
      <c r="BH625">
        <v>93.16</v>
      </c>
    </row>
    <row r="626" spans="1:60" x14ac:dyDescent="0.25">
      <c r="A626" s="2">
        <v>44875</v>
      </c>
      <c r="B626">
        <v>12.4</v>
      </c>
      <c r="C626">
        <v>3.3</v>
      </c>
      <c r="D626">
        <v>83.4</v>
      </c>
      <c r="E626">
        <v>21.4</v>
      </c>
      <c r="F626">
        <v>91.8</v>
      </c>
      <c r="G626">
        <v>0.5</v>
      </c>
      <c r="H626">
        <v>3.1</v>
      </c>
      <c r="I626">
        <v>299.476</v>
      </c>
      <c r="J626">
        <v>117.04130000000001</v>
      </c>
      <c r="K626">
        <v>47.866500000000002</v>
      </c>
      <c r="L626">
        <v>3.2446000000000002</v>
      </c>
      <c r="M626">
        <v>29.573699999999999</v>
      </c>
      <c r="N626">
        <v>-11.8123</v>
      </c>
      <c r="O626">
        <v>111.01690000000001</v>
      </c>
      <c r="P626">
        <v>95.41</v>
      </c>
      <c r="S626">
        <f t="shared" si="201"/>
        <v>713.10209999999995</v>
      </c>
      <c r="T626">
        <f t="shared" si="202"/>
        <v>1.1624565895117352E-2</v>
      </c>
      <c r="U626">
        <f t="shared" si="203"/>
        <v>3.0936344720876819E-3</v>
      </c>
      <c r="V626">
        <f t="shared" si="204"/>
        <v>7.8184580294579614E-2</v>
      </c>
      <c r="W626">
        <f t="shared" si="205"/>
        <v>2.0061750818992849E-2</v>
      </c>
      <c r="X626">
        <f t="shared" si="206"/>
        <v>8.6059286223530068E-2</v>
      </c>
      <c r="Y626">
        <f t="shared" si="207"/>
        <v>4.6873249577086097E-4</v>
      </c>
      <c r="Z626">
        <f t="shared" si="208"/>
        <v>2.9061414737793379E-3</v>
      </c>
      <c r="AA626">
        <f t="shared" si="209"/>
        <v>0.28074826580694873</v>
      </c>
      <c r="AB626">
        <f t="shared" si="210"/>
        <v>0.10972212131453214</v>
      </c>
      <c r="AC626">
        <f t="shared" si="211"/>
        <v>4.4873168017631831E-2</v>
      </c>
      <c r="AD626">
        <f t="shared" si="212"/>
        <v>3.0416989115562712E-3</v>
      </c>
      <c r="AE626">
        <f t="shared" si="213"/>
        <v>2.7724308420357419E-2</v>
      </c>
      <c r="AG626">
        <f t="shared" si="214"/>
        <v>1.7309384808304129</v>
      </c>
      <c r="AH626">
        <f t="shared" si="215"/>
        <v>0.23012300009421519</v>
      </c>
      <c r="AI626">
        <f t="shared" si="216"/>
        <v>-0.1356363095023389</v>
      </c>
      <c r="AK626" s="26">
        <f t="shared" si="217"/>
        <v>1.3185965919923492E-4</v>
      </c>
      <c r="AL626" s="26">
        <f t="shared" si="218"/>
        <v>-1.8256789245510996E-3</v>
      </c>
      <c r="AM626" s="26">
        <f t="shared" si="219"/>
        <v>-3.2331110888115855E-2</v>
      </c>
      <c r="AN626" s="26">
        <f t="shared" si="220"/>
        <v>4.9252380952380292</v>
      </c>
      <c r="AO626" s="26">
        <f t="shared" si="221"/>
        <v>2.3781196213425631</v>
      </c>
      <c r="AP626" s="26">
        <f t="shared" si="222"/>
        <v>-0.8644851763347674</v>
      </c>
      <c r="AS626" s="2">
        <v>44854</v>
      </c>
      <c r="AT626">
        <v>10.5</v>
      </c>
      <c r="AU626">
        <v>22.4</v>
      </c>
      <c r="AV626">
        <v>67.8</v>
      </c>
      <c r="AW626">
        <v>18</v>
      </c>
      <c r="AX626">
        <v>126.65</v>
      </c>
      <c r="AY626">
        <v>0.8</v>
      </c>
      <c r="AZ626">
        <v>2.7</v>
      </c>
      <c r="BA626">
        <v>270.22030000000001</v>
      </c>
      <c r="BB626">
        <v>101.65009999999999</v>
      </c>
      <c r="BC626">
        <v>66.081199999999995</v>
      </c>
      <c r="BD626">
        <v>3.9887000000000001</v>
      </c>
      <c r="BE626">
        <v>25.514900000000001</v>
      </c>
      <c r="BF626">
        <v>4.9546000000000001</v>
      </c>
      <c r="BG626">
        <v>126.9894</v>
      </c>
      <c r="BH626">
        <v>93.04</v>
      </c>
    </row>
    <row r="627" spans="1:60" x14ac:dyDescent="0.25">
      <c r="A627" s="2">
        <v>44874</v>
      </c>
      <c r="B627">
        <v>11.1</v>
      </c>
      <c r="C627">
        <v>4.3</v>
      </c>
      <c r="D627">
        <v>74.099999999999994</v>
      </c>
      <c r="E627">
        <v>24.3</v>
      </c>
      <c r="F627">
        <v>57.98</v>
      </c>
      <c r="G627">
        <v>0.5</v>
      </c>
      <c r="H627">
        <v>3</v>
      </c>
      <c r="I627">
        <v>272.19299999999998</v>
      </c>
      <c r="J627">
        <v>105.7877</v>
      </c>
      <c r="K627">
        <v>56.613</v>
      </c>
      <c r="L627">
        <v>3.6556999999999999</v>
      </c>
      <c r="M627">
        <v>28.730399999999999</v>
      </c>
      <c r="N627">
        <v>-4.3376999999999999</v>
      </c>
      <c r="O627">
        <v>119.9969</v>
      </c>
      <c r="P627">
        <v>95.36</v>
      </c>
      <c r="S627">
        <f t="shared" si="201"/>
        <v>642.25979999999993</v>
      </c>
      <c r="T627">
        <f t="shared" si="202"/>
        <v>1.0405861406113113E-2</v>
      </c>
      <c r="U627">
        <f t="shared" si="203"/>
        <v>4.0310994636294038E-3</v>
      </c>
      <c r="V627">
        <f t="shared" si="204"/>
        <v>6.9466155873241592E-2</v>
      </c>
      <c r="W627">
        <f t="shared" si="205"/>
        <v>2.2780399294463842E-2</v>
      </c>
      <c r="X627">
        <f t="shared" si="206"/>
        <v>5.4354220209589035E-2</v>
      </c>
      <c r="Y627">
        <f t="shared" si="207"/>
        <v>4.6873249577086097E-4</v>
      </c>
      <c r="Z627">
        <f t="shared" si="208"/>
        <v>2.8123949746251659E-3</v>
      </c>
      <c r="AA627">
        <f t="shared" si="209"/>
        <v>0.25517140844271591</v>
      </c>
      <c r="AB627">
        <f t="shared" si="210"/>
        <v>9.9172265285718222E-2</v>
      </c>
      <c r="AC627">
        <f t="shared" si="211"/>
        <v>5.3072705566151505E-2</v>
      </c>
      <c r="AD627">
        <f t="shared" si="212"/>
        <v>3.4270907695790726E-3</v>
      </c>
      <c r="AE627">
        <f t="shared" si="213"/>
        <v>2.6933744192990286E-2</v>
      </c>
      <c r="AG627">
        <f t="shared" si="214"/>
        <v>1.7316641527837699</v>
      </c>
      <c r="AH627">
        <f t="shared" si="215"/>
        <v>0.19125260791042331</v>
      </c>
      <c r="AI627">
        <f t="shared" si="216"/>
        <v>-0.46986655662347399</v>
      </c>
      <c r="AK627" s="26">
        <f t="shared" si="217"/>
        <v>-1.7119896393147371E-4</v>
      </c>
      <c r="AL627" s="26">
        <f t="shared" si="218"/>
        <v>-5.2842627292820632E-3</v>
      </c>
      <c r="AM627" s="26">
        <f t="shared" si="219"/>
        <v>-3.1833175639854827E-2</v>
      </c>
      <c r="AN627" s="26">
        <f t="shared" si="220"/>
        <v>4.773174603174553</v>
      </c>
      <c r="AO627" s="26">
        <f t="shared" si="221"/>
        <v>2.2363984509467087</v>
      </c>
      <c r="AP627" s="26">
        <f t="shared" si="222"/>
        <v>-0.98266957275292555</v>
      </c>
      <c r="AS627" s="2">
        <v>44853</v>
      </c>
      <c r="AT627">
        <v>11.2</v>
      </c>
      <c r="AU627">
        <v>1</v>
      </c>
      <c r="AV627">
        <v>23.5</v>
      </c>
      <c r="AW627">
        <v>4.8</v>
      </c>
      <c r="AX627">
        <v>104.67</v>
      </c>
      <c r="AY627">
        <v>0.9</v>
      </c>
      <c r="AZ627">
        <v>2.7</v>
      </c>
      <c r="BA627">
        <v>285.19080000000002</v>
      </c>
      <c r="BB627">
        <v>137.9408</v>
      </c>
      <c r="BC627">
        <v>150.2706</v>
      </c>
      <c r="BD627">
        <v>3.9156</v>
      </c>
      <c r="BE627">
        <v>26.566199999999998</v>
      </c>
      <c r="BF627">
        <v>15.7133</v>
      </c>
      <c r="BG627">
        <v>107.9589</v>
      </c>
      <c r="BH627">
        <v>92.89</v>
      </c>
    </row>
    <row r="628" spans="1:60" x14ac:dyDescent="0.25">
      <c r="A628" s="2">
        <v>44873</v>
      </c>
      <c r="B628">
        <v>11.4</v>
      </c>
      <c r="C628">
        <v>1.2</v>
      </c>
      <c r="D628">
        <v>69.3</v>
      </c>
      <c r="E628">
        <v>22.2</v>
      </c>
      <c r="F628">
        <v>101.14</v>
      </c>
      <c r="G628">
        <v>0.5</v>
      </c>
      <c r="H628">
        <v>2.2999999999999998</v>
      </c>
      <c r="I628">
        <v>247.67619999999999</v>
      </c>
      <c r="J628">
        <v>93.661799999999999</v>
      </c>
      <c r="K628">
        <v>54.525399999999998</v>
      </c>
      <c r="L628">
        <v>3.2134</v>
      </c>
      <c r="M628">
        <v>29.225300000000001</v>
      </c>
      <c r="N628">
        <v>-9.7841000000000005</v>
      </c>
      <c r="O628">
        <v>120.1437</v>
      </c>
      <c r="P628">
        <v>95.29</v>
      </c>
      <c r="S628">
        <f t="shared" si="201"/>
        <v>636.34209999999996</v>
      </c>
      <c r="T628">
        <f t="shared" si="202"/>
        <v>1.0687100903575631E-2</v>
      </c>
      <c r="U628">
        <f t="shared" si="203"/>
        <v>1.1249579898500663E-3</v>
      </c>
      <c r="V628">
        <f t="shared" si="204"/>
        <v>6.4966323913841328E-2</v>
      </c>
      <c r="W628">
        <f t="shared" si="205"/>
        <v>2.0811722812226225E-2</v>
      </c>
      <c r="X628">
        <f t="shared" si="206"/>
        <v>9.4815209244529755E-2</v>
      </c>
      <c r="Y628">
        <f t="shared" si="207"/>
        <v>4.6873249577086097E-4</v>
      </c>
      <c r="Z628">
        <f t="shared" si="208"/>
        <v>2.1561694805459601E-3</v>
      </c>
      <c r="AA628">
        <f t="shared" si="209"/>
        <v>0.23218776673808583</v>
      </c>
      <c r="AB628">
        <f t="shared" si="210"/>
        <v>8.7804658544782449E-2</v>
      </c>
      <c r="AC628">
        <f t="shared" si="211"/>
        <v>5.1115653649809002E-2</v>
      </c>
      <c r="AD628">
        <f t="shared" si="212"/>
        <v>3.0124500038201693E-3</v>
      </c>
      <c r="AE628">
        <f t="shared" si="213"/>
        <v>2.7397695617304287E-2</v>
      </c>
      <c r="AG628">
        <f t="shared" si="214"/>
        <v>1.7314413131375281</v>
      </c>
      <c r="AH628">
        <f t="shared" si="215"/>
        <v>0.22242791245764412</v>
      </c>
      <c r="AI628">
        <f t="shared" si="216"/>
        <v>-0.20103357948806577</v>
      </c>
      <c r="AK628" s="26">
        <f t="shared" si="217"/>
        <v>-4.6246799756785029E-3</v>
      </c>
      <c r="AL628" s="26">
        <f t="shared" si="218"/>
        <v>-8.5132953427072278E-3</v>
      </c>
      <c r="AM628" s="26">
        <f t="shared" si="219"/>
        <v>-3.2175720241941652E-2</v>
      </c>
      <c r="AN628" s="26">
        <f t="shared" si="220"/>
        <v>4.6228571428571001</v>
      </c>
      <c r="AO628" s="26">
        <f t="shared" si="221"/>
        <v>2.0967685025818099</v>
      </c>
      <c r="AP628" s="26">
        <f t="shared" si="222"/>
        <v>-1.0992114177674779</v>
      </c>
      <c r="AS628" s="2">
        <v>44852</v>
      </c>
      <c r="AT628">
        <v>11.2</v>
      </c>
      <c r="AU628">
        <v>0.7</v>
      </c>
      <c r="AV628">
        <v>51.8</v>
      </c>
      <c r="AW628">
        <v>8.6</v>
      </c>
      <c r="AX628">
        <v>92.1</v>
      </c>
      <c r="AY628">
        <v>0.8</v>
      </c>
      <c r="AZ628">
        <v>3</v>
      </c>
      <c r="BA628">
        <v>284.75619999999998</v>
      </c>
      <c r="BB628">
        <v>185.62309999999999</v>
      </c>
      <c r="BC628">
        <v>137.4512</v>
      </c>
      <c r="BD628">
        <v>3.3990999999999998</v>
      </c>
      <c r="BE628">
        <v>30.663699999999999</v>
      </c>
      <c r="BF628">
        <v>8.5307999999999993</v>
      </c>
      <c r="BG628">
        <v>104.1995</v>
      </c>
      <c r="BH628">
        <v>92.76</v>
      </c>
    </row>
    <row r="629" spans="1:60" x14ac:dyDescent="0.25">
      <c r="A629" s="2">
        <v>44872</v>
      </c>
      <c r="B629">
        <v>11.4</v>
      </c>
      <c r="C629">
        <v>0</v>
      </c>
      <c r="D629">
        <v>68.5</v>
      </c>
      <c r="E629">
        <v>27.3</v>
      </c>
      <c r="F629">
        <v>69.48</v>
      </c>
      <c r="G629">
        <v>0.2</v>
      </c>
      <c r="H629">
        <v>2.5</v>
      </c>
      <c r="I629">
        <v>221.53219999999999</v>
      </c>
      <c r="J629">
        <v>100.79949999999999</v>
      </c>
      <c r="K629">
        <v>44.51</v>
      </c>
      <c r="L629">
        <v>3.1959</v>
      </c>
      <c r="M629">
        <v>30.759799999999998</v>
      </c>
      <c r="N629">
        <v>-0.55420000000000003</v>
      </c>
      <c r="O629">
        <v>107.97750000000001</v>
      </c>
      <c r="P629">
        <v>95.24</v>
      </c>
      <c r="S629">
        <f t="shared" si="201"/>
        <v>580.17740000000003</v>
      </c>
      <c r="T629">
        <f t="shared" si="202"/>
        <v>1.0687100903575631E-2</v>
      </c>
      <c r="U629">
        <f t="shared" si="203"/>
        <v>0</v>
      </c>
      <c r="V629">
        <f t="shared" si="204"/>
        <v>6.4216351920607956E-2</v>
      </c>
      <c r="W629">
        <f t="shared" si="205"/>
        <v>2.559279426908901E-2</v>
      </c>
      <c r="X629">
        <f t="shared" si="206"/>
        <v>6.5135067612318839E-2</v>
      </c>
      <c r="Y629">
        <f t="shared" si="207"/>
        <v>1.874929983083444E-4</v>
      </c>
      <c r="Z629">
        <f t="shared" si="208"/>
        <v>2.3436624788543046E-3</v>
      </c>
      <c r="AA629">
        <f t="shared" si="209"/>
        <v>0.20767868199921904</v>
      </c>
      <c r="AB629">
        <f t="shared" si="210"/>
        <v>9.4496002414909797E-2</v>
      </c>
      <c r="AC629">
        <f t="shared" si="211"/>
        <v>4.1726566773522038E-2</v>
      </c>
      <c r="AD629">
        <f t="shared" si="212"/>
        <v>2.9960443664681889E-3</v>
      </c>
      <c r="AE629">
        <f t="shared" si="213"/>
        <v>2.8836235646825057E-2</v>
      </c>
      <c r="AG629">
        <f t="shared" si="214"/>
        <v>1.7320750881949087</v>
      </c>
      <c r="AH629">
        <f t="shared" si="215"/>
        <v>0.19699870582957915</v>
      </c>
      <c r="AI629">
        <f t="shared" si="216"/>
        <v>-0.4194991766883745</v>
      </c>
      <c r="AK629" s="26">
        <f t="shared" si="217"/>
        <v>-3.5657641624231018E-3</v>
      </c>
      <c r="AL629" s="26">
        <f t="shared" si="218"/>
        <v>-9.8556971271926141E-3</v>
      </c>
      <c r="AM629" s="26">
        <f t="shared" si="219"/>
        <v>-3.1391549868693747E-2</v>
      </c>
      <c r="AN629" s="26">
        <f t="shared" si="220"/>
        <v>4.4777777777777317</v>
      </c>
      <c r="AO629" s="26">
        <f t="shared" si="221"/>
        <v>1.9596407056799166</v>
      </c>
      <c r="AP629" s="26">
        <f t="shared" si="222"/>
        <v>-1.2137853522755222</v>
      </c>
      <c r="AS629" s="2">
        <v>44851</v>
      </c>
      <c r="AT629">
        <v>11.4</v>
      </c>
      <c r="AU629">
        <v>3.5</v>
      </c>
      <c r="AV629">
        <v>47.9</v>
      </c>
      <c r="AW629">
        <v>11</v>
      </c>
      <c r="AX629">
        <v>141.41</v>
      </c>
      <c r="AY629">
        <v>0.7</v>
      </c>
      <c r="AZ629">
        <v>3</v>
      </c>
      <c r="BA629">
        <v>317.53609999999998</v>
      </c>
      <c r="BB629">
        <v>96.694699999999997</v>
      </c>
      <c r="BC629">
        <v>76.873000000000005</v>
      </c>
      <c r="BD629">
        <v>3.1097000000000001</v>
      </c>
      <c r="BE629">
        <v>26.008700000000001</v>
      </c>
      <c r="BF629">
        <v>-0.20949999999999999</v>
      </c>
      <c r="BG629">
        <v>124.4089</v>
      </c>
      <c r="BH629">
        <v>92.6</v>
      </c>
    </row>
    <row r="630" spans="1:60" x14ac:dyDescent="0.25">
      <c r="A630" s="2">
        <v>44871</v>
      </c>
      <c r="B630">
        <v>11.7</v>
      </c>
      <c r="C630">
        <v>0</v>
      </c>
      <c r="D630">
        <v>67</v>
      </c>
      <c r="E630">
        <v>23.2</v>
      </c>
      <c r="F630">
        <v>95.87</v>
      </c>
      <c r="G630">
        <v>0.1</v>
      </c>
      <c r="H630">
        <v>2.6</v>
      </c>
      <c r="I630">
        <v>133.03370000000001</v>
      </c>
      <c r="J630">
        <v>99.302099999999996</v>
      </c>
      <c r="K630">
        <v>28.2852</v>
      </c>
      <c r="L630">
        <v>3.1838000000000002</v>
      </c>
      <c r="M630">
        <v>21.628299999999999</v>
      </c>
      <c r="P630">
        <v>95.19</v>
      </c>
      <c r="S630">
        <f t="shared" si="201"/>
        <v>485.90309999999999</v>
      </c>
      <c r="T630">
        <f t="shared" si="202"/>
        <v>1.0968340401038145E-2</v>
      </c>
      <c r="U630">
        <f t="shared" si="203"/>
        <v>0</v>
      </c>
      <c r="V630">
        <f t="shared" si="204"/>
        <v>6.2810154433295365E-2</v>
      </c>
      <c r="W630">
        <f t="shared" si="205"/>
        <v>2.1749187803767948E-2</v>
      </c>
      <c r="X630">
        <f t="shared" si="206"/>
        <v>8.9874768739104882E-2</v>
      </c>
      <c r="Y630">
        <f t="shared" si="207"/>
        <v>9.3746499154172199E-5</v>
      </c>
      <c r="Z630">
        <f t="shared" si="208"/>
        <v>2.437408978008477E-3</v>
      </c>
      <c r="AA630">
        <f t="shared" si="209"/>
        <v>0.12471443644526398</v>
      </c>
      <c r="AB630">
        <f t="shared" si="210"/>
        <v>9.3092242336575218E-2</v>
      </c>
      <c r="AC630">
        <f t="shared" si="211"/>
        <v>2.6516384778755911E-2</v>
      </c>
      <c r="AD630">
        <f t="shared" si="212"/>
        <v>2.9847010400705343E-3</v>
      </c>
      <c r="AE630">
        <f t="shared" si="213"/>
        <v>2.0275774076561823E-2</v>
      </c>
      <c r="AG630">
        <f t="shared" si="214"/>
        <v>1.7326668930587787</v>
      </c>
      <c r="AH630">
        <f t="shared" si="215"/>
        <v>0.20820938093093083</v>
      </c>
      <c r="AI630">
        <f t="shared" si="216"/>
        <v>-0.32255685129032391</v>
      </c>
      <c r="AK630" s="26">
        <f t="shared" si="217"/>
        <v>-2.4678974227889117E-3</v>
      </c>
      <c r="AL630" s="26">
        <f t="shared" si="218"/>
        <v>-1.0633043037671402E-2</v>
      </c>
      <c r="AM630" s="26">
        <f t="shared" si="219"/>
        <v>-3.198074353659669E-2</v>
      </c>
      <c r="AN630" s="26">
        <f t="shared" si="220"/>
        <v>4.3284126984126772</v>
      </c>
      <c r="AO630" s="26">
        <f t="shared" si="221"/>
        <v>1.8246665232358481</v>
      </c>
      <c r="AP630" s="26">
        <f t="shared" si="222"/>
        <v>-1.3280790945616872</v>
      </c>
      <c r="AS630" s="2">
        <v>44850</v>
      </c>
      <c r="AT630">
        <v>11.4</v>
      </c>
      <c r="AU630">
        <v>2.2999999999999998</v>
      </c>
      <c r="AV630">
        <v>60.7</v>
      </c>
      <c r="AW630">
        <v>18</v>
      </c>
      <c r="AX630">
        <v>127.23</v>
      </c>
      <c r="AY630">
        <v>0.7</v>
      </c>
      <c r="AZ630">
        <v>3</v>
      </c>
      <c r="BA630">
        <v>261.2131</v>
      </c>
      <c r="BB630">
        <v>62.418399999999998</v>
      </c>
      <c r="BC630">
        <v>36.815800000000003</v>
      </c>
      <c r="BD630">
        <v>3.0948000000000002</v>
      </c>
      <c r="BE630">
        <v>19.024999999999999</v>
      </c>
      <c r="BH630">
        <v>92.39</v>
      </c>
    </row>
    <row r="631" spans="1:60" x14ac:dyDescent="0.25">
      <c r="A631" s="2">
        <v>44870</v>
      </c>
      <c r="C631">
        <v>0</v>
      </c>
      <c r="F631">
        <v>77.239999999999995</v>
      </c>
      <c r="K631">
        <v>47.826000000000001</v>
      </c>
      <c r="P631">
        <v>95.07</v>
      </c>
      <c r="S631">
        <f t="shared" si="201"/>
        <v>125.066</v>
      </c>
      <c r="T631">
        <f t="shared" si="202"/>
        <v>0</v>
      </c>
      <c r="U631">
        <f t="shared" si="203"/>
        <v>0</v>
      </c>
      <c r="V631">
        <f t="shared" si="204"/>
        <v>0</v>
      </c>
      <c r="W631">
        <f t="shared" si="205"/>
        <v>0</v>
      </c>
      <c r="X631">
        <f t="shared" si="206"/>
        <v>7.2409795946682592E-2</v>
      </c>
      <c r="Y631">
        <f t="shared" si="207"/>
        <v>0</v>
      </c>
      <c r="Z631">
        <f t="shared" si="208"/>
        <v>0</v>
      </c>
      <c r="AA631">
        <f t="shared" si="209"/>
        <v>0</v>
      </c>
      <c r="AB631">
        <f t="shared" si="210"/>
        <v>0</v>
      </c>
      <c r="AC631">
        <f t="shared" si="211"/>
        <v>4.4835200685474391E-2</v>
      </c>
      <c r="AD631">
        <f t="shared" si="212"/>
        <v>0</v>
      </c>
      <c r="AE631">
        <f t="shared" si="213"/>
        <v>0</v>
      </c>
      <c r="AG631">
        <f t="shared" si="214"/>
        <v>1.7300726747154098</v>
      </c>
      <c r="AH631">
        <f t="shared" si="215"/>
        <v>7.2409795946682592E-2</v>
      </c>
      <c r="AI631">
        <f t="shared" si="216"/>
        <v>-1.4941249513300063</v>
      </c>
      <c r="AK631" s="26">
        <f t="shared" si="217"/>
        <v>-3.7512557473765307E-3</v>
      </c>
      <c r="AL631" s="26">
        <f t="shared" si="218"/>
        <v>-1.4915055631532531E-2</v>
      </c>
      <c r="AM631" s="26">
        <f t="shared" si="219"/>
        <v>-3.2585064207924619E-2</v>
      </c>
      <c r="AN631" s="26">
        <f t="shared" si="220"/>
        <v>4.1744444444444184</v>
      </c>
      <c r="AO631" s="26">
        <f t="shared" si="221"/>
        <v>1.691964285714306</v>
      </c>
      <c r="AP631" s="26">
        <f t="shared" si="222"/>
        <v>-1.4429182531972344</v>
      </c>
      <c r="AS631" s="2">
        <v>44849</v>
      </c>
      <c r="AU631">
        <v>2.2999999999999998</v>
      </c>
      <c r="AX631">
        <v>76.67</v>
      </c>
      <c r="BC631">
        <v>42.016399999999997</v>
      </c>
      <c r="BH631">
        <v>92.11</v>
      </c>
    </row>
    <row r="632" spans="1:60" x14ac:dyDescent="0.25">
      <c r="A632" s="2">
        <v>44869</v>
      </c>
      <c r="C632">
        <v>20</v>
      </c>
      <c r="F632">
        <v>41.4</v>
      </c>
      <c r="K632">
        <v>81.514399999999995</v>
      </c>
      <c r="N632">
        <v>15.313599999999999</v>
      </c>
      <c r="O632">
        <v>126.6375</v>
      </c>
      <c r="P632">
        <v>95.05</v>
      </c>
      <c r="S632">
        <f t="shared" si="201"/>
        <v>142.9144</v>
      </c>
      <c r="T632">
        <f t="shared" si="202"/>
        <v>0</v>
      </c>
      <c r="U632">
        <f t="shared" si="203"/>
        <v>1.8749299830834436E-2</v>
      </c>
      <c r="V632">
        <f t="shared" si="204"/>
        <v>0</v>
      </c>
      <c r="W632">
        <f t="shared" si="205"/>
        <v>0</v>
      </c>
      <c r="X632">
        <f t="shared" si="206"/>
        <v>3.8811050649827289E-2</v>
      </c>
      <c r="Y632">
        <f t="shared" si="207"/>
        <v>0</v>
      </c>
      <c r="Z632">
        <f t="shared" si="208"/>
        <v>0</v>
      </c>
      <c r="AA632">
        <f t="shared" si="209"/>
        <v>0</v>
      </c>
      <c r="AB632">
        <f t="shared" si="210"/>
        <v>0</v>
      </c>
      <c r="AC632">
        <f t="shared" si="211"/>
        <v>7.6416896306528537E-2</v>
      </c>
      <c r="AD632">
        <f t="shared" si="212"/>
        <v>0</v>
      </c>
      <c r="AE632">
        <f t="shared" si="213"/>
        <v>0</v>
      </c>
      <c r="AG632">
        <f t="shared" si="214"/>
        <v>1.731975565854913</v>
      </c>
      <c r="AH632">
        <f t="shared" si="215"/>
        <v>5.7560350480661729E-2</v>
      </c>
      <c r="AI632">
        <f t="shared" si="216"/>
        <v>-1.6279019978771121</v>
      </c>
      <c r="AK632" s="26">
        <f t="shared" si="217"/>
        <v>-4.562470989271622E-3</v>
      </c>
      <c r="AL632" s="26">
        <f t="shared" si="218"/>
        <v>-1.5935992360702894E-2</v>
      </c>
      <c r="AM632" s="26">
        <f t="shared" si="219"/>
        <v>-3.1489671967560751E-2</v>
      </c>
      <c r="AN632" s="26">
        <f t="shared" si="220"/>
        <v>4.0173015873015601</v>
      </c>
      <c r="AO632" s="26">
        <f t="shared" si="221"/>
        <v>1.5611790017212286</v>
      </c>
      <c r="AP632" s="26">
        <f t="shared" si="222"/>
        <v>-1.5575630892047059</v>
      </c>
      <c r="AS632" s="2">
        <v>44848</v>
      </c>
      <c r="AU632">
        <v>1.3</v>
      </c>
      <c r="AX632">
        <v>76.03</v>
      </c>
      <c r="BC632">
        <v>128.33070000000001</v>
      </c>
      <c r="BF632">
        <v>7.9325999999999999</v>
      </c>
      <c r="BG632">
        <v>156.29650000000001</v>
      </c>
      <c r="BH632">
        <v>91.82</v>
      </c>
    </row>
    <row r="633" spans="1:60" x14ac:dyDescent="0.25">
      <c r="A633" s="2">
        <v>44868</v>
      </c>
      <c r="B633">
        <v>12.4</v>
      </c>
      <c r="C633">
        <v>1.4</v>
      </c>
      <c r="D633">
        <v>80.5</v>
      </c>
      <c r="E633">
        <v>21.4</v>
      </c>
      <c r="F633">
        <v>79.06</v>
      </c>
      <c r="G633">
        <v>0.5</v>
      </c>
      <c r="H633">
        <v>2.4</v>
      </c>
      <c r="I633">
        <v>207.68010000000001</v>
      </c>
      <c r="J633">
        <v>47.382300000000001</v>
      </c>
      <c r="K633">
        <v>53.300699999999999</v>
      </c>
      <c r="L633">
        <v>3.2021999999999999</v>
      </c>
      <c r="M633">
        <v>23.7744</v>
      </c>
      <c r="N633">
        <v>9.2828999999999997</v>
      </c>
      <c r="O633">
        <v>138.00970000000001</v>
      </c>
      <c r="P633">
        <v>95.01</v>
      </c>
      <c r="S633">
        <f t="shared" si="201"/>
        <v>532.99969999999996</v>
      </c>
      <c r="T633">
        <f t="shared" si="202"/>
        <v>1.1624565895117352E-2</v>
      </c>
      <c r="U633">
        <f t="shared" si="203"/>
        <v>1.3124509881584105E-3</v>
      </c>
      <c r="V633">
        <f t="shared" si="204"/>
        <v>7.5465931819108614E-2</v>
      </c>
      <c r="W633">
        <f t="shared" si="205"/>
        <v>2.0061750818992849E-2</v>
      </c>
      <c r="X633">
        <f t="shared" si="206"/>
        <v>7.4115982231288541E-2</v>
      </c>
      <c r="Y633">
        <f t="shared" si="207"/>
        <v>4.6873249577086097E-4</v>
      </c>
      <c r="Z633">
        <f t="shared" si="208"/>
        <v>2.2499159797001326E-3</v>
      </c>
      <c r="AA633">
        <f t="shared" si="209"/>
        <v>0.19469282318988396</v>
      </c>
      <c r="AB633">
        <f t="shared" si="210"/>
        <v>4.441924746872733E-2</v>
      </c>
      <c r="AC633">
        <f t="shared" si="211"/>
        <v>4.9967540274667856E-2</v>
      </c>
      <c r="AD633">
        <f t="shared" si="212"/>
        <v>3.0019503959149017E-3</v>
      </c>
      <c r="AE633">
        <f t="shared" si="213"/>
        <v>2.2287667694909512E-2</v>
      </c>
      <c r="AG633">
        <f t="shared" si="214"/>
        <v>1.7329416785861431</v>
      </c>
      <c r="AH633">
        <f t="shared" si="215"/>
        <v>0.2075869979230463</v>
      </c>
      <c r="AI633">
        <f t="shared" si="216"/>
        <v>-0.33126601108800002</v>
      </c>
      <c r="AK633" s="26">
        <f t="shared" si="217"/>
        <v>-6.6946651746688512E-3</v>
      </c>
      <c r="AL633" s="26">
        <f t="shared" si="218"/>
        <v>-1.6892512659365644E-2</v>
      </c>
      <c r="AM633" s="26">
        <f t="shared" si="219"/>
        <v>-3.1617343921193974E-2</v>
      </c>
      <c r="AN633" s="26">
        <f t="shared" si="220"/>
        <v>3.8536507936507434</v>
      </c>
      <c r="AO633" s="26">
        <f t="shared" si="221"/>
        <v>1.430163511187601</v>
      </c>
      <c r="AP633" s="26">
        <f t="shared" si="222"/>
        <v>-1.6725175284263685</v>
      </c>
      <c r="AS633" s="2">
        <v>44847</v>
      </c>
      <c r="AT633">
        <v>13.5</v>
      </c>
      <c r="AU633">
        <v>25.4</v>
      </c>
      <c r="AV633">
        <v>24.6</v>
      </c>
      <c r="AW633">
        <v>5.3</v>
      </c>
      <c r="AX633">
        <v>82.19</v>
      </c>
      <c r="AY633">
        <v>0.9</v>
      </c>
      <c r="AZ633">
        <v>3.3</v>
      </c>
      <c r="BA633">
        <v>328.39150000000001</v>
      </c>
      <c r="BB633">
        <v>229.4495</v>
      </c>
      <c r="BC633">
        <v>130.32130000000001</v>
      </c>
      <c r="BD633">
        <v>3.1760999999999999</v>
      </c>
      <c r="BE633">
        <v>32.523499999999999</v>
      </c>
      <c r="BF633">
        <v>-6.4694000000000003</v>
      </c>
      <c r="BG633">
        <v>169.1095</v>
      </c>
      <c r="BH633">
        <v>91.71</v>
      </c>
    </row>
    <row r="634" spans="1:60" x14ac:dyDescent="0.25">
      <c r="A634" s="2">
        <v>44867</v>
      </c>
      <c r="B634">
        <v>11.7</v>
      </c>
      <c r="C634">
        <v>3.8</v>
      </c>
      <c r="D634">
        <v>77.7</v>
      </c>
      <c r="E634">
        <v>25.4</v>
      </c>
      <c r="F634">
        <v>97.38</v>
      </c>
      <c r="G634">
        <v>0.6</v>
      </c>
      <c r="H634">
        <v>2.5</v>
      </c>
      <c r="I634">
        <v>99.254900000000006</v>
      </c>
      <c r="J634">
        <v>58.235700000000001</v>
      </c>
      <c r="K634">
        <v>50.671599999999998</v>
      </c>
      <c r="L634">
        <v>3.1913</v>
      </c>
      <c r="M634">
        <v>25.302299999999999</v>
      </c>
      <c r="N634">
        <v>6.2690999999999999</v>
      </c>
      <c r="O634">
        <v>132.0968</v>
      </c>
      <c r="P634">
        <v>95</v>
      </c>
      <c r="S634">
        <f t="shared" si="201"/>
        <v>455.73580000000004</v>
      </c>
      <c r="T634">
        <f t="shared" si="202"/>
        <v>1.0968340401038145E-2</v>
      </c>
      <c r="U634">
        <f t="shared" si="203"/>
        <v>3.5623669678585433E-3</v>
      </c>
      <c r="V634">
        <f t="shared" si="204"/>
        <v>7.2841029842791796E-2</v>
      </c>
      <c r="W634">
        <f t="shared" si="205"/>
        <v>2.3811610785159736E-2</v>
      </c>
      <c r="X634">
        <f t="shared" si="206"/>
        <v>9.1290340876332879E-2</v>
      </c>
      <c r="Y634">
        <f t="shared" si="207"/>
        <v>5.6247899492503314E-4</v>
      </c>
      <c r="Z634">
        <f t="shared" si="208"/>
        <v>2.3436624788543046E-3</v>
      </c>
      <c r="AA634">
        <f t="shared" si="209"/>
        <v>9.3047993988974453E-2</v>
      </c>
      <c r="AB634">
        <f t="shared" si="210"/>
        <v>5.4593930007926256E-2</v>
      </c>
      <c r="AC634">
        <f t="shared" si="211"/>
        <v>4.7502851065405513E-2</v>
      </c>
      <c r="AD634">
        <f t="shared" si="212"/>
        <v>2.9917320275070973E-3</v>
      </c>
      <c r="AE634">
        <f t="shared" si="213"/>
        <v>2.3720020455486109E-2</v>
      </c>
      <c r="AG634">
        <f t="shared" si="214"/>
        <v>1.7352306566565709</v>
      </c>
      <c r="AH634">
        <f t="shared" si="215"/>
        <v>0.22909985080244655</v>
      </c>
      <c r="AI634">
        <f t="shared" si="216"/>
        <v>-0.14226590925943194</v>
      </c>
      <c r="AK634" s="26">
        <f t="shared" si="217"/>
        <v>-9.8176765259041232E-3</v>
      </c>
      <c r="AL634" s="26">
        <f t="shared" si="218"/>
        <v>-2.0641938382390007E-2</v>
      </c>
      <c r="AM634" s="26">
        <f t="shared" si="219"/>
        <v>-3.212372489454679E-2</v>
      </c>
      <c r="AN634" s="26">
        <f t="shared" si="220"/>
        <v>3.6873015873015476</v>
      </c>
      <c r="AO634" s="26">
        <f t="shared" si="221"/>
        <v>1.2996837349397623</v>
      </c>
      <c r="AP634" s="26">
        <f t="shared" si="222"/>
        <v>-1.7870428822773619</v>
      </c>
      <c r="AS634" s="2">
        <v>44846</v>
      </c>
      <c r="AT634">
        <v>14.4</v>
      </c>
      <c r="AU634">
        <v>18.100000000000001</v>
      </c>
      <c r="AV634">
        <v>21.5</v>
      </c>
      <c r="AW634">
        <v>2.6</v>
      </c>
      <c r="AX634">
        <v>143.86000000000001</v>
      </c>
      <c r="AY634">
        <v>0.9</v>
      </c>
      <c r="AZ634">
        <v>3.1</v>
      </c>
      <c r="BA634">
        <v>313.84449999999998</v>
      </c>
      <c r="BB634">
        <v>227.96459999999999</v>
      </c>
      <c r="BC634">
        <v>128.82740000000001</v>
      </c>
      <c r="BD634">
        <v>3.3170000000000002</v>
      </c>
      <c r="BE634">
        <v>29.890599999999999</v>
      </c>
      <c r="BF634">
        <v>-11.226599999999999</v>
      </c>
      <c r="BG634">
        <v>167.81880000000001</v>
      </c>
      <c r="BH634">
        <v>91.6</v>
      </c>
    </row>
    <row r="635" spans="1:60" x14ac:dyDescent="0.25">
      <c r="A635" s="2">
        <v>44866</v>
      </c>
      <c r="B635">
        <v>13</v>
      </c>
      <c r="C635">
        <v>0</v>
      </c>
      <c r="D635">
        <v>77.900000000000006</v>
      </c>
      <c r="E635">
        <v>21.5</v>
      </c>
      <c r="F635">
        <v>78.66</v>
      </c>
      <c r="G635">
        <v>0.6</v>
      </c>
      <c r="H635">
        <v>2.6</v>
      </c>
      <c r="I635">
        <v>154.65600000000001</v>
      </c>
      <c r="J635">
        <v>40.306899999999999</v>
      </c>
      <c r="K635">
        <v>78.334199999999996</v>
      </c>
      <c r="L635">
        <v>3.2157</v>
      </c>
      <c r="M635">
        <v>21.397400000000001</v>
      </c>
      <c r="N635">
        <v>17.093299999999999</v>
      </c>
      <c r="O635">
        <v>126.4438</v>
      </c>
      <c r="P635">
        <v>94.91</v>
      </c>
      <c r="S635">
        <f t="shared" si="201"/>
        <v>492.17020000000002</v>
      </c>
      <c r="T635">
        <f t="shared" si="202"/>
        <v>1.2187044890042385E-2</v>
      </c>
      <c r="U635">
        <f t="shared" si="203"/>
        <v>0</v>
      </c>
      <c r="V635">
        <f t="shared" si="204"/>
        <v>7.3028522841100146E-2</v>
      </c>
      <c r="W635">
        <f t="shared" si="205"/>
        <v>2.0155497318147021E-2</v>
      </c>
      <c r="X635">
        <f t="shared" si="206"/>
        <v>7.3740996234671841E-2</v>
      </c>
      <c r="Y635">
        <f t="shared" si="207"/>
        <v>5.6247899492503314E-4</v>
      </c>
      <c r="Z635">
        <f t="shared" si="208"/>
        <v>2.437408978008477E-3</v>
      </c>
      <c r="AA635">
        <f t="shared" si="209"/>
        <v>0.14498458573187656</v>
      </c>
      <c r="AB635">
        <f t="shared" si="210"/>
        <v>3.778630766757303E-2</v>
      </c>
      <c r="AC635">
        <f t="shared" si="211"/>
        <v>7.343557014042755E-2</v>
      </c>
      <c r="AD635">
        <f t="shared" si="212"/>
        <v>3.0146061733007153E-3</v>
      </c>
      <c r="AE635">
        <f t="shared" si="213"/>
        <v>2.005931341001484E-2</v>
      </c>
      <c r="AG635">
        <f t="shared" si="214"/>
        <v>1.7338548840976671</v>
      </c>
      <c r="AH635">
        <f t="shared" si="215"/>
        <v>0.20217126266690977</v>
      </c>
      <c r="AI635">
        <f t="shared" si="216"/>
        <v>-0.37211340689860095</v>
      </c>
      <c r="AK635" s="26">
        <f t="shared" si="217"/>
        <v>-1.3675392583367751E-2</v>
      </c>
      <c r="AL635" s="26">
        <f t="shared" si="218"/>
        <v>-2.2396982546902311E-2</v>
      </c>
      <c r="AM635" s="26">
        <f t="shared" si="219"/>
        <v>-3.2689522943451788E-2</v>
      </c>
      <c r="AN635" s="26">
        <f t="shared" si="220"/>
        <v>3.5204761904761313</v>
      </c>
      <c r="AO635" s="26">
        <f t="shared" si="221"/>
        <v>1.1667986230636842</v>
      </c>
      <c r="AP635" s="26">
        <f t="shared" si="222"/>
        <v>-1.9008116908695598</v>
      </c>
      <c r="AS635" s="2">
        <v>44845</v>
      </c>
      <c r="AT635">
        <v>13.9</v>
      </c>
      <c r="AU635">
        <v>2.7</v>
      </c>
      <c r="AV635">
        <v>41.1</v>
      </c>
      <c r="AW635">
        <v>7.8</v>
      </c>
      <c r="AX635">
        <v>136.13</v>
      </c>
      <c r="AY635">
        <v>0.8</v>
      </c>
      <c r="AZ635">
        <v>3</v>
      </c>
      <c r="BA635">
        <v>323.50240000000002</v>
      </c>
      <c r="BB635">
        <v>194.7739</v>
      </c>
      <c r="BC635">
        <v>102.31399999999999</v>
      </c>
      <c r="BD635">
        <v>3.2989999999999999</v>
      </c>
      <c r="BE635">
        <v>29.0656</v>
      </c>
      <c r="BF635">
        <v>-3.3094000000000001</v>
      </c>
      <c r="BG635">
        <v>178.1651</v>
      </c>
      <c r="BH635">
        <v>91.47</v>
      </c>
    </row>
    <row r="636" spans="1:60" x14ac:dyDescent="0.25">
      <c r="A636" s="2">
        <v>44865</v>
      </c>
      <c r="B636">
        <v>14.2</v>
      </c>
      <c r="C636">
        <v>205</v>
      </c>
      <c r="D636">
        <v>27.1</v>
      </c>
      <c r="E636">
        <v>5.4</v>
      </c>
      <c r="F636">
        <v>87.03</v>
      </c>
      <c r="G636">
        <v>0.8</v>
      </c>
      <c r="H636">
        <v>2.4</v>
      </c>
      <c r="I636">
        <v>295.30689999999998</v>
      </c>
      <c r="J636">
        <v>40.6935</v>
      </c>
      <c r="K636">
        <v>97.096199999999996</v>
      </c>
      <c r="L636">
        <v>3.2927</v>
      </c>
      <c r="M636">
        <v>30.508199999999999</v>
      </c>
      <c r="N636">
        <v>1.407</v>
      </c>
      <c r="O636">
        <v>45.529400000000003</v>
      </c>
      <c r="P636">
        <v>94.74</v>
      </c>
      <c r="S636">
        <f t="shared" si="201"/>
        <v>808.82749999999987</v>
      </c>
      <c r="T636">
        <f t="shared" si="202"/>
        <v>1.331200287989245E-2</v>
      </c>
      <c r="U636">
        <f t="shared" si="203"/>
        <v>0.192180323266053</v>
      </c>
      <c r="V636">
        <f t="shared" si="204"/>
        <v>2.5405301270780663E-2</v>
      </c>
      <c r="W636">
        <f t="shared" si="205"/>
        <v>5.0623109543252989E-3</v>
      </c>
      <c r="X636">
        <f t="shared" si="206"/>
        <v>8.1587578213876064E-2</v>
      </c>
      <c r="Y636">
        <f t="shared" si="207"/>
        <v>7.4997199323337759E-4</v>
      </c>
      <c r="Z636">
        <f t="shared" si="208"/>
        <v>2.2499159797001326E-3</v>
      </c>
      <c r="AA636">
        <f t="shared" si="209"/>
        <v>0.27683988051071212</v>
      </c>
      <c r="AB636">
        <f t="shared" si="210"/>
        <v>3.8148731633303061E-2</v>
      </c>
      <c r="AC636">
        <f t="shared" si="211"/>
        <v>9.1024288311733328E-2</v>
      </c>
      <c r="AD636">
        <f t="shared" si="212"/>
        <v>3.0867909776494278E-3</v>
      </c>
      <c r="AE636">
        <f t="shared" si="213"/>
        <v>2.8600369454953159E-2</v>
      </c>
      <c r="AG636">
        <f t="shared" si="214"/>
        <v>1.7288012237743533</v>
      </c>
      <c r="AH636">
        <f t="shared" si="215"/>
        <v>0.34914777401281416</v>
      </c>
      <c r="AI636">
        <f t="shared" si="216"/>
        <v>0.89643088728161779</v>
      </c>
      <c r="AK636" s="26">
        <f t="shared" si="217"/>
        <v>-1.3043752480701692E-2</v>
      </c>
      <c r="AL636" s="26">
        <f t="shared" si="218"/>
        <v>-2.1080565847866828E-2</v>
      </c>
      <c r="AM636" s="26">
        <f t="shared" si="219"/>
        <v>-3.4022723055665116E-2</v>
      </c>
      <c r="AN636" s="26">
        <f t="shared" si="220"/>
        <v>3.3458730158729821</v>
      </c>
      <c r="AO636" s="26">
        <f t="shared" si="221"/>
        <v>1.0312327882960517</v>
      </c>
      <c r="AP636" s="26">
        <f t="shared" si="222"/>
        <v>-2.0140077729052166</v>
      </c>
      <c r="AS636" s="2">
        <v>44844</v>
      </c>
      <c r="AT636">
        <v>13.9</v>
      </c>
      <c r="AU636">
        <v>5.3</v>
      </c>
      <c r="AV636">
        <v>60.4</v>
      </c>
      <c r="AW636">
        <v>14.6</v>
      </c>
      <c r="AX636">
        <v>158.31</v>
      </c>
      <c r="AY636">
        <v>0.7</v>
      </c>
      <c r="AZ636">
        <v>2.7</v>
      </c>
      <c r="BA636">
        <v>312.64260000000002</v>
      </c>
      <c r="BB636">
        <v>137.37870000000001</v>
      </c>
      <c r="BC636">
        <v>45.347499999999997</v>
      </c>
      <c r="BD636">
        <v>3.2164000000000001</v>
      </c>
      <c r="BE636">
        <v>26.908200000000001</v>
      </c>
      <c r="BF636">
        <v>-1.2615000000000001</v>
      </c>
      <c r="BG636">
        <v>177.72489999999999</v>
      </c>
      <c r="BH636">
        <v>91.32</v>
      </c>
    </row>
    <row r="637" spans="1:60" x14ac:dyDescent="0.25">
      <c r="A637" s="2">
        <v>44864</v>
      </c>
      <c r="B637">
        <v>11.6</v>
      </c>
      <c r="C637">
        <v>33.200000000000003</v>
      </c>
      <c r="D637">
        <v>16</v>
      </c>
      <c r="E637">
        <v>4.4000000000000004</v>
      </c>
      <c r="F637">
        <v>127.85</v>
      </c>
      <c r="G637">
        <v>0.7</v>
      </c>
      <c r="H637">
        <v>2.4</v>
      </c>
      <c r="I637">
        <v>276.73090000000002</v>
      </c>
      <c r="J637">
        <v>29.052600000000002</v>
      </c>
      <c r="K637">
        <v>45.068899999999999</v>
      </c>
      <c r="L637">
        <v>3.0682</v>
      </c>
      <c r="M637">
        <v>15.427199999999999</v>
      </c>
      <c r="P637">
        <v>94.68</v>
      </c>
      <c r="S637">
        <f t="shared" si="201"/>
        <v>565.49779999999998</v>
      </c>
      <c r="T637">
        <f t="shared" si="202"/>
        <v>1.0874593901883974E-2</v>
      </c>
      <c r="U637">
        <f t="shared" si="203"/>
        <v>3.1123837719185171E-2</v>
      </c>
      <c r="V637">
        <f t="shared" si="204"/>
        <v>1.4999439864667551E-2</v>
      </c>
      <c r="W637">
        <f t="shared" si="205"/>
        <v>4.1248459627835771E-3</v>
      </c>
      <c r="X637">
        <f t="shared" si="206"/>
        <v>0.11985489916860914</v>
      </c>
      <c r="Y637">
        <f t="shared" si="207"/>
        <v>6.5622549407920526E-4</v>
      </c>
      <c r="Z637">
        <f t="shared" si="208"/>
        <v>2.2499159797001326E-3</v>
      </c>
      <c r="AA637">
        <f t="shared" si="209"/>
        <v>0.2594255308278331</v>
      </c>
      <c r="AB637">
        <f t="shared" si="210"/>
        <v>2.723579541326503E-2</v>
      </c>
      <c r="AC637">
        <f t="shared" si="211"/>
        <v>4.2250515957294711E-2</v>
      </c>
      <c r="AD637">
        <f t="shared" si="212"/>
        <v>2.8763300870483111E-3</v>
      </c>
      <c r="AE637">
        <f t="shared" si="213"/>
        <v>1.4462459917512452E-2</v>
      </c>
      <c r="AG637">
        <f t="shared" si="214"/>
        <v>1.7287062944133458</v>
      </c>
      <c r="AH637">
        <f t="shared" si="215"/>
        <v>0.19834621800842123</v>
      </c>
      <c r="AI637">
        <f t="shared" si="216"/>
        <v>-0.40051258242600657</v>
      </c>
      <c r="AK637" s="26">
        <f t="shared" si="217"/>
        <v>-1.9002858814372109E-2</v>
      </c>
      <c r="AL637" s="26">
        <f t="shared" si="218"/>
        <v>-2.3185485722794469E-2</v>
      </c>
      <c r="AM637" s="26">
        <f t="shared" si="219"/>
        <v>-3.560866680247593E-2</v>
      </c>
      <c r="AN637" s="26">
        <f t="shared" si="220"/>
        <v>3.1807936507936176</v>
      </c>
      <c r="AO637" s="26">
        <f t="shared" si="221"/>
        <v>0.89557228915663245</v>
      </c>
      <c r="AP637" s="26">
        <f t="shared" si="222"/>
        <v>-2.1256576770568927</v>
      </c>
      <c r="AS637" s="2">
        <v>44843</v>
      </c>
      <c r="AT637">
        <v>14.1</v>
      </c>
      <c r="AU637">
        <v>17</v>
      </c>
      <c r="AV637">
        <v>34.200000000000003</v>
      </c>
      <c r="AW637">
        <v>7.3</v>
      </c>
      <c r="AX637">
        <v>183.95</v>
      </c>
      <c r="AY637">
        <v>0.7</v>
      </c>
      <c r="AZ637">
        <v>2.6</v>
      </c>
      <c r="BA637">
        <v>306.685</v>
      </c>
      <c r="BB637">
        <v>62.238799999999998</v>
      </c>
      <c r="BC637">
        <v>26.178699999999999</v>
      </c>
      <c r="BD637">
        <v>3.2351999999999999</v>
      </c>
      <c r="BE637">
        <v>19.843800000000002</v>
      </c>
      <c r="BH637">
        <v>91.11</v>
      </c>
    </row>
    <row r="638" spans="1:60" x14ac:dyDescent="0.25">
      <c r="A638" s="2">
        <v>44863</v>
      </c>
      <c r="C638">
        <v>0</v>
      </c>
      <c r="F638">
        <v>93.84</v>
      </c>
      <c r="K638">
        <v>58.857300000000002</v>
      </c>
      <c r="P638">
        <v>94.33</v>
      </c>
      <c r="S638">
        <f t="shared" si="201"/>
        <v>152.69730000000001</v>
      </c>
      <c r="T638">
        <f t="shared" si="202"/>
        <v>0</v>
      </c>
      <c r="U638">
        <f t="shared" si="203"/>
        <v>0</v>
      </c>
      <c r="V638">
        <f t="shared" si="204"/>
        <v>0</v>
      </c>
      <c r="W638">
        <f t="shared" si="205"/>
        <v>0</v>
      </c>
      <c r="X638">
        <f t="shared" si="206"/>
        <v>8.7971714806275192E-2</v>
      </c>
      <c r="Y638">
        <f t="shared" si="207"/>
        <v>0</v>
      </c>
      <c r="Z638">
        <f t="shared" si="208"/>
        <v>0</v>
      </c>
      <c r="AA638">
        <f t="shared" si="209"/>
        <v>0</v>
      </c>
      <c r="AB638">
        <f t="shared" si="210"/>
        <v>0</v>
      </c>
      <c r="AC638">
        <f t="shared" si="211"/>
        <v>5.5176658246668592E-2</v>
      </c>
      <c r="AD638">
        <f t="shared" si="212"/>
        <v>0</v>
      </c>
      <c r="AE638">
        <f t="shared" si="213"/>
        <v>0</v>
      </c>
      <c r="AG638">
        <f t="shared" si="214"/>
        <v>1.7154536099595425</v>
      </c>
      <c r="AH638">
        <f t="shared" si="215"/>
        <v>8.7971714806275192E-2</v>
      </c>
      <c r="AI638">
        <f t="shared" si="216"/>
        <v>-1.3520943746440723</v>
      </c>
      <c r="AK638" s="26">
        <f t="shared" si="217"/>
        <v>-1.5879021601120508E-2</v>
      </c>
      <c r="AL638" s="26">
        <f t="shared" si="218"/>
        <v>-2.2369979561641828E-2</v>
      </c>
      <c r="AM638" s="26">
        <f t="shared" si="219"/>
        <v>-3.7377737765238062E-2</v>
      </c>
      <c r="AN638" s="26">
        <f t="shared" si="220"/>
        <v>3.0141269841269605</v>
      </c>
      <c r="AO638" s="26">
        <f t="shared" si="221"/>
        <v>0.76159208261616129</v>
      </c>
      <c r="AP638" s="26">
        <f t="shared" si="222"/>
        <v>-2.2376416060503459</v>
      </c>
      <c r="AS638" s="2">
        <v>44842</v>
      </c>
      <c r="AU638">
        <v>36.200000000000003</v>
      </c>
      <c r="AX638">
        <v>113.99</v>
      </c>
      <c r="BC638">
        <v>21.581900000000001</v>
      </c>
      <c r="BH638">
        <v>90.81</v>
      </c>
    </row>
    <row r="639" spans="1:60" x14ac:dyDescent="0.25">
      <c r="A639" s="2">
        <v>44862</v>
      </c>
      <c r="C639">
        <v>16.2</v>
      </c>
      <c r="F639">
        <v>109.1</v>
      </c>
      <c r="K639">
        <v>54.931800000000003</v>
      </c>
      <c r="N639">
        <v>-0.99350000000000005</v>
      </c>
      <c r="O639">
        <v>96.051400000000001</v>
      </c>
      <c r="P639">
        <v>94.22</v>
      </c>
      <c r="S639">
        <f t="shared" si="201"/>
        <v>180.23179999999999</v>
      </c>
      <c r="T639">
        <f t="shared" si="202"/>
        <v>0</v>
      </c>
      <c r="U639">
        <f t="shared" si="203"/>
        <v>1.5186932862975894E-2</v>
      </c>
      <c r="V639">
        <f t="shared" si="204"/>
        <v>0</v>
      </c>
      <c r="W639">
        <f t="shared" si="205"/>
        <v>0</v>
      </c>
      <c r="X639">
        <f t="shared" si="206"/>
        <v>0.10227743057720186</v>
      </c>
      <c r="Y639">
        <f t="shared" si="207"/>
        <v>0</v>
      </c>
      <c r="Z639">
        <f t="shared" si="208"/>
        <v>0</v>
      </c>
      <c r="AA639">
        <f t="shared" si="209"/>
        <v>0</v>
      </c>
      <c r="AB639">
        <f t="shared" si="210"/>
        <v>0</v>
      </c>
      <c r="AC639">
        <f t="shared" si="211"/>
        <v>5.1496639422371565E-2</v>
      </c>
      <c r="AD639">
        <f t="shared" si="212"/>
        <v>0</v>
      </c>
      <c r="AE639">
        <f t="shared" si="213"/>
        <v>0</v>
      </c>
      <c r="AG639">
        <f t="shared" si="214"/>
        <v>1.7130166609857782</v>
      </c>
      <c r="AH639">
        <f t="shared" si="215"/>
        <v>0.11746436344017776</v>
      </c>
      <c r="AI639">
        <f t="shared" si="216"/>
        <v>-1.1032912872994427</v>
      </c>
      <c r="AK639" s="26">
        <f t="shared" si="217"/>
        <v>-1.1969727112646072E-2</v>
      </c>
      <c r="AL639" s="26">
        <f t="shared" si="218"/>
        <v>-2.126784997381162E-2</v>
      </c>
      <c r="AM639" s="26">
        <f t="shared" si="219"/>
        <v>-3.6964455372203386E-2</v>
      </c>
      <c r="AN639" s="26">
        <f t="shared" si="220"/>
        <v>2.8549206349205889</v>
      </c>
      <c r="AO639" s="26">
        <f t="shared" si="221"/>
        <v>0.63081755593800892</v>
      </c>
      <c r="AP639" s="26">
        <f t="shared" si="222"/>
        <v>-2.3484619626586323</v>
      </c>
      <c r="AS639" s="2">
        <v>44841</v>
      </c>
      <c r="AU639">
        <v>24.6</v>
      </c>
      <c r="AX639">
        <v>176.3</v>
      </c>
      <c r="BC639">
        <v>28.0929</v>
      </c>
      <c r="BF639">
        <v>9.9244000000000003</v>
      </c>
      <c r="BG639">
        <v>190.8383</v>
      </c>
      <c r="BH639">
        <v>90.5</v>
      </c>
    </row>
    <row r="640" spans="1:60" x14ac:dyDescent="0.25">
      <c r="A640" s="2">
        <v>44861</v>
      </c>
      <c r="B640">
        <v>15.9</v>
      </c>
      <c r="C640">
        <v>0</v>
      </c>
      <c r="D640">
        <v>57.4</v>
      </c>
      <c r="E640">
        <v>11.7</v>
      </c>
      <c r="F640">
        <v>138.32</v>
      </c>
      <c r="G640">
        <v>0.1</v>
      </c>
      <c r="H640">
        <v>2.6</v>
      </c>
      <c r="I640">
        <v>323.95760000000001</v>
      </c>
      <c r="J640">
        <v>35.292000000000002</v>
      </c>
      <c r="K640">
        <v>71.234899999999996</v>
      </c>
      <c r="L640">
        <v>3.0449999999999999</v>
      </c>
      <c r="M640">
        <v>25.535699999999999</v>
      </c>
      <c r="N640">
        <v>-2.5114000000000001</v>
      </c>
      <c r="O640">
        <v>85.006299999999996</v>
      </c>
      <c r="P640">
        <v>94.05</v>
      </c>
      <c r="S640">
        <f t="shared" si="201"/>
        <v>685.08519999999999</v>
      </c>
      <c r="T640">
        <f t="shared" si="202"/>
        <v>1.4905693365513379E-2</v>
      </c>
      <c r="U640">
        <f t="shared" si="203"/>
        <v>0</v>
      </c>
      <c r="V640">
        <f t="shared" si="204"/>
        <v>5.3810490514494838E-2</v>
      </c>
      <c r="W640">
        <f t="shared" si="205"/>
        <v>1.0968340401038145E-2</v>
      </c>
      <c r="X640">
        <f t="shared" si="206"/>
        <v>0.12967015763005096</v>
      </c>
      <c r="Y640">
        <f t="shared" si="207"/>
        <v>9.3746499154172199E-5</v>
      </c>
      <c r="Z640">
        <f t="shared" si="208"/>
        <v>2.437408978008477E-3</v>
      </c>
      <c r="AA640">
        <f t="shared" si="209"/>
        <v>0.30369890874387656</v>
      </c>
      <c r="AB640">
        <f t="shared" si="210"/>
        <v>3.3085014481490455E-2</v>
      </c>
      <c r="AC640">
        <f t="shared" si="211"/>
        <v>6.6780224925975407E-2</v>
      </c>
      <c r="AD640">
        <f t="shared" si="212"/>
        <v>2.8545808992445432E-3</v>
      </c>
      <c r="AE640">
        <f t="shared" si="213"/>
        <v>2.3938824784511946E-2</v>
      </c>
      <c r="AG640">
        <f t="shared" si="214"/>
        <v>1.7078330402692574</v>
      </c>
      <c r="AH640">
        <f t="shared" si="215"/>
        <v>0.23582466217277193</v>
      </c>
      <c r="AI640">
        <f t="shared" si="216"/>
        <v>-8.2643797428690449E-2</v>
      </c>
      <c r="AK640" s="26">
        <f t="shared" si="217"/>
        <v>-9.0106233309635575E-3</v>
      </c>
      <c r="AL640" s="26">
        <f t="shared" si="218"/>
        <v>-2.0599328924479743E-2</v>
      </c>
      <c r="AM640" s="26">
        <f t="shared" si="219"/>
        <v>-3.7916295377545262E-2</v>
      </c>
      <c r="AN640" s="26">
        <f t="shared" si="220"/>
        <v>2.6912698412698006</v>
      </c>
      <c r="AO640" s="26">
        <f t="shared" si="221"/>
        <v>0.49950301204818004</v>
      </c>
      <c r="AP640" s="26">
        <f t="shared" si="222"/>
        <v>-2.4591801685881052</v>
      </c>
      <c r="AS640" s="2">
        <v>44840</v>
      </c>
      <c r="AT640">
        <v>16.5</v>
      </c>
      <c r="AU640">
        <v>102.2</v>
      </c>
      <c r="AV640">
        <v>57.1</v>
      </c>
      <c r="AW640">
        <v>22.8</v>
      </c>
      <c r="AX640">
        <v>177.48</v>
      </c>
      <c r="AY640">
        <v>0.7</v>
      </c>
      <c r="AZ640">
        <v>2.7</v>
      </c>
      <c r="BA640">
        <v>259.04520000000002</v>
      </c>
      <c r="BB640">
        <v>100.51130000000001</v>
      </c>
      <c r="BC640">
        <v>32.084099999999999</v>
      </c>
      <c r="BD640">
        <v>3.2795999999999998</v>
      </c>
      <c r="BE640">
        <v>40.8675</v>
      </c>
      <c r="BF640">
        <v>-2.2073</v>
      </c>
      <c r="BG640">
        <v>217.24619999999999</v>
      </c>
      <c r="BH640">
        <v>90.32</v>
      </c>
    </row>
    <row r="641" spans="1:60" x14ac:dyDescent="0.25">
      <c r="A641" s="2">
        <v>44860</v>
      </c>
      <c r="B641">
        <v>16.100000000000001</v>
      </c>
      <c r="C641">
        <v>0.9</v>
      </c>
      <c r="D641">
        <v>42.4</v>
      </c>
      <c r="E641">
        <v>7</v>
      </c>
      <c r="F641">
        <v>102.45</v>
      </c>
      <c r="G641">
        <v>0.1</v>
      </c>
      <c r="H641">
        <v>2.5</v>
      </c>
      <c r="I641">
        <v>311.78859999999997</v>
      </c>
      <c r="J641">
        <v>45.930900000000001</v>
      </c>
      <c r="K641">
        <v>127.7606</v>
      </c>
      <c r="L641">
        <v>3.0579000000000001</v>
      </c>
      <c r="M641">
        <v>20.398599999999998</v>
      </c>
      <c r="N641">
        <v>-10.136699999999999</v>
      </c>
      <c r="O641">
        <v>71.322999999999993</v>
      </c>
      <c r="P641">
        <v>93.91</v>
      </c>
      <c r="S641">
        <f t="shared" si="201"/>
        <v>680.38659999999993</v>
      </c>
      <c r="T641">
        <f t="shared" si="202"/>
        <v>1.5093186363821724E-2</v>
      </c>
      <c r="U641">
        <f t="shared" si="203"/>
        <v>8.4371849238754971E-4</v>
      </c>
      <c r="V641">
        <f t="shared" si="204"/>
        <v>3.9748515641369005E-2</v>
      </c>
      <c r="W641">
        <f t="shared" si="205"/>
        <v>6.5622549407920536E-3</v>
      </c>
      <c r="X641">
        <f t="shared" si="206"/>
        <v>9.6043288383449416E-2</v>
      </c>
      <c r="Y641">
        <f t="shared" si="207"/>
        <v>9.3746499154172199E-5</v>
      </c>
      <c r="Z641">
        <f t="shared" si="208"/>
        <v>2.3436624788543046E-3</v>
      </c>
      <c r="AA641">
        <f t="shared" si="209"/>
        <v>0.29229089726180529</v>
      </c>
      <c r="AB641">
        <f t="shared" si="210"/>
        <v>4.3058610780003677E-2</v>
      </c>
      <c r="AC641">
        <f t="shared" si="211"/>
        <v>0.11977108979836532</v>
      </c>
      <c r="AD641">
        <f t="shared" si="212"/>
        <v>2.8666741976354315E-3</v>
      </c>
      <c r="AE641">
        <f t="shared" si="213"/>
        <v>1.9122973376462966E-2</v>
      </c>
      <c r="AG641">
        <f t="shared" si="214"/>
        <v>1.7039724264828831</v>
      </c>
      <c r="AH641">
        <f t="shared" si="215"/>
        <v>0.1798513461762912</v>
      </c>
      <c r="AI641">
        <f t="shared" si="216"/>
        <v>-0.5674098107692116</v>
      </c>
      <c r="AK641" s="26">
        <f t="shared" si="217"/>
        <v>-3.4224912389618778E-3</v>
      </c>
      <c r="AL641" s="26">
        <f t="shared" si="218"/>
        <v>-2.0836454381126773E-2</v>
      </c>
      <c r="AM641" s="26">
        <f t="shared" si="219"/>
        <v>-3.894148838802991E-2</v>
      </c>
      <c r="AN641" s="26">
        <f t="shared" si="220"/>
        <v>2.5306349206348955</v>
      </c>
      <c r="AO641" s="26">
        <f t="shared" si="221"/>
        <v>0.37182874354559203</v>
      </c>
      <c r="AP641" s="26">
        <f t="shared" si="222"/>
        <v>-2.5691174076311825</v>
      </c>
      <c r="AS641" s="2">
        <v>44839</v>
      </c>
      <c r="AT641">
        <v>18.899999999999999</v>
      </c>
      <c r="AU641">
        <v>2.2999999999999998</v>
      </c>
      <c r="AV641">
        <v>79</v>
      </c>
      <c r="AW641">
        <v>23.5</v>
      </c>
      <c r="AX641">
        <v>169.06</v>
      </c>
      <c r="AY641">
        <v>0.7</v>
      </c>
      <c r="AZ641">
        <v>2.5</v>
      </c>
      <c r="BA641">
        <v>255.51660000000001</v>
      </c>
      <c r="BB641">
        <v>85.132800000000003</v>
      </c>
      <c r="BC641">
        <v>35.961799999999997</v>
      </c>
      <c r="BD641">
        <v>3.3159000000000001</v>
      </c>
      <c r="BE641">
        <v>27.1251</v>
      </c>
      <c r="BF641">
        <v>3.7541000000000002</v>
      </c>
      <c r="BG641">
        <v>208.42019999999999</v>
      </c>
      <c r="BH641">
        <v>90.07</v>
      </c>
    </row>
    <row r="642" spans="1:60" x14ac:dyDescent="0.25">
      <c r="A642" s="2">
        <v>44859</v>
      </c>
      <c r="B642">
        <v>16.2</v>
      </c>
      <c r="C642">
        <v>1.7</v>
      </c>
      <c r="D642">
        <v>64</v>
      </c>
      <c r="E642">
        <v>15.9</v>
      </c>
      <c r="F642">
        <v>104.01</v>
      </c>
      <c r="G642">
        <v>0.1</v>
      </c>
      <c r="H642">
        <v>2.5</v>
      </c>
      <c r="I642">
        <v>251.6943</v>
      </c>
      <c r="J642">
        <v>46.776899999999998</v>
      </c>
      <c r="K642">
        <v>109.8511</v>
      </c>
      <c r="L642">
        <v>3.0731999999999999</v>
      </c>
      <c r="M642">
        <v>24.172599999999999</v>
      </c>
      <c r="N642">
        <v>2.6562000000000001</v>
      </c>
      <c r="O642">
        <v>70.356399999999994</v>
      </c>
      <c r="P642">
        <v>93.82</v>
      </c>
      <c r="S642">
        <f t="shared" ref="S642:S705" si="223">SUM(B642:M642)</f>
        <v>639.97810000000004</v>
      </c>
      <c r="T642">
        <f t="shared" si="202"/>
        <v>1.5186932862975894E-2</v>
      </c>
      <c r="U642">
        <f t="shared" si="203"/>
        <v>1.5936904856209272E-3</v>
      </c>
      <c r="V642">
        <f t="shared" si="204"/>
        <v>5.9997759458670204E-2</v>
      </c>
      <c r="W642">
        <f t="shared" si="205"/>
        <v>1.4905693365513379E-2</v>
      </c>
      <c r="X642">
        <f t="shared" si="206"/>
        <v>9.7505733770254496E-2</v>
      </c>
      <c r="Y642">
        <f t="shared" si="207"/>
        <v>9.3746499154172199E-5</v>
      </c>
      <c r="Z642">
        <f t="shared" si="208"/>
        <v>2.3436624788543046E-3</v>
      </c>
      <c r="AA642">
        <f t="shared" si="209"/>
        <v>0.23595459482059961</v>
      </c>
      <c r="AB642">
        <f t="shared" si="210"/>
        <v>4.3851706162847968E-2</v>
      </c>
      <c r="AC642">
        <f t="shared" si="211"/>
        <v>0.10298156053234885</v>
      </c>
      <c r="AD642">
        <f t="shared" si="212"/>
        <v>2.8810174120060196E-3</v>
      </c>
      <c r="AE642">
        <f t="shared" si="213"/>
        <v>2.2660966254541427E-2</v>
      </c>
      <c r="AG642">
        <f t="shared" si="214"/>
        <v>1.7023578881933525</v>
      </c>
      <c r="AH642">
        <f t="shared" si="215"/>
        <v>0.21428818517558482</v>
      </c>
      <c r="AI642">
        <f t="shared" si="216"/>
        <v>-0.26898100368880801</v>
      </c>
      <c r="AK642" s="26">
        <f t="shared" si="217"/>
        <v>3.1663460424792567E-3</v>
      </c>
      <c r="AL642" s="26">
        <f t="shared" si="218"/>
        <v>-2.1250139005203506E-2</v>
      </c>
      <c r="AM642" s="26">
        <f t="shared" si="219"/>
        <v>-3.9178463436663147E-2</v>
      </c>
      <c r="AN642" s="26">
        <f t="shared" si="220"/>
        <v>2.3699999999999761</v>
      </c>
      <c r="AO642" s="26">
        <f t="shared" si="221"/>
        <v>0.24340146299481091</v>
      </c>
      <c r="AP642" s="26">
        <f t="shared" si="222"/>
        <v>-2.6782419054122073</v>
      </c>
      <c r="AS642" s="2">
        <v>44838</v>
      </c>
      <c r="AT642">
        <v>19.8</v>
      </c>
      <c r="AU642">
        <v>27.4</v>
      </c>
      <c r="AV642">
        <v>59.9</v>
      </c>
      <c r="AW642">
        <v>10</v>
      </c>
      <c r="AX642">
        <v>173.32</v>
      </c>
      <c r="AY642">
        <v>0.8</v>
      </c>
      <c r="AZ642">
        <v>2.4</v>
      </c>
      <c r="BA642">
        <v>294.1746</v>
      </c>
      <c r="BB642">
        <v>170.45740000000001</v>
      </c>
      <c r="BC642">
        <v>35.478000000000002</v>
      </c>
      <c r="BD642">
        <v>3.3142</v>
      </c>
      <c r="BE642">
        <v>35.676900000000003</v>
      </c>
      <c r="BF642">
        <v>12.1953</v>
      </c>
      <c r="BG642">
        <v>190.80520000000001</v>
      </c>
      <c r="BH642">
        <v>89.83</v>
      </c>
    </row>
    <row r="643" spans="1:60" x14ac:dyDescent="0.25">
      <c r="A643" s="2">
        <v>44858</v>
      </c>
      <c r="B643">
        <v>11.9</v>
      </c>
      <c r="C643">
        <v>0</v>
      </c>
      <c r="D643">
        <v>69</v>
      </c>
      <c r="E643">
        <v>24.1</v>
      </c>
      <c r="F643">
        <v>59.26</v>
      </c>
      <c r="G643">
        <v>0.4</v>
      </c>
      <c r="H643">
        <v>2.8</v>
      </c>
      <c r="I643">
        <v>208.2225</v>
      </c>
      <c r="J643">
        <v>59.436100000000003</v>
      </c>
      <c r="K643">
        <v>66.589200000000005</v>
      </c>
      <c r="L643">
        <v>3.0223</v>
      </c>
      <c r="M643">
        <v>17.541899999999998</v>
      </c>
      <c r="N643">
        <v>8.8315999999999999</v>
      </c>
      <c r="O643">
        <v>78.737200000000001</v>
      </c>
      <c r="P643">
        <v>93.78</v>
      </c>
      <c r="S643">
        <f t="shared" si="223"/>
        <v>522.27199999999993</v>
      </c>
      <c r="T643">
        <f t="shared" si="202"/>
        <v>1.115583339934649E-2</v>
      </c>
      <c r="U643">
        <f t="shared" si="203"/>
        <v>0</v>
      </c>
      <c r="V643">
        <f t="shared" si="204"/>
        <v>6.468508441637881E-2</v>
      </c>
      <c r="W643">
        <f t="shared" si="205"/>
        <v>2.2592906296155499E-2</v>
      </c>
      <c r="X643">
        <f t="shared" si="206"/>
        <v>5.5554175398762437E-2</v>
      </c>
      <c r="Y643">
        <f t="shared" si="207"/>
        <v>3.7498599661668879E-4</v>
      </c>
      <c r="Z643">
        <f t="shared" si="208"/>
        <v>2.624901976316821E-3</v>
      </c>
      <c r="AA643">
        <f t="shared" si="209"/>
        <v>0.19520130420129619</v>
      </c>
      <c r="AB643">
        <f t="shared" si="210"/>
        <v>5.5719262983772944E-2</v>
      </c>
      <c r="AC643">
        <f t="shared" si="211"/>
        <v>6.2425043814770036E-2</v>
      </c>
      <c r="AD643">
        <f t="shared" si="212"/>
        <v>2.8333004439365459E-3</v>
      </c>
      <c r="AE643">
        <f t="shared" si="213"/>
        <v>1.644491713512573E-2</v>
      </c>
      <c r="AG643">
        <f t="shared" si="214"/>
        <v>1.702988641063681</v>
      </c>
      <c r="AH643">
        <f t="shared" si="215"/>
        <v>0.17343280461870247</v>
      </c>
      <c r="AI643">
        <f t="shared" si="216"/>
        <v>-0.62316365214019087</v>
      </c>
      <c r="AK643" s="26">
        <f t="shared" si="217"/>
        <v>9.0628639396271027E-3</v>
      </c>
      <c r="AL643" s="26">
        <f t="shared" si="218"/>
        <v>-2.0955361609682394E-2</v>
      </c>
      <c r="AM643" s="26">
        <f t="shared" si="219"/>
        <v>-3.9558914009478363E-2</v>
      </c>
      <c r="AN643" s="26">
        <f t="shared" si="220"/>
        <v>2.2082539682539419</v>
      </c>
      <c r="AO643" s="26">
        <f t="shared" si="221"/>
        <v>0.11763123924264107</v>
      </c>
      <c r="AP643" s="26">
        <f t="shared" si="222"/>
        <v>-2.7862844988315061</v>
      </c>
      <c r="AS643" s="2">
        <v>44837</v>
      </c>
      <c r="AT643">
        <v>19.399999999999999</v>
      </c>
      <c r="AU643">
        <v>0.9</v>
      </c>
      <c r="AV643">
        <v>42.1</v>
      </c>
      <c r="AW643">
        <v>14.4</v>
      </c>
      <c r="AX643">
        <v>132.69</v>
      </c>
      <c r="AY643">
        <v>0.9</v>
      </c>
      <c r="AZ643">
        <v>2.5</v>
      </c>
      <c r="BA643">
        <v>244.392</v>
      </c>
      <c r="BB643">
        <v>121.782</v>
      </c>
      <c r="BC643">
        <v>21.230799999999999</v>
      </c>
      <c r="BD643">
        <v>3.2826</v>
      </c>
      <c r="BE643">
        <v>39.5745</v>
      </c>
      <c r="BF643">
        <v>11.936299999999999</v>
      </c>
      <c r="BG643">
        <v>199.2439</v>
      </c>
      <c r="BH643">
        <v>89.62</v>
      </c>
    </row>
    <row r="644" spans="1:60" x14ac:dyDescent="0.25">
      <c r="A644" s="2">
        <v>44857</v>
      </c>
      <c r="B644">
        <v>12.1</v>
      </c>
      <c r="C644">
        <v>37.200000000000003</v>
      </c>
      <c r="D644">
        <v>33.299999999999997</v>
      </c>
      <c r="E644">
        <v>9.1</v>
      </c>
      <c r="F644">
        <v>102.97</v>
      </c>
      <c r="G644">
        <v>0.7</v>
      </c>
      <c r="H644">
        <v>3</v>
      </c>
      <c r="I644">
        <v>254.8672</v>
      </c>
      <c r="J644">
        <v>34.145899999999997</v>
      </c>
      <c r="K644">
        <v>64.905900000000003</v>
      </c>
      <c r="L644">
        <v>3.0303</v>
      </c>
      <c r="M644">
        <v>11.649900000000001</v>
      </c>
      <c r="P644">
        <v>93.59</v>
      </c>
      <c r="S644">
        <f t="shared" si="223"/>
        <v>566.9692</v>
      </c>
      <c r="T644">
        <f t="shared" si="202"/>
        <v>1.1343326397654835E-2</v>
      </c>
      <c r="U644">
        <f t="shared" si="203"/>
        <v>3.4873697685352055E-2</v>
      </c>
      <c r="V644">
        <f t="shared" si="204"/>
        <v>3.1217584218339336E-2</v>
      </c>
      <c r="W644">
        <f t="shared" si="205"/>
        <v>8.5309314230296689E-3</v>
      </c>
      <c r="X644">
        <f t="shared" si="206"/>
        <v>9.6530770179051109E-2</v>
      </c>
      <c r="Y644">
        <f t="shared" si="207"/>
        <v>6.5622549407920526E-4</v>
      </c>
      <c r="Z644">
        <f t="shared" si="208"/>
        <v>2.8123949746251659E-3</v>
      </c>
      <c r="AA644">
        <f t="shared" si="209"/>
        <v>0.23892907749226233</v>
      </c>
      <c r="AB644">
        <f t="shared" si="210"/>
        <v>3.2010585854684477E-2</v>
      </c>
      <c r="AC644">
        <f t="shared" si="211"/>
        <v>6.0847008994507852E-2</v>
      </c>
      <c r="AD644">
        <f t="shared" si="212"/>
        <v>2.8408001638688799E-3</v>
      </c>
      <c r="AE644">
        <f t="shared" si="213"/>
        <v>1.0921373404961906E-2</v>
      </c>
      <c r="AG644">
        <f t="shared" si="214"/>
        <v>1.6967821975979049</v>
      </c>
      <c r="AH644">
        <f t="shared" si="215"/>
        <v>0.19688630377709329</v>
      </c>
      <c r="AI644">
        <f t="shared" si="216"/>
        <v>-0.42248233070076757</v>
      </c>
      <c r="AK644" s="26">
        <f t="shared" si="217"/>
        <v>1.1569755441945162E-2</v>
      </c>
      <c r="AL644" s="26">
        <f t="shared" si="218"/>
        <v>-2.0386436373126149E-2</v>
      </c>
      <c r="AM644" s="26">
        <f t="shared" si="219"/>
        <v>-4.0312373815025448E-2</v>
      </c>
      <c r="AN644" s="26">
        <f t="shared" si="220"/>
        <v>2.0449206349205866</v>
      </c>
      <c r="AO644" s="26">
        <f t="shared" si="221"/>
        <v>-8.3304647160389322E-3</v>
      </c>
      <c r="AP644" s="26">
        <f t="shared" si="222"/>
        <v>-2.8941910664111248</v>
      </c>
      <c r="AS644" s="2">
        <v>44836</v>
      </c>
      <c r="AT644">
        <v>16.3</v>
      </c>
      <c r="AU644">
        <v>0</v>
      </c>
      <c r="AV644">
        <v>90</v>
      </c>
      <c r="AW644">
        <v>20</v>
      </c>
      <c r="AX644">
        <v>91.24</v>
      </c>
      <c r="AY644">
        <v>0.7</v>
      </c>
      <c r="AZ644">
        <v>2.5</v>
      </c>
      <c r="BA644">
        <v>191.22559999999999</v>
      </c>
      <c r="BB644">
        <v>56.434199999999997</v>
      </c>
      <c r="BC644">
        <v>10.93</v>
      </c>
      <c r="BD644">
        <v>3.2688000000000001</v>
      </c>
      <c r="BE644">
        <v>20.631399999999999</v>
      </c>
      <c r="BH644">
        <v>89.35</v>
      </c>
    </row>
    <row r="645" spans="1:60" x14ac:dyDescent="0.25">
      <c r="A645" s="2">
        <v>44856</v>
      </c>
      <c r="C645">
        <v>17.2</v>
      </c>
      <c r="F645">
        <v>104.58</v>
      </c>
      <c r="K645">
        <v>88.402500000000003</v>
      </c>
      <c r="P645">
        <v>93.37</v>
      </c>
      <c r="S645">
        <f t="shared" si="223"/>
        <v>210.1825</v>
      </c>
      <c r="T645">
        <f t="shared" ref="T645:T708" si="224">B645/$S$4</f>
        <v>0</v>
      </c>
      <c r="U645">
        <f t="shared" ref="U645:U708" si="225">C645/$S$4</f>
        <v>1.6124397854517615E-2</v>
      </c>
      <c r="V645">
        <f t="shared" ref="V645:V708" si="226">D645/$S$4</f>
        <v>0</v>
      </c>
      <c r="W645">
        <f t="shared" ref="W645:W708" si="227">E645/$S$4</f>
        <v>0</v>
      </c>
      <c r="X645">
        <f t="shared" ref="X645:X708" si="228">F645/$S$4</f>
        <v>9.8040088815433274E-2</v>
      </c>
      <c r="Y645">
        <f t="shared" ref="Y645:Y708" si="229">G645/$S$4</f>
        <v>0</v>
      </c>
      <c r="Z645">
        <f t="shared" ref="Z645:Z708" si="230">H645/$S$4</f>
        <v>0</v>
      </c>
      <c r="AA645">
        <f t="shared" ref="AA645:AA708" si="231">I645/$S$4</f>
        <v>0</v>
      </c>
      <c r="AB645">
        <f t="shared" ref="AB645:AB708" si="232">J645/$S$4</f>
        <v>0</v>
      </c>
      <c r="AC645">
        <f t="shared" ref="AC645:AC708" si="233">K645/$S$4</f>
        <v>8.2874248914767079E-2</v>
      </c>
      <c r="AD645">
        <f t="shared" ref="AD645:AD708" si="234">L645/$S$4</f>
        <v>0</v>
      </c>
      <c r="AE645">
        <f t="shared" ref="AE645:AE708" si="235">M645/$S$4</f>
        <v>0</v>
      </c>
      <c r="AG645">
        <f t="shared" ref="AG645:AG708" si="236">(P645-AVERAGE(P645:P1009)) / _xlfn.STDEV.S(P645:P2472)</f>
        <v>1.6891745899524648</v>
      </c>
      <c r="AH645">
        <f t="shared" ref="AH645:AH708" si="237">SUM(T645:Y645,Z645,AE645)</f>
        <v>0.11416448666995088</v>
      </c>
      <c r="AI645">
        <f t="shared" ref="AI645:AI708" si="238">(AH645-AVERAGE(AH645:AH1009))/_xlfn.STDEV.S(AH645:AH1009)</f>
        <v>-1.1406509429714937</v>
      </c>
      <c r="AK645" s="26">
        <f t="shared" ref="AK645:AK708" si="239">AVERAGEA(AH645:AH665)-AVERAGE(AH1011:AH1031, AH1376:AH1396, AH1741:AH1761)</f>
        <v>1.0262182247822105E-2</v>
      </c>
      <c r="AL645" s="26">
        <f t="shared" ref="AL645:AL708" si="240">AVERAGEA(AH645:AH700)-AVERAGE(AH1011:AH1066, AH1376:AH1430, AH1741:AH1795)</f>
        <v>-2.2261444935461089E-2</v>
      </c>
      <c r="AM645" s="26">
        <f t="shared" ref="AM645:AM708" si="241">AVERAGEA(AH645:AH757)-AVERAGE(AH1011:AH1123,AH1376:AH1487,AH1741:AH1852)</f>
        <v>-4.0042980370804615E-2</v>
      </c>
      <c r="AN645" s="26">
        <f t="shared" ref="AN645:AN708" si="242">AVERAGEA(P645:P665)-AVERAGE(P1011:P1031, P1376:P1396, P1741:P1761)</f>
        <v>1.8838095238094752</v>
      </c>
      <c r="AO645" s="26">
        <f t="shared" ref="AO645:AO708" si="243">AVERAGEA(P645:P700)-AVERAGE(P1011:P1066, P1376:P1430, P1741:P1795)</f>
        <v>-0.13138123924271383</v>
      </c>
      <c r="AP645" s="26">
        <f t="shared" ref="AP645:AP708" si="244">AVERAGEA(P645:P757)-AVERAGE(P1011:P1123,P1376:P1487,P1741:P1852)</f>
        <v>-3.0017570441953296</v>
      </c>
      <c r="AS645" s="2">
        <v>44835</v>
      </c>
      <c r="AU645">
        <v>2</v>
      </c>
      <c r="AX645">
        <v>61.21</v>
      </c>
      <c r="BC645">
        <v>12.6858</v>
      </c>
      <c r="BH645">
        <v>89.01</v>
      </c>
    </row>
    <row r="646" spans="1:60" x14ac:dyDescent="0.25">
      <c r="A646" s="2">
        <v>44855</v>
      </c>
      <c r="C646">
        <v>13.2</v>
      </c>
      <c r="F646">
        <v>54.03</v>
      </c>
      <c r="K646">
        <v>141.56280000000001</v>
      </c>
      <c r="N646">
        <v>6.8596000000000004</v>
      </c>
      <c r="O646">
        <v>102.3762</v>
      </c>
      <c r="P646">
        <v>93.16</v>
      </c>
      <c r="S646">
        <f t="shared" si="223"/>
        <v>208.7928</v>
      </c>
      <c r="T646">
        <f t="shared" si="224"/>
        <v>0</v>
      </c>
      <c r="U646">
        <f t="shared" si="225"/>
        <v>1.2374537888350728E-2</v>
      </c>
      <c r="V646">
        <f t="shared" si="226"/>
        <v>0</v>
      </c>
      <c r="W646">
        <f t="shared" si="227"/>
        <v>0</v>
      </c>
      <c r="X646">
        <f t="shared" si="228"/>
        <v>5.0651233492999236E-2</v>
      </c>
      <c r="Y646">
        <f t="shared" si="229"/>
        <v>0</v>
      </c>
      <c r="Z646">
        <f t="shared" si="230"/>
        <v>0</v>
      </c>
      <c r="AA646">
        <f t="shared" si="231"/>
        <v>0</v>
      </c>
      <c r="AB646">
        <f t="shared" si="232"/>
        <v>0</v>
      </c>
      <c r="AC646">
        <f t="shared" si="233"/>
        <v>0.13271016910462247</v>
      </c>
      <c r="AD646">
        <f t="shared" si="234"/>
        <v>0</v>
      </c>
      <c r="AE646">
        <f t="shared" si="235"/>
        <v>0</v>
      </c>
      <c r="AG646">
        <f t="shared" si="236"/>
        <v>1.6819739233131892</v>
      </c>
      <c r="AH646">
        <f t="shared" si="237"/>
        <v>6.302577138134996E-2</v>
      </c>
      <c r="AI646">
        <f t="shared" si="238"/>
        <v>-1.5893805525689966</v>
      </c>
      <c r="AK646" s="26">
        <f t="shared" si="239"/>
        <v>3.8251235245909398E-3</v>
      </c>
      <c r="AL646" s="26">
        <f t="shared" si="240"/>
        <v>-2.5358798045574171E-2</v>
      </c>
      <c r="AM646" s="26">
        <f t="shared" si="241"/>
        <v>-4.1575307525354543E-2</v>
      </c>
      <c r="AN646" s="26">
        <f t="shared" si="242"/>
        <v>1.7242857142856849</v>
      </c>
      <c r="AO646" s="26">
        <f t="shared" si="243"/>
        <v>-0.25397160068850155</v>
      </c>
      <c r="AP646" s="26">
        <f t="shared" si="244"/>
        <v>-3.1302744416351089</v>
      </c>
      <c r="AS646" s="2">
        <v>44834</v>
      </c>
      <c r="AU646">
        <v>1.7</v>
      </c>
      <c r="AX646">
        <v>174.21</v>
      </c>
      <c r="BC646">
        <v>49.312199999999997</v>
      </c>
      <c r="BF646">
        <v>-76.305599999999998</v>
      </c>
      <c r="BG646">
        <v>118.93899999999999</v>
      </c>
      <c r="BH646">
        <v>88.69</v>
      </c>
    </row>
    <row r="647" spans="1:60" x14ac:dyDescent="0.25">
      <c r="A647" s="2">
        <v>44854</v>
      </c>
      <c r="B647">
        <v>10.5</v>
      </c>
      <c r="C647">
        <v>22.4</v>
      </c>
      <c r="D647">
        <v>67.8</v>
      </c>
      <c r="E647">
        <v>18</v>
      </c>
      <c r="F647">
        <v>126.65</v>
      </c>
      <c r="G647">
        <v>0.8</v>
      </c>
      <c r="H647">
        <v>2.7</v>
      </c>
      <c r="I647">
        <v>270.22030000000001</v>
      </c>
      <c r="J647">
        <v>101.65009999999999</v>
      </c>
      <c r="K647">
        <v>66.081199999999995</v>
      </c>
      <c r="L647">
        <v>3.9887000000000001</v>
      </c>
      <c r="M647">
        <v>25.514900000000001</v>
      </c>
      <c r="N647">
        <v>2.0909</v>
      </c>
      <c r="O647">
        <v>124.12569999999999</v>
      </c>
      <c r="P647">
        <v>93.04</v>
      </c>
      <c r="S647">
        <f t="shared" si="223"/>
        <v>716.3051999999999</v>
      </c>
      <c r="T647">
        <f t="shared" si="224"/>
        <v>9.8433824111880796E-3</v>
      </c>
      <c r="U647">
        <f t="shared" si="225"/>
        <v>2.0999215810534568E-2</v>
      </c>
      <c r="V647">
        <f t="shared" si="226"/>
        <v>6.3560126426528737E-2</v>
      </c>
      <c r="W647">
        <f t="shared" si="227"/>
        <v>1.6874369847750995E-2</v>
      </c>
      <c r="X647">
        <f t="shared" si="228"/>
        <v>0.11872994117875908</v>
      </c>
      <c r="Y647">
        <f t="shared" si="229"/>
        <v>7.4997199323337759E-4</v>
      </c>
      <c r="Z647">
        <f t="shared" si="230"/>
        <v>2.5311554771626494E-3</v>
      </c>
      <c r="AA647">
        <f t="shared" si="231"/>
        <v>0.25332207125390155</v>
      </c>
      <c r="AB647">
        <f t="shared" si="232"/>
        <v>9.5293410136715176E-2</v>
      </c>
      <c r="AC647">
        <f t="shared" si="233"/>
        <v>6.194881159906683E-2</v>
      </c>
      <c r="AD647">
        <f t="shared" si="234"/>
        <v>3.7392666117624664E-3</v>
      </c>
      <c r="AE647">
        <f t="shared" si="235"/>
        <v>2.391932551268788E-2</v>
      </c>
      <c r="AG647">
        <f t="shared" si="236"/>
        <v>1.6788155256419663</v>
      </c>
      <c r="AH647">
        <f t="shared" si="237"/>
        <v>0.25720748865784537</v>
      </c>
      <c r="AI647">
        <f t="shared" si="238"/>
        <v>9.211256624498268E-2</v>
      </c>
      <c r="AK647" s="26">
        <f t="shared" si="239"/>
        <v>8.8836399777600106E-3</v>
      </c>
      <c r="AL647" s="26">
        <f t="shared" si="240"/>
        <v>-2.2342924680997855E-2</v>
      </c>
      <c r="AM647" s="26">
        <f t="shared" si="241"/>
        <v>-4.0138920582997895E-2</v>
      </c>
      <c r="AN647" s="26">
        <f t="shared" si="242"/>
        <v>1.5653968253967889</v>
      </c>
      <c r="AO647" s="26">
        <f t="shared" si="243"/>
        <v>-0.3762241824440764</v>
      </c>
      <c r="AP647" s="26">
        <f t="shared" si="244"/>
        <v>-3.2575910711927207</v>
      </c>
      <c r="AS647" s="2">
        <v>44833</v>
      </c>
      <c r="AT647">
        <v>17</v>
      </c>
      <c r="AU647">
        <v>4.2</v>
      </c>
      <c r="AV647">
        <v>12.7</v>
      </c>
      <c r="AW647">
        <v>2.6</v>
      </c>
      <c r="AX647">
        <v>129.88999999999999</v>
      </c>
      <c r="AY647">
        <v>0.9</v>
      </c>
      <c r="AZ647">
        <v>2.6</v>
      </c>
      <c r="BA647">
        <v>320.65050000000002</v>
      </c>
      <c r="BB647">
        <v>265.91609999999997</v>
      </c>
      <c r="BC647">
        <v>92.990700000000004</v>
      </c>
      <c r="BD647">
        <v>3.3386</v>
      </c>
      <c r="BE647">
        <v>33.052399999999999</v>
      </c>
      <c r="BF647">
        <v>-79.933499999999995</v>
      </c>
      <c r="BG647">
        <v>141.31630000000001</v>
      </c>
      <c r="BH647">
        <v>88.49</v>
      </c>
    </row>
    <row r="648" spans="1:60" x14ac:dyDescent="0.25">
      <c r="A648" s="2">
        <v>44853</v>
      </c>
      <c r="B648">
        <v>11.2</v>
      </c>
      <c r="C648">
        <v>1</v>
      </c>
      <c r="D648">
        <v>23.5</v>
      </c>
      <c r="E648">
        <v>4.8</v>
      </c>
      <c r="F648">
        <v>104.67</v>
      </c>
      <c r="G648">
        <v>0.9</v>
      </c>
      <c r="H648">
        <v>2.7</v>
      </c>
      <c r="I648">
        <v>285.19080000000002</v>
      </c>
      <c r="J648">
        <v>137.9408</v>
      </c>
      <c r="K648">
        <v>150.2706</v>
      </c>
      <c r="L648">
        <v>3.9156</v>
      </c>
      <c r="M648">
        <v>26.566199999999998</v>
      </c>
      <c r="N648">
        <v>12.0366</v>
      </c>
      <c r="O648">
        <v>104.2822</v>
      </c>
      <c r="P648">
        <v>92.89</v>
      </c>
      <c r="S648">
        <f t="shared" si="223"/>
        <v>752.654</v>
      </c>
      <c r="T648">
        <f t="shared" si="224"/>
        <v>1.0499607905267284E-2</v>
      </c>
      <c r="U648">
        <f t="shared" si="225"/>
        <v>9.3746499154172193E-4</v>
      </c>
      <c r="V648">
        <f t="shared" si="226"/>
        <v>2.2030427301230466E-2</v>
      </c>
      <c r="W648">
        <f t="shared" si="227"/>
        <v>4.4998319594002651E-3</v>
      </c>
      <c r="X648">
        <f t="shared" si="228"/>
        <v>9.8124460664672036E-2</v>
      </c>
      <c r="Y648">
        <f t="shared" si="229"/>
        <v>8.4371849238754971E-4</v>
      </c>
      <c r="Z648">
        <f t="shared" si="230"/>
        <v>2.5311554771626494E-3</v>
      </c>
      <c r="AA648">
        <f t="shared" si="231"/>
        <v>0.26735639090977692</v>
      </c>
      <c r="AB648">
        <f t="shared" si="232"/>
        <v>0.12931467090525836</v>
      </c>
      <c r="AC648">
        <f t="shared" si="233"/>
        <v>0.14087342675796949</v>
      </c>
      <c r="AD648">
        <f t="shared" si="234"/>
        <v>3.6707379208807665E-3</v>
      </c>
      <c r="AE648">
        <f t="shared" si="235"/>
        <v>2.4904882458295693E-2</v>
      </c>
      <c r="AG648">
        <f t="shared" si="236"/>
        <v>1.6742708940466657</v>
      </c>
      <c r="AH648">
        <f t="shared" si="237"/>
        <v>0.16437154924995764</v>
      </c>
      <c r="AI648">
        <f t="shared" si="238"/>
        <v>-0.71615793309887343</v>
      </c>
      <c r="AK648" s="26">
        <f t="shared" si="239"/>
        <v>5.0909854787491438E-3</v>
      </c>
      <c r="AL648" s="26">
        <f t="shared" si="240"/>
        <v>-2.4270626339311985E-2</v>
      </c>
      <c r="AM648" s="26">
        <f t="shared" si="241"/>
        <v>-4.1571431237239997E-2</v>
      </c>
      <c r="AN648" s="26">
        <f t="shared" si="242"/>
        <v>1.4049206349206003</v>
      </c>
      <c r="AO648" s="26">
        <f t="shared" si="243"/>
        <v>-0.49861445783132297</v>
      </c>
      <c r="AP648" s="26">
        <f t="shared" si="244"/>
        <v>-3.3842517619628154</v>
      </c>
      <c r="AS648" s="2">
        <v>44832</v>
      </c>
      <c r="AT648">
        <v>16.3</v>
      </c>
      <c r="AU648">
        <v>18.5</v>
      </c>
      <c r="AV648">
        <v>1.5</v>
      </c>
      <c r="AW648">
        <v>2.2000000000000002</v>
      </c>
      <c r="AX648">
        <v>94.94</v>
      </c>
      <c r="AY648">
        <v>0.5</v>
      </c>
      <c r="AZ648">
        <v>2.5</v>
      </c>
      <c r="BA648">
        <v>315.95409999999998</v>
      </c>
      <c r="BB648">
        <v>245.34460000000001</v>
      </c>
      <c r="BC648">
        <v>89.803600000000003</v>
      </c>
      <c r="BD648">
        <v>3.2850000000000001</v>
      </c>
      <c r="BE648">
        <v>28.900099999999998</v>
      </c>
      <c r="BF648">
        <v>-84.813699999999997</v>
      </c>
      <c r="BG648">
        <v>179.35890000000001</v>
      </c>
      <c r="BH648">
        <v>88.22</v>
      </c>
    </row>
    <row r="649" spans="1:60" x14ac:dyDescent="0.25">
      <c r="A649" s="2">
        <v>44852</v>
      </c>
      <c r="B649">
        <v>11.2</v>
      </c>
      <c r="C649">
        <v>0.7</v>
      </c>
      <c r="D649">
        <v>51.8</v>
      </c>
      <c r="E649">
        <v>8.6</v>
      </c>
      <c r="F649">
        <v>92.1</v>
      </c>
      <c r="G649">
        <v>0.8</v>
      </c>
      <c r="H649">
        <v>3</v>
      </c>
      <c r="I649">
        <v>284.75619999999998</v>
      </c>
      <c r="J649">
        <v>185.62309999999999</v>
      </c>
      <c r="K649">
        <v>137.4512</v>
      </c>
      <c r="L649">
        <v>3.3990999999999998</v>
      </c>
      <c r="M649">
        <v>30.663699999999999</v>
      </c>
      <c r="N649">
        <v>7.7206000000000001</v>
      </c>
      <c r="O649">
        <v>103.38930000000001</v>
      </c>
      <c r="P649">
        <v>92.76</v>
      </c>
      <c r="S649">
        <f t="shared" si="223"/>
        <v>810.09329999999989</v>
      </c>
      <c r="T649">
        <f t="shared" si="224"/>
        <v>1.0499607905267284E-2</v>
      </c>
      <c r="U649">
        <f t="shared" si="225"/>
        <v>6.5622549407920526E-4</v>
      </c>
      <c r="V649">
        <f t="shared" si="226"/>
        <v>4.8560686561861195E-2</v>
      </c>
      <c r="W649">
        <f t="shared" si="227"/>
        <v>8.0621989272588075E-3</v>
      </c>
      <c r="X649">
        <f t="shared" si="228"/>
        <v>8.6340525720992586E-2</v>
      </c>
      <c r="Y649">
        <f t="shared" si="229"/>
        <v>7.4997199323337759E-4</v>
      </c>
      <c r="Z649">
        <f t="shared" si="230"/>
        <v>2.8123949746251659E-3</v>
      </c>
      <c r="AA649">
        <f t="shared" si="231"/>
        <v>0.26694896862445283</v>
      </c>
      <c r="AB649">
        <f t="shared" si="232"/>
        <v>0.1740151578714482</v>
      </c>
      <c r="AC649">
        <f t="shared" si="233"/>
        <v>0.12885568804539951</v>
      </c>
      <c r="AD649">
        <f t="shared" si="234"/>
        <v>3.1865372527494669E-3</v>
      </c>
      <c r="AE649">
        <f t="shared" si="235"/>
        <v>2.8746145261137897E-2</v>
      </c>
      <c r="AG649">
        <f t="shared" si="236"/>
        <v>1.6706214813833489</v>
      </c>
      <c r="AH649">
        <f t="shared" si="237"/>
        <v>0.1864277568384555</v>
      </c>
      <c r="AI649">
        <f t="shared" si="238"/>
        <v>-0.52437070815078102</v>
      </c>
      <c r="AK649" s="26">
        <f t="shared" si="239"/>
        <v>4.8870555942557292E-3</v>
      </c>
      <c r="AL649" s="26">
        <f t="shared" si="240"/>
        <v>-2.4551382421092144E-2</v>
      </c>
      <c r="AM649" s="26">
        <f t="shared" si="241"/>
        <v>-4.4210885708913961E-2</v>
      </c>
      <c r="AN649" s="26">
        <f t="shared" si="242"/>
        <v>1.2460317460317327</v>
      </c>
      <c r="AO649" s="26">
        <f t="shared" si="243"/>
        <v>-0.62060240963857893</v>
      </c>
      <c r="AP649" s="26">
        <f t="shared" si="244"/>
        <v>-3.5092184219618048</v>
      </c>
      <c r="AS649" s="2">
        <v>44831</v>
      </c>
      <c r="AT649">
        <v>14.3</v>
      </c>
      <c r="AU649">
        <v>20.9</v>
      </c>
      <c r="AV649">
        <v>35.200000000000003</v>
      </c>
      <c r="AW649">
        <v>8.1</v>
      </c>
      <c r="AX649">
        <v>92.58</v>
      </c>
      <c r="AY649">
        <v>0.2</v>
      </c>
      <c r="AZ649">
        <v>2.5</v>
      </c>
      <c r="BA649">
        <v>283.98779999999999</v>
      </c>
      <c r="BB649">
        <v>199.6165</v>
      </c>
      <c r="BC649">
        <v>65.557100000000005</v>
      </c>
      <c r="BD649">
        <v>3.2826</v>
      </c>
      <c r="BE649">
        <v>26.7761</v>
      </c>
      <c r="BF649">
        <v>-65.296899999999994</v>
      </c>
      <c r="BG649">
        <v>152.9623</v>
      </c>
      <c r="BH649">
        <v>88.14</v>
      </c>
    </row>
    <row r="650" spans="1:60" x14ac:dyDescent="0.25">
      <c r="A650" s="2">
        <v>44851</v>
      </c>
      <c r="B650">
        <v>11.4</v>
      </c>
      <c r="C650">
        <v>3.5</v>
      </c>
      <c r="D650">
        <v>47.9</v>
      </c>
      <c r="E650">
        <v>11</v>
      </c>
      <c r="F650">
        <v>141.41</v>
      </c>
      <c r="G650">
        <v>0.7</v>
      </c>
      <c r="H650">
        <v>3</v>
      </c>
      <c r="I650">
        <v>317.53609999999998</v>
      </c>
      <c r="J650">
        <v>96.694699999999997</v>
      </c>
      <c r="K650">
        <v>76.873000000000005</v>
      </c>
      <c r="L650">
        <v>3.1097000000000001</v>
      </c>
      <c r="M650">
        <v>26.008700000000001</v>
      </c>
      <c r="N650">
        <v>0.72370000000000001</v>
      </c>
      <c r="O650">
        <v>125.3421</v>
      </c>
      <c r="P650">
        <v>92.6</v>
      </c>
      <c r="S650">
        <f t="shared" si="223"/>
        <v>739.1321999999999</v>
      </c>
      <c r="T650">
        <f t="shared" si="224"/>
        <v>1.0687100903575631E-2</v>
      </c>
      <c r="U650">
        <f t="shared" si="225"/>
        <v>3.2811274703960268E-3</v>
      </c>
      <c r="V650">
        <f t="shared" si="226"/>
        <v>4.4904573094848479E-2</v>
      </c>
      <c r="W650">
        <f t="shared" si="227"/>
        <v>1.0312114906958941E-2</v>
      </c>
      <c r="X650">
        <f t="shared" si="228"/>
        <v>0.13256692445391488</v>
      </c>
      <c r="Y650">
        <f t="shared" si="229"/>
        <v>6.5622549407920526E-4</v>
      </c>
      <c r="Z650">
        <f t="shared" si="230"/>
        <v>2.8123949746251659E-3</v>
      </c>
      <c r="AA650">
        <f t="shared" si="231"/>
        <v>0.29767897730069132</v>
      </c>
      <c r="AB650">
        <f t="shared" si="232"/>
        <v>9.0647896117629329E-2</v>
      </c>
      <c r="AC650">
        <f t="shared" si="233"/>
        <v>7.2065746294786792E-2</v>
      </c>
      <c r="AD650">
        <f t="shared" si="234"/>
        <v>2.9152348841972927E-3</v>
      </c>
      <c r="AE650">
        <f t="shared" si="235"/>
        <v>2.4382245725511183E-2</v>
      </c>
      <c r="AG650">
        <f t="shared" si="236"/>
        <v>1.6655894969843237</v>
      </c>
      <c r="AH650">
        <f t="shared" si="237"/>
        <v>0.22960270702390947</v>
      </c>
      <c r="AI650">
        <f t="shared" si="238"/>
        <v>-0.14848081569322238</v>
      </c>
      <c r="AK650" s="26">
        <f t="shared" si="239"/>
        <v>4.445409884581808E-3</v>
      </c>
      <c r="AL650" s="26">
        <f t="shared" si="240"/>
        <v>-2.4741416054407467E-2</v>
      </c>
      <c r="AM650" s="26">
        <f t="shared" si="241"/>
        <v>-4.5780250983343485E-2</v>
      </c>
      <c r="AN650" s="26">
        <f t="shared" si="242"/>
        <v>1.0958730158730106</v>
      </c>
      <c r="AO650" s="26">
        <f t="shared" si="243"/>
        <v>-0.74213425129090638</v>
      </c>
      <c r="AP650" s="26">
        <f t="shared" si="244"/>
        <v>-3.6329701993816315</v>
      </c>
      <c r="AS650" s="2">
        <v>44830</v>
      </c>
      <c r="AT650">
        <v>13.5</v>
      </c>
      <c r="AU650">
        <v>2.6</v>
      </c>
      <c r="AV650">
        <v>68.900000000000006</v>
      </c>
      <c r="AW650">
        <v>19.100000000000001</v>
      </c>
      <c r="AX650">
        <v>129.27000000000001</v>
      </c>
      <c r="AY650">
        <v>0.1</v>
      </c>
      <c r="AZ650">
        <v>2.6</v>
      </c>
      <c r="BA650">
        <v>281.6474</v>
      </c>
      <c r="BB650">
        <v>143.43369999999999</v>
      </c>
      <c r="BC650">
        <v>31.149000000000001</v>
      </c>
      <c r="BD650">
        <v>3.3089</v>
      </c>
      <c r="BE650">
        <v>14.5967</v>
      </c>
      <c r="BF650">
        <v>-57.697299999999998</v>
      </c>
      <c r="BG650">
        <v>141.80510000000001</v>
      </c>
      <c r="BH650">
        <v>87.94</v>
      </c>
    </row>
    <row r="651" spans="1:60" x14ac:dyDescent="0.25">
      <c r="A651" s="2">
        <v>44850</v>
      </c>
      <c r="B651">
        <v>11.4</v>
      </c>
      <c r="C651">
        <v>2.2999999999999998</v>
      </c>
      <c r="D651">
        <v>60.7</v>
      </c>
      <c r="E651">
        <v>18</v>
      </c>
      <c r="F651">
        <v>127.23</v>
      </c>
      <c r="G651">
        <v>0.7</v>
      </c>
      <c r="H651">
        <v>3</v>
      </c>
      <c r="I651">
        <v>261.2131</v>
      </c>
      <c r="J651">
        <v>62.418399999999998</v>
      </c>
      <c r="K651">
        <v>36.815800000000003</v>
      </c>
      <c r="L651">
        <v>3.0948000000000002</v>
      </c>
      <c r="M651">
        <v>19.024999999999999</v>
      </c>
      <c r="P651">
        <v>92.39</v>
      </c>
      <c r="S651">
        <f t="shared" si="223"/>
        <v>605.89709999999991</v>
      </c>
      <c r="T651">
        <f t="shared" si="224"/>
        <v>1.0687100903575631E-2</v>
      </c>
      <c r="U651">
        <f t="shared" si="225"/>
        <v>2.1561694805459601E-3</v>
      </c>
      <c r="V651">
        <f t="shared" si="226"/>
        <v>5.6904124986582524E-2</v>
      </c>
      <c r="W651">
        <f t="shared" si="227"/>
        <v>1.6874369847750995E-2</v>
      </c>
      <c r="X651">
        <f t="shared" si="228"/>
        <v>0.11927367087385328</v>
      </c>
      <c r="Y651">
        <f t="shared" si="229"/>
        <v>6.5622549407920526E-4</v>
      </c>
      <c r="Z651">
        <f t="shared" si="230"/>
        <v>2.8123949746251659E-3</v>
      </c>
      <c r="AA651">
        <f t="shared" si="231"/>
        <v>0.24487813658208696</v>
      </c>
      <c r="AB651">
        <f t="shared" si="232"/>
        <v>5.8515064828047816E-2</v>
      </c>
      <c r="AC651">
        <f t="shared" si="233"/>
        <v>3.4513523635601728E-2</v>
      </c>
      <c r="AD651">
        <f t="shared" si="234"/>
        <v>2.901266655823321E-3</v>
      </c>
      <c r="AE651">
        <f t="shared" si="235"/>
        <v>1.7835271464081259E-2</v>
      </c>
      <c r="AG651">
        <f t="shared" si="236"/>
        <v>1.6582507195952596</v>
      </c>
      <c r="AH651">
        <f t="shared" si="237"/>
        <v>0.22719932802509399</v>
      </c>
      <c r="AI651">
        <f t="shared" si="238"/>
        <v>-0.16763734826257487</v>
      </c>
      <c r="AK651" s="26">
        <f t="shared" si="239"/>
        <v>2.2450590182201691E-3</v>
      </c>
      <c r="AL651" s="26">
        <f t="shared" si="240"/>
        <v>-2.6902998770033937E-2</v>
      </c>
      <c r="AM651" s="26">
        <f t="shared" si="241"/>
        <v>-4.7409391540797374E-2</v>
      </c>
      <c r="AN651" s="26">
        <f t="shared" si="242"/>
        <v>0.95634920634920206</v>
      </c>
      <c r="AO651" s="26">
        <f t="shared" si="243"/>
        <v>-0.85977839931156552</v>
      </c>
      <c r="AP651" s="26">
        <f t="shared" si="244"/>
        <v>-3.7542234580114382</v>
      </c>
      <c r="AS651" s="2">
        <v>44829</v>
      </c>
      <c r="AT651">
        <v>12.8</v>
      </c>
      <c r="AU651">
        <v>27</v>
      </c>
      <c r="AV651">
        <v>26.9</v>
      </c>
      <c r="AW651">
        <v>3.2</v>
      </c>
      <c r="AX651">
        <v>111.31</v>
      </c>
      <c r="AY651">
        <v>0.1</v>
      </c>
      <c r="AZ651">
        <v>2</v>
      </c>
      <c r="BA651">
        <v>297.8349</v>
      </c>
      <c r="BB651">
        <v>175.185</v>
      </c>
      <c r="BC651">
        <v>30.582799999999999</v>
      </c>
      <c r="BD651">
        <v>3.2757000000000001</v>
      </c>
      <c r="BE651">
        <v>17.470099999999999</v>
      </c>
      <c r="BH651">
        <v>87.72</v>
      </c>
    </row>
    <row r="652" spans="1:60" x14ac:dyDescent="0.25">
      <c r="A652" s="2">
        <v>44849</v>
      </c>
      <c r="C652">
        <v>2.2999999999999998</v>
      </c>
      <c r="F652">
        <v>76.67</v>
      </c>
      <c r="K652">
        <v>42.016399999999997</v>
      </c>
      <c r="P652">
        <v>92.11</v>
      </c>
      <c r="S652">
        <f t="shared" si="223"/>
        <v>120.9864</v>
      </c>
      <c r="T652">
        <f t="shared" si="224"/>
        <v>0</v>
      </c>
      <c r="U652">
        <f t="shared" si="225"/>
        <v>2.1561694805459601E-3</v>
      </c>
      <c r="V652">
        <f t="shared" si="226"/>
        <v>0</v>
      </c>
      <c r="W652">
        <f t="shared" si="227"/>
        <v>0</v>
      </c>
      <c r="X652">
        <f t="shared" si="228"/>
        <v>7.1875440901503815E-2</v>
      </c>
      <c r="Y652">
        <f t="shared" si="229"/>
        <v>0</v>
      </c>
      <c r="Z652">
        <f t="shared" si="230"/>
        <v>0</v>
      </c>
      <c r="AA652">
        <f t="shared" si="231"/>
        <v>0</v>
      </c>
      <c r="AB652">
        <f t="shared" si="232"/>
        <v>0</v>
      </c>
      <c r="AC652">
        <f t="shared" si="233"/>
        <v>3.9388904070613601E-2</v>
      </c>
      <c r="AD652">
        <f t="shared" si="234"/>
        <v>0</v>
      </c>
      <c r="AE652">
        <f t="shared" si="235"/>
        <v>0</v>
      </c>
      <c r="AG652">
        <f t="shared" si="236"/>
        <v>1.6476951653430385</v>
      </c>
      <c r="AH652">
        <f t="shared" si="237"/>
        <v>7.4031610382049778E-2</v>
      </c>
      <c r="AI652">
        <f t="shared" si="238"/>
        <v>-1.5010591136760274</v>
      </c>
      <c r="AK652" s="26">
        <f t="shared" si="239"/>
        <v>-1.7818739343357926E-3</v>
      </c>
      <c r="AL652" s="26">
        <f t="shared" si="240"/>
        <v>-2.9409451600946879E-2</v>
      </c>
      <c r="AM652" s="26">
        <f t="shared" si="241"/>
        <v>-4.8773743530014679E-2</v>
      </c>
      <c r="AN652" s="26">
        <f t="shared" si="242"/>
        <v>0.83063492063492106</v>
      </c>
      <c r="AO652" s="26">
        <f t="shared" si="243"/>
        <v>-0.97438683304650908</v>
      </c>
      <c r="AP652" s="26">
        <f t="shared" si="244"/>
        <v>-3.8746178600161443</v>
      </c>
      <c r="AS652" s="2">
        <v>44828</v>
      </c>
      <c r="AU652">
        <v>22.9</v>
      </c>
      <c r="AX652">
        <v>105.17</v>
      </c>
      <c r="BC652">
        <v>30.503299999999999</v>
      </c>
      <c r="BH652">
        <v>87.4</v>
      </c>
    </row>
    <row r="653" spans="1:60" x14ac:dyDescent="0.25">
      <c r="A653" s="2">
        <v>44848</v>
      </c>
      <c r="C653">
        <v>1.3</v>
      </c>
      <c r="F653">
        <v>76.03</v>
      </c>
      <c r="K653">
        <v>128.33070000000001</v>
      </c>
      <c r="N653">
        <v>6.2126999999999999</v>
      </c>
      <c r="O653">
        <v>154.57660000000001</v>
      </c>
      <c r="P653">
        <v>91.82</v>
      </c>
      <c r="S653">
        <f t="shared" si="223"/>
        <v>205.66070000000002</v>
      </c>
      <c r="T653">
        <f t="shared" si="224"/>
        <v>0</v>
      </c>
      <c r="U653">
        <f t="shared" si="225"/>
        <v>1.2187044890042385E-3</v>
      </c>
      <c r="V653">
        <f t="shared" si="226"/>
        <v>0</v>
      </c>
      <c r="W653">
        <f t="shared" si="227"/>
        <v>0</v>
      </c>
      <c r="X653">
        <f t="shared" si="228"/>
        <v>7.1275463306917114E-2</v>
      </c>
      <c r="Y653">
        <f t="shared" si="229"/>
        <v>0</v>
      </c>
      <c r="Z653">
        <f t="shared" si="230"/>
        <v>0</v>
      </c>
      <c r="AA653">
        <f t="shared" si="231"/>
        <v>0</v>
      </c>
      <c r="AB653">
        <f t="shared" si="232"/>
        <v>0</v>
      </c>
      <c r="AC653">
        <f t="shared" si="233"/>
        <v>0.12030553859004325</v>
      </c>
      <c r="AD653">
        <f t="shared" si="234"/>
        <v>0</v>
      </c>
      <c r="AE653">
        <f t="shared" si="235"/>
        <v>0</v>
      </c>
      <c r="AG653">
        <f t="shared" si="236"/>
        <v>1.6366364387847807</v>
      </c>
      <c r="AH653">
        <f t="shared" si="237"/>
        <v>7.2494167795921355E-2</v>
      </c>
      <c r="AI653">
        <f t="shared" si="238"/>
        <v>-1.5237445780043524</v>
      </c>
      <c r="AK653" s="26">
        <f t="shared" si="239"/>
        <v>7.7035813669523723E-6</v>
      </c>
      <c r="AL653" s="26">
        <f t="shared" si="240"/>
        <v>-3.1397867610666375E-2</v>
      </c>
      <c r="AM653" s="26">
        <f t="shared" si="241"/>
        <v>-4.8028873478703604E-2</v>
      </c>
      <c r="AN653" s="26">
        <f t="shared" si="242"/>
        <v>0.71269841269840128</v>
      </c>
      <c r="AO653" s="26">
        <f t="shared" si="243"/>
        <v>-1.0849268502582134</v>
      </c>
      <c r="AP653" s="26">
        <f t="shared" si="244"/>
        <v>-3.9932366785916287</v>
      </c>
      <c r="AS653" s="2">
        <v>44827</v>
      </c>
      <c r="AU653">
        <v>45.4</v>
      </c>
      <c r="AX653">
        <v>201.51</v>
      </c>
      <c r="BC653">
        <v>85.787400000000005</v>
      </c>
      <c r="BF653">
        <v>-87.8887</v>
      </c>
      <c r="BG653">
        <v>134.8974</v>
      </c>
      <c r="BH653">
        <v>87.09</v>
      </c>
    </row>
    <row r="654" spans="1:60" x14ac:dyDescent="0.25">
      <c r="A654" s="2">
        <v>44847</v>
      </c>
      <c r="B654">
        <v>13.5</v>
      </c>
      <c r="C654">
        <v>25.4</v>
      </c>
      <c r="D654">
        <v>24.6</v>
      </c>
      <c r="E654">
        <v>5.3</v>
      </c>
      <c r="F654">
        <v>82.19</v>
      </c>
      <c r="G654">
        <v>0.9</v>
      </c>
      <c r="H654">
        <v>3.3</v>
      </c>
      <c r="I654">
        <v>328.39150000000001</v>
      </c>
      <c r="J654">
        <v>229.4495</v>
      </c>
      <c r="K654">
        <v>130.32130000000001</v>
      </c>
      <c r="L654">
        <v>3.1760999999999999</v>
      </c>
      <c r="M654">
        <v>32.523499999999999</v>
      </c>
      <c r="N654">
        <v>-6.8277999999999999</v>
      </c>
      <c r="O654">
        <v>168.75110000000001</v>
      </c>
      <c r="P654">
        <v>91.71</v>
      </c>
      <c r="S654">
        <f t="shared" si="223"/>
        <v>879.05190000000005</v>
      </c>
      <c r="T654">
        <f t="shared" si="224"/>
        <v>1.2655777385813246E-2</v>
      </c>
      <c r="U654">
        <f t="shared" si="225"/>
        <v>2.3811610785159736E-2</v>
      </c>
      <c r="V654">
        <f t="shared" si="226"/>
        <v>2.306163879192636E-2</v>
      </c>
      <c r="W654">
        <f t="shared" si="227"/>
        <v>4.9685644551711256E-3</v>
      </c>
      <c r="X654">
        <f t="shared" si="228"/>
        <v>7.7050247654814122E-2</v>
      </c>
      <c r="Y654">
        <f t="shared" si="229"/>
        <v>8.4371849238754971E-4</v>
      </c>
      <c r="Z654">
        <f t="shared" si="230"/>
        <v>3.0936344720876819E-3</v>
      </c>
      <c r="AA654">
        <f t="shared" si="231"/>
        <v>0.30785553476987337</v>
      </c>
      <c r="AB654">
        <f t="shared" si="232"/>
        <v>0.21510087357675231</v>
      </c>
      <c r="AC654">
        <f t="shared" si="233"/>
        <v>0.12217165640220622</v>
      </c>
      <c r="AD654">
        <f t="shared" si="234"/>
        <v>2.9774825596356629E-3</v>
      </c>
      <c r="AE654">
        <f t="shared" si="235"/>
        <v>3.0489642652407192E-2</v>
      </c>
      <c r="AG654">
        <f t="shared" si="236"/>
        <v>1.6337140011797167</v>
      </c>
      <c r="AH654">
        <f t="shared" si="237"/>
        <v>0.17597483468976702</v>
      </c>
      <c r="AI654">
        <f t="shared" si="238"/>
        <v>-0.62432163650430206</v>
      </c>
      <c r="AK654" s="26">
        <f t="shared" si="239"/>
        <v>3.6738642922255205E-3</v>
      </c>
      <c r="AL654" s="26">
        <f t="shared" si="240"/>
        <v>-3.1327333293305254E-2</v>
      </c>
      <c r="AM654" s="26">
        <f t="shared" si="241"/>
        <v>-4.6314599171783655E-2</v>
      </c>
      <c r="AN654" s="26">
        <f t="shared" si="242"/>
        <v>0.60174603174598928</v>
      </c>
      <c r="AO654" s="26">
        <f t="shared" si="243"/>
        <v>-1.1932056798623591</v>
      </c>
      <c r="AP654" s="26">
        <f t="shared" si="244"/>
        <v>-4.1094773904597872</v>
      </c>
      <c r="AS654" s="2">
        <v>44826</v>
      </c>
      <c r="AT654">
        <v>14.3</v>
      </c>
      <c r="AU654">
        <v>102.6</v>
      </c>
      <c r="AV654">
        <v>8.3000000000000007</v>
      </c>
      <c r="AW654">
        <v>0.9</v>
      </c>
      <c r="AX654">
        <v>230.88</v>
      </c>
      <c r="AY654">
        <v>0.5</v>
      </c>
      <c r="AZ654">
        <v>2.2000000000000002</v>
      </c>
      <c r="BA654">
        <v>325.5455</v>
      </c>
      <c r="BB654">
        <v>233.4058</v>
      </c>
      <c r="BC654">
        <v>77.102199999999996</v>
      </c>
      <c r="BD654">
        <v>3.3351000000000002</v>
      </c>
      <c r="BE654">
        <v>26.892199999999999</v>
      </c>
      <c r="BF654">
        <v>-48.8386</v>
      </c>
      <c r="BG654">
        <v>180.166</v>
      </c>
      <c r="BH654">
        <v>86.86</v>
      </c>
    </row>
    <row r="655" spans="1:60" x14ac:dyDescent="0.25">
      <c r="A655" s="2">
        <v>44846</v>
      </c>
      <c r="B655">
        <v>14.4</v>
      </c>
      <c r="C655">
        <v>18.100000000000001</v>
      </c>
      <c r="D655">
        <v>21.5</v>
      </c>
      <c r="E655">
        <v>2.6</v>
      </c>
      <c r="F655">
        <v>143.86000000000001</v>
      </c>
      <c r="G655">
        <v>0.9</v>
      </c>
      <c r="H655">
        <v>3.1</v>
      </c>
      <c r="I655">
        <v>313.84449999999998</v>
      </c>
      <c r="J655">
        <v>227.96459999999999</v>
      </c>
      <c r="K655">
        <v>128.82740000000001</v>
      </c>
      <c r="L655">
        <v>3.3170000000000002</v>
      </c>
      <c r="M655">
        <v>29.890599999999999</v>
      </c>
      <c r="N655">
        <v>-13.614599999999999</v>
      </c>
      <c r="O655">
        <v>165.4308</v>
      </c>
      <c r="P655">
        <v>91.6</v>
      </c>
      <c r="S655">
        <f t="shared" si="223"/>
        <v>908.30409999999995</v>
      </c>
      <c r="T655">
        <f t="shared" si="224"/>
        <v>1.3499495878200795E-2</v>
      </c>
      <c r="U655">
        <f t="shared" si="225"/>
        <v>1.696811634690517E-2</v>
      </c>
      <c r="V655">
        <f t="shared" si="226"/>
        <v>2.0155497318147021E-2</v>
      </c>
      <c r="W655">
        <f t="shared" si="227"/>
        <v>2.437408978008477E-3</v>
      </c>
      <c r="X655">
        <f t="shared" si="228"/>
        <v>0.13486371368319214</v>
      </c>
      <c r="Y655">
        <f t="shared" si="229"/>
        <v>8.4371849238754971E-4</v>
      </c>
      <c r="Z655">
        <f t="shared" si="230"/>
        <v>2.9061414737793379E-3</v>
      </c>
      <c r="AA655">
        <f t="shared" si="231"/>
        <v>0.29421823153791593</v>
      </c>
      <c r="AB655">
        <f t="shared" si="232"/>
        <v>0.21370883181081202</v>
      </c>
      <c r="AC655">
        <f t="shared" si="233"/>
        <v>0.12077117745134204</v>
      </c>
      <c r="AD655">
        <f t="shared" si="234"/>
        <v>3.1095713769438917E-3</v>
      </c>
      <c r="AE655">
        <f t="shared" si="235"/>
        <v>2.8021391076176991E-2</v>
      </c>
      <c r="AG655">
        <f t="shared" si="236"/>
        <v>1.6307698326615234</v>
      </c>
      <c r="AH655">
        <f t="shared" si="237"/>
        <v>0.21969548324679747</v>
      </c>
      <c r="AI655">
        <f t="shared" si="238"/>
        <v>-0.24193276708513048</v>
      </c>
      <c r="AK655" s="26">
        <f t="shared" si="239"/>
        <v>9.8777233906718054E-3</v>
      </c>
      <c r="AL655" s="26">
        <f t="shared" si="240"/>
        <v>-3.3957888235961103E-2</v>
      </c>
      <c r="AM655" s="26">
        <f t="shared" si="241"/>
        <v>-4.7770305286299053E-2</v>
      </c>
      <c r="AN655" s="26">
        <f t="shared" si="242"/>
        <v>0.49555555555555486</v>
      </c>
      <c r="AO655" s="26">
        <f t="shared" si="243"/>
        <v>-1.2995611015490738</v>
      </c>
      <c r="AP655" s="26">
        <f t="shared" si="244"/>
        <v>-4.2236984114097567</v>
      </c>
      <c r="AS655" s="2">
        <v>44825</v>
      </c>
      <c r="AT655">
        <v>14.9</v>
      </c>
      <c r="AU655">
        <v>24.5</v>
      </c>
      <c r="AV655">
        <v>1.4</v>
      </c>
      <c r="AW655">
        <v>1</v>
      </c>
      <c r="AX655">
        <v>215.41</v>
      </c>
      <c r="AY655">
        <v>0.5</v>
      </c>
      <c r="AZ655">
        <v>2.5</v>
      </c>
      <c r="BA655">
        <v>312.64839999999998</v>
      </c>
      <c r="BB655">
        <v>226.1386</v>
      </c>
      <c r="BC655">
        <v>101.9568</v>
      </c>
      <c r="BD655">
        <v>4.7961999999999998</v>
      </c>
      <c r="BE655">
        <v>26.5624</v>
      </c>
      <c r="BF655">
        <v>-40.936100000000003</v>
      </c>
      <c r="BG655">
        <v>194.893</v>
      </c>
      <c r="BH655">
        <v>86.64</v>
      </c>
    </row>
    <row r="656" spans="1:60" x14ac:dyDescent="0.25">
      <c r="A656" s="2">
        <v>44845</v>
      </c>
      <c r="B656">
        <v>13.9</v>
      </c>
      <c r="C656">
        <v>2.7</v>
      </c>
      <c r="D656">
        <v>41.1</v>
      </c>
      <c r="E656">
        <v>7.8</v>
      </c>
      <c r="F656">
        <v>136.13</v>
      </c>
      <c r="G656">
        <v>0.8</v>
      </c>
      <c r="H656">
        <v>3</v>
      </c>
      <c r="I656">
        <v>323.50240000000002</v>
      </c>
      <c r="J656">
        <v>194.7739</v>
      </c>
      <c r="K656">
        <v>102.31399999999999</v>
      </c>
      <c r="L656">
        <v>3.2989999999999999</v>
      </c>
      <c r="M656">
        <v>29.0656</v>
      </c>
      <c r="N656">
        <v>-2.7614000000000001</v>
      </c>
      <c r="O656">
        <v>178.7131</v>
      </c>
      <c r="P656">
        <v>91.47</v>
      </c>
      <c r="S656">
        <f t="shared" si="223"/>
        <v>858.38490000000002</v>
      </c>
      <c r="T656">
        <f t="shared" si="224"/>
        <v>1.3030763382429936E-2</v>
      </c>
      <c r="U656">
        <f t="shared" si="225"/>
        <v>2.5311554771626494E-3</v>
      </c>
      <c r="V656">
        <f t="shared" si="226"/>
        <v>3.8529811152364771E-2</v>
      </c>
      <c r="W656">
        <f t="shared" si="227"/>
        <v>7.3122269340254306E-3</v>
      </c>
      <c r="X656">
        <f t="shared" si="228"/>
        <v>0.12761710929857459</v>
      </c>
      <c r="Y656">
        <f t="shared" si="229"/>
        <v>7.4997199323337759E-4</v>
      </c>
      <c r="Z656">
        <f t="shared" si="230"/>
        <v>2.8123949746251659E-3</v>
      </c>
      <c r="AA656">
        <f t="shared" si="231"/>
        <v>0.30327217467972678</v>
      </c>
      <c r="AB656">
        <f t="shared" si="232"/>
        <v>0.1825937125160482</v>
      </c>
      <c r="AC656">
        <f t="shared" si="233"/>
        <v>9.5915793144599734E-2</v>
      </c>
      <c r="AD656">
        <f t="shared" si="234"/>
        <v>3.0926970070961407E-3</v>
      </c>
      <c r="AE656">
        <f t="shared" si="235"/>
        <v>2.7247982458155073E-2</v>
      </c>
      <c r="AG656">
        <f t="shared" si="236"/>
        <v>1.6268869607251597</v>
      </c>
      <c r="AH656">
        <f t="shared" si="237"/>
        <v>0.21983141567057099</v>
      </c>
      <c r="AI656">
        <f t="shared" si="238"/>
        <v>-0.23984224202393817</v>
      </c>
      <c r="AK656" s="26">
        <f t="shared" si="239"/>
        <v>9.2091947846083544E-3</v>
      </c>
      <c r="AL656" s="26">
        <f t="shared" si="240"/>
        <v>-3.4891478842819401E-2</v>
      </c>
      <c r="AM656" s="26">
        <f t="shared" si="241"/>
        <v>-4.6455805737961653E-2</v>
      </c>
      <c r="AN656" s="26">
        <f t="shared" si="242"/>
        <v>0.38841269841267945</v>
      </c>
      <c r="AO656" s="26">
        <f t="shared" si="243"/>
        <v>-1.404731067125681</v>
      </c>
      <c r="AP656" s="26">
        <f t="shared" si="244"/>
        <v>-4.3370022802541399</v>
      </c>
      <c r="AS656" s="2">
        <v>44824</v>
      </c>
      <c r="AT656">
        <v>14.8</v>
      </c>
      <c r="AU656">
        <v>21.3</v>
      </c>
      <c r="AV656">
        <v>29.2</v>
      </c>
      <c r="AW656">
        <v>4.0999999999999996</v>
      </c>
      <c r="AX656">
        <v>159.44</v>
      </c>
      <c r="AY656">
        <v>0.5</v>
      </c>
      <c r="AZ656">
        <v>2.4</v>
      </c>
      <c r="BA656">
        <v>305.36290000000002</v>
      </c>
      <c r="BB656">
        <v>213.82329999999999</v>
      </c>
      <c r="BC656">
        <v>95.567700000000002</v>
      </c>
      <c r="BD656">
        <v>5.9432999999999998</v>
      </c>
      <c r="BE656">
        <v>23.5413</v>
      </c>
      <c r="BF656">
        <v>-71.979500000000002</v>
      </c>
      <c r="BG656">
        <v>172.57730000000001</v>
      </c>
      <c r="BH656">
        <v>86.43</v>
      </c>
    </row>
    <row r="657" spans="1:60" x14ac:dyDescent="0.25">
      <c r="A657" s="2">
        <v>44844</v>
      </c>
      <c r="B657">
        <v>13.9</v>
      </c>
      <c r="C657">
        <v>5.3</v>
      </c>
      <c r="D657">
        <v>60.4</v>
      </c>
      <c r="E657">
        <v>14.6</v>
      </c>
      <c r="F657">
        <v>158.31</v>
      </c>
      <c r="G657">
        <v>0.7</v>
      </c>
      <c r="H657">
        <v>2.7</v>
      </c>
      <c r="I657">
        <v>312.64260000000002</v>
      </c>
      <c r="J657">
        <v>137.37870000000001</v>
      </c>
      <c r="K657">
        <v>45.347499999999997</v>
      </c>
      <c r="L657">
        <v>3.2164000000000001</v>
      </c>
      <c r="M657">
        <v>26.908200000000001</v>
      </c>
      <c r="N657">
        <v>3.7835999999999999</v>
      </c>
      <c r="O657">
        <v>182.77</v>
      </c>
      <c r="P657">
        <v>91.32</v>
      </c>
      <c r="S657">
        <f t="shared" si="223"/>
        <v>781.40339999999992</v>
      </c>
      <c r="T657">
        <f t="shared" si="224"/>
        <v>1.3030763382429936E-2</v>
      </c>
      <c r="U657">
        <f t="shared" si="225"/>
        <v>4.9685644551711256E-3</v>
      </c>
      <c r="V657">
        <f t="shared" si="226"/>
        <v>5.6622885489119999E-2</v>
      </c>
      <c r="W657">
        <f t="shared" si="227"/>
        <v>1.368698887650914E-2</v>
      </c>
      <c r="X657">
        <f t="shared" si="228"/>
        <v>0.14841008281096998</v>
      </c>
      <c r="Y657">
        <f t="shared" si="229"/>
        <v>6.5622549407920526E-4</v>
      </c>
      <c r="Z657">
        <f t="shared" si="230"/>
        <v>2.5311554771626494E-3</v>
      </c>
      <c r="AA657">
        <f t="shared" si="231"/>
        <v>0.29309149236458198</v>
      </c>
      <c r="AB657">
        <f t="shared" si="232"/>
        <v>0.12878772183351275</v>
      </c>
      <c r="AC657">
        <f t="shared" si="233"/>
        <v>4.251169370393823E-2</v>
      </c>
      <c r="AD657">
        <f t="shared" si="234"/>
        <v>3.0152623987947944E-3</v>
      </c>
      <c r="AE657">
        <f t="shared" si="235"/>
        <v>2.5225495485402961E-2</v>
      </c>
      <c r="AG657">
        <f t="shared" si="236"/>
        <v>1.6220748727445262</v>
      </c>
      <c r="AH657">
        <f t="shared" si="237"/>
        <v>0.26513216147084501</v>
      </c>
      <c r="AI657">
        <f t="shared" si="238"/>
        <v>0.15718681558024428</v>
      </c>
      <c r="AK657" s="26">
        <f t="shared" si="239"/>
        <v>8.4687164844639562E-3</v>
      </c>
      <c r="AL657" s="26">
        <f t="shared" si="240"/>
        <v>-3.1507476791975159E-2</v>
      </c>
      <c r="AM657" s="26">
        <f t="shared" si="241"/>
        <v>-4.7588246776946674E-2</v>
      </c>
      <c r="AN657" s="26">
        <f t="shared" si="242"/>
        <v>0.28444444444444628</v>
      </c>
      <c r="AO657" s="26">
        <f t="shared" si="243"/>
        <v>-1.5080572289157033</v>
      </c>
      <c r="AP657" s="26">
        <f t="shared" si="244"/>
        <v>-4.4478932607216564</v>
      </c>
      <c r="AS657" s="2">
        <v>44823</v>
      </c>
      <c r="AT657">
        <v>15.3</v>
      </c>
      <c r="AU657">
        <v>1.8</v>
      </c>
      <c r="AV657">
        <v>82.9</v>
      </c>
      <c r="AW657">
        <v>12.5</v>
      </c>
      <c r="AX657">
        <v>136.33000000000001</v>
      </c>
      <c r="AY657">
        <v>0.5</v>
      </c>
      <c r="AZ657">
        <v>2.5</v>
      </c>
      <c r="BA657">
        <v>284.03609999999998</v>
      </c>
      <c r="BB657">
        <v>114.5596</v>
      </c>
      <c r="BC657">
        <v>40.111899999999999</v>
      </c>
      <c r="BD657">
        <v>5.9880000000000004</v>
      </c>
      <c r="BE657">
        <v>31.126999999999999</v>
      </c>
      <c r="BF657">
        <v>-14.5174</v>
      </c>
      <c r="BG657">
        <v>200.41390000000001</v>
      </c>
      <c r="BH657">
        <v>86.21</v>
      </c>
    </row>
    <row r="658" spans="1:60" x14ac:dyDescent="0.25">
      <c r="A658" s="2">
        <v>44843</v>
      </c>
      <c r="B658">
        <v>14.1</v>
      </c>
      <c r="C658">
        <v>17</v>
      </c>
      <c r="D658">
        <v>34.200000000000003</v>
      </c>
      <c r="E658">
        <v>7.3</v>
      </c>
      <c r="F658">
        <v>183.95</v>
      </c>
      <c r="G658">
        <v>0.7</v>
      </c>
      <c r="H658">
        <v>2.6</v>
      </c>
      <c r="I658">
        <v>306.685</v>
      </c>
      <c r="J658">
        <v>62.238799999999998</v>
      </c>
      <c r="K658">
        <v>26.178699999999999</v>
      </c>
      <c r="L658">
        <v>3.2351999999999999</v>
      </c>
      <c r="M658">
        <v>19.843800000000002</v>
      </c>
      <c r="P658">
        <v>91.11</v>
      </c>
      <c r="S658">
        <f t="shared" si="223"/>
        <v>678.03150000000005</v>
      </c>
      <c r="T658">
        <f t="shared" si="224"/>
        <v>1.3218256380738279E-2</v>
      </c>
      <c r="U658">
        <f t="shared" si="225"/>
        <v>1.5936904856209272E-2</v>
      </c>
      <c r="V658">
        <f t="shared" si="226"/>
        <v>3.2061302710726894E-2</v>
      </c>
      <c r="W658">
        <f t="shared" si="227"/>
        <v>6.8434944382545701E-3</v>
      </c>
      <c r="X658">
        <f t="shared" si="228"/>
        <v>0.17244668519409972</v>
      </c>
      <c r="Y658">
        <f t="shared" si="229"/>
        <v>6.5622549407920526E-4</v>
      </c>
      <c r="Z658">
        <f t="shared" si="230"/>
        <v>2.437408978008477E-3</v>
      </c>
      <c r="AA658">
        <f t="shared" si="231"/>
        <v>0.28750645093097299</v>
      </c>
      <c r="AB658">
        <f t="shared" si="232"/>
        <v>5.8346696115566921E-2</v>
      </c>
      <c r="AC658">
        <f t="shared" si="233"/>
        <v>2.4541614774073274E-2</v>
      </c>
      <c r="AD658">
        <f t="shared" si="234"/>
        <v>3.0328867406357787E-3</v>
      </c>
      <c r="AE658">
        <f t="shared" si="235"/>
        <v>1.8602867799155622E-2</v>
      </c>
      <c r="AG658">
        <f t="shared" si="236"/>
        <v>1.6144999258001134</v>
      </c>
      <c r="AH658">
        <f t="shared" si="237"/>
        <v>0.26220314585127202</v>
      </c>
      <c r="AI658">
        <f t="shared" si="238"/>
        <v>0.13251343556869305</v>
      </c>
      <c r="AK658" s="26">
        <f t="shared" si="239"/>
        <v>5.8631381912902514E-3</v>
      </c>
      <c r="AL658" s="26">
        <f t="shared" si="240"/>
        <v>-3.6389005972735533E-2</v>
      </c>
      <c r="AM658" s="26">
        <f t="shared" si="241"/>
        <v>-4.8111371071863751E-2</v>
      </c>
      <c r="AN658" s="26">
        <f t="shared" si="242"/>
        <v>0.17222222222223138</v>
      </c>
      <c r="AO658" s="26">
        <f t="shared" si="243"/>
        <v>-1.6138683304647543</v>
      </c>
      <c r="AP658" s="26">
        <f t="shared" si="244"/>
        <v>-4.5595154594122818</v>
      </c>
      <c r="AS658" s="2">
        <v>44822</v>
      </c>
      <c r="AT658">
        <v>15</v>
      </c>
      <c r="AU658">
        <v>1.8</v>
      </c>
      <c r="AV658">
        <v>69.599999999999994</v>
      </c>
      <c r="AW658">
        <v>20.6</v>
      </c>
      <c r="AX658">
        <v>99.91</v>
      </c>
      <c r="AY658">
        <v>0.4</v>
      </c>
      <c r="AZ658">
        <v>2.7</v>
      </c>
      <c r="BA658">
        <v>170.6994</v>
      </c>
      <c r="BB658">
        <v>46.848500000000001</v>
      </c>
      <c r="BC658">
        <v>14.602</v>
      </c>
      <c r="BD658">
        <v>5.6965000000000003</v>
      </c>
      <c r="BE658">
        <v>20.0063</v>
      </c>
      <c r="BH658">
        <v>85.99</v>
      </c>
    </row>
    <row r="659" spans="1:60" x14ac:dyDescent="0.25">
      <c r="A659" s="2">
        <v>44842</v>
      </c>
      <c r="C659">
        <v>36.200000000000003</v>
      </c>
      <c r="F659">
        <v>113.99</v>
      </c>
      <c r="K659">
        <v>21.581900000000001</v>
      </c>
      <c r="P659">
        <v>90.81</v>
      </c>
      <c r="S659">
        <f t="shared" si="223"/>
        <v>171.77189999999999</v>
      </c>
      <c r="T659">
        <f t="shared" si="224"/>
        <v>0</v>
      </c>
      <c r="U659">
        <f t="shared" si="225"/>
        <v>3.3936232693810339E-2</v>
      </c>
      <c r="V659">
        <f t="shared" si="226"/>
        <v>0</v>
      </c>
      <c r="W659">
        <f t="shared" si="227"/>
        <v>0</v>
      </c>
      <c r="X659">
        <f t="shared" si="228"/>
        <v>0.10686163438584087</v>
      </c>
      <c r="Y659">
        <f t="shared" si="229"/>
        <v>0</v>
      </c>
      <c r="Z659">
        <f t="shared" si="230"/>
        <v>0</v>
      </c>
      <c r="AA659">
        <f t="shared" si="231"/>
        <v>0</v>
      </c>
      <c r="AB659">
        <f t="shared" si="232"/>
        <v>0</v>
      </c>
      <c r="AC659">
        <f t="shared" si="233"/>
        <v>2.0232275700954289E-2</v>
      </c>
      <c r="AD659">
        <f t="shared" si="234"/>
        <v>0</v>
      </c>
      <c r="AE659">
        <f t="shared" si="235"/>
        <v>0</v>
      </c>
      <c r="AG659">
        <f t="shared" si="236"/>
        <v>1.6028615941401854</v>
      </c>
      <c r="AH659">
        <f t="shared" si="237"/>
        <v>0.1407978670796512</v>
      </c>
      <c r="AI659">
        <f t="shared" si="238"/>
        <v>-0.93021924302590309</v>
      </c>
      <c r="AK659" s="26">
        <f t="shared" si="239"/>
        <v>4.7215498700978187E-4</v>
      </c>
      <c r="AL659" s="26">
        <f t="shared" si="240"/>
        <v>-3.3744176068323861E-2</v>
      </c>
      <c r="AM659" s="26">
        <f t="shared" si="241"/>
        <v>-5.0122276870988913E-2</v>
      </c>
      <c r="AN659" s="26">
        <f t="shared" si="242"/>
        <v>6.6984126984152681E-2</v>
      </c>
      <c r="AO659" s="26">
        <f t="shared" si="243"/>
        <v>-1.7171729776247986</v>
      </c>
      <c r="AP659" s="26">
        <f t="shared" si="244"/>
        <v>-4.6701016466204948</v>
      </c>
      <c r="AS659" s="2">
        <v>44821</v>
      </c>
      <c r="AU659">
        <v>0</v>
      </c>
      <c r="AX659">
        <v>140.29</v>
      </c>
      <c r="BC659">
        <v>16.922599999999999</v>
      </c>
      <c r="BH659">
        <v>85.63</v>
      </c>
    </row>
    <row r="660" spans="1:60" x14ac:dyDescent="0.25">
      <c r="A660" s="2">
        <v>44841</v>
      </c>
      <c r="C660">
        <v>24.6</v>
      </c>
      <c r="F660">
        <v>176.3</v>
      </c>
      <c r="K660">
        <v>28.0929</v>
      </c>
      <c r="N660">
        <v>10.607799999999999</v>
      </c>
      <c r="O660">
        <v>191.52170000000001</v>
      </c>
      <c r="P660">
        <v>90.5</v>
      </c>
      <c r="S660">
        <f t="shared" si="223"/>
        <v>228.99290000000002</v>
      </c>
      <c r="T660">
        <f t="shared" si="224"/>
        <v>0</v>
      </c>
      <c r="U660">
        <f t="shared" si="225"/>
        <v>2.306163879192636E-2</v>
      </c>
      <c r="V660">
        <f t="shared" si="226"/>
        <v>0</v>
      </c>
      <c r="W660">
        <f t="shared" si="227"/>
        <v>0</v>
      </c>
      <c r="X660">
        <f t="shared" si="228"/>
        <v>0.16527507800880559</v>
      </c>
      <c r="Y660">
        <f t="shared" si="229"/>
        <v>0</v>
      </c>
      <c r="Z660">
        <f t="shared" si="230"/>
        <v>0</v>
      </c>
      <c r="AA660">
        <f t="shared" si="231"/>
        <v>0</v>
      </c>
      <c r="AB660">
        <f t="shared" si="232"/>
        <v>0</v>
      </c>
      <c r="AC660">
        <f t="shared" si="233"/>
        <v>2.633611026088244E-2</v>
      </c>
      <c r="AD660">
        <f t="shared" si="234"/>
        <v>0</v>
      </c>
      <c r="AE660">
        <f t="shared" si="235"/>
        <v>0</v>
      </c>
      <c r="AG660">
        <f t="shared" si="236"/>
        <v>1.5907350358011292</v>
      </c>
      <c r="AH660">
        <f t="shared" si="237"/>
        <v>0.18833671680073194</v>
      </c>
      <c r="AI660">
        <f t="shared" si="238"/>
        <v>-0.51519757635569075</v>
      </c>
      <c r="AK660" s="26">
        <f t="shared" si="239"/>
        <v>-3.1995635520128685E-3</v>
      </c>
      <c r="AL660" s="26">
        <f t="shared" si="240"/>
        <v>-3.3474018826973873E-2</v>
      </c>
      <c r="AM660" s="26">
        <f t="shared" si="241"/>
        <v>-5.0639547692694797E-2</v>
      </c>
      <c r="AN660" s="26">
        <f t="shared" si="242"/>
        <v>-3.9682539682516449E-2</v>
      </c>
      <c r="AO660" s="26">
        <f t="shared" si="243"/>
        <v>-1.8184595524957103</v>
      </c>
      <c r="AP660" s="26">
        <f t="shared" si="244"/>
        <v>-4.7795146484912152</v>
      </c>
      <c r="AS660" s="2">
        <v>44820</v>
      </c>
      <c r="AU660">
        <v>0</v>
      </c>
      <c r="AX660">
        <v>137.09</v>
      </c>
      <c r="BC660">
        <v>33.168799999999997</v>
      </c>
      <c r="BF660">
        <v>-41.192799999999998</v>
      </c>
      <c r="BG660">
        <v>184.44720000000001</v>
      </c>
      <c r="BH660">
        <v>85.26</v>
      </c>
    </row>
    <row r="661" spans="1:60" x14ac:dyDescent="0.25">
      <c r="A661" s="2">
        <v>44840</v>
      </c>
      <c r="B661">
        <v>16.5</v>
      </c>
      <c r="C661">
        <v>102.2</v>
      </c>
      <c r="D661">
        <v>57.1</v>
      </c>
      <c r="E661">
        <v>22.8</v>
      </c>
      <c r="F661">
        <v>177.48</v>
      </c>
      <c r="G661">
        <v>0.7</v>
      </c>
      <c r="H661">
        <v>2.7</v>
      </c>
      <c r="I661">
        <v>259.04520000000002</v>
      </c>
      <c r="J661">
        <v>100.51130000000001</v>
      </c>
      <c r="K661">
        <v>32.084099999999999</v>
      </c>
      <c r="L661">
        <v>3.2795999999999998</v>
      </c>
      <c r="M661">
        <v>40.8675</v>
      </c>
      <c r="N661">
        <v>-2.9693000000000001</v>
      </c>
      <c r="O661">
        <v>216.48419999999999</v>
      </c>
      <c r="P661">
        <v>90.32</v>
      </c>
      <c r="S661">
        <f t="shared" si="223"/>
        <v>815.26769999999999</v>
      </c>
      <c r="T661">
        <f t="shared" si="224"/>
        <v>1.5468172360438412E-2</v>
      </c>
      <c r="U661">
        <f t="shared" si="225"/>
        <v>9.5808922135563981E-2</v>
      </c>
      <c r="V661">
        <f t="shared" si="226"/>
        <v>5.352925101703232E-2</v>
      </c>
      <c r="W661">
        <f t="shared" si="227"/>
        <v>2.1374201807151261E-2</v>
      </c>
      <c r="X661">
        <f t="shared" si="228"/>
        <v>0.16638128669882479</v>
      </c>
      <c r="Y661">
        <f t="shared" si="229"/>
        <v>6.5622549407920526E-4</v>
      </c>
      <c r="Z661">
        <f t="shared" si="230"/>
        <v>2.5311554771626494E-3</v>
      </c>
      <c r="AA661">
        <f t="shared" si="231"/>
        <v>0.24284580622692367</v>
      </c>
      <c r="AB661">
        <f t="shared" si="232"/>
        <v>9.422582500434748E-2</v>
      </c>
      <c r="AC661">
        <f t="shared" si="233"/>
        <v>3.007772053512376E-2</v>
      </c>
      <c r="AD661">
        <f t="shared" si="234"/>
        <v>3.0745101862602311E-3</v>
      </c>
      <c r="AE661">
        <f t="shared" si="235"/>
        <v>3.8311850541831317E-2</v>
      </c>
      <c r="AG661">
        <f t="shared" si="236"/>
        <v>1.5844851442881962</v>
      </c>
      <c r="AH661">
        <f t="shared" si="237"/>
        <v>0.39406106553208398</v>
      </c>
      <c r="AI661">
        <f t="shared" si="238"/>
        <v>1.2884297238534921</v>
      </c>
      <c r="AK661" s="26">
        <f t="shared" si="239"/>
        <v>-1.3238455031206825E-2</v>
      </c>
      <c r="AL661" s="26">
        <f t="shared" si="240"/>
        <v>-3.4622158260737446E-2</v>
      </c>
      <c r="AM661" s="26">
        <f t="shared" si="241"/>
        <v>-4.9635751898850278E-2</v>
      </c>
      <c r="AN661" s="26">
        <f t="shared" si="242"/>
        <v>-0.14507936507934005</v>
      </c>
      <c r="AO661" s="26">
        <f t="shared" si="243"/>
        <v>-1.9179087779690462</v>
      </c>
      <c r="AP661" s="26">
        <f t="shared" si="244"/>
        <v>-4.8866969922532491</v>
      </c>
      <c r="AS661" s="2">
        <v>44819</v>
      </c>
      <c r="AT661">
        <v>14.6</v>
      </c>
      <c r="AU661">
        <v>43.5</v>
      </c>
      <c r="AV661">
        <v>62.4</v>
      </c>
      <c r="AW661">
        <v>14.9</v>
      </c>
      <c r="AX661">
        <v>115.88</v>
      </c>
      <c r="AY661">
        <v>0.4</v>
      </c>
      <c r="AZ661">
        <v>3</v>
      </c>
      <c r="BA661">
        <v>305.6069</v>
      </c>
      <c r="BB661">
        <v>190.44890000000001</v>
      </c>
      <c r="BC661">
        <v>52.9587</v>
      </c>
      <c r="BD661">
        <v>5.8688000000000002</v>
      </c>
      <c r="BE661">
        <v>25.269400000000001</v>
      </c>
      <c r="BF661">
        <v>-24.5123</v>
      </c>
      <c r="BG661">
        <v>250.78469999999999</v>
      </c>
      <c r="BH661">
        <v>84.93</v>
      </c>
    </row>
    <row r="662" spans="1:60" x14ac:dyDescent="0.25">
      <c r="A662" s="2">
        <v>44839</v>
      </c>
      <c r="B662">
        <v>18.899999999999999</v>
      </c>
      <c r="C662">
        <v>2.2999999999999998</v>
      </c>
      <c r="D662">
        <v>79</v>
      </c>
      <c r="E662">
        <v>23.5</v>
      </c>
      <c r="F662">
        <v>169.06</v>
      </c>
      <c r="G662">
        <v>0.7</v>
      </c>
      <c r="H662">
        <v>2.5</v>
      </c>
      <c r="I662">
        <v>255.51660000000001</v>
      </c>
      <c r="J662">
        <v>85.132800000000003</v>
      </c>
      <c r="K662">
        <v>35.961799999999997</v>
      </c>
      <c r="L662">
        <v>3.3159000000000001</v>
      </c>
      <c r="M662">
        <v>27.1251</v>
      </c>
      <c r="N662">
        <v>2.9544999999999999</v>
      </c>
      <c r="O662">
        <v>207.6207</v>
      </c>
      <c r="P662">
        <v>90.07</v>
      </c>
      <c r="S662">
        <f t="shared" si="223"/>
        <v>703.01220000000001</v>
      </c>
      <c r="T662">
        <f t="shared" si="224"/>
        <v>1.7718088340138542E-2</v>
      </c>
      <c r="U662">
        <f t="shared" si="225"/>
        <v>2.1561694805459601E-3</v>
      </c>
      <c r="V662">
        <f t="shared" si="226"/>
        <v>7.4059734331796037E-2</v>
      </c>
      <c r="W662">
        <f t="shared" si="227"/>
        <v>2.2030427301230466E-2</v>
      </c>
      <c r="X662">
        <f t="shared" si="228"/>
        <v>0.1584878314700435</v>
      </c>
      <c r="Y662">
        <f t="shared" si="229"/>
        <v>6.5622549407920526E-4</v>
      </c>
      <c r="Z662">
        <f t="shared" si="230"/>
        <v>2.3436624788543046E-3</v>
      </c>
      <c r="AA662">
        <f t="shared" si="231"/>
        <v>0.23953786725776954</v>
      </c>
      <c r="AB662">
        <f t="shared" si="232"/>
        <v>7.9809019631923106E-2</v>
      </c>
      <c r="AC662">
        <f t="shared" si="233"/>
        <v>3.3712928532825093E-2</v>
      </c>
      <c r="AD662">
        <f t="shared" si="234"/>
        <v>3.1085401654531958E-3</v>
      </c>
      <c r="AE662">
        <f t="shared" si="235"/>
        <v>2.5428831642068359E-2</v>
      </c>
      <c r="AG662">
        <f t="shared" si="236"/>
        <v>1.5750190815816194</v>
      </c>
      <c r="AH662">
        <f t="shared" si="237"/>
        <v>0.3028809705387564</v>
      </c>
      <c r="AI662">
        <f t="shared" si="238"/>
        <v>0.49585416511773223</v>
      </c>
      <c r="AK662" s="26">
        <f t="shared" si="239"/>
        <v>-2.4859163927501871E-2</v>
      </c>
      <c r="AL662" s="26">
        <f t="shared" si="240"/>
        <v>-3.7834177155226578E-2</v>
      </c>
      <c r="AM662" s="26">
        <f t="shared" si="241"/>
        <v>-5.0532371760951655E-2</v>
      </c>
      <c r="AN662" s="26">
        <f t="shared" si="242"/>
        <v>-0.25269841269840754</v>
      </c>
      <c r="AO662" s="26">
        <f t="shared" si="243"/>
        <v>-2.0171966437177531</v>
      </c>
      <c r="AP662" s="26">
        <f t="shared" si="244"/>
        <v>-4.9927140486726387</v>
      </c>
      <c r="AS662" s="2">
        <v>44818</v>
      </c>
      <c r="AT662">
        <v>13.9</v>
      </c>
      <c r="AU662">
        <v>21</v>
      </c>
      <c r="AV662">
        <v>35.9</v>
      </c>
      <c r="AW662">
        <v>6</v>
      </c>
      <c r="AX662">
        <v>91</v>
      </c>
      <c r="AY662">
        <v>0.1</v>
      </c>
      <c r="AZ662">
        <v>2.9</v>
      </c>
      <c r="BA662">
        <v>294.05529999999999</v>
      </c>
      <c r="BB662">
        <v>216.10159999999999</v>
      </c>
      <c r="BC662">
        <v>126.3098</v>
      </c>
      <c r="BD662">
        <v>5.8132000000000001</v>
      </c>
      <c r="BE662">
        <v>29.670999999999999</v>
      </c>
      <c r="BF662">
        <v>-47.713299999999997</v>
      </c>
      <c r="BG662">
        <v>232.52959999999999</v>
      </c>
      <c r="BH662">
        <v>84.68</v>
      </c>
    </row>
    <row r="663" spans="1:60" x14ac:dyDescent="0.25">
      <c r="A663" s="2">
        <v>44838</v>
      </c>
      <c r="B663">
        <v>19.8</v>
      </c>
      <c r="C663">
        <v>27.4</v>
      </c>
      <c r="D663">
        <v>59.9</v>
      </c>
      <c r="E663">
        <v>10</v>
      </c>
      <c r="F663">
        <v>173.32</v>
      </c>
      <c r="G663">
        <v>0.8</v>
      </c>
      <c r="H663">
        <v>2.4</v>
      </c>
      <c r="I663">
        <v>294.1746</v>
      </c>
      <c r="J663">
        <v>170.45740000000001</v>
      </c>
      <c r="K663">
        <v>35.478000000000002</v>
      </c>
      <c r="L663">
        <v>3.3142</v>
      </c>
      <c r="M663">
        <v>35.676900000000003</v>
      </c>
      <c r="N663">
        <v>9.4263999999999992</v>
      </c>
      <c r="O663">
        <v>188.03630000000001</v>
      </c>
      <c r="P663">
        <v>89.83</v>
      </c>
      <c r="S663">
        <f t="shared" si="223"/>
        <v>832.72109999999998</v>
      </c>
      <c r="T663">
        <f t="shared" si="224"/>
        <v>1.8561806832526093E-2</v>
      </c>
      <c r="U663">
        <f t="shared" si="225"/>
        <v>2.5686540768243178E-2</v>
      </c>
      <c r="V663">
        <f t="shared" si="226"/>
        <v>5.6154152993349138E-2</v>
      </c>
      <c r="W663">
        <f t="shared" si="227"/>
        <v>9.3746499154172182E-3</v>
      </c>
      <c r="X663">
        <f t="shared" si="228"/>
        <v>0.16248143233401124</v>
      </c>
      <c r="Y663">
        <f t="shared" si="229"/>
        <v>7.4997199323337759E-4</v>
      </c>
      <c r="Z663">
        <f t="shared" si="230"/>
        <v>2.2499159797001326E-3</v>
      </c>
      <c r="AA663">
        <f t="shared" si="231"/>
        <v>0.27577838890078943</v>
      </c>
      <c r="AB663">
        <f t="shared" si="232"/>
        <v>0.15979784504922392</v>
      </c>
      <c r="AC663">
        <f t="shared" si="233"/>
        <v>3.3259382969917213E-2</v>
      </c>
      <c r="AD663">
        <f t="shared" si="234"/>
        <v>3.1069464749675746E-3</v>
      </c>
      <c r="AE663">
        <f t="shared" si="235"/>
        <v>3.3445844756734865E-2</v>
      </c>
      <c r="AG663">
        <f t="shared" si="236"/>
        <v>1.5659735988880281</v>
      </c>
      <c r="AH663">
        <f t="shared" si="237"/>
        <v>0.30870431557321526</v>
      </c>
      <c r="AI663">
        <f t="shared" si="238"/>
        <v>0.54913929274413376</v>
      </c>
      <c r="AK663" s="26">
        <f t="shared" si="239"/>
        <v>-3.7425837497928577E-2</v>
      </c>
      <c r="AL663" s="26">
        <f t="shared" si="240"/>
        <v>-4.1053327963890995E-2</v>
      </c>
      <c r="AM663" s="26">
        <f t="shared" si="241"/>
        <v>-5.196993478970896E-2</v>
      </c>
      <c r="AN663" s="26">
        <f t="shared" si="242"/>
        <v>-0.35904761904758686</v>
      </c>
      <c r="AO663" s="26">
        <f t="shared" si="243"/>
        <v>-2.1163382099828141</v>
      </c>
      <c r="AP663" s="26">
        <f t="shared" si="244"/>
        <v>-5.0977010569534826</v>
      </c>
      <c r="AS663" s="2">
        <v>44817</v>
      </c>
      <c r="AT663">
        <v>13.2</v>
      </c>
      <c r="AU663">
        <v>22.5</v>
      </c>
      <c r="AV663">
        <v>57.4</v>
      </c>
      <c r="AW663">
        <v>13.4</v>
      </c>
      <c r="AX663">
        <v>153.34</v>
      </c>
      <c r="AY663">
        <v>0.1</v>
      </c>
      <c r="AZ663">
        <v>3</v>
      </c>
      <c r="BA663">
        <v>287.97829999999999</v>
      </c>
      <c r="BB663">
        <v>192.28039999999999</v>
      </c>
      <c r="BC663">
        <v>88.202299999999994</v>
      </c>
      <c r="BD663">
        <v>5.8066000000000004</v>
      </c>
      <c r="BE663">
        <v>23.358499999999999</v>
      </c>
      <c r="BF663">
        <v>-54.554499999999997</v>
      </c>
      <c r="BG663">
        <v>190.67070000000001</v>
      </c>
      <c r="BH663">
        <v>84.46</v>
      </c>
    </row>
    <row r="664" spans="1:60" x14ac:dyDescent="0.25">
      <c r="A664" s="2">
        <v>44837</v>
      </c>
      <c r="B664">
        <v>19.399999999999999</v>
      </c>
      <c r="C664">
        <v>0.9</v>
      </c>
      <c r="D664">
        <v>42.1</v>
      </c>
      <c r="E664">
        <v>14.4</v>
      </c>
      <c r="F664">
        <v>132.69</v>
      </c>
      <c r="G664">
        <v>0.9</v>
      </c>
      <c r="H664">
        <v>2.5</v>
      </c>
      <c r="I664">
        <v>244.392</v>
      </c>
      <c r="J664">
        <v>121.782</v>
      </c>
      <c r="K664">
        <v>21.230799999999999</v>
      </c>
      <c r="L664">
        <v>3.2826</v>
      </c>
      <c r="M664">
        <v>39.5745</v>
      </c>
      <c r="N664">
        <v>12.776199999999999</v>
      </c>
      <c r="O664">
        <v>200.0838</v>
      </c>
      <c r="P664">
        <v>89.62</v>
      </c>
      <c r="S664">
        <f t="shared" si="223"/>
        <v>643.15190000000007</v>
      </c>
      <c r="T664">
        <f t="shared" si="224"/>
        <v>1.8186820835909404E-2</v>
      </c>
      <c r="U664">
        <f t="shared" si="225"/>
        <v>8.4371849238754971E-4</v>
      </c>
      <c r="V664">
        <f t="shared" si="226"/>
        <v>3.9467276143906493E-2</v>
      </c>
      <c r="W664">
        <f t="shared" si="227"/>
        <v>1.3499495878200795E-2</v>
      </c>
      <c r="X664">
        <f t="shared" si="228"/>
        <v>0.12439222972767108</v>
      </c>
      <c r="Y664">
        <f t="shared" si="229"/>
        <v>8.4371849238754971E-4</v>
      </c>
      <c r="Z664">
        <f t="shared" si="230"/>
        <v>2.3436624788543046E-3</v>
      </c>
      <c r="AA664">
        <f t="shared" si="231"/>
        <v>0.22910894421286448</v>
      </c>
      <c r="AB664">
        <f t="shared" si="232"/>
        <v>0.11416636159993397</v>
      </c>
      <c r="AC664">
        <f t="shared" si="233"/>
        <v>1.9903131742423988E-2</v>
      </c>
      <c r="AD664">
        <f t="shared" si="234"/>
        <v>3.0773225812348562E-3</v>
      </c>
      <c r="AE664">
        <f t="shared" si="235"/>
        <v>3.7099708307767876E-2</v>
      </c>
      <c r="AG664">
        <f t="shared" si="236"/>
        <v>1.5582774835652229</v>
      </c>
      <c r="AH664">
        <f t="shared" si="237"/>
        <v>0.23667663035708505</v>
      </c>
      <c r="AI664">
        <f t="shared" si="238"/>
        <v>-8.006863869705777E-2</v>
      </c>
      <c r="AK664" s="26">
        <f t="shared" si="239"/>
        <v>-4.4248968113311332E-2</v>
      </c>
      <c r="AL664" s="26">
        <f t="shared" si="240"/>
        <v>-4.4756114985109008E-2</v>
      </c>
      <c r="AM664" s="26">
        <f t="shared" si="241"/>
        <v>-5.3408635225399237E-2</v>
      </c>
      <c r="AN664" s="26">
        <f t="shared" si="242"/>
        <v>-0.46174603174598872</v>
      </c>
      <c r="AO664" s="26">
        <f t="shared" si="243"/>
        <v>-2.2162865748709351</v>
      </c>
      <c r="AP664" s="26">
        <f t="shared" si="244"/>
        <v>-5.2011061946903254</v>
      </c>
      <c r="AS664" s="2">
        <v>44816</v>
      </c>
      <c r="AT664">
        <v>13.7</v>
      </c>
      <c r="AU664">
        <v>5.7</v>
      </c>
      <c r="AV664">
        <v>25.9</v>
      </c>
      <c r="AW664">
        <v>2.2000000000000002</v>
      </c>
      <c r="AX664">
        <v>219.4</v>
      </c>
      <c r="AY664">
        <v>0.1</v>
      </c>
      <c r="AZ664">
        <v>2.7</v>
      </c>
      <c r="BA664">
        <v>276.48869999999999</v>
      </c>
      <c r="BB664">
        <v>205.27189999999999</v>
      </c>
      <c r="BC664">
        <v>85.845600000000005</v>
      </c>
      <c r="BD664">
        <v>5.6845999999999997</v>
      </c>
      <c r="BE664">
        <v>23.291499999999999</v>
      </c>
      <c r="BF664">
        <v>-46.357500000000002</v>
      </c>
      <c r="BG664">
        <v>187.21129999999999</v>
      </c>
      <c r="BH664">
        <v>84.2</v>
      </c>
    </row>
    <row r="665" spans="1:60" x14ac:dyDescent="0.25">
      <c r="A665" s="2">
        <v>44836</v>
      </c>
      <c r="B665">
        <v>16.3</v>
      </c>
      <c r="C665">
        <v>0</v>
      </c>
      <c r="D665">
        <v>90</v>
      </c>
      <c r="E665">
        <v>20</v>
      </c>
      <c r="F665">
        <v>91.24</v>
      </c>
      <c r="G665">
        <v>0.7</v>
      </c>
      <c r="H665">
        <v>2.5</v>
      </c>
      <c r="I665">
        <v>191.22559999999999</v>
      </c>
      <c r="J665">
        <v>56.434199999999997</v>
      </c>
      <c r="K665">
        <v>10.93</v>
      </c>
      <c r="L665">
        <v>3.2688000000000001</v>
      </c>
      <c r="M665">
        <v>20.631399999999999</v>
      </c>
      <c r="P665">
        <v>89.35</v>
      </c>
      <c r="S665">
        <f t="shared" si="223"/>
        <v>503.22999999999996</v>
      </c>
      <c r="T665">
        <f t="shared" si="224"/>
        <v>1.5280679362130067E-2</v>
      </c>
      <c r="U665">
        <f t="shared" si="225"/>
        <v>0</v>
      </c>
      <c r="V665">
        <f t="shared" si="226"/>
        <v>8.4371849238754973E-2</v>
      </c>
      <c r="W665">
        <f t="shared" si="227"/>
        <v>1.8749299830834436E-2</v>
      </c>
      <c r="X665">
        <f t="shared" si="228"/>
        <v>8.5534305828266696E-2</v>
      </c>
      <c r="Y665">
        <f t="shared" si="229"/>
        <v>6.5622549407920526E-4</v>
      </c>
      <c r="Z665">
        <f t="shared" si="230"/>
        <v>2.3436624788543046E-3</v>
      </c>
      <c r="AA665">
        <f t="shared" si="231"/>
        <v>0.1792673054865607</v>
      </c>
      <c r="AB665">
        <f t="shared" si="232"/>
        <v>5.290508682566384E-2</v>
      </c>
      <c r="AC665">
        <f t="shared" si="233"/>
        <v>1.0246492357551019E-2</v>
      </c>
      <c r="AD665">
        <f t="shared" si="234"/>
        <v>3.0643855643515809E-3</v>
      </c>
      <c r="AE665">
        <f t="shared" si="235"/>
        <v>1.9341215226493881E-2</v>
      </c>
      <c r="AG665">
        <f t="shared" si="236"/>
        <v>1.5478288454102251</v>
      </c>
      <c r="AH665">
        <f t="shared" si="237"/>
        <v>0.22627723745941358</v>
      </c>
      <c r="AI665">
        <f t="shared" si="238"/>
        <v>-0.16979147388268667</v>
      </c>
      <c r="AK665" s="26">
        <f t="shared" si="239"/>
        <v>-4.7108990773625847E-2</v>
      </c>
      <c r="AL665" s="26">
        <f t="shared" si="240"/>
        <v>-4.4440606745317246E-2</v>
      </c>
      <c r="AM665" s="26">
        <f t="shared" si="241"/>
        <v>-5.4924727960986686E-2</v>
      </c>
      <c r="AN665" s="26">
        <f t="shared" si="242"/>
        <v>-0.56349206349204906</v>
      </c>
      <c r="AO665" s="26">
        <f t="shared" si="243"/>
        <v>-2.3160154905335872</v>
      </c>
      <c r="AP665" s="26">
        <f t="shared" si="244"/>
        <v>-5.3041520337232981</v>
      </c>
      <c r="AS665" s="2">
        <v>44815</v>
      </c>
      <c r="AT665">
        <v>13.9</v>
      </c>
      <c r="AU665">
        <v>37.799999999999997</v>
      </c>
      <c r="AV665">
        <v>1.1000000000000001</v>
      </c>
      <c r="AW665">
        <v>2.1</v>
      </c>
      <c r="AX665">
        <v>141.31</v>
      </c>
      <c r="AY665">
        <v>0.1</v>
      </c>
      <c r="AZ665">
        <v>2.9</v>
      </c>
      <c r="BA665">
        <v>295.47559999999999</v>
      </c>
      <c r="BB665">
        <v>160.93209999999999</v>
      </c>
      <c r="BC665">
        <v>42.505600000000001</v>
      </c>
      <c r="BD665">
        <v>5.6550000000000002</v>
      </c>
      <c r="BE665">
        <v>16.585799999999999</v>
      </c>
      <c r="BH665">
        <v>83.95</v>
      </c>
    </row>
    <row r="666" spans="1:60" x14ac:dyDescent="0.25">
      <c r="A666" s="2">
        <v>44835</v>
      </c>
      <c r="C666">
        <v>2</v>
      </c>
      <c r="F666">
        <v>61.21</v>
      </c>
      <c r="K666">
        <v>12.6858</v>
      </c>
      <c r="P666">
        <v>89.01</v>
      </c>
      <c r="S666">
        <f t="shared" si="223"/>
        <v>75.895800000000008</v>
      </c>
      <c r="T666">
        <f t="shared" si="224"/>
        <v>0</v>
      </c>
      <c r="U666">
        <f t="shared" si="225"/>
        <v>1.8749299830834439E-3</v>
      </c>
      <c r="V666">
        <f t="shared" si="226"/>
        <v>0</v>
      </c>
      <c r="W666">
        <f t="shared" si="227"/>
        <v>0</v>
      </c>
      <c r="X666">
        <f t="shared" si="228"/>
        <v>5.7382232132268798E-2</v>
      </c>
      <c r="Y666">
        <f t="shared" si="229"/>
        <v>0</v>
      </c>
      <c r="Z666">
        <f t="shared" si="230"/>
        <v>0</v>
      </c>
      <c r="AA666">
        <f t="shared" si="231"/>
        <v>0</v>
      </c>
      <c r="AB666">
        <f t="shared" si="232"/>
        <v>0</v>
      </c>
      <c r="AC666">
        <f t="shared" si="233"/>
        <v>1.1892493389699976E-2</v>
      </c>
      <c r="AD666">
        <f t="shared" si="234"/>
        <v>0</v>
      </c>
      <c r="AE666">
        <f t="shared" si="235"/>
        <v>0</v>
      </c>
      <c r="AG666">
        <f t="shared" si="236"/>
        <v>1.5341767227932845</v>
      </c>
      <c r="AH666">
        <f t="shared" si="237"/>
        <v>5.9257162115352244E-2</v>
      </c>
      <c r="AI666">
        <f t="shared" si="238"/>
        <v>-1.6347824075308313</v>
      </c>
      <c r="AK666" s="26">
        <f t="shared" si="239"/>
        <v>-5.7767369535508178E-2</v>
      </c>
      <c r="AL666" s="26">
        <f t="shared" si="240"/>
        <v>-4.6825745636237703E-2</v>
      </c>
      <c r="AM666" s="26">
        <f t="shared" si="241"/>
        <v>-5.3892734994550162E-2</v>
      </c>
      <c r="AN666" s="26">
        <f t="shared" si="242"/>
        <v>-0.66031746031742955</v>
      </c>
      <c r="AO666" s="26">
        <f t="shared" si="243"/>
        <v>-2.4134315834768074</v>
      </c>
      <c r="AP666" s="26">
        <f t="shared" si="244"/>
        <v>-5.4072403943094685</v>
      </c>
      <c r="AS666" s="2">
        <v>44814</v>
      </c>
      <c r="AU666">
        <v>90.4</v>
      </c>
      <c r="AX666">
        <v>134.28</v>
      </c>
      <c r="BC666">
        <v>36.006</v>
      </c>
      <c r="BH666">
        <v>83.6</v>
      </c>
    </row>
    <row r="667" spans="1:60" x14ac:dyDescent="0.25">
      <c r="A667" s="2">
        <v>44834</v>
      </c>
      <c r="C667">
        <v>1.7</v>
      </c>
      <c r="F667">
        <v>174.21</v>
      </c>
      <c r="K667">
        <v>49.312199999999997</v>
      </c>
      <c r="N667">
        <v>-76.126800000000003</v>
      </c>
      <c r="O667">
        <v>99.200500000000005</v>
      </c>
      <c r="P667">
        <v>88.69</v>
      </c>
      <c r="S667">
        <f t="shared" si="223"/>
        <v>225.22219999999999</v>
      </c>
      <c r="T667">
        <f t="shared" si="224"/>
        <v>0</v>
      </c>
      <c r="U667">
        <f t="shared" si="225"/>
        <v>1.5936904856209272E-3</v>
      </c>
      <c r="V667">
        <f t="shared" si="226"/>
        <v>0</v>
      </c>
      <c r="W667">
        <f t="shared" si="227"/>
        <v>0</v>
      </c>
      <c r="X667">
        <f t="shared" si="228"/>
        <v>0.16331577617648338</v>
      </c>
      <c r="Y667">
        <f t="shared" si="229"/>
        <v>0</v>
      </c>
      <c r="Z667">
        <f t="shared" si="230"/>
        <v>0</v>
      </c>
      <c r="AA667">
        <f t="shared" si="231"/>
        <v>0</v>
      </c>
      <c r="AB667">
        <f t="shared" si="232"/>
        <v>0</v>
      </c>
      <c r="AC667">
        <f t="shared" si="233"/>
        <v>4.6228461155903698E-2</v>
      </c>
      <c r="AD667">
        <f t="shared" si="234"/>
        <v>0</v>
      </c>
      <c r="AE667">
        <f t="shared" si="235"/>
        <v>0</v>
      </c>
      <c r="AG667">
        <f t="shared" si="236"/>
        <v>1.5214028851344599</v>
      </c>
      <c r="AH667">
        <f t="shared" si="237"/>
        <v>0.16490946666210432</v>
      </c>
      <c r="AI667">
        <f t="shared" si="238"/>
        <v>-0.71618366957928603</v>
      </c>
      <c r="AK667" s="26">
        <f t="shared" si="239"/>
        <v>-5.2436919784967284E-2</v>
      </c>
      <c r="AL667" s="26">
        <f t="shared" si="240"/>
        <v>-4.6813583278463688E-2</v>
      </c>
      <c r="AM667" s="26">
        <f t="shared" si="241"/>
        <v>-5.2804277666967325E-2</v>
      </c>
      <c r="AN667" s="26">
        <f t="shared" si="242"/>
        <v>-0.75507936507933948</v>
      </c>
      <c r="AO667" s="26">
        <f t="shared" si="243"/>
        <v>-2.5071471600688682</v>
      </c>
      <c r="AP667" s="26">
        <f t="shared" si="244"/>
        <v>-5.5097311420144024</v>
      </c>
      <c r="AS667" s="2">
        <v>44813</v>
      </c>
      <c r="AU667">
        <v>43.7</v>
      </c>
      <c r="AX667">
        <v>165.8</v>
      </c>
      <c r="BC667">
        <v>43.3322</v>
      </c>
      <c r="BF667">
        <v>-49.438400000000001</v>
      </c>
      <c r="BG667">
        <v>211.6755</v>
      </c>
      <c r="BH667">
        <v>83.25</v>
      </c>
    </row>
    <row r="668" spans="1:60" x14ac:dyDescent="0.25">
      <c r="A668" s="2">
        <v>44833</v>
      </c>
      <c r="B668">
        <v>17</v>
      </c>
      <c r="C668">
        <v>4.2</v>
      </c>
      <c r="D668">
        <v>12.7</v>
      </c>
      <c r="E668">
        <v>2.6</v>
      </c>
      <c r="F668">
        <v>129.88999999999999</v>
      </c>
      <c r="G668">
        <v>0.9</v>
      </c>
      <c r="H668">
        <v>2.6</v>
      </c>
      <c r="I668">
        <v>320.65050000000002</v>
      </c>
      <c r="J668">
        <v>265.91609999999997</v>
      </c>
      <c r="K668">
        <v>92.990700000000004</v>
      </c>
      <c r="L668">
        <v>3.3386</v>
      </c>
      <c r="M668">
        <v>33.052399999999999</v>
      </c>
      <c r="N668">
        <v>-73.692400000000006</v>
      </c>
      <c r="O668">
        <v>147.5574</v>
      </c>
      <c r="P668">
        <v>88.49</v>
      </c>
      <c r="S668">
        <f t="shared" si="223"/>
        <v>885.83830000000012</v>
      </c>
      <c r="T668">
        <f t="shared" si="224"/>
        <v>1.5936904856209272E-2</v>
      </c>
      <c r="U668">
        <f t="shared" si="225"/>
        <v>3.9373529644752322E-3</v>
      </c>
      <c r="V668">
        <f t="shared" si="226"/>
        <v>1.1905805392579868E-2</v>
      </c>
      <c r="W668">
        <f t="shared" si="227"/>
        <v>2.437408978008477E-3</v>
      </c>
      <c r="X668">
        <f t="shared" si="228"/>
        <v>0.12176732775135425</v>
      </c>
      <c r="Y668">
        <f t="shared" si="229"/>
        <v>8.4371849238754971E-4</v>
      </c>
      <c r="Z668">
        <f t="shared" si="230"/>
        <v>2.437408978008477E-3</v>
      </c>
      <c r="AA668">
        <f t="shared" si="231"/>
        <v>0.30059861827034895</v>
      </c>
      <c r="AB668">
        <f t="shared" si="232"/>
        <v>0.24928703443730765</v>
      </c>
      <c r="AC668">
        <f t="shared" si="233"/>
        <v>8.7175525788958805E-2</v>
      </c>
      <c r="AD668">
        <f t="shared" si="234"/>
        <v>3.1298206207611926E-3</v>
      </c>
      <c r="AE668">
        <f t="shared" si="235"/>
        <v>3.098546788643361E-2</v>
      </c>
      <c r="AG668">
        <f t="shared" si="236"/>
        <v>1.5140674126338731</v>
      </c>
      <c r="AH668">
        <f t="shared" si="237"/>
        <v>0.19025139529945673</v>
      </c>
      <c r="AI668">
        <f t="shared" si="238"/>
        <v>-0.49650408570001625</v>
      </c>
      <c r="AK668" s="26">
        <f t="shared" si="239"/>
        <v>-5.6538762142506027E-2</v>
      </c>
      <c r="AL668" s="26">
        <f t="shared" si="240"/>
        <v>-5.1302523943854206E-2</v>
      </c>
      <c r="AM668" s="26">
        <f t="shared" si="241"/>
        <v>-5.2962430907113556E-2</v>
      </c>
      <c r="AN668" s="26">
        <f t="shared" si="242"/>
        <v>-0.84904761904758175</v>
      </c>
      <c r="AO668" s="26">
        <f t="shared" si="243"/>
        <v>-2.6002925989673003</v>
      </c>
      <c r="AP668" s="26">
        <f t="shared" si="244"/>
        <v>-5.6099075587622593</v>
      </c>
      <c r="AS668" s="2">
        <v>44812</v>
      </c>
      <c r="AT668">
        <v>13.7</v>
      </c>
      <c r="AU668">
        <v>17.899999999999999</v>
      </c>
      <c r="AV668">
        <v>36.9</v>
      </c>
      <c r="AW668">
        <v>9.1999999999999993</v>
      </c>
      <c r="AX668">
        <v>111.63</v>
      </c>
      <c r="AY668">
        <v>0.4</v>
      </c>
      <c r="AZ668">
        <v>2.2999999999999998</v>
      </c>
      <c r="BA668">
        <v>324.62759999999997</v>
      </c>
      <c r="BB668">
        <v>204.2484</v>
      </c>
      <c r="BC668">
        <v>67.251199999999997</v>
      </c>
      <c r="BD668">
        <v>5.6811999999999996</v>
      </c>
      <c r="BE668">
        <v>18.2606</v>
      </c>
      <c r="BF668">
        <v>-61.710999999999999</v>
      </c>
      <c r="BG668">
        <v>220.79239999999999</v>
      </c>
      <c r="BH668">
        <v>82.96</v>
      </c>
    </row>
    <row r="669" spans="1:60" x14ac:dyDescent="0.25">
      <c r="A669" s="2">
        <v>44832</v>
      </c>
      <c r="B669">
        <v>16.3</v>
      </c>
      <c r="C669">
        <v>18.5</v>
      </c>
      <c r="D669">
        <v>1.5</v>
      </c>
      <c r="E669">
        <v>2.2000000000000002</v>
      </c>
      <c r="F669">
        <v>94.94</v>
      </c>
      <c r="G669">
        <v>0.5</v>
      </c>
      <c r="H669">
        <v>2.5</v>
      </c>
      <c r="I669">
        <v>315.95409999999998</v>
      </c>
      <c r="J669">
        <v>245.34460000000001</v>
      </c>
      <c r="K669">
        <v>89.803600000000003</v>
      </c>
      <c r="L669">
        <v>3.2850000000000001</v>
      </c>
      <c r="M669">
        <v>28.900099999999998</v>
      </c>
      <c r="N669">
        <v>-85.191000000000003</v>
      </c>
      <c r="O669">
        <v>178.98159999999999</v>
      </c>
      <c r="P669">
        <v>88.22</v>
      </c>
      <c r="S669">
        <f t="shared" si="223"/>
        <v>819.72739999999988</v>
      </c>
      <c r="T669">
        <f t="shared" si="224"/>
        <v>1.5280679362130067E-2</v>
      </c>
      <c r="U669">
        <f t="shared" si="225"/>
        <v>1.7343102343521856E-2</v>
      </c>
      <c r="V669">
        <f t="shared" si="226"/>
        <v>1.406197487312583E-3</v>
      </c>
      <c r="W669">
        <f t="shared" si="227"/>
        <v>2.0624229813917885E-3</v>
      </c>
      <c r="X669">
        <f t="shared" si="228"/>
        <v>8.9002926296971083E-2</v>
      </c>
      <c r="Y669">
        <f t="shared" si="229"/>
        <v>4.6873249577086097E-4</v>
      </c>
      <c r="Z669">
        <f t="shared" si="230"/>
        <v>2.3436624788543046E-3</v>
      </c>
      <c r="AA669">
        <f t="shared" si="231"/>
        <v>0.29619590768407233</v>
      </c>
      <c r="AB669">
        <f t="shared" si="232"/>
        <v>0.23000197336380715</v>
      </c>
      <c r="AC669">
        <f t="shared" si="233"/>
        <v>8.4187731114416187E-2</v>
      </c>
      <c r="AD669">
        <f t="shared" si="234"/>
        <v>3.0795724972145565E-3</v>
      </c>
      <c r="AE669">
        <f t="shared" si="235"/>
        <v>2.7092832002054916E-2</v>
      </c>
      <c r="AG669">
        <f t="shared" si="236"/>
        <v>1.5035276960574144</v>
      </c>
      <c r="AH669">
        <f t="shared" si="237"/>
        <v>0.15500055544800748</v>
      </c>
      <c r="AI669">
        <f t="shared" si="238"/>
        <v>-0.8071215464694258</v>
      </c>
      <c r="AK669" s="26">
        <f t="shared" si="239"/>
        <v>-6.088615634212291E-2</v>
      </c>
      <c r="AL669" s="26">
        <f t="shared" si="240"/>
        <v>-5.3362281987383131E-2</v>
      </c>
      <c r="AM669" s="26">
        <f t="shared" si="241"/>
        <v>-5.2949210614522235E-2</v>
      </c>
      <c r="AN669" s="26">
        <f t="shared" si="242"/>
        <v>-0.94333333333332803</v>
      </c>
      <c r="AO669" s="26">
        <f t="shared" si="243"/>
        <v>-2.6848859724612879</v>
      </c>
      <c r="AP669" s="26">
        <f t="shared" si="244"/>
        <v>-5.7080813706919145</v>
      </c>
      <c r="AS669" s="2">
        <v>44811</v>
      </c>
      <c r="AT669">
        <v>12</v>
      </c>
      <c r="AU669">
        <v>26.8</v>
      </c>
      <c r="AV669">
        <v>25.6</v>
      </c>
      <c r="AW669">
        <v>6.1</v>
      </c>
      <c r="AX669">
        <v>195.85</v>
      </c>
      <c r="AY669">
        <v>0.3</v>
      </c>
      <c r="AZ669">
        <v>3</v>
      </c>
      <c r="BA669">
        <v>305.02929999999998</v>
      </c>
      <c r="BB669">
        <v>210.2714</v>
      </c>
      <c r="BC669">
        <v>93.623000000000005</v>
      </c>
      <c r="BD669">
        <v>5.7218999999999998</v>
      </c>
      <c r="BE669">
        <v>21.560199999999998</v>
      </c>
      <c r="BF669">
        <v>-30.840199999999999</v>
      </c>
      <c r="BG669">
        <v>229.7527</v>
      </c>
      <c r="BH669">
        <v>82.65</v>
      </c>
    </row>
    <row r="670" spans="1:60" x14ac:dyDescent="0.25">
      <c r="A670" s="2">
        <v>44831</v>
      </c>
      <c r="B670">
        <v>14.3</v>
      </c>
      <c r="C670">
        <v>20.9</v>
      </c>
      <c r="D670">
        <v>35.200000000000003</v>
      </c>
      <c r="E670">
        <v>8.1</v>
      </c>
      <c r="F670">
        <v>92.58</v>
      </c>
      <c r="G670">
        <v>0.2</v>
      </c>
      <c r="H670">
        <v>2.5</v>
      </c>
      <c r="I670">
        <v>283.98779999999999</v>
      </c>
      <c r="J670">
        <v>199.6165</v>
      </c>
      <c r="K670">
        <v>65.557100000000005</v>
      </c>
      <c r="L670">
        <v>3.2826</v>
      </c>
      <c r="M670">
        <v>26.7761</v>
      </c>
      <c r="N670">
        <v>-66.823099999999997</v>
      </c>
      <c r="O670">
        <v>151.43610000000001</v>
      </c>
      <c r="P670">
        <v>88.14</v>
      </c>
      <c r="S670">
        <f t="shared" si="223"/>
        <v>753.00009999999997</v>
      </c>
      <c r="T670">
        <f t="shared" si="224"/>
        <v>1.3405749379046624E-2</v>
      </c>
      <c r="U670">
        <f t="shared" si="225"/>
        <v>1.9593018323221988E-2</v>
      </c>
      <c r="V670">
        <f t="shared" si="226"/>
        <v>3.2998767702268617E-2</v>
      </c>
      <c r="W670">
        <f t="shared" si="227"/>
        <v>7.593466431487947E-3</v>
      </c>
      <c r="X670">
        <f t="shared" si="228"/>
        <v>8.6790508916932615E-2</v>
      </c>
      <c r="Y670">
        <f t="shared" si="229"/>
        <v>1.874929983083444E-4</v>
      </c>
      <c r="Z670">
        <f t="shared" si="230"/>
        <v>2.3436624788543046E-3</v>
      </c>
      <c r="AA670">
        <f t="shared" si="231"/>
        <v>0.26622862052495222</v>
      </c>
      <c r="AB670">
        <f t="shared" si="232"/>
        <v>0.18713348048408812</v>
      </c>
      <c r="AC670">
        <f t="shared" si="233"/>
        <v>6.1457486196999825E-2</v>
      </c>
      <c r="AD670">
        <f t="shared" si="234"/>
        <v>3.0773225812348562E-3</v>
      </c>
      <c r="AE670">
        <f t="shared" si="235"/>
        <v>2.5101656360020298E-2</v>
      </c>
      <c r="AG670">
        <f t="shared" si="236"/>
        <v>1.5016311111009557</v>
      </c>
      <c r="AH670">
        <f t="shared" si="237"/>
        <v>0.18801432259014075</v>
      </c>
      <c r="AI670">
        <f t="shared" si="238"/>
        <v>-0.51783842395532953</v>
      </c>
      <c r="AK670" s="26">
        <f t="shared" si="239"/>
        <v>-5.8140218707160018E-2</v>
      </c>
      <c r="AL670" s="26">
        <f t="shared" si="240"/>
        <v>-5.1775882611530877E-2</v>
      </c>
      <c r="AM670" s="26">
        <f t="shared" si="241"/>
        <v>-5.3111119764319148E-2</v>
      </c>
      <c r="AN670" s="26">
        <f t="shared" si="242"/>
        <v>-1.0384126984126709</v>
      </c>
      <c r="AO670" s="26">
        <f t="shared" si="243"/>
        <v>-2.7672482788296264</v>
      </c>
      <c r="AP670" s="26">
        <f t="shared" si="244"/>
        <v>-5.8043002609485796</v>
      </c>
      <c r="AS670" s="2">
        <v>44810</v>
      </c>
      <c r="AT670">
        <v>11.2</v>
      </c>
      <c r="AU670">
        <v>28</v>
      </c>
      <c r="AV670">
        <v>59.6</v>
      </c>
      <c r="AW670">
        <v>15.4</v>
      </c>
      <c r="AX670">
        <v>200.69</v>
      </c>
      <c r="AY670">
        <v>0.4</v>
      </c>
      <c r="AZ670">
        <v>2.8</v>
      </c>
      <c r="BA670">
        <v>312.72730000000001</v>
      </c>
      <c r="BB670">
        <v>181.88470000000001</v>
      </c>
      <c r="BC670">
        <v>52.533499999999997</v>
      </c>
      <c r="BD670">
        <v>5.7328999999999999</v>
      </c>
      <c r="BE670">
        <v>30.841200000000001</v>
      </c>
      <c r="BF670">
        <v>-58.971499999999999</v>
      </c>
      <c r="BG670">
        <v>242.46680000000001</v>
      </c>
      <c r="BH670">
        <v>82.42</v>
      </c>
    </row>
    <row r="671" spans="1:60" x14ac:dyDescent="0.25">
      <c r="A671" s="2">
        <v>44830</v>
      </c>
      <c r="B671">
        <v>13.5</v>
      </c>
      <c r="C671">
        <v>2.6</v>
      </c>
      <c r="D671">
        <v>68.900000000000006</v>
      </c>
      <c r="E671">
        <v>19.100000000000001</v>
      </c>
      <c r="F671">
        <v>129.27000000000001</v>
      </c>
      <c r="G671">
        <v>0.1</v>
      </c>
      <c r="H671">
        <v>2.6</v>
      </c>
      <c r="I671">
        <v>281.6474</v>
      </c>
      <c r="J671">
        <v>143.43369999999999</v>
      </c>
      <c r="K671">
        <v>31.149000000000001</v>
      </c>
      <c r="L671">
        <v>3.3089</v>
      </c>
      <c r="M671">
        <v>14.5967</v>
      </c>
      <c r="N671">
        <v>-56.7667</v>
      </c>
      <c r="O671">
        <v>142.73570000000001</v>
      </c>
      <c r="P671">
        <v>87.94</v>
      </c>
      <c r="S671">
        <f t="shared" si="223"/>
        <v>710.20570000000009</v>
      </c>
      <c r="T671">
        <f t="shared" si="224"/>
        <v>1.2655777385813246E-2</v>
      </c>
      <c r="U671">
        <f t="shared" si="225"/>
        <v>2.437408978008477E-3</v>
      </c>
      <c r="V671">
        <f t="shared" si="226"/>
        <v>6.4591337917224642E-2</v>
      </c>
      <c r="W671">
        <f t="shared" si="227"/>
        <v>1.7905581338446889E-2</v>
      </c>
      <c r="X671">
        <f t="shared" si="228"/>
        <v>0.1211860994565984</v>
      </c>
      <c r="Y671">
        <f t="shared" si="229"/>
        <v>9.3746499154172199E-5</v>
      </c>
      <c r="Z671">
        <f t="shared" si="230"/>
        <v>2.437408978008477E-3</v>
      </c>
      <c r="AA671">
        <f t="shared" si="231"/>
        <v>0.26403457745874798</v>
      </c>
      <c r="AB671">
        <f t="shared" si="232"/>
        <v>0.13446407235729788</v>
      </c>
      <c r="AC671">
        <f t="shared" si="233"/>
        <v>2.9201097021533097E-2</v>
      </c>
      <c r="AD671">
        <f t="shared" si="234"/>
        <v>3.1019779105124034E-3</v>
      </c>
      <c r="AE671">
        <f t="shared" si="235"/>
        <v>1.3683895242037052E-2</v>
      </c>
      <c r="AG671">
        <f t="shared" si="236"/>
        <v>1.4942760766610546</v>
      </c>
      <c r="AH671">
        <f t="shared" si="237"/>
        <v>0.23499125579529134</v>
      </c>
      <c r="AI671">
        <f t="shared" si="238"/>
        <v>-0.10430330627099407</v>
      </c>
      <c r="AK671" s="26">
        <f t="shared" si="239"/>
        <v>-5.8961427623472867E-2</v>
      </c>
      <c r="AL671" s="26">
        <f t="shared" si="240"/>
        <v>-4.9506422322155408E-2</v>
      </c>
      <c r="AM671" s="26">
        <f t="shared" si="241"/>
        <v>-5.4618642963980835E-2</v>
      </c>
      <c r="AN671" s="26">
        <f t="shared" si="242"/>
        <v>-1.140793650793654</v>
      </c>
      <c r="AO671" s="26">
        <f t="shared" si="243"/>
        <v>-2.8532831325301373</v>
      </c>
      <c r="AP671" s="26">
        <f t="shared" si="244"/>
        <v>-5.9007990211422623</v>
      </c>
      <c r="AS671" s="2">
        <v>44809</v>
      </c>
      <c r="AT671">
        <v>10.4</v>
      </c>
      <c r="AU671">
        <v>58.4</v>
      </c>
      <c r="AV671">
        <v>57.6</v>
      </c>
      <c r="AW671">
        <v>13.4</v>
      </c>
      <c r="AX671">
        <v>243.36</v>
      </c>
      <c r="AY671">
        <v>0.4</v>
      </c>
      <c r="AZ671">
        <v>2.5</v>
      </c>
      <c r="BA671">
        <v>300.57600000000002</v>
      </c>
      <c r="BB671">
        <v>181.81630000000001</v>
      </c>
      <c r="BC671">
        <v>34.119500000000002</v>
      </c>
      <c r="BD671">
        <v>5.7191999999999998</v>
      </c>
      <c r="BE671">
        <v>29.270399999999999</v>
      </c>
      <c r="BF671">
        <v>-48.546100000000003</v>
      </c>
      <c r="BG671">
        <v>258.3759</v>
      </c>
      <c r="BH671">
        <v>82.13</v>
      </c>
    </row>
    <row r="672" spans="1:60" x14ac:dyDescent="0.25">
      <c r="A672" s="2">
        <v>44829</v>
      </c>
      <c r="B672">
        <v>12.8</v>
      </c>
      <c r="C672">
        <v>27</v>
      </c>
      <c r="D672">
        <v>26.9</v>
      </c>
      <c r="E672">
        <v>3.2</v>
      </c>
      <c r="F672">
        <v>111.31</v>
      </c>
      <c r="G672">
        <v>0.1</v>
      </c>
      <c r="H672">
        <v>2</v>
      </c>
      <c r="I672">
        <v>297.8349</v>
      </c>
      <c r="J672">
        <v>175.185</v>
      </c>
      <c r="K672">
        <v>30.582799999999999</v>
      </c>
      <c r="L672">
        <v>3.2757000000000001</v>
      </c>
      <c r="M672">
        <v>17.470099999999999</v>
      </c>
      <c r="P672">
        <v>87.72</v>
      </c>
      <c r="S672">
        <f t="shared" si="223"/>
        <v>707.6585</v>
      </c>
      <c r="T672">
        <f t="shared" si="224"/>
        <v>1.1999551891734041E-2</v>
      </c>
      <c r="U672">
        <f t="shared" si="225"/>
        <v>2.5311554771626492E-2</v>
      </c>
      <c r="V672">
        <f t="shared" si="226"/>
        <v>2.5217808272472317E-2</v>
      </c>
      <c r="W672">
        <f t="shared" si="227"/>
        <v>2.9998879729335104E-3</v>
      </c>
      <c r="X672">
        <f t="shared" si="228"/>
        <v>0.10434922820850907</v>
      </c>
      <c r="Y672">
        <f t="shared" si="229"/>
        <v>9.3746499154172199E-5</v>
      </c>
      <c r="Z672">
        <f t="shared" si="230"/>
        <v>1.8749299830834439E-3</v>
      </c>
      <c r="AA672">
        <f t="shared" si="231"/>
        <v>0.2792097920093296</v>
      </c>
      <c r="AB672">
        <f t="shared" si="232"/>
        <v>0.16422980454323655</v>
      </c>
      <c r="AC672">
        <f t="shared" si="233"/>
        <v>2.8670304343322173E-2</v>
      </c>
      <c r="AD672">
        <f t="shared" si="234"/>
        <v>3.0708540727932185E-3</v>
      </c>
      <c r="AE672">
        <f t="shared" si="235"/>
        <v>1.6377607148733035E-2</v>
      </c>
      <c r="AG672">
        <f t="shared" si="236"/>
        <v>1.4860076757133707</v>
      </c>
      <c r="AH672">
        <f t="shared" si="237"/>
        <v>0.18822431474824608</v>
      </c>
      <c r="AI672">
        <f t="shared" si="238"/>
        <v>-0.51462980244390044</v>
      </c>
      <c r="AK672" s="26">
        <f t="shared" si="239"/>
        <v>-5.341195629011436E-2</v>
      </c>
      <c r="AL672" s="26">
        <f t="shared" si="240"/>
        <v>-5.0711585645688673E-2</v>
      </c>
      <c r="AM672" s="26">
        <f t="shared" si="241"/>
        <v>-5.6288887539128918E-2</v>
      </c>
      <c r="AN672" s="26">
        <f t="shared" si="242"/>
        <v>-1.2468253968253862</v>
      </c>
      <c r="AO672" s="26">
        <f t="shared" si="243"/>
        <v>-2.9401828743545764</v>
      </c>
      <c r="AP672" s="26">
        <f t="shared" si="244"/>
        <v>-5.9976705680845868</v>
      </c>
      <c r="AS672" s="2">
        <v>44808</v>
      </c>
      <c r="AT672">
        <v>10.8</v>
      </c>
      <c r="AU672">
        <v>35.200000000000003</v>
      </c>
      <c r="AV672">
        <v>54.6</v>
      </c>
      <c r="AW672">
        <v>10.4</v>
      </c>
      <c r="AX672">
        <v>239</v>
      </c>
      <c r="AY672">
        <v>0.5</v>
      </c>
      <c r="AZ672">
        <v>2.6</v>
      </c>
      <c r="BA672">
        <v>275.4425</v>
      </c>
      <c r="BB672">
        <v>93.838899999999995</v>
      </c>
      <c r="BC672">
        <v>27.771599999999999</v>
      </c>
      <c r="BD672">
        <v>5.7565999999999997</v>
      </c>
      <c r="BE672">
        <v>18.075800000000001</v>
      </c>
      <c r="BH672">
        <v>81.819999999999993</v>
      </c>
    </row>
    <row r="673" spans="1:60" x14ac:dyDescent="0.25">
      <c r="A673" s="2">
        <v>44828</v>
      </c>
      <c r="C673">
        <v>22.9</v>
      </c>
      <c r="F673">
        <v>105.17</v>
      </c>
      <c r="K673">
        <v>30.503299999999999</v>
      </c>
      <c r="P673">
        <v>87.4</v>
      </c>
      <c r="S673">
        <f t="shared" si="223"/>
        <v>158.57329999999999</v>
      </c>
      <c r="T673">
        <f t="shared" si="224"/>
        <v>0</v>
      </c>
      <c r="U673">
        <f t="shared" si="225"/>
        <v>2.146794830630543E-2</v>
      </c>
      <c r="V673">
        <f t="shared" si="226"/>
        <v>0</v>
      </c>
      <c r="W673">
        <f t="shared" si="227"/>
        <v>0</v>
      </c>
      <c r="X673">
        <f t="shared" si="228"/>
        <v>9.8593193160442891E-2</v>
      </c>
      <c r="Y673">
        <f t="shared" si="229"/>
        <v>0</v>
      </c>
      <c r="Z673">
        <f t="shared" si="230"/>
        <v>0</v>
      </c>
      <c r="AA673">
        <f t="shared" si="231"/>
        <v>0</v>
      </c>
      <c r="AB673">
        <f t="shared" si="232"/>
        <v>0</v>
      </c>
      <c r="AC673">
        <f t="shared" si="233"/>
        <v>2.8595775876494606E-2</v>
      </c>
      <c r="AD673">
        <f t="shared" si="234"/>
        <v>0</v>
      </c>
      <c r="AE673">
        <f t="shared" si="235"/>
        <v>0</v>
      </c>
      <c r="AG673">
        <f t="shared" si="236"/>
        <v>1.4731897355544681</v>
      </c>
      <c r="AH673">
        <f t="shared" si="237"/>
        <v>0.12006114146674832</v>
      </c>
      <c r="AI673">
        <f t="shared" si="238"/>
        <v>-1.1169582505110958</v>
      </c>
      <c r="AK673" s="26">
        <f t="shared" si="239"/>
        <v>-4.8712085669955524E-2</v>
      </c>
      <c r="AL673" s="26">
        <f t="shared" si="240"/>
        <v>-5.5515220178582514E-2</v>
      </c>
      <c r="AM673" s="26">
        <f t="shared" si="241"/>
        <v>-5.6796350927176276E-2</v>
      </c>
      <c r="AN673" s="26">
        <f t="shared" si="242"/>
        <v>-1.3604761904762199</v>
      </c>
      <c r="AO673" s="26">
        <f t="shared" si="243"/>
        <v>-3.0337822719449292</v>
      </c>
      <c r="AP673" s="26">
        <f t="shared" si="244"/>
        <v>-6.0961571727239772</v>
      </c>
      <c r="AS673" s="2">
        <v>44807</v>
      </c>
      <c r="AU673">
        <v>62.9</v>
      </c>
      <c r="AX673">
        <v>206.71</v>
      </c>
      <c r="BC673">
        <v>20.661799999999999</v>
      </c>
      <c r="BH673">
        <v>81.41</v>
      </c>
    </row>
    <row r="674" spans="1:60" x14ac:dyDescent="0.25">
      <c r="A674" s="2">
        <v>44827</v>
      </c>
      <c r="C674">
        <v>45.4</v>
      </c>
      <c r="F674">
        <v>201.51</v>
      </c>
      <c r="K674">
        <v>85.787400000000005</v>
      </c>
      <c r="N674">
        <v>-68.286000000000001</v>
      </c>
      <c r="O674">
        <v>154.5001</v>
      </c>
      <c r="P674">
        <v>87.09</v>
      </c>
      <c r="S674">
        <f t="shared" si="223"/>
        <v>332.69740000000002</v>
      </c>
      <c r="T674">
        <f t="shared" si="224"/>
        <v>0</v>
      </c>
      <c r="U674">
        <f t="shared" si="225"/>
        <v>4.2560910615994173E-2</v>
      </c>
      <c r="V674">
        <f t="shared" si="226"/>
        <v>0</v>
      </c>
      <c r="W674">
        <f t="shared" si="227"/>
        <v>0</v>
      </c>
      <c r="X674">
        <f t="shared" si="228"/>
        <v>0.18890857044557238</v>
      </c>
      <c r="Y674">
        <f t="shared" si="229"/>
        <v>0</v>
      </c>
      <c r="Z674">
        <f t="shared" si="230"/>
        <v>0</v>
      </c>
      <c r="AA674">
        <f t="shared" si="231"/>
        <v>0</v>
      </c>
      <c r="AB674">
        <f t="shared" si="232"/>
        <v>0</v>
      </c>
      <c r="AC674">
        <f t="shared" si="233"/>
        <v>8.0422684215386314E-2</v>
      </c>
      <c r="AD674">
        <f t="shared" si="234"/>
        <v>0</v>
      </c>
      <c r="AE674">
        <f t="shared" si="235"/>
        <v>0</v>
      </c>
      <c r="AG674">
        <f t="shared" si="236"/>
        <v>1.4608473593042994</v>
      </c>
      <c r="AH674">
        <f t="shared" si="237"/>
        <v>0.23146948106156656</v>
      </c>
      <c r="AI674">
        <f t="shared" si="238"/>
        <v>-0.13810728935625396</v>
      </c>
      <c r="AK674" s="26">
        <f t="shared" si="239"/>
        <v>-4.5653607623090314E-2</v>
      </c>
      <c r="AL674" s="26">
        <f t="shared" si="240"/>
        <v>-6.0986073212903336E-2</v>
      </c>
      <c r="AM674" s="26">
        <f t="shared" si="241"/>
        <v>-5.7176448582338613E-2</v>
      </c>
      <c r="AN674" s="26">
        <f t="shared" si="242"/>
        <v>-1.4758730158730344</v>
      </c>
      <c r="AO674" s="26">
        <f t="shared" si="243"/>
        <v>-3.1286338209983171</v>
      </c>
      <c r="AP674" s="26">
        <f t="shared" si="244"/>
        <v>-6.1938475462591356</v>
      </c>
      <c r="AS674" s="2">
        <v>44806</v>
      </c>
      <c r="AU674">
        <v>0</v>
      </c>
      <c r="AX674">
        <v>261.64</v>
      </c>
      <c r="BC674">
        <v>63.563699999999997</v>
      </c>
      <c r="BF674">
        <v>-14.190099999999999</v>
      </c>
      <c r="BG674">
        <v>238.58850000000001</v>
      </c>
      <c r="BH674">
        <v>81.010000000000005</v>
      </c>
    </row>
    <row r="675" spans="1:60" x14ac:dyDescent="0.25">
      <c r="A675" s="2">
        <v>44826</v>
      </c>
      <c r="B675">
        <v>14.3</v>
      </c>
      <c r="C675">
        <v>102.6</v>
      </c>
      <c r="D675">
        <v>8.3000000000000007</v>
      </c>
      <c r="E675">
        <v>0.9</v>
      </c>
      <c r="F675">
        <v>230.88</v>
      </c>
      <c r="G675">
        <v>0.5</v>
      </c>
      <c r="H675">
        <v>2.2000000000000002</v>
      </c>
      <c r="I675">
        <v>325.5455</v>
      </c>
      <c r="J675">
        <v>233.4058</v>
      </c>
      <c r="K675">
        <v>77.102199999999996</v>
      </c>
      <c r="L675">
        <v>3.3351000000000002</v>
      </c>
      <c r="M675">
        <v>26.892199999999999</v>
      </c>
      <c r="N675">
        <v>-45.203699999999998</v>
      </c>
      <c r="O675">
        <v>183.80090000000001</v>
      </c>
      <c r="P675">
        <v>86.86</v>
      </c>
      <c r="S675">
        <f t="shared" si="223"/>
        <v>1025.9608000000001</v>
      </c>
      <c r="T675">
        <f t="shared" si="224"/>
        <v>1.3405749379046624E-2</v>
      </c>
      <c r="U675">
        <f t="shared" si="225"/>
        <v>9.6183908132180668E-2</v>
      </c>
      <c r="V675">
        <f t="shared" si="226"/>
        <v>7.7809594297962928E-3</v>
      </c>
      <c r="W675">
        <f t="shared" si="227"/>
        <v>8.4371849238754971E-4</v>
      </c>
      <c r="X675">
        <f t="shared" si="228"/>
        <v>0.21644191724715275</v>
      </c>
      <c r="Y675">
        <f t="shared" si="229"/>
        <v>4.6873249577086097E-4</v>
      </c>
      <c r="Z675">
        <f t="shared" si="230"/>
        <v>2.0624229813917885E-3</v>
      </c>
      <c r="AA675">
        <f t="shared" si="231"/>
        <v>0.30518750940394562</v>
      </c>
      <c r="AB675">
        <f t="shared" si="232"/>
        <v>0.21880976632278884</v>
      </c>
      <c r="AC675">
        <f t="shared" si="233"/>
        <v>7.2280613270848143E-2</v>
      </c>
      <c r="AD675">
        <f t="shared" si="234"/>
        <v>3.1265394932907969E-3</v>
      </c>
      <c r="AE675">
        <f t="shared" si="235"/>
        <v>2.5210496045538294E-2</v>
      </c>
      <c r="AG675">
        <f t="shared" si="236"/>
        <v>1.4521272271633345</v>
      </c>
      <c r="AH675">
        <f t="shared" si="237"/>
        <v>0.36239790420326479</v>
      </c>
      <c r="AI675">
        <f t="shared" si="238"/>
        <v>1.0170217894883586</v>
      </c>
      <c r="AK675" s="26">
        <f t="shared" si="239"/>
        <v>-4.153802470724699E-2</v>
      </c>
      <c r="AL675" s="26">
        <f t="shared" si="240"/>
        <v>-6.5229814343053416E-2</v>
      </c>
      <c r="AM675" s="26">
        <f t="shared" si="241"/>
        <v>-5.6758209802170945E-2</v>
      </c>
      <c r="AN675" s="26">
        <f t="shared" si="242"/>
        <v>-1.5922222222222047</v>
      </c>
      <c r="AO675" s="26">
        <f t="shared" si="243"/>
        <v>-3.2221987951807449</v>
      </c>
      <c r="AP675" s="26">
        <f t="shared" si="244"/>
        <v>-6.2902525150616384</v>
      </c>
      <c r="AS675" s="2">
        <v>44805</v>
      </c>
      <c r="AT675">
        <v>12.5</v>
      </c>
      <c r="AU675">
        <v>0.7</v>
      </c>
      <c r="AV675">
        <v>16.5</v>
      </c>
      <c r="AW675">
        <v>5.2</v>
      </c>
      <c r="AX675">
        <v>216.14</v>
      </c>
      <c r="AY675">
        <v>0.8</v>
      </c>
      <c r="AZ675">
        <v>2.9</v>
      </c>
      <c r="BA675">
        <v>296.03919999999999</v>
      </c>
      <c r="BB675">
        <v>205.42670000000001</v>
      </c>
      <c r="BC675">
        <v>81.507000000000005</v>
      </c>
      <c r="BD675">
        <v>5.5629</v>
      </c>
      <c r="BE675">
        <v>23.294799999999999</v>
      </c>
      <c r="BF675">
        <v>-12.9474</v>
      </c>
      <c r="BG675">
        <v>297.81200000000001</v>
      </c>
      <c r="BH675">
        <v>80.72</v>
      </c>
    </row>
    <row r="676" spans="1:60" x14ac:dyDescent="0.25">
      <c r="A676" s="2">
        <v>44825</v>
      </c>
      <c r="B676">
        <v>14.9</v>
      </c>
      <c r="C676">
        <v>24.5</v>
      </c>
      <c r="D676">
        <v>1.4</v>
      </c>
      <c r="E676">
        <v>1</v>
      </c>
      <c r="F676">
        <v>215.41</v>
      </c>
      <c r="G676">
        <v>0.5</v>
      </c>
      <c r="H676">
        <v>2.5</v>
      </c>
      <c r="I676">
        <v>312.64839999999998</v>
      </c>
      <c r="J676">
        <v>226.1386</v>
      </c>
      <c r="K676">
        <v>101.9568</v>
      </c>
      <c r="L676">
        <v>4.7961999999999998</v>
      </c>
      <c r="M676">
        <v>26.5624</v>
      </c>
      <c r="N676">
        <v>-45.863399999999999</v>
      </c>
      <c r="O676">
        <v>189.9657</v>
      </c>
      <c r="P676">
        <v>86.64</v>
      </c>
      <c r="S676">
        <f t="shared" si="223"/>
        <v>932.31240000000003</v>
      </c>
      <c r="T676">
        <f t="shared" si="224"/>
        <v>1.3968228373971657E-2</v>
      </c>
      <c r="U676">
        <f t="shared" si="225"/>
        <v>2.2967892292772185E-2</v>
      </c>
      <c r="V676">
        <f t="shared" si="226"/>
        <v>1.3124509881584105E-3</v>
      </c>
      <c r="W676">
        <f t="shared" si="227"/>
        <v>9.3746499154172193E-4</v>
      </c>
      <c r="X676">
        <f t="shared" si="228"/>
        <v>0.2019393338280023</v>
      </c>
      <c r="Y676">
        <f t="shared" si="229"/>
        <v>4.6873249577086097E-4</v>
      </c>
      <c r="Z676">
        <f t="shared" si="230"/>
        <v>2.3436624788543046E-3</v>
      </c>
      <c r="AA676">
        <f t="shared" si="231"/>
        <v>0.29309692966153289</v>
      </c>
      <c r="AB676">
        <f t="shared" si="232"/>
        <v>0.21199702073625684</v>
      </c>
      <c r="AC676">
        <f t="shared" si="233"/>
        <v>9.5580930649621032E-2</v>
      </c>
      <c r="AD676">
        <f t="shared" si="234"/>
        <v>4.4962695924324067E-3</v>
      </c>
      <c r="AE676">
        <f t="shared" si="235"/>
        <v>2.4901320091327835E-2</v>
      </c>
      <c r="AG676">
        <f t="shared" si="236"/>
        <v>1.4438495353662608</v>
      </c>
      <c r="AH676">
        <f t="shared" si="237"/>
        <v>0.26883908554039926</v>
      </c>
      <c r="AI676">
        <f t="shared" si="238"/>
        <v>0.19470443363189277</v>
      </c>
      <c r="AK676" s="26">
        <f t="shared" si="239"/>
        <v>-4.8198222419060077E-2</v>
      </c>
      <c r="AL676" s="26">
        <f t="shared" si="240"/>
        <v>-6.5283753452635263E-2</v>
      </c>
      <c r="AM676" s="26">
        <f t="shared" si="241"/>
        <v>-5.8657756244874071E-2</v>
      </c>
      <c r="AN676" s="26">
        <f t="shared" si="242"/>
        <v>-1.7068253968253799</v>
      </c>
      <c r="AO676" s="26">
        <f t="shared" si="243"/>
        <v>-3.3147160068846944</v>
      </c>
      <c r="AP676" s="26">
        <f t="shared" si="244"/>
        <v>-6.3857493203772009</v>
      </c>
      <c r="AS676" s="2">
        <v>44804</v>
      </c>
      <c r="AT676">
        <v>8.9</v>
      </c>
      <c r="AU676">
        <v>3.9</v>
      </c>
      <c r="AV676">
        <v>26.7</v>
      </c>
      <c r="AW676">
        <v>5.6</v>
      </c>
      <c r="AX676">
        <v>158.52000000000001</v>
      </c>
      <c r="AY676">
        <v>0.8</v>
      </c>
      <c r="AZ676">
        <v>2.9</v>
      </c>
      <c r="BA676">
        <v>288.46850000000001</v>
      </c>
      <c r="BB676">
        <v>205.2192</v>
      </c>
      <c r="BC676">
        <v>93.934700000000007</v>
      </c>
      <c r="BD676">
        <v>5.4724000000000004</v>
      </c>
      <c r="BE676">
        <v>25.436399999999999</v>
      </c>
      <c r="BF676">
        <v>29.689599999999999</v>
      </c>
      <c r="BG676">
        <v>205.2038</v>
      </c>
      <c r="BH676">
        <v>80.44</v>
      </c>
    </row>
    <row r="677" spans="1:60" x14ac:dyDescent="0.25">
      <c r="A677" s="2">
        <v>44824</v>
      </c>
      <c r="B677">
        <v>14.8</v>
      </c>
      <c r="C677">
        <v>21.3</v>
      </c>
      <c r="D677">
        <v>29.2</v>
      </c>
      <c r="E677">
        <v>4.0999999999999996</v>
      </c>
      <c r="F677">
        <v>159.44</v>
      </c>
      <c r="G677">
        <v>0.5</v>
      </c>
      <c r="H677">
        <v>2.4</v>
      </c>
      <c r="I677">
        <v>305.36290000000002</v>
      </c>
      <c r="J677">
        <v>213.82329999999999</v>
      </c>
      <c r="K677">
        <v>95.567700000000002</v>
      </c>
      <c r="L677">
        <v>5.9432999999999998</v>
      </c>
      <c r="M677">
        <v>23.5413</v>
      </c>
      <c r="N677">
        <v>-74.077500000000001</v>
      </c>
      <c r="O677">
        <v>170.47929999999999</v>
      </c>
      <c r="P677">
        <v>86.43</v>
      </c>
      <c r="S677">
        <f t="shared" si="223"/>
        <v>875.97849999999994</v>
      </c>
      <c r="T677">
        <f t="shared" si="224"/>
        <v>1.3874481874817485E-2</v>
      </c>
      <c r="U677">
        <f t="shared" si="225"/>
        <v>1.9968004319838677E-2</v>
      </c>
      <c r="V677">
        <f t="shared" si="226"/>
        <v>2.737397775301828E-2</v>
      </c>
      <c r="W677">
        <f t="shared" si="227"/>
        <v>3.8436064653210593E-3</v>
      </c>
      <c r="X677">
        <f t="shared" si="228"/>
        <v>0.14946941825141213</v>
      </c>
      <c r="Y677">
        <f t="shared" si="229"/>
        <v>4.6873249577086097E-4</v>
      </c>
      <c r="Z677">
        <f t="shared" si="230"/>
        <v>2.2499159797001326E-3</v>
      </c>
      <c r="AA677">
        <f t="shared" si="231"/>
        <v>0.28626702846565572</v>
      </c>
      <c r="AB677">
        <f t="shared" si="232"/>
        <v>0.20045185812592306</v>
      </c>
      <c r="AC677">
        <f t="shared" si="233"/>
        <v>8.959137307216182E-2</v>
      </c>
      <c r="AD677">
        <f t="shared" si="234"/>
        <v>5.5716356842299159E-3</v>
      </c>
      <c r="AE677">
        <f t="shared" si="235"/>
        <v>2.2069144605381136E-2</v>
      </c>
      <c r="AG677">
        <f t="shared" si="236"/>
        <v>1.4360100330686936</v>
      </c>
      <c r="AH677">
        <f t="shared" si="237"/>
        <v>0.23931728174525979</v>
      </c>
      <c r="AI677">
        <f t="shared" si="238"/>
        <v>-6.4535646936243043E-2</v>
      </c>
      <c r="AK677" s="26">
        <f t="shared" si="239"/>
        <v>-4.7456483749315909E-2</v>
      </c>
      <c r="AL677" s="26">
        <f t="shared" si="240"/>
        <v>-6.3170216443070804E-2</v>
      </c>
      <c r="AM677" s="26">
        <f t="shared" si="241"/>
        <v>-5.8949172040334508E-2</v>
      </c>
      <c r="AN677" s="26">
        <f t="shared" si="242"/>
        <v>-1.8233333333332951</v>
      </c>
      <c r="AO677" s="26">
        <f t="shared" si="243"/>
        <v>-3.4092555938037776</v>
      </c>
      <c r="AP677" s="26">
        <f t="shared" si="244"/>
        <v>-6.4807332076019861</v>
      </c>
      <c r="AS677" s="2">
        <v>44803</v>
      </c>
      <c r="AT677">
        <v>8</v>
      </c>
      <c r="AU677">
        <v>1.4</v>
      </c>
      <c r="AV677">
        <v>24.5</v>
      </c>
      <c r="AW677">
        <v>4.5</v>
      </c>
      <c r="AX677">
        <v>233.11</v>
      </c>
      <c r="AY677">
        <v>0.8</v>
      </c>
      <c r="AZ677">
        <v>3</v>
      </c>
      <c r="BA677">
        <v>280.92770000000002</v>
      </c>
      <c r="BB677">
        <v>215.16669999999999</v>
      </c>
      <c r="BC677">
        <v>96.342699999999994</v>
      </c>
      <c r="BD677">
        <v>5.4370000000000003</v>
      </c>
      <c r="BE677">
        <v>15.922599999999999</v>
      </c>
      <c r="BF677">
        <v>-29.867599999999999</v>
      </c>
      <c r="BG677">
        <v>301.37700000000001</v>
      </c>
      <c r="BH677">
        <v>80.319999999999993</v>
      </c>
    </row>
    <row r="678" spans="1:60" x14ac:dyDescent="0.25">
      <c r="A678" s="2">
        <v>44823</v>
      </c>
      <c r="B678">
        <v>15.3</v>
      </c>
      <c r="C678">
        <v>1.8</v>
      </c>
      <c r="D678">
        <v>82.9</v>
      </c>
      <c r="E678">
        <v>12.5</v>
      </c>
      <c r="F678">
        <v>136.33000000000001</v>
      </c>
      <c r="G678">
        <v>0.5</v>
      </c>
      <c r="H678">
        <v>2.5</v>
      </c>
      <c r="I678">
        <v>284.03609999999998</v>
      </c>
      <c r="J678">
        <v>114.5596</v>
      </c>
      <c r="K678">
        <v>40.111899999999999</v>
      </c>
      <c r="L678">
        <v>5.9880000000000004</v>
      </c>
      <c r="M678">
        <v>31.126999999999999</v>
      </c>
      <c r="N678">
        <v>-47.146999999999998</v>
      </c>
      <c r="O678">
        <v>167.7843</v>
      </c>
      <c r="P678">
        <v>86.21</v>
      </c>
      <c r="S678">
        <f t="shared" si="223"/>
        <v>727.65260000000001</v>
      </c>
      <c r="T678">
        <f t="shared" si="224"/>
        <v>1.4343214370588346E-2</v>
      </c>
      <c r="U678">
        <f t="shared" si="225"/>
        <v>1.6874369847750994E-3</v>
      </c>
      <c r="V678">
        <f t="shared" si="226"/>
        <v>7.7715847798808746E-2</v>
      </c>
      <c r="W678">
        <f t="shared" si="227"/>
        <v>1.1718312394271523E-2</v>
      </c>
      <c r="X678">
        <f t="shared" si="228"/>
        <v>0.12780460229688295</v>
      </c>
      <c r="Y678">
        <f t="shared" si="229"/>
        <v>4.6873249577086097E-4</v>
      </c>
      <c r="Z678">
        <f t="shared" si="230"/>
        <v>2.3436624788543046E-3</v>
      </c>
      <c r="AA678">
        <f t="shared" si="231"/>
        <v>0.26627390008404367</v>
      </c>
      <c r="AB678">
        <f t="shared" si="232"/>
        <v>0.10739561444502305</v>
      </c>
      <c r="AC678">
        <f t="shared" si="233"/>
        <v>3.7603501994222396E-2</v>
      </c>
      <c r="AD678">
        <f t="shared" si="234"/>
        <v>5.6135403693518314E-3</v>
      </c>
      <c r="AE678">
        <f t="shared" si="235"/>
        <v>2.9180472791719175E-2</v>
      </c>
      <c r="AG678">
        <f t="shared" si="236"/>
        <v>1.4276992219074891</v>
      </c>
      <c r="AH678">
        <f t="shared" si="237"/>
        <v>0.26526228161167104</v>
      </c>
      <c r="AI678">
        <f t="shared" si="238"/>
        <v>0.16632028993299178</v>
      </c>
      <c r="AK678" s="26">
        <f t="shared" si="239"/>
        <v>-4.9363809844035628E-2</v>
      </c>
      <c r="AL678" s="26">
        <f t="shared" si="240"/>
        <v>-6.4144556765273142E-2</v>
      </c>
      <c r="AM678" s="26">
        <f t="shared" si="241"/>
        <v>-5.9232358774543969E-2</v>
      </c>
      <c r="AN678" s="26">
        <f t="shared" si="242"/>
        <v>-1.9341269841269622</v>
      </c>
      <c r="AO678" s="26">
        <f t="shared" si="243"/>
        <v>-3.5042469879518165</v>
      </c>
      <c r="AP678" s="26">
        <f t="shared" si="244"/>
        <v>-6.5741319282720951</v>
      </c>
      <c r="AS678" s="2">
        <v>44802</v>
      </c>
      <c r="AT678">
        <v>12.3</v>
      </c>
      <c r="AU678">
        <v>1.6</v>
      </c>
      <c r="AV678">
        <v>27.3</v>
      </c>
      <c r="AW678">
        <v>3.3</v>
      </c>
      <c r="AX678">
        <v>228.15</v>
      </c>
      <c r="AY678">
        <v>0.8</v>
      </c>
      <c r="AZ678">
        <v>2.9</v>
      </c>
      <c r="BA678">
        <v>282.88080000000002</v>
      </c>
      <c r="BB678">
        <v>178.03620000000001</v>
      </c>
      <c r="BC678">
        <v>71.784700000000001</v>
      </c>
      <c r="BD678">
        <v>5.4234999999999998</v>
      </c>
      <c r="BE678">
        <v>23.273900000000001</v>
      </c>
      <c r="BF678">
        <v>-22.006399999999999</v>
      </c>
      <c r="BG678">
        <v>337.77</v>
      </c>
      <c r="BH678">
        <v>80.05</v>
      </c>
    </row>
    <row r="679" spans="1:60" x14ac:dyDescent="0.25">
      <c r="A679" s="2">
        <v>44822</v>
      </c>
      <c r="B679">
        <v>15</v>
      </c>
      <c r="C679">
        <v>1.8</v>
      </c>
      <c r="D679">
        <v>69.599999999999994</v>
      </c>
      <c r="E679">
        <v>20.6</v>
      </c>
      <c r="F679">
        <v>99.91</v>
      </c>
      <c r="G679">
        <v>0.4</v>
      </c>
      <c r="H679">
        <v>2.7</v>
      </c>
      <c r="I679">
        <v>170.6994</v>
      </c>
      <c r="J679">
        <v>46.848500000000001</v>
      </c>
      <c r="K679">
        <v>14.602</v>
      </c>
      <c r="L679">
        <v>5.6965000000000003</v>
      </c>
      <c r="M679">
        <v>20.0063</v>
      </c>
      <c r="P679">
        <v>85.99</v>
      </c>
      <c r="S679">
        <f t="shared" si="223"/>
        <v>467.86269999999996</v>
      </c>
      <c r="T679">
        <f t="shared" si="224"/>
        <v>1.4061974873125828E-2</v>
      </c>
      <c r="U679">
        <f t="shared" si="225"/>
        <v>1.6874369847750994E-3</v>
      </c>
      <c r="V679">
        <f t="shared" si="226"/>
        <v>6.5247563411303833E-2</v>
      </c>
      <c r="W679">
        <f t="shared" si="227"/>
        <v>1.9311778825759473E-2</v>
      </c>
      <c r="X679">
        <f t="shared" si="228"/>
        <v>9.3662127304933437E-2</v>
      </c>
      <c r="Y679">
        <f t="shared" si="229"/>
        <v>3.7498599661668879E-4</v>
      </c>
      <c r="Z679">
        <f t="shared" si="230"/>
        <v>2.5311554771626494E-3</v>
      </c>
      <c r="AA679">
        <f t="shared" si="231"/>
        <v>0.16002471157717701</v>
      </c>
      <c r="AB679">
        <f t="shared" si="232"/>
        <v>4.3918828656242359E-2</v>
      </c>
      <c r="AC679">
        <f t="shared" si="233"/>
        <v>1.3688863806492224E-2</v>
      </c>
      <c r="AD679">
        <f t="shared" si="234"/>
        <v>5.3402693243174192E-3</v>
      </c>
      <c r="AE679">
        <f t="shared" si="235"/>
        <v>1.8755205860281149E-2</v>
      </c>
      <c r="AG679">
        <f t="shared" si="236"/>
        <v>1.419373852319018</v>
      </c>
      <c r="AH679">
        <f t="shared" si="237"/>
        <v>0.21563222873395818</v>
      </c>
      <c r="AI679">
        <f t="shared" si="238"/>
        <v>-0.27020499789976937</v>
      </c>
      <c r="AK679" s="26">
        <f t="shared" si="239"/>
        <v>-5.3872739677972847E-2</v>
      </c>
      <c r="AL679" s="26">
        <f t="shared" si="240"/>
        <v>-6.2644736133709356E-2</v>
      </c>
      <c r="AM679" s="26">
        <f t="shared" si="241"/>
        <v>-5.9099908773415366E-2</v>
      </c>
      <c r="AN679" s="26">
        <f t="shared" si="242"/>
        <v>-2.044920634920615</v>
      </c>
      <c r="AO679" s="26">
        <f t="shared" si="243"/>
        <v>-3.5990856282271864</v>
      </c>
      <c r="AP679" s="26">
        <f t="shared" si="244"/>
        <v>-6.6687917287304828</v>
      </c>
      <c r="AS679" s="2">
        <v>44801</v>
      </c>
      <c r="AT679">
        <v>14.4</v>
      </c>
      <c r="AU679">
        <v>1.9</v>
      </c>
      <c r="AV679">
        <v>63.6</v>
      </c>
      <c r="AW679">
        <v>9.1999999999999993</v>
      </c>
      <c r="AX679">
        <v>197.53</v>
      </c>
      <c r="AY679">
        <v>0.8</v>
      </c>
      <c r="AZ679">
        <v>3</v>
      </c>
      <c r="BA679">
        <v>265.17559999999997</v>
      </c>
      <c r="BB679">
        <v>109.04900000000001</v>
      </c>
      <c r="BC679">
        <v>25.719200000000001</v>
      </c>
      <c r="BD679">
        <v>5.4410999999999996</v>
      </c>
      <c r="BE679">
        <v>9.1119000000000003</v>
      </c>
      <c r="BH679">
        <v>79.77</v>
      </c>
    </row>
    <row r="680" spans="1:60" x14ac:dyDescent="0.25">
      <c r="A680" s="2">
        <v>44821</v>
      </c>
      <c r="C680">
        <v>0</v>
      </c>
      <c r="F680">
        <v>140.29</v>
      </c>
      <c r="K680">
        <v>16.922599999999999</v>
      </c>
      <c r="P680">
        <v>85.63</v>
      </c>
      <c r="S680">
        <f t="shared" si="223"/>
        <v>157.21259999999998</v>
      </c>
      <c r="T680">
        <f t="shared" si="224"/>
        <v>0</v>
      </c>
      <c r="U680">
        <f t="shared" si="225"/>
        <v>0</v>
      </c>
      <c r="V680">
        <f t="shared" si="226"/>
        <v>0</v>
      </c>
      <c r="W680">
        <f t="shared" si="227"/>
        <v>0</v>
      </c>
      <c r="X680">
        <f t="shared" si="228"/>
        <v>0.13151696366338816</v>
      </c>
      <c r="Y680">
        <f t="shared" si="229"/>
        <v>0</v>
      </c>
      <c r="Z680">
        <f t="shared" si="230"/>
        <v>0</v>
      </c>
      <c r="AA680">
        <f t="shared" si="231"/>
        <v>0</v>
      </c>
      <c r="AB680">
        <f t="shared" si="232"/>
        <v>0</v>
      </c>
      <c r="AC680">
        <f t="shared" si="233"/>
        <v>1.5864345065863941E-2</v>
      </c>
      <c r="AD680">
        <f t="shared" si="234"/>
        <v>0</v>
      </c>
      <c r="AE680">
        <f t="shared" si="235"/>
        <v>0</v>
      </c>
      <c r="AG680">
        <f t="shared" si="236"/>
        <v>1.4046698999591249</v>
      </c>
      <c r="AH680">
        <f t="shared" si="237"/>
        <v>0.13151696366338816</v>
      </c>
      <c r="AI680">
        <f t="shared" si="238"/>
        <v>-1.0113429060941392</v>
      </c>
      <c r="AK680" s="26">
        <f t="shared" si="239"/>
        <v>-5.5551746918022338E-2</v>
      </c>
      <c r="AL680" s="26">
        <f t="shared" si="240"/>
        <v>-6.2862579843487754E-2</v>
      </c>
      <c r="AM680" s="26">
        <f t="shared" si="241"/>
        <v>-5.9936103877416991E-2</v>
      </c>
      <c r="AN680" s="26">
        <f t="shared" si="242"/>
        <v>-2.1585714285714204</v>
      </c>
      <c r="AO680" s="26">
        <f t="shared" si="243"/>
        <v>-3.6944320137693296</v>
      </c>
      <c r="AP680" s="26">
        <f t="shared" si="244"/>
        <v>-6.7638351989686072</v>
      </c>
      <c r="AS680" s="2">
        <v>44800</v>
      </c>
      <c r="AU680">
        <v>18.2</v>
      </c>
      <c r="AX680">
        <v>113.62</v>
      </c>
      <c r="BC680">
        <v>64.042500000000004</v>
      </c>
      <c r="BH680">
        <v>79.37</v>
      </c>
    </row>
    <row r="681" spans="1:60" x14ac:dyDescent="0.25">
      <c r="A681" s="2">
        <v>44820</v>
      </c>
      <c r="C681">
        <v>0</v>
      </c>
      <c r="F681">
        <v>137.09</v>
      </c>
      <c r="K681">
        <v>33.168799999999997</v>
      </c>
      <c r="N681">
        <v>-38.040599999999998</v>
      </c>
      <c r="O681">
        <v>187.5994</v>
      </c>
      <c r="P681">
        <v>85.26</v>
      </c>
      <c r="S681">
        <f t="shared" si="223"/>
        <v>170.25880000000001</v>
      </c>
      <c r="T681">
        <f t="shared" si="224"/>
        <v>0</v>
      </c>
      <c r="U681">
        <f t="shared" si="225"/>
        <v>0</v>
      </c>
      <c r="V681">
        <f t="shared" si="226"/>
        <v>0</v>
      </c>
      <c r="W681">
        <f t="shared" si="227"/>
        <v>0</v>
      </c>
      <c r="X681">
        <f t="shared" si="228"/>
        <v>0.12851707569045465</v>
      </c>
      <c r="Y681">
        <f t="shared" si="229"/>
        <v>0</v>
      </c>
      <c r="Z681">
        <f t="shared" si="230"/>
        <v>0</v>
      </c>
      <c r="AA681">
        <f t="shared" si="231"/>
        <v>0</v>
      </c>
      <c r="AB681">
        <f t="shared" si="232"/>
        <v>0</v>
      </c>
      <c r="AC681">
        <f t="shared" si="233"/>
        <v>3.1094588811449064E-2</v>
      </c>
      <c r="AD681">
        <f t="shared" si="234"/>
        <v>0</v>
      </c>
      <c r="AE681">
        <f t="shared" si="235"/>
        <v>0</v>
      </c>
      <c r="AG681">
        <f t="shared" si="236"/>
        <v>1.3894879520203443</v>
      </c>
      <c r="AH681">
        <f t="shared" si="237"/>
        <v>0.12851707569045465</v>
      </c>
      <c r="AI681">
        <f t="shared" si="238"/>
        <v>-1.0391058855035089</v>
      </c>
      <c r="AK681" s="26">
        <f t="shared" si="239"/>
        <v>-6.5062482525299087E-2</v>
      </c>
      <c r="AL681" s="26">
        <f t="shared" si="240"/>
        <v>-6.0354460833939971E-2</v>
      </c>
      <c r="AM681" s="26">
        <f t="shared" si="241"/>
        <v>-5.985328697474529E-2</v>
      </c>
      <c r="AN681" s="26">
        <f t="shared" si="242"/>
        <v>-2.2690476190475977</v>
      </c>
      <c r="AO681" s="26">
        <f t="shared" si="243"/>
        <v>-3.7889716006884271</v>
      </c>
      <c r="AP681" s="26">
        <f t="shared" si="244"/>
        <v>-6.8577282215624109</v>
      </c>
      <c r="AS681" s="2">
        <v>44799</v>
      </c>
      <c r="AU681">
        <v>288.10000000000002</v>
      </c>
      <c r="AX681">
        <v>181.02</v>
      </c>
      <c r="BC681">
        <v>99.011499999999998</v>
      </c>
      <c r="BF681">
        <v>-63.9619</v>
      </c>
      <c r="BG681">
        <v>428.72930000000002</v>
      </c>
      <c r="BH681">
        <v>78.989999999999995</v>
      </c>
    </row>
    <row r="682" spans="1:60" x14ac:dyDescent="0.25">
      <c r="A682" s="2">
        <v>44819</v>
      </c>
      <c r="B682">
        <v>14.6</v>
      </c>
      <c r="C682">
        <v>43.5</v>
      </c>
      <c r="D682">
        <v>62.4</v>
      </c>
      <c r="E682">
        <v>14.9</v>
      </c>
      <c r="F682">
        <v>115.88</v>
      </c>
      <c r="G682">
        <v>0.4</v>
      </c>
      <c r="H682">
        <v>3</v>
      </c>
      <c r="I682">
        <v>305.6069</v>
      </c>
      <c r="J682">
        <v>190.44890000000001</v>
      </c>
      <c r="K682">
        <v>52.9587</v>
      </c>
      <c r="L682">
        <v>5.8688000000000002</v>
      </c>
      <c r="M682">
        <v>25.269400000000001</v>
      </c>
      <c r="N682">
        <v>-43.970599999999997</v>
      </c>
      <c r="O682">
        <v>231.32640000000001</v>
      </c>
      <c r="P682">
        <v>84.93</v>
      </c>
      <c r="S682">
        <f t="shared" si="223"/>
        <v>834.83270000000005</v>
      </c>
      <c r="T682">
        <f t="shared" si="224"/>
        <v>1.368698887650914E-2</v>
      </c>
      <c r="U682">
        <f t="shared" si="225"/>
        <v>4.0779727132064902E-2</v>
      </c>
      <c r="V682">
        <f t="shared" si="226"/>
        <v>5.8497815472203445E-2</v>
      </c>
      <c r="W682">
        <f t="shared" si="227"/>
        <v>1.3968228373971657E-2</v>
      </c>
      <c r="X682">
        <f t="shared" si="228"/>
        <v>0.10863344321985473</v>
      </c>
      <c r="Y682">
        <f t="shared" si="229"/>
        <v>3.7498599661668879E-4</v>
      </c>
      <c r="Z682">
        <f t="shared" si="230"/>
        <v>2.8123949746251659E-3</v>
      </c>
      <c r="AA682">
        <f t="shared" si="231"/>
        <v>0.28649576992359183</v>
      </c>
      <c r="AB682">
        <f t="shared" si="232"/>
        <v>0.17853917642763026</v>
      </c>
      <c r="AC682">
        <f t="shared" si="233"/>
        <v>4.9646927247560591E-2</v>
      </c>
      <c r="AD682">
        <f t="shared" si="234"/>
        <v>5.5017945423600579E-3</v>
      </c>
      <c r="AE682">
        <f t="shared" si="235"/>
        <v>2.368917785726439E-2</v>
      </c>
      <c r="AG682">
        <f t="shared" si="236"/>
        <v>1.3760926184654192</v>
      </c>
      <c r="AH682">
        <f t="shared" si="237"/>
        <v>0.26244276190311011</v>
      </c>
      <c r="AI682">
        <f t="shared" si="238"/>
        <v>0.14204174236992748</v>
      </c>
      <c r="AK682" s="26">
        <f t="shared" si="239"/>
        <v>-5.044243325466885E-2</v>
      </c>
      <c r="AL682" s="26">
        <f t="shared" si="240"/>
        <v>-5.9489196520528309E-2</v>
      </c>
      <c r="AM682" s="26">
        <f t="shared" si="241"/>
        <v>-5.8447447223967719E-2</v>
      </c>
      <c r="AN682" s="26">
        <f t="shared" si="242"/>
        <v>-2.3760317460317282</v>
      </c>
      <c r="AO682" s="26">
        <f t="shared" si="243"/>
        <v>-3.8836790017211484</v>
      </c>
      <c r="AP682" s="26">
        <f t="shared" si="244"/>
        <v>-6.95076017699121</v>
      </c>
      <c r="AS682" s="2">
        <v>44798</v>
      </c>
      <c r="AT682">
        <v>14.1</v>
      </c>
      <c r="AU682">
        <v>1.4</v>
      </c>
      <c r="AV682">
        <v>41.4</v>
      </c>
      <c r="AW682">
        <v>7</v>
      </c>
      <c r="AX682">
        <v>246.59</v>
      </c>
      <c r="AY682">
        <v>0.7</v>
      </c>
      <c r="AZ682">
        <v>3</v>
      </c>
      <c r="BA682">
        <v>284.76119999999997</v>
      </c>
      <c r="BB682">
        <v>201.62280000000001</v>
      </c>
      <c r="BC682">
        <v>86.320599999999999</v>
      </c>
      <c r="BD682">
        <v>5.3827999999999996</v>
      </c>
      <c r="BE682">
        <v>22.327999999999999</v>
      </c>
      <c r="BF682">
        <v>-2.4885000000000002</v>
      </c>
      <c r="BG682">
        <v>458.00510000000003</v>
      </c>
      <c r="BH682">
        <v>78.67</v>
      </c>
    </row>
    <row r="683" spans="1:60" x14ac:dyDescent="0.25">
      <c r="A683" s="2">
        <v>44818</v>
      </c>
      <c r="B683">
        <v>13.9</v>
      </c>
      <c r="C683">
        <v>21</v>
      </c>
      <c r="D683">
        <v>35.9</v>
      </c>
      <c r="E683">
        <v>6</v>
      </c>
      <c r="F683">
        <v>91</v>
      </c>
      <c r="G683">
        <v>0.1</v>
      </c>
      <c r="H683">
        <v>2.9</v>
      </c>
      <c r="I683">
        <v>294.05529999999999</v>
      </c>
      <c r="J683">
        <v>216.10159999999999</v>
      </c>
      <c r="K683">
        <v>126.3098</v>
      </c>
      <c r="L683">
        <v>5.8132000000000001</v>
      </c>
      <c r="M683">
        <v>29.670999999999999</v>
      </c>
      <c r="N683">
        <v>-50.232300000000002</v>
      </c>
      <c r="O683">
        <v>230.01060000000001</v>
      </c>
      <c r="P683">
        <v>84.68</v>
      </c>
      <c r="S683">
        <f t="shared" si="223"/>
        <v>842.75090000000012</v>
      </c>
      <c r="T683">
        <f t="shared" si="224"/>
        <v>1.3030763382429936E-2</v>
      </c>
      <c r="U683">
        <f t="shared" si="225"/>
        <v>1.9686764822376159E-2</v>
      </c>
      <c r="V683">
        <f t="shared" si="226"/>
        <v>3.3654993196347814E-2</v>
      </c>
      <c r="W683">
        <f t="shared" si="227"/>
        <v>5.6247899492503318E-3</v>
      </c>
      <c r="X683">
        <f t="shared" si="228"/>
        <v>8.5309314230296696E-2</v>
      </c>
      <c r="Y683">
        <f t="shared" si="229"/>
        <v>9.3746499154172199E-5</v>
      </c>
      <c r="Z683">
        <f t="shared" si="230"/>
        <v>2.7186484754709935E-3</v>
      </c>
      <c r="AA683">
        <f t="shared" si="231"/>
        <v>0.2756665493272985</v>
      </c>
      <c r="AB683">
        <f t="shared" si="232"/>
        <v>0.20258768461615256</v>
      </c>
      <c r="AC683">
        <f t="shared" si="233"/>
        <v>0.11841101558863658</v>
      </c>
      <c r="AD683">
        <f t="shared" si="234"/>
        <v>5.4496714888303379E-3</v>
      </c>
      <c r="AE683">
        <f t="shared" si="235"/>
        <v>2.7815523764034431E-2</v>
      </c>
      <c r="AG683">
        <f t="shared" si="236"/>
        <v>1.3663031161243187</v>
      </c>
      <c r="AH683">
        <f t="shared" si="237"/>
        <v>0.18793454431936052</v>
      </c>
      <c r="AI683">
        <f t="shared" si="238"/>
        <v>-0.51329340913699051</v>
      </c>
      <c r="AK683" s="26">
        <f t="shared" si="239"/>
        <v>-5.0584233018857616E-2</v>
      </c>
      <c r="AL683" s="26">
        <f t="shared" si="240"/>
        <v>-6.1527942938158664E-2</v>
      </c>
      <c r="AM683" s="26">
        <f t="shared" si="241"/>
        <v>-5.824200493197712E-2</v>
      </c>
      <c r="AN683" s="26">
        <f t="shared" si="242"/>
        <v>-2.4809523809523739</v>
      </c>
      <c r="AO683" s="26">
        <f t="shared" si="243"/>
        <v>-3.9783842512908478</v>
      </c>
      <c r="AP683" s="26">
        <f t="shared" si="244"/>
        <v>-7.0429990824873983</v>
      </c>
      <c r="AS683" s="2">
        <v>44797</v>
      </c>
      <c r="AT683">
        <v>14.9</v>
      </c>
      <c r="AU683">
        <v>0.9</v>
      </c>
      <c r="AV683">
        <v>7.1</v>
      </c>
      <c r="AW683">
        <v>5.8</v>
      </c>
      <c r="AX683">
        <v>255.79</v>
      </c>
      <c r="AY683">
        <v>0.7</v>
      </c>
      <c r="AZ683">
        <v>2.9</v>
      </c>
      <c r="BA683">
        <v>292.35680000000002</v>
      </c>
      <c r="BB683">
        <v>193.12809999999999</v>
      </c>
      <c r="BC683">
        <v>92.4679</v>
      </c>
      <c r="BD683">
        <v>5.3337000000000003</v>
      </c>
      <c r="BE683">
        <v>21.9346</v>
      </c>
      <c r="BF683">
        <v>-50.856099999999998</v>
      </c>
      <c r="BG683">
        <v>348.25700000000001</v>
      </c>
      <c r="BH683">
        <v>78.33</v>
      </c>
    </row>
    <row r="684" spans="1:60" x14ac:dyDescent="0.25">
      <c r="A684" s="2">
        <v>44817</v>
      </c>
      <c r="B684">
        <v>13.2</v>
      </c>
      <c r="C684">
        <v>22.5</v>
      </c>
      <c r="D684">
        <v>57.4</v>
      </c>
      <c r="E684">
        <v>13.4</v>
      </c>
      <c r="F684">
        <v>153.34</v>
      </c>
      <c r="G684">
        <v>0.1</v>
      </c>
      <c r="H684">
        <v>3</v>
      </c>
      <c r="I684">
        <v>287.97829999999999</v>
      </c>
      <c r="J684">
        <v>192.28039999999999</v>
      </c>
      <c r="K684">
        <v>88.202299999999994</v>
      </c>
      <c r="L684">
        <v>5.8066000000000004</v>
      </c>
      <c r="M684">
        <v>23.358499999999999</v>
      </c>
      <c r="N684">
        <v>-51.1126</v>
      </c>
      <c r="O684">
        <v>194.11259999999999</v>
      </c>
      <c r="P684">
        <v>84.46</v>
      </c>
      <c r="S684">
        <f t="shared" si="223"/>
        <v>860.56610000000012</v>
      </c>
      <c r="T684">
        <f t="shared" si="224"/>
        <v>1.2374537888350728E-2</v>
      </c>
      <c r="U684">
        <f t="shared" si="225"/>
        <v>2.1092962309688743E-2</v>
      </c>
      <c r="V684">
        <f t="shared" si="226"/>
        <v>5.3810490514494838E-2</v>
      </c>
      <c r="W684">
        <f t="shared" si="227"/>
        <v>1.2562030886659074E-2</v>
      </c>
      <c r="X684">
        <f t="shared" si="228"/>
        <v>0.14375088180300763</v>
      </c>
      <c r="Y684">
        <f t="shared" si="229"/>
        <v>9.3746499154172199E-5</v>
      </c>
      <c r="Z684">
        <f t="shared" si="230"/>
        <v>2.8123949746251659E-3</v>
      </c>
      <c r="AA684">
        <f t="shared" si="231"/>
        <v>0.26996957457369947</v>
      </c>
      <c r="AB684">
        <f t="shared" si="232"/>
        <v>0.1802561435596389</v>
      </c>
      <c r="AC684">
        <f t="shared" si="233"/>
        <v>8.2686568423460408E-2</v>
      </c>
      <c r="AD684">
        <f t="shared" si="234"/>
        <v>5.4434842198861633E-3</v>
      </c>
      <c r="AE684">
        <f t="shared" si="235"/>
        <v>2.1897776004927309E-2</v>
      </c>
      <c r="AG684">
        <f t="shared" si="236"/>
        <v>1.3578550186612726</v>
      </c>
      <c r="AH684">
        <f t="shared" si="237"/>
        <v>0.26839482088090766</v>
      </c>
      <c r="AI684">
        <f t="shared" si="238"/>
        <v>0.1960213113310906</v>
      </c>
      <c r="AK684" s="26">
        <f t="shared" si="239"/>
        <v>-4.3552797682354427E-2</v>
      </c>
      <c r="AL684" s="26">
        <f t="shared" si="240"/>
        <v>-5.7030292821014572E-2</v>
      </c>
      <c r="AM684" s="26">
        <f t="shared" si="241"/>
        <v>-5.6571390570978153E-2</v>
      </c>
      <c r="AN684" s="26">
        <f t="shared" si="242"/>
        <v>-2.5863492063492259</v>
      </c>
      <c r="AO684" s="26">
        <f t="shared" si="243"/>
        <v>-4.0737456970740027</v>
      </c>
      <c r="AP684" s="26">
        <f t="shared" si="244"/>
        <v>-7.1347989546831911</v>
      </c>
      <c r="AS684" s="2">
        <v>44796</v>
      </c>
      <c r="AT684">
        <v>15.4</v>
      </c>
      <c r="AU684">
        <v>1.5</v>
      </c>
      <c r="AV684">
        <v>6.7</v>
      </c>
      <c r="AW684">
        <v>5.3</v>
      </c>
      <c r="AX684">
        <v>258.67</v>
      </c>
      <c r="AY684">
        <v>0.7</v>
      </c>
      <c r="AZ684">
        <v>2.9</v>
      </c>
      <c r="BA684">
        <v>302.56610000000001</v>
      </c>
      <c r="BB684">
        <v>187.92179999999999</v>
      </c>
      <c r="BC684">
        <v>86.581900000000005</v>
      </c>
      <c r="BD684">
        <v>5.3422000000000001</v>
      </c>
      <c r="BE684">
        <v>20.398700000000002</v>
      </c>
      <c r="BF684">
        <v>-13.776999999999999</v>
      </c>
      <c r="BG684">
        <v>338.88650000000001</v>
      </c>
      <c r="BH684">
        <v>78.040000000000006</v>
      </c>
    </row>
    <row r="685" spans="1:60" x14ac:dyDescent="0.25">
      <c r="A685" s="2">
        <v>44816</v>
      </c>
      <c r="B685">
        <v>13.7</v>
      </c>
      <c r="C685">
        <v>5.7</v>
      </c>
      <c r="D685">
        <v>25.9</v>
      </c>
      <c r="E685">
        <v>2.2000000000000002</v>
      </c>
      <c r="F685">
        <v>219.4</v>
      </c>
      <c r="G685">
        <v>0.1</v>
      </c>
      <c r="H685">
        <v>2.7</v>
      </c>
      <c r="I685">
        <v>276.48869999999999</v>
      </c>
      <c r="J685">
        <v>205.27189999999999</v>
      </c>
      <c r="K685">
        <v>85.845600000000005</v>
      </c>
      <c r="L685">
        <v>5.6845999999999997</v>
      </c>
      <c r="M685">
        <v>23.291499999999999</v>
      </c>
      <c r="N685">
        <v>-36.794800000000002</v>
      </c>
      <c r="O685">
        <v>196.774</v>
      </c>
      <c r="P685">
        <v>84.2</v>
      </c>
      <c r="S685">
        <f t="shared" si="223"/>
        <v>866.28229999999996</v>
      </c>
      <c r="T685">
        <f t="shared" si="224"/>
        <v>1.2843270384121589E-2</v>
      </c>
      <c r="U685">
        <f t="shared" si="225"/>
        <v>5.3435504517878154E-3</v>
      </c>
      <c r="V685">
        <f t="shared" si="226"/>
        <v>2.4280343280930598E-2</v>
      </c>
      <c r="W685">
        <f t="shared" si="227"/>
        <v>2.0624229813917885E-3</v>
      </c>
      <c r="X685">
        <f t="shared" si="228"/>
        <v>0.20567981914425379</v>
      </c>
      <c r="Y685">
        <f t="shared" si="229"/>
        <v>9.3746499154172199E-5</v>
      </c>
      <c r="Z685">
        <f t="shared" si="230"/>
        <v>2.5311554771626494E-3</v>
      </c>
      <c r="AA685">
        <f t="shared" si="231"/>
        <v>0.25919847680688168</v>
      </c>
      <c r="AB685">
        <f t="shared" si="232"/>
        <v>0.19243521999725319</v>
      </c>
      <c r="AC685">
        <f t="shared" si="233"/>
        <v>8.047724467789405E-2</v>
      </c>
      <c r="AD685">
        <f t="shared" si="234"/>
        <v>5.3291134909180717E-3</v>
      </c>
      <c r="AE685">
        <f t="shared" si="235"/>
        <v>2.1834965850494017E-2</v>
      </c>
      <c r="AG685">
        <f t="shared" si="236"/>
        <v>1.3475665237375918</v>
      </c>
      <c r="AH685">
        <f t="shared" si="237"/>
        <v>0.27466927406929637</v>
      </c>
      <c r="AI685">
        <f t="shared" si="238"/>
        <v>0.25218166954195398</v>
      </c>
      <c r="AK685" s="26">
        <f t="shared" si="239"/>
        <v>-4.1818073772974251E-2</v>
      </c>
      <c r="AL685" s="26">
        <f t="shared" si="240"/>
        <v>-5.6568504748736703E-2</v>
      </c>
      <c r="AM685" s="26">
        <f t="shared" si="241"/>
        <v>-5.6976760079521738E-2</v>
      </c>
      <c r="AN685" s="26">
        <f t="shared" si="242"/>
        <v>-2.6911111111110984</v>
      </c>
      <c r="AO685" s="26">
        <f t="shared" si="243"/>
        <v>-4.169763339070542</v>
      </c>
      <c r="AP685" s="26">
        <f t="shared" si="244"/>
        <v>-7.2262384911058177</v>
      </c>
      <c r="AS685" s="2">
        <v>44795</v>
      </c>
      <c r="AT685">
        <v>16</v>
      </c>
      <c r="AU685">
        <v>21.9</v>
      </c>
      <c r="AV685">
        <v>4.5999999999999996</v>
      </c>
      <c r="AW685">
        <v>1.8</v>
      </c>
      <c r="AX685">
        <v>229.19</v>
      </c>
      <c r="AY685">
        <v>0.8</v>
      </c>
      <c r="AZ685">
        <v>2.9</v>
      </c>
      <c r="BA685">
        <v>307.27589999999998</v>
      </c>
      <c r="BB685">
        <v>188.99250000000001</v>
      </c>
      <c r="BC685">
        <v>92.828900000000004</v>
      </c>
      <c r="BD685">
        <v>5.3436000000000003</v>
      </c>
      <c r="BE685">
        <v>17.208600000000001</v>
      </c>
      <c r="BF685">
        <v>-48.0319</v>
      </c>
      <c r="BG685">
        <v>307.42630000000003</v>
      </c>
      <c r="BH685">
        <v>77.73</v>
      </c>
    </row>
    <row r="686" spans="1:60" x14ac:dyDescent="0.25">
      <c r="A686" s="2">
        <v>44815</v>
      </c>
      <c r="B686">
        <v>13.9</v>
      </c>
      <c r="C686">
        <v>37.799999999999997</v>
      </c>
      <c r="D686">
        <v>1.1000000000000001</v>
      </c>
      <c r="E686">
        <v>2.1</v>
      </c>
      <c r="F686">
        <v>141.31</v>
      </c>
      <c r="G686">
        <v>0.1</v>
      </c>
      <c r="H686">
        <v>2.9</v>
      </c>
      <c r="I686">
        <v>295.47559999999999</v>
      </c>
      <c r="J686">
        <v>160.93209999999999</v>
      </c>
      <c r="K686">
        <v>42.505600000000001</v>
      </c>
      <c r="L686">
        <v>5.6550000000000002</v>
      </c>
      <c r="M686">
        <v>16.585799999999999</v>
      </c>
      <c r="P686">
        <v>83.95</v>
      </c>
      <c r="S686">
        <f t="shared" si="223"/>
        <v>720.36409999999989</v>
      </c>
      <c r="T686">
        <f t="shared" si="224"/>
        <v>1.3030763382429936E-2</v>
      </c>
      <c r="U686">
        <f t="shared" si="225"/>
        <v>3.5436176680277084E-2</v>
      </c>
      <c r="V686">
        <f t="shared" si="226"/>
        <v>1.0312114906958943E-3</v>
      </c>
      <c r="W686">
        <f t="shared" si="227"/>
        <v>1.9686764822376161E-3</v>
      </c>
      <c r="X686">
        <f t="shared" si="228"/>
        <v>0.13247317795476071</v>
      </c>
      <c r="Y686">
        <f t="shared" si="229"/>
        <v>9.3746499154172199E-5</v>
      </c>
      <c r="Z686">
        <f t="shared" si="230"/>
        <v>2.7186484754709935E-3</v>
      </c>
      <c r="AA686">
        <f t="shared" si="231"/>
        <v>0.27699803085478519</v>
      </c>
      <c r="AB686">
        <f t="shared" si="232"/>
        <v>0.15086820976529153</v>
      </c>
      <c r="AC686">
        <f t="shared" si="233"/>
        <v>3.9847511944475819E-2</v>
      </c>
      <c r="AD686">
        <f t="shared" si="234"/>
        <v>5.3013645271684376E-3</v>
      </c>
      <c r="AE686">
        <f t="shared" si="235"/>
        <v>1.554860685671269E-2</v>
      </c>
      <c r="AG686">
        <f t="shared" si="236"/>
        <v>1.3377136704494466</v>
      </c>
      <c r="AH686">
        <f t="shared" si="237"/>
        <v>0.20230100782173907</v>
      </c>
      <c r="AI686">
        <f t="shared" si="238"/>
        <v>-0.38651684700979294</v>
      </c>
      <c r="AK686" s="26">
        <f t="shared" si="239"/>
        <v>-4.6733143202040639E-2</v>
      </c>
      <c r="AL686" s="26">
        <f t="shared" si="240"/>
        <v>-5.518376245536144E-2</v>
      </c>
      <c r="AM686" s="26">
        <f t="shared" si="241"/>
        <v>-5.6561971216220419E-2</v>
      </c>
      <c r="AN686" s="26">
        <f t="shared" si="242"/>
        <v>-2.7973015873015754</v>
      </c>
      <c r="AO686" s="26">
        <f t="shared" si="243"/>
        <v>-4.2646385542168446</v>
      </c>
      <c r="AP686" s="26">
        <f t="shared" si="244"/>
        <v>-7.3172542453958869</v>
      </c>
      <c r="AS686" s="2">
        <v>44794</v>
      </c>
      <c r="AT686">
        <v>17.8</v>
      </c>
      <c r="AU686">
        <v>0.5</v>
      </c>
      <c r="AV686">
        <v>25.9</v>
      </c>
      <c r="AW686">
        <v>3.4</v>
      </c>
      <c r="AX686">
        <v>249.13</v>
      </c>
      <c r="AY686">
        <v>0.8</v>
      </c>
      <c r="AZ686">
        <v>2.9</v>
      </c>
      <c r="BA686">
        <v>263.22210000000001</v>
      </c>
      <c r="BB686">
        <v>117.5082</v>
      </c>
      <c r="BC686">
        <v>33.192</v>
      </c>
      <c r="BD686">
        <v>5.3070000000000004</v>
      </c>
      <c r="BE686">
        <v>11.2928</v>
      </c>
      <c r="BH686">
        <v>77.41</v>
      </c>
    </row>
    <row r="687" spans="1:60" x14ac:dyDescent="0.25">
      <c r="A687" s="2">
        <v>44814</v>
      </c>
      <c r="C687">
        <v>90.4</v>
      </c>
      <c r="F687">
        <v>134.28</v>
      </c>
      <c r="K687">
        <v>36.006</v>
      </c>
      <c r="P687">
        <v>83.6</v>
      </c>
      <c r="S687">
        <f t="shared" si="223"/>
        <v>260.68600000000004</v>
      </c>
      <c r="T687">
        <f t="shared" si="224"/>
        <v>0</v>
      </c>
      <c r="U687">
        <f t="shared" si="225"/>
        <v>8.4746835235371659E-2</v>
      </c>
      <c r="V687">
        <f t="shared" si="226"/>
        <v>0</v>
      </c>
      <c r="W687">
        <f t="shared" si="227"/>
        <v>0</v>
      </c>
      <c r="X687">
        <f t="shared" si="228"/>
        <v>0.12588279906422242</v>
      </c>
      <c r="Y687">
        <f t="shared" si="229"/>
        <v>0</v>
      </c>
      <c r="Z687">
        <f t="shared" si="230"/>
        <v>0</v>
      </c>
      <c r="AA687">
        <f t="shared" si="231"/>
        <v>0</v>
      </c>
      <c r="AB687">
        <f t="shared" si="232"/>
        <v>0</v>
      </c>
      <c r="AC687">
        <f t="shared" si="233"/>
        <v>3.3754364485451237E-2</v>
      </c>
      <c r="AD687">
        <f t="shared" si="234"/>
        <v>0</v>
      </c>
      <c r="AE687">
        <f t="shared" si="235"/>
        <v>0</v>
      </c>
      <c r="AG687">
        <f t="shared" si="236"/>
        <v>1.3233061915809421</v>
      </c>
      <c r="AH687">
        <f t="shared" si="237"/>
        <v>0.21062963429959408</v>
      </c>
      <c r="AI687">
        <f t="shared" si="238"/>
        <v>-0.31221814849190654</v>
      </c>
      <c r="AK687" s="26">
        <f t="shared" si="239"/>
        <v>-4.2814420494222738E-2</v>
      </c>
      <c r="AL687" s="26">
        <f t="shared" si="240"/>
        <v>-5.1864576435571907E-2</v>
      </c>
      <c r="AM687" s="26">
        <f t="shared" si="241"/>
        <v>-5.4834274261932381E-2</v>
      </c>
      <c r="AN687" s="26">
        <f t="shared" si="242"/>
        <v>-2.9017460317460007</v>
      </c>
      <c r="AO687" s="26">
        <f t="shared" si="243"/>
        <v>-4.3601054216867254</v>
      </c>
      <c r="AP687" s="26">
        <f t="shared" si="244"/>
        <v>-7.4084394780261391</v>
      </c>
      <c r="AS687" s="2">
        <v>44793</v>
      </c>
      <c r="AU687">
        <v>9.4</v>
      </c>
      <c r="AX687">
        <v>169.24</v>
      </c>
      <c r="BC687">
        <v>29.3248</v>
      </c>
      <c r="BH687">
        <v>76.98</v>
      </c>
    </row>
    <row r="688" spans="1:60" x14ac:dyDescent="0.25">
      <c r="A688" s="2">
        <v>44813</v>
      </c>
      <c r="C688">
        <v>43.7</v>
      </c>
      <c r="F688">
        <v>165.8</v>
      </c>
      <c r="K688">
        <v>43.3322</v>
      </c>
      <c r="N688">
        <v>-43.060099999999998</v>
      </c>
      <c r="O688">
        <v>218.15960000000001</v>
      </c>
      <c r="P688">
        <v>83.25</v>
      </c>
      <c r="S688">
        <f t="shared" si="223"/>
        <v>252.8322</v>
      </c>
      <c r="T688">
        <f t="shared" si="224"/>
        <v>0</v>
      </c>
      <c r="U688">
        <f t="shared" si="225"/>
        <v>4.0967220130373252E-2</v>
      </c>
      <c r="V688">
        <f t="shared" si="226"/>
        <v>0</v>
      </c>
      <c r="W688">
        <f t="shared" si="227"/>
        <v>0</v>
      </c>
      <c r="X688">
        <f t="shared" si="228"/>
        <v>0.15543169559761749</v>
      </c>
      <c r="Y688">
        <f t="shared" si="229"/>
        <v>0</v>
      </c>
      <c r="Z688">
        <f t="shared" si="230"/>
        <v>0</v>
      </c>
      <c r="AA688">
        <f t="shared" si="231"/>
        <v>0</v>
      </c>
      <c r="AB688">
        <f t="shared" si="232"/>
        <v>0</v>
      </c>
      <c r="AC688">
        <f t="shared" si="233"/>
        <v>4.0622420506484201E-2</v>
      </c>
      <c r="AD688">
        <f t="shared" si="234"/>
        <v>0</v>
      </c>
      <c r="AE688">
        <f t="shared" si="235"/>
        <v>0</v>
      </c>
      <c r="AG688">
        <f t="shared" si="236"/>
        <v>1.3088808961206173</v>
      </c>
      <c r="AH688">
        <f t="shared" si="237"/>
        <v>0.19639891572799073</v>
      </c>
      <c r="AI688">
        <f t="shared" si="238"/>
        <v>-0.44181995105658206</v>
      </c>
      <c r="AK688" s="26">
        <f t="shared" si="239"/>
        <v>-4.3009557552311339E-2</v>
      </c>
      <c r="AL688" s="26">
        <f t="shared" si="240"/>
        <v>-5.0604682976063409E-2</v>
      </c>
      <c r="AM688" s="26">
        <f t="shared" si="241"/>
        <v>-5.4985343971606593E-2</v>
      </c>
      <c r="AN688" s="26">
        <f t="shared" si="242"/>
        <v>-3.0046031746031758</v>
      </c>
      <c r="AO688" s="26">
        <f t="shared" si="243"/>
        <v>-4.4555615318416528</v>
      </c>
      <c r="AP688" s="26">
        <f t="shared" si="244"/>
        <v>-7.498953705375996</v>
      </c>
      <c r="AS688" s="2">
        <v>44792</v>
      </c>
      <c r="AU688">
        <v>69.099999999999994</v>
      </c>
      <c r="AX688">
        <v>120.73</v>
      </c>
      <c r="BC688">
        <v>116.3086</v>
      </c>
      <c r="BF688">
        <v>-42.548900000000003</v>
      </c>
      <c r="BG688">
        <v>250.21340000000001</v>
      </c>
      <c r="BH688">
        <v>76.540000000000006</v>
      </c>
    </row>
    <row r="689" spans="1:60" x14ac:dyDescent="0.25">
      <c r="A689" s="2">
        <v>44812</v>
      </c>
      <c r="B689">
        <v>13.7</v>
      </c>
      <c r="C689">
        <v>17.899999999999999</v>
      </c>
      <c r="D689">
        <v>36.9</v>
      </c>
      <c r="E689">
        <v>9.1999999999999993</v>
      </c>
      <c r="F689">
        <v>111.63</v>
      </c>
      <c r="G689">
        <v>0.4</v>
      </c>
      <c r="H689">
        <v>2.2999999999999998</v>
      </c>
      <c r="I689">
        <v>324.62759999999997</v>
      </c>
      <c r="J689">
        <v>204.2484</v>
      </c>
      <c r="K689">
        <v>67.251199999999997</v>
      </c>
      <c r="L689">
        <v>5.6811999999999996</v>
      </c>
      <c r="M689">
        <v>18.2606</v>
      </c>
      <c r="N689">
        <v>-58.201000000000001</v>
      </c>
      <c r="O689">
        <v>224.30240000000001</v>
      </c>
      <c r="P689">
        <v>82.96</v>
      </c>
      <c r="S689">
        <f t="shared" si="223"/>
        <v>812.09899999999993</v>
      </c>
      <c r="T689">
        <f t="shared" si="224"/>
        <v>1.2843270384121589E-2</v>
      </c>
      <c r="U689">
        <f t="shared" si="225"/>
        <v>1.678062334859682E-2</v>
      </c>
      <c r="V689">
        <f t="shared" si="226"/>
        <v>3.4592458187889537E-2</v>
      </c>
      <c r="W689">
        <f t="shared" si="227"/>
        <v>8.6246779221838404E-3</v>
      </c>
      <c r="X689">
        <f t="shared" si="228"/>
        <v>0.10464921700580242</v>
      </c>
      <c r="Y689">
        <f t="shared" si="229"/>
        <v>3.7498599661668879E-4</v>
      </c>
      <c r="Z689">
        <f t="shared" si="230"/>
        <v>2.1561694805459601E-3</v>
      </c>
      <c r="AA689">
        <f t="shared" si="231"/>
        <v>0.30432701028820947</v>
      </c>
      <c r="AB689">
        <f t="shared" si="232"/>
        <v>0.19147572457841025</v>
      </c>
      <c r="AC689">
        <f t="shared" si="233"/>
        <v>6.3045645639170644E-2</v>
      </c>
      <c r="AD689">
        <f t="shared" si="234"/>
        <v>5.3259261099468302E-3</v>
      </c>
      <c r="AE689">
        <f t="shared" si="235"/>
        <v>1.7118673224546768E-2</v>
      </c>
      <c r="AG689">
        <f t="shared" si="236"/>
        <v>1.2971582432299034</v>
      </c>
      <c r="AH689">
        <f t="shared" si="237"/>
        <v>0.19714007555030363</v>
      </c>
      <c r="AI689">
        <f t="shared" si="238"/>
        <v>-0.43708679509894832</v>
      </c>
      <c r="AK689" s="26">
        <f t="shared" si="239"/>
        <v>-4.6212381399239333E-2</v>
      </c>
      <c r="AL689" s="26">
        <f t="shared" si="240"/>
        <v>-4.8815322926145599E-2</v>
      </c>
      <c r="AM689" s="26">
        <f t="shared" si="241"/>
        <v>-5.1347695420063288E-2</v>
      </c>
      <c r="AN689" s="26">
        <f t="shared" si="242"/>
        <v>-3.1069841269841305</v>
      </c>
      <c r="AO689" s="26">
        <f t="shared" si="243"/>
        <v>-4.5522654905335713</v>
      </c>
      <c r="AP689" s="26">
        <f t="shared" si="244"/>
        <v>-7.5888571083391696</v>
      </c>
      <c r="AS689" s="2">
        <v>44791</v>
      </c>
      <c r="AT689">
        <v>12.9</v>
      </c>
      <c r="AU689">
        <v>0</v>
      </c>
      <c r="AV689">
        <v>24.4</v>
      </c>
      <c r="AW689">
        <v>3.4</v>
      </c>
      <c r="AX689">
        <v>169.66</v>
      </c>
      <c r="AY689">
        <v>0.6</v>
      </c>
      <c r="AZ689">
        <v>2.9</v>
      </c>
      <c r="BA689">
        <v>281.39729999999997</v>
      </c>
      <c r="BB689">
        <v>158.8914</v>
      </c>
      <c r="BC689">
        <v>130.52590000000001</v>
      </c>
      <c r="BD689">
        <v>5.6893000000000002</v>
      </c>
      <c r="BE689">
        <v>10.8636</v>
      </c>
      <c r="BF689">
        <v>-27.904599999999999</v>
      </c>
      <c r="BG689">
        <v>265.3777</v>
      </c>
      <c r="BH689">
        <v>76.17</v>
      </c>
    </row>
    <row r="690" spans="1:60" x14ac:dyDescent="0.25">
      <c r="A690" s="2">
        <v>44811</v>
      </c>
      <c r="B690">
        <v>12</v>
      </c>
      <c r="C690">
        <v>26.8</v>
      </c>
      <c r="D690">
        <v>25.6</v>
      </c>
      <c r="E690">
        <v>6.1</v>
      </c>
      <c r="F690">
        <v>195.85</v>
      </c>
      <c r="G690">
        <v>0.3</v>
      </c>
      <c r="H690">
        <v>3</v>
      </c>
      <c r="I690">
        <v>305.02929999999998</v>
      </c>
      <c r="J690">
        <v>210.2714</v>
      </c>
      <c r="K690">
        <v>93.623000000000005</v>
      </c>
      <c r="L690">
        <v>5.7218999999999998</v>
      </c>
      <c r="M690">
        <v>21.560199999999998</v>
      </c>
      <c r="N690">
        <v>-24.8752</v>
      </c>
      <c r="O690">
        <v>235.71770000000001</v>
      </c>
      <c r="P690">
        <v>82.65</v>
      </c>
      <c r="S690">
        <f t="shared" si="223"/>
        <v>905.85580000000004</v>
      </c>
      <c r="T690">
        <f t="shared" si="224"/>
        <v>1.1249579898500664E-2</v>
      </c>
      <c r="U690">
        <f t="shared" si="225"/>
        <v>2.5124061773318149E-2</v>
      </c>
      <c r="V690">
        <f t="shared" si="226"/>
        <v>2.3999103783468083E-2</v>
      </c>
      <c r="W690">
        <f t="shared" si="227"/>
        <v>5.7185364484045034E-3</v>
      </c>
      <c r="X690">
        <f t="shared" si="228"/>
        <v>0.18360251859344623</v>
      </c>
      <c r="Y690">
        <f t="shared" si="229"/>
        <v>2.8123949746251657E-4</v>
      </c>
      <c r="Z690">
        <f t="shared" si="230"/>
        <v>2.8123949746251659E-3</v>
      </c>
      <c r="AA690">
        <f t="shared" si="231"/>
        <v>0.28595429014447732</v>
      </c>
      <c r="AB690">
        <f t="shared" si="232"/>
        <v>0.19712207622246603</v>
      </c>
      <c r="AC690">
        <f t="shared" si="233"/>
        <v>8.776828490311063E-2</v>
      </c>
      <c r="AD690">
        <f t="shared" si="234"/>
        <v>5.3640809351025781E-3</v>
      </c>
      <c r="AE690">
        <f t="shared" si="235"/>
        <v>2.0211932710637832E-2</v>
      </c>
      <c r="AG690">
        <f t="shared" si="236"/>
        <v>1.2845091746073565</v>
      </c>
      <c r="AH690">
        <f t="shared" si="237"/>
        <v>0.2729993676798631</v>
      </c>
      <c r="AI690">
        <f t="shared" si="238"/>
        <v>0.22826280184038814</v>
      </c>
      <c r="AK690" s="26">
        <f t="shared" si="239"/>
        <v>-4.6274767462366861E-2</v>
      </c>
      <c r="AL690" s="26">
        <f t="shared" si="240"/>
        <v>-4.898678407320689E-2</v>
      </c>
      <c r="AM690" s="26">
        <f t="shared" si="241"/>
        <v>-4.9690420495473731E-2</v>
      </c>
      <c r="AN690" s="26">
        <f t="shared" si="242"/>
        <v>-3.2050793650793423</v>
      </c>
      <c r="AO690" s="26">
        <f t="shared" si="243"/>
        <v>-4.6502237521514616</v>
      </c>
      <c r="AP690" s="26">
        <f t="shared" si="244"/>
        <v>-7.6781925081828604</v>
      </c>
      <c r="AS690" s="2">
        <v>44790</v>
      </c>
      <c r="AT690">
        <v>12.7</v>
      </c>
      <c r="AU690">
        <v>16.8</v>
      </c>
      <c r="AV690">
        <v>13.4</v>
      </c>
      <c r="AW690">
        <v>1.6</v>
      </c>
      <c r="AX690">
        <v>214.35</v>
      </c>
      <c r="AY690">
        <v>0.7</v>
      </c>
      <c r="AZ690">
        <v>3.2</v>
      </c>
      <c r="BA690">
        <v>265.02350000000001</v>
      </c>
      <c r="BB690">
        <v>151.9453</v>
      </c>
      <c r="BC690">
        <v>136.5428</v>
      </c>
      <c r="BD690">
        <v>5.7835999999999999</v>
      </c>
      <c r="BE690">
        <v>21.1508</v>
      </c>
      <c r="BF690">
        <v>-21.035499999999999</v>
      </c>
      <c r="BG690">
        <v>243.7269</v>
      </c>
      <c r="BH690">
        <v>75.87</v>
      </c>
    </row>
    <row r="691" spans="1:60" x14ac:dyDescent="0.25">
      <c r="A691" s="2">
        <v>44810</v>
      </c>
      <c r="B691">
        <v>11.2</v>
      </c>
      <c r="C691">
        <v>28</v>
      </c>
      <c r="D691">
        <v>59.6</v>
      </c>
      <c r="E691">
        <v>15.4</v>
      </c>
      <c r="F691">
        <v>200.69</v>
      </c>
      <c r="G691">
        <v>0.4</v>
      </c>
      <c r="H691">
        <v>2.8</v>
      </c>
      <c r="I691">
        <v>312.72730000000001</v>
      </c>
      <c r="J691">
        <v>181.88470000000001</v>
      </c>
      <c r="K691">
        <v>52.533499999999997</v>
      </c>
      <c r="L691">
        <v>5.7328999999999999</v>
      </c>
      <c r="M691">
        <v>30.841200000000001</v>
      </c>
      <c r="N691">
        <v>-64.302899999999994</v>
      </c>
      <c r="O691">
        <v>237.1354</v>
      </c>
      <c r="P691">
        <v>82.42</v>
      </c>
      <c r="S691">
        <f t="shared" si="223"/>
        <v>901.80959999999993</v>
      </c>
      <c r="T691">
        <f t="shared" si="224"/>
        <v>1.0499607905267284E-2</v>
      </c>
      <c r="U691">
        <f t="shared" si="225"/>
        <v>2.6249019763168215E-2</v>
      </c>
      <c r="V691">
        <f t="shared" si="226"/>
        <v>5.5872913495886627E-2</v>
      </c>
      <c r="W691">
        <f t="shared" si="227"/>
        <v>1.4436960869742518E-2</v>
      </c>
      <c r="X691">
        <f t="shared" si="228"/>
        <v>0.18813984915250817</v>
      </c>
      <c r="Y691">
        <f t="shared" si="229"/>
        <v>3.7498599661668879E-4</v>
      </c>
      <c r="Z691">
        <f t="shared" si="230"/>
        <v>2.624901976316821E-3</v>
      </c>
      <c r="AA691">
        <f t="shared" si="231"/>
        <v>0.29317089564936555</v>
      </c>
      <c r="AB691">
        <f t="shared" si="232"/>
        <v>0.17051053874706865</v>
      </c>
      <c r="AC691">
        <f t="shared" si="233"/>
        <v>4.9248317133157048E-2</v>
      </c>
      <c r="AD691">
        <f t="shared" si="234"/>
        <v>5.3743930500095372E-3</v>
      </c>
      <c r="AE691">
        <f t="shared" si="235"/>
        <v>2.8912545297136553E-2</v>
      </c>
      <c r="AG691">
        <f t="shared" si="236"/>
        <v>1.2754801983116006</v>
      </c>
      <c r="AH691">
        <f t="shared" si="237"/>
        <v>0.32711078445664282</v>
      </c>
      <c r="AI691">
        <f t="shared" si="238"/>
        <v>0.70085547380295221</v>
      </c>
      <c r="AK691" s="26">
        <f t="shared" si="239"/>
        <v>-4.7872585770030007E-2</v>
      </c>
      <c r="AL691" s="26">
        <f t="shared" si="240"/>
        <v>-4.9824785990263576E-2</v>
      </c>
      <c r="AM691" s="26">
        <f t="shared" si="241"/>
        <v>-5.0317128030959501E-2</v>
      </c>
      <c r="AN691" s="26">
        <f t="shared" si="242"/>
        <v>-3.2952380952380622</v>
      </c>
      <c r="AO691" s="26">
        <f t="shared" si="243"/>
        <v>-4.7472805507745193</v>
      </c>
      <c r="AP691" s="26">
        <f t="shared" si="244"/>
        <v>-7.7659428884226358</v>
      </c>
      <c r="AS691" s="2">
        <v>44789</v>
      </c>
      <c r="AT691">
        <v>12.3</v>
      </c>
      <c r="AU691">
        <v>257</v>
      </c>
      <c r="AV691">
        <v>8.9</v>
      </c>
      <c r="AW691">
        <v>2.4</v>
      </c>
      <c r="AX691">
        <v>263.81</v>
      </c>
      <c r="AY691">
        <v>0.6</v>
      </c>
      <c r="AZ691">
        <v>3.2</v>
      </c>
      <c r="BA691">
        <v>281.82819999999998</v>
      </c>
      <c r="BB691">
        <v>147.18559999999999</v>
      </c>
      <c r="BC691">
        <v>114.2341</v>
      </c>
      <c r="BD691">
        <v>5.7508999999999997</v>
      </c>
      <c r="BE691">
        <v>23.541699999999999</v>
      </c>
      <c r="BF691">
        <v>-32.785200000000003</v>
      </c>
      <c r="BG691">
        <v>238.43940000000001</v>
      </c>
      <c r="BH691">
        <v>75.569999999999993</v>
      </c>
    </row>
    <row r="692" spans="1:60" x14ac:dyDescent="0.25">
      <c r="A692" s="2">
        <v>44809</v>
      </c>
      <c r="B692">
        <v>10.4</v>
      </c>
      <c r="C692">
        <v>58.4</v>
      </c>
      <c r="D692">
        <v>57.6</v>
      </c>
      <c r="E692">
        <v>13.4</v>
      </c>
      <c r="F692">
        <v>243.36</v>
      </c>
      <c r="G692">
        <v>0.4</v>
      </c>
      <c r="H692">
        <v>2.5</v>
      </c>
      <c r="I692">
        <v>300.57600000000002</v>
      </c>
      <c r="J692">
        <v>181.81630000000001</v>
      </c>
      <c r="K692">
        <v>34.119500000000002</v>
      </c>
      <c r="L692">
        <v>5.7191999999999998</v>
      </c>
      <c r="M692">
        <v>29.270399999999999</v>
      </c>
      <c r="N692">
        <v>-35.997199999999999</v>
      </c>
      <c r="O692">
        <v>270.9248</v>
      </c>
      <c r="P692">
        <v>82.13</v>
      </c>
      <c r="S692">
        <f t="shared" si="223"/>
        <v>937.56139999999994</v>
      </c>
      <c r="T692">
        <f t="shared" si="224"/>
        <v>9.749635912033908E-3</v>
      </c>
      <c r="U692">
        <f t="shared" si="225"/>
        <v>5.4747955506036561E-2</v>
      </c>
      <c r="V692">
        <f t="shared" si="226"/>
        <v>5.3997983512803181E-2</v>
      </c>
      <c r="W692">
        <f t="shared" si="227"/>
        <v>1.2562030886659074E-2</v>
      </c>
      <c r="X692">
        <f t="shared" si="228"/>
        <v>0.22814148034159346</v>
      </c>
      <c r="Y692">
        <f t="shared" si="229"/>
        <v>3.7498599661668879E-4</v>
      </c>
      <c r="Z692">
        <f t="shared" si="230"/>
        <v>2.3436624788543046E-3</v>
      </c>
      <c r="AA692">
        <f t="shared" si="231"/>
        <v>0.28177947729764463</v>
      </c>
      <c r="AB692">
        <f t="shared" si="232"/>
        <v>0.17044641614164718</v>
      </c>
      <c r="AC692">
        <f t="shared" si="233"/>
        <v>3.1985836778907782E-2</v>
      </c>
      <c r="AD692">
        <f t="shared" si="234"/>
        <v>5.3615497796254156E-3</v>
      </c>
      <c r="AE692">
        <f t="shared" si="235"/>
        <v>2.7439975288422815E-2</v>
      </c>
      <c r="AG692">
        <f t="shared" si="236"/>
        <v>1.2637088705784352</v>
      </c>
      <c r="AH692">
        <f t="shared" si="237"/>
        <v>0.38935770992301999</v>
      </c>
      <c r="AI692">
        <f t="shared" si="238"/>
        <v>1.2478382041467688</v>
      </c>
      <c r="AK692" s="26">
        <f t="shared" si="239"/>
        <v>-4.4738899222208417E-2</v>
      </c>
      <c r="AL692" s="26">
        <f t="shared" si="240"/>
        <v>-4.9846454779893135E-2</v>
      </c>
      <c r="AM692" s="26">
        <f t="shared" si="241"/>
        <v>-5.0224693984369628E-2</v>
      </c>
      <c r="AN692" s="26">
        <f t="shared" si="242"/>
        <v>-3.3822222222222393</v>
      </c>
      <c r="AO692" s="26">
        <f t="shared" si="243"/>
        <v>-4.8428786574870628</v>
      </c>
      <c r="AP692" s="26">
        <f t="shared" si="244"/>
        <v>-7.8527085749161145</v>
      </c>
      <c r="AS692" s="2">
        <v>44788</v>
      </c>
      <c r="AT692">
        <v>11</v>
      </c>
      <c r="AU692">
        <v>167.2</v>
      </c>
      <c r="AV692">
        <v>26.2</v>
      </c>
      <c r="AW692">
        <v>3.6</v>
      </c>
      <c r="AX692">
        <v>208.46</v>
      </c>
      <c r="AY692">
        <v>0.4</v>
      </c>
      <c r="AZ692">
        <v>2.8</v>
      </c>
      <c r="BA692">
        <v>272.18950000000001</v>
      </c>
      <c r="BB692">
        <v>129.38810000000001</v>
      </c>
      <c r="BC692">
        <v>56.369</v>
      </c>
      <c r="BD692">
        <v>5.7046000000000001</v>
      </c>
      <c r="BE692">
        <v>22.651199999999999</v>
      </c>
      <c r="BF692">
        <v>-53.925699999999999</v>
      </c>
      <c r="BG692">
        <v>209.64850000000001</v>
      </c>
      <c r="BH692">
        <v>75.209999999999994</v>
      </c>
    </row>
    <row r="693" spans="1:60" x14ac:dyDescent="0.25">
      <c r="A693" s="2">
        <v>44808</v>
      </c>
      <c r="B693">
        <v>10.8</v>
      </c>
      <c r="C693">
        <v>35.200000000000003</v>
      </c>
      <c r="D693">
        <v>54.6</v>
      </c>
      <c r="E693">
        <v>10.4</v>
      </c>
      <c r="F693">
        <v>239</v>
      </c>
      <c r="G693">
        <v>0.5</v>
      </c>
      <c r="H693">
        <v>2.6</v>
      </c>
      <c r="I693">
        <v>275.4425</v>
      </c>
      <c r="J693">
        <v>93.838899999999995</v>
      </c>
      <c r="K693">
        <v>27.771599999999999</v>
      </c>
      <c r="L693">
        <v>5.7565999999999997</v>
      </c>
      <c r="M693">
        <v>18.075800000000001</v>
      </c>
      <c r="P693">
        <v>81.819999999999993</v>
      </c>
      <c r="S693">
        <f t="shared" si="223"/>
        <v>773.98540000000003</v>
      </c>
      <c r="T693">
        <f t="shared" si="224"/>
        <v>1.0124621908650598E-2</v>
      </c>
      <c r="U693">
        <f t="shared" si="225"/>
        <v>3.2998767702268617E-2</v>
      </c>
      <c r="V693">
        <f t="shared" si="226"/>
        <v>5.118558853817802E-2</v>
      </c>
      <c r="W693">
        <f t="shared" si="227"/>
        <v>9.749635912033908E-3</v>
      </c>
      <c r="X693">
        <f t="shared" si="228"/>
        <v>0.22405413297847154</v>
      </c>
      <c r="Y693">
        <f t="shared" si="229"/>
        <v>4.6873249577086097E-4</v>
      </c>
      <c r="Z693">
        <f t="shared" si="230"/>
        <v>2.437408978008477E-3</v>
      </c>
      <c r="AA693">
        <f t="shared" si="231"/>
        <v>0.25821770093273072</v>
      </c>
      <c r="AB693">
        <f t="shared" si="232"/>
        <v>8.797068359478448E-2</v>
      </c>
      <c r="AC693">
        <f t="shared" si="233"/>
        <v>2.6034902759100084E-2</v>
      </c>
      <c r="AD693">
        <f t="shared" si="234"/>
        <v>5.3966109703090757E-3</v>
      </c>
      <c r="AE693">
        <f t="shared" si="235"/>
        <v>1.6945429694109858E-2</v>
      </c>
      <c r="AG693">
        <f t="shared" si="236"/>
        <v>1.25101292134287</v>
      </c>
      <c r="AH693">
        <f t="shared" si="237"/>
        <v>0.34796431820749185</v>
      </c>
      <c r="AI693">
        <f t="shared" si="238"/>
        <v>0.88890617959002149</v>
      </c>
      <c r="AK693" s="26">
        <f t="shared" si="239"/>
        <v>-5.7046197062030957E-2</v>
      </c>
      <c r="AL693" s="26">
        <f t="shared" si="240"/>
        <v>-5.5210947398406984E-2</v>
      </c>
      <c r="AM693" s="26">
        <f t="shared" si="241"/>
        <v>-5.0945419823424265E-2</v>
      </c>
      <c r="AN693" s="26">
        <f t="shared" si="242"/>
        <v>-3.4673015873015913</v>
      </c>
      <c r="AO693" s="26">
        <f t="shared" si="243"/>
        <v>-4.9348687607572828</v>
      </c>
      <c r="AP693" s="26">
        <f t="shared" si="244"/>
        <v>-7.9387864776311758</v>
      </c>
      <c r="AS693" s="2">
        <v>44787</v>
      </c>
      <c r="AT693">
        <v>11.2</v>
      </c>
      <c r="AU693">
        <v>205.4</v>
      </c>
      <c r="AV693">
        <v>32.700000000000003</v>
      </c>
      <c r="AW693">
        <v>4.5</v>
      </c>
      <c r="AX693">
        <v>270.77</v>
      </c>
      <c r="AY693">
        <v>0.1</v>
      </c>
      <c r="AZ693">
        <v>2.2999999999999998</v>
      </c>
      <c r="BA693">
        <v>238.90940000000001</v>
      </c>
      <c r="BB693">
        <v>107.35809999999999</v>
      </c>
      <c r="BC693">
        <v>17.273299999999999</v>
      </c>
      <c r="BD693">
        <v>5.7149000000000001</v>
      </c>
      <c r="BE693">
        <v>17.460899999999999</v>
      </c>
      <c r="BH693">
        <v>74.83</v>
      </c>
    </row>
    <row r="694" spans="1:60" x14ac:dyDescent="0.25">
      <c r="A694" s="2">
        <v>44807</v>
      </c>
      <c r="C694">
        <v>62.9</v>
      </c>
      <c r="F694">
        <v>206.71</v>
      </c>
      <c r="K694">
        <v>20.661799999999999</v>
      </c>
      <c r="P694">
        <v>81.41</v>
      </c>
      <c r="S694">
        <f t="shared" si="223"/>
        <v>290.27179999999998</v>
      </c>
      <c r="T694">
        <f t="shared" si="224"/>
        <v>0</v>
      </c>
      <c r="U694">
        <f t="shared" si="225"/>
        <v>5.8966547967974306E-2</v>
      </c>
      <c r="V694">
        <f t="shared" si="226"/>
        <v>0</v>
      </c>
      <c r="W694">
        <f t="shared" si="227"/>
        <v>0</v>
      </c>
      <c r="X694">
        <f t="shared" si="228"/>
        <v>0.19378338840158935</v>
      </c>
      <c r="Y694">
        <f t="shared" si="229"/>
        <v>0</v>
      </c>
      <c r="Z694">
        <f t="shared" si="230"/>
        <v>0</v>
      </c>
      <c r="AA694">
        <f t="shared" si="231"/>
        <v>0</v>
      </c>
      <c r="AB694">
        <f t="shared" si="232"/>
        <v>0</v>
      </c>
      <c r="AC694">
        <f t="shared" si="233"/>
        <v>1.9369714162236748E-2</v>
      </c>
      <c r="AD694">
        <f t="shared" si="234"/>
        <v>0</v>
      </c>
      <c r="AE694">
        <f t="shared" si="235"/>
        <v>0</v>
      </c>
      <c r="AG694">
        <f t="shared" si="236"/>
        <v>1.233767120012075</v>
      </c>
      <c r="AH694">
        <f t="shared" si="237"/>
        <v>0.25274993636956367</v>
      </c>
      <c r="AI694">
        <f t="shared" si="238"/>
        <v>5.3059393917883974E-2</v>
      </c>
      <c r="AK694" s="26">
        <f t="shared" si="239"/>
        <v>-4.7456514998149069E-2</v>
      </c>
      <c r="AL694" s="26">
        <f t="shared" si="240"/>
        <v>-5.6421516258301718E-2</v>
      </c>
      <c r="AM694" s="26">
        <f t="shared" si="241"/>
        <v>-5.150572949879334E-2</v>
      </c>
      <c r="AN694" s="26">
        <f t="shared" si="242"/>
        <v>-3.5511111111110978</v>
      </c>
      <c r="AO694" s="26">
        <f t="shared" si="243"/>
        <v>-5.02277969018931</v>
      </c>
      <c r="AP694" s="26">
        <f t="shared" si="244"/>
        <v>-8.0254805801377245</v>
      </c>
      <c r="AS694" s="2">
        <v>44786</v>
      </c>
      <c r="AU694">
        <v>104.9</v>
      </c>
      <c r="AX694">
        <v>255.81</v>
      </c>
      <c r="BC694">
        <v>21.9786</v>
      </c>
      <c r="BH694">
        <v>74.39</v>
      </c>
    </row>
    <row r="695" spans="1:60" x14ac:dyDescent="0.25">
      <c r="A695" s="2">
        <v>44806</v>
      </c>
      <c r="C695">
        <v>0</v>
      </c>
      <c r="F695">
        <v>261.64</v>
      </c>
      <c r="K695">
        <v>63.563699999999997</v>
      </c>
      <c r="N695">
        <v>-15.571400000000001</v>
      </c>
      <c r="O695">
        <v>237.2072</v>
      </c>
      <c r="P695">
        <v>81.010000000000005</v>
      </c>
      <c r="S695">
        <f t="shared" si="223"/>
        <v>325.20369999999997</v>
      </c>
      <c r="T695">
        <f t="shared" si="224"/>
        <v>0</v>
      </c>
      <c r="U695">
        <f t="shared" si="225"/>
        <v>0</v>
      </c>
      <c r="V695">
        <f t="shared" si="226"/>
        <v>0</v>
      </c>
      <c r="W695">
        <f t="shared" si="227"/>
        <v>0</v>
      </c>
      <c r="X695">
        <f t="shared" si="228"/>
        <v>0.2452783403869761</v>
      </c>
      <c r="Y695">
        <f t="shared" si="229"/>
        <v>0</v>
      </c>
      <c r="Z695">
        <f t="shared" si="230"/>
        <v>0</v>
      </c>
      <c r="AA695">
        <f t="shared" si="231"/>
        <v>0</v>
      </c>
      <c r="AB695">
        <f t="shared" si="232"/>
        <v>0</v>
      </c>
      <c r="AC695">
        <f t="shared" si="233"/>
        <v>5.958874348286055E-2</v>
      </c>
      <c r="AD695">
        <f t="shared" si="234"/>
        <v>0</v>
      </c>
      <c r="AE695">
        <f t="shared" si="235"/>
        <v>0</v>
      </c>
      <c r="AG695">
        <f t="shared" si="236"/>
        <v>1.2169551180127682</v>
      </c>
      <c r="AH695">
        <f t="shared" si="237"/>
        <v>0.2452783403869761</v>
      </c>
      <c r="AI695">
        <f t="shared" si="238"/>
        <v>-1.4008515142757451E-2</v>
      </c>
      <c r="AK695" s="26">
        <f t="shared" si="239"/>
        <v>-4.6316041218669168E-2</v>
      </c>
      <c r="AL695" s="26">
        <f t="shared" si="240"/>
        <v>-5.9589607025565483E-2</v>
      </c>
      <c r="AM695" s="26">
        <f t="shared" si="241"/>
        <v>-5.1111783324125415E-2</v>
      </c>
      <c r="AN695" s="26">
        <f t="shared" si="242"/>
        <v>-3.6317460317460046</v>
      </c>
      <c r="AO695" s="26">
        <f t="shared" si="243"/>
        <v>-5.1106153184165066</v>
      </c>
      <c r="AP695" s="26">
        <f t="shared" si="244"/>
        <v>-8.1116407141315818</v>
      </c>
      <c r="AS695" s="2">
        <v>44785</v>
      </c>
      <c r="AU695">
        <v>62.5</v>
      </c>
      <c r="AX695">
        <v>294.10000000000002</v>
      </c>
      <c r="BC695">
        <v>38.927999999999997</v>
      </c>
      <c r="BF695">
        <v>-41.856299999999997</v>
      </c>
      <c r="BG695">
        <v>201.06489999999999</v>
      </c>
      <c r="BH695">
        <v>73.94</v>
      </c>
    </row>
    <row r="696" spans="1:60" x14ac:dyDescent="0.25">
      <c r="A696" s="2">
        <v>44805</v>
      </c>
      <c r="B696">
        <v>12.5</v>
      </c>
      <c r="C696">
        <v>0.7</v>
      </c>
      <c r="D696">
        <v>16.5</v>
      </c>
      <c r="E696">
        <v>5.2</v>
      </c>
      <c r="F696">
        <v>216.14</v>
      </c>
      <c r="G696">
        <v>0.8</v>
      </c>
      <c r="H696">
        <v>2.9</v>
      </c>
      <c r="I696">
        <v>296.03919999999999</v>
      </c>
      <c r="J696">
        <v>205.42670000000001</v>
      </c>
      <c r="K696">
        <v>81.507000000000005</v>
      </c>
      <c r="L696">
        <v>5.5629</v>
      </c>
      <c r="M696">
        <v>23.294799999999999</v>
      </c>
      <c r="N696">
        <v>-45.268799999999999</v>
      </c>
      <c r="O696">
        <v>265.49059999999997</v>
      </c>
      <c r="P696">
        <v>80.72</v>
      </c>
      <c r="S696">
        <f t="shared" si="223"/>
        <v>866.57060000000001</v>
      </c>
      <c r="T696">
        <f t="shared" si="224"/>
        <v>1.1718312394271523E-2</v>
      </c>
      <c r="U696">
        <f t="shared" si="225"/>
        <v>6.5622549407920526E-4</v>
      </c>
      <c r="V696">
        <f t="shared" si="226"/>
        <v>1.5468172360438412E-2</v>
      </c>
      <c r="W696">
        <f t="shared" si="227"/>
        <v>4.874817956016954E-3</v>
      </c>
      <c r="X696">
        <f t="shared" si="228"/>
        <v>0.20262368327182775</v>
      </c>
      <c r="Y696">
        <f t="shared" si="229"/>
        <v>7.4997199323337759E-4</v>
      </c>
      <c r="Z696">
        <f t="shared" si="230"/>
        <v>2.7186484754709935E-3</v>
      </c>
      <c r="AA696">
        <f t="shared" si="231"/>
        <v>0.27752638612401809</v>
      </c>
      <c r="AB696">
        <f t="shared" si="232"/>
        <v>0.19258033957794385</v>
      </c>
      <c r="AC696">
        <f t="shared" si="233"/>
        <v>7.6409959065591129E-2</v>
      </c>
      <c r="AD696">
        <f t="shared" si="234"/>
        <v>5.215024001447445E-3</v>
      </c>
      <c r="AE696">
        <f t="shared" si="235"/>
        <v>2.1838059484966102E-2</v>
      </c>
      <c r="AG696">
        <f t="shared" si="236"/>
        <v>1.205115860599892</v>
      </c>
      <c r="AH696">
        <f t="shared" si="237"/>
        <v>0.26064789143030431</v>
      </c>
      <c r="AI696">
        <f t="shared" si="238"/>
        <v>0.12064864810115317</v>
      </c>
      <c r="AK696" s="26">
        <f t="shared" si="239"/>
        <v>-5.4513714253483447E-2</v>
      </c>
      <c r="AL696" s="26">
        <f t="shared" si="240"/>
        <v>-6.2165102555182095E-2</v>
      </c>
      <c r="AM696" s="26">
        <f t="shared" si="241"/>
        <v>-4.965906475347559E-2</v>
      </c>
      <c r="AN696" s="26">
        <f t="shared" si="242"/>
        <v>-3.713333333333324</v>
      </c>
      <c r="AO696" s="26">
        <f t="shared" si="243"/>
        <v>-5.200002151462968</v>
      </c>
      <c r="AP696" s="26">
        <f t="shared" si="244"/>
        <v>-8.1976134042948701</v>
      </c>
      <c r="AS696" s="2">
        <v>44784</v>
      </c>
      <c r="AT696">
        <v>11.7</v>
      </c>
      <c r="AU696">
        <v>194.1</v>
      </c>
      <c r="AV696">
        <v>1.6</v>
      </c>
      <c r="AW696">
        <v>2.8</v>
      </c>
      <c r="AX696">
        <v>310.5</v>
      </c>
      <c r="AY696">
        <v>0.6</v>
      </c>
      <c r="AZ696">
        <v>3.4</v>
      </c>
      <c r="BA696">
        <v>280.96519999999998</v>
      </c>
      <c r="BB696">
        <v>147.14169999999999</v>
      </c>
      <c r="BC696">
        <v>35.027000000000001</v>
      </c>
      <c r="BD696">
        <v>5.2760999999999996</v>
      </c>
      <c r="BE696">
        <v>32.472799999999999</v>
      </c>
      <c r="BF696">
        <v>-32.053100000000001</v>
      </c>
      <c r="BG696">
        <v>218.21610000000001</v>
      </c>
      <c r="BH696">
        <v>73.569999999999993</v>
      </c>
    </row>
    <row r="697" spans="1:60" x14ac:dyDescent="0.25">
      <c r="A697" s="2">
        <v>44804</v>
      </c>
      <c r="B697">
        <v>8.9</v>
      </c>
      <c r="C697">
        <v>3.9</v>
      </c>
      <c r="D697">
        <v>26.7</v>
      </c>
      <c r="E697">
        <v>5.6</v>
      </c>
      <c r="F697">
        <v>158.52000000000001</v>
      </c>
      <c r="G697">
        <v>0.8</v>
      </c>
      <c r="H697">
        <v>2.9</v>
      </c>
      <c r="I697">
        <v>288.46850000000001</v>
      </c>
      <c r="J697">
        <v>205.2192</v>
      </c>
      <c r="K697">
        <v>93.934700000000007</v>
      </c>
      <c r="L697">
        <v>5.4724000000000004</v>
      </c>
      <c r="M697">
        <v>25.436399999999999</v>
      </c>
      <c r="N697">
        <v>-38.492899999999999</v>
      </c>
      <c r="O697">
        <v>246.6234</v>
      </c>
      <c r="P697">
        <v>80.44</v>
      </c>
      <c r="S697">
        <f t="shared" si="223"/>
        <v>825.85120000000006</v>
      </c>
      <c r="T697">
        <f t="shared" si="224"/>
        <v>8.3434384247213257E-3</v>
      </c>
      <c r="U697">
        <f t="shared" si="225"/>
        <v>3.6561134670127153E-3</v>
      </c>
      <c r="V697">
        <f t="shared" si="226"/>
        <v>2.5030315274163974E-2</v>
      </c>
      <c r="W697">
        <f t="shared" si="227"/>
        <v>5.249803952633642E-3</v>
      </c>
      <c r="X697">
        <f t="shared" si="228"/>
        <v>0.14860695045919375</v>
      </c>
      <c r="Y697">
        <f t="shared" si="229"/>
        <v>7.4997199323337759E-4</v>
      </c>
      <c r="Z697">
        <f t="shared" si="230"/>
        <v>2.7186484754709935E-3</v>
      </c>
      <c r="AA697">
        <f t="shared" si="231"/>
        <v>0.2704291199125532</v>
      </c>
      <c r="AB697">
        <f t="shared" si="232"/>
        <v>0.19238581559219894</v>
      </c>
      <c r="AC697">
        <f t="shared" si="233"/>
        <v>8.8060492740974189E-2</v>
      </c>
      <c r="AD697">
        <f t="shared" si="234"/>
        <v>5.1301834197129189E-3</v>
      </c>
      <c r="AE697">
        <f t="shared" si="235"/>
        <v>2.3845734510851854E-2</v>
      </c>
      <c r="AG697">
        <f t="shared" si="236"/>
        <v>1.1937170010636815</v>
      </c>
      <c r="AH697">
        <f t="shared" si="237"/>
        <v>0.2182009765572816</v>
      </c>
      <c r="AI697">
        <f t="shared" si="238"/>
        <v>-0.2533156620575282</v>
      </c>
      <c r="AK697" s="26">
        <f t="shared" si="239"/>
        <v>-5.3338793843703269E-2</v>
      </c>
      <c r="AL697" s="26">
        <f t="shared" si="240"/>
        <v>-6.5739763825337305E-2</v>
      </c>
      <c r="AM697" s="26">
        <f t="shared" si="241"/>
        <v>-4.9314270419283657E-2</v>
      </c>
      <c r="AN697" s="26">
        <f t="shared" si="242"/>
        <v>-3.7968253968253975</v>
      </c>
      <c r="AO697" s="26">
        <f t="shared" si="243"/>
        <v>-5.2910606712564174</v>
      </c>
      <c r="AP697" s="26">
        <f t="shared" si="244"/>
        <v>-8.2833836360813962</v>
      </c>
      <c r="AS697" s="2">
        <v>44783</v>
      </c>
      <c r="AT697">
        <v>11.7</v>
      </c>
      <c r="AU697">
        <v>85.1</v>
      </c>
      <c r="AV697">
        <v>1.6</v>
      </c>
      <c r="AW697">
        <v>2.6</v>
      </c>
      <c r="AX697">
        <v>303.77999999999997</v>
      </c>
      <c r="AY697">
        <v>0.6</v>
      </c>
      <c r="AZ697">
        <v>3.2</v>
      </c>
      <c r="BA697">
        <v>303.32560000000001</v>
      </c>
      <c r="BB697">
        <v>166.20849999999999</v>
      </c>
      <c r="BC697">
        <v>26.0246</v>
      </c>
      <c r="BD697">
        <v>5.2279</v>
      </c>
      <c r="BE697">
        <v>28.940799999999999</v>
      </c>
      <c r="BF697">
        <v>-41.362900000000003</v>
      </c>
      <c r="BG697">
        <v>203.98769999999999</v>
      </c>
      <c r="BH697">
        <v>73.2</v>
      </c>
    </row>
    <row r="698" spans="1:60" x14ac:dyDescent="0.25">
      <c r="A698" s="2">
        <v>44803</v>
      </c>
      <c r="B698">
        <v>8</v>
      </c>
      <c r="C698">
        <v>1.4</v>
      </c>
      <c r="D698">
        <v>24.5</v>
      </c>
      <c r="E698">
        <v>4.5</v>
      </c>
      <c r="F698">
        <v>233.11</v>
      </c>
      <c r="G698">
        <v>0.8</v>
      </c>
      <c r="H698">
        <v>3</v>
      </c>
      <c r="I698">
        <v>280.92770000000002</v>
      </c>
      <c r="J698">
        <v>215.16669999999999</v>
      </c>
      <c r="K698">
        <v>96.342699999999994</v>
      </c>
      <c r="L698">
        <v>5.4370000000000003</v>
      </c>
      <c r="M698">
        <v>15.922599999999999</v>
      </c>
      <c r="N698">
        <v>-29.523800000000001</v>
      </c>
      <c r="O698">
        <v>301.7208</v>
      </c>
      <c r="P698">
        <v>80.319999999999993</v>
      </c>
      <c r="S698">
        <f t="shared" si="223"/>
        <v>889.10670000000005</v>
      </c>
      <c r="T698">
        <f t="shared" si="224"/>
        <v>7.4997199323337755E-3</v>
      </c>
      <c r="U698">
        <f t="shared" si="225"/>
        <v>1.3124509881584105E-3</v>
      </c>
      <c r="V698">
        <f t="shared" si="226"/>
        <v>2.2967892292772185E-2</v>
      </c>
      <c r="W698">
        <f t="shared" si="227"/>
        <v>4.2185924619377486E-3</v>
      </c>
      <c r="X698">
        <f t="shared" si="228"/>
        <v>0.21853246417829081</v>
      </c>
      <c r="Y698">
        <f t="shared" si="229"/>
        <v>7.4997199323337759E-4</v>
      </c>
      <c r="Z698">
        <f t="shared" si="230"/>
        <v>2.8123949746251659E-3</v>
      </c>
      <c r="AA698">
        <f t="shared" si="231"/>
        <v>0.2633598839043354</v>
      </c>
      <c r="AB698">
        <f t="shared" si="232"/>
        <v>0.20171124859556019</v>
      </c>
      <c r="AC698">
        <f t="shared" si="233"/>
        <v>9.0317908440606651E-2</v>
      </c>
      <c r="AD698">
        <f t="shared" si="234"/>
        <v>5.0969971590123422E-3</v>
      </c>
      <c r="AE698">
        <f t="shared" si="235"/>
        <v>1.492688007432222E-2</v>
      </c>
      <c r="AG698">
        <f t="shared" si="236"/>
        <v>1.1896026095512457</v>
      </c>
      <c r="AH698">
        <f t="shared" si="237"/>
        <v>0.27302036689567372</v>
      </c>
      <c r="AI698">
        <f t="shared" si="238"/>
        <v>0.22889362470660413</v>
      </c>
      <c r="AK698" s="26">
        <f t="shared" si="239"/>
        <v>-5.5537902196941102E-2</v>
      </c>
      <c r="AL698" s="26">
        <f t="shared" si="240"/>
        <v>-6.7266282896062568E-2</v>
      </c>
      <c r="AM698" s="26">
        <f t="shared" si="241"/>
        <v>-4.8666636846464106E-2</v>
      </c>
      <c r="AN698" s="26">
        <f t="shared" si="242"/>
        <v>-3.8785714285714334</v>
      </c>
      <c r="AO698" s="26">
        <f t="shared" si="243"/>
        <v>-5.3822246127366355</v>
      </c>
      <c r="AP698" s="26">
        <f t="shared" si="244"/>
        <v>-8.3675800822635367</v>
      </c>
      <c r="AS698" s="2">
        <v>44782</v>
      </c>
      <c r="AT698">
        <v>12.6</v>
      </c>
      <c r="AU698">
        <v>33.299999999999997</v>
      </c>
      <c r="AV698">
        <v>0.2</v>
      </c>
      <c r="AW698">
        <v>2.8</v>
      </c>
      <c r="AX698">
        <v>300.42</v>
      </c>
      <c r="AY698">
        <v>0.5</v>
      </c>
      <c r="AZ698">
        <v>2.7</v>
      </c>
      <c r="BA698">
        <v>300.10230000000001</v>
      </c>
      <c r="BB698">
        <v>162.4143</v>
      </c>
      <c r="BC698">
        <v>30.937799999999999</v>
      </c>
      <c r="BD698">
        <v>5.1868999999999996</v>
      </c>
      <c r="BE698">
        <v>23.941199999999998</v>
      </c>
      <c r="BF698">
        <v>-38.9679</v>
      </c>
      <c r="BG698">
        <v>187.7937</v>
      </c>
      <c r="BH698">
        <v>72.790000000000006</v>
      </c>
    </row>
    <row r="699" spans="1:60" x14ac:dyDescent="0.25">
      <c r="A699" s="2">
        <v>44802</v>
      </c>
      <c r="B699">
        <v>12.3</v>
      </c>
      <c r="C699">
        <v>1.6</v>
      </c>
      <c r="D699">
        <v>27.3</v>
      </c>
      <c r="E699">
        <v>3.3</v>
      </c>
      <c r="F699">
        <v>228.15</v>
      </c>
      <c r="G699">
        <v>0.8</v>
      </c>
      <c r="H699">
        <v>2.9</v>
      </c>
      <c r="I699">
        <v>282.88080000000002</v>
      </c>
      <c r="J699">
        <v>178.03620000000001</v>
      </c>
      <c r="K699">
        <v>71.784700000000001</v>
      </c>
      <c r="L699">
        <v>5.4234999999999998</v>
      </c>
      <c r="M699">
        <v>23.273900000000001</v>
      </c>
      <c r="N699">
        <v>-20.650700000000001</v>
      </c>
      <c r="O699">
        <v>339.12569999999999</v>
      </c>
      <c r="P699">
        <v>80.05</v>
      </c>
      <c r="S699">
        <f t="shared" si="223"/>
        <v>837.74910000000011</v>
      </c>
      <c r="T699">
        <f t="shared" si="224"/>
        <v>1.153081939596318E-2</v>
      </c>
      <c r="U699">
        <f t="shared" si="225"/>
        <v>1.4999439864667552E-3</v>
      </c>
      <c r="V699">
        <f t="shared" si="226"/>
        <v>2.559279426908901E-2</v>
      </c>
      <c r="W699">
        <f t="shared" si="227"/>
        <v>3.0936344720876819E-3</v>
      </c>
      <c r="X699">
        <f t="shared" si="228"/>
        <v>0.21388263782024386</v>
      </c>
      <c r="Y699">
        <f t="shared" si="229"/>
        <v>7.4997199323337759E-4</v>
      </c>
      <c r="Z699">
        <f t="shared" si="230"/>
        <v>2.7186484754709935E-3</v>
      </c>
      <c r="AA699">
        <f t="shared" si="231"/>
        <v>0.26519084677931554</v>
      </c>
      <c r="AB699">
        <f t="shared" si="232"/>
        <v>0.16690270472712032</v>
      </c>
      <c r="AC699">
        <f t="shared" si="233"/>
        <v>6.7295643178325051E-2</v>
      </c>
      <c r="AD699">
        <f t="shared" si="234"/>
        <v>5.0843413816265282E-3</v>
      </c>
      <c r="AE699">
        <f t="shared" si="235"/>
        <v>2.1818466466642882E-2</v>
      </c>
      <c r="AG699">
        <f t="shared" si="236"/>
        <v>1.1786804910776014</v>
      </c>
      <c r="AH699">
        <f t="shared" si="237"/>
        <v>0.28088691687919776</v>
      </c>
      <c r="AI699">
        <f t="shared" si="238"/>
        <v>0.29931263618656673</v>
      </c>
      <c r="AK699" s="26">
        <f t="shared" si="239"/>
        <v>-5.6917221223710512E-2</v>
      </c>
      <c r="AL699" s="26">
        <f t="shared" si="240"/>
        <v>-6.8402131840997027E-2</v>
      </c>
      <c r="AM699" s="26">
        <f t="shared" si="241"/>
        <v>-4.6956555348837081E-2</v>
      </c>
      <c r="AN699" s="26">
        <f t="shared" si="242"/>
        <v>-3.968888888888884</v>
      </c>
      <c r="AO699" s="26">
        <f t="shared" si="243"/>
        <v>-5.4756260757314692</v>
      </c>
      <c r="AP699" s="26">
        <f t="shared" si="244"/>
        <v>-8.4517664717471206</v>
      </c>
      <c r="AS699" s="2">
        <v>44781</v>
      </c>
      <c r="AT699">
        <v>12.2</v>
      </c>
      <c r="AU699">
        <v>146.9</v>
      </c>
      <c r="AV699">
        <v>1.5</v>
      </c>
      <c r="AW699">
        <v>2</v>
      </c>
      <c r="AX699">
        <v>296.3</v>
      </c>
      <c r="AY699">
        <v>0.4</v>
      </c>
      <c r="AZ699">
        <v>2.5</v>
      </c>
      <c r="BA699">
        <v>298.88810000000001</v>
      </c>
      <c r="BB699">
        <v>160.2234</v>
      </c>
      <c r="BC699">
        <v>22.326599999999999</v>
      </c>
      <c r="BD699">
        <v>5.0444000000000004</v>
      </c>
      <c r="BE699">
        <v>23.907900000000001</v>
      </c>
      <c r="BF699">
        <v>-423.76600000000002</v>
      </c>
      <c r="BG699">
        <v>205.38480000000001</v>
      </c>
      <c r="BH699">
        <v>72.400000000000006</v>
      </c>
    </row>
    <row r="700" spans="1:60" x14ac:dyDescent="0.25">
      <c r="A700" s="2">
        <v>44801</v>
      </c>
      <c r="B700">
        <v>14.4</v>
      </c>
      <c r="C700">
        <v>1.9</v>
      </c>
      <c r="D700">
        <v>63.6</v>
      </c>
      <c r="E700">
        <v>9.1999999999999993</v>
      </c>
      <c r="F700">
        <v>197.53</v>
      </c>
      <c r="G700">
        <v>0.8</v>
      </c>
      <c r="H700">
        <v>3</v>
      </c>
      <c r="I700">
        <v>265.17559999999997</v>
      </c>
      <c r="J700">
        <v>109.04900000000001</v>
      </c>
      <c r="K700">
        <v>25.719200000000001</v>
      </c>
      <c r="L700">
        <v>5.4410999999999996</v>
      </c>
      <c r="M700">
        <v>9.1119000000000003</v>
      </c>
      <c r="P700">
        <v>79.77</v>
      </c>
      <c r="S700">
        <f t="shared" si="223"/>
        <v>704.92679999999996</v>
      </c>
      <c r="T700">
        <f t="shared" si="224"/>
        <v>1.3499495878200795E-2</v>
      </c>
      <c r="U700">
        <f t="shared" si="225"/>
        <v>1.7811834839292716E-3</v>
      </c>
      <c r="V700">
        <f t="shared" si="226"/>
        <v>5.9622773462053517E-2</v>
      </c>
      <c r="W700">
        <f t="shared" si="227"/>
        <v>8.6246779221838404E-3</v>
      </c>
      <c r="X700">
        <f t="shared" si="228"/>
        <v>0.18517745977923633</v>
      </c>
      <c r="Y700">
        <f t="shared" si="229"/>
        <v>7.4997199323337759E-4</v>
      </c>
      <c r="Z700">
        <f t="shared" si="230"/>
        <v>2.8123949746251659E-3</v>
      </c>
      <c r="AA700">
        <f t="shared" si="231"/>
        <v>0.24859284161107101</v>
      </c>
      <c r="AB700">
        <f t="shared" si="232"/>
        <v>0.10222961986263324</v>
      </c>
      <c r="AC700">
        <f t="shared" si="233"/>
        <v>2.4110849610459856E-2</v>
      </c>
      <c r="AD700">
        <f t="shared" si="234"/>
        <v>5.1008407654776627E-3</v>
      </c>
      <c r="AE700">
        <f t="shared" si="235"/>
        <v>8.5420872564290155E-3</v>
      </c>
      <c r="AG700">
        <f t="shared" si="236"/>
        <v>1.1673075113827107</v>
      </c>
      <c r="AH700">
        <f t="shared" si="237"/>
        <v>0.28081004474989135</v>
      </c>
      <c r="AI700">
        <f t="shared" si="238"/>
        <v>0.29509008359915845</v>
      </c>
      <c r="AK700" s="26">
        <f t="shared" si="239"/>
        <v>-5.8960113684445148E-2</v>
      </c>
      <c r="AL700" s="26">
        <f t="shared" si="240"/>
        <v>-6.8380797169911633E-2</v>
      </c>
      <c r="AM700" s="26">
        <f t="shared" si="241"/>
        <v>-4.6221909314061727E-2</v>
      </c>
      <c r="AN700" s="26">
        <f t="shared" si="242"/>
        <v>-4.0598412698412716</v>
      </c>
      <c r="AO700" s="26">
        <f t="shared" si="243"/>
        <v>-5.5673235800344116</v>
      </c>
      <c r="AP700" s="26">
        <f t="shared" si="244"/>
        <v>-8.5352080587460435</v>
      </c>
      <c r="AS700" s="2">
        <v>44780</v>
      </c>
      <c r="AT700">
        <v>12.8</v>
      </c>
      <c r="AU700">
        <v>148.1</v>
      </c>
      <c r="AV700">
        <v>11.6</v>
      </c>
      <c r="AW700">
        <v>2.2999999999999998</v>
      </c>
      <c r="AX700">
        <v>298.23</v>
      </c>
      <c r="AY700">
        <v>0</v>
      </c>
      <c r="AZ700">
        <v>2.9</v>
      </c>
      <c r="BA700">
        <v>270.17180000000002</v>
      </c>
      <c r="BB700">
        <v>102.4919</v>
      </c>
      <c r="BC700">
        <v>16.057500000000001</v>
      </c>
      <c r="BD700">
        <v>4.9302000000000001</v>
      </c>
      <c r="BE700">
        <v>11.4764</v>
      </c>
      <c r="BH700">
        <v>72.02</v>
      </c>
    </row>
    <row r="701" spans="1:60" x14ac:dyDescent="0.25">
      <c r="A701" s="2">
        <v>44800</v>
      </c>
      <c r="C701">
        <v>18.2</v>
      </c>
      <c r="F701">
        <v>113.62</v>
      </c>
      <c r="K701">
        <v>64.042500000000004</v>
      </c>
      <c r="P701">
        <v>79.37</v>
      </c>
      <c r="S701">
        <f t="shared" si="223"/>
        <v>195.86250000000001</v>
      </c>
      <c r="T701">
        <f t="shared" si="224"/>
        <v>0</v>
      </c>
      <c r="U701">
        <f t="shared" si="225"/>
        <v>1.7061862846059338E-2</v>
      </c>
      <c r="V701">
        <f t="shared" si="226"/>
        <v>0</v>
      </c>
      <c r="W701">
        <f t="shared" si="227"/>
        <v>0</v>
      </c>
      <c r="X701">
        <f t="shared" si="228"/>
        <v>0.10651477233897044</v>
      </c>
      <c r="Y701">
        <f t="shared" si="229"/>
        <v>0</v>
      </c>
      <c r="Z701">
        <f t="shared" si="230"/>
        <v>0</v>
      </c>
      <c r="AA701">
        <f t="shared" si="231"/>
        <v>0</v>
      </c>
      <c r="AB701">
        <f t="shared" si="232"/>
        <v>0</v>
      </c>
      <c r="AC701">
        <f t="shared" si="233"/>
        <v>6.0037601720810727E-2</v>
      </c>
      <c r="AD701">
        <f t="shared" si="234"/>
        <v>0</v>
      </c>
      <c r="AE701">
        <f t="shared" si="235"/>
        <v>0</v>
      </c>
      <c r="AG701">
        <f t="shared" si="236"/>
        <v>1.1504975677958413</v>
      </c>
      <c r="AH701">
        <f t="shared" si="237"/>
        <v>0.12357663518502979</v>
      </c>
      <c r="AI701">
        <f t="shared" si="238"/>
        <v>-1.0867422770110329</v>
      </c>
      <c r="AK701" s="26">
        <f t="shared" si="239"/>
        <v>-5.7484421768505656E-2</v>
      </c>
      <c r="AL701" s="26">
        <f t="shared" si="240"/>
        <v>-6.9597217652704491E-2</v>
      </c>
      <c r="AM701" s="26">
        <f t="shared" si="241"/>
        <v>-4.6713136095806407E-2</v>
      </c>
      <c r="AN701" s="26">
        <f t="shared" si="242"/>
        <v>-4.1426984126984223</v>
      </c>
      <c r="AO701" s="26">
        <f t="shared" si="243"/>
        <v>-5.6566523235799764</v>
      </c>
      <c r="AP701" s="26">
        <f t="shared" si="244"/>
        <v>-8.618625326740819</v>
      </c>
      <c r="AS701" s="2">
        <v>44779</v>
      </c>
      <c r="AU701">
        <v>8.4</v>
      </c>
      <c r="AX701">
        <v>257.27999999999997</v>
      </c>
      <c r="BC701">
        <v>15.602399999999999</v>
      </c>
      <c r="BH701">
        <v>71.56</v>
      </c>
    </row>
    <row r="702" spans="1:60" x14ac:dyDescent="0.25">
      <c r="A702" s="2">
        <v>44799</v>
      </c>
      <c r="C702">
        <v>288.10000000000002</v>
      </c>
      <c r="F702">
        <v>181.02</v>
      </c>
      <c r="K702">
        <v>99.011499999999998</v>
      </c>
      <c r="N702">
        <v>-65.726200000000006</v>
      </c>
      <c r="O702">
        <v>426.96499999999997</v>
      </c>
      <c r="P702">
        <v>78.989999999999995</v>
      </c>
      <c r="S702">
        <f t="shared" si="223"/>
        <v>568.13149999999996</v>
      </c>
      <c r="T702">
        <f t="shared" si="224"/>
        <v>0</v>
      </c>
      <c r="U702">
        <f t="shared" si="225"/>
        <v>0.27008366406317008</v>
      </c>
      <c r="V702">
        <f t="shared" si="226"/>
        <v>0</v>
      </c>
      <c r="W702">
        <f t="shared" si="227"/>
        <v>0</v>
      </c>
      <c r="X702">
        <f t="shared" si="228"/>
        <v>0.16969991276888252</v>
      </c>
      <c r="Y702">
        <f t="shared" si="229"/>
        <v>0</v>
      </c>
      <c r="Z702">
        <f t="shared" si="230"/>
        <v>0</v>
      </c>
      <c r="AA702">
        <f t="shared" si="231"/>
        <v>0</v>
      </c>
      <c r="AB702">
        <f t="shared" si="232"/>
        <v>0</v>
      </c>
      <c r="AC702">
        <f t="shared" si="233"/>
        <v>9.2819815010033196E-2</v>
      </c>
      <c r="AD702">
        <f t="shared" si="234"/>
        <v>0</v>
      </c>
      <c r="AE702">
        <f t="shared" si="235"/>
        <v>0</v>
      </c>
      <c r="AG702">
        <f t="shared" si="236"/>
        <v>1.1345900655801398</v>
      </c>
      <c r="AH702">
        <f t="shared" si="237"/>
        <v>0.4397835768320526</v>
      </c>
      <c r="AI702">
        <f t="shared" si="238"/>
        <v>1.6923964839861152</v>
      </c>
      <c r="AK702" s="26">
        <f t="shared" si="239"/>
        <v>-5.3487819528525327E-2</v>
      </c>
      <c r="AL702" s="26">
        <f t="shared" si="240"/>
        <v>-6.3626001837491231E-2</v>
      </c>
      <c r="AM702" s="26">
        <f t="shared" si="241"/>
        <v>-4.5073449794389764E-2</v>
      </c>
      <c r="AN702" s="26">
        <f t="shared" si="242"/>
        <v>-4.2234920634920883</v>
      </c>
      <c r="AO702" s="26">
        <f t="shared" si="243"/>
        <v>-5.7450645438897823</v>
      </c>
      <c r="AP702" s="26">
        <f t="shared" si="244"/>
        <v>-8.7018084702907927</v>
      </c>
      <c r="AS702" s="2">
        <v>44778</v>
      </c>
      <c r="AU702">
        <v>21.7</v>
      </c>
      <c r="AX702">
        <v>206.84</v>
      </c>
      <c r="BC702">
        <v>45.457099999999997</v>
      </c>
      <c r="BF702">
        <v>-31.807400000000001</v>
      </c>
      <c r="BG702">
        <v>213.7576</v>
      </c>
      <c r="BH702">
        <v>71.11</v>
      </c>
    </row>
    <row r="703" spans="1:60" x14ac:dyDescent="0.25">
      <c r="A703" s="2">
        <v>44798</v>
      </c>
      <c r="B703">
        <v>14.1</v>
      </c>
      <c r="C703">
        <v>1.4</v>
      </c>
      <c r="D703">
        <v>41.4</v>
      </c>
      <c r="E703">
        <v>7</v>
      </c>
      <c r="F703">
        <v>246.59</v>
      </c>
      <c r="G703">
        <v>0.7</v>
      </c>
      <c r="H703">
        <v>3</v>
      </c>
      <c r="I703">
        <v>284.76119999999997</v>
      </c>
      <c r="J703">
        <v>201.62280000000001</v>
      </c>
      <c r="K703">
        <v>86.320599999999999</v>
      </c>
      <c r="L703">
        <v>5.3827999999999996</v>
      </c>
      <c r="M703">
        <v>22.327999999999999</v>
      </c>
      <c r="N703">
        <v>-70.97</v>
      </c>
      <c r="O703">
        <v>389.52359999999999</v>
      </c>
      <c r="P703">
        <v>78.67</v>
      </c>
      <c r="S703">
        <f t="shared" si="223"/>
        <v>914.60539999999992</v>
      </c>
      <c r="T703">
        <f t="shared" si="224"/>
        <v>1.3218256380738279E-2</v>
      </c>
      <c r="U703">
        <f t="shared" si="225"/>
        <v>1.3124509881584105E-3</v>
      </c>
      <c r="V703">
        <f t="shared" si="226"/>
        <v>3.8811050649827289E-2</v>
      </c>
      <c r="W703">
        <f t="shared" si="227"/>
        <v>6.5622549407920536E-3</v>
      </c>
      <c r="X703">
        <f t="shared" si="228"/>
        <v>0.23116949226427322</v>
      </c>
      <c r="Y703">
        <f t="shared" si="229"/>
        <v>6.5622549407920526E-4</v>
      </c>
      <c r="Z703">
        <f t="shared" si="230"/>
        <v>2.8123949746251659E-3</v>
      </c>
      <c r="AA703">
        <f t="shared" si="231"/>
        <v>0.26695365594941056</v>
      </c>
      <c r="AB703">
        <f t="shared" si="232"/>
        <v>0.18901431649661829</v>
      </c>
      <c r="AC703">
        <f t="shared" si="233"/>
        <v>8.0922540548876362E-2</v>
      </c>
      <c r="AD703">
        <f t="shared" si="234"/>
        <v>5.0461865564707803E-3</v>
      </c>
      <c r="AE703">
        <f t="shared" si="235"/>
        <v>2.0931718331143566E-2</v>
      </c>
      <c r="AG703">
        <f t="shared" si="236"/>
        <v>1.1213993389540202</v>
      </c>
      <c r="AH703">
        <f t="shared" si="237"/>
        <v>0.31547384402363721</v>
      </c>
      <c r="AI703">
        <f t="shared" si="238"/>
        <v>0.60108627225914191</v>
      </c>
      <c r="AK703" s="26">
        <f t="shared" si="239"/>
        <v>-7.0207027015858847E-2</v>
      </c>
      <c r="AL703" s="26">
        <f t="shared" si="240"/>
        <v>-7.0186697417899069E-2</v>
      </c>
      <c r="AM703" s="26">
        <f t="shared" si="241"/>
        <v>-4.5057030967819878E-2</v>
      </c>
      <c r="AN703" s="26">
        <f t="shared" si="242"/>
        <v>-4.3050793650793793</v>
      </c>
      <c r="AO703" s="26">
        <f t="shared" si="243"/>
        <v>-5.8391396103895659</v>
      </c>
      <c r="AP703" s="26">
        <f t="shared" si="244"/>
        <v>-8.7842148000127338</v>
      </c>
      <c r="AS703" s="2">
        <v>44777</v>
      </c>
      <c r="AT703">
        <v>13.7</v>
      </c>
      <c r="AU703">
        <v>43.3</v>
      </c>
      <c r="AV703">
        <v>13.7</v>
      </c>
      <c r="AW703">
        <v>3.8</v>
      </c>
      <c r="AX703">
        <v>282.66000000000003</v>
      </c>
      <c r="AY703">
        <v>0.4</v>
      </c>
      <c r="AZ703">
        <v>2.5</v>
      </c>
      <c r="BA703">
        <v>310.74439999999998</v>
      </c>
      <c r="BB703">
        <v>142.00370000000001</v>
      </c>
      <c r="BC703">
        <v>62.142200000000003</v>
      </c>
      <c r="BD703">
        <v>5.0404999999999998</v>
      </c>
      <c r="BE703">
        <v>24.389900000000001</v>
      </c>
      <c r="BF703">
        <v>-27.9316</v>
      </c>
      <c r="BG703">
        <v>215.7167</v>
      </c>
      <c r="BH703">
        <v>71.2</v>
      </c>
    </row>
    <row r="704" spans="1:60" x14ac:dyDescent="0.25">
      <c r="A704" s="2">
        <v>44797</v>
      </c>
      <c r="B704">
        <v>14.9</v>
      </c>
      <c r="C704">
        <v>0.9</v>
      </c>
      <c r="D704">
        <v>7.1</v>
      </c>
      <c r="E704">
        <v>5.8</v>
      </c>
      <c r="F704">
        <v>255.79</v>
      </c>
      <c r="G704">
        <v>0.7</v>
      </c>
      <c r="H704">
        <v>2.9</v>
      </c>
      <c r="I704">
        <v>292.35680000000002</v>
      </c>
      <c r="J704">
        <v>193.12809999999999</v>
      </c>
      <c r="K704">
        <v>92.4679</v>
      </c>
      <c r="L704">
        <v>5.3337000000000003</v>
      </c>
      <c r="M704">
        <v>21.9346</v>
      </c>
      <c r="N704">
        <v>-59.082700000000003</v>
      </c>
      <c r="O704">
        <v>340.03039999999999</v>
      </c>
      <c r="P704">
        <v>78.33</v>
      </c>
      <c r="S704">
        <f t="shared" si="223"/>
        <v>893.31110000000001</v>
      </c>
      <c r="T704">
        <f t="shared" si="224"/>
        <v>1.3968228373971657E-2</v>
      </c>
      <c r="U704">
        <f t="shared" si="225"/>
        <v>8.4371849238754971E-4</v>
      </c>
      <c r="V704">
        <f t="shared" si="226"/>
        <v>6.6560014399462252E-3</v>
      </c>
      <c r="W704">
        <f t="shared" si="227"/>
        <v>5.4372969509419869E-3</v>
      </c>
      <c r="X704">
        <f t="shared" si="228"/>
        <v>0.23979417018645705</v>
      </c>
      <c r="Y704">
        <f t="shared" si="229"/>
        <v>6.5622549407920526E-4</v>
      </c>
      <c r="Z704">
        <f t="shared" si="230"/>
        <v>2.7186484754709935E-3</v>
      </c>
      <c r="AA704">
        <f t="shared" si="231"/>
        <v>0.27407426503916488</v>
      </c>
      <c r="AB704">
        <f t="shared" si="232"/>
        <v>0.18105083263296881</v>
      </c>
      <c r="AC704">
        <f t="shared" si="233"/>
        <v>8.6685419091380791E-2</v>
      </c>
      <c r="AD704">
        <f t="shared" si="234"/>
        <v>5.0001570253860829E-3</v>
      </c>
      <c r="AE704">
        <f t="shared" si="235"/>
        <v>2.0562919603471053E-2</v>
      </c>
      <c r="AG704">
        <f t="shared" si="236"/>
        <v>1.1072988180118761</v>
      </c>
      <c r="AH704">
        <f t="shared" si="237"/>
        <v>0.29063720901672574</v>
      </c>
      <c r="AI704">
        <f t="shared" si="238"/>
        <v>0.38193993158945932</v>
      </c>
      <c r="AK704" s="26">
        <f t="shared" si="239"/>
        <v>-7.2122077524500949E-2</v>
      </c>
      <c r="AL704" s="26">
        <f t="shared" si="240"/>
        <v>-6.9302273857908214E-2</v>
      </c>
      <c r="AM704" s="26">
        <f t="shared" si="241"/>
        <v>-4.3427485583697689E-2</v>
      </c>
      <c r="AN704" s="26">
        <f t="shared" si="242"/>
        <v>-4.3634920634920888</v>
      </c>
      <c r="AO704" s="26">
        <f t="shared" si="243"/>
        <v>-5.9310801393727672</v>
      </c>
      <c r="AP704" s="26">
        <f t="shared" si="244"/>
        <v>-8.8656271089323582</v>
      </c>
      <c r="AS704" s="2">
        <v>44776</v>
      </c>
      <c r="AT704">
        <v>13.8</v>
      </c>
      <c r="AU704">
        <v>119</v>
      </c>
      <c r="AV704">
        <v>42.2</v>
      </c>
      <c r="AW704">
        <v>3.7</v>
      </c>
      <c r="AX704">
        <v>309.26</v>
      </c>
      <c r="AY704">
        <v>0.4</v>
      </c>
      <c r="AZ704">
        <v>2.6</v>
      </c>
      <c r="BA704">
        <v>312.51940000000002</v>
      </c>
      <c r="BB704">
        <v>132.7955</v>
      </c>
      <c r="BC704">
        <v>56.290500000000002</v>
      </c>
      <c r="BD704">
        <v>5.3993000000000002</v>
      </c>
      <c r="BE704">
        <v>32.333799999999997</v>
      </c>
      <c r="BF704">
        <v>-26.753900000000002</v>
      </c>
      <c r="BG704">
        <v>205.48689999999999</v>
      </c>
      <c r="BH704">
        <v>70.92</v>
      </c>
    </row>
    <row r="705" spans="1:60" x14ac:dyDescent="0.25">
      <c r="A705" s="2">
        <v>44796</v>
      </c>
      <c r="B705">
        <v>15.4</v>
      </c>
      <c r="C705">
        <v>1.5</v>
      </c>
      <c r="D705">
        <v>6.7</v>
      </c>
      <c r="E705">
        <v>5.3</v>
      </c>
      <c r="F705">
        <v>258.67</v>
      </c>
      <c r="G705">
        <v>0.7</v>
      </c>
      <c r="H705">
        <v>2.9</v>
      </c>
      <c r="I705">
        <v>302.56610000000001</v>
      </c>
      <c r="J705">
        <v>187.92179999999999</v>
      </c>
      <c r="K705">
        <v>86.581900000000005</v>
      </c>
      <c r="L705">
        <v>5.3422000000000001</v>
      </c>
      <c r="M705">
        <v>20.398700000000002</v>
      </c>
      <c r="N705">
        <v>-34.491799999999998</v>
      </c>
      <c r="O705">
        <v>318.17169999999999</v>
      </c>
      <c r="P705">
        <v>78.040000000000006</v>
      </c>
      <c r="S705">
        <f t="shared" si="223"/>
        <v>893.98069999999996</v>
      </c>
      <c r="T705">
        <f t="shared" si="224"/>
        <v>1.4436960869742518E-2</v>
      </c>
      <c r="U705">
        <f t="shared" si="225"/>
        <v>1.406197487312583E-3</v>
      </c>
      <c r="V705">
        <f t="shared" si="226"/>
        <v>6.2810154433295372E-3</v>
      </c>
      <c r="W705">
        <f t="shared" si="227"/>
        <v>4.9685644551711256E-3</v>
      </c>
      <c r="X705">
        <f t="shared" si="228"/>
        <v>0.24249406936209722</v>
      </c>
      <c r="Y705">
        <f t="shared" si="229"/>
        <v>6.5622549407920526E-4</v>
      </c>
      <c r="Z705">
        <f t="shared" si="230"/>
        <v>2.7186484754709935E-3</v>
      </c>
      <c r="AA705">
        <f t="shared" si="231"/>
        <v>0.28364512637731182</v>
      </c>
      <c r="AB705">
        <f t="shared" si="232"/>
        <v>0.17617010864750515</v>
      </c>
      <c r="AC705">
        <f t="shared" si="233"/>
        <v>8.1167500151166222E-2</v>
      </c>
      <c r="AD705">
        <f t="shared" si="234"/>
        <v>5.0081254778141871E-3</v>
      </c>
      <c r="AE705">
        <f t="shared" si="235"/>
        <v>1.9123067122962124E-2</v>
      </c>
      <c r="AG705">
        <f t="shared" si="236"/>
        <v>1.0954624653307803</v>
      </c>
      <c r="AH705">
        <f t="shared" si="237"/>
        <v>0.29208474871016532</v>
      </c>
      <c r="AI705">
        <f t="shared" si="238"/>
        <v>0.39372448266487908</v>
      </c>
      <c r="AK705" s="26">
        <f t="shared" si="239"/>
        <v>-6.5696283261565014E-2</v>
      </c>
      <c r="AL705" s="26">
        <f t="shared" si="240"/>
        <v>-7.1685298904407668E-2</v>
      </c>
      <c r="AM705" s="26">
        <f t="shared" si="241"/>
        <v>-4.2347241642934019E-2</v>
      </c>
      <c r="AN705" s="26">
        <f t="shared" si="242"/>
        <v>-4.4184126984127374</v>
      </c>
      <c r="AO705" s="26">
        <f t="shared" si="243"/>
        <v>-6.0208271253286085</v>
      </c>
      <c r="AP705" s="26">
        <f t="shared" si="244"/>
        <v>-8.9464301460017523</v>
      </c>
      <c r="AS705" s="2">
        <v>44775</v>
      </c>
      <c r="AT705">
        <v>14</v>
      </c>
      <c r="AU705">
        <v>98.2</v>
      </c>
      <c r="AV705">
        <v>45.4</v>
      </c>
      <c r="AW705">
        <v>2.7</v>
      </c>
      <c r="AX705">
        <v>294.70999999999998</v>
      </c>
      <c r="AY705">
        <v>0.5</v>
      </c>
      <c r="AZ705">
        <v>2.5</v>
      </c>
      <c r="BA705">
        <v>318.91329999999999</v>
      </c>
      <c r="BB705">
        <v>138.7638</v>
      </c>
      <c r="BC705">
        <v>41.347099999999998</v>
      </c>
      <c r="BD705">
        <v>5.1718999999999999</v>
      </c>
      <c r="BE705">
        <v>22.2164</v>
      </c>
      <c r="BF705">
        <v>-27.6829</v>
      </c>
      <c r="BG705">
        <v>213.4494</v>
      </c>
      <c r="BH705">
        <v>70.55</v>
      </c>
    </row>
    <row r="706" spans="1:60" x14ac:dyDescent="0.25">
      <c r="A706" s="2">
        <v>44795</v>
      </c>
      <c r="B706">
        <v>16</v>
      </c>
      <c r="C706">
        <v>21.9</v>
      </c>
      <c r="D706">
        <v>4.5999999999999996</v>
      </c>
      <c r="E706">
        <v>1.8</v>
      </c>
      <c r="F706">
        <v>229.19</v>
      </c>
      <c r="G706">
        <v>0.8</v>
      </c>
      <c r="H706">
        <v>2.9</v>
      </c>
      <c r="I706">
        <v>307.27589999999998</v>
      </c>
      <c r="J706">
        <v>188.99250000000001</v>
      </c>
      <c r="K706">
        <v>92.828900000000004</v>
      </c>
      <c r="L706">
        <v>5.3436000000000003</v>
      </c>
      <c r="M706">
        <v>17.208600000000001</v>
      </c>
      <c r="N706">
        <v>-38.043199999999999</v>
      </c>
      <c r="O706">
        <v>317.41500000000002</v>
      </c>
      <c r="P706">
        <v>77.73</v>
      </c>
      <c r="S706">
        <f t="shared" ref="S706:S769" si="245">SUM(B706:M706)</f>
        <v>888.83950000000004</v>
      </c>
      <c r="T706">
        <f t="shared" si="224"/>
        <v>1.4999439864667551E-2</v>
      </c>
      <c r="U706">
        <f t="shared" si="225"/>
        <v>2.0530483314763707E-2</v>
      </c>
      <c r="V706">
        <f t="shared" si="226"/>
        <v>4.3123389610919202E-3</v>
      </c>
      <c r="W706">
        <f t="shared" si="227"/>
        <v>1.6874369847750994E-3</v>
      </c>
      <c r="X706">
        <f t="shared" si="228"/>
        <v>0.21485760141144725</v>
      </c>
      <c r="Y706">
        <f t="shared" si="229"/>
        <v>7.4997199323337759E-4</v>
      </c>
      <c r="Z706">
        <f t="shared" si="230"/>
        <v>2.7186484754709935E-3</v>
      </c>
      <c r="AA706">
        <f t="shared" si="231"/>
        <v>0.28806039899447494</v>
      </c>
      <c r="AB706">
        <f t="shared" si="232"/>
        <v>0.1771738524139489</v>
      </c>
      <c r="AC706">
        <f t="shared" si="233"/>
        <v>8.7023843953327351E-2</v>
      </c>
      <c r="AD706">
        <f t="shared" si="234"/>
        <v>5.0094379288023452E-3</v>
      </c>
      <c r="AE706">
        <f t="shared" si="235"/>
        <v>1.6132460053444875E-2</v>
      </c>
      <c r="AG706">
        <f t="shared" si="236"/>
        <v>1.0827239460099647</v>
      </c>
      <c r="AH706">
        <f t="shared" si="237"/>
        <v>0.27598838105889478</v>
      </c>
      <c r="AI706">
        <f t="shared" si="238"/>
        <v>0.25289537976486376</v>
      </c>
      <c r="AK706" s="26">
        <f t="shared" si="239"/>
        <v>-6.1757131257129727E-2</v>
      </c>
      <c r="AL706" s="26">
        <f t="shared" si="240"/>
        <v>-7.8816577317015968E-2</v>
      </c>
      <c r="AM706" s="26">
        <f t="shared" si="241"/>
        <v>-4.227540426524834E-2</v>
      </c>
      <c r="AN706" s="26">
        <f t="shared" si="242"/>
        <v>-4.4761904761904958</v>
      </c>
      <c r="AO706" s="26">
        <f t="shared" si="243"/>
        <v>-6.1096715167548012</v>
      </c>
      <c r="AP706" s="26">
        <f t="shared" si="244"/>
        <v>-9.0272883801462314</v>
      </c>
      <c r="AS706" s="2">
        <v>44774</v>
      </c>
      <c r="AT706">
        <v>12.8</v>
      </c>
      <c r="AU706">
        <v>75.3</v>
      </c>
      <c r="AV706">
        <v>22.5</v>
      </c>
      <c r="AW706">
        <v>5.6</v>
      </c>
      <c r="AX706">
        <v>214.54</v>
      </c>
      <c r="AY706">
        <v>0.5</v>
      </c>
      <c r="AZ706">
        <v>2.7</v>
      </c>
      <c r="BA706">
        <v>299.1601</v>
      </c>
      <c r="BB706">
        <v>138.31200000000001</v>
      </c>
      <c r="BC706">
        <v>61.613999999999997</v>
      </c>
      <c r="BD706">
        <v>5.2944000000000004</v>
      </c>
      <c r="BE706">
        <v>28.114100000000001</v>
      </c>
      <c r="BF706">
        <v>-31.212900000000001</v>
      </c>
      <c r="BG706">
        <v>200.71029999999999</v>
      </c>
      <c r="BH706">
        <v>70.17</v>
      </c>
    </row>
    <row r="707" spans="1:60" x14ac:dyDescent="0.25">
      <c r="A707" s="2">
        <v>44794</v>
      </c>
      <c r="B707">
        <v>17.8</v>
      </c>
      <c r="C707">
        <v>0.5</v>
      </c>
      <c r="D707">
        <v>25.9</v>
      </c>
      <c r="E707">
        <v>3.4</v>
      </c>
      <c r="F707">
        <v>249.13</v>
      </c>
      <c r="G707">
        <v>0.8</v>
      </c>
      <c r="H707">
        <v>2.9</v>
      </c>
      <c r="I707">
        <v>263.22210000000001</v>
      </c>
      <c r="J707">
        <v>117.5082</v>
      </c>
      <c r="K707">
        <v>33.192</v>
      </c>
      <c r="L707">
        <v>5.3070000000000004</v>
      </c>
      <c r="M707">
        <v>11.2928</v>
      </c>
      <c r="P707">
        <v>77.41</v>
      </c>
      <c r="S707">
        <f t="shared" si="245"/>
        <v>730.95209999999997</v>
      </c>
      <c r="T707">
        <f t="shared" si="224"/>
        <v>1.6686876849442651E-2</v>
      </c>
      <c r="U707">
        <f t="shared" si="225"/>
        <v>4.6873249577086097E-4</v>
      </c>
      <c r="V707">
        <f t="shared" si="226"/>
        <v>2.4280343280930598E-2</v>
      </c>
      <c r="W707">
        <f t="shared" si="227"/>
        <v>3.1873809712418544E-3</v>
      </c>
      <c r="X707">
        <f t="shared" si="228"/>
        <v>0.23355065334278918</v>
      </c>
      <c r="Y707">
        <f t="shared" si="229"/>
        <v>7.4997199323337759E-4</v>
      </c>
      <c r="Z707">
        <f t="shared" si="230"/>
        <v>2.7186484754709935E-3</v>
      </c>
      <c r="AA707">
        <f t="shared" si="231"/>
        <v>0.24676150375009429</v>
      </c>
      <c r="AB707">
        <f t="shared" si="232"/>
        <v>0.11015982371908296</v>
      </c>
      <c r="AC707">
        <f t="shared" si="233"/>
        <v>3.1116337999252834E-2</v>
      </c>
      <c r="AD707">
        <f t="shared" si="234"/>
        <v>4.9751267101119188E-3</v>
      </c>
      <c r="AE707">
        <f t="shared" si="235"/>
        <v>1.0586604656482358E-2</v>
      </c>
      <c r="AG707">
        <f t="shared" si="236"/>
        <v>1.0695347206021988</v>
      </c>
      <c r="AH707">
        <f t="shared" si="237"/>
        <v>0.2922292120653619</v>
      </c>
      <c r="AI707">
        <f t="shared" si="238"/>
        <v>0.39806983986454081</v>
      </c>
      <c r="AK707" s="26">
        <f t="shared" si="239"/>
        <v>-6.6434867287210542E-2</v>
      </c>
      <c r="AL707" s="26">
        <f t="shared" si="240"/>
        <v>-7.9858943660429671E-2</v>
      </c>
      <c r="AM707" s="26">
        <f t="shared" si="241"/>
        <v>-4.1773818820752151E-2</v>
      </c>
      <c r="AN707" s="26">
        <f t="shared" si="242"/>
        <v>-4.5298412698412847</v>
      </c>
      <c r="AO707" s="26">
        <f t="shared" si="243"/>
        <v>-6.1953027950310116</v>
      </c>
      <c r="AP707" s="26">
        <f t="shared" si="244"/>
        <v>-9.1075263073210095</v>
      </c>
      <c r="AS707" s="2">
        <v>44773</v>
      </c>
      <c r="AT707">
        <v>14.8</v>
      </c>
      <c r="AU707">
        <v>2.2999999999999998</v>
      </c>
      <c r="AV707">
        <v>14.6</v>
      </c>
      <c r="AW707">
        <v>2.2000000000000002</v>
      </c>
      <c r="AX707">
        <v>232.06</v>
      </c>
      <c r="AY707">
        <v>0.6</v>
      </c>
      <c r="AZ707">
        <v>3.1</v>
      </c>
      <c r="BA707">
        <v>290.69439999999997</v>
      </c>
      <c r="BB707">
        <v>96.8352</v>
      </c>
      <c r="BC707">
        <v>25.738</v>
      </c>
      <c r="BD707">
        <v>5.2813999999999997</v>
      </c>
      <c r="BE707">
        <v>13.3818</v>
      </c>
      <c r="BH707">
        <v>69.45</v>
      </c>
    </row>
    <row r="708" spans="1:60" x14ac:dyDescent="0.25">
      <c r="A708" s="2">
        <v>44793</v>
      </c>
      <c r="C708">
        <v>9.4</v>
      </c>
      <c r="F708">
        <v>169.24</v>
      </c>
      <c r="K708">
        <v>29.3248</v>
      </c>
      <c r="P708">
        <v>76.98</v>
      </c>
      <c r="S708">
        <f t="shared" si="245"/>
        <v>207.96480000000003</v>
      </c>
      <c r="T708">
        <f t="shared" si="224"/>
        <v>0</v>
      </c>
      <c r="U708">
        <f t="shared" si="225"/>
        <v>8.8121709204921871E-3</v>
      </c>
      <c r="V708">
        <f t="shared" si="226"/>
        <v>0</v>
      </c>
      <c r="W708">
        <f t="shared" si="227"/>
        <v>0</v>
      </c>
      <c r="X708">
        <f t="shared" si="228"/>
        <v>0.15865657516852102</v>
      </c>
      <c r="Y708">
        <f t="shared" si="229"/>
        <v>0</v>
      </c>
      <c r="Z708">
        <f t="shared" si="230"/>
        <v>0</v>
      </c>
      <c r="AA708">
        <f t="shared" si="231"/>
        <v>0</v>
      </c>
      <c r="AB708">
        <f t="shared" si="232"/>
        <v>0</v>
      </c>
      <c r="AC708">
        <f t="shared" si="233"/>
        <v>2.7490973383962686E-2</v>
      </c>
      <c r="AD708">
        <f t="shared" si="234"/>
        <v>0</v>
      </c>
      <c r="AE708">
        <f t="shared" si="235"/>
        <v>0</v>
      </c>
      <c r="AG708">
        <f t="shared" si="236"/>
        <v>1.0513695835137884</v>
      </c>
      <c r="AH708">
        <f t="shared" si="237"/>
        <v>0.16746874608901322</v>
      </c>
      <c r="AI708">
        <f t="shared" si="238"/>
        <v>-0.70325603124085623</v>
      </c>
      <c r="AK708" s="26">
        <f t="shared" si="239"/>
        <v>-7.5585470509847708E-2</v>
      </c>
      <c r="AL708" s="26">
        <f t="shared" si="240"/>
        <v>-7.949678180191444E-2</v>
      </c>
      <c r="AM708" s="26">
        <f t="shared" si="241"/>
        <v>-4.0919961952535555E-2</v>
      </c>
      <c r="AN708" s="26">
        <f t="shared" si="242"/>
        <v>-4.6106349206349364</v>
      </c>
      <c r="AO708" s="26">
        <f t="shared" si="243"/>
        <v>-6.27831249999997</v>
      </c>
      <c r="AP708" s="26">
        <f t="shared" si="244"/>
        <v>-9.1879523286609484</v>
      </c>
      <c r="AS708" s="2">
        <v>44772</v>
      </c>
      <c r="AU708">
        <v>0</v>
      </c>
      <c r="AX708">
        <v>230.39</v>
      </c>
      <c r="BC708">
        <v>38.464300000000001</v>
      </c>
      <c r="BH708">
        <v>69.069999999999993</v>
      </c>
    </row>
    <row r="709" spans="1:60" x14ac:dyDescent="0.25">
      <c r="A709" s="2">
        <v>44792</v>
      </c>
      <c r="C709">
        <v>69.099999999999994</v>
      </c>
      <c r="F709">
        <v>120.73</v>
      </c>
      <c r="K709">
        <v>116.3086</v>
      </c>
      <c r="N709">
        <v>-35.378100000000003</v>
      </c>
      <c r="O709">
        <v>257.38420000000002</v>
      </c>
      <c r="P709">
        <v>76.540000000000006</v>
      </c>
      <c r="S709">
        <f t="shared" si="245"/>
        <v>306.1386</v>
      </c>
      <c r="T709">
        <f t="shared" ref="T709:T772" si="246">B709/$S$4</f>
        <v>0</v>
      </c>
      <c r="U709">
        <f t="shared" ref="U709:U772" si="247">C709/$S$4</f>
        <v>6.4778830915532978E-2</v>
      </c>
      <c r="V709">
        <f t="shared" ref="V709:V772" si="248">D709/$S$4</f>
        <v>0</v>
      </c>
      <c r="W709">
        <f t="shared" ref="W709:W772" si="249">E709/$S$4</f>
        <v>0</v>
      </c>
      <c r="X709">
        <f t="shared" ref="X709:X772" si="250">F709/$S$4</f>
        <v>0.11318014842883209</v>
      </c>
      <c r="Y709">
        <f t="shared" ref="Y709:Y772" si="251">G709/$S$4</f>
        <v>0</v>
      </c>
      <c r="Z709">
        <f t="shared" ref="Z709:Z772" si="252">H709/$S$4</f>
        <v>0</v>
      </c>
      <c r="AA709">
        <f t="shared" ref="AA709:AA772" si="253">I709/$S$4</f>
        <v>0</v>
      </c>
      <c r="AB709">
        <f t="shared" ref="AB709:AB772" si="254">J709/$S$4</f>
        <v>0</v>
      </c>
      <c r="AC709">
        <f t="shared" ref="AC709:AC772" si="255">K709/$S$4</f>
        <v>0.10903524071522952</v>
      </c>
      <c r="AD709">
        <f t="shared" ref="AD709:AD772" si="256">L709/$S$4</f>
        <v>0</v>
      </c>
      <c r="AE709">
        <f t="shared" ref="AE709:AE772" si="257">M709/$S$4</f>
        <v>0</v>
      </c>
      <c r="AG709">
        <f t="shared" ref="AG709:AG772" si="258">(P709-AVERAGE(P709:P1073)) / _xlfn.STDEV.S(P709:P2536)</f>
        <v>1.0327445913385525</v>
      </c>
      <c r="AH709">
        <f t="shared" ref="AH709:AH772" si="259">SUM(T709:Y709,Z709,AE709)</f>
        <v>0.17795897934436505</v>
      </c>
      <c r="AI709">
        <f t="shared" ref="AI709:AI772" si="260">(AH709-AVERAGE(AH709:AH1073))/_xlfn.STDEV.S(AH709:AH1073)</f>
        <v>-0.61485157711159799</v>
      </c>
      <c r="AK709" s="26">
        <f t="shared" ref="AK709:AK772" si="261">AVERAGEA(AH709:AH729)-AVERAGE(AH1075:AH1095, AH1440:AH1460, AH1805:AH1825)</f>
        <v>-8.5483864259563114E-2</v>
      </c>
      <c r="AL709" s="26">
        <f t="shared" ref="AL709:AL772" si="262">AVERAGEA(AH709:AH764)-AVERAGE(AH1075:AH1130, AH1440:AH1494, AH1805:AH1859)</f>
        <v>-8.0555601781831299E-2</v>
      </c>
      <c r="AM709" s="26">
        <f t="shared" ref="AM709:AM772" si="263">AVERAGEA(AH709:AH821)-AVERAGE(AH1075:AH1187,AH1440:AH1551,AH1805:AH1916)</f>
        <v>-4.0509783093529317E-2</v>
      </c>
      <c r="AN709" s="26">
        <f t="shared" ref="AN709:AN772" si="264">AVERAGEA(P709:P729)-AVERAGE(P1075:P1095, P1440:P1460, P1805:P1825)</f>
        <v>-4.6880952380952436</v>
      </c>
      <c r="AO709" s="26">
        <f t="shared" ref="AO709:AO772" si="265">AVERAGEA(P709:P764)-AVERAGE(P1075:P1130, P1440:P1494, P1805:P1859)</f>
        <v>-6.3598158131176632</v>
      </c>
      <c r="AP709" s="26">
        <f t="shared" ref="AP709:AP772" si="266">AVERAGEA(P709:P821)-AVERAGE(P1075:P1187,P1440:P1551,P1805:P1916)</f>
        <v>-9.2671084962235639</v>
      </c>
      <c r="AS709" s="2">
        <v>44771</v>
      </c>
      <c r="AU709">
        <v>2.5</v>
      </c>
      <c r="AX709">
        <v>219.29</v>
      </c>
      <c r="BC709">
        <v>78.760199999999998</v>
      </c>
      <c r="BF709">
        <v>79.401600000000002</v>
      </c>
      <c r="BG709">
        <v>174.24109999999999</v>
      </c>
      <c r="BH709">
        <v>68.66</v>
      </c>
    </row>
    <row r="710" spans="1:60" x14ac:dyDescent="0.25">
      <c r="A710" s="2">
        <v>44791</v>
      </c>
      <c r="B710">
        <v>12.9</v>
      </c>
      <c r="C710">
        <v>0</v>
      </c>
      <c r="D710">
        <v>24.4</v>
      </c>
      <c r="E710">
        <v>3.4</v>
      </c>
      <c r="F710">
        <v>169.66</v>
      </c>
      <c r="G710">
        <v>0.6</v>
      </c>
      <c r="H710">
        <v>2.9</v>
      </c>
      <c r="I710">
        <v>281.39729999999997</v>
      </c>
      <c r="J710">
        <v>158.8914</v>
      </c>
      <c r="K710">
        <v>130.52590000000001</v>
      </c>
      <c r="L710">
        <v>5.6893000000000002</v>
      </c>
      <c r="M710">
        <v>10.8636</v>
      </c>
      <c r="N710">
        <v>-27.075700000000001</v>
      </c>
      <c r="O710">
        <v>266.20670000000001</v>
      </c>
      <c r="P710">
        <v>76.17</v>
      </c>
      <c r="S710">
        <f t="shared" si="245"/>
        <v>801.22749999999996</v>
      </c>
      <c r="T710">
        <f t="shared" si="246"/>
        <v>1.2093298390888213E-2</v>
      </c>
      <c r="U710">
        <f t="shared" si="247"/>
        <v>0</v>
      </c>
      <c r="V710">
        <f t="shared" si="248"/>
        <v>2.2874145793618014E-2</v>
      </c>
      <c r="W710">
        <f t="shared" si="249"/>
        <v>3.1873809712418544E-3</v>
      </c>
      <c r="X710">
        <f t="shared" si="250"/>
        <v>0.15905031046496854</v>
      </c>
      <c r="Y710">
        <f t="shared" si="251"/>
        <v>5.6247899492503314E-4</v>
      </c>
      <c r="Z710">
        <f t="shared" si="252"/>
        <v>2.7186484754709935E-3</v>
      </c>
      <c r="AA710">
        <f t="shared" si="253"/>
        <v>0.26380011746436338</v>
      </c>
      <c r="AB710">
        <f t="shared" si="254"/>
        <v>0.14895512495705235</v>
      </c>
      <c r="AC710">
        <f t="shared" si="255"/>
        <v>0.12236346173947564</v>
      </c>
      <c r="AD710">
        <f t="shared" si="256"/>
        <v>5.3335195763783184E-3</v>
      </c>
      <c r="AE710">
        <f t="shared" si="257"/>
        <v>1.018424468211265E-2</v>
      </c>
      <c r="AG710">
        <f t="shared" si="258"/>
        <v>1.0172805938864931</v>
      </c>
      <c r="AH710">
        <f t="shared" si="259"/>
        <v>0.2106705077732253</v>
      </c>
      <c r="AI710">
        <f t="shared" si="260"/>
        <v>-0.32775305316282238</v>
      </c>
      <c r="AK710" s="26">
        <f t="shared" si="261"/>
        <v>-7.9452195159468053E-2</v>
      </c>
      <c r="AL710" s="26">
        <f t="shared" si="262"/>
        <v>-7.8640879929724794E-2</v>
      </c>
      <c r="AM710" s="26">
        <f t="shared" si="263"/>
        <v>-3.8308801957769423E-2</v>
      </c>
      <c r="AN710" s="26">
        <f t="shared" si="264"/>
        <v>-4.7615873015872978</v>
      </c>
      <c r="AO710" s="26">
        <f t="shared" si="265"/>
        <v>-6.4398033453887393</v>
      </c>
      <c r="AP710" s="26">
        <f t="shared" si="266"/>
        <v>-9.3441365174388409</v>
      </c>
      <c r="AS710" s="2">
        <v>44770</v>
      </c>
      <c r="AT710">
        <v>13.8</v>
      </c>
      <c r="AU710">
        <v>107.3</v>
      </c>
      <c r="AV710">
        <v>9.1999999999999993</v>
      </c>
      <c r="AW710">
        <v>2.1</v>
      </c>
      <c r="AX710">
        <v>296.12</v>
      </c>
      <c r="AY710">
        <v>0.5</v>
      </c>
      <c r="AZ710">
        <v>3</v>
      </c>
      <c r="BA710">
        <v>289.79340000000002</v>
      </c>
      <c r="BB710">
        <v>104.9512</v>
      </c>
      <c r="BC710">
        <v>82.394999999999996</v>
      </c>
      <c r="BD710">
        <v>5.1890999999999998</v>
      </c>
      <c r="BE710">
        <v>14.4407</v>
      </c>
      <c r="BF710">
        <v>-35.355200000000004</v>
      </c>
      <c r="BG710">
        <v>181.23859999999999</v>
      </c>
      <c r="BH710">
        <v>68.319999999999993</v>
      </c>
    </row>
    <row r="711" spans="1:60" x14ac:dyDescent="0.25">
      <c r="A711" s="2">
        <v>44790</v>
      </c>
      <c r="B711">
        <v>12.7</v>
      </c>
      <c r="C711">
        <v>16.8</v>
      </c>
      <c r="D711">
        <v>13.4</v>
      </c>
      <c r="E711">
        <v>1.6</v>
      </c>
      <c r="F711">
        <v>214.35</v>
      </c>
      <c r="G711">
        <v>0.7</v>
      </c>
      <c r="H711">
        <v>3.2</v>
      </c>
      <c r="I711">
        <v>265.02350000000001</v>
      </c>
      <c r="J711">
        <v>151.9453</v>
      </c>
      <c r="K711">
        <v>136.5428</v>
      </c>
      <c r="L711">
        <v>5.7835999999999999</v>
      </c>
      <c r="M711">
        <v>21.1508</v>
      </c>
      <c r="N711">
        <v>-21.178599999999999</v>
      </c>
      <c r="O711">
        <v>243.5838</v>
      </c>
      <c r="P711">
        <v>75.87</v>
      </c>
      <c r="S711">
        <f t="shared" si="245"/>
        <v>843.19600000000003</v>
      </c>
      <c r="T711">
        <f t="shared" si="246"/>
        <v>1.1905805392579868E-2</v>
      </c>
      <c r="U711">
        <f t="shared" si="247"/>
        <v>1.5749411857900929E-2</v>
      </c>
      <c r="V711">
        <f t="shared" si="248"/>
        <v>1.2562030886659074E-2</v>
      </c>
      <c r="W711">
        <f t="shared" si="249"/>
        <v>1.4999439864667552E-3</v>
      </c>
      <c r="X711">
        <f t="shared" si="250"/>
        <v>0.20094562093696808</v>
      </c>
      <c r="Y711">
        <f t="shared" si="251"/>
        <v>6.5622549407920526E-4</v>
      </c>
      <c r="Z711">
        <f t="shared" si="252"/>
        <v>2.9998879729335104E-3</v>
      </c>
      <c r="AA711">
        <f t="shared" si="253"/>
        <v>0.24845025318585756</v>
      </c>
      <c r="AB711">
        <f t="shared" si="254"/>
        <v>0.14244339937930439</v>
      </c>
      <c r="AC711">
        <f t="shared" si="255"/>
        <v>0.12800409484708303</v>
      </c>
      <c r="AD711">
        <f t="shared" si="256"/>
        <v>5.4219225250807029E-3</v>
      </c>
      <c r="AE711">
        <f t="shared" si="257"/>
        <v>1.9828134543100652E-2</v>
      </c>
      <c r="AG711">
        <f t="shared" si="258"/>
        <v>1.0049802674813271</v>
      </c>
      <c r="AH711">
        <f t="shared" si="259"/>
        <v>0.26614706107068808</v>
      </c>
      <c r="AI711">
        <f t="shared" si="260"/>
        <v>0.16013844238156288</v>
      </c>
      <c r="AK711" s="26">
        <f t="shared" si="261"/>
        <v>-6.6538351517959338E-2</v>
      </c>
      <c r="AL711" s="26">
        <f t="shared" si="262"/>
        <v>-7.5934223745722729E-2</v>
      </c>
      <c r="AM711" s="26">
        <f t="shared" si="263"/>
        <v>-3.7134408795107487E-2</v>
      </c>
      <c r="AN711" s="26">
        <f t="shared" si="264"/>
        <v>-4.8411111111111182</v>
      </c>
      <c r="AO711" s="26">
        <f t="shared" si="265"/>
        <v>-6.5188091446769647</v>
      </c>
      <c r="AP711" s="26">
        <f t="shared" si="266"/>
        <v>-9.4203177350357663</v>
      </c>
      <c r="AS711" s="2">
        <v>44769</v>
      </c>
      <c r="AT711">
        <v>15.2</v>
      </c>
      <c r="AU711">
        <v>70.5</v>
      </c>
      <c r="AV711">
        <v>50.5</v>
      </c>
      <c r="AW711">
        <v>7.6</v>
      </c>
      <c r="AX711">
        <v>232.55</v>
      </c>
      <c r="AY711">
        <v>0.5</v>
      </c>
      <c r="AZ711">
        <v>3</v>
      </c>
      <c r="BA711">
        <v>247.02680000000001</v>
      </c>
      <c r="BB711">
        <v>110.46980000000001</v>
      </c>
      <c r="BC711">
        <v>85.253799999999998</v>
      </c>
      <c r="BD711">
        <v>5.1365999999999996</v>
      </c>
      <c r="BE711">
        <v>14.3268</v>
      </c>
      <c r="BF711">
        <v>-34.535200000000003</v>
      </c>
      <c r="BG711">
        <v>196.453</v>
      </c>
      <c r="BH711">
        <v>67.98</v>
      </c>
    </row>
    <row r="712" spans="1:60" x14ac:dyDescent="0.25">
      <c r="A712" s="2">
        <v>44789</v>
      </c>
      <c r="B712">
        <v>12.3</v>
      </c>
      <c r="C712">
        <v>257</v>
      </c>
      <c r="D712">
        <v>8.9</v>
      </c>
      <c r="E712">
        <v>2.4</v>
      </c>
      <c r="F712">
        <v>263.81</v>
      </c>
      <c r="G712">
        <v>0.6</v>
      </c>
      <c r="H712">
        <v>3.2</v>
      </c>
      <c r="I712">
        <v>281.82819999999998</v>
      </c>
      <c r="J712">
        <v>147.18559999999999</v>
      </c>
      <c r="K712">
        <v>114.2341</v>
      </c>
      <c r="L712">
        <v>5.7508999999999997</v>
      </c>
      <c r="M712">
        <v>23.541699999999999</v>
      </c>
      <c r="N712">
        <v>-15.7424</v>
      </c>
      <c r="O712">
        <v>255.48220000000001</v>
      </c>
      <c r="P712">
        <v>75.569999999999993</v>
      </c>
      <c r="S712">
        <f t="shared" si="245"/>
        <v>1120.7504999999999</v>
      </c>
      <c r="T712">
        <f t="shared" si="246"/>
        <v>1.153081939596318E-2</v>
      </c>
      <c r="U712">
        <f t="shared" si="247"/>
        <v>0.24092850282622252</v>
      </c>
      <c r="V712">
        <f t="shared" si="248"/>
        <v>8.3434384247213257E-3</v>
      </c>
      <c r="W712">
        <f t="shared" si="249"/>
        <v>2.2499159797001326E-3</v>
      </c>
      <c r="X712">
        <f t="shared" si="250"/>
        <v>0.24731263941862167</v>
      </c>
      <c r="Y712">
        <f t="shared" si="251"/>
        <v>5.6247899492503314E-4</v>
      </c>
      <c r="Z712">
        <f t="shared" si="252"/>
        <v>2.9998879729335104E-3</v>
      </c>
      <c r="AA712">
        <f t="shared" si="253"/>
        <v>0.26420407112921868</v>
      </c>
      <c r="AB712">
        <f t="shared" si="254"/>
        <v>0.13798134725906325</v>
      </c>
      <c r="AC712">
        <f t="shared" si="255"/>
        <v>0.10709046959027621</v>
      </c>
      <c r="AD712">
        <f t="shared" si="256"/>
        <v>5.3912674198572886E-3</v>
      </c>
      <c r="AE712">
        <f t="shared" si="257"/>
        <v>2.2069519591377755E-2</v>
      </c>
      <c r="AG712">
        <f t="shared" si="258"/>
        <v>0.99268229851929557</v>
      </c>
      <c r="AH712">
        <f t="shared" si="259"/>
        <v>0.53599720260446504</v>
      </c>
      <c r="AI712">
        <f t="shared" si="260"/>
        <v>2.5403160448210107</v>
      </c>
      <c r="AK712" s="26">
        <f t="shared" si="261"/>
        <v>-6.5209978505341437E-2</v>
      </c>
      <c r="AL712" s="26">
        <f t="shared" si="262"/>
        <v>-7.9552184233040724E-2</v>
      </c>
      <c r="AM712" s="26">
        <f t="shared" si="263"/>
        <v>-3.7776073189973725E-2</v>
      </c>
      <c r="AN712" s="26">
        <f t="shared" si="264"/>
        <v>-4.9222222222222172</v>
      </c>
      <c r="AO712" s="26">
        <f t="shared" si="265"/>
        <v>-6.5969184981684634</v>
      </c>
      <c r="AP712" s="26">
        <f t="shared" si="266"/>
        <v>-9.4963287446738747</v>
      </c>
      <c r="AS712" s="2">
        <v>44768</v>
      </c>
      <c r="AT712">
        <v>15.5</v>
      </c>
      <c r="AU712">
        <v>32.200000000000003</v>
      </c>
      <c r="AV712">
        <v>55.6</v>
      </c>
      <c r="AW712">
        <v>10.6</v>
      </c>
      <c r="AX712">
        <v>214.44</v>
      </c>
      <c r="AY712">
        <v>0.3</v>
      </c>
      <c r="AZ712">
        <v>3</v>
      </c>
      <c r="BA712">
        <v>238.83619999999999</v>
      </c>
      <c r="BB712">
        <v>120.3819</v>
      </c>
      <c r="BC712">
        <v>70.177800000000005</v>
      </c>
      <c r="BD712">
        <v>5.2165999999999997</v>
      </c>
      <c r="BE712">
        <v>29.997499999999999</v>
      </c>
      <c r="BF712">
        <v>-48.4146</v>
      </c>
      <c r="BG712">
        <v>168.19409999999999</v>
      </c>
      <c r="BH712">
        <v>67.63</v>
      </c>
    </row>
    <row r="713" spans="1:60" x14ac:dyDescent="0.25">
      <c r="A713" s="2">
        <v>44788</v>
      </c>
      <c r="B713">
        <v>11</v>
      </c>
      <c r="C713">
        <v>167.2</v>
      </c>
      <c r="D713">
        <v>26.2</v>
      </c>
      <c r="E713">
        <v>3.6</v>
      </c>
      <c r="F713">
        <v>208.46</v>
      </c>
      <c r="G713">
        <v>0.4</v>
      </c>
      <c r="H713">
        <v>2.8</v>
      </c>
      <c r="I713">
        <v>272.18950000000001</v>
      </c>
      <c r="J713">
        <v>129.38810000000001</v>
      </c>
      <c r="K713">
        <v>56.369</v>
      </c>
      <c r="L713">
        <v>5.7046000000000001</v>
      </c>
      <c r="M713">
        <v>22.651199999999999</v>
      </c>
      <c r="N713">
        <v>-52.637099999999997</v>
      </c>
      <c r="O713">
        <v>210.93709999999999</v>
      </c>
      <c r="P713">
        <v>75.209999999999994</v>
      </c>
      <c r="S713">
        <f t="shared" si="245"/>
        <v>905.96240000000012</v>
      </c>
      <c r="T713">
        <f t="shared" si="246"/>
        <v>1.0312114906958941E-2</v>
      </c>
      <c r="U713">
        <f t="shared" si="247"/>
        <v>0.1567441465857759</v>
      </c>
      <c r="V713">
        <f t="shared" si="248"/>
        <v>2.4561582778393112E-2</v>
      </c>
      <c r="W713">
        <f t="shared" si="249"/>
        <v>3.3748739695501988E-3</v>
      </c>
      <c r="X713">
        <f t="shared" si="250"/>
        <v>0.19542395213678734</v>
      </c>
      <c r="Y713">
        <f t="shared" si="251"/>
        <v>3.7498599661668879E-4</v>
      </c>
      <c r="Z713">
        <f t="shared" si="252"/>
        <v>2.624901976316821E-3</v>
      </c>
      <c r="AA713">
        <f t="shared" si="253"/>
        <v>0.25516812731524552</v>
      </c>
      <c r="AB713">
        <f t="shared" si="254"/>
        <v>0.12129681407209948</v>
      </c>
      <c r="AC713">
        <f t="shared" si="255"/>
        <v>5.2843964108215319E-2</v>
      </c>
      <c r="AD713">
        <f t="shared" si="256"/>
        <v>5.3478627907489066E-3</v>
      </c>
      <c r="AE713">
        <f t="shared" si="257"/>
        <v>2.1234707016409851E-2</v>
      </c>
      <c r="AG713">
        <f t="shared" si="258"/>
        <v>0.97767187948406209</v>
      </c>
      <c r="AH713">
        <f t="shared" si="259"/>
        <v>0.4146512653668088</v>
      </c>
      <c r="AI713">
        <f t="shared" si="260"/>
        <v>1.4902247709939784</v>
      </c>
      <c r="AK713" s="26">
        <f t="shared" si="261"/>
        <v>-6.5600649928110266E-2</v>
      </c>
      <c r="AL713" s="26">
        <f t="shared" si="262"/>
        <v>-7.8095090091370223E-2</v>
      </c>
      <c r="AM713" s="26">
        <f t="shared" si="263"/>
        <v>-3.7614132259805477E-2</v>
      </c>
      <c r="AN713" s="26">
        <f t="shared" si="264"/>
        <v>-5.0058730158730214</v>
      </c>
      <c r="AO713" s="26">
        <f t="shared" si="265"/>
        <v>-6.6737983870967383</v>
      </c>
      <c r="AP713" s="26">
        <f t="shared" si="266"/>
        <v>-9.5704717570813003</v>
      </c>
      <c r="AS713" s="2">
        <v>44767</v>
      </c>
      <c r="AT713">
        <v>13.7</v>
      </c>
      <c r="AU713">
        <v>16.399999999999999</v>
      </c>
      <c r="AV713">
        <v>47.7</v>
      </c>
      <c r="AW713">
        <v>8.1</v>
      </c>
      <c r="AX713">
        <v>267.60000000000002</v>
      </c>
      <c r="AY713">
        <v>0.2</v>
      </c>
      <c r="AZ713">
        <v>2.8</v>
      </c>
      <c r="BA713">
        <v>232.77930000000001</v>
      </c>
      <c r="BB713">
        <v>118.9066</v>
      </c>
      <c r="BC713">
        <v>36.5032</v>
      </c>
      <c r="BD713">
        <v>5.3440000000000003</v>
      </c>
      <c r="BE713">
        <v>15.027799999999999</v>
      </c>
      <c r="BF713">
        <v>-42.845500000000001</v>
      </c>
      <c r="BG713">
        <v>136.82390000000001</v>
      </c>
      <c r="BH713">
        <v>67.260000000000005</v>
      </c>
    </row>
    <row r="714" spans="1:60" x14ac:dyDescent="0.25">
      <c r="A714" s="2">
        <v>44787</v>
      </c>
      <c r="B714">
        <v>11.2</v>
      </c>
      <c r="C714">
        <v>205.4</v>
      </c>
      <c r="D714">
        <v>32.700000000000003</v>
      </c>
      <c r="E714">
        <v>4.5</v>
      </c>
      <c r="F714">
        <v>270.77</v>
      </c>
      <c r="G714">
        <v>0.1</v>
      </c>
      <c r="H714">
        <v>2.2999999999999998</v>
      </c>
      <c r="I714">
        <v>238.90940000000001</v>
      </c>
      <c r="J714">
        <v>107.35809999999999</v>
      </c>
      <c r="K714">
        <v>17.273299999999999</v>
      </c>
      <c r="L714">
        <v>5.7149000000000001</v>
      </c>
      <c r="M714">
        <v>17.460899999999999</v>
      </c>
      <c r="P714">
        <v>74.83</v>
      </c>
      <c r="S714">
        <f t="shared" si="245"/>
        <v>913.6866</v>
      </c>
      <c r="T714">
        <f t="shared" si="246"/>
        <v>1.0499607905267284E-2</v>
      </c>
      <c r="U714">
        <f t="shared" si="247"/>
        <v>0.19255530926266967</v>
      </c>
      <c r="V714">
        <f t="shared" si="248"/>
        <v>3.065510522341431E-2</v>
      </c>
      <c r="W714">
        <f t="shared" si="249"/>
        <v>4.2185924619377486E-3</v>
      </c>
      <c r="X714">
        <f t="shared" si="250"/>
        <v>0.253837395759752</v>
      </c>
      <c r="Y714">
        <f t="shared" si="251"/>
        <v>9.3746499154172199E-5</v>
      </c>
      <c r="Z714">
        <f t="shared" si="252"/>
        <v>2.1561694805459601E-3</v>
      </c>
      <c r="AA714">
        <f t="shared" si="253"/>
        <v>0.22396919865023787</v>
      </c>
      <c r="AB714">
        <f t="shared" si="254"/>
        <v>0.10064446030843532</v>
      </c>
      <c r="AC714">
        <f t="shared" si="255"/>
        <v>1.6193114038397623E-2</v>
      </c>
      <c r="AD714">
        <f t="shared" si="256"/>
        <v>5.3575186801617866E-3</v>
      </c>
      <c r="AE714">
        <f t="shared" si="257"/>
        <v>1.6368982470810849E-2</v>
      </c>
      <c r="AG714">
        <f t="shared" si="258"/>
        <v>0.9617586270376749</v>
      </c>
      <c r="AH714">
        <f t="shared" si="259"/>
        <v>0.51038490906355205</v>
      </c>
      <c r="AI714">
        <f t="shared" si="260"/>
        <v>2.3477684023833696</v>
      </c>
      <c r="AK714" s="26">
        <f t="shared" si="261"/>
        <v>-6.1677339593992409E-2</v>
      </c>
      <c r="AL714" s="26">
        <f t="shared" si="262"/>
        <v>-7.7162153309014048E-2</v>
      </c>
      <c r="AM714" s="26">
        <f t="shared" si="263"/>
        <v>-3.7463827237475877E-2</v>
      </c>
      <c r="AN714" s="26">
        <f t="shared" si="264"/>
        <v>-5.0930158730158723</v>
      </c>
      <c r="AO714" s="26">
        <f t="shared" si="265"/>
        <v>-6.7462012987012656</v>
      </c>
      <c r="AP714" s="26">
        <f t="shared" si="266"/>
        <v>-9.6432347113987689</v>
      </c>
      <c r="AS714" s="2">
        <v>44766</v>
      </c>
      <c r="AT714">
        <v>14.6</v>
      </c>
      <c r="AU714">
        <v>21.6</v>
      </c>
      <c r="AV714">
        <v>42.9</v>
      </c>
      <c r="AW714">
        <v>3.6</v>
      </c>
      <c r="AX714">
        <v>314.26</v>
      </c>
      <c r="AY714">
        <v>0.3</v>
      </c>
      <c r="AZ714">
        <v>3.1</v>
      </c>
      <c r="BA714">
        <v>216.35919999999999</v>
      </c>
      <c r="BB714">
        <v>75.974000000000004</v>
      </c>
      <c r="BC714">
        <v>38.891199999999998</v>
      </c>
      <c r="BD714">
        <v>5.1543999999999999</v>
      </c>
      <c r="BE714">
        <v>21.576699999999999</v>
      </c>
      <c r="BH714">
        <v>66.88</v>
      </c>
    </row>
    <row r="715" spans="1:60" x14ac:dyDescent="0.25">
      <c r="A715" s="2">
        <v>44786</v>
      </c>
      <c r="C715">
        <v>104.9</v>
      </c>
      <c r="F715">
        <v>255.81</v>
      </c>
      <c r="K715">
        <v>21.9786</v>
      </c>
      <c r="P715">
        <v>74.39</v>
      </c>
      <c r="S715">
        <f t="shared" si="245"/>
        <v>382.68860000000006</v>
      </c>
      <c r="T715">
        <f t="shared" si="246"/>
        <v>0</v>
      </c>
      <c r="U715">
        <f t="shared" si="247"/>
        <v>9.8340077612726631E-2</v>
      </c>
      <c r="V715">
        <f t="shared" si="248"/>
        <v>0</v>
      </c>
      <c r="W715">
        <f t="shared" si="249"/>
        <v>0</v>
      </c>
      <c r="X715">
        <f t="shared" si="250"/>
        <v>0.23981291948628788</v>
      </c>
      <c r="Y715">
        <f t="shared" si="251"/>
        <v>0</v>
      </c>
      <c r="Z715">
        <f t="shared" si="252"/>
        <v>0</v>
      </c>
      <c r="AA715">
        <f t="shared" si="253"/>
        <v>0</v>
      </c>
      <c r="AB715">
        <f t="shared" si="254"/>
        <v>0</v>
      </c>
      <c r="AC715">
        <f t="shared" si="255"/>
        <v>2.060416806309889E-2</v>
      </c>
      <c r="AD715">
        <f t="shared" si="256"/>
        <v>0</v>
      </c>
      <c r="AE715">
        <f t="shared" si="257"/>
        <v>0</v>
      </c>
      <c r="AG715">
        <f t="shared" si="258"/>
        <v>0.94314809683722489</v>
      </c>
      <c r="AH715">
        <f t="shared" si="259"/>
        <v>0.33815299709901453</v>
      </c>
      <c r="AI715">
        <f t="shared" si="260"/>
        <v>0.78343725338574977</v>
      </c>
      <c r="AK715" s="26">
        <f t="shared" si="261"/>
        <v>-6.8955389232897568E-2</v>
      </c>
      <c r="AL715" s="26">
        <f t="shared" si="262"/>
        <v>-8.2885593255737244E-2</v>
      </c>
      <c r="AM715" s="26">
        <f t="shared" si="263"/>
        <v>-4.1170500662362219E-2</v>
      </c>
      <c r="AN715" s="26">
        <f t="shared" si="264"/>
        <v>-5.1823809523809672</v>
      </c>
      <c r="AO715" s="26">
        <f t="shared" si="265"/>
        <v>-6.8149801587301368</v>
      </c>
      <c r="AP715" s="26">
        <f t="shared" si="266"/>
        <v>-9.7157240396407119</v>
      </c>
      <c r="AS715" s="2">
        <v>44765</v>
      </c>
      <c r="AU715">
        <v>147.69999999999999</v>
      </c>
      <c r="AX715">
        <v>231.42</v>
      </c>
      <c r="BC715">
        <v>58.541200000000003</v>
      </c>
      <c r="BH715">
        <v>66.41</v>
      </c>
    </row>
    <row r="716" spans="1:60" x14ac:dyDescent="0.25">
      <c r="A716" s="2">
        <v>44785</v>
      </c>
      <c r="C716">
        <v>62.5</v>
      </c>
      <c r="F716">
        <v>294.10000000000002</v>
      </c>
      <c r="K716">
        <v>38.927999999999997</v>
      </c>
      <c r="N716">
        <v>-39.542999999999999</v>
      </c>
      <c r="O716">
        <v>203.37819999999999</v>
      </c>
      <c r="P716">
        <v>73.94</v>
      </c>
      <c r="S716">
        <f t="shared" si="245"/>
        <v>395.52800000000002</v>
      </c>
      <c r="T716">
        <f t="shared" si="246"/>
        <v>0</v>
      </c>
      <c r="U716">
        <f t="shared" si="247"/>
        <v>5.859156197135762E-2</v>
      </c>
      <c r="V716">
        <f t="shared" si="248"/>
        <v>0</v>
      </c>
      <c r="W716">
        <f t="shared" si="249"/>
        <v>0</v>
      </c>
      <c r="X716">
        <f t="shared" si="250"/>
        <v>0.27570845401242045</v>
      </c>
      <c r="Y716">
        <f t="shared" si="251"/>
        <v>0</v>
      </c>
      <c r="Z716">
        <f t="shared" si="252"/>
        <v>0</v>
      </c>
      <c r="AA716">
        <f t="shared" si="253"/>
        <v>0</v>
      </c>
      <c r="AB716">
        <f t="shared" si="254"/>
        <v>0</v>
      </c>
      <c r="AC716">
        <f t="shared" si="255"/>
        <v>3.6493637190736145E-2</v>
      </c>
      <c r="AD716">
        <f t="shared" si="256"/>
        <v>0</v>
      </c>
      <c r="AE716">
        <f t="shared" si="257"/>
        <v>0</v>
      </c>
      <c r="AG716">
        <f t="shared" si="258"/>
        <v>0.92407978575523286</v>
      </c>
      <c r="AH716">
        <f t="shared" si="259"/>
        <v>0.33430001598377806</v>
      </c>
      <c r="AI716">
        <f t="shared" si="260"/>
        <v>0.75392160170252287</v>
      </c>
      <c r="AK716" s="26">
        <f t="shared" si="261"/>
        <v>-7.4951455495869512E-2</v>
      </c>
      <c r="AL716" s="26">
        <f t="shared" si="262"/>
        <v>-8.6269977851152591E-2</v>
      </c>
      <c r="AM716" s="26">
        <f t="shared" si="263"/>
        <v>-4.263408758913434E-2</v>
      </c>
      <c r="AN716" s="26">
        <f t="shared" si="264"/>
        <v>-5.2753968253968253</v>
      </c>
      <c r="AO716" s="26">
        <f t="shared" si="265"/>
        <v>-6.8818796992480884</v>
      </c>
      <c r="AP716" s="26">
        <f t="shared" si="266"/>
        <v>-9.7850818417725804</v>
      </c>
      <c r="AS716" s="2">
        <v>44764</v>
      </c>
      <c r="AU716">
        <v>46.9</v>
      </c>
      <c r="AX716">
        <v>255.7</v>
      </c>
      <c r="BC716">
        <v>110.1391</v>
      </c>
      <c r="BF716">
        <v>-18.637799999999999</v>
      </c>
      <c r="BG716">
        <v>136.50040000000001</v>
      </c>
      <c r="BH716">
        <v>65.98</v>
      </c>
    </row>
    <row r="717" spans="1:60" x14ac:dyDescent="0.25">
      <c r="A717" s="2">
        <v>44784</v>
      </c>
      <c r="B717">
        <v>11.7</v>
      </c>
      <c r="C717">
        <v>194.1</v>
      </c>
      <c r="D717">
        <v>1.6</v>
      </c>
      <c r="E717">
        <v>2.8</v>
      </c>
      <c r="F717">
        <v>310.5</v>
      </c>
      <c r="G717">
        <v>0.6</v>
      </c>
      <c r="H717">
        <v>3.4</v>
      </c>
      <c r="I717">
        <v>280.96519999999998</v>
      </c>
      <c r="J717">
        <v>147.14169999999999</v>
      </c>
      <c r="K717">
        <v>35.027000000000001</v>
      </c>
      <c r="L717">
        <v>5.2760999999999996</v>
      </c>
      <c r="M717">
        <v>32.472799999999999</v>
      </c>
      <c r="N717">
        <v>-32.6922</v>
      </c>
      <c r="O717">
        <v>217.577</v>
      </c>
      <c r="P717">
        <v>73.569999999999993</v>
      </c>
      <c r="S717">
        <f t="shared" si="245"/>
        <v>1025.5828000000001</v>
      </c>
      <c r="T717">
        <f t="shared" si="246"/>
        <v>1.0968340401038145E-2</v>
      </c>
      <c r="U717">
        <f t="shared" si="247"/>
        <v>0.1819619548582482</v>
      </c>
      <c r="V717">
        <f t="shared" si="248"/>
        <v>1.4999439864667552E-3</v>
      </c>
      <c r="W717">
        <f t="shared" si="249"/>
        <v>2.624901976316821E-3</v>
      </c>
      <c r="X717">
        <f t="shared" si="250"/>
        <v>0.29108287987370463</v>
      </c>
      <c r="Y717">
        <f t="shared" si="251"/>
        <v>5.6247899492503314E-4</v>
      </c>
      <c r="Z717">
        <f t="shared" si="252"/>
        <v>3.1873809712418544E-3</v>
      </c>
      <c r="AA717">
        <f t="shared" si="253"/>
        <v>0.26339503884151821</v>
      </c>
      <c r="AB717">
        <f t="shared" si="254"/>
        <v>0.13794019254593456</v>
      </c>
      <c r="AC717">
        <f t="shared" si="255"/>
        <v>3.2836586258731891E-2</v>
      </c>
      <c r="AD717">
        <f t="shared" si="256"/>
        <v>4.9461590418732786E-3</v>
      </c>
      <c r="AE717">
        <f t="shared" si="257"/>
        <v>3.0442113177336028E-2</v>
      </c>
      <c r="AG717">
        <f t="shared" si="258"/>
        <v>0.90861848513451793</v>
      </c>
      <c r="AH717">
        <f t="shared" si="259"/>
        <v>0.5223299942392774</v>
      </c>
      <c r="AI717">
        <f t="shared" si="260"/>
        <v>2.3808776633737327</v>
      </c>
      <c r="AK717" s="26">
        <f t="shared" si="261"/>
        <v>-7.7714180852862025E-2</v>
      </c>
      <c r="AL717" s="26">
        <f t="shared" si="262"/>
        <v>-8.5203683868611768E-2</v>
      </c>
      <c r="AM717" s="26">
        <f t="shared" si="263"/>
        <v>-4.1004367609071113E-2</v>
      </c>
      <c r="AN717" s="26">
        <f t="shared" si="264"/>
        <v>-5.3720634920634893</v>
      </c>
      <c r="AO717" s="26">
        <f t="shared" si="265"/>
        <v>-6.9462405392620283</v>
      </c>
      <c r="AP717" s="26">
        <f t="shared" si="266"/>
        <v>-9.8544555017532005</v>
      </c>
      <c r="AS717" s="2">
        <v>44763</v>
      </c>
      <c r="AT717">
        <v>14.8</v>
      </c>
      <c r="AU717">
        <v>0</v>
      </c>
      <c r="AV717">
        <v>20.9</v>
      </c>
      <c r="AW717">
        <v>6.4</v>
      </c>
      <c r="AX717">
        <v>198.2</v>
      </c>
      <c r="AY717">
        <v>0.3</v>
      </c>
      <c r="AZ717">
        <v>3.4</v>
      </c>
      <c r="BA717">
        <v>268.90539999999999</v>
      </c>
      <c r="BB717">
        <v>129.15770000000001</v>
      </c>
      <c r="BC717">
        <v>131.00749999999999</v>
      </c>
      <c r="BD717">
        <v>3.5613000000000001</v>
      </c>
      <c r="BE717">
        <v>28.057400000000001</v>
      </c>
      <c r="BF717">
        <v>-32.076799999999999</v>
      </c>
      <c r="BG717">
        <v>115.7932</v>
      </c>
      <c r="BH717">
        <v>65.64</v>
      </c>
    </row>
    <row r="718" spans="1:60" x14ac:dyDescent="0.25">
      <c r="A718" s="2">
        <v>44783</v>
      </c>
      <c r="B718">
        <v>11.7</v>
      </c>
      <c r="C718">
        <v>85.1</v>
      </c>
      <c r="D718">
        <v>1.6</v>
      </c>
      <c r="E718">
        <v>2.6</v>
      </c>
      <c r="F718">
        <v>303.77999999999997</v>
      </c>
      <c r="G718">
        <v>0.6</v>
      </c>
      <c r="H718">
        <v>3.2</v>
      </c>
      <c r="I718">
        <v>303.32560000000001</v>
      </c>
      <c r="J718">
        <v>166.20849999999999</v>
      </c>
      <c r="K718">
        <v>26.0246</v>
      </c>
      <c r="L718">
        <v>5.2279</v>
      </c>
      <c r="M718">
        <v>28.940799999999999</v>
      </c>
      <c r="N718">
        <v>-37.548400000000001</v>
      </c>
      <c r="O718">
        <v>207.8022</v>
      </c>
      <c r="P718">
        <v>73.2</v>
      </c>
      <c r="S718">
        <f t="shared" si="245"/>
        <v>938.30739999999992</v>
      </c>
      <c r="T718">
        <f t="shared" si="246"/>
        <v>1.0968340401038145E-2</v>
      </c>
      <c r="U718">
        <f t="shared" si="247"/>
        <v>7.9778270780200528E-2</v>
      </c>
      <c r="V718">
        <f t="shared" si="248"/>
        <v>1.4999439864667552E-3</v>
      </c>
      <c r="W718">
        <f t="shared" si="249"/>
        <v>2.437408978008477E-3</v>
      </c>
      <c r="X718">
        <f t="shared" si="250"/>
        <v>0.28478311513054427</v>
      </c>
      <c r="Y718">
        <f t="shared" si="251"/>
        <v>5.6247899492503314E-4</v>
      </c>
      <c r="Z718">
        <f t="shared" si="252"/>
        <v>2.9998879729335104E-3</v>
      </c>
      <c r="AA718">
        <f t="shared" si="253"/>
        <v>0.28435713103838772</v>
      </c>
      <c r="AB718">
        <f t="shared" si="254"/>
        <v>0.15581465004666228</v>
      </c>
      <c r="AC718">
        <f t="shared" si="255"/>
        <v>2.4397151418876696E-2</v>
      </c>
      <c r="AD718">
        <f t="shared" si="256"/>
        <v>4.9009732292809678E-3</v>
      </c>
      <c r="AE718">
        <f t="shared" si="257"/>
        <v>2.7130986827210664E-2</v>
      </c>
      <c r="AG718">
        <f t="shared" si="258"/>
        <v>0.89315485969977315</v>
      </c>
      <c r="AH718">
        <f t="shared" si="259"/>
        <v>0.41016043307132732</v>
      </c>
      <c r="AI718">
        <f t="shared" si="260"/>
        <v>1.4212207901724958</v>
      </c>
      <c r="AK718" s="26">
        <f t="shared" si="261"/>
        <v>-8.7905386479652181E-2</v>
      </c>
      <c r="AL718" s="26">
        <f t="shared" si="262"/>
        <v>-8.3378552393230554E-2</v>
      </c>
      <c r="AM718" s="26">
        <f t="shared" si="263"/>
        <v>-3.986175874255754E-2</v>
      </c>
      <c r="AN718" s="26">
        <f t="shared" si="264"/>
        <v>-5.4719047619047387</v>
      </c>
      <c r="AO718" s="26">
        <f t="shared" si="265"/>
        <v>-7.0080619047618882</v>
      </c>
      <c r="AP718" s="26">
        <f t="shared" si="266"/>
        <v>-9.9221024403324947</v>
      </c>
      <c r="AS718" s="2">
        <v>44762</v>
      </c>
      <c r="AT718">
        <v>13.9</v>
      </c>
      <c r="AU718">
        <v>168.6</v>
      </c>
      <c r="AV718">
        <v>39.1</v>
      </c>
      <c r="AW718">
        <v>8.3000000000000007</v>
      </c>
      <c r="AX718">
        <v>301.64</v>
      </c>
      <c r="AY718">
        <v>0.3</v>
      </c>
      <c r="AZ718">
        <v>2.9</v>
      </c>
      <c r="BA718">
        <v>246.5599</v>
      </c>
      <c r="BB718">
        <v>117.7426</v>
      </c>
      <c r="BC718">
        <v>70.941699999999997</v>
      </c>
      <c r="BD718">
        <v>3.1208999999999998</v>
      </c>
      <c r="BE718">
        <v>30.313500000000001</v>
      </c>
      <c r="BF718">
        <v>-33.558700000000002</v>
      </c>
      <c r="BG718">
        <v>112.0231</v>
      </c>
      <c r="BH718">
        <v>65.36</v>
      </c>
    </row>
    <row r="719" spans="1:60" x14ac:dyDescent="0.25">
      <c r="A719" s="2">
        <v>44782</v>
      </c>
      <c r="B719">
        <v>12.6</v>
      </c>
      <c r="C719">
        <v>33.299999999999997</v>
      </c>
      <c r="D719">
        <v>0.2</v>
      </c>
      <c r="E719">
        <v>2.8</v>
      </c>
      <c r="F719">
        <v>300.42</v>
      </c>
      <c r="G719">
        <v>0.5</v>
      </c>
      <c r="H719">
        <v>2.7</v>
      </c>
      <c r="I719">
        <v>300.10230000000001</v>
      </c>
      <c r="J719">
        <v>162.4143</v>
      </c>
      <c r="K719">
        <v>30.937799999999999</v>
      </c>
      <c r="L719">
        <v>5.1868999999999996</v>
      </c>
      <c r="M719">
        <v>23.941199999999998</v>
      </c>
      <c r="N719">
        <v>-40.521599999999999</v>
      </c>
      <c r="O719">
        <v>186.23990000000001</v>
      </c>
      <c r="P719">
        <v>72.790000000000006</v>
      </c>
      <c r="S719">
        <f t="shared" si="245"/>
        <v>875.10250000000008</v>
      </c>
      <c r="T719">
        <f t="shared" si="246"/>
        <v>1.1812058893425697E-2</v>
      </c>
      <c r="U719">
        <f t="shared" si="247"/>
        <v>3.1217584218339336E-2</v>
      </c>
      <c r="V719">
        <f t="shared" si="248"/>
        <v>1.874929983083444E-4</v>
      </c>
      <c r="W719">
        <f t="shared" si="249"/>
        <v>2.624901976316821E-3</v>
      </c>
      <c r="X719">
        <f t="shared" si="250"/>
        <v>0.28163323275896412</v>
      </c>
      <c r="Y719">
        <f t="shared" si="251"/>
        <v>4.6873249577086097E-4</v>
      </c>
      <c r="Z719">
        <f t="shared" si="252"/>
        <v>2.5311554771626494E-3</v>
      </c>
      <c r="AA719">
        <f t="shared" si="253"/>
        <v>0.28133540013115133</v>
      </c>
      <c r="AB719">
        <f t="shared" si="254"/>
        <v>0.15225772037575469</v>
      </c>
      <c r="AC719">
        <f t="shared" si="255"/>
        <v>2.9003104415319482E-2</v>
      </c>
      <c r="AD719">
        <f t="shared" si="256"/>
        <v>4.8625371646277568E-3</v>
      </c>
      <c r="AE719">
        <f t="shared" si="257"/>
        <v>2.2444036855498672E-2</v>
      </c>
      <c r="AG719">
        <f t="shared" si="258"/>
        <v>0.87588165861644274</v>
      </c>
      <c r="AH719">
        <f t="shared" si="259"/>
        <v>0.35291919567378649</v>
      </c>
      <c r="AI719">
        <f t="shared" si="260"/>
        <v>0.91529522101736127</v>
      </c>
      <c r="AK719" s="26">
        <f t="shared" si="261"/>
        <v>-7.7408162482031695E-2</v>
      </c>
      <c r="AL719" s="26">
        <f t="shared" si="262"/>
        <v>-8.1022495033276909E-2</v>
      </c>
      <c r="AM719" s="26">
        <f t="shared" si="263"/>
        <v>-3.8419973251408834E-2</v>
      </c>
      <c r="AN719" s="26">
        <f t="shared" si="264"/>
        <v>-5.5715873015873001</v>
      </c>
      <c r="AO719" s="26">
        <f t="shared" si="265"/>
        <v>-7.0679781879194579</v>
      </c>
      <c r="AP719" s="26">
        <f t="shared" si="266"/>
        <v>-9.9888246576264095</v>
      </c>
      <c r="AS719" s="2">
        <v>44761</v>
      </c>
      <c r="AT719">
        <v>14.4</v>
      </c>
      <c r="AU719">
        <v>19</v>
      </c>
      <c r="AV719">
        <v>12.5</v>
      </c>
      <c r="AW719">
        <v>2.6</v>
      </c>
      <c r="AX719">
        <v>325.7</v>
      </c>
      <c r="AY719">
        <v>0.4</v>
      </c>
      <c r="AZ719">
        <v>2.7</v>
      </c>
      <c r="BA719">
        <v>250.77529999999999</v>
      </c>
      <c r="BB719">
        <v>129.68090000000001</v>
      </c>
      <c r="BC719">
        <v>109.1848</v>
      </c>
      <c r="BD719">
        <v>3.0304000000000002</v>
      </c>
      <c r="BE719">
        <v>26.290099999999999</v>
      </c>
      <c r="BF719">
        <v>-28.089099999999998</v>
      </c>
      <c r="BG719">
        <v>115.6378</v>
      </c>
      <c r="BH719">
        <v>65.11</v>
      </c>
    </row>
    <row r="720" spans="1:60" x14ac:dyDescent="0.25">
      <c r="A720" s="2">
        <v>44781</v>
      </c>
      <c r="B720">
        <v>12.2</v>
      </c>
      <c r="C720">
        <v>146.9</v>
      </c>
      <c r="D720">
        <v>1.5</v>
      </c>
      <c r="E720">
        <v>2</v>
      </c>
      <c r="F720">
        <v>296.3</v>
      </c>
      <c r="G720">
        <v>0.4</v>
      </c>
      <c r="H720">
        <v>2.5</v>
      </c>
      <c r="I720">
        <v>298.88810000000001</v>
      </c>
      <c r="J720">
        <v>160.2234</v>
      </c>
      <c r="K720">
        <v>22.326599999999999</v>
      </c>
      <c r="L720">
        <v>5.0444000000000004</v>
      </c>
      <c r="M720">
        <v>23.907900000000001</v>
      </c>
      <c r="N720">
        <v>-427.327</v>
      </c>
      <c r="O720">
        <v>201.82380000000001</v>
      </c>
      <c r="P720">
        <v>72.400000000000006</v>
      </c>
      <c r="S720">
        <f t="shared" si="245"/>
        <v>972.19039999999995</v>
      </c>
      <c r="T720">
        <f t="shared" si="246"/>
        <v>1.1437072896809007E-2</v>
      </c>
      <c r="U720">
        <f t="shared" si="247"/>
        <v>0.13771360725747894</v>
      </c>
      <c r="V720">
        <f t="shared" si="248"/>
        <v>1.406197487312583E-3</v>
      </c>
      <c r="W720">
        <f t="shared" si="249"/>
        <v>1.8749299830834439E-3</v>
      </c>
      <c r="X720">
        <f t="shared" si="250"/>
        <v>0.2777708769938122</v>
      </c>
      <c r="Y720">
        <f t="shared" si="251"/>
        <v>3.7498599661668879E-4</v>
      </c>
      <c r="Z720">
        <f t="shared" si="252"/>
        <v>2.3436624788543046E-3</v>
      </c>
      <c r="AA720">
        <f t="shared" si="253"/>
        <v>0.28019713013842135</v>
      </c>
      <c r="AB720">
        <f t="shared" si="254"/>
        <v>0.15020382832578594</v>
      </c>
      <c r="AC720">
        <f t="shared" si="255"/>
        <v>2.0930405880155406E-2</v>
      </c>
      <c r="AD720">
        <f t="shared" si="256"/>
        <v>4.7289484033330624E-3</v>
      </c>
      <c r="AE720">
        <f t="shared" si="257"/>
        <v>2.2412819271280335E-2</v>
      </c>
      <c r="AG720">
        <f t="shared" si="258"/>
        <v>0.85950906452259468</v>
      </c>
      <c r="AH720">
        <f t="shared" si="259"/>
        <v>0.45533415236524755</v>
      </c>
      <c r="AI720">
        <f t="shared" si="260"/>
        <v>1.7917862745101532</v>
      </c>
      <c r="AK720" s="26">
        <f t="shared" si="261"/>
        <v>-7.6536272852255338E-2</v>
      </c>
      <c r="AL720" s="26">
        <f t="shared" si="262"/>
        <v>-8.1096606153858553E-2</v>
      </c>
      <c r="AM720" s="26">
        <f t="shared" si="263"/>
        <v>-3.7080311219731377E-2</v>
      </c>
      <c r="AN720" s="26">
        <f t="shared" si="264"/>
        <v>-5.6673015873015515</v>
      </c>
      <c r="AO720" s="26">
        <f t="shared" si="265"/>
        <v>-7.1256998069497826</v>
      </c>
      <c r="AP720" s="26">
        <f t="shared" si="266"/>
        <v>-10.054039046139273</v>
      </c>
      <c r="AS720" s="2">
        <v>44760</v>
      </c>
      <c r="AT720">
        <v>12.9</v>
      </c>
      <c r="AU720">
        <v>50.1</v>
      </c>
      <c r="AV720">
        <v>23.2</v>
      </c>
      <c r="AW720">
        <v>2.6</v>
      </c>
      <c r="AX720">
        <v>303.95999999999998</v>
      </c>
      <c r="AY720">
        <v>0.5</v>
      </c>
      <c r="AZ720">
        <v>3.1</v>
      </c>
      <c r="BA720">
        <v>251.20769999999999</v>
      </c>
      <c r="BB720">
        <v>110.2415</v>
      </c>
      <c r="BC720">
        <v>86.292599999999993</v>
      </c>
      <c r="BD720">
        <v>4.1778000000000004</v>
      </c>
      <c r="BE720">
        <v>27.236499999999999</v>
      </c>
      <c r="BF720">
        <v>-23.4482</v>
      </c>
      <c r="BG720">
        <v>126.8951</v>
      </c>
      <c r="BH720">
        <v>64.86</v>
      </c>
    </row>
    <row r="721" spans="1:60" x14ac:dyDescent="0.25">
      <c r="A721" s="2">
        <v>44780</v>
      </c>
      <c r="B721">
        <v>12.8</v>
      </c>
      <c r="C721">
        <v>148.1</v>
      </c>
      <c r="D721">
        <v>11.6</v>
      </c>
      <c r="E721">
        <v>2.2999999999999998</v>
      </c>
      <c r="F721">
        <v>298.23</v>
      </c>
      <c r="G721">
        <v>0</v>
      </c>
      <c r="H721">
        <v>2.9</v>
      </c>
      <c r="I721">
        <v>270.17180000000002</v>
      </c>
      <c r="J721">
        <v>102.4919</v>
      </c>
      <c r="K721">
        <v>16.057500000000001</v>
      </c>
      <c r="L721">
        <v>4.9302000000000001</v>
      </c>
      <c r="M721">
        <v>11.4764</v>
      </c>
      <c r="P721">
        <v>72.02</v>
      </c>
      <c r="S721">
        <f t="shared" si="245"/>
        <v>881.05780000000004</v>
      </c>
      <c r="T721">
        <f t="shared" si="246"/>
        <v>1.1999551891734041E-2</v>
      </c>
      <c r="U721">
        <f t="shared" si="247"/>
        <v>0.13883856524732902</v>
      </c>
      <c r="V721">
        <f t="shared" si="248"/>
        <v>1.0874593901883974E-2</v>
      </c>
      <c r="W721">
        <f t="shared" si="249"/>
        <v>2.1561694805459601E-3</v>
      </c>
      <c r="X721">
        <f t="shared" si="250"/>
        <v>0.27958018442748772</v>
      </c>
      <c r="Y721">
        <f t="shared" si="251"/>
        <v>0</v>
      </c>
      <c r="Z721">
        <f t="shared" si="252"/>
        <v>2.7186484754709935E-3</v>
      </c>
      <c r="AA721">
        <f t="shared" si="253"/>
        <v>0.25327660420181181</v>
      </c>
      <c r="AB721">
        <f t="shared" si="254"/>
        <v>9.6082568166595009E-2</v>
      </c>
      <c r="AC721">
        <f t="shared" si="255"/>
        <v>1.50533441016812E-2</v>
      </c>
      <c r="AD721">
        <f t="shared" si="256"/>
        <v>4.6218899012989978E-3</v>
      </c>
      <c r="AE721">
        <f t="shared" si="257"/>
        <v>1.0758723228929417E-2</v>
      </c>
      <c r="AG721">
        <f t="shared" si="258"/>
        <v>0.84358580077299206</v>
      </c>
      <c r="AH721">
        <f t="shared" si="259"/>
        <v>0.45692643665338112</v>
      </c>
      <c r="AI721">
        <f t="shared" si="260"/>
        <v>1.8081537974662092</v>
      </c>
      <c r="AK721" s="26">
        <f t="shared" si="261"/>
        <v>-6.6406174279767638E-2</v>
      </c>
      <c r="AL721" s="26">
        <f t="shared" si="262"/>
        <v>-7.8976919195257123E-2</v>
      </c>
      <c r="AM721" s="26">
        <f t="shared" si="263"/>
        <v>-3.4497775139777309E-2</v>
      </c>
      <c r="AN721" s="26">
        <f t="shared" si="264"/>
        <v>-5.762539682539682</v>
      </c>
      <c r="AO721" s="26">
        <f t="shared" si="265"/>
        <v>-7.1800255102040822</v>
      </c>
      <c r="AP721" s="26">
        <f t="shared" si="266"/>
        <v>-10.119758586783291</v>
      </c>
      <c r="AS721" s="2">
        <v>44759</v>
      </c>
      <c r="AT721">
        <v>11.7</v>
      </c>
      <c r="AU721">
        <v>1</v>
      </c>
      <c r="AV721">
        <v>16.2</v>
      </c>
      <c r="AW721">
        <v>4.7</v>
      </c>
      <c r="AX721">
        <v>331.46</v>
      </c>
      <c r="AY721">
        <v>0</v>
      </c>
      <c r="AZ721">
        <v>3</v>
      </c>
      <c r="BA721">
        <v>207.40289999999999</v>
      </c>
      <c r="BB721">
        <v>52.902900000000002</v>
      </c>
      <c r="BC721">
        <v>28.5517</v>
      </c>
      <c r="BD721">
        <v>4.9996999999999998</v>
      </c>
      <c r="BE721">
        <v>21.702100000000002</v>
      </c>
      <c r="BH721">
        <v>64.56</v>
      </c>
    </row>
    <row r="722" spans="1:60" x14ac:dyDescent="0.25">
      <c r="A722" s="2">
        <v>44779</v>
      </c>
      <c r="C722">
        <v>8.4</v>
      </c>
      <c r="F722">
        <v>257.27999999999997</v>
      </c>
      <c r="K722">
        <v>15.602399999999999</v>
      </c>
      <c r="P722">
        <v>71.56</v>
      </c>
      <c r="S722">
        <f t="shared" si="245"/>
        <v>281.28239999999994</v>
      </c>
      <c r="T722">
        <f t="shared" si="246"/>
        <v>0</v>
      </c>
      <c r="U722">
        <f t="shared" si="247"/>
        <v>7.8747059289504644E-3</v>
      </c>
      <c r="V722">
        <f t="shared" si="248"/>
        <v>0</v>
      </c>
      <c r="W722">
        <f t="shared" si="249"/>
        <v>0</v>
      </c>
      <c r="X722">
        <f t="shared" si="250"/>
        <v>0.24119099302385419</v>
      </c>
      <c r="Y722">
        <f t="shared" si="251"/>
        <v>0</v>
      </c>
      <c r="Z722">
        <f t="shared" si="252"/>
        <v>0</v>
      </c>
      <c r="AA722">
        <f t="shared" si="253"/>
        <v>0</v>
      </c>
      <c r="AB722">
        <f t="shared" si="254"/>
        <v>0</v>
      </c>
      <c r="AC722">
        <f t="shared" si="255"/>
        <v>1.4626703784030561E-2</v>
      </c>
      <c r="AD722">
        <f t="shared" si="256"/>
        <v>0</v>
      </c>
      <c r="AE722">
        <f t="shared" si="257"/>
        <v>0</v>
      </c>
      <c r="AG722">
        <f t="shared" si="258"/>
        <v>0.82406481578434632</v>
      </c>
      <c r="AH722">
        <f t="shared" si="259"/>
        <v>0.24906569895280464</v>
      </c>
      <c r="AI722">
        <f t="shared" si="260"/>
        <v>2.0514000781802166E-2</v>
      </c>
      <c r="AK722" s="26">
        <f t="shared" si="261"/>
        <v>-6.5581640221337334E-2</v>
      </c>
      <c r="AL722" s="26">
        <f t="shared" si="262"/>
        <v>-8.0664379711891387E-2</v>
      </c>
      <c r="AM722" s="26">
        <f t="shared" si="263"/>
        <v>-3.4080247168261912E-2</v>
      </c>
      <c r="AN722" s="26">
        <f t="shared" si="264"/>
        <v>-5.8644444444444304</v>
      </c>
      <c r="AO722" s="26">
        <f t="shared" si="265"/>
        <v>-7.2345156555773045</v>
      </c>
      <c r="AP722" s="26">
        <f t="shared" si="266"/>
        <v>-10.187841048332189</v>
      </c>
      <c r="AS722" s="2">
        <v>44758</v>
      </c>
      <c r="AU722">
        <v>0</v>
      </c>
      <c r="AX722">
        <v>289.56</v>
      </c>
      <c r="BC722">
        <v>20.632000000000001</v>
      </c>
      <c r="BH722">
        <v>64.16</v>
      </c>
    </row>
    <row r="723" spans="1:60" x14ac:dyDescent="0.25">
      <c r="A723" s="2">
        <v>44778</v>
      </c>
      <c r="C723">
        <v>21.7</v>
      </c>
      <c r="F723">
        <v>206.84</v>
      </c>
      <c r="K723">
        <v>45.457099999999997</v>
      </c>
      <c r="N723">
        <v>-31.4664</v>
      </c>
      <c r="O723">
        <v>214.0986</v>
      </c>
      <c r="P723">
        <v>71.11</v>
      </c>
      <c r="S723">
        <f t="shared" si="245"/>
        <v>273.99709999999999</v>
      </c>
      <c r="T723">
        <f t="shared" si="246"/>
        <v>0</v>
      </c>
      <c r="U723">
        <f t="shared" si="247"/>
        <v>2.0342990316455364E-2</v>
      </c>
      <c r="V723">
        <f t="shared" si="248"/>
        <v>0</v>
      </c>
      <c r="W723">
        <f t="shared" si="249"/>
        <v>0</v>
      </c>
      <c r="X723">
        <f t="shared" si="250"/>
        <v>0.19390525885048976</v>
      </c>
      <c r="Y723">
        <f t="shared" si="251"/>
        <v>0</v>
      </c>
      <c r="Z723">
        <f t="shared" si="252"/>
        <v>0</v>
      </c>
      <c r="AA723">
        <f t="shared" si="253"/>
        <v>0</v>
      </c>
      <c r="AB723">
        <f t="shared" si="254"/>
        <v>0</v>
      </c>
      <c r="AC723">
        <f t="shared" si="255"/>
        <v>4.2614439867011203E-2</v>
      </c>
      <c r="AD723">
        <f t="shared" si="256"/>
        <v>0</v>
      </c>
      <c r="AE723">
        <f t="shared" si="257"/>
        <v>0</v>
      </c>
      <c r="AG723">
        <f t="shared" si="258"/>
        <v>0.80499690380425082</v>
      </c>
      <c r="AH723">
        <f t="shared" si="259"/>
        <v>0.21424824916694513</v>
      </c>
      <c r="AI723">
        <f t="shared" si="260"/>
        <v>-0.28304523989682684</v>
      </c>
      <c r="AK723" s="26">
        <f t="shared" si="261"/>
        <v>-6.1717709028004775E-2</v>
      </c>
      <c r="AL723" s="26">
        <f t="shared" si="262"/>
        <v>-7.464153001967766E-2</v>
      </c>
      <c r="AM723" s="26">
        <f t="shared" si="263"/>
        <v>-3.2989430367601102E-2</v>
      </c>
      <c r="AN723" s="26">
        <f t="shared" si="264"/>
        <v>-5.9682539682539613</v>
      </c>
      <c r="AO723" s="26">
        <f t="shared" si="265"/>
        <v>-7.2879544334975392</v>
      </c>
      <c r="AP723" s="26">
        <f t="shared" si="266"/>
        <v>-10.256380223459857</v>
      </c>
      <c r="AS723" s="2">
        <v>44757</v>
      </c>
      <c r="AU723">
        <v>112.8</v>
      </c>
      <c r="AX723">
        <v>262.5</v>
      </c>
      <c r="BC723">
        <v>45.819400000000002</v>
      </c>
      <c r="BF723">
        <v>-23.1266</v>
      </c>
      <c r="BG723">
        <v>121.60339999999999</v>
      </c>
      <c r="BH723">
        <v>63.73</v>
      </c>
    </row>
    <row r="724" spans="1:60" x14ac:dyDescent="0.25">
      <c r="A724" s="2">
        <v>44777</v>
      </c>
      <c r="B724">
        <v>13.7</v>
      </c>
      <c r="C724">
        <v>43.3</v>
      </c>
      <c r="D724">
        <v>13.7</v>
      </c>
      <c r="E724">
        <v>3.8</v>
      </c>
      <c r="F724">
        <v>282.66000000000003</v>
      </c>
      <c r="G724">
        <v>0.4</v>
      </c>
      <c r="H724">
        <v>2.5</v>
      </c>
      <c r="I724">
        <v>310.74439999999998</v>
      </c>
      <c r="J724">
        <v>142.00370000000001</v>
      </c>
      <c r="K724">
        <v>62.142200000000003</v>
      </c>
      <c r="L724">
        <v>5.0404999999999998</v>
      </c>
      <c r="M724">
        <v>24.389900000000001</v>
      </c>
      <c r="N724">
        <v>-29.894500000000001</v>
      </c>
      <c r="O724">
        <v>213.75380000000001</v>
      </c>
      <c r="P724">
        <v>71.2</v>
      </c>
      <c r="S724">
        <f t="shared" si="245"/>
        <v>904.38069999999993</v>
      </c>
      <c r="T724">
        <f t="shared" si="246"/>
        <v>1.2843270384121589E-2</v>
      </c>
      <c r="U724">
        <f t="shared" si="247"/>
        <v>4.0592234133756559E-2</v>
      </c>
      <c r="V724">
        <f t="shared" si="248"/>
        <v>1.2843270384121589E-2</v>
      </c>
      <c r="W724">
        <f t="shared" si="249"/>
        <v>3.5623669678585433E-3</v>
      </c>
      <c r="X724">
        <f t="shared" si="250"/>
        <v>0.26498385450918316</v>
      </c>
      <c r="Y724">
        <f t="shared" si="251"/>
        <v>3.7498599661668879E-4</v>
      </c>
      <c r="Z724">
        <f t="shared" si="252"/>
        <v>2.3436624788543046E-3</v>
      </c>
      <c r="AA724">
        <f t="shared" si="253"/>
        <v>0.29131199631763743</v>
      </c>
      <c r="AB724">
        <f t="shared" si="254"/>
        <v>0.13312349741939322</v>
      </c>
      <c r="AC724">
        <f t="shared" si="255"/>
        <v>5.8256136997383995E-2</v>
      </c>
      <c r="AD724">
        <f t="shared" si="256"/>
        <v>4.7252922898660494E-3</v>
      </c>
      <c r="AE724">
        <f t="shared" si="257"/>
        <v>2.2864677397203444E-2</v>
      </c>
      <c r="AG724">
        <f t="shared" si="258"/>
        <v>0.81025231057685887</v>
      </c>
      <c r="AH724">
        <f t="shared" si="259"/>
        <v>0.36040832225171587</v>
      </c>
      <c r="AI724">
        <f t="shared" si="260"/>
        <v>0.97251770157907336</v>
      </c>
      <c r="AK724" s="26">
        <f t="shared" si="261"/>
        <v>-5.3925009303410043E-2</v>
      </c>
      <c r="AL724" s="26">
        <f t="shared" si="262"/>
        <v>-7.124980786527052E-2</v>
      </c>
      <c r="AM724" s="26">
        <f t="shared" si="263"/>
        <v>-3.0554350416468479E-2</v>
      </c>
      <c r="AN724" s="26">
        <f t="shared" si="264"/>
        <v>-6.0766666666666822</v>
      </c>
      <c r="AO724" s="26">
        <f t="shared" si="265"/>
        <v>-7.3401984126984345</v>
      </c>
      <c r="AP724" s="26">
        <f t="shared" si="266"/>
        <v>-10.325308019482733</v>
      </c>
      <c r="AS724" s="2">
        <v>44756</v>
      </c>
      <c r="AT724">
        <v>14.3</v>
      </c>
      <c r="AU724">
        <v>2.4</v>
      </c>
      <c r="AV724">
        <v>36.200000000000003</v>
      </c>
      <c r="AW724">
        <v>8.5</v>
      </c>
      <c r="AX724">
        <v>269.83999999999997</v>
      </c>
      <c r="AY724">
        <v>0.6</v>
      </c>
      <c r="AZ724">
        <v>3.1</v>
      </c>
      <c r="BA724">
        <v>247.2773</v>
      </c>
      <c r="BB724">
        <v>134.86859999999999</v>
      </c>
      <c r="BC724">
        <v>61.384500000000003</v>
      </c>
      <c r="BD724">
        <v>4.5734000000000004</v>
      </c>
      <c r="BE724">
        <v>18.7652</v>
      </c>
      <c r="BF724">
        <v>-17.621500000000001</v>
      </c>
      <c r="BG724">
        <v>150.46440000000001</v>
      </c>
      <c r="BH724">
        <v>63.39</v>
      </c>
    </row>
    <row r="725" spans="1:60" x14ac:dyDescent="0.25">
      <c r="A725" s="2">
        <v>44776</v>
      </c>
      <c r="B725">
        <v>13.8</v>
      </c>
      <c r="C725">
        <v>119</v>
      </c>
      <c r="D725">
        <v>42.2</v>
      </c>
      <c r="E725">
        <v>3.7</v>
      </c>
      <c r="F725">
        <v>309.26</v>
      </c>
      <c r="G725">
        <v>0.4</v>
      </c>
      <c r="H725">
        <v>2.6</v>
      </c>
      <c r="I725">
        <v>312.51940000000002</v>
      </c>
      <c r="J725">
        <v>132.7955</v>
      </c>
      <c r="K725">
        <v>56.290500000000002</v>
      </c>
      <c r="L725">
        <v>5.3993000000000002</v>
      </c>
      <c r="M725">
        <v>32.333799999999997</v>
      </c>
      <c r="N725">
        <v>-25.421800000000001</v>
      </c>
      <c r="O725">
        <v>206.81899999999999</v>
      </c>
      <c r="P725">
        <v>70.92</v>
      </c>
      <c r="S725">
        <f t="shared" si="245"/>
        <v>1030.2984999999999</v>
      </c>
      <c r="T725">
        <f t="shared" si="246"/>
        <v>1.2937016883275762E-2</v>
      </c>
      <c r="U725">
        <f t="shared" si="247"/>
        <v>0.1115583339934649</v>
      </c>
      <c r="V725">
        <f t="shared" si="248"/>
        <v>3.9561022643060668E-2</v>
      </c>
      <c r="W725">
        <f t="shared" si="249"/>
        <v>3.4686204687043713E-3</v>
      </c>
      <c r="X725">
        <f t="shared" si="250"/>
        <v>0.28992042328419293</v>
      </c>
      <c r="Y725">
        <f t="shared" si="251"/>
        <v>3.7498599661668879E-4</v>
      </c>
      <c r="Z725">
        <f t="shared" si="252"/>
        <v>2.437408978008477E-3</v>
      </c>
      <c r="AA725">
        <f t="shared" si="253"/>
        <v>0.29297599667762403</v>
      </c>
      <c r="AB725">
        <f t="shared" si="254"/>
        <v>0.12449113228427873</v>
      </c>
      <c r="AC725">
        <f t="shared" si="255"/>
        <v>5.2770373106379297E-2</v>
      </c>
      <c r="AD725">
        <f t="shared" si="256"/>
        <v>5.061654728831219E-3</v>
      </c>
      <c r="AE725">
        <f t="shared" si="257"/>
        <v>3.0311805543511726E-2</v>
      </c>
      <c r="AG725">
        <f t="shared" si="258"/>
        <v>0.79889503387754057</v>
      </c>
      <c r="AH725">
        <f t="shared" si="259"/>
        <v>0.49056961779083547</v>
      </c>
      <c r="AI725">
        <f t="shared" si="260"/>
        <v>2.0881876484404778</v>
      </c>
      <c r="AK725" s="26">
        <f t="shared" si="261"/>
        <v>-5.6838570999304228E-2</v>
      </c>
      <c r="AL725" s="26">
        <f t="shared" si="262"/>
        <v>-7.0045392164663711E-2</v>
      </c>
      <c r="AM725" s="26">
        <f t="shared" si="263"/>
        <v>-2.811808220953671E-2</v>
      </c>
      <c r="AN725" s="26">
        <f t="shared" si="264"/>
        <v>-6.2085714285714317</v>
      </c>
      <c r="AO725" s="26">
        <f t="shared" si="265"/>
        <v>-7.3967482517482779</v>
      </c>
      <c r="AP725" s="26">
        <f t="shared" si="266"/>
        <v>-10.401026135463653</v>
      </c>
      <c r="AS725" s="2">
        <v>44755</v>
      </c>
      <c r="AT725">
        <v>15.1</v>
      </c>
      <c r="AU725">
        <v>226.9</v>
      </c>
      <c r="AV725">
        <v>26.2</v>
      </c>
      <c r="AW725">
        <v>8</v>
      </c>
      <c r="AX725">
        <v>251.22</v>
      </c>
      <c r="AY725">
        <v>0.5</v>
      </c>
      <c r="AZ725">
        <v>2.7</v>
      </c>
      <c r="BA725">
        <v>246.4436</v>
      </c>
      <c r="BB725">
        <v>152.35769999999999</v>
      </c>
      <c r="BC725">
        <v>68.697999999999993</v>
      </c>
      <c r="BD725">
        <v>4.4001000000000001</v>
      </c>
      <c r="BE725">
        <v>21.124500000000001</v>
      </c>
      <c r="BF725">
        <v>-38.144500000000001</v>
      </c>
      <c r="BG725">
        <v>138.4408</v>
      </c>
      <c r="BH725">
        <v>63.09</v>
      </c>
    </row>
    <row r="726" spans="1:60" x14ac:dyDescent="0.25">
      <c r="A726" s="2">
        <v>44775</v>
      </c>
      <c r="B726">
        <v>14</v>
      </c>
      <c r="C726">
        <v>98.2</v>
      </c>
      <c r="D726">
        <v>45.4</v>
      </c>
      <c r="E726">
        <v>2.7</v>
      </c>
      <c r="F726">
        <v>294.70999999999998</v>
      </c>
      <c r="G726">
        <v>0.5</v>
      </c>
      <c r="H726">
        <v>2.5</v>
      </c>
      <c r="I726">
        <v>318.91329999999999</v>
      </c>
      <c r="J726">
        <v>138.7638</v>
      </c>
      <c r="K726">
        <v>41.347099999999998</v>
      </c>
      <c r="L726">
        <v>5.1718999999999999</v>
      </c>
      <c r="M726">
        <v>22.2164</v>
      </c>
      <c r="N726">
        <v>-29.6892</v>
      </c>
      <c r="O726">
        <v>211.44309999999999</v>
      </c>
      <c r="P726">
        <v>70.55</v>
      </c>
      <c r="S726">
        <f t="shared" si="245"/>
        <v>984.4224999999999</v>
      </c>
      <c r="T726">
        <f t="shared" si="246"/>
        <v>1.3124509881584107E-2</v>
      </c>
      <c r="U726">
        <f t="shared" si="247"/>
        <v>9.2059062169397091E-2</v>
      </c>
      <c r="V726">
        <f t="shared" si="248"/>
        <v>4.2560910615994173E-2</v>
      </c>
      <c r="W726">
        <f t="shared" si="249"/>
        <v>2.5311554771626494E-3</v>
      </c>
      <c r="X726">
        <f t="shared" si="250"/>
        <v>0.27628030765726086</v>
      </c>
      <c r="Y726">
        <f t="shared" si="251"/>
        <v>4.6873249577086097E-4</v>
      </c>
      <c r="Z726">
        <f t="shared" si="252"/>
        <v>2.3436624788543046E-3</v>
      </c>
      <c r="AA726">
        <f t="shared" si="253"/>
        <v>0.29897005408704264</v>
      </c>
      <c r="AB726">
        <f t="shared" si="254"/>
        <v>0.1300862045932972</v>
      </c>
      <c r="AC726">
        <f t="shared" si="255"/>
        <v>3.8761458751774724E-2</v>
      </c>
      <c r="AD726">
        <f t="shared" si="256"/>
        <v>4.8484751897546318E-3</v>
      </c>
      <c r="AE726">
        <f t="shared" si="257"/>
        <v>2.0827097238087511E-2</v>
      </c>
      <c r="AG726">
        <f t="shared" si="258"/>
        <v>0.78349547947692111</v>
      </c>
      <c r="AH726">
        <f t="shared" si="259"/>
        <v>0.45019543801411155</v>
      </c>
      <c r="AI726">
        <f t="shared" si="260"/>
        <v>1.7459198563704259</v>
      </c>
      <c r="AK726" s="26">
        <f t="shared" si="261"/>
        <v>-5.9983273306642881E-2</v>
      </c>
      <c r="AL726" s="26">
        <f t="shared" si="262"/>
        <v>-7.2584269443362937E-2</v>
      </c>
      <c r="AM726" s="26">
        <f t="shared" si="263"/>
        <v>-2.8083976376693187E-2</v>
      </c>
      <c r="AN726" s="26">
        <f t="shared" si="264"/>
        <v>-6.3400000000000176</v>
      </c>
      <c r="AO726" s="26">
        <f t="shared" si="265"/>
        <v>-7.4505407444668208</v>
      </c>
      <c r="AP726" s="26">
        <f t="shared" si="266"/>
        <v>-10.474475940265485</v>
      </c>
      <c r="AS726" s="2">
        <v>44754</v>
      </c>
      <c r="AT726">
        <v>15.1</v>
      </c>
      <c r="AU726">
        <v>28.2</v>
      </c>
      <c r="AV726">
        <v>23.4</v>
      </c>
      <c r="AW726">
        <v>2.6</v>
      </c>
      <c r="AX726">
        <v>313.94</v>
      </c>
      <c r="AY726">
        <v>0.6</v>
      </c>
      <c r="AZ726">
        <v>2.7</v>
      </c>
      <c r="BA726">
        <v>238.1079</v>
      </c>
      <c r="BB726">
        <v>131.2884</v>
      </c>
      <c r="BC726">
        <v>86.460700000000003</v>
      </c>
      <c r="BD726">
        <v>4.3727</v>
      </c>
      <c r="BE726">
        <v>27.276499999999999</v>
      </c>
      <c r="BF726">
        <v>-24.7545</v>
      </c>
      <c r="BG726">
        <v>131.59479999999999</v>
      </c>
      <c r="BH726">
        <v>62.8</v>
      </c>
    </row>
    <row r="727" spans="1:60" x14ac:dyDescent="0.25">
      <c r="A727" s="2">
        <v>44774</v>
      </c>
      <c r="B727">
        <v>12.8</v>
      </c>
      <c r="C727">
        <v>75.3</v>
      </c>
      <c r="D727">
        <v>22.5</v>
      </c>
      <c r="E727">
        <v>5.6</v>
      </c>
      <c r="F727">
        <v>214.54</v>
      </c>
      <c r="G727">
        <v>0.5</v>
      </c>
      <c r="H727">
        <v>2.7</v>
      </c>
      <c r="I727">
        <v>299.1601</v>
      </c>
      <c r="J727">
        <v>138.31200000000001</v>
      </c>
      <c r="K727">
        <v>61.613999999999997</v>
      </c>
      <c r="L727">
        <v>5.2944000000000004</v>
      </c>
      <c r="M727">
        <v>28.114100000000001</v>
      </c>
      <c r="N727">
        <v>-32.193100000000001</v>
      </c>
      <c r="O727">
        <v>199.73009999999999</v>
      </c>
      <c r="P727">
        <v>70.17</v>
      </c>
      <c r="S727">
        <f t="shared" si="245"/>
        <v>866.43460000000005</v>
      </c>
      <c r="T727">
        <f t="shared" si="246"/>
        <v>1.1999551891734041E-2</v>
      </c>
      <c r="U727">
        <f t="shared" si="247"/>
        <v>7.0591113863091651E-2</v>
      </c>
      <c r="V727">
        <f t="shared" si="248"/>
        <v>2.1092962309688743E-2</v>
      </c>
      <c r="W727">
        <f t="shared" si="249"/>
        <v>5.249803952633642E-3</v>
      </c>
      <c r="X727">
        <f t="shared" si="250"/>
        <v>0.20112373928536101</v>
      </c>
      <c r="Y727">
        <f t="shared" si="251"/>
        <v>4.6873249577086097E-4</v>
      </c>
      <c r="Z727">
        <f t="shared" si="252"/>
        <v>2.5311554771626494E-3</v>
      </c>
      <c r="AA727">
        <f t="shared" si="253"/>
        <v>0.28045212061612068</v>
      </c>
      <c r="AB727">
        <f t="shared" si="254"/>
        <v>0.12966265791011866</v>
      </c>
      <c r="AC727">
        <f t="shared" si="255"/>
        <v>5.776096798885165E-2</v>
      </c>
      <c r="AD727">
        <f t="shared" si="256"/>
        <v>4.9633146512184931E-3</v>
      </c>
      <c r="AE727">
        <f t="shared" si="257"/>
        <v>2.6355984518703125E-2</v>
      </c>
      <c r="AG727">
        <f t="shared" si="258"/>
        <v>0.76764716831637303</v>
      </c>
      <c r="AH727">
        <f t="shared" si="259"/>
        <v>0.33941304379414572</v>
      </c>
      <c r="AI727">
        <f t="shared" si="260"/>
        <v>0.79425884335053165</v>
      </c>
      <c r="AK727" s="26">
        <f t="shared" si="261"/>
        <v>-6.789800855139011E-2</v>
      </c>
      <c r="AL727" s="26">
        <f t="shared" si="262"/>
        <v>-7.5156015825569578E-2</v>
      </c>
      <c r="AM727" s="26">
        <f t="shared" si="263"/>
        <v>-2.8889577011308454E-2</v>
      </c>
      <c r="AN727" s="26">
        <f t="shared" si="264"/>
        <v>-6.4658730158730293</v>
      </c>
      <c r="AO727" s="26">
        <f t="shared" si="265"/>
        <v>-7.5015590172239186</v>
      </c>
      <c r="AP727" s="26">
        <f t="shared" si="266"/>
        <v>-10.54643345479785</v>
      </c>
      <c r="AS727" s="2">
        <v>44753</v>
      </c>
      <c r="AT727">
        <v>13.9</v>
      </c>
      <c r="AU727">
        <v>46.8</v>
      </c>
      <c r="AV727">
        <v>16.399999999999999</v>
      </c>
      <c r="AW727">
        <v>3.7</v>
      </c>
      <c r="AX727">
        <v>223.49</v>
      </c>
      <c r="AY727">
        <v>0.6</v>
      </c>
      <c r="AZ727">
        <v>2.5</v>
      </c>
      <c r="BA727">
        <v>242.19970000000001</v>
      </c>
      <c r="BB727">
        <v>144.2526</v>
      </c>
      <c r="BC727">
        <v>77.171899999999994</v>
      </c>
      <c r="BD727">
        <v>4.2990000000000004</v>
      </c>
      <c r="BE727">
        <v>28.041599999999999</v>
      </c>
      <c r="BF727">
        <v>-5.8235000000000001</v>
      </c>
      <c r="BG727">
        <v>134.24639999999999</v>
      </c>
      <c r="BH727">
        <v>62.54</v>
      </c>
    </row>
    <row r="728" spans="1:60" x14ac:dyDescent="0.25">
      <c r="A728" s="2">
        <v>44773</v>
      </c>
      <c r="B728">
        <v>14.8</v>
      </c>
      <c r="C728">
        <v>2.2999999999999998</v>
      </c>
      <c r="D728">
        <v>14.6</v>
      </c>
      <c r="E728">
        <v>2.2000000000000002</v>
      </c>
      <c r="F728">
        <v>232.06</v>
      </c>
      <c r="G728">
        <v>0.6</v>
      </c>
      <c r="H728">
        <v>3.1</v>
      </c>
      <c r="I728">
        <v>290.69439999999997</v>
      </c>
      <c r="J728">
        <v>96.8352</v>
      </c>
      <c r="K728">
        <v>25.738</v>
      </c>
      <c r="L728">
        <v>5.2813999999999997</v>
      </c>
      <c r="M728">
        <v>13.3818</v>
      </c>
      <c r="P728">
        <v>69.45</v>
      </c>
      <c r="S728">
        <f t="shared" si="245"/>
        <v>701.59079999999994</v>
      </c>
      <c r="T728">
        <f t="shared" si="246"/>
        <v>1.3874481874817485E-2</v>
      </c>
      <c r="U728">
        <f t="shared" si="247"/>
        <v>2.1561694805459601E-3</v>
      </c>
      <c r="V728">
        <f t="shared" si="248"/>
        <v>1.368698887650914E-2</v>
      </c>
      <c r="W728">
        <f t="shared" si="249"/>
        <v>2.0624229813917885E-3</v>
      </c>
      <c r="X728">
        <f t="shared" si="250"/>
        <v>0.21754812593717199</v>
      </c>
      <c r="Y728">
        <f t="shared" si="251"/>
        <v>5.6247899492503314E-4</v>
      </c>
      <c r="Z728">
        <f t="shared" si="252"/>
        <v>2.9061414737793379E-3</v>
      </c>
      <c r="AA728">
        <f t="shared" si="253"/>
        <v>0.2725158232372259</v>
      </c>
      <c r="AB728">
        <f t="shared" si="254"/>
        <v>9.0779609948940951E-2</v>
      </c>
      <c r="AC728">
        <f t="shared" si="255"/>
        <v>2.4128473952300836E-2</v>
      </c>
      <c r="AD728">
        <f t="shared" si="256"/>
        <v>4.9511276063284497E-3</v>
      </c>
      <c r="AE728">
        <f t="shared" si="257"/>
        <v>1.2544969023813014E-2</v>
      </c>
      <c r="AG728">
        <f t="shared" si="258"/>
        <v>0.73651871470586738</v>
      </c>
      <c r="AH728">
        <f t="shared" si="259"/>
        <v>0.26534177864295377</v>
      </c>
      <c r="AI728">
        <f t="shared" si="260"/>
        <v>0.15756937096095472</v>
      </c>
      <c r="AK728" s="26">
        <f t="shared" si="261"/>
        <v>-6.0128484666186532E-2</v>
      </c>
      <c r="AL728" s="26">
        <f t="shared" si="262"/>
        <v>-7.2989749308744412E-2</v>
      </c>
      <c r="AM728" s="26">
        <f t="shared" si="263"/>
        <v>-2.6002413588665119E-2</v>
      </c>
      <c r="AN728" s="26">
        <f t="shared" si="264"/>
        <v>-6.5887301587301863</v>
      </c>
      <c r="AO728" s="26">
        <f t="shared" si="265"/>
        <v>-7.55107142857144</v>
      </c>
      <c r="AP728" s="26">
        <f t="shared" si="266"/>
        <v>-10.61680823635983</v>
      </c>
      <c r="AS728" s="2">
        <v>44752</v>
      </c>
      <c r="AT728">
        <v>13.6</v>
      </c>
      <c r="AU728">
        <v>43.3</v>
      </c>
      <c r="AV728">
        <v>45.8</v>
      </c>
      <c r="AW728">
        <v>16.399999999999999</v>
      </c>
      <c r="AX728">
        <v>218.47</v>
      </c>
      <c r="AY728">
        <v>0.5</v>
      </c>
      <c r="AZ728">
        <v>2.6</v>
      </c>
      <c r="BA728">
        <v>164.5307</v>
      </c>
      <c r="BB728">
        <v>58.546900000000001</v>
      </c>
      <c r="BC728">
        <v>16.489000000000001</v>
      </c>
      <c r="BD728">
        <v>4.3266999999999998</v>
      </c>
      <c r="BE728">
        <v>15.9115</v>
      </c>
      <c r="BH728">
        <v>62.31</v>
      </c>
    </row>
    <row r="729" spans="1:60" x14ac:dyDescent="0.25">
      <c r="A729" s="2">
        <v>44772</v>
      </c>
      <c r="C729">
        <v>0</v>
      </c>
      <c r="F729">
        <v>230.39</v>
      </c>
      <c r="K729">
        <v>38.464300000000001</v>
      </c>
      <c r="P729">
        <v>69.069999999999993</v>
      </c>
      <c r="S729">
        <f t="shared" si="245"/>
        <v>268.85429999999997</v>
      </c>
      <c r="T729">
        <f t="shared" si="246"/>
        <v>0</v>
      </c>
      <c r="U729">
        <f t="shared" si="247"/>
        <v>0</v>
      </c>
      <c r="V729">
        <f t="shared" si="248"/>
        <v>0</v>
      </c>
      <c r="W729">
        <f t="shared" si="249"/>
        <v>0</v>
      </c>
      <c r="X729">
        <f t="shared" si="250"/>
        <v>0.21598255940129729</v>
      </c>
      <c r="Y729">
        <f t="shared" si="251"/>
        <v>0</v>
      </c>
      <c r="Z729">
        <f t="shared" si="252"/>
        <v>0</v>
      </c>
      <c r="AA729">
        <f t="shared" si="253"/>
        <v>0</v>
      </c>
      <c r="AB729">
        <f t="shared" si="254"/>
        <v>0</v>
      </c>
      <c r="AC729">
        <f t="shared" si="255"/>
        <v>3.6058934674158258E-2</v>
      </c>
      <c r="AD729">
        <f t="shared" si="256"/>
        <v>0</v>
      </c>
      <c r="AE729">
        <f t="shared" si="257"/>
        <v>0</v>
      </c>
      <c r="AG729">
        <f t="shared" si="258"/>
        <v>0.72065926629067056</v>
      </c>
      <c r="AH729">
        <f t="shared" si="259"/>
        <v>0.21598255940129729</v>
      </c>
      <c r="AI729">
        <f t="shared" si="260"/>
        <v>-0.26990227880380602</v>
      </c>
      <c r="AK729" s="26">
        <f t="shared" si="261"/>
        <v>-4.2963181945715079E-2</v>
      </c>
      <c r="AL729" s="26">
        <f t="shared" si="262"/>
        <v>-6.8305062778892256E-2</v>
      </c>
      <c r="AM729" s="26">
        <f t="shared" si="263"/>
        <v>-2.1741238732863488E-2</v>
      </c>
      <c r="AN729" s="26">
        <f t="shared" si="264"/>
        <v>-6.6806349206349296</v>
      </c>
      <c r="AO729" s="26">
        <f t="shared" si="265"/>
        <v>-7.5888720452209739</v>
      </c>
      <c r="AP729" s="26">
        <f t="shared" si="266"/>
        <v>-10.681321487285324</v>
      </c>
      <c r="AS729" s="2">
        <v>44751</v>
      </c>
      <c r="AU729">
        <v>1.5</v>
      </c>
      <c r="AX729">
        <v>214.33</v>
      </c>
      <c r="BC729">
        <v>21.279800000000002</v>
      </c>
      <c r="BH729">
        <v>61.83</v>
      </c>
    </row>
    <row r="730" spans="1:60" x14ac:dyDescent="0.25">
      <c r="A730" s="2">
        <v>44771</v>
      </c>
      <c r="C730">
        <v>2.5</v>
      </c>
      <c r="F730">
        <v>219.29</v>
      </c>
      <c r="K730">
        <v>78.760199999999998</v>
      </c>
      <c r="N730">
        <v>-47.075800000000001</v>
      </c>
      <c r="O730">
        <v>166.14570000000001</v>
      </c>
      <c r="P730">
        <v>68.66</v>
      </c>
      <c r="S730">
        <f t="shared" si="245"/>
        <v>300.55020000000002</v>
      </c>
      <c r="T730">
        <f t="shared" si="246"/>
        <v>0</v>
      </c>
      <c r="U730">
        <f t="shared" si="247"/>
        <v>2.3436624788543046E-3</v>
      </c>
      <c r="V730">
        <f t="shared" si="248"/>
        <v>0</v>
      </c>
      <c r="W730">
        <f t="shared" si="249"/>
        <v>0</v>
      </c>
      <c r="X730">
        <f t="shared" si="250"/>
        <v>0.20557669799518419</v>
      </c>
      <c r="Y730">
        <f t="shared" si="251"/>
        <v>0</v>
      </c>
      <c r="Z730">
        <f t="shared" si="252"/>
        <v>0</v>
      </c>
      <c r="AA730">
        <f t="shared" si="253"/>
        <v>0</v>
      </c>
      <c r="AB730">
        <f t="shared" si="254"/>
        <v>0</v>
      </c>
      <c r="AC730">
        <f t="shared" si="255"/>
        <v>7.383493022682433E-2</v>
      </c>
      <c r="AD730">
        <f t="shared" si="256"/>
        <v>0</v>
      </c>
      <c r="AE730">
        <f t="shared" si="257"/>
        <v>0</v>
      </c>
      <c r="AG730">
        <f t="shared" si="258"/>
        <v>0.70346466140146846</v>
      </c>
      <c r="AH730">
        <f t="shared" si="259"/>
        <v>0.2079203604740385</v>
      </c>
      <c r="AI730">
        <f t="shared" si="260"/>
        <v>-0.34315703605007924</v>
      </c>
      <c r="AK730" s="26">
        <f t="shared" si="261"/>
        <v>-3.4974867456400605E-2</v>
      </c>
      <c r="AL730" s="26">
        <f t="shared" si="262"/>
        <v>-6.3323489730577776E-2</v>
      </c>
      <c r="AM730" s="26">
        <f t="shared" si="263"/>
        <v>-1.6726348618436693E-2</v>
      </c>
      <c r="AN730" s="26">
        <f t="shared" si="264"/>
        <v>-6.7803174603174909</v>
      </c>
      <c r="AO730" s="26">
        <f t="shared" si="265"/>
        <v>-7.6259394409937897</v>
      </c>
      <c r="AP730" s="26">
        <f t="shared" si="266"/>
        <v>-10.744515732546695</v>
      </c>
      <c r="AS730" s="2">
        <v>44750</v>
      </c>
      <c r="AU730">
        <v>116.1</v>
      </c>
      <c r="AX730">
        <v>237.07</v>
      </c>
      <c r="BC730">
        <v>30.711500000000001</v>
      </c>
      <c r="BF730">
        <v>-24.896999999999998</v>
      </c>
      <c r="BG730">
        <v>142.70179999999999</v>
      </c>
      <c r="BH730">
        <v>61.36</v>
      </c>
    </row>
    <row r="731" spans="1:60" x14ac:dyDescent="0.25">
      <c r="A731" s="2">
        <v>44770</v>
      </c>
      <c r="B731">
        <v>13.8</v>
      </c>
      <c r="C731">
        <v>107.3</v>
      </c>
      <c r="D731">
        <v>9.1999999999999993</v>
      </c>
      <c r="E731">
        <v>2.1</v>
      </c>
      <c r="F731">
        <v>296.12</v>
      </c>
      <c r="G731">
        <v>0.5</v>
      </c>
      <c r="H731">
        <v>3</v>
      </c>
      <c r="I731">
        <v>289.79340000000002</v>
      </c>
      <c r="J731">
        <v>104.9512</v>
      </c>
      <c r="K731">
        <v>82.394999999999996</v>
      </c>
      <c r="L731">
        <v>5.1890999999999998</v>
      </c>
      <c r="M731">
        <v>14.4407</v>
      </c>
      <c r="N731">
        <v>-33.837200000000003</v>
      </c>
      <c r="O731">
        <v>182.75659999999999</v>
      </c>
      <c r="P731">
        <v>68.319999999999993</v>
      </c>
      <c r="S731">
        <f t="shared" si="245"/>
        <v>928.7894</v>
      </c>
      <c r="T731">
        <f t="shared" si="246"/>
        <v>1.2937016883275762E-2</v>
      </c>
      <c r="U731">
        <f t="shared" si="247"/>
        <v>0.10058999359242676</v>
      </c>
      <c r="V731">
        <f t="shared" si="248"/>
        <v>8.6246779221838404E-3</v>
      </c>
      <c r="W731">
        <f t="shared" si="249"/>
        <v>1.9686764822376161E-3</v>
      </c>
      <c r="X731">
        <f t="shared" si="250"/>
        <v>0.27760213329533467</v>
      </c>
      <c r="Y731">
        <f t="shared" si="251"/>
        <v>4.6873249577086097E-4</v>
      </c>
      <c r="Z731">
        <f t="shared" si="252"/>
        <v>2.8123949746251659E-3</v>
      </c>
      <c r="AA731">
        <f t="shared" si="253"/>
        <v>0.27167116727984686</v>
      </c>
      <c r="AB731">
        <f t="shared" si="254"/>
        <v>9.8388075820293561E-2</v>
      </c>
      <c r="AC731">
        <f t="shared" si="255"/>
        <v>7.7242427978080175E-2</v>
      </c>
      <c r="AD731">
        <f t="shared" si="256"/>
        <v>4.8645995876091487E-3</v>
      </c>
      <c r="AE731">
        <f t="shared" si="257"/>
        <v>1.3537650703356543E-2</v>
      </c>
      <c r="AG731">
        <f t="shared" si="258"/>
        <v>0.68941888310161425</v>
      </c>
      <c r="AH731">
        <f t="shared" si="259"/>
        <v>0.41854127634921123</v>
      </c>
      <c r="AI731">
        <f t="shared" si="260"/>
        <v>1.4616762866892095</v>
      </c>
      <c r="AK731" s="26">
        <f t="shared" si="261"/>
        <v>-3.6991924148941924E-2</v>
      </c>
      <c r="AL731" s="26">
        <f t="shared" si="262"/>
        <v>-6.577745250949546E-2</v>
      </c>
      <c r="AM731" s="26">
        <f t="shared" si="263"/>
        <v>-1.7290922143944065E-2</v>
      </c>
      <c r="AN731" s="26">
        <f t="shared" si="264"/>
        <v>-6.8890476190476591</v>
      </c>
      <c r="AO731" s="26">
        <f t="shared" si="265"/>
        <v>-7.6620033889468289</v>
      </c>
      <c r="AP731" s="26">
        <f t="shared" si="266"/>
        <v>-10.806967528117625</v>
      </c>
      <c r="AS731" s="2">
        <v>44749</v>
      </c>
      <c r="AT731">
        <v>17.5</v>
      </c>
      <c r="AU731">
        <v>0</v>
      </c>
      <c r="AV731">
        <v>56.1</v>
      </c>
      <c r="AW731">
        <v>16.3</v>
      </c>
      <c r="AX731">
        <v>130.56</v>
      </c>
      <c r="AY731">
        <v>0.6</v>
      </c>
      <c r="AZ731">
        <v>2.9</v>
      </c>
      <c r="BA731">
        <v>240.93690000000001</v>
      </c>
      <c r="BB731">
        <v>106.5192</v>
      </c>
      <c r="BC731">
        <v>34.707099999999997</v>
      </c>
      <c r="BD731">
        <v>4.32</v>
      </c>
      <c r="BE731">
        <v>19.263400000000001</v>
      </c>
      <c r="BF731">
        <v>-8.5206999999999997</v>
      </c>
      <c r="BG731">
        <v>175.7414</v>
      </c>
      <c r="BH731">
        <v>61</v>
      </c>
    </row>
    <row r="732" spans="1:60" x14ac:dyDescent="0.25">
      <c r="A732" s="2">
        <v>44769</v>
      </c>
      <c r="B732">
        <v>15.2</v>
      </c>
      <c r="C732">
        <v>70.5</v>
      </c>
      <c r="D732">
        <v>50.5</v>
      </c>
      <c r="E732">
        <v>7.6</v>
      </c>
      <c r="F732">
        <v>232.55</v>
      </c>
      <c r="G732">
        <v>0.5</v>
      </c>
      <c r="H732">
        <v>3</v>
      </c>
      <c r="I732">
        <v>247.02680000000001</v>
      </c>
      <c r="J732">
        <v>110.46980000000001</v>
      </c>
      <c r="K732">
        <v>85.253799999999998</v>
      </c>
      <c r="L732">
        <v>5.1365999999999996</v>
      </c>
      <c r="M732">
        <v>14.3268</v>
      </c>
      <c r="N732">
        <v>-38.262999999999998</v>
      </c>
      <c r="O732">
        <v>192.7252</v>
      </c>
      <c r="P732">
        <v>67.98</v>
      </c>
      <c r="S732">
        <f t="shared" si="245"/>
        <v>842.06380000000001</v>
      </c>
      <c r="T732">
        <f t="shared" si="246"/>
        <v>1.4249467871434173E-2</v>
      </c>
      <c r="U732">
        <f t="shared" si="247"/>
        <v>6.6091281903691401E-2</v>
      </c>
      <c r="V732">
        <f t="shared" si="248"/>
        <v>4.7341982072856954E-2</v>
      </c>
      <c r="W732">
        <f t="shared" si="249"/>
        <v>7.1247339357170866E-3</v>
      </c>
      <c r="X732">
        <f t="shared" si="250"/>
        <v>0.21800748378302745</v>
      </c>
      <c r="Y732">
        <f t="shared" si="251"/>
        <v>4.6873249577086097E-4</v>
      </c>
      <c r="Z732">
        <f t="shared" si="252"/>
        <v>2.8123949746251659E-3</v>
      </c>
      <c r="AA732">
        <f t="shared" si="253"/>
        <v>0.23157897697257865</v>
      </c>
      <c r="AB732">
        <f t="shared" si="254"/>
        <v>0.10356157012261571</v>
      </c>
      <c r="AC732">
        <f t="shared" si="255"/>
        <v>7.9922452895899651E-2</v>
      </c>
      <c r="AD732">
        <f t="shared" si="256"/>
        <v>4.815382675553208E-3</v>
      </c>
      <c r="AE732">
        <f t="shared" si="257"/>
        <v>1.3430873440819942E-2</v>
      </c>
      <c r="AG732">
        <f t="shared" si="258"/>
        <v>0.67539598962430314</v>
      </c>
      <c r="AH732">
        <f t="shared" si="259"/>
        <v>0.36952695047794304</v>
      </c>
      <c r="AI732">
        <f t="shared" si="260"/>
        <v>1.0476952955380829</v>
      </c>
      <c r="AK732" s="26">
        <f t="shared" si="261"/>
        <v>-5.982977514565424E-2</v>
      </c>
      <c r="AL732" s="26">
        <f t="shared" si="262"/>
        <v>-6.9664766842426729E-2</v>
      </c>
      <c r="AM732" s="26">
        <f t="shared" si="263"/>
        <v>-1.9603563038274818E-2</v>
      </c>
      <c r="AN732" s="26">
        <f t="shared" si="264"/>
        <v>-6.9958730158730162</v>
      </c>
      <c r="AO732" s="26">
        <f t="shared" si="265"/>
        <v>-7.6936239495798375</v>
      </c>
      <c r="AP732" s="26">
        <f t="shared" si="266"/>
        <v>-10.86700637168142</v>
      </c>
      <c r="AS732" s="2">
        <v>44748</v>
      </c>
      <c r="AT732">
        <v>18.5</v>
      </c>
      <c r="AU732">
        <v>49.6</v>
      </c>
      <c r="AV732">
        <v>50.5</v>
      </c>
      <c r="AW732">
        <v>7.8</v>
      </c>
      <c r="AX732">
        <v>265.31</v>
      </c>
      <c r="AY732">
        <v>0.5</v>
      </c>
      <c r="AZ732">
        <v>2.9</v>
      </c>
      <c r="BA732">
        <v>247.6482</v>
      </c>
      <c r="BB732">
        <v>154.5899</v>
      </c>
      <c r="BC732">
        <v>40.296599999999998</v>
      </c>
      <c r="BD732">
        <v>4.3868</v>
      </c>
      <c r="BE732">
        <v>27.469899999999999</v>
      </c>
      <c r="BF732">
        <v>-15.655799999999999</v>
      </c>
      <c r="BG732">
        <v>146.2313</v>
      </c>
      <c r="BH732">
        <v>60.65</v>
      </c>
    </row>
    <row r="733" spans="1:60" x14ac:dyDescent="0.25">
      <c r="A733" s="2">
        <v>44768</v>
      </c>
      <c r="B733">
        <v>15.5</v>
      </c>
      <c r="C733">
        <v>32.200000000000003</v>
      </c>
      <c r="D733">
        <v>55.6</v>
      </c>
      <c r="E733">
        <v>10.6</v>
      </c>
      <c r="F733">
        <v>214.44</v>
      </c>
      <c r="G733">
        <v>0.3</v>
      </c>
      <c r="H733">
        <v>3</v>
      </c>
      <c r="I733">
        <v>238.83619999999999</v>
      </c>
      <c r="J733">
        <v>120.3819</v>
      </c>
      <c r="K733">
        <v>70.177800000000005</v>
      </c>
      <c r="L733">
        <v>5.2165999999999997</v>
      </c>
      <c r="M733">
        <v>29.997499999999999</v>
      </c>
      <c r="N733">
        <v>-45.376399999999997</v>
      </c>
      <c r="O733">
        <v>171.23230000000001</v>
      </c>
      <c r="P733">
        <v>67.63</v>
      </c>
      <c r="S733">
        <f t="shared" si="245"/>
        <v>796.25</v>
      </c>
      <c r="T733">
        <f t="shared" si="246"/>
        <v>1.453070736889669E-2</v>
      </c>
      <c r="U733">
        <f t="shared" si="247"/>
        <v>3.0186372727643448E-2</v>
      </c>
      <c r="V733">
        <f t="shared" si="248"/>
        <v>5.2123053529719743E-2</v>
      </c>
      <c r="W733">
        <f t="shared" si="249"/>
        <v>9.9371289103422512E-3</v>
      </c>
      <c r="X733">
        <f t="shared" si="250"/>
        <v>0.20102999278620684</v>
      </c>
      <c r="Y733">
        <f t="shared" si="251"/>
        <v>2.8123949746251657E-4</v>
      </c>
      <c r="Z733">
        <f t="shared" si="252"/>
        <v>2.8123949746251659E-3</v>
      </c>
      <c r="AA733">
        <f t="shared" si="253"/>
        <v>0.223900576212857</v>
      </c>
      <c r="AB733">
        <f t="shared" si="254"/>
        <v>0.11285381686527642</v>
      </c>
      <c r="AC733">
        <f t="shared" si="255"/>
        <v>6.5789230683416661E-2</v>
      </c>
      <c r="AD733">
        <f t="shared" si="256"/>
        <v>4.8903798748765465E-3</v>
      </c>
      <c r="AE733">
        <f t="shared" si="257"/>
        <v>2.8121606083772802E-2</v>
      </c>
      <c r="AG733">
        <f t="shared" si="258"/>
        <v>0.66093522380602621</v>
      </c>
      <c r="AH733">
        <f t="shared" si="259"/>
        <v>0.33902249587866939</v>
      </c>
      <c r="AI733">
        <f t="shared" si="260"/>
        <v>0.78605074635424665</v>
      </c>
      <c r="AK733" s="26">
        <f t="shared" si="261"/>
        <v>-6.8261100576906264E-2</v>
      </c>
      <c r="AL733" s="26">
        <f t="shared" si="262"/>
        <v>-7.1519201209059025E-2</v>
      </c>
      <c r="AM733" s="26">
        <f t="shared" si="263"/>
        <v>-2.0688682096711042E-2</v>
      </c>
      <c r="AN733" s="26">
        <f t="shared" si="264"/>
        <v>-7.1033333333333388</v>
      </c>
      <c r="AO733" s="26">
        <f t="shared" si="265"/>
        <v>-7.7240132275132396</v>
      </c>
      <c r="AP733" s="26">
        <f t="shared" si="266"/>
        <v>-10.924639087322753</v>
      </c>
      <c r="AS733" s="2">
        <v>44747</v>
      </c>
      <c r="AT733">
        <v>19.399999999999999</v>
      </c>
      <c r="AU733">
        <v>47.9</v>
      </c>
      <c r="AV733">
        <v>45.7</v>
      </c>
      <c r="AW733">
        <v>4.8</v>
      </c>
      <c r="AX733">
        <v>290.64</v>
      </c>
      <c r="AY733">
        <v>0.6</v>
      </c>
      <c r="AZ733">
        <v>2.9</v>
      </c>
      <c r="BA733">
        <v>245.54650000000001</v>
      </c>
      <c r="BB733">
        <v>162.4563</v>
      </c>
      <c r="BC733">
        <v>55.240499999999997</v>
      </c>
      <c r="BD733">
        <v>4.4606000000000003</v>
      </c>
      <c r="BE733">
        <v>29.154499999999999</v>
      </c>
      <c r="BF733">
        <v>-26.342600000000001</v>
      </c>
      <c r="BG733">
        <v>129.43819999999999</v>
      </c>
      <c r="BH733">
        <v>60.29</v>
      </c>
    </row>
    <row r="734" spans="1:60" x14ac:dyDescent="0.25">
      <c r="A734" s="2">
        <v>44767</v>
      </c>
      <c r="B734">
        <v>13.7</v>
      </c>
      <c r="C734">
        <v>16.399999999999999</v>
      </c>
      <c r="D734">
        <v>47.7</v>
      </c>
      <c r="E734">
        <v>8.1</v>
      </c>
      <c r="F734">
        <v>267.60000000000002</v>
      </c>
      <c r="G734">
        <v>0.2</v>
      </c>
      <c r="H734">
        <v>2.8</v>
      </c>
      <c r="I734">
        <v>232.77930000000001</v>
      </c>
      <c r="J734">
        <v>118.9066</v>
      </c>
      <c r="K734">
        <v>36.5032</v>
      </c>
      <c r="L734">
        <v>5.3440000000000003</v>
      </c>
      <c r="M734">
        <v>15.027799999999999</v>
      </c>
      <c r="N734">
        <v>-42.108199999999997</v>
      </c>
      <c r="O734">
        <v>137.56120000000001</v>
      </c>
      <c r="P734">
        <v>67.260000000000005</v>
      </c>
      <c r="S734">
        <f t="shared" si="245"/>
        <v>765.06090000000006</v>
      </c>
      <c r="T734">
        <f t="shared" si="246"/>
        <v>1.2843270384121589E-2</v>
      </c>
      <c r="U734">
        <f t="shared" si="247"/>
        <v>1.5374425861284237E-2</v>
      </c>
      <c r="V734">
        <f t="shared" si="248"/>
        <v>4.4717080096540136E-2</v>
      </c>
      <c r="W734">
        <f t="shared" si="249"/>
        <v>7.593466431487947E-3</v>
      </c>
      <c r="X734">
        <f t="shared" si="250"/>
        <v>0.25086563173656479</v>
      </c>
      <c r="Y734">
        <f t="shared" si="251"/>
        <v>1.874929983083444E-4</v>
      </c>
      <c r="Z734">
        <f t="shared" si="252"/>
        <v>2.624901976316821E-3</v>
      </c>
      <c r="AA734">
        <f t="shared" si="253"/>
        <v>0.21822244450558795</v>
      </c>
      <c r="AB734">
        <f t="shared" si="254"/>
        <v>0.11147077476325491</v>
      </c>
      <c r="AC734">
        <f t="shared" si="255"/>
        <v>3.4220472079245785E-2</v>
      </c>
      <c r="AD734">
        <f t="shared" si="256"/>
        <v>5.009812914798962E-3</v>
      </c>
      <c r="AE734">
        <f t="shared" si="257"/>
        <v>1.4088036399890688E-2</v>
      </c>
      <c r="AG734">
        <f t="shared" si="258"/>
        <v>0.64558643649259551</v>
      </c>
      <c r="AH734">
        <f t="shared" si="259"/>
        <v>0.34829430588451454</v>
      </c>
      <c r="AI734">
        <f t="shared" si="260"/>
        <v>0.86462581770886215</v>
      </c>
      <c r="AK734" s="26">
        <f t="shared" si="261"/>
        <v>-7.7984735992093213E-2</v>
      </c>
      <c r="AL734" s="26">
        <f t="shared" si="262"/>
        <v>-7.3984437137749381E-2</v>
      </c>
      <c r="AM734" s="26">
        <f t="shared" si="263"/>
        <v>-2.1793654555750053E-2</v>
      </c>
      <c r="AN734" s="26">
        <f t="shared" si="264"/>
        <v>-7.207936507936509</v>
      </c>
      <c r="AO734" s="26">
        <f t="shared" si="265"/>
        <v>-7.7534035181236831</v>
      </c>
      <c r="AP734" s="26">
        <f t="shared" si="266"/>
        <v>-10.977737296602918</v>
      </c>
      <c r="AS734" s="2">
        <v>44746</v>
      </c>
      <c r="AT734">
        <v>16</v>
      </c>
      <c r="AU734">
        <v>83.4</v>
      </c>
      <c r="AV734">
        <v>42</v>
      </c>
      <c r="AW734">
        <v>5.7</v>
      </c>
      <c r="AX734">
        <v>287.36</v>
      </c>
      <c r="AY734">
        <v>0.6</v>
      </c>
      <c r="AZ734">
        <v>3</v>
      </c>
      <c r="BA734">
        <v>251.7517</v>
      </c>
      <c r="BB734">
        <v>133.86670000000001</v>
      </c>
      <c r="BC734">
        <v>39.575000000000003</v>
      </c>
      <c r="BD734">
        <v>4.4923000000000002</v>
      </c>
      <c r="BE734">
        <v>32.608699999999999</v>
      </c>
      <c r="BF734">
        <v>-34.615000000000002</v>
      </c>
      <c r="BG734">
        <v>115.26909999999999</v>
      </c>
      <c r="BH734">
        <v>59.94</v>
      </c>
    </row>
    <row r="735" spans="1:60" x14ac:dyDescent="0.25">
      <c r="A735" s="2">
        <v>44766</v>
      </c>
      <c r="B735">
        <v>14.6</v>
      </c>
      <c r="C735">
        <v>21.6</v>
      </c>
      <c r="D735">
        <v>42.9</v>
      </c>
      <c r="E735">
        <v>3.6</v>
      </c>
      <c r="F735">
        <v>314.26</v>
      </c>
      <c r="G735">
        <v>0.3</v>
      </c>
      <c r="H735">
        <v>3.1</v>
      </c>
      <c r="I735">
        <v>216.35919999999999</v>
      </c>
      <c r="J735">
        <v>75.974000000000004</v>
      </c>
      <c r="K735">
        <v>38.891199999999998</v>
      </c>
      <c r="L735">
        <v>5.1543999999999999</v>
      </c>
      <c r="M735">
        <v>21.576699999999999</v>
      </c>
      <c r="P735">
        <v>66.88</v>
      </c>
      <c r="S735">
        <f t="shared" si="245"/>
        <v>758.31550000000004</v>
      </c>
      <c r="T735">
        <f t="shared" si="246"/>
        <v>1.368698887650914E-2</v>
      </c>
      <c r="U735">
        <f t="shared" si="247"/>
        <v>2.0249243817301196E-2</v>
      </c>
      <c r="V735">
        <f t="shared" si="248"/>
        <v>4.0217248137139866E-2</v>
      </c>
      <c r="W735">
        <f t="shared" si="249"/>
        <v>3.3748739695501988E-3</v>
      </c>
      <c r="X735">
        <f t="shared" si="250"/>
        <v>0.2946077482419015</v>
      </c>
      <c r="Y735">
        <f t="shared" si="251"/>
        <v>2.8123949746251657E-4</v>
      </c>
      <c r="Z735">
        <f t="shared" si="252"/>
        <v>2.9061414737793379E-3</v>
      </c>
      <c r="AA735">
        <f t="shared" si="253"/>
        <v>0.2028291755979737</v>
      </c>
      <c r="AB735">
        <f t="shared" si="254"/>
        <v>7.1222965267390789E-2</v>
      </c>
      <c r="AC735">
        <f t="shared" si="255"/>
        <v>3.6459138479047415E-2</v>
      </c>
      <c r="AD735">
        <f t="shared" si="256"/>
        <v>4.832069552402651E-3</v>
      </c>
      <c r="AE735">
        <f t="shared" si="257"/>
        <v>2.0227400882998271E-2</v>
      </c>
      <c r="AG735">
        <f t="shared" si="258"/>
        <v>0.62979681027291934</v>
      </c>
      <c r="AH735">
        <f t="shared" si="259"/>
        <v>0.39555088489664203</v>
      </c>
      <c r="AI735">
        <f t="shared" si="260"/>
        <v>1.2663820786071487</v>
      </c>
      <c r="AK735" s="26">
        <f t="shared" si="261"/>
        <v>-8.2060149955809958E-2</v>
      </c>
      <c r="AL735" s="26">
        <f t="shared" si="262"/>
        <v>-7.2962350368031836E-2</v>
      </c>
      <c r="AM735" s="26">
        <f t="shared" si="263"/>
        <v>-2.1677636410499856E-2</v>
      </c>
      <c r="AN735" s="26">
        <f t="shared" si="264"/>
        <v>-7.306825396825424</v>
      </c>
      <c r="AO735" s="26">
        <f t="shared" si="265"/>
        <v>-7.7762500000000045</v>
      </c>
      <c r="AP735" s="26">
        <f t="shared" si="266"/>
        <v>-11.032009601949049</v>
      </c>
      <c r="AS735" s="2">
        <v>44745</v>
      </c>
      <c r="AT735">
        <v>15.5</v>
      </c>
      <c r="AU735">
        <v>33.299999999999997</v>
      </c>
      <c r="AV735">
        <v>18.3</v>
      </c>
      <c r="AW735">
        <v>4.9000000000000004</v>
      </c>
      <c r="AX735">
        <v>322.35000000000002</v>
      </c>
      <c r="AY735">
        <v>0.6</v>
      </c>
      <c r="AZ735">
        <v>3.1</v>
      </c>
      <c r="BA735">
        <v>225.11</v>
      </c>
      <c r="BB735">
        <v>65.117500000000007</v>
      </c>
      <c r="BC735">
        <v>26.304300000000001</v>
      </c>
      <c r="BD735">
        <v>4.4055999999999997</v>
      </c>
      <c r="BE735">
        <v>12.178900000000001</v>
      </c>
      <c r="BH735">
        <v>59.57</v>
      </c>
    </row>
    <row r="736" spans="1:60" x14ac:dyDescent="0.25">
      <c r="A736" s="2">
        <v>44765</v>
      </c>
      <c r="C736">
        <v>147.69999999999999</v>
      </c>
      <c r="F736">
        <v>231.42</v>
      </c>
      <c r="K736">
        <v>58.541200000000003</v>
      </c>
      <c r="P736">
        <v>66.41</v>
      </c>
      <c r="S736">
        <f t="shared" si="245"/>
        <v>437.66120000000001</v>
      </c>
      <c r="T736">
        <f t="shared" si="246"/>
        <v>0</v>
      </c>
      <c r="U736">
        <f t="shared" si="247"/>
        <v>0.13846357925071232</v>
      </c>
      <c r="V736">
        <f t="shared" si="248"/>
        <v>0</v>
      </c>
      <c r="W736">
        <f t="shared" si="249"/>
        <v>0</v>
      </c>
      <c r="X736">
        <f t="shared" si="250"/>
        <v>0.21694814834258527</v>
      </c>
      <c r="Y736">
        <f t="shared" si="251"/>
        <v>0</v>
      </c>
      <c r="Z736">
        <f t="shared" si="252"/>
        <v>0</v>
      </c>
      <c r="AA736">
        <f t="shared" si="253"/>
        <v>0</v>
      </c>
      <c r="AB736">
        <f t="shared" si="254"/>
        <v>0</v>
      </c>
      <c r="AC736">
        <f t="shared" si="255"/>
        <v>5.4880325562842253E-2</v>
      </c>
      <c r="AD736">
        <f t="shared" si="256"/>
        <v>0</v>
      </c>
      <c r="AE736">
        <f t="shared" si="257"/>
        <v>0</v>
      </c>
      <c r="AG736">
        <f t="shared" si="258"/>
        <v>0.6099911686341386</v>
      </c>
      <c r="AH736">
        <f t="shared" si="259"/>
        <v>0.35541172759329759</v>
      </c>
      <c r="AI736">
        <f t="shared" si="260"/>
        <v>0.92289132394428341</v>
      </c>
      <c r="AK736" s="26">
        <f t="shared" si="261"/>
        <v>-8.7723373633837309E-2</v>
      </c>
      <c r="AL736" s="26">
        <f t="shared" si="262"/>
        <v>-7.5114474353838556E-2</v>
      </c>
      <c r="AM736" s="26">
        <f t="shared" si="263"/>
        <v>-2.4464278403253825E-2</v>
      </c>
      <c r="AN736" s="26">
        <f t="shared" si="264"/>
        <v>-7.4011111111111205</v>
      </c>
      <c r="AO736" s="26">
        <f t="shared" si="265"/>
        <v>-7.7989502164502085</v>
      </c>
      <c r="AP736" s="26">
        <f t="shared" si="266"/>
        <v>-11.076801568458158</v>
      </c>
      <c r="AS736" s="2">
        <v>44744</v>
      </c>
      <c r="AU736">
        <v>44.7</v>
      </c>
      <c r="AX736">
        <v>336.79</v>
      </c>
      <c r="BC736">
        <v>25.485099999999999</v>
      </c>
      <c r="BH736">
        <v>59.11</v>
      </c>
    </row>
    <row r="737" spans="1:60" x14ac:dyDescent="0.25">
      <c r="A737" s="2">
        <v>44764</v>
      </c>
      <c r="C737">
        <v>46.9</v>
      </c>
      <c r="F737">
        <v>255.7</v>
      </c>
      <c r="K737">
        <v>110.1391</v>
      </c>
      <c r="N737">
        <v>-18.909800000000001</v>
      </c>
      <c r="O737">
        <v>136.22839999999999</v>
      </c>
      <c r="P737">
        <v>65.98</v>
      </c>
      <c r="S737">
        <f t="shared" si="245"/>
        <v>412.73909999999995</v>
      </c>
      <c r="T737">
        <f t="shared" si="246"/>
        <v>0</v>
      </c>
      <c r="U737">
        <f t="shared" si="247"/>
        <v>4.3967108103306757E-2</v>
      </c>
      <c r="V737">
        <f t="shared" si="248"/>
        <v>0</v>
      </c>
      <c r="W737">
        <f t="shared" si="249"/>
        <v>0</v>
      </c>
      <c r="X737">
        <f t="shared" si="250"/>
        <v>0.23970979833721828</v>
      </c>
      <c r="Y737">
        <f t="shared" si="251"/>
        <v>0</v>
      </c>
      <c r="Z737">
        <f t="shared" si="252"/>
        <v>0</v>
      </c>
      <c r="AA737">
        <f t="shared" si="253"/>
        <v>0</v>
      </c>
      <c r="AB737">
        <f t="shared" si="254"/>
        <v>0</v>
      </c>
      <c r="AC737">
        <f t="shared" si="255"/>
        <v>0.10325155044991287</v>
      </c>
      <c r="AD737">
        <f t="shared" si="256"/>
        <v>0</v>
      </c>
      <c r="AE737">
        <f t="shared" si="257"/>
        <v>0</v>
      </c>
      <c r="AG737">
        <f t="shared" si="258"/>
        <v>0.59198755219588217</v>
      </c>
      <c r="AH737">
        <f t="shared" si="259"/>
        <v>0.28367690644052501</v>
      </c>
      <c r="AI737">
        <f t="shared" si="260"/>
        <v>0.30231077360829045</v>
      </c>
      <c r="AK737" s="26">
        <f t="shared" si="261"/>
        <v>-7.9560607033581032E-2</v>
      </c>
      <c r="AL737" s="26">
        <f t="shared" si="262"/>
        <v>-7.3434100208592257E-2</v>
      </c>
      <c r="AM737" s="26">
        <f t="shared" si="263"/>
        <v>-2.4556008897309634E-2</v>
      </c>
      <c r="AN737" s="26">
        <f t="shared" si="264"/>
        <v>-7.4393164362519428</v>
      </c>
      <c r="AO737" s="26">
        <f t="shared" si="265"/>
        <v>-7.8180629770992454</v>
      </c>
      <c r="AP737" s="26">
        <f t="shared" si="266"/>
        <v>-11.114133646378896</v>
      </c>
      <c r="AS737" s="2">
        <v>44743</v>
      </c>
      <c r="AU737">
        <v>7.5</v>
      </c>
      <c r="AX737">
        <v>136.97</v>
      </c>
      <c r="BC737">
        <v>62.5563</v>
      </c>
      <c r="BF737">
        <v>-31.295300000000001</v>
      </c>
      <c r="BG737">
        <v>94.572599999999994</v>
      </c>
      <c r="BH737">
        <v>58.68</v>
      </c>
    </row>
    <row r="738" spans="1:60" x14ac:dyDescent="0.25">
      <c r="A738" s="2">
        <v>44763</v>
      </c>
      <c r="B738">
        <v>14.8</v>
      </c>
      <c r="C738">
        <v>0</v>
      </c>
      <c r="D738">
        <v>20.9</v>
      </c>
      <c r="E738">
        <v>6.4</v>
      </c>
      <c r="F738">
        <v>198.2</v>
      </c>
      <c r="G738">
        <v>0.3</v>
      </c>
      <c r="H738">
        <v>3.4</v>
      </c>
      <c r="I738">
        <v>268.90539999999999</v>
      </c>
      <c r="J738">
        <v>129.15770000000001</v>
      </c>
      <c r="K738">
        <v>131.00749999999999</v>
      </c>
      <c r="L738">
        <v>3.5613000000000001</v>
      </c>
      <c r="M738">
        <v>28.057400000000001</v>
      </c>
      <c r="N738">
        <v>-32.934399999999997</v>
      </c>
      <c r="O738">
        <v>114.93559999999999</v>
      </c>
      <c r="P738">
        <v>65.64</v>
      </c>
      <c r="S738">
        <f t="shared" si="245"/>
        <v>804.6893</v>
      </c>
      <c r="T738">
        <f t="shared" si="246"/>
        <v>1.3874481874817485E-2</v>
      </c>
      <c r="U738">
        <f t="shared" si="247"/>
        <v>0</v>
      </c>
      <c r="V738">
        <f t="shared" si="248"/>
        <v>1.9593018323221988E-2</v>
      </c>
      <c r="W738">
        <f t="shared" si="249"/>
        <v>5.9997759458670207E-3</v>
      </c>
      <c r="X738">
        <f t="shared" si="250"/>
        <v>0.18580556132356926</v>
      </c>
      <c r="Y738">
        <f t="shared" si="251"/>
        <v>2.8123949746251657E-4</v>
      </c>
      <c r="Z738">
        <f t="shared" si="252"/>
        <v>3.1873809712418544E-3</v>
      </c>
      <c r="AA738">
        <f t="shared" si="253"/>
        <v>0.25208939853652335</v>
      </c>
      <c r="AB738">
        <f t="shared" si="254"/>
        <v>0.12108082213804826</v>
      </c>
      <c r="AC738">
        <f t="shared" si="255"/>
        <v>0.12281494487940213</v>
      </c>
      <c r="AD738">
        <f t="shared" si="256"/>
        <v>3.3385940743775344E-3</v>
      </c>
      <c r="AE738">
        <f t="shared" si="257"/>
        <v>2.630283025368271E-2</v>
      </c>
      <c r="AG738">
        <f t="shared" si="258"/>
        <v>0.57801978704823831</v>
      </c>
      <c r="AH738">
        <f t="shared" si="259"/>
        <v>0.2550442881898628</v>
      </c>
      <c r="AI738">
        <f t="shared" si="260"/>
        <v>5.1609448404094614E-2</v>
      </c>
      <c r="AK738" s="26">
        <f t="shared" si="261"/>
        <v>-8.5949578266865168E-2</v>
      </c>
      <c r="AL738" s="26">
        <f t="shared" si="262"/>
        <v>-7.0341660431272435E-2</v>
      </c>
      <c r="AM738" s="26">
        <f t="shared" si="263"/>
        <v>-2.3921631433213242E-2</v>
      </c>
      <c r="AN738" s="26">
        <f t="shared" si="264"/>
        <v>-7.4675409836065612</v>
      </c>
      <c r="AO738" s="26">
        <f t="shared" si="265"/>
        <v>-7.8330906593406624</v>
      </c>
      <c r="AP738" s="26">
        <f t="shared" si="266"/>
        <v>-11.148723705208177</v>
      </c>
      <c r="AS738" s="2">
        <v>44742</v>
      </c>
      <c r="AT738">
        <v>18.7</v>
      </c>
      <c r="AU738">
        <v>152.19999999999999</v>
      </c>
      <c r="AV738">
        <v>32.799999999999997</v>
      </c>
      <c r="AW738">
        <v>5.0999999999999996</v>
      </c>
      <c r="AX738">
        <v>283.25</v>
      </c>
      <c r="AY738">
        <v>0.6</v>
      </c>
      <c r="AZ738">
        <v>2.9</v>
      </c>
      <c r="BA738">
        <v>266.89859999999999</v>
      </c>
      <c r="BB738">
        <v>136.03559999999999</v>
      </c>
      <c r="BC738">
        <v>84.211600000000004</v>
      </c>
      <c r="BD738">
        <v>4.4535999999999998</v>
      </c>
      <c r="BE738">
        <v>25.032800000000002</v>
      </c>
      <c r="BF738">
        <v>69.321100000000001</v>
      </c>
      <c r="BG738">
        <v>69.807599999999994</v>
      </c>
      <c r="BH738">
        <v>58.32</v>
      </c>
    </row>
    <row r="739" spans="1:60" x14ac:dyDescent="0.25">
      <c r="A739" s="2">
        <v>44762</v>
      </c>
      <c r="B739">
        <v>13.9</v>
      </c>
      <c r="C739">
        <v>168.6</v>
      </c>
      <c r="D739">
        <v>39.1</v>
      </c>
      <c r="E739">
        <v>8.3000000000000007</v>
      </c>
      <c r="F739">
        <v>301.64</v>
      </c>
      <c r="G739">
        <v>0.3</v>
      </c>
      <c r="H739">
        <v>2.9</v>
      </c>
      <c r="I739">
        <v>246.5599</v>
      </c>
      <c r="J739">
        <v>117.7426</v>
      </c>
      <c r="K739">
        <v>70.941699999999997</v>
      </c>
      <c r="L739">
        <v>3.1208999999999998</v>
      </c>
      <c r="M739">
        <v>30.313500000000001</v>
      </c>
      <c r="N739">
        <v>-32.685099999999998</v>
      </c>
      <c r="O739">
        <v>112.8967</v>
      </c>
      <c r="P739">
        <v>65.36</v>
      </c>
      <c r="S739">
        <f t="shared" si="245"/>
        <v>1003.4185999999999</v>
      </c>
      <c r="T739">
        <f t="shared" si="246"/>
        <v>1.3030763382429936E-2</v>
      </c>
      <c r="U739">
        <f t="shared" si="247"/>
        <v>0.15805659757393431</v>
      </c>
      <c r="V739">
        <f t="shared" si="248"/>
        <v>3.6654881169281325E-2</v>
      </c>
      <c r="W739">
        <f t="shared" si="249"/>
        <v>7.7809594297962928E-3</v>
      </c>
      <c r="X739">
        <f t="shared" si="250"/>
        <v>0.28277694004864501</v>
      </c>
      <c r="Y739">
        <f t="shared" si="251"/>
        <v>2.8123949746251657E-4</v>
      </c>
      <c r="Z739">
        <f t="shared" si="252"/>
        <v>2.7186484754709935E-3</v>
      </c>
      <c r="AA739">
        <f t="shared" si="253"/>
        <v>0.2311412745680278</v>
      </c>
      <c r="AB739">
        <f t="shared" si="254"/>
        <v>0.11037956551310034</v>
      </c>
      <c r="AC739">
        <f t="shared" si="255"/>
        <v>6.6505360190455373E-2</v>
      </c>
      <c r="AD739">
        <f t="shared" si="256"/>
        <v>2.9257344921025598E-3</v>
      </c>
      <c r="AE739">
        <f t="shared" si="257"/>
        <v>2.8417845021099987E-2</v>
      </c>
      <c r="AG739">
        <f t="shared" si="258"/>
        <v>0.56672558290032982</v>
      </c>
      <c r="AH739">
        <f t="shared" si="259"/>
        <v>0.52971787459812036</v>
      </c>
      <c r="AI739">
        <f t="shared" si="260"/>
        <v>2.3722898957738145</v>
      </c>
      <c r="AK739" s="26">
        <f t="shared" si="261"/>
        <v>-7.7403448750674952E-2</v>
      </c>
      <c r="AL739" s="26">
        <f t="shared" si="262"/>
        <v>-6.7221316969267475E-2</v>
      </c>
      <c r="AM739" s="26">
        <f t="shared" si="263"/>
        <v>-2.3383939491997685E-2</v>
      </c>
      <c r="AN739" s="26">
        <f t="shared" si="264"/>
        <v>-7.4874047619047772</v>
      </c>
      <c r="AO739" s="26">
        <f t="shared" si="265"/>
        <v>-7.8457571982281564</v>
      </c>
      <c r="AP739" s="26">
        <f t="shared" si="266"/>
        <v>-11.177842237517751</v>
      </c>
      <c r="AS739" s="2">
        <v>44741</v>
      </c>
      <c r="AT739">
        <v>18.7</v>
      </c>
      <c r="AU739">
        <v>109.9</v>
      </c>
      <c r="AV739">
        <v>24.3</v>
      </c>
      <c r="AW739">
        <v>5.9</v>
      </c>
      <c r="AX739">
        <v>206.87</v>
      </c>
      <c r="AY739">
        <v>0.7</v>
      </c>
      <c r="AZ739">
        <v>3.2</v>
      </c>
      <c r="BA739">
        <v>273.21679999999998</v>
      </c>
      <c r="BB739">
        <v>130.5309</v>
      </c>
      <c r="BC739">
        <v>92.121399999999994</v>
      </c>
      <c r="BD739">
        <v>4.3598999999999997</v>
      </c>
      <c r="BE739">
        <v>21.845400000000001</v>
      </c>
      <c r="BF739">
        <v>-34.4771</v>
      </c>
      <c r="BG739">
        <v>66.580699999999993</v>
      </c>
      <c r="BH739">
        <v>58.04</v>
      </c>
    </row>
    <row r="740" spans="1:60" x14ac:dyDescent="0.25">
      <c r="A740" s="2">
        <v>44761</v>
      </c>
      <c r="B740">
        <v>14.4</v>
      </c>
      <c r="C740">
        <v>19</v>
      </c>
      <c r="D740">
        <v>12.5</v>
      </c>
      <c r="E740">
        <v>2.6</v>
      </c>
      <c r="F740">
        <v>325.7</v>
      </c>
      <c r="G740">
        <v>0.4</v>
      </c>
      <c r="H740">
        <v>2.7</v>
      </c>
      <c r="I740">
        <v>250.77529999999999</v>
      </c>
      <c r="J740">
        <v>129.68090000000001</v>
      </c>
      <c r="K740">
        <v>109.1848</v>
      </c>
      <c r="L740">
        <v>3.0304000000000002</v>
      </c>
      <c r="M740">
        <v>26.290099999999999</v>
      </c>
      <c r="N740">
        <v>-17.7683</v>
      </c>
      <c r="O740">
        <v>125.9586</v>
      </c>
      <c r="P740">
        <v>65.11</v>
      </c>
      <c r="S740">
        <f t="shared" si="245"/>
        <v>896.26150000000007</v>
      </c>
      <c r="T740">
        <f t="shared" si="246"/>
        <v>1.3499495878200795E-2</v>
      </c>
      <c r="U740">
        <f t="shared" si="247"/>
        <v>1.7811834839292717E-2</v>
      </c>
      <c r="V740">
        <f t="shared" si="248"/>
        <v>1.1718312394271523E-2</v>
      </c>
      <c r="W740">
        <f t="shared" si="249"/>
        <v>2.437408978008477E-3</v>
      </c>
      <c r="X740">
        <f t="shared" si="250"/>
        <v>0.30533234774513879</v>
      </c>
      <c r="Y740">
        <f t="shared" si="251"/>
        <v>3.7498599661668879E-4</v>
      </c>
      <c r="Z740">
        <f t="shared" si="252"/>
        <v>2.5311554771626494E-3</v>
      </c>
      <c r="AA740">
        <f t="shared" si="253"/>
        <v>0.23509306449337275</v>
      </c>
      <c r="AB740">
        <f t="shared" si="254"/>
        <v>0.12157130382162289</v>
      </c>
      <c r="AC740">
        <f t="shared" si="255"/>
        <v>0.1023569276084846</v>
      </c>
      <c r="AD740">
        <f t="shared" si="256"/>
        <v>2.8408939103680341E-3</v>
      </c>
      <c r="AE740">
        <f t="shared" si="257"/>
        <v>2.4646048374131022E-2</v>
      </c>
      <c r="AG740">
        <f t="shared" si="258"/>
        <v>0.55676947632005702</v>
      </c>
      <c r="AH740">
        <f t="shared" si="259"/>
        <v>0.37835158968282268</v>
      </c>
      <c r="AI740">
        <f t="shared" si="260"/>
        <v>1.1010607876698137</v>
      </c>
      <c r="AK740" s="26">
        <f t="shared" si="261"/>
        <v>-9.6416140531180528E-2</v>
      </c>
      <c r="AL740" s="26">
        <f t="shared" si="262"/>
        <v>-7.0778351064364198E-2</v>
      </c>
      <c r="AM740" s="26">
        <f t="shared" si="263"/>
        <v>-2.4952490311708153E-2</v>
      </c>
      <c r="AN740" s="26">
        <f t="shared" si="264"/>
        <v>-7.4978208232445667</v>
      </c>
      <c r="AO740" s="26">
        <f t="shared" si="265"/>
        <v>-7.8571763392857505</v>
      </c>
      <c r="AP740" s="26">
        <f t="shared" si="266"/>
        <v>-11.205474292401078</v>
      </c>
      <c r="AS740" s="2">
        <v>44740</v>
      </c>
      <c r="AT740">
        <v>18</v>
      </c>
      <c r="AU740">
        <v>32.299999999999997</v>
      </c>
      <c r="AV740">
        <v>9.1999999999999993</v>
      </c>
      <c r="AW740">
        <v>2.7</v>
      </c>
      <c r="AX740">
        <v>264.41000000000003</v>
      </c>
      <c r="AY740">
        <v>0.6</v>
      </c>
      <c r="AZ740">
        <v>3.2</v>
      </c>
      <c r="BA740">
        <v>269.3202</v>
      </c>
      <c r="BB740">
        <v>137.6591</v>
      </c>
      <c r="BC740">
        <v>79.829099999999997</v>
      </c>
      <c r="BD740">
        <v>4.3285999999999998</v>
      </c>
      <c r="BE740">
        <v>23.543600000000001</v>
      </c>
      <c r="BF740">
        <v>-26.015799999999999</v>
      </c>
      <c r="BG740">
        <v>55.014099999999999</v>
      </c>
      <c r="BH740">
        <v>57.74</v>
      </c>
    </row>
    <row r="741" spans="1:60" x14ac:dyDescent="0.25">
      <c r="A741" s="2">
        <v>44760</v>
      </c>
      <c r="B741">
        <v>12.9</v>
      </c>
      <c r="C741">
        <v>50.1</v>
      </c>
      <c r="D741">
        <v>23.2</v>
      </c>
      <c r="E741">
        <v>2.6</v>
      </c>
      <c r="F741">
        <v>303.95999999999998</v>
      </c>
      <c r="G741">
        <v>0.5</v>
      </c>
      <c r="H741">
        <v>3.1</v>
      </c>
      <c r="I741">
        <v>251.20769999999999</v>
      </c>
      <c r="J741">
        <v>110.2415</v>
      </c>
      <c r="K741">
        <v>86.292599999999993</v>
      </c>
      <c r="L741">
        <v>4.1778000000000004</v>
      </c>
      <c r="M741">
        <v>27.236499999999999</v>
      </c>
      <c r="N741">
        <v>-20.2196</v>
      </c>
      <c r="O741">
        <v>130.12370000000001</v>
      </c>
      <c r="P741">
        <v>64.86</v>
      </c>
      <c r="S741">
        <f t="shared" si="245"/>
        <v>875.51610000000005</v>
      </c>
      <c r="T741">
        <f t="shared" si="246"/>
        <v>1.2093298390888213E-2</v>
      </c>
      <c r="U741">
        <f t="shared" si="247"/>
        <v>4.6966996076240268E-2</v>
      </c>
      <c r="V741">
        <f t="shared" si="248"/>
        <v>2.1749187803767948E-2</v>
      </c>
      <c r="W741">
        <f t="shared" si="249"/>
        <v>2.437408978008477E-3</v>
      </c>
      <c r="X741">
        <f t="shared" si="250"/>
        <v>0.2849518588290218</v>
      </c>
      <c r="Y741">
        <f t="shared" si="251"/>
        <v>4.6873249577086097E-4</v>
      </c>
      <c r="Z741">
        <f t="shared" si="252"/>
        <v>2.9061414737793379E-3</v>
      </c>
      <c r="AA741">
        <f t="shared" si="253"/>
        <v>0.23549842435571541</v>
      </c>
      <c r="AB741">
        <f t="shared" si="254"/>
        <v>0.10334754686504674</v>
      </c>
      <c r="AC741">
        <f t="shared" si="255"/>
        <v>8.0896291529113179E-2</v>
      </c>
      <c r="AD741">
        <f t="shared" si="256"/>
        <v>3.9165412416630064E-3</v>
      </c>
      <c r="AE741">
        <f t="shared" si="257"/>
        <v>2.5533265242126107E-2</v>
      </c>
      <c r="AG741">
        <f t="shared" si="258"/>
        <v>0.54681467127390682</v>
      </c>
      <c r="AH741">
        <f t="shared" si="259"/>
        <v>0.39710688928960297</v>
      </c>
      <c r="AI741">
        <f t="shared" si="260"/>
        <v>1.2630425382192041</v>
      </c>
      <c r="AK741" s="26">
        <f t="shared" si="261"/>
        <v>-0.11422381704361784</v>
      </c>
      <c r="AL741" s="26">
        <f t="shared" si="262"/>
        <v>-6.8855805294881611E-2</v>
      </c>
      <c r="AM741" s="26">
        <f t="shared" si="263"/>
        <v>-2.489428128338661E-2</v>
      </c>
      <c r="AN741" s="26">
        <f t="shared" si="264"/>
        <v>-7.5010262725779882</v>
      </c>
      <c r="AO741" s="26">
        <f t="shared" si="265"/>
        <v>-7.8677066929134085</v>
      </c>
      <c r="AP741" s="26">
        <f t="shared" si="266"/>
        <v>-11.232810927918329</v>
      </c>
      <c r="AS741" s="2">
        <v>44739</v>
      </c>
      <c r="AT741">
        <v>16.5</v>
      </c>
      <c r="AU741">
        <v>80.599999999999994</v>
      </c>
      <c r="AV741">
        <v>9.1999999999999993</v>
      </c>
      <c r="AW741">
        <v>4.8</v>
      </c>
      <c r="AX741">
        <v>216.51</v>
      </c>
      <c r="AY741">
        <v>0.6</v>
      </c>
      <c r="AZ741">
        <v>3.1</v>
      </c>
      <c r="BA741">
        <v>261.41520000000003</v>
      </c>
      <c r="BB741">
        <v>140.52340000000001</v>
      </c>
      <c r="BC741">
        <v>90.007000000000005</v>
      </c>
      <c r="BD741">
        <v>4.5110000000000001</v>
      </c>
      <c r="BE741">
        <v>28.895299999999999</v>
      </c>
      <c r="BF741">
        <v>-28.0428</v>
      </c>
      <c r="BG741">
        <v>53.963500000000003</v>
      </c>
      <c r="BH741">
        <v>57.43</v>
      </c>
    </row>
    <row r="742" spans="1:60" x14ac:dyDescent="0.25">
      <c r="A742" s="2">
        <v>44759</v>
      </c>
      <c r="B742">
        <v>11.7</v>
      </c>
      <c r="C742">
        <v>1</v>
      </c>
      <c r="D742">
        <v>16.2</v>
      </c>
      <c r="E742">
        <v>4.7</v>
      </c>
      <c r="F742">
        <v>331.46</v>
      </c>
      <c r="G742">
        <v>0</v>
      </c>
      <c r="H742">
        <v>3</v>
      </c>
      <c r="I742">
        <v>207.40289999999999</v>
      </c>
      <c r="J742">
        <v>52.902900000000002</v>
      </c>
      <c r="K742">
        <v>28.5517</v>
      </c>
      <c r="L742">
        <v>4.9996999999999998</v>
      </c>
      <c r="M742">
        <v>21.702100000000002</v>
      </c>
      <c r="P742">
        <v>64.56</v>
      </c>
      <c r="S742">
        <f t="shared" si="245"/>
        <v>683.61929999999995</v>
      </c>
      <c r="T742">
        <f t="shared" si="246"/>
        <v>1.0968340401038145E-2</v>
      </c>
      <c r="U742">
        <f t="shared" si="247"/>
        <v>9.3746499154172193E-4</v>
      </c>
      <c r="V742">
        <f t="shared" si="248"/>
        <v>1.5186932862975894E-2</v>
      </c>
      <c r="W742">
        <f t="shared" si="249"/>
        <v>4.4060854602460935E-3</v>
      </c>
      <c r="X742">
        <f t="shared" si="250"/>
        <v>0.31073214609641914</v>
      </c>
      <c r="Y742">
        <f t="shared" si="251"/>
        <v>0</v>
      </c>
      <c r="Z742">
        <f t="shared" si="252"/>
        <v>2.8123949746251659E-3</v>
      </c>
      <c r="AA742">
        <f t="shared" si="253"/>
        <v>0.1944329578942286</v>
      </c>
      <c r="AB742">
        <f t="shared" si="254"/>
        <v>4.9594616701032559E-2</v>
      </c>
      <c r="AC742">
        <f t="shared" si="255"/>
        <v>2.6766219199001781E-2</v>
      </c>
      <c r="AD742">
        <f t="shared" si="256"/>
        <v>4.6870437182111469E-3</v>
      </c>
      <c r="AE742">
        <f t="shared" si="257"/>
        <v>2.0344958992937603E-2</v>
      </c>
      <c r="AG742">
        <f t="shared" si="258"/>
        <v>0.53462935491605623</v>
      </c>
      <c r="AH742">
        <f t="shared" si="259"/>
        <v>0.36538832377978375</v>
      </c>
      <c r="AI742">
        <f t="shared" si="260"/>
        <v>0.98795673620701496</v>
      </c>
      <c r="AK742" s="26">
        <f t="shared" si="261"/>
        <v>-0.1256473904445487</v>
      </c>
      <c r="AL742" s="26">
        <f t="shared" si="262"/>
        <v>-7.1063786411412089E-2</v>
      </c>
      <c r="AM742" s="26">
        <f t="shared" si="263"/>
        <v>-2.6090964835885577E-2</v>
      </c>
      <c r="AN742" s="26">
        <f t="shared" si="264"/>
        <v>-7.4938345864661642</v>
      </c>
      <c r="AO742" s="26">
        <f t="shared" si="265"/>
        <v>-7.8747222222222462</v>
      </c>
      <c r="AP742" s="26">
        <f t="shared" si="266"/>
        <v>-11.258911873156329</v>
      </c>
      <c r="AS742" s="2">
        <v>44738</v>
      </c>
      <c r="AT742">
        <v>16.3</v>
      </c>
      <c r="AU742">
        <v>52.3</v>
      </c>
      <c r="AV742">
        <v>12.7</v>
      </c>
      <c r="AW742">
        <v>3.3</v>
      </c>
      <c r="AX742">
        <v>266.95999999999998</v>
      </c>
      <c r="AY742">
        <v>0.7</v>
      </c>
      <c r="AZ742">
        <v>3.2</v>
      </c>
      <c r="BA742">
        <v>238.15450000000001</v>
      </c>
      <c r="BB742">
        <v>86.629000000000005</v>
      </c>
      <c r="BC742">
        <v>29.538699999999999</v>
      </c>
      <c r="BD742">
        <v>4.4409999999999998</v>
      </c>
      <c r="BE742">
        <v>10.6663</v>
      </c>
      <c r="BH742">
        <v>57.14</v>
      </c>
    </row>
    <row r="743" spans="1:60" x14ac:dyDescent="0.25">
      <c r="A743" s="2">
        <v>44758</v>
      </c>
      <c r="C743">
        <v>0</v>
      </c>
      <c r="F743">
        <v>289.56</v>
      </c>
      <c r="K743">
        <v>20.632000000000001</v>
      </c>
      <c r="P743">
        <v>64.16</v>
      </c>
      <c r="S743">
        <f t="shared" si="245"/>
        <v>310.19200000000001</v>
      </c>
      <c r="T743">
        <f t="shared" si="246"/>
        <v>0</v>
      </c>
      <c r="U743">
        <f t="shared" si="247"/>
        <v>0</v>
      </c>
      <c r="V743">
        <f t="shared" si="248"/>
        <v>0</v>
      </c>
      <c r="W743">
        <f t="shared" si="249"/>
        <v>0</v>
      </c>
      <c r="X743">
        <f t="shared" si="250"/>
        <v>0.27145236295082098</v>
      </c>
      <c r="Y743">
        <f t="shared" si="251"/>
        <v>0</v>
      </c>
      <c r="Z743">
        <f t="shared" si="252"/>
        <v>0</v>
      </c>
      <c r="AA743">
        <f t="shared" si="253"/>
        <v>0</v>
      </c>
      <c r="AB743">
        <f t="shared" si="254"/>
        <v>0</v>
      </c>
      <c r="AC743">
        <f t="shared" si="255"/>
        <v>1.9341777705488807E-2</v>
      </c>
      <c r="AD743">
        <f t="shared" si="256"/>
        <v>0</v>
      </c>
      <c r="AE743">
        <f t="shared" si="257"/>
        <v>0</v>
      </c>
      <c r="AG743">
        <f t="shared" si="258"/>
        <v>0.51798943641874273</v>
      </c>
      <c r="AH743">
        <f t="shared" si="259"/>
        <v>0.27145236295082098</v>
      </c>
      <c r="AI743">
        <f t="shared" si="260"/>
        <v>0.1913250356706199</v>
      </c>
      <c r="AK743" s="26">
        <f t="shared" si="261"/>
        <v>-0.12886664522550301</v>
      </c>
      <c r="AL743" s="26">
        <f t="shared" si="262"/>
        <v>-6.9459811002798244E-2</v>
      </c>
      <c r="AM743" s="26">
        <f t="shared" si="263"/>
        <v>-2.6015362117139174E-2</v>
      </c>
      <c r="AN743" s="26">
        <f t="shared" si="264"/>
        <v>-7.4732738095238034</v>
      </c>
      <c r="AO743" s="26">
        <f t="shared" si="265"/>
        <v>-7.8770500000000325</v>
      </c>
      <c r="AP743" s="26">
        <f t="shared" si="266"/>
        <v>-11.284549561224836</v>
      </c>
      <c r="AS743" s="2">
        <v>44737</v>
      </c>
      <c r="AU743">
        <v>62.4</v>
      </c>
      <c r="AX743">
        <v>262.58</v>
      </c>
      <c r="BC743">
        <v>31.2758</v>
      </c>
      <c r="BH743">
        <v>56.7</v>
      </c>
    </row>
    <row r="744" spans="1:60" x14ac:dyDescent="0.25">
      <c r="A744" s="2">
        <v>44757</v>
      </c>
      <c r="C744">
        <v>112.8</v>
      </c>
      <c r="F744">
        <v>262.5</v>
      </c>
      <c r="K744">
        <v>45.819400000000002</v>
      </c>
      <c r="N744">
        <v>-15.609</v>
      </c>
      <c r="O744">
        <v>129.12100000000001</v>
      </c>
      <c r="P744">
        <v>63.73</v>
      </c>
      <c r="S744">
        <f t="shared" si="245"/>
        <v>421.11940000000004</v>
      </c>
      <c r="T744">
        <f t="shared" si="246"/>
        <v>0</v>
      </c>
      <c r="U744">
        <f t="shared" si="247"/>
        <v>0.10574605104590623</v>
      </c>
      <c r="V744">
        <f t="shared" si="248"/>
        <v>0</v>
      </c>
      <c r="W744">
        <f t="shared" si="249"/>
        <v>0</v>
      </c>
      <c r="X744">
        <f t="shared" si="250"/>
        <v>0.24608456027970199</v>
      </c>
      <c r="Y744">
        <f t="shared" si="251"/>
        <v>0</v>
      </c>
      <c r="Z744">
        <f t="shared" si="252"/>
        <v>0</v>
      </c>
      <c r="AA744">
        <f t="shared" si="253"/>
        <v>0</v>
      </c>
      <c r="AB744">
        <f t="shared" si="254"/>
        <v>0</v>
      </c>
      <c r="AC744">
        <f t="shared" si="255"/>
        <v>4.2954083433446776E-2</v>
      </c>
      <c r="AD744">
        <f t="shared" si="256"/>
        <v>0</v>
      </c>
      <c r="AE744">
        <f t="shared" si="257"/>
        <v>0</v>
      </c>
      <c r="AG744">
        <f t="shared" si="258"/>
        <v>0.50001292580630907</v>
      </c>
      <c r="AH744">
        <f t="shared" si="259"/>
        <v>0.35183061132560822</v>
      </c>
      <c r="AI744">
        <f t="shared" si="260"/>
        <v>0.86175207767167894</v>
      </c>
      <c r="AK744" s="26">
        <f t="shared" si="261"/>
        <v>-0.13136224176271277</v>
      </c>
      <c r="AL744" s="26">
        <f t="shared" si="262"/>
        <v>-6.7466194754511322E-2</v>
      </c>
      <c r="AM744" s="26">
        <f t="shared" si="263"/>
        <v>-2.495840072520944E-2</v>
      </c>
      <c r="AN744" s="26">
        <f t="shared" si="264"/>
        <v>-7.4432034632034529</v>
      </c>
      <c r="AO744" s="26">
        <f t="shared" si="265"/>
        <v>-7.8742569124424264</v>
      </c>
      <c r="AP744" s="26">
        <f t="shared" si="266"/>
        <v>-11.309996653528643</v>
      </c>
      <c r="AS744" s="2">
        <v>44736</v>
      </c>
      <c r="AU744">
        <v>220.4</v>
      </c>
      <c r="AX744">
        <v>203.68</v>
      </c>
      <c r="BC744">
        <v>64.006799999999998</v>
      </c>
      <c r="BF744">
        <v>-18.702500000000001</v>
      </c>
      <c r="BG744">
        <v>61.918300000000002</v>
      </c>
      <c r="BH744">
        <v>56.27</v>
      </c>
    </row>
    <row r="745" spans="1:60" x14ac:dyDescent="0.25">
      <c r="A745" s="2">
        <v>44756</v>
      </c>
      <c r="B745">
        <v>14.3</v>
      </c>
      <c r="C745">
        <v>2.4</v>
      </c>
      <c r="D745">
        <v>36.200000000000003</v>
      </c>
      <c r="E745">
        <v>8.5</v>
      </c>
      <c r="F745">
        <v>269.83999999999997</v>
      </c>
      <c r="G745">
        <v>0.6</v>
      </c>
      <c r="H745">
        <v>3.1</v>
      </c>
      <c r="I745">
        <v>247.2773</v>
      </c>
      <c r="J745">
        <v>134.86859999999999</v>
      </c>
      <c r="K745">
        <v>61.384500000000003</v>
      </c>
      <c r="L745">
        <v>4.5734000000000004</v>
      </c>
      <c r="M745">
        <v>18.7652</v>
      </c>
      <c r="N745">
        <v>-19.3093</v>
      </c>
      <c r="O745">
        <v>148.7766</v>
      </c>
      <c r="P745">
        <v>63.39</v>
      </c>
      <c r="S745">
        <f t="shared" si="245"/>
        <v>801.80900000000008</v>
      </c>
      <c r="T745">
        <f t="shared" si="246"/>
        <v>1.3405749379046624E-2</v>
      </c>
      <c r="U745">
        <f t="shared" si="247"/>
        <v>2.2499159797001326E-3</v>
      </c>
      <c r="V745">
        <f t="shared" si="248"/>
        <v>3.3936232693810339E-2</v>
      </c>
      <c r="W745">
        <f t="shared" si="249"/>
        <v>7.9684524281046359E-3</v>
      </c>
      <c r="X745">
        <f t="shared" si="250"/>
        <v>0.25296555331761822</v>
      </c>
      <c r="Y745">
        <f t="shared" si="251"/>
        <v>5.6247899492503314E-4</v>
      </c>
      <c r="Z745">
        <f t="shared" si="252"/>
        <v>2.9061414737793379E-3</v>
      </c>
      <c r="AA745">
        <f t="shared" si="253"/>
        <v>0.23181381195295983</v>
      </c>
      <c r="AB745">
        <f t="shared" si="254"/>
        <v>0.12643459095824386</v>
      </c>
      <c r="AC745">
        <f t="shared" si="255"/>
        <v>5.7545819773292831E-2</v>
      </c>
      <c r="AD745">
        <f t="shared" si="256"/>
        <v>4.2874023923169116E-3</v>
      </c>
      <c r="AE745">
        <f t="shared" si="257"/>
        <v>1.759171805927872E-2</v>
      </c>
      <c r="AG745">
        <f t="shared" si="258"/>
        <v>0.48605086453669027</v>
      </c>
      <c r="AH745">
        <f t="shared" si="259"/>
        <v>0.33158624232626299</v>
      </c>
      <c r="AI745">
        <f t="shared" si="260"/>
        <v>0.69129292196596648</v>
      </c>
      <c r="AK745" s="26">
        <f t="shared" si="261"/>
        <v>-0.12321021360072865</v>
      </c>
      <c r="AL745" s="26">
        <f t="shared" si="262"/>
        <v>-6.7264013899779762E-2</v>
      </c>
      <c r="AM745" s="26">
        <f t="shared" si="263"/>
        <v>-2.2945538522088416E-2</v>
      </c>
      <c r="AN745" s="26">
        <f t="shared" si="264"/>
        <v>-7.398677248677231</v>
      </c>
      <c r="AO745" s="26">
        <f t="shared" si="265"/>
        <v>-7.8657883275261611</v>
      </c>
      <c r="AP745" s="26">
        <f t="shared" si="266"/>
        <v>-11.333688062432287</v>
      </c>
      <c r="AS745" s="2">
        <v>44735</v>
      </c>
      <c r="AT745">
        <v>16.3</v>
      </c>
      <c r="AU745">
        <v>114.7</v>
      </c>
      <c r="AV745">
        <v>15</v>
      </c>
      <c r="AW745">
        <v>2.6</v>
      </c>
      <c r="AX745">
        <v>312.14999999999998</v>
      </c>
      <c r="AY745">
        <v>0.7</v>
      </c>
      <c r="AZ745">
        <v>3.2</v>
      </c>
      <c r="BA745">
        <v>256.76749999999998</v>
      </c>
      <c r="BB745">
        <v>139.27549999999999</v>
      </c>
      <c r="BC745">
        <v>84.898499999999999</v>
      </c>
      <c r="BD745">
        <v>4.4401999999999999</v>
      </c>
      <c r="BE745">
        <v>22.794799999999999</v>
      </c>
      <c r="BF745">
        <v>-20.544899999999998</v>
      </c>
      <c r="BG745">
        <v>66.535799999999995</v>
      </c>
      <c r="BH745">
        <v>55.95</v>
      </c>
    </row>
    <row r="746" spans="1:60" x14ac:dyDescent="0.25">
      <c r="A746" s="2">
        <v>44755</v>
      </c>
      <c r="B746">
        <v>15.1</v>
      </c>
      <c r="C746">
        <v>226.9</v>
      </c>
      <c r="D746">
        <v>26.2</v>
      </c>
      <c r="E746">
        <v>8</v>
      </c>
      <c r="F746">
        <v>251.22</v>
      </c>
      <c r="G746">
        <v>0.5</v>
      </c>
      <c r="H746">
        <v>2.7</v>
      </c>
      <c r="I746">
        <v>246.4436</v>
      </c>
      <c r="J746">
        <v>152.35769999999999</v>
      </c>
      <c r="K746">
        <v>68.697999999999993</v>
      </c>
      <c r="L746">
        <v>4.4001000000000001</v>
      </c>
      <c r="M746">
        <v>21.124500000000001</v>
      </c>
      <c r="N746">
        <v>-32.963700000000003</v>
      </c>
      <c r="O746">
        <v>143.6216</v>
      </c>
      <c r="P746">
        <v>63.09</v>
      </c>
      <c r="S746">
        <f t="shared" si="245"/>
        <v>1023.6438999999999</v>
      </c>
      <c r="T746">
        <f t="shared" si="246"/>
        <v>1.415572137228E-2</v>
      </c>
      <c r="U746">
        <f t="shared" si="247"/>
        <v>0.2127108065808167</v>
      </c>
      <c r="V746">
        <f t="shared" si="248"/>
        <v>2.4561582778393112E-2</v>
      </c>
      <c r="W746">
        <f t="shared" si="249"/>
        <v>7.4997199323337755E-3</v>
      </c>
      <c r="X746">
        <f t="shared" si="250"/>
        <v>0.23550995517511139</v>
      </c>
      <c r="Y746">
        <f t="shared" si="251"/>
        <v>4.6873249577086097E-4</v>
      </c>
      <c r="Z746">
        <f t="shared" si="252"/>
        <v>2.5311554771626494E-3</v>
      </c>
      <c r="AA746">
        <f t="shared" si="253"/>
        <v>0.2310322473895115</v>
      </c>
      <c r="AB746">
        <f t="shared" si="254"/>
        <v>0.14283000994181619</v>
      </c>
      <c r="AC746">
        <f t="shared" si="255"/>
        <v>6.4401969988933203E-2</v>
      </c>
      <c r="AD746">
        <f t="shared" si="256"/>
        <v>4.1249397092827308E-3</v>
      </c>
      <c r="AE746">
        <f t="shared" si="257"/>
        <v>1.9803479213823104E-2</v>
      </c>
      <c r="AG746">
        <f t="shared" si="258"/>
        <v>0.47386994934725196</v>
      </c>
      <c r="AH746">
        <f t="shared" si="259"/>
        <v>0.51724115302569151</v>
      </c>
      <c r="AI746">
        <f t="shared" si="260"/>
        <v>2.2625829586809809</v>
      </c>
      <c r="AK746" s="26">
        <f t="shared" si="261"/>
        <v>-0.11281768651809049</v>
      </c>
      <c r="AL746" s="26">
        <f t="shared" si="262"/>
        <v>-5.8052959754306022E-2</v>
      </c>
      <c r="AM746" s="26">
        <f t="shared" si="263"/>
        <v>-2.1277839859944858E-2</v>
      </c>
      <c r="AN746" s="26">
        <f t="shared" si="264"/>
        <v>-7.3409433962264004</v>
      </c>
      <c r="AO746" s="26">
        <f t="shared" si="265"/>
        <v>-7.8544555035128951</v>
      </c>
      <c r="AP746" s="26">
        <f t="shared" si="266"/>
        <v>-11.357195515224205</v>
      </c>
      <c r="AS746" s="2">
        <v>44734</v>
      </c>
      <c r="AT746">
        <v>16.2</v>
      </c>
      <c r="AU746">
        <v>49.8</v>
      </c>
      <c r="AV746">
        <v>3.4</v>
      </c>
      <c r="AW746">
        <v>1.4</v>
      </c>
      <c r="AX746">
        <v>243.35</v>
      </c>
      <c r="AY746">
        <v>0.7</v>
      </c>
      <c r="AZ746">
        <v>2.5</v>
      </c>
      <c r="BA746">
        <v>267.10109999999997</v>
      </c>
      <c r="BB746">
        <v>149.55619999999999</v>
      </c>
      <c r="BC746">
        <v>95.781999999999996</v>
      </c>
      <c r="BD746">
        <v>4.4359000000000002</v>
      </c>
      <c r="BE746">
        <v>27.361499999999999</v>
      </c>
      <c r="BF746">
        <v>-21.414000000000001</v>
      </c>
      <c r="BG746">
        <v>57.353200000000001</v>
      </c>
      <c r="BH746">
        <v>55.67</v>
      </c>
    </row>
    <row r="747" spans="1:60" x14ac:dyDescent="0.25">
      <c r="A747" s="2">
        <v>44754</v>
      </c>
      <c r="B747">
        <v>15.1</v>
      </c>
      <c r="C747">
        <v>28.2</v>
      </c>
      <c r="D747">
        <v>23.4</v>
      </c>
      <c r="E747">
        <v>2.6</v>
      </c>
      <c r="F747">
        <v>313.94</v>
      </c>
      <c r="G747">
        <v>0.6</v>
      </c>
      <c r="H747">
        <v>2.7</v>
      </c>
      <c r="I747">
        <v>238.1079</v>
      </c>
      <c r="J747">
        <v>131.2884</v>
      </c>
      <c r="K747">
        <v>86.460700000000003</v>
      </c>
      <c r="L747">
        <v>4.3727</v>
      </c>
      <c r="M747">
        <v>27.276499999999999</v>
      </c>
      <c r="N747">
        <v>-22.432400000000001</v>
      </c>
      <c r="O747">
        <v>133.9169</v>
      </c>
      <c r="P747">
        <v>62.8</v>
      </c>
      <c r="S747">
        <f t="shared" si="245"/>
        <v>874.0462</v>
      </c>
      <c r="T747">
        <f t="shared" si="246"/>
        <v>1.415572137228E-2</v>
      </c>
      <c r="U747">
        <f t="shared" si="247"/>
        <v>2.6436512761476558E-2</v>
      </c>
      <c r="V747">
        <f t="shared" si="248"/>
        <v>2.1936680802076291E-2</v>
      </c>
      <c r="W747">
        <f t="shared" si="249"/>
        <v>2.437408978008477E-3</v>
      </c>
      <c r="X747">
        <f t="shared" si="250"/>
        <v>0.29430775944460819</v>
      </c>
      <c r="Y747">
        <f t="shared" si="251"/>
        <v>5.6247899492503314E-4</v>
      </c>
      <c r="Z747">
        <f t="shared" si="252"/>
        <v>2.5311554771626494E-3</v>
      </c>
      <c r="AA747">
        <f t="shared" si="253"/>
        <v>0.22321782045951716</v>
      </c>
      <c r="AB747">
        <f t="shared" si="254"/>
        <v>0.1230782787955262</v>
      </c>
      <c r="AC747">
        <f t="shared" si="255"/>
        <v>8.1053879394191355E-2</v>
      </c>
      <c r="AD747">
        <f t="shared" si="256"/>
        <v>4.0992531685144877E-3</v>
      </c>
      <c r="AE747">
        <f t="shared" si="257"/>
        <v>2.5570763841787775E-2</v>
      </c>
      <c r="AG747">
        <f t="shared" si="258"/>
        <v>0.46213019213613993</v>
      </c>
      <c r="AH747">
        <f t="shared" si="259"/>
        <v>0.38793848167232492</v>
      </c>
      <c r="AI747">
        <f t="shared" si="260"/>
        <v>1.1855914120919304</v>
      </c>
      <c r="AK747" s="26">
        <f t="shared" si="261"/>
        <v>-0.12641092666338599</v>
      </c>
      <c r="AL747" s="26">
        <f t="shared" si="262"/>
        <v>-5.7023695841097566E-2</v>
      </c>
      <c r="AM747" s="26">
        <f t="shared" si="263"/>
        <v>-2.1357460242078463E-2</v>
      </c>
      <c r="AN747" s="26">
        <f t="shared" si="264"/>
        <v>-7.2742948717948579</v>
      </c>
      <c r="AO747" s="26">
        <f t="shared" si="265"/>
        <v>-7.8426224911452351</v>
      </c>
      <c r="AP747" s="26">
        <f t="shared" si="266"/>
        <v>-11.381847109772146</v>
      </c>
      <c r="AS747" s="2">
        <v>44733</v>
      </c>
      <c r="AT747">
        <v>15.7</v>
      </c>
      <c r="AU747">
        <v>297.2</v>
      </c>
      <c r="AV747">
        <v>16.399999999999999</v>
      </c>
      <c r="AW747">
        <v>5.8</v>
      </c>
      <c r="AX747">
        <v>306.36</v>
      </c>
      <c r="AY747">
        <v>0.7</v>
      </c>
      <c r="AZ747">
        <v>2.2999999999999998</v>
      </c>
      <c r="BA747">
        <v>254.16749999999999</v>
      </c>
      <c r="BB747">
        <v>140.94739999999999</v>
      </c>
      <c r="BC747">
        <v>55.500100000000003</v>
      </c>
      <c r="BD747">
        <v>4.2026000000000003</v>
      </c>
      <c r="BE747">
        <v>20.658200000000001</v>
      </c>
      <c r="BF747">
        <v>-24.9544</v>
      </c>
      <c r="BG747">
        <v>46.989100000000001</v>
      </c>
      <c r="BH747">
        <v>55.39</v>
      </c>
    </row>
    <row r="748" spans="1:60" x14ac:dyDescent="0.25">
      <c r="A748" s="2">
        <v>44753</v>
      </c>
      <c r="B748">
        <v>13.9</v>
      </c>
      <c r="C748">
        <v>46.8</v>
      </c>
      <c r="D748">
        <v>16.399999999999999</v>
      </c>
      <c r="E748">
        <v>3.7</v>
      </c>
      <c r="F748">
        <v>223.49</v>
      </c>
      <c r="G748">
        <v>0.6</v>
      </c>
      <c r="H748">
        <v>2.5</v>
      </c>
      <c r="I748">
        <v>242.19970000000001</v>
      </c>
      <c r="J748">
        <v>144.2526</v>
      </c>
      <c r="K748">
        <v>77.171899999999994</v>
      </c>
      <c r="L748">
        <v>4.2990000000000004</v>
      </c>
      <c r="M748">
        <v>28.041599999999999</v>
      </c>
      <c r="N748">
        <v>-5.2614999999999998</v>
      </c>
      <c r="O748">
        <v>134.80840000000001</v>
      </c>
      <c r="P748">
        <v>62.54</v>
      </c>
      <c r="S748">
        <f t="shared" si="245"/>
        <v>803.35480000000007</v>
      </c>
      <c r="T748">
        <f t="shared" si="246"/>
        <v>1.3030763382429936E-2</v>
      </c>
      <c r="U748">
        <f t="shared" si="247"/>
        <v>4.3873361604152582E-2</v>
      </c>
      <c r="V748">
        <f t="shared" si="248"/>
        <v>1.5374425861284237E-2</v>
      </c>
      <c r="W748">
        <f t="shared" si="249"/>
        <v>3.4686204687043713E-3</v>
      </c>
      <c r="X748">
        <f t="shared" si="250"/>
        <v>0.20951405095965944</v>
      </c>
      <c r="Y748">
        <f t="shared" si="251"/>
        <v>5.6247899492503314E-4</v>
      </c>
      <c r="Z748">
        <f t="shared" si="252"/>
        <v>2.3436624788543046E-3</v>
      </c>
      <c r="AA748">
        <f t="shared" si="253"/>
        <v>0.22705373971190759</v>
      </c>
      <c r="AB748">
        <f t="shared" si="254"/>
        <v>0.13523176243887139</v>
      </c>
      <c r="AC748">
        <f t="shared" si="255"/>
        <v>7.2345954580758598E-2</v>
      </c>
      <c r="AD748">
        <f t="shared" si="256"/>
        <v>4.0301619986378625E-3</v>
      </c>
      <c r="AE748">
        <f t="shared" si="257"/>
        <v>2.6288018306816346E-2</v>
      </c>
      <c r="AG748">
        <f t="shared" si="258"/>
        <v>0.45172236710250319</v>
      </c>
      <c r="AH748">
        <f t="shared" si="259"/>
        <v>0.31445538205682622</v>
      </c>
      <c r="AI748">
        <f t="shared" si="260"/>
        <v>0.56116232930268373</v>
      </c>
      <c r="AK748" s="26">
        <f t="shared" si="261"/>
        <v>-0.11558266138856016</v>
      </c>
      <c r="AL748" s="26">
        <f t="shared" si="262"/>
        <v>-5.5474498882748691E-2</v>
      </c>
      <c r="AM748" s="26">
        <f t="shared" si="263"/>
        <v>-1.983364798027587E-2</v>
      </c>
      <c r="AN748" s="26">
        <f t="shared" si="264"/>
        <v>-7.1991316526610447</v>
      </c>
      <c r="AO748" s="26">
        <f t="shared" si="265"/>
        <v>-7.8304166666666717</v>
      </c>
      <c r="AP748" s="26">
        <f t="shared" si="266"/>
        <v>-11.406905680356971</v>
      </c>
      <c r="AS748" s="2">
        <v>44732</v>
      </c>
      <c r="AT748">
        <v>15.6</v>
      </c>
      <c r="AU748">
        <v>91.8</v>
      </c>
      <c r="AV748">
        <v>22.3</v>
      </c>
      <c r="AW748">
        <v>7</v>
      </c>
      <c r="AX748">
        <v>180.84</v>
      </c>
      <c r="AY748">
        <v>0.3</v>
      </c>
      <c r="AZ748">
        <v>2.4</v>
      </c>
      <c r="BA748">
        <v>230.9161</v>
      </c>
      <c r="BB748">
        <v>125.4586</v>
      </c>
      <c r="BC748">
        <v>69.952799999999996</v>
      </c>
      <c r="BD748">
        <v>4.2229000000000001</v>
      </c>
      <c r="BE748">
        <v>28.846499999999999</v>
      </c>
      <c r="BF748">
        <v>-28.610199999999999</v>
      </c>
      <c r="BG748">
        <v>44.556199999999997</v>
      </c>
      <c r="BH748">
        <v>55.18</v>
      </c>
    </row>
    <row r="749" spans="1:60" x14ac:dyDescent="0.25">
      <c r="A749" s="2">
        <v>44752</v>
      </c>
      <c r="B749">
        <v>13.6</v>
      </c>
      <c r="C749">
        <v>43.3</v>
      </c>
      <c r="D749">
        <v>45.8</v>
      </c>
      <c r="E749">
        <v>16.399999999999999</v>
      </c>
      <c r="F749">
        <v>218.47</v>
      </c>
      <c r="G749">
        <v>0.5</v>
      </c>
      <c r="H749">
        <v>2.6</v>
      </c>
      <c r="I749">
        <v>164.5307</v>
      </c>
      <c r="J749">
        <v>58.546900000000001</v>
      </c>
      <c r="K749">
        <v>16.489000000000001</v>
      </c>
      <c r="L749">
        <v>4.3266999999999998</v>
      </c>
      <c r="M749">
        <v>15.9115</v>
      </c>
      <c r="P749">
        <v>62.31</v>
      </c>
      <c r="S749">
        <f t="shared" si="245"/>
        <v>600.47480000000007</v>
      </c>
      <c r="T749">
        <f t="shared" si="246"/>
        <v>1.2749523884967418E-2</v>
      </c>
      <c r="U749">
        <f t="shared" si="247"/>
        <v>4.0592234133756559E-2</v>
      </c>
      <c r="V749">
        <f t="shared" si="248"/>
        <v>4.2935896612610859E-2</v>
      </c>
      <c r="W749">
        <f t="shared" si="249"/>
        <v>1.5374425861284237E-2</v>
      </c>
      <c r="X749">
        <f t="shared" si="250"/>
        <v>0.20480797670211998</v>
      </c>
      <c r="Y749">
        <f t="shared" si="251"/>
        <v>4.6873249577086097E-4</v>
      </c>
      <c r="Z749">
        <f t="shared" si="252"/>
        <v>2.437408978008477E-3</v>
      </c>
      <c r="AA749">
        <f t="shared" si="253"/>
        <v>0.15424177128385358</v>
      </c>
      <c r="AB749">
        <f t="shared" si="254"/>
        <v>5.4885669113294039E-2</v>
      </c>
      <c r="AC749">
        <f t="shared" si="255"/>
        <v>1.5457860245531453E-2</v>
      </c>
      <c r="AD749">
        <f t="shared" si="256"/>
        <v>4.0561297789035678E-3</v>
      </c>
      <c r="AE749">
        <f t="shared" si="257"/>
        <v>1.4916474212916109E-2</v>
      </c>
      <c r="AG749">
        <f t="shared" si="258"/>
        <v>0.44266419694879039</v>
      </c>
      <c r="AH749">
        <f t="shared" si="259"/>
        <v>0.33428267288143443</v>
      </c>
      <c r="AI749">
        <f t="shared" si="260"/>
        <v>0.73179988832658649</v>
      </c>
      <c r="AK749" s="26">
        <f t="shared" si="261"/>
        <v>-0.11952304995396029</v>
      </c>
      <c r="AL749" s="26">
        <f t="shared" si="262"/>
        <v>-5.3014326818988433E-2</v>
      </c>
      <c r="AM749" s="26">
        <f t="shared" si="263"/>
        <v>-1.9065201595824643E-2</v>
      </c>
      <c r="AN749" s="26">
        <f t="shared" si="264"/>
        <v>-7.1114666666666579</v>
      </c>
      <c r="AO749" s="26">
        <f t="shared" si="265"/>
        <v>-7.8168172268907625</v>
      </c>
      <c r="AP749" s="26">
        <f t="shared" si="266"/>
        <v>-11.432147821793428</v>
      </c>
      <c r="AS749" s="2">
        <v>44731</v>
      </c>
      <c r="AT749">
        <v>15.3</v>
      </c>
      <c r="AU749">
        <v>281.2</v>
      </c>
      <c r="AV749">
        <v>13.2</v>
      </c>
      <c r="AW749">
        <v>7</v>
      </c>
      <c r="AX749">
        <v>275.62</v>
      </c>
      <c r="AY749">
        <v>0.1</v>
      </c>
      <c r="AZ749">
        <v>2.8</v>
      </c>
      <c r="BA749">
        <v>198.1815</v>
      </c>
      <c r="BB749">
        <v>67.938699999999997</v>
      </c>
      <c r="BC749">
        <v>18.517700000000001</v>
      </c>
      <c r="BD749">
        <v>4.2522000000000002</v>
      </c>
      <c r="BE749">
        <v>13.470700000000001</v>
      </c>
      <c r="BH749">
        <v>54.86</v>
      </c>
    </row>
    <row r="750" spans="1:60" x14ac:dyDescent="0.25">
      <c r="A750" s="2">
        <v>44751</v>
      </c>
      <c r="C750">
        <v>1.5</v>
      </c>
      <c r="F750">
        <v>214.33</v>
      </c>
      <c r="K750">
        <v>21.279800000000002</v>
      </c>
      <c r="P750">
        <v>61.83</v>
      </c>
      <c r="S750">
        <f t="shared" si="245"/>
        <v>237.10980000000001</v>
      </c>
      <c r="T750">
        <f t="shared" si="246"/>
        <v>0</v>
      </c>
      <c r="U750">
        <f t="shared" si="247"/>
        <v>1.406197487312583E-3</v>
      </c>
      <c r="V750">
        <f t="shared" si="248"/>
        <v>0</v>
      </c>
      <c r="W750">
        <f t="shared" si="249"/>
        <v>0</v>
      </c>
      <c r="X750">
        <f t="shared" si="250"/>
        <v>0.20092687163713727</v>
      </c>
      <c r="Y750">
        <f t="shared" si="251"/>
        <v>0</v>
      </c>
      <c r="Z750">
        <f t="shared" si="252"/>
        <v>0</v>
      </c>
      <c r="AA750">
        <f t="shared" si="253"/>
        <v>0</v>
      </c>
      <c r="AB750">
        <f t="shared" si="254"/>
        <v>0</v>
      </c>
      <c r="AC750">
        <f t="shared" si="255"/>
        <v>1.9949067527009534E-2</v>
      </c>
      <c r="AD750">
        <f t="shared" si="256"/>
        <v>0</v>
      </c>
      <c r="AE750">
        <f t="shared" si="257"/>
        <v>0</v>
      </c>
      <c r="AG750">
        <f t="shared" si="258"/>
        <v>0.42250581520036018</v>
      </c>
      <c r="AH750">
        <f t="shared" si="259"/>
        <v>0.20233306912444984</v>
      </c>
      <c r="AI750">
        <f t="shared" si="260"/>
        <v>-0.39151366957901157</v>
      </c>
      <c r="AK750" s="26">
        <f t="shared" si="261"/>
        <v>-0.12282713638841108</v>
      </c>
      <c r="AL750" s="26">
        <f t="shared" si="262"/>
        <v>-5.0333665537988181E-2</v>
      </c>
      <c r="AM750" s="26">
        <f t="shared" si="263"/>
        <v>-1.7715577139668204E-2</v>
      </c>
      <c r="AN750" s="26">
        <f t="shared" si="264"/>
        <v>-7.0159183673469343</v>
      </c>
      <c r="AO750" s="26">
        <f t="shared" si="265"/>
        <v>-7.8016101694915321</v>
      </c>
      <c r="AP750" s="26">
        <f t="shared" si="266"/>
        <v>-11.460480622520571</v>
      </c>
      <c r="AS750" s="2">
        <v>44730</v>
      </c>
      <c r="AU750">
        <v>218.8</v>
      </c>
      <c r="AX750">
        <v>313.98</v>
      </c>
      <c r="BC750">
        <v>15.1911</v>
      </c>
      <c r="BH750">
        <v>54.42</v>
      </c>
    </row>
    <row r="751" spans="1:60" x14ac:dyDescent="0.25">
      <c r="A751" s="2">
        <v>44750</v>
      </c>
      <c r="C751">
        <v>116.1</v>
      </c>
      <c r="F751">
        <v>237.07</v>
      </c>
      <c r="K751">
        <v>30.711500000000001</v>
      </c>
      <c r="N751">
        <v>-17.806000000000001</v>
      </c>
      <c r="O751">
        <v>149.7928</v>
      </c>
      <c r="P751">
        <v>61.36</v>
      </c>
      <c r="S751">
        <f t="shared" si="245"/>
        <v>383.88149999999996</v>
      </c>
      <c r="T751">
        <f t="shared" si="246"/>
        <v>0</v>
      </c>
      <c r="U751">
        <f t="shared" si="247"/>
        <v>0.1088396855179939</v>
      </c>
      <c r="V751">
        <f t="shared" si="248"/>
        <v>0</v>
      </c>
      <c r="W751">
        <f t="shared" si="249"/>
        <v>0</v>
      </c>
      <c r="X751">
        <f t="shared" si="250"/>
        <v>0.22224482554479599</v>
      </c>
      <c r="Y751">
        <f t="shared" si="251"/>
        <v>0</v>
      </c>
      <c r="Z751">
        <f t="shared" si="252"/>
        <v>0</v>
      </c>
      <c r="AA751">
        <f t="shared" si="253"/>
        <v>0</v>
      </c>
      <c r="AB751">
        <f t="shared" si="254"/>
        <v>0</v>
      </c>
      <c r="AC751">
        <f t="shared" si="255"/>
        <v>2.8790956087733594E-2</v>
      </c>
      <c r="AD751">
        <f t="shared" si="256"/>
        <v>0</v>
      </c>
      <c r="AE751">
        <f t="shared" si="257"/>
        <v>0</v>
      </c>
      <c r="AG751">
        <f t="shared" si="258"/>
        <v>0.40280159759525697</v>
      </c>
      <c r="AH751">
        <f t="shared" si="259"/>
        <v>0.33108451106278991</v>
      </c>
      <c r="AI751">
        <f t="shared" si="260"/>
        <v>0.70521482771330446</v>
      </c>
      <c r="AK751" s="26">
        <f t="shared" si="261"/>
        <v>-0.11152104520739642</v>
      </c>
      <c r="AL751" s="26">
        <f t="shared" si="262"/>
        <v>-4.6393689119358872E-2</v>
      </c>
      <c r="AM751" s="26">
        <f t="shared" si="263"/>
        <v>-1.6171772261633077E-2</v>
      </c>
      <c r="AN751" s="26">
        <f t="shared" si="264"/>
        <v>-6.9022023809523816</v>
      </c>
      <c r="AO751" s="26">
        <f t="shared" si="265"/>
        <v>-7.7820222832722976</v>
      </c>
      <c r="AP751" s="26">
        <f t="shared" si="266"/>
        <v>-11.486043366662813</v>
      </c>
      <c r="AS751" s="2">
        <v>44729</v>
      </c>
      <c r="AU751">
        <v>27.5</v>
      </c>
      <c r="AX751">
        <v>305.07</v>
      </c>
      <c r="BC751">
        <v>30.837900000000001</v>
      </c>
      <c r="BF751">
        <v>-24.639800000000001</v>
      </c>
      <c r="BG751">
        <v>49.470300000000002</v>
      </c>
      <c r="BH751">
        <v>53.99</v>
      </c>
    </row>
    <row r="752" spans="1:60" x14ac:dyDescent="0.25">
      <c r="A752" s="2">
        <v>44749</v>
      </c>
      <c r="B752">
        <v>17.5</v>
      </c>
      <c r="C752">
        <v>0</v>
      </c>
      <c r="D752">
        <v>56.1</v>
      </c>
      <c r="E752">
        <v>16.3</v>
      </c>
      <c r="F752">
        <v>130.56</v>
      </c>
      <c r="G752">
        <v>0.6</v>
      </c>
      <c r="H752">
        <v>2.9</v>
      </c>
      <c r="I752">
        <v>240.93690000000001</v>
      </c>
      <c r="J752">
        <v>106.5192</v>
      </c>
      <c r="K752">
        <v>34.707099999999997</v>
      </c>
      <c r="L752">
        <v>4.32</v>
      </c>
      <c r="M752">
        <v>19.263400000000001</v>
      </c>
      <c r="N752">
        <v>-9.7719000000000005</v>
      </c>
      <c r="O752">
        <v>174.49019999999999</v>
      </c>
      <c r="P752">
        <v>61</v>
      </c>
      <c r="S752">
        <f t="shared" si="245"/>
        <v>629.70659999999998</v>
      </c>
      <c r="T752">
        <f t="shared" si="246"/>
        <v>1.6405637351980133E-2</v>
      </c>
      <c r="U752">
        <f t="shared" si="247"/>
        <v>0</v>
      </c>
      <c r="V752">
        <f t="shared" si="248"/>
        <v>5.2591786025490597E-2</v>
      </c>
      <c r="W752">
        <f t="shared" si="249"/>
        <v>1.5280679362130067E-2</v>
      </c>
      <c r="X752">
        <f t="shared" si="250"/>
        <v>0.12239542929568721</v>
      </c>
      <c r="Y752">
        <f t="shared" si="251"/>
        <v>5.6247899492503314E-4</v>
      </c>
      <c r="Z752">
        <f t="shared" si="252"/>
        <v>2.7186484754709935E-3</v>
      </c>
      <c r="AA752">
        <f t="shared" si="253"/>
        <v>0.2258699089205887</v>
      </c>
      <c r="AB752">
        <f t="shared" si="254"/>
        <v>9.9858020927030985E-2</v>
      </c>
      <c r="AC752">
        <f t="shared" si="255"/>
        <v>3.2536691207937694E-2</v>
      </c>
      <c r="AD752">
        <f t="shared" si="256"/>
        <v>4.0498487634602386E-3</v>
      </c>
      <c r="AE752">
        <f t="shared" si="257"/>
        <v>1.8058763118064806E-2</v>
      </c>
      <c r="AG752">
        <f t="shared" si="258"/>
        <v>0.38798752238300127</v>
      </c>
      <c r="AH752">
        <f t="shared" si="259"/>
        <v>0.22801342262374882</v>
      </c>
      <c r="AI752">
        <f t="shared" si="260"/>
        <v>-0.17016791759553146</v>
      </c>
      <c r="AK752" s="26">
        <f t="shared" si="261"/>
        <v>-0.12120822139833914</v>
      </c>
      <c r="AL752" s="26">
        <f t="shared" si="262"/>
        <v>-4.3997025784330512E-2</v>
      </c>
      <c r="AM752" s="26">
        <f t="shared" si="263"/>
        <v>-1.5941136803629519E-2</v>
      </c>
      <c r="AN752" s="26">
        <f t="shared" si="264"/>
        <v>-6.7688551165146862</v>
      </c>
      <c r="AO752" s="26">
        <f t="shared" si="265"/>
        <v>-7.7570258620689856</v>
      </c>
      <c r="AP752" s="26">
        <f t="shared" si="266"/>
        <v>-11.50848056944978</v>
      </c>
      <c r="AS752" s="2">
        <v>44728</v>
      </c>
      <c r="AT752">
        <v>18.3</v>
      </c>
      <c r="AU752">
        <v>302.8</v>
      </c>
      <c r="AV752">
        <v>4.9000000000000004</v>
      </c>
      <c r="AW752">
        <v>5.0999999999999996</v>
      </c>
      <c r="AX752">
        <v>296.77</v>
      </c>
      <c r="AY752">
        <v>0.1</v>
      </c>
      <c r="AZ752">
        <v>3.3</v>
      </c>
      <c r="BA752">
        <v>253.80940000000001</v>
      </c>
      <c r="BB752">
        <v>106.2274</v>
      </c>
      <c r="BC752">
        <v>30.0932</v>
      </c>
      <c r="BD752">
        <v>4.3055000000000003</v>
      </c>
      <c r="BE752">
        <v>22.4068</v>
      </c>
      <c r="BF752">
        <v>-11.5083</v>
      </c>
      <c r="BG752">
        <v>83.452100000000002</v>
      </c>
      <c r="BH752">
        <v>53.66</v>
      </c>
    </row>
    <row r="753" spans="1:60" x14ac:dyDescent="0.25">
      <c r="A753" s="2">
        <v>44748</v>
      </c>
      <c r="B753">
        <v>18.5</v>
      </c>
      <c r="C753">
        <v>49.6</v>
      </c>
      <c r="D753">
        <v>50.5</v>
      </c>
      <c r="E753">
        <v>7.8</v>
      </c>
      <c r="F753">
        <v>265.31</v>
      </c>
      <c r="G753">
        <v>0.5</v>
      </c>
      <c r="H753">
        <v>2.9</v>
      </c>
      <c r="I753">
        <v>247.6482</v>
      </c>
      <c r="J753">
        <v>154.5899</v>
      </c>
      <c r="K753">
        <v>40.296599999999998</v>
      </c>
      <c r="L753">
        <v>4.3868</v>
      </c>
      <c r="M753">
        <v>27.469899999999999</v>
      </c>
      <c r="N753">
        <v>-21.142499999999998</v>
      </c>
      <c r="O753">
        <v>140.74459999999999</v>
      </c>
      <c r="P753">
        <v>60.65</v>
      </c>
      <c r="S753">
        <f t="shared" si="245"/>
        <v>869.50139999999999</v>
      </c>
      <c r="T753">
        <f t="shared" si="246"/>
        <v>1.7343102343521856E-2</v>
      </c>
      <c r="U753">
        <f t="shared" si="247"/>
        <v>4.6498263580469407E-2</v>
      </c>
      <c r="V753">
        <f t="shared" si="248"/>
        <v>4.7341982072856954E-2</v>
      </c>
      <c r="W753">
        <f t="shared" si="249"/>
        <v>7.3122269340254306E-3</v>
      </c>
      <c r="X753">
        <f t="shared" si="250"/>
        <v>0.24871883690593424</v>
      </c>
      <c r="Y753">
        <f t="shared" si="251"/>
        <v>4.6873249577086097E-4</v>
      </c>
      <c r="Z753">
        <f t="shared" si="252"/>
        <v>2.7186484754709935E-3</v>
      </c>
      <c r="AA753">
        <f t="shared" si="253"/>
        <v>0.23216151771832266</v>
      </c>
      <c r="AB753">
        <f t="shared" si="254"/>
        <v>0.14492261929593564</v>
      </c>
      <c r="AC753">
        <f t="shared" si="255"/>
        <v>3.7776651778160149E-2</v>
      </c>
      <c r="AD753">
        <f t="shared" si="256"/>
        <v>4.1124714248952261E-3</v>
      </c>
      <c r="AE753">
        <f t="shared" si="257"/>
        <v>2.5752069571151944E-2</v>
      </c>
      <c r="AG753">
        <f t="shared" si="258"/>
        <v>0.37361489667806375</v>
      </c>
      <c r="AH753">
        <f t="shared" si="259"/>
        <v>0.39615386237920164</v>
      </c>
      <c r="AI753">
        <f t="shared" si="260"/>
        <v>1.2614417515479213</v>
      </c>
      <c r="AK753" s="26">
        <f t="shared" si="261"/>
        <v>-0.10042075884085827</v>
      </c>
      <c r="AL753" s="26">
        <f t="shared" si="262"/>
        <v>-3.3913642849054848E-2</v>
      </c>
      <c r="AM753" s="26">
        <f t="shared" si="263"/>
        <v>-1.3863598995826565E-2</v>
      </c>
      <c r="AN753" s="26">
        <f t="shared" si="264"/>
        <v>-6.6173706004140769</v>
      </c>
      <c r="AO753" s="26">
        <f t="shared" si="265"/>
        <v>-7.7295232919254886</v>
      </c>
      <c r="AP753" s="26">
        <f t="shared" si="266"/>
        <v>-11.529264211461928</v>
      </c>
      <c r="AS753" s="2">
        <v>44727</v>
      </c>
      <c r="AT753">
        <v>18.7</v>
      </c>
      <c r="AU753">
        <v>245.2</v>
      </c>
      <c r="AV753">
        <v>2.2000000000000002</v>
      </c>
      <c r="AW753">
        <v>2</v>
      </c>
      <c r="AX753">
        <v>327.38</v>
      </c>
      <c r="AY753">
        <v>0.4</v>
      </c>
      <c r="AZ753">
        <v>3.1</v>
      </c>
      <c r="BA753">
        <v>248.9699</v>
      </c>
      <c r="BB753">
        <v>142.69630000000001</v>
      </c>
      <c r="BC753">
        <v>76.673100000000005</v>
      </c>
      <c r="BD753">
        <v>4.7378999999999998</v>
      </c>
      <c r="BE753">
        <v>21.653700000000001</v>
      </c>
      <c r="BF753">
        <v>-31.505800000000001</v>
      </c>
      <c r="BG753">
        <v>53.932899999999997</v>
      </c>
      <c r="BH753">
        <v>53.33</v>
      </c>
    </row>
    <row r="754" spans="1:60" x14ac:dyDescent="0.25">
      <c r="A754" s="2">
        <v>44747</v>
      </c>
      <c r="B754">
        <v>19.399999999999999</v>
      </c>
      <c r="C754">
        <v>47.9</v>
      </c>
      <c r="D754">
        <v>45.7</v>
      </c>
      <c r="E754">
        <v>4.8</v>
      </c>
      <c r="F754">
        <v>290.64</v>
      </c>
      <c r="G754">
        <v>0.6</v>
      </c>
      <c r="H754">
        <v>2.9</v>
      </c>
      <c r="I754">
        <v>245.54650000000001</v>
      </c>
      <c r="J754">
        <v>162.4563</v>
      </c>
      <c r="K754">
        <v>55.240499999999997</v>
      </c>
      <c r="L754">
        <v>4.4606000000000003</v>
      </c>
      <c r="M754">
        <v>29.154499999999999</v>
      </c>
      <c r="N754">
        <v>-27.1372</v>
      </c>
      <c r="O754">
        <v>128.64359999999999</v>
      </c>
      <c r="P754">
        <v>60.29</v>
      </c>
      <c r="S754">
        <f t="shared" si="245"/>
        <v>908.79840000000002</v>
      </c>
      <c r="T754">
        <f t="shared" si="246"/>
        <v>1.8186820835909404E-2</v>
      </c>
      <c r="U754">
        <f t="shared" si="247"/>
        <v>4.4904573094848479E-2</v>
      </c>
      <c r="V754">
        <f t="shared" si="248"/>
        <v>4.2842150113456691E-2</v>
      </c>
      <c r="W754">
        <f t="shared" si="249"/>
        <v>4.4998319594002651E-3</v>
      </c>
      <c r="X754">
        <f t="shared" si="250"/>
        <v>0.27246482514168602</v>
      </c>
      <c r="Y754">
        <f t="shared" si="251"/>
        <v>5.6247899492503314E-4</v>
      </c>
      <c r="Z754">
        <f t="shared" si="252"/>
        <v>2.7186484754709935E-3</v>
      </c>
      <c r="AA754">
        <f t="shared" si="253"/>
        <v>0.23019124754559941</v>
      </c>
      <c r="AB754">
        <f t="shared" si="254"/>
        <v>0.15229709390539944</v>
      </c>
      <c r="AC754">
        <f t="shared" si="255"/>
        <v>5.178603486526049E-2</v>
      </c>
      <c r="AD754">
        <f t="shared" si="256"/>
        <v>4.1816563412710051E-3</v>
      </c>
      <c r="AE754">
        <f t="shared" si="257"/>
        <v>2.733132309590313E-2</v>
      </c>
      <c r="AG754">
        <f t="shared" si="258"/>
        <v>0.3587965623004481</v>
      </c>
      <c r="AH754">
        <f t="shared" si="259"/>
        <v>0.41351065171159995</v>
      </c>
      <c r="AI754">
        <f t="shared" si="260"/>
        <v>1.4114070134827501</v>
      </c>
      <c r="AK754" s="26">
        <f t="shared" si="261"/>
        <v>-8.7216910404216141E-2</v>
      </c>
      <c r="AL754" s="26">
        <f t="shared" si="262"/>
        <v>-2.9611037582747302E-2</v>
      </c>
      <c r="AM754" s="26">
        <f t="shared" si="263"/>
        <v>-1.3614563295753557E-2</v>
      </c>
      <c r="AN754" s="26">
        <f t="shared" si="264"/>
        <v>-6.4522222222222183</v>
      </c>
      <c r="AO754" s="26">
        <f t="shared" si="265"/>
        <v>-7.699946741854653</v>
      </c>
      <c r="AP754" s="26">
        <f t="shared" si="266"/>
        <v>-11.549387905604732</v>
      </c>
      <c r="AS754" s="2">
        <v>44726</v>
      </c>
      <c r="AT754">
        <v>18.5</v>
      </c>
      <c r="AU754">
        <v>62.1</v>
      </c>
      <c r="AV754">
        <v>22.5</v>
      </c>
      <c r="AW754">
        <v>5.3</v>
      </c>
      <c r="AX754">
        <v>306.64999999999998</v>
      </c>
      <c r="AY754">
        <v>0.4</v>
      </c>
      <c r="AZ754">
        <v>3.2</v>
      </c>
      <c r="BA754">
        <v>242.5496</v>
      </c>
      <c r="BB754">
        <v>123.9834</v>
      </c>
      <c r="BC754">
        <v>81.952600000000004</v>
      </c>
      <c r="BD754">
        <v>4.1852</v>
      </c>
      <c r="BE754">
        <v>23.5977</v>
      </c>
      <c r="BF754">
        <v>-22.259399999999999</v>
      </c>
      <c r="BG754">
        <v>22.310099999999998</v>
      </c>
      <c r="BH754">
        <v>52.99</v>
      </c>
    </row>
    <row r="755" spans="1:60" x14ac:dyDescent="0.25">
      <c r="A755" s="2">
        <v>44746</v>
      </c>
      <c r="B755">
        <v>16</v>
      </c>
      <c r="C755">
        <v>83.4</v>
      </c>
      <c r="D755">
        <v>42</v>
      </c>
      <c r="E755">
        <v>5.7</v>
      </c>
      <c r="F755">
        <v>287.36</v>
      </c>
      <c r="G755">
        <v>0.6</v>
      </c>
      <c r="H755">
        <v>3</v>
      </c>
      <c r="I755">
        <v>251.7517</v>
      </c>
      <c r="J755">
        <v>133.86670000000001</v>
      </c>
      <c r="K755">
        <v>39.575000000000003</v>
      </c>
      <c r="L755">
        <v>4.4923000000000002</v>
      </c>
      <c r="M755">
        <v>32.608699999999999</v>
      </c>
      <c r="N755">
        <v>-34.0306</v>
      </c>
      <c r="O755">
        <v>115.8535</v>
      </c>
      <c r="P755">
        <v>59.94</v>
      </c>
      <c r="S755">
        <f t="shared" si="245"/>
        <v>900.35440000000017</v>
      </c>
      <c r="T755">
        <f t="shared" si="246"/>
        <v>1.4999439864667551E-2</v>
      </c>
      <c r="U755">
        <f t="shared" si="247"/>
        <v>7.8184580294579614E-2</v>
      </c>
      <c r="V755">
        <f t="shared" si="248"/>
        <v>3.9373529644752318E-2</v>
      </c>
      <c r="W755">
        <f t="shared" si="249"/>
        <v>5.3435504517878154E-3</v>
      </c>
      <c r="X755">
        <f t="shared" si="250"/>
        <v>0.26938993996942923</v>
      </c>
      <c r="Y755">
        <f t="shared" si="251"/>
        <v>5.6247899492503314E-4</v>
      </c>
      <c r="Z755">
        <f t="shared" si="252"/>
        <v>2.8123949746251659E-3</v>
      </c>
      <c r="AA755">
        <f t="shared" si="253"/>
        <v>0.23600840531111411</v>
      </c>
      <c r="AB755">
        <f t="shared" si="254"/>
        <v>0.12549534478321822</v>
      </c>
      <c r="AC755">
        <f t="shared" si="255"/>
        <v>3.7100177040263645E-2</v>
      </c>
      <c r="AD755">
        <f t="shared" si="256"/>
        <v>4.2113739815028773E-3</v>
      </c>
      <c r="AE755">
        <f t="shared" si="257"/>
        <v>3.0569514669686545E-2</v>
      </c>
      <c r="AG755">
        <f t="shared" si="258"/>
        <v>0.34442535447724415</v>
      </c>
      <c r="AH755">
        <f t="shared" si="259"/>
        <v>0.44123542886445322</v>
      </c>
      <c r="AI755">
        <f t="shared" si="260"/>
        <v>1.6544710941205381</v>
      </c>
      <c r="AK755" s="26">
        <f t="shared" si="261"/>
        <v>-9.181696183533139E-2</v>
      </c>
      <c r="AL755" s="26">
        <f t="shared" si="262"/>
        <v>-2.519911026476529E-2</v>
      </c>
      <c r="AM755" s="26">
        <f t="shared" si="263"/>
        <v>-1.3100779045805977E-2</v>
      </c>
      <c r="AN755" s="26">
        <f t="shared" si="264"/>
        <v>-6.2734523809523708</v>
      </c>
      <c r="AO755" s="26">
        <f t="shared" si="265"/>
        <v>-7.6679329962073481</v>
      </c>
      <c r="AP755" s="26">
        <f t="shared" si="266"/>
        <v>-11.56840824919108</v>
      </c>
      <c r="AS755" s="2">
        <v>44725</v>
      </c>
      <c r="AT755">
        <v>18.100000000000001</v>
      </c>
      <c r="AU755">
        <v>155.69999999999999</v>
      </c>
      <c r="AV755">
        <v>41</v>
      </c>
      <c r="AW755">
        <v>11</v>
      </c>
      <c r="AX755">
        <v>263.56</v>
      </c>
      <c r="AY755">
        <v>0.8</v>
      </c>
      <c r="AZ755">
        <v>3</v>
      </c>
      <c r="BA755">
        <v>245.22710000000001</v>
      </c>
      <c r="BB755">
        <v>87.744299999999996</v>
      </c>
      <c r="BC755">
        <v>50.752899999999997</v>
      </c>
      <c r="BD755">
        <v>4.2062999999999997</v>
      </c>
      <c r="BE755">
        <v>21.512</v>
      </c>
      <c r="BF755">
        <v>-21.662700000000001</v>
      </c>
      <c r="BG755">
        <v>0.77910000000000001</v>
      </c>
      <c r="BH755">
        <v>52.66</v>
      </c>
    </row>
    <row r="756" spans="1:60" x14ac:dyDescent="0.25">
      <c r="A756" s="2">
        <v>44745</v>
      </c>
      <c r="B756">
        <v>15.5</v>
      </c>
      <c r="C756">
        <v>33.299999999999997</v>
      </c>
      <c r="D756">
        <v>18.3</v>
      </c>
      <c r="E756">
        <v>4.9000000000000004</v>
      </c>
      <c r="F756">
        <v>322.35000000000002</v>
      </c>
      <c r="G756">
        <v>0.6</v>
      </c>
      <c r="H756">
        <v>3.1</v>
      </c>
      <c r="I756">
        <v>225.11</v>
      </c>
      <c r="J756">
        <v>65.117500000000007</v>
      </c>
      <c r="K756">
        <v>26.304300000000001</v>
      </c>
      <c r="L756">
        <v>4.4055999999999997</v>
      </c>
      <c r="M756">
        <v>12.178900000000001</v>
      </c>
      <c r="P756">
        <v>59.57</v>
      </c>
      <c r="S756">
        <f t="shared" si="245"/>
        <v>731.16630000000021</v>
      </c>
      <c r="T756">
        <f t="shared" si="246"/>
        <v>1.453070736889669E-2</v>
      </c>
      <c r="U756">
        <f t="shared" si="247"/>
        <v>3.1217584218339336E-2</v>
      </c>
      <c r="V756">
        <f t="shared" si="248"/>
        <v>1.7155609345213513E-2</v>
      </c>
      <c r="W756">
        <f t="shared" si="249"/>
        <v>4.5935784585544375E-3</v>
      </c>
      <c r="X756">
        <f t="shared" si="250"/>
        <v>0.3021918400234741</v>
      </c>
      <c r="Y756">
        <f t="shared" si="251"/>
        <v>5.6247899492503314E-4</v>
      </c>
      <c r="Z756">
        <f t="shared" si="252"/>
        <v>2.9061414737793379E-3</v>
      </c>
      <c r="AA756">
        <f t="shared" si="253"/>
        <v>0.21103274424595703</v>
      </c>
      <c r="AB756">
        <f t="shared" si="254"/>
        <v>6.1045376586718082E-2</v>
      </c>
      <c r="AC756">
        <f t="shared" si="255"/>
        <v>2.4659360377010917E-2</v>
      </c>
      <c r="AD756">
        <f t="shared" si="256"/>
        <v>4.1300957667362095E-3</v>
      </c>
      <c r="AE756">
        <f t="shared" si="257"/>
        <v>1.1417292385487478E-2</v>
      </c>
      <c r="AG756">
        <f t="shared" si="258"/>
        <v>0.32918169241248818</v>
      </c>
      <c r="AH756">
        <f t="shared" si="259"/>
        <v>0.38457523226866991</v>
      </c>
      <c r="AI756">
        <f t="shared" si="260"/>
        <v>1.1793642487820031</v>
      </c>
      <c r="AK756" s="26">
        <f t="shared" si="261"/>
        <v>-8.2221034468958176E-2</v>
      </c>
      <c r="AL756" s="26">
        <f t="shared" si="262"/>
        <v>-1.9140244932250194E-2</v>
      </c>
      <c r="AM756" s="26">
        <f t="shared" si="263"/>
        <v>-1.1585978903209393E-2</v>
      </c>
      <c r="AN756" s="26">
        <f t="shared" si="264"/>
        <v>-6.0771539313399714</v>
      </c>
      <c r="AO756" s="26">
        <f t="shared" si="265"/>
        <v>-7.632142857142874</v>
      </c>
      <c r="AP756" s="26">
        <f t="shared" si="266"/>
        <v>-11.587300884955781</v>
      </c>
      <c r="AS756" s="2">
        <v>44724</v>
      </c>
      <c r="AT756">
        <v>19.100000000000001</v>
      </c>
      <c r="AU756">
        <v>63.7</v>
      </c>
      <c r="AV756">
        <v>31.6</v>
      </c>
      <c r="AW756">
        <v>6.4</v>
      </c>
      <c r="AX756">
        <v>305.45</v>
      </c>
      <c r="AY756">
        <v>0.7</v>
      </c>
      <c r="AZ756">
        <v>3.2</v>
      </c>
      <c r="BA756">
        <v>200.4248</v>
      </c>
      <c r="BB756">
        <v>75.220200000000006</v>
      </c>
      <c r="BC756">
        <v>27.909099999999999</v>
      </c>
      <c r="BD756">
        <v>4.2880000000000003</v>
      </c>
      <c r="BE756">
        <v>15.4186</v>
      </c>
      <c r="BH756">
        <v>52.23</v>
      </c>
    </row>
    <row r="757" spans="1:60" x14ac:dyDescent="0.25">
      <c r="A757" s="2">
        <v>44744</v>
      </c>
      <c r="C757">
        <v>44.7</v>
      </c>
      <c r="F757">
        <v>336.79</v>
      </c>
      <c r="K757">
        <v>25.485099999999999</v>
      </c>
      <c r="P757">
        <v>59.11</v>
      </c>
      <c r="S757">
        <f t="shared" si="245"/>
        <v>406.9751</v>
      </c>
      <c r="T757">
        <f t="shared" si="246"/>
        <v>0</v>
      </c>
      <c r="U757">
        <f t="shared" si="247"/>
        <v>4.1904685121914975E-2</v>
      </c>
      <c r="V757">
        <f t="shared" si="248"/>
        <v>0</v>
      </c>
      <c r="W757">
        <f t="shared" si="249"/>
        <v>0</v>
      </c>
      <c r="X757">
        <f t="shared" si="250"/>
        <v>0.31572883450133654</v>
      </c>
      <c r="Y757">
        <f t="shared" si="251"/>
        <v>0</v>
      </c>
      <c r="Z757">
        <f t="shared" si="252"/>
        <v>0</v>
      </c>
      <c r="AA757">
        <f t="shared" si="253"/>
        <v>0</v>
      </c>
      <c r="AB757">
        <f t="shared" si="254"/>
        <v>0</v>
      </c>
      <c r="AC757">
        <f t="shared" si="255"/>
        <v>2.3891389055939936E-2</v>
      </c>
      <c r="AD757">
        <f t="shared" si="256"/>
        <v>0</v>
      </c>
      <c r="AE757">
        <f t="shared" si="257"/>
        <v>0</v>
      </c>
      <c r="AG757">
        <f t="shared" si="258"/>
        <v>0.30996536521231721</v>
      </c>
      <c r="AH757">
        <f t="shared" si="259"/>
        <v>0.35763351962325152</v>
      </c>
      <c r="AI757">
        <f t="shared" si="260"/>
        <v>0.94999008733263179</v>
      </c>
      <c r="AK757" s="26">
        <f t="shared" si="261"/>
        <v>-8.8907505753189009E-2</v>
      </c>
      <c r="AL757" s="26">
        <f t="shared" si="262"/>
        <v>-1.9591643691278637E-2</v>
      </c>
      <c r="AM757" s="26">
        <f t="shared" si="263"/>
        <v>-1.1052356570343924E-2</v>
      </c>
      <c r="AN757" s="26">
        <f t="shared" si="264"/>
        <v>-5.8657142857142759</v>
      </c>
      <c r="AO757" s="26">
        <f t="shared" si="265"/>
        <v>-7.5919031531531758</v>
      </c>
      <c r="AP757" s="26">
        <f t="shared" si="266"/>
        <v>-11.60580963618488</v>
      </c>
      <c r="AS757" s="2">
        <v>44723</v>
      </c>
      <c r="AU757">
        <v>232.9</v>
      </c>
      <c r="AX757">
        <v>280.27999999999997</v>
      </c>
      <c r="BC757">
        <v>29.552700000000002</v>
      </c>
      <c r="BH757">
        <v>51.71</v>
      </c>
    </row>
    <row r="758" spans="1:60" x14ac:dyDescent="0.25">
      <c r="A758" s="2">
        <v>44743</v>
      </c>
      <c r="C758">
        <v>7.5</v>
      </c>
      <c r="F758">
        <v>136.97</v>
      </c>
      <c r="K758">
        <v>62.5563</v>
      </c>
      <c r="N758">
        <v>-32.430300000000003</v>
      </c>
      <c r="O758">
        <v>93.437600000000003</v>
      </c>
      <c r="P758">
        <v>58.68</v>
      </c>
      <c r="S758">
        <f t="shared" si="245"/>
        <v>207.02629999999999</v>
      </c>
      <c r="T758">
        <f t="shared" si="246"/>
        <v>0</v>
      </c>
      <c r="U758">
        <f t="shared" si="247"/>
        <v>7.0309874365629141E-3</v>
      </c>
      <c r="V758">
        <f t="shared" si="248"/>
        <v>0</v>
      </c>
      <c r="W758">
        <f t="shared" si="249"/>
        <v>0</v>
      </c>
      <c r="X758">
        <f t="shared" si="250"/>
        <v>0.12840457989146964</v>
      </c>
      <c r="Y758">
        <f t="shared" si="251"/>
        <v>0</v>
      </c>
      <c r="Z758">
        <f t="shared" si="252"/>
        <v>0</v>
      </c>
      <c r="AA758">
        <f t="shared" si="253"/>
        <v>0</v>
      </c>
      <c r="AB758">
        <f t="shared" si="254"/>
        <v>0</v>
      </c>
      <c r="AC758">
        <f t="shared" si="255"/>
        <v>5.864434125038142E-2</v>
      </c>
      <c r="AD758">
        <f t="shared" si="256"/>
        <v>0</v>
      </c>
      <c r="AE758">
        <f t="shared" si="257"/>
        <v>0</v>
      </c>
      <c r="AG758">
        <f t="shared" si="258"/>
        <v>0.29209302197927112</v>
      </c>
      <c r="AH758">
        <f t="shared" si="259"/>
        <v>0.13543556732803255</v>
      </c>
      <c r="AI758">
        <f t="shared" si="260"/>
        <v>-0.95773707548817177</v>
      </c>
      <c r="AK758" s="26">
        <f t="shared" si="261"/>
        <v>-8.5243635879401203E-2</v>
      </c>
      <c r="AL758" s="26">
        <f t="shared" si="262"/>
        <v>-2.1279606537207674E-2</v>
      </c>
      <c r="AM758" s="26">
        <f t="shared" si="263"/>
        <v>-1.0076628829948142E-2</v>
      </c>
      <c r="AN758" s="26">
        <f t="shared" si="264"/>
        <v>-5.9359523809523793</v>
      </c>
      <c r="AO758" s="26">
        <f t="shared" si="265"/>
        <v>-7.7072393822393934</v>
      </c>
      <c r="AP758" s="26">
        <f t="shared" si="266"/>
        <v>-11.727893018682408</v>
      </c>
      <c r="AS758" s="2">
        <v>44722</v>
      </c>
      <c r="AU758">
        <v>34.299999999999997</v>
      </c>
      <c r="AX758">
        <v>275.83</v>
      </c>
      <c r="BC758">
        <v>50.237299999999998</v>
      </c>
      <c r="BF758">
        <v>-19.467500000000001</v>
      </c>
      <c r="BG758">
        <v>0.64349999999999996</v>
      </c>
      <c r="BH758">
        <v>51.19</v>
      </c>
    </row>
    <row r="759" spans="1:60" x14ac:dyDescent="0.25">
      <c r="A759" s="2">
        <v>44742</v>
      </c>
      <c r="B759">
        <v>18.7</v>
      </c>
      <c r="C759">
        <v>152.19999999999999</v>
      </c>
      <c r="D759">
        <v>32.799999999999997</v>
      </c>
      <c r="E759">
        <v>5.0999999999999996</v>
      </c>
      <c r="F759">
        <v>283.25</v>
      </c>
      <c r="G759">
        <v>0.6</v>
      </c>
      <c r="H759">
        <v>2.9</v>
      </c>
      <c r="I759">
        <v>266.89859999999999</v>
      </c>
      <c r="J759">
        <v>136.03559999999999</v>
      </c>
      <c r="K759">
        <v>84.211600000000004</v>
      </c>
      <c r="L759">
        <v>4.4535999999999998</v>
      </c>
      <c r="M759">
        <v>25.032800000000002</v>
      </c>
      <c r="N759">
        <v>-38.636200000000002</v>
      </c>
      <c r="O759">
        <v>69.1785</v>
      </c>
      <c r="P759">
        <v>58.32</v>
      </c>
      <c r="S759">
        <f t="shared" si="245"/>
        <v>1012.1821999999999</v>
      </c>
      <c r="T759">
        <f t="shared" si="246"/>
        <v>1.7530595341830199E-2</v>
      </c>
      <c r="U759">
        <f t="shared" si="247"/>
        <v>0.14268217171265007</v>
      </c>
      <c r="V759">
        <f t="shared" si="248"/>
        <v>3.0748851722568474E-2</v>
      </c>
      <c r="W759">
        <f t="shared" si="249"/>
        <v>4.7810714568627816E-3</v>
      </c>
      <c r="X759">
        <f t="shared" si="250"/>
        <v>0.26553695885419271</v>
      </c>
      <c r="Y759">
        <f t="shared" si="251"/>
        <v>5.6247899492503314E-4</v>
      </c>
      <c r="Z759">
        <f t="shared" si="252"/>
        <v>2.7186484754709935E-3</v>
      </c>
      <c r="AA759">
        <f t="shared" si="253"/>
        <v>0.25020809379149739</v>
      </c>
      <c r="AB759">
        <f t="shared" si="254"/>
        <v>0.12752861260337306</v>
      </c>
      <c r="AC759">
        <f t="shared" si="255"/>
        <v>7.8945426881714867E-2</v>
      </c>
      <c r="AD759">
        <f t="shared" si="256"/>
        <v>4.1750940863302128E-3</v>
      </c>
      <c r="AE759">
        <f t="shared" si="257"/>
        <v>2.3467373640265618E-2</v>
      </c>
      <c r="AG759">
        <f t="shared" si="258"/>
        <v>0.2773247694500246</v>
      </c>
      <c r="AH759">
        <f t="shared" si="259"/>
        <v>0.48802815019876589</v>
      </c>
      <c r="AI759">
        <f t="shared" si="260"/>
        <v>2.074720615660838</v>
      </c>
      <c r="AK759" s="26">
        <f t="shared" si="261"/>
        <v>-7.39081417785446E-2</v>
      </c>
      <c r="AL759" s="26">
        <f t="shared" si="262"/>
        <v>-1.7218366910514926E-2</v>
      </c>
      <c r="AM759" s="26">
        <f t="shared" si="263"/>
        <v>-5.8535503002862255E-3</v>
      </c>
      <c r="AN759" s="26">
        <f t="shared" si="264"/>
        <v>-6.0100000000000051</v>
      </c>
      <c r="AO759" s="26">
        <f t="shared" si="265"/>
        <v>-7.8250836550836596</v>
      </c>
      <c r="AP759" s="26">
        <f t="shared" si="266"/>
        <v>-11.849242084562455</v>
      </c>
      <c r="AS759" s="2">
        <v>44721</v>
      </c>
      <c r="AT759">
        <v>21.7</v>
      </c>
      <c r="AU759">
        <v>134.6</v>
      </c>
      <c r="AV759">
        <v>16.8</v>
      </c>
      <c r="AW759">
        <v>6.3</v>
      </c>
      <c r="AX759">
        <v>190.7</v>
      </c>
      <c r="AY759">
        <v>0.8</v>
      </c>
      <c r="AZ759">
        <v>2.8</v>
      </c>
      <c r="BA759">
        <v>273.03739999999999</v>
      </c>
      <c r="BB759">
        <v>87.902900000000002</v>
      </c>
      <c r="BC759">
        <v>73.903099999999995</v>
      </c>
      <c r="BD759">
        <v>4.3573000000000004</v>
      </c>
      <c r="BE759">
        <v>16.352799999999998</v>
      </c>
      <c r="BF759">
        <v>-20.729600000000001</v>
      </c>
      <c r="BG759">
        <v>2.7505000000000002</v>
      </c>
      <c r="BH759">
        <v>50.95</v>
      </c>
    </row>
    <row r="760" spans="1:60" x14ac:dyDescent="0.25">
      <c r="A760" s="2">
        <v>44741</v>
      </c>
      <c r="B760">
        <v>18.7</v>
      </c>
      <c r="C760">
        <v>109.9</v>
      </c>
      <c r="D760">
        <v>24.3</v>
      </c>
      <c r="E760">
        <v>5.9</v>
      </c>
      <c r="F760">
        <v>206.87</v>
      </c>
      <c r="G760">
        <v>0.7</v>
      </c>
      <c r="H760">
        <v>3.2</v>
      </c>
      <c r="I760">
        <v>273.21679999999998</v>
      </c>
      <c r="J760">
        <v>130.5309</v>
      </c>
      <c r="K760">
        <v>92.121399999999994</v>
      </c>
      <c r="L760">
        <v>4.3598999999999997</v>
      </c>
      <c r="M760">
        <v>21.845400000000001</v>
      </c>
      <c r="N760">
        <v>-34.808100000000003</v>
      </c>
      <c r="O760">
        <v>66.249700000000004</v>
      </c>
      <c r="P760">
        <v>58.04</v>
      </c>
      <c r="S760">
        <f t="shared" si="245"/>
        <v>891.64440000000002</v>
      </c>
      <c r="T760">
        <f t="shared" si="246"/>
        <v>1.7530595341830199E-2</v>
      </c>
      <c r="U760">
        <f t="shared" si="247"/>
        <v>0.10302740257043524</v>
      </c>
      <c r="V760">
        <f t="shared" si="248"/>
        <v>2.2780399294463842E-2</v>
      </c>
      <c r="W760">
        <f t="shared" si="249"/>
        <v>5.5310434500961594E-3</v>
      </c>
      <c r="X760">
        <f t="shared" si="250"/>
        <v>0.193933382800236</v>
      </c>
      <c r="Y760">
        <f t="shared" si="251"/>
        <v>6.5622549407920526E-4</v>
      </c>
      <c r="Z760">
        <f t="shared" si="252"/>
        <v>2.9998879729335104E-3</v>
      </c>
      <c r="AA760">
        <f t="shared" si="253"/>
        <v>0.25613118510105631</v>
      </c>
      <c r="AB760">
        <f t="shared" si="254"/>
        <v>0.12236814906443336</v>
      </c>
      <c r="AC760">
        <f t="shared" si="255"/>
        <v>8.6360587471811578E-2</v>
      </c>
      <c r="AD760">
        <f t="shared" si="256"/>
        <v>4.0872536166227528E-3</v>
      </c>
      <c r="AE760">
        <f t="shared" si="257"/>
        <v>2.0479297726225532E-2</v>
      </c>
      <c r="AG760">
        <f t="shared" si="258"/>
        <v>0.26610339636400548</v>
      </c>
      <c r="AH760">
        <f t="shared" si="259"/>
        <v>0.36693823465029973</v>
      </c>
      <c r="AI760">
        <f t="shared" si="260"/>
        <v>1.042554171936672</v>
      </c>
      <c r="AK760" s="26">
        <f t="shared" si="261"/>
        <v>-6.9711544030956085E-2</v>
      </c>
      <c r="AL760" s="26">
        <f t="shared" si="262"/>
        <v>-1.4344868009969203E-2</v>
      </c>
      <c r="AM760" s="26">
        <f t="shared" si="263"/>
        <v>-4.6876666263652722E-3</v>
      </c>
      <c r="AN760" s="26">
        <f t="shared" si="264"/>
        <v>-6.0785714285714079</v>
      </c>
      <c r="AO760" s="26">
        <f t="shared" si="265"/>
        <v>-7.9445398970398955</v>
      </c>
      <c r="AP760" s="26">
        <f t="shared" si="266"/>
        <v>-11.9713644051131</v>
      </c>
      <c r="AS760" s="2">
        <v>44720</v>
      </c>
      <c r="AT760">
        <v>22.2</v>
      </c>
      <c r="AU760">
        <v>60</v>
      </c>
      <c r="AV760">
        <v>10.6</v>
      </c>
      <c r="AW760">
        <v>3.6</v>
      </c>
      <c r="AX760">
        <v>228</v>
      </c>
      <c r="AY760">
        <v>0.8</v>
      </c>
      <c r="AZ760">
        <v>2.9</v>
      </c>
      <c r="BA760">
        <v>257.53359999999998</v>
      </c>
      <c r="BB760">
        <v>88.456900000000005</v>
      </c>
      <c r="BC760">
        <v>87.580100000000002</v>
      </c>
      <c r="BD760">
        <v>4.3403999999999998</v>
      </c>
      <c r="BE760">
        <v>27.328600000000002</v>
      </c>
      <c r="BF760">
        <v>-17.317299999999999</v>
      </c>
      <c r="BG760">
        <v>-4.5425000000000004</v>
      </c>
      <c r="BH760">
        <v>50.71</v>
      </c>
    </row>
    <row r="761" spans="1:60" x14ac:dyDescent="0.25">
      <c r="A761" s="2">
        <v>44740</v>
      </c>
      <c r="B761">
        <v>18</v>
      </c>
      <c r="C761">
        <v>32.299999999999997</v>
      </c>
      <c r="D761">
        <v>9.1999999999999993</v>
      </c>
      <c r="E761">
        <v>2.7</v>
      </c>
      <c r="F761">
        <v>264.41000000000003</v>
      </c>
      <c r="G761">
        <v>0.6</v>
      </c>
      <c r="H761">
        <v>3.2</v>
      </c>
      <c r="I761">
        <v>269.3202</v>
      </c>
      <c r="J761">
        <v>137.6591</v>
      </c>
      <c r="K761">
        <v>79.829099999999997</v>
      </c>
      <c r="L761">
        <v>4.3285999999999998</v>
      </c>
      <c r="M761">
        <v>23.543600000000001</v>
      </c>
      <c r="N761">
        <v>-25.641300000000001</v>
      </c>
      <c r="O761">
        <v>55.388599999999997</v>
      </c>
      <c r="P761">
        <v>57.74</v>
      </c>
      <c r="S761">
        <f t="shared" si="245"/>
        <v>845.09059999999999</v>
      </c>
      <c r="T761">
        <f t="shared" si="246"/>
        <v>1.6874369847750995E-2</v>
      </c>
      <c r="U761">
        <f t="shared" si="247"/>
        <v>3.0280119226797617E-2</v>
      </c>
      <c r="V761">
        <f t="shared" si="248"/>
        <v>8.6246779221838404E-3</v>
      </c>
      <c r="W761">
        <f t="shared" si="249"/>
        <v>2.5311554771626494E-3</v>
      </c>
      <c r="X761">
        <f t="shared" si="250"/>
        <v>0.2478751184135467</v>
      </c>
      <c r="Y761">
        <f t="shared" si="251"/>
        <v>5.6247899492503314E-4</v>
      </c>
      <c r="Z761">
        <f t="shared" si="252"/>
        <v>2.9998879729335104E-3</v>
      </c>
      <c r="AA761">
        <f t="shared" si="253"/>
        <v>0.25247825901501486</v>
      </c>
      <c r="AB761">
        <f t="shared" si="254"/>
        <v>0.12905058701714103</v>
      </c>
      <c r="AC761">
        <f t="shared" si="255"/>
        <v>7.4836986556283264E-2</v>
      </c>
      <c r="AD761">
        <f t="shared" si="256"/>
        <v>4.0579109623874975E-3</v>
      </c>
      <c r="AE761">
        <f t="shared" si="257"/>
        <v>2.2071300774861684E-2</v>
      </c>
      <c r="AG761">
        <f t="shared" si="258"/>
        <v>0.25400570335469258</v>
      </c>
      <c r="AH761">
        <f t="shared" si="259"/>
        <v>0.33181910863016201</v>
      </c>
      <c r="AI761">
        <f t="shared" si="260"/>
        <v>0.73854008230725587</v>
      </c>
      <c r="AK761" s="26">
        <f t="shared" si="261"/>
        <v>-6.1051416539734837E-2</v>
      </c>
      <c r="AL761" s="26">
        <f t="shared" si="262"/>
        <v>-8.0036559276627228E-3</v>
      </c>
      <c r="AM761" s="26">
        <f t="shared" si="263"/>
        <v>-2.4477127488316541E-3</v>
      </c>
      <c r="AN761" s="26">
        <f t="shared" si="264"/>
        <v>-6.1466666666666541</v>
      </c>
      <c r="AO761" s="26">
        <f t="shared" si="265"/>
        <v>-8.0673085585585511</v>
      </c>
      <c r="AP761" s="26">
        <f t="shared" si="266"/>
        <v>-12.094618682399236</v>
      </c>
      <c r="AS761" s="2">
        <v>44719</v>
      </c>
      <c r="AT761">
        <v>19.600000000000001</v>
      </c>
      <c r="AU761">
        <v>38.6</v>
      </c>
      <c r="AV761">
        <v>59.2</v>
      </c>
      <c r="AW761">
        <v>12.8</v>
      </c>
      <c r="AX761">
        <v>195.98</v>
      </c>
      <c r="AY761">
        <v>0.6</v>
      </c>
      <c r="AZ761">
        <v>3</v>
      </c>
      <c r="BA761">
        <v>266.1026</v>
      </c>
      <c r="BB761">
        <v>78.912800000000004</v>
      </c>
      <c r="BC761">
        <v>56.581400000000002</v>
      </c>
      <c r="BD761">
        <v>4.1143999999999998</v>
      </c>
      <c r="BE761">
        <v>19.4039</v>
      </c>
      <c r="BF761">
        <v>-17.487200000000001</v>
      </c>
      <c r="BG761">
        <v>-8.5995000000000008</v>
      </c>
      <c r="BH761">
        <v>50.45</v>
      </c>
    </row>
    <row r="762" spans="1:60" x14ac:dyDescent="0.25">
      <c r="A762" s="2">
        <v>44739</v>
      </c>
      <c r="B762">
        <v>16.5</v>
      </c>
      <c r="C762">
        <v>80.599999999999994</v>
      </c>
      <c r="D762">
        <v>9.1999999999999993</v>
      </c>
      <c r="E762">
        <v>4.8</v>
      </c>
      <c r="F762">
        <v>216.51</v>
      </c>
      <c r="G762">
        <v>0.6</v>
      </c>
      <c r="H762">
        <v>3.1</v>
      </c>
      <c r="I762">
        <v>261.41520000000003</v>
      </c>
      <c r="J762">
        <v>140.52340000000001</v>
      </c>
      <c r="K762">
        <v>90.007000000000005</v>
      </c>
      <c r="L762">
        <v>4.5110000000000001</v>
      </c>
      <c r="M762">
        <v>28.895299999999999</v>
      </c>
      <c r="N762">
        <v>-24.553699999999999</v>
      </c>
      <c r="O762">
        <v>57.452599999999997</v>
      </c>
      <c r="P762">
        <v>57.43</v>
      </c>
      <c r="S762">
        <f t="shared" si="245"/>
        <v>856.66190000000017</v>
      </c>
      <c r="T762">
        <f t="shared" si="246"/>
        <v>1.5468172360438412E-2</v>
      </c>
      <c r="U762">
        <f t="shared" si="247"/>
        <v>7.5559678318262782E-2</v>
      </c>
      <c r="V762">
        <f t="shared" si="248"/>
        <v>8.6246779221838404E-3</v>
      </c>
      <c r="W762">
        <f t="shared" si="249"/>
        <v>4.4998319594002651E-3</v>
      </c>
      <c r="X762">
        <f t="shared" si="250"/>
        <v>0.20297054531869821</v>
      </c>
      <c r="Y762">
        <f t="shared" si="251"/>
        <v>5.6247899492503314E-4</v>
      </c>
      <c r="Z762">
        <f t="shared" si="252"/>
        <v>2.9061414737793379E-3</v>
      </c>
      <c r="AA762">
        <f t="shared" si="253"/>
        <v>0.24506759825687757</v>
      </c>
      <c r="AB762">
        <f t="shared" si="254"/>
        <v>0.13173576799241402</v>
      </c>
      <c r="AC762">
        <f t="shared" si="255"/>
        <v>8.4378411493695765E-2</v>
      </c>
      <c r="AD762">
        <f t="shared" si="256"/>
        <v>4.2289045768447078E-3</v>
      </c>
      <c r="AE762">
        <f t="shared" si="257"/>
        <v>2.7088332170095517E-2</v>
      </c>
      <c r="AG762">
        <f t="shared" si="258"/>
        <v>0.24147332944175773</v>
      </c>
      <c r="AH762">
        <f t="shared" si="259"/>
        <v>0.33767985851778337</v>
      </c>
      <c r="AI762">
        <f t="shared" si="260"/>
        <v>0.78985400544910356</v>
      </c>
      <c r="AK762" s="26">
        <f t="shared" si="261"/>
        <v>-4.2890025557750844E-2</v>
      </c>
      <c r="AL762" s="26">
        <f t="shared" si="262"/>
        <v>2.4073846859803405E-3</v>
      </c>
      <c r="AM762" s="26">
        <f t="shared" si="263"/>
        <v>1.4312704447996261E-3</v>
      </c>
      <c r="AN762" s="26">
        <f t="shared" si="264"/>
        <v>-6.2128571428571249</v>
      </c>
      <c r="AO762" s="26">
        <f t="shared" si="265"/>
        <v>-8.193846525096518</v>
      </c>
      <c r="AP762" s="26">
        <f t="shared" si="266"/>
        <v>-12.217496951819101</v>
      </c>
      <c r="AS762" s="2">
        <v>44718</v>
      </c>
      <c r="AT762">
        <v>18.5</v>
      </c>
      <c r="AU762">
        <v>18.399999999999999</v>
      </c>
      <c r="AV762">
        <v>69.599999999999994</v>
      </c>
      <c r="AW762">
        <v>12.5</v>
      </c>
      <c r="AX762">
        <v>232.31</v>
      </c>
      <c r="AY762">
        <v>0.7</v>
      </c>
      <c r="AZ762">
        <v>3.3</v>
      </c>
      <c r="BA762">
        <v>182.9024</v>
      </c>
      <c r="BB762">
        <v>41.403500000000001</v>
      </c>
      <c r="BC762">
        <v>22.0823</v>
      </c>
      <c r="BD762">
        <v>4.0812999999999997</v>
      </c>
      <c r="BE762">
        <v>11.4795</v>
      </c>
      <c r="BF762">
        <v>-17.6386</v>
      </c>
      <c r="BG762">
        <v>-6.2851999999999997</v>
      </c>
      <c r="BH762">
        <v>50.1</v>
      </c>
    </row>
    <row r="763" spans="1:60" x14ac:dyDescent="0.25">
      <c r="A763" s="2">
        <v>44738</v>
      </c>
      <c r="B763">
        <v>16.3</v>
      </c>
      <c r="C763">
        <v>52.3</v>
      </c>
      <c r="D763">
        <v>12.7</v>
      </c>
      <c r="E763">
        <v>3.3</v>
      </c>
      <c r="F763">
        <v>266.95999999999998</v>
      </c>
      <c r="G763">
        <v>0.7</v>
      </c>
      <c r="H763">
        <v>3.2</v>
      </c>
      <c r="I763">
        <v>238.15450000000001</v>
      </c>
      <c r="J763">
        <v>86.629000000000005</v>
      </c>
      <c r="K763">
        <v>29.538699999999999</v>
      </c>
      <c r="L763">
        <v>4.4409999999999998</v>
      </c>
      <c r="M763">
        <v>10.6663</v>
      </c>
      <c r="P763">
        <v>57.14</v>
      </c>
      <c r="S763">
        <f t="shared" si="245"/>
        <v>724.88949999999988</v>
      </c>
      <c r="T763">
        <f t="shared" si="246"/>
        <v>1.5280679362130067E-2</v>
      </c>
      <c r="U763">
        <f t="shared" si="247"/>
        <v>4.9029419057632057E-2</v>
      </c>
      <c r="V763">
        <f t="shared" si="248"/>
        <v>1.1905805392579868E-2</v>
      </c>
      <c r="W763">
        <f t="shared" si="249"/>
        <v>3.0936344720876819E-3</v>
      </c>
      <c r="X763">
        <f t="shared" si="250"/>
        <v>0.25026565414197804</v>
      </c>
      <c r="Y763">
        <f t="shared" si="251"/>
        <v>6.5622549407920526E-4</v>
      </c>
      <c r="Z763">
        <f t="shared" si="252"/>
        <v>2.9998879729335104E-3</v>
      </c>
      <c r="AA763">
        <f t="shared" si="253"/>
        <v>0.22326150632812303</v>
      </c>
      <c r="AB763">
        <f t="shared" si="254"/>
        <v>8.1211654752267826E-2</v>
      </c>
      <c r="AC763">
        <f t="shared" si="255"/>
        <v>2.769149714565346E-2</v>
      </c>
      <c r="AD763">
        <f t="shared" si="256"/>
        <v>4.1632820274367871E-3</v>
      </c>
      <c r="AE763">
        <f t="shared" si="257"/>
        <v>9.9992828392814689E-3</v>
      </c>
      <c r="AG763">
        <f t="shared" si="258"/>
        <v>0.22983643206246582</v>
      </c>
      <c r="AH763">
        <f t="shared" si="259"/>
        <v>0.3432305887327019</v>
      </c>
      <c r="AI763">
        <f t="shared" si="260"/>
        <v>0.8071126953803498</v>
      </c>
      <c r="AK763" s="26">
        <f t="shared" si="261"/>
        <v>-3.9705740453040594E-2</v>
      </c>
      <c r="AL763" s="26">
        <f t="shared" si="262"/>
        <v>6.3136298141900915E-3</v>
      </c>
      <c r="AM763" s="26">
        <f t="shared" si="263"/>
        <v>4.2354223791681855E-3</v>
      </c>
      <c r="AN763" s="26">
        <f t="shared" si="264"/>
        <v>-6.280238095238083</v>
      </c>
      <c r="AO763" s="26">
        <f t="shared" si="265"/>
        <v>-8.3235231660231719</v>
      </c>
      <c r="AP763" s="26">
        <f t="shared" si="266"/>
        <v>-12.339691248770919</v>
      </c>
      <c r="AS763" s="2">
        <v>44717</v>
      </c>
      <c r="AT763">
        <v>17.399999999999999</v>
      </c>
      <c r="AU763">
        <v>10.7</v>
      </c>
      <c r="AV763">
        <v>29.9</v>
      </c>
      <c r="AW763">
        <v>7.5</v>
      </c>
      <c r="AX763">
        <v>202.66</v>
      </c>
      <c r="AY763">
        <v>0.8</v>
      </c>
      <c r="AZ763">
        <v>3.3</v>
      </c>
      <c r="BA763">
        <v>234.88059999999999</v>
      </c>
      <c r="BB763">
        <v>45.005400000000002</v>
      </c>
      <c r="BC763">
        <v>28.286799999999999</v>
      </c>
      <c r="BD763">
        <v>4.0865</v>
      </c>
      <c r="BE763">
        <v>14.404199999999999</v>
      </c>
      <c r="BH763">
        <v>49.65</v>
      </c>
    </row>
    <row r="764" spans="1:60" x14ac:dyDescent="0.25">
      <c r="A764" s="2">
        <v>44737</v>
      </c>
      <c r="C764">
        <v>62.4</v>
      </c>
      <c r="F764">
        <v>262.58</v>
      </c>
      <c r="K764">
        <v>31.2758</v>
      </c>
      <c r="P764">
        <v>56.7</v>
      </c>
      <c r="S764">
        <f t="shared" si="245"/>
        <v>356.25579999999997</v>
      </c>
      <c r="T764">
        <f t="shared" si="246"/>
        <v>0</v>
      </c>
      <c r="U764">
        <f t="shared" si="247"/>
        <v>5.8497815472203445E-2</v>
      </c>
      <c r="V764">
        <f t="shared" si="248"/>
        <v>0</v>
      </c>
      <c r="W764">
        <f t="shared" si="249"/>
        <v>0</v>
      </c>
      <c r="X764">
        <f t="shared" si="250"/>
        <v>0.24615955747902532</v>
      </c>
      <c r="Y764">
        <f t="shared" si="251"/>
        <v>0</v>
      </c>
      <c r="Z764">
        <f t="shared" si="252"/>
        <v>0</v>
      </c>
      <c r="AA764">
        <f t="shared" si="253"/>
        <v>0</v>
      </c>
      <c r="AB764">
        <f t="shared" si="254"/>
        <v>0</v>
      </c>
      <c r="AC764">
        <f t="shared" si="255"/>
        <v>2.9319967582460586E-2</v>
      </c>
      <c r="AD764">
        <f t="shared" si="256"/>
        <v>0</v>
      </c>
      <c r="AE764">
        <f t="shared" si="257"/>
        <v>0</v>
      </c>
      <c r="AG764">
        <f t="shared" si="258"/>
        <v>0.21158205724170381</v>
      </c>
      <c r="AH764">
        <f t="shared" si="259"/>
        <v>0.30465737295122874</v>
      </c>
      <c r="AI764">
        <f t="shared" si="260"/>
        <v>0.48164394820640555</v>
      </c>
      <c r="AK764" s="26">
        <f t="shared" si="261"/>
        <v>-4.36180631022417E-2</v>
      </c>
      <c r="AL764" s="26">
        <f t="shared" si="262"/>
        <v>6.9489683891819642E-3</v>
      </c>
      <c r="AM764" s="26">
        <f t="shared" si="263"/>
        <v>5.8331550995299741E-3</v>
      </c>
      <c r="AN764" s="26">
        <f t="shared" si="264"/>
        <v>-6.3538095238095096</v>
      </c>
      <c r="AO764" s="26">
        <f t="shared" si="265"/>
        <v>-8.455796332046333</v>
      </c>
      <c r="AP764" s="26">
        <f t="shared" si="266"/>
        <v>-12.463638544739446</v>
      </c>
      <c r="AS764" s="2">
        <v>44716</v>
      </c>
      <c r="AU764">
        <v>20.6</v>
      </c>
      <c r="AX764">
        <v>254.94</v>
      </c>
      <c r="BC764">
        <v>38.587800000000001</v>
      </c>
      <c r="BH764">
        <v>49.14</v>
      </c>
    </row>
    <row r="765" spans="1:60" x14ac:dyDescent="0.25">
      <c r="A765" s="2">
        <v>44736</v>
      </c>
      <c r="C765">
        <v>220.4</v>
      </c>
      <c r="F765">
        <v>203.68</v>
      </c>
      <c r="K765">
        <v>64.006799999999998</v>
      </c>
      <c r="N765">
        <v>-19.939399999999999</v>
      </c>
      <c r="O765">
        <v>60.681399999999996</v>
      </c>
      <c r="P765">
        <v>56.27</v>
      </c>
      <c r="S765">
        <f t="shared" si="245"/>
        <v>488.08680000000004</v>
      </c>
      <c r="T765">
        <f t="shared" si="246"/>
        <v>0</v>
      </c>
      <c r="U765">
        <f t="shared" si="247"/>
        <v>0.20661728413579553</v>
      </c>
      <c r="V765">
        <f t="shared" si="248"/>
        <v>0</v>
      </c>
      <c r="W765">
        <f t="shared" si="249"/>
        <v>0</v>
      </c>
      <c r="X765">
        <f t="shared" si="250"/>
        <v>0.19094286947721792</v>
      </c>
      <c r="Y765">
        <f t="shared" si="251"/>
        <v>0</v>
      </c>
      <c r="Z765">
        <f t="shared" si="252"/>
        <v>0</v>
      </c>
      <c r="AA765">
        <f t="shared" si="253"/>
        <v>0</v>
      </c>
      <c r="AB765">
        <f t="shared" si="254"/>
        <v>0</v>
      </c>
      <c r="AC765">
        <f t="shared" si="255"/>
        <v>6.0004134220612682E-2</v>
      </c>
      <c r="AD765">
        <f t="shared" si="256"/>
        <v>0</v>
      </c>
      <c r="AE765">
        <f t="shared" si="257"/>
        <v>0</v>
      </c>
      <c r="AG765">
        <f t="shared" si="258"/>
        <v>0.19377737357716673</v>
      </c>
      <c r="AH765">
        <f t="shared" si="259"/>
        <v>0.39756015361301345</v>
      </c>
      <c r="AI765">
        <f t="shared" si="260"/>
        <v>1.2631448827966127</v>
      </c>
      <c r="AK765" s="26">
        <f t="shared" si="261"/>
        <v>-4.3093089403156926E-2</v>
      </c>
      <c r="AL765" s="26">
        <f t="shared" si="262"/>
        <v>9.4391725722604569E-3</v>
      </c>
      <c r="AM765" s="26">
        <f t="shared" si="263"/>
        <v>8.0646719912474962E-3</v>
      </c>
      <c r="AN765" s="26">
        <f t="shared" si="264"/>
        <v>-6.4261904761904773</v>
      </c>
      <c r="AO765" s="26">
        <f t="shared" si="265"/>
        <v>-8.5871653796653789</v>
      </c>
      <c r="AP765" s="26">
        <f t="shared" si="266"/>
        <v>-12.587876892822031</v>
      </c>
      <c r="AS765" s="2">
        <v>44715</v>
      </c>
      <c r="AU765">
        <v>73.400000000000006</v>
      </c>
      <c r="AX765">
        <v>282.48</v>
      </c>
      <c r="BC765">
        <v>80.786500000000004</v>
      </c>
      <c r="BF765">
        <v>-15.429600000000001</v>
      </c>
      <c r="BG765">
        <v>-2.3872</v>
      </c>
      <c r="BH765">
        <v>48.64</v>
      </c>
    </row>
    <row r="766" spans="1:60" x14ac:dyDescent="0.25">
      <c r="A766" s="2">
        <v>44735</v>
      </c>
      <c r="B766">
        <v>16.3</v>
      </c>
      <c r="C766">
        <v>114.7</v>
      </c>
      <c r="D766">
        <v>15</v>
      </c>
      <c r="E766">
        <v>2.6</v>
      </c>
      <c r="F766">
        <v>312.14999999999998</v>
      </c>
      <c r="G766">
        <v>0.7</v>
      </c>
      <c r="H766">
        <v>3.2</v>
      </c>
      <c r="I766">
        <v>256.76749999999998</v>
      </c>
      <c r="J766">
        <v>139.27549999999999</v>
      </c>
      <c r="K766">
        <v>84.898499999999999</v>
      </c>
      <c r="L766">
        <v>4.4401999999999999</v>
      </c>
      <c r="M766">
        <v>22.794799999999999</v>
      </c>
      <c r="N766">
        <v>-19.347000000000001</v>
      </c>
      <c r="O766">
        <v>67.733699999999999</v>
      </c>
      <c r="P766">
        <v>55.95</v>
      </c>
      <c r="S766">
        <f t="shared" si="245"/>
        <v>972.82650000000001</v>
      </c>
      <c r="T766">
        <f t="shared" si="246"/>
        <v>1.5280679362130067E-2</v>
      </c>
      <c r="U766">
        <f t="shared" si="247"/>
        <v>0.10752723452983551</v>
      </c>
      <c r="V766">
        <f t="shared" si="248"/>
        <v>1.4061974873125828E-2</v>
      </c>
      <c r="W766">
        <f t="shared" si="249"/>
        <v>2.437408978008477E-3</v>
      </c>
      <c r="X766">
        <f t="shared" si="250"/>
        <v>0.29262969710974845</v>
      </c>
      <c r="Y766">
        <f t="shared" si="251"/>
        <v>6.5622549407920526E-4</v>
      </c>
      <c r="Z766">
        <f t="shared" si="252"/>
        <v>2.9998879729335104E-3</v>
      </c>
      <c r="AA766">
        <f t="shared" si="253"/>
        <v>0.24071054221568908</v>
      </c>
      <c r="AB766">
        <f t="shared" si="254"/>
        <v>0.13056590542946908</v>
      </c>
      <c r="AC766">
        <f t="shared" si="255"/>
        <v>7.9589371584404878E-2</v>
      </c>
      <c r="AD766">
        <f t="shared" si="256"/>
        <v>4.1625320554435534E-3</v>
      </c>
      <c r="AE766">
        <f t="shared" si="257"/>
        <v>2.1369326989195241E-2</v>
      </c>
      <c r="AG766">
        <f t="shared" si="258"/>
        <v>0.18083130504437275</v>
      </c>
      <c r="AH766">
        <f t="shared" si="259"/>
        <v>0.45696243530905628</v>
      </c>
      <c r="AI766">
        <f t="shared" si="260"/>
        <v>1.7635392874956388</v>
      </c>
      <c r="AK766" s="26">
        <f t="shared" si="261"/>
        <v>-4.7645573414189291E-2</v>
      </c>
      <c r="AL766" s="26">
        <f t="shared" si="262"/>
        <v>8.5894552088159881E-3</v>
      </c>
      <c r="AM766" s="26">
        <f t="shared" si="263"/>
        <v>8.7178926602223816E-3</v>
      </c>
      <c r="AN766" s="26">
        <f t="shared" si="264"/>
        <v>-6.4966666666666555</v>
      </c>
      <c r="AO766" s="26">
        <f t="shared" si="265"/>
        <v>-8.717910231660241</v>
      </c>
      <c r="AP766" s="26">
        <f t="shared" si="266"/>
        <v>-12.711209439528041</v>
      </c>
      <c r="AS766" s="2">
        <v>44714</v>
      </c>
      <c r="AT766">
        <v>17.7</v>
      </c>
      <c r="AU766">
        <v>42</v>
      </c>
      <c r="AV766">
        <v>42.3</v>
      </c>
      <c r="AW766">
        <v>7.4</v>
      </c>
      <c r="AX766">
        <v>284.07</v>
      </c>
      <c r="AY766">
        <v>0.8</v>
      </c>
      <c r="AZ766">
        <v>3.1</v>
      </c>
      <c r="BA766">
        <v>280.40300000000002</v>
      </c>
      <c r="BB766">
        <v>67.3429</v>
      </c>
      <c r="BC766">
        <v>75.098799999999997</v>
      </c>
      <c r="BD766">
        <v>2.6977000000000002</v>
      </c>
      <c r="BE766">
        <v>20.853899999999999</v>
      </c>
      <c r="BF766">
        <v>-15.0517</v>
      </c>
      <c r="BG766">
        <v>0.25109999999999999</v>
      </c>
      <c r="BH766">
        <v>48.21</v>
      </c>
    </row>
    <row r="767" spans="1:60" x14ac:dyDescent="0.25">
      <c r="A767" s="2">
        <v>44734</v>
      </c>
      <c r="B767">
        <v>16.2</v>
      </c>
      <c r="C767">
        <v>49.8</v>
      </c>
      <c r="D767">
        <v>3.4</v>
      </c>
      <c r="E767">
        <v>1.4</v>
      </c>
      <c r="F767">
        <v>243.35</v>
      </c>
      <c r="G767">
        <v>0.7</v>
      </c>
      <c r="H767">
        <v>2.5</v>
      </c>
      <c r="I767">
        <v>267.10109999999997</v>
      </c>
      <c r="J767">
        <v>149.55619999999999</v>
      </c>
      <c r="K767">
        <v>95.781999999999996</v>
      </c>
      <c r="L767">
        <v>4.4359000000000002</v>
      </c>
      <c r="M767">
        <v>27.361499999999999</v>
      </c>
      <c r="N767">
        <v>-18.316500000000001</v>
      </c>
      <c r="O767">
        <v>60.450699999999998</v>
      </c>
      <c r="P767">
        <v>55.67</v>
      </c>
      <c r="S767">
        <f t="shared" si="245"/>
        <v>861.58669999999995</v>
      </c>
      <c r="T767">
        <f t="shared" si="246"/>
        <v>1.5186932862975894E-2</v>
      </c>
      <c r="U767">
        <f t="shared" si="247"/>
        <v>4.668575657877775E-2</v>
      </c>
      <c r="V767">
        <f t="shared" si="248"/>
        <v>3.1873809712418544E-3</v>
      </c>
      <c r="W767">
        <f t="shared" si="249"/>
        <v>1.3124509881584105E-3</v>
      </c>
      <c r="X767">
        <f t="shared" si="250"/>
        <v>0.22813210569167802</v>
      </c>
      <c r="Y767">
        <f t="shared" si="251"/>
        <v>6.5622549407920526E-4</v>
      </c>
      <c r="Z767">
        <f t="shared" si="252"/>
        <v>2.3436624788543046E-3</v>
      </c>
      <c r="AA767">
        <f t="shared" si="253"/>
        <v>0.25039793045228459</v>
      </c>
      <c r="AB767">
        <f t="shared" si="254"/>
        <v>0.14020370176801206</v>
      </c>
      <c r="AC767">
        <f t="shared" si="255"/>
        <v>8.9792271819849209E-2</v>
      </c>
      <c r="AD767">
        <f t="shared" si="256"/>
        <v>4.1585009559799244E-3</v>
      </c>
      <c r="AE767">
        <f t="shared" si="257"/>
        <v>2.5650448366068824E-2</v>
      </c>
      <c r="AG767">
        <f t="shared" si="258"/>
        <v>0.1696524497339495</v>
      </c>
      <c r="AH767">
        <f t="shared" si="259"/>
        <v>0.32315496343183431</v>
      </c>
      <c r="AI767">
        <f t="shared" si="260"/>
        <v>0.64087038291843557</v>
      </c>
      <c r="AK767" s="26">
        <f t="shared" si="261"/>
        <v>-4.7514698837251068E-2</v>
      </c>
      <c r="AL767" s="26">
        <f t="shared" si="262"/>
        <v>9.6035846123968538E-3</v>
      </c>
      <c r="AM767" s="26">
        <f t="shared" si="263"/>
        <v>8.6735723610313342E-3</v>
      </c>
      <c r="AN767" s="26">
        <f t="shared" si="264"/>
        <v>-6.56666666666667</v>
      </c>
      <c r="AO767" s="26">
        <f t="shared" si="265"/>
        <v>-8.8484781209781289</v>
      </c>
      <c r="AP767" s="26">
        <f t="shared" si="266"/>
        <v>-12.834122320550648</v>
      </c>
      <c r="AS767" s="2">
        <v>44713</v>
      </c>
      <c r="AT767">
        <v>17.8</v>
      </c>
      <c r="AU767">
        <v>24.8</v>
      </c>
      <c r="AV767">
        <v>3.9</v>
      </c>
      <c r="AW767">
        <v>3.8</v>
      </c>
      <c r="AX767">
        <v>245.57</v>
      </c>
      <c r="AY767">
        <v>0.8</v>
      </c>
      <c r="AZ767">
        <v>3.2</v>
      </c>
      <c r="BA767">
        <v>292.5351</v>
      </c>
      <c r="BB767">
        <v>92.834199999999996</v>
      </c>
      <c r="BC767">
        <v>93.171800000000005</v>
      </c>
      <c r="BD767">
        <v>2.7029000000000001</v>
      </c>
      <c r="BE767">
        <v>23.482700000000001</v>
      </c>
      <c r="BF767">
        <v>-11.774100000000001</v>
      </c>
      <c r="BG767">
        <v>5.8266999999999998</v>
      </c>
      <c r="BH767">
        <v>47.8</v>
      </c>
    </row>
    <row r="768" spans="1:60" x14ac:dyDescent="0.25">
      <c r="A768" s="2">
        <v>44733</v>
      </c>
      <c r="B768">
        <v>15.7</v>
      </c>
      <c r="C768">
        <v>297.2</v>
      </c>
      <c r="D768">
        <v>16.399999999999999</v>
      </c>
      <c r="E768">
        <v>5.8</v>
      </c>
      <c r="F768">
        <v>306.36</v>
      </c>
      <c r="G768">
        <v>0.7</v>
      </c>
      <c r="H768">
        <v>2.2999999999999998</v>
      </c>
      <c r="I768">
        <v>254.16749999999999</v>
      </c>
      <c r="J768">
        <v>140.94739999999999</v>
      </c>
      <c r="K768">
        <v>55.500100000000003</v>
      </c>
      <c r="L768">
        <v>4.2026000000000003</v>
      </c>
      <c r="M768">
        <v>20.658200000000001</v>
      </c>
      <c r="N768">
        <v>-25.955200000000001</v>
      </c>
      <c r="O768">
        <v>45.988300000000002</v>
      </c>
      <c r="P768">
        <v>55.39</v>
      </c>
      <c r="S768">
        <f t="shared" si="245"/>
        <v>1119.9358000000002</v>
      </c>
      <c r="T768">
        <f t="shared" si="246"/>
        <v>1.4718200367205033E-2</v>
      </c>
      <c r="U768">
        <f t="shared" si="247"/>
        <v>0.27861459548619977</v>
      </c>
      <c r="V768">
        <f t="shared" si="248"/>
        <v>1.5374425861284237E-2</v>
      </c>
      <c r="W768">
        <f t="shared" si="249"/>
        <v>5.4372969509419869E-3</v>
      </c>
      <c r="X768">
        <f t="shared" si="250"/>
        <v>0.28720177480872194</v>
      </c>
      <c r="Y768">
        <f t="shared" si="251"/>
        <v>6.5622549407920526E-4</v>
      </c>
      <c r="Z768">
        <f t="shared" si="252"/>
        <v>2.1561694805459601E-3</v>
      </c>
      <c r="AA768">
        <f t="shared" si="253"/>
        <v>0.2382731332376806</v>
      </c>
      <c r="AB768">
        <f t="shared" si="254"/>
        <v>0.13213325314882768</v>
      </c>
      <c r="AC768">
        <f t="shared" si="255"/>
        <v>5.2029400777064722E-2</v>
      </c>
      <c r="AD768">
        <f t="shared" si="256"/>
        <v>3.9397903734532409E-3</v>
      </c>
      <c r="AE768">
        <f t="shared" si="257"/>
        <v>1.9366339288267202E-2</v>
      </c>
      <c r="AG768">
        <f t="shared" si="258"/>
        <v>0.15847186307671166</v>
      </c>
      <c r="AH768">
        <f t="shared" si="259"/>
        <v>0.62352502773724539</v>
      </c>
      <c r="AI768">
        <f t="shared" si="260"/>
        <v>3.1785115673044539</v>
      </c>
      <c r="AK768" s="26">
        <f t="shared" si="261"/>
        <v>-3.8071895216948759E-2</v>
      </c>
      <c r="AL768" s="26">
        <f t="shared" si="262"/>
        <v>1.4708881564021559E-2</v>
      </c>
      <c r="AM768" s="26">
        <f t="shared" si="263"/>
        <v>1.104711070798442E-2</v>
      </c>
      <c r="AN768" s="26">
        <f t="shared" si="264"/>
        <v>-6.6404761904762069</v>
      </c>
      <c r="AO768" s="26">
        <f t="shared" si="265"/>
        <v>-8.980127091377085</v>
      </c>
      <c r="AP768" s="26">
        <f t="shared" si="266"/>
        <v>-12.95728102261554</v>
      </c>
      <c r="AS768" s="2">
        <v>44712</v>
      </c>
      <c r="AT768">
        <v>16.100000000000001</v>
      </c>
      <c r="AU768">
        <v>22.5</v>
      </c>
      <c r="AV768">
        <v>2.1</v>
      </c>
      <c r="AW768">
        <v>1.6</v>
      </c>
      <c r="AX768">
        <v>248.43</v>
      </c>
      <c r="AY768">
        <v>0.8</v>
      </c>
      <c r="AZ768">
        <v>3.1</v>
      </c>
      <c r="BA768">
        <v>222.96340000000001</v>
      </c>
      <c r="BB768">
        <v>94.345799999999997</v>
      </c>
      <c r="BC768">
        <v>104.5408</v>
      </c>
      <c r="BD768">
        <v>3.4756</v>
      </c>
      <c r="BE768">
        <v>24.9923</v>
      </c>
      <c r="BF768">
        <v>6.3836000000000004</v>
      </c>
      <c r="BG768">
        <v>-4.9238</v>
      </c>
      <c r="BH768">
        <v>47.46</v>
      </c>
    </row>
    <row r="769" spans="1:60" x14ac:dyDescent="0.25">
      <c r="A769" s="2">
        <v>44732</v>
      </c>
      <c r="B769">
        <v>15.6</v>
      </c>
      <c r="C769">
        <v>91.8</v>
      </c>
      <c r="D769">
        <v>22.3</v>
      </c>
      <c r="E769">
        <v>7</v>
      </c>
      <c r="F769">
        <v>180.84</v>
      </c>
      <c r="G769">
        <v>0.3</v>
      </c>
      <c r="H769">
        <v>2.4</v>
      </c>
      <c r="I769">
        <v>230.9161</v>
      </c>
      <c r="J769">
        <v>125.4586</v>
      </c>
      <c r="K769">
        <v>69.952799999999996</v>
      </c>
      <c r="L769">
        <v>4.2229000000000001</v>
      </c>
      <c r="M769">
        <v>28.846499999999999</v>
      </c>
      <c r="N769">
        <v>-23.593299999999999</v>
      </c>
      <c r="O769">
        <v>49.573099999999997</v>
      </c>
      <c r="P769">
        <v>55.18</v>
      </c>
      <c r="S769">
        <f t="shared" si="245"/>
        <v>779.63689999999997</v>
      </c>
      <c r="T769">
        <f t="shared" si="246"/>
        <v>1.4624453868050861E-2</v>
      </c>
      <c r="U769">
        <f t="shared" si="247"/>
        <v>8.6059286223530068E-2</v>
      </c>
      <c r="V769">
        <f t="shared" si="248"/>
        <v>2.09054693113804E-2</v>
      </c>
      <c r="W769">
        <f t="shared" si="249"/>
        <v>6.5622549407920536E-3</v>
      </c>
      <c r="X769">
        <f t="shared" si="250"/>
        <v>0.169531169070405</v>
      </c>
      <c r="Y769">
        <f t="shared" si="251"/>
        <v>2.8123949746251657E-4</v>
      </c>
      <c r="Z769">
        <f t="shared" si="252"/>
        <v>2.2499159797001326E-3</v>
      </c>
      <c r="AA769">
        <f t="shared" si="253"/>
        <v>0.2164757597333474</v>
      </c>
      <c r="AB769">
        <f t="shared" si="254"/>
        <v>0.11761304538783628</v>
      </c>
      <c r="AC769">
        <f t="shared" si="255"/>
        <v>6.5578301060319755E-2</v>
      </c>
      <c r="AD769">
        <f t="shared" si="256"/>
        <v>3.9588209127815379E-3</v>
      </c>
      <c r="AE769">
        <f t="shared" si="257"/>
        <v>2.7042583878508279E-2</v>
      </c>
      <c r="AG769">
        <f t="shared" si="258"/>
        <v>0.15038331866619875</v>
      </c>
      <c r="AH769">
        <f t="shared" si="259"/>
        <v>0.32725637276982927</v>
      </c>
      <c r="AI769">
        <f t="shared" si="260"/>
        <v>0.67869390313814904</v>
      </c>
      <c r="AK769" s="26">
        <f t="shared" si="261"/>
        <v>-4.4717305534549945E-2</v>
      </c>
      <c r="AL769" s="26">
        <f t="shared" si="262"/>
        <v>1.1488214537905272E-2</v>
      </c>
      <c r="AM769" s="26">
        <f t="shared" si="263"/>
        <v>1.1200328120489988E-2</v>
      </c>
      <c r="AN769" s="26">
        <f t="shared" si="264"/>
        <v>-6.7016666666666822</v>
      </c>
      <c r="AO769" s="26">
        <f t="shared" si="265"/>
        <v>-9.115012870012869</v>
      </c>
      <c r="AP769" s="26">
        <f t="shared" si="266"/>
        <v>-13.079842281219278</v>
      </c>
      <c r="AS769" s="2">
        <v>44711</v>
      </c>
      <c r="AT769">
        <v>17.3</v>
      </c>
      <c r="AU769">
        <v>49.1</v>
      </c>
      <c r="AV769">
        <v>3.2</v>
      </c>
      <c r="AW769">
        <v>2</v>
      </c>
      <c r="AX769">
        <v>235.9</v>
      </c>
      <c r="AY769">
        <v>0.8</v>
      </c>
      <c r="AZ769">
        <v>3.3</v>
      </c>
      <c r="BA769">
        <v>227.6507</v>
      </c>
      <c r="BB769">
        <v>84.874600000000001</v>
      </c>
      <c r="BC769">
        <v>91.459599999999995</v>
      </c>
      <c r="BD769">
        <v>3.5754999999999999</v>
      </c>
      <c r="BE769">
        <v>27.629000000000001</v>
      </c>
      <c r="BF769">
        <v>-26.521899999999999</v>
      </c>
      <c r="BG769">
        <v>-0.72699999999999998</v>
      </c>
      <c r="BH769">
        <v>46.9</v>
      </c>
    </row>
    <row r="770" spans="1:60" x14ac:dyDescent="0.25">
      <c r="A770" s="2">
        <v>44731</v>
      </c>
      <c r="B770">
        <v>15.3</v>
      </c>
      <c r="C770">
        <v>281.2</v>
      </c>
      <c r="D770">
        <v>13.2</v>
      </c>
      <c r="E770">
        <v>7</v>
      </c>
      <c r="F770">
        <v>275.62</v>
      </c>
      <c r="G770">
        <v>0.1</v>
      </c>
      <c r="H770">
        <v>2.8</v>
      </c>
      <c r="I770">
        <v>198.1815</v>
      </c>
      <c r="J770">
        <v>67.938699999999997</v>
      </c>
      <c r="K770">
        <v>18.517700000000001</v>
      </c>
      <c r="L770">
        <v>4.2522000000000002</v>
      </c>
      <c r="M770">
        <v>13.470700000000001</v>
      </c>
      <c r="P770">
        <v>54.86</v>
      </c>
      <c r="S770">
        <f t="shared" ref="S770:S833" si="267">SUM(B770:M770)</f>
        <v>897.58079999999995</v>
      </c>
      <c r="T770">
        <f t="shared" si="246"/>
        <v>1.4343214370588346E-2</v>
      </c>
      <c r="U770">
        <f t="shared" si="247"/>
        <v>0.2636151556215322</v>
      </c>
      <c r="V770">
        <f t="shared" si="248"/>
        <v>1.2374537888350728E-2</v>
      </c>
      <c r="W770">
        <f t="shared" si="249"/>
        <v>6.5622549407920536E-3</v>
      </c>
      <c r="X770">
        <f t="shared" si="250"/>
        <v>0.25838410096872938</v>
      </c>
      <c r="Y770">
        <f t="shared" si="251"/>
        <v>9.3746499154172199E-5</v>
      </c>
      <c r="Z770">
        <f t="shared" si="252"/>
        <v>2.624901976316821E-3</v>
      </c>
      <c r="AA770">
        <f t="shared" si="253"/>
        <v>0.18578821822122576</v>
      </c>
      <c r="AB770">
        <f t="shared" si="254"/>
        <v>6.3690152820855578E-2</v>
      </c>
      <c r="AC770">
        <f t="shared" si="255"/>
        <v>1.7359695473872144E-2</v>
      </c>
      <c r="AD770">
        <f t="shared" si="256"/>
        <v>3.9862886370337098E-3</v>
      </c>
      <c r="AE770">
        <f t="shared" si="257"/>
        <v>1.2628309661561074E-2</v>
      </c>
      <c r="AG770">
        <f t="shared" si="258"/>
        <v>0.13745396430400356</v>
      </c>
      <c r="AH770">
        <f t="shared" si="259"/>
        <v>0.57062622192702472</v>
      </c>
      <c r="AI770">
        <f t="shared" si="260"/>
        <v>2.7314041809060776</v>
      </c>
      <c r="AK770" s="26">
        <f t="shared" si="261"/>
        <v>-3.8250995671523291E-2</v>
      </c>
      <c r="AL770" s="26">
        <f t="shared" si="262"/>
        <v>1.5716006071131938E-2</v>
      </c>
      <c r="AM770" s="26">
        <f t="shared" si="263"/>
        <v>1.3387407976962473E-2</v>
      </c>
      <c r="AN770" s="26">
        <f t="shared" si="264"/>
        <v>-6.7966666666666669</v>
      </c>
      <c r="AO770" s="26">
        <f t="shared" si="265"/>
        <v>-9.2506209781209776</v>
      </c>
      <c r="AP770" s="26">
        <f t="shared" si="266"/>
        <v>-13.202381514257638</v>
      </c>
      <c r="AS770" s="2">
        <v>44710</v>
      </c>
      <c r="AT770">
        <v>16.600000000000001</v>
      </c>
      <c r="AU770">
        <v>156.30000000000001</v>
      </c>
      <c r="AV770">
        <v>64.400000000000006</v>
      </c>
      <c r="AW770">
        <v>7</v>
      </c>
      <c r="AX770">
        <v>196.65</v>
      </c>
      <c r="AY770">
        <v>0.8</v>
      </c>
      <c r="AZ770">
        <v>3.1</v>
      </c>
      <c r="BA770">
        <v>220.19829999999999</v>
      </c>
      <c r="BB770">
        <v>23.690999999999999</v>
      </c>
      <c r="BC770">
        <v>23.298500000000001</v>
      </c>
      <c r="BD770">
        <v>3.5760000000000001</v>
      </c>
      <c r="BE770">
        <v>13.2563</v>
      </c>
      <c r="BH770">
        <v>46.57</v>
      </c>
    </row>
    <row r="771" spans="1:60" x14ac:dyDescent="0.25">
      <c r="A771" s="2">
        <v>44730</v>
      </c>
      <c r="C771">
        <v>218.8</v>
      </c>
      <c r="F771">
        <v>313.98</v>
      </c>
      <c r="K771">
        <v>15.1911</v>
      </c>
      <c r="P771">
        <v>54.42</v>
      </c>
      <c r="S771">
        <f t="shared" si="267"/>
        <v>547.97109999999998</v>
      </c>
      <c r="T771">
        <f t="shared" si="246"/>
        <v>0</v>
      </c>
      <c r="U771">
        <f t="shared" si="247"/>
        <v>0.20511734014932875</v>
      </c>
      <c r="V771">
        <f t="shared" si="248"/>
        <v>0</v>
      </c>
      <c r="W771">
        <f t="shared" si="249"/>
        <v>0</v>
      </c>
      <c r="X771">
        <f t="shared" si="250"/>
        <v>0.29434525804426986</v>
      </c>
      <c r="Y771">
        <f t="shared" si="251"/>
        <v>0</v>
      </c>
      <c r="Z771">
        <f t="shared" si="252"/>
        <v>0</v>
      </c>
      <c r="AA771">
        <f t="shared" si="253"/>
        <v>0</v>
      </c>
      <c r="AB771">
        <f t="shared" si="254"/>
        <v>0</v>
      </c>
      <c r="AC771">
        <f t="shared" si="255"/>
        <v>1.4241124433009452E-2</v>
      </c>
      <c r="AD771">
        <f t="shared" si="256"/>
        <v>0</v>
      </c>
      <c r="AE771">
        <f t="shared" si="257"/>
        <v>0</v>
      </c>
      <c r="AG771">
        <f t="shared" si="258"/>
        <v>0.1192453178153367</v>
      </c>
      <c r="AH771">
        <f t="shared" si="259"/>
        <v>0.49946259819359862</v>
      </c>
      <c r="AI771">
        <f t="shared" si="260"/>
        <v>2.1533233339195381</v>
      </c>
      <c r="AK771" s="26">
        <f t="shared" si="261"/>
        <v>-2.8809671906671941E-2</v>
      </c>
      <c r="AL771" s="26">
        <f t="shared" si="262"/>
        <v>1.4754415773955809E-2</v>
      </c>
      <c r="AM771" s="26">
        <f t="shared" si="263"/>
        <v>1.3526775438388094E-2</v>
      </c>
      <c r="AN771" s="26">
        <f t="shared" si="264"/>
        <v>-6.8909523809523918</v>
      </c>
      <c r="AO771" s="26">
        <f t="shared" si="265"/>
        <v>-9.385786679536686</v>
      </c>
      <c r="AP771" s="26">
        <f t="shared" si="266"/>
        <v>-13.326717010816132</v>
      </c>
      <c r="AS771" s="2">
        <v>44709</v>
      </c>
      <c r="AU771">
        <v>3.1</v>
      </c>
      <c r="AX771">
        <v>236.08</v>
      </c>
      <c r="BC771">
        <v>17.328499999999998</v>
      </c>
      <c r="BH771">
        <v>46.1</v>
      </c>
    </row>
    <row r="772" spans="1:60" x14ac:dyDescent="0.25">
      <c r="A772" s="2">
        <v>44729</v>
      </c>
      <c r="C772">
        <v>27.5</v>
      </c>
      <c r="F772">
        <v>305.07</v>
      </c>
      <c r="K772">
        <v>30.837900000000001</v>
      </c>
      <c r="N772">
        <v>-25.898800000000001</v>
      </c>
      <c r="O772">
        <v>48.211300000000001</v>
      </c>
      <c r="P772">
        <v>53.99</v>
      </c>
      <c r="S772">
        <f t="shared" si="267"/>
        <v>363.40789999999998</v>
      </c>
      <c r="T772">
        <f t="shared" si="246"/>
        <v>0</v>
      </c>
      <c r="U772">
        <f t="shared" si="247"/>
        <v>2.5780287267397353E-2</v>
      </c>
      <c r="V772">
        <f t="shared" si="248"/>
        <v>0</v>
      </c>
      <c r="W772">
        <f t="shared" si="249"/>
        <v>0</v>
      </c>
      <c r="X772">
        <f t="shared" si="250"/>
        <v>0.28599244496963311</v>
      </c>
      <c r="Y772">
        <f t="shared" si="251"/>
        <v>0</v>
      </c>
      <c r="Z772">
        <f t="shared" si="252"/>
        <v>0</v>
      </c>
      <c r="AA772">
        <f t="shared" si="253"/>
        <v>0</v>
      </c>
      <c r="AB772">
        <f t="shared" si="254"/>
        <v>0</v>
      </c>
      <c r="AC772">
        <f t="shared" si="255"/>
        <v>2.8909451662664468E-2</v>
      </c>
      <c r="AD772">
        <f t="shared" si="256"/>
        <v>0</v>
      </c>
      <c r="AE772">
        <f t="shared" si="257"/>
        <v>0</v>
      </c>
      <c r="AG772">
        <f t="shared" si="258"/>
        <v>0.10148588562420106</v>
      </c>
      <c r="AH772">
        <f t="shared" si="259"/>
        <v>0.31177273223703045</v>
      </c>
      <c r="AI772">
        <f t="shared" si="260"/>
        <v>0.54454137770188027</v>
      </c>
      <c r="AK772" s="26">
        <f t="shared" si="261"/>
        <v>-3.3656504300631829E-2</v>
      </c>
      <c r="AL772" s="26">
        <f t="shared" si="262"/>
        <v>1.188141845337598E-2</v>
      </c>
      <c r="AM772" s="26">
        <f t="shared" si="263"/>
        <v>1.3264640168504926E-2</v>
      </c>
      <c r="AN772" s="26">
        <f t="shared" si="264"/>
        <v>-6.9878571428571448</v>
      </c>
      <c r="AO772" s="26">
        <f t="shared" si="265"/>
        <v>-9.5214060489060586</v>
      </c>
      <c r="AP772" s="26">
        <f t="shared" si="266"/>
        <v>-13.451476499508367</v>
      </c>
      <c r="AS772" s="2">
        <v>44708</v>
      </c>
      <c r="AU772">
        <v>40.299999999999997</v>
      </c>
      <c r="AX772">
        <v>216.26</v>
      </c>
      <c r="BC772">
        <v>18.553000000000001</v>
      </c>
      <c r="BF772">
        <v>-27.4297</v>
      </c>
      <c r="BG772">
        <v>-1.4813000000000001</v>
      </c>
      <c r="BH772">
        <v>45.62</v>
      </c>
    </row>
    <row r="773" spans="1:60" x14ac:dyDescent="0.25">
      <c r="A773" s="2">
        <v>44728</v>
      </c>
      <c r="B773">
        <v>18.3</v>
      </c>
      <c r="C773">
        <v>302.8</v>
      </c>
      <c r="D773">
        <v>4.9000000000000004</v>
      </c>
      <c r="E773">
        <v>5.0999999999999996</v>
      </c>
      <c r="F773">
        <v>296.77</v>
      </c>
      <c r="G773">
        <v>0.1</v>
      </c>
      <c r="H773">
        <v>3.3</v>
      </c>
      <c r="I773">
        <v>253.80940000000001</v>
      </c>
      <c r="J773">
        <v>106.2274</v>
      </c>
      <c r="K773">
        <v>30.0932</v>
      </c>
      <c r="L773">
        <v>4.3055000000000003</v>
      </c>
      <c r="M773">
        <v>22.4068</v>
      </c>
      <c r="N773">
        <v>-16.492699999999999</v>
      </c>
      <c r="O773">
        <v>78.467799999999997</v>
      </c>
      <c r="P773">
        <v>53.66</v>
      </c>
      <c r="S773">
        <f t="shared" si="267"/>
        <v>1048.1123</v>
      </c>
      <c r="T773">
        <f t="shared" ref="T773:T836" si="268">B773/$S$4</f>
        <v>1.7155609345213513E-2</v>
      </c>
      <c r="U773">
        <f t="shared" ref="U773:U836" si="269">C773/$S$4</f>
        <v>0.2838643994388334</v>
      </c>
      <c r="V773">
        <f t="shared" ref="V773:V836" si="270">D773/$S$4</f>
        <v>4.5935784585544375E-3</v>
      </c>
      <c r="W773">
        <f t="shared" ref="W773:W836" si="271">E773/$S$4</f>
        <v>4.7810714568627816E-3</v>
      </c>
      <c r="X773">
        <f t="shared" ref="X773:X836" si="272">F773/$S$4</f>
        <v>0.27821148553983677</v>
      </c>
      <c r="Y773">
        <f t="shared" ref="Y773:Y836" si="273">G773/$S$4</f>
        <v>9.3746499154172199E-5</v>
      </c>
      <c r="Z773">
        <f t="shared" ref="Z773:Z836" si="274">H773/$S$4</f>
        <v>3.0936344720876819E-3</v>
      </c>
      <c r="AA773">
        <f t="shared" ref="AA773:AA836" si="275">I773/$S$4</f>
        <v>0.23793742702420953</v>
      </c>
      <c r="AB773">
        <f t="shared" ref="AB773:AB836" si="276">J773/$S$4</f>
        <v>9.9584468642499119E-2</v>
      </c>
      <c r="AC773">
        <f t="shared" ref="AC773:AC836" si="277">K773/$S$4</f>
        <v>2.8211321483463347E-2</v>
      </c>
      <c r="AD773">
        <f t="shared" ref="AD773:AD836" si="278">L773/$S$4</f>
        <v>4.0362555210828842E-3</v>
      </c>
      <c r="AE773">
        <f t="shared" ref="AE773:AE836" si="279">M773/$S$4</f>
        <v>2.1005590572477056E-2</v>
      </c>
      <c r="AG773">
        <f t="shared" ref="AG773:AG836" si="280">(P773-AVERAGE(P773:P1137)) / _xlfn.STDEV.S(P773:P2600)</f>
        <v>8.8140610992147067E-2</v>
      </c>
      <c r="AH773">
        <f t="shared" ref="AH773:AH836" si="281">SUM(T773:Y773,Z773,AE773)</f>
        <v>0.61279911578301982</v>
      </c>
      <c r="AI773">
        <f t="shared" ref="AI773:AI836" si="282">(AH773-AVERAGE(AH773:AH1137))/_xlfn.STDEV.S(AH773:AH1137)</f>
        <v>3.0371267352810434</v>
      </c>
      <c r="AK773" s="26">
        <f t="shared" ref="AK773:AK836" si="283">AVERAGEA(AH773:AH793)-AVERAGE(AH1139:AH1159, AH1504:AH1524, AH1869:AH1889)</f>
        <v>-2.3691731333336519E-2</v>
      </c>
      <c r="AL773" s="26">
        <f t="shared" ref="AL773:AL836" si="284">AVERAGEA(AH773:AH828)-AVERAGE(AH1139:AH1194, AH1504:AH1558, AH1869:AH1923)</f>
        <v>1.397835788228069E-2</v>
      </c>
      <c r="AM773" s="26">
        <f t="shared" ref="AM773:AM836" si="285">AVERAGEA(AH773:AH885)-AVERAGE(AH1139:AH1251,AH1504:AH1615,AH1869:AH1980)</f>
        <v>1.5598573537966898E-2</v>
      </c>
      <c r="AN773" s="26">
        <f t="shared" ref="AN773:AN836" si="286">AVERAGEA(P773:P793)-AVERAGE(P1139:P1159, P1504:P1524, P1869:P1889)</f>
        <v>-7.0892857142857153</v>
      </c>
      <c r="AO773" s="26">
        <f t="shared" ref="AO773:AO836" si="287">AVERAGEA(P773:P828)-AVERAGE(P1139:P1194, P1504:P1558, P1869:P1923)</f>
        <v>-9.6518050193050158</v>
      </c>
      <c r="AP773" s="26">
        <f t="shared" ref="AP773:AP836" si="288">AVERAGEA(P773:P885)-AVERAGE(P1139:P1251,P1504:P1615,P1869:P1980)</f>
        <v>-13.575329400196658</v>
      </c>
      <c r="AS773" s="2">
        <v>44707</v>
      </c>
      <c r="AT773">
        <v>19.3</v>
      </c>
      <c r="AU773">
        <v>23.1</v>
      </c>
      <c r="AV773">
        <v>60.8</v>
      </c>
      <c r="AW773">
        <v>16.8</v>
      </c>
      <c r="AX773">
        <v>204.74</v>
      </c>
      <c r="AY773">
        <v>0.7</v>
      </c>
      <c r="AZ773">
        <v>3.6</v>
      </c>
      <c r="BA773">
        <v>130.19390000000001</v>
      </c>
      <c r="BB773">
        <v>21.101900000000001</v>
      </c>
      <c r="BC773">
        <v>18.7547</v>
      </c>
      <c r="BD773">
        <v>3.7147999999999999</v>
      </c>
      <c r="BE773">
        <v>17.001100000000001</v>
      </c>
      <c r="BF773">
        <v>-25.925799999999999</v>
      </c>
      <c r="BG773">
        <v>-0.1812</v>
      </c>
      <c r="BH773">
        <v>45.14</v>
      </c>
    </row>
    <row r="774" spans="1:60" x14ac:dyDescent="0.25">
      <c r="A774" s="2">
        <v>44727</v>
      </c>
      <c r="B774">
        <v>18.7</v>
      </c>
      <c r="C774">
        <v>245.2</v>
      </c>
      <c r="D774">
        <v>2.2000000000000002</v>
      </c>
      <c r="E774">
        <v>2</v>
      </c>
      <c r="F774">
        <v>327.38</v>
      </c>
      <c r="G774">
        <v>0.4</v>
      </c>
      <c r="H774">
        <v>3.1</v>
      </c>
      <c r="I774">
        <v>248.9699</v>
      </c>
      <c r="J774">
        <v>142.69630000000001</v>
      </c>
      <c r="K774">
        <v>76.673100000000005</v>
      </c>
      <c r="L774">
        <v>4.7378999999999998</v>
      </c>
      <c r="M774">
        <v>21.653700000000001</v>
      </c>
      <c r="N774">
        <v>-43.233400000000003</v>
      </c>
      <c r="O774">
        <v>42.205300000000001</v>
      </c>
      <c r="P774">
        <v>53.33</v>
      </c>
      <c r="S774">
        <f t="shared" si="267"/>
        <v>1093.7109000000003</v>
      </c>
      <c r="T774">
        <f t="shared" si="268"/>
        <v>1.7530595341830199E-2</v>
      </c>
      <c r="U774">
        <f t="shared" si="269"/>
        <v>0.22986641592603022</v>
      </c>
      <c r="V774">
        <f t="shared" si="270"/>
        <v>2.0624229813917885E-3</v>
      </c>
      <c r="W774">
        <f t="shared" si="271"/>
        <v>1.8749299830834439E-3</v>
      </c>
      <c r="X774">
        <f t="shared" si="272"/>
        <v>0.30690728893092889</v>
      </c>
      <c r="Y774">
        <f t="shared" si="273"/>
        <v>3.7498599661668879E-4</v>
      </c>
      <c r="Z774">
        <f t="shared" si="274"/>
        <v>2.9061414737793379E-3</v>
      </c>
      <c r="AA774">
        <f t="shared" si="275"/>
        <v>0.23340056519764335</v>
      </c>
      <c r="AB774">
        <f t="shared" si="276"/>
        <v>0.13377278567253503</v>
      </c>
      <c r="AC774">
        <f t="shared" si="277"/>
        <v>7.1878347042977603E-2</v>
      </c>
      <c r="AD774">
        <f t="shared" si="278"/>
        <v>4.4416153834255243E-3</v>
      </c>
      <c r="AE774">
        <f t="shared" si="279"/>
        <v>2.0299585687346983E-2</v>
      </c>
      <c r="AG774">
        <f t="shared" si="280"/>
        <v>7.4798929059130687E-2</v>
      </c>
      <c r="AH774">
        <f t="shared" si="281"/>
        <v>0.58182236632100759</v>
      </c>
      <c r="AI774">
        <f t="shared" si="282"/>
        <v>2.8016003350487448</v>
      </c>
      <c r="AK774" s="26">
        <f t="shared" si="283"/>
        <v>-3.3169629625215136E-2</v>
      </c>
      <c r="AL774" s="26">
        <f t="shared" si="284"/>
        <v>1.1774060071131298E-2</v>
      </c>
      <c r="AM774" s="26">
        <f t="shared" si="285"/>
        <v>1.5065421980293758E-2</v>
      </c>
      <c r="AN774" s="26">
        <f t="shared" si="286"/>
        <v>-7.1969047619047473</v>
      </c>
      <c r="AO774" s="26">
        <f t="shared" si="287"/>
        <v>-9.788059845559836</v>
      </c>
      <c r="AP774" s="26">
        <f t="shared" si="288"/>
        <v>-13.69880511307769</v>
      </c>
      <c r="AS774" s="2">
        <v>44706</v>
      </c>
      <c r="AT774">
        <v>20.100000000000001</v>
      </c>
      <c r="AU774">
        <v>2.7</v>
      </c>
      <c r="AV774">
        <v>42.9</v>
      </c>
      <c r="AW774">
        <v>9.8000000000000007</v>
      </c>
      <c r="AX774">
        <v>241.29</v>
      </c>
      <c r="AY774">
        <v>0.8</v>
      </c>
      <c r="AZ774">
        <v>3.5</v>
      </c>
      <c r="BA774">
        <v>223.45349999999999</v>
      </c>
      <c r="BB774">
        <v>56.036799999999999</v>
      </c>
      <c r="BC774">
        <v>49.853499999999997</v>
      </c>
      <c r="BD774">
        <v>3.6604999999999999</v>
      </c>
      <c r="BE774">
        <v>21.770299999999999</v>
      </c>
      <c r="BF774">
        <v>-26.206800000000001</v>
      </c>
      <c r="BG774">
        <v>4.4771000000000001</v>
      </c>
      <c r="BH774">
        <v>44.66</v>
      </c>
    </row>
    <row r="775" spans="1:60" x14ac:dyDescent="0.25">
      <c r="A775" s="2">
        <v>44726</v>
      </c>
      <c r="B775">
        <v>18.5</v>
      </c>
      <c r="C775">
        <v>62.1</v>
      </c>
      <c r="D775">
        <v>22.5</v>
      </c>
      <c r="E775">
        <v>5.3</v>
      </c>
      <c r="F775">
        <v>306.64999999999998</v>
      </c>
      <c r="G775">
        <v>0.4</v>
      </c>
      <c r="H775">
        <v>3.2</v>
      </c>
      <c r="I775">
        <v>242.5496</v>
      </c>
      <c r="J775">
        <v>123.9834</v>
      </c>
      <c r="K775">
        <v>81.952600000000004</v>
      </c>
      <c r="L775">
        <v>4.1852</v>
      </c>
      <c r="M775">
        <v>23.5977</v>
      </c>
      <c r="N775">
        <v>-28.017399999999999</v>
      </c>
      <c r="O775">
        <v>16.552099999999999</v>
      </c>
      <c r="P775">
        <v>52.99</v>
      </c>
      <c r="S775">
        <f t="shared" si="267"/>
        <v>894.91849999999988</v>
      </c>
      <c r="T775">
        <f t="shared" si="268"/>
        <v>1.7343102343521856E-2</v>
      </c>
      <c r="U775">
        <f t="shared" si="269"/>
        <v>5.8216575974740933E-2</v>
      </c>
      <c r="V775">
        <f t="shared" si="270"/>
        <v>2.1092962309688743E-2</v>
      </c>
      <c r="W775">
        <f t="shared" si="271"/>
        <v>4.9685644551711256E-3</v>
      </c>
      <c r="X775">
        <f t="shared" si="272"/>
        <v>0.28747363965626899</v>
      </c>
      <c r="Y775">
        <f t="shared" si="273"/>
        <v>3.7498599661668879E-4</v>
      </c>
      <c r="Z775">
        <f t="shared" si="274"/>
        <v>2.9998879729335104E-3</v>
      </c>
      <c r="AA775">
        <f t="shared" si="275"/>
        <v>0.22738175871244803</v>
      </c>
      <c r="AB775">
        <f t="shared" si="276"/>
        <v>0.11623009703231393</v>
      </c>
      <c r="AC775">
        <f t="shared" si="277"/>
        <v>7.6827693465822119E-2</v>
      </c>
      <c r="AD775">
        <f t="shared" si="278"/>
        <v>3.9234784826004147E-3</v>
      </c>
      <c r="AE775">
        <f t="shared" si="279"/>
        <v>2.212201763090409E-2</v>
      </c>
      <c r="AG775">
        <f t="shared" si="280"/>
        <v>6.1018480267667097E-2</v>
      </c>
      <c r="AH775">
        <f t="shared" si="281"/>
        <v>0.41459173633984592</v>
      </c>
      <c r="AI775">
        <f t="shared" si="282"/>
        <v>1.4142396589739243</v>
      </c>
      <c r="AK775" s="26">
        <f t="shared" si="283"/>
        <v>-3.6216328350059612E-2</v>
      </c>
      <c r="AL775" s="26">
        <f t="shared" si="284"/>
        <v>1.1449373294126097E-2</v>
      </c>
      <c r="AM775" s="26">
        <f t="shared" si="285"/>
        <v>1.4078346957158372E-2</v>
      </c>
      <c r="AN775" s="26">
        <f t="shared" si="286"/>
        <v>-7.3104761904761801</v>
      </c>
      <c r="AO775" s="26">
        <f t="shared" si="287"/>
        <v>-9.9245945945945948</v>
      </c>
      <c r="AP775" s="26">
        <f t="shared" si="288"/>
        <v>-13.822082595870206</v>
      </c>
      <c r="AS775" s="2">
        <v>44705</v>
      </c>
      <c r="AT775">
        <v>19.5</v>
      </c>
      <c r="AU775">
        <v>90.4</v>
      </c>
      <c r="AV775">
        <v>43.5</v>
      </c>
      <c r="AW775">
        <v>14.7</v>
      </c>
      <c r="AX775">
        <v>170.2</v>
      </c>
      <c r="AY775">
        <v>0.7</v>
      </c>
      <c r="AZ775">
        <v>3.6</v>
      </c>
      <c r="BA775">
        <v>222.80340000000001</v>
      </c>
      <c r="BB775">
        <v>76.826300000000003</v>
      </c>
      <c r="BC775">
        <v>63.120199999999997</v>
      </c>
      <c r="BD775">
        <v>3.649</v>
      </c>
      <c r="BE775">
        <v>26.845800000000001</v>
      </c>
      <c r="BF775">
        <v>-20.579499999999999</v>
      </c>
      <c r="BG775">
        <v>0.8528</v>
      </c>
      <c r="BH775">
        <v>44.21</v>
      </c>
    </row>
    <row r="776" spans="1:60" x14ac:dyDescent="0.25">
      <c r="A776" s="2">
        <v>44725</v>
      </c>
      <c r="B776">
        <v>18.100000000000001</v>
      </c>
      <c r="C776">
        <v>155.69999999999999</v>
      </c>
      <c r="D776">
        <v>41</v>
      </c>
      <c r="E776">
        <v>11</v>
      </c>
      <c r="F776">
        <v>263.56</v>
      </c>
      <c r="G776">
        <v>0.8</v>
      </c>
      <c r="H776">
        <v>3</v>
      </c>
      <c r="I776">
        <v>245.22710000000001</v>
      </c>
      <c r="J776">
        <v>87.744299999999996</v>
      </c>
      <c r="K776">
        <v>50.752899999999997</v>
      </c>
      <c r="L776">
        <v>4.2062999999999997</v>
      </c>
      <c r="M776">
        <v>21.512</v>
      </c>
      <c r="N776">
        <v>-21.576799999999999</v>
      </c>
      <c r="O776">
        <v>0.86499999999999999</v>
      </c>
      <c r="P776">
        <v>52.66</v>
      </c>
      <c r="S776">
        <f t="shared" si="267"/>
        <v>902.60259999999994</v>
      </c>
      <c r="T776">
        <f t="shared" si="268"/>
        <v>1.696811634690517E-2</v>
      </c>
      <c r="U776">
        <f t="shared" si="269"/>
        <v>0.1459632991830461</v>
      </c>
      <c r="V776">
        <f t="shared" si="270"/>
        <v>3.8436064653210596E-2</v>
      </c>
      <c r="W776">
        <f t="shared" si="271"/>
        <v>1.0312114906958941E-2</v>
      </c>
      <c r="X776">
        <f t="shared" si="272"/>
        <v>0.24707827317073622</v>
      </c>
      <c r="Y776">
        <f t="shared" si="273"/>
        <v>7.4997199323337759E-4</v>
      </c>
      <c r="Z776">
        <f t="shared" si="274"/>
        <v>2.8123949746251659E-3</v>
      </c>
      <c r="AA776">
        <f t="shared" si="275"/>
        <v>0.22989182122730101</v>
      </c>
      <c r="AB776">
        <f t="shared" si="276"/>
        <v>8.2257209457334307E-2</v>
      </c>
      <c r="AC776">
        <f t="shared" si="277"/>
        <v>4.7579066969217855E-2</v>
      </c>
      <c r="AD776">
        <f t="shared" si="278"/>
        <v>3.9432589939219446E-3</v>
      </c>
      <c r="AE776">
        <f t="shared" si="279"/>
        <v>2.0166746898045523E-2</v>
      </c>
      <c r="AG776">
        <f t="shared" si="280"/>
        <v>4.7682143597907518E-2</v>
      </c>
      <c r="AH776">
        <f t="shared" si="281"/>
        <v>0.48248698212676111</v>
      </c>
      <c r="AI776">
        <f t="shared" si="282"/>
        <v>1.9809704251921105</v>
      </c>
      <c r="AK776" s="26">
        <f t="shared" si="283"/>
        <v>-2.2543658135266542E-2</v>
      </c>
      <c r="AL776" s="26">
        <f t="shared" si="284"/>
        <v>1.6880447172683E-2</v>
      </c>
      <c r="AM776" s="26">
        <f t="shared" si="285"/>
        <v>1.5800657506880422E-2</v>
      </c>
      <c r="AN776" s="26">
        <f t="shared" si="286"/>
        <v>-7.4292857142856903</v>
      </c>
      <c r="AO776" s="26">
        <f t="shared" si="287"/>
        <v>-10.064026705276696</v>
      </c>
      <c r="AP776" s="26">
        <f t="shared" si="288"/>
        <v>-13.94418643067845</v>
      </c>
      <c r="AS776" s="2">
        <v>44704</v>
      </c>
      <c r="AU776">
        <v>11</v>
      </c>
      <c r="AX776">
        <v>223.71</v>
      </c>
      <c r="BC776">
        <v>67.707300000000004</v>
      </c>
      <c r="BF776">
        <v>-14.0725</v>
      </c>
      <c r="BG776">
        <v>-3.6078999999999999</v>
      </c>
      <c r="BH776">
        <v>43.79</v>
      </c>
    </row>
    <row r="777" spans="1:60" x14ac:dyDescent="0.25">
      <c r="A777" s="2">
        <v>44724</v>
      </c>
      <c r="B777">
        <v>19.100000000000001</v>
      </c>
      <c r="C777">
        <v>63.7</v>
      </c>
      <c r="D777">
        <v>31.6</v>
      </c>
      <c r="E777">
        <v>6.4</v>
      </c>
      <c r="F777">
        <v>305.45</v>
      </c>
      <c r="G777">
        <v>0.7</v>
      </c>
      <c r="H777">
        <v>3.2</v>
      </c>
      <c r="I777">
        <v>200.4248</v>
      </c>
      <c r="J777">
        <v>75.220200000000006</v>
      </c>
      <c r="K777">
        <v>27.909099999999999</v>
      </c>
      <c r="L777">
        <v>4.2880000000000003</v>
      </c>
      <c r="M777">
        <v>15.4186</v>
      </c>
      <c r="P777">
        <v>52.23</v>
      </c>
      <c r="S777">
        <f t="shared" si="267"/>
        <v>753.41069999999991</v>
      </c>
      <c r="T777">
        <f t="shared" si="268"/>
        <v>1.7905581338446889E-2</v>
      </c>
      <c r="U777">
        <f t="shared" si="269"/>
        <v>5.9716519961207686E-2</v>
      </c>
      <c r="V777">
        <f t="shared" si="270"/>
        <v>2.9623893732718412E-2</v>
      </c>
      <c r="W777">
        <f t="shared" si="271"/>
        <v>5.9997759458670207E-3</v>
      </c>
      <c r="X777">
        <f t="shared" si="272"/>
        <v>0.28634868166641897</v>
      </c>
      <c r="Y777">
        <f t="shared" si="273"/>
        <v>6.5622549407920526E-4</v>
      </c>
      <c r="Z777">
        <f t="shared" si="274"/>
        <v>2.9998879729335104E-3</v>
      </c>
      <c r="AA777">
        <f t="shared" si="275"/>
        <v>0.18789123343675132</v>
      </c>
      <c r="AB777">
        <f t="shared" si="276"/>
        <v>7.0516304156766629E-2</v>
      </c>
      <c r="AC777">
        <f t="shared" si="277"/>
        <v>2.6163804195437068E-2</v>
      </c>
      <c r="AD777">
        <f t="shared" si="278"/>
        <v>4.0198498837309034E-3</v>
      </c>
      <c r="AE777">
        <f t="shared" si="279"/>
        <v>1.4454397718585194E-2</v>
      </c>
      <c r="AG777">
        <f t="shared" si="280"/>
        <v>2.9952099036146446E-2</v>
      </c>
      <c r="AH777">
        <f t="shared" si="281"/>
        <v>0.4177049638302569</v>
      </c>
      <c r="AI777">
        <f t="shared" si="282"/>
        <v>1.4325281233948988</v>
      </c>
      <c r="AK777" s="26">
        <f t="shared" si="283"/>
        <v>-2.9168468775708556E-2</v>
      </c>
      <c r="AL777" s="26">
        <f t="shared" si="284"/>
        <v>1.7158959862587586E-2</v>
      </c>
      <c r="AM777" s="26">
        <f t="shared" si="285"/>
        <v>1.4421482742001501E-2</v>
      </c>
      <c r="AN777" s="26">
        <f t="shared" si="286"/>
        <v>-7.5528571428571425</v>
      </c>
      <c r="AO777" s="26">
        <f t="shared" si="287"/>
        <v>-10.20562902187902</v>
      </c>
      <c r="AP777" s="26">
        <f t="shared" si="288"/>
        <v>-14.066138446411003</v>
      </c>
      <c r="AS777" s="2">
        <v>44703</v>
      </c>
      <c r="AT777">
        <v>19.7</v>
      </c>
      <c r="AU777">
        <v>39</v>
      </c>
      <c r="AV777">
        <v>8.6</v>
      </c>
      <c r="AW777">
        <v>0.6</v>
      </c>
      <c r="AX777">
        <v>283.89999999999998</v>
      </c>
      <c r="AY777">
        <v>0.8</v>
      </c>
      <c r="AZ777">
        <v>3.2</v>
      </c>
      <c r="BA777">
        <v>221.53110000000001</v>
      </c>
      <c r="BB777">
        <v>52.1601</v>
      </c>
      <c r="BC777">
        <v>36.351599999999998</v>
      </c>
      <c r="BD777">
        <v>3.6772</v>
      </c>
      <c r="BE777">
        <v>16.648</v>
      </c>
      <c r="BH777">
        <v>43.35</v>
      </c>
    </row>
    <row r="778" spans="1:60" x14ac:dyDescent="0.25">
      <c r="A778" s="2">
        <v>44723</v>
      </c>
      <c r="C778">
        <v>232.9</v>
      </c>
      <c r="F778">
        <v>280.27999999999997</v>
      </c>
      <c r="K778">
        <v>29.552700000000002</v>
      </c>
      <c r="P778">
        <v>51.71</v>
      </c>
      <c r="S778">
        <f t="shared" si="267"/>
        <v>542.73269999999991</v>
      </c>
      <c r="T778">
        <f t="shared" si="268"/>
        <v>0</v>
      </c>
      <c r="U778">
        <f t="shared" si="269"/>
        <v>0.21833559653006704</v>
      </c>
      <c r="V778">
        <f t="shared" si="270"/>
        <v>0</v>
      </c>
      <c r="W778">
        <f t="shared" si="271"/>
        <v>0</v>
      </c>
      <c r="X778">
        <f t="shared" si="272"/>
        <v>0.26275268782931377</v>
      </c>
      <c r="Y778">
        <f t="shared" si="273"/>
        <v>0</v>
      </c>
      <c r="Z778">
        <f t="shared" si="274"/>
        <v>0</v>
      </c>
      <c r="AA778">
        <f t="shared" si="275"/>
        <v>0</v>
      </c>
      <c r="AB778">
        <f t="shared" si="276"/>
        <v>0</v>
      </c>
      <c r="AC778">
        <f t="shared" si="277"/>
        <v>2.7704621655535045E-2</v>
      </c>
      <c r="AD778">
        <f t="shared" si="278"/>
        <v>0</v>
      </c>
      <c r="AE778">
        <f t="shared" si="279"/>
        <v>0</v>
      </c>
      <c r="AG778">
        <f t="shared" si="280"/>
        <v>8.2713776834928785E-3</v>
      </c>
      <c r="AH778">
        <f t="shared" si="281"/>
        <v>0.48108828435938078</v>
      </c>
      <c r="AI778">
        <f t="shared" si="282"/>
        <v>1.9687909167810382</v>
      </c>
      <c r="AK778" s="26">
        <f t="shared" si="283"/>
        <v>-2.1834394443261129E-2</v>
      </c>
      <c r="AL778" s="26">
        <f t="shared" si="284"/>
        <v>2.0399631360049963E-2</v>
      </c>
      <c r="AM778" s="26">
        <f t="shared" si="285"/>
        <v>1.5577997525378973E-2</v>
      </c>
      <c r="AN778" s="26">
        <f t="shared" si="286"/>
        <v>-7.6745238095238264</v>
      </c>
      <c r="AO778" s="26">
        <f t="shared" si="287"/>
        <v>-10.350117438867436</v>
      </c>
      <c r="AP778" s="26">
        <f t="shared" si="288"/>
        <v>-14.189358505408059</v>
      </c>
      <c r="AS778" s="2">
        <v>44702</v>
      </c>
      <c r="AU778">
        <v>25.8</v>
      </c>
      <c r="AX778">
        <v>240.65</v>
      </c>
      <c r="BC778">
        <v>24.159199999999998</v>
      </c>
      <c r="BH778">
        <v>42.82</v>
      </c>
    </row>
    <row r="779" spans="1:60" x14ac:dyDescent="0.25">
      <c r="A779" s="2">
        <v>44722</v>
      </c>
      <c r="C779">
        <v>34.299999999999997</v>
      </c>
      <c r="F779">
        <v>275.83</v>
      </c>
      <c r="K779">
        <v>50.237299999999998</v>
      </c>
      <c r="N779">
        <v>-19.3825</v>
      </c>
      <c r="O779">
        <v>0.72850000000000004</v>
      </c>
      <c r="P779">
        <v>51.19</v>
      </c>
      <c r="S779">
        <f t="shared" si="267"/>
        <v>360.3673</v>
      </c>
      <c r="T779">
        <f t="shared" si="268"/>
        <v>0</v>
      </c>
      <c r="U779">
        <f t="shared" si="269"/>
        <v>3.2155049209881062E-2</v>
      </c>
      <c r="V779">
        <f t="shared" si="270"/>
        <v>0</v>
      </c>
      <c r="W779">
        <f t="shared" si="271"/>
        <v>0</v>
      </c>
      <c r="X779">
        <f t="shared" si="272"/>
        <v>0.25858096861695312</v>
      </c>
      <c r="Y779">
        <f t="shared" si="273"/>
        <v>0</v>
      </c>
      <c r="Z779">
        <f t="shared" si="274"/>
        <v>0</v>
      </c>
      <c r="AA779">
        <f t="shared" si="275"/>
        <v>0</v>
      </c>
      <c r="AB779">
        <f t="shared" si="276"/>
        <v>0</v>
      </c>
      <c r="AC779">
        <f t="shared" si="277"/>
        <v>4.7095710019578942E-2</v>
      </c>
      <c r="AD779">
        <f t="shared" si="278"/>
        <v>0</v>
      </c>
      <c r="AE779">
        <f t="shared" si="279"/>
        <v>0</v>
      </c>
      <c r="AG779">
        <f t="shared" si="280"/>
        <v>-1.3407224220991925E-2</v>
      </c>
      <c r="AH779">
        <f t="shared" si="281"/>
        <v>0.29073601782683417</v>
      </c>
      <c r="AI779">
        <f t="shared" si="282"/>
        <v>0.35071244974013394</v>
      </c>
      <c r="AK779" s="26">
        <f t="shared" si="283"/>
        <v>-2.9382822378083984E-2</v>
      </c>
      <c r="AL779" s="26">
        <f t="shared" si="284"/>
        <v>1.8510279557905907E-2</v>
      </c>
      <c r="AM779" s="26">
        <f t="shared" si="285"/>
        <v>1.4624293416815537E-2</v>
      </c>
      <c r="AN779" s="26">
        <f t="shared" si="286"/>
        <v>-7.7950000000000159</v>
      </c>
      <c r="AO779" s="26">
        <f t="shared" si="287"/>
        <v>-10.496600707850703</v>
      </c>
      <c r="AP779" s="26">
        <f t="shared" si="288"/>
        <v>-14.312029891838741</v>
      </c>
      <c r="AS779" s="2">
        <v>44701</v>
      </c>
      <c r="AU779">
        <v>141</v>
      </c>
      <c r="AX779">
        <v>247.23</v>
      </c>
      <c r="BC779">
        <v>69.740600000000001</v>
      </c>
      <c r="BF779">
        <v>-20.7498</v>
      </c>
      <c r="BG779">
        <v>-10.3264</v>
      </c>
      <c r="BH779">
        <v>42.29</v>
      </c>
    </row>
    <row r="780" spans="1:60" x14ac:dyDescent="0.25">
      <c r="A780" s="2">
        <v>44721</v>
      </c>
      <c r="B780">
        <v>21.7</v>
      </c>
      <c r="C780">
        <v>134.6</v>
      </c>
      <c r="D780">
        <v>16.8</v>
      </c>
      <c r="E780">
        <v>6.3</v>
      </c>
      <c r="F780">
        <v>190.7</v>
      </c>
      <c r="G780">
        <v>0.8</v>
      </c>
      <c r="H780">
        <v>2.8</v>
      </c>
      <c r="I780">
        <v>273.03739999999999</v>
      </c>
      <c r="J780">
        <v>87.902900000000002</v>
      </c>
      <c r="K780">
        <v>73.903099999999995</v>
      </c>
      <c r="L780">
        <v>4.3573000000000004</v>
      </c>
      <c r="M780">
        <v>16.352799999999998</v>
      </c>
      <c r="N780">
        <v>-19.779900000000001</v>
      </c>
      <c r="O780">
        <v>3.7002000000000002</v>
      </c>
      <c r="P780">
        <v>50.95</v>
      </c>
      <c r="S780">
        <f t="shared" si="267"/>
        <v>829.25350000000003</v>
      </c>
      <c r="T780">
        <f t="shared" si="268"/>
        <v>2.0342990316455364E-2</v>
      </c>
      <c r="U780">
        <f t="shared" si="269"/>
        <v>0.12618278786151577</v>
      </c>
      <c r="V780">
        <f t="shared" si="270"/>
        <v>1.5749411857900929E-2</v>
      </c>
      <c r="W780">
        <f t="shared" si="271"/>
        <v>5.9060294467128483E-3</v>
      </c>
      <c r="X780">
        <f t="shared" si="272"/>
        <v>0.17877457388700635</v>
      </c>
      <c r="Y780">
        <f t="shared" si="273"/>
        <v>7.4997199323337759E-4</v>
      </c>
      <c r="Z780">
        <f t="shared" si="274"/>
        <v>2.624901976316821E-3</v>
      </c>
      <c r="AA780">
        <f t="shared" si="275"/>
        <v>0.25596300388157373</v>
      </c>
      <c r="AB780">
        <f t="shared" si="276"/>
        <v>8.2405891404992826E-2</v>
      </c>
      <c r="AC780">
        <f t="shared" si="277"/>
        <v>6.928156901640703E-2</v>
      </c>
      <c r="AD780">
        <f t="shared" si="278"/>
        <v>4.0848162076447449E-3</v>
      </c>
      <c r="AE780">
        <f t="shared" si="279"/>
        <v>1.5330177513683469E-2</v>
      </c>
      <c r="AG780">
        <f t="shared" si="280"/>
        <v>-2.2771368646420216E-2</v>
      </c>
      <c r="AH780">
        <f t="shared" si="281"/>
        <v>0.36566084485282496</v>
      </c>
      <c r="AI780">
        <f t="shared" si="282"/>
        <v>0.96813052498762375</v>
      </c>
      <c r="AK780" s="26">
        <f t="shared" si="283"/>
        <v>-3.1487042905741447E-2</v>
      </c>
      <c r="AL780" s="26">
        <f t="shared" si="284"/>
        <v>1.808635348493759E-2</v>
      </c>
      <c r="AM780" s="26">
        <f t="shared" si="285"/>
        <v>1.5734043899349626E-2</v>
      </c>
      <c r="AN780" s="26">
        <f t="shared" si="286"/>
        <v>-7.9142857142857324</v>
      </c>
      <c r="AO780" s="26">
        <f t="shared" si="287"/>
        <v>-10.644991956241945</v>
      </c>
      <c r="AP780" s="26">
        <f t="shared" si="288"/>
        <v>-14.433975614552594</v>
      </c>
      <c r="AS780" s="2">
        <v>44700</v>
      </c>
      <c r="AT780">
        <v>20.8</v>
      </c>
      <c r="AU780">
        <v>356.6</v>
      </c>
      <c r="AV780">
        <v>17.3</v>
      </c>
      <c r="AW780">
        <v>5.6</v>
      </c>
      <c r="AX780">
        <v>267.31</v>
      </c>
      <c r="AY780">
        <v>0.7</v>
      </c>
      <c r="AZ780">
        <v>3</v>
      </c>
      <c r="BA780">
        <v>220.73099999999999</v>
      </c>
      <c r="BB780">
        <v>89.261899999999997</v>
      </c>
      <c r="BC780">
        <v>70.769499999999994</v>
      </c>
      <c r="BD780">
        <v>4.0477999999999996</v>
      </c>
      <c r="BE780">
        <v>25.034700000000001</v>
      </c>
      <c r="BF780">
        <v>-26.1007</v>
      </c>
      <c r="BG780">
        <v>-4.7484999999999999</v>
      </c>
      <c r="BH780">
        <v>41.82</v>
      </c>
    </row>
    <row r="781" spans="1:60" x14ac:dyDescent="0.25">
      <c r="A781" s="2">
        <v>44720</v>
      </c>
      <c r="B781">
        <v>22.2</v>
      </c>
      <c r="C781">
        <v>60</v>
      </c>
      <c r="D781">
        <v>10.6</v>
      </c>
      <c r="E781">
        <v>3.6</v>
      </c>
      <c r="F781">
        <v>228</v>
      </c>
      <c r="G781">
        <v>0.8</v>
      </c>
      <c r="H781">
        <v>2.9</v>
      </c>
      <c r="I781">
        <v>257.53359999999998</v>
      </c>
      <c r="J781">
        <v>88.456900000000005</v>
      </c>
      <c r="K781">
        <v>87.580100000000002</v>
      </c>
      <c r="L781">
        <v>4.3403999999999998</v>
      </c>
      <c r="M781">
        <v>27.328600000000002</v>
      </c>
      <c r="N781">
        <v>-18.353000000000002</v>
      </c>
      <c r="O781">
        <v>-5.4493999999999998</v>
      </c>
      <c r="P781">
        <v>50.71</v>
      </c>
      <c r="S781">
        <f t="shared" si="267"/>
        <v>793.33960000000002</v>
      </c>
      <c r="T781">
        <f t="shared" si="268"/>
        <v>2.0811722812226225E-2</v>
      </c>
      <c r="U781">
        <f t="shared" si="269"/>
        <v>5.6247899492503313E-2</v>
      </c>
      <c r="V781">
        <f t="shared" si="270"/>
        <v>9.9371289103422512E-3</v>
      </c>
      <c r="W781">
        <f t="shared" si="271"/>
        <v>3.3748739695501988E-3</v>
      </c>
      <c r="X781">
        <f t="shared" si="272"/>
        <v>0.21374201807151261</v>
      </c>
      <c r="Y781">
        <f t="shared" si="273"/>
        <v>7.4997199323337759E-4</v>
      </c>
      <c r="Z781">
        <f t="shared" si="274"/>
        <v>2.7186484754709935E-3</v>
      </c>
      <c r="AA781">
        <f t="shared" si="275"/>
        <v>0.24142873414570917</v>
      </c>
      <c r="AB781">
        <f t="shared" si="276"/>
        <v>8.2925247010306943E-2</v>
      </c>
      <c r="AC781">
        <f t="shared" si="277"/>
        <v>8.2103277705723163E-2</v>
      </c>
      <c r="AD781">
        <f t="shared" si="278"/>
        <v>4.0689730492876894E-3</v>
      </c>
      <c r="AE781">
        <f t="shared" si="279"/>
        <v>2.5619605767847102E-2</v>
      </c>
      <c r="AG781">
        <f t="shared" si="280"/>
        <v>-3.212449442344998E-2</v>
      </c>
      <c r="AH781">
        <f t="shared" si="281"/>
        <v>0.3332018694926861</v>
      </c>
      <c r="AI781">
        <f t="shared" si="282"/>
        <v>0.69970880204719799</v>
      </c>
      <c r="AK781" s="26">
        <f t="shared" si="283"/>
        <v>-1.5914555244398942E-2</v>
      </c>
      <c r="AL781" s="26">
        <f t="shared" si="284"/>
        <v>1.675553299393806E-2</v>
      </c>
      <c r="AM781" s="26">
        <f t="shared" si="285"/>
        <v>1.5231481287866167E-2</v>
      </c>
      <c r="AN781" s="26">
        <f t="shared" si="286"/>
        <v>-8.0423809523809595</v>
      </c>
      <c r="AO781" s="26">
        <f t="shared" si="287"/>
        <v>-10.800202702702698</v>
      </c>
      <c r="AP781" s="26">
        <f t="shared" si="288"/>
        <v>-14.557717994100294</v>
      </c>
      <c r="AS781" s="2">
        <v>44699</v>
      </c>
      <c r="AT781">
        <v>21</v>
      </c>
      <c r="AU781">
        <v>73.099999999999994</v>
      </c>
      <c r="AV781">
        <v>28.4</v>
      </c>
      <c r="AW781">
        <v>7.2</v>
      </c>
      <c r="AX781">
        <v>294.83</v>
      </c>
      <c r="AY781">
        <v>0.7</v>
      </c>
      <c r="AZ781">
        <v>3.4</v>
      </c>
      <c r="BA781">
        <v>252.87450000000001</v>
      </c>
      <c r="BB781">
        <v>88.869299999999996</v>
      </c>
      <c r="BC781">
        <v>74.272499999999994</v>
      </c>
      <c r="BD781">
        <v>4.0145999999999997</v>
      </c>
      <c r="BE781">
        <v>20.858599999999999</v>
      </c>
      <c r="BF781">
        <v>-31.550699999999999</v>
      </c>
      <c r="BG781">
        <v>-4.0659999999999998</v>
      </c>
      <c r="BH781">
        <v>41.38</v>
      </c>
    </row>
    <row r="782" spans="1:60" x14ac:dyDescent="0.25">
      <c r="A782" s="2">
        <v>44719</v>
      </c>
      <c r="B782">
        <v>19.600000000000001</v>
      </c>
      <c r="C782">
        <v>38.6</v>
      </c>
      <c r="D782">
        <v>59.2</v>
      </c>
      <c r="E782">
        <v>12.8</v>
      </c>
      <c r="F782">
        <v>195.98</v>
      </c>
      <c r="G782">
        <v>0.6</v>
      </c>
      <c r="H782">
        <v>3</v>
      </c>
      <c r="I782">
        <v>266.1026</v>
      </c>
      <c r="J782">
        <v>78.912800000000004</v>
      </c>
      <c r="K782">
        <v>56.581400000000002</v>
      </c>
      <c r="L782">
        <v>4.1143999999999998</v>
      </c>
      <c r="M782">
        <v>19.4039</v>
      </c>
      <c r="N782">
        <v>-14.3347</v>
      </c>
      <c r="O782">
        <v>-5.3179999999999996</v>
      </c>
      <c r="P782">
        <v>50.45</v>
      </c>
      <c r="S782">
        <f t="shared" si="267"/>
        <v>754.89510000000007</v>
      </c>
      <c r="T782">
        <f t="shared" si="268"/>
        <v>1.837431383421775E-2</v>
      </c>
      <c r="U782">
        <f t="shared" si="269"/>
        <v>3.6186148673510464E-2</v>
      </c>
      <c r="V782">
        <f t="shared" si="270"/>
        <v>5.549792749926994E-2</v>
      </c>
      <c r="W782">
        <f t="shared" si="271"/>
        <v>1.1999551891734041E-2</v>
      </c>
      <c r="X782">
        <f t="shared" si="272"/>
        <v>0.18372438904234664</v>
      </c>
      <c r="Y782">
        <f t="shared" si="273"/>
        <v>5.6247899492503314E-4</v>
      </c>
      <c r="Z782">
        <f t="shared" si="274"/>
        <v>2.8123949746251659E-3</v>
      </c>
      <c r="AA782">
        <f t="shared" si="275"/>
        <v>0.24946187165823019</v>
      </c>
      <c r="AB782">
        <f t="shared" si="276"/>
        <v>7.3977987384533594E-2</v>
      </c>
      <c r="AC782">
        <f t="shared" si="277"/>
        <v>5.3043081672418786E-2</v>
      </c>
      <c r="AD782">
        <f t="shared" si="278"/>
        <v>3.8571059611992604E-3</v>
      </c>
      <c r="AE782">
        <f t="shared" si="279"/>
        <v>1.8190476949376418E-2</v>
      </c>
      <c r="AG782">
        <f t="shared" si="280"/>
        <v>-4.2355219136704009E-2</v>
      </c>
      <c r="AH782">
        <f t="shared" si="281"/>
        <v>0.32734768186000546</v>
      </c>
      <c r="AI782">
        <f t="shared" si="282"/>
        <v>0.65062302373045999</v>
      </c>
      <c r="AK782" s="26">
        <f t="shared" si="283"/>
        <v>-9.7490935215745478E-3</v>
      </c>
      <c r="AL782" s="26">
        <f t="shared" si="284"/>
        <v>1.9739703753980098E-2</v>
      </c>
      <c r="AM782" s="26">
        <f t="shared" si="285"/>
        <v>1.562148166110533E-2</v>
      </c>
      <c r="AN782" s="26">
        <f t="shared" si="286"/>
        <v>-8.1797619047619108</v>
      </c>
      <c r="AO782" s="26">
        <f t="shared" si="287"/>
        <v>-10.966435006435013</v>
      </c>
      <c r="AP782" s="26">
        <f t="shared" si="288"/>
        <v>-14.683614945919373</v>
      </c>
      <c r="AS782" s="2">
        <v>44698</v>
      </c>
      <c r="AT782">
        <v>20.9</v>
      </c>
      <c r="AU782">
        <v>0</v>
      </c>
      <c r="AV782">
        <v>15</v>
      </c>
      <c r="AW782">
        <v>3.9</v>
      </c>
      <c r="AX782">
        <v>228.95</v>
      </c>
      <c r="AY782">
        <v>0.5</v>
      </c>
      <c r="AZ782">
        <v>3.4</v>
      </c>
      <c r="BA782">
        <v>264.4015</v>
      </c>
      <c r="BB782">
        <v>106.42400000000001</v>
      </c>
      <c r="BC782">
        <v>102.9663</v>
      </c>
      <c r="BD782">
        <v>4.085</v>
      </c>
      <c r="BE782">
        <v>23.725000000000001</v>
      </c>
      <c r="BF782">
        <v>-30.3109</v>
      </c>
      <c r="BG782">
        <v>-7.7880000000000003</v>
      </c>
      <c r="BH782">
        <v>40.99</v>
      </c>
    </row>
    <row r="783" spans="1:60" x14ac:dyDescent="0.25">
      <c r="A783" s="2">
        <v>44718</v>
      </c>
      <c r="B783">
        <v>18.5</v>
      </c>
      <c r="C783">
        <v>18.399999999999999</v>
      </c>
      <c r="D783">
        <v>69.599999999999994</v>
      </c>
      <c r="E783">
        <v>12.5</v>
      </c>
      <c r="F783">
        <v>232.31</v>
      </c>
      <c r="G783">
        <v>0.7</v>
      </c>
      <c r="H783">
        <v>3.3</v>
      </c>
      <c r="I783">
        <v>182.9024</v>
      </c>
      <c r="J783">
        <v>41.403500000000001</v>
      </c>
      <c r="K783">
        <v>22.0823</v>
      </c>
      <c r="L783">
        <v>4.0812999999999997</v>
      </c>
      <c r="M783">
        <v>11.4795</v>
      </c>
      <c r="N783">
        <v>-15.781700000000001</v>
      </c>
      <c r="O783">
        <v>-4.4283000000000001</v>
      </c>
      <c r="P783">
        <v>50.1</v>
      </c>
      <c r="S783">
        <f t="shared" si="267"/>
        <v>617.25900000000013</v>
      </c>
      <c r="T783">
        <f t="shared" si="268"/>
        <v>1.7343102343521856E-2</v>
      </c>
      <c r="U783">
        <f t="shared" si="269"/>
        <v>1.7249355844367681E-2</v>
      </c>
      <c r="V783">
        <f t="shared" si="270"/>
        <v>6.5247563411303833E-2</v>
      </c>
      <c r="W783">
        <f t="shared" si="271"/>
        <v>1.1718312394271523E-2</v>
      </c>
      <c r="X783">
        <f t="shared" si="272"/>
        <v>0.21778249218505741</v>
      </c>
      <c r="Y783">
        <f t="shared" si="273"/>
        <v>6.5622549407920526E-4</v>
      </c>
      <c r="Z783">
        <f t="shared" si="274"/>
        <v>3.0936344720876819E-3</v>
      </c>
      <c r="AA783">
        <f t="shared" si="275"/>
        <v>0.17146459686896065</v>
      </c>
      <c r="AB783">
        <f t="shared" si="276"/>
        <v>3.8814331777297685E-2</v>
      </c>
      <c r="AC783">
        <f t="shared" si="277"/>
        <v>2.0701383182721765E-2</v>
      </c>
      <c r="AD783">
        <f t="shared" si="278"/>
        <v>3.8260758699792292E-3</v>
      </c>
      <c r="AE783">
        <f t="shared" si="279"/>
        <v>1.0761629370403196E-2</v>
      </c>
      <c r="AG783">
        <f t="shared" si="280"/>
        <v>-5.653381390144719E-2</v>
      </c>
      <c r="AH783">
        <f t="shared" si="281"/>
        <v>0.34385231551509238</v>
      </c>
      <c r="AI783">
        <f t="shared" si="282"/>
        <v>0.78767337540088844</v>
      </c>
      <c r="AK783" s="26">
        <f t="shared" si="283"/>
        <v>-8.2157646211114543E-3</v>
      </c>
      <c r="AL783" s="26">
        <f t="shared" si="284"/>
        <v>2.2816749077229193E-2</v>
      </c>
      <c r="AM783" s="26">
        <f t="shared" si="285"/>
        <v>1.6250905438509489E-2</v>
      </c>
      <c r="AN783" s="26">
        <f t="shared" si="286"/>
        <v>-8.3245238095238179</v>
      </c>
      <c r="AO783" s="26">
        <f t="shared" si="287"/>
        <v>-11.133166023166034</v>
      </c>
      <c r="AP783" s="26">
        <f t="shared" si="288"/>
        <v>-14.811047394296956</v>
      </c>
      <c r="AS783" s="2">
        <v>44697</v>
      </c>
      <c r="AT783">
        <v>17.899999999999999</v>
      </c>
      <c r="AU783">
        <v>23.5</v>
      </c>
      <c r="AV783">
        <v>36.700000000000003</v>
      </c>
      <c r="AW783">
        <v>10</v>
      </c>
      <c r="AX783">
        <v>215.17</v>
      </c>
      <c r="AY783">
        <v>0.2</v>
      </c>
      <c r="AZ783">
        <v>3.4</v>
      </c>
      <c r="BA783">
        <v>250.9683</v>
      </c>
      <c r="BB783">
        <v>73.809200000000004</v>
      </c>
      <c r="BC783">
        <v>58.990600000000001</v>
      </c>
      <c r="BD783">
        <v>4.3087</v>
      </c>
      <c r="BE783">
        <v>25.355599999999999</v>
      </c>
      <c r="BF783">
        <v>-27.3414</v>
      </c>
      <c r="BG783">
        <v>-1.7823</v>
      </c>
      <c r="BH783">
        <v>40.590000000000003</v>
      </c>
    </row>
    <row r="784" spans="1:60" x14ac:dyDescent="0.25">
      <c r="A784" s="2">
        <v>44717</v>
      </c>
      <c r="B784">
        <v>17.399999999999999</v>
      </c>
      <c r="C784">
        <v>10.7</v>
      </c>
      <c r="D784">
        <v>29.9</v>
      </c>
      <c r="E784">
        <v>7.5</v>
      </c>
      <c r="F784">
        <v>202.66</v>
      </c>
      <c r="G784">
        <v>0.8</v>
      </c>
      <c r="H784">
        <v>3.3</v>
      </c>
      <c r="I784">
        <v>234.88059999999999</v>
      </c>
      <c r="J784">
        <v>45.005400000000002</v>
      </c>
      <c r="K784">
        <v>28.286799999999999</v>
      </c>
      <c r="L784">
        <v>4.0865</v>
      </c>
      <c r="M784">
        <v>14.404199999999999</v>
      </c>
      <c r="P784">
        <v>49.65</v>
      </c>
      <c r="S784">
        <f t="shared" si="267"/>
        <v>598.92349999999988</v>
      </c>
      <c r="T784">
        <f t="shared" si="268"/>
        <v>1.6311890852825958E-2</v>
      </c>
      <c r="U784">
        <f t="shared" si="269"/>
        <v>1.0030875409496424E-2</v>
      </c>
      <c r="V784">
        <f t="shared" si="270"/>
        <v>2.8030203247097485E-2</v>
      </c>
      <c r="W784">
        <f t="shared" si="271"/>
        <v>7.0309874365629141E-3</v>
      </c>
      <c r="X784">
        <f t="shared" si="272"/>
        <v>0.18998665518584537</v>
      </c>
      <c r="Y784">
        <f t="shared" si="273"/>
        <v>7.4997199323337759E-4</v>
      </c>
      <c r="Z784">
        <f t="shared" si="274"/>
        <v>3.0936344720876819E-3</v>
      </c>
      <c r="AA784">
        <f t="shared" si="275"/>
        <v>0.22019233969231455</v>
      </c>
      <c r="AB784">
        <f t="shared" si="276"/>
        <v>4.2190986930331811E-2</v>
      </c>
      <c r="AC784">
        <f t="shared" si="277"/>
        <v>2.6517884722742378E-2</v>
      </c>
      <c r="AD784">
        <f t="shared" si="278"/>
        <v>3.8309506879352466E-3</v>
      </c>
      <c r="AE784">
        <f t="shared" si="279"/>
        <v>1.350343323116527E-2</v>
      </c>
      <c r="AG784">
        <f t="shared" si="280"/>
        <v>-7.5107145307766479E-2</v>
      </c>
      <c r="AH784">
        <f t="shared" si="281"/>
        <v>0.26873765182831449</v>
      </c>
      <c r="AI784">
        <f t="shared" si="282"/>
        <v>0.16576506652782949</v>
      </c>
      <c r="AK784" s="26">
        <f t="shared" si="283"/>
        <v>-6.9678424732039224E-4</v>
      </c>
      <c r="AL784" s="26">
        <f t="shared" si="284"/>
        <v>2.4271934645254123E-2</v>
      </c>
      <c r="AM784" s="26">
        <f t="shared" si="285"/>
        <v>1.786144209812851E-2</v>
      </c>
      <c r="AN784" s="26">
        <f t="shared" si="286"/>
        <v>-8.4728571428571442</v>
      </c>
      <c r="AO784" s="26">
        <f t="shared" si="287"/>
        <v>-11.300817245817257</v>
      </c>
      <c r="AP784" s="26">
        <f t="shared" si="288"/>
        <v>-14.940241101278275</v>
      </c>
      <c r="AS784" s="2">
        <v>44696</v>
      </c>
      <c r="AT784">
        <v>16</v>
      </c>
      <c r="AU784">
        <v>33.200000000000003</v>
      </c>
      <c r="AV784">
        <v>10.5</v>
      </c>
      <c r="AW784">
        <v>2.4</v>
      </c>
      <c r="AX784">
        <v>312.83</v>
      </c>
      <c r="AY784">
        <v>0.2</v>
      </c>
      <c r="AZ784">
        <v>3.3</v>
      </c>
      <c r="BA784">
        <v>207.036</v>
      </c>
      <c r="BB784">
        <v>35.677100000000003</v>
      </c>
      <c r="BC784">
        <v>25.651599999999998</v>
      </c>
      <c r="BD784">
        <v>4.1845999999999997</v>
      </c>
      <c r="BE784">
        <v>13.5688</v>
      </c>
      <c r="BH784">
        <v>40.159999999999997</v>
      </c>
    </row>
    <row r="785" spans="1:60" x14ac:dyDescent="0.25">
      <c r="A785" s="2">
        <v>44716</v>
      </c>
      <c r="C785">
        <v>20.6</v>
      </c>
      <c r="F785">
        <v>254.94</v>
      </c>
      <c r="K785">
        <v>38.587800000000001</v>
      </c>
      <c r="P785">
        <v>49.14</v>
      </c>
      <c r="S785">
        <f t="shared" si="267"/>
        <v>314.12780000000004</v>
      </c>
      <c r="T785">
        <f t="shared" si="268"/>
        <v>0</v>
      </c>
      <c r="U785">
        <f t="shared" si="269"/>
        <v>1.9311778825759473E-2</v>
      </c>
      <c r="V785">
        <f t="shared" si="270"/>
        <v>0</v>
      </c>
      <c r="W785">
        <f t="shared" si="271"/>
        <v>0</v>
      </c>
      <c r="X785">
        <f t="shared" si="272"/>
        <v>0.23899732494364659</v>
      </c>
      <c r="Y785">
        <f t="shared" si="273"/>
        <v>0</v>
      </c>
      <c r="Z785">
        <f t="shared" si="274"/>
        <v>0</v>
      </c>
      <c r="AA785">
        <f t="shared" si="275"/>
        <v>0</v>
      </c>
      <c r="AB785">
        <f t="shared" si="276"/>
        <v>0</v>
      </c>
      <c r="AC785">
        <f t="shared" si="277"/>
        <v>3.6174711600613661E-2</v>
      </c>
      <c r="AD785">
        <f t="shared" si="278"/>
        <v>0</v>
      </c>
      <c r="AE785">
        <f t="shared" si="279"/>
        <v>0</v>
      </c>
      <c r="AG785">
        <f t="shared" si="280"/>
        <v>-9.6312923679398213E-2</v>
      </c>
      <c r="AH785">
        <f t="shared" si="281"/>
        <v>0.25830910376940608</v>
      </c>
      <c r="AI785">
        <f t="shared" si="282"/>
        <v>7.0980618351782987E-2</v>
      </c>
      <c r="AK785" s="26">
        <f t="shared" si="283"/>
        <v>9.3089492439265564E-3</v>
      </c>
      <c r="AL785" s="26">
        <f t="shared" si="284"/>
        <v>2.7665530345684086E-2</v>
      </c>
      <c r="AM785" s="26">
        <f t="shared" si="285"/>
        <v>2.0183501191256337E-2</v>
      </c>
      <c r="AN785" s="26">
        <f t="shared" si="286"/>
        <v>-8.6228571428571428</v>
      </c>
      <c r="AO785" s="26">
        <f t="shared" si="287"/>
        <v>-11.464739382239394</v>
      </c>
      <c r="AP785" s="26">
        <f t="shared" si="288"/>
        <v>-15.072129400196665</v>
      </c>
      <c r="AS785" s="2">
        <v>44695</v>
      </c>
      <c r="AU785">
        <v>36.299999999999997</v>
      </c>
      <c r="AX785">
        <v>287.39</v>
      </c>
      <c r="BC785">
        <v>32.313899999999997</v>
      </c>
      <c r="BH785">
        <v>39.58</v>
      </c>
    </row>
    <row r="786" spans="1:60" x14ac:dyDescent="0.25">
      <c r="A786" s="2">
        <v>44715</v>
      </c>
      <c r="C786">
        <v>73.400000000000006</v>
      </c>
      <c r="F786">
        <v>282.48</v>
      </c>
      <c r="K786">
        <v>80.786500000000004</v>
      </c>
      <c r="N786">
        <v>-16.0364</v>
      </c>
      <c r="O786">
        <v>-2.9940000000000002</v>
      </c>
      <c r="P786">
        <v>48.64</v>
      </c>
      <c r="S786">
        <f t="shared" si="267"/>
        <v>436.66649999999998</v>
      </c>
      <c r="T786">
        <f t="shared" si="268"/>
        <v>0</v>
      </c>
      <c r="U786">
        <f t="shared" si="269"/>
        <v>6.8809930379162387E-2</v>
      </c>
      <c r="V786">
        <f t="shared" si="270"/>
        <v>0</v>
      </c>
      <c r="W786">
        <f t="shared" si="271"/>
        <v>0</v>
      </c>
      <c r="X786">
        <f t="shared" si="272"/>
        <v>0.26481511081070563</v>
      </c>
      <c r="Y786">
        <f t="shared" si="273"/>
        <v>0</v>
      </c>
      <c r="Z786">
        <f t="shared" si="274"/>
        <v>0</v>
      </c>
      <c r="AA786">
        <f t="shared" si="275"/>
        <v>0</v>
      </c>
      <c r="AB786">
        <f t="shared" si="276"/>
        <v>0</v>
      </c>
      <c r="AC786">
        <f t="shared" si="277"/>
        <v>7.5734515539185324E-2</v>
      </c>
      <c r="AD786">
        <f t="shared" si="278"/>
        <v>0</v>
      </c>
      <c r="AE786">
        <f t="shared" si="279"/>
        <v>0</v>
      </c>
      <c r="AG786">
        <f t="shared" si="280"/>
        <v>-0.11708060269241942</v>
      </c>
      <c r="AH786">
        <f t="shared" si="281"/>
        <v>0.33362504118986802</v>
      </c>
      <c r="AI786">
        <f t="shared" si="282"/>
        <v>0.67258759695498549</v>
      </c>
      <c r="AK786" s="26">
        <f t="shared" si="283"/>
        <v>2.3259812194959706E-2</v>
      </c>
      <c r="AL786" s="26">
        <f t="shared" si="284"/>
        <v>3.1433762197566273E-2</v>
      </c>
      <c r="AM786" s="26">
        <f t="shared" si="285"/>
        <v>2.1914742557910649E-2</v>
      </c>
      <c r="AN786" s="26">
        <f t="shared" si="286"/>
        <v>-8.779047619047617</v>
      </c>
      <c r="AO786" s="26">
        <f t="shared" si="287"/>
        <v>-11.627897361647356</v>
      </c>
      <c r="AP786" s="26">
        <f t="shared" si="288"/>
        <v>-15.205651524090463</v>
      </c>
      <c r="AS786" s="2">
        <v>44694</v>
      </c>
      <c r="AU786">
        <v>104.4</v>
      </c>
      <c r="AX786">
        <v>217.94</v>
      </c>
      <c r="BC786">
        <v>50.7286</v>
      </c>
      <c r="BF786">
        <v>-37.234999999999999</v>
      </c>
      <c r="BG786">
        <v>1.7</v>
      </c>
      <c r="BH786">
        <v>39.020000000000003</v>
      </c>
    </row>
    <row r="787" spans="1:60" x14ac:dyDescent="0.25">
      <c r="A787" s="2">
        <v>44714</v>
      </c>
      <c r="B787">
        <v>17.7</v>
      </c>
      <c r="C787">
        <v>42</v>
      </c>
      <c r="D787">
        <v>42.3</v>
      </c>
      <c r="E787">
        <v>7.4</v>
      </c>
      <c r="F787">
        <v>284.07</v>
      </c>
      <c r="G787">
        <v>0.8</v>
      </c>
      <c r="H787">
        <v>3.1</v>
      </c>
      <c r="I787">
        <v>280.40300000000002</v>
      </c>
      <c r="J787">
        <v>67.3429</v>
      </c>
      <c r="K787">
        <v>75.098799999999997</v>
      </c>
      <c r="L787">
        <v>2.6977000000000002</v>
      </c>
      <c r="M787">
        <v>20.853899999999999</v>
      </c>
      <c r="N787">
        <v>-16.180900000000001</v>
      </c>
      <c r="O787">
        <v>-0.87809999999999999</v>
      </c>
      <c r="P787">
        <v>48.21</v>
      </c>
      <c r="S787">
        <f t="shared" si="267"/>
        <v>843.76630000000011</v>
      </c>
      <c r="T787">
        <f t="shared" si="268"/>
        <v>1.6593130350288476E-2</v>
      </c>
      <c r="U787">
        <f t="shared" si="269"/>
        <v>3.9373529644752318E-2</v>
      </c>
      <c r="V787">
        <f t="shared" si="270"/>
        <v>3.9654769142214837E-2</v>
      </c>
      <c r="W787">
        <f t="shared" si="271"/>
        <v>6.9372409374087425E-3</v>
      </c>
      <c r="X787">
        <f t="shared" si="272"/>
        <v>0.26630568014725692</v>
      </c>
      <c r="Y787">
        <f t="shared" si="273"/>
        <v>7.4997199323337759E-4</v>
      </c>
      <c r="Z787">
        <f t="shared" si="274"/>
        <v>2.9061414737793379E-3</v>
      </c>
      <c r="AA787">
        <f t="shared" si="275"/>
        <v>0.26286799602327349</v>
      </c>
      <c r="AB787">
        <f t="shared" si="276"/>
        <v>6.3131611178895028E-2</v>
      </c>
      <c r="AC787">
        <f t="shared" si="277"/>
        <v>7.0402495906793469E-2</v>
      </c>
      <c r="AD787">
        <f t="shared" si="278"/>
        <v>2.5289993076821034E-3</v>
      </c>
      <c r="AE787">
        <f t="shared" si="279"/>
        <v>1.9549801187111915E-2</v>
      </c>
      <c r="AG787">
        <f t="shared" si="280"/>
        <v>-0.13477815893256201</v>
      </c>
      <c r="AH787">
        <f t="shared" si="281"/>
        <v>0.39207026487604596</v>
      </c>
      <c r="AI787">
        <f t="shared" si="282"/>
        <v>1.1424908946300325</v>
      </c>
      <c r="AK787" s="26">
        <f t="shared" si="283"/>
        <v>2.7539998338901306E-2</v>
      </c>
      <c r="AL787" s="26">
        <f t="shared" si="284"/>
        <v>3.5513553632068318E-2</v>
      </c>
      <c r="AM787" s="26">
        <f t="shared" si="285"/>
        <v>2.2342015355629408E-2</v>
      </c>
      <c r="AN787" s="26">
        <f t="shared" si="286"/>
        <v>-8.9414285714285597</v>
      </c>
      <c r="AO787" s="26">
        <f t="shared" si="287"/>
        <v>-11.790205920205921</v>
      </c>
      <c r="AP787" s="26">
        <f t="shared" si="288"/>
        <v>-15.340543166175024</v>
      </c>
      <c r="AS787" s="2">
        <v>44693</v>
      </c>
      <c r="AT787">
        <v>13.8</v>
      </c>
      <c r="AU787">
        <v>205.6</v>
      </c>
      <c r="AV787">
        <v>36.5</v>
      </c>
      <c r="AW787">
        <v>15.4</v>
      </c>
      <c r="AX787">
        <v>261.14999999999998</v>
      </c>
      <c r="AY787">
        <v>0.2</v>
      </c>
      <c r="AZ787">
        <v>2.9</v>
      </c>
      <c r="BA787">
        <v>217.54079999999999</v>
      </c>
      <c r="BB787">
        <v>53.4255</v>
      </c>
      <c r="BC787">
        <v>43.7881</v>
      </c>
      <c r="BD787">
        <v>4.1444000000000001</v>
      </c>
      <c r="BE787">
        <v>29.1233</v>
      </c>
      <c r="BF787">
        <v>-40.084200000000003</v>
      </c>
      <c r="BG787">
        <v>15.348800000000001</v>
      </c>
      <c r="BH787">
        <v>38.479999999999997</v>
      </c>
    </row>
    <row r="788" spans="1:60" x14ac:dyDescent="0.25">
      <c r="A788" s="2">
        <v>44713</v>
      </c>
      <c r="B788">
        <v>17.8</v>
      </c>
      <c r="C788">
        <v>24.8</v>
      </c>
      <c r="D788">
        <v>3.9</v>
      </c>
      <c r="E788">
        <v>3.8</v>
      </c>
      <c r="F788">
        <v>245.57</v>
      </c>
      <c r="G788">
        <v>0.8</v>
      </c>
      <c r="H788">
        <v>3.2</v>
      </c>
      <c r="I788">
        <v>292.5351</v>
      </c>
      <c r="J788">
        <v>92.834199999999996</v>
      </c>
      <c r="K788">
        <v>93.171800000000005</v>
      </c>
      <c r="L788">
        <v>2.7029000000000001</v>
      </c>
      <c r="M788">
        <v>23.482700000000001</v>
      </c>
      <c r="N788">
        <v>-12.2263</v>
      </c>
      <c r="O788">
        <v>5.3745000000000003</v>
      </c>
      <c r="P788">
        <v>47.8</v>
      </c>
      <c r="S788">
        <f t="shared" si="267"/>
        <v>804.59669999999994</v>
      </c>
      <c r="T788">
        <f t="shared" si="268"/>
        <v>1.6686876849442651E-2</v>
      </c>
      <c r="U788">
        <f t="shared" si="269"/>
        <v>2.3249131790234703E-2</v>
      </c>
      <c r="V788">
        <f t="shared" si="270"/>
        <v>3.6561134670127153E-3</v>
      </c>
      <c r="W788">
        <f t="shared" si="271"/>
        <v>3.5623669678585433E-3</v>
      </c>
      <c r="X788">
        <f t="shared" si="272"/>
        <v>0.23021327797290064</v>
      </c>
      <c r="Y788">
        <f t="shared" si="273"/>
        <v>7.4997199323337759E-4</v>
      </c>
      <c r="Z788">
        <f t="shared" si="274"/>
        <v>2.9998879729335104E-3</v>
      </c>
      <c r="AA788">
        <f t="shared" si="275"/>
        <v>0.27424141504715677</v>
      </c>
      <c r="AB788">
        <f t="shared" si="276"/>
        <v>8.7028812517782522E-2</v>
      </c>
      <c r="AC788">
        <f t="shared" si="277"/>
        <v>8.7345300698927014E-2</v>
      </c>
      <c r="AD788">
        <f t="shared" si="278"/>
        <v>2.5338741256381203E-3</v>
      </c>
      <c r="AE788">
        <f t="shared" si="279"/>
        <v>2.2014209156876793E-2</v>
      </c>
      <c r="AG788">
        <f t="shared" si="280"/>
        <v>-0.15159540169440563</v>
      </c>
      <c r="AH788">
        <f t="shared" si="281"/>
        <v>0.30313183617049294</v>
      </c>
      <c r="AI788">
        <f t="shared" si="282"/>
        <v>0.42217001567153745</v>
      </c>
      <c r="AK788" s="26">
        <f t="shared" si="283"/>
        <v>4.0597376798853002E-2</v>
      </c>
      <c r="AL788" s="26">
        <f t="shared" si="284"/>
        <v>3.359941191349114E-2</v>
      </c>
      <c r="AM788" s="26">
        <f t="shared" si="285"/>
        <v>2.2470901501239482E-2</v>
      </c>
      <c r="AN788" s="26">
        <f t="shared" si="286"/>
        <v>-9.1145238095238028</v>
      </c>
      <c r="AO788" s="26">
        <f t="shared" si="287"/>
        <v>-11.954086229086229</v>
      </c>
      <c r="AP788" s="26">
        <f t="shared" si="288"/>
        <v>-15.476534513274338</v>
      </c>
      <c r="AS788" s="2">
        <v>44692</v>
      </c>
      <c r="AT788">
        <v>14.6</v>
      </c>
      <c r="AU788">
        <v>0</v>
      </c>
      <c r="AV788">
        <v>49.1</v>
      </c>
      <c r="AW788">
        <v>11.5</v>
      </c>
      <c r="AX788">
        <v>270.67</v>
      </c>
      <c r="AY788">
        <v>0.1</v>
      </c>
      <c r="AZ788">
        <v>3</v>
      </c>
      <c r="BA788">
        <v>230.14779999999999</v>
      </c>
      <c r="BB788">
        <v>64.999099999999999</v>
      </c>
      <c r="BC788">
        <v>60.936700000000002</v>
      </c>
      <c r="BD788">
        <v>4.1261999999999999</v>
      </c>
      <c r="BE788">
        <v>20.276199999999999</v>
      </c>
      <c r="BF788">
        <v>-29.816600000000001</v>
      </c>
      <c r="BG788">
        <v>3.2021999999999999</v>
      </c>
      <c r="BH788">
        <v>38.049999999999997</v>
      </c>
    </row>
    <row r="789" spans="1:60" x14ac:dyDescent="0.25">
      <c r="A789" s="2">
        <v>44712</v>
      </c>
      <c r="B789">
        <v>16.100000000000001</v>
      </c>
      <c r="C789">
        <v>22.5</v>
      </c>
      <c r="D789">
        <v>2.1</v>
      </c>
      <c r="E789">
        <v>1.6</v>
      </c>
      <c r="F789">
        <v>248.43</v>
      </c>
      <c r="G789">
        <v>0.8</v>
      </c>
      <c r="H789">
        <v>3.1</v>
      </c>
      <c r="I789">
        <v>222.96340000000001</v>
      </c>
      <c r="J789">
        <v>94.345799999999997</v>
      </c>
      <c r="K789">
        <v>104.5408</v>
      </c>
      <c r="L789">
        <v>3.4756</v>
      </c>
      <c r="M789">
        <v>24.9923</v>
      </c>
      <c r="N789">
        <v>-15.8963</v>
      </c>
      <c r="O789">
        <v>-3.4302000000000001</v>
      </c>
      <c r="P789">
        <v>47.46</v>
      </c>
      <c r="S789">
        <f t="shared" si="267"/>
        <v>744.9479</v>
      </c>
      <c r="T789">
        <f t="shared" si="268"/>
        <v>1.5093186363821724E-2</v>
      </c>
      <c r="U789">
        <f t="shared" si="269"/>
        <v>2.1092962309688743E-2</v>
      </c>
      <c r="V789">
        <f t="shared" si="270"/>
        <v>1.9686764822376161E-3</v>
      </c>
      <c r="W789">
        <f t="shared" si="271"/>
        <v>1.4999439864667552E-3</v>
      </c>
      <c r="X789">
        <f t="shared" si="272"/>
        <v>0.23289442784870998</v>
      </c>
      <c r="Y789">
        <f t="shared" si="273"/>
        <v>7.4997199323337759E-4</v>
      </c>
      <c r="Z789">
        <f t="shared" si="274"/>
        <v>2.9061414737793379E-3</v>
      </c>
      <c r="AA789">
        <f t="shared" si="275"/>
        <v>0.20902038189511357</v>
      </c>
      <c r="AB789">
        <f t="shared" si="276"/>
        <v>8.8445884598996979E-2</v>
      </c>
      <c r="AC789">
        <f t="shared" si="277"/>
        <v>9.800334018776484E-2</v>
      </c>
      <c r="AD789">
        <f t="shared" si="278"/>
        <v>3.2582533246024088E-3</v>
      </c>
      <c r="AE789">
        <f t="shared" si="279"/>
        <v>2.3429406308108178E-2</v>
      </c>
      <c r="AG789">
        <f t="shared" si="280"/>
        <v>-0.16533325956313377</v>
      </c>
      <c r="AH789">
        <f t="shared" si="281"/>
        <v>0.29963471676604575</v>
      </c>
      <c r="AI789">
        <f t="shared" si="282"/>
        <v>0.39212407578372904</v>
      </c>
      <c r="AK789" s="26">
        <f t="shared" si="283"/>
        <v>4.5591886713694796E-2</v>
      </c>
      <c r="AL789" s="26">
        <f t="shared" si="284"/>
        <v>3.3218740981970418E-2</v>
      </c>
      <c r="AM789" s="26">
        <f t="shared" si="285"/>
        <v>2.2845839571917298E-2</v>
      </c>
      <c r="AN789" s="26">
        <f t="shared" si="286"/>
        <v>-9.2866666666666617</v>
      </c>
      <c r="AO789" s="26">
        <f t="shared" si="287"/>
        <v>-12.118008365508366</v>
      </c>
      <c r="AP789" s="26">
        <f t="shared" si="288"/>
        <v>-15.61348908554573</v>
      </c>
      <c r="AS789" s="2">
        <v>44691</v>
      </c>
      <c r="AT789">
        <v>15.9</v>
      </c>
      <c r="AU789">
        <v>103.6</v>
      </c>
      <c r="AV789">
        <v>57</v>
      </c>
      <c r="AW789">
        <v>9.8000000000000007</v>
      </c>
      <c r="AX789">
        <v>250.38</v>
      </c>
      <c r="AY789">
        <v>0.2</v>
      </c>
      <c r="AZ789">
        <v>3.1</v>
      </c>
      <c r="BA789">
        <v>260.22089999999997</v>
      </c>
      <c r="BB789">
        <v>96.637200000000007</v>
      </c>
      <c r="BC789">
        <v>61.337400000000002</v>
      </c>
      <c r="BD789">
        <v>3.3689</v>
      </c>
      <c r="BE789">
        <v>23.738399999999999</v>
      </c>
      <c r="BF789">
        <v>-41.221299999999999</v>
      </c>
      <c r="BG789">
        <v>7.4672000000000001</v>
      </c>
      <c r="BH789">
        <v>37.64</v>
      </c>
    </row>
    <row r="790" spans="1:60" x14ac:dyDescent="0.25">
      <c r="A790" s="2">
        <v>44711</v>
      </c>
      <c r="B790">
        <v>17.3</v>
      </c>
      <c r="C790">
        <v>49.1</v>
      </c>
      <c r="D790">
        <v>3.2</v>
      </c>
      <c r="E790">
        <v>2</v>
      </c>
      <c r="F790">
        <v>235.9</v>
      </c>
      <c r="G790">
        <v>0.8</v>
      </c>
      <c r="H790">
        <v>3.3</v>
      </c>
      <c r="I790">
        <v>227.6507</v>
      </c>
      <c r="J790">
        <v>84.874600000000001</v>
      </c>
      <c r="K790">
        <v>91.459599999999995</v>
      </c>
      <c r="L790">
        <v>3.5754999999999999</v>
      </c>
      <c r="M790">
        <v>27.629000000000001</v>
      </c>
      <c r="N790">
        <v>-27.3596</v>
      </c>
      <c r="O790">
        <v>-1.5647</v>
      </c>
      <c r="P790">
        <v>46.9</v>
      </c>
      <c r="S790">
        <f t="shared" si="267"/>
        <v>746.78940000000011</v>
      </c>
      <c r="T790">
        <f t="shared" si="268"/>
        <v>1.621814435367179E-2</v>
      </c>
      <c r="U790">
        <f t="shared" si="269"/>
        <v>4.6029531084698545E-2</v>
      </c>
      <c r="V790">
        <f t="shared" si="270"/>
        <v>2.9998879729335104E-3</v>
      </c>
      <c r="W790">
        <f t="shared" si="271"/>
        <v>1.8749299830834439E-3</v>
      </c>
      <c r="X790">
        <f t="shared" si="272"/>
        <v>0.22114799150469219</v>
      </c>
      <c r="Y790">
        <f t="shared" si="273"/>
        <v>7.4997199323337759E-4</v>
      </c>
      <c r="Z790">
        <f t="shared" si="274"/>
        <v>3.0936344720876819E-3</v>
      </c>
      <c r="AA790">
        <f t="shared" si="275"/>
        <v>0.21341456154996707</v>
      </c>
      <c r="AB790">
        <f t="shared" si="276"/>
        <v>7.9566966171107034E-2</v>
      </c>
      <c r="AC790">
        <f t="shared" si="277"/>
        <v>8.574017314040927E-2</v>
      </c>
      <c r="AD790">
        <f t="shared" si="278"/>
        <v>3.3519060772574266E-3</v>
      </c>
      <c r="AE790">
        <f t="shared" si="279"/>
        <v>2.5901220251306235E-2</v>
      </c>
      <c r="AG790">
        <f t="shared" si="280"/>
        <v>-0.18872941111164118</v>
      </c>
      <c r="AH790">
        <f t="shared" si="281"/>
        <v>0.31801531161570679</v>
      </c>
      <c r="AI790">
        <f t="shared" si="282"/>
        <v>0.53866970068860565</v>
      </c>
      <c r="AK790" s="26">
        <f t="shared" si="283"/>
        <v>5.3340409854783832E-2</v>
      </c>
      <c r="AL790" s="26">
        <f t="shared" si="284"/>
        <v>3.1197893381516517E-2</v>
      </c>
      <c r="AM790" s="26">
        <f t="shared" si="285"/>
        <v>2.2853624716294124E-2</v>
      </c>
      <c r="AN790" s="26">
        <f t="shared" si="286"/>
        <v>-9.4747619047618912</v>
      </c>
      <c r="AO790" s="26">
        <f t="shared" si="287"/>
        <v>-12.28601994851995</v>
      </c>
      <c r="AP790" s="26">
        <f t="shared" si="288"/>
        <v>-15.753627138643068</v>
      </c>
      <c r="AS790" s="2">
        <v>44690</v>
      </c>
      <c r="AT790">
        <v>15.3</v>
      </c>
      <c r="AU790">
        <v>151.19999999999999</v>
      </c>
      <c r="AV790">
        <v>7.1</v>
      </c>
      <c r="AW790">
        <v>3.1</v>
      </c>
      <c r="AX790">
        <v>294.97000000000003</v>
      </c>
      <c r="AY790">
        <v>0.2</v>
      </c>
      <c r="AZ790">
        <v>2.7</v>
      </c>
      <c r="BA790">
        <v>247.48099999999999</v>
      </c>
      <c r="BB790">
        <v>128.02029999999999</v>
      </c>
      <c r="BC790">
        <v>84.525099999999995</v>
      </c>
      <c r="BD790">
        <v>3.4756999999999998</v>
      </c>
      <c r="BE790">
        <v>24.309000000000001</v>
      </c>
      <c r="BF790">
        <v>-28.7712</v>
      </c>
      <c r="BG790">
        <v>7.4071999999999996</v>
      </c>
      <c r="BH790">
        <v>37.229999999999997</v>
      </c>
    </row>
    <row r="791" spans="1:60" x14ac:dyDescent="0.25">
      <c r="A791" s="2">
        <v>44710</v>
      </c>
      <c r="B791">
        <v>16.600000000000001</v>
      </c>
      <c r="C791">
        <v>156.30000000000001</v>
      </c>
      <c r="D791">
        <v>64.400000000000006</v>
      </c>
      <c r="E791">
        <v>7</v>
      </c>
      <c r="F791">
        <v>196.65</v>
      </c>
      <c r="G791">
        <v>0.8</v>
      </c>
      <c r="H791">
        <v>3.1</v>
      </c>
      <c r="I791">
        <v>220.19829999999999</v>
      </c>
      <c r="J791">
        <v>23.690999999999999</v>
      </c>
      <c r="K791">
        <v>23.298500000000001</v>
      </c>
      <c r="L791">
        <v>3.5760000000000001</v>
      </c>
      <c r="M791">
        <v>13.2563</v>
      </c>
      <c r="P791">
        <v>46.57</v>
      </c>
      <c r="S791">
        <f t="shared" si="267"/>
        <v>728.87010000000009</v>
      </c>
      <c r="T791">
        <f t="shared" si="268"/>
        <v>1.5561918859592586E-2</v>
      </c>
      <c r="U791">
        <f t="shared" si="269"/>
        <v>0.14652577817797113</v>
      </c>
      <c r="V791">
        <f t="shared" si="270"/>
        <v>6.0372745455286897E-2</v>
      </c>
      <c r="W791">
        <f t="shared" si="271"/>
        <v>6.5622549407920536E-3</v>
      </c>
      <c r="X791">
        <f t="shared" si="272"/>
        <v>0.18435249058667963</v>
      </c>
      <c r="Y791">
        <f t="shared" si="273"/>
        <v>7.4997199323337759E-4</v>
      </c>
      <c r="Z791">
        <f t="shared" si="274"/>
        <v>2.9061414737793379E-3</v>
      </c>
      <c r="AA791">
        <f t="shared" si="275"/>
        <v>0.20642819744700153</v>
      </c>
      <c r="AB791">
        <f t="shared" si="276"/>
        <v>2.2209483114614934E-2</v>
      </c>
      <c r="AC791">
        <f t="shared" si="277"/>
        <v>2.1841528105434809E-2</v>
      </c>
      <c r="AD791">
        <f t="shared" si="278"/>
        <v>3.3523748097531976E-3</v>
      </c>
      <c r="AE791">
        <f t="shared" si="279"/>
        <v>1.2427317167374528E-2</v>
      </c>
      <c r="AG791">
        <f t="shared" si="280"/>
        <v>-0.20206036071769606</v>
      </c>
      <c r="AH791">
        <f t="shared" si="281"/>
        <v>0.42945861865470952</v>
      </c>
      <c r="AI791">
        <f t="shared" si="282"/>
        <v>1.4372478025037068</v>
      </c>
      <c r="AK791" s="26">
        <f t="shared" si="283"/>
        <v>6.2913534501267354E-2</v>
      </c>
      <c r="AL791" s="26">
        <f t="shared" si="284"/>
        <v>3.1317479332596376E-2</v>
      </c>
      <c r="AM791" s="26">
        <f t="shared" si="285"/>
        <v>2.3021637571857517E-2</v>
      </c>
      <c r="AN791" s="26">
        <f t="shared" si="286"/>
        <v>-9.6342857142857099</v>
      </c>
      <c r="AO791" s="26">
        <f t="shared" si="287"/>
        <v>-12.438021235521219</v>
      </c>
      <c r="AP791" s="26">
        <f t="shared" si="288"/>
        <v>-15.888958112094389</v>
      </c>
      <c r="AS791" s="2">
        <v>44689</v>
      </c>
      <c r="AT791">
        <v>15.4</v>
      </c>
      <c r="AU791">
        <v>17.100000000000001</v>
      </c>
      <c r="AV791">
        <v>17.2</v>
      </c>
      <c r="AW791">
        <v>4.5999999999999996</v>
      </c>
      <c r="AX791">
        <v>240.93</v>
      </c>
      <c r="AY791">
        <v>0.2</v>
      </c>
      <c r="AZ791">
        <v>2.7</v>
      </c>
      <c r="BA791">
        <v>236.04660000000001</v>
      </c>
      <c r="BB791">
        <v>54.493499999999997</v>
      </c>
      <c r="BC791">
        <v>29.881399999999999</v>
      </c>
      <c r="BD791">
        <v>2.6147999999999998</v>
      </c>
      <c r="BE791">
        <v>12.699400000000001</v>
      </c>
      <c r="BH791">
        <v>36.79</v>
      </c>
    </row>
    <row r="792" spans="1:60" x14ac:dyDescent="0.25">
      <c r="A792" s="2">
        <v>44709</v>
      </c>
      <c r="C792">
        <v>3.1</v>
      </c>
      <c r="F792">
        <v>236.08</v>
      </c>
      <c r="K792">
        <v>17.328499999999998</v>
      </c>
      <c r="P792">
        <v>46.1</v>
      </c>
      <c r="S792">
        <f t="shared" si="267"/>
        <v>256.50850000000003</v>
      </c>
      <c r="T792">
        <f t="shared" si="268"/>
        <v>0</v>
      </c>
      <c r="U792">
        <f t="shared" si="269"/>
        <v>2.9061414737793379E-3</v>
      </c>
      <c r="V792">
        <f t="shared" si="270"/>
        <v>0</v>
      </c>
      <c r="W792">
        <f t="shared" si="271"/>
        <v>0</v>
      </c>
      <c r="X792">
        <f t="shared" si="272"/>
        <v>0.22131673520316972</v>
      </c>
      <c r="Y792">
        <f t="shared" si="273"/>
        <v>0</v>
      </c>
      <c r="Z792">
        <f t="shared" si="274"/>
        <v>0</v>
      </c>
      <c r="AA792">
        <f t="shared" si="275"/>
        <v>0</v>
      </c>
      <c r="AB792">
        <f t="shared" si="276"/>
        <v>0</v>
      </c>
      <c r="AC792">
        <f t="shared" si="277"/>
        <v>1.6244862105930725E-2</v>
      </c>
      <c r="AD792">
        <f t="shared" si="278"/>
        <v>0</v>
      </c>
      <c r="AE792">
        <f t="shared" si="279"/>
        <v>0</v>
      </c>
      <c r="AG792">
        <f t="shared" si="280"/>
        <v>-0.22152571852428854</v>
      </c>
      <c r="AH792">
        <f t="shared" si="281"/>
        <v>0.22422287667694907</v>
      </c>
      <c r="AI792">
        <f t="shared" si="282"/>
        <v>-0.21544104336451397</v>
      </c>
      <c r="AK792" s="26">
        <f t="shared" si="283"/>
        <v>5.8174265054789398E-2</v>
      </c>
      <c r="AL792" s="26">
        <f t="shared" si="284"/>
        <v>2.891751117708774E-2</v>
      </c>
      <c r="AM792" s="26">
        <f t="shared" si="285"/>
        <v>2.2321061680153687E-2</v>
      </c>
      <c r="AN792" s="26">
        <f t="shared" si="286"/>
        <v>-9.798571428571428</v>
      </c>
      <c r="AO792" s="26">
        <f t="shared" si="287"/>
        <v>-12.597012548262541</v>
      </c>
      <c r="AP792" s="26">
        <f t="shared" si="288"/>
        <v>-16.026711111111108</v>
      </c>
      <c r="AS792" s="2">
        <v>44688</v>
      </c>
      <c r="AU792">
        <v>5.3</v>
      </c>
      <c r="AX792">
        <v>217.82</v>
      </c>
      <c r="BC792">
        <v>44.2318</v>
      </c>
      <c r="BH792">
        <v>36.28</v>
      </c>
    </row>
    <row r="793" spans="1:60" x14ac:dyDescent="0.25">
      <c r="A793" s="2">
        <v>44708</v>
      </c>
      <c r="C793">
        <v>40.299999999999997</v>
      </c>
      <c r="F793">
        <v>216.26</v>
      </c>
      <c r="K793">
        <v>18.553000000000001</v>
      </c>
      <c r="N793">
        <v>-27.674700000000001</v>
      </c>
      <c r="O793">
        <v>-1.7262999999999999</v>
      </c>
      <c r="P793">
        <v>45.62</v>
      </c>
      <c r="S793">
        <f t="shared" si="267"/>
        <v>275.113</v>
      </c>
      <c r="T793">
        <f t="shared" si="268"/>
        <v>0</v>
      </c>
      <c r="U793">
        <f t="shared" si="269"/>
        <v>3.7779839159131391E-2</v>
      </c>
      <c r="V793">
        <f t="shared" si="270"/>
        <v>0</v>
      </c>
      <c r="W793">
        <f t="shared" si="271"/>
        <v>0</v>
      </c>
      <c r="X793">
        <f t="shared" si="272"/>
        <v>0.20273617907081276</v>
      </c>
      <c r="Y793">
        <f t="shared" si="273"/>
        <v>0</v>
      </c>
      <c r="Z793">
        <f t="shared" si="274"/>
        <v>0</v>
      </c>
      <c r="AA793">
        <f t="shared" si="275"/>
        <v>0</v>
      </c>
      <c r="AB793">
        <f t="shared" si="276"/>
        <v>0</v>
      </c>
      <c r="AC793">
        <f t="shared" si="277"/>
        <v>1.7392787988073567E-2</v>
      </c>
      <c r="AD793">
        <f t="shared" si="278"/>
        <v>0</v>
      </c>
      <c r="AE793">
        <f t="shared" si="279"/>
        <v>0</v>
      </c>
      <c r="AG793">
        <f t="shared" si="280"/>
        <v>-0.2414362790077513</v>
      </c>
      <c r="AH793">
        <f t="shared" si="281"/>
        <v>0.24051601822994415</v>
      </c>
      <c r="AI793">
        <f t="shared" si="282"/>
        <v>-8.6600529158132822E-2</v>
      </c>
      <c r="AK793" s="26">
        <f t="shared" si="283"/>
        <v>5.816162266976066E-2</v>
      </c>
      <c r="AL793" s="26">
        <f t="shared" si="284"/>
        <v>2.653387920870115E-2</v>
      </c>
      <c r="AM793" s="26">
        <f t="shared" si="285"/>
        <v>2.2701725112246302E-2</v>
      </c>
      <c r="AN793" s="26">
        <f t="shared" si="286"/>
        <v>-9.9676190476190527</v>
      </c>
      <c r="AO793" s="26">
        <f t="shared" si="287"/>
        <v>-12.73834942084941</v>
      </c>
      <c r="AP793" s="26">
        <f t="shared" si="288"/>
        <v>-16.165558702064889</v>
      </c>
      <c r="AS793" s="2">
        <v>44687</v>
      </c>
      <c r="AU793">
        <v>17.399999999999999</v>
      </c>
      <c r="AX793">
        <v>211.27</v>
      </c>
      <c r="BC793">
        <v>103.5188</v>
      </c>
      <c r="BF793">
        <v>-36.131</v>
      </c>
      <c r="BG793">
        <v>8.2310999999999996</v>
      </c>
      <c r="BH793">
        <v>35.76</v>
      </c>
    </row>
    <row r="794" spans="1:60" x14ac:dyDescent="0.25">
      <c r="A794" s="2">
        <v>44707</v>
      </c>
      <c r="B794">
        <v>19.3</v>
      </c>
      <c r="C794">
        <v>23.1</v>
      </c>
      <c r="D794">
        <v>60.8</v>
      </c>
      <c r="E794">
        <v>16.8</v>
      </c>
      <c r="F794">
        <v>204.74</v>
      </c>
      <c r="G794">
        <v>0.7</v>
      </c>
      <c r="H794">
        <v>3.6</v>
      </c>
      <c r="I794">
        <v>130.19390000000001</v>
      </c>
      <c r="J794">
        <v>21.101900000000001</v>
      </c>
      <c r="K794">
        <v>18.7547</v>
      </c>
      <c r="L794">
        <v>3.7147999999999999</v>
      </c>
      <c r="M794">
        <v>17.001100000000001</v>
      </c>
      <c r="N794">
        <v>-24.667999999999999</v>
      </c>
      <c r="O794">
        <v>1.0766</v>
      </c>
      <c r="P794">
        <v>45.14</v>
      </c>
      <c r="S794">
        <f t="shared" si="267"/>
        <v>519.80640000000005</v>
      </c>
      <c r="T794">
        <f t="shared" si="268"/>
        <v>1.8093074336755232E-2</v>
      </c>
      <c r="U794">
        <f t="shared" si="269"/>
        <v>2.1655441304613776E-2</v>
      </c>
      <c r="V794">
        <f t="shared" si="270"/>
        <v>5.6997871485736692E-2</v>
      </c>
      <c r="W794">
        <f t="shared" si="271"/>
        <v>1.5749411857900929E-2</v>
      </c>
      <c r="X794">
        <f t="shared" si="272"/>
        <v>0.19193658236825215</v>
      </c>
      <c r="Y794">
        <f t="shared" si="273"/>
        <v>6.5622549407920526E-4</v>
      </c>
      <c r="Z794">
        <f t="shared" si="274"/>
        <v>3.3748739695501988E-3</v>
      </c>
      <c r="AA794">
        <f t="shared" si="275"/>
        <v>0.1220522233622838</v>
      </c>
      <c r="AB794">
        <f t="shared" si="276"/>
        <v>1.9782292505014263E-2</v>
      </c>
      <c r="AC794">
        <f t="shared" si="277"/>
        <v>1.7581874676867532E-2</v>
      </c>
      <c r="AD794">
        <f t="shared" si="278"/>
        <v>3.4824949505791883E-3</v>
      </c>
      <c r="AE794">
        <f t="shared" si="279"/>
        <v>1.593793606769997E-2</v>
      </c>
      <c r="AG794">
        <f t="shared" si="280"/>
        <v>-0.26137455007078775</v>
      </c>
      <c r="AH794">
        <f t="shared" si="281"/>
        <v>0.32440141688458823</v>
      </c>
      <c r="AI794">
        <f t="shared" si="282"/>
        <v>0.59073229598538057</v>
      </c>
      <c r="AK794" s="26">
        <f t="shared" si="283"/>
        <v>5.5327967328363037E-2</v>
      </c>
      <c r="AL794" s="26">
        <f t="shared" si="284"/>
        <v>2.4463960051525624E-2</v>
      </c>
      <c r="AM794" s="26">
        <f t="shared" si="285"/>
        <v>2.332548209168292E-2</v>
      </c>
      <c r="AN794" s="26">
        <f t="shared" si="286"/>
        <v>-10.140238095238104</v>
      </c>
      <c r="AO794" s="26">
        <f t="shared" si="287"/>
        <v>-12.866550836550836</v>
      </c>
      <c r="AP794" s="26">
        <f t="shared" si="288"/>
        <v>-16.303194100294977</v>
      </c>
      <c r="AS794" s="2">
        <v>44686</v>
      </c>
      <c r="AT794">
        <v>14.3</v>
      </c>
      <c r="AU794">
        <v>169.8</v>
      </c>
      <c r="AV794">
        <v>4.0999999999999996</v>
      </c>
      <c r="AW794">
        <v>2</v>
      </c>
      <c r="AX794">
        <v>214.41</v>
      </c>
      <c r="AY794">
        <v>0.2</v>
      </c>
      <c r="AZ794">
        <v>3.2</v>
      </c>
      <c r="BA794">
        <v>271.8306</v>
      </c>
      <c r="BB794">
        <v>172.35659999999999</v>
      </c>
      <c r="BC794">
        <v>107.37220000000001</v>
      </c>
      <c r="BD794">
        <v>2.5947</v>
      </c>
      <c r="BE794">
        <v>18.8582</v>
      </c>
      <c r="BF794">
        <v>-36.759700000000002</v>
      </c>
      <c r="BG794">
        <v>18.147400000000001</v>
      </c>
      <c r="BH794">
        <v>35.340000000000003</v>
      </c>
    </row>
    <row r="795" spans="1:60" x14ac:dyDescent="0.25">
      <c r="A795" s="2">
        <v>44706</v>
      </c>
      <c r="B795">
        <v>20.100000000000001</v>
      </c>
      <c r="C795">
        <v>2.7</v>
      </c>
      <c r="D795">
        <v>42.9</v>
      </c>
      <c r="E795">
        <v>9.8000000000000007</v>
      </c>
      <c r="F795">
        <v>241.29</v>
      </c>
      <c r="G795">
        <v>0.8</v>
      </c>
      <c r="H795">
        <v>3.5</v>
      </c>
      <c r="I795">
        <v>223.45349999999999</v>
      </c>
      <c r="J795">
        <v>56.036799999999999</v>
      </c>
      <c r="K795">
        <v>49.853499999999997</v>
      </c>
      <c r="L795">
        <v>3.6604999999999999</v>
      </c>
      <c r="M795">
        <v>21.770299999999999</v>
      </c>
      <c r="N795">
        <v>-27.407499999999999</v>
      </c>
      <c r="O795">
        <v>3.2764000000000002</v>
      </c>
      <c r="P795">
        <v>44.66</v>
      </c>
      <c r="S795">
        <f t="shared" si="267"/>
        <v>675.8646</v>
      </c>
      <c r="T795">
        <f t="shared" si="268"/>
        <v>1.8843046329988612E-2</v>
      </c>
      <c r="U795">
        <f t="shared" si="269"/>
        <v>2.5311554771626494E-3</v>
      </c>
      <c r="V795">
        <f t="shared" si="270"/>
        <v>4.0217248137139866E-2</v>
      </c>
      <c r="W795">
        <f t="shared" si="271"/>
        <v>9.1871569171088751E-3</v>
      </c>
      <c r="X795">
        <f t="shared" si="272"/>
        <v>0.22620092780910206</v>
      </c>
      <c r="Y795">
        <f t="shared" si="273"/>
        <v>7.4997199323337759E-4</v>
      </c>
      <c r="Z795">
        <f t="shared" si="274"/>
        <v>3.2811274703960268E-3</v>
      </c>
      <c r="AA795">
        <f t="shared" si="275"/>
        <v>0.20947983348746815</v>
      </c>
      <c r="AB795">
        <f t="shared" si="276"/>
        <v>5.2532538238025159E-2</v>
      </c>
      <c r="AC795">
        <f t="shared" si="277"/>
        <v>4.673591095582523E-2</v>
      </c>
      <c r="AD795">
        <f t="shared" si="278"/>
        <v>3.4315906015384731E-3</v>
      </c>
      <c r="AE795">
        <f t="shared" si="279"/>
        <v>2.0408894105360748E-2</v>
      </c>
      <c r="AG795">
        <f t="shared" si="280"/>
        <v>-0.28135256878182374</v>
      </c>
      <c r="AH795">
        <f t="shared" si="281"/>
        <v>0.32141952823949227</v>
      </c>
      <c r="AI795">
        <f t="shared" si="282"/>
        <v>0.56896381539036811</v>
      </c>
      <c r="AK795" s="26">
        <f t="shared" si="283"/>
        <v>6.5142393231609919E-2</v>
      </c>
      <c r="AL795" s="26">
        <f t="shared" si="284"/>
        <v>2.2772355841820024E-2</v>
      </c>
      <c r="AM795" s="26">
        <f t="shared" si="285"/>
        <v>2.2529963200521474E-2</v>
      </c>
      <c r="AN795" s="26">
        <f t="shared" si="286"/>
        <v>-10.314047619047628</v>
      </c>
      <c r="AO795" s="26">
        <f t="shared" si="287"/>
        <v>-12.994239060489043</v>
      </c>
      <c r="AP795" s="26">
        <f t="shared" si="288"/>
        <v>-16.439797836774826</v>
      </c>
      <c r="AS795" s="2">
        <v>44685</v>
      </c>
      <c r="AT795">
        <v>13.5</v>
      </c>
      <c r="AU795">
        <v>169.4</v>
      </c>
      <c r="AV795">
        <v>2</v>
      </c>
      <c r="AW795">
        <v>1.7</v>
      </c>
      <c r="AX795">
        <v>222.67</v>
      </c>
      <c r="AY795">
        <v>0.2</v>
      </c>
      <c r="AZ795">
        <v>3.2</v>
      </c>
      <c r="BA795">
        <v>271.30259999999998</v>
      </c>
      <c r="BB795">
        <v>177.8648</v>
      </c>
      <c r="BC795">
        <v>117.6237</v>
      </c>
      <c r="BD795">
        <v>2.2593000000000001</v>
      </c>
      <c r="BE795">
        <v>22.501100000000001</v>
      </c>
      <c r="BF795">
        <v>-35.276899999999998</v>
      </c>
      <c r="BG795">
        <v>18.428799999999999</v>
      </c>
      <c r="BH795">
        <v>34.93</v>
      </c>
    </row>
    <row r="796" spans="1:60" x14ac:dyDescent="0.25">
      <c r="A796" s="2">
        <v>44705</v>
      </c>
      <c r="B796">
        <v>19.5</v>
      </c>
      <c r="C796">
        <v>90.4</v>
      </c>
      <c r="D796">
        <v>43.5</v>
      </c>
      <c r="E796">
        <v>14.7</v>
      </c>
      <c r="F796">
        <v>170.2</v>
      </c>
      <c r="G796">
        <v>0.7</v>
      </c>
      <c r="H796">
        <v>3.6</v>
      </c>
      <c r="I796">
        <v>222.80340000000001</v>
      </c>
      <c r="J796">
        <v>76.826300000000003</v>
      </c>
      <c r="K796">
        <v>63.120199999999997</v>
      </c>
      <c r="L796">
        <v>3.649</v>
      </c>
      <c r="M796">
        <v>26.845800000000001</v>
      </c>
      <c r="N796">
        <v>-20.331600000000002</v>
      </c>
      <c r="O796">
        <v>1.1007</v>
      </c>
      <c r="P796">
        <v>44.21</v>
      </c>
      <c r="S796">
        <f t="shared" si="267"/>
        <v>735.84469999999988</v>
      </c>
      <c r="T796">
        <f t="shared" si="268"/>
        <v>1.8280567335063579E-2</v>
      </c>
      <c r="U796">
        <f t="shared" si="269"/>
        <v>8.4746835235371659E-2</v>
      </c>
      <c r="V796">
        <f t="shared" si="270"/>
        <v>4.0779727132064902E-2</v>
      </c>
      <c r="W796">
        <f t="shared" si="271"/>
        <v>1.3780735375663312E-2</v>
      </c>
      <c r="X796">
        <f t="shared" si="272"/>
        <v>0.15955654156040106</v>
      </c>
      <c r="Y796">
        <f t="shared" si="273"/>
        <v>6.5622549407920526E-4</v>
      </c>
      <c r="Z796">
        <f t="shared" si="274"/>
        <v>3.3748739695501988E-3</v>
      </c>
      <c r="AA796">
        <f t="shared" si="275"/>
        <v>0.20887038749646689</v>
      </c>
      <c r="AB796">
        <f t="shared" si="276"/>
        <v>7.202196667968179E-2</v>
      </c>
      <c r="AC796">
        <f t="shared" si="277"/>
        <v>5.9172977759111796E-2</v>
      </c>
      <c r="AD796">
        <f t="shared" si="278"/>
        <v>3.4208097541357434E-3</v>
      </c>
      <c r="AE796">
        <f t="shared" si="279"/>
        <v>2.516699766993076E-2</v>
      </c>
      <c r="AG796">
        <f t="shared" si="280"/>
        <v>-0.3000510728420735</v>
      </c>
      <c r="AH796">
        <f t="shared" si="281"/>
        <v>0.34634250377212472</v>
      </c>
      <c r="AI796">
        <f t="shared" si="282"/>
        <v>0.76825853053538773</v>
      </c>
      <c r="AK796" s="26">
        <f t="shared" si="283"/>
        <v>6.8678613854442405E-2</v>
      </c>
      <c r="AL796" s="26">
        <f t="shared" si="284"/>
        <v>1.8928796928415426E-2</v>
      </c>
      <c r="AM796" s="26">
        <f t="shared" si="285"/>
        <v>2.2414758181175026E-2</v>
      </c>
      <c r="AN796" s="26">
        <f t="shared" si="286"/>
        <v>-10.486904761904768</v>
      </c>
      <c r="AO796" s="26">
        <f t="shared" si="287"/>
        <v>-13.114845559845541</v>
      </c>
      <c r="AP796" s="26">
        <f t="shared" si="288"/>
        <v>-16.575282202556544</v>
      </c>
      <c r="AS796" s="2">
        <v>44684</v>
      </c>
      <c r="AT796">
        <v>12.7</v>
      </c>
      <c r="AU796">
        <v>127.9</v>
      </c>
      <c r="AV796">
        <v>20.9</v>
      </c>
      <c r="AW796">
        <v>4.2</v>
      </c>
      <c r="AX796">
        <v>251.25</v>
      </c>
      <c r="AY796">
        <v>0.2</v>
      </c>
      <c r="AZ796">
        <v>3</v>
      </c>
      <c r="BA796">
        <v>271.38749999999999</v>
      </c>
      <c r="BB796">
        <v>170.80779999999999</v>
      </c>
      <c r="BC796">
        <v>99.204499999999996</v>
      </c>
      <c r="BD796">
        <v>1.3816999999999999</v>
      </c>
      <c r="BE796">
        <v>15.7293</v>
      </c>
      <c r="BF796">
        <v>-40.425199999999997</v>
      </c>
      <c r="BG796">
        <v>16.5809</v>
      </c>
      <c r="BH796">
        <v>34.54</v>
      </c>
    </row>
    <row r="797" spans="1:60" x14ac:dyDescent="0.25">
      <c r="A797" s="2">
        <v>44704</v>
      </c>
      <c r="C797">
        <v>11</v>
      </c>
      <c r="F797">
        <v>223.71</v>
      </c>
      <c r="K797">
        <v>67.707300000000004</v>
      </c>
      <c r="N797">
        <v>-17.180800000000001</v>
      </c>
      <c r="O797">
        <v>-6.7161999999999997</v>
      </c>
      <c r="P797">
        <v>43.79</v>
      </c>
      <c r="S797">
        <f t="shared" si="267"/>
        <v>302.41730000000001</v>
      </c>
      <c r="T797">
        <f t="shared" si="268"/>
        <v>0</v>
      </c>
      <c r="U797">
        <f t="shared" si="269"/>
        <v>1.0312114906958941E-2</v>
      </c>
      <c r="V797">
        <f t="shared" si="270"/>
        <v>0</v>
      </c>
      <c r="W797">
        <f t="shared" si="271"/>
        <v>0</v>
      </c>
      <c r="X797">
        <f t="shared" si="272"/>
        <v>0.20972029325779862</v>
      </c>
      <c r="Y797">
        <f t="shared" si="273"/>
        <v>0</v>
      </c>
      <c r="Z797">
        <f t="shared" si="274"/>
        <v>0</v>
      </c>
      <c r="AA797">
        <f t="shared" si="275"/>
        <v>0</v>
      </c>
      <c r="AB797">
        <f t="shared" si="276"/>
        <v>0</v>
      </c>
      <c r="AC797">
        <f t="shared" si="277"/>
        <v>6.347322342181283E-2</v>
      </c>
      <c r="AD797">
        <f t="shared" si="278"/>
        <v>0</v>
      </c>
      <c r="AE797">
        <f t="shared" si="279"/>
        <v>0</v>
      </c>
      <c r="AG797">
        <f t="shared" si="280"/>
        <v>-0.31746273461692981</v>
      </c>
      <c r="AH797">
        <f t="shared" si="281"/>
        <v>0.22003240816475755</v>
      </c>
      <c r="AI797">
        <f t="shared" si="282"/>
        <v>-0.25018587577038881</v>
      </c>
      <c r="AK797" s="26">
        <f t="shared" si="283"/>
        <v>7.3876138509381128E-2</v>
      </c>
      <c r="AL797" s="26">
        <f t="shared" si="284"/>
        <v>1.7828348912508507E-2</v>
      </c>
      <c r="AM797" s="26">
        <f t="shared" si="285"/>
        <v>2.1705653658847218E-2</v>
      </c>
      <c r="AN797" s="26">
        <f t="shared" si="286"/>
        <v>-10.663333333333341</v>
      </c>
      <c r="AO797" s="26">
        <f t="shared" si="287"/>
        <v>-13.236061776061767</v>
      </c>
      <c r="AP797" s="26">
        <f t="shared" si="288"/>
        <v>-16.709557128810232</v>
      </c>
      <c r="AS797" s="2">
        <v>44683</v>
      </c>
      <c r="AT797">
        <v>12.8</v>
      </c>
      <c r="AU797">
        <v>0</v>
      </c>
      <c r="AV797">
        <v>5.2</v>
      </c>
      <c r="AW797">
        <v>2.2000000000000002</v>
      </c>
      <c r="AX797">
        <v>255.84</v>
      </c>
      <c r="AY797">
        <v>0.2</v>
      </c>
      <c r="AZ797">
        <v>3</v>
      </c>
      <c r="BA797">
        <v>257.65719999999999</v>
      </c>
      <c r="BB797">
        <v>156.41640000000001</v>
      </c>
      <c r="BC797">
        <v>64.802700000000002</v>
      </c>
      <c r="BD797">
        <v>2.2183000000000002</v>
      </c>
      <c r="BE797">
        <v>14.4824</v>
      </c>
      <c r="BF797">
        <v>23.106999999999999</v>
      </c>
      <c r="BG797">
        <v>26.1267</v>
      </c>
      <c r="BH797">
        <v>34.14</v>
      </c>
    </row>
    <row r="798" spans="1:60" x14ac:dyDescent="0.25">
      <c r="A798" s="2">
        <v>44703</v>
      </c>
      <c r="B798">
        <v>19.7</v>
      </c>
      <c r="C798">
        <v>39</v>
      </c>
      <c r="D798">
        <v>8.6</v>
      </c>
      <c r="E798">
        <v>0.6</v>
      </c>
      <c r="F798">
        <v>283.89999999999998</v>
      </c>
      <c r="G798">
        <v>0.8</v>
      </c>
      <c r="H798">
        <v>3.2</v>
      </c>
      <c r="I798">
        <v>221.53110000000001</v>
      </c>
      <c r="J798">
        <v>52.1601</v>
      </c>
      <c r="K798">
        <v>36.351599999999998</v>
      </c>
      <c r="L798">
        <v>3.6772</v>
      </c>
      <c r="M798">
        <v>16.648</v>
      </c>
      <c r="P798">
        <v>43.35</v>
      </c>
      <c r="S798">
        <f t="shared" si="267"/>
        <v>686.16799999999989</v>
      </c>
      <c r="T798">
        <f t="shared" si="268"/>
        <v>1.8468060333371922E-2</v>
      </c>
      <c r="U798">
        <f t="shared" si="269"/>
        <v>3.6561134670127157E-2</v>
      </c>
      <c r="V798">
        <f t="shared" si="270"/>
        <v>8.0621989272588075E-3</v>
      </c>
      <c r="W798">
        <f t="shared" si="271"/>
        <v>5.6247899492503314E-4</v>
      </c>
      <c r="X798">
        <f t="shared" si="272"/>
        <v>0.26614631109869485</v>
      </c>
      <c r="Y798">
        <f t="shared" si="273"/>
        <v>7.4997199323337759E-4</v>
      </c>
      <c r="Z798">
        <f t="shared" si="274"/>
        <v>2.9998879729335104E-3</v>
      </c>
      <c r="AA798">
        <f t="shared" si="275"/>
        <v>0.20767765078772835</v>
      </c>
      <c r="AB798">
        <f t="shared" si="276"/>
        <v>4.8898267705315371E-2</v>
      </c>
      <c r="AC798">
        <f t="shared" si="277"/>
        <v>3.4078352386528059E-2</v>
      </c>
      <c r="AD798">
        <f t="shared" si="278"/>
        <v>3.4472462668972198E-3</v>
      </c>
      <c r="AE798">
        <f t="shared" si="279"/>
        <v>1.5606917179186585E-2</v>
      </c>
      <c r="AG798">
        <f t="shared" si="280"/>
        <v>-0.33576869951741861</v>
      </c>
      <c r="AH798">
        <f t="shared" si="281"/>
        <v>0.34915696116973127</v>
      </c>
      <c r="AI798">
        <f t="shared" si="282"/>
        <v>0.79107125815452872</v>
      </c>
      <c r="AK798" s="26">
        <f t="shared" si="283"/>
        <v>7.8503240269621188E-2</v>
      </c>
      <c r="AL798" s="26">
        <f t="shared" si="284"/>
        <v>1.8380718849615507E-2</v>
      </c>
      <c r="AM798" s="26">
        <f t="shared" si="285"/>
        <v>2.2283752125792228E-2</v>
      </c>
      <c r="AN798" s="26">
        <f t="shared" si="286"/>
        <v>-10.844047619047615</v>
      </c>
      <c r="AO798" s="26">
        <f t="shared" si="287"/>
        <v>-13.359581724581723</v>
      </c>
      <c r="AP798" s="26">
        <f t="shared" si="288"/>
        <v>-16.841737266470016</v>
      </c>
      <c r="AS798" s="2">
        <v>44682</v>
      </c>
      <c r="AT798">
        <v>13.6</v>
      </c>
      <c r="AU798">
        <v>1.5</v>
      </c>
      <c r="AV798">
        <v>0.5</v>
      </c>
      <c r="AW798">
        <v>2.1</v>
      </c>
      <c r="AX798">
        <v>185.11</v>
      </c>
      <c r="AY798">
        <v>0.2</v>
      </c>
      <c r="AZ798">
        <v>3</v>
      </c>
      <c r="BA798">
        <v>259.85629999999998</v>
      </c>
      <c r="BB798">
        <v>99.6631</v>
      </c>
      <c r="BC798">
        <v>41.421399999999998</v>
      </c>
      <c r="BD798">
        <v>2.6191</v>
      </c>
      <c r="BE798">
        <v>9.4989000000000008</v>
      </c>
      <c r="BH798">
        <v>33.75</v>
      </c>
    </row>
    <row r="799" spans="1:60" x14ac:dyDescent="0.25">
      <c r="A799" s="2">
        <v>44702</v>
      </c>
      <c r="C799">
        <v>25.8</v>
      </c>
      <c r="F799">
        <v>240.65</v>
      </c>
      <c r="K799">
        <v>24.159199999999998</v>
      </c>
      <c r="P799">
        <v>42.82</v>
      </c>
      <c r="S799">
        <f t="shared" si="267"/>
        <v>290.60919999999999</v>
      </c>
      <c r="T799">
        <f t="shared" si="268"/>
        <v>0</v>
      </c>
      <c r="U799">
        <f t="shared" si="269"/>
        <v>2.4186596781776426E-2</v>
      </c>
      <c r="V799">
        <f t="shared" si="270"/>
        <v>0</v>
      </c>
      <c r="W799">
        <f t="shared" si="271"/>
        <v>0</v>
      </c>
      <c r="X799">
        <f t="shared" si="272"/>
        <v>0.22560095021451537</v>
      </c>
      <c r="Y799">
        <f t="shared" si="273"/>
        <v>0</v>
      </c>
      <c r="Z799">
        <f t="shared" si="274"/>
        <v>0</v>
      </c>
      <c r="AA799">
        <f t="shared" si="275"/>
        <v>0</v>
      </c>
      <c r="AB799">
        <f t="shared" si="276"/>
        <v>0</v>
      </c>
      <c r="AC799">
        <f t="shared" si="277"/>
        <v>2.2648404223654765E-2</v>
      </c>
      <c r="AD799">
        <f t="shared" si="278"/>
        <v>0</v>
      </c>
      <c r="AE799">
        <f t="shared" si="279"/>
        <v>0</v>
      </c>
      <c r="AG799">
        <f t="shared" si="280"/>
        <v>-0.35803926249797657</v>
      </c>
      <c r="AH799">
        <f t="shared" si="281"/>
        <v>0.2497875469962918</v>
      </c>
      <c r="AI799">
        <f t="shared" si="282"/>
        <v>-1.0469039264498315E-2</v>
      </c>
      <c r="AK799" s="26">
        <f t="shared" si="283"/>
        <v>7.4645897710114539E-2</v>
      </c>
      <c r="AL799" s="26">
        <f t="shared" si="284"/>
        <v>1.660921636576862E-2</v>
      </c>
      <c r="AM799" s="26">
        <f t="shared" si="285"/>
        <v>2.189965617439027E-2</v>
      </c>
      <c r="AN799" s="26">
        <f t="shared" si="286"/>
        <v>-11.018571428571441</v>
      </c>
      <c r="AO799" s="26">
        <f t="shared" si="287"/>
        <v>-13.484055662805666</v>
      </c>
      <c r="AP799" s="26">
        <f t="shared" si="288"/>
        <v>-16.975104031465097</v>
      </c>
      <c r="AS799" s="2">
        <v>44681</v>
      </c>
      <c r="AU799">
        <v>5.2</v>
      </c>
      <c r="AX799">
        <v>181.64</v>
      </c>
      <c r="BC799">
        <v>46.930500000000002</v>
      </c>
      <c r="BH799">
        <v>33.29</v>
      </c>
    </row>
    <row r="800" spans="1:60" x14ac:dyDescent="0.25">
      <c r="A800" s="2">
        <v>44701</v>
      </c>
      <c r="C800">
        <v>141</v>
      </c>
      <c r="F800">
        <v>247.23</v>
      </c>
      <c r="K800">
        <v>69.740600000000001</v>
      </c>
      <c r="N800">
        <v>-20.610800000000001</v>
      </c>
      <c r="O800">
        <v>-10.1874</v>
      </c>
      <c r="P800">
        <v>42.29</v>
      </c>
      <c r="S800">
        <f t="shared" si="267"/>
        <v>457.97059999999999</v>
      </c>
      <c r="T800">
        <f t="shared" si="268"/>
        <v>0</v>
      </c>
      <c r="U800">
        <f t="shared" si="269"/>
        <v>0.1321825638073828</v>
      </c>
      <c r="V800">
        <f t="shared" si="270"/>
        <v>0</v>
      </c>
      <c r="W800">
        <f t="shared" si="271"/>
        <v>0</v>
      </c>
      <c r="X800">
        <f t="shared" si="272"/>
        <v>0.23176946985885991</v>
      </c>
      <c r="Y800">
        <f t="shared" si="273"/>
        <v>0</v>
      </c>
      <c r="Z800">
        <f t="shared" si="274"/>
        <v>0</v>
      </c>
      <c r="AA800">
        <f t="shared" si="275"/>
        <v>0</v>
      </c>
      <c r="AB800">
        <f t="shared" si="276"/>
        <v>0</v>
      </c>
      <c r="AC800">
        <f t="shared" si="277"/>
        <v>6.5379370989114616E-2</v>
      </c>
      <c r="AD800">
        <f t="shared" si="278"/>
        <v>0</v>
      </c>
      <c r="AE800">
        <f t="shared" si="279"/>
        <v>0</v>
      </c>
      <c r="AG800">
        <f t="shared" si="280"/>
        <v>-0.3803387745242634</v>
      </c>
      <c r="AH800">
        <f t="shared" si="281"/>
        <v>0.36395203366624274</v>
      </c>
      <c r="AI800">
        <f t="shared" si="282"/>
        <v>0.91141074861513727</v>
      </c>
      <c r="AK800" s="26">
        <f t="shared" si="283"/>
        <v>7.6549163688597155E-2</v>
      </c>
      <c r="AL800" s="26">
        <f t="shared" si="284"/>
        <v>1.7785992808433515E-2</v>
      </c>
      <c r="AM800" s="26">
        <f t="shared" si="285"/>
        <v>2.2802703129696567E-2</v>
      </c>
      <c r="AN800" s="26">
        <f t="shared" si="286"/>
        <v>-11.201428571428586</v>
      </c>
      <c r="AO800" s="26">
        <f t="shared" si="287"/>
        <v>-13.609213320463322</v>
      </c>
      <c r="AP800" s="26">
        <f t="shared" si="288"/>
        <v>-17.108194690265481</v>
      </c>
      <c r="AS800" s="2">
        <v>44680</v>
      </c>
      <c r="AU800">
        <v>11.1</v>
      </c>
      <c r="AX800">
        <v>245.03</v>
      </c>
      <c r="BC800">
        <v>93.360900000000001</v>
      </c>
      <c r="BF800">
        <v>18.352599999999999</v>
      </c>
      <c r="BG800">
        <v>31.320599999999999</v>
      </c>
      <c r="BH800">
        <v>32.9</v>
      </c>
    </row>
    <row r="801" spans="1:60" x14ac:dyDescent="0.25">
      <c r="A801" s="2">
        <v>44700</v>
      </c>
      <c r="B801">
        <v>20.8</v>
      </c>
      <c r="C801">
        <v>356.6</v>
      </c>
      <c r="D801">
        <v>17.3</v>
      </c>
      <c r="E801">
        <v>5.6</v>
      </c>
      <c r="F801">
        <v>267.31</v>
      </c>
      <c r="G801">
        <v>0.7</v>
      </c>
      <c r="H801">
        <v>3</v>
      </c>
      <c r="I801">
        <v>220.73099999999999</v>
      </c>
      <c r="J801">
        <v>89.261899999999997</v>
      </c>
      <c r="K801">
        <v>70.769499999999994</v>
      </c>
      <c r="L801">
        <v>4.0477999999999996</v>
      </c>
      <c r="M801">
        <v>25.034700000000001</v>
      </c>
      <c r="N801">
        <v>-26.892399999999999</v>
      </c>
      <c r="O801">
        <v>-5.5401999999999996</v>
      </c>
      <c r="P801">
        <v>41.82</v>
      </c>
      <c r="S801">
        <f t="shared" si="267"/>
        <v>1081.1549</v>
      </c>
      <c r="T801">
        <f t="shared" si="268"/>
        <v>1.9499271824067816E-2</v>
      </c>
      <c r="U801">
        <f t="shared" si="269"/>
        <v>0.33430001598377806</v>
      </c>
      <c r="V801">
        <f t="shared" si="270"/>
        <v>1.621814435367179E-2</v>
      </c>
      <c r="W801">
        <f t="shared" si="271"/>
        <v>5.249803952633642E-3</v>
      </c>
      <c r="X801">
        <f t="shared" si="272"/>
        <v>0.25059376688901769</v>
      </c>
      <c r="Y801">
        <f t="shared" si="273"/>
        <v>6.5622549407920526E-4</v>
      </c>
      <c r="Z801">
        <f t="shared" si="274"/>
        <v>2.8123949746251659E-3</v>
      </c>
      <c r="AA801">
        <f t="shared" si="275"/>
        <v>0.20692758504799583</v>
      </c>
      <c r="AB801">
        <f t="shared" si="276"/>
        <v>8.3679906328498019E-2</v>
      </c>
      <c r="AC801">
        <f t="shared" si="277"/>
        <v>6.6343928718911885E-2</v>
      </c>
      <c r="AD801">
        <f t="shared" si="278"/>
        <v>3.7946707927625817E-3</v>
      </c>
      <c r="AE801">
        <f t="shared" si="279"/>
        <v>2.3469154823749547E-2</v>
      </c>
      <c r="AG801">
        <f t="shared" si="280"/>
        <v>-0.40004128564298175</v>
      </c>
      <c r="AH801">
        <f t="shared" si="281"/>
        <v>0.65279877829562294</v>
      </c>
      <c r="AI801">
        <f t="shared" si="282"/>
        <v>3.2517371156209909</v>
      </c>
      <c r="AK801" s="26">
        <f t="shared" si="283"/>
        <v>8.1904035146187604E-2</v>
      </c>
      <c r="AL801" s="26">
        <f t="shared" si="284"/>
        <v>1.9923416352319256E-2</v>
      </c>
      <c r="AM801" s="26">
        <f t="shared" si="285"/>
        <v>2.464996591957555E-2</v>
      </c>
      <c r="AN801" s="26">
        <f t="shared" si="286"/>
        <v>-11.380238095238106</v>
      </c>
      <c r="AO801" s="26">
        <f t="shared" si="287"/>
        <v>-13.736940154440145</v>
      </c>
      <c r="AP801" s="26">
        <f t="shared" si="288"/>
        <v>-17.240305604719772</v>
      </c>
      <c r="AS801" s="2">
        <v>44679</v>
      </c>
      <c r="AT801">
        <v>14.9</v>
      </c>
      <c r="AU801">
        <v>61.1</v>
      </c>
      <c r="AV801">
        <v>16.100000000000001</v>
      </c>
      <c r="AW801">
        <v>3.6</v>
      </c>
      <c r="AX801">
        <v>283.19</v>
      </c>
      <c r="AY801">
        <v>0.2</v>
      </c>
      <c r="AZ801">
        <v>3.4</v>
      </c>
      <c r="BA801">
        <v>271.54599999999999</v>
      </c>
      <c r="BB801">
        <v>164.0754</v>
      </c>
      <c r="BC801">
        <v>83.259900000000002</v>
      </c>
      <c r="BD801">
        <v>2.6225000000000001</v>
      </c>
      <c r="BE801">
        <v>23.004100000000001</v>
      </c>
      <c r="BF801">
        <v>-35.034100000000002</v>
      </c>
      <c r="BG801">
        <v>28.770299999999999</v>
      </c>
      <c r="BH801">
        <v>32.6</v>
      </c>
    </row>
    <row r="802" spans="1:60" x14ac:dyDescent="0.25">
      <c r="A802" s="2">
        <v>44699</v>
      </c>
      <c r="B802">
        <v>21</v>
      </c>
      <c r="C802">
        <v>73.099999999999994</v>
      </c>
      <c r="D802">
        <v>28.4</v>
      </c>
      <c r="E802">
        <v>7.2</v>
      </c>
      <c r="F802">
        <v>294.83</v>
      </c>
      <c r="G802">
        <v>0.7</v>
      </c>
      <c r="H802">
        <v>3.4</v>
      </c>
      <c r="I802">
        <v>252.87450000000001</v>
      </c>
      <c r="J802">
        <v>88.869299999999996</v>
      </c>
      <c r="K802">
        <v>74.272499999999994</v>
      </c>
      <c r="L802">
        <v>4.0145999999999997</v>
      </c>
      <c r="M802">
        <v>20.858599999999999</v>
      </c>
      <c r="N802">
        <v>-28.655200000000001</v>
      </c>
      <c r="O802">
        <v>-1.1705000000000001</v>
      </c>
      <c r="P802">
        <v>41.38</v>
      </c>
      <c r="S802">
        <f t="shared" si="267"/>
        <v>869.51949999999999</v>
      </c>
      <c r="T802">
        <f t="shared" si="268"/>
        <v>1.9686764822376159E-2</v>
      </c>
      <c r="U802">
        <f t="shared" si="269"/>
        <v>6.8528690881699869E-2</v>
      </c>
      <c r="V802">
        <f t="shared" si="270"/>
        <v>2.6624005759784901E-2</v>
      </c>
      <c r="W802">
        <f t="shared" si="271"/>
        <v>6.7497479391003977E-3</v>
      </c>
      <c r="X802">
        <f t="shared" si="272"/>
        <v>0.27639280345624584</v>
      </c>
      <c r="Y802">
        <f t="shared" si="273"/>
        <v>6.5622549407920526E-4</v>
      </c>
      <c r="Z802">
        <f t="shared" si="274"/>
        <v>3.1873809712418544E-3</v>
      </c>
      <c r="AA802">
        <f t="shared" si="275"/>
        <v>0.23706099100361716</v>
      </c>
      <c r="AB802">
        <f t="shared" si="276"/>
        <v>8.331185757281874E-2</v>
      </c>
      <c r="AC802">
        <f t="shared" si="277"/>
        <v>6.9627868584282535E-2</v>
      </c>
      <c r="AD802">
        <f t="shared" si="278"/>
        <v>3.7635469550433964E-3</v>
      </c>
      <c r="AE802">
        <f t="shared" si="279"/>
        <v>1.955420727257216E-2</v>
      </c>
      <c r="AG802">
        <f t="shared" si="280"/>
        <v>-0.41846281117257506</v>
      </c>
      <c r="AH802">
        <f t="shared" si="281"/>
        <v>0.42137982659710038</v>
      </c>
      <c r="AI802">
        <f t="shared" si="282"/>
        <v>1.3866206025457817</v>
      </c>
      <c r="AK802" s="26">
        <f t="shared" si="283"/>
        <v>6.7025528265428846E-2</v>
      </c>
      <c r="AL802" s="26">
        <f t="shared" si="284"/>
        <v>1.4959616409136511E-2</v>
      </c>
      <c r="AM802" s="26">
        <f t="shared" si="285"/>
        <v>2.1531924394336988E-2</v>
      </c>
      <c r="AN802" s="26">
        <f t="shared" si="286"/>
        <v>-11.553571428571423</v>
      </c>
      <c r="AO802" s="26">
        <f t="shared" si="287"/>
        <v>-13.866525096525084</v>
      </c>
      <c r="AP802" s="26">
        <f t="shared" si="288"/>
        <v>-17.371880432645046</v>
      </c>
      <c r="AS802" s="2">
        <v>44678</v>
      </c>
      <c r="AT802">
        <v>15.5</v>
      </c>
      <c r="AU802">
        <v>116.7</v>
      </c>
      <c r="AV802">
        <v>2.2999999999999998</v>
      </c>
      <c r="AW802">
        <v>2.4</v>
      </c>
      <c r="AX802">
        <v>222.64</v>
      </c>
      <c r="AY802">
        <v>0.1</v>
      </c>
      <c r="AZ802">
        <v>3.2</v>
      </c>
      <c r="BA802">
        <v>270.63490000000002</v>
      </c>
      <c r="BB802">
        <v>168.684</v>
      </c>
      <c r="BC802">
        <v>118.3742</v>
      </c>
      <c r="BD802">
        <v>2.6206999999999998</v>
      </c>
      <c r="BE802">
        <v>15.072100000000001</v>
      </c>
      <c r="BF802">
        <v>-35.72</v>
      </c>
      <c r="BG802">
        <v>37.871499999999997</v>
      </c>
      <c r="BH802">
        <v>32.32</v>
      </c>
    </row>
    <row r="803" spans="1:60" x14ac:dyDescent="0.25">
      <c r="A803" s="2">
        <v>44698</v>
      </c>
      <c r="B803">
        <v>20.9</v>
      </c>
      <c r="C803">
        <v>0</v>
      </c>
      <c r="D803">
        <v>15</v>
      </c>
      <c r="E803">
        <v>3.9</v>
      </c>
      <c r="F803">
        <v>228.95</v>
      </c>
      <c r="G803">
        <v>0.5</v>
      </c>
      <c r="H803">
        <v>3.4</v>
      </c>
      <c r="I803">
        <v>264.4015</v>
      </c>
      <c r="J803">
        <v>106.42400000000001</v>
      </c>
      <c r="K803">
        <v>102.9663</v>
      </c>
      <c r="L803">
        <v>4.085</v>
      </c>
      <c r="M803">
        <v>23.725000000000001</v>
      </c>
      <c r="N803">
        <v>-28.008199999999999</v>
      </c>
      <c r="O803">
        <v>-5.4852999999999996</v>
      </c>
      <c r="P803">
        <v>40.99</v>
      </c>
      <c r="S803">
        <f t="shared" si="267"/>
        <v>774.25180000000012</v>
      </c>
      <c r="T803">
        <f t="shared" si="268"/>
        <v>1.9593018323221988E-2</v>
      </c>
      <c r="U803">
        <f t="shared" si="269"/>
        <v>0</v>
      </c>
      <c r="V803">
        <f t="shared" si="270"/>
        <v>1.4061974873125828E-2</v>
      </c>
      <c r="W803">
        <f t="shared" si="271"/>
        <v>3.6561134670127153E-3</v>
      </c>
      <c r="X803">
        <f t="shared" si="272"/>
        <v>0.21463260981347723</v>
      </c>
      <c r="Y803">
        <f t="shared" si="273"/>
        <v>4.6873249577086097E-4</v>
      </c>
      <c r="Z803">
        <f t="shared" si="274"/>
        <v>3.1873809712418544E-3</v>
      </c>
      <c r="AA803">
        <f t="shared" si="275"/>
        <v>0.24786714996111858</v>
      </c>
      <c r="AB803">
        <f t="shared" si="276"/>
        <v>9.9768774259836213E-2</v>
      </c>
      <c r="AC803">
        <f t="shared" si="277"/>
        <v>9.6527301558582398E-2</v>
      </c>
      <c r="AD803">
        <f t="shared" si="278"/>
        <v>3.8295444904479338E-3</v>
      </c>
      <c r="AE803">
        <f t="shared" si="279"/>
        <v>2.2241356924327355E-2</v>
      </c>
      <c r="AG803">
        <f t="shared" si="280"/>
        <v>-0.4347343224502096</v>
      </c>
      <c r="AH803">
        <f t="shared" si="281"/>
        <v>0.27784118686817783</v>
      </c>
      <c r="AI803">
        <f t="shared" si="282"/>
        <v>0.22524749846914527</v>
      </c>
      <c r="AK803" s="26">
        <f t="shared" si="283"/>
        <v>6.4573403319112599E-2</v>
      </c>
      <c r="AL803" s="26">
        <f t="shared" si="284"/>
        <v>1.2840037381663894E-2</v>
      </c>
      <c r="AM803" s="26">
        <f t="shared" si="285"/>
        <v>2.0799450608274372E-2</v>
      </c>
      <c r="AN803" s="26">
        <f t="shared" si="286"/>
        <v>-11.72190476190476</v>
      </c>
      <c r="AO803" s="26">
        <f t="shared" si="287"/>
        <v>-13.998954311454305</v>
      </c>
      <c r="AP803" s="26">
        <f t="shared" si="288"/>
        <v>-17.501899311701081</v>
      </c>
      <c r="AS803" s="2">
        <v>44677</v>
      </c>
      <c r="AT803">
        <v>15.9</v>
      </c>
      <c r="AU803">
        <v>40.6</v>
      </c>
      <c r="AV803">
        <v>10.6</v>
      </c>
      <c r="AW803">
        <v>2.7</v>
      </c>
      <c r="AX803">
        <v>165.51</v>
      </c>
      <c r="AY803">
        <v>0</v>
      </c>
      <c r="AZ803">
        <v>2.8</v>
      </c>
      <c r="BA803">
        <v>265.24590000000001</v>
      </c>
      <c r="BB803">
        <v>165.21629999999999</v>
      </c>
      <c r="BC803">
        <v>130.874</v>
      </c>
      <c r="BD803">
        <v>2.7616999999999998</v>
      </c>
      <c r="BE803">
        <v>18.528300000000002</v>
      </c>
      <c r="BF803">
        <v>-56.248800000000003</v>
      </c>
      <c r="BG803">
        <v>7.0294999999999996</v>
      </c>
      <c r="BH803">
        <v>32</v>
      </c>
    </row>
    <row r="804" spans="1:60" x14ac:dyDescent="0.25">
      <c r="A804" s="2">
        <v>44697</v>
      </c>
      <c r="B804">
        <v>17.899999999999999</v>
      </c>
      <c r="C804">
        <v>23.5</v>
      </c>
      <c r="D804">
        <v>36.700000000000003</v>
      </c>
      <c r="E804">
        <v>10</v>
      </c>
      <c r="F804">
        <v>215.17</v>
      </c>
      <c r="G804">
        <v>0.2</v>
      </c>
      <c r="H804">
        <v>3.4</v>
      </c>
      <c r="I804">
        <v>250.9683</v>
      </c>
      <c r="J804">
        <v>73.809200000000004</v>
      </c>
      <c r="K804">
        <v>58.990600000000001</v>
      </c>
      <c r="L804">
        <v>4.3087</v>
      </c>
      <c r="M804">
        <v>25.355599999999999</v>
      </c>
      <c r="N804">
        <v>-27.655200000000001</v>
      </c>
      <c r="O804">
        <v>-2.0960999999999999</v>
      </c>
      <c r="P804">
        <v>40.590000000000003</v>
      </c>
      <c r="S804">
        <f t="shared" si="267"/>
        <v>720.30239999999992</v>
      </c>
      <c r="T804">
        <f t="shared" si="268"/>
        <v>1.678062334859682E-2</v>
      </c>
      <c r="U804">
        <f t="shared" si="269"/>
        <v>2.2030427301230466E-2</v>
      </c>
      <c r="V804">
        <f t="shared" si="270"/>
        <v>3.4404965189581194E-2</v>
      </c>
      <c r="W804">
        <f t="shared" si="271"/>
        <v>9.3746499154172182E-3</v>
      </c>
      <c r="X804">
        <f t="shared" si="272"/>
        <v>0.20171434223003229</v>
      </c>
      <c r="Y804">
        <f t="shared" si="273"/>
        <v>1.874929983083444E-4</v>
      </c>
      <c r="Z804">
        <f t="shared" si="274"/>
        <v>3.1873809712418544E-3</v>
      </c>
      <c r="AA804">
        <f t="shared" si="275"/>
        <v>0.23527399523674034</v>
      </c>
      <c r="AB804">
        <f t="shared" si="276"/>
        <v>6.9193541053701263E-2</v>
      </c>
      <c r="AC804">
        <f t="shared" si="277"/>
        <v>5.53016223300411E-2</v>
      </c>
      <c r="AD804">
        <f t="shared" si="278"/>
        <v>4.0392554090558173E-3</v>
      </c>
      <c r="AE804">
        <f t="shared" si="279"/>
        <v>2.3769987339535285E-2</v>
      </c>
      <c r="AG804">
        <f t="shared" si="280"/>
        <v>-0.45148630014923641</v>
      </c>
      <c r="AH804">
        <f t="shared" si="281"/>
        <v>0.31144986929394347</v>
      </c>
      <c r="AI804">
        <f t="shared" si="282"/>
        <v>0.49923972340036904</v>
      </c>
      <c r="AK804" s="26">
        <f t="shared" si="283"/>
        <v>6.1926095929497993E-2</v>
      </c>
      <c r="AL804" s="26">
        <f t="shared" si="284"/>
        <v>1.3733743510221386E-2</v>
      </c>
      <c r="AM804" s="26">
        <f t="shared" si="285"/>
        <v>2.0960436373748309E-2</v>
      </c>
      <c r="AN804" s="26">
        <f t="shared" si="286"/>
        <v>-11.889285714285712</v>
      </c>
      <c r="AO804" s="26">
        <f t="shared" si="287"/>
        <v>-14.135674066924068</v>
      </c>
      <c r="AP804" s="26">
        <f t="shared" si="288"/>
        <v>-17.629650737463141</v>
      </c>
      <c r="AS804" s="2">
        <v>44676</v>
      </c>
      <c r="AT804">
        <v>12.9</v>
      </c>
      <c r="AU804">
        <v>136.6</v>
      </c>
      <c r="AV804">
        <v>35.700000000000003</v>
      </c>
      <c r="AW804">
        <v>4.5</v>
      </c>
      <c r="AX804">
        <v>163.02000000000001</v>
      </c>
      <c r="AY804">
        <v>0</v>
      </c>
      <c r="AZ804">
        <v>3.2</v>
      </c>
      <c r="BA804">
        <v>273.87950000000001</v>
      </c>
      <c r="BB804">
        <v>146.08099999999999</v>
      </c>
      <c r="BC804">
        <v>103.3095</v>
      </c>
      <c r="BD804">
        <v>2.8153999999999999</v>
      </c>
      <c r="BE804">
        <v>19.474699999999999</v>
      </c>
      <c r="BF804">
        <v>-22.897099999999998</v>
      </c>
      <c r="BG804">
        <v>13.614800000000001</v>
      </c>
      <c r="BH804">
        <v>31.8</v>
      </c>
    </row>
    <row r="805" spans="1:60" x14ac:dyDescent="0.25">
      <c r="A805" s="2">
        <v>44696</v>
      </c>
      <c r="B805">
        <v>16</v>
      </c>
      <c r="C805">
        <v>33.200000000000003</v>
      </c>
      <c r="D805">
        <v>10.5</v>
      </c>
      <c r="E805">
        <v>2.4</v>
      </c>
      <c r="F805">
        <v>312.83</v>
      </c>
      <c r="G805">
        <v>0.2</v>
      </c>
      <c r="H805">
        <v>3.3</v>
      </c>
      <c r="I805">
        <v>207.036</v>
      </c>
      <c r="J805">
        <v>35.677100000000003</v>
      </c>
      <c r="K805">
        <v>25.651599999999998</v>
      </c>
      <c r="L805">
        <v>4.1845999999999997</v>
      </c>
      <c r="M805">
        <v>13.5688</v>
      </c>
      <c r="P805">
        <v>40.159999999999997</v>
      </c>
      <c r="S805">
        <f t="shared" si="267"/>
        <v>664.54810000000009</v>
      </c>
      <c r="T805">
        <f t="shared" si="268"/>
        <v>1.4999439864667551E-2</v>
      </c>
      <c r="U805">
        <f t="shared" si="269"/>
        <v>3.1123837719185171E-2</v>
      </c>
      <c r="V805">
        <f t="shared" si="270"/>
        <v>9.8433824111880796E-3</v>
      </c>
      <c r="W805">
        <f t="shared" si="271"/>
        <v>2.2499159797001326E-3</v>
      </c>
      <c r="X805">
        <f t="shared" si="272"/>
        <v>0.29326717330399688</v>
      </c>
      <c r="Y805">
        <f t="shared" si="273"/>
        <v>1.874929983083444E-4</v>
      </c>
      <c r="Z805">
        <f t="shared" si="274"/>
        <v>3.0936344720876819E-3</v>
      </c>
      <c r="AA805">
        <f t="shared" si="275"/>
        <v>0.19408900198883194</v>
      </c>
      <c r="AB805">
        <f t="shared" si="276"/>
        <v>3.3446032249733172E-2</v>
      </c>
      <c r="AC805">
        <f t="shared" si="277"/>
        <v>2.4047476977031631E-2</v>
      </c>
      <c r="AD805">
        <f t="shared" si="278"/>
        <v>3.9229160036054894E-3</v>
      </c>
      <c r="AE805">
        <f t="shared" si="279"/>
        <v>1.2720274977231315E-2</v>
      </c>
      <c r="AG805">
        <f t="shared" si="280"/>
        <v>-0.46959128823957058</v>
      </c>
      <c r="AH805">
        <f t="shared" si="281"/>
        <v>0.36748515172636514</v>
      </c>
      <c r="AI805">
        <f t="shared" si="282"/>
        <v>0.95808174768691978</v>
      </c>
      <c r="AK805" s="26">
        <f t="shared" si="283"/>
        <v>6.1230003620623641E-2</v>
      </c>
      <c r="AL805" s="26">
        <f t="shared" si="284"/>
        <v>1.3969287169495026E-2</v>
      </c>
      <c r="AM805" s="26">
        <f t="shared" si="285"/>
        <v>1.9743116604419853E-2</v>
      </c>
      <c r="AN805" s="26">
        <f t="shared" si="286"/>
        <v>-12.051666666666669</v>
      </c>
      <c r="AO805" s="26">
        <f t="shared" si="287"/>
        <v>-14.273630952380959</v>
      </c>
      <c r="AP805" s="26">
        <f t="shared" si="288"/>
        <v>-17.755978761061961</v>
      </c>
      <c r="AS805" s="2">
        <v>44675</v>
      </c>
      <c r="AT805">
        <v>9.9</v>
      </c>
      <c r="AU805">
        <v>0</v>
      </c>
      <c r="AV805">
        <v>62.1</v>
      </c>
      <c r="AW805">
        <v>15.5</v>
      </c>
      <c r="AX805">
        <v>151.18</v>
      </c>
      <c r="AY805">
        <v>0</v>
      </c>
      <c r="AZ805">
        <v>3.4</v>
      </c>
      <c r="BA805">
        <v>203.64689999999999</v>
      </c>
      <c r="BB805">
        <v>39.614899999999999</v>
      </c>
      <c r="BC805">
        <v>24.127400000000002</v>
      </c>
      <c r="BD805">
        <v>2.8563999999999998</v>
      </c>
      <c r="BE805">
        <v>11.0243</v>
      </c>
      <c r="BH805">
        <v>31.53</v>
      </c>
    </row>
    <row r="806" spans="1:60" x14ac:dyDescent="0.25">
      <c r="A806" s="2">
        <v>44695</v>
      </c>
      <c r="C806">
        <v>36.299999999999997</v>
      </c>
      <c r="F806">
        <v>287.39</v>
      </c>
      <c r="K806">
        <v>32.313899999999997</v>
      </c>
      <c r="P806">
        <v>39.58</v>
      </c>
      <c r="S806">
        <f t="shared" si="267"/>
        <v>356.00389999999999</v>
      </c>
      <c r="T806">
        <f t="shared" si="268"/>
        <v>0</v>
      </c>
      <c r="U806">
        <f t="shared" si="269"/>
        <v>3.40299791929645E-2</v>
      </c>
      <c r="V806">
        <f t="shared" si="270"/>
        <v>0</v>
      </c>
      <c r="W806">
        <f t="shared" si="271"/>
        <v>0</v>
      </c>
      <c r="X806">
        <f t="shared" si="272"/>
        <v>0.26941806391917544</v>
      </c>
      <c r="Y806">
        <f t="shared" si="273"/>
        <v>0</v>
      </c>
      <c r="Z806">
        <f t="shared" si="274"/>
        <v>0</v>
      </c>
      <c r="AA806">
        <f t="shared" si="275"/>
        <v>0</v>
      </c>
      <c r="AB806">
        <f t="shared" si="276"/>
        <v>0</v>
      </c>
      <c r="AC806">
        <f t="shared" si="277"/>
        <v>3.0293149990180044E-2</v>
      </c>
      <c r="AD806">
        <f t="shared" si="278"/>
        <v>0</v>
      </c>
      <c r="AE806">
        <f t="shared" si="279"/>
        <v>0</v>
      </c>
      <c r="AG806">
        <f t="shared" si="280"/>
        <v>-0.49430999468085168</v>
      </c>
      <c r="AH806">
        <f t="shared" si="281"/>
        <v>0.30344804311213996</v>
      </c>
      <c r="AI806">
        <f t="shared" si="282"/>
        <v>0.44035296625479564</v>
      </c>
      <c r="AK806" s="26">
        <f t="shared" si="283"/>
        <v>4.9893268494683174E-2</v>
      </c>
      <c r="AL806" s="26">
        <f t="shared" si="284"/>
        <v>1.3030742886694369E-2</v>
      </c>
      <c r="AM806" s="26">
        <f t="shared" si="285"/>
        <v>1.8886474140384635E-2</v>
      </c>
      <c r="AN806" s="26">
        <f t="shared" si="286"/>
        <v>-12.205238095238101</v>
      </c>
      <c r="AO806" s="26">
        <f t="shared" si="287"/>
        <v>-14.410045045045063</v>
      </c>
      <c r="AP806" s="26">
        <f t="shared" si="288"/>
        <v>-17.882123107177993</v>
      </c>
      <c r="AS806" s="2">
        <v>44674</v>
      </c>
      <c r="AU806">
        <v>2.2999999999999998</v>
      </c>
      <c r="AX806">
        <v>213.76</v>
      </c>
      <c r="BC806">
        <v>29.990400000000001</v>
      </c>
      <c r="BH806">
        <v>31.11</v>
      </c>
    </row>
    <row r="807" spans="1:60" x14ac:dyDescent="0.25">
      <c r="A807" s="2">
        <v>44694</v>
      </c>
      <c r="C807">
        <v>104.4</v>
      </c>
      <c r="F807">
        <v>217.94</v>
      </c>
      <c r="K807">
        <v>50.7286</v>
      </c>
      <c r="N807">
        <v>-26.944099999999999</v>
      </c>
      <c r="O807">
        <v>11.9909</v>
      </c>
      <c r="P807">
        <v>39.020000000000003</v>
      </c>
      <c r="S807">
        <f t="shared" si="267"/>
        <v>373.06860000000006</v>
      </c>
      <c r="T807">
        <f t="shared" si="268"/>
        <v>0</v>
      </c>
      <c r="U807">
        <f t="shared" si="269"/>
        <v>9.7871345116955777E-2</v>
      </c>
      <c r="V807">
        <f t="shared" si="270"/>
        <v>0</v>
      </c>
      <c r="W807">
        <f t="shared" si="271"/>
        <v>0</v>
      </c>
      <c r="X807">
        <f t="shared" si="272"/>
        <v>0.20431112025660286</v>
      </c>
      <c r="Y807">
        <f t="shared" si="273"/>
        <v>0</v>
      </c>
      <c r="Z807">
        <f t="shared" si="274"/>
        <v>0</v>
      </c>
      <c r="AA807">
        <f t="shared" si="275"/>
        <v>0</v>
      </c>
      <c r="AB807">
        <f t="shared" si="276"/>
        <v>0</v>
      </c>
      <c r="AC807">
        <f t="shared" si="277"/>
        <v>4.7556286569923396E-2</v>
      </c>
      <c r="AD807">
        <f t="shared" si="278"/>
        <v>0</v>
      </c>
      <c r="AE807">
        <f t="shared" si="279"/>
        <v>0</v>
      </c>
      <c r="AG807">
        <f t="shared" si="280"/>
        <v>-0.51820277544115445</v>
      </c>
      <c r="AH807">
        <f t="shared" si="281"/>
        <v>0.30218246537355864</v>
      </c>
      <c r="AI807">
        <f t="shared" si="282"/>
        <v>0.43118228292190403</v>
      </c>
      <c r="AK807" s="26">
        <f t="shared" si="283"/>
        <v>3.7557108637438663E-2</v>
      </c>
      <c r="AL807" s="26">
        <f t="shared" si="284"/>
        <v>1.3048723317433619E-2</v>
      </c>
      <c r="AM807" s="26">
        <f t="shared" si="285"/>
        <v>1.8673624946641293E-2</v>
      </c>
      <c r="AN807" s="26">
        <f t="shared" si="286"/>
        <v>-12.339999999999996</v>
      </c>
      <c r="AO807" s="26">
        <f t="shared" si="287"/>
        <v>-14.548772522522533</v>
      </c>
      <c r="AP807" s="26">
        <f t="shared" si="288"/>
        <v>-18.006135299901693</v>
      </c>
      <c r="AS807" s="2">
        <v>44673</v>
      </c>
      <c r="AU807">
        <v>2.6</v>
      </c>
      <c r="AX807">
        <v>210.27</v>
      </c>
      <c r="BC807">
        <v>51.804600000000001</v>
      </c>
      <c r="BF807">
        <v>-25.8978</v>
      </c>
      <c r="BG807">
        <v>8.6136999999999997</v>
      </c>
      <c r="BH807">
        <v>30.71</v>
      </c>
    </row>
    <row r="808" spans="1:60" x14ac:dyDescent="0.25">
      <c r="A808" s="2">
        <v>44693</v>
      </c>
      <c r="B808">
        <v>13.8</v>
      </c>
      <c r="C808">
        <v>205.6</v>
      </c>
      <c r="D808">
        <v>36.5</v>
      </c>
      <c r="E808">
        <v>15.4</v>
      </c>
      <c r="F808">
        <v>261.14999999999998</v>
      </c>
      <c r="G808">
        <v>0.2</v>
      </c>
      <c r="H808">
        <v>2.9</v>
      </c>
      <c r="I808">
        <v>217.54079999999999</v>
      </c>
      <c r="J808">
        <v>53.4255</v>
      </c>
      <c r="K808">
        <v>43.7881</v>
      </c>
      <c r="L808">
        <v>4.1444000000000001</v>
      </c>
      <c r="M808">
        <v>29.1233</v>
      </c>
      <c r="N808">
        <v>-36.47</v>
      </c>
      <c r="O808">
        <v>18.963000000000001</v>
      </c>
      <c r="P808">
        <v>38.479999999999997</v>
      </c>
      <c r="S808">
        <f t="shared" si="267"/>
        <v>883.57209999999998</v>
      </c>
      <c r="T808">
        <f t="shared" si="268"/>
        <v>1.2937016883275762E-2</v>
      </c>
      <c r="U808">
        <f t="shared" si="269"/>
        <v>0.19274280226097801</v>
      </c>
      <c r="V808">
        <f t="shared" si="270"/>
        <v>3.4217472191272851E-2</v>
      </c>
      <c r="W808">
        <f t="shared" si="271"/>
        <v>1.4436960869742518E-2</v>
      </c>
      <c r="X808">
        <f t="shared" si="272"/>
        <v>0.24481898254112067</v>
      </c>
      <c r="Y808">
        <f t="shared" si="273"/>
        <v>1.874929983083444E-4</v>
      </c>
      <c r="Z808">
        <f t="shared" si="274"/>
        <v>2.7186484754709935E-3</v>
      </c>
      <c r="AA808">
        <f t="shared" si="275"/>
        <v>0.20393688423197942</v>
      </c>
      <c r="AB808">
        <f t="shared" si="276"/>
        <v>5.0084535905612265E-2</v>
      </c>
      <c r="AC808">
        <f t="shared" si="277"/>
        <v>4.1049810796128072E-2</v>
      </c>
      <c r="AD808">
        <f t="shared" si="278"/>
        <v>3.8852299109455122E-3</v>
      </c>
      <c r="AE808">
        <f t="shared" si="279"/>
        <v>2.730207418816703E-2</v>
      </c>
      <c r="AG808">
        <f t="shared" si="280"/>
        <v>-0.54127001562749533</v>
      </c>
      <c r="AH808">
        <f t="shared" si="281"/>
        <v>0.52936145040833615</v>
      </c>
      <c r="AI808">
        <f t="shared" si="282"/>
        <v>2.2872378681102892</v>
      </c>
      <c r="AK808" s="26">
        <f t="shared" si="283"/>
        <v>3.0047480592968134E-2</v>
      </c>
      <c r="AL808" s="26">
        <f t="shared" si="284"/>
        <v>1.2036263207813203E-2</v>
      </c>
      <c r="AM808" s="26">
        <f t="shared" si="285"/>
        <v>1.8419545131837051E-2</v>
      </c>
      <c r="AN808" s="26">
        <f t="shared" si="286"/>
        <v>-12.483809523809519</v>
      </c>
      <c r="AO808" s="26">
        <f t="shared" si="287"/>
        <v>-14.684631595881616</v>
      </c>
      <c r="AP808" s="26">
        <f t="shared" si="288"/>
        <v>-18.127663323500514</v>
      </c>
      <c r="AS808" s="2">
        <v>44672</v>
      </c>
      <c r="AT808">
        <v>11.9</v>
      </c>
      <c r="AU808">
        <v>97.6</v>
      </c>
      <c r="AV808">
        <v>27.5</v>
      </c>
      <c r="AW808">
        <v>6.9</v>
      </c>
      <c r="AX808">
        <v>191.49</v>
      </c>
      <c r="AY808">
        <v>0.1</v>
      </c>
      <c r="AZ808">
        <v>3.3</v>
      </c>
      <c r="BA808">
        <v>258.3845</v>
      </c>
      <c r="BB808">
        <v>120.0423</v>
      </c>
      <c r="BC808">
        <v>63.695300000000003</v>
      </c>
      <c r="BD808">
        <v>2.8462999999999998</v>
      </c>
      <c r="BE808">
        <v>24.801600000000001</v>
      </c>
      <c r="BF808">
        <v>-28.8599</v>
      </c>
      <c r="BG808">
        <v>16.873899999999999</v>
      </c>
      <c r="BH808">
        <v>30.38</v>
      </c>
    </row>
    <row r="809" spans="1:60" x14ac:dyDescent="0.25">
      <c r="A809" s="2">
        <v>44692</v>
      </c>
      <c r="B809">
        <v>14.6</v>
      </c>
      <c r="C809">
        <v>0</v>
      </c>
      <c r="D809">
        <v>49.1</v>
      </c>
      <c r="E809">
        <v>11.5</v>
      </c>
      <c r="F809">
        <v>270.67</v>
      </c>
      <c r="G809">
        <v>0.1</v>
      </c>
      <c r="H809">
        <v>3</v>
      </c>
      <c r="I809">
        <v>230.14779999999999</v>
      </c>
      <c r="J809">
        <v>64.999099999999999</v>
      </c>
      <c r="K809">
        <v>60.936700000000002</v>
      </c>
      <c r="L809">
        <v>4.1261999999999999</v>
      </c>
      <c r="M809">
        <v>20.276199999999999</v>
      </c>
      <c r="N809">
        <v>-30.1065</v>
      </c>
      <c r="O809">
        <v>2.9123000000000001</v>
      </c>
      <c r="P809">
        <v>38.049999999999997</v>
      </c>
      <c r="S809">
        <f t="shared" si="267"/>
        <v>729.45600000000002</v>
      </c>
      <c r="T809">
        <f t="shared" si="268"/>
        <v>1.368698887650914E-2</v>
      </c>
      <c r="U809">
        <f t="shared" si="269"/>
        <v>0</v>
      </c>
      <c r="V809">
        <f t="shared" si="270"/>
        <v>4.6029531084698545E-2</v>
      </c>
      <c r="W809">
        <f t="shared" si="271"/>
        <v>1.0780847402729802E-2</v>
      </c>
      <c r="X809">
        <f t="shared" si="272"/>
        <v>0.25374364926059789</v>
      </c>
      <c r="Y809">
        <f t="shared" si="273"/>
        <v>9.3746499154172199E-5</v>
      </c>
      <c r="Z809">
        <f t="shared" si="274"/>
        <v>2.8123949746251659E-3</v>
      </c>
      <c r="AA809">
        <f t="shared" si="275"/>
        <v>0.21575550538034591</v>
      </c>
      <c r="AB809">
        <f t="shared" si="276"/>
        <v>6.0934380731719535E-2</v>
      </c>
      <c r="AC809">
        <f t="shared" si="277"/>
        <v>5.712602295008045E-2</v>
      </c>
      <c r="AD809">
        <f t="shared" si="278"/>
        <v>3.8681680480994528E-3</v>
      </c>
      <c r="AE809">
        <f t="shared" si="279"/>
        <v>1.9008227661498261E-2</v>
      </c>
      <c r="AG809">
        <f t="shared" si="280"/>
        <v>-0.55955559800823174</v>
      </c>
      <c r="AH809">
        <f t="shared" si="281"/>
        <v>0.34615538575981297</v>
      </c>
      <c r="AI809">
        <f t="shared" si="282"/>
        <v>0.8048776108500123</v>
      </c>
      <c r="AK809" s="26">
        <f t="shared" si="283"/>
        <v>1.7362860534248403E-2</v>
      </c>
      <c r="AL809" s="26">
        <f t="shared" si="284"/>
        <v>5.9041004496128147E-3</v>
      </c>
      <c r="AM809" s="26">
        <f t="shared" si="285"/>
        <v>1.6137314208455628E-2</v>
      </c>
      <c r="AN809" s="26">
        <f t="shared" si="286"/>
        <v>-12.618333333333339</v>
      </c>
      <c r="AO809" s="26">
        <f t="shared" si="287"/>
        <v>-14.817253861003874</v>
      </c>
      <c r="AP809" s="26">
        <f t="shared" si="288"/>
        <v>-18.247593706981334</v>
      </c>
      <c r="AS809" s="2">
        <v>44671</v>
      </c>
      <c r="AT809">
        <v>11.3</v>
      </c>
      <c r="AU809">
        <v>102.4</v>
      </c>
      <c r="AV809">
        <v>19.600000000000001</v>
      </c>
      <c r="AW809">
        <v>5.6</v>
      </c>
      <c r="AX809">
        <v>252.89</v>
      </c>
      <c r="AY809">
        <v>0.2</v>
      </c>
      <c r="AZ809">
        <v>3.2</v>
      </c>
      <c r="BA809">
        <v>243.64009999999999</v>
      </c>
      <c r="BC809">
        <v>65.9148</v>
      </c>
      <c r="BD809">
        <v>2.7147000000000001</v>
      </c>
      <c r="BE809">
        <v>29.009699999999999</v>
      </c>
      <c r="BF809">
        <v>-21.947099999999999</v>
      </c>
      <c r="BG809">
        <v>7.5472999999999999</v>
      </c>
      <c r="BH809">
        <v>30.11</v>
      </c>
    </row>
    <row r="810" spans="1:60" x14ac:dyDescent="0.25">
      <c r="A810" s="2">
        <v>44691</v>
      </c>
      <c r="B810">
        <v>15.9</v>
      </c>
      <c r="C810">
        <v>103.6</v>
      </c>
      <c r="D810">
        <v>57</v>
      </c>
      <c r="E810">
        <v>9.8000000000000007</v>
      </c>
      <c r="F810">
        <v>250.38</v>
      </c>
      <c r="G810">
        <v>0.2</v>
      </c>
      <c r="H810">
        <v>3.1</v>
      </c>
      <c r="I810">
        <v>260.22089999999997</v>
      </c>
      <c r="J810">
        <v>96.637200000000007</v>
      </c>
      <c r="K810">
        <v>61.337400000000002</v>
      </c>
      <c r="L810">
        <v>3.3689</v>
      </c>
      <c r="M810">
        <v>23.738399999999999</v>
      </c>
      <c r="N810">
        <v>-46.422400000000003</v>
      </c>
      <c r="O810">
        <v>2.2660999999999998</v>
      </c>
      <c r="P810">
        <v>37.64</v>
      </c>
      <c r="S810">
        <f t="shared" si="267"/>
        <v>885.28280000000007</v>
      </c>
      <c r="T810">
        <f t="shared" si="268"/>
        <v>1.4905693365513379E-2</v>
      </c>
      <c r="U810">
        <f t="shared" si="269"/>
        <v>9.712137312372239E-2</v>
      </c>
      <c r="V810">
        <f t="shared" si="270"/>
        <v>5.3435504517878152E-2</v>
      </c>
      <c r="W810">
        <f t="shared" si="271"/>
        <v>9.1871569171088751E-3</v>
      </c>
      <c r="X810">
        <f t="shared" si="272"/>
        <v>0.23472248458221634</v>
      </c>
      <c r="Y810">
        <f t="shared" si="273"/>
        <v>1.874929983083444E-4</v>
      </c>
      <c r="Z810">
        <f t="shared" si="274"/>
        <v>2.9061414737793379E-3</v>
      </c>
      <c r="AA810">
        <f t="shared" si="275"/>
        <v>0.24394798381747923</v>
      </c>
      <c r="AB810">
        <f t="shared" si="276"/>
        <v>9.059399188061569E-2</v>
      </c>
      <c r="AC810">
        <f t="shared" si="277"/>
        <v>5.7501665172191213E-2</v>
      </c>
      <c r="AD810">
        <f t="shared" si="278"/>
        <v>3.1582258100049071E-3</v>
      </c>
      <c r="AE810">
        <f t="shared" si="279"/>
        <v>2.225391895521401E-2</v>
      </c>
      <c r="AG810">
        <f t="shared" si="280"/>
        <v>-0.57700258828598372</v>
      </c>
      <c r="AH810">
        <f t="shared" si="281"/>
        <v>0.43471976593374079</v>
      </c>
      <c r="AI810">
        <f t="shared" si="282"/>
        <v>1.5370340899914763</v>
      </c>
      <c r="AK810" s="26">
        <f t="shared" si="283"/>
        <v>1.9577313552554099E-2</v>
      </c>
      <c r="AL810" s="26">
        <f t="shared" si="284"/>
        <v>3.6901099954760874E-3</v>
      </c>
      <c r="AM810" s="26">
        <f t="shared" si="285"/>
        <v>1.5367645952229503E-2</v>
      </c>
      <c r="AN810" s="26">
        <f t="shared" si="286"/>
        <v>-12.754047619047626</v>
      </c>
      <c r="AO810" s="26">
        <f t="shared" si="287"/>
        <v>-14.950498712998726</v>
      </c>
      <c r="AP810" s="26">
        <f t="shared" si="288"/>
        <v>-18.368232055063942</v>
      </c>
      <c r="AS810" s="2">
        <v>44670</v>
      </c>
      <c r="AT810">
        <v>10.5</v>
      </c>
      <c r="AU810">
        <v>36.1</v>
      </c>
      <c r="AV810">
        <v>23.7</v>
      </c>
      <c r="AW810">
        <v>6.3</v>
      </c>
      <c r="AX810">
        <v>258.94</v>
      </c>
      <c r="AY810">
        <v>0.2</v>
      </c>
      <c r="AZ810">
        <v>3</v>
      </c>
      <c r="BA810">
        <v>244.5804</v>
      </c>
      <c r="BB810">
        <v>103.6117</v>
      </c>
      <c r="BC810">
        <v>82.928200000000004</v>
      </c>
      <c r="BD810">
        <v>3.0388999999999999</v>
      </c>
      <c r="BE810">
        <v>24.628299999999999</v>
      </c>
      <c r="BF810">
        <v>-22.1357</v>
      </c>
      <c r="BG810">
        <v>11.1058</v>
      </c>
      <c r="BH810">
        <v>29.86</v>
      </c>
    </row>
    <row r="811" spans="1:60" x14ac:dyDescent="0.25">
      <c r="A811" s="2">
        <v>44690</v>
      </c>
      <c r="B811">
        <v>15.3</v>
      </c>
      <c r="C811">
        <v>151.19999999999999</v>
      </c>
      <c r="D811">
        <v>7.1</v>
      </c>
      <c r="E811">
        <v>3.1</v>
      </c>
      <c r="F811">
        <v>294.97000000000003</v>
      </c>
      <c r="G811">
        <v>0.2</v>
      </c>
      <c r="H811">
        <v>2.7</v>
      </c>
      <c r="I811">
        <v>247.48099999999999</v>
      </c>
      <c r="J811">
        <v>128.02029999999999</v>
      </c>
      <c r="K811">
        <v>84.525099999999995</v>
      </c>
      <c r="L811">
        <v>3.4756999999999998</v>
      </c>
      <c r="M811">
        <v>24.309000000000001</v>
      </c>
      <c r="N811">
        <v>-29.4282</v>
      </c>
      <c r="O811">
        <v>6.7502000000000004</v>
      </c>
      <c r="P811">
        <v>37.229999999999997</v>
      </c>
      <c r="S811">
        <f t="shared" si="267"/>
        <v>962.38109999999983</v>
      </c>
      <c r="T811">
        <f t="shared" si="268"/>
        <v>1.4343214370588346E-2</v>
      </c>
      <c r="U811">
        <f t="shared" si="269"/>
        <v>0.14174470672110834</v>
      </c>
      <c r="V811">
        <f t="shared" si="270"/>
        <v>6.6560014399462252E-3</v>
      </c>
      <c r="W811">
        <f t="shared" si="271"/>
        <v>2.9061414737793379E-3</v>
      </c>
      <c r="X811">
        <f t="shared" si="272"/>
        <v>0.27652404855506174</v>
      </c>
      <c r="Y811">
        <f t="shared" si="273"/>
        <v>1.874929983083444E-4</v>
      </c>
      <c r="Z811">
        <f t="shared" si="274"/>
        <v>2.5311554771626494E-3</v>
      </c>
      <c r="AA811">
        <f t="shared" si="275"/>
        <v>0.23200477357173688</v>
      </c>
      <c r="AB811">
        <f t="shared" si="276"/>
        <v>0.12001454945666869</v>
      </c>
      <c r="AC811">
        <f t="shared" si="277"/>
        <v>7.9239322156563194E-2</v>
      </c>
      <c r="AD811">
        <f t="shared" si="278"/>
        <v>3.2583470711015626E-3</v>
      </c>
      <c r="AE811">
        <f t="shared" si="279"/>
        <v>2.278883647938772E-2</v>
      </c>
      <c r="AG811">
        <f t="shared" si="280"/>
        <v>-0.59448463183874334</v>
      </c>
      <c r="AH811">
        <f t="shared" si="281"/>
        <v>0.46768159751534272</v>
      </c>
      <c r="AI811">
        <f t="shared" si="282"/>
        <v>1.817212725266194</v>
      </c>
      <c r="AK811" s="26">
        <f t="shared" si="283"/>
        <v>1.6274843129184091E-2</v>
      </c>
      <c r="AL811" s="26">
        <f t="shared" si="284"/>
        <v>-1.633362854853937E-3</v>
      </c>
      <c r="AM811" s="26">
        <f t="shared" si="285"/>
        <v>1.4208400411684252E-2</v>
      </c>
      <c r="AN811" s="26">
        <f t="shared" si="286"/>
        <v>-12.891666666666673</v>
      </c>
      <c r="AO811" s="26">
        <f t="shared" si="287"/>
        <v>-15.085447232947249</v>
      </c>
      <c r="AP811" s="26">
        <f t="shared" si="288"/>
        <v>-18.488913667649982</v>
      </c>
      <c r="AS811" s="2">
        <v>44669</v>
      </c>
      <c r="AT811">
        <v>10.3</v>
      </c>
      <c r="AU811">
        <v>0</v>
      </c>
      <c r="AV811">
        <v>33.299999999999997</v>
      </c>
      <c r="AW811">
        <v>3.4</v>
      </c>
      <c r="AX811">
        <v>289.14</v>
      </c>
      <c r="AY811">
        <v>0.2</v>
      </c>
      <c r="AZ811">
        <v>3</v>
      </c>
      <c r="BA811">
        <v>214.4487</v>
      </c>
      <c r="BB811">
        <v>55.892600000000002</v>
      </c>
      <c r="BC811">
        <v>43.228299999999997</v>
      </c>
      <c r="BD811">
        <v>3.7911999999999999</v>
      </c>
      <c r="BE811">
        <v>19.358899999999998</v>
      </c>
      <c r="BF811">
        <v>-18.5702</v>
      </c>
      <c r="BG811">
        <v>19.600300000000001</v>
      </c>
      <c r="BH811">
        <v>29.58</v>
      </c>
    </row>
    <row r="812" spans="1:60" x14ac:dyDescent="0.25">
      <c r="A812" s="2">
        <v>44689</v>
      </c>
      <c r="B812">
        <v>15.4</v>
      </c>
      <c r="C812">
        <v>17.100000000000001</v>
      </c>
      <c r="D812">
        <v>17.2</v>
      </c>
      <c r="E812">
        <v>4.5999999999999996</v>
      </c>
      <c r="F812">
        <v>240.93</v>
      </c>
      <c r="G812">
        <v>0.2</v>
      </c>
      <c r="H812">
        <v>2.7</v>
      </c>
      <c r="I812">
        <v>236.04660000000001</v>
      </c>
      <c r="J812">
        <v>54.493499999999997</v>
      </c>
      <c r="K812">
        <v>29.881399999999999</v>
      </c>
      <c r="L812">
        <v>2.6147999999999998</v>
      </c>
      <c r="M812">
        <v>12.699400000000001</v>
      </c>
      <c r="P812">
        <v>36.79</v>
      </c>
      <c r="S812">
        <f t="shared" si="267"/>
        <v>633.86569999999995</v>
      </c>
      <c r="T812">
        <f t="shared" si="268"/>
        <v>1.4436960869742518E-2</v>
      </c>
      <c r="U812">
        <f t="shared" si="269"/>
        <v>1.6030651355363447E-2</v>
      </c>
      <c r="V812">
        <f t="shared" si="270"/>
        <v>1.6124397854517615E-2</v>
      </c>
      <c r="W812">
        <f t="shared" si="271"/>
        <v>4.3123389610919202E-3</v>
      </c>
      <c r="X812">
        <f t="shared" si="272"/>
        <v>0.22586344041214707</v>
      </c>
      <c r="Y812">
        <f t="shared" si="273"/>
        <v>1.874929983083444E-4</v>
      </c>
      <c r="Z812">
        <f t="shared" si="274"/>
        <v>2.5311554771626494E-3</v>
      </c>
      <c r="AA812">
        <f t="shared" si="275"/>
        <v>0.22128542387245223</v>
      </c>
      <c r="AB812">
        <f t="shared" si="276"/>
        <v>5.1085748516578822E-2</v>
      </c>
      <c r="AC812">
        <f t="shared" si="277"/>
        <v>2.8012766398254809E-2</v>
      </c>
      <c r="AD812">
        <f t="shared" si="278"/>
        <v>2.4512834598832941E-3</v>
      </c>
      <c r="AE812">
        <f t="shared" si="279"/>
        <v>1.1905242913584944E-2</v>
      </c>
      <c r="AG812">
        <f t="shared" si="280"/>
        <v>-0.61331553035148922</v>
      </c>
      <c r="AH812">
        <f t="shared" si="281"/>
        <v>0.29139168084191852</v>
      </c>
      <c r="AI812">
        <f t="shared" si="282"/>
        <v>0.3675609847164093</v>
      </c>
      <c r="AK812" s="26">
        <f t="shared" si="283"/>
        <v>1.3159111268010115E-2</v>
      </c>
      <c r="AL812" s="26">
        <f t="shared" si="284"/>
        <v>-5.2889732789966892E-3</v>
      </c>
      <c r="AM812" s="26">
        <f t="shared" si="285"/>
        <v>1.2791731291085434E-2</v>
      </c>
      <c r="AN812" s="26">
        <f t="shared" si="286"/>
        <v>-13.035476190476189</v>
      </c>
      <c r="AO812" s="26">
        <f t="shared" si="287"/>
        <v>-15.220037001287022</v>
      </c>
      <c r="AP812" s="26">
        <f t="shared" si="288"/>
        <v>-18.610569911504452</v>
      </c>
      <c r="AS812" s="2">
        <v>44668</v>
      </c>
      <c r="AT812">
        <v>11</v>
      </c>
      <c r="AU812">
        <v>0</v>
      </c>
      <c r="AV812">
        <v>22.8</v>
      </c>
      <c r="AW812">
        <v>3.8</v>
      </c>
      <c r="AX812">
        <v>286.89999999999998</v>
      </c>
      <c r="AY812">
        <v>0.2</v>
      </c>
      <c r="AZ812">
        <v>3.2</v>
      </c>
      <c r="BA812">
        <v>203.29769999999999</v>
      </c>
      <c r="BB812">
        <v>48.4572</v>
      </c>
      <c r="BC812">
        <v>32.937899999999999</v>
      </c>
      <c r="BD812">
        <v>3.6941999999999999</v>
      </c>
      <c r="BE812">
        <v>18.031500000000001</v>
      </c>
      <c r="BH812">
        <v>29.17</v>
      </c>
    </row>
    <row r="813" spans="1:60" x14ac:dyDescent="0.25">
      <c r="A813" s="2">
        <v>44688</v>
      </c>
      <c r="C813">
        <v>5.3</v>
      </c>
      <c r="F813">
        <v>217.82</v>
      </c>
      <c r="K813">
        <v>44.2318</v>
      </c>
      <c r="P813">
        <v>36.28</v>
      </c>
      <c r="S813">
        <f t="shared" si="267"/>
        <v>267.35180000000003</v>
      </c>
      <c r="T813">
        <f t="shared" si="268"/>
        <v>0</v>
      </c>
      <c r="U813">
        <f t="shared" si="269"/>
        <v>4.9685644551711256E-3</v>
      </c>
      <c r="V813">
        <f t="shared" si="270"/>
        <v>0</v>
      </c>
      <c r="W813">
        <f t="shared" si="271"/>
        <v>0</v>
      </c>
      <c r="X813">
        <f t="shared" si="272"/>
        <v>0.20419862445761786</v>
      </c>
      <c r="Y813">
        <f t="shared" si="273"/>
        <v>0</v>
      </c>
      <c r="Z813">
        <f t="shared" si="274"/>
        <v>0</v>
      </c>
      <c r="AA813">
        <f t="shared" si="275"/>
        <v>0</v>
      </c>
      <c r="AB813">
        <f t="shared" si="276"/>
        <v>0</v>
      </c>
      <c r="AC813">
        <f t="shared" si="277"/>
        <v>4.1465764012875134E-2</v>
      </c>
      <c r="AD813">
        <f t="shared" si="278"/>
        <v>0</v>
      </c>
      <c r="AE813">
        <f t="shared" si="279"/>
        <v>0</v>
      </c>
      <c r="AG813">
        <f t="shared" si="280"/>
        <v>-0.63525790308022112</v>
      </c>
      <c r="AH813">
        <f t="shared" si="281"/>
        <v>0.20916718891278899</v>
      </c>
      <c r="AI813">
        <f t="shared" si="282"/>
        <v>-0.31353127987548646</v>
      </c>
      <c r="AK813" s="26">
        <f t="shared" si="283"/>
        <v>1.7501105371667824E-2</v>
      </c>
      <c r="AL813" s="26">
        <f t="shared" si="284"/>
        <v>-4.150482614005524E-3</v>
      </c>
      <c r="AM813" s="26">
        <f t="shared" si="285"/>
        <v>1.2384376794527863E-2</v>
      </c>
      <c r="AN813" s="26">
        <f t="shared" si="286"/>
        <v>-13.187142857142852</v>
      </c>
      <c r="AO813" s="26">
        <f t="shared" si="287"/>
        <v>-15.353825611325622</v>
      </c>
      <c r="AP813" s="26">
        <f t="shared" si="288"/>
        <v>-18.733818289085573</v>
      </c>
      <c r="AS813" s="2">
        <v>44667</v>
      </c>
      <c r="AU813">
        <v>1.2</v>
      </c>
      <c r="AX813">
        <v>249.71</v>
      </c>
      <c r="BC813">
        <v>39.5259</v>
      </c>
      <c r="BH813">
        <v>28.73</v>
      </c>
    </row>
    <row r="814" spans="1:60" x14ac:dyDescent="0.25">
      <c r="A814" s="2">
        <v>44687</v>
      </c>
      <c r="C814">
        <v>17.399999999999999</v>
      </c>
      <c r="F814">
        <v>211.27</v>
      </c>
      <c r="K814">
        <v>103.5188</v>
      </c>
      <c r="N814">
        <v>-36.064</v>
      </c>
      <c r="O814">
        <v>8.2980999999999998</v>
      </c>
      <c r="P814">
        <v>35.76</v>
      </c>
      <c r="S814">
        <f t="shared" si="267"/>
        <v>332.18880000000001</v>
      </c>
      <c r="T814">
        <f t="shared" si="268"/>
        <v>0</v>
      </c>
      <c r="U814">
        <f t="shared" si="269"/>
        <v>1.6311890852825958E-2</v>
      </c>
      <c r="V814">
        <f t="shared" si="270"/>
        <v>0</v>
      </c>
      <c r="W814">
        <f t="shared" si="271"/>
        <v>0</v>
      </c>
      <c r="X814">
        <f t="shared" si="272"/>
        <v>0.19805822876301959</v>
      </c>
      <c r="Y814">
        <f t="shared" si="273"/>
        <v>0</v>
      </c>
      <c r="Z814">
        <f t="shared" si="274"/>
        <v>0</v>
      </c>
      <c r="AA814">
        <f t="shared" si="275"/>
        <v>0</v>
      </c>
      <c r="AB814">
        <f t="shared" si="276"/>
        <v>0</v>
      </c>
      <c r="AC814">
        <f t="shared" si="277"/>
        <v>9.7045250966409202E-2</v>
      </c>
      <c r="AD814">
        <f t="shared" si="278"/>
        <v>0</v>
      </c>
      <c r="AE814">
        <f t="shared" si="279"/>
        <v>0</v>
      </c>
      <c r="AG814">
        <f t="shared" si="280"/>
        <v>-0.65770285070851953</v>
      </c>
      <c r="AH814">
        <f t="shared" si="281"/>
        <v>0.21437011961584557</v>
      </c>
      <c r="AI814">
        <f t="shared" si="282"/>
        <v>-0.2713827854786216</v>
      </c>
      <c r="AK814" s="26">
        <f t="shared" si="283"/>
        <v>1.7577111461886785E-2</v>
      </c>
      <c r="AL814" s="26">
        <f t="shared" si="284"/>
        <v>-1.295815855877569E-3</v>
      </c>
      <c r="AM814" s="26">
        <f t="shared" si="285"/>
        <v>1.284868371072867E-2</v>
      </c>
      <c r="AN814" s="26">
        <f t="shared" si="286"/>
        <v>-13.34095238095238</v>
      </c>
      <c r="AO814" s="26">
        <f t="shared" si="287"/>
        <v>-15.483463642213657</v>
      </c>
      <c r="AP814" s="26">
        <f t="shared" si="288"/>
        <v>-18.855686529006917</v>
      </c>
      <c r="AS814" s="2">
        <v>44666</v>
      </c>
      <c r="AU814">
        <v>34.1</v>
      </c>
      <c r="AX814">
        <v>153.38</v>
      </c>
      <c r="BC814">
        <v>57.674799999999998</v>
      </c>
      <c r="BF814">
        <v>-49.717700000000001</v>
      </c>
      <c r="BG814">
        <v>-7.6806000000000001</v>
      </c>
      <c r="BH814">
        <v>28.31</v>
      </c>
    </row>
    <row r="815" spans="1:60" x14ac:dyDescent="0.25">
      <c r="A815" s="2">
        <v>44686</v>
      </c>
      <c r="B815">
        <v>14.3</v>
      </c>
      <c r="C815">
        <v>169.8</v>
      </c>
      <c r="D815">
        <v>4.0999999999999996</v>
      </c>
      <c r="E815">
        <v>2</v>
      </c>
      <c r="F815">
        <v>214.41</v>
      </c>
      <c r="G815">
        <v>0.2</v>
      </c>
      <c r="H815">
        <v>3.2</v>
      </c>
      <c r="I815">
        <v>271.8306</v>
      </c>
      <c r="J815">
        <v>172.35659999999999</v>
      </c>
      <c r="K815">
        <v>107.37220000000001</v>
      </c>
      <c r="L815">
        <v>2.5947</v>
      </c>
      <c r="M815">
        <v>18.8582</v>
      </c>
      <c r="N815">
        <v>-36.189900000000002</v>
      </c>
      <c r="O815">
        <v>18.717199999999998</v>
      </c>
      <c r="P815">
        <v>35.340000000000003</v>
      </c>
      <c r="S815">
        <f t="shared" si="267"/>
        <v>981.02229999999997</v>
      </c>
      <c r="T815">
        <f t="shared" si="268"/>
        <v>1.3405749379046624E-2</v>
      </c>
      <c r="U815">
        <f t="shared" si="269"/>
        <v>0.15918155556378438</v>
      </c>
      <c r="V815">
        <f t="shared" si="270"/>
        <v>3.8436064653210593E-3</v>
      </c>
      <c r="W815">
        <f t="shared" si="271"/>
        <v>1.8749299830834439E-3</v>
      </c>
      <c r="X815">
        <f t="shared" si="272"/>
        <v>0.2010018688364606</v>
      </c>
      <c r="Y815">
        <f t="shared" si="273"/>
        <v>1.874929983083444E-4</v>
      </c>
      <c r="Z815">
        <f t="shared" si="274"/>
        <v>2.9998879729335104E-3</v>
      </c>
      <c r="AA815">
        <f t="shared" si="275"/>
        <v>0.25483167112978117</v>
      </c>
      <c r="AB815">
        <f t="shared" si="276"/>
        <v>0.16157827856115994</v>
      </c>
      <c r="AC815">
        <f t="shared" si="277"/>
        <v>0.10065767856481608</v>
      </c>
      <c r="AD815">
        <f t="shared" si="278"/>
        <v>2.4324404135533059E-3</v>
      </c>
      <c r="AE815">
        <f t="shared" si="279"/>
        <v>1.7678902303492099E-2</v>
      </c>
      <c r="AG815">
        <f t="shared" si="280"/>
        <v>-0.67584066907556717</v>
      </c>
      <c r="AH815">
        <f t="shared" si="281"/>
        <v>0.40017399350243005</v>
      </c>
      <c r="AI815">
        <f t="shared" si="282"/>
        <v>1.2671074078801616</v>
      </c>
      <c r="AK815" s="26">
        <f t="shared" si="283"/>
        <v>1.9146416697430058E-2</v>
      </c>
      <c r="AL815" s="26">
        <f t="shared" si="284"/>
        <v>2.9415307470471164E-3</v>
      </c>
      <c r="AM815" s="26">
        <f t="shared" si="285"/>
        <v>1.4006297652911975E-2</v>
      </c>
      <c r="AN815" s="26">
        <f t="shared" si="286"/>
        <v>-13.497380952380961</v>
      </c>
      <c r="AO815" s="26">
        <f t="shared" si="287"/>
        <v>-15.609222972972994</v>
      </c>
      <c r="AP815" s="26">
        <f t="shared" si="288"/>
        <v>-18.974091642084591</v>
      </c>
      <c r="AS815" s="2">
        <v>44665</v>
      </c>
      <c r="AT815">
        <v>13.3</v>
      </c>
      <c r="AU815">
        <v>0.6</v>
      </c>
      <c r="AV815">
        <v>30.9</v>
      </c>
      <c r="AW815">
        <v>5.3</v>
      </c>
      <c r="AX815">
        <v>188.62</v>
      </c>
      <c r="AY815">
        <v>0.2</v>
      </c>
      <c r="AZ815">
        <v>3.2</v>
      </c>
      <c r="BA815">
        <v>249.89959999999999</v>
      </c>
      <c r="BB815">
        <v>154.5164</v>
      </c>
      <c r="BC815">
        <v>89.838300000000004</v>
      </c>
      <c r="BD815">
        <v>3.6655000000000002</v>
      </c>
      <c r="BE815">
        <v>21.441700000000001</v>
      </c>
      <c r="BF815">
        <v>-20.764199999999999</v>
      </c>
      <c r="BG815">
        <v>17.875800000000002</v>
      </c>
      <c r="BH815">
        <v>27.9</v>
      </c>
    </row>
    <row r="816" spans="1:60" x14ac:dyDescent="0.25">
      <c r="A816" s="2">
        <v>44685</v>
      </c>
      <c r="B816">
        <v>13.5</v>
      </c>
      <c r="C816">
        <v>169.4</v>
      </c>
      <c r="D816">
        <v>2</v>
      </c>
      <c r="E816">
        <v>1.7</v>
      </c>
      <c r="F816">
        <v>222.67</v>
      </c>
      <c r="G816">
        <v>0.2</v>
      </c>
      <c r="H816">
        <v>3.2</v>
      </c>
      <c r="I816">
        <v>271.30259999999998</v>
      </c>
      <c r="J816">
        <v>177.8648</v>
      </c>
      <c r="K816">
        <v>117.6237</v>
      </c>
      <c r="L816">
        <v>2.2593000000000001</v>
      </c>
      <c r="M816">
        <v>22.501100000000001</v>
      </c>
      <c r="N816">
        <v>-34.968699999999998</v>
      </c>
      <c r="O816">
        <v>18.736999999999998</v>
      </c>
      <c r="P816">
        <v>34.93</v>
      </c>
      <c r="S816">
        <f t="shared" si="267"/>
        <v>1004.2214999999999</v>
      </c>
      <c r="T816">
        <f t="shared" si="268"/>
        <v>1.2655777385813246E-2</v>
      </c>
      <c r="U816">
        <f t="shared" si="269"/>
        <v>0.15880656956716771</v>
      </c>
      <c r="V816">
        <f t="shared" si="270"/>
        <v>1.8749299830834439E-3</v>
      </c>
      <c r="W816">
        <f t="shared" si="271"/>
        <v>1.5936904856209272E-3</v>
      </c>
      <c r="X816">
        <f t="shared" si="272"/>
        <v>0.2087453296665952</v>
      </c>
      <c r="Y816">
        <f t="shared" si="273"/>
        <v>1.874929983083444E-4</v>
      </c>
      <c r="Z816">
        <f t="shared" si="274"/>
        <v>2.9998879729335104E-3</v>
      </c>
      <c r="AA816">
        <f t="shared" si="275"/>
        <v>0.25433668961424716</v>
      </c>
      <c r="AB816">
        <f t="shared" si="276"/>
        <v>0.16674202322757006</v>
      </c>
      <c r="AC816">
        <f t="shared" si="277"/>
        <v>0.11026810092560603</v>
      </c>
      <c r="AD816">
        <f t="shared" si="278"/>
        <v>2.1180146553902122E-3</v>
      </c>
      <c r="AE816">
        <f t="shared" si="279"/>
        <v>2.1093993521179438E-2</v>
      </c>
      <c r="AG816">
        <f t="shared" si="280"/>
        <v>-0.69362164692257156</v>
      </c>
      <c r="AH816">
        <f t="shared" si="281"/>
        <v>0.40795767158070184</v>
      </c>
      <c r="AI816">
        <f t="shared" si="282"/>
        <v>1.3350117755727398</v>
      </c>
      <c r="AK816" s="26">
        <f t="shared" si="283"/>
        <v>1.0853527724288381E-2</v>
      </c>
      <c r="AL816" s="26">
        <f t="shared" si="284"/>
        <v>2.4063733368027695E-3</v>
      </c>
      <c r="AM816" s="26">
        <f t="shared" si="285"/>
        <v>1.237282757980121E-2</v>
      </c>
      <c r="AN816" s="26">
        <f t="shared" si="286"/>
        <v>-13.661190476190477</v>
      </c>
      <c r="AO816" s="26">
        <f t="shared" si="287"/>
        <v>-15.732815315315325</v>
      </c>
      <c r="AP816" s="26">
        <f t="shared" si="288"/>
        <v>-19.080230088495604</v>
      </c>
      <c r="AS816" s="2">
        <v>44664</v>
      </c>
      <c r="AT816">
        <v>11.7</v>
      </c>
      <c r="AU816">
        <v>81.8</v>
      </c>
      <c r="AV816">
        <v>37</v>
      </c>
      <c r="AW816">
        <v>5.7</v>
      </c>
      <c r="AX816">
        <v>228.46</v>
      </c>
      <c r="AY816">
        <v>0.2</v>
      </c>
      <c r="AZ816">
        <v>3</v>
      </c>
      <c r="BA816">
        <v>234.55670000000001</v>
      </c>
      <c r="BB816">
        <v>153.78020000000001</v>
      </c>
      <c r="BC816">
        <v>92.873900000000006</v>
      </c>
      <c r="BD816">
        <v>4.0631000000000004</v>
      </c>
      <c r="BE816">
        <v>33.331099999999999</v>
      </c>
      <c r="BF816">
        <v>-26.104600000000001</v>
      </c>
      <c r="BG816">
        <v>32.532699999999998</v>
      </c>
      <c r="BH816">
        <v>27.29</v>
      </c>
    </row>
    <row r="817" spans="1:60" x14ac:dyDescent="0.25">
      <c r="A817" s="2">
        <v>44684</v>
      </c>
      <c r="B817">
        <v>12.7</v>
      </c>
      <c r="C817">
        <v>127.9</v>
      </c>
      <c r="D817">
        <v>20.9</v>
      </c>
      <c r="E817">
        <v>4.2</v>
      </c>
      <c r="F817">
        <v>251.25</v>
      </c>
      <c r="G817">
        <v>0.2</v>
      </c>
      <c r="H817">
        <v>3</v>
      </c>
      <c r="I817">
        <v>271.38749999999999</v>
      </c>
      <c r="J817">
        <v>170.80779999999999</v>
      </c>
      <c r="K817">
        <v>99.204499999999996</v>
      </c>
      <c r="L817">
        <v>1.3816999999999999</v>
      </c>
      <c r="M817">
        <v>15.7293</v>
      </c>
      <c r="N817">
        <v>-37.453200000000002</v>
      </c>
      <c r="O817">
        <v>19.552900000000001</v>
      </c>
      <c r="P817">
        <v>34.54</v>
      </c>
      <c r="S817">
        <f t="shared" si="267"/>
        <v>978.66079999999999</v>
      </c>
      <c r="T817">
        <f t="shared" si="268"/>
        <v>1.1905805392579868E-2</v>
      </c>
      <c r="U817">
        <f t="shared" si="269"/>
        <v>0.11990177241818624</v>
      </c>
      <c r="V817">
        <f t="shared" si="270"/>
        <v>1.9593018323221988E-2</v>
      </c>
      <c r="W817">
        <f t="shared" si="271"/>
        <v>3.9373529644752322E-3</v>
      </c>
      <c r="X817">
        <f t="shared" si="272"/>
        <v>0.23553807912485764</v>
      </c>
      <c r="Y817">
        <f t="shared" si="273"/>
        <v>1.874929983083444E-4</v>
      </c>
      <c r="Z817">
        <f t="shared" si="274"/>
        <v>2.8123949746251659E-3</v>
      </c>
      <c r="AA817">
        <f t="shared" si="275"/>
        <v>0.25441628039202907</v>
      </c>
      <c r="AB817">
        <f t="shared" si="276"/>
        <v>0.16012633278226013</v>
      </c>
      <c r="AC817">
        <f t="shared" si="277"/>
        <v>9.3000745753400754E-2</v>
      </c>
      <c r="AD817">
        <f t="shared" si="278"/>
        <v>1.2952953788131971E-3</v>
      </c>
      <c r="AE817">
        <f t="shared" si="279"/>
        <v>1.4745668091457206E-2</v>
      </c>
      <c r="AG817">
        <f t="shared" si="280"/>
        <v>-0.71060120103018354</v>
      </c>
      <c r="AH817">
        <f t="shared" si="281"/>
        <v>0.40862158428771167</v>
      </c>
      <c r="AI817">
        <f t="shared" si="282"/>
        <v>1.3476326549955615</v>
      </c>
      <c r="AK817" s="26">
        <f t="shared" si="283"/>
        <v>1.0614329067577477E-2</v>
      </c>
      <c r="AL817" s="26">
        <f t="shared" si="284"/>
        <v>1.7164368218173243E-3</v>
      </c>
      <c r="AM817" s="26">
        <f t="shared" si="285"/>
        <v>1.1317856696134165E-2</v>
      </c>
      <c r="AN817" s="26">
        <f t="shared" si="286"/>
        <v>-13.845476190476198</v>
      </c>
      <c r="AO817" s="26">
        <f t="shared" si="287"/>
        <v>-15.857659266409275</v>
      </c>
      <c r="AP817" s="26">
        <f t="shared" si="288"/>
        <v>-19.194457817109168</v>
      </c>
      <c r="AS817" s="2">
        <v>44663</v>
      </c>
      <c r="AT817">
        <v>11.7</v>
      </c>
      <c r="AU817">
        <v>71.599999999999994</v>
      </c>
      <c r="AV817">
        <v>59.5</v>
      </c>
      <c r="AW817">
        <v>11.3</v>
      </c>
      <c r="AX817">
        <v>253.09</v>
      </c>
      <c r="AY817">
        <v>0.2</v>
      </c>
      <c r="AZ817">
        <v>3</v>
      </c>
      <c r="BA817">
        <v>251.95269999999999</v>
      </c>
      <c r="BB817">
        <v>128.16820000000001</v>
      </c>
      <c r="BC817">
        <v>66.192599999999999</v>
      </c>
      <c r="BD817">
        <v>3.6583000000000001</v>
      </c>
      <c r="BE817">
        <v>31.016300000000001</v>
      </c>
      <c r="BF817">
        <v>-26.563099999999999</v>
      </c>
      <c r="BG817">
        <v>26.139800000000001</v>
      </c>
      <c r="BH817">
        <v>27.33</v>
      </c>
    </row>
    <row r="818" spans="1:60" x14ac:dyDescent="0.25">
      <c r="A818" s="2">
        <v>44683</v>
      </c>
      <c r="B818">
        <v>12.8</v>
      </c>
      <c r="C818">
        <v>0</v>
      </c>
      <c r="D818">
        <v>5.2</v>
      </c>
      <c r="E818">
        <v>2.2000000000000002</v>
      </c>
      <c r="F818">
        <v>255.84</v>
      </c>
      <c r="G818">
        <v>0.2</v>
      </c>
      <c r="H818">
        <v>3</v>
      </c>
      <c r="I818">
        <v>257.65719999999999</v>
      </c>
      <c r="J818">
        <v>156.41640000000001</v>
      </c>
      <c r="K818">
        <v>64.802700000000002</v>
      </c>
      <c r="L818">
        <v>2.2183000000000002</v>
      </c>
      <c r="M818">
        <v>14.4824</v>
      </c>
      <c r="N818">
        <v>16.0381</v>
      </c>
      <c r="O818">
        <v>27.496200000000002</v>
      </c>
      <c r="P818">
        <v>34.14</v>
      </c>
      <c r="S818">
        <f t="shared" si="267"/>
        <v>774.81699999999989</v>
      </c>
      <c r="T818">
        <f t="shared" si="268"/>
        <v>1.1999551891734041E-2</v>
      </c>
      <c r="U818">
        <f t="shared" si="269"/>
        <v>0</v>
      </c>
      <c r="V818">
        <f t="shared" si="270"/>
        <v>4.874817956016954E-3</v>
      </c>
      <c r="W818">
        <f t="shared" si="271"/>
        <v>2.0624229813917885E-3</v>
      </c>
      <c r="X818">
        <f t="shared" si="272"/>
        <v>0.23984104343603413</v>
      </c>
      <c r="Y818">
        <f t="shared" si="273"/>
        <v>1.874929983083444E-4</v>
      </c>
      <c r="Z818">
        <f t="shared" si="274"/>
        <v>2.8123949746251659E-3</v>
      </c>
      <c r="AA818">
        <f t="shared" si="275"/>
        <v>0.24154460481866374</v>
      </c>
      <c r="AB818">
        <f t="shared" si="276"/>
        <v>0.1466348991029866</v>
      </c>
      <c r="AC818">
        <f t="shared" si="277"/>
        <v>6.0750262607380742E-2</v>
      </c>
      <c r="AD818">
        <f t="shared" si="278"/>
        <v>2.0795785907370017E-3</v>
      </c>
      <c r="AE818">
        <f t="shared" si="279"/>
        <v>1.3576742993503834E-2</v>
      </c>
      <c r="AG818">
        <f t="shared" si="280"/>
        <v>-0.72808851393524487</v>
      </c>
      <c r="AH818">
        <f t="shared" si="281"/>
        <v>0.27535446723161422</v>
      </c>
      <c r="AI818">
        <f t="shared" si="282"/>
        <v>0.24339168601073494</v>
      </c>
      <c r="AK818" s="26">
        <f t="shared" si="283"/>
        <v>3.6715727111351071E-3</v>
      </c>
      <c r="AL818" s="26">
        <f t="shared" si="284"/>
        <v>-8.0710039495557329E-4</v>
      </c>
      <c r="AM818" s="26">
        <f t="shared" si="285"/>
        <v>9.5393149572099711E-3</v>
      </c>
      <c r="AN818" s="26">
        <f t="shared" si="286"/>
        <v>-14.015000000000001</v>
      </c>
      <c r="AO818" s="26">
        <f t="shared" si="287"/>
        <v>-15.982155727155728</v>
      </c>
      <c r="AP818" s="26">
        <f t="shared" si="288"/>
        <v>-19.306106981317619</v>
      </c>
      <c r="AS818" s="2">
        <v>44662</v>
      </c>
      <c r="AT818">
        <v>11.8</v>
      </c>
      <c r="AU818">
        <v>2.7</v>
      </c>
      <c r="AV818">
        <v>17.3</v>
      </c>
      <c r="AW818">
        <v>4.2</v>
      </c>
      <c r="AX818">
        <v>268.66000000000003</v>
      </c>
      <c r="AY818">
        <v>0.2</v>
      </c>
      <c r="AZ818">
        <v>2.9</v>
      </c>
      <c r="BA818">
        <v>280.61720000000003</v>
      </c>
      <c r="BB818">
        <v>170.13939999999999</v>
      </c>
      <c r="BC818">
        <v>87.186199999999999</v>
      </c>
      <c r="BD818">
        <v>3.6419999999999999</v>
      </c>
      <c r="BE818">
        <v>35.856400000000001</v>
      </c>
      <c r="BF818">
        <v>-14.2179</v>
      </c>
      <c r="BG818">
        <v>42.3628</v>
      </c>
      <c r="BH818">
        <v>27.1</v>
      </c>
    </row>
    <row r="819" spans="1:60" x14ac:dyDescent="0.25">
      <c r="A819" s="2">
        <v>44682</v>
      </c>
      <c r="B819">
        <v>13.6</v>
      </c>
      <c r="C819">
        <v>1.5</v>
      </c>
      <c r="D819">
        <v>0.5</v>
      </c>
      <c r="E819">
        <v>2.1</v>
      </c>
      <c r="F819">
        <v>185.11</v>
      </c>
      <c r="G819">
        <v>0.2</v>
      </c>
      <c r="H819">
        <v>3</v>
      </c>
      <c r="I819">
        <v>259.85629999999998</v>
      </c>
      <c r="J819">
        <v>99.6631</v>
      </c>
      <c r="K819">
        <v>41.421399999999998</v>
      </c>
      <c r="L819">
        <v>2.6191</v>
      </c>
      <c r="M819">
        <v>9.4989000000000008</v>
      </c>
      <c r="P819">
        <v>33.75</v>
      </c>
      <c r="S819">
        <f t="shared" si="267"/>
        <v>619.06880000000001</v>
      </c>
      <c r="T819">
        <f t="shared" si="268"/>
        <v>1.2749523884967418E-2</v>
      </c>
      <c r="U819">
        <f t="shared" si="269"/>
        <v>1.406197487312583E-3</v>
      </c>
      <c r="V819">
        <f t="shared" si="270"/>
        <v>4.6873249577086097E-4</v>
      </c>
      <c r="W819">
        <f t="shared" si="271"/>
        <v>1.9686764822376161E-3</v>
      </c>
      <c r="X819">
        <f t="shared" si="272"/>
        <v>0.17353414458428815</v>
      </c>
      <c r="Y819">
        <f t="shared" si="273"/>
        <v>1.874929983083444E-4</v>
      </c>
      <c r="Z819">
        <f t="shared" si="274"/>
        <v>2.8123949746251659E-3</v>
      </c>
      <c r="AA819">
        <f t="shared" si="275"/>
        <v>0.24360618408156312</v>
      </c>
      <c r="AB819">
        <f t="shared" si="276"/>
        <v>9.3430667198521791E-2</v>
      </c>
      <c r="AC819">
        <f t="shared" si="277"/>
        <v>3.8831112400646281E-2</v>
      </c>
      <c r="AD819">
        <f t="shared" si="278"/>
        <v>2.4553145593469239E-3</v>
      </c>
      <c r="AE819">
        <f t="shared" si="279"/>
        <v>8.9048862081556636E-3</v>
      </c>
      <c r="AG819">
        <f t="shared" si="280"/>
        <v>-0.74520788126714965</v>
      </c>
      <c r="AH819">
        <f t="shared" si="281"/>
        <v>0.20203204911566577</v>
      </c>
      <c r="AI819">
        <f t="shared" si="282"/>
        <v>-0.36571642169896351</v>
      </c>
      <c r="AK819" s="26">
        <f t="shared" si="283"/>
        <v>6.4428308291075709E-3</v>
      </c>
      <c r="AL819" s="26">
        <f t="shared" si="284"/>
        <v>-9.833424409504965E-4</v>
      </c>
      <c r="AM819" s="26">
        <f t="shared" si="285"/>
        <v>9.4536806661774941E-3</v>
      </c>
      <c r="AN819" s="26">
        <f t="shared" si="286"/>
        <v>-14.181666666666665</v>
      </c>
      <c r="AO819" s="26">
        <f t="shared" si="287"/>
        <v>-16.103342985842975</v>
      </c>
      <c r="AP819" s="26">
        <f t="shared" si="288"/>
        <v>-19.415623205506414</v>
      </c>
      <c r="AS819" s="2">
        <v>44661</v>
      </c>
      <c r="AT819">
        <v>12.5</v>
      </c>
      <c r="AU819">
        <v>35.299999999999997</v>
      </c>
      <c r="AV819">
        <v>64.900000000000006</v>
      </c>
      <c r="AW819">
        <v>15.6</v>
      </c>
      <c r="AX819">
        <v>183.21</v>
      </c>
      <c r="AY819">
        <v>0.2</v>
      </c>
      <c r="AZ819">
        <v>2.9</v>
      </c>
      <c r="BA819">
        <v>145.88929999999999</v>
      </c>
      <c r="BB819">
        <v>81.082599999999999</v>
      </c>
      <c r="BC819">
        <v>43.549700000000001</v>
      </c>
      <c r="BD819">
        <v>3.6124999999999998</v>
      </c>
      <c r="BE819">
        <v>14.242599999999999</v>
      </c>
      <c r="BH819">
        <v>26.99</v>
      </c>
    </row>
    <row r="820" spans="1:60" x14ac:dyDescent="0.25">
      <c r="A820" s="2">
        <v>44681</v>
      </c>
      <c r="C820">
        <v>5.2</v>
      </c>
      <c r="F820">
        <v>181.64</v>
      </c>
      <c r="K820">
        <v>46.930500000000002</v>
      </c>
      <c r="P820">
        <v>33.29</v>
      </c>
      <c r="S820">
        <f t="shared" si="267"/>
        <v>233.77049999999997</v>
      </c>
      <c r="T820">
        <f t="shared" si="268"/>
        <v>0</v>
      </c>
      <c r="U820">
        <f t="shared" si="269"/>
        <v>4.874817956016954E-3</v>
      </c>
      <c r="V820">
        <f t="shared" si="270"/>
        <v>0</v>
      </c>
      <c r="W820">
        <f t="shared" si="271"/>
        <v>0</v>
      </c>
      <c r="X820">
        <f t="shared" si="272"/>
        <v>0.17028114106363834</v>
      </c>
      <c r="Y820">
        <f t="shared" si="273"/>
        <v>0</v>
      </c>
      <c r="Z820">
        <f t="shared" si="274"/>
        <v>0</v>
      </c>
      <c r="AA820">
        <f t="shared" si="275"/>
        <v>0</v>
      </c>
      <c r="AB820">
        <f t="shared" si="276"/>
        <v>0</v>
      </c>
      <c r="AC820">
        <f t="shared" si="277"/>
        <v>4.3995700785548784E-2</v>
      </c>
      <c r="AD820">
        <f t="shared" si="278"/>
        <v>0</v>
      </c>
      <c r="AE820">
        <f t="shared" si="279"/>
        <v>0</v>
      </c>
      <c r="AG820">
        <f t="shared" si="280"/>
        <v>-0.76547634703921597</v>
      </c>
      <c r="AH820">
        <f t="shared" si="281"/>
        <v>0.17515595901965531</v>
      </c>
      <c r="AI820">
        <f t="shared" si="282"/>
        <v>-0.589467300160195</v>
      </c>
      <c r="AK820" s="26">
        <f t="shared" si="283"/>
        <v>9.5507571781972E-3</v>
      </c>
      <c r="AL820" s="26">
        <f t="shared" si="284"/>
        <v>2.4659682246024328E-3</v>
      </c>
      <c r="AM820" s="26">
        <f t="shared" si="285"/>
        <v>1.0288061454172603E-2</v>
      </c>
      <c r="AN820" s="26">
        <f t="shared" si="286"/>
        <v>-14.349523809523802</v>
      </c>
      <c r="AO820" s="26">
        <f t="shared" si="287"/>
        <v>-16.223843307593299</v>
      </c>
      <c r="AP820" s="26">
        <f t="shared" si="288"/>
        <v>-19.528682792527064</v>
      </c>
      <c r="AS820" s="2">
        <v>44660</v>
      </c>
      <c r="AT820">
        <v>13.8</v>
      </c>
      <c r="AU820">
        <v>2.2000000000000002</v>
      </c>
      <c r="AV820">
        <v>73</v>
      </c>
      <c r="AW820">
        <v>15.6</v>
      </c>
      <c r="AX820">
        <v>170.08</v>
      </c>
      <c r="AY820">
        <v>0.2</v>
      </c>
      <c r="AZ820">
        <v>3</v>
      </c>
      <c r="BA820">
        <v>166.40880000000001</v>
      </c>
      <c r="BB820">
        <v>77.014300000000006</v>
      </c>
      <c r="BC820">
        <v>42.971200000000003</v>
      </c>
      <c r="BD820">
        <v>3.6631</v>
      </c>
      <c r="BE820">
        <v>19.1129</v>
      </c>
      <c r="BH820">
        <v>26.77</v>
      </c>
    </row>
    <row r="821" spans="1:60" x14ac:dyDescent="0.25">
      <c r="A821" s="2">
        <v>44680</v>
      </c>
      <c r="C821">
        <v>11.1</v>
      </c>
      <c r="F821">
        <v>245.03</v>
      </c>
      <c r="K821">
        <v>93.360900000000001</v>
      </c>
      <c r="N821">
        <v>-28.93</v>
      </c>
      <c r="O821">
        <v>31.175599999999999</v>
      </c>
      <c r="P821">
        <v>32.9</v>
      </c>
      <c r="S821">
        <f t="shared" si="267"/>
        <v>349.49090000000001</v>
      </c>
      <c r="T821">
        <f t="shared" si="268"/>
        <v>0</v>
      </c>
      <c r="U821">
        <f t="shared" si="269"/>
        <v>1.0405861406113113E-2</v>
      </c>
      <c r="V821">
        <f t="shared" si="270"/>
        <v>0</v>
      </c>
      <c r="W821">
        <f t="shared" si="271"/>
        <v>0</v>
      </c>
      <c r="X821">
        <f t="shared" si="272"/>
        <v>0.22970704687746812</v>
      </c>
      <c r="Y821">
        <f t="shared" si="273"/>
        <v>0</v>
      </c>
      <c r="Z821">
        <f t="shared" si="274"/>
        <v>0</v>
      </c>
      <c r="AA821">
        <f t="shared" si="275"/>
        <v>0</v>
      </c>
      <c r="AB821">
        <f t="shared" si="276"/>
        <v>0</v>
      </c>
      <c r="AC821">
        <f t="shared" si="277"/>
        <v>8.752257532882754E-2</v>
      </c>
      <c r="AD821">
        <f t="shared" si="278"/>
        <v>0</v>
      </c>
      <c r="AE821">
        <f t="shared" si="279"/>
        <v>0</v>
      </c>
      <c r="AG821">
        <f t="shared" si="280"/>
        <v>-0.78273535936238903</v>
      </c>
      <c r="AH821">
        <f t="shared" si="281"/>
        <v>0.24011290828358123</v>
      </c>
      <c r="AI821">
        <f t="shared" si="282"/>
        <v>-4.9210958573906977E-2</v>
      </c>
      <c r="AK821" s="26">
        <f t="shared" si="283"/>
        <v>1.166729197813654E-2</v>
      </c>
      <c r="AL821" s="26">
        <f t="shared" si="284"/>
        <v>4.7813468296634687E-3</v>
      </c>
      <c r="AM821" s="26">
        <f t="shared" si="285"/>
        <v>1.0938983447926903E-2</v>
      </c>
      <c r="AN821" s="26">
        <f t="shared" si="286"/>
        <v>-14.505238095238088</v>
      </c>
      <c r="AO821" s="26">
        <f t="shared" si="287"/>
        <v>-16.340487451737438</v>
      </c>
      <c r="AP821" s="26">
        <f t="shared" si="288"/>
        <v>-19.64066588003935</v>
      </c>
      <c r="AS821" s="2">
        <v>44659</v>
      </c>
      <c r="AT821">
        <v>13.1</v>
      </c>
      <c r="AU821">
        <v>214.3</v>
      </c>
      <c r="AV821">
        <v>59.2</v>
      </c>
      <c r="AW821">
        <v>19</v>
      </c>
      <c r="AX821">
        <v>107.63</v>
      </c>
      <c r="AY821">
        <v>0.2</v>
      </c>
      <c r="AZ821">
        <v>2.9</v>
      </c>
      <c r="BA821">
        <v>210.45920000000001</v>
      </c>
      <c r="BB821">
        <v>105.3762</v>
      </c>
      <c r="BC821">
        <v>65.782499999999999</v>
      </c>
      <c r="BD821">
        <v>3.6676000000000002</v>
      </c>
      <c r="BE821">
        <v>37.726700000000001</v>
      </c>
      <c r="BF821">
        <v>-18.427700000000002</v>
      </c>
      <c r="BG821">
        <v>46.423000000000002</v>
      </c>
      <c r="BH821">
        <v>26.59</v>
      </c>
    </row>
    <row r="822" spans="1:60" x14ac:dyDescent="0.25">
      <c r="A822" s="2">
        <v>44679</v>
      </c>
      <c r="B822">
        <v>14.9</v>
      </c>
      <c r="C822">
        <v>61.1</v>
      </c>
      <c r="D822">
        <v>16.100000000000001</v>
      </c>
      <c r="E822">
        <v>3.6</v>
      </c>
      <c r="F822">
        <v>283.19</v>
      </c>
      <c r="G822">
        <v>0.2</v>
      </c>
      <c r="H822">
        <v>3.4</v>
      </c>
      <c r="I822">
        <v>271.54599999999999</v>
      </c>
      <c r="J822">
        <v>164.0754</v>
      </c>
      <c r="K822">
        <v>83.259900000000002</v>
      </c>
      <c r="L822">
        <v>2.6225000000000001</v>
      </c>
      <c r="M822">
        <v>23.004100000000001</v>
      </c>
      <c r="N822">
        <v>-34.374200000000002</v>
      </c>
      <c r="O822">
        <v>29.430199999999999</v>
      </c>
      <c r="P822">
        <v>32.6</v>
      </c>
      <c r="S822">
        <f t="shared" si="267"/>
        <v>926.99789999999996</v>
      </c>
      <c r="T822">
        <f t="shared" si="268"/>
        <v>1.3968228373971657E-2</v>
      </c>
      <c r="U822">
        <f t="shared" si="269"/>
        <v>5.7279110983199211E-2</v>
      </c>
      <c r="V822">
        <f t="shared" si="270"/>
        <v>1.5093186363821724E-2</v>
      </c>
      <c r="W822">
        <f t="shared" si="271"/>
        <v>3.3748739695501988E-3</v>
      </c>
      <c r="X822">
        <f t="shared" si="272"/>
        <v>0.26548071095470022</v>
      </c>
      <c r="Y822">
        <f t="shared" si="273"/>
        <v>1.874929983083444E-4</v>
      </c>
      <c r="Z822">
        <f t="shared" si="274"/>
        <v>3.1873809712418544E-3</v>
      </c>
      <c r="AA822">
        <f t="shared" si="275"/>
        <v>0.25456486859318839</v>
      </c>
      <c r="AB822">
        <f t="shared" si="276"/>
        <v>0.15381494347320465</v>
      </c>
      <c r="AC822">
        <f t="shared" si="277"/>
        <v>7.8053241449264607E-2</v>
      </c>
      <c r="AD822">
        <f t="shared" si="278"/>
        <v>2.4585019403181659E-3</v>
      </c>
      <c r="AE822">
        <f t="shared" si="279"/>
        <v>2.1565538411924927E-2</v>
      </c>
      <c r="AG822">
        <f t="shared" si="280"/>
        <v>-0.79612983383297586</v>
      </c>
      <c r="AH822">
        <f t="shared" si="281"/>
        <v>0.38013652302671813</v>
      </c>
      <c r="AI822">
        <f t="shared" si="282"/>
        <v>1.1181285697079462</v>
      </c>
      <c r="AK822" s="26">
        <f t="shared" si="283"/>
        <v>2.0672388729769009E-2</v>
      </c>
      <c r="AL822" s="26">
        <f t="shared" si="284"/>
        <v>6.3105468272448562E-3</v>
      </c>
      <c r="AM822" s="26">
        <f t="shared" si="285"/>
        <v>1.1467396071212665E-2</v>
      </c>
      <c r="AN822" s="26">
        <f t="shared" si="286"/>
        <v>-14.659523809523805</v>
      </c>
      <c r="AO822" s="26">
        <f t="shared" si="287"/>
        <v>-16.458214285714288</v>
      </c>
      <c r="AP822" s="26">
        <f t="shared" si="288"/>
        <v>-19.752240314650948</v>
      </c>
      <c r="AS822" s="2">
        <v>44658</v>
      </c>
      <c r="AT822">
        <v>10.9</v>
      </c>
      <c r="AU822">
        <v>1.2</v>
      </c>
      <c r="AV822">
        <v>65</v>
      </c>
      <c r="AW822">
        <v>23.2</v>
      </c>
      <c r="AX822">
        <v>113.65</v>
      </c>
      <c r="AY822">
        <v>0.1</v>
      </c>
      <c r="AZ822">
        <v>3.1</v>
      </c>
      <c r="BA822">
        <v>158.19450000000001</v>
      </c>
      <c r="BB822">
        <v>75.653800000000004</v>
      </c>
      <c r="BC822">
        <v>50.568600000000004</v>
      </c>
      <c r="BD822">
        <v>3.7229999999999999</v>
      </c>
      <c r="BE822">
        <v>15.8283</v>
      </c>
      <c r="BF822">
        <v>-19.4693</v>
      </c>
      <c r="BG822">
        <v>52.313200000000002</v>
      </c>
      <c r="BH822">
        <v>26.41</v>
      </c>
    </row>
    <row r="823" spans="1:60" x14ac:dyDescent="0.25">
      <c r="A823" s="2">
        <v>44678</v>
      </c>
      <c r="B823">
        <v>15.5</v>
      </c>
      <c r="C823">
        <v>116.7</v>
      </c>
      <c r="D823">
        <v>2.2999999999999998</v>
      </c>
      <c r="E823">
        <v>2.4</v>
      </c>
      <c r="F823">
        <v>222.64</v>
      </c>
      <c r="G823">
        <v>0.1</v>
      </c>
      <c r="H823">
        <v>3.2</v>
      </c>
      <c r="I823">
        <v>270.63490000000002</v>
      </c>
      <c r="J823">
        <v>168.684</v>
      </c>
      <c r="K823">
        <v>118.3742</v>
      </c>
      <c r="L823">
        <v>2.6206999999999998</v>
      </c>
      <c r="M823">
        <v>15.072100000000001</v>
      </c>
      <c r="N823">
        <v>-38.2408</v>
      </c>
      <c r="O823">
        <v>35.350700000000003</v>
      </c>
      <c r="P823">
        <v>32.32</v>
      </c>
      <c r="S823">
        <f t="shared" si="267"/>
        <v>938.22589999999991</v>
      </c>
      <c r="T823">
        <f t="shared" si="268"/>
        <v>1.453070736889669E-2</v>
      </c>
      <c r="U823">
        <f t="shared" si="269"/>
        <v>0.10940216451291895</v>
      </c>
      <c r="V823">
        <f t="shared" si="270"/>
        <v>2.1561694805459601E-3</v>
      </c>
      <c r="W823">
        <f t="shared" si="271"/>
        <v>2.2499159797001326E-3</v>
      </c>
      <c r="X823">
        <f t="shared" si="272"/>
        <v>0.20871720571684896</v>
      </c>
      <c r="Y823">
        <f t="shared" si="273"/>
        <v>9.3746499154172199E-5</v>
      </c>
      <c r="Z823">
        <f t="shared" si="274"/>
        <v>2.9998879729335104E-3</v>
      </c>
      <c r="AA823">
        <f t="shared" si="275"/>
        <v>0.25371074423939477</v>
      </c>
      <c r="AB823">
        <f t="shared" si="276"/>
        <v>0.15813534463322382</v>
      </c>
      <c r="AC823">
        <f t="shared" si="277"/>
        <v>0.11097166840175809</v>
      </c>
      <c r="AD823">
        <f t="shared" si="278"/>
        <v>2.4568145033333905E-3</v>
      </c>
      <c r="AE823">
        <f t="shared" si="279"/>
        <v>1.4129566099015988E-2</v>
      </c>
      <c r="AG823">
        <f t="shared" si="280"/>
        <v>-0.80869864203221153</v>
      </c>
      <c r="AH823">
        <f t="shared" si="281"/>
        <v>0.35427936363001439</v>
      </c>
      <c r="AI823">
        <f t="shared" si="282"/>
        <v>0.90529548587733444</v>
      </c>
      <c r="AK823" s="26">
        <f t="shared" si="283"/>
        <v>1.3159653658469328E-2</v>
      </c>
      <c r="AL823" s="26">
        <f t="shared" si="284"/>
        <v>7.260285612367523E-3</v>
      </c>
      <c r="AM823" s="26">
        <f t="shared" si="285"/>
        <v>1.111423901237138E-2</v>
      </c>
      <c r="AN823" s="26">
        <f t="shared" si="286"/>
        <v>-14.818095238095232</v>
      </c>
      <c r="AO823" s="26">
        <f t="shared" si="287"/>
        <v>-16.575762548262553</v>
      </c>
      <c r="AP823" s="26">
        <f t="shared" si="288"/>
        <v>-19.86539744346117</v>
      </c>
      <c r="AS823" s="2">
        <v>44657</v>
      </c>
      <c r="AT823">
        <v>9.9</v>
      </c>
      <c r="AU823">
        <v>1.2</v>
      </c>
      <c r="AV823">
        <v>63.1</v>
      </c>
      <c r="AW823">
        <v>21.7</v>
      </c>
      <c r="AX823">
        <v>121.73</v>
      </c>
      <c r="AY823">
        <v>0.1</v>
      </c>
      <c r="AZ823">
        <v>2.8</v>
      </c>
      <c r="BA823">
        <v>231.6825</v>
      </c>
      <c r="BB823">
        <v>110.9676</v>
      </c>
      <c r="BC823">
        <v>41.617899999999999</v>
      </c>
      <c r="BD823">
        <v>3.6446000000000001</v>
      </c>
      <c r="BE823">
        <v>23.0351</v>
      </c>
      <c r="BF823">
        <v>-21.624600000000001</v>
      </c>
      <c r="BG823">
        <v>51.6877</v>
      </c>
      <c r="BH823">
        <v>26.26</v>
      </c>
    </row>
    <row r="824" spans="1:60" x14ac:dyDescent="0.25">
      <c r="A824" s="2">
        <v>44677</v>
      </c>
      <c r="B824">
        <v>15.9</v>
      </c>
      <c r="C824">
        <v>40.6</v>
      </c>
      <c r="D824">
        <v>10.6</v>
      </c>
      <c r="E824">
        <v>2.7</v>
      </c>
      <c r="F824">
        <v>165.51</v>
      </c>
      <c r="G824">
        <v>0</v>
      </c>
      <c r="H824">
        <v>2.8</v>
      </c>
      <c r="I824">
        <v>265.24590000000001</v>
      </c>
      <c r="J824">
        <v>165.21629999999999</v>
      </c>
      <c r="K824">
        <v>130.874</v>
      </c>
      <c r="L824">
        <v>2.7616999999999998</v>
      </c>
      <c r="M824">
        <v>18.528300000000002</v>
      </c>
      <c r="N824">
        <v>-53.669800000000002</v>
      </c>
      <c r="O824">
        <v>9.6084999999999994</v>
      </c>
      <c r="P824">
        <v>32</v>
      </c>
      <c r="S824">
        <f t="shared" si="267"/>
        <v>820.73620000000005</v>
      </c>
      <c r="T824">
        <f t="shared" si="268"/>
        <v>1.4905693365513379E-2</v>
      </c>
      <c r="U824">
        <f t="shared" si="269"/>
        <v>3.8061078656593909E-2</v>
      </c>
      <c r="V824">
        <f t="shared" si="270"/>
        <v>9.9371289103422512E-3</v>
      </c>
      <c r="W824">
        <f t="shared" si="271"/>
        <v>2.5311554771626494E-3</v>
      </c>
      <c r="X824">
        <f t="shared" si="272"/>
        <v>0.15515983075007039</v>
      </c>
      <c r="Y824">
        <f t="shared" si="273"/>
        <v>0</v>
      </c>
      <c r="Z824">
        <f t="shared" si="274"/>
        <v>2.624901976316821E-3</v>
      </c>
      <c r="AA824">
        <f t="shared" si="275"/>
        <v>0.24865874539997643</v>
      </c>
      <c r="AB824">
        <f t="shared" si="276"/>
        <v>0.15488449728205458</v>
      </c>
      <c r="AC824">
        <f t="shared" si="277"/>
        <v>0.12268979330303131</v>
      </c>
      <c r="AD824">
        <f t="shared" si="278"/>
        <v>2.5889970671407734E-3</v>
      </c>
      <c r="AE824">
        <f t="shared" si="279"/>
        <v>1.7369632602782487E-2</v>
      </c>
      <c r="AG824">
        <f t="shared" si="280"/>
        <v>-0.8230935870593501</v>
      </c>
      <c r="AH824">
        <f t="shared" si="281"/>
        <v>0.24058942173878189</v>
      </c>
      <c r="AI824">
        <f t="shared" si="282"/>
        <v>-4.3579983789339985E-2</v>
      </c>
      <c r="AK824" s="26">
        <f t="shared" si="283"/>
        <v>8.7076502701137204E-3</v>
      </c>
      <c r="AL824" s="26">
        <f t="shared" si="284"/>
        <v>6.5140035302048149E-3</v>
      </c>
      <c r="AM824" s="26">
        <f t="shared" si="285"/>
        <v>1.0078252744231381E-2</v>
      </c>
      <c r="AN824" s="26">
        <f t="shared" si="286"/>
        <v>-14.976666666666663</v>
      </c>
      <c r="AO824" s="26">
        <f t="shared" si="287"/>
        <v>-16.692775096525086</v>
      </c>
      <c r="AP824" s="26">
        <f t="shared" si="288"/>
        <v>-19.979336479842679</v>
      </c>
      <c r="AS824" s="2">
        <v>44656</v>
      </c>
      <c r="AT824">
        <v>8.9</v>
      </c>
      <c r="AU824">
        <v>21.2</v>
      </c>
      <c r="AV824">
        <v>34.1</v>
      </c>
      <c r="AW824">
        <v>15</v>
      </c>
      <c r="AX824">
        <v>78.31</v>
      </c>
      <c r="AY824">
        <v>0.1</v>
      </c>
      <c r="AZ824">
        <v>2.7</v>
      </c>
      <c r="BA824">
        <v>248.3141</v>
      </c>
      <c r="BB824">
        <v>164.8339</v>
      </c>
      <c r="BC824">
        <v>69.036199999999994</v>
      </c>
      <c r="BD824">
        <v>3.9998999999999998</v>
      </c>
      <c r="BE824">
        <v>40.412599999999998</v>
      </c>
      <c r="BF824">
        <v>-25.1858</v>
      </c>
      <c r="BG824">
        <v>50.336399999999998</v>
      </c>
      <c r="BH824">
        <v>26.14</v>
      </c>
    </row>
    <row r="825" spans="1:60" x14ac:dyDescent="0.25">
      <c r="A825" s="2">
        <v>44676</v>
      </c>
      <c r="B825">
        <v>12.9</v>
      </c>
      <c r="C825">
        <v>136.6</v>
      </c>
      <c r="D825">
        <v>35.700000000000003</v>
      </c>
      <c r="E825">
        <v>4.5</v>
      </c>
      <c r="F825">
        <v>163.02000000000001</v>
      </c>
      <c r="G825">
        <v>0</v>
      </c>
      <c r="H825">
        <v>3.2</v>
      </c>
      <c r="I825">
        <v>273.87950000000001</v>
      </c>
      <c r="J825">
        <v>146.08099999999999</v>
      </c>
      <c r="K825">
        <v>103.3095</v>
      </c>
      <c r="L825">
        <v>2.8153999999999999</v>
      </c>
      <c r="M825">
        <v>19.474699999999999</v>
      </c>
      <c r="N825">
        <v>-21.453099999999999</v>
      </c>
      <c r="O825">
        <v>15.0587</v>
      </c>
      <c r="P825">
        <v>31.8</v>
      </c>
      <c r="S825">
        <f t="shared" si="267"/>
        <v>901.48009999999999</v>
      </c>
      <c r="T825">
        <f t="shared" si="268"/>
        <v>1.2093298390888213E-2</v>
      </c>
      <c r="U825">
        <f t="shared" si="269"/>
        <v>0.12805771784459921</v>
      </c>
      <c r="V825">
        <f t="shared" si="270"/>
        <v>3.3467500198039478E-2</v>
      </c>
      <c r="W825">
        <f t="shared" si="271"/>
        <v>4.2185924619377486E-3</v>
      </c>
      <c r="X825">
        <f t="shared" si="272"/>
        <v>0.15282554292113151</v>
      </c>
      <c r="Y825">
        <f t="shared" si="273"/>
        <v>0</v>
      </c>
      <c r="Z825">
        <f t="shared" si="274"/>
        <v>2.9998879729335104E-3</v>
      </c>
      <c r="AA825">
        <f t="shared" si="275"/>
        <v>0.25675244315095103</v>
      </c>
      <c r="AB825">
        <f t="shared" si="276"/>
        <v>0.13694582342940625</v>
      </c>
      <c r="AC825">
        <f t="shared" si="277"/>
        <v>9.6849039543679516E-2</v>
      </c>
      <c r="AD825">
        <f t="shared" si="278"/>
        <v>2.6393389371865638E-3</v>
      </c>
      <c r="AE825">
        <f t="shared" si="279"/>
        <v>1.8256849470777572E-2</v>
      </c>
      <c r="AG825">
        <f t="shared" si="280"/>
        <v>-0.83224440346742545</v>
      </c>
      <c r="AH825">
        <f t="shared" si="281"/>
        <v>0.35191938926030719</v>
      </c>
      <c r="AI825">
        <f t="shared" si="282"/>
        <v>0.88373023394376093</v>
      </c>
      <c r="AK825" s="26">
        <f t="shared" si="283"/>
        <v>6.6446648097270855E-3</v>
      </c>
      <c r="AL825" s="26">
        <f t="shared" si="284"/>
        <v>8.2512388785366819E-3</v>
      </c>
      <c r="AM825" s="26">
        <f t="shared" si="285"/>
        <v>1.1154758339935678E-2</v>
      </c>
      <c r="AN825" s="26">
        <f t="shared" si="286"/>
        <v>-15.129285714285711</v>
      </c>
      <c r="AO825" s="26">
        <f t="shared" si="287"/>
        <v>-16.810070785070774</v>
      </c>
      <c r="AP825" s="26">
        <f t="shared" si="288"/>
        <v>-20.095342379547709</v>
      </c>
      <c r="AS825" s="2">
        <v>44655</v>
      </c>
      <c r="AT825">
        <v>9.1999999999999993</v>
      </c>
      <c r="AU825">
        <v>1.1000000000000001</v>
      </c>
      <c r="AV825">
        <v>59</v>
      </c>
      <c r="AW825">
        <v>28.9</v>
      </c>
      <c r="AX825">
        <v>142.04</v>
      </c>
      <c r="AY825">
        <v>0.2</v>
      </c>
      <c r="AZ825">
        <v>2.5</v>
      </c>
      <c r="BA825">
        <v>181.74199999999999</v>
      </c>
      <c r="BB825">
        <v>97.366799999999998</v>
      </c>
      <c r="BC825">
        <v>49.009300000000003</v>
      </c>
      <c r="BD825">
        <v>3.5872000000000002</v>
      </c>
      <c r="BE825">
        <v>11.958299999999999</v>
      </c>
      <c r="BF825">
        <v>-19.9209</v>
      </c>
      <c r="BG825">
        <v>73.732299999999995</v>
      </c>
      <c r="BH825">
        <v>26.3</v>
      </c>
    </row>
    <row r="826" spans="1:60" x14ac:dyDescent="0.25">
      <c r="A826" s="2">
        <v>44675</v>
      </c>
      <c r="B826">
        <v>9.9</v>
      </c>
      <c r="C826">
        <v>0</v>
      </c>
      <c r="D826">
        <v>62.1</v>
      </c>
      <c r="E826">
        <v>15.5</v>
      </c>
      <c r="F826">
        <v>151.18</v>
      </c>
      <c r="G826">
        <v>0</v>
      </c>
      <c r="H826">
        <v>3.4</v>
      </c>
      <c r="I826">
        <v>203.64689999999999</v>
      </c>
      <c r="J826">
        <v>39.614899999999999</v>
      </c>
      <c r="K826">
        <v>24.127400000000002</v>
      </c>
      <c r="L826">
        <v>2.8563999999999998</v>
      </c>
      <c r="M826">
        <v>11.0243</v>
      </c>
      <c r="P826">
        <v>31.53</v>
      </c>
      <c r="S826">
        <f t="shared" si="267"/>
        <v>523.34990000000005</v>
      </c>
      <c r="T826">
        <f t="shared" si="268"/>
        <v>9.2809034162630467E-3</v>
      </c>
      <c r="U826">
        <f t="shared" si="269"/>
        <v>0</v>
      </c>
      <c r="V826">
        <f t="shared" si="270"/>
        <v>5.8216575974740933E-2</v>
      </c>
      <c r="W826">
        <f t="shared" si="271"/>
        <v>1.453070736889669E-2</v>
      </c>
      <c r="X826">
        <f t="shared" si="272"/>
        <v>0.14172595742127753</v>
      </c>
      <c r="Y826">
        <f t="shared" si="273"/>
        <v>0</v>
      </c>
      <c r="Z826">
        <f t="shared" si="274"/>
        <v>3.1873809712418544E-3</v>
      </c>
      <c r="AA826">
        <f t="shared" si="275"/>
        <v>0.19091183938599787</v>
      </c>
      <c r="AB826">
        <f t="shared" si="276"/>
        <v>3.7137581893426155E-2</v>
      </c>
      <c r="AC826">
        <f t="shared" si="277"/>
        <v>2.2618592836923742E-2</v>
      </c>
      <c r="AD826">
        <f t="shared" si="278"/>
        <v>2.6777750018397743E-3</v>
      </c>
      <c r="AE826">
        <f t="shared" si="279"/>
        <v>1.0334895306253405E-2</v>
      </c>
      <c r="AG826">
        <f t="shared" si="280"/>
        <v>-0.84453626388917991</v>
      </c>
      <c r="AH826">
        <f t="shared" si="281"/>
        <v>0.23727642045867345</v>
      </c>
      <c r="AI826">
        <f t="shared" si="282"/>
        <v>-7.1285997602834786E-2</v>
      </c>
      <c r="AK826" s="26">
        <f t="shared" si="283"/>
        <v>2.8723614852507184E-3</v>
      </c>
      <c r="AL826" s="26">
        <f t="shared" si="284"/>
        <v>1.005491788762547E-2</v>
      </c>
      <c r="AM826" s="26">
        <f t="shared" si="285"/>
        <v>1.1060886085890675E-2</v>
      </c>
      <c r="AN826" s="26">
        <f t="shared" si="286"/>
        <v>-15.270238095238092</v>
      </c>
      <c r="AO826" s="26">
        <f t="shared" si="287"/>
        <v>-16.926373873873871</v>
      </c>
      <c r="AP826" s="26">
        <f t="shared" si="288"/>
        <v>-20.214606096361862</v>
      </c>
      <c r="AS826" s="2">
        <v>44654</v>
      </c>
      <c r="AT826">
        <v>9.9</v>
      </c>
      <c r="AU826">
        <v>0.5</v>
      </c>
      <c r="AV826">
        <v>39.799999999999997</v>
      </c>
      <c r="AW826">
        <v>8.9</v>
      </c>
      <c r="AX826">
        <v>136.94999999999999</v>
      </c>
      <c r="AY826">
        <v>0.2</v>
      </c>
      <c r="AZ826">
        <v>2.4</v>
      </c>
      <c r="BA826">
        <v>214.43530000000001</v>
      </c>
      <c r="BB826">
        <v>164.08459999999999</v>
      </c>
      <c r="BC826">
        <v>66.740099999999998</v>
      </c>
      <c r="BD826">
        <v>3.7199</v>
      </c>
      <c r="BE826">
        <v>28.9514</v>
      </c>
      <c r="BH826">
        <v>25.74</v>
      </c>
    </row>
    <row r="827" spans="1:60" x14ac:dyDescent="0.25">
      <c r="A827" s="2">
        <v>44674</v>
      </c>
      <c r="C827">
        <v>2.2999999999999998</v>
      </c>
      <c r="F827">
        <v>213.76</v>
      </c>
      <c r="K827">
        <v>29.990400000000001</v>
      </c>
      <c r="P827">
        <v>31.11</v>
      </c>
      <c r="S827">
        <f t="shared" si="267"/>
        <v>246.0504</v>
      </c>
      <c r="T827">
        <f t="shared" si="268"/>
        <v>0</v>
      </c>
      <c r="U827">
        <f t="shared" si="269"/>
        <v>2.1561694805459601E-3</v>
      </c>
      <c r="V827">
        <f t="shared" si="270"/>
        <v>0</v>
      </c>
      <c r="W827">
        <f t="shared" si="271"/>
        <v>0</v>
      </c>
      <c r="X827">
        <f t="shared" si="272"/>
        <v>0.20039251659195847</v>
      </c>
      <c r="Y827">
        <f t="shared" si="273"/>
        <v>0</v>
      </c>
      <c r="Z827">
        <f t="shared" si="274"/>
        <v>0</v>
      </c>
      <c r="AA827">
        <f t="shared" si="275"/>
        <v>0</v>
      </c>
      <c r="AB827">
        <f t="shared" si="276"/>
        <v>0</v>
      </c>
      <c r="AC827">
        <f t="shared" si="277"/>
        <v>2.8114950082332859E-2</v>
      </c>
      <c r="AD827">
        <f t="shared" si="278"/>
        <v>0</v>
      </c>
      <c r="AE827">
        <f t="shared" si="279"/>
        <v>0</v>
      </c>
      <c r="AG827">
        <f t="shared" si="280"/>
        <v>-0.86352089550432309</v>
      </c>
      <c r="AH827">
        <f t="shared" si="281"/>
        <v>0.20254868607250442</v>
      </c>
      <c r="AI827">
        <f t="shared" si="282"/>
        <v>-0.36237330530964623</v>
      </c>
      <c r="AK827" s="26">
        <f t="shared" si="283"/>
        <v>8.4239688995542128E-3</v>
      </c>
      <c r="AL827" s="26">
        <f t="shared" si="284"/>
        <v>1.4771579482057484E-2</v>
      </c>
      <c r="AM827" s="26">
        <f t="shared" si="285"/>
        <v>1.2791941353299974E-2</v>
      </c>
      <c r="AN827" s="26">
        <f t="shared" si="286"/>
        <v>-15.434761904761903</v>
      </c>
      <c r="AO827" s="26">
        <f t="shared" si="287"/>
        <v>-17.040616151866143</v>
      </c>
      <c r="AP827" s="26">
        <f t="shared" si="288"/>
        <v>-20.338636381514263</v>
      </c>
      <c r="AS827" s="2">
        <v>44653</v>
      </c>
      <c r="AU827">
        <v>16.399999999999999</v>
      </c>
      <c r="AX827">
        <v>84.43</v>
      </c>
      <c r="BC827">
        <v>62.802799999999998</v>
      </c>
      <c r="BH827">
        <v>26.41</v>
      </c>
    </row>
    <row r="828" spans="1:60" x14ac:dyDescent="0.25">
      <c r="A828" s="2">
        <v>44673</v>
      </c>
      <c r="C828">
        <v>2.6</v>
      </c>
      <c r="F828">
        <v>210.27</v>
      </c>
      <c r="K828">
        <v>51.804600000000001</v>
      </c>
      <c r="N828">
        <v>-25.5534</v>
      </c>
      <c r="O828">
        <v>8.9581</v>
      </c>
      <c r="P828">
        <v>30.71</v>
      </c>
      <c r="S828">
        <f t="shared" si="267"/>
        <v>264.6746</v>
      </c>
      <c r="T828">
        <f t="shared" si="268"/>
        <v>0</v>
      </c>
      <c r="U828">
        <f t="shared" si="269"/>
        <v>2.437408978008477E-3</v>
      </c>
      <c r="V828">
        <f t="shared" si="270"/>
        <v>0</v>
      </c>
      <c r="W828">
        <f t="shared" si="271"/>
        <v>0</v>
      </c>
      <c r="X828">
        <f t="shared" si="272"/>
        <v>0.19712076377147789</v>
      </c>
      <c r="Y828">
        <f t="shared" si="273"/>
        <v>0</v>
      </c>
      <c r="Z828">
        <f t="shared" si="274"/>
        <v>0</v>
      </c>
      <c r="AA828">
        <f t="shared" si="275"/>
        <v>0</v>
      </c>
      <c r="AB828">
        <f t="shared" si="276"/>
        <v>0</v>
      </c>
      <c r="AC828">
        <f t="shared" si="277"/>
        <v>4.856499890082229E-2</v>
      </c>
      <c r="AD828">
        <f t="shared" si="278"/>
        <v>0</v>
      </c>
      <c r="AE828">
        <f t="shared" si="279"/>
        <v>0</v>
      </c>
      <c r="AG828">
        <f t="shared" si="280"/>
        <v>-0.88169334389335619</v>
      </c>
      <c r="AH828">
        <f t="shared" si="281"/>
        <v>0.19955817274948637</v>
      </c>
      <c r="AI828">
        <f t="shared" si="282"/>
        <v>-0.39187281520304423</v>
      </c>
      <c r="AK828" s="26">
        <f t="shared" si="283"/>
        <v>4.5838466791184307E-3</v>
      </c>
      <c r="AL828" s="26">
        <f t="shared" si="284"/>
        <v>1.573306523439244E-2</v>
      </c>
      <c r="AM828" s="26">
        <f t="shared" si="285"/>
        <v>1.4673798857919806E-2</v>
      </c>
      <c r="AN828" s="26">
        <f t="shared" si="286"/>
        <v>-15.568571428571435</v>
      </c>
      <c r="AO828" s="26">
        <f t="shared" si="287"/>
        <v>-17.160175353925343</v>
      </c>
      <c r="AP828" s="26">
        <f t="shared" si="288"/>
        <v>-20.469785250737473</v>
      </c>
      <c r="AS828" s="2">
        <v>44652</v>
      </c>
      <c r="AT828">
        <v>10.5</v>
      </c>
      <c r="AU828">
        <v>0</v>
      </c>
      <c r="AV828">
        <v>57.9</v>
      </c>
      <c r="AW828">
        <v>18</v>
      </c>
      <c r="AX828">
        <v>60.63</v>
      </c>
      <c r="AY828">
        <v>0.2</v>
      </c>
      <c r="AZ828">
        <v>2.5</v>
      </c>
      <c r="BA828">
        <v>259.351</v>
      </c>
      <c r="BB828">
        <v>123.3031</v>
      </c>
      <c r="BC828">
        <v>80.215199999999996</v>
      </c>
      <c r="BD828">
        <v>3.6703999999999999</v>
      </c>
      <c r="BE828">
        <v>22.638500000000001</v>
      </c>
      <c r="BF828">
        <v>-5.7487000000000004</v>
      </c>
      <c r="BG828">
        <v>92.961200000000005</v>
      </c>
      <c r="BH828">
        <v>26.6</v>
      </c>
    </row>
    <row r="829" spans="1:60" x14ac:dyDescent="0.25">
      <c r="A829" s="2">
        <v>44672</v>
      </c>
      <c r="B829">
        <v>11.9</v>
      </c>
      <c r="C829">
        <v>97.6</v>
      </c>
      <c r="D829">
        <v>27.5</v>
      </c>
      <c r="E829">
        <v>6.9</v>
      </c>
      <c r="F829">
        <v>191.49</v>
      </c>
      <c r="G829">
        <v>0.1</v>
      </c>
      <c r="H829">
        <v>3.3</v>
      </c>
      <c r="I829">
        <v>258.3845</v>
      </c>
      <c r="J829">
        <v>120.0423</v>
      </c>
      <c r="K829">
        <v>63.695300000000003</v>
      </c>
      <c r="L829">
        <v>2.8462999999999998</v>
      </c>
      <c r="M829">
        <v>24.801600000000001</v>
      </c>
      <c r="N829">
        <v>-30.5442</v>
      </c>
      <c r="O829">
        <v>15.1896</v>
      </c>
      <c r="P829">
        <v>30.38</v>
      </c>
      <c r="S829">
        <f t="shared" si="267"/>
        <v>808.56000000000006</v>
      </c>
      <c r="T829">
        <f t="shared" si="268"/>
        <v>1.115583339934649E-2</v>
      </c>
      <c r="U829">
        <f t="shared" si="269"/>
        <v>9.1496583174472054E-2</v>
      </c>
      <c r="V829">
        <f t="shared" si="270"/>
        <v>2.5780287267397353E-2</v>
      </c>
      <c r="W829">
        <f t="shared" si="271"/>
        <v>6.4685084416378812E-3</v>
      </c>
      <c r="X829">
        <f t="shared" si="272"/>
        <v>0.17951517123032434</v>
      </c>
      <c r="Y829">
        <f t="shared" si="273"/>
        <v>9.3746499154172199E-5</v>
      </c>
      <c r="Z829">
        <f t="shared" si="274"/>
        <v>3.0936344720876819E-3</v>
      </c>
      <c r="AA829">
        <f t="shared" si="275"/>
        <v>0.24222642310701203</v>
      </c>
      <c r="AB829">
        <f t="shared" si="276"/>
        <v>0.11253545375414885</v>
      </c>
      <c r="AC829">
        <f t="shared" si="277"/>
        <v>5.9712113875747444E-2</v>
      </c>
      <c r="AD829">
        <f t="shared" si="278"/>
        <v>2.6683066054252031E-3</v>
      </c>
      <c r="AE829">
        <f t="shared" si="279"/>
        <v>2.3250631734221171E-2</v>
      </c>
      <c r="AG829">
        <f t="shared" si="280"/>
        <v>-0.8968512360914549</v>
      </c>
      <c r="AH829">
        <f t="shared" si="281"/>
        <v>0.34085439621864111</v>
      </c>
      <c r="AI829">
        <f t="shared" si="282"/>
        <v>0.77697918550204581</v>
      </c>
      <c r="AK829" s="26">
        <f t="shared" si="283"/>
        <v>5.4410780597412001E-3</v>
      </c>
      <c r="AL829" s="26">
        <f t="shared" si="284"/>
        <v>1.8139991714751974E-2</v>
      </c>
      <c r="AM829" s="26">
        <f t="shared" si="285"/>
        <v>1.6546267262573855E-2</v>
      </c>
      <c r="AN829" s="26">
        <f t="shared" si="286"/>
        <v>-15.650952380952383</v>
      </c>
      <c r="AO829" s="26">
        <f t="shared" si="287"/>
        <v>-17.274781209781185</v>
      </c>
      <c r="AP829" s="26">
        <f t="shared" si="288"/>
        <v>-20.601166961651934</v>
      </c>
      <c r="AS829" s="2">
        <v>44651</v>
      </c>
      <c r="AT829">
        <v>10.7</v>
      </c>
      <c r="AU829">
        <v>3.6</v>
      </c>
      <c r="AV829">
        <v>50.3</v>
      </c>
      <c r="AW829">
        <v>10.8</v>
      </c>
      <c r="AX829">
        <v>70.37</v>
      </c>
      <c r="AY829">
        <v>0.2</v>
      </c>
      <c r="AZ829">
        <v>2.8</v>
      </c>
      <c r="BA829">
        <v>263.8372</v>
      </c>
      <c r="BB829">
        <v>193.34479999999999</v>
      </c>
      <c r="BC829">
        <v>114.0487</v>
      </c>
      <c r="BD829">
        <v>3.5807000000000002</v>
      </c>
      <c r="BE829">
        <v>21.6113</v>
      </c>
      <c r="BF829">
        <v>62.634399999999999</v>
      </c>
      <c r="BG829">
        <v>64.772800000000004</v>
      </c>
      <c r="BH829">
        <v>26.29</v>
      </c>
    </row>
    <row r="830" spans="1:60" x14ac:dyDescent="0.25">
      <c r="A830" s="2">
        <v>44671</v>
      </c>
      <c r="B830">
        <v>11.3</v>
      </c>
      <c r="C830">
        <v>102.4</v>
      </c>
      <c r="D830">
        <v>19.600000000000001</v>
      </c>
      <c r="E830">
        <v>5.6</v>
      </c>
      <c r="F830">
        <v>252.89</v>
      </c>
      <c r="G830">
        <v>0.2</v>
      </c>
      <c r="H830">
        <v>3.2</v>
      </c>
      <c r="I830">
        <v>243.64009999999999</v>
      </c>
      <c r="K830">
        <v>65.9148</v>
      </c>
      <c r="L830">
        <v>2.7147000000000001</v>
      </c>
      <c r="M830">
        <v>29.009699999999999</v>
      </c>
      <c r="N830">
        <v>-21.8047</v>
      </c>
      <c r="O830">
        <v>7.6897000000000002</v>
      </c>
      <c r="P830">
        <v>30.11</v>
      </c>
      <c r="S830">
        <f t="shared" si="267"/>
        <v>736.46929999999986</v>
      </c>
      <c r="T830">
        <f t="shared" si="268"/>
        <v>1.0593354404421457E-2</v>
      </c>
      <c r="U830">
        <f t="shared" si="269"/>
        <v>9.5996415133872331E-2</v>
      </c>
      <c r="V830">
        <f t="shared" si="270"/>
        <v>1.837431383421775E-2</v>
      </c>
      <c r="W830">
        <f t="shared" si="271"/>
        <v>5.249803952633642E-3</v>
      </c>
      <c r="X830">
        <f t="shared" si="272"/>
        <v>0.23707552171098603</v>
      </c>
      <c r="Y830">
        <f t="shared" si="273"/>
        <v>1.874929983083444E-4</v>
      </c>
      <c r="Z830">
        <f t="shared" si="274"/>
        <v>2.9998879729335104E-3</v>
      </c>
      <c r="AA830">
        <f t="shared" si="275"/>
        <v>0.22840406428572427</v>
      </c>
      <c r="AB830">
        <f t="shared" si="276"/>
        <v>0</v>
      </c>
      <c r="AC830">
        <f t="shared" si="277"/>
        <v>6.1792817424474289E-2</v>
      </c>
      <c r="AD830">
        <f t="shared" si="278"/>
        <v>2.5449362125383127E-3</v>
      </c>
      <c r="AE830">
        <f t="shared" si="279"/>
        <v>2.7195578165127889E-2</v>
      </c>
      <c r="AG830">
        <f t="shared" si="280"/>
        <v>-0.90942457048369196</v>
      </c>
      <c r="AH830">
        <f t="shared" si="281"/>
        <v>0.39767236817250096</v>
      </c>
      <c r="AI830">
        <f t="shared" si="282"/>
        <v>1.2497502319986364</v>
      </c>
      <c r="AK830" s="26">
        <f t="shared" si="283"/>
        <v>-3.6750368674848266E-3</v>
      </c>
      <c r="AL830" s="26">
        <f t="shared" si="284"/>
        <v>1.7373812330262445E-2</v>
      </c>
      <c r="AM830" s="26">
        <f t="shared" si="285"/>
        <v>1.5886839683057735E-2</v>
      </c>
      <c r="AN830" s="26">
        <f t="shared" si="286"/>
        <v>-15.749761904761908</v>
      </c>
      <c r="AO830" s="26">
        <f t="shared" si="287"/>
        <v>-17.388939832689804</v>
      </c>
      <c r="AP830" s="26">
        <f t="shared" si="288"/>
        <v>-20.734651720747308</v>
      </c>
      <c r="AS830" s="2">
        <v>44650</v>
      </c>
      <c r="AT830">
        <v>10.8</v>
      </c>
      <c r="AU830">
        <v>2.8</v>
      </c>
      <c r="AV830">
        <v>15.2</v>
      </c>
      <c r="AW830">
        <v>2.6</v>
      </c>
      <c r="AX830">
        <v>95.39</v>
      </c>
      <c r="AY830">
        <v>0.2</v>
      </c>
      <c r="AZ830">
        <v>2.9</v>
      </c>
      <c r="BA830">
        <v>306.48099999999999</v>
      </c>
      <c r="BB830">
        <v>230.81739999999999</v>
      </c>
      <c r="BC830">
        <v>162.6602</v>
      </c>
      <c r="BD830">
        <v>3.7858000000000001</v>
      </c>
      <c r="BE830">
        <v>26.852599999999999</v>
      </c>
      <c r="BF830">
        <v>-34.221800000000002</v>
      </c>
      <c r="BG830">
        <v>75.5334</v>
      </c>
      <c r="BH830">
        <v>26.59</v>
      </c>
    </row>
    <row r="831" spans="1:60" x14ac:dyDescent="0.25">
      <c r="A831" s="2">
        <v>44670</v>
      </c>
      <c r="B831">
        <v>10.5</v>
      </c>
      <c r="C831">
        <v>36.1</v>
      </c>
      <c r="D831">
        <v>23.7</v>
      </c>
      <c r="E831">
        <v>6.3</v>
      </c>
      <c r="F831">
        <v>258.94</v>
      </c>
      <c r="G831">
        <v>0.2</v>
      </c>
      <c r="H831">
        <v>3</v>
      </c>
      <c r="I831">
        <v>244.5804</v>
      </c>
      <c r="J831">
        <v>103.6117</v>
      </c>
      <c r="K831">
        <v>82.928200000000004</v>
      </c>
      <c r="L831">
        <v>3.0388999999999999</v>
      </c>
      <c r="M831">
        <v>24.628299999999999</v>
      </c>
      <c r="N831">
        <v>-20.142900000000001</v>
      </c>
      <c r="O831">
        <v>13.098599999999999</v>
      </c>
      <c r="P831">
        <v>29.86</v>
      </c>
      <c r="S831">
        <f t="shared" si="267"/>
        <v>797.52750000000003</v>
      </c>
      <c r="T831">
        <f t="shared" si="268"/>
        <v>9.8433824111880796E-3</v>
      </c>
      <c r="U831">
        <f t="shared" si="269"/>
        <v>3.3842486194656164E-2</v>
      </c>
      <c r="V831">
        <f t="shared" si="270"/>
        <v>2.2217920299538809E-2</v>
      </c>
      <c r="W831">
        <f t="shared" si="271"/>
        <v>5.9060294467128483E-3</v>
      </c>
      <c r="X831">
        <f t="shared" si="272"/>
        <v>0.24274718490981348</v>
      </c>
      <c r="Y831">
        <f t="shared" si="273"/>
        <v>1.874929983083444E-4</v>
      </c>
      <c r="Z831">
        <f t="shared" si="274"/>
        <v>2.8123949746251659E-3</v>
      </c>
      <c r="AA831">
        <f t="shared" si="275"/>
        <v>0.22928556261727095</v>
      </c>
      <c r="AB831">
        <f t="shared" si="276"/>
        <v>9.7132341464123431E-2</v>
      </c>
      <c r="AC831">
        <f t="shared" si="277"/>
        <v>7.7742284311570223E-2</v>
      </c>
      <c r="AD831">
        <f t="shared" si="278"/>
        <v>2.8488623627961388E-3</v>
      </c>
      <c r="AE831">
        <f t="shared" si="279"/>
        <v>2.3088169051186991E-2</v>
      </c>
      <c r="AG831">
        <f t="shared" si="280"/>
        <v>-0.92117616374593458</v>
      </c>
      <c r="AH831">
        <f t="shared" si="281"/>
        <v>0.34064506028602987</v>
      </c>
      <c r="AI831">
        <f t="shared" si="282"/>
        <v>0.78149288293451968</v>
      </c>
      <c r="AK831" s="26">
        <f t="shared" si="283"/>
        <v>-1.2591487375928967E-2</v>
      </c>
      <c r="AL831" s="26">
        <f t="shared" si="284"/>
        <v>1.686670865037887E-2</v>
      </c>
      <c r="AM831" s="26">
        <f t="shared" si="285"/>
        <v>1.4315599435756887E-2</v>
      </c>
      <c r="AN831" s="26">
        <f t="shared" si="286"/>
        <v>-15.831190476190475</v>
      </c>
      <c r="AO831" s="26">
        <f t="shared" si="287"/>
        <v>-17.50174066924064</v>
      </c>
      <c r="AP831" s="26">
        <f t="shared" si="288"/>
        <v>-20.869618092428723</v>
      </c>
      <c r="AS831" s="2">
        <v>44649</v>
      </c>
      <c r="AT831">
        <v>9.6999999999999993</v>
      </c>
      <c r="AU831">
        <v>3.2</v>
      </c>
      <c r="AV831">
        <v>16.2</v>
      </c>
      <c r="AW831">
        <v>7.5</v>
      </c>
      <c r="AX831">
        <v>155.47</v>
      </c>
      <c r="AY831">
        <v>0.2</v>
      </c>
      <c r="AZ831">
        <v>2.8</v>
      </c>
      <c r="BA831">
        <v>288.31509999999997</v>
      </c>
      <c r="BB831">
        <v>221.2116</v>
      </c>
      <c r="BC831">
        <v>129.58349999999999</v>
      </c>
      <c r="BD831">
        <v>3.84</v>
      </c>
      <c r="BE831">
        <v>27.045999999999999</v>
      </c>
      <c r="BF831">
        <v>-19.2408</v>
      </c>
      <c r="BG831">
        <v>65.373000000000005</v>
      </c>
      <c r="BH831">
        <v>26.57</v>
      </c>
    </row>
    <row r="832" spans="1:60" x14ac:dyDescent="0.25">
      <c r="A832" s="2">
        <v>44669</v>
      </c>
      <c r="B832">
        <v>10.3</v>
      </c>
      <c r="C832">
        <v>0</v>
      </c>
      <c r="D832">
        <v>33.299999999999997</v>
      </c>
      <c r="E832">
        <v>3.4</v>
      </c>
      <c r="F832">
        <v>289.14</v>
      </c>
      <c r="G832">
        <v>0.2</v>
      </c>
      <c r="H832">
        <v>3</v>
      </c>
      <c r="I832">
        <v>214.4487</v>
      </c>
      <c r="J832">
        <v>55.892600000000002</v>
      </c>
      <c r="K832">
        <v>43.228299999999997</v>
      </c>
      <c r="L832">
        <v>3.7911999999999999</v>
      </c>
      <c r="M832">
        <v>19.358899999999998</v>
      </c>
      <c r="N832">
        <v>-22.684200000000001</v>
      </c>
      <c r="O832">
        <v>15.4863</v>
      </c>
      <c r="P832">
        <v>29.58</v>
      </c>
      <c r="S832">
        <f t="shared" si="267"/>
        <v>676.05969999999991</v>
      </c>
      <c r="T832">
        <f t="shared" si="268"/>
        <v>9.6558894128797364E-3</v>
      </c>
      <c r="U832">
        <f t="shared" si="269"/>
        <v>0</v>
      </c>
      <c r="V832">
        <f t="shared" si="270"/>
        <v>3.1217584218339336E-2</v>
      </c>
      <c r="W832">
        <f t="shared" si="271"/>
        <v>3.1873809712418544E-3</v>
      </c>
      <c r="X832">
        <f t="shared" si="272"/>
        <v>0.27105862765437344</v>
      </c>
      <c r="Y832">
        <f t="shared" si="273"/>
        <v>1.874929983083444E-4</v>
      </c>
      <c r="Z832">
        <f t="shared" si="274"/>
        <v>2.8123949746251659E-3</v>
      </c>
      <c r="AA832">
        <f t="shared" si="275"/>
        <v>0.20103814873163325</v>
      </c>
      <c r="AB832">
        <f t="shared" si="276"/>
        <v>5.2397355786244847E-2</v>
      </c>
      <c r="AC832">
        <f t="shared" si="277"/>
        <v>4.0525017893863015E-2</v>
      </c>
      <c r="AD832">
        <f t="shared" si="278"/>
        <v>3.554117275932976E-3</v>
      </c>
      <c r="AE832">
        <f t="shared" si="279"/>
        <v>1.8148291024757037E-2</v>
      </c>
      <c r="AG832">
        <f t="shared" si="280"/>
        <v>-0.93433405065261266</v>
      </c>
      <c r="AH832">
        <f t="shared" si="281"/>
        <v>0.3362676612545249</v>
      </c>
      <c r="AI832">
        <f t="shared" si="282"/>
        <v>0.74758676783106004</v>
      </c>
      <c r="AK832" s="26">
        <f t="shared" si="283"/>
        <v>-2.1951910144069831E-2</v>
      </c>
      <c r="AL832" s="26">
        <f t="shared" si="284"/>
        <v>1.5248317847416093E-2</v>
      </c>
      <c r="AM832" s="26">
        <f t="shared" si="285"/>
        <v>1.3581951829222338E-2</v>
      </c>
      <c r="AN832" s="26">
        <f t="shared" si="286"/>
        <v>-15.912380952380946</v>
      </c>
      <c r="AO832" s="26">
        <f t="shared" si="287"/>
        <v>-17.614626769626739</v>
      </c>
      <c r="AP832" s="26">
        <f t="shared" si="288"/>
        <v>-21.004692232055071</v>
      </c>
      <c r="AS832" s="2">
        <v>44648</v>
      </c>
      <c r="AT832">
        <v>9.6999999999999993</v>
      </c>
      <c r="AU832">
        <v>0</v>
      </c>
      <c r="AV832">
        <v>24.9</v>
      </c>
      <c r="AW832">
        <v>6.7</v>
      </c>
      <c r="AX832">
        <v>217.38</v>
      </c>
      <c r="AY832">
        <v>0.2</v>
      </c>
      <c r="AZ832">
        <v>2.5</v>
      </c>
      <c r="BA832">
        <v>281.10509999999999</v>
      </c>
      <c r="BB832">
        <v>201.6028</v>
      </c>
      <c r="BC832">
        <v>94.524600000000007</v>
      </c>
      <c r="BD832">
        <v>3.8736999999999999</v>
      </c>
      <c r="BE832">
        <v>18.9284</v>
      </c>
      <c r="BF832">
        <v>-27.728999999999999</v>
      </c>
      <c r="BG832">
        <v>46.856299999999997</v>
      </c>
      <c r="BH832">
        <v>26.47</v>
      </c>
    </row>
    <row r="833" spans="1:60" x14ac:dyDescent="0.25">
      <c r="A833" s="2">
        <v>44668</v>
      </c>
      <c r="B833">
        <v>11</v>
      </c>
      <c r="C833">
        <v>0</v>
      </c>
      <c r="D833">
        <v>22.8</v>
      </c>
      <c r="E833">
        <v>3.8</v>
      </c>
      <c r="F833">
        <v>286.89999999999998</v>
      </c>
      <c r="G833">
        <v>0.2</v>
      </c>
      <c r="H833">
        <v>3.2</v>
      </c>
      <c r="I833">
        <v>203.29769999999999</v>
      </c>
      <c r="J833">
        <v>48.4572</v>
      </c>
      <c r="K833">
        <v>32.937899999999999</v>
      </c>
      <c r="L833">
        <v>3.6941999999999999</v>
      </c>
      <c r="M833">
        <v>18.031500000000001</v>
      </c>
      <c r="P833">
        <v>29.17</v>
      </c>
      <c r="S833">
        <f t="shared" si="267"/>
        <v>634.31850000000009</v>
      </c>
      <c r="T833">
        <f t="shared" si="268"/>
        <v>1.0312114906958941E-2</v>
      </c>
      <c r="U833">
        <f t="shared" si="269"/>
        <v>0</v>
      </c>
      <c r="V833">
        <f t="shared" si="270"/>
        <v>2.1374201807151261E-2</v>
      </c>
      <c r="W833">
        <f t="shared" si="271"/>
        <v>3.5623669678585433E-3</v>
      </c>
      <c r="X833">
        <f t="shared" si="272"/>
        <v>0.26895870607332001</v>
      </c>
      <c r="Y833">
        <f t="shared" si="273"/>
        <v>1.874929983083444E-4</v>
      </c>
      <c r="Z833">
        <f t="shared" si="274"/>
        <v>2.9998879729335104E-3</v>
      </c>
      <c r="AA833">
        <f t="shared" si="275"/>
        <v>0.19058447661095151</v>
      </c>
      <c r="AB833">
        <f t="shared" si="276"/>
        <v>4.5426928588135525E-2</v>
      </c>
      <c r="AC833">
        <f t="shared" si="277"/>
        <v>3.0878128144902081E-2</v>
      </c>
      <c r="AD833">
        <f t="shared" si="278"/>
        <v>3.4631831717534291E-3</v>
      </c>
      <c r="AE833">
        <f t="shared" si="279"/>
        <v>1.690389999498456E-2</v>
      </c>
      <c r="AG833">
        <f t="shared" si="280"/>
        <v>-0.95336943888890879</v>
      </c>
      <c r="AH833">
        <f t="shared" si="281"/>
        <v>0.32429867072151514</v>
      </c>
      <c r="AI833">
        <f t="shared" si="282"/>
        <v>0.65160696188172573</v>
      </c>
      <c r="AK833" s="26">
        <f t="shared" si="283"/>
        <v>-2.641972990606839E-2</v>
      </c>
      <c r="AL833" s="26">
        <f t="shared" si="284"/>
        <v>1.3458704297023005E-2</v>
      </c>
      <c r="AM833" s="26">
        <f t="shared" si="285"/>
        <v>1.2529608970571371E-2</v>
      </c>
      <c r="AN833" s="26">
        <f t="shared" si="286"/>
        <v>-15.993571428571418</v>
      </c>
      <c r="AO833" s="26">
        <f t="shared" si="287"/>
        <v>-17.723286679536649</v>
      </c>
      <c r="AP833" s="26">
        <f t="shared" si="288"/>
        <v>-21.137922517207485</v>
      </c>
      <c r="AS833" s="2">
        <v>44647</v>
      </c>
      <c r="AT833">
        <v>9.6999999999999993</v>
      </c>
      <c r="AU833">
        <v>0</v>
      </c>
      <c r="AV833">
        <v>12.8</v>
      </c>
      <c r="AW833">
        <v>3.1</v>
      </c>
      <c r="AX833">
        <v>223.71</v>
      </c>
      <c r="AY833">
        <v>0.2</v>
      </c>
      <c r="AZ833">
        <v>2.4</v>
      </c>
      <c r="BA833">
        <v>278.45580000000001</v>
      </c>
      <c r="BB833">
        <v>137.66550000000001</v>
      </c>
      <c r="BC833">
        <v>62.1432</v>
      </c>
      <c r="BD833">
        <v>3.8763000000000001</v>
      </c>
      <c r="BE833">
        <v>13.517899999999999</v>
      </c>
      <c r="BH833">
        <v>26.36</v>
      </c>
    </row>
    <row r="834" spans="1:60" x14ac:dyDescent="0.25">
      <c r="A834" s="2">
        <v>44667</v>
      </c>
      <c r="C834">
        <v>1.2</v>
      </c>
      <c r="F834">
        <v>249.71</v>
      </c>
      <c r="K834">
        <v>39.5259</v>
      </c>
      <c r="P834">
        <v>28.73</v>
      </c>
      <c r="S834">
        <f t="shared" ref="S834:S897" si="289">SUM(B834:M834)</f>
        <v>290.4359</v>
      </c>
      <c r="T834">
        <f t="shared" si="268"/>
        <v>0</v>
      </c>
      <c r="U834">
        <f t="shared" si="269"/>
        <v>1.1249579898500663E-3</v>
      </c>
      <c r="V834">
        <f t="shared" si="270"/>
        <v>0</v>
      </c>
      <c r="W834">
        <f t="shared" si="271"/>
        <v>0</v>
      </c>
      <c r="X834">
        <f t="shared" si="272"/>
        <v>0.23409438303788338</v>
      </c>
      <c r="Y834">
        <f t="shared" si="273"/>
        <v>0</v>
      </c>
      <c r="Z834">
        <f t="shared" si="274"/>
        <v>0</v>
      </c>
      <c r="AA834">
        <f t="shared" si="275"/>
        <v>0</v>
      </c>
      <c r="AB834">
        <f t="shared" si="276"/>
        <v>0</v>
      </c>
      <c r="AC834">
        <f t="shared" si="277"/>
        <v>3.7054147509178945E-2</v>
      </c>
      <c r="AD834">
        <f t="shared" si="278"/>
        <v>0</v>
      </c>
      <c r="AE834">
        <f t="shared" si="279"/>
        <v>0</v>
      </c>
      <c r="AG834">
        <f t="shared" si="280"/>
        <v>-0.97385510620919313</v>
      </c>
      <c r="AH834">
        <f t="shared" si="281"/>
        <v>0.23521934102773345</v>
      </c>
      <c r="AI834">
        <f t="shared" si="282"/>
        <v>-8.683882415526338E-2</v>
      </c>
      <c r="AK834" s="26">
        <f t="shared" si="283"/>
        <v>-3.1605080908474026E-2</v>
      </c>
      <c r="AL834" s="26">
        <f t="shared" si="284"/>
        <v>1.0731893210110033E-2</v>
      </c>
      <c r="AM834" s="26">
        <f t="shared" si="285"/>
        <v>1.097981515689353E-2</v>
      </c>
      <c r="AN834" s="26">
        <f t="shared" si="286"/>
        <v>-16.070238095238096</v>
      </c>
      <c r="AO834" s="26">
        <f t="shared" si="287"/>
        <v>-17.825669240669221</v>
      </c>
      <c r="AP834" s="26">
        <f t="shared" si="288"/>
        <v>-21.268115634218304</v>
      </c>
      <c r="AS834" s="2">
        <v>44646</v>
      </c>
      <c r="AT834">
        <v>9.8000000000000007</v>
      </c>
      <c r="AU834">
        <v>4.7</v>
      </c>
      <c r="AV834">
        <v>29.2</v>
      </c>
      <c r="AW834">
        <v>9.4</v>
      </c>
      <c r="AX834">
        <v>215.79</v>
      </c>
      <c r="AY834">
        <v>0.2</v>
      </c>
      <c r="AZ834">
        <v>2.2999999999999998</v>
      </c>
      <c r="BA834">
        <v>267.40730000000002</v>
      </c>
      <c r="BB834">
        <v>145.55430000000001</v>
      </c>
      <c r="BC834">
        <v>57.981099999999998</v>
      </c>
      <c r="BD834">
        <v>3.8713000000000002</v>
      </c>
      <c r="BE834">
        <v>17.9117</v>
      </c>
      <c r="BH834">
        <v>26.16</v>
      </c>
    </row>
    <row r="835" spans="1:60" x14ac:dyDescent="0.25">
      <c r="A835" s="2">
        <v>44666</v>
      </c>
      <c r="C835">
        <v>34.1</v>
      </c>
      <c r="F835">
        <v>153.38</v>
      </c>
      <c r="K835">
        <v>57.674799999999998</v>
      </c>
      <c r="N835">
        <v>-49.717700000000001</v>
      </c>
      <c r="O835">
        <v>-7.6806000000000001</v>
      </c>
      <c r="P835">
        <v>28.31</v>
      </c>
      <c r="S835">
        <f t="shared" si="289"/>
        <v>245.15479999999999</v>
      </c>
      <c r="T835">
        <f t="shared" si="268"/>
        <v>0</v>
      </c>
      <c r="U835">
        <f t="shared" si="269"/>
        <v>3.1967556211572719E-2</v>
      </c>
      <c r="V835">
        <f t="shared" si="270"/>
        <v>0</v>
      </c>
      <c r="W835">
        <f t="shared" si="271"/>
        <v>0</v>
      </c>
      <c r="X835">
        <f t="shared" si="272"/>
        <v>0.14378838040266931</v>
      </c>
      <c r="Y835">
        <f t="shared" si="273"/>
        <v>0</v>
      </c>
      <c r="Z835">
        <f t="shared" si="274"/>
        <v>0</v>
      </c>
      <c r="AA835">
        <f t="shared" si="275"/>
        <v>0</v>
      </c>
      <c r="AB835">
        <f t="shared" si="276"/>
        <v>0</v>
      </c>
      <c r="AC835">
        <f t="shared" si="277"/>
        <v>5.40681058941705E-2</v>
      </c>
      <c r="AD835">
        <f t="shared" si="278"/>
        <v>0</v>
      </c>
      <c r="AE835">
        <f t="shared" si="279"/>
        <v>0</v>
      </c>
      <c r="AG835">
        <f t="shared" si="280"/>
        <v>-0.99357838396725451</v>
      </c>
      <c r="AH835">
        <f t="shared" si="281"/>
        <v>0.17575593661424202</v>
      </c>
      <c r="AI835">
        <f t="shared" si="282"/>
        <v>-0.58117464054038281</v>
      </c>
      <c r="AK835" s="26">
        <f t="shared" si="283"/>
        <v>-2.9927868988285256E-2</v>
      </c>
      <c r="AL835" s="26">
        <f t="shared" si="284"/>
        <v>1.2297961024321097E-2</v>
      </c>
      <c r="AM835" s="26">
        <f t="shared" si="285"/>
        <v>1.1348245749346064E-2</v>
      </c>
      <c r="AN835" s="26">
        <f t="shared" si="286"/>
        <v>-16.144047619047615</v>
      </c>
      <c r="AO835" s="26">
        <f t="shared" si="287"/>
        <v>-17.925447232947214</v>
      </c>
      <c r="AP835" s="26">
        <f t="shared" si="288"/>
        <v>-21.393714454277294</v>
      </c>
      <c r="AS835" s="2">
        <v>44645</v>
      </c>
      <c r="AT835">
        <v>9.8000000000000007</v>
      </c>
      <c r="AU835">
        <v>2.5</v>
      </c>
      <c r="AV835">
        <v>10.8</v>
      </c>
      <c r="AW835">
        <v>2.8</v>
      </c>
      <c r="AX835">
        <v>231.78</v>
      </c>
      <c r="AY835">
        <v>0.2</v>
      </c>
      <c r="AZ835">
        <v>2.7</v>
      </c>
      <c r="BA835">
        <v>258.35919999999999</v>
      </c>
      <c r="BB835">
        <v>239.21170000000001</v>
      </c>
      <c r="BC835">
        <v>98.6815</v>
      </c>
      <c r="BD835">
        <v>3.9449999999999998</v>
      </c>
      <c r="BE835">
        <v>21.261299999999999</v>
      </c>
      <c r="BF835">
        <v>-24.198699999999999</v>
      </c>
      <c r="BG835">
        <v>48.118699999999997</v>
      </c>
      <c r="BH835">
        <v>25.92</v>
      </c>
    </row>
    <row r="836" spans="1:60" x14ac:dyDescent="0.25">
      <c r="A836" s="2">
        <v>44665</v>
      </c>
      <c r="B836">
        <v>13.3</v>
      </c>
      <c r="C836">
        <v>0.6</v>
      </c>
      <c r="D836">
        <v>30.9</v>
      </c>
      <c r="E836">
        <v>5.3</v>
      </c>
      <c r="F836">
        <v>188.62</v>
      </c>
      <c r="G836">
        <v>0.2</v>
      </c>
      <c r="H836">
        <v>3.2</v>
      </c>
      <c r="I836">
        <v>249.89959999999999</v>
      </c>
      <c r="J836">
        <v>154.5164</v>
      </c>
      <c r="K836">
        <v>89.838300000000004</v>
      </c>
      <c r="L836">
        <v>3.6655000000000002</v>
      </c>
      <c r="M836">
        <v>21.441700000000001</v>
      </c>
      <c r="N836">
        <v>-18.5702</v>
      </c>
      <c r="O836">
        <v>20.069800000000001</v>
      </c>
      <c r="P836">
        <v>27.9</v>
      </c>
      <c r="S836">
        <f t="shared" si="289"/>
        <v>761.48149999999987</v>
      </c>
      <c r="T836">
        <f t="shared" si="268"/>
        <v>1.2468284387504903E-2</v>
      </c>
      <c r="U836">
        <f t="shared" si="269"/>
        <v>5.6247899492503314E-4</v>
      </c>
      <c r="V836">
        <f t="shared" si="270"/>
        <v>2.8967668238639204E-2</v>
      </c>
      <c r="W836">
        <f t="shared" si="271"/>
        <v>4.9685644551711256E-3</v>
      </c>
      <c r="X836">
        <f t="shared" si="272"/>
        <v>0.1768246467045996</v>
      </c>
      <c r="Y836">
        <f t="shared" si="273"/>
        <v>1.874929983083444E-4</v>
      </c>
      <c r="Z836">
        <f t="shared" si="274"/>
        <v>2.9998879729335104E-3</v>
      </c>
      <c r="AA836">
        <f t="shared" si="275"/>
        <v>0.23427212640027967</v>
      </c>
      <c r="AB836">
        <f t="shared" si="276"/>
        <v>0.14485371561905733</v>
      </c>
      <c r="AC836">
        <f t="shared" si="277"/>
        <v>8.422026114962268E-2</v>
      </c>
      <c r="AD836">
        <f t="shared" si="278"/>
        <v>3.436277926496182E-3</v>
      </c>
      <c r="AE836">
        <f t="shared" si="279"/>
        <v>2.0100843109140138E-2</v>
      </c>
      <c r="AG836">
        <f t="shared" si="280"/>
        <v>-1.0129987305124237</v>
      </c>
      <c r="AH836">
        <f t="shared" si="281"/>
        <v>0.24707986686122188</v>
      </c>
      <c r="AI836">
        <f t="shared" si="282"/>
        <v>1.1663806801714952E-2</v>
      </c>
      <c r="AK836" s="26">
        <f t="shared" si="283"/>
        <v>-2.801275523795721E-2</v>
      </c>
      <c r="AL836" s="26">
        <f t="shared" si="284"/>
        <v>1.3412639867386306E-2</v>
      </c>
      <c r="AM836" s="26">
        <f t="shared" si="285"/>
        <v>1.1928052448959614E-2</v>
      </c>
      <c r="AN836" s="26">
        <f t="shared" si="286"/>
        <v>-16.217619047619042</v>
      </c>
      <c r="AO836" s="26">
        <f t="shared" si="287"/>
        <v>-18.020823680823668</v>
      </c>
      <c r="AP836" s="26">
        <f t="shared" si="288"/>
        <v>-21.513432055063937</v>
      </c>
      <c r="AS836" s="2">
        <v>44644</v>
      </c>
      <c r="AT836">
        <v>9.5</v>
      </c>
      <c r="AU836">
        <v>72.3</v>
      </c>
      <c r="AV836">
        <v>2.1</v>
      </c>
      <c r="AW836">
        <v>1.5</v>
      </c>
      <c r="AX836">
        <v>233.6</v>
      </c>
      <c r="AY836">
        <v>0.1</v>
      </c>
      <c r="AZ836">
        <v>3.1</v>
      </c>
      <c r="BA836">
        <v>273.6678</v>
      </c>
      <c r="BB836">
        <v>250.4314</v>
      </c>
      <c r="BC836">
        <v>140.09719999999999</v>
      </c>
      <c r="BD836">
        <v>3.9245000000000001</v>
      </c>
      <c r="BE836">
        <v>26.1417</v>
      </c>
      <c r="BF836">
        <v>-21.4542</v>
      </c>
      <c r="BG836">
        <v>65.170500000000004</v>
      </c>
      <c r="BH836">
        <v>25.8</v>
      </c>
    </row>
    <row r="837" spans="1:60" x14ac:dyDescent="0.25">
      <c r="A837" s="2">
        <v>44664</v>
      </c>
      <c r="B837">
        <v>11.7</v>
      </c>
      <c r="C837">
        <v>81.8</v>
      </c>
      <c r="D837">
        <v>37</v>
      </c>
      <c r="E837">
        <v>5.7</v>
      </c>
      <c r="F837">
        <v>228.46</v>
      </c>
      <c r="G837">
        <v>0.2</v>
      </c>
      <c r="H837">
        <v>3</v>
      </c>
      <c r="I837">
        <v>234.55670000000001</v>
      </c>
      <c r="J837">
        <v>153.78020000000001</v>
      </c>
      <c r="K837">
        <v>92.873900000000006</v>
      </c>
      <c r="L837">
        <v>4.0631000000000004</v>
      </c>
      <c r="M837">
        <v>33.331099999999999</v>
      </c>
      <c r="N837">
        <v>-28.816700000000001</v>
      </c>
      <c r="O837">
        <v>29.820599999999999</v>
      </c>
      <c r="P837">
        <v>27.29</v>
      </c>
      <c r="S837">
        <f t="shared" si="289"/>
        <v>886.46500000000003</v>
      </c>
      <c r="T837">
        <f t="shared" ref="T837:T900" si="290">B837/$S$4</f>
        <v>1.0968340401038145E-2</v>
      </c>
      <c r="U837">
        <f t="shared" ref="U837:U900" si="291">C837/$S$4</f>
        <v>7.6684636308112855E-2</v>
      </c>
      <c r="V837">
        <f t="shared" ref="V837:V900" si="292">D837/$S$4</f>
        <v>3.4686204687043712E-2</v>
      </c>
      <c r="W837">
        <f t="shared" ref="W837:W900" si="293">E837/$S$4</f>
        <v>5.3435504517878154E-3</v>
      </c>
      <c r="X837">
        <f t="shared" ref="X837:X900" si="294">F837/$S$4</f>
        <v>0.2141732519676218</v>
      </c>
      <c r="Y837">
        <f t="shared" ref="Y837:Y900" si="295">G837/$S$4</f>
        <v>1.874929983083444E-4</v>
      </c>
      <c r="Z837">
        <f t="shared" ref="Z837:Z900" si="296">H837/$S$4</f>
        <v>2.8123949746251659E-3</v>
      </c>
      <c r="AA837">
        <f t="shared" ref="AA837:AA900" si="297">I837/$S$4</f>
        <v>0.21988869478155421</v>
      </c>
      <c r="AB837">
        <f t="shared" ref="AB837:AB900" si="298">J837/$S$4</f>
        <v>0.1441635538922843</v>
      </c>
      <c r="AC837">
        <f t="shared" ref="AC837:AC900" si="299">K837/$S$4</f>
        <v>8.7066029877946732E-2</v>
      </c>
      <c r="AD837">
        <f t="shared" ref="AD837:AD900" si="300">L837/$S$4</f>
        <v>3.8090140071331707E-3</v>
      </c>
      <c r="AE837">
        <f t="shared" ref="AE837:AE900" si="301">M837/$S$4</f>
        <v>3.1246739379576286E-2</v>
      </c>
      <c r="AG837">
        <f t="shared" ref="AG837:AG900" si="302">(P837-AVERAGE(P837:P1201)) / _xlfn.STDEV.S(P837:P2664)</f>
        <v>-1.0415191795393772</v>
      </c>
      <c r="AH837">
        <f t="shared" ref="AH837:AH900" si="303">SUM(T837:Y837,Z837,AE837)</f>
        <v>0.37610261116811411</v>
      </c>
      <c r="AI837">
        <f t="shared" ref="AI837:AI900" si="304">(AH837-AVERAGE(AH837:AH1201))/_xlfn.STDEV.S(AH837:AH1201)</f>
        <v>1.0865169301982831</v>
      </c>
      <c r="AK837" s="26">
        <f t="shared" ref="AK837:AK900" si="305">AVERAGEA(AH837:AH857)-AVERAGE(AH1203:AH1223, AH1568:AH1588, AH1933:AH1953)</f>
        <v>-2.3409556602941972E-2</v>
      </c>
      <c r="AL837" s="26">
        <f t="shared" ref="AL837:AL900" si="306">AVERAGEA(AH837:AH892)-AVERAGE(AH1203:AH1258, AH1568:AH1622, AH1933:AH1987)</f>
        <v>1.3964842807230538E-2</v>
      </c>
      <c r="AM837" s="26">
        <f t="shared" ref="AM837:AM900" si="307">AVERAGEA(AH837:AH949)-AVERAGE(AH1203:AH1315,AH1568:AH1679,AH1933:AH2044)</f>
        <v>1.2073134199204555E-2</v>
      </c>
      <c r="AN837" s="26">
        <f t="shared" ref="AN837:AN900" si="308">AVERAGEA(P837:P857)-AVERAGE(P1203:P1223, P1568:P1588, P1933:P1953)</f>
        <v>-16.286904761904768</v>
      </c>
      <c r="AO837" s="26">
        <f t="shared" ref="AO837:AO900" si="309">AVERAGEA(P837:P892)-AVERAGE(P1203:P1258, P1568:P1622, P1933:P1987)</f>
        <v>-18.112701093951067</v>
      </c>
      <c r="AP837" s="26">
        <f t="shared" ref="AP837:AP900" si="310">AVERAGEA(P837:P949)-AVERAGE(P1203:P1315,P1568:P1679,P1933:P2044)</f>
        <v>-21.625545329400225</v>
      </c>
      <c r="AS837" s="2">
        <v>44643</v>
      </c>
      <c r="AT837">
        <v>9.1</v>
      </c>
      <c r="AU837">
        <v>0</v>
      </c>
      <c r="AV837">
        <v>1.9</v>
      </c>
      <c r="AW837">
        <v>1.7</v>
      </c>
      <c r="AX837">
        <v>236.04</v>
      </c>
      <c r="AY837">
        <v>0.2</v>
      </c>
      <c r="AZ837">
        <v>3.1</v>
      </c>
      <c r="BA837">
        <v>279.14</v>
      </c>
      <c r="BB837">
        <v>239.88980000000001</v>
      </c>
      <c r="BC837">
        <v>135.79300000000001</v>
      </c>
      <c r="BD837">
        <v>3.9117000000000002</v>
      </c>
      <c r="BE837">
        <v>20.6526</v>
      </c>
      <c r="BF837">
        <v>-27.299600000000002</v>
      </c>
      <c r="BG837">
        <v>65.213800000000006</v>
      </c>
      <c r="BH837">
        <v>25.68</v>
      </c>
    </row>
    <row r="838" spans="1:60" x14ac:dyDescent="0.25">
      <c r="A838" s="2">
        <v>44663</v>
      </c>
      <c r="B838">
        <v>11.7</v>
      </c>
      <c r="C838">
        <v>71.599999999999994</v>
      </c>
      <c r="D838">
        <v>59.5</v>
      </c>
      <c r="E838">
        <v>11.3</v>
      </c>
      <c r="F838">
        <v>253.09</v>
      </c>
      <c r="G838">
        <v>0.2</v>
      </c>
      <c r="H838">
        <v>3</v>
      </c>
      <c r="I838">
        <v>251.95269999999999</v>
      </c>
      <c r="J838">
        <v>128.16820000000001</v>
      </c>
      <c r="K838">
        <v>66.192599999999999</v>
      </c>
      <c r="L838">
        <v>3.6583000000000001</v>
      </c>
      <c r="M838">
        <v>31.016300000000001</v>
      </c>
      <c r="N838">
        <v>-25.584299999999999</v>
      </c>
      <c r="O838">
        <v>27.118600000000001</v>
      </c>
      <c r="P838">
        <v>27.33</v>
      </c>
      <c r="S838">
        <f t="shared" si="289"/>
        <v>891.37810000000002</v>
      </c>
      <c r="T838">
        <f t="shared" si="290"/>
        <v>1.0968340401038145E-2</v>
      </c>
      <c r="U838">
        <f t="shared" si="291"/>
        <v>6.7122493394387278E-2</v>
      </c>
      <c r="V838">
        <f t="shared" si="292"/>
        <v>5.5779166996732452E-2</v>
      </c>
      <c r="W838">
        <f t="shared" si="293"/>
        <v>1.0593354404421457E-2</v>
      </c>
      <c r="X838">
        <f t="shared" si="294"/>
        <v>0.2372630147092944</v>
      </c>
      <c r="Y838">
        <f t="shared" si="295"/>
        <v>1.874929983083444E-4</v>
      </c>
      <c r="Z838">
        <f t="shared" si="296"/>
        <v>2.8123949746251659E-3</v>
      </c>
      <c r="AA838">
        <f t="shared" si="297"/>
        <v>0.236196835774414</v>
      </c>
      <c r="AB838">
        <f t="shared" si="298"/>
        <v>0.12015320052891773</v>
      </c>
      <c r="AC838">
        <f t="shared" si="299"/>
        <v>6.2053245199124578E-2</v>
      </c>
      <c r="AD838">
        <f t="shared" si="300"/>
        <v>3.4295281785570813E-3</v>
      </c>
      <c r="AE838">
        <f t="shared" si="301"/>
        <v>2.9076695417155511E-2</v>
      </c>
      <c r="AG838">
        <f t="shared" si="302"/>
        <v>-1.0411653382007657</v>
      </c>
      <c r="AH838">
        <f t="shared" si="303"/>
        <v>0.41380295329596273</v>
      </c>
      <c r="AI838">
        <f t="shared" si="304"/>
        <v>1.4052879211636971</v>
      </c>
      <c r="AK838" s="26">
        <f t="shared" si="305"/>
        <v>-2.8213794605393361E-2</v>
      </c>
      <c r="AL838" s="26">
        <f t="shared" si="306"/>
        <v>1.1586793295070064E-2</v>
      </c>
      <c r="AM838" s="26">
        <f t="shared" si="307"/>
        <v>1.0905008551485157E-2</v>
      </c>
      <c r="AN838" s="26">
        <f t="shared" si="308"/>
        <v>-16.344047619047625</v>
      </c>
      <c r="AO838" s="26">
        <f t="shared" si="309"/>
        <v>-18.198138674388648</v>
      </c>
      <c r="AP838" s="26">
        <f t="shared" si="310"/>
        <v>-21.726603736479881</v>
      </c>
      <c r="AS838" s="2">
        <v>44642</v>
      </c>
      <c r="AT838">
        <v>8.6</v>
      </c>
      <c r="AU838">
        <v>14.5</v>
      </c>
      <c r="AV838">
        <v>5</v>
      </c>
      <c r="AW838">
        <v>2.2999999999999998</v>
      </c>
      <c r="AX838">
        <v>236.92</v>
      </c>
      <c r="AY838">
        <v>0.2</v>
      </c>
      <c r="AZ838">
        <v>3.2</v>
      </c>
      <c r="BA838">
        <v>271.05169999999998</v>
      </c>
      <c r="BB838">
        <v>211.04820000000001</v>
      </c>
      <c r="BC838">
        <v>134.3252</v>
      </c>
      <c r="BD838">
        <v>3.9619</v>
      </c>
      <c r="BE838">
        <v>23.870999999999999</v>
      </c>
      <c r="BF838">
        <v>-25.806999999999999</v>
      </c>
      <c r="BG838">
        <v>37.881700000000002</v>
      </c>
      <c r="BH838">
        <v>25.64</v>
      </c>
    </row>
    <row r="839" spans="1:60" x14ac:dyDescent="0.25">
      <c r="A839" s="2">
        <v>44662</v>
      </c>
      <c r="B839">
        <v>11.8</v>
      </c>
      <c r="C839">
        <v>2.7</v>
      </c>
      <c r="D839">
        <v>17.3</v>
      </c>
      <c r="E839">
        <v>4.2</v>
      </c>
      <c r="F839">
        <v>268.66000000000003</v>
      </c>
      <c r="G839">
        <v>0.2</v>
      </c>
      <c r="H839">
        <v>2.9</v>
      </c>
      <c r="I839">
        <v>280.61720000000003</v>
      </c>
      <c r="J839">
        <v>170.13939999999999</v>
      </c>
      <c r="K839">
        <v>87.186199999999999</v>
      </c>
      <c r="L839">
        <v>3.6419999999999999</v>
      </c>
      <c r="M839">
        <v>35.856400000000001</v>
      </c>
      <c r="N839">
        <v>-21.3659</v>
      </c>
      <c r="O839">
        <v>35.214799999999997</v>
      </c>
      <c r="P839">
        <v>27.1</v>
      </c>
      <c r="S839">
        <f t="shared" si="289"/>
        <v>885.20120000000009</v>
      </c>
      <c r="T839">
        <f t="shared" si="290"/>
        <v>1.1062086900192319E-2</v>
      </c>
      <c r="U839">
        <f t="shared" si="291"/>
        <v>2.5311554771626494E-3</v>
      </c>
      <c r="V839">
        <f t="shared" si="292"/>
        <v>1.621814435367179E-2</v>
      </c>
      <c r="W839">
        <f t="shared" si="293"/>
        <v>3.9373529644752322E-3</v>
      </c>
      <c r="X839">
        <f t="shared" si="294"/>
        <v>0.25185934462759901</v>
      </c>
      <c r="Y839">
        <f t="shared" si="295"/>
        <v>1.874929983083444E-4</v>
      </c>
      <c r="Z839">
        <f t="shared" si="296"/>
        <v>2.7186484754709935E-3</v>
      </c>
      <c r="AA839">
        <f t="shared" si="297"/>
        <v>0.26306880102446173</v>
      </c>
      <c r="AB839">
        <f t="shared" si="298"/>
        <v>0.15949973118191363</v>
      </c>
      <c r="AC839">
        <f t="shared" si="299"/>
        <v>8.1734010245554878E-2</v>
      </c>
      <c r="AD839">
        <f t="shared" si="300"/>
        <v>3.414247499194951E-3</v>
      </c>
      <c r="AE839">
        <f t="shared" si="301"/>
        <v>3.36141197227166E-2</v>
      </c>
      <c r="AG839">
        <f t="shared" si="302"/>
        <v>-1.0529447903118725</v>
      </c>
      <c r="AH839">
        <f t="shared" si="303"/>
        <v>0.32212834551959696</v>
      </c>
      <c r="AI839">
        <f t="shared" si="304"/>
        <v>0.64716401326932915</v>
      </c>
      <c r="AK839" s="26">
        <f t="shared" si="305"/>
        <v>-2.6283904621150989E-2</v>
      </c>
      <c r="AL839" s="26">
        <f t="shared" si="306"/>
        <v>1.1229262546705504E-2</v>
      </c>
      <c r="AM839" s="26">
        <f t="shared" si="307"/>
        <v>9.1050511816225255E-3</v>
      </c>
      <c r="AN839" s="26">
        <f t="shared" si="308"/>
        <v>-16.419285714285714</v>
      </c>
      <c r="AO839" s="26">
        <f t="shared" si="309"/>
        <v>-18.29064510939509</v>
      </c>
      <c r="AP839" s="26">
        <f t="shared" si="310"/>
        <v>-21.823246411012818</v>
      </c>
      <c r="AS839" s="2">
        <v>44641</v>
      </c>
      <c r="AT839">
        <v>8</v>
      </c>
      <c r="AU839">
        <v>14.2</v>
      </c>
      <c r="AV839">
        <v>28.2</v>
      </c>
      <c r="AW839">
        <v>8.6999999999999993</v>
      </c>
      <c r="AX839">
        <v>220.9</v>
      </c>
      <c r="AY839">
        <v>0.2</v>
      </c>
      <c r="AZ839">
        <v>3.2</v>
      </c>
      <c r="BA839">
        <v>260.11380000000003</v>
      </c>
      <c r="BB839">
        <v>189.8288</v>
      </c>
      <c r="BC839">
        <v>106.4759</v>
      </c>
      <c r="BD839">
        <v>3.5196000000000001</v>
      </c>
      <c r="BE839">
        <v>31.7562</v>
      </c>
      <c r="BF839">
        <v>-27.7927</v>
      </c>
      <c r="BG839">
        <v>42.8123</v>
      </c>
      <c r="BH839">
        <v>25.65</v>
      </c>
    </row>
    <row r="840" spans="1:60" x14ac:dyDescent="0.25">
      <c r="A840" s="2">
        <v>44661</v>
      </c>
      <c r="B840">
        <v>12.5</v>
      </c>
      <c r="C840">
        <v>35.299999999999997</v>
      </c>
      <c r="D840">
        <v>64.900000000000006</v>
      </c>
      <c r="E840">
        <v>15.6</v>
      </c>
      <c r="F840">
        <v>183.21</v>
      </c>
      <c r="G840">
        <v>0.2</v>
      </c>
      <c r="H840">
        <v>2.9</v>
      </c>
      <c r="I840">
        <v>145.88929999999999</v>
      </c>
      <c r="J840">
        <v>81.082599999999999</v>
      </c>
      <c r="K840">
        <v>43.549700000000001</v>
      </c>
      <c r="L840">
        <v>3.6124999999999998</v>
      </c>
      <c r="M840">
        <v>14.242599999999999</v>
      </c>
      <c r="P840">
        <v>26.99</v>
      </c>
      <c r="S840">
        <f t="shared" si="289"/>
        <v>602.98669999999993</v>
      </c>
      <c r="T840">
        <f t="shared" si="290"/>
        <v>1.1718312394271523E-2</v>
      </c>
      <c r="U840">
        <f t="shared" si="291"/>
        <v>3.3092514201422778E-2</v>
      </c>
      <c r="V840">
        <f t="shared" si="292"/>
        <v>6.0841477951057758E-2</v>
      </c>
      <c r="W840">
        <f t="shared" si="293"/>
        <v>1.4624453868050861E-2</v>
      </c>
      <c r="X840">
        <f t="shared" si="294"/>
        <v>0.17175296110035887</v>
      </c>
      <c r="Y840">
        <f t="shared" si="295"/>
        <v>1.874929983083444E-4</v>
      </c>
      <c r="Z840">
        <f t="shared" si="296"/>
        <v>2.7186484754709935E-3</v>
      </c>
      <c r="AA840">
        <f t="shared" si="297"/>
        <v>0.13676611139052772</v>
      </c>
      <c r="AB840">
        <f t="shared" si="298"/>
        <v>7.6012098923180824E-2</v>
      </c>
      <c r="AC840">
        <f t="shared" si="299"/>
        <v>4.0826319142144525E-2</v>
      </c>
      <c r="AD840">
        <f t="shared" si="300"/>
        <v>3.3865922819444703E-3</v>
      </c>
      <c r="AE840">
        <f t="shared" si="301"/>
        <v>1.3351938888532129E-2</v>
      </c>
      <c r="AG840">
        <f t="shared" si="302"/>
        <v>-1.0594526077566329</v>
      </c>
      <c r="AH840">
        <f t="shared" si="303"/>
        <v>0.30828779987747323</v>
      </c>
      <c r="AI840">
        <f t="shared" si="304"/>
        <v>0.53374479391420349</v>
      </c>
      <c r="AK840" s="26">
        <f t="shared" si="305"/>
        <v>-2.6108580811256721E-2</v>
      </c>
      <c r="AL840" s="26">
        <f t="shared" si="306"/>
        <v>1.0299917335193642E-2</v>
      </c>
      <c r="AM840" s="26">
        <f t="shared" si="307"/>
        <v>7.8520180372634307E-3</v>
      </c>
      <c r="AN840" s="26">
        <f t="shared" si="308"/>
        <v>-16.495476190476197</v>
      </c>
      <c r="AO840" s="26">
        <f t="shared" si="309"/>
        <v>-18.384057271557239</v>
      </c>
      <c r="AP840" s="26">
        <f t="shared" si="310"/>
        <v>-21.914324877089491</v>
      </c>
      <c r="AS840" s="2">
        <v>44640</v>
      </c>
      <c r="AT840">
        <v>8.3000000000000007</v>
      </c>
      <c r="AU840">
        <v>15.6</v>
      </c>
      <c r="AV840">
        <v>48.2</v>
      </c>
      <c r="AW840">
        <v>18.399999999999999</v>
      </c>
      <c r="AX840">
        <v>206.66</v>
      </c>
      <c r="AY840">
        <v>0.2</v>
      </c>
      <c r="AZ840">
        <v>3</v>
      </c>
      <c r="BA840">
        <v>150.20769999999999</v>
      </c>
      <c r="BB840">
        <v>68.429199999999994</v>
      </c>
      <c r="BC840">
        <v>37.361400000000003</v>
      </c>
      <c r="BD840">
        <v>3.4762</v>
      </c>
      <c r="BE840">
        <v>12.672800000000001</v>
      </c>
      <c r="BH840">
        <v>25.71</v>
      </c>
    </row>
    <row r="841" spans="1:60" x14ac:dyDescent="0.25">
      <c r="A841" s="2">
        <v>44660</v>
      </c>
      <c r="B841">
        <v>13.8</v>
      </c>
      <c r="C841">
        <v>2.2000000000000002</v>
      </c>
      <c r="D841">
        <v>73</v>
      </c>
      <c r="E841">
        <v>15.6</v>
      </c>
      <c r="F841">
        <v>170.08</v>
      </c>
      <c r="G841">
        <v>0.2</v>
      </c>
      <c r="H841">
        <v>3</v>
      </c>
      <c r="I841">
        <v>166.40880000000001</v>
      </c>
      <c r="J841">
        <v>77.014300000000006</v>
      </c>
      <c r="K841">
        <v>42.971200000000003</v>
      </c>
      <c r="L841">
        <v>3.6631</v>
      </c>
      <c r="M841">
        <v>19.1129</v>
      </c>
      <c r="P841">
        <v>26.77</v>
      </c>
      <c r="S841">
        <f t="shared" si="289"/>
        <v>587.05029999999999</v>
      </c>
      <c r="T841">
        <f t="shared" si="290"/>
        <v>1.2937016883275762E-2</v>
      </c>
      <c r="U841">
        <f t="shared" si="291"/>
        <v>2.0624229813917885E-3</v>
      </c>
      <c r="V841">
        <f t="shared" si="292"/>
        <v>6.8434944382545701E-2</v>
      </c>
      <c r="W841">
        <f t="shared" si="293"/>
        <v>1.4624453868050861E-2</v>
      </c>
      <c r="X841">
        <f t="shared" si="294"/>
        <v>0.15944404576141608</v>
      </c>
      <c r="Y841">
        <f t="shared" si="295"/>
        <v>1.874929983083444E-4</v>
      </c>
      <c r="Z841">
        <f t="shared" si="296"/>
        <v>2.8123949746251659E-3</v>
      </c>
      <c r="AA841">
        <f t="shared" si="297"/>
        <v>0.15600242428446812</v>
      </c>
      <c r="AB841">
        <f t="shared" si="298"/>
        <v>7.2198210098091645E-2</v>
      </c>
      <c r="AC841">
        <f t="shared" si="299"/>
        <v>4.0283995644537642E-2</v>
      </c>
      <c r="AD841">
        <f t="shared" si="300"/>
        <v>3.4340280105164813E-3</v>
      </c>
      <c r="AE841">
        <f t="shared" si="301"/>
        <v>1.7917674636837775E-2</v>
      </c>
      <c r="AG841">
        <f t="shared" si="302"/>
        <v>-1.0709516325059751</v>
      </c>
      <c r="AH841">
        <f t="shared" si="303"/>
        <v>0.27842044648645148</v>
      </c>
      <c r="AI841">
        <f t="shared" si="304"/>
        <v>0.28705575970498864</v>
      </c>
      <c r="AK841" s="26">
        <f t="shared" si="305"/>
        <v>-2.8475342873914511E-2</v>
      </c>
      <c r="AL841" s="26">
        <f t="shared" si="306"/>
        <v>1.1385251638838273E-2</v>
      </c>
      <c r="AM841" s="26">
        <f t="shared" si="307"/>
        <v>7.0041862655902676E-3</v>
      </c>
      <c r="AN841" s="26">
        <f t="shared" si="308"/>
        <v>-16.580714285714301</v>
      </c>
      <c r="AO841" s="26">
        <f t="shared" si="309"/>
        <v>-18.481689189189165</v>
      </c>
      <c r="AP841" s="26">
        <f t="shared" si="310"/>
        <v>-22.004046804326478</v>
      </c>
      <c r="AS841" s="2">
        <v>44639</v>
      </c>
      <c r="AT841">
        <v>8.8000000000000007</v>
      </c>
      <c r="AU841">
        <v>9.1999999999999993</v>
      </c>
      <c r="AV841">
        <v>32.9</v>
      </c>
      <c r="AW841">
        <v>15.6</v>
      </c>
      <c r="AX841">
        <v>205.95</v>
      </c>
      <c r="AY841">
        <v>0.2</v>
      </c>
      <c r="AZ841">
        <v>3.2</v>
      </c>
      <c r="BA841">
        <v>218.69839999999999</v>
      </c>
      <c r="BB841">
        <v>94.143199999999993</v>
      </c>
      <c r="BC841">
        <v>43.982799999999997</v>
      </c>
      <c r="BD841">
        <v>3.4948999999999999</v>
      </c>
      <c r="BE841">
        <v>24.540500000000002</v>
      </c>
      <c r="BH841">
        <v>25.51</v>
      </c>
    </row>
    <row r="842" spans="1:60" x14ac:dyDescent="0.25">
      <c r="A842" s="2">
        <v>44659</v>
      </c>
      <c r="B842">
        <v>13.1</v>
      </c>
      <c r="C842">
        <v>214.3</v>
      </c>
      <c r="D842">
        <v>59.2</v>
      </c>
      <c r="E842">
        <v>19</v>
      </c>
      <c r="F842">
        <v>107.63</v>
      </c>
      <c r="G842">
        <v>0.2</v>
      </c>
      <c r="H842">
        <v>2.9</v>
      </c>
      <c r="I842">
        <v>210.45920000000001</v>
      </c>
      <c r="J842">
        <v>105.3762</v>
      </c>
      <c r="K842">
        <v>65.782499999999999</v>
      </c>
      <c r="L842">
        <v>3.6676000000000002</v>
      </c>
      <c r="M842">
        <v>37.726700000000001</v>
      </c>
      <c r="N842">
        <v>-18.1373</v>
      </c>
      <c r="O842">
        <v>46.7134</v>
      </c>
      <c r="P842">
        <v>26.59</v>
      </c>
      <c r="S842">
        <f t="shared" si="289"/>
        <v>839.34220000000005</v>
      </c>
      <c r="T842">
        <f t="shared" si="290"/>
        <v>1.2280791389196556E-2</v>
      </c>
      <c r="U842">
        <f t="shared" si="291"/>
        <v>0.20089874768739102</v>
      </c>
      <c r="V842">
        <f t="shared" si="292"/>
        <v>5.549792749926994E-2</v>
      </c>
      <c r="W842">
        <f t="shared" si="293"/>
        <v>1.7811834839292717E-2</v>
      </c>
      <c r="X842">
        <f t="shared" si="294"/>
        <v>0.10089935703963553</v>
      </c>
      <c r="Y842">
        <f t="shared" si="295"/>
        <v>1.874929983083444E-4</v>
      </c>
      <c r="Z842">
        <f t="shared" si="296"/>
        <v>2.7186484754709935E-3</v>
      </c>
      <c r="AA842">
        <f t="shared" si="297"/>
        <v>0.19729813214787756</v>
      </c>
      <c r="AB842">
        <f t="shared" si="298"/>
        <v>9.8786498441698789E-2</v>
      </c>
      <c r="AC842">
        <f t="shared" si="299"/>
        <v>6.1668790806093318E-2</v>
      </c>
      <c r="AD842">
        <f t="shared" si="300"/>
        <v>3.4382466029784196E-3</v>
      </c>
      <c r="AE842">
        <f t="shared" si="301"/>
        <v>3.536746049639708E-2</v>
      </c>
      <c r="AG842">
        <f t="shared" si="302"/>
        <v>-1.0807290762563608</v>
      </c>
      <c r="AH842">
        <f t="shared" si="303"/>
        <v>0.42566226042496214</v>
      </c>
      <c r="AI842">
        <f t="shared" si="304"/>
        <v>1.5188224344434584</v>
      </c>
      <c r="AK842" s="26">
        <f t="shared" si="305"/>
        <v>-2.5502953874066231E-2</v>
      </c>
      <c r="AL842" s="26">
        <f t="shared" si="306"/>
        <v>1.291288602765564E-2</v>
      </c>
      <c r="AM842" s="26">
        <f t="shared" si="307"/>
        <v>6.4836453653064618E-3</v>
      </c>
      <c r="AN842" s="26">
        <f t="shared" si="308"/>
        <v>-16.679047619047626</v>
      </c>
      <c r="AO842" s="26">
        <f t="shared" si="309"/>
        <v>-18.584263191763167</v>
      </c>
      <c r="AP842" s="26">
        <f t="shared" si="310"/>
        <v>-22.091170894788625</v>
      </c>
      <c r="AS842" s="2">
        <v>44638</v>
      </c>
      <c r="AT842">
        <v>9</v>
      </c>
      <c r="AU842">
        <v>1</v>
      </c>
      <c r="AV842">
        <v>16.600000000000001</v>
      </c>
      <c r="AW842">
        <v>6.5</v>
      </c>
      <c r="AX842">
        <v>181.33</v>
      </c>
      <c r="AY842">
        <v>0.1</v>
      </c>
      <c r="AZ842">
        <v>3.2</v>
      </c>
      <c r="BA842">
        <v>259.93259999999998</v>
      </c>
      <c r="BB842">
        <v>200.14359999999999</v>
      </c>
      <c r="BC842">
        <v>117.8777</v>
      </c>
      <c r="BD842">
        <v>3.4988000000000001</v>
      </c>
      <c r="BE842">
        <v>19.817799999999998</v>
      </c>
      <c r="BF842">
        <v>-31.1996</v>
      </c>
      <c r="BG842">
        <v>51.498899999999999</v>
      </c>
      <c r="BH842">
        <v>25.6</v>
      </c>
    </row>
    <row r="843" spans="1:60" x14ac:dyDescent="0.25">
      <c r="A843" s="2">
        <v>44658</v>
      </c>
      <c r="B843">
        <v>10.9</v>
      </c>
      <c r="C843">
        <v>1.2</v>
      </c>
      <c r="D843">
        <v>65</v>
      </c>
      <c r="E843">
        <v>23.2</v>
      </c>
      <c r="F843">
        <v>113.65</v>
      </c>
      <c r="G843">
        <v>0.1</v>
      </c>
      <c r="H843">
        <v>3.1</v>
      </c>
      <c r="I843">
        <v>158.19450000000001</v>
      </c>
      <c r="J843">
        <v>75.653800000000004</v>
      </c>
      <c r="K843">
        <v>50.568600000000004</v>
      </c>
      <c r="L843">
        <v>3.7229999999999999</v>
      </c>
      <c r="M843">
        <v>15.8283</v>
      </c>
      <c r="N843">
        <v>-23.732700000000001</v>
      </c>
      <c r="O843">
        <v>48.049799999999998</v>
      </c>
      <c r="P843">
        <v>26.41</v>
      </c>
      <c r="S843">
        <f t="shared" si="289"/>
        <v>521.1182</v>
      </c>
      <c r="T843">
        <f t="shared" si="290"/>
        <v>1.0218368407804769E-2</v>
      </c>
      <c r="U843">
        <f t="shared" si="291"/>
        <v>1.1249579898500663E-3</v>
      </c>
      <c r="V843">
        <f t="shared" si="292"/>
        <v>6.0935224450211926E-2</v>
      </c>
      <c r="W843">
        <f t="shared" si="293"/>
        <v>2.1749187803767948E-2</v>
      </c>
      <c r="X843">
        <f t="shared" si="294"/>
        <v>0.1065428962887167</v>
      </c>
      <c r="Y843">
        <f t="shared" si="295"/>
        <v>9.3746499154172199E-5</v>
      </c>
      <c r="Z843">
        <f t="shared" si="296"/>
        <v>2.9061414737793379E-3</v>
      </c>
      <c r="AA843">
        <f t="shared" si="297"/>
        <v>0.14830180560444692</v>
      </c>
      <c r="AB843">
        <f t="shared" si="298"/>
        <v>7.0922788977099124E-2</v>
      </c>
      <c r="AC843">
        <f t="shared" si="299"/>
        <v>4.7406292171276725E-2</v>
      </c>
      <c r="AD843">
        <f t="shared" si="300"/>
        <v>3.4901821635098303E-3</v>
      </c>
      <c r="AE843">
        <f t="shared" si="301"/>
        <v>1.4838477125619837E-2</v>
      </c>
      <c r="AG843">
        <f t="shared" si="302"/>
        <v>-1.0905957548428364</v>
      </c>
      <c r="AH843">
        <f t="shared" si="303"/>
        <v>0.21840900003890476</v>
      </c>
      <c r="AI843">
        <f t="shared" si="304"/>
        <v>-0.21151505983934535</v>
      </c>
      <c r="AK843" s="26">
        <f t="shared" si="305"/>
        <v>-3.3280739315248359E-2</v>
      </c>
      <c r="AL843" s="26">
        <f t="shared" si="306"/>
        <v>1.0258134825166604E-2</v>
      </c>
      <c r="AM843" s="26">
        <f t="shared" si="307"/>
        <v>4.8744619663610433E-3</v>
      </c>
      <c r="AN843" s="26">
        <f t="shared" si="308"/>
        <v>-16.776666666666674</v>
      </c>
      <c r="AO843" s="26">
        <f t="shared" si="309"/>
        <v>-18.690706241956217</v>
      </c>
      <c r="AP843" s="26">
        <f t="shared" si="310"/>
        <v>-22.175654277286164</v>
      </c>
      <c r="AS843" s="2">
        <v>44637</v>
      </c>
      <c r="AT843">
        <v>9.5</v>
      </c>
      <c r="AU843">
        <v>2.9</v>
      </c>
      <c r="AV843">
        <v>52.9</v>
      </c>
      <c r="AW843">
        <v>15.3</v>
      </c>
      <c r="AX843">
        <v>63.06</v>
      </c>
      <c r="AY843">
        <v>0.1</v>
      </c>
      <c r="AZ843">
        <v>3.1</v>
      </c>
      <c r="BA843">
        <v>269.5659</v>
      </c>
      <c r="BB843">
        <v>183.97620000000001</v>
      </c>
      <c r="BC843">
        <v>128.41229999999999</v>
      </c>
      <c r="BD843">
        <v>3.4672000000000001</v>
      </c>
      <c r="BE843">
        <v>27.75</v>
      </c>
      <c r="BF843">
        <v>-19.203499999999998</v>
      </c>
      <c r="BG843">
        <v>67.438299999999998</v>
      </c>
      <c r="BH843">
        <v>25.66</v>
      </c>
    </row>
    <row r="844" spans="1:60" x14ac:dyDescent="0.25">
      <c r="A844" s="2">
        <v>44657</v>
      </c>
      <c r="B844">
        <v>9.9</v>
      </c>
      <c r="C844">
        <v>1.2</v>
      </c>
      <c r="D844">
        <v>63.1</v>
      </c>
      <c r="E844">
        <v>21.7</v>
      </c>
      <c r="F844">
        <v>121.73</v>
      </c>
      <c r="G844">
        <v>0.1</v>
      </c>
      <c r="H844">
        <v>2.8</v>
      </c>
      <c r="I844">
        <v>231.6825</v>
      </c>
      <c r="J844">
        <v>110.9676</v>
      </c>
      <c r="K844">
        <v>41.617899999999999</v>
      </c>
      <c r="L844">
        <v>3.6446000000000001</v>
      </c>
      <c r="M844">
        <v>23.0351</v>
      </c>
      <c r="N844">
        <v>-21.718399999999999</v>
      </c>
      <c r="O844">
        <v>51.593899999999998</v>
      </c>
      <c r="P844">
        <v>26.26</v>
      </c>
      <c r="S844">
        <f t="shared" si="289"/>
        <v>631.47769999999991</v>
      </c>
      <c r="T844">
        <f t="shared" si="290"/>
        <v>9.2809034162630467E-3</v>
      </c>
      <c r="U844">
        <f t="shared" si="291"/>
        <v>1.1249579898500663E-3</v>
      </c>
      <c r="V844">
        <f t="shared" si="292"/>
        <v>5.9154040966282656E-2</v>
      </c>
      <c r="W844">
        <f t="shared" si="293"/>
        <v>2.0342990316455364E-2</v>
      </c>
      <c r="X844">
        <f t="shared" si="294"/>
        <v>0.11411761342037381</v>
      </c>
      <c r="Y844">
        <f t="shared" si="295"/>
        <v>9.3746499154172199E-5</v>
      </c>
      <c r="Z844">
        <f t="shared" si="296"/>
        <v>2.624901976316821E-3</v>
      </c>
      <c r="AA844">
        <f t="shared" si="297"/>
        <v>0.21719423290286499</v>
      </c>
      <c r="AB844">
        <f t="shared" si="298"/>
        <v>0.10402824019540519</v>
      </c>
      <c r="AC844">
        <f t="shared" si="299"/>
        <v>3.9015324271484228E-2</v>
      </c>
      <c r="AD844">
        <f t="shared" si="300"/>
        <v>3.4166849081729597E-3</v>
      </c>
      <c r="AE844">
        <f t="shared" si="301"/>
        <v>2.159459982666272E-2</v>
      </c>
      <c r="AG844">
        <f t="shared" si="302"/>
        <v>-1.0992068871662715</v>
      </c>
      <c r="AH844">
        <f t="shared" si="303"/>
        <v>0.22833375441135867</v>
      </c>
      <c r="AI844">
        <f t="shared" si="304"/>
        <v>-0.12838915745069979</v>
      </c>
      <c r="AK844" s="26">
        <f t="shared" si="305"/>
        <v>-3.1931171409603387E-2</v>
      </c>
      <c r="AL844" s="26">
        <f t="shared" si="306"/>
        <v>1.185980330979447E-2</v>
      </c>
      <c r="AM844" s="26">
        <f t="shared" si="307"/>
        <v>5.6474955762632617E-3</v>
      </c>
      <c r="AN844" s="26">
        <f t="shared" si="308"/>
        <v>-16.872380952380958</v>
      </c>
      <c r="AO844" s="26">
        <f t="shared" si="309"/>
        <v>-18.799227799227772</v>
      </c>
      <c r="AP844" s="26">
        <f t="shared" si="310"/>
        <v>-22.256830285152446</v>
      </c>
      <c r="AS844" s="2">
        <v>44636</v>
      </c>
      <c r="AT844">
        <v>8.6999999999999993</v>
      </c>
      <c r="AU844">
        <v>0</v>
      </c>
      <c r="AV844">
        <v>28.9</v>
      </c>
      <c r="AW844">
        <v>8</v>
      </c>
      <c r="AX844">
        <v>146.93</v>
      </c>
      <c r="AY844">
        <v>0.1</v>
      </c>
      <c r="AZ844">
        <v>2.9</v>
      </c>
      <c r="BA844">
        <v>287.20049999999998</v>
      </c>
      <c r="BB844">
        <v>224.24639999999999</v>
      </c>
      <c r="BC844">
        <v>118.4064</v>
      </c>
      <c r="BD844">
        <v>3.4272999999999998</v>
      </c>
      <c r="BE844">
        <v>17.0259</v>
      </c>
      <c r="BF844">
        <v>-9.3314000000000004</v>
      </c>
      <c r="BG844">
        <v>71.5398</v>
      </c>
      <c r="BH844">
        <v>25.74</v>
      </c>
    </row>
    <row r="845" spans="1:60" x14ac:dyDescent="0.25">
      <c r="A845" s="2">
        <v>44656</v>
      </c>
      <c r="B845">
        <v>8.9</v>
      </c>
      <c r="C845">
        <v>21.2</v>
      </c>
      <c r="D845">
        <v>34.1</v>
      </c>
      <c r="E845">
        <v>15</v>
      </c>
      <c r="F845">
        <v>78.31</v>
      </c>
      <c r="G845">
        <v>0.1</v>
      </c>
      <c r="H845">
        <v>2.7</v>
      </c>
      <c r="I845">
        <v>248.3141</v>
      </c>
      <c r="J845">
        <v>164.8339</v>
      </c>
      <c r="K845">
        <v>69.036199999999994</v>
      </c>
      <c r="L845">
        <v>3.9998999999999998</v>
      </c>
      <c r="M845">
        <v>40.412599999999998</v>
      </c>
      <c r="N845">
        <v>-27.3355</v>
      </c>
      <c r="O845">
        <v>48.186700000000002</v>
      </c>
      <c r="P845">
        <v>26.14</v>
      </c>
      <c r="S845">
        <f t="shared" si="289"/>
        <v>686.9067</v>
      </c>
      <c r="T845">
        <f t="shared" si="290"/>
        <v>8.3434384247213257E-3</v>
      </c>
      <c r="U845">
        <f t="shared" si="291"/>
        <v>1.9874257820684502E-2</v>
      </c>
      <c r="V845">
        <f t="shared" si="292"/>
        <v>3.1967556211572719E-2</v>
      </c>
      <c r="W845">
        <f t="shared" si="293"/>
        <v>1.4061974873125828E-2</v>
      </c>
      <c r="X845">
        <f t="shared" si="294"/>
        <v>7.3412883487632238E-2</v>
      </c>
      <c r="Y845">
        <f t="shared" si="295"/>
        <v>9.3746499154172199E-5</v>
      </c>
      <c r="Z845">
        <f t="shared" si="296"/>
        <v>2.5311554771626494E-3</v>
      </c>
      <c r="AA845">
        <f t="shared" si="297"/>
        <v>0.2327857756561903</v>
      </c>
      <c r="AB845">
        <f t="shared" si="298"/>
        <v>0.15452601066928903</v>
      </c>
      <c r="AC845">
        <f t="shared" si="299"/>
        <v>6.4719020649072617E-2</v>
      </c>
      <c r="AD845">
        <f t="shared" si="300"/>
        <v>3.7497662196677331E-3</v>
      </c>
      <c r="AE845">
        <f t="shared" si="301"/>
        <v>3.7885397717178991E-2</v>
      </c>
      <c r="AG845">
        <f t="shared" si="302"/>
        <v>-1.1065597577174586</v>
      </c>
      <c r="AH845">
        <f t="shared" si="303"/>
        <v>0.18817041051123243</v>
      </c>
      <c r="AI845">
        <f t="shared" si="304"/>
        <v>-0.46646923663815948</v>
      </c>
      <c r="AK845" s="26">
        <f t="shared" si="305"/>
        <v>-3.3077101830549904E-2</v>
      </c>
      <c r="AL845" s="26">
        <f t="shared" si="306"/>
        <v>1.3183347573360288E-2</v>
      </c>
      <c r="AM845" s="26">
        <f t="shared" si="307"/>
        <v>5.9284757655627129E-3</v>
      </c>
      <c r="AN845" s="26">
        <f t="shared" si="308"/>
        <v>-16.970238095238098</v>
      </c>
      <c r="AO845" s="26">
        <f t="shared" si="309"/>
        <v>-18.910091698841672</v>
      </c>
      <c r="AP845" s="26">
        <f t="shared" si="310"/>
        <v>-22.336119567354999</v>
      </c>
      <c r="AS845" s="2">
        <v>44635</v>
      </c>
      <c r="AT845">
        <v>8.1</v>
      </c>
      <c r="AU845">
        <v>0.9</v>
      </c>
      <c r="AV845">
        <v>7.4</v>
      </c>
      <c r="AW845">
        <v>2.1</v>
      </c>
      <c r="AX845">
        <v>70.31</v>
      </c>
      <c r="AY845">
        <v>0.1</v>
      </c>
      <c r="AZ845">
        <v>3.2</v>
      </c>
      <c r="BA845">
        <v>292.21559999999999</v>
      </c>
      <c r="BB845">
        <v>236.4768</v>
      </c>
      <c r="BC845">
        <v>158.81049999999999</v>
      </c>
      <c r="BD845">
        <v>3.4268000000000001</v>
      </c>
      <c r="BE845">
        <v>34.568100000000001</v>
      </c>
      <c r="BF845">
        <v>-6.6250999999999998</v>
      </c>
      <c r="BG845">
        <v>78.3339</v>
      </c>
      <c r="BH845">
        <v>25.84</v>
      </c>
    </row>
    <row r="846" spans="1:60" x14ac:dyDescent="0.25">
      <c r="A846" s="2">
        <v>44655</v>
      </c>
      <c r="B846">
        <v>9.1999999999999993</v>
      </c>
      <c r="C846">
        <v>1.1000000000000001</v>
      </c>
      <c r="D846">
        <v>59</v>
      </c>
      <c r="E846">
        <v>28.9</v>
      </c>
      <c r="F846">
        <v>142.04</v>
      </c>
      <c r="G846">
        <v>0.2</v>
      </c>
      <c r="H846">
        <v>2.5</v>
      </c>
      <c r="I846">
        <v>181.74199999999999</v>
      </c>
      <c r="J846">
        <v>97.366799999999998</v>
      </c>
      <c r="K846">
        <v>49.009300000000003</v>
      </c>
      <c r="L846">
        <v>3.5872000000000002</v>
      </c>
      <c r="M846">
        <v>11.958299999999999</v>
      </c>
      <c r="N846">
        <v>-27.657900000000001</v>
      </c>
      <c r="O846">
        <v>65.9953</v>
      </c>
      <c r="P846">
        <v>26.3</v>
      </c>
      <c r="S846">
        <f t="shared" si="289"/>
        <v>586.60360000000003</v>
      </c>
      <c r="T846">
        <f t="shared" si="290"/>
        <v>8.6246779221838404E-3</v>
      </c>
      <c r="U846">
        <f t="shared" si="291"/>
        <v>1.0312114906958943E-3</v>
      </c>
      <c r="V846">
        <f t="shared" si="292"/>
        <v>5.531043450096159E-2</v>
      </c>
      <c r="W846">
        <f t="shared" si="293"/>
        <v>2.7092738255555762E-2</v>
      </c>
      <c r="X846">
        <f t="shared" si="294"/>
        <v>0.13315752739858616</v>
      </c>
      <c r="Y846">
        <f t="shared" si="295"/>
        <v>1.874929983083444E-4</v>
      </c>
      <c r="Z846">
        <f t="shared" si="296"/>
        <v>2.3436624788543046E-3</v>
      </c>
      <c r="AA846">
        <f t="shared" si="297"/>
        <v>0.17037676249277561</v>
      </c>
      <c r="AB846">
        <f t="shared" si="298"/>
        <v>9.1277966338444524E-2</v>
      </c>
      <c r="AC846">
        <f t="shared" si="299"/>
        <v>4.5944503009965713E-2</v>
      </c>
      <c r="AD846">
        <f t="shared" si="300"/>
        <v>3.3628744176584652E-3</v>
      </c>
      <c r="AE846">
        <f t="shared" si="301"/>
        <v>1.1210487608353373E-2</v>
      </c>
      <c r="AG846">
        <f t="shared" si="302"/>
        <v>-1.1013343894499932</v>
      </c>
      <c r="AH846">
        <f t="shared" si="303"/>
        <v>0.23895823265349925</v>
      </c>
      <c r="AI846">
        <f t="shared" si="304"/>
        <v>-4.0349366448653758E-2</v>
      </c>
      <c r="AK846" s="26">
        <f t="shared" si="305"/>
        <v>-3.4304910890269574E-2</v>
      </c>
      <c r="AL846" s="26">
        <f t="shared" si="306"/>
        <v>1.522292738632483E-2</v>
      </c>
      <c r="AM846" s="26">
        <f t="shared" si="307"/>
        <v>6.7526821547470028E-3</v>
      </c>
      <c r="AN846" s="26">
        <f t="shared" si="308"/>
        <v>-17.073333333333341</v>
      </c>
      <c r="AO846" s="26">
        <f t="shared" si="309"/>
        <v>-19.026346525096493</v>
      </c>
      <c r="AP846" s="26">
        <f t="shared" si="310"/>
        <v>-22.413611012782724</v>
      </c>
      <c r="AS846" s="2">
        <v>44634</v>
      </c>
      <c r="AT846">
        <v>7.4</v>
      </c>
      <c r="AU846">
        <v>1.3</v>
      </c>
      <c r="AV846">
        <v>27.9</v>
      </c>
      <c r="AW846">
        <v>7.3</v>
      </c>
      <c r="AX846">
        <v>134.41</v>
      </c>
      <c r="AY846">
        <v>0.1</v>
      </c>
      <c r="AZ846">
        <v>3.2</v>
      </c>
      <c r="BA846">
        <v>286.73340000000002</v>
      </c>
      <c r="BB846">
        <v>204.2063</v>
      </c>
      <c r="BC846">
        <v>122.2295</v>
      </c>
      <c r="BD846">
        <v>3.6819000000000002</v>
      </c>
      <c r="BE846">
        <v>21.887899999999998</v>
      </c>
      <c r="BF846">
        <v>-9.1861999999999995</v>
      </c>
      <c r="BG846">
        <v>60.715499999999999</v>
      </c>
      <c r="BH846">
        <v>26</v>
      </c>
    </row>
    <row r="847" spans="1:60" x14ac:dyDescent="0.25">
      <c r="A847" s="2">
        <v>44654</v>
      </c>
      <c r="B847">
        <v>9.9</v>
      </c>
      <c r="C847">
        <v>0.5</v>
      </c>
      <c r="D847">
        <v>39.799999999999997</v>
      </c>
      <c r="E847">
        <v>8.9</v>
      </c>
      <c r="F847">
        <v>136.94999999999999</v>
      </c>
      <c r="G847">
        <v>0.2</v>
      </c>
      <c r="H847">
        <v>2.4</v>
      </c>
      <c r="I847">
        <v>214.43530000000001</v>
      </c>
      <c r="J847">
        <v>164.08459999999999</v>
      </c>
      <c r="K847">
        <v>66.740099999999998</v>
      </c>
      <c r="L847">
        <v>3.7199</v>
      </c>
      <c r="M847">
        <v>28.9514</v>
      </c>
      <c r="P847">
        <v>25.74</v>
      </c>
      <c r="S847">
        <f t="shared" si="289"/>
        <v>676.58130000000006</v>
      </c>
      <c r="T847">
        <f t="shared" si="290"/>
        <v>9.2809034162630467E-3</v>
      </c>
      <c r="U847">
        <f t="shared" si="291"/>
        <v>4.6873249577086097E-4</v>
      </c>
      <c r="V847">
        <f t="shared" si="292"/>
        <v>3.731110666336053E-2</v>
      </c>
      <c r="W847">
        <f t="shared" si="293"/>
        <v>8.3434384247213257E-3</v>
      </c>
      <c r="X847">
        <f t="shared" si="294"/>
        <v>0.1283858305916388</v>
      </c>
      <c r="Y847">
        <f t="shared" si="295"/>
        <v>1.874929983083444E-4</v>
      </c>
      <c r="Z847">
        <f t="shared" si="296"/>
        <v>2.2499159797001326E-3</v>
      </c>
      <c r="AA847">
        <f t="shared" si="297"/>
        <v>0.20102558670074661</v>
      </c>
      <c r="AB847">
        <f t="shared" si="298"/>
        <v>0.15382356815112683</v>
      </c>
      <c r="AC847">
        <f t="shared" si="299"/>
        <v>6.2566507281993672E-2</v>
      </c>
      <c r="AD847">
        <f t="shared" si="300"/>
        <v>3.4872760220360515E-3</v>
      </c>
      <c r="AE847">
        <f t="shared" si="301"/>
        <v>2.7140923956121006E-2</v>
      </c>
      <c r="AG847">
        <f t="shared" si="302"/>
        <v>-1.1286246389519221</v>
      </c>
      <c r="AH847">
        <f t="shared" si="303"/>
        <v>0.21336834452588405</v>
      </c>
      <c r="AI847">
        <f t="shared" si="304"/>
        <v>-0.25594724896193061</v>
      </c>
      <c r="AK847" s="26">
        <f t="shared" si="305"/>
        <v>-3.4068861669518447E-2</v>
      </c>
      <c r="AL847" s="26">
        <f t="shared" si="306"/>
        <v>1.5664798599361707E-2</v>
      </c>
      <c r="AM847" s="26">
        <f t="shared" si="307"/>
        <v>6.7379937025314474E-3</v>
      </c>
      <c r="AN847" s="26">
        <f t="shared" si="308"/>
        <v>-17.190000000000019</v>
      </c>
      <c r="AO847" s="26">
        <f t="shared" si="309"/>
        <v>-19.148851351351315</v>
      </c>
      <c r="AP847" s="26">
        <f t="shared" si="310"/>
        <v>-22.49182812192727</v>
      </c>
      <c r="AS847" s="2">
        <v>44633</v>
      </c>
      <c r="AT847">
        <v>7.3</v>
      </c>
      <c r="AU847">
        <v>1</v>
      </c>
      <c r="AV847">
        <v>51.8</v>
      </c>
      <c r="AW847">
        <v>14.3</v>
      </c>
      <c r="AX847">
        <v>215.36</v>
      </c>
      <c r="AY847">
        <v>0.1</v>
      </c>
      <c r="AZ847">
        <v>3.3</v>
      </c>
      <c r="BA847">
        <v>218.86019999999999</v>
      </c>
      <c r="BB847">
        <v>84.2821</v>
      </c>
      <c r="BC847">
        <v>40.5075</v>
      </c>
      <c r="BD847">
        <v>3.6257999999999999</v>
      </c>
      <c r="BE847">
        <v>10.5726</v>
      </c>
      <c r="BH847">
        <v>26.18</v>
      </c>
    </row>
    <row r="848" spans="1:60" x14ac:dyDescent="0.25">
      <c r="A848" s="2">
        <v>44653</v>
      </c>
      <c r="C848">
        <v>16.399999999999999</v>
      </c>
      <c r="F848">
        <v>84.43</v>
      </c>
      <c r="K848">
        <v>62.802799999999998</v>
      </c>
      <c r="P848">
        <v>26.41</v>
      </c>
      <c r="S848">
        <f t="shared" si="289"/>
        <v>163.6328</v>
      </c>
      <c r="T848">
        <f t="shared" si="290"/>
        <v>0</v>
      </c>
      <c r="U848">
        <f t="shared" si="291"/>
        <v>1.5374425861284237E-2</v>
      </c>
      <c r="V848">
        <f t="shared" si="292"/>
        <v>0</v>
      </c>
      <c r="W848">
        <f t="shared" si="293"/>
        <v>0</v>
      </c>
      <c r="X848">
        <f t="shared" si="294"/>
        <v>7.9150169235867582E-2</v>
      </c>
      <c r="Y848">
        <f t="shared" si="295"/>
        <v>0</v>
      </c>
      <c r="Z848">
        <f t="shared" si="296"/>
        <v>0</v>
      </c>
      <c r="AA848">
        <f t="shared" si="297"/>
        <v>0</v>
      </c>
      <c r="AB848">
        <f t="shared" si="298"/>
        <v>0</v>
      </c>
      <c r="AC848">
        <f t="shared" si="299"/>
        <v>5.8875426370796451E-2</v>
      </c>
      <c r="AD848">
        <f t="shared" si="300"/>
        <v>0</v>
      </c>
      <c r="AE848">
        <f t="shared" si="301"/>
        <v>0</v>
      </c>
      <c r="AG848">
        <f t="shared" si="302"/>
        <v>-1.1003818564877859</v>
      </c>
      <c r="AH848">
        <f t="shared" si="303"/>
        <v>9.4524595097151817E-2</v>
      </c>
      <c r="AI848">
        <f t="shared" si="304"/>
        <v>-1.2542462483451511</v>
      </c>
      <c r="AK848" s="26">
        <f t="shared" si="305"/>
        <v>-2.8098892646263446E-2</v>
      </c>
      <c r="AL848" s="26">
        <f t="shared" si="306"/>
        <v>1.6641705303933413E-2</v>
      </c>
      <c r="AM848" s="26">
        <f t="shared" si="307"/>
        <v>7.112765260253423E-3</v>
      </c>
      <c r="AN848" s="26">
        <f t="shared" si="308"/>
        <v>-17.289047619047633</v>
      </c>
      <c r="AO848" s="26">
        <f t="shared" si="309"/>
        <v>-19.263490990990952</v>
      </c>
      <c r="AP848" s="26">
        <f t="shared" si="310"/>
        <v>-22.566704818092475</v>
      </c>
      <c r="AS848" s="2">
        <v>44632</v>
      </c>
      <c r="AT848">
        <v>7.2</v>
      </c>
      <c r="AU848">
        <v>0</v>
      </c>
      <c r="AV848">
        <v>54.9</v>
      </c>
      <c r="AW848">
        <v>16</v>
      </c>
      <c r="AX848">
        <v>205.43</v>
      </c>
      <c r="AY848">
        <v>0.1</v>
      </c>
      <c r="AZ848">
        <v>3.5</v>
      </c>
      <c r="BA848">
        <v>211.01609999999999</v>
      </c>
      <c r="BB848">
        <v>97.672799999999995</v>
      </c>
      <c r="BC848">
        <v>46.638800000000003</v>
      </c>
      <c r="BD848">
        <v>3.6059000000000001</v>
      </c>
      <c r="BE848">
        <v>30.0047</v>
      </c>
      <c r="BH848">
        <v>26.19</v>
      </c>
    </row>
    <row r="849" spans="1:60" x14ac:dyDescent="0.25">
      <c r="A849" s="2">
        <v>44652</v>
      </c>
      <c r="B849">
        <v>10.5</v>
      </c>
      <c r="C849">
        <v>0</v>
      </c>
      <c r="D849">
        <v>57.9</v>
      </c>
      <c r="E849">
        <v>18</v>
      </c>
      <c r="F849">
        <v>60.63</v>
      </c>
      <c r="G849">
        <v>0.2</v>
      </c>
      <c r="H849">
        <v>2.5</v>
      </c>
      <c r="I849">
        <v>259.351</v>
      </c>
      <c r="J849">
        <v>123.3031</v>
      </c>
      <c r="K849">
        <v>80.215199999999996</v>
      </c>
      <c r="L849">
        <v>3.6703999999999999</v>
      </c>
      <c r="M849">
        <v>22.638500000000001</v>
      </c>
      <c r="N849">
        <v>-7.8707000000000003</v>
      </c>
      <c r="O849">
        <v>90.839200000000005</v>
      </c>
      <c r="P849">
        <v>26.6</v>
      </c>
      <c r="S849">
        <f t="shared" si="289"/>
        <v>638.90819999999997</v>
      </c>
      <c r="T849">
        <f t="shared" si="290"/>
        <v>9.8433824111880796E-3</v>
      </c>
      <c r="U849">
        <f t="shared" si="291"/>
        <v>0</v>
      </c>
      <c r="V849">
        <f t="shared" si="292"/>
        <v>5.4279223010265699E-2</v>
      </c>
      <c r="W849">
        <f t="shared" si="293"/>
        <v>1.6874369847750995E-2</v>
      </c>
      <c r="X849">
        <f t="shared" si="294"/>
        <v>5.6838502437174601E-2</v>
      </c>
      <c r="Y849">
        <f t="shared" si="295"/>
        <v>1.874929983083444E-4</v>
      </c>
      <c r="Z849">
        <f t="shared" si="296"/>
        <v>2.3436624788543046E-3</v>
      </c>
      <c r="AA849">
        <f t="shared" si="297"/>
        <v>0.24313248302133711</v>
      </c>
      <c r="AB849">
        <f t="shared" si="298"/>
        <v>0.11559233959856809</v>
      </c>
      <c r="AC849">
        <f t="shared" si="299"/>
        <v>7.5198941789517526E-2</v>
      </c>
      <c r="AD849">
        <f t="shared" si="300"/>
        <v>3.4408715049547359E-3</v>
      </c>
      <c r="AE849">
        <f t="shared" si="301"/>
        <v>2.1222801211017273E-2</v>
      </c>
      <c r="AG849">
        <f t="shared" si="302"/>
        <v>-1.093675092018495</v>
      </c>
      <c r="AH849">
        <f t="shared" si="303"/>
        <v>0.16158943439455931</v>
      </c>
      <c r="AI849">
        <f t="shared" si="304"/>
        <v>-0.69689718506739795</v>
      </c>
      <c r="AK849" s="26">
        <f t="shared" si="305"/>
        <v>-1.1888234620166999E-2</v>
      </c>
      <c r="AL849" s="26">
        <f t="shared" si="306"/>
        <v>2.0914083477508866E-2</v>
      </c>
      <c r="AM849" s="26">
        <f t="shared" si="307"/>
        <v>8.2805353755270039E-3</v>
      </c>
      <c r="AN849" s="26">
        <f t="shared" si="308"/>
        <v>-17.424523809523819</v>
      </c>
      <c r="AO849" s="26">
        <f t="shared" si="309"/>
        <v>-19.395897683397656</v>
      </c>
      <c r="AP849" s="26">
        <f t="shared" si="310"/>
        <v>-22.648507767944977</v>
      </c>
      <c r="AS849" s="2">
        <v>44631</v>
      </c>
      <c r="AT849">
        <v>7.5</v>
      </c>
      <c r="AU849">
        <v>0.7</v>
      </c>
      <c r="AV849">
        <v>59.6</v>
      </c>
      <c r="AW849">
        <v>23.7</v>
      </c>
      <c r="AX849">
        <v>222.58</v>
      </c>
      <c r="AY849">
        <v>0.1</v>
      </c>
      <c r="AZ849">
        <v>3</v>
      </c>
      <c r="BA849">
        <v>206.35059999999999</v>
      </c>
      <c r="BB849">
        <v>111.8357</v>
      </c>
      <c r="BC849">
        <v>46.5261</v>
      </c>
      <c r="BD849">
        <v>3.7662</v>
      </c>
      <c r="BE849">
        <v>25.098700000000001</v>
      </c>
      <c r="BF849">
        <v>-24.202100000000002</v>
      </c>
      <c r="BG849">
        <v>78.771900000000002</v>
      </c>
      <c r="BH849">
        <v>26.2</v>
      </c>
    </row>
    <row r="850" spans="1:60" x14ac:dyDescent="0.25">
      <c r="A850" s="2">
        <v>44651</v>
      </c>
      <c r="B850">
        <v>10.7</v>
      </c>
      <c r="C850">
        <v>3.6</v>
      </c>
      <c r="D850">
        <v>50.3</v>
      </c>
      <c r="E850">
        <v>10.8</v>
      </c>
      <c r="F850">
        <v>70.37</v>
      </c>
      <c r="G850">
        <v>0.2</v>
      </c>
      <c r="H850">
        <v>2.8</v>
      </c>
      <c r="I850">
        <v>263.8372</v>
      </c>
      <c r="J850">
        <v>193.34479999999999</v>
      </c>
      <c r="K850">
        <v>114.0487</v>
      </c>
      <c r="L850">
        <v>3.5807000000000002</v>
      </c>
      <c r="M850">
        <v>21.6113</v>
      </c>
      <c r="N850">
        <v>-46.056399999999996</v>
      </c>
      <c r="O850">
        <v>64.918599999999998</v>
      </c>
      <c r="P850">
        <v>26.29</v>
      </c>
      <c r="S850">
        <f t="shared" si="289"/>
        <v>745.19270000000006</v>
      </c>
      <c r="T850">
        <f t="shared" si="290"/>
        <v>1.0030875409496424E-2</v>
      </c>
      <c r="U850">
        <f t="shared" si="291"/>
        <v>3.3748739695501988E-3</v>
      </c>
      <c r="V850">
        <f t="shared" si="292"/>
        <v>4.7154489074548611E-2</v>
      </c>
      <c r="W850">
        <f t="shared" si="293"/>
        <v>1.0124621908650598E-2</v>
      </c>
      <c r="X850">
        <f t="shared" si="294"/>
        <v>6.5969411454790974E-2</v>
      </c>
      <c r="Y850">
        <f t="shared" si="295"/>
        <v>1.874929983083444E-4</v>
      </c>
      <c r="Z850">
        <f t="shared" si="296"/>
        <v>2.624901976316821E-3</v>
      </c>
      <c r="AA850">
        <f t="shared" si="297"/>
        <v>0.24733813846639158</v>
      </c>
      <c r="AB850">
        <f t="shared" si="298"/>
        <v>0.18125398129663592</v>
      </c>
      <c r="AC850">
        <f t="shared" si="299"/>
        <v>0.10691666358084438</v>
      </c>
      <c r="AD850">
        <f t="shared" si="300"/>
        <v>3.3567808952134439E-3</v>
      </c>
      <c r="AE850">
        <f t="shared" si="301"/>
        <v>2.0259837171705614E-2</v>
      </c>
      <c r="AG850">
        <f t="shared" si="302"/>
        <v>-1.1096011681464846</v>
      </c>
      <c r="AH850">
        <f t="shared" si="303"/>
        <v>0.1597265039633676</v>
      </c>
      <c r="AI850">
        <f t="shared" si="304"/>
        <v>-0.71545857469481133</v>
      </c>
      <c r="AK850" s="26">
        <f t="shared" si="305"/>
        <v>7.6349827382554691E-5</v>
      </c>
      <c r="AL850" s="26">
        <f t="shared" si="306"/>
        <v>2.2487520647312048E-2</v>
      </c>
      <c r="AM850" s="26">
        <f t="shared" si="307"/>
        <v>9.0543792206587148E-3</v>
      </c>
      <c r="AN850" s="26">
        <f t="shared" si="308"/>
        <v>-17.595714285714298</v>
      </c>
      <c r="AO850" s="26">
        <f t="shared" si="309"/>
        <v>-19.545069176319149</v>
      </c>
      <c r="AP850" s="26">
        <f t="shared" si="310"/>
        <v>-22.73526057030486</v>
      </c>
      <c r="AS850" s="2">
        <v>44630</v>
      </c>
      <c r="AT850">
        <v>7.8</v>
      </c>
      <c r="AU850">
        <v>6.3</v>
      </c>
      <c r="AV850">
        <v>39.9</v>
      </c>
      <c r="AW850">
        <v>12.3</v>
      </c>
      <c r="AX850">
        <v>219.77</v>
      </c>
      <c r="AY850">
        <v>0.2</v>
      </c>
      <c r="AZ850">
        <v>3.2</v>
      </c>
      <c r="BA850">
        <v>253.4573</v>
      </c>
      <c r="BB850">
        <v>205.8364</v>
      </c>
      <c r="BC850">
        <v>80.378500000000003</v>
      </c>
      <c r="BD850">
        <v>3.8990999999999998</v>
      </c>
      <c r="BE850">
        <v>24.726400000000002</v>
      </c>
      <c r="BF850">
        <v>-9.7041000000000004</v>
      </c>
      <c r="BG850">
        <v>94.083200000000005</v>
      </c>
      <c r="BH850">
        <v>26.31</v>
      </c>
    </row>
    <row r="851" spans="1:60" x14ac:dyDescent="0.25">
      <c r="A851" s="2">
        <v>44650</v>
      </c>
      <c r="B851">
        <v>10.8</v>
      </c>
      <c r="C851">
        <v>2.8</v>
      </c>
      <c r="D851">
        <v>15.2</v>
      </c>
      <c r="E851">
        <v>2.6</v>
      </c>
      <c r="F851">
        <v>95.39</v>
      </c>
      <c r="G851">
        <v>0.2</v>
      </c>
      <c r="H851">
        <v>2.9</v>
      </c>
      <c r="I851">
        <v>306.48099999999999</v>
      </c>
      <c r="J851">
        <v>230.81739999999999</v>
      </c>
      <c r="K851">
        <v>162.6602</v>
      </c>
      <c r="L851">
        <v>3.7858000000000001</v>
      </c>
      <c r="M851">
        <v>26.852599999999999</v>
      </c>
      <c r="N851">
        <v>-33.750799999999998</v>
      </c>
      <c r="O851">
        <v>76.004400000000004</v>
      </c>
      <c r="P851">
        <v>26.59</v>
      </c>
      <c r="S851">
        <f t="shared" si="289"/>
        <v>860.48700000000008</v>
      </c>
      <c r="T851">
        <f t="shared" si="290"/>
        <v>1.0124621908650598E-2</v>
      </c>
      <c r="U851">
        <f t="shared" si="291"/>
        <v>2.624901976316821E-3</v>
      </c>
      <c r="V851">
        <f t="shared" si="292"/>
        <v>1.4249467871434173E-2</v>
      </c>
      <c r="W851">
        <f t="shared" si="293"/>
        <v>2.437408978008477E-3</v>
      </c>
      <c r="X851">
        <f t="shared" si="294"/>
        <v>8.9424785543164853E-2</v>
      </c>
      <c r="Y851">
        <f t="shared" si="295"/>
        <v>1.874929983083444E-4</v>
      </c>
      <c r="Z851">
        <f t="shared" si="296"/>
        <v>2.7186484754709935E-3</v>
      </c>
      <c r="AA851">
        <f t="shared" si="297"/>
        <v>0.28731520807269845</v>
      </c>
      <c r="AB851">
        <f t="shared" si="298"/>
        <v>0.21638323193868222</v>
      </c>
      <c r="AC851">
        <f t="shared" si="299"/>
        <v>0.15248824301717478</v>
      </c>
      <c r="AD851">
        <f t="shared" si="300"/>
        <v>3.5490549649786506E-3</v>
      </c>
      <c r="AE851">
        <f t="shared" si="301"/>
        <v>2.5173372431873241E-2</v>
      </c>
      <c r="AG851">
        <f t="shared" si="302"/>
        <v>-1.0978385017218779</v>
      </c>
      <c r="AH851">
        <f t="shared" si="303"/>
        <v>0.14694070018322752</v>
      </c>
      <c r="AI851">
        <f t="shared" si="304"/>
        <v>-0.82625022717904584</v>
      </c>
      <c r="AK851" s="26">
        <f t="shared" si="305"/>
        <v>1.3365257587590551E-2</v>
      </c>
      <c r="AL851" s="26">
        <f t="shared" si="306"/>
        <v>2.545603064445412E-2</v>
      </c>
      <c r="AM851" s="26">
        <f t="shared" si="307"/>
        <v>1.0496477760359307E-2</v>
      </c>
      <c r="AN851" s="26">
        <f t="shared" si="308"/>
        <v>-17.752619047619056</v>
      </c>
      <c r="AO851" s="26">
        <f t="shared" si="309"/>
        <v>-19.688669562419541</v>
      </c>
      <c r="AP851" s="26">
        <f t="shared" si="310"/>
        <v>-22.816050344149509</v>
      </c>
      <c r="AS851" s="2">
        <v>44629</v>
      </c>
      <c r="AT851">
        <v>8</v>
      </c>
      <c r="AU851">
        <v>2.8</v>
      </c>
      <c r="AV851">
        <v>30.1</v>
      </c>
      <c r="AW851">
        <v>3.4</v>
      </c>
      <c r="AX851">
        <v>217.9</v>
      </c>
      <c r="AY851">
        <v>0.2</v>
      </c>
      <c r="AZ851">
        <v>3.3</v>
      </c>
      <c r="BA851">
        <v>267.80779999999999</v>
      </c>
      <c r="BB851">
        <v>230.2062</v>
      </c>
      <c r="BC851">
        <v>115.0205</v>
      </c>
      <c r="BD851">
        <v>3.9104000000000001</v>
      </c>
      <c r="BE851">
        <v>32.054600000000001</v>
      </c>
      <c r="BF851">
        <v>-9.7402999999999995</v>
      </c>
      <c r="BG851">
        <v>104.8267</v>
      </c>
      <c r="BH851">
        <v>26.4</v>
      </c>
    </row>
    <row r="852" spans="1:60" x14ac:dyDescent="0.25">
      <c r="A852" s="2">
        <v>44649</v>
      </c>
      <c r="B852">
        <v>9.6999999999999993</v>
      </c>
      <c r="C852">
        <v>3.2</v>
      </c>
      <c r="D852">
        <v>16.2</v>
      </c>
      <c r="E852">
        <v>7.5</v>
      </c>
      <c r="F852">
        <v>155.47</v>
      </c>
      <c r="G852">
        <v>0.2</v>
      </c>
      <c r="H852">
        <v>2.8</v>
      </c>
      <c r="I852">
        <v>288.31509999999997</v>
      </c>
      <c r="J852">
        <v>221.2116</v>
      </c>
      <c r="K852">
        <v>129.58349999999999</v>
      </c>
      <c r="L852">
        <v>3.84</v>
      </c>
      <c r="M852">
        <v>27.045999999999999</v>
      </c>
      <c r="N852">
        <v>-20.7575</v>
      </c>
      <c r="O852">
        <v>63.856299999999997</v>
      </c>
      <c r="P852">
        <v>26.57</v>
      </c>
      <c r="S852">
        <f t="shared" si="289"/>
        <v>865.06619999999998</v>
      </c>
      <c r="T852">
        <f t="shared" si="290"/>
        <v>9.0934104179547018E-3</v>
      </c>
      <c r="U852">
        <f t="shared" si="291"/>
        <v>2.9998879729335104E-3</v>
      </c>
      <c r="V852">
        <f t="shared" si="292"/>
        <v>1.5186932862975894E-2</v>
      </c>
      <c r="W852">
        <f t="shared" si="293"/>
        <v>7.0309874365629141E-3</v>
      </c>
      <c r="X852">
        <f t="shared" si="294"/>
        <v>0.14574768223499152</v>
      </c>
      <c r="Y852">
        <f t="shared" si="295"/>
        <v>1.874929983083444E-4</v>
      </c>
      <c r="Z852">
        <f t="shared" si="296"/>
        <v>2.624901976316821E-3</v>
      </c>
      <c r="AA852">
        <f t="shared" si="297"/>
        <v>0.27028531278285067</v>
      </c>
      <c r="AB852">
        <f t="shared" si="298"/>
        <v>0.20737813072293076</v>
      </c>
      <c r="AC852">
        <f t="shared" si="299"/>
        <v>0.1214799947314467</v>
      </c>
      <c r="AD852">
        <f t="shared" si="300"/>
        <v>3.5998655675202121E-3</v>
      </c>
      <c r="AE852">
        <f t="shared" si="301"/>
        <v>2.5354678161237411E-2</v>
      </c>
      <c r="AG852">
        <f t="shared" si="302"/>
        <v>-1.1005580255602374</v>
      </c>
      <c r="AH852">
        <f t="shared" si="303"/>
        <v>0.2082259740612811</v>
      </c>
      <c r="AI852">
        <f t="shared" si="304"/>
        <v>-0.31455548036359071</v>
      </c>
      <c r="AK852" s="26">
        <f t="shared" si="305"/>
        <v>1.9546209803370518E-2</v>
      </c>
      <c r="AL852" s="26">
        <f t="shared" si="306"/>
        <v>2.419799913709908E-2</v>
      </c>
      <c r="AM852" s="26">
        <f t="shared" si="307"/>
        <v>1.1202922721238184E-2</v>
      </c>
      <c r="AN852" s="26">
        <f t="shared" si="308"/>
        <v>-17.934523809523821</v>
      </c>
      <c r="AO852" s="26">
        <f t="shared" si="309"/>
        <v>-19.838413770913743</v>
      </c>
      <c r="AP852" s="26">
        <f t="shared" si="310"/>
        <v>-22.897429695181948</v>
      </c>
      <c r="AS852" s="2">
        <v>44628</v>
      </c>
      <c r="AT852">
        <v>8.6999999999999993</v>
      </c>
      <c r="AU852">
        <v>4.9000000000000004</v>
      </c>
      <c r="AV852">
        <v>25.6</v>
      </c>
      <c r="AW852">
        <v>5</v>
      </c>
      <c r="AX852">
        <v>220.57</v>
      </c>
      <c r="AY852">
        <v>0.2</v>
      </c>
      <c r="AZ852">
        <v>3.3</v>
      </c>
      <c r="BA852">
        <v>262.45310000000001</v>
      </c>
      <c r="BB852">
        <v>223.208</v>
      </c>
      <c r="BC852">
        <v>125.5642</v>
      </c>
      <c r="BD852">
        <v>3.9272999999999998</v>
      </c>
      <c r="BE852">
        <v>24.9025</v>
      </c>
      <c r="BF852">
        <v>17.5442</v>
      </c>
      <c r="BG852">
        <v>238.5531</v>
      </c>
      <c r="BH852">
        <v>26.65</v>
      </c>
    </row>
    <row r="853" spans="1:60" x14ac:dyDescent="0.25">
      <c r="A853" s="2">
        <v>44648</v>
      </c>
      <c r="B853">
        <v>9.6999999999999993</v>
      </c>
      <c r="C853">
        <v>0</v>
      </c>
      <c r="D853">
        <v>24.9</v>
      </c>
      <c r="E853">
        <v>6.7</v>
      </c>
      <c r="F853">
        <v>217.38</v>
      </c>
      <c r="G853">
        <v>0.2</v>
      </c>
      <c r="H853">
        <v>2.5</v>
      </c>
      <c r="I853">
        <v>281.10509999999999</v>
      </c>
      <c r="J853">
        <v>201.6028</v>
      </c>
      <c r="K853">
        <v>94.524600000000007</v>
      </c>
      <c r="L853">
        <v>3.8736999999999999</v>
      </c>
      <c r="M853">
        <v>18.9284</v>
      </c>
      <c r="N853">
        <v>-21.697099999999999</v>
      </c>
      <c r="O853">
        <v>52.831200000000003</v>
      </c>
      <c r="P853">
        <v>26.47</v>
      </c>
      <c r="S853">
        <f t="shared" si="289"/>
        <v>861.41459999999995</v>
      </c>
      <c r="T853">
        <f t="shared" si="290"/>
        <v>9.0934104179547018E-3</v>
      </c>
      <c r="U853">
        <f t="shared" si="291"/>
        <v>0</v>
      </c>
      <c r="V853">
        <f t="shared" si="292"/>
        <v>2.3342878289388875E-2</v>
      </c>
      <c r="W853">
        <f t="shared" si="293"/>
        <v>6.2810154433295372E-3</v>
      </c>
      <c r="X853">
        <f t="shared" si="294"/>
        <v>0.2037861398613395</v>
      </c>
      <c r="Y853">
        <f t="shared" si="295"/>
        <v>1.874929983083444E-4</v>
      </c>
      <c r="Z853">
        <f t="shared" si="296"/>
        <v>2.3436624788543046E-3</v>
      </c>
      <c r="AA853">
        <f t="shared" si="297"/>
        <v>0.26352619019383489</v>
      </c>
      <c r="AB853">
        <f t="shared" si="298"/>
        <v>0.18899556719678745</v>
      </c>
      <c r="AC853">
        <f t="shared" si="299"/>
        <v>8.8613503339484659E-2</v>
      </c>
      <c r="AD853">
        <f t="shared" si="300"/>
        <v>3.6314581377351681E-3</v>
      </c>
      <c r="AE853">
        <f t="shared" si="301"/>
        <v>1.774471234589833E-2</v>
      </c>
      <c r="AG853">
        <f t="shared" si="302"/>
        <v>-1.1069312114561278</v>
      </c>
      <c r="AH853">
        <f t="shared" si="303"/>
        <v>0.26277931183507358</v>
      </c>
      <c r="AI853">
        <f t="shared" si="304"/>
        <v>0.14212140335840798</v>
      </c>
      <c r="AK853" s="26">
        <f t="shared" si="305"/>
        <v>2.8430143668965263E-2</v>
      </c>
      <c r="AL853" s="26">
        <f t="shared" si="306"/>
        <v>2.673922209243082E-2</v>
      </c>
      <c r="AM853" s="26">
        <f t="shared" si="307"/>
        <v>1.2334150993156545E-2</v>
      </c>
      <c r="AN853" s="26">
        <f t="shared" si="308"/>
        <v>-18.116428571428578</v>
      </c>
      <c r="AO853" s="26">
        <f t="shared" si="309"/>
        <v>-19.988682432432402</v>
      </c>
      <c r="AP853" s="26">
        <f t="shared" si="310"/>
        <v>-22.974922713864352</v>
      </c>
      <c r="AS853" s="2">
        <v>44627</v>
      </c>
      <c r="AT853">
        <v>8.6</v>
      </c>
      <c r="AU853">
        <v>4.8</v>
      </c>
      <c r="AV853">
        <v>3.3</v>
      </c>
      <c r="AW853">
        <v>3.4</v>
      </c>
      <c r="AX853">
        <v>187.33</v>
      </c>
      <c r="AY853">
        <v>0.2</v>
      </c>
      <c r="AZ853">
        <v>3.4</v>
      </c>
      <c r="BA853">
        <v>280.41669999999999</v>
      </c>
      <c r="BB853">
        <v>231.7602</v>
      </c>
      <c r="BC853">
        <v>152.35489999999999</v>
      </c>
      <c r="BD853">
        <v>3.8982000000000001</v>
      </c>
      <c r="BE853">
        <v>32.462499999999999</v>
      </c>
      <c r="BF853">
        <v>55.955800000000004</v>
      </c>
      <c r="BG853">
        <v>309.43790000000001</v>
      </c>
      <c r="BH853">
        <v>26.96</v>
      </c>
    </row>
    <row r="854" spans="1:60" x14ac:dyDescent="0.25">
      <c r="A854" s="2">
        <v>44647</v>
      </c>
      <c r="B854">
        <v>9.6999999999999993</v>
      </c>
      <c r="C854">
        <v>0</v>
      </c>
      <c r="D854">
        <v>12.8</v>
      </c>
      <c r="E854">
        <v>3.1</v>
      </c>
      <c r="F854">
        <v>223.71</v>
      </c>
      <c r="G854">
        <v>0.2</v>
      </c>
      <c r="H854">
        <v>2.4</v>
      </c>
      <c r="I854">
        <v>278.45580000000001</v>
      </c>
      <c r="J854">
        <v>137.66550000000001</v>
      </c>
      <c r="K854">
        <v>62.1432</v>
      </c>
      <c r="L854">
        <v>3.8763000000000001</v>
      </c>
      <c r="M854">
        <v>13.517899999999999</v>
      </c>
      <c r="P854">
        <v>26.36</v>
      </c>
      <c r="S854">
        <f t="shared" si="289"/>
        <v>747.56870000000015</v>
      </c>
      <c r="T854">
        <f t="shared" si="290"/>
        <v>9.0934104179547018E-3</v>
      </c>
      <c r="U854">
        <f t="shared" si="291"/>
        <v>0</v>
      </c>
      <c r="V854">
        <f t="shared" si="292"/>
        <v>1.1999551891734041E-2</v>
      </c>
      <c r="W854">
        <f t="shared" si="293"/>
        <v>2.9061414737793379E-3</v>
      </c>
      <c r="X854">
        <f t="shared" si="294"/>
        <v>0.20972029325779862</v>
      </c>
      <c r="Y854">
        <f t="shared" si="295"/>
        <v>1.874929983083444E-4</v>
      </c>
      <c r="Z854">
        <f t="shared" si="296"/>
        <v>2.2499159797001326E-3</v>
      </c>
      <c r="AA854">
        <f t="shared" si="297"/>
        <v>0.26104256419174343</v>
      </c>
      <c r="AB854">
        <f t="shared" si="298"/>
        <v>0.12905658679308693</v>
      </c>
      <c r="AC854">
        <f t="shared" si="299"/>
        <v>5.8257074462375533E-2</v>
      </c>
      <c r="AD854">
        <f t="shared" si="300"/>
        <v>3.6338955467131767E-3</v>
      </c>
      <c r="AE854">
        <f t="shared" si="301"/>
        <v>1.2672558009161842E-2</v>
      </c>
      <c r="AG854">
        <f t="shared" si="302"/>
        <v>-1.113802586736425</v>
      </c>
      <c r="AH854">
        <f t="shared" si="303"/>
        <v>0.24882936402843703</v>
      </c>
      <c r="AI854">
        <f t="shared" si="304"/>
        <v>2.4454743622472019E-2</v>
      </c>
      <c r="AK854" s="26">
        <f t="shared" si="305"/>
        <v>2.9479164762440863E-2</v>
      </c>
      <c r="AL854" s="26">
        <f t="shared" si="306"/>
        <v>2.6884631735286546E-2</v>
      </c>
      <c r="AM854" s="26">
        <f t="shared" si="307"/>
        <v>1.2246833608634905E-2</v>
      </c>
      <c r="AN854" s="26">
        <f t="shared" si="308"/>
        <v>-18.291428571428568</v>
      </c>
      <c r="AO854" s="26">
        <f t="shared" si="309"/>
        <v>-20.136605534105502</v>
      </c>
      <c r="AP854" s="26">
        <f t="shared" si="310"/>
        <v>-23.048666273353057</v>
      </c>
      <c r="AS854" s="2">
        <v>44626</v>
      </c>
      <c r="AT854">
        <v>8.6999999999999993</v>
      </c>
      <c r="AU854">
        <v>202</v>
      </c>
      <c r="AV854">
        <v>12.5</v>
      </c>
      <c r="AW854">
        <v>2.8</v>
      </c>
      <c r="AX854">
        <v>117.77</v>
      </c>
      <c r="AY854">
        <v>0.2</v>
      </c>
      <c r="AZ854">
        <v>3.3</v>
      </c>
      <c r="BA854">
        <v>284.25220000000002</v>
      </c>
      <c r="BB854">
        <v>232.89019999999999</v>
      </c>
      <c r="BC854">
        <v>95.949799999999996</v>
      </c>
      <c r="BD854">
        <v>3.9125000000000001</v>
      </c>
      <c r="BE854">
        <v>12.269</v>
      </c>
      <c r="BH854">
        <v>27.34</v>
      </c>
    </row>
    <row r="855" spans="1:60" x14ac:dyDescent="0.25">
      <c r="A855" s="2">
        <v>44646</v>
      </c>
      <c r="B855">
        <v>9.8000000000000007</v>
      </c>
      <c r="C855">
        <v>4.7</v>
      </c>
      <c r="D855">
        <v>29.2</v>
      </c>
      <c r="E855">
        <v>9.4</v>
      </c>
      <c r="F855">
        <v>215.79</v>
      </c>
      <c r="G855">
        <v>0.2</v>
      </c>
      <c r="H855">
        <v>2.2999999999999998</v>
      </c>
      <c r="I855">
        <v>267.40730000000002</v>
      </c>
      <c r="J855">
        <v>145.55430000000001</v>
      </c>
      <c r="K855">
        <v>57.981099999999998</v>
      </c>
      <c r="L855">
        <v>3.8713000000000002</v>
      </c>
      <c r="M855">
        <v>17.9117</v>
      </c>
      <c r="P855">
        <v>26.16</v>
      </c>
      <c r="S855">
        <f t="shared" si="289"/>
        <v>764.11569999999995</v>
      </c>
      <c r="T855">
        <f t="shared" si="290"/>
        <v>9.1871569171088751E-3</v>
      </c>
      <c r="U855">
        <f t="shared" si="291"/>
        <v>4.4060854602460935E-3</v>
      </c>
      <c r="V855">
        <f t="shared" si="292"/>
        <v>2.737397775301828E-2</v>
      </c>
      <c r="W855">
        <f t="shared" si="293"/>
        <v>8.8121709204921871E-3</v>
      </c>
      <c r="X855">
        <f t="shared" si="294"/>
        <v>0.20229557052478817</v>
      </c>
      <c r="Y855">
        <f t="shared" si="295"/>
        <v>1.874929983083444E-4</v>
      </c>
      <c r="Z855">
        <f t="shared" si="296"/>
        <v>2.1561694805459601E-3</v>
      </c>
      <c r="AA855">
        <f t="shared" si="297"/>
        <v>0.2506849822326947</v>
      </c>
      <c r="AB855">
        <f t="shared" si="298"/>
        <v>0.13645206061836126</v>
      </c>
      <c r="AC855">
        <f t="shared" si="299"/>
        <v>5.4355251421079727E-2</v>
      </c>
      <c r="AD855">
        <f t="shared" si="300"/>
        <v>3.6292082217554682E-3</v>
      </c>
      <c r="AE855">
        <f t="shared" si="301"/>
        <v>1.679159168899786E-2</v>
      </c>
      <c r="AG855">
        <f t="shared" si="302"/>
        <v>-1.1248365388489137</v>
      </c>
      <c r="AH855">
        <f t="shared" si="303"/>
        <v>0.27121021574350579</v>
      </c>
      <c r="AI855">
        <f t="shared" si="304"/>
        <v>0.21302339073137275</v>
      </c>
      <c r="AK855" s="26">
        <f t="shared" si="305"/>
        <v>3.9130973970547905E-2</v>
      </c>
      <c r="AL855" s="26">
        <f t="shared" si="306"/>
        <v>2.7588874801557028E-2</v>
      </c>
      <c r="AM855" s="26">
        <f t="shared" si="307"/>
        <v>1.1842423161427584E-2</v>
      </c>
      <c r="AN855" s="26">
        <f t="shared" si="308"/>
        <v>-18.456428571428578</v>
      </c>
      <c r="AO855" s="26">
        <f t="shared" si="309"/>
        <v>-20.277789575289535</v>
      </c>
      <c r="AP855" s="26">
        <f t="shared" si="310"/>
        <v>-23.120698918387468</v>
      </c>
      <c r="AS855" s="2">
        <v>44625</v>
      </c>
      <c r="AT855">
        <v>9</v>
      </c>
      <c r="AU855">
        <v>43.1</v>
      </c>
      <c r="AV855">
        <v>24.1</v>
      </c>
      <c r="AW855">
        <v>4.4000000000000004</v>
      </c>
      <c r="AX855">
        <v>163.83000000000001</v>
      </c>
      <c r="AY855">
        <v>0.2</v>
      </c>
      <c r="AZ855">
        <v>3.3</v>
      </c>
      <c r="BA855">
        <v>275.95179999999999</v>
      </c>
      <c r="BB855">
        <v>238.2508</v>
      </c>
      <c r="BC855">
        <v>102.42829999999999</v>
      </c>
      <c r="BD855">
        <v>3.8658000000000001</v>
      </c>
      <c r="BE855">
        <v>19.098400000000002</v>
      </c>
      <c r="BH855">
        <v>27.55</v>
      </c>
    </row>
    <row r="856" spans="1:60" x14ac:dyDescent="0.25">
      <c r="A856" s="2">
        <v>44645</v>
      </c>
      <c r="B856">
        <v>9.8000000000000007</v>
      </c>
      <c r="C856">
        <v>2.5</v>
      </c>
      <c r="D856">
        <v>10.8</v>
      </c>
      <c r="E856">
        <v>2.8</v>
      </c>
      <c r="F856">
        <v>231.78</v>
      </c>
      <c r="G856">
        <v>0.2</v>
      </c>
      <c r="H856">
        <v>2.7</v>
      </c>
      <c r="I856">
        <v>258.35919999999999</v>
      </c>
      <c r="J856">
        <v>239.21170000000001</v>
      </c>
      <c r="K856">
        <v>98.6815</v>
      </c>
      <c r="L856">
        <v>3.9449999999999998</v>
      </c>
      <c r="M856">
        <v>21.261299999999999</v>
      </c>
      <c r="N856">
        <v>-24.620200000000001</v>
      </c>
      <c r="O856">
        <v>47.642200000000003</v>
      </c>
      <c r="P856">
        <v>25.92</v>
      </c>
      <c r="S856">
        <f t="shared" si="289"/>
        <v>882.03870000000018</v>
      </c>
      <c r="T856">
        <f t="shared" si="290"/>
        <v>9.1871569171088751E-3</v>
      </c>
      <c r="U856">
        <f t="shared" si="291"/>
        <v>2.3436624788543046E-3</v>
      </c>
      <c r="V856">
        <f t="shared" si="292"/>
        <v>1.0124621908650598E-2</v>
      </c>
      <c r="W856">
        <f t="shared" si="293"/>
        <v>2.624901976316821E-3</v>
      </c>
      <c r="X856">
        <f t="shared" si="294"/>
        <v>0.21728563573954029</v>
      </c>
      <c r="Y856">
        <f t="shared" si="295"/>
        <v>1.874929983083444E-4</v>
      </c>
      <c r="Z856">
        <f t="shared" si="296"/>
        <v>2.5311554771626494E-3</v>
      </c>
      <c r="AA856">
        <f t="shared" si="297"/>
        <v>0.24220270524272602</v>
      </c>
      <c r="AB856">
        <f t="shared" si="298"/>
        <v>0.22425259431718092</v>
      </c>
      <c r="AC856">
        <f t="shared" si="299"/>
        <v>9.2510451562824433E-2</v>
      </c>
      <c r="AD856">
        <f t="shared" si="300"/>
        <v>3.6982993916320926E-3</v>
      </c>
      <c r="AE856">
        <f t="shared" si="301"/>
        <v>1.9931724424666012E-2</v>
      </c>
      <c r="AG856">
        <f t="shared" si="302"/>
        <v>-1.1377811265917479</v>
      </c>
      <c r="AH856">
        <f t="shared" si="303"/>
        <v>0.26421635192060788</v>
      </c>
      <c r="AI856">
        <f t="shared" si="304"/>
        <v>0.15315941357889984</v>
      </c>
      <c r="AK856" s="26">
        <f t="shared" si="305"/>
        <v>4.4741237676548307E-2</v>
      </c>
      <c r="AL856" s="26">
        <f t="shared" si="306"/>
        <v>2.8191277227164802E-2</v>
      </c>
      <c r="AM856" s="26">
        <f t="shared" si="307"/>
        <v>1.2163164284783673E-2</v>
      </c>
      <c r="AN856" s="26">
        <f t="shared" si="308"/>
        <v>-18.617380952380969</v>
      </c>
      <c r="AO856" s="26">
        <f t="shared" si="309"/>
        <v>-20.416539575289537</v>
      </c>
      <c r="AP856" s="26">
        <f t="shared" si="310"/>
        <v>-23.190756735496613</v>
      </c>
      <c r="AS856" s="2">
        <v>44624</v>
      </c>
      <c r="AT856">
        <v>10.6</v>
      </c>
      <c r="AU856">
        <v>2.4</v>
      </c>
      <c r="AV856">
        <v>32.700000000000003</v>
      </c>
      <c r="AW856">
        <v>3.6</v>
      </c>
      <c r="AX856">
        <v>156.47999999999999</v>
      </c>
      <c r="AY856">
        <v>0.2</v>
      </c>
      <c r="AZ856">
        <v>3.2</v>
      </c>
      <c r="BA856">
        <v>282.44630000000001</v>
      </c>
      <c r="BB856">
        <v>245.21090000000001</v>
      </c>
      <c r="BC856">
        <v>146.10290000000001</v>
      </c>
      <c r="BD856">
        <v>3.3060999999999998</v>
      </c>
      <c r="BE856">
        <v>20.8965</v>
      </c>
      <c r="BF856">
        <v>-11.925599999999999</v>
      </c>
      <c r="BG856">
        <v>218.0575</v>
      </c>
      <c r="BH856">
        <v>27.73</v>
      </c>
    </row>
    <row r="857" spans="1:60" x14ac:dyDescent="0.25">
      <c r="A857" s="2">
        <v>44644</v>
      </c>
      <c r="B857">
        <v>9.5</v>
      </c>
      <c r="C857">
        <v>72.3</v>
      </c>
      <c r="D857">
        <v>2.1</v>
      </c>
      <c r="E857">
        <v>1.5</v>
      </c>
      <c r="F857">
        <v>233.6</v>
      </c>
      <c r="G857">
        <v>0.1</v>
      </c>
      <c r="H857">
        <v>3.1</v>
      </c>
      <c r="I857">
        <v>273.6678</v>
      </c>
      <c r="J857">
        <v>250.4314</v>
      </c>
      <c r="K857">
        <v>140.09719999999999</v>
      </c>
      <c r="L857">
        <v>3.9245000000000001</v>
      </c>
      <c r="M857">
        <v>26.1417</v>
      </c>
      <c r="N857">
        <v>-27.906199999999998</v>
      </c>
      <c r="O857">
        <v>58.718499999999999</v>
      </c>
      <c r="P857">
        <v>25.8</v>
      </c>
      <c r="S857">
        <f t="shared" si="289"/>
        <v>1016.4625999999998</v>
      </c>
      <c r="T857">
        <f t="shared" si="290"/>
        <v>8.9059174196463586E-3</v>
      </c>
      <c r="U857">
        <f t="shared" si="291"/>
        <v>6.7778718888466497E-2</v>
      </c>
      <c r="V857">
        <f t="shared" si="292"/>
        <v>1.9686764822376161E-3</v>
      </c>
      <c r="W857">
        <f t="shared" si="293"/>
        <v>1.406197487312583E-3</v>
      </c>
      <c r="X857">
        <f t="shared" si="294"/>
        <v>0.21899182202414624</v>
      </c>
      <c r="Y857">
        <f t="shared" si="295"/>
        <v>9.3746499154172199E-5</v>
      </c>
      <c r="Z857">
        <f t="shared" si="296"/>
        <v>2.9061414737793379E-3</v>
      </c>
      <c r="AA857">
        <f t="shared" si="297"/>
        <v>0.25655398181224165</v>
      </c>
      <c r="AB857">
        <f t="shared" si="298"/>
        <v>0.23477067028278156</v>
      </c>
      <c r="AC857">
        <f t="shared" si="299"/>
        <v>0.1313362204130189</v>
      </c>
      <c r="AD857">
        <f t="shared" si="300"/>
        <v>3.6790813593054876E-3</v>
      </c>
      <c r="AE857">
        <f t="shared" si="301"/>
        <v>2.4506928569386233E-2</v>
      </c>
      <c r="AG857">
        <f t="shared" si="302"/>
        <v>-1.1453228567523641</v>
      </c>
      <c r="AH857">
        <f t="shared" si="303"/>
        <v>0.32655814884412904</v>
      </c>
      <c r="AI857">
        <f t="shared" si="304"/>
        <v>0.67675256495301628</v>
      </c>
      <c r="AK857" s="26">
        <f t="shared" si="305"/>
        <v>4.9590922642553881E-2</v>
      </c>
      <c r="AL857" s="26">
        <f t="shared" si="306"/>
        <v>2.9522626459881463E-2</v>
      </c>
      <c r="AM857" s="26">
        <f t="shared" si="307"/>
        <v>1.2304017454001698E-2</v>
      </c>
      <c r="AN857" s="26">
        <f t="shared" si="308"/>
        <v>-18.768571428571441</v>
      </c>
      <c r="AO857" s="26">
        <f t="shared" si="309"/>
        <v>-20.551061776061744</v>
      </c>
      <c r="AP857" s="26">
        <f t="shared" si="310"/>
        <v>-23.25627020648971</v>
      </c>
      <c r="AS857" s="2">
        <v>44623</v>
      </c>
      <c r="AT857">
        <v>12</v>
      </c>
      <c r="AU857">
        <v>59.6</v>
      </c>
      <c r="AV857">
        <v>22.8</v>
      </c>
      <c r="AW857">
        <v>2.9</v>
      </c>
      <c r="AX857">
        <v>184.74</v>
      </c>
      <c r="AY857">
        <v>0.2</v>
      </c>
      <c r="AZ857">
        <v>3.1</v>
      </c>
      <c r="BA857">
        <v>277.32979999999998</v>
      </c>
      <c r="BB857">
        <v>244.5488</v>
      </c>
      <c r="BC857">
        <v>151.44569999999999</v>
      </c>
      <c r="BD857">
        <v>3.7174</v>
      </c>
      <c r="BE857">
        <v>25.8965</v>
      </c>
      <c r="BF857">
        <v>25.624199999999998</v>
      </c>
      <c r="BG857">
        <v>151.74520000000001</v>
      </c>
      <c r="BH857">
        <v>28</v>
      </c>
    </row>
    <row r="858" spans="1:60" x14ac:dyDescent="0.25">
      <c r="A858" s="2">
        <v>44643</v>
      </c>
      <c r="B858">
        <v>9.1</v>
      </c>
      <c r="C858">
        <v>0</v>
      </c>
      <c r="D858">
        <v>1.9</v>
      </c>
      <c r="E858">
        <v>1.7</v>
      </c>
      <c r="F858">
        <v>236.04</v>
      </c>
      <c r="G858">
        <v>0.2</v>
      </c>
      <c r="H858">
        <v>3.1</v>
      </c>
      <c r="I858">
        <v>279.14</v>
      </c>
      <c r="J858">
        <v>239.88980000000001</v>
      </c>
      <c r="K858">
        <v>135.79300000000001</v>
      </c>
      <c r="L858">
        <v>3.9117000000000002</v>
      </c>
      <c r="M858">
        <v>20.6526</v>
      </c>
      <c r="N858">
        <v>-27.439499999999999</v>
      </c>
      <c r="O858">
        <v>65.073899999999995</v>
      </c>
      <c r="P858">
        <v>25.68</v>
      </c>
      <c r="S858">
        <f t="shared" si="289"/>
        <v>931.4271</v>
      </c>
      <c r="T858">
        <f t="shared" si="290"/>
        <v>8.5309314230296689E-3</v>
      </c>
      <c r="U858">
        <f t="shared" si="291"/>
        <v>0</v>
      </c>
      <c r="V858">
        <f t="shared" si="292"/>
        <v>1.7811834839292716E-3</v>
      </c>
      <c r="W858">
        <f t="shared" si="293"/>
        <v>1.5936904856209272E-3</v>
      </c>
      <c r="X858">
        <f t="shared" si="294"/>
        <v>0.22127923660350804</v>
      </c>
      <c r="Y858">
        <f t="shared" si="295"/>
        <v>1.874929983083444E-4</v>
      </c>
      <c r="Z858">
        <f t="shared" si="296"/>
        <v>2.9061414737793379E-3</v>
      </c>
      <c r="AA858">
        <f t="shared" si="297"/>
        <v>0.26168397773895624</v>
      </c>
      <c r="AB858">
        <f t="shared" si="298"/>
        <v>0.22488828932794536</v>
      </c>
      <c r="AC858">
        <f t="shared" si="299"/>
        <v>0.12730118359642506</v>
      </c>
      <c r="AD858">
        <f t="shared" si="300"/>
        <v>3.6670818074137539E-3</v>
      </c>
      <c r="AE858">
        <f t="shared" si="301"/>
        <v>1.9361089484314566E-2</v>
      </c>
      <c r="AG858">
        <f t="shared" si="302"/>
        <v>-1.152934748505438</v>
      </c>
      <c r="AH858">
        <f t="shared" si="303"/>
        <v>0.25563976595249016</v>
      </c>
      <c r="AI858">
        <f t="shared" si="304"/>
        <v>8.0977113507999021E-2</v>
      </c>
      <c r="AK858" s="26">
        <f t="shared" si="305"/>
        <v>4.9920379089414713E-2</v>
      </c>
      <c r="AL858" s="26">
        <f t="shared" si="306"/>
        <v>2.9041104971984255E-2</v>
      </c>
      <c r="AM858" s="26">
        <f t="shared" si="307"/>
        <v>1.1255573638536298E-2</v>
      </c>
      <c r="AN858" s="26">
        <f t="shared" si="308"/>
        <v>-18.910000000000011</v>
      </c>
      <c r="AO858" s="26">
        <f t="shared" si="309"/>
        <v>-20.682718790218761</v>
      </c>
      <c r="AP858" s="26">
        <f t="shared" si="310"/>
        <v>-23.318121140609676</v>
      </c>
      <c r="AS858" s="2">
        <v>44622</v>
      </c>
      <c r="AT858">
        <v>11.4</v>
      </c>
      <c r="AU858">
        <v>21.6</v>
      </c>
      <c r="AV858">
        <v>12.2</v>
      </c>
      <c r="AW858">
        <v>1.8</v>
      </c>
      <c r="AX858">
        <v>141</v>
      </c>
      <c r="AY858">
        <v>0.2</v>
      </c>
      <c r="AZ858">
        <v>3.1</v>
      </c>
      <c r="BA858">
        <v>296.02800000000002</v>
      </c>
      <c r="BB858">
        <v>234.61080000000001</v>
      </c>
      <c r="BC858">
        <v>181.93539999999999</v>
      </c>
      <c r="BD858">
        <v>4.0452000000000004</v>
      </c>
      <c r="BE858">
        <v>25.427199999999999</v>
      </c>
      <c r="BF858">
        <v>-45.041400000000003</v>
      </c>
      <c r="BG858">
        <v>114.9254</v>
      </c>
      <c r="BH858">
        <v>28.31</v>
      </c>
    </row>
    <row r="859" spans="1:60" x14ac:dyDescent="0.25">
      <c r="A859" s="2">
        <v>44642</v>
      </c>
      <c r="B859">
        <v>8.6</v>
      </c>
      <c r="C859">
        <v>14.5</v>
      </c>
      <c r="D859">
        <v>5</v>
      </c>
      <c r="E859">
        <v>2.2999999999999998</v>
      </c>
      <c r="F859">
        <v>236.92</v>
      </c>
      <c r="G859">
        <v>0.2</v>
      </c>
      <c r="H859">
        <v>3.2</v>
      </c>
      <c r="I859">
        <v>271.05169999999998</v>
      </c>
      <c r="J859">
        <v>211.04820000000001</v>
      </c>
      <c r="K859">
        <v>134.3252</v>
      </c>
      <c r="L859">
        <v>3.9619</v>
      </c>
      <c r="M859">
        <v>23.870999999999999</v>
      </c>
      <c r="N859">
        <v>-29.555</v>
      </c>
      <c r="O859">
        <v>34.133699999999997</v>
      </c>
      <c r="P859">
        <v>25.64</v>
      </c>
      <c r="S859">
        <f t="shared" si="289"/>
        <v>914.97799999999995</v>
      </c>
      <c r="T859">
        <f t="shared" si="290"/>
        <v>8.0621989272588075E-3</v>
      </c>
      <c r="U859">
        <f t="shared" si="291"/>
        <v>1.3593242377354967E-2</v>
      </c>
      <c r="V859">
        <f t="shared" si="292"/>
        <v>4.6873249577086091E-3</v>
      </c>
      <c r="W859">
        <f t="shared" si="293"/>
        <v>2.1561694805459601E-3</v>
      </c>
      <c r="X859">
        <f t="shared" si="294"/>
        <v>0.22210420579606474</v>
      </c>
      <c r="Y859">
        <f t="shared" si="295"/>
        <v>1.874929983083444E-4</v>
      </c>
      <c r="Z859">
        <f t="shared" si="296"/>
        <v>2.9998879729335104E-3</v>
      </c>
      <c r="AA859">
        <f t="shared" si="297"/>
        <v>0.25410147964786933</v>
      </c>
      <c r="AB859">
        <f t="shared" si="298"/>
        <v>0.19785029902789564</v>
      </c>
      <c r="AC859">
        <f t="shared" si="299"/>
        <v>0.1259251724818401</v>
      </c>
      <c r="AD859">
        <f t="shared" si="300"/>
        <v>3.7141425499891481E-3</v>
      </c>
      <c r="AE859">
        <f t="shared" si="301"/>
        <v>2.2378226813092442E-2</v>
      </c>
      <c r="AG859">
        <f t="shared" si="302"/>
        <v>-1.1569505875899371</v>
      </c>
      <c r="AH859">
        <f t="shared" si="303"/>
        <v>0.27616874932326735</v>
      </c>
      <c r="AI859">
        <f t="shared" si="304"/>
        <v>0.25611310537688192</v>
      </c>
      <c r="AK859" s="26">
        <f t="shared" si="305"/>
        <v>4.9033061778741949E-2</v>
      </c>
      <c r="AL859" s="26">
        <f t="shared" si="306"/>
        <v>2.9029153137905134E-2</v>
      </c>
      <c r="AM859" s="26">
        <f t="shared" si="307"/>
        <v>1.033652586851852E-2</v>
      </c>
      <c r="AN859" s="26">
        <f t="shared" si="308"/>
        <v>-19.036904761904779</v>
      </c>
      <c r="AO859" s="26">
        <f t="shared" si="309"/>
        <v>-20.811066602316568</v>
      </c>
      <c r="AP859" s="26">
        <f t="shared" si="310"/>
        <v>-23.375599213372716</v>
      </c>
      <c r="AS859" s="2">
        <v>44621</v>
      </c>
      <c r="AT859">
        <v>10.1</v>
      </c>
      <c r="AU859">
        <v>2.9</v>
      </c>
      <c r="AV859">
        <v>21.8</v>
      </c>
      <c r="AW859">
        <v>6.4</v>
      </c>
      <c r="AX859">
        <v>181.82</v>
      </c>
      <c r="AY859">
        <v>0.2</v>
      </c>
      <c r="AZ859">
        <v>3</v>
      </c>
      <c r="BA859">
        <v>285.60289999999998</v>
      </c>
      <c r="BB859">
        <v>220.01660000000001</v>
      </c>
      <c r="BC859">
        <v>155.4169</v>
      </c>
      <c r="BD859">
        <v>3.6715</v>
      </c>
      <c r="BE859">
        <v>27.178899999999999</v>
      </c>
      <c r="BF859">
        <v>-40.667400000000001</v>
      </c>
      <c r="BG859">
        <v>69.015299999999996</v>
      </c>
      <c r="BH859">
        <v>28.63</v>
      </c>
    </row>
    <row r="860" spans="1:60" x14ac:dyDescent="0.25">
      <c r="A860" s="2">
        <v>44641</v>
      </c>
      <c r="B860">
        <v>8</v>
      </c>
      <c r="C860">
        <v>14.2</v>
      </c>
      <c r="D860">
        <v>28.2</v>
      </c>
      <c r="E860">
        <v>8.6999999999999993</v>
      </c>
      <c r="F860">
        <v>220.9</v>
      </c>
      <c r="G860">
        <v>0.2</v>
      </c>
      <c r="H860">
        <v>3.2</v>
      </c>
      <c r="I860">
        <v>260.11380000000003</v>
      </c>
      <c r="J860">
        <v>189.8288</v>
      </c>
      <c r="K860">
        <v>106.4759</v>
      </c>
      <c r="L860">
        <v>3.5196000000000001</v>
      </c>
      <c r="M860">
        <v>31.7562</v>
      </c>
      <c r="N860">
        <v>-26.603300000000001</v>
      </c>
      <c r="O860">
        <v>44.0017</v>
      </c>
      <c r="P860">
        <v>25.65</v>
      </c>
      <c r="S860">
        <f t="shared" si="289"/>
        <v>875.09429999999998</v>
      </c>
      <c r="T860">
        <f t="shared" si="290"/>
        <v>7.4997199323337755E-3</v>
      </c>
      <c r="U860">
        <f t="shared" si="291"/>
        <v>1.331200287989245E-2</v>
      </c>
      <c r="V860">
        <f t="shared" si="292"/>
        <v>2.6436512761476558E-2</v>
      </c>
      <c r="W860">
        <f t="shared" si="293"/>
        <v>8.1559454264129791E-3</v>
      </c>
      <c r="X860">
        <f t="shared" si="294"/>
        <v>0.20708601663156637</v>
      </c>
      <c r="Y860">
        <f t="shared" si="295"/>
        <v>1.874929983083444E-4</v>
      </c>
      <c r="Z860">
        <f t="shared" si="296"/>
        <v>2.9998879729335104E-3</v>
      </c>
      <c r="AA860">
        <f t="shared" si="297"/>
        <v>0.24384758131688516</v>
      </c>
      <c r="AB860">
        <f t="shared" si="298"/>
        <v>0.17795785438637521</v>
      </c>
      <c r="AC860">
        <f t="shared" si="299"/>
        <v>9.9817428692897225E-2</v>
      </c>
      <c r="AD860">
        <f t="shared" si="300"/>
        <v>3.2995017842302444E-3</v>
      </c>
      <c r="AE860">
        <f t="shared" si="301"/>
        <v>2.977032576439723E-2</v>
      </c>
      <c r="AG860">
        <f t="shared" si="302"/>
        <v>-1.1587265037936061</v>
      </c>
      <c r="AH860">
        <f t="shared" si="303"/>
        <v>0.29544790436732121</v>
      </c>
      <c r="AI860">
        <f t="shared" si="304"/>
        <v>0.42024430909826133</v>
      </c>
      <c r="AK860" s="26">
        <f t="shared" si="305"/>
        <v>4.7434342463059304E-2</v>
      </c>
      <c r="AL860" s="26">
        <f t="shared" si="306"/>
        <v>2.7974019549478701E-2</v>
      </c>
      <c r="AM860" s="26">
        <f t="shared" si="307"/>
        <v>9.5390400412228293E-3</v>
      </c>
      <c r="AN860" s="26">
        <f t="shared" si="308"/>
        <v>-19.150952380952386</v>
      </c>
      <c r="AO860" s="26">
        <f t="shared" si="309"/>
        <v>-20.935656370656336</v>
      </c>
      <c r="AP860" s="26">
        <f t="shared" si="310"/>
        <v>-23.427944936086575</v>
      </c>
      <c r="AS860" s="2">
        <v>44620</v>
      </c>
      <c r="AT860">
        <v>9.4</v>
      </c>
      <c r="AU860">
        <v>46.5</v>
      </c>
      <c r="AV860">
        <v>58.5</v>
      </c>
      <c r="AW860">
        <v>8.6999999999999993</v>
      </c>
      <c r="AX860">
        <v>182.78</v>
      </c>
      <c r="AY860">
        <v>0.2</v>
      </c>
      <c r="AZ860">
        <v>3</v>
      </c>
      <c r="BA860">
        <v>291.5181</v>
      </c>
      <c r="BB860">
        <v>195.30779999999999</v>
      </c>
      <c r="BC860">
        <v>97.977900000000005</v>
      </c>
      <c r="BD860">
        <v>3.6404000000000001</v>
      </c>
      <c r="BE860">
        <v>31.417200000000001</v>
      </c>
      <c r="BF860">
        <v>-20.6309</v>
      </c>
      <c r="BG860">
        <v>49.223199999999999</v>
      </c>
      <c r="BH860">
        <v>28.98</v>
      </c>
    </row>
    <row r="861" spans="1:60" x14ac:dyDescent="0.25">
      <c r="A861" s="2">
        <v>44640</v>
      </c>
      <c r="B861">
        <v>8.3000000000000007</v>
      </c>
      <c r="C861">
        <v>15.6</v>
      </c>
      <c r="D861">
        <v>48.2</v>
      </c>
      <c r="E861">
        <v>18.399999999999999</v>
      </c>
      <c r="F861">
        <v>206.66</v>
      </c>
      <c r="G861">
        <v>0.2</v>
      </c>
      <c r="H861">
        <v>3</v>
      </c>
      <c r="I861">
        <v>150.20769999999999</v>
      </c>
      <c r="J861">
        <v>68.429199999999994</v>
      </c>
      <c r="K861">
        <v>37.361400000000003</v>
      </c>
      <c r="L861">
        <v>3.4762</v>
      </c>
      <c r="M861">
        <v>12.672800000000001</v>
      </c>
      <c r="P861">
        <v>25.71</v>
      </c>
      <c r="S861">
        <f t="shared" si="289"/>
        <v>572.50729999999999</v>
      </c>
      <c r="T861">
        <f t="shared" si="290"/>
        <v>7.7809594297962928E-3</v>
      </c>
      <c r="U861">
        <f t="shared" si="291"/>
        <v>1.4624453868050861E-2</v>
      </c>
      <c r="V861">
        <f t="shared" si="292"/>
        <v>4.5185812592310998E-2</v>
      </c>
      <c r="W861">
        <f t="shared" si="293"/>
        <v>1.7249355844367681E-2</v>
      </c>
      <c r="X861">
        <f t="shared" si="294"/>
        <v>0.19373651515201223</v>
      </c>
      <c r="Y861">
        <f t="shared" si="295"/>
        <v>1.874929983083444E-4</v>
      </c>
      <c r="Z861">
        <f t="shared" si="296"/>
        <v>2.8123949746251659E-3</v>
      </c>
      <c r="AA861">
        <f t="shared" si="297"/>
        <v>0.14081446021000149</v>
      </c>
      <c r="AB861">
        <f t="shared" si="298"/>
        <v>6.4149979399206788E-2</v>
      </c>
      <c r="AC861">
        <f t="shared" si="299"/>
        <v>3.5025004534986894E-2</v>
      </c>
      <c r="AD861">
        <f t="shared" si="300"/>
        <v>3.2588158035973336E-3</v>
      </c>
      <c r="AE861">
        <f t="shared" si="301"/>
        <v>1.1880306344809934E-2</v>
      </c>
      <c r="AG861">
        <f t="shared" si="302"/>
        <v>-1.1582504164089944</v>
      </c>
      <c r="AH861">
        <f t="shared" si="303"/>
        <v>0.29345729120428149</v>
      </c>
      <c r="AI861">
        <f t="shared" si="304"/>
        <v>0.40644503670272319</v>
      </c>
      <c r="AK861" s="26">
        <f t="shared" si="305"/>
        <v>4.9828706173539461E-2</v>
      </c>
      <c r="AL861" s="26">
        <f t="shared" si="306"/>
        <v>2.6614586332946055E-2</v>
      </c>
      <c r="AM861" s="26">
        <f t="shared" si="307"/>
        <v>8.7204066002659619E-3</v>
      </c>
      <c r="AN861" s="26">
        <f t="shared" si="308"/>
        <v>-19.255714285714298</v>
      </c>
      <c r="AO861" s="26">
        <f t="shared" si="309"/>
        <v>-21.055855855855814</v>
      </c>
      <c r="AP861" s="26">
        <f t="shared" si="310"/>
        <v>-23.477513470993145</v>
      </c>
      <c r="AS861" s="2">
        <v>44619</v>
      </c>
      <c r="AT861">
        <v>9.1999999999999993</v>
      </c>
      <c r="AU861">
        <v>16.100000000000001</v>
      </c>
      <c r="AV861">
        <v>47.4</v>
      </c>
      <c r="AW861">
        <v>8.1</v>
      </c>
      <c r="AX861">
        <v>175.75</v>
      </c>
      <c r="AY861">
        <v>0.2</v>
      </c>
      <c r="AZ861">
        <v>3</v>
      </c>
      <c r="BA861">
        <v>279.81810000000002</v>
      </c>
      <c r="BB861">
        <v>151.56870000000001</v>
      </c>
      <c r="BC861">
        <v>63.564300000000003</v>
      </c>
      <c r="BD861">
        <v>3.552</v>
      </c>
      <c r="BE861">
        <v>14.5342</v>
      </c>
      <c r="BH861">
        <v>29.34</v>
      </c>
    </row>
    <row r="862" spans="1:60" x14ac:dyDescent="0.25">
      <c r="A862" s="2">
        <v>44639</v>
      </c>
      <c r="B862">
        <v>8.8000000000000007</v>
      </c>
      <c r="C862">
        <v>9.1999999999999993</v>
      </c>
      <c r="D862">
        <v>32.9</v>
      </c>
      <c r="E862">
        <v>15.6</v>
      </c>
      <c r="F862">
        <v>205.95</v>
      </c>
      <c r="G862">
        <v>0.2</v>
      </c>
      <c r="H862">
        <v>3.2</v>
      </c>
      <c r="I862">
        <v>218.69839999999999</v>
      </c>
      <c r="J862">
        <v>94.143199999999993</v>
      </c>
      <c r="K862">
        <v>43.982799999999997</v>
      </c>
      <c r="L862">
        <v>3.4948999999999999</v>
      </c>
      <c r="M862">
        <v>24.540500000000002</v>
      </c>
      <c r="P862">
        <v>25.51</v>
      </c>
      <c r="S862">
        <f t="shared" si="289"/>
        <v>660.70979999999997</v>
      </c>
      <c r="T862">
        <f t="shared" si="290"/>
        <v>8.2496919255671541E-3</v>
      </c>
      <c r="U862">
        <f t="shared" si="291"/>
        <v>8.6246779221838404E-3</v>
      </c>
      <c r="V862">
        <f t="shared" si="292"/>
        <v>3.084259822172265E-2</v>
      </c>
      <c r="W862">
        <f t="shared" si="293"/>
        <v>1.4624453868050861E-2</v>
      </c>
      <c r="X862">
        <f t="shared" si="294"/>
        <v>0.19307091500801762</v>
      </c>
      <c r="Y862">
        <f t="shared" si="295"/>
        <v>1.874929983083444E-4</v>
      </c>
      <c r="Z862">
        <f t="shared" si="296"/>
        <v>2.9998879729335104E-3</v>
      </c>
      <c r="AA862">
        <f t="shared" si="297"/>
        <v>0.2050220937061881</v>
      </c>
      <c r="AB862">
        <f t="shared" si="298"/>
        <v>8.8255954191710631E-2</v>
      </c>
      <c r="AC862">
        <f t="shared" si="299"/>
        <v>4.1232335229981244E-2</v>
      </c>
      <c r="AD862">
        <f t="shared" si="300"/>
        <v>3.2763463989391637E-3</v>
      </c>
      <c r="AE862">
        <f t="shared" si="301"/>
        <v>2.3005859624929629E-2</v>
      </c>
      <c r="AG862">
        <f t="shared" si="302"/>
        <v>-1.1697875646177653</v>
      </c>
      <c r="AH862">
        <f t="shared" si="303"/>
        <v>0.28160557754171356</v>
      </c>
      <c r="AI862">
        <f t="shared" si="304"/>
        <v>0.30875125568204093</v>
      </c>
      <c r="AK862" s="26">
        <f t="shared" si="305"/>
        <v>5.4778338300000479E-2</v>
      </c>
      <c r="AL862" s="26">
        <f t="shared" si="306"/>
        <v>2.5719432351844873E-2</v>
      </c>
      <c r="AM862" s="26">
        <f t="shared" si="307"/>
        <v>8.6422364737088753E-3</v>
      </c>
      <c r="AN862" s="26">
        <f t="shared" si="308"/>
        <v>-19.352857142857157</v>
      </c>
      <c r="AO862" s="26">
        <f t="shared" si="309"/>
        <v>-21.171743886743851</v>
      </c>
      <c r="AP862" s="26">
        <f t="shared" si="310"/>
        <v>-23.524873942969556</v>
      </c>
      <c r="AS862" s="2">
        <v>44618</v>
      </c>
      <c r="AU862">
        <v>0</v>
      </c>
      <c r="AX862">
        <v>112.91</v>
      </c>
      <c r="BC862">
        <v>106.7334</v>
      </c>
      <c r="BH862">
        <v>29.49</v>
      </c>
    </row>
    <row r="863" spans="1:60" x14ac:dyDescent="0.25">
      <c r="A863" s="2">
        <v>44638</v>
      </c>
      <c r="B863">
        <v>9</v>
      </c>
      <c r="C863">
        <v>1</v>
      </c>
      <c r="D863">
        <v>16.600000000000001</v>
      </c>
      <c r="E863">
        <v>6.5</v>
      </c>
      <c r="F863">
        <v>181.33</v>
      </c>
      <c r="G863">
        <v>0.1</v>
      </c>
      <c r="H863">
        <v>3.2</v>
      </c>
      <c r="I863">
        <v>259.93259999999998</v>
      </c>
      <c r="J863">
        <v>200.14359999999999</v>
      </c>
      <c r="K863">
        <v>117.8777</v>
      </c>
      <c r="L863">
        <v>3.4988000000000001</v>
      </c>
      <c r="M863">
        <v>19.817799999999998</v>
      </c>
      <c r="N863">
        <v>-26.6175</v>
      </c>
      <c r="O863">
        <v>56.081000000000003</v>
      </c>
      <c r="P863">
        <v>25.6</v>
      </c>
      <c r="S863">
        <f t="shared" si="289"/>
        <v>819.00049999999999</v>
      </c>
      <c r="T863">
        <f t="shared" si="290"/>
        <v>8.4371849238754973E-3</v>
      </c>
      <c r="U863">
        <f t="shared" si="291"/>
        <v>9.3746499154172193E-4</v>
      </c>
      <c r="V863">
        <f t="shared" si="292"/>
        <v>1.5561918859592586E-2</v>
      </c>
      <c r="W863">
        <f t="shared" si="293"/>
        <v>6.0935224450211923E-3</v>
      </c>
      <c r="X863">
        <f t="shared" si="294"/>
        <v>0.16999052691626046</v>
      </c>
      <c r="Y863">
        <f t="shared" si="295"/>
        <v>9.3746499154172199E-5</v>
      </c>
      <c r="Z863">
        <f t="shared" si="296"/>
        <v>2.9998879729335104E-3</v>
      </c>
      <c r="AA863">
        <f t="shared" si="297"/>
        <v>0.24367771266041777</v>
      </c>
      <c r="AB863">
        <f t="shared" si="298"/>
        <v>0.18762761828112975</v>
      </c>
      <c r="AC863">
        <f t="shared" si="299"/>
        <v>0.11050621703345764</v>
      </c>
      <c r="AD863">
        <f t="shared" si="300"/>
        <v>3.2800025124061767E-3</v>
      </c>
      <c r="AE863">
        <f t="shared" si="301"/>
        <v>1.8578493709375535E-2</v>
      </c>
      <c r="AG863">
        <f t="shared" si="302"/>
        <v>-1.1680411862328433</v>
      </c>
      <c r="AH863">
        <f t="shared" si="303"/>
        <v>0.22269274631775468</v>
      </c>
      <c r="AI863">
        <f t="shared" si="304"/>
        <v>-0.18884808804887629</v>
      </c>
      <c r="AK863" s="26">
        <f t="shared" si="305"/>
        <v>4.6861486623501758E-2</v>
      </c>
      <c r="AL863" s="26">
        <f t="shared" si="306"/>
        <v>2.3466814645093342E-2</v>
      </c>
      <c r="AM863" s="26">
        <f t="shared" si="307"/>
        <v>7.9389072740569944E-3</v>
      </c>
      <c r="AN863" s="26">
        <f t="shared" si="308"/>
        <v>-19.442142857142862</v>
      </c>
      <c r="AO863" s="26">
        <f t="shared" si="309"/>
        <v>-21.282437258687217</v>
      </c>
      <c r="AP863" s="26">
        <f t="shared" si="310"/>
        <v>-23.567192527040348</v>
      </c>
      <c r="AS863" s="2">
        <v>44617</v>
      </c>
      <c r="AT863">
        <v>10.4</v>
      </c>
      <c r="AU863">
        <v>0</v>
      </c>
      <c r="AV863">
        <v>68.8</v>
      </c>
      <c r="AW863">
        <v>24.7</v>
      </c>
      <c r="AX863">
        <v>98.18</v>
      </c>
      <c r="AY863">
        <v>0.2</v>
      </c>
      <c r="AZ863">
        <v>3.1</v>
      </c>
      <c r="BA863">
        <v>236.8467</v>
      </c>
      <c r="BB863">
        <v>140.93129999999999</v>
      </c>
      <c r="BC863">
        <v>64.962699999999998</v>
      </c>
      <c r="BD863">
        <v>3.6331000000000002</v>
      </c>
      <c r="BE863">
        <v>21.476700000000001</v>
      </c>
      <c r="BF863">
        <v>-11.6942</v>
      </c>
      <c r="BG863">
        <v>54.7834</v>
      </c>
      <c r="BH863">
        <v>29.66</v>
      </c>
    </row>
    <row r="864" spans="1:60" x14ac:dyDescent="0.25">
      <c r="A864" s="2">
        <v>44637</v>
      </c>
      <c r="B864">
        <v>9.5</v>
      </c>
      <c r="C864">
        <v>2.9</v>
      </c>
      <c r="D864">
        <v>52.9</v>
      </c>
      <c r="E864">
        <v>15.3</v>
      </c>
      <c r="F864">
        <v>63.06</v>
      </c>
      <c r="G864">
        <v>0.1</v>
      </c>
      <c r="H864">
        <v>3.1</v>
      </c>
      <c r="I864">
        <v>269.5659</v>
      </c>
      <c r="J864">
        <v>183.97620000000001</v>
      </c>
      <c r="K864">
        <v>128.41229999999999</v>
      </c>
      <c r="L864">
        <v>3.4672000000000001</v>
      </c>
      <c r="M864">
        <v>27.75</v>
      </c>
      <c r="N864">
        <v>-20.177800000000001</v>
      </c>
      <c r="O864">
        <v>66.464100000000002</v>
      </c>
      <c r="P864">
        <v>25.66</v>
      </c>
      <c r="S864">
        <f t="shared" si="289"/>
        <v>760.03160000000003</v>
      </c>
      <c r="T864">
        <f t="shared" si="290"/>
        <v>8.9059174196463586E-3</v>
      </c>
      <c r="U864">
        <f t="shared" si="291"/>
        <v>2.7186484754709935E-3</v>
      </c>
      <c r="V864">
        <f t="shared" si="292"/>
        <v>4.9591898052557086E-2</v>
      </c>
      <c r="W864">
        <f t="shared" si="293"/>
        <v>1.4343214370588346E-2</v>
      </c>
      <c r="X864">
        <f t="shared" si="294"/>
        <v>5.9116542366620985E-2</v>
      </c>
      <c r="Y864">
        <f t="shared" si="295"/>
        <v>9.3746499154172199E-5</v>
      </c>
      <c r="Z864">
        <f t="shared" si="296"/>
        <v>2.9061414737793379E-3</v>
      </c>
      <c r="AA864">
        <f t="shared" si="297"/>
        <v>0.25270859416343666</v>
      </c>
      <c r="AB864">
        <f t="shared" si="298"/>
        <v>0.17247124677687814</v>
      </c>
      <c r="AC864">
        <f t="shared" si="299"/>
        <v>0.12038203573335304</v>
      </c>
      <c r="AD864">
        <f t="shared" si="300"/>
        <v>3.2503786186734583E-3</v>
      </c>
      <c r="AE864">
        <f t="shared" si="301"/>
        <v>2.6014653515282784E-2</v>
      </c>
      <c r="AG864">
        <f t="shared" si="302"/>
        <v>-1.1677094661550989</v>
      </c>
      <c r="AH864">
        <f t="shared" si="303"/>
        <v>0.16369076217310008</v>
      </c>
      <c r="AI864">
        <f t="shared" si="304"/>
        <v>-0.68120982024507937</v>
      </c>
      <c r="AK864" s="26">
        <f t="shared" si="305"/>
        <v>4.6492600845508547E-2</v>
      </c>
      <c r="AL864" s="26">
        <f t="shared" si="306"/>
        <v>2.5051103062662589E-2</v>
      </c>
      <c r="AM864" s="26">
        <f t="shared" si="307"/>
        <v>7.8202771097568569E-3</v>
      </c>
      <c r="AN864" s="26">
        <f t="shared" si="308"/>
        <v>-19.534285714285712</v>
      </c>
      <c r="AO864" s="26">
        <f t="shared" si="309"/>
        <v>-21.391948198198158</v>
      </c>
      <c r="AP864" s="26">
        <f t="shared" si="310"/>
        <v>-23.606060963618532</v>
      </c>
      <c r="AS864" s="2">
        <v>44616</v>
      </c>
      <c r="AT864">
        <v>11.3</v>
      </c>
      <c r="AU864">
        <v>0.5</v>
      </c>
      <c r="AV864">
        <v>60.5</v>
      </c>
      <c r="AW864">
        <v>23.3</v>
      </c>
      <c r="AX864">
        <v>94.09</v>
      </c>
      <c r="AY864">
        <v>0.1</v>
      </c>
      <c r="AZ864">
        <v>3.2</v>
      </c>
      <c r="BA864">
        <v>243.39760000000001</v>
      </c>
      <c r="BB864">
        <v>145.22149999999999</v>
      </c>
      <c r="BC864">
        <v>86.118799999999993</v>
      </c>
      <c r="BD864">
        <v>3.72</v>
      </c>
      <c r="BE864">
        <v>18.9495</v>
      </c>
      <c r="BF864">
        <v>17.537400000000002</v>
      </c>
      <c r="BG864">
        <v>127.5093</v>
      </c>
      <c r="BH864">
        <v>29.91</v>
      </c>
    </row>
    <row r="865" spans="1:60" x14ac:dyDescent="0.25">
      <c r="A865" s="2">
        <v>44636</v>
      </c>
      <c r="B865">
        <v>8.6999999999999993</v>
      </c>
      <c r="C865">
        <v>0</v>
      </c>
      <c r="D865">
        <v>28.9</v>
      </c>
      <c r="E865">
        <v>8</v>
      </c>
      <c r="F865">
        <v>146.93</v>
      </c>
      <c r="G865">
        <v>0.1</v>
      </c>
      <c r="H865">
        <v>2.9</v>
      </c>
      <c r="I865">
        <v>287.20049999999998</v>
      </c>
      <c r="J865">
        <v>224.24639999999999</v>
      </c>
      <c r="K865">
        <v>118.4064</v>
      </c>
      <c r="L865">
        <v>3.4272999999999998</v>
      </c>
      <c r="M865">
        <v>17.0259</v>
      </c>
      <c r="N865">
        <v>-13.4085</v>
      </c>
      <c r="O865">
        <v>67.462699999999998</v>
      </c>
      <c r="P865">
        <v>25.74</v>
      </c>
      <c r="S865">
        <f t="shared" si="289"/>
        <v>845.83649999999989</v>
      </c>
      <c r="T865">
        <f t="shared" si="290"/>
        <v>8.1559454264129791E-3</v>
      </c>
      <c r="U865">
        <f t="shared" si="291"/>
        <v>0</v>
      </c>
      <c r="V865">
        <f t="shared" si="292"/>
        <v>2.7092738255555762E-2</v>
      </c>
      <c r="W865">
        <f t="shared" si="293"/>
        <v>7.4997199323337755E-3</v>
      </c>
      <c r="X865">
        <f t="shared" si="294"/>
        <v>0.13774173120722522</v>
      </c>
      <c r="Y865">
        <f t="shared" si="295"/>
        <v>9.3746499154172199E-5</v>
      </c>
      <c r="Z865">
        <f t="shared" si="296"/>
        <v>2.7186484754709935E-3</v>
      </c>
      <c r="AA865">
        <f t="shared" si="297"/>
        <v>0.26924041430327827</v>
      </c>
      <c r="AB865">
        <f t="shared" si="298"/>
        <v>0.21022314947926157</v>
      </c>
      <c r="AC865">
        <f t="shared" si="299"/>
        <v>0.11100185477448575</v>
      </c>
      <c r="AD865">
        <f t="shared" si="300"/>
        <v>3.2129737655109433E-3</v>
      </c>
      <c r="AE865">
        <f t="shared" si="301"/>
        <v>1.5961185199490201E-2</v>
      </c>
      <c r="AG865">
        <f t="shared" si="302"/>
        <v>-1.1664920307852402</v>
      </c>
      <c r="AH865">
        <f t="shared" si="303"/>
        <v>0.19926371499564308</v>
      </c>
      <c r="AI865">
        <f t="shared" si="304"/>
        <v>-0.38528374020284295</v>
      </c>
      <c r="AK865" s="26">
        <f t="shared" si="305"/>
        <v>5.0380922158866637E-2</v>
      </c>
      <c r="AL865" s="26">
        <f t="shared" si="306"/>
        <v>2.6372694711525535E-2</v>
      </c>
      <c r="AM865" s="26">
        <f t="shared" si="307"/>
        <v>8.5380887110595161E-3</v>
      </c>
      <c r="AN865" s="26">
        <f t="shared" si="308"/>
        <v>-19.618333333333347</v>
      </c>
      <c r="AO865" s="26">
        <f t="shared" si="309"/>
        <v>-21.498767696267656</v>
      </c>
      <c r="AP865" s="26">
        <f t="shared" si="310"/>
        <v>-23.640769714847636</v>
      </c>
      <c r="AS865" s="2">
        <v>44615</v>
      </c>
      <c r="AT865">
        <v>11.9</v>
      </c>
      <c r="AU865">
        <v>1.2</v>
      </c>
      <c r="AV865">
        <v>66.900000000000006</v>
      </c>
      <c r="AW865">
        <v>22</v>
      </c>
      <c r="AX865">
        <v>157.44999999999999</v>
      </c>
      <c r="AY865">
        <v>0.2</v>
      </c>
      <c r="AZ865">
        <v>3.1</v>
      </c>
      <c r="BA865">
        <v>218.53319999999999</v>
      </c>
      <c r="BB865">
        <v>158.47399999999999</v>
      </c>
      <c r="BC865">
        <v>99.713499999999996</v>
      </c>
      <c r="BD865">
        <v>3.6549</v>
      </c>
      <c r="BE865">
        <v>34.078699999999998</v>
      </c>
      <c r="BF865">
        <v>-21.555</v>
      </c>
      <c r="BG865">
        <v>40.291200000000003</v>
      </c>
      <c r="BH865">
        <v>30.16</v>
      </c>
    </row>
    <row r="866" spans="1:60" x14ac:dyDescent="0.25">
      <c r="A866" s="2">
        <v>44635</v>
      </c>
      <c r="B866">
        <v>8.1</v>
      </c>
      <c r="C866">
        <v>0.9</v>
      </c>
      <c r="D866">
        <v>7.4</v>
      </c>
      <c r="E866">
        <v>2.1</v>
      </c>
      <c r="F866">
        <v>70.31</v>
      </c>
      <c r="G866">
        <v>0.1</v>
      </c>
      <c r="H866">
        <v>3.2</v>
      </c>
      <c r="I866">
        <v>292.21559999999999</v>
      </c>
      <c r="J866">
        <v>236.4768</v>
      </c>
      <c r="K866">
        <v>158.81049999999999</v>
      </c>
      <c r="L866">
        <v>3.4268000000000001</v>
      </c>
      <c r="M866">
        <v>34.568100000000001</v>
      </c>
      <c r="N866">
        <v>-12.4108</v>
      </c>
      <c r="O866">
        <v>78.309200000000004</v>
      </c>
      <c r="P866">
        <v>25.84</v>
      </c>
      <c r="S866">
        <f t="shared" si="289"/>
        <v>817.6078</v>
      </c>
      <c r="T866">
        <f t="shared" si="290"/>
        <v>7.593466431487947E-3</v>
      </c>
      <c r="U866">
        <f t="shared" si="291"/>
        <v>8.4371849238754971E-4</v>
      </c>
      <c r="V866">
        <f t="shared" si="292"/>
        <v>6.9372409374087425E-3</v>
      </c>
      <c r="W866">
        <f t="shared" si="293"/>
        <v>1.9686764822376161E-3</v>
      </c>
      <c r="X866">
        <f t="shared" si="294"/>
        <v>6.5913163555298471E-2</v>
      </c>
      <c r="Y866">
        <f t="shared" si="295"/>
        <v>9.3746499154172199E-5</v>
      </c>
      <c r="Z866">
        <f t="shared" si="296"/>
        <v>2.9998879729335104E-3</v>
      </c>
      <c r="AA866">
        <f t="shared" si="297"/>
        <v>0.27394189498235921</v>
      </c>
      <c r="AB866">
        <f t="shared" si="298"/>
        <v>0.22168872131181347</v>
      </c>
      <c r="AC866">
        <f t="shared" si="299"/>
        <v>0.14887928403923661</v>
      </c>
      <c r="AD866">
        <f t="shared" si="300"/>
        <v>3.2125050330151727E-3</v>
      </c>
      <c r="AE866">
        <f t="shared" si="301"/>
        <v>3.24063835741134E-2</v>
      </c>
      <c r="AG866">
        <f t="shared" si="302"/>
        <v>-1.1643726438936775</v>
      </c>
      <c r="AH866">
        <f t="shared" si="303"/>
        <v>0.11875628394502138</v>
      </c>
      <c r="AI866">
        <f t="shared" si="304"/>
        <v>-1.0590126338582979</v>
      </c>
      <c r="AK866" s="26">
        <f t="shared" si="305"/>
        <v>5.8125190994541637E-2</v>
      </c>
      <c r="AL866" s="26">
        <f t="shared" si="306"/>
        <v>2.8169628120083112E-2</v>
      </c>
      <c r="AM866" s="26">
        <f t="shared" si="307"/>
        <v>8.9385707651448432E-3</v>
      </c>
      <c r="AN866" s="26">
        <f t="shared" si="308"/>
        <v>-19.697857142857146</v>
      </c>
      <c r="AO866" s="26">
        <f t="shared" si="309"/>
        <v>-21.605678893178862</v>
      </c>
      <c r="AP866" s="26">
        <f t="shared" si="310"/>
        <v>-23.67109891838745</v>
      </c>
      <c r="AS866" s="2">
        <v>44614</v>
      </c>
      <c r="AT866">
        <v>12.3</v>
      </c>
      <c r="AU866">
        <v>1.5</v>
      </c>
      <c r="AV866">
        <v>61.8</v>
      </c>
      <c r="AW866">
        <v>12.4</v>
      </c>
      <c r="AX866">
        <v>75.55</v>
      </c>
      <c r="AY866">
        <v>0.2</v>
      </c>
      <c r="AZ866">
        <v>3.1</v>
      </c>
      <c r="BA866">
        <v>212.3998</v>
      </c>
      <c r="BB866">
        <v>145.89830000000001</v>
      </c>
      <c r="BC866">
        <v>85.6905</v>
      </c>
      <c r="BD866">
        <v>3.552</v>
      </c>
      <c r="BE866">
        <v>25.3614</v>
      </c>
      <c r="BF866">
        <v>-25.821200000000001</v>
      </c>
      <c r="BG866">
        <v>25.665099999999999</v>
      </c>
      <c r="BH866">
        <v>30.44</v>
      </c>
    </row>
    <row r="867" spans="1:60" x14ac:dyDescent="0.25">
      <c r="A867" s="2">
        <v>44634</v>
      </c>
      <c r="B867">
        <v>7.4</v>
      </c>
      <c r="C867">
        <v>1.3</v>
      </c>
      <c r="D867">
        <v>27.9</v>
      </c>
      <c r="E867">
        <v>7.3</v>
      </c>
      <c r="F867">
        <v>134.41</v>
      </c>
      <c r="G867">
        <v>0.1</v>
      </c>
      <c r="H867">
        <v>3.2</v>
      </c>
      <c r="I867">
        <v>286.73340000000002</v>
      </c>
      <c r="J867">
        <v>204.2063</v>
      </c>
      <c r="K867">
        <v>122.2295</v>
      </c>
      <c r="L867">
        <v>3.6819000000000002</v>
      </c>
      <c r="M867">
        <v>21.887899999999998</v>
      </c>
      <c r="N867">
        <v>-19.4514</v>
      </c>
      <c r="O867">
        <v>58.845500000000001</v>
      </c>
      <c r="P867">
        <v>26</v>
      </c>
      <c r="S867">
        <f t="shared" si="289"/>
        <v>820.34900000000005</v>
      </c>
      <c r="T867">
        <f t="shared" si="290"/>
        <v>6.9372409374087425E-3</v>
      </c>
      <c r="U867">
        <f t="shared" si="291"/>
        <v>1.2187044890042385E-3</v>
      </c>
      <c r="V867">
        <f t="shared" si="292"/>
        <v>2.615527326401404E-2</v>
      </c>
      <c r="W867">
        <f t="shared" si="293"/>
        <v>6.8434944382545701E-3</v>
      </c>
      <c r="X867">
        <f t="shared" si="294"/>
        <v>0.12600466951312284</v>
      </c>
      <c r="Y867">
        <f t="shared" si="295"/>
        <v>9.3746499154172199E-5</v>
      </c>
      <c r="Z867">
        <f t="shared" si="296"/>
        <v>2.9998879729335104E-3</v>
      </c>
      <c r="AA867">
        <f t="shared" si="297"/>
        <v>0.26880252440572916</v>
      </c>
      <c r="AB867">
        <f t="shared" si="298"/>
        <v>0.19143625730226632</v>
      </c>
      <c r="AC867">
        <f t="shared" si="299"/>
        <v>0.1145858771836489</v>
      </c>
      <c r="AD867">
        <f t="shared" si="300"/>
        <v>3.4516523523574661E-3</v>
      </c>
      <c r="AE867">
        <f t="shared" si="301"/>
        <v>2.0519139988366054E-2</v>
      </c>
      <c r="AG867">
        <f t="shared" si="302"/>
        <v>-1.1594793393364036</v>
      </c>
      <c r="AH867">
        <f t="shared" si="303"/>
        <v>0.19077215710225814</v>
      </c>
      <c r="AI867">
        <f t="shared" si="304"/>
        <v>-0.45826279326535369</v>
      </c>
      <c r="AK867" s="26">
        <f t="shared" si="305"/>
        <v>6.3132296421162637E-2</v>
      </c>
      <c r="AL867" s="26">
        <f t="shared" si="306"/>
        <v>3.0230890219392237E-2</v>
      </c>
      <c r="AM867" s="26">
        <f t="shared" si="307"/>
        <v>9.7849240706429919E-3</v>
      </c>
      <c r="AN867" s="26">
        <f t="shared" si="308"/>
        <v>-19.774761904761906</v>
      </c>
      <c r="AO867" s="26">
        <f t="shared" si="309"/>
        <v>-21.715106177606138</v>
      </c>
      <c r="AP867" s="26">
        <f t="shared" si="310"/>
        <v>-23.698019665683404</v>
      </c>
      <c r="AS867" s="2">
        <v>44613</v>
      </c>
      <c r="AT867">
        <v>12.2</v>
      </c>
      <c r="AU867">
        <v>3.8</v>
      </c>
      <c r="AV867">
        <v>67.5</v>
      </c>
      <c r="AW867">
        <v>24</v>
      </c>
      <c r="AX867">
        <v>71.88</v>
      </c>
      <c r="AY867">
        <v>0.2</v>
      </c>
      <c r="AZ867">
        <v>3</v>
      </c>
      <c r="BA867">
        <v>123.5924</v>
      </c>
      <c r="BB867">
        <v>88.442099999999996</v>
      </c>
      <c r="BC867">
        <v>64.276399999999995</v>
      </c>
      <c r="BD867">
        <v>3.5074000000000001</v>
      </c>
      <c r="BE867">
        <v>32.179699999999997</v>
      </c>
      <c r="BF867">
        <v>-28.7438</v>
      </c>
      <c r="BG867">
        <v>14.6351</v>
      </c>
      <c r="BH867">
        <v>30.77</v>
      </c>
    </row>
    <row r="868" spans="1:60" x14ac:dyDescent="0.25">
      <c r="A868" s="2">
        <v>44633</v>
      </c>
      <c r="B868">
        <v>7.3</v>
      </c>
      <c r="C868">
        <v>1</v>
      </c>
      <c r="D868">
        <v>51.8</v>
      </c>
      <c r="E868">
        <v>14.3</v>
      </c>
      <c r="F868">
        <v>215.36</v>
      </c>
      <c r="G868">
        <v>0.1</v>
      </c>
      <c r="H868">
        <v>3.3</v>
      </c>
      <c r="I868">
        <v>218.86019999999999</v>
      </c>
      <c r="J868">
        <v>84.2821</v>
      </c>
      <c r="K868">
        <v>40.5075</v>
      </c>
      <c r="L868">
        <v>3.6257999999999999</v>
      </c>
      <c r="M868">
        <v>10.5726</v>
      </c>
      <c r="P868">
        <v>26.18</v>
      </c>
      <c r="S868">
        <f t="shared" si="289"/>
        <v>651.0082000000001</v>
      </c>
      <c r="T868">
        <f t="shared" si="290"/>
        <v>6.8434944382545701E-3</v>
      </c>
      <c r="U868">
        <f t="shared" si="291"/>
        <v>9.3746499154172193E-4</v>
      </c>
      <c r="V868">
        <f t="shared" si="292"/>
        <v>4.8560686561861195E-2</v>
      </c>
      <c r="W868">
        <f t="shared" si="293"/>
        <v>1.3405749379046624E-2</v>
      </c>
      <c r="X868">
        <f t="shared" si="294"/>
        <v>0.20189246057842525</v>
      </c>
      <c r="Y868">
        <f t="shared" si="295"/>
        <v>9.3746499154172199E-5</v>
      </c>
      <c r="Z868">
        <f t="shared" si="296"/>
        <v>3.0936344720876819E-3</v>
      </c>
      <c r="AA868">
        <f t="shared" si="297"/>
        <v>0.20517377554181956</v>
      </c>
      <c r="AB868">
        <f t="shared" si="298"/>
        <v>7.9011518163618566E-2</v>
      </c>
      <c r="AC868">
        <f t="shared" si="299"/>
        <v>3.7974363144876302E-2</v>
      </c>
      <c r="AD868">
        <f t="shared" si="300"/>
        <v>3.3990605663319754E-3</v>
      </c>
      <c r="AE868">
        <f t="shared" si="301"/>
        <v>9.911442369574008E-3</v>
      </c>
      <c r="AG868">
        <f t="shared" si="302"/>
        <v>-1.1536453369671584</v>
      </c>
      <c r="AH868">
        <f t="shared" si="303"/>
        <v>0.28473867928994523</v>
      </c>
      <c r="AI868">
        <f t="shared" si="304"/>
        <v>0.32964867420681671</v>
      </c>
      <c r="AK868" s="26">
        <f t="shared" si="305"/>
        <v>6.2230769819689558E-2</v>
      </c>
      <c r="AL868" s="26">
        <f t="shared" si="306"/>
        <v>3.1133410766011199E-2</v>
      </c>
      <c r="AM868" s="26">
        <f t="shared" si="307"/>
        <v>9.9915194603161506E-3</v>
      </c>
      <c r="AN868" s="26">
        <f t="shared" si="308"/>
        <v>-19.846190476190465</v>
      </c>
      <c r="AO868" s="26">
        <f t="shared" si="309"/>
        <v>-21.825339446589425</v>
      </c>
      <c r="AP868" s="26">
        <f t="shared" si="310"/>
        <v>-23.722682792527081</v>
      </c>
      <c r="AS868" s="2">
        <v>44612</v>
      </c>
      <c r="AT868">
        <v>12.6</v>
      </c>
      <c r="AU868">
        <v>1</v>
      </c>
      <c r="AV868">
        <v>61.7</v>
      </c>
      <c r="AW868">
        <v>22.7</v>
      </c>
      <c r="AX868">
        <v>46.14</v>
      </c>
      <c r="AY868">
        <v>0.1</v>
      </c>
      <c r="AZ868">
        <v>2.5</v>
      </c>
      <c r="BA868">
        <v>99.778000000000006</v>
      </c>
      <c r="BB868">
        <v>51.021999999999998</v>
      </c>
      <c r="BC868">
        <v>43.2089</v>
      </c>
      <c r="BD868">
        <v>3.4805000000000001</v>
      </c>
      <c r="BE868">
        <v>13.9261</v>
      </c>
      <c r="BH868">
        <v>31.1</v>
      </c>
    </row>
    <row r="869" spans="1:60" x14ac:dyDescent="0.25">
      <c r="A869" s="2">
        <v>44632</v>
      </c>
      <c r="B869">
        <v>7.2</v>
      </c>
      <c r="C869">
        <v>0</v>
      </c>
      <c r="D869">
        <v>54.9</v>
      </c>
      <c r="E869">
        <v>16</v>
      </c>
      <c r="F869">
        <v>205.43</v>
      </c>
      <c r="G869">
        <v>0.1</v>
      </c>
      <c r="H869">
        <v>3.5</v>
      </c>
      <c r="I869">
        <v>211.01609999999999</v>
      </c>
      <c r="J869">
        <v>97.672799999999995</v>
      </c>
      <c r="K869">
        <v>46.638800000000003</v>
      </c>
      <c r="L869">
        <v>3.6059000000000001</v>
      </c>
      <c r="M869">
        <v>30.0047</v>
      </c>
      <c r="P869">
        <v>26.19</v>
      </c>
      <c r="S869">
        <f t="shared" si="289"/>
        <v>676.06829999999991</v>
      </c>
      <c r="T869">
        <f t="shared" si="290"/>
        <v>6.7497479391003977E-3</v>
      </c>
      <c r="U869">
        <f t="shared" si="291"/>
        <v>0</v>
      </c>
      <c r="V869">
        <f t="shared" si="292"/>
        <v>5.1466828035640531E-2</v>
      </c>
      <c r="W869">
        <f t="shared" si="293"/>
        <v>1.4999439864667551E-2</v>
      </c>
      <c r="X869">
        <f t="shared" si="294"/>
        <v>0.19258343321241594</v>
      </c>
      <c r="Y869">
        <f t="shared" si="295"/>
        <v>9.3746499154172199E-5</v>
      </c>
      <c r="Z869">
        <f t="shared" si="296"/>
        <v>3.2811274703960268E-3</v>
      </c>
      <c r="AA869">
        <f t="shared" si="297"/>
        <v>0.19782020640166714</v>
      </c>
      <c r="AB869">
        <f t="shared" si="298"/>
        <v>9.1564830625856297E-2</v>
      </c>
      <c r="AC869">
        <f t="shared" si="299"/>
        <v>4.3722242247516065E-2</v>
      </c>
      <c r="AD869">
        <f t="shared" si="300"/>
        <v>3.3804050130002952E-3</v>
      </c>
      <c r="AE869">
        <f t="shared" si="301"/>
        <v>2.8128355831711901E-2</v>
      </c>
      <c r="AG869">
        <f t="shared" si="302"/>
        <v>-1.1557048123653169</v>
      </c>
      <c r="AH869">
        <f t="shared" si="303"/>
        <v>0.29730267885308653</v>
      </c>
      <c r="AI869">
        <f t="shared" si="304"/>
        <v>0.43715127148413668</v>
      </c>
      <c r="AK869" s="26">
        <f t="shared" si="305"/>
        <v>5.738548201090618E-2</v>
      </c>
      <c r="AL869" s="26">
        <f t="shared" si="306"/>
        <v>3.026151897726459E-2</v>
      </c>
      <c r="AM869" s="26">
        <f t="shared" si="307"/>
        <v>9.7207132752995251E-3</v>
      </c>
      <c r="AN869" s="26">
        <f t="shared" si="308"/>
        <v>-19.912619047619042</v>
      </c>
      <c r="AO869" s="26">
        <f t="shared" si="309"/>
        <v>-21.935196267696249</v>
      </c>
      <c r="AP869" s="26">
        <f t="shared" si="310"/>
        <v>-23.74725703048184</v>
      </c>
      <c r="AS869" s="2">
        <v>44611</v>
      </c>
      <c r="AT869">
        <v>13.4</v>
      </c>
      <c r="AU869">
        <v>0.1</v>
      </c>
      <c r="AV869">
        <v>61.8</v>
      </c>
      <c r="AW869">
        <v>21.5</v>
      </c>
      <c r="AX869">
        <v>115.75</v>
      </c>
      <c r="AY869">
        <v>0.1</v>
      </c>
      <c r="AZ869">
        <v>2.6</v>
      </c>
      <c r="BA869">
        <v>89.5488</v>
      </c>
      <c r="BB869">
        <v>65.962800000000001</v>
      </c>
      <c r="BC869">
        <v>58.573900000000002</v>
      </c>
      <c r="BD869">
        <v>3.2789000000000001</v>
      </c>
      <c r="BE869">
        <v>22.9282</v>
      </c>
      <c r="BH869">
        <v>31.27</v>
      </c>
    </row>
    <row r="870" spans="1:60" x14ac:dyDescent="0.25">
      <c r="A870" s="2">
        <v>44631</v>
      </c>
      <c r="B870">
        <v>7.5</v>
      </c>
      <c r="C870">
        <v>0.7</v>
      </c>
      <c r="D870">
        <v>59.6</v>
      </c>
      <c r="E870">
        <v>23.7</v>
      </c>
      <c r="F870">
        <v>222.58</v>
      </c>
      <c r="G870">
        <v>0.1</v>
      </c>
      <c r="H870">
        <v>3</v>
      </c>
      <c r="I870">
        <v>206.35059999999999</v>
      </c>
      <c r="J870">
        <v>111.8357</v>
      </c>
      <c r="K870">
        <v>46.5261</v>
      </c>
      <c r="L870">
        <v>3.7662</v>
      </c>
      <c r="M870">
        <v>25.098700000000001</v>
      </c>
      <c r="N870">
        <v>-16.8887</v>
      </c>
      <c r="O870">
        <v>82.870999999999995</v>
      </c>
      <c r="P870">
        <v>26.2</v>
      </c>
      <c r="S870">
        <f t="shared" si="289"/>
        <v>710.7573000000001</v>
      </c>
      <c r="T870">
        <f t="shared" si="290"/>
        <v>7.0309874365629141E-3</v>
      </c>
      <c r="U870">
        <f t="shared" si="291"/>
        <v>6.5622549407920526E-4</v>
      </c>
      <c r="V870">
        <f t="shared" si="292"/>
        <v>5.5872913495886627E-2</v>
      </c>
      <c r="W870">
        <f t="shared" si="293"/>
        <v>2.2217920299538809E-2</v>
      </c>
      <c r="X870">
        <f t="shared" si="294"/>
        <v>0.20866095781735647</v>
      </c>
      <c r="Y870">
        <f t="shared" si="295"/>
        <v>9.3746499154172199E-5</v>
      </c>
      <c r="Z870">
        <f t="shared" si="296"/>
        <v>2.8123949746251659E-3</v>
      </c>
      <c r="AA870">
        <f t="shared" si="297"/>
        <v>0.19344646348362923</v>
      </c>
      <c r="AB870">
        <f t="shared" si="298"/>
        <v>0.10484205355456255</v>
      </c>
      <c r="AC870">
        <f t="shared" si="299"/>
        <v>4.3616589942969304E-2</v>
      </c>
      <c r="AD870">
        <f t="shared" si="300"/>
        <v>3.5306806511444331E-3</v>
      </c>
      <c r="AE870">
        <f t="shared" si="301"/>
        <v>2.3529152583208215E-2</v>
      </c>
      <c r="AG870">
        <f t="shared" si="302"/>
        <v>-1.1578169753607608</v>
      </c>
      <c r="AH870">
        <f t="shared" si="303"/>
        <v>0.32087429860041156</v>
      </c>
      <c r="AI870">
        <f t="shared" si="304"/>
        <v>0.63601411247541406</v>
      </c>
      <c r="AK870" s="26">
        <f t="shared" si="305"/>
        <v>5.3658902425362587E-2</v>
      </c>
      <c r="AL870" s="26">
        <f t="shared" si="306"/>
        <v>2.7252953857929002E-2</v>
      </c>
      <c r="AM870" s="26">
        <f t="shared" si="307"/>
        <v>8.252852482318912E-3</v>
      </c>
      <c r="AN870" s="26">
        <f t="shared" si="308"/>
        <v>-19.987380952380956</v>
      </c>
      <c r="AO870" s="26">
        <f t="shared" si="309"/>
        <v>-22.049274453024431</v>
      </c>
      <c r="AP870" s="26">
        <f t="shared" si="310"/>
        <v>-23.772592723697187</v>
      </c>
      <c r="AS870" s="2">
        <v>44610</v>
      </c>
      <c r="AT870">
        <v>13.7</v>
      </c>
      <c r="AU870">
        <v>16.2</v>
      </c>
      <c r="AV870">
        <v>59.8</v>
      </c>
      <c r="AW870">
        <v>23.5</v>
      </c>
      <c r="AX870">
        <v>38.28</v>
      </c>
      <c r="AY870">
        <v>0.1</v>
      </c>
      <c r="AZ870">
        <v>3.3</v>
      </c>
      <c r="BA870">
        <v>145.3339</v>
      </c>
      <c r="BB870">
        <v>114.0072</v>
      </c>
      <c r="BC870">
        <v>76.947699999999998</v>
      </c>
      <c r="BD870">
        <v>2.7183999999999999</v>
      </c>
      <c r="BE870">
        <v>31.5078</v>
      </c>
      <c r="BF870">
        <v>-34.9345</v>
      </c>
      <c r="BG870">
        <v>12.4015</v>
      </c>
      <c r="BH870">
        <v>31.49</v>
      </c>
    </row>
    <row r="871" spans="1:60" x14ac:dyDescent="0.25">
      <c r="A871" s="2">
        <v>44630</v>
      </c>
      <c r="B871">
        <v>7.8</v>
      </c>
      <c r="C871">
        <v>6.3</v>
      </c>
      <c r="D871">
        <v>39.9</v>
      </c>
      <c r="E871">
        <v>12.3</v>
      </c>
      <c r="F871">
        <v>219.77</v>
      </c>
      <c r="G871">
        <v>0.2</v>
      </c>
      <c r="H871">
        <v>3.2</v>
      </c>
      <c r="I871">
        <v>253.4573</v>
      </c>
      <c r="J871">
        <v>205.8364</v>
      </c>
      <c r="K871">
        <v>80.378500000000003</v>
      </c>
      <c r="L871">
        <v>3.8990999999999998</v>
      </c>
      <c r="M871">
        <v>24.726400000000002</v>
      </c>
      <c r="N871">
        <v>7.0552999999999999</v>
      </c>
      <c r="O871">
        <v>97.060900000000004</v>
      </c>
      <c r="P871">
        <v>26.31</v>
      </c>
      <c r="S871">
        <f t="shared" si="289"/>
        <v>857.76769999999999</v>
      </c>
      <c r="T871">
        <f t="shared" si="290"/>
        <v>7.3122269340254306E-3</v>
      </c>
      <c r="U871">
        <f t="shared" si="291"/>
        <v>5.9060294467128483E-3</v>
      </c>
      <c r="V871">
        <f t="shared" si="292"/>
        <v>3.7404853162514705E-2</v>
      </c>
      <c r="W871">
        <f t="shared" si="293"/>
        <v>1.153081939596318E-2</v>
      </c>
      <c r="X871">
        <f t="shared" si="294"/>
        <v>0.20602668119112424</v>
      </c>
      <c r="Y871">
        <f t="shared" si="295"/>
        <v>1.874929983083444E-4</v>
      </c>
      <c r="Z871">
        <f t="shared" si="296"/>
        <v>2.9998879729335104E-3</v>
      </c>
      <c r="AA871">
        <f t="shared" si="297"/>
        <v>0.23760734560068766</v>
      </c>
      <c r="AB871">
        <f t="shared" si="298"/>
        <v>0.19296441898497849</v>
      </c>
      <c r="AC871">
        <f t="shared" si="299"/>
        <v>7.5352029822636293E-2</v>
      </c>
      <c r="AD871">
        <f t="shared" si="300"/>
        <v>3.6552697485203278E-3</v>
      </c>
      <c r="AE871">
        <f t="shared" si="301"/>
        <v>2.3180134366857234E-2</v>
      </c>
      <c r="AG871">
        <f t="shared" si="302"/>
        <v>-1.15526383368371</v>
      </c>
      <c r="AH871">
        <f t="shared" si="303"/>
        <v>0.29454812546843945</v>
      </c>
      <c r="AI871">
        <f t="shared" si="304"/>
        <v>0.41842818797211745</v>
      </c>
      <c r="AK871" s="26">
        <f t="shared" si="305"/>
        <v>4.5305645170884618E-2</v>
      </c>
      <c r="AL871" s="26">
        <f t="shared" si="306"/>
        <v>2.4489675533659883E-2</v>
      </c>
      <c r="AM871" s="26">
        <f t="shared" si="307"/>
        <v>6.8184498683504791E-3</v>
      </c>
      <c r="AN871" s="26">
        <f t="shared" si="308"/>
        <v>-20.064761904761895</v>
      </c>
      <c r="AO871" s="26">
        <f t="shared" si="309"/>
        <v>-22.1634411196911</v>
      </c>
      <c r="AP871" s="26">
        <f t="shared" si="310"/>
        <v>-23.79709144542776</v>
      </c>
      <c r="AS871" s="2">
        <v>44609</v>
      </c>
      <c r="AT871">
        <v>11.2</v>
      </c>
      <c r="AU871">
        <v>7.5</v>
      </c>
      <c r="AV871">
        <v>53.2</v>
      </c>
      <c r="AW871">
        <v>28.1</v>
      </c>
      <c r="AX871">
        <v>80.38</v>
      </c>
      <c r="AY871">
        <v>0.1</v>
      </c>
      <c r="AZ871">
        <v>2.9</v>
      </c>
      <c r="BA871">
        <v>96.544799999999995</v>
      </c>
      <c r="BB871">
        <v>97.730599999999995</v>
      </c>
      <c r="BC871">
        <v>56.464799999999997</v>
      </c>
      <c r="BD871">
        <v>2.6901999999999999</v>
      </c>
      <c r="BE871">
        <v>22.828199999999999</v>
      </c>
      <c r="BF871">
        <v>-35.507300000000001</v>
      </c>
      <c r="BG871">
        <v>19.076699999999999</v>
      </c>
      <c r="BH871">
        <v>31.73</v>
      </c>
    </row>
    <row r="872" spans="1:60" x14ac:dyDescent="0.25">
      <c r="A872" s="2">
        <v>44629</v>
      </c>
      <c r="B872">
        <v>8</v>
      </c>
      <c r="C872">
        <v>2.8</v>
      </c>
      <c r="D872">
        <v>30.1</v>
      </c>
      <c r="E872">
        <v>3.4</v>
      </c>
      <c r="F872">
        <v>217.9</v>
      </c>
      <c r="G872">
        <v>0.2</v>
      </c>
      <c r="H872">
        <v>3.3</v>
      </c>
      <c r="I872">
        <v>267.80779999999999</v>
      </c>
      <c r="J872">
        <v>230.2062</v>
      </c>
      <c r="K872">
        <v>115.0205</v>
      </c>
      <c r="L872">
        <v>3.9104000000000001</v>
      </c>
      <c r="M872">
        <v>32.054600000000001</v>
      </c>
      <c r="N872">
        <v>-14.617599999999999</v>
      </c>
      <c r="O872">
        <v>115.0217</v>
      </c>
      <c r="P872">
        <v>26.4</v>
      </c>
      <c r="S872">
        <f t="shared" si="289"/>
        <v>914.69949999999994</v>
      </c>
      <c r="T872">
        <f t="shared" si="290"/>
        <v>7.4997199323337755E-3</v>
      </c>
      <c r="U872">
        <f t="shared" si="291"/>
        <v>2.624901976316821E-3</v>
      </c>
      <c r="V872">
        <f t="shared" si="292"/>
        <v>2.8217696245405832E-2</v>
      </c>
      <c r="W872">
        <f t="shared" si="293"/>
        <v>3.1873809712418544E-3</v>
      </c>
      <c r="X872">
        <f t="shared" si="294"/>
        <v>0.20427362165694121</v>
      </c>
      <c r="Y872">
        <f t="shared" si="295"/>
        <v>1.874929983083444E-4</v>
      </c>
      <c r="Z872">
        <f t="shared" si="296"/>
        <v>3.0936344720876819E-3</v>
      </c>
      <c r="AA872">
        <f t="shared" si="297"/>
        <v>0.25106043696180713</v>
      </c>
      <c r="AB872">
        <f t="shared" si="298"/>
        <v>0.21581025333585194</v>
      </c>
      <c r="AC872">
        <f t="shared" si="299"/>
        <v>0.10782769205962463</v>
      </c>
      <c r="AD872">
        <f t="shared" si="300"/>
        <v>3.6658631029247496E-3</v>
      </c>
      <c r="AE872">
        <f t="shared" si="301"/>
        <v>3.0050065317873281E-2</v>
      </c>
      <c r="AG872">
        <f t="shared" si="302"/>
        <v>-1.1536500047744627</v>
      </c>
      <c r="AH872">
        <f t="shared" si="303"/>
        <v>0.27913451357050878</v>
      </c>
      <c r="AI872">
        <f t="shared" si="304"/>
        <v>0.29127556457901976</v>
      </c>
      <c r="AK872" s="26">
        <f t="shared" si="305"/>
        <v>4.0740829031094522E-2</v>
      </c>
      <c r="AL872" s="26">
        <f t="shared" si="306"/>
        <v>2.2461812162985734E-2</v>
      </c>
      <c r="AM872" s="26">
        <f t="shared" si="307"/>
        <v>5.3420093072749919E-3</v>
      </c>
      <c r="AN872" s="26">
        <f t="shared" si="308"/>
        <v>-20.142619047619043</v>
      </c>
      <c r="AO872" s="26">
        <f t="shared" si="309"/>
        <v>-22.274189189189173</v>
      </c>
      <c r="AP872" s="26">
        <f t="shared" si="310"/>
        <v>-23.819685742379576</v>
      </c>
      <c r="AS872" s="2">
        <v>44608</v>
      </c>
      <c r="AT872">
        <v>10.1</v>
      </c>
      <c r="AU872">
        <v>0</v>
      </c>
      <c r="AV872">
        <v>60.1</v>
      </c>
      <c r="AW872">
        <v>24.6</v>
      </c>
      <c r="AX872">
        <v>34.020000000000003</v>
      </c>
      <c r="AY872">
        <v>0.1</v>
      </c>
      <c r="AZ872">
        <v>2.8</v>
      </c>
      <c r="BA872">
        <v>168.37719999999999</v>
      </c>
      <c r="BB872">
        <v>125.5642</v>
      </c>
      <c r="BC872">
        <v>83.560900000000004</v>
      </c>
      <c r="BD872">
        <v>2.6718000000000002</v>
      </c>
      <c r="BE872">
        <v>23.646599999999999</v>
      </c>
      <c r="BF872">
        <v>-26.147200000000002</v>
      </c>
      <c r="BG872">
        <v>14.0892</v>
      </c>
      <c r="BH872">
        <v>31.97</v>
      </c>
    </row>
    <row r="873" spans="1:60" x14ac:dyDescent="0.25">
      <c r="A873" s="2">
        <v>44628</v>
      </c>
      <c r="B873">
        <v>8.6999999999999993</v>
      </c>
      <c r="C873">
        <v>4.9000000000000004</v>
      </c>
      <c r="D873">
        <v>25.6</v>
      </c>
      <c r="E873">
        <v>5</v>
      </c>
      <c r="F873">
        <v>220.57</v>
      </c>
      <c r="G873">
        <v>0.2</v>
      </c>
      <c r="H873">
        <v>3.3</v>
      </c>
      <c r="I873">
        <v>262.45310000000001</v>
      </c>
      <c r="J873">
        <v>223.208</v>
      </c>
      <c r="K873">
        <v>125.5642</v>
      </c>
      <c r="L873">
        <v>3.9272999999999998</v>
      </c>
      <c r="M873">
        <v>24.9025</v>
      </c>
      <c r="N873">
        <v>-14.1867</v>
      </c>
      <c r="O873">
        <v>226.75980000000001</v>
      </c>
      <c r="P873">
        <v>26.65</v>
      </c>
      <c r="S873">
        <f t="shared" si="289"/>
        <v>908.32509999999991</v>
      </c>
      <c r="T873">
        <f t="shared" si="290"/>
        <v>8.1559454264129791E-3</v>
      </c>
      <c r="U873">
        <f t="shared" si="291"/>
        <v>4.5935784585544375E-3</v>
      </c>
      <c r="V873">
        <f t="shared" si="292"/>
        <v>2.3999103783468083E-2</v>
      </c>
      <c r="W873">
        <f t="shared" si="293"/>
        <v>4.6873249577086091E-3</v>
      </c>
      <c r="X873">
        <f t="shared" si="294"/>
        <v>0.20677665318435759</v>
      </c>
      <c r="Y873">
        <f t="shared" si="295"/>
        <v>1.874929983083444E-4</v>
      </c>
      <c r="Z873">
        <f t="shared" si="296"/>
        <v>3.0936344720876819E-3</v>
      </c>
      <c r="AA873">
        <f t="shared" si="297"/>
        <v>0.24604059317159871</v>
      </c>
      <c r="AB873">
        <f t="shared" si="298"/>
        <v>0.20924968583204467</v>
      </c>
      <c r="AC873">
        <f t="shared" si="299"/>
        <v>0.11771204169094308</v>
      </c>
      <c r="AD873">
        <f t="shared" si="300"/>
        <v>3.6817062612818042E-3</v>
      </c>
      <c r="AE873">
        <f t="shared" si="301"/>
        <v>2.334522195186773E-2</v>
      </c>
      <c r="AG873">
        <f t="shared" si="302"/>
        <v>-1.1445591268228406</v>
      </c>
      <c r="AH873">
        <f t="shared" si="303"/>
        <v>0.27483895523276541</v>
      </c>
      <c r="AI873">
        <f t="shared" si="304"/>
        <v>0.25768755832987755</v>
      </c>
      <c r="AK873" s="26">
        <f t="shared" si="305"/>
        <v>3.8096514833274198E-2</v>
      </c>
      <c r="AL873" s="26">
        <f t="shared" si="306"/>
        <v>2.0897400295622703E-2</v>
      </c>
      <c r="AM873" s="26">
        <f t="shared" si="307"/>
        <v>4.0524319487052762E-3</v>
      </c>
      <c r="AN873" s="26">
        <f t="shared" si="308"/>
        <v>-20.216904761904747</v>
      </c>
      <c r="AO873" s="26">
        <f t="shared" si="309"/>
        <v>-22.359453024453011</v>
      </c>
      <c r="AP873" s="26">
        <f t="shared" si="310"/>
        <v>-23.838422812192746</v>
      </c>
      <c r="AS873" s="2">
        <v>44607</v>
      </c>
      <c r="AT873">
        <v>10</v>
      </c>
      <c r="AU873">
        <v>6.2</v>
      </c>
      <c r="AV873">
        <v>64.099999999999994</v>
      </c>
      <c r="AW873">
        <v>13.8</v>
      </c>
      <c r="AX873">
        <v>51.84</v>
      </c>
      <c r="AY873">
        <v>0.1</v>
      </c>
      <c r="AZ873">
        <v>3.1</v>
      </c>
      <c r="BA873">
        <v>240.9752</v>
      </c>
      <c r="BB873">
        <v>200.81190000000001</v>
      </c>
      <c r="BC873">
        <v>112.6016</v>
      </c>
      <c r="BD873">
        <v>3.0920000000000001</v>
      </c>
      <c r="BE873">
        <v>31.049900000000001</v>
      </c>
      <c r="BF873">
        <v>-24.6646</v>
      </c>
      <c r="BG873">
        <v>14.8749</v>
      </c>
      <c r="BH873">
        <v>32.270000000000003</v>
      </c>
    </row>
    <row r="874" spans="1:60" x14ac:dyDescent="0.25">
      <c r="A874" s="2">
        <v>44627</v>
      </c>
      <c r="B874">
        <v>8.6</v>
      </c>
      <c r="C874">
        <v>4.8</v>
      </c>
      <c r="D874">
        <v>3.3</v>
      </c>
      <c r="E874">
        <v>3.4</v>
      </c>
      <c r="F874">
        <v>187.33</v>
      </c>
      <c r="G874">
        <v>0.2</v>
      </c>
      <c r="H874">
        <v>3.4</v>
      </c>
      <c r="I874">
        <v>280.41669999999999</v>
      </c>
      <c r="J874">
        <v>231.7602</v>
      </c>
      <c r="K874">
        <v>152.35489999999999</v>
      </c>
      <c r="L874">
        <v>3.8982000000000001</v>
      </c>
      <c r="M874">
        <v>32.462499999999999</v>
      </c>
      <c r="N874">
        <v>-9.0184999999999995</v>
      </c>
      <c r="O874">
        <v>269.07920000000001</v>
      </c>
      <c r="P874">
        <v>26.96</v>
      </c>
      <c r="S874">
        <f t="shared" si="289"/>
        <v>911.9224999999999</v>
      </c>
      <c r="T874">
        <f t="shared" si="290"/>
        <v>8.0621989272588075E-3</v>
      </c>
      <c r="U874">
        <f t="shared" si="291"/>
        <v>4.4998319594002651E-3</v>
      </c>
      <c r="V874">
        <f t="shared" si="292"/>
        <v>3.0936344720876819E-3</v>
      </c>
      <c r="W874">
        <f t="shared" si="293"/>
        <v>3.1873809712418544E-3</v>
      </c>
      <c r="X874">
        <f t="shared" si="294"/>
        <v>0.17561531686551077</v>
      </c>
      <c r="Y874">
        <f t="shared" si="295"/>
        <v>1.874929983083444E-4</v>
      </c>
      <c r="Z874">
        <f t="shared" si="296"/>
        <v>3.1873809712418544E-3</v>
      </c>
      <c r="AA874">
        <f t="shared" si="297"/>
        <v>0.26288083929365758</v>
      </c>
      <c r="AB874">
        <f t="shared" si="298"/>
        <v>0.21726707393270778</v>
      </c>
      <c r="AC874">
        <f t="shared" si="299"/>
        <v>0.14282738503983988</v>
      </c>
      <c r="AD874">
        <f t="shared" si="300"/>
        <v>3.6544260300279403E-3</v>
      </c>
      <c r="AE874">
        <f t="shared" si="301"/>
        <v>3.0432457287923147E-2</v>
      </c>
      <c r="AG874">
        <f t="shared" si="302"/>
        <v>-1.1326323485064733</v>
      </c>
      <c r="AH874">
        <f t="shared" si="303"/>
        <v>0.22826569445297271</v>
      </c>
      <c r="AI874">
        <f t="shared" si="304"/>
        <v>-0.13152522698178926</v>
      </c>
      <c r="AK874" s="26">
        <f t="shared" si="305"/>
        <v>3.3556876324685431E-2</v>
      </c>
      <c r="AL874" s="26">
        <f t="shared" si="306"/>
        <v>1.9514048374693199E-2</v>
      </c>
      <c r="AM874" s="26">
        <f t="shared" si="307"/>
        <v>3.2332039687412717E-3</v>
      </c>
      <c r="AN874" s="26">
        <f t="shared" si="308"/>
        <v>-20.296428571428571</v>
      </c>
      <c r="AO874" s="26">
        <f t="shared" si="309"/>
        <v>-22.463441119691097</v>
      </c>
      <c r="AP874" s="26">
        <f t="shared" si="310"/>
        <v>-23.853564995083609</v>
      </c>
      <c r="AS874" s="2">
        <v>44606</v>
      </c>
      <c r="AT874">
        <v>9.3000000000000007</v>
      </c>
      <c r="AU874">
        <v>1.4</v>
      </c>
      <c r="AV874">
        <v>70.599999999999994</v>
      </c>
      <c r="AW874">
        <v>5.3</v>
      </c>
      <c r="AX874">
        <v>92.42</v>
      </c>
      <c r="AY874">
        <v>0.2</v>
      </c>
      <c r="AZ874">
        <v>2.8</v>
      </c>
      <c r="BA874">
        <v>178.94630000000001</v>
      </c>
      <c r="BB874">
        <v>145.0641</v>
      </c>
      <c r="BC874">
        <v>85.104299999999995</v>
      </c>
      <c r="BD874">
        <v>3.5259</v>
      </c>
      <c r="BE874">
        <v>26.417000000000002</v>
      </c>
      <c r="BF874">
        <v>-32.6021</v>
      </c>
      <c r="BG874">
        <v>24.104500000000002</v>
      </c>
      <c r="BH874">
        <v>32.630000000000003</v>
      </c>
    </row>
    <row r="875" spans="1:60" x14ac:dyDescent="0.25">
      <c r="A875" s="2">
        <v>44626</v>
      </c>
      <c r="B875">
        <v>8.6999999999999993</v>
      </c>
      <c r="C875">
        <v>202</v>
      </c>
      <c r="D875">
        <v>12.5</v>
      </c>
      <c r="E875">
        <v>2.8</v>
      </c>
      <c r="F875">
        <v>117.77</v>
      </c>
      <c r="G875">
        <v>0.2</v>
      </c>
      <c r="H875">
        <v>3.3</v>
      </c>
      <c r="I875">
        <v>284.25220000000002</v>
      </c>
      <c r="J875">
        <v>232.89019999999999</v>
      </c>
      <c r="K875">
        <v>95.949799999999996</v>
      </c>
      <c r="L875">
        <v>3.9125000000000001</v>
      </c>
      <c r="M875">
        <v>12.269</v>
      </c>
      <c r="P875">
        <v>27.34</v>
      </c>
      <c r="S875">
        <f t="shared" si="289"/>
        <v>976.54369999999994</v>
      </c>
      <c r="T875">
        <f t="shared" si="290"/>
        <v>8.1559454264129791E-3</v>
      </c>
      <c r="U875">
        <f t="shared" si="291"/>
        <v>0.18936792829142782</v>
      </c>
      <c r="V875">
        <f t="shared" si="292"/>
        <v>1.1718312394271523E-2</v>
      </c>
      <c r="W875">
        <f t="shared" si="293"/>
        <v>2.624901976316821E-3</v>
      </c>
      <c r="X875">
        <f t="shared" si="294"/>
        <v>0.11040525205386859</v>
      </c>
      <c r="Y875">
        <f t="shared" si="295"/>
        <v>1.874929983083444E-4</v>
      </c>
      <c r="Z875">
        <f t="shared" si="296"/>
        <v>3.0936344720876819E-3</v>
      </c>
      <c r="AA875">
        <f t="shared" si="297"/>
        <v>0.26647648626871584</v>
      </c>
      <c r="AB875">
        <f t="shared" si="298"/>
        <v>0.21832640937314993</v>
      </c>
      <c r="AC875">
        <f t="shared" si="299"/>
        <v>8.9949578445429904E-2</v>
      </c>
      <c r="AD875">
        <f t="shared" si="300"/>
        <v>3.6678317794069872E-3</v>
      </c>
      <c r="AE875">
        <f t="shared" si="301"/>
        <v>1.1501757981225387E-2</v>
      </c>
      <c r="AG875">
        <f t="shared" si="302"/>
        <v>-1.1173743793537383</v>
      </c>
      <c r="AH875">
        <f t="shared" si="303"/>
        <v>0.33705522559391909</v>
      </c>
      <c r="AI875">
        <f t="shared" si="304"/>
        <v>0.78082682663933212</v>
      </c>
      <c r="AK875" s="26">
        <f t="shared" si="305"/>
        <v>3.657932149096299E-2</v>
      </c>
      <c r="AL875" s="26">
        <f t="shared" si="306"/>
        <v>1.9053565374788611E-2</v>
      </c>
      <c r="AM875" s="26">
        <f t="shared" si="307"/>
        <v>1.8568247668696858E-3</v>
      </c>
      <c r="AN875" s="26">
        <f t="shared" si="308"/>
        <v>-20.384761904761891</v>
      </c>
      <c r="AO875" s="26">
        <f t="shared" si="309"/>
        <v>-22.566233912483888</v>
      </c>
      <c r="AP875" s="26">
        <f t="shared" si="310"/>
        <v>-23.867063126843668</v>
      </c>
      <c r="AS875" s="2">
        <v>44605</v>
      </c>
      <c r="AT875">
        <v>9.6</v>
      </c>
      <c r="AU875">
        <v>0</v>
      </c>
      <c r="AV875">
        <v>67.5</v>
      </c>
      <c r="AW875">
        <v>4.5</v>
      </c>
      <c r="AX875">
        <v>126.48</v>
      </c>
      <c r="AY875">
        <v>0.2</v>
      </c>
      <c r="AZ875">
        <v>2.6</v>
      </c>
      <c r="BA875">
        <v>143.58680000000001</v>
      </c>
      <c r="BB875">
        <v>76.543899999999994</v>
      </c>
      <c r="BC875">
        <v>51.7789</v>
      </c>
      <c r="BD875">
        <v>3.5623999999999998</v>
      </c>
      <c r="BE875">
        <v>16.9497</v>
      </c>
      <c r="BH875">
        <v>32.99</v>
      </c>
    </row>
    <row r="876" spans="1:60" x14ac:dyDescent="0.25">
      <c r="A876" s="2">
        <v>44625</v>
      </c>
      <c r="B876">
        <v>9</v>
      </c>
      <c r="C876">
        <v>43.1</v>
      </c>
      <c r="D876">
        <v>24.1</v>
      </c>
      <c r="E876">
        <v>4.4000000000000004</v>
      </c>
      <c r="F876">
        <v>163.83000000000001</v>
      </c>
      <c r="G876">
        <v>0.2</v>
      </c>
      <c r="H876">
        <v>3.3</v>
      </c>
      <c r="I876">
        <v>275.95179999999999</v>
      </c>
      <c r="J876">
        <v>238.2508</v>
      </c>
      <c r="K876">
        <v>102.42829999999999</v>
      </c>
      <c r="L876">
        <v>3.8658000000000001</v>
      </c>
      <c r="M876">
        <v>19.098400000000002</v>
      </c>
      <c r="P876">
        <v>27.55</v>
      </c>
      <c r="S876">
        <f t="shared" si="289"/>
        <v>887.52510000000007</v>
      </c>
      <c r="T876">
        <f t="shared" si="290"/>
        <v>8.4371849238754973E-3</v>
      </c>
      <c r="U876">
        <f t="shared" si="291"/>
        <v>4.0404741135448216E-2</v>
      </c>
      <c r="V876">
        <f t="shared" si="292"/>
        <v>2.2592906296155499E-2</v>
      </c>
      <c r="W876">
        <f t="shared" si="293"/>
        <v>4.1248459627835771E-3</v>
      </c>
      <c r="X876">
        <f t="shared" si="294"/>
        <v>0.15358488956428032</v>
      </c>
      <c r="Y876">
        <f t="shared" si="295"/>
        <v>1.874929983083444E-4</v>
      </c>
      <c r="Z876">
        <f t="shared" si="296"/>
        <v>3.0936344720876819E-3</v>
      </c>
      <c r="AA876">
        <f t="shared" si="297"/>
        <v>0.25869515185292291</v>
      </c>
      <c r="AB876">
        <f t="shared" si="298"/>
        <v>0.22335178420680848</v>
      </c>
      <c r="AC876">
        <f t="shared" si="299"/>
        <v>9.6022945393132941E-2</v>
      </c>
      <c r="AD876">
        <f t="shared" si="300"/>
        <v>3.6240521643019887E-3</v>
      </c>
      <c r="AE876">
        <f t="shared" si="301"/>
        <v>1.7904081394460425E-2</v>
      </c>
      <c r="AG876">
        <f t="shared" si="302"/>
        <v>-1.1100424833754134</v>
      </c>
      <c r="AH876">
        <f t="shared" si="303"/>
        <v>0.25032977674739953</v>
      </c>
      <c r="AI876">
        <f t="shared" si="304"/>
        <v>5.5341058641995712E-2</v>
      </c>
      <c r="AK876" s="26">
        <f t="shared" si="305"/>
        <v>3.2289812034474646E-2</v>
      </c>
      <c r="AL876" s="26">
        <f t="shared" si="306"/>
        <v>1.6523668417230436E-2</v>
      </c>
      <c r="AM876" s="26">
        <f t="shared" si="307"/>
        <v>-8.1751493552884025E-5</v>
      </c>
      <c r="AN876" s="26">
        <f t="shared" si="308"/>
        <v>-20.488571428571419</v>
      </c>
      <c r="AO876" s="26">
        <f t="shared" si="309"/>
        <v>-22.667553088803068</v>
      </c>
      <c r="AP876" s="26">
        <f t="shared" si="310"/>
        <v>-23.88139508357915</v>
      </c>
      <c r="AS876" s="2">
        <v>44604</v>
      </c>
      <c r="AT876">
        <v>10.6</v>
      </c>
      <c r="AU876">
        <v>0</v>
      </c>
      <c r="AV876">
        <v>69.400000000000006</v>
      </c>
      <c r="AW876">
        <v>8.4</v>
      </c>
      <c r="AX876">
        <v>123.25</v>
      </c>
      <c r="AY876">
        <v>0.2</v>
      </c>
      <c r="AZ876">
        <v>2.8</v>
      </c>
      <c r="BA876">
        <v>257.3252</v>
      </c>
      <c r="BB876">
        <v>173.3502</v>
      </c>
      <c r="BC876">
        <v>89.946899999999999</v>
      </c>
      <c r="BD876">
        <v>3.552</v>
      </c>
      <c r="BE876">
        <v>17.3568</v>
      </c>
      <c r="BH876">
        <v>33.25</v>
      </c>
    </row>
    <row r="877" spans="1:60" x14ac:dyDescent="0.25">
      <c r="A877" s="2">
        <v>44624</v>
      </c>
      <c r="B877">
        <v>10.6</v>
      </c>
      <c r="C877">
        <v>2.4</v>
      </c>
      <c r="D877">
        <v>32.700000000000003</v>
      </c>
      <c r="E877">
        <v>3.6</v>
      </c>
      <c r="F877">
        <v>156.47999999999999</v>
      </c>
      <c r="G877">
        <v>0.2</v>
      </c>
      <c r="H877">
        <v>3.2</v>
      </c>
      <c r="I877">
        <v>282.44630000000001</v>
      </c>
      <c r="J877">
        <v>245.21090000000001</v>
      </c>
      <c r="K877">
        <v>146.10290000000001</v>
      </c>
      <c r="L877">
        <v>3.3060999999999998</v>
      </c>
      <c r="M877">
        <v>20.8965</v>
      </c>
      <c r="N877">
        <v>-0.23219999999999999</v>
      </c>
      <c r="O877">
        <v>206.4992</v>
      </c>
      <c r="P877">
        <v>27.73</v>
      </c>
      <c r="S877">
        <f t="shared" si="289"/>
        <v>907.14269999999999</v>
      </c>
      <c r="T877">
        <f t="shared" si="290"/>
        <v>9.9371289103422512E-3</v>
      </c>
      <c r="U877">
        <f t="shared" si="291"/>
        <v>2.2499159797001326E-3</v>
      </c>
      <c r="V877">
        <f t="shared" si="292"/>
        <v>3.065510522341431E-2</v>
      </c>
      <c r="W877">
        <f t="shared" si="293"/>
        <v>3.3748739695501988E-3</v>
      </c>
      <c r="X877">
        <f t="shared" si="294"/>
        <v>0.14669452187644863</v>
      </c>
      <c r="Y877">
        <f t="shared" si="295"/>
        <v>1.874929983083444E-4</v>
      </c>
      <c r="Z877">
        <f t="shared" si="296"/>
        <v>2.9998879729335104E-3</v>
      </c>
      <c r="AA877">
        <f t="shared" si="297"/>
        <v>0.26478351824049068</v>
      </c>
      <c r="AB877">
        <f t="shared" si="298"/>
        <v>0.22987663429443803</v>
      </c>
      <c r="AC877">
        <f t="shared" si="299"/>
        <v>0.13696635391272105</v>
      </c>
      <c r="AD877">
        <f t="shared" si="300"/>
        <v>3.0993530085360868E-3</v>
      </c>
      <c r="AE877">
        <f t="shared" si="301"/>
        <v>1.9589737195751591E-2</v>
      </c>
      <c r="AG877">
        <f t="shared" si="302"/>
        <v>-1.1041057058752211</v>
      </c>
      <c r="AH877">
        <f t="shared" si="303"/>
        <v>0.21568866412644899</v>
      </c>
      <c r="AI877">
        <f t="shared" si="304"/>
        <v>-0.23413615473319127</v>
      </c>
      <c r="AK877" s="26">
        <f t="shared" si="305"/>
        <v>3.1970149864715997E-2</v>
      </c>
      <c r="AL877" s="26">
        <f t="shared" si="306"/>
        <v>1.60190661521393E-2</v>
      </c>
      <c r="AM877" s="26">
        <f t="shared" si="307"/>
        <v>-8.6983391463241189E-4</v>
      </c>
      <c r="AN877" s="26">
        <f t="shared" si="308"/>
        <v>-20.603571428571424</v>
      </c>
      <c r="AO877" s="26">
        <f t="shared" si="309"/>
        <v>-22.770349099099086</v>
      </c>
      <c r="AP877" s="26">
        <f t="shared" si="310"/>
        <v>-23.894036578171104</v>
      </c>
      <c r="AS877" s="2">
        <v>44603</v>
      </c>
      <c r="AT877">
        <v>10.8</v>
      </c>
      <c r="AU877">
        <v>0</v>
      </c>
      <c r="AV877">
        <v>52</v>
      </c>
      <c r="AW877">
        <v>12.7</v>
      </c>
      <c r="AX877">
        <v>59.1</v>
      </c>
      <c r="AY877">
        <v>0.2</v>
      </c>
      <c r="AZ877">
        <v>2.8</v>
      </c>
      <c r="BA877">
        <v>277.13650000000001</v>
      </c>
      <c r="BB877">
        <v>200.83850000000001</v>
      </c>
      <c r="BC877">
        <v>125.8219</v>
      </c>
      <c r="BD877">
        <v>3.5335999999999999</v>
      </c>
      <c r="BE877">
        <v>23.194800000000001</v>
      </c>
      <c r="BF877">
        <v>-36.942799999999998</v>
      </c>
      <c r="BG877">
        <v>13.0777</v>
      </c>
      <c r="BH877">
        <v>33.6</v>
      </c>
    </row>
    <row r="878" spans="1:60" x14ac:dyDescent="0.25">
      <c r="A878" s="2">
        <v>44623</v>
      </c>
      <c r="B878">
        <v>12</v>
      </c>
      <c r="C878">
        <v>59.6</v>
      </c>
      <c r="D878">
        <v>22.8</v>
      </c>
      <c r="E878">
        <v>2.9</v>
      </c>
      <c r="F878">
        <v>184.74</v>
      </c>
      <c r="G878">
        <v>0.2</v>
      </c>
      <c r="H878">
        <v>3.1</v>
      </c>
      <c r="I878">
        <v>277.32979999999998</v>
      </c>
      <c r="J878">
        <v>244.5488</v>
      </c>
      <c r="K878">
        <v>151.44569999999999</v>
      </c>
      <c r="L878">
        <v>3.7174</v>
      </c>
      <c r="M878">
        <v>25.8965</v>
      </c>
      <c r="N878">
        <v>-18.5564</v>
      </c>
      <c r="O878">
        <v>152.9281</v>
      </c>
      <c r="P878">
        <v>28</v>
      </c>
      <c r="S878">
        <f t="shared" si="289"/>
        <v>988.27819999999997</v>
      </c>
      <c r="T878">
        <f t="shared" si="290"/>
        <v>1.1249579898500664E-2</v>
      </c>
      <c r="U878">
        <f t="shared" si="291"/>
        <v>5.5872913495886627E-2</v>
      </c>
      <c r="V878">
        <f t="shared" si="292"/>
        <v>2.1374201807151261E-2</v>
      </c>
      <c r="W878">
        <f t="shared" si="293"/>
        <v>2.7186484754709935E-3</v>
      </c>
      <c r="X878">
        <f t="shared" si="294"/>
        <v>0.17318728253741772</v>
      </c>
      <c r="Y878">
        <f t="shared" si="295"/>
        <v>1.874929983083444E-4</v>
      </c>
      <c r="Z878">
        <f t="shared" si="296"/>
        <v>2.9061414737793379E-3</v>
      </c>
      <c r="AA878">
        <f t="shared" si="297"/>
        <v>0.25998697861126741</v>
      </c>
      <c r="AB878">
        <f t="shared" si="298"/>
        <v>0.22925593872353825</v>
      </c>
      <c r="AC878">
        <f t="shared" si="299"/>
        <v>0.14197504186953014</v>
      </c>
      <c r="AD878">
        <f t="shared" si="300"/>
        <v>3.484932359557197E-3</v>
      </c>
      <c r="AE878">
        <f t="shared" si="301"/>
        <v>2.4277062153460201E-2</v>
      </c>
      <c r="AG878">
        <f t="shared" si="302"/>
        <v>-1.0939213443007278</v>
      </c>
      <c r="AH878">
        <f t="shared" si="303"/>
        <v>0.29177332283997515</v>
      </c>
      <c r="AI878">
        <f t="shared" si="304"/>
        <v>0.40534446099844379</v>
      </c>
      <c r="AK878" s="26">
        <f t="shared" si="305"/>
        <v>2.9049026807547979E-2</v>
      </c>
      <c r="AL878" s="26">
        <f t="shared" si="306"/>
        <v>1.5723609431016278E-2</v>
      </c>
      <c r="AM878" s="26">
        <f t="shared" si="307"/>
        <v>-1.5343442800018758E-3</v>
      </c>
      <c r="AN878" s="26">
        <f t="shared" si="308"/>
        <v>-20.726904761904766</v>
      </c>
      <c r="AO878" s="26">
        <f t="shared" si="309"/>
        <v>-22.874084620334607</v>
      </c>
      <c r="AP878" s="26">
        <f t="shared" si="310"/>
        <v>-23.903483972468045</v>
      </c>
      <c r="AS878" s="2">
        <v>44602</v>
      </c>
      <c r="AT878">
        <v>10.3</v>
      </c>
      <c r="AU878">
        <v>2.2000000000000002</v>
      </c>
      <c r="AV878">
        <v>56.9</v>
      </c>
      <c r="AW878">
        <v>10.3</v>
      </c>
      <c r="AX878">
        <v>66.84</v>
      </c>
      <c r="AY878">
        <v>0.2</v>
      </c>
      <c r="AZ878">
        <v>2.9</v>
      </c>
      <c r="BA878">
        <v>238.01679999999999</v>
      </c>
      <c r="BB878">
        <v>241.9383</v>
      </c>
      <c r="BC878">
        <v>161.37100000000001</v>
      </c>
      <c r="BD878">
        <v>4.0205000000000002</v>
      </c>
      <c r="BE878">
        <v>20.185400000000001</v>
      </c>
      <c r="BF878">
        <v>-29.6386</v>
      </c>
      <c r="BG878">
        <v>17.253900000000002</v>
      </c>
      <c r="BH878">
        <v>34.020000000000003</v>
      </c>
    </row>
    <row r="879" spans="1:60" x14ac:dyDescent="0.25">
      <c r="A879" s="2">
        <v>44622</v>
      </c>
      <c r="B879">
        <v>11.4</v>
      </c>
      <c r="C879">
        <v>21.6</v>
      </c>
      <c r="D879">
        <v>12.2</v>
      </c>
      <c r="E879">
        <v>1.8</v>
      </c>
      <c r="F879">
        <v>141</v>
      </c>
      <c r="G879">
        <v>0.2</v>
      </c>
      <c r="H879">
        <v>3.1</v>
      </c>
      <c r="I879">
        <v>296.02800000000002</v>
      </c>
      <c r="J879">
        <v>234.61080000000001</v>
      </c>
      <c r="K879">
        <v>181.93539999999999</v>
      </c>
      <c r="L879">
        <v>4.0452000000000004</v>
      </c>
      <c r="M879">
        <v>25.427199999999999</v>
      </c>
      <c r="N879">
        <v>-40.849800000000002</v>
      </c>
      <c r="O879">
        <v>101.80549999999999</v>
      </c>
      <c r="P879">
        <v>28.31</v>
      </c>
      <c r="S879">
        <f t="shared" si="289"/>
        <v>933.34659999999997</v>
      </c>
      <c r="T879">
        <f t="shared" si="290"/>
        <v>1.0687100903575631E-2</v>
      </c>
      <c r="U879">
        <f t="shared" si="291"/>
        <v>2.0249243817301196E-2</v>
      </c>
      <c r="V879">
        <f t="shared" si="292"/>
        <v>1.1437072896809007E-2</v>
      </c>
      <c r="W879">
        <f t="shared" si="293"/>
        <v>1.6874369847750994E-3</v>
      </c>
      <c r="X879">
        <f t="shared" si="294"/>
        <v>0.1321825638073828</v>
      </c>
      <c r="Y879">
        <f t="shared" si="295"/>
        <v>1.874929983083444E-4</v>
      </c>
      <c r="Z879">
        <f t="shared" si="296"/>
        <v>2.9061414737793379E-3</v>
      </c>
      <c r="AA879">
        <f t="shared" si="297"/>
        <v>0.27751588651611286</v>
      </c>
      <c r="AB879">
        <f t="shared" si="298"/>
        <v>0.21993941163759662</v>
      </c>
      <c r="AC879">
        <f t="shared" si="299"/>
        <v>0.17055806822213979</v>
      </c>
      <c r="AD879">
        <f t="shared" si="300"/>
        <v>3.7922333837845739E-3</v>
      </c>
      <c r="AE879">
        <f t="shared" si="301"/>
        <v>2.3837109832929672E-2</v>
      </c>
      <c r="AG879">
        <f t="shared" si="302"/>
        <v>-1.0818120866762337</v>
      </c>
      <c r="AH879">
        <f t="shared" si="303"/>
        <v>0.20317416271486111</v>
      </c>
      <c r="AI879">
        <f t="shared" si="304"/>
        <v>-0.33511592883941382</v>
      </c>
      <c r="AK879" s="26">
        <f t="shared" si="305"/>
        <v>2.4334265374420266E-2</v>
      </c>
      <c r="AL879" s="26">
        <f t="shared" si="306"/>
        <v>1.4475403374189039E-2</v>
      </c>
      <c r="AM879" s="26">
        <f t="shared" si="307"/>
        <v>-2.1313489546351261E-3</v>
      </c>
      <c r="AN879" s="26">
        <f t="shared" si="308"/>
        <v>-20.855000000000011</v>
      </c>
      <c r="AO879" s="26">
        <f t="shared" si="309"/>
        <v>-22.978220720720699</v>
      </c>
      <c r="AP879" s="26">
        <f t="shared" si="310"/>
        <v>-23.911243264503454</v>
      </c>
      <c r="AS879" s="2">
        <v>44601</v>
      </c>
      <c r="AT879">
        <v>10.4</v>
      </c>
      <c r="AU879">
        <v>39.200000000000003</v>
      </c>
      <c r="AV879">
        <v>63.2</v>
      </c>
      <c r="AW879">
        <v>18.899999999999999</v>
      </c>
      <c r="AX879">
        <v>58.77</v>
      </c>
      <c r="AY879">
        <v>0.1</v>
      </c>
      <c r="AZ879">
        <v>2.8</v>
      </c>
      <c r="BA879">
        <v>235.65430000000001</v>
      </c>
      <c r="BB879">
        <v>182.76820000000001</v>
      </c>
      <c r="BC879">
        <v>102.78489999999999</v>
      </c>
      <c r="BD879">
        <v>3.9775999999999998</v>
      </c>
      <c r="BE879">
        <v>26.535499999999999</v>
      </c>
      <c r="BF879">
        <v>-20.2865</v>
      </c>
      <c r="BG879">
        <v>25.864799999999999</v>
      </c>
      <c r="BH879">
        <v>34.43</v>
      </c>
    </row>
    <row r="880" spans="1:60" x14ac:dyDescent="0.25">
      <c r="A880" s="2">
        <v>44621</v>
      </c>
      <c r="B880">
        <v>10.1</v>
      </c>
      <c r="C880">
        <v>2.9</v>
      </c>
      <c r="D880">
        <v>21.8</v>
      </c>
      <c r="E880">
        <v>6.4</v>
      </c>
      <c r="F880">
        <v>181.82</v>
      </c>
      <c r="G880">
        <v>0.2</v>
      </c>
      <c r="H880">
        <v>3</v>
      </c>
      <c r="I880">
        <v>285.60289999999998</v>
      </c>
      <c r="J880">
        <v>220.01660000000001</v>
      </c>
      <c r="K880">
        <v>155.4169</v>
      </c>
      <c r="L880">
        <v>3.6715</v>
      </c>
      <c r="M880">
        <v>27.178899999999999</v>
      </c>
      <c r="N880">
        <v>-25.616499999999998</v>
      </c>
      <c r="O880">
        <v>76.169799999999995</v>
      </c>
      <c r="P880">
        <v>28.63</v>
      </c>
      <c r="S880">
        <f t="shared" si="289"/>
        <v>918.10680000000002</v>
      </c>
      <c r="T880">
        <f t="shared" si="290"/>
        <v>9.4683964145713916E-3</v>
      </c>
      <c r="U880">
        <f t="shared" si="291"/>
        <v>2.7186484754709935E-3</v>
      </c>
      <c r="V880">
        <f t="shared" si="292"/>
        <v>2.0436736815609539E-2</v>
      </c>
      <c r="W880">
        <f t="shared" si="293"/>
        <v>5.9997759458670207E-3</v>
      </c>
      <c r="X880">
        <f t="shared" si="294"/>
        <v>0.17044988476211587</v>
      </c>
      <c r="Y880">
        <f t="shared" si="295"/>
        <v>1.874929983083444E-4</v>
      </c>
      <c r="Z880">
        <f t="shared" si="296"/>
        <v>2.8123949746251659E-3</v>
      </c>
      <c r="AA880">
        <f t="shared" si="297"/>
        <v>0.26774272023279122</v>
      </c>
      <c r="AB880">
        <f t="shared" si="298"/>
        <v>0.20625786005803842</v>
      </c>
      <c r="AC880">
        <f t="shared" si="299"/>
        <v>0.14569790284394063</v>
      </c>
      <c r="AD880">
        <f t="shared" si="300"/>
        <v>3.4419027164454318E-3</v>
      </c>
      <c r="AE880">
        <f t="shared" si="301"/>
        <v>2.5479267258613304E-2</v>
      </c>
      <c r="AG880">
        <f t="shared" si="302"/>
        <v>-1.0691771388772939</v>
      </c>
      <c r="AH880">
        <f t="shared" si="303"/>
        <v>0.23755259764518161</v>
      </c>
      <c r="AI880">
        <f t="shared" si="304"/>
        <v>-4.7269858979828862E-2</v>
      </c>
      <c r="AK880" s="26">
        <f t="shared" si="305"/>
        <v>2.6623606221133717E-2</v>
      </c>
      <c r="AL880" s="26">
        <f t="shared" si="306"/>
        <v>1.4787062479515778E-2</v>
      </c>
      <c r="AM880" s="26">
        <f t="shared" si="307"/>
        <v>-1.5484620750619293E-3</v>
      </c>
      <c r="AN880" s="26">
        <f t="shared" si="308"/>
        <v>-20.990000000000006</v>
      </c>
      <c r="AO880" s="26">
        <f t="shared" si="309"/>
        <v>-23.086694015443989</v>
      </c>
      <c r="AP880" s="26">
        <f t="shared" si="310"/>
        <v>-23.917223992133749</v>
      </c>
      <c r="AS880" s="2">
        <v>44600</v>
      </c>
      <c r="AT880">
        <v>11.2</v>
      </c>
      <c r="AU880">
        <v>2.1</v>
      </c>
      <c r="AV880">
        <v>69.7</v>
      </c>
      <c r="AW880">
        <v>23.9</v>
      </c>
      <c r="AX880">
        <v>37.5</v>
      </c>
      <c r="AY880">
        <v>0.1</v>
      </c>
      <c r="AZ880">
        <v>2.7</v>
      </c>
      <c r="BA880">
        <v>208.89689999999999</v>
      </c>
      <c r="BB880">
        <v>160.66069999999999</v>
      </c>
      <c r="BC880">
        <v>87.089100000000002</v>
      </c>
      <c r="BD880">
        <v>3.6587999999999998</v>
      </c>
      <c r="BE880">
        <v>16.077200000000001</v>
      </c>
      <c r="BF880">
        <v>-26.961400000000001</v>
      </c>
      <c r="BG880">
        <v>21.204000000000001</v>
      </c>
      <c r="BH880">
        <v>34.78</v>
      </c>
    </row>
    <row r="881" spans="1:60" x14ac:dyDescent="0.25">
      <c r="A881" s="2">
        <v>44620</v>
      </c>
      <c r="B881">
        <v>9.4</v>
      </c>
      <c r="C881">
        <v>46.5</v>
      </c>
      <c r="D881">
        <v>58.5</v>
      </c>
      <c r="E881">
        <v>8.6999999999999993</v>
      </c>
      <c r="F881">
        <v>182.78</v>
      </c>
      <c r="G881">
        <v>0.2</v>
      </c>
      <c r="H881">
        <v>3</v>
      </c>
      <c r="I881">
        <v>291.5181</v>
      </c>
      <c r="J881">
        <v>195.30779999999999</v>
      </c>
      <c r="K881">
        <v>97.977900000000005</v>
      </c>
      <c r="L881">
        <v>3.6404000000000001</v>
      </c>
      <c r="M881">
        <v>31.417200000000001</v>
      </c>
      <c r="N881">
        <v>-16.562200000000001</v>
      </c>
      <c r="O881">
        <v>54.319499999999998</v>
      </c>
      <c r="P881">
        <v>28.98</v>
      </c>
      <c r="S881">
        <f t="shared" si="289"/>
        <v>928.94139999999993</v>
      </c>
      <c r="T881">
        <f t="shared" si="290"/>
        <v>8.8121709204921871E-3</v>
      </c>
      <c r="U881">
        <f t="shared" si="291"/>
        <v>4.359212210669007E-2</v>
      </c>
      <c r="V881">
        <f t="shared" si="292"/>
        <v>5.4841702005190729E-2</v>
      </c>
      <c r="W881">
        <f t="shared" si="293"/>
        <v>8.1559454264129791E-3</v>
      </c>
      <c r="X881">
        <f t="shared" si="294"/>
        <v>0.17134985115399592</v>
      </c>
      <c r="Y881">
        <f t="shared" si="295"/>
        <v>1.874929983083444E-4</v>
      </c>
      <c r="Z881">
        <f t="shared" si="296"/>
        <v>2.8123949746251659E-3</v>
      </c>
      <c r="AA881">
        <f t="shared" si="297"/>
        <v>0.27328801315075885</v>
      </c>
      <c r="AB881">
        <f t="shared" si="298"/>
        <v>0.18309422507503231</v>
      </c>
      <c r="AC881">
        <f t="shared" si="299"/>
        <v>9.1850851194775679E-2</v>
      </c>
      <c r="AD881">
        <f t="shared" si="300"/>
        <v>3.4127475552084845E-3</v>
      </c>
      <c r="AE881">
        <f t="shared" si="301"/>
        <v>2.9452525132264585E-2</v>
      </c>
      <c r="AG881">
        <f t="shared" si="302"/>
        <v>-1.055060152177105</v>
      </c>
      <c r="AH881">
        <f t="shared" si="303"/>
        <v>0.31920420471797994</v>
      </c>
      <c r="AI881">
        <f t="shared" si="304"/>
        <v>0.63843051807622764</v>
      </c>
      <c r="AK881" s="26">
        <f t="shared" si="305"/>
        <v>2.4017252659292387E-2</v>
      </c>
      <c r="AL881" s="26">
        <f t="shared" si="306"/>
        <v>1.2791723578980813E-2</v>
      </c>
      <c r="AM881" s="26">
        <f t="shared" si="307"/>
        <v>-2.4447490099514246E-3</v>
      </c>
      <c r="AN881" s="26">
        <f t="shared" si="308"/>
        <v>-21.136666666666674</v>
      </c>
      <c r="AO881" s="26">
        <f t="shared" si="309"/>
        <v>-23.199052445302428</v>
      </c>
      <c r="AP881" s="26">
        <f t="shared" si="310"/>
        <v>-23.921070599803357</v>
      </c>
      <c r="AS881" s="2">
        <v>44599</v>
      </c>
      <c r="AT881">
        <v>10.7</v>
      </c>
      <c r="AU881">
        <v>1.7</v>
      </c>
      <c r="AV881">
        <v>58.1</v>
      </c>
      <c r="AW881">
        <v>25.4</v>
      </c>
      <c r="AX881">
        <v>50</v>
      </c>
      <c r="AY881">
        <v>0.2</v>
      </c>
      <c r="AZ881">
        <v>2.8</v>
      </c>
      <c r="BA881">
        <v>150.6386</v>
      </c>
      <c r="BB881">
        <v>118.28700000000001</v>
      </c>
      <c r="BC881">
        <v>82.780699999999996</v>
      </c>
      <c r="BD881">
        <v>4.9710000000000001</v>
      </c>
      <c r="BE881">
        <v>27.821999999999999</v>
      </c>
      <c r="BF881">
        <v>-30.277799999999999</v>
      </c>
      <c r="BG881">
        <v>25.238600000000002</v>
      </c>
      <c r="BH881">
        <v>35.15</v>
      </c>
    </row>
    <row r="882" spans="1:60" x14ac:dyDescent="0.25">
      <c r="A882" s="2">
        <v>44619</v>
      </c>
      <c r="B882">
        <v>9.1999999999999993</v>
      </c>
      <c r="C882">
        <v>16.100000000000001</v>
      </c>
      <c r="D882">
        <v>47.4</v>
      </c>
      <c r="E882">
        <v>8.1</v>
      </c>
      <c r="F882">
        <v>175.75</v>
      </c>
      <c r="G882">
        <v>0.2</v>
      </c>
      <c r="H882">
        <v>3</v>
      </c>
      <c r="I882">
        <v>279.81810000000002</v>
      </c>
      <c r="J882">
        <v>151.56870000000001</v>
      </c>
      <c r="K882">
        <v>63.564300000000003</v>
      </c>
      <c r="L882">
        <v>3.552</v>
      </c>
      <c r="M882">
        <v>14.5342</v>
      </c>
      <c r="P882">
        <v>29.34</v>
      </c>
      <c r="S882">
        <f t="shared" si="289"/>
        <v>772.78730000000007</v>
      </c>
      <c r="T882">
        <f t="shared" si="290"/>
        <v>8.6246779221838404E-3</v>
      </c>
      <c r="U882">
        <f t="shared" si="291"/>
        <v>1.5093186363821724E-2</v>
      </c>
      <c r="V882">
        <f t="shared" si="292"/>
        <v>4.4435840599077618E-2</v>
      </c>
      <c r="W882">
        <f t="shared" si="293"/>
        <v>7.593466431487947E-3</v>
      </c>
      <c r="X882">
        <f t="shared" si="294"/>
        <v>0.16475947226345763</v>
      </c>
      <c r="Y882">
        <f t="shared" si="295"/>
        <v>1.874929983083444E-4</v>
      </c>
      <c r="Z882">
        <f t="shared" si="296"/>
        <v>2.8123949746251659E-3</v>
      </c>
      <c r="AA882">
        <f t="shared" si="297"/>
        <v>0.26231967274972073</v>
      </c>
      <c r="AB882">
        <f t="shared" si="298"/>
        <v>0.1420903500634898</v>
      </c>
      <c r="AC882">
        <f t="shared" si="299"/>
        <v>5.9589305961855479E-2</v>
      </c>
      <c r="AD882">
        <f t="shared" si="300"/>
        <v>3.3298756499561964E-3</v>
      </c>
      <c r="AE882">
        <f t="shared" si="301"/>
        <v>1.3625303680065695E-2</v>
      </c>
      <c r="AG882">
        <f t="shared" si="302"/>
        <v>-1.0404056427414077</v>
      </c>
      <c r="AH882">
        <f t="shared" si="303"/>
        <v>0.25713183523302796</v>
      </c>
      <c r="AI882">
        <f t="shared" si="304"/>
        <v>0.12122784538489954</v>
      </c>
      <c r="AK882" s="26">
        <f t="shared" si="305"/>
        <v>1.8026945109839987E-2</v>
      </c>
      <c r="AL882" s="26">
        <f t="shared" si="306"/>
        <v>1.1384810505456505E-2</v>
      </c>
      <c r="AM882" s="26">
        <f t="shared" si="307"/>
        <v>-3.3029822884735049E-3</v>
      </c>
      <c r="AN882" s="26">
        <f t="shared" si="308"/>
        <v>-21.293571428571429</v>
      </c>
      <c r="AO882" s="26">
        <f t="shared" si="309"/>
        <v>-23.318872265122259</v>
      </c>
      <c r="AP882" s="26">
        <f t="shared" si="310"/>
        <v>-23.923758898721751</v>
      </c>
      <c r="AS882" s="2">
        <v>44598</v>
      </c>
      <c r="AT882">
        <v>9.3000000000000007</v>
      </c>
      <c r="AU882">
        <v>0</v>
      </c>
      <c r="AV882">
        <v>50.6</v>
      </c>
      <c r="AW882">
        <v>23.1</v>
      </c>
      <c r="AX882">
        <v>34.15</v>
      </c>
      <c r="AY882">
        <v>0.2</v>
      </c>
      <c r="AZ882">
        <v>2.9</v>
      </c>
      <c r="BA882">
        <v>90.661100000000005</v>
      </c>
      <c r="BB882">
        <v>48.772199999999998</v>
      </c>
      <c r="BC882">
        <v>38.508499999999998</v>
      </c>
      <c r="BD882">
        <v>3.4996999999999998</v>
      </c>
      <c r="BE882">
        <v>23.184899999999999</v>
      </c>
      <c r="BH882">
        <v>35.54</v>
      </c>
    </row>
    <row r="883" spans="1:60" x14ac:dyDescent="0.25">
      <c r="A883" s="2">
        <v>44618</v>
      </c>
      <c r="C883">
        <v>0</v>
      </c>
      <c r="F883">
        <v>112.91</v>
      </c>
      <c r="K883">
        <v>106.7334</v>
      </c>
      <c r="P883">
        <v>29.49</v>
      </c>
      <c r="S883">
        <f t="shared" si="289"/>
        <v>219.64339999999999</v>
      </c>
      <c r="T883">
        <f t="shared" si="290"/>
        <v>0</v>
      </c>
      <c r="U883">
        <f t="shared" si="291"/>
        <v>0</v>
      </c>
      <c r="V883">
        <f t="shared" si="292"/>
        <v>0</v>
      </c>
      <c r="W883">
        <f t="shared" si="293"/>
        <v>0</v>
      </c>
      <c r="X883">
        <f t="shared" si="294"/>
        <v>0.10584917219497582</v>
      </c>
      <c r="Y883">
        <f t="shared" si="295"/>
        <v>0</v>
      </c>
      <c r="Z883">
        <f t="shared" si="296"/>
        <v>0</v>
      </c>
      <c r="AA883">
        <f t="shared" si="297"/>
        <v>0</v>
      </c>
      <c r="AB883">
        <f t="shared" si="298"/>
        <v>0</v>
      </c>
      <c r="AC883">
        <f t="shared" si="299"/>
        <v>0.10005882592821923</v>
      </c>
      <c r="AD883">
        <f t="shared" si="300"/>
        <v>0</v>
      </c>
      <c r="AE883">
        <f t="shared" si="301"/>
        <v>0</v>
      </c>
      <c r="AG883">
        <f t="shared" si="302"/>
        <v>-1.0356598657676712</v>
      </c>
      <c r="AH883">
        <f t="shared" si="303"/>
        <v>0.10584917219497582</v>
      </c>
      <c r="AI883">
        <f t="shared" si="304"/>
        <v>-1.1438533324298998</v>
      </c>
      <c r="AK883" s="26">
        <f t="shared" si="305"/>
        <v>1.2268428011605742E-2</v>
      </c>
      <c r="AL883" s="26">
        <f t="shared" si="306"/>
        <v>1.0616278877124158E-2</v>
      </c>
      <c r="AM883" s="26">
        <f t="shared" si="307"/>
        <v>-3.8807430541653309E-3</v>
      </c>
      <c r="AN883" s="26">
        <f t="shared" si="308"/>
        <v>-21.455238095238101</v>
      </c>
      <c r="AO883" s="26">
        <f t="shared" si="309"/>
        <v>-23.444782818532815</v>
      </c>
      <c r="AP883" s="26">
        <f t="shared" si="310"/>
        <v>-23.927190953785683</v>
      </c>
      <c r="AS883" s="2">
        <v>44597</v>
      </c>
      <c r="AT883">
        <v>9.6999999999999993</v>
      </c>
      <c r="AU883">
        <v>0</v>
      </c>
      <c r="AV883">
        <v>65.900000000000006</v>
      </c>
      <c r="AW883">
        <v>23.4</v>
      </c>
      <c r="AX883">
        <v>68.87</v>
      </c>
      <c r="AY883">
        <v>0.2</v>
      </c>
      <c r="AZ883">
        <v>2.7</v>
      </c>
      <c r="BA883">
        <v>106.544</v>
      </c>
      <c r="BB883">
        <v>63.258800000000001</v>
      </c>
      <c r="BC883">
        <v>47.831699999999998</v>
      </c>
      <c r="BD883">
        <v>3.5295999999999998</v>
      </c>
      <c r="BE883">
        <v>18.485900000000001</v>
      </c>
      <c r="BH883">
        <v>35.770000000000003</v>
      </c>
    </row>
    <row r="884" spans="1:60" x14ac:dyDescent="0.25">
      <c r="A884" s="2">
        <v>44617</v>
      </c>
      <c r="B884">
        <v>10.4</v>
      </c>
      <c r="C884">
        <v>0</v>
      </c>
      <c r="D884">
        <v>68.8</v>
      </c>
      <c r="E884">
        <v>24.7</v>
      </c>
      <c r="F884">
        <v>98.18</v>
      </c>
      <c r="G884">
        <v>0.2</v>
      </c>
      <c r="H884">
        <v>3.1</v>
      </c>
      <c r="I884">
        <v>236.8467</v>
      </c>
      <c r="J884">
        <v>140.93129999999999</v>
      </c>
      <c r="K884">
        <v>64.962699999999998</v>
      </c>
      <c r="L884">
        <v>3.6331000000000002</v>
      </c>
      <c r="M884">
        <v>21.476700000000001</v>
      </c>
      <c r="N884">
        <v>-17.263999999999999</v>
      </c>
      <c r="O884">
        <v>54.408700000000003</v>
      </c>
      <c r="P884">
        <v>29.66</v>
      </c>
      <c r="S884">
        <f t="shared" si="289"/>
        <v>673.23050000000012</v>
      </c>
      <c r="T884">
        <f t="shared" si="290"/>
        <v>9.749635912033908E-3</v>
      </c>
      <c r="U884">
        <f t="shared" si="291"/>
        <v>0</v>
      </c>
      <c r="V884">
        <f t="shared" si="292"/>
        <v>6.449759141807046E-2</v>
      </c>
      <c r="W884">
        <f t="shared" si="293"/>
        <v>2.3155385291080532E-2</v>
      </c>
      <c r="X884">
        <f t="shared" si="294"/>
        <v>9.2040312869566265E-2</v>
      </c>
      <c r="Y884">
        <f t="shared" si="295"/>
        <v>1.874929983083444E-4</v>
      </c>
      <c r="Z884">
        <f t="shared" si="296"/>
        <v>2.9061414737793379E-3</v>
      </c>
      <c r="AA884">
        <f t="shared" si="297"/>
        <v>0.22203548961218475</v>
      </c>
      <c r="AB884">
        <f t="shared" si="298"/>
        <v>0.13211815996246387</v>
      </c>
      <c r="AC884">
        <f t="shared" si="299"/>
        <v>6.0900257006027414E-2</v>
      </c>
      <c r="AD884">
        <f t="shared" si="300"/>
        <v>3.40590406077023E-3</v>
      </c>
      <c r="AE884">
        <f t="shared" si="301"/>
        <v>2.01336543838441E-2</v>
      </c>
      <c r="AG884">
        <f t="shared" si="302"/>
        <v>-1.0299483969425094</v>
      </c>
      <c r="AH884">
        <f t="shared" si="303"/>
        <v>0.21267021434668296</v>
      </c>
      <c r="AI884">
        <f t="shared" si="304"/>
        <v>-0.25082614338437725</v>
      </c>
      <c r="AK884" s="26">
        <f t="shared" si="305"/>
        <v>1.6559102603155074E-2</v>
      </c>
      <c r="AL884" s="26">
        <f t="shared" si="306"/>
        <v>1.2293874696466117E-2</v>
      </c>
      <c r="AM884" s="26">
        <f t="shared" si="307"/>
        <v>-2.9963372021403756E-3</v>
      </c>
      <c r="AN884" s="26">
        <f t="shared" si="308"/>
        <v>-21.621190476190485</v>
      </c>
      <c r="AO884" s="26">
        <f t="shared" si="309"/>
        <v>-23.575085263835263</v>
      </c>
      <c r="AP884" s="26">
        <f t="shared" si="310"/>
        <v>-23.928620648967595</v>
      </c>
      <c r="AS884" s="2">
        <v>44596</v>
      </c>
      <c r="AT884">
        <v>10</v>
      </c>
      <c r="AU884">
        <v>0</v>
      </c>
      <c r="AV884">
        <v>65.3</v>
      </c>
      <c r="AW884">
        <v>21.5</v>
      </c>
      <c r="AX884">
        <v>31.19</v>
      </c>
      <c r="AY884">
        <v>0.1</v>
      </c>
      <c r="AZ884">
        <v>2.8</v>
      </c>
      <c r="BA884">
        <v>227.36410000000001</v>
      </c>
      <c r="BB884">
        <v>114.2393</v>
      </c>
      <c r="BC884">
        <v>99.634600000000006</v>
      </c>
      <c r="BD884">
        <v>3.6139999999999999</v>
      </c>
      <c r="BE884">
        <v>17.106300000000001</v>
      </c>
      <c r="BF884">
        <v>-24.468599999999999</v>
      </c>
      <c r="BG884">
        <v>36.6907</v>
      </c>
      <c r="BH884">
        <v>36.01</v>
      </c>
    </row>
    <row r="885" spans="1:60" x14ac:dyDescent="0.25">
      <c r="A885" s="2">
        <v>44616</v>
      </c>
      <c r="B885">
        <v>11.3</v>
      </c>
      <c r="C885">
        <v>0.5</v>
      </c>
      <c r="D885">
        <v>60.5</v>
      </c>
      <c r="E885">
        <v>23.3</v>
      </c>
      <c r="F885">
        <v>94.09</v>
      </c>
      <c r="G885">
        <v>0.1</v>
      </c>
      <c r="H885">
        <v>3.2</v>
      </c>
      <c r="I885">
        <v>243.39760000000001</v>
      </c>
      <c r="J885">
        <v>145.22149999999999</v>
      </c>
      <c r="K885">
        <v>86.118799999999993</v>
      </c>
      <c r="L885">
        <v>3.72</v>
      </c>
      <c r="M885">
        <v>18.9495</v>
      </c>
      <c r="N885">
        <v>-18.461600000000001</v>
      </c>
      <c r="O885">
        <v>124.4866</v>
      </c>
      <c r="P885">
        <v>29.91</v>
      </c>
      <c r="S885">
        <f t="shared" si="289"/>
        <v>690.39740000000006</v>
      </c>
      <c r="T885">
        <f t="shared" si="290"/>
        <v>1.0593354404421457E-2</v>
      </c>
      <c r="U885">
        <f t="shared" si="291"/>
        <v>4.6873249577086097E-4</v>
      </c>
      <c r="V885">
        <f t="shared" si="292"/>
        <v>5.6716631988274174E-2</v>
      </c>
      <c r="W885">
        <f t="shared" si="293"/>
        <v>2.1842934302922123E-2</v>
      </c>
      <c r="X885">
        <f t="shared" si="294"/>
        <v>8.8206081054160612E-2</v>
      </c>
      <c r="Y885">
        <f t="shared" si="295"/>
        <v>9.3746499154172199E-5</v>
      </c>
      <c r="Z885">
        <f t="shared" si="296"/>
        <v>2.9998879729335104E-3</v>
      </c>
      <c r="AA885">
        <f t="shared" si="297"/>
        <v>0.22817672902527542</v>
      </c>
      <c r="AB885">
        <f t="shared" si="298"/>
        <v>0.13614007226917615</v>
      </c>
      <c r="AC885">
        <f t="shared" si="299"/>
        <v>8.073336011358323E-2</v>
      </c>
      <c r="AD885">
        <f t="shared" si="300"/>
        <v>3.4873697685352057E-3</v>
      </c>
      <c r="AE885">
        <f t="shared" si="301"/>
        <v>1.7764492857219861E-2</v>
      </c>
      <c r="AG885">
        <f t="shared" si="302"/>
        <v>-1.0204107974800543</v>
      </c>
      <c r="AH885">
        <f t="shared" si="303"/>
        <v>0.19868586157485679</v>
      </c>
      <c r="AI885">
        <f t="shared" si="304"/>
        <v>-0.36925541769064518</v>
      </c>
      <c r="AK885" s="26">
        <f t="shared" si="305"/>
        <v>1.6414179443700744E-2</v>
      </c>
      <c r="AL885" s="26">
        <f t="shared" si="306"/>
        <v>1.360561975056207E-2</v>
      </c>
      <c r="AM885" s="26">
        <f t="shared" si="307"/>
        <v>-4.2451433546462081E-3</v>
      </c>
      <c r="AN885" s="26">
        <f t="shared" si="308"/>
        <v>-21.790952380952376</v>
      </c>
      <c r="AO885" s="26">
        <f t="shared" si="309"/>
        <v>-23.714692728442728</v>
      </c>
      <c r="AP885" s="26">
        <f t="shared" si="310"/>
        <v>-23.927075319567372</v>
      </c>
      <c r="AS885" s="2">
        <v>44595</v>
      </c>
      <c r="AT885">
        <v>10.7</v>
      </c>
      <c r="AU885">
        <v>0.9</v>
      </c>
      <c r="AV885">
        <v>66.2</v>
      </c>
      <c r="AW885">
        <v>12.8</v>
      </c>
      <c r="AX885">
        <v>29.42</v>
      </c>
      <c r="AY885">
        <v>0.1</v>
      </c>
      <c r="AZ885">
        <v>2.9</v>
      </c>
      <c r="BA885">
        <v>265.57440000000003</v>
      </c>
      <c r="BB885">
        <v>201.46129999999999</v>
      </c>
      <c r="BC885">
        <v>167.78460000000001</v>
      </c>
      <c r="BD885">
        <v>3.6766999999999999</v>
      </c>
      <c r="BE885">
        <v>24.171199999999999</v>
      </c>
      <c r="BF885">
        <v>-24.575500000000002</v>
      </c>
      <c r="BG885">
        <v>37.2761</v>
      </c>
      <c r="BH885">
        <v>36.35</v>
      </c>
    </row>
    <row r="886" spans="1:60" x14ac:dyDescent="0.25">
      <c r="A886" s="2">
        <v>44615</v>
      </c>
      <c r="B886">
        <v>11.9</v>
      </c>
      <c r="C886">
        <v>1.2</v>
      </c>
      <c r="D886">
        <v>66.900000000000006</v>
      </c>
      <c r="E886">
        <v>22</v>
      </c>
      <c r="F886">
        <v>157.44999999999999</v>
      </c>
      <c r="G886">
        <v>0.2</v>
      </c>
      <c r="H886">
        <v>3.1</v>
      </c>
      <c r="I886">
        <v>218.53319999999999</v>
      </c>
      <c r="J886">
        <v>158.47399999999999</v>
      </c>
      <c r="K886">
        <v>99.713499999999996</v>
      </c>
      <c r="L886">
        <v>3.6549</v>
      </c>
      <c r="M886">
        <v>34.078699999999998</v>
      </c>
      <c r="N886">
        <v>-22.2651</v>
      </c>
      <c r="O886">
        <v>39.969900000000003</v>
      </c>
      <c r="P886">
        <v>30.16</v>
      </c>
      <c r="S886">
        <f t="shared" si="289"/>
        <v>777.20429999999999</v>
      </c>
      <c r="T886">
        <f t="shared" si="290"/>
        <v>1.115583339934649E-2</v>
      </c>
      <c r="U886">
        <f t="shared" si="291"/>
        <v>1.1249579898500663E-3</v>
      </c>
      <c r="V886">
        <f t="shared" si="292"/>
        <v>6.2716407934141197E-2</v>
      </c>
      <c r="W886">
        <f t="shared" si="293"/>
        <v>2.0624229813917882E-2</v>
      </c>
      <c r="X886">
        <f t="shared" si="294"/>
        <v>0.14760386291824409</v>
      </c>
      <c r="Y886">
        <f t="shared" si="295"/>
        <v>1.874929983083444E-4</v>
      </c>
      <c r="Z886">
        <f t="shared" si="296"/>
        <v>2.9061414737793379E-3</v>
      </c>
      <c r="AA886">
        <f t="shared" si="297"/>
        <v>0.20486722448958541</v>
      </c>
      <c r="AB886">
        <f t="shared" si="298"/>
        <v>0.14856382706958282</v>
      </c>
      <c r="AC886">
        <f t="shared" si="299"/>
        <v>9.347791543409549E-2</v>
      </c>
      <c r="AD886">
        <f t="shared" si="300"/>
        <v>3.4263407975858393E-3</v>
      </c>
      <c r="AE886">
        <f t="shared" si="301"/>
        <v>3.1947588207252874E-2</v>
      </c>
      <c r="AG886">
        <f t="shared" si="302"/>
        <v>-1.0108303424861682</v>
      </c>
      <c r="AH886">
        <f t="shared" si="303"/>
        <v>0.27826651473484032</v>
      </c>
      <c r="AI886">
        <f t="shared" si="304"/>
        <v>0.29685100911639245</v>
      </c>
      <c r="AK886" s="26">
        <f t="shared" si="305"/>
        <v>9.9761296860499116E-3</v>
      </c>
      <c r="AL886" s="26">
        <f t="shared" si="306"/>
        <v>1.4940375950644347E-2</v>
      </c>
      <c r="AM886" s="26">
        <f t="shared" si="307"/>
        <v>-4.7061290342550188E-3</v>
      </c>
      <c r="AN886" s="26">
        <f t="shared" si="308"/>
        <v>-21.966190476190469</v>
      </c>
      <c r="AO886" s="26">
        <f t="shared" si="309"/>
        <v>-23.863518339768341</v>
      </c>
      <c r="AP886" s="26">
        <f t="shared" si="310"/>
        <v>-23.923752605703072</v>
      </c>
      <c r="AS886" s="2">
        <v>44594</v>
      </c>
      <c r="AT886">
        <v>9.6999999999999993</v>
      </c>
      <c r="AU886">
        <v>0</v>
      </c>
      <c r="AV886">
        <v>52.1</v>
      </c>
      <c r="AW886">
        <v>23.1</v>
      </c>
      <c r="AX886">
        <v>45.89</v>
      </c>
      <c r="AY886">
        <v>0.2</v>
      </c>
      <c r="AZ886">
        <v>2.9</v>
      </c>
      <c r="BA886">
        <v>206.90270000000001</v>
      </c>
      <c r="BB886">
        <v>141.23060000000001</v>
      </c>
      <c r="BC886">
        <v>108.2987</v>
      </c>
      <c r="BD886">
        <v>3.6063000000000001</v>
      </c>
      <c r="BE886">
        <v>22.533000000000001</v>
      </c>
      <c r="BF886">
        <v>-16.571200000000001</v>
      </c>
      <c r="BG886">
        <v>39.199599999999997</v>
      </c>
      <c r="BH886">
        <v>36.76</v>
      </c>
    </row>
    <row r="887" spans="1:60" x14ac:dyDescent="0.25">
      <c r="A887" s="2">
        <v>44614</v>
      </c>
      <c r="B887">
        <v>12.3</v>
      </c>
      <c r="C887">
        <v>1.5</v>
      </c>
      <c r="D887">
        <v>61.8</v>
      </c>
      <c r="E887">
        <v>12.4</v>
      </c>
      <c r="F887">
        <v>75.55</v>
      </c>
      <c r="G887">
        <v>0.2</v>
      </c>
      <c r="H887">
        <v>3.1</v>
      </c>
      <c r="I887">
        <v>212.3998</v>
      </c>
      <c r="J887">
        <v>145.89830000000001</v>
      </c>
      <c r="K887">
        <v>85.6905</v>
      </c>
      <c r="L887">
        <v>3.552</v>
      </c>
      <c r="M887">
        <v>25.3614</v>
      </c>
      <c r="N887">
        <v>-24.503900000000002</v>
      </c>
      <c r="O887">
        <v>26.4511</v>
      </c>
      <c r="P887">
        <v>30.44</v>
      </c>
      <c r="S887">
        <f t="shared" si="289"/>
        <v>639.75200000000007</v>
      </c>
      <c r="T887">
        <f t="shared" si="290"/>
        <v>1.153081939596318E-2</v>
      </c>
      <c r="U887">
        <f t="shared" si="291"/>
        <v>1.406197487312583E-3</v>
      </c>
      <c r="V887">
        <f t="shared" si="292"/>
        <v>5.7935336477278408E-2</v>
      </c>
      <c r="W887">
        <f t="shared" si="293"/>
        <v>1.1624565895117352E-2</v>
      </c>
      <c r="X887">
        <f t="shared" si="294"/>
        <v>7.0825480110977085E-2</v>
      </c>
      <c r="Y887">
        <f t="shared" si="295"/>
        <v>1.874929983083444E-4</v>
      </c>
      <c r="Z887">
        <f t="shared" si="296"/>
        <v>2.9061414737793379E-3</v>
      </c>
      <c r="AA887">
        <f t="shared" si="297"/>
        <v>0.19911737671046342</v>
      </c>
      <c r="AB887">
        <f t="shared" si="298"/>
        <v>0.1367745485754516</v>
      </c>
      <c r="AC887">
        <f t="shared" si="299"/>
        <v>8.033184385770592E-2</v>
      </c>
      <c r="AD887">
        <f t="shared" si="300"/>
        <v>3.3298756499561964E-3</v>
      </c>
      <c r="AE887">
        <f t="shared" si="301"/>
        <v>2.3775424636486225E-2</v>
      </c>
      <c r="AG887">
        <f t="shared" si="302"/>
        <v>-0.99976767281838363</v>
      </c>
      <c r="AH887">
        <f t="shared" si="303"/>
        <v>0.1801914584752225</v>
      </c>
      <c r="AI887">
        <f t="shared" si="304"/>
        <v>-0.52488070886752358</v>
      </c>
      <c r="AK887" s="26">
        <f t="shared" si="305"/>
        <v>6.808564939081635E-3</v>
      </c>
      <c r="AL887" s="26">
        <f t="shared" si="306"/>
        <v>1.2331845075083198E-2</v>
      </c>
      <c r="AM887" s="26">
        <f t="shared" si="307"/>
        <v>-5.7201029865118214E-3</v>
      </c>
      <c r="AN887" s="26">
        <f t="shared" si="308"/>
        <v>-22.142619047619036</v>
      </c>
      <c r="AO887" s="26">
        <f t="shared" si="309"/>
        <v>-24.018074324324324</v>
      </c>
      <c r="AP887" s="26">
        <f t="shared" si="310"/>
        <v>-23.916832251720777</v>
      </c>
      <c r="AS887" s="2">
        <v>44593</v>
      </c>
      <c r="AT887">
        <v>9.6</v>
      </c>
      <c r="AU887">
        <v>1.5</v>
      </c>
      <c r="AV887">
        <v>60.4</v>
      </c>
      <c r="AW887">
        <v>23.5</v>
      </c>
      <c r="AX887">
        <v>25.61</v>
      </c>
      <c r="AY887">
        <v>0.1</v>
      </c>
      <c r="AZ887">
        <v>3.1</v>
      </c>
      <c r="BA887">
        <v>224.59620000000001</v>
      </c>
      <c r="BB887">
        <v>137.20500000000001</v>
      </c>
      <c r="BC887">
        <v>103.8779</v>
      </c>
      <c r="BD887">
        <v>3.5775999999999999</v>
      </c>
      <c r="BE887">
        <v>17.462499999999999</v>
      </c>
      <c r="BF887">
        <v>-19.309200000000001</v>
      </c>
      <c r="BG887">
        <v>36.679099999999998</v>
      </c>
      <c r="BH887">
        <v>37.200000000000003</v>
      </c>
    </row>
    <row r="888" spans="1:60" x14ac:dyDescent="0.25">
      <c r="A888" s="2">
        <v>44613</v>
      </c>
      <c r="B888">
        <v>12.2</v>
      </c>
      <c r="C888">
        <v>3.8</v>
      </c>
      <c r="D888">
        <v>67.5</v>
      </c>
      <c r="E888">
        <v>24</v>
      </c>
      <c r="F888">
        <v>71.88</v>
      </c>
      <c r="G888">
        <v>0.2</v>
      </c>
      <c r="H888">
        <v>3</v>
      </c>
      <c r="I888">
        <v>123.5924</v>
      </c>
      <c r="J888">
        <v>88.442099999999996</v>
      </c>
      <c r="K888">
        <v>64.276399999999995</v>
      </c>
      <c r="L888">
        <v>3.5074000000000001</v>
      </c>
      <c r="M888">
        <v>32.179699999999997</v>
      </c>
      <c r="N888">
        <v>-28.577500000000001</v>
      </c>
      <c r="O888">
        <v>14.626300000000001</v>
      </c>
      <c r="P888">
        <v>30.77</v>
      </c>
      <c r="S888">
        <f t="shared" si="289"/>
        <v>494.57799999999997</v>
      </c>
      <c r="T888">
        <f t="shared" si="290"/>
        <v>1.1437072896809007E-2</v>
      </c>
      <c r="U888">
        <f t="shared" si="291"/>
        <v>3.5623669678585433E-3</v>
      </c>
      <c r="V888">
        <f t="shared" si="292"/>
        <v>6.3278886929066233E-2</v>
      </c>
      <c r="W888">
        <f t="shared" si="293"/>
        <v>2.2499159797001327E-2</v>
      </c>
      <c r="X888">
        <f t="shared" si="294"/>
        <v>6.7384983592018971E-2</v>
      </c>
      <c r="Y888">
        <f t="shared" si="295"/>
        <v>1.874929983083444E-4</v>
      </c>
      <c r="Z888">
        <f t="shared" si="296"/>
        <v>2.8123949746251659E-3</v>
      </c>
      <c r="AA888">
        <f t="shared" si="297"/>
        <v>0.11586354822062112</v>
      </c>
      <c r="AB888">
        <f t="shared" si="298"/>
        <v>8.2911372528432115E-2</v>
      </c>
      <c r="AC888">
        <f t="shared" si="299"/>
        <v>6.0256874782332333E-2</v>
      </c>
      <c r="AD888">
        <f t="shared" si="300"/>
        <v>3.2880647113334356E-3</v>
      </c>
      <c r="AE888">
        <f t="shared" si="301"/>
        <v>3.0167342188315144E-2</v>
      </c>
      <c r="AG888">
        <f t="shared" si="302"/>
        <v>-0.98626652937898462</v>
      </c>
      <c r="AH888">
        <f t="shared" si="303"/>
        <v>0.20132970034400274</v>
      </c>
      <c r="AI888">
        <f t="shared" si="304"/>
        <v>-0.34825268756941347</v>
      </c>
      <c r="AK888" s="26">
        <f t="shared" si="305"/>
        <v>8.1666079746620102E-3</v>
      </c>
      <c r="AL888" s="26">
        <f t="shared" si="306"/>
        <v>1.1718961576712927E-2</v>
      </c>
      <c r="AM888" s="26">
        <f t="shared" si="307"/>
        <v>-5.4185750542176392E-3</v>
      </c>
      <c r="AN888" s="26">
        <f t="shared" si="308"/>
        <v>-22.319047619047609</v>
      </c>
      <c r="AO888" s="26">
        <f t="shared" si="309"/>
        <v>-24.178098455598452</v>
      </c>
      <c r="AP888" s="26">
        <f t="shared" si="310"/>
        <v>-23.905511111111146</v>
      </c>
      <c r="AS888" s="2">
        <v>44592</v>
      </c>
      <c r="AT888">
        <v>8.8000000000000007</v>
      </c>
      <c r="AU888">
        <v>2.9</v>
      </c>
      <c r="AV888">
        <v>47.4</v>
      </c>
      <c r="AW888">
        <v>10.1</v>
      </c>
      <c r="AX888">
        <v>26.87</v>
      </c>
      <c r="AY888">
        <v>0.2</v>
      </c>
      <c r="AZ888">
        <v>3</v>
      </c>
      <c r="BA888">
        <v>261.9468</v>
      </c>
      <c r="BB888">
        <v>161.5898</v>
      </c>
      <c r="BC888">
        <v>126.3857</v>
      </c>
      <c r="BD888">
        <v>3.5525000000000002</v>
      </c>
      <c r="BE888">
        <v>36.8919</v>
      </c>
      <c r="BF888">
        <v>-27.116700000000002</v>
      </c>
      <c r="BG888">
        <v>37.4651</v>
      </c>
      <c r="BH888">
        <v>37.64</v>
      </c>
    </row>
    <row r="889" spans="1:60" x14ac:dyDescent="0.25">
      <c r="A889" s="2">
        <v>44612</v>
      </c>
      <c r="B889">
        <v>12.6</v>
      </c>
      <c r="C889">
        <v>1</v>
      </c>
      <c r="D889">
        <v>61.7</v>
      </c>
      <c r="E889">
        <v>22.7</v>
      </c>
      <c r="F889">
        <v>46.14</v>
      </c>
      <c r="G889">
        <v>0.1</v>
      </c>
      <c r="H889">
        <v>2.5</v>
      </c>
      <c r="I889">
        <v>99.778000000000006</v>
      </c>
      <c r="J889">
        <v>51.021999999999998</v>
      </c>
      <c r="K889">
        <v>43.2089</v>
      </c>
      <c r="L889">
        <v>3.4805000000000001</v>
      </c>
      <c r="M889">
        <v>13.9261</v>
      </c>
      <c r="P889">
        <v>31.1</v>
      </c>
      <c r="S889">
        <f t="shared" si="289"/>
        <v>358.15549999999996</v>
      </c>
      <c r="T889">
        <f t="shared" si="290"/>
        <v>1.1812058893425697E-2</v>
      </c>
      <c r="U889">
        <f t="shared" si="291"/>
        <v>9.3746499154172193E-4</v>
      </c>
      <c r="V889">
        <f t="shared" si="292"/>
        <v>5.7841589978124247E-2</v>
      </c>
      <c r="W889">
        <f t="shared" si="293"/>
        <v>2.1280455307997086E-2</v>
      </c>
      <c r="X889">
        <f t="shared" si="294"/>
        <v>4.3254634709735049E-2</v>
      </c>
      <c r="Y889">
        <f t="shared" si="295"/>
        <v>9.3746499154172199E-5</v>
      </c>
      <c r="Z889">
        <f t="shared" si="296"/>
        <v>2.3436624788543046E-3</v>
      </c>
      <c r="AA889">
        <f t="shared" si="297"/>
        <v>9.3538381926049935E-2</v>
      </c>
      <c r="AB889">
        <f t="shared" si="298"/>
        <v>4.783133879844173E-2</v>
      </c>
      <c r="AC889">
        <f t="shared" si="299"/>
        <v>4.0506831073027105E-2</v>
      </c>
      <c r="AD889">
        <f t="shared" si="300"/>
        <v>3.2628469030609631E-3</v>
      </c>
      <c r="AE889">
        <f t="shared" si="301"/>
        <v>1.3055231218709173E-2</v>
      </c>
      <c r="AG889">
        <f t="shared" si="302"/>
        <v>-0.97271573786982635</v>
      </c>
      <c r="AH889">
        <f t="shared" si="303"/>
        <v>0.15061884407754145</v>
      </c>
      <c r="AI889">
        <f t="shared" si="304"/>
        <v>-0.77462159383321538</v>
      </c>
      <c r="AK889" s="26">
        <f t="shared" si="305"/>
        <v>1.0214207848889933E-2</v>
      </c>
      <c r="AL889" s="26">
        <f t="shared" si="306"/>
        <v>1.2585843930185053E-2</v>
      </c>
      <c r="AM889" s="26">
        <f t="shared" si="307"/>
        <v>-5.0631990369426616E-3</v>
      </c>
      <c r="AN889" s="26">
        <f t="shared" si="308"/>
        <v>-22.499047619047609</v>
      </c>
      <c r="AO889" s="26">
        <f t="shared" si="309"/>
        <v>-24.341800193050183</v>
      </c>
      <c r="AP889" s="26">
        <f t="shared" si="310"/>
        <v>-23.894042871189797</v>
      </c>
      <c r="AS889" s="2">
        <v>44591</v>
      </c>
      <c r="AT889">
        <v>8.1999999999999993</v>
      </c>
      <c r="AU889">
        <v>1.8</v>
      </c>
      <c r="AV889">
        <v>65.400000000000006</v>
      </c>
      <c r="AW889">
        <v>24.7</v>
      </c>
      <c r="AX889">
        <v>45.06</v>
      </c>
      <c r="AY889">
        <v>0.2</v>
      </c>
      <c r="AZ889">
        <v>2.7</v>
      </c>
      <c r="BA889">
        <v>133.83539999999999</v>
      </c>
      <c r="BB889">
        <v>81.305800000000005</v>
      </c>
      <c r="BC889">
        <v>52.887500000000003</v>
      </c>
      <c r="BD889">
        <v>3.6631999999999998</v>
      </c>
      <c r="BE889">
        <v>19.368300000000001</v>
      </c>
      <c r="BH889">
        <v>38.200000000000003</v>
      </c>
    </row>
    <row r="890" spans="1:60" x14ac:dyDescent="0.25">
      <c r="A890" s="2">
        <v>44611</v>
      </c>
      <c r="B890">
        <v>13.4</v>
      </c>
      <c r="C890">
        <v>0.1</v>
      </c>
      <c r="D890">
        <v>61.8</v>
      </c>
      <c r="E890">
        <v>21.5</v>
      </c>
      <c r="F890">
        <v>115.75</v>
      </c>
      <c r="G890">
        <v>0.1</v>
      </c>
      <c r="H890">
        <v>2.6</v>
      </c>
      <c r="I890">
        <v>89.5488</v>
      </c>
      <c r="J890">
        <v>65.962800000000001</v>
      </c>
      <c r="K890">
        <v>58.573900000000002</v>
      </c>
      <c r="L890">
        <v>3.2789000000000001</v>
      </c>
      <c r="M890">
        <v>22.9282</v>
      </c>
      <c r="P890">
        <v>31.27</v>
      </c>
      <c r="S890">
        <f t="shared" si="289"/>
        <v>455.54260000000005</v>
      </c>
      <c r="T890">
        <f t="shared" si="290"/>
        <v>1.2562030886659074E-2</v>
      </c>
      <c r="U890">
        <f t="shared" si="291"/>
        <v>9.3746499154172199E-5</v>
      </c>
      <c r="V890">
        <f t="shared" si="292"/>
        <v>5.7935336477278408E-2</v>
      </c>
      <c r="W890">
        <f t="shared" si="293"/>
        <v>2.0155497318147021E-2</v>
      </c>
      <c r="X890">
        <f t="shared" si="294"/>
        <v>0.10851157277095431</v>
      </c>
      <c r="Y890">
        <f t="shared" si="295"/>
        <v>9.3746499154172199E-5</v>
      </c>
      <c r="Z890">
        <f t="shared" si="296"/>
        <v>2.437408978008477E-3</v>
      </c>
      <c r="AA890">
        <f t="shared" si="297"/>
        <v>8.3948865034571343E-2</v>
      </c>
      <c r="AB890">
        <f t="shared" si="298"/>
        <v>6.1837815744068297E-2</v>
      </c>
      <c r="AC890">
        <f t="shared" si="299"/>
        <v>5.4910980668065663E-2</v>
      </c>
      <c r="AD890">
        <f t="shared" si="300"/>
        <v>3.0738539607661521E-3</v>
      </c>
      <c r="AE890">
        <f t="shared" si="301"/>
        <v>2.149438481906691E-2</v>
      </c>
      <c r="AG890">
        <f t="shared" si="302"/>
        <v>-0.9667683769572859</v>
      </c>
      <c r="AH890">
        <f t="shared" si="303"/>
        <v>0.22328372424842252</v>
      </c>
      <c r="AI890">
        <f t="shared" si="304"/>
        <v>-0.16686110090539169</v>
      </c>
      <c r="AK890" s="26">
        <f t="shared" si="305"/>
        <v>1.260505160153283E-2</v>
      </c>
      <c r="AL890" s="26">
        <f t="shared" si="306"/>
        <v>1.3097649865694727E-2</v>
      </c>
      <c r="AM890" s="26">
        <f t="shared" si="307"/>
        <v>-4.7180942843302875E-3</v>
      </c>
      <c r="AN890" s="26">
        <f t="shared" si="308"/>
        <v>-22.677380952380936</v>
      </c>
      <c r="AO890" s="26">
        <f t="shared" si="309"/>
        <v>-24.503605212355211</v>
      </c>
      <c r="AP890" s="26">
        <f t="shared" si="310"/>
        <v>-23.883312881022633</v>
      </c>
      <c r="AS890" s="2">
        <v>44590</v>
      </c>
      <c r="AT890">
        <v>8.9</v>
      </c>
      <c r="AU890">
        <v>0</v>
      </c>
      <c r="AV890">
        <v>63.6</v>
      </c>
      <c r="AW890">
        <v>27.4</v>
      </c>
      <c r="AX890">
        <v>19.28</v>
      </c>
      <c r="AY890">
        <v>0.2</v>
      </c>
      <c r="AZ890">
        <v>3</v>
      </c>
      <c r="BA890">
        <v>133.6454</v>
      </c>
      <c r="BB890">
        <v>78.778400000000005</v>
      </c>
      <c r="BC890">
        <v>54.154699999999998</v>
      </c>
      <c r="BD890">
        <v>3.5589</v>
      </c>
      <c r="BE890">
        <v>17.149100000000001</v>
      </c>
      <c r="BH890">
        <v>38.549999999999997</v>
      </c>
    </row>
    <row r="891" spans="1:60" x14ac:dyDescent="0.25">
      <c r="A891" s="2">
        <v>44610</v>
      </c>
      <c r="B891">
        <v>13.7</v>
      </c>
      <c r="C891">
        <v>16.2</v>
      </c>
      <c r="D891">
        <v>59.8</v>
      </c>
      <c r="E891">
        <v>23.5</v>
      </c>
      <c r="F891">
        <v>38.28</v>
      </c>
      <c r="G891">
        <v>0.1</v>
      </c>
      <c r="H891">
        <v>3.3</v>
      </c>
      <c r="I891">
        <v>145.3339</v>
      </c>
      <c r="J891">
        <v>114.0072</v>
      </c>
      <c r="K891">
        <v>76.947699999999998</v>
      </c>
      <c r="L891">
        <v>2.7183999999999999</v>
      </c>
      <c r="M891">
        <v>31.5078</v>
      </c>
      <c r="N891">
        <v>-35.076799999999999</v>
      </c>
      <c r="O891">
        <v>11.8765</v>
      </c>
      <c r="P891">
        <v>31.49</v>
      </c>
      <c r="S891">
        <f t="shared" si="289"/>
        <v>525.39499999999998</v>
      </c>
      <c r="T891">
        <f t="shared" si="290"/>
        <v>1.2843270384121589E-2</v>
      </c>
      <c r="U891">
        <f t="shared" si="291"/>
        <v>1.5186932862975894E-2</v>
      </c>
      <c r="V891">
        <f t="shared" si="292"/>
        <v>5.606040649419497E-2</v>
      </c>
      <c r="W891">
        <f t="shared" si="293"/>
        <v>2.2030427301230466E-2</v>
      </c>
      <c r="X891">
        <f t="shared" si="294"/>
        <v>3.5886159876217114E-2</v>
      </c>
      <c r="Y891">
        <f t="shared" si="295"/>
        <v>9.3746499154172199E-5</v>
      </c>
      <c r="Z891">
        <f t="shared" si="296"/>
        <v>3.0936344720876819E-3</v>
      </c>
      <c r="AA891">
        <f t="shared" si="297"/>
        <v>0.13624544333422545</v>
      </c>
      <c r="AB891">
        <f t="shared" si="298"/>
        <v>0.10687775878369539</v>
      </c>
      <c r="AC891">
        <f t="shared" si="299"/>
        <v>7.213577492965495E-2</v>
      </c>
      <c r="AD891">
        <f t="shared" si="300"/>
        <v>2.5484048330070169E-3</v>
      </c>
      <c r="AE891">
        <f t="shared" si="301"/>
        <v>2.9537459460498267E-2</v>
      </c>
      <c r="AG891">
        <f t="shared" si="302"/>
        <v>-0.95840816195484535</v>
      </c>
      <c r="AH891">
        <f t="shared" si="303"/>
        <v>0.17473203735048015</v>
      </c>
      <c r="AI891">
        <f t="shared" si="304"/>
        <v>-0.57502341729476958</v>
      </c>
      <c r="AK891" s="26">
        <f t="shared" si="305"/>
        <v>1.2261957271104601E-2</v>
      </c>
      <c r="AL891" s="26">
        <f t="shared" si="306"/>
        <v>1.0812082074268536E-2</v>
      </c>
      <c r="AM891" s="26">
        <f t="shared" si="307"/>
        <v>-4.6082357541164243E-3</v>
      </c>
      <c r="AN891" s="26">
        <f t="shared" si="308"/>
        <v>-22.851904761904763</v>
      </c>
      <c r="AO891" s="26">
        <f t="shared" si="309"/>
        <v>-24.660032175032178</v>
      </c>
      <c r="AP891" s="26">
        <f t="shared" si="310"/>
        <v>-23.872177384464145</v>
      </c>
      <c r="AS891" s="2">
        <v>44589</v>
      </c>
      <c r="AT891">
        <v>9</v>
      </c>
      <c r="AU891">
        <v>0</v>
      </c>
      <c r="AV891">
        <v>66.2</v>
      </c>
      <c r="AW891">
        <v>18.3</v>
      </c>
      <c r="AX891">
        <v>44.77</v>
      </c>
      <c r="AY891">
        <v>0.1</v>
      </c>
      <c r="AZ891">
        <v>2.7</v>
      </c>
      <c r="BA891">
        <v>228.6696</v>
      </c>
      <c r="BB891">
        <v>148.9109</v>
      </c>
      <c r="BC891">
        <v>104.8348</v>
      </c>
      <c r="BD891">
        <v>3.5324</v>
      </c>
      <c r="BE891">
        <v>30.678899999999999</v>
      </c>
      <c r="BF891">
        <v>-20.262499999999999</v>
      </c>
      <c r="BG891">
        <v>57.475700000000003</v>
      </c>
      <c r="BH891">
        <v>38.909999999999997</v>
      </c>
    </row>
    <row r="892" spans="1:60" x14ac:dyDescent="0.25">
      <c r="A892" s="2">
        <v>44609</v>
      </c>
      <c r="B892">
        <v>11.2</v>
      </c>
      <c r="C892">
        <v>7.5</v>
      </c>
      <c r="D892">
        <v>53.2</v>
      </c>
      <c r="E892">
        <v>28.1</v>
      </c>
      <c r="F892">
        <v>80.38</v>
      </c>
      <c r="G892">
        <v>0.1</v>
      </c>
      <c r="H892">
        <v>2.9</v>
      </c>
      <c r="I892">
        <v>96.544799999999995</v>
      </c>
      <c r="J892">
        <v>97.730599999999995</v>
      </c>
      <c r="K892">
        <v>56.464799999999997</v>
      </c>
      <c r="L892">
        <v>2.6901999999999999</v>
      </c>
      <c r="M892">
        <v>22.828199999999999</v>
      </c>
      <c r="N892">
        <v>-32.180700000000002</v>
      </c>
      <c r="O892">
        <v>21.7193</v>
      </c>
      <c r="P892">
        <v>31.73</v>
      </c>
      <c r="S892">
        <f t="shared" si="289"/>
        <v>459.63859999999994</v>
      </c>
      <c r="T892">
        <f t="shared" si="290"/>
        <v>1.0499607905267284E-2</v>
      </c>
      <c r="U892">
        <f t="shared" si="291"/>
        <v>7.0309874365629141E-3</v>
      </c>
      <c r="V892">
        <f t="shared" si="292"/>
        <v>4.9873137550019611E-2</v>
      </c>
      <c r="W892">
        <f t="shared" si="293"/>
        <v>2.6342766262322386E-2</v>
      </c>
      <c r="X892">
        <f t="shared" si="294"/>
        <v>7.5353436020123607E-2</v>
      </c>
      <c r="Y892">
        <f t="shared" si="295"/>
        <v>9.3746499154172199E-5</v>
      </c>
      <c r="Z892">
        <f t="shared" si="296"/>
        <v>2.7186484754709935E-3</v>
      </c>
      <c r="AA892">
        <f t="shared" si="297"/>
        <v>9.0507370115397223E-2</v>
      </c>
      <c r="AB892">
        <f t="shared" si="298"/>
        <v>9.1619016102367404E-2</v>
      </c>
      <c r="AC892">
        <f t="shared" si="299"/>
        <v>5.2933773254405014E-2</v>
      </c>
      <c r="AD892">
        <f t="shared" si="300"/>
        <v>2.52196832024554E-3</v>
      </c>
      <c r="AE892">
        <f t="shared" si="301"/>
        <v>2.1400638319912735E-2</v>
      </c>
      <c r="AG892">
        <f t="shared" si="302"/>
        <v>-0.94907981911199546</v>
      </c>
      <c r="AH892">
        <f t="shared" si="303"/>
        <v>0.1933129684688337</v>
      </c>
      <c r="AI892">
        <f t="shared" si="304"/>
        <v>-0.42008073459485545</v>
      </c>
      <c r="AK892" s="26">
        <f t="shared" si="305"/>
        <v>1.5421149562874603E-2</v>
      </c>
      <c r="AL892" s="26">
        <f t="shared" si="306"/>
        <v>1.1025070455546404E-2</v>
      </c>
      <c r="AM892" s="26">
        <f t="shared" si="307"/>
        <v>-3.6540934613263354E-3</v>
      </c>
      <c r="AN892" s="26">
        <f t="shared" si="308"/>
        <v>-23.029761904761905</v>
      </c>
      <c r="AO892" s="26">
        <f t="shared" si="309"/>
        <v>-24.809800514800514</v>
      </c>
      <c r="AP892" s="26">
        <f t="shared" si="310"/>
        <v>-23.85983362831864</v>
      </c>
      <c r="AS892" s="2">
        <v>44588</v>
      </c>
      <c r="AT892">
        <v>10</v>
      </c>
      <c r="AU892">
        <v>5</v>
      </c>
      <c r="AV892">
        <v>75.5</v>
      </c>
      <c r="AW892">
        <v>24.5</v>
      </c>
      <c r="AX892">
        <v>34.799999999999997</v>
      </c>
      <c r="AY892">
        <v>0.2</v>
      </c>
      <c r="AZ892">
        <v>2.8</v>
      </c>
      <c r="BA892">
        <v>215.3175</v>
      </c>
      <c r="BB892">
        <v>179.53229999999999</v>
      </c>
      <c r="BC892">
        <v>106.83159999999999</v>
      </c>
      <c r="BD892">
        <v>4.2057000000000002</v>
      </c>
      <c r="BE892">
        <v>23.021000000000001</v>
      </c>
      <c r="BF892">
        <v>-19.603000000000002</v>
      </c>
      <c r="BG892">
        <v>60.3247</v>
      </c>
      <c r="BH892">
        <v>39.46</v>
      </c>
    </row>
    <row r="893" spans="1:60" x14ac:dyDescent="0.25">
      <c r="A893" s="2">
        <v>44608</v>
      </c>
      <c r="B893">
        <v>10.1</v>
      </c>
      <c r="C893">
        <v>0</v>
      </c>
      <c r="D893">
        <v>60.1</v>
      </c>
      <c r="E893">
        <v>24.6</v>
      </c>
      <c r="F893">
        <v>34.020000000000003</v>
      </c>
      <c r="G893">
        <v>0.1</v>
      </c>
      <c r="H893">
        <v>2.8</v>
      </c>
      <c r="I893">
        <v>168.37719999999999</v>
      </c>
      <c r="J893">
        <v>125.5642</v>
      </c>
      <c r="K893">
        <v>83.560900000000004</v>
      </c>
      <c r="L893">
        <v>2.6718000000000002</v>
      </c>
      <c r="M893">
        <v>23.646599999999999</v>
      </c>
      <c r="N893">
        <v>-28.038399999999999</v>
      </c>
      <c r="O893">
        <v>13.3482</v>
      </c>
      <c r="P893">
        <v>31.97</v>
      </c>
      <c r="S893">
        <f t="shared" si="289"/>
        <v>535.54070000000013</v>
      </c>
      <c r="T893">
        <f t="shared" si="290"/>
        <v>9.4683964145713916E-3</v>
      </c>
      <c r="U893">
        <f t="shared" si="291"/>
        <v>0</v>
      </c>
      <c r="V893">
        <f t="shared" si="292"/>
        <v>5.6341645991657488E-2</v>
      </c>
      <c r="W893">
        <f t="shared" si="293"/>
        <v>2.306163879192636E-2</v>
      </c>
      <c r="X893">
        <f t="shared" si="294"/>
        <v>3.1892559012249383E-2</v>
      </c>
      <c r="Y893">
        <f t="shared" si="295"/>
        <v>9.3746499154172199E-5</v>
      </c>
      <c r="Z893">
        <f t="shared" si="296"/>
        <v>2.624901976316821E-3</v>
      </c>
      <c r="AA893">
        <f t="shared" si="297"/>
        <v>0.1578477303738188</v>
      </c>
      <c r="AB893">
        <f t="shared" si="298"/>
        <v>0.11771204169094308</v>
      </c>
      <c r="AC893">
        <f t="shared" si="299"/>
        <v>7.8335418411718677E-2</v>
      </c>
      <c r="AD893">
        <f t="shared" si="300"/>
        <v>2.5047189644011726E-3</v>
      </c>
      <c r="AE893">
        <f t="shared" si="301"/>
        <v>2.2167859668990479E-2</v>
      </c>
      <c r="AG893">
        <f t="shared" si="302"/>
        <v>-0.93974307743116847</v>
      </c>
      <c r="AH893">
        <f t="shared" si="303"/>
        <v>0.14565074835486611</v>
      </c>
      <c r="AI893">
        <f t="shared" si="304"/>
        <v>-0.82149403313702851</v>
      </c>
      <c r="AK893" s="26">
        <f t="shared" si="305"/>
        <v>1.5600225464794615E-2</v>
      </c>
      <c r="AL893" s="26">
        <f t="shared" si="306"/>
        <v>1.0139100841287912E-2</v>
      </c>
      <c r="AM893" s="26">
        <f t="shared" si="307"/>
        <v>-3.2309092351137658E-3</v>
      </c>
      <c r="AN893" s="26">
        <f t="shared" si="308"/>
        <v>-23.20904761904761</v>
      </c>
      <c r="AO893" s="26">
        <f t="shared" si="309"/>
        <v>-24.952017374517375</v>
      </c>
      <c r="AP893" s="26">
        <f t="shared" si="310"/>
        <v>-23.846593117010869</v>
      </c>
      <c r="AS893" s="2">
        <v>44587</v>
      </c>
      <c r="AT893">
        <v>10.5</v>
      </c>
      <c r="AU893">
        <v>2</v>
      </c>
      <c r="AV893">
        <v>75</v>
      </c>
      <c r="AW893">
        <v>14.8</v>
      </c>
      <c r="AX893">
        <v>21</v>
      </c>
      <c r="AY893">
        <v>0.2</v>
      </c>
      <c r="AZ893">
        <v>2.7</v>
      </c>
      <c r="BA893">
        <v>275.1302</v>
      </c>
      <c r="BB893">
        <v>239.91810000000001</v>
      </c>
      <c r="BC893">
        <v>204.41419999999999</v>
      </c>
      <c r="BD893">
        <v>5.3579999999999997</v>
      </c>
      <c r="BE893">
        <v>30.435400000000001</v>
      </c>
      <c r="BF893">
        <v>-19.629799999999999</v>
      </c>
      <c r="BG893">
        <v>57.028599999999997</v>
      </c>
      <c r="BH893">
        <v>40.049999999999997</v>
      </c>
    </row>
    <row r="894" spans="1:60" x14ac:dyDescent="0.25">
      <c r="A894" s="2">
        <v>44607</v>
      </c>
      <c r="B894">
        <v>10</v>
      </c>
      <c r="C894">
        <v>6.2</v>
      </c>
      <c r="D894">
        <v>64.099999999999994</v>
      </c>
      <c r="E894">
        <v>13.8</v>
      </c>
      <c r="F894">
        <v>51.84</v>
      </c>
      <c r="G894">
        <v>0.1</v>
      </c>
      <c r="H894">
        <v>3.1</v>
      </c>
      <c r="I894">
        <v>240.9752</v>
      </c>
      <c r="J894">
        <v>200.81190000000001</v>
      </c>
      <c r="K894">
        <v>112.6016</v>
      </c>
      <c r="L894">
        <v>3.0920000000000001</v>
      </c>
      <c r="M894">
        <v>31.049900000000001</v>
      </c>
      <c r="N894">
        <v>-29.366</v>
      </c>
      <c r="O894">
        <v>10.822900000000001</v>
      </c>
      <c r="P894">
        <v>32.270000000000003</v>
      </c>
      <c r="S894">
        <f t="shared" si="289"/>
        <v>737.67059999999992</v>
      </c>
      <c r="T894">
        <f t="shared" si="290"/>
        <v>9.3746499154172182E-3</v>
      </c>
      <c r="U894">
        <f t="shared" si="291"/>
        <v>5.8122829475586758E-3</v>
      </c>
      <c r="V894">
        <f t="shared" si="292"/>
        <v>6.0091505957824372E-2</v>
      </c>
      <c r="W894">
        <f t="shared" si="293"/>
        <v>1.2937016883275762E-2</v>
      </c>
      <c r="X894">
        <f t="shared" si="294"/>
        <v>4.8598185161522867E-2</v>
      </c>
      <c r="Y894">
        <f t="shared" si="295"/>
        <v>9.3746499154172199E-5</v>
      </c>
      <c r="Z894">
        <f t="shared" si="296"/>
        <v>2.9061414737793379E-3</v>
      </c>
      <c r="AA894">
        <f t="shared" si="297"/>
        <v>0.22590581382976474</v>
      </c>
      <c r="AB894">
        <f t="shared" si="298"/>
        <v>0.18825412613497711</v>
      </c>
      <c r="AC894">
        <f t="shared" si="299"/>
        <v>0.10556005799158436</v>
      </c>
      <c r="AD894">
        <f t="shared" si="300"/>
        <v>2.8986417538470043E-3</v>
      </c>
      <c r="AE894">
        <f t="shared" si="301"/>
        <v>2.9108194240871313E-2</v>
      </c>
      <c r="AG894">
        <f t="shared" si="302"/>
        <v>-0.92750755527511553</v>
      </c>
      <c r="AH894">
        <f t="shared" si="303"/>
        <v>0.16892172307940373</v>
      </c>
      <c r="AI894">
        <f t="shared" si="304"/>
        <v>-0.62603016660913713</v>
      </c>
      <c r="AK894" s="26">
        <f t="shared" si="305"/>
        <v>1.7332569254724095E-2</v>
      </c>
      <c r="AL894" s="26">
        <f t="shared" si="306"/>
        <v>1.0031866202612344E-2</v>
      </c>
      <c r="AM894" s="26">
        <f t="shared" si="307"/>
        <v>-3.4757740879921006E-3</v>
      </c>
      <c r="AN894" s="26">
        <f t="shared" si="308"/>
        <v>-23.382619047619045</v>
      </c>
      <c r="AO894" s="26">
        <f t="shared" si="309"/>
        <v>-25.082221685971696</v>
      </c>
      <c r="AP894" s="26">
        <f t="shared" si="310"/>
        <v>-23.831431268436631</v>
      </c>
      <c r="AS894" s="2">
        <v>44586</v>
      </c>
      <c r="AT894">
        <v>10.4</v>
      </c>
      <c r="AU894">
        <v>11.8</v>
      </c>
      <c r="AV894">
        <v>25.5</v>
      </c>
      <c r="AW894">
        <v>5.2</v>
      </c>
      <c r="AX894">
        <v>27.53</v>
      </c>
      <c r="AY894">
        <v>0.2</v>
      </c>
      <c r="AZ894">
        <v>2.7</v>
      </c>
      <c r="BA894">
        <v>291.55779999999999</v>
      </c>
      <c r="BB894">
        <v>262.37450000000001</v>
      </c>
      <c r="BC894">
        <v>249.57730000000001</v>
      </c>
      <c r="BD894">
        <v>5.0022000000000002</v>
      </c>
      <c r="BE894">
        <v>41.574399999999997</v>
      </c>
      <c r="BF894">
        <v>-10.8553</v>
      </c>
      <c r="BG894">
        <v>74.098200000000006</v>
      </c>
      <c r="BH894">
        <v>40.729999999999997</v>
      </c>
    </row>
    <row r="895" spans="1:60" x14ac:dyDescent="0.25">
      <c r="A895" s="2">
        <v>44606</v>
      </c>
      <c r="B895">
        <v>9.3000000000000007</v>
      </c>
      <c r="C895">
        <v>1.4</v>
      </c>
      <c r="D895">
        <v>70.599999999999994</v>
      </c>
      <c r="E895">
        <v>5.3</v>
      </c>
      <c r="F895">
        <v>92.42</v>
      </c>
      <c r="G895">
        <v>0.2</v>
      </c>
      <c r="H895">
        <v>2.8</v>
      </c>
      <c r="I895">
        <v>178.94630000000001</v>
      </c>
      <c r="J895">
        <v>145.0641</v>
      </c>
      <c r="K895">
        <v>85.104299999999995</v>
      </c>
      <c r="L895">
        <v>3.5259</v>
      </c>
      <c r="M895">
        <v>26.417000000000002</v>
      </c>
      <c r="N895">
        <v>-34.459899999999998</v>
      </c>
      <c r="O895">
        <v>21.933199999999999</v>
      </c>
      <c r="P895">
        <v>32.630000000000003</v>
      </c>
      <c r="S895">
        <f t="shared" si="289"/>
        <v>621.07759999999996</v>
      </c>
      <c r="T895">
        <f t="shared" si="290"/>
        <v>8.7184244213380137E-3</v>
      </c>
      <c r="U895">
        <f t="shared" si="291"/>
        <v>1.3124509881584105E-3</v>
      </c>
      <c r="V895">
        <f t="shared" si="292"/>
        <v>6.6185028402845555E-2</v>
      </c>
      <c r="W895">
        <f t="shared" si="293"/>
        <v>4.9685644551711256E-3</v>
      </c>
      <c r="X895">
        <f t="shared" si="294"/>
        <v>8.6640514518285944E-2</v>
      </c>
      <c r="Y895">
        <f t="shared" si="295"/>
        <v>1.874929983083444E-4</v>
      </c>
      <c r="Z895">
        <f t="shared" si="296"/>
        <v>2.624901976316821E-3</v>
      </c>
      <c r="AA895">
        <f t="shared" si="297"/>
        <v>0.16775589161592244</v>
      </c>
      <c r="AB895">
        <f t="shared" si="298"/>
        <v>0.13599251527950751</v>
      </c>
      <c r="AC895">
        <f t="shared" si="299"/>
        <v>7.9782301879664161E-2</v>
      </c>
      <c r="AD895">
        <f t="shared" si="300"/>
        <v>3.3054078136769572E-3</v>
      </c>
      <c r="AE895">
        <f t="shared" si="301"/>
        <v>2.4765012681557671E-2</v>
      </c>
      <c r="AG895">
        <f t="shared" si="302"/>
        <v>-0.91236905412166414</v>
      </c>
      <c r="AH895">
        <f t="shared" si="303"/>
        <v>0.19540239044198188</v>
      </c>
      <c r="AI895">
        <f t="shared" si="304"/>
        <v>-0.40254048935969783</v>
      </c>
      <c r="AK895" s="26">
        <f t="shared" si="305"/>
        <v>1.9511016921176155E-2</v>
      </c>
      <c r="AL895" s="26">
        <f t="shared" si="306"/>
        <v>1.0034051630170182E-2</v>
      </c>
      <c r="AM895" s="26">
        <f t="shared" si="307"/>
        <v>-3.3240331026520853E-3</v>
      </c>
      <c r="AN895" s="26">
        <f t="shared" si="308"/>
        <v>-23.547380952380969</v>
      </c>
      <c r="AO895" s="26">
        <f t="shared" si="309"/>
        <v>-25.198185328185325</v>
      </c>
      <c r="AP895" s="26">
        <f t="shared" si="310"/>
        <v>-23.812482989183927</v>
      </c>
      <c r="AS895" s="2">
        <v>44585</v>
      </c>
      <c r="AT895">
        <v>8.9</v>
      </c>
      <c r="AU895">
        <v>2.7</v>
      </c>
      <c r="AV895">
        <v>34.4</v>
      </c>
      <c r="AW895">
        <v>5.4</v>
      </c>
      <c r="AX895">
        <v>38.869999999999997</v>
      </c>
      <c r="AY895">
        <v>0.2</v>
      </c>
      <c r="AZ895">
        <v>2.8</v>
      </c>
      <c r="BA895">
        <v>290.08760000000001</v>
      </c>
      <c r="BB895">
        <v>245.99760000000001</v>
      </c>
      <c r="BC895">
        <v>230.1557</v>
      </c>
      <c r="BD895">
        <v>3.8595000000000002</v>
      </c>
      <c r="BE895">
        <v>36.901600000000002</v>
      </c>
      <c r="BF895">
        <v>-12.421900000000001</v>
      </c>
      <c r="BG895">
        <v>75.430899999999994</v>
      </c>
      <c r="BH895">
        <v>41.45</v>
      </c>
    </row>
    <row r="896" spans="1:60" x14ac:dyDescent="0.25">
      <c r="A896" s="2">
        <v>44605</v>
      </c>
      <c r="B896">
        <v>9.6</v>
      </c>
      <c r="C896">
        <v>0</v>
      </c>
      <c r="D896">
        <v>67.5</v>
      </c>
      <c r="E896">
        <v>4.5</v>
      </c>
      <c r="F896">
        <v>126.48</v>
      </c>
      <c r="G896">
        <v>0.2</v>
      </c>
      <c r="H896">
        <v>2.6</v>
      </c>
      <c r="I896">
        <v>143.58680000000001</v>
      </c>
      <c r="J896">
        <v>76.543899999999994</v>
      </c>
      <c r="K896">
        <v>51.7789</v>
      </c>
      <c r="L896">
        <v>3.5623999999999998</v>
      </c>
      <c r="M896">
        <v>16.9497</v>
      </c>
      <c r="P896">
        <v>32.99</v>
      </c>
      <c r="S896">
        <f t="shared" si="289"/>
        <v>503.30170000000004</v>
      </c>
      <c r="T896">
        <f t="shared" si="290"/>
        <v>8.9996639188005302E-3</v>
      </c>
      <c r="U896">
        <f t="shared" si="291"/>
        <v>0</v>
      </c>
      <c r="V896">
        <f t="shared" si="292"/>
        <v>6.3278886929066233E-2</v>
      </c>
      <c r="W896">
        <f t="shared" si="293"/>
        <v>4.2185924619377486E-3</v>
      </c>
      <c r="X896">
        <f t="shared" si="294"/>
        <v>0.11857057213019699</v>
      </c>
      <c r="Y896">
        <f t="shared" si="295"/>
        <v>1.874929983083444E-4</v>
      </c>
      <c r="Z896">
        <f t="shared" si="296"/>
        <v>2.437408978008477E-3</v>
      </c>
      <c r="AA896">
        <f t="shared" si="297"/>
        <v>0.13460759824750293</v>
      </c>
      <c r="AB896">
        <f t="shared" si="298"/>
        <v>7.1757226566070406E-2</v>
      </c>
      <c r="AC896">
        <f t="shared" si="299"/>
        <v>4.8540906050539664E-2</v>
      </c>
      <c r="AD896">
        <f t="shared" si="300"/>
        <v>3.3396252858682298E-3</v>
      </c>
      <c r="AE896">
        <f t="shared" si="301"/>
        <v>1.5889750367134723E-2</v>
      </c>
      <c r="AG896">
        <f t="shared" si="302"/>
        <v>-0.89722809432282347</v>
      </c>
      <c r="AH896">
        <f t="shared" si="303"/>
        <v>0.21358236778345305</v>
      </c>
      <c r="AI896">
        <f t="shared" si="304"/>
        <v>-0.24867561705329566</v>
      </c>
      <c r="AK896" s="26">
        <f t="shared" si="305"/>
        <v>1.5425084683779539E-2</v>
      </c>
      <c r="AL896" s="26">
        <f t="shared" si="306"/>
        <v>5.752665331963891E-3</v>
      </c>
      <c r="AM896" s="26">
        <f t="shared" si="307"/>
        <v>-3.2551261552469513E-3</v>
      </c>
      <c r="AN896" s="26">
        <f t="shared" si="308"/>
        <v>-23.699761904761907</v>
      </c>
      <c r="AO896" s="26">
        <f t="shared" si="309"/>
        <v>-25.300341055341057</v>
      </c>
      <c r="AP896" s="26">
        <f t="shared" si="310"/>
        <v>-23.790947492625435</v>
      </c>
      <c r="AS896" s="2">
        <v>44584</v>
      </c>
      <c r="AT896">
        <v>8.6999999999999993</v>
      </c>
      <c r="AU896">
        <v>3.2</v>
      </c>
      <c r="AV896">
        <v>22.3</v>
      </c>
      <c r="AW896">
        <v>6.5</v>
      </c>
      <c r="AX896">
        <v>26.05</v>
      </c>
      <c r="AY896">
        <v>0.2</v>
      </c>
      <c r="AZ896">
        <v>2.7</v>
      </c>
      <c r="BA896">
        <v>293.83870000000002</v>
      </c>
      <c r="BB896">
        <v>211.46549999999999</v>
      </c>
      <c r="BC896">
        <v>175.51410000000001</v>
      </c>
      <c r="BD896">
        <v>3.5935000000000001</v>
      </c>
      <c r="BE896">
        <v>14.8406</v>
      </c>
      <c r="BH896">
        <v>42.15</v>
      </c>
    </row>
    <row r="897" spans="1:60" x14ac:dyDescent="0.25">
      <c r="A897" s="2">
        <v>44604</v>
      </c>
      <c r="B897">
        <v>10.6</v>
      </c>
      <c r="C897">
        <v>0</v>
      </c>
      <c r="D897">
        <v>69.400000000000006</v>
      </c>
      <c r="E897">
        <v>8.4</v>
      </c>
      <c r="F897">
        <v>123.25</v>
      </c>
      <c r="G897">
        <v>0.2</v>
      </c>
      <c r="H897">
        <v>2.8</v>
      </c>
      <c r="I897">
        <v>257.3252</v>
      </c>
      <c r="J897">
        <v>173.3502</v>
      </c>
      <c r="K897">
        <v>89.946899999999999</v>
      </c>
      <c r="L897">
        <v>3.552</v>
      </c>
      <c r="M897">
        <v>17.3568</v>
      </c>
      <c r="P897">
        <v>33.25</v>
      </c>
      <c r="S897">
        <f t="shared" si="289"/>
        <v>756.18110000000001</v>
      </c>
      <c r="T897">
        <f t="shared" si="290"/>
        <v>9.9371289103422512E-3</v>
      </c>
      <c r="U897">
        <f t="shared" si="291"/>
        <v>0</v>
      </c>
      <c r="V897">
        <f t="shared" si="292"/>
        <v>6.506007041299551E-2</v>
      </c>
      <c r="W897">
        <f t="shared" si="293"/>
        <v>7.8747059289504644E-3</v>
      </c>
      <c r="X897">
        <f t="shared" si="294"/>
        <v>0.11554256020751723</v>
      </c>
      <c r="Y897">
        <f t="shared" si="295"/>
        <v>1.874929983083444E-4</v>
      </c>
      <c r="Z897">
        <f t="shared" si="296"/>
        <v>2.624901976316821E-3</v>
      </c>
      <c r="AA897">
        <f t="shared" si="297"/>
        <v>0.24123336644147189</v>
      </c>
      <c r="AB897">
        <f t="shared" si="298"/>
        <v>0.16250974377675581</v>
      </c>
      <c r="AC897">
        <f t="shared" si="299"/>
        <v>8.4322069847704101E-2</v>
      </c>
      <c r="AD897">
        <f t="shared" si="300"/>
        <v>3.3298756499561964E-3</v>
      </c>
      <c r="AE897">
        <f t="shared" si="301"/>
        <v>1.6271392365191359E-2</v>
      </c>
      <c r="AG897">
        <f t="shared" si="302"/>
        <v>-0.88692338822620664</v>
      </c>
      <c r="AH897">
        <f t="shared" si="303"/>
        <v>0.21749825279962198</v>
      </c>
      <c r="AI897">
        <f t="shared" si="304"/>
        <v>-0.21293362039935715</v>
      </c>
      <c r="AK897" s="26">
        <f t="shared" si="305"/>
        <v>7.968434571628602E-3</v>
      </c>
      <c r="AL897" s="26">
        <f t="shared" si="306"/>
        <v>3.5054515317596291E-3</v>
      </c>
      <c r="AM897" s="26">
        <f t="shared" si="307"/>
        <v>-3.4798422104094506E-3</v>
      </c>
      <c r="AN897" s="26">
        <f t="shared" si="308"/>
        <v>-23.836190476190481</v>
      </c>
      <c r="AO897" s="26">
        <f t="shared" si="309"/>
        <v>-25.387142857142848</v>
      </c>
      <c r="AP897" s="26">
        <f t="shared" si="310"/>
        <v>-23.766952999016773</v>
      </c>
      <c r="AS897" s="2">
        <v>44583</v>
      </c>
      <c r="AT897">
        <v>8.6</v>
      </c>
      <c r="AU897">
        <v>3.3</v>
      </c>
      <c r="AV897">
        <v>42.9</v>
      </c>
      <c r="AW897">
        <v>10.199999999999999</v>
      </c>
      <c r="AX897">
        <v>21.66</v>
      </c>
      <c r="AY897">
        <v>0.2</v>
      </c>
      <c r="AZ897">
        <v>3</v>
      </c>
      <c r="BA897">
        <v>274.15940000000001</v>
      </c>
      <c r="BB897">
        <v>167.04239999999999</v>
      </c>
      <c r="BC897">
        <v>174.00919999999999</v>
      </c>
      <c r="BD897">
        <v>3.6253000000000002</v>
      </c>
      <c r="BE897">
        <v>21.782299999999999</v>
      </c>
      <c r="BH897">
        <v>42.7</v>
      </c>
    </row>
    <row r="898" spans="1:60" x14ac:dyDescent="0.25">
      <c r="A898" s="2">
        <v>44603</v>
      </c>
      <c r="B898">
        <v>10.8</v>
      </c>
      <c r="C898">
        <v>0</v>
      </c>
      <c r="D898">
        <v>52</v>
      </c>
      <c r="E898">
        <v>12.7</v>
      </c>
      <c r="F898">
        <v>59.1</v>
      </c>
      <c r="G898">
        <v>0.2</v>
      </c>
      <c r="H898">
        <v>2.8</v>
      </c>
      <c r="I898">
        <v>277.13650000000001</v>
      </c>
      <c r="J898">
        <v>200.83850000000001</v>
      </c>
      <c r="K898">
        <v>125.8219</v>
      </c>
      <c r="L898">
        <v>3.5335999999999999</v>
      </c>
      <c r="M898">
        <v>23.194800000000001</v>
      </c>
      <c r="N898">
        <v>-36.1935</v>
      </c>
      <c r="O898">
        <v>13.4117</v>
      </c>
      <c r="P898">
        <v>33.6</v>
      </c>
      <c r="S898">
        <f t="shared" ref="S898:S961" si="311">SUM(B898:M898)</f>
        <v>768.12530000000004</v>
      </c>
      <c r="T898">
        <f t="shared" si="290"/>
        <v>1.0124621908650598E-2</v>
      </c>
      <c r="U898">
        <f t="shared" si="291"/>
        <v>0</v>
      </c>
      <c r="V898">
        <f t="shared" si="292"/>
        <v>4.8748179560169538E-2</v>
      </c>
      <c r="W898">
        <f t="shared" si="293"/>
        <v>1.1905805392579868E-2</v>
      </c>
      <c r="X898">
        <f t="shared" si="294"/>
        <v>5.5404181000115765E-2</v>
      </c>
      <c r="Y898">
        <f t="shared" si="295"/>
        <v>1.874929983083444E-4</v>
      </c>
      <c r="Z898">
        <f t="shared" si="296"/>
        <v>2.624901976316821E-3</v>
      </c>
      <c r="AA898">
        <f t="shared" si="297"/>
        <v>0.25980576662840243</v>
      </c>
      <c r="AB898">
        <f t="shared" si="298"/>
        <v>0.18827906270375214</v>
      </c>
      <c r="AC898">
        <f t="shared" si="299"/>
        <v>0.11795362641926338</v>
      </c>
      <c r="AD898">
        <f t="shared" si="300"/>
        <v>3.3126262941118286E-3</v>
      </c>
      <c r="AE898">
        <f t="shared" si="301"/>
        <v>2.174431298581193E-2</v>
      </c>
      <c r="AG898">
        <f t="shared" si="302"/>
        <v>-0.87229983853833382</v>
      </c>
      <c r="AH898">
        <f t="shared" si="303"/>
        <v>0.15073949582195284</v>
      </c>
      <c r="AI898">
        <f t="shared" si="304"/>
        <v>-0.7696985435868493</v>
      </c>
      <c r="AK898" s="26">
        <f t="shared" si="305"/>
        <v>2.8062858277636271E-3</v>
      </c>
      <c r="AL898" s="26">
        <f t="shared" si="306"/>
        <v>8.7993097333066705E-4</v>
      </c>
      <c r="AM898" s="26">
        <f t="shared" si="307"/>
        <v>-3.5288225125696682E-3</v>
      </c>
      <c r="AN898" s="26">
        <f t="shared" si="308"/>
        <v>-23.956428571428575</v>
      </c>
      <c r="AO898" s="26">
        <f t="shared" si="309"/>
        <v>-25.461719755469758</v>
      </c>
      <c r="AP898" s="26">
        <f t="shared" si="310"/>
        <v>-23.738726843657879</v>
      </c>
      <c r="AS898" s="2">
        <v>44582</v>
      </c>
      <c r="AT898">
        <v>8.6999999999999993</v>
      </c>
      <c r="AU898">
        <v>41.3</v>
      </c>
      <c r="AV898">
        <v>87.2</v>
      </c>
      <c r="AW898">
        <v>16.899999999999999</v>
      </c>
      <c r="AX898">
        <v>45.68</v>
      </c>
      <c r="AY898">
        <v>0.2</v>
      </c>
      <c r="AZ898">
        <v>2.9</v>
      </c>
      <c r="BA898">
        <v>262.02379999999999</v>
      </c>
      <c r="BB898">
        <v>191.4982</v>
      </c>
      <c r="BC898">
        <v>151.6079</v>
      </c>
      <c r="BD898">
        <v>3.6587000000000001</v>
      </c>
      <c r="BE898">
        <v>31.993600000000001</v>
      </c>
      <c r="BF898">
        <v>1.7755000000000001</v>
      </c>
      <c r="BG898">
        <v>62.939599999999999</v>
      </c>
      <c r="BH898">
        <v>43.28</v>
      </c>
    </row>
    <row r="899" spans="1:60" x14ac:dyDescent="0.25">
      <c r="A899" s="2">
        <v>44602</v>
      </c>
      <c r="B899">
        <v>10.3</v>
      </c>
      <c r="C899">
        <v>2.2000000000000002</v>
      </c>
      <c r="D899">
        <v>56.9</v>
      </c>
      <c r="E899">
        <v>10.3</v>
      </c>
      <c r="F899">
        <v>66.84</v>
      </c>
      <c r="G899">
        <v>0.2</v>
      </c>
      <c r="H899">
        <v>2.9</v>
      </c>
      <c r="I899">
        <v>238.01679999999999</v>
      </c>
      <c r="J899">
        <v>241.9383</v>
      </c>
      <c r="K899">
        <v>161.37100000000001</v>
      </c>
      <c r="L899">
        <v>4.0205000000000002</v>
      </c>
      <c r="M899">
        <v>20.185400000000001</v>
      </c>
      <c r="N899">
        <v>-28.131</v>
      </c>
      <c r="O899">
        <v>18.1569</v>
      </c>
      <c r="P899">
        <v>34.020000000000003</v>
      </c>
      <c r="S899">
        <f t="shared" si="311"/>
        <v>815.17199999999991</v>
      </c>
      <c r="T899">
        <f t="shared" si="290"/>
        <v>9.6558894128797364E-3</v>
      </c>
      <c r="U899">
        <f t="shared" si="291"/>
        <v>2.0624229813917885E-3</v>
      </c>
      <c r="V899">
        <f t="shared" si="292"/>
        <v>5.3341758018723977E-2</v>
      </c>
      <c r="W899">
        <f t="shared" si="293"/>
        <v>9.6558894128797364E-3</v>
      </c>
      <c r="X899">
        <f t="shared" si="294"/>
        <v>6.2660160034648693E-2</v>
      </c>
      <c r="Y899">
        <f t="shared" si="295"/>
        <v>1.874929983083444E-4</v>
      </c>
      <c r="Z899">
        <f t="shared" si="296"/>
        <v>2.7186484754709935E-3</v>
      </c>
      <c r="AA899">
        <f t="shared" si="297"/>
        <v>0.2231324173987877</v>
      </c>
      <c r="AB899">
        <f t="shared" si="298"/>
        <v>0.22680868636311857</v>
      </c>
      <c r="AC899">
        <f t="shared" si="299"/>
        <v>0.15127966315007921</v>
      </c>
      <c r="AD899">
        <f t="shared" si="300"/>
        <v>3.7690779984934932E-3</v>
      </c>
      <c r="AE899">
        <f t="shared" si="301"/>
        <v>1.8923105840266276E-2</v>
      </c>
      <c r="AG899">
        <f t="shared" si="302"/>
        <v>-0.8543028911258832</v>
      </c>
      <c r="AH899">
        <f t="shared" si="303"/>
        <v>0.15920536717456951</v>
      </c>
      <c r="AI899">
        <f t="shared" si="304"/>
        <v>-0.69665162306919604</v>
      </c>
      <c r="AK899" s="26">
        <f t="shared" si="305"/>
        <v>3.978418395223754E-3</v>
      </c>
      <c r="AL899" s="26">
        <f t="shared" si="306"/>
        <v>1.0268067927318714E-4</v>
      </c>
      <c r="AM899" s="26">
        <f t="shared" si="307"/>
        <v>-2.7360585554018491E-3</v>
      </c>
      <c r="AN899" s="26">
        <f t="shared" si="308"/>
        <v>-24.06166666666666</v>
      </c>
      <c r="AO899" s="26">
        <f t="shared" si="309"/>
        <v>-25.52639478764479</v>
      </c>
      <c r="AP899" s="26">
        <f t="shared" si="310"/>
        <v>-23.706889282202631</v>
      </c>
      <c r="AS899" s="2">
        <v>44581</v>
      </c>
      <c r="AT899">
        <v>9</v>
      </c>
      <c r="AU899">
        <v>5.0999999999999996</v>
      </c>
      <c r="AV899">
        <v>79.599999999999994</v>
      </c>
      <c r="AW899">
        <v>25.4</v>
      </c>
      <c r="AX899">
        <v>39.75</v>
      </c>
      <c r="AY899">
        <v>0.2</v>
      </c>
      <c r="AZ899">
        <v>2.9</v>
      </c>
      <c r="BA899">
        <v>229.09039999999999</v>
      </c>
      <c r="BB899">
        <v>169.2182</v>
      </c>
      <c r="BC899">
        <v>96.9602</v>
      </c>
      <c r="BD899">
        <v>3.6579000000000002</v>
      </c>
      <c r="BE899">
        <v>28.161100000000001</v>
      </c>
      <c r="BF899">
        <v>-8.9746000000000006</v>
      </c>
      <c r="BG899">
        <v>46.884300000000003</v>
      </c>
      <c r="BH899">
        <v>43.97</v>
      </c>
    </row>
    <row r="900" spans="1:60" x14ac:dyDescent="0.25">
      <c r="A900" s="2">
        <v>44601</v>
      </c>
      <c r="B900">
        <v>10.4</v>
      </c>
      <c r="C900">
        <v>39.200000000000003</v>
      </c>
      <c r="D900">
        <v>63.2</v>
      </c>
      <c r="E900">
        <v>18.899999999999999</v>
      </c>
      <c r="F900">
        <v>58.77</v>
      </c>
      <c r="G900">
        <v>0.1</v>
      </c>
      <c r="H900">
        <v>2.8</v>
      </c>
      <c r="I900">
        <v>235.65430000000001</v>
      </c>
      <c r="J900">
        <v>182.76820000000001</v>
      </c>
      <c r="K900">
        <v>102.78489999999999</v>
      </c>
      <c r="L900">
        <v>3.9775999999999998</v>
      </c>
      <c r="M900">
        <v>26.535499999999999</v>
      </c>
      <c r="N900">
        <v>-24.9008</v>
      </c>
      <c r="O900">
        <v>21.386900000000001</v>
      </c>
      <c r="P900">
        <v>34.43</v>
      </c>
      <c r="S900">
        <f t="shared" si="311"/>
        <v>745.09050000000002</v>
      </c>
      <c r="T900">
        <f t="shared" si="290"/>
        <v>9.749635912033908E-3</v>
      </c>
      <c r="U900">
        <f t="shared" si="291"/>
        <v>3.67486276684355E-2</v>
      </c>
      <c r="V900">
        <f t="shared" si="292"/>
        <v>5.9247787465436824E-2</v>
      </c>
      <c r="W900">
        <f t="shared" si="293"/>
        <v>1.7718088340138542E-2</v>
      </c>
      <c r="X900">
        <f t="shared" si="294"/>
        <v>5.5094817552907002E-2</v>
      </c>
      <c r="Y900">
        <f t="shared" si="295"/>
        <v>9.3746499154172199E-5</v>
      </c>
      <c r="Z900">
        <f t="shared" si="296"/>
        <v>2.624901976316821E-3</v>
      </c>
      <c r="AA900">
        <f t="shared" si="297"/>
        <v>0.22091765635627039</v>
      </c>
      <c r="AB900">
        <f t="shared" si="298"/>
        <v>0.17133878906709574</v>
      </c>
      <c r="AC900">
        <f t="shared" si="299"/>
        <v>9.6357245409116721E-2</v>
      </c>
      <c r="AD900">
        <f t="shared" si="300"/>
        <v>3.7288607503563531E-3</v>
      </c>
      <c r="AE900">
        <f t="shared" si="301"/>
        <v>2.4876102283055361E-2</v>
      </c>
      <c r="AG900">
        <f t="shared" si="302"/>
        <v>-0.83679077610516706</v>
      </c>
      <c r="AH900">
        <f t="shared" si="303"/>
        <v>0.20615370769747815</v>
      </c>
      <c r="AI900">
        <f t="shared" si="304"/>
        <v>-0.30292153768636837</v>
      </c>
      <c r="AK900" s="26">
        <f t="shared" si="305"/>
        <v>6.3757016395347699E-3</v>
      </c>
      <c r="AL900" s="26">
        <f t="shared" si="306"/>
        <v>-3.1750966507854139E-4</v>
      </c>
      <c r="AM900" s="26">
        <f t="shared" si="307"/>
        <v>-2.1488045970237679E-3</v>
      </c>
      <c r="AN900" s="26">
        <f t="shared" si="308"/>
        <v>-24.157857142857154</v>
      </c>
      <c r="AO900" s="26">
        <f t="shared" si="309"/>
        <v>-25.584592985842995</v>
      </c>
      <c r="AP900" s="26">
        <f t="shared" si="310"/>
        <v>-23.673612586037436</v>
      </c>
      <c r="AS900" s="2">
        <v>44580</v>
      </c>
      <c r="AT900">
        <v>9.8000000000000007</v>
      </c>
      <c r="AU900">
        <v>0.7</v>
      </c>
      <c r="AV900">
        <v>88.1</v>
      </c>
      <c r="AW900">
        <v>19.7</v>
      </c>
      <c r="AX900">
        <v>51.34</v>
      </c>
      <c r="AY900">
        <v>0.2</v>
      </c>
      <c r="AZ900">
        <v>2.9</v>
      </c>
      <c r="BA900">
        <v>277.40350000000001</v>
      </c>
      <c r="BB900">
        <v>217.26259999999999</v>
      </c>
      <c r="BC900">
        <v>132.01900000000001</v>
      </c>
      <c r="BD900">
        <v>3.7063999999999999</v>
      </c>
      <c r="BE900">
        <v>18.431699999999999</v>
      </c>
      <c r="BF900">
        <v>-8.1921999999999997</v>
      </c>
      <c r="BG900">
        <v>48.184199999999997</v>
      </c>
      <c r="BH900">
        <v>44.62</v>
      </c>
    </row>
    <row r="901" spans="1:60" x14ac:dyDescent="0.25">
      <c r="A901" s="2">
        <v>44600</v>
      </c>
      <c r="B901">
        <v>11.2</v>
      </c>
      <c r="C901">
        <v>2.1</v>
      </c>
      <c r="D901">
        <v>69.7</v>
      </c>
      <c r="E901">
        <v>23.9</v>
      </c>
      <c r="F901">
        <v>37.5</v>
      </c>
      <c r="G901">
        <v>0.1</v>
      </c>
      <c r="H901">
        <v>2.7</v>
      </c>
      <c r="I901">
        <v>208.89689999999999</v>
      </c>
      <c r="J901">
        <v>160.66069999999999</v>
      </c>
      <c r="K901">
        <v>87.089100000000002</v>
      </c>
      <c r="L901">
        <v>3.6587999999999998</v>
      </c>
      <c r="M901">
        <v>16.077200000000001</v>
      </c>
      <c r="N901">
        <v>-28.791699999999999</v>
      </c>
      <c r="O901">
        <v>19.780899999999999</v>
      </c>
      <c r="P901">
        <v>34.78</v>
      </c>
      <c r="S901">
        <f t="shared" si="311"/>
        <v>623.58270000000005</v>
      </c>
      <c r="T901">
        <f t="shared" ref="T901:T964" si="312">B901/$S$4</f>
        <v>1.0499607905267284E-2</v>
      </c>
      <c r="U901">
        <f t="shared" ref="U901:U964" si="313">C901/$S$4</f>
        <v>1.9686764822376161E-3</v>
      </c>
      <c r="V901">
        <f t="shared" ref="V901:V964" si="314">D901/$S$4</f>
        <v>6.5341309910458015E-2</v>
      </c>
      <c r="W901">
        <f t="shared" ref="W901:W964" si="315">E901/$S$4</f>
        <v>2.2405413297847152E-2</v>
      </c>
      <c r="X901">
        <f t="shared" ref="X901:X964" si="316">F901/$S$4</f>
        <v>3.5154937182814573E-2</v>
      </c>
      <c r="Y901">
        <f t="shared" ref="Y901:Y964" si="317">G901/$S$4</f>
        <v>9.3746499154172199E-5</v>
      </c>
      <c r="Z901">
        <f t="shared" ref="Z901:Z964" si="318">H901/$S$4</f>
        <v>2.5311554771626494E-3</v>
      </c>
      <c r="AA901">
        <f t="shared" ref="AA901:AA964" si="319">I901/$S$4</f>
        <v>0.19583353059159192</v>
      </c>
      <c r="AB901">
        <f t="shared" ref="AB901:AB964" si="320">J901/$S$4</f>
        <v>0.1506137817665871</v>
      </c>
      <c r="AC901">
        <f t="shared" ref="AC901:AC964" si="321">K901/$S$4</f>
        <v>8.1642982394876176E-2</v>
      </c>
      <c r="AD901">
        <f t="shared" ref="AD901:AD964" si="322">L901/$S$4</f>
        <v>3.4299969110528519E-3</v>
      </c>
      <c r="AE901">
        <f t="shared" ref="AE901:AE964" si="323">M901/$S$4</f>
        <v>1.5071812162014572E-2</v>
      </c>
      <c r="AG901">
        <f t="shared" ref="AG901:AG964" si="324">(P901-AVERAGE(P901:P1265)) / _xlfn.STDEV.S(P901:P2728)</f>
        <v>-0.82219852990105202</v>
      </c>
      <c r="AH901">
        <f t="shared" ref="AH901:AH964" si="325">SUM(T901:Y901,Z901,AE901)</f>
        <v>0.15306665891695603</v>
      </c>
      <c r="AI901">
        <f t="shared" ref="AI901:AI964" si="326">(AH901-AVERAGE(AH901:AH1265))/_xlfn.STDEV.S(AH901:AH1265)</f>
        <v>-0.74495827360465638</v>
      </c>
      <c r="AK901" s="26">
        <f t="shared" ref="AK901:AK964" si="327">AVERAGEA(AH901:AH921)-AVERAGE(AH1267:AH1287, AH1632:AH1652, AH1997:AH2017)</f>
        <v>5.1363952413116254E-3</v>
      </c>
      <c r="AL901" s="26">
        <f t="shared" ref="AL901:AL964" si="328">AVERAGEA(AH901:AH956)-AVERAGE(AH1267:AH1322, AH1632:AH1686, AH1997:AH2051)</f>
        <v>-1.4174925982086417E-3</v>
      </c>
      <c r="AM901" s="26">
        <f t="shared" ref="AM901:AM964" si="329">AVERAGEA(AH901:AH1013)-AVERAGE(AH1267:AH1379,AH1632:AH1743,AH1997:AH2108)</f>
        <v>-3.1068306975802484E-3</v>
      </c>
      <c r="AN901" s="26">
        <f t="shared" ref="AN901:AN964" si="330">AVERAGEA(P901:P921)-AVERAGE(P1267:P1287, P1632:P1652, P1997:P2017)</f>
        <v>-24.249047619047623</v>
      </c>
      <c r="AO901" s="26">
        <f t="shared" ref="AO901:AO964" si="331">AVERAGEA(P901:P956)-AVERAGE(P1267:P1322, P1632:P1686, P1997:P2051)</f>
        <v>-25.63622586872588</v>
      </c>
      <c r="AP901" s="26">
        <f t="shared" ref="AP901:AP964" si="332">AVERAGEA(P901:P1013)-AVERAGE(P1267:P1379,P1632:P1743,P1997:P2108)</f>
        <v>-23.640003933136761</v>
      </c>
      <c r="AS901" s="2">
        <v>44579</v>
      </c>
      <c r="AT901">
        <v>9.9</v>
      </c>
      <c r="AU901">
        <v>9.4</v>
      </c>
      <c r="AV901">
        <v>39.200000000000003</v>
      </c>
      <c r="AW901">
        <v>8.3000000000000007</v>
      </c>
      <c r="AX901">
        <v>32.03</v>
      </c>
      <c r="AY901">
        <v>0.1</v>
      </c>
      <c r="AZ901">
        <v>2.8</v>
      </c>
      <c r="BA901">
        <v>300.50720000000001</v>
      </c>
      <c r="BB901">
        <v>265.03030000000001</v>
      </c>
      <c r="BC901">
        <v>218.93539999999999</v>
      </c>
      <c r="BD901">
        <v>4.4606000000000003</v>
      </c>
      <c r="BE901">
        <v>34.7791</v>
      </c>
      <c r="BF901">
        <v>-5.7628000000000004</v>
      </c>
      <c r="BG901">
        <v>56.000300000000003</v>
      </c>
      <c r="BH901">
        <v>45.24</v>
      </c>
    </row>
    <row r="902" spans="1:60" x14ac:dyDescent="0.25">
      <c r="A902" s="2">
        <v>44599</v>
      </c>
      <c r="B902">
        <v>10.7</v>
      </c>
      <c r="C902">
        <v>1.7</v>
      </c>
      <c r="D902">
        <v>58.1</v>
      </c>
      <c r="E902">
        <v>25.4</v>
      </c>
      <c r="F902">
        <v>50</v>
      </c>
      <c r="G902">
        <v>0.2</v>
      </c>
      <c r="H902">
        <v>2.8</v>
      </c>
      <c r="I902">
        <v>150.6386</v>
      </c>
      <c r="J902">
        <v>118.28700000000001</v>
      </c>
      <c r="K902">
        <v>82.780699999999996</v>
      </c>
      <c r="L902">
        <v>4.9710000000000001</v>
      </c>
      <c r="M902">
        <v>27.821999999999999</v>
      </c>
      <c r="N902">
        <v>-29.903099999999998</v>
      </c>
      <c r="O902">
        <v>25.3996</v>
      </c>
      <c r="P902">
        <v>35.15</v>
      </c>
      <c r="S902">
        <f t="shared" si="311"/>
        <v>533.39930000000004</v>
      </c>
      <c r="T902">
        <f t="shared" si="312"/>
        <v>1.0030875409496424E-2</v>
      </c>
      <c r="U902">
        <f t="shared" si="313"/>
        <v>1.5936904856209272E-3</v>
      </c>
      <c r="V902">
        <f t="shared" si="314"/>
        <v>5.4466716008574043E-2</v>
      </c>
      <c r="W902">
        <f t="shared" si="315"/>
        <v>2.3811610785159736E-2</v>
      </c>
      <c r="X902">
        <f t="shared" si="316"/>
        <v>4.6873249577086093E-2</v>
      </c>
      <c r="Y902">
        <f t="shared" si="317"/>
        <v>1.874929983083444E-4</v>
      </c>
      <c r="Z902">
        <f t="shared" si="318"/>
        <v>2.624901976316821E-3</v>
      </c>
      <c r="AA902">
        <f t="shared" si="319"/>
        <v>0.14121841387485684</v>
      </c>
      <c r="AB902">
        <f t="shared" si="320"/>
        <v>0.11088992145449567</v>
      </c>
      <c r="AC902">
        <f t="shared" si="321"/>
        <v>7.7604008225317808E-2</v>
      </c>
      <c r="AD902">
        <f t="shared" si="322"/>
        <v>4.6601384729538994E-3</v>
      </c>
      <c r="AE902">
        <f t="shared" si="323"/>
        <v>2.6082150994673786E-2</v>
      </c>
      <c r="AG902">
        <f t="shared" si="324"/>
        <v>-0.80665595184124528</v>
      </c>
      <c r="AH902">
        <f t="shared" si="325"/>
        <v>0.16567068823523617</v>
      </c>
      <c r="AI902">
        <f t="shared" si="326"/>
        <v>-0.63954567167466847</v>
      </c>
      <c r="AK902" s="26">
        <f t="shared" si="327"/>
        <v>5.9123126942156323E-3</v>
      </c>
      <c r="AL902" s="26">
        <f t="shared" si="328"/>
        <v>-1.4433039382498181E-3</v>
      </c>
      <c r="AM902" s="26">
        <f t="shared" si="329"/>
        <v>-2.6955610043104261E-3</v>
      </c>
      <c r="AN902" s="26">
        <f t="shared" si="330"/>
        <v>-24.337142857142872</v>
      </c>
      <c r="AO902" s="26">
        <f t="shared" si="331"/>
        <v>-25.681932110682126</v>
      </c>
      <c r="AP902" s="26">
        <f t="shared" si="332"/>
        <v>-23.604734709931257</v>
      </c>
      <c r="AS902" s="2">
        <v>44578</v>
      </c>
      <c r="AT902">
        <v>9.1999999999999993</v>
      </c>
      <c r="AU902">
        <v>2.1</v>
      </c>
      <c r="AV902">
        <v>64.599999999999994</v>
      </c>
      <c r="AW902">
        <v>23</v>
      </c>
      <c r="AX902">
        <v>22.23</v>
      </c>
      <c r="AY902">
        <v>0.1</v>
      </c>
      <c r="AZ902">
        <v>2.6</v>
      </c>
      <c r="BA902">
        <v>229.94460000000001</v>
      </c>
      <c r="BB902">
        <v>177.58590000000001</v>
      </c>
      <c r="BC902">
        <v>104.66160000000001</v>
      </c>
      <c r="BD902">
        <v>3.8971</v>
      </c>
      <c r="BE902">
        <v>23.761800000000001</v>
      </c>
      <c r="BF902">
        <v>2.8283</v>
      </c>
      <c r="BG902">
        <v>66.173500000000004</v>
      </c>
      <c r="BH902">
        <v>45.93</v>
      </c>
    </row>
    <row r="903" spans="1:60" x14ac:dyDescent="0.25">
      <c r="A903" s="2">
        <v>44598</v>
      </c>
      <c r="B903">
        <v>9.3000000000000007</v>
      </c>
      <c r="C903">
        <v>0</v>
      </c>
      <c r="D903">
        <v>50.6</v>
      </c>
      <c r="E903">
        <v>23.1</v>
      </c>
      <c r="F903">
        <v>34.15</v>
      </c>
      <c r="G903">
        <v>0.2</v>
      </c>
      <c r="H903">
        <v>2.9</v>
      </c>
      <c r="I903">
        <v>90.661100000000005</v>
      </c>
      <c r="J903">
        <v>48.772199999999998</v>
      </c>
      <c r="K903">
        <v>38.508499999999998</v>
      </c>
      <c r="L903">
        <v>3.4996999999999998</v>
      </c>
      <c r="M903">
        <v>23.184899999999999</v>
      </c>
      <c r="P903">
        <v>35.54</v>
      </c>
      <c r="S903">
        <f t="shared" si="311"/>
        <v>324.8764000000001</v>
      </c>
      <c r="T903">
        <f t="shared" si="312"/>
        <v>8.7184244213380137E-3</v>
      </c>
      <c r="U903">
        <f t="shared" si="313"/>
        <v>0</v>
      </c>
      <c r="V903">
        <f t="shared" si="314"/>
        <v>4.7435728572011129E-2</v>
      </c>
      <c r="W903">
        <f t="shared" si="315"/>
        <v>2.1655441304613776E-2</v>
      </c>
      <c r="X903">
        <f t="shared" si="316"/>
        <v>3.2014429461149803E-2</v>
      </c>
      <c r="Y903">
        <f t="shared" si="317"/>
        <v>1.874929983083444E-4</v>
      </c>
      <c r="Z903">
        <f t="shared" si="318"/>
        <v>2.7186484754709935E-3</v>
      </c>
      <c r="AA903">
        <f t="shared" si="319"/>
        <v>8.4991607344663211E-2</v>
      </c>
      <c r="AB903">
        <f t="shared" si="320"/>
        <v>4.5722230060471165E-2</v>
      </c>
      <c r="AC903">
        <f t="shared" si="321"/>
        <v>3.6100370626784395E-2</v>
      </c>
      <c r="AD903">
        <f t="shared" si="322"/>
        <v>3.2808462308985642E-3</v>
      </c>
      <c r="AE903">
        <f t="shared" si="323"/>
        <v>2.1735032082395668E-2</v>
      </c>
      <c r="AG903">
        <f t="shared" si="324"/>
        <v>-0.79014933122552833</v>
      </c>
      <c r="AH903">
        <f t="shared" si="325"/>
        <v>0.13446519731528772</v>
      </c>
      <c r="AI903">
        <f t="shared" si="326"/>
        <v>-0.89797086607011056</v>
      </c>
      <c r="AK903" s="26">
        <f t="shared" si="327"/>
        <v>5.6255042082914153E-3</v>
      </c>
      <c r="AL903" s="26">
        <f t="shared" si="328"/>
        <v>-1.8941574413369744E-3</v>
      </c>
      <c r="AM903" s="26">
        <f t="shared" si="329"/>
        <v>-2.8105443173344624E-3</v>
      </c>
      <c r="AN903" s="26">
        <f t="shared" si="330"/>
        <v>-24.420238095238105</v>
      </c>
      <c r="AO903" s="26">
        <f t="shared" si="331"/>
        <v>-25.721172779922796</v>
      </c>
      <c r="AP903" s="26">
        <f t="shared" si="332"/>
        <v>-23.569184267453373</v>
      </c>
      <c r="AS903" s="2">
        <v>44577</v>
      </c>
      <c r="AT903">
        <v>10</v>
      </c>
      <c r="AU903">
        <v>1.6</v>
      </c>
      <c r="AV903">
        <v>65.2</v>
      </c>
      <c r="AW903">
        <v>15.8</v>
      </c>
      <c r="AX903">
        <v>25.95</v>
      </c>
      <c r="AY903">
        <v>0.1</v>
      </c>
      <c r="AZ903">
        <v>3.1</v>
      </c>
      <c r="BA903">
        <v>234.49809999999999</v>
      </c>
      <c r="BB903">
        <v>171.1729</v>
      </c>
      <c r="BC903">
        <v>88.350700000000003</v>
      </c>
      <c r="BD903">
        <v>4.0174000000000003</v>
      </c>
      <c r="BE903">
        <v>15.2562</v>
      </c>
      <c r="BH903">
        <v>46.57</v>
      </c>
    </row>
    <row r="904" spans="1:60" x14ac:dyDescent="0.25">
      <c r="A904" s="2">
        <v>44597</v>
      </c>
      <c r="B904">
        <v>9.6999999999999993</v>
      </c>
      <c r="C904">
        <v>0</v>
      </c>
      <c r="D904">
        <v>65.900000000000006</v>
      </c>
      <c r="E904">
        <v>23.4</v>
      </c>
      <c r="F904">
        <v>68.87</v>
      </c>
      <c r="G904">
        <v>0.2</v>
      </c>
      <c r="H904">
        <v>2.7</v>
      </c>
      <c r="I904">
        <v>106.544</v>
      </c>
      <c r="J904">
        <v>63.258800000000001</v>
      </c>
      <c r="K904">
        <v>47.831699999999998</v>
      </c>
      <c r="L904">
        <v>3.5295999999999998</v>
      </c>
      <c r="M904">
        <v>18.485900000000001</v>
      </c>
      <c r="P904">
        <v>35.770000000000003</v>
      </c>
      <c r="S904">
        <f t="shared" si="311"/>
        <v>410.42</v>
      </c>
      <c r="T904">
        <f t="shared" si="312"/>
        <v>9.0934104179547018E-3</v>
      </c>
      <c r="U904">
        <f t="shared" si="313"/>
        <v>0</v>
      </c>
      <c r="V904">
        <f t="shared" si="314"/>
        <v>6.1778942942599481E-2</v>
      </c>
      <c r="W904">
        <f t="shared" si="315"/>
        <v>2.1936680802076291E-2</v>
      </c>
      <c r="X904">
        <f t="shared" si="316"/>
        <v>6.4563213967478397E-2</v>
      </c>
      <c r="Y904">
        <f t="shared" si="317"/>
        <v>1.874929983083444E-4</v>
      </c>
      <c r="Z904">
        <f t="shared" si="318"/>
        <v>2.5311554771626494E-3</v>
      </c>
      <c r="AA904">
        <f t="shared" si="319"/>
        <v>9.988127005882122E-2</v>
      </c>
      <c r="AB904">
        <f t="shared" si="320"/>
        <v>5.9302910406939476E-2</v>
      </c>
      <c r="AC904">
        <f t="shared" si="321"/>
        <v>4.4840544235926177E-2</v>
      </c>
      <c r="AD904">
        <f t="shared" si="322"/>
        <v>3.3088764341456614E-3</v>
      </c>
      <c r="AE904">
        <f t="shared" si="323"/>
        <v>1.7329884087141117E-2</v>
      </c>
      <c r="AG904">
        <f t="shared" si="324"/>
        <v>-0.78140578200332889</v>
      </c>
      <c r="AH904">
        <f t="shared" si="325"/>
        <v>0.17742078069272096</v>
      </c>
      <c r="AI904">
        <f t="shared" si="326"/>
        <v>-0.5397680634366645</v>
      </c>
      <c r="AK904" s="26">
        <f t="shared" si="327"/>
        <v>6.869232316391416E-3</v>
      </c>
      <c r="AL904" s="26">
        <f t="shared" si="328"/>
        <v>-1.7582007967015256E-3</v>
      </c>
      <c r="AM904" s="26">
        <f t="shared" si="329"/>
        <v>-2.4557780781730432E-3</v>
      </c>
      <c r="AN904" s="26">
        <f t="shared" si="330"/>
        <v>-24.503333333333337</v>
      </c>
      <c r="AO904" s="26">
        <f t="shared" si="331"/>
        <v>-25.755210746460754</v>
      </c>
      <c r="AP904" s="26">
        <f t="shared" si="332"/>
        <v>-23.534548279252768</v>
      </c>
      <c r="AS904" s="2">
        <v>44576</v>
      </c>
      <c r="AT904">
        <v>10.7</v>
      </c>
      <c r="AU904">
        <v>0.8</v>
      </c>
      <c r="AV904">
        <v>15</v>
      </c>
      <c r="AW904">
        <v>3.2</v>
      </c>
      <c r="AX904">
        <v>31.78</v>
      </c>
      <c r="AY904">
        <v>0.1</v>
      </c>
      <c r="AZ904">
        <v>3.3</v>
      </c>
      <c r="BA904">
        <v>272.74740000000003</v>
      </c>
      <c r="BB904">
        <v>246.25579999999999</v>
      </c>
      <c r="BC904">
        <v>172.93029999999999</v>
      </c>
      <c r="BD904">
        <v>3.9967999999999999</v>
      </c>
      <c r="BE904">
        <v>18.438600000000001</v>
      </c>
      <c r="BH904">
        <v>47.06</v>
      </c>
    </row>
    <row r="905" spans="1:60" x14ac:dyDescent="0.25">
      <c r="A905" s="2">
        <v>44596</v>
      </c>
      <c r="B905">
        <v>10</v>
      </c>
      <c r="C905">
        <v>0</v>
      </c>
      <c r="D905">
        <v>65.3</v>
      </c>
      <c r="E905">
        <v>21.5</v>
      </c>
      <c r="F905">
        <v>31.19</v>
      </c>
      <c r="G905">
        <v>0.1</v>
      </c>
      <c r="H905">
        <v>2.8</v>
      </c>
      <c r="I905">
        <v>227.36410000000001</v>
      </c>
      <c r="J905">
        <v>114.2393</v>
      </c>
      <c r="K905">
        <v>99.634600000000006</v>
      </c>
      <c r="L905">
        <v>3.6139999999999999</v>
      </c>
      <c r="M905">
        <v>17.106300000000001</v>
      </c>
      <c r="N905">
        <v>-24.112300000000001</v>
      </c>
      <c r="O905">
        <v>37.498899999999999</v>
      </c>
      <c r="P905">
        <v>36.01</v>
      </c>
      <c r="S905">
        <f t="shared" si="311"/>
        <v>592.84830000000011</v>
      </c>
      <c r="T905">
        <f t="shared" si="312"/>
        <v>9.3746499154172182E-3</v>
      </c>
      <c r="U905">
        <f t="shared" si="313"/>
        <v>0</v>
      </c>
      <c r="V905">
        <f t="shared" si="314"/>
        <v>6.1216463947674438E-2</v>
      </c>
      <c r="W905">
        <f t="shared" si="315"/>
        <v>2.0155497318147021E-2</v>
      </c>
      <c r="X905">
        <f t="shared" si="316"/>
        <v>2.9239533086186306E-2</v>
      </c>
      <c r="Y905">
        <f t="shared" si="317"/>
        <v>9.3746499154172199E-5</v>
      </c>
      <c r="Z905">
        <f t="shared" si="318"/>
        <v>2.624901976316821E-3</v>
      </c>
      <c r="AA905">
        <f t="shared" si="319"/>
        <v>0.21314588408339122</v>
      </c>
      <c r="AB905">
        <f t="shared" si="320"/>
        <v>0.10709534440823223</v>
      </c>
      <c r="AC905">
        <f t="shared" si="321"/>
        <v>9.3403949446262846E-2</v>
      </c>
      <c r="AD905">
        <f t="shared" si="322"/>
        <v>3.387998479431783E-3</v>
      </c>
      <c r="AE905">
        <f t="shared" si="323"/>
        <v>1.6036557384810159E-2</v>
      </c>
      <c r="AG905">
        <f t="shared" si="324"/>
        <v>-0.77216989661895119</v>
      </c>
      <c r="AH905">
        <f t="shared" si="325"/>
        <v>0.13874135012770611</v>
      </c>
      <c r="AI905">
        <f t="shared" si="326"/>
        <v>-0.86217173582138651</v>
      </c>
      <c r="AK905" s="26">
        <f t="shared" si="327"/>
        <v>3.7760241676688955E-3</v>
      </c>
      <c r="AL905" s="26">
        <f t="shared" si="328"/>
        <v>-2.3334133140579527E-3</v>
      </c>
      <c r="AM905" s="26">
        <f t="shared" si="329"/>
        <v>-1.6470191062246398E-3</v>
      </c>
      <c r="AN905" s="26">
        <f t="shared" si="330"/>
        <v>-24.58309523809524</v>
      </c>
      <c r="AO905" s="26">
        <f t="shared" si="331"/>
        <v>-25.784499678249716</v>
      </c>
      <c r="AP905" s="26">
        <f t="shared" si="332"/>
        <v>-23.49812271386439</v>
      </c>
      <c r="AS905" s="2">
        <v>44575</v>
      </c>
      <c r="AT905">
        <v>10.5</v>
      </c>
      <c r="AU905">
        <v>0</v>
      </c>
      <c r="AV905">
        <v>59.9</v>
      </c>
      <c r="AW905">
        <v>17</v>
      </c>
      <c r="AX905">
        <v>49.05</v>
      </c>
      <c r="AY905">
        <v>0.1</v>
      </c>
      <c r="AZ905">
        <v>3.2</v>
      </c>
      <c r="BA905">
        <v>275.33839999999998</v>
      </c>
      <c r="BB905">
        <v>214.9391</v>
      </c>
      <c r="BC905">
        <v>166.20609999999999</v>
      </c>
      <c r="BD905">
        <v>3.9289999999999998</v>
      </c>
      <c r="BE905">
        <v>23.556699999999999</v>
      </c>
      <c r="BF905">
        <v>5.9482999999999997</v>
      </c>
      <c r="BG905">
        <v>90.434899999999999</v>
      </c>
      <c r="BH905">
        <v>47.62</v>
      </c>
    </row>
    <row r="906" spans="1:60" x14ac:dyDescent="0.25">
      <c r="A906" s="2">
        <v>44595</v>
      </c>
      <c r="B906">
        <v>10.7</v>
      </c>
      <c r="C906">
        <v>0.9</v>
      </c>
      <c r="D906">
        <v>66.2</v>
      </c>
      <c r="E906">
        <v>12.8</v>
      </c>
      <c r="F906">
        <v>29.42</v>
      </c>
      <c r="G906">
        <v>0.1</v>
      </c>
      <c r="H906">
        <v>2.9</v>
      </c>
      <c r="I906">
        <v>265.57440000000003</v>
      </c>
      <c r="J906">
        <v>201.46129999999999</v>
      </c>
      <c r="K906">
        <v>167.78460000000001</v>
      </c>
      <c r="L906">
        <v>3.6766999999999999</v>
      </c>
      <c r="M906">
        <v>24.171199999999999</v>
      </c>
      <c r="N906">
        <v>-25.000299999999999</v>
      </c>
      <c r="O906">
        <v>36.491</v>
      </c>
      <c r="P906">
        <v>36.35</v>
      </c>
      <c r="S906">
        <f t="shared" si="311"/>
        <v>785.68820000000005</v>
      </c>
      <c r="T906">
        <f t="shared" si="312"/>
        <v>1.0030875409496424E-2</v>
      </c>
      <c r="U906">
        <f t="shared" si="313"/>
        <v>8.4371849238754971E-4</v>
      </c>
      <c r="V906">
        <f t="shared" si="314"/>
        <v>6.2060182440061992E-2</v>
      </c>
      <c r="W906">
        <f t="shared" si="315"/>
        <v>1.1999551891734041E-2</v>
      </c>
      <c r="X906">
        <f t="shared" si="316"/>
        <v>2.7580220051157459E-2</v>
      </c>
      <c r="Y906">
        <f t="shared" si="317"/>
        <v>9.3746499154172199E-5</v>
      </c>
      <c r="Z906">
        <f t="shared" si="318"/>
        <v>2.7186484754709935E-3</v>
      </c>
      <c r="AA906">
        <f t="shared" si="319"/>
        <v>0.24896670264969789</v>
      </c>
      <c r="AB906">
        <f t="shared" si="320"/>
        <v>0.18886291590048429</v>
      </c>
      <c r="AC906">
        <f t="shared" si="321"/>
        <v>0.15729218861983121</v>
      </c>
      <c r="AD906">
        <f t="shared" si="322"/>
        <v>3.4467775344014487E-3</v>
      </c>
      <c r="AE906">
        <f t="shared" si="323"/>
        <v>2.2659653803553267E-2</v>
      </c>
      <c r="AG906">
        <f t="shared" si="324"/>
        <v>-0.75805492013312892</v>
      </c>
      <c r="AH906">
        <f t="shared" si="325"/>
        <v>0.13798659706301591</v>
      </c>
      <c r="AI906">
        <f t="shared" si="326"/>
        <v>-0.87017648791114699</v>
      </c>
      <c r="AK906" s="26">
        <f t="shared" si="327"/>
        <v>4.6347845090517203E-3</v>
      </c>
      <c r="AL906" s="26">
        <f t="shared" si="328"/>
        <v>-3.8639220224196968E-3</v>
      </c>
      <c r="AM906" s="26">
        <f t="shared" si="329"/>
        <v>-1.5168404904436494E-3</v>
      </c>
      <c r="AN906" s="26">
        <f t="shared" si="330"/>
        <v>-24.656666666666666</v>
      </c>
      <c r="AO906" s="26">
        <f t="shared" si="331"/>
        <v>-25.809774774774802</v>
      </c>
      <c r="AP906" s="26">
        <f t="shared" si="332"/>
        <v>-23.459865486725754</v>
      </c>
      <c r="AS906" s="2">
        <v>44574</v>
      </c>
      <c r="AT906">
        <v>11</v>
      </c>
      <c r="AU906">
        <v>0.7</v>
      </c>
      <c r="AV906">
        <v>73.900000000000006</v>
      </c>
      <c r="AW906">
        <v>18.7</v>
      </c>
      <c r="AX906">
        <v>38.14</v>
      </c>
      <c r="AY906">
        <v>0.1</v>
      </c>
      <c r="AZ906">
        <v>3</v>
      </c>
      <c r="BA906">
        <v>285.69159999999999</v>
      </c>
      <c r="BB906">
        <v>208.99860000000001</v>
      </c>
      <c r="BC906">
        <v>158.90479999999999</v>
      </c>
      <c r="BD906">
        <v>3.8353000000000002</v>
      </c>
      <c r="BE906">
        <v>26.107800000000001</v>
      </c>
      <c r="BF906">
        <v>-14.8331</v>
      </c>
      <c r="BG906">
        <v>70.463499999999996</v>
      </c>
      <c r="BH906">
        <v>48.32</v>
      </c>
    </row>
    <row r="907" spans="1:60" x14ac:dyDescent="0.25">
      <c r="A907" s="2">
        <v>44594</v>
      </c>
      <c r="B907">
        <v>9.6999999999999993</v>
      </c>
      <c r="C907">
        <v>0</v>
      </c>
      <c r="D907">
        <v>52.1</v>
      </c>
      <c r="E907">
        <v>23.1</v>
      </c>
      <c r="F907">
        <v>45.89</v>
      </c>
      <c r="G907">
        <v>0.2</v>
      </c>
      <c r="H907">
        <v>2.9</v>
      </c>
      <c r="I907">
        <v>206.90270000000001</v>
      </c>
      <c r="J907">
        <v>141.23060000000001</v>
      </c>
      <c r="K907">
        <v>108.2987</v>
      </c>
      <c r="L907">
        <v>3.6063000000000001</v>
      </c>
      <c r="M907">
        <v>22.533000000000001</v>
      </c>
      <c r="N907">
        <v>-15.157</v>
      </c>
      <c r="O907">
        <v>40.310499999999998</v>
      </c>
      <c r="P907">
        <v>36.76</v>
      </c>
      <c r="S907">
        <f t="shared" si="311"/>
        <v>616.46130000000016</v>
      </c>
      <c r="T907">
        <f t="shared" si="312"/>
        <v>9.0934104179547018E-3</v>
      </c>
      <c r="U907">
        <f t="shared" si="313"/>
        <v>0</v>
      </c>
      <c r="V907">
        <f t="shared" si="314"/>
        <v>4.8841926059323713E-2</v>
      </c>
      <c r="W907">
        <f t="shared" si="315"/>
        <v>2.1655441304613776E-2</v>
      </c>
      <c r="X907">
        <f t="shared" si="316"/>
        <v>4.3020268461849621E-2</v>
      </c>
      <c r="Y907">
        <f t="shared" si="317"/>
        <v>1.874929983083444E-4</v>
      </c>
      <c r="Z907">
        <f t="shared" si="318"/>
        <v>2.7186484754709935E-3</v>
      </c>
      <c r="AA907">
        <f t="shared" si="319"/>
        <v>0.19396403790545944</v>
      </c>
      <c r="AB907">
        <f t="shared" si="320"/>
        <v>0.13239874323443232</v>
      </c>
      <c r="AC907">
        <f t="shared" si="321"/>
        <v>0.10152623987947948</v>
      </c>
      <c r="AD907">
        <f t="shared" si="322"/>
        <v>3.3807799989969117E-3</v>
      </c>
      <c r="AE907">
        <f t="shared" si="323"/>
        <v>2.1123898654409622E-2</v>
      </c>
      <c r="AG907">
        <f t="shared" si="324"/>
        <v>-0.74049845150835392</v>
      </c>
      <c r="AH907">
        <f t="shared" si="325"/>
        <v>0.14664108637193077</v>
      </c>
      <c r="AI907">
        <f t="shared" si="326"/>
        <v>-0.79815454578993272</v>
      </c>
      <c r="AK907" s="26">
        <f t="shared" si="327"/>
        <v>1.1736407700667778E-2</v>
      </c>
      <c r="AL907" s="26">
        <f t="shared" si="328"/>
        <v>-1.9987965416839171E-3</v>
      </c>
      <c r="AM907" s="26">
        <f t="shared" si="329"/>
        <v>-3.712047698277432E-4</v>
      </c>
      <c r="AN907" s="26">
        <f t="shared" si="330"/>
        <v>-24.723571428571411</v>
      </c>
      <c r="AO907" s="26">
        <f t="shared" si="331"/>
        <v>-25.832390604890641</v>
      </c>
      <c r="AP907" s="26">
        <f t="shared" si="332"/>
        <v>-23.421595280236083</v>
      </c>
      <c r="AS907" s="2">
        <v>44573</v>
      </c>
      <c r="AT907">
        <v>11.6</v>
      </c>
      <c r="AU907">
        <v>2.7</v>
      </c>
      <c r="AV907">
        <v>30.7</v>
      </c>
      <c r="AW907">
        <v>6.6</v>
      </c>
      <c r="AX907">
        <v>38.18</v>
      </c>
      <c r="AY907">
        <v>0.1</v>
      </c>
      <c r="AZ907">
        <v>3</v>
      </c>
      <c r="BA907">
        <v>312.87729999999999</v>
      </c>
      <c r="BB907">
        <v>238.4956</v>
      </c>
      <c r="BC907">
        <v>222.36320000000001</v>
      </c>
      <c r="BD907">
        <v>3.7581000000000002</v>
      </c>
      <c r="BE907">
        <v>35.731200000000001</v>
      </c>
      <c r="BF907">
        <v>10.124599999999999</v>
      </c>
      <c r="BG907">
        <v>79.490899999999996</v>
      </c>
      <c r="BH907">
        <v>50.16</v>
      </c>
    </row>
    <row r="908" spans="1:60" x14ac:dyDescent="0.25">
      <c r="A908" s="2">
        <v>44593</v>
      </c>
      <c r="B908">
        <v>9.6</v>
      </c>
      <c r="C908">
        <v>1.5</v>
      </c>
      <c r="D908">
        <v>60.4</v>
      </c>
      <c r="E908">
        <v>23.5</v>
      </c>
      <c r="F908">
        <v>25.61</v>
      </c>
      <c r="G908">
        <v>0.1</v>
      </c>
      <c r="H908">
        <v>3.1</v>
      </c>
      <c r="I908">
        <v>224.59620000000001</v>
      </c>
      <c r="J908">
        <v>137.20500000000001</v>
      </c>
      <c r="K908">
        <v>103.8779</v>
      </c>
      <c r="L908">
        <v>3.5775999999999999</v>
      </c>
      <c r="M908">
        <v>17.462499999999999</v>
      </c>
      <c r="N908">
        <v>-22.3583</v>
      </c>
      <c r="O908">
        <v>33.868200000000002</v>
      </c>
      <c r="P908">
        <v>37.200000000000003</v>
      </c>
      <c r="S908">
        <f t="shared" si="311"/>
        <v>610.52919999999995</v>
      </c>
      <c r="T908">
        <f t="shared" si="312"/>
        <v>8.9996639188005302E-3</v>
      </c>
      <c r="U908">
        <f t="shared" si="313"/>
        <v>1.406197487312583E-3</v>
      </c>
      <c r="V908">
        <f t="shared" si="314"/>
        <v>5.6622885489119999E-2</v>
      </c>
      <c r="W908">
        <f t="shared" si="315"/>
        <v>2.2030427301230466E-2</v>
      </c>
      <c r="X908">
        <f t="shared" si="316"/>
        <v>2.4008478433383499E-2</v>
      </c>
      <c r="Y908">
        <f t="shared" si="317"/>
        <v>9.3746499154172199E-5</v>
      </c>
      <c r="Z908">
        <f t="shared" si="318"/>
        <v>2.9061414737793379E-3</v>
      </c>
      <c r="AA908">
        <f t="shared" si="319"/>
        <v>0.2105510747333029</v>
      </c>
      <c r="AB908">
        <f t="shared" si="320"/>
        <v>0.12862488416448198</v>
      </c>
      <c r="AC908">
        <f t="shared" si="321"/>
        <v>9.7381894644871833E-2</v>
      </c>
      <c r="AD908">
        <f t="shared" si="322"/>
        <v>3.3538747537396642E-3</v>
      </c>
      <c r="AE908">
        <f t="shared" si="323"/>
        <v>1.6370482414797317E-2</v>
      </c>
      <c r="AG908">
        <f t="shared" si="324"/>
        <v>-0.72143003684992169</v>
      </c>
      <c r="AH908">
        <f t="shared" si="325"/>
        <v>0.1324380230175779</v>
      </c>
      <c r="AI908">
        <f t="shared" si="326"/>
        <v>-0.91374269658130192</v>
      </c>
      <c r="AK908" s="26">
        <f t="shared" si="327"/>
        <v>9.0493763480662959E-3</v>
      </c>
      <c r="AL908" s="26">
        <f t="shared" si="328"/>
        <v>-2.609450167365579E-3</v>
      </c>
      <c r="AM908" s="26">
        <f t="shared" si="329"/>
        <v>-9.0078654193095908E-4</v>
      </c>
      <c r="AN908" s="26">
        <f t="shared" si="330"/>
        <v>-24.732380952380936</v>
      </c>
      <c r="AO908" s="26">
        <f t="shared" si="331"/>
        <v>-25.85017696267699</v>
      </c>
      <c r="AP908" s="26">
        <f t="shared" si="332"/>
        <v>-23.382111307768007</v>
      </c>
      <c r="AS908" s="2">
        <v>44572</v>
      </c>
      <c r="AT908">
        <v>12</v>
      </c>
      <c r="AU908">
        <v>4.5999999999999996</v>
      </c>
      <c r="AV908">
        <v>47.9</v>
      </c>
      <c r="AW908">
        <v>5.4</v>
      </c>
      <c r="AX908">
        <v>39.26</v>
      </c>
      <c r="AY908">
        <v>0.1</v>
      </c>
      <c r="AZ908">
        <v>3</v>
      </c>
      <c r="BA908">
        <v>311.541</v>
      </c>
      <c r="BB908">
        <v>237.75309999999999</v>
      </c>
      <c r="BC908">
        <v>216.26429999999999</v>
      </c>
      <c r="BD908">
        <v>3.7025000000000001</v>
      </c>
      <c r="BE908">
        <v>29.0396</v>
      </c>
      <c r="BF908">
        <v>21.335999999999999</v>
      </c>
      <c r="BG908">
        <v>96.733900000000006</v>
      </c>
      <c r="BH908">
        <v>49.76</v>
      </c>
    </row>
    <row r="909" spans="1:60" x14ac:dyDescent="0.25">
      <c r="A909" s="2">
        <v>44592</v>
      </c>
      <c r="B909">
        <v>8.8000000000000007</v>
      </c>
      <c r="C909">
        <v>2.9</v>
      </c>
      <c r="D909">
        <v>47.4</v>
      </c>
      <c r="E909">
        <v>10.1</v>
      </c>
      <c r="F909">
        <v>26.87</v>
      </c>
      <c r="G909">
        <v>0.2</v>
      </c>
      <c r="H909">
        <v>3</v>
      </c>
      <c r="I909">
        <v>261.9468</v>
      </c>
      <c r="J909">
        <v>161.5898</v>
      </c>
      <c r="K909">
        <v>126.3857</v>
      </c>
      <c r="L909">
        <v>3.5525000000000002</v>
      </c>
      <c r="M909">
        <v>36.8919</v>
      </c>
      <c r="N909">
        <v>-30.9956</v>
      </c>
      <c r="O909">
        <v>35.291699999999999</v>
      </c>
      <c r="P909">
        <v>37.64</v>
      </c>
      <c r="S909">
        <f t="shared" si="311"/>
        <v>689.63670000000002</v>
      </c>
      <c r="T909">
        <f t="shared" si="312"/>
        <v>8.2496919255671541E-3</v>
      </c>
      <c r="U909">
        <f t="shared" si="313"/>
        <v>2.7186484754709935E-3</v>
      </c>
      <c r="V909">
        <f t="shared" si="314"/>
        <v>4.4435840599077618E-2</v>
      </c>
      <c r="W909">
        <f t="shared" si="315"/>
        <v>9.4683964145713916E-3</v>
      </c>
      <c r="X909">
        <f t="shared" si="316"/>
        <v>2.5189684322726068E-2</v>
      </c>
      <c r="Y909">
        <f t="shared" si="317"/>
        <v>1.874929983083444E-4</v>
      </c>
      <c r="Z909">
        <f t="shared" si="318"/>
        <v>2.8123949746251659E-3</v>
      </c>
      <c r="AA909">
        <f t="shared" si="319"/>
        <v>0.24556595464638112</v>
      </c>
      <c r="AB909">
        <f t="shared" si="320"/>
        <v>0.15148478049022854</v>
      </c>
      <c r="AC909">
        <f t="shared" si="321"/>
        <v>0.11848216918149461</v>
      </c>
      <c r="AD909">
        <f t="shared" si="322"/>
        <v>3.3303443824519671E-3</v>
      </c>
      <c r="AE909">
        <f t="shared" si="323"/>
        <v>3.4584864721458053E-2</v>
      </c>
      <c r="AG909">
        <f t="shared" si="324"/>
        <v>-0.70232645622049261</v>
      </c>
      <c r="AH909">
        <f t="shared" si="325"/>
        <v>0.12764701443180482</v>
      </c>
      <c r="AI909">
        <f t="shared" si="326"/>
        <v>-0.95279866030117355</v>
      </c>
      <c r="AK909" s="26">
        <f t="shared" si="327"/>
        <v>8.5860030271637799E-3</v>
      </c>
      <c r="AL909" s="26">
        <f t="shared" si="328"/>
        <v>-2.4833593765511697E-3</v>
      </c>
      <c r="AM909" s="26">
        <f t="shared" si="329"/>
        <v>-9.2982706880570531E-4</v>
      </c>
      <c r="AN909" s="26">
        <f t="shared" si="330"/>
        <v>-24.791904761904753</v>
      </c>
      <c r="AO909" s="26">
        <f t="shared" si="331"/>
        <v>-25.865106177606201</v>
      </c>
      <c r="AP909" s="26">
        <f t="shared" si="332"/>
        <v>-23.342119174041358</v>
      </c>
      <c r="AS909" s="2">
        <v>44571</v>
      </c>
      <c r="AT909">
        <v>11.7</v>
      </c>
      <c r="AU909">
        <v>1.6</v>
      </c>
      <c r="AV909">
        <v>15.1</v>
      </c>
      <c r="AW909">
        <v>1.8</v>
      </c>
      <c r="AX909">
        <v>27.33</v>
      </c>
      <c r="AY909">
        <v>0.2</v>
      </c>
      <c r="AZ909">
        <v>2.9</v>
      </c>
      <c r="BA909">
        <v>307.12049999999999</v>
      </c>
      <c r="BB909">
        <v>247.39699999999999</v>
      </c>
      <c r="BC909">
        <v>212.13069999999999</v>
      </c>
      <c r="BD909">
        <v>3.7641</v>
      </c>
      <c r="BE909">
        <v>40.052599999999998</v>
      </c>
      <c r="BF909">
        <v>27.644100000000002</v>
      </c>
      <c r="BG909">
        <v>114.8074</v>
      </c>
      <c r="BH909">
        <v>50.48</v>
      </c>
    </row>
    <row r="910" spans="1:60" x14ac:dyDescent="0.25">
      <c r="A910" s="2">
        <v>44591</v>
      </c>
      <c r="B910">
        <v>8.1999999999999993</v>
      </c>
      <c r="C910">
        <v>1.8</v>
      </c>
      <c r="D910">
        <v>65.400000000000006</v>
      </c>
      <c r="E910">
        <v>24.7</v>
      </c>
      <c r="F910">
        <v>45.06</v>
      </c>
      <c r="G910">
        <v>0.2</v>
      </c>
      <c r="H910">
        <v>2.7</v>
      </c>
      <c r="I910">
        <v>133.83539999999999</v>
      </c>
      <c r="J910">
        <v>81.305800000000005</v>
      </c>
      <c r="K910">
        <v>52.887500000000003</v>
      </c>
      <c r="L910">
        <v>3.6631999999999998</v>
      </c>
      <c r="M910">
        <v>19.368300000000001</v>
      </c>
      <c r="P910">
        <v>38.200000000000003</v>
      </c>
      <c r="S910">
        <f t="shared" si="311"/>
        <v>439.12019999999995</v>
      </c>
      <c r="T910">
        <f t="shared" si="312"/>
        <v>7.6872129306421186E-3</v>
      </c>
      <c r="U910">
        <f t="shared" si="313"/>
        <v>1.6874369847750994E-3</v>
      </c>
      <c r="V910">
        <f t="shared" si="314"/>
        <v>6.131021044682862E-2</v>
      </c>
      <c r="W910">
        <f t="shared" si="315"/>
        <v>2.3155385291080532E-2</v>
      </c>
      <c r="X910">
        <f t="shared" si="316"/>
        <v>4.224217251886999E-2</v>
      </c>
      <c r="Y910">
        <f t="shared" si="317"/>
        <v>1.874929983083444E-4</v>
      </c>
      <c r="Z910">
        <f t="shared" si="318"/>
        <v>2.5311554771626494E-3</v>
      </c>
      <c r="AA910">
        <f t="shared" si="319"/>
        <v>0.12546600212898296</v>
      </c>
      <c r="AB910">
        <f t="shared" si="320"/>
        <v>7.6221341109292934E-2</v>
      </c>
      <c r="AC910">
        <f t="shared" si="321"/>
        <v>4.9580179740162822E-2</v>
      </c>
      <c r="AD910">
        <f t="shared" si="322"/>
        <v>3.4341217570156356E-3</v>
      </c>
      <c r="AE910">
        <f t="shared" si="323"/>
        <v>1.8157103195677534E-2</v>
      </c>
      <c r="AG910">
        <f t="shared" si="324"/>
        <v>-0.67732096458577562</v>
      </c>
      <c r="AH910">
        <f t="shared" si="325"/>
        <v>0.15695816984334487</v>
      </c>
      <c r="AI910">
        <f t="shared" si="326"/>
        <v>-0.70715001383628362</v>
      </c>
      <c r="AK910" s="26">
        <f t="shared" si="327"/>
        <v>8.4200962763154308E-3</v>
      </c>
      <c r="AL910" s="26">
        <f t="shared" si="328"/>
        <v>-2.155662501409028E-3</v>
      </c>
      <c r="AM910" s="26">
        <f t="shared" si="329"/>
        <v>-7.2318643377203284E-4</v>
      </c>
      <c r="AN910" s="26">
        <f t="shared" si="330"/>
        <v>-24.848333333333315</v>
      </c>
      <c r="AO910" s="26">
        <f t="shared" si="331"/>
        <v>-25.874206885456914</v>
      </c>
      <c r="AP910" s="26">
        <f t="shared" si="332"/>
        <v>-23.30099901671587</v>
      </c>
      <c r="AS910" s="2">
        <v>44570</v>
      </c>
      <c r="AT910">
        <v>11.5</v>
      </c>
      <c r="AU910">
        <v>0</v>
      </c>
      <c r="AV910">
        <v>68</v>
      </c>
      <c r="AW910">
        <v>12.4</v>
      </c>
      <c r="AX910">
        <v>21.62</v>
      </c>
      <c r="AY910">
        <v>0.2</v>
      </c>
      <c r="AZ910">
        <v>2.7</v>
      </c>
      <c r="BA910">
        <v>227.1506</v>
      </c>
      <c r="BB910">
        <v>152.27090000000001</v>
      </c>
      <c r="BC910">
        <v>70.550899999999999</v>
      </c>
      <c r="BD910">
        <v>3.7724000000000002</v>
      </c>
      <c r="BE910">
        <v>15.2262</v>
      </c>
      <c r="BH910">
        <v>51.22</v>
      </c>
    </row>
    <row r="911" spans="1:60" x14ac:dyDescent="0.25">
      <c r="A911" s="2">
        <v>44590</v>
      </c>
      <c r="B911">
        <v>8.9</v>
      </c>
      <c r="C911">
        <v>0</v>
      </c>
      <c r="D911">
        <v>63.6</v>
      </c>
      <c r="E911">
        <v>27.4</v>
      </c>
      <c r="F911">
        <v>19.28</v>
      </c>
      <c r="G911">
        <v>0.2</v>
      </c>
      <c r="H911">
        <v>3</v>
      </c>
      <c r="I911">
        <v>133.6454</v>
      </c>
      <c r="J911">
        <v>78.778400000000005</v>
      </c>
      <c r="K911">
        <v>54.154699999999998</v>
      </c>
      <c r="L911">
        <v>3.5589</v>
      </c>
      <c r="M911">
        <v>17.149100000000001</v>
      </c>
      <c r="P911">
        <v>38.549999999999997</v>
      </c>
      <c r="S911">
        <f t="shared" si="311"/>
        <v>409.66649999999998</v>
      </c>
      <c r="T911">
        <f t="shared" si="312"/>
        <v>8.3434384247213257E-3</v>
      </c>
      <c r="U911">
        <f t="shared" si="313"/>
        <v>0</v>
      </c>
      <c r="V911">
        <f t="shared" si="314"/>
        <v>5.9622773462053517E-2</v>
      </c>
      <c r="W911">
        <f t="shared" si="315"/>
        <v>2.5686540768243178E-2</v>
      </c>
      <c r="X911">
        <f t="shared" si="316"/>
        <v>1.80743250369244E-2</v>
      </c>
      <c r="Y911">
        <f t="shared" si="317"/>
        <v>1.874929983083444E-4</v>
      </c>
      <c r="Z911">
        <f t="shared" si="318"/>
        <v>2.8123949746251659E-3</v>
      </c>
      <c r="AA911">
        <f t="shared" si="319"/>
        <v>0.12528788378059003</v>
      </c>
      <c r="AB911">
        <f t="shared" si="320"/>
        <v>7.3851992089670387E-2</v>
      </c>
      <c r="AC911">
        <f t="shared" si="321"/>
        <v>5.0768135377444484E-2</v>
      </c>
      <c r="AD911">
        <f t="shared" si="322"/>
        <v>3.3363441583978341E-3</v>
      </c>
      <c r="AE911">
        <f t="shared" si="323"/>
        <v>1.6076680886448143E-2</v>
      </c>
      <c r="AG911">
        <f t="shared" si="324"/>
        <v>-0.66254775935023558</v>
      </c>
      <c r="AH911">
        <f t="shared" si="325"/>
        <v>0.13080364655132407</v>
      </c>
      <c r="AI911">
        <f t="shared" si="326"/>
        <v>-0.92204800162445066</v>
      </c>
      <c r="AK911" s="26">
        <f t="shared" si="327"/>
        <v>9.5310391645419268E-3</v>
      </c>
      <c r="AL911" s="26">
        <f t="shared" si="328"/>
        <v>-2.2785090389792206E-3</v>
      </c>
      <c r="AM911" s="26">
        <f t="shared" si="329"/>
        <v>-4.4314770267789294E-4</v>
      </c>
      <c r="AN911" s="26">
        <f t="shared" si="330"/>
        <v>-24.901190476190472</v>
      </c>
      <c r="AO911" s="26">
        <f t="shared" si="331"/>
        <v>-25.878182110682125</v>
      </c>
      <c r="AP911" s="26">
        <f t="shared" si="332"/>
        <v>-23.265299115044293</v>
      </c>
      <c r="AS911" s="2">
        <v>44569</v>
      </c>
      <c r="AT911">
        <v>11.8</v>
      </c>
      <c r="AU911">
        <v>40.1</v>
      </c>
      <c r="AV911">
        <v>69.5</v>
      </c>
      <c r="AW911">
        <v>16.2</v>
      </c>
      <c r="AX911">
        <v>23.22</v>
      </c>
      <c r="AY911">
        <v>0.2</v>
      </c>
      <c r="AZ911">
        <v>2.5</v>
      </c>
      <c r="BA911">
        <v>272.15809999999999</v>
      </c>
      <c r="BB911">
        <v>199.63759999999999</v>
      </c>
      <c r="BC911">
        <v>71.894800000000004</v>
      </c>
      <c r="BD911">
        <v>3.8134000000000001</v>
      </c>
      <c r="BE911">
        <v>14.4314</v>
      </c>
      <c r="BH911">
        <v>51.65</v>
      </c>
    </row>
    <row r="912" spans="1:60" x14ac:dyDescent="0.25">
      <c r="A912" s="2">
        <v>44589</v>
      </c>
      <c r="B912">
        <v>9</v>
      </c>
      <c r="C912">
        <v>0</v>
      </c>
      <c r="D912">
        <v>66.2</v>
      </c>
      <c r="E912">
        <v>18.3</v>
      </c>
      <c r="F912">
        <v>44.77</v>
      </c>
      <c r="G912">
        <v>0.1</v>
      </c>
      <c r="H912">
        <v>2.7</v>
      </c>
      <c r="I912">
        <v>228.6696</v>
      </c>
      <c r="J912">
        <v>148.9109</v>
      </c>
      <c r="K912">
        <v>104.8348</v>
      </c>
      <c r="L912">
        <v>3.5324</v>
      </c>
      <c r="M912">
        <v>30.678899999999999</v>
      </c>
      <c r="N912">
        <v>-21.746300000000002</v>
      </c>
      <c r="O912">
        <v>55.991900000000001</v>
      </c>
      <c r="P912">
        <v>38.909999999999997</v>
      </c>
      <c r="S912">
        <f t="shared" si="311"/>
        <v>657.69659999999999</v>
      </c>
      <c r="T912">
        <f t="shared" si="312"/>
        <v>8.4371849238754973E-3</v>
      </c>
      <c r="U912">
        <f t="shared" si="313"/>
        <v>0</v>
      </c>
      <c r="V912">
        <f t="shared" si="314"/>
        <v>6.2060182440061992E-2</v>
      </c>
      <c r="W912">
        <f t="shared" si="315"/>
        <v>1.7155609345213513E-2</v>
      </c>
      <c r="X912">
        <f t="shared" si="316"/>
        <v>4.1970307671322891E-2</v>
      </c>
      <c r="Y912">
        <f t="shared" si="317"/>
        <v>9.3746499154172199E-5</v>
      </c>
      <c r="Z912">
        <f t="shared" si="318"/>
        <v>2.5311554771626494E-3</v>
      </c>
      <c r="AA912">
        <f t="shared" si="319"/>
        <v>0.21436974462984892</v>
      </c>
      <c r="AB912">
        <f t="shared" si="320"/>
        <v>0.1395987556089702</v>
      </c>
      <c r="AC912">
        <f t="shared" si="321"/>
        <v>9.8278954895278103E-2</v>
      </c>
      <c r="AD912">
        <f t="shared" si="322"/>
        <v>3.3115013361219785E-3</v>
      </c>
      <c r="AE912">
        <f t="shared" si="323"/>
        <v>2.876039472900933E-2</v>
      </c>
      <c r="AG912">
        <f t="shared" si="324"/>
        <v>-0.64726741956068123</v>
      </c>
      <c r="AH912">
        <f t="shared" si="325"/>
        <v>0.16100858108580005</v>
      </c>
      <c r="AI912">
        <f t="shared" si="326"/>
        <v>-0.67189588502630238</v>
      </c>
      <c r="AK912" s="26">
        <f t="shared" si="327"/>
        <v>1.1908012899428971E-2</v>
      </c>
      <c r="AL912" s="26">
        <f t="shared" si="328"/>
        <v>-4.0844541163162496E-3</v>
      </c>
      <c r="AM912" s="26">
        <f t="shared" si="329"/>
        <v>-4.900181721227137E-4</v>
      </c>
      <c r="AN912" s="26">
        <f t="shared" si="330"/>
        <v>-24.963809523809509</v>
      </c>
      <c r="AO912" s="26">
        <f t="shared" si="331"/>
        <v>-25.879202059202072</v>
      </c>
      <c r="AP912" s="26">
        <f t="shared" si="332"/>
        <v>-23.231310521140635</v>
      </c>
      <c r="AS912" s="2">
        <v>44568</v>
      </c>
      <c r="AT912">
        <v>12.7</v>
      </c>
      <c r="AU912">
        <v>0</v>
      </c>
      <c r="AV912">
        <v>84.7</v>
      </c>
      <c r="AW912">
        <v>19.2</v>
      </c>
      <c r="AX912">
        <v>19.72</v>
      </c>
      <c r="AY912">
        <v>0.2</v>
      </c>
      <c r="AZ912">
        <v>2.8</v>
      </c>
      <c r="BA912">
        <v>278.40179999999998</v>
      </c>
      <c r="BC912">
        <v>86.774100000000004</v>
      </c>
      <c r="BD912">
        <v>3.3797000000000001</v>
      </c>
      <c r="BE912">
        <v>19.596299999999999</v>
      </c>
      <c r="BF912">
        <v>33.993499999999997</v>
      </c>
      <c r="BG912">
        <v>125.61190000000001</v>
      </c>
      <c r="BH912">
        <v>52.07</v>
      </c>
    </row>
    <row r="913" spans="1:60" x14ac:dyDescent="0.25">
      <c r="A913" s="2">
        <v>44588</v>
      </c>
      <c r="B913">
        <v>10</v>
      </c>
      <c r="C913">
        <v>5</v>
      </c>
      <c r="D913">
        <v>75.5</v>
      </c>
      <c r="E913">
        <v>24.5</v>
      </c>
      <c r="F913">
        <v>34.799999999999997</v>
      </c>
      <c r="G913">
        <v>0.2</v>
      </c>
      <c r="H913">
        <v>2.8</v>
      </c>
      <c r="I913">
        <v>215.3175</v>
      </c>
      <c r="J913">
        <v>179.53229999999999</v>
      </c>
      <c r="K913">
        <v>106.83159999999999</v>
      </c>
      <c r="L913">
        <v>4.2057000000000002</v>
      </c>
      <c r="M913">
        <v>23.021000000000001</v>
      </c>
      <c r="N913">
        <v>-19.4709</v>
      </c>
      <c r="O913">
        <v>59.848100000000002</v>
      </c>
      <c r="P913">
        <v>39.46</v>
      </c>
      <c r="S913">
        <f t="shared" si="311"/>
        <v>681.70809999999994</v>
      </c>
      <c r="T913">
        <f t="shared" si="312"/>
        <v>9.3746499154172182E-3</v>
      </c>
      <c r="U913">
        <f t="shared" si="313"/>
        <v>4.6873249577086091E-3</v>
      </c>
      <c r="V913">
        <f t="shared" si="314"/>
        <v>7.0778606861400001E-2</v>
      </c>
      <c r="W913">
        <f t="shared" si="315"/>
        <v>2.2967892292772185E-2</v>
      </c>
      <c r="X913">
        <f t="shared" si="316"/>
        <v>3.2623781705651916E-2</v>
      </c>
      <c r="Y913">
        <f t="shared" si="317"/>
        <v>1.874929983083444E-4</v>
      </c>
      <c r="Z913">
        <f t="shared" si="318"/>
        <v>2.624901976316821E-3</v>
      </c>
      <c r="AA913">
        <f t="shared" si="319"/>
        <v>0.2018526183162847</v>
      </c>
      <c r="AB913">
        <f t="shared" si="320"/>
        <v>0.16830524610096587</v>
      </c>
      <c r="AC913">
        <f t="shared" si="321"/>
        <v>0.10015088499038861</v>
      </c>
      <c r="AD913">
        <f t="shared" si="322"/>
        <v>3.9426965149270202E-3</v>
      </c>
      <c r="AE913">
        <f t="shared" si="323"/>
        <v>2.1581381570281982E-2</v>
      </c>
      <c r="AG913">
        <f t="shared" si="324"/>
        <v>-0.62264338758443705</v>
      </c>
      <c r="AH913">
        <f t="shared" si="325"/>
        <v>0.16482603227785705</v>
      </c>
      <c r="AI913">
        <f t="shared" si="326"/>
        <v>-0.63743916919541177</v>
      </c>
      <c r="AK913" s="26">
        <f t="shared" si="327"/>
        <v>1.1968968212414777E-2</v>
      </c>
      <c r="AL913" s="26">
        <f t="shared" si="328"/>
        <v>-4.5417763842302561E-3</v>
      </c>
      <c r="AM913" s="26">
        <f t="shared" si="329"/>
        <v>-1.2551010796715001E-3</v>
      </c>
      <c r="AN913" s="26">
        <f t="shared" si="330"/>
        <v>-25.026190476190472</v>
      </c>
      <c r="AO913" s="26">
        <f t="shared" si="331"/>
        <v>-25.87654118404118</v>
      </c>
      <c r="AP913" s="26">
        <f t="shared" si="332"/>
        <v>-23.195481219272381</v>
      </c>
      <c r="AS913" s="2">
        <v>44567</v>
      </c>
      <c r="AT913">
        <v>13.6</v>
      </c>
      <c r="AU913">
        <v>0</v>
      </c>
      <c r="AV913">
        <v>54.2</v>
      </c>
      <c r="AW913">
        <v>8.4</v>
      </c>
      <c r="AX913">
        <v>51.32</v>
      </c>
      <c r="AY913">
        <v>0.2</v>
      </c>
      <c r="AZ913">
        <v>2.9</v>
      </c>
      <c r="BA913">
        <v>257.58819999999997</v>
      </c>
      <c r="BB913">
        <v>219.96899999999999</v>
      </c>
      <c r="BC913">
        <v>121.67619999999999</v>
      </c>
      <c r="BD913">
        <v>3.0426000000000002</v>
      </c>
      <c r="BE913">
        <v>33.7014</v>
      </c>
      <c r="BF913">
        <v>27.7028</v>
      </c>
      <c r="BG913">
        <v>132.81569999999999</v>
      </c>
      <c r="BH913">
        <v>52.59</v>
      </c>
    </row>
    <row r="914" spans="1:60" x14ac:dyDescent="0.25">
      <c r="A914" s="2">
        <v>44587</v>
      </c>
      <c r="B914">
        <v>10.5</v>
      </c>
      <c r="C914">
        <v>2</v>
      </c>
      <c r="D914">
        <v>75</v>
      </c>
      <c r="E914">
        <v>14.8</v>
      </c>
      <c r="F914">
        <v>21</v>
      </c>
      <c r="G914">
        <v>0.2</v>
      </c>
      <c r="H914">
        <v>2.7</v>
      </c>
      <c r="I914">
        <v>275.1302</v>
      </c>
      <c r="J914">
        <v>239.91810000000001</v>
      </c>
      <c r="K914">
        <v>204.41419999999999</v>
      </c>
      <c r="L914">
        <v>5.3579999999999997</v>
      </c>
      <c r="M914">
        <v>30.435400000000001</v>
      </c>
      <c r="N914">
        <v>-17.619</v>
      </c>
      <c r="O914">
        <v>59.039400000000001</v>
      </c>
      <c r="P914">
        <v>40.049999999999997</v>
      </c>
      <c r="S914">
        <f t="shared" si="311"/>
        <v>881.45589999999982</v>
      </c>
      <c r="T914">
        <f t="shared" si="312"/>
        <v>9.8433824111880796E-3</v>
      </c>
      <c r="U914">
        <f t="shared" si="313"/>
        <v>1.8749299830834439E-3</v>
      </c>
      <c r="V914">
        <f t="shared" si="314"/>
        <v>7.0309874365629146E-2</v>
      </c>
      <c r="W914">
        <f t="shared" si="315"/>
        <v>1.3874481874817485E-2</v>
      </c>
      <c r="X914">
        <f t="shared" si="316"/>
        <v>1.9686764822376159E-2</v>
      </c>
      <c r="Y914">
        <f t="shared" si="317"/>
        <v>1.874929983083444E-4</v>
      </c>
      <c r="Z914">
        <f t="shared" si="318"/>
        <v>2.5311554771626494E-3</v>
      </c>
      <c r="AA914">
        <f t="shared" si="319"/>
        <v>0.25792493061587224</v>
      </c>
      <c r="AB914">
        <f t="shared" si="320"/>
        <v>0.22491481958720599</v>
      </c>
      <c r="AC914">
        <f t="shared" si="321"/>
        <v>0.19163115627400784</v>
      </c>
      <c r="AD914">
        <f t="shared" si="322"/>
        <v>5.0229374246805458E-3</v>
      </c>
      <c r="AE914">
        <f t="shared" si="323"/>
        <v>2.8532122003568923E-2</v>
      </c>
      <c r="AG914">
        <f t="shared" si="324"/>
        <v>-0.5960096094325934</v>
      </c>
      <c r="AH914">
        <f t="shared" si="325"/>
        <v>0.14684020393613426</v>
      </c>
      <c r="AI914">
        <f t="shared" si="326"/>
        <v>-0.78546195010884545</v>
      </c>
      <c r="AK914" s="26">
        <f t="shared" si="327"/>
        <v>1.0950553118853429E-2</v>
      </c>
      <c r="AL914" s="26">
        <f t="shared" si="328"/>
        <v>-5.6760401770252211E-3</v>
      </c>
      <c r="AM914" s="26">
        <f t="shared" si="329"/>
        <v>-2.0035630297380036E-3</v>
      </c>
      <c r="AN914" s="26">
        <f t="shared" si="330"/>
        <v>-25.085476190476186</v>
      </c>
      <c r="AO914" s="26">
        <f t="shared" si="331"/>
        <v>-25.868394465894461</v>
      </c>
      <c r="AP914" s="26">
        <f t="shared" si="332"/>
        <v>-23.157939036381521</v>
      </c>
      <c r="AS914" s="2">
        <v>44566</v>
      </c>
      <c r="AT914">
        <v>13.5</v>
      </c>
      <c r="AU914">
        <v>0</v>
      </c>
      <c r="AV914">
        <v>77.900000000000006</v>
      </c>
      <c r="AW914">
        <v>23.5</v>
      </c>
      <c r="AX914">
        <v>27.1</v>
      </c>
      <c r="AY914">
        <v>0.2</v>
      </c>
      <c r="AZ914">
        <v>2.8</v>
      </c>
      <c r="BA914">
        <v>258.11439999999999</v>
      </c>
      <c r="BB914">
        <v>129.7732</v>
      </c>
      <c r="BC914">
        <v>65.382300000000001</v>
      </c>
      <c r="BD914">
        <v>3.0750000000000002</v>
      </c>
      <c r="BE914">
        <v>14.511100000000001</v>
      </c>
      <c r="BF914">
        <v>39.148099999999999</v>
      </c>
      <c r="BG914">
        <v>136.89830000000001</v>
      </c>
      <c r="BH914">
        <v>52.98</v>
      </c>
    </row>
    <row r="915" spans="1:60" x14ac:dyDescent="0.25">
      <c r="A915" s="2">
        <v>44586</v>
      </c>
      <c r="B915">
        <v>10.4</v>
      </c>
      <c r="C915">
        <v>11.8</v>
      </c>
      <c r="D915">
        <v>25.5</v>
      </c>
      <c r="E915">
        <v>5.2</v>
      </c>
      <c r="F915">
        <v>27.53</v>
      </c>
      <c r="G915">
        <v>0.2</v>
      </c>
      <c r="H915">
        <v>2.7</v>
      </c>
      <c r="I915">
        <v>291.55779999999999</v>
      </c>
      <c r="J915">
        <v>262.37450000000001</v>
      </c>
      <c r="K915">
        <v>249.57730000000001</v>
      </c>
      <c r="L915">
        <v>5.0022000000000002</v>
      </c>
      <c r="M915">
        <v>41.574399999999997</v>
      </c>
      <c r="N915">
        <v>-9.0000999999999998</v>
      </c>
      <c r="O915">
        <v>75.204300000000003</v>
      </c>
      <c r="P915">
        <v>40.729999999999997</v>
      </c>
      <c r="S915">
        <f t="shared" si="311"/>
        <v>933.4162</v>
      </c>
      <c r="T915">
        <f t="shared" si="312"/>
        <v>9.749635912033908E-3</v>
      </c>
      <c r="U915">
        <f t="shared" si="313"/>
        <v>1.1062086900192319E-2</v>
      </c>
      <c r="V915">
        <f t="shared" si="314"/>
        <v>2.3905357284313908E-2</v>
      </c>
      <c r="W915">
        <f t="shared" si="315"/>
        <v>4.874817956016954E-3</v>
      </c>
      <c r="X915">
        <f t="shared" si="316"/>
        <v>2.5808411217143605E-2</v>
      </c>
      <c r="Y915">
        <f t="shared" si="317"/>
        <v>1.874929983083444E-4</v>
      </c>
      <c r="Z915">
        <f t="shared" si="318"/>
        <v>2.5311554771626494E-3</v>
      </c>
      <c r="AA915">
        <f t="shared" si="319"/>
        <v>0.27332523051092306</v>
      </c>
      <c r="AB915">
        <f t="shared" si="320"/>
        <v>0.24596690842326352</v>
      </c>
      <c r="AC915">
        <f t="shared" si="321"/>
        <v>0.23396998143350581</v>
      </c>
      <c r="AD915">
        <f t="shared" si="322"/>
        <v>4.6893873806900018E-3</v>
      </c>
      <c r="AE915">
        <f t="shared" si="323"/>
        <v>3.897454454435216E-2</v>
      </c>
      <c r="AG915">
        <f t="shared" si="324"/>
        <v>-0.56491454218867276</v>
      </c>
      <c r="AH915">
        <f t="shared" si="325"/>
        <v>0.11709350228952387</v>
      </c>
      <c r="AI915">
        <f t="shared" si="326"/>
        <v>-1.0295206698383539</v>
      </c>
      <c r="AK915" s="26">
        <f t="shared" si="327"/>
        <v>9.2637500389773364E-3</v>
      </c>
      <c r="AL915" s="26">
        <f t="shared" si="328"/>
        <v>-7.122191740594308E-3</v>
      </c>
      <c r="AM915" s="26">
        <f t="shared" si="329"/>
        <v>-2.3487561197594875E-3</v>
      </c>
      <c r="AN915" s="26">
        <f t="shared" si="330"/>
        <v>-25.153571428571432</v>
      </c>
      <c r="AO915" s="26">
        <f t="shared" si="331"/>
        <v>-25.856727799227784</v>
      </c>
      <c r="AP915" s="26">
        <f t="shared" si="332"/>
        <v>-23.120369714847598</v>
      </c>
      <c r="AS915" s="2">
        <v>44565</v>
      </c>
      <c r="AT915">
        <v>12.7</v>
      </c>
      <c r="AU915">
        <v>0</v>
      </c>
      <c r="AV915">
        <v>67.5</v>
      </c>
      <c r="AW915">
        <v>10.8</v>
      </c>
      <c r="AX915">
        <v>11.38</v>
      </c>
      <c r="AY915">
        <v>0.2</v>
      </c>
      <c r="AZ915">
        <v>3</v>
      </c>
      <c r="BA915">
        <v>277.03890000000001</v>
      </c>
      <c r="BB915">
        <v>181.41399999999999</v>
      </c>
      <c r="BC915">
        <v>111.128</v>
      </c>
      <c r="BD915">
        <v>3.3601000000000001</v>
      </c>
      <c r="BE915">
        <v>35.155200000000001</v>
      </c>
      <c r="BF915">
        <v>47.189900000000002</v>
      </c>
      <c r="BG915">
        <v>142.48769999999999</v>
      </c>
      <c r="BH915">
        <v>53.37</v>
      </c>
    </row>
    <row r="916" spans="1:60" x14ac:dyDescent="0.25">
      <c r="A916" s="2">
        <v>44585</v>
      </c>
      <c r="B916">
        <v>8.9</v>
      </c>
      <c r="C916">
        <v>2.7</v>
      </c>
      <c r="D916">
        <v>34.4</v>
      </c>
      <c r="E916">
        <v>5.4</v>
      </c>
      <c r="F916">
        <v>38.869999999999997</v>
      </c>
      <c r="G916">
        <v>0.2</v>
      </c>
      <c r="H916">
        <v>2.8</v>
      </c>
      <c r="I916">
        <v>290.08760000000001</v>
      </c>
      <c r="J916">
        <v>245.99760000000001</v>
      </c>
      <c r="K916">
        <v>230.1557</v>
      </c>
      <c r="L916">
        <v>3.8595000000000002</v>
      </c>
      <c r="M916">
        <v>36.901600000000002</v>
      </c>
      <c r="N916">
        <v>-13.816599999999999</v>
      </c>
      <c r="O916">
        <v>73.221999999999994</v>
      </c>
      <c r="P916">
        <v>41.45</v>
      </c>
      <c r="S916">
        <f t="shared" si="311"/>
        <v>900.27200000000005</v>
      </c>
      <c r="T916">
        <f t="shared" si="312"/>
        <v>8.3434384247213257E-3</v>
      </c>
      <c r="U916">
        <f t="shared" si="313"/>
        <v>2.5311554771626494E-3</v>
      </c>
      <c r="V916">
        <f t="shared" si="314"/>
        <v>3.224879570903523E-2</v>
      </c>
      <c r="W916">
        <f t="shared" si="315"/>
        <v>5.0623109543252989E-3</v>
      </c>
      <c r="X916">
        <f t="shared" si="316"/>
        <v>3.643926422122673E-2</v>
      </c>
      <c r="Y916">
        <f t="shared" si="317"/>
        <v>1.874929983083444E-4</v>
      </c>
      <c r="Z916">
        <f t="shared" si="318"/>
        <v>2.624901976316821E-3</v>
      </c>
      <c r="AA916">
        <f t="shared" si="319"/>
        <v>0.2719469694803584</v>
      </c>
      <c r="AB916">
        <f t="shared" si="320"/>
        <v>0.2306141380032839</v>
      </c>
      <c r="AC916">
        <f t="shared" si="321"/>
        <v>0.21576291135377909</v>
      </c>
      <c r="AD916">
        <f t="shared" si="322"/>
        <v>3.6181461348552759E-3</v>
      </c>
      <c r="AE916">
        <f t="shared" si="323"/>
        <v>3.4593958131876004E-2</v>
      </c>
      <c r="AG916">
        <f t="shared" si="324"/>
        <v>-0.53179793250522733</v>
      </c>
      <c r="AH916">
        <f t="shared" si="325"/>
        <v>0.1220313178929724</v>
      </c>
      <c r="AI916">
        <f t="shared" si="326"/>
        <v>-0.9868230720818143</v>
      </c>
      <c r="AK916" s="26">
        <f t="shared" si="327"/>
        <v>6.1859431008301768E-3</v>
      </c>
      <c r="AL916" s="26">
        <f t="shared" si="328"/>
        <v>-9.2582822925119934E-3</v>
      </c>
      <c r="AM916" s="26">
        <f t="shared" si="329"/>
        <v>-2.7591291171642773E-3</v>
      </c>
      <c r="AN916" s="26">
        <f t="shared" si="330"/>
        <v>-25.227857142857147</v>
      </c>
      <c r="AO916" s="26">
        <f t="shared" si="331"/>
        <v>-25.843061454311432</v>
      </c>
      <c r="AP916" s="26">
        <f t="shared" si="332"/>
        <v>-23.083253883972475</v>
      </c>
      <c r="AS916" s="2">
        <v>44564</v>
      </c>
      <c r="AT916">
        <v>12.9</v>
      </c>
      <c r="AU916">
        <v>0</v>
      </c>
      <c r="AV916">
        <v>77.099999999999994</v>
      </c>
      <c r="AW916">
        <v>21.3</v>
      </c>
      <c r="AX916">
        <v>23.52</v>
      </c>
      <c r="AY916">
        <v>0.2</v>
      </c>
      <c r="AZ916">
        <v>2.9</v>
      </c>
      <c r="BA916">
        <v>173.63640000000001</v>
      </c>
      <c r="BB916">
        <v>61.197800000000001</v>
      </c>
      <c r="BC916">
        <v>50.594799999999999</v>
      </c>
      <c r="BD916">
        <v>3.5032000000000001</v>
      </c>
      <c r="BE916">
        <v>23.742799999999999</v>
      </c>
      <c r="BF916">
        <v>87.813599999999994</v>
      </c>
      <c r="BG916">
        <v>148.65350000000001</v>
      </c>
      <c r="BH916">
        <v>53.62</v>
      </c>
    </row>
    <row r="917" spans="1:60" x14ac:dyDescent="0.25">
      <c r="A917" s="2">
        <v>44584</v>
      </c>
      <c r="B917">
        <v>8.6999999999999993</v>
      </c>
      <c r="C917">
        <v>3.2</v>
      </c>
      <c r="D917">
        <v>22.3</v>
      </c>
      <c r="E917">
        <v>6.5</v>
      </c>
      <c r="F917">
        <v>26.05</v>
      </c>
      <c r="G917">
        <v>0.2</v>
      </c>
      <c r="H917">
        <v>2.7</v>
      </c>
      <c r="I917">
        <v>293.83870000000002</v>
      </c>
      <c r="J917">
        <v>211.46549999999999</v>
      </c>
      <c r="K917">
        <v>175.51410000000001</v>
      </c>
      <c r="L917">
        <v>3.5935000000000001</v>
      </c>
      <c r="M917">
        <v>14.8406</v>
      </c>
      <c r="P917">
        <v>42.15</v>
      </c>
      <c r="S917">
        <f t="shared" si="311"/>
        <v>768.90239999999994</v>
      </c>
      <c r="T917">
        <f t="shared" si="312"/>
        <v>8.1559454264129791E-3</v>
      </c>
      <c r="U917">
        <f t="shared" si="313"/>
        <v>2.9998879729335104E-3</v>
      </c>
      <c r="V917">
        <f t="shared" si="314"/>
        <v>2.09054693113804E-2</v>
      </c>
      <c r="W917">
        <f t="shared" si="315"/>
        <v>6.0935224450211923E-3</v>
      </c>
      <c r="X917">
        <f t="shared" si="316"/>
        <v>2.4420963029661857E-2</v>
      </c>
      <c r="Y917">
        <f t="shared" si="317"/>
        <v>1.874929983083444E-4</v>
      </c>
      <c r="Z917">
        <f t="shared" si="318"/>
        <v>2.5311554771626494E-3</v>
      </c>
      <c r="AA917">
        <f t="shared" si="319"/>
        <v>0.27546349441013057</v>
      </c>
      <c r="AB917">
        <f t="shared" si="320"/>
        <v>0.19824150316886599</v>
      </c>
      <c r="AC917">
        <f t="shared" si="321"/>
        <v>0.16453832427195295</v>
      </c>
      <c r="AD917">
        <f t="shared" si="322"/>
        <v>3.368780447105178E-3</v>
      </c>
      <c r="AE917">
        <f t="shared" si="323"/>
        <v>1.3912542953474079E-2</v>
      </c>
      <c r="AG917">
        <f t="shared" si="324"/>
        <v>-0.49961070090084503</v>
      </c>
      <c r="AH917">
        <f t="shared" si="325"/>
        <v>7.9206979614355022E-2</v>
      </c>
      <c r="AI917">
        <f t="shared" si="326"/>
        <v>-1.3373560384794565</v>
      </c>
      <c r="AK917" s="26">
        <f t="shared" si="327"/>
        <v>8.8327973823656147E-3</v>
      </c>
      <c r="AL917" s="26">
        <f t="shared" si="328"/>
        <v>-9.2318501382991636E-3</v>
      </c>
      <c r="AM917" s="26">
        <f t="shared" si="329"/>
        <v>-2.9352735754053783E-3</v>
      </c>
      <c r="AN917" s="26">
        <f t="shared" si="330"/>
        <v>-25.322142857142858</v>
      </c>
      <c r="AO917" s="26">
        <f t="shared" si="331"/>
        <v>-25.825583976833947</v>
      </c>
      <c r="AP917" s="26">
        <f t="shared" si="332"/>
        <v>-23.047436381514245</v>
      </c>
      <c r="AS917" s="2">
        <v>44563</v>
      </c>
      <c r="AT917">
        <v>13.4</v>
      </c>
      <c r="AU917">
        <v>0</v>
      </c>
      <c r="AV917">
        <v>86.8</v>
      </c>
      <c r="AW917">
        <v>20.5</v>
      </c>
      <c r="AX917">
        <v>14.73</v>
      </c>
      <c r="AY917">
        <v>0.1</v>
      </c>
      <c r="AZ917">
        <v>2.9</v>
      </c>
      <c r="BA917">
        <v>81.490499999999997</v>
      </c>
      <c r="BB917">
        <v>39.309699999999999</v>
      </c>
      <c r="BC917">
        <v>32.356200000000001</v>
      </c>
      <c r="BD917">
        <v>3.504</v>
      </c>
      <c r="BE917">
        <v>16.330200000000001</v>
      </c>
      <c r="BH917">
        <v>53.76</v>
      </c>
    </row>
    <row r="918" spans="1:60" x14ac:dyDescent="0.25">
      <c r="A918" s="2">
        <v>44583</v>
      </c>
      <c r="B918">
        <v>8.6</v>
      </c>
      <c r="C918">
        <v>3.3</v>
      </c>
      <c r="D918">
        <v>42.9</v>
      </c>
      <c r="E918">
        <v>10.199999999999999</v>
      </c>
      <c r="F918">
        <v>21.66</v>
      </c>
      <c r="G918">
        <v>0.2</v>
      </c>
      <c r="H918">
        <v>3</v>
      </c>
      <c r="I918">
        <v>274.15940000000001</v>
      </c>
      <c r="J918">
        <v>167.04239999999999</v>
      </c>
      <c r="K918">
        <v>174.00919999999999</v>
      </c>
      <c r="L918">
        <v>3.6253000000000002</v>
      </c>
      <c r="M918">
        <v>21.782299999999999</v>
      </c>
      <c r="P918">
        <v>42.7</v>
      </c>
      <c r="S918">
        <f t="shared" si="311"/>
        <v>730.47859999999991</v>
      </c>
      <c r="T918">
        <f t="shared" si="312"/>
        <v>8.0621989272588075E-3</v>
      </c>
      <c r="U918">
        <f t="shared" si="313"/>
        <v>3.0936344720876819E-3</v>
      </c>
      <c r="V918">
        <f t="shared" si="314"/>
        <v>4.0217248137139866E-2</v>
      </c>
      <c r="W918">
        <f t="shared" si="315"/>
        <v>9.5621429137255631E-3</v>
      </c>
      <c r="X918">
        <f t="shared" si="316"/>
        <v>2.0305491716793696E-2</v>
      </c>
      <c r="Y918">
        <f t="shared" si="317"/>
        <v>1.874929983083444E-4</v>
      </c>
      <c r="Z918">
        <f t="shared" si="318"/>
        <v>2.8123949746251659E-3</v>
      </c>
      <c r="AA918">
        <f t="shared" si="319"/>
        <v>0.25701483960208354</v>
      </c>
      <c r="AB918">
        <f t="shared" si="320"/>
        <v>0.15659640210310891</v>
      </c>
      <c r="AC918">
        <f t="shared" si="321"/>
        <v>0.16312753320618179</v>
      </c>
      <c r="AD918">
        <f t="shared" si="322"/>
        <v>3.3985918338362048E-3</v>
      </c>
      <c r="AE918">
        <f t="shared" si="323"/>
        <v>2.0420143685259247E-2</v>
      </c>
      <c r="AG918">
        <f t="shared" si="324"/>
        <v>-0.47473449123053707</v>
      </c>
      <c r="AH918">
        <f t="shared" si="325"/>
        <v>0.10466074782519838</v>
      </c>
      <c r="AI918">
        <f t="shared" si="326"/>
        <v>-1.1279692008719897</v>
      </c>
      <c r="AK918" s="26">
        <f t="shared" si="327"/>
        <v>1.402390933035022E-2</v>
      </c>
      <c r="AL918" s="26">
        <f t="shared" si="328"/>
        <v>-7.7317829813596528E-3</v>
      </c>
      <c r="AM918" s="26">
        <f t="shared" si="329"/>
        <v>-2.1847279457765933E-3</v>
      </c>
      <c r="AN918" s="26">
        <f t="shared" si="330"/>
        <v>-25.4342857142857</v>
      </c>
      <c r="AO918" s="26">
        <f t="shared" si="331"/>
        <v>-25.804755469755428</v>
      </c>
      <c r="AP918" s="26">
        <f t="shared" si="332"/>
        <v>-23.014201769911494</v>
      </c>
      <c r="AS918" s="2">
        <v>44562</v>
      </c>
      <c r="AT918">
        <v>14.9</v>
      </c>
      <c r="AU918">
        <v>0</v>
      </c>
      <c r="AV918">
        <v>74.400000000000006</v>
      </c>
      <c r="AW918">
        <v>13.3</v>
      </c>
      <c r="AX918">
        <v>22.76</v>
      </c>
      <c r="AY918">
        <v>0.1</v>
      </c>
      <c r="AZ918">
        <v>2.7</v>
      </c>
      <c r="BA918">
        <v>110.6468</v>
      </c>
      <c r="BB918">
        <v>46.241500000000002</v>
      </c>
      <c r="BC918">
        <v>32.068100000000001</v>
      </c>
      <c r="BD918">
        <v>3.4971999999999999</v>
      </c>
      <c r="BE918">
        <v>25.755299999999998</v>
      </c>
      <c r="BH918">
        <v>53.77</v>
      </c>
    </row>
    <row r="919" spans="1:60" x14ac:dyDescent="0.25">
      <c r="A919" s="2">
        <v>44582</v>
      </c>
      <c r="B919">
        <v>8.6999999999999993</v>
      </c>
      <c r="C919">
        <v>41.3</v>
      </c>
      <c r="D919">
        <v>87.2</v>
      </c>
      <c r="E919">
        <v>16.899999999999999</v>
      </c>
      <c r="F919">
        <v>45.68</v>
      </c>
      <c r="G919">
        <v>0.2</v>
      </c>
      <c r="H919">
        <v>2.9</v>
      </c>
      <c r="I919">
        <v>262.02379999999999</v>
      </c>
      <c r="J919">
        <v>191.4982</v>
      </c>
      <c r="K919">
        <v>151.6079</v>
      </c>
      <c r="L919">
        <v>3.6587000000000001</v>
      </c>
      <c r="M919">
        <v>31.993600000000001</v>
      </c>
      <c r="N919">
        <v>-6.7896000000000001</v>
      </c>
      <c r="O919">
        <v>55.351599999999998</v>
      </c>
      <c r="P919">
        <v>43.28</v>
      </c>
      <c r="S919">
        <f t="shared" si="311"/>
        <v>843.66219999999998</v>
      </c>
      <c r="T919">
        <f t="shared" si="312"/>
        <v>8.1559454264129791E-3</v>
      </c>
      <c r="U919">
        <f t="shared" si="313"/>
        <v>3.8717304150673114E-2</v>
      </c>
      <c r="V919">
        <f t="shared" si="314"/>
        <v>8.1746947262438155E-2</v>
      </c>
      <c r="W919">
        <f t="shared" si="315"/>
        <v>1.58431583570551E-2</v>
      </c>
      <c r="X919">
        <f t="shared" si="316"/>
        <v>4.2823400813625859E-2</v>
      </c>
      <c r="Y919">
        <f t="shared" si="317"/>
        <v>1.874929983083444E-4</v>
      </c>
      <c r="Z919">
        <f t="shared" si="318"/>
        <v>2.7186484754709935E-3</v>
      </c>
      <c r="AA919">
        <f t="shared" si="319"/>
        <v>0.24563813945072982</v>
      </c>
      <c r="AB919">
        <f t="shared" si="320"/>
        <v>0.17952285844325497</v>
      </c>
      <c r="AC919">
        <f t="shared" si="321"/>
        <v>0.14212709869115822</v>
      </c>
      <c r="AD919">
        <f t="shared" si="322"/>
        <v>3.4299031645536981E-3</v>
      </c>
      <c r="AE919">
        <f t="shared" si="323"/>
        <v>2.9992879953389236E-2</v>
      </c>
      <c r="AG919">
        <f t="shared" si="324"/>
        <v>-0.44833899920273451</v>
      </c>
      <c r="AH919">
        <f t="shared" si="325"/>
        <v>0.22018577743737378</v>
      </c>
      <c r="AI919">
        <f t="shared" si="326"/>
        <v>-0.17387510828470829</v>
      </c>
      <c r="AK919" s="26">
        <f t="shared" si="327"/>
        <v>1.6246375442274197E-2</v>
      </c>
      <c r="AL919" s="26">
        <f t="shared" si="328"/>
        <v>-7.7570867691674483E-3</v>
      </c>
      <c r="AM919" s="26">
        <f t="shared" si="329"/>
        <v>-9.505158906028266E-4</v>
      </c>
      <c r="AN919" s="26">
        <f t="shared" si="330"/>
        <v>-25.567857142857136</v>
      </c>
      <c r="AO919" s="26">
        <f t="shared" si="331"/>
        <v>-25.77949163449162</v>
      </c>
      <c r="AP919" s="26">
        <f t="shared" si="332"/>
        <v>-22.982180530973451</v>
      </c>
      <c r="AS919" s="2">
        <v>44561</v>
      </c>
      <c r="AT919">
        <v>15.5</v>
      </c>
      <c r="AU919">
        <v>0</v>
      </c>
      <c r="AV919">
        <v>84</v>
      </c>
      <c r="AW919">
        <v>22.5</v>
      </c>
      <c r="AX919">
        <v>45.17</v>
      </c>
      <c r="AY919">
        <v>0.1</v>
      </c>
      <c r="AZ919">
        <v>2.8</v>
      </c>
      <c r="BA919">
        <v>85.399299999999997</v>
      </c>
      <c r="BB919">
        <v>39.854300000000002</v>
      </c>
      <c r="BC919">
        <v>33.567300000000003</v>
      </c>
      <c r="BD919">
        <v>3.4839000000000002</v>
      </c>
      <c r="BE919">
        <v>23.325900000000001</v>
      </c>
      <c r="BF919">
        <v>16.7256</v>
      </c>
      <c r="BG919">
        <v>76.218299999999999</v>
      </c>
      <c r="BH919">
        <v>53.54</v>
      </c>
    </row>
    <row r="920" spans="1:60" x14ac:dyDescent="0.25">
      <c r="A920" s="2">
        <v>44581</v>
      </c>
      <c r="B920">
        <v>9</v>
      </c>
      <c r="C920">
        <v>5.0999999999999996</v>
      </c>
      <c r="D920">
        <v>79.599999999999994</v>
      </c>
      <c r="E920">
        <v>25.4</v>
      </c>
      <c r="F920">
        <v>39.75</v>
      </c>
      <c r="G920">
        <v>0.2</v>
      </c>
      <c r="H920">
        <v>2.9</v>
      </c>
      <c r="I920">
        <v>229.09039999999999</v>
      </c>
      <c r="J920">
        <v>169.2182</v>
      </c>
      <c r="K920">
        <v>96.9602</v>
      </c>
      <c r="L920">
        <v>3.6579000000000002</v>
      </c>
      <c r="M920">
        <v>28.161100000000001</v>
      </c>
      <c r="N920">
        <v>-9.5310000000000006</v>
      </c>
      <c r="O920">
        <v>46.944800000000001</v>
      </c>
      <c r="P920">
        <v>43.97</v>
      </c>
      <c r="S920">
        <f t="shared" si="311"/>
        <v>689.03780000000006</v>
      </c>
      <c r="T920">
        <f t="shared" si="312"/>
        <v>8.4371849238754973E-3</v>
      </c>
      <c r="U920">
        <f t="shared" si="313"/>
        <v>4.7810714568627816E-3</v>
      </c>
      <c r="V920">
        <f t="shared" si="314"/>
        <v>7.462221332672106E-2</v>
      </c>
      <c r="W920">
        <f t="shared" si="315"/>
        <v>2.3811610785159736E-2</v>
      </c>
      <c r="X920">
        <f t="shared" si="316"/>
        <v>3.7264233413783446E-2</v>
      </c>
      <c r="Y920">
        <f t="shared" si="317"/>
        <v>1.874929983083444E-4</v>
      </c>
      <c r="Z920">
        <f t="shared" si="318"/>
        <v>2.7186484754709935E-3</v>
      </c>
      <c r="AA920">
        <f t="shared" si="319"/>
        <v>0.21476422989828967</v>
      </c>
      <c r="AB920">
        <f t="shared" si="320"/>
        <v>0.1586361384317054</v>
      </c>
      <c r="AC920">
        <f t="shared" si="321"/>
        <v>9.0896793072883661E-2</v>
      </c>
      <c r="AD920">
        <f t="shared" si="322"/>
        <v>3.4291531925604649E-3</v>
      </c>
      <c r="AE920">
        <f t="shared" si="323"/>
        <v>2.6400045373305585E-2</v>
      </c>
      <c r="AG920">
        <f t="shared" si="324"/>
        <v>-0.41648358816297021</v>
      </c>
      <c r="AH920">
        <f t="shared" si="325"/>
        <v>0.17822250075348745</v>
      </c>
      <c r="AI920">
        <f t="shared" si="326"/>
        <v>-0.51886403790586655</v>
      </c>
      <c r="AK920" s="26">
        <f t="shared" si="327"/>
        <v>1.9156175261580061E-2</v>
      </c>
      <c r="AL920" s="26">
        <f t="shared" si="328"/>
        <v>-8.2165347872105166E-3</v>
      </c>
      <c r="AM920" s="26">
        <f t="shared" si="329"/>
        <v>-8.025426001086744E-4</v>
      </c>
      <c r="AN920" s="26">
        <f t="shared" si="330"/>
        <v>-25.725000000000001</v>
      </c>
      <c r="AO920" s="26">
        <f t="shared" si="331"/>
        <v>-25.749969433719407</v>
      </c>
      <c r="AP920" s="26">
        <f t="shared" si="332"/>
        <v>-22.951194493608625</v>
      </c>
      <c r="AS920" s="2">
        <v>44560</v>
      </c>
      <c r="AT920">
        <v>15.2</v>
      </c>
      <c r="AU920">
        <v>0</v>
      </c>
      <c r="AV920">
        <v>84</v>
      </c>
      <c r="AW920">
        <v>25.5</v>
      </c>
      <c r="AX920">
        <v>14.62</v>
      </c>
      <c r="AY920">
        <v>0.1</v>
      </c>
      <c r="AZ920">
        <v>2.8</v>
      </c>
      <c r="BA920">
        <v>125.501</v>
      </c>
      <c r="BB920">
        <v>58.863</v>
      </c>
      <c r="BC920">
        <v>40.503700000000002</v>
      </c>
      <c r="BD920">
        <v>3.5903</v>
      </c>
      <c r="BE920">
        <v>27.913499999999999</v>
      </c>
      <c r="BF920">
        <v>15.990399999999999</v>
      </c>
      <c r="BG920">
        <v>110.9439</v>
      </c>
      <c r="BH920">
        <v>53.41</v>
      </c>
    </row>
    <row r="921" spans="1:60" x14ac:dyDescent="0.25">
      <c r="A921" s="2">
        <v>44580</v>
      </c>
      <c r="B921">
        <v>9.8000000000000007</v>
      </c>
      <c r="C921">
        <v>0.7</v>
      </c>
      <c r="D921">
        <v>88.1</v>
      </c>
      <c r="E921">
        <v>19.7</v>
      </c>
      <c r="F921">
        <v>51.34</v>
      </c>
      <c r="G921">
        <v>0.2</v>
      </c>
      <c r="H921">
        <v>2.9</v>
      </c>
      <c r="I921">
        <v>277.40350000000001</v>
      </c>
      <c r="J921">
        <v>217.26259999999999</v>
      </c>
      <c r="K921">
        <v>132.01900000000001</v>
      </c>
      <c r="L921">
        <v>3.7063999999999999</v>
      </c>
      <c r="M921">
        <v>18.431699999999999</v>
      </c>
      <c r="N921">
        <v>-6.798</v>
      </c>
      <c r="O921">
        <v>50.803899999999999</v>
      </c>
      <c r="P921">
        <v>44.62</v>
      </c>
      <c r="S921">
        <f t="shared" si="311"/>
        <v>821.56320000000005</v>
      </c>
      <c r="T921">
        <f t="shared" si="312"/>
        <v>9.1871569171088751E-3</v>
      </c>
      <c r="U921">
        <f t="shared" si="313"/>
        <v>6.5622549407920526E-4</v>
      </c>
      <c r="V921">
        <f t="shared" si="314"/>
        <v>8.2590665754825696E-2</v>
      </c>
      <c r="W921">
        <f t="shared" si="315"/>
        <v>1.8468060333371922E-2</v>
      </c>
      <c r="X921">
        <f t="shared" si="316"/>
        <v>4.8129452665752005E-2</v>
      </c>
      <c r="Y921">
        <f t="shared" si="317"/>
        <v>1.874929983083444E-4</v>
      </c>
      <c r="Z921">
        <f t="shared" si="318"/>
        <v>2.7186484754709935E-3</v>
      </c>
      <c r="AA921">
        <f t="shared" si="319"/>
        <v>0.26005606978114404</v>
      </c>
      <c r="AB921">
        <f t="shared" si="320"/>
        <v>0.20367608147133251</v>
      </c>
      <c r="AC921">
        <f t="shared" si="321"/>
        <v>0.12376319071834659</v>
      </c>
      <c r="AD921">
        <f t="shared" si="322"/>
        <v>3.4746202446502379E-3</v>
      </c>
      <c r="AE921">
        <f t="shared" si="323"/>
        <v>1.7279073484599554E-2</v>
      </c>
      <c r="AG921">
        <f t="shared" si="324"/>
        <v>-0.3865388090931911</v>
      </c>
      <c r="AH921">
        <f t="shared" si="325"/>
        <v>0.17921677612351658</v>
      </c>
      <c r="AI921">
        <f t="shared" si="326"/>
        <v>-0.51034362452387416</v>
      </c>
      <c r="AK921" s="26">
        <f t="shared" si="327"/>
        <v>1.8641984641957432E-2</v>
      </c>
      <c r="AL921" s="26">
        <f t="shared" si="328"/>
        <v>-9.4507443831274435E-3</v>
      </c>
      <c r="AM921" s="26">
        <f t="shared" si="329"/>
        <v>-1.4118020825881761E-3</v>
      </c>
      <c r="AN921" s="26">
        <f t="shared" si="330"/>
        <v>-25.906190476190488</v>
      </c>
      <c r="AO921" s="26">
        <f t="shared" si="331"/>
        <v>-25.715463320463293</v>
      </c>
      <c r="AP921" s="26">
        <f t="shared" si="332"/>
        <v>-22.920707571288091</v>
      </c>
      <c r="AS921" s="2">
        <v>44559</v>
      </c>
      <c r="AT921">
        <v>12.6</v>
      </c>
      <c r="AU921">
        <v>0</v>
      </c>
      <c r="AV921">
        <v>26.3</v>
      </c>
      <c r="AW921">
        <v>7.7</v>
      </c>
      <c r="AX921">
        <v>15.8</v>
      </c>
      <c r="AY921">
        <v>0.1</v>
      </c>
      <c r="AZ921">
        <v>3</v>
      </c>
      <c r="BA921">
        <v>289.55560000000003</v>
      </c>
      <c r="BB921">
        <v>125.6508</v>
      </c>
      <c r="BC921">
        <v>58.215000000000003</v>
      </c>
      <c r="BD921">
        <v>3.6480000000000001</v>
      </c>
      <c r="BE921">
        <v>31.279299999999999</v>
      </c>
      <c r="BF921">
        <v>15.900499999999999</v>
      </c>
      <c r="BG921">
        <v>132.68709999999999</v>
      </c>
      <c r="BH921">
        <v>53.44</v>
      </c>
    </row>
    <row r="922" spans="1:60" x14ac:dyDescent="0.25">
      <c r="A922" s="2">
        <v>44579</v>
      </c>
      <c r="B922">
        <v>9.9</v>
      </c>
      <c r="C922">
        <v>9.4</v>
      </c>
      <c r="D922">
        <v>39.200000000000003</v>
      </c>
      <c r="E922">
        <v>8.3000000000000007</v>
      </c>
      <c r="F922">
        <v>32.03</v>
      </c>
      <c r="G922">
        <v>0.1</v>
      </c>
      <c r="H922">
        <v>2.8</v>
      </c>
      <c r="I922">
        <v>300.50720000000001</v>
      </c>
      <c r="J922">
        <v>265.03030000000001</v>
      </c>
      <c r="K922">
        <v>218.93539999999999</v>
      </c>
      <c r="L922">
        <v>4.4606000000000003</v>
      </c>
      <c r="M922">
        <v>34.7791</v>
      </c>
      <c r="N922">
        <v>-5.1825999999999999</v>
      </c>
      <c r="O922">
        <v>56.649799999999999</v>
      </c>
      <c r="P922">
        <v>45.24</v>
      </c>
      <c r="S922">
        <f t="shared" si="311"/>
        <v>925.44259999999997</v>
      </c>
      <c r="T922">
        <f t="shared" si="312"/>
        <v>9.2809034162630467E-3</v>
      </c>
      <c r="U922">
        <f t="shared" si="313"/>
        <v>8.8121709204921871E-3</v>
      </c>
      <c r="V922">
        <f t="shared" si="314"/>
        <v>3.67486276684355E-2</v>
      </c>
      <c r="W922">
        <f t="shared" si="315"/>
        <v>7.7809594297962928E-3</v>
      </c>
      <c r="X922">
        <f t="shared" si="316"/>
        <v>3.0027003679081354E-2</v>
      </c>
      <c r="Y922">
        <f t="shared" si="317"/>
        <v>9.3746499154172199E-5</v>
      </c>
      <c r="Z922">
        <f t="shared" si="318"/>
        <v>2.624901976316821E-3</v>
      </c>
      <c r="AA922">
        <f t="shared" si="319"/>
        <v>0.28171497970622655</v>
      </c>
      <c r="AB922">
        <f t="shared" si="320"/>
        <v>0.24845662794780002</v>
      </c>
      <c r="AC922">
        <f t="shared" si="321"/>
        <v>0.20524427290918348</v>
      </c>
      <c r="AD922">
        <f t="shared" si="322"/>
        <v>4.1816563412710051E-3</v>
      </c>
      <c r="AE922">
        <f t="shared" si="323"/>
        <v>3.26041886873287E-2</v>
      </c>
      <c r="AG922">
        <f t="shared" si="324"/>
        <v>-0.35803781431795823</v>
      </c>
      <c r="AH922">
        <f t="shared" si="325"/>
        <v>0.12797250227686807</v>
      </c>
      <c r="AI922">
        <f t="shared" si="326"/>
        <v>-0.93159229872680438</v>
      </c>
      <c r="AK922" s="26">
        <f t="shared" si="327"/>
        <v>1.4725371974390278E-2</v>
      </c>
      <c r="AL922" s="26">
        <f t="shared" si="328"/>
        <v>-9.682902128785878E-3</v>
      </c>
      <c r="AM922" s="26">
        <f t="shared" si="329"/>
        <v>-1.6007069308276167E-3</v>
      </c>
      <c r="AN922" s="26">
        <f t="shared" si="330"/>
        <v>-26.100714285714297</v>
      </c>
      <c r="AO922" s="26">
        <f t="shared" si="331"/>
        <v>-25.673819176319142</v>
      </c>
      <c r="AP922" s="26">
        <f t="shared" si="332"/>
        <v>-22.891785250737442</v>
      </c>
      <c r="AS922" s="2">
        <v>44558</v>
      </c>
      <c r="AT922">
        <v>10.4</v>
      </c>
      <c r="AU922">
        <v>0</v>
      </c>
      <c r="AV922">
        <v>49.8</v>
      </c>
      <c r="AW922">
        <v>14.4</v>
      </c>
      <c r="AX922">
        <v>15.6</v>
      </c>
      <c r="AY922">
        <v>0.1</v>
      </c>
      <c r="AZ922">
        <v>3.2</v>
      </c>
      <c r="BA922">
        <v>268.07380000000001</v>
      </c>
      <c r="BB922">
        <v>92.610900000000001</v>
      </c>
      <c r="BC922">
        <v>51.139099999999999</v>
      </c>
      <c r="BD922">
        <v>3.6634000000000002</v>
      </c>
      <c r="BE922">
        <v>22.429099999999998</v>
      </c>
      <c r="BF922">
        <v>13.313499999999999</v>
      </c>
      <c r="BG922">
        <v>140.38149999999999</v>
      </c>
      <c r="BH922">
        <v>53.55</v>
      </c>
    </row>
    <row r="923" spans="1:60" x14ac:dyDescent="0.25">
      <c r="A923" s="2">
        <v>44578</v>
      </c>
      <c r="B923">
        <v>9.1999999999999993</v>
      </c>
      <c r="C923">
        <v>2.1</v>
      </c>
      <c r="D923">
        <v>64.599999999999994</v>
      </c>
      <c r="E923">
        <v>23</v>
      </c>
      <c r="F923">
        <v>22.23</v>
      </c>
      <c r="G923">
        <v>0.1</v>
      </c>
      <c r="H923">
        <v>2.6</v>
      </c>
      <c r="I923">
        <v>229.94460000000001</v>
      </c>
      <c r="J923">
        <v>177.58590000000001</v>
      </c>
      <c r="K923">
        <v>104.66160000000001</v>
      </c>
      <c r="L923">
        <v>3.8971</v>
      </c>
      <c r="M923">
        <v>23.761800000000001</v>
      </c>
      <c r="N923">
        <v>-1.7457</v>
      </c>
      <c r="O923">
        <v>61.624000000000002</v>
      </c>
      <c r="P923">
        <v>45.93</v>
      </c>
      <c r="S923">
        <f t="shared" si="311"/>
        <v>663.68100000000004</v>
      </c>
      <c r="T923">
        <f t="shared" si="312"/>
        <v>8.6246779221838404E-3</v>
      </c>
      <c r="U923">
        <f t="shared" si="313"/>
        <v>1.9686764822376161E-3</v>
      </c>
      <c r="V923">
        <f t="shared" si="314"/>
        <v>6.0560238453595233E-2</v>
      </c>
      <c r="W923">
        <f t="shared" si="315"/>
        <v>2.1561694805459605E-2</v>
      </c>
      <c r="X923">
        <f t="shared" si="316"/>
        <v>2.0839846761972477E-2</v>
      </c>
      <c r="Y923">
        <f t="shared" si="317"/>
        <v>9.3746499154172199E-5</v>
      </c>
      <c r="Z923">
        <f t="shared" si="318"/>
        <v>2.437408978008477E-3</v>
      </c>
      <c r="AA923">
        <f t="shared" si="319"/>
        <v>0.21556501249406462</v>
      </c>
      <c r="AB923">
        <f t="shared" si="320"/>
        <v>0.16648056424142907</v>
      </c>
      <c r="AC923">
        <f t="shared" si="321"/>
        <v>9.8116585958743091E-2</v>
      </c>
      <c r="AD923">
        <f t="shared" si="322"/>
        <v>3.6533948185372444E-3</v>
      </c>
      <c r="AE923">
        <f t="shared" si="323"/>
        <v>2.2275855636016088E-2</v>
      </c>
      <c r="AG923">
        <f t="shared" si="324"/>
        <v>-0.32607658208545176</v>
      </c>
      <c r="AH923">
        <f t="shared" si="325"/>
        <v>0.13836214553862752</v>
      </c>
      <c r="AI923">
        <f t="shared" si="326"/>
        <v>-0.84544216988748688</v>
      </c>
      <c r="AK923" s="26">
        <f t="shared" si="327"/>
        <v>1.3836242231400536E-2</v>
      </c>
      <c r="AL923" s="26">
        <f t="shared" si="328"/>
        <v>-1.0199340809365742E-2</v>
      </c>
      <c r="AM923" s="26">
        <f t="shared" si="329"/>
        <v>-1.4077643498914549E-3</v>
      </c>
      <c r="AN923" s="26">
        <f t="shared" si="330"/>
        <v>-26.300714285714307</v>
      </c>
      <c r="AO923" s="26">
        <f t="shared" si="331"/>
        <v>-25.62316280566278</v>
      </c>
      <c r="AP923" s="26">
        <f t="shared" si="332"/>
        <v>-22.861852900688262</v>
      </c>
      <c r="AS923" s="2">
        <v>44557</v>
      </c>
      <c r="AT923">
        <v>9.9</v>
      </c>
      <c r="AU923">
        <v>0</v>
      </c>
      <c r="AV923">
        <v>55.2</v>
      </c>
      <c r="AW923">
        <v>12.7</v>
      </c>
      <c r="AX923">
        <v>23.98</v>
      </c>
      <c r="AY923">
        <v>0.2</v>
      </c>
      <c r="AZ923">
        <v>3</v>
      </c>
      <c r="BA923">
        <v>295.7441</v>
      </c>
      <c r="BB923">
        <v>112.6934</v>
      </c>
      <c r="BC923">
        <v>68.273200000000003</v>
      </c>
      <c r="BD923">
        <v>3.6949999999999998</v>
      </c>
      <c r="BE923">
        <v>30.388300000000001</v>
      </c>
      <c r="BF923">
        <v>10.148899999999999</v>
      </c>
      <c r="BG923">
        <v>139.0514</v>
      </c>
      <c r="BH923">
        <v>53.78</v>
      </c>
    </row>
    <row r="924" spans="1:60" x14ac:dyDescent="0.25">
      <c r="A924" s="2">
        <v>44577</v>
      </c>
      <c r="B924">
        <v>10</v>
      </c>
      <c r="C924">
        <v>1.6</v>
      </c>
      <c r="D924">
        <v>65.2</v>
      </c>
      <c r="E924">
        <v>15.8</v>
      </c>
      <c r="F924">
        <v>25.95</v>
      </c>
      <c r="G924">
        <v>0.1</v>
      </c>
      <c r="H924">
        <v>3.1</v>
      </c>
      <c r="I924">
        <v>234.49809999999999</v>
      </c>
      <c r="J924">
        <v>171.1729</v>
      </c>
      <c r="K924">
        <v>88.350700000000003</v>
      </c>
      <c r="L924">
        <v>4.0174000000000003</v>
      </c>
      <c r="M924">
        <v>15.2562</v>
      </c>
      <c r="P924">
        <v>46.57</v>
      </c>
      <c r="S924">
        <f t="shared" si="311"/>
        <v>635.04529999999988</v>
      </c>
      <c r="T924">
        <f t="shared" si="312"/>
        <v>9.3746499154172182E-3</v>
      </c>
      <c r="U924">
        <f t="shared" si="313"/>
        <v>1.4999439864667552E-3</v>
      </c>
      <c r="V924">
        <f t="shared" si="314"/>
        <v>6.112271744852027E-2</v>
      </c>
      <c r="W924">
        <f t="shared" si="315"/>
        <v>1.4811946866359206E-2</v>
      </c>
      <c r="X924">
        <f t="shared" si="316"/>
        <v>2.4327216530507682E-2</v>
      </c>
      <c r="Y924">
        <f t="shared" si="317"/>
        <v>9.3746499154172199E-5</v>
      </c>
      <c r="Z924">
        <f t="shared" si="318"/>
        <v>2.9061414737793379E-3</v>
      </c>
      <c r="AA924">
        <f t="shared" si="319"/>
        <v>0.21983375933304986</v>
      </c>
      <c r="AB924">
        <f t="shared" si="320"/>
        <v>0.160468601250672</v>
      </c>
      <c r="AC924">
        <f t="shared" si="321"/>
        <v>8.2825688228205213E-2</v>
      </c>
      <c r="AD924">
        <f t="shared" si="322"/>
        <v>3.7661718570197139E-3</v>
      </c>
      <c r="AE924">
        <f t="shared" si="323"/>
        <v>1.4302153403958818E-2</v>
      </c>
      <c r="AG924">
        <f t="shared" si="324"/>
        <v>-0.29658270790845698</v>
      </c>
      <c r="AH924">
        <f t="shared" si="325"/>
        <v>0.12843851612416343</v>
      </c>
      <c r="AI924">
        <f t="shared" si="326"/>
        <v>-0.92477019818079109</v>
      </c>
      <c r="AK924" s="26">
        <f t="shared" si="327"/>
        <v>1.2499323406962914E-2</v>
      </c>
      <c r="AL924" s="26">
        <f t="shared" si="328"/>
        <v>-1.0959520598887232E-2</v>
      </c>
      <c r="AM924" s="26">
        <f t="shared" si="329"/>
        <v>-1.9000397681037673E-3</v>
      </c>
      <c r="AN924" s="26">
        <f t="shared" si="330"/>
        <v>-26.503333333333366</v>
      </c>
      <c r="AO924" s="26">
        <f t="shared" si="331"/>
        <v>-25.566611969111925</v>
      </c>
      <c r="AP924" s="26">
        <f t="shared" si="332"/>
        <v>-22.832771681415906</v>
      </c>
      <c r="AS924" s="2">
        <v>44556</v>
      </c>
      <c r="AT924">
        <v>9.6999999999999993</v>
      </c>
      <c r="AU924">
        <v>0</v>
      </c>
      <c r="AV924">
        <v>49.2</v>
      </c>
      <c r="AW924">
        <v>9</v>
      </c>
      <c r="AX924">
        <v>25.09</v>
      </c>
      <c r="AY924">
        <v>0.2</v>
      </c>
      <c r="AZ924">
        <v>2.9</v>
      </c>
      <c r="BA924">
        <v>291.71940000000001</v>
      </c>
      <c r="BB924">
        <v>109.0496</v>
      </c>
      <c r="BC924">
        <v>64.314999999999998</v>
      </c>
      <c r="BD924">
        <v>3.6261000000000001</v>
      </c>
      <c r="BE924">
        <v>16.316099999999999</v>
      </c>
      <c r="BH924">
        <v>54.08</v>
      </c>
    </row>
    <row r="925" spans="1:60" x14ac:dyDescent="0.25">
      <c r="A925" s="2">
        <v>44576</v>
      </c>
      <c r="B925">
        <v>10.7</v>
      </c>
      <c r="C925">
        <v>0.8</v>
      </c>
      <c r="D925">
        <v>15</v>
      </c>
      <c r="E925">
        <v>3.2</v>
      </c>
      <c r="F925">
        <v>31.78</v>
      </c>
      <c r="G925">
        <v>0.1</v>
      </c>
      <c r="H925">
        <v>3.3</v>
      </c>
      <c r="I925">
        <v>272.74740000000003</v>
      </c>
      <c r="J925">
        <v>246.25579999999999</v>
      </c>
      <c r="K925">
        <v>172.93029999999999</v>
      </c>
      <c r="L925">
        <v>3.9967999999999999</v>
      </c>
      <c r="M925">
        <v>18.438600000000001</v>
      </c>
      <c r="P925">
        <v>47.06</v>
      </c>
      <c r="S925">
        <f t="shared" si="311"/>
        <v>779.24889999999994</v>
      </c>
      <c r="T925">
        <f t="shared" si="312"/>
        <v>1.0030875409496424E-2</v>
      </c>
      <c r="U925">
        <f t="shared" si="313"/>
        <v>7.4997199323337759E-4</v>
      </c>
      <c r="V925">
        <f t="shared" si="314"/>
        <v>1.4061974873125828E-2</v>
      </c>
      <c r="W925">
        <f t="shared" si="315"/>
        <v>2.9998879729335104E-3</v>
      </c>
      <c r="X925">
        <f t="shared" si="316"/>
        <v>2.9792637431195923E-2</v>
      </c>
      <c r="Y925">
        <f t="shared" si="317"/>
        <v>9.3746499154172199E-5</v>
      </c>
      <c r="Z925">
        <f t="shared" si="318"/>
        <v>3.0936344720876819E-3</v>
      </c>
      <c r="AA925">
        <f t="shared" si="319"/>
        <v>0.25569113903402668</v>
      </c>
      <c r="AB925">
        <f t="shared" si="320"/>
        <v>0.23085619146409997</v>
      </c>
      <c r="AC925">
        <f t="shared" si="321"/>
        <v>0.16211610222680742</v>
      </c>
      <c r="AD925">
        <f t="shared" si="322"/>
        <v>3.7468600781939542E-3</v>
      </c>
      <c r="AE925">
        <f t="shared" si="323"/>
        <v>1.7285541993041196E-2</v>
      </c>
      <c r="AG925">
        <f t="shared" si="324"/>
        <v>-0.27449143990586372</v>
      </c>
      <c r="AH925">
        <f t="shared" si="325"/>
        <v>7.8108270644268118E-2</v>
      </c>
      <c r="AI925">
        <f t="shared" si="326"/>
        <v>-1.3368334613302977</v>
      </c>
      <c r="AK925" s="26">
        <f t="shared" si="327"/>
        <v>1.0076344693645684E-2</v>
      </c>
      <c r="AL925" s="26">
        <f t="shared" si="328"/>
        <v>-1.0755886190811387E-2</v>
      </c>
      <c r="AM925" s="26">
        <f t="shared" si="329"/>
        <v>-1.9171677125528475E-3</v>
      </c>
      <c r="AN925" s="26">
        <f t="shared" si="330"/>
        <v>-26.696190476190509</v>
      </c>
      <c r="AO925" s="26">
        <f t="shared" si="331"/>
        <v>-25.503894787644754</v>
      </c>
      <c r="AP925" s="26">
        <f t="shared" si="332"/>
        <v>-22.80533923303831</v>
      </c>
      <c r="AS925" s="2">
        <v>44555</v>
      </c>
      <c r="AT925">
        <v>8.1</v>
      </c>
      <c r="AU925">
        <v>0</v>
      </c>
      <c r="AV925">
        <v>17.3</v>
      </c>
      <c r="AW925">
        <v>4.0999999999999996</v>
      </c>
      <c r="AX925">
        <v>21.92</v>
      </c>
      <c r="AY925">
        <v>0.2</v>
      </c>
      <c r="AZ925">
        <v>3</v>
      </c>
      <c r="BA925">
        <v>274.96300000000002</v>
      </c>
      <c r="BB925">
        <v>122.2704</v>
      </c>
      <c r="BC925">
        <v>60.271900000000002</v>
      </c>
      <c r="BD925">
        <v>3.5867</v>
      </c>
      <c r="BE925">
        <v>24.620799999999999</v>
      </c>
      <c r="BH925">
        <v>54.42</v>
      </c>
    </row>
    <row r="926" spans="1:60" x14ac:dyDescent="0.25">
      <c r="A926" s="2">
        <v>44575</v>
      </c>
      <c r="B926">
        <v>10.5</v>
      </c>
      <c r="C926">
        <v>0</v>
      </c>
      <c r="D926">
        <v>59.9</v>
      </c>
      <c r="E926">
        <v>17</v>
      </c>
      <c r="F926">
        <v>49.05</v>
      </c>
      <c r="G926">
        <v>0.1</v>
      </c>
      <c r="H926">
        <v>3.2</v>
      </c>
      <c r="I926">
        <v>275.33839999999998</v>
      </c>
      <c r="J926">
        <v>214.9391</v>
      </c>
      <c r="K926">
        <v>166.20609999999999</v>
      </c>
      <c r="L926">
        <v>3.9289999999999998</v>
      </c>
      <c r="M926">
        <v>23.556699999999999</v>
      </c>
      <c r="N926">
        <v>3.5419999999999998</v>
      </c>
      <c r="O926">
        <v>86.440799999999996</v>
      </c>
      <c r="P926">
        <v>47.62</v>
      </c>
      <c r="S926">
        <f t="shared" si="311"/>
        <v>823.71929999999986</v>
      </c>
      <c r="T926">
        <f t="shared" si="312"/>
        <v>9.8433824111880796E-3</v>
      </c>
      <c r="U926">
        <f t="shared" si="313"/>
        <v>0</v>
      </c>
      <c r="V926">
        <f t="shared" si="314"/>
        <v>5.6154152993349138E-2</v>
      </c>
      <c r="W926">
        <f t="shared" si="315"/>
        <v>1.5936904856209272E-2</v>
      </c>
      <c r="X926">
        <f t="shared" si="316"/>
        <v>4.5982657835121454E-2</v>
      </c>
      <c r="Y926">
        <f t="shared" si="317"/>
        <v>9.3746499154172199E-5</v>
      </c>
      <c r="Z926">
        <f t="shared" si="318"/>
        <v>2.9998879729335104E-3</v>
      </c>
      <c r="AA926">
        <f t="shared" si="319"/>
        <v>0.25812011082711123</v>
      </c>
      <c r="AB926">
        <f t="shared" si="320"/>
        <v>0.2014978815634853</v>
      </c>
      <c r="AC926">
        <f t="shared" si="321"/>
        <v>0.15581240013068257</v>
      </c>
      <c r="AD926">
        <f t="shared" si="322"/>
        <v>3.6832999517674254E-3</v>
      </c>
      <c r="AE926">
        <f t="shared" si="323"/>
        <v>2.2083581566250881E-2</v>
      </c>
      <c r="AG926">
        <f t="shared" si="324"/>
        <v>-0.24897587716001809</v>
      </c>
      <c r="AH926">
        <f t="shared" si="325"/>
        <v>0.15309431413420649</v>
      </c>
      <c r="AI926">
        <f t="shared" si="326"/>
        <v>-0.71990379368984492</v>
      </c>
      <c r="AK926" s="26">
        <f t="shared" si="327"/>
        <v>1.1748001017729812E-2</v>
      </c>
      <c r="AL926" s="26">
        <f t="shared" si="328"/>
        <v>-9.2374847613753697E-3</v>
      </c>
      <c r="AM926" s="26">
        <f t="shared" si="329"/>
        <v>-1.2879939774335381E-3</v>
      </c>
      <c r="AN926" s="26">
        <f t="shared" si="330"/>
        <v>-26.869523809523841</v>
      </c>
      <c r="AO926" s="26">
        <f t="shared" si="331"/>
        <v>-25.4376142213642</v>
      </c>
      <c r="AP926" s="26">
        <f t="shared" si="332"/>
        <v>-22.779863520157292</v>
      </c>
      <c r="AS926" s="2">
        <v>44554</v>
      </c>
      <c r="AT926">
        <v>7.4</v>
      </c>
      <c r="AU926">
        <v>0</v>
      </c>
      <c r="AV926">
        <v>29.9</v>
      </c>
      <c r="AW926">
        <v>12.2</v>
      </c>
      <c r="AX926">
        <v>8.82</v>
      </c>
      <c r="AY926">
        <v>0.2</v>
      </c>
      <c r="AZ926">
        <v>3</v>
      </c>
      <c r="BA926">
        <v>272.7423</v>
      </c>
      <c r="BB926">
        <v>95.786199999999994</v>
      </c>
      <c r="BC926">
        <v>51.639099999999999</v>
      </c>
      <c r="BD926">
        <v>3.5116000000000001</v>
      </c>
      <c r="BE926">
        <v>13.0937</v>
      </c>
      <c r="BF926">
        <v>10.5875</v>
      </c>
      <c r="BG926">
        <v>150.01589999999999</v>
      </c>
      <c r="BH926">
        <v>54.69</v>
      </c>
    </row>
    <row r="927" spans="1:60" x14ac:dyDescent="0.25">
      <c r="A927" s="2">
        <v>44574</v>
      </c>
      <c r="B927">
        <v>11</v>
      </c>
      <c r="C927">
        <v>0.7</v>
      </c>
      <c r="D927">
        <v>73.900000000000006</v>
      </c>
      <c r="E927">
        <v>18.7</v>
      </c>
      <c r="F927">
        <v>38.14</v>
      </c>
      <c r="G927">
        <v>0.1</v>
      </c>
      <c r="H927">
        <v>3</v>
      </c>
      <c r="I927">
        <v>285.69159999999999</v>
      </c>
      <c r="J927">
        <v>208.99860000000001</v>
      </c>
      <c r="K927">
        <v>158.90479999999999</v>
      </c>
      <c r="L927">
        <v>3.8353000000000002</v>
      </c>
      <c r="M927">
        <v>26.107800000000001</v>
      </c>
      <c r="N927">
        <v>-14.825100000000001</v>
      </c>
      <c r="O927">
        <v>68.761499999999998</v>
      </c>
      <c r="P927">
        <v>48.32</v>
      </c>
      <c r="S927">
        <f t="shared" si="311"/>
        <v>829.07809999999995</v>
      </c>
      <c r="T927">
        <f t="shared" si="312"/>
        <v>1.0312114906958941E-2</v>
      </c>
      <c r="U927">
        <f t="shared" si="313"/>
        <v>6.5622549407920526E-4</v>
      </c>
      <c r="V927">
        <f t="shared" si="314"/>
        <v>6.9278662874933256E-2</v>
      </c>
      <c r="W927">
        <f t="shared" si="315"/>
        <v>1.7530595341830199E-2</v>
      </c>
      <c r="X927">
        <f t="shared" si="316"/>
        <v>3.5754914777401274E-2</v>
      </c>
      <c r="Y927">
        <f t="shared" si="317"/>
        <v>9.3746499154172199E-5</v>
      </c>
      <c r="Z927">
        <f t="shared" si="318"/>
        <v>2.8123949746251659E-3</v>
      </c>
      <c r="AA927">
        <f t="shared" si="319"/>
        <v>0.26782587337754099</v>
      </c>
      <c r="AB927">
        <f t="shared" si="320"/>
        <v>0.19592887078123172</v>
      </c>
      <c r="AC927">
        <f t="shared" si="321"/>
        <v>0.148967686987939</v>
      </c>
      <c r="AD927">
        <f t="shared" si="322"/>
        <v>3.5954594820599662E-3</v>
      </c>
      <c r="AE927">
        <f t="shared" si="323"/>
        <v>2.4475148506172967E-2</v>
      </c>
      <c r="AG927">
        <f t="shared" si="324"/>
        <v>-0.21658404701485043</v>
      </c>
      <c r="AH927">
        <f t="shared" si="325"/>
        <v>0.16091380337515515</v>
      </c>
      <c r="AI927">
        <f t="shared" si="326"/>
        <v>-0.65385547188358817</v>
      </c>
      <c r="AK927" s="26">
        <f t="shared" si="327"/>
        <v>1.0099450973627702E-2</v>
      </c>
      <c r="AL927" s="26">
        <f t="shared" si="328"/>
        <v>-1.0319852959569248E-2</v>
      </c>
      <c r="AM927" s="26">
        <f t="shared" si="329"/>
        <v>-1.0497547657720152E-3</v>
      </c>
      <c r="AN927" s="26">
        <f t="shared" si="330"/>
        <v>-27.02738095238098</v>
      </c>
      <c r="AO927" s="26">
        <f t="shared" si="331"/>
        <v>-25.370818854568846</v>
      </c>
      <c r="AP927" s="26">
        <f t="shared" si="332"/>
        <v>-22.754489675516183</v>
      </c>
      <c r="AS927" s="2">
        <v>44553</v>
      </c>
      <c r="AT927">
        <v>7.7</v>
      </c>
      <c r="AU927">
        <v>0</v>
      </c>
      <c r="AV927">
        <v>33.299999999999997</v>
      </c>
      <c r="AW927">
        <v>9.6999999999999993</v>
      </c>
      <c r="AX927">
        <v>19.989999999999998</v>
      </c>
      <c r="AY927">
        <v>0.2</v>
      </c>
      <c r="AZ927">
        <v>3.3</v>
      </c>
      <c r="BA927">
        <v>312.53320000000002</v>
      </c>
      <c r="BB927">
        <v>205.517</v>
      </c>
      <c r="BC927">
        <v>113.45869999999999</v>
      </c>
      <c r="BD927">
        <v>4.6501999999999999</v>
      </c>
      <c r="BE927">
        <v>27.6129</v>
      </c>
      <c r="BF927">
        <v>60.198399999999999</v>
      </c>
      <c r="BG927">
        <v>241.179</v>
      </c>
      <c r="BH927">
        <v>55.03</v>
      </c>
    </row>
    <row r="928" spans="1:60" x14ac:dyDescent="0.25">
      <c r="A928" s="2">
        <v>44573</v>
      </c>
      <c r="B928">
        <v>11.6</v>
      </c>
      <c r="C928">
        <v>2.7</v>
      </c>
      <c r="D928">
        <v>30.7</v>
      </c>
      <c r="E928">
        <v>6.6</v>
      </c>
      <c r="F928">
        <v>38.18</v>
      </c>
      <c r="G928">
        <v>0.1</v>
      </c>
      <c r="H928">
        <v>3</v>
      </c>
      <c r="I928">
        <v>312.87729999999999</v>
      </c>
      <c r="J928">
        <v>238.4956</v>
      </c>
      <c r="K928">
        <v>222.36320000000001</v>
      </c>
      <c r="L928">
        <v>3.7581000000000002</v>
      </c>
      <c r="M928">
        <v>35.731200000000001</v>
      </c>
      <c r="N928">
        <v>12.097099999999999</v>
      </c>
      <c r="O928">
        <v>80.757000000000005</v>
      </c>
      <c r="P928">
        <v>50.16</v>
      </c>
      <c r="S928">
        <f t="shared" si="311"/>
        <v>906.10539999999992</v>
      </c>
      <c r="T928">
        <f t="shared" si="312"/>
        <v>1.0874593901883974E-2</v>
      </c>
      <c r="U928">
        <f t="shared" si="313"/>
        <v>2.5311554771626494E-3</v>
      </c>
      <c r="V928">
        <f t="shared" si="314"/>
        <v>2.8780175240330861E-2</v>
      </c>
      <c r="W928">
        <f t="shared" si="315"/>
        <v>6.1872689441753639E-3</v>
      </c>
      <c r="X928">
        <f t="shared" si="316"/>
        <v>3.5792413377062945E-2</v>
      </c>
      <c r="Y928">
        <f t="shared" si="317"/>
        <v>9.3746499154172199E-5</v>
      </c>
      <c r="Z928">
        <f t="shared" si="318"/>
        <v>2.8123949746251659E-3</v>
      </c>
      <c r="AA928">
        <f t="shared" si="319"/>
        <v>0.2933115153980968</v>
      </c>
      <c r="AB928">
        <f t="shared" si="320"/>
        <v>0.22358127563673788</v>
      </c>
      <c r="AC928">
        <f t="shared" si="321"/>
        <v>0.20845771540719021</v>
      </c>
      <c r="AD928">
        <f t="shared" si="322"/>
        <v>3.5230871847129453E-3</v>
      </c>
      <c r="AE928">
        <f t="shared" si="323"/>
        <v>3.3496749105775575E-2</v>
      </c>
      <c r="AG928">
        <f t="shared" si="324"/>
        <v>-0.12789752488280082</v>
      </c>
      <c r="AH928">
        <f t="shared" si="325"/>
        <v>0.12056849752017071</v>
      </c>
      <c r="AI928">
        <f t="shared" si="326"/>
        <v>-0.98523136094725938</v>
      </c>
      <c r="AK928" s="26">
        <f t="shared" si="327"/>
        <v>7.4483222981427538E-3</v>
      </c>
      <c r="AL928" s="26">
        <f t="shared" si="328"/>
        <v>-1.110519412245331E-2</v>
      </c>
      <c r="AM928" s="26">
        <f t="shared" si="329"/>
        <v>-2.0024684577815421E-3</v>
      </c>
      <c r="AN928" s="26">
        <f t="shared" si="330"/>
        <v>-27.175238095238115</v>
      </c>
      <c r="AO928" s="26">
        <f t="shared" si="331"/>
        <v>-25.305564671814658</v>
      </c>
      <c r="AP928" s="26">
        <f t="shared" si="332"/>
        <v>-22.730235594886878</v>
      </c>
      <c r="AS928" s="2">
        <v>44552</v>
      </c>
      <c r="AT928">
        <v>9.3000000000000007</v>
      </c>
      <c r="AU928">
        <v>19.600000000000001</v>
      </c>
      <c r="AV928">
        <v>21.6</v>
      </c>
      <c r="AW928">
        <v>6</v>
      </c>
      <c r="AX928">
        <v>57.21</v>
      </c>
      <c r="AY928">
        <v>0.2</v>
      </c>
      <c r="AZ928">
        <v>3.3</v>
      </c>
      <c r="BA928">
        <v>311.91719999999998</v>
      </c>
      <c r="BB928">
        <v>248.5514</v>
      </c>
      <c r="BC928">
        <v>185.46080000000001</v>
      </c>
      <c r="BD928">
        <v>5.9164000000000003</v>
      </c>
      <c r="BE928">
        <v>30.174099999999999</v>
      </c>
      <c r="BF928">
        <v>27.756799999999998</v>
      </c>
      <c r="BG928">
        <v>288.40249999999997</v>
      </c>
      <c r="BH928">
        <v>55.64</v>
      </c>
    </row>
    <row r="929" spans="1:60" x14ac:dyDescent="0.25">
      <c r="A929" s="2">
        <v>44572</v>
      </c>
      <c r="B929">
        <v>12</v>
      </c>
      <c r="C929">
        <v>4.5999999999999996</v>
      </c>
      <c r="D929">
        <v>47.9</v>
      </c>
      <c r="E929">
        <v>5.4</v>
      </c>
      <c r="F929">
        <v>39.26</v>
      </c>
      <c r="G929">
        <v>0.1</v>
      </c>
      <c r="H929">
        <v>3</v>
      </c>
      <c r="I929">
        <v>311.541</v>
      </c>
      <c r="J929">
        <v>237.75309999999999</v>
      </c>
      <c r="K929">
        <v>216.26429999999999</v>
      </c>
      <c r="L929">
        <v>3.7025000000000001</v>
      </c>
      <c r="M929">
        <v>29.0396</v>
      </c>
      <c r="N929">
        <v>19.3752</v>
      </c>
      <c r="O929">
        <v>96.016999999999996</v>
      </c>
      <c r="P929">
        <v>49.76</v>
      </c>
      <c r="S929">
        <f t="shared" si="311"/>
        <v>910.56049999999982</v>
      </c>
      <c r="T929">
        <f t="shared" si="312"/>
        <v>1.1249579898500664E-2</v>
      </c>
      <c r="U929">
        <f t="shared" si="313"/>
        <v>4.3123389610919202E-3</v>
      </c>
      <c r="V929">
        <f t="shared" si="314"/>
        <v>4.4904573094848479E-2</v>
      </c>
      <c r="W929">
        <f t="shared" si="315"/>
        <v>5.0623109543252989E-3</v>
      </c>
      <c r="X929">
        <f t="shared" si="316"/>
        <v>3.6804875567927997E-2</v>
      </c>
      <c r="Y929">
        <f t="shared" si="317"/>
        <v>9.3746499154172199E-5</v>
      </c>
      <c r="Z929">
        <f t="shared" si="318"/>
        <v>2.8123949746251659E-3</v>
      </c>
      <c r="AA929">
        <f t="shared" si="319"/>
        <v>0.29205878092989956</v>
      </c>
      <c r="AB929">
        <f t="shared" si="320"/>
        <v>0.22288520788051816</v>
      </c>
      <c r="AC929">
        <f t="shared" si="321"/>
        <v>0.20274021017027641</v>
      </c>
      <c r="AD929">
        <f t="shared" si="322"/>
        <v>3.4709641311832253E-3</v>
      </c>
      <c r="AE929">
        <f t="shared" si="323"/>
        <v>2.7223608368374987E-2</v>
      </c>
      <c r="AG929">
        <f t="shared" si="324"/>
        <v>-0.14968178269313775</v>
      </c>
      <c r="AH929">
        <f t="shared" si="325"/>
        <v>0.13246342831884869</v>
      </c>
      <c r="AI929">
        <f t="shared" si="326"/>
        <v>-0.88785448214002516</v>
      </c>
      <c r="AK929" s="26">
        <f t="shared" si="327"/>
        <v>9.138888630341957E-3</v>
      </c>
      <c r="AL929" s="26">
        <f t="shared" si="328"/>
        <v>-1.1600475141160915E-2</v>
      </c>
      <c r="AM929" s="26">
        <f t="shared" si="329"/>
        <v>-2.2653438843901752E-3</v>
      </c>
      <c r="AN929" s="26">
        <f t="shared" si="330"/>
        <v>-27.356428571428573</v>
      </c>
      <c r="AO929" s="26">
        <f t="shared" si="331"/>
        <v>-25.26005952380951</v>
      </c>
      <c r="AP929" s="26">
        <f t="shared" si="332"/>
        <v>-22.716747295968474</v>
      </c>
      <c r="AS929" s="2">
        <v>44551</v>
      </c>
      <c r="AT929">
        <v>9</v>
      </c>
      <c r="AU929">
        <v>1.3</v>
      </c>
      <c r="AV929">
        <v>7</v>
      </c>
      <c r="AW929">
        <v>2</v>
      </c>
      <c r="AX929">
        <v>53.02</v>
      </c>
      <c r="AY929">
        <v>0.2</v>
      </c>
      <c r="AZ929">
        <v>3.2</v>
      </c>
      <c r="BA929">
        <v>311.41800000000001</v>
      </c>
      <c r="BB929">
        <v>261.71820000000002</v>
      </c>
      <c r="BC929">
        <v>223.6756</v>
      </c>
      <c r="BD929">
        <v>6.4554</v>
      </c>
      <c r="BE929">
        <v>36.510300000000001</v>
      </c>
      <c r="BF929">
        <v>23.963000000000001</v>
      </c>
      <c r="BG929">
        <v>294.9434</v>
      </c>
      <c r="BH929">
        <v>56.46</v>
      </c>
    </row>
    <row r="930" spans="1:60" x14ac:dyDescent="0.25">
      <c r="A930" s="2">
        <v>44571</v>
      </c>
      <c r="B930">
        <v>11.7</v>
      </c>
      <c r="C930">
        <v>1.6</v>
      </c>
      <c r="D930">
        <v>15.1</v>
      </c>
      <c r="E930">
        <v>1.8</v>
      </c>
      <c r="F930">
        <v>27.33</v>
      </c>
      <c r="G930">
        <v>0.2</v>
      </c>
      <c r="H930">
        <v>2.9</v>
      </c>
      <c r="I930">
        <v>307.12049999999999</v>
      </c>
      <c r="J930">
        <v>247.39699999999999</v>
      </c>
      <c r="K930">
        <v>212.13069999999999</v>
      </c>
      <c r="L930">
        <v>3.7641</v>
      </c>
      <c r="M930">
        <v>40.052599999999998</v>
      </c>
      <c r="N930">
        <v>26.1937</v>
      </c>
      <c r="O930">
        <v>113.3712</v>
      </c>
      <c r="P930">
        <v>50.48</v>
      </c>
      <c r="S930">
        <f t="shared" si="311"/>
        <v>871.09489999999994</v>
      </c>
      <c r="T930">
        <f t="shared" si="312"/>
        <v>1.0968340401038145E-2</v>
      </c>
      <c r="U930">
        <f t="shared" si="313"/>
        <v>1.4999439864667552E-3</v>
      </c>
      <c r="V930">
        <f t="shared" si="314"/>
        <v>1.415572137228E-2</v>
      </c>
      <c r="W930">
        <f t="shared" si="315"/>
        <v>1.6874369847750994E-3</v>
      </c>
      <c r="X930">
        <f t="shared" si="316"/>
        <v>2.5620918218835258E-2</v>
      </c>
      <c r="Y930">
        <f t="shared" si="317"/>
        <v>1.874929983083444E-4</v>
      </c>
      <c r="Z930">
        <f t="shared" si="318"/>
        <v>2.7186484754709935E-3</v>
      </c>
      <c r="AA930">
        <f t="shared" si="319"/>
        <v>0.28791471693478937</v>
      </c>
      <c r="AB930">
        <f t="shared" si="320"/>
        <v>0.23192602651244737</v>
      </c>
      <c r="AC930">
        <f t="shared" si="321"/>
        <v>0.19886510488123954</v>
      </c>
      <c r="AD930">
        <f t="shared" si="322"/>
        <v>3.5287119746621955E-3</v>
      </c>
      <c r="AE930">
        <f t="shared" si="323"/>
        <v>3.7547910320223969E-2</v>
      </c>
      <c r="AG930">
        <f t="shared" si="324"/>
        <v>-0.11632587451770322</v>
      </c>
      <c r="AH930">
        <f t="shared" si="325"/>
        <v>9.4386412757398563E-2</v>
      </c>
      <c r="AI930">
        <f t="shared" si="326"/>
        <v>-1.2016257493271465</v>
      </c>
      <c r="AK930" s="26">
        <f t="shared" si="327"/>
        <v>2.2752074459362198E-3</v>
      </c>
      <c r="AL930" s="26">
        <f t="shared" si="328"/>
        <v>-1.301090865512991E-2</v>
      </c>
      <c r="AM930" s="26">
        <f t="shared" si="329"/>
        <v>-3.8251646171355846E-3</v>
      </c>
      <c r="AN930" s="26">
        <f t="shared" si="330"/>
        <v>-27.456428571428582</v>
      </c>
      <c r="AO930" s="26">
        <f t="shared" si="331"/>
        <v>-25.193050193050183</v>
      </c>
      <c r="AP930" s="26">
        <f t="shared" si="332"/>
        <v>-22.693446214355887</v>
      </c>
      <c r="AS930" s="2">
        <v>44550</v>
      </c>
      <c r="AT930">
        <v>7.9</v>
      </c>
      <c r="AU930">
        <v>1.1000000000000001</v>
      </c>
      <c r="AV930">
        <v>10.3</v>
      </c>
      <c r="AW930">
        <v>5.6</v>
      </c>
      <c r="AX930">
        <v>58.69</v>
      </c>
      <c r="AY930">
        <v>0.2</v>
      </c>
      <c r="AZ930">
        <v>2.9</v>
      </c>
      <c r="BA930">
        <v>305.11279999999999</v>
      </c>
      <c r="BB930">
        <v>217.37370000000001</v>
      </c>
      <c r="BC930">
        <v>164.21979999999999</v>
      </c>
      <c r="BD930">
        <v>6.2263000000000002</v>
      </c>
      <c r="BE930">
        <v>29.4572</v>
      </c>
      <c r="BF930">
        <v>48.5092</v>
      </c>
      <c r="BG930">
        <v>252.19149999999999</v>
      </c>
      <c r="BH930">
        <v>57.23</v>
      </c>
    </row>
    <row r="931" spans="1:60" x14ac:dyDescent="0.25">
      <c r="A931" s="2">
        <v>44570</v>
      </c>
      <c r="B931">
        <v>11.5</v>
      </c>
      <c r="C931">
        <v>0</v>
      </c>
      <c r="D931">
        <v>68</v>
      </c>
      <c r="E931">
        <v>12.4</v>
      </c>
      <c r="F931">
        <v>21.62</v>
      </c>
      <c r="G931">
        <v>0.2</v>
      </c>
      <c r="H931">
        <v>2.7</v>
      </c>
      <c r="I931">
        <v>227.1506</v>
      </c>
      <c r="J931">
        <v>152.27090000000001</v>
      </c>
      <c r="K931">
        <v>70.550899999999999</v>
      </c>
      <c r="L931">
        <v>3.7724000000000002</v>
      </c>
      <c r="M931">
        <v>15.2262</v>
      </c>
      <c r="P931">
        <v>51.22</v>
      </c>
      <c r="S931">
        <f t="shared" si="311"/>
        <v>585.39099999999985</v>
      </c>
      <c r="T931">
        <f t="shared" si="312"/>
        <v>1.0780847402729802E-2</v>
      </c>
      <c r="U931">
        <f t="shared" si="313"/>
        <v>0</v>
      </c>
      <c r="V931">
        <f t="shared" si="314"/>
        <v>6.3747619424837088E-2</v>
      </c>
      <c r="W931">
        <f t="shared" si="315"/>
        <v>1.1624565895117352E-2</v>
      </c>
      <c r="X931">
        <f t="shared" si="316"/>
        <v>2.0267993117132028E-2</v>
      </c>
      <c r="Y931">
        <f t="shared" si="317"/>
        <v>1.874929983083444E-4</v>
      </c>
      <c r="Z931">
        <f t="shared" si="318"/>
        <v>2.5311554771626494E-3</v>
      </c>
      <c r="AA931">
        <f t="shared" si="319"/>
        <v>0.21294573530769706</v>
      </c>
      <c r="AB931">
        <f t="shared" si="320"/>
        <v>0.1427486379805504</v>
      </c>
      <c r="AC931">
        <f t="shared" si="321"/>
        <v>6.6138998871760862E-2</v>
      </c>
      <c r="AD931">
        <f t="shared" si="322"/>
        <v>3.5364929340919917E-3</v>
      </c>
      <c r="AE931">
        <f t="shared" si="323"/>
        <v>1.4274029454212566E-2</v>
      </c>
      <c r="AG931">
        <f t="shared" si="324"/>
        <v>-8.2000989876280045E-2</v>
      </c>
      <c r="AH931">
        <f t="shared" si="325"/>
        <v>0.12341370376949982</v>
      </c>
      <c r="AI931">
        <f t="shared" si="326"/>
        <v>-0.96416928321617235</v>
      </c>
      <c r="AK931" s="26">
        <f t="shared" si="327"/>
        <v>8.2278177424316423E-5</v>
      </c>
      <c r="AL931" s="26">
        <f t="shared" si="328"/>
        <v>-1.3221742812438569E-2</v>
      </c>
      <c r="AM931" s="26">
        <f t="shared" si="329"/>
        <v>-4.365181829186382E-3</v>
      </c>
      <c r="AN931" s="26">
        <f t="shared" si="330"/>
        <v>-27.531666666666702</v>
      </c>
      <c r="AO931" s="26">
        <f t="shared" si="331"/>
        <v>-25.12193211068211</v>
      </c>
      <c r="AP931" s="26">
        <f t="shared" si="332"/>
        <v>-22.670998623402113</v>
      </c>
      <c r="AS931" s="2">
        <v>44549</v>
      </c>
      <c r="AT931">
        <v>8.1999999999999993</v>
      </c>
      <c r="AU931">
        <v>0</v>
      </c>
      <c r="AV931">
        <v>62.8</v>
      </c>
      <c r="AW931">
        <v>21.7</v>
      </c>
      <c r="AX931">
        <v>15.3</v>
      </c>
      <c r="AY931">
        <v>0.2</v>
      </c>
      <c r="AZ931">
        <v>3</v>
      </c>
      <c r="BA931">
        <v>235.65010000000001</v>
      </c>
      <c r="BB931">
        <v>87.421400000000006</v>
      </c>
      <c r="BC931">
        <v>59.967799999999997</v>
      </c>
      <c r="BD931">
        <v>3.6</v>
      </c>
      <c r="BE931">
        <v>7.5221</v>
      </c>
      <c r="BH931">
        <v>57.91</v>
      </c>
    </row>
    <row r="932" spans="1:60" x14ac:dyDescent="0.25">
      <c r="A932" s="2">
        <v>44569</v>
      </c>
      <c r="B932">
        <v>11.8</v>
      </c>
      <c r="C932">
        <v>40.1</v>
      </c>
      <c r="D932">
        <v>69.5</v>
      </c>
      <c r="E932">
        <v>16.2</v>
      </c>
      <c r="F932">
        <v>23.22</v>
      </c>
      <c r="G932">
        <v>0.2</v>
      </c>
      <c r="H932">
        <v>2.5</v>
      </c>
      <c r="I932">
        <v>272.15809999999999</v>
      </c>
      <c r="J932">
        <v>199.63759999999999</v>
      </c>
      <c r="K932">
        <v>71.894800000000004</v>
      </c>
      <c r="L932">
        <v>3.8134000000000001</v>
      </c>
      <c r="M932">
        <v>14.4314</v>
      </c>
      <c r="P932">
        <v>51.65</v>
      </c>
      <c r="S932">
        <f t="shared" si="311"/>
        <v>725.45530000000008</v>
      </c>
      <c r="T932">
        <f t="shared" si="312"/>
        <v>1.1062086900192319E-2</v>
      </c>
      <c r="U932">
        <f t="shared" si="313"/>
        <v>3.7592346160823048E-2</v>
      </c>
      <c r="V932">
        <f t="shared" si="314"/>
        <v>6.5153816912149679E-2</v>
      </c>
      <c r="W932">
        <f t="shared" si="315"/>
        <v>1.5186932862975894E-2</v>
      </c>
      <c r="X932">
        <f t="shared" si="316"/>
        <v>2.176793710359878E-2</v>
      </c>
      <c r="Y932">
        <f t="shared" si="317"/>
        <v>1.874929983083444E-4</v>
      </c>
      <c r="Z932">
        <f t="shared" si="318"/>
        <v>2.3436624788543046E-3</v>
      </c>
      <c r="AA932">
        <f t="shared" si="319"/>
        <v>0.25513869091451108</v>
      </c>
      <c r="AB932">
        <f t="shared" si="320"/>
        <v>0.18715326099540966</v>
      </c>
      <c r="AC932">
        <f t="shared" si="321"/>
        <v>6.7398858073893786E-2</v>
      </c>
      <c r="AD932">
        <f t="shared" si="322"/>
        <v>3.5749289987452026E-3</v>
      </c>
      <c r="AE932">
        <f t="shared" si="323"/>
        <v>1.3528932278935205E-2</v>
      </c>
      <c r="AG932">
        <f t="shared" si="324"/>
        <v>-6.2987719105260576E-2</v>
      </c>
      <c r="AH932">
        <f t="shared" si="325"/>
        <v>0.16682320769583758</v>
      </c>
      <c r="AI932">
        <f t="shared" si="326"/>
        <v>-0.60415551444175974</v>
      </c>
      <c r="AK932" s="26">
        <f t="shared" si="327"/>
        <v>-3.661162385609984E-3</v>
      </c>
      <c r="AL932" s="26">
        <f t="shared" si="328"/>
        <v>-1.5979033999044642E-2</v>
      </c>
      <c r="AM932" s="26">
        <f t="shared" si="329"/>
        <v>-5.843805383961953E-3</v>
      </c>
      <c r="AN932" s="26">
        <f t="shared" si="330"/>
        <v>-27.587857142857153</v>
      </c>
      <c r="AO932" s="26">
        <f t="shared" si="331"/>
        <v>-25.048674388674378</v>
      </c>
      <c r="AP932" s="26">
        <f t="shared" si="332"/>
        <v>-22.651310127826903</v>
      </c>
      <c r="AS932" s="2">
        <v>44548</v>
      </c>
      <c r="AT932">
        <v>8.8000000000000007</v>
      </c>
      <c r="AU932">
        <v>0.2</v>
      </c>
      <c r="AV932">
        <v>48.2</v>
      </c>
      <c r="AW932">
        <v>11.2</v>
      </c>
      <c r="AX932">
        <v>14.51</v>
      </c>
      <c r="AY932">
        <v>0.2</v>
      </c>
      <c r="AZ932">
        <v>2.9</v>
      </c>
      <c r="BA932">
        <v>261.27980000000002</v>
      </c>
      <c r="BB932">
        <v>139.85419999999999</v>
      </c>
      <c r="BC932">
        <v>133.9442</v>
      </c>
      <c r="BD932">
        <v>3.5966</v>
      </c>
      <c r="BE932">
        <v>15.704000000000001</v>
      </c>
      <c r="BH932">
        <v>58.34</v>
      </c>
    </row>
    <row r="933" spans="1:60" x14ac:dyDescent="0.25">
      <c r="A933" s="2">
        <v>44568</v>
      </c>
      <c r="B933">
        <v>12.7</v>
      </c>
      <c r="C933">
        <v>0</v>
      </c>
      <c r="D933">
        <v>84.7</v>
      </c>
      <c r="E933">
        <v>19.2</v>
      </c>
      <c r="F933">
        <v>19.72</v>
      </c>
      <c r="G933">
        <v>0.2</v>
      </c>
      <c r="H933">
        <v>2.8</v>
      </c>
      <c r="I933">
        <v>278.40179999999998</v>
      </c>
      <c r="K933">
        <v>86.774100000000004</v>
      </c>
      <c r="L933">
        <v>3.3797000000000001</v>
      </c>
      <c r="M933">
        <v>19.596299999999999</v>
      </c>
      <c r="N933">
        <v>35.096600000000002</v>
      </c>
      <c r="O933">
        <v>126.4585</v>
      </c>
      <c r="P933">
        <v>52.07</v>
      </c>
      <c r="S933">
        <f t="shared" si="311"/>
        <v>527.47190000000001</v>
      </c>
      <c r="T933">
        <f t="shared" si="312"/>
        <v>1.1905805392579868E-2</v>
      </c>
      <c r="U933">
        <f t="shared" si="313"/>
        <v>0</v>
      </c>
      <c r="V933">
        <f t="shared" si="314"/>
        <v>7.9403284783583855E-2</v>
      </c>
      <c r="W933">
        <f t="shared" si="315"/>
        <v>1.799932783760106E-2</v>
      </c>
      <c r="X933">
        <f t="shared" si="316"/>
        <v>1.8486809633202754E-2</v>
      </c>
      <c r="Y933">
        <f t="shared" si="317"/>
        <v>1.874929983083444E-4</v>
      </c>
      <c r="Z933">
        <f t="shared" si="318"/>
        <v>2.624901976316821E-3</v>
      </c>
      <c r="AA933">
        <f t="shared" si="319"/>
        <v>0.26099194108220014</v>
      </c>
      <c r="AB933">
        <f t="shared" si="320"/>
        <v>0</v>
      </c>
      <c r="AC933">
        <f t="shared" si="321"/>
        <v>8.1347680922540536E-2</v>
      </c>
      <c r="AD933">
        <f t="shared" si="322"/>
        <v>3.1683504319135578E-3</v>
      </c>
      <c r="AE933">
        <f t="shared" si="323"/>
        <v>1.8370845213749043E-2</v>
      </c>
      <c r="AG933">
        <f t="shared" si="324"/>
        <v>-4.4517618892337289E-2</v>
      </c>
      <c r="AH933">
        <f t="shared" si="325"/>
        <v>0.14897846783534174</v>
      </c>
      <c r="AI933">
        <f t="shared" si="326"/>
        <v>-0.74735492806504555</v>
      </c>
      <c r="AK933" s="26">
        <f t="shared" si="327"/>
        <v>-9.3008401717498274E-3</v>
      </c>
      <c r="AL933" s="26">
        <f t="shared" si="328"/>
        <v>-1.814329335303945E-2</v>
      </c>
      <c r="AM933" s="26">
        <f t="shared" si="329"/>
        <v>-7.4576766498801739E-3</v>
      </c>
      <c r="AN933" s="26">
        <f t="shared" si="330"/>
        <v>-27.617619047619065</v>
      </c>
      <c r="AO933" s="26">
        <f t="shared" si="331"/>
        <v>-24.970139961389954</v>
      </c>
      <c r="AP933" s="26">
        <f t="shared" si="332"/>
        <v>-22.631281809242807</v>
      </c>
      <c r="AS933" s="2">
        <v>44547</v>
      </c>
      <c r="AT933">
        <v>9.6</v>
      </c>
      <c r="AU933">
        <v>0.5</v>
      </c>
      <c r="AV933">
        <v>19.399999999999999</v>
      </c>
      <c r="AW933">
        <v>5.3</v>
      </c>
      <c r="AX933">
        <v>23.05</v>
      </c>
      <c r="AY933">
        <v>0.2</v>
      </c>
      <c r="AZ933">
        <v>3.1</v>
      </c>
      <c r="BA933">
        <v>289.47910000000002</v>
      </c>
      <c r="BB933">
        <v>203.05699999999999</v>
      </c>
      <c r="BC933">
        <v>168.4958</v>
      </c>
      <c r="BD933">
        <v>4.9882</v>
      </c>
      <c r="BE933">
        <v>27.6496</v>
      </c>
      <c r="BF933">
        <v>64.162999999999997</v>
      </c>
      <c r="BG933">
        <v>252.48609999999999</v>
      </c>
      <c r="BH933">
        <v>58.74</v>
      </c>
    </row>
    <row r="934" spans="1:60" x14ac:dyDescent="0.25">
      <c r="A934" s="2">
        <v>44567</v>
      </c>
      <c r="B934">
        <v>13.6</v>
      </c>
      <c r="C934">
        <v>0</v>
      </c>
      <c r="D934">
        <v>54.2</v>
      </c>
      <c r="E934">
        <v>8.4</v>
      </c>
      <c r="F934">
        <v>51.32</v>
      </c>
      <c r="G934">
        <v>0.2</v>
      </c>
      <c r="H934">
        <v>2.9</v>
      </c>
      <c r="I934">
        <v>257.58819999999997</v>
      </c>
      <c r="J934">
        <v>219.96899999999999</v>
      </c>
      <c r="K934">
        <v>121.67619999999999</v>
      </c>
      <c r="L934">
        <v>3.0426000000000002</v>
      </c>
      <c r="M934">
        <v>33.7014</v>
      </c>
      <c r="N934">
        <v>27.4892</v>
      </c>
      <c r="O934">
        <v>132.6061</v>
      </c>
      <c r="P934">
        <v>52.59</v>
      </c>
      <c r="S934">
        <f t="shared" si="311"/>
        <v>766.59739999999999</v>
      </c>
      <c r="T934">
        <f t="shared" si="312"/>
        <v>1.2749523884967418E-2</v>
      </c>
      <c r="U934">
        <f t="shared" si="313"/>
        <v>0</v>
      </c>
      <c r="V934">
        <f t="shared" si="314"/>
        <v>5.0810602541561327E-2</v>
      </c>
      <c r="W934">
        <f t="shared" si="315"/>
        <v>7.8747059289504644E-3</v>
      </c>
      <c r="X934">
        <f t="shared" si="316"/>
        <v>4.8110703365921166E-2</v>
      </c>
      <c r="Y934">
        <f t="shared" si="317"/>
        <v>1.874929983083444E-4</v>
      </c>
      <c r="Z934">
        <f t="shared" si="318"/>
        <v>2.7186484754709935E-3</v>
      </c>
      <c r="AA934">
        <f t="shared" si="319"/>
        <v>0.24147991973424734</v>
      </c>
      <c r="AB934">
        <f t="shared" si="320"/>
        <v>0.20621323672444103</v>
      </c>
      <c r="AC934">
        <f t="shared" si="321"/>
        <v>0.11406717780382886</v>
      </c>
      <c r="AD934">
        <f t="shared" si="322"/>
        <v>2.8523309832648434E-3</v>
      </c>
      <c r="AE934">
        <f t="shared" si="323"/>
        <v>3.1593882665944185E-2</v>
      </c>
      <c r="AG934">
        <f t="shared" si="324"/>
        <v>-2.1194951641734398E-2</v>
      </c>
      <c r="AH934">
        <f t="shared" si="325"/>
        <v>0.15404555986112392</v>
      </c>
      <c r="AI934">
        <f t="shared" si="326"/>
        <v>-0.70300782469271583</v>
      </c>
      <c r="AK934" s="26">
        <f t="shared" si="327"/>
        <v>-1.2444399118756097E-2</v>
      </c>
      <c r="AL934" s="26">
        <f t="shared" si="328"/>
        <v>-1.8745799871043772E-2</v>
      </c>
      <c r="AM934" s="26">
        <f t="shared" si="329"/>
        <v>-1.0023672463142147E-2</v>
      </c>
      <c r="AN934" s="26">
        <f t="shared" si="330"/>
        <v>-27.630238095238113</v>
      </c>
      <c r="AO934" s="26">
        <f t="shared" si="331"/>
        <v>-24.887060810810794</v>
      </c>
      <c r="AP934" s="26">
        <f t="shared" si="332"/>
        <v>-22.609629105211354</v>
      </c>
      <c r="AS934" s="2">
        <v>44546</v>
      </c>
      <c r="AT934">
        <v>10.1</v>
      </c>
      <c r="AU934">
        <v>1.2</v>
      </c>
      <c r="AV934">
        <v>21.7</v>
      </c>
      <c r="AW934">
        <v>7.1</v>
      </c>
      <c r="AX934">
        <v>18.53</v>
      </c>
      <c r="AY934">
        <v>0.2</v>
      </c>
      <c r="AZ934">
        <v>3.2</v>
      </c>
      <c r="BA934">
        <v>267.91399999999999</v>
      </c>
      <c r="BB934">
        <v>226.77250000000001</v>
      </c>
      <c r="BC934">
        <v>190.42349999999999</v>
      </c>
      <c r="BD934">
        <v>5.3365</v>
      </c>
      <c r="BE934">
        <v>26.012699999999999</v>
      </c>
      <c r="BF934">
        <v>60.584699999999998</v>
      </c>
      <c r="BG934">
        <v>256.19490000000002</v>
      </c>
      <c r="BH934">
        <v>59.22</v>
      </c>
    </row>
    <row r="935" spans="1:60" x14ac:dyDescent="0.25">
      <c r="A935" s="2">
        <v>44566</v>
      </c>
      <c r="B935">
        <v>13.5</v>
      </c>
      <c r="C935">
        <v>0</v>
      </c>
      <c r="D935">
        <v>77.900000000000006</v>
      </c>
      <c r="E935">
        <v>23.5</v>
      </c>
      <c r="F935">
        <v>27.1</v>
      </c>
      <c r="G935">
        <v>0.2</v>
      </c>
      <c r="H935">
        <v>2.8</v>
      </c>
      <c r="I935">
        <v>258.11439999999999</v>
      </c>
      <c r="J935">
        <v>129.7732</v>
      </c>
      <c r="K935">
        <v>65.382300000000001</v>
      </c>
      <c r="L935">
        <v>3.0750000000000002</v>
      </c>
      <c r="M935">
        <v>14.511100000000001</v>
      </c>
      <c r="N935">
        <v>34.606400000000001</v>
      </c>
      <c r="O935">
        <v>131.3836</v>
      </c>
      <c r="P935">
        <v>52.98</v>
      </c>
      <c r="S935">
        <f t="shared" si="311"/>
        <v>615.85600000000011</v>
      </c>
      <c r="T935">
        <f t="shared" si="312"/>
        <v>1.2655777385813246E-2</v>
      </c>
      <c r="U935">
        <f t="shared" si="313"/>
        <v>0</v>
      </c>
      <c r="V935">
        <f t="shared" si="314"/>
        <v>7.3028522841100146E-2</v>
      </c>
      <c r="W935">
        <f t="shared" si="315"/>
        <v>2.2030427301230466E-2</v>
      </c>
      <c r="X935">
        <f t="shared" si="316"/>
        <v>2.5405301270780663E-2</v>
      </c>
      <c r="Y935">
        <f t="shared" si="317"/>
        <v>1.874929983083444E-4</v>
      </c>
      <c r="Z935">
        <f t="shared" si="318"/>
        <v>2.624901976316821E-3</v>
      </c>
      <c r="AA935">
        <f t="shared" si="319"/>
        <v>0.24197321381279663</v>
      </c>
      <c r="AB935">
        <f t="shared" si="320"/>
        <v>0.12165783184034219</v>
      </c>
      <c r="AC935">
        <f t="shared" si="321"/>
        <v>6.1293617316478324E-2</v>
      </c>
      <c r="AD935">
        <f t="shared" si="322"/>
        <v>2.882704848990795E-3</v>
      </c>
      <c r="AE935">
        <f t="shared" si="323"/>
        <v>1.3603648238761082E-2</v>
      </c>
      <c r="AG935">
        <f t="shared" si="324"/>
        <v>-4.3437876249347949E-3</v>
      </c>
      <c r="AH935">
        <f t="shared" si="325"/>
        <v>0.14953607201231076</v>
      </c>
      <c r="AI935">
        <f t="shared" si="326"/>
        <v>-0.73784370403516997</v>
      </c>
      <c r="AK935" s="26">
        <f t="shared" si="327"/>
        <v>-1.5514150554154491E-2</v>
      </c>
      <c r="AL935" s="26">
        <f t="shared" si="328"/>
        <v>-1.9288446730730491E-2</v>
      </c>
      <c r="AM935" s="26">
        <f t="shared" si="329"/>
        <v>-1.173992570219376E-2</v>
      </c>
      <c r="AN935" s="26">
        <f t="shared" si="330"/>
        <v>-27.628571428571433</v>
      </c>
      <c r="AO935" s="26">
        <f t="shared" si="331"/>
        <v>-24.79872586872586</v>
      </c>
      <c r="AP935" s="26">
        <f t="shared" si="332"/>
        <v>-22.586573451327382</v>
      </c>
      <c r="AS935" s="2">
        <v>44545</v>
      </c>
      <c r="AT935">
        <v>10.7</v>
      </c>
      <c r="AU935">
        <v>0</v>
      </c>
      <c r="AV935">
        <v>77.900000000000006</v>
      </c>
      <c r="AW935">
        <v>13.5</v>
      </c>
      <c r="AX935">
        <v>13.85</v>
      </c>
      <c r="AY935">
        <v>0.2</v>
      </c>
      <c r="AZ935">
        <v>2.8</v>
      </c>
      <c r="BA935">
        <v>266.85840000000002</v>
      </c>
      <c r="BB935">
        <v>200.23910000000001</v>
      </c>
      <c r="BC935">
        <v>163.97280000000001</v>
      </c>
      <c r="BD935">
        <v>3.6955</v>
      </c>
      <c r="BE935">
        <v>26.634699999999999</v>
      </c>
      <c r="BF935">
        <v>2.6562000000000001</v>
      </c>
      <c r="BG935">
        <v>179.0367</v>
      </c>
      <c r="BH935">
        <v>59.7</v>
      </c>
    </row>
    <row r="936" spans="1:60" x14ac:dyDescent="0.25">
      <c r="A936" s="2">
        <v>44565</v>
      </c>
      <c r="B936">
        <v>12.7</v>
      </c>
      <c r="C936">
        <v>0</v>
      </c>
      <c r="D936">
        <v>67.5</v>
      </c>
      <c r="E936">
        <v>10.8</v>
      </c>
      <c r="F936">
        <v>11.38</v>
      </c>
      <c r="G936">
        <v>0.2</v>
      </c>
      <c r="H936">
        <v>3</v>
      </c>
      <c r="I936">
        <v>277.03890000000001</v>
      </c>
      <c r="J936">
        <v>181.41399999999999</v>
      </c>
      <c r="K936">
        <v>111.128</v>
      </c>
      <c r="L936">
        <v>3.3601000000000001</v>
      </c>
      <c r="M936">
        <v>35.155200000000001</v>
      </c>
      <c r="N936">
        <v>54.8292</v>
      </c>
      <c r="O936">
        <v>149.5488</v>
      </c>
      <c r="P936">
        <v>53.37</v>
      </c>
      <c r="S936">
        <f t="shared" si="311"/>
        <v>713.67619999999999</v>
      </c>
      <c r="T936">
        <f t="shared" si="312"/>
        <v>1.1905805392579868E-2</v>
      </c>
      <c r="U936">
        <f t="shared" si="313"/>
        <v>0</v>
      </c>
      <c r="V936">
        <f t="shared" si="314"/>
        <v>6.3278886929066233E-2</v>
      </c>
      <c r="W936">
        <f t="shared" si="315"/>
        <v>1.0124621908650598E-2</v>
      </c>
      <c r="X936">
        <f t="shared" si="316"/>
        <v>1.0668351603744797E-2</v>
      </c>
      <c r="Y936">
        <f t="shared" si="317"/>
        <v>1.874929983083444E-4</v>
      </c>
      <c r="Z936">
        <f t="shared" si="318"/>
        <v>2.8123949746251659E-3</v>
      </c>
      <c r="AA936">
        <f t="shared" si="319"/>
        <v>0.25971427004522796</v>
      </c>
      <c r="AB936">
        <f t="shared" si="320"/>
        <v>0.17006927397554994</v>
      </c>
      <c r="AC936">
        <f t="shared" si="321"/>
        <v>0.10417860958004847</v>
      </c>
      <c r="AD936">
        <f t="shared" si="322"/>
        <v>3.1499761180793398E-3</v>
      </c>
      <c r="AE936">
        <f t="shared" si="323"/>
        <v>3.2956769270647543E-2</v>
      </c>
      <c r="AG936">
        <f t="shared" si="324"/>
        <v>1.245082845566594E-2</v>
      </c>
      <c r="AH936">
        <f t="shared" si="325"/>
        <v>0.13193432307762254</v>
      </c>
      <c r="AI936">
        <f t="shared" si="326"/>
        <v>-0.88123670813465826</v>
      </c>
      <c r="AK936" s="26">
        <f t="shared" si="327"/>
        <v>-1.6506236273810523E-2</v>
      </c>
      <c r="AL936" s="26">
        <f t="shared" si="328"/>
        <v>-1.9056822628271311E-2</v>
      </c>
      <c r="AM936" s="26">
        <f t="shared" si="329"/>
        <v>-1.2620256632645266E-2</v>
      </c>
      <c r="AN936" s="26">
        <f t="shared" si="330"/>
        <v>-27.606428571428573</v>
      </c>
      <c r="AO936" s="26">
        <f t="shared" si="331"/>
        <v>-24.703888352638337</v>
      </c>
      <c r="AP936" s="26">
        <f t="shared" si="332"/>
        <v>-22.560608849557482</v>
      </c>
      <c r="AS936" s="2">
        <v>44544</v>
      </c>
      <c r="AT936">
        <v>10.7</v>
      </c>
      <c r="AU936">
        <v>1.3</v>
      </c>
      <c r="AV936">
        <v>40.200000000000003</v>
      </c>
      <c r="AW936">
        <v>7.2</v>
      </c>
      <c r="AX936">
        <v>14.85</v>
      </c>
      <c r="AY936">
        <v>0.2</v>
      </c>
      <c r="AZ936">
        <v>2.6</v>
      </c>
      <c r="BA936">
        <v>278.7679</v>
      </c>
      <c r="BB936">
        <v>231.52449999999999</v>
      </c>
      <c r="BC936">
        <v>172.1489</v>
      </c>
      <c r="BD936">
        <v>6.3582999999999998</v>
      </c>
      <c r="BE936">
        <v>38.637099999999997</v>
      </c>
      <c r="BF936">
        <v>11.956899999999999</v>
      </c>
      <c r="BG936">
        <v>178.83250000000001</v>
      </c>
      <c r="BH936">
        <v>60.17</v>
      </c>
    </row>
    <row r="937" spans="1:60" x14ac:dyDescent="0.25">
      <c r="A937" s="2">
        <v>44564</v>
      </c>
      <c r="B937">
        <v>12.9</v>
      </c>
      <c r="C937">
        <v>0</v>
      </c>
      <c r="D937">
        <v>77.099999999999994</v>
      </c>
      <c r="E937">
        <v>21.3</v>
      </c>
      <c r="F937">
        <v>23.52</v>
      </c>
      <c r="G937">
        <v>0.2</v>
      </c>
      <c r="H937">
        <v>2.9</v>
      </c>
      <c r="I937">
        <v>173.63640000000001</v>
      </c>
      <c r="J937">
        <v>61.197800000000001</v>
      </c>
      <c r="K937">
        <v>50.594799999999999</v>
      </c>
      <c r="L937">
        <v>3.5032000000000001</v>
      </c>
      <c r="M937">
        <v>23.742799999999999</v>
      </c>
      <c r="N937">
        <v>70.627799999999993</v>
      </c>
      <c r="O937">
        <v>131.46770000000001</v>
      </c>
      <c r="P937">
        <v>53.62</v>
      </c>
      <c r="S937">
        <f t="shared" si="311"/>
        <v>450.59499999999997</v>
      </c>
      <c r="T937">
        <f t="shared" si="312"/>
        <v>1.2093298390888213E-2</v>
      </c>
      <c r="U937">
        <f t="shared" si="313"/>
        <v>0</v>
      </c>
      <c r="V937">
        <f t="shared" si="314"/>
        <v>7.227855084786676E-2</v>
      </c>
      <c r="W937">
        <f t="shared" si="315"/>
        <v>1.9968004319838677E-2</v>
      </c>
      <c r="X937">
        <f t="shared" si="316"/>
        <v>2.2049176601061298E-2</v>
      </c>
      <c r="Y937">
        <f t="shared" si="317"/>
        <v>1.874929983083444E-4</v>
      </c>
      <c r="Z937">
        <f t="shared" si="318"/>
        <v>2.7186484754709935E-3</v>
      </c>
      <c r="AA937">
        <f t="shared" si="319"/>
        <v>0.16277804625733505</v>
      </c>
      <c r="AB937">
        <f t="shared" si="320"/>
        <v>5.7370795059371989E-2</v>
      </c>
      <c r="AC937">
        <f t="shared" si="321"/>
        <v>4.7430853754055112E-2</v>
      </c>
      <c r="AD937">
        <f t="shared" si="322"/>
        <v>3.2841273583689603E-3</v>
      </c>
      <c r="AE937">
        <f t="shared" si="323"/>
        <v>2.2258043801176793E-2</v>
      </c>
      <c r="AG937">
        <f t="shared" si="324"/>
        <v>2.2271723848342497E-2</v>
      </c>
      <c r="AH937">
        <f t="shared" si="325"/>
        <v>0.15155321543461106</v>
      </c>
      <c r="AI937">
        <f t="shared" si="326"/>
        <v>-0.71996274319424702</v>
      </c>
      <c r="AK937" s="26">
        <f t="shared" si="327"/>
        <v>-1.4542222563876092E-2</v>
      </c>
      <c r="AL937" s="26">
        <f t="shared" si="328"/>
        <v>-1.7318606546172913E-2</v>
      </c>
      <c r="AM937" s="26">
        <f t="shared" si="329"/>
        <v>-1.3908245031378635E-2</v>
      </c>
      <c r="AN937" s="26">
        <f t="shared" si="330"/>
        <v>-27.570238095238096</v>
      </c>
      <c r="AO937" s="26">
        <f t="shared" si="331"/>
        <v>-24.604530244530224</v>
      </c>
      <c r="AP937" s="26">
        <f t="shared" si="332"/>
        <v>-22.532490462143514</v>
      </c>
      <c r="AS937" s="2">
        <v>44543</v>
      </c>
      <c r="AT937">
        <v>8.9</v>
      </c>
      <c r="AU937">
        <v>3.4</v>
      </c>
      <c r="AV937">
        <v>61</v>
      </c>
      <c r="AW937">
        <v>9.3000000000000007</v>
      </c>
      <c r="AX937">
        <v>15.98</v>
      </c>
      <c r="AY937">
        <v>0.2</v>
      </c>
      <c r="AZ937">
        <v>2.2999999999999998</v>
      </c>
      <c r="BA937">
        <v>272.80259999999998</v>
      </c>
      <c r="BB937">
        <v>216.8252</v>
      </c>
      <c r="BC937">
        <v>179.09800000000001</v>
      </c>
      <c r="BD937">
        <v>7.0419999999999998</v>
      </c>
      <c r="BE937">
        <v>34.507100000000001</v>
      </c>
      <c r="BF937">
        <v>7.5415999999999999</v>
      </c>
      <c r="BG937">
        <v>154.71170000000001</v>
      </c>
      <c r="BH937">
        <v>60.67</v>
      </c>
    </row>
    <row r="938" spans="1:60" x14ac:dyDescent="0.25">
      <c r="A938" s="2">
        <v>44563</v>
      </c>
      <c r="B938">
        <v>13.4</v>
      </c>
      <c r="C938">
        <v>0</v>
      </c>
      <c r="D938">
        <v>86.8</v>
      </c>
      <c r="E938">
        <v>20.5</v>
      </c>
      <c r="F938">
        <v>14.73</v>
      </c>
      <c r="G938">
        <v>0.1</v>
      </c>
      <c r="H938">
        <v>2.9</v>
      </c>
      <c r="I938">
        <v>81.490499999999997</v>
      </c>
      <c r="J938">
        <v>39.309699999999999</v>
      </c>
      <c r="K938">
        <v>32.356200000000001</v>
      </c>
      <c r="L938">
        <v>3.504</v>
      </c>
      <c r="M938">
        <v>16.330200000000001</v>
      </c>
      <c r="P938">
        <v>53.76</v>
      </c>
      <c r="S938">
        <f t="shared" si="311"/>
        <v>311.42060000000004</v>
      </c>
      <c r="T938">
        <f t="shared" si="312"/>
        <v>1.2562030886659074E-2</v>
      </c>
      <c r="U938">
        <f t="shared" si="313"/>
        <v>0</v>
      </c>
      <c r="V938">
        <f t="shared" si="314"/>
        <v>8.1371961265821455E-2</v>
      </c>
      <c r="W938">
        <f t="shared" si="315"/>
        <v>1.9218032326605298E-2</v>
      </c>
      <c r="X938">
        <f t="shared" si="316"/>
        <v>1.3808859325409564E-2</v>
      </c>
      <c r="Y938">
        <f t="shared" si="317"/>
        <v>9.3746499154172199E-5</v>
      </c>
      <c r="Z938">
        <f t="shared" si="318"/>
        <v>2.7186484754709935E-3</v>
      </c>
      <c r="AA938">
        <f t="shared" si="319"/>
        <v>7.6394490893230693E-2</v>
      </c>
      <c r="AB938">
        <f t="shared" si="320"/>
        <v>3.6851467578007627E-2</v>
      </c>
      <c r="AC938">
        <f t="shared" si="321"/>
        <v>3.0332804759322263E-2</v>
      </c>
      <c r="AD938">
        <f t="shared" si="322"/>
        <v>3.2848773303621936E-3</v>
      </c>
      <c r="AE938">
        <f t="shared" si="323"/>
        <v>1.5308990804874629E-2</v>
      </c>
      <c r="AG938">
        <f t="shared" si="324"/>
        <v>2.6611652094265689E-2</v>
      </c>
      <c r="AH938">
        <f t="shared" si="325"/>
        <v>0.14508226958399517</v>
      </c>
      <c r="AI938">
        <f t="shared" si="326"/>
        <v>-0.77468362119572753</v>
      </c>
      <c r="AK938" s="26">
        <f t="shared" si="327"/>
        <v>-1.7441891065094806E-2</v>
      </c>
      <c r="AL938" s="26">
        <f t="shared" si="328"/>
        <v>-1.9097425690909983E-2</v>
      </c>
      <c r="AM938" s="26">
        <f t="shared" si="329"/>
        <v>-1.4899674578477906E-2</v>
      </c>
      <c r="AN938" s="26">
        <f t="shared" si="330"/>
        <v>-27.508571428571429</v>
      </c>
      <c r="AO938" s="26">
        <f t="shared" si="331"/>
        <v>-24.495090090090073</v>
      </c>
      <c r="AP938" s="26">
        <f t="shared" si="332"/>
        <v>-22.501155555555513</v>
      </c>
      <c r="AS938" s="2">
        <v>44542</v>
      </c>
      <c r="AT938">
        <v>8.8000000000000007</v>
      </c>
      <c r="AU938">
        <v>0</v>
      </c>
      <c r="AV938">
        <v>54</v>
      </c>
      <c r="AW938">
        <v>13.7</v>
      </c>
      <c r="AX938">
        <v>16.93</v>
      </c>
      <c r="AY938">
        <v>0.2</v>
      </c>
      <c r="AZ938">
        <v>2.2999999999999998</v>
      </c>
      <c r="BA938">
        <v>268.15929999999997</v>
      </c>
      <c r="BB938">
        <v>140.0633</v>
      </c>
      <c r="BC938">
        <v>76.027900000000002</v>
      </c>
      <c r="BD938">
        <v>3.5678999999999998</v>
      </c>
      <c r="BE938">
        <v>17.182700000000001</v>
      </c>
      <c r="BH938">
        <v>61.2</v>
      </c>
    </row>
    <row r="939" spans="1:60" x14ac:dyDescent="0.25">
      <c r="A939" s="2">
        <v>44562</v>
      </c>
      <c r="B939">
        <v>14.9</v>
      </c>
      <c r="C939">
        <v>0</v>
      </c>
      <c r="D939">
        <v>74.400000000000006</v>
      </c>
      <c r="E939">
        <v>13.3</v>
      </c>
      <c r="F939">
        <v>22.76</v>
      </c>
      <c r="G939">
        <v>0.1</v>
      </c>
      <c r="H939">
        <v>2.7</v>
      </c>
      <c r="I939">
        <v>110.6468</v>
      </c>
      <c r="J939">
        <v>46.241500000000002</v>
      </c>
      <c r="K939">
        <v>32.068100000000001</v>
      </c>
      <c r="L939">
        <v>3.4971999999999999</v>
      </c>
      <c r="M939">
        <v>25.755299999999998</v>
      </c>
      <c r="P939">
        <v>53.77</v>
      </c>
      <c r="S939">
        <f t="shared" si="311"/>
        <v>346.36890000000005</v>
      </c>
      <c r="T939">
        <f t="shared" si="312"/>
        <v>1.3968228373971657E-2</v>
      </c>
      <c r="U939">
        <f t="shared" si="313"/>
        <v>0</v>
      </c>
      <c r="V939">
        <f t="shared" si="314"/>
        <v>6.974739537070411E-2</v>
      </c>
      <c r="W939">
        <f t="shared" si="315"/>
        <v>1.2468284387504903E-2</v>
      </c>
      <c r="X939">
        <f t="shared" si="316"/>
        <v>2.1336703207489593E-2</v>
      </c>
      <c r="Y939">
        <f t="shared" si="317"/>
        <v>9.3746499154172199E-5</v>
      </c>
      <c r="Z939">
        <f t="shared" si="318"/>
        <v>2.5311554771626494E-3</v>
      </c>
      <c r="AA939">
        <f t="shared" si="319"/>
        <v>0.1037275014261186</v>
      </c>
      <c r="AB939">
        <f t="shared" si="320"/>
        <v>4.3349787406376537E-2</v>
      </c>
      <c r="AC939">
        <f t="shared" si="321"/>
        <v>3.0062721095259093E-2</v>
      </c>
      <c r="AD939">
        <f t="shared" si="322"/>
        <v>3.2785025684197097E-3</v>
      </c>
      <c r="AE939">
        <f t="shared" si="323"/>
        <v>2.414469209665451E-2</v>
      </c>
      <c r="AG939">
        <f t="shared" si="324"/>
        <v>2.4459104467272345E-2</v>
      </c>
      <c r="AH939">
        <f t="shared" si="325"/>
        <v>0.14429020541264159</v>
      </c>
      <c r="AI939">
        <f t="shared" si="326"/>
        <v>-0.77738374442412039</v>
      </c>
      <c r="AK939" s="26">
        <f t="shared" si="327"/>
        <v>-1.9911874719499817E-2</v>
      </c>
      <c r="AL939" s="26">
        <f t="shared" si="328"/>
        <v>-1.8732000268732743E-2</v>
      </c>
      <c r="AM939" s="26">
        <f t="shared" si="329"/>
        <v>-1.8101116164024267E-2</v>
      </c>
      <c r="AN939" s="26">
        <f t="shared" si="330"/>
        <v>-27.425476190476189</v>
      </c>
      <c r="AO939" s="26">
        <f t="shared" si="331"/>
        <v>-24.375402187902168</v>
      </c>
      <c r="AP939" s="26">
        <f t="shared" si="332"/>
        <v>-22.468292232055035</v>
      </c>
      <c r="AS939" s="2">
        <v>44541</v>
      </c>
      <c r="AT939">
        <v>9.5</v>
      </c>
      <c r="AU939">
        <v>0</v>
      </c>
      <c r="AV939">
        <v>26.5</v>
      </c>
      <c r="AW939">
        <v>3.7</v>
      </c>
      <c r="AX939">
        <v>18.79</v>
      </c>
      <c r="AY939">
        <v>0.2</v>
      </c>
      <c r="AZ939">
        <v>2.6</v>
      </c>
      <c r="BA939">
        <v>278.3897</v>
      </c>
      <c r="BB939">
        <v>210.88300000000001</v>
      </c>
      <c r="BC939">
        <v>159.2396</v>
      </c>
      <c r="BD939">
        <v>4.1407999999999996</v>
      </c>
      <c r="BE939">
        <v>15.2606</v>
      </c>
      <c r="BH939">
        <v>61.59</v>
      </c>
    </row>
    <row r="940" spans="1:60" x14ac:dyDescent="0.25">
      <c r="A940" s="2">
        <v>44561</v>
      </c>
      <c r="B940">
        <v>15.5</v>
      </c>
      <c r="C940">
        <v>0</v>
      </c>
      <c r="D940">
        <v>84</v>
      </c>
      <c r="E940">
        <v>22.5</v>
      </c>
      <c r="F940">
        <v>45.17</v>
      </c>
      <c r="G940">
        <v>0.1</v>
      </c>
      <c r="H940">
        <v>2.8</v>
      </c>
      <c r="I940">
        <v>85.399299999999997</v>
      </c>
      <c r="J940">
        <v>39.854300000000002</v>
      </c>
      <c r="K940">
        <v>33.567300000000003</v>
      </c>
      <c r="L940">
        <v>3.4839000000000002</v>
      </c>
      <c r="M940">
        <v>23.325900000000001</v>
      </c>
      <c r="N940">
        <v>16.7256</v>
      </c>
      <c r="O940">
        <v>76.218299999999999</v>
      </c>
      <c r="P940">
        <v>53.54</v>
      </c>
      <c r="S940">
        <f t="shared" si="311"/>
        <v>355.70070000000004</v>
      </c>
      <c r="T940">
        <f t="shared" si="312"/>
        <v>1.453070736889669E-2</v>
      </c>
      <c r="U940">
        <f t="shared" si="313"/>
        <v>0</v>
      </c>
      <c r="V940">
        <f t="shared" si="314"/>
        <v>7.8747059289504637E-2</v>
      </c>
      <c r="W940">
        <f t="shared" si="315"/>
        <v>2.1092962309688743E-2</v>
      </c>
      <c r="X940">
        <f t="shared" si="316"/>
        <v>4.2345293667939578E-2</v>
      </c>
      <c r="Y940">
        <f t="shared" si="317"/>
        <v>9.3746499154172199E-5</v>
      </c>
      <c r="Z940">
        <f t="shared" si="318"/>
        <v>2.624901976316821E-3</v>
      </c>
      <c r="AA940">
        <f t="shared" si="319"/>
        <v>8.0058854052168962E-2</v>
      </c>
      <c r="AB940">
        <f t="shared" si="320"/>
        <v>3.7362011012401247E-2</v>
      </c>
      <c r="AC940">
        <f t="shared" si="321"/>
        <v>3.1468168610578447E-2</v>
      </c>
      <c r="AD940">
        <f t="shared" si="322"/>
        <v>3.266034284032205E-3</v>
      </c>
      <c r="AE940">
        <f t="shared" si="323"/>
        <v>2.1867214646203052E-2</v>
      </c>
      <c r="AG940">
        <f t="shared" si="324"/>
        <v>1.0396617549442546E-2</v>
      </c>
      <c r="AH940">
        <f t="shared" si="325"/>
        <v>0.1813018857577037</v>
      </c>
      <c r="AI940">
        <f t="shared" si="326"/>
        <v>-0.47250658933050937</v>
      </c>
      <c r="AK940" s="26">
        <f t="shared" si="327"/>
        <v>-2.754086661004819E-2</v>
      </c>
      <c r="AL940" s="26">
        <f t="shared" si="328"/>
        <v>-1.873652257210201E-2</v>
      </c>
      <c r="AM940" s="26">
        <f t="shared" si="329"/>
        <v>-1.7174485635139736E-2</v>
      </c>
      <c r="AN940" s="26">
        <f t="shared" si="330"/>
        <v>-27.321190476190488</v>
      </c>
      <c r="AO940" s="26">
        <f t="shared" si="331"/>
        <v>-24.246352960102925</v>
      </c>
      <c r="AP940" s="26">
        <f t="shared" si="332"/>
        <v>-22.431683775811194</v>
      </c>
      <c r="AS940" s="2">
        <v>44540</v>
      </c>
      <c r="AT940">
        <v>10.4</v>
      </c>
      <c r="AU940">
        <v>2.1</v>
      </c>
      <c r="AV940">
        <v>33.200000000000003</v>
      </c>
      <c r="AW940">
        <v>4</v>
      </c>
      <c r="AX940">
        <v>21.72</v>
      </c>
      <c r="AY940">
        <v>0.2</v>
      </c>
      <c r="AZ940">
        <v>2.9</v>
      </c>
      <c r="BA940">
        <v>304.95780000000002</v>
      </c>
      <c r="BB940">
        <v>223.6343</v>
      </c>
      <c r="BC940">
        <v>196.1867</v>
      </c>
      <c r="BD940">
        <v>4.8556999999999997</v>
      </c>
      <c r="BE940">
        <v>31.0002</v>
      </c>
      <c r="BF940">
        <v>3.8424</v>
      </c>
      <c r="BG940">
        <v>130.96799999999999</v>
      </c>
      <c r="BH940">
        <v>62.08</v>
      </c>
    </row>
    <row r="941" spans="1:60" x14ac:dyDescent="0.25">
      <c r="A941" s="2">
        <v>44560</v>
      </c>
      <c r="B941">
        <v>15.2</v>
      </c>
      <c r="C941">
        <v>0</v>
      </c>
      <c r="D941">
        <v>84</v>
      </c>
      <c r="E941">
        <v>25.5</v>
      </c>
      <c r="F941">
        <v>14.62</v>
      </c>
      <c r="G941">
        <v>0.1</v>
      </c>
      <c r="H941">
        <v>2.8</v>
      </c>
      <c r="I941">
        <v>125.501</v>
      </c>
      <c r="J941">
        <v>58.863</v>
      </c>
      <c r="K941">
        <v>40.503700000000002</v>
      </c>
      <c r="L941">
        <v>3.5903</v>
      </c>
      <c r="M941">
        <v>27.913499999999999</v>
      </c>
      <c r="N941">
        <v>15.990399999999999</v>
      </c>
      <c r="O941">
        <v>110.9439</v>
      </c>
      <c r="P941">
        <v>53.41</v>
      </c>
      <c r="S941">
        <f t="shared" si="311"/>
        <v>398.5915</v>
      </c>
      <c r="T941">
        <f t="shared" si="312"/>
        <v>1.4249467871434173E-2</v>
      </c>
      <c r="U941">
        <f t="shared" si="313"/>
        <v>0</v>
      </c>
      <c r="V941">
        <f t="shared" si="314"/>
        <v>7.8747059289504637E-2</v>
      </c>
      <c r="W941">
        <f t="shared" si="315"/>
        <v>2.3905357284313908E-2</v>
      </c>
      <c r="X941">
        <f t="shared" si="316"/>
        <v>1.3705738176339974E-2</v>
      </c>
      <c r="Y941">
        <f t="shared" si="317"/>
        <v>9.3746499154172199E-5</v>
      </c>
      <c r="Z941">
        <f t="shared" si="318"/>
        <v>2.624901976316821E-3</v>
      </c>
      <c r="AA941">
        <f t="shared" si="319"/>
        <v>0.11765279390347765</v>
      </c>
      <c r="AB941">
        <f t="shared" si="320"/>
        <v>5.5182001797120378E-2</v>
      </c>
      <c r="AC941">
        <f t="shared" si="321"/>
        <v>3.7970800777908445E-2</v>
      </c>
      <c r="AD941">
        <f t="shared" si="322"/>
        <v>3.3657805591322441E-3</v>
      </c>
      <c r="AE941">
        <f t="shared" si="323"/>
        <v>2.6167929041399855E-2</v>
      </c>
      <c r="AG941">
        <f t="shared" si="324"/>
        <v>1.1583137157042847E-3</v>
      </c>
      <c r="AH941">
        <f t="shared" si="325"/>
        <v>0.15949420013846355</v>
      </c>
      <c r="AI941">
        <f t="shared" si="326"/>
        <v>-0.64809796477220183</v>
      </c>
      <c r="AK941" s="26">
        <f t="shared" si="327"/>
        <v>-3.2691924250239437E-2</v>
      </c>
      <c r="AL941" s="26">
        <f t="shared" si="328"/>
        <v>-2.0068528935201696E-2</v>
      </c>
      <c r="AM941" s="26">
        <f t="shared" si="329"/>
        <v>-1.8446368278390274E-2</v>
      </c>
      <c r="AN941" s="26">
        <f t="shared" si="330"/>
        <v>-27.192619047619075</v>
      </c>
      <c r="AO941" s="26">
        <f t="shared" si="331"/>
        <v>-24.107445302445285</v>
      </c>
      <c r="AP941" s="26">
        <f t="shared" si="332"/>
        <v>-22.390498721730552</v>
      </c>
      <c r="AS941" s="2">
        <v>44539</v>
      </c>
      <c r="AT941">
        <v>10</v>
      </c>
      <c r="AU941">
        <v>2.2000000000000002</v>
      </c>
      <c r="AV941">
        <v>51.5</v>
      </c>
      <c r="AW941">
        <v>5.0999999999999996</v>
      </c>
      <c r="AX941">
        <v>12.56</v>
      </c>
      <c r="AY941">
        <v>0.2</v>
      </c>
      <c r="AZ941">
        <v>3.3</v>
      </c>
      <c r="BA941">
        <v>311.11430000000001</v>
      </c>
      <c r="BB941">
        <v>240.35509999999999</v>
      </c>
      <c r="BC941">
        <v>187.2979</v>
      </c>
      <c r="BD941">
        <v>6.7613000000000003</v>
      </c>
      <c r="BE941">
        <v>37.002200000000002</v>
      </c>
      <c r="BF941">
        <v>12.911300000000001</v>
      </c>
      <c r="BG941">
        <v>131.1071</v>
      </c>
      <c r="BH941">
        <v>62.69</v>
      </c>
    </row>
    <row r="942" spans="1:60" x14ac:dyDescent="0.25">
      <c r="A942" s="2">
        <v>44559</v>
      </c>
      <c r="B942">
        <v>12.6</v>
      </c>
      <c r="C942">
        <v>0</v>
      </c>
      <c r="D942">
        <v>26.3</v>
      </c>
      <c r="E942">
        <v>7.7</v>
      </c>
      <c r="F942">
        <v>15.8</v>
      </c>
      <c r="G942">
        <v>0.1</v>
      </c>
      <c r="H942">
        <v>3</v>
      </c>
      <c r="I942">
        <v>289.55560000000003</v>
      </c>
      <c r="J942">
        <v>125.6508</v>
      </c>
      <c r="K942">
        <v>58.215000000000003</v>
      </c>
      <c r="L942">
        <v>3.6480000000000001</v>
      </c>
      <c r="M942">
        <v>31.279299999999999</v>
      </c>
      <c r="N942">
        <v>15.900499999999999</v>
      </c>
      <c r="O942">
        <v>132.68709999999999</v>
      </c>
      <c r="P942">
        <v>53.44</v>
      </c>
      <c r="S942">
        <f t="shared" si="311"/>
        <v>573.84870000000012</v>
      </c>
      <c r="T942">
        <f t="shared" si="312"/>
        <v>1.1812058893425697E-2</v>
      </c>
      <c r="U942">
        <f t="shared" si="313"/>
        <v>0</v>
      </c>
      <c r="V942">
        <f t="shared" si="314"/>
        <v>2.4655329277547287E-2</v>
      </c>
      <c r="W942">
        <f t="shared" si="315"/>
        <v>7.218480434871259E-3</v>
      </c>
      <c r="X942">
        <f t="shared" si="316"/>
        <v>1.4811946866359206E-2</v>
      </c>
      <c r="Y942">
        <f t="shared" si="317"/>
        <v>9.3746499154172199E-5</v>
      </c>
      <c r="Z942">
        <f t="shared" si="318"/>
        <v>2.8123949746251659E-3</v>
      </c>
      <c r="AA942">
        <f t="shared" si="319"/>
        <v>0.27144823810485824</v>
      </c>
      <c r="AB942">
        <f t="shared" si="320"/>
        <v>0.11779322615921059</v>
      </c>
      <c r="AC942">
        <f t="shared" si="321"/>
        <v>5.4574524482601347E-2</v>
      </c>
      <c r="AD942">
        <f t="shared" si="322"/>
        <v>3.4198722891442017E-3</v>
      </c>
      <c r="AE942">
        <f t="shared" si="323"/>
        <v>2.9323248709930982E-2</v>
      </c>
      <c r="AG942">
        <f t="shared" si="324"/>
        <v>-2.6082048569264353E-4</v>
      </c>
      <c r="AH942">
        <f t="shared" si="325"/>
        <v>9.0727205655913773E-2</v>
      </c>
      <c r="AI942">
        <f t="shared" si="326"/>
        <v>-1.2064027577582066</v>
      </c>
      <c r="AK942" s="26">
        <f t="shared" si="327"/>
        <v>-3.5012895612179407E-2</v>
      </c>
      <c r="AL942" s="26">
        <f t="shared" si="328"/>
        <v>-2.3536216674500204E-2</v>
      </c>
      <c r="AM942" s="26">
        <f t="shared" si="329"/>
        <v>-1.9123585742975374E-2</v>
      </c>
      <c r="AN942" s="26">
        <f t="shared" si="330"/>
        <v>-27.033571428571442</v>
      </c>
      <c r="AO942" s="26">
        <f t="shared" si="331"/>
        <v>-23.956615186615181</v>
      </c>
      <c r="AP942" s="26">
        <f t="shared" si="332"/>
        <v>-22.345487905604685</v>
      </c>
      <c r="AS942" s="2">
        <v>44538</v>
      </c>
      <c r="AT942">
        <v>9.5</v>
      </c>
      <c r="AU942">
        <v>0</v>
      </c>
      <c r="AV942">
        <v>86.3</v>
      </c>
      <c r="AW942">
        <v>18.8</v>
      </c>
      <c r="AX942">
        <v>14.62</v>
      </c>
      <c r="AY942">
        <v>0.2</v>
      </c>
      <c r="AZ942">
        <v>3.3</v>
      </c>
      <c r="BA942">
        <v>225.0205</v>
      </c>
      <c r="BB942">
        <v>173.83619999999999</v>
      </c>
      <c r="BC942">
        <v>131.88560000000001</v>
      </c>
      <c r="BD942">
        <v>4.3548999999999998</v>
      </c>
      <c r="BE942">
        <v>22.364000000000001</v>
      </c>
      <c r="BF942">
        <v>16.029299999999999</v>
      </c>
      <c r="BG942">
        <v>132.6926</v>
      </c>
      <c r="BH942">
        <v>63.32</v>
      </c>
    </row>
    <row r="943" spans="1:60" x14ac:dyDescent="0.25">
      <c r="A943" s="2">
        <v>44558</v>
      </c>
      <c r="B943">
        <v>10.4</v>
      </c>
      <c r="C943">
        <v>0</v>
      </c>
      <c r="D943">
        <v>49.8</v>
      </c>
      <c r="E943">
        <v>14.4</v>
      </c>
      <c r="F943">
        <v>15.6</v>
      </c>
      <c r="G943">
        <v>0.1</v>
      </c>
      <c r="H943">
        <v>3.2</v>
      </c>
      <c r="I943">
        <v>268.07380000000001</v>
      </c>
      <c r="J943">
        <v>92.610900000000001</v>
      </c>
      <c r="K943">
        <v>51.139099999999999</v>
      </c>
      <c r="L943">
        <v>3.6634000000000002</v>
      </c>
      <c r="M943">
        <v>22.429099999999998</v>
      </c>
      <c r="N943">
        <v>13.313499999999999</v>
      </c>
      <c r="O943">
        <v>140.38149999999999</v>
      </c>
      <c r="P943">
        <v>53.55</v>
      </c>
      <c r="S943">
        <f t="shared" si="311"/>
        <v>531.41629999999998</v>
      </c>
      <c r="T943">
        <f t="shared" si="312"/>
        <v>9.749635912033908E-3</v>
      </c>
      <c r="U943">
        <f t="shared" si="313"/>
        <v>0</v>
      </c>
      <c r="V943">
        <f t="shared" si="314"/>
        <v>4.668575657877775E-2</v>
      </c>
      <c r="W943">
        <f t="shared" si="315"/>
        <v>1.3499495878200795E-2</v>
      </c>
      <c r="X943">
        <f t="shared" si="316"/>
        <v>1.4624453868050861E-2</v>
      </c>
      <c r="Y943">
        <f t="shared" si="317"/>
        <v>9.3746499154172199E-5</v>
      </c>
      <c r="Z943">
        <f t="shared" si="318"/>
        <v>2.9998879729335104E-3</v>
      </c>
      <c r="AA943">
        <f t="shared" si="319"/>
        <v>0.25130980264955727</v>
      </c>
      <c r="AB943">
        <f t="shared" si="320"/>
        <v>8.6819476585171251E-2</v>
      </c>
      <c r="AC943">
        <f t="shared" si="321"/>
        <v>4.7941115948951271E-2</v>
      </c>
      <c r="AD943">
        <f t="shared" si="322"/>
        <v>3.4343092500139444E-3</v>
      </c>
      <c r="AE943">
        <f t="shared" si="323"/>
        <v>2.1026496041788433E-2</v>
      </c>
      <c r="AG943">
        <f t="shared" si="324"/>
        <v>2.1997709757054533E-3</v>
      </c>
      <c r="AH943">
        <f t="shared" si="325"/>
        <v>0.10867947275093942</v>
      </c>
      <c r="AI943">
        <f t="shared" si="326"/>
        <v>-1.0596317643562663</v>
      </c>
      <c r="AK943" s="26">
        <f t="shared" si="327"/>
        <v>-3.2148281605465859E-2</v>
      </c>
      <c r="AL943" s="26">
        <f t="shared" si="328"/>
        <v>-2.3219014505781288E-2</v>
      </c>
      <c r="AM943" s="26">
        <f t="shared" si="329"/>
        <v>-1.7367782561250433E-2</v>
      </c>
      <c r="AN943" s="26">
        <f t="shared" si="330"/>
        <v>-26.846190476190472</v>
      </c>
      <c r="AO943" s="26">
        <f t="shared" si="331"/>
        <v>-23.79546171171171</v>
      </c>
      <c r="AP943" s="26">
        <f t="shared" si="332"/>
        <v>-22.297889872173002</v>
      </c>
      <c r="AS943" s="2">
        <v>44537</v>
      </c>
      <c r="AT943">
        <v>9.8000000000000007</v>
      </c>
      <c r="AU943">
        <v>0</v>
      </c>
      <c r="AV943">
        <v>69.7</v>
      </c>
      <c r="AW943">
        <v>13.3</v>
      </c>
      <c r="AX943">
        <v>29.18</v>
      </c>
      <c r="AY943">
        <v>0.2</v>
      </c>
      <c r="AZ943">
        <v>3.3</v>
      </c>
      <c r="BA943">
        <v>304.88920000000002</v>
      </c>
      <c r="BB943">
        <v>197.6001</v>
      </c>
      <c r="BC943">
        <v>158.63829999999999</v>
      </c>
      <c r="BD943">
        <v>3.6158999999999999</v>
      </c>
      <c r="BE943">
        <v>24.841699999999999</v>
      </c>
      <c r="BF943">
        <v>13.956799999999999</v>
      </c>
      <c r="BG943">
        <v>122.00920000000001</v>
      </c>
      <c r="BH943">
        <v>63.92</v>
      </c>
    </row>
    <row r="944" spans="1:60" x14ac:dyDescent="0.25">
      <c r="A944" s="2">
        <v>44557</v>
      </c>
      <c r="B944">
        <v>9.9</v>
      </c>
      <c r="C944">
        <v>0</v>
      </c>
      <c r="D944">
        <v>55.2</v>
      </c>
      <c r="E944">
        <v>12.7</v>
      </c>
      <c r="F944">
        <v>23.98</v>
      </c>
      <c r="G944">
        <v>0.2</v>
      </c>
      <c r="H944">
        <v>3</v>
      </c>
      <c r="I944">
        <v>295.7441</v>
      </c>
      <c r="J944">
        <v>112.6934</v>
      </c>
      <c r="K944">
        <v>68.273200000000003</v>
      </c>
      <c r="L944">
        <v>3.6949999999999998</v>
      </c>
      <c r="M944">
        <v>30.388300000000001</v>
      </c>
      <c r="N944">
        <v>10.148899999999999</v>
      </c>
      <c r="O944">
        <v>139.0514</v>
      </c>
      <c r="P944">
        <v>53.78</v>
      </c>
      <c r="S944">
        <f t="shared" si="311"/>
        <v>615.774</v>
      </c>
      <c r="T944">
        <f t="shared" si="312"/>
        <v>9.2809034162630467E-3</v>
      </c>
      <c r="U944">
        <f t="shared" si="313"/>
        <v>0</v>
      </c>
      <c r="V944">
        <f t="shared" si="314"/>
        <v>5.174806753310305E-2</v>
      </c>
      <c r="W944">
        <f t="shared" si="315"/>
        <v>1.1905805392579868E-2</v>
      </c>
      <c r="X944">
        <f t="shared" si="316"/>
        <v>2.2480410497170492E-2</v>
      </c>
      <c r="Y944">
        <f t="shared" si="317"/>
        <v>1.874929983083444E-4</v>
      </c>
      <c r="Z944">
        <f t="shared" si="318"/>
        <v>2.8123949746251659E-3</v>
      </c>
      <c r="AA944">
        <f t="shared" si="319"/>
        <v>0.27724974020501414</v>
      </c>
      <c r="AB944">
        <f t="shared" si="320"/>
        <v>0.10564611727780789</v>
      </c>
      <c r="AC944">
        <f t="shared" si="321"/>
        <v>6.4003734860526296E-2</v>
      </c>
      <c r="AD944">
        <f t="shared" si="322"/>
        <v>3.4639331437466623E-3</v>
      </c>
      <c r="AE944">
        <f t="shared" si="323"/>
        <v>2.8487967402467309E-2</v>
      </c>
      <c r="AG944">
        <f t="shared" si="324"/>
        <v>1.0523046463400836E-2</v>
      </c>
      <c r="AH944">
        <f t="shared" si="325"/>
        <v>0.12690304221451729</v>
      </c>
      <c r="AI944">
        <f t="shared" si="326"/>
        <v>-0.91029715950700363</v>
      </c>
      <c r="AK944" s="26">
        <f t="shared" si="327"/>
        <v>-3.083914968978943E-2</v>
      </c>
      <c r="AL944" s="26">
        <f t="shared" si="328"/>
        <v>-2.3343215737573961E-2</v>
      </c>
      <c r="AM944" s="26">
        <f t="shared" si="329"/>
        <v>-1.6604121588064458E-2</v>
      </c>
      <c r="AN944" s="26">
        <f t="shared" si="330"/>
        <v>-26.632619047619038</v>
      </c>
      <c r="AO944" s="26">
        <f t="shared" si="331"/>
        <v>-23.623169240669242</v>
      </c>
      <c r="AP944" s="26">
        <f t="shared" si="332"/>
        <v>-22.247791937069778</v>
      </c>
      <c r="AS944" s="2">
        <v>44536</v>
      </c>
      <c r="AT944">
        <v>10</v>
      </c>
      <c r="AU944">
        <v>1.9</v>
      </c>
      <c r="AV944">
        <v>78.2</v>
      </c>
      <c r="AW944">
        <v>8.1</v>
      </c>
      <c r="AX944">
        <v>23.34</v>
      </c>
      <c r="AY944">
        <v>0.2</v>
      </c>
      <c r="AZ944">
        <v>3.3</v>
      </c>
      <c r="BA944">
        <v>305.51979999999998</v>
      </c>
      <c r="BB944">
        <v>216.1807</v>
      </c>
      <c r="BC944">
        <v>189.3023</v>
      </c>
      <c r="BD944">
        <v>5.5366999999999997</v>
      </c>
      <c r="BE944">
        <v>29.962599999999998</v>
      </c>
      <c r="BF944">
        <v>11.957700000000001</v>
      </c>
      <c r="BG944">
        <v>111.8775</v>
      </c>
      <c r="BH944">
        <v>64.53</v>
      </c>
    </row>
    <row r="945" spans="1:60" x14ac:dyDescent="0.25">
      <c r="A945" s="2">
        <v>44556</v>
      </c>
      <c r="B945">
        <v>9.6999999999999993</v>
      </c>
      <c r="C945">
        <v>0</v>
      </c>
      <c r="D945">
        <v>49.2</v>
      </c>
      <c r="E945">
        <v>9</v>
      </c>
      <c r="F945">
        <v>25.09</v>
      </c>
      <c r="G945">
        <v>0.2</v>
      </c>
      <c r="H945">
        <v>2.9</v>
      </c>
      <c r="I945">
        <v>291.71940000000001</v>
      </c>
      <c r="J945">
        <v>109.0496</v>
      </c>
      <c r="K945">
        <v>64.314999999999998</v>
      </c>
      <c r="L945">
        <v>3.6261000000000001</v>
      </c>
      <c r="M945">
        <v>16.316099999999999</v>
      </c>
      <c r="P945">
        <v>54.08</v>
      </c>
      <c r="S945">
        <f t="shared" si="311"/>
        <v>581.11619999999994</v>
      </c>
      <c r="T945">
        <f t="shared" si="312"/>
        <v>9.0934104179547018E-3</v>
      </c>
      <c r="U945">
        <f t="shared" si="313"/>
        <v>0</v>
      </c>
      <c r="V945">
        <f t="shared" si="314"/>
        <v>4.612327758385272E-2</v>
      </c>
      <c r="W945">
        <f t="shared" si="315"/>
        <v>8.4371849238754973E-3</v>
      </c>
      <c r="X945">
        <f t="shared" si="316"/>
        <v>2.3520996637781802E-2</v>
      </c>
      <c r="Y945">
        <f t="shared" si="317"/>
        <v>1.874929983083444E-4</v>
      </c>
      <c r="Z945">
        <f t="shared" si="318"/>
        <v>2.7186484754709935E-3</v>
      </c>
      <c r="AA945">
        <f t="shared" si="319"/>
        <v>0.27347672485355617</v>
      </c>
      <c r="AB945">
        <f t="shared" si="320"/>
        <v>0.10223018234162816</v>
      </c>
      <c r="AC945">
        <f t="shared" si="321"/>
        <v>6.0293060931005844E-2</v>
      </c>
      <c r="AD945">
        <f t="shared" si="322"/>
        <v>3.3993418058294381E-3</v>
      </c>
      <c r="AE945">
        <f t="shared" si="323"/>
        <v>1.5295772548493888E-2</v>
      </c>
      <c r="AG945">
        <f t="shared" si="324"/>
        <v>2.2257187157336291E-2</v>
      </c>
      <c r="AH945">
        <f t="shared" si="325"/>
        <v>0.10537678358573796</v>
      </c>
      <c r="AI945">
        <f t="shared" si="326"/>
        <v>-1.0842833112318946</v>
      </c>
      <c r="AK945" s="26">
        <f t="shared" si="327"/>
        <v>-2.9118981784452519E-2</v>
      </c>
      <c r="AL945" s="26">
        <f t="shared" si="328"/>
        <v>-2.2818129621113847E-2</v>
      </c>
      <c r="AM945" s="26">
        <f t="shared" si="329"/>
        <v>-1.769608031613043E-2</v>
      </c>
      <c r="AN945" s="26">
        <f t="shared" si="330"/>
        <v>-26.401190476190465</v>
      </c>
      <c r="AO945" s="26">
        <f t="shared" si="331"/>
        <v>-23.441061776061758</v>
      </c>
      <c r="AP945" s="26">
        <f t="shared" si="332"/>
        <v>-22.19758741396258</v>
      </c>
      <c r="AS945" s="2">
        <v>44535</v>
      </c>
      <c r="AT945">
        <v>11.2</v>
      </c>
      <c r="AU945">
        <v>0</v>
      </c>
      <c r="AV945">
        <v>77.099999999999994</v>
      </c>
      <c r="AW945">
        <v>8</v>
      </c>
      <c r="AX945">
        <v>28.14</v>
      </c>
      <c r="AY945">
        <v>0.2</v>
      </c>
      <c r="AZ945">
        <v>3.4</v>
      </c>
      <c r="BA945">
        <v>282.88290000000001</v>
      </c>
      <c r="BB945">
        <v>144.51730000000001</v>
      </c>
      <c r="BC945">
        <v>108.9783</v>
      </c>
      <c r="BD945">
        <v>3.6230000000000002</v>
      </c>
      <c r="BE945">
        <v>17.1492</v>
      </c>
      <c r="BH945">
        <v>65.150000000000006</v>
      </c>
    </row>
    <row r="946" spans="1:60" x14ac:dyDescent="0.25">
      <c r="A946" s="2">
        <v>44555</v>
      </c>
      <c r="B946">
        <v>8.1</v>
      </c>
      <c r="C946">
        <v>0</v>
      </c>
      <c r="D946">
        <v>17.3</v>
      </c>
      <c r="E946">
        <v>4.0999999999999996</v>
      </c>
      <c r="F946">
        <v>21.92</v>
      </c>
      <c r="G946">
        <v>0.2</v>
      </c>
      <c r="H946">
        <v>3</v>
      </c>
      <c r="I946">
        <v>274.96300000000002</v>
      </c>
      <c r="J946">
        <v>122.2704</v>
      </c>
      <c r="K946">
        <v>60.271900000000002</v>
      </c>
      <c r="L946">
        <v>3.5867</v>
      </c>
      <c r="M946">
        <v>24.620799999999999</v>
      </c>
      <c r="P946">
        <v>54.42</v>
      </c>
      <c r="S946">
        <f t="shared" si="311"/>
        <v>540.33280000000002</v>
      </c>
      <c r="T946">
        <f t="shared" si="312"/>
        <v>7.593466431487947E-3</v>
      </c>
      <c r="U946">
        <f t="shared" si="313"/>
        <v>0</v>
      </c>
      <c r="V946">
        <f t="shared" si="314"/>
        <v>1.621814435367179E-2</v>
      </c>
      <c r="W946">
        <f t="shared" si="315"/>
        <v>3.8436064653210593E-3</v>
      </c>
      <c r="X946">
        <f t="shared" si="316"/>
        <v>2.0549232614594546E-2</v>
      </c>
      <c r="Y946">
        <f t="shared" si="317"/>
        <v>1.874929983083444E-4</v>
      </c>
      <c r="Z946">
        <f t="shared" si="318"/>
        <v>2.8123949746251659E-3</v>
      </c>
      <c r="AA946">
        <f t="shared" si="319"/>
        <v>0.25776818646928651</v>
      </c>
      <c r="AB946">
        <f t="shared" si="320"/>
        <v>0.11462421950180295</v>
      </c>
      <c r="AC946">
        <f t="shared" si="321"/>
        <v>5.6502796223703508E-2</v>
      </c>
      <c r="AD946">
        <f t="shared" si="322"/>
        <v>3.3624056851626941E-3</v>
      </c>
      <c r="AE946">
        <f t="shared" si="323"/>
        <v>2.3081138063750426E-2</v>
      </c>
      <c r="AG946">
        <f t="shared" si="324"/>
        <v>3.5949611332135624E-2</v>
      </c>
      <c r="AH946">
        <f t="shared" si="325"/>
        <v>7.4285475901759282E-2</v>
      </c>
      <c r="AI946">
        <f t="shared" si="326"/>
        <v>-1.3377862828823008</v>
      </c>
      <c r="AK946" s="26">
        <f t="shared" si="327"/>
        <v>-2.7653297679307604E-2</v>
      </c>
      <c r="AL946" s="26">
        <f t="shared" si="328"/>
        <v>-2.1745556273118444E-2</v>
      </c>
      <c r="AM946" s="26">
        <f t="shared" si="329"/>
        <v>-1.7371776246919518E-2</v>
      </c>
      <c r="AN946" s="26">
        <f t="shared" si="330"/>
        <v>-26.163571428571402</v>
      </c>
      <c r="AO946" s="26">
        <f t="shared" si="331"/>
        <v>-23.258722651222627</v>
      </c>
      <c r="AP946" s="26">
        <f t="shared" si="332"/>
        <v>-22.150379941002896</v>
      </c>
      <c r="AS946" s="2">
        <v>44534</v>
      </c>
      <c r="AT946">
        <v>9.6</v>
      </c>
      <c r="AU946">
        <v>0</v>
      </c>
      <c r="AV946">
        <v>32.1</v>
      </c>
      <c r="AW946">
        <v>7.9</v>
      </c>
      <c r="AX946">
        <v>12.59</v>
      </c>
      <c r="AY946">
        <v>0.2</v>
      </c>
      <c r="AZ946">
        <v>3.4</v>
      </c>
      <c r="BA946">
        <v>265.96550000000002</v>
      </c>
      <c r="BB946">
        <v>176.1046</v>
      </c>
      <c r="BC946">
        <v>123.59310000000001</v>
      </c>
      <c r="BD946">
        <v>3.8921000000000001</v>
      </c>
      <c r="BE946">
        <v>27.045300000000001</v>
      </c>
      <c r="BH946">
        <v>65.61</v>
      </c>
    </row>
    <row r="947" spans="1:60" x14ac:dyDescent="0.25">
      <c r="A947" s="2">
        <v>44554</v>
      </c>
      <c r="B947">
        <v>7.4</v>
      </c>
      <c r="C947">
        <v>0</v>
      </c>
      <c r="D947">
        <v>29.9</v>
      </c>
      <c r="E947">
        <v>12.2</v>
      </c>
      <c r="F947">
        <v>8.82</v>
      </c>
      <c r="G947">
        <v>0.2</v>
      </c>
      <c r="H947">
        <v>3</v>
      </c>
      <c r="I947">
        <v>272.7423</v>
      </c>
      <c r="J947">
        <v>95.786199999999994</v>
      </c>
      <c r="K947">
        <v>51.639099999999999</v>
      </c>
      <c r="L947">
        <v>3.5116000000000001</v>
      </c>
      <c r="M947">
        <v>13.0937</v>
      </c>
      <c r="N947">
        <v>10.5875</v>
      </c>
      <c r="O947">
        <v>150.01589999999999</v>
      </c>
      <c r="P947">
        <v>54.69</v>
      </c>
      <c r="S947">
        <f t="shared" si="311"/>
        <v>498.29289999999997</v>
      </c>
      <c r="T947">
        <f t="shared" si="312"/>
        <v>6.9372409374087425E-3</v>
      </c>
      <c r="U947">
        <f t="shared" si="313"/>
        <v>0</v>
      </c>
      <c r="V947">
        <f t="shared" si="314"/>
        <v>2.8030203247097485E-2</v>
      </c>
      <c r="W947">
        <f t="shared" si="315"/>
        <v>1.1437072896809007E-2</v>
      </c>
      <c r="X947">
        <f t="shared" si="316"/>
        <v>8.2684412253979881E-3</v>
      </c>
      <c r="Y947">
        <f t="shared" si="317"/>
        <v>1.874929983083444E-4</v>
      </c>
      <c r="Z947">
        <f t="shared" si="318"/>
        <v>2.8123949746251659E-3</v>
      </c>
      <c r="AA947">
        <f t="shared" si="319"/>
        <v>0.25568635796256978</v>
      </c>
      <c r="AB947">
        <f t="shared" si="320"/>
        <v>8.9796209172813682E-2</v>
      </c>
      <c r="AC947">
        <f t="shared" si="321"/>
        <v>4.8409848444722132E-2</v>
      </c>
      <c r="AD947">
        <f t="shared" si="322"/>
        <v>3.2920020642979108E-3</v>
      </c>
      <c r="AE947">
        <f t="shared" si="323"/>
        <v>1.2274885359749844E-2</v>
      </c>
      <c r="AG947">
        <f t="shared" si="324"/>
        <v>4.6209546622810113E-2</v>
      </c>
      <c r="AH947">
        <f t="shared" si="325"/>
        <v>6.9947731639396576E-2</v>
      </c>
      <c r="AI947">
        <f t="shared" si="326"/>
        <v>-1.3748449006705796</v>
      </c>
      <c r="AK947" s="26">
        <f t="shared" si="327"/>
        <v>-3.040900057459904E-2</v>
      </c>
      <c r="AL947" s="26">
        <f t="shared" si="328"/>
        <v>-2.143725184765527E-2</v>
      </c>
      <c r="AM947" s="26">
        <f t="shared" si="329"/>
        <v>-1.6864515768836519E-2</v>
      </c>
      <c r="AN947" s="26">
        <f t="shared" si="330"/>
        <v>-25.934285714285714</v>
      </c>
      <c r="AO947" s="26">
        <f t="shared" si="331"/>
        <v>-23.080004826254807</v>
      </c>
      <c r="AP947" s="26">
        <f t="shared" si="332"/>
        <v>-22.105636184857374</v>
      </c>
      <c r="AS947" s="2">
        <v>44533</v>
      </c>
      <c r="AT947">
        <v>9.6</v>
      </c>
      <c r="AU947">
        <v>3.5</v>
      </c>
      <c r="AV947">
        <v>81.099999999999994</v>
      </c>
      <c r="AW947">
        <v>22.7</v>
      </c>
      <c r="AX947">
        <v>36.49</v>
      </c>
      <c r="AY947">
        <v>0.2</v>
      </c>
      <c r="AZ947">
        <v>3.2</v>
      </c>
      <c r="BA947">
        <v>259.06760000000003</v>
      </c>
      <c r="BB947">
        <v>134.94810000000001</v>
      </c>
      <c r="BC947">
        <v>106.30419999999999</v>
      </c>
      <c r="BD947">
        <v>4.4222999999999999</v>
      </c>
      <c r="BE947">
        <v>20.568899999999999</v>
      </c>
      <c r="BF947">
        <v>24.529499999999999</v>
      </c>
      <c r="BG947">
        <v>125.6237</v>
      </c>
      <c r="BH947">
        <v>66.05</v>
      </c>
    </row>
    <row r="948" spans="1:60" x14ac:dyDescent="0.25">
      <c r="A948" s="2">
        <v>44553</v>
      </c>
      <c r="B948">
        <v>7.7</v>
      </c>
      <c r="C948">
        <v>0</v>
      </c>
      <c r="D948">
        <v>33.299999999999997</v>
      </c>
      <c r="E948">
        <v>9.6999999999999993</v>
      </c>
      <c r="F948">
        <v>19.989999999999998</v>
      </c>
      <c r="G948">
        <v>0.2</v>
      </c>
      <c r="H948">
        <v>3.3</v>
      </c>
      <c r="I948">
        <v>312.53320000000002</v>
      </c>
      <c r="J948">
        <v>205.517</v>
      </c>
      <c r="K948">
        <v>113.45869999999999</v>
      </c>
      <c r="L948">
        <v>4.6501999999999999</v>
      </c>
      <c r="M948">
        <v>27.6129</v>
      </c>
      <c r="N948">
        <v>60.198399999999999</v>
      </c>
      <c r="O948">
        <v>241.179</v>
      </c>
      <c r="P948">
        <v>55.03</v>
      </c>
      <c r="S948">
        <f t="shared" si="311"/>
        <v>737.96199999999999</v>
      </c>
      <c r="T948">
        <f t="shared" si="312"/>
        <v>7.218480434871259E-3</v>
      </c>
      <c r="U948">
        <f t="shared" si="313"/>
        <v>0</v>
      </c>
      <c r="V948">
        <f t="shared" si="314"/>
        <v>3.1217584218339336E-2</v>
      </c>
      <c r="W948">
        <f t="shared" si="315"/>
        <v>9.0934104179547018E-3</v>
      </c>
      <c r="X948">
        <f t="shared" si="316"/>
        <v>1.873992518091902E-2</v>
      </c>
      <c r="Y948">
        <f t="shared" si="317"/>
        <v>1.874929983083444E-4</v>
      </c>
      <c r="Z948">
        <f t="shared" si="318"/>
        <v>3.0936344720876819E-3</v>
      </c>
      <c r="AA948">
        <f t="shared" si="319"/>
        <v>0.29298893369450729</v>
      </c>
      <c r="AB948">
        <f t="shared" si="320"/>
        <v>0.19266499266668005</v>
      </c>
      <c r="AC948">
        <f t="shared" si="321"/>
        <v>0.10636355923583475</v>
      </c>
      <c r="AD948">
        <f t="shared" si="322"/>
        <v>4.3593997036673153E-3</v>
      </c>
      <c r="AE948">
        <f t="shared" si="323"/>
        <v>2.5886127064942414E-2</v>
      </c>
      <c r="AG948">
        <f t="shared" si="324"/>
        <v>5.9902326955218334E-2</v>
      </c>
      <c r="AH948">
        <f t="shared" si="325"/>
        <v>9.5436654787422776E-2</v>
      </c>
      <c r="AI948">
        <f t="shared" si="326"/>
        <v>-1.1708710911862981</v>
      </c>
      <c r="AK948" s="26">
        <f t="shared" si="327"/>
        <v>-2.6523857713974142E-2</v>
      </c>
      <c r="AL948" s="26">
        <f t="shared" si="328"/>
        <v>-2.0120322201939767E-2</v>
      </c>
      <c r="AM948" s="26">
        <f t="shared" si="329"/>
        <v>-1.642449620524189E-2</v>
      </c>
      <c r="AN948" s="26">
        <f t="shared" si="330"/>
        <v>-25.716666666666661</v>
      </c>
      <c r="AO948" s="26">
        <f t="shared" si="331"/>
        <v>-22.907464607464576</v>
      </c>
      <c r="AP948" s="26">
        <f t="shared" si="332"/>
        <v>-22.062428318583997</v>
      </c>
      <c r="AS948" s="2">
        <v>44532</v>
      </c>
      <c r="AT948">
        <v>9.6999999999999993</v>
      </c>
      <c r="AU948">
        <v>3.9</v>
      </c>
      <c r="AV948">
        <v>48.8</v>
      </c>
      <c r="AW948">
        <v>14.1</v>
      </c>
      <c r="AX948">
        <v>32.71</v>
      </c>
      <c r="AY948">
        <v>0.2</v>
      </c>
      <c r="AZ948">
        <v>3.2</v>
      </c>
      <c r="BA948">
        <v>248.51689999999999</v>
      </c>
      <c r="BB948">
        <v>201.75059999999999</v>
      </c>
      <c r="BC948">
        <v>144.36770000000001</v>
      </c>
      <c r="BD948">
        <v>5.2465000000000002</v>
      </c>
      <c r="BE948">
        <v>38.713700000000003</v>
      </c>
      <c r="BF948">
        <v>7.3589000000000002</v>
      </c>
      <c r="BG948">
        <v>117.71259999999999</v>
      </c>
      <c r="BH948">
        <v>66.66</v>
      </c>
    </row>
    <row r="949" spans="1:60" x14ac:dyDescent="0.25">
      <c r="A949" s="2">
        <v>44552</v>
      </c>
      <c r="B949">
        <v>9.3000000000000007</v>
      </c>
      <c r="C949">
        <v>19.600000000000001</v>
      </c>
      <c r="D949">
        <v>21.6</v>
      </c>
      <c r="E949">
        <v>6</v>
      </c>
      <c r="F949">
        <v>57.21</v>
      </c>
      <c r="G949">
        <v>0.2</v>
      </c>
      <c r="H949">
        <v>3.3</v>
      </c>
      <c r="I949">
        <v>311.91719999999998</v>
      </c>
      <c r="J949">
        <v>248.5514</v>
      </c>
      <c r="K949">
        <v>185.46080000000001</v>
      </c>
      <c r="L949">
        <v>5.9164000000000003</v>
      </c>
      <c r="M949">
        <v>30.174099999999999</v>
      </c>
      <c r="N949">
        <v>27.756799999999998</v>
      </c>
      <c r="O949">
        <v>288.40249999999997</v>
      </c>
      <c r="P949">
        <v>55.64</v>
      </c>
      <c r="S949">
        <f t="shared" si="311"/>
        <v>899.22989999999993</v>
      </c>
      <c r="T949">
        <f t="shared" si="312"/>
        <v>8.7184244213380137E-3</v>
      </c>
      <c r="U949">
        <f t="shared" si="313"/>
        <v>1.837431383421775E-2</v>
      </c>
      <c r="V949">
        <f t="shared" si="314"/>
        <v>2.0249243817301196E-2</v>
      </c>
      <c r="W949">
        <f t="shared" si="315"/>
        <v>5.6247899492503318E-3</v>
      </c>
      <c r="X949">
        <f t="shared" si="316"/>
        <v>5.3632372166101915E-2</v>
      </c>
      <c r="Y949">
        <f t="shared" si="317"/>
        <v>1.874929983083444E-4</v>
      </c>
      <c r="Z949">
        <f t="shared" si="318"/>
        <v>3.0936344720876819E-3</v>
      </c>
      <c r="AA949">
        <f t="shared" si="319"/>
        <v>0.29241145525971757</v>
      </c>
      <c r="AB949">
        <f t="shared" si="320"/>
        <v>0.23300823609868315</v>
      </c>
      <c r="AC949">
        <f t="shared" si="321"/>
        <v>0.17386300730332099</v>
      </c>
      <c r="AD949">
        <f t="shared" si="322"/>
        <v>5.5464178759574434E-3</v>
      </c>
      <c r="AE949">
        <f t="shared" si="323"/>
        <v>2.828716240127907E-2</v>
      </c>
      <c r="AG949">
        <f t="shared" si="324"/>
        <v>8.6909694082125302E-2</v>
      </c>
      <c r="AH949">
        <f t="shared" si="325"/>
        <v>0.1381674340598843</v>
      </c>
      <c r="AI949">
        <f t="shared" si="326"/>
        <v>-0.82311496082852476</v>
      </c>
      <c r="AK949" s="26">
        <f t="shared" si="327"/>
        <v>-2.7094242663661242E-2</v>
      </c>
      <c r="AL949" s="26">
        <f t="shared" si="328"/>
        <v>-1.8225358036988548E-2</v>
      </c>
      <c r="AM949" s="26">
        <f t="shared" si="329"/>
        <v>-1.6105162260162342E-2</v>
      </c>
      <c r="AN949" s="26">
        <f t="shared" si="330"/>
        <v>-25.504285714285693</v>
      </c>
      <c r="AO949" s="26">
        <f t="shared" si="331"/>
        <v>-22.740546975546962</v>
      </c>
      <c r="AP949" s="26">
        <f t="shared" si="332"/>
        <v>-22.022443264503366</v>
      </c>
      <c r="AS949" s="2">
        <v>44531</v>
      </c>
      <c r="AT949">
        <v>8.6</v>
      </c>
      <c r="AU949">
        <v>2</v>
      </c>
      <c r="AV949">
        <v>69.900000000000006</v>
      </c>
      <c r="AW949">
        <v>23.9</v>
      </c>
      <c r="AX949">
        <v>19.989999999999998</v>
      </c>
      <c r="AY949">
        <v>0.2</v>
      </c>
      <c r="AZ949">
        <v>3.2</v>
      </c>
      <c r="BA949">
        <v>206.7311</v>
      </c>
      <c r="BB949">
        <v>121.74420000000001</v>
      </c>
      <c r="BC949">
        <v>77.219700000000003</v>
      </c>
      <c r="BD949">
        <v>3.6741000000000001</v>
      </c>
      <c r="BE949">
        <v>16.079599999999999</v>
      </c>
      <c r="BF949">
        <v>-1.3241000000000001</v>
      </c>
      <c r="BG949">
        <v>110.33459999999999</v>
      </c>
      <c r="BH949">
        <v>67.209999999999994</v>
      </c>
    </row>
    <row r="950" spans="1:60" x14ac:dyDescent="0.25">
      <c r="A950" s="2">
        <v>44551</v>
      </c>
      <c r="B950">
        <v>9</v>
      </c>
      <c r="C950">
        <v>1.3</v>
      </c>
      <c r="D950">
        <v>7</v>
      </c>
      <c r="E950">
        <v>2</v>
      </c>
      <c r="F950">
        <v>53.02</v>
      </c>
      <c r="G950">
        <v>0.2</v>
      </c>
      <c r="H950">
        <v>3.2</v>
      </c>
      <c r="I950">
        <v>311.41800000000001</v>
      </c>
      <c r="J950">
        <v>261.71820000000002</v>
      </c>
      <c r="K950">
        <v>223.6756</v>
      </c>
      <c r="L950">
        <v>6.4554</v>
      </c>
      <c r="M950">
        <v>36.510300000000001</v>
      </c>
      <c r="N950">
        <v>23.963000000000001</v>
      </c>
      <c r="O950">
        <v>294.9434</v>
      </c>
      <c r="P950">
        <v>56.46</v>
      </c>
      <c r="S950">
        <f t="shared" si="311"/>
        <v>915.49750000000017</v>
      </c>
      <c r="T950">
        <f t="shared" si="312"/>
        <v>8.4371849238754973E-3</v>
      </c>
      <c r="U950">
        <f t="shared" si="313"/>
        <v>1.2187044890042385E-3</v>
      </c>
      <c r="V950">
        <f t="shared" si="314"/>
        <v>6.5622549407920536E-3</v>
      </c>
      <c r="W950">
        <f t="shared" si="315"/>
        <v>1.8749299830834439E-3</v>
      </c>
      <c r="X950">
        <f t="shared" si="316"/>
        <v>4.97043938515421E-2</v>
      </c>
      <c r="Y950">
        <f t="shared" si="317"/>
        <v>1.874929983083444E-4</v>
      </c>
      <c r="Z950">
        <f t="shared" si="318"/>
        <v>2.9998879729335104E-3</v>
      </c>
      <c r="AA950">
        <f t="shared" si="319"/>
        <v>0.29194347273593996</v>
      </c>
      <c r="AB950">
        <f t="shared" si="320"/>
        <v>0.2453516501493147</v>
      </c>
      <c r="AC950">
        <f t="shared" si="321"/>
        <v>0.20968804446208958</v>
      </c>
      <c r="AD950">
        <f t="shared" si="322"/>
        <v>6.0517115063984314E-3</v>
      </c>
      <c r="AE950">
        <f t="shared" si="323"/>
        <v>3.4227128080685731E-2</v>
      </c>
      <c r="AG950">
        <f t="shared" si="324"/>
        <v>0.12429912031146287</v>
      </c>
      <c r="AH950">
        <f t="shared" si="325"/>
        <v>0.10521197724022492</v>
      </c>
      <c r="AI950">
        <f t="shared" si="326"/>
        <v>-1.090804869986534</v>
      </c>
      <c r="AK950" s="26">
        <f t="shared" si="327"/>
        <v>-3.318068278387723E-2</v>
      </c>
      <c r="AL950" s="26">
        <f t="shared" si="328"/>
        <v>-1.7234205303123556E-2</v>
      </c>
      <c r="AM950" s="26">
        <f t="shared" si="329"/>
        <v>-1.5793011911127253E-2</v>
      </c>
      <c r="AN950" s="26">
        <f t="shared" si="330"/>
        <v>-25.309523809523796</v>
      </c>
      <c r="AO950" s="26">
        <f t="shared" si="331"/>
        <v>-22.583177284427251</v>
      </c>
      <c r="AP950" s="26">
        <f t="shared" si="332"/>
        <v>-21.990417305801287</v>
      </c>
      <c r="AS950" s="2">
        <v>44530</v>
      </c>
      <c r="AT950">
        <v>8.3000000000000007</v>
      </c>
      <c r="AU950">
        <v>1.9</v>
      </c>
      <c r="AV950">
        <v>67.900000000000006</v>
      </c>
      <c r="AW950">
        <v>23.9</v>
      </c>
      <c r="AX950">
        <v>8.77</v>
      </c>
      <c r="AY950">
        <v>0.2</v>
      </c>
      <c r="AZ950">
        <v>3.1</v>
      </c>
      <c r="BA950">
        <v>243.81229999999999</v>
      </c>
      <c r="BB950">
        <v>139.67609999999999</v>
      </c>
      <c r="BC950">
        <v>92.313599999999994</v>
      </c>
      <c r="BD950">
        <v>4.4828000000000001</v>
      </c>
      <c r="BE950">
        <v>28.819700000000001</v>
      </c>
      <c r="BF950">
        <v>3.4441999999999999</v>
      </c>
      <c r="BG950">
        <v>117.5453</v>
      </c>
      <c r="BH950">
        <v>67.78</v>
      </c>
    </row>
    <row r="951" spans="1:60" x14ac:dyDescent="0.25">
      <c r="A951" s="2">
        <v>44550</v>
      </c>
      <c r="B951">
        <v>7.9</v>
      </c>
      <c r="C951">
        <v>1.1000000000000001</v>
      </c>
      <c r="D951">
        <v>10.3</v>
      </c>
      <c r="E951">
        <v>5.6</v>
      </c>
      <c r="F951">
        <v>58.69</v>
      </c>
      <c r="G951">
        <v>0.2</v>
      </c>
      <c r="H951">
        <v>2.9</v>
      </c>
      <c r="I951">
        <v>305.11279999999999</v>
      </c>
      <c r="J951">
        <v>217.37370000000001</v>
      </c>
      <c r="K951">
        <v>164.21979999999999</v>
      </c>
      <c r="L951">
        <v>6.2263000000000002</v>
      </c>
      <c r="M951">
        <v>29.4572</v>
      </c>
      <c r="N951">
        <v>48.5092</v>
      </c>
      <c r="O951">
        <v>252.19149999999999</v>
      </c>
      <c r="P951">
        <v>57.23</v>
      </c>
      <c r="S951">
        <f t="shared" si="311"/>
        <v>809.07979999999998</v>
      </c>
      <c r="T951">
        <f t="shared" si="312"/>
        <v>7.405973433179603E-3</v>
      </c>
      <c r="U951">
        <f t="shared" si="313"/>
        <v>1.0312114906958943E-3</v>
      </c>
      <c r="V951">
        <f t="shared" si="314"/>
        <v>9.6558894128797364E-3</v>
      </c>
      <c r="W951">
        <f t="shared" si="315"/>
        <v>5.249803952633642E-3</v>
      </c>
      <c r="X951">
        <f t="shared" si="316"/>
        <v>5.5019820353583659E-2</v>
      </c>
      <c r="Y951">
        <f t="shared" si="317"/>
        <v>1.874929983083444E-4</v>
      </c>
      <c r="Z951">
        <f t="shared" si="318"/>
        <v>2.7186484754709935E-3</v>
      </c>
      <c r="AA951">
        <f t="shared" si="319"/>
        <v>0.28603256847127106</v>
      </c>
      <c r="AB951">
        <f t="shared" si="320"/>
        <v>0.20378023383189281</v>
      </c>
      <c r="AC951">
        <f t="shared" si="321"/>
        <v>0.15395031341798326</v>
      </c>
      <c r="AD951">
        <f t="shared" si="322"/>
        <v>5.8369382768362231E-3</v>
      </c>
      <c r="AE951">
        <f t="shared" si="323"/>
        <v>2.7615093748842811E-2</v>
      </c>
      <c r="AG951">
        <f t="shared" si="324"/>
        <v>0.15927101005917274</v>
      </c>
      <c r="AH951">
        <f t="shared" si="325"/>
        <v>0.10888393386559471</v>
      </c>
      <c r="AI951">
        <f t="shared" si="326"/>
        <v>-1.0621077678129243</v>
      </c>
      <c r="AK951" s="26">
        <f t="shared" si="327"/>
        <v>-2.5936404205262595E-2</v>
      </c>
      <c r="AL951" s="26">
        <f t="shared" si="328"/>
        <v>-1.4933025311172965E-2</v>
      </c>
      <c r="AM951" s="26">
        <f t="shared" si="329"/>
        <v>-1.4541058516269273E-2</v>
      </c>
      <c r="AN951" s="26">
        <f t="shared" si="330"/>
        <v>-25.130476190476152</v>
      </c>
      <c r="AO951" s="26">
        <f t="shared" si="331"/>
        <v>-22.437384169884126</v>
      </c>
      <c r="AP951" s="26">
        <f t="shared" si="332"/>
        <v>-21.962440904621346</v>
      </c>
      <c r="AS951" s="2">
        <v>44529</v>
      </c>
      <c r="AT951">
        <v>7.5</v>
      </c>
      <c r="AU951">
        <v>1.1000000000000001</v>
      </c>
      <c r="AV951">
        <v>29.9</v>
      </c>
      <c r="AW951">
        <v>4.7</v>
      </c>
      <c r="AX951">
        <v>20.69</v>
      </c>
      <c r="AY951">
        <v>0.2</v>
      </c>
      <c r="AZ951">
        <v>3.4</v>
      </c>
      <c r="BA951">
        <v>300.01159999999999</v>
      </c>
      <c r="BB951">
        <v>269.84210000000002</v>
      </c>
      <c r="BC951">
        <v>180.36590000000001</v>
      </c>
      <c r="BD951">
        <v>6.8186999999999998</v>
      </c>
      <c r="BE951">
        <v>43.989699999999999</v>
      </c>
      <c r="BF951">
        <v>-22.402200000000001</v>
      </c>
      <c r="BG951">
        <v>88.886700000000005</v>
      </c>
      <c r="BH951">
        <v>68.33</v>
      </c>
    </row>
    <row r="952" spans="1:60" x14ac:dyDescent="0.25">
      <c r="A952" s="2">
        <v>44549</v>
      </c>
      <c r="B952">
        <v>8.1999999999999993</v>
      </c>
      <c r="C952">
        <v>0</v>
      </c>
      <c r="D952">
        <v>62.8</v>
      </c>
      <c r="E952">
        <v>21.7</v>
      </c>
      <c r="F952">
        <v>15.3</v>
      </c>
      <c r="G952">
        <v>0.2</v>
      </c>
      <c r="H952">
        <v>3</v>
      </c>
      <c r="I952">
        <v>235.65010000000001</v>
      </c>
      <c r="J952">
        <v>87.421400000000006</v>
      </c>
      <c r="K952">
        <v>59.967799999999997</v>
      </c>
      <c r="L952">
        <v>3.6</v>
      </c>
      <c r="M952">
        <v>7.5221</v>
      </c>
      <c r="P952">
        <v>57.91</v>
      </c>
      <c r="S952">
        <f t="shared" si="311"/>
        <v>505.36140000000006</v>
      </c>
      <c r="T952">
        <f t="shared" si="312"/>
        <v>7.6872129306421186E-3</v>
      </c>
      <c r="U952">
        <f t="shared" si="313"/>
        <v>0</v>
      </c>
      <c r="V952">
        <f t="shared" si="314"/>
        <v>5.8872801468820131E-2</v>
      </c>
      <c r="W952">
        <f t="shared" si="315"/>
        <v>2.0342990316455364E-2</v>
      </c>
      <c r="X952">
        <f t="shared" si="316"/>
        <v>1.4343214370588346E-2</v>
      </c>
      <c r="Y952">
        <f t="shared" si="317"/>
        <v>1.874929983083444E-4</v>
      </c>
      <c r="Z952">
        <f t="shared" si="318"/>
        <v>2.8123949746251659E-3</v>
      </c>
      <c r="AA952">
        <f t="shared" si="319"/>
        <v>0.22091371900330592</v>
      </c>
      <c r="AB952">
        <f t="shared" si="320"/>
        <v>8.1954502011565497E-2</v>
      </c>
      <c r="AC952">
        <f t="shared" si="321"/>
        <v>5.6217713119775671E-2</v>
      </c>
      <c r="AD952">
        <f t="shared" si="322"/>
        <v>3.3748739695501988E-3</v>
      </c>
      <c r="AE952">
        <f t="shared" si="323"/>
        <v>7.0517054128759861E-3</v>
      </c>
      <c r="AG952">
        <f t="shared" si="324"/>
        <v>0.18984058062401762</v>
      </c>
      <c r="AH952">
        <f t="shared" si="325"/>
        <v>0.11129781247231547</v>
      </c>
      <c r="AI952">
        <f t="shared" si="326"/>
        <v>-1.0434884206533097</v>
      </c>
      <c r="AK952" s="26">
        <f t="shared" si="327"/>
        <v>-2.4582611010977168E-2</v>
      </c>
      <c r="AL952" s="26">
        <f t="shared" si="328"/>
        <v>-1.4060702840512501E-2</v>
      </c>
      <c r="AM952" s="26">
        <f t="shared" si="329"/>
        <v>-1.3138077557069555E-2</v>
      </c>
      <c r="AN952" s="26">
        <f t="shared" si="330"/>
        <v>-24.972857142857116</v>
      </c>
      <c r="AO952" s="26">
        <f t="shared" si="331"/>
        <v>-22.29841698841696</v>
      </c>
      <c r="AP952" s="26">
        <f t="shared" si="332"/>
        <v>-21.94148829891833</v>
      </c>
      <c r="AS952" s="2">
        <v>44528</v>
      </c>
      <c r="AT952">
        <v>7.1</v>
      </c>
      <c r="AU952">
        <v>31.7</v>
      </c>
      <c r="AV952">
        <v>47.3</v>
      </c>
      <c r="AW952">
        <v>2</v>
      </c>
      <c r="AX952">
        <v>24.19</v>
      </c>
      <c r="AY952">
        <v>0.2</v>
      </c>
      <c r="AZ952">
        <v>3.3</v>
      </c>
      <c r="BA952">
        <v>310.59719999999999</v>
      </c>
      <c r="BB952">
        <v>219.8434</v>
      </c>
      <c r="BC952">
        <v>117.5954</v>
      </c>
      <c r="BD952">
        <v>3.6042000000000001</v>
      </c>
      <c r="BE952">
        <v>23.206299999999999</v>
      </c>
      <c r="BH952">
        <v>68.92</v>
      </c>
    </row>
    <row r="953" spans="1:60" x14ac:dyDescent="0.25">
      <c r="A953" s="2">
        <v>44548</v>
      </c>
      <c r="B953">
        <v>8.8000000000000007</v>
      </c>
      <c r="C953">
        <v>0.2</v>
      </c>
      <c r="D953">
        <v>48.2</v>
      </c>
      <c r="E953">
        <v>11.2</v>
      </c>
      <c r="F953">
        <v>14.51</v>
      </c>
      <c r="G953">
        <v>0.2</v>
      </c>
      <c r="H953">
        <v>2.9</v>
      </c>
      <c r="I953">
        <v>261.27980000000002</v>
      </c>
      <c r="J953">
        <v>139.85419999999999</v>
      </c>
      <c r="K953">
        <v>133.9442</v>
      </c>
      <c r="L953">
        <v>3.5966</v>
      </c>
      <c r="M953">
        <v>15.704000000000001</v>
      </c>
      <c r="P953">
        <v>58.34</v>
      </c>
      <c r="S953">
        <f t="shared" si="311"/>
        <v>640.38879999999995</v>
      </c>
      <c r="T953">
        <f t="shared" si="312"/>
        <v>8.2496919255671541E-3</v>
      </c>
      <c r="U953">
        <f t="shared" si="313"/>
        <v>1.874929983083444E-4</v>
      </c>
      <c r="V953">
        <f t="shared" si="314"/>
        <v>4.5185812592310998E-2</v>
      </c>
      <c r="W953">
        <f t="shared" si="315"/>
        <v>1.0499607905267284E-2</v>
      </c>
      <c r="X953">
        <f t="shared" si="316"/>
        <v>1.3602617027270385E-2</v>
      </c>
      <c r="Y953">
        <f t="shared" si="317"/>
        <v>1.874929983083444E-4</v>
      </c>
      <c r="Z953">
        <f t="shared" si="318"/>
        <v>2.7186484754709935E-3</v>
      </c>
      <c r="AA953">
        <f t="shared" si="319"/>
        <v>0.24494066549702281</v>
      </c>
      <c r="AB953">
        <f t="shared" si="320"/>
        <v>0.13110841642007429</v>
      </c>
      <c r="AC953">
        <f t="shared" si="321"/>
        <v>0.12556799832006271</v>
      </c>
      <c r="AD953">
        <f t="shared" si="322"/>
        <v>3.3716865885789569E-3</v>
      </c>
      <c r="AE953">
        <f t="shared" si="323"/>
        <v>1.4721950227171201E-2</v>
      </c>
      <c r="AG953">
        <f t="shared" si="324"/>
        <v>0.20813751816939932</v>
      </c>
      <c r="AH953">
        <f t="shared" si="325"/>
        <v>9.5353314149674698E-2</v>
      </c>
      <c r="AI953">
        <f t="shared" si="326"/>
        <v>-1.1755943668548396</v>
      </c>
      <c r="AK953" s="26">
        <f t="shared" si="327"/>
        <v>-2.0941760366850512E-2</v>
      </c>
      <c r="AL953" s="26">
        <f t="shared" si="328"/>
        <v>-1.1343130820981595E-2</v>
      </c>
      <c r="AM953" s="26">
        <f t="shared" si="329"/>
        <v>-1.4126974654492169E-2</v>
      </c>
      <c r="AN953" s="26">
        <f t="shared" si="330"/>
        <v>-24.824047619047597</v>
      </c>
      <c r="AO953" s="26">
        <f t="shared" si="331"/>
        <v>-22.165936293436246</v>
      </c>
      <c r="AP953" s="26">
        <f t="shared" si="332"/>
        <v>-21.928004719763948</v>
      </c>
      <c r="AS953" s="2">
        <v>44527</v>
      </c>
      <c r="AT953">
        <v>7.3</v>
      </c>
      <c r="AU953">
        <v>1.3</v>
      </c>
      <c r="AV953">
        <v>45.5</v>
      </c>
      <c r="AW953">
        <v>6.3</v>
      </c>
      <c r="AX953">
        <v>24.69</v>
      </c>
      <c r="AY953">
        <v>0.2</v>
      </c>
      <c r="AZ953">
        <v>3.2</v>
      </c>
      <c r="BA953">
        <v>309.81920000000002</v>
      </c>
      <c r="BB953">
        <v>212.86369999999999</v>
      </c>
      <c r="BC953">
        <v>154.05170000000001</v>
      </c>
      <c r="BD953">
        <v>3.6059999999999999</v>
      </c>
      <c r="BE953">
        <v>21.790400000000002</v>
      </c>
      <c r="BH953">
        <v>69.34</v>
      </c>
    </row>
    <row r="954" spans="1:60" x14ac:dyDescent="0.25">
      <c r="A954" s="2">
        <v>44547</v>
      </c>
      <c r="B954">
        <v>9.6</v>
      </c>
      <c r="C954">
        <v>0.5</v>
      </c>
      <c r="D954">
        <v>19.399999999999999</v>
      </c>
      <c r="E954">
        <v>5.3</v>
      </c>
      <c r="F954">
        <v>23.05</v>
      </c>
      <c r="G954">
        <v>0.2</v>
      </c>
      <c r="H954">
        <v>3.1</v>
      </c>
      <c r="I954">
        <v>289.47910000000002</v>
      </c>
      <c r="J954">
        <v>203.05699999999999</v>
      </c>
      <c r="K954">
        <v>168.4958</v>
      </c>
      <c r="L954">
        <v>4.9882</v>
      </c>
      <c r="M954">
        <v>27.6496</v>
      </c>
      <c r="N954">
        <v>64.162999999999997</v>
      </c>
      <c r="O954">
        <v>252.48609999999999</v>
      </c>
      <c r="P954">
        <v>58.74</v>
      </c>
      <c r="S954">
        <f t="shared" si="311"/>
        <v>754.81970000000001</v>
      </c>
      <c r="T954">
        <f t="shared" si="312"/>
        <v>8.9996639188005302E-3</v>
      </c>
      <c r="U954">
        <f t="shared" si="313"/>
        <v>4.6873249577086097E-4</v>
      </c>
      <c r="V954">
        <f t="shared" si="314"/>
        <v>1.8186820835909404E-2</v>
      </c>
      <c r="W954">
        <f t="shared" si="315"/>
        <v>4.9685644551711256E-3</v>
      </c>
      <c r="X954">
        <f t="shared" si="316"/>
        <v>2.1608568055036692E-2</v>
      </c>
      <c r="Y954">
        <f t="shared" si="317"/>
        <v>1.874929983083444E-4</v>
      </c>
      <c r="Z954">
        <f t="shared" si="318"/>
        <v>2.9061414737793379E-3</v>
      </c>
      <c r="AA954">
        <f t="shared" si="319"/>
        <v>0.27137652203300527</v>
      </c>
      <c r="AB954">
        <f t="shared" si="320"/>
        <v>0.19035882878748742</v>
      </c>
      <c r="AC954">
        <f t="shared" si="321"/>
        <v>0.15795891372181567</v>
      </c>
      <c r="AD954">
        <f t="shared" si="322"/>
        <v>4.6762628708084172E-3</v>
      </c>
      <c r="AE954">
        <f t="shared" si="323"/>
        <v>2.5920532030131994E-2</v>
      </c>
      <c r="AG954">
        <f t="shared" si="324"/>
        <v>0.22496900859132826</v>
      </c>
      <c r="AH954">
        <f t="shared" si="325"/>
        <v>8.3246516262908285E-2</v>
      </c>
      <c r="AI954">
        <f t="shared" si="326"/>
        <v>-1.2781339292218663</v>
      </c>
      <c r="AK954" s="26">
        <f t="shared" si="327"/>
        <v>-1.9357096329862475E-2</v>
      </c>
      <c r="AL954" s="26">
        <f t="shared" si="328"/>
        <v>-9.5362462124898573E-3</v>
      </c>
      <c r="AM954" s="26">
        <f t="shared" si="329"/>
        <v>-1.4801770450661944E-2</v>
      </c>
      <c r="AN954" s="26">
        <f t="shared" si="330"/>
        <v>-24.67880952380952</v>
      </c>
      <c r="AO954" s="26">
        <f t="shared" si="331"/>
        <v>-22.037348777348726</v>
      </c>
      <c r="AP954" s="26">
        <f t="shared" si="332"/>
        <v>-21.918800393313603</v>
      </c>
      <c r="AS954" s="2">
        <v>44526</v>
      </c>
      <c r="AT954">
        <v>8.3000000000000007</v>
      </c>
      <c r="AU954">
        <v>2.2000000000000002</v>
      </c>
      <c r="AV954">
        <v>69.5</v>
      </c>
      <c r="AW954">
        <v>11.4</v>
      </c>
      <c r="AX954">
        <v>20.22</v>
      </c>
      <c r="AY954">
        <v>0.2</v>
      </c>
      <c r="AZ954">
        <v>3.3</v>
      </c>
      <c r="BA954">
        <v>307.83089999999999</v>
      </c>
      <c r="BB954">
        <v>230.24760000000001</v>
      </c>
      <c r="BC954">
        <v>153.5378</v>
      </c>
      <c r="BD954">
        <v>4.4390000000000001</v>
      </c>
      <c r="BE954">
        <v>23.331499999999998</v>
      </c>
      <c r="BF954">
        <v>-31.374400000000001</v>
      </c>
      <c r="BG954">
        <v>59.764400000000002</v>
      </c>
      <c r="BH954">
        <v>69.77</v>
      </c>
    </row>
    <row r="955" spans="1:60" x14ac:dyDescent="0.25">
      <c r="A955" s="2">
        <v>44546</v>
      </c>
      <c r="B955">
        <v>10.1</v>
      </c>
      <c r="C955">
        <v>1.2</v>
      </c>
      <c r="D955">
        <v>21.7</v>
      </c>
      <c r="E955">
        <v>7.1</v>
      </c>
      <c r="F955">
        <v>18.53</v>
      </c>
      <c r="G955">
        <v>0.2</v>
      </c>
      <c r="H955">
        <v>3.2</v>
      </c>
      <c r="I955">
        <v>267.91399999999999</v>
      </c>
      <c r="J955">
        <v>226.77250000000001</v>
      </c>
      <c r="K955">
        <v>190.42349999999999</v>
      </c>
      <c r="L955">
        <v>5.3365</v>
      </c>
      <c r="M955">
        <v>26.012699999999999</v>
      </c>
      <c r="N955">
        <v>60.584699999999998</v>
      </c>
      <c r="O955">
        <v>256.19490000000002</v>
      </c>
      <c r="P955">
        <v>59.22</v>
      </c>
      <c r="S955">
        <f t="shared" si="311"/>
        <v>778.48919999999998</v>
      </c>
      <c r="T955">
        <f t="shared" si="312"/>
        <v>9.4683964145713916E-3</v>
      </c>
      <c r="U955">
        <f t="shared" si="313"/>
        <v>1.1249579898500663E-3</v>
      </c>
      <c r="V955">
        <f t="shared" si="314"/>
        <v>2.0342990316455364E-2</v>
      </c>
      <c r="W955">
        <f t="shared" si="315"/>
        <v>6.6560014399462252E-3</v>
      </c>
      <c r="X955">
        <f t="shared" si="316"/>
        <v>1.7371226293268108E-2</v>
      </c>
      <c r="Y955">
        <f t="shared" si="317"/>
        <v>1.874929983083444E-4</v>
      </c>
      <c r="Z955">
        <f t="shared" si="318"/>
        <v>2.9998879729335104E-3</v>
      </c>
      <c r="AA955">
        <f t="shared" si="319"/>
        <v>0.25115999574390885</v>
      </c>
      <c r="AB955">
        <f t="shared" si="320"/>
        <v>0.21259127979439513</v>
      </c>
      <c r="AC955">
        <f t="shared" si="321"/>
        <v>0.17851536481684507</v>
      </c>
      <c r="AD955">
        <f t="shared" si="322"/>
        <v>5.0027819273623991E-3</v>
      </c>
      <c r="AE955">
        <f t="shared" si="323"/>
        <v>2.4385995585477348E-2</v>
      </c>
      <c r="AG955">
        <f t="shared" si="324"/>
        <v>0.24572547430522293</v>
      </c>
      <c r="AH955">
        <f t="shared" si="325"/>
        <v>8.2536949010810351E-2</v>
      </c>
      <c r="AI955">
        <f t="shared" si="326"/>
        <v>-1.2874066734627088</v>
      </c>
      <c r="AK955" s="26">
        <f t="shared" si="327"/>
        <v>-1.8825375114897971E-2</v>
      </c>
      <c r="AL955" s="26">
        <f t="shared" si="328"/>
        <v>-7.5876864681587441E-3</v>
      </c>
      <c r="AM955" s="26">
        <f t="shared" si="329"/>
        <v>-1.5397736856545885E-2</v>
      </c>
      <c r="AN955" s="26">
        <f t="shared" si="330"/>
        <v>-24.53023809523809</v>
      </c>
      <c r="AO955" s="26">
        <f t="shared" si="331"/>
        <v>-21.909781209781158</v>
      </c>
      <c r="AP955" s="26">
        <f t="shared" si="332"/>
        <v>-21.912055457227069</v>
      </c>
      <c r="AS955" s="2">
        <v>44525</v>
      </c>
      <c r="AT955">
        <v>9.1</v>
      </c>
      <c r="AU955">
        <v>3</v>
      </c>
      <c r="AV955">
        <v>72.400000000000006</v>
      </c>
      <c r="AW955">
        <v>8.1</v>
      </c>
      <c r="AX955">
        <v>17.55</v>
      </c>
      <c r="AY955">
        <v>0.2</v>
      </c>
      <c r="AZ955">
        <v>3.4</v>
      </c>
      <c r="BA955">
        <v>295.74299999999999</v>
      </c>
      <c r="BB955">
        <v>248.98050000000001</v>
      </c>
      <c r="BC955">
        <v>199.31280000000001</v>
      </c>
      <c r="BD955">
        <v>6.4314</v>
      </c>
      <c r="BE955">
        <v>35.104399999999998</v>
      </c>
      <c r="BF955">
        <v>-30.5547</v>
      </c>
      <c r="BG955">
        <v>67.947800000000001</v>
      </c>
      <c r="BH955">
        <v>70.28</v>
      </c>
    </row>
    <row r="956" spans="1:60" x14ac:dyDescent="0.25">
      <c r="A956" s="2">
        <v>44545</v>
      </c>
      <c r="B956">
        <v>10.7</v>
      </c>
      <c r="C956">
        <v>0</v>
      </c>
      <c r="D956">
        <v>77.900000000000006</v>
      </c>
      <c r="E956">
        <v>13.5</v>
      </c>
      <c r="F956">
        <v>13.85</v>
      </c>
      <c r="G956">
        <v>0.2</v>
      </c>
      <c r="H956">
        <v>2.8</v>
      </c>
      <c r="I956">
        <v>266.85840000000002</v>
      </c>
      <c r="J956">
        <v>200.23910000000001</v>
      </c>
      <c r="K956">
        <v>163.97280000000001</v>
      </c>
      <c r="L956">
        <v>3.6955</v>
      </c>
      <c r="M956">
        <v>26.634699999999999</v>
      </c>
      <c r="N956">
        <v>2.6562000000000001</v>
      </c>
      <c r="O956">
        <v>179.0367</v>
      </c>
      <c r="P956">
        <v>59.7</v>
      </c>
      <c r="S956">
        <f t="shared" si="311"/>
        <v>780.35050000000001</v>
      </c>
      <c r="T956">
        <f t="shared" si="312"/>
        <v>1.0030875409496424E-2</v>
      </c>
      <c r="U956">
        <f t="shared" si="313"/>
        <v>0</v>
      </c>
      <c r="V956">
        <f t="shared" si="314"/>
        <v>7.3028522841100146E-2</v>
      </c>
      <c r="W956">
        <f t="shared" si="315"/>
        <v>1.2655777385813246E-2</v>
      </c>
      <c r="X956">
        <f t="shared" si="316"/>
        <v>1.2983890132852848E-2</v>
      </c>
      <c r="Y956">
        <f t="shared" si="317"/>
        <v>1.874929983083444E-4</v>
      </c>
      <c r="Z956">
        <f t="shared" si="318"/>
        <v>2.624901976316821E-3</v>
      </c>
      <c r="AA956">
        <f t="shared" si="319"/>
        <v>0.25017040769883747</v>
      </c>
      <c r="AB956">
        <f t="shared" si="320"/>
        <v>0.18771714618782201</v>
      </c>
      <c r="AC956">
        <f t="shared" si="321"/>
        <v>0.15371875956507247</v>
      </c>
      <c r="AD956">
        <f t="shared" si="322"/>
        <v>3.4644018762424334E-3</v>
      </c>
      <c r="AE956">
        <f t="shared" si="323"/>
        <v>2.4969098810216299E-2</v>
      </c>
      <c r="AG956">
        <f t="shared" si="324"/>
        <v>0.26647123197858225</v>
      </c>
      <c r="AH956">
        <f t="shared" si="325"/>
        <v>0.13648055955410415</v>
      </c>
      <c r="AI956">
        <f t="shared" si="326"/>
        <v>-0.84761605772927517</v>
      </c>
      <c r="AK956" s="26">
        <f t="shared" si="327"/>
        <v>-1.6338550571537769E-2</v>
      </c>
      <c r="AL956" s="26">
        <f t="shared" si="328"/>
        <v>-5.1394786807011095E-3</v>
      </c>
      <c r="AM956" s="26">
        <f t="shared" si="329"/>
        <v>-1.5372018510180691E-2</v>
      </c>
      <c r="AN956" s="26">
        <f t="shared" si="330"/>
        <v>-24.377142857142857</v>
      </c>
      <c r="AO956" s="26">
        <f t="shared" si="331"/>
        <v>-21.784668597168547</v>
      </c>
      <c r="AP956" s="26">
        <f t="shared" si="332"/>
        <v>-21.90799056047193</v>
      </c>
      <c r="AS956" s="2">
        <v>44524</v>
      </c>
      <c r="AT956">
        <v>9</v>
      </c>
      <c r="AU956">
        <v>4.8</v>
      </c>
      <c r="AV956">
        <v>53.8</v>
      </c>
      <c r="AW956">
        <v>6</v>
      </c>
      <c r="AX956">
        <v>33.44</v>
      </c>
      <c r="AY956">
        <v>0.1</v>
      </c>
      <c r="AZ956">
        <v>3.2</v>
      </c>
      <c r="BA956">
        <v>233.01580000000001</v>
      </c>
      <c r="BB956">
        <v>286.14260000000002</v>
      </c>
      <c r="BC956">
        <v>207.1131</v>
      </c>
      <c r="BD956">
        <v>5.83</v>
      </c>
      <c r="BE956">
        <v>33.159100000000002</v>
      </c>
      <c r="BF956">
        <v>-36.0411</v>
      </c>
      <c r="BG956">
        <v>61.080199999999998</v>
      </c>
      <c r="BH956">
        <v>70.8</v>
      </c>
    </row>
    <row r="957" spans="1:60" x14ac:dyDescent="0.25">
      <c r="A957" s="2">
        <v>44544</v>
      </c>
      <c r="B957">
        <v>10.7</v>
      </c>
      <c r="C957">
        <v>1.3</v>
      </c>
      <c r="D957">
        <v>40.200000000000003</v>
      </c>
      <c r="E957">
        <v>7.2</v>
      </c>
      <c r="F957">
        <v>14.85</v>
      </c>
      <c r="G957">
        <v>0.2</v>
      </c>
      <c r="H957">
        <v>2.6</v>
      </c>
      <c r="I957">
        <v>278.7679</v>
      </c>
      <c r="J957">
        <v>231.52449999999999</v>
      </c>
      <c r="K957">
        <v>172.1489</v>
      </c>
      <c r="L957">
        <v>6.3582999999999998</v>
      </c>
      <c r="M957">
        <v>38.637099999999997</v>
      </c>
      <c r="N957">
        <v>11.956899999999999</v>
      </c>
      <c r="O957">
        <v>178.83250000000001</v>
      </c>
      <c r="P957">
        <v>60.17</v>
      </c>
      <c r="S957">
        <f t="shared" si="311"/>
        <v>804.48670000000004</v>
      </c>
      <c r="T957">
        <f t="shared" si="312"/>
        <v>1.0030875409496424E-2</v>
      </c>
      <c r="U957">
        <f t="shared" si="313"/>
        <v>1.2187044890042385E-3</v>
      </c>
      <c r="V957">
        <f t="shared" si="314"/>
        <v>3.7686092659977223E-2</v>
      </c>
      <c r="W957">
        <f t="shared" si="315"/>
        <v>6.7497479391003977E-3</v>
      </c>
      <c r="X957">
        <f t="shared" si="316"/>
        <v>1.3921355124394571E-2</v>
      </c>
      <c r="Y957">
        <f t="shared" si="317"/>
        <v>1.874929983083444E-4</v>
      </c>
      <c r="Z957">
        <f t="shared" si="318"/>
        <v>2.437408978008477E-3</v>
      </c>
      <c r="AA957">
        <f t="shared" si="319"/>
        <v>0.26133514701560356</v>
      </c>
      <c r="AB957">
        <f t="shared" si="320"/>
        <v>0.21704611343420138</v>
      </c>
      <c r="AC957">
        <f t="shared" si="321"/>
        <v>0.16138356708241672</v>
      </c>
      <c r="AD957">
        <f t="shared" si="322"/>
        <v>5.9606836557197299E-3</v>
      </c>
      <c r="AE957">
        <f t="shared" si="323"/>
        <v>3.6220928624696662E-2</v>
      </c>
      <c r="AG957">
        <f t="shared" si="324"/>
        <v>0.28671135034535983</v>
      </c>
      <c r="AH957">
        <f t="shared" si="325"/>
        <v>0.10845260622298636</v>
      </c>
      <c r="AI957">
        <f t="shared" si="326"/>
        <v>-1.0764242976654375</v>
      </c>
      <c r="AK957" s="26">
        <f t="shared" si="327"/>
        <v>-1.7818060053248375E-2</v>
      </c>
      <c r="AL957" s="26">
        <f t="shared" si="328"/>
        <v>-3.9116580082393659E-3</v>
      </c>
      <c r="AM957" s="26">
        <f t="shared" si="329"/>
        <v>-1.6104452754947068E-2</v>
      </c>
      <c r="AN957" s="26">
        <f t="shared" si="330"/>
        <v>-24.218809523809512</v>
      </c>
      <c r="AO957" s="26">
        <f t="shared" si="331"/>
        <v>-21.663080759330711</v>
      </c>
      <c r="AP957" s="26">
        <f t="shared" si="332"/>
        <v>-21.907271976401134</v>
      </c>
      <c r="AS957" s="2">
        <v>44523</v>
      </c>
      <c r="AT957">
        <v>8.6999999999999993</v>
      </c>
      <c r="AU957">
        <v>3.5</v>
      </c>
      <c r="AV957">
        <v>54.4</v>
      </c>
      <c r="AW957">
        <v>5.9</v>
      </c>
      <c r="AX957">
        <v>59.71</v>
      </c>
      <c r="AY957">
        <v>0.1</v>
      </c>
      <c r="AZ957">
        <v>3.2</v>
      </c>
      <c r="BA957">
        <v>250.72380000000001</v>
      </c>
      <c r="BB957">
        <v>252.9864</v>
      </c>
      <c r="BC957">
        <v>170.858</v>
      </c>
      <c r="BD957">
        <v>3.6091000000000002</v>
      </c>
      <c r="BE957">
        <v>32.175600000000003</v>
      </c>
      <c r="BF957">
        <v>-34.8095</v>
      </c>
      <c r="BG957">
        <v>60.941800000000001</v>
      </c>
      <c r="BH957">
        <v>71.400000000000006</v>
      </c>
    </row>
    <row r="958" spans="1:60" x14ac:dyDescent="0.25">
      <c r="A958" s="2">
        <v>44543</v>
      </c>
      <c r="B958">
        <v>8.9</v>
      </c>
      <c r="C958">
        <v>3.4</v>
      </c>
      <c r="D958">
        <v>61</v>
      </c>
      <c r="E958">
        <v>9.3000000000000007</v>
      </c>
      <c r="F958">
        <v>15.98</v>
      </c>
      <c r="G958">
        <v>0.2</v>
      </c>
      <c r="H958">
        <v>2.2999999999999998</v>
      </c>
      <c r="I958">
        <v>272.80259999999998</v>
      </c>
      <c r="J958">
        <v>216.8252</v>
      </c>
      <c r="K958">
        <v>179.09800000000001</v>
      </c>
      <c r="L958">
        <v>7.0419999999999998</v>
      </c>
      <c r="M958">
        <v>34.507100000000001</v>
      </c>
      <c r="N958">
        <v>7.5415999999999999</v>
      </c>
      <c r="O958">
        <v>154.71170000000001</v>
      </c>
      <c r="P958">
        <v>60.67</v>
      </c>
      <c r="S958">
        <f t="shared" si="311"/>
        <v>811.35489999999993</v>
      </c>
      <c r="T958">
        <f t="shared" si="312"/>
        <v>8.3434384247213257E-3</v>
      </c>
      <c r="U958">
        <f t="shared" si="313"/>
        <v>3.1873809712418544E-3</v>
      </c>
      <c r="V958">
        <f t="shared" si="314"/>
        <v>5.7185364484045036E-2</v>
      </c>
      <c r="W958">
        <f t="shared" si="315"/>
        <v>8.7184244213380137E-3</v>
      </c>
      <c r="X958">
        <f t="shared" si="316"/>
        <v>1.4980690564836717E-2</v>
      </c>
      <c r="Y958">
        <f t="shared" si="317"/>
        <v>1.874929983083444E-4</v>
      </c>
      <c r="Z958">
        <f t="shared" si="318"/>
        <v>2.1561694805459601E-3</v>
      </c>
      <c r="AA958">
        <f t="shared" si="319"/>
        <v>0.25574288710155973</v>
      </c>
      <c r="AB958">
        <f t="shared" si="320"/>
        <v>0.20326603428403214</v>
      </c>
      <c r="AC958">
        <f t="shared" si="321"/>
        <v>0.16789810505513933</v>
      </c>
      <c r="AD958">
        <f t="shared" si="322"/>
        <v>6.6016284704368058E-3</v>
      </c>
      <c r="AE958">
        <f t="shared" si="323"/>
        <v>3.2349198209629351E-2</v>
      </c>
      <c r="AG958">
        <f t="shared" si="324"/>
        <v>0.30841194498535396</v>
      </c>
      <c r="AH958">
        <f t="shared" si="325"/>
        <v>0.12710815955466659</v>
      </c>
      <c r="AI958">
        <f t="shared" si="326"/>
        <v>-0.92517324374794241</v>
      </c>
      <c r="AK958" s="26">
        <f t="shared" si="327"/>
        <v>-1.8139081547244862E-2</v>
      </c>
      <c r="AL958" s="26">
        <f t="shared" si="328"/>
        <v>-5.1757587266886285E-3</v>
      </c>
      <c r="AM958" s="26">
        <f t="shared" si="329"/>
        <v>-1.6852200859989785E-2</v>
      </c>
      <c r="AN958" s="26">
        <f t="shared" si="330"/>
        <v>-24.049047619047613</v>
      </c>
      <c r="AO958" s="26">
        <f t="shared" si="331"/>
        <v>-21.547794401544351</v>
      </c>
      <c r="AP958" s="26">
        <f t="shared" si="332"/>
        <v>-21.908433038348036</v>
      </c>
      <c r="AS958" s="2">
        <v>44522</v>
      </c>
      <c r="AT958">
        <v>7.9</v>
      </c>
      <c r="AU958">
        <v>1</v>
      </c>
      <c r="AV958">
        <v>39</v>
      </c>
      <c r="AW958">
        <v>4.9000000000000004</v>
      </c>
      <c r="AX958">
        <v>44.29</v>
      </c>
      <c r="AY958">
        <v>0.2</v>
      </c>
      <c r="AZ958">
        <v>3.3</v>
      </c>
      <c r="BA958">
        <v>260.15109999999999</v>
      </c>
      <c r="BB958">
        <v>263.13099999999997</v>
      </c>
      <c r="BC958">
        <v>153.321</v>
      </c>
      <c r="BD958">
        <v>3.6031</v>
      </c>
      <c r="BE958">
        <v>25.8645</v>
      </c>
      <c r="BF958">
        <v>-29.519500000000001</v>
      </c>
      <c r="BG958">
        <v>56.538800000000002</v>
      </c>
      <c r="BH958">
        <v>71.849999999999994</v>
      </c>
    </row>
    <row r="959" spans="1:60" x14ac:dyDescent="0.25">
      <c r="A959" s="2">
        <v>44542</v>
      </c>
      <c r="B959">
        <v>8.8000000000000007</v>
      </c>
      <c r="C959">
        <v>0</v>
      </c>
      <c r="D959">
        <v>54</v>
      </c>
      <c r="E959">
        <v>13.7</v>
      </c>
      <c r="F959">
        <v>16.93</v>
      </c>
      <c r="G959">
        <v>0.2</v>
      </c>
      <c r="H959">
        <v>2.2999999999999998</v>
      </c>
      <c r="I959">
        <v>268.15929999999997</v>
      </c>
      <c r="J959">
        <v>140.0633</v>
      </c>
      <c r="K959">
        <v>76.027900000000002</v>
      </c>
      <c r="L959">
        <v>3.5678999999999998</v>
      </c>
      <c r="M959">
        <v>17.182700000000001</v>
      </c>
      <c r="P959">
        <v>61.2</v>
      </c>
      <c r="S959">
        <f t="shared" si="311"/>
        <v>600.93110000000001</v>
      </c>
      <c r="T959">
        <f t="shared" si="312"/>
        <v>8.2496919255671541E-3</v>
      </c>
      <c r="U959">
        <f t="shared" si="313"/>
        <v>0</v>
      </c>
      <c r="V959">
        <f t="shared" si="314"/>
        <v>5.0623109543252984E-2</v>
      </c>
      <c r="W959">
        <f t="shared" si="315"/>
        <v>1.2843270384121589E-2</v>
      </c>
      <c r="X959">
        <f t="shared" si="316"/>
        <v>1.5871282306801352E-2</v>
      </c>
      <c r="Y959">
        <f t="shared" si="317"/>
        <v>1.874929983083444E-4</v>
      </c>
      <c r="Z959">
        <f t="shared" si="318"/>
        <v>2.1561694805459601E-3</v>
      </c>
      <c r="AA959">
        <f t="shared" si="319"/>
        <v>0.25138995590633406</v>
      </c>
      <c r="AB959">
        <f t="shared" si="320"/>
        <v>0.13130444034980565</v>
      </c>
      <c r="AC959">
        <f t="shared" si="321"/>
        <v>7.1273494630434878E-2</v>
      </c>
      <c r="AD959">
        <f t="shared" si="322"/>
        <v>3.3447813433217094E-3</v>
      </c>
      <c r="AE959">
        <f t="shared" si="323"/>
        <v>1.6108179710163945E-2</v>
      </c>
      <c r="AG959">
        <f t="shared" si="324"/>
        <v>0.33157022388668128</v>
      </c>
      <c r="AH959">
        <f t="shared" si="325"/>
        <v>0.10603919634876133</v>
      </c>
      <c r="AI959">
        <f t="shared" si="326"/>
        <v>-1.0950361036822585</v>
      </c>
      <c r="AK959" s="26">
        <f t="shared" si="327"/>
        <v>-1.8104837290339543E-2</v>
      </c>
      <c r="AL959" s="26">
        <f t="shared" si="328"/>
        <v>-4.1918773338568138E-3</v>
      </c>
      <c r="AM959" s="26">
        <f t="shared" si="329"/>
        <v>-1.8373502673506487E-2</v>
      </c>
      <c r="AN959" s="26">
        <f t="shared" si="330"/>
        <v>-23.875714285714267</v>
      </c>
      <c r="AO959" s="26">
        <f t="shared" si="331"/>
        <v>-21.437372908622848</v>
      </c>
      <c r="AP959" s="26">
        <f t="shared" si="332"/>
        <v>-21.912050344149407</v>
      </c>
      <c r="AS959" s="2">
        <v>44521</v>
      </c>
      <c r="AT959">
        <v>7.5</v>
      </c>
      <c r="AU959">
        <v>0</v>
      </c>
      <c r="AV959">
        <v>75.400000000000006</v>
      </c>
      <c r="AW959">
        <v>6.8</v>
      </c>
      <c r="AX959">
        <v>31.42</v>
      </c>
      <c r="AY959">
        <v>0.2</v>
      </c>
      <c r="AZ959">
        <v>3.4</v>
      </c>
      <c r="BA959">
        <v>270.84980000000002</v>
      </c>
      <c r="BB959">
        <v>163.3117</v>
      </c>
      <c r="BC959">
        <v>72.478899999999996</v>
      </c>
      <c r="BD959">
        <v>3.6084000000000001</v>
      </c>
      <c r="BE959">
        <v>20.7134</v>
      </c>
      <c r="BH959">
        <v>72.239999999999995</v>
      </c>
    </row>
    <row r="960" spans="1:60" x14ac:dyDescent="0.25">
      <c r="A960" s="2">
        <v>44541</v>
      </c>
      <c r="B960">
        <v>9.5</v>
      </c>
      <c r="C960">
        <v>0</v>
      </c>
      <c r="D960">
        <v>26.5</v>
      </c>
      <c r="E960">
        <v>3.7</v>
      </c>
      <c r="F960">
        <v>18.79</v>
      </c>
      <c r="G960">
        <v>0.2</v>
      </c>
      <c r="H960">
        <v>2.6</v>
      </c>
      <c r="I960">
        <v>278.3897</v>
      </c>
      <c r="J960">
        <v>210.88300000000001</v>
      </c>
      <c r="K960">
        <v>159.2396</v>
      </c>
      <c r="L960">
        <v>4.1407999999999996</v>
      </c>
      <c r="M960">
        <v>15.2606</v>
      </c>
      <c r="P960">
        <v>61.59</v>
      </c>
      <c r="S960">
        <f t="shared" si="311"/>
        <v>729.20370000000003</v>
      </c>
      <c r="T960">
        <f t="shared" si="312"/>
        <v>8.9059174196463586E-3</v>
      </c>
      <c r="U960">
        <f t="shared" si="313"/>
        <v>0</v>
      </c>
      <c r="V960">
        <f t="shared" si="314"/>
        <v>2.4842822275855631E-2</v>
      </c>
      <c r="W960">
        <f t="shared" si="315"/>
        <v>3.4686204687043713E-3</v>
      </c>
      <c r="X960">
        <f t="shared" si="316"/>
        <v>1.7614967191068955E-2</v>
      </c>
      <c r="Y960">
        <f t="shared" si="317"/>
        <v>1.874929983083444E-4</v>
      </c>
      <c r="Z960">
        <f t="shared" si="318"/>
        <v>2.437408978008477E-3</v>
      </c>
      <c r="AA960">
        <f t="shared" si="319"/>
        <v>0.26098059775580251</v>
      </c>
      <c r="AB960">
        <f t="shared" si="320"/>
        <v>0.19769542981129296</v>
      </c>
      <c r="AC960">
        <f t="shared" si="321"/>
        <v>0.14928155026710718</v>
      </c>
      <c r="AD960">
        <f t="shared" si="322"/>
        <v>3.8818550369759618E-3</v>
      </c>
      <c r="AE960">
        <f t="shared" si="323"/>
        <v>1.4306278249921601E-2</v>
      </c>
      <c r="AG960">
        <f t="shared" si="324"/>
        <v>0.34785704525100197</v>
      </c>
      <c r="AH960">
        <f t="shared" si="325"/>
        <v>7.176350758151373E-2</v>
      </c>
      <c r="AI960">
        <f t="shared" si="326"/>
        <v>-1.3773648812705441</v>
      </c>
      <c r="AK960" s="26">
        <f t="shared" si="327"/>
        <v>-1.6979644934241589E-2</v>
      </c>
      <c r="AL960" s="26">
        <f t="shared" si="328"/>
        <v>-3.643466587701899E-3</v>
      </c>
      <c r="AM960" s="26">
        <f t="shared" si="329"/>
        <v>-1.9112509899214175E-2</v>
      </c>
      <c r="AN960" s="26">
        <f t="shared" si="330"/>
        <v>-23.699999999999974</v>
      </c>
      <c r="AO960" s="26">
        <f t="shared" si="331"/>
        <v>-21.330379665379596</v>
      </c>
      <c r="AP960" s="26">
        <f t="shared" si="332"/>
        <v>-21.918654080629267</v>
      </c>
      <c r="AS960" s="2">
        <v>44520</v>
      </c>
      <c r="AT960">
        <v>8.1999999999999993</v>
      </c>
      <c r="AU960">
        <v>0</v>
      </c>
      <c r="AV960">
        <v>80.099999999999994</v>
      </c>
      <c r="AW960">
        <v>14</v>
      </c>
      <c r="AX960">
        <v>20.420000000000002</v>
      </c>
      <c r="AY960">
        <v>0.2</v>
      </c>
      <c r="AZ960">
        <v>3.5</v>
      </c>
      <c r="BA960">
        <v>281.55489999999998</v>
      </c>
      <c r="BB960">
        <v>120.00839999999999</v>
      </c>
      <c r="BC960">
        <v>57.537700000000001</v>
      </c>
      <c r="BD960">
        <v>3.5413000000000001</v>
      </c>
      <c r="BE960">
        <v>21.452999999999999</v>
      </c>
      <c r="BH960">
        <v>72.42</v>
      </c>
    </row>
    <row r="961" spans="1:60" x14ac:dyDescent="0.25">
      <c r="A961" s="2">
        <v>44540</v>
      </c>
      <c r="B961">
        <v>10.4</v>
      </c>
      <c r="C961">
        <v>2.1</v>
      </c>
      <c r="D961">
        <v>33.200000000000003</v>
      </c>
      <c r="E961">
        <v>4</v>
      </c>
      <c r="F961">
        <v>21.72</v>
      </c>
      <c r="G961">
        <v>0.2</v>
      </c>
      <c r="H961">
        <v>2.9</v>
      </c>
      <c r="I961">
        <v>304.95780000000002</v>
      </c>
      <c r="J961">
        <v>223.6343</v>
      </c>
      <c r="K961">
        <v>196.1867</v>
      </c>
      <c r="L961">
        <v>4.8556999999999997</v>
      </c>
      <c r="M961">
        <v>31.0002</v>
      </c>
      <c r="N961">
        <v>3.8424</v>
      </c>
      <c r="O961">
        <v>130.96799999999999</v>
      </c>
      <c r="P961">
        <v>62.08</v>
      </c>
      <c r="S961">
        <f t="shared" si="311"/>
        <v>835.15469999999993</v>
      </c>
      <c r="T961">
        <f t="shared" si="312"/>
        <v>9.749635912033908E-3</v>
      </c>
      <c r="U961">
        <f t="shared" si="313"/>
        <v>1.9686764822376161E-3</v>
      </c>
      <c r="V961">
        <f t="shared" si="314"/>
        <v>3.1123837719185171E-2</v>
      </c>
      <c r="W961">
        <f t="shared" si="315"/>
        <v>3.7498599661668877E-3</v>
      </c>
      <c r="X961">
        <f t="shared" si="316"/>
        <v>2.0361739616286199E-2</v>
      </c>
      <c r="Y961">
        <f t="shared" si="317"/>
        <v>1.874929983083444E-4</v>
      </c>
      <c r="Z961">
        <f t="shared" si="318"/>
        <v>2.7186484754709935E-3</v>
      </c>
      <c r="AA961">
        <f t="shared" si="319"/>
        <v>0.28588726139758214</v>
      </c>
      <c r="AB961">
        <f t="shared" si="320"/>
        <v>0.20964932715793891</v>
      </c>
      <c r="AC961">
        <f t="shared" si="321"/>
        <v>0.18391816305609834</v>
      </c>
      <c r="AD961">
        <f t="shared" si="322"/>
        <v>4.5520487594291389E-3</v>
      </c>
      <c r="AE961">
        <f t="shared" si="323"/>
        <v>2.9061602230791687E-2</v>
      </c>
      <c r="AG961">
        <f t="shared" si="324"/>
        <v>0.36902259797567488</v>
      </c>
      <c r="AH961">
        <f t="shared" si="325"/>
        <v>9.8921493400480814E-2</v>
      </c>
      <c r="AI961">
        <f t="shared" si="326"/>
        <v>-1.158316473097365</v>
      </c>
      <c r="AK961" s="26">
        <f t="shared" si="327"/>
        <v>-1.1095119148787108E-2</v>
      </c>
      <c r="AL961" s="26">
        <f t="shared" si="328"/>
        <v>-1.0524603050522385E-3</v>
      </c>
      <c r="AM961" s="26">
        <f t="shared" si="329"/>
        <v>-1.9164008532846749E-2</v>
      </c>
      <c r="AN961" s="26">
        <f t="shared" si="330"/>
        <v>-23.525714285714272</v>
      </c>
      <c r="AO961" s="26">
        <f t="shared" si="331"/>
        <v>-21.224120012869932</v>
      </c>
      <c r="AP961" s="26">
        <f t="shared" si="332"/>
        <v>-21.925050540806254</v>
      </c>
      <c r="AS961" s="2">
        <v>44519</v>
      </c>
      <c r="AT961">
        <v>8.8000000000000007</v>
      </c>
      <c r="AU961">
        <v>0</v>
      </c>
      <c r="AV961">
        <v>74.900000000000006</v>
      </c>
      <c r="AW961">
        <v>17.5</v>
      </c>
      <c r="AX961">
        <v>26.27</v>
      </c>
      <c r="AY961">
        <v>0.2</v>
      </c>
      <c r="AZ961">
        <v>3.3</v>
      </c>
      <c r="BA961">
        <v>258.44630000000001</v>
      </c>
      <c r="BB961">
        <v>144.61109999999999</v>
      </c>
      <c r="BC961">
        <v>82.185900000000004</v>
      </c>
      <c r="BD961">
        <v>3.4424000000000001</v>
      </c>
      <c r="BE961">
        <v>31.506799999999998</v>
      </c>
      <c r="BF961">
        <v>-30.854900000000001</v>
      </c>
      <c r="BG961">
        <v>63.181399999999996</v>
      </c>
      <c r="BH961">
        <v>72.58</v>
      </c>
    </row>
    <row r="962" spans="1:60" x14ac:dyDescent="0.25">
      <c r="A962" s="2">
        <v>44539</v>
      </c>
      <c r="B962">
        <v>10</v>
      </c>
      <c r="C962">
        <v>2.2000000000000002</v>
      </c>
      <c r="D962">
        <v>51.5</v>
      </c>
      <c r="E962">
        <v>5.0999999999999996</v>
      </c>
      <c r="F962">
        <v>12.56</v>
      </c>
      <c r="G962">
        <v>0.2</v>
      </c>
      <c r="H962">
        <v>3.3</v>
      </c>
      <c r="I962">
        <v>311.11430000000001</v>
      </c>
      <c r="J962">
        <v>240.35509999999999</v>
      </c>
      <c r="K962">
        <v>187.2979</v>
      </c>
      <c r="L962">
        <v>6.7613000000000003</v>
      </c>
      <c r="M962">
        <v>37.002200000000002</v>
      </c>
      <c r="N962">
        <v>12.911300000000001</v>
      </c>
      <c r="O962">
        <v>131.1071</v>
      </c>
      <c r="P962">
        <v>62.69</v>
      </c>
      <c r="S962">
        <f t="shared" ref="S962:S1025" si="333">SUM(B962:M962)</f>
        <v>867.39080000000013</v>
      </c>
      <c r="T962">
        <f t="shared" si="312"/>
        <v>9.3746499154172182E-3</v>
      </c>
      <c r="U962">
        <f t="shared" si="313"/>
        <v>2.0624229813917885E-3</v>
      </c>
      <c r="V962">
        <f t="shared" si="314"/>
        <v>4.8279447064398677E-2</v>
      </c>
      <c r="W962">
        <f t="shared" si="315"/>
        <v>4.7810714568627816E-3</v>
      </c>
      <c r="X962">
        <f t="shared" si="316"/>
        <v>1.1774560293764027E-2</v>
      </c>
      <c r="Y962">
        <f t="shared" si="317"/>
        <v>1.874929983083444E-4</v>
      </c>
      <c r="Z962">
        <f t="shared" si="318"/>
        <v>3.0936344720876819E-3</v>
      </c>
      <c r="AA962">
        <f t="shared" si="319"/>
        <v>0.29165876461800877</v>
      </c>
      <c r="AB962">
        <f t="shared" si="320"/>
        <v>0.22532449178850972</v>
      </c>
      <c r="AC962">
        <f t="shared" si="321"/>
        <v>0.17558522423928227</v>
      </c>
      <c r="AD962">
        <f t="shared" si="322"/>
        <v>6.3384820473110443E-3</v>
      </c>
      <c r="AE962">
        <f t="shared" si="323"/>
        <v>3.4688267110025102E-2</v>
      </c>
      <c r="AG962">
        <f t="shared" si="324"/>
        <v>0.39603569085095469</v>
      </c>
      <c r="AH962">
        <f t="shared" si="325"/>
        <v>0.11424154629225564</v>
      </c>
      <c r="AI962">
        <f t="shared" si="326"/>
        <v>-1.0323666694774354</v>
      </c>
      <c r="AK962" s="26">
        <f t="shared" si="327"/>
        <v>-1.4199929542809658E-2</v>
      </c>
      <c r="AL962" s="26">
        <f t="shared" si="328"/>
        <v>1.0066843691065031E-3</v>
      </c>
      <c r="AM962" s="26">
        <f t="shared" si="329"/>
        <v>-2.0378538144570663E-2</v>
      </c>
      <c r="AN962" s="26">
        <f t="shared" si="330"/>
        <v>-23.355476190476168</v>
      </c>
      <c r="AO962" s="26">
        <f t="shared" si="331"/>
        <v>-21.119121621621545</v>
      </c>
      <c r="AP962" s="26">
        <f t="shared" si="332"/>
        <v>-21.93199174041294</v>
      </c>
      <c r="AS962" s="2">
        <v>44518</v>
      </c>
      <c r="AT962">
        <v>9.5</v>
      </c>
      <c r="AU962">
        <v>31</v>
      </c>
      <c r="AV962">
        <v>71.900000000000006</v>
      </c>
      <c r="AW962">
        <v>18.5</v>
      </c>
      <c r="AX962">
        <v>36.78</v>
      </c>
      <c r="AY962">
        <v>0.2</v>
      </c>
      <c r="AZ962">
        <v>3.3</v>
      </c>
      <c r="BA962">
        <v>264.49270000000001</v>
      </c>
      <c r="BB962">
        <v>171.6876</v>
      </c>
      <c r="BC962">
        <v>77.971100000000007</v>
      </c>
      <c r="BD962">
        <v>3.4323000000000001</v>
      </c>
      <c r="BE962">
        <v>20.614699999999999</v>
      </c>
      <c r="BF962">
        <v>-39.920900000000003</v>
      </c>
      <c r="BG962">
        <v>71.207599999999999</v>
      </c>
      <c r="BH962">
        <v>72.78</v>
      </c>
    </row>
    <row r="963" spans="1:60" x14ac:dyDescent="0.25">
      <c r="A963" s="2">
        <v>44538</v>
      </c>
      <c r="B963">
        <v>9.5</v>
      </c>
      <c r="C963">
        <v>0</v>
      </c>
      <c r="D963">
        <v>86.3</v>
      </c>
      <c r="E963">
        <v>18.8</v>
      </c>
      <c r="F963">
        <v>14.62</v>
      </c>
      <c r="G963">
        <v>0.2</v>
      </c>
      <c r="H963">
        <v>3.3</v>
      </c>
      <c r="I963">
        <v>225.0205</v>
      </c>
      <c r="J963">
        <v>173.83619999999999</v>
      </c>
      <c r="K963">
        <v>131.88560000000001</v>
      </c>
      <c r="L963">
        <v>4.3548999999999998</v>
      </c>
      <c r="M963">
        <v>22.364000000000001</v>
      </c>
      <c r="N963">
        <v>16.029299999999999</v>
      </c>
      <c r="O963">
        <v>132.6926</v>
      </c>
      <c r="P963">
        <v>63.32</v>
      </c>
      <c r="S963">
        <f t="shared" si="333"/>
        <v>690.18119999999999</v>
      </c>
      <c r="T963">
        <f t="shared" si="312"/>
        <v>8.9059174196463586E-3</v>
      </c>
      <c r="U963">
        <f t="shared" si="313"/>
        <v>0</v>
      </c>
      <c r="V963">
        <f t="shared" si="314"/>
        <v>8.09032287700506E-2</v>
      </c>
      <c r="W963">
        <f t="shared" si="315"/>
        <v>1.7624341840984374E-2</v>
      </c>
      <c r="X963">
        <f t="shared" si="316"/>
        <v>1.3705738176339974E-2</v>
      </c>
      <c r="Y963">
        <f t="shared" si="317"/>
        <v>1.874929983083444E-4</v>
      </c>
      <c r="Z963">
        <f t="shared" si="318"/>
        <v>3.0936344720876819E-3</v>
      </c>
      <c r="AA963">
        <f t="shared" si="319"/>
        <v>0.21094884112921403</v>
      </c>
      <c r="AB963">
        <f t="shared" si="320"/>
        <v>0.16296535176264507</v>
      </c>
      <c r="AC963">
        <f t="shared" si="321"/>
        <v>0.12363813288847493</v>
      </c>
      <c r="AD963">
        <f t="shared" si="322"/>
        <v>4.0825662916650447E-3</v>
      </c>
      <c r="AE963">
        <f t="shared" si="323"/>
        <v>2.0965467070839069E-2</v>
      </c>
      <c r="AG963">
        <f t="shared" si="324"/>
        <v>0.42399306619282773</v>
      </c>
      <c r="AH963">
        <f t="shared" si="325"/>
        <v>0.14538582074825643</v>
      </c>
      <c r="AI963">
        <f t="shared" si="326"/>
        <v>-0.77563907480358585</v>
      </c>
      <c r="AK963" s="26">
        <f t="shared" si="327"/>
        <v>-1.2363649902091822E-2</v>
      </c>
      <c r="AL963" s="26">
        <f t="shared" si="328"/>
        <v>1.1475344874925519E-3</v>
      </c>
      <c r="AM963" s="26">
        <f t="shared" si="329"/>
        <v>-2.1769991411101391E-2</v>
      </c>
      <c r="AN963" s="26">
        <f t="shared" si="330"/>
        <v>-23.191428571428574</v>
      </c>
      <c r="AO963" s="26">
        <f t="shared" si="331"/>
        <v>-21.017358429858348</v>
      </c>
      <c r="AP963" s="26">
        <f t="shared" si="332"/>
        <v>-21.940541199606628</v>
      </c>
      <c r="AS963" s="2">
        <v>44517</v>
      </c>
      <c r="AT963">
        <v>10.1</v>
      </c>
      <c r="AU963">
        <v>0.2</v>
      </c>
      <c r="AV963">
        <v>72.3</v>
      </c>
      <c r="AW963">
        <v>8.3000000000000007</v>
      </c>
      <c r="AX963">
        <v>15.75</v>
      </c>
      <c r="AY963">
        <v>0.1</v>
      </c>
      <c r="AZ963">
        <v>3.3</v>
      </c>
      <c r="BA963">
        <v>292.02260000000001</v>
      </c>
      <c r="BB963">
        <v>246.8493</v>
      </c>
      <c r="BC963">
        <v>135.42769999999999</v>
      </c>
      <c r="BD963">
        <v>4.6981999999999999</v>
      </c>
      <c r="BE963">
        <v>27.636700000000001</v>
      </c>
      <c r="BF963">
        <v>-24.538</v>
      </c>
      <c r="BG963">
        <v>87.797700000000006</v>
      </c>
      <c r="BH963">
        <v>73.06</v>
      </c>
    </row>
    <row r="964" spans="1:60" x14ac:dyDescent="0.25">
      <c r="A964" s="2">
        <v>44537</v>
      </c>
      <c r="B964">
        <v>9.8000000000000007</v>
      </c>
      <c r="C964">
        <v>0</v>
      </c>
      <c r="D964">
        <v>69.7</v>
      </c>
      <c r="E964">
        <v>13.3</v>
      </c>
      <c r="F964">
        <v>29.18</v>
      </c>
      <c r="G964">
        <v>0.2</v>
      </c>
      <c r="H964">
        <v>3.3</v>
      </c>
      <c r="I964">
        <v>304.88920000000002</v>
      </c>
      <c r="J964">
        <v>197.6001</v>
      </c>
      <c r="K964">
        <v>158.63829999999999</v>
      </c>
      <c r="L964">
        <v>3.6158999999999999</v>
      </c>
      <c r="M964">
        <v>24.841699999999999</v>
      </c>
      <c r="N964">
        <v>13.956799999999999</v>
      </c>
      <c r="O964">
        <v>122.00920000000001</v>
      </c>
      <c r="P964">
        <v>63.92</v>
      </c>
      <c r="S964">
        <f t="shared" si="333"/>
        <v>815.06519999999989</v>
      </c>
      <c r="T964">
        <f t="shared" si="312"/>
        <v>9.1871569171088751E-3</v>
      </c>
      <c r="U964">
        <f t="shared" si="313"/>
        <v>0</v>
      </c>
      <c r="V964">
        <f t="shared" si="314"/>
        <v>6.5341309910458015E-2</v>
      </c>
      <c r="W964">
        <f t="shared" si="315"/>
        <v>1.2468284387504903E-2</v>
      </c>
      <c r="X964">
        <f t="shared" si="316"/>
        <v>2.7355228453187445E-2</v>
      </c>
      <c r="Y964">
        <f t="shared" si="317"/>
        <v>1.874929983083444E-4</v>
      </c>
      <c r="Z964">
        <f t="shared" si="318"/>
        <v>3.0936344720876819E-3</v>
      </c>
      <c r="AA964">
        <f t="shared" si="319"/>
        <v>0.28582295129916235</v>
      </c>
      <c r="AB964">
        <f t="shared" si="320"/>
        <v>0.1852431760751434</v>
      </c>
      <c r="AC964">
        <f t="shared" si="321"/>
        <v>0.14871785256769313</v>
      </c>
      <c r="AD964">
        <f t="shared" si="322"/>
        <v>3.3897796629157122E-3</v>
      </c>
      <c r="AE964">
        <f t="shared" si="323"/>
        <v>2.3288224080381992E-2</v>
      </c>
      <c r="AG964">
        <f t="shared" si="324"/>
        <v>0.45043878886661026</v>
      </c>
      <c r="AH964">
        <f t="shared" si="325"/>
        <v>0.14092133121903727</v>
      </c>
      <c r="AI964">
        <f t="shared" si="326"/>
        <v>-0.81054385051736744</v>
      </c>
      <c r="AK964" s="26">
        <f t="shared" si="327"/>
        <v>-1.3509408454456556E-2</v>
      </c>
      <c r="AL964" s="26">
        <f t="shared" si="328"/>
        <v>1.2071988556851265E-3</v>
      </c>
      <c r="AM964" s="26">
        <f t="shared" si="329"/>
        <v>-2.1625332458489355E-2</v>
      </c>
      <c r="AN964" s="26">
        <f t="shared" si="330"/>
        <v>-23.033809523809524</v>
      </c>
      <c r="AO964" s="26">
        <f t="shared" si="331"/>
        <v>-20.921531531531457</v>
      </c>
      <c r="AP964" s="26">
        <f t="shared" si="332"/>
        <v>-21.950565191740353</v>
      </c>
      <c r="AS964" s="2">
        <v>44516</v>
      </c>
      <c r="AT964">
        <v>10.3</v>
      </c>
      <c r="AU964">
        <v>1.8</v>
      </c>
      <c r="AV964">
        <v>5.4</v>
      </c>
      <c r="AW964">
        <v>0.7</v>
      </c>
      <c r="AX964">
        <v>13.18</v>
      </c>
      <c r="AY964">
        <v>0.1</v>
      </c>
      <c r="AZ964">
        <v>3.4</v>
      </c>
      <c r="BA964">
        <v>285.86540000000002</v>
      </c>
      <c r="BB964">
        <v>264.44310000000002</v>
      </c>
      <c r="BC964">
        <v>194.84710000000001</v>
      </c>
      <c r="BD964">
        <v>6.6999000000000004</v>
      </c>
      <c r="BE964">
        <v>37.453600000000002</v>
      </c>
      <c r="BF964">
        <v>-41.340800000000002</v>
      </c>
      <c r="BG964">
        <v>69.602199999999996</v>
      </c>
      <c r="BH964">
        <v>73.39</v>
      </c>
    </row>
    <row r="965" spans="1:60" x14ac:dyDescent="0.25">
      <c r="A965" s="2">
        <v>44536</v>
      </c>
      <c r="B965">
        <v>10</v>
      </c>
      <c r="C965">
        <v>1.9</v>
      </c>
      <c r="D965">
        <v>78.2</v>
      </c>
      <c r="E965">
        <v>8.1</v>
      </c>
      <c r="F965">
        <v>23.34</v>
      </c>
      <c r="G965">
        <v>0.2</v>
      </c>
      <c r="H965">
        <v>3.3</v>
      </c>
      <c r="I965">
        <v>305.51979999999998</v>
      </c>
      <c r="J965">
        <v>216.1807</v>
      </c>
      <c r="K965">
        <v>189.3023</v>
      </c>
      <c r="L965">
        <v>5.5366999999999997</v>
      </c>
      <c r="M965">
        <v>29.962599999999998</v>
      </c>
      <c r="N965">
        <v>11.957700000000001</v>
      </c>
      <c r="O965">
        <v>111.8775</v>
      </c>
      <c r="P965">
        <v>64.53</v>
      </c>
      <c r="S965">
        <f t="shared" si="333"/>
        <v>871.54209999999989</v>
      </c>
      <c r="T965">
        <f t="shared" ref="T965:T1028" si="334">B965/$S$4</f>
        <v>9.3746499154172182E-3</v>
      </c>
      <c r="U965">
        <f t="shared" ref="U965:U1028" si="335">C965/$S$4</f>
        <v>1.7811834839292716E-3</v>
      </c>
      <c r="V965">
        <f t="shared" ref="V965:V1028" si="336">D965/$S$4</f>
        <v>7.3309762338562651E-2</v>
      </c>
      <c r="W965">
        <f t="shared" ref="W965:W1028" si="337">E965/$S$4</f>
        <v>7.593466431487947E-3</v>
      </c>
      <c r="X965">
        <f t="shared" ref="X965:X1028" si="338">F965/$S$4</f>
        <v>2.1880432902583791E-2</v>
      </c>
      <c r="Y965">
        <f t="shared" ref="Y965:Y1028" si="339">G965/$S$4</f>
        <v>1.874929983083444E-4</v>
      </c>
      <c r="Z965">
        <f t="shared" ref="Z965:Z1028" si="340">H965/$S$4</f>
        <v>3.0936344720876819E-3</v>
      </c>
      <c r="AA965">
        <f t="shared" ref="AA965:AA1028" si="341">I965/$S$4</f>
        <v>0.28641411672282857</v>
      </c>
      <c r="AB965">
        <f t="shared" ref="AB965:AB1028" si="342">J965/$S$4</f>
        <v>0.20266183809698352</v>
      </c>
      <c r="AC965">
        <f t="shared" ref="AC965:AC1028" si="343">K965/$S$4</f>
        <v>0.17746427906832851</v>
      </c>
      <c r="AD965">
        <f t="shared" ref="AD965:AD1028" si="344">L965/$S$4</f>
        <v>5.1904624186690515E-3</v>
      </c>
      <c r="AE965">
        <f t="shared" ref="AE965:AE1028" si="345">M965/$S$4</f>
        <v>2.8088888555567994E-2</v>
      </c>
      <c r="AG965">
        <f t="shared" ref="AG965:AG1028" si="346">(P965-AVERAGE(P965:P1329)) / _xlfn.STDEV.S(P965:P2792)</f>
        <v>0.4773480623413795</v>
      </c>
      <c r="AH965">
        <f t="shared" ref="AH965:AH1028" si="347">SUM(T965:Y965,Z965,AE965)</f>
        <v>0.1453095110979449</v>
      </c>
      <c r="AI965">
        <f t="shared" ref="AI965:AI1028" si="348">(AH965-AVERAGE(AH965:AH1329))/_xlfn.STDEV.S(AH965:AH1329)</f>
        <v>-0.7738168939484602</v>
      </c>
      <c r="AK965" s="26">
        <f t="shared" ref="AK965:AK1028" si="349">AVERAGEA(AH965:AH985)-AVERAGE(AH1331:AH1351, AH1696:AH1716, AH2061:AH2081)</f>
        <v>-1.8405428743698882E-2</v>
      </c>
      <c r="AL965" s="26">
        <f t="shared" ref="AL965:AL1028" si="350">AVERAGEA(AH965:AH1020)-AVERAGE(AH1331:AH1386, AH1696:AH1750, AH2061:AH2115)</f>
        <v>3.8228676162355146E-4</v>
      </c>
      <c r="AM965" s="26">
        <f t="shared" ref="AM965:AM1028" si="351">AVERAGEA(AH965:AH1077)-AVERAGE(AH1331:AH1443,AH1696:AH1807,AH2061:AH2172)</f>
        <v>-2.328395715270426E-2</v>
      </c>
      <c r="AN965" s="26">
        <f t="shared" ref="AN965:AN1028" si="352">AVERAGEA(P965:P985)-AVERAGE(P1331:P1351, P1696:P1716, P2061:P2081)</f>
        <v>-22.879999999999995</v>
      </c>
      <c r="AO965" s="26">
        <f t="shared" ref="AO965:AO1028" si="353">AVERAGEA(P965:P1020)-AVERAGE(P1331:P1386, P1696:P1750, P2061:P2115)</f>
        <v>-20.829671814671741</v>
      </c>
      <c r="AP965" s="26">
        <f t="shared" ref="AP965:AP1028" si="354">AVERAGEA(P965:P1077)-AVERAGE(P1331:P1443,P1696:P1807,P2061:P2172)</f>
        <v>-21.962643067846571</v>
      </c>
      <c r="AS965" s="2">
        <v>44515</v>
      </c>
      <c r="AT965">
        <v>9.3000000000000007</v>
      </c>
      <c r="AU965">
        <v>54.4</v>
      </c>
      <c r="AV965">
        <v>11.8</v>
      </c>
      <c r="AW965">
        <v>3.4</v>
      </c>
      <c r="AX965">
        <v>16.079999999999998</v>
      </c>
      <c r="AY965">
        <v>0.2</v>
      </c>
      <c r="AZ965">
        <v>3.4</v>
      </c>
      <c r="BA965">
        <v>286.42989999999998</v>
      </c>
      <c r="BB965">
        <v>248.86179999999999</v>
      </c>
      <c r="BC965">
        <v>188.899</v>
      </c>
      <c r="BD965">
        <v>5.8621999999999996</v>
      </c>
      <c r="BE965">
        <v>36.783200000000001</v>
      </c>
      <c r="BF965">
        <v>-29.137899999999998</v>
      </c>
      <c r="BG965">
        <v>56.946800000000003</v>
      </c>
      <c r="BH965">
        <v>73.77</v>
      </c>
    </row>
    <row r="966" spans="1:60" x14ac:dyDescent="0.25">
      <c r="A966" s="2">
        <v>44535</v>
      </c>
      <c r="B966">
        <v>11.2</v>
      </c>
      <c r="C966">
        <v>0</v>
      </c>
      <c r="D966">
        <v>77.099999999999994</v>
      </c>
      <c r="E966">
        <v>8</v>
      </c>
      <c r="F966">
        <v>28.14</v>
      </c>
      <c r="G966">
        <v>0.2</v>
      </c>
      <c r="H966">
        <v>3.4</v>
      </c>
      <c r="I966">
        <v>282.88290000000001</v>
      </c>
      <c r="J966">
        <v>144.51730000000001</v>
      </c>
      <c r="K966">
        <v>108.9783</v>
      </c>
      <c r="L966">
        <v>3.6230000000000002</v>
      </c>
      <c r="M966">
        <v>17.1492</v>
      </c>
      <c r="P966">
        <v>65.150000000000006</v>
      </c>
      <c r="S966">
        <f t="shared" si="333"/>
        <v>685.19069999999999</v>
      </c>
      <c r="T966">
        <f t="shared" si="334"/>
        <v>1.0499607905267284E-2</v>
      </c>
      <c r="U966">
        <f t="shared" si="335"/>
        <v>0</v>
      </c>
      <c r="V966">
        <f t="shared" si="336"/>
        <v>7.227855084786676E-2</v>
      </c>
      <c r="W966">
        <f t="shared" si="337"/>
        <v>7.4997199323337755E-3</v>
      </c>
      <c r="X966">
        <f t="shared" si="338"/>
        <v>2.6380264861984054E-2</v>
      </c>
      <c r="Y966">
        <f t="shared" si="339"/>
        <v>1.874929983083444E-4</v>
      </c>
      <c r="Z966">
        <f t="shared" si="340"/>
        <v>3.1873809712418544E-3</v>
      </c>
      <c r="AA966">
        <f t="shared" si="341"/>
        <v>0.26519281545579776</v>
      </c>
      <c r="AB966">
        <f t="shared" si="342"/>
        <v>0.13547990942213251</v>
      </c>
      <c r="AC966">
        <f t="shared" si="343"/>
        <v>0.10216334108773124</v>
      </c>
      <c r="AD966">
        <f t="shared" si="344"/>
        <v>3.3964356643556588E-3</v>
      </c>
      <c r="AE966">
        <f t="shared" si="345"/>
        <v>1.6076774632947297E-2</v>
      </c>
      <c r="AG966">
        <f t="shared" si="346"/>
        <v>0.50471549800886706</v>
      </c>
      <c r="AH966">
        <f t="shared" si="347"/>
        <v>0.13610979214994939</v>
      </c>
      <c r="AI966">
        <f t="shared" si="348"/>
        <v>-0.84629453746098626</v>
      </c>
      <c r="AK966" s="26">
        <f t="shared" si="349"/>
        <v>-2.3835159012923435E-2</v>
      </c>
      <c r="AL966" s="26">
        <f t="shared" si="350"/>
        <v>1.0347704190855067E-4</v>
      </c>
      <c r="AM966" s="26">
        <f t="shared" si="351"/>
        <v>-2.5360857071348969E-2</v>
      </c>
      <c r="AN966" s="26">
        <f t="shared" si="352"/>
        <v>-22.725952380952364</v>
      </c>
      <c r="AO966" s="26">
        <f t="shared" si="353"/>
        <v>-20.742570785070725</v>
      </c>
      <c r="AP966" s="26">
        <f t="shared" si="354"/>
        <v>-21.977839134709882</v>
      </c>
      <c r="AS966" s="2">
        <v>44514</v>
      </c>
      <c r="AT966">
        <v>8.8000000000000007</v>
      </c>
      <c r="AU966">
        <v>0</v>
      </c>
      <c r="AV966">
        <v>29.9</v>
      </c>
      <c r="AW966">
        <v>2.9</v>
      </c>
      <c r="AX966">
        <v>26.31</v>
      </c>
      <c r="AY966">
        <v>0.2</v>
      </c>
      <c r="AZ966">
        <v>3.4</v>
      </c>
      <c r="BA966">
        <v>288.10449999999997</v>
      </c>
      <c r="BB966">
        <v>210.8049</v>
      </c>
      <c r="BC966">
        <v>101.7183</v>
      </c>
      <c r="BD966">
        <v>3.4015</v>
      </c>
      <c r="BE966">
        <v>13.301600000000001</v>
      </c>
      <c r="BH966">
        <v>74.09</v>
      </c>
    </row>
    <row r="967" spans="1:60" x14ac:dyDescent="0.25">
      <c r="A967" s="2">
        <v>44534</v>
      </c>
      <c r="B967">
        <v>9.6</v>
      </c>
      <c r="C967">
        <v>0</v>
      </c>
      <c r="D967">
        <v>32.1</v>
      </c>
      <c r="E967">
        <v>7.9</v>
      </c>
      <c r="F967">
        <v>12.59</v>
      </c>
      <c r="G967">
        <v>0.2</v>
      </c>
      <c r="H967">
        <v>3.4</v>
      </c>
      <c r="I967">
        <v>265.96550000000002</v>
      </c>
      <c r="J967">
        <v>176.1046</v>
      </c>
      <c r="K967">
        <v>123.59310000000001</v>
      </c>
      <c r="L967">
        <v>3.8921000000000001</v>
      </c>
      <c r="M967">
        <v>27.045300000000001</v>
      </c>
      <c r="P967">
        <v>65.61</v>
      </c>
      <c r="S967">
        <f t="shared" si="333"/>
        <v>662.39060000000006</v>
      </c>
      <c r="T967">
        <f t="shared" si="334"/>
        <v>8.9996639188005302E-3</v>
      </c>
      <c r="U967">
        <f t="shared" si="335"/>
        <v>0</v>
      </c>
      <c r="V967">
        <f t="shared" si="336"/>
        <v>3.0092626228489273E-2</v>
      </c>
      <c r="W967">
        <f t="shared" si="337"/>
        <v>7.405973433179603E-3</v>
      </c>
      <c r="X967">
        <f t="shared" si="338"/>
        <v>1.1802684243510279E-2</v>
      </c>
      <c r="Y967">
        <f t="shared" si="339"/>
        <v>1.874929983083444E-4</v>
      </c>
      <c r="Z967">
        <f t="shared" si="340"/>
        <v>3.1873809712418544E-3</v>
      </c>
      <c r="AA967">
        <f t="shared" si="341"/>
        <v>0.24933334520788986</v>
      </c>
      <c r="AB967">
        <f t="shared" si="342"/>
        <v>0.16509189734945834</v>
      </c>
      <c r="AC967">
        <f t="shared" si="343"/>
        <v>0.1158642044461152</v>
      </c>
      <c r="AD967">
        <f t="shared" si="344"/>
        <v>3.6487074935795359E-3</v>
      </c>
      <c r="AE967">
        <f t="shared" si="345"/>
        <v>2.5354021935743331E-2</v>
      </c>
      <c r="AG967">
        <f t="shared" si="346"/>
        <v>0.52424800620693601</v>
      </c>
      <c r="AH967">
        <f t="shared" si="347"/>
        <v>8.7029843729273207E-2</v>
      </c>
      <c r="AI967">
        <f t="shared" si="348"/>
        <v>-1.2453521340731148</v>
      </c>
      <c r="AK967" s="26">
        <f t="shared" si="349"/>
        <v>-2.5727048184115781E-2</v>
      </c>
      <c r="AL967" s="26">
        <f t="shared" si="350"/>
        <v>1.1022292446353499E-3</v>
      </c>
      <c r="AM967" s="26">
        <f t="shared" si="351"/>
        <v>-2.0588662919405032E-2</v>
      </c>
      <c r="AN967" s="26">
        <f t="shared" si="352"/>
        <v>-22.573333333333338</v>
      </c>
      <c r="AO967" s="26">
        <f t="shared" si="353"/>
        <v>-20.656903153153095</v>
      </c>
      <c r="AP967" s="26">
        <f t="shared" si="354"/>
        <v>-21.997126057030442</v>
      </c>
      <c r="AS967" s="2">
        <v>44513</v>
      </c>
      <c r="AT967">
        <v>8.6</v>
      </c>
      <c r="AU967">
        <v>0.7</v>
      </c>
      <c r="AV967">
        <v>24.4</v>
      </c>
      <c r="AW967">
        <v>4.3</v>
      </c>
      <c r="AX967">
        <v>24.99</v>
      </c>
      <c r="AY967">
        <v>0.2</v>
      </c>
      <c r="AZ967">
        <v>3.6</v>
      </c>
      <c r="BA967">
        <v>285.85199999999998</v>
      </c>
      <c r="BB967">
        <v>213.7364</v>
      </c>
      <c r="BC967">
        <v>114.4148</v>
      </c>
      <c r="BD967">
        <v>3.3864000000000001</v>
      </c>
      <c r="BE967">
        <v>24.992899999999999</v>
      </c>
      <c r="BH967">
        <v>74.2</v>
      </c>
    </row>
    <row r="968" spans="1:60" x14ac:dyDescent="0.25">
      <c r="A968" s="2">
        <v>44533</v>
      </c>
      <c r="B968">
        <v>9.6</v>
      </c>
      <c r="C968">
        <v>3.5</v>
      </c>
      <c r="D968">
        <v>81.099999999999994</v>
      </c>
      <c r="E968">
        <v>22.7</v>
      </c>
      <c r="F968">
        <v>36.49</v>
      </c>
      <c r="G968">
        <v>0.2</v>
      </c>
      <c r="H968">
        <v>3.2</v>
      </c>
      <c r="I968">
        <v>259.06760000000003</v>
      </c>
      <c r="J968">
        <v>134.94810000000001</v>
      </c>
      <c r="K968">
        <v>106.30419999999999</v>
      </c>
      <c r="L968">
        <v>4.4222999999999999</v>
      </c>
      <c r="M968">
        <v>20.568899999999999</v>
      </c>
      <c r="N968">
        <v>24.529499999999999</v>
      </c>
      <c r="O968">
        <v>125.6237</v>
      </c>
      <c r="P968">
        <v>66.05</v>
      </c>
      <c r="S968">
        <f t="shared" si="333"/>
        <v>682.10109999999997</v>
      </c>
      <c r="T968">
        <f t="shared" si="334"/>
        <v>8.9996639188005302E-3</v>
      </c>
      <c r="U968">
        <f t="shared" si="335"/>
        <v>3.2811274703960268E-3</v>
      </c>
      <c r="V968">
        <f t="shared" si="336"/>
        <v>7.6028410814033637E-2</v>
      </c>
      <c r="W968">
        <f t="shared" si="337"/>
        <v>2.1280455307997086E-2</v>
      </c>
      <c r="X968">
        <f t="shared" si="338"/>
        <v>3.4208097541357431E-2</v>
      </c>
      <c r="Y968">
        <f t="shared" si="339"/>
        <v>1.874929983083444E-4</v>
      </c>
      <c r="Z968">
        <f t="shared" si="340"/>
        <v>2.9998879729335104E-3</v>
      </c>
      <c r="AA968">
        <f t="shared" si="341"/>
        <v>0.24286680544273423</v>
      </c>
      <c r="AB968">
        <f t="shared" si="342"/>
        <v>0.12650911942507145</v>
      </c>
      <c r="AC968">
        <f t="shared" si="343"/>
        <v>9.9656465953849513E-2</v>
      </c>
      <c r="AD968">
        <f t="shared" si="344"/>
        <v>4.1457514320949566E-3</v>
      </c>
      <c r="AE968">
        <f t="shared" si="345"/>
        <v>1.9282623664522523E-2</v>
      </c>
      <c r="AG968">
        <f t="shared" si="346"/>
        <v>0.54278221791084214</v>
      </c>
      <c r="AH968">
        <f t="shared" si="347"/>
        <v>0.16626775968834909</v>
      </c>
      <c r="AI968">
        <f t="shared" si="348"/>
        <v>-0.60033834800432029</v>
      </c>
      <c r="AK968" s="26">
        <f t="shared" si="349"/>
        <v>-2.4601840203601316E-2</v>
      </c>
      <c r="AL968" s="26">
        <f t="shared" si="350"/>
        <v>3.2228863568481703E-3</v>
      </c>
      <c r="AM968" s="26">
        <f t="shared" si="351"/>
        <v>-2.3538096729288582E-2</v>
      </c>
      <c r="AN968" s="26">
        <f t="shared" si="352"/>
        <v>-22.423095238095229</v>
      </c>
      <c r="AO968" s="26">
        <f t="shared" si="353"/>
        <v>-20.580521235521203</v>
      </c>
      <c r="AP968" s="26">
        <f t="shared" si="354"/>
        <v>-22.016692625368705</v>
      </c>
      <c r="AS968" s="2">
        <v>44512</v>
      </c>
      <c r="AT968">
        <v>9.1</v>
      </c>
      <c r="AU968">
        <v>1.4</v>
      </c>
      <c r="AV968">
        <v>55.7</v>
      </c>
      <c r="AW968">
        <v>5.6</v>
      </c>
      <c r="AX968">
        <v>39.39</v>
      </c>
      <c r="AY968">
        <v>0.2</v>
      </c>
      <c r="AZ968">
        <v>3.6</v>
      </c>
      <c r="BA968">
        <v>291.334</v>
      </c>
      <c r="BB968">
        <v>253.18989999999999</v>
      </c>
      <c r="BC968">
        <v>165.03739999999999</v>
      </c>
      <c r="BD968">
        <v>3.4015</v>
      </c>
      <c r="BE968">
        <v>23.415500000000002</v>
      </c>
      <c r="BF968">
        <v>-23.039400000000001</v>
      </c>
      <c r="BG968">
        <v>54.544899999999998</v>
      </c>
      <c r="BH968">
        <v>74.37</v>
      </c>
    </row>
    <row r="969" spans="1:60" x14ac:dyDescent="0.25">
      <c r="A969" s="2">
        <v>44532</v>
      </c>
      <c r="B969">
        <v>9.6999999999999993</v>
      </c>
      <c r="C969">
        <v>3.9</v>
      </c>
      <c r="D969">
        <v>48.8</v>
      </c>
      <c r="E969">
        <v>14.1</v>
      </c>
      <c r="F969">
        <v>32.71</v>
      </c>
      <c r="G969">
        <v>0.2</v>
      </c>
      <c r="H969">
        <v>3.2</v>
      </c>
      <c r="I969">
        <v>248.51689999999999</v>
      </c>
      <c r="J969">
        <v>201.75059999999999</v>
      </c>
      <c r="K969">
        <v>144.36770000000001</v>
      </c>
      <c r="L969">
        <v>5.2465000000000002</v>
      </c>
      <c r="M969">
        <v>38.713700000000003</v>
      </c>
      <c r="N969">
        <v>7.3589000000000002</v>
      </c>
      <c r="O969">
        <v>117.71259999999999</v>
      </c>
      <c r="P969">
        <v>66.66</v>
      </c>
      <c r="S969">
        <f t="shared" si="333"/>
        <v>751.20539999999994</v>
      </c>
      <c r="T969">
        <f t="shared" si="334"/>
        <v>9.0934104179547018E-3</v>
      </c>
      <c r="U969">
        <f t="shared" si="335"/>
        <v>3.6561134670127153E-3</v>
      </c>
      <c r="V969">
        <f t="shared" si="336"/>
        <v>4.5748291587236027E-2</v>
      </c>
      <c r="W969">
        <f t="shared" si="337"/>
        <v>1.3218256380738279E-2</v>
      </c>
      <c r="X969">
        <f t="shared" si="338"/>
        <v>3.0664479873329726E-2</v>
      </c>
      <c r="Y969">
        <f t="shared" si="339"/>
        <v>1.874929983083444E-4</v>
      </c>
      <c r="Z969">
        <f t="shared" si="340"/>
        <v>2.9998879729335104E-3</v>
      </c>
      <c r="AA969">
        <f t="shared" si="341"/>
        <v>0.23297589355647494</v>
      </c>
      <c r="AB969">
        <f t="shared" si="342"/>
        <v>0.18913412452253731</v>
      </c>
      <c r="AC969">
        <f t="shared" si="343"/>
        <v>0.13533966465939787</v>
      </c>
      <c r="AD969">
        <f t="shared" si="344"/>
        <v>4.9184100781236445E-3</v>
      </c>
      <c r="AE969">
        <f t="shared" si="345"/>
        <v>3.6292738443048762E-2</v>
      </c>
      <c r="AG969">
        <f t="shared" si="346"/>
        <v>0.56958011164852063</v>
      </c>
      <c r="AH969">
        <f t="shared" si="347"/>
        <v>0.14186067114056206</v>
      </c>
      <c r="AI969">
        <f t="shared" si="348"/>
        <v>-0.79956540453301816</v>
      </c>
      <c r="AK969" s="26">
        <f t="shared" si="349"/>
        <v>-2.6427716214972613E-2</v>
      </c>
      <c r="AL969" s="26">
        <f t="shared" si="350"/>
        <v>2.6476181134116039E-3</v>
      </c>
      <c r="AM969" s="26">
        <f t="shared" si="351"/>
        <v>-2.5660508510296609E-2</v>
      </c>
      <c r="AN969" s="26">
        <f t="shared" si="352"/>
        <v>-22.270714285714263</v>
      </c>
      <c r="AO969" s="26">
        <f t="shared" si="353"/>
        <v>-20.508719433719406</v>
      </c>
      <c r="AP969" s="26">
        <f t="shared" si="354"/>
        <v>-22.036317404129775</v>
      </c>
      <c r="AS969" s="2">
        <v>44511</v>
      </c>
      <c r="AT969">
        <v>9.1</v>
      </c>
      <c r="AU969">
        <v>0.5</v>
      </c>
      <c r="AV969">
        <v>17.8</v>
      </c>
      <c r="AW969">
        <v>2.2000000000000002</v>
      </c>
      <c r="AX969">
        <v>69.11</v>
      </c>
      <c r="AY969">
        <v>0.2</v>
      </c>
      <c r="AZ969">
        <v>3.6</v>
      </c>
      <c r="BA969">
        <v>293.04079999999999</v>
      </c>
      <c r="BB969">
        <v>248.22749999999999</v>
      </c>
      <c r="BC969">
        <v>188.03469999999999</v>
      </c>
      <c r="BD969">
        <v>3.7172000000000001</v>
      </c>
      <c r="BE969">
        <v>27.600300000000001</v>
      </c>
      <c r="BF969">
        <v>-30.194700000000001</v>
      </c>
      <c r="BG969">
        <v>44.262900000000002</v>
      </c>
      <c r="BH969">
        <v>74.7</v>
      </c>
    </row>
    <row r="970" spans="1:60" x14ac:dyDescent="0.25">
      <c r="A970" s="2">
        <v>44531</v>
      </c>
      <c r="B970">
        <v>8.6</v>
      </c>
      <c r="C970">
        <v>2</v>
      </c>
      <c r="D970">
        <v>69.900000000000006</v>
      </c>
      <c r="E970">
        <v>23.9</v>
      </c>
      <c r="F970">
        <v>19.989999999999998</v>
      </c>
      <c r="G970">
        <v>0.2</v>
      </c>
      <c r="H970">
        <v>3.2</v>
      </c>
      <c r="I970">
        <v>206.7311</v>
      </c>
      <c r="J970">
        <v>121.74420000000001</v>
      </c>
      <c r="K970">
        <v>77.219700000000003</v>
      </c>
      <c r="L970">
        <v>3.6741000000000001</v>
      </c>
      <c r="M970">
        <v>16.079599999999999</v>
      </c>
      <c r="N970">
        <v>-1.3241000000000001</v>
      </c>
      <c r="O970">
        <v>110.33459999999999</v>
      </c>
      <c r="P970">
        <v>67.209999999999994</v>
      </c>
      <c r="S970">
        <f t="shared" si="333"/>
        <v>553.23869999999999</v>
      </c>
      <c r="T970">
        <f t="shared" si="334"/>
        <v>8.0621989272588075E-3</v>
      </c>
      <c r="U970">
        <f t="shared" si="335"/>
        <v>1.8749299830834439E-3</v>
      </c>
      <c r="V970">
        <f t="shared" si="336"/>
        <v>6.5528802908766365E-2</v>
      </c>
      <c r="W970">
        <f t="shared" si="337"/>
        <v>2.2405413297847152E-2</v>
      </c>
      <c r="X970">
        <f t="shared" si="338"/>
        <v>1.873992518091902E-2</v>
      </c>
      <c r="Y970">
        <f t="shared" si="339"/>
        <v>1.874929983083444E-4</v>
      </c>
      <c r="Z970">
        <f t="shared" si="340"/>
        <v>2.9998879729335104E-3</v>
      </c>
      <c r="AA970">
        <f t="shared" si="341"/>
        <v>0.19380316891291086</v>
      </c>
      <c r="AB970">
        <f t="shared" si="342"/>
        <v>0.1141309254232537</v>
      </c>
      <c r="AC970">
        <f t="shared" si="343"/>
        <v>7.2390765407354313E-2</v>
      </c>
      <c r="AD970">
        <f t="shared" si="344"/>
        <v>3.4443401254234405E-3</v>
      </c>
      <c r="AE970">
        <f t="shared" si="345"/>
        <v>1.5074062077994272E-2</v>
      </c>
      <c r="AG970">
        <f t="shared" si="346"/>
        <v>0.59340860536145446</v>
      </c>
      <c r="AH970">
        <f t="shared" si="347"/>
        <v>0.1348727133471109</v>
      </c>
      <c r="AI970">
        <f t="shared" si="348"/>
        <v>-0.85566226721214034</v>
      </c>
      <c r="AK970" s="26">
        <f t="shared" si="349"/>
        <v>-2.4952943163528751E-2</v>
      </c>
      <c r="AL970" s="26">
        <f t="shared" si="350"/>
        <v>2.4844873659190525E-3</v>
      </c>
      <c r="AM970" s="26">
        <f t="shared" si="351"/>
        <v>-2.589163376564349E-2</v>
      </c>
      <c r="AN970" s="26">
        <f t="shared" si="352"/>
        <v>-22.116904761904735</v>
      </c>
      <c r="AO970" s="26">
        <f t="shared" si="353"/>
        <v>-20.440495495495469</v>
      </c>
      <c r="AP970" s="26">
        <f t="shared" si="354"/>
        <v>-22.057817502458178</v>
      </c>
      <c r="AS970" s="2">
        <v>44510</v>
      </c>
      <c r="AT970">
        <v>8.5</v>
      </c>
      <c r="AU970">
        <v>17.899999999999999</v>
      </c>
      <c r="AV970">
        <v>45.5</v>
      </c>
      <c r="AW970">
        <v>4.2</v>
      </c>
      <c r="AX970">
        <v>75.2</v>
      </c>
      <c r="AY970">
        <v>0.2</v>
      </c>
      <c r="AZ970">
        <v>3.4</v>
      </c>
      <c r="BA970">
        <v>293.59210000000002</v>
      </c>
      <c r="BB970">
        <v>235.15860000000001</v>
      </c>
      <c r="BC970">
        <v>163.74959999999999</v>
      </c>
      <c r="BD970">
        <v>3.9020000000000001</v>
      </c>
      <c r="BE970">
        <v>33.920499999999997</v>
      </c>
      <c r="BF970">
        <v>-26.999300000000002</v>
      </c>
      <c r="BG970">
        <v>37.579000000000001</v>
      </c>
      <c r="BH970">
        <v>74.989999999999995</v>
      </c>
    </row>
    <row r="971" spans="1:60" x14ac:dyDescent="0.25">
      <c r="A971" s="2">
        <v>44530</v>
      </c>
      <c r="B971">
        <v>8.3000000000000007</v>
      </c>
      <c r="C971">
        <v>1.9</v>
      </c>
      <c r="D971">
        <v>67.900000000000006</v>
      </c>
      <c r="E971">
        <v>23.9</v>
      </c>
      <c r="F971">
        <v>8.77</v>
      </c>
      <c r="G971">
        <v>0.2</v>
      </c>
      <c r="H971">
        <v>3.1</v>
      </c>
      <c r="I971">
        <v>243.81229999999999</v>
      </c>
      <c r="J971">
        <v>139.67609999999999</v>
      </c>
      <c r="K971">
        <v>92.313599999999994</v>
      </c>
      <c r="L971">
        <v>4.4828000000000001</v>
      </c>
      <c r="M971">
        <v>28.819700000000001</v>
      </c>
      <c r="N971">
        <v>3.4441999999999999</v>
      </c>
      <c r="O971">
        <v>117.5453</v>
      </c>
      <c r="P971">
        <v>67.78</v>
      </c>
      <c r="S971">
        <f t="shared" si="333"/>
        <v>623.17449999999997</v>
      </c>
      <c r="T971">
        <f t="shared" si="334"/>
        <v>7.7809594297962928E-3</v>
      </c>
      <c r="U971">
        <f t="shared" si="335"/>
        <v>1.7811834839292716E-3</v>
      </c>
      <c r="V971">
        <f t="shared" si="336"/>
        <v>6.3653872925682919E-2</v>
      </c>
      <c r="W971">
        <f t="shared" si="337"/>
        <v>2.2405413297847152E-2</v>
      </c>
      <c r="X971">
        <f t="shared" si="338"/>
        <v>8.2215679758209006E-3</v>
      </c>
      <c r="Y971">
        <f t="shared" si="339"/>
        <v>1.874929983083444E-4</v>
      </c>
      <c r="Z971">
        <f t="shared" si="340"/>
        <v>2.9061414737793379E-3</v>
      </c>
      <c r="AA971">
        <f t="shared" si="341"/>
        <v>0.22856549575726776</v>
      </c>
      <c r="AB971">
        <f t="shared" si="342"/>
        <v>0.13094145390508069</v>
      </c>
      <c r="AC971">
        <f t="shared" si="343"/>
        <v>8.6540768243185892E-2</v>
      </c>
      <c r="AD971">
        <f t="shared" si="344"/>
        <v>4.2024680640832309E-3</v>
      </c>
      <c r="AE971">
        <f t="shared" si="345"/>
        <v>2.7017459816734965E-2</v>
      </c>
      <c r="AG971">
        <f t="shared" si="346"/>
        <v>0.61816717885923689</v>
      </c>
      <c r="AH971">
        <f t="shared" si="347"/>
        <v>0.13395409140189918</v>
      </c>
      <c r="AI971">
        <f t="shared" si="348"/>
        <v>-0.86581506967418742</v>
      </c>
      <c r="AK971" s="26">
        <f t="shared" si="349"/>
        <v>-1.8213683672036046E-2</v>
      </c>
      <c r="AL971" s="26">
        <f t="shared" si="350"/>
        <v>3.4785479002210351E-3</v>
      </c>
      <c r="AM971" s="26">
        <f t="shared" si="351"/>
        <v>-2.5109387280758011E-2</v>
      </c>
      <c r="AN971" s="26">
        <f t="shared" si="352"/>
        <v>-21.962142857142851</v>
      </c>
      <c r="AO971" s="26">
        <f t="shared" si="353"/>
        <v>-20.374065315315292</v>
      </c>
      <c r="AP971" s="26">
        <f t="shared" si="354"/>
        <v>-22.080396066863329</v>
      </c>
      <c r="AS971" s="2">
        <v>44509</v>
      </c>
      <c r="AT971">
        <v>8.5</v>
      </c>
      <c r="AU971">
        <v>0</v>
      </c>
      <c r="AV971">
        <v>68.099999999999994</v>
      </c>
      <c r="AW971">
        <v>7.9</v>
      </c>
      <c r="AX971">
        <v>108.03</v>
      </c>
      <c r="AY971">
        <v>0.2</v>
      </c>
      <c r="AZ971">
        <v>3.8</v>
      </c>
      <c r="BA971">
        <v>325.416</v>
      </c>
      <c r="BB971">
        <v>204.99549999999999</v>
      </c>
      <c r="BC971">
        <v>143.73259999999999</v>
      </c>
      <c r="BD971">
        <v>3.4487999999999999</v>
      </c>
      <c r="BE971">
        <v>19.442900000000002</v>
      </c>
      <c r="BF971">
        <v>-17.705500000000001</v>
      </c>
      <c r="BG971">
        <v>50.634</v>
      </c>
      <c r="BH971">
        <v>75.28</v>
      </c>
    </row>
    <row r="972" spans="1:60" x14ac:dyDescent="0.25">
      <c r="A972" s="2">
        <v>44529</v>
      </c>
      <c r="B972">
        <v>7.5</v>
      </c>
      <c r="C972">
        <v>1.1000000000000001</v>
      </c>
      <c r="D972">
        <v>29.9</v>
      </c>
      <c r="E972">
        <v>4.7</v>
      </c>
      <c r="F972">
        <v>20.69</v>
      </c>
      <c r="G972">
        <v>0.2</v>
      </c>
      <c r="H972">
        <v>3.4</v>
      </c>
      <c r="I972">
        <v>300.01159999999999</v>
      </c>
      <c r="J972">
        <v>269.84210000000002</v>
      </c>
      <c r="K972">
        <v>180.36590000000001</v>
      </c>
      <c r="L972">
        <v>6.8186999999999998</v>
      </c>
      <c r="M972">
        <v>43.989699999999999</v>
      </c>
      <c r="N972">
        <v>-22.402200000000001</v>
      </c>
      <c r="O972">
        <v>88.886700000000005</v>
      </c>
      <c r="P972">
        <v>68.33</v>
      </c>
      <c r="S972">
        <f t="shared" si="333"/>
        <v>868.51800000000003</v>
      </c>
      <c r="T972">
        <f t="shared" si="334"/>
        <v>7.0309874365629141E-3</v>
      </c>
      <c r="U972">
        <f t="shared" si="335"/>
        <v>1.0312114906958943E-3</v>
      </c>
      <c r="V972">
        <f t="shared" si="336"/>
        <v>2.8030203247097485E-2</v>
      </c>
      <c r="W972">
        <f t="shared" si="337"/>
        <v>4.4060854602460935E-3</v>
      </c>
      <c r="X972">
        <f t="shared" si="338"/>
        <v>1.9396150674998228E-2</v>
      </c>
      <c r="Y972">
        <f t="shared" si="339"/>
        <v>1.874929983083444E-4</v>
      </c>
      <c r="Z972">
        <f t="shared" si="340"/>
        <v>3.1873809712418544E-3</v>
      </c>
      <c r="AA972">
        <f t="shared" si="341"/>
        <v>0.28125037205641845</v>
      </c>
      <c r="AB972">
        <f t="shared" si="342"/>
        <v>0.2529675219941005</v>
      </c>
      <c r="AC972">
        <f t="shared" si="343"/>
        <v>0.16908671691791508</v>
      </c>
      <c r="AD972">
        <f t="shared" si="344"/>
        <v>6.3922925378255393E-3</v>
      </c>
      <c r="AE972">
        <f t="shared" si="345"/>
        <v>4.1238803738422883E-2</v>
      </c>
      <c r="AG972">
        <f t="shared" si="346"/>
        <v>0.64191473963520829</v>
      </c>
      <c r="AH972">
        <f t="shared" si="347"/>
        <v>0.1045083160175737</v>
      </c>
      <c r="AI972">
        <f t="shared" si="348"/>
        <v>-1.108438136520963</v>
      </c>
      <c r="AK972" s="26">
        <f t="shared" si="349"/>
        <v>-1.4488686616680541E-2</v>
      </c>
      <c r="AL972" s="26">
        <f t="shared" si="350"/>
        <v>3.491937587820515E-3</v>
      </c>
      <c r="AM972" s="26">
        <f t="shared" si="351"/>
        <v>-2.5364384399064938E-2</v>
      </c>
      <c r="AN972" s="26">
        <f t="shared" si="352"/>
        <v>-21.81333333333329</v>
      </c>
      <c r="AO972" s="26">
        <f t="shared" si="353"/>
        <v>-20.315004826254821</v>
      </c>
      <c r="AP972" s="26">
        <f t="shared" si="354"/>
        <v>-22.105517010816129</v>
      </c>
      <c r="AS972" s="2">
        <v>44508</v>
      </c>
      <c r="AT972">
        <v>8</v>
      </c>
      <c r="AU972">
        <v>39.6</v>
      </c>
      <c r="AV972">
        <v>45.1</v>
      </c>
      <c r="AW972">
        <v>7.4</v>
      </c>
      <c r="AX972">
        <v>60.48</v>
      </c>
      <c r="AY972">
        <v>0.2</v>
      </c>
      <c r="AZ972">
        <v>3.7</v>
      </c>
      <c r="BA972">
        <v>315.916</v>
      </c>
      <c r="BB972">
        <v>177.06720000000001</v>
      </c>
      <c r="BC972">
        <v>143.60210000000001</v>
      </c>
      <c r="BD972">
        <v>3.4140000000000001</v>
      </c>
      <c r="BE972">
        <v>30.780100000000001</v>
      </c>
      <c r="BF972">
        <v>-23.278099999999998</v>
      </c>
      <c r="BG972">
        <v>55.600099999999998</v>
      </c>
      <c r="BH972">
        <v>75.58</v>
      </c>
    </row>
    <row r="973" spans="1:60" x14ac:dyDescent="0.25">
      <c r="A973" s="2">
        <v>44528</v>
      </c>
      <c r="B973">
        <v>7.1</v>
      </c>
      <c r="C973">
        <v>31.7</v>
      </c>
      <c r="D973">
        <v>47.3</v>
      </c>
      <c r="E973">
        <v>2</v>
      </c>
      <c r="F973">
        <v>24.19</v>
      </c>
      <c r="G973">
        <v>0.2</v>
      </c>
      <c r="H973">
        <v>3.3</v>
      </c>
      <c r="I973">
        <v>310.59719999999999</v>
      </c>
      <c r="J973">
        <v>219.8434</v>
      </c>
      <c r="K973">
        <v>117.5954</v>
      </c>
      <c r="L973">
        <v>3.6042000000000001</v>
      </c>
      <c r="M973">
        <v>23.206299999999999</v>
      </c>
      <c r="P973">
        <v>68.92</v>
      </c>
      <c r="S973">
        <f t="shared" si="333"/>
        <v>790.63650000000007</v>
      </c>
      <c r="T973">
        <f t="shared" si="334"/>
        <v>6.6560014399462252E-3</v>
      </c>
      <c r="U973">
        <f t="shared" si="335"/>
        <v>2.9717640231872584E-2</v>
      </c>
      <c r="V973">
        <f t="shared" si="336"/>
        <v>4.4342094099923443E-2</v>
      </c>
      <c r="W973">
        <f t="shared" si="337"/>
        <v>1.8749299830834439E-3</v>
      </c>
      <c r="X973">
        <f t="shared" si="338"/>
        <v>2.2677278145394254E-2</v>
      </c>
      <c r="Y973">
        <f t="shared" si="339"/>
        <v>1.874929983083444E-4</v>
      </c>
      <c r="Z973">
        <f t="shared" si="340"/>
        <v>3.0936344720876819E-3</v>
      </c>
      <c r="AA973">
        <f t="shared" si="341"/>
        <v>0.29117400147088252</v>
      </c>
      <c r="AB973">
        <f t="shared" si="342"/>
        <v>0.20609549112150338</v>
      </c>
      <c r="AC973">
        <f t="shared" si="343"/>
        <v>0.11024157066634541</v>
      </c>
      <c r="AD973">
        <f t="shared" si="344"/>
        <v>3.378811322514674E-3</v>
      </c>
      <c r="AE973">
        <f t="shared" si="345"/>
        <v>2.175509383321466E-2</v>
      </c>
      <c r="AG973">
        <f t="shared" si="346"/>
        <v>0.66758402588236621</v>
      </c>
      <c r="AH973">
        <f t="shared" si="347"/>
        <v>0.13030416520383065</v>
      </c>
      <c r="AI973">
        <f t="shared" si="348"/>
        <v>-0.89855430770912303</v>
      </c>
      <c r="AK973" s="26">
        <f t="shared" si="349"/>
        <v>-1.6614109477563394E-2</v>
      </c>
      <c r="AL973" s="26">
        <f t="shared" si="350"/>
        <v>3.5435871431058197E-3</v>
      </c>
      <c r="AM973" s="26">
        <f t="shared" si="351"/>
        <v>-2.6046096540934621E-2</v>
      </c>
      <c r="AN973" s="26">
        <f t="shared" si="352"/>
        <v>-21.66047619047616</v>
      </c>
      <c r="AO973" s="26">
        <f t="shared" si="353"/>
        <v>-20.259964607464582</v>
      </c>
      <c r="AP973" s="26">
        <f t="shared" si="354"/>
        <v>-22.132070796460184</v>
      </c>
      <c r="AS973" s="2">
        <v>44507</v>
      </c>
      <c r="AT973">
        <v>8</v>
      </c>
      <c r="AU973">
        <v>29.2</v>
      </c>
      <c r="AV973">
        <v>80.5</v>
      </c>
      <c r="AW973">
        <v>22.3</v>
      </c>
      <c r="AX973">
        <v>49.02</v>
      </c>
      <c r="AY973">
        <v>0.2</v>
      </c>
      <c r="AZ973">
        <v>3.6</v>
      </c>
      <c r="BA973">
        <v>164.40620000000001</v>
      </c>
      <c r="BB973">
        <v>55.396999999999998</v>
      </c>
      <c r="BC973">
        <v>35.766199999999998</v>
      </c>
      <c r="BD973">
        <v>3.3841000000000001</v>
      </c>
      <c r="BE973">
        <v>9.8826000000000001</v>
      </c>
      <c r="BH973">
        <v>75.86</v>
      </c>
    </row>
    <row r="974" spans="1:60" x14ac:dyDescent="0.25">
      <c r="A974" s="2">
        <v>44527</v>
      </c>
      <c r="B974">
        <v>7.3</v>
      </c>
      <c r="C974">
        <v>1.3</v>
      </c>
      <c r="D974">
        <v>45.5</v>
      </c>
      <c r="E974">
        <v>6.3</v>
      </c>
      <c r="F974">
        <v>24.69</v>
      </c>
      <c r="G974">
        <v>0.2</v>
      </c>
      <c r="H974">
        <v>3.2</v>
      </c>
      <c r="I974">
        <v>309.81920000000002</v>
      </c>
      <c r="J974">
        <v>212.86369999999999</v>
      </c>
      <c r="K974">
        <v>154.05170000000001</v>
      </c>
      <c r="L974">
        <v>3.6059999999999999</v>
      </c>
      <c r="M974">
        <v>21.790400000000002</v>
      </c>
      <c r="P974">
        <v>69.34</v>
      </c>
      <c r="S974">
        <f t="shared" si="333"/>
        <v>790.62099999999998</v>
      </c>
      <c r="T974">
        <f t="shared" si="334"/>
        <v>6.8434944382545701E-3</v>
      </c>
      <c r="U974">
        <f t="shared" si="335"/>
        <v>1.2187044890042385E-3</v>
      </c>
      <c r="V974">
        <f t="shared" si="336"/>
        <v>4.2654657115148348E-2</v>
      </c>
      <c r="W974">
        <f t="shared" si="337"/>
        <v>5.9060294467128483E-3</v>
      </c>
      <c r="X974">
        <f t="shared" si="338"/>
        <v>2.3146010641165116E-2</v>
      </c>
      <c r="Y974">
        <f t="shared" si="339"/>
        <v>1.874929983083444E-4</v>
      </c>
      <c r="Z974">
        <f t="shared" si="340"/>
        <v>2.9998879729335104E-3</v>
      </c>
      <c r="AA974">
        <f t="shared" si="341"/>
        <v>0.29044465370746309</v>
      </c>
      <c r="AB974">
        <f t="shared" si="342"/>
        <v>0.19955226672003962</v>
      </c>
      <c r="AC974">
        <f t="shared" si="343"/>
        <v>0.1444180756374879</v>
      </c>
      <c r="AD974">
        <f t="shared" si="344"/>
        <v>3.380498759499449E-3</v>
      </c>
      <c r="AE974">
        <f t="shared" si="345"/>
        <v>2.0427737151690738E-2</v>
      </c>
      <c r="AG974">
        <f t="shared" si="346"/>
        <v>0.68495683560516096</v>
      </c>
      <c r="AH974">
        <f t="shared" si="347"/>
        <v>0.10338401425321772</v>
      </c>
      <c r="AI974">
        <f t="shared" si="348"/>
        <v>-1.1170301156261266</v>
      </c>
      <c r="AK974" s="26">
        <f t="shared" si="349"/>
        <v>-1.5496597638217618E-2</v>
      </c>
      <c r="AL974" s="26">
        <f t="shared" si="350"/>
        <v>2.8574098386060232E-3</v>
      </c>
      <c r="AM974" s="26">
        <f t="shared" si="351"/>
        <v>-2.8893865150327769E-2</v>
      </c>
      <c r="AN974" s="26">
        <f t="shared" si="352"/>
        <v>-21.513571428571396</v>
      </c>
      <c r="AO974" s="26">
        <f t="shared" si="353"/>
        <v>-20.211288610038579</v>
      </c>
      <c r="AP974" s="26">
        <f t="shared" si="354"/>
        <v>-22.162364208456253</v>
      </c>
      <c r="AS974" s="2">
        <v>44506</v>
      </c>
      <c r="AT974">
        <v>8.6</v>
      </c>
      <c r="AU974">
        <v>18.600000000000001</v>
      </c>
      <c r="AV974">
        <v>77.2</v>
      </c>
      <c r="AW974">
        <v>17.399999999999999</v>
      </c>
      <c r="AX974">
        <v>66.13</v>
      </c>
      <c r="AY974">
        <v>0.2</v>
      </c>
      <c r="AZ974">
        <v>3.7</v>
      </c>
      <c r="BA974">
        <v>261.32229999999998</v>
      </c>
      <c r="BB974">
        <v>82.343400000000003</v>
      </c>
      <c r="BC974">
        <v>50.6477</v>
      </c>
      <c r="BD974">
        <v>3.3839999999999999</v>
      </c>
      <c r="BE974">
        <v>19.7575</v>
      </c>
      <c r="BH974">
        <v>75.92</v>
      </c>
    </row>
    <row r="975" spans="1:60" x14ac:dyDescent="0.25">
      <c r="A975" s="2">
        <v>44526</v>
      </c>
      <c r="B975">
        <v>8.3000000000000007</v>
      </c>
      <c r="C975">
        <v>2.2000000000000002</v>
      </c>
      <c r="D975">
        <v>69.5</v>
      </c>
      <c r="E975">
        <v>11.4</v>
      </c>
      <c r="F975">
        <v>20.22</v>
      </c>
      <c r="G975">
        <v>0.2</v>
      </c>
      <c r="H975">
        <v>3.3</v>
      </c>
      <c r="I975">
        <v>307.83089999999999</v>
      </c>
      <c r="J975">
        <v>230.24760000000001</v>
      </c>
      <c r="K975">
        <v>153.5378</v>
      </c>
      <c r="L975">
        <v>4.4390000000000001</v>
      </c>
      <c r="M975">
        <v>23.331499999999998</v>
      </c>
      <c r="N975">
        <v>-31.374400000000001</v>
      </c>
      <c r="O975">
        <v>59.764400000000002</v>
      </c>
      <c r="P975">
        <v>69.77</v>
      </c>
      <c r="S975">
        <f t="shared" si="333"/>
        <v>834.5068</v>
      </c>
      <c r="T975">
        <f t="shared" si="334"/>
        <v>7.7809594297962928E-3</v>
      </c>
      <c r="U975">
        <f t="shared" si="335"/>
        <v>2.0624229813917885E-3</v>
      </c>
      <c r="V975">
        <f t="shared" si="336"/>
        <v>6.5153816912149679E-2</v>
      </c>
      <c r="W975">
        <f t="shared" si="337"/>
        <v>1.0687100903575631E-2</v>
      </c>
      <c r="X975">
        <f t="shared" si="338"/>
        <v>1.8955542128973615E-2</v>
      </c>
      <c r="Y975">
        <f t="shared" si="339"/>
        <v>1.874929983083444E-4</v>
      </c>
      <c r="Z975">
        <f t="shared" si="340"/>
        <v>3.0936344720876819E-3</v>
      </c>
      <c r="AA975">
        <f t="shared" si="341"/>
        <v>0.28858069206478065</v>
      </c>
      <c r="AB975">
        <f t="shared" si="342"/>
        <v>0.21584906438650178</v>
      </c>
      <c r="AC975">
        <f t="shared" si="343"/>
        <v>0.1439363123783346</v>
      </c>
      <c r="AD975">
        <f t="shared" si="344"/>
        <v>4.1614070974537037E-3</v>
      </c>
      <c r="AE975">
        <f t="shared" si="345"/>
        <v>2.1872464450155685E-2</v>
      </c>
      <c r="AG975">
        <f t="shared" si="346"/>
        <v>0.70279346845136303</v>
      </c>
      <c r="AH975">
        <f t="shared" si="347"/>
        <v>0.12979343427643875</v>
      </c>
      <c r="AI975">
        <f t="shared" si="348"/>
        <v>-0.90104404785412584</v>
      </c>
      <c r="AK975" s="26">
        <f t="shared" si="349"/>
        <v>-1.2558008715433444E-2</v>
      </c>
      <c r="AL975" s="26">
        <f t="shared" si="350"/>
        <v>3.2335932144946233E-3</v>
      </c>
      <c r="AM975" s="26">
        <f t="shared" si="351"/>
        <v>-2.9849471359688656E-2</v>
      </c>
      <c r="AN975" s="26">
        <f t="shared" si="352"/>
        <v>-21.37452380952378</v>
      </c>
      <c r="AO975" s="26">
        <f t="shared" si="353"/>
        <v>-20.169343629343629</v>
      </c>
      <c r="AP975" s="26">
        <f t="shared" si="354"/>
        <v>-22.193559095378575</v>
      </c>
      <c r="AS975" s="2">
        <v>44505</v>
      </c>
      <c r="AT975">
        <v>9.5</v>
      </c>
      <c r="AU975">
        <v>5.5</v>
      </c>
      <c r="AV975">
        <v>63.5</v>
      </c>
      <c r="AW975">
        <v>9.8000000000000007</v>
      </c>
      <c r="AX975">
        <v>42.7</v>
      </c>
      <c r="AY975">
        <v>0.2</v>
      </c>
      <c r="AZ975">
        <v>3.6</v>
      </c>
      <c r="BA975">
        <v>323.71170000000001</v>
      </c>
      <c r="BB975">
        <v>197.23429999999999</v>
      </c>
      <c r="BC975">
        <v>106.9539</v>
      </c>
      <c r="BD975">
        <v>3.4089999999999998</v>
      </c>
      <c r="BE975">
        <v>31.6007</v>
      </c>
      <c r="BF975">
        <v>-18.583600000000001</v>
      </c>
      <c r="BG975">
        <v>55.235500000000002</v>
      </c>
      <c r="BH975">
        <v>76.010000000000005</v>
      </c>
    </row>
    <row r="976" spans="1:60" x14ac:dyDescent="0.25">
      <c r="A976" s="2">
        <v>44525</v>
      </c>
      <c r="B976">
        <v>9.1</v>
      </c>
      <c r="C976">
        <v>3</v>
      </c>
      <c r="D976">
        <v>72.400000000000006</v>
      </c>
      <c r="E976">
        <v>8.1</v>
      </c>
      <c r="F976">
        <v>17.55</v>
      </c>
      <c r="G976">
        <v>0.2</v>
      </c>
      <c r="H976">
        <v>3.4</v>
      </c>
      <c r="I976">
        <v>295.74299999999999</v>
      </c>
      <c r="J976">
        <v>248.98050000000001</v>
      </c>
      <c r="K976">
        <v>199.31280000000001</v>
      </c>
      <c r="L976">
        <v>6.4314</v>
      </c>
      <c r="M976">
        <v>35.104399999999998</v>
      </c>
      <c r="N976">
        <v>-30.5547</v>
      </c>
      <c r="O976">
        <v>67.947800000000001</v>
      </c>
      <c r="P976">
        <v>70.28</v>
      </c>
      <c r="S976">
        <f t="shared" si="333"/>
        <v>899.32210000000009</v>
      </c>
      <c r="T976">
        <f t="shared" si="334"/>
        <v>8.5309314230296689E-3</v>
      </c>
      <c r="U976">
        <f t="shared" si="335"/>
        <v>2.8123949746251659E-3</v>
      </c>
      <c r="V976">
        <f t="shared" si="336"/>
        <v>6.7872465387620678E-2</v>
      </c>
      <c r="W976">
        <f t="shared" si="337"/>
        <v>7.593466431487947E-3</v>
      </c>
      <c r="X976">
        <f t="shared" si="338"/>
        <v>1.6452510601557221E-2</v>
      </c>
      <c r="Y976">
        <f t="shared" si="339"/>
        <v>1.874929983083444E-4</v>
      </c>
      <c r="Z976">
        <f t="shared" si="340"/>
        <v>3.1873809712418544E-3</v>
      </c>
      <c r="AA976">
        <f t="shared" si="341"/>
        <v>0.27724870899352344</v>
      </c>
      <c r="AB976">
        <f t="shared" si="342"/>
        <v>0.23341050232655369</v>
      </c>
      <c r="AC976">
        <f t="shared" si="343"/>
        <v>0.18684877236615691</v>
      </c>
      <c r="AD976">
        <f t="shared" si="344"/>
        <v>6.0292123466014307E-3</v>
      </c>
      <c r="AE976">
        <f t="shared" si="345"/>
        <v>3.2909146049077222E-2</v>
      </c>
      <c r="AG976">
        <f t="shared" si="346"/>
        <v>0.72448860593699671</v>
      </c>
      <c r="AH976">
        <f t="shared" si="347"/>
        <v>0.13954578883694813</v>
      </c>
      <c r="AI976">
        <f t="shared" si="348"/>
        <v>-0.82154487373459695</v>
      </c>
      <c r="AK976" s="26">
        <f t="shared" si="349"/>
        <v>-1.5866898541936097E-2</v>
      </c>
      <c r="AL976" s="26">
        <f t="shared" si="350"/>
        <v>5.6388753004222025E-3</v>
      </c>
      <c r="AM976" s="26">
        <f t="shared" si="351"/>
        <v>-3.1356801228156067E-2</v>
      </c>
      <c r="AN976" s="26">
        <f t="shared" si="352"/>
        <v>-21.243809523809489</v>
      </c>
      <c r="AO976" s="26">
        <f t="shared" si="353"/>
        <v>-20.134588159588176</v>
      </c>
      <c r="AP976" s="26">
        <f t="shared" si="354"/>
        <v>-22.227122517207491</v>
      </c>
      <c r="AS976" s="2">
        <v>44504</v>
      </c>
      <c r="AT976">
        <v>9.6999999999999993</v>
      </c>
      <c r="AU976">
        <v>0.2</v>
      </c>
      <c r="AV976">
        <v>21.3</v>
      </c>
      <c r="AW976">
        <v>8.9</v>
      </c>
      <c r="AX976">
        <v>22.31</v>
      </c>
      <c r="AY976">
        <v>0.2</v>
      </c>
      <c r="AZ976">
        <v>3.3</v>
      </c>
      <c r="BA976">
        <v>311.32659999999998</v>
      </c>
      <c r="BB976">
        <v>238.3981</v>
      </c>
      <c r="BC976">
        <v>137.44579999999999</v>
      </c>
      <c r="BD976">
        <v>3.4384000000000001</v>
      </c>
      <c r="BE976">
        <v>21.7837</v>
      </c>
      <c r="BF976">
        <v>-19.6371</v>
      </c>
      <c r="BG976">
        <v>54.104399999999998</v>
      </c>
      <c r="BH976">
        <v>76.25</v>
      </c>
    </row>
    <row r="977" spans="1:60" x14ac:dyDescent="0.25">
      <c r="A977" s="2">
        <v>44524</v>
      </c>
      <c r="B977">
        <v>9</v>
      </c>
      <c r="C977">
        <v>4.8</v>
      </c>
      <c r="D977">
        <v>53.8</v>
      </c>
      <c r="E977">
        <v>6</v>
      </c>
      <c r="F977">
        <v>33.44</v>
      </c>
      <c r="G977">
        <v>0.1</v>
      </c>
      <c r="H977">
        <v>3.2</v>
      </c>
      <c r="I977">
        <v>233.01580000000001</v>
      </c>
      <c r="J977">
        <v>286.14260000000002</v>
      </c>
      <c r="K977">
        <v>207.1131</v>
      </c>
      <c r="L977">
        <v>5.83</v>
      </c>
      <c r="M977">
        <v>33.159100000000002</v>
      </c>
      <c r="N977">
        <v>-36.0411</v>
      </c>
      <c r="O977">
        <v>61.080199999999998</v>
      </c>
      <c r="P977">
        <v>70.8</v>
      </c>
      <c r="S977">
        <f t="shared" si="333"/>
        <v>875.60059999999999</v>
      </c>
      <c r="T977">
        <f t="shared" si="334"/>
        <v>8.4371849238754973E-3</v>
      </c>
      <c r="U977">
        <f t="shared" si="335"/>
        <v>4.4998319594002651E-3</v>
      </c>
      <c r="V977">
        <f t="shared" si="336"/>
        <v>5.0435616544944634E-2</v>
      </c>
      <c r="W977">
        <f t="shared" si="337"/>
        <v>5.6247899492503318E-3</v>
      </c>
      <c r="X977">
        <f t="shared" si="338"/>
        <v>3.1348829317155179E-2</v>
      </c>
      <c r="Y977">
        <f t="shared" si="339"/>
        <v>9.3746499154172199E-5</v>
      </c>
      <c r="Z977">
        <f t="shared" si="340"/>
        <v>2.9998879729335104E-3</v>
      </c>
      <c r="AA977">
        <f t="shared" si="341"/>
        <v>0.21844415497608757</v>
      </c>
      <c r="AB977">
        <f t="shared" si="342"/>
        <v>0.26824867008872633</v>
      </c>
      <c r="AC977">
        <f t="shared" si="343"/>
        <v>0.19416128053967982</v>
      </c>
      <c r="AD977">
        <f t="shared" si="344"/>
        <v>5.4654209006882387E-3</v>
      </c>
      <c r="AE977">
        <f t="shared" si="345"/>
        <v>3.1085495401031112E-2</v>
      </c>
      <c r="AG977">
        <f t="shared" si="346"/>
        <v>0.74664227802470584</v>
      </c>
      <c r="AH977">
        <f t="shared" si="347"/>
        <v>0.13452538256774468</v>
      </c>
      <c r="AI977">
        <f t="shared" si="348"/>
        <v>-0.86365930237958477</v>
      </c>
      <c r="AK977" s="26">
        <f t="shared" si="349"/>
        <v>-1.9139320980267827E-2</v>
      </c>
      <c r="AL977" s="26">
        <f t="shared" si="350"/>
        <v>6.2851281486982769E-3</v>
      </c>
      <c r="AM977" s="26">
        <f t="shared" si="351"/>
        <v>-3.1708690037898307E-2</v>
      </c>
      <c r="AN977" s="26">
        <f t="shared" si="352"/>
        <v>-21.118333333333325</v>
      </c>
      <c r="AO977" s="26">
        <f t="shared" si="353"/>
        <v>-20.107733268983282</v>
      </c>
      <c r="AP977" s="26">
        <f t="shared" si="354"/>
        <v>-22.263453687315646</v>
      </c>
      <c r="AS977" s="2">
        <v>44503</v>
      </c>
      <c r="AT977">
        <v>8.9</v>
      </c>
      <c r="AU977">
        <v>3.3</v>
      </c>
      <c r="AV977">
        <v>5.3</v>
      </c>
      <c r="AW977">
        <v>2.1</v>
      </c>
      <c r="AX977">
        <v>49.85</v>
      </c>
      <c r="AY977">
        <v>0.2</v>
      </c>
      <c r="AZ977">
        <v>3.2</v>
      </c>
      <c r="BA977">
        <v>294.93279999999999</v>
      </c>
      <c r="BB977">
        <v>266.09379999999999</v>
      </c>
      <c r="BC977">
        <v>189.18719999999999</v>
      </c>
      <c r="BD977">
        <v>3.4847000000000001</v>
      </c>
      <c r="BE977">
        <v>36.191099999999999</v>
      </c>
      <c r="BF977">
        <v>-16.225300000000001</v>
      </c>
      <c r="BG977">
        <v>61.6569</v>
      </c>
      <c r="BH977">
        <v>76.510000000000005</v>
      </c>
    </row>
    <row r="978" spans="1:60" x14ac:dyDescent="0.25">
      <c r="A978" s="2">
        <v>44523</v>
      </c>
      <c r="B978">
        <v>8.6999999999999993</v>
      </c>
      <c r="C978">
        <v>3.5</v>
      </c>
      <c r="D978">
        <v>54.4</v>
      </c>
      <c r="E978">
        <v>5.9</v>
      </c>
      <c r="F978">
        <v>59.71</v>
      </c>
      <c r="G978">
        <v>0.1</v>
      </c>
      <c r="H978">
        <v>3.2</v>
      </c>
      <c r="I978">
        <v>250.72380000000001</v>
      </c>
      <c r="J978">
        <v>252.9864</v>
      </c>
      <c r="K978">
        <v>170.858</v>
      </c>
      <c r="L978">
        <v>3.6091000000000002</v>
      </c>
      <c r="M978">
        <v>32.175600000000003</v>
      </c>
      <c r="N978">
        <v>-34.8095</v>
      </c>
      <c r="O978">
        <v>60.941800000000001</v>
      </c>
      <c r="P978">
        <v>71.400000000000006</v>
      </c>
      <c r="S978">
        <f t="shared" si="333"/>
        <v>845.86289999999997</v>
      </c>
      <c r="T978">
        <f t="shared" si="334"/>
        <v>8.1559454264129791E-3</v>
      </c>
      <c r="U978">
        <f t="shared" si="335"/>
        <v>3.2811274703960268E-3</v>
      </c>
      <c r="V978">
        <f t="shared" si="336"/>
        <v>5.099809553986967E-2</v>
      </c>
      <c r="W978">
        <f t="shared" si="337"/>
        <v>5.5310434500961594E-3</v>
      </c>
      <c r="X978">
        <f t="shared" si="338"/>
        <v>5.5976034644956214E-2</v>
      </c>
      <c r="Y978">
        <f t="shared" si="339"/>
        <v>9.3746499154172199E-5</v>
      </c>
      <c r="Z978">
        <f t="shared" si="340"/>
        <v>2.9998879729335104E-3</v>
      </c>
      <c r="AA978">
        <f t="shared" si="341"/>
        <v>0.23504478504630838</v>
      </c>
      <c r="AB978">
        <f t="shared" si="342"/>
        <v>0.23716589333617069</v>
      </c>
      <c r="AC978">
        <f t="shared" si="343"/>
        <v>0.16017339352483553</v>
      </c>
      <c r="AD978">
        <f t="shared" si="344"/>
        <v>3.3834049009732288E-3</v>
      </c>
      <c r="AE978">
        <f t="shared" si="345"/>
        <v>3.0163498581849829E-2</v>
      </c>
      <c r="AG978">
        <f t="shared" si="346"/>
        <v>0.7726654974768683</v>
      </c>
      <c r="AH978">
        <f t="shared" si="347"/>
        <v>0.15719937958566857</v>
      </c>
      <c r="AI978">
        <f t="shared" si="348"/>
        <v>-0.67999666566078365</v>
      </c>
      <c r="AK978" s="26">
        <f t="shared" si="349"/>
        <v>-1.997725174236234E-2</v>
      </c>
      <c r="AL978" s="26">
        <f t="shared" si="350"/>
        <v>6.5553101741945285E-3</v>
      </c>
      <c r="AM978" s="26">
        <f t="shared" si="351"/>
        <v>-3.0691362763227037E-2</v>
      </c>
      <c r="AN978" s="26">
        <f t="shared" si="352"/>
        <v>-20.993809523809517</v>
      </c>
      <c r="AO978" s="26">
        <f t="shared" si="353"/>
        <v>-20.086891891891923</v>
      </c>
      <c r="AP978" s="26">
        <f t="shared" si="354"/>
        <v>-22.302419665683416</v>
      </c>
      <c r="AS978" s="2">
        <v>44502</v>
      </c>
      <c r="AT978">
        <v>8.4</v>
      </c>
      <c r="AU978">
        <v>0.5</v>
      </c>
      <c r="AV978">
        <v>22.4</v>
      </c>
      <c r="AW978">
        <v>3.4</v>
      </c>
      <c r="AX978">
        <v>64.89</v>
      </c>
      <c r="AY978">
        <v>0.2</v>
      </c>
      <c r="AZ978">
        <v>3.6</v>
      </c>
      <c r="BA978">
        <v>282.94439999999997</v>
      </c>
      <c r="BB978">
        <v>234.68260000000001</v>
      </c>
      <c r="BC978">
        <v>146.4528</v>
      </c>
      <c r="BD978">
        <v>3.4803000000000002</v>
      </c>
      <c r="BE978">
        <v>36.836100000000002</v>
      </c>
      <c r="BF978">
        <v>-12.245200000000001</v>
      </c>
      <c r="BG978">
        <v>51.415100000000002</v>
      </c>
      <c r="BH978">
        <v>76.819999999999993</v>
      </c>
    </row>
    <row r="979" spans="1:60" x14ac:dyDescent="0.25">
      <c r="A979" s="2">
        <v>44522</v>
      </c>
      <c r="B979">
        <v>7.9</v>
      </c>
      <c r="C979">
        <v>1</v>
      </c>
      <c r="D979">
        <v>39</v>
      </c>
      <c r="E979">
        <v>4.9000000000000004</v>
      </c>
      <c r="F979">
        <v>44.29</v>
      </c>
      <c r="G979">
        <v>0.2</v>
      </c>
      <c r="H979">
        <v>3.3</v>
      </c>
      <c r="I979">
        <v>260.15109999999999</v>
      </c>
      <c r="J979">
        <v>263.13099999999997</v>
      </c>
      <c r="K979">
        <v>153.321</v>
      </c>
      <c r="L979">
        <v>3.6031</v>
      </c>
      <c r="M979">
        <v>25.8645</v>
      </c>
      <c r="N979">
        <v>-29.519500000000001</v>
      </c>
      <c r="O979">
        <v>56.538800000000002</v>
      </c>
      <c r="P979">
        <v>71.849999999999994</v>
      </c>
      <c r="S979">
        <f t="shared" si="333"/>
        <v>806.66070000000002</v>
      </c>
      <c r="T979">
        <f t="shared" si="334"/>
        <v>7.405973433179603E-3</v>
      </c>
      <c r="U979">
        <f t="shared" si="335"/>
        <v>9.3746499154172193E-4</v>
      </c>
      <c r="V979">
        <f t="shared" si="336"/>
        <v>3.6561134670127157E-2</v>
      </c>
      <c r="W979">
        <f t="shared" si="337"/>
        <v>4.5935784585544375E-3</v>
      </c>
      <c r="X979">
        <f t="shared" si="338"/>
        <v>4.1520324475382862E-2</v>
      </c>
      <c r="Y979">
        <f t="shared" si="339"/>
        <v>1.874929983083444E-4</v>
      </c>
      <c r="Z979">
        <f t="shared" si="340"/>
        <v>3.0936344720876819E-3</v>
      </c>
      <c r="AA979">
        <f t="shared" si="341"/>
        <v>0.24388254876106963</v>
      </c>
      <c r="AB979">
        <f t="shared" si="342"/>
        <v>0.2466761006893648</v>
      </c>
      <c r="AC979">
        <f t="shared" si="343"/>
        <v>0.14373306996816834</v>
      </c>
      <c r="AD979">
        <f t="shared" si="344"/>
        <v>3.3777801110239781E-3</v>
      </c>
      <c r="AE979">
        <f t="shared" si="345"/>
        <v>2.4247063273730867E-2</v>
      </c>
      <c r="AG979">
        <f t="shared" si="346"/>
        <v>0.79139697231122264</v>
      </c>
      <c r="AH979">
        <f t="shared" si="347"/>
        <v>0.11854666677291269</v>
      </c>
      <c r="AI979">
        <f t="shared" si="348"/>
        <v>-0.99700636675168797</v>
      </c>
      <c r="AK979" s="26">
        <f t="shared" si="349"/>
        <v>-2.0586599522745441E-2</v>
      </c>
      <c r="AL979" s="26">
        <f t="shared" si="350"/>
        <v>6.5108188337374695E-3</v>
      </c>
      <c r="AM979" s="26">
        <f t="shared" si="351"/>
        <v>-3.0894481037173488E-2</v>
      </c>
      <c r="AN979" s="26">
        <f t="shared" si="352"/>
        <v>-20.870714285714271</v>
      </c>
      <c r="AO979" s="26">
        <f t="shared" si="353"/>
        <v>-20.078616473616506</v>
      </c>
      <c r="AP979" s="26">
        <f t="shared" si="354"/>
        <v>-22.345305801376639</v>
      </c>
      <c r="AS979" s="2">
        <v>44501</v>
      </c>
      <c r="AT979">
        <v>6.7</v>
      </c>
      <c r="AU979">
        <v>19</v>
      </c>
      <c r="AV979">
        <v>74.5</v>
      </c>
      <c r="AW979">
        <v>10.199999999999999</v>
      </c>
      <c r="AX979">
        <v>41.09</v>
      </c>
      <c r="AY979">
        <v>0.2</v>
      </c>
      <c r="AZ979">
        <v>3.7</v>
      </c>
      <c r="BA979">
        <v>223.2884</v>
      </c>
      <c r="BB979">
        <v>67.166499999999999</v>
      </c>
      <c r="BC979">
        <v>43.068100000000001</v>
      </c>
      <c r="BD979">
        <v>3.4687999999999999</v>
      </c>
      <c r="BE979">
        <v>24.4133</v>
      </c>
      <c r="BF979">
        <v>-18.2087</v>
      </c>
      <c r="BG979">
        <v>42.423000000000002</v>
      </c>
      <c r="BH979">
        <v>77.08</v>
      </c>
    </row>
    <row r="980" spans="1:60" x14ac:dyDescent="0.25">
      <c r="A980" s="2">
        <v>44521</v>
      </c>
      <c r="B980">
        <v>7.5</v>
      </c>
      <c r="C980">
        <v>0</v>
      </c>
      <c r="D980">
        <v>75.400000000000006</v>
      </c>
      <c r="E980">
        <v>6.8</v>
      </c>
      <c r="F980">
        <v>31.42</v>
      </c>
      <c r="G980">
        <v>0.2</v>
      </c>
      <c r="H980">
        <v>3.4</v>
      </c>
      <c r="I980">
        <v>270.84980000000002</v>
      </c>
      <c r="J980">
        <v>163.3117</v>
      </c>
      <c r="K980">
        <v>72.478899999999996</v>
      </c>
      <c r="L980">
        <v>3.6084000000000001</v>
      </c>
      <c r="M980">
        <v>20.7134</v>
      </c>
      <c r="P980">
        <v>72.239999999999995</v>
      </c>
      <c r="S980">
        <f t="shared" si="333"/>
        <v>655.68219999999997</v>
      </c>
      <c r="T980">
        <f t="shared" si="334"/>
        <v>7.0309874365629141E-3</v>
      </c>
      <c r="U980">
        <f t="shared" si="335"/>
        <v>0</v>
      </c>
      <c r="V980">
        <f t="shared" si="336"/>
        <v>7.0684860362245833E-2</v>
      </c>
      <c r="W980">
        <f t="shared" si="337"/>
        <v>6.3747619424837088E-3</v>
      </c>
      <c r="X980">
        <f t="shared" si="338"/>
        <v>2.9455150034240905E-2</v>
      </c>
      <c r="Y980">
        <f t="shared" si="339"/>
        <v>1.874929983083444E-4</v>
      </c>
      <c r="Z980">
        <f t="shared" si="340"/>
        <v>3.1873809712418544E-3</v>
      </c>
      <c r="AA980">
        <f t="shared" si="341"/>
        <v>0.25391220546607707</v>
      </c>
      <c r="AB980">
        <f t="shared" si="342"/>
        <v>0.15309900145916422</v>
      </c>
      <c r="AC980">
        <f t="shared" si="343"/>
        <v>6.7946431375453309E-2</v>
      </c>
      <c r="AD980">
        <f t="shared" si="344"/>
        <v>3.3827486754791493E-3</v>
      </c>
      <c r="AE980">
        <f t="shared" si="345"/>
        <v>1.9418087355800303E-2</v>
      </c>
      <c r="AG980">
        <f t="shared" si="346"/>
        <v>0.80720594746549645</v>
      </c>
      <c r="AH980">
        <f t="shared" si="347"/>
        <v>0.13633872110088385</v>
      </c>
      <c r="AI980">
        <f t="shared" si="348"/>
        <v>-0.85249055773145888</v>
      </c>
      <c r="AK980" s="26">
        <f t="shared" si="349"/>
        <v>-2.1656242613975557E-2</v>
      </c>
      <c r="AL980" s="26">
        <f t="shared" si="350"/>
        <v>7.3330838107980856E-3</v>
      </c>
      <c r="AM980" s="26">
        <f t="shared" si="351"/>
        <v>-3.3595326184124669E-2</v>
      </c>
      <c r="AN980" s="26">
        <f t="shared" si="352"/>
        <v>-20.738809523809522</v>
      </c>
      <c r="AO980" s="26">
        <f t="shared" si="353"/>
        <v>-20.076722972972988</v>
      </c>
      <c r="AP980" s="26">
        <f t="shared" si="354"/>
        <v>-22.390471189773891</v>
      </c>
      <c r="AS980" s="2">
        <v>44500</v>
      </c>
      <c r="AT980">
        <v>6.3</v>
      </c>
      <c r="AU980">
        <v>0</v>
      </c>
      <c r="AV980">
        <v>57.4</v>
      </c>
      <c r="AW980">
        <v>10</v>
      </c>
      <c r="AX980">
        <v>106.71</v>
      </c>
      <c r="AY980">
        <v>0.2</v>
      </c>
      <c r="AZ980">
        <v>4</v>
      </c>
      <c r="BA980">
        <v>205.82140000000001</v>
      </c>
      <c r="BB980">
        <v>26.877099999999999</v>
      </c>
      <c r="BC980">
        <v>26.132300000000001</v>
      </c>
      <c r="BD980">
        <v>3.2949000000000002</v>
      </c>
      <c r="BE980">
        <v>10.4618</v>
      </c>
      <c r="BH980">
        <v>77.06</v>
      </c>
    </row>
    <row r="981" spans="1:60" x14ac:dyDescent="0.25">
      <c r="A981" s="2">
        <v>44520</v>
      </c>
      <c r="B981">
        <v>8.1999999999999993</v>
      </c>
      <c r="C981">
        <v>0</v>
      </c>
      <c r="D981">
        <v>80.099999999999994</v>
      </c>
      <c r="E981">
        <v>14</v>
      </c>
      <c r="F981">
        <v>20.420000000000002</v>
      </c>
      <c r="G981">
        <v>0.2</v>
      </c>
      <c r="H981">
        <v>3.5</v>
      </c>
      <c r="I981">
        <v>281.55489999999998</v>
      </c>
      <c r="J981">
        <v>120.00839999999999</v>
      </c>
      <c r="K981">
        <v>57.537700000000001</v>
      </c>
      <c r="L981">
        <v>3.5413000000000001</v>
      </c>
      <c r="M981">
        <v>21.452999999999999</v>
      </c>
      <c r="P981">
        <v>72.42</v>
      </c>
      <c r="S981">
        <f t="shared" si="333"/>
        <v>610.51529999999991</v>
      </c>
      <c r="T981">
        <f t="shared" si="334"/>
        <v>7.6872129306421186E-3</v>
      </c>
      <c r="U981">
        <f t="shared" si="335"/>
        <v>0</v>
      </c>
      <c r="V981">
        <f t="shared" si="336"/>
        <v>7.5090945822491914E-2</v>
      </c>
      <c r="W981">
        <f t="shared" si="337"/>
        <v>1.3124509881584107E-2</v>
      </c>
      <c r="X981">
        <f t="shared" si="338"/>
        <v>1.9143035127281962E-2</v>
      </c>
      <c r="Y981">
        <f t="shared" si="339"/>
        <v>1.874929983083444E-4</v>
      </c>
      <c r="Z981">
        <f t="shared" si="340"/>
        <v>3.2811274703960268E-3</v>
      </c>
      <c r="AA981">
        <f t="shared" si="341"/>
        <v>0.26394786194703035</v>
      </c>
      <c r="AB981">
        <f t="shared" si="342"/>
        <v>0.11250367369093557</v>
      </c>
      <c r="AC981">
        <f t="shared" si="343"/>
        <v>5.3939579443830134E-2</v>
      </c>
      <c r="AD981">
        <f t="shared" si="344"/>
        <v>3.3198447745467E-3</v>
      </c>
      <c r="AE981">
        <f t="shared" si="345"/>
        <v>2.011143646354456E-2</v>
      </c>
      <c r="AG981">
        <f t="shared" si="346"/>
        <v>0.81282509495519106</v>
      </c>
      <c r="AH981">
        <f t="shared" si="347"/>
        <v>0.13862576069424903</v>
      </c>
      <c r="AI981">
        <f t="shared" si="348"/>
        <v>-0.83381890345501131</v>
      </c>
      <c r="AK981" s="26">
        <f t="shared" si="349"/>
        <v>-2.1099484387558431E-2</v>
      </c>
      <c r="AL981" s="26">
        <f t="shared" si="350"/>
        <v>6.5886768094333414E-3</v>
      </c>
      <c r="AM981" s="26">
        <f t="shared" si="351"/>
        <v>-3.6798294722235919E-2</v>
      </c>
      <c r="AN981" s="26">
        <f t="shared" si="352"/>
        <v>-20.610476190476177</v>
      </c>
      <c r="AO981" s="26">
        <f t="shared" si="353"/>
        <v>-20.07958815958817</v>
      </c>
      <c r="AP981" s="26">
        <f t="shared" si="354"/>
        <v>-22.440448377581149</v>
      </c>
      <c r="AS981" s="2">
        <v>44499</v>
      </c>
      <c r="AT981">
        <v>6.9</v>
      </c>
      <c r="AU981">
        <v>2.2999999999999998</v>
      </c>
      <c r="AV981">
        <v>63.3</v>
      </c>
      <c r="AW981">
        <v>12.5</v>
      </c>
      <c r="AX981">
        <v>71.23</v>
      </c>
      <c r="AY981">
        <v>0.2</v>
      </c>
      <c r="AZ981">
        <v>3.7</v>
      </c>
      <c r="BA981">
        <v>273.93040000000002</v>
      </c>
      <c r="BB981">
        <v>57.078600000000002</v>
      </c>
      <c r="BC981">
        <v>38.521299999999997</v>
      </c>
      <c r="BD981">
        <v>3.4365000000000001</v>
      </c>
      <c r="BE981">
        <v>24.183199999999999</v>
      </c>
      <c r="BH981">
        <v>76.95</v>
      </c>
    </row>
    <row r="982" spans="1:60" x14ac:dyDescent="0.25">
      <c r="A982" s="2">
        <v>44519</v>
      </c>
      <c r="B982">
        <v>8.8000000000000007</v>
      </c>
      <c r="C982">
        <v>0</v>
      </c>
      <c r="D982">
        <v>74.900000000000006</v>
      </c>
      <c r="E982">
        <v>17.5</v>
      </c>
      <c r="F982">
        <v>26.27</v>
      </c>
      <c r="G982">
        <v>0.2</v>
      </c>
      <c r="H982">
        <v>3.3</v>
      </c>
      <c r="I982">
        <v>258.44630000000001</v>
      </c>
      <c r="J982">
        <v>144.61109999999999</v>
      </c>
      <c r="K982">
        <v>82.185900000000004</v>
      </c>
      <c r="L982">
        <v>3.4424000000000001</v>
      </c>
      <c r="M982">
        <v>31.506799999999998</v>
      </c>
      <c r="N982">
        <v>-30.854900000000001</v>
      </c>
      <c r="O982">
        <v>63.181399999999996</v>
      </c>
      <c r="P982">
        <v>72.58</v>
      </c>
      <c r="S982">
        <f t="shared" si="333"/>
        <v>651.16249999999991</v>
      </c>
      <c r="T982">
        <f t="shared" si="334"/>
        <v>8.2496919255671541E-3</v>
      </c>
      <c r="U982">
        <f t="shared" si="335"/>
        <v>0</v>
      </c>
      <c r="V982">
        <f t="shared" si="336"/>
        <v>7.0216127866474978E-2</v>
      </c>
      <c r="W982">
        <f t="shared" si="337"/>
        <v>1.6405637351980133E-2</v>
      </c>
      <c r="X982">
        <f t="shared" si="338"/>
        <v>2.4627205327801036E-2</v>
      </c>
      <c r="Y982">
        <f t="shared" si="339"/>
        <v>1.874929983083444E-4</v>
      </c>
      <c r="Z982">
        <f t="shared" si="340"/>
        <v>3.0936344720876819E-3</v>
      </c>
      <c r="AA982">
        <f t="shared" si="341"/>
        <v>0.24228435844348933</v>
      </c>
      <c r="AB982">
        <f t="shared" si="342"/>
        <v>0.1355678436383391</v>
      </c>
      <c r="AC982">
        <f t="shared" si="343"/>
        <v>7.704640404834881E-2</v>
      </c>
      <c r="AD982">
        <f t="shared" si="344"/>
        <v>3.2271294868832234E-3</v>
      </c>
      <c r="AE982">
        <f t="shared" si="345"/>
        <v>2.9536521995506722E-2</v>
      </c>
      <c r="AG982">
        <f t="shared" si="346"/>
        <v>0.81746324423928951</v>
      </c>
      <c r="AH982">
        <f t="shared" si="347"/>
        <v>0.15231631193772605</v>
      </c>
      <c r="AI982">
        <f t="shared" si="348"/>
        <v>-0.72210803478227181</v>
      </c>
      <c r="AK982" s="26">
        <f t="shared" si="349"/>
        <v>-1.9895366407410686E-2</v>
      </c>
      <c r="AL982" s="26">
        <f t="shared" si="350"/>
        <v>6.6775230330879398E-3</v>
      </c>
      <c r="AM982" s="26">
        <f t="shared" si="351"/>
        <v>-3.9584714800341925E-2</v>
      </c>
      <c r="AN982" s="26">
        <f t="shared" si="352"/>
        <v>-20.487619047619049</v>
      </c>
      <c r="AO982" s="26">
        <f t="shared" si="353"/>
        <v>-20.084165057915072</v>
      </c>
      <c r="AP982" s="26">
        <f t="shared" si="354"/>
        <v>-22.491025368731599</v>
      </c>
      <c r="AS982" s="2">
        <v>44498</v>
      </c>
      <c r="AT982">
        <v>7.7</v>
      </c>
      <c r="AU982">
        <v>2.7</v>
      </c>
      <c r="AV982">
        <v>69</v>
      </c>
      <c r="AW982">
        <v>12.8</v>
      </c>
      <c r="AX982">
        <v>104.11</v>
      </c>
      <c r="AY982">
        <v>0.2</v>
      </c>
      <c r="AZ982">
        <v>3.1</v>
      </c>
      <c r="BA982">
        <v>299.46570000000003</v>
      </c>
      <c r="BB982">
        <v>128.65360000000001</v>
      </c>
      <c r="BC982">
        <v>51.423000000000002</v>
      </c>
      <c r="BD982">
        <v>3.5249000000000001</v>
      </c>
      <c r="BE982">
        <v>28.925699999999999</v>
      </c>
      <c r="BF982">
        <v>-10.5486</v>
      </c>
      <c r="BG982">
        <v>41.3292</v>
      </c>
      <c r="BH982">
        <v>76.98</v>
      </c>
    </row>
    <row r="983" spans="1:60" x14ac:dyDescent="0.25">
      <c r="A983" s="2">
        <v>44518</v>
      </c>
      <c r="B983">
        <v>9.5</v>
      </c>
      <c r="C983">
        <v>31</v>
      </c>
      <c r="D983">
        <v>71.900000000000006</v>
      </c>
      <c r="E983">
        <v>18.5</v>
      </c>
      <c r="F983">
        <v>36.78</v>
      </c>
      <c r="G983">
        <v>0.2</v>
      </c>
      <c r="H983">
        <v>3.3</v>
      </c>
      <c r="I983">
        <v>264.49270000000001</v>
      </c>
      <c r="J983">
        <v>171.6876</v>
      </c>
      <c r="K983">
        <v>77.971100000000007</v>
      </c>
      <c r="L983">
        <v>3.4323000000000001</v>
      </c>
      <c r="M983">
        <v>20.614699999999999</v>
      </c>
      <c r="N983">
        <v>-39.920900000000003</v>
      </c>
      <c r="O983">
        <v>71.207599999999999</v>
      </c>
      <c r="P983">
        <v>72.78</v>
      </c>
      <c r="S983">
        <f t="shared" si="333"/>
        <v>709.37840000000006</v>
      </c>
      <c r="T983">
        <f t="shared" si="334"/>
        <v>8.9059174196463586E-3</v>
      </c>
      <c r="U983">
        <f t="shared" si="335"/>
        <v>2.9061414737793379E-2</v>
      </c>
      <c r="V983">
        <f t="shared" si="336"/>
        <v>6.740373289184981E-2</v>
      </c>
      <c r="W983">
        <f t="shared" si="337"/>
        <v>1.7343102343521856E-2</v>
      </c>
      <c r="X983">
        <f t="shared" si="338"/>
        <v>3.447996238890453E-2</v>
      </c>
      <c r="Y983">
        <f t="shared" si="339"/>
        <v>1.874929983083444E-4</v>
      </c>
      <c r="Z983">
        <f t="shared" si="340"/>
        <v>3.0936344720876819E-3</v>
      </c>
      <c r="AA983">
        <f t="shared" si="341"/>
        <v>0.24795264676834719</v>
      </c>
      <c r="AB983">
        <f t="shared" si="342"/>
        <v>0.16095111448181854</v>
      </c>
      <c r="AC983">
        <f t="shared" si="343"/>
        <v>7.3095176601998754E-2</v>
      </c>
      <c r="AD983">
        <f t="shared" si="344"/>
        <v>3.2176610904686522E-3</v>
      </c>
      <c r="AE983">
        <f t="shared" si="345"/>
        <v>1.9325559561135134E-2</v>
      </c>
      <c r="AG983">
        <f t="shared" si="346"/>
        <v>0.82401638752938788</v>
      </c>
      <c r="AH983">
        <f t="shared" si="347"/>
        <v>0.17980081681324708</v>
      </c>
      <c r="AI983">
        <f t="shared" si="348"/>
        <v>-0.4958074623536104</v>
      </c>
      <c r="AK983" s="26">
        <f t="shared" si="349"/>
        <v>-1.3600715312573258E-2</v>
      </c>
      <c r="AL983" s="26">
        <f t="shared" si="350"/>
        <v>8.39664745060692E-3</v>
      </c>
      <c r="AM983" s="26">
        <f t="shared" si="351"/>
        <v>-3.9594005566959189E-2</v>
      </c>
      <c r="AN983" s="26">
        <f t="shared" si="352"/>
        <v>-20.359761904761896</v>
      </c>
      <c r="AO983" s="26">
        <f t="shared" si="353"/>
        <v>-20.094834298584303</v>
      </c>
      <c r="AP983" s="26">
        <f t="shared" si="354"/>
        <v>-22.540960078662764</v>
      </c>
      <c r="AS983" s="2">
        <v>44497</v>
      </c>
      <c r="AT983">
        <v>8.6</v>
      </c>
      <c r="AU983">
        <v>21.7</v>
      </c>
      <c r="AV983">
        <v>73.8</v>
      </c>
      <c r="AW983">
        <v>9.1</v>
      </c>
      <c r="AX983">
        <v>112.42</v>
      </c>
      <c r="AY983">
        <v>0.2</v>
      </c>
      <c r="AZ983">
        <v>3.2</v>
      </c>
      <c r="BA983">
        <v>339.43369999999999</v>
      </c>
      <c r="BB983">
        <v>179.9949</v>
      </c>
      <c r="BC983">
        <v>68.929599999999994</v>
      </c>
      <c r="BD983">
        <v>3.5600999999999998</v>
      </c>
      <c r="BE983">
        <v>27.122499999999999</v>
      </c>
      <c r="BF983">
        <v>-24.678999999999998</v>
      </c>
      <c r="BG983">
        <v>43.416899999999998</v>
      </c>
      <c r="BH983">
        <v>76.989999999999995</v>
      </c>
    </row>
    <row r="984" spans="1:60" x14ac:dyDescent="0.25">
      <c r="A984" s="2">
        <v>44517</v>
      </c>
      <c r="B984">
        <v>10.1</v>
      </c>
      <c r="C984">
        <v>0.2</v>
      </c>
      <c r="D984">
        <v>72.3</v>
      </c>
      <c r="E984">
        <v>8.3000000000000007</v>
      </c>
      <c r="F984">
        <v>15.75</v>
      </c>
      <c r="G984">
        <v>0.1</v>
      </c>
      <c r="H984">
        <v>3.3</v>
      </c>
      <c r="I984">
        <v>292.02260000000001</v>
      </c>
      <c r="J984">
        <v>246.8493</v>
      </c>
      <c r="K984">
        <v>135.42769999999999</v>
      </c>
      <c r="L984">
        <v>4.6981999999999999</v>
      </c>
      <c r="M984">
        <v>27.636700000000001</v>
      </c>
      <c r="N984">
        <v>-24.538</v>
      </c>
      <c r="O984">
        <v>87.797700000000006</v>
      </c>
      <c r="P984">
        <v>73.06</v>
      </c>
      <c r="S984">
        <f t="shared" si="333"/>
        <v>816.68449999999996</v>
      </c>
      <c r="T984">
        <f t="shared" si="334"/>
        <v>9.4683964145713916E-3</v>
      </c>
      <c r="U984">
        <f t="shared" si="335"/>
        <v>1.874929983083444E-4</v>
      </c>
      <c r="V984">
        <f t="shared" si="336"/>
        <v>6.7778718888466497E-2</v>
      </c>
      <c r="W984">
        <f t="shared" si="337"/>
        <v>7.7809594297962928E-3</v>
      </c>
      <c r="X984">
        <f t="shared" si="338"/>
        <v>1.476507361678212E-2</v>
      </c>
      <c r="Y984">
        <f t="shared" si="339"/>
        <v>9.3746499154172199E-5</v>
      </c>
      <c r="Z984">
        <f t="shared" si="340"/>
        <v>3.0936344720876819E-3</v>
      </c>
      <c r="AA984">
        <f t="shared" si="341"/>
        <v>0.27376096423899166</v>
      </c>
      <c r="AB984">
        <f t="shared" si="342"/>
        <v>0.23141257693657996</v>
      </c>
      <c r="AC984">
        <f t="shared" si="343"/>
        <v>0.12695872763501484</v>
      </c>
      <c r="AD984">
        <f t="shared" si="344"/>
        <v>4.4043980232613177E-3</v>
      </c>
      <c r="AE984">
        <f t="shared" si="345"/>
        <v>2.5908438731741108E-2</v>
      </c>
      <c r="AG984">
        <f t="shared" si="346"/>
        <v>0.83443816809273907</v>
      </c>
      <c r="AH984">
        <f t="shared" si="347"/>
        <v>0.12907646105090761</v>
      </c>
      <c r="AI984">
        <f t="shared" si="348"/>
        <v>-0.91354050283361266</v>
      </c>
      <c r="AK984" s="26">
        <f t="shared" si="349"/>
        <v>-1.1580065324792665E-2</v>
      </c>
      <c r="AL984" s="26">
        <f t="shared" si="350"/>
        <v>8.3906739013601961E-3</v>
      </c>
      <c r="AM984" s="26">
        <f t="shared" si="351"/>
        <v>-3.9454055140577982E-2</v>
      </c>
      <c r="AN984" s="26">
        <f t="shared" si="352"/>
        <v>-20.234761904761911</v>
      </c>
      <c r="AO984" s="26">
        <f t="shared" si="353"/>
        <v>-20.108045366795409</v>
      </c>
      <c r="AP984" s="26">
        <f t="shared" si="354"/>
        <v>-22.592336283185887</v>
      </c>
      <c r="AS984" s="2">
        <v>44496</v>
      </c>
      <c r="AT984">
        <v>8.6</v>
      </c>
      <c r="AU984">
        <v>30.5</v>
      </c>
      <c r="AV984">
        <v>77.5</v>
      </c>
      <c r="AW984">
        <v>15.6</v>
      </c>
      <c r="AX984">
        <v>73.84</v>
      </c>
      <c r="AY984">
        <v>0.2</v>
      </c>
      <c r="AZ984">
        <v>3.3</v>
      </c>
      <c r="BA984">
        <v>315.92430000000002</v>
      </c>
      <c r="BB984">
        <v>146.77799999999999</v>
      </c>
      <c r="BC984">
        <v>73.070499999999996</v>
      </c>
      <c r="BD984">
        <v>3.5571999999999999</v>
      </c>
      <c r="BE984">
        <v>35.3812</v>
      </c>
      <c r="BF984">
        <v>-23.671199999999999</v>
      </c>
      <c r="BG984">
        <v>60.127600000000001</v>
      </c>
      <c r="BH984">
        <v>77.03</v>
      </c>
    </row>
    <row r="985" spans="1:60" x14ac:dyDescent="0.25">
      <c r="A985" s="2">
        <v>44516</v>
      </c>
      <c r="B985">
        <v>10.3</v>
      </c>
      <c r="C985">
        <v>1.8</v>
      </c>
      <c r="D985">
        <v>5.4</v>
      </c>
      <c r="E985">
        <v>0.7</v>
      </c>
      <c r="F985">
        <v>13.18</v>
      </c>
      <c r="G985">
        <v>0.1</v>
      </c>
      <c r="H985">
        <v>3.4</v>
      </c>
      <c r="I985">
        <v>285.86540000000002</v>
      </c>
      <c r="J985">
        <v>264.44310000000002</v>
      </c>
      <c r="K985">
        <v>194.84710000000001</v>
      </c>
      <c r="L985">
        <v>6.6999000000000004</v>
      </c>
      <c r="M985">
        <v>37.453600000000002</v>
      </c>
      <c r="N985">
        <v>-41.340800000000002</v>
      </c>
      <c r="O985">
        <v>69.602199999999996</v>
      </c>
      <c r="P985">
        <v>73.39</v>
      </c>
      <c r="S985">
        <f t="shared" si="333"/>
        <v>824.18909999999994</v>
      </c>
      <c r="T985">
        <f t="shared" si="334"/>
        <v>9.6558894128797364E-3</v>
      </c>
      <c r="U985">
        <f t="shared" si="335"/>
        <v>1.6874369847750994E-3</v>
      </c>
      <c r="V985">
        <f t="shared" si="336"/>
        <v>5.0623109543252989E-3</v>
      </c>
      <c r="W985">
        <f t="shared" si="337"/>
        <v>6.5622549407920526E-4</v>
      </c>
      <c r="X985">
        <f t="shared" si="338"/>
        <v>1.2355788588519894E-2</v>
      </c>
      <c r="Y985">
        <f t="shared" si="339"/>
        <v>9.3746499154172199E-5</v>
      </c>
      <c r="Z985">
        <f t="shared" si="340"/>
        <v>3.1873809712418544E-3</v>
      </c>
      <c r="AA985">
        <f t="shared" si="341"/>
        <v>0.26798880479307097</v>
      </c>
      <c r="AB985">
        <f t="shared" si="342"/>
        <v>0.24790614850476675</v>
      </c>
      <c r="AC985">
        <f t="shared" si="343"/>
        <v>0.18266233495342907</v>
      </c>
      <c r="AD985">
        <f t="shared" si="344"/>
        <v>6.2809216968303834E-3</v>
      </c>
      <c r="AE985">
        <f t="shared" si="345"/>
        <v>3.5111438807207039E-2</v>
      </c>
      <c r="AG985">
        <f t="shared" si="346"/>
        <v>0.8472907861218838</v>
      </c>
      <c r="AH985">
        <f t="shared" si="347"/>
        <v>6.7810217712182291E-2</v>
      </c>
      <c r="AI985">
        <f t="shared" si="348"/>
        <v>-1.4173350869528829</v>
      </c>
      <c r="AK985" s="26">
        <f t="shared" si="349"/>
        <v>-6.9283126993940347E-3</v>
      </c>
      <c r="AL985" s="26">
        <f t="shared" si="350"/>
        <v>7.3108612152387731E-3</v>
      </c>
      <c r="AM985" s="26">
        <f t="shared" si="351"/>
        <v>-3.9389579465745533E-2</v>
      </c>
      <c r="AN985" s="26">
        <f t="shared" si="352"/>
        <v>-20.114523809523803</v>
      </c>
      <c r="AO985" s="26">
        <f t="shared" si="353"/>
        <v>-20.124601029601067</v>
      </c>
      <c r="AP985" s="26">
        <f t="shared" si="354"/>
        <v>-22.646799213372717</v>
      </c>
      <c r="AS985" s="2">
        <v>44495</v>
      </c>
      <c r="AT985">
        <v>8.3000000000000007</v>
      </c>
      <c r="AU985">
        <v>2.2999999999999998</v>
      </c>
      <c r="AV985">
        <v>60.7</v>
      </c>
      <c r="AW985">
        <v>9.5</v>
      </c>
      <c r="AX985">
        <v>70.05</v>
      </c>
      <c r="AY985">
        <v>0.2</v>
      </c>
      <c r="AZ985">
        <v>3.3</v>
      </c>
      <c r="BA985">
        <v>327.30279999999999</v>
      </c>
      <c r="BB985">
        <v>167.93029999999999</v>
      </c>
      <c r="BC985">
        <v>92.152299999999997</v>
      </c>
      <c r="BD985">
        <v>3.7829999999999999</v>
      </c>
      <c r="BE985">
        <v>33.951500000000003</v>
      </c>
      <c r="BF985">
        <v>-13.251799999999999</v>
      </c>
      <c r="BG985">
        <v>69.570899999999995</v>
      </c>
      <c r="BH985">
        <v>77.010000000000005</v>
      </c>
    </row>
    <row r="986" spans="1:60" x14ac:dyDescent="0.25">
      <c r="A986" s="2">
        <v>44515</v>
      </c>
      <c r="B986">
        <v>9.3000000000000007</v>
      </c>
      <c r="C986">
        <v>54.4</v>
      </c>
      <c r="D986">
        <v>11.8</v>
      </c>
      <c r="E986">
        <v>3.4</v>
      </c>
      <c r="F986">
        <v>16.079999999999998</v>
      </c>
      <c r="G986">
        <v>0.2</v>
      </c>
      <c r="H986">
        <v>3.4</v>
      </c>
      <c r="I986">
        <v>286.42989999999998</v>
      </c>
      <c r="J986">
        <v>248.86179999999999</v>
      </c>
      <c r="K986">
        <v>188.899</v>
      </c>
      <c r="L986">
        <v>5.8621999999999996</v>
      </c>
      <c r="M986">
        <v>36.783200000000001</v>
      </c>
      <c r="N986">
        <v>-29.137899999999998</v>
      </c>
      <c r="O986">
        <v>56.946800000000003</v>
      </c>
      <c r="P986">
        <v>73.77</v>
      </c>
      <c r="S986">
        <f t="shared" si="333"/>
        <v>865.41610000000003</v>
      </c>
      <c r="T986">
        <f t="shared" si="334"/>
        <v>8.7184244213380137E-3</v>
      </c>
      <c r="U986">
        <f t="shared" si="335"/>
        <v>5.099809553986967E-2</v>
      </c>
      <c r="V986">
        <f t="shared" si="336"/>
        <v>1.1062086900192319E-2</v>
      </c>
      <c r="W986">
        <f t="shared" si="337"/>
        <v>3.1873809712418544E-3</v>
      </c>
      <c r="X986">
        <f t="shared" si="338"/>
        <v>1.5074437063990887E-2</v>
      </c>
      <c r="Y986">
        <f t="shared" si="339"/>
        <v>1.874929983083444E-4</v>
      </c>
      <c r="Z986">
        <f t="shared" si="340"/>
        <v>3.1873809712418544E-3</v>
      </c>
      <c r="AA986">
        <f t="shared" si="341"/>
        <v>0.26851800378079621</v>
      </c>
      <c r="AB986">
        <f t="shared" si="342"/>
        <v>0.23329922523205768</v>
      </c>
      <c r="AC986">
        <f t="shared" si="343"/>
        <v>0.17708619943723972</v>
      </c>
      <c r="AD986">
        <f t="shared" si="344"/>
        <v>5.4956072734158815E-3</v>
      </c>
      <c r="AE986">
        <f t="shared" si="345"/>
        <v>3.4482962276877464E-2</v>
      </c>
      <c r="AG986">
        <f t="shared" si="346"/>
        <v>0.86257183862409781</v>
      </c>
      <c r="AH986">
        <f t="shared" si="347"/>
        <v>0.12689826114306041</v>
      </c>
      <c r="AI986">
        <f t="shared" si="348"/>
        <v>-0.9375576321288337</v>
      </c>
      <c r="AK986" s="26">
        <f t="shared" si="349"/>
        <v>-4.6249679113545827E-3</v>
      </c>
      <c r="AL986" s="26">
        <f t="shared" si="350"/>
        <v>7.8516532636409286E-3</v>
      </c>
      <c r="AM986" s="26">
        <f t="shared" si="351"/>
        <v>-3.7364973678312652E-2</v>
      </c>
      <c r="AN986" s="26">
        <f t="shared" si="352"/>
        <v>-20.001190476190487</v>
      </c>
      <c r="AO986" s="26">
        <f t="shared" si="353"/>
        <v>-20.146122908622928</v>
      </c>
      <c r="AP986" s="26">
        <f t="shared" si="354"/>
        <v>-22.702925073746357</v>
      </c>
      <c r="AS986" s="2">
        <v>44494</v>
      </c>
      <c r="AT986">
        <v>7.2</v>
      </c>
      <c r="AU986">
        <v>18.399999999999999</v>
      </c>
      <c r="AV986">
        <v>58.6</v>
      </c>
      <c r="AW986">
        <v>7</v>
      </c>
      <c r="AX986">
        <v>109.2</v>
      </c>
      <c r="AY986">
        <v>0.2</v>
      </c>
      <c r="AZ986">
        <v>3.4</v>
      </c>
      <c r="BA986">
        <v>323.73520000000002</v>
      </c>
      <c r="BB986">
        <v>155.2054</v>
      </c>
      <c r="BC986">
        <v>100.43470000000001</v>
      </c>
      <c r="BD986">
        <v>3.8673999999999999</v>
      </c>
      <c r="BE986">
        <v>34.633899999999997</v>
      </c>
      <c r="BF986">
        <v>-13.722300000000001</v>
      </c>
      <c r="BG986">
        <v>67.871499999999997</v>
      </c>
      <c r="BH986">
        <v>77.09</v>
      </c>
    </row>
    <row r="987" spans="1:60" x14ac:dyDescent="0.25">
      <c r="A987" s="2">
        <v>44514</v>
      </c>
      <c r="B987">
        <v>8.8000000000000007</v>
      </c>
      <c r="C987">
        <v>0</v>
      </c>
      <c r="D987">
        <v>29.9</v>
      </c>
      <c r="E987">
        <v>2.9</v>
      </c>
      <c r="F987">
        <v>26.31</v>
      </c>
      <c r="G987">
        <v>0.2</v>
      </c>
      <c r="H987">
        <v>3.4</v>
      </c>
      <c r="I987">
        <v>288.10449999999997</v>
      </c>
      <c r="J987">
        <v>210.8049</v>
      </c>
      <c r="K987">
        <v>101.7183</v>
      </c>
      <c r="L987">
        <v>3.4015</v>
      </c>
      <c r="M987">
        <v>13.301600000000001</v>
      </c>
      <c r="P987">
        <v>74.09</v>
      </c>
      <c r="S987">
        <f t="shared" si="333"/>
        <v>688.84080000000006</v>
      </c>
      <c r="T987">
        <f t="shared" si="334"/>
        <v>8.2496919255671541E-3</v>
      </c>
      <c r="U987">
        <f t="shared" si="335"/>
        <v>0</v>
      </c>
      <c r="V987">
        <f t="shared" si="336"/>
        <v>2.8030203247097485E-2</v>
      </c>
      <c r="W987">
        <f t="shared" si="337"/>
        <v>2.7186484754709935E-3</v>
      </c>
      <c r="X987">
        <f t="shared" si="338"/>
        <v>2.4664703927462703E-2</v>
      </c>
      <c r="Y987">
        <f t="shared" si="339"/>
        <v>1.874929983083444E-4</v>
      </c>
      <c r="Z987">
        <f t="shared" si="340"/>
        <v>3.1873809712418544E-3</v>
      </c>
      <c r="AA987">
        <f t="shared" si="341"/>
        <v>0.27008788265563199</v>
      </c>
      <c r="AB987">
        <f t="shared" si="342"/>
        <v>0.19762221379545353</v>
      </c>
      <c r="AC987">
        <f t="shared" si="343"/>
        <v>9.5357345249138331E-2</v>
      </c>
      <c r="AD987">
        <f t="shared" si="344"/>
        <v>3.1887871687291671E-3</v>
      </c>
      <c r="AE987">
        <f t="shared" si="345"/>
        <v>1.2469784331491368E-2</v>
      </c>
      <c r="AG987">
        <f t="shared" si="346"/>
        <v>0.87496620671943393</v>
      </c>
      <c r="AH987">
        <f t="shared" si="347"/>
        <v>7.9507905876639917E-2</v>
      </c>
      <c r="AI987">
        <f t="shared" si="348"/>
        <v>-1.3295594880104744</v>
      </c>
      <c r="AK987" s="26">
        <f t="shared" si="349"/>
        <v>1.3940104424220445E-4</v>
      </c>
      <c r="AL987" s="26">
        <f t="shared" si="350"/>
        <v>6.3495241361645194E-3</v>
      </c>
      <c r="AM987" s="26">
        <f t="shared" si="351"/>
        <v>-3.6388298204134806E-2</v>
      </c>
      <c r="AN987" s="26">
        <f t="shared" si="352"/>
        <v>-19.894285714285729</v>
      </c>
      <c r="AO987" s="26">
        <f t="shared" si="353"/>
        <v>-20.172783140283173</v>
      </c>
      <c r="AP987" s="26">
        <f t="shared" si="354"/>
        <v>-22.763156342182938</v>
      </c>
      <c r="AS987" s="2">
        <v>44493</v>
      </c>
      <c r="AT987">
        <v>7.5</v>
      </c>
      <c r="AU987">
        <v>30.2</v>
      </c>
      <c r="AV987">
        <v>60.2</v>
      </c>
      <c r="AW987">
        <v>7.1</v>
      </c>
      <c r="AX987">
        <v>161.97999999999999</v>
      </c>
      <c r="AY987">
        <v>0.2</v>
      </c>
      <c r="AZ987">
        <v>3.3</v>
      </c>
      <c r="BA987">
        <v>308.25020000000001</v>
      </c>
      <c r="BB987">
        <v>61.590299999999999</v>
      </c>
      <c r="BC987">
        <v>37.440100000000001</v>
      </c>
      <c r="BD987">
        <v>3.7418</v>
      </c>
      <c r="BE987">
        <v>18.1661</v>
      </c>
      <c r="BH987">
        <v>77.209999999999994</v>
      </c>
    </row>
    <row r="988" spans="1:60" x14ac:dyDescent="0.25">
      <c r="A988" s="2">
        <v>44513</v>
      </c>
      <c r="B988">
        <v>8.6</v>
      </c>
      <c r="C988">
        <v>0.7</v>
      </c>
      <c r="D988">
        <v>24.4</v>
      </c>
      <c r="E988">
        <v>4.3</v>
      </c>
      <c r="F988">
        <v>24.99</v>
      </c>
      <c r="G988">
        <v>0.2</v>
      </c>
      <c r="H988">
        <v>3.6</v>
      </c>
      <c r="I988">
        <v>285.85199999999998</v>
      </c>
      <c r="J988">
        <v>213.7364</v>
      </c>
      <c r="K988">
        <v>114.4148</v>
      </c>
      <c r="L988">
        <v>3.3864000000000001</v>
      </c>
      <c r="M988">
        <v>24.992899999999999</v>
      </c>
      <c r="P988">
        <v>74.2</v>
      </c>
      <c r="S988">
        <f t="shared" si="333"/>
        <v>709.1724999999999</v>
      </c>
      <c r="T988">
        <f t="shared" si="334"/>
        <v>8.0621989272588075E-3</v>
      </c>
      <c r="U988">
        <f t="shared" si="335"/>
        <v>6.5622549407920526E-4</v>
      </c>
      <c r="V988">
        <f t="shared" si="336"/>
        <v>2.2874145793618014E-2</v>
      </c>
      <c r="W988">
        <f t="shared" si="337"/>
        <v>4.0310994636294038E-3</v>
      </c>
      <c r="X988">
        <f t="shared" si="338"/>
        <v>2.342725013862763E-2</v>
      </c>
      <c r="Y988">
        <f t="shared" si="339"/>
        <v>1.874929983083444E-4</v>
      </c>
      <c r="Z988">
        <f t="shared" si="340"/>
        <v>3.3748739695501988E-3</v>
      </c>
      <c r="AA988">
        <f t="shared" si="341"/>
        <v>0.26797624276218429</v>
      </c>
      <c r="AB988">
        <f t="shared" si="342"/>
        <v>0.2003703924181581</v>
      </c>
      <c r="AC988">
        <f t="shared" si="343"/>
        <v>0.1072598695142478</v>
      </c>
      <c r="AD988">
        <f t="shared" si="344"/>
        <v>3.174631447356887E-3</v>
      </c>
      <c r="AE988">
        <f t="shared" si="345"/>
        <v>2.34299687871031E-2</v>
      </c>
      <c r="AG988">
        <f t="shared" si="346"/>
        <v>0.87724314442100915</v>
      </c>
      <c r="AH988">
        <f t="shared" si="347"/>
        <v>8.6043255572174696E-2</v>
      </c>
      <c r="AI988">
        <f t="shared" si="348"/>
        <v>-1.2800133874792563</v>
      </c>
      <c r="AK988" s="26">
        <f t="shared" si="349"/>
        <v>8.4862567520637422E-3</v>
      </c>
      <c r="AL988" s="26">
        <f t="shared" si="350"/>
        <v>6.4839008747899496E-3</v>
      </c>
      <c r="AM988" s="26">
        <f t="shared" si="351"/>
        <v>-3.4521135755466281E-2</v>
      </c>
      <c r="AN988" s="26">
        <f t="shared" si="352"/>
        <v>-19.79095238095239</v>
      </c>
      <c r="AO988" s="26">
        <f t="shared" si="353"/>
        <v>-20.203236808236838</v>
      </c>
      <c r="AP988" s="26">
        <f t="shared" si="354"/>
        <v>-22.827092232055094</v>
      </c>
      <c r="AS988" s="2">
        <v>44492</v>
      </c>
      <c r="AT988">
        <v>8.1</v>
      </c>
      <c r="AU988">
        <v>40.9</v>
      </c>
      <c r="AV988">
        <v>49.2</v>
      </c>
      <c r="AW988">
        <v>9.6999999999999993</v>
      </c>
      <c r="AX988">
        <v>109.87</v>
      </c>
      <c r="AY988">
        <v>0.2</v>
      </c>
      <c r="AZ988">
        <v>3.4</v>
      </c>
      <c r="BA988">
        <v>298.66379999999998</v>
      </c>
      <c r="BB988">
        <v>97.406400000000005</v>
      </c>
      <c r="BC988">
        <v>66.534400000000005</v>
      </c>
      <c r="BD988">
        <v>3.7685</v>
      </c>
      <c r="BE988">
        <v>29.700099999999999</v>
      </c>
      <c r="BH988">
        <v>77.2</v>
      </c>
    </row>
    <row r="989" spans="1:60" x14ac:dyDescent="0.25">
      <c r="A989" s="2">
        <v>44512</v>
      </c>
      <c r="B989">
        <v>9.1</v>
      </c>
      <c r="C989">
        <v>1.4</v>
      </c>
      <c r="D989">
        <v>55.7</v>
      </c>
      <c r="E989">
        <v>5.6</v>
      </c>
      <c r="F989">
        <v>39.39</v>
      </c>
      <c r="G989">
        <v>0.2</v>
      </c>
      <c r="H989">
        <v>3.6</v>
      </c>
      <c r="I989">
        <v>291.334</v>
      </c>
      <c r="J989">
        <v>253.18989999999999</v>
      </c>
      <c r="K989">
        <v>165.03739999999999</v>
      </c>
      <c r="L989">
        <v>3.4015</v>
      </c>
      <c r="M989">
        <v>23.415500000000002</v>
      </c>
      <c r="N989">
        <v>-23.039400000000001</v>
      </c>
      <c r="O989">
        <v>54.544899999999998</v>
      </c>
      <c r="P989">
        <v>74.37</v>
      </c>
      <c r="S989">
        <f t="shared" si="333"/>
        <v>851.36830000000009</v>
      </c>
      <c r="T989">
        <f t="shared" si="334"/>
        <v>8.5309314230296689E-3</v>
      </c>
      <c r="U989">
        <f t="shared" si="335"/>
        <v>1.3124509881584105E-3</v>
      </c>
      <c r="V989">
        <f t="shared" si="336"/>
        <v>5.2216800028873911E-2</v>
      </c>
      <c r="W989">
        <f t="shared" si="337"/>
        <v>5.249803952633642E-3</v>
      </c>
      <c r="X989">
        <f t="shared" si="338"/>
        <v>3.6926746016828424E-2</v>
      </c>
      <c r="Y989">
        <f t="shared" si="339"/>
        <v>1.874929983083444E-4</v>
      </c>
      <c r="Z989">
        <f t="shared" si="340"/>
        <v>3.3748739695501988E-3</v>
      </c>
      <c r="AA989">
        <f t="shared" si="341"/>
        <v>0.273115425845816</v>
      </c>
      <c r="AB989">
        <f t="shared" si="342"/>
        <v>0.23735666746194942</v>
      </c>
      <c r="AC989">
        <f t="shared" si="343"/>
        <v>0.15471678479506776</v>
      </c>
      <c r="AD989">
        <f t="shared" si="344"/>
        <v>3.1887871687291671E-3</v>
      </c>
      <c r="AE989">
        <f t="shared" si="345"/>
        <v>2.1951211509445189E-2</v>
      </c>
      <c r="AG989">
        <f t="shared" si="346"/>
        <v>0.88242829478245755</v>
      </c>
      <c r="AH989">
        <f t="shared" si="347"/>
        <v>0.12975031088682779</v>
      </c>
      <c r="AI989">
        <f t="shared" si="348"/>
        <v>-0.92239303913334747</v>
      </c>
      <c r="AK989" s="26">
        <f t="shared" si="349"/>
        <v>1.4780800708044994E-2</v>
      </c>
      <c r="AL989" s="26">
        <f t="shared" si="350"/>
        <v>5.0416017705168237E-3</v>
      </c>
      <c r="AM989" s="26">
        <f t="shared" si="351"/>
        <v>-3.2114861226875124E-2</v>
      </c>
      <c r="AN989" s="26">
        <f t="shared" si="352"/>
        <v>-19.684047619047632</v>
      </c>
      <c r="AO989" s="26">
        <f t="shared" si="353"/>
        <v>-20.235426319176341</v>
      </c>
      <c r="AP989" s="26">
        <f t="shared" si="354"/>
        <v>-22.892562831858456</v>
      </c>
      <c r="AS989" s="2">
        <v>44491</v>
      </c>
      <c r="AT989">
        <v>8.5</v>
      </c>
      <c r="AU989">
        <v>18.3</v>
      </c>
      <c r="AV989">
        <v>61.8</v>
      </c>
      <c r="AW989">
        <v>23.4</v>
      </c>
      <c r="AX989">
        <v>100.59</v>
      </c>
      <c r="AY989">
        <v>0.2</v>
      </c>
      <c r="AZ989">
        <v>3.2</v>
      </c>
      <c r="BA989">
        <v>211.1491</v>
      </c>
      <c r="BB989">
        <v>54.934399999999997</v>
      </c>
      <c r="BC989">
        <v>48.290500000000002</v>
      </c>
      <c r="BD989">
        <v>4.0589000000000004</v>
      </c>
      <c r="BE989">
        <v>23.0806</v>
      </c>
      <c r="BF989">
        <v>-13.6534</v>
      </c>
      <c r="BG989">
        <v>72.457999999999998</v>
      </c>
      <c r="BH989">
        <v>77.22</v>
      </c>
    </row>
    <row r="990" spans="1:60" x14ac:dyDescent="0.25">
      <c r="A990" s="2">
        <v>44511</v>
      </c>
      <c r="B990">
        <v>9.1</v>
      </c>
      <c r="C990">
        <v>0.5</v>
      </c>
      <c r="D990">
        <v>17.8</v>
      </c>
      <c r="E990">
        <v>2.2000000000000002</v>
      </c>
      <c r="F990">
        <v>69.11</v>
      </c>
      <c r="G990">
        <v>0.2</v>
      </c>
      <c r="H990">
        <v>3.6</v>
      </c>
      <c r="I990">
        <v>293.04079999999999</v>
      </c>
      <c r="J990">
        <v>248.22749999999999</v>
      </c>
      <c r="K990">
        <v>188.03469999999999</v>
      </c>
      <c r="L990">
        <v>3.7172000000000001</v>
      </c>
      <c r="M990">
        <v>27.600300000000001</v>
      </c>
      <c r="N990">
        <v>-30.194700000000001</v>
      </c>
      <c r="O990">
        <v>44.262900000000002</v>
      </c>
      <c r="P990">
        <v>74.7</v>
      </c>
      <c r="S990">
        <f t="shared" si="333"/>
        <v>863.13049999999987</v>
      </c>
      <c r="T990">
        <f t="shared" si="334"/>
        <v>8.5309314230296689E-3</v>
      </c>
      <c r="U990">
        <f t="shared" si="335"/>
        <v>4.6873249577086097E-4</v>
      </c>
      <c r="V990">
        <f t="shared" si="336"/>
        <v>1.6686876849442651E-2</v>
      </c>
      <c r="W990">
        <f t="shared" si="337"/>
        <v>2.0624229813917885E-3</v>
      </c>
      <c r="X990">
        <f t="shared" si="338"/>
        <v>6.4788205565448398E-2</v>
      </c>
      <c r="Y990">
        <f t="shared" si="339"/>
        <v>1.874929983083444E-4</v>
      </c>
      <c r="Z990">
        <f t="shared" si="340"/>
        <v>3.3748739695501988E-3</v>
      </c>
      <c r="AA990">
        <f t="shared" si="341"/>
        <v>0.27471549109337939</v>
      </c>
      <c r="AB990">
        <f t="shared" si="342"/>
        <v>0.23270459118792278</v>
      </c>
      <c r="AC990">
        <f t="shared" si="343"/>
        <v>0.17627594844505021</v>
      </c>
      <c r="AD990">
        <f t="shared" si="344"/>
        <v>3.4847448665588886E-3</v>
      </c>
      <c r="AE990">
        <f t="shared" si="345"/>
        <v>2.587431500604899E-2</v>
      </c>
      <c r="AG990">
        <f t="shared" si="346"/>
        <v>0.89533285047349487</v>
      </c>
      <c r="AH990">
        <f t="shared" si="347"/>
        <v>0.12197385128899091</v>
      </c>
      <c r="AI990">
        <f t="shared" si="348"/>
        <v>-0.98699472805839583</v>
      </c>
      <c r="AK990" s="26">
        <f t="shared" si="349"/>
        <v>1.7602130616863332E-2</v>
      </c>
      <c r="AL990" s="26">
        <f t="shared" si="350"/>
        <v>2.8734714220833291E-3</v>
      </c>
      <c r="AM990" s="26">
        <f t="shared" si="351"/>
        <v>-3.1292883075319466E-2</v>
      </c>
      <c r="AN990" s="26">
        <f t="shared" si="352"/>
        <v>-19.577619047619052</v>
      </c>
      <c r="AO990" s="26">
        <f t="shared" si="353"/>
        <v>-20.272585263835282</v>
      </c>
      <c r="AP990" s="26">
        <f t="shared" si="354"/>
        <v>-22.959479252704085</v>
      </c>
      <c r="AS990" s="2">
        <v>44490</v>
      </c>
      <c r="AT990">
        <v>8.1999999999999993</v>
      </c>
      <c r="AU990">
        <v>90.3</v>
      </c>
      <c r="AV990">
        <v>64.7</v>
      </c>
      <c r="AW990">
        <v>22.4</v>
      </c>
      <c r="AX990">
        <v>80.72</v>
      </c>
      <c r="AY990">
        <v>0.2</v>
      </c>
      <c r="AZ990">
        <v>3.1</v>
      </c>
      <c r="BA990">
        <v>198.21870000000001</v>
      </c>
      <c r="BB990">
        <v>34.5366</v>
      </c>
      <c r="BC990">
        <v>44.475499999999997</v>
      </c>
      <c r="BD990">
        <v>4.0396000000000001</v>
      </c>
      <c r="BE990">
        <v>31.265999999999998</v>
      </c>
      <c r="BF990">
        <v>-24.765899999999998</v>
      </c>
      <c r="BG990">
        <v>67.951099999999997</v>
      </c>
      <c r="BH990">
        <v>77.28</v>
      </c>
    </row>
    <row r="991" spans="1:60" x14ac:dyDescent="0.25">
      <c r="A991" s="2">
        <v>44510</v>
      </c>
      <c r="B991">
        <v>8.5</v>
      </c>
      <c r="C991">
        <v>17.899999999999999</v>
      </c>
      <c r="D991">
        <v>45.5</v>
      </c>
      <c r="E991">
        <v>4.2</v>
      </c>
      <c r="F991">
        <v>75.2</v>
      </c>
      <c r="G991">
        <v>0.2</v>
      </c>
      <c r="H991">
        <v>3.4</v>
      </c>
      <c r="I991">
        <v>293.59210000000002</v>
      </c>
      <c r="J991">
        <v>235.15860000000001</v>
      </c>
      <c r="K991">
        <v>163.74959999999999</v>
      </c>
      <c r="L991">
        <v>3.9020000000000001</v>
      </c>
      <c r="M991">
        <v>33.920499999999997</v>
      </c>
      <c r="N991">
        <v>-26.999300000000002</v>
      </c>
      <c r="O991">
        <v>37.579000000000001</v>
      </c>
      <c r="P991">
        <v>74.989999999999995</v>
      </c>
      <c r="S991">
        <f t="shared" si="333"/>
        <v>885.22280000000001</v>
      </c>
      <c r="T991">
        <f t="shared" si="334"/>
        <v>7.9684524281046359E-3</v>
      </c>
      <c r="U991">
        <f t="shared" si="335"/>
        <v>1.678062334859682E-2</v>
      </c>
      <c r="V991">
        <f t="shared" si="336"/>
        <v>4.2654657115148348E-2</v>
      </c>
      <c r="W991">
        <f t="shared" si="337"/>
        <v>3.9373529644752322E-3</v>
      </c>
      <c r="X991">
        <f t="shared" si="338"/>
        <v>7.0497367363937496E-2</v>
      </c>
      <c r="Y991">
        <f t="shared" si="339"/>
        <v>1.874929983083444E-4</v>
      </c>
      <c r="Z991">
        <f t="shared" si="340"/>
        <v>3.1873809712418544E-3</v>
      </c>
      <c r="AA991">
        <f t="shared" si="341"/>
        <v>0.27523231554321637</v>
      </c>
      <c r="AB991">
        <f t="shared" si="342"/>
        <v>0.22045295495996317</v>
      </c>
      <c r="AC991">
        <f t="shared" si="343"/>
        <v>0.15350951737896035</v>
      </c>
      <c r="AD991">
        <f t="shared" si="344"/>
        <v>3.6579883969957991E-3</v>
      </c>
      <c r="AE991">
        <f t="shared" si="345"/>
        <v>3.1799281245590977E-2</v>
      </c>
      <c r="AG991">
        <f t="shared" si="346"/>
        <v>0.90631129131889943</v>
      </c>
      <c r="AH991">
        <f t="shared" si="347"/>
        <v>0.1770126084354037</v>
      </c>
      <c r="AI991">
        <f t="shared" si="348"/>
        <v>-0.53104634149568752</v>
      </c>
      <c r="AK991" s="26">
        <f t="shared" si="349"/>
        <v>2.2516183714835797E-2</v>
      </c>
      <c r="AL991" s="26">
        <f t="shared" si="350"/>
        <v>-1.4810065451339172E-3</v>
      </c>
      <c r="AM991" s="26">
        <f t="shared" si="351"/>
        <v>-3.0967863630205039E-2</v>
      </c>
      <c r="AN991" s="26">
        <f t="shared" si="352"/>
        <v>-19.476428571428585</v>
      </c>
      <c r="AO991" s="26">
        <f t="shared" si="353"/>
        <v>-20.314253539253571</v>
      </c>
      <c r="AP991" s="26">
        <f t="shared" si="354"/>
        <v>-23.027710127826992</v>
      </c>
      <c r="AS991" s="2">
        <v>44489</v>
      </c>
      <c r="AT991">
        <v>8.6</v>
      </c>
      <c r="AU991">
        <v>18.8</v>
      </c>
      <c r="AV991">
        <v>79.400000000000006</v>
      </c>
      <c r="AW991">
        <v>21.4</v>
      </c>
      <c r="AX991">
        <v>86.74</v>
      </c>
      <c r="AY991">
        <v>0.2</v>
      </c>
      <c r="AZ991">
        <v>3.5</v>
      </c>
      <c r="BA991">
        <v>198.26830000000001</v>
      </c>
      <c r="BB991">
        <v>38.393700000000003</v>
      </c>
      <c r="BC991">
        <v>44.508800000000001</v>
      </c>
      <c r="BD991">
        <v>4.1966000000000001</v>
      </c>
      <c r="BE991">
        <v>25.605699999999999</v>
      </c>
      <c r="BF991">
        <v>-16.2971</v>
      </c>
      <c r="BG991">
        <v>78.196899999999999</v>
      </c>
      <c r="BH991">
        <v>77.27</v>
      </c>
    </row>
    <row r="992" spans="1:60" x14ac:dyDescent="0.25">
      <c r="A992" s="2">
        <v>44509</v>
      </c>
      <c r="B992">
        <v>8.5</v>
      </c>
      <c r="C992">
        <v>0</v>
      </c>
      <c r="D992">
        <v>68.099999999999994</v>
      </c>
      <c r="E992">
        <v>7.9</v>
      </c>
      <c r="F992">
        <v>108.03</v>
      </c>
      <c r="G992">
        <v>0.2</v>
      </c>
      <c r="H992">
        <v>3.8</v>
      </c>
      <c r="I992">
        <v>325.416</v>
      </c>
      <c r="J992">
        <v>204.99549999999999</v>
      </c>
      <c r="K992">
        <v>143.73259999999999</v>
      </c>
      <c r="L992">
        <v>3.4487999999999999</v>
      </c>
      <c r="M992">
        <v>19.442900000000002</v>
      </c>
      <c r="N992">
        <v>-17.705500000000001</v>
      </c>
      <c r="O992">
        <v>50.634</v>
      </c>
      <c r="P992">
        <v>75.28</v>
      </c>
      <c r="S992">
        <f t="shared" si="333"/>
        <v>893.56579999999997</v>
      </c>
      <c r="T992">
        <f t="shared" si="334"/>
        <v>7.9684524281046359E-3</v>
      </c>
      <c r="U992">
        <f t="shared" si="335"/>
        <v>0</v>
      </c>
      <c r="V992">
        <f t="shared" si="336"/>
        <v>6.3841365923991256E-2</v>
      </c>
      <c r="W992">
        <f t="shared" si="337"/>
        <v>7.405973433179603E-3</v>
      </c>
      <c r="X992">
        <f t="shared" si="338"/>
        <v>0.10127434303625221</v>
      </c>
      <c r="Y992">
        <f t="shared" si="339"/>
        <v>1.874929983083444E-4</v>
      </c>
      <c r="Z992">
        <f t="shared" si="340"/>
        <v>3.5623669678585433E-3</v>
      </c>
      <c r="AA992">
        <f t="shared" si="341"/>
        <v>0.305066107687541</v>
      </c>
      <c r="AB992">
        <f t="shared" si="342"/>
        <v>0.19217610467359106</v>
      </c>
      <c r="AC992">
        <f t="shared" si="343"/>
        <v>0.13474428064326968</v>
      </c>
      <c r="AD992">
        <f t="shared" si="344"/>
        <v>3.2331292628290905E-3</v>
      </c>
      <c r="AE992">
        <f t="shared" si="345"/>
        <v>1.8227038084046545E-2</v>
      </c>
      <c r="AG992">
        <f t="shared" si="346"/>
        <v>0.91729226940655306</v>
      </c>
      <c r="AH992">
        <f t="shared" si="347"/>
        <v>0.20246703287174114</v>
      </c>
      <c r="AI992">
        <f t="shared" si="348"/>
        <v>-0.31938066744546467</v>
      </c>
      <c r="AK992" s="26">
        <f t="shared" si="349"/>
        <v>2.1992754600927505E-2</v>
      </c>
      <c r="AL992" s="26">
        <f t="shared" si="350"/>
        <v>-5.3748096910626875E-3</v>
      </c>
      <c r="AM992" s="26">
        <f t="shared" si="351"/>
        <v>-3.0721279720937855E-2</v>
      </c>
      <c r="AN992" s="26">
        <f t="shared" si="352"/>
        <v>-19.382142857142867</v>
      </c>
      <c r="AO992" s="26">
        <f t="shared" si="353"/>
        <v>-20.357567567567585</v>
      </c>
      <c r="AP992" s="26">
        <f t="shared" si="354"/>
        <v>-23.096900688298959</v>
      </c>
      <c r="AS992" s="2">
        <v>44488</v>
      </c>
      <c r="AT992">
        <v>9</v>
      </c>
      <c r="AU992">
        <v>19</v>
      </c>
      <c r="AV992">
        <v>71.7</v>
      </c>
      <c r="AW992">
        <v>11.4</v>
      </c>
      <c r="AX992">
        <v>49.14</v>
      </c>
      <c r="AY992">
        <v>0.2</v>
      </c>
      <c r="AZ992">
        <v>3.4</v>
      </c>
      <c r="BA992">
        <v>338.64479999999998</v>
      </c>
      <c r="BB992">
        <v>166.95949999999999</v>
      </c>
      <c r="BC992">
        <v>79.97</v>
      </c>
      <c r="BD992">
        <v>4.2884000000000002</v>
      </c>
      <c r="BE992">
        <v>24.8719</v>
      </c>
      <c r="BF992">
        <v>-27.831700000000001</v>
      </c>
      <c r="BG992">
        <v>57.108899999999998</v>
      </c>
      <c r="BH992">
        <v>77.150000000000006</v>
      </c>
    </row>
    <row r="993" spans="1:60" x14ac:dyDescent="0.25">
      <c r="A993" s="2">
        <v>44508</v>
      </c>
      <c r="B993">
        <v>8</v>
      </c>
      <c r="C993">
        <v>39.6</v>
      </c>
      <c r="D993">
        <v>45.1</v>
      </c>
      <c r="E993">
        <v>7.4</v>
      </c>
      <c r="F993">
        <v>60.48</v>
      </c>
      <c r="G993">
        <v>0.2</v>
      </c>
      <c r="H993">
        <v>3.7</v>
      </c>
      <c r="I993">
        <v>315.916</v>
      </c>
      <c r="J993">
        <v>177.06720000000001</v>
      </c>
      <c r="K993">
        <v>143.60210000000001</v>
      </c>
      <c r="L993">
        <v>3.4140000000000001</v>
      </c>
      <c r="M993">
        <v>30.780100000000001</v>
      </c>
      <c r="N993">
        <v>-23.278099999999998</v>
      </c>
      <c r="O993">
        <v>55.600099999999998</v>
      </c>
      <c r="P993">
        <v>75.58</v>
      </c>
      <c r="S993">
        <f t="shared" si="333"/>
        <v>835.25939999999991</v>
      </c>
      <c r="T993">
        <f t="shared" si="334"/>
        <v>7.4997199323337755E-3</v>
      </c>
      <c r="U993">
        <f t="shared" si="335"/>
        <v>3.7123613665052187E-2</v>
      </c>
      <c r="V993">
        <f t="shared" si="336"/>
        <v>4.2279671118531661E-2</v>
      </c>
      <c r="W993">
        <f t="shared" si="337"/>
        <v>6.9372409374087425E-3</v>
      </c>
      <c r="X993">
        <f t="shared" si="338"/>
        <v>5.6697882688443335E-2</v>
      </c>
      <c r="Y993">
        <f t="shared" si="339"/>
        <v>1.874929983083444E-4</v>
      </c>
      <c r="Z993">
        <f t="shared" si="340"/>
        <v>3.4686204687043713E-3</v>
      </c>
      <c r="AA993">
        <f t="shared" si="341"/>
        <v>0.29616019026789464</v>
      </c>
      <c r="AB993">
        <f t="shared" si="342"/>
        <v>0.16599430115031638</v>
      </c>
      <c r="AC993">
        <f t="shared" si="343"/>
        <v>0.13462194146187351</v>
      </c>
      <c r="AD993">
        <f t="shared" si="344"/>
        <v>3.2005054811234386E-3</v>
      </c>
      <c r="AE993">
        <f t="shared" si="345"/>
        <v>2.8855266186153354E-2</v>
      </c>
      <c r="AG993">
        <f t="shared" si="346"/>
        <v>0.92874889512692205</v>
      </c>
      <c r="AH993">
        <f t="shared" si="347"/>
        <v>0.18304950799493577</v>
      </c>
      <c r="AI993">
        <f t="shared" si="348"/>
        <v>-0.47818624579719671</v>
      </c>
      <c r="AK993" s="26">
        <f t="shared" si="349"/>
        <v>1.6467257818697956E-2</v>
      </c>
      <c r="AL993" s="26">
        <f t="shared" si="350"/>
        <v>-8.4852410745007156E-3</v>
      </c>
      <c r="AM993" s="26">
        <f t="shared" si="351"/>
        <v>-3.147957509658228E-2</v>
      </c>
      <c r="AN993" s="26">
        <f t="shared" si="352"/>
        <v>-19.306190476190466</v>
      </c>
      <c r="AO993" s="26">
        <f t="shared" si="353"/>
        <v>-20.403518339768382</v>
      </c>
      <c r="AP993" s="26">
        <f t="shared" si="354"/>
        <v>-23.166827925270439</v>
      </c>
      <c r="AS993" s="2">
        <v>44487</v>
      </c>
      <c r="AT993">
        <v>8.6999999999999993</v>
      </c>
      <c r="AU993">
        <v>21.4</v>
      </c>
      <c r="AV993">
        <v>44</v>
      </c>
      <c r="AW993">
        <v>5.8</v>
      </c>
      <c r="AX993">
        <v>102.85</v>
      </c>
      <c r="AY993">
        <v>0.1</v>
      </c>
      <c r="AZ993">
        <v>3.3</v>
      </c>
      <c r="BA993">
        <v>360.50560000000002</v>
      </c>
      <c r="BB993">
        <v>197.3193</v>
      </c>
      <c r="BC993">
        <v>83.430999999999997</v>
      </c>
      <c r="BD993">
        <v>4.3075000000000001</v>
      </c>
      <c r="BE993">
        <v>29.3431</v>
      </c>
      <c r="BF993">
        <v>-40.914200000000001</v>
      </c>
      <c r="BG993">
        <v>48.959000000000003</v>
      </c>
      <c r="BH993">
        <v>77.09</v>
      </c>
    </row>
    <row r="994" spans="1:60" x14ac:dyDescent="0.25">
      <c r="A994" s="2">
        <v>44507</v>
      </c>
      <c r="B994">
        <v>8</v>
      </c>
      <c r="C994">
        <v>29.2</v>
      </c>
      <c r="D994">
        <v>80.5</v>
      </c>
      <c r="E994">
        <v>22.3</v>
      </c>
      <c r="F994">
        <v>49.02</v>
      </c>
      <c r="G994">
        <v>0.2</v>
      </c>
      <c r="H994">
        <v>3.6</v>
      </c>
      <c r="I994">
        <v>164.40620000000001</v>
      </c>
      <c r="J994">
        <v>55.396999999999998</v>
      </c>
      <c r="K994">
        <v>35.766199999999998</v>
      </c>
      <c r="L994">
        <v>3.3841000000000001</v>
      </c>
      <c r="M994">
        <v>9.8826000000000001</v>
      </c>
      <c r="P994">
        <v>75.86</v>
      </c>
      <c r="S994">
        <f t="shared" si="333"/>
        <v>461.65610000000004</v>
      </c>
      <c r="T994">
        <f t="shared" si="334"/>
        <v>7.4997199323337755E-3</v>
      </c>
      <c r="U994">
        <f t="shared" si="335"/>
        <v>2.737397775301828E-2</v>
      </c>
      <c r="V994">
        <f t="shared" si="336"/>
        <v>7.5465931819108614E-2</v>
      </c>
      <c r="W994">
        <f t="shared" si="337"/>
        <v>2.09054693113804E-2</v>
      </c>
      <c r="X994">
        <f t="shared" si="338"/>
        <v>4.5954533885375209E-2</v>
      </c>
      <c r="Y994">
        <f t="shared" si="339"/>
        <v>1.874929983083444E-4</v>
      </c>
      <c r="Z994">
        <f t="shared" si="340"/>
        <v>3.3748739695501988E-3</v>
      </c>
      <c r="AA994">
        <f t="shared" si="341"/>
        <v>0.15412505689240666</v>
      </c>
      <c r="AB994">
        <f t="shared" si="342"/>
        <v>5.1932748136436765E-2</v>
      </c>
      <c r="AC994">
        <f t="shared" si="343"/>
        <v>3.352956038047953E-2</v>
      </c>
      <c r="AD994">
        <f t="shared" si="344"/>
        <v>3.1724752778763414E-3</v>
      </c>
      <c r="AE994">
        <f t="shared" si="345"/>
        <v>9.2645915254102214E-3</v>
      </c>
      <c r="AG994">
        <f t="shared" si="346"/>
        <v>0.93924723753629691</v>
      </c>
      <c r="AH994">
        <f t="shared" si="347"/>
        <v>0.19002659119448503</v>
      </c>
      <c r="AI994">
        <f t="shared" si="348"/>
        <v>-0.4195327533179169</v>
      </c>
      <c r="AK994" s="26">
        <f t="shared" si="349"/>
        <v>2.0810727313687605E-2</v>
      </c>
      <c r="AL994" s="26">
        <f t="shared" si="350"/>
        <v>-1.0565975012416129E-2</v>
      </c>
      <c r="AM994" s="26">
        <f t="shared" si="351"/>
        <v>-2.9638036636538301E-2</v>
      </c>
      <c r="AN994" s="26">
        <f t="shared" si="352"/>
        <v>-19.241904761904763</v>
      </c>
      <c r="AO994" s="26">
        <f t="shared" si="353"/>
        <v>-20.452102638352684</v>
      </c>
      <c r="AP994" s="26">
        <f t="shared" si="354"/>
        <v>-23.239001769911553</v>
      </c>
      <c r="AS994" s="2">
        <v>44486</v>
      </c>
      <c r="AT994">
        <v>9.1999999999999993</v>
      </c>
      <c r="AU994">
        <v>6.1</v>
      </c>
      <c r="AV994">
        <v>43.3</v>
      </c>
      <c r="AW994">
        <v>5</v>
      </c>
      <c r="AX994">
        <v>85.84</v>
      </c>
      <c r="AY994">
        <v>0.1</v>
      </c>
      <c r="AZ994">
        <v>3.4</v>
      </c>
      <c r="BA994">
        <v>358.60640000000001</v>
      </c>
      <c r="BB994">
        <v>148.92429999999999</v>
      </c>
      <c r="BC994">
        <v>45.228999999999999</v>
      </c>
      <c r="BD994">
        <v>4.32</v>
      </c>
      <c r="BE994">
        <v>17.524699999999999</v>
      </c>
      <c r="BH994">
        <v>77.09</v>
      </c>
    </row>
    <row r="995" spans="1:60" x14ac:dyDescent="0.25">
      <c r="A995" s="2">
        <v>44506</v>
      </c>
      <c r="B995">
        <v>8.6</v>
      </c>
      <c r="C995">
        <v>18.600000000000001</v>
      </c>
      <c r="D995">
        <v>77.2</v>
      </c>
      <c r="E995">
        <v>17.399999999999999</v>
      </c>
      <c r="F995">
        <v>66.13</v>
      </c>
      <c r="G995">
        <v>0.2</v>
      </c>
      <c r="H995">
        <v>3.7</v>
      </c>
      <c r="I995">
        <v>261.32229999999998</v>
      </c>
      <c r="J995">
        <v>82.343400000000003</v>
      </c>
      <c r="K995">
        <v>50.6477</v>
      </c>
      <c r="L995">
        <v>3.3839999999999999</v>
      </c>
      <c r="M995">
        <v>19.7575</v>
      </c>
      <c r="P995">
        <v>75.92</v>
      </c>
      <c r="S995">
        <f t="shared" si="333"/>
        <v>609.28489999999999</v>
      </c>
      <c r="T995">
        <f t="shared" si="334"/>
        <v>8.0621989272588075E-3</v>
      </c>
      <c r="U995">
        <f t="shared" si="335"/>
        <v>1.7436848842676027E-2</v>
      </c>
      <c r="V995">
        <f t="shared" si="336"/>
        <v>7.2372297347020928E-2</v>
      </c>
      <c r="W995">
        <f t="shared" si="337"/>
        <v>1.6311890852825958E-2</v>
      </c>
      <c r="X995">
        <f t="shared" si="338"/>
        <v>6.1994559890654069E-2</v>
      </c>
      <c r="Y995">
        <f t="shared" si="339"/>
        <v>1.874929983083444E-4</v>
      </c>
      <c r="Z995">
        <f t="shared" si="340"/>
        <v>3.4686204687043713E-3</v>
      </c>
      <c r="AA995">
        <f t="shared" si="341"/>
        <v>0.2449805077591633</v>
      </c>
      <c r="AB995">
        <f t="shared" si="342"/>
        <v>7.719405478451663E-2</v>
      </c>
      <c r="AC995">
        <f t="shared" si="343"/>
        <v>4.748044565210767E-2</v>
      </c>
      <c r="AD995">
        <f t="shared" si="344"/>
        <v>3.1723815313771868E-3</v>
      </c>
      <c r="AE995">
        <f t="shared" si="345"/>
        <v>1.8521964570385571E-2</v>
      </c>
      <c r="AG995">
        <f t="shared" si="346"/>
        <v>0.93917532496004064</v>
      </c>
      <c r="AH995">
        <f t="shared" si="347"/>
        <v>0.19835587389783407</v>
      </c>
      <c r="AI995">
        <f t="shared" si="348"/>
        <v>-0.35444279980841797</v>
      </c>
      <c r="AK995" s="26">
        <f t="shared" si="349"/>
        <v>1.8862059012840826E-2</v>
      </c>
      <c r="AL995" s="26">
        <f t="shared" si="350"/>
        <v>-1.2324374281435707E-2</v>
      </c>
      <c r="AM995" s="26">
        <f t="shared" si="351"/>
        <v>-2.9859099081284701E-2</v>
      </c>
      <c r="AN995" s="26">
        <f t="shared" si="352"/>
        <v>-19.193095238095239</v>
      </c>
      <c r="AO995" s="26">
        <f t="shared" si="353"/>
        <v>-20.503227155727188</v>
      </c>
      <c r="AP995" s="26">
        <f t="shared" si="354"/>
        <v>-23.314441297935161</v>
      </c>
      <c r="AS995" s="2">
        <v>44485</v>
      </c>
      <c r="AT995">
        <v>9.8000000000000007</v>
      </c>
      <c r="AU995">
        <v>18.7</v>
      </c>
      <c r="AV995">
        <v>49.4</v>
      </c>
      <c r="AW995">
        <v>4.7</v>
      </c>
      <c r="AX995">
        <v>114.01</v>
      </c>
      <c r="AY995">
        <v>0.1</v>
      </c>
      <c r="AZ995">
        <v>3.3</v>
      </c>
      <c r="BA995">
        <v>346.66219999999998</v>
      </c>
      <c r="BB995">
        <v>160.04570000000001</v>
      </c>
      <c r="BC995">
        <v>58.759799999999998</v>
      </c>
      <c r="BD995">
        <v>4.32</v>
      </c>
      <c r="BE995">
        <v>19.306999999999999</v>
      </c>
      <c r="BH995">
        <v>77</v>
      </c>
    </row>
    <row r="996" spans="1:60" x14ac:dyDescent="0.25">
      <c r="A996" s="2">
        <v>44505</v>
      </c>
      <c r="B996">
        <v>9.5</v>
      </c>
      <c r="C996">
        <v>5.5</v>
      </c>
      <c r="D996">
        <v>63.5</v>
      </c>
      <c r="E996">
        <v>9.8000000000000007</v>
      </c>
      <c r="F996">
        <v>42.7</v>
      </c>
      <c r="G996">
        <v>0.2</v>
      </c>
      <c r="H996">
        <v>3.6</v>
      </c>
      <c r="I996">
        <v>323.71170000000001</v>
      </c>
      <c r="J996">
        <v>197.23429999999999</v>
      </c>
      <c r="K996">
        <v>106.9539</v>
      </c>
      <c r="L996">
        <v>3.4089999999999998</v>
      </c>
      <c r="M996">
        <v>31.6007</v>
      </c>
      <c r="N996">
        <v>-18.583600000000001</v>
      </c>
      <c r="O996">
        <v>55.235500000000002</v>
      </c>
      <c r="P996">
        <v>76.010000000000005</v>
      </c>
      <c r="S996">
        <f t="shared" si="333"/>
        <v>797.70959999999991</v>
      </c>
      <c r="T996">
        <f t="shared" si="334"/>
        <v>8.9059174196463586E-3</v>
      </c>
      <c r="U996">
        <f t="shared" si="335"/>
        <v>5.1560574534794705E-3</v>
      </c>
      <c r="V996">
        <f t="shared" si="336"/>
        <v>5.9529026962899342E-2</v>
      </c>
      <c r="W996">
        <f t="shared" si="337"/>
        <v>9.1871569171088751E-3</v>
      </c>
      <c r="X996">
        <f t="shared" si="338"/>
        <v>4.002975513883153E-2</v>
      </c>
      <c r="Y996">
        <f t="shared" si="339"/>
        <v>1.874929983083444E-4</v>
      </c>
      <c r="Z996">
        <f t="shared" si="340"/>
        <v>3.3748739695501988E-3</v>
      </c>
      <c r="AA996">
        <f t="shared" si="341"/>
        <v>0.30346838610245641</v>
      </c>
      <c r="AB996">
        <f t="shared" si="342"/>
        <v>0.18490025138123745</v>
      </c>
      <c r="AC996">
        <f t="shared" si="343"/>
        <v>0.10026553695885418</v>
      </c>
      <c r="AD996">
        <f t="shared" si="344"/>
        <v>3.1958181561657297E-3</v>
      </c>
      <c r="AE996">
        <f t="shared" si="345"/>
        <v>2.9624549958212492E-2</v>
      </c>
      <c r="AG996">
        <f t="shared" si="346"/>
        <v>0.94054847783160833</v>
      </c>
      <c r="AH996">
        <f t="shared" si="347"/>
        <v>0.15599483081803661</v>
      </c>
      <c r="AI996">
        <f t="shared" si="348"/>
        <v>-0.70182181091616458</v>
      </c>
      <c r="AK996" s="26">
        <f t="shared" si="349"/>
        <v>1.8595318973914227E-2</v>
      </c>
      <c r="AL996" s="26">
        <f t="shared" si="350"/>
        <v>-1.9093366223176672E-2</v>
      </c>
      <c r="AM996" s="26">
        <f t="shared" si="351"/>
        <v>-2.9035925584514621E-2</v>
      </c>
      <c r="AN996" s="26">
        <f t="shared" si="352"/>
        <v>-19.150714285714287</v>
      </c>
      <c r="AO996" s="26">
        <f t="shared" si="353"/>
        <v>-20.556546010296046</v>
      </c>
      <c r="AP996" s="26">
        <f t="shared" si="354"/>
        <v>-23.390888888888952</v>
      </c>
      <c r="AS996" s="2">
        <v>44484</v>
      </c>
      <c r="AT996">
        <v>9.4</v>
      </c>
      <c r="AU996">
        <v>50.9</v>
      </c>
      <c r="AV996">
        <v>77.7</v>
      </c>
      <c r="AW996">
        <v>14.4</v>
      </c>
      <c r="AX996">
        <v>108.65</v>
      </c>
      <c r="AY996">
        <v>0.1</v>
      </c>
      <c r="AZ996">
        <v>3</v>
      </c>
      <c r="BA996">
        <v>309.28230000000002</v>
      </c>
      <c r="BB996">
        <v>113.4999</v>
      </c>
      <c r="BC996">
        <v>68.929299999999998</v>
      </c>
      <c r="BD996">
        <v>4.319</v>
      </c>
      <c r="BE996">
        <v>21.856300000000001</v>
      </c>
      <c r="BF996">
        <v>-25.030799999999999</v>
      </c>
      <c r="BG996">
        <v>58.815199999999997</v>
      </c>
      <c r="BH996">
        <v>76.930000000000007</v>
      </c>
    </row>
    <row r="997" spans="1:60" x14ac:dyDescent="0.25">
      <c r="A997" s="2">
        <v>44504</v>
      </c>
      <c r="B997">
        <v>9.6999999999999993</v>
      </c>
      <c r="C997">
        <v>0.2</v>
      </c>
      <c r="D997">
        <v>21.3</v>
      </c>
      <c r="E997">
        <v>8.9</v>
      </c>
      <c r="F997">
        <v>22.31</v>
      </c>
      <c r="G997">
        <v>0.2</v>
      </c>
      <c r="H997">
        <v>3.3</v>
      </c>
      <c r="I997">
        <v>311.32659999999998</v>
      </c>
      <c r="J997">
        <v>238.3981</v>
      </c>
      <c r="K997">
        <v>137.44579999999999</v>
      </c>
      <c r="L997">
        <v>3.4384000000000001</v>
      </c>
      <c r="M997">
        <v>21.7837</v>
      </c>
      <c r="N997">
        <v>-19.6371</v>
      </c>
      <c r="O997">
        <v>54.104399999999998</v>
      </c>
      <c r="P997">
        <v>76.25</v>
      </c>
      <c r="S997">
        <f t="shared" si="333"/>
        <v>778.30259999999987</v>
      </c>
      <c r="T997">
        <f t="shared" si="334"/>
        <v>9.0934104179547018E-3</v>
      </c>
      <c r="U997">
        <f t="shared" si="335"/>
        <v>1.874929983083444E-4</v>
      </c>
      <c r="V997">
        <f t="shared" si="336"/>
        <v>1.9968004319838677E-2</v>
      </c>
      <c r="W997">
        <f t="shared" si="337"/>
        <v>8.3434384247213257E-3</v>
      </c>
      <c r="X997">
        <f t="shared" si="338"/>
        <v>2.0914843961295816E-2</v>
      </c>
      <c r="Y997">
        <f t="shared" si="339"/>
        <v>1.874929983083444E-4</v>
      </c>
      <c r="Z997">
        <f t="shared" si="340"/>
        <v>3.0936344720876819E-3</v>
      </c>
      <c r="AA997">
        <f t="shared" si="341"/>
        <v>0.29185778843571303</v>
      </c>
      <c r="AB997">
        <f t="shared" si="342"/>
        <v>0.22348987280006258</v>
      </c>
      <c r="AC997">
        <f t="shared" si="343"/>
        <v>0.1288506257344452</v>
      </c>
      <c r="AD997">
        <f t="shared" si="344"/>
        <v>3.2233796269170566E-3</v>
      </c>
      <c r="AE997">
        <f t="shared" si="345"/>
        <v>2.0421456136247407E-2</v>
      </c>
      <c r="AG997">
        <f t="shared" si="346"/>
        <v>0.94912753316864096</v>
      </c>
      <c r="AH997">
        <f t="shared" si="347"/>
        <v>8.2209773728762287E-2</v>
      </c>
      <c r="AI997">
        <f t="shared" si="348"/>
        <v>-1.3107328719725999</v>
      </c>
      <c r="AK997" s="26">
        <f t="shared" si="349"/>
        <v>2.5150237135117715E-2</v>
      </c>
      <c r="AL997" s="26">
        <f t="shared" si="350"/>
        <v>-1.5229507422334254E-2</v>
      </c>
      <c r="AM997" s="26">
        <f t="shared" si="351"/>
        <v>-2.997709951698746E-2</v>
      </c>
      <c r="AN997" s="26">
        <f t="shared" si="352"/>
        <v>-19.114999999999995</v>
      </c>
      <c r="AO997" s="26">
        <f t="shared" si="353"/>
        <v>-20.611965894465939</v>
      </c>
      <c r="AP997" s="26">
        <f t="shared" si="354"/>
        <v>-23.468655260570358</v>
      </c>
      <c r="AS997" s="2">
        <v>44483</v>
      </c>
      <c r="AT997">
        <v>9.6999999999999993</v>
      </c>
      <c r="AU997">
        <v>37.700000000000003</v>
      </c>
      <c r="AV997">
        <v>64.8</v>
      </c>
      <c r="AW997">
        <v>9.4</v>
      </c>
      <c r="AX997">
        <v>61.57</v>
      </c>
      <c r="AY997">
        <v>0.1</v>
      </c>
      <c r="AZ997">
        <v>3.2</v>
      </c>
      <c r="BA997">
        <v>336.28879999999998</v>
      </c>
      <c r="BB997">
        <v>214.0034</v>
      </c>
      <c r="BC997">
        <v>87.964200000000005</v>
      </c>
      <c r="BD997">
        <v>4.3470000000000004</v>
      </c>
      <c r="BE997">
        <v>15.3895</v>
      </c>
      <c r="BF997">
        <v>-29.793199999999999</v>
      </c>
      <c r="BG997">
        <v>67.016400000000004</v>
      </c>
      <c r="BH997">
        <v>76.930000000000007</v>
      </c>
    </row>
    <row r="998" spans="1:60" x14ac:dyDescent="0.25">
      <c r="A998" s="2">
        <v>44503</v>
      </c>
      <c r="B998">
        <v>8.9</v>
      </c>
      <c r="C998">
        <v>3.3</v>
      </c>
      <c r="D998">
        <v>5.3</v>
      </c>
      <c r="E998">
        <v>2.1</v>
      </c>
      <c r="F998">
        <v>49.85</v>
      </c>
      <c r="G998">
        <v>0.2</v>
      </c>
      <c r="H998">
        <v>3.2</v>
      </c>
      <c r="I998">
        <v>294.93279999999999</v>
      </c>
      <c r="J998">
        <v>266.09379999999999</v>
      </c>
      <c r="K998">
        <v>189.18719999999999</v>
      </c>
      <c r="L998">
        <v>3.4847000000000001</v>
      </c>
      <c r="M998">
        <v>36.191099999999999</v>
      </c>
      <c r="N998">
        <v>-16.225300000000001</v>
      </c>
      <c r="O998">
        <v>61.6569</v>
      </c>
      <c r="P998">
        <v>76.510000000000005</v>
      </c>
      <c r="S998">
        <f t="shared" si="333"/>
        <v>862.7396</v>
      </c>
      <c r="T998">
        <f t="shared" si="334"/>
        <v>8.3434384247213257E-3</v>
      </c>
      <c r="U998">
        <f t="shared" si="335"/>
        <v>3.0936344720876819E-3</v>
      </c>
      <c r="V998">
        <f t="shared" si="336"/>
        <v>4.9685644551711256E-3</v>
      </c>
      <c r="W998">
        <f t="shared" si="337"/>
        <v>1.9686764822376161E-3</v>
      </c>
      <c r="X998">
        <f t="shared" si="338"/>
        <v>4.6732629828354841E-2</v>
      </c>
      <c r="Y998">
        <f t="shared" si="339"/>
        <v>1.874929983083444E-4</v>
      </c>
      <c r="Z998">
        <f t="shared" si="340"/>
        <v>2.9998879729335104E-3</v>
      </c>
      <c r="AA998">
        <f t="shared" si="341"/>
        <v>0.27648917485737634</v>
      </c>
      <c r="AB998">
        <f t="shared" si="342"/>
        <v>0.24945362196630463</v>
      </c>
      <c r="AC998">
        <f t="shared" si="343"/>
        <v>0.17735637684780203</v>
      </c>
      <c r="AD998">
        <f t="shared" si="344"/>
        <v>3.2667842560254383E-3</v>
      </c>
      <c r="AE998">
        <f t="shared" si="345"/>
        <v>3.3927889255385611E-2</v>
      </c>
      <c r="AG998">
        <f t="shared" si="346"/>
        <v>0.95866470611945886</v>
      </c>
      <c r="AH998">
        <f t="shared" si="347"/>
        <v>0.10222221388920005</v>
      </c>
      <c r="AI998">
        <f t="shared" si="348"/>
        <v>-1.1513633373862422</v>
      </c>
      <c r="AK998" s="26">
        <f t="shared" si="349"/>
        <v>2.8302117199953652E-2</v>
      </c>
      <c r="AL998" s="26">
        <f t="shared" si="350"/>
        <v>-1.5125841077649388E-2</v>
      </c>
      <c r="AM998" s="26">
        <f t="shared" si="351"/>
        <v>-3.2597297751200904E-2</v>
      </c>
      <c r="AN998" s="26">
        <f t="shared" si="352"/>
        <v>-19.087142857142851</v>
      </c>
      <c r="AO998" s="26">
        <f t="shared" si="353"/>
        <v>-20.670828507078539</v>
      </c>
      <c r="AP998" s="26">
        <f t="shared" si="354"/>
        <v>-23.548048377581196</v>
      </c>
      <c r="AS998" s="2">
        <v>44482</v>
      </c>
      <c r="AT998">
        <v>9.9</v>
      </c>
      <c r="AU998">
        <v>22.5</v>
      </c>
      <c r="AV998">
        <v>44.3</v>
      </c>
      <c r="AW998">
        <v>4.4000000000000004</v>
      </c>
      <c r="AX998">
        <v>113.94</v>
      </c>
      <c r="AY998">
        <v>0.1</v>
      </c>
      <c r="AZ998">
        <v>3</v>
      </c>
      <c r="BA998">
        <v>351.73230000000001</v>
      </c>
      <c r="BB998">
        <v>248.04179999999999</v>
      </c>
      <c r="BC998">
        <v>103.1528</v>
      </c>
      <c r="BD998">
        <v>4.4465000000000003</v>
      </c>
      <c r="BE998">
        <v>14.857799999999999</v>
      </c>
      <c r="BF998">
        <v>-20.706199999999999</v>
      </c>
      <c r="BG998">
        <v>60.285899999999998</v>
      </c>
      <c r="BH998">
        <v>76.94</v>
      </c>
    </row>
    <row r="999" spans="1:60" x14ac:dyDescent="0.25">
      <c r="A999" s="2">
        <v>44502</v>
      </c>
      <c r="B999">
        <v>8.4</v>
      </c>
      <c r="C999">
        <v>0.5</v>
      </c>
      <c r="D999">
        <v>22.4</v>
      </c>
      <c r="E999">
        <v>3.4</v>
      </c>
      <c r="F999">
        <v>64.89</v>
      </c>
      <c r="G999">
        <v>0.2</v>
      </c>
      <c r="H999">
        <v>3.6</v>
      </c>
      <c r="I999">
        <v>282.94439999999997</v>
      </c>
      <c r="J999">
        <v>234.68260000000001</v>
      </c>
      <c r="K999">
        <v>146.4528</v>
      </c>
      <c r="L999">
        <v>3.4803000000000002</v>
      </c>
      <c r="M999">
        <v>36.836100000000002</v>
      </c>
      <c r="N999">
        <v>-12.245200000000001</v>
      </c>
      <c r="O999">
        <v>51.415100000000002</v>
      </c>
      <c r="P999">
        <v>76.819999999999993</v>
      </c>
      <c r="S999">
        <f t="shared" si="333"/>
        <v>807.78620000000001</v>
      </c>
      <c r="T999">
        <f t="shared" si="334"/>
        <v>7.8747059289504644E-3</v>
      </c>
      <c r="U999">
        <f t="shared" si="335"/>
        <v>4.6873249577086097E-4</v>
      </c>
      <c r="V999">
        <f t="shared" si="336"/>
        <v>2.0999215810534568E-2</v>
      </c>
      <c r="W999">
        <f t="shared" si="337"/>
        <v>3.1873809712418544E-3</v>
      </c>
      <c r="X999">
        <f t="shared" si="338"/>
        <v>6.0832103301142332E-2</v>
      </c>
      <c r="Y999">
        <f t="shared" si="339"/>
        <v>1.874929983083444E-4</v>
      </c>
      <c r="Z999">
        <f t="shared" si="340"/>
        <v>3.3748739695501988E-3</v>
      </c>
      <c r="AA999">
        <f t="shared" si="341"/>
        <v>0.26525046955277753</v>
      </c>
      <c r="AB999">
        <f t="shared" si="342"/>
        <v>0.22000672162398932</v>
      </c>
      <c r="AC999">
        <f t="shared" si="343"/>
        <v>0.13729437291326149</v>
      </c>
      <c r="AD999">
        <f t="shared" si="344"/>
        <v>3.2626594100626551E-3</v>
      </c>
      <c r="AE999">
        <f t="shared" si="345"/>
        <v>3.4532554174930022E-2</v>
      </c>
      <c r="AG999">
        <f t="shared" si="346"/>
        <v>0.97060694018071692</v>
      </c>
      <c r="AH999">
        <f t="shared" si="347"/>
        <v>0.13145705965042864</v>
      </c>
      <c r="AI999">
        <f t="shared" si="348"/>
        <v>-0.91385810863583539</v>
      </c>
      <c r="AK999" s="26">
        <f t="shared" si="349"/>
        <v>3.1802211939719299E-2</v>
      </c>
      <c r="AL999" s="26">
        <f t="shared" si="350"/>
        <v>-1.4881667597667902E-2</v>
      </c>
      <c r="AM999" s="26">
        <f t="shared" si="351"/>
        <v>-3.4192926857373129E-2</v>
      </c>
      <c r="AN999" s="26">
        <f t="shared" si="352"/>
        <v>-19.076190476190462</v>
      </c>
      <c r="AO999" s="26">
        <f t="shared" si="353"/>
        <v>-20.735649935649974</v>
      </c>
      <c r="AP999" s="26">
        <f t="shared" si="354"/>
        <v>-23.628402359882074</v>
      </c>
      <c r="AS999" s="2">
        <v>44481</v>
      </c>
      <c r="AT999">
        <v>9.4</v>
      </c>
      <c r="AU999">
        <v>19.600000000000001</v>
      </c>
      <c r="AV999">
        <v>68.900000000000006</v>
      </c>
      <c r="AW999">
        <v>7.9</v>
      </c>
      <c r="AX999">
        <v>70.12</v>
      </c>
      <c r="AY999">
        <v>0.1</v>
      </c>
      <c r="AZ999">
        <v>2.8</v>
      </c>
      <c r="BA999">
        <v>349.24889999999999</v>
      </c>
      <c r="BB999">
        <v>204.73759999999999</v>
      </c>
      <c r="BC999">
        <v>84.601100000000002</v>
      </c>
      <c r="BD999">
        <v>4.3791000000000002</v>
      </c>
      <c r="BE999">
        <v>19.014299999999999</v>
      </c>
      <c r="BF999">
        <v>-16.923100000000002</v>
      </c>
      <c r="BG999">
        <v>44.675699999999999</v>
      </c>
      <c r="BH999">
        <v>77</v>
      </c>
    </row>
    <row r="1000" spans="1:60" x14ac:dyDescent="0.25">
      <c r="A1000" s="2">
        <v>44501</v>
      </c>
      <c r="B1000">
        <v>6.7</v>
      </c>
      <c r="C1000">
        <v>19</v>
      </c>
      <c r="D1000">
        <v>74.5</v>
      </c>
      <c r="E1000">
        <v>10.199999999999999</v>
      </c>
      <c r="F1000">
        <v>41.09</v>
      </c>
      <c r="G1000">
        <v>0.2</v>
      </c>
      <c r="H1000">
        <v>3.7</v>
      </c>
      <c r="I1000">
        <v>223.2884</v>
      </c>
      <c r="J1000">
        <v>67.166499999999999</v>
      </c>
      <c r="K1000">
        <v>43.068100000000001</v>
      </c>
      <c r="L1000">
        <v>3.4687999999999999</v>
      </c>
      <c r="M1000">
        <v>24.4133</v>
      </c>
      <c r="N1000">
        <v>-18.2087</v>
      </c>
      <c r="O1000">
        <v>42.423000000000002</v>
      </c>
      <c r="P1000">
        <v>77.08</v>
      </c>
      <c r="S1000">
        <f t="shared" si="333"/>
        <v>516.79510000000005</v>
      </c>
      <c r="T1000">
        <f t="shared" si="334"/>
        <v>6.2810154433295372E-3</v>
      </c>
      <c r="U1000">
        <f t="shared" si="335"/>
        <v>1.7811834839292717E-2</v>
      </c>
      <c r="V1000">
        <f t="shared" si="336"/>
        <v>6.9841141869858278E-2</v>
      </c>
      <c r="W1000">
        <f t="shared" si="337"/>
        <v>9.5621429137255631E-3</v>
      </c>
      <c r="X1000">
        <f t="shared" si="338"/>
        <v>3.8520436502449358E-2</v>
      </c>
      <c r="Y1000">
        <f t="shared" si="339"/>
        <v>1.874929983083444E-4</v>
      </c>
      <c r="Z1000">
        <f t="shared" si="340"/>
        <v>3.4686204687043713E-3</v>
      </c>
      <c r="AA1000">
        <f t="shared" si="341"/>
        <v>0.20932505801736462</v>
      </c>
      <c r="AB1000">
        <f t="shared" si="342"/>
        <v>6.2966242354387067E-2</v>
      </c>
      <c r="AC1000">
        <f t="shared" si="343"/>
        <v>4.0374836002218036E-2</v>
      </c>
      <c r="AD1000">
        <f t="shared" si="344"/>
        <v>3.2518785626599249E-3</v>
      </c>
      <c r="AE1000">
        <f t="shared" si="345"/>
        <v>2.2886614078005518E-2</v>
      </c>
      <c r="AG1000">
        <f t="shared" si="346"/>
        <v>0.98016625103536492</v>
      </c>
      <c r="AH1000">
        <f t="shared" si="347"/>
        <v>0.16855929911367368</v>
      </c>
      <c r="AI1000">
        <f t="shared" si="348"/>
        <v>-0.60894722549336677</v>
      </c>
      <c r="AK1000" s="26">
        <f t="shared" si="349"/>
        <v>3.0307330264206844E-2</v>
      </c>
      <c r="AL1000" s="26">
        <f t="shared" si="350"/>
        <v>-1.2246602074134388E-2</v>
      </c>
      <c r="AM1000" s="26">
        <f t="shared" si="351"/>
        <v>-3.5527310411543833E-2</v>
      </c>
      <c r="AN1000" s="26">
        <f t="shared" si="352"/>
        <v>-19.078095238095216</v>
      </c>
      <c r="AO1000" s="26">
        <f t="shared" si="353"/>
        <v>-20.809126447876494</v>
      </c>
      <c r="AP1000" s="26">
        <f t="shared" si="354"/>
        <v>-23.710026745329486</v>
      </c>
      <c r="AS1000" s="2">
        <v>44480</v>
      </c>
      <c r="AT1000">
        <v>9.3000000000000007</v>
      </c>
      <c r="AU1000">
        <v>0.8</v>
      </c>
      <c r="AV1000">
        <v>69.3</v>
      </c>
      <c r="AW1000">
        <v>7.4</v>
      </c>
      <c r="AX1000">
        <v>116.16</v>
      </c>
      <c r="AY1000">
        <v>0.1</v>
      </c>
      <c r="AZ1000">
        <v>3.1</v>
      </c>
      <c r="BA1000">
        <v>351.24450000000002</v>
      </c>
      <c r="BB1000">
        <v>172.0558</v>
      </c>
      <c r="BC1000">
        <v>69.686700000000002</v>
      </c>
      <c r="BD1000">
        <v>4.3192000000000004</v>
      </c>
      <c r="BE1000">
        <v>20.6068</v>
      </c>
      <c r="BF1000">
        <v>-17.3964</v>
      </c>
      <c r="BG1000">
        <v>47.142299999999999</v>
      </c>
      <c r="BH1000">
        <v>76.95</v>
      </c>
    </row>
    <row r="1001" spans="1:60" x14ac:dyDescent="0.25">
      <c r="A1001" s="2">
        <v>44500</v>
      </c>
      <c r="B1001">
        <v>6.3</v>
      </c>
      <c r="C1001">
        <v>0</v>
      </c>
      <c r="D1001">
        <v>57.4</v>
      </c>
      <c r="E1001">
        <v>10</v>
      </c>
      <c r="F1001">
        <v>106.71</v>
      </c>
      <c r="G1001">
        <v>0.2</v>
      </c>
      <c r="H1001">
        <v>4</v>
      </c>
      <c r="I1001">
        <v>205.82140000000001</v>
      </c>
      <c r="J1001">
        <v>26.877099999999999</v>
      </c>
      <c r="K1001">
        <v>26.132300000000001</v>
      </c>
      <c r="L1001">
        <v>3.2949000000000002</v>
      </c>
      <c r="M1001">
        <v>10.4618</v>
      </c>
      <c r="P1001">
        <v>77.06</v>
      </c>
      <c r="S1001">
        <f t="shared" si="333"/>
        <v>457.19749999999988</v>
      </c>
      <c r="T1001">
        <f t="shared" si="334"/>
        <v>5.9060294467128483E-3</v>
      </c>
      <c r="U1001">
        <f t="shared" si="335"/>
        <v>0</v>
      </c>
      <c r="V1001">
        <f t="shared" si="336"/>
        <v>5.3810490514494838E-2</v>
      </c>
      <c r="W1001">
        <f t="shared" si="337"/>
        <v>9.3746499154172182E-3</v>
      </c>
      <c r="X1001">
        <f t="shared" si="338"/>
        <v>0.10003688924741713</v>
      </c>
      <c r="Y1001">
        <f t="shared" si="339"/>
        <v>1.874929983083444E-4</v>
      </c>
      <c r="Z1001">
        <f t="shared" si="340"/>
        <v>3.7498599661668877E-3</v>
      </c>
      <c r="AA1001">
        <f t="shared" si="341"/>
        <v>0.19295035701010538</v>
      </c>
      <c r="AB1001">
        <f t="shared" si="342"/>
        <v>2.5196340324166011E-2</v>
      </c>
      <c r="AC1001">
        <f t="shared" si="343"/>
        <v>2.449811639846574E-2</v>
      </c>
      <c r="AD1001">
        <f t="shared" si="344"/>
        <v>3.0888534006308197E-3</v>
      </c>
      <c r="AE1001">
        <f t="shared" si="345"/>
        <v>9.8075712485111866E-3</v>
      </c>
      <c r="AG1001">
        <f t="shared" si="346"/>
        <v>0.97632023456197314</v>
      </c>
      <c r="AH1001">
        <f t="shared" si="347"/>
        <v>0.18287298333702848</v>
      </c>
      <c r="AI1001">
        <f t="shared" si="348"/>
        <v>-0.48967536005004736</v>
      </c>
      <c r="AK1001" s="26">
        <f t="shared" si="349"/>
        <v>3.3067899049216309E-2</v>
      </c>
      <c r="AL1001" s="26">
        <f t="shared" si="350"/>
        <v>-1.0199136817224924E-2</v>
      </c>
      <c r="AM1001" s="26">
        <f t="shared" si="351"/>
        <v>-3.6806343320513968E-2</v>
      </c>
      <c r="AN1001" s="26">
        <f t="shared" si="352"/>
        <v>-19.102857142857133</v>
      </c>
      <c r="AO1001" s="26">
        <f t="shared" si="353"/>
        <v>-20.891362612612653</v>
      </c>
      <c r="AP1001" s="26">
        <f t="shared" si="354"/>
        <v>-23.795496165191821</v>
      </c>
      <c r="AS1001" s="2">
        <v>44479</v>
      </c>
      <c r="AT1001">
        <v>9.5</v>
      </c>
      <c r="AU1001">
        <v>5.3</v>
      </c>
      <c r="AV1001">
        <v>16.399999999999999</v>
      </c>
      <c r="AW1001">
        <v>2.9</v>
      </c>
      <c r="AX1001">
        <v>182.58</v>
      </c>
      <c r="AY1001">
        <v>0.2</v>
      </c>
      <c r="AZ1001">
        <v>3</v>
      </c>
      <c r="BA1001">
        <v>333.12240000000003</v>
      </c>
      <c r="BB1001">
        <v>92.940200000000004</v>
      </c>
      <c r="BC1001">
        <v>37.939500000000002</v>
      </c>
      <c r="BD1001">
        <v>4.3049999999999997</v>
      </c>
      <c r="BE1001">
        <v>19.009699999999999</v>
      </c>
      <c r="BH1001">
        <v>76.959999999999994</v>
      </c>
    </row>
    <row r="1002" spans="1:60" x14ac:dyDescent="0.25">
      <c r="A1002" s="2">
        <v>44499</v>
      </c>
      <c r="B1002">
        <v>6.9</v>
      </c>
      <c r="C1002">
        <v>2.2999999999999998</v>
      </c>
      <c r="D1002">
        <v>63.3</v>
      </c>
      <c r="E1002">
        <v>12.5</v>
      </c>
      <c r="F1002">
        <v>71.23</v>
      </c>
      <c r="G1002">
        <v>0.2</v>
      </c>
      <c r="H1002">
        <v>3.7</v>
      </c>
      <c r="I1002">
        <v>273.93040000000002</v>
      </c>
      <c r="J1002">
        <v>57.078600000000002</v>
      </c>
      <c r="K1002">
        <v>38.521299999999997</v>
      </c>
      <c r="L1002">
        <v>3.4365000000000001</v>
      </c>
      <c r="M1002">
        <v>24.183199999999999</v>
      </c>
      <c r="P1002">
        <v>76.95</v>
      </c>
      <c r="S1002">
        <f t="shared" si="333"/>
        <v>557.28</v>
      </c>
      <c r="T1002">
        <f t="shared" si="334"/>
        <v>6.4685084416378812E-3</v>
      </c>
      <c r="U1002">
        <f t="shared" si="335"/>
        <v>2.1561694805459601E-3</v>
      </c>
      <c r="V1002">
        <f t="shared" si="336"/>
        <v>5.9341533964590992E-2</v>
      </c>
      <c r="W1002">
        <f t="shared" si="337"/>
        <v>1.1718312394271523E-2</v>
      </c>
      <c r="X1002">
        <f t="shared" si="338"/>
        <v>6.6775631347516851E-2</v>
      </c>
      <c r="Y1002">
        <f t="shared" si="339"/>
        <v>1.874929983083444E-4</v>
      </c>
      <c r="Z1002">
        <f t="shared" si="340"/>
        <v>3.4686204687043713E-3</v>
      </c>
      <c r="AA1002">
        <f t="shared" si="341"/>
        <v>0.25680016011902052</v>
      </c>
      <c r="AB1002">
        <f t="shared" si="342"/>
        <v>5.3509189266213328E-2</v>
      </c>
      <c r="AC1002">
        <f t="shared" si="343"/>
        <v>3.6112370178676127E-2</v>
      </c>
      <c r="AD1002">
        <f t="shared" si="344"/>
        <v>3.2215984434331275E-3</v>
      </c>
      <c r="AE1002">
        <f t="shared" si="345"/>
        <v>2.267090338345177E-2</v>
      </c>
      <c r="AG1002">
        <f t="shared" si="346"/>
        <v>0.96820461874952857</v>
      </c>
      <c r="AH1002">
        <f t="shared" si="347"/>
        <v>0.17278717247902767</v>
      </c>
      <c r="AI1002">
        <f t="shared" si="348"/>
        <v>-0.57243932473733494</v>
      </c>
      <c r="AK1002" s="26">
        <f t="shared" si="349"/>
        <v>3.3448871429421878E-2</v>
      </c>
      <c r="AL1002" s="26">
        <f t="shared" si="350"/>
        <v>-1.2875399312202718E-2</v>
      </c>
      <c r="AM1002" s="26">
        <f t="shared" si="351"/>
        <v>-3.8190673795892804E-2</v>
      </c>
      <c r="AN1002" s="26">
        <f t="shared" si="352"/>
        <v>-19.125476190476178</v>
      </c>
      <c r="AO1002" s="26">
        <f t="shared" si="353"/>
        <v>-20.976089124839163</v>
      </c>
      <c r="AP1002" s="26">
        <f t="shared" si="354"/>
        <v>-23.883216519174113</v>
      </c>
      <c r="AS1002" s="2">
        <v>44478</v>
      </c>
      <c r="AT1002">
        <v>10.3</v>
      </c>
      <c r="AU1002">
        <v>2.9</v>
      </c>
      <c r="AV1002">
        <v>18</v>
      </c>
      <c r="AW1002">
        <v>5.2</v>
      </c>
      <c r="AX1002">
        <v>190.57</v>
      </c>
      <c r="AY1002">
        <v>0.2</v>
      </c>
      <c r="AZ1002">
        <v>3.2</v>
      </c>
      <c r="BA1002">
        <v>303.59960000000001</v>
      </c>
      <c r="BB1002">
        <v>108.2538</v>
      </c>
      <c r="BC1002">
        <v>41.016800000000003</v>
      </c>
      <c r="BD1002">
        <v>4.3106</v>
      </c>
      <c r="BE1002">
        <v>14.9825</v>
      </c>
      <c r="BH1002">
        <v>76.34</v>
      </c>
    </row>
    <row r="1003" spans="1:60" x14ac:dyDescent="0.25">
      <c r="A1003" s="2">
        <v>44498</v>
      </c>
      <c r="B1003">
        <v>7.7</v>
      </c>
      <c r="C1003">
        <v>2.7</v>
      </c>
      <c r="D1003">
        <v>69</v>
      </c>
      <c r="E1003">
        <v>12.8</v>
      </c>
      <c r="F1003">
        <v>104.11</v>
      </c>
      <c r="G1003">
        <v>0.2</v>
      </c>
      <c r="H1003">
        <v>3.1</v>
      </c>
      <c r="I1003">
        <v>299.46570000000003</v>
      </c>
      <c r="J1003">
        <v>128.65360000000001</v>
      </c>
      <c r="K1003">
        <v>51.423000000000002</v>
      </c>
      <c r="L1003">
        <v>3.5249000000000001</v>
      </c>
      <c r="M1003">
        <v>28.925699999999999</v>
      </c>
      <c r="N1003">
        <v>-10.5486</v>
      </c>
      <c r="O1003">
        <v>41.3292</v>
      </c>
      <c r="P1003">
        <v>76.98</v>
      </c>
      <c r="S1003">
        <f t="shared" si="333"/>
        <v>711.60289999999998</v>
      </c>
      <c r="T1003">
        <f t="shared" si="334"/>
        <v>7.218480434871259E-3</v>
      </c>
      <c r="U1003">
        <f t="shared" si="335"/>
        <v>2.5311554771626494E-3</v>
      </c>
      <c r="V1003">
        <f t="shared" si="336"/>
        <v>6.468508441637881E-2</v>
      </c>
      <c r="W1003">
        <f t="shared" si="337"/>
        <v>1.1999551891734041E-2</v>
      </c>
      <c r="X1003">
        <f t="shared" si="338"/>
        <v>9.7599480269408664E-2</v>
      </c>
      <c r="Y1003">
        <f t="shared" si="339"/>
        <v>1.874929983083444E-4</v>
      </c>
      <c r="Z1003">
        <f t="shared" si="340"/>
        <v>2.9061414737793379E-3</v>
      </c>
      <c r="AA1003">
        <f t="shared" si="341"/>
        <v>0.28073860991753585</v>
      </c>
      <c r="AB1003">
        <f t="shared" si="342"/>
        <v>0.12060824603581208</v>
      </c>
      <c r="AC1003">
        <f t="shared" si="343"/>
        <v>4.8207262260049968E-2</v>
      </c>
      <c r="AD1003">
        <f t="shared" si="344"/>
        <v>3.3044703486854155E-3</v>
      </c>
      <c r="AE1003">
        <f t="shared" si="345"/>
        <v>2.7116831105838384E-2</v>
      </c>
      <c r="AG1003">
        <f t="shared" si="346"/>
        <v>0.96681923272546111</v>
      </c>
      <c r="AH1003">
        <f t="shared" si="347"/>
        <v>0.21424421806748151</v>
      </c>
      <c r="AI1003">
        <f t="shared" si="348"/>
        <v>-0.22886502941675255</v>
      </c>
      <c r="AK1003" s="26">
        <f t="shared" si="349"/>
        <v>3.5564477692607566E-2</v>
      </c>
      <c r="AL1003" s="26">
        <f t="shared" si="350"/>
        <v>-1.3459667792654506E-2</v>
      </c>
      <c r="AM1003" s="26">
        <f t="shared" si="351"/>
        <v>-4.0784206141079971E-2</v>
      </c>
      <c r="AN1003" s="26">
        <f t="shared" si="352"/>
        <v>-19.169761904761884</v>
      </c>
      <c r="AO1003" s="26">
        <f t="shared" si="353"/>
        <v>-21.059517374517412</v>
      </c>
      <c r="AP1003" s="26">
        <f t="shared" si="354"/>
        <v>-23.970258800393395</v>
      </c>
      <c r="AS1003" s="2">
        <v>44477</v>
      </c>
      <c r="AT1003">
        <v>11.6</v>
      </c>
      <c r="AU1003">
        <v>22.1</v>
      </c>
      <c r="AV1003">
        <v>5.6</v>
      </c>
      <c r="AW1003">
        <v>2.8</v>
      </c>
      <c r="AX1003">
        <v>128.65</v>
      </c>
      <c r="AY1003">
        <v>0.1</v>
      </c>
      <c r="AZ1003">
        <v>3.2</v>
      </c>
      <c r="BA1003">
        <v>325.5514</v>
      </c>
      <c r="BB1003">
        <v>219.20050000000001</v>
      </c>
      <c r="BC1003">
        <v>105.515</v>
      </c>
      <c r="BD1003">
        <v>4.4969000000000001</v>
      </c>
      <c r="BE1003">
        <v>21.6099</v>
      </c>
      <c r="BF1003">
        <v>-18.1065</v>
      </c>
      <c r="BG1003">
        <v>59.2258</v>
      </c>
      <c r="BH1003">
        <v>76.13</v>
      </c>
    </row>
    <row r="1004" spans="1:60" x14ac:dyDescent="0.25">
      <c r="A1004" s="2">
        <v>44497</v>
      </c>
      <c r="B1004">
        <v>8.6</v>
      </c>
      <c r="C1004">
        <v>21.7</v>
      </c>
      <c r="D1004">
        <v>73.8</v>
      </c>
      <c r="E1004">
        <v>9.1</v>
      </c>
      <c r="F1004">
        <v>112.42</v>
      </c>
      <c r="G1004">
        <v>0.2</v>
      </c>
      <c r="H1004">
        <v>3.2</v>
      </c>
      <c r="I1004">
        <v>339.43369999999999</v>
      </c>
      <c r="J1004">
        <v>179.9949</v>
      </c>
      <c r="K1004">
        <v>68.929599999999994</v>
      </c>
      <c r="L1004">
        <v>3.5600999999999998</v>
      </c>
      <c r="M1004">
        <v>27.122499999999999</v>
      </c>
      <c r="N1004">
        <v>-24.678999999999998</v>
      </c>
      <c r="O1004">
        <v>43.416899999999998</v>
      </c>
      <c r="P1004">
        <v>76.989999999999995</v>
      </c>
      <c r="S1004">
        <f t="shared" si="333"/>
        <v>848.06080000000009</v>
      </c>
      <c r="T1004">
        <f t="shared" si="334"/>
        <v>8.0621989272588075E-3</v>
      </c>
      <c r="U1004">
        <f t="shared" si="335"/>
        <v>2.0342990316455364E-2</v>
      </c>
      <c r="V1004">
        <f t="shared" si="336"/>
        <v>6.9184916375779074E-2</v>
      </c>
      <c r="W1004">
        <f t="shared" si="337"/>
        <v>8.5309314230296689E-3</v>
      </c>
      <c r="X1004">
        <f t="shared" si="338"/>
        <v>0.10538981434912038</v>
      </c>
      <c r="Y1004">
        <f t="shared" si="339"/>
        <v>1.874929983083444E-4</v>
      </c>
      <c r="Z1004">
        <f t="shared" si="340"/>
        <v>2.9998879729335104E-3</v>
      </c>
      <c r="AA1004">
        <f t="shared" si="341"/>
        <v>0.31820721069947538</v>
      </c>
      <c r="AB1004">
        <f t="shared" si="342"/>
        <v>0.16873891740605307</v>
      </c>
      <c r="AC1004">
        <f t="shared" si="343"/>
        <v>6.4619086880974272E-2</v>
      </c>
      <c r="AD1004">
        <f t="shared" si="344"/>
        <v>3.3374691163876838E-3</v>
      </c>
      <c r="AE1004">
        <f t="shared" si="345"/>
        <v>2.5426394233090351E-2</v>
      </c>
      <c r="AG1004">
        <f t="shared" si="346"/>
        <v>0.96448579216437547</v>
      </c>
      <c r="AH1004">
        <f t="shared" si="347"/>
        <v>0.2401246265959755</v>
      </c>
      <c r="AI1004">
        <f t="shared" si="348"/>
        <v>-1.4077602498628156E-2</v>
      </c>
      <c r="AK1004" s="26">
        <f t="shared" si="349"/>
        <v>3.4114007305039717E-2</v>
      </c>
      <c r="AL1004" s="26">
        <f t="shared" si="350"/>
        <v>-1.3732609654156597E-2</v>
      </c>
      <c r="AM1004" s="26">
        <f t="shared" si="351"/>
        <v>-4.3004438427212244E-2</v>
      </c>
      <c r="AN1004" s="26">
        <f t="shared" si="352"/>
        <v>-19.22071428571428</v>
      </c>
      <c r="AO1004" s="26">
        <f t="shared" si="353"/>
        <v>-21.144604247104283</v>
      </c>
      <c r="AP1004" s="26">
        <f t="shared" si="354"/>
        <v>-24.057821828908615</v>
      </c>
      <c r="AS1004" s="2">
        <v>44476</v>
      </c>
      <c r="AT1004">
        <v>12.5</v>
      </c>
      <c r="AU1004">
        <v>0.4</v>
      </c>
      <c r="AV1004">
        <v>3.5</v>
      </c>
      <c r="AW1004">
        <v>0.6</v>
      </c>
      <c r="AX1004">
        <v>120.76</v>
      </c>
      <c r="AY1004">
        <v>0.2</v>
      </c>
      <c r="AZ1004">
        <v>3.2</v>
      </c>
      <c r="BA1004">
        <v>326.31279999999998</v>
      </c>
      <c r="BB1004">
        <v>228.4014</v>
      </c>
      <c r="BC1004">
        <v>135.8458</v>
      </c>
      <c r="BD1004">
        <v>4.9828000000000001</v>
      </c>
      <c r="BE1004">
        <v>22.086200000000002</v>
      </c>
      <c r="BF1004">
        <v>-11.815300000000001</v>
      </c>
      <c r="BG1004">
        <v>79.638000000000005</v>
      </c>
      <c r="BH1004">
        <v>76.02</v>
      </c>
    </row>
    <row r="1005" spans="1:60" x14ac:dyDescent="0.25">
      <c r="A1005" s="2">
        <v>44496</v>
      </c>
      <c r="B1005">
        <v>8.6</v>
      </c>
      <c r="C1005">
        <v>30.5</v>
      </c>
      <c r="D1005">
        <v>77.5</v>
      </c>
      <c r="E1005">
        <v>15.6</v>
      </c>
      <c r="F1005">
        <v>73.84</v>
      </c>
      <c r="G1005">
        <v>0.2</v>
      </c>
      <c r="H1005">
        <v>3.3</v>
      </c>
      <c r="I1005">
        <v>315.92430000000002</v>
      </c>
      <c r="J1005">
        <v>146.77799999999999</v>
      </c>
      <c r="K1005">
        <v>73.070499999999996</v>
      </c>
      <c r="L1005">
        <v>3.5571999999999999</v>
      </c>
      <c r="M1005">
        <v>35.3812</v>
      </c>
      <c r="N1005">
        <v>-23.671199999999999</v>
      </c>
      <c r="O1005">
        <v>60.127600000000001</v>
      </c>
      <c r="P1005">
        <v>77.03</v>
      </c>
      <c r="S1005">
        <f t="shared" si="333"/>
        <v>784.25120000000004</v>
      </c>
      <c r="T1005">
        <f t="shared" si="334"/>
        <v>8.0621989272588075E-3</v>
      </c>
      <c r="U1005">
        <f t="shared" si="335"/>
        <v>2.8592682242022518E-2</v>
      </c>
      <c r="V1005">
        <f t="shared" si="336"/>
        <v>7.2653536844483446E-2</v>
      </c>
      <c r="W1005">
        <f t="shared" si="337"/>
        <v>1.4624453868050861E-2</v>
      </c>
      <c r="X1005">
        <f t="shared" si="338"/>
        <v>6.9222414975440752E-2</v>
      </c>
      <c r="Y1005">
        <f t="shared" si="339"/>
        <v>1.874929983083444E-4</v>
      </c>
      <c r="Z1005">
        <f t="shared" si="340"/>
        <v>3.0936344720876819E-3</v>
      </c>
      <c r="AA1005">
        <f t="shared" si="341"/>
        <v>0.29616797122732441</v>
      </c>
      <c r="AB1005">
        <f t="shared" si="342"/>
        <v>0.13759923652851086</v>
      </c>
      <c r="AC1005">
        <f t="shared" si="343"/>
        <v>6.8501035664449386E-2</v>
      </c>
      <c r="AD1005">
        <f t="shared" si="344"/>
        <v>3.3347504679122129E-3</v>
      </c>
      <c r="AE1005">
        <f t="shared" si="345"/>
        <v>3.3168636358735973E-2</v>
      </c>
      <c r="AG1005">
        <f t="shared" si="346"/>
        <v>0.96358700447760559</v>
      </c>
      <c r="AH1005">
        <f t="shared" si="347"/>
        <v>0.22960505068638837</v>
      </c>
      <c r="AI1005">
        <f t="shared" si="348"/>
        <v>-9.9862894202715713E-2</v>
      </c>
      <c r="AK1005" s="26">
        <f t="shared" si="349"/>
        <v>2.7762090491576102E-2</v>
      </c>
      <c r="AL1005" s="26">
        <f t="shared" si="350"/>
        <v>-1.4703227742217551E-2</v>
      </c>
      <c r="AM1005" s="26">
        <f t="shared" si="351"/>
        <v>-4.5778953762049712E-2</v>
      </c>
      <c r="AN1005" s="26">
        <f t="shared" si="352"/>
        <v>-19.272142857142839</v>
      </c>
      <c r="AO1005" s="26">
        <f t="shared" si="353"/>
        <v>-21.228211068211067</v>
      </c>
      <c r="AP1005" s="26">
        <f t="shared" si="354"/>
        <v>-24.145020255653932</v>
      </c>
      <c r="AS1005" s="2">
        <v>44475</v>
      </c>
      <c r="AT1005">
        <v>11.8</v>
      </c>
      <c r="AU1005">
        <v>4.7</v>
      </c>
      <c r="AV1005">
        <v>33.700000000000003</v>
      </c>
      <c r="AW1005">
        <v>7.3</v>
      </c>
      <c r="AX1005">
        <v>96.97</v>
      </c>
      <c r="AY1005">
        <v>0.2</v>
      </c>
      <c r="AZ1005">
        <v>2.7</v>
      </c>
      <c r="BA1005">
        <v>308.3338</v>
      </c>
      <c r="BB1005">
        <v>145.0658</v>
      </c>
      <c r="BC1005">
        <v>70.877200000000002</v>
      </c>
      <c r="BD1005">
        <v>4.5639000000000003</v>
      </c>
      <c r="BE1005">
        <v>16.708100000000002</v>
      </c>
      <c r="BF1005">
        <v>-27.830200000000001</v>
      </c>
      <c r="BG1005">
        <v>87.083200000000005</v>
      </c>
      <c r="BH1005">
        <v>75.959999999999994</v>
      </c>
    </row>
    <row r="1006" spans="1:60" x14ac:dyDescent="0.25">
      <c r="A1006" s="2">
        <v>44495</v>
      </c>
      <c r="B1006">
        <v>8.3000000000000007</v>
      </c>
      <c r="C1006">
        <v>2.2999999999999998</v>
      </c>
      <c r="D1006">
        <v>60.7</v>
      </c>
      <c r="E1006">
        <v>9.5</v>
      </c>
      <c r="F1006">
        <v>70.05</v>
      </c>
      <c r="G1006">
        <v>0.2</v>
      </c>
      <c r="H1006">
        <v>3.3</v>
      </c>
      <c r="I1006">
        <v>327.30279999999999</v>
      </c>
      <c r="J1006">
        <v>167.93029999999999</v>
      </c>
      <c r="K1006">
        <v>92.152299999999997</v>
      </c>
      <c r="L1006">
        <v>3.7829999999999999</v>
      </c>
      <c r="M1006">
        <v>33.951500000000003</v>
      </c>
      <c r="N1006">
        <v>-13.251799999999999</v>
      </c>
      <c r="O1006">
        <v>69.570899999999995</v>
      </c>
      <c r="P1006">
        <v>77.010000000000005</v>
      </c>
      <c r="S1006">
        <f t="shared" si="333"/>
        <v>779.46990000000005</v>
      </c>
      <c r="T1006">
        <f t="shared" si="334"/>
        <v>7.7809594297962928E-3</v>
      </c>
      <c r="U1006">
        <f t="shared" si="335"/>
        <v>2.1561694805459601E-3</v>
      </c>
      <c r="V1006">
        <f t="shared" si="336"/>
        <v>5.6904124986582524E-2</v>
      </c>
      <c r="W1006">
        <f t="shared" si="337"/>
        <v>8.9059174196463586E-3</v>
      </c>
      <c r="X1006">
        <f t="shared" si="338"/>
        <v>6.5669422657497617E-2</v>
      </c>
      <c r="Y1006">
        <f t="shared" si="339"/>
        <v>1.874929983083444E-4</v>
      </c>
      <c r="Z1006">
        <f t="shared" si="340"/>
        <v>3.0936344720876819E-3</v>
      </c>
      <c r="AA1006">
        <f t="shared" si="341"/>
        <v>0.30683491663358187</v>
      </c>
      <c r="AB1006">
        <f t="shared" si="342"/>
        <v>0.15742877726909882</v>
      </c>
      <c r="AC1006">
        <f t="shared" si="343"/>
        <v>8.6389555140050214E-2</v>
      </c>
      <c r="AD1006">
        <f t="shared" si="344"/>
        <v>3.546430063002334E-3</v>
      </c>
      <c r="AE1006">
        <f t="shared" si="345"/>
        <v>3.1828342660328773E-2</v>
      </c>
      <c r="AG1006">
        <f t="shared" si="346"/>
        <v>0.95981177655718897</v>
      </c>
      <c r="AH1006">
        <f t="shared" si="347"/>
        <v>0.17652606410479355</v>
      </c>
      <c r="AI1006">
        <f t="shared" si="348"/>
        <v>-0.53633750841185135</v>
      </c>
      <c r="AK1006" s="26">
        <f t="shared" si="349"/>
        <v>2.266335232615091E-2</v>
      </c>
      <c r="AL1006" s="26">
        <f t="shared" si="350"/>
        <v>-1.5949228147218109E-2</v>
      </c>
      <c r="AM1006" s="26">
        <f t="shared" si="351"/>
        <v>-4.8619069180499241E-2</v>
      </c>
      <c r="AN1006" s="26">
        <f t="shared" si="352"/>
        <v>-19.325000000000003</v>
      </c>
      <c r="AO1006" s="26">
        <f t="shared" si="353"/>
        <v>-21.313849742599771</v>
      </c>
      <c r="AP1006" s="26">
        <f t="shared" si="354"/>
        <v>-24.231808062930256</v>
      </c>
      <c r="AS1006" s="2">
        <v>44474</v>
      </c>
      <c r="AT1006">
        <v>9.6</v>
      </c>
      <c r="AU1006">
        <v>47.9</v>
      </c>
      <c r="AV1006">
        <v>76.3</v>
      </c>
      <c r="AW1006">
        <v>6.4</v>
      </c>
      <c r="AX1006">
        <v>64.48</v>
      </c>
      <c r="AY1006">
        <v>0.2</v>
      </c>
      <c r="AZ1006">
        <v>2.7</v>
      </c>
      <c r="BA1006">
        <v>320.05250000000001</v>
      </c>
      <c r="BB1006">
        <v>151.2116</v>
      </c>
      <c r="BC1006">
        <v>63.380400000000002</v>
      </c>
      <c r="BD1006">
        <v>4.5434000000000001</v>
      </c>
      <c r="BE1006">
        <v>24.814599999999999</v>
      </c>
      <c r="BF1006">
        <v>-14.236499999999999</v>
      </c>
      <c r="BG1006">
        <v>96.566400000000002</v>
      </c>
      <c r="BH1006">
        <v>75.86</v>
      </c>
    </row>
    <row r="1007" spans="1:60" x14ac:dyDescent="0.25">
      <c r="A1007" s="2">
        <v>44494</v>
      </c>
      <c r="B1007">
        <v>7.2</v>
      </c>
      <c r="C1007">
        <v>18.399999999999999</v>
      </c>
      <c r="D1007">
        <v>58.6</v>
      </c>
      <c r="E1007">
        <v>7</v>
      </c>
      <c r="F1007">
        <v>109.2</v>
      </c>
      <c r="G1007">
        <v>0.2</v>
      </c>
      <c r="H1007">
        <v>3.4</v>
      </c>
      <c r="I1007">
        <v>323.73520000000002</v>
      </c>
      <c r="J1007">
        <v>155.2054</v>
      </c>
      <c r="K1007">
        <v>100.43470000000001</v>
      </c>
      <c r="L1007">
        <v>3.8673999999999999</v>
      </c>
      <c r="M1007">
        <v>34.633899999999997</v>
      </c>
      <c r="N1007">
        <v>-13.722300000000001</v>
      </c>
      <c r="O1007">
        <v>67.871499999999997</v>
      </c>
      <c r="P1007">
        <v>77.09</v>
      </c>
      <c r="S1007">
        <f t="shared" si="333"/>
        <v>821.87660000000017</v>
      </c>
      <c r="T1007">
        <f t="shared" si="334"/>
        <v>6.7497479391003977E-3</v>
      </c>
      <c r="U1007">
        <f t="shared" si="335"/>
        <v>1.7249355844367681E-2</v>
      </c>
      <c r="V1007">
        <f t="shared" si="336"/>
        <v>5.4935448504344904E-2</v>
      </c>
      <c r="W1007">
        <f t="shared" si="337"/>
        <v>6.5622549407920536E-3</v>
      </c>
      <c r="X1007">
        <f t="shared" si="338"/>
        <v>0.10237117707635604</v>
      </c>
      <c r="Y1007">
        <f t="shared" si="339"/>
        <v>1.874929983083444E-4</v>
      </c>
      <c r="Z1007">
        <f t="shared" si="340"/>
        <v>3.1873809712418544E-3</v>
      </c>
      <c r="AA1007">
        <f t="shared" si="341"/>
        <v>0.30349041652975767</v>
      </c>
      <c r="AB1007">
        <f t="shared" si="342"/>
        <v>0.14549962899822957</v>
      </c>
      <c r="AC1007">
        <f t="shared" si="343"/>
        <v>9.4154015185995379E-2</v>
      </c>
      <c r="AD1007">
        <f t="shared" si="344"/>
        <v>3.6255521082884552E-3</v>
      </c>
      <c r="AE1007">
        <f t="shared" si="345"/>
        <v>3.2468068770556836E-2</v>
      </c>
      <c r="AG1007">
        <f t="shared" si="346"/>
        <v>0.96080117429574552</v>
      </c>
      <c r="AH1007">
        <f t="shared" si="347"/>
        <v>0.22371092704506812</v>
      </c>
      <c r="AI1007">
        <f t="shared" si="348"/>
        <v>-0.14615863225486769</v>
      </c>
      <c r="AK1007" s="26">
        <f t="shared" si="349"/>
        <v>2.4762499382556563E-2</v>
      </c>
      <c r="AL1007" s="26">
        <f t="shared" si="350"/>
        <v>-1.4462694344086452E-2</v>
      </c>
      <c r="AM1007" s="26">
        <f t="shared" si="351"/>
        <v>-5.101025344403054E-2</v>
      </c>
      <c r="AN1007" s="26">
        <f t="shared" si="352"/>
        <v>-19.38095238095238</v>
      </c>
      <c r="AO1007" s="26">
        <f t="shared" si="353"/>
        <v>-21.40870173745175</v>
      </c>
      <c r="AP1007" s="26">
        <f t="shared" si="354"/>
        <v>-24.317919370698206</v>
      </c>
      <c r="AS1007" s="2">
        <v>44473</v>
      </c>
      <c r="AT1007">
        <v>8.6</v>
      </c>
      <c r="AU1007">
        <v>2.9</v>
      </c>
      <c r="AV1007">
        <v>75.400000000000006</v>
      </c>
      <c r="AW1007">
        <v>6.1</v>
      </c>
      <c r="AX1007">
        <v>66.78</v>
      </c>
      <c r="AY1007">
        <v>0.2</v>
      </c>
      <c r="AZ1007">
        <v>2.2999999999999998</v>
      </c>
      <c r="BA1007">
        <v>302.2636</v>
      </c>
      <c r="BB1007">
        <v>148.7868</v>
      </c>
      <c r="BC1007">
        <v>82.014399999999995</v>
      </c>
      <c r="BD1007">
        <v>4.5065</v>
      </c>
      <c r="BE1007">
        <v>33.136099999999999</v>
      </c>
      <c r="BF1007">
        <v>-22.855699999999999</v>
      </c>
      <c r="BG1007">
        <v>57.851900000000001</v>
      </c>
      <c r="BH1007">
        <v>75.64</v>
      </c>
    </row>
    <row r="1008" spans="1:60" x14ac:dyDescent="0.25">
      <c r="A1008" s="2">
        <v>44493</v>
      </c>
      <c r="B1008">
        <v>7.5</v>
      </c>
      <c r="C1008">
        <v>30.2</v>
      </c>
      <c r="D1008">
        <v>60.2</v>
      </c>
      <c r="E1008">
        <v>7.1</v>
      </c>
      <c r="F1008">
        <v>161.97999999999999</v>
      </c>
      <c r="G1008">
        <v>0.2</v>
      </c>
      <c r="H1008">
        <v>3.3</v>
      </c>
      <c r="I1008">
        <v>308.25020000000001</v>
      </c>
      <c r="J1008">
        <v>61.590299999999999</v>
      </c>
      <c r="K1008">
        <v>37.440100000000001</v>
      </c>
      <c r="L1008">
        <v>3.7418</v>
      </c>
      <c r="M1008">
        <v>18.1661</v>
      </c>
      <c r="P1008">
        <v>77.209999999999994</v>
      </c>
      <c r="S1008">
        <f t="shared" si="333"/>
        <v>699.66849999999999</v>
      </c>
      <c r="T1008">
        <f t="shared" si="334"/>
        <v>7.0309874365629141E-3</v>
      </c>
      <c r="U1008">
        <f t="shared" si="335"/>
        <v>2.831144274456E-2</v>
      </c>
      <c r="V1008">
        <f t="shared" si="336"/>
        <v>5.6435392490811663E-2</v>
      </c>
      <c r="W1008">
        <f t="shared" si="337"/>
        <v>6.6560014399462252E-3</v>
      </c>
      <c r="X1008">
        <f t="shared" si="338"/>
        <v>0.1518505793299281</v>
      </c>
      <c r="Y1008">
        <f t="shared" si="339"/>
        <v>1.874929983083444E-4</v>
      </c>
      <c r="Z1008">
        <f t="shared" si="340"/>
        <v>3.0936344720876819E-3</v>
      </c>
      <c r="AA1008">
        <f t="shared" si="341"/>
        <v>0.28897377113573408</v>
      </c>
      <c r="AB1008">
        <f t="shared" si="342"/>
        <v>5.7738750068552114E-2</v>
      </c>
      <c r="AC1008">
        <f t="shared" si="343"/>
        <v>3.5098783029821223E-2</v>
      </c>
      <c r="AD1008">
        <f t="shared" si="344"/>
        <v>3.507806505350815E-3</v>
      </c>
      <c r="AE1008">
        <f t="shared" si="345"/>
        <v>1.7030082782846075E-2</v>
      </c>
      <c r="AG1008">
        <f t="shared" si="346"/>
        <v>0.96371288853368575</v>
      </c>
      <c r="AH1008">
        <f t="shared" si="347"/>
        <v>0.27059561369505097</v>
      </c>
      <c r="AI1008">
        <f t="shared" si="348"/>
        <v>0.24056731197832795</v>
      </c>
      <c r="AK1008" s="26">
        <f t="shared" si="349"/>
        <v>2.2669818602533032E-2</v>
      </c>
      <c r="AL1008" s="26">
        <f t="shared" si="350"/>
        <v>-1.4651945737757632E-2</v>
      </c>
      <c r="AM1008" s="26">
        <f t="shared" si="351"/>
        <v>-5.4280938150754576E-2</v>
      </c>
      <c r="AN1008" s="26">
        <f t="shared" si="352"/>
        <v>-19.449047619047619</v>
      </c>
      <c r="AO1008" s="26">
        <f t="shared" si="353"/>
        <v>-21.503782175032185</v>
      </c>
      <c r="AP1008" s="26">
        <f t="shared" si="354"/>
        <v>-24.405435201573326</v>
      </c>
      <c r="AS1008" s="2">
        <v>44472</v>
      </c>
      <c r="AT1008">
        <v>8.5</v>
      </c>
      <c r="AU1008">
        <v>0</v>
      </c>
      <c r="AV1008">
        <v>60.8</v>
      </c>
      <c r="AW1008">
        <v>10.1</v>
      </c>
      <c r="AX1008">
        <v>92.28</v>
      </c>
      <c r="AY1008">
        <v>0.2</v>
      </c>
      <c r="AZ1008">
        <v>2.6</v>
      </c>
      <c r="BA1008">
        <v>142.46299999999999</v>
      </c>
      <c r="BB1008">
        <v>20.258199999999999</v>
      </c>
      <c r="BC1008">
        <v>35.026299999999999</v>
      </c>
      <c r="BD1008">
        <v>4.4947999999999997</v>
      </c>
      <c r="BE1008">
        <v>12.728199999999999</v>
      </c>
      <c r="BH1008">
        <v>75.47</v>
      </c>
    </row>
    <row r="1009" spans="1:60" x14ac:dyDescent="0.25">
      <c r="A1009" s="2">
        <v>44492</v>
      </c>
      <c r="B1009">
        <v>8.1</v>
      </c>
      <c r="C1009">
        <v>40.9</v>
      </c>
      <c r="D1009">
        <v>49.2</v>
      </c>
      <c r="E1009">
        <v>9.6999999999999993</v>
      </c>
      <c r="F1009">
        <v>109.87</v>
      </c>
      <c r="G1009">
        <v>0.2</v>
      </c>
      <c r="H1009">
        <v>3.4</v>
      </c>
      <c r="I1009">
        <v>298.66379999999998</v>
      </c>
      <c r="J1009">
        <v>97.406400000000005</v>
      </c>
      <c r="K1009">
        <v>66.534400000000005</v>
      </c>
      <c r="L1009">
        <v>3.7685</v>
      </c>
      <c r="M1009">
        <v>29.700099999999999</v>
      </c>
      <c r="P1009">
        <v>77.2</v>
      </c>
      <c r="S1009">
        <f t="shared" si="333"/>
        <v>717.44319999999993</v>
      </c>
      <c r="T1009">
        <f t="shared" si="334"/>
        <v>7.593466431487947E-3</v>
      </c>
      <c r="U1009">
        <f t="shared" si="335"/>
        <v>3.8342318154056428E-2</v>
      </c>
      <c r="V1009">
        <f t="shared" si="336"/>
        <v>4.612327758385272E-2</v>
      </c>
      <c r="W1009">
        <f t="shared" si="337"/>
        <v>9.0934104179547018E-3</v>
      </c>
      <c r="X1009">
        <f t="shared" si="338"/>
        <v>0.10299927862068899</v>
      </c>
      <c r="Y1009">
        <f t="shared" si="339"/>
        <v>1.874929983083444E-4</v>
      </c>
      <c r="Z1009">
        <f t="shared" si="340"/>
        <v>3.1873809712418544E-3</v>
      </c>
      <c r="AA1009">
        <f t="shared" si="341"/>
        <v>0.27998685674081852</v>
      </c>
      <c r="AB1009">
        <f t="shared" si="342"/>
        <v>9.1315089952109588E-2</v>
      </c>
      <c r="AC1009">
        <f t="shared" si="343"/>
        <v>6.2373670733233549E-2</v>
      </c>
      <c r="AD1009">
        <f t="shared" si="344"/>
        <v>3.5328368206249791E-3</v>
      </c>
      <c r="AE1009">
        <f t="shared" si="345"/>
        <v>2.7842803995288296E-2</v>
      </c>
      <c r="AG1009">
        <f t="shared" si="346"/>
        <v>0.96045068490937213</v>
      </c>
      <c r="AH1009">
        <f t="shared" si="347"/>
        <v>0.23536942917287929</v>
      </c>
      <c r="AI1009">
        <f t="shared" si="348"/>
        <v>-4.8980356106587547E-2</v>
      </c>
      <c r="AK1009" s="26">
        <f t="shared" si="349"/>
        <v>1.6959101058569848E-2</v>
      </c>
      <c r="AL1009" s="26">
        <f t="shared" si="350"/>
        <v>-1.4554216972982204E-2</v>
      </c>
      <c r="AM1009" s="26">
        <f t="shared" si="351"/>
        <v>-5.5731037884006518E-2</v>
      </c>
      <c r="AN1009" s="26">
        <f t="shared" si="352"/>
        <v>-19.528095238095247</v>
      </c>
      <c r="AO1009" s="26">
        <f t="shared" si="353"/>
        <v>-21.604467503217549</v>
      </c>
      <c r="AP1009" s="26">
        <f t="shared" si="354"/>
        <v>-24.495506784660833</v>
      </c>
      <c r="AS1009" s="2">
        <v>44471</v>
      </c>
      <c r="AT1009">
        <v>9.3000000000000007</v>
      </c>
      <c r="AU1009">
        <v>0</v>
      </c>
      <c r="AV1009">
        <v>44.7</v>
      </c>
      <c r="AW1009">
        <v>8</v>
      </c>
      <c r="AX1009">
        <v>147.25</v>
      </c>
      <c r="AY1009">
        <v>0.2</v>
      </c>
      <c r="AZ1009">
        <v>2.9</v>
      </c>
      <c r="BA1009">
        <v>274.05070000000001</v>
      </c>
      <c r="BB1009">
        <v>63.3658</v>
      </c>
      <c r="BC1009">
        <v>37.364600000000003</v>
      </c>
      <c r="BD1009">
        <v>4.4526000000000003</v>
      </c>
      <c r="BE1009">
        <v>19.6646</v>
      </c>
      <c r="BH1009">
        <v>75.17</v>
      </c>
    </row>
    <row r="1010" spans="1:60" x14ac:dyDescent="0.25">
      <c r="A1010" s="2">
        <v>44491</v>
      </c>
      <c r="B1010">
        <v>8.5</v>
      </c>
      <c r="C1010">
        <v>18.3</v>
      </c>
      <c r="D1010">
        <v>61.8</v>
      </c>
      <c r="E1010">
        <v>23.4</v>
      </c>
      <c r="F1010">
        <v>100.59</v>
      </c>
      <c r="G1010">
        <v>0.2</v>
      </c>
      <c r="H1010">
        <v>3.2</v>
      </c>
      <c r="I1010">
        <v>211.1491</v>
      </c>
      <c r="J1010">
        <v>54.934399999999997</v>
      </c>
      <c r="K1010">
        <v>48.290500000000002</v>
      </c>
      <c r="L1010">
        <v>4.0589000000000004</v>
      </c>
      <c r="M1010">
        <v>23.0806</v>
      </c>
      <c r="N1010">
        <v>-13.6534</v>
      </c>
      <c r="O1010">
        <v>72.457999999999998</v>
      </c>
      <c r="P1010">
        <v>77.22</v>
      </c>
      <c r="S1010">
        <f t="shared" si="333"/>
        <v>557.50349999999992</v>
      </c>
      <c r="T1010">
        <f t="shared" si="334"/>
        <v>7.9684524281046359E-3</v>
      </c>
      <c r="U1010">
        <f t="shared" si="335"/>
        <v>1.7155609345213513E-2</v>
      </c>
      <c r="V1010">
        <f t="shared" si="336"/>
        <v>5.7935336477278408E-2</v>
      </c>
      <c r="W1010">
        <f t="shared" si="337"/>
        <v>2.1936680802076291E-2</v>
      </c>
      <c r="X1010">
        <f t="shared" si="338"/>
        <v>9.4299603499181817E-2</v>
      </c>
      <c r="Y1010">
        <f t="shared" si="339"/>
        <v>1.874929983083444E-4</v>
      </c>
      <c r="Z1010">
        <f t="shared" si="340"/>
        <v>2.9998879729335104E-3</v>
      </c>
      <c r="AA1010">
        <f t="shared" si="341"/>
        <v>0.19794488924554221</v>
      </c>
      <c r="AB1010">
        <f t="shared" si="342"/>
        <v>5.1499076831349563E-2</v>
      </c>
      <c r="AC1010">
        <f t="shared" si="343"/>
        <v>4.5270653174045522E-2</v>
      </c>
      <c r="AD1010">
        <f t="shared" si="344"/>
        <v>3.8050766541686955E-3</v>
      </c>
      <c r="AE1010">
        <f t="shared" si="345"/>
        <v>2.1637254483777867E-2</v>
      </c>
      <c r="AG1010">
        <f t="shared" si="346"/>
        <v>0.9586277964680775</v>
      </c>
      <c r="AH1010">
        <f t="shared" si="347"/>
        <v>0.22412031800687437</v>
      </c>
      <c r="AI1010">
        <f t="shared" si="348"/>
        <v>-0.13993428347117054</v>
      </c>
      <c r="AK1010" s="26">
        <f t="shared" si="349"/>
        <v>1.3922654183025712E-2</v>
      </c>
      <c r="AL1010" s="26">
        <f t="shared" si="350"/>
        <v>-1.878482348011698E-2</v>
      </c>
      <c r="AM1010" s="26">
        <f t="shared" si="351"/>
        <v>-5.7831815022686583E-2</v>
      </c>
      <c r="AN1010" s="26">
        <f t="shared" si="352"/>
        <v>-19.618095238095236</v>
      </c>
      <c r="AO1010" s="26">
        <f t="shared" si="353"/>
        <v>-21.710587194337222</v>
      </c>
      <c r="AP1010" s="26">
        <f t="shared" si="354"/>
        <v>-24.586984464110202</v>
      </c>
      <c r="AS1010" s="2">
        <v>44470</v>
      </c>
      <c r="AT1010">
        <v>10.199999999999999</v>
      </c>
      <c r="AU1010">
        <v>4.0999999999999996</v>
      </c>
      <c r="AV1010">
        <v>78.7</v>
      </c>
      <c r="AW1010">
        <v>10.7</v>
      </c>
      <c r="AX1010">
        <v>189.61</v>
      </c>
      <c r="AY1010">
        <v>0.2</v>
      </c>
      <c r="AZ1010">
        <v>3</v>
      </c>
      <c r="BA1010">
        <v>263.4579</v>
      </c>
      <c r="BB1010">
        <v>95.694199999999995</v>
      </c>
      <c r="BC1010">
        <v>51.528799999999997</v>
      </c>
      <c r="BD1010">
        <v>4.3327999999999998</v>
      </c>
      <c r="BE1010">
        <v>26.560400000000001</v>
      </c>
      <c r="BF1010">
        <v>-22.202300000000001</v>
      </c>
      <c r="BG1010">
        <v>57.861899999999999</v>
      </c>
      <c r="BH1010">
        <v>74.930000000000007</v>
      </c>
    </row>
    <row r="1011" spans="1:60" x14ac:dyDescent="0.25">
      <c r="A1011" s="2">
        <v>44490</v>
      </c>
      <c r="B1011">
        <v>8.1999999999999993</v>
      </c>
      <c r="C1011">
        <v>90.3</v>
      </c>
      <c r="D1011">
        <v>64.7</v>
      </c>
      <c r="E1011">
        <v>22.4</v>
      </c>
      <c r="F1011">
        <v>80.72</v>
      </c>
      <c r="G1011">
        <v>0.2</v>
      </c>
      <c r="H1011">
        <v>3.1</v>
      </c>
      <c r="I1011">
        <v>198.21870000000001</v>
      </c>
      <c r="J1011">
        <v>34.5366</v>
      </c>
      <c r="K1011">
        <v>44.475499999999997</v>
      </c>
      <c r="L1011">
        <v>4.0396000000000001</v>
      </c>
      <c r="M1011">
        <v>31.265999999999998</v>
      </c>
      <c r="N1011">
        <v>-24.765899999999998</v>
      </c>
      <c r="O1011">
        <v>67.951099999999997</v>
      </c>
      <c r="P1011">
        <v>77.28</v>
      </c>
      <c r="S1011">
        <f t="shared" si="333"/>
        <v>582.15639999999996</v>
      </c>
      <c r="T1011">
        <f t="shared" si="334"/>
        <v>7.6872129306421186E-3</v>
      </c>
      <c r="U1011">
        <f t="shared" si="335"/>
        <v>8.4653088736217491E-2</v>
      </c>
      <c r="V1011">
        <f t="shared" si="336"/>
        <v>6.0653984952749408E-2</v>
      </c>
      <c r="W1011">
        <f t="shared" si="337"/>
        <v>2.0999215810534568E-2</v>
      </c>
      <c r="X1011">
        <f t="shared" si="338"/>
        <v>7.567217411724779E-2</v>
      </c>
      <c r="Y1011">
        <f t="shared" si="339"/>
        <v>1.874929983083444E-4</v>
      </c>
      <c r="Z1011">
        <f t="shared" si="340"/>
        <v>2.9061414737793379E-3</v>
      </c>
      <c r="AA1011">
        <f t="shared" si="341"/>
        <v>0.18582309191891114</v>
      </c>
      <c r="AB1011">
        <f t="shared" si="342"/>
        <v>3.2376853426879834E-2</v>
      </c>
      <c r="AC1011">
        <f t="shared" si="343"/>
        <v>4.1694224231313852E-2</v>
      </c>
      <c r="AD1011">
        <f t="shared" si="344"/>
        <v>3.7869835798319397E-3</v>
      </c>
      <c r="AE1011">
        <f t="shared" si="345"/>
        <v>2.9310780425543477E-2</v>
      </c>
      <c r="AG1011">
        <f t="shared" si="346"/>
        <v>0.95871316811937213</v>
      </c>
      <c r="AH1011">
        <f t="shared" si="347"/>
        <v>0.28207009144502249</v>
      </c>
      <c r="AI1011">
        <f t="shared" si="348"/>
        <v>0.33770568809346446</v>
      </c>
      <c r="AK1011" s="26">
        <f t="shared" si="349"/>
        <v>1.2270550700193728E-2</v>
      </c>
      <c r="AL1011" s="26">
        <f t="shared" si="350"/>
        <v>-2.2238038470186267E-2</v>
      </c>
      <c r="AM1011" s="26">
        <f t="shared" si="351"/>
        <v>-6.1449619533841149E-2</v>
      </c>
      <c r="AN1011" s="26">
        <f t="shared" si="352"/>
        <v>-19.716190476190462</v>
      </c>
      <c r="AO1011" s="26">
        <f t="shared" si="353"/>
        <v>-21.820876769626778</v>
      </c>
      <c r="AP1011" s="26">
        <f t="shared" si="354"/>
        <v>-24.748493204804106</v>
      </c>
      <c r="AS1011" s="2">
        <v>44469</v>
      </c>
      <c r="AT1011">
        <v>10.8</v>
      </c>
      <c r="AU1011">
        <v>17.2</v>
      </c>
      <c r="AV1011">
        <v>78.5</v>
      </c>
      <c r="AW1011">
        <v>10.4</v>
      </c>
      <c r="AX1011">
        <v>169.47</v>
      </c>
      <c r="AY1011">
        <v>0.2</v>
      </c>
      <c r="AZ1011">
        <v>2.7</v>
      </c>
      <c r="BA1011">
        <v>263.70150000000001</v>
      </c>
      <c r="BB1011">
        <v>115.77119999999999</v>
      </c>
      <c r="BC1011">
        <v>44.387999999999998</v>
      </c>
      <c r="BD1011">
        <v>4.3174000000000001</v>
      </c>
      <c r="BE1011">
        <v>26.475899999999999</v>
      </c>
      <c r="BF1011">
        <v>-58.383699999999997</v>
      </c>
      <c r="BG1011">
        <v>18.817299999999999</v>
      </c>
      <c r="BH1011">
        <v>74.709999999999994</v>
      </c>
    </row>
    <row r="1012" spans="1:60" x14ac:dyDescent="0.25">
      <c r="A1012" s="2">
        <v>44489</v>
      </c>
      <c r="B1012">
        <v>8.6</v>
      </c>
      <c r="C1012">
        <v>18.8</v>
      </c>
      <c r="D1012">
        <v>79.400000000000006</v>
      </c>
      <c r="E1012">
        <v>21.4</v>
      </c>
      <c r="F1012">
        <v>86.74</v>
      </c>
      <c r="G1012">
        <v>0.2</v>
      </c>
      <c r="H1012">
        <v>3.5</v>
      </c>
      <c r="I1012">
        <v>198.26830000000001</v>
      </c>
      <c r="J1012">
        <v>38.393700000000003</v>
      </c>
      <c r="K1012">
        <v>44.508800000000001</v>
      </c>
      <c r="L1012">
        <v>4.1966000000000001</v>
      </c>
      <c r="M1012">
        <v>25.605699999999999</v>
      </c>
      <c r="N1012">
        <v>-16.2971</v>
      </c>
      <c r="O1012">
        <v>78.196899999999999</v>
      </c>
      <c r="P1012">
        <v>77.27</v>
      </c>
      <c r="S1012">
        <f t="shared" si="333"/>
        <v>529.61310000000003</v>
      </c>
      <c r="T1012">
        <f t="shared" si="334"/>
        <v>8.0621989272588075E-3</v>
      </c>
      <c r="U1012">
        <f t="shared" si="335"/>
        <v>1.7624341840984374E-2</v>
      </c>
      <c r="V1012">
        <f t="shared" si="336"/>
        <v>7.4434720328412723E-2</v>
      </c>
      <c r="W1012">
        <f t="shared" si="337"/>
        <v>2.0061750818992849E-2</v>
      </c>
      <c r="X1012">
        <f t="shared" si="338"/>
        <v>8.1315713366328951E-2</v>
      </c>
      <c r="Y1012">
        <f t="shared" si="339"/>
        <v>1.874929983083444E-4</v>
      </c>
      <c r="Z1012">
        <f t="shared" si="340"/>
        <v>3.2811274703960268E-3</v>
      </c>
      <c r="AA1012">
        <f t="shared" si="341"/>
        <v>0.18586959018249158</v>
      </c>
      <c r="AB1012">
        <f t="shared" si="342"/>
        <v>3.5992749645755412E-2</v>
      </c>
      <c r="AC1012">
        <f t="shared" si="343"/>
        <v>4.1725441815532192E-2</v>
      </c>
      <c r="AD1012">
        <f t="shared" si="344"/>
        <v>3.9341655835039907E-3</v>
      </c>
      <c r="AE1012">
        <f t="shared" si="345"/>
        <v>2.4004447333919869E-2</v>
      </c>
      <c r="AG1012">
        <f t="shared" si="346"/>
        <v>0.95546019711438379</v>
      </c>
      <c r="AH1012">
        <f t="shared" si="347"/>
        <v>0.22897179308460194</v>
      </c>
      <c r="AI1012">
        <f t="shared" si="348"/>
        <v>-9.672818320035359E-2</v>
      </c>
      <c r="AK1012" s="26">
        <f t="shared" si="349"/>
        <v>1.2463070296504369E-2</v>
      </c>
      <c r="AL1012" s="26">
        <f t="shared" si="350"/>
        <v>-2.5630748902637723E-2</v>
      </c>
      <c r="AM1012" s="26">
        <f t="shared" si="351"/>
        <v>-6.4495571486164027E-2</v>
      </c>
      <c r="AN1012" s="26">
        <f t="shared" si="352"/>
        <v>-19.822857142857131</v>
      </c>
      <c r="AO1012" s="26">
        <f t="shared" si="353"/>
        <v>-21.93551480051481</v>
      </c>
      <c r="AP1012" s="26">
        <f t="shared" si="354"/>
        <v>-24.911231794912567</v>
      </c>
      <c r="AS1012" s="2">
        <v>44468</v>
      </c>
      <c r="AT1012">
        <v>10.8</v>
      </c>
      <c r="AU1012">
        <v>0</v>
      </c>
      <c r="AV1012">
        <v>67.400000000000006</v>
      </c>
      <c r="AW1012">
        <v>7.9</v>
      </c>
      <c r="AX1012">
        <v>98.23</v>
      </c>
      <c r="AY1012">
        <v>0.2</v>
      </c>
      <c r="AZ1012">
        <v>2.7</v>
      </c>
      <c r="BA1012">
        <v>330.48590000000002</v>
      </c>
      <c r="BB1012">
        <v>178.4161</v>
      </c>
      <c r="BC1012">
        <v>42.510399999999997</v>
      </c>
      <c r="BD1012">
        <v>4.0773999999999999</v>
      </c>
      <c r="BE1012">
        <v>22.016100000000002</v>
      </c>
      <c r="BF1012">
        <v>-51.999400000000001</v>
      </c>
      <c r="BG1012">
        <v>20.298100000000002</v>
      </c>
      <c r="BH1012">
        <v>74.53</v>
      </c>
    </row>
    <row r="1013" spans="1:60" x14ac:dyDescent="0.25">
      <c r="A1013" s="2">
        <v>44488</v>
      </c>
      <c r="B1013">
        <v>9</v>
      </c>
      <c r="C1013">
        <v>19</v>
      </c>
      <c r="D1013">
        <v>71.7</v>
      </c>
      <c r="E1013">
        <v>11.4</v>
      </c>
      <c r="F1013">
        <v>49.14</v>
      </c>
      <c r="G1013">
        <v>0.2</v>
      </c>
      <c r="H1013">
        <v>3.4</v>
      </c>
      <c r="I1013">
        <v>338.64479999999998</v>
      </c>
      <c r="J1013">
        <v>166.95949999999999</v>
      </c>
      <c r="K1013">
        <v>79.97</v>
      </c>
      <c r="L1013">
        <v>4.2884000000000002</v>
      </c>
      <c r="M1013">
        <v>24.8719</v>
      </c>
      <c r="N1013">
        <v>-27.831700000000001</v>
      </c>
      <c r="O1013">
        <v>57.108899999999998</v>
      </c>
      <c r="P1013">
        <v>77.150000000000006</v>
      </c>
      <c r="S1013">
        <f t="shared" si="333"/>
        <v>778.57459999999992</v>
      </c>
      <c r="T1013">
        <f t="shared" si="334"/>
        <v>8.4371849238754973E-3</v>
      </c>
      <c r="U1013">
        <f t="shared" si="335"/>
        <v>1.7811834839292717E-2</v>
      </c>
      <c r="V1013">
        <f t="shared" si="336"/>
        <v>6.721623989354146E-2</v>
      </c>
      <c r="W1013">
        <f t="shared" si="337"/>
        <v>1.0687100903575631E-2</v>
      </c>
      <c r="X1013">
        <f t="shared" si="338"/>
        <v>4.6067029684360217E-2</v>
      </c>
      <c r="Y1013">
        <f t="shared" si="339"/>
        <v>1.874929983083444E-4</v>
      </c>
      <c r="Z1013">
        <f t="shared" si="340"/>
        <v>3.1873809712418544E-3</v>
      </c>
      <c r="AA1013">
        <f t="shared" si="341"/>
        <v>0.31746764456764809</v>
      </c>
      <c r="AB1013">
        <f t="shared" si="342"/>
        <v>0.15651868625531012</v>
      </c>
      <c r="AC1013">
        <f t="shared" si="343"/>
        <v>7.4969075373591501E-2</v>
      </c>
      <c r="AD1013">
        <f t="shared" si="344"/>
        <v>4.0202248697275202E-3</v>
      </c>
      <c r="AE1013">
        <f t="shared" si="345"/>
        <v>2.3316535523126552E-2</v>
      </c>
      <c r="AG1013">
        <f t="shared" si="346"/>
        <v>0.94695804075208867</v>
      </c>
      <c r="AH1013">
        <f t="shared" si="347"/>
        <v>0.17691079973732227</v>
      </c>
      <c r="AI1013">
        <f t="shared" si="348"/>
        <v>-0.52538830154903404</v>
      </c>
      <c r="AK1013" s="26">
        <f t="shared" si="349"/>
        <v>1.0566598707150987E-2</v>
      </c>
      <c r="AL1013" s="26">
        <f t="shared" si="350"/>
        <v>-2.6956689930584421E-2</v>
      </c>
      <c r="AM1013" s="26">
        <f t="shared" si="351"/>
        <v>-6.7005669398824297E-2</v>
      </c>
      <c r="AN1013" s="26">
        <f t="shared" si="352"/>
        <v>-19.937380952380948</v>
      </c>
      <c r="AO1013" s="26">
        <f t="shared" si="353"/>
        <v>-22.052086550836549</v>
      </c>
      <c r="AP1013" s="26">
        <f t="shared" si="354"/>
        <v>-25.074014988439842</v>
      </c>
      <c r="AS1013" s="2">
        <v>44467</v>
      </c>
      <c r="AT1013">
        <v>11.1</v>
      </c>
      <c r="AU1013">
        <v>17.2</v>
      </c>
      <c r="AV1013">
        <v>25.8</v>
      </c>
      <c r="AW1013">
        <v>2.4</v>
      </c>
      <c r="AX1013">
        <v>125.19</v>
      </c>
      <c r="AY1013">
        <v>0.2</v>
      </c>
      <c r="AZ1013">
        <v>2.9</v>
      </c>
      <c r="BA1013">
        <v>345.18830000000003</v>
      </c>
      <c r="BB1013">
        <v>239.27340000000001</v>
      </c>
      <c r="BC1013">
        <v>83.224900000000005</v>
      </c>
      <c r="BD1013">
        <v>4.4074999999999998</v>
      </c>
      <c r="BE1013">
        <v>29.564399999999999</v>
      </c>
      <c r="BF1013">
        <v>-43.869799999999998</v>
      </c>
      <c r="BG1013">
        <v>20.8263</v>
      </c>
      <c r="BH1013">
        <v>74.28</v>
      </c>
    </row>
    <row r="1014" spans="1:60" x14ac:dyDescent="0.25">
      <c r="A1014" s="2">
        <v>44487</v>
      </c>
      <c r="B1014">
        <v>8.6999999999999993</v>
      </c>
      <c r="C1014">
        <v>21.4</v>
      </c>
      <c r="D1014">
        <v>44</v>
      </c>
      <c r="E1014">
        <v>5.8</v>
      </c>
      <c r="F1014">
        <v>102.85</v>
      </c>
      <c r="G1014">
        <v>0.1</v>
      </c>
      <c r="H1014">
        <v>3.3</v>
      </c>
      <c r="I1014">
        <v>360.50560000000002</v>
      </c>
      <c r="J1014">
        <v>197.3193</v>
      </c>
      <c r="K1014">
        <v>83.430999999999997</v>
      </c>
      <c r="L1014">
        <v>4.3075000000000001</v>
      </c>
      <c r="M1014">
        <v>29.3431</v>
      </c>
      <c r="N1014">
        <v>-40.914200000000001</v>
      </c>
      <c r="O1014">
        <v>48.959000000000003</v>
      </c>
      <c r="P1014">
        <v>77.09</v>
      </c>
      <c r="S1014">
        <f t="shared" si="333"/>
        <v>861.05650000000014</v>
      </c>
      <c r="T1014">
        <f t="shared" si="334"/>
        <v>8.1559454264129791E-3</v>
      </c>
      <c r="U1014">
        <f t="shared" si="335"/>
        <v>2.0061750818992849E-2</v>
      </c>
      <c r="V1014">
        <f t="shared" si="336"/>
        <v>4.1248459627835764E-2</v>
      </c>
      <c r="W1014">
        <f t="shared" si="337"/>
        <v>5.4372969509419869E-3</v>
      </c>
      <c r="X1014">
        <f t="shared" si="338"/>
        <v>9.6418274380066088E-2</v>
      </c>
      <c r="Y1014">
        <f t="shared" si="339"/>
        <v>9.3746499154172199E-5</v>
      </c>
      <c r="Z1014">
        <f t="shared" si="340"/>
        <v>3.0936344720876819E-3</v>
      </c>
      <c r="AA1014">
        <f t="shared" si="341"/>
        <v>0.3379613792547434</v>
      </c>
      <c r="AB1014">
        <f t="shared" si="342"/>
        <v>0.18497993590551848</v>
      </c>
      <c r="AC1014">
        <f t="shared" si="343"/>
        <v>7.8213641709317397E-2</v>
      </c>
      <c r="AD1014">
        <f t="shared" si="344"/>
        <v>4.0381304510659676E-3</v>
      </c>
      <c r="AE1014">
        <f t="shared" si="345"/>
        <v>2.7508128993307901E-2</v>
      </c>
      <c r="AG1014">
        <f t="shared" si="346"/>
        <v>0.94129448012772932</v>
      </c>
      <c r="AH1014">
        <f t="shared" si="347"/>
        <v>0.20201723716879941</v>
      </c>
      <c r="AI1014">
        <f t="shared" si="348"/>
        <v>-0.31900419532820584</v>
      </c>
      <c r="AK1014" s="26">
        <f t="shared" si="349"/>
        <v>1.2168038903368622E-2</v>
      </c>
      <c r="AL1014" s="26">
        <f t="shared" si="350"/>
        <v>-2.8061533309017173E-2</v>
      </c>
      <c r="AM1014" s="26">
        <f t="shared" si="351"/>
        <v>-6.9143527205144772E-2</v>
      </c>
      <c r="AN1014" s="26">
        <f t="shared" si="352"/>
        <v>-20.050476190476175</v>
      </c>
      <c r="AO1014" s="26">
        <f t="shared" si="353"/>
        <v>-22.16934684684685</v>
      </c>
      <c r="AP1014" s="26">
        <f t="shared" si="354"/>
        <v>-25.234977775998154</v>
      </c>
      <c r="AS1014" s="2">
        <v>44466</v>
      </c>
      <c r="AT1014">
        <v>10.7</v>
      </c>
      <c r="AU1014">
        <v>3.8</v>
      </c>
      <c r="AV1014">
        <v>52</v>
      </c>
      <c r="AW1014">
        <v>2.9</v>
      </c>
      <c r="AX1014">
        <v>121.66</v>
      </c>
      <c r="AY1014">
        <v>0.2</v>
      </c>
      <c r="AZ1014">
        <v>3.2</v>
      </c>
      <c r="BA1014">
        <v>344.66899999999998</v>
      </c>
      <c r="BB1014">
        <v>209.60079999999999</v>
      </c>
      <c r="BC1014">
        <v>66.231099999999998</v>
      </c>
      <c r="BD1014">
        <v>4.0575999999999999</v>
      </c>
      <c r="BE1014">
        <v>25.211600000000001</v>
      </c>
      <c r="BF1014">
        <v>-42.241100000000003</v>
      </c>
      <c r="BG1014">
        <v>14.444900000000001</v>
      </c>
      <c r="BH1014">
        <v>74.08</v>
      </c>
    </row>
    <row r="1015" spans="1:60" x14ac:dyDescent="0.25">
      <c r="A1015" s="2">
        <v>44486</v>
      </c>
      <c r="B1015">
        <v>9.1999999999999993</v>
      </c>
      <c r="C1015">
        <v>6.1</v>
      </c>
      <c r="D1015">
        <v>43.3</v>
      </c>
      <c r="E1015">
        <v>5</v>
      </c>
      <c r="F1015">
        <v>85.84</v>
      </c>
      <c r="G1015">
        <v>0.1</v>
      </c>
      <c r="H1015">
        <v>3.4</v>
      </c>
      <c r="I1015">
        <v>358.60640000000001</v>
      </c>
      <c r="J1015">
        <v>148.92429999999999</v>
      </c>
      <c r="K1015">
        <v>45.228999999999999</v>
      </c>
      <c r="L1015">
        <v>4.32</v>
      </c>
      <c r="M1015">
        <v>17.524699999999999</v>
      </c>
      <c r="P1015">
        <v>77.09</v>
      </c>
      <c r="S1015">
        <f t="shared" si="333"/>
        <v>727.54440000000011</v>
      </c>
      <c r="T1015">
        <f t="shared" si="334"/>
        <v>8.6246779221838404E-3</v>
      </c>
      <c r="U1015">
        <f t="shared" si="335"/>
        <v>5.7185364484045034E-3</v>
      </c>
      <c r="V1015">
        <f t="shared" si="336"/>
        <v>4.0592234133756559E-2</v>
      </c>
      <c r="W1015">
        <f t="shared" si="337"/>
        <v>4.6873249577086091E-3</v>
      </c>
      <c r="X1015">
        <f t="shared" si="338"/>
        <v>8.047199487394141E-2</v>
      </c>
      <c r="Y1015">
        <f t="shared" si="339"/>
        <v>9.3746499154172199E-5</v>
      </c>
      <c r="Z1015">
        <f t="shared" si="340"/>
        <v>3.1873809712418544E-3</v>
      </c>
      <c r="AA1015">
        <f t="shared" si="341"/>
        <v>0.33618094574280732</v>
      </c>
      <c r="AB1015">
        <f t="shared" si="342"/>
        <v>0.13961131763985685</v>
      </c>
      <c r="AC1015">
        <f t="shared" si="343"/>
        <v>4.2400604102440537E-2</v>
      </c>
      <c r="AD1015">
        <f t="shared" si="344"/>
        <v>4.0498487634602386E-3</v>
      </c>
      <c r="AE1015">
        <f t="shared" si="345"/>
        <v>1.6428792737271214E-2</v>
      </c>
      <c r="AG1015">
        <f t="shared" si="346"/>
        <v>0.93846975698226731</v>
      </c>
      <c r="AH1015">
        <f t="shared" si="347"/>
        <v>0.15980468854366217</v>
      </c>
      <c r="AI1015">
        <f t="shared" si="348"/>
        <v>-0.66767494518822346</v>
      </c>
      <c r="AK1015" s="26">
        <f t="shared" si="349"/>
        <v>1.1818634540723488E-2</v>
      </c>
      <c r="AL1015" s="26">
        <f t="shared" si="350"/>
        <v>-2.9943117800473706E-2</v>
      </c>
      <c r="AM1015" s="26">
        <f t="shared" si="351"/>
        <v>-6.7531787799842369E-2</v>
      </c>
      <c r="AN1015" s="26">
        <f t="shared" si="352"/>
        <v>-20.167142857142863</v>
      </c>
      <c r="AO1015" s="26">
        <f t="shared" si="353"/>
        <v>-22.287734877734877</v>
      </c>
      <c r="AP1015" s="26">
        <f t="shared" si="354"/>
        <v>-25.396420353982371</v>
      </c>
      <c r="AS1015" s="2">
        <v>44465</v>
      </c>
      <c r="AT1015">
        <v>10</v>
      </c>
      <c r="AU1015">
        <v>3.1</v>
      </c>
      <c r="AV1015">
        <v>17.100000000000001</v>
      </c>
      <c r="AW1015">
        <v>1.9</v>
      </c>
      <c r="AX1015">
        <v>133.28</v>
      </c>
      <c r="AY1015">
        <v>0.2</v>
      </c>
      <c r="AZ1015">
        <v>3</v>
      </c>
      <c r="BA1015">
        <v>322.19439999999997</v>
      </c>
      <c r="BB1015">
        <v>149.80459999999999</v>
      </c>
      <c r="BC1015">
        <v>35.765700000000002</v>
      </c>
      <c r="BD1015">
        <v>3.9796</v>
      </c>
      <c r="BE1015">
        <v>12.630699999999999</v>
      </c>
      <c r="BH1015">
        <v>73.81</v>
      </c>
    </row>
    <row r="1016" spans="1:60" x14ac:dyDescent="0.25">
      <c r="A1016" s="2">
        <v>44485</v>
      </c>
      <c r="B1016">
        <v>9.8000000000000007</v>
      </c>
      <c r="C1016">
        <v>18.7</v>
      </c>
      <c r="D1016">
        <v>49.4</v>
      </c>
      <c r="E1016">
        <v>4.7</v>
      </c>
      <c r="F1016">
        <v>114.01</v>
      </c>
      <c r="G1016">
        <v>0.1</v>
      </c>
      <c r="H1016">
        <v>3.3</v>
      </c>
      <c r="I1016">
        <v>346.66219999999998</v>
      </c>
      <c r="J1016">
        <v>160.04570000000001</v>
      </c>
      <c r="K1016">
        <v>58.759799999999998</v>
      </c>
      <c r="L1016">
        <v>4.32</v>
      </c>
      <c r="M1016">
        <v>19.306999999999999</v>
      </c>
      <c r="P1016">
        <v>77</v>
      </c>
      <c r="S1016">
        <f t="shared" si="333"/>
        <v>789.10470000000009</v>
      </c>
      <c r="T1016">
        <f t="shared" si="334"/>
        <v>9.1871569171088751E-3</v>
      </c>
      <c r="U1016">
        <f t="shared" si="335"/>
        <v>1.7530595341830199E-2</v>
      </c>
      <c r="V1016">
        <f t="shared" si="336"/>
        <v>4.6310770582161064E-2</v>
      </c>
      <c r="W1016">
        <f t="shared" si="337"/>
        <v>4.4060854602460935E-3</v>
      </c>
      <c r="X1016">
        <f t="shared" si="338"/>
        <v>0.10688038368567172</v>
      </c>
      <c r="Y1016">
        <f t="shared" si="339"/>
        <v>9.3746499154172199E-5</v>
      </c>
      <c r="Z1016">
        <f t="shared" si="340"/>
        <v>3.0936344720876819E-3</v>
      </c>
      <c r="AA1016">
        <f t="shared" si="341"/>
        <v>0.3249836763908347</v>
      </c>
      <c r="AB1016">
        <f t="shared" si="342"/>
        <v>0.15003724079678898</v>
      </c>
      <c r="AC1016">
        <f t="shared" si="343"/>
        <v>5.5085255409993268E-2</v>
      </c>
      <c r="AD1016">
        <f t="shared" si="344"/>
        <v>4.0498487634602386E-3</v>
      </c>
      <c r="AE1016">
        <f t="shared" si="345"/>
        <v>1.8099636591696024E-2</v>
      </c>
      <c r="AG1016">
        <f t="shared" si="346"/>
        <v>0.93137586689557705</v>
      </c>
      <c r="AH1016">
        <f t="shared" si="347"/>
        <v>0.20560200954995583</v>
      </c>
      <c r="AI1016">
        <f t="shared" si="348"/>
        <v>-0.2901006761214785</v>
      </c>
      <c r="AK1016" s="26">
        <f t="shared" si="349"/>
        <v>9.6632976183723684E-3</v>
      </c>
      <c r="AL1016" s="26">
        <f t="shared" si="350"/>
        <v>-3.3134456741067436E-2</v>
      </c>
      <c r="AM1016" s="26">
        <f t="shared" si="351"/>
        <v>-6.8627064533581694E-2</v>
      </c>
      <c r="AN1016" s="26">
        <f t="shared" si="352"/>
        <v>-20.284761904761908</v>
      </c>
      <c r="AO1016" s="26">
        <f t="shared" si="353"/>
        <v>-22.404718468468459</v>
      </c>
      <c r="AP1016" s="26">
        <f t="shared" si="354"/>
        <v>-25.558232108942576</v>
      </c>
      <c r="AS1016" s="2">
        <v>44464</v>
      </c>
      <c r="AT1016">
        <v>10.4</v>
      </c>
      <c r="AU1016">
        <v>20.399999999999999</v>
      </c>
      <c r="AV1016">
        <v>20.7</v>
      </c>
      <c r="AW1016">
        <v>3.3</v>
      </c>
      <c r="AX1016">
        <v>184.01</v>
      </c>
      <c r="AY1016">
        <v>0.2</v>
      </c>
      <c r="AZ1016">
        <v>2.8</v>
      </c>
      <c r="BA1016">
        <v>289.99689999999998</v>
      </c>
      <c r="BB1016">
        <v>179.7269</v>
      </c>
      <c r="BC1016">
        <v>51.343200000000003</v>
      </c>
      <c r="BD1016">
        <v>3.9209000000000001</v>
      </c>
      <c r="BE1016">
        <v>24.5654</v>
      </c>
      <c r="BH1016">
        <v>73.430000000000007</v>
      </c>
    </row>
    <row r="1017" spans="1:60" x14ac:dyDescent="0.25">
      <c r="A1017" s="2">
        <v>44484</v>
      </c>
      <c r="B1017">
        <v>9.4</v>
      </c>
      <c r="C1017">
        <v>50.9</v>
      </c>
      <c r="D1017">
        <v>77.7</v>
      </c>
      <c r="E1017">
        <v>14.4</v>
      </c>
      <c r="F1017">
        <v>108.65</v>
      </c>
      <c r="G1017">
        <v>0.1</v>
      </c>
      <c r="H1017">
        <v>3</v>
      </c>
      <c r="I1017">
        <v>309.28230000000002</v>
      </c>
      <c r="J1017">
        <v>113.4999</v>
      </c>
      <c r="K1017">
        <v>68.929299999999998</v>
      </c>
      <c r="L1017">
        <v>4.319</v>
      </c>
      <c r="M1017">
        <v>21.856300000000001</v>
      </c>
      <c r="N1017">
        <v>-25.030799999999999</v>
      </c>
      <c r="O1017">
        <v>58.815199999999997</v>
      </c>
      <c r="P1017">
        <v>76.930000000000007</v>
      </c>
      <c r="S1017">
        <f t="shared" si="333"/>
        <v>782.03680000000008</v>
      </c>
      <c r="T1017">
        <f t="shared" si="334"/>
        <v>8.8121709204921871E-3</v>
      </c>
      <c r="U1017">
        <f t="shared" si="335"/>
        <v>4.7716968069473641E-2</v>
      </c>
      <c r="V1017">
        <f t="shared" si="336"/>
        <v>7.2841029842791796E-2</v>
      </c>
      <c r="W1017">
        <f t="shared" si="337"/>
        <v>1.3499495878200795E-2</v>
      </c>
      <c r="X1017">
        <f t="shared" si="338"/>
        <v>0.10185557133100809</v>
      </c>
      <c r="Y1017">
        <f t="shared" si="339"/>
        <v>9.3746499154172199E-5</v>
      </c>
      <c r="Z1017">
        <f t="shared" si="340"/>
        <v>2.8123949746251659E-3</v>
      </c>
      <c r="AA1017">
        <f t="shared" si="341"/>
        <v>0.28994132875350431</v>
      </c>
      <c r="AB1017">
        <f t="shared" si="342"/>
        <v>0.10640218279348627</v>
      </c>
      <c r="AC1017">
        <f t="shared" si="343"/>
        <v>6.4618805641476804E-2</v>
      </c>
      <c r="AD1017">
        <f t="shared" si="344"/>
        <v>4.0489112984686965E-3</v>
      </c>
      <c r="AE1017">
        <f t="shared" si="345"/>
        <v>2.0489516094633339E-2</v>
      </c>
      <c r="AG1017">
        <f t="shared" si="346"/>
        <v>0.9251987618263916</v>
      </c>
      <c r="AH1017">
        <f t="shared" si="347"/>
        <v>0.26812089361037916</v>
      </c>
      <c r="AI1017">
        <f t="shared" si="348"/>
        <v>0.22640570622097092</v>
      </c>
      <c r="AK1017" s="26">
        <f t="shared" si="349"/>
        <v>7.5962096326179229E-3</v>
      </c>
      <c r="AL1017" s="26">
        <f t="shared" si="350"/>
        <v>-3.5754079459295068E-2</v>
      </c>
      <c r="AM1017" s="26">
        <f t="shared" si="351"/>
        <v>-7.0492606253776458E-2</v>
      </c>
      <c r="AN1017" s="26">
        <f t="shared" si="352"/>
        <v>-20.407619047619065</v>
      </c>
      <c r="AO1017" s="26">
        <f t="shared" si="353"/>
        <v>-22.522556306306313</v>
      </c>
      <c r="AP1017" s="26">
        <f t="shared" si="354"/>
        <v>-25.71990176179272</v>
      </c>
      <c r="AS1017" s="2">
        <v>44463</v>
      </c>
      <c r="AT1017">
        <v>11.1</v>
      </c>
      <c r="AU1017">
        <v>3.1</v>
      </c>
      <c r="AV1017">
        <v>64.8</v>
      </c>
      <c r="AW1017">
        <v>9</v>
      </c>
      <c r="AX1017">
        <v>123.44</v>
      </c>
      <c r="AY1017">
        <v>0.2</v>
      </c>
      <c r="AZ1017">
        <v>2.7</v>
      </c>
      <c r="BA1017">
        <v>267.827</v>
      </c>
      <c r="BB1017">
        <v>140.85929999999999</v>
      </c>
      <c r="BC1017">
        <v>58.3461</v>
      </c>
      <c r="BD1017">
        <v>3.7027999999999999</v>
      </c>
      <c r="BE1017">
        <v>30.835799999999999</v>
      </c>
      <c r="BF1017">
        <v>-36.245899999999999</v>
      </c>
      <c r="BG1017">
        <v>12.590400000000001</v>
      </c>
      <c r="BH1017">
        <v>72.819999999999993</v>
      </c>
    </row>
    <row r="1018" spans="1:60" x14ac:dyDescent="0.25">
      <c r="A1018" s="2">
        <v>44483</v>
      </c>
      <c r="B1018">
        <v>9.6999999999999993</v>
      </c>
      <c r="C1018">
        <v>37.700000000000003</v>
      </c>
      <c r="D1018">
        <v>64.8</v>
      </c>
      <c r="E1018">
        <v>9.4</v>
      </c>
      <c r="F1018">
        <v>61.57</v>
      </c>
      <c r="G1018">
        <v>0.1</v>
      </c>
      <c r="H1018">
        <v>3.2</v>
      </c>
      <c r="I1018">
        <v>336.28879999999998</v>
      </c>
      <c r="J1018">
        <v>214.0034</v>
      </c>
      <c r="K1018">
        <v>87.964200000000005</v>
      </c>
      <c r="L1018">
        <v>4.3470000000000004</v>
      </c>
      <c r="M1018">
        <v>15.3895</v>
      </c>
      <c r="N1018">
        <v>-29.793199999999999</v>
      </c>
      <c r="O1018">
        <v>67.016400000000004</v>
      </c>
      <c r="P1018">
        <v>76.930000000000007</v>
      </c>
      <c r="S1018">
        <f t="shared" si="333"/>
        <v>844.46289999999988</v>
      </c>
      <c r="T1018">
        <f t="shared" si="334"/>
        <v>9.0934104179547018E-3</v>
      </c>
      <c r="U1018">
        <f t="shared" si="335"/>
        <v>3.5342430181122916E-2</v>
      </c>
      <c r="V1018">
        <f t="shared" si="336"/>
        <v>6.0747731451903576E-2</v>
      </c>
      <c r="W1018">
        <f t="shared" si="337"/>
        <v>8.8121709204921871E-3</v>
      </c>
      <c r="X1018">
        <f t="shared" si="338"/>
        <v>5.771971952922382E-2</v>
      </c>
      <c r="Y1018">
        <f t="shared" si="339"/>
        <v>9.3746499154172199E-5</v>
      </c>
      <c r="Z1018">
        <f t="shared" si="340"/>
        <v>2.9998879729335104E-3</v>
      </c>
      <c r="AA1018">
        <f t="shared" si="341"/>
        <v>0.31525897704757577</v>
      </c>
      <c r="AB1018">
        <f t="shared" si="342"/>
        <v>0.20062069557089973</v>
      </c>
      <c r="AC1018">
        <f t="shared" si="343"/>
        <v>8.2463358008974336E-2</v>
      </c>
      <c r="AD1018">
        <f t="shared" si="344"/>
        <v>4.0751603182318658E-3</v>
      </c>
      <c r="AE1018">
        <f t="shared" si="345"/>
        <v>1.442711748733133E-2</v>
      </c>
      <c r="AG1018">
        <f t="shared" si="346"/>
        <v>0.92232402593932528</v>
      </c>
      <c r="AH1018">
        <f t="shared" si="347"/>
        <v>0.18923621446011621</v>
      </c>
      <c r="AI1018">
        <f t="shared" si="348"/>
        <v>-0.41985147844008913</v>
      </c>
      <c r="AK1018" s="26">
        <f t="shared" si="349"/>
        <v>6.7531786145575146E-3</v>
      </c>
      <c r="AL1018" s="26">
        <f t="shared" si="350"/>
        <v>-3.9207530851612493E-2</v>
      </c>
      <c r="AM1018" s="26">
        <f t="shared" si="351"/>
        <v>-7.093482737275203E-2</v>
      </c>
      <c r="AN1018" s="26">
        <f t="shared" si="352"/>
        <v>-20.547380952380976</v>
      </c>
      <c r="AO1018" s="26">
        <f t="shared" si="353"/>
        <v>-22.639176319176315</v>
      </c>
      <c r="AP1018" s="26">
        <f t="shared" si="354"/>
        <v>-25.880231638187745</v>
      </c>
      <c r="AS1018" s="2">
        <v>44462</v>
      </c>
      <c r="AT1018">
        <v>12.9</v>
      </c>
      <c r="AU1018">
        <v>1.4</v>
      </c>
      <c r="AV1018">
        <v>46</v>
      </c>
      <c r="AW1018">
        <v>10.9</v>
      </c>
      <c r="AX1018">
        <v>178.89</v>
      </c>
      <c r="AY1018">
        <v>0.2</v>
      </c>
      <c r="AZ1018">
        <v>2.7</v>
      </c>
      <c r="BA1018">
        <v>255.9418</v>
      </c>
      <c r="BB1018">
        <v>92.936999999999998</v>
      </c>
      <c r="BC1018">
        <v>48.588999999999999</v>
      </c>
      <c r="BD1018">
        <v>3.7602000000000002</v>
      </c>
      <c r="BE1018">
        <v>19.7972</v>
      </c>
      <c r="BF1018">
        <v>-32.554900000000004</v>
      </c>
      <c r="BG1018">
        <v>17.497599999999998</v>
      </c>
      <c r="BH1018">
        <v>72.58</v>
      </c>
    </row>
    <row r="1019" spans="1:60" x14ac:dyDescent="0.25">
      <c r="A1019" s="2">
        <v>44482</v>
      </c>
      <c r="B1019">
        <v>9.9</v>
      </c>
      <c r="C1019">
        <v>22.5</v>
      </c>
      <c r="D1019">
        <v>44.3</v>
      </c>
      <c r="E1019">
        <v>4.4000000000000004</v>
      </c>
      <c r="F1019">
        <v>113.94</v>
      </c>
      <c r="G1019">
        <v>0.1</v>
      </c>
      <c r="H1019">
        <v>3</v>
      </c>
      <c r="I1019">
        <v>351.73230000000001</v>
      </c>
      <c r="J1019">
        <v>248.04179999999999</v>
      </c>
      <c r="K1019">
        <v>103.1528</v>
      </c>
      <c r="L1019">
        <v>4.4465000000000003</v>
      </c>
      <c r="M1019">
        <v>14.857799999999999</v>
      </c>
      <c r="N1019">
        <v>-20.706199999999999</v>
      </c>
      <c r="O1019">
        <v>60.285899999999998</v>
      </c>
      <c r="P1019">
        <v>76.94</v>
      </c>
      <c r="S1019">
        <f t="shared" si="333"/>
        <v>920.37119999999993</v>
      </c>
      <c r="T1019">
        <f t="shared" si="334"/>
        <v>9.2809034162630467E-3</v>
      </c>
      <c r="U1019">
        <f t="shared" si="335"/>
        <v>2.1092962309688743E-2</v>
      </c>
      <c r="V1019">
        <f t="shared" si="336"/>
        <v>4.1529699125298275E-2</v>
      </c>
      <c r="W1019">
        <f t="shared" si="337"/>
        <v>4.1248459627835771E-3</v>
      </c>
      <c r="X1019">
        <f t="shared" si="338"/>
        <v>0.10681476113626379</v>
      </c>
      <c r="Y1019">
        <f t="shared" si="339"/>
        <v>9.3746499154172199E-5</v>
      </c>
      <c r="Z1019">
        <f t="shared" si="340"/>
        <v>2.8123949746251659E-3</v>
      </c>
      <c r="AA1019">
        <f t="shared" si="341"/>
        <v>0.32973671764445039</v>
      </c>
      <c r="AB1019">
        <f t="shared" si="342"/>
        <v>0.23253050393899347</v>
      </c>
      <c r="AC1019">
        <f t="shared" si="343"/>
        <v>9.6702138779504926E-2</v>
      </c>
      <c r="AD1019">
        <f t="shared" si="344"/>
        <v>4.1684380848902667E-3</v>
      </c>
      <c r="AE1019">
        <f t="shared" si="345"/>
        <v>1.3928667351328595E-2</v>
      </c>
      <c r="AG1019">
        <f t="shared" si="346"/>
        <v>0.9199047585796194</v>
      </c>
      <c r="AH1019">
        <f t="shared" si="347"/>
        <v>0.19967798077540533</v>
      </c>
      <c r="AI1019">
        <f t="shared" si="348"/>
        <v>-0.33452012832637829</v>
      </c>
      <c r="AK1019" s="26">
        <f t="shared" si="349"/>
        <v>4.7221316936088276E-3</v>
      </c>
      <c r="AL1019" s="26">
        <f t="shared" si="350"/>
        <v>-4.2101969939043804E-2</v>
      </c>
      <c r="AM1019" s="26">
        <f t="shared" si="351"/>
        <v>-7.2154842371961847E-2</v>
      </c>
      <c r="AN1019" s="26">
        <f t="shared" si="352"/>
        <v>-20.691904761904809</v>
      </c>
      <c r="AO1019" s="26">
        <f t="shared" si="353"/>
        <v>-22.757541827541843</v>
      </c>
      <c r="AP1019" s="26">
        <f t="shared" si="354"/>
        <v>-26.040090544083988</v>
      </c>
      <c r="AS1019" s="2">
        <v>44461</v>
      </c>
      <c r="AT1019">
        <v>14.5</v>
      </c>
      <c r="AU1019">
        <v>1.8</v>
      </c>
      <c r="AV1019">
        <v>35</v>
      </c>
      <c r="AW1019">
        <v>3.3</v>
      </c>
      <c r="AX1019">
        <v>154.72</v>
      </c>
      <c r="AY1019">
        <v>0.2</v>
      </c>
      <c r="AZ1019">
        <v>2.7</v>
      </c>
      <c r="BA1019">
        <v>331.30399999999997</v>
      </c>
      <c r="BB1019">
        <v>219.14590000000001</v>
      </c>
      <c r="BC1019">
        <v>80.192400000000006</v>
      </c>
      <c r="BD1019">
        <v>4.0964999999999998</v>
      </c>
      <c r="BE1019">
        <v>30.292899999999999</v>
      </c>
      <c r="BF1019">
        <v>-38.7104</v>
      </c>
      <c r="BG1019">
        <v>18.346499999999999</v>
      </c>
      <c r="BH1019">
        <v>72.37</v>
      </c>
    </row>
    <row r="1020" spans="1:60" x14ac:dyDescent="0.25">
      <c r="A1020" s="2">
        <v>44481</v>
      </c>
      <c r="B1020">
        <v>9.4</v>
      </c>
      <c r="C1020">
        <v>19.600000000000001</v>
      </c>
      <c r="D1020">
        <v>68.900000000000006</v>
      </c>
      <c r="E1020">
        <v>7.9</v>
      </c>
      <c r="F1020">
        <v>70.12</v>
      </c>
      <c r="G1020">
        <v>0.1</v>
      </c>
      <c r="H1020">
        <v>2.8</v>
      </c>
      <c r="I1020">
        <v>349.24889999999999</v>
      </c>
      <c r="J1020">
        <v>204.73759999999999</v>
      </c>
      <c r="K1020">
        <v>84.601100000000002</v>
      </c>
      <c r="L1020">
        <v>4.3791000000000002</v>
      </c>
      <c r="M1020">
        <v>19.014299999999999</v>
      </c>
      <c r="N1020">
        <v>-16.923100000000002</v>
      </c>
      <c r="O1020">
        <v>44.675699999999999</v>
      </c>
      <c r="P1020">
        <v>77</v>
      </c>
      <c r="S1020">
        <f t="shared" si="333"/>
        <v>840.80099999999993</v>
      </c>
      <c r="T1020">
        <f t="shared" si="334"/>
        <v>8.8121709204921871E-3</v>
      </c>
      <c r="U1020">
        <f t="shared" si="335"/>
        <v>1.837431383421775E-2</v>
      </c>
      <c r="V1020">
        <f t="shared" si="336"/>
        <v>6.4591337917224642E-2</v>
      </c>
      <c r="W1020">
        <f t="shared" si="337"/>
        <v>7.405973433179603E-3</v>
      </c>
      <c r="X1020">
        <f t="shared" si="338"/>
        <v>6.573504520690554E-2</v>
      </c>
      <c r="Y1020">
        <f t="shared" si="339"/>
        <v>9.3746499154172199E-5</v>
      </c>
      <c r="Z1020">
        <f t="shared" si="340"/>
        <v>2.624901976316821E-3</v>
      </c>
      <c r="AA1020">
        <f t="shared" si="341"/>
        <v>0.32740861708445568</v>
      </c>
      <c r="AB1020">
        <f t="shared" si="342"/>
        <v>0.19193433245227243</v>
      </c>
      <c r="AC1020">
        <f t="shared" si="343"/>
        <v>7.9310569495920372E-2</v>
      </c>
      <c r="AD1020">
        <f t="shared" si="344"/>
        <v>4.1052529444603547E-3</v>
      </c>
      <c r="AE1020">
        <f t="shared" si="345"/>
        <v>1.7825240588671763E-2</v>
      </c>
      <c r="AG1020">
        <f t="shared" si="346"/>
        <v>0.91984816436928207</v>
      </c>
      <c r="AH1020">
        <f t="shared" si="347"/>
        <v>0.18546273037616248</v>
      </c>
      <c r="AI1020">
        <f t="shared" si="348"/>
        <v>-0.45021283372285992</v>
      </c>
      <c r="AK1020" s="26">
        <f t="shared" si="349"/>
        <v>2.3427473344577732E-3</v>
      </c>
      <c r="AL1020" s="26">
        <f t="shared" si="350"/>
        <v>-4.5487529260045512E-2</v>
      </c>
      <c r="AM1020" s="26">
        <f t="shared" si="351"/>
        <v>-7.3497788381637619E-2</v>
      </c>
      <c r="AN1020" s="26">
        <f t="shared" si="352"/>
        <v>-20.836428571428598</v>
      </c>
      <c r="AO1020" s="26">
        <f t="shared" si="353"/>
        <v>-22.875045045045056</v>
      </c>
      <c r="AP1020" s="26">
        <f t="shared" si="354"/>
        <v>-26.198197983124182</v>
      </c>
      <c r="AS1020" s="2">
        <v>44460</v>
      </c>
      <c r="AT1020">
        <v>15.7</v>
      </c>
      <c r="AU1020">
        <v>3</v>
      </c>
      <c r="AV1020">
        <v>36.5</v>
      </c>
      <c r="AW1020">
        <v>3.1</v>
      </c>
      <c r="AX1020">
        <v>127.2</v>
      </c>
      <c r="AY1020">
        <v>0.2</v>
      </c>
      <c r="AZ1020">
        <v>3</v>
      </c>
      <c r="BA1020">
        <v>310.50560000000002</v>
      </c>
      <c r="BB1020">
        <v>246.41980000000001</v>
      </c>
      <c r="BC1020">
        <v>81.140900000000002</v>
      </c>
      <c r="BD1020">
        <v>3.9171999999999998</v>
      </c>
      <c r="BE1020">
        <v>23.164899999999999</v>
      </c>
      <c r="BF1020">
        <v>-31.7105</v>
      </c>
      <c r="BG1020">
        <v>30.3903</v>
      </c>
      <c r="BH1020">
        <v>72.209999999999994</v>
      </c>
    </row>
    <row r="1021" spans="1:60" x14ac:dyDescent="0.25">
      <c r="A1021" s="2">
        <v>44480</v>
      </c>
      <c r="B1021">
        <v>9.3000000000000007</v>
      </c>
      <c r="C1021">
        <v>0.8</v>
      </c>
      <c r="D1021">
        <v>69.3</v>
      </c>
      <c r="E1021">
        <v>7.4</v>
      </c>
      <c r="F1021">
        <v>116.16</v>
      </c>
      <c r="G1021">
        <v>0.1</v>
      </c>
      <c r="H1021">
        <v>3.1</v>
      </c>
      <c r="I1021">
        <v>351.24450000000002</v>
      </c>
      <c r="J1021">
        <v>172.0558</v>
      </c>
      <c r="K1021">
        <v>69.686700000000002</v>
      </c>
      <c r="L1021">
        <v>4.3192000000000004</v>
      </c>
      <c r="M1021">
        <v>20.6068</v>
      </c>
      <c r="N1021">
        <v>-17.3964</v>
      </c>
      <c r="O1021">
        <v>47.142299999999999</v>
      </c>
      <c r="P1021">
        <v>76.95</v>
      </c>
      <c r="S1021">
        <f t="shared" si="333"/>
        <v>824.07299999999998</v>
      </c>
      <c r="T1021">
        <f t="shared" si="334"/>
        <v>8.7184244213380137E-3</v>
      </c>
      <c r="U1021">
        <f t="shared" si="335"/>
        <v>7.4997199323337759E-4</v>
      </c>
      <c r="V1021">
        <f t="shared" si="336"/>
        <v>6.4966323913841328E-2</v>
      </c>
      <c r="W1021">
        <f t="shared" si="337"/>
        <v>6.9372409374087425E-3</v>
      </c>
      <c r="X1021">
        <f t="shared" si="338"/>
        <v>0.10889593341748641</v>
      </c>
      <c r="Y1021">
        <f t="shared" si="339"/>
        <v>9.3746499154172199E-5</v>
      </c>
      <c r="Z1021">
        <f t="shared" si="340"/>
        <v>2.9061414737793379E-3</v>
      </c>
      <c r="AA1021">
        <f t="shared" si="341"/>
        <v>0.32927942222157636</v>
      </c>
      <c r="AB1021">
        <f t="shared" si="342"/>
        <v>0.16129628909170421</v>
      </c>
      <c r="AC1021">
        <f t="shared" si="343"/>
        <v>6.5328841626070513E-2</v>
      </c>
      <c r="AD1021">
        <f t="shared" si="344"/>
        <v>4.0490987914670058E-3</v>
      </c>
      <c r="AE1021">
        <f t="shared" si="345"/>
        <v>1.9318153587701954E-2</v>
      </c>
      <c r="AG1021">
        <f t="shared" si="346"/>
        <v>0.91453574695516915</v>
      </c>
      <c r="AH1021">
        <f t="shared" si="347"/>
        <v>0.21258593624394334</v>
      </c>
      <c r="AI1021">
        <f t="shared" si="348"/>
        <v>-0.22689657019801698</v>
      </c>
      <c r="AK1021" s="26">
        <f t="shared" si="349"/>
        <v>-2.5460187613976504E-3</v>
      </c>
      <c r="AL1021" s="26">
        <f t="shared" si="350"/>
        <v>-4.4455277418480182E-2</v>
      </c>
      <c r="AM1021" s="26">
        <f t="shared" si="351"/>
        <v>-7.2438796193431021E-2</v>
      </c>
      <c r="AN1021" s="26">
        <f t="shared" si="352"/>
        <v>-20.987619047619077</v>
      </c>
      <c r="AO1021" s="26">
        <f t="shared" si="353"/>
        <v>-22.993931788931818</v>
      </c>
      <c r="AP1021" s="26">
        <f t="shared" si="354"/>
        <v>-26.356390703829362</v>
      </c>
      <c r="AS1021" s="2">
        <v>44459</v>
      </c>
      <c r="AT1021">
        <v>16.2</v>
      </c>
      <c r="AU1021">
        <v>24.7</v>
      </c>
      <c r="AV1021">
        <v>12.1</v>
      </c>
      <c r="AW1021">
        <v>0.9</v>
      </c>
      <c r="AX1021">
        <v>98.33</v>
      </c>
      <c r="AY1021">
        <v>0.2</v>
      </c>
      <c r="AZ1021">
        <v>2.7</v>
      </c>
      <c r="BA1021">
        <v>322.86579999999998</v>
      </c>
      <c r="BB1021">
        <v>219.14330000000001</v>
      </c>
      <c r="BC1021">
        <v>108.0864</v>
      </c>
      <c r="BD1021">
        <v>3.7677</v>
      </c>
      <c r="BE1021">
        <v>26.742899999999999</v>
      </c>
      <c r="BF1021">
        <v>-29.0733</v>
      </c>
      <c r="BG1021">
        <v>38.6023</v>
      </c>
      <c r="BH1021">
        <v>72.05</v>
      </c>
    </row>
    <row r="1022" spans="1:60" x14ac:dyDescent="0.25">
      <c r="A1022" s="2">
        <v>44479</v>
      </c>
      <c r="B1022">
        <v>9.5</v>
      </c>
      <c r="C1022">
        <v>5.3</v>
      </c>
      <c r="D1022">
        <v>16.399999999999999</v>
      </c>
      <c r="E1022">
        <v>2.9</v>
      </c>
      <c r="F1022">
        <v>182.58</v>
      </c>
      <c r="G1022">
        <v>0.2</v>
      </c>
      <c r="H1022">
        <v>3</v>
      </c>
      <c r="I1022">
        <v>333.12240000000003</v>
      </c>
      <c r="J1022">
        <v>92.940200000000004</v>
      </c>
      <c r="K1022">
        <v>37.939500000000002</v>
      </c>
      <c r="L1022">
        <v>4.3049999999999997</v>
      </c>
      <c r="M1022">
        <v>19.009699999999999</v>
      </c>
      <c r="P1022">
        <v>76.959999999999994</v>
      </c>
      <c r="S1022">
        <f t="shared" si="333"/>
        <v>707.19679999999994</v>
      </c>
      <c r="T1022">
        <f t="shared" si="334"/>
        <v>8.9059174196463586E-3</v>
      </c>
      <c r="U1022">
        <f t="shared" si="335"/>
        <v>4.9685644551711256E-3</v>
      </c>
      <c r="V1022">
        <f t="shared" si="336"/>
        <v>1.5374425861284237E-2</v>
      </c>
      <c r="W1022">
        <f t="shared" si="337"/>
        <v>2.7186484754709935E-3</v>
      </c>
      <c r="X1022">
        <f t="shared" si="338"/>
        <v>0.17116235815568759</v>
      </c>
      <c r="Y1022">
        <f t="shared" si="339"/>
        <v>1.874929983083444E-4</v>
      </c>
      <c r="Z1022">
        <f t="shared" si="340"/>
        <v>2.8123949746251659E-3</v>
      </c>
      <c r="AA1022">
        <f t="shared" si="341"/>
        <v>0.31229058789835812</v>
      </c>
      <c r="AB1022">
        <f t="shared" si="342"/>
        <v>8.7128183806885945E-2</v>
      </c>
      <c r="AC1022">
        <f t="shared" si="343"/>
        <v>3.5566953046597162E-2</v>
      </c>
      <c r="AD1022">
        <f t="shared" si="344"/>
        <v>4.0357867885871127E-3</v>
      </c>
      <c r="AE1022">
        <f t="shared" si="345"/>
        <v>1.7820928249710669E-2</v>
      </c>
      <c r="AG1022">
        <f t="shared" si="346"/>
        <v>0.91206149457220786</v>
      </c>
      <c r="AH1022">
        <f t="shared" si="347"/>
        <v>0.22395073058990445</v>
      </c>
      <c r="AI1022">
        <f t="shared" si="348"/>
        <v>-0.13338821453958413</v>
      </c>
      <c r="AK1022" s="26">
        <f t="shared" si="349"/>
        <v>-7.7861668246183291E-3</v>
      </c>
      <c r="AL1022" s="26">
        <f t="shared" si="350"/>
        <v>-4.7856749001194659E-2</v>
      </c>
      <c r="AM1022" s="26">
        <f t="shared" si="351"/>
        <v>-7.3630486616182211E-2</v>
      </c>
      <c r="AN1022" s="26">
        <f t="shared" si="352"/>
        <v>-21.138095238095275</v>
      </c>
      <c r="AO1022" s="26">
        <f t="shared" si="353"/>
        <v>-23.112329472329478</v>
      </c>
      <c r="AP1022" s="26">
        <f t="shared" si="354"/>
        <v>-26.514783746728241</v>
      </c>
      <c r="AS1022" s="2">
        <v>44458</v>
      </c>
      <c r="AT1022">
        <v>15.1</v>
      </c>
      <c r="AU1022">
        <v>0</v>
      </c>
      <c r="AV1022">
        <v>54.7</v>
      </c>
      <c r="AW1022">
        <v>2.5</v>
      </c>
      <c r="AX1022">
        <v>115.22</v>
      </c>
      <c r="AY1022">
        <v>0.2</v>
      </c>
      <c r="AZ1022">
        <v>2.9</v>
      </c>
      <c r="BA1022">
        <v>325.41550000000001</v>
      </c>
      <c r="BB1022">
        <v>105.09650000000001</v>
      </c>
      <c r="BC1022">
        <v>30.9695</v>
      </c>
      <c r="BD1022">
        <v>3.7473999999999998</v>
      </c>
      <c r="BE1022">
        <v>15.4092</v>
      </c>
      <c r="BH1022">
        <v>71.87</v>
      </c>
    </row>
    <row r="1023" spans="1:60" x14ac:dyDescent="0.25">
      <c r="A1023" s="2">
        <v>44478</v>
      </c>
      <c r="B1023">
        <v>10.3</v>
      </c>
      <c r="C1023">
        <v>2.9</v>
      </c>
      <c r="D1023">
        <v>18</v>
      </c>
      <c r="E1023">
        <v>5.2</v>
      </c>
      <c r="F1023">
        <v>190.57</v>
      </c>
      <c r="G1023">
        <v>0.2</v>
      </c>
      <c r="H1023">
        <v>3.2</v>
      </c>
      <c r="I1023">
        <v>303.59960000000001</v>
      </c>
      <c r="J1023">
        <v>108.2538</v>
      </c>
      <c r="K1023">
        <v>41.016800000000003</v>
      </c>
      <c r="L1023">
        <v>4.3106</v>
      </c>
      <c r="M1023">
        <v>14.9825</v>
      </c>
      <c r="P1023">
        <v>76.34</v>
      </c>
      <c r="S1023">
        <f t="shared" si="333"/>
        <v>702.53329999999994</v>
      </c>
      <c r="T1023">
        <f t="shared" si="334"/>
        <v>9.6558894128797364E-3</v>
      </c>
      <c r="U1023">
        <f t="shared" si="335"/>
        <v>2.7186484754709935E-3</v>
      </c>
      <c r="V1023">
        <f t="shared" si="336"/>
        <v>1.6874369847750995E-2</v>
      </c>
      <c r="W1023">
        <f t="shared" si="337"/>
        <v>4.874817956016954E-3</v>
      </c>
      <c r="X1023">
        <f t="shared" si="338"/>
        <v>0.17865270343810594</v>
      </c>
      <c r="Y1023">
        <f t="shared" si="339"/>
        <v>1.874929983083444E-4</v>
      </c>
      <c r="Z1023">
        <f t="shared" si="340"/>
        <v>2.9998879729335104E-3</v>
      </c>
      <c r="AA1023">
        <f t="shared" si="341"/>
        <v>0.28461399644607016</v>
      </c>
      <c r="AB1023">
        <f t="shared" si="342"/>
        <v>0.10148414770135926</v>
      </c>
      <c r="AC1023">
        <f t="shared" si="343"/>
        <v>3.84518140650685E-2</v>
      </c>
      <c r="AD1023">
        <f t="shared" si="344"/>
        <v>4.041036592539746E-3</v>
      </c>
      <c r="AE1023">
        <f t="shared" si="345"/>
        <v>1.4045569235773849E-2</v>
      </c>
      <c r="AG1023">
        <f t="shared" si="346"/>
        <v>0.87972052393052014</v>
      </c>
      <c r="AH1023">
        <f t="shared" si="347"/>
        <v>0.23000937933724033</v>
      </c>
      <c r="AI1023">
        <f t="shared" si="348"/>
        <v>-8.2242104117838652E-2</v>
      </c>
      <c r="AK1023" s="26">
        <f t="shared" si="349"/>
        <v>-1.4573737012008425E-2</v>
      </c>
      <c r="AL1023" s="26">
        <f t="shared" si="350"/>
        <v>-5.2024585696863496E-2</v>
      </c>
      <c r="AM1023" s="26">
        <f t="shared" si="351"/>
        <v>-7.6179486409562958E-2</v>
      </c>
      <c r="AN1023" s="26">
        <f t="shared" si="352"/>
        <v>-21.297380952380976</v>
      </c>
      <c r="AO1023" s="26">
        <f t="shared" si="353"/>
        <v>-23.233824002574011</v>
      </c>
      <c r="AP1023" s="26">
        <f t="shared" si="354"/>
        <v>-26.675760978460552</v>
      </c>
      <c r="AS1023" s="2">
        <v>44457</v>
      </c>
      <c r="AT1023">
        <v>16.8</v>
      </c>
      <c r="AU1023">
        <v>0</v>
      </c>
      <c r="AV1023">
        <v>17</v>
      </c>
      <c r="AW1023">
        <v>1.5</v>
      </c>
      <c r="AX1023">
        <v>129.03</v>
      </c>
      <c r="AY1023">
        <v>0.2</v>
      </c>
      <c r="AZ1023">
        <v>2.9</v>
      </c>
      <c r="BA1023">
        <v>309.77289999999999</v>
      </c>
      <c r="BB1023">
        <v>197.7594</v>
      </c>
      <c r="BC1023">
        <v>36.177900000000001</v>
      </c>
      <c r="BD1023">
        <v>3.7435999999999998</v>
      </c>
      <c r="BE1023">
        <v>15.066800000000001</v>
      </c>
      <c r="BH1023">
        <v>71.569999999999993</v>
      </c>
    </row>
    <row r="1024" spans="1:60" x14ac:dyDescent="0.25">
      <c r="A1024" s="2">
        <v>44477</v>
      </c>
      <c r="B1024">
        <v>11.6</v>
      </c>
      <c r="C1024">
        <v>22.1</v>
      </c>
      <c r="D1024">
        <v>5.6</v>
      </c>
      <c r="E1024">
        <v>2.8</v>
      </c>
      <c r="F1024">
        <v>128.65</v>
      </c>
      <c r="G1024">
        <v>0.1</v>
      </c>
      <c r="H1024">
        <v>3.2</v>
      </c>
      <c r="I1024">
        <v>325.5514</v>
      </c>
      <c r="J1024">
        <v>219.20050000000001</v>
      </c>
      <c r="K1024">
        <v>105.515</v>
      </c>
      <c r="L1024">
        <v>4.4969000000000001</v>
      </c>
      <c r="M1024">
        <v>21.6099</v>
      </c>
      <c r="N1024">
        <v>-18.1065</v>
      </c>
      <c r="O1024">
        <v>59.2258</v>
      </c>
      <c r="P1024">
        <v>76.13</v>
      </c>
      <c r="S1024">
        <f t="shared" si="333"/>
        <v>850.42370000000005</v>
      </c>
      <c r="T1024">
        <f t="shared" si="334"/>
        <v>1.0874593901883974E-2</v>
      </c>
      <c r="U1024">
        <f t="shared" si="335"/>
        <v>2.0717976313072057E-2</v>
      </c>
      <c r="V1024">
        <f t="shared" si="336"/>
        <v>5.249803952633642E-3</v>
      </c>
      <c r="W1024">
        <f t="shared" si="337"/>
        <v>2.624901976316821E-3</v>
      </c>
      <c r="X1024">
        <f t="shared" si="338"/>
        <v>0.12060487116184253</v>
      </c>
      <c r="Y1024">
        <f t="shared" si="339"/>
        <v>9.3746499154172199E-5</v>
      </c>
      <c r="Z1024">
        <f t="shared" si="340"/>
        <v>2.9998879729335104E-3</v>
      </c>
      <c r="AA1024">
        <f t="shared" si="341"/>
        <v>0.3051930404473957</v>
      </c>
      <c r="AB1024">
        <f t="shared" si="342"/>
        <v>0.20549279487844122</v>
      </c>
      <c r="AC1024">
        <f t="shared" si="343"/>
        <v>9.891661858252479E-2</v>
      </c>
      <c r="AD1024">
        <f t="shared" si="344"/>
        <v>4.2156863204639693E-3</v>
      </c>
      <c r="AE1024">
        <f t="shared" si="345"/>
        <v>2.0258524720717454E-2</v>
      </c>
      <c r="AG1024">
        <f t="shared" si="346"/>
        <v>0.86678769084815688</v>
      </c>
      <c r="AH1024">
        <f t="shared" si="347"/>
        <v>0.18342430649855418</v>
      </c>
      <c r="AI1024">
        <f t="shared" si="348"/>
        <v>-0.46351316813013327</v>
      </c>
      <c r="AK1024" s="26">
        <f t="shared" si="349"/>
        <v>-2.2717624852982538E-2</v>
      </c>
      <c r="AL1024" s="26">
        <f t="shared" si="350"/>
        <v>-4.3877834289442474E-2</v>
      </c>
      <c r="AM1024" s="26">
        <f t="shared" si="351"/>
        <v>-7.4293034227444377E-2</v>
      </c>
      <c r="AN1024" s="26">
        <f t="shared" si="352"/>
        <v>-21.432380952380981</v>
      </c>
      <c r="AO1024" s="26">
        <f t="shared" si="353"/>
        <v>-23.345794723294745</v>
      </c>
      <c r="AP1024" s="26">
        <f t="shared" si="354"/>
        <v>-26.831553495784981</v>
      </c>
      <c r="AS1024" s="2">
        <v>44456</v>
      </c>
      <c r="AT1024">
        <v>17</v>
      </c>
      <c r="AU1024">
        <v>0</v>
      </c>
      <c r="AV1024">
        <v>14.9</v>
      </c>
      <c r="AW1024">
        <v>3.6</v>
      </c>
      <c r="AX1024">
        <v>109.47</v>
      </c>
      <c r="AY1024">
        <v>0.1</v>
      </c>
      <c r="AZ1024">
        <v>3</v>
      </c>
      <c r="BA1024">
        <v>316.10919999999999</v>
      </c>
      <c r="BB1024">
        <v>230.98419999999999</v>
      </c>
      <c r="BC1024">
        <v>103.3836</v>
      </c>
      <c r="BD1024">
        <v>3.3965000000000001</v>
      </c>
      <c r="BE1024">
        <v>21.6966</v>
      </c>
      <c r="BF1024">
        <v>-24.335000000000001</v>
      </c>
      <c r="BG1024">
        <v>23.206299999999999</v>
      </c>
      <c r="BH1024">
        <v>71.27</v>
      </c>
    </row>
    <row r="1025" spans="1:60" x14ac:dyDescent="0.25">
      <c r="A1025" s="2">
        <v>44476</v>
      </c>
      <c r="B1025">
        <v>12.5</v>
      </c>
      <c r="C1025">
        <v>0.4</v>
      </c>
      <c r="D1025">
        <v>3.5</v>
      </c>
      <c r="E1025">
        <v>0.6</v>
      </c>
      <c r="F1025">
        <v>120.76</v>
      </c>
      <c r="G1025">
        <v>0.2</v>
      </c>
      <c r="H1025">
        <v>3.2</v>
      </c>
      <c r="I1025">
        <v>326.31279999999998</v>
      </c>
      <c r="J1025">
        <v>228.4014</v>
      </c>
      <c r="K1025">
        <v>135.8458</v>
      </c>
      <c r="L1025">
        <v>4.9828000000000001</v>
      </c>
      <c r="M1025">
        <v>22.086200000000002</v>
      </c>
      <c r="N1025">
        <v>-11.815300000000001</v>
      </c>
      <c r="O1025">
        <v>79.638000000000005</v>
      </c>
      <c r="P1025">
        <v>76.02</v>
      </c>
      <c r="S1025">
        <f t="shared" si="333"/>
        <v>858.78899999999999</v>
      </c>
      <c r="T1025">
        <f t="shared" si="334"/>
        <v>1.1718312394271523E-2</v>
      </c>
      <c r="U1025">
        <f t="shared" si="335"/>
        <v>3.7498599661668879E-4</v>
      </c>
      <c r="V1025">
        <f t="shared" si="336"/>
        <v>3.2811274703960268E-3</v>
      </c>
      <c r="W1025">
        <f t="shared" si="337"/>
        <v>5.6247899492503314E-4</v>
      </c>
      <c r="X1025">
        <f t="shared" si="338"/>
        <v>0.11320827237857835</v>
      </c>
      <c r="Y1025">
        <f t="shared" si="339"/>
        <v>1.874929983083444E-4</v>
      </c>
      <c r="Z1025">
        <f t="shared" si="340"/>
        <v>2.9998879729335104E-3</v>
      </c>
      <c r="AA1025">
        <f t="shared" si="341"/>
        <v>0.30590682629195559</v>
      </c>
      <c r="AB1025">
        <f t="shared" si="342"/>
        <v>0.21411831651911745</v>
      </c>
      <c r="AC1025">
        <f t="shared" si="343"/>
        <v>0.12735068174797845</v>
      </c>
      <c r="AD1025">
        <f t="shared" si="344"/>
        <v>4.6712005598540923E-3</v>
      </c>
      <c r="AE1025">
        <f t="shared" si="345"/>
        <v>2.070503929618878E-2</v>
      </c>
      <c r="AG1025">
        <f t="shared" si="346"/>
        <v>0.85858469105135371</v>
      </c>
      <c r="AH1025">
        <f t="shared" si="347"/>
        <v>0.15303759750221826</v>
      </c>
      <c r="AI1025">
        <f t="shared" si="348"/>
        <v>-0.71282885640300164</v>
      </c>
      <c r="AK1025" s="26">
        <f t="shared" si="349"/>
        <v>-2.7647313527778189E-2</v>
      </c>
      <c r="AL1025" s="26">
        <f t="shared" si="350"/>
        <v>-5.1632812199741918E-2</v>
      </c>
      <c r="AM1025" s="26">
        <f t="shared" si="351"/>
        <v>-7.3815752020409076E-2</v>
      </c>
      <c r="AN1025" s="26">
        <f t="shared" si="352"/>
        <v>-21.571666666666715</v>
      </c>
      <c r="AO1025" s="26">
        <f t="shared" si="353"/>
        <v>-23.455672458172486</v>
      </c>
      <c r="AP1025" s="26">
        <f t="shared" si="354"/>
        <v>-26.986683101559251</v>
      </c>
      <c r="AS1025" s="2">
        <v>44455</v>
      </c>
      <c r="AT1025">
        <v>15.3</v>
      </c>
      <c r="AU1025">
        <v>11.1</v>
      </c>
      <c r="AV1025">
        <v>61.4</v>
      </c>
      <c r="AW1025">
        <v>6.1</v>
      </c>
      <c r="AX1025">
        <v>91.62</v>
      </c>
      <c r="AY1025">
        <v>0.1</v>
      </c>
      <c r="AZ1025">
        <v>3.1</v>
      </c>
      <c r="BA1025">
        <v>328.1986</v>
      </c>
      <c r="BB1025">
        <v>209.69970000000001</v>
      </c>
      <c r="BC1025">
        <v>112.2791</v>
      </c>
      <c r="BD1025">
        <v>3.5365000000000002</v>
      </c>
      <c r="BE1025">
        <v>22.5032</v>
      </c>
      <c r="BF1025">
        <v>-40.997</v>
      </c>
      <c r="BG1025">
        <v>23.296199999999999</v>
      </c>
      <c r="BH1025">
        <v>71.069999999999993</v>
      </c>
    </row>
    <row r="1026" spans="1:60" x14ac:dyDescent="0.25">
      <c r="A1026" s="2">
        <v>44475</v>
      </c>
      <c r="B1026">
        <v>11.8</v>
      </c>
      <c r="C1026">
        <v>4.7</v>
      </c>
      <c r="D1026">
        <v>33.700000000000003</v>
      </c>
      <c r="E1026">
        <v>7.3</v>
      </c>
      <c r="F1026">
        <v>96.97</v>
      </c>
      <c r="G1026">
        <v>0.2</v>
      </c>
      <c r="H1026">
        <v>2.7</v>
      </c>
      <c r="I1026">
        <v>308.3338</v>
      </c>
      <c r="J1026">
        <v>145.0658</v>
      </c>
      <c r="K1026">
        <v>70.877200000000002</v>
      </c>
      <c r="L1026">
        <v>4.5639000000000003</v>
      </c>
      <c r="M1026">
        <v>16.708100000000002</v>
      </c>
      <c r="N1026">
        <v>-27.830200000000001</v>
      </c>
      <c r="O1026">
        <v>87.083200000000005</v>
      </c>
      <c r="P1026">
        <v>75.959999999999994</v>
      </c>
      <c r="S1026">
        <f t="shared" ref="S1026:S1089" si="355">SUM(B1026:M1026)</f>
        <v>702.91879999999992</v>
      </c>
      <c r="T1026">
        <f t="shared" si="334"/>
        <v>1.1062086900192319E-2</v>
      </c>
      <c r="U1026">
        <f t="shared" si="335"/>
        <v>4.4060854602460935E-3</v>
      </c>
      <c r="V1026">
        <f t="shared" si="336"/>
        <v>3.1592570214956033E-2</v>
      </c>
      <c r="W1026">
        <f t="shared" si="337"/>
        <v>6.8434944382545701E-3</v>
      </c>
      <c r="X1026">
        <f t="shared" si="338"/>
        <v>9.0905980229800773E-2</v>
      </c>
      <c r="Y1026">
        <f t="shared" si="339"/>
        <v>1.874929983083444E-4</v>
      </c>
      <c r="Z1026">
        <f t="shared" si="340"/>
        <v>2.5311554771626494E-3</v>
      </c>
      <c r="AA1026">
        <f t="shared" si="341"/>
        <v>0.28905214320902695</v>
      </c>
      <c r="AB1026">
        <f t="shared" si="342"/>
        <v>0.13599410896999312</v>
      </c>
      <c r="AC1026">
        <f t="shared" si="343"/>
        <v>6.6444893698500929E-2</v>
      </c>
      <c r="AD1026">
        <f t="shared" si="344"/>
        <v>4.2784964748972653E-3</v>
      </c>
      <c r="AE1026">
        <f t="shared" si="345"/>
        <v>1.5663258825178245E-2</v>
      </c>
      <c r="AG1026">
        <f t="shared" si="346"/>
        <v>0.85274685085876378</v>
      </c>
      <c r="AH1026">
        <f t="shared" si="347"/>
        <v>0.16319212454409901</v>
      </c>
      <c r="AI1026">
        <f t="shared" si="348"/>
        <v>-0.63024555734378374</v>
      </c>
      <c r="AK1026" s="26">
        <f t="shared" si="349"/>
        <v>-3.6752594038173464E-2</v>
      </c>
      <c r="AL1026" s="26">
        <f t="shared" si="350"/>
        <v>-5.3942536123353979E-2</v>
      </c>
      <c r="AM1026" s="26">
        <f t="shared" si="351"/>
        <v>-7.3301938605417116E-2</v>
      </c>
      <c r="AN1026" s="26">
        <f t="shared" si="352"/>
        <v>-21.7104761904762</v>
      </c>
      <c r="AO1026" s="26">
        <f t="shared" si="353"/>
        <v>-23.565333011583036</v>
      </c>
      <c r="AP1026" s="26">
        <f t="shared" si="354"/>
        <v>-27.141334208409233</v>
      </c>
      <c r="AS1026" s="2">
        <v>44454</v>
      </c>
      <c r="AT1026">
        <v>15.4</v>
      </c>
      <c r="AU1026">
        <v>0</v>
      </c>
      <c r="AV1026">
        <v>32.9</v>
      </c>
      <c r="AW1026">
        <v>3.4</v>
      </c>
      <c r="AX1026">
        <v>76.08</v>
      </c>
      <c r="AY1026">
        <v>0.2</v>
      </c>
      <c r="AZ1026">
        <v>3.4</v>
      </c>
      <c r="BA1026">
        <v>322.47649999999999</v>
      </c>
      <c r="BB1026">
        <v>214.4273</v>
      </c>
      <c r="BC1026">
        <v>108.70399999999999</v>
      </c>
      <c r="BD1026">
        <v>2.8588</v>
      </c>
      <c r="BE1026">
        <v>22.021000000000001</v>
      </c>
      <c r="BF1026">
        <v>-15.331799999999999</v>
      </c>
      <c r="BG1026">
        <v>40.436999999999998</v>
      </c>
      <c r="BH1026">
        <v>70.95</v>
      </c>
    </row>
    <row r="1027" spans="1:60" x14ac:dyDescent="0.25">
      <c r="A1027" s="2">
        <v>44474</v>
      </c>
      <c r="B1027">
        <v>9.6</v>
      </c>
      <c r="C1027">
        <v>47.9</v>
      </c>
      <c r="D1027">
        <v>76.3</v>
      </c>
      <c r="E1027">
        <v>6.4</v>
      </c>
      <c r="F1027">
        <v>64.48</v>
      </c>
      <c r="G1027">
        <v>0.2</v>
      </c>
      <c r="H1027">
        <v>2.7</v>
      </c>
      <c r="I1027">
        <v>320.05250000000001</v>
      </c>
      <c r="J1027">
        <v>151.2116</v>
      </c>
      <c r="K1027">
        <v>63.380400000000002</v>
      </c>
      <c r="L1027">
        <v>4.5434000000000001</v>
      </c>
      <c r="M1027">
        <v>24.814599999999999</v>
      </c>
      <c r="N1027">
        <v>-14.236499999999999</v>
      </c>
      <c r="O1027">
        <v>96.566400000000002</v>
      </c>
      <c r="P1027">
        <v>75.86</v>
      </c>
      <c r="S1027">
        <f t="shared" si="355"/>
        <v>771.58249999999998</v>
      </c>
      <c r="T1027">
        <f t="shared" si="334"/>
        <v>8.9996639188005302E-3</v>
      </c>
      <c r="U1027">
        <f t="shared" si="335"/>
        <v>4.4904573094848479E-2</v>
      </c>
      <c r="V1027">
        <f t="shared" si="336"/>
        <v>7.1528578854633373E-2</v>
      </c>
      <c r="W1027">
        <f t="shared" si="337"/>
        <v>5.9997759458670207E-3</v>
      </c>
      <c r="X1027">
        <f t="shared" si="338"/>
        <v>6.0447742654610233E-2</v>
      </c>
      <c r="Y1027">
        <f t="shared" si="339"/>
        <v>1.874929983083444E-4</v>
      </c>
      <c r="Z1027">
        <f t="shared" si="340"/>
        <v>2.5311554771626494E-3</v>
      </c>
      <c r="AA1027">
        <f t="shared" si="341"/>
        <v>0.30003801420540693</v>
      </c>
      <c r="AB1027">
        <f t="shared" si="342"/>
        <v>0.14175558131501023</v>
      </c>
      <c r="AC1027">
        <f t="shared" si="343"/>
        <v>5.941690614991095E-2</v>
      </c>
      <c r="AD1027">
        <f t="shared" si="344"/>
        <v>4.2592784425706598E-3</v>
      </c>
      <c r="AE1027">
        <f t="shared" si="345"/>
        <v>2.3262818779111211E-2</v>
      </c>
      <c r="AG1027">
        <f t="shared" si="346"/>
        <v>0.84501904686664342</v>
      </c>
      <c r="AH1027">
        <f t="shared" si="347"/>
        <v>0.2178618017233418</v>
      </c>
      <c r="AI1027">
        <f t="shared" si="348"/>
        <v>-0.18331615788147448</v>
      </c>
      <c r="AK1027" s="26">
        <f t="shared" si="349"/>
        <v>-4.5065444319456471E-2</v>
      </c>
      <c r="AL1027" s="26">
        <f t="shared" si="350"/>
        <v>-5.4618070229147497E-2</v>
      </c>
      <c r="AM1027" s="26">
        <f t="shared" si="351"/>
        <v>-7.359209395989269E-2</v>
      </c>
      <c r="AN1027" s="26">
        <f t="shared" si="352"/>
        <v>-21.845238095238116</v>
      </c>
      <c r="AO1027" s="26">
        <f t="shared" si="353"/>
        <v>-23.675765765765803</v>
      </c>
      <c r="AP1027" s="26">
        <f t="shared" si="354"/>
        <v>-27.295687968005481</v>
      </c>
      <c r="AS1027" s="2">
        <v>44453</v>
      </c>
      <c r="AT1027">
        <v>15.6</v>
      </c>
      <c r="AU1027">
        <v>1.4</v>
      </c>
      <c r="AV1027">
        <v>8.5</v>
      </c>
      <c r="AW1027">
        <v>1.6</v>
      </c>
      <c r="AX1027">
        <v>202.76</v>
      </c>
      <c r="AY1027">
        <v>0.2</v>
      </c>
      <c r="AZ1027">
        <v>3.2</v>
      </c>
      <c r="BA1027">
        <v>318.85840000000002</v>
      </c>
      <c r="BB1027">
        <v>218.42400000000001</v>
      </c>
      <c r="BC1027">
        <v>102.56570000000001</v>
      </c>
      <c r="BD1027">
        <v>2.7746</v>
      </c>
      <c r="BE1027">
        <v>27.805700000000002</v>
      </c>
      <c r="BF1027">
        <v>-14.702299999999999</v>
      </c>
      <c r="BG1027">
        <v>29.534700000000001</v>
      </c>
      <c r="BH1027">
        <v>70.83</v>
      </c>
    </row>
    <row r="1028" spans="1:60" x14ac:dyDescent="0.25">
      <c r="A1028" s="2">
        <v>44473</v>
      </c>
      <c r="B1028">
        <v>8.6</v>
      </c>
      <c r="C1028">
        <v>2.9</v>
      </c>
      <c r="D1028">
        <v>75.400000000000006</v>
      </c>
      <c r="E1028">
        <v>6.1</v>
      </c>
      <c r="F1028">
        <v>66.78</v>
      </c>
      <c r="G1028">
        <v>0.2</v>
      </c>
      <c r="H1028">
        <v>2.2999999999999998</v>
      </c>
      <c r="I1028">
        <v>302.2636</v>
      </c>
      <c r="J1028">
        <v>148.7868</v>
      </c>
      <c r="K1028">
        <v>82.014399999999995</v>
      </c>
      <c r="L1028">
        <v>4.5065</v>
      </c>
      <c r="M1028">
        <v>33.136099999999999</v>
      </c>
      <c r="N1028">
        <v>-22.855699999999999</v>
      </c>
      <c r="O1028">
        <v>57.851900000000001</v>
      </c>
      <c r="P1028">
        <v>75.64</v>
      </c>
      <c r="S1028">
        <f t="shared" si="355"/>
        <v>732.98739999999998</v>
      </c>
      <c r="T1028">
        <f t="shared" si="334"/>
        <v>8.0621989272588075E-3</v>
      </c>
      <c r="U1028">
        <f t="shared" si="335"/>
        <v>2.7186484754709935E-3</v>
      </c>
      <c r="V1028">
        <f t="shared" si="336"/>
        <v>7.0684860362245833E-2</v>
      </c>
      <c r="W1028">
        <f t="shared" si="337"/>
        <v>5.7185364484045034E-3</v>
      </c>
      <c r="X1028">
        <f t="shared" si="338"/>
        <v>6.2603912135156189E-2</v>
      </c>
      <c r="Y1028">
        <f t="shared" si="339"/>
        <v>1.874929983083444E-4</v>
      </c>
      <c r="Z1028">
        <f t="shared" si="340"/>
        <v>2.1561694805459601E-3</v>
      </c>
      <c r="AA1028">
        <f t="shared" si="341"/>
        <v>0.28336154321737039</v>
      </c>
      <c r="AB1028">
        <f t="shared" si="342"/>
        <v>0.13948241620351987</v>
      </c>
      <c r="AC1028">
        <f t="shared" si="343"/>
        <v>7.6885628802299391E-2</v>
      </c>
      <c r="AD1028">
        <f t="shared" si="344"/>
        <v>4.2246859843827695E-3</v>
      </c>
      <c r="AE1028">
        <f t="shared" si="345"/>
        <v>3.1063933706225649E-2</v>
      </c>
      <c r="AG1028">
        <f t="shared" si="346"/>
        <v>0.83161995485641493</v>
      </c>
      <c r="AH1028">
        <f t="shared" si="347"/>
        <v>0.18319575253361625</v>
      </c>
      <c r="AI1028">
        <f t="shared" si="348"/>
        <v>-0.4682159515051324</v>
      </c>
      <c r="AK1028" s="26">
        <f t="shared" si="349"/>
        <v>-5.3097742577604135E-2</v>
      </c>
      <c r="AL1028" s="26">
        <f t="shared" si="350"/>
        <v>-5.5293088623625197E-2</v>
      </c>
      <c r="AM1028" s="26">
        <f t="shared" si="351"/>
        <v>-7.5035214942658579E-2</v>
      </c>
      <c r="AN1028" s="26">
        <f t="shared" si="352"/>
        <v>-21.976904761904763</v>
      </c>
      <c r="AO1028" s="26">
        <f t="shared" si="353"/>
        <v>-23.786980373230406</v>
      </c>
      <c r="AP1028" s="26">
        <f t="shared" si="354"/>
        <v>-27.449632764738617</v>
      </c>
      <c r="AS1028" s="2">
        <v>44452</v>
      </c>
      <c r="AT1028">
        <v>14.9</v>
      </c>
      <c r="AU1028">
        <v>2.9</v>
      </c>
      <c r="AV1028">
        <v>19.2</v>
      </c>
      <c r="AW1028">
        <v>1.2</v>
      </c>
      <c r="AX1028">
        <v>178.8</v>
      </c>
      <c r="AY1028">
        <v>0.2</v>
      </c>
      <c r="AZ1028">
        <v>3.1</v>
      </c>
      <c r="BA1028">
        <v>351.19560000000001</v>
      </c>
      <c r="BB1028">
        <v>207.72980000000001</v>
      </c>
      <c r="BC1028">
        <v>80.740099999999998</v>
      </c>
      <c r="BD1028">
        <v>3.0910000000000002</v>
      </c>
      <c r="BE1028">
        <v>34.583199999999998</v>
      </c>
      <c r="BF1028">
        <v>-22.938199999999998</v>
      </c>
      <c r="BG1028">
        <v>13.3705</v>
      </c>
      <c r="BH1028">
        <v>70.7</v>
      </c>
    </row>
    <row r="1029" spans="1:60" x14ac:dyDescent="0.25">
      <c r="A1029" s="2">
        <v>44472</v>
      </c>
      <c r="B1029">
        <v>8.5</v>
      </c>
      <c r="C1029">
        <v>0</v>
      </c>
      <c r="D1029">
        <v>60.8</v>
      </c>
      <c r="E1029">
        <v>10.1</v>
      </c>
      <c r="F1029">
        <v>92.28</v>
      </c>
      <c r="G1029">
        <v>0.2</v>
      </c>
      <c r="H1029">
        <v>2.6</v>
      </c>
      <c r="I1029">
        <v>142.46299999999999</v>
      </c>
      <c r="J1029">
        <v>20.258199999999999</v>
      </c>
      <c r="K1029">
        <v>35.026299999999999</v>
      </c>
      <c r="L1029">
        <v>4.4947999999999997</v>
      </c>
      <c r="M1029">
        <v>12.728199999999999</v>
      </c>
      <c r="P1029">
        <v>75.47</v>
      </c>
      <c r="S1029">
        <f t="shared" si="355"/>
        <v>389.45049999999998</v>
      </c>
      <c r="T1029">
        <f t="shared" ref="T1029:T1092" si="356">B1029/$S$4</f>
        <v>7.9684524281046359E-3</v>
      </c>
      <c r="U1029">
        <f t="shared" ref="U1029:U1092" si="357">C1029/$S$4</f>
        <v>0</v>
      </c>
      <c r="V1029">
        <f t="shared" ref="V1029:V1092" si="358">D1029/$S$4</f>
        <v>5.6997871485736692E-2</v>
      </c>
      <c r="W1029">
        <f t="shared" ref="W1029:W1092" si="359">E1029/$S$4</f>
        <v>9.4683964145713916E-3</v>
      </c>
      <c r="X1029">
        <f t="shared" ref="X1029:X1092" si="360">F1029/$S$4</f>
        <v>8.6509269419470097E-2</v>
      </c>
      <c r="Y1029">
        <f t="shared" ref="Y1029:Y1092" si="361">G1029/$S$4</f>
        <v>1.874929983083444E-4</v>
      </c>
      <c r="Z1029">
        <f t="shared" ref="Z1029:Z1092" si="362">H1029/$S$4</f>
        <v>2.437408978008477E-3</v>
      </c>
      <c r="AA1029">
        <f t="shared" ref="AA1029:AA1092" si="363">I1029/$S$4</f>
        <v>0.13355407509000833</v>
      </c>
      <c r="AB1029">
        <f t="shared" ref="AB1029:AB1092" si="364">J1029/$S$4</f>
        <v>1.8991353291650508E-2</v>
      </c>
      <c r="AC1029">
        <f t="shared" ref="AC1029:AC1092" si="365">K1029/$S$4</f>
        <v>3.2835930033237815E-2</v>
      </c>
      <c r="AD1029">
        <f t="shared" ref="AD1029:AD1092" si="366">L1029/$S$4</f>
        <v>4.2137176439817313E-3</v>
      </c>
      <c r="AE1029">
        <f t="shared" ref="AE1029:AE1092" si="367">M1029/$S$4</f>
        <v>1.1932241905341345E-2</v>
      </c>
      <c r="AG1029">
        <f t="shared" ref="AG1029:AG1092" si="368">(P1029-AVERAGE(P1029:P1393)) / _xlfn.STDEV.S(P1029:P2856)</f>
        <v>0.82057404977397774</v>
      </c>
      <c r="AH1029">
        <f t="shared" ref="AH1029:AH1092" si="369">SUM(T1029:Y1029,Z1029,AE1029)</f>
        <v>0.17550113362954098</v>
      </c>
      <c r="AI1029">
        <f t="shared" ref="AI1029:AI1092" si="370">(AH1029-AVERAGE(AH1029:AH1393))/_xlfn.STDEV.S(AH1029:AH1393)</f>
        <v>-0.53309495284394859</v>
      </c>
      <c r="AK1029" s="26">
        <f t="shared" ref="AK1029:AK1092" si="371">AVERAGEA(AH1029:AH1049)-AVERAGE(AH1395:AH1415, AH1760:AH1780, AH2125:AH2145)</f>
        <v>-5.6172650070456021E-2</v>
      </c>
      <c r="AL1029" s="26">
        <f t="shared" ref="AL1029:AL1092" si="372">AVERAGEA(AH1029:AH1084)-AVERAGE(AH1395:AH1450, AH1760:AH1814, AH2125:AH2179)</f>
        <v>-5.5029928476349799E-2</v>
      </c>
      <c r="AM1029" s="26">
        <f t="shared" ref="AM1029:AM1092" si="373">AVERAGEA(AH1029:AH1141)-AVERAGE(AH1395:AH1507,AH1760:AH1871,AH2125:AH2236)</f>
        <v>-7.4266484717574577E-2</v>
      </c>
      <c r="AN1029" s="26">
        <f t="shared" ref="AN1029:AN1092" si="374">AVERAGEA(P1029:P1049)-AVERAGE(P1395:P1415, P1760:P1780, P2125:P2145)</f>
        <v>-22.100238095238112</v>
      </c>
      <c r="AO1029" s="26">
        <f t="shared" ref="AO1029:AO1092" si="375">AVERAGEA(P1029:P1084)-AVERAGE(P1395:P1450, P1760:P1814, P2125:P2179)</f>
        <v>-23.896735842985876</v>
      </c>
      <c r="AP1029" s="26">
        <f t="shared" ref="AP1029:AP1092" si="376">AVERAGEA(P1029:P1141)-AVERAGE(P1395:P1507,P1760:P1871,P2125:P2236)</f>
        <v>-27.603326746284068</v>
      </c>
      <c r="AS1029" s="2">
        <v>44451</v>
      </c>
      <c r="AT1029">
        <v>15.6</v>
      </c>
      <c r="AU1029">
        <v>16.8</v>
      </c>
      <c r="AV1029">
        <v>40</v>
      </c>
      <c r="AW1029">
        <v>2.8</v>
      </c>
      <c r="AX1029">
        <v>170.23</v>
      </c>
      <c r="AY1029">
        <v>0.2</v>
      </c>
      <c r="AZ1029">
        <v>2.7</v>
      </c>
      <c r="BA1029">
        <v>295.7808</v>
      </c>
      <c r="BB1029">
        <v>121.36790000000001</v>
      </c>
      <c r="BC1029">
        <v>36.478999999999999</v>
      </c>
      <c r="BD1029">
        <v>2.6635</v>
      </c>
      <c r="BE1029">
        <v>11.7193</v>
      </c>
      <c r="BH1029">
        <v>70.53</v>
      </c>
    </row>
    <row r="1030" spans="1:60" x14ac:dyDescent="0.25">
      <c r="A1030" s="2">
        <v>44471</v>
      </c>
      <c r="B1030">
        <v>9.3000000000000007</v>
      </c>
      <c r="C1030">
        <v>0</v>
      </c>
      <c r="D1030">
        <v>44.7</v>
      </c>
      <c r="E1030">
        <v>8</v>
      </c>
      <c r="F1030">
        <v>147.25</v>
      </c>
      <c r="G1030">
        <v>0.2</v>
      </c>
      <c r="H1030">
        <v>2.9</v>
      </c>
      <c r="I1030">
        <v>274.05070000000001</v>
      </c>
      <c r="J1030">
        <v>63.3658</v>
      </c>
      <c r="K1030">
        <v>37.364600000000003</v>
      </c>
      <c r="L1030">
        <v>4.4526000000000003</v>
      </c>
      <c r="M1030">
        <v>19.6646</v>
      </c>
      <c r="P1030">
        <v>75.17</v>
      </c>
      <c r="S1030">
        <f t="shared" si="355"/>
        <v>611.24829999999997</v>
      </c>
      <c r="T1030">
        <f t="shared" si="356"/>
        <v>8.7184244213380137E-3</v>
      </c>
      <c r="U1030">
        <f t="shared" si="357"/>
        <v>0</v>
      </c>
      <c r="V1030">
        <f t="shared" si="358"/>
        <v>4.1904685121914975E-2</v>
      </c>
      <c r="W1030">
        <f t="shared" si="359"/>
        <v>7.4997199323337755E-3</v>
      </c>
      <c r="X1030">
        <f t="shared" si="360"/>
        <v>0.13804172000451856</v>
      </c>
      <c r="Y1030">
        <f t="shared" si="361"/>
        <v>1.874929983083444E-4</v>
      </c>
      <c r="Z1030">
        <f t="shared" si="362"/>
        <v>2.7186484754709935E-3</v>
      </c>
      <c r="AA1030">
        <f t="shared" si="363"/>
        <v>0.25691293715750296</v>
      </c>
      <c r="AB1030">
        <f t="shared" si="364"/>
        <v>5.9403219161034443E-2</v>
      </c>
      <c r="AC1030">
        <f t="shared" si="365"/>
        <v>3.5028004422959828E-2</v>
      </c>
      <c r="AD1030">
        <f t="shared" si="366"/>
        <v>4.1741566213386715E-3</v>
      </c>
      <c r="AE1030">
        <f t="shared" si="367"/>
        <v>1.8434874072671345E-2</v>
      </c>
      <c r="AG1030">
        <f t="shared" si="368"/>
        <v>0.80340481732681812</v>
      </c>
      <c r="AH1030">
        <f t="shared" si="369"/>
        <v>0.21750556502655599</v>
      </c>
      <c r="AI1030">
        <f t="shared" si="370"/>
        <v>-0.18958945279544565</v>
      </c>
      <c r="AK1030" s="26">
        <f t="shared" si="371"/>
        <v>-6.0886188334975694E-2</v>
      </c>
      <c r="AL1030" s="26">
        <f t="shared" si="372"/>
        <v>-5.6502096880249209E-2</v>
      </c>
      <c r="AM1030" s="26">
        <f t="shared" si="373"/>
        <v>-7.4177222961476164E-2</v>
      </c>
      <c r="AN1030" s="26">
        <f t="shared" si="374"/>
        <v>-22.218571428571437</v>
      </c>
      <c r="AO1030" s="26">
        <f t="shared" si="375"/>
        <v>-24.004757078507097</v>
      </c>
      <c r="AP1030" s="26">
        <f t="shared" si="376"/>
        <v>-27.757840707964611</v>
      </c>
      <c r="AS1030" s="2">
        <v>44450</v>
      </c>
      <c r="AT1030">
        <v>16.899999999999999</v>
      </c>
      <c r="AU1030">
        <v>0</v>
      </c>
      <c r="AV1030">
        <v>24.4</v>
      </c>
      <c r="AW1030">
        <v>2.5</v>
      </c>
      <c r="AX1030">
        <v>128.76</v>
      </c>
      <c r="AY1030">
        <v>0.2</v>
      </c>
      <c r="AZ1030">
        <v>3.1</v>
      </c>
      <c r="BA1030">
        <v>309.9776</v>
      </c>
      <c r="BB1030">
        <v>196.483</v>
      </c>
      <c r="BC1030">
        <v>48.402200000000001</v>
      </c>
      <c r="BD1030">
        <v>2.5222000000000002</v>
      </c>
      <c r="BE1030">
        <v>13.079700000000001</v>
      </c>
      <c r="BH1030">
        <v>70.23</v>
      </c>
    </row>
    <row r="1031" spans="1:60" x14ac:dyDescent="0.25">
      <c r="A1031" s="2">
        <v>44470</v>
      </c>
      <c r="B1031">
        <v>10.199999999999999</v>
      </c>
      <c r="C1031">
        <v>4.0999999999999996</v>
      </c>
      <c r="D1031">
        <v>78.7</v>
      </c>
      <c r="E1031">
        <v>10.7</v>
      </c>
      <c r="F1031">
        <v>189.61</v>
      </c>
      <c r="G1031">
        <v>0.2</v>
      </c>
      <c r="H1031">
        <v>3</v>
      </c>
      <c r="I1031">
        <v>263.4579</v>
      </c>
      <c r="J1031">
        <v>95.694199999999995</v>
      </c>
      <c r="K1031">
        <v>51.528799999999997</v>
      </c>
      <c r="L1031">
        <v>4.3327999999999998</v>
      </c>
      <c r="M1031">
        <v>26.560400000000001</v>
      </c>
      <c r="N1031">
        <v>-22.202300000000001</v>
      </c>
      <c r="O1031">
        <v>57.861899999999999</v>
      </c>
      <c r="P1031">
        <v>74.930000000000007</v>
      </c>
      <c r="S1031">
        <f t="shared" si="355"/>
        <v>738.08410000000003</v>
      </c>
      <c r="T1031">
        <f t="shared" si="356"/>
        <v>9.5621429137255631E-3</v>
      </c>
      <c r="U1031">
        <f t="shared" si="357"/>
        <v>3.8436064653210593E-3</v>
      </c>
      <c r="V1031">
        <f t="shared" si="358"/>
        <v>7.3778494834333519E-2</v>
      </c>
      <c r="W1031">
        <f t="shared" si="359"/>
        <v>1.0030875409496424E-2</v>
      </c>
      <c r="X1031">
        <f t="shared" si="360"/>
        <v>0.17775273704622591</v>
      </c>
      <c r="Y1031">
        <f t="shared" si="361"/>
        <v>1.874929983083444E-4</v>
      </c>
      <c r="Z1031">
        <f t="shared" si="362"/>
        <v>2.8123949746251659E-3</v>
      </c>
      <c r="AA1031">
        <f t="shared" si="363"/>
        <v>0.2469825579950998</v>
      </c>
      <c r="AB1031">
        <f t="shared" si="364"/>
        <v>8.9709962393591844E-2</v>
      </c>
      <c r="AC1031">
        <f t="shared" si="365"/>
        <v>4.8306446056155077E-2</v>
      </c>
      <c r="AD1031">
        <f t="shared" si="366"/>
        <v>4.0618483153519727E-3</v>
      </c>
      <c r="AE1031">
        <f t="shared" si="367"/>
        <v>2.4899445161344753E-2</v>
      </c>
      <c r="AG1031">
        <f t="shared" si="368"/>
        <v>0.78907123980499549</v>
      </c>
      <c r="AH1031">
        <f t="shared" si="369"/>
        <v>0.30286718980338073</v>
      </c>
      <c r="AI1031">
        <f t="shared" si="370"/>
        <v>0.51235024524946904</v>
      </c>
      <c r="AK1031" s="26">
        <f t="shared" si="371"/>
        <v>-7.3578388467769901E-2</v>
      </c>
      <c r="AL1031" s="26">
        <f t="shared" si="372"/>
        <v>-6.1987048030127889E-2</v>
      </c>
      <c r="AM1031" s="26">
        <f t="shared" si="373"/>
        <v>-7.166085581775189E-2</v>
      </c>
      <c r="AN1031" s="26">
        <f t="shared" si="374"/>
        <v>-22.332142857142856</v>
      </c>
      <c r="AO1031" s="26">
        <f t="shared" si="375"/>
        <v>-24.109882561132579</v>
      </c>
      <c r="AP1031" s="26">
        <f t="shared" si="376"/>
        <v>-27.911577737289619</v>
      </c>
      <c r="AS1031" s="2">
        <v>44449</v>
      </c>
      <c r="AT1031">
        <v>17</v>
      </c>
      <c r="AU1031">
        <v>254.5</v>
      </c>
      <c r="AV1031">
        <v>6</v>
      </c>
      <c r="AW1031">
        <v>1.5</v>
      </c>
      <c r="AX1031">
        <v>172.22</v>
      </c>
      <c r="AY1031">
        <v>0.2</v>
      </c>
      <c r="AZ1031">
        <v>3.8</v>
      </c>
      <c r="BA1031">
        <v>305.94819999999999</v>
      </c>
      <c r="BB1031">
        <v>236.46850000000001</v>
      </c>
      <c r="BC1031">
        <v>114.2398</v>
      </c>
      <c r="BD1031">
        <v>2.4236</v>
      </c>
      <c r="BE1031">
        <v>24.9114</v>
      </c>
      <c r="BF1031">
        <v>-23.905799999999999</v>
      </c>
      <c r="BG1031">
        <v>6.0518000000000001</v>
      </c>
      <c r="BH1031">
        <v>69.94</v>
      </c>
    </row>
    <row r="1032" spans="1:60" x14ac:dyDescent="0.25">
      <c r="A1032" s="2">
        <v>44469</v>
      </c>
      <c r="B1032">
        <v>10.8</v>
      </c>
      <c r="C1032">
        <v>17.2</v>
      </c>
      <c r="D1032">
        <v>78.5</v>
      </c>
      <c r="E1032">
        <v>10.4</v>
      </c>
      <c r="F1032">
        <v>169.47</v>
      </c>
      <c r="G1032">
        <v>0.2</v>
      </c>
      <c r="H1032">
        <v>2.7</v>
      </c>
      <c r="I1032">
        <v>263.70150000000001</v>
      </c>
      <c r="J1032">
        <v>115.77119999999999</v>
      </c>
      <c r="K1032">
        <v>44.387999999999998</v>
      </c>
      <c r="L1032">
        <v>4.3174000000000001</v>
      </c>
      <c r="M1032">
        <v>26.475899999999999</v>
      </c>
      <c r="N1032">
        <v>-58.383699999999997</v>
      </c>
      <c r="O1032">
        <v>18.817299999999999</v>
      </c>
      <c r="P1032">
        <v>74.709999999999994</v>
      </c>
      <c r="S1032">
        <f t="shared" si="355"/>
        <v>743.92400000000009</v>
      </c>
      <c r="T1032">
        <f t="shared" si="356"/>
        <v>1.0124621908650598E-2</v>
      </c>
      <c r="U1032">
        <f t="shared" si="357"/>
        <v>1.6124397854517615E-2</v>
      </c>
      <c r="V1032">
        <f t="shared" si="358"/>
        <v>7.3591001836025169E-2</v>
      </c>
      <c r="W1032">
        <f t="shared" si="359"/>
        <v>9.749635912033908E-3</v>
      </c>
      <c r="X1032">
        <f t="shared" si="360"/>
        <v>0.15887219211657561</v>
      </c>
      <c r="Y1032">
        <f t="shared" si="361"/>
        <v>1.874929983083444E-4</v>
      </c>
      <c r="Z1032">
        <f t="shared" si="362"/>
        <v>2.5311554771626494E-3</v>
      </c>
      <c r="AA1032">
        <f t="shared" si="363"/>
        <v>0.24721092446703938</v>
      </c>
      <c r="AB1032">
        <f t="shared" si="364"/>
        <v>0.10853144702877499</v>
      </c>
      <c r="AC1032">
        <f t="shared" si="365"/>
        <v>4.1612196044553948E-2</v>
      </c>
      <c r="AD1032">
        <f t="shared" si="366"/>
        <v>4.0474113544822299E-3</v>
      </c>
      <c r="AE1032">
        <f t="shared" si="367"/>
        <v>2.4820229369559476E-2</v>
      </c>
      <c r="AG1032">
        <f t="shared" si="368"/>
        <v>0.77567829648123288</v>
      </c>
      <c r="AH1032">
        <f t="shared" si="369"/>
        <v>0.29600072747283335</v>
      </c>
      <c r="AI1032">
        <f t="shared" si="370"/>
        <v>0.45733645332639128</v>
      </c>
      <c r="AK1032" s="26">
        <f t="shared" si="371"/>
        <v>-7.0089134841013589E-2</v>
      </c>
      <c r="AL1032" s="26">
        <f t="shared" si="372"/>
        <v>-6.4784333741528144E-2</v>
      </c>
      <c r="AM1032" s="26">
        <f t="shared" si="373"/>
        <v>-7.2417798376860687E-2</v>
      </c>
      <c r="AN1032" s="26">
        <f t="shared" si="374"/>
        <v>-22.443809523809534</v>
      </c>
      <c r="AO1032" s="26">
        <f t="shared" si="375"/>
        <v>-24.210659588159587</v>
      </c>
      <c r="AP1032" s="26">
        <f t="shared" si="376"/>
        <v>-28.064165395178527</v>
      </c>
      <c r="AS1032" s="2">
        <v>44448</v>
      </c>
      <c r="AT1032">
        <v>16.899999999999999</v>
      </c>
      <c r="AU1032">
        <v>3.1</v>
      </c>
      <c r="AV1032">
        <v>11</v>
      </c>
      <c r="AW1032">
        <v>2.4</v>
      </c>
      <c r="AX1032">
        <v>216.13</v>
      </c>
      <c r="AY1032">
        <v>0.1</v>
      </c>
      <c r="AZ1032">
        <v>3.9</v>
      </c>
      <c r="BA1032">
        <v>290.82260000000002</v>
      </c>
      <c r="BB1032">
        <v>225.00790000000001</v>
      </c>
      <c r="BC1032">
        <v>114.5502</v>
      </c>
      <c r="BD1032">
        <v>2.6493000000000002</v>
      </c>
      <c r="BE1032">
        <v>30.608699999999999</v>
      </c>
      <c r="BF1032">
        <v>-25.373100000000001</v>
      </c>
      <c r="BG1032">
        <v>1.7081</v>
      </c>
      <c r="BH1032">
        <v>69.739999999999995</v>
      </c>
    </row>
    <row r="1033" spans="1:60" x14ac:dyDescent="0.25">
      <c r="A1033" s="2">
        <v>44468</v>
      </c>
      <c r="B1033">
        <v>10.8</v>
      </c>
      <c r="C1033">
        <v>0</v>
      </c>
      <c r="D1033">
        <v>67.400000000000006</v>
      </c>
      <c r="E1033">
        <v>7.9</v>
      </c>
      <c r="F1033">
        <v>98.23</v>
      </c>
      <c r="G1033">
        <v>0.2</v>
      </c>
      <c r="H1033">
        <v>2.7</v>
      </c>
      <c r="I1033">
        <v>330.48590000000002</v>
      </c>
      <c r="J1033">
        <v>178.4161</v>
      </c>
      <c r="K1033">
        <v>42.510399999999997</v>
      </c>
      <c r="L1033">
        <v>4.0773999999999999</v>
      </c>
      <c r="M1033">
        <v>22.016100000000002</v>
      </c>
      <c r="N1033">
        <v>-51.999400000000001</v>
      </c>
      <c r="O1033">
        <v>20.298100000000002</v>
      </c>
      <c r="P1033">
        <v>74.53</v>
      </c>
      <c r="S1033">
        <f t="shared" si="355"/>
        <v>764.73590000000013</v>
      </c>
      <c r="T1033">
        <f t="shared" si="356"/>
        <v>1.0124621908650598E-2</v>
      </c>
      <c r="U1033">
        <f t="shared" si="357"/>
        <v>0</v>
      </c>
      <c r="V1033">
        <f t="shared" si="358"/>
        <v>6.3185140429912065E-2</v>
      </c>
      <c r="W1033">
        <f t="shared" si="359"/>
        <v>7.405973433179603E-3</v>
      </c>
      <c r="X1033">
        <f t="shared" si="360"/>
        <v>9.2087186119143349E-2</v>
      </c>
      <c r="Y1033">
        <f t="shared" si="361"/>
        <v>1.874929983083444E-4</v>
      </c>
      <c r="Z1033">
        <f t="shared" si="362"/>
        <v>2.5311554771626494E-3</v>
      </c>
      <c r="AA1033">
        <f t="shared" si="363"/>
        <v>0.30981896144815835</v>
      </c>
      <c r="AB1033">
        <f t="shared" si="364"/>
        <v>0.16725884767740701</v>
      </c>
      <c r="AC1033">
        <f t="shared" si="365"/>
        <v>3.9852011776435214E-2</v>
      </c>
      <c r="AD1033">
        <f t="shared" si="366"/>
        <v>3.8224197565122167E-3</v>
      </c>
      <c r="AE1033">
        <f t="shared" si="367"/>
        <v>2.0639323000281706E-2</v>
      </c>
      <c r="AG1033">
        <f t="shared" si="368"/>
        <v>0.76414960842345991</v>
      </c>
      <c r="AH1033">
        <f t="shared" si="369"/>
        <v>0.19616089336663831</v>
      </c>
      <c r="AI1033">
        <f t="shared" si="370"/>
        <v>-0.36093348855163127</v>
      </c>
      <c r="AK1033" s="26">
        <f t="shared" si="371"/>
        <v>-7.7834073294539674E-2</v>
      </c>
      <c r="AL1033" s="26">
        <f t="shared" si="372"/>
        <v>-6.9894854933991779E-2</v>
      </c>
      <c r="AM1033" s="26">
        <f t="shared" si="373"/>
        <v>-7.355290264549541E-2</v>
      </c>
      <c r="AN1033" s="26">
        <f t="shared" si="374"/>
        <v>-22.552142857142883</v>
      </c>
      <c r="AO1033" s="26">
        <f t="shared" si="375"/>
        <v>-24.311142213642242</v>
      </c>
      <c r="AP1033" s="26">
        <f t="shared" si="376"/>
        <v>-28.215982651362481</v>
      </c>
      <c r="AS1033" s="2">
        <v>44447</v>
      </c>
      <c r="AT1033">
        <v>17.5</v>
      </c>
      <c r="AU1033">
        <v>5</v>
      </c>
      <c r="AV1033">
        <v>9</v>
      </c>
      <c r="AW1033">
        <v>2</v>
      </c>
      <c r="AX1033">
        <v>240.24</v>
      </c>
      <c r="AY1033">
        <v>0.1</v>
      </c>
      <c r="AZ1033">
        <v>3.5</v>
      </c>
      <c r="BA1033">
        <v>294.1651</v>
      </c>
      <c r="BB1033">
        <v>214.92320000000001</v>
      </c>
      <c r="BC1033">
        <v>105.1698</v>
      </c>
      <c r="BD1033">
        <v>2.2073999999999998</v>
      </c>
      <c r="BE1033">
        <v>24.558399999999999</v>
      </c>
      <c r="BF1033">
        <v>-31.2988</v>
      </c>
      <c r="BG1033">
        <v>-5.7018000000000004</v>
      </c>
      <c r="BH1033">
        <v>69.52</v>
      </c>
    </row>
    <row r="1034" spans="1:60" x14ac:dyDescent="0.25">
      <c r="A1034" s="2">
        <v>44467</v>
      </c>
      <c r="B1034">
        <v>11.1</v>
      </c>
      <c r="C1034">
        <v>17.2</v>
      </c>
      <c r="D1034">
        <v>25.8</v>
      </c>
      <c r="E1034">
        <v>2.4</v>
      </c>
      <c r="F1034">
        <v>125.19</v>
      </c>
      <c r="G1034">
        <v>0.2</v>
      </c>
      <c r="H1034">
        <v>2.9</v>
      </c>
      <c r="I1034">
        <v>345.18830000000003</v>
      </c>
      <c r="J1034">
        <v>239.27340000000001</v>
      </c>
      <c r="K1034">
        <v>83.224900000000005</v>
      </c>
      <c r="L1034">
        <v>4.4074999999999998</v>
      </c>
      <c r="M1034">
        <v>29.564399999999999</v>
      </c>
      <c r="N1034">
        <v>-43.869799999999998</v>
      </c>
      <c r="O1034">
        <v>20.8263</v>
      </c>
      <c r="P1034">
        <v>74.28</v>
      </c>
      <c r="S1034">
        <f t="shared" si="355"/>
        <v>886.44850000000008</v>
      </c>
      <c r="T1034">
        <f t="shared" si="356"/>
        <v>1.0405861406113113E-2</v>
      </c>
      <c r="U1034">
        <f t="shared" si="357"/>
        <v>1.6124397854517615E-2</v>
      </c>
      <c r="V1034">
        <f t="shared" si="358"/>
        <v>2.4186596781776426E-2</v>
      </c>
      <c r="W1034">
        <f t="shared" si="359"/>
        <v>2.2499159797001326E-3</v>
      </c>
      <c r="X1034">
        <f t="shared" si="360"/>
        <v>0.11736124229110817</v>
      </c>
      <c r="Y1034">
        <f t="shared" si="361"/>
        <v>1.874929983083444E-4</v>
      </c>
      <c r="Z1034">
        <f t="shared" si="362"/>
        <v>2.7186484754709935E-3</v>
      </c>
      <c r="AA1034">
        <f t="shared" si="363"/>
        <v>0.32360194673980142</v>
      </c>
      <c r="AB1034">
        <f t="shared" si="364"/>
        <v>0.22431043590715904</v>
      </c>
      <c r="AC1034">
        <f t="shared" si="365"/>
        <v>7.8020430174560659E-2</v>
      </c>
      <c r="AD1034">
        <f t="shared" si="366"/>
        <v>4.1318769502201392E-3</v>
      </c>
      <c r="AE1034">
        <f t="shared" si="367"/>
        <v>2.7715589995936082E-2</v>
      </c>
      <c r="AG1034">
        <f t="shared" si="368"/>
        <v>0.74930046453386501</v>
      </c>
      <c r="AH1034">
        <f t="shared" si="369"/>
        <v>0.20094974578293084</v>
      </c>
      <c r="AI1034">
        <f t="shared" si="370"/>
        <v>-0.32071972365571544</v>
      </c>
      <c r="AK1034" s="26">
        <f t="shared" si="371"/>
        <v>-7.6622542644780189E-2</v>
      </c>
      <c r="AL1034" s="26">
        <f t="shared" si="372"/>
        <v>-7.0345983553494307E-2</v>
      </c>
      <c r="AM1034" s="26">
        <f t="shared" si="373"/>
        <v>-7.4199669721865535E-2</v>
      </c>
      <c r="AN1034" s="26">
        <f t="shared" si="374"/>
        <v>-22.655476190476207</v>
      </c>
      <c r="AO1034" s="26">
        <f t="shared" si="375"/>
        <v>-24.409081402831433</v>
      </c>
      <c r="AP1034" s="26">
        <f t="shared" si="376"/>
        <v>-28.365598996169609</v>
      </c>
      <c r="AS1034" s="2">
        <v>44446</v>
      </c>
      <c r="AT1034">
        <v>18.2</v>
      </c>
      <c r="AU1034">
        <v>139.69999999999999</v>
      </c>
      <c r="AV1034">
        <v>3.8</v>
      </c>
      <c r="AW1034">
        <v>0.3</v>
      </c>
      <c r="AX1034">
        <v>200.26</v>
      </c>
      <c r="AY1034">
        <v>0.1</v>
      </c>
      <c r="AZ1034">
        <v>3.6</v>
      </c>
      <c r="BA1034">
        <v>297.15359999999998</v>
      </c>
      <c r="BB1034">
        <v>222.4855</v>
      </c>
      <c r="BC1034">
        <v>106.4885</v>
      </c>
      <c r="BD1034">
        <v>3.8553999999999999</v>
      </c>
      <c r="BE1034">
        <v>31.5688</v>
      </c>
      <c r="BF1034">
        <v>-23.288900000000002</v>
      </c>
      <c r="BG1034">
        <v>-0.6411</v>
      </c>
      <c r="BH1034">
        <v>69.31</v>
      </c>
    </row>
    <row r="1035" spans="1:60" x14ac:dyDescent="0.25">
      <c r="A1035" s="2">
        <v>44466</v>
      </c>
      <c r="B1035">
        <v>10.7</v>
      </c>
      <c r="C1035">
        <v>3.8</v>
      </c>
      <c r="D1035">
        <v>52</v>
      </c>
      <c r="E1035">
        <v>2.9</v>
      </c>
      <c r="F1035">
        <v>121.66</v>
      </c>
      <c r="G1035">
        <v>0.2</v>
      </c>
      <c r="H1035">
        <v>3.2</v>
      </c>
      <c r="I1035">
        <v>344.66899999999998</v>
      </c>
      <c r="J1035">
        <v>209.60079999999999</v>
      </c>
      <c r="K1035">
        <v>66.231099999999998</v>
      </c>
      <c r="L1035">
        <v>4.0575999999999999</v>
      </c>
      <c r="M1035">
        <v>25.211600000000001</v>
      </c>
      <c r="N1035">
        <v>-42.241100000000003</v>
      </c>
      <c r="O1035">
        <v>14.444900000000001</v>
      </c>
      <c r="P1035">
        <v>74.08</v>
      </c>
      <c r="S1035">
        <f t="shared" si="355"/>
        <v>844.23009999999977</v>
      </c>
      <c r="T1035">
        <f t="shared" si="356"/>
        <v>1.0030875409496424E-2</v>
      </c>
      <c r="U1035">
        <f t="shared" si="357"/>
        <v>3.5623669678585433E-3</v>
      </c>
      <c r="V1035">
        <f t="shared" si="358"/>
        <v>4.8748179560169538E-2</v>
      </c>
      <c r="W1035">
        <f t="shared" si="359"/>
        <v>2.7186484754709935E-3</v>
      </c>
      <c r="X1035">
        <f t="shared" si="360"/>
        <v>0.11405199087096589</v>
      </c>
      <c r="Y1035">
        <f t="shared" si="361"/>
        <v>1.874929983083444E-4</v>
      </c>
      <c r="Z1035">
        <f t="shared" si="362"/>
        <v>2.9998879729335104E-3</v>
      </c>
      <c r="AA1035">
        <f t="shared" si="363"/>
        <v>0.32311512116969371</v>
      </c>
      <c r="AB1035">
        <f t="shared" si="364"/>
        <v>0.19649341219913813</v>
      </c>
      <c r="AC1035">
        <f t="shared" si="365"/>
        <v>6.2089337601298936E-2</v>
      </c>
      <c r="AD1035">
        <f t="shared" si="366"/>
        <v>3.8038579496796907E-3</v>
      </c>
      <c r="AE1035">
        <f t="shared" si="367"/>
        <v>2.3634992380753277E-2</v>
      </c>
      <c r="AG1035">
        <f t="shared" si="368"/>
        <v>0.73678234552651933</v>
      </c>
      <c r="AH1035">
        <f t="shared" si="369"/>
        <v>0.20593443463595654</v>
      </c>
      <c r="AI1035">
        <f t="shared" si="370"/>
        <v>-0.27976194607510146</v>
      </c>
      <c r="AK1035" s="26">
        <f t="shared" si="371"/>
        <v>-6.9953695702390267E-2</v>
      </c>
      <c r="AL1035" s="26">
        <f t="shared" si="372"/>
        <v>-6.9075457414400854E-2</v>
      </c>
      <c r="AM1035" s="26">
        <f t="shared" si="373"/>
        <v>-7.5423032666563139E-2</v>
      </c>
      <c r="AN1035" s="26">
        <f t="shared" si="374"/>
        <v>-22.754523809523832</v>
      </c>
      <c r="AO1035" s="26">
        <f t="shared" si="375"/>
        <v>-24.504851994852018</v>
      </c>
      <c r="AP1035" s="26">
        <f t="shared" si="376"/>
        <v>-28.51340309734514</v>
      </c>
      <c r="AS1035" s="2">
        <v>44445</v>
      </c>
      <c r="AT1035">
        <v>18.3</v>
      </c>
      <c r="AU1035">
        <v>62.5</v>
      </c>
      <c r="AV1035">
        <v>1.3</v>
      </c>
      <c r="AW1035">
        <v>0.5</v>
      </c>
      <c r="AX1035">
        <v>229.41</v>
      </c>
      <c r="AY1035">
        <v>0.2</v>
      </c>
      <c r="AZ1035">
        <v>3.6</v>
      </c>
      <c r="BA1035">
        <v>279.65480000000002</v>
      </c>
      <c r="BB1035">
        <v>212.1378</v>
      </c>
      <c r="BC1035">
        <v>91.380200000000002</v>
      </c>
      <c r="BD1035">
        <v>3.8935</v>
      </c>
      <c r="BE1035">
        <v>29.364699999999999</v>
      </c>
      <c r="BF1035">
        <v>-22.6037</v>
      </c>
      <c r="BG1035">
        <v>0.20760000000000001</v>
      </c>
      <c r="BH1035">
        <v>69.14</v>
      </c>
    </row>
    <row r="1036" spans="1:60" x14ac:dyDescent="0.25">
      <c r="A1036" s="2">
        <v>44465</v>
      </c>
      <c r="B1036">
        <v>10</v>
      </c>
      <c r="C1036">
        <v>3.1</v>
      </c>
      <c r="D1036">
        <v>17.100000000000001</v>
      </c>
      <c r="E1036">
        <v>1.9</v>
      </c>
      <c r="F1036">
        <v>133.28</v>
      </c>
      <c r="G1036">
        <v>0.2</v>
      </c>
      <c r="H1036">
        <v>3</v>
      </c>
      <c r="I1036">
        <v>322.19439999999997</v>
      </c>
      <c r="J1036">
        <v>149.80459999999999</v>
      </c>
      <c r="K1036">
        <v>35.765700000000002</v>
      </c>
      <c r="L1036">
        <v>3.9796</v>
      </c>
      <c r="M1036">
        <v>12.630699999999999</v>
      </c>
      <c r="P1036">
        <v>73.81</v>
      </c>
      <c r="S1036">
        <f t="shared" si="355"/>
        <v>692.95500000000004</v>
      </c>
      <c r="T1036">
        <f t="shared" si="356"/>
        <v>9.3746499154172182E-3</v>
      </c>
      <c r="U1036">
        <f t="shared" si="357"/>
        <v>2.9061414737793379E-3</v>
      </c>
      <c r="V1036">
        <f t="shared" si="358"/>
        <v>1.6030651355363447E-2</v>
      </c>
      <c r="W1036">
        <f t="shared" si="359"/>
        <v>1.7811834839292716E-3</v>
      </c>
      <c r="X1036">
        <f t="shared" si="360"/>
        <v>0.1249453340726807</v>
      </c>
      <c r="Y1036">
        <f t="shared" si="361"/>
        <v>1.874929983083444E-4</v>
      </c>
      <c r="Z1036">
        <f t="shared" si="362"/>
        <v>2.8123949746251659E-3</v>
      </c>
      <c r="AA1036">
        <f t="shared" si="363"/>
        <v>0.30204597047079013</v>
      </c>
      <c r="AB1036">
        <f t="shared" si="364"/>
        <v>0.14043656807191102</v>
      </c>
      <c r="AC1036">
        <f t="shared" si="365"/>
        <v>3.3529091647983768E-2</v>
      </c>
      <c r="AD1036">
        <f t="shared" si="366"/>
        <v>3.7307356803394365E-3</v>
      </c>
      <c r="AE1036">
        <f t="shared" si="367"/>
        <v>1.1840839068666027E-2</v>
      </c>
      <c r="AG1036">
        <f t="shared" si="368"/>
        <v>0.72095044302671984</v>
      </c>
      <c r="AH1036">
        <f t="shared" si="369"/>
        <v>0.16987868734276951</v>
      </c>
      <c r="AI1036">
        <f t="shared" si="370"/>
        <v>-0.57517411852678924</v>
      </c>
      <c r="AK1036" s="26">
        <f t="shared" si="371"/>
        <v>-7.3125787066031983E-2</v>
      </c>
      <c r="AL1036" s="26">
        <f t="shared" si="372"/>
        <v>-6.9858509358960152E-2</v>
      </c>
      <c r="AM1036" s="26">
        <f t="shared" si="373"/>
        <v>-7.605943977735008E-2</v>
      </c>
      <c r="AN1036" s="26">
        <f t="shared" si="374"/>
        <v>-22.851190476190482</v>
      </c>
      <c r="AO1036" s="26">
        <f t="shared" si="375"/>
        <v>-24.600246138996141</v>
      </c>
      <c r="AP1036" s="26">
        <f t="shared" si="376"/>
        <v>-28.660694623560282</v>
      </c>
      <c r="AS1036" s="2">
        <v>44444</v>
      </c>
      <c r="AT1036">
        <v>18.899999999999999</v>
      </c>
      <c r="AU1036">
        <v>3</v>
      </c>
      <c r="AV1036">
        <v>21.4</v>
      </c>
      <c r="AW1036">
        <v>1.6</v>
      </c>
      <c r="AX1036">
        <v>228.93</v>
      </c>
      <c r="AY1036">
        <v>0.2</v>
      </c>
      <c r="AZ1036">
        <v>3.8</v>
      </c>
      <c r="BA1036">
        <v>262.59440000000001</v>
      </c>
      <c r="BB1036">
        <v>78.311000000000007</v>
      </c>
      <c r="BC1036">
        <v>33.802999999999997</v>
      </c>
      <c r="BD1036">
        <v>3.7166000000000001</v>
      </c>
      <c r="BE1036">
        <v>10.572100000000001</v>
      </c>
      <c r="BH1036">
        <v>68.92</v>
      </c>
    </row>
    <row r="1037" spans="1:60" x14ac:dyDescent="0.25">
      <c r="A1037" s="2">
        <v>44464</v>
      </c>
      <c r="B1037">
        <v>10.4</v>
      </c>
      <c r="C1037">
        <v>20.399999999999999</v>
      </c>
      <c r="D1037">
        <v>20.7</v>
      </c>
      <c r="E1037">
        <v>3.3</v>
      </c>
      <c r="F1037">
        <v>184.01</v>
      </c>
      <c r="G1037">
        <v>0.2</v>
      </c>
      <c r="H1037">
        <v>2.8</v>
      </c>
      <c r="I1037">
        <v>289.99689999999998</v>
      </c>
      <c r="J1037">
        <v>179.7269</v>
      </c>
      <c r="K1037">
        <v>51.343200000000003</v>
      </c>
      <c r="L1037">
        <v>3.9209000000000001</v>
      </c>
      <c r="M1037">
        <v>24.5654</v>
      </c>
      <c r="P1037">
        <v>73.430000000000007</v>
      </c>
      <c r="S1037">
        <f t="shared" si="355"/>
        <v>791.36329999999998</v>
      </c>
      <c r="T1037">
        <f t="shared" si="356"/>
        <v>9.749635912033908E-3</v>
      </c>
      <c r="U1037">
        <f t="shared" si="357"/>
        <v>1.9124285827451126E-2</v>
      </c>
      <c r="V1037">
        <f t="shared" si="358"/>
        <v>1.9405525324913644E-2</v>
      </c>
      <c r="W1037">
        <f t="shared" si="359"/>
        <v>3.0936344720876819E-3</v>
      </c>
      <c r="X1037">
        <f t="shared" si="360"/>
        <v>0.17250293309359224</v>
      </c>
      <c r="Y1037">
        <f t="shared" si="361"/>
        <v>1.874929983083444E-4</v>
      </c>
      <c r="Z1037">
        <f t="shared" si="362"/>
        <v>2.624901976316821E-3</v>
      </c>
      <c r="AA1037">
        <f t="shared" si="363"/>
        <v>0.27186194140562558</v>
      </c>
      <c r="AB1037">
        <f t="shared" si="364"/>
        <v>0.16848767678831991</v>
      </c>
      <c r="AC1037">
        <f t="shared" si="365"/>
        <v>4.813245255372494E-2</v>
      </c>
      <c r="AD1037">
        <f t="shared" si="366"/>
        <v>3.6757064853359376E-3</v>
      </c>
      <c r="AE1037">
        <f t="shared" si="367"/>
        <v>2.3029202503219017E-2</v>
      </c>
      <c r="AG1037">
        <f t="shared" si="368"/>
        <v>0.69994071773688316</v>
      </c>
      <c r="AH1037">
        <f t="shared" si="369"/>
        <v>0.24971761210792279</v>
      </c>
      <c r="AI1037">
        <f t="shared" si="370"/>
        <v>8.1918960867554777E-2</v>
      </c>
      <c r="AK1037" s="26">
        <f t="shared" si="371"/>
        <v>-7.1005636329696781E-2</v>
      </c>
      <c r="AL1037" s="26">
        <f t="shared" si="372"/>
        <v>-7.4614293994683556E-2</v>
      </c>
      <c r="AM1037" s="26">
        <f t="shared" si="373"/>
        <v>-7.3664717739451602E-2</v>
      </c>
      <c r="AN1037" s="26">
        <f t="shared" si="374"/>
        <v>-22.943571428571431</v>
      </c>
      <c r="AO1037" s="26">
        <f t="shared" si="375"/>
        <v>-24.692202380952367</v>
      </c>
      <c r="AP1037" s="26">
        <f t="shared" si="376"/>
        <v>-28.808056225976586</v>
      </c>
      <c r="AS1037" s="2">
        <v>44443</v>
      </c>
      <c r="AT1037">
        <v>19.8</v>
      </c>
      <c r="AU1037">
        <v>1</v>
      </c>
      <c r="AV1037">
        <v>11.1</v>
      </c>
      <c r="AW1037">
        <v>1</v>
      </c>
      <c r="AX1037">
        <v>213.55</v>
      </c>
      <c r="AY1037">
        <v>0.2</v>
      </c>
      <c r="AZ1037">
        <v>3.6</v>
      </c>
      <c r="BA1037">
        <v>274.27679999999998</v>
      </c>
      <c r="BB1037">
        <v>145.8597</v>
      </c>
      <c r="BC1037">
        <v>37.338799999999999</v>
      </c>
      <c r="BD1037">
        <v>3.6894999999999998</v>
      </c>
      <c r="BE1037">
        <v>17.781600000000001</v>
      </c>
      <c r="BH1037">
        <v>68.58</v>
      </c>
    </row>
    <row r="1038" spans="1:60" x14ac:dyDescent="0.25">
      <c r="A1038" s="2">
        <v>44463</v>
      </c>
      <c r="B1038">
        <v>11.1</v>
      </c>
      <c r="C1038">
        <v>3.1</v>
      </c>
      <c r="D1038">
        <v>64.8</v>
      </c>
      <c r="E1038">
        <v>9</v>
      </c>
      <c r="F1038">
        <v>123.44</v>
      </c>
      <c r="G1038">
        <v>0.2</v>
      </c>
      <c r="H1038">
        <v>2.7</v>
      </c>
      <c r="I1038">
        <v>267.827</v>
      </c>
      <c r="J1038">
        <v>140.85929999999999</v>
      </c>
      <c r="K1038">
        <v>58.3461</v>
      </c>
      <c r="L1038">
        <v>3.7027999999999999</v>
      </c>
      <c r="M1038">
        <v>30.835799999999999</v>
      </c>
      <c r="N1038">
        <v>-36.245899999999999</v>
      </c>
      <c r="O1038">
        <v>12.590400000000001</v>
      </c>
      <c r="P1038">
        <v>72.819999999999993</v>
      </c>
      <c r="S1038">
        <f t="shared" si="355"/>
        <v>715.91099999999994</v>
      </c>
      <c r="T1038">
        <f t="shared" si="356"/>
        <v>1.0405861406113113E-2</v>
      </c>
      <c r="U1038">
        <f t="shared" si="357"/>
        <v>2.9061414737793379E-3</v>
      </c>
      <c r="V1038">
        <f t="shared" si="358"/>
        <v>6.0747731451903576E-2</v>
      </c>
      <c r="W1038">
        <f t="shared" si="359"/>
        <v>8.4371849238754973E-3</v>
      </c>
      <c r="X1038">
        <f t="shared" si="360"/>
        <v>0.11572067855591014</v>
      </c>
      <c r="Y1038">
        <f t="shared" si="361"/>
        <v>1.874929983083444E-4</v>
      </c>
      <c r="Z1038">
        <f t="shared" si="362"/>
        <v>2.5311554771626494E-3</v>
      </c>
      <c r="AA1038">
        <f t="shared" si="363"/>
        <v>0.25107843628964477</v>
      </c>
      <c r="AB1038">
        <f t="shared" si="364"/>
        <v>0.13205066248307287</v>
      </c>
      <c r="AC1038">
        <f t="shared" si="365"/>
        <v>5.4697426142992459E-2</v>
      </c>
      <c r="AD1038">
        <f t="shared" si="366"/>
        <v>3.4712453706806879E-3</v>
      </c>
      <c r="AE1038">
        <f t="shared" si="367"/>
        <v>2.8907482986182228E-2</v>
      </c>
      <c r="AG1038">
        <f t="shared" si="368"/>
        <v>0.66811251679837258</v>
      </c>
      <c r="AH1038">
        <f t="shared" si="369"/>
        <v>0.22984372927323488</v>
      </c>
      <c r="AI1038">
        <f t="shared" si="370"/>
        <v>-7.9307840942944491E-2</v>
      </c>
      <c r="AK1038" s="26">
        <f t="shared" si="371"/>
        <v>-7.3539988116068766E-2</v>
      </c>
      <c r="AL1038" s="26">
        <f t="shared" si="372"/>
        <v>-8.1015419048350301E-2</v>
      </c>
      <c r="AM1038" s="26">
        <f t="shared" si="373"/>
        <v>-7.2803470271138704E-2</v>
      </c>
      <c r="AN1038" s="26">
        <f t="shared" si="374"/>
        <v>-23.031666666666666</v>
      </c>
      <c r="AO1038" s="26">
        <f t="shared" si="375"/>
        <v>-24.78586068211068</v>
      </c>
      <c r="AP1038" s="26">
        <f t="shared" si="376"/>
        <v>-28.95408786667268</v>
      </c>
      <c r="AS1038" s="2">
        <v>44442</v>
      </c>
      <c r="AT1038">
        <v>20.2</v>
      </c>
      <c r="AU1038">
        <v>3.8</v>
      </c>
      <c r="AV1038">
        <v>17.2</v>
      </c>
      <c r="AW1038">
        <v>2.2999999999999998</v>
      </c>
      <c r="AX1038">
        <v>250.34</v>
      </c>
      <c r="AY1038">
        <v>0.1</v>
      </c>
      <c r="AZ1038">
        <v>3.8</v>
      </c>
      <c r="BA1038">
        <v>274.63350000000003</v>
      </c>
      <c r="BB1038">
        <v>178.8827</v>
      </c>
      <c r="BC1038">
        <v>64.521100000000004</v>
      </c>
      <c r="BD1038">
        <v>3.6248</v>
      </c>
      <c r="BE1038">
        <v>25.924199999999999</v>
      </c>
      <c r="BF1038">
        <v>-22.004899999999999</v>
      </c>
      <c r="BG1038">
        <v>-1.3115000000000001</v>
      </c>
      <c r="BH1038">
        <v>68.28</v>
      </c>
    </row>
    <row r="1039" spans="1:60" x14ac:dyDescent="0.25">
      <c r="A1039" s="2">
        <v>44462</v>
      </c>
      <c r="B1039">
        <v>12.9</v>
      </c>
      <c r="C1039">
        <v>1.4</v>
      </c>
      <c r="D1039">
        <v>46</v>
      </c>
      <c r="E1039">
        <v>10.9</v>
      </c>
      <c r="F1039">
        <v>178.89</v>
      </c>
      <c r="G1039">
        <v>0.2</v>
      </c>
      <c r="H1039">
        <v>2.7</v>
      </c>
      <c r="I1039">
        <v>255.9418</v>
      </c>
      <c r="J1039">
        <v>92.936999999999998</v>
      </c>
      <c r="K1039">
        <v>48.588999999999999</v>
      </c>
      <c r="L1039">
        <v>3.7602000000000002</v>
      </c>
      <c r="M1039">
        <v>19.7972</v>
      </c>
      <c r="N1039">
        <v>-32.554900000000004</v>
      </c>
      <c r="O1039">
        <v>17.497599999999998</v>
      </c>
      <c r="P1039">
        <v>72.58</v>
      </c>
      <c r="S1039">
        <f t="shared" si="355"/>
        <v>674.01519999999994</v>
      </c>
      <c r="T1039">
        <f t="shared" si="356"/>
        <v>1.2093298390888213E-2</v>
      </c>
      <c r="U1039">
        <f t="shared" si="357"/>
        <v>1.3124509881584105E-3</v>
      </c>
      <c r="V1039">
        <f t="shared" si="358"/>
        <v>4.3123389610919209E-2</v>
      </c>
      <c r="W1039">
        <f t="shared" si="359"/>
        <v>1.0218368407804769E-2</v>
      </c>
      <c r="X1039">
        <f t="shared" si="360"/>
        <v>0.16770311233689861</v>
      </c>
      <c r="Y1039">
        <f t="shared" si="361"/>
        <v>1.874929983083444E-4</v>
      </c>
      <c r="Z1039">
        <f t="shared" si="362"/>
        <v>2.5311554771626494E-3</v>
      </c>
      <c r="AA1039">
        <f t="shared" si="363"/>
        <v>0.23993647737217308</v>
      </c>
      <c r="AB1039">
        <f t="shared" si="364"/>
        <v>8.712518391891301E-2</v>
      </c>
      <c r="AC1039">
        <f t="shared" si="365"/>
        <v>4.5550486474020727E-2</v>
      </c>
      <c r="AD1039">
        <f t="shared" si="366"/>
        <v>3.5250558611951829E-3</v>
      </c>
      <c r="AE1039">
        <f t="shared" si="367"/>
        <v>1.8559181930549777E-2</v>
      </c>
      <c r="AG1039">
        <f t="shared" si="368"/>
        <v>0.65363740414908944</v>
      </c>
      <c r="AH1039">
        <f t="shared" si="369"/>
        <v>0.25572845014068996</v>
      </c>
      <c r="AI1039">
        <f t="shared" si="370"/>
        <v>0.13244896051992663</v>
      </c>
      <c r="AK1039" s="26">
        <f t="shared" si="371"/>
        <v>-7.4443186530110117E-2</v>
      </c>
      <c r="AL1039" s="26">
        <f t="shared" si="372"/>
        <v>-8.7483710407119941E-2</v>
      </c>
      <c r="AM1039" s="26">
        <f t="shared" si="373"/>
        <v>-7.3394107180276558E-2</v>
      </c>
      <c r="AN1039" s="26">
        <f t="shared" si="374"/>
        <v>-23.100952380952393</v>
      </c>
      <c r="AO1039" s="26">
        <f t="shared" si="375"/>
        <v>-24.874148970398963</v>
      </c>
      <c r="AP1039" s="26">
        <f t="shared" si="376"/>
        <v>-29.096168954307394</v>
      </c>
      <c r="AS1039" s="2">
        <v>44441</v>
      </c>
      <c r="AT1039">
        <v>20.100000000000001</v>
      </c>
      <c r="AU1039">
        <v>10.199999999999999</v>
      </c>
      <c r="AV1039">
        <v>3.2</v>
      </c>
      <c r="AW1039">
        <v>1.4</v>
      </c>
      <c r="AX1039">
        <v>229.16</v>
      </c>
      <c r="AY1039">
        <v>0.1</v>
      </c>
      <c r="AZ1039">
        <v>3.6</v>
      </c>
      <c r="BA1039">
        <v>279.89550000000003</v>
      </c>
      <c r="BB1039">
        <v>192.87299999999999</v>
      </c>
      <c r="BC1039">
        <v>78.750900000000001</v>
      </c>
      <c r="BD1039">
        <v>3.6806000000000001</v>
      </c>
      <c r="BE1039">
        <v>26.668199999999999</v>
      </c>
      <c r="BF1039">
        <v>-27.255400000000002</v>
      </c>
      <c r="BG1039">
        <v>-4.1942000000000004</v>
      </c>
      <c r="BH1039">
        <v>68.05</v>
      </c>
    </row>
    <row r="1040" spans="1:60" x14ac:dyDescent="0.25">
      <c r="A1040" s="2">
        <v>44461</v>
      </c>
      <c r="B1040">
        <v>14.5</v>
      </c>
      <c r="C1040">
        <v>1.8</v>
      </c>
      <c r="D1040">
        <v>35</v>
      </c>
      <c r="E1040">
        <v>3.3</v>
      </c>
      <c r="F1040">
        <v>154.72</v>
      </c>
      <c r="G1040">
        <v>0.2</v>
      </c>
      <c r="H1040">
        <v>2.7</v>
      </c>
      <c r="I1040">
        <v>331.30399999999997</v>
      </c>
      <c r="J1040">
        <v>219.14590000000001</v>
      </c>
      <c r="K1040">
        <v>80.192400000000006</v>
      </c>
      <c r="L1040">
        <v>4.0964999999999998</v>
      </c>
      <c r="M1040">
        <v>30.292899999999999</v>
      </c>
      <c r="N1040">
        <v>-38.7104</v>
      </c>
      <c r="O1040">
        <v>18.346499999999999</v>
      </c>
      <c r="P1040">
        <v>72.37</v>
      </c>
      <c r="S1040">
        <f t="shared" si="355"/>
        <v>877.25169999999991</v>
      </c>
      <c r="T1040">
        <f t="shared" si="356"/>
        <v>1.3593242377354967E-2</v>
      </c>
      <c r="U1040">
        <f t="shared" si="357"/>
        <v>1.6874369847750994E-3</v>
      </c>
      <c r="V1040">
        <f t="shared" si="358"/>
        <v>3.2811274703960266E-2</v>
      </c>
      <c r="W1040">
        <f t="shared" si="359"/>
        <v>3.0936344720876819E-3</v>
      </c>
      <c r="X1040">
        <f t="shared" si="360"/>
        <v>0.1450445834913352</v>
      </c>
      <c r="Y1040">
        <f t="shared" si="361"/>
        <v>1.874929983083444E-4</v>
      </c>
      <c r="Z1040">
        <f t="shared" si="362"/>
        <v>2.5311554771626494E-3</v>
      </c>
      <c r="AA1040">
        <f t="shared" si="363"/>
        <v>0.31058590155773863</v>
      </c>
      <c r="AB1040">
        <f t="shared" si="364"/>
        <v>0.20544160928990304</v>
      </c>
      <c r="AC1040">
        <f t="shared" si="365"/>
        <v>7.5177567587710381E-2</v>
      </c>
      <c r="AD1040">
        <f t="shared" si="366"/>
        <v>3.8403253378506636E-3</v>
      </c>
      <c r="AE1040">
        <f t="shared" si="367"/>
        <v>2.8398533242274229E-2</v>
      </c>
      <c r="AG1040">
        <f t="shared" si="368"/>
        <v>0.64057154679616368</v>
      </c>
      <c r="AH1040">
        <f t="shared" si="369"/>
        <v>0.22734735374725842</v>
      </c>
      <c r="AI1040">
        <f t="shared" si="370"/>
        <v>-9.9015196526535176E-2</v>
      </c>
      <c r="AK1040" s="26">
        <f t="shared" si="371"/>
        <v>-6.7467656843975432E-2</v>
      </c>
      <c r="AL1040" s="26">
        <f t="shared" si="372"/>
        <v>-8.8349430083812908E-2</v>
      </c>
      <c r="AM1040" s="26">
        <f t="shared" si="373"/>
        <v>-7.2899160663272011E-2</v>
      </c>
      <c r="AN1040" s="26">
        <f t="shared" si="374"/>
        <v>-23.164761904761903</v>
      </c>
      <c r="AO1040" s="26">
        <f t="shared" si="375"/>
        <v>-24.961518661518667</v>
      </c>
      <c r="AP1040" s="26">
        <f t="shared" si="376"/>
        <v>-29.23788790560473</v>
      </c>
      <c r="AS1040" s="2">
        <v>44440</v>
      </c>
      <c r="AT1040">
        <v>19.8</v>
      </c>
      <c r="AU1040">
        <v>19.100000000000001</v>
      </c>
      <c r="AV1040">
        <v>8.5</v>
      </c>
      <c r="AW1040">
        <v>2.2000000000000002</v>
      </c>
      <c r="AX1040">
        <v>203.33</v>
      </c>
      <c r="AY1040">
        <v>0.1</v>
      </c>
      <c r="AZ1040">
        <v>3.4</v>
      </c>
      <c r="BA1040">
        <v>279.03070000000002</v>
      </c>
      <c r="BB1040">
        <v>189.8201</v>
      </c>
      <c r="BC1040">
        <v>78.646199999999993</v>
      </c>
      <c r="BD1040">
        <v>3.54</v>
      </c>
      <c r="BE1040">
        <v>22.928799999999999</v>
      </c>
      <c r="BF1040">
        <v>-23.419599999999999</v>
      </c>
      <c r="BG1040">
        <v>-2.8159999999999998</v>
      </c>
      <c r="BH1040">
        <v>67.84</v>
      </c>
    </row>
    <row r="1041" spans="1:60" x14ac:dyDescent="0.25">
      <c r="A1041" s="2">
        <v>44460</v>
      </c>
      <c r="B1041">
        <v>15.7</v>
      </c>
      <c r="C1041">
        <v>3</v>
      </c>
      <c r="D1041">
        <v>36.5</v>
      </c>
      <c r="E1041">
        <v>3.1</v>
      </c>
      <c r="F1041">
        <v>127.2</v>
      </c>
      <c r="G1041">
        <v>0.2</v>
      </c>
      <c r="H1041">
        <v>3</v>
      </c>
      <c r="I1041">
        <v>310.50560000000002</v>
      </c>
      <c r="J1041">
        <v>246.41980000000001</v>
      </c>
      <c r="K1041">
        <v>81.140900000000002</v>
      </c>
      <c r="L1041">
        <v>3.9171999999999998</v>
      </c>
      <c r="M1041">
        <v>23.164899999999999</v>
      </c>
      <c r="N1041">
        <v>-31.7105</v>
      </c>
      <c r="O1041">
        <v>30.3903</v>
      </c>
      <c r="P1041">
        <v>72.209999999999994</v>
      </c>
      <c r="S1041">
        <f t="shared" si="355"/>
        <v>853.84839999999997</v>
      </c>
      <c r="T1041">
        <f t="shared" si="356"/>
        <v>1.4718200367205033E-2</v>
      </c>
      <c r="U1041">
        <f t="shared" si="357"/>
        <v>2.8123949746251659E-3</v>
      </c>
      <c r="V1041">
        <f t="shared" si="358"/>
        <v>3.4217472191272851E-2</v>
      </c>
      <c r="W1041">
        <f t="shared" si="359"/>
        <v>2.9061414737793379E-3</v>
      </c>
      <c r="X1041">
        <f t="shared" si="360"/>
        <v>0.11924554692410703</v>
      </c>
      <c r="Y1041">
        <f t="shared" si="361"/>
        <v>1.874929983083444E-4</v>
      </c>
      <c r="Z1041">
        <f t="shared" si="362"/>
        <v>2.8123949746251659E-3</v>
      </c>
      <c r="AA1041">
        <f t="shared" si="363"/>
        <v>0.29108812967765729</v>
      </c>
      <c r="AB1041">
        <f t="shared" si="364"/>
        <v>0.23100993572271281</v>
      </c>
      <c r="AC1041">
        <f t="shared" si="365"/>
        <v>7.6066753132187706E-2</v>
      </c>
      <c r="AD1041">
        <f t="shared" si="366"/>
        <v>3.672237864867233E-3</v>
      </c>
      <c r="AE1041">
        <f t="shared" si="367"/>
        <v>2.1716282782564832E-2</v>
      </c>
      <c r="AG1041">
        <f t="shared" si="368"/>
        <v>0.62985230762218714</v>
      </c>
      <c r="AH1041">
        <f t="shared" si="369"/>
        <v>0.19861592668648773</v>
      </c>
      <c r="AI1041">
        <f t="shared" si="370"/>
        <v>-0.33541718002232512</v>
      </c>
      <c r="AK1041" s="26">
        <f t="shared" si="371"/>
        <v>-6.7349482685613055E-2</v>
      </c>
      <c r="AL1041" s="26">
        <f t="shared" si="372"/>
        <v>-8.703556199425494E-2</v>
      </c>
      <c r="AM1041" s="26">
        <f t="shared" si="373"/>
        <v>-7.2811121726783889E-2</v>
      </c>
      <c r="AN1041" s="26">
        <f t="shared" si="374"/>
        <v>-23.22809523809525</v>
      </c>
      <c r="AO1041" s="26">
        <f t="shared" si="375"/>
        <v>-25.050022522522511</v>
      </c>
      <c r="AP1041" s="26">
        <f t="shared" si="376"/>
        <v>-29.379622753398429</v>
      </c>
      <c r="AS1041" s="2">
        <v>44439</v>
      </c>
      <c r="AT1041">
        <v>19.2</v>
      </c>
      <c r="AU1041">
        <v>38.5</v>
      </c>
      <c r="AV1041">
        <v>27.7</v>
      </c>
      <c r="AW1041">
        <v>3.9</v>
      </c>
      <c r="AX1041">
        <v>151.91</v>
      </c>
      <c r="AY1041">
        <v>0.2</v>
      </c>
      <c r="AZ1041">
        <v>3.2</v>
      </c>
      <c r="BA1041">
        <v>274.5301</v>
      </c>
      <c r="BB1041">
        <v>185.05959999999999</v>
      </c>
      <c r="BC1041">
        <v>69.564700000000002</v>
      </c>
      <c r="BD1041">
        <v>3.2757000000000001</v>
      </c>
      <c r="BE1041">
        <v>20.827300000000001</v>
      </c>
      <c r="BF1041">
        <v>-25.863600000000002</v>
      </c>
      <c r="BG1041">
        <v>-7.0330000000000004</v>
      </c>
      <c r="BH1041">
        <v>67.41</v>
      </c>
    </row>
    <row r="1042" spans="1:60" x14ac:dyDescent="0.25">
      <c r="A1042" s="2">
        <v>44459</v>
      </c>
      <c r="B1042">
        <v>16.2</v>
      </c>
      <c r="C1042">
        <v>24.7</v>
      </c>
      <c r="D1042">
        <v>12.1</v>
      </c>
      <c r="E1042">
        <v>0.9</v>
      </c>
      <c r="F1042">
        <v>98.33</v>
      </c>
      <c r="G1042">
        <v>0.2</v>
      </c>
      <c r="H1042">
        <v>2.7</v>
      </c>
      <c r="I1042">
        <v>322.86579999999998</v>
      </c>
      <c r="J1042">
        <v>219.14330000000001</v>
      </c>
      <c r="K1042">
        <v>108.0864</v>
      </c>
      <c r="L1042">
        <v>3.7677</v>
      </c>
      <c r="M1042">
        <v>26.742899999999999</v>
      </c>
      <c r="N1042">
        <v>-29.0733</v>
      </c>
      <c r="O1042">
        <v>38.6023</v>
      </c>
      <c r="P1042">
        <v>72.05</v>
      </c>
      <c r="S1042">
        <f t="shared" si="355"/>
        <v>835.73609999999985</v>
      </c>
      <c r="T1042">
        <f t="shared" si="356"/>
        <v>1.5186932862975894E-2</v>
      </c>
      <c r="U1042">
        <f t="shared" si="357"/>
        <v>2.3155385291080532E-2</v>
      </c>
      <c r="V1042">
        <f t="shared" si="358"/>
        <v>1.1343326397654835E-2</v>
      </c>
      <c r="W1042">
        <f t="shared" si="359"/>
        <v>8.4371849238754971E-4</v>
      </c>
      <c r="X1042">
        <f t="shared" si="360"/>
        <v>9.2180932618297518E-2</v>
      </c>
      <c r="Y1042">
        <f t="shared" si="361"/>
        <v>1.874929983083444E-4</v>
      </c>
      <c r="Z1042">
        <f t="shared" si="362"/>
        <v>2.5311554771626494E-3</v>
      </c>
      <c r="AA1042">
        <f t="shared" si="363"/>
        <v>0.30267538446611125</v>
      </c>
      <c r="AB1042">
        <f t="shared" si="364"/>
        <v>0.20543917188092503</v>
      </c>
      <c r="AC1042">
        <f t="shared" si="365"/>
        <v>0.10132721606177517</v>
      </c>
      <c r="AD1042">
        <f t="shared" si="366"/>
        <v>3.5320868486317459E-3</v>
      </c>
      <c r="AE1042">
        <f t="shared" si="367"/>
        <v>2.5070532522301115E-2</v>
      </c>
      <c r="AG1042">
        <f t="shared" si="368"/>
        <v>0.61913487646592202</v>
      </c>
      <c r="AH1042">
        <f t="shared" si="369"/>
        <v>0.17049947666016843</v>
      </c>
      <c r="AI1042">
        <f t="shared" si="370"/>
        <v>-0.56779206577233199</v>
      </c>
      <c r="AK1042" s="26">
        <f t="shared" si="371"/>
        <v>-5.8876017866564878E-2</v>
      </c>
      <c r="AL1042" s="26">
        <f t="shared" si="372"/>
        <v>-8.4752924504838512E-2</v>
      </c>
      <c r="AM1042" s="26">
        <f t="shared" si="373"/>
        <v>-7.1473227407244877E-2</v>
      </c>
      <c r="AN1042" s="26">
        <f t="shared" si="374"/>
        <v>-23.303333333333327</v>
      </c>
      <c r="AO1042" s="26">
        <f t="shared" si="375"/>
        <v>-25.143092020592007</v>
      </c>
      <c r="AP1042" s="26">
        <f t="shared" si="376"/>
        <v>-29.517356595900772</v>
      </c>
      <c r="AS1042" s="2">
        <v>44438</v>
      </c>
      <c r="AT1042">
        <v>20.100000000000001</v>
      </c>
      <c r="AU1042">
        <v>48.1</v>
      </c>
      <c r="AV1042">
        <v>28.1</v>
      </c>
      <c r="AW1042">
        <v>4.7</v>
      </c>
      <c r="AX1042">
        <v>110.66</v>
      </c>
      <c r="AY1042">
        <v>0.2</v>
      </c>
      <c r="AZ1042">
        <v>2.9</v>
      </c>
      <c r="BA1042">
        <v>284.1542</v>
      </c>
      <c r="BB1042">
        <v>137.55770000000001</v>
      </c>
      <c r="BC1042">
        <v>51.735500000000002</v>
      </c>
      <c r="BD1042">
        <v>3.6711999999999998</v>
      </c>
      <c r="BE1042">
        <v>27.698799999999999</v>
      </c>
      <c r="BF1042">
        <v>-27.545200000000001</v>
      </c>
      <c r="BG1042">
        <v>-4.7743000000000002</v>
      </c>
      <c r="BH1042">
        <v>67.23</v>
      </c>
    </row>
    <row r="1043" spans="1:60" x14ac:dyDescent="0.25">
      <c r="A1043" s="2">
        <v>44458</v>
      </c>
      <c r="B1043">
        <v>15.1</v>
      </c>
      <c r="C1043">
        <v>0</v>
      </c>
      <c r="D1043">
        <v>54.7</v>
      </c>
      <c r="E1043">
        <v>2.5</v>
      </c>
      <c r="F1043">
        <v>115.22</v>
      </c>
      <c r="G1043">
        <v>0.2</v>
      </c>
      <c r="H1043">
        <v>2.9</v>
      </c>
      <c r="I1043">
        <v>325.41550000000001</v>
      </c>
      <c r="J1043">
        <v>105.09650000000001</v>
      </c>
      <c r="K1043">
        <v>30.9695</v>
      </c>
      <c r="L1043">
        <v>3.7473999999999998</v>
      </c>
      <c r="M1043">
        <v>15.4092</v>
      </c>
      <c r="P1043">
        <v>71.87</v>
      </c>
      <c r="S1043">
        <f t="shared" si="355"/>
        <v>671.25810000000001</v>
      </c>
      <c r="T1043">
        <f t="shared" si="356"/>
        <v>1.415572137228E-2</v>
      </c>
      <c r="U1043">
        <f t="shared" si="357"/>
        <v>0</v>
      </c>
      <c r="V1043">
        <f t="shared" si="358"/>
        <v>5.1279335037332188E-2</v>
      </c>
      <c r="W1043">
        <f t="shared" si="359"/>
        <v>2.3436624788543046E-3</v>
      </c>
      <c r="X1043">
        <f t="shared" si="360"/>
        <v>0.1080147163254372</v>
      </c>
      <c r="Y1043">
        <f t="shared" si="361"/>
        <v>1.874929983083444E-4</v>
      </c>
      <c r="Z1043">
        <f t="shared" si="362"/>
        <v>2.7186484754709935E-3</v>
      </c>
      <c r="AA1043">
        <f t="shared" si="363"/>
        <v>0.30506563895504524</v>
      </c>
      <c r="AB1043">
        <f t="shared" si="364"/>
        <v>9.8524289483564578E-2</v>
      </c>
      <c r="AC1043">
        <f t="shared" si="365"/>
        <v>2.9032822055551355E-2</v>
      </c>
      <c r="AD1043">
        <f t="shared" si="366"/>
        <v>3.5130563093034484E-3</v>
      </c>
      <c r="AE1043">
        <f t="shared" si="367"/>
        <v>1.4445585547664702E-2</v>
      </c>
      <c r="AG1043">
        <f t="shared" si="368"/>
        <v>0.60748208664264958</v>
      </c>
      <c r="AH1043">
        <f t="shared" si="369"/>
        <v>0.19314516223534769</v>
      </c>
      <c r="AI1043">
        <f t="shared" si="370"/>
        <v>-0.38386612223782529</v>
      </c>
      <c r="AK1043" s="26">
        <f t="shared" si="371"/>
        <v>-5.6535071804126535E-2</v>
      </c>
      <c r="AL1043" s="26">
        <f t="shared" si="372"/>
        <v>-8.0568685912025539E-2</v>
      </c>
      <c r="AM1043" s="26">
        <f t="shared" si="373"/>
        <v>-7.214485172351448E-2</v>
      </c>
      <c r="AN1043" s="26">
        <f t="shared" si="374"/>
        <v>-23.380714285714291</v>
      </c>
      <c r="AO1043" s="26">
        <f t="shared" si="375"/>
        <v>-25.236584620334611</v>
      </c>
      <c r="AP1043" s="26">
        <f t="shared" si="376"/>
        <v>-29.658286320058977</v>
      </c>
      <c r="AS1043" s="2">
        <v>44437</v>
      </c>
      <c r="AT1043">
        <v>20.100000000000001</v>
      </c>
      <c r="AU1043">
        <v>254.1</v>
      </c>
      <c r="AV1043">
        <v>56.8</v>
      </c>
      <c r="AW1043">
        <v>3.9</v>
      </c>
      <c r="AX1043">
        <v>77.28</v>
      </c>
      <c r="AY1043">
        <v>0.2</v>
      </c>
      <c r="AZ1043">
        <v>2.9</v>
      </c>
      <c r="BA1043">
        <v>258.45549999999997</v>
      </c>
      <c r="BB1043">
        <v>53.212899999999998</v>
      </c>
      <c r="BC1043">
        <v>26.075299999999999</v>
      </c>
      <c r="BD1043">
        <v>3.5903</v>
      </c>
      <c r="BE1043">
        <v>10.486700000000001</v>
      </c>
      <c r="BH1043">
        <v>66.91</v>
      </c>
    </row>
    <row r="1044" spans="1:60" x14ac:dyDescent="0.25">
      <c r="A1044" s="2">
        <v>44457</v>
      </c>
      <c r="B1044">
        <v>16.8</v>
      </c>
      <c r="C1044">
        <v>0</v>
      </c>
      <c r="D1044">
        <v>17</v>
      </c>
      <c r="E1044">
        <v>1.5</v>
      </c>
      <c r="F1044">
        <v>129.03</v>
      </c>
      <c r="G1044">
        <v>0.2</v>
      </c>
      <c r="H1044">
        <v>2.9</v>
      </c>
      <c r="I1044">
        <v>309.77289999999999</v>
      </c>
      <c r="J1044">
        <v>197.7594</v>
      </c>
      <c r="K1044">
        <v>36.177900000000001</v>
      </c>
      <c r="L1044">
        <v>3.7435999999999998</v>
      </c>
      <c r="M1044">
        <v>15.066800000000001</v>
      </c>
      <c r="P1044">
        <v>71.569999999999993</v>
      </c>
      <c r="S1044">
        <f t="shared" si="355"/>
        <v>729.95060000000012</v>
      </c>
      <c r="T1044">
        <f t="shared" si="356"/>
        <v>1.5749411857900929E-2</v>
      </c>
      <c r="U1044">
        <f t="shared" si="357"/>
        <v>0</v>
      </c>
      <c r="V1044">
        <f t="shared" si="358"/>
        <v>1.5936904856209272E-2</v>
      </c>
      <c r="W1044">
        <f t="shared" si="359"/>
        <v>1.406197487312583E-3</v>
      </c>
      <c r="X1044">
        <f t="shared" si="360"/>
        <v>0.12096110785862838</v>
      </c>
      <c r="Y1044">
        <f t="shared" si="361"/>
        <v>1.874929983083444E-4</v>
      </c>
      <c r="Z1044">
        <f t="shared" si="362"/>
        <v>2.7186484754709935E-3</v>
      </c>
      <c r="AA1044">
        <f t="shared" si="363"/>
        <v>0.29040124907835468</v>
      </c>
      <c r="AB1044">
        <f t="shared" si="364"/>
        <v>0.185392514248296</v>
      </c>
      <c r="AC1044">
        <f t="shared" si="365"/>
        <v>3.3915514717497264E-2</v>
      </c>
      <c r="AD1044">
        <f t="shared" si="366"/>
        <v>3.50949394233559E-3</v>
      </c>
      <c r="AE1044">
        <f t="shared" si="367"/>
        <v>1.4124597534560817E-2</v>
      </c>
      <c r="AG1044">
        <f t="shared" si="368"/>
        <v>0.59022517210231518</v>
      </c>
      <c r="AH1044">
        <f t="shared" si="369"/>
        <v>0.17108436106839131</v>
      </c>
      <c r="AI1044">
        <f t="shared" si="370"/>
        <v>-0.5662479008289989</v>
      </c>
      <c r="AK1044" s="26">
        <f t="shared" si="371"/>
        <v>-5.230820509760864E-2</v>
      </c>
      <c r="AL1044" s="26">
        <f t="shared" si="372"/>
        <v>-7.8042913468637509E-2</v>
      </c>
      <c r="AM1044" s="26">
        <f t="shared" si="373"/>
        <v>-7.1983253889612964E-2</v>
      </c>
      <c r="AN1044" s="26">
        <f t="shared" si="374"/>
        <v>-23.463333333333338</v>
      </c>
      <c r="AO1044" s="26">
        <f t="shared" si="375"/>
        <v>-25.331764800514797</v>
      </c>
      <c r="AP1044" s="26">
        <f t="shared" si="376"/>
        <v>-29.799856831765716</v>
      </c>
      <c r="AS1044" s="2">
        <v>44436</v>
      </c>
      <c r="AT1044">
        <v>20.2</v>
      </c>
      <c r="AU1044">
        <v>46</v>
      </c>
      <c r="AV1044">
        <v>75.8</v>
      </c>
      <c r="AW1044">
        <v>3.8</v>
      </c>
      <c r="AX1044">
        <v>120.63</v>
      </c>
      <c r="AY1044">
        <v>0.2</v>
      </c>
      <c r="AZ1044">
        <v>2.9</v>
      </c>
      <c r="BA1044">
        <v>242.09829999999999</v>
      </c>
      <c r="BB1044">
        <v>49.700099999999999</v>
      </c>
      <c r="BC1044">
        <v>27.447399999999998</v>
      </c>
      <c r="BD1044">
        <v>3.6221999999999999</v>
      </c>
      <c r="BE1044">
        <v>15.874599999999999</v>
      </c>
      <c r="BH1044">
        <v>66.52</v>
      </c>
    </row>
    <row r="1045" spans="1:60" x14ac:dyDescent="0.25">
      <c r="A1045" s="2">
        <v>44456</v>
      </c>
      <c r="B1045">
        <v>17</v>
      </c>
      <c r="C1045">
        <v>0</v>
      </c>
      <c r="D1045">
        <v>14.9</v>
      </c>
      <c r="E1045">
        <v>3.6</v>
      </c>
      <c r="F1045">
        <v>109.47</v>
      </c>
      <c r="G1045">
        <v>0.1</v>
      </c>
      <c r="H1045">
        <v>3</v>
      </c>
      <c r="I1045">
        <v>316.10919999999999</v>
      </c>
      <c r="J1045">
        <v>230.98419999999999</v>
      </c>
      <c r="K1045">
        <v>103.3836</v>
      </c>
      <c r="L1045">
        <v>3.3965000000000001</v>
      </c>
      <c r="M1045">
        <v>21.6966</v>
      </c>
      <c r="N1045">
        <v>-24.335000000000001</v>
      </c>
      <c r="O1045">
        <v>23.206299999999999</v>
      </c>
      <c r="P1045">
        <v>71.27</v>
      </c>
      <c r="S1045">
        <f t="shared" si="355"/>
        <v>823.64009999999985</v>
      </c>
      <c r="T1045">
        <f t="shared" si="356"/>
        <v>1.5936904856209272E-2</v>
      </c>
      <c r="U1045">
        <f t="shared" si="357"/>
        <v>0</v>
      </c>
      <c r="V1045">
        <f t="shared" si="358"/>
        <v>1.3968228373971657E-2</v>
      </c>
      <c r="W1045">
        <f t="shared" si="359"/>
        <v>3.3748739695501988E-3</v>
      </c>
      <c r="X1045">
        <f t="shared" si="360"/>
        <v>0.1026242926240723</v>
      </c>
      <c r="Y1045">
        <f t="shared" si="361"/>
        <v>9.3746499154172199E-5</v>
      </c>
      <c r="Z1045">
        <f t="shared" si="362"/>
        <v>2.8123949746251659E-3</v>
      </c>
      <c r="AA1045">
        <f t="shared" si="363"/>
        <v>0.29634130850426049</v>
      </c>
      <c r="AB1045">
        <f t="shared" si="364"/>
        <v>0.21653960109927139</v>
      </c>
      <c r="AC1045">
        <f t="shared" si="365"/>
        <v>9.6918505699552765E-2</v>
      </c>
      <c r="AD1045">
        <f t="shared" si="366"/>
        <v>3.1840998437714586E-3</v>
      </c>
      <c r="AE1045">
        <f t="shared" si="367"/>
        <v>2.0339802935484125E-2</v>
      </c>
      <c r="AG1045">
        <f t="shared" si="368"/>
        <v>0.57297571366422828</v>
      </c>
      <c r="AH1045">
        <f t="shared" si="369"/>
        <v>0.15915024423306687</v>
      </c>
      <c r="AI1045">
        <f t="shared" si="370"/>
        <v>-0.66628502407061918</v>
      </c>
      <c r="AK1045" s="26">
        <f t="shared" si="371"/>
        <v>-5.2531317301476532E-2</v>
      </c>
      <c r="AL1045" s="26">
        <f t="shared" si="372"/>
        <v>-7.3387798607552179E-2</v>
      </c>
      <c r="AM1045" s="26">
        <f t="shared" si="373"/>
        <v>-7.1358933315521234E-2</v>
      </c>
      <c r="AN1045" s="26">
        <f t="shared" si="374"/>
        <v>-23.552142857142869</v>
      </c>
      <c r="AO1045" s="26">
        <f t="shared" si="375"/>
        <v>-25.426296653796641</v>
      </c>
      <c r="AP1045" s="26">
        <f t="shared" si="376"/>
        <v>-29.940278062412645</v>
      </c>
      <c r="AS1045" s="2">
        <v>44435</v>
      </c>
      <c r="AT1045">
        <v>20.6</v>
      </c>
      <c r="AU1045">
        <v>13.5</v>
      </c>
      <c r="AV1045">
        <v>76.3</v>
      </c>
      <c r="AW1045">
        <v>5.9</v>
      </c>
      <c r="AX1045">
        <v>132.27000000000001</v>
      </c>
      <c r="AY1045">
        <v>0.2</v>
      </c>
      <c r="AZ1045">
        <v>3</v>
      </c>
      <c r="BA1045">
        <v>267.38900000000001</v>
      </c>
      <c r="BB1045">
        <v>107.0586</v>
      </c>
      <c r="BC1045">
        <v>54.148499999999999</v>
      </c>
      <c r="BD1045">
        <v>3.6223999999999998</v>
      </c>
      <c r="BE1045">
        <v>23.595500000000001</v>
      </c>
      <c r="BF1045">
        <v>-20.274999999999999</v>
      </c>
      <c r="BG1045">
        <v>-3.3403</v>
      </c>
      <c r="BH1045">
        <v>66.14</v>
      </c>
    </row>
    <row r="1046" spans="1:60" x14ac:dyDescent="0.25">
      <c r="A1046" s="2">
        <v>44455</v>
      </c>
      <c r="B1046">
        <v>15.3</v>
      </c>
      <c r="C1046">
        <v>11.1</v>
      </c>
      <c r="D1046">
        <v>61.4</v>
      </c>
      <c r="E1046">
        <v>6.1</v>
      </c>
      <c r="F1046">
        <v>91.62</v>
      </c>
      <c r="G1046">
        <v>0.1</v>
      </c>
      <c r="H1046">
        <v>3.1</v>
      </c>
      <c r="I1046">
        <v>328.1986</v>
      </c>
      <c r="J1046">
        <v>209.69970000000001</v>
      </c>
      <c r="K1046">
        <v>112.2791</v>
      </c>
      <c r="L1046">
        <v>3.5365000000000002</v>
      </c>
      <c r="M1046">
        <v>22.5032</v>
      </c>
      <c r="N1046">
        <v>-40.997</v>
      </c>
      <c r="O1046">
        <v>23.296199999999999</v>
      </c>
      <c r="P1046">
        <v>71.069999999999993</v>
      </c>
      <c r="S1046">
        <f t="shared" si="355"/>
        <v>864.93709999999999</v>
      </c>
      <c r="T1046">
        <f t="shared" si="356"/>
        <v>1.4343214370588346E-2</v>
      </c>
      <c r="U1046">
        <f t="shared" si="357"/>
        <v>1.0405861406113113E-2</v>
      </c>
      <c r="V1046">
        <f t="shared" si="358"/>
        <v>5.7560350480661722E-2</v>
      </c>
      <c r="W1046">
        <f t="shared" si="359"/>
        <v>5.7185364484045034E-3</v>
      </c>
      <c r="X1046">
        <f t="shared" si="360"/>
        <v>8.5890542525052571E-2</v>
      </c>
      <c r="Y1046">
        <f t="shared" si="361"/>
        <v>9.3746499154172199E-5</v>
      </c>
      <c r="Z1046">
        <f t="shared" si="362"/>
        <v>2.9061414737793379E-3</v>
      </c>
      <c r="AA1046">
        <f t="shared" si="363"/>
        <v>0.30767469777300499</v>
      </c>
      <c r="AB1046">
        <f t="shared" si="364"/>
        <v>0.19658612748680163</v>
      </c>
      <c r="AC1046">
        <f t="shared" si="365"/>
        <v>0.10525772553181215</v>
      </c>
      <c r="AD1046">
        <f t="shared" si="366"/>
        <v>3.3153449425872999E-3</v>
      </c>
      <c r="AE1046">
        <f t="shared" si="367"/>
        <v>2.1095962197661675E-2</v>
      </c>
      <c r="AG1046">
        <f t="shared" si="368"/>
        <v>0.56040382427827817</v>
      </c>
      <c r="AH1046">
        <f t="shared" si="369"/>
        <v>0.19801435540141543</v>
      </c>
      <c r="AI1046">
        <f t="shared" si="370"/>
        <v>-0.34959142777907476</v>
      </c>
      <c r="AK1046" s="26">
        <f t="shared" si="371"/>
        <v>-5.7495047115762754E-2</v>
      </c>
      <c r="AL1046" s="26">
        <f t="shared" si="372"/>
        <v>-6.8037685584112384E-2</v>
      </c>
      <c r="AM1046" s="26">
        <f t="shared" si="373"/>
        <v>-7.2245597748496981E-2</v>
      </c>
      <c r="AN1046" s="26">
        <f t="shared" si="374"/>
        <v>-23.640714285714282</v>
      </c>
      <c r="AO1046" s="26">
        <f t="shared" si="375"/>
        <v>-25.52053893178892</v>
      </c>
      <c r="AP1046" s="26">
        <f t="shared" si="376"/>
        <v>-30.07767710820805</v>
      </c>
      <c r="AS1046" s="2">
        <v>44434</v>
      </c>
      <c r="AT1046">
        <v>20.399999999999999</v>
      </c>
      <c r="AU1046">
        <v>135.80000000000001</v>
      </c>
      <c r="AV1046">
        <v>61.5</v>
      </c>
      <c r="AW1046">
        <v>6.5</v>
      </c>
      <c r="AX1046">
        <v>136.15</v>
      </c>
      <c r="AY1046">
        <v>0.2</v>
      </c>
      <c r="AZ1046">
        <v>3.1</v>
      </c>
      <c r="BA1046">
        <v>270.11059999999998</v>
      </c>
      <c r="BB1046">
        <v>99.689800000000005</v>
      </c>
      <c r="BC1046">
        <v>50.522500000000001</v>
      </c>
      <c r="BD1046">
        <v>3.5756000000000001</v>
      </c>
      <c r="BE1046">
        <v>27.7273</v>
      </c>
      <c r="BF1046">
        <v>-21.275300000000001</v>
      </c>
      <c r="BG1046">
        <v>-7.1619000000000002</v>
      </c>
      <c r="BH1046">
        <v>65.790000000000006</v>
      </c>
    </row>
    <row r="1047" spans="1:60" x14ac:dyDescent="0.25">
      <c r="A1047" s="2">
        <v>44454</v>
      </c>
      <c r="B1047">
        <v>15.4</v>
      </c>
      <c r="C1047">
        <v>0</v>
      </c>
      <c r="D1047">
        <v>32.9</v>
      </c>
      <c r="E1047">
        <v>3.4</v>
      </c>
      <c r="F1047">
        <v>76.08</v>
      </c>
      <c r="G1047">
        <v>0.2</v>
      </c>
      <c r="H1047">
        <v>3.4</v>
      </c>
      <c r="I1047">
        <v>322.47649999999999</v>
      </c>
      <c r="J1047">
        <v>214.4273</v>
      </c>
      <c r="K1047">
        <v>108.70399999999999</v>
      </c>
      <c r="L1047">
        <v>2.8588</v>
      </c>
      <c r="M1047">
        <v>22.021000000000001</v>
      </c>
      <c r="N1047">
        <v>-15.331799999999999</v>
      </c>
      <c r="O1047">
        <v>40.436999999999998</v>
      </c>
      <c r="P1047">
        <v>70.95</v>
      </c>
      <c r="S1047">
        <f t="shared" si="355"/>
        <v>801.86759999999981</v>
      </c>
      <c r="T1047">
        <f t="shared" si="356"/>
        <v>1.4436960869742518E-2</v>
      </c>
      <c r="U1047">
        <f t="shared" si="357"/>
        <v>0</v>
      </c>
      <c r="V1047">
        <f t="shared" si="358"/>
        <v>3.084259822172265E-2</v>
      </c>
      <c r="W1047">
        <f t="shared" si="359"/>
        <v>3.1873809712418544E-3</v>
      </c>
      <c r="X1047">
        <f t="shared" si="360"/>
        <v>7.1322336556494198E-2</v>
      </c>
      <c r="Y1047">
        <f t="shared" si="361"/>
        <v>1.874929983083444E-4</v>
      </c>
      <c r="Z1047">
        <f t="shared" si="362"/>
        <v>3.1873809712418544E-3</v>
      </c>
      <c r="AA1047">
        <f t="shared" si="363"/>
        <v>0.3023104293449041</v>
      </c>
      <c r="AB1047">
        <f t="shared" si="364"/>
        <v>0.20101808698081428</v>
      </c>
      <c r="AC1047">
        <f t="shared" si="365"/>
        <v>0.10190619444055134</v>
      </c>
      <c r="AD1047">
        <f t="shared" si="366"/>
        <v>2.6800249178194745E-3</v>
      </c>
      <c r="AE1047">
        <f t="shared" si="367"/>
        <v>2.0643916578740259E-2</v>
      </c>
      <c r="AG1047">
        <f t="shared" si="368"/>
        <v>0.55155582752671428</v>
      </c>
      <c r="AH1047">
        <f t="shared" si="369"/>
        <v>0.14380806716749167</v>
      </c>
      <c r="AI1047">
        <f t="shared" si="370"/>
        <v>-0.79567434934456482</v>
      </c>
      <c r="AK1047" s="26">
        <f t="shared" si="371"/>
        <v>-4.572226800548268E-2</v>
      </c>
      <c r="AL1047" s="26">
        <f t="shared" si="372"/>
        <v>-6.2503197592643445E-2</v>
      </c>
      <c r="AM1047" s="26">
        <f t="shared" si="373"/>
        <v>-7.1159210896787339E-2</v>
      </c>
      <c r="AN1047" s="26">
        <f t="shared" si="374"/>
        <v>-23.734999999999985</v>
      </c>
      <c r="AO1047" s="26">
        <f t="shared" si="375"/>
        <v>-25.616737451737421</v>
      </c>
      <c r="AP1047" s="26">
        <f t="shared" si="376"/>
        <v>-30.212526831105222</v>
      </c>
      <c r="AS1047" s="2">
        <v>44433</v>
      </c>
      <c r="AT1047">
        <v>21.3</v>
      </c>
      <c r="AU1047">
        <v>2.9</v>
      </c>
      <c r="AV1047">
        <v>55.7</v>
      </c>
      <c r="AW1047">
        <v>5.3</v>
      </c>
      <c r="AX1047">
        <v>224.8</v>
      </c>
      <c r="AY1047">
        <v>0.2</v>
      </c>
      <c r="AZ1047">
        <v>3</v>
      </c>
      <c r="BA1047">
        <v>276.65710000000001</v>
      </c>
      <c r="BB1047">
        <v>86.695300000000003</v>
      </c>
      <c r="BC1047">
        <v>41.968899999999998</v>
      </c>
      <c r="BD1047">
        <v>3.7088000000000001</v>
      </c>
      <c r="BE1047">
        <v>20.919</v>
      </c>
      <c r="BF1047">
        <v>-114.5</v>
      </c>
      <c r="BG1047">
        <v>-101.4837</v>
      </c>
      <c r="BH1047">
        <v>65.48</v>
      </c>
    </row>
    <row r="1048" spans="1:60" x14ac:dyDescent="0.25">
      <c r="A1048" s="2">
        <v>44453</v>
      </c>
      <c r="B1048">
        <v>15.6</v>
      </c>
      <c r="C1048">
        <v>1.4</v>
      </c>
      <c r="D1048">
        <v>8.5</v>
      </c>
      <c r="E1048">
        <v>1.6</v>
      </c>
      <c r="F1048">
        <v>202.76</v>
      </c>
      <c r="G1048">
        <v>0.2</v>
      </c>
      <c r="H1048">
        <v>3.2</v>
      </c>
      <c r="I1048">
        <v>318.85840000000002</v>
      </c>
      <c r="J1048">
        <v>218.42400000000001</v>
      </c>
      <c r="K1048">
        <v>102.56570000000001</v>
      </c>
      <c r="L1048">
        <v>2.7746</v>
      </c>
      <c r="M1048">
        <v>27.805700000000002</v>
      </c>
      <c r="N1048">
        <v>-14.702299999999999</v>
      </c>
      <c r="O1048">
        <v>29.534700000000001</v>
      </c>
      <c r="P1048">
        <v>70.83</v>
      </c>
      <c r="S1048">
        <f t="shared" si="355"/>
        <v>903.68839999999989</v>
      </c>
      <c r="T1048">
        <f t="shared" si="356"/>
        <v>1.4624453868050861E-2</v>
      </c>
      <c r="U1048">
        <f t="shared" si="357"/>
        <v>1.3124509881584105E-3</v>
      </c>
      <c r="V1048">
        <f t="shared" si="358"/>
        <v>7.9684524281046359E-3</v>
      </c>
      <c r="W1048">
        <f t="shared" si="359"/>
        <v>1.4999439864667552E-3</v>
      </c>
      <c r="X1048">
        <f t="shared" si="360"/>
        <v>0.19008040168499954</v>
      </c>
      <c r="Y1048">
        <f t="shared" si="361"/>
        <v>1.874929983083444E-4</v>
      </c>
      <c r="Z1048">
        <f t="shared" si="362"/>
        <v>2.9998879729335104E-3</v>
      </c>
      <c r="AA1048">
        <f t="shared" si="363"/>
        <v>0.298918587259007</v>
      </c>
      <c r="AB1048">
        <f t="shared" si="364"/>
        <v>0.20476485331250907</v>
      </c>
      <c r="AC1048">
        <f t="shared" si="365"/>
        <v>9.6151753082970789E-2</v>
      </c>
      <c r="AD1048">
        <f t="shared" si="366"/>
        <v>2.6010903655316617E-3</v>
      </c>
      <c r="AE1048">
        <f t="shared" si="367"/>
        <v>2.6066870315311658E-2</v>
      </c>
      <c r="AG1048">
        <f t="shared" si="368"/>
        <v>0.54271560941207264</v>
      </c>
      <c r="AH1048">
        <f t="shared" si="369"/>
        <v>0.24473995424233372</v>
      </c>
      <c r="AI1048">
        <f t="shared" si="370"/>
        <v>2.246476870689388E-2</v>
      </c>
      <c r="AK1048" s="26">
        <f t="shared" si="371"/>
        <v>-3.9755120305440372E-2</v>
      </c>
      <c r="AL1048" s="26">
        <f t="shared" si="372"/>
        <v>-5.9216127595556223E-2</v>
      </c>
      <c r="AM1048" s="26">
        <f t="shared" si="373"/>
        <v>-6.8956579450129285E-2</v>
      </c>
      <c r="AN1048" s="26">
        <f t="shared" si="374"/>
        <v>-23.840714285714284</v>
      </c>
      <c r="AO1048" s="26">
        <f t="shared" si="375"/>
        <v>-25.713561776061766</v>
      </c>
      <c r="AP1048" s="26">
        <f t="shared" si="376"/>
        <v>-30.346139794614523</v>
      </c>
      <c r="AS1048" s="2">
        <v>44432</v>
      </c>
      <c r="AT1048">
        <v>21.8</v>
      </c>
      <c r="AU1048">
        <v>101.3</v>
      </c>
      <c r="AV1048">
        <v>6.4</v>
      </c>
      <c r="AW1048">
        <v>3.5</v>
      </c>
      <c r="AX1048">
        <v>183.89</v>
      </c>
      <c r="AY1048">
        <v>0.2</v>
      </c>
      <c r="AZ1048">
        <v>2.6</v>
      </c>
      <c r="BA1048">
        <v>285.43239999999997</v>
      </c>
      <c r="BB1048">
        <v>146.30879999999999</v>
      </c>
      <c r="BC1048">
        <v>53.184800000000003</v>
      </c>
      <c r="BD1048">
        <v>3.7858999999999998</v>
      </c>
      <c r="BE1048">
        <v>26.513000000000002</v>
      </c>
      <c r="BF1048">
        <v>-19.136600000000001</v>
      </c>
      <c r="BG1048">
        <v>-7.3010999999999999</v>
      </c>
      <c r="BH1048">
        <v>65.16</v>
      </c>
    </row>
    <row r="1049" spans="1:60" x14ac:dyDescent="0.25">
      <c r="A1049" s="2">
        <v>44452</v>
      </c>
      <c r="B1049">
        <v>14.9</v>
      </c>
      <c r="C1049">
        <v>2.9</v>
      </c>
      <c r="D1049">
        <v>19.2</v>
      </c>
      <c r="E1049">
        <v>1.2</v>
      </c>
      <c r="F1049">
        <v>178.8</v>
      </c>
      <c r="G1049">
        <v>0.2</v>
      </c>
      <c r="H1049">
        <v>3.1</v>
      </c>
      <c r="I1049">
        <v>351.19560000000001</v>
      </c>
      <c r="J1049">
        <v>207.72980000000001</v>
      </c>
      <c r="K1049">
        <v>80.740099999999998</v>
      </c>
      <c r="L1049">
        <v>3.0910000000000002</v>
      </c>
      <c r="M1049">
        <v>34.583199999999998</v>
      </c>
      <c r="N1049">
        <v>-22.938199999999998</v>
      </c>
      <c r="O1049">
        <v>13.3705</v>
      </c>
      <c r="P1049">
        <v>70.7</v>
      </c>
      <c r="S1049">
        <f t="shared" si="355"/>
        <v>897.63970000000006</v>
      </c>
      <c r="T1049">
        <f t="shared" si="356"/>
        <v>1.3968228373971657E-2</v>
      </c>
      <c r="U1049">
        <f t="shared" si="357"/>
        <v>2.7186484754709935E-3</v>
      </c>
      <c r="V1049">
        <f t="shared" si="358"/>
        <v>1.799932783760106E-2</v>
      </c>
      <c r="W1049">
        <f t="shared" si="359"/>
        <v>1.1249579898500663E-3</v>
      </c>
      <c r="X1049">
        <f t="shared" si="360"/>
        <v>0.1676187404876599</v>
      </c>
      <c r="Y1049">
        <f t="shared" si="361"/>
        <v>1.874929983083444E-4</v>
      </c>
      <c r="Z1049">
        <f t="shared" si="362"/>
        <v>2.9061414737793379E-3</v>
      </c>
      <c r="AA1049">
        <f t="shared" si="363"/>
        <v>0.32923358018348997</v>
      </c>
      <c r="AB1049">
        <f t="shared" si="364"/>
        <v>0.1947394151999636</v>
      </c>
      <c r="AC1049">
        <f t="shared" si="365"/>
        <v>7.5691017163577776E-2</v>
      </c>
      <c r="AD1049">
        <f t="shared" si="366"/>
        <v>2.8977042888554626E-3</v>
      </c>
      <c r="AE1049">
        <f t="shared" si="367"/>
        <v>3.2420539295485676E-2</v>
      </c>
      <c r="AG1049">
        <f t="shared" si="368"/>
        <v>0.5334175965909469</v>
      </c>
      <c r="AH1049">
        <f t="shared" si="369"/>
        <v>0.23894407693212705</v>
      </c>
      <c r="AI1049">
        <f t="shared" si="370"/>
        <v>-2.7136526642684781E-2</v>
      </c>
      <c r="AK1049" s="26">
        <f t="shared" si="371"/>
        <v>-3.2590336526048924E-2</v>
      </c>
      <c r="AL1049" s="26">
        <f t="shared" si="372"/>
        <v>-5.6177167758891533E-2</v>
      </c>
      <c r="AM1049" s="26">
        <f t="shared" si="373"/>
        <v>-6.7723903859841783E-2</v>
      </c>
      <c r="AN1049" s="26">
        <f t="shared" si="374"/>
        <v>-23.954999999999984</v>
      </c>
      <c r="AO1049" s="26">
        <f t="shared" si="375"/>
        <v>-25.811729407979399</v>
      </c>
      <c r="AP1049" s="26">
        <f t="shared" si="376"/>
        <v>-30.478678751546269</v>
      </c>
      <c r="AS1049" s="2">
        <v>44431</v>
      </c>
      <c r="AT1049">
        <v>21.1</v>
      </c>
      <c r="AU1049">
        <v>50.5</v>
      </c>
      <c r="AV1049">
        <v>23.2</v>
      </c>
      <c r="AW1049">
        <v>4.8</v>
      </c>
      <c r="AX1049">
        <v>135.86000000000001</v>
      </c>
      <c r="AY1049">
        <v>0.2</v>
      </c>
      <c r="AZ1049">
        <v>2.7</v>
      </c>
      <c r="BA1049">
        <v>283.47320000000002</v>
      </c>
      <c r="BB1049">
        <v>119.6002</v>
      </c>
      <c r="BC1049">
        <v>54.098300000000002</v>
      </c>
      <c r="BD1049">
        <v>3.5013999999999998</v>
      </c>
      <c r="BE1049">
        <v>23.3736</v>
      </c>
      <c r="BF1049">
        <v>-15.5898</v>
      </c>
      <c r="BG1049">
        <v>-7.6360999999999999</v>
      </c>
      <c r="BH1049">
        <v>64.83</v>
      </c>
    </row>
    <row r="1050" spans="1:60" x14ac:dyDescent="0.25">
      <c r="A1050" s="2">
        <v>44451</v>
      </c>
      <c r="B1050">
        <v>15.6</v>
      </c>
      <c r="C1050">
        <v>16.8</v>
      </c>
      <c r="D1050">
        <v>40</v>
      </c>
      <c r="E1050">
        <v>2.8</v>
      </c>
      <c r="F1050">
        <v>170.23</v>
      </c>
      <c r="G1050">
        <v>0.2</v>
      </c>
      <c r="H1050">
        <v>2.7</v>
      </c>
      <c r="I1050">
        <v>295.7808</v>
      </c>
      <c r="J1050">
        <v>121.36790000000001</v>
      </c>
      <c r="K1050">
        <v>36.478999999999999</v>
      </c>
      <c r="L1050">
        <v>2.6635</v>
      </c>
      <c r="M1050">
        <v>11.7193</v>
      </c>
      <c r="P1050">
        <v>70.53</v>
      </c>
      <c r="S1050">
        <f t="shared" si="355"/>
        <v>716.34049999999991</v>
      </c>
      <c r="T1050">
        <f t="shared" si="356"/>
        <v>1.4624453868050861E-2</v>
      </c>
      <c r="U1050">
        <f t="shared" si="357"/>
        <v>1.5749411857900929E-2</v>
      </c>
      <c r="V1050">
        <f t="shared" si="358"/>
        <v>3.7498599661668873E-2</v>
      </c>
      <c r="W1050">
        <f t="shared" si="359"/>
        <v>2.624901976316821E-3</v>
      </c>
      <c r="X1050">
        <f t="shared" si="360"/>
        <v>0.1595846655101473</v>
      </c>
      <c r="Y1050">
        <f t="shared" si="361"/>
        <v>1.874929983083444E-4</v>
      </c>
      <c r="Z1050">
        <f t="shared" si="362"/>
        <v>2.5311554771626494E-3</v>
      </c>
      <c r="AA1050">
        <f t="shared" si="363"/>
        <v>0.27728414517020372</v>
      </c>
      <c r="AB1050">
        <f t="shared" si="364"/>
        <v>0.11377815734693655</v>
      </c>
      <c r="AC1050">
        <f t="shared" si="365"/>
        <v>3.4197785426450474E-2</v>
      </c>
      <c r="AD1050">
        <f t="shared" si="366"/>
        <v>2.4969380049713764E-3</v>
      </c>
      <c r="AE1050">
        <f t="shared" si="367"/>
        <v>1.0986433475374901E-2</v>
      </c>
      <c r="AG1050">
        <f t="shared" si="368"/>
        <v>0.52226290524376939</v>
      </c>
      <c r="AH1050">
        <f t="shared" si="369"/>
        <v>0.24378711482493068</v>
      </c>
      <c r="AI1050">
        <f t="shared" si="370"/>
        <v>1.0279642549268638E-2</v>
      </c>
      <c r="AK1050" s="26">
        <f t="shared" si="371"/>
        <v>-3.2512015790124638E-2</v>
      </c>
      <c r="AL1050" s="26">
        <f t="shared" si="372"/>
        <v>-5.5149464064437603E-2</v>
      </c>
      <c r="AM1050" s="26">
        <f t="shared" si="373"/>
        <v>-6.7277801022067818E-2</v>
      </c>
      <c r="AN1050" s="26">
        <f t="shared" si="374"/>
        <v>-24.076666666666682</v>
      </c>
      <c r="AO1050" s="26">
        <f t="shared" si="375"/>
        <v>-25.910157657657649</v>
      </c>
      <c r="AP1050" s="26">
        <f t="shared" si="376"/>
        <v>-30.611413059076753</v>
      </c>
      <c r="AS1050" s="2">
        <v>44430</v>
      </c>
      <c r="AT1050">
        <v>19.7</v>
      </c>
      <c r="AU1050">
        <v>23.2</v>
      </c>
      <c r="AV1050">
        <v>32.6</v>
      </c>
      <c r="AW1050">
        <v>4.0999999999999996</v>
      </c>
      <c r="AX1050">
        <v>111.54</v>
      </c>
      <c r="AY1050">
        <v>0.2</v>
      </c>
      <c r="AZ1050">
        <v>2.8</v>
      </c>
      <c r="BA1050">
        <v>265.08350000000002</v>
      </c>
      <c r="BB1050">
        <v>42.409799999999997</v>
      </c>
      <c r="BC1050">
        <v>30.216699999999999</v>
      </c>
      <c r="BD1050">
        <v>3.5457000000000001</v>
      </c>
      <c r="BE1050">
        <v>14.950200000000001</v>
      </c>
      <c r="BH1050">
        <v>64.5</v>
      </c>
    </row>
    <row r="1051" spans="1:60" x14ac:dyDescent="0.25">
      <c r="A1051" s="2">
        <v>44450</v>
      </c>
      <c r="B1051">
        <v>16.899999999999999</v>
      </c>
      <c r="C1051">
        <v>0</v>
      </c>
      <c r="D1051">
        <v>24.4</v>
      </c>
      <c r="E1051">
        <v>2.5</v>
      </c>
      <c r="F1051">
        <v>128.76</v>
      </c>
      <c r="G1051">
        <v>0.2</v>
      </c>
      <c r="H1051">
        <v>3.1</v>
      </c>
      <c r="I1051">
        <v>309.9776</v>
      </c>
      <c r="J1051">
        <v>196.483</v>
      </c>
      <c r="K1051">
        <v>48.402200000000001</v>
      </c>
      <c r="L1051">
        <v>2.5222000000000002</v>
      </c>
      <c r="M1051">
        <v>13.079700000000001</v>
      </c>
      <c r="P1051">
        <v>70.23</v>
      </c>
      <c r="S1051">
        <f t="shared" si="355"/>
        <v>746.32470000000001</v>
      </c>
      <c r="T1051">
        <f t="shared" si="356"/>
        <v>1.58431583570551E-2</v>
      </c>
      <c r="U1051">
        <f t="shared" si="357"/>
        <v>0</v>
      </c>
      <c r="V1051">
        <f t="shared" si="358"/>
        <v>2.2874145793618014E-2</v>
      </c>
      <c r="W1051">
        <f t="shared" si="359"/>
        <v>2.3436624788543046E-3</v>
      </c>
      <c r="X1051">
        <f t="shared" si="360"/>
        <v>0.1207079923109121</v>
      </c>
      <c r="Y1051">
        <f t="shared" si="361"/>
        <v>1.874929983083444E-4</v>
      </c>
      <c r="Z1051">
        <f t="shared" si="362"/>
        <v>2.9061414737793379E-3</v>
      </c>
      <c r="AA1051">
        <f t="shared" si="363"/>
        <v>0.29059314816212323</v>
      </c>
      <c r="AB1051">
        <f t="shared" si="364"/>
        <v>0.18419593393309214</v>
      </c>
      <c r="AC1051">
        <f t="shared" si="365"/>
        <v>4.5375368013600731E-2</v>
      </c>
      <c r="AD1051">
        <f t="shared" si="366"/>
        <v>2.3644742016665312E-3</v>
      </c>
      <c r="AE1051">
        <f t="shared" si="367"/>
        <v>1.2261760849868261E-2</v>
      </c>
      <c r="AG1051">
        <f t="shared" si="368"/>
        <v>0.50507237924084658</v>
      </c>
      <c r="AH1051">
        <f t="shared" si="369"/>
        <v>0.17712435426239548</v>
      </c>
      <c r="AI1051">
        <f t="shared" si="370"/>
        <v>-0.53147944837992001</v>
      </c>
      <c r="AK1051" s="26">
        <f t="shared" si="371"/>
        <v>-3.8536150201355146E-2</v>
      </c>
      <c r="AL1051" s="26">
        <f t="shared" si="372"/>
        <v>-5.1340341993015459E-2</v>
      </c>
      <c r="AM1051" s="26">
        <f t="shared" si="373"/>
        <v>-6.6985690190384084E-2</v>
      </c>
      <c r="AN1051" s="26">
        <f t="shared" si="374"/>
        <v>-24.206428571428589</v>
      </c>
      <c r="AO1051" s="26">
        <f t="shared" si="375"/>
        <v>-26.008849742599729</v>
      </c>
      <c r="AP1051" s="26">
        <f t="shared" si="376"/>
        <v>-30.743863505194284</v>
      </c>
      <c r="AS1051" s="2">
        <v>44429</v>
      </c>
      <c r="AT1051">
        <v>20.5</v>
      </c>
      <c r="AU1051">
        <v>81.2</v>
      </c>
      <c r="AV1051">
        <v>2.2999999999999998</v>
      </c>
      <c r="AW1051">
        <v>0.4</v>
      </c>
      <c r="AX1051">
        <v>228.08</v>
      </c>
      <c r="AY1051">
        <v>0.2</v>
      </c>
      <c r="AZ1051">
        <v>2.6</v>
      </c>
      <c r="BA1051">
        <v>274.4665</v>
      </c>
      <c r="BB1051">
        <v>90.151899999999998</v>
      </c>
      <c r="BC1051">
        <v>36.978000000000002</v>
      </c>
      <c r="BD1051">
        <v>3.5762999999999998</v>
      </c>
      <c r="BE1051">
        <v>20.212900000000001</v>
      </c>
      <c r="BH1051">
        <v>64.12</v>
      </c>
    </row>
    <row r="1052" spans="1:60" x14ac:dyDescent="0.25">
      <c r="A1052" s="2">
        <v>44449</v>
      </c>
      <c r="B1052">
        <v>17</v>
      </c>
      <c r="C1052">
        <v>254.5</v>
      </c>
      <c r="D1052">
        <v>6</v>
      </c>
      <c r="E1052">
        <v>1.5</v>
      </c>
      <c r="F1052">
        <v>172.22</v>
      </c>
      <c r="G1052">
        <v>0.2</v>
      </c>
      <c r="H1052">
        <v>3.8</v>
      </c>
      <c r="I1052">
        <v>305.94819999999999</v>
      </c>
      <c r="J1052">
        <v>236.46850000000001</v>
      </c>
      <c r="K1052">
        <v>114.2398</v>
      </c>
      <c r="L1052">
        <v>2.4236</v>
      </c>
      <c r="M1052">
        <v>24.9114</v>
      </c>
      <c r="N1052">
        <v>-23.905799999999999</v>
      </c>
      <c r="O1052">
        <v>6.0518000000000001</v>
      </c>
      <c r="P1052">
        <v>69.94</v>
      </c>
      <c r="S1052">
        <f t="shared" si="355"/>
        <v>1139.2115000000001</v>
      </c>
      <c r="T1052">
        <f t="shared" si="356"/>
        <v>1.5936904856209272E-2</v>
      </c>
      <c r="U1052">
        <f t="shared" si="357"/>
        <v>0.23858484034736824</v>
      </c>
      <c r="V1052">
        <f t="shared" si="358"/>
        <v>5.6247899492503318E-3</v>
      </c>
      <c r="W1052">
        <f t="shared" si="359"/>
        <v>1.406197487312583E-3</v>
      </c>
      <c r="X1052">
        <f t="shared" si="360"/>
        <v>0.16145022084331534</v>
      </c>
      <c r="Y1052">
        <f t="shared" si="361"/>
        <v>1.874929983083444E-4</v>
      </c>
      <c r="Z1052">
        <f t="shared" si="362"/>
        <v>3.5623669678585433E-3</v>
      </c>
      <c r="AA1052">
        <f t="shared" si="363"/>
        <v>0.28681572672520506</v>
      </c>
      <c r="AB1052">
        <f t="shared" si="364"/>
        <v>0.22168094035238367</v>
      </c>
      <c r="AC1052">
        <f t="shared" si="365"/>
        <v>0.10709581314072801</v>
      </c>
      <c r="AD1052">
        <f t="shared" si="366"/>
        <v>2.2720401535005173E-3</v>
      </c>
      <c r="AE1052">
        <f t="shared" si="367"/>
        <v>2.3353565390292451E-2</v>
      </c>
      <c r="AG1052">
        <f t="shared" si="368"/>
        <v>0.48836384482339923</v>
      </c>
      <c r="AH1052">
        <f t="shared" si="369"/>
        <v>0.45010637883991506</v>
      </c>
      <c r="AI1052">
        <f t="shared" si="370"/>
        <v>1.6748596641050557</v>
      </c>
      <c r="AK1052" s="26">
        <f t="shared" si="371"/>
        <v>-3.4125165370498534E-2</v>
      </c>
      <c r="AL1052" s="26">
        <f t="shared" si="372"/>
        <v>-4.691265870807998E-2</v>
      </c>
      <c r="AM1052" s="26">
        <f t="shared" si="373"/>
        <v>-6.5565436260913212E-2</v>
      </c>
      <c r="AN1052" s="26">
        <f t="shared" si="374"/>
        <v>-24.334047619047624</v>
      </c>
      <c r="AO1052" s="26">
        <f t="shared" si="375"/>
        <v>-26.107720398970386</v>
      </c>
      <c r="AP1052" s="26">
        <f t="shared" si="376"/>
        <v>-30.874921417863497</v>
      </c>
      <c r="AS1052" s="2">
        <v>44428</v>
      </c>
      <c r="AT1052">
        <v>20.8</v>
      </c>
      <c r="AU1052">
        <v>132.69999999999999</v>
      </c>
      <c r="AV1052">
        <v>6.8</v>
      </c>
      <c r="AW1052">
        <v>1.7</v>
      </c>
      <c r="AX1052">
        <v>173.83</v>
      </c>
      <c r="AY1052">
        <v>0.2</v>
      </c>
      <c r="AZ1052">
        <v>2.6</v>
      </c>
      <c r="BA1052">
        <v>289.50479999999999</v>
      </c>
      <c r="BB1052">
        <v>159.6233</v>
      </c>
      <c r="BC1052">
        <v>45.103200000000001</v>
      </c>
      <c r="BD1052">
        <v>3.6522000000000001</v>
      </c>
      <c r="BE1052">
        <v>30.447500000000002</v>
      </c>
      <c r="BF1052">
        <v>-17.2117</v>
      </c>
      <c r="BG1052">
        <v>-7.6466000000000003</v>
      </c>
      <c r="BH1052">
        <v>63.76</v>
      </c>
    </row>
    <row r="1053" spans="1:60" x14ac:dyDescent="0.25">
      <c r="A1053" s="2">
        <v>44448</v>
      </c>
      <c r="B1053">
        <v>16.899999999999999</v>
      </c>
      <c r="C1053">
        <v>3.1</v>
      </c>
      <c r="D1053">
        <v>11</v>
      </c>
      <c r="E1053">
        <v>2.4</v>
      </c>
      <c r="F1053">
        <v>216.13</v>
      </c>
      <c r="G1053">
        <v>0.1</v>
      </c>
      <c r="H1053">
        <v>3.9</v>
      </c>
      <c r="I1053">
        <v>290.82260000000002</v>
      </c>
      <c r="J1053">
        <v>225.00790000000001</v>
      </c>
      <c r="K1053">
        <v>114.5502</v>
      </c>
      <c r="L1053">
        <v>2.6493000000000002</v>
      </c>
      <c r="M1053">
        <v>30.608699999999999</v>
      </c>
      <c r="N1053">
        <v>-25.373100000000001</v>
      </c>
      <c r="O1053">
        <v>1.7081</v>
      </c>
      <c r="P1053">
        <v>69.739999999999995</v>
      </c>
      <c r="S1053">
        <f t="shared" si="355"/>
        <v>917.16870000000006</v>
      </c>
      <c r="T1053">
        <f t="shared" si="356"/>
        <v>1.58431583570551E-2</v>
      </c>
      <c r="U1053">
        <f t="shared" si="357"/>
        <v>2.9061414737793379E-3</v>
      </c>
      <c r="V1053">
        <f t="shared" si="358"/>
        <v>1.0312114906958941E-2</v>
      </c>
      <c r="W1053">
        <f t="shared" si="359"/>
        <v>2.2499159797001326E-3</v>
      </c>
      <c r="X1053">
        <f t="shared" si="360"/>
        <v>0.20261430862191235</v>
      </c>
      <c r="Y1053">
        <f t="shared" si="361"/>
        <v>9.3746499154172199E-5</v>
      </c>
      <c r="Z1053">
        <f t="shared" si="362"/>
        <v>3.6561134670127153E-3</v>
      </c>
      <c r="AA1053">
        <f t="shared" si="363"/>
        <v>0.27263600624914158</v>
      </c>
      <c r="AB1053">
        <f t="shared" si="364"/>
        <v>0.21093702907032061</v>
      </c>
      <c r="AC1053">
        <f t="shared" si="365"/>
        <v>0.10738680227410256</v>
      </c>
      <c r="AD1053">
        <f t="shared" si="366"/>
        <v>2.4836260020914842E-3</v>
      </c>
      <c r="AE1053">
        <f t="shared" si="367"/>
        <v>2.8694584686603103E-2</v>
      </c>
      <c r="AG1053">
        <f t="shared" si="368"/>
        <v>0.47584830030701664</v>
      </c>
      <c r="AH1053">
        <f t="shared" si="369"/>
        <v>0.26637008399217588</v>
      </c>
      <c r="AI1053">
        <f t="shared" si="370"/>
        <v>0.18388952266611933</v>
      </c>
      <c r="AK1053" s="26">
        <f t="shared" si="371"/>
        <v>-3.7320847371034471E-2</v>
      </c>
      <c r="AL1053" s="26">
        <f t="shared" si="372"/>
        <v>-4.7083177348859639E-2</v>
      </c>
      <c r="AM1053" s="26">
        <f t="shared" si="373"/>
        <v>-6.8260714094586339E-2</v>
      </c>
      <c r="AN1053" s="26">
        <f t="shared" si="374"/>
        <v>-24.4604761904762</v>
      </c>
      <c r="AO1053" s="26">
        <f t="shared" si="375"/>
        <v>-26.206138996139003</v>
      </c>
      <c r="AP1053" s="26">
        <f t="shared" si="376"/>
        <v>-31.004091218515981</v>
      </c>
      <c r="AS1053" s="2">
        <v>44427</v>
      </c>
      <c r="AT1053">
        <v>21</v>
      </c>
      <c r="AU1053">
        <v>23.5</v>
      </c>
      <c r="AV1053">
        <v>44.1</v>
      </c>
      <c r="AW1053">
        <v>5.6</v>
      </c>
      <c r="AX1053">
        <v>116.35</v>
      </c>
      <c r="AY1053">
        <v>0.2</v>
      </c>
      <c r="AZ1053">
        <v>2.7</v>
      </c>
      <c r="BA1053">
        <v>271.99040000000002</v>
      </c>
      <c r="BB1053">
        <v>117.0467</v>
      </c>
      <c r="BC1053">
        <v>57.907200000000003</v>
      </c>
      <c r="BD1053">
        <v>3.6166999999999998</v>
      </c>
      <c r="BE1053">
        <v>24.618300000000001</v>
      </c>
      <c r="BF1053">
        <v>-15.1318</v>
      </c>
      <c r="BG1053">
        <v>-8.4002999999999997</v>
      </c>
      <c r="BH1053">
        <v>63.41</v>
      </c>
    </row>
    <row r="1054" spans="1:60" x14ac:dyDescent="0.25">
      <c r="A1054" s="2">
        <v>44447</v>
      </c>
      <c r="B1054">
        <v>17.5</v>
      </c>
      <c r="C1054">
        <v>5</v>
      </c>
      <c r="D1054">
        <v>9</v>
      </c>
      <c r="E1054">
        <v>2</v>
      </c>
      <c r="F1054">
        <v>240.24</v>
      </c>
      <c r="G1054">
        <v>0.1</v>
      </c>
      <c r="H1054">
        <v>3.5</v>
      </c>
      <c r="I1054">
        <v>294.1651</v>
      </c>
      <c r="J1054">
        <v>214.92320000000001</v>
      </c>
      <c r="K1054">
        <v>105.1698</v>
      </c>
      <c r="L1054">
        <v>2.2073999999999998</v>
      </c>
      <c r="M1054">
        <v>24.558399999999999</v>
      </c>
      <c r="N1054">
        <v>-31.2988</v>
      </c>
      <c r="O1054">
        <v>-5.7018000000000004</v>
      </c>
      <c r="P1054">
        <v>69.52</v>
      </c>
      <c r="S1054">
        <f t="shared" si="355"/>
        <v>918.36390000000006</v>
      </c>
      <c r="T1054">
        <f t="shared" si="356"/>
        <v>1.6405637351980133E-2</v>
      </c>
      <c r="U1054">
        <f t="shared" si="357"/>
        <v>4.6873249577086091E-3</v>
      </c>
      <c r="V1054">
        <f t="shared" si="358"/>
        <v>8.4371849238754973E-3</v>
      </c>
      <c r="W1054">
        <f t="shared" si="359"/>
        <v>1.8749299830834439E-3</v>
      </c>
      <c r="X1054">
        <f t="shared" si="360"/>
        <v>0.22521658956798327</v>
      </c>
      <c r="Y1054">
        <f t="shared" si="361"/>
        <v>9.3746499154172199E-5</v>
      </c>
      <c r="Z1054">
        <f t="shared" si="362"/>
        <v>3.2811274703960268E-3</v>
      </c>
      <c r="AA1054">
        <f t="shared" si="363"/>
        <v>0.27576948298336978</v>
      </c>
      <c r="AB1054">
        <f t="shared" si="364"/>
        <v>0.20148297587011982</v>
      </c>
      <c r="AC1054">
        <f t="shared" si="365"/>
        <v>9.8593005667444583E-2</v>
      </c>
      <c r="AD1054">
        <f t="shared" si="366"/>
        <v>2.0693602223291968E-3</v>
      </c>
      <c r="AE1054">
        <f t="shared" si="367"/>
        <v>2.3022640248278221E-2</v>
      </c>
      <c r="AG1054">
        <f t="shared" si="368"/>
        <v>0.46240448223757952</v>
      </c>
      <c r="AH1054">
        <f t="shared" si="369"/>
        <v>0.28301918100245937</v>
      </c>
      <c r="AI1054">
        <f t="shared" si="370"/>
        <v>0.31560082321803312</v>
      </c>
      <c r="AK1054" s="26">
        <f t="shared" si="371"/>
        <v>-4.3252465147897379E-2</v>
      </c>
      <c r="AL1054" s="26">
        <f t="shared" si="372"/>
        <v>-5.0310766881709823E-2</v>
      </c>
      <c r="AM1054" s="26">
        <f t="shared" si="373"/>
        <v>-6.6014440589398315E-2</v>
      </c>
      <c r="AN1054" s="26">
        <f t="shared" si="374"/>
        <v>-24.589047619047605</v>
      </c>
      <c r="AO1054" s="26">
        <f t="shared" si="375"/>
        <v>-26.306526705276688</v>
      </c>
      <c r="AP1054" s="26">
        <f t="shared" si="376"/>
        <v>-31.131526915366919</v>
      </c>
      <c r="AS1054" s="2">
        <v>44426</v>
      </c>
      <c r="AT1054">
        <v>21.1</v>
      </c>
      <c r="AU1054">
        <v>31.9</v>
      </c>
      <c r="AV1054">
        <v>78.099999999999994</v>
      </c>
      <c r="AW1054">
        <v>9.6999999999999993</v>
      </c>
      <c r="AX1054">
        <v>120.77</v>
      </c>
      <c r="AY1054">
        <v>0.2</v>
      </c>
      <c r="AZ1054">
        <v>2.8</v>
      </c>
      <c r="BA1054">
        <v>249.7193</v>
      </c>
      <c r="BB1054">
        <v>38.658099999999997</v>
      </c>
      <c r="BC1054">
        <v>39.365000000000002</v>
      </c>
      <c r="BD1054">
        <v>3.5634999999999999</v>
      </c>
      <c r="BE1054">
        <v>19.950600000000001</v>
      </c>
      <c r="BF1054">
        <v>-21.105599999999999</v>
      </c>
      <c r="BG1054">
        <v>-9.4258000000000006</v>
      </c>
      <c r="BH1054">
        <v>63.1</v>
      </c>
    </row>
    <row r="1055" spans="1:60" x14ac:dyDescent="0.25">
      <c r="A1055" s="2">
        <v>44446</v>
      </c>
      <c r="B1055">
        <v>18.2</v>
      </c>
      <c r="C1055">
        <v>139.69999999999999</v>
      </c>
      <c r="D1055">
        <v>3.8</v>
      </c>
      <c r="E1055">
        <v>0.3</v>
      </c>
      <c r="F1055">
        <v>200.26</v>
      </c>
      <c r="G1055">
        <v>0.1</v>
      </c>
      <c r="H1055">
        <v>3.6</v>
      </c>
      <c r="I1055">
        <v>297.15359999999998</v>
      </c>
      <c r="J1055">
        <v>222.4855</v>
      </c>
      <c r="K1055">
        <v>106.4885</v>
      </c>
      <c r="L1055">
        <v>3.8553999999999999</v>
      </c>
      <c r="M1055">
        <v>31.5688</v>
      </c>
      <c r="N1055">
        <v>-23.288900000000002</v>
      </c>
      <c r="O1055">
        <v>-0.6411</v>
      </c>
      <c r="P1055">
        <v>69.31</v>
      </c>
      <c r="S1055">
        <f t="shared" si="355"/>
        <v>1027.5118</v>
      </c>
      <c r="T1055">
        <f t="shared" si="356"/>
        <v>1.7061862846059338E-2</v>
      </c>
      <c r="U1055">
        <f t="shared" si="357"/>
        <v>0.13096385931837853</v>
      </c>
      <c r="V1055">
        <f t="shared" si="358"/>
        <v>3.5623669678585433E-3</v>
      </c>
      <c r="W1055">
        <f t="shared" si="359"/>
        <v>2.8123949746251657E-4</v>
      </c>
      <c r="X1055">
        <f t="shared" si="360"/>
        <v>0.18773673920614523</v>
      </c>
      <c r="Y1055">
        <f t="shared" si="361"/>
        <v>9.3746499154172199E-5</v>
      </c>
      <c r="Z1055">
        <f t="shared" si="362"/>
        <v>3.3748739695501988E-3</v>
      </c>
      <c r="AA1055">
        <f t="shared" si="363"/>
        <v>0.27857109711059219</v>
      </c>
      <c r="AB1055">
        <f t="shared" si="364"/>
        <v>0.20857236737565577</v>
      </c>
      <c r="AC1055">
        <f t="shared" si="365"/>
        <v>9.9829240751790657E-2</v>
      </c>
      <c r="AD1055">
        <f t="shared" si="366"/>
        <v>3.6143025283899544E-3</v>
      </c>
      <c r="AE1055">
        <f t="shared" si="367"/>
        <v>2.9594644824982311E-2</v>
      </c>
      <c r="AG1055">
        <f t="shared" si="368"/>
        <v>0.4494309391758412</v>
      </c>
      <c r="AH1055">
        <f t="shared" si="369"/>
        <v>0.37266933312959089</v>
      </c>
      <c r="AI1055">
        <f t="shared" si="370"/>
        <v>1.0344572652849255</v>
      </c>
      <c r="AK1055" s="26">
        <f t="shared" si="371"/>
        <v>-4.777286330356445E-2</v>
      </c>
      <c r="AL1055" s="26">
        <f t="shared" si="372"/>
        <v>-5.8066671613435761E-2</v>
      </c>
      <c r="AM1055" s="26">
        <f t="shared" si="373"/>
        <v>-6.7929189120904843E-2</v>
      </c>
      <c r="AN1055" s="26">
        <f t="shared" si="374"/>
        <v>-24.711904761904762</v>
      </c>
      <c r="AO1055" s="26">
        <f t="shared" si="375"/>
        <v>-26.405925032175027</v>
      </c>
      <c r="AP1055" s="26">
        <f t="shared" si="376"/>
        <v>-31.255739921337266</v>
      </c>
      <c r="AS1055" s="2">
        <v>44425</v>
      </c>
      <c r="AT1055">
        <v>18.8</v>
      </c>
      <c r="AU1055">
        <v>11.1</v>
      </c>
      <c r="AV1055">
        <v>60.3</v>
      </c>
      <c r="AW1055">
        <v>11.9</v>
      </c>
      <c r="AX1055">
        <v>151.66</v>
      </c>
      <c r="AY1055">
        <v>0.2</v>
      </c>
      <c r="AZ1055">
        <v>2.6</v>
      </c>
      <c r="BA1055">
        <v>203.64189999999999</v>
      </c>
      <c r="BB1055">
        <v>19.0275</v>
      </c>
      <c r="BC1055">
        <v>29.1633</v>
      </c>
      <c r="BD1055">
        <v>3.6436000000000002</v>
      </c>
      <c r="BE1055">
        <v>20.694500000000001</v>
      </c>
      <c r="BF1055">
        <v>-21.981200000000001</v>
      </c>
      <c r="BG1055">
        <v>-6.8446999999999996</v>
      </c>
      <c r="BH1055">
        <v>62.8</v>
      </c>
    </row>
    <row r="1056" spans="1:60" x14ac:dyDescent="0.25">
      <c r="A1056" s="2">
        <v>44445</v>
      </c>
      <c r="B1056">
        <v>18.3</v>
      </c>
      <c r="C1056">
        <v>62.5</v>
      </c>
      <c r="D1056">
        <v>1.3</v>
      </c>
      <c r="E1056">
        <v>0.5</v>
      </c>
      <c r="F1056">
        <v>229.41</v>
      </c>
      <c r="G1056">
        <v>0.2</v>
      </c>
      <c r="H1056">
        <v>3.6</v>
      </c>
      <c r="I1056">
        <v>279.65480000000002</v>
      </c>
      <c r="J1056">
        <v>212.1378</v>
      </c>
      <c r="K1056">
        <v>91.380200000000002</v>
      </c>
      <c r="L1056">
        <v>3.8935</v>
      </c>
      <c r="M1056">
        <v>29.364699999999999</v>
      </c>
      <c r="N1056">
        <v>-22.6037</v>
      </c>
      <c r="O1056">
        <v>0.20760000000000001</v>
      </c>
      <c r="P1056">
        <v>69.14</v>
      </c>
      <c r="S1056">
        <f t="shared" si="355"/>
        <v>932.24099999999999</v>
      </c>
      <c r="T1056">
        <f t="shared" si="356"/>
        <v>1.7155609345213513E-2</v>
      </c>
      <c r="U1056">
        <f t="shared" si="357"/>
        <v>5.859156197135762E-2</v>
      </c>
      <c r="V1056">
        <f t="shared" si="358"/>
        <v>1.2187044890042385E-3</v>
      </c>
      <c r="W1056">
        <f t="shared" si="359"/>
        <v>4.6873249577086097E-4</v>
      </c>
      <c r="X1056">
        <f t="shared" si="360"/>
        <v>0.21506384370958642</v>
      </c>
      <c r="Y1056">
        <f t="shared" si="361"/>
        <v>1.874929983083444E-4</v>
      </c>
      <c r="Z1056">
        <f t="shared" si="362"/>
        <v>3.3748739695501988E-3</v>
      </c>
      <c r="AA1056">
        <f t="shared" si="363"/>
        <v>0.26216658471660198</v>
      </c>
      <c r="AB1056">
        <f t="shared" si="364"/>
        <v>0.19887176088267949</v>
      </c>
      <c r="AC1056">
        <f t="shared" si="365"/>
        <v>8.5665738420080864E-2</v>
      </c>
      <c r="AD1056">
        <f t="shared" si="366"/>
        <v>3.650019944567694E-3</v>
      </c>
      <c r="AE1056">
        <f t="shared" si="367"/>
        <v>2.7528378237125201E-2</v>
      </c>
      <c r="AG1056">
        <f t="shared" si="368"/>
        <v>0.43832013145089005</v>
      </c>
      <c r="AH1056">
        <f t="shared" si="369"/>
        <v>0.32358919721591639</v>
      </c>
      <c r="AI1056">
        <f t="shared" si="370"/>
        <v>0.64308400222124829</v>
      </c>
      <c r="AK1056" s="26">
        <f t="shared" si="371"/>
        <v>-5.6745704563309352E-2</v>
      </c>
      <c r="AL1056" s="26">
        <f t="shared" si="372"/>
        <v>-6.5933216488377411E-2</v>
      </c>
      <c r="AM1056" s="26">
        <f t="shared" si="373"/>
        <v>-7.0782244009236994E-2</v>
      </c>
      <c r="AN1056" s="26">
        <f t="shared" si="374"/>
        <v>-24.830714285714308</v>
      </c>
      <c r="AO1056" s="26">
        <f t="shared" si="375"/>
        <v>-26.501726190476191</v>
      </c>
      <c r="AP1056" s="26">
        <f t="shared" si="376"/>
        <v>-31.376484896425566</v>
      </c>
      <c r="AS1056" s="2">
        <v>44424</v>
      </c>
      <c r="AT1056">
        <v>20.7</v>
      </c>
      <c r="AU1056">
        <v>25.7</v>
      </c>
      <c r="AV1056">
        <v>57.8</v>
      </c>
      <c r="AW1056">
        <v>8.9</v>
      </c>
      <c r="AX1056">
        <v>134.68</v>
      </c>
      <c r="AY1056">
        <v>0.2</v>
      </c>
      <c r="AZ1056">
        <v>2.9</v>
      </c>
      <c r="BA1056">
        <v>243.7046</v>
      </c>
      <c r="BB1056">
        <v>21.544499999999999</v>
      </c>
      <c r="BC1056">
        <v>32.762700000000002</v>
      </c>
      <c r="BD1056">
        <v>3.6743999999999999</v>
      </c>
      <c r="BE1056">
        <v>18.2942</v>
      </c>
      <c r="BF1056">
        <v>-22.375699999999998</v>
      </c>
      <c r="BG1056">
        <v>-6.8334999999999999</v>
      </c>
      <c r="BH1056">
        <v>62.51</v>
      </c>
    </row>
    <row r="1057" spans="1:60" x14ac:dyDescent="0.25">
      <c r="A1057" s="2">
        <v>44444</v>
      </c>
      <c r="B1057">
        <v>18.899999999999999</v>
      </c>
      <c r="C1057">
        <v>3</v>
      </c>
      <c r="D1057">
        <v>21.4</v>
      </c>
      <c r="E1057">
        <v>1.6</v>
      </c>
      <c r="F1057">
        <v>228.93</v>
      </c>
      <c r="G1057">
        <v>0.2</v>
      </c>
      <c r="H1057">
        <v>3.8</v>
      </c>
      <c r="I1057">
        <v>262.59440000000001</v>
      </c>
      <c r="J1057">
        <v>78.311000000000007</v>
      </c>
      <c r="K1057">
        <v>33.802999999999997</v>
      </c>
      <c r="L1057">
        <v>3.7166000000000001</v>
      </c>
      <c r="M1057">
        <v>10.572100000000001</v>
      </c>
      <c r="P1057">
        <v>68.92</v>
      </c>
      <c r="S1057">
        <f t="shared" si="355"/>
        <v>666.82709999999997</v>
      </c>
      <c r="T1057">
        <f t="shared" si="356"/>
        <v>1.7718088340138542E-2</v>
      </c>
      <c r="U1057">
        <f t="shared" si="357"/>
        <v>2.8123949746251659E-3</v>
      </c>
      <c r="V1057">
        <f t="shared" si="358"/>
        <v>2.0061750818992849E-2</v>
      </c>
      <c r="W1057">
        <f t="shared" si="359"/>
        <v>1.4999439864667552E-3</v>
      </c>
      <c r="X1057">
        <f t="shared" si="360"/>
        <v>0.21461386051364639</v>
      </c>
      <c r="Y1057">
        <f t="shared" si="361"/>
        <v>1.874929983083444E-4</v>
      </c>
      <c r="Z1057">
        <f t="shared" si="362"/>
        <v>3.5623669678585433E-3</v>
      </c>
      <c r="AA1057">
        <f t="shared" si="363"/>
        <v>0.24617305697490355</v>
      </c>
      <c r="AB1057">
        <f t="shared" si="364"/>
        <v>7.341382095262379E-2</v>
      </c>
      <c r="AC1057">
        <f t="shared" si="365"/>
        <v>3.1689129109084821E-2</v>
      </c>
      <c r="AD1057">
        <f t="shared" si="366"/>
        <v>3.4841823875639637E-3</v>
      </c>
      <c r="AE1057">
        <f t="shared" si="367"/>
        <v>9.9109736370782391E-3</v>
      </c>
      <c r="AG1057">
        <f t="shared" si="368"/>
        <v>0.42489384018308851</v>
      </c>
      <c r="AH1057">
        <f t="shared" si="369"/>
        <v>0.27036687223711481</v>
      </c>
      <c r="AI1057">
        <f t="shared" si="370"/>
        <v>0.21792062325751241</v>
      </c>
      <c r="AK1057" s="26">
        <f t="shared" si="371"/>
        <v>-6.8323533364479383E-2</v>
      </c>
      <c r="AL1057" s="26">
        <f t="shared" si="372"/>
        <v>-6.8909995727168549E-2</v>
      </c>
      <c r="AM1057" s="26">
        <f t="shared" si="373"/>
        <v>-7.155664309851778E-2</v>
      </c>
      <c r="AN1057" s="26">
        <f t="shared" si="374"/>
        <v>-24.948333333333366</v>
      </c>
      <c r="AO1057" s="26">
        <f t="shared" si="375"/>
        <v>-26.593204633204614</v>
      </c>
      <c r="AP1057" s="26">
        <f t="shared" si="376"/>
        <v>-31.495361439793164</v>
      </c>
      <c r="AS1057" s="2">
        <v>44423</v>
      </c>
      <c r="AT1057">
        <v>20.9</v>
      </c>
      <c r="AU1057">
        <v>74.900000000000006</v>
      </c>
      <c r="AV1057">
        <v>37.6</v>
      </c>
      <c r="AW1057">
        <v>2.5</v>
      </c>
      <c r="AX1057">
        <v>228.73</v>
      </c>
      <c r="AY1057">
        <v>0.2</v>
      </c>
      <c r="AZ1057">
        <v>3.1</v>
      </c>
      <c r="BA1057">
        <v>219.24680000000001</v>
      </c>
      <c r="BB1057">
        <v>18.859100000000002</v>
      </c>
      <c r="BC1057">
        <v>25.616800000000001</v>
      </c>
      <c r="BD1057">
        <v>3.6720000000000002</v>
      </c>
      <c r="BE1057">
        <v>11.636900000000001</v>
      </c>
      <c r="BH1057">
        <v>62.17</v>
      </c>
    </row>
    <row r="1058" spans="1:60" x14ac:dyDescent="0.25">
      <c r="A1058" s="2">
        <v>44443</v>
      </c>
      <c r="B1058">
        <v>19.8</v>
      </c>
      <c r="C1058">
        <v>1</v>
      </c>
      <c r="D1058">
        <v>11.1</v>
      </c>
      <c r="E1058">
        <v>1</v>
      </c>
      <c r="F1058">
        <v>213.55</v>
      </c>
      <c r="G1058">
        <v>0.2</v>
      </c>
      <c r="H1058">
        <v>3.6</v>
      </c>
      <c r="I1058">
        <v>274.27679999999998</v>
      </c>
      <c r="J1058">
        <v>145.8597</v>
      </c>
      <c r="K1058">
        <v>37.338799999999999</v>
      </c>
      <c r="L1058">
        <v>3.6894999999999998</v>
      </c>
      <c r="M1058">
        <v>17.781600000000001</v>
      </c>
      <c r="P1058">
        <v>68.58</v>
      </c>
      <c r="S1058">
        <f t="shared" si="355"/>
        <v>729.19639999999993</v>
      </c>
      <c r="T1058">
        <f t="shared" si="356"/>
        <v>1.8561806832526093E-2</v>
      </c>
      <c r="U1058">
        <f t="shared" si="357"/>
        <v>9.3746499154172193E-4</v>
      </c>
      <c r="V1058">
        <f t="shared" si="358"/>
        <v>1.0405861406113113E-2</v>
      </c>
      <c r="W1058">
        <f t="shared" si="359"/>
        <v>9.3746499154172193E-4</v>
      </c>
      <c r="X1058">
        <f t="shared" si="360"/>
        <v>0.20019564894373473</v>
      </c>
      <c r="Y1058">
        <f t="shared" si="361"/>
        <v>1.874929983083444E-4</v>
      </c>
      <c r="Z1058">
        <f t="shared" si="362"/>
        <v>3.3748739695501988E-3</v>
      </c>
      <c r="AA1058">
        <f t="shared" si="363"/>
        <v>0.25712489799209054</v>
      </c>
      <c r="AB1058">
        <f t="shared" si="364"/>
        <v>0.13673836242677809</v>
      </c>
      <c r="AC1058">
        <f t="shared" si="365"/>
        <v>3.5003817826178042E-2</v>
      </c>
      <c r="AD1058">
        <f t="shared" si="366"/>
        <v>3.4587770862931828E-3</v>
      </c>
      <c r="AE1058">
        <f t="shared" si="367"/>
        <v>1.6669627493598283E-2</v>
      </c>
      <c r="AG1058">
        <f t="shared" si="368"/>
        <v>0.40591426840550876</v>
      </c>
      <c r="AH1058">
        <f t="shared" si="369"/>
        <v>0.25127024162691419</v>
      </c>
      <c r="AI1058">
        <f t="shared" si="370"/>
        <v>6.5318435922671544E-2</v>
      </c>
      <c r="AK1058" s="26">
        <f t="shared" si="371"/>
        <v>-7.1079923734097938E-2</v>
      </c>
      <c r="AL1058" s="26">
        <f t="shared" si="372"/>
        <v>-7.3026820337713794E-2</v>
      </c>
      <c r="AM1058" s="26">
        <f t="shared" si="373"/>
        <v>-7.3921193050588307E-2</v>
      </c>
      <c r="AN1058" s="26">
        <f t="shared" si="374"/>
        <v>-25.066666666666677</v>
      </c>
      <c r="AO1058" s="26">
        <f t="shared" si="375"/>
        <v>-26.682689832689817</v>
      </c>
      <c r="AP1058" s="26">
        <f t="shared" si="376"/>
        <v>-31.613830808459582</v>
      </c>
      <c r="AS1058" s="2">
        <v>44422</v>
      </c>
      <c r="AT1058">
        <v>21.2</v>
      </c>
      <c r="AU1058">
        <v>493.2</v>
      </c>
      <c r="AV1058">
        <v>67.099999999999994</v>
      </c>
      <c r="AW1058">
        <v>4.5</v>
      </c>
      <c r="AX1058">
        <v>259.26</v>
      </c>
      <c r="AY1058">
        <v>0.2</v>
      </c>
      <c r="AZ1058">
        <v>3</v>
      </c>
      <c r="BA1058">
        <v>223.5574</v>
      </c>
      <c r="BB1058">
        <v>15.891400000000001</v>
      </c>
      <c r="BC1058">
        <v>24.366</v>
      </c>
      <c r="BD1058">
        <v>3.8079999999999998</v>
      </c>
      <c r="BE1058">
        <v>21.774799999999999</v>
      </c>
      <c r="BH1058">
        <v>61.71</v>
      </c>
    </row>
    <row r="1059" spans="1:60" x14ac:dyDescent="0.25">
      <c r="A1059" s="2">
        <v>44442</v>
      </c>
      <c r="B1059">
        <v>20.2</v>
      </c>
      <c r="C1059">
        <v>3.8</v>
      </c>
      <c r="D1059">
        <v>17.2</v>
      </c>
      <c r="E1059">
        <v>2.2999999999999998</v>
      </c>
      <c r="F1059">
        <v>250.34</v>
      </c>
      <c r="G1059">
        <v>0.1</v>
      </c>
      <c r="H1059">
        <v>3.8</v>
      </c>
      <c r="I1059">
        <v>274.63350000000003</v>
      </c>
      <c r="J1059">
        <v>178.8827</v>
      </c>
      <c r="K1059">
        <v>64.521100000000004</v>
      </c>
      <c r="L1059">
        <v>3.6248</v>
      </c>
      <c r="M1059">
        <v>25.924199999999999</v>
      </c>
      <c r="N1059">
        <v>-22.004899999999999</v>
      </c>
      <c r="O1059">
        <v>-1.3115000000000001</v>
      </c>
      <c r="P1059">
        <v>68.28</v>
      </c>
      <c r="S1059">
        <f t="shared" si="355"/>
        <v>845.32630000000029</v>
      </c>
      <c r="T1059">
        <f t="shared" si="356"/>
        <v>1.8936792829142783E-2</v>
      </c>
      <c r="U1059">
        <f t="shared" si="357"/>
        <v>3.5623669678585433E-3</v>
      </c>
      <c r="V1059">
        <f t="shared" si="358"/>
        <v>1.6124397854517615E-2</v>
      </c>
      <c r="W1059">
        <f t="shared" si="359"/>
        <v>2.1561694805459601E-3</v>
      </c>
      <c r="X1059">
        <f t="shared" si="360"/>
        <v>0.23468498598255466</v>
      </c>
      <c r="Y1059">
        <f t="shared" si="361"/>
        <v>9.3746499154172199E-5</v>
      </c>
      <c r="Z1059">
        <f t="shared" si="362"/>
        <v>3.5623669678585433E-3</v>
      </c>
      <c r="AA1059">
        <f t="shared" si="363"/>
        <v>0.25745929175457349</v>
      </c>
      <c r="AB1059">
        <f t="shared" si="364"/>
        <v>0.16769626884246039</v>
      </c>
      <c r="AC1059">
        <f t="shared" si="365"/>
        <v>6.0486272465762596E-2</v>
      </c>
      <c r="AD1059">
        <f t="shared" si="366"/>
        <v>3.3981231013404337E-3</v>
      </c>
      <c r="AE1059">
        <f t="shared" si="367"/>
        <v>2.4303029933725906E-2</v>
      </c>
      <c r="AG1059">
        <f t="shared" si="368"/>
        <v>0.38880192008535952</v>
      </c>
      <c r="AH1059">
        <f t="shared" si="369"/>
        <v>0.30342385651535819</v>
      </c>
      <c r="AI1059">
        <f t="shared" si="370"/>
        <v>0.48324923980996431</v>
      </c>
      <c r="AK1059" s="26">
        <f t="shared" si="371"/>
        <v>-4.8638181435769146E-2</v>
      </c>
      <c r="AL1059" s="26">
        <f t="shared" si="372"/>
        <v>-7.5596557043113743E-2</v>
      </c>
      <c r="AM1059" s="26">
        <f t="shared" si="373"/>
        <v>-7.4128615828515043E-2</v>
      </c>
      <c r="AN1059" s="26">
        <f t="shared" si="374"/>
        <v>-25.184761904761913</v>
      </c>
      <c r="AO1059" s="26">
        <f t="shared" si="375"/>
        <v>-26.77162162162162</v>
      </c>
      <c r="AP1059" s="26">
        <f t="shared" si="376"/>
        <v>-31.730603881737728</v>
      </c>
      <c r="AS1059" s="2">
        <v>44421</v>
      </c>
      <c r="BF1059">
        <v>-18.411100000000001</v>
      </c>
      <c r="BG1059">
        <v>-7.3579999999999997</v>
      </c>
      <c r="BH1059">
        <v>61.37</v>
      </c>
    </row>
    <row r="1060" spans="1:60" x14ac:dyDescent="0.25">
      <c r="A1060" s="2">
        <v>44441</v>
      </c>
      <c r="B1060">
        <v>20.100000000000001</v>
      </c>
      <c r="C1060">
        <v>10.199999999999999</v>
      </c>
      <c r="D1060">
        <v>3.2</v>
      </c>
      <c r="E1060">
        <v>1.4</v>
      </c>
      <c r="F1060">
        <v>229.16</v>
      </c>
      <c r="G1060">
        <v>0.1</v>
      </c>
      <c r="H1060">
        <v>3.6</v>
      </c>
      <c r="I1060">
        <v>279.89550000000003</v>
      </c>
      <c r="J1060">
        <v>192.87299999999999</v>
      </c>
      <c r="K1060">
        <v>78.750900000000001</v>
      </c>
      <c r="L1060">
        <v>3.6806000000000001</v>
      </c>
      <c r="M1060">
        <v>26.668199999999999</v>
      </c>
      <c r="N1060">
        <v>-27.255400000000002</v>
      </c>
      <c r="O1060">
        <v>-4.1942000000000004</v>
      </c>
      <c r="P1060">
        <v>68.05</v>
      </c>
      <c r="S1060">
        <f t="shared" si="355"/>
        <v>849.62820000000011</v>
      </c>
      <c r="T1060">
        <f t="shared" si="356"/>
        <v>1.8843046329988612E-2</v>
      </c>
      <c r="U1060">
        <f t="shared" si="357"/>
        <v>9.5621429137255631E-3</v>
      </c>
      <c r="V1060">
        <f t="shared" si="358"/>
        <v>2.9998879729335104E-3</v>
      </c>
      <c r="W1060">
        <f t="shared" si="359"/>
        <v>1.3124509881584105E-3</v>
      </c>
      <c r="X1060">
        <f t="shared" si="360"/>
        <v>0.214829477461701</v>
      </c>
      <c r="Y1060">
        <f t="shared" si="361"/>
        <v>9.3746499154172199E-5</v>
      </c>
      <c r="Z1060">
        <f t="shared" si="362"/>
        <v>3.3748739695501988E-3</v>
      </c>
      <c r="AA1060">
        <f t="shared" si="363"/>
        <v>0.26239223254006605</v>
      </c>
      <c r="AB1060">
        <f t="shared" si="364"/>
        <v>0.18081168531362651</v>
      </c>
      <c r="AC1060">
        <f t="shared" si="365"/>
        <v>7.3826211802402994E-2</v>
      </c>
      <c r="AD1060">
        <f t="shared" si="366"/>
        <v>3.4504336478684617E-3</v>
      </c>
      <c r="AE1060">
        <f t="shared" si="367"/>
        <v>2.5000503887432947E-2</v>
      </c>
      <c r="AG1060">
        <f t="shared" si="368"/>
        <v>0.37493801653155262</v>
      </c>
      <c r="AH1060">
        <f t="shared" si="369"/>
        <v>0.27601613002264441</v>
      </c>
      <c r="AI1060">
        <f t="shared" si="370"/>
        <v>0.26279809779062158</v>
      </c>
      <c r="AK1060" s="26">
        <f t="shared" si="371"/>
        <v>-6.8420922584743693E-2</v>
      </c>
      <c r="AL1060" s="26">
        <f t="shared" si="372"/>
        <v>-8.1928551472233602E-2</v>
      </c>
      <c r="AM1060" s="26">
        <f t="shared" si="373"/>
        <v>-7.6224301881455736E-2</v>
      </c>
      <c r="AN1060" s="26">
        <f t="shared" si="374"/>
        <v>-25.300476190476232</v>
      </c>
      <c r="AO1060" s="26">
        <f t="shared" si="375"/>
        <v>-26.861708494208493</v>
      </c>
      <c r="AP1060" s="26">
        <f t="shared" si="376"/>
        <v>-31.846147155499359</v>
      </c>
      <c r="AS1060" s="2">
        <v>44420</v>
      </c>
      <c r="AT1060">
        <v>18.7</v>
      </c>
      <c r="AU1060">
        <v>65.3</v>
      </c>
      <c r="AV1060">
        <v>9.6</v>
      </c>
      <c r="AW1060">
        <v>0.7</v>
      </c>
      <c r="AX1060">
        <v>142.91999999999999</v>
      </c>
      <c r="AY1060">
        <v>0.2</v>
      </c>
      <c r="AZ1060">
        <v>3.6</v>
      </c>
      <c r="BA1060">
        <v>292.95350000000002</v>
      </c>
      <c r="BB1060">
        <v>83.363200000000006</v>
      </c>
      <c r="BC1060">
        <v>61.520800000000001</v>
      </c>
      <c r="BD1060">
        <v>3.7277999999999998</v>
      </c>
      <c r="BE1060">
        <v>11.093999999999999</v>
      </c>
      <c r="BF1060">
        <v>-19.807400000000001</v>
      </c>
      <c r="BG1060">
        <v>-6.5115999999999996</v>
      </c>
      <c r="BH1060">
        <v>61.03</v>
      </c>
    </row>
    <row r="1061" spans="1:60" x14ac:dyDescent="0.25">
      <c r="A1061" s="2">
        <v>44440</v>
      </c>
      <c r="B1061">
        <v>19.8</v>
      </c>
      <c r="C1061">
        <v>19.100000000000001</v>
      </c>
      <c r="D1061">
        <v>8.5</v>
      </c>
      <c r="E1061">
        <v>2.2000000000000002</v>
      </c>
      <c r="F1061">
        <v>203.33</v>
      </c>
      <c r="G1061">
        <v>0.1</v>
      </c>
      <c r="H1061">
        <v>3.4</v>
      </c>
      <c r="I1061">
        <v>279.03070000000002</v>
      </c>
      <c r="J1061">
        <v>189.8201</v>
      </c>
      <c r="K1061">
        <v>78.646199999999993</v>
      </c>
      <c r="L1061">
        <v>3.54</v>
      </c>
      <c r="M1061">
        <v>22.928799999999999</v>
      </c>
      <c r="N1061">
        <v>-23.419599999999999</v>
      </c>
      <c r="O1061">
        <v>-2.8159999999999998</v>
      </c>
      <c r="P1061">
        <v>67.84</v>
      </c>
      <c r="S1061">
        <f t="shared" si="355"/>
        <v>830.39580000000012</v>
      </c>
      <c r="T1061">
        <f t="shared" si="356"/>
        <v>1.8561806832526093E-2</v>
      </c>
      <c r="U1061">
        <f t="shared" si="357"/>
        <v>1.7905581338446889E-2</v>
      </c>
      <c r="V1061">
        <f t="shared" si="358"/>
        <v>7.9684524281046359E-3</v>
      </c>
      <c r="W1061">
        <f t="shared" si="359"/>
        <v>2.0624229813917885E-3</v>
      </c>
      <c r="X1061">
        <f t="shared" si="360"/>
        <v>0.19061475673017833</v>
      </c>
      <c r="Y1061">
        <f t="shared" si="361"/>
        <v>9.3746499154172199E-5</v>
      </c>
      <c r="Z1061">
        <f t="shared" si="362"/>
        <v>3.1873809712418544E-3</v>
      </c>
      <c r="AA1061">
        <f t="shared" si="363"/>
        <v>0.26158151281538078</v>
      </c>
      <c r="AB1061">
        <f t="shared" si="364"/>
        <v>0.17794969844094879</v>
      </c>
      <c r="AC1061">
        <f t="shared" si="365"/>
        <v>7.3728059217788564E-2</v>
      </c>
      <c r="AD1061">
        <f t="shared" si="366"/>
        <v>3.3186260700576956E-3</v>
      </c>
      <c r="AE1061">
        <f t="shared" si="367"/>
        <v>2.1494947298061833E-2</v>
      </c>
      <c r="AG1061">
        <f t="shared" si="368"/>
        <v>0.3620081974640848</v>
      </c>
      <c r="AH1061">
        <f t="shared" si="369"/>
        <v>0.26188909507910557</v>
      </c>
      <c r="AI1061">
        <f t="shared" si="370"/>
        <v>0.14990881176255932</v>
      </c>
      <c r="AK1061" s="26">
        <f t="shared" si="371"/>
        <v>-8.5214328938117923E-2</v>
      </c>
      <c r="AL1061" s="26">
        <f t="shared" si="372"/>
        <v>-8.8943467998393644E-2</v>
      </c>
      <c r="AM1061" s="26">
        <f t="shared" si="373"/>
        <v>-7.8746732101263262E-2</v>
      </c>
      <c r="AN1061" s="26">
        <f t="shared" si="374"/>
        <v>-25.421428571428592</v>
      </c>
      <c r="AO1061" s="26">
        <f t="shared" si="375"/>
        <v>-26.953407335907322</v>
      </c>
      <c r="AP1061" s="26">
        <f t="shared" si="376"/>
        <v>-31.961802970196295</v>
      </c>
      <c r="AS1061" s="2">
        <v>44419</v>
      </c>
      <c r="AT1061">
        <v>20.2</v>
      </c>
      <c r="AU1061">
        <v>149.5</v>
      </c>
      <c r="AV1061">
        <v>8.5</v>
      </c>
      <c r="AW1061">
        <v>1</v>
      </c>
      <c r="AX1061">
        <v>239.59</v>
      </c>
      <c r="AY1061">
        <v>0.1</v>
      </c>
      <c r="AZ1061">
        <v>3.6</v>
      </c>
      <c r="BA1061">
        <v>292.60289999999998</v>
      </c>
      <c r="BB1061">
        <v>85.980699999999999</v>
      </c>
      <c r="BC1061">
        <v>52.621400000000001</v>
      </c>
      <c r="BD1061">
        <v>3.6848999999999998</v>
      </c>
      <c r="BE1061">
        <v>24.9087</v>
      </c>
      <c r="BF1061">
        <v>-18.956499999999998</v>
      </c>
      <c r="BG1061">
        <v>-5.5068000000000001</v>
      </c>
      <c r="BH1061">
        <v>60.73</v>
      </c>
    </row>
    <row r="1062" spans="1:60" x14ac:dyDescent="0.25">
      <c r="A1062" s="2">
        <v>44439</v>
      </c>
      <c r="B1062">
        <v>19.2</v>
      </c>
      <c r="C1062">
        <v>38.5</v>
      </c>
      <c r="D1062">
        <v>27.7</v>
      </c>
      <c r="E1062">
        <v>3.9</v>
      </c>
      <c r="F1062">
        <v>151.91</v>
      </c>
      <c r="G1062">
        <v>0.2</v>
      </c>
      <c r="H1062">
        <v>3.2</v>
      </c>
      <c r="I1062">
        <v>274.5301</v>
      </c>
      <c r="J1062">
        <v>185.05959999999999</v>
      </c>
      <c r="K1062">
        <v>69.564700000000002</v>
      </c>
      <c r="L1062">
        <v>3.2757000000000001</v>
      </c>
      <c r="M1062">
        <v>20.827300000000001</v>
      </c>
      <c r="N1062">
        <v>-25.863600000000002</v>
      </c>
      <c r="O1062">
        <v>-7.0330000000000004</v>
      </c>
      <c r="P1062">
        <v>67.41</v>
      </c>
      <c r="S1062">
        <f t="shared" si="355"/>
        <v>797.86739999999998</v>
      </c>
      <c r="T1062">
        <f t="shared" si="356"/>
        <v>1.799932783760106E-2</v>
      </c>
      <c r="U1062">
        <f t="shared" si="357"/>
        <v>3.6092402174356296E-2</v>
      </c>
      <c r="V1062">
        <f t="shared" si="358"/>
        <v>2.5967780265705696E-2</v>
      </c>
      <c r="W1062">
        <f t="shared" si="359"/>
        <v>3.6561134670127153E-3</v>
      </c>
      <c r="X1062">
        <f t="shared" si="360"/>
        <v>0.14241030686510298</v>
      </c>
      <c r="Y1062">
        <f t="shared" si="361"/>
        <v>1.874929983083444E-4</v>
      </c>
      <c r="Z1062">
        <f t="shared" si="362"/>
        <v>2.9998879729335104E-3</v>
      </c>
      <c r="AA1062">
        <f t="shared" si="363"/>
        <v>0.25736235787444806</v>
      </c>
      <c r="AB1062">
        <f t="shared" si="364"/>
        <v>0.17348689634871442</v>
      </c>
      <c r="AC1062">
        <f t="shared" si="365"/>
        <v>6.5214470897102431E-2</v>
      </c>
      <c r="AD1062">
        <f t="shared" si="366"/>
        <v>3.0708540727932185E-3</v>
      </c>
      <c r="AE1062">
        <f t="shared" si="367"/>
        <v>1.9524864618336905E-2</v>
      </c>
      <c r="AG1062">
        <f t="shared" si="368"/>
        <v>0.33891350467667647</v>
      </c>
      <c r="AH1062">
        <f t="shared" si="369"/>
        <v>0.24883817619935752</v>
      </c>
      <c r="AI1062">
        <f t="shared" si="370"/>
        <v>4.6573010716255379E-2</v>
      </c>
      <c r="AK1062" s="26">
        <f t="shared" si="371"/>
        <v>-8.7567147325056327E-2</v>
      </c>
      <c r="AL1062" s="26">
        <f t="shared" si="372"/>
        <v>-9.4075419143152816E-2</v>
      </c>
      <c r="AM1062" s="26">
        <f t="shared" si="373"/>
        <v>-8.0033548048177083E-2</v>
      </c>
      <c r="AN1062" s="26">
        <f t="shared" si="374"/>
        <v>-25.540238095238109</v>
      </c>
      <c r="AO1062" s="26">
        <f t="shared" si="375"/>
        <v>-27.043843307593278</v>
      </c>
      <c r="AP1062" s="26">
        <f t="shared" si="376"/>
        <v>-32.075012532610323</v>
      </c>
      <c r="AS1062" s="2">
        <v>44418</v>
      </c>
      <c r="AT1062">
        <v>21.2</v>
      </c>
      <c r="AU1062">
        <v>300</v>
      </c>
      <c r="AV1062">
        <v>20</v>
      </c>
      <c r="AW1062">
        <v>3.5</v>
      </c>
      <c r="AX1062">
        <v>206.9</v>
      </c>
      <c r="AY1062">
        <v>0</v>
      </c>
      <c r="AZ1062">
        <v>3.4</v>
      </c>
      <c r="BA1062">
        <v>269.24310000000003</v>
      </c>
      <c r="BB1062">
        <v>63.866300000000003</v>
      </c>
      <c r="BC1062">
        <v>32.911299999999997</v>
      </c>
      <c r="BD1062">
        <v>3.7168999999999999</v>
      </c>
      <c r="BE1062">
        <v>27.403700000000001</v>
      </c>
      <c r="BF1062">
        <v>-19.9605</v>
      </c>
      <c r="BG1062">
        <v>-8.0726999999999993</v>
      </c>
      <c r="BH1062">
        <v>60.45</v>
      </c>
    </row>
    <row r="1063" spans="1:60" x14ac:dyDescent="0.25">
      <c r="A1063" s="2">
        <v>44438</v>
      </c>
      <c r="B1063">
        <v>20.100000000000001</v>
      </c>
      <c r="C1063">
        <v>48.1</v>
      </c>
      <c r="D1063">
        <v>28.1</v>
      </c>
      <c r="E1063">
        <v>4.7</v>
      </c>
      <c r="F1063">
        <v>110.66</v>
      </c>
      <c r="G1063">
        <v>0.2</v>
      </c>
      <c r="H1063">
        <v>2.9</v>
      </c>
      <c r="I1063">
        <v>284.1542</v>
      </c>
      <c r="J1063">
        <v>137.55770000000001</v>
      </c>
      <c r="K1063">
        <v>51.735500000000002</v>
      </c>
      <c r="L1063">
        <v>3.6711999999999998</v>
      </c>
      <c r="M1063">
        <v>27.698799999999999</v>
      </c>
      <c r="N1063">
        <v>-27.545200000000001</v>
      </c>
      <c r="O1063">
        <v>-4.7743000000000002</v>
      </c>
      <c r="P1063">
        <v>67.23</v>
      </c>
      <c r="S1063">
        <f t="shared" si="355"/>
        <v>719.57740000000001</v>
      </c>
      <c r="T1063">
        <f t="shared" si="356"/>
        <v>1.8843046329988612E-2</v>
      </c>
      <c r="U1063">
        <f t="shared" si="357"/>
        <v>4.5092066093156823E-2</v>
      </c>
      <c r="V1063">
        <f t="shared" si="358"/>
        <v>2.6342766262322386E-2</v>
      </c>
      <c r="W1063">
        <f t="shared" si="359"/>
        <v>4.4060854602460935E-3</v>
      </c>
      <c r="X1063">
        <f t="shared" si="360"/>
        <v>0.10373987596400694</v>
      </c>
      <c r="Y1063">
        <f t="shared" si="361"/>
        <v>1.874929983083444E-4</v>
      </c>
      <c r="Z1063">
        <f t="shared" si="362"/>
        <v>2.7186484754709935E-3</v>
      </c>
      <c r="AA1063">
        <f t="shared" si="363"/>
        <v>0.26638461469954478</v>
      </c>
      <c r="AB1063">
        <f t="shared" si="364"/>
        <v>0.12895552806699873</v>
      </c>
      <c r="AC1063">
        <f t="shared" si="365"/>
        <v>4.8500220069906758E-2</v>
      </c>
      <c r="AD1063">
        <f t="shared" si="366"/>
        <v>3.4416214769479691E-3</v>
      </c>
      <c r="AE1063">
        <f t="shared" si="367"/>
        <v>2.5966655307715844E-2</v>
      </c>
      <c r="AG1063">
        <f t="shared" si="368"/>
        <v>0.3273634142960648</v>
      </c>
      <c r="AH1063">
        <f t="shared" si="369"/>
        <v>0.22729663689121604</v>
      </c>
      <c r="AI1063">
        <f t="shared" si="370"/>
        <v>-0.12867606592479938</v>
      </c>
      <c r="AK1063" s="26">
        <f t="shared" si="371"/>
        <v>-8.542397066288121E-2</v>
      </c>
      <c r="AL1063" s="26">
        <f t="shared" si="372"/>
        <v>-0.10081062943312918</v>
      </c>
      <c r="AM1063" s="26">
        <f t="shared" si="373"/>
        <v>-8.1189509074406252E-2</v>
      </c>
      <c r="AN1063" s="26">
        <f t="shared" si="374"/>
        <v>-25.646428571428586</v>
      </c>
      <c r="AO1063" s="26">
        <f t="shared" si="375"/>
        <v>-27.129086229086234</v>
      </c>
      <c r="AP1063" s="26">
        <f t="shared" si="376"/>
        <v>-32.18433165260339</v>
      </c>
      <c r="AS1063" s="2">
        <v>44417</v>
      </c>
      <c r="AT1063">
        <v>20.6</v>
      </c>
      <c r="AU1063">
        <v>135.1</v>
      </c>
      <c r="AV1063">
        <v>55.3</v>
      </c>
      <c r="AW1063">
        <v>6.3</v>
      </c>
      <c r="AX1063">
        <v>219.43</v>
      </c>
      <c r="AY1063">
        <v>0</v>
      </c>
      <c r="AZ1063">
        <v>3.1</v>
      </c>
      <c r="BA1063">
        <v>208.21530000000001</v>
      </c>
      <c r="BB1063">
        <v>23.451899999999998</v>
      </c>
      <c r="BC1063">
        <v>32.088500000000003</v>
      </c>
      <c r="BD1063">
        <v>3.7961999999999998</v>
      </c>
      <c r="BE1063">
        <v>26.7927</v>
      </c>
      <c r="BF1063">
        <v>-16.602399999999999</v>
      </c>
      <c r="BG1063">
        <v>-7.6315999999999997</v>
      </c>
      <c r="BH1063">
        <v>60.12</v>
      </c>
    </row>
    <row r="1064" spans="1:60" x14ac:dyDescent="0.25">
      <c r="A1064" s="2">
        <v>44437</v>
      </c>
      <c r="B1064">
        <v>20.100000000000001</v>
      </c>
      <c r="C1064">
        <v>254.1</v>
      </c>
      <c r="D1064">
        <v>56.8</v>
      </c>
      <c r="E1064">
        <v>3.9</v>
      </c>
      <c r="F1064">
        <v>77.28</v>
      </c>
      <c r="G1064">
        <v>0.2</v>
      </c>
      <c r="H1064">
        <v>2.9</v>
      </c>
      <c r="I1064">
        <v>258.45549999999997</v>
      </c>
      <c r="J1064">
        <v>53.212899999999998</v>
      </c>
      <c r="K1064">
        <v>26.075299999999999</v>
      </c>
      <c r="L1064">
        <v>3.5903</v>
      </c>
      <c r="M1064">
        <v>10.486700000000001</v>
      </c>
      <c r="P1064">
        <v>66.91</v>
      </c>
      <c r="S1064">
        <f t="shared" si="355"/>
        <v>767.10069999999985</v>
      </c>
      <c r="T1064">
        <f t="shared" si="356"/>
        <v>1.8843046329988612E-2</v>
      </c>
      <c r="U1064">
        <f t="shared" si="357"/>
        <v>0.23820985435075154</v>
      </c>
      <c r="V1064">
        <f t="shared" si="358"/>
        <v>5.3248011519569802E-2</v>
      </c>
      <c r="W1064">
        <f t="shared" si="359"/>
        <v>3.6561134670127153E-3</v>
      </c>
      <c r="X1064">
        <f t="shared" si="360"/>
        <v>7.2447294546344271E-2</v>
      </c>
      <c r="Y1064">
        <f t="shared" si="361"/>
        <v>1.874929983083444E-4</v>
      </c>
      <c r="Z1064">
        <f t="shared" si="362"/>
        <v>2.7186484754709935E-3</v>
      </c>
      <c r="AA1064">
        <f t="shared" si="363"/>
        <v>0.24229298312141148</v>
      </c>
      <c r="AB1064">
        <f t="shared" si="364"/>
        <v>4.988523084841049E-2</v>
      </c>
      <c r="AC1064">
        <f t="shared" si="365"/>
        <v>2.444468089394786E-2</v>
      </c>
      <c r="AD1064">
        <f t="shared" si="366"/>
        <v>3.3657805591322441E-3</v>
      </c>
      <c r="AE1064">
        <f t="shared" si="367"/>
        <v>9.8309141268005766E-3</v>
      </c>
      <c r="AG1064">
        <f t="shared" si="368"/>
        <v>0.30929750443611026</v>
      </c>
      <c r="AH1064">
        <f t="shared" si="369"/>
        <v>0.39914137581424691</v>
      </c>
      <c r="AI1064">
        <f t="shared" si="370"/>
        <v>1.2516493127323431</v>
      </c>
      <c r="AK1064" s="26">
        <f t="shared" si="371"/>
        <v>-8.2525121327500395E-2</v>
      </c>
      <c r="AL1064" s="26">
        <f t="shared" si="372"/>
        <v>-0.10728431281587292</v>
      </c>
      <c r="AM1064" s="26">
        <f t="shared" si="373"/>
        <v>-8.1830184939429562E-2</v>
      </c>
      <c r="AN1064" s="26">
        <f t="shared" si="374"/>
        <v>-25.751666666666708</v>
      </c>
      <c r="AO1064" s="26">
        <f t="shared" si="375"/>
        <v>-27.211792149292137</v>
      </c>
      <c r="AP1064" s="26">
        <f t="shared" si="376"/>
        <v>-32.292103193085929</v>
      </c>
      <c r="AS1064" s="2">
        <v>44416</v>
      </c>
      <c r="AT1064">
        <v>18.899999999999999</v>
      </c>
      <c r="AU1064">
        <v>186.7</v>
      </c>
      <c r="AV1064">
        <v>41.5</v>
      </c>
      <c r="AW1064">
        <v>6.4</v>
      </c>
      <c r="AX1064">
        <v>184.14</v>
      </c>
      <c r="AY1064">
        <v>0</v>
      </c>
      <c r="AZ1064">
        <v>3.1</v>
      </c>
      <c r="BA1064">
        <v>104.69670000000001</v>
      </c>
      <c r="BB1064">
        <v>12.3307</v>
      </c>
      <c r="BC1064">
        <v>21.181100000000001</v>
      </c>
      <c r="BD1064">
        <v>3.8267000000000002</v>
      </c>
      <c r="BE1064">
        <v>14.951700000000001</v>
      </c>
      <c r="BH1064">
        <v>59.81</v>
      </c>
    </row>
    <row r="1065" spans="1:60" x14ac:dyDescent="0.25">
      <c r="A1065" s="2">
        <v>44436</v>
      </c>
      <c r="B1065">
        <v>20.2</v>
      </c>
      <c r="C1065">
        <v>46</v>
      </c>
      <c r="D1065">
        <v>75.8</v>
      </c>
      <c r="E1065">
        <v>3.8</v>
      </c>
      <c r="F1065">
        <v>120.63</v>
      </c>
      <c r="G1065">
        <v>0.2</v>
      </c>
      <c r="H1065">
        <v>2.9</v>
      </c>
      <c r="I1065">
        <v>242.09829999999999</v>
      </c>
      <c r="J1065">
        <v>49.700099999999999</v>
      </c>
      <c r="K1065">
        <v>27.447399999999998</v>
      </c>
      <c r="L1065">
        <v>3.6221999999999999</v>
      </c>
      <c r="M1065">
        <v>15.874599999999999</v>
      </c>
      <c r="P1065">
        <v>66.52</v>
      </c>
      <c r="S1065">
        <f t="shared" si="355"/>
        <v>608.27260000000001</v>
      </c>
      <c r="T1065">
        <f t="shared" si="356"/>
        <v>1.8936792829142783E-2</v>
      </c>
      <c r="U1065">
        <f t="shared" si="357"/>
        <v>4.3123389610919209E-2</v>
      </c>
      <c r="V1065">
        <f t="shared" si="358"/>
        <v>7.1059846358862519E-2</v>
      </c>
      <c r="W1065">
        <f t="shared" si="359"/>
        <v>3.5623669678585433E-3</v>
      </c>
      <c r="X1065">
        <f t="shared" si="360"/>
        <v>0.11308640192967791</v>
      </c>
      <c r="Y1065">
        <f t="shared" si="361"/>
        <v>1.874929983083444E-4</v>
      </c>
      <c r="Z1065">
        <f t="shared" si="362"/>
        <v>2.7186484754709935E-3</v>
      </c>
      <c r="AA1065">
        <f t="shared" si="363"/>
        <v>0.22695868076176526</v>
      </c>
      <c r="AB1065">
        <f t="shared" si="364"/>
        <v>4.6592103826122735E-2</v>
      </c>
      <c r="AC1065">
        <f t="shared" si="365"/>
        <v>2.5730976608842257E-2</v>
      </c>
      <c r="AD1065">
        <f t="shared" si="366"/>
        <v>3.3956856923624251E-3</v>
      </c>
      <c r="AE1065">
        <f t="shared" si="367"/>
        <v>1.4881881754728217E-2</v>
      </c>
      <c r="AG1065">
        <f t="shared" si="368"/>
        <v>0.28799703133105709</v>
      </c>
      <c r="AH1065">
        <f t="shared" si="369"/>
        <v>0.26755682092496852</v>
      </c>
      <c r="AI1065">
        <f t="shared" si="370"/>
        <v>0.20118117691732437</v>
      </c>
      <c r="AK1065" s="26">
        <f t="shared" si="371"/>
        <v>-9.4214963802802587E-2</v>
      </c>
      <c r="AL1065" s="26">
        <f t="shared" si="372"/>
        <v>-0.11428100847348099</v>
      </c>
      <c r="AM1065" s="26">
        <f t="shared" si="373"/>
        <v>-8.2311226800387327E-2</v>
      </c>
      <c r="AN1065" s="26">
        <f t="shared" si="374"/>
        <v>-25.848571428571461</v>
      </c>
      <c r="AO1065" s="26">
        <f t="shared" si="375"/>
        <v>-27.291156692406673</v>
      </c>
      <c r="AP1065" s="26">
        <f t="shared" si="376"/>
        <v>-32.397855804268573</v>
      </c>
      <c r="AS1065" s="2">
        <v>44415</v>
      </c>
      <c r="AT1065">
        <v>22</v>
      </c>
      <c r="AU1065">
        <v>142.1</v>
      </c>
      <c r="AV1065">
        <v>32</v>
      </c>
      <c r="AW1065">
        <v>3.9</v>
      </c>
      <c r="AX1065">
        <v>171.54</v>
      </c>
      <c r="AY1065">
        <v>0</v>
      </c>
      <c r="AZ1065">
        <v>3.5</v>
      </c>
      <c r="BA1065">
        <v>187.6902</v>
      </c>
      <c r="BB1065">
        <v>13.423999999999999</v>
      </c>
      <c r="BC1065">
        <v>27.391100000000002</v>
      </c>
      <c r="BD1065">
        <v>3.8403</v>
      </c>
      <c r="BE1065">
        <v>22.329599999999999</v>
      </c>
      <c r="BH1065">
        <v>59.43</v>
      </c>
    </row>
    <row r="1066" spans="1:60" x14ac:dyDescent="0.25">
      <c r="A1066" s="2">
        <v>44435</v>
      </c>
      <c r="B1066">
        <v>20.6</v>
      </c>
      <c r="C1066">
        <v>13.5</v>
      </c>
      <c r="D1066">
        <v>76.3</v>
      </c>
      <c r="E1066">
        <v>5.9</v>
      </c>
      <c r="F1066">
        <v>132.27000000000001</v>
      </c>
      <c r="G1066">
        <v>0.2</v>
      </c>
      <c r="H1066">
        <v>3</v>
      </c>
      <c r="I1066">
        <v>267.38900000000001</v>
      </c>
      <c r="J1066">
        <v>107.0586</v>
      </c>
      <c r="K1066">
        <v>54.148499999999999</v>
      </c>
      <c r="L1066">
        <v>3.6223999999999998</v>
      </c>
      <c r="M1066">
        <v>23.595500000000001</v>
      </c>
      <c r="N1066">
        <v>-20.274999999999999</v>
      </c>
      <c r="O1066">
        <v>-3.3403</v>
      </c>
      <c r="P1066">
        <v>66.14</v>
      </c>
      <c r="S1066">
        <f t="shared" si="355"/>
        <v>707.58399999999995</v>
      </c>
      <c r="T1066">
        <f t="shared" si="356"/>
        <v>1.9311778825759473E-2</v>
      </c>
      <c r="U1066">
        <f t="shared" si="357"/>
        <v>1.2655777385813246E-2</v>
      </c>
      <c r="V1066">
        <f t="shared" si="358"/>
        <v>7.1528578854633373E-2</v>
      </c>
      <c r="W1066">
        <f t="shared" si="359"/>
        <v>5.5310434500961594E-3</v>
      </c>
      <c r="X1066">
        <f t="shared" si="360"/>
        <v>0.12399849443122357</v>
      </c>
      <c r="Y1066">
        <f t="shared" si="361"/>
        <v>1.874929983083444E-4</v>
      </c>
      <c r="Z1066">
        <f t="shared" si="362"/>
        <v>2.8123949746251659E-3</v>
      </c>
      <c r="AA1066">
        <f t="shared" si="363"/>
        <v>0.25066782662334947</v>
      </c>
      <c r="AB1066">
        <f t="shared" si="364"/>
        <v>0.10036368954346858</v>
      </c>
      <c r="AC1066">
        <f t="shared" si="365"/>
        <v>5.0762323094496929E-2</v>
      </c>
      <c r="AD1066">
        <f t="shared" si="366"/>
        <v>3.3958731853607335E-3</v>
      </c>
      <c r="AE1066">
        <f t="shared" si="367"/>
        <v>2.21199552079227E-2</v>
      </c>
      <c r="AG1066">
        <f t="shared" si="368"/>
        <v>0.26715260760206427</v>
      </c>
      <c r="AH1066">
        <f t="shared" si="369"/>
        <v>0.25814551612838199</v>
      </c>
      <c r="AI1066">
        <f t="shared" si="370"/>
        <v>0.12626662264897218</v>
      </c>
      <c r="AK1066" s="26">
        <f t="shared" si="371"/>
        <v>-9.6176082531560736E-2</v>
      </c>
      <c r="AL1066" s="26">
        <f t="shared" si="372"/>
        <v>-0.11396226349541755</v>
      </c>
      <c r="AM1066" s="26">
        <f t="shared" si="373"/>
        <v>-8.2407064744113578E-2</v>
      </c>
      <c r="AN1066" s="26">
        <f t="shared" si="374"/>
        <v>-25.925952380952396</v>
      </c>
      <c r="AO1066" s="26">
        <f t="shared" si="375"/>
        <v>-27.366549227799204</v>
      </c>
      <c r="AP1066" s="26">
        <f t="shared" si="376"/>
        <v>-32.498704508561516</v>
      </c>
      <c r="AS1066" s="2">
        <v>44414</v>
      </c>
      <c r="AT1066">
        <v>20.2</v>
      </c>
      <c r="AU1066">
        <v>142.9</v>
      </c>
      <c r="AV1066">
        <v>43.6</v>
      </c>
      <c r="AW1066">
        <v>5</v>
      </c>
      <c r="AX1066">
        <v>189.86</v>
      </c>
      <c r="AY1066">
        <v>0</v>
      </c>
      <c r="AZ1066">
        <v>3.3</v>
      </c>
      <c r="BA1066">
        <v>240.65889999999999</v>
      </c>
      <c r="BB1066">
        <v>27.2928</v>
      </c>
      <c r="BC1066">
        <v>33.309899999999999</v>
      </c>
      <c r="BD1066">
        <v>3.8233000000000001</v>
      </c>
      <c r="BE1066">
        <v>23.1374</v>
      </c>
      <c r="BF1066">
        <v>-17.501799999999999</v>
      </c>
      <c r="BG1066">
        <v>-6.7390999999999996</v>
      </c>
      <c r="BH1066">
        <v>59.04</v>
      </c>
    </row>
    <row r="1067" spans="1:60" x14ac:dyDescent="0.25">
      <c r="A1067" s="2">
        <v>44434</v>
      </c>
      <c r="B1067">
        <v>20.399999999999999</v>
      </c>
      <c r="C1067">
        <v>135.80000000000001</v>
      </c>
      <c r="D1067">
        <v>61.5</v>
      </c>
      <c r="E1067">
        <v>6.5</v>
      </c>
      <c r="F1067">
        <v>136.15</v>
      </c>
      <c r="G1067">
        <v>0.2</v>
      </c>
      <c r="H1067">
        <v>3.1</v>
      </c>
      <c r="I1067">
        <v>270.11059999999998</v>
      </c>
      <c r="J1067">
        <v>99.689800000000005</v>
      </c>
      <c r="K1067">
        <v>50.522500000000001</v>
      </c>
      <c r="L1067">
        <v>3.5756000000000001</v>
      </c>
      <c r="M1067">
        <v>27.7273</v>
      </c>
      <c r="N1067">
        <v>-21.275300000000001</v>
      </c>
      <c r="O1067">
        <v>-7.1619000000000002</v>
      </c>
      <c r="P1067">
        <v>65.790000000000006</v>
      </c>
      <c r="S1067">
        <f t="shared" si="355"/>
        <v>815.27580000000012</v>
      </c>
      <c r="T1067">
        <f t="shared" si="356"/>
        <v>1.9124285827451126E-2</v>
      </c>
      <c r="U1067">
        <f t="shared" si="357"/>
        <v>0.12730774585136584</v>
      </c>
      <c r="V1067">
        <f t="shared" si="358"/>
        <v>5.7654096979815897E-2</v>
      </c>
      <c r="W1067">
        <f t="shared" si="359"/>
        <v>6.0935224450211923E-3</v>
      </c>
      <c r="X1067">
        <f t="shared" si="360"/>
        <v>0.12763585859840545</v>
      </c>
      <c r="Y1067">
        <f t="shared" si="361"/>
        <v>1.874929983083444E-4</v>
      </c>
      <c r="Z1067">
        <f t="shared" si="362"/>
        <v>2.9061414737793379E-3</v>
      </c>
      <c r="AA1067">
        <f t="shared" si="363"/>
        <v>0.25321923134432939</v>
      </c>
      <c r="AB1067">
        <f t="shared" si="364"/>
        <v>9.3455697513795954E-2</v>
      </c>
      <c r="AC1067">
        <f t="shared" si="365"/>
        <v>4.7363075035166645E-2</v>
      </c>
      <c r="AD1067">
        <f t="shared" si="366"/>
        <v>3.3519998237565808E-3</v>
      </c>
      <c r="AE1067">
        <f t="shared" si="367"/>
        <v>2.5993373059974786E-2</v>
      </c>
      <c r="AG1067">
        <f t="shared" si="368"/>
        <v>0.24766264871629107</v>
      </c>
      <c r="AH1067">
        <f t="shared" si="369"/>
        <v>0.36690251723412198</v>
      </c>
      <c r="AI1067">
        <f t="shared" si="370"/>
        <v>1.0007580982290363</v>
      </c>
      <c r="AK1067" s="26">
        <f t="shared" si="371"/>
        <v>-9.3114678998706069E-2</v>
      </c>
      <c r="AL1067" s="26">
        <f t="shared" si="372"/>
        <v>-0.11414177230241662</v>
      </c>
      <c r="AM1067" s="26">
        <f t="shared" si="373"/>
        <v>-8.1765626806882097E-2</v>
      </c>
      <c r="AN1067" s="26">
        <f t="shared" si="374"/>
        <v>-25.996904761904794</v>
      </c>
      <c r="AO1067" s="26">
        <f t="shared" si="375"/>
        <v>-27.440133526383512</v>
      </c>
      <c r="AP1067" s="26">
        <f t="shared" si="376"/>
        <v>-32.59355562579011</v>
      </c>
      <c r="AS1067" s="2">
        <v>44413</v>
      </c>
      <c r="AT1067">
        <v>19.7</v>
      </c>
      <c r="AU1067">
        <v>117.6</v>
      </c>
      <c r="AV1067">
        <v>13.7</v>
      </c>
      <c r="AW1067">
        <v>1.4</v>
      </c>
      <c r="AX1067">
        <v>180.48</v>
      </c>
      <c r="AY1067">
        <v>0</v>
      </c>
      <c r="AZ1067">
        <v>3.4</v>
      </c>
      <c r="BA1067">
        <v>297.98630000000003</v>
      </c>
      <c r="BB1067">
        <v>109.95099999999999</v>
      </c>
      <c r="BC1067">
        <v>51.219799999999999</v>
      </c>
      <c r="BD1067">
        <v>3.7616000000000001</v>
      </c>
      <c r="BE1067">
        <v>19.9878</v>
      </c>
      <c r="BF1067">
        <v>-16.791699999999999</v>
      </c>
      <c r="BG1067">
        <v>-5.9736000000000002</v>
      </c>
      <c r="BH1067">
        <v>58.67</v>
      </c>
    </row>
    <row r="1068" spans="1:60" x14ac:dyDescent="0.25">
      <c r="A1068" s="2">
        <v>44433</v>
      </c>
      <c r="B1068">
        <v>21.3</v>
      </c>
      <c r="C1068">
        <v>2.9</v>
      </c>
      <c r="D1068">
        <v>55.7</v>
      </c>
      <c r="E1068">
        <v>5.3</v>
      </c>
      <c r="F1068">
        <v>224.8</v>
      </c>
      <c r="G1068">
        <v>0.2</v>
      </c>
      <c r="H1068">
        <v>3</v>
      </c>
      <c r="I1068">
        <v>276.65710000000001</v>
      </c>
      <c r="J1068">
        <v>86.695300000000003</v>
      </c>
      <c r="K1068">
        <v>41.968899999999998</v>
      </c>
      <c r="L1068">
        <v>3.7088000000000001</v>
      </c>
      <c r="M1068">
        <v>20.919</v>
      </c>
      <c r="N1068">
        <v>-114.5</v>
      </c>
      <c r="O1068">
        <v>-101.4837</v>
      </c>
      <c r="P1068">
        <v>65.48</v>
      </c>
      <c r="S1068">
        <f t="shared" si="355"/>
        <v>743.14909999999986</v>
      </c>
      <c r="T1068">
        <f t="shared" si="356"/>
        <v>1.9968004319838677E-2</v>
      </c>
      <c r="U1068">
        <f t="shared" si="357"/>
        <v>2.7186484754709935E-3</v>
      </c>
      <c r="V1068">
        <f t="shared" si="358"/>
        <v>5.2216800028873911E-2</v>
      </c>
      <c r="W1068">
        <f t="shared" si="359"/>
        <v>4.9685644551711256E-3</v>
      </c>
      <c r="X1068">
        <f t="shared" si="360"/>
        <v>0.21074213009857909</v>
      </c>
      <c r="Y1068">
        <f t="shared" si="361"/>
        <v>1.874929983083444E-4</v>
      </c>
      <c r="Z1068">
        <f t="shared" si="362"/>
        <v>2.8123949746251659E-3</v>
      </c>
      <c r="AA1068">
        <f t="shared" si="363"/>
        <v>0.25935634591145734</v>
      </c>
      <c r="AB1068">
        <f t="shared" si="364"/>
        <v>8.1273808681207052E-2</v>
      </c>
      <c r="AC1068">
        <f t="shared" si="365"/>
        <v>3.9344374483515368E-2</v>
      </c>
      <c r="AD1068">
        <f t="shared" si="366"/>
        <v>3.4768701606299381E-3</v>
      </c>
      <c r="AE1068">
        <f t="shared" si="367"/>
        <v>1.9610830158061282E-2</v>
      </c>
      <c r="AG1068">
        <f t="shared" si="368"/>
        <v>0.23000614168718775</v>
      </c>
      <c r="AH1068">
        <f t="shared" si="369"/>
        <v>0.31322486550892858</v>
      </c>
      <c r="AI1068">
        <f t="shared" si="370"/>
        <v>0.57299460772864241</v>
      </c>
      <c r="AK1068" s="26">
        <f t="shared" si="371"/>
        <v>-0.10116055933893359</v>
      </c>
      <c r="AL1068" s="26">
        <f t="shared" si="372"/>
        <v>-0.12122008280706503</v>
      </c>
      <c r="AM1068" s="26">
        <f t="shared" si="373"/>
        <v>-8.1455835664246634E-2</v>
      </c>
      <c r="AN1068" s="26">
        <f t="shared" si="374"/>
        <v>-26.065000000000005</v>
      </c>
      <c r="AO1068" s="26">
        <f t="shared" si="375"/>
        <v>-27.604522727272688</v>
      </c>
      <c r="AP1068" s="26">
        <f t="shared" si="376"/>
        <v>-32.68268613216042</v>
      </c>
      <c r="AS1068" s="2">
        <v>44412</v>
      </c>
      <c r="AT1068">
        <v>22</v>
      </c>
      <c r="AU1068">
        <v>224.1</v>
      </c>
      <c r="AV1068">
        <v>1.6</v>
      </c>
      <c r="AW1068">
        <v>0.8</v>
      </c>
      <c r="AX1068">
        <v>167.19</v>
      </c>
      <c r="AY1068">
        <v>0</v>
      </c>
      <c r="AZ1068">
        <v>3.1</v>
      </c>
      <c r="BA1068">
        <v>292.6703</v>
      </c>
      <c r="BB1068">
        <v>130.07740000000001</v>
      </c>
      <c r="BC1068">
        <v>71.693100000000001</v>
      </c>
      <c r="BD1068">
        <v>3.8144999999999998</v>
      </c>
      <c r="BE1068">
        <v>26.911799999999999</v>
      </c>
      <c r="BF1068">
        <v>-15.9634</v>
      </c>
      <c r="BG1068">
        <v>-5.4931000000000001</v>
      </c>
      <c r="BH1068">
        <v>58.36</v>
      </c>
    </row>
    <row r="1069" spans="1:60" x14ac:dyDescent="0.25">
      <c r="A1069" s="2">
        <v>44432</v>
      </c>
      <c r="B1069">
        <v>21.8</v>
      </c>
      <c r="C1069">
        <v>101.3</v>
      </c>
      <c r="D1069">
        <v>6.4</v>
      </c>
      <c r="E1069">
        <v>3.5</v>
      </c>
      <c r="F1069">
        <v>183.89</v>
      </c>
      <c r="G1069">
        <v>0.2</v>
      </c>
      <c r="H1069">
        <v>2.6</v>
      </c>
      <c r="I1069">
        <v>285.43239999999997</v>
      </c>
      <c r="J1069">
        <v>146.30879999999999</v>
      </c>
      <c r="K1069">
        <v>53.184800000000003</v>
      </c>
      <c r="L1069">
        <v>3.7858999999999998</v>
      </c>
      <c r="M1069">
        <v>26.513000000000002</v>
      </c>
      <c r="N1069">
        <v>-19.136600000000001</v>
      </c>
      <c r="O1069">
        <v>-7.3010999999999999</v>
      </c>
      <c r="P1069">
        <v>65.16</v>
      </c>
      <c r="S1069">
        <f t="shared" si="355"/>
        <v>834.91489999999999</v>
      </c>
      <c r="T1069">
        <f t="shared" si="356"/>
        <v>2.0436736815609539E-2</v>
      </c>
      <c r="U1069">
        <f t="shared" si="357"/>
        <v>9.4965203643176427E-2</v>
      </c>
      <c r="V1069">
        <f t="shared" si="358"/>
        <v>5.9997759458670207E-3</v>
      </c>
      <c r="W1069">
        <f t="shared" si="359"/>
        <v>3.2811274703960268E-3</v>
      </c>
      <c r="X1069">
        <f t="shared" si="360"/>
        <v>0.17239043729460723</v>
      </c>
      <c r="Y1069">
        <f t="shared" si="361"/>
        <v>1.874929983083444E-4</v>
      </c>
      <c r="Z1069">
        <f t="shared" si="362"/>
        <v>2.437408978008477E-3</v>
      </c>
      <c r="AA1069">
        <f t="shared" si="363"/>
        <v>0.26758288245173334</v>
      </c>
      <c r="AB1069">
        <f t="shared" si="364"/>
        <v>0.13715937795447947</v>
      </c>
      <c r="AC1069">
        <f t="shared" si="365"/>
        <v>4.9858888082148174E-2</v>
      </c>
      <c r="AD1069">
        <f t="shared" si="366"/>
        <v>3.5491487114778049E-3</v>
      </c>
      <c r="AE1069">
        <f t="shared" si="367"/>
        <v>2.4855009320745674E-2</v>
      </c>
      <c r="AG1069">
        <f t="shared" si="368"/>
        <v>0.21188764563353082</v>
      </c>
      <c r="AH1069">
        <f t="shared" si="369"/>
        <v>0.32455319246671877</v>
      </c>
      <c r="AI1069">
        <f t="shared" si="370"/>
        <v>0.66589354526648259</v>
      </c>
      <c r="AK1069" s="26">
        <f t="shared" si="371"/>
        <v>-9.9414722749304518E-2</v>
      </c>
      <c r="AL1069" s="26">
        <f t="shared" si="372"/>
        <v>-0.12548480788977345</v>
      </c>
      <c r="AM1069" s="26">
        <f t="shared" si="373"/>
        <v>-8.1682341889723065E-2</v>
      </c>
      <c r="AN1069" s="26">
        <f t="shared" si="374"/>
        <v>-26.126904761904754</v>
      </c>
      <c r="AO1069" s="26">
        <f t="shared" si="375"/>
        <v>-27.765974770642153</v>
      </c>
      <c r="AP1069" s="26">
        <f t="shared" si="376"/>
        <v>-32.766005437679873</v>
      </c>
      <c r="AS1069" s="2">
        <v>44411</v>
      </c>
      <c r="AT1069">
        <v>21.9</v>
      </c>
      <c r="AU1069">
        <v>240.5</v>
      </c>
      <c r="AV1069">
        <v>4.5</v>
      </c>
      <c r="AW1069">
        <v>0.9</v>
      </c>
      <c r="AX1069">
        <v>179.42</v>
      </c>
      <c r="AY1069">
        <v>0</v>
      </c>
      <c r="AZ1069">
        <v>3</v>
      </c>
      <c r="BA1069">
        <v>293.7167</v>
      </c>
      <c r="BB1069">
        <v>115.2269</v>
      </c>
      <c r="BC1069">
        <v>53.185899999999997</v>
      </c>
      <c r="BD1069">
        <v>3.7963</v>
      </c>
      <c r="BE1069">
        <v>23.525700000000001</v>
      </c>
      <c r="BF1069">
        <v>-14.6477</v>
      </c>
      <c r="BG1069">
        <v>-4.8788</v>
      </c>
      <c r="BH1069">
        <v>58.07</v>
      </c>
    </row>
    <row r="1070" spans="1:60" x14ac:dyDescent="0.25">
      <c r="A1070" s="2">
        <v>44431</v>
      </c>
      <c r="B1070">
        <v>21.1</v>
      </c>
      <c r="C1070">
        <v>50.5</v>
      </c>
      <c r="D1070">
        <v>23.2</v>
      </c>
      <c r="E1070">
        <v>4.8</v>
      </c>
      <c r="F1070">
        <v>135.86000000000001</v>
      </c>
      <c r="G1070">
        <v>0.2</v>
      </c>
      <c r="H1070">
        <v>2.7</v>
      </c>
      <c r="I1070">
        <v>283.47320000000002</v>
      </c>
      <c r="J1070">
        <v>119.6002</v>
      </c>
      <c r="K1070">
        <v>54.098300000000002</v>
      </c>
      <c r="L1070">
        <v>3.5013999999999998</v>
      </c>
      <c r="M1070">
        <v>23.3736</v>
      </c>
      <c r="N1070">
        <v>-15.5898</v>
      </c>
      <c r="O1070">
        <v>-7.6360999999999999</v>
      </c>
      <c r="P1070">
        <v>64.83</v>
      </c>
      <c r="S1070">
        <f t="shared" si="355"/>
        <v>722.4067</v>
      </c>
      <c r="T1070">
        <f t="shared" si="356"/>
        <v>1.9780511321530334E-2</v>
      </c>
      <c r="U1070">
        <f t="shared" si="357"/>
        <v>4.7341982072856954E-2</v>
      </c>
      <c r="V1070">
        <f t="shared" si="358"/>
        <v>2.1749187803767948E-2</v>
      </c>
      <c r="W1070">
        <f t="shared" si="359"/>
        <v>4.4998319594002651E-3</v>
      </c>
      <c r="X1070">
        <f t="shared" si="360"/>
        <v>0.12736399375085836</v>
      </c>
      <c r="Y1070">
        <f t="shared" si="361"/>
        <v>1.874929983083444E-4</v>
      </c>
      <c r="Z1070">
        <f t="shared" si="362"/>
        <v>2.5311554771626494E-3</v>
      </c>
      <c r="AA1070">
        <f t="shared" si="363"/>
        <v>0.26574620104030489</v>
      </c>
      <c r="AB1070">
        <f t="shared" si="364"/>
        <v>0.11212100048138825</v>
      </c>
      <c r="AC1070">
        <f t="shared" si="365"/>
        <v>5.0715262351921538E-2</v>
      </c>
      <c r="AD1070">
        <f t="shared" si="366"/>
        <v>3.2824399213841849E-3</v>
      </c>
      <c r="AE1070">
        <f t="shared" si="367"/>
        <v>2.1911931726299592E-2</v>
      </c>
      <c r="AG1070">
        <f t="shared" si="368"/>
        <v>0.1933078837747442</v>
      </c>
      <c r="AH1070">
        <f t="shared" si="369"/>
        <v>0.24536608711018446</v>
      </c>
      <c r="AI1070">
        <f t="shared" si="370"/>
        <v>3.0630788167250601E-2</v>
      </c>
      <c r="AK1070" s="26">
        <f t="shared" si="371"/>
        <v>-9.4569519758782306E-2</v>
      </c>
      <c r="AL1070" s="26">
        <f t="shared" si="372"/>
        <v>-0.13191022441628847</v>
      </c>
      <c r="AM1070" s="26">
        <f t="shared" si="373"/>
        <v>-8.2266054225212215E-2</v>
      </c>
      <c r="AN1070" s="26">
        <f t="shared" si="374"/>
        <v>-26.185714285714283</v>
      </c>
      <c r="AO1070" s="26">
        <f t="shared" si="375"/>
        <v>-27.925257936507904</v>
      </c>
      <c r="AP1070" s="26">
        <f t="shared" si="376"/>
        <v>-32.845191204076102</v>
      </c>
      <c r="AS1070" s="2">
        <v>44410</v>
      </c>
      <c r="AT1070">
        <v>20.9</v>
      </c>
      <c r="AU1070">
        <v>135.1</v>
      </c>
      <c r="AV1070">
        <v>44.2</v>
      </c>
      <c r="AW1070">
        <v>4.4000000000000004</v>
      </c>
      <c r="AX1070">
        <v>197.42</v>
      </c>
      <c r="AY1070">
        <v>0</v>
      </c>
      <c r="AZ1070">
        <v>3</v>
      </c>
      <c r="BA1070">
        <v>255.37639999999999</v>
      </c>
      <c r="BB1070">
        <v>41.106299999999997</v>
      </c>
      <c r="BC1070">
        <v>32.409799999999997</v>
      </c>
      <c r="BD1070">
        <v>3.7578</v>
      </c>
      <c r="BE1070">
        <v>26.679500000000001</v>
      </c>
      <c r="BF1070">
        <v>-15.544</v>
      </c>
      <c r="BG1070">
        <v>-4.1748000000000003</v>
      </c>
      <c r="BH1070">
        <v>57.77</v>
      </c>
    </row>
    <row r="1071" spans="1:60" x14ac:dyDescent="0.25">
      <c r="A1071" s="2">
        <v>44430</v>
      </c>
      <c r="B1071">
        <v>19.7</v>
      </c>
      <c r="C1071">
        <v>23.2</v>
      </c>
      <c r="D1071">
        <v>32.6</v>
      </c>
      <c r="E1071">
        <v>4.0999999999999996</v>
      </c>
      <c r="F1071">
        <v>111.54</v>
      </c>
      <c r="G1071">
        <v>0.2</v>
      </c>
      <c r="H1071">
        <v>2.8</v>
      </c>
      <c r="I1071">
        <v>265.08350000000002</v>
      </c>
      <c r="J1071">
        <v>42.409799999999997</v>
      </c>
      <c r="K1071">
        <v>30.216699999999999</v>
      </c>
      <c r="L1071">
        <v>3.5457000000000001</v>
      </c>
      <c r="M1071">
        <v>14.950200000000001</v>
      </c>
      <c r="P1071">
        <v>64.5</v>
      </c>
      <c r="S1071">
        <f t="shared" si="355"/>
        <v>550.34590000000003</v>
      </c>
      <c r="T1071">
        <f t="shared" si="356"/>
        <v>1.8468060333371922E-2</v>
      </c>
      <c r="U1071">
        <f t="shared" si="357"/>
        <v>2.1749187803767948E-2</v>
      </c>
      <c r="V1071">
        <f t="shared" si="358"/>
        <v>3.0561358724260135E-2</v>
      </c>
      <c r="W1071">
        <f t="shared" si="359"/>
        <v>3.8436064653210593E-3</v>
      </c>
      <c r="X1071">
        <f t="shared" si="360"/>
        <v>0.10456484515656367</v>
      </c>
      <c r="Y1071">
        <f t="shared" si="361"/>
        <v>1.874929983083444E-4</v>
      </c>
      <c r="Z1071">
        <f t="shared" si="362"/>
        <v>2.624901976316821E-3</v>
      </c>
      <c r="AA1071">
        <f t="shared" si="363"/>
        <v>0.24850650108535005</v>
      </c>
      <c r="AB1071">
        <f t="shared" si="364"/>
        <v>3.9757702798286117E-2</v>
      </c>
      <c r="AC1071">
        <f t="shared" si="365"/>
        <v>2.8327098409918747E-2</v>
      </c>
      <c r="AD1071">
        <f t="shared" si="366"/>
        <v>3.3239696205094836E-3</v>
      </c>
      <c r="AE1071">
        <f t="shared" si="367"/>
        <v>1.4015289116547052E-2</v>
      </c>
      <c r="AG1071">
        <f t="shared" si="368"/>
        <v>0.17472184409696351</v>
      </c>
      <c r="AH1071">
        <f t="shared" si="369"/>
        <v>0.19601474257445695</v>
      </c>
      <c r="AI1071">
        <f t="shared" si="370"/>
        <v>-0.36720059981186864</v>
      </c>
      <c r="AK1071" s="26">
        <f t="shared" si="371"/>
        <v>-9.1113253739430633E-2</v>
      </c>
      <c r="AL1071" s="26">
        <f t="shared" si="372"/>
        <v>-0.13664902528331085</v>
      </c>
      <c r="AM1071" s="26">
        <f t="shared" si="373"/>
        <v>-8.2988180052192717E-2</v>
      </c>
      <c r="AN1071" s="26">
        <f t="shared" si="374"/>
        <v>-26.242380952380962</v>
      </c>
      <c r="AO1071" s="26">
        <f t="shared" si="375"/>
        <v>-28.082807076101432</v>
      </c>
      <c r="AP1071" s="26">
        <f t="shared" si="376"/>
        <v>-32.92097129289872</v>
      </c>
      <c r="AS1071" s="2">
        <v>44409</v>
      </c>
      <c r="AT1071">
        <v>21.4</v>
      </c>
      <c r="AU1071">
        <v>36.200000000000003</v>
      </c>
      <c r="AV1071">
        <v>34.799999999999997</v>
      </c>
      <c r="AW1071">
        <v>3.1</v>
      </c>
      <c r="AX1071">
        <v>153.71</v>
      </c>
      <c r="AY1071">
        <v>0</v>
      </c>
      <c r="AZ1071">
        <v>3.3</v>
      </c>
      <c r="BA1071">
        <v>165.97020000000001</v>
      </c>
      <c r="BB1071">
        <v>16.4664</v>
      </c>
      <c r="BC1071">
        <v>22.871700000000001</v>
      </c>
      <c r="BD1071">
        <v>3.7568000000000001</v>
      </c>
      <c r="BE1071">
        <v>12.7471</v>
      </c>
      <c r="BH1071">
        <v>57.41</v>
      </c>
    </row>
    <row r="1072" spans="1:60" x14ac:dyDescent="0.25">
      <c r="A1072" s="2">
        <v>44429</v>
      </c>
      <c r="B1072">
        <v>20.5</v>
      </c>
      <c r="C1072">
        <v>81.2</v>
      </c>
      <c r="D1072">
        <v>2.2999999999999998</v>
      </c>
      <c r="E1072">
        <v>0.4</v>
      </c>
      <c r="F1072">
        <v>228.08</v>
      </c>
      <c r="G1072">
        <v>0.2</v>
      </c>
      <c r="H1072">
        <v>2.6</v>
      </c>
      <c r="I1072">
        <v>274.4665</v>
      </c>
      <c r="J1072">
        <v>90.151899999999998</v>
      </c>
      <c r="K1072">
        <v>36.978000000000002</v>
      </c>
      <c r="L1072">
        <v>3.5762999999999998</v>
      </c>
      <c r="M1072">
        <v>20.212900000000001</v>
      </c>
      <c r="P1072">
        <v>64.12</v>
      </c>
      <c r="S1072">
        <f t="shared" si="355"/>
        <v>760.66559999999981</v>
      </c>
      <c r="T1072">
        <f t="shared" si="356"/>
        <v>1.9218032326605298E-2</v>
      </c>
      <c r="U1072">
        <f t="shared" si="357"/>
        <v>7.6122157313187819E-2</v>
      </c>
      <c r="V1072">
        <f t="shared" si="358"/>
        <v>2.1561694805459601E-3</v>
      </c>
      <c r="W1072">
        <f t="shared" si="359"/>
        <v>3.7498599661668879E-4</v>
      </c>
      <c r="X1072">
        <f t="shared" si="360"/>
        <v>0.21381701527083594</v>
      </c>
      <c r="Y1072">
        <f t="shared" si="361"/>
        <v>1.874929983083444E-4</v>
      </c>
      <c r="Z1072">
        <f t="shared" si="362"/>
        <v>2.437408978008477E-3</v>
      </c>
      <c r="AA1072">
        <f t="shared" si="363"/>
        <v>0.257302735100986</v>
      </c>
      <c r="AB1072">
        <f t="shared" si="364"/>
        <v>8.4514250170970154E-2</v>
      </c>
      <c r="AC1072">
        <f t="shared" si="365"/>
        <v>3.4665580457229797E-2</v>
      </c>
      <c r="AD1072">
        <f t="shared" si="366"/>
        <v>3.3526560492506598E-3</v>
      </c>
      <c r="AE1072">
        <f t="shared" si="367"/>
        <v>1.8948886127533673E-2</v>
      </c>
      <c r="AG1072">
        <f t="shared" si="368"/>
        <v>0.15385157505925454</v>
      </c>
      <c r="AH1072">
        <f t="shared" si="369"/>
        <v>0.33326214849164215</v>
      </c>
      <c r="AI1072">
        <f t="shared" si="370"/>
        <v>0.73767905111581999</v>
      </c>
      <c r="AK1072" s="26">
        <f t="shared" si="371"/>
        <v>-0.10028267247966388</v>
      </c>
      <c r="AL1072" s="26">
        <f t="shared" si="372"/>
        <v>-0.12961849113772772</v>
      </c>
      <c r="AM1072" s="26">
        <f t="shared" si="373"/>
        <v>-8.1745898407021844E-2</v>
      </c>
      <c r="AN1072" s="26">
        <f t="shared" si="374"/>
        <v>-26.290714285714301</v>
      </c>
      <c r="AO1072" s="26">
        <f t="shared" si="375"/>
        <v>-28.237351752021553</v>
      </c>
      <c r="AP1072" s="26">
        <f t="shared" si="376"/>
        <v>-32.990490254628341</v>
      </c>
      <c r="AS1072" s="2">
        <v>44408</v>
      </c>
      <c r="AT1072">
        <v>20.9</v>
      </c>
      <c r="AU1072">
        <v>49.6</v>
      </c>
      <c r="AV1072">
        <v>43.2</v>
      </c>
      <c r="AW1072">
        <v>9.4</v>
      </c>
      <c r="AX1072">
        <v>210.63</v>
      </c>
      <c r="AY1072">
        <v>0</v>
      </c>
      <c r="AZ1072">
        <v>3.5</v>
      </c>
      <c r="BA1072">
        <v>117.4692</v>
      </c>
      <c r="BB1072">
        <v>16.884699999999999</v>
      </c>
      <c r="BC1072">
        <v>22.226600000000001</v>
      </c>
      <c r="BD1072">
        <v>3.7864</v>
      </c>
      <c r="BE1072">
        <v>12.4459</v>
      </c>
      <c r="BH1072">
        <v>56.97</v>
      </c>
    </row>
    <row r="1073" spans="1:60" x14ac:dyDescent="0.25">
      <c r="A1073" s="2">
        <v>44428</v>
      </c>
      <c r="B1073">
        <v>20.8</v>
      </c>
      <c r="C1073">
        <v>132.69999999999999</v>
      </c>
      <c r="D1073">
        <v>6.8</v>
      </c>
      <c r="E1073">
        <v>1.7</v>
      </c>
      <c r="F1073">
        <v>173.83</v>
      </c>
      <c r="G1073">
        <v>0.2</v>
      </c>
      <c r="H1073">
        <v>2.6</v>
      </c>
      <c r="I1073">
        <v>289.50479999999999</v>
      </c>
      <c r="J1073">
        <v>159.6233</v>
      </c>
      <c r="K1073">
        <v>45.103200000000001</v>
      </c>
      <c r="L1073">
        <v>3.6522000000000001</v>
      </c>
      <c r="M1073">
        <v>30.447500000000002</v>
      </c>
      <c r="N1073">
        <v>-17.2117</v>
      </c>
      <c r="O1073">
        <v>-7.6466000000000003</v>
      </c>
      <c r="P1073">
        <v>63.76</v>
      </c>
      <c r="S1073">
        <f t="shared" si="355"/>
        <v>866.96100000000001</v>
      </c>
      <c r="T1073">
        <f t="shared" si="356"/>
        <v>1.9499271824067816E-2</v>
      </c>
      <c r="U1073">
        <f t="shared" si="357"/>
        <v>0.12440160437758649</v>
      </c>
      <c r="V1073">
        <f t="shared" si="358"/>
        <v>6.3747619424837088E-3</v>
      </c>
      <c r="W1073">
        <f t="shared" si="359"/>
        <v>1.5936904856209272E-3</v>
      </c>
      <c r="X1073">
        <f t="shared" si="360"/>
        <v>0.16295953947969752</v>
      </c>
      <c r="Y1073">
        <f t="shared" si="361"/>
        <v>1.874929983083444E-4</v>
      </c>
      <c r="Z1073">
        <f t="shared" si="362"/>
        <v>2.437408978008477E-3</v>
      </c>
      <c r="AA1073">
        <f t="shared" si="363"/>
        <v>0.27140061488328787</v>
      </c>
      <c r="AB1073">
        <f t="shared" si="364"/>
        <v>0.14964125558436173</v>
      </c>
      <c r="AC1073">
        <f t="shared" si="365"/>
        <v>4.2282671006504589E-2</v>
      </c>
      <c r="AD1073">
        <f t="shared" si="366"/>
        <v>3.4238096421086769E-3</v>
      </c>
      <c r="AE1073">
        <f t="shared" si="367"/>
        <v>2.8543465329966579E-2</v>
      </c>
      <c r="AG1073">
        <f t="shared" si="368"/>
        <v>0.13391646240320842</v>
      </c>
      <c r="AH1073">
        <f t="shared" si="369"/>
        <v>0.34599723541573985</v>
      </c>
      <c r="AI1073">
        <f t="shared" si="370"/>
        <v>0.84143510416856548</v>
      </c>
      <c r="AK1073" s="26">
        <f t="shared" si="371"/>
        <v>-0.11083557303764091</v>
      </c>
      <c r="AL1073" s="26">
        <f t="shared" si="372"/>
        <v>-0.1290332115499348</v>
      </c>
      <c r="AM1073" s="26">
        <f t="shared" si="373"/>
        <v>-8.0039897925190784E-2</v>
      </c>
      <c r="AN1073" s="26">
        <f t="shared" si="374"/>
        <v>-26.354761904761901</v>
      </c>
      <c r="AO1073" s="26">
        <f t="shared" si="375"/>
        <v>-28.392011904761873</v>
      </c>
      <c r="AP1073" s="26">
        <f t="shared" si="376"/>
        <v>-33.056805965257276</v>
      </c>
      <c r="AS1073" s="2">
        <v>44407</v>
      </c>
      <c r="AT1073">
        <v>21.6</v>
      </c>
      <c r="AU1073">
        <v>63.8</v>
      </c>
      <c r="AV1073">
        <v>46.3</v>
      </c>
      <c r="AW1073">
        <v>6.2</v>
      </c>
      <c r="AX1073">
        <v>269.14</v>
      </c>
      <c r="AY1073">
        <v>0</v>
      </c>
      <c r="AZ1073">
        <v>3.7</v>
      </c>
      <c r="BA1073">
        <v>190.76910000000001</v>
      </c>
      <c r="BB1073">
        <v>30.3567</v>
      </c>
      <c r="BC1073">
        <v>32.523600000000002</v>
      </c>
      <c r="BD1073">
        <v>3.8704999999999998</v>
      </c>
      <c r="BE1073">
        <v>26.084399999999999</v>
      </c>
      <c r="BF1073">
        <v>-19.130500000000001</v>
      </c>
      <c r="BG1073">
        <v>-11.6187</v>
      </c>
      <c r="BH1073">
        <v>56.58</v>
      </c>
    </row>
    <row r="1074" spans="1:60" x14ac:dyDescent="0.25">
      <c r="A1074" s="2">
        <v>44427</v>
      </c>
      <c r="B1074">
        <v>21</v>
      </c>
      <c r="C1074">
        <v>23.5</v>
      </c>
      <c r="D1074">
        <v>44.1</v>
      </c>
      <c r="E1074">
        <v>5.6</v>
      </c>
      <c r="F1074">
        <v>116.35</v>
      </c>
      <c r="G1074">
        <v>0.2</v>
      </c>
      <c r="H1074">
        <v>2.7</v>
      </c>
      <c r="I1074">
        <v>271.99040000000002</v>
      </c>
      <c r="J1074">
        <v>117.0467</v>
      </c>
      <c r="K1074">
        <v>57.907200000000003</v>
      </c>
      <c r="L1074">
        <v>3.6166999999999998</v>
      </c>
      <c r="M1074">
        <v>24.618300000000001</v>
      </c>
      <c r="N1074">
        <v>-15.1318</v>
      </c>
      <c r="O1074">
        <v>-8.4002999999999997</v>
      </c>
      <c r="P1074">
        <v>63.41</v>
      </c>
      <c r="S1074">
        <f t="shared" si="355"/>
        <v>688.62929999999994</v>
      </c>
      <c r="T1074">
        <f t="shared" si="356"/>
        <v>1.9686764822376159E-2</v>
      </c>
      <c r="U1074">
        <f t="shared" si="357"/>
        <v>2.2030427301230466E-2</v>
      </c>
      <c r="V1074">
        <f t="shared" si="358"/>
        <v>4.1342206126989939E-2</v>
      </c>
      <c r="W1074">
        <f t="shared" si="359"/>
        <v>5.249803952633642E-3</v>
      </c>
      <c r="X1074">
        <f t="shared" si="360"/>
        <v>0.10907405176587934</v>
      </c>
      <c r="Y1074">
        <f t="shared" si="361"/>
        <v>1.874929983083444E-4</v>
      </c>
      <c r="Z1074">
        <f t="shared" si="362"/>
        <v>2.5311554771626494E-3</v>
      </c>
      <c r="AA1074">
        <f t="shared" si="363"/>
        <v>0.25498147803542959</v>
      </c>
      <c r="AB1074">
        <f t="shared" si="364"/>
        <v>0.10972718362548646</v>
      </c>
      <c r="AC1074">
        <f t="shared" si="365"/>
        <v>5.4285972758204799E-2</v>
      </c>
      <c r="AD1074">
        <f t="shared" si="366"/>
        <v>3.3905296349089455E-3</v>
      </c>
      <c r="AE1074">
        <f t="shared" si="367"/>
        <v>2.3078794401271575E-2</v>
      </c>
      <c r="AG1074">
        <f t="shared" si="368"/>
        <v>0.11444968007116853</v>
      </c>
      <c r="AH1074">
        <f t="shared" si="369"/>
        <v>0.22318069684585212</v>
      </c>
      <c r="AI1074">
        <f t="shared" si="370"/>
        <v>-0.14801451294611856</v>
      </c>
      <c r="AK1074" s="26">
        <f t="shared" si="371"/>
        <v>-0.1218746451722908</v>
      </c>
      <c r="AL1074" s="26">
        <f t="shared" si="372"/>
        <v>-0.13444632873473494</v>
      </c>
      <c r="AM1074" s="26">
        <f t="shared" si="373"/>
        <v>-8.1452967112045638E-2</v>
      </c>
      <c r="AN1074" s="26">
        <f t="shared" si="374"/>
        <v>-26.418809523809529</v>
      </c>
      <c r="AO1074" s="26">
        <f t="shared" si="375"/>
        <v>-28.545920329670317</v>
      </c>
      <c r="AP1074" s="26">
        <f t="shared" si="376"/>
        <v>-33.116139174407735</v>
      </c>
      <c r="AS1074" s="2">
        <v>44406</v>
      </c>
      <c r="AT1074">
        <v>21.3</v>
      </c>
      <c r="AU1074">
        <v>59.8</v>
      </c>
      <c r="AV1074">
        <v>77.400000000000006</v>
      </c>
      <c r="AW1074">
        <v>9.6</v>
      </c>
      <c r="AX1074">
        <v>236.77</v>
      </c>
      <c r="AY1074">
        <v>0</v>
      </c>
      <c r="AZ1074">
        <v>3.3</v>
      </c>
      <c r="BA1074">
        <v>132.71680000000001</v>
      </c>
      <c r="BB1074">
        <v>29.2453</v>
      </c>
      <c r="BC1074">
        <v>28.460100000000001</v>
      </c>
      <c r="BD1074">
        <v>3.8889999999999998</v>
      </c>
      <c r="BE1074">
        <v>20.282499999999999</v>
      </c>
      <c r="BF1074">
        <v>-20.8613</v>
      </c>
      <c r="BG1074">
        <v>-12.1837</v>
      </c>
      <c r="BH1074">
        <v>56.23</v>
      </c>
    </row>
    <row r="1075" spans="1:60" x14ac:dyDescent="0.25">
      <c r="A1075" s="2">
        <v>44426</v>
      </c>
      <c r="B1075">
        <v>21.1</v>
      </c>
      <c r="C1075">
        <v>31.9</v>
      </c>
      <c r="D1075">
        <v>78.099999999999994</v>
      </c>
      <c r="E1075">
        <v>9.6999999999999993</v>
      </c>
      <c r="F1075">
        <v>120.77</v>
      </c>
      <c r="G1075">
        <v>0.2</v>
      </c>
      <c r="H1075">
        <v>2.8</v>
      </c>
      <c r="I1075">
        <v>249.7193</v>
      </c>
      <c r="J1075">
        <v>38.658099999999997</v>
      </c>
      <c r="K1075">
        <v>39.365000000000002</v>
      </c>
      <c r="L1075">
        <v>3.5634999999999999</v>
      </c>
      <c r="M1075">
        <v>19.950600000000001</v>
      </c>
      <c r="N1075">
        <v>-21.105599999999999</v>
      </c>
      <c r="O1075">
        <v>-9.4258000000000006</v>
      </c>
      <c r="P1075">
        <v>63.1</v>
      </c>
      <c r="S1075">
        <f t="shared" si="355"/>
        <v>615.82650000000001</v>
      </c>
      <c r="T1075">
        <f t="shared" si="356"/>
        <v>1.9780511321530334E-2</v>
      </c>
      <c r="U1075">
        <f t="shared" si="357"/>
        <v>2.9905133230180927E-2</v>
      </c>
      <c r="V1075">
        <f t="shared" si="358"/>
        <v>7.3216015839408483E-2</v>
      </c>
      <c r="W1075">
        <f t="shared" si="359"/>
        <v>9.0934104179547018E-3</v>
      </c>
      <c r="X1075">
        <f t="shared" si="360"/>
        <v>0.11321764702849375</v>
      </c>
      <c r="Y1075">
        <f t="shared" si="361"/>
        <v>1.874929983083444E-4</v>
      </c>
      <c r="Z1075">
        <f t="shared" si="362"/>
        <v>2.624901976316821E-3</v>
      </c>
      <c r="AA1075">
        <f t="shared" si="363"/>
        <v>0.23410310146230473</v>
      </c>
      <c r="AB1075">
        <f t="shared" si="364"/>
        <v>3.6240615389519039E-2</v>
      </c>
      <c r="AC1075">
        <f t="shared" si="365"/>
        <v>3.6903309392039882E-2</v>
      </c>
      <c r="AD1075">
        <f t="shared" si="366"/>
        <v>3.3406564973589258E-3</v>
      </c>
      <c r="AE1075">
        <f t="shared" si="367"/>
        <v>1.8702989060252279E-2</v>
      </c>
      <c r="AG1075">
        <f t="shared" si="368"/>
        <v>9.6822481850821623E-2</v>
      </c>
      <c r="AH1075">
        <f t="shared" si="369"/>
        <v>0.26672810187244567</v>
      </c>
      <c r="AI1075">
        <f t="shared" si="370"/>
        <v>0.20204595628072994</v>
      </c>
      <c r="AK1075" s="26">
        <f t="shared" si="371"/>
        <v>-0.10672941387702206</v>
      </c>
      <c r="AL1075" s="26">
        <f t="shared" si="372"/>
        <v>-0.13182940294303352</v>
      </c>
      <c r="AM1075" s="26">
        <f t="shared" si="373"/>
        <v>-7.9857741604003885E-2</v>
      </c>
      <c r="AN1075" s="26">
        <f t="shared" si="374"/>
        <v>-26.48214285714284</v>
      </c>
      <c r="AO1075" s="26">
        <f t="shared" si="375"/>
        <v>-28.697376907073505</v>
      </c>
      <c r="AP1075" s="26">
        <f t="shared" si="376"/>
        <v>-33.171605088495568</v>
      </c>
      <c r="AS1075" s="2">
        <v>44405</v>
      </c>
      <c r="AT1075">
        <v>22</v>
      </c>
      <c r="AU1075">
        <v>5.9</v>
      </c>
      <c r="AV1075">
        <v>47.9</v>
      </c>
      <c r="AW1075">
        <v>5.5</v>
      </c>
      <c r="AX1075">
        <v>169.67</v>
      </c>
      <c r="AY1075">
        <v>0</v>
      </c>
      <c r="AZ1075">
        <v>3.5</v>
      </c>
      <c r="BA1075">
        <v>263.31310000000002</v>
      </c>
      <c r="BB1075">
        <v>62.4953</v>
      </c>
      <c r="BC1075">
        <v>46.924399999999999</v>
      </c>
      <c r="BD1075">
        <v>3.9001000000000001</v>
      </c>
      <c r="BE1075">
        <v>18.3506</v>
      </c>
      <c r="BF1075">
        <v>-19.846599999999999</v>
      </c>
      <c r="BG1075">
        <v>-14.2011</v>
      </c>
      <c r="BH1075">
        <v>55.79</v>
      </c>
    </row>
    <row r="1076" spans="1:60" x14ac:dyDescent="0.25">
      <c r="A1076" s="2">
        <v>44425</v>
      </c>
      <c r="B1076">
        <v>18.8</v>
      </c>
      <c r="C1076">
        <v>11.1</v>
      </c>
      <c r="D1076">
        <v>60.3</v>
      </c>
      <c r="E1076">
        <v>11.9</v>
      </c>
      <c r="F1076">
        <v>151.66</v>
      </c>
      <c r="G1076">
        <v>0.2</v>
      </c>
      <c r="H1076">
        <v>2.6</v>
      </c>
      <c r="I1076">
        <v>203.64189999999999</v>
      </c>
      <c r="J1076">
        <v>19.0275</v>
      </c>
      <c r="K1076">
        <v>29.1633</v>
      </c>
      <c r="L1076">
        <v>3.6436000000000002</v>
      </c>
      <c r="M1076">
        <v>20.694500000000001</v>
      </c>
      <c r="N1076">
        <v>-21.981200000000001</v>
      </c>
      <c r="O1076">
        <v>-6.8446999999999996</v>
      </c>
      <c r="P1076">
        <v>62.8</v>
      </c>
      <c r="S1076">
        <f t="shared" si="355"/>
        <v>532.73079999999993</v>
      </c>
      <c r="T1076">
        <f t="shared" si="356"/>
        <v>1.7624341840984374E-2</v>
      </c>
      <c r="U1076">
        <f t="shared" si="357"/>
        <v>1.0405861406113113E-2</v>
      </c>
      <c r="V1076">
        <f t="shared" si="358"/>
        <v>5.6529138989965831E-2</v>
      </c>
      <c r="W1076">
        <f t="shared" si="359"/>
        <v>1.115583339934649E-2</v>
      </c>
      <c r="X1076">
        <f t="shared" si="360"/>
        <v>0.14217594061721753</v>
      </c>
      <c r="Y1076">
        <f t="shared" si="361"/>
        <v>1.874929983083444E-4</v>
      </c>
      <c r="Z1076">
        <f t="shared" si="362"/>
        <v>2.437408978008477E-3</v>
      </c>
      <c r="AA1076">
        <f t="shared" si="363"/>
        <v>0.19090715206104017</v>
      </c>
      <c r="AB1076">
        <f t="shared" si="364"/>
        <v>1.7837615126560114E-2</v>
      </c>
      <c r="AC1076">
        <f t="shared" si="365"/>
        <v>2.7339572787828698E-2</v>
      </c>
      <c r="AD1076">
        <f t="shared" si="366"/>
        <v>3.415747443181418E-3</v>
      </c>
      <c r="AE1076">
        <f t="shared" si="367"/>
        <v>1.9400369267460166E-2</v>
      </c>
      <c r="AG1076">
        <f t="shared" si="368"/>
        <v>7.9658515258556967E-2</v>
      </c>
      <c r="AH1076">
        <f t="shared" si="369"/>
        <v>0.25991638749740431</v>
      </c>
      <c r="AI1076">
        <f t="shared" si="370"/>
        <v>0.14302042301724552</v>
      </c>
      <c r="AK1076" s="26">
        <f t="shared" si="371"/>
        <v>-0.1007424901297771</v>
      </c>
      <c r="AL1076" s="26">
        <f t="shared" si="372"/>
        <v>-0.13415047663592916</v>
      </c>
      <c r="AM1076" s="26">
        <f t="shared" si="373"/>
        <v>-7.909727023978691E-2</v>
      </c>
      <c r="AN1076" s="26">
        <f t="shared" si="374"/>
        <v>-26.563809523809525</v>
      </c>
      <c r="AO1076" s="26">
        <f t="shared" si="375"/>
        <v>-28.848109243697479</v>
      </c>
      <c r="AP1076" s="26">
        <f t="shared" si="376"/>
        <v>-33.224381365837367</v>
      </c>
      <c r="AS1076" s="2">
        <v>44404</v>
      </c>
      <c r="AT1076">
        <v>21.5</v>
      </c>
      <c r="AU1076">
        <v>83</v>
      </c>
      <c r="AV1076">
        <v>9.9</v>
      </c>
      <c r="AW1076">
        <v>3.1</v>
      </c>
      <c r="AX1076">
        <v>225.58</v>
      </c>
      <c r="AY1076">
        <v>0</v>
      </c>
      <c r="AZ1076">
        <v>3.3</v>
      </c>
      <c r="BA1076">
        <v>277.51429999999999</v>
      </c>
      <c r="BB1076">
        <v>128.10640000000001</v>
      </c>
      <c r="BC1076">
        <v>84.330100000000002</v>
      </c>
      <c r="BD1076">
        <v>3.7338</v>
      </c>
      <c r="BE1076">
        <v>19.8673</v>
      </c>
      <c r="BF1076">
        <v>-16.977900000000002</v>
      </c>
      <c r="BG1076">
        <v>-13.8278</v>
      </c>
      <c r="BH1076">
        <v>55.45</v>
      </c>
    </row>
    <row r="1077" spans="1:60" x14ac:dyDescent="0.25">
      <c r="A1077" s="2">
        <v>44424</v>
      </c>
      <c r="B1077">
        <v>20.7</v>
      </c>
      <c r="C1077">
        <v>25.7</v>
      </c>
      <c r="D1077">
        <v>57.8</v>
      </c>
      <c r="E1077">
        <v>8.9</v>
      </c>
      <c r="F1077">
        <v>134.68</v>
      </c>
      <c r="G1077">
        <v>0.2</v>
      </c>
      <c r="H1077">
        <v>2.9</v>
      </c>
      <c r="I1077">
        <v>243.7046</v>
      </c>
      <c r="J1077">
        <v>21.544499999999999</v>
      </c>
      <c r="K1077">
        <v>32.762700000000002</v>
      </c>
      <c r="L1077">
        <v>3.6743999999999999</v>
      </c>
      <c r="M1077">
        <v>18.2942</v>
      </c>
      <c r="N1077">
        <v>-22.375699999999998</v>
      </c>
      <c r="O1077">
        <v>-6.8334999999999999</v>
      </c>
      <c r="P1077">
        <v>62.51</v>
      </c>
      <c r="S1077">
        <f t="shared" si="355"/>
        <v>570.86040000000003</v>
      </c>
      <c r="T1077">
        <f t="shared" si="356"/>
        <v>1.9405525324913644E-2</v>
      </c>
      <c r="U1077">
        <f t="shared" si="357"/>
        <v>2.4092850282622251E-2</v>
      </c>
      <c r="V1077">
        <f t="shared" si="358"/>
        <v>5.4185476511111524E-2</v>
      </c>
      <c r="W1077">
        <f t="shared" si="359"/>
        <v>8.3434384247213257E-3</v>
      </c>
      <c r="X1077">
        <f t="shared" si="360"/>
        <v>0.12625778506083912</v>
      </c>
      <c r="Y1077">
        <f t="shared" si="361"/>
        <v>1.874929983083444E-4</v>
      </c>
      <c r="Z1077">
        <f t="shared" si="362"/>
        <v>2.7186484754709935E-3</v>
      </c>
      <c r="AA1077">
        <f t="shared" si="363"/>
        <v>0.22846453077767873</v>
      </c>
      <c r="AB1077">
        <f t="shared" si="364"/>
        <v>2.0197214510270626E-2</v>
      </c>
      <c r="AC1077">
        <f t="shared" si="365"/>
        <v>3.0713884278383976E-2</v>
      </c>
      <c r="AD1077">
        <f t="shared" si="366"/>
        <v>3.4446213649209027E-3</v>
      </c>
      <c r="AE1077">
        <f t="shared" si="367"/>
        <v>1.7150172048262569E-2</v>
      </c>
      <c r="AG1077">
        <f t="shared" si="368"/>
        <v>6.2957976609602409E-2</v>
      </c>
      <c r="AH1077">
        <f t="shared" si="369"/>
        <v>0.25234138912624976</v>
      </c>
      <c r="AI1077">
        <f t="shared" si="370"/>
        <v>7.7013490033627577E-2</v>
      </c>
      <c r="AK1077" s="26">
        <f t="shared" si="371"/>
        <v>-9.9354695973072504E-2</v>
      </c>
      <c r="AL1077" s="26">
        <f t="shared" si="372"/>
        <v>-0.13754452841526693</v>
      </c>
      <c r="AM1077" s="26">
        <f t="shared" si="373"/>
        <v>-7.9622276526885361E-2</v>
      </c>
      <c r="AN1077" s="26">
        <f t="shared" si="374"/>
        <v>-26.647857142857141</v>
      </c>
      <c r="AO1077" s="26">
        <f t="shared" si="375"/>
        <v>-28.997192362093351</v>
      </c>
      <c r="AP1077" s="26">
        <f t="shared" si="376"/>
        <v>-33.273441245659228</v>
      </c>
      <c r="AS1077" s="2">
        <v>44403</v>
      </c>
      <c r="AT1077">
        <v>21.1</v>
      </c>
      <c r="AU1077">
        <v>130.19999999999999</v>
      </c>
      <c r="AV1077">
        <v>4.0999999999999996</v>
      </c>
      <c r="AW1077">
        <v>1.6</v>
      </c>
      <c r="AX1077">
        <v>211.47</v>
      </c>
      <c r="AY1077">
        <v>0</v>
      </c>
      <c r="AZ1077">
        <v>3.1</v>
      </c>
      <c r="BA1077">
        <v>273.98239999999998</v>
      </c>
      <c r="BB1077">
        <v>115.08329999999999</v>
      </c>
      <c r="BC1077">
        <v>97.138099999999994</v>
      </c>
      <c r="BD1077">
        <v>3.8801999999999999</v>
      </c>
      <c r="BE1077">
        <v>23.3521</v>
      </c>
      <c r="BF1077">
        <v>-16.972100000000001</v>
      </c>
      <c r="BG1077">
        <v>-15.3462</v>
      </c>
      <c r="BH1077">
        <v>55.12</v>
      </c>
    </row>
    <row r="1078" spans="1:60" x14ac:dyDescent="0.25">
      <c r="A1078" s="2">
        <v>44423</v>
      </c>
      <c r="B1078">
        <v>20.9</v>
      </c>
      <c r="C1078">
        <v>74.900000000000006</v>
      </c>
      <c r="D1078">
        <v>37.6</v>
      </c>
      <c r="E1078">
        <v>2.5</v>
      </c>
      <c r="F1078">
        <v>228.73</v>
      </c>
      <c r="G1078">
        <v>0.2</v>
      </c>
      <c r="H1078">
        <v>3.1</v>
      </c>
      <c r="I1078">
        <v>219.24680000000001</v>
      </c>
      <c r="J1078">
        <v>18.859100000000002</v>
      </c>
      <c r="K1078">
        <v>25.616800000000001</v>
      </c>
      <c r="L1078">
        <v>3.6720000000000002</v>
      </c>
      <c r="M1078">
        <v>11.636900000000001</v>
      </c>
      <c r="P1078">
        <v>62.17</v>
      </c>
      <c r="S1078">
        <f t="shared" si="355"/>
        <v>646.96159999999998</v>
      </c>
      <c r="T1078">
        <f t="shared" si="356"/>
        <v>1.9593018323221988E-2</v>
      </c>
      <c r="U1078">
        <f t="shared" si="357"/>
        <v>7.0216127866474978E-2</v>
      </c>
      <c r="V1078">
        <f t="shared" si="358"/>
        <v>3.5248683681968748E-2</v>
      </c>
      <c r="W1078">
        <f t="shared" si="359"/>
        <v>2.3436624788543046E-3</v>
      </c>
      <c r="X1078">
        <f t="shared" si="360"/>
        <v>0.21442636751533803</v>
      </c>
      <c r="Y1078">
        <f t="shared" si="361"/>
        <v>1.874929983083444E-4</v>
      </c>
      <c r="Z1078">
        <f t="shared" si="362"/>
        <v>2.9061414737793379E-3</v>
      </c>
      <c r="AA1078">
        <f t="shared" si="363"/>
        <v>0.20553619950754959</v>
      </c>
      <c r="AB1078">
        <f t="shared" si="364"/>
        <v>1.767974602198449E-2</v>
      </c>
      <c r="AC1078">
        <f t="shared" si="365"/>
        <v>2.4014853195325984E-2</v>
      </c>
      <c r="AD1078">
        <f t="shared" si="366"/>
        <v>3.4423714489412028E-3</v>
      </c>
      <c r="AE1078">
        <f t="shared" si="367"/>
        <v>1.0909186360071864E-2</v>
      </c>
      <c r="AG1078">
        <f t="shared" si="368"/>
        <v>4.3973290921219113E-2</v>
      </c>
      <c r="AH1078">
        <f t="shared" si="369"/>
        <v>0.3558306806980176</v>
      </c>
      <c r="AI1078">
        <f t="shared" si="370"/>
        <v>0.90507732937930285</v>
      </c>
      <c r="AK1078" s="26">
        <f t="shared" si="371"/>
        <v>-7.8391505602927014E-2</v>
      </c>
      <c r="AL1078" s="26">
        <f t="shared" si="372"/>
        <v>-0.13117602627235964</v>
      </c>
      <c r="AM1078" s="26">
        <f t="shared" si="373"/>
        <v>-7.68047594657435E-2</v>
      </c>
      <c r="AN1078" s="26">
        <f t="shared" si="374"/>
        <v>-26.733809523809533</v>
      </c>
      <c r="AO1078" s="26">
        <f t="shared" si="375"/>
        <v>-29.144292857142865</v>
      </c>
      <c r="AP1078" s="26">
        <f t="shared" si="376"/>
        <v>-33.319819626853047</v>
      </c>
      <c r="AS1078" s="2">
        <v>44402</v>
      </c>
      <c r="AT1078">
        <v>21.3</v>
      </c>
      <c r="AU1078">
        <v>182.5</v>
      </c>
      <c r="AV1078">
        <v>40.200000000000003</v>
      </c>
      <c r="AW1078">
        <v>2.6</v>
      </c>
      <c r="AX1078">
        <v>203.71</v>
      </c>
      <c r="AY1078">
        <v>0</v>
      </c>
      <c r="AZ1078">
        <v>3.5</v>
      </c>
      <c r="BA1078">
        <v>212.6602</v>
      </c>
      <c r="BB1078">
        <v>29.954799999999999</v>
      </c>
      <c r="BC1078">
        <v>31.627400000000002</v>
      </c>
      <c r="BD1078">
        <v>3.8694999999999999</v>
      </c>
      <c r="BE1078">
        <v>9.3585999999999991</v>
      </c>
      <c r="BH1078">
        <v>54.79</v>
      </c>
    </row>
    <row r="1079" spans="1:60" x14ac:dyDescent="0.25">
      <c r="A1079" s="2">
        <v>44422</v>
      </c>
      <c r="B1079">
        <v>21.2</v>
      </c>
      <c r="C1079">
        <v>493.2</v>
      </c>
      <c r="D1079">
        <v>67.099999999999994</v>
      </c>
      <c r="E1079">
        <v>4.5</v>
      </c>
      <c r="F1079">
        <v>259.26</v>
      </c>
      <c r="G1079">
        <v>0.2</v>
      </c>
      <c r="H1079">
        <v>3</v>
      </c>
      <c r="I1079">
        <v>223.5574</v>
      </c>
      <c r="J1079">
        <v>15.891400000000001</v>
      </c>
      <c r="K1079">
        <v>24.366</v>
      </c>
      <c r="L1079">
        <v>3.8079999999999998</v>
      </c>
      <c r="M1079">
        <v>21.774799999999999</v>
      </c>
      <c r="P1079">
        <v>61.71</v>
      </c>
      <c r="S1079">
        <f t="shared" si="355"/>
        <v>1137.8575999999998</v>
      </c>
      <c r="T1079">
        <f t="shared" si="356"/>
        <v>1.9874257820684502E-2</v>
      </c>
      <c r="U1079">
        <f t="shared" si="357"/>
        <v>0.46235773382837725</v>
      </c>
      <c r="V1079">
        <f t="shared" si="358"/>
        <v>6.2903900932449533E-2</v>
      </c>
      <c r="W1079">
        <f t="shared" si="359"/>
        <v>4.2185924619377486E-3</v>
      </c>
      <c r="X1079">
        <f t="shared" si="360"/>
        <v>0.24304717370710682</v>
      </c>
      <c r="Y1079">
        <f t="shared" si="361"/>
        <v>1.874929983083444E-4</v>
      </c>
      <c r="Z1079">
        <f t="shared" si="362"/>
        <v>2.8123949746251659E-3</v>
      </c>
      <c r="AA1079">
        <f t="shared" si="363"/>
        <v>0.20957723610008935</v>
      </c>
      <c r="AB1079">
        <f t="shared" si="364"/>
        <v>1.489763116658612E-2</v>
      </c>
      <c r="AC1079">
        <f t="shared" si="365"/>
        <v>2.2842271983905597E-2</v>
      </c>
      <c r="AD1079">
        <f t="shared" si="366"/>
        <v>3.5698666877908769E-3</v>
      </c>
      <c r="AE1079">
        <f t="shared" si="367"/>
        <v>2.0413112697822686E-2</v>
      </c>
      <c r="AG1079">
        <f t="shared" si="368"/>
        <v>1.9500520991108394E-2</v>
      </c>
      <c r="AH1079">
        <f t="shared" si="369"/>
        <v>0.81581465942131204</v>
      </c>
      <c r="AI1079">
        <f t="shared" si="370"/>
        <v>4.5682471868107219</v>
      </c>
      <c r="AK1079" s="26">
        <f t="shared" si="371"/>
        <v>-7.4681427633294106E-2</v>
      </c>
      <c r="AL1079" s="26">
        <f t="shared" si="372"/>
        <v>-0.13322595225577671</v>
      </c>
      <c r="AM1079" s="26">
        <f t="shared" si="373"/>
        <v>-7.6995222872133451E-2</v>
      </c>
      <c r="AN1079" s="26">
        <f t="shared" si="374"/>
        <v>-26.822619047619042</v>
      </c>
      <c r="AO1079" s="26">
        <f t="shared" si="375"/>
        <v>-29.289787157287144</v>
      </c>
      <c r="AP1079" s="26">
        <f t="shared" si="376"/>
        <v>-33.363349217154521</v>
      </c>
      <c r="AS1079" s="2">
        <v>44401</v>
      </c>
      <c r="AT1079">
        <v>21.5</v>
      </c>
      <c r="AU1079">
        <v>124.2</v>
      </c>
      <c r="AV1079">
        <v>19.399999999999999</v>
      </c>
      <c r="AW1079">
        <v>3.1</v>
      </c>
      <c r="AX1079">
        <v>207.15</v>
      </c>
      <c r="AY1079">
        <v>0</v>
      </c>
      <c r="AZ1079">
        <v>3.5</v>
      </c>
      <c r="BA1079">
        <v>232.20500000000001</v>
      </c>
      <c r="BB1079">
        <v>44.614899999999999</v>
      </c>
      <c r="BC1079">
        <v>33.006799999999998</v>
      </c>
      <c r="BD1079">
        <v>3.8611</v>
      </c>
      <c r="BE1079">
        <v>14.3926</v>
      </c>
      <c r="BH1079">
        <v>54.38</v>
      </c>
    </row>
    <row r="1080" spans="1:60" x14ac:dyDescent="0.25">
      <c r="A1080" s="2">
        <v>44421</v>
      </c>
      <c r="N1080">
        <v>-18.411100000000001</v>
      </c>
      <c r="O1080">
        <v>-7.3579999999999997</v>
      </c>
      <c r="P1080">
        <v>61.37</v>
      </c>
      <c r="S1080">
        <f t="shared" si="355"/>
        <v>0</v>
      </c>
      <c r="T1080">
        <f t="shared" si="356"/>
        <v>0</v>
      </c>
      <c r="U1080">
        <f t="shared" si="357"/>
        <v>0</v>
      </c>
      <c r="V1080">
        <f t="shared" si="358"/>
        <v>0</v>
      </c>
      <c r="W1080">
        <f t="shared" si="359"/>
        <v>0</v>
      </c>
      <c r="X1080">
        <f t="shared" si="360"/>
        <v>0</v>
      </c>
      <c r="Y1080">
        <f t="shared" si="361"/>
        <v>0</v>
      </c>
      <c r="Z1080">
        <f t="shared" si="362"/>
        <v>0</v>
      </c>
      <c r="AA1080">
        <f t="shared" si="363"/>
        <v>0</v>
      </c>
      <c r="AB1080">
        <f t="shared" si="364"/>
        <v>0</v>
      </c>
      <c r="AC1080">
        <f t="shared" si="365"/>
        <v>0</v>
      </c>
      <c r="AD1080">
        <f t="shared" si="366"/>
        <v>0</v>
      </c>
      <c r="AE1080">
        <f t="shared" si="367"/>
        <v>0</v>
      </c>
      <c r="AG1080">
        <f t="shared" si="368"/>
        <v>5.2988591265481686E-4</v>
      </c>
      <c r="AH1080">
        <f t="shared" si="369"/>
        <v>0</v>
      </c>
      <c r="AI1080">
        <f t="shared" si="370"/>
        <v>-1.9754402711329662</v>
      </c>
      <c r="AK1080" s="26">
        <f t="shared" si="371"/>
        <v>-8.7455104634150738E-2</v>
      </c>
      <c r="AL1080" s="26">
        <f t="shared" si="372"/>
        <v>-0.14710138898769981</v>
      </c>
      <c r="AM1080" s="26">
        <f t="shared" si="373"/>
        <v>-7.9873087352737904E-2</v>
      </c>
      <c r="AN1080" s="26">
        <f t="shared" si="374"/>
        <v>-26.914285714285732</v>
      </c>
      <c r="AO1080" s="26">
        <f t="shared" si="375"/>
        <v>-29.434132653061233</v>
      </c>
      <c r="AP1080" s="26">
        <f t="shared" si="376"/>
        <v>-33.399764773051643</v>
      </c>
      <c r="AS1080" s="2">
        <v>44400</v>
      </c>
      <c r="AT1080">
        <v>21.4</v>
      </c>
      <c r="AU1080">
        <v>194.9</v>
      </c>
      <c r="AV1080">
        <v>6</v>
      </c>
      <c r="AW1080">
        <v>0.4</v>
      </c>
      <c r="AX1080">
        <v>257.77</v>
      </c>
      <c r="AY1080">
        <v>0</v>
      </c>
      <c r="AZ1080">
        <v>3.5</v>
      </c>
      <c r="BA1080">
        <v>228.59280000000001</v>
      </c>
      <c r="BB1080">
        <v>134.97579999999999</v>
      </c>
      <c r="BC1080">
        <v>104.1425</v>
      </c>
      <c r="BD1080">
        <v>3.8807999999999998</v>
      </c>
      <c r="BE1080">
        <v>19.352900000000002</v>
      </c>
      <c r="BF1080">
        <v>-15.0505</v>
      </c>
      <c r="BG1080">
        <v>-14.519399999999999</v>
      </c>
      <c r="BH1080">
        <v>53.96</v>
      </c>
    </row>
    <row r="1081" spans="1:60" x14ac:dyDescent="0.25">
      <c r="A1081" s="2">
        <v>44420</v>
      </c>
      <c r="B1081">
        <v>18.7</v>
      </c>
      <c r="C1081">
        <v>65.3</v>
      </c>
      <c r="D1081">
        <v>9.6</v>
      </c>
      <c r="E1081">
        <v>0.7</v>
      </c>
      <c r="F1081">
        <v>142.91999999999999</v>
      </c>
      <c r="G1081">
        <v>0.2</v>
      </c>
      <c r="H1081">
        <v>3.6</v>
      </c>
      <c r="I1081">
        <v>292.95350000000002</v>
      </c>
      <c r="J1081">
        <v>83.363200000000006</v>
      </c>
      <c r="K1081">
        <v>61.520800000000001</v>
      </c>
      <c r="L1081">
        <v>3.7277999999999998</v>
      </c>
      <c r="M1081">
        <v>11.093999999999999</v>
      </c>
      <c r="N1081">
        <v>-19.807400000000001</v>
      </c>
      <c r="O1081">
        <v>-6.5115999999999996</v>
      </c>
      <c r="P1081">
        <v>61.03</v>
      </c>
      <c r="S1081">
        <f t="shared" si="355"/>
        <v>693.67930000000001</v>
      </c>
      <c r="T1081">
        <f t="shared" si="356"/>
        <v>1.7530595341830199E-2</v>
      </c>
      <c r="U1081">
        <f t="shared" si="357"/>
        <v>6.1216463947674438E-2</v>
      </c>
      <c r="V1081">
        <f t="shared" si="358"/>
        <v>8.9996639188005302E-3</v>
      </c>
      <c r="W1081">
        <f t="shared" si="359"/>
        <v>6.5622549407920526E-4</v>
      </c>
      <c r="X1081">
        <f t="shared" si="360"/>
        <v>0.13398249659114289</v>
      </c>
      <c r="Y1081">
        <f t="shared" si="361"/>
        <v>1.874929983083444E-4</v>
      </c>
      <c r="Z1081">
        <f t="shared" si="362"/>
        <v>3.3748739695501988E-3</v>
      </c>
      <c r="AA1081">
        <f t="shared" si="363"/>
        <v>0.27463365039961785</v>
      </c>
      <c r="AB1081">
        <f t="shared" si="364"/>
        <v>7.8150081582890885E-2</v>
      </c>
      <c r="AC1081">
        <f t="shared" si="365"/>
        <v>5.7673596251639966E-2</v>
      </c>
      <c r="AD1081">
        <f t="shared" si="366"/>
        <v>3.4946819954692308E-3</v>
      </c>
      <c r="AE1081">
        <f t="shared" si="367"/>
        <v>1.0400236616163861E-2</v>
      </c>
      <c r="AG1081">
        <f t="shared" si="368"/>
        <v>-1.8436002307196702E-2</v>
      </c>
      <c r="AH1081">
        <f t="shared" si="369"/>
        <v>0.23634804887754965</v>
      </c>
      <c r="AI1081">
        <f t="shared" si="370"/>
        <v>-5.4985494654846638E-2</v>
      </c>
      <c r="AK1081" s="26">
        <f t="shared" si="371"/>
        <v>-6.9276293516550014E-2</v>
      </c>
      <c r="AL1081" s="26">
        <f t="shared" si="372"/>
        <v>-0.13551518251162303</v>
      </c>
      <c r="AM1081" s="26">
        <f t="shared" si="373"/>
        <v>-7.698088385347579E-2</v>
      </c>
      <c r="AN1081" s="26">
        <f t="shared" si="374"/>
        <v>-27.013571428571446</v>
      </c>
      <c r="AO1081" s="26">
        <f t="shared" si="375"/>
        <v>-29.57926914580267</v>
      </c>
      <c r="AP1081" s="26">
        <f t="shared" si="376"/>
        <v>-33.435727502585884</v>
      </c>
      <c r="AS1081" s="2">
        <v>44399</v>
      </c>
      <c r="AT1081">
        <v>21</v>
      </c>
      <c r="AU1081">
        <v>254.4</v>
      </c>
      <c r="AV1081">
        <v>8.6999999999999993</v>
      </c>
      <c r="AW1081">
        <v>0.6</v>
      </c>
      <c r="AX1081">
        <v>228.57</v>
      </c>
      <c r="AY1081">
        <v>0</v>
      </c>
      <c r="AZ1081">
        <v>3.3</v>
      </c>
      <c r="BA1081">
        <v>210.9639</v>
      </c>
      <c r="BB1081">
        <v>148.47800000000001</v>
      </c>
      <c r="BC1081">
        <v>111.0296</v>
      </c>
      <c r="BD1081">
        <v>3.9359999999999999</v>
      </c>
      <c r="BE1081">
        <v>21.930700000000002</v>
      </c>
      <c r="BF1081">
        <v>-14.9719</v>
      </c>
      <c r="BG1081">
        <v>-12.803800000000001</v>
      </c>
      <c r="BH1081">
        <v>53.6</v>
      </c>
    </row>
    <row r="1082" spans="1:60" x14ac:dyDescent="0.25">
      <c r="A1082" s="2">
        <v>44419</v>
      </c>
      <c r="B1082">
        <v>20.2</v>
      </c>
      <c r="C1082">
        <v>149.5</v>
      </c>
      <c r="D1082">
        <v>8.5</v>
      </c>
      <c r="E1082">
        <v>1</v>
      </c>
      <c r="F1082">
        <v>239.59</v>
      </c>
      <c r="G1082">
        <v>0.1</v>
      </c>
      <c r="H1082">
        <v>3.6</v>
      </c>
      <c r="I1082">
        <v>292.60289999999998</v>
      </c>
      <c r="J1082">
        <v>85.980699999999999</v>
      </c>
      <c r="K1082">
        <v>52.621400000000001</v>
      </c>
      <c r="L1082">
        <v>3.6848999999999998</v>
      </c>
      <c r="M1082">
        <v>24.9087</v>
      </c>
      <c r="N1082">
        <v>-18.956499999999998</v>
      </c>
      <c r="O1082">
        <v>-5.5068000000000001</v>
      </c>
      <c r="P1082">
        <v>60.73</v>
      </c>
      <c r="S1082">
        <f t="shared" si="355"/>
        <v>882.28859999999986</v>
      </c>
      <c r="T1082">
        <f t="shared" si="356"/>
        <v>1.8936792829142783E-2</v>
      </c>
      <c r="U1082">
        <f t="shared" si="357"/>
        <v>0.14015101623548742</v>
      </c>
      <c r="V1082">
        <f t="shared" si="358"/>
        <v>7.9684524281046359E-3</v>
      </c>
      <c r="W1082">
        <f t="shared" si="359"/>
        <v>9.3746499154172193E-4</v>
      </c>
      <c r="X1082">
        <f t="shared" si="360"/>
        <v>0.22460723732348115</v>
      </c>
      <c r="Y1082">
        <f t="shared" si="361"/>
        <v>9.3746499154172199E-5</v>
      </c>
      <c r="Z1082">
        <f t="shared" si="362"/>
        <v>3.3748739695501988E-3</v>
      </c>
      <c r="AA1082">
        <f t="shared" si="363"/>
        <v>0.27430497517358327</v>
      </c>
      <c r="AB1082">
        <f t="shared" si="364"/>
        <v>8.0603896198251326E-2</v>
      </c>
      <c r="AC1082">
        <f t="shared" si="365"/>
        <v>4.9330720305913567E-2</v>
      </c>
      <c r="AD1082">
        <f t="shared" si="366"/>
        <v>3.4544647473320907E-3</v>
      </c>
      <c r="AE1082">
        <f t="shared" si="367"/>
        <v>2.3351034234815288E-2</v>
      </c>
      <c r="AG1082">
        <f t="shared" si="368"/>
        <v>-3.5570017523315768E-2</v>
      </c>
      <c r="AH1082">
        <f t="shared" si="369"/>
        <v>0.41942061851127732</v>
      </c>
      <c r="AI1082">
        <f t="shared" si="370"/>
        <v>1.4419988605830132</v>
      </c>
      <c r="AK1082" s="26">
        <f t="shared" si="371"/>
        <v>-5.6289763777348178E-2</v>
      </c>
      <c r="AL1082" s="26">
        <f t="shared" si="372"/>
        <v>-0.13059433166703399</v>
      </c>
      <c r="AM1082" s="26">
        <f t="shared" si="373"/>
        <v>-7.4934862828810678E-2</v>
      </c>
      <c r="AN1082" s="26">
        <f t="shared" si="374"/>
        <v>-27.117142857142859</v>
      </c>
      <c r="AO1082" s="26">
        <f t="shared" si="375"/>
        <v>-29.723675595238106</v>
      </c>
      <c r="AP1082" s="26">
        <f t="shared" si="376"/>
        <v>-33.466561975822735</v>
      </c>
      <c r="AS1082" s="2">
        <v>44398</v>
      </c>
      <c r="AT1082">
        <v>19.2</v>
      </c>
      <c r="AU1082">
        <v>210.5</v>
      </c>
      <c r="AV1082">
        <v>12.4</v>
      </c>
      <c r="AW1082">
        <v>1.3</v>
      </c>
      <c r="AX1082">
        <v>235.01</v>
      </c>
      <c r="AY1082">
        <v>0</v>
      </c>
      <c r="AZ1082">
        <v>2.6</v>
      </c>
      <c r="BA1082">
        <v>217.4135</v>
      </c>
      <c r="BB1082">
        <v>135.80590000000001</v>
      </c>
      <c r="BC1082">
        <v>96.145300000000006</v>
      </c>
      <c r="BD1082">
        <v>3.9380999999999999</v>
      </c>
      <c r="BE1082">
        <v>18.324400000000001</v>
      </c>
      <c r="BF1082">
        <v>-13.2498</v>
      </c>
      <c r="BG1082">
        <v>-12.054600000000001</v>
      </c>
      <c r="BH1082">
        <v>53.45</v>
      </c>
    </row>
    <row r="1083" spans="1:60" x14ac:dyDescent="0.25">
      <c r="A1083" s="2">
        <v>44418</v>
      </c>
      <c r="B1083">
        <v>21.2</v>
      </c>
      <c r="C1083">
        <v>300</v>
      </c>
      <c r="D1083">
        <v>20</v>
      </c>
      <c r="E1083">
        <v>3.5</v>
      </c>
      <c r="F1083">
        <v>206.9</v>
      </c>
      <c r="G1083">
        <v>0</v>
      </c>
      <c r="H1083">
        <v>3.4</v>
      </c>
      <c r="I1083">
        <v>269.24310000000003</v>
      </c>
      <c r="J1083">
        <v>63.866300000000003</v>
      </c>
      <c r="K1083">
        <v>32.911299999999997</v>
      </c>
      <c r="L1083">
        <v>3.7168999999999999</v>
      </c>
      <c r="M1083">
        <v>27.403700000000001</v>
      </c>
      <c r="N1083">
        <v>-19.9605</v>
      </c>
      <c r="O1083">
        <v>-8.0726999999999993</v>
      </c>
      <c r="P1083">
        <v>60.45</v>
      </c>
      <c r="S1083">
        <f t="shared" si="355"/>
        <v>952.1413</v>
      </c>
      <c r="T1083">
        <f t="shared" si="356"/>
        <v>1.9874257820684502E-2</v>
      </c>
      <c r="U1083">
        <f t="shared" si="357"/>
        <v>0.28123949746251659</v>
      </c>
      <c r="V1083">
        <f t="shared" si="358"/>
        <v>1.8749299830834436E-2</v>
      </c>
      <c r="W1083">
        <f t="shared" si="359"/>
        <v>3.2811274703960268E-3</v>
      </c>
      <c r="X1083">
        <f t="shared" si="360"/>
        <v>0.19396150674998228</v>
      </c>
      <c r="Y1083">
        <f t="shared" si="361"/>
        <v>0</v>
      </c>
      <c r="Z1083">
        <f t="shared" si="362"/>
        <v>3.1873809712418544E-3</v>
      </c>
      <c r="AA1083">
        <f t="shared" si="363"/>
        <v>0.25240598046416701</v>
      </c>
      <c r="AB1083">
        <f t="shared" si="364"/>
        <v>5.9872420389301073E-2</v>
      </c>
      <c r="AC1083">
        <f t="shared" si="365"/>
        <v>3.0853191576127068E-2</v>
      </c>
      <c r="AD1083">
        <f t="shared" si="366"/>
        <v>3.4844636270614259E-3</v>
      </c>
      <c r="AE1083">
        <f t="shared" si="367"/>
        <v>2.5690009388711885E-2</v>
      </c>
      <c r="AG1083">
        <f t="shared" si="368"/>
        <v>-5.1785565529154934E-2</v>
      </c>
      <c r="AH1083">
        <f t="shared" si="369"/>
        <v>0.54598307969436766</v>
      </c>
      <c r="AI1083">
        <f t="shared" si="370"/>
        <v>2.4808062325459104</v>
      </c>
      <c r="AK1083" s="26">
        <f t="shared" si="371"/>
        <v>-5.4969798183137464E-2</v>
      </c>
      <c r="AL1083" s="26">
        <f t="shared" si="372"/>
        <v>-0.12965340130297182</v>
      </c>
      <c r="AM1083" s="26">
        <f t="shared" si="373"/>
        <v>-7.4174550374050685E-2</v>
      </c>
      <c r="AN1083" s="26">
        <f t="shared" si="374"/>
        <v>-27.217857142857163</v>
      </c>
      <c r="AO1083" s="26">
        <f t="shared" si="375"/>
        <v>-29.867182330827092</v>
      </c>
      <c r="AP1083" s="26">
        <f t="shared" si="376"/>
        <v>-33.493293549138315</v>
      </c>
      <c r="AS1083" s="2">
        <v>44397</v>
      </c>
      <c r="AT1083">
        <v>16</v>
      </c>
      <c r="AU1083">
        <v>98.9</v>
      </c>
      <c r="AV1083">
        <v>18.399999999999999</v>
      </c>
      <c r="AW1083">
        <v>1.2</v>
      </c>
      <c r="AX1083">
        <v>240.19</v>
      </c>
      <c r="AY1083">
        <v>0</v>
      </c>
      <c r="AZ1083">
        <v>2.5</v>
      </c>
      <c r="BA1083">
        <v>211.60220000000001</v>
      </c>
      <c r="BB1083">
        <v>131.6266</v>
      </c>
      <c r="BC1083">
        <v>92.876099999999994</v>
      </c>
      <c r="BD1083">
        <v>3.9235000000000002</v>
      </c>
      <c r="BE1083">
        <v>21.1401</v>
      </c>
      <c r="BF1083">
        <v>-12.1999</v>
      </c>
      <c r="BG1083">
        <v>-11.1875</v>
      </c>
      <c r="BH1083">
        <v>53.28</v>
      </c>
    </row>
    <row r="1084" spans="1:60" x14ac:dyDescent="0.25">
      <c r="A1084" s="2">
        <v>44417</v>
      </c>
      <c r="B1084">
        <v>20.6</v>
      </c>
      <c r="C1084">
        <v>135.1</v>
      </c>
      <c r="D1084">
        <v>55.3</v>
      </c>
      <c r="E1084">
        <v>6.3</v>
      </c>
      <c r="F1084">
        <v>219.43</v>
      </c>
      <c r="G1084">
        <v>0</v>
      </c>
      <c r="H1084">
        <v>3.1</v>
      </c>
      <c r="I1084">
        <v>208.21530000000001</v>
      </c>
      <c r="J1084">
        <v>23.451899999999998</v>
      </c>
      <c r="K1084">
        <v>32.088500000000003</v>
      </c>
      <c r="L1084">
        <v>3.7961999999999998</v>
      </c>
      <c r="M1084">
        <v>26.7927</v>
      </c>
      <c r="N1084">
        <v>-16.602399999999999</v>
      </c>
      <c r="O1084">
        <v>-7.6315999999999997</v>
      </c>
      <c r="P1084">
        <v>60.12</v>
      </c>
      <c r="S1084">
        <f t="shared" si="355"/>
        <v>734.17459999999994</v>
      </c>
      <c r="T1084">
        <f t="shared" si="356"/>
        <v>1.9311778825759473E-2</v>
      </c>
      <c r="U1084">
        <f t="shared" si="357"/>
        <v>0.12665152035728663</v>
      </c>
      <c r="V1084">
        <f t="shared" si="358"/>
        <v>5.1841814032257218E-2</v>
      </c>
      <c r="W1084">
        <f t="shared" si="359"/>
        <v>5.9060294467128483E-3</v>
      </c>
      <c r="X1084">
        <f t="shared" si="360"/>
        <v>0.20570794309400003</v>
      </c>
      <c r="Y1084">
        <f t="shared" si="361"/>
        <v>0</v>
      </c>
      <c r="Z1084">
        <f t="shared" si="362"/>
        <v>2.9061414737793379E-3</v>
      </c>
      <c r="AA1084">
        <f t="shared" si="363"/>
        <v>0.19519455445335709</v>
      </c>
      <c r="AB1084">
        <f t="shared" si="364"/>
        <v>2.1985335235137307E-2</v>
      </c>
      <c r="AC1084">
        <f t="shared" si="365"/>
        <v>3.0081845381086547E-2</v>
      </c>
      <c r="AD1084">
        <f t="shared" si="366"/>
        <v>3.5588046008906845E-3</v>
      </c>
      <c r="AE1084">
        <f t="shared" si="367"/>
        <v>2.5117218278879892E-2</v>
      </c>
      <c r="AG1084">
        <f t="shared" si="368"/>
        <v>-7.0286096987158209E-2</v>
      </c>
      <c r="AH1084">
        <f t="shared" si="369"/>
        <v>0.43744244550867539</v>
      </c>
      <c r="AI1084">
        <f t="shared" si="370"/>
        <v>1.6049719913010003</v>
      </c>
      <c r="AK1084" s="26">
        <f t="shared" si="371"/>
        <v>-5.8994734297909857E-2</v>
      </c>
      <c r="AL1084" s="26">
        <f t="shared" si="372"/>
        <v>-0.13254138731589676</v>
      </c>
      <c r="AM1084" s="26">
        <f t="shared" si="373"/>
        <v>-7.5149422750810102E-2</v>
      </c>
      <c r="AN1084" s="26">
        <f t="shared" si="374"/>
        <v>-27.316190476190499</v>
      </c>
      <c r="AO1084" s="26">
        <f t="shared" si="375"/>
        <v>-30.010801671732537</v>
      </c>
      <c r="AP1084" s="26">
        <f t="shared" si="376"/>
        <v>-33.515065346070436</v>
      </c>
      <c r="AS1084" s="2">
        <v>44396</v>
      </c>
      <c r="AT1084">
        <v>13.4</v>
      </c>
      <c r="AU1084">
        <v>67.599999999999994</v>
      </c>
      <c r="AV1084">
        <v>24</v>
      </c>
      <c r="AW1084">
        <v>2.6</v>
      </c>
      <c r="AX1084">
        <v>225.58</v>
      </c>
      <c r="AY1084">
        <v>0</v>
      </c>
      <c r="AZ1084">
        <v>3</v>
      </c>
      <c r="BA1084">
        <v>211.47290000000001</v>
      </c>
      <c r="BB1084">
        <v>99.657899999999998</v>
      </c>
      <c r="BC1084">
        <v>78.351699999999994</v>
      </c>
      <c r="BD1084">
        <v>4.0820999999999996</v>
      </c>
      <c r="BE1084">
        <v>21.625</v>
      </c>
      <c r="BF1084">
        <v>-11.1858</v>
      </c>
      <c r="BG1084">
        <v>-10.7972</v>
      </c>
      <c r="BH1084">
        <v>53.09</v>
      </c>
    </row>
    <row r="1085" spans="1:60" x14ac:dyDescent="0.25">
      <c r="A1085" s="2">
        <v>44416</v>
      </c>
      <c r="B1085">
        <v>18.899999999999999</v>
      </c>
      <c r="C1085">
        <v>186.7</v>
      </c>
      <c r="D1085">
        <v>41.5</v>
      </c>
      <c r="E1085">
        <v>6.4</v>
      </c>
      <c r="F1085">
        <v>184.14</v>
      </c>
      <c r="G1085">
        <v>0</v>
      </c>
      <c r="H1085">
        <v>3.1</v>
      </c>
      <c r="I1085">
        <v>104.69670000000001</v>
      </c>
      <c r="J1085">
        <v>12.3307</v>
      </c>
      <c r="K1085">
        <v>21.181100000000001</v>
      </c>
      <c r="L1085">
        <v>3.8267000000000002</v>
      </c>
      <c r="M1085">
        <v>14.951700000000001</v>
      </c>
      <c r="P1085">
        <v>59.81</v>
      </c>
      <c r="S1085">
        <f t="shared" si="355"/>
        <v>597.72689999999989</v>
      </c>
      <c r="T1085">
        <f t="shared" si="356"/>
        <v>1.7718088340138542E-2</v>
      </c>
      <c r="U1085">
        <f t="shared" si="357"/>
        <v>0.17502471392083946</v>
      </c>
      <c r="V1085">
        <f t="shared" si="358"/>
        <v>3.8904797148981457E-2</v>
      </c>
      <c r="W1085">
        <f t="shared" si="359"/>
        <v>5.9997759458670207E-3</v>
      </c>
      <c r="X1085">
        <f t="shared" si="360"/>
        <v>0.17262480354249266</v>
      </c>
      <c r="Y1085">
        <f t="shared" si="361"/>
        <v>0</v>
      </c>
      <c r="Z1085">
        <f t="shared" si="362"/>
        <v>2.9061414737793379E-3</v>
      </c>
      <c r="AA1085">
        <f t="shared" si="363"/>
        <v>9.81494909799462E-2</v>
      </c>
      <c r="AB1085">
        <f t="shared" si="364"/>
        <v>1.155959957120351E-2</v>
      </c>
      <c r="AC1085">
        <f t="shared" si="365"/>
        <v>1.9856539732344365E-2</v>
      </c>
      <c r="AD1085">
        <f t="shared" si="366"/>
        <v>3.5873972831327074E-3</v>
      </c>
      <c r="AE1085">
        <f t="shared" si="367"/>
        <v>1.4016695314034364E-2</v>
      </c>
      <c r="AG1085">
        <f t="shared" si="368"/>
        <v>-8.7874901483680573E-2</v>
      </c>
      <c r="AH1085">
        <f t="shared" si="369"/>
        <v>0.42719501568613283</v>
      </c>
      <c r="AI1085">
        <f t="shared" si="370"/>
        <v>1.5130431607821511</v>
      </c>
      <c r="AK1085" s="26">
        <f t="shared" si="371"/>
        <v>-6.3757371835741872E-2</v>
      </c>
      <c r="AL1085" s="26">
        <f t="shared" si="372"/>
        <v>-0.13741014072547392</v>
      </c>
      <c r="AM1085" s="26">
        <f t="shared" si="373"/>
        <v>-7.6578171874756296E-2</v>
      </c>
      <c r="AN1085" s="26">
        <f t="shared" si="374"/>
        <v>-27.410952380952395</v>
      </c>
      <c r="AO1085" s="26">
        <f t="shared" si="375"/>
        <v>-30.153792242703545</v>
      </c>
      <c r="AP1085" s="26">
        <f t="shared" si="376"/>
        <v>-33.532409439528024</v>
      </c>
      <c r="AS1085" s="2">
        <v>44395</v>
      </c>
      <c r="AT1085">
        <v>13.4</v>
      </c>
      <c r="AU1085">
        <v>172.2</v>
      </c>
      <c r="AV1085">
        <v>30</v>
      </c>
      <c r="AW1085">
        <v>4.2</v>
      </c>
      <c r="AX1085">
        <v>268.33999999999997</v>
      </c>
      <c r="AY1085">
        <v>0</v>
      </c>
      <c r="AZ1085">
        <v>2.8</v>
      </c>
      <c r="BA1085">
        <v>130.64879999999999</v>
      </c>
      <c r="BB1085">
        <v>21.3477</v>
      </c>
      <c r="BC1085">
        <v>21.3675</v>
      </c>
      <c r="BD1085">
        <v>4.0307000000000004</v>
      </c>
      <c r="BE1085">
        <v>13.7334</v>
      </c>
      <c r="BH1085">
        <v>52.88</v>
      </c>
    </row>
    <row r="1086" spans="1:60" x14ac:dyDescent="0.25">
      <c r="A1086" s="2">
        <v>44415</v>
      </c>
      <c r="B1086">
        <v>22</v>
      </c>
      <c r="C1086">
        <v>142.1</v>
      </c>
      <c r="D1086">
        <v>32</v>
      </c>
      <c r="E1086">
        <v>3.9</v>
      </c>
      <c r="F1086">
        <v>171.54</v>
      </c>
      <c r="G1086">
        <v>0</v>
      </c>
      <c r="H1086">
        <v>3.5</v>
      </c>
      <c r="I1086">
        <v>187.6902</v>
      </c>
      <c r="J1086">
        <v>13.423999999999999</v>
      </c>
      <c r="K1086">
        <v>27.391100000000002</v>
      </c>
      <c r="L1086">
        <v>3.8403</v>
      </c>
      <c r="M1086">
        <v>22.329599999999999</v>
      </c>
      <c r="P1086">
        <v>59.43</v>
      </c>
      <c r="S1086">
        <f t="shared" si="355"/>
        <v>629.71519999999998</v>
      </c>
      <c r="T1086">
        <f t="shared" si="356"/>
        <v>2.0624229813917882E-2</v>
      </c>
      <c r="U1086">
        <f t="shared" si="357"/>
        <v>0.13321377529807868</v>
      </c>
      <c r="V1086">
        <f t="shared" si="358"/>
        <v>2.9998879729335102E-2</v>
      </c>
      <c r="W1086">
        <f t="shared" si="359"/>
        <v>3.6561134670127153E-3</v>
      </c>
      <c r="X1086">
        <f t="shared" si="360"/>
        <v>0.16081274464906697</v>
      </c>
      <c r="Y1086">
        <f t="shared" si="361"/>
        <v>0</v>
      </c>
      <c r="Z1086">
        <f t="shared" si="362"/>
        <v>3.2811274703960268E-3</v>
      </c>
      <c r="AA1086">
        <f t="shared" si="363"/>
        <v>0.17595299175546411</v>
      </c>
      <c r="AB1086">
        <f t="shared" si="364"/>
        <v>1.2584530046456075E-2</v>
      </c>
      <c r="AC1086">
        <f t="shared" si="365"/>
        <v>2.5678197329818461E-2</v>
      </c>
      <c r="AD1086">
        <f t="shared" si="366"/>
        <v>3.6001468070176747E-3</v>
      </c>
      <c r="AE1086">
        <f t="shared" si="367"/>
        <v>2.0933218275130033E-2</v>
      </c>
      <c r="AG1086">
        <f t="shared" si="368"/>
        <v>-0.10864502077325235</v>
      </c>
      <c r="AH1086">
        <f t="shared" si="369"/>
        <v>0.3725200887029374</v>
      </c>
      <c r="AI1086">
        <f t="shared" si="370"/>
        <v>1.0588383953798983</v>
      </c>
      <c r="AK1086" s="26">
        <f t="shared" si="371"/>
        <v>-4.4388593479533611E-2</v>
      </c>
      <c r="AL1086" s="26">
        <f t="shared" si="372"/>
        <v>-0.12930064278852732</v>
      </c>
      <c r="AM1086" s="26">
        <f t="shared" si="373"/>
        <v>-7.327210380467708E-2</v>
      </c>
      <c r="AN1086" s="26">
        <f t="shared" si="374"/>
        <v>-27.508571428571422</v>
      </c>
      <c r="AO1086" s="26">
        <f t="shared" si="375"/>
        <v>-30.297546583850938</v>
      </c>
      <c r="AP1086" s="26">
        <f t="shared" si="376"/>
        <v>-33.54641206865832</v>
      </c>
      <c r="AS1086" s="2">
        <v>44394</v>
      </c>
      <c r="AT1086">
        <v>19.899999999999999</v>
      </c>
      <c r="AU1086">
        <v>38.9</v>
      </c>
      <c r="AV1086">
        <v>30.3</v>
      </c>
      <c r="AW1086">
        <v>5.4</v>
      </c>
      <c r="AX1086">
        <v>177.21</v>
      </c>
      <c r="AY1086">
        <v>0</v>
      </c>
      <c r="AZ1086">
        <v>2.9</v>
      </c>
      <c r="BA1086">
        <v>173.72540000000001</v>
      </c>
      <c r="BB1086">
        <v>25.9377</v>
      </c>
      <c r="BC1086">
        <v>26.921900000000001</v>
      </c>
      <c r="BD1086">
        <v>4.0041000000000002</v>
      </c>
      <c r="BE1086">
        <v>21.838699999999999</v>
      </c>
      <c r="BH1086">
        <v>52.57</v>
      </c>
    </row>
    <row r="1087" spans="1:60" x14ac:dyDescent="0.25">
      <c r="A1087" s="2">
        <v>44414</v>
      </c>
      <c r="B1087">
        <v>20.2</v>
      </c>
      <c r="C1087">
        <v>142.9</v>
      </c>
      <c r="D1087">
        <v>43.6</v>
      </c>
      <c r="E1087">
        <v>5</v>
      </c>
      <c r="F1087">
        <v>189.86</v>
      </c>
      <c r="G1087">
        <v>0</v>
      </c>
      <c r="H1087">
        <v>3.3</v>
      </c>
      <c r="I1087">
        <v>240.65889999999999</v>
      </c>
      <c r="J1087">
        <v>27.2928</v>
      </c>
      <c r="K1087">
        <v>33.309899999999999</v>
      </c>
      <c r="L1087">
        <v>3.8233000000000001</v>
      </c>
      <c r="M1087">
        <v>23.1374</v>
      </c>
      <c r="N1087">
        <v>-17.501799999999999</v>
      </c>
      <c r="O1087">
        <v>-6.7390999999999996</v>
      </c>
      <c r="P1087">
        <v>59.04</v>
      </c>
      <c r="S1087">
        <f t="shared" si="355"/>
        <v>733.08229999999992</v>
      </c>
      <c r="T1087">
        <f t="shared" si="356"/>
        <v>1.8936792829142783E-2</v>
      </c>
      <c r="U1087">
        <f t="shared" si="357"/>
        <v>0.13396374729131208</v>
      </c>
      <c r="V1087">
        <f t="shared" si="358"/>
        <v>4.0873473631219077E-2</v>
      </c>
      <c r="W1087">
        <f t="shared" si="359"/>
        <v>4.6873249577086091E-3</v>
      </c>
      <c r="X1087">
        <f t="shared" si="360"/>
        <v>0.17798710329411133</v>
      </c>
      <c r="Y1087">
        <f t="shared" si="361"/>
        <v>0</v>
      </c>
      <c r="Z1087">
        <f t="shared" si="362"/>
        <v>3.0936344720876819E-3</v>
      </c>
      <c r="AA1087">
        <f t="shared" si="363"/>
        <v>0.22560929365294008</v>
      </c>
      <c r="AB1087">
        <f t="shared" si="364"/>
        <v>2.5586044521149907E-2</v>
      </c>
      <c r="AC1087">
        <f t="shared" si="365"/>
        <v>3.1226865121755602E-2</v>
      </c>
      <c r="AD1087">
        <f t="shared" si="366"/>
        <v>3.5842099021614654E-3</v>
      </c>
      <c r="AE1087">
        <f t="shared" si="367"/>
        <v>2.1690502495297435E-2</v>
      </c>
      <c r="AG1087">
        <f t="shared" si="368"/>
        <v>-0.12986365716644221</v>
      </c>
      <c r="AH1087">
        <f t="shared" si="369"/>
        <v>0.40123257897087894</v>
      </c>
      <c r="AI1087">
        <f t="shared" si="370"/>
        <v>1.2617132902912322</v>
      </c>
      <c r="AK1087" s="26">
        <f t="shared" si="371"/>
        <v>-3.6917833849642034E-2</v>
      </c>
      <c r="AL1087" s="26">
        <f t="shared" si="372"/>
        <v>-0.12540371494609148</v>
      </c>
      <c r="AM1087" s="26">
        <f t="shared" si="373"/>
        <v>-7.2625256084430379E-2</v>
      </c>
      <c r="AN1087" s="26">
        <f t="shared" si="374"/>
        <v>-27.616428571428585</v>
      </c>
      <c r="AO1087" s="26">
        <f t="shared" si="375"/>
        <v>-30.445714285714295</v>
      </c>
      <c r="AP1087" s="26">
        <f t="shared" si="376"/>
        <v>-33.557613609184408</v>
      </c>
      <c r="AS1087" s="2">
        <v>44393</v>
      </c>
      <c r="AT1087">
        <v>20</v>
      </c>
      <c r="AU1087">
        <v>292.60000000000002</v>
      </c>
      <c r="AV1087">
        <v>40</v>
      </c>
      <c r="AW1087">
        <v>2.2999999999999998</v>
      </c>
      <c r="AX1087">
        <v>210.55</v>
      </c>
      <c r="AY1087">
        <v>0</v>
      </c>
      <c r="AZ1087">
        <v>2.8</v>
      </c>
      <c r="BA1087">
        <v>212.7072</v>
      </c>
      <c r="BB1087">
        <v>119.6157</v>
      </c>
      <c r="BC1087">
        <v>82.220799999999997</v>
      </c>
      <c r="BD1087">
        <v>4.0792999999999999</v>
      </c>
      <c r="BE1087">
        <v>16.443999999999999</v>
      </c>
      <c r="BF1087">
        <v>-12.1221</v>
      </c>
      <c r="BG1087">
        <v>-12.446899999999999</v>
      </c>
      <c r="BH1087">
        <v>52.27</v>
      </c>
    </row>
    <row r="1088" spans="1:60" x14ac:dyDescent="0.25">
      <c r="A1088" s="2">
        <v>44413</v>
      </c>
      <c r="B1088">
        <v>19.7</v>
      </c>
      <c r="C1088">
        <v>117.6</v>
      </c>
      <c r="D1088">
        <v>13.7</v>
      </c>
      <c r="E1088">
        <v>1.4</v>
      </c>
      <c r="F1088">
        <v>180.48</v>
      </c>
      <c r="G1088">
        <v>0</v>
      </c>
      <c r="H1088">
        <v>3.4</v>
      </c>
      <c r="I1088">
        <v>297.98630000000003</v>
      </c>
      <c r="J1088">
        <v>109.95099999999999</v>
      </c>
      <c r="K1088">
        <v>51.219799999999999</v>
      </c>
      <c r="L1088">
        <v>3.7616000000000001</v>
      </c>
      <c r="M1088">
        <v>19.9878</v>
      </c>
      <c r="N1088">
        <v>-16.791699999999999</v>
      </c>
      <c r="O1088">
        <v>-5.9736000000000002</v>
      </c>
      <c r="P1088">
        <v>58.67</v>
      </c>
      <c r="S1088">
        <f t="shared" si="355"/>
        <v>819.18650000000002</v>
      </c>
      <c r="T1088">
        <f t="shared" si="356"/>
        <v>1.8468060333371922E-2</v>
      </c>
      <c r="U1088">
        <f t="shared" si="357"/>
        <v>0.11024588300530649</v>
      </c>
      <c r="V1088">
        <f t="shared" si="358"/>
        <v>1.2843270384121589E-2</v>
      </c>
      <c r="W1088">
        <f t="shared" si="359"/>
        <v>1.3124509881584105E-3</v>
      </c>
      <c r="X1088">
        <f t="shared" si="360"/>
        <v>0.16919368167344995</v>
      </c>
      <c r="Y1088">
        <f t="shared" si="361"/>
        <v>0</v>
      </c>
      <c r="Z1088">
        <f t="shared" si="362"/>
        <v>3.1873809712418544E-3</v>
      </c>
      <c r="AA1088">
        <f t="shared" si="363"/>
        <v>0.27935172420904902</v>
      </c>
      <c r="AB1088">
        <f t="shared" si="364"/>
        <v>0.10307521328500385</v>
      </c>
      <c r="AC1088">
        <f t="shared" si="365"/>
        <v>4.801676937376869E-2</v>
      </c>
      <c r="AD1088">
        <f t="shared" si="366"/>
        <v>3.526368312183341E-3</v>
      </c>
      <c r="AE1088">
        <f t="shared" si="367"/>
        <v>1.873786275793763E-2</v>
      </c>
      <c r="AG1088">
        <f t="shared" si="368"/>
        <v>-0.15017270219094284</v>
      </c>
      <c r="AH1088">
        <f t="shared" si="369"/>
        <v>0.33398859011358784</v>
      </c>
      <c r="AI1088">
        <f t="shared" si="370"/>
        <v>0.70652105698590251</v>
      </c>
      <c r="AK1088" s="26">
        <f t="shared" si="371"/>
        <v>-2.5551288728725419E-2</v>
      </c>
      <c r="AL1088" s="26">
        <f t="shared" si="372"/>
        <v>-0.11707939618295254</v>
      </c>
      <c r="AM1088" s="26">
        <f t="shared" si="373"/>
        <v>-7.1396761788923457E-2</v>
      </c>
      <c r="AN1088" s="26">
        <f t="shared" si="374"/>
        <v>-27.725000000000009</v>
      </c>
      <c r="AO1088" s="26">
        <f t="shared" si="375"/>
        <v>-30.594087301587308</v>
      </c>
      <c r="AP1088" s="26">
        <f t="shared" si="376"/>
        <v>-33.562611522485092</v>
      </c>
      <c r="AS1088" s="2">
        <v>44392</v>
      </c>
      <c r="AT1088">
        <v>19.899999999999999</v>
      </c>
      <c r="AU1088">
        <v>72.8</v>
      </c>
      <c r="AV1088">
        <v>64.099999999999994</v>
      </c>
      <c r="AW1088">
        <v>2.1</v>
      </c>
      <c r="AX1088">
        <v>187.82</v>
      </c>
      <c r="AY1088">
        <v>0</v>
      </c>
      <c r="AZ1088">
        <v>2.7</v>
      </c>
      <c r="BA1088">
        <v>186.2792</v>
      </c>
      <c r="BB1088">
        <v>141.6474</v>
      </c>
      <c r="BC1088">
        <v>126.94759999999999</v>
      </c>
      <c r="BD1088">
        <v>4.2694999999999999</v>
      </c>
      <c r="BE1088">
        <v>13.210599999999999</v>
      </c>
      <c r="BF1088">
        <v>-10.054</v>
      </c>
      <c r="BG1088">
        <v>-12.513</v>
      </c>
      <c r="BH1088">
        <v>51.99</v>
      </c>
    </row>
    <row r="1089" spans="1:60" x14ac:dyDescent="0.25">
      <c r="A1089" s="2">
        <v>44412</v>
      </c>
      <c r="B1089">
        <v>22</v>
      </c>
      <c r="C1089">
        <v>224.1</v>
      </c>
      <c r="D1089">
        <v>1.6</v>
      </c>
      <c r="E1089">
        <v>0.8</v>
      </c>
      <c r="F1089">
        <v>167.19</v>
      </c>
      <c r="G1089">
        <v>0</v>
      </c>
      <c r="H1089">
        <v>3.1</v>
      </c>
      <c r="I1089">
        <v>292.6703</v>
      </c>
      <c r="J1089">
        <v>130.07740000000001</v>
      </c>
      <c r="K1089">
        <v>71.693100000000001</v>
      </c>
      <c r="L1089">
        <v>3.8144999999999998</v>
      </c>
      <c r="M1089">
        <v>26.911799999999999</v>
      </c>
      <c r="N1089">
        <v>-15.9634</v>
      </c>
      <c r="O1089">
        <v>-5.4931000000000001</v>
      </c>
      <c r="P1089">
        <v>58.36</v>
      </c>
      <c r="S1089">
        <f t="shared" si="355"/>
        <v>943.95709999999985</v>
      </c>
      <c r="T1089">
        <f t="shared" si="356"/>
        <v>2.0624229813917882E-2</v>
      </c>
      <c r="U1089">
        <f t="shared" si="357"/>
        <v>0.21008590460449988</v>
      </c>
      <c r="V1089">
        <f t="shared" si="358"/>
        <v>1.4999439864667552E-3</v>
      </c>
      <c r="W1089">
        <f t="shared" si="359"/>
        <v>7.4997199323337759E-4</v>
      </c>
      <c r="X1089">
        <f t="shared" si="360"/>
        <v>0.1567347719358605</v>
      </c>
      <c r="Y1089">
        <f t="shared" si="361"/>
        <v>0</v>
      </c>
      <c r="Z1089">
        <f t="shared" si="362"/>
        <v>2.9061414737793379E-3</v>
      </c>
      <c r="AA1089">
        <f t="shared" si="363"/>
        <v>0.27436816031401323</v>
      </c>
      <c r="AB1089">
        <f t="shared" si="364"/>
        <v>0.12194300869076918</v>
      </c>
      <c r="AC1089">
        <f t="shared" si="365"/>
        <v>6.7209771385099829E-2</v>
      </c>
      <c r="AD1089">
        <f t="shared" si="366"/>
        <v>3.5759602102358981E-3</v>
      </c>
      <c r="AE1089">
        <f t="shared" si="367"/>
        <v>2.5228870359372511E-2</v>
      </c>
      <c r="AG1089">
        <f t="shared" si="368"/>
        <v>-0.1677512751278516</v>
      </c>
      <c r="AH1089">
        <f t="shared" si="369"/>
        <v>0.41782983416713015</v>
      </c>
      <c r="AI1089">
        <f t="shared" si="370"/>
        <v>1.3479916492315542</v>
      </c>
      <c r="AK1089" s="26">
        <f t="shared" si="371"/>
        <v>-2.9259617563429319E-2</v>
      </c>
      <c r="AL1089" s="26">
        <f t="shared" si="372"/>
        <v>-0.11456660696051918</v>
      </c>
      <c r="AM1089" s="26">
        <f t="shared" si="373"/>
        <v>-6.9413025275478712E-2</v>
      </c>
      <c r="AN1089" s="26">
        <f t="shared" si="374"/>
        <v>-27.835238095238097</v>
      </c>
      <c r="AO1089" s="26">
        <f t="shared" si="375"/>
        <v>-30.741266051364356</v>
      </c>
      <c r="AP1089" s="26">
        <f t="shared" si="376"/>
        <v>-33.559981815977679</v>
      </c>
      <c r="AS1089" s="2">
        <v>44391</v>
      </c>
      <c r="AT1089">
        <v>19.8</v>
      </c>
      <c r="AU1089">
        <v>35.6</v>
      </c>
      <c r="AV1089">
        <v>24.9</v>
      </c>
      <c r="AW1089">
        <v>3.1</v>
      </c>
      <c r="AX1089">
        <v>131.9</v>
      </c>
      <c r="AY1089">
        <v>0</v>
      </c>
      <c r="AZ1089">
        <v>2.9</v>
      </c>
      <c r="BA1089">
        <v>255.79159999999999</v>
      </c>
      <c r="BB1089">
        <v>140.21619999999999</v>
      </c>
      <c r="BC1089">
        <v>106.4207</v>
      </c>
      <c r="BD1089">
        <v>4.6307999999999998</v>
      </c>
      <c r="BE1089">
        <v>25.762699999999999</v>
      </c>
      <c r="BF1089">
        <v>-11.954000000000001</v>
      </c>
      <c r="BG1089">
        <v>-12.5405</v>
      </c>
      <c r="BH1089">
        <v>51.78</v>
      </c>
    </row>
    <row r="1090" spans="1:60" x14ac:dyDescent="0.25">
      <c r="A1090" s="2">
        <v>44411</v>
      </c>
      <c r="B1090">
        <v>21.9</v>
      </c>
      <c r="C1090">
        <v>240.5</v>
      </c>
      <c r="D1090">
        <v>4.5</v>
      </c>
      <c r="E1090">
        <v>0.9</v>
      </c>
      <c r="F1090">
        <v>179.42</v>
      </c>
      <c r="G1090">
        <v>0</v>
      </c>
      <c r="H1090">
        <v>3</v>
      </c>
      <c r="I1090">
        <v>293.7167</v>
      </c>
      <c r="J1090">
        <v>115.2269</v>
      </c>
      <c r="K1090">
        <v>53.185899999999997</v>
      </c>
      <c r="L1090">
        <v>3.7963</v>
      </c>
      <c r="M1090">
        <v>23.525700000000001</v>
      </c>
      <c r="N1090">
        <v>-14.6477</v>
      </c>
      <c r="O1090">
        <v>-4.8788</v>
      </c>
      <c r="P1090">
        <v>58.07</v>
      </c>
      <c r="S1090">
        <f t="shared" ref="S1090:S1153" si="377">SUM(B1090:M1090)</f>
        <v>939.67149999999992</v>
      </c>
      <c r="T1090">
        <f t="shared" si="356"/>
        <v>2.0530483314763707E-2</v>
      </c>
      <c r="U1090">
        <f t="shared" si="357"/>
        <v>0.22546033046578412</v>
      </c>
      <c r="V1090">
        <f t="shared" si="358"/>
        <v>4.2185924619377486E-3</v>
      </c>
      <c r="W1090">
        <f t="shared" si="359"/>
        <v>8.4371849238754971E-4</v>
      </c>
      <c r="X1090">
        <f t="shared" si="360"/>
        <v>0.16819996878241572</v>
      </c>
      <c r="Y1090">
        <f t="shared" si="361"/>
        <v>0</v>
      </c>
      <c r="Z1090">
        <f t="shared" si="362"/>
        <v>2.8123949746251659E-3</v>
      </c>
      <c r="AA1090">
        <f t="shared" si="363"/>
        <v>0.27534912368116249</v>
      </c>
      <c r="AB1090">
        <f t="shared" si="364"/>
        <v>0.10802118483387883</v>
      </c>
      <c r="AC1090">
        <f t="shared" si="365"/>
        <v>4.9859919293638866E-2</v>
      </c>
      <c r="AD1090">
        <f t="shared" si="366"/>
        <v>3.5588983473898387E-3</v>
      </c>
      <c r="AE1090">
        <f t="shared" si="367"/>
        <v>2.2054520151513088E-2</v>
      </c>
      <c r="AG1090">
        <f t="shared" si="368"/>
        <v>-0.18442284588299943</v>
      </c>
      <c r="AH1090">
        <f t="shared" si="369"/>
        <v>0.4441200086434271</v>
      </c>
      <c r="AI1090">
        <f t="shared" si="370"/>
        <v>1.5362173832290205</v>
      </c>
      <c r="AK1090" s="26">
        <f t="shared" si="371"/>
        <v>-4.8784722001341319E-2</v>
      </c>
      <c r="AL1090" s="26">
        <f t="shared" si="372"/>
        <v>-0.11373958655916944</v>
      </c>
      <c r="AM1090" s="26">
        <f t="shared" si="373"/>
        <v>-6.9150456415140837E-2</v>
      </c>
      <c r="AN1090" s="26">
        <f t="shared" si="374"/>
        <v>-27.942380952380958</v>
      </c>
      <c r="AO1090" s="26">
        <f t="shared" si="375"/>
        <v>-30.888003246753264</v>
      </c>
      <c r="AP1090" s="26">
        <f t="shared" si="376"/>
        <v>-33.550012816600535</v>
      </c>
      <c r="AS1090" s="2">
        <v>44390</v>
      </c>
      <c r="AT1090">
        <v>20.8</v>
      </c>
      <c r="AU1090">
        <v>6.7</v>
      </c>
      <c r="AV1090">
        <v>9</v>
      </c>
      <c r="AW1090">
        <v>1.4</v>
      </c>
      <c r="AX1090">
        <v>156.68</v>
      </c>
      <c r="AY1090">
        <v>0</v>
      </c>
      <c r="AZ1090">
        <v>2.5</v>
      </c>
      <c r="BA1090">
        <v>269.87220000000002</v>
      </c>
      <c r="BB1090">
        <v>160.18719999999999</v>
      </c>
      <c r="BC1090">
        <v>131.19</v>
      </c>
      <c r="BD1090">
        <v>3.3782000000000001</v>
      </c>
      <c r="BE1090">
        <v>20.595300000000002</v>
      </c>
      <c r="BF1090">
        <v>-10.6995</v>
      </c>
      <c r="BG1090">
        <v>-9.8023000000000007</v>
      </c>
      <c r="BH1090">
        <v>51.61</v>
      </c>
    </row>
    <row r="1091" spans="1:60" x14ac:dyDescent="0.25">
      <c r="A1091" s="2">
        <v>44410</v>
      </c>
      <c r="B1091">
        <v>20.9</v>
      </c>
      <c r="C1091">
        <v>135.1</v>
      </c>
      <c r="D1091">
        <v>44.2</v>
      </c>
      <c r="E1091">
        <v>4.4000000000000004</v>
      </c>
      <c r="F1091">
        <v>197.42</v>
      </c>
      <c r="G1091">
        <v>0</v>
      </c>
      <c r="H1091">
        <v>3</v>
      </c>
      <c r="I1091">
        <v>255.37639999999999</v>
      </c>
      <c r="J1091">
        <v>41.106299999999997</v>
      </c>
      <c r="K1091">
        <v>32.409799999999997</v>
      </c>
      <c r="L1091">
        <v>3.7578</v>
      </c>
      <c r="M1091">
        <v>26.679500000000001</v>
      </c>
      <c r="N1091">
        <v>-15.544</v>
      </c>
      <c r="O1091">
        <v>-4.1748000000000003</v>
      </c>
      <c r="P1091">
        <v>57.77</v>
      </c>
      <c r="S1091">
        <f t="shared" si="377"/>
        <v>764.34979999999996</v>
      </c>
      <c r="T1091">
        <f t="shared" si="356"/>
        <v>1.9593018323221988E-2</v>
      </c>
      <c r="U1091">
        <f t="shared" si="357"/>
        <v>0.12665152035728663</v>
      </c>
      <c r="V1091">
        <f t="shared" si="358"/>
        <v>4.1435952626144114E-2</v>
      </c>
      <c r="W1091">
        <f t="shared" si="359"/>
        <v>4.1248459627835771E-3</v>
      </c>
      <c r="X1091">
        <f t="shared" si="360"/>
        <v>0.18507433863016673</v>
      </c>
      <c r="Y1091">
        <f t="shared" si="361"/>
        <v>0</v>
      </c>
      <c r="Z1091">
        <f t="shared" si="362"/>
        <v>2.8123949746251659E-3</v>
      </c>
      <c r="AA1091">
        <f t="shared" si="363"/>
        <v>0.23940643466595538</v>
      </c>
      <c r="AB1091">
        <f t="shared" si="364"/>
        <v>3.853571718181148E-2</v>
      </c>
      <c r="AC1091">
        <f t="shared" si="365"/>
        <v>3.0383052882868897E-2</v>
      </c>
      <c r="AD1091">
        <f t="shared" si="366"/>
        <v>3.5228059452154827E-3</v>
      </c>
      <c r="AE1091">
        <f t="shared" si="367"/>
        <v>2.5011097241837369E-2</v>
      </c>
      <c r="AG1091">
        <f t="shared" si="368"/>
        <v>-0.20155186248524729</v>
      </c>
      <c r="AH1091">
        <f t="shared" si="369"/>
        <v>0.40470316811606555</v>
      </c>
      <c r="AI1091">
        <f t="shared" si="370"/>
        <v>1.2263662991409146</v>
      </c>
      <c r="AK1091" s="26">
        <f t="shared" si="371"/>
        <v>-6.9515379553477807E-2</v>
      </c>
      <c r="AL1091" s="26">
        <f t="shared" si="372"/>
        <v>-0.11831107365322951</v>
      </c>
      <c r="AM1091" s="26">
        <f t="shared" si="373"/>
        <v>-7.3078750197291265E-2</v>
      </c>
      <c r="AN1091" s="26">
        <f t="shared" si="374"/>
        <v>-28.038333333333355</v>
      </c>
      <c r="AO1091" s="26">
        <f t="shared" si="375"/>
        <v>-31.033403119868638</v>
      </c>
      <c r="AP1091" s="26">
        <f t="shared" si="376"/>
        <v>-33.531339110127831</v>
      </c>
      <c r="AS1091" s="2">
        <v>44389</v>
      </c>
      <c r="AT1091">
        <v>21.4</v>
      </c>
      <c r="AU1091">
        <v>77.400000000000006</v>
      </c>
      <c r="AV1091">
        <v>23.6</v>
      </c>
      <c r="AW1091">
        <v>1.6</v>
      </c>
      <c r="AX1091">
        <v>247.8</v>
      </c>
      <c r="AY1091">
        <v>0</v>
      </c>
      <c r="AZ1091">
        <v>2.8</v>
      </c>
      <c r="BA1091">
        <v>270.12759999999997</v>
      </c>
      <c r="BB1091">
        <v>133.4819</v>
      </c>
      <c r="BC1091">
        <v>98.588899999999995</v>
      </c>
      <c r="BD1091">
        <v>0</v>
      </c>
      <c r="BE1091">
        <v>19.921600000000002</v>
      </c>
      <c r="BF1091">
        <v>-9.5464000000000002</v>
      </c>
      <c r="BG1091">
        <v>-7.4896000000000003</v>
      </c>
      <c r="BH1091">
        <v>51.45</v>
      </c>
    </row>
    <row r="1092" spans="1:60" x14ac:dyDescent="0.25">
      <c r="A1092" s="2">
        <v>44409</v>
      </c>
      <c r="B1092">
        <v>21.4</v>
      </c>
      <c r="C1092">
        <v>36.200000000000003</v>
      </c>
      <c r="D1092">
        <v>34.799999999999997</v>
      </c>
      <c r="E1092">
        <v>3.1</v>
      </c>
      <c r="F1092">
        <v>153.71</v>
      </c>
      <c r="G1092">
        <v>0</v>
      </c>
      <c r="H1092">
        <v>3.3</v>
      </c>
      <c r="I1092">
        <v>165.97020000000001</v>
      </c>
      <c r="J1092">
        <v>16.4664</v>
      </c>
      <c r="K1092">
        <v>22.871700000000001</v>
      </c>
      <c r="L1092">
        <v>3.7568000000000001</v>
      </c>
      <c r="M1092">
        <v>12.7471</v>
      </c>
      <c r="P1092">
        <v>57.41</v>
      </c>
      <c r="S1092">
        <f t="shared" si="377"/>
        <v>474.32220000000001</v>
      </c>
      <c r="T1092">
        <f t="shared" si="356"/>
        <v>2.0061750818992849E-2</v>
      </c>
      <c r="U1092">
        <f t="shared" si="357"/>
        <v>3.3936232693810339E-2</v>
      </c>
      <c r="V1092">
        <f t="shared" si="358"/>
        <v>3.2623781705651916E-2</v>
      </c>
      <c r="W1092">
        <f t="shared" si="359"/>
        <v>2.9061414737793379E-3</v>
      </c>
      <c r="X1092">
        <f t="shared" si="360"/>
        <v>0.14409774384987808</v>
      </c>
      <c r="Y1092">
        <f t="shared" si="361"/>
        <v>0</v>
      </c>
      <c r="Z1092">
        <f t="shared" si="362"/>
        <v>3.0936344720876819E-3</v>
      </c>
      <c r="AA1092">
        <f t="shared" si="363"/>
        <v>0.1555912521391779</v>
      </c>
      <c r="AB1092">
        <f t="shared" si="364"/>
        <v>1.5436673536722611E-2</v>
      </c>
      <c r="AC1092">
        <f t="shared" si="365"/>
        <v>2.1441418047044802E-2</v>
      </c>
      <c r="AD1092">
        <f t="shared" si="366"/>
        <v>3.521868480223941E-3</v>
      </c>
      <c r="AE1092">
        <f t="shared" si="367"/>
        <v>1.1949959993681482E-2</v>
      </c>
      <c r="AG1092">
        <f t="shared" si="368"/>
        <v>-0.22141596822937107</v>
      </c>
      <c r="AH1092">
        <f t="shared" si="369"/>
        <v>0.24866924500788171</v>
      </c>
      <c r="AI1092">
        <f t="shared" si="370"/>
        <v>1.9076243381457445E-2</v>
      </c>
      <c r="AK1092" s="26">
        <f t="shared" si="371"/>
        <v>-8.0603013641923571E-2</v>
      </c>
      <c r="AL1092" s="26">
        <f t="shared" si="372"/>
        <v>-0.12028077377824697</v>
      </c>
      <c r="AM1092" s="26">
        <f t="shared" si="373"/>
        <v>-7.3315719273731816E-2</v>
      </c>
      <c r="AN1092" s="26">
        <f t="shared" si="374"/>
        <v>-28.123333333333335</v>
      </c>
      <c r="AO1092" s="26">
        <f t="shared" si="375"/>
        <v>-31.178426079734209</v>
      </c>
      <c r="AP1092" s="26">
        <f t="shared" si="376"/>
        <v>-33.505531282876412</v>
      </c>
      <c r="AS1092" s="2">
        <v>44388</v>
      </c>
      <c r="AT1092">
        <v>21.2</v>
      </c>
      <c r="AU1092">
        <v>22.8</v>
      </c>
      <c r="AV1092">
        <v>7.9</v>
      </c>
      <c r="AW1092">
        <v>1.6</v>
      </c>
      <c r="AX1092">
        <v>191.2</v>
      </c>
      <c r="AY1092">
        <v>0</v>
      </c>
      <c r="AZ1092">
        <v>2.9</v>
      </c>
      <c r="BA1092">
        <v>261.74450000000002</v>
      </c>
      <c r="BB1092">
        <v>66.086799999999997</v>
      </c>
      <c r="BC1092">
        <v>37.833399999999997</v>
      </c>
      <c r="BD1092">
        <v>0</v>
      </c>
      <c r="BE1092">
        <v>15.9085</v>
      </c>
      <c r="BH1092">
        <v>51.16</v>
      </c>
    </row>
    <row r="1093" spans="1:60" x14ac:dyDescent="0.25">
      <c r="A1093" s="2">
        <v>44408</v>
      </c>
      <c r="B1093">
        <v>20.9</v>
      </c>
      <c r="C1093">
        <v>49.6</v>
      </c>
      <c r="D1093">
        <v>43.2</v>
      </c>
      <c r="E1093">
        <v>9.4</v>
      </c>
      <c r="F1093">
        <v>210.63</v>
      </c>
      <c r="G1093">
        <v>0</v>
      </c>
      <c r="H1093">
        <v>3.5</v>
      </c>
      <c r="I1093">
        <v>117.4692</v>
      </c>
      <c r="J1093">
        <v>16.884699999999999</v>
      </c>
      <c r="K1093">
        <v>22.226600000000001</v>
      </c>
      <c r="L1093">
        <v>3.7864</v>
      </c>
      <c r="M1093">
        <v>12.4459</v>
      </c>
      <c r="P1093">
        <v>56.97</v>
      </c>
      <c r="S1093">
        <f t="shared" si="377"/>
        <v>510.04280000000006</v>
      </c>
      <c r="T1093">
        <f t="shared" ref="T1093:T1156" si="378">B1093/$S$4</f>
        <v>1.9593018323221988E-2</v>
      </c>
      <c r="U1093">
        <f t="shared" ref="U1093:U1156" si="379">C1093/$S$4</f>
        <v>4.6498263580469407E-2</v>
      </c>
      <c r="V1093">
        <f t="shared" ref="V1093:V1156" si="380">D1093/$S$4</f>
        <v>4.0498487634602391E-2</v>
      </c>
      <c r="W1093">
        <f t="shared" ref="W1093:W1156" si="381">E1093/$S$4</f>
        <v>8.8121709204921871E-3</v>
      </c>
      <c r="X1093">
        <f t="shared" ref="X1093:X1156" si="382">F1093/$S$4</f>
        <v>0.19745825116843288</v>
      </c>
      <c r="Y1093">
        <f t="shared" ref="Y1093:Y1156" si="383">G1093/$S$4</f>
        <v>0</v>
      </c>
      <c r="Z1093">
        <f t="shared" ref="Z1093:Z1156" si="384">H1093/$S$4</f>
        <v>3.2811274703960268E-3</v>
      </c>
      <c r="AA1093">
        <f t="shared" ref="AA1093:AA1156" si="385">I1093/$S$4</f>
        <v>0.11012326258441284</v>
      </c>
      <c r="AB1093">
        <f t="shared" ref="AB1093:AB1156" si="386">J1093/$S$4</f>
        <v>1.582881514268451E-2</v>
      </c>
      <c r="AC1093">
        <f t="shared" ref="AC1093:AC1156" si="387">K1093/$S$4</f>
        <v>2.0836659381001238E-2</v>
      </c>
      <c r="AD1093">
        <f t="shared" ref="AD1093:AD1156" si="388">L1093/$S$4</f>
        <v>3.5496174439735759E-3</v>
      </c>
      <c r="AE1093">
        <f t="shared" ref="AE1093:AE1156" si="389">M1093/$S$4</f>
        <v>1.1667595538229117E-2</v>
      </c>
      <c r="AG1093">
        <f t="shared" ref="AG1093:AG1156" si="390">(P1093-AVERAGE(P1093:P1457)) / _xlfn.STDEV.S(P1093:P2920)</f>
        <v>-0.24492176557485079</v>
      </c>
      <c r="AH1093">
        <f t="shared" ref="AH1093:AH1156" si="391">SUM(T1093:Y1093,Z1093,AE1093)</f>
        <v>0.32780891463584405</v>
      </c>
      <c r="AI1093">
        <f t="shared" ref="AI1093:AI1156" si="392">(AH1093-AVERAGE(AH1093:AH1457))/_xlfn.STDEV.S(AH1093:AH1457)</f>
        <v>0.62638569420002443</v>
      </c>
      <c r="AK1093" s="26">
        <f t="shared" ref="AK1093:AK1156" si="393">AVERAGEA(AH1093:AH1113)-AVERAGE(AH1459:AH1479, AH1824:AH1844, AH2189:AH2209)</f>
        <v>-6.6528866701796696E-2</v>
      </c>
      <c r="AL1093" s="26">
        <f t="shared" ref="AL1093:AL1156" si="394">AVERAGEA(AH1093:AH1148)-AVERAGE(AH1459:AH1514, AH1824:AH1878, AH2189:AH2243)</f>
        <v>-0.10956213496201361</v>
      </c>
      <c r="AM1093" s="26">
        <f t="shared" ref="AM1093:AM1156" si="395">AVERAGEA(AH1093:AH1205)-AVERAGE(AH1459:AH1571,AH1824:AH1935,AH2189:AH2300)</f>
        <v>-6.8485268522141096E-2</v>
      </c>
      <c r="AN1093" s="26">
        <f t="shared" ref="AN1093:AN1156" si="396">AVERAGEA(P1093:P1113)-AVERAGE(P1459:P1479, P1824:P1844, P2189:P2209)</f>
        <v>-28.208571428571432</v>
      </c>
      <c r="AO1093" s="26">
        <f t="shared" ref="AO1093:AO1156" si="397">AVERAGEA(P1093:P1148)-AVERAGE(P1459:P1514, P1824:P1878, P2189:P2243)</f>
        <v>-31.324512605042003</v>
      </c>
      <c r="AP1093" s="26">
        <f t="shared" ref="AP1093:AP1156" si="398">AVERAGEA(P1093:P1205)-AVERAGE(P1459:P1571,P1824:P1935,P2189:P2300)</f>
        <v>-33.475701732518992</v>
      </c>
      <c r="AS1093" s="2">
        <v>44387</v>
      </c>
      <c r="AT1093">
        <v>21.2</v>
      </c>
      <c r="AU1093">
        <v>39.4</v>
      </c>
      <c r="AV1093">
        <v>13.2</v>
      </c>
      <c r="AW1093">
        <v>2.2999999999999998</v>
      </c>
      <c r="AX1093">
        <v>249.54</v>
      </c>
      <c r="AY1093">
        <v>0</v>
      </c>
      <c r="AZ1093">
        <v>3</v>
      </c>
      <c r="BA1093">
        <v>261.0222</v>
      </c>
      <c r="BB1093">
        <v>83.364599999999996</v>
      </c>
      <c r="BC1093">
        <v>37.600700000000003</v>
      </c>
      <c r="BD1093">
        <v>0</v>
      </c>
      <c r="BE1093">
        <v>16.4879</v>
      </c>
      <c r="BH1093">
        <v>50.74</v>
      </c>
    </row>
    <row r="1094" spans="1:60" x14ac:dyDescent="0.25">
      <c r="A1094" s="2">
        <v>44407</v>
      </c>
      <c r="B1094">
        <v>21.6</v>
      </c>
      <c r="C1094">
        <v>63.8</v>
      </c>
      <c r="D1094">
        <v>46.3</v>
      </c>
      <c r="E1094">
        <v>6.2</v>
      </c>
      <c r="F1094">
        <v>269.14</v>
      </c>
      <c r="G1094">
        <v>0</v>
      </c>
      <c r="H1094">
        <v>3.7</v>
      </c>
      <c r="I1094">
        <v>190.76910000000001</v>
      </c>
      <c r="J1094">
        <v>30.3567</v>
      </c>
      <c r="K1094">
        <v>32.523600000000002</v>
      </c>
      <c r="L1094">
        <v>3.8704999999999998</v>
      </c>
      <c r="M1094">
        <v>26.084399999999999</v>
      </c>
      <c r="N1094">
        <v>-19.130500000000001</v>
      </c>
      <c r="O1094">
        <v>-11.6187</v>
      </c>
      <c r="P1094">
        <v>56.58</v>
      </c>
      <c r="S1094">
        <f t="shared" si="377"/>
        <v>694.34429999999998</v>
      </c>
      <c r="T1094">
        <f t="shared" si="378"/>
        <v>2.0249243817301196E-2</v>
      </c>
      <c r="U1094">
        <f t="shared" si="379"/>
        <v>5.9810266460361854E-2</v>
      </c>
      <c r="V1094">
        <f t="shared" si="380"/>
        <v>4.340462910838172E-2</v>
      </c>
      <c r="W1094">
        <f t="shared" si="381"/>
        <v>5.8122829475586758E-3</v>
      </c>
      <c r="X1094">
        <f t="shared" si="382"/>
        <v>0.25230932782353904</v>
      </c>
      <c r="Y1094">
        <f t="shared" si="383"/>
        <v>0</v>
      </c>
      <c r="Z1094">
        <f t="shared" si="384"/>
        <v>3.4686204687043713E-3</v>
      </c>
      <c r="AA1094">
        <f t="shared" si="385"/>
        <v>0.1788393527179219</v>
      </c>
      <c r="AB1094">
        <f t="shared" si="386"/>
        <v>2.845834350873459E-2</v>
      </c>
      <c r="AC1094">
        <f t="shared" si="387"/>
        <v>3.0489736398906349E-2</v>
      </c>
      <c r="AD1094">
        <f t="shared" si="388"/>
        <v>3.6284582497622345E-3</v>
      </c>
      <c r="AE1094">
        <f t="shared" si="389"/>
        <v>2.4453211825370889E-2</v>
      </c>
      <c r="AG1094">
        <f t="shared" si="390"/>
        <v>-0.2661278288943803</v>
      </c>
      <c r="AH1094">
        <f t="shared" si="391"/>
        <v>0.40950758245121777</v>
      </c>
      <c r="AI1094">
        <f t="shared" si="392"/>
        <v>1.228225637924778</v>
      </c>
      <c r="AK1094" s="26">
        <f t="shared" si="393"/>
        <v>-5.1463170806143765E-2</v>
      </c>
      <c r="AL1094" s="26">
        <f t="shared" si="394"/>
        <v>-9.3832917615970901E-2</v>
      </c>
      <c r="AM1094" s="26">
        <f t="shared" si="395"/>
        <v>-6.2676122505474996E-2</v>
      </c>
      <c r="AN1094" s="26">
        <f t="shared" si="396"/>
        <v>-28.281666666666666</v>
      </c>
      <c r="AO1094" s="26">
        <f t="shared" si="397"/>
        <v>-31.463928571428589</v>
      </c>
      <c r="AP1094" s="26">
        <f t="shared" si="398"/>
        <v>-33.436221678277789</v>
      </c>
      <c r="AS1094" s="2">
        <v>44386</v>
      </c>
      <c r="AT1094">
        <v>19.899999999999999</v>
      </c>
      <c r="AU1094">
        <v>15</v>
      </c>
      <c r="AV1094">
        <v>7.1</v>
      </c>
      <c r="AW1094">
        <v>3.1</v>
      </c>
      <c r="AX1094">
        <v>127.49</v>
      </c>
      <c r="AY1094">
        <v>0</v>
      </c>
      <c r="AZ1094">
        <v>2.9</v>
      </c>
      <c r="BA1094">
        <v>262.1601</v>
      </c>
      <c r="BB1094">
        <v>139.08009999999999</v>
      </c>
      <c r="BC1094">
        <v>132.02199999999999</v>
      </c>
      <c r="BD1094">
        <v>2.6295999999999999</v>
      </c>
      <c r="BE1094">
        <v>21.660299999999999</v>
      </c>
      <c r="BF1094">
        <v>-10.116</v>
      </c>
      <c r="BG1094">
        <v>-5.1028000000000002</v>
      </c>
      <c r="BH1094">
        <v>50.34</v>
      </c>
    </row>
    <row r="1095" spans="1:60" x14ac:dyDescent="0.25">
      <c r="A1095" s="2">
        <v>44406</v>
      </c>
      <c r="B1095">
        <v>21.3</v>
      </c>
      <c r="C1095">
        <v>59.8</v>
      </c>
      <c r="D1095">
        <v>77.400000000000006</v>
      </c>
      <c r="E1095">
        <v>9.6</v>
      </c>
      <c r="F1095">
        <v>236.77</v>
      </c>
      <c r="G1095">
        <v>0</v>
      </c>
      <c r="H1095">
        <v>3.3</v>
      </c>
      <c r="I1095">
        <v>132.71680000000001</v>
      </c>
      <c r="J1095">
        <v>29.2453</v>
      </c>
      <c r="K1095">
        <v>28.460100000000001</v>
      </c>
      <c r="L1095">
        <v>3.8889999999999998</v>
      </c>
      <c r="M1095">
        <v>20.282499999999999</v>
      </c>
      <c r="N1095">
        <v>-20.8613</v>
      </c>
      <c r="O1095">
        <v>-12.1837</v>
      </c>
      <c r="P1095">
        <v>56.23</v>
      </c>
      <c r="S1095">
        <f t="shared" si="377"/>
        <v>622.76370000000009</v>
      </c>
      <c r="T1095">
        <f t="shared" si="378"/>
        <v>1.9968004319838677E-2</v>
      </c>
      <c r="U1095">
        <f t="shared" si="379"/>
        <v>5.606040649419497E-2</v>
      </c>
      <c r="V1095">
        <f t="shared" si="380"/>
        <v>7.2559790345329278E-2</v>
      </c>
      <c r="W1095">
        <f t="shared" si="381"/>
        <v>8.9996639188005302E-3</v>
      </c>
      <c r="X1095">
        <f t="shared" si="382"/>
        <v>0.22196358604733352</v>
      </c>
      <c r="Y1095">
        <f t="shared" si="383"/>
        <v>0</v>
      </c>
      <c r="Z1095">
        <f t="shared" si="384"/>
        <v>3.0936344720876819E-3</v>
      </c>
      <c r="AA1095">
        <f t="shared" si="385"/>
        <v>0.12441735378944441</v>
      </c>
      <c r="AB1095">
        <f t="shared" si="386"/>
        <v>2.7416444917135119E-2</v>
      </c>
      <c r="AC1095">
        <f t="shared" si="387"/>
        <v>2.6680347405776562E-2</v>
      </c>
      <c r="AD1095">
        <f t="shared" si="388"/>
        <v>3.6458013521057562E-3</v>
      </c>
      <c r="AE1095">
        <f t="shared" si="389"/>
        <v>1.9014133690944974E-2</v>
      </c>
      <c r="AG1095">
        <f t="shared" si="390"/>
        <v>-0.28556876052274371</v>
      </c>
      <c r="AH1095">
        <f t="shared" si="391"/>
        <v>0.4016592192885296</v>
      </c>
      <c r="AI1095">
        <f t="shared" si="392"/>
        <v>1.1424646411257109</v>
      </c>
      <c r="AK1095" s="26">
        <f t="shared" si="393"/>
        <v>-5.4091199277808699E-2</v>
      </c>
      <c r="AL1095" s="26">
        <f t="shared" si="394"/>
        <v>-8.6580671472951676E-2</v>
      </c>
      <c r="AM1095" s="26">
        <f t="shared" si="395"/>
        <v>-5.9979588386576965E-2</v>
      </c>
      <c r="AN1095" s="26">
        <f t="shared" si="396"/>
        <v>-28.358333333333356</v>
      </c>
      <c r="AO1095" s="26">
        <f t="shared" si="397"/>
        <v>-31.602874354561123</v>
      </c>
      <c r="AP1095" s="26">
        <f t="shared" si="398"/>
        <v>-33.389510745891279</v>
      </c>
      <c r="AS1095" s="2">
        <v>44385</v>
      </c>
      <c r="AT1095">
        <v>21.7</v>
      </c>
      <c r="AU1095">
        <v>48.1</v>
      </c>
      <c r="AV1095">
        <v>7.6</v>
      </c>
      <c r="AW1095">
        <v>0.8</v>
      </c>
      <c r="AX1095">
        <v>133.69</v>
      </c>
      <c r="AY1095">
        <v>0</v>
      </c>
      <c r="AZ1095">
        <v>3.2</v>
      </c>
      <c r="BA1095">
        <v>271.19880000000001</v>
      </c>
      <c r="BB1095">
        <v>180.84039999999999</v>
      </c>
      <c r="BC1095">
        <v>156.78030000000001</v>
      </c>
      <c r="BD1095">
        <v>4.0197000000000003</v>
      </c>
      <c r="BE1095">
        <v>31.946100000000001</v>
      </c>
      <c r="BF1095">
        <v>-6.7530000000000001</v>
      </c>
      <c r="BG1095">
        <v>-6.5042999999999997</v>
      </c>
      <c r="BH1095">
        <v>50.05</v>
      </c>
    </row>
    <row r="1096" spans="1:60" x14ac:dyDescent="0.25">
      <c r="A1096" s="2">
        <v>44405</v>
      </c>
      <c r="B1096">
        <v>22</v>
      </c>
      <c r="C1096">
        <v>5.9</v>
      </c>
      <c r="D1096">
        <v>47.9</v>
      </c>
      <c r="E1096">
        <v>5.5</v>
      </c>
      <c r="F1096">
        <v>169.67</v>
      </c>
      <c r="G1096">
        <v>0</v>
      </c>
      <c r="H1096">
        <v>3.5</v>
      </c>
      <c r="I1096">
        <v>263.31310000000002</v>
      </c>
      <c r="J1096">
        <v>62.4953</v>
      </c>
      <c r="K1096">
        <v>46.924399999999999</v>
      </c>
      <c r="L1096">
        <v>3.9001000000000001</v>
      </c>
      <c r="M1096">
        <v>18.3506</v>
      </c>
      <c r="N1096">
        <v>-19.846599999999999</v>
      </c>
      <c r="O1096">
        <v>-14.2011</v>
      </c>
      <c r="P1096">
        <v>55.79</v>
      </c>
      <c r="S1096">
        <f t="shared" si="377"/>
        <v>649.45349999999996</v>
      </c>
      <c r="T1096">
        <f t="shared" si="378"/>
        <v>2.0624229813917882E-2</v>
      </c>
      <c r="U1096">
        <f t="shared" si="379"/>
        <v>5.5310434500961594E-3</v>
      </c>
      <c r="V1096">
        <f t="shared" si="380"/>
        <v>4.4904573094848479E-2</v>
      </c>
      <c r="W1096">
        <f t="shared" si="381"/>
        <v>5.1560574534794705E-3</v>
      </c>
      <c r="X1096">
        <f t="shared" si="382"/>
        <v>0.15905968511488394</v>
      </c>
      <c r="Y1096">
        <f t="shared" si="383"/>
        <v>0</v>
      </c>
      <c r="Z1096">
        <f t="shared" si="384"/>
        <v>3.2811274703960268E-3</v>
      </c>
      <c r="AA1096">
        <f t="shared" si="385"/>
        <v>0.2468468130643246</v>
      </c>
      <c r="AB1096">
        <f t="shared" si="386"/>
        <v>5.8587155885897371E-2</v>
      </c>
      <c r="AC1096">
        <f t="shared" si="387"/>
        <v>4.3989982249100376E-2</v>
      </c>
      <c r="AD1096">
        <f t="shared" si="388"/>
        <v>3.6562072135118699E-3</v>
      </c>
      <c r="AE1096">
        <f t="shared" si="389"/>
        <v>1.7203045073785523E-2</v>
      </c>
      <c r="AG1096">
        <f t="shared" si="390"/>
        <v>-0.30912078100226337</v>
      </c>
      <c r="AH1096">
        <f t="shared" si="391"/>
        <v>0.2557597614714075</v>
      </c>
      <c r="AI1096">
        <f t="shared" si="392"/>
        <v>4.384261543570412E-2</v>
      </c>
      <c r="AK1096" s="26">
        <f t="shared" si="393"/>
        <v>-7.6985835740141617E-2</v>
      </c>
      <c r="AL1096" s="26">
        <f t="shared" si="394"/>
        <v>-9.1154990663325997E-2</v>
      </c>
      <c r="AM1096" s="26">
        <f t="shared" si="395"/>
        <v>-6.3276383164946604E-2</v>
      </c>
      <c r="AN1096" s="26">
        <f t="shared" si="396"/>
        <v>-28.436190476190497</v>
      </c>
      <c r="AO1096" s="26">
        <f t="shared" si="397"/>
        <v>-31.741428571428592</v>
      </c>
      <c r="AP1096" s="26">
        <f t="shared" si="398"/>
        <v>-33.335862991023106</v>
      </c>
      <c r="AS1096" s="2">
        <v>44384</v>
      </c>
      <c r="AT1096">
        <v>20.7</v>
      </c>
      <c r="AU1096">
        <v>22.4</v>
      </c>
      <c r="AV1096">
        <v>39.299999999999997</v>
      </c>
      <c r="AW1096">
        <v>2.9</v>
      </c>
      <c r="AX1096">
        <v>175.3</v>
      </c>
      <c r="AY1096">
        <v>0</v>
      </c>
      <c r="AZ1096">
        <v>3</v>
      </c>
      <c r="BA1096">
        <v>270.3888</v>
      </c>
      <c r="BB1096">
        <v>147.4717</v>
      </c>
      <c r="BC1096">
        <v>107.5964</v>
      </c>
      <c r="BD1096">
        <v>3.984</v>
      </c>
      <c r="BE1096">
        <v>23.052600000000002</v>
      </c>
      <c r="BF1096">
        <v>-6.1520999999999999</v>
      </c>
      <c r="BG1096">
        <v>-7.8838999999999997</v>
      </c>
      <c r="BH1096">
        <v>49.83</v>
      </c>
    </row>
    <row r="1097" spans="1:60" x14ac:dyDescent="0.25">
      <c r="A1097" s="2">
        <v>44404</v>
      </c>
      <c r="B1097">
        <v>21.5</v>
      </c>
      <c r="C1097">
        <v>83</v>
      </c>
      <c r="D1097">
        <v>9.9</v>
      </c>
      <c r="E1097">
        <v>3.1</v>
      </c>
      <c r="F1097">
        <v>225.58</v>
      </c>
      <c r="G1097">
        <v>0</v>
      </c>
      <c r="H1097">
        <v>3.3</v>
      </c>
      <c r="I1097">
        <v>277.51429999999999</v>
      </c>
      <c r="J1097">
        <v>128.10640000000001</v>
      </c>
      <c r="K1097">
        <v>84.330100000000002</v>
      </c>
      <c r="L1097">
        <v>3.7338</v>
      </c>
      <c r="M1097">
        <v>19.8673</v>
      </c>
      <c r="N1097">
        <v>-16.977900000000002</v>
      </c>
      <c r="O1097">
        <v>-13.8278</v>
      </c>
      <c r="P1097">
        <v>55.45</v>
      </c>
      <c r="S1097">
        <f t="shared" si="377"/>
        <v>859.93190000000004</v>
      </c>
      <c r="T1097">
        <f t="shared" si="378"/>
        <v>2.0155497318147021E-2</v>
      </c>
      <c r="U1097">
        <f t="shared" si="379"/>
        <v>7.7809594297962914E-2</v>
      </c>
      <c r="V1097">
        <f t="shared" si="380"/>
        <v>9.2809034162630467E-3</v>
      </c>
      <c r="W1097">
        <f t="shared" si="381"/>
        <v>2.9061414737793379E-3</v>
      </c>
      <c r="X1097">
        <f t="shared" si="382"/>
        <v>0.21147335279198165</v>
      </c>
      <c r="Y1097">
        <f t="shared" si="383"/>
        <v>0</v>
      </c>
      <c r="Z1097">
        <f t="shared" si="384"/>
        <v>3.0936344720876819E-3</v>
      </c>
      <c r="AA1097">
        <f t="shared" si="385"/>
        <v>0.26015994090220684</v>
      </c>
      <c r="AB1097">
        <f t="shared" si="386"/>
        <v>0.12009526519244045</v>
      </c>
      <c r="AC1097">
        <f t="shared" si="387"/>
        <v>7.9056516483212561E-2</v>
      </c>
      <c r="AD1097">
        <f t="shared" si="388"/>
        <v>3.5003067854184815E-3</v>
      </c>
      <c r="AE1097">
        <f t="shared" si="389"/>
        <v>1.8624898226456851E-2</v>
      </c>
      <c r="AG1097">
        <f t="shared" si="390"/>
        <v>-0.32814446761297972</v>
      </c>
      <c r="AH1097">
        <f t="shared" si="391"/>
        <v>0.34334402199667846</v>
      </c>
      <c r="AI1097">
        <f t="shared" si="392"/>
        <v>0.67631104794781971</v>
      </c>
      <c r="AK1097" s="26">
        <f t="shared" si="393"/>
        <v>-0.10233479272079865</v>
      </c>
      <c r="AL1097" s="26">
        <f t="shared" si="394"/>
        <v>-9.4960780817269941E-2</v>
      </c>
      <c r="AM1097" s="26">
        <f t="shared" si="395"/>
        <v>-6.559897011770871E-2</v>
      </c>
      <c r="AN1097" s="26">
        <f t="shared" si="396"/>
        <v>-28.496666666666663</v>
      </c>
      <c r="AO1097" s="26">
        <f t="shared" si="397"/>
        <v>-31.873677248677268</v>
      </c>
      <c r="AP1097" s="26">
        <f t="shared" si="398"/>
        <v>-33.270793895087856</v>
      </c>
      <c r="AS1097" s="2">
        <v>44383</v>
      </c>
      <c r="AT1097">
        <v>21</v>
      </c>
      <c r="AU1097">
        <v>87.5</v>
      </c>
      <c r="AV1097">
        <v>49.8</v>
      </c>
      <c r="AW1097">
        <v>7.1</v>
      </c>
      <c r="AX1097">
        <v>204.16</v>
      </c>
      <c r="AY1097">
        <v>0</v>
      </c>
      <c r="AZ1097">
        <v>3.1</v>
      </c>
      <c r="BA1097">
        <v>252.69290000000001</v>
      </c>
      <c r="BB1097">
        <v>95.011399999999995</v>
      </c>
      <c r="BC1097">
        <v>46.884399999999999</v>
      </c>
      <c r="BD1097">
        <v>4.0267999999999997</v>
      </c>
      <c r="BE1097">
        <v>12.954000000000001</v>
      </c>
      <c r="BF1097">
        <v>-10.2407</v>
      </c>
      <c r="BG1097">
        <v>-10.1951</v>
      </c>
      <c r="BH1097">
        <v>49.6</v>
      </c>
    </row>
    <row r="1098" spans="1:60" x14ac:dyDescent="0.25">
      <c r="A1098" s="2">
        <v>44403</v>
      </c>
      <c r="B1098">
        <v>21.1</v>
      </c>
      <c r="C1098">
        <v>130.19999999999999</v>
      </c>
      <c r="D1098">
        <v>4.0999999999999996</v>
      </c>
      <c r="E1098">
        <v>1.6</v>
      </c>
      <c r="F1098">
        <v>211.47</v>
      </c>
      <c r="G1098">
        <v>0</v>
      </c>
      <c r="H1098">
        <v>3.1</v>
      </c>
      <c r="I1098">
        <v>273.98239999999998</v>
      </c>
      <c r="J1098">
        <v>115.08329999999999</v>
      </c>
      <c r="K1098">
        <v>97.138099999999994</v>
      </c>
      <c r="L1098">
        <v>3.8801999999999999</v>
      </c>
      <c r="M1098">
        <v>23.3521</v>
      </c>
      <c r="N1098">
        <v>-16.972100000000001</v>
      </c>
      <c r="O1098">
        <v>-15.3462</v>
      </c>
      <c r="P1098">
        <v>55.12</v>
      </c>
      <c r="S1098">
        <f t="shared" si="377"/>
        <v>885.00609999999995</v>
      </c>
      <c r="T1098">
        <f t="shared" si="378"/>
        <v>1.9780511321530334E-2</v>
      </c>
      <c r="U1098">
        <f t="shared" si="379"/>
        <v>0.12205794189873218</v>
      </c>
      <c r="V1098">
        <f t="shared" si="380"/>
        <v>3.8436064653210593E-3</v>
      </c>
      <c r="W1098">
        <f t="shared" si="381"/>
        <v>1.4999439864667552E-3</v>
      </c>
      <c r="X1098">
        <f t="shared" si="382"/>
        <v>0.19824572176132793</v>
      </c>
      <c r="Y1098">
        <f t="shared" si="383"/>
        <v>0</v>
      </c>
      <c r="Z1098">
        <f t="shared" si="384"/>
        <v>2.9061414737793379E-3</v>
      </c>
      <c r="AA1098">
        <f t="shared" si="385"/>
        <v>0.25684890829858065</v>
      </c>
      <c r="AB1098">
        <f t="shared" si="386"/>
        <v>0.10788656486109344</v>
      </c>
      <c r="AC1098">
        <f t="shared" si="387"/>
        <v>9.1063568094878936E-2</v>
      </c>
      <c r="AD1098">
        <f t="shared" si="388"/>
        <v>3.6375516601801893E-3</v>
      </c>
      <c r="AE1098">
        <f t="shared" si="389"/>
        <v>2.1891776228981443E-2</v>
      </c>
      <c r="AG1098">
        <f t="shared" si="390"/>
        <v>-0.34672351581297273</v>
      </c>
      <c r="AH1098">
        <f t="shared" si="391"/>
        <v>0.37022564313613898</v>
      </c>
      <c r="AI1098">
        <f t="shared" si="392"/>
        <v>0.86927417144092267</v>
      </c>
      <c r="AK1098" s="26">
        <f t="shared" si="393"/>
        <v>-0.12440258146163419</v>
      </c>
      <c r="AL1098" s="26">
        <f t="shared" si="394"/>
        <v>-9.57472502747303E-2</v>
      </c>
      <c r="AM1098" s="26">
        <f t="shared" si="395"/>
        <v>-6.6744877253485657E-2</v>
      </c>
      <c r="AN1098" s="26">
        <f t="shared" si="396"/>
        <v>-28.550714285714271</v>
      </c>
      <c r="AO1098" s="26">
        <f t="shared" si="397"/>
        <v>-32.007750000000009</v>
      </c>
      <c r="AP1098" s="26">
        <f t="shared" si="398"/>
        <v>-33.199846909114399</v>
      </c>
      <c r="AS1098" s="2">
        <v>44382</v>
      </c>
      <c r="AT1098">
        <v>19.7</v>
      </c>
      <c r="AU1098">
        <v>83.9</v>
      </c>
      <c r="AV1098">
        <v>10.3</v>
      </c>
      <c r="AW1098">
        <v>2.2999999999999998</v>
      </c>
      <c r="AX1098">
        <v>176.42</v>
      </c>
      <c r="AY1098">
        <v>0</v>
      </c>
      <c r="AZ1098">
        <v>3</v>
      </c>
      <c r="BA1098">
        <v>275.7638</v>
      </c>
      <c r="BB1098">
        <v>137.0727</v>
      </c>
      <c r="BC1098">
        <v>111.60250000000001</v>
      </c>
      <c r="BD1098">
        <v>4.0354000000000001</v>
      </c>
      <c r="BE1098">
        <v>27.208200000000001</v>
      </c>
      <c r="BF1098">
        <v>-12.2141</v>
      </c>
      <c r="BG1098">
        <v>-6.7183999999999999</v>
      </c>
      <c r="BH1098">
        <v>49.33</v>
      </c>
    </row>
    <row r="1099" spans="1:60" x14ac:dyDescent="0.25">
      <c r="A1099" s="2">
        <v>44402</v>
      </c>
      <c r="B1099">
        <v>21.3</v>
      </c>
      <c r="C1099">
        <v>182.5</v>
      </c>
      <c r="D1099">
        <v>40.200000000000003</v>
      </c>
      <c r="E1099">
        <v>2.6</v>
      </c>
      <c r="F1099">
        <v>203.71</v>
      </c>
      <c r="G1099">
        <v>0</v>
      </c>
      <c r="H1099">
        <v>3.5</v>
      </c>
      <c r="I1099">
        <v>212.6602</v>
      </c>
      <c r="J1099">
        <v>29.954799999999999</v>
      </c>
      <c r="K1099">
        <v>31.627400000000002</v>
      </c>
      <c r="L1099">
        <v>3.8694999999999999</v>
      </c>
      <c r="M1099">
        <v>9.3585999999999991</v>
      </c>
      <c r="P1099">
        <v>54.79</v>
      </c>
      <c r="S1099">
        <f t="shared" si="377"/>
        <v>741.28049999999996</v>
      </c>
      <c r="T1099">
        <f t="shared" si="378"/>
        <v>1.9968004319838677E-2</v>
      </c>
      <c r="U1099">
        <f t="shared" si="379"/>
        <v>0.17108736095636426</v>
      </c>
      <c r="V1099">
        <f t="shared" si="380"/>
        <v>3.7686092659977223E-2</v>
      </c>
      <c r="W1099">
        <f t="shared" si="381"/>
        <v>2.437408978008477E-3</v>
      </c>
      <c r="X1099">
        <f t="shared" si="382"/>
        <v>0.19097099342696416</v>
      </c>
      <c r="Y1099">
        <f t="shared" si="383"/>
        <v>0</v>
      </c>
      <c r="Z1099">
        <f t="shared" si="384"/>
        <v>3.2811274703960268E-3</v>
      </c>
      <c r="AA1099">
        <f t="shared" si="385"/>
        <v>0.19936149259426089</v>
      </c>
      <c r="AB1099">
        <f t="shared" si="386"/>
        <v>2.8081576328633971E-2</v>
      </c>
      <c r="AC1099">
        <f t="shared" si="387"/>
        <v>2.9649580273486655E-2</v>
      </c>
      <c r="AD1099">
        <f t="shared" si="388"/>
        <v>3.6275207847706928E-3</v>
      </c>
      <c r="AE1099">
        <f t="shared" si="389"/>
        <v>8.7733598698423575E-3</v>
      </c>
      <c r="AG1099">
        <f t="shared" si="390"/>
        <v>-0.36531257894945279</v>
      </c>
      <c r="AH1099">
        <f t="shared" si="391"/>
        <v>0.43420434768139116</v>
      </c>
      <c r="AI1099">
        <f t="shared" si="392"/>
        <v>1.3095443677781058</v>
      </c>
      <c r="AK1099" s="26">
        <f t="shared" si="393"/>
        <v>-0.16424256202489879</v>
      </c>
      <c r="AL1099" s="26">
        <f t="shared" si="394"/>
        <v>-0.10172162940402263</v>
      </c>
      <c r="AM1099" s="26">
        <f t="shared" si="395"/>
        <v>-6.9623069513786606E-2</v>
      </c>
      <c r="AN1099" s="26">
        <f t="shared" si="396"/>
        <v>-28.597857142857144</v>
      </c>
      <c r="AO1099" s="26">
        <f t="shared" si="397"/>
        <v>-32.132448010849913</v>
      </c>
      <c r="AP1099" s="26">
        <f t="shared" si="398"/>
        <v>-33.126706142634042</v>
      </c>
      <c r="AS1099" s="2">
        <v>44381</v>
      </c>
      <c r="AT1099">
        <v>16</v>
      </c>
      <c r="AU1099">
        <v>9.1</v>
      </c>
      <c r="AV1099">
        <v>2.6</v>
      </c>
      <c r="AW1099">
        <v>0.8</v>
      </c>
      <c r="AX1099">
        <v>208.13</v>
      </c>
      <c r="AY1099">
        <v>0</v>
      </c>
      <c r="AZ1099">
        <v>3.1</v>
      </c>
      <c r="BA1099">
        <v>272.4984</v>
      </c>
      <c r="BB1099">
        <v>80.369600000000005</v>
      </c>
      <c r="BC1099">
        <v>41.4739</v>
      </c>
      <c r="BD1099">
        <v>3.9639000000000002</v>
      </c>
      <c r="BE1099">
        <v>11.344799999999999</v>
      </c>
      <c r="BH1099">
        <v>48.96</v>
      </c>
    </row>
    <row r="1100" spans="1:60" x14ac:dyDescent="0.25">
      <c r="A1100" s="2">
        <v>44401</v>
      </c>
      <c r="B1100">
        <v>21.5</v>
      </c>
      <c r="C1100">
        <v>124.2</v>
      </c>
      <c r="D1100">
        <v>19.399999999999999</v>
      </c>
      <c r="E1100">
        <v>3.1</v>
      </c>
      <c r="F1100">
        <v>207.15</v>
      </c>
      <c r="G1100">
        <v>0</v>
      </c>
      <c r="H1100">
        <v>3.5</v>
      </c>
      <c r="I1100">
        <v>232.20500000000001</v>
      </c>
      <c r="J1100">
        <v>44.614899999999999</v>
      </c>
      <c r="K1100">
        <v>33.006799999999998</v>
      </c>
      <c r="L1100">
        <v>3.8611</v>
      </c>
      <c r="M1100">
        <v>14.3926</v>
      </c>
      <c r="P1100">
        <v>54.38</v>
      </c>
      <c r="S1100">
        <f t="shared" si="377"/>
        <v>706.93040000000008</v>
      </c>
      <c r="T1100">
        <f t="shared" si="378"/>
        <v>2.0155497318147021E-2</v>
      </c>
      <c r="U1100">
        <f t="shared" si="379"/>
        <v>0.11643315194948187</v>
      </c>
      <c r="V1100">
        <f t="shared" si="380"/>
        <v>1.8186820835909404E-2</v>
      </c>
      <c r="W1100">
        <f t="shared" si="381"/>
        <v>2.9061414737793379E-3</v>
      </c>
      <c r="X1100">
        <f t="shared" si="382"/>
        <v>0.1941958729978677</v>
      </c>
      <c r="Y1100">
        <f t="shared" si="383"/>
        <v>0</v>
      </c>
      <c r="Z1100">
        <f t="shared" si="384"/>
        <v>3.2811274703960268E-3</v>
      </c>
      <c r="AA1100">
        <f t="shared" si="385"/>
        <v>0.21768405836094554</v>
      </c>
      <c r="AB1100">
        <f t="shared" si="386"/>
        <v>4.1824906851134769E-2</v>
      </c>
      <c r="AC1100">
        <f t="shared" si="387"/>
        <v>3.0942719482819306E-2</v>
      </c>
      <c r="AD1100">
        <f t="shared" si="388"/>
        <v>3.6196460788417424E-3</v>
      </c>
      <c r="AE1100">
        <f t="shared" si="389"/>
        <v>1.3492558637263386E-2</v>
      </c>
      <c r="AG1100">
        <f t="shared" si="390"/>
        <v>-0.3875364472193995</v>
      </c>
      <c r="AH1100">
        <f t="shared" si="391"/>
        <v>0.36865117068284481</v>
      </c>
      <c r="AI1100">
        <f t="shared" si="392"/>
        <v>0.83942523968569116</v>
      </c>
      <c r="AK1100" s="26">
        <f t="shared" si="393"/>
        <v>-0.19515360651010416</v>
      </c>
      <c r="AL1100" s="26">
        <f t="shared" si="394"/>
        <v>-0.1052872923024431</v>
      </c>
      <c r="AM1100" s="26">
        <f t="shared" si="395"/>
        <v>-7.0202057493569114E-2</v>
      </c>
      <c r="AN1100" s="26">
        <f t="shared" si="396"/>
        <v>-28.6404761904762</v>
      </c>
      <c r="AO1100" s="26">
        <f t="shared" si="397"/>
        <v>-32.261607142857152</v>
      </c>
      <c r="AP1100" s="26">
        <f t="shared" si="398"/>
        <v>-33.05084169124877</v>
      </c>
      <c r="AS1100" s="2">
        <v>44380</v>
      </c>
      <c r="AT1100">
        <v>19.7</v>
      </c>
      <c r="AU1100">
        <v>53.5</v>
      </c>
      <c r="AV1100">
        <v>2.9</v>
      </c>
      <c r="AW1100">
        <v>0.7</v>
      </c>
      <c r="AX1100">
        <v>273.77999999999997</v>
      </c>
      <c r="AY1100">
        <v>0</v>
      </c>
      <c r="AZ1100">
        <v>3.1</v>
      </c>
      <c r="BA1100">
        <v>279.66680000000002</v>
      </c>
      <c r="BB1100">
        <v>86.451499999999996</v>
      </c>
      <c r="BC1100">
        <v>49.983800000000002</v>
      </c>
      <c r="BD1100">
        <v>3.9615999999999998</v>
      </c>
      <c r="BE1100">
        <v>14.723100000000001</v>
      </c>
      <c r="BH1100">
        <v>48.52</v>
      </c>
    </row>
    <row r="1101" spans="1:60" x14ac:dyDescent="0.25">
      <c r="A1101" s="2">
        <v>44400</v>
      </c>
      <c r="B1101">
        <v>21.4</v>
      </c>
      <c r="C1101">
        <v>194.9</v>
      </c>
      <c r="D1101">
        <v>6</v>
      </c>
      <c r="E1101">
        <v>0.4</v>
      </c>
      <c r="F1101">
        <v>257.77</v>
      </c>
      <c r="G1101">
        <v>0</v>
      </c>
      <c r="H1101">
        <v>3.5</v>
      </c>
      <c r="I1101">
        <v>228.59280000000001</v>
      </c>
      <c r="J1101">
        <v>134.97579999999999</v>
      </c>
      <c r="K1101">
        <v>104.1425</v>
      </c>
      <c r="L1101">
        <v>3.8807999999999998</v>
      </c>
      <c r="M1101">
        <v>19.352900000000002</v>
      </c>
      <c r="N1101">
        <v>-15.0505</v>
      </c>
      <c r="O1101">
        <v>-14.519399999999999</v>
      </c>
      <c r="P1101">
        <v>53.96</v>
      </c>
      <c r="S1101">
        <f t="shared" si="377"/>
        <v>974.91480000000013</v>
      </c>
      <c r="T1101">
        <f t="shared" si="378"/>
        <v>2.0061750818992849E-2</v>
      </c>
      <c r="U1101">
        <f t="shared" si="379"/>
        <v>0.1827119268514816</v>
      </c>
      <c r="V1101">
        <f t="shared" si="380"/>
        <v>5.6247899492503318E-3</v>
      </c>
      <c r="W1101">
        <f t="shared" si="381"/>
        <v>3.7498599661668879E-4</v>
      </c>
      <c r="X1101">
        <f t="shared" si="382"/>
        <v>0.24165035086970965</v>
      </c>
      <c r="Y1101">
        <f t="shared" si="383"/>
        <v>0</v>
      </c>
      <c r="Z1101">
        <f t="shared" si="384"/>
        <v>3.2811274703960268E-3</v>
      </c>
      <c r="AA1101">
        <f t="shared" si="385"/>
        <v>0.21429774731849854</v>
      </c>
      <c r="AB1101">
        <f t="shared" si="386"/>
        <v>0.12653508720533715</v>
      </c>
      <c r="AC1101">
        <f t="shared" si="387"/>
        <v>9.7629947881633775E-2</v>
      </c>
      <c r="AD1101">
        <f t="shared" si="388"/>
        <v>3.6381141391751142E-3</v>
      </c>
      <c r="AE1101">
        <f t="shared" si="389"/>
        <v>1.8142666234807793E-2</v>
      </c>
      <c r="AG1101">
        <f t="shared" si="390"/>
        <v>-0.4102549717500551</v>
      </c>
      <c r="AH1101">
        <f t="shared" si="391"/>
        <v>0.47184759819125499</v>
      </c>
      <c r="AI1101">
        <f t="shared" si="392"/>
        <v>1.5375562797906071</v>
      </c>
      <c r="AK1101" s="26">
        <f t="shared" si="393"/>
        <v>-0.22018222846276286</v>
      </c>
      <c r="AL1101" s="26">
        <f t="shared" si="394"/>
        <v>-0.11349890159235793</v>
      </c>
      <c r="AM1101" s="26">
        <f t="shared" si="395"/>
        <v>-7.4178539353135786E-2</v>
      </c>
      <c r="AN1101" s="26">
        <f t="shared" si="396"/>
        <v>-28.678333333333313</v>
      </c>
      <c r="AO1101" s="26">
        <f t="shared" si="397"/>
        <v>-32.387613636363653</v>
      </c>
      <c r="AP1101" s="26">
        <f t="shared" si="398"/>
        <v>-32.971978602562388</v>
      </c>
      <c r="AS1101" s="2">
        <v>44379</v>
      </c>
      <c r="AT1101">
        <v>20.3</v>
      </c>
      <c r="AU1101">
        <v>38.4</v>
      </c>
      <c r="AV1101">
        <v>11.8</v>
      </c>
      <c r="AW1101">
        <v>2.4</v>
      </c>
      <c r="AX1101">
        <v>205.45</v>
      </c>
      <c r="AY1101">
        <v>0</v>
      </c>
      <c r="AZ1101">
        <v>3.2</v>
      </c>
      <c r="BA1101">
        <v>286.09460000000001</v>
      </c>
      <c r="BB1101">
        <v>114.78740000000001</v>
      </c>
      <c r="BC1101">
        <v>135.2004</v>
      </c>
      <c r="BD1101">
        <v>3.9134000000000002</v>
      </c>
      <c r="BE1101">
        <v>18.499500000000001</v>
      </c>
      <c r="BF1101">
        <v>-10.739599999999999</v>
      </c>
      <c r="BG1101">
        <v>-7.29</v>
      </c>
      <c r="BH1101">
        <v>48.1</v>
      </c>
    </row>
    <row r="1102" spans="1:60" x14ac:dyDescent="0.25">
      <c r="A1102" s="2">
        <v>44399</v>
      </c>
      <c r="B1102">
        <v>21</v>
      </c>
      <c r="C1102">
        <v>254.4</v>
      </c>
      <c r="D1102">
        <v>8.6999999999999993</v>
      </c>
      <c r="E1102">
        <v>0.6</v>
      </c>
      <c r="F1102">
        <v>228.57</v>
      </c>
      <c r="G1102">
        <v>0</v>
      </c>
      <c r="H1102">
        <v>3.3</v>
      </c>
      <c r="I1102">
        <v>210.9639</v>
      </c>
      <c r="J1102">
        <v>148.47800000000001</v>
      </c>
      <c r="K1102">
        <v>111.0296</v>
      </c>
      <c r="L1102">
        <v>3.9359999999999999</v>
      </c>
      <c r="M1102">
        <v>21.930700000000002</v>
      </c>
      <c r="N1102">
        <v>-14.9719</v>
      </c>
      <c r="O1102">
        <v>-12.803800000000001</v>
      </c>
      <c r="P1102">
        <v>53.6</v>
      </c>
      <c r="S1102">
        <f t="shared" si="377"/>
        <v>1012.9082</v>
      </c>
      <c r="T1102">
        <f t="shared" si="378"/>
        <v>1.9686764822376159E-2</v>
      </c>
      <c r="U1102">
        <f t="shared" si="379"/>
        <v>0.23849109384821407</v>
      </c>
      <c r="V1102">
        <f t="shared" si="380"/>
        <v>8.1559454264129791E-3</v>
      </c>
      <c r="W1102">
        <f t="shared" si="381"/>
        <v>5.6247899492503314E-4</v>
      </c>
      <c r="X1102">
        <f t="shared" si="382"/>
        <v>0.21427637311669137</v>
      </c>
      <c r="Y1102">
        <f t="shared" si="383"/>
        <v>0</v>
      </c>
      <c r="Z1102">
        <f t="shared" si="384"/>
        <v>3.0936344720876819E-3</v>
      </c>
      <c r="AA1102">
        <f t="shared" si="385"/>
        <v>0.19777127072910866</v>
      </c>
      <c r="AB1102">
        <f t="shared" si="386"/>
        <v>0.1391929270141318</v>
      </c>
      <c r="AC1102">
        <f t="shared" si="387"/>
        <v>0.10408636302488077</v>
      </c>
      <c r="AD1102">
        <f t="shared" si="388"/>
        <v>3.6898622067082173E-3</v>
      </c>
      <c r="AE1102">
        <f t="shared" si="389"/>
        <v>2.0559263490004042E-2</v>
      </c>
      <c r="AG1102">
        <f t="shared" si="390"/>
        <v>-0.43028818558692072</v>
      </c>
      <c r="AH1102">
        <f t="shared" si="391"/>
        <v>0.50482555417071129</v>
      </c>
      <c r="AI1102">
        <f t="shared" si="392"/>
        <v>1.7712531366737192</v>
      </c>
      <c r="AK1102" s="26">
        <f t="shared" si="393"/>
        <v>-0.22811772676435516</v>
      </c>
      <c r="AL1102" s="26">
        <f t="shared" si="394"/>
        <v>-0.11176972565287902</v>
      </c>
      <c r="AM1102" s="26">
        <f t="shared" si="395"/>
        <v>-7.3584774745559356E-2</v>
      </c>
      <c r="AN1102" s="26">
        <f t="shared" si="396"/>
        <v>-28.866132404181172</v>
      </c>
      <c r="AO1102" s="26">
        <f t="shared" si="397"/>
        <v>-32.510187969924814</v>
      </c>
      <c r="AP1102" s="26">
        <f t="shared" si="398"/>
        <v>-32.887645219242778</v>
      </c>
      <c r="AS1102" s="2">
        <v>44378</v>
      </c>
      <c r="AT1102">
        <v>20.5</v>
      </c>
      <c r="AU1102">
        <v>27.7</v>
      </c>
      <c r="AV1102">
        <v>24</v>
      </c>
      <c r="AW1102">
        <v>4.2</v>
      </c>
      <c r="AX1102">
        <v>103.83</v>
      </c>
      <c r="AY1102">
        <v>0</v>
      </c>
      <c r="AZ1102">
        <v>3</v>
      </c>
      <c r="BA1102">
        <v>288.5985</v>
      </c>
      <c r="BB1102">
        <v>113.5312</v>
      </c>
      <c r="BC1102">
        <v>127.2118</v>
      </c>
      <c r="BD1102">
        <v>3.9695999999999998</v>
      </c>
      <c r="BE1102">
        <v>19.816700000000001</v>
      </c>
      <c r="BF1102">
        <v>-10.1797</v>
      </c>
      <c r="BG1102">
        <v>-6.2007000000000003</v>
      </c>
      <c r="BH1102">
        <v>47.81</v>
      </c>
    </row>
    <row r="1103" spans="1:60" x14ac:dyDescent="0.25">
      <c r="A1103" s="2">
        <v>44398</v>
      </c>
      <c r="B1103">
        <v>19.2</v>
      </c>
      <c r="C1103">
        <v>210.5</v>
      </c>
      <c r="D1103">
        <v>12.4</v>
      </c>
      <c r="E1103">
        <v>1.3</v>
      </c>
      <c r="F1103">
        <v>235.01</v>
      </c>
      <c r="G1103">
        <v>0</v>
      </c>
      <c r="H1103">
        <v>2.6</v>
      </c>
      <c r="I1103">
        <v>217.4135</v>
      </c>
      <c r="J1103">
        <v>135.80590000000001</v>
      </c>
      <c r="K1103">
        <v>96.145300000000006</v>
      </c>
      <c r="L1103">
        <v>3.9380999999999999</v>
      </c>
      <c r="M1103">
        <v>18.324400000000001</v>
      </c>
      <c r="N1103">
        <v>-13.2498</v>
      </c>
      <c r="O1103">
        <v>-12.054600000000001</v>
      </c>
      <c r="P1103">
        <v>53.45</v>
      </c>
      <c r="S1103">
        <f t="shared" si="377"/>
        <v>952.63719999999989</v>
      </c>
      <c r="T1103">
        <f t="shared" si="378"/>
        <v>1.799932783760106E-2</v>
      </c>
      <c r="U1103">
        <f t="shared" si="379"/>
        <v>0.19733638071953247</v>
      </c>
      <c r="V1103">
        <f t="shared" si="380"/>
        <v>1.1624565895117352E-2</v>
      </c>
      <c r="W1103">
        <f t="shared" si="381"/>
        <v>1.2187044890042385E-3</v>
      </c>
      <c r="X1103">
        <f t="shared" si="382"/>
        <v>0.22031364766222006</v>
      </c>
      <c r="Y1103">
        <f t="shared" si="383"/>
        <v>0</v>
      </c>
      <c r="Z1103">
        <f t="shared" si="384"/>
        <v>2.437408978008477E-3</v>
      </c>
      <c r="AA1103">
        <f t="shared" si="385"/>
        <v>0.20381754493855617</v>
      </c>
      <c r="AB1103">
        <f t="shared" si="386"/>
        <v>0.12731327689481595</v>
      </c>
      <c r="AC1103">
        <f t="shared" si="387"/>
        <v>9.0132852851276327E-2</v>
      </c>
      <c r="AD1103">
        <f t="shared" si="388"/>
        <v>3.6918308831904549E-3</v>
      </c>
      <c r="AE1103">
        <f t="shared" si="389"/>
        <v>1.7178483491007129E-2</v>
      </c>
      <c r="AG1103">
        <f t="shared" si="390"/>
        <v>-0.44082145686524116</v>
      </c>
      <c r="AH1103">
        <f t="shared" si="391"/>
        <v>0.46810851907249079</v>
      </c>
      <c r="AI1103">
        <f t="shared" si="392"/>
        <v>1.5114833208692409</v>
      </c>
      <c r="AK1103" s="26">
        <f t="shared" si="393"/>
        <v>-0.24934539832920954</v>
      </c>
      <c r="AL1103" s="26">
        <f t="shared" si="394"/>
        <v>-0.11366586410735152</v>
      </c>
      <c r="AM1103" s="26">
        <f t="shared" si="395"/>
        <v>-7.3666086144927534E-2</v>
      </c>
      <c r="AN1103" s="26">
        <f t="shared" si="396"/>
        <v>-29.0487857142857</v>
      </c>
      <c r="AO1103" s="26">
        <f t="shared" si="397"/>
        <v>-32.627014285714274</v>
      </c>
      <c r="AP1103" s="26">
        <f t="shared" si="398"/>
        <v>-32.805295655671713</v>
      </c>
      <c r="AS1103" s="2">
        <v>44377</v>
      </c>
      <c r="AT1103">
        <v>20.399999999999999</v>
      </c>
      <c r="AU1103">
        <v>115.5</v>
      </c>
      <c r="AV1103">
        <v>26.7</v>
      </c>
      <c r="AW1103">
        <v>2.7</v>
      </c>
      <c r="AX1103">
        <v>139.51</v>
      </c>
      <c r="AY1103">
        <v>0.1</v>
      </c>
      <c r="AZ1103">
        <v>3.1</v>
      </c>
      <c r="BA1103">
        <v>298.7081</v>
      </c>
      <c r="BB1103">
        <v>133.7106</v>
      </c>
      <c r="BC1103">
        <v>129.57470000000001</v>
      </c>
      <c r="BD1103">
        <v>4.0382999999999996</v>
      </c>
      <c r="BE1103">
        <v>21.237400000000001</v>
      </c>
      <c r="BF1103">
        <v>-7.6524999999999999</v>
      </c>
      <c r="BG1103">
        <v>-6.4581</v>
      </c>
      <c r="BH1103">
        <v>47.56</v>
      </c>
    </row>
    <row r="1104" spans="1:60" x14ac:dyDescent="0.25">
      <c r="A1104" s="2">
        <v>44397</v>
      </c>
      <c r="B1104">
        <v>16</v>
      </c>
      <c r="C1104">
        <v>98.9</v>
      </c>
      <c r="D1104">
        <v>18.399999999999999</v>
      </c>
      <c r="E1104">
        <v>1.2</v>
      </c>
      <c r="F1104">
        <v>240.19</v>
      </c>
      <c r="G1104">
        <v>0</v>
      </c>
      <c r="H1104">
        <v>2.5</v>
      </c>
      <c r="I1104">
        <v>211.60220000000001</v>
      </c>
      <c r="J1104">
        <v>131.6266</v>
      </c>
      <c r="K1104">
        <v>92.876099999999994</v>
      </c>
      <c r="L1104">
        <v>3.9235000000000002</v>
      </c>
      <c r="M1104">
        <v>21.1401</v>
      </c>
      <c r="N1104">
        <v>-12.1999</v>
      </c>
      <c r="O1104">
        <v>-11.1875</v>
      </c>
      <c r="P1104">
        <v>53.28</v>
      </c>
      <c r="S1104">
        <f t="shared" si="377"/>
        <v>838.35849999999982</v>
      </c>
      <c r="T1104">
        <f t="shared" si="378"/>
        <v>1.4999439864667551E-2</v>
      </c>
      <c r="U1104">
        <f t="shared" si="379"/>
        <v>9.2715287663476309E-2</v>
      </c>
      <c r="V1104">
        <f t="shared" si="380"/>
        <v>1.7249355844367681E-2</v>
      </c>
      <c r="W1104">
        <f t="shared" si="381"/>
        <v>1.1249579898500663E-3</v>
      </c>
      <c r="X1104">
        <f t="shared" si="382"/>
        <v>0.22516971631840618</v>
      </c>
      <c r="Y1104">
        <f t="shared" si="383"/>
        <v>0</v>
      </c>
      <c r="Z1104">
        <f t="shared" si="384"/>
        <v>2.3436624788543046E-3</v>
      </c>
      <c r="AA1104">
        <f t="shared" si="385"/>
        <v>0.19836965463320977</v>
      </c>
      <c r="AB1104">
        <f t="shared" si="386"/>
        <v>0.12339532945566561</v>
      </c>
      <c r="AC1104">
        <f t="shared" si="387"/>
        <v>8.7068092300928115E-2</v>
      </c>
      <c r="AD1104">
        <f t="shared" si="388"/>
        <v>3.6781438943139463E-3</v>
      </c>
      <c r="AE1104">
        <f t="shared" si="389"/>
        <v>1.9818103667691156E-2</v>
      </c>
      <c r="AG1104">
        <f t="shared" si="390"/>
        <v>-0.45227805396628817</v>
      </c>
      <c r="AH1104">
        <f t="shared" si="391"/>
        <v>0.37342052382731322</v>
      </c>
      <c r="AI1104">
        <f t="shared" si="392"/>
        <v>0.84444810943444071</v>
      </c>
      <c r="AK1104" s="26">
        <f t="shared" si="393"/>
        <v>-0.26226659883884235</v>
      </c>
      <c r="AL1104" s="26">
        <f t="shared" si="394"/>
        <v>-0.11375506222725201</v>
      </c>
      <c r="AM1104" s="26">
        <f t="shared" si="395"/>
        <v>-7.0534720780967841E-2</v>
      </c>
      <c r="AN1104" s="26">
        <f t="shared" si="396"/>
        <v>-29.23630036630037</v>
      </c>
      <c r="AO1104" s="26">
        <f t="shared" si="397"/>
        <v>-32.738595559845578</v>
      </c>
      <c r="AP1104" s="26">
        <f t="shared" si="398"/>
        <v>-32.721138282780473</v>
      </c>
      <c r="AS1104" s="2">
        <v>44376</v>
      </c>
      <c r="AT1104">
        <v>20.7</v>
      </c>
      <c r="AU1104">
        <v>101.4</v>
      </c>
      <c r="AV1104">
        <v>50.4</v>
      </c>
      <c r="AW1104">
        <v>1.3</v>
      </c>
      <c r="AX1104">
        <v>185.14</v>
      </c>
      <c r="AY1104">
        <v>0.1</v>
      </c>
      <c r="AZ1104">
        <v>3.3</v>
      </c>
      <c r="BA1104">
        <v>295.32900000000001</v>
      </c>
      <c r="BB1104">
        <v>127.3391</v>
      </c>
      <c r="BC1104">
        <v>133.68219999999999</v>
      </c>
      <c r="BD1104">
        <v>4.0713999999999997</v>
      </c>
      <c r="BE1104">
        <v>30.801300000000001</v>
      </c>
      <c r="BF1104">
        <v>-6.3112000000000004</v>
      </c>
      <c r="BG1104">
        <v>-5.3708999999999998</v>
      </c>
      <c r="BH1104">
        <v>47.28</v>
      </c>
    </row>
    <row r="1105" spans="1:60" x14ac:dyDescent="0.25">
      <c r="A1105" s="2">
        <v>44396</v>
      </c>
      <c r="B1105">
        <v>13.4</v>
      </c>
      <c r="C1105">
        <v>67.599999999999994</v>
      </c>
      <c r="D1105">
        <v>24</v>
      </c>
      <c r="E1105">
        <v>2.6</v>
      </c>
      <c r="F1105">
        <v>225.58</v>
      </c>
      <c r="G1105">
        <v>0</v>
      </c>
      <c r="H1105">
        <v>3</v>
      </c>
      <c r="I1105">
        <v>211.47290000000001</v>
      </c>
      <c r="J1105">
        <v>99.657899999999998</v>
      </c>
      <c r="K1105">
        <v>78.351699999999994</v>
      </c>
      <c r="L1105">
        <v>4.0820999999999996</v>
      </c>
      <c r="M1105">
        <v>21.625</v>
      </c>
      <c r="N1105">
        <v>-11.1858</v>
      </c>
      <c r="O1105">
        <v>-10.7972</v>
      </c>
      <c r="P1105">
        <v>53.09</v>
      </c>
      <c r="S1105">
        <f t="shared" si="377"/>
        <v>751.3696000000001</v>
      </c>
      <c r="T1105">
        <f t="shared" si="378"/>
        <v>1.2562030886659074E-2</v>
      </c>
      <c r="U1105">
        <f t="shared" si="379"/>
        <v>6.3372633428220401E-2</v>
      </c>
      <c r="V1105">
        <f t="shared" si="380"/>
        <v>2.2499159797001327E-2</v>
      </c>
      <c r="W1105">
        <f t="shared" si="381"/>
        <v>2.437408978008477E-3</v>
      </c>
      <c r="X1105">
        <f t="shared" si="382"/>
        <v>0.21147335279198165</v>
      </c>
      <c r="Y1105">
        <f t="shared" si="383"/>
        <v>0</v>
      </c>
      <c r="Z1105">
        <f t="shared" si="384"/>
        <v>2.8123949746251659E-3</v>
      </c>
      <c r="AA1105">
        <f t="shared" si="385"/>
        <v>0.19824844040980341</v>
      </c>
      <c r="AB1105">
        <f t="shared" si="386"/>
        <v>9.3425792380565767E-2</v>
      </c>
      <c r="AC1105">
        <f t="shared" si="387"/>
        <v>7.3451975777779524E-2</v>
      </c>
      <c r="AD1105">
        <f t="shared" si="388"/>
        <v>3.8268258419724625E-3</v>
      </c>
      <c r="AE1105">
        <f t="shared" si="389"/>
        <v>2.0272680442089738E-2</v>
      </c>
      <c r="AG1105">
        <f t="shared" si="390"/>
        <v>-0.46465942922454373</v>
      </c>
      <c r="AH1105">
        <f t="shared" si="391"/>
        <v>0.33542966129858581</v>
      </c>
      <c r="AI1105">
        <f t="shared" si="392"/>
        <v>0.57049439499274901</v>
      </c>
      <c r="AK1105" s="26">
        <f t="shared" si="393"/>
        <v>-0.28597140111263242</v>
      </c>
      <c r="AL1105" s="26">
        <f t="shared" si="394"/>
        <v>-0.11253809707061602</v>
      </c>
      <c r="AM1105" s="26">
        <f t="shared" si="395"/>
        <v>-7.1238756989615626E-2</v>
      </c>
      <c r="AN1105" s="26">
        <f t="shared" si="396"/>
        <v>-29.429160401002484</v>
      </c>
      <c r="AO1105" s="26">
        <f t="shared" si="397"/>
        <v>-32.846942270058712</v>
      </c>
      <c r="AP1105" s="26">
        <f t="shared" si="398"/>
        <v>-32.636114363512547</v>
      </c>
      <c r="AS1105" s="2">
        <v>44375</v>
      </c>
      <c r="AT1105">
        <v>20.5</v>
      </c>
      <c r="AU1105">
        <v>4.5999999999999996</v>
      </c>
      <c r="AV1105">
        <v>19.399999999999999</v>
      </c>
      <c r="AW1105">
        <v>1.2</v>
      </c>
      <c r="AX1105">
        <v>260.35000000000002</v>
      </c>
      <c r="AY1105">
        <v>0.2</v>
      </c>
      <c r="AZ1105">
        <v>3.6</v>
      </c>
      <c r="BA1105">
        <v>296.74930000000001</v>
      </c>
      <c r="BB1105">
        <v>123.51860000000001</v>
      </c>
      <c r="BC1105">
        <v>120.5645</v>
      </c>
      <c r="BD1105">
        <v>3.6747000000000001</v>
      </c>
      <c r="BE1105">
        <v>26.660599999999999</v>
      </c>
      <c r="BF1105">
        <v>-5.4038000000000004</v>
      </c>
      <c r="BG1105">
        <v>-5.6421000000000001</v>
      </c>
      <c r="BH1105">
        <v>47</v>
      </c>
    </row>
    <row r="1106" spans="1:60" x14ac:dyDescent="0.25">
      <c r="A1106" s="2">
        <v>44395</v>
      </c>
      <c r="B1106">
        <v>13.4</v>
      </c>
      <c r="C1106">
        <v>172.2</v>
      </c>
      <c r="D1106">
        <v>30</v>
      </c>
      <c r="E1106">
        <v>4.2</v>
      </c>
      <c r="F1106">
        <v>268.33999999999997</v>
      </c>
      <c r="G1106">
        <v>0</v>
      </c>
      <c r="H1106">
        <v>2.8</v>
      </c>
      <c r="I1106">
        <v>130.64879999999999</v>
      </c>
      <c r="J1106">
        <v>21.3477</v>
      </c>
      <c r="K1106">
        <v>21.3675</v>
      </c>
      <c r="L1106">
        <v>4.0307000000000004</v>
      </c>
      <c r="M1106">
        <v>13.7334</v>
      </c>
      <c r="P1106">
        <v>52.88</v>
      </c>
      <c r="S1106">
        <f t="shared" si="377"/>
        <v>682.06809999999996</v>
      </c>
      <c r="T1106">
        <f t="shared" si="378"/>
        <v>1.2562030886659074E-2</v>
      </c>
      <c r="U1106">
        <f t="shared" si="379"/>
        <v>0.1614314715434845</v>
      </c>
      <c r="V1106">
        <f t="shared" si="380"/>
        <v>2.8123949746251656E-2</v>
      </c>
      <c r="W1106">
        <f t="shared" si="381"/>
        <v>3.9373529644752322E-3</v>
      </c>
      <c r="X1106">
        <f t="shared" si="382"/>
        <v>0.25155935583030564</v>
      </c>
      <c r="Y1106">
        <f t="shared" si="383"/>
        <v>0</v>
      </c>
      <c r="Z1106">
        <f t="shared" si="384"/>
        <v>2.624901976316821E-3</v>
      </c>
      <c r="AA1106">
        <f t="shared" si="385"/>
        <v>0.12247867618693611</v>
      </c>
      <c r="AB1106">
        <f t="shared" si="386"/>
        <v>2.0012721399935218E-2</v>
      </c>
      <c r="AC1106">
        <f t="shared" si="387"/>
        <v>2.0031283206767742E-2</v>
      </c>
      <c r="AD1106">
        <f t="shared" si="388"/>
        <v>3.778640141407219E-3</v>
      </c>
      <c r="AE1106">
        <f t="shared" si="389"/>
        <v>1.2874581714839083E-2</v>
      </c>
      <c r="AG1106">
        <f t="shared" si="390"/>
        <v>-0.47796467071641752</v>
      </c>
      <c r="AH1106">
        <f t="shared" si="391"/>
        <v>0.47311364466233202</v>
      </c>
      <c r="AI1106">
        <f t="shared" si="392"/>
        <v>1.5312873716722128</v>
      </c>
      <c r="AK1106" s="26">
        <f t="shared" si="393"/>
        <v>-0.30450399921449356</v>
      </c>
      <c r="AL1106" s="26">
        <f t="shared" si="394"/>
        <v>-0.11092509982830329</v>
      </c>
      <c r="AM1106" s="26">
        <f t="shared" si="395"/>
        <v>-7.1123694361706902E-2</v>
      </c>
      <c r="AN1106" s="26">
        <f t="shared" si="396"/>
        <v>-29.626962676962648</v>
      </c>
      <c r="AO1106" s="26">
        <f t="shared" si="397"/>
        <v>-32.952817460317469</v>
      </c>
      <c r="AP1106" s="26">
        <f t="shared" si="398"/>
        <v>-32.549510187281307</v>
      </c>
      <c r="AS1106" s="2">
        <v>44374</v>
      </c>
      <c r="AT1106">
        <v>20.6</v>
      </c>
      <c r="AU1106">
        <v>487.6</v>
      </c>
      <c r="AV1106">
        <v>3.6</v>
      </c>
      <c r="AW1106">
        <v>1.6</v>
      </c>
      <c r="AX1106">
        <v>277.35000000000002</v>
      </c>
      <c r="AY1106">
        <v>0.2</v>
      </c>
      <c r="AZ1106">
        <v>3.8</v>
      </c>
      <c r="BA1106">
        <v>223.89670000000001</v>
      </c>
      <c r="BB1106">
        <v>43.825699999999998</v>
      </c>
      <c r="BC1106">
        <v>29.064499999999999</v>
      </c>
      <c r="BD1106">
        <v>3.9990000000000001</v>
      </c>
      <c r="BE1106">
        <v>14.6128</v>
      </c>
      <c r="BH1106">
        <v>46.7</v>
      </c>
    </row>
    <row r="1107" spans="1:60" x14ac:dyDescent="0.25">
      <c r="A1107" s="2">
        <v>44394</v>
      </c>
      <c r="B1107">
        <v>19.899999999999999</v>
      </c>
      <c r="C1107">
        <v>38.9</v>
      </c>
      <c r="D1107">
        <v>30.3</v>
      </c>
      <c r="E1107">
        <v>5.4</v>
      </c>
      <c r="F1107">
        <v>177.21</v>
      </c>
      <c r="G1107">
        <v>0</v>
      </c>
      <c r="H1107">
        <v>2.9</v>
      </c>
      <c r="I1107">
        <v>173.72540000000001</v>
      </c>
      <c r="J1107">
        <v>25.9377</v>
      </c>
      <c r="K1107">
        <v>26.921900000000001</v>
      </c>
      <c r="L1107">
        <v>4.0041000000000002</v>
      </c>
      <c r="M1107">
        <v>21.838699999999999</v>
      </c>
      <c r="P1107">
        <v>52.57</v>
      </c>
      <c r="S1107">
        <f t="shared" si="377"/>
        <v>527.03780000000006</v>
      </c>
      <c r="T1107">
        <f t="shared" si="378"/>
        <v>1.8655553331680265E-2</v>
      </c>
      <c r="U1107">
        <f t="shared" si="379"/>
        <v>3.6467388170972982E-2</v>
      </c>
      <c r="V1107">
        <f t="shared" si="380"/>
        <v>2.8405189243714175E-2</v>
      </c>
      <c r="W1107">
        <f t="shared" si="381"/>
        <v>5.0623109543252989E-3</v>
      </c>
      <c r="X1107">
        <f t="shared" si="382"/>
        <v>0.16612817115110853</v>
      </c>
      <c r="Y1107">
        <f t="shared" si="383"/>
        <v>0</v>
      </c>
      <c r="Z1107">
        <f t="shared" si="384"/>
        <v>2.7186484754709935E-3</v>
      </c>
      <c r="AA1107">
        <f t="shared" si="385"/>
        <v>0.16286148064158226</v>
      </c>
      <c r="AB1107">
        <f t="shared" si="386"/>
        <v>2.4315685711111718E-2</v>
      </c>
      <c r="AC1107">
        <f t="shared" si="387"/>
        <v>2.5238338755787085E-2</v>
      </c>
      <c r="AD1107">
        <f t="shared" si="388"/>
        <v>3.7537035726322087E-3</v>
      </c>
      <c r="AE1107">
        <f t="shared" si="389"/>
        <v>2.0473016710782201E-2</v>
      </c>
      <c r="AG1107">
        <f t="shared" si="390"/>
        <v>-0.49580879059680116</v>
      </c>
      <c r="AH1107">
        <f t="shared" si="391"/>
        <v>0.27791027803805446</v>
      </c>
      <c r="AI1107">
        <f t="shared" si="392"/>
        <v>0.1726213725781979</v>
      </c>
      <c r="AK1107" s="26">
        <f t="shared" si="393"/>
        <v>-0.30505854100582352</v>
      </c>
      <c r="AL1107" s="26">
        <f t="shared" si="394"/>
        <v>-0.1126448827033758</v>
      </c>
      <c r="AM1107" s="26">
        <f t="shared" si="395"/>
        <v>-7.242130934416291E-2</v>
      </c>
      <c r="AN1107" s="26">
        <f t="shared" si="396"/>
        <v>-29.824484126984096</v>
      </c>
      <c r="AO1107" s="26">
        <f t="shared" si="397"/>
        <v>-33.05409708249497</v>
      </c>
      <c r="AP1107" s="26">
        <f t="shared" si="398"/>
        <v>-32.460408600663669</v>
      </c>
      <c r="AS1107" s="2">
        <v>44373</v>
      </c>
      <c r="AT1107">
        <v>20.8</v>
      </c>
      <c r="AU1107">
        <v>57.5</v>
      </c>
      <c r="AV1107">
        <v>1.8</v>
      </c>
      <c r="AW1107">
        <v>0.3</v>
      </c>
      <c r="AX1107">
        <v>262.81</v>
      </c>
      <c r="AY1107">
        <v>0.2</v>
      </c>
      <c r="AZ1107">
        <v>3.3</v>
      </c>
      <c r="BA1107">
        <v>269.286</v>
      </c>
      <c r="BB1107">
        <v>70.0792</v>
      </c>
      <c r="BC1107">
        <v>54.625700000000002</v>
      </c>
      <c r="BD1107">
        <v>4.032</v>
      </c>
      <c r="BE1107">
        <v>17.639900000000001</v>
      </c>
      <c r="BH1107">
        <v>46.31</v>
      </c>
    </row>
    <row r="1108" spans="1:60" x14ac:dyDescent="0.25">
      <c r="A1108" s="2">
        <v>44393</v>
      </c>
      <c r="B1108">
        <v>20</v>
      </c>
      <c r="C1108">
        <v>292.60000000000002</v>
      </c>
      <c r="D1108">
        <v>40</v>
      </c>
      <c r="E1108">
        <v>2.2999999999999998</v>
      </c>
      <c r="F1108">
        <v>210.55</v>
      </c>
      <c r="G1108">
        <v>0</v>
      </c>
      <c r="H1108">
        <v>2.8</v>
      </c>
      <c r="I1108">
        <v>212.7072</v>
      </c>
      <c r="J1108">
        <v>119.6157</v>
      </c>
      <c r="K1108">
        <v>82.220799999999997</v>
      </c>
      <c r="L1108">
        <v>4.0792999999999999</v>
      </c>
      <c r="M1108">
        <v>16.443999999999999</v>
      </c>
      <c r="N1108">
        <v>-12.1221</v>
      </c>
      <c r="O1108">
        <v>-12.446899999999999</v>
      </c>
      <c r="P1108">
        <v>52.27</v>
      </c>
      <c r="S1108">
        <f t="shared" si="377"/>
        <v>1003.3170000000001</v>
      </c>
      <c r="T1108">
        <f t="shared" si="378"/>
        <v>1.8749299830834436E-2</v>
      </c>
      <c r="U1108">
        <f t="shared" si="379"/>
        <v>0.27430225652510787</v>
      </c>
      <c r="V1108">
        <f t="shared" si="380"/>
        <v>3.7498599661668873E-2</v>
      </c>
      <c r="W1108">
        <f t="shared" si="381"/>
        <v>2.1561694805459601E-3</v>
      </c>
      <c r="X1108">
        <f t="shared" si="382"/>
        <v>0.19738325396910955</v>
      </c>
      <c r="Y1108">
        <f t="shared" si="383"/>
        <v>0</v>
      </c>
      <c r="Z1108">
        <f t="shared" si="384"/>
        <v>2.624901976316821E-3</v>
      </c>
      <c r="AA1108">
        <f t="shared" si="385"/>
        <v>0.19940555344886335</v>
      </c>
      <c r="AB1108">
        <f t="shared" si="386"/>
        <v>0.11213553118875715</v>
      </c>
      <c r="AC1108">
        <f t="shared" si="387"/>
        <v>7.7079121576553611E-2</v>
      </c>
      <c r="AD1108">
        <f t="shared" si="388"/>
        <v>3.8242009399961463E-3</v>
      </c>
      <c r="AE1108">
        <f t="shared" si="389"/>
        <v>1.5415674320912074E-2</v>
      </c>
      <c r="AG1108">
        <f t="shared" si="390"/>
        <v>-0.51322622422099828</v>
      </c>
      <c r="AH1108">
        <f t="shared" si="391"/>
        <v>0.54813015576449553</v>
      </c>
      <c r="AI1108">
        <f t="shared" si="392"/>
        <v>2.0598745323998848</v>
      </c>
      <c r="AK1108" s="26">
        <f t="shared" si="393"/>
        <v>-0.31522156773029431</v>
      </c>
      <c r="AL1108" s="26">
        <f t="shared" si="394"/>
        <v>-0.11403239617859817</v>
      </c>
      <c r="AM1108" s="26">
        <f t="shared" si="395"/>
        <v>-7.2840206864675405E-2</v>
      </c>
      <c r="AN1108" s="26">
        <f t="shared" si="396"/>
        <v>-30.022285714285687</v>
      </c>
      <c r="AO1108" s="26">
        <f t="shared" si="397"/>
        <v>-33.148750000000014</v>
      </c>
      <c r="AP1108" s="26">
        <f t="shared" si="398"/>
        <v>-32.368547139572129</v>
      </c>
      <c r="AS1108" s="2">
        <v>44372</v>
      </c>
      <c r="AT1108">
        <v>20.7</v>
      </c>
      <c r="AU1108">
        <v>141.69999999999999</v>
      </c>
      <c r="AV1108">
        <v>5.2</v>
      </c>
      <c r="AW1108">
        <v>0.6</v>
      </c>
      <c r="AX1108">
        <v>196.22</v>
      </c>
      <c r="AY1108">
        <v>0.2</v>
      </c>
      <c r="AZ1108">
        <v>3.4</v>
      </c>
      <c r="BA1108">
        <v>314.84980000000002</v>
      </c>
      <c r="BB1108">
        <v>130.69390000000001</v>
      </c>
      <c r="BC1108">
        <v>137.18780000000001</v>
      </c>
      <c r="BD1108">
        <v>4.032</v>
      </c>
      <c r="BE1108">
        <v>18.068899999999999</v>
      </c>
      <c r="BF1108">
        <v>-4.7141999999999999</v>
      </c>
      <c r="BG1108">
        <v>-5.7393999999999998</v>
      </c>
      <c r="BH1108">
        <v>45.94</v>
      </c>
    </row>
    <row r="1109" spans="1:60" x14ac:dyDescent="0.25">
      <c r="A1109" s="2">
        <v>44392</v>
      </c>
      <c r="B1109">
        <v>19.899999999999999</v>
      </c>
      <c r="C1109">
        <v>72.8</v>
      </c>
      <c r="D1109">
        <v>64.099999999999994</v>
      </c>
      <c r="E1109">
        <v>2.1</v>
      </c>
      <c r="F1109">
        <v>187.82</v>
      </c>
      <c r="G1109">
        <v>0</v>
      </c>
      <c r="H1109">
        <v>2.7</v>
      </c>
      <c r="I1109">
        <v>186.2792</v>
      </c>
      <c r="J1109">
        <v>141.6474</v>
      </c>
      <c r="K1109">
        <v>126.94759999999999</v>
      </c>
      <c r="L1109">
        <v>4.2694999999999999</v>
      </c>
      <c r="M1109">
        <v>13.210599999999999</v>
      </c>
      <c r="N1109">
        <v>-10.054</v>
      </c>
      <c r="O1109">
        <v>-12.513</v>
      </c>
      <c r="P1109">
        <v>51.99</v>
      </c>
      <c r="S1109">
        <f t="shared" si="377"/>
        <v>821.77430000000004</v>
      </c>
      <c r="T1109">
        <f t="shared" si="378"/>
        <v>1.8655553331680265E-2</v>
      </c>
      <c r="U1109">
        <f t="shared" si="379"/>
        <v>6.8247451384237351E-2</v>
      </c>
      <c r="V1109">
        <f t="shared" si="380"/>
        <v>6.0091505957824372E-2</v>
      </c>
      <c r="W1109">
        <f t="shared" si="381"/>
        <v>1.9686764822376161E-3</v>
      </c>
      <c r="X1109">
        <f t="shared" si="382"/>
        <v>0.1760746747113662</v>
      </c>
      <c r="Y1109">
        <f t="shared" si="383"/>
        <v>0</v>
      </c>
      <c r="Z1109">
        <f t="shared" si="384"/>
        <v>2.5311554771626494E-3</v>
      </c>
      <c r="AA1109">
        <f t="shared" si="385"/>
        <v>0.17463022865239872</v>
      </c>
      <c r="AB1109">
        <f t="shared" si="386"/>
        <v>0.13278947864290691</v>
      </c>
      <c r="AC1109">
        <f t="shared" si="387"/>
        <v>0.1190089307602419</v>
      </c>
      <c r="AD1109">
        <f t="shared" si="388"/>
        <v>4.0025067813873813E-3</v>
      </c>
      <c r="AE1109">
        <f t="shared" si="389"/>
        <v>1.2384475017261072E-2</v>
      </c>
      <c r="AG1109">
        <f t="shared" si="390"/>
        <v>-0.52976803969170039</v>
      </c>
      <c r="AH1109">
        <f t="shared" si="391"/>
        <v>0.33995349236176953</v>
      </c>
      <c r="AI1109">
        <f t="shared" si="392"/>
        <v>0.61499090979926951</v>
      </c>
      <c r="AK1109" s="26">
        <f t="shared" si="393"/>
        <v>-0.32922071012839188</v>
      </c>
      <c r="AL1109" s="26">
        <f t="shared" si="394"/>
        <v>-0.11662077384922659</v>
      </c>
      <c r="AM1109" s="26">
        <f t="shared" si="395"/>
        <v>-7.3494171657779439E-2</v>
      </c>
      <c r="AN1109" s="26">
        <f t="shared" si="396"/>
        <v>-30.220168067226879</v>
      </c>
      <c r="AO1109" s="26">
        <f t="shared" si="397"/>
        <v>-33.238035714285701</v>
      </c>
      <c r="AP1109" s="26">
        <f t="shared" si="398"/>
        <v>-32.274089057451853</v>
      </c>
      <c r="AS1109" s="2">
        <v>44371</v>
      </c>
      <c r="AT1109">
        <v>20.399999999999999</v>
      </c>
      <c r="AU1109">
        <v>210.4</v>
      </c>
      <c r="AV1109">
        <v>1.7</v>
      </c>
      <c r="AW1109">
        <v>0.5</v>
      </c>
      <c r="AX1109">
        <v>165.9</v>
      </c>
      <c r="AY1109">
        <v>0.2</v>
      </c>
      <c r="AZ1109">
        <v>3.5</v>
      </c>
      <c r="BA1109">
        <v>309.33960000000002</v>
      </c>
      <c r="BB1109">
        <v>149.48169999999999</v>
      </c>
      <c r="BC1109">
        <v>158.96199999999999</v>
      </c>
      <c r="BD1109">
        <v>4.032</v>
      </c>
      <c r="BE1109">
        <v>27.690100000000001</v>
      </c>
      <c r="BF1109">
        <v>-6.0307000000000004</v>
      </c>
      <c r="BG1109">
        <v>-6.5705999999999998</v>
      </c>
      <c r="BH1109">
        <v>45.69</v>
      </c>
    </row>
    <row r="1110" spans="1:60" x14ac:dyDescent="0.25">
      <c r="A1110" s="2">
        <v>44391</v>
      </c>
      <c r="B1110">
        <v>19.8</v>
      </c>
      <c r="C1110">
        <v>35.6</v>
      </c>
      <c r="D1110">
        <v>24.9</v>
      </c>
      <c r="E1110">
        <v>3.1</v>
      </c>
      <c r="F1110">
        <v>131.9</v>
      </c>
      <c r="G1110">
        <v>0</v>
      </c>
      <c r="H1110">
        <v>2.9</v>
      </c>
      <c r="I1110">
        <v>255.79159999999999</v>
      </c>
      <c r="J1110">
        <v>140.21619999999999</v>
      </c>
      <c r="K1110">
        <v>106.4207</v>
      </c>
      <c r="L1110">
        <v>4.6307999999999998</v>
      </c>
      <c r="M1110">
        <v>25.762699999999999</v>
      </c>
      <c r="N1110">
        <v>-11.954000000000001</v>
      </c>
      <c r="O1110">
        <v>-12.5405</v>
      </c>
      <c r="P1110">
        <v>51.78</v>
      </c>
      <c r="S1110">
        <f t="shared" si="377"/>
        <v>751.02200000000005</v>
      </c>
      <c r="T1110">
        <f t="shared" si="378"/>
        <v>1.8561806832526093E-2</v>
      </c>
      <c r="U1110">
        <f t="shared" si="379"/>
        <v>3.3373753698885303E-2</v>
      </c>
      <c r="V1110">
        <f t="shared" si="380"/>
        <v>2.3342878289388875E-2</v>
      </c>
      <c r="W1110">
        <f t="shared" si="381"/>
        <v>2.9061414737793379E-3</v>
      </c>
      <c r="X1110">
        <f t="shared" si="382"/>
        <v>0.12365163238435313</v>
      </c>
      <c r="Y1110">
        <f t="shared" si="383"/>
        <v>0</v>
      </c>
      <c r="Z1110">
        <f t="shared" si="384"/>
        <v>2.7186484754709935E-3</v>
      </c>
      <c r="AA1110">
        <f t="shared" si="385"/>
        <v>0.23979567013044351</v>
      </c>
      <c r="AB1110">
        <f t="shared" si="386"/>
        <v>0.13144777874701238</v>
      </c>
      <c r="AC1110">
        <f t="shared" si="387"/>
        <v>9.9765680625364117E-2</v>
      </c>
      <c r="AD1110">
        <f t="shared" si="388"/>
        <v>4.3412128828314057E-3</v>
      </c>
      <c r="AE1110">
        <f t="shared" si="389"/>
        <v>2.4151629337591917E-2</v>
      </c>
      <c r="AG1110">
        <f t="shared" si="390"/>
        <v>-0.54316443102739631</v>
      </c>
      <c r="AH1110">
        <f t="shared" si="391"/>
        <v>0.22870649049199562</v>
      </c>
      <c r="AI1110">
        <f t="shared" si="392"/>
        <v>-0.16938238086656396</v>
      </c>
      <c r="AK1110" s="26">
        <f t="shared" si="393"/>
        <v>-0.30949158528075499</v>
      </c>
      <c r="AL1110" s="26">
        <f t="shared" si="394"/>
        <v>-0.11249928099783235</v>
      </c>
      <c r="AM1110" s="26">
        <f t="shared" si="395"/>
        <v>-7.0332739385657372E-2</v>
      </c>
      <c r="AN1110" s="26">
        <f t="shared" si="396"/>
        <v>-30.410346320346299</v>
      </c>
      <c r="AO1110" s="26">
        <f t="shared" si="397"/>
        <v>-33.320546218487394</v>
      </c>
      <c r="AP1110" s="26">
        <f t="shared" si="398"/>
        <v>-32.175106548672545</v>
      </c>
      <c r="AS1110" s="2">
        <v>44370</v>
      </c>
      <c r="AT1110">
        <v>20.100000000000001</v>
      </c>
      <c r="AU1110">
        <v>95.5</v>
      </c>
      <c r="AV1110">
        <v>11.1</v>
      </c>
      <c r="AW1110">
        <v>0.7</v>
      </c>
      <c r="AX1110">
        <v>195.86</v>
      </c>
      <c r="AY1110">
        <v>0.2</v>
      </c>
      <c r="AZ1110">
        <v>3</v>
      </c>
      <c r="BA1110">
        <v>320.0883</v>
      </c>
      <c r="BB1110">
        <v>148.37909999999999</v>
      </c>
      <c r="BC1110">
        <v>145.971</v>
      </c>
      <c r="BD1110">
        <v>4.0129999999999999</v>
      </c>
      <c r="BE1110">
        <v>24.127600000000001</v>
      </c>
      <c r="BF1110">
        <v>-6.2332000000000001</v>
      </c>
      <c r="BG1110">
        <v>-6.2488999999999999</v>
      </c>
      <c r="BH1110">
        <v>45.47</v>
      </c>
    </row>
    <row r="1111" spans="1:60" x14ac:dyDescent="0.25">
      <c r="A1111" s="2">
        <v>44390</v>
      </c>
      <c r="B1111">
        <v>20.8</v>
      </c>
      <c r="C1111">
        <v>6.7</v>
      </c>
      <c r="D1111">
        <v>9</v>
      </c>
      <c r="E1111">
        <v>1.4</v>
      </c>
      <c r="F1111">
        <v>156.68</v>
      </c>
      <c r="G1111">
        <v>0</v>
      </c>
      <c r="H1111">
        <v>2.5</v>
      </c>
      <c r="I1111">
        <v>269.87220000000002</v>
      </c>
      <c r="J1111">
        <v>160.18719999999999</v>
      </c>
      <c r="K1111">
        <v>131.19</v>
      </c>
      <c r="L1111">
        <v>3.3782000000000001</v>
      </c>
      <c r="M1111">
        <v>20.595300000000002</v>
      </c>
      <c r="N1111">
        <v>-10.6995</v>
      </c>
      <c r="O1111">
        <v>-9.8023000000000007</v>
      </c>
      <c r="P1111">
        <v>51.61</v>
      </c>
      <c r="S1111">
        <f t="shared" si="377"/>
        <v>782.30290000000002</v>
      </c>
      <c r="T1111">
        <f t="shared" si="378"/>
        <v>1.9499271824067816E-2</v>
      </c>
      <c r="U1111">
        <f t="shared" si="379"/>
        <v>6.2810154433295372E-3</v>
      </c>
      <c r="V1111">
        <f t="shared" si="380"/>
        <v>8.4371849238754973E-3</v>
      </c>
      <c r="W1111">
        <f t="shared" si="381"/>
        <v>1.3124509881584105E-3</v>
      </c>
      <c r="X1111">
        <f t="shared" si="382"/>
        <v>0.14688201487475699</v>
      </c>
      <c r="Y1111">
        <f t="shared" si="383"/>
        <v>0</v>
      </c>
      <c r="Z1111">
        <f t="shared" si="384"/>
        <v>2.3436624788543046E-3</v>
      </c>
      <c r="AA1111">
        <f t="shared" si="385"/>
        <v>0.25299573969034589</v>
      </c>
      <c r="AB1111">
        <f t="shared" si="386"/>
        <v>0.15016989209309212</v>
      </c>
      <c r="AC1111">
        <f t="shared" si="387"/>
        <v>0.12298603224035849</v>
      </c>
      <c r="AD1111">
        <f t="shared" si="388"/>
        <v>3.166944234426245E-3</v>
      </c>
      <c r="AE1111">
        <f t="shared" si="389"/>
        <v>1.9307372740299228E-2</v>
      </c>
      <c r="AG1111">
        <f t="shared" si="390"/>
        <v>-0.55477981553070399</v>
      </c>
      <c r="AH1111">
        <f t="shared" si="391"/>
        <v>0.2040629732733418</v>
      </c>
      <c r="AI1111">
        <f t="shared" si="392"/>
        <v>-0.34635916631601815</v>
      </c>
      <c r="AK1111" s="26">
        <f t="shared" si="393"/>
        <v>-0.28813667293183443</v>
      </c>
      <c r="AL1111" s="26">
        <f t="shared" si="394"/>
        <v>-9.7075293371298943E-2</v>
      </c>
      <c r="AM1111" s="26">
        <f t="shared" si="395"/>
        <v>-6.6228111141319712E-2</v>
      </c>
      <c r="AN1111" s="26">
        <f t="shared" si="396"/>
        <v>-30.599449404761891</v>
      </c>
      <c r="AO1111" s="26">
        <f t="shared" si="397"/>
        <v>-33.398550106609804</v>
      </c>
      <c r="AP1111" s="26">
        <f t="shared" si="398"/>
        <v>-32.07326505852123</v>
      </c>
      <c r="AS1111" s="2">
        <v>44369</v>
      </c>
      <c r="AT1111">
        <v>20.3</v>
      </c>
      <c r="AU1111">
        <v>126.9</v>
      </c>
      <c r="AV1111">
        <v>38</v>
      </c>
      <c r="AW1111">
        <v>2.5</v>
      </c>
      <c r="AX1111">
        <v>177.55</v>
      </c>
      <c r="AY1111">
        <v>0.1</v>
      </c>
      <c r="AZ1111">
        <v>2.8</v>
      </c>
      <c r="BA1111">
        <v>317.89760000000001</v>
      </c>
      <c r="BB1111">
        <v>101.23690000000001</v>
      </c>
      <c r="BC1111">
        <v>125.61799999999999</v>
      </c>
      <c r="BD1111">
        <v>4.0149999999999997</v>
      </c>
      <c r="BE1111">
        <v>23.1449</v>
      </c>
      <c r="BF1111">
        <v>-5.8818000000000001</v>
      </c>
      <c r="BG1111">
        <v>-7.0232000000000001</v>
      </c>
      <c r="BH1111">
        <v>45.28</v>
      </c>
    </row>
    <row r="1112" spans="1:60" x14ac:dyDescent="0.25">
      <c r="A1112" s="2">
        <v>44389</v>
      </c>
      <c r="B1112">
        <v>21.4</v>
      </c>
      <c r="C1112">
        <v>77.400000000000006</v>
      </c>
      <c r="D1112">
        <v>23.6</v>
      </c>
      <c r="E1112">
        <v>1.6</v>
      </c>
      <c r="F1112">
        <v>247.8</v>
      </c>
      <c r="G1112">
        <v>0</v>
      </c>
      <c r="H1112">
        <v>2.8</v>
      </c>
      <c r="I1112">
        <v>270.12759999999997</v>
      </c>
      <c r="J1112">
        <v>133.4819</v>
      </c>
      <c r="K1112">
        <v>98.588899999999995</v>
      </c>
      <c r="L1112">
        <v>0</v>
      </c>
      <c r="M1112">
        <v>19.921600000000002</v>
      </c>
      <c r="N1112">
        <v>-9.5464000000000002</v>
      </c>
      <c r="O1112">
        <v>-7.4896000000000003</v>
      </c>
      <c r="P1112">
        <v>51.45</v>
      </c>
      <c r="S1112">
        <f t="shared" si="377"/>
        <v>896.71999999999991</v>
      </c>
      <c r="T1112">
        <f t="shared" si="378"/>
        <v>2.0061750818992849E-2</v>
      </c>
      <c r="U1112">
        <f t="shared" si="379"/>
        <v>7.2559790345329278E-2</v>
      </c>
      <c r="V1112">
        <f t="shared" si="380"/>
        <v>2.2124173800384637E-2</v>
      </c>
      <c r="W1112">
        <f t="shared" si="381"/>
        <v>1.4999439864667552E-3</v>
      </c>
      <c r="X1112">
        <f t="shared" si="382"/>
        <v>0.2323038249040387</v>
      </c>
      <c r="Y1112">
        <f t="shared" si="383"/>
        <v>0</v>
      </c>
      <c r="Z1112">
        <f t="shared" si="384"/>
        <v>2.624901976316821E-3</v>
      </c>
      <c r="AA1112">
        <f t="shared" si="385"/>
        <v>0.25323516824918563</v>
      </c>
      <c r="AB1112">
        <f t="shared" si="386"/>
        <v>0.12513460825447298</v>
      </c>
      <c r="AC1112">
        <f t="shared" si="387"/>
        <v>9.2423642304607659E-2</v>
      </c>
      <c r="AD1112">
        <f t="shared" si="388"/>
        <v>0</v>
      </c>
      <c r="AE1112">
        <f t="shared" si="389"/>
        <v>1.8675802575497568E-2</v>
      </c>
      <c r="AG1112">
        <f t="shared" si="390"/>
        <v>-0.56595608749940329</v>
      </c>
      <c r="AH1112">
        <f t="shared" si="391"/>
        <v>0.3698501884070266</v>
      </c>
      <c r="AI1112">
        <f t="shared" si="392"/>
        <v>0.76855756423088228</v>
      </c>
      <c r="AK1112" s="26">
        <f t="shared" si="393"/>
        <v>-0.28025984208223642</v>
      </c>
      <c r="AL1112" s="26">
        <f t="shared" si="394"/>
        <v>-9.312662721322934E-2</v>
      </c>
      <c r="AM1112" s="26">
        <f t="shared" si="395"/>
        <v>-6.3480040368569857E-2</v>
      </c>
      <c r="AN1112" s="26">
        <f t="shared" si="396"/>
        <v>-30.796835637480783</v>
      </c>
      <c r="AO1112" s="26">
        <f t="shared" si="397"/>
        <v>-33.474821428571424</v>
      </c>
      <c r="AP1112" s="26">
        <f t="shared" si="398"/>
        <v>-31.969449600690673</v>
      </c>
      <c r="AS1112" s="2">
        <v>44368</v>
      </c>
      <c r="AT1112">
        <v>20.8</v>
      </c>
      <c r="AU1112">
        <v>260.5</v>
      </c>
      <c r="AV1112">
        <v>41.2</v>
      </c>
      <c r="AW1112">
        <v>4.9000000000000004</v>
      </c>
      <c r="AX1112">
        <v>241.83</v>
      </c>
      <c r="AY1112">
        <v>0.1</v>
      </c>
      <c r="AZ1112">
        <v>3</v>
      </c>
      <c r="BA1112">
        <v>308.05900000000003</v>
      </c>
      <c r="BB1112">
        <v>63.176200000000001</v>
      </c>
      <c r="BC1112">
        <v>85.259600000000006</v>
      </c>
      <c r="BD1112">
        <v>4.0289000000000001</v>
      </c>
      <c r="BE1112">
        <v>19.953499999999998</v>
      </c>
      <c r="BF1112">
        <v>-6.5957999999999997</v>
      </c>
      <c r="BG1112">
        <v>-8.0657999999999994</v>
      </c>
      <c r="BH1112">
        <v>45.08</v>
      </c>
    </row>
    <row r="1113" spans="1:60" x14ac:dyDescent="0.25">
      <c r="A1113" s="2">
        <v>44388</v>
      </c>
      <c r="B1113">
        <v>21.2</v>
      </c>
      <c r="C1113">
        <v>22.8</v>
      </c>
      <c r="D1113">
        <v>7.9</v>
      </c>
      <c r="E1113">
        <v>1.6</v>
      </c>
      <c r="F1113">
        <v>191.2</v>
      </c>
      <c r="G1113">
        <v>0</v>
      </c>
      <c r="H1113">
        <v>2.9</v>
      </c>
      <c r="I1113">
        <v>261.74450000000002</v>
      </c>
      <c r="J1113">
        <v>66.086799999999997</v>
      </c>
      <c r="K1113">
        <v>37.833399999999997</v>
      </c>
      <c r="L1113">
        <v>0</v>
      </c>
      <c r="M1113">
        <v>15.9085</v>
      </c>
      <c r="P1113">
        <v>51.16</v>
      </c>
      <c r="S1113">
        <f t="shared" si="377"/>
        <v>629.17320000000007</v>
      </c>
      <c r="T1113">
        <f t="shared" si="378"/>
        <v>1.9874257820684502E-2</v>
      </c>
      <c r="U1113">
        <f t="shared" si="379"/>
        <v>2.1374201807151261E-2</v>
      </c>
      <c r="V1113">
        <f t="shared" si="380"/>
        <v>7.405973433179603E-3</v>
      </c>
      <c r="W1113">
        <f t="shared" si="381"/>
        <v>1.4999439864667552E-3</v>
      </c>
      <c r="X1113">
        <f t="shared" si="382"/>
        <v>0.17924330638277722</v>
      </c>
      <c r="Y1113">
        <f t="shared" si="383"/>
        <v>0</v>
      </c>
      <c r="Z1113">
        <f t="shared" si="384"/>
        <v>2.7186484754709935E-3</v>
      </c>
      <c r="AA1113">
        <f t="shared" si="385"/>
        <v>0.24537630547859224</v>
      </c>
      <c r="AB1113">
        <f t="shared" si="386"/>
        <v>6.1954061403019463E-2</v>
      </c>
      <c r="AC1113">
        <f t="shared" si="387"/>
        <v>3.5467488010994579E-2</v>
      </c>
      <c r="AD1113">
        <f t="shared" si="388"/>
        <v>0</v>
      </c>
      <c r="AE1113">
        <f t="shared" si="389"/>
        <v>1.4913661817941484E-2</v>
      </c>
      <c r="AG1113">
        <f t="shared" si="390"/>
        <v>-0.58301743013101193</v>
      </c>
      <c r="AH1113">
        <f t="shared" si="391"/>
        <v>0.24702999372367182</v>
      </c>
      <c r="AI1113">
        <f t="shared" si="392"/>
        <v>-6.3460711777980752E-2</v>
      </c>
      <c r="AK1113" s="26">
        <f t="shared" si="393"/>
        <v>-0.26187958650562004</v>
      </c>
      <c r="AL1113" s="26">
        <f t="shared" si="394"/>
        <v>-8.8325867317499529E-2</v>
      </c>
      <c r="AM1113" s="26">
        <f t="shared" si="395"/>
        <v>-6.0747699096917129E-2</v>
      </c>
      <c r="AN1113" s="26">
        <f t="shared" si="396"/>
        <v>-31.003857142857122</v>
      </c>
      <c r="AO1113" s="26">
        <f t="shared" si="397"/>
        <v>-33.549571428571404</v>
      </c>
      <c r="AP1113" s="26">
        <f t="shared" si="398"/>
        <v>-31.863333816915684</v>
      </c>
      <c r="AS1113" s="2">
        <v>44367</v>
      </c>
      <c r="AT1113">
        <v>20.6</v>
      </c>
      <c r="AU1113">
        <v>189.9</v>
      </c>
      <c r="AV1113">
        <v>37.799999999999997</v>
      </c>
      <c r="AW1113">
        <v>3.8</v>
      </c>
      <c r="AX1113">
        <v>217.97</v>
      </c>
      <c r="AY1113">
        <v>0.1</v>
      </c>
      <c r="AZ1113">
        <v>3.1</v>
      </c>
      <c r="BA1113">
        <v>202.14169999999999</v>
      </c>
      <c r="BB1113">
        <v>38.927</v>
      </c>
      <c r="BC1113">
        <v>29.973199999999999</v>
      </c>
      <c r="BD1113">
        <v>3.9891999999999999</v>
      </c>
      <c r="BE1113">
        <v>21.688700000000001</v>
      </c>
      <c r="BH1113">
        <v>44.78</v>
      </c>
    </row>
    <row r="1114" spans="1:60" x14ac:dyDescent="0.25">
      <c r="A1114" s="2">
        <v>44387</v>
      </c>
      <c r="B1114">
        <v>21.2</v>
      </c>
      <c r="C1114">
        <v>39.4</v>
      </c>
      <c r="D1114">
        <v>13.2</v>
      </c>
      <c r="E1114">
        <v>2.2999999999999998</v>
      </c>
      <c r="F1114">
        <v>249.54</v>
      </c>
      <c r="G1114">
        <v>0</v>
      </c>
      <c r="H1114">
        <v>3</v>
      </c>
      <c r="I1114">
        <v>261.0222</v>
      </c>
      <c r="J1114">
        <v>83.364599999999996</v>
      </c>
      <c r="K1114">
        <v>37.600700000000003</v>
      </c>
      <c r="L1114">
        <v>0</v>
      </c>
      <c r="M1114">
        <v>16.4879</v>
      </c>
      <c r="P1114">
        <v>50.74</v>
      </c>
      <c r="S1114">
        <f t="shared" si="377"/>
        <v>727.11539999999991</v>
      </c>
      <c r="T1114">
        <f t="shared" si="378"/>
        <v>1.9874257820684502E-2</v>
      </c>
      <c r="U1114">
        <f t="shared" si="379"/>
        <v>3.6936120666743844E-2</v>
      </c>
      <c r="V1114">
        <f t="shared" si="380"/>
        <v>1.2374537888350728E-2</v>
      </c>
      <c r="W1114">
        <f t="shared" si="381"/>
        <v>2.1561694805459601E-3</v>
      </c>
      <c r="X1114">
        <f t="shared" si="382"/>
        <v>0.23393501398932129</v>
      </c>
      <c r="Y1114">
        <f t="shared" si="383"/>
        <v>0</v>
      </c>
      <c r="Z1114">
        <f t="shared" si="384"/>
        <v>2.8123949746251659E-3</v>
      </c>
      <c r="AA1114">
        <f t="shared" si="385"/>
        <v>0.24469917451520165</v>
      </c>
      <c r="AB1114">
        <f t="shared" si="386"/>
        <v>7.8151394033879024E-2</v>
      </c>
      <c r="AC1114">
        <f t="shared" si="387"/>
        <v>3.5249339907462825E-2</v>
      </c>
      <c r="AD1114">
        <f t="shared" si="388"/>
        <v>0</v>
      </c>
      <c r="AE1114">
        <f t="shared" si="389"/>
        <v>1.5456829034040756E-2</v>
      </c>
      <c r="AG1114">
        <f t="shared" si="390"/>
        <v>-0.60596970291703023</v>
      </c>
      <c r="AH1114">
        <f t="shared" si="391"/>
        <v>0.32354532385431223</v>
      </c>
      <c r="AI1114">
        <f t="shared" si="392"/>
        <v>0.4374368843927311</v>
      </c>
      <c r="AK1114" s="26">
        <f t="shared" si="393"/>
        <v>-0.25856837087311446</v>
      </c>
      <c r="AL1114" s="26">
        <f t="shared" si="394"/>
        <v>-8.4942864187236899E-2</v>
      </c>
      <c r="AM1114" s="26">
        <f t="shared" si="395"/>
        <v>-5.8420628089182969E-2</v>
      </c>
      <c r="AN1114" s="26">
        <f t="shared" si="396"/>
        <v>-31.215747126436767</v>
      </c>
      <c r="AO1114" s="26">
        <f t="shared" si="397"/>
        <v>-33.619955357142835</v>
      </c>
      <c r="AP1114" s="26">
        <f t="shared" si="398"/>
        <v>-31.755140788415119</v>
      </c>
      <c r="AS1114" s="2">
        <v>44366</v>
      </c>
      <c r="AT1114">
        <v>20.5</v>
      </c>
      <c r="AU1114">
        <v>36</v>
      </c>
      <c r="AV1114">
        <v>27.2</v>
      </c>
      <c r="AW1114">
        <v>1.8</v>
      </c>
      <c r="AX1114">
        <v>280.17</v>
      </c>
      <c r="AY1114">
        <v>0.1</v>
      </c>
      <c r="AZ1114">
        <v>3.1</v>
      </c>
      <c r="BA1114">
        <v>263.69720000000001</v>
      </c>
      <c r="BB1114">
        <v>62.9482</v>
      </c>
      <c r="BC1114">
        <v>59.936999999999998</v>
      </c>
      <c r="BD1114">
        <v>4.0521000000000003</v>
      </c>
      <c r="BE1114">
        <v>22.827500000000001</v>
      </c>
      <c r="BH1114">
        <v>44.39</v>
      </c>
    </row>
    <row r="1115" spans="1:60" x14ac:dyDescent="0.25">
      <c r="A1115" s="2">
        <v>44386</v>
      </c>
      <c r="B1115">
        <v>19.899999999999999</v>
      </c>
      <c r="C1115">
        <v>15</v>
      </c>
      <c r="D1115">
        <v>7.1</v>
      </c>
      <c r="E1115">
        <v>3.1</v>
      </c>
      <c r="F1115">
        <v>127.49</v>
      </c>
      <c r="G1115">
        <v>0</v>
      </c>
      <c r="H1115">
        <v>2.9</v>
      </c>
      <c r="I1115">
        <v>262.1601</v>
      </c>
      <c r="J1115">
        <v>139.08009999999999</v>
      </c>
      <c r="K1115">
        <v>132.02199999999999</v>
      </c>
      <c r="L1115">
        <v>2.6295999999999999</v>
      </c>
      <c r="M1115">
        <v>21.660299999999999</v>
      </c>
      <c r="N1115">
        <v>-10.116</v>
      </c>
      <c r="O1115">
        <v>-5.1028000000000002</v>
      </c>
      <c r="P1115">
        <v>50.34</v>
      </c>
      <c r="S1115">
        <f t="shared" si="377"/>
        <v>733.04209999999989</v>
      </c>
      <c r="T1115">
        <f t="shared" si="378"/>
        <v>1.8655553331680265E-2</v>
      </c>
      <c r="U1115">
        <f t="shared" si="379"/>
        <v>1.4061974873125828E-2</v>
      </c>
      <c r="V1115">
        <f t="shared" si="380"/>
        <v>6.6560014399462252E-3</v>
      </c>
      <c r="W1115">
        <f t="shared" si="381"/>
        <v>2.9061414737793379E-3</v>
      </c>
      <c r="X1115">
        <f t="shared" si="382"/>
        <v>0.11951741177165412</v>
      </c>
      <c r="Y1115">
        <f t="shared" si="383"/>
        <v>0</v>
      </c>
      <c r="Z1115">
        <f t="shared" si="384"/>
        <v>2.7186484754709935E-3</v>
      </c>
      <c r="AA1115">
        <f t="shared" si="385"/>
        <v>0.24576591592907698</v>
      </c>
      <c r="AB1115">
        <f t="shared" si="386"/>
        <v>0.13038272477012183</v>
      </c>
      <c r="AC1115">
        <f t="shared" si="387"/>
        <v>0.1237660031133212</v>
      </c>
      <c r="AD1115">
        <f t="shared" si="388"/>
        <v>2.465157941758112E-3</v>
      </c>
      <c r="AE1115">
        <f t="shared" si="389"/>
        <v>2.0305772956291157E-2</v>
      </c>
      <c r="AG1115">
        <f t="shared" si="390"/>
        <v>-0.62804131826486187</v>
      </c>
      <c r="AH1115">
        <f t="shared" si="391"/>
        <v>0.18482150432194791</v>
      </c>
      <c r="AI1115">
        <f t="shared" si="392"/>
        <v>-0.48579161583904718</v>
      </c>
      <c r="AK1115" s="26">
        <f t="shared" si="393"/>
        <v>-0.26487003733097197</v>
      </c>
      <c r="AL1115" s="26">
        <f t="shared" si="394"/>
        <v>-8.365576660496582E-2</v>
      </c>
      <c r="AM1115" s="26">
        <f t="shared" si="395"/>
        <v>-5.4733777385058302E-2</v>
      </c>
      <c r="AN1115" s="26">
        <f t="shared" si="396"/>
        <v>-31.429285714285683</v>
      </c>
      <c r="AO1115" s="26">
        <f t="shared" si="397"/>
        <v>-33.685357142857136</v>
      </c>
      <c r="AP1115" s="26">
        <f t="shared" si="398"/>
        <v>-31.641486725663704</v>
      </c>
      <c r="AS1115" s="2">
        <v>44365</v>
      </c>
      <c r="AT1115">
        <v>20.2</v>
      </c>
      <c r="AU1115">
        <v>287.8</v>
      </c>
      <c r="AV1115">
        <v>31.1</v>
      </c>
      <c r="AW1115">
        <v>1.9</v>
      </c>
      <c r="AX1115">
        <v>290.39</v>
      </c>
      <c r="AY1115">
        <v>0.1</v>
      </c>
      <c r="AZ1115">
        <v>3.7</v>
      </c>
      <c r="BA1115">
        <v>292.02440000000001</v>
      </c>
      <c r="BB1115">
        <v>124.2426</v>
      </c>
      <c r="BC1115">
        <v>127.2295</v>
      </c>
      <c r="BD1115">
        <v>4.1711999999999998</v>
      </c>
      <c r="BE1115">
        <v>26.475100000000001</v>
      </c>
      <c r="BF1115">
        <v>-6.1501999999999999</v>
      </c>
      <c r="BG1115">
        <v>-7.5114000000000001</v>
      </c>
      <c r="BH1115">
        <v>44</v>
      </c>
    </row>
    <row r="1116" spans="1:60" x14ac:dyDescent="0.25">
      <c r="A1116" s="2">
        <v>44385</v>
      </c>
      <c r="B1116">
        <v>21.7</v>
      </c>
      <c r="C1116">
        <v>48.1</v>
      </c>
      <c r="D1116">
        <v>7.6</v>
      </c>
      <c r="E1116">
        <v>0.8</v>
      </c>
      <c r="F1116">
        <v>133.69</v>
      </c>
      <c r="G1116">
        <v>0</v>
      </c>
      <c r="H1116">
        <v>3.2</v>
      </c>
      <c r="I1116">
        <v>271.19880000000001</v>
      </c>
      <c r="J1116">
        <v>180.84039999999999</v>
      </c>
      <c r="K1116">
        <v>156.78030000000001</v>
      </c>
      <c r="L1116">
        <v>4.0197000000000003</v>
      </c>
      <c r="M1116">
        <v>31.946100000000001</v>
      </c>
      <c r="N1116">
        <v>-6.7530000000000001</v>
      </c>
      <c r="O1116">
        <v>-6.5042999999999997</v>
      </c>
      <c r="P1116">
        <v>50.05</v>
      </c>
      <c r="S1116">
        <f t="shared" si="377"/>
        <v>859.87530000000004</v>
      </c>
      <c r="T1116">
        <f t="shared" si="378"/>
        <v>2.0342990316455364E-2</v>
      </c>
      <c r="U1116">
        <f t="shared" si="379"/>
        <v>4.5092066093156823E-2</v>
      </c>
      <c r="V1116">
        <f t="shared" si="380"/>
        <v>7.1247339357170866E-3</v>
      </c>
      <c r="W1116">
        <f t="shared" si="381"/>
        <v>7.4997199323337759E-4</v>
      </c>
      <c r="X1116">
        <f t="shared" si="382"/>
        <v>0.12532969471921279</v>
      </c>
      <c r="Y1116">
        <f t="shared" si="383"/>
        <v>0</v>
      </c>
      <c r="Z1116">
        <f t="shared" si="384"/>
        <v>2.9998879729335104E-3</v>
      </c>
      <c r="AA1116">
        <f t="shared" si="385"/>
        <v>0.25423938074812513</v>
      </c>
      <c r="AB1116">
        <f t="shared" si="386"/>
        <v>0.16953154405640158</v>
      </c>
      <c r="AC1116">
        <f t="shared" si="387"/>
        <v>0.14697604261340863</v>
      </c>
      <c r="AD1116">
        <f t="shared" si="388"/>
        <v>3.7683280265002599E-3</v>
      </c>
      <c r="AE1116">
        <f t="shared" si="389"/>
        <v>2.9948350366291003E-2</v>
      </c>
      <c r="AG1116">
        <f t="shared" si="390"/>
        <v>-0.64516558239592403</v>
      </c>
      <c r="AH1116">
        <f t="shared" si="391"/>
        <v>0.23158769539699994</v>
      </c>
      <c r="AI1116">
        <f t="shared" si="392"/>
        <v>-0.18205580336867089</v>
      </c>
      <c r="AK1116" s="26">
        <f t="shared" si="393"/>
        <v>-0.22940633935701454</v>
      </c>
      <c r="AL1116" s="26">
        <f t="shared" si="394"/>
        <v>-7.622099123396564E-2</v>
      </c>
      <c r="AM1116" s="26">
        <f t="shared" si="395"/>
        <v>-5.195094159419289E-2</v>
      </c>
      <c r="AN1116" s="26">
        <f t="shared" si="396"/>
        <v>-31.642063492063464</v>
      </c>
      <c r="AO1116" s="26">
        <f t="shared" si="397"/>
        <v>-33.74417050691244</v>
      </c>
      <c r="AP1116" s="26">
        <f t="shared" si="398"/>
        <v>-31.520487841154164</v>
      </c>
      <c r="AS1116" s="2">
        <v>44364</v>
      </c>
      <c r="AT1116">
        <v>21.6</v>
      </c>
      <c r="AU1116">
        <v>315.2</v>
      </c>
      <c r="AV1116">
        <v>31</v>
      </c>
      <c r="AW1116">
        <v>3</v>
      </c>
      <c r="AX1116">
        <v>305.27999999999997</v>
      </c>
      <c r="AY1116">
        <v>0.1</v>
      </c>
      <c r="AZ1116">
        <v>3.8</v>
      </c>
      <c r="BA1116">
        <v>277.57339999999999</v>
      </c>
      <c r="BB1116">
        <v>116.64239999999999</v>
      </c>
      <c r="BC1116">
        <v>123.1032</v>
      </c>
      <c r="BD1116">
        <v>4.1688000000000001</v>
      </c>
      <c r="BE1116">
        <v>24.326000000000001</v>
      </c>
      <c r="BF1116">
        <v>-5.4801000000000002</v>
      </c>
      <c r="BG1116">
        <v>-8.5972000000000008</v>
      </c>
      <c r="BH1116">
        <v>43.66</v>
      </c>
    </row>
    <row r="1117" spans="1:60" x14ac:dyDescent="0.25">
      <c r="A1117" s="2">
        <v>44384</v>
      </c>
      <c r="B1117">
        <v>20.7</v>
      </c>
      <c r="C1117">
        <v>22.4</v>
      </c>
      <c r="D1117">
        <v>39.299999999999997</v>
      </c>
      <c r="E1117">
        <v>2.9</v>
      </c>
      <c r="F1117">
        <v>175.3</v>
      </c>
      <c r="G1117">
        <v>0</v>
      </c>
      <c r="H1117">
        <v>3</v>
      </c>
      <c r="I1117">
        <v>270.3888</v>
      </c>
      <c r="J1117">
        <v>147.4717</v>
      </c>
      <c r="K1117">
        <v>107.5964</v>
      </c>
      <c r="L1117">
        <v>3.984</v>
      </c>
      <c r="M1117">
        <v>23.052600000000002</v>
      </c>
      <c r="N1117">
        <v>-6.1520999999999999</v>
      </c>
      <c r="O1117">
        <v>-7.8838999999999997</v>
      </c>
      <c r="P1117">
        <v>49.83</v>
      </c>
      <c r="S1117">
        <f t="shared" si="377"/>
        <v>816.09350000000018</v>
      </c>
      <c r="T1117">
        <f t="shared" si="378"/>
        <v>1.9405525324913644E-2</v>
      </c>
      <c r="U1117">
        <f t="shared" si="379"/>
        <v>2.0999215810534568E-2</v>
      </c>
      <c r="V1117">
        <f t="shared" si="380"/>
        <v>3.6842374167589668E-2</v>
      </c>
      <c r="W1117">
        <f t="shared" si="381"/>
        <v>2.7186484754709935E-3</v>
      </c>
      <c r="X1117">
        <f t="shared" si="382"/>
        <v>0.16433761301726385</v>
      </c>
      <c r="Y1117">
        <f t="shared" si="383"/>
        <v>0</v>
      </c>
      <c r="Z1117">
        <f t="shared" si="384"/>
        <v>2.8123949746251659E-3</v>
      </c>
      <c r="AA1117">
        <f t="shared" si="385"/>
        <v>0.25348003410497633</v>
      </c>
      <c r="AB1117">
        <f t="shared" si="386"/>
        <v>0.13824955599314334</v>
      </c>
      <c r="AC1117">
        <f t="shared" si="387"/>
        <v>0.10086785821591973</v>
      </c>
      <c r="AD1117">
        <f t="shared" si="388"/>
        <v>3.7348605263022201E-3</v>
      </c>
      <c r="AE1117">
        <f t="shared" si="389"/>
        <v>2.1611005464014701E-2</v>
      </c>
      <c r="AG1117">
        <f t="shared" si="390"/>
        <v>-0.65915137197754392</v>
      </c>
      <c r="AH1117">
        <f t="shared" si="391"/>
        <v>0.26872677723441257</v>
      </c>
      <c r="AI1117">
        <f t="shared" si="392"/>
        <v>5.6237325575662564E-2</v>
      </c>
      <c r="AK1117" s="26">
        <f t="shared" si="393"/>
        <v>-0.21596093520882592</v>
      </c>
      <c r="AL1117" s="26">
        <f t="shared" si="394"/>
        <v>-7.3208578059127505E-2</v>
      </c>
      <c r="AM1117" s="26">
        <f t="shared" si="395"/>
        <v>-4.9856480539311632E-2</v>
      </c>
      <c r="AN1117" s="26">
        <f t="shared" si="396"/>
        <v>-31.856520146520147</v>
      </c>
      <c r="AO1117" s="26">
        <f t="shared" si="397"/>
        <v>-33.797590749414532</v>
      </c>
      <c r="AP1117" s="26">
        <f t="shared" si="398"/>
        <v>-31.393083845807716</v>
      </c>
      <c r="AS1117" s="2">
        <v>44363</v>
      </c>
      <c r="AT1117">
        <v>21.3</v>
      </c>
      <c r="AU1117">
        <v>162.1</v>
      </c>
      <c r="AV1117">
        <v>8.5</v>
      </c>
      <c r="AW1117">
        <v>1.4</v>
      </c>
      <c r="AX1117">
        <v>301.77</v>
      </c>
      <c r="AY1117">
        <v>0.1</v>
      </c>
      <c r="AZ1117">
        <v>3.7</v>
      </c>
      <c r="BA1117">
        <v>286.06889999999999</v>
      </c>
      <c r="BB1117">
        <v>135.69319999999999</v>
      </c>
      <c r="BC1117">
        <v>151.20339999999999</v>
      </c>
      <c r="BD1117">
        <v>4.3502999999999998</v>
      </c>
      <c r="BE1117">
        <v>24.502700000000001</v>
      </c>
      <c r="BF1117">
        <v>-5.5873999999999997</v>
      </c>
      <c r="BG1117">
        <v>-8.8980999999999995</v>
      </c>
      <c r="BH1117">
        <v>43.38</v>
      </c>
    </row>
    <row r="1118" spans="1:60" x14ac:dyDescent="0.25">
      <c r="A1118" s="2">
        <v>44383</v>
      </c>
      <c r="B1118">
        <v>21</v>
      </c>
      <c r="C1118">
        <v>87.5</v>
      </c>
      <c r="D1118">
        <v>49.8</v>
      </c>
      <c r="E1118">
        <v>7.1</v>
      </c>
      <c r="F1118">
        <v>204.16</v>
      </c>
      <c r="G1118">
        <v>0</v>
      </c>
      <c r="H1118">
        <v>3.1</v>
      </c>
      <c r="I1118">
        <v>252.69290000000001</v>
      </c>
      <c r="J1118">
        <v>95.011399999999995</v>
      </c>
      <c r="K1118">
        <v>46.884399999999999</v>
      </c>
      <c r="L1118">
        <v>4.0267999999999997</v>
      </c>
      <c r="M1118">
        <v>12.954000000000001</v>
      </c>
      <c r="N1118">
        <v>-10.2407</v>
      </c>
      <c r="O1118">
        <v>-10.1951</v>
      </c>
      <c r="P1118">
        <v>49.6</v>
      </c>
      <c r="S1118">
        <f t="shared" si="377"/>
        <v>784.22950000000003</v>
      </c>
      <c r="T1118">
        <f t="shared" si="378"/>
        <v>1.9686764822376159E-2</v>
      </c>
      <c r="U1118">
        <f t="shared" si="379"/>
        <v>8.2028186759900673E-2</v>
      </c>
      <c r="V1118">
        <f t="shared" si="380"/>
        <v>4.668575657877775E-2</v>
      </c>
      <c r="W1118">
        <f t="shared" si="381"/>
        <v>6.6560014399462252E-3</v>
      </c>
      <c r="X1118">
        <f t="shared" si="382"/>
        <v>0.19139285267315795</v>
      </c>
      <c r="Y1118">
        <f t="shared" si="383"/>
        <v>0</v>
      </c>
      <c r="Z1118">
        <f t="shared" si="384"/>
        <v>2.9061414737793379E-3</v>
      </c>
      <c r="AA1118">
        <f t="shared" si="385"/>
        <v>0.23689074736115318</v>
      </c>
      <c r="AB1118">
        <f t="shared" si="386"/>
        <v>8.9069861297367159E-2</v>
      </c>
      <c r="AC1118">
        <f t="shared" si="387"/>
        <v>4.3952483649438705E-2</v>
      </c>
      <c r="AD1118">
        <f t="shared" si="388"/>
        <v>3.7749840279402056E-3</v>
      </c>
      <c r="AE1118">
        <f t="shared" si="389"/>
        <v>1.2143921500431466E-2</v>
      </c>
      <c r="AG1118">
        <f t="shared" si="390"/>
        <v>-0.67361548229666646</v>
      </c>
      <c r="AH1118">
        <f t="shared" si="391"/>
        <v>0.36149962524836954</v>
      </c>
      <c r="AI1118">
        <f t="shared" si="392"/>
        <v>0.65693916780018591</v>
      </c>
      <c r="AK1118" s="26">
        <f t="shared" si="393"/>
        <v>-0.19880922303950566</v>
      </c>
      <c r="AL1118" s="26">
        <f t="shared" si="394"/>
        <v>-6.6620988126938951E-2</v>
      </c>
      <c r="AM1118" s="26">
        <f t="shared" si="395"/>
        <v>-4.7610313589962538E-2</v>
      </c>
      <c r="AN1118" s="26">
        <f t="shared" si="396"/>
        <v>-32.076247619047621</v>
      </c>
      <c r="AO1118" s="26">
        <f t="shared" si="397"/>
        <v>-33.848904761904762</v>
      </c>
      <c r="AP1118" s="26">
        <f t="shared" si="398"/>
        <v>-31.261263141971099</v>
      </c>
      <c r="AS1118" s="2">
        <v>44362</v>
      </c>
      <c r="AT1118">
        <v>20.9</v>
      </c>
      <c r="AU1118">
        <v>81.3</v>
      </c>
      <c r="AV1118">
        <v>5.8</v>
      </c>
      <c r="AW1118">
        <v>0.9</v>
      </c>
      <c r="AX1118">
        <v>284.67</v>
      </c>
      <c r="AY1118">
        <v>0.1</v>
      </c>
      <c r="AZ1118">
        <v>3.6</v>
      </c>
      <c r="BA1118">
        <v>292.8381</v>
      </c>
      <c r="BB1118">
        <v>116.4306</v>
      </c>
      <c r="BC1118">
        <v>130.31979999999999</v>
      </c>
      <c r="BD1118">
        <v>4.3335999999999997</v>
      </c>
      <c r="BE1118">
        <v>25.430299999999999</v>
      </c>
      <c r="BF1118">
        <v>-6.6543999999999999</v>
      </c>
      <c r="BG1118">
        <v>-9.5696999999999992</v>
      </c>
      <c r="BH1118">
        <v>43.11</v>
      </c>
    </row>
    <row r="1119" spans="1:60" x14ac:dyDescent="0.25">
      <c r="A1119" s="2">
        <v>44382</v>
      </c>
      <c r="B1119">
        <v>19.7</v>
      </c>
      <c r="C1119">
        <v>83.9</v>
      </c>
      <c r="D1119">
        <v>10.3</v>
      </c>
      <c r="E1119">
        <v>2.2999999999999998</v>
      </c>
      <c r="F1119">
        <v>176.42</v>
      </c>
      <c r="G1119">
        <v>0</v>
      </c>
      <c r="H1119">
        <v>3</v>
      </c>
      <c r="I1119">
        <v>275.7638</v>
      </c>
      <c r="J1119">
        <v>137.0727</v>
      </c>
      <c r="K1119">
        <v>111.60250000000001</v>
      </c>
      <c r="L1119">
        <v>4.0354000000000001</v>
      </c>
      <c r="M1119">
        <v>27.208200000000001</v>
      </c>
      <c r="N1119">
        <v>-12.2141</v>
      </c>
      <c r="O1119">
        <v>-6.7183999999999999</v>
      </c>
      <c r="P1119">
        <v>49.33</v>
      </c>
      <c r="S1119">
        <f t="shared" si="377"/>
        <v>851.30259999999998</v>
      </c>
      <c r="T1119">
        <f t="shared" si="378"/>
        <v>1.8468060333371922E-2</v>
      </c>
      <c r="U1119">
        <f t="shared" si="379"/>
        <v>7.8653312790350469E-2</v>
      </c>
      <c r="V1119">
        <f t="shared" si="380"/>
        <v>9.6558894128797364E-3</v>
      </c>
      <c r="W1119">
        <f t="shared" si="381"/>
        <v>2.1561694805459601E-3</v>
      </c>
      <c r="X1119">
        <f t="shared" si="382"/>
        <v>0.16538757380779057</v>
      </c>
      <c r="Y1119">
        <f t="shared" si="383"/>
        <v>0</v>
      </c>
      <c r="Z1119">
        <f t="shared" si="384"/>
        <v>2.8123949746251659E-3</v>
      </c>
      <c r="AA1119">
        <f t="shared" si="385"/>
        <v>0.25851890843451308</v>
      </c>
      <c r="AB1119">
        <f t="shared" si="386"/>
        <v>0.12850085754610099</v>
      </c>
      <c r="AC1119">
        <f t="shared" si="387"/>
        <v>0.10462343671853502</v>
      </c>
      <c r="AD1119">
        <f t="shared" si="388"/>
        <v>3.7830462268674649E-3</v>
      </c>
      <c r="AE1119">
        <f t="shared" si="389"/>
        <v>2.550673498286548E-2</v>
      </c>
      <c r="AG1119">
        <f t="shared" si="390"/>
        <v>-0.68991694749846344</v>
      </c>
      <c r="AH1119">
        <f t="shared" si="391"/>
        <v>0.30264013578242932</v>
      </c>
      <c r="AI1119">
        <f t="shared" si="392"/>
        <v>0.26561326494135368</v>
      </c>
      <c r="AK1119" s="26">
        <f t="shared" si="393"/>
        <v>-0.17930287112269233</v>
      </c>
      <c r="AL1119" s="26">
        <f t="shared" si="394"/>
        <v>-5.960110128030266E-2</v>
      </c>
      <c r="AM1119" s="26">
        <f t="shared" si="395"/>
        <v>-4.437062539065284E-2</v>
      </c>
      <c r="AN1119" s="26">
        <f t="shared" si="396"/>
        <v>-32.30934523809524</v>
      </c>
      <c r="AO1119" s="26">
        <f t="shared" si="397"/>
        <v>-33.897699757869262</v>
      </c>
      <c r="AP1119" s="26">
        <f t="shared" si="398"/>
        <v>-31.126069575831551</v>
      </c>
      <c r="AS1119" s="2">
        <v>44361</v>
      </c>
      <c r="AT1119">
        <v>19.899999999999999</v>
      </c>
      <c r="AU1119">
        <v>114.9</v>
      </c>
      <c r="AV1119">
        <v>33.6</v>
      </c>
      <c r="AW1119">
        <v>1.6</v>
      </c>
      <c r="AX1119">
        <v>324.95999999999998</v>
      </c>
      <c r="AY1119">
        <v>0.1</v>
      </c>
      <c r="AZ1119">
        <v>3.4</v>
      </c>
      <c r="BA1119">
        <v>239.15790000000001</v>
      </c>
      <c r="BB1119">
        <v>76.895200000000003</v>
      </c>
      <c r="BC1119">
        <v>72.060100000000006</v>
      </c>
      <c r="BD1119">
        <v>4.4253999999999998</v>
      </c>
      <c r="BE1119">
        <v>28.793600000000001</v>
      </c>
      <c r="BF1119">
        <v>-6.3061999999999996</v>
      </c>
      <c r="BG1119">
        <v>-10.835900000000001</v>
      </c>
      <c r="BH1119">
        <v>42.82</v>
      </c>
    </row>
    <row r="1120" spans="1:60" x14ac:dyDescent="0.25">
      <c r="A1120" s="2">
        <v>44381</v>
      </c>
      <c r="B1120">
        <v>16</v>
      </c>
      <c r="C1120">
        <v>9.1</v>
      </c>
      <c r="D1120">
        <v>2.6</v>
      </c>
      <c r="E1120">
        <v>0.8</v>
      </c>
      <c r="F1120">
        <v>208.13</v>
      </c>
      <c r="G1120">
        <v>0</v>
      </c>
      <c r="H1120">
        <v>3.1</v>
      </c>
      <c r="I1120">
        <v>272.4984</v>
      </c>
      <c r="J1120">
        <v>80.369600000000005</v>
      </c>
      <c r="K1120">
        <v>41.4739</v>
      </c>
      <c r="L1120">
        <v>3.9639000000000002</v>
      </c>
      <c r="M1120">
        <v>11.344799999999999</v>
      </c>
      <c r="P1120">
        <v>48.96</v>
      </c>
      <c r="S1120">
        <f t="shared" si="377"/>
        <v>649.38059999999984</v>
      </c>
      <c r="T1120">
        <f t="shared" si="378"/>
        <v>1.4999439864667551E-2</v>
      </c>
      <c r="U1120">
        <f t="shared" si="379"/>
        <v>8.5309314230296689E-3</v>
      </c>
      <c r="V1120">
        <f t="shared" si="380"/>
        <v>2.437408978008477E-3</v>
      </c>
      <c r="W1120">
        <f t="shared" si="381"/>
        <v>7.4997199323337759E-4</v>
      </c>
      <c r="X1120">
        <f t="shared" si="382"/>
        <v>0.19511458868957857</v>
      </c>
      <c r="Y1120">
        <f t="shared" si="383"/>
        <v>0</v>
      </c>
      <c r="Z1120">
        <f t="shared" si="384"/>
        <v>2.9061414737793379E-3</v>
      </c>
      <c r="AA1120">
        <f t="shared" si="385"/>
        <v>0.25545771025113273</v>
      </c>
      <c r="AB1120">
        <f t="shared" si="386"/>
        <v>7.5343686384211572E-2</v>
      </c>
      <c r="AC1120">
        <f t="shared" si="387"/>
        <v>3.8880329312702223E-2</v>
      </c>
      <c r="AD1120">
        <f t="shared" si="388"/>
        <v>3.7160174799722315E-3</v>
      </c>
      <c r="AE1120">
        <f t="shared" si="389"/>
        <v>1.0635352836042526E-2</v>
      </c>
      <c r="AG1120">
        <f t="shared" si="390"/>
        <v>-0.71077428139173837</v>
      </c>
      <c r="AH1120">
        <f t="shared" si="391"/>
        <v>0.23537383525833952</v>
      </c>
      <c r="AI1120">
        <f t="shared" si="392"/>
        <v>-0.17578685078428116</v>
      </c>
      <c r="AK1120" s="26">
        <f t="shared" si="393"/>
        <v>-0.16688877667581742</v>
      </c>
      <c r="AL1120" s="26">
        <f t="shared" si="394"/>
        <v>-4.9475739443926581E-2</v>
      </c>
      <c r="AM1120" s="26">
        <f t="shared" si="395"/>
        <v>-4.0241597338468993E-2</v>
      </c>
      <c r="AN1120" s="26">
        <f t="shared" si="396"/>
        <v>-32.556790890269141</v>
      </c>
      <c r="AO1120" s="26">
        <f t="shared" si="397"/>
        <v>-33.945172413793109</v>
      </c>
      <c r="AP1120" s="26">
        <f t="shared" si="398"/>
        <v>-30.989701423624453</v>
      </c>
      <c r="AS1120" s="2">
        <v>44360</v>
      </c>
      <c r="AT1120">
        <v>21.1</v>
      </c>
      <c r="AU1120">
        <v>162.5</v>
      </c>
      <c r="AV1120">
        <v>36.700000000000003</v>
      </c>
      <c r="AW1120">
        <v>4.5</v>
      </c>
      <c r="AX1120">
        <v>286.92</v>
      </c>
      <c r="AY1120">
        <v>0.2</v>
      </c>
      <c r="AZ1120">
        <v>3.3</v>
      </c>
      <c r="BA1120">
        <v>124.4145</v>
      </c>
      <c r="BB1120">
        <v>32.234400000000001</v>
      </c>
      <c r="BC1120">
        <v>27.961600000000001</v>
      </c>
      <c r="BD1120">
        <v>4.0281000000000002</v>
      </c>
      <c r="BE1120">
        <v>17.911899999999999</v>
      </c>
      <c r="BH1120">
        <v>42.46</v>
      </c>
    </row>
    <row r="1121" spans="1:60" x14ac:dyDescent="0.25">
      <c r="A1121" s="2">
        <v>44380</v>
      </c>
      <c r="B1121">
        <v>19.7</v>
      </c>
      <c r="C1121">
        <v>53.5</v>
      </c>
      <c r="D1121">
        <v>2.9</v>
      </c>
      <c r="E1121">
        <v>0.7</v>
      </c>
      <c r="F1121">
        <v>273.77999999999997</v>
      </c>
      <c r="G1121">
        <v>0</v>
      </c>
      <c r="H1121">
        <v>3.1</v>
      </c>
      <c r="I1121">
        <v>279.66680000000002</v>
      </c>
      <c r="J1121">
        <v>86.451499999999996</v>
      </c>
      <c r="K1121">
        <v>49.983800000000002</v>
      </c>
      <c r="L1121">
        <v>3.9615999999999998</v>
      </c>
      <c r="M1121">
        <v>14.723100000000001</v>
      </c>
      <c r="P1121">
        <v>48.52</v>
      </c>
      <c r="S1121">
        <f t="shared" si="377"/>
        <v>788.46680000000003</v>
      </c>
      <c r="T1121">
        <f t="shared" si="378"/>
        <v>1.8468060333371922E-2</v>
      </c>
      <c r="U1121">
        <f t="shared" si="379"/>
        <v>5.0154377047482122E-2</v>
      </c>
      <c r="V1121">
        <f t="shared" si="380"/>
        <v>2.7186484754709935E-3</v>
      </c>
      <c r="W1121">
        <f t="shared" si="381"/>
        <v>6.5622549407920526E-4</v>
      </c>
      <c r="X1121">
        <f t="shared" si="382"/>
        <v>0.25665916538429262</v>
      </c>
      <c r="Y1121">
        <f t="shared" si="383"/>
        <v>0</v>
      </c>
      <c r="Z1121">
        <f t="shared" si="384"/>
        <v>2.9061414737793379E-3</v>
      </c>
      <c r="AA1121">
        <f t="shared" si="385"/>
        <v>0.26217783429650043</v>
      </c>
      <c r="AB1121">
        <f t="shared" si="386"/>
        <v>8.1045254716269166E-2</v>
      </c>
      <c r="AC1121">
        <f t="shared" si="387"/>
        <v>4.6858062644223118E-2</v>
      </c>
      <c r="AD1121">
        <f t="shared" si="388"/>
        <v>3.7138613104916855E-3</v>
      </c>
      <c r="AE1121">
        <f t="shared" si="389"/>
        <v>1.3802390816967927E-2</v>
      </c>
      <c r="AG1121">
        <f t="shared" si="390"/>
        <v>-0.73482517924259128</v>
      </c>
      <c r="AH1121">
        <f t="shared" si="391"/>
        <v>0.34536500902544415</v>
      </c>
      <c r="AI1121">
        <f t="shared" si="392"/>
        <v>0.50684948521639217</v>
      </c>
      <c r="AK1121" s="26">
        <f t="shared" si="393"/>
        <v>-0.1365159109125233</v>
      </c>
      <c r="AL1121" s="26">
        <f t="shared" si="394"/>
        <v>-3.9260481411040105E-2</v>
      </c>
      <c r="AM1121" s="26">
        <f t="shared" si="395"/>
        <v>-3.5619487589185261E-2</v>
      </c>
      <c r="AN1121" s="26">
        <f t="shared" si="396"/>
        <v>-32.813982683982687</v>
      </c>
      <c r="AO1121" s="26">
        <f t="shared" si="397"/>
        <v>-33.986992481203018</v>
      </c>
      <c r="AP1121" s="26">
        <f t="shared" si="398"/>
        <v>-30.852162707654081</v>
      </c>
      <c r="AS1121" s="2">
        <v>44359</v>
      </c>
      <c r="AT1121">
        <v>20.3</v>
      </c>
      <c r="AU1121">
        <v>116.6</v>
      </c>
      <c r="AV1121">
        <v>45.6</v>
      </c>
      <c r="AW1121">
        <v>6.9</v>
      </c>
      <c r="AX1121">
        <v>212.72</v>
      </c>
      <c r="AY1121">
        <v>0.2</v>
      </c>
      <c r="AZ1121">
        <v>3.4</v>
      </c>
      <c r="BA1121">
        <v>158.1797</v>
      </c>
      <c r="BB1121">
        <v>40.251399999999997</v>
      </c>
      <c r="BC1121">
        <v>39.722900000000003</v>
      </c>
      <c r="BD1121">
        <v>4.0857000000000001</v>
      </c>
      <c r="BE1121">
        <v>19.096599999999999</v>
      </c>
      <c r="BH1121">
        <v>42.01</v>
      </c>
    </row>
    <row r="1122" spans="1:60" x14ac:dyDescent="0.25">
      <c r="A1122" s="2">
        <v>44379</v>
      </c>
      <c r="B1122">
        <v>20.3</v>
      </c>
      <c r="C1122">
        <v>38.4</v>
      </c>
      <c r="D1122">
        <v>11.8</v>
      </c>
      <c r="E1122">
        <v>2.4</v>
      </c>
      <c r="F1122">
        <v>205.45</v>
      </c>
      <c r="G1122">
        <v>0</v>
      </c>
      <c r="H1122">
        <v>3.2</v>
      </c>
      <c r="I1122">
        <v>286.09460000000001</v>
      </c>
      <c r="J1122">
        <v>114.78740000000001</v>
      </c>
      <c r="K1122">
        <v>135.2004</v>
      </c>
      <c r="L1122">
        <v>3.9134000000000002</v>
      </c>
      <c r="M1122">
        <v>18.499500000000001</v>
      </c>
      <c r="N1122">
        <v>-10.739599999999999</v>
      </c>
      <c r="O1122">
        <v>-7.29</v>
      </c>
      <c r="P1122">
        <v>48.1</v>
      </c>
      <c r="S1122">
        <f t="shared" si="377"/>
        <v>840.04530000000022</v>
      </c>
      <c r="T1122">
        <f t="shared" si="378"/>
        <v>1.9030539328296955E-2</v>
      </c>
      <c r="U1122">
        <f t="shared" si="379"/>
        <v>3.5998655675202121E-2</v>
      </c>
      <c r="V1122">
        <f t="shared" si="380"/>
        <v>1.1062086900192319E-2</v>
      </c>
      <c r="W1122">
        <f t="shared" si="381"/>
        <v>2.2499159797001326E-3</v>
      </c>
      <c r="X1122">
        <f t="shared" si="382"/>
        <v>0.19260218251224676</v>
      </c>
      <c r="Y1122">
        <f t="shared" si="383"/>
        <v>0</v>
      </c>
      <c r="Z1122">
        <f t="shared" si="384"/>
        <v>2.9998879729335104E-3</v>
      </c>
      <c r="AA1122">
        <f t="shared" si="385"/>
        <v>0.26820367176913235</v>
      </c>
      <c r="AB1122">
        <f t="shared" si="386"/>
        <v>0.10760916897009626</v>
      </c>
      <c r="AC1122">
        <f t="shared" si="387"/>
        <v>0.12674564184243742</v>
      </c>
      <c r="AD1122">
        <f t="shared" si="388"/>
        <v>3.6686754978993747E-3</v>
      </c>
      <c r="AE1122">
        <f t="shared" si="389"/>
        <v>1.7342633611026087E-2</v>
      </c>
      <c r="AG1122">
        <f t="shared" si="390"/>
        <v>-0.75800330940476945</v>
      </c>
      <c r="AH1122">
        <f t="shared" si="391"/>
        <v>0.28128590197959791</v>
      </c>
      <c r="AI1122">
        <f t="shared" si="392"/>
        <v>9.6274359888712219E-2</v>
      </c>
      <c r="AK1122" s="26">
        <f t="shared" si="393"/>
        <v>-0.12937911492724841</v>
      </c>
      <c r="AL1122" s="26">
        <f t="shared" si="394"/>
        <v>-3.9239336553347048E-2</v>
      </c>
      <c r="AM1122" s="26">
        <f t="shared" si="395"/>
        <v>-3.4579110511563149E-2</v>
      </c>
      <c r="AN1122" s="26">
        <f t="shared" si="396"/>
        <v>-33.082857142857151</v>
      </c>
      <c r="AO1122" s="26">
        <f t="shared" si="397"/>
        <v>-34.022142857142867</v>
      </c>
      <c r="AP1122" s="26">
        <f t="shared" si="398"/>
        <v>-30.709646017699114</v>
      </c>
      <c r="AS1122" s="2">
        <v>44358</v>
      </c>
      <c r="AT1122">
        <v>16.899999999999999</v>
      </c>
      <c r="AU1122">
        <v>417.2</v>
      </c>
      <c r="AV1122">
        <v>25</v>
      </c>
      <c r="AW1122">
        <v>1.4</v>
      </c>
      <c r="AX1122">
        <v>283.83</v>
      </c>
      <c r="AY1122">
        <v>0.2</v>
      </c>
      <c r="AZ1122">
        <v>3.5</v>
      </c>
      <c r="BA1122">
        <v>270.21609999999998</v>
      </c>
      <c r="BB1122">
        <v>104.7179</v>
      </c>
      <c r="BC1122">
        <v>114.7174</v>
      </c>
      <c r="BD1122">
        <v>4.3550000000000004</v>
      </c>
      <c r="BE1122">
        <v>25.720700000000001</v>
      </c>
      <c r="BF1122">
        <v>-5.4913999999999996</v>
      </c>
      <c r="BG1122">
        <v>-11.8003</v>
      </c>
      <c r="BH1122">
        <v>41.58</v>
      </c>
    </row>
    <row r="1123" spans="1:60" x14ac:dyDescent="0.25">
      <c r="A1123" s="2">
        <v>44378</v>
      </c>
      <c r="B1123">
        <v>20.5</v>
      </c>
      <c r="C1123">
        <v>27.7</v>
      </c>
      <c r="D1123">
        <v>24</v>
      </c>
      <c r="E1123">
        <v>4.2</v>
      </c>
      <c r="F1123">
        <v>103.83</v>
      </c>
      <c r="G1123">
        <v>0</v>
      </c>
      <c r="H1123">
        <v>3</v>
      </c>
      <c r="I1123">
        <v>288.5985</v>
      </c>
      <c r="J1123">
        <v>113.5312</v>
      </c>
      <c r="K1123">
        <v>127.2118</v>
      </c>
      <c r="L1123">
        <v>3.9695999999999998</v>
      </c>
      <c r="M1123">
        <v>19.816700000000001</v>
      </c>
      <c r="N1123">
        <v>-10.1797</v>
      </c>
      <c r="O1123">
        <v>-6.2007000000000003</v>
      </c>
      <c r="P1123">
        <v>47.81</v>
      </c>
      <c r="S1123">
        <f t="shared" si="377"/>
        <v>736.3578</v>
      </c>
      <c r="T1123">
        <f t="shared" si="378"/>
        <v>1.9218032326605298E-2</v>
      </c>
      <c r="U1123">
        <f t="shared" si="379"/>
        <v>2.5967780265705696E-2</v>
      </c>
      <c r="V1123">
        <f t="shared" si="380"/>
        <v>2.2499159797001327E-2</v>
      </c>
      <c r="W1123">
        <f t="shared" si="381"/>
        <v>3.9373529644752322E-3</v>
      </c>
      <c r="X1123">
        <f t="shared" si="382"/>
        <v>9.7336990071776985E-2</v>
      </c>
      <c r="Y1123">
        <f t="shared" si="383"/>
        <v>0</v>
      </c>
      <c r="Z1123">
        <f t="shared" si="384"/>
        <v>2.8123949746251659E-3</v>
      </c>
      <c r="AA1123">
        <f t="shared" si="385"/>
        <v>0.27055099036145364</v>
      </c>
      <c r="AB1123">
        <f t="shared" si="386"/>
        <v>0.10643152544772154</v>
      </c>
      <c r="AC1123">
        <f t="shared" si="387"/>
        <v>0.11925660901100722</v>
      </c>
      <c r="AD1123">
        <f t="shared" si="388"/>
        <v>3.7213610304240191E-3</v>
      </c>
      <c r="AE1123">
        <f t="shared" si="389"/>
        <v>1.857746249788484E-2</v>
      </c>
      <c r="AG1123">
        <f t="shared" si="390"/>
        <v>-0.77532846377767273</v>
      </c>
      <c r="AH1123">
        <f t="shared" si="391"/>
        <v>0.19034917289807451</v>
      </c>
      <c r="AI1123">
        <f t="shared" si="392"/>
        <v>-0.46760398991471602</v>
      </c>
      <c r="AK1123" s="26">
        <f t="shared" si="393"/>
        <v>-0.10263870726434698</v>
      </c>
      <c r="AL1123" s="26">
        <f t="shared" si="394"/>
        <v>-3.6542782118873074E-2</v>
      </c>
      <c r="AM1123" s="26">
        <f t="shared" si="395"/>
        <v>-3.2310844276864759E-2</v>
      </c>
      <c r="AN1123" s="26">
        <f t="shared" si="396"/>
        <v>-33.140952380952392</v>
      </c>
      <c r="AO1123" s="26">
        <f t="shared" si="397"/>
        <v>-34.05339285714286</v>
      </c>
      <c r="AP1123" s="26">
        <f t="shared" si="398"/>
        <v>-30.637256637168143</v>
      </c>
      <c r="AS1123" s="2">
        <v>44357</v>
      </c>
      <c r="AT1123">
        <v>19.2</v>
      </c>
      <c r="AU1123">
        <v>108.1</v>
      </c>
      <c r="AV1123">
        <v>4.5999999999999996</v>
      </c>
      <c r="AW1123">
        <v>0.8</v>
      </c>
      <c r="AX1123">
        <v>269.68</v>
      </c>
      <c r="AY1123">
        <v>0.2</v>
      </c>
      <c r="AZ1123">
        <v>3.5</v>
      </c>
      <c r="BA1123">
        <v>286.23160000000001</v>
      </c>
      <c r="BB1123">
        <v>107.4345</v>
      </c>
      <c r="BC1123">
        <v>147.3956</v>
      </c>
      <c r="BD1123">
        <v>4.2889999999999997</v>
      </c>
      <c r="BE1123">
        <v>21.505500000000001</v>
      </c>
      <c r="BF1123">
        <v>-7.6970999999999998</v>
      </c>
      <c r="BG1123">
        <v>-12.958299999999999</v>
      </c>
      <c r="BH1123">
        <v>41.26</v>
      </c>
    </row>
    <row r="1124" spans="1:60" x14ac:dyDescent="0.25">
      <c r="A1124" s="2">
        <v>44377</v>
      </c>
      <c r="B1124">
        <v>20.399999999999999</v>
      </c>
      <c r="C1124">
        <v>115.5</v>
      </c>
      <c r="D1124">
        <v>26.7</v>
      </c>
      <c r="E1124">
        <v>2.7</v>
      </c>
      <c r="F1124">
        <v>139.51</v>
      </c>
      <c r="G1124">
        <v>0.1</v>
      </c>
      <c r="H1124">
        <v>3.1</v>
      </c>
      <c r="I1124">
        <v>298.7081</v>
      </c>
      <c r="J1124">
        <v>133.7106</v>
      </c>
      <c r="K1124">
        <v>129.57470000000001</v>
      </c>
      <c r="L1124">
        <v>4.0382999999999996</v>
      </c>
      <c r="M1124">
        <v>21.237400000000001</v>
      </c>
      <c r="N1124">
        <v>-7.6524999999999999</v>
      </c>
      <c r="O1124">
        <v>-6.4581</v>
      </c>
      <c r="P1124">
        <v>47.56</v>
      </c>
      <c r="S1124">
        <f t="shared" si="377"/>
        <v>895.27910000000008</v>
      </c>
      <c r="T1124">
        <f t="shared" si="378"/>
        <v>1.9124285827451126E-2</v>
      </c>
      <c r="U1124">
        <f t="shared" si="379"/>
        <v>0.10827720652306888</v>
      </c>
      <c r="V1124">
        <f t="shared" si="380"/>
        <v>2.5030315274163974E-2</v>
      </c>
      <c r="W1124">
        <f t="shared" si="381"/>
        <v>2.5311554771626494E-3</v>
      </c>
      <c r="X1124">
        <f t="shared" si="382"/>
        <v>0.1307857409699856</v>
      </c>
      <c r="Y1124">
        <f t="shared" si="383"/>
        <v>9.3746499154172199E-5</v>
      </c>
      <c r="Z1124">
        <f t="shared" si="384"/>
        <v>2.9061414737793379E-3</v>
      </c>
      <c r="AA1124">
        <f t="shared" si="385"/>
        <v>0.28002838643994382</v>
      </c>
      <c r="AB1124">
        <f t="shared" si="386"/>
        <v>0.12534900649803857</v>
      </c>
      <c r="AC1124">
        <f t="shared" si="387"/>
        <v>0.12147174503952116</v>
      </c>
      <c r="AD1124">
        <f t="shared" si="388"/>
        <v>3.7857648753429353E-3</v>
      </c>
      <c r="AE1124">
        <f t="shared" si="389"/>
        <v>1.9909319011368165E-2</v>
      </c>
      <c r="AG1124">
        <f t="shared" si="390"/>
        <v>-0.79087371192449529</v>
      </c>
      <c r="AH1124">
        <f t="shared" si="391"/>
        <v>0.30865791105613388</v>
      </c>
      <c r="AI1124">
        <f t="shared" si="392"/>
        <v>0.25706249090736211</v>
      </c>
      <c r="AK1124" s="26">
        <f t="shared" si="393"/>
        <v>-8.2588781896604568E-2</v>
      </c>
      <c r="AL1124" s="26">
        <f t="shared" si="394"/>
        <v>-3.03809569789949E-2</v>
      </c>
      <c r="AM1124" s="26">
        <f t="shared" si="395"/>
        <v>-2.8017647023516112E-2</v>
      </c>
      <c r="AN1124" s="26">
        <f t="shared" si="396"/>
        <v>-33.201428571428593</v>
      </c>
      <c r="AO1124" s="26">
        <f t="shared" si="397"/>
        <v>-34.078214285714303</v>
      </c>
      <c r="AP1124" s="26">
        <f t="shared" si="398"/>
        <v>-30.564247787610626</v>
      </c>
      <c r="AS1124" s="2">
        <v>44356</v>
      </c>
      <c r="AT1124">
        <v>20.8</v>
      </c>
      <c r="AU1124">
        <v>70.900000000000006</v>
      </c>
      <c r="AV1124">
        <v>1.3</v>
      </c>
      <c r="AW1124">
        <v>0.6</v>
      </c>
      <c r="AX1124">
        <v>256.52999999999997</v>
      </c>
      <c r="AY1124">
        <v>0.2</v>
      </c>
      <c r="AZ1124">
        <v>3.6</v>
      </c>
      <c r="BA1124">
        <v>290.44560000000001</v>
      </c>
      <c r="BB1124">
        <v>108.8646</v>
      </c>
      <c r="BC1124">
        <v>139.5582</v>
      </c>
      <c r="BD1124">
        <v>4.2821999999999996</v>
      </c>
      <c r="BE1124">
        <v>23.384599999999999</v>
      </c>
      <c r="BF1124">
        <v>-6.7758000000000003</v>
      </c>
      <c r="BG1124">
        <v>-10.9663</v>
      </c>
      <c r="BH1124">
        <v>40.97</v>
      </c>
    </row>
    <row r="1125" spans="1:60" x14ac:dyDescent="0.25">
      <c r="A1125" s="2">
        <v>44376</v>
      </c>
      <c r="B1125">
        <v>20.7</v>
      </c>
      <c r="C1125">
        <v>101.4</v>
      </c>
      <c r="D1125">
        <v>50.4</v>
      </c>
      <c r="E1125">
        <v>1.3</v>
      </c>
      <c r="F1125">
        <v>185.14</v>
      </c>
      <c r="G1125">
        <v>0.1</v>
      </c>
      <c r="H1125">
        <v>3.3</v>
      </c>
      <c r="I1125">
        <v>295.32900000000001</v>
      </c>
      <c r="J1125">
        <v>127.3391</v>
      </c>
      <c r="K1125">
        <v>133.68219999999999</v>
      </c>
      <c r="L1125">
        <v>4.0713999999999997</v>
      </c>
      <c r="M1125">
        <v>30.801300000000001</v>
      </c>
      <c r="N1125">
        <v>-6.3112000000000004</v>
      </c>
      <c r="O1125">
        <v>-5.3708999999999998</v>
      </c>
      <c r="P1125">
        <v>47.28</v>
      </c>
      <c r="S1125">
        <f t="shared" si="377"/>
        <v>953.5630000000001</v>
      </c>
      <c r="T1125">
        <f t="shared" si="378"/>
        <v>1.9405525324913644E-2</v>
      </c>
      <c r="U1125">
        <f t="shared" si="379"/>
        <v>9.5058950142330609E-2</v>
      </c>
      <c r="V1125">
        <f t="shared" si="380"/>
        <v>4.7248235573702786E-2</v>
      </c>
      <c r="W1125">
        <f t="shared" si="381"/>
        <v>1.2187044890042385E-3</v>
      </c>
      <c r="X1125">
        <f t="shared" si="382"/>
        <v>0.17356226853403439</v>
      </c>
      <c r="Y1125">
        <f t="shared" si="383"/>
        <v>9.3746499154172199E-5</v>
      </c>
      <c r="Z1125">
        <f t="shared" si="384"/>
        <v>3.0936344720876819E-3</v>
      </c>
      <c r="AA1125">
        <f t="shared" si="385"/>
        <v>0.27686059848702521</v>
      </c>
      <c r="AB1125">
        <f t="shared" si="386"/>
        <v>0.11937594830443048</v>
      </c>
      <c r="AC1125">
        <f t="shared" si="387"/>
        <v>0.12532238249227878</v>
      </c>
      <c r="AD1125">
        <f t="shared" si="388"/>
        <v>3.8167949665629665E-3</v>
      </c>
      <c r="AE1125">
        <f t="shared" si="389"/>
        <v>2.8875140443974039E-2</v>
      </c>
      <c r="AG1125">
        <f t="shared" si="390"/>
        <v>-0.80780960470558305</v>
      </c>
      <c r="AH1125">
        <f t="shared" si="391"/>
        <v>0.36855620547920154</v>
      </c>
      <c r="AI1125">
        <f t="shared" si="392"/>
        <v>0.61601035685001138</v>
      </c>
      <c r="AK1125" s="26">
        <f t="shared" si="393"/>
        <v>-6.1267136162526881E-2</v>
      </c>
      <c r="AL1125" s="26">
        <f t="shared" si="394"/>
        <v>-2.1609549045188581E-2</v>
      </c>
      <c r="AM1125" s="26">
        <f t="shared" si="395"/>
        <v>-2.4956590704307002E-2</v>
      </c>
      <c r="AN1125" s="26">
        <f t="shared" si="396"/>
        <v>-33.261428571428567</v>
      </c>
      <c r="AO1125" s="26">
        <f t="shared" si="397"/>
        <v>-34.095000000000006</v>
      </c>
      <c r="AP1125" s="26">
        <f t="shared" si="398"/>
        <v>-30.489823008849555</v>
      </c>
      <c r="AS1125" s="2">
        <v>44355</v>
      </c>
      <c r="AT1125">
        <v>20.8</v>
      </c>
      <c r="AU1125">
        <v>88.2</v>
      </c>
      <c r="AV1125">
        <v>1.1000000000000001</v>
      </c>
      <c r="AW1125">
        <v>0.8</v>
      </c>
      <c r="AX1125">
        <v>232.43</v>
      </c>
      <c r="AY1125">
        <v>0.2</v>
      </c>
      <c r="AZ1125">
        <v>3.8</v>
      </c>
      <c r="BA1125">
        <v>293.03300000000002</v>
      </c>
      <c r="BB1125">
        <v>111.4023</v>
      </c>
      <c r="BC1125">
        <v>155.37729999999999</v>
      </c>
      <c r="BD1125">
        <v>4.4744000000000002</v>
      </c>
      <c r="BE1125">
        <v>26.292200000000001</v>
      </c>
      <c r="BF1125">
        <v>-5.9846000000000004</v>
      </c>
      <c r="BG1125">
        <v>-9.2158999999999995</v>
      </c>
      <c r="BH1125">
        <v>40.75</v>
      </c>
    </row>
    <row r="1126" spans="1:60" x14ac:dyDescent="0.25">
      <c r="A1126" s="2">
        <v>44375</v>
      </c>
      <c r="B1126">
        <v>20.5</v>
      </c>
      <c r="C1126">
        <v>4.5999999999999996</v>
      </c>
      <c r="D1126">
        <v>19.399999999999999</v>
      </c>
      <c r="E1126">
        <v>1.2</v>
      </c>
      <c r="F1126">
        <v>260.35000000000002</v>
      </c>
      <c r="G1126">
        <v>0.2</v>
      </c>
      <c r="H1126">
        <v>3.6</v>
      </c>
      <c r="I1126">
        <v>296.74930000000001</v>
      </c>
      <c r="J1126">
        <v>123.51860000000001</v>
      </c>
      <c r="K1126">
        <v>120.5645</v>
      </c>
      <c r="L1126">
        <v>3.6747000000000001</v>
      </c>
      <c r="M1126">
        <v>26.660599999999999</v>
      </c>
      <c r="N1126">
        <v>-5.4038000000000004</v>
      </c>
      <c r="O1126">
        <v>-5.6421000000000001</v>
      </c>
      <c r="P1126">
        <v>47</v>
      </c>
      <c r="S1126">
        <f t="shared" si="377"/>
        <v>881.0177000000001</v>
      </c>
      <c r="T1126">
        <f t="shared" si="378"/>
        <v>1.9218032326605298E-2</v>
      </c>
      <c r="U1126">
        <f t="shared" si="379"/>
        <v>4.3123389610919202E-3</v>
      </c>
      <c r="V1126">
        <f t="shared" si="380"/>
        <v>1.8186820835909404E-2</v>
      </c>
      <c r="W1126">
        <f t="shared" si="381"/>
        <v>1.1249579898500663E-3</v>
      </c>
      <c r="X1126">
        <f t="shared" si="382"/>
        <v>0.24406901054788732</v>
      </c>
      <c r="Y1126">
        <f t="shared" si="383"/>
        <v>1.874929983083444E-4</v>
      </c>
      <c r="Z1126">
        <f t="shared" si="384"/>
        <v>3.3748739695501988E-3</v>
      </c>
      <c r="AA1126">
        <f t="shared" si="385"/>
        <v>0.2781920800145119</v>
      </c>
      <c r="AB1126">
        <f t="shared" si="386"/>
        <v>0.11579436330424533</v>
      </c>
      <c r="AC1126">
        <f t="shared" si="387"/>
        <v>0.11302499797273192</v>
      </c>
      <c r="AD1126">
        <f t="shared" si="388"/>
        <v>3.4449026044183657E-3</v>
      </c>
      <c r="AE1126">
        <f t="shared" si="389"/>
        <v>2.4993379153497228E-2</v>
      </c>
      <c r="AG1126">
        <f t="shared" si="390"/>
        <v>-0.82479221426341209</v>
      </c>
      <c r="AH1126">
        <f t="shared" si="391"/>
        <v>0.31546690678269984</v>
      </c>
      <c r="AI1126">
        <f t="shared" si="392"/>
        <v>0.28350652533302922</v>
      </c>
      <c r="AK1126" s="26">
        <f t="shared" si="393"/>
        <v>-4.1527400104009515E-2</v>
      </c>
      <c r="AL1126" s="26">
        <f t="shared" si="394"/>
        <v>-1.4631163438918959E-2</v>
      </c>
      <c r="AM1126" s="26">
        <f t="shared" si="395"/>
        <v>-2.0486155324119348E-2</v>
      </c>
      <c r="AN1126" s="26">
        <f t="shared" si="396"/>
        <v>-33.322857142857153</v>
      </c>
      <c r="AO1126" s="26">
        <f t="shared" si="397"/>
        <v>-34.106071428571425</v>
      </c>
      <c r="AP1126" s="26">
        <f t="shared" si="398"/>
        <v>-30.412477876106195</v>
      </c>
      <c r="AS1126" s="2">
        <v>44354</v>
      </c>
      <c r="AT1126">
        <v>21.3</v>
      </c>
      <c r="AU1126">
        <v>85.4</v>
      </c>
      <c r="AV1126">
        <v>6.2</v>
      </c>
      <c r="AW1126">
        <v>1.3</v>
      </c>
      <c r="AX1126">
        <v>193.27</v>
      </c>
      <c r="AY1126">
        <v>0.2</v>
      </c>
      <c r="AZ1126">
        <v>3.1</v>
      </c>
      <c r="BA1126">
        <v>282.30739999999997</v>
      </c>
      <c r="BB1126">
        <v>81.920299999999997</v>
      </c>
      <c r="BC1126">
        <v>135.91329999999999</v>
      </c>
      <c r="BD1126">
        <v>4.0888999999999998</v>
      </c>
      <c r="BE1126">
        <v>27.484500000000001</v>
      </c>
      <c r="BF1126">
        <v>-5.1447000000000003</v>
      </c>
      <c r="BG1126">
        <v>-10.6226</v>
      </c>
      <c r="BH1126">
        <v>40.44</v>
      </c>
    </row>
    <row r="1127" spans="1:60" x14ac:dyDescent="0.25">
      <c r="A1127" s="2">
        <v>44374</v>
      </c>
      <c r="B1127">
        <v>20.6</v>
      </c>
      <c r="C1127">
        <v>487.6</v>
      </c>
      <c r="D1127">
        <v>3.6</v>
      </c>
      <c r="E1127">
        <v>1.6</v>
      </c>
      <c r="F1127">
        <v>277.35000000000002</v>
      </c>
      <c r="G1127">
        <v>0.2</v>
      </c>
      <c r="H1127">
        <v>3.8</v>
      </c>
      <c r="I1127">
        <v>223.89670000000001</v>
      </c>
      <c r="J1127">
        <v>43.825699999999998</v>
      </c>
      <c r="K1127">
        <v>29.064499999999999</v>
      </c>
      <c r="L1127">
        <v>3.9990000000000001</v>
      </c>
      <c r="M1127">
        <v>14.6128</v>
      </c>
      <c r="P1127">
        <v>46.7</v>
      </c>
      <c r="S1127">
        <f t="shared" si="377"/>
        <v>1110.1487000000002</v>
      </c>
      <c r="T1127">
        <f t="shared" si="378"/>
        <v>1.9311778825759473E-2</v>
      </c>
      <c r="U1127">
        <f t="shared" si="379"/>
        <v>0.45710792987574361</v>
      </c>
      <c r="V1127">
        <f t="shared" si="380"/>
        <v>3.3748739695501988E-3</v>
      </c>
      <c r="W1127">
        <f t="shared" si="381"/>
        <v>1.4999439864667552E-3</v>
      </c>
      <c r="X1127">
        <f t="shared" si="382"/>
        <v>0.26000591540409657</v>
      </c>
      <c r="Y1127">
        <f t="shared" si="383"/>
        <v>1.874929983083444E-4</v>
      </c>
      <c r="Z1127">
        <f t="shared" si="384"/>
        <v>3.5623669678585433E-3</v>
      </c>
      <c r="AA1127">
        <f t="shared" si="385"/>
        <v>0.20989531797171945</v>
      </c>
      <c r="AB1127">
        <f t="shared" si="386"/>
        <v>4.1085059479810039E-2</v>
      </c>
      <c r="AC1127">
        <f t="shared" si="387"/>
        <v>2.7246951246664375E-2</v>
      </c>
      <c r="AD1127">
        <f t="shared" si="388"/>
        <v>3.748922501175346E-3</v>
      </c>
      <c r="AE1127">
        <f t="shared" si="389"/>
        <v>1.3698988428400874E-2</v>
      </c>
      <c r="AG1127">
        <f t="shared" si="390"/>
        <v>-0.84271219554840615</v>
      </c>
      <c r="AH1127">
        <f t="shared" si="391"/>
        <v>0.75874929045618433</v>
      </c>
      <c r="AI1127">
        <f t="shared" si="392"/>
        <v>2.921596125309426</v>
      </c>
      <c r="AK1127" s="26">
        <f t="shared" si="393"/>
        <v>-2.5106486536786488E-2</v>
      </c>
      <c r="AL1127" s="26">
        <f t="shared" si="394"/>
        <v>-6.496945437729662E-3</v>
      </c>
      <c r="AM1127" s="26">
        <f t="shared" si="395"/>
        <v>-1.6155804590964273E-2</v>
      </c>
      <c r="AN1127" s="26">
        <f t="shared" si="396"/>
        <v>-33.386666666666663</v>
      </c>
      <c r="AO1127" s="26">
        <f t="shared" si="397"/>
        <v>-34.114464285714284</v>
      </c>
      <c r="AP1127" s="26">
        <f t="shared" si="398"/>
        <v>-30.333362831858402</v>
      </c>
      <c r="AS1127" s="2">
        <v>44353</v>
      </c>
      <c r="AT1127">
        <v>21.1</v>
      </c>
      <c r="AU1127">
        <v>164</v>
      </c>
      <c r="AV1127">
        <v>21.6</v>
      </c>
      <c r="AW1127">
        <v>1.3</v>
      </c>
      <c r="AX1127">
        <v>129.75</v>
      </c>
      <c r="AY1127">
        <v>0.2</v>
      </c>
      <c r="AZ1127">
        <v>3.2</v>
      </c>
      <c r="BA1127">
        <v>229.94220000000001</v>
      </c>
      <c r="BB1127">
        <v>41.993699999999997</v>
      </c>
      <c r="BC1127">
        <v>34.198799999999999</v>
      </c>
      <c r="BD1127">
        <v>3.9352999999999998</v>
      </c>
      <c r="BE1127">
        <v>11.111000000000001</v>
      </c>
      <c r="BH1127">
        <v>40.119999999999997</v>
      </c>
    </row>
    <row r="1128" spans="1:60" x14ac:dyDescent="0.25">
      <c r="A1128" s="2">
        <v>44373</v>
      </c>
      <c r="B1128">
        <v>20.8</v>
      </c>
      <c r="C1128">
        <v>57.5</v>
      </c>
      <c r="D1128">
        <v>1.8</v>
      </c>
      <c r="E1128">
        <v>0.3</v>
      </c>
      <c r="F1128">
        <v>262.81</v>
      </c>
      <c r="G1128">
        <v>0.2</v>
      </c>
      <c r="H1128">
        <v>3.3</v>
      </c>
      <c r="I1128">
        <v>269.286</v>
      </c>
      <c r="J1128">
        <v>70.0792</v>
      </c>
      <c r="K1128">
        <v>54.625700000000002</v>
      </c>
      <c r="L1128">
        <v>4.032</v>
      </c>
      <c r="M1128">
        <v>17.639900000000001</v>
      </c>
      <c r="P1128">
        <v>46.31</v>
      </c>
      <c r="S1128">
        <f t="shared" si="377"/>
        <v>762.3728000000001</v>
      </c>
      <c r="T1128">
        <f t="shared" si="378"/>
        <v>1.9499271824067816E-2</v>
      </c>
      <c r="U1128">
        <f t="shared" si="379"/>
        <v>5.3904237013649013E-2</v>
      </c>
      <c r="V1128">
        <f t="shared" si="380"/>
        <v>1.6874369847750994E-3</v>
      </c>
      <c r="W1128">
        <f t="shared" si="381"/>
        <v>2.8123949746251657E-4</v>
      </c>
      <c r="X1128">
        <f t="shared" si="382"/>
        <v>0.24637517442707993</v>
      </c>
      <c r="Y1128">
        <f t="shared" si="383"/>
        <v>1.874929983083444E-4</v>
      </c>
      <c r="Z1128">
        <f t="shared" si="384"/>
        <v>3.0936344720876819E-3</v>
      </c>
      <c r="AA1128">
        <f t="shared" si="385"/>
        <v>0.25244619771230414</v>
      </c>
      <c r="AB1128">
        <f t="shared" si="386"/>
        <v>6.5696796635250632E-2</v>
      </c>
      <c r="AC1128">
        <f t="shared" si="387"/>
        <v>5.1209681388460639E-2</v>
      </c>
      <c r="AD1128">
        <f t="shared" si="388"/>
        <v>3.7798588458962229E-3</v>
      </c>
      <c r="AE1128">
        <f t="shared" si="389"/>
        <v>1.6536788704296822E-2</v>
      </c>
      <c r="AG1128">
        <f t="shared" si="390"/>
        <v>-0.86473979985607941</v>
      </c>
      <c r="AH1128">
        <f t="shared" si="391"/>
        <v>0.3415652759217272</v>
      </c>
      <c r="AI1128">
        <f t="shared" si="392"/>
        <v>0.42878815306976087</v>
      </c>
      <c r="AK1128" s="26">
        <f t="shared" si="393"/>
        <v>-2.7359804175170088E-2</v>
      </c>
      <c r="AL1128" s="26">
        <f t="shared" si="394"/>
        <v>-1.0273712323198458E-2</v>
      </c>
      <c r="AM1128" s="26">
        <f t="shared" si="395"/>
        <v>-1.6201440054906424E-2</v>
      </c>
      <c r="AN1128" s="26">
        <f t="shared" si="396"/>
        <v>-33.45190476190475</v>
      </c>
      <c r="AO1128" s="26">
        <f t="shared" si="397"/>
        <v>-34.118928571428555</v>
      </c>
      <c r="AP1128" s="26">
        <f t="shared" si="398"/>
        <v>-30.254955752212382</v>
      </c>
      <c r="AS1128" s="2">
        <v>44352</v>
      </c>
      <c r="AT1128">
        <v>21.6</v>
      </c>
      <c r="AU1128">
        <v>387.5</v>
      </c>
      <c r="AV1128">
        <v>11.8</v>
      </c>
      <c r="AW1128">
        <v>0.7</v>
      </c>
      <c r="AX1128">
        <v>193.52</v>
      </c>
      <c r="AY1128">
        <v>0.2</v>
      </c>
      <c r="AZ1128">
        <v>3.3</v>
      </c>
      <c r="BA1128">
        <v>248.31829999999999</v>
      </c>
      <c r="BB1128">
        <v>39.4011</v>
      </c>
      <c r="BC1128">
        <v>46.607300000000002</v>
      </c>
      <c r="BD1128">
        <v>3.9188000000000001</v>
      </c>
      <c r="BE1128">
        <v>22.8626</v>
      </c>
      <c r="BH1128">
        <v>39.69</v>
      </c>
    </row>
    <row r="1129" spans="1:60" x14ac:dyDescent="0.25">
      <c r="A1129" s="2">
        <v>44372</v>
      </c>
      <c r="B1129">
        <v>20.7</v>
      </c>
      <c r="C1129">
        <v>141.69999999999999</v>
      </c>
      <c r="D1129">
        <v>5.2</v>
      </c>
      <c r="E1129">
        <v>0.6</v>
      </c>
      <c r="F1129">
        <v>196.22</v>
      </c>
      <c r="G1129">
        <v>0.2</v>
      </c>
      <c r="H1129">
        <v>3.4</v>
      </c>
      <c r="I1129">
        <v>314.84980000000002</v>
      </c>
      <c r="J1129">
        <v>130.69390000000001</v>
      </c>
      <c r="K1129">
        <v>137.18780000000001</v>
      </c>
      <c r="L1129">
        <v>4.032</v>
      </c>
      <c r="M1129">
        <v>18.068899999999999</v>
      </c>
      <c r="N1129">
        <v>-4.7141999999999999</v>
      </c>
      <c r="O1129">
        <v>-5.7393999999999998</v>
      </c>
      <c r="P1129">
        <v>45.94</v>
      </c>
      <c r="S1129">
        <f t="shared" si="377"/>
        <v>972.85239999999999</v>
      </c>
      <c r="T1129">
        <f t="shared" si="378"/>
        <v>1.9405525324913644E-2</v>
      </c>
      <c r="U1129">
        <f t="shared" si="379"/>
        <v>0.13283878930146198</v>
      </c>
      <c r="V1129">
        <f t="shared" si="380"/>
        <v>4.874817956016954E-3</v>
      </c>
      <c r="W1129">
        <f t="shared" si="381"/>
        <v>5.6247899492503314E-4</v>
      </c>
      <c r="X1129">
        <f t="shared" si="382"/>
        <v>0.18394938064031668</v>
      </c>
      <c r="Y1129">
        <f t="shared" si="383"/>
        <v>1.874929983083444E-4</v>
      </c>
      <c r="Z1129">
        <f t="shared" si="384"/>
        <v>3.1873809712418544E-3</v>
      </c>
      <c r="AA1129">
        <f t="shared" si="385"/>
        <v>0.29516066509391287</v>
      </c>
      <c r="AB1129">
        <f t="shared" si="386"/>
        <v>0.12252095585805466</v>
      </c>
      <c r="AC1129">
        <f t="shared" si="387"/>
        <v>0.12860875976662745</v>
      </c>
      <c r="AD1129">
        <f t="shared" si="388"/>
        <v>3.7798588458962229E-3</v>
      </c>
      <c r="AE1129">
        <f t="shared" si="389"/>
        <v>1.6938961185668219E-2</v>
      </c>
      <c r="AG1129">
        <f t="shared" si="390"/>
        <v>-0.8859043476860895</v>
      </c>
      <c r="AH1129">
        <f t="shared" si="391"/>
        <v>0.36194482737285266</v>
      </c>
      <c r="AI1129">
        <f t="shared" si="392"/>
        <v>0.54255307555034182</v>
      </c>
      <c r="AK1129" s="26">
        <f t="shared" si="393"/>
        <v>-4.3134415984867891E-3</v>
      </c>
      <c r="AL1129" s="26">
        <f t="shared" si="394"/>
        <v>-8.5722702810675511E-3</v>
      </c>
      <c r="AM1129" s="26">
        <f t="shared" si="395"/>
        <v>-1.4501449335394989E-2</v>
      </c>
      <c r="AN1129" s="26">
        <f t="shared" si="396"/>
        <v>-33.519047619047605</v>
      </c>
      <c r="AO1129" s="26">
        <f t="shared" si="397"/>
        <v>-34.110535714285682</v>
      </c>
      <c r="AP1129" s="26">
        <f t="shared" si="398"/>
        <v>-30.176637168141596</v>
      </c>
      <c r="AS1129" s="2">
        <v>44351</v>
      </c>
      <c r="AT1129">
        <v>20.6</v>
      </c>
      <c r="AU1129">
        <v>356.7</v>
      </c>
      <c r="AV1129">
        <v>11</v>
      </c>
      <c r="AW1129">
        <v>1.3</v>
      </c>
      <c r="AX1129">
        <v>218.69</v>
      </c>
      <c r="AY1129">
        <v>0.2</v>
      </c>
      <c r="AZ1129">
        <v>3.8</v>
      </c>
      <c r="BA1129">
        <v>247.86250000000001</v>
      </c>
      <c r="BB1129">
        <v>63.6706</v>
      </c>
      <c r="BC1129">
        <v>89.208500000000001</v>
      </c>
      <c r="BD1129">
        <v>3.9355000000000002</v>
      </c>
      <c r="BE1129">
        <v>29.278400000000001</v>
      </c>
      <c r="BF1129">
        <v>-4.8822000000000001</v>
      </c>
      <c r="BG1129">
        <v>-9.6524000000000001</v>
      </c>
      <c r="BH1129">
        <v>39.26</v>
      </c>
    </row>
    <row r="1130" spans="1:60" x14ac:dyDescent="0.25">
      <c r="A1130" s="2">
        <v>44371</v>
      </c>
      <c r="B1130">
        <v>20.399999999999999</v>
      </c>
      <c r="C1130">
        <v>210.4</v>
      </c>
      <c r="D1130">
        <v>1.7</v>
      </c>
      <c r="E1130">
        <v>0.5</v>
      </c>
      <c r="F1130">
        <v>165.9</v>
      </c>
      <c r="G1130">
        <v>0.2</v>
      </c>
      <c r="H1130">
        <v>3.5</v>
      </c>
      <c r="I1130">
        <v>309.33960000000002</v>
      </c>
      <c r="J1130">
        <v>149.48169999999999</v>
      </c>
      <c r="K1130">
        <v>158.96199999999999</v>
      </c>
      <c r="L1130">
        <v>4.032</v>
      </c>
      <c r="M1130">
        <v>27.690100000000001</v>
      </c>
      <c r="N1130">
        <v>-6.0307000000000004</v>
      </c>
      <c r="O1130">
        <v>-6.5705999999999998</v>
      </c>
      <c r="P1130">
        <v>45.69</v>
      </c>
      <c r="S1130">
        <f t="shared" si="377"/>
        <v>1052.1053999999999</v>
      </c>
      <c r="T1130">
        <f t="shared" si="378"/>
        <v>1.9124285827451126E-2</v>
      </c>
      <c r="U1130">
        <f t="shared" si="379"/>
        <v>0.1972426342203783</v>
      </c>
      <c r="V1130">
        <f t="shared" si="380"/>
        <v>1.5936904856209272E-3</v>
      </c>
      <c r="W1130">
        <f t="shared" si="381"/>
        <v>4.6873249577086097E-4</v>
      </c>
      <c r="X1130">
        <f t="shared" si="382"/>
        <v>0.15552544209677166</v>
      </c>
      <c r="Y1130">
        <f t="shared" si="383"/>
        <v>1.874929983083444E-4</v>
      </c>
      <c r="Z1130">
        <f t="shared" si="384"/>
        <v>3.2811274703960268E-3</v>
      </c>
      <c r="AA1130">
        <f t="shared" si="385"/>
        <v>0.28999504549751964</v>
      </c>
      <c r="AB1130">
        <f t="shared" si="386"/>
        <v>0.14013386062614219</v>
      </c>
      <c r="AC1130">
        <f t="shared" si="387"/>
        <v>0.14902130998545518</v>
      </c>
      <c r="AD1130">
        <f t="shared" si="388"/>
        <v>3.7798588458962229E-3</v>
      </c>
      <c r="AE1130">
        <f t="shared" si="389"/>
        <v>2.5958499362289434E-2</v>
      </c>
      <c r="AG1130">
        <f t="shared" si="390"/>
        <v>-0.90167257997068273</v>
      </c>
      <c r="AH1130">
        <f t="shared" si="391"/>
        <v>0.40338190495698673</v>
      </c>
      <c r="AI1130">
        <f t="shared" si="392"/>
        <v>0.78563471578681909</v>
      </c>
      <c r="AK1130" s="26">
        <f t="shared" si="393"/>
        <v>1.2758063744628456E-2</v>
      </c>
      <c r="AL1130" s="26">
        <f t="shared" si="394"/>
        <v>-3.6695794819984195E-3</v>
      </c>
      <c r="AM1130" s="26">
        <f t="shared" si="395"/>
        <v>-1.2103870175301512E-2</v>
      </c>
      <c r="AN1130" s="26">
        <f t="shared" si="396"/>
        <v>-33.586666666666652</v>
      </c>
      <c r="AO1130" s="26">
        <f t="shared" si="397"/>
        <v>-34.096607142857117</v>
      </c>
      <c r="AP1130" s="26">
        <f t="shared" si="398"/>
        <v>-30.096991150442491</v>
      </c>
      <c r="AS1130" s="2">
        <v>44350</v>
      </c>
      <c r="AT1130">
        <v>19.5</v>
      </c>
      <c r="AU1130">
        <v>91.1</v>
      </c>
      <c r="AV1130">
        <v>36.299999999999997</v>
      </c>
      <c r="AW1130">
        <v>3.7</v>
      </c>
      <c r="AX1130">
        <v>255.75</v>
      </c>
      <c r="AY1130">
        <v>0.2</v>
      </c>
      <c r="AZ1130">
        <v>3.8</v>
      </c>
      <c r="BA1130">
        <v>220.12119999999999</v>
      </c>
      <c r="BB1130">
        <v>51.998399999999997</v>
      </c>
      <c r="BC1130">
        <v>42.836100000000002</v>
      </c>
      <c r="BD1130">
        <v>3.9209000000000001</v>
      </c>
      <c r="BE1130">
        <v>24.476900000000001</v>
      </c>
      <c r="BF1130">
        <v>-5.5956000000000001</v>
      </c>
      <c r="BG1130">
        <v>-10.7319</v>
      </c>
      <c r="BH1130">
        <v>38.869999999999997</v>
      </c>
    </row>
    <row r="1131" spans="1:60" x14ac:dyDescent="0.25">
      <c r="A1131" s="2">
        <v>44370</v>
      </c>
      <c r="B1131">
        <v>20.100000000000001</v>
      </c>
      <c r="C1131">
        <v>95.5</v>
      </c>
      <c r="D1131">
        <v>11.1</v>
      </c>
      <c r="E1131">
        <v>0.7</v>
      </c>
      <c r="F1131">
        <v>195.86</v>
      </c>
      <c r="G1131">
        <v>0.2</v>
      </c>
      <c r="H1131">
        <v>3</v>
      </c>
      <c r="I1131">
        <v>320.0883</v>
      </c>
      <c r="J1131">
        <v>148.37909999999999</v>
      </c>
      <c r="K1131">
        <v>145.971</v>
      </c>
      <c r="L1131">
        <v>4.0129999999999999</v>
      </c>
      <c r="M1131">
        <v>24.127600000000001</v>
      </c>
      <c r="N1131">
        <v>-6.2332000000000001</v>
      </c>
      <c r="O1131">
        <v>-6.2488999999999999</v>
      </c>
      <c r="P1131">
        <v>45.47</v>
      </c>
      <c r="S1131">
        <f t="shared" si="377"/>
        <v>969.03899999999999</v>
      </c>
      <c r="T1131">
        <f t="shared" si="378"/>
        <v>1.8843046329988612E-2</v>
      </c>
      <c r="U1131">
        <f t="shared" si="379"/>
        <v>8.9527906692234441E-2</v>
      </c>
      <c r="V1131">
        <f t="shared" si="380"/>
        <v>1.0405861406113113E-2</v>
      </c>
      <c r="W1131">
        <f t="shared" si="381"/>
        <v>6.5622549407920526E-4</v>
      </c>
      <c r="X1131">
        <f t="shared" si="382"/>
        <v>0.18361189324336166</v>
      </c>
      <c r="Y1131">
        <f t="shared" si="383"/>
        <v>1.874929983083444E-4</v>
      </c>
      <c r="Z1131">
        <f t="shared" si="384"/>
        <v>2.8123949746251659E-3</v>
      </c>
      <c r="AA1131">
        <f t="shared" si="385"/>
        <v>0.30007157545210417</v>
      </c>
      <c r="AB1131">
        <f t="shared" si="386"/>
        <v>0.1391002117264683</v>
      </c>
      <c r="AC1131">
        <f t="shared" si="387"/>
        <v>0.13684270228033668</v>
      </c>
      <c r="AD1131">
        <f t="shared" si="388"/>
        <v>3.7620470110569298E-3</v>
      </c>
      <c r="AE1131">
        <f t="shared" si="389"/>
        <v>2.261878032992205E-2</v>
      </c>
      <c r="AG1131">
        <f t="shared" si="390"/>
        <v>-0.91611299421893122</v>
      </c>
      <c r="AH1131">
        <f t="shared" si="391"/>
        <v>0.32866360146863255</v>
      </c>
      <c r="AI1131">
        <f t="shared" si="392"/>
        <v>0.3370812050390265</v>
      </c>
      <c r="AK1131" s="26">
        <f t="shared" si="393"/>
        <v>1.452994400454638E-2</v>
      </c>
      <c r="AL1131" s="26">
        <f t="shared" si="394"/>
        <v>-4.0460855111371652E-3</v>
      </c>
      <c r="AM1131" s="26">
        <f t="shared" si="395"/>
        <v>-1.216177730486756E-2</v>
      </c>
      <c r="AN1131" s="26">
        <f t="shared" si="396"/>
        <v>-33.659047619047612</v>
      </c>
      <c r="AO1131" s="26">
        <f t="shared" si="397"/>
        <v>-34.073035714285702</v>
      </c>
      <c r="AP1131" s="26">
        <f t="shared" si="398"/>
        <v>-30.017433628318585</v>
      </c>
      <c r="AS1131" s="2">
        <v>44349</v>
      </c>
      <c r="AT1131">
        <v>19</v>
      </c>
      <c r="AU1131">
        <v>57.4</v>
      </c>
      <c r="AV1131">
        <v>48.1</v>
      </c>
      <c r="AW1131">
        <v>4.0999999999999996</v>
      </c>
      <c r="AX1131">
        <v>298.95</v>
      </c>
      <c r="AY1131">
        <v>0.2</v>
      </c>
      <c r="AZ1131">
        <v>3.8</v>
      </c>
      <c r="BA1131">
        <v>225.62690000000001</v>
      </c>
      <c r="BB1131">
        <v>43.413899999999998</v>
      </c>
      <c r="BC1131">
        <v>53.545400000000001</v>
      </c>
      <c r="BD1131">
        <v>3.8715999999999999</v>
      </c>
      <c r="BE1131">
        <v>21.751300000000001</v>
      </c>
      <c r="BF1131">
        <v>-5.4661</v>
      </c>
      <c r="BG1131">
        <v>-9.9550999999999998</v>
      </c>
      <c r="BH1131">
        <v>38.47</v>
      </c>
    </row>
    <row r="1132" spans="1:60" x14ac:dyDescent="0.25">
      <c r="A1132" s="2">
        <v>44369</v>
      </c>
      <c r="B1132">
        <v>20.3</v>
      </c>
      <c r="C1132">
        <v>126.9</v>
      </c>
      <c r="D1132">
        <v>38</v>
      </c>
      <c r="E1132">
        <v>2.5</v>
      </c>
      <c r="F1132">
        <v>177.55</v>
      </c>
      <c r="G1132">
        <v>0.1</v>
      </c>
      <c r="H1132">
        <v>2.8</v>
      </c>
      <c r="I1132">
        <v>317.89760000000001</v>
      </c>
      <c r="J1132">
        <v>101.23690000000001</v>
      </c>
      <c r="K1132">
        <v>125.61799999999999</v>
      </c>
      <c r="L1132">
        <v>4.0149999999999997</v>
      </c>
      <c r="M1132">
        <v>23.1449</v>
      </c>
      <c r="N1132">
        <v>-5.8818000000000001</v>
      </c>
      <c r="O1132">
        <v>-7.0232000000000001</v>
      </c>
      <c r="P1132">
        <v>45.28</v>
      </c>
      <c r="S1132">
        <f t="shared" si="377"/>
        <v>940.06240000000014</v>
      </c>
      <c r="T1132">
        <f t="shared" si="378"/>
        <v>1.9030539328296955E-2</v>
      </c>
      <c r="U1132">
        <f t="shared" si="379"/>
        <v>0.11896430742664452</v>
      </c>
      <c r="V1132">
        <f t="shared" si="380"/>
        <v>3.5623669678585435E-2</v>
      </c>
      <c r="W1132">
        <f t="shared" si="381"/>
        <v>2.3436624788543046E-3</v>
      </c>
      <c r="X1132">
        <f t="shared" si="382"/>
        <v>0.16644690924823274</v>
      </c>
      <c r="Y1132">
        <f t="shared" si="383"/>
        <v>9.3746499154172199E-5</v>
      </c>
      <c r="Z1132">
        <f t="shared" si="384"/>
        <v>2.624901976316821E-3</v>
      </c>
      <c r="AA1132">
        <f t="shared" si="385"/>
        <v>0.29801787089513371</v>
      </c>
      <c r="AB1132">
        <f t="shared" si="386"/>
        <v>9.4906049602210149E-2</v>
      </c>
      <c r="AC1132">
        <f t="shared" si="387"/>
        <v>0.11776247730748801</v>
      </c>
      <c r="AD1132">
        <f t="shared" si="388"/>
        <v>3.7639219410400132E-3</v>
      </c>
      <c r="AE1132">
        <f t="shared" si="389"/>
        <v>2.1697533482734E-2</v>
      </c>
      <c r="AG1132">
        <f t="shared" si="390"/>
        <v>-0.92921974123851692</v>
      </c>
      <c r="AH1132">
        <f t="shared" si="391"/>
        <v>0.36682527011881899</v>
      </c>
      <c r="AI1132">
        <f t="shared" si="392"/>
        <v>0.56153933052231075</v>
      </c>
      <c r="AK1132" s="26">
        <f t="shared" si="393"/>
        <v>2.556811661921643E-2</v>
      </c>
      <c r="AL1132" s="26">
        <f t="shared" si="394"/>
        <v>-6.1354070416080875E-4</v>
      </c>
      <c r="AM1132" s="26">
        <f t="shared" si="395"/>
        <v>-1.0618946369075233E-2</v>
      </c>
      <c r="AN1132" s="26">
        <f t="shared" si="396"/>
        <v>-33.739047619047604</v>
      </c>
      <c r="AO1132" s="26">
        <f t="shared" si="397"/>
        <v>-34.046785714285704</v>
      </c>
      <c r="AP1132" s="26">
        <f t="shared" si="398"/>
        <v>-29.938761061946899</v>
      </c>
      <c r="AS1132" s="2">
        <v>44348</v>
      </c>
      <c r="AT1132">
        <v>18.3</v>
      </c>
      <c r="AU1132">
        <v>26.5</v>
      </c>
      <c r="AV1132">
        <v>12</v>
      </c>
      <c r="AW1132">
        <v>2.2000000000000002</v>
      </c>
      <c r="AX1132">
        <v>303.44</v>
      </c>
      <c r="AY1132">
        <v>0.2</v>
      </c>
      <c r="AZ1132">
        <v>3.4</v>
      </c>
      <c r="BA1132">
        <v>244.6557</v>
      </c>
      <c r="BB1132">
        <v>46.797699999999999</v>
      </c>
      <c r="BC1132">
        <v>80.571200000000005</v>
      </c>
      <c r="BD1132">
        <v>3.9094000000000002</v>
      </c>
      <c r="BE1132">
        <v>25.500299999999999</v>
      </c>
      <c r="BF1132">
        <v>-5.6352000000000002</v>
      </c>
      <c r="BG1132">
        <v>-10.168900000000001</v>
      </c>
      <c r="BH1132">
        <v>38.06</v>
      </c>
    </row>
    <row r="1133" spans="1:60" x14ac:dyDescent="0.25">
      <c r="A1133" s="2">
        <v>44368</v>
      </c>
      <c r="B1133">
        <v>20.8</v>
      </c>
      <c r="C1133">
        <v>260.5</v>
      </c>
      <c r="D1133">
        <v>41.2</v>
      </c>
      <c r="E1133">
        <v>4.9000000000000004</v>
      </c>
      <c r="F1133">
        <v>241.83</v>
      </c>
      <c r="G1133">
        <v>0.1</v>
      </c>
      <c r="H1133">
        <v>3</v>
      </c>
      <c r="I1133">
        <v>308.05900000000003</v>
      </c>
      <c r="J1133">
        <v>63.176200000000001</v>
      </c>
      <c r="K1133">
        <v>85.259600000000006</v>
      </c>
      <c r="L1133">
        <v>4.0289000000000001</v>
      </c>
      <c r="M1133">
        <v>19.953499999999998</v>
      </c>
      <c r="N1133">
        <v>-6.5957999999999997</v>
      </c>
      <c r="O1133">
        <v>-8.0657999999999994</v>
      </c>
      <c r="P1133">
        <v>45.08</v>
      </c>
      <c r="S1133">
        <f t="shared" si="377"/>
        <v>1052.8072000000002</v>
      </c>
      <c r="T1133">
        <f t="shared" si="378"/>
        <v>1.9499271824067816E-2</v>
      </c>
      <c r="U1133">
        <f t="shared" si="379"/>
        <v>0.24420963029661855</v>
      </c>
      <c r="V1133">
        <f t="shared" si="380"/>
        <v>3.8623557651518946E-2</v>
      </c>
      <c r="W1133">
        <f t="shared" si="381"/>
        <v>4.5935784585544375E-3</v>
      </c>
      <c r="X1133">
        <f t="shared" si="382"/>
        <v>0.22670715890453463</v>
      </c>
      <c r="Y1133">
        <f t="shared" si="383"/>
        <v>9.3746499154172199E-5</v>
      </c>
      <c r="Z1133">
        <f t="shared" si="384"/>
        <v>2.8123949746251659E-3</v>
      </c>
      <c r="AA1133">
        <f t="shared" si="385"/>
        <v>0.28879452782935133</v>
      </c>
      <c r="AB1133">
        <f t="shared" si="386"/>
        <v>5.9225475798638134E-2</v>
      </c>
      <c r="AC1133">
        <f t="shared" si="387"/>
        <v>7.9927890192850598E-2</v>
      </c>
      <c r="AD1133">
        <f t="shared" si="388"/>
        <v>3.7769527044224436E-3</v>
      </c>
      <c r="AE1133">
        <f t="shared" si="389"/>
        <v>1.8705707708727745E-2</v>
      </c>
      <c r="AG1133">
        <f t="shared" si="390"/>
        <v>-0.94280304677336813</v>
      </c>
      <c r="AH1133">
        <f t="shared" si="391"/>
        <v>0.55524504631780136</v>
      </c>
      <c r="AI1133">
        <f t="shared" si="392"/>
        <v>1.6701675942551966</v>
      </c>
      <c r="AK1133" s="26">
        <f t="shared" si="393"/>
        <v>3.7096141476681055E-2</v>
      </c>
      <c r="AL1133" s="26">
        <f t="shared" si="394"/>
        <v>3.9150747785690054E-3</v>
      </c>
      <c r="AM1133" s="26">
        <f t="shared" si="395"/>
        <v>-8.9969154041836252E-3</v>
      </c>
      <c r="AN1133" s="26">
        <f t="shared" si="396"/>
        <v>-33.83238095238093</v>
      </c>
      <c r="AO1133" s="26">
        <f t="shared" si="397"/>
        <v>-34.018214285714279</v>
      </c>
      <c r="AP1133" s="26">
        <f t="shared" si="398"/>
        <v>-29.85982300884956</v>
      </c>
      <c r="AS1133" s="2">
        <v>44347</v>
      </c>
      <c r="AT1133">
        <v>17.7</v>
      </c>
      <c r="AU1133">
        <v>12.6</v>
      </c>
      <c r="AV1133">
        <v>5.0999999999999996</v>
      </c>
      <c r="AW1133">
        <v>1.8</v>
      </c>
      <c r="AX1133">
        <v>318.08999999999997</v>
      </c>
      <c r="AY1133">
        <v>0.2</v>
      </c>
      <c r="AZ1133">
        <v>3.4</v>
      </c>
      <c r="BA1133">
        <v>241.1789</v>
      </c>
      <c r="BB1133">
        <v>47.135800000000003</v>
      </c>
      <c r="BC1133">
        <v>77.979200000000006</v>
      </c>
      <c r="BD1133">
        <v>3.8090999999999999</v>
      </c>
      <c r="BE1133">
        <v>25.6145</v>
      </c>
      <c r="BF1133">
        <v>-8.4381000000000004</v>
      </c>
      <c r="BG1133">
        <v>-12.3567</v>
      </c>
      <c r="BH1133">
        <v>37.700000000000003</v>
      </c>
    </row>
    <row r="1134" spans="1:60" x14ac:dyDescent="0.25">
      <c r="A1134" s="2">
        <v>44367</v>
      </c>
      <c r="B1134">
        <v>20.6</v>
      </c>
      <c r="C1134">
        <v>189.9</v>
      </c>
      <c r="D1134">
        <v>37.799999999999997</v>
      </c>
      <c r="E1134">
        <v>3.8</v>
      </c>
      <c r="F1134">
        <v>217.97</v>
      </c>
      <c r="G1134">
        <v>0.1</v>
      </c>
      <c r="H1134">
        <v>3.1</v>
      </c>
      <c r="I1134">
        <v>202.14169999999999</v>
      </c>
      <c r="J1134">
        <v>38.927</v>
      </c>
      <c r="K1134">
        <v>29.973199999999999</v>
      </c>
      <c r="L1134">
        <v>3.9891999999999999</v>
      </c>
      <c r="M1134">
        <v>21.688700000000001</v>
      </c>
      <c r="P1134">
        <v>44.78</v>
      </c>
      <c r="S1134">
        <f t="shared" si="377"/>
        <v>769.98980000000017</v>
      </c>
      <c r="T1134">
        <f t="shared" si="378"/>
        <v>1.9311778825759473E-2</v>
      </c>
      <c r="U1134">
        <f t="shared" si="379"/>
        <v>0.178024601893773</v>
      </c>
      <c r="V1134">
        <f t="shared" si="380"/>
        <v>3.5436176680277084E-2</v>
      </c>
      <c r="W1134">
        <f t="shared" si="381"/>
        <v>3.5623669678585433E-3</v>
      </c>
      <c r="X1134">
        <f t="shared" si="382"/>
        <v>0.20433924420634914</v>
      </c>
      <c r="Y1134">
        <f t="shared" si="383"/>
        <v>9.3746499154172199E-5</v>
      </c>
      <c r="Z1134">
        <f t="shared" si="384"/>
        <v>2.9061414737793379E-3</v>
      </c>
      <c r="AA1134">
        <f t="shared" si="385"/>
        <v>0.18950076708072927</v>
      </c>
      <c r="AB1134">
        <f t="shared" si="386"/>
        <v>3.6492699725744607E-2</v>
      </c>
      <c r="AC1134">
        <f t="shared" si="387"/>
        <v>2.8098825684478336E-2</v>
      </c>
      <c r="AD1134">
        <f t="shared" si="388"/>
        <v>3.739735344258237E-3</v>
      </c>
      <c r="AE1134">
        <f t="shared" si="389"/>
        <v>2.0332396962050945E-2</v>
      </c>
      <c r="AG1134">
        <f t="shared" si="390"/>
        <v>-0.96095688746717389</v>
      </c>
      <c r="AH1134">
        <f t="shared" si="391"/>
        <v>0.46400645350900172</v>
      </c>
      <c r="AI1134">
        <f t="shared" si="392"/>
        <v>1.1328586425474312</v>
      </c>
      <c r="AK1134" s="26">
        <f t="shared" si="393"/>
        <v>3.8580188735362508E-2</v>
      </c>
      <c r="AL1134" s="26">
        <f t="shared" si="394"/>
        <v>3.0496439273594023E-3</v>
      </c>
      <c r="AM1134" s="26">
        <f t="shared" si="395"/>
        <v>-9.6607575939152701E-3</v>
      </c>
      <c r="AN1134" s="26">
        <f t="shared" si="396"/>
        <v>-33.8990476190476</v>
      </c>
      <c r="AO1134" s="26">
        <f t="shared" si="397"/>
        <v>-33.986428571428569</v>
      </c>
      <c r="AP1134" s="26">
        <f t="shared" si="398"/>
        <v>-29.780973451327434</v>
      </c>
      <c r="AS1134" s="2">
        <v>44346</v>
      </c>
      <c r="AT1134">
        <v>16.7</v>
      </c>
      <c r="AU1134">
        <v>3</v>
      </c>
      <c r="AV1134">
        <v>3.2</v>
      </c>
      <c r="AW1134">
        <v>1.9</v>
      </c>
      <c r="AX1134">
        <v>305.2</v>
      </c>
      <c r="AY1134">
        <v>0.2</v>
      </c>
      <c r="AZ1134">
        <v>3</v>
      </c>
      <c r="BA1134">
        <v>139.81360000000001</v>
      </c>
      <c r="BB1134">
        <v>37.051900000000003</v>
      </c>
      <c r="BC1134">
        <v>38.533000000000001</v>
      </c>
      <c r="BD1134">
        <v>3.6959</v>
      </c>
      <c r="BE1134">
        <v>9.5152999999999999</v>
      </c>
      <c r="BH1134">
        <v>37.47</v>
      </c>
    </row>
    <row r="1135" spans="1:60" x14ac:dyDescent="0.25">
      <c r="A1135" s="2">
        <v>44366</v>
      </c>
      <c r="B1135">
        <v>20.5</v>
      </c>
      <c r="C1135">
        <v>36</v>
      </c>
      <c r="D1135">
        <v>27.2</v>
      </c>
      <c r="E1135">
        <v>1.8</v>
      </c>
      <c r="F1135">
        <v>280.17</v>
      </c>
      <c r="G1135">
        <v>0.1</v>
      </c>
      <c r="H1135">
        <v>3.1</v>
      </c>
      <c r="I1135">
        <v>263.69720000000001</v>
      </c>
      <c r="J1135">
        <v>62.9482</v>
      </c>
      <c r="K1135">
        <v>59.936999999999998</v>
      </c>
      <c r="L1135">
        <v>4.0521000000000003</v>
      </c>
      <c r="M1135">
        <v>22.827500000000001</v>
      </c>
      <c r="P1135">
        <v>44.39</v>
      </c>
      <c r="S1135">
        <f t="shared" si="377"/>
        <v>782.33200000000011</v>
      </c>
      <c r="T1135">
        <f t="shared" si="378"/>
        <v>1.9218032326605298E-2</v>
      </c>
      <c r="U1135">
        <f t="shared" si="379"/>
        <v>3.3748739695501989E-2</v>
      </c>
      <c r="V1135">
        <f t="shared" si="380"/>
        <v>2.5499047769934835E-2</v>
      </c>
      <c r="W1135">
        <f t="shared" si="381"/>
        <v>1.6874369847750994E-3</v>
      </c>
      <c r="X1135">
        <f t="shared" si="382"/>
        <v>0.26264956668024425</v>
      </c>
      <c r="Y1135">
        <f t="shared" si="383"/>
        <v>9.3746499154172199E-5</v>
      </c>
      <c r="Z1135">
        <f t="shared" si="384"/>
        <v>2.9061414737793379E-3</v>
      </c>
      <c r="AA1135">
        <f t="shared" si="385"/>
        <v>0.24720689336757576</v>
      </c>
      <c r="AB1135">
        <f t="shared" si="386"/>
        <v>5.9011733780566622E-2</v>
      </c>
      <c r="AC1135">
        <f t="shared" si="387"/>
        <v>5.6188839198036182E-2</v>
      </c>
      <c r="AD1135">
        <f t="shared" si="388"/>
        <v>3.7987018922262116E-3</v>
      </c>
      <c r="AE1135">
        <f t="shared" si="389"/>
        <v>2.1399982094418658E-2</v>
      </c>
      <c r="AG1135">
        <f t="shared" si="390"/>
        <v>-0.98324071685397563</v>
      </c>
      <c r="AH1135">
        <f t="shared" si="391"/>
        <v>0.36720269352441365</v>
      </c>
      <c r="AI1135">
        <f t="shared" si="392"/>
        <v>0.56053708184205209</v>
      </c>
      <c r="AK1135" s="26">
        <f t="shared" si="393"/>
        <v>4.2334468179346607E-2</v>
      </c>
      <c r="AL1135" s="26">
        <f t="shared" si="394"/>
        <v>5.9853573994880227E-3</v>
      </c>
      <c r="AM1135" s="26">
        <f t="shared" si="395"/>
        <v>-8.2153309299743404E-3</v>
      </c>
      <c r="AN1135" s="26">
        <f t="shared" si="396"/>
        <v>-33.998571428571424</v>
      </c>
      <c r="AO1135" s="26">
        <f t="shared" si="397"/>
        <v>-33.951428571428579</v>
      </c>
      <c r="AP1135" s="26">
        <f t="shared" si="398"/>
        <v>-29.704336283185846</v>
      </c>
      <c r="AS1135" s="2">
        <v>44345</v>
      </c>
      <c r="AT1135">
        <v>16.5</v>
      </c>
      <c r="AU1135">
        <v>25.4</v>
      </c>
      <c r="AV1135">
        <v>10</v>
      </c>
      <c r="AW1135">
        <v>1.9</v>
      </c>
      <c r="AX1135">
        <v>245.89</v>
      </c>
      <c r="AY1135">
        <v>0.2</v>
      </c>
      <c r="AZ1135">
        <v>3</v>
      </c>
      <c r="BA1135">
        <v>220.887</v>
      </c>
      <c r="BB1135">
        <v>40.891500000000001</v>
      </c>
      <c r="BC1135">
        <v>49.219700000000003</v>
      </c>
      <c r="BD1135">
        <v>3.6960000000000002</v>
      </c>
      <c r="BE1135">
        <v>15.7334</v>
      </c>
      <c r="BH1135">
        <v>37.04</v>
      </c>
    </row>
    <row r="1136" spans="1:60" x14ac:dyDescent="0.25">
      <c r="A1136" s="2">
        <v>44365</v>
      </c>
      <c r="B1136">
        <v>20.2</v>
      </c>
      <c r="C1136">
        <v>287.8</v>
      </c>
      <c r="D1136">
        <v>31.1</v>
      </c>
      <c r="E1136">
        <v>1.9</v>
      </c>
      <c r="F1136">
        <v>290.39</v>
      </c>
      <c r="G1136">
        <v>0.1</v>
      </c>
      <c r="H1136">
        <v>3.7</v>
      </c>
      <c r="I1136">
        <v>292.02440000000001</v>
      </c>
      <c r="J1136">
        <v>124.2426</v>
      </c>
      <c r="K1136">
        <v>127.2295</v>
      </c>
      <c r="L1136">
        <v>4.1711999999999998</v>
      </c>
      <c r="M1136">
        <v>26.475100000000001</v>
      </c>
      <c r="N1136">
        <v>-6.1501999999999999</v>
      </c>
      <c r="O1136">
        <v>-7.5114000000000001</v>
      </c>
      <c r="P1136">
        <v>44</v>
      </c>
      <c r="S1136">
        <f t="shared" si="377"/>
        <v>1209.3328000000001</v>
      </c>
      <c r="T1136">
        <f t="shared" si="378"/>
        <v>1.8936792829142783E-2</v>
      </c>
      <c r="U1136">
        <f t="shared" si="379"/>
        <v>0.26980242456570758</v>
      </c>
      <c r="V1136">
        <f t="shared" si="380"/>
        <v>2.9155161236947554E-2</v>
      </c>
      <c r="W1136">
        <f t="shared" si="381"/>
        <v>1.7811834839292716E-3</v>
      </c>
      <c r="X1136">
        <f t="shared" si="382"/>
        <v>0.2722304588938006</v>
      </c>
      <c r="Y1136">
        <f t="shared" si="383"/>
        <v>9.3746499154172199E-5</v>
      </c>
      <c r="Z1136">
        <f t="shared" si="384"/>
        <v>3.4686204687043713E-3</v>
      </c>
      <c r="AA1136">
        <f t="shared" si="385"/>
        <v>0.27376265167597641</v>
      </c>
      <c r="AB1136">
        <f t="shared" si="386"/>
        <v>0.11647308795812153</v>
      </c>
      <c r="AC1136">
        <f t="shared" si="387"/>
        <v>0.1192732021413575</v>
      </c>
      <c r="AD1136">
        <f t="shared" si="388"/>
        <v>3.9103539727188301E-3</v>
      </c>
      <c r="AE1136">
        <f t="shared" si="389"/>
        <v>2.4819479397566242E-2</v>
      </c>
      <c r="AG1136">
        <f t="shared" si="390"/>
        <v>-1.0055855161057641</v>
      </c>
      <c r="AH1136">
        <f t="shared" si="391"/>
        <v>0.62028786737495245</v>
      </c>
      <c r="AI1136">
        <f t="shared" si="392"/>
        <v>2.0370439185255798</v>
      </c>
      <c r="AK1136" s="26">
        <f t="shared" si="393"/>
        <v>5.8943535434491379E-2</v>
      </c>
      <c r="AL1136" s="26">
        <f t="shared" si="394"/>
        <v>1.1974931717393555E-2</v>
      </c>
      <c r="AM1136" s="26">
        <f t="shared" si="395"/>
        <v>-4.4258112169749397E-3</v>
      </c>
      <c r="AN1136" s="26">
        <f t="shared" si="396"/>
        <v>-34.098571428571432</v>
      </c>
      <c r="AO1136" s="26">
        <f t="shared" si="397"/>
        <v>-33.910892857142862</v>
      </c>
      <c r="AP1136" s="26">
        <f t="shared" si="398"/>
        <v>-29.629380530973449</v>
      </c>
      <c r="AS1136" s="2">
        <v>44344</v>
      </c>
      <c r="AT1136">
        <v>18.3</v>
      </c>
      <c r="AU1136">
        <v>103.7</v>
      </c>
      <c r="AV1136">
        <v>12</v>
      </c>
      <c r="AW1136">
        <v>2.2000000000000002</v>
      </c>
      <c r="AX1136">
        <v>217.34</v>
      </c>
      <c r="AY1136">
        <v>0.2</v>
      </c>
      <c r="AZ1136">
        <v>3.4</v>
      </c>
      <c r="BA1136">
        <v>244.6557</v>
      </c>
      <c r="BB1136">
        <v>46.797699999999999</v>
      </c>
      <c r="BC1136">
        <v>80.571200000000005</v>
      </c>
      <c r="BD1136">
        <v>3.9094000000000002</v>
      </c>
      <c r="BE1136">
        <v>25.500299999999999</v>
      </c>
      <c r="BF1136">
        <v>-7.5125000000000002</v>
      </c>
      <c r="BG1136">
        <v>-13.229200000000001</v>
      </c>
      <c r="BH1136">
        <v>36.630000000000003</v>
      </c>
    </row>
    <row r="1137" spans="1:60" x14ac:dyDescent="0.25">
      <c r="A1137" s="2">
        <v>44364</v>
      </c>
      <c r="B1137">
        <v>21.6</v>
      </c>
      <c r="C1137">
        <v>315.2</v>
      </c>
      <c r="D1137">
        <v>31</v>
      </c>
      <c r="E1137">
        <v>3</v>
      </c>
      <c r="F1137">
        <v>305.27999999999997</v>
      </c>
      <c r="G1137">
        <v>0.1</v>
      </c>
      <c r="H1137">
        <v>3.8</v>
      </c>
      <c r="I1137">
        <v>277.57339999999999</v>
      </c>
      <c r="J1137">
        <v>116.64239999999999</v>
      </c>
      <c r="K1137">
        <v>123.1032</v>
      </c>
      <c r="L1137">
        <v>4.1688000000000001</v>
      </c>
      <c r="M1137">
        <v>24.326000000000001</v>
      </c>
      <c r="N1137">
        <v>-5.4801000000000002</v>
      </c>
      <c r="O1137">
        <v>-8.5972000000000008</v>
      </c>
      <c r="P1137">
        <v>43.66</v>
      </c>
      <c r="S1137">
        <f t="shared" si="377"/>
        <v>1225.7937999999999</v>
      </c>
      <c r="T1137">
        <f t="shared" si="378"/>
        <v>2.0249243817301196E-2</v>
      </c>
      <c r="U1137">
        <f t="shared" si="379"/>
        <v>0.29548896533395075</v>
      </c>
      <c r="V1137">
        <f t="shared" si="380"/>
        <v>2.9061414737793379E-2</v>
      </c>
      <c r="W1137">
        <f t="shared" si="381"/>
        <v>2.8123949746251659E-3</v>
      </c>
      <c r="X1137">
        <f t="shared" si="382"/>
        <v>0.28618931261785685</v>
      </c>
      <c r="Y1137">
        <f t="shared" si="383"/>
        <v>9.3746499154172199E-5</v>
      </c>
      <c r="Z1137">
        <f t="shared" si="384"/>
        <v>3.5623669678585433E-3</v>
      </c>
      <c r="AA1137">
        <f t="shared" si="385"/>
        <v>0.26021534508320698</v>
      </c>
      <c r="AB1137">
        <f t="shared" si="386"/>
        <v>0.10934816652940614</v>
      </c>
      <c r="AC1137">
        <f t="shared" si="387"/>
        <v>0.1154049403467589</v>
      </c>
      <c r="AD1137">
        <f t="shared" si="388"/>
        <v>3.9081040567391307E-3</v>
      </c>
      <c r="AE1137">
        <f t="shared" si="389"/>
        <v>2.2804773384243929E-2</v>
      </c>
      <c r="AG1137">
        <f t="shared" si="390"/>
        <v>-1.0257307139965441</v>
      </c>
      <c r="AH1137">
        <f t="shared" si="391"/>
        <v>0.66026221833278398</v>
      </c>
      <c r="AI1137">
        <f t="shared" si="392"/>
        <v>2.2578966415032027</v>
      </c>
      <c r="AK1137" s="26">
        <f t="shared" si="393"/>
        <v>4.3561350934372411E-2</v>
      </c>
      <c r="AL1137" s="26">
        <f t="shared" si="394"/>
        <v>7.5463856003769036E-3</v>
      </c>
      <c r="AM1137" s="26">
        <f t="shared" si="395"/>
        <v>-6.9794036328069686E-3</v>
      </c>
      <c r="AN1137" s="26">
        <f t="shared" si="396"/>
        <v>-34.197619047619057</v>
      </c>
      <c r="AO1137" s="26">
        <f t="shared" si="397"/>
        <v>-33.85535714285713</v>
      </c>
      <c r="AP1137" s="26">
        <f t="shared" si="398"/>
        <v>-29.554955752212379</v>
      </c>
      <c r="AS1137" s="2">
        <v>44343</v>
      </c>
      <c r="AT1137">
        <v>19.100000000000001</v>
      </c>
      <c r="AU1137">
        <v>30.8</v>
      </c>
      <c r="AV1137">
        <v>39.6</v>
      </c>
      <c r="AW1137">
        <v>7.2</v>
      </c>
      <c r="AX1137">
        <v>147.80000000000001</v>
      </c>
      <c r="AY1137">
        <v>0.2</v>
      </c>
      <c r="AZ1137">
        <v>3.1</v>
      </c>
      <c r="BA1137">
        <v>260.4128</v>
      </c>
      <c r="BB1137">
        <v>86.911500000000004</v>
      </c>
      <c r="BC1137">
        <v>82.476100000000002</v>
      </c>
      <c r="BD1137">
        <v>3.157</v>
      </c>
      <c r="BE1137">
        <v>20.903199999999998</v>
      </c>
      <c r="BF1137">
        <v>-6.8224999999999998</v>
      </c>
      <c r="BG1137">
        <v>-11.557</v>
      </c>
      <c r="BH1137">
        <v>36.380000000000003</v>
      </c>
    </row>
    <row r="1138" spans="1:60" x14ac:dyDescent="0.25">
      <c r="A1138" s="2">
        <v>44363</v>
      </c>
      <c r="B1138">
        <v>21.3</v>
      </c>
      <c r="C1138">
        <v>162.1</v>
      </c>
      <c r="D1138">
        <v>8.5</v>
      </c>
      <c r="E1138">
        <v>1.4</v>
      </c>
      <c r="F1138">
        <v>301.77</v>
      </c>
      <c r="G1138">
        <v>0.1</v>
      </c>
      <c r="H1138">
        <v>3.7</v>
      </c>
      <c r="I1138">
        <v>286.06889999999999</v>
      </c>
      <c r="J1138">
        <v>135.69319999999999</v>
      </c>
      <c r="K1138">
        <v>151.20339999999999</v>
      </c>
      <c r="L1138">
        <v>4.3502999999999998</v>
      </c>
      <c r="M1138">
        <v>24.502700000000001</v>
      </c>
      <c r="N1138">
        <v>-5.5873999999999997</v>
      </c>
      <c r="O1138">
        <v>-8.8980999999999995</v>
      </c>
      <c r="P1138">
        <v>43.38</v>
      </c>
      <c r="S1138">
        <f t="shared" si="377"/>
        <v>1100.6885000000002</v>
      </c>
      <c r="T1138">
        <f t="shared" si="378"/>
        <v>1.9968004319838677E-2</v>
      </c>
      <c r="U1138">
        <f t="shared" si="379"/>
        <v>0.15196307512891311</v>
      </c>
      <c r="V1138">
        <f t="shared" si="380"/>
        <v>7.9684524281046359E-3</v>
      </c>
      <c r="W1138">
        <f t="shared" si="381"/>
        <v>1.3124509881584105E-3</v>
      </c>
      <c r="X1138">
        <f t="shared" si="382"/>
        <v>0.28289881049754539</v>
      </c>
      <c r="Y1138">
        <f t="shared" si="383"/>
        <v>9.3746499154172199E-5</v>
      </c>
      <c r="Z1138">
        <f t="shared" si="384"/>
        <v>3.4686204687043713E-3</v>
      </c>
      <c r="AA1138">
        <f t="shared" si="385"/>
        <v>0.26817957891884969</v>
      </c>
      <c r="AB1138">
        <f t="shared" si="386"/>
        <v>0.12720762459026916</v>
      </c>
      <c r="AC1138">
        <f t="shared" si="387"/>
        <v>0.14174789410207958</v>
      </c>
      <c r="AD1138">
        <f t="shared" si="388"/>
        <v>4.0782539527039526E-3</v>
      </c>
      <c r="AE1138">
        <f t="shared" si="389"/>
        <v>2.2970423448249351E-2</v>
      </c>
      <c r="AG1138">
        <f t="shared" si="390"/>
        <v>-1.0432134909172122</v>
      </c>
      <c r="AH1138">
        <f t="shared" si="391"/>
        <v>0.49064358377866812</v>
      </c>
      <c r="AI1138">
        <f t="shared" si="392"/>
        <v>1.283745770079501</v>
      </c>
      <c r="AK1138" s="26">
        <f t="shared" si="393"/>
        <v>3.847283560147402E-2</v>
      </c>
      <c r="AL1138" s="26">
        <f t="shared" si="394"/>
        <v>6.9020140163068566E-3</v>
      </c>
      <c r="AM1138" s="26">
        <f t="shared" si="395"/>
        <v>-5.8674656213438259E-3</v>
      </c>
      <c r="AN1138" s="26">
        <f t="shared" si="396"/>
        <v>-34.290952380952398</v>
      </c>
      <c r="AO1138" s="26">
        <f t="shared" si="397"/>
        <v>-33.802857142857142</v>
      </c>
      <c r="AP1138" s="26">
        <f t="shared" si="398"/>
        <v>-29.479823008849557</v>
      </c>
      <c r="AS1138" s="2">
        <v>44342</v>
      </c>
      <c r="AT1138">
        <v>20.5</v>
      </c>
      <c r="AU1138">
        <v>2.2000000000000002</v>
      </c>
      <c r="AV1138">
        <v>42</v>
      </c>
      <c r="AW1138">
        <v>9.5</v>
      </c>
      <c r="AX1138">
        <v>147.44999999999999</v>
      </c>
      <c r="AY1138">
        <v>0.2</v>
      </c>
      <c r="AZ1138">
        <v>3.1</v>
      </c>
      <c r="BA1138">
        <v>217.6412</v>
      </c>
      <c r="BB1138">
        <v>65.995500000000007</v>
      </c>
      <c r="BC1138">
        <v>55.046799999999998</v>
      </c>
      <c r="BD1138">
        <v>2.706</v>
      </c>
      <c r="BE1138">
        <v>21.58</v>
      </c>
      <c r="BF1138">
        <v>-9.1672999999999991</v>
      </c>
      <c r="BG1138">
        <v>-12.606</v>
      </c>
      <c r="BH1138">
        <v>36.22</v>
      </c>
    </row>
    <row r="1139" spans="1:60" x14ac:dyDescent="0.25">
      <c r="A1139" s="2">
        <v>44362</v>
      </c>
      <c r="B1139">
        <v>20.9</v>
      </c>
      <c r="C1139">
        <v>81.3</v>
      </c>
      <c r="D1139">
        <v>5.8</v>
      </c>
      <c r="E1139">
        <v>0.9</v>
      </c>
      <c r="F1139">
        <v>284.67</v>
      </c>
      <c r="G1139">
        <v>0.1</v>
      </c>
      <c r="H1139">
        <v>3.6</v>
      </c>
      <c r="I1139">
        <v>292.8381</v>
      </c>
      <c r="J1139">
        <v>116.4306</v>
      </c>
      <c r="K1139">
        <v>130.31979999999999</v>
      </c>
      <c r="L1139">
        <v>4.3335999999999997</v>
      </c>
      <c r="M1139">
        <v>25.430299999999999</v>
      </c>
      <c r="N1139">
        <v>-6.6543999999999999</v>
      </c>
      <c r="O1139">
        <v>-9.5696999999999992</v>
      </c>
      <c r="P1139">
        <v>43.11</v>
      </c>
      <c r="S1139">
        <f t="shared" si="377"/>
        <v>966.62240000000008</v>
      </c>
      <c r="T1139">
        <f t="shared" si="378"/>
        <v>1.9593018323221988E-2</v>
      </c>
      <c r="U1139">
        <f t="shared" si="379"/>
        <v>7.6215903812341987E-2</v>
      </c>
      <c r="V1139">
        <f t="shared" si="380"/>
        <v>5.4372969509419869E-3</v>
      </c>
      <c r="W1139">
        <f t="shared" si="381"/>
        <v>8.4371849238754971E-4</v>
      </c>
      <c r="X1139">
        <f t="shared" si="382"/>
        <v>0.26686815914218198</v>
      </c>
      <c r="Y1139">
        <f t="shared" si="383"/>
        <v>9.3746499154172199E-5</v>
      </c>
      <c r="Z1139">
        <f t="shared" si="384"/>
        <v>3.3748739695501988E-3</v>
      </c>
      <c r="AA1139">
        <f t="shared" si="385"/>
        <v>0.2745254669395939</v>
      </c>
      <c r="AB1139">
        <f t="shared" si="386"/>
        <v>0.1091496114441976</v>
      </c>
      <c r="AC1139">
        <f t="shared" si="387"/>
        <v>0.12217025020471887</v>
      </c>
      <c r="AD1139">
        <f t="shared" si="388"/>
        <v>4.0625982873452055E-3</v>
      </c>
      <c r="AE1139">
        <f t="shared" si="389"/>
        <v>2.3840015974403449E-2</v>
      </c>
      <c r="AG1139">
        <f t="shared" si="390"/>
        <v>-1.0603030074227862</v>
      </c>
      <c r="AH1139">
        <f t="shared" si="391"/>
        <v>0.39626673316418332</v>
      </c>
      <c r="AI1139">
        <f t="shared" si="392"/>
        <v>0.72280023746433997</v>
      </c>
      <c r="AK1139" s="26">
        <f t="shared" si="393"/>
        <v>3.3861985466480171E-2</v>
      </c>
      <c r="AL1139" s="26">
        <f t="shared" si="394"/>
        <v>6.4499600271622493E-3</v>
      </c>
      <c r="AM1139" s="26">
        <f t="shared" si="395"/>
        <v>-4.8503227424413486E-3</v>
      </c>
      <c r="AN1139" s="26">
        <f t="shared" si="396"/>
        <v>-34.372857142857171</v>
      </c>
      <c r="AO1139" s="26">
        <f t="shared" si="397"/>
        <v>-33.743749999999991</v>
      </c>
      <c r="AP1139" s="26">
        <f t="shared" si="398"/>
        <v>-29.404867256637161</v>
      </c>
      <c r="AS1139" s="2">
        <v>44341</v>
      </c>
      <c r="AT1139">
        <v>19.8</v>
      </c>
      <c r="AU1139">
        <v>148</v>
      </c>
      <c r="AV1139">
        <v>15.3</v>
      </c>
      <c r="AW1139">
        <v>8.4</v>
      </c>
      <c r="AX1139">
        <v>183.29</v>
      </c>
      <c r="AY1139">
        <v>0.1</v>
      </c>
      <c r="AZ1139">
        <v>3.1</v>
      </c>
      <c r="BA1139">
        <v>184.52549999999999</v>
      </c>
      <c r="BB1139">
        <v>51.484400000000001</v>
      </c>
      <c r="BC1139">
        <v>47.927399999999999</v>
      </c>
      <c r="BD1139">
        <v>3.7075</v>
      </c>
      <c r="BE1139">
        <v>27.6204</v>
      </c>
      <c r="BF1139">
        <v>-9.0669000000000004</v>
      </c>
      <c r="BG1139">
        <v>-12.452500000000001</v>
      </c>
      <c r="BH1139">
        <v>36.03</v>
      </c>
    </row>
    <row r="1140" spans="1:60" x14ac:dyDescent="0.25">
      <c r="A1140" s="2">
        <v>44361</v>
      </c>
      <c r="B1140">
        <v>19.899999999999999</v>
      </c>
      <c r="C1140">
        <v>114.9</v>
      </c>
      <c r="D1140">
        <v>33.6</v>
      </c>
      <c r="E1140">
        <v>1.6</v>
      </c>
      <c r="F1140">
        <v>324.95999999999998</v>
      </c>
      <c r="G1140">
        <v>0.1</v>
      </c>
      <c r="H1140">
        <v>3.4</v>
      </c>
      <c r="I1140">
        <v>239.15790000000001</v>
      </c>
      <c r="J1140">
        <v>76.895200000000003</v>
      </c>
      <c r="K1140">
        <v>72.060100000000006</v>
      </c>
      <c r="L1140">
        <v>4.4253999999999998</v>
      </c>
      <c r="M1140">
        <v>28.793600000000001</v>
      </c>
      <c r="N1140">
        <v>-6.3061999999999996</v>
      </c>
      <c r="O1140">
        <v>-10.835900000000001</v>
      </c>
      <c r="P1140">
        <v>42.82</v>
      </c>
      <c r="S1140">
        <f t="shared" si="377"/>
        <v>919.79219999999998</v>
      </c>
      <c r="T1140">
        <f t="shared" si="378"/>
        <v>1.8655553331680265E-2</v>
      </c>
      <c r="U1140">
        <f t="shared" si="379"/>
        <v>0.10771472752814386</v>
      </c>
      <c r="V1140">
        <f t="shared" si="380"/>
        <v>3.1498823715801857E-2</v>
      </c>
      <c r="W1140">
        <f t="shared" si="381"/>
        <v>1.4999439864667552E-3</v>
      </c>
      <c r="X1140">
        <f t="shared" si="382"/>
        <v>0.30463862365139793</v>
      </c>
      <c r="Y1140">
        <f t="shared" si="383"/>
        <v>9.3746499154172199E-5</v>
      </c>
      <c r="Z1140">
        <f t="shared" si="384"/>
        <v>3.1873809712418544E-3</v>
      </c>
      <c r="AA1140">
        <f t="shared" si="385"/>
        <v>0.22420215870063598</v>
      </c>
      <c r="AB1140">
        <f t="shared" si="386"/>
        <v>7.2086558017599014E-2</v>
      </c>
      <c r="AC1140">
        <f t="shared" si="387"/>
        <v>6.7553821036995643E-2</v>
      </c>
      <c r="AD1140">
        <f t="shared" si="388"/>
        <v>4.1486575735687359E-3</v>
      </c>
      <c r="AE1140">
        <f t="shared" si="389"/>
        <v>2.6992991980455724E-2</v>
      </c>
      <c r="AG1140">
        <f t="shared" si="390"/>
        <v>-1.0783647954980891</v>
      </c>
      <c r="AH1140">
        <f t="shared" si="391"/>
        <v>0.49428179166434244</v>
      </c>
      <c r="AI1140">
        <f t="shared" si="392"/>
        <v>1.2916089351810343</v>
      </c>
      <c r="AK1140" s="26">
        <f t="shared" si="393"/>
        <v>4.1771212427714421E-2</v>
      </c>
      <c r="AL1140" s="26">
        <f t="shared" si="394"/>
        <v>6.7685876373411724E-3</v>
      </c>
      <c r="AM1140" s="26">
        <f t="shared" si="395"/>
        <v>-4.1327886971452843E-3</v>
      </c>
      <c r="AN1140" s="26">
        <f t="shared" si="396"/>
        <v>-34.445714285714295</v>
      </c>
      <c r="AO1140" s="26">
        <f t="shared" si="397"/>
        <v>-33.679642857142845</v>
      </c>
      <c r="AP1140" s="26">
        <f t="shared" si="398"/>
        <v>-29.328230088495573</v>
      </c>
      <c r="AS1140" s="2">
        <v>44340</v>
      </c>
      <c r="AT1140">
        <v>18.899999999999999</v>
      </c>
      <c r="AU1140">
        <v>12.9</v>
      </c>
      <c r="AV1140">
        <v>36.299999999999997</v>
      </c>
      <c r="AW1140">
        <v>7.5</v>
      </c>
      <c r="AX1140">
        <v>202.45</v>
      </c>
      <c r="AY1140">
        <v>0.2</v>
      </c>
      <c r="AZ1140">
        <v>2.8</v>
      </c>
      <c r="BA1140">
        <v>98.561499999999995</v>
      </c>
      <c r="BB1140">
        <v>39.028500000000001</v>
      </c>
      <c r="BC1140">
        <v>23.068899999999999</v>
      </c>
      <c r="BD1140">
        <v>3.7372000000000001</v>
      </c>
      <c r="BE1140">
        <v>21.417200000000001</v>
      </c>
      <c r="BF1140">
        <v>-7.9332000000000003</v>
      </c>
      <c r="BG1140">
        <v>-13.1738</v>
      </c>
      <c r="BH1140">
        <v>35.799999999999997</v>
      </c>
    </row>
    <row r="1141" spans="1:60" x14ac:dyDescent="0.25">
      <c r="A1141" s="2">
        <v>44360</v>
      </c>
      <c r="B1141">
        <v>21.1</v>
      </c>
      <c r="C1141">
        <v>162.5</v>
      </c>
      <c r="D1141">
        <v>36.700000000000003</v>
      </c>
      <c r="E1141">
        <v>4.5</v>
      </c>
      <c r="F1141">
        <v>286.92</v>
      </c>
      <c r="G1141">
        <v>0.2</v>
      </c>
      <c r="H1141">
        <v>3.3</v>
      </c>
      <c r="I1141">
        <v>124.4145</v>
      </c>
      <c r="J1141">
        <v>32.234400000000001</v>
      </c>
      <c r="K1141">
        <v>27.961600000000001</v>
      </c>
      <c r="L1141">
        <v>4.0281000000000002</v>
      </c>
      <c r="M1141">
        <v>17.911899999999999</v>
      </c>
      <c r="P1141">
        <v>42.46</v>
      </c>
      <c r="S1141">
        <f t="shared" si="377"/>
        <v>721.77049999999997</v>
      </c>
      <c r="T1141">
        <f t="shared" si="378"/>
        <v>1.9780511321530334E-2</v>
      </c>
      <c r="U1141">
        <f t="shared" si="379"/>
        <v>0.15233806112552981</v>
      </c>
      <c r="V1141">
        <f t="shared" si="380"/>
        <v>3.4404965189581194E-2</v>
      </c>
      <c r="W1141">
        <f t="shared" si="381"/>
        <v>4.2185924619377486E-3</v>
      </c>
      <c r="X1141">
        <f t="shared" si="382"/>
        <v>0.26897745537315088</v>
      </c>
      <c r="Y1141">
        <f t="shared" si="383"/>
        <v>1.874929983083444E-4</v>
      </c>
      <c r="Z1141">
        <f t="shared" si="384"/>
        <v>3.0936344720876819E-3</v>
      </c>
      <c r="AA1141">
        <f t="shared" si="385"/>
        <v>0.11663423819016756</v>
      </c>
      <c r="AB1141">
        <f t="shared" si="386"/>
        <v>3.021862152335248E-2</v>
      </c>
      <c r="AC1141">
        <f t="shared" si="387"/>
        <v>2.6213021107493011E-2</v>
      </c>
      <c r="AD1141">
        <f t="shared" si="388"/>
        <v>3.7762027324292104E-3</v>
      </c>
      <c r="AE1141">
        <f t="shared" si="389"/>
        <v>1.6791779181996168E-2</v>
      </c>
      <c r="AG1141">
        <f t="shared" si="390"/>
        <v>-1.0996885935596543</v>
      </c>
      <c r="AH1141">
        <f t="shared" si="391"/>
        <v>0.49979249212412213</v>
      </c>
      <c r="AI1141">
        <f t="shared" si="392"/>
        <v>1.3261975651770319</v>
      </c>
      <c r="AK1141" s="26">
        <f t="shared" si="393"/>
        <v>5.6058924406684474E-2</v>
      </c>
      <c r="AL1141" s="26">
        <f t="shared" si="394"/>
        <v>1.0206388944448641E-2</v>
      </c>
      <c r="AM1141" s="26">
        <f t="shared" si="395"/>
        <v>-2.1094555170556584E-3</v>
      </c>
      <c r="AN1141" s="26">
        <f t="shared" si="396"/>
        <v>-34.513809523809542</v>
      </c>
      <c r="AO1141" s="26">
        <f t="shared" si="397"/>
        <v>-33.60910714285712</v>
      </c>
      <c r="AP1141" s="26">
        <f t="shared" si="398"/>
        <v>-29.250707964601773</v>
      </c>
      <c r="AS1141" s="2">
        <v>44339</v>
      </c>
      <c r="AT1141">
        <v>17.7</v>
      </c>
      <c r="AU1141">
        <v>17.8</v>
      </c>
      <c r="AV1141">
        <v>49.6</v>
      </c>
      <c r="AW1141">
        <v>7.1</v>
      </c>
      <c r="AX1141">
        <v>207.51</v>
      </c>
      <c r="AY1141">
        <v>0.2</v>
      </c>
      <c r="AZ1141">
        <v>2.5</v>
      </c>
      <c r="BA1141">
        <v>84.830299999999994</v>
      </c>
      <c r="BB1141">
        <v>32.095300000000002</v>
      </c>
      <c r="BC1141">
        <v>20.3581</v>
      </c>
      <c r="BD1141">
        <v>3.7345999999999999</v>
      </c>
      <c r="BE1141">
        <v>17.402699999999999</v>
      </c>
      <c r="BH1141">
        <v>35.479999999999997</v>
      </c>
    </row>
    <row r="1142" spans="1:60" x14ac:dyDescent="0.25">
      <c r="A1142" s="2">
        <v>44359</v>
      </c>
      <c r="B1142">
        <v>20.3</v>
      </c>
      <c r="C1142">
        <v>116.6</v>
      </c>
      <c r="D1142">
        <v>45.6</v>
      </c>
      <c r="E1142">
        <v>6.9</v>
      </c>
      <c r="F1142">
        <v>212.72</v>
      </c>
      <c r="G1142">
        <v>0.2</v>
      </c>
      <c r="H1142">
        <v>3.4</v>
      </c>
      <c r="I1142">
        <v>158.1797</v>
      </c>
      <c r="J1142">
        <v>40.251399999999997</v>
      </c>
      <c r="K1142">
        <v>39.722900000000003</v>
      </c>
      <c r="L1142">
        <v>4.0857000000000001</v>
      </c>
      <c r="M1142">
        <v>19.096599999999999</v>
      </c>
      <c r="P1142">
        <v>42.01</v>
      </c>
      <c r="S1142">
        <f t="shared" si="377"/>
        <v>667.05629999999985</v>
      </c>
      <c r="T1142">
        <f t="shared" si="378"/>
        <v>1.9030539328296955E-2</v>
      </c>
      <c r="U1142">
        <f t="shared" si="379"/>
        <v>0.10930841801376477</v>
      </c>
      <c r="V1142">
        <f t="shared" si="380"/>
        <v>4.2748403614302523E-2</v>
      </c>
      <c r="W1142">
        <f t="shared" si="381"/>
        <v>6.4685084416378812E-3</v>
      </c>
      <c r="X1142">
        <f t="shared" si="382"/>
        <v>0.19941755300075509</v>
      </c>
      <c r="Y1142">
        <f t="shared" si="383"/>
        <v>1.874929983083444E-4</v>
      </c>
      <c r="Z1142">
        <f t="shared" si="384"/>
        <v>3.1873809712418544E-3</v>
      </c>
      <c r="AA1142">
        <f t="shared" si="385"/>
        <v>0.1482879311225721</v>
      </c>
      <c r="AB1142">
        <f t="shared" si="386"/>
        <v>3.773427836054246E-2</v>
      </c>
      <c r="AC1142">
        <f t="shared" si="387"/>
        <v>3.7238828112512667E-2</v>
      </c>
      <c r="AD1142">
        <f t="shared" si="388"/>
        <v>3.8302007159420133E-3</v>
      </c>
      <c r="AE1142">
        <f t="shared" si="389"/>
        <v>1.7902393957475646E-2</v>
      </c>
      <c r="AG1142">
        <f t="shared" si="390"/>
        <v>-1.1251924451708877</v>
      </c>
      <c r="AH1142">
        <f t="shared" si="391"/>
        <v>0.39825069032578303</v>
      </c>
      <c r="AI1142">
        <f t="shared" si="392"/>
        <v>0.7243086273843623</v>
      </c>
      <c r="AK1142" s="26">
        <f t="shared" si="393"/>
        <v>5.3548415479930778E-2</v>
      </c>
      <c r="AL1142" s="26">
        <f t="shared" si="394"/>
        <v>6.8997707965058885E-3</v>
      </c>
      <c r="AM1142" s="26">
        <f t="shared" si="395"/>
        <v>-2.2587563575315883E-3</v>
      </c>
      <c r="AN1142" s="26">
        <f t="shared" si="396"/>
        <v>-34.577142857142888</v>
      </c>
      <c r="AO1142" s="26">
        <f t="shared" si="397"/>
        <v>-33.531428571428556</v>
      </c>
      <c r="AP1142" s="26">
        <f t="shared" si="398"/>
        <v>-29.174778761061951</v>
      </c>
      <c r="AS1142" s="2">
        <v>44338</v>
      </c>
      <c r="AT1142">
        <v>15.6</v>
      </c>
      <c r="AU1142">
        <v>19</v>
      </c>
      <c r="AV1142">
        <v>55.9</v>
      </c>
      <c r="AW1142">
        <v>10.8</v>
      </c>
      <c r="AX1142">
        <v>199.81</v>
      </c>
      <c r="AY1142">
        <v>0.2</v>
      </c>
      <c r="AZ1142">
        <v>2.9</v>
      </c>
      <c r="BA1142">
        <v>76.132000000000005</v>
      </c>
      <c r="BB1142">
        <v>25.864799999999999</v>
      </c>
      <c r="BC1142">
        <v>21.611000000000001</v>
      </c>
      <c r="BD1142">
        <v>3.7315</v>
      </c>
      <c r="BE1142">
        <v>14.5669</v>
      </c>
      <c r="BH1142">
        <v>35.11</v>
      </c>
    </row>
    <row r="1143" spans="1:60" x14ac:dyDescent="0.25">
      <c r="A1143" s="2">
        <v>44358</v>
      </c>
      <c r="B1143">
        <v>16.899999999999999</v>
      </c>
      <c r="C1143">
        <v>417.2</v>
      </c>
      <c r="D1143">
        <v>25</v>
      </c>
      <c r="E1143">
        <v>1.4</v>
      </c>
      <c r="F1143">
        <v>283.83</v>
      </c>
      <c r="G1143">
        <v>0.2</v>
      </c>
      <c r="H1143">
        <v>3.5</v>
      </c>
      <c r="I1143">
        <v>270.21609999999998</v>
      </c>
      <c r="J1143">
        <v>104.7179</v>
      </c>
      <c r="K1143">
        <v>114.7174</v>
      </c>
      <c r="L1143">
        <v>4.3550000000000004</v>
      </c>
      <c r="M1143">
        <v>25.720700000000001</v>
      </c>
      <c r="N1143">
        <v>-5.4913999999999996</v>
      </c>
      <c r="O1143">
        <v>-11.8003</v>
      </c>
      <c r="P1143">
        <v>41.58</v>
      </c>
      <c r="S1143">
        <f t="shared" si="377"/>
        <v>1267.7571</v>
      </c>
      <c r="T1143">
        <f t="shared" si="378"/>
        <v>1.58431583570551E-2</v>
      </c>
      <c r="U1143">
        <f t="shared" si="379"/>
        <v>0.39111039447120638</v>
      </c>
      <c r="V1143">
        <f t="shared" si="380"/>
        <v>2.3436624788543046E-2</v>
      </c>
      <c r="W1143">
        <f t="shared" si="381"/>
        <v>1.3124509881584105E-3</v>
      </c>
      <c r="X1143">
        <f t="shared" si="382"/>
        <v>0.2660806885492869</v>
      </c>
      <c r="Y1143">
        <f t="shared" si="383"/>
        <v>1.874929983083444E-4</v>
      </c>
      <c r="Z1143">
        <f t="shared" si="384"/>
        <v>3.2811274703960268E-3</v>
      </c>
      <c r="AA1143">
        <f t="shared" si="385"/>
        <v>0.25331813390093705</v>
      </c>
      <c r="AB1143">
        <f t="shared" si="386"/>
        <v>9.8169365237766884E-2</v>
      </c>
      <c r="AC1143">
        <f t="shared" si="387"/>
        <v>0.10754354642068832</v>
      </c>
      <c r="AD1143">
        <f t="shared" si="388"/>
        <v>4.0826600381641993E-3</v>
      </c>
      <c r="AE1143">
        <f t="shared" si="389"/>
        <v>2.4112255807947167E-2</v>
      </c>
      <c r="AG1143">
        <f t="shared" si="390"/>
        <v>-1.1498801417244209</v>
      </c>
      <c r="AH1143">
        <f t="shared" si="391"/>
        <v>0.72536419343090131</v>
      </c>
      <c r="AI1143">
        <f t="shared" si="392"/>
        <v>2.6213832717736634</v>
      </c>
      <c r="AK1143" s="26">
        <f t="shared" si="393"/>
        <v>4.9051578944384389E-2</v>
      </c>
      <c r="AL1143" s="26">
        <f t="shared" si="394"/>
        <v>3.5709765793791592E-3</v>
      </c>
      <c r="AM1143" s="26">
        <f t="shared" si="395"/>
        <v>-2.489623289192E-3</v>
      </c>
      <c r="AN1143" s="26">
        <f t="shared" si="396"/>
        <v>-34.628571428571433</v>
      </c>
      <c r="AO1143" s="26">
        <f t="shared" si="397"/>
        <v>-33.445714285714274</v>
      </c>
      <c r="AP1143" s="26">
        <f t="shared" si="398"/>
        <v>-29.098053097345137</v>
      </c>
      <c r="AS1143" s="2">
        <v>44337</v>
      </c>
      <c r="AT1143">
        <v>19</v>
      </c>
      <c r="AU1143">
        <v>18</v>
      </c>
      <c r="AV1143">
        <v>57.7</v>
      </c>
      <c r="AW1143">
        <v>10.199999999999999</v>
      </c>
      <c r="AX1143">
        <v>177.21</v>
      </c>
      <c r="AY1143">
        <v>0.2</v>
      </c>
      <c r="AZ1143">
        <v>3</v>
      </c>
      <c r="BA1143">
        <v>85.9208</v>
      </c>
      <c r="BB1143">
        <v>31.540600000000001</v>
      </c>
      <c r="BC1143">
        <v>41.674599999999998</v>
      </c>
      <c r="BD1143">
        <v>3.7538</v>
      </c>
      <c r="BE1143">
        <v>18.927499999999998</v>
      </c>
      <c r="BF1143">
        <v>-7.9470000000000001</v>
      </c>
      <c r="BG1143">
        <v>-12.446400000000001</v>
      </c>
      <c r="BH1143">
        <v>34.75</v>
      </c>
    </row>
    <row r="1144" spans="1:60" x14ac:dyDescent="0.25">
      <c r="A1144" s="2">
        <v>44357</v>
      </c>
      <c r="B1144">
        <v>19.2</v>
      </c>
      <c r="C1144">
        <v>108.1</v>
      </c>
      <c r="D1144">
        <v>4.5999999999999996</v>
      </c>
      <c r="E1144">
        <v>0.8</v>
      </c>
      <c r="F1144">
        <v>269.68</v>
      </c>
      <c r="G1144">
        <v>0.2</v>
      </c>
      <c r="H1144">
        <v>3.5</v>
      </c>
      <c r="I1144">
        <v>286.23160000000001</v>
      </c>
      <c r="J1144">
        <v>107.4345</v>
      </c>
      <c r="K1144">
        <v>147.3956</v>
      </c>
      <c r="L1144">
        <v>4.2889999999999997</v>
      </c>
      <c r="M1144">
        <v>21.505500000000001</v>
      </c>
      <c r="N1144">
        <v>-7.6970999999999998</v>
      </c>
      <c r="O1144">
        <v>-12.958299999999999</v>
      </c>
      <c r="P1144">
        <v>41.26</v>
      </c>
      <c r="S1144">
        <f t="shared" si="377"/>
        <v>972.93619999999987</v>
      </c>
      <c r="T1144">
        <f t="shared" si="378"/>
        <v>1.799932783760106E-2</v>
      </c>
      <c r="U1144">
        <f t="shared" si="379"/>
        <v>0.10133996558566014</v>
      </c>
      <c r="V1144">
        <f t="shared" si="380"/>
        <v>4.3123389610919202E-3</v>
      </c>
      <c r="W1144">
        <f t="shared" si="381"/>
        <v>7.4997199323337759E-4</v>
      </c>
      <c r="X1144">
        <f t="shared" si="382"/>
        <v>0.25281555891897156</v>
      </c>
      <c r="Y1144">
        <f t="shared" si="383"/>
        <v>1.874929983083444E-4</v>
      </c>
      <c r="Z1144">
        <f t="shared" si="384"/>
        <v>3.2811274703960268E-3</v>
      </c>
      <c r="AA1144">
        <f t="shared" si="385"/>
        <v>0.26833210447297356</v>
      </c>
      <c r="AB1144">
        <f t="shared" si="386"/>
        <v>0.10071608263378912</v>
      </c>
      <c r="AC1144">
        <f t="shared" si="387"/>
        <v>0.13817821490728702</v>
      </c>
      <c r="AD1144">
        <f t="shared" si="388"/>
        <v>4.0207873487224446E-3</v>
      </c>
      <c r="AE1144">
        <f t="shared" si="389"/>
        <v>2.0160653375600503E-2</v>
      </c>
      <c r="AG1144">
        <f t="shared" si="390"/>
        <v>-1.1696437421851227</v>
      </c>
      <c r="AH1144">
        <f t="shared" si="391"/>
        <v>0.40084643714086299</v>
      </c>
      <c r="AI1144">
        <f t="shared" si="392"/>
        <v>0.75274502451115055</v>
      </c>
      <c r="AK1144" s="26">
        <f t="shared" si="393"/>
        <v>2.8478949882072335E-2</v>
      </c>
      <c r="AL1144" s="26">
        <f t="shared" si="394"/>
        <v>-5.4658996774515911E-3</v>
      </c>
      <c r="AM1144" s="26">
        <f t="shared" si="395"/>
        <v>-5.2232056649397229E-3</v>
      </c>
      <c r="AN1144" s="26">
        <f t="shared" si="396"/>
        <v>-34.67285714285714</v>
      </c>
      <c r="AO1144" s="26">
        <f t="shared" si="397"/>
        <v>-33.351249999999993</v>
      </c>
      <c r="AP1144" s="26">
        <f t="shared" si="398"/>
        <v>-29.01964601769911</v>
      </c>
      <c r="AS1144" s="2">
        <v>44336</v>
      </c>
      <c r="AT1144">
        <v>20.5</v>
      </c>
      <c r="AU1144">
        <v>0</v>
      </c>
      <c r="AV1144">
        <v>12.9</v>
      </c>
      <c r="AW1144">
        <v>2.6</v>
      </c>
      <c r="AX1144">
        <v>217.36</v>
      </c>
      <c r="AY1144">
        <v>0.2</v>
      </c>
      <c r="AZ1144">
        <v>3.1</v>
      </c>
      <c r="BA1144">
        <v>209.089</v>
      </c>
      <c r="BB1144">
        <v>86.231999999999999</v>
      </c>
      <c r="BC1144">
        <v>92.348100000000002</v>
      </c>
      <c r="BD1144">
        <v>3.7799</v>
      </c>
      <c r="BE1144">
        <v>24.316800000000001</v>
      </c>
      <c r="BF1144">
        <v>-8.1798999999999999</v>
      </c>
      <c r="BG1144">
        <v>-12.617800000000001</v>
      </c>
      <c r="BH1144">
        <v>34.44</v>
      </c>
    </row>
    <row r="1145" spans="1:60" x14ac:dyDescent="0.25">
      <c r="A1145" s="2">
        <v>44356</v>
      </c>
      <c r="B1145">
        <v>20.8</v>
      </c>
      <c r="C1145">
        <v>70.900000000000006</v>
      </c>
      <c r="D1145">
        <v>1.3</v>
      </c>
      <c r="E1145">
        <v>0.6</v>
      </c>
      <c r="F1145">
        <v>256.52999999999997</v>
      </c>
      <c r="G1145">
        <v>0.2</v>
      </c>
      <c r="H1145">
        <v>3.6</v>
      </c>
      <c r="I1145">
        <v>290.44560000000001</v>
      </c>
      <c r="J1145">
        <v>108.8646</v>
      </c>
      <c r="K1145">
        <v>139.5582</v>
      </c>
      <c r="L1145">
        <v>4.2821999999999996</v>
      </c>
      <c r="M1145">
        <v>23.384599999999999</v>
      </c>
      <c r="N1145">
        <v>-6.7758000000000003</v>
      </c>
      <c r="O1145">
        <v>-10.9663</v>
      </c>
      <c r="P1145">
        <v>40.97</v>
      </c>
      <c r="S1145">
        <f t="shared" si="377"/>
        <v>920.4652000000001</v>
      </c>
      <c r="T1145">
        <f t="shared" si="378"/>
        <v>1.9499271824067816E-2</v>
      </c>
      <c r="U1145">
        <f t="shared" si="379"/>
        <v>6.6466267900308088E-2</v>
      </c>
      <c r="V1145">
        <f t="shared" si="380"/>
        <v>1.2187044890042385E-3</v>
      </c>
      <c r="W1145">
        <f t="shared" si="381"/>
        <v>5.6247899492503314E-4</v>
      </c>
      <c r="X1145">
        <f t="shared" si="382"/>
        <v>0.2404878942801979</v>
      </c>
      <c r="Y1145">
        <f t="shared" si="383"/>
        <v>1.874929983083444E-4</v>
      </c>
      <c r="Z1145">
        <f t="shared" si="384"/>
        <v>3.3748739695501988E-3</v>
      </c>
      <c r="AA1145">
        <f t="shared" si="385"/>
        <v>0.27228258194733035</v>
      </c>
      <c r="AB1145">
        <f t="shared" si="386"/>
        <v>0.10205675131819293</v>
      </c>
      <c r="AC1145">
        <f t="shared" si="387"/>
        <v>0.13083092678257793</v>
      </c>
      <c r="AD1145">
        <f t="shared" si="388"/>
        <v>4.0144125867799607E-3</v>
      </c>
      <c r="AE1145">
        <f t="shared" si="389"/>
        <v>2.192224384120655E-2</v>
      </c>
      <c r="AG1145">
        <f t="shared" si="390"/>
        <v>-1.1881180774308544</v>
      </c>
      <c r="AH1145">
        <f t="shared" si="391"/>
        <v>0.35371922829756819</v>
      </c>
      <c r="AI1145">
        <f t="shared" si="392"/>
        <v>0.47711327486022126</v>
      </c>
      <c r="AK1145" s="26">
        <f t="shared" si="393"/>
        <v>2.1963389626097174E-2</v>
      </c>
      <c r="AL1145" s="26">
        <f t="shared" si="394"/>
        <v>-6.2071231134604443E-3</v>
      </c>
      <c r="AM1145" s="26">
        <f t="shared" si="395"/>
        <v>-4.5396567996248693E-3</v>
      </c>
      <c r="AN1145" s="26">
        <f t="shared" si="396"/>
        <v>-34.711904761904755</v>
      </c>
      <c r="AO1145" s="26">
        <f t="shared" si="397"/>
        <v>-33.247499999999995</v>
      </c>
      <c r="AP1145" s="26">
        <f t="shared" si="398"/>
        <v>-28.939203539823005</v>
      </c>
      <c r="AS1145" s="2">
        <v>44335</v>
      </c>
      <c r="AT1145">
        <v>19.8</v>
      </c>
      <c r="AU1145">
        <v>376.6</v>
      </c>
      <c r="AV1145">
        <v>4.2</v>
      </c>
      <c r="AW1145">
        <v>1.9</v>
      </c>
      <c r="AX1145">
        <v>206.68</v>
      </c>
      <c r="AY1145">
        <v>0.1</v>
      </c>
      <c r="AZ1145">
        <v>3</v>
      </c>
      <c r="BA1145">
        <v>224.2176</v>
      </c>
      <c r="BB1145">
        <v>90.431399999999996</v>
      </c>
      <c r="BC1145">
        <v>92.610600000000005</v>
      </c>
      <c r="BD1145">
        <v>3.8393000000000002</v>
      </c>
      <c r="BE1145">
        <v>16.161899999999999</v>
      </c>
      <c r="BF1145">
        <v>-6.2424999999999997</v>
      </c>
      <c r="BG1145">
        <v>-12.8979</v>
      </c>
      <c r="BH1145">
        <v>34.18</v>
      </c>
    </row>
    <row r="1146" spans="1:60" x14ac:dyDescent="0.25">
      <c r="A1146" s="2">
        <v>44355</v>
      </c>
      <c r="B1146">
        <v>20.8</v>
      </c>
      <c r="C1146">
        <v>88.2</v>
      </c>
      <c r="D1146">
        <v>1.1000000000000001</v>
      </c>
      <c r="E1146">
        <v>0.8</v>
      </c>
      <c r="F1146">
        <v>232.43</v>
      </c>
      <c r="G1146">
        <v>0.2</v>
      </c>
      <c r="H1146">
        <v>3.8</v>
      </c>
      <c r="I1146">
        <v>293.03300000000002</v>
      </c>
      <c r="J1146">
        <v>111.4023</v>
      </c>
      <c r="K1146">
        <v>155.37729999999999</v>
      </c>
      <c r="L1146">
        <v>4.4744000000000002</v>
      </c>
      <c r="M1146">
        <v>26.292200000000001</v>
      </c>
      <c r="N1146">
        <v>-5.9846000000000004</v>
      </c>
      <c r="O1146">
        <v>-9.2158999999999995</v>
      </c>
      <c r="P1146">
        <v>40.75</v>
      </c>
      <c r="S1146">
        <f t="shared" si="377"/>
        <v>937.90919999999994</v>
      </c>
      <c r="T1146">
        <f t="shared" si="378"/>
        <v>1.9499271824067816E-2</v>
      </c>
      <c r="U1146">
        <f t="shared" si="379"/>
        <v>8.2684412253979878E-2</v>
      </c>
      <c r="V1146">
        <f t="shared" si="380"/>
        <v>1.0312114906958943E-3</v>
      </c>
      <c r="W1146">
        <f t="shared" si="381"/>
        <v>7.4997199323337759E-4</v>
      </c>
      <c r="X1146">
        <f t="shared" si="382"/>
        <v>0.21789498798404244</v>
      </c>
      <c r="Y1146">
        <f t="shared" si="383"/>
        <v>1.874929983083444E-4</v>
      </c>
      <c r="Z1146">
        <f t="shared" si="384"/>
        <v>3.5623669678585433E-3</v>
      </c>
      <c r="AA1146">
        <f t="shared" si="385"/>
        <v>0.27470817886644538</v>
      </c>
      <c r="AB1146">
        <f t="shared" si="386"/>
        <v>0.10443575622722837</v>
      </c>
      <c r="AC1146">
        <f t="shared" si="387"/>
        <v>0.14566077923027557</v>
      </c>
      <c r="AD1146">
        <f t="shared" si="388"/>
        <v>4.1945933581542805E-3</v>
      </c>
      <c r="AE1146">
        <f t="shared" si="389"/>
        <v>2.4648017050613261E-2</v>
      </c>
      <c r="AG1146">
        <f t="shared" si="390"/>
        <v>-1.2034716182686753</v>
      </c>
      <c r="AH1146">
        <f t="shared" si="391"/>
        <v>0.35025773256279952</v>
      </c>
      <c r="AI1146">
        <f t="shared" si="392"/>
        <v>0.45522966635035206</v>
      </c>
      <c r="AK1146" s="26">
        <f t="shared" si="393"/>
        <v>3.1011404417866206E-2</v>
      </c>
      <c r="AL1146" s="26">
        <f t="shared" si="394"/>
        <v>-7.6414679871440461E-3</v>
      </c>
      <c r="AM1146" s="26">
        <f t="shared" si="395"/>
        <v>-4.8481599360404859E-3</v>
      </c>
      <c r="AN1146" s="26">
        <f t="shared" si="396"/>
        <v>-34.742380952380955</v>
      </c>
      <c r="AO1146" s="26">
        <f t="shared" si="397"/>
        <v>-33.13214285714286</v>
      </c>
      <c r="AP1146" s="26">
        <f t="shared" si="398"/>
        <v>-28.856106194690263</v>
      </c>
      <c r="AS1146" s="2">
        <v>44334</v>
      </c>
      <c r="AT1146">
        <v>20.3</v>
      </c>
      <c r="AU1146">
        <v>1</v>
      </c>
      <c r="AV1146">
        <v>4.5999999999999996</v>
      </c>
      <c r="AW1146">
        <v>3.2</v>
      </c>
      <c r="AX1146">
        <v>183.02</v>
      </c>
      <c r="AY1146">
        <v>0.1</v>
      </c>
      <c r="AZ1146">
        <v>3.1</v>
      </c>
      <c r="BA1146">
        <v>216.68119999999999</v>
      </c>
      <c r="BB1146">
        <v>80.030799999999999</v>
      </c>
      <c r="BC1146">
        <v>77.184399999999997</v>
      </c>
      <c r="BD1146">
        <v>3.8767999999999998</v>
      </c>
      <c r="BE1146">
        <v>24.7683</v>
      </c>
      <c r="BF1146">
        <v>-8.1231000000000009</v>
      </c>
      <c r="BG1146">
        <v>-12.191000000000001</v>
      </c>
      <c r="BH1146">
        <v>34.020000000000003</v>
      </c>
    </row>
    <row r="1147" spans="1:60" x14ac:dyDescent="0.25">
      <c r="A1147" s="2">
        <v>44354</v>
      </c>
      <c r="B1147">
        <v>21.3</v>
      </c>
      <c r="C1147">
        <v>85.4</v>
      </c>
      <c r="D1147">
        <v>6.2</v>
      </c>
      <c r="E1147">
        <v>1.3</v>
      </c>
      <c r="F1147">
        <v>193.27</v>
      </c>
      <c r="G1147">
        <v>0.2</v>
      </c>
      <c r="H1147">
        <v>3.1</v>
      </c>
      <c r="I1147">
        <v>282.30739999999997</v>
      </c>
      <c r="J1147">
        <v>81.920299999999997</v>
      </c>
      <c r="K1147">
        <v>135.91329999999999</v>
      </c>
      <c r="L1147">
        <v>4.0888999999999998</v>
      </c>
      <c r="M1147">
        <v>27.484500000000001</v>
      </c>
      <c r="N1147">
        <v>-5.1447000000000003</v>
      </c>
      <c r="O1147">
        <v>-10.6226</v>
      </c>
      <c r="P1147">
        <v>40.44</v>
      </c>
      <c r="S1147">
        <f t="shared" si="377"/>
        <v>842.48440000000005</v>
      </c>
      <c r="T1147">
        <f t="shared" si="378"/>
        <v>1.9968004319838677E-2</v>
      </c>
      <c r="U1147">
        <f t="shared" si="379"/>
        <v>8.005951027766306E-2</v>
      </c>
      <c r="V1147">
        <f t="shared" si="380"/>
        <v>5.8122829475586758E-3</v>
      </c>
      <c r="W1147">
        <f t="shared" si="381"/>
        <v>1.2187044890042385E-3</v>
      </c>
      <c r="X1147">
        <f t="shared" si="382"/>
        <v>0.18118385891526861</v>
      </c>
      <c r="Y1147">
        <f t="shared" si="383"/>
        <v>1.874929983083444E-4</v>
      </c>
      <c r="Z1147">
        <f t="shared" si="384"/>
        <v>2.9061414737793379E-3</v>
      </c>
      <c r="AA1147">
        <f t="shared" si="385"/>
        <v>0.26465330435316547</v>
      </c>
      <c r="AB1147">
        <f t="shared" si="386"/>
        <v>7.6797413346595317E-2</v>
      </c>
      <c r="AC1147">
        <f t="shared" si="387"/>
        <v>0.12741396063490751</v>
      </c>
      <c r="AD1147">
        <f t="shared" si="388"/>
        <v>3.8332006039149464E-3</v>
      </c>
      <c r="AE1147">
        <f t="shared" si="389"/>
        <v>2.5765756560028455E-2</v>
      </c>
      <c r="AG1147">
        <f t="shared" si="390"/>
        <v>-1.2230213108286703</v>
      </c>
      <c r="AH1147">
        <f t="shared" si="391"/>
        <v>0.31710175198144935</v>
      </c>
      <c r="AI1147">
        <f t="shared" si="392"/>
        <v>0.26229957084548083</v>
      </c>
      <c r="AK1147" s="26">
        <f t="shared" si="393"/>
        <v>2.6737269387239082E-2</v>
      </c>
      <c r="AL1147" s="26">
        <f t="shared" si="394"/>
        <v>-8.0122571538790432E-3</v>
      </c>
      <c r="AM1147" s="26">
        <f t="shared" si="395"/>
        <v>-5.1744483596143365E-3</v>
      </c>
      <c r="AN1147" s="26">
        <f t="shared" si="396"/>
        <v>-34.761428571428574</v>
      </c>
      <c r="AO1147" s="26">
        <f t="shared" si="397"/>
        <v>-33.006071428571424</v>
      </c>
      <c r="AP1147" s="26">
        <f t="shared" si="398"/>
        <v>-28.768407079646025</v>
      </c>
      <c r="AS1147" s="2">
        <v>44333</v>
      </c>
      <c r="AT1147">
        <v>19.8</v>
      </c>
      <c r="AU1147">
        <v>47.2</v>
      </c>
      <c r="AV1147">
        <v>1.3</v>
      </c>
      <c r="AW1147">
        <v>3.5</v>
      </c>
      <c r="AX1147">
        <v>190.53</v>
      </c>
      <c r="AY1147">
        <v>0.2</v>
      </c>
      <c r="AZ1147">
        <v>3.3</v>
      </c>
      <c r="BA1147">
        <v>194.535</v>
      </c>
      <c r="BB1147">
        <v>56.491399999999999</v>
      </c>
      <c r="BC1147">
        <v>77.407399999999996</v>
      </c>
      <c r="BD1147">
        <v>3.7570000000000001</v>
      </c>
      <c r="BE1147">
        <v>22.1112</v>
      </c>
      <c r="BF1147">
        <v>-10.228999999999999</v>
      </c>
      <c r="BG1147">
        <v>-12.6038</v>
      </c>
      <c r="BH1147">
        <v>33.880000000000003</v>
      </c>
    </row>
    <row r="1148" spans="1:60" x14ac:dyDescent="0.25">
      <c r="A1148" s="2">
        <v>44353</v>
      </c>
      <c r="B1148">
        <v>21.1</v>
      </c>
      <c r="C1148">
        <v>164</v>
      </c>
      <c r="D1148">
        <v>21.6</v>
      </c>
      <c r="E1148">
        <v>1.3</v>
      </c>
      <c r="F1148">
        <v>129.75</v>
      </c>
      <c r="G1148">
        <v>0.2</v>
      </c>
      <c r="H1148">
        <v>3.2</v>
      </c>
      <c r="I1148">
        <v>229.94220000000001</v>
      </c>
      <c r="J1148">
        <v>41.993699999999997</v>
      </c>
      <c r="K1148">
        <v>34.198799999999999</v>
      </c>
      <c r="L1148">
        <v>3.9352999999999998</v>
      </c>
      <c r="M1148">
        <v>11.111000000000001</v>
      </c>
      <c r="P1148">
        <v>40.119999999999997</v>
      </c>
      <c r="S1148">
        <f t="shared" si="377"/>
        <v>662.33100000000002</v>
      </c>
      <c r="T1148">
        <f t="shared" si="378"/>
        <v>1.9780511321530334E-2</v>
      </c>
      <c r="U1148">
        <f t="shared" si="379"/>
        <v>0.15374425861284238</v>
      </c>
      <c r="V1148">
        <f t="shared" si="380"/>
        <v>2.0249243817301196E-2</v>
      </c>
      <c r="W1148">
        <f t="shared" si="381"/>
        <v>1.2187044890042385E-3</v>
      </c>
      <c r="X1148">
        <f t="shared" si="382"/>
        <v>0.12163608265253842</v>
      </c>
      <c r="Y1148">
        <f t="shared" si="383"/>
        <v>1.874929983083444E-4</v>
      </c>
      <c r="Z1148">
        <f t="shared" si="384"/>
        <v>2.9998879729335104E-3</v>
      </c>
      <c r="AA1148">
        <f t="shared" si="385"/>
        <v>0.21556276257808493</v>
      </c>
      <c r="AB1148">
        <f t="shared" si="386"/>
        <v>3.9367623615305603E-2</v>
      </c>
      <c r="AC1148">
        <f t="shared" si="387"/>
        <v>3.2060177752737035E-2</v>
      </c>
      <c r="AD1148">
        <f t="shared" si="388"/>
        <v>3.6892059812141382E-3</v>
      </c>
      <c r="AE1148">
        <f t="shared" si="389"/>
        <v>1.0416173521020073E-2</v>
      </c>
      <c r="AG1148">
        <f t="shared" si="390"/>
        <v>-1.2431287992619806</v>
      </c>
      <c r="AH1148">
        <f t="shared" si="391"/>
        <v>0.33023235538547846</v>
      </c>
      <c r="AI1148">
        <f t="shared" si="392"/>
        <v>0.33814156473232554</v>
      </c>
      <c r="AK1148" s="26">
        <f t="shared" si="393"/>
        <v>2.6927963158875745E-2</v>
      </c>
      <c r="AL1148" s="26">
        <f t="shared" si="394"/>
        <v>-1.2008077801023198E-2</v>
      </c>
      <c r="AM1148" s="26">
        <f t="shared" si="395"/>
        <v>-4.202887849291792E-3</v>
      </c>
      <c r="AN1148" s="26">
        <f t="shared" si="396"/>
        <v>-34.769523809523818</v>
      </c>
      <c r="AO1148" s="26">
        <f t="shared" si="397"/>
        <v>-32.866964285714282</v>
      </c>
      <c r="AP1148" s="26">
        <f t="shared" si="398"/>
        <v>-28.675840707964618</v>
      </c>
      <c r="AS1148" s="2">
        <v>44332</v>
      </c>
      <c r="AT1148">
        <v>16.7</v>
      </c>
      <c r="AU1148">
        <v>0</v>
      </c>
      <c r="AV1148">
        <v>2.9</v>
      </c>
      <c r="AW1148">
        <v>3.2</v>
      </c>
      <c r="AX1148">
        <v>200.36</v>
      </c>
      <c r="AY1148">
        <v>0.2</v>
      </c>
      <c r="AZ1148">
        <v>3</v>
      </c>
      <c r="BA1148">
        <v>122.2971</v>
      </c>
      <c r="BB1148">
        <v>39.395400000000002</v>
      </c>
      <c r="BC1148">
        <v>34.944299999999998</v>
      </c>
      <c r="BD1148">
        <v>3.7797000000000001</v>
      </c>
      <c r="BE1148">
        <v>6.1725000000000003</v>
      </c>
      <c r="BH1148">
        <v>33.67</v>
      </c>
    </row>
    <row r="1149" spans="1:60" x14ac:dyDescent="0.25">
      <c r="A1149" s="2">
        <v>44352</v>
      </c>
      <c r="B1149">
        <v>21.6</v>
      </c>
      <c r="C1149">
        <v>387.5</v>
      </c>
      <c r="D1149">
        <v>11.8</v>
      </c>
      <c r="E1149">
        <v>0.7</v>
      </c>
      <c r="F1149">
        <v>193.52</v>
      </c>
      <c r="G1149">
        <v>0.2</v>
      </c>
      <c r="H1149">
        <v>3.3</v>
      </c>
      <c r="I1149">
        <v>248.31829999999999</v>
      </c>
      <c r="J1149">
        <v>39.4011</v>
      </c>
      <c r="K1149">
        <v>46.607300000000002</v>
      </c>
      <c r="L1149">
        <v>3.9188000000000001</v>
      </c>
      <c r="M1149">
        <v>22.8626</v>
      </c>
      <c r="P1149">
        <v>39.69</v>
      </c>
      <c r="S1149">
        <f t="shared" si="377"/>
        <v>979.72810000000015</v>
      </c>
      <c r="T1149">
        <f t="shared" si="378"/>
        <v>2.0249243817301196E-2</v>
      </c>
      <c r="U1149">
        <f t="shared" si="379"/>
        <v>0.36326768422241723</v>
      </c>
      <c r="V1149">
        <f t="shared" si="380"/>
        <v>1.1062086900192319E-2</v>
      </c>
      <c r="W1149">
        <f t="shared" si="381"/>
        <v>6.5622549407920526E-4</v>
      </c>
      <c r="X1149">
        <f t="shared" si="382"/>
        <v>0.18141822516315403</v>
      </c>
      <c r="Y1149">
        <f t="shared" si="383"/>
        <v>1.874929983083444E-4</v>
      </c>
      <c r="Z1149">
        <f t="shared" si="384"/>
        <v>3.0936344720876819E-3</v>
      </c>
      <c r="AA1149">
        <f t="shared" si="385"/>
        <v>0.23278971300915477</v>
      </c>
      <c r="AB1149">
        <f t="shared" si="386"/>
        <v>3.6937151878234542E-2</v>
      </c>
      <c r="AC1149">
        <f t="shared" si="387"/>
        <v>4.3692712100282499E-2</v>
      </c>
      <c r="AD1149">
        <f t="shared" si="388"/>
        <v>3.6737378088537E-3</v>
      </c>
      <c r="AE1149">
        <f t="shared" si="389"/>
        <v>2.143288711562177E-2</v>
      </c>
      <c r="AG1149">
        <f t="shared" si="390"/>
        <v>-1.2683731052255607</v>
      </c>
      <c r="AH1149">
        <f t="shared" si="391"/>
        <v>0.60136748018316177</v>
      </c>
      <c r="AI1149">
        <f t="shared" si="392"/>
        <v>1.9229699493773589</v>
      </c>
      <c r="AK1149" s="26">
        <f t="shared" si="393"/>
        <v>2.082352594288156E-2</v>
      </c>
      <c r="AL1149" s="26">
        <f t="shared" si="394"/>
        <v>-1.432017784246592E-2</v>
      </c>
      <c r="AM1149" s="26">
        <f t="shared" si="395"/>
        <v>-5.199906756247541E-3</v>
      </c>
      <c r="AN1149" s="26">
        <f t="shared" si="396"/>
        <v>-34.770476190476202</v>
      </c>
      <c r="AO1149" s="26">
        <f t="shared" si="397"/>
        <v>-32.716249999999995</v>
      </c>
      <c r="AP1149" s="26">
        <f t="shared" si="398"/>
        <v>-28.580353982300892</v>
      </c>
      <c r="AS1149" s="2">
        <v>44331</v>
      </c>
      <c r="AT1149">
        <v>17.600000000000001</v>
      </c>
      <c r="AU1149">
        <v>0</v>
      </c>
      <c r="AV1149">
        <v>6.3</v>
      </c>
      <c r="AW1149">
        <v>2.6</v>
      </c>
      <c r="AX1149">
        <v>178.15</v>
      </c>
      <c r="AY1149">
        <v>0.2</v>
      </c>
      <c r="AZ1149">
        <v>2.9</v>
      </c>
      <c r="BA1149">
        <v>158.4709</v>
      </c>
      <c r="BB1149">
        <v>36.988500000000002</v>
      </c>
      <c r="BC1149">
        <v>51.719499999999996</v>
      </c>
      <c r="BD1149">
        <v>3.7791999999999999</v>
      </c>
      <c r="BE1149">
        <v>10.725899999999999</v>
      </c>
      <c r="BH1149">
        <v>33.33</v>
      </c>
    </row>
    <row r="1150" spans="1:60" x14ac:dyDescent="0.25">
      <c r="A1150" s="2">
        <v>44351</v>
      </c>
      <c r="B1150">
        <v>20.6</v>
      </c>
      <c r="C1150">
        <v>356.7</v>
      </c>
      <c r="D1150">
        <v>11</v>
      </c>
      <c r="E1150">
        <v>1.3</v>
      </c>
      <c r="F1150">
        <v>218.69</v>
      </c>
      <c r="G1150">
        <v>0.2</v>
      </c>
      <c r="H1150">
        <v>3.8</v>
      </c>
      <c r="I1150">
        <v>247.86250000000001</v>
      </c>
      <c r="J1150">
        <v>63.6706</v>
      </c>
      <c r="K1150">
        <v>89.208500000000001</v>
      </c>
      <c r="L1150">
        <v>3.9355000000000002</v>
      </c>
      <c r="M1150">
        <v>29.278400000000001</v>
      </c>
      <c r="N1150">
        <v>-4.8822000000000001</v>
      </c>
      <c r="O1150">
        <v>-9.6524000000000001</v>
      </c>
      <c r="P1150">
        <v>39.26</v>
      </c>
      <c r="S1150">
        <f t="shared" si="377"/>
        <v>1046.2455</v>
      </c>
      <c r="T1150">
        <f t="shared" si="378"/>
        <v>1.9311778825759473E-2</v>
      </c>
      <c r="U1150">
        <f t="shared" si="379"/>
        <v>0.33439376248293218</v>
      </c>
      <c r="V1150">
        <f t="shared" si="380"/>
        <v>1.0312114906958941E-2</v>
      </c>
      <c r="W1150">
        <f t="shared" si="381"/>
        <v>1.2187044890042385E-3</v>
      </c>
      <c r="X1150">
        <f t="shared" si="382"/>
        <v>0.20501421900025915</v>
      </c>
      <c r="Y1150">
        <f t="shared" si="383"/>
        <v>1.874929983083444E-4</v>
      </c>
      <c r="Z1150">
        <f t="shared" si="384"/>
        <v>3.5623669678585433E-3</v>
      </c>
      <c r="AA1150">
        <f t="shared" si="385"/>
        <v>0.23236241646601005</v>
      </c>
      <c r="AB1150">
        <f t="shared" si="386"/>
        <v>5.9688958490456356E-2</v>
      </c>
      <c r="AC1150">
        <f t="shared" si="387"/>
        <v>8.3629845697949706E-2</v>
      </c>
      <c r="AD1150">
        <f t="shared" si="388"/>
        <v>3.6893934742124467E-3</v>
      </c>
      <c r="AE1150">
        <f t="shared" si="389"/>
        <v>2.7447475008355152E-2</v>
      </c>
      <c r="AG1150">
        <f t="shared" si="390"/>
        <v>-1.2937430223520183</v>
      </c>
      <c r="AH1150">
        <f t="shared" si="391"/>
        <v>0.60144791467943604</v>
      </c>
      <c r="AI1150">
        <f t="shared" si="392"/>
        <v>1.9388635438826856</v>
      </c>
      <c r="AK1150" s="26">
        <f t="shared" si="393"/>
        <v>-3.8608959982365798E-3</v>
      </c>
      <c r="AL1150" s="26">
        <f t="shared" si="394"/>
        <v>-2.2165589664475294E-2</v>
      </c>
      <c r="AM1150" s="26">
        <f t="shared" si="395"/>
        <v>-8.5402314075917474E-3</v>
      </c>
      <c r="AN1150" s="26">
        <f t="shared" si="396"/>
        <v>-34.767619047619036</v>
      </c>
      <c r="AO1150" s="26">
        <f t="shared" si="397"/>
        <v>-32.555535714285696</v>
      </c>
      <c r="AP1150" s="26">
        <f t="shared" si="398"/>
        <v>-28.480442477876103</v>
      </c>
      <c r="AS1150" s="2">
        <v>44330</v>
      </c>
      <c r="AT1150">
        <v>17.8</v>
      </c>
      <c r="AU1150">
        <v>49.2</v>
      </c>
      <c r="AV1150">
        <v>5.8</v>
      </c>
      <c r="AW1150">
        <v>2.2999999999999998</v>
      </c>
      <c r="AX1150">
        <v>183.25</v>
      </c>
      <c r="AY1150">
        <v>0.2</v>
      </c>
      <c r="AZ1150">
        <v>3</v>
      </c>
      <c r="BA1150">
        <v>171.92070000000001</v>
      </c>
      <c r="BB1150">
        <v>52.493200000000002</v>
      </c>
      <c r="BC1150">
        <v>60.101700000000001</v>
      </c>
      <c r="BD1150">
        <v>3.7265000000000001</v>
      </c>
      <c r="BE1150">
        <v>12.468999999999999</v>
      </c>
      <c r="BF1150">
        <v>-10.0732</v>
      </c>
      <c r="BG1150">
        <v>-12.3567</v>
      </c>
      <c r="BH1150">
        <v>33</v>
      </c>
    </row>
    <row r="1151" spans="1:60" x14ac:dyDescent="0.25">
      <c r="A1151" s="2">
        <v>44350</v>
      </c>
      <c r="B1151">
        <v>19.5</v>
      </c>
      <c r="C1151">
        <v>91.1</v>
      </c>
      <c r="D1151">
        <v>36.299999999999997</v>
      </c>
      <c r="E1151">
        <v>3.7</v>
      </c>
      <c r="F1151">
        <v>255.75</v>
      </c>
      <c r="G1151">
        <v>0.2</v>
      </c>
      <c r="H1151">
        <v>3.8</v>
      </c>
      <c r="I1151">
        <v>220.12119999999999</v>
      </c>
      <c r="J1151">
        <v>51.998399999999997</v>
      </c>
      <c r="K1151">
        <v>42.836100000000002</v>
      </c>
      <c r="L1151">
        <v>3.9209000000000001</v>
      </c>
      <c r="M1151">
        <v>24.476900000000001</v>
      </c>
      <c r="N1151">
        <v>-5.5956000000000001</v>
      </c>
      <c r="O1151">
        <v>-10.7319</v>
      </c>
      <c r="P1151">
        <v>38.869999999999997</v>
      </c>
      <c r="S1151">
        <f t="shared" si="377"/>
        <v>753.70349999999985</v>
      </c>
      <c r="T1151">
        <f t="shared" si="378"/>
        <v>1.8280567335063579E-2</v>
      </c>
      <c r="U1151">
        <f t="shared" si="379"/>
        <v>8.5403060729450864E-2</v>
      </c>
      <c r="V1151">
        <f t="shared" si="380"/>
        <v>3.40299791929645E-2</v>
      </c>
      <c r="W1151">
        <f t="shared" si="381"/>
        <v>3.4686204687043713E-3</v>
      </c>
      <c r="X1151">
        <f t="shared" si="382"/>
        <v>0.23975667158679537</v>
      </c>
      <c r="Y1151">
        <f t="shared" si="383"/>
        <v>1.874929983083444E-4</v>
      </c>
      <c r="Z1151">
        <f t="shared" si="384"/>
        <v>3.5623669678585433E-3</v>
      </c>
      <c r="AA1151">
        <f t="shared" si="385"/>
        <v>0.20635591889615368</v>
      </c>
      <c r="AB1151">
        <f t="shared" si="386"/>
        <v>4.8746679616183071E-2</v>
      </c>
      <c r="AC1151">
        <f t="shared" si="387"/>
        <v>4.0157344124180358E-2</v>
      </c>
      <c r="AD1151">
        <f t="shared" si="388"/>
        <v>3.6757064853359376E-3</v>
      </c>
      <c r="AE1151">
        <f t="shared" si="389"/>
        <v>2.2946236851467572E-2</v>
      </c>
      <c r="AG1151">
        <f t="shared" si="390"/>
        <v>-1.3174129122531335</v>
      </c>
      <c r="AH1151">
        <f t="shared" si="391"/>
        <v>0.4076349961306131</v>
      </c>
      <c r="AI1151">
        <f t="shared" si="392"/>
        <v>0.80918298728058613</v>
      </c>
      <c r="AK1151" s="26">
        <f t="shared" si="393"/>
        <v>-7.7121896764881237E-3</v>
      </c>
      <c r="AL1151" s="26">
        <f t="shared" si="394"/>
        <v>-2.4344310200201613E-2</v>
      </c>
      <c r="AM1151" s="26">
        <f t="shared" si="395"/>
        <v>-1.0337292893709632E-2</v>
      </c>
      <c r="AN1151" s="26">
        <f t="shared" si="396"/>
        <v>-34.762380952380944</v>
      </c>
      <c r="AO1151" s="26">
        <f t="shared" si="397"/>
        <v>-32.386249999999983</v>
      </c>
      <c r="AP1151" s="26">
        <f t="shared" si="398"/>
        <v>-28.376194690265486</v>
      </c>
      <c r="AS1151" s="2">
        <v>44329</v>
      </c>
      <c r="AT1151">
        <v>18</v>
      </c>
      <c r="AU1151">
        <v>16.399999999999999</v>
      </c>
      <c r="AV1151">
        <v>2.2999999999999998</v>
      </c>
      <c r="AW1151">
        <v>2.2999999999999998</v>
      </c>
      <c r="AX1151">
        <v>133.68</v>
      </c>
      <c r="AY1151">
        <v>0.2</v>
      </c>
      <c r="AZ1151">
        <v>2.9</v>
      </c>
      <c r="BA1151">
        <v>169.91149999999999</v>
      </c>
      <c r="BB1151">
        <v>44.338900000000002</v>
      </c>
      <c r="BC1151">
        <v>49.2637</v>
      </c>
      <c r="BD1151">
        <v>3.6871</v>
      </c>
      <c r="BE1151">
        <v>11.6021</v>
      </c>
      <c r="BF1151">
        <v>-9.7678999999999991</v>
      </c>
      <c r="BG1151">
        <v>-12.3886</v>
      </c>
      <c r="BH1151">
        <v>32.68</v>
      </c>
    </row>
    <row r="1152" spans="1:60" x14ac:dyDescent="0.25">
      <c r="A1152" s="2">
        <v>44349</v>
      </c>
      <c r="B1152">
        <v>19</v>
      </c>
      <c r="C1152">
        <v>57.4</v>
      </c>
      <c r="D1152">
        <v>48.1</v>
      </c>
      <c r="E1152">
        <v>4.0999999999999996</v>
      </c>
      <c r="F1152">
        <v>298.95</v>
      </c>
      <c r="G1152">
        <v>0.2</v>
      </c>
      <c r="H1152">
        <v>3.8</v>
      </c>
      <c r="I1152">
        <v>225.62690000000001</v>
      </c>
      <c r="J1152">
        <v>43.413899999999998</v>
      </c>
      <c r="K1152">
        <v>53.545400000000001</v>
      </c>
      <c r="L1152">
        <v>3.8715999999999999</v>
      </c>
      <c r="M1152">
        <v>21.751300000000001</v>
      </c>
      <c r="N1152">
        <v>-5.4661</v>
      </c>
      <c r="O1152">
        <v>-9.9550999999999998</v>
      </c>
      <c r="P1152">
        <v>38.47</v>
      </c>
      <c r="S1152">
        <f t="shared" si="377"/>
        <v>779.75909999999988</v>
      </c>
      <c r="T1152">
        <f t="shared" si="378"/>
        <v>1.7811834839292717E-2</v>
      </c>
      <c r="U1152">
        <f t="shared" si="379"/>
        <v>5.3810490514494838E-2</v>
      </c>
      <c r="V1152">
        <f t="shared" si="380"/>
        <v>4.5092066093156823E-2</v>
      </c>
      <c r="W1152">
        <f t="shared" si="381"/>
        <v>3.8436064653210593E-3</v>
      </c>
      <c r="X1152">
        <f t="shared" si="382"/>
        <v>0.28025515922139776</v>
      </c>
      <c r="Y1152">
        <f t="shared" si="383"/>
        <v>1.874929983083444E-4</v>
      </c>
      <c r="Z1152">
        <f t="shared" si="384"/>
        <v>3.5623669678585433E-3</v>
      </c>
      <c r="AA1152">
        <f t="shared" si="385"/>
        <v>0.21151731990008493</v>
      </c>
      <c r="AB1152">
        <f t="shared" si="386"/>
        <v>4.0699011396293158E-2</v>
      </c>
      <c r="AC1152">
        <f t="shared" si="387"/>
        <v>5.0196937958098119E-2</v>
      </c>
      <c r="AD1152">
        <f t="shared" si="388"/>
        <v>3.6294894612529304E-3</v>
      </c>
      <c r="AE1152">
        <f t="shared" si="389"/>
        <v>2.0391082270521457E-2</v>
      </c>
      <c r="AG1152">
        <f t="shared" si="390"/>
        <v>-1.3416752443404991</v>
      </c>
      <c r="AH1152">
        <f t="shared" si="391"/>
        <v>0.4249540993703515</v>
      </c>
      <c r="AI1152">
        <f t="shared" si="392"/>
        <v>0.90910676330455975</v>
      </c>
      <c r="AK1152" s="26">
        <f t="shared" si="393"/>
        <v>-1.5909396954886079E-2</v>
      </c>
      <c r="AL1152" s="26">
        <f t="shared" si="394"/>
        <v>-2.6497786142941515E-2</v>
      </c>
      <c r="AM1152" s="26">
        <f t="shared" si="395"/>
        <v>-1.1236400634026589E-2</v>
      </c>
      <c r="AN1152" s="26">
        <f t="shared" si="396"/>
        <v>-34.756666666666675</v>
      </c>
      <c r="AO1152" s="26">
        <f t="shared" si="397"/>
        <v>-32.206607142857138</v>
      </c>
      <c r="AP1152" s="26">
        <f t="shared" si="398"/>
        <v>-28.266017699115054</v>
      </c>
      <c r="AS1152" s="2">
        <v>44328</v>
      </c>
      <c r="AT1152">
        <v>18.600000000000001</v>
      </c>
      <c r="AU1152">
        <v>105.6</v>
      </c>
      <c r="AV1152">
        <v>8.6999999999999993</v>
      </c>
      <c r="AW1152">
        <v>3</v>
      </c>
      <c r="AX1152">
        <v>102.13</v>
      </c>
      <c r="AY1152">
        <v>0.2</v>
      </c>
      <c r="AZ1152">
        <v>3.1</v>
      </c>
      <c r="BA1152">
        <v>262.44380000000001</v>
      </c>
      <c r="BB1152">
        <v>88.660600000000002</v>
      </c>
      <c r="BC1152">
        <v>100.25830000000001</v>
      </c>
      <c r="BD1152">
        <v>3.6480000000000001</v>
      </c>
      <c r="BE1152">
        <v>16.952300000000001</v>
      </c>
      <c r="BF1152">
        <v>-10.0885</v>
      </c>
      <c r="BG1152">
        <v>-13.317399999999999</v>
      </c>
      <c r="BH1152">
        <v>32.36</v>
      </c>
    </row>
    <row r="1153" spans="1:60" x14ac:dyDescent="0.25">
      <c r="A1153" s="2">
        <v>44348</v>
      </c>
      <c r="B1153">
        <v>18.3</v>
      </c>
      <c r="C1153">
        <v>26.5</v>
      </c>
      <c r="D1153">
        <v>12</v>
      </c>
      <c r="E1153">
        <v>2.2000000000000002</v>
      </c>
      <c r="F1153">
        <v>303.44</v>
      </c>
      <c r="G1153">
        <v>0.2</v>
      </c>
      <c r="H1153">
        <v>3.4</v>
      </c>
      <c r="I1153">
        <v>244.6557</v>
      </c>
      <c r="J1153">
        <v>46.797699999999999</v>
      </c>
      <c r="K1153">
        <v>80.571200000000005</v>
      </c>
      <c r="L1153">
        <v>3.9094000000000002</v>
      </c>
      <c r="M1153">
        <v>25.500299999999999</v>
      </c>
      <c r="N1153">
        <v>-5.6352000000000002</v>
      </c>
      <c r="O1153">
        <v>-10.168900000000001</v>
      </c>
      <c r="P1153">
        <v>38.06</v>
      </c>
      <c r="S1153">
        <f t="shared" si="377"/>
        <v>767.47429999999997</v>
      </c>
      <c r="T1153">
        <f t="shared" si="378"/>
        <v>1.7155609345213513E-2</v>
      </c>
      <c r="U1153">
        <f t="shared" si="379"/>
        <v>2.4842822275855631E-2</v>
      </c>
      <c r="V1153">
        <f t="shared" si="380"/>
        <v>1.1249579898500664E-2</v>
      </c>
      <c r="W1153">
        <f t="shared" si="381"/>
        <v>2.0624229813917885E-3</v>
      </c>
      <c r="X1153">
        <f t="shared" si="382"/>
        <v>0.28446437703342009</v>
      </c>
      <c r="Y1153">
        <f t="shared" si="383"/>
        <v>1.874929983083444E-4</v>
      </c>
      <c r="Z1153">
        <f t="shared" si="384"/>
        <v>3.1873809712418544E-3</v>
      </c>
      <c r="AA1153">
        <f t="shared" si="385"/>
        <v>0.22935615373113405</v>
      </c>
      <c r="AB1153">
        <f t="shared" si="386"/>
        <v>4.3871205434672038E-2</v>
      </c>
      <c r="AC1153">
        <f t="shared" si="387"/>
        <v>7.5532679326506383E-2</v>
      </c>
      <c r="AD1153">
        <f t="shared" si="388"/>
        <v>3.6649256379332079E-3</v>
      </c>
      <c r="AE1153">
        <f t="shared" si="389"/>
        <v>2.3905638523811369E-2</v>
      </c>
      <c r="AG1153">
        <f t="shared" si="390"/>
        <v>-1.3665409330749081</v>
      </c>
      <c r="AH1153">
        <f t="shared" si="391"/>
        <v>0.36705532402774327</v>
      </c>
      <c r="AI1153">
        <f t="shared" si="392"/>
        <v>0.56904341154383931</v>
      </c>
      <c r="AK1153" s="26">
        <f t="shared" si="393"/>
        <v>-1.9832125465493289E-2</v>
      </c>
      <c r="AL1153" s="26">
        <f t="shared" si="394"/>
        <v>-3.0124684183110761E-2</v>
      </c>
      <c r="AM1153" s="26">
        <f t="shared" si="395"/>
        <v>-1.1939933266347125E-2</v>
      </c>
      <c r="AN1153" s="26">
        <f t="shared" si="396"/>
        <v>-34.75190476190474</v>
      </c>
      <c r="AO1153" s="26">
        <f t="shared" si="397"/>
        <v>-32.016607142857147</v>
      </c>
      <c r="AP1153" s="26">
        <f t="shared" si="398"/>
        <v>-28.149557522123892</v>
      </c>
      <c r="AS1153" s="2">
        <v>44327</v>
      </c>
      <c r="AT1153">
        <v>17.2</v>
      </c>
      <c r="AU1153">
        <v>4</v>
      </c>
      <c r="AV1153">
        <v>13.5</v>
      </c>
      <c r="AW1153">
        <v>2.8</v>
      </c>
      <c r="AX1153">
        <v>142.43</v>
      </c>
      <c r="AY1153">
        <v>0.2</v>
      </c>
      <c r="AZ1153">
        <v>3.4</v>
      </c>
      <c r="BA1153">
        <v>252.54810000000001</v>
      </c>
      <c r="BB1153">
        <v>108.8805</v>
      </c>
      <c r="BC1153">
        <v>101.9923</v>
      </c>
      <c r="BD1153">
        <v>3.6313</v>
      </c>
      <c r="BE1153">
        <v>23.063300000000002</v>
      </c>
      <c r="BF1153">
        <v>-8.5463000000000005</v>
      </c>
      <c r="BG1153">
        <v>-10.7744</v>
      </c>
      <c r="BH1153">
        <v>32.08</v>
      </c>
    </row>
    <row r="1154" spans="1:60" x14ac:dyDescent="0.25">
      <c r="A1154" s="2">
        <v>44347</v>
      </c>
      <c r="B1154">
        <v>17.7</v>
      </c>
      <c r="C1154">
        <v>12.6</v>
      </c>
      <c r="D1154">
        <v>5.0999999999999996</v>
      </c>
      <c r="E1154">
        <v>1.8</v>
      </c>
      <c r="F1154">
        <v>318.08999999999997</v>
      </c>
      <c r="G1154">
        <v>0.2</v>
      </c>
      <c r="H1154">
        <v>3.4</v>
      </c>
      <c r="I1154">
        <v>241.1789</v>
      </c>
      <c r="J1154">
        <v>47.135800000000003</v>
      </c>
      <c r="K1154">
        <v>77.979200000000006</v>
      </c>
      <c r="L1154">
        <v>3.8090999999999999</v>
      </c>
      <c r="M1154">
        <v>25.6145</v>
      </c>
      <c r="N1154">
        <v>-8.4381000000000004</v>
      </c>
      <c r="O1154">
        <v>-12.3567</v>
      </c>
      <c r="P1154">
        <v>37.700000000000003</v>
      </c>
      <c r="S1154">
        <f t="shared" ref="S1154:S1217" si="399">SUM(B1154:M1154)</f>
        <v>754.60749999999996</v>
      </c>
      <c r="T1154">
        <f t="shared" si="378"/>
        <v>1.6593130350288476E-2</v>
      </c>
      <c r="U1154">
        <f t="shared" si="379"/>
        <v>1.1812058893425697E-2</v>
      </c>
      <c r="V1154">
        <f t="shared" si="380"/>
        <v>4.7810714568627816E-3</v>
      </c>
      <c r="W1154">
        <f t="shared" si="381"/>
        <v>1.6874369847750994E-3</v>
      </c>
      <c r="X1154">
        <f t="shared" si="382"/>
        <v>0.29819823915950627</v>
      </c>
      <c r="Y1154">
        <f t="shared" si="383"/>
        <v>1.874929983083444E-4</v>
      </c>
      <c r="Z1154">
        <f t="shared" si="384"/>
        <v>3.1873809712418544E-3</v>
      </c>
      <c r="AA1154">
        <f t="shared" si="385"/>
        <v>0.22609677544854179</v>
      </c>
      <c r="AB1154">
        <f t="shared" si="386"/>
        <v>4.4188162348312299E-2</v>
      </c>
      <c r="AC1154">
        <f t="shared" si="387"/>
        <v>7.3102770068430245E-2</v>
      </c>
      <c r="AD1154">
        <f t="shared" si="388"/>
        <v>3.5708978992815728E-3</v>
      </c>
      <c r="AE1154">
        <f t="shared" si="389"/>
        <v>2.4012697025845436E-2</v>
      </c>
      <c r="AG1154">
        <f t="shared" si="390"/>
        <v>-1.3892485245623598</v>
      </c>
      <c r="AH1154">
        <f t="shared" si="391"/>
        <v>0.36045950784025393</v>
      </c>
      <c r="AI1154">
        <f t="shared" si="392"/>
        <v>0.53039788661824283</v>
      </c>
      <c r="AK1154" s="26">
        <f t="shared" si="393"/>
        <v>-2.5918643707791844E-2</v>
      </c>
      <c r="AL1154" s="26">
        <f t="shared" si="394"/>
        <v>-3.2264511640000548E-2</v>
      </c>
      <c r="AM1154" s="26">
        <f t="shared" si="395"/>
        <v>-1.2901343436694912E-2</v>
      </c>
      <c r="AN1154" s="26">
        <f t="shared" si="396"/>
        <v>-34.734761904761889</v>
      </c>
      <c r="AO1154" s="26">
        <f t="shared" si="397"/>
        <v>-31.812857142857141</v>
      </c>
      <c r="AP1154" s="26">
        <f t="shared" si="398"/>
        <v>-28.025929203539818</v>
      </c>
      <c r="AS1154" s="2">
        <v>44326</v>
      </c>
      <c r="AT1154">
        <v>14.1</v>
      </c>
      <c r="AU1154">
        <v>5.3</v>
      </c>
      <c r="AV1154">
        <v>33.1</v>
      </c>
      <c r="AW1154">
        <v>6.8</v>
      </c>
      <c r="AX1154">
        <v>213.85</v>
      </c>
      <c r="AY1154">
        <v>0.2</v>
      </c>
      <c r="AZ1154">
        <v>3.7</v>
      </c>
      <c r="BA1154">
        <v>159.0701</v>
      </c>
      <c r="BB1154">
        <v>65.599000000000004</v>
      </c>
      <c r="BC1154">
        <v>66.316199999999995</v>
      </c>
      <c r="BD1154">
        <v>3.5796000000000001</v>
      </c>
      <c r="BE1154">
        <v>24.082999999999998</v>
      </c>
      <c r="BF1154">
        <v>-8.7573000000000008</v>
      </c>
      <c r="BG1154">
        <v>-11.550599999999999</v>
      </c>
      <c r="BH1154">
        <v>31.77</v>
      </c>
    </row>
    <row r="1155" spans="1:60" x14ac:dyDescent="0.25">
      <c r="A1155" s="2">
        <v>44346</v>
      </c>
      <c r="B1155">
        <v>16.7</v>
      </c>
      <c r="C1155">
        <v>3</v>
      </c>
      <c r="D1155">
        <v>3.2</v>
      </c>
      <c r="E1155">
        <v>1.9</v>
      </c>
      <c r="F1155">
        <v>305.2</v>
      </c>
      <c r="G1155">
        <v>0.2</v>
      </c>
      <c r="H1155">
        <v>3</v>
      </c>
      <c r="I1155">
        <v>139.81360000000001</v>
      </c>
      <c r="J1155">
        <v>37.051900000000003</v>
      </c>
      <c r="K1155">
        <v>38.533000000000001</v>
      </c>
      <c r="L1155">
        <v>3.6959</v>
      </c>
      <c r="M1155">
        <v>9.5152999999999999</v>
      </c>
      <c r="P1155">
        <v>37.47</v>
      </c>
      <c r="S1155">
        <f t="shared" si="399"/>
        <v>561.80970000000002</v>
      </c>
      <c r="T1155">
        <f t="shared" si="378"/>
        <v>1.5655665358746754E-2</v>
      </c>
      <c r="U1155">
        <f t="shared" si="379"/>
        <v>2.8123949746251659E-3</v>
      </c>
      <c r="V1155">
        <f t="shared" si="380"/>
        <v>2.9998879729335104E-3</v>
      </c>
      <c r="W1155">
        <f t="shared" si="381"/>
        <v>1.7811834839292716E-3</v>
      </c>
      <c r="X1155">
        <f t="shared" si="382"/>
        <v>0.28611431541853349</v>
      </c>
      <c r="Y1155">
        <f t="shared" si="383"/>
        <v>1.874929983083444E-4</v>
      </c>
      <c r="Z1155">
        <f t="shared" si="384"/>
        <v>2.8123949746251659E-3</v>
      </c>
      <c r="AA1155">
        <f t="shared" si="385"/>
        <v>0.1310703553414177</v>
      </c>
      <c r="AB1155">
        <f t="shared" si="386"/>
        <v>3.4734859120104732E-2</v>
      </c>
      <c r="AC1155">
        <f t="shared" si="387"/>
        <v>3.6123338519077175E-2</v>
      </c>
      <c r="AD1155">
        <f t="shared" si="388"/>
        <v>3.4647768622390498E-3</v>
      </c>
      <c r="AE1155">
        <f t="shared" si="389"/>
        <v>8.9202606340169459E-3</v>
      </c>
      <c r="AG1155">
        <f t="shared" si="390"/>
        <v>-1.406087769477484</v>
      </c>
      <c r="AH1155">
        <f t="shared" si="391"/>
        <v>0.32128359581571864</v>
      </c>
      <c r="AI1155">
        <f t="shared" si="392"/>
        <v>0.30018804901969948</v>
      </c>
      <c r="AK1155" s="26">
        <f t="shared" si="393"/>
        <v>-2.6459444940817256E-2</v>
      </c>
      <c r="AL1155" s="26">
        <f t="shared" si="394"/>
        <v>-3.5590834967256679E-2</v>
      </c>
      <c r="AM1155" s="26">
        <f t="shared" si="395"/>
        <v>-1.3984629863248388E-2</v>
      </c>
      <c r="AN1155" s="26">
        <f t="shared" si="396"/>
        <v>-34.747142857142869</v>
      </c>
      <c r="AO1155" s="26">
        <f t="shared" si="397"/>
        <v>-31.615000000000006</v>
      </c>
      <c r="AP1155" s="26">
        <f t="shared" si="398"/>
        <v>-27.904867256637168</v>
      </c>
      <c r="AS1155" s="2">
        <v>44325</v>
      </c>
      <c r="AT1155">
        <v>12.4</v>
      </c>
      <c r="AU1155">
        <v>0</v>
      </c>
      <c r="AV1155">
        <v>41.1</v>
      </c>
      <c r="AW1155">
        <v>5.2</v>
      </c>
      <c r="AX1155">
        <v>285.08999999999997</v>
      </c>
      <c r="AY1155">
        <v>0.2</v>
      </c>
      <c r="AZ1155">
        <v>2.9</v>
      </c>
      <c r="BA1155">
        <v>75.159700000000001</v>
      </c>
      <c r="BB1155">
        <v>26.078700000000001</v>
      </c>
      <c r="BC1155">
        <v>26.917000000000002</v>
      </c>
      <c r="BD1155">
        <v>3.5846</v>
      </c>
      <c r="BE1155">
        <v>8.1278000000000006</v>
      </c>
      <c r="BH1155">
        <v>31.4</v>
      </c>
    </row>
    <row r="1156" spans="1:60" x14ac:dyDescent="0.25">
      <c r="A1156" s="2">
        <v>44345</v>
      </c>
      <c r="B1156">
        <v>16.5</v>
      </c>
      <c r="C1156">
        <v>25.4</v>
      </c>
      <c r="D1156">
        <v>10</v>
      </c>
      <c r="E1156">
        <v>1.9</v>
      </c>
      <c r="F1156">
        <v>245.89</v>
      </c>
      <c r="G1156">
        <v>0.2</v>
      </c>
      <c r="H1156">
        <v>3</v>
      </c>
      <c r="I1156">
        <v>220.887</v>
      </c>
      <c r="J1156">
        <v>40.891500000000001</v>
      </c>
      <c r="K1156">
        <v>49.219700000000003</v>
      </c>
      <c r="L1156">
        <v>3.6960000000000002</v>
      </c>
      <c r="M1156">
        <v>15.7334</v>
      </c>
      <c r="P1156">
        <v>37.04</v>
      </c>
      <c r="S1156">
        <f t="shared" si="399"/>
        <v>633.31759999999997</v>
      </c>
      <c r="T1156">
        <f t="shared" si="378"/>
        <v>1.5468172360438412E-2</v>
      </c>
      <c r="U1156">
        <f t="shared" si="379"/>
        <v>2.3811610785159736E-2</v>
      </c>
      <c r="V1156">
        <f t="shared" si="380"/>
        <v>9.3746499154172182E-3</v>
      </c>
      <c r="W1156">
        <f t="shared" si="381"/>
        <v>1.7811834839292716E-3</v>
      </c>
      <c r="X1156">
        <f t="shared" si="382"/>
        <v>0.23051326677019399</v>
      </c>
      <c r="Y1156">
        <f t="shared" si="383"/>
        <v>1.874929983083444E-4</v>
      </c>
      <c r="Z1156">
        <f t="shared" si="384"/>
        <v>2.8123949746251659E-3</v>
      </c>
      <c r="AA1156">
        <f t="shared" si="385"/>
        <v>0.20707382958667633</v>
      </c>
      <c r="AB1156">
        <f t="shared" si="386"/>
        <v>3.8334349701628322E-2</v>
      </c>
      <c r="AC1156">
        <f t="shared" si="387"/>
        <v>4.6141745644186091E-2</v>
      </c>
      <c r="AD1156">
        <f t="shared" si="388"/>
        <v>3.4648706087382045E-3</v>
      </c>
      <c r="AE1156">
        <f t="shared" si="389"/>
        <v>1.4749511697922527E-2</v>
      </c>
      <c r="AG1156">
        <f t="shared" si="390"/>
        <v>-1.4321745304749052</v>
      </c>
      <c r="AH1156">
        <f t="shared" si="391"/>
        <v>0.29869828298599466</v>
      </c>
      <c r="AI1156">
        <f t="shared" si="392"/>
        <v>0.16755062713723601</v>
      </c>
      <c r="AK1156" s="26">
        <f t="shared" si="393"/>
        <v>-2.0799058106602375E-2</v>
      </c>
      <c r="AL1156" s="26">
        <f t="shared" si="394"/>
        <v>-3.3663961053418734E-2</v>
      </c>
      <c r="AM1156" s="26">
        <f t="shared" si="395"/>
        <v>-1.3339743547491678E-2</v>
      </c>
      <c r="AN1156" s="26">
        <f t="shared" si="396"/>
        <v>-34.722380952380959</v>
      </c>
      <c r="AO1156" s="26">
        <f t="shared" si="397"/>
        <v>-31.405357142857145</v>
      </c>
      <c r="AP1156" s="26">
        <f t="shared" si="398"/>
        <v>-27.777876106194682</v>
      </c>
      <c r="AS1156" s="2">
        <v>44324</v>
      </c>
      <c r="AT1156">
        <v>14.8</v>
      </c>
      <c r="AU1156">
        <v>0</v>
      </c>
      <c r="AV1156">
        <v>29.4</v>
      </c>
      <c r="AW1156">
        <v>2.4</v>
      </c>
      <c r="AX1156">
        <v>250.63</v>
      </c>
      <c r="AY1156">
        <v>0.2</v>
      </c>
      <c r="AZ1156">
        <v>3.5</v>
      </c>
      <c r="BA1156">
        <v>141.26060000000001</v>
      </c>
      <c r="BB1156">
        <v>43.718800000000002</v>
      </c>
      <c r="BC1156">
        <v>58.440899999999999</v>
      </c>
      <c r="BD1156">
        <v>3.7604000000000002</v>
      </c>
      <c r="BE1156">
        <v>22.596299999999999</v>
      </c>
      <c r="BH1156">
        <v>30.99</v>
      </c>
    </row>
    <row r="1157" spans="1:60" x14ac:dyDescent="0.25">
      <c r="A1157" s="2">
        <v>44344</v>
      </c>
      <c r="B1157">
        <v>18.3</v>
      </c>
      <c r="C1157">
        <v>103.7</v>
      </c>
      <c r="D1157">
        <v>12</v>
      </c>
      <c r="E1157">
        <v>2.2000000000000002</v>
      </c>
      <c r="F1157">
        <v>217.34</v>
      </c>
      <c r="G1157">
        <v>0.2</v>
      </c>
      <c r="H1157">
        <v>3.4</v>
      </c>
      <c r="I1157">
        <v>244.6557</v>
      </c>
      <c r="J1157">
        <v>46.797699999999999</v>
      </c>
      <c r="K1157">
        <v>80.571200000000005</v>
      </c>
      <c r="L1157">
        <v>3.9094000000000002</v>
      </c>
      <c r="M1157">
        <v>25.500299999999999</v>
      </c>
      <c r="N1157">
        <v>-7.5125000000000002</v>
      </c>
      <c r="O1157">
        <v>-13.229200000000001</v>
      </c>
      <c r="P1157">
        <v>36.630000000000003</v>
      </c>
      <c r="S1157">
        <f t="shared" si="399"/>
        <v>758.57429999999988</v>
      </c>
      <c r="T1157">
        <f t="shared" ref="T1157:T1220" si="400">B1157/$S$4</f>
        <v>1.7155609345213513E-2</v>
      </c>
      <c r="U1157">
        <f t="shared" ref="U1157:U1220" si="401">C1157/$S$4</f>
        <v>9.7215119622876559E-2</v>
      </c>
      <c r="V1157">
        <f t="shared" ref="V1157:V1220" si="402">D1157/$S$4</f>
        <v>1.1249579898500664E-2</v>
      </c>
      <c r="W1157">
        <f t="shared" ref="W1157:W1220" si="403">E1157/$S$4</f>
        <v>2.0624229813917885E-3</v>
      </c>
      <c r="X1157">
        <f t="shared" ref="X1157:X1220" si="404">F1157/$S$4</f>
        <v>0.20374864126167785</v>
      </c>
      <c r="Y1157">
        <f t="shared" ref="Y1157:Y1220" si="405">G1157/$S$4</f>
        <v>1.874929983083444E-4</v>
      </c>
      <c r="Z1157">
        <f t="shared" ref="Z1157:Z1220" si="406">H1157/$S$4</f>
        <v>3.1873809712418544E-3</v>
      </c>
      <c r="AA1157">
        <f t="shared" ref="AA1157:AA1220" si="407">I1157/$S$4</f>
        <v>0.22935615373113405</v>
      </c>
      <c r="AB1157">
        <f t="shared" ref="AB1157:AB1220" si="408">J1157/$S$4</f>
        <v>4.3871205434672038E-2</v>
      </c>
      <c r="AC1157">
        <f t="shared" ref="AC1157:AC1220" si="409">K1157/$S$4</f>
        <v>7.5532679326506383E-2</v>
      </c>
      <c r="AD1157">
        <f t="shared" ref="AD1157:AD1220" si="410">L1157/$S$4</f>
        <v>3.6649256379332079E-3</v>
      </c>
      <c r="AE1157">
        <f t="shared" ref="AE1157:AE1220" si="411">M1157/$S$4</f>
        <v>2.3905638523811369E-2</v>
      </c>
      <c r="AG1157">
        <f t="shared" ref="AG1157:AG1220" si="412">(P1157-AVERAGE(P1157:P1521)) / _xlfn.STDEV.S(P1157:P2984)</f>
        <v>-1.4575951039669193</v>
      </c>
      <c r="AH1157">
        <f t="shared" ref="AH1157:AH1220" si="413">SUM(T1157:Y1157,Z1157,AE1157)</f>
        <v>0.35871188560302197</v>
      </c>
      <c r="AI1157">
        <f t="shared" ref="AI1157:AI1220" si="414">(AH1157-AVERAGE(AH1157:AH1521))/_xlfn.STDEV.S(AH1157:AH1521)</f>
        <v>0.51983943964697432</v>
      </c>
      <c r="AK1157" s="26">
        <f t="shared" ref="AK1157:AK1220" si="415">AVERAGEA(AH1157:AH1177)-AVERAGE(AH1523:AH1543, AH1888:AH1908, AH2253:AH2273)</f>
        <v>-2.2156721692067061E-2</v>
      </c>
      <c r="AL1157" s="26">
        <f t="shared" ref="AL1157:AL1220" si="416">AVERAGEA(AH1157:AH1212)-AVERAGE(AH1523:AH1578, AH1888:AH1942, AH2253:AH2307)</f>
        <v>-3.3990446629080129E-2</v>
      </c>
      <c r="AM1157" s="26">
        <f t="shared" ref="AM1157:AM1220" si="417">AVERAGEA(AH1157:AH1269)-AVERAGE(AH1523:AH1635,AH1888:AH1999,AH2253:AH2364)</f>
        <v>-1.305274237359888E-2</v>
      </c>
      <c r="AN1157" s="26">
        <f t="shared" ref="AN1157:AN1220" si="418">AVERAGEA(P1157:P1177)-AVERAGE(P1523:P1543, P1888:P1908, P2253:P2273)</f>
        <v>-34.689523809523827</v>
      </c>
      <c r="AO1157" s="26">
        <f t="shared" ref="AO1157:AO1220" si="419">AVERAGEA(P1157:P1212)-AVERAGE(P1523:P1578, P1888:P1942, P2253:P2307)</f>
        <v>-31.195000000000014</v>
      </c>
      <c r="AP1157" s="26">
        <f t="shared" ref="AP1157:AP1220" si="420">AVERAGEA(P1157:P1269)-AVERAGE(P1523:P1635,P1888:P1999,P2253:P2364)</f>
        <v>-27.65168141592919</v>
      </c>
      <c r="AS1157" s="2">
        <v>44323</v>
      </c>
      <c r="AT1157">
        <v>15.7</v>
      </c>
      <c r="AU1157">
        <v>0</v>
      </c>
      <c r="AV1157">
        <v>32.4</v>
      </c>
      <c r="AW1157">
        <v>6.2</v>
      </c>
      <c r="AX1157">
        <v>184.06</v>
      </c>
      <c r="AY1157">
        <v>0.2</v>
      </c>
      <c r="AZ1157">
        <v>3.4</v>
      </c>
      <c r="BA1157">
        <v>224.27619999999999</v>
      </c>
      <c r="BB1157">
        <v>103.5873</v>
      </c>
      <c r="BC1157">
        <v>110.6527</v>
      </c>
      <c r="BD1157">
        <v>3.5510000000000002</v>
      </c>
      <c r="BE1157">
        <v>23.138000000000002</v>
      </c>
      <c r="BF1157">
        <v>-7.1254</v>
      </c>
      <c r="BG1157">
        <v>-10.6275</v>
      </c>
      <c r="BH1157">
        <v>30.71</v>
      </c>
    </row>
    <row r="1158" spans="1:60" x14ac:dyDescent="0.25">
      <c r="A1158" s="2">
        <v>44343</v>
      </c>
      <c r="B1158">
        <v>19.100000000000001</v>
      </c>
      <c r="C1158">
        <v>30.8</v>
      </c>
      <c r="D1158">
        <v>39.6</v>
      </c>
      <c r="E1158">
        <v>7.2</v>
      </c>
      <c r="F1158">
        <v>147.80000000000001</v>
      </c>
      <c r="G1158">
        <v>0.2</v>
      </c>
      <c r="H1158">
        <v>3.1</v>
      </c>
      <c r="I1158">
        <v>260.4128</v>
      </c>
      <c r="J1158">
        <v>86.911500000000004</v>
      </c>
      <c r="K1158">
        <v>82.476100000000002</v>
      </c>
      <c r="L1158">
        <v>3.157</v>
      </c>
      <c r="M1158">
        <v>20.903199999999998</v>
      </c>
      <c r="N1158">
        <v>-6.8224999999999998</v>
      </c>
      <c r="O1158">
        <v>-11.557</v>
      </c>
      <c r="P1158">
        <v>36.380000000000003</v>
      </c>
      <c r="S1158">
        <f t="shared" si="399"/>
        <v>701.66060000000004</v>
      </c>
      <c r="T1158">
        <f t="shared" si="400"/>
        <v>1.7905581338446889E-2</v>
      </c>
      <c r="U1158">
        <f t="shared" si="401"/>
        <v>2.8873921739485036E-2</v>
      </c>
      <c r="V1158">
        <f t="shared" si="402"/>
        <v>3.7123613665052187E-2</v>
      </c>
      <c r="W1158">
        <f t="shared" si="403"/>
        <v>6.7497479391003977E-3</v>
      </c>
      <c r="X1158">
        <f t="shared" si="404"/>
        <v>0.13855732574986651</v>
      </c>
      <c r="Y1158">
        <f t="shared" si="405"/>
        <v>1.874929983083444E-4</v>
      </c>
      <c r="Z1158">
        <f t="shared" si="406"/>
        <v>2.9061414737793379E-3</v>
      </c>
      <c r="AA1158">
        <f t="shared" si="407"/>
        <v>0.24412788334935612</v>
      </c>
      <c r="AB1158">
        <f t="shared" si="408"/>
        <v>8.147648861237837E-2</v>
      </c>
      <c r="AC1158">
        <f t="shared" si="409"/>
        <v>7.7318456388894216E-2</v>
      </c>
      <c r="AD1158">
        <f t="shared" si="410"/>
        <v>2.959576978297216E-3</v>
      </c>
      <c r="AE1158">
        <f t="shared" si="411"/>
        <v>1.9596018211194919E-2</v>
      </c>
      <c r="AG1158">
        <f t="shared" si="412"/>
        <v>-1.4757596090587377</v>
      </c>
      <c r="AH1158">
        <f t="shared" si="413"/>
        <v>0.25189984311523361</v>
      </c>
      <c r="AI1158">
        <f t="shared" si="414"/>
        <v>-0.11042845405604965</v>
      </c>
      <c r="AK1158" s="26">
        <f t="shared" si="415"/>
        <v>-2.7512544007005979E-2</v>
      </c>
      <c r="AL1158" s="26">
        <f t="shared" si="416"/>
        <v>-3.6922688132650761E-2</v>
      </c>
      <c r="AM1158" s="26">
        <f t="shared" si="417"/>
        <v>-1.3267499010860329E-2</v>
      </c>
      <c r="AN1158" s="26">
        <f t="shared" si="418"/>
        <v>-34.646190476190483</v>
      </c>
      <c r="AO1158" s="26">
        <f t="shared" si="419"/>
        <v>-30.986428571428576</v>
      </c>
      <c r="AP1158" s="26">
        <f t="shared" si="420"/>
        <v>-27.524424778761052</v>
      </c>
      <c r="AS1158" s="2">
        <v>44322</v>
      </c>
      <c r="AT1158">
        <v>14.5</v>
      </c>
      <c r="AU1158">
        <v>1.6</v>
      </c>
      <c r="AV1158">
        <v>32.299999999999997</v>
      </c>
      <c r="AW1158">
        <v>6.6</v>
      </c>
      <c r="AX1158">
        <v>151.5</v>
      </c>
      <c r="AY1158">
        <v>0.2</v>
      </c>
      <c r="AZ1158">
        <v>3.2</v>
      </c>
      <c r="BA1158">
        <v>207.33330000000001</v>
      </c>
      <c r="BB1158">
        <v>112.3293</v>
      </c>
      <c r="BC1158">
        <v>137.87970000000001</v>
      </c>
      <c r="BD1158">
        <v>3.5794000000000001</v>
      </c>
      <c r="BE1158">
        <v>24.817</v>
      </c>
      <c r="BF1158">
        <v>-7.5166000000000004</v>
      </c>
      <c r="BG1158">
        <v>-10.177899999999999</v>
      </c>
      <c r="BH1158">
        <v>30.67</v>
      </c>
    </row>
    <row r="1159" spans="1:60" x14ac:dyDescent="0.25">
      <c r="A1159" s="2">
        <v>44342</v>
      </c>
      <c r="B1159">
        <v>20.5</v>
      </c>
      <c r="C1159">
        <v>2.2000000000000002</v>
      </c>
      <c r="D1159">
        <v>42</v>
      </c>
      <c r="E1159">
        <v>9.5</v>
      </c>
      <c r="F1159">
        <v>147.44999999999999</v>
      </c>
      <c r="G1159">
        <v>0.2</v>
      </c>
      <c r="H1159">
        <v>3.1</v>
      </c>
      <c r="I1159">
        <v>217.6412</v>
      </c>
      <c r="J1159">
        <v>65.995500000000007</v>
      </c>
      <c r="K1159">
        <v>55.046799999999998</v>
      </c>
      <c r="L1159">
        <v>2.706</v>
      </c>
      <c r="M1159">
        <v>21.58</v>
      </c>
      <c r="N1159">
        <v>-9.1672999999999991</v>
      </c>
      <c r="O1159">
        <v>-12.606</v>
      </c>
      <c r="P1159">
        <v>36.22</v>
      </c>
      <c r="S1159">
        <f t="shared" si="399"/>
        <v>587.91949999999997</v>
      </c>
      <c r="T1159">
        <f t="shared" si="400"/>
        <v>1.9218032326605298E-2</v>
      </c>
      <c r="U1159">
        <f t="shared" si="401"/>
        <v>2.0624229813917885E-3</v>
      </c>
      <c r="V1159">
        <f t="shared" si="402"/>
        <v>3.9373529644752318E-2</v>
      </c>
      <c r="W1159">
        <f t="shared" si="403"/>
        <v>8.9059174196463586E-3</v>
      </c>
      <c r="X1159">
        <f t="shared" si="404"/>
        <v>0.1382292130028269</v>
      </c>
      <c r="Y1159">
        <f t="shared" si="405"/>
        <v>1.874929983083444E-4</v>
      </c>
      <c r="Z1159">
        <f t="shared" si="406"/>
        <v>2.9061414737793379E-3</v>
      </c>
      <c r="AA1159">
        <f t="shared" si="407"/>
        <v>0.2040310057171302</v>
      </c>
      <c r="AB1159">
        <f t="shared" si="408"/>
        <v>6.1868470849291715E-2</v>
      </c>
      <c r="AC1159">
        <f t="shared" si="409"/>
        <v>5.1604447896398856E-2</v>
      </c>
      <c r="AD1159">
        <f t="shared" si="410"/>
        <v>2.5367802671118996E-3</v>
      </c>
      <c r="AE1159">
        <f t="shared" si="411"/>
        <v>2.0230494517470356E-2</v>
      </c>
      <c r="AG1159">
        <f t="shared" si="412"/>
        <v>-1.4898523305209479</v>
      </c>
      <c r="AH1159">
        <f t="shared" si="413"/>
        <v>0.2311132443647807</v>
      </c>
      <c r="AI1159">
        <f t="shared" si="414"/>
        <v>-0.23421909798729998</v>
      </c>
      <c r="AK1159" s="26">
        <f t="shared" si="415"/>
        <v>-2.725231265359207E-2</v>
      </c>
      <c r="AL1159" s="26">
        <f t="shared" si="416"/>
        <v>-3.4741469922339785E-2</v>
      </c>
      <c r="AM1159" s="26">
        <f t="shared" si="417"/>
        <v>-1.4896603273555548E-2</v>
      </c>
      <c r="AN1159" s="26">
        <f t="shared" si="418"/>
        <v>-34.588571428571441</v>
      </c>
      <c r="AO1159" s="26">
        <f t="shared" si="419"/>
        <v>-30.776071428571431</v>
      </c>
      <c r="AP1159" s="26">
        <f t="shared" si="420"/>
        <v>-27.39619469026546</v>
      </c>
      <c r="AS1159" s="2">
        <v>44321</v>
      </c>
      <c r="AT1159">
        <v>12.8</v>
      </c>
      <c r="AU1159">
        <v>66.8</v>
      </c>
      <c r="AV1159">
        <v>52.6</v>
      </c>
      <c r="AW1159">
        <v>16.600000000000001</v>
      </c>
      <c r="AX1159">
        <v>180.37</v>
      </c>
      <c r="AY1159">
        <v>0.2</v>
      </c>
      <c r="AZ1159">
        <v>3.1</v>
      </c>
      <c r="BA1159">
        <v>136.27260000000001</v>
      </c>
      <c r="BB1159">
        <v>49.508899999999997</v>
      </c>
      <c r="BC1159">
        <v>57.180999999999997</v>
      </c>
      <c r="BD1159">
        <v>3.7515000000000001</v>
      </c>
      <c r="BE1159">
        <v>25.048100000000002</v>
      </c>
      <c r="BF1159">
        <v>-12.5707</v>
      </c>
      <c r="BG1159">
        <v>-15.1478</v>
      </c>
      <c r="BH1159">
        <v>30.67</v>
      </c>
    </row>
    <row r="1160" spans="1:60" x14ac:dyDescent="0.25">
      <c r="A1160" s="2">
        <v>44341</v>
      </c>
      <c r="B1160">
        <v>19.8</v>
      </c>
      <c r="C1160">
        <v>148</v>
      </c>
      <c r="D1160">
        <v>15.3</v>
      </c>
      <c r="E1160">
        <v>8.4</v>
      </c>
      <c r="F1160">
        <v>183.29</v>
      </c>
      <c r="G1160">
        <v>0.1</v>
      </c>
      <c r="H1160">
        <v>3.1</v>
      </c>
      <c r="I1160">
        <v>184.52549999999999</v>
      </c>
      <c r="J1160">
        <v>51.484400000000001</v>
      </c>
      <c r="K1160">
        <v>47.927399999999999</v>
      </c>
      <c r="L1160">
        <v>3.7075</v>
      </c>
      <c r="M1160">
        <v>27.6204</v>
      </c>
      <c r="N1160">
        <v>-9.0669000000000004</v>
      </c>
      <c r="O1160">
        <v>-12.452500000000001</v>
      </c>
      <c r="P1160">
        <v>36.03</v>
      </c>
      <c r="S1160">
        <f t="shared" si="399"/>
        <v>693.25520000000017</v>
      </c>
      <c r="T1160">
        <f t="shared" si="400"/>
        <v>1.8561806832526093E-2</v>
      </c>
      <c r="U1160">
        <f t="shared" si="401"/>
        <v>0.13874481874817485</v>
      </c>
      <c r="V1160">
        <f t="shared" si="402"/>
        <v>1.4343214370588346E-2</v>
      </c>
      <c r="W1160">
        <f t="shared" si="403"/>
        <v>7.8747059289504644E-3</v>
      </c>
      <c r="X1160">
        <f t="shared" si="404"/>
        <v>0.1718279582996822</v>
      </c>
      <c r="Y1160">
        <f t="shared" si="405"/>
        <v>9.3746499154172199E-5</v>
      </c>
      <c r="Z1160">
        <f t="shared" si="406"/>
        <v>2.9061414737793379E-3</v>
      </c>
      <c r="AA1160">
        <f t="shared" si="407"/>
        <v>0.17298619629673201</v>
      </c>
      <c r="AB1160">
        <f t="shared" si="408"/>
        <v>4.8264822610530625E-2</v>
      </c>
      <c r="AC1160">
        <f t="shared" si="409"/>
        <v>4.4930259635616719E-2</v>
      </c>
      <c r="AD1160">
        <f t="shared" si="410"/>
        <v>3.4756514561409338E-3</v>
      </c>
      <c r="AE1160">
        <f t="shared" si="411"/>
        <v>2.5893158052378976E-2</v>
      </c>
      <c r="AG1160">
        <f t="shared" si="412"/>
        <v>-1.5054248795571097</v>
      </c>
      <c r="AH1160">
        <f t="shared" si="413"/>
        <v>0.38024555020523437</v>
      </c>
      <c r="AI1160">
        <f t="shared" si="414"/>
        <v>0.64405900165077012</v>
      </c>
      <c r="AK1160" s="26">
        <f t="shared" si="415"/>
        <v>-1.6545230353339657E-2</v>
      </c>
      <c r="AL1160" s="26">
        <f t="shared" si="416"/>
        <v>-3.2929159252602092E-2</v>
      </c>
      <c r="AM1160" s="26">
        <f t="shared" si="417"/>
        <v>-1.3972745627846839E-2</v>
      </c>
      <c r="AN1160" s="26">
        <f t="shared" si="418"/>
        <v>-34.523809523809518</v>
      </c>
      <c r="AO1160" s="26">
        <f t="shared" si="419"/>
        <v>-30.58410714285715</v>
      </c>
      <c r="AP1160" s="26">
        <f t="shared" si="420"/>
        <v>-27.268407079645989</v>
      </c>
      <c r="AS1160" s="2">
        <v>44320</v>
      </c>
      <c r="AT1160">
        <v>13.1</v>
      </c>
      <c r="AU1160">
        <v>6.5</v>
      </c>
      <c r="AV1160">
        <v>55.1</v>
      </c>
      <c r="AW1160">
        <v>16.3</v>
      </c>
      <c r="AX1160">
        <v>142.57</v>
      </c>
      <c r="AY1160">
        <v>0.1</v>
      </c>
      <c r="AZ1160">
        <v>3.1</v>
      </c>
      <c r="BA1160">
        <v>98.740700000000004</v>
      </c>
      <c r="BB1160">
        <v>55.947099999999999</v>
      </c>
      <c r="BC1160">
        <v>49.526200000000003</v>
      </c>
      <c r="BD1160">
        <v>3.6008</v>
      </c>
      <c r="BE1160">
        <v>19.651399999999999</v>
      </c>
      <c r="BF1160">
        <v>-7.5290999999999997</v>
      </c>
      <c r="BG1160">
        <v>-10.6012</v>
      </c>
      <c r="BH1160">
        <v>30.64</v>
      </c>
    </row>
    <row r="1161" spans="1:60" x14ac:dyDescent="0.25">
      <c r="A1161" s="2">
        <v>44340</v>
      </c>
      <c r="B1161">
        <v>18.899999999999999</v>
      </c>
      <c r="C1161">
        <v>12.9</v>
      </c>
      <c r="D1161">
        <v>36.299999999999997</v>
      </c>
      <c r="E1161">
        <v>7.5</v>
      </c>
      <c r="F1161">
        <v>202.45</v>
      </c>
      <c r="G1161">
        <v>0.2</v>
      </c>
      <c r="H1161">
        <v>2.8</v>
      </c>
      <c r="I1161">
        <v>98.561499999999995</v>
      </c>
      <c r="J1161">
        <v>39.028500000000001</v>
      </c>
      <c r="K1161">
        <v>23.068899999999999</v>
      </c>
      <c r="L1161">
        <v>3.7372000000000001</v>
      </c>
      <c r="M1161">
        <v>21.417200000000001</v>
      </c>
      <c r="N1161">
        <v>-7.9332000000000003</v>
      </c>
      <c r="O1161">
        <v>-13.1738</v>
      </c>
      <c r="P1161">
        <v>35.799999999999997</v>
      </c>
      <c r="S1161">
        <f t="shared" si="399"/>
        <v>466.86329999999992</v>
      </c>
      <c r="T1161">
        <f t="shared" si="400"/>
        <v>1.7718088340138542E-2</v>
      </c>
      <c r="U1161">
        <f t="shared" si="401"/>
        <v>1.2093298390888213E-2</v>
      </c>
      <c r="V1161">
        <f t="shared" si="402"/>
        <v>3.40299791929645E-2</v>
      </c>
      <c r="W1161">
        <f t="shared" si="403"/>
        <v>7.0309874365629141E-3</v>
      </c>
      <c r="X1161">
        <f t="shared" si="404"/>
        <v>0.1897897875376216</v>
      </c>
      <c r="Y1161">
        <f t="shared" si="405"/>
        <v>1.874929983083444E-4</v>
      </c>
      <c r="Z1161">
        <f t="shared" si="406"/>
        <v>2.624901976316821E-3</v>
      </c>
      <c r="AA1161">
        <f t="shared" si="407"/>
        <v>9.2397955763839426E-2</v>
      </c>
      <c r="AB1161">
        <f t="shared" si="408"/>
        <v>3.6587852422386095E-2</v>
      </c>
      <c r="AC1161">
        <f t="shared" si="409"/>
        <v>2.1626286143376829E-2</v>
      </c>
      <c r="AD1161">
        <f t="shared" si="410"/>
        <v>3.5034941663897234E-3</v>
      </c>
      <c r="AE1161">
        <f t="shared" si="411"/>
        <v>2.0077875216847368E-2</v>
      </c>
      <c r="AG1161">
        <f t="shared" si="412"/>
        <v>-1.5229476026187856</v>
      </c>
      <c r="AH1161">
        <f t="shared" si="413"/>
        <v>0.28355241108964824</v>
      </c>
      <c r="AI1161">
        <f t="shared" si="414"/>
        <v>7.3856659212658771E-2</v>
      </c>
      <c r="AK1161" s="26">
        <f t="shared" si="415"/>
        <v>-2.4886244761440079E-2</v>
      </c>
      <c r="AL1161" s="26">
        <f t="shared" si="416"/>
        <v>-3.0883603944879545E-2</v>
      </c>
      <c r="AM1161" s="26">
        <f t="shared" si="417"/>
        <v>-1.5406093926467551E-2</v>
      </c>
      <c r="AN1161" s="26">
        <f t="shared" si="418"/>
        <v>-34.45095238095238</v>
      </c>
      <c r="AO1161" s="26">
        <f t="shared" si="419"/>
        <v>-30.398392857142863</v>
      </c>
      <c r="AP1161" s="26">
        <f t="shared" si="420"/>
        <v>-27.138230088495547</v>
      </c>
      <c r="AS1161" s="2">
        <v>44319</v>
      </c>
      <c r="AT1161">
        <v>14.6</v>
      </c>
      <c r="AU1161">
        <v>4.4000000000000004</v>
      </c>
      <c r="AV1161">
        <v>22.7</v>
      </c>
      <c r="AW1161">
        <v>5.2</v>
      </c>
      <c r="AX1161">
        <v>216.59</v>
      </c>
      <c r="AY1161">
        <v>0.2</v>
      </c>
      <c r="AZ1161">
        <v>3.5</v>
      </c>
      <c r="BA1161">
        <v>185.56780000000001</v>
      </c>
      <c r="BB1161">
        <v>103.56780000000001</v>
      </c>
      <c r="BC1161">
        <v>89.212599999999995</v>
      </c>
      <c r="BD1161">
        <v>3.6012</v>
      </c>
      <c r="BE1161">
        <v>23.813500000000001</v>
      </c>
      <c r="BF1161">
        <v>-7.8642000000000003</v>
      </c>
      <c r="BG1161">
        <v>-9.5045000000000002</v>
      </c>
      <c r="BH1161">
        <v>30.52</v>
      </c>
    </row>
    <row r="1162" spans="1:60" x14ac:dyDescent="0.25">
      <c r="A1162" s="2">
        <v>44339</v>
      </c>
      <c r="B1162">
        <v>17.7</v>
      </c>
      <c r="C1162">
        <v>17.8</v>
      </c>
      <c r="D1162">
        <v>49.6</v>
      </c>
      <c r="E1162">
        <v>7.1</v>
      </c>
      <c r="F1162">
        <v>207.51</v>
      </c>
      <c r="G1162">
        <v>0.2</v>
      </c>
      <c r="H1162">
        <v>2.5</v>
      </c>
      <c r="I1162">
        <v>84.830299999999994</v>
      </c>
      <c r="J1162">
        <v>32.095300000000002</v>
      </c>
      <c r="K1162">
        <v>20.3581</v>
      </c>
      <c r="L1162">
        <v>3.7345999999999999</v>
      </c>
      <c r="M1162">
        <v>17.402699999999999</v>
      </c>
      <c r="P1162">
        <v>35.479999999999997</v>
      </c>
      <c r="S1162">
        <f t="shared" si="399"/>
        <v>460.8309999999999</v>
      </c>
      <c r="T1162">
        <f t="shared" si="400"/>
        <v>1.6593130350288476E-2</v>
      </c>
      <c r="U1162">
        <f t="shared" si="401"/>
        <v>1.6686876849442651E-2</v>
      </c>
      <c r="V1162">
        <f t="shared" si="402"/>
        <v>4.6498263580469407E-2</v>
      </c>
      <c r="W1162">
        <f t="shared" si="403"/>
        <v>6.6560014399462252E-3</v>
      </c>
      <c r="X1162">
        <f t="shared" si="404"/>
        <v>0.19453336039482272</v>
      </c>
      <c r="Y1162">
        <f t="shared" si="405"/>
        <v>1.874929983083444E-4</v>
      </c>
      <c r="Z1162">
        <f t="shared" si="406"/>
        <v>2.3436624788543046E-3</v>
      </c>
      <c r="AA1162">
        <f t="shared" si="407"/>
        <v>7.9525436471981722E-2</v>
      </c>
      <c r="AB1162">
        <f t="shared" si="408"/>
        <v>3.0088220143029028E-2</v>
      </c>
      <c r="AC1162">
        <f t="shared" si="409"/>
        <v>1.908500604430553E-2</v>
      </c>
      <c r="AD1162">
        <f t="shared" si="410"/>
        <v>3.5010567574117147E-3</v>
      </c>
      <c r="AE1162">
        <f t="shared" si="411"/>
        <v>1.6314422008303124E-2</v>
      </c>
      <c r="AG1162">
        <f t="shared" si="412"/>
        <v>-1.544780378422572</v>
      </c>
      <c r="AH1162">
        <f t="shared" si="413"/>
        <v>0.29981321010043527</v>
      </c>
      <c r="AI1162">
        <f t="shared" si="414"/>
        <v>0.17039889129340494</v>
      </c>
      <c r="AK1162" s="26">
        <f t="shared" si="415"/>
        <v>-2.6028920839630265E-2</v>
      </c>
      <c r="AL1162" s="26">
        <f t="shared" si="416"/>
        <v>-3.2484842697727112E-2</v>
      </c>
      <c r="AM1162" s="26">
        <f t="shared" si="417"/>
        <v>-1.6511250664620114E-2</v>
      </c>
      <c r="AN1162" s="26">
        <f t="shared" si="418"/>
        <v>-34.375238095238096</v>
      </c>
      <c r="AO1162" s="26">
        <f t="shared" si="419"/>
        <v>-30.219464285714288</v>
      </c>
      <c r="AP1162" s="26">
        <f t="shared" si="420"/>
        <v>-27.00522123893802</v>
      </c>
      <c r="AS1162" s="2">
        <v>44318</v>
      </c>
      <c r="AT1162">
        <v>15.4</v>
      </c>
      <c r="AU1162">
        <v>1.2</v>
      </c>
      <c r="AV1162">
        <v>41.1</v>
      </c>
      <c r="AW1162">
        <v>2.6</v>
      </c>
      <c r="AX1162">
        <v>132.16999999999999</v>
      </c>
      <c r="AY1162">
        <v>0.1</v>
      </c>
      <c r="AZ1162">
        <v>3.5</v>
      </c>
      <c r="BA1162">
        <v>175.20160000000001</v>
      </c>
      <c r="BB1162">
        <v>58.039000000000001</v>
      </c>
      <c r="BC1162">
        <v>60.613700000000001</v>
      </c>
      <c r="BD1162">
        <v>3.5981999999999998</v>
      </c>
      <c r="BE1162">
        <v>9.6187000000000005</v>
      </c>
      <c r="BH1162">
        <v>30.42</v>
      </c>
    </row>
    <row r="1163" spans="1:60" x14ac:dyDescent="0.25">
      <c r="A1163" s="2">
        <v>44338</v>
      </c>
      <c r="B1163">
        <v>15.6</v>
      </c>
      <c r="C1163">
        <v>19</v>
      </c>
      <c r="D1163">
        <v>55.9</v>
      </c>
      <c r="E1163">
        <v>10.8</v>
      </c>
      <c r="F1163">
        <v>199.81</v>
      </c>
      <c r="G1163">
        <v>0.2</v>
      </c>
      <c r="H1163">
        <v>2.9</v>
      </c>
      <c r="I1163">
        <v>76.132000000000005</v>
      </c>
      <c r="J1163">
        <v>25.864799999999999</v>
      </c>
      <c r="K1163">
        <v>21.611000000000001</v>
      </c>
      <c r="L1163">
        <v>3.7315</v>
      </c>
      <c r="M1163">
        <v>14.5669</v>
      </c>
      <c r="P1163">
        <v>35.11</v>
      </c>
      <c r="S1163">
        <f t="shared" si="399"/>
        <v>446.11619999999994</v>
      </c>
      <c r="T1163">
        <f t="shared" si="400"/>
        <v>1.4624453868050861E-2</v>
      </c>
      <c r="U1163">
        <f t="shared" si="401"/>
        <v>1.7811834839292717E-2</v>
      </c>
      <c r="V1163">
        <f t="shared" si="402"/>
        <v>5.2404293027182254E-2</v>
      </c>
      <c r="W1163">
        <f t="shared" si="403"/>
        <v>1.0124621908650598E-2</v>
      </c>
      <c r="X1163">
        <f t="shared" si="404"/>
        <v>0.18731487995995147</v>
      </c>
      <c r="Y1163">
        <f t="shared" si="405"/>
        <v>1.874929983083444E-4</v>
      </c>
      <c r="Z1163">
        <f t="shared" si="406"/>
        <v>2.7186484754709935E-3</v>
      </c>
      <c r="AA1163">
        <f t="shared" si="407"/>
        <v>7.1371084736054372E-2</v>
      </c>
      <c r="AB1163">
        <f t="shared" si="408"/>
        <v>2.4247344513228328E-2</v>
      </c>
      <c r="AC1163">
        <f t="shared" si="409"/>
        <v>2.0259555932208153E-2</v>
      </c>
      <c r="AD1163">
        <f t="shared" si="410"/>
        <v>3.4981506159379354E-3</v>
      </c>
      <c r="AE1163">
        <f t="shared" si="411"/>
        <v>1.3655958785289109E-2</v>
      </c>
      <c r="AG1163">
        <f t="shared" si="412"/>
        <v>-1.5690926849009599</v>
      </c>
      <c r="AH1163">
        <f t="shared" si="413"/>
        <v>0.29884218386219635</v>
      </c>
      <c r="AI1163">
        <f t="shared" si="414"/>
        <v>0.16606123879370255</v>
      </c>
      <c r="AK1163" s="26">
        <f t="shared" si="415"/>
        <v>-3.2068753325350141E-2</v>
      </c>
      <c r="AL1163" s="26">
        <f t="shared" si="416"/>
        <v>-3.3266025579000214E-2</v>
      </c>
      <c r="AM1163" s="26">
        <f t="shared" si="417"/>
        <v>-1.7428877071787807E-2</v>
      </c>
      <c r="AN1163" s="26">
        <f t="shared" si="418"/>
        <v>-34.291904761904775</v>
      </c>
      <c r="AO1163" s="26">
        <f t="shared" si="419"/>
        <v>-30.042678571428578</v>
      </c>
      <c r="AP1163" s="26">
        <f t="shared" si="420"/>
        <v>-26.87238938053094</v>
      </c>
      <c r="AS1163" s="2">
        <v>44317</v>
      </c>
      <c r="AT1163">
        <v>14.4</v>
      </c>
      <c r="AU1163">
        <v>16.899999999999999</v>
      </c>
      <c r="AV1163">
        <v>4.3</v>
      </c>
      <c r="AW1163">
        <v>0.5</v>
      </c>
      <c r="AX1163">
        <v>155.77000000000001</v>
      </c>
      <c r="AY1163">
        <v>0.1</v>
      </c>
      <c r="AZ1163">
        <v>3.6</v>
      </c>
      <c r="BA1163">
        <v>227.47479999999999</v>
      </c>
      <c r="BB1163">
        <v>75.411900000000003</v>
      </c>
      <c r="BC1163">
        <v>72.926500000000004</v>
      </c>
      <c r="BD1163">
        <v>3.5592999999999999</v>
      </c>
      <c r="BE1163">
        <v>12.756500000000001</v>
      </c>
      <c r="BH1163">
        <v>30.21</v>
      </c>
    </row>
    <row r="1164" spans="1:60" x14ac:dyDescent="0.25">
      <c r="A1164" s="2">
        <v>44337</v>
      </c>
      <c r="B1164">
        <v>19</v>
      </c>
      <c r="C1164">
        <v>18</v>
      </c>
      <c r="D1164">
        <v>57.7</v>
      </c>
      <c r="E1164">
        <v>10.199999999999999</v>
      </c>
      <c r="F1164">
        <v>177.21</v>
      </c>
      <c r="G1164">
        <v>0.2</v>
      </c>
      <c r="H1164">
        <v>3</v>
      </c>
      <c r="I1164">
        <v>85.9208</v>
      </c>
      <c r="J1164">
        <v>31.540600000000001</v>
      </c>
      <c r="K1164">
        <v>41.674599999999998</v>
      </c>
      <c r="L1164">
        <v>3.7538</v>
      </c>
      <c r="M1164">
        <v>18.927499999999998</v>
      </c>
      <c r="N1164">
        <v>-7.9470000000000001</v>
      </c>
      <c r="O1164">
        <v>-12.446400000000001</v>
      </c>
      <c r="P1164">
        <v>34.75</v>
      </c>
      <c r="S1164">
        <f t="shared" si="399"/>
        <v>467.12729999999999</v>
      </c>
      <c r="T1164">
        <f t="shared" si="400"/>
        <v>1.7811834839292717E-2</v>
      </c>
      <c r="U1164">
        <f t="shared" si="401"/>
        <v>1.6874369847750995E-2</v>
      </c>
      <c r="V1164">
        <f t="shared" si="402"/>
        <v>5.4091730011957356E-2</v>
      </c>
      <c r="W1164">
        <f t="shared" si="403"/>
        <v>9.5621429137255631E-3</v>
      </c>
      <c r="X1164">
        <f t="shared" si="404"/>
        <v>0.16612817115110853</v>
      </c>
      <c r="Y1164">
        <f t="shared" si="405"/>
        <v>1.874929983083444E-4</v>
      </c>
      <c r="Z1164">
        <f t="shared" si="406"/>
        <v>2.8123949746251659E-3</v>
      </c>
      <c r="AA1164">
        <f t="shared" si="407"/>
        <v>8.0547742045257983E-2</v>
      </c>
      <c r="AB1164">
        <f t="shared" si="408"/>
        <v>2.9568208312220835E-2</v>
      </c>
      <c r="AC1164">
        <f t="shared" si="409"/>
        <v>3.9068478536504643E-2</v>
      </c>
      <c r="AD1164">
        <f t="shared" si="410"/>
        <v>3.5190560852493159E-3</v>
      </c>
      <c r="AE1164">
        <f t="shared" si="411"/>
        <v>1.7743868627405939E-2</v>
      </c>
      <c r="AG1164">
        <f t="shared" si="412"/>
        <v>-1.593103544990087</v>
      </c>
      <c r="AH1164">
        <f t="shared" si="413"/>
        <v>0.28521200536417463</v>
      </c>
      <c r="AI1164">
        <f t="shared" si="414"/>
        <v>8.6186770811007479E-2</v>
      </c>
      <c r="AK1164" s="26">
        <f t="shared" si="415"/>
        <v>-3.3994565336879279E-2</v>
      </c>
      <c r="AL1164" s="26">
        <f t="shared" si="416"/>
        <v>-3.3327149970493408E-2</v>
      </c>
      <c r="AM1164" s="26">
        <f t="shared" si="417"/>
        <v>-1.7121511337587492E-2</v>
      </c>
      <c r="AN1164" s="26">
        <f t="shared" si="418"/>
        <v>-34.184285714285735</v>
      </c>
      <c r="AO1164" s="26">
        <f t="shared" si="419"/>
        <v>-29.869642857142864</v>
      </c>
      <c r="AP1164" s="26">
        <f t="shared" si="420"/>
        <v>-26.739469026548647</v>
      </c>
      <c r="AS1164" s="2">
        <v>44316</v>
      </c>
      <c r="AT1164">
        <v>12.1</v>
      </c>
      <c r="AU1164">
        <v>19.8</v>
      </c>
      <c r="AV1164">
        <v>11.9</v>
      </c>
      <c r="AW1164">
        <v>2.4</v>
      </c>
      <c r="AX1164">
        <v>157.16999999999999</v>
      </c>
      <c r="AY1164">
        <v>0.1</v>
      </c>
      <c r="AZ1164">
        <v>3.2</v>
      </c>
      <c r="BA1164">
        <v>297.98219999999998</v>
      </c>
      <c r="BB1164">
        <v>141.84639999999999</v>
      </c>
      <c r="BC1164">
        <v>142.18940000000001</v>
      </c>
      <c r="BD1164">
        <v>3.5583999999999998</v>
      </c>
      <c r="BE1164">
        <v>23.815300000000001</v>
      </c>
      <c r="BF1164">
        <v>-12.6668</v>
      </c>
      <c r="BG1164">
        <v>-15.232699999999999</v>
      </c>
      <c r="BH1164">
        <v>30.04</v>
      </c>
    </row>
    <row r="1165" spans="1:60" x14ac:dyDescent="0.25">
      <c r="A1165" s="2">
        <v>44336</v>
      </c>
      <c r="B1165">
        <v>20.5</v>
      </c>
      <c r="C1165">
        <v>0</v>
      </c>
      <c r="D1165">
        <v>12.9</v>
      </c>
      <c r="E1165">
        <v>2.6</v>
      </c>
      <c r="F1165">
        <v>217.36</v>
      </c>
      <c r="G1165">
        <v>0.2</v>
      </c>
      <c r="H1165">
        <v>3.1</v>
      </c>
      <c r="I1165">
        <v>209.089</v>
      </c>
      <c r="J1165">
        <v>86.231999999999999</v>
      </c>
      <c r="K1165">
        <v>92.348100000000002</v>
      </c>
      <c r="L1165">
        <v>3.7799</v>
      </c>
      <c r="M1165">
        <v>24.316800000000001</v>
      </c>
      <c r="N1165">
        <v>-8.1798999999999999</v>
      </c>
      <c r="O1165">
        <v>-12.617800000000001</v>
      </c>
      <c r="P1165">
        <v>34.44</v>
      </c>
      <c r="S1165">
        <f t="shared" si="399"/>
        <v>672.42579999999998</v>
      </c>
      <c r="T1165">
        <f t="shared" si="400"/>
        <v>1.9218032326605298E-2</v>
      </c>
      <c r="U1165">
        <f t="shared" si="401"/>
        <v>0</v>
      </c>
      <c r="V1165">
        <f t="shared" si="402"/>
        <v>1.2093298390888213E-2</v>
      </c>
      <c r="W1165">
        <f t="shared" si="403"/>
        <v>2.437408978008477E-3</v>
      </c>
      <c r="X1165">
        <f t="shared" si="404"/>
        <v>0.20376739056150869</v>
      </c>
      <c r="Y1165">
        <f t="shared" si="405"/>
        <v>1.874929983083444E-4</v>
      </c>
      <c r="Z1165">
        <f t="shared" si="406"/>
        <v>2.9061414737793379E-3</v>
      </c>
      <c r="AA1165">
        <f t="shared" si="407"/>
        <v>0.1960136176164671</v>
      </c>
      <c r="AB1165">
        <f t="shared" si="408"/>
        <v>8.0839481150625767E-2</v>
      </c>
      <c r="AC1165">
        <f t="shared" si="409"/>
        <v>8.6573110785394092E-2</v>
      </c>
      <c r="AD1165">
        <f t="shared" si="410"/>
        <v>3.5435239215285547E-3</v>
      </c>
      <c r="AE1165">
        <f t="shared" si="411"/>
        <v>2.2796148706321743E-2</v>
      </c>
      <c r="AG1165">
        <f t="shared" si="412"/>
        <v>-1.6149338211581492</v>
      </c>
      <c r="AH1165">
        <f t="shared" si="413"/>
        <v>0.26340591343542014</v>
      </c>
      <c r="AI1165">
        <f t="shared" si="414"/>
        <v>-4.2926287262198048E-2</v>
      </c>
      <c r="AK1165" s="26">
        <f t="shared" si="415"/>
        <v>-2.8017525149116651E-2</v>
      </c>
      <c r="AL1165" s="26">
        <f t="shared" si="416"/>
        <v>-3.1296558947698394E-2</v>
      </c>
      <c r="AM1165" s="26">
        <f t="shared" si="417"/>
        <v>-1.6580472084057551E-2</v>
      </c>
      <c r="AN1165" s="26">
        <f t="shared" si="418"/>
        <v>-34.067142857142869</v>
      </c>
      <c r="AO1165" s="26">
        <f t="shared" si="419"/>
        <v>-29.700357142857143</v>
      </c>
      <c r="AP1165" s="26">
        <f t="shared" si="420"/>
        <v>-26.606991150442447</v>
      </c>
      <c r="AS1165" s="2">
        <v>44315</v>
      </c>
      <c r="AT1165">
        <v>11.1</v>
      </c>
      <c r="AU1165">
        <v>0.3</v>
      </c>
      <c r="AV1165">
        <v>48.7</v>
      </c>
      <c r="AW1165">
        <v>5.2</v>
      </c>
      <c r="AX1165">
        <v>154.80000000000001</v>
      </c>
      <c r="AY1165">
        <v>0.1</v>
      </c>
      <c r="AZ1165">
        <v>3.1</v>
      </c>
      <c r="BA1165">
        <v>287.81970000000001</v>
      </c>
      <c r="BB1165">
        <v>113.4357</v>
      </c>
      <c r="BC1165">
        <v>105.68300000000001</v>
      </c>
      <c r="BD1165">
        <v>3.6566000000000001</v>
      </c>
      <c r="BE1165">
        <v>20.830200000000001</v>
      </c>
      <c r="BF1165">
        <v>-11.411</v>
      </c>
      <c r="BG1165">
        <v>-14.6906</v>
      </c>
      <c r="BH1165">
        <v>30.23</v>
      </c>
    </row>
    <row r="1166" spans="1:60" x14ac:dyDescent="0.25">
      <c r="A1166" s="2">
        <v>44335</v>
      </c>
      <c r="B1166">
        <v>19.8</v>
      </c>
      <c r="C1166">
        <v>376.6</v>
      </c>
      <c r="D1166">
        <v>4.2</v>
      </c>
      <c r="E1166">
        <v>1.9</v>
      </c>
      <c r="F1166">
        <v>206.68</v>
      </c>
      <c r="G1166">
        <v>0.1</v>
      </c>
      <c r="H1166">
        <v>3</v>
      </c>
      <c r="I1166">
        <v>224.2176</v>
      </c>
      <c r="J1166">
        <v>90.431399999999996</v>
      </c>
      <c r="K1166">
        <v>92.610600000000005</v>
      </c>
      <c r="L1166">
        <v>3.8393000000000002</v>
      </c>
      <c r="M1166">
        <v>16.161899999999999</v>
      </c>
      <c r="N1166">
        <v>-6.2424999999999997</v>
      </c>
      <c r="O1166">
        <v>-12.8979</v>
      </c>
      <c r="P1166">
        <v>34.18</v>
      </c>
      <c r="S1166">
        <f t="shared" si="399"/>
        <v>1039.5408</v>
      </c>
      <c r="T1166">
        <f t="shared" si="400"/>
        <v>1.8561806832526093E-2</v>
      </c>
      <c r="U1166">
        <f t="shared" si="401"/>
        <v>0.35304931581461252</v>
      </c>
      <c r="V1166">
        <f t="shared" si="402"/>
        <v>3.9373529644752322E-3</v>
      </c>
      <c r="W1166">
        <f t="shared" si="403"/>
        <v>1.7811834839292716E-3</v>
      </c>
      <c r="X1166">
        <f t="shared" si="404"/>
        <v>0.1937552644518431</v>
      </c>
      <c r="Y1166">
        <f t="shared" si="405"/>
        <v>9.3746499154172199E-5</v>
      </c>
      <c r="Z1166">
        <f t="shared" si="406"/>
        <v>2.8123949746251659E-3</v>
      </c>
      <c r="AA1166">
        <f t="shared" si="407"/>
        <v>0.2101961504875052</v>
      </c>
      <c r="AB1166">
        <f t="shared" si="408"/>
        <v>8.4776271636106071E-2</v>
      </c>
      <c r="AC1166">
        <f t="shared" si="409"/>
        <v>8.6819195345673797E-2</v>
      </c>
      <c r="AD1166">
        <f t="shared" si="410"/>
        <v>3.599209342026133E-3</v>
      </c>
      <c r="AE1166">
        <f t="shared" si="411"/>
        <v>1.5151215446798155E-2</v>
      </c>
      <c r="AG1166">
        <f t="shared" si="412"/>
        <v>-1.6345779079922833</v>
      </c>
      <c r="AH1166">
        <f t="shared" si="413"/>
        <v>0.5891422804679638</v>
      </c>
      <c r="AI1166">
        <f t="shared" si="414"/>
        <v>1.8772925410170853</v>
      </c>
      <c r="AK1166" s="26">
        <f t="shared" si="415"/>
        <v>-2.0283063982900862E-2</v>
      </c>
      <c r="AL1166" s="26">
        <f t="shared" si="416"/>
        <v>-2.8718746172715581E-2</v>
      </c>
      <c r="AM1166" s="26">
        <f t="shared" si="417"/>
        <v>-1.5488650578005858E-2</v>
      </c>
      <c r="AN1166" s="26">
        <f t="shared" si="418"/>
        <v>-33.923809523809531</v>
      </c>
      <c r="AO1166" s="26">
        <f t="shared" si="419"/>
        <v>-29.535357142857141</v>
      </c>
      <c r="AP1166" s="26">
        <f t="shared" si="420"/>
        <v>-26.474955752212352</v>
      </c>
      <c r="AS1166" s="2">
        <v>44314</v>
      </c>
      <c r="AT1166">
        <v>10.4</v>
      </c>
      <c r="AU1166">
        <v>3.6</v>
      </c>
      <c r="AV1166">
        <v>23.4</v>
      </c>
      <c r="AW1166">
        <v>4</v>
      </c>
      <c r="AX1166">
        <v>267.27999999999997</v>
      </c>
      <c r="AY1166">
        <v>0.1</v>
      </c>
      <c r="AZ1166">
        <v>3.4</v>
      </c>
      <c r="BA1166">
        <v>269.51769999999999</v>
      </c>
      <c r="BB1166">
        <v>121.4911</v>
      </c>
      <c r="BC1166">
        <v>105.96380000000001</v>
      </c>
      <c r="BD1166">
        <v>3.4222999999999999</v>
      </c>
      <c r="BE1166">
        <v>22.259699999999999</v>
      </c>
      <c r="BF1166">
        <v>-8.7104999999999997</v>
      </c>
      <c r="BG1166">
        <v>-13.418799999999999</v>
      </c>
      <c r="BH1166">
        <v>30.13</v>
      </c>
    </row>
    <row r="1167" spans="1:60" x14ac:dyDescent="0.25">
      <c r="A1167" s="2">
        <v>44334</v>
      </c>
      <c r="B1167">
        <v>20.3</v>
      </c>
      <c r="C1167">
        <v>1</v>
      </c>
      <c r="D1167">
        <v>4.5999999999999996</v>
      </c>
      <c r="E1167">
        <v>3.2</v>
      </c>
      <c r="F1167">
        <v>183.02</v>
      </c>
      <c r="G1167">
        <v>0.1</v>
      </c>
      <c r="H1167">
        <v>3.1</v>
      </c>
      <c r="I1167">
        <v>216.68119999999999</v>
      </c>
      <c r="J1167">
        <v>80.030799999999999</v>
      </c>
      <c r="K1167">
        <v>77.184399999999997</v>
      </c>
      <c r="L1167">
        <v>3.8767999999999998</v>
      </c>
      <c r="M1167">
        <v>24.7683</v>
      </c>
      <c r="N1167">
        <v>-8.1231000000000009</v>
      </c>
      <c r="O1167">
        <v>-12.191000000000001</v>
      </c>
      <c r="P1167">
        <v>34.020000000000003</v>
      </c>
      <c r="S1167">
        <f t="shared" si="399"/>
        <v>617.86149999999986</v>
      </c>
      <c r="T1167">
        <f t="shared" si="400"/>
        <v>1.9030539328296955E-2</v>
      </c>
      <c r="U1167">
        <f t="shared" si="401"/>
        <v>9.3746499154172193E-4</v>
      </c>
      <c r="V1167">
        <f t="shared" si="402"/>
        <v>4.3123389610919202E-3</v>
      </c>
      <c r="W1167">
        <f t="shared" si="403"/>
        <v>2.9998879729335104E-3</v>
      </c>
      <c r="X1167">
        <f t="shared" si="404"/>
        <v>0.17157484275196597</v>
      </c>
      <c r="Y1167">
        <f t="shared" si="405"/>
        <v>9.3746499154172199E-5</v>
      </c>
      <c r="Z1167">
        <f t="shared" si="406"/>
        <v>2.9061414737793379E-3</v>
      </c>
      <c r="AA1167">
        <f t="shared" si="407"/>
        <v>0.20313103932525015</v>
      </c>
      <c r="AB1167">
        <f t="shared" si="408"/>
        <v>7.5026073245077235E-2</v>
      </c>
      <c r="AC1167">
        <f t="shared" si="409"/>
        <v>7.2357672893152883E-2</v>
      </c>
      <c r="AD1167">
        <f t="shared" si="410"/>
        <v>3.6343642792089474E-3</v>
      </c>
      <c r="AE1167">
        <f t="shared" si="411"/>
        <v>2.321941415000283E-2</v>
      </c>
      <c r="AG1167">
        <f t="shared" si="412"/>
        <v>-1.6496622071613689</v>
      </c>
      <c r="AH1167">
        <f t="shared" si="413"/>
        <v>0.22507437612876643</v>
      </c>
      <c r="AI1167">
        <f t="shared" si="414"/>
        <v>-0.26932954987315649</v>
      </c>
      <c r="AK1167" s="26">
        <f t="shared" si="415"/>
        <v>-3.0905332486132892E-2</v>
      </c>
      <c r="AL1167" s="26">
        <f t="shared" si="416"/>
        <v>-3.4001895420289474E-2</v>
      </c>
      <c r="AM1167" s="26">
        <f t="shared" si="417"/>
        <v>-1.7960666117657842E-2</v>
      </c>
      <c r="AN1167" s="26">
        <f t="shared" si="418"/>
        <v>-33.774761904761917</v>
      </c>
      <c r="AO1167" s="26">
        <f t="shared" si="419"/>
        <v>-29.373392857142843</v>
      </c>
      <c r="AP1167" s="26">
        <f t="shared" si="420"/>
        <v>-26.341858407079606</v>
      </c>
      <c r="AS1167" s="2">
        <v>44313</v>
      </c>
      <c r="AT1167">
        <v>10.1</v>
      </c>
      <c r="AU1167">
        <v>16.100000000000001</v>
      </c>
      <c r="AV1167">
        <v>22.8</v>
      </c>
      <c r="AW1167">
        <v>4.0999999999999996</v>
      </c>
      <c r="AX1167">
        <v>301.07</v>
      </c>
      <c r="AY1167">
        <v>0.1</v>
      </c>
      <c r="AZ1167">
        <v>3.7</v>
      </c>
      <c r="BA1167">
        <v>263.36189999999999</v>
      </c>
      <c r="BB1167">
        <v>109.3359</v>
      </c>
      <c r="BC1167">
        <v>105.55719999999999</v>
      </c>
      <c r="BD1167">
        <v>3.1812999999999998</v>
      </c>
      <c r="BE1167">
        <v>23.053599999999999</v>
      </c>
      <c r="BF1167">
        <v>-8.5485000000000007</v>
      </c>
      <c r="BG1167">
        <v>-13.136900000000001</v>
      </c>
      <c r="BH1167">
        <v>30.04</v>
      </c>
    </row>
    <row r="1168" spans="1:60" x14ac:dyDescent="0.25">
      <c r="A1168" s="2">
        <v>44333</v>
      </c>
      <c r="B1168">
        <v>19.8</v>
      </c>
      <c r="C1168">
        <v>47.2</v>
      </c>
      <c r="D1168">
        <v>1.3</v>
      </c>
      <c r="E1168">
        <v>3.5</v>
      </c>
      <c r="F1168">
        <v>190.53</v>
      </c>
      <c r="G1168">
        <v>0.2</v>
      </c>
      <c r="H1168">
        <v>3.3</v>
      </c>
      <c r="I1168">
        <v>194.535</v>
      </c>
      <c r="J1168">
        <v>56.491399999999999</v>
      </c>
      <c r="K1168">
        <v>77.407399999999996</v>
      </c>
      <c r="L1168">
        <v>3.7570000000000001</v>
      </c>
      <c r="M1168">
        <v>22.1112</v>
      </c>
      <c r="N1168">
        <v>-10.228999999999999</v>
      </c>
      <c r="O1168">
        <v>-12.6038</v>
      </c>
      <c r="P1168">
        <v>33.880000000000003</v>
      </c>
      <c r="S1168">
        <f t="shared" si="399"/>
        <v>620.13199999999995</v>
      </c>
      <c r="T1168">
        <f t="shared" si="400"/>
        <v>1.8561806832526093E-2</v>
      </c>
      <c r="U1168">
        <f t="shared" si="401"/>
        <v>4.4248347600769275E-2</v>
      </c>
      <c r="V1168">
        <f t="shared" si="402"/>
        <v>1.2187044890042385E-3</v>
      </c>
      <c r="W1168">
        <f t="shared" si="403"/>
        <v>3.2811274703960268E-3</v>
      </c>
      <c r="X1168">
        <f t="shared" si="404"/>
        <v>0.17861520483844429</v>
      </c>
      <c r="Y1168">
        <f t="shared" si="405"/>
        <v>1.874929983083444E-4</v>
      </c>
      <c r="Z1168">
        <f t="shared" si="406"/>
        <v>3.0936344720876819E-3</v>
      </c>
      <c r="AA1168">
        <f t="shared" si="407"/>
        <v>0.18236975212956888</v>
      </c>
      <c r="AB1168">
        <f t="shared" si="408"/>
        <v>5.2958709823180031E-2</v>
      </c>
      <c r="AC1168">
        <f t="shared" si="409"/>
        <v>7.2566727586266686E-2</v>
      </c>
      <c r="AD1168">
        <f t="shared" si="410"/>
        <v>3.5220559732222494E-3</v>
      </c>
      <c r="AE1168">
        <f t="shared" si="411"/>
        <v>2.0728475920977322E-2</v>
      </c>
      <c r="AG1168">
        <f t="shared" si="412"/>
        <v>-1.6639020909811972</v>
      </c>
      <c r="AH1168">
        <f t="shared" si="413"/>
        <v>0.2699347946225133</v>
      </c>
      <c r="AI1168">
        <f t="shared" si="414"/>
        <v>-5.4004592432649878E-3</v>
      </c>
      <c r="AK1168" s="26">
        <f t="shared" si="415"/>
        <v>-2.1481970104107573E-2</v>
      </c>
      <c r="AL1168" s="26">
        <f t="shared" si="416"/>
        <v>-3.4566584154123114E-2</v>
      </c>
      <c r="AM1168" s="26">
        <f t="shared" si="417"/>
        <v>-1.7176582013342823E-2</v>
      </c>
      <c r="AN1168" s="26">
        <f t="shared" si="418"/>
        <v>-33.624761904761911</v>
      </c>
      <c r="AO1168" s="26">
        <f t="shared" si="419"/>
        <v>-29.216071428571404</v>
      </c>
      <c r="AP1168" s="26">
        <f t="shared" si="420"/>
        <v>-26.208230088495533</v>
      </c>
      <c r="AS1168" s="2">
        <v>44312</v>
      </c>
      <c r="AT1168">
        <v>9.1999999999999993</v>
      </c>
      <c r="AU1168">
        <v>0</v>
      </c>
      <c r="AV1168">
        <v>3</v>
      </c>
      <c r="AW1168">
        <v>2.1</v>
      </c>
      <c r="AX1168">
        <v>285.47000000000003</v>
      </c>
      <c r="AY1168">
        <v>0.2</v>
      </c>
      <c r="AZ1168">
        <v>3.2</v>
      </c>
      <c r="BA1168">
        <v>256.26679999999999</v>
      </c>
      <c r="BB1168">
        <v>96.896600000000007</v>
      </c>
      <c r="BC1168">
        <v>111.9888</v>
      </c>
      <c r="BD1168">
        <v>3.2029999999999998</v>
      </c>
      <c r="BE1168">
        <v>21.633400000000002</v>
      </c>
      <c r="BF1168">
        <v>-7.9320000000000004</v>
      </c>
      <c r="BG1168">
        <v>-14.743</v>
      </c>
      <c r="BH1168">
        <v>29.96</v>
      </c>
    </row>
    <row r="1169" spans="1:60" x14ac:dyDescent="0.25">
      <c r="A1169" s="2">
        <v>44332</v>
      </c>
      <c r="B1169">
        <v>16.7</v>
      </c>
      <c r="C1169">
        <v>0</v>
      </c>
      <c r="D1169">
        <v>2.9</v>
      </c>
      <c r="E1169">
        <v>3.2</v>
      </c>
      <c r="F1169">
        <v>200.36</v>
      </c>
      <c r="G1169">
        <v>0.2</v>
      </c>
      <c r="H1169">
        <v>3</v>
      </c>
      <c r="I1169">
        <v>122.2971</v>
      </c>
      <c r="J1169">
        <v>39.395400000000002</v>
      </c>
      <c r="K1169">
        <v>34.944299999999998</v>
      </c>
      <c r="L1169">
        <v>3.7797000000000001</v>
      </c>
      <c r="M1169">
        <v>6.1725000000000003</v>
      </c>
      <c r="P1169">
        <v>33.67</v>
      </c>
      <c r="S1169">
        <f t="shared" si="399"/>
        <v>432.94900000000001</v>
      </c>
      <c r="T1169">
        <f t="shared" si="400"/>
        <v>1.5655665358746754E-2</v>
      </c>
      <c r="U1169">
        <f t="shared" si="401"/>
        <v>0</v>
      </c>
      <c r="V1169">
        <f t="shared" si="402"/>
        <v>2.7186484754709935E-3</v>
      </c>
      <c r="W1169">
        <f t="shared" si="403"/>
        <v>2.9998879729335104E-3</v>
      </c>
      <c r="X1169">
        <f t="shared" si="404"/>
        <v>0.18783048570529942</v>
      </c>
      <c r="Y1169">
        <f t="shared" si="405"/>
        <v>1.874929983083444E-4</v>
      </c>
      <c r="Z1169">
        <f t="shared" si="406"/>
        <v>2.8123949746251659E-3</v>
      </c>
      <c r="AA1169">
        <f t="shared" si="407"/>
        <v>0.11464924981707712</v>
      </c>
      <c r="AB1169">
        <f t="shared" si="408"/>
        <v>3.6931808327782756E-2</v>
      </c>
      <c r="AC1169">
        <f t="shared" si="409"/>
        <v>3.2759057903931389E-2</v>
      </c>
      <c r="AD1169">
        <f t="shared" si="410"/>
        <v>3.5433364285302462E-3</v>
      </c>
      <c r="AE1169">
        <f t="shared" si="411"/>
        <v>5.7865026602912789E-3</v>
      </c>
      <c r="AG1169">
        <f t="shared" si="412"/>
        <v>-1.6815402244283342</v>
      </c>
      <c r="AH1169">
        <f t="shared" si="413"/>
        <v>0.21799107814567548</v>
      </c>
      <c r="AI1169">
        <f t="shared" si="414"/>
        <v>-0.31401866898270425</v>
      </c>
      <c r="AK1169" s="26">
        <f t="shared" si="415"/>
        <v>-1.8211556519329153E-2</v>
      </c>
      <c r="AL1169" s="26">
        <f t="shared" si="416"/>
        <v>-3.3906962023494192E-2</v>
      </c>
      <c r="AM1169" s="26">
        <f t="shared" si="417"/>
        <v>-1.7418465403076344E-2</v>
      </c>
      <c r="AN1169" s="26">
        <f t="shared" si="418"/>
        <v>-33.470952380952383</v>
      </c>
      <c r="AO1169" s="26">
        <f t="shared" si="419"/>
        <v>-29.060535714285681</v>
      </c>
      <c r="AP1169" s="26">
        <f t="shared" si="420"/>
        <v>-26.075309734513226</v>
      </c>
      <c r="AS1169" s="2">
        <v>44311</v>
      </c>
      <c r="AT1169">
        <v>8.6999999999999993</v>
      </c>
      <c r="AU1169">
        <v>0</v>
      </c>
      <c r="AV1169">
        <v>21.6</v>
      </c>
      <c r="AW1169">
        <v>1.8</v>
      </c>
      <c r="AX1169">
        <v>262.5</v>
      </c>
      <c r="AY1169">
        <v>0.2</v>
      </c>
      <c r="AZ1169">
        <v>3.1</v>
      </c>
      <c r="BA1169">
        <v>149.54509999999999</v>
      </c>
      <c r="BB1169">
        <v>43.903399999999998</v>
      </c>
      <c r="BC1169">
        <v>60.676099999999998</v>
      </c>
      <c r="BD1169">
        <v>3.2433999999999998</v>
      </c>
      <c r="BE1169">
        <v>10.1607</v>
      </c>
      <c r="BH1169">
        <v>29.87</v>
      </c>
    </row>
    <row r="1170" spans="1:60" x14ac:dyDescent="0.25">
      <c r="A1170" s="2">
        <v>44331</v>
      </c>
      <c r="B1170">
        <v>17.600000000000001</v>
      </c>
      <c r="C1170">
        <v>0</v>
      </c>
      <c r="D1170">
        <v>6.3</v>
      </c>
      <c r="E1170">
        <v>2.6</v>
      </c>
      <c r="F1170">
        <v>178.15</v>
      </c>
      <c r="G1170">
        <v>0.2</v>
      </c>
      <c r="H1170">
        <v>2.9</v>
      </c>
      <c r="I1170">
        <v>158.4709</v>
      </c>
      <c r="J1170">
        <v>36.988500000000002</v>
      </c>
      <c r="K1170">
        <v>51.719499999999996</v>
      </c>
      <c r="L1170">
        <v>3.7791999999999999</v>
      </c>
      <c r="M1170">
        <v>10.725899999999999</v>
      </c>
      <c r="P1170">
        <v>33.33</v>
      </c>
      <c r="S1170">
        <f t="shared" si="399"/>
        <v>469.43400000000003</v>
      </c>
      <c r="T1170">
        <f t="shared" si="400"/>
        <v>1.6499383851134308E-2</v>
      </c>
      <c r="U1170">
        <f t="shared" si="401"/>
        <v>0</v>
      </c>
      <c r="V1170">
        <f t="shared" si="402"/>
        <v>5.9060294467128483E-3</v>
      </c>
      <c r="W1170">
        <f t="shared" si="403"/>
        <v>2.437408978008477E-3</v>
      </c>
      <c r="X1170">
        <f t="shared" si="404"/>
        <v>0.16700938824315775</v>
      </c>
      <c r="Y1170">
        <f t="shared" si="405"/>
        <v>1.874929983083444E-4</v>
      </c>
      <c r="Z1170">
        <f t="shared" si="406"/>
        <v>2.7186484754709935E-3</v>
      </c>
      <c r="AA1170">
        <f t="shared" si="407"/>
        <v>0.14856092092810905</v>
      </c>
      <c r="AB1170">
        <f t="shared" si="408"/>
        <v>3.4675423839640986E-2</v>
      </c>
      <c r="AC1170">
        <f t="shared" si="409"/>
        <v>4.8485220630042083E-2</v>
      </c>
      <c r="AD1170">
        <f t="shared" si="410"/>
        <v>3.5428676960344752E-3</v>
      </c>
      <c r="AE1170">
        <f t="shared" si="411"/>
        <v>1.0055155752777354E-2</v>
      </c>
      <c r="AG1170">
        <f t="shared" si="412"/>
        <v>-1.705459949539589</v>
      </c>
      <c r="AH1170">
        <f t="shared" si="413"/>
        <v>0.20481350774557006</v>
      </c>
      <c r="AI1170">
        <f t="shared" si="414"/>
        <v>-0.39383161446396442</v>
      </c>
      <c r="AK1170" s="26">
        <f t="shared" si="415"/>
        <v>-1.6093113308514151E-2</v>
      </c>
      <c r="AL1170" s="26">
        <f t="shared" si="416"/>
        <v>-3.3305653563428461E-2</v>
      </c>
      <c r="AM1170" s="26">
        <f t="shared" si="417"/>
        <v>-1.7593437851249893E-2</v>
      </c>
      <c r="AN1170" s="26">
        <f t="shared" si="418"/>
        <v>-33.314285714285717</v>
      </c>
      <c r="AO1170" s="26">
        <f t="shared" si="419"/>
        <v>-28.902499999999971</v>
      </c>
      <c r="AP1170" s="26">
        <f t="shared" si="420"/>
        <v>-25.945398230088443</v>
      </c>
      <c r="AS1170" s="2">
        <v>44310</v>
      </c>
      <c r="AT1170">
        <v>8.9</v>
      </c>
      <c r="AU1170">
        <v>0</v>
      </c>
      <c r="AV1170">
        <v>28</v>
      </c>
      <c r="AW1170">
        <v>3.8</v>
      </c>
      <c r="AX1170">
        <v>252.46</v>
      </c>
      <c r="AY1170">
        <v>0.2</v>
      </c>
      <c r="AZ1170">
        <v>3.3</v>
      </c>
      <c r="BA1170">
        <v>184.08959999999999</v>
      </c>
      <c r="BB1170">
        <v>52.514099999999999</v>
      </c>
      <c r="BC1170">
        <v>74.649100000000004</v>
      </c>
      <c r="BD1170">
        <v>3.3919999999999999</v>
      </c>
      <c r="BE1170">
        <v>11.2669</v>
      </c>
      <c r="BH1170">
        <v>29.66</v>
      </c>
    </row>
    <row r="1171" spans="1:60" x14ac:dyDescent="0.25">
      <c r="A1171" s="2">
        <v>44330</v>
      </c>
      <c r="B1171">
        <v>17.8</v>
      </c>
      <c r="C1171">
        <v>49.2</v>
      </c>
      <c r="D1171">
        <v>5.8</v>
      </c>
      <c r="E1171">
        <v>2.2999999999999998</v>
      </c>
      <c r="F1171">
        <v>183.25</v>
      </c>
      <c r="G1171">
        <v>0.2</v>
      </c>
      <c r="H1171">
        <v>3</v>
      </c>
      <c r="I1171">
        <v>171.92070000000001</v>
      </c>
      <c r="J1171">
        <v>52.493200000000002</v>
      </c>
      <c r="K1171">
        <v>60.101700000000001</v>
      </c>
      <c r="L1171">
        <v>3.7265000000000001</v>
      </c>
      <c r="M1171">
        <v>12.468999999999999</v>
      </c>
      <c r="N1171">
        <v>-10.0732</v>
      </c>
      <c r="O1171">
        <v>-12.3567</v>
      </c>
      <c r="P1171">
        <v>33</v>
      </c>
      <c r="S1171">
        <f t="shared" si="399"/>
        <v>562.26110000000006</v>
      </c>
      <c r="T1171">
        <f t="shared" si="400"/>
        <v>1.6686876849442651E-2</v>
      </c>
      <c r="U1171">
        <f t="shared" si="401"/>
        <v>4.612327758385272E-2</v>
      </c>
      <c r="V1171">
        <f t="shared" si="402"/>
        <v>5.4372969509419869E-3</v>
      </c>
      <c r="W1171">
        <f t="shared" si="403"/>
        <v>2.1561694805459601E-3</v>
      </c>
      <c r="X1171">
        <f t="shared" si="404"/>
        <v>0.17179045970002055</v>
      </c>
      <c r="Y1171">
        <f t="shared" si="405"/>
        <v>1.874929983083444E-4</v>
      </c>
      <c r="Z1171">
        <f t="shared" si="406"/>
        <v>2.8123949746251659E-3</v>
      </c>
      <c r="AA1171">
        <f t="shared" si="407"/>
        <v>0.16116963757134692</v>
      </c>
      <c r="AB1171">
        <f t="shared" si="408"/>
        <v>4.9210537293997915E-2</v>
      </c>
      <c r="AC1171">
        <f t="shared" si="409"/>
        <v>5.6343239682143109E-2</v>
      </c>
      <c r="AD1171">
        <f t="shared" si="410"/>
        <v>3.4934632909802269E-3</v>
      </c>
      <c r="AE1171">
        <f t="shared" si="411"/>
        <v>1.168925097953373E-2</v>
      </c>
      <c r="AG1171">
        <f t="shared" si="412"/>
        <v>-1.7291057453193786</v>
      </c>
      <c r="AH1171">
        <f t="shared" si="413"/>
        <v>0.25688321951727111</v>
      </c>
      <c r="AI1171">
        <f t="shared" si="414"/>
        <v>-8.6654707624526803E-2</v>
      </c>
      <c r="AK1171" s="26">
        <f t="shared" si="415"/>
        <v>-9.8548418046799369E-3</v>
      </c>
      <c r="AL1171" s="26">
        <f t="shared" si="416"/>
        <v>-2.97399000032878E-2</v>
      </c>
      <c r="AM1171" s="26">
        <f t="shared" si="417"/>
        <v>-1.5704954447310793E-2</v>
      </c>
      <c r="AN1171" s="26">
        <f t="shared" si="418"/>
        <v>-33.145714285714284</v>
      </c>
      <c r="AO1171" s="26">
        <f t="shared" si="419"/>
        <v>-28.742499999999975</v>
      </c>
      <c r="AP1171" s="26">
        <f t="shared" si="420"/>
        <v>-25.816283185840661</v>
      </c>
      <c r="AS1171" s="2">
        <v>44309</v>
      </c>
      <c r="AT1171">
        <v>9.1999999999999993</v>
      </c>
      <c r="AU1171">
        <v>217</v>
      </c>
      <c r="AV1171">
        <v>34.700000000000003</v>
      </c>
      <c r="AW1171">
        <v>6.2</v>
      </c>
      <c r="AX1171">
        <v>262.20999999999998</v>
      </c>
      <c r="AY1171">
        <v>0.2</v>
      </c>
      <c r="AZ1171">
        <v>3.6</v>
      </c>
      <c r="BA1171">
        <v>180.2946</v>
      </c>
      <c r="BB1171">
        <v>100.14060000000001</v>
      </c>
      <c r="BC1171">
        <v>97.665700000000001</v>
      </c>
      <c r="BD1171">
        <v>3.4927999999999999</v>
      </c>
      <c r="BE1171">
        <v>21.316199999999998</v>
      </c>
      <c r="BF1171">
        <v>-7.1711999999999998</v>
      </c>
      <c r="BG1171">
        <v>-13.7637</v>
      </c>
      <c r="BH1171">
        <v>29.4</v>
      </c>
    </row>
    <row r="1172" spans="1:60" x14ac:dyDescent="0.25">
      <c r="A1172" s="2">
        <v>44329</v>
      </c>
      <c r="B1172">
        <v>18</v>
      </c>
      <c r="C1172">
        <v>16.399999999999999</v>
      </c>
      <c r="D1172">
        <v>2.2999999999999998</v>
      </c>
      <c r="E1172">
        <v>2.2999999999999998</v>
      </c>
      <c r="F1172">
        <v>133.68</v>
      </c>
      <c r="G1172">
        <v>0.2</v>
      </c>
      <c r="H1172">
        <v>2.9</v>
      </c>
      <c r="I1172">
        <v>169.91149999999999</v>
      </c>
      <c r="J1172">
        <v>44.338900000000002</v>
      </c>
      <c r="K1172">
        <v>49.2637</v>
      </c>
      <c r="L1172">
        <v>3.6871</v>
      </c>
      <c r="M1172">
        <v>11.6021</v>
      </c>
      <c r="N1172">
        <v>-9.7678999999999991</v>
      </c>
      <c r="O1172">
        <v>-12.3886</v>
      </c>
      <c r="P1172">
        <v>32.68</v>
      </c>
      <c r="S1172">
        <f t="shared" si="399"/>
        <v>454.58330000000007</v>
      </c>
      <c r="T1172">
        <f t="shared" si="400"/>
        <v>1.6874369847750995E-2</v>
      </c>
      <c r="U1172">
        <f t="shared" si="401"/>
        <v>1.5374425861284237E-2</v>
      </c>
      <c r="V1172">
        <f t="shared" si="402"/>
        <v>2.1561694805459601E-3</v>
      </c>
      <c r="W1172">
        <f t="shared" si="403"/>
        <v>2.1561694805459601E-3</v>
      </c>
      <c r="X1172">
        <f t="shared" si="404"/>
        <v>0.12532032006929739</v>
      </c>
      <c r="Y1172">
        <f t="shared" si="405"/>
        <v>1.874929983083444E-4</v>
      </c>
      <c r="Z1172">
        <f t="shared" si="406"/>
        <v>2.7186484754709935E-3</v>
      </c>
      <c r="AA1172">
        <f t="shared" si="407"/>
        <v>0.15928608291034127</v>
      </c>
      <c r="AB1172">
        <f t="shared" si="408"/>
        <v>4.1566166513469255E-2</v>
      </c>
      <c r="AC1172">
        <f t="shared" si="409"/>
        <v>4.6182994103813928E-2</v>
      </c>
      <c r="AD1172">
        <f t="shared" si="410"/>
        <v>3.456527170313483E-3</v>
      </c>
      <c r="AE1172">
        <f t="shared" si="411"/>
        <v>1.0876562578366212E-2</v>
      </c>
      <c r="AG1172">
        <f t="shared" si="412"/>
        <v>-1.7524959371616733</v>
      </c>
      <c r="AH1172">
        <f t="shared" si="413"/>
        <v>0.1756641587915701</v>
      </c>
      <c r="AI1172">
        <f t="shared" si="414"/>
        <v>-0.56932625182813978</v>
      </c>
      <c r="AK1172" s="26">
        <f t="shared" si="415"/>
        <v>-6.0266677987673156E-3</v>
      </c>
      <c r="AL1172" s="26">
        <f t="shared" si="416"/>
        <v>-2.743327910991189E-2</v>
      </c>
      <c r="AM1172" s="26">
        <f t="shared" si="417"/>
        <v>-1.6788793397478768E-2</v>
      </c>
      <c r="AN1172" s="26">
        <f t="shared" si="418"/>
        <v>-32.94047619047619</v>
      </c>
      <c r="AO1172" s="26">
        <f t="shared" si="419"/>
        <v>-28.578214285714267</v>
      </c>
      <c r="AP1172" s="26">
        <f t="shared" si="420"/>
        <v>-25.68752212389375</v>
      </c>
      <c r="AS1172" s="2">
        <v>44308</v>
      </c>
      <c r="AT1172">
        <v>8.8000000000000007</v>
      </c>
      <c r="AU1172">
        <v>1.6</v>
      </c>
      <c r="AV1172">
        <v>55.1</v>
      </c>
      <c r="AW1172">
        <v>9.3000000000000007</v>
      </c>
      <c r="AX1172">
        <v>232.82</v>
      </c>
      <c r="AY1172">
        <v>0.2</v>
      </c>
      <c r="AZ1172">
        <v>3.7</v>
      </c>
      <c r="BA1172">
        <v>183.9554</v>
      </c>
      <c r="BB1172">
        <v>95.088399999999993</v>
      </c>
      <c r="BC1172">
        <v>84.378100000000003</v>
      </c>
      <c r="BD1172">
        <v>3.6408</v>
      </c>
      <c r="BE1172">
        <v>18.629799999999999</v>
      </c>
      <c r="BF1172">
        <v>-9.6950000000000003</v>
      </c>
      <c r="BG1172">
        <v>-14.1715</v>
      </c>
      <c r="BH1172">
        <v>29.31</v>
      </c>
    </row>
    <row r="1173" spans="1:60" x14ac:dyDescent="0.25">
      <c r="A1173" s="2">
        <v>44328</v>
      </c>
      <c r="B1173">
        <v>18.600000000000001</v>
      </c>
      <c r="C1173">
        <v>105.6</v>
      </c>
      <c r="D1173">
        <v>8.6999999999999993</v>
      </c>
      <c r="E1173">
        <v>3</v>
      </c>
      <c r="F1173">
        <v>102.13</v>
      </c>
      <c r="G1173">
        <v>0.2</v>
      </c>
      <c r="H1173">
        <v>3.1</v>
      </c>
      <c r="I1173">
        <v>262.44380000000001</v>
      </c>
      <c r="J1173">
        <v>88.660600000000002</v>
      </c>
      <c r="K1173">
        <v>100.25830000000001</v>
      </c>
      <c r="L1173">
        <v>3.6480000000000001</v>
      </c>
      <c r="M1173">
        <v>16.952300000000001</v>
      </c>
      <c r="N1173">
        <v>-10.0885</v>
      </c>
      <c r="O1173">
        <v>-13.317399999999999</v>
      </c>
      <c r="P1173">
        <v>32.36</v>
      </c>
      <c r="S1173">
        <f t="shared" si="399"/>
        <v>713.29300000000001</v>
      </c>
      <c r="T1173">
        <f t="shared" si="400"/>
        <v>1.7436848842676027E-2</v>
      </c>
      <c r="U1173">
        <f t="shared" si="401"/>
        <v>9.8996303106805822E-2</v>
      </c>
      <c r="V1173">
        <f t="shared" si="402"/>
        <v>8.1559454264129791E-3</v>
      </c>
      <c r="W1173">
        <f t="shared" si="403"/>
        <v>2.8123949746251659E-3</v>
      </c>
      <c r="X1173">
        <f t="shared" si="404"/>
        <v>9.5743299586156058E-2</v>
      </c>
      <c r="Y1173">
        <f t="shared" si="405"/>
        <v>1.874929983083444E-4</v>
      </c>
      <c r="Z1173">
        <f t="shared" si="406"/>
        <v>2.9061414737793379E-3</v>
      </c>
      <c r="AA1173">
        <f t="shared" si="407"/>
        <v>0.24603187474717736</v>
      </c>
      <c r="AB1173">
        <f t="shared" si="408"/>
        <v>8.311620862908399E-2</v>
      </c>
      <c r="AC1173">
        <f t="shared" si="409"/>
        <v>9.3988646361487418E-2</v>
      </c>
      <c r="AD1173">
        <f t="shared" si="410"/>
        <v>3.4198722891442017E-3</v>
      </c>
      <c r="AE1173">
        <f t="shared" si="411"/>
        <v>1.5892187776112732E-2</v>
      </c>
      <c r="AG1173">
        <f t="shared" si="412"/>
        <v>-1.776112729674955</v>
      </c>
      <c r="AH1173">
        <f t="shared" si="413"/>
        <v>0.24213061418487644</v>
      </c>
      <c r="AI1173">
        <f t="shared" si="414"/>
        <v>-0.17676142352866311</v>
      </c>
      <c r="AK1173" s="26">
        <f t="shared" si="415"/>
        <v>-2.3326896743343095E-3</v>
      </c>
      <c r="AL1173" s="26">
        <f t="shared" si="416"/>
        <v>-2.6514799458493554E-2</v>
      </c>
      <c r="AM1173" s="26">
        <f t="shared" si="417"/>
        <v>-1.5522763518702493E-2</v>
      </c>
      <c r="AN1173" s="26">
        <f t="shared" si="418"/>
        <v>-32.745238095238093</v>
      </c>
      <c r="AO1173" s="26">
        <f t="shared" si="419"/>
        <v>-28.40749999999997</v>
      </c>
      <c r="AP1173" s="26">
        <f t="shared" si="420"/>
        <v>-25.559469026548619</v>
      </c>
      <c r="AS1173" s="2">
        <v>44307</v>
      </c>
      <c r="AT1173">
        <v>8.8000000000000007</v>
      </c>
      <c r="AU1173">
        <v>1.9</v>
      </c>
      <c r="AV1173">
        <v>44</v>
      </c>
      <c r="AW1173">
        <v>5.5</v>
      </c>
      <c r="AX1173">
        <v>235.38</v>
      </c>
      <c r="AY1173">
        <v>0.2</v>
      </c>
      <c r="AZ1173">
        <v>3.6</v>
      </c>
      <c r="BA1173">
        <v>279.39620000000002</v>
      </c>
      <c r="BB1173">
        <v>117.7927</v>
      </c>
      <c r="BC1173">
        <v>115.6541</v>
      </c>
      <c r="BD1173">
        <v>3.4203000000000001</v>
      </c>
      <c r="BE1173">
        <v>16.386700000000001</v>
      </c>
      <c r="BF1173">
        <v>-8.2528000000000006</v>
      </c>
      <c r="BG1173">
        <v>-12.5267</v>
      </c>
      <c r="BH1173">
        <v>29.25</v>
      </c>
    </row>
    <row r="1174" spans="1:60" x14ac:dyDescent="0.25">
      <c r="A1174" s="2">
        <v>44327</v>
      </c>
      <c r="B1174">
        <v>17.2</v>
      </c>
      <c r="C1174">
        <v>4</v>
      </c>
      <c r="D1174">
        <v>13.5</v>
      </c>
      <c r="E1174">
        <v>2.8</v>
      </c>
      <c r="F1174">
        <v>142.43</v>
      </c>
      <c r="G1174">
        <v>0.2</v>
      </c>
      <c r="H1174">
        <v>3.4</v>
      </c>
      <c r="I1174">
        <v>252.54810000000001</v>
      </c>
      <c r="J1174">
        <v>108.8805</v>
      </c>
      <c r="K1174">
        <v>101.9923</v>
      </c>
      <c r="L1174">
        <v>3.6313</v>
      </c>
      <c r="M1174">
        <v>23.063300000000002</v>
      </c>
      <c r="N1174">
        <v>-8.5463000000000005</v>
      </c>
      <c r="O1174">
        <v>-10.7744</v>
      </c>
      <c r="P1174">
        <v>32.08</v>
      </c>
      <c r="S1174">
        <f t="shared" si="399"/>
        <v>673.64550000000008</v>
      </c>
      <c r="T1174">
        <f t="shared" si="400"/>
        <v>1.6124397854517615E-2</v>
      </c>
      <c r="U1174">
        <f t="shared" si="401"/>
        <v>3.7498599661668877E-3</v>
      </c>
      <c r="V1174">
        <f t="shared" si="402"/>
        <v>1.2655777385813246E-2</v>
      </c>
      <c r="W1174">
        <f t="shared" si="403"/>
        <v>2.624901976316821E-3</v>
      </c>
      <c r="X1174">
        <f t="shared" si="404"/>
        <v>0.13352313874528746</v>
      </c>
      <c r="Y1174">
        <f t="shared" si="405"/>
        <v>1.874929983083444E-4</v>
      </c>
      <c r="Z1174">
        <f t="shared" si="406"/>
        <v>3.1873809712418544E-3</v>
      </c>
      <c r="AA1174">
        <f t="shared" si="407"/>
        <v>0.23675500243037795</v>
      </c>
      <c r="AB1174">
        <f t="shared" si="408"/>
        <v>0.10207165701155844</v>
      </c>
      <c r="AC1174">
        <f t="shared" si="409"/>
        <v>9.5614210656820769E-2</v>
      </c>
      <c r="AD1174">
        <f t="shared" si="410"/>
        <v>3.4042166237854546E-3</v>
      </c>
      <c r="AE1174">
        <f t="shared" si="411"/>
        <v>2.1621036339424197E-2</v>
      </c>
      <c r="AG1174">
        <f t="shared" si="412"/>
        <v>-1.7980549263103582</v>
      </c>
      <c r="AH1174">
        <f t="shared" si="413"/>
        <v>0.19367398623707641</v>
      </c>
      <c r="AI1174">
        <f t="shared" si="414"/>
        <v>-0.46445722456874322</v>
      </c>
      <c r="AK1174" s="26">
        <f t="shared" si="415"/>
        <v>-3.9533612952356023E-3</v>
      </c>
      <c r="AL1174" s="26">
        <f t="shared" si="416"/>
        <v>-2.7226829230238891E-2</v>
      </c>
      <c r="AM1174" s="26">
        <f t="shared" si="417"/>
        <v>-1.6050617700453157E-2</v>
      </c>
      <c r="AN1174" s="26">
        <f t="shared" si="418"/>
        <v>-32.528571428571439</v>
      </c>
      <c r="AO1174" s="26">
        <f t="shared" si="419"/>
        <v>-28.230357142857113</v>
      </c>
      <c r="AP1174" s="26">
        <f t="shared" si="420"/>
        <v>-25.43017699115039</v>
      </c>
      <c r="AS1174" s="2">
        <v>44306</v>
      </c>
      <c r="AT1174">
        <v>8.9</v>
      </c>
      <c r="AU1174">
        <v>18</v>
      </c>
      <c r="AV1174">
        <v>5.2</v>
      </c>
      <c r="AW1174">
        <v>1.2</v>
      </c>
      <c r="AX1174">
        <v>223.57</v>
      </c>
      <c r="AY1174">
        <v>0.2</v>
      </c>
      <c r="AZ1174">
        <v>3.8</v>
      </c>
      <c r="BA1174">
        <v>309.47699999999998</v>
      </c>
      <c r="BB1174">
        <v>165.30779999999999</v>
      </c>
      <c r="BC1174">
        <v>183.54640000000001</v>
      </c>
      <c r="BD1174">
        <v>5.0564999999999998</v>
      </c>
      <c r="BE1174">
        <v>18.063300000000002</v>
      </c>
      <c r="BF1174">
        <v>-8.8190000000000008</v>
      </c>
      <c r="BG1174">
        <v>-12.069599999999999</v>
      </c>
      <c r="BH1174">
        <v>29.19</v>
      </c>
    </row>
    <row r="1175" spans="1:60" x14ac:dyDescent="0.25">
      <c r="A1175" s="2">
        <v>44326</v>
      </c>
      <c r="B1175">
        <v>14.1</v>
      </c>
      <c r="C1175">
        <v>5.3</v>
      </c>
      <c r="D1175">
        <v>33.1</v>
      </c>
      <c r="E1175">
        <v>6.8</v>
      </c>
      <c r="F1175">
        <v>213.85</v>
      </c>
      <c r="G1175">
        <v>0.2</v>
      </c>
      <c r="H1175">
        <v>3.7</v>
      </c>
      <c r="I1175">
        <v>159.0701</v>
      </c>
      <c r="J1175">
        <v>65.599000000000004</v>
      </c>
      <c r="K1175">
        <v>66.316199999999995</v>
      </c>
      <c r="L1175">
        <v>3.5796000000000001</v>
      </c>
      <c r="M1175">
        <v>24.082999999999998</v>
      </c>
      <c r="N1175">
        <v>-8.7573000000000008</v>
      </c>
      <c r="O1175">
        <v>-11.550599999999999</v>
      </c>
      <c r="P1175">
        <v>31.77</v>
      </c>
      <c r="S1175">
        <f t="shared" si="399"/>
        <v>595.6979</v>
      </c>
      <c r="T1175">
        <f t="shared" si="400"/>
        <v>1.3218256380738279E-2</v>
      </c>
      <c r="U1175">
        <f t="shared" si="401"/>
        <v>4.9685644551711256E-3</v>
      </c>
      <c r="V1175">
        <f t="shared" si="402"/>
        <v>3.1030091220030996E-2</v>
      </c>
      <c r="W1175">
        <f t="shared" si="403"/>
        <v>6.3747619424837088E-3</v>
      </c>
      <c r="X1175">
        <f t="shared" si="404"/>
        <v>0.20047688844119724</v>
      </c>
      <c r="Y1175">
        <f t="shared" si="405"/>
        <v>1.874929983083444E-4</v>
      </c>
      <c r="Z1175">
        <f t="shared" si="406"/>
        <v>3.4686204687043713E-3</v>
      </c>
      <c r="AA1175">
        <f t="shared" si="407"/>
        <v>0.14912264995104085</v>
      </c>
      <c r="AB1175">
        <f t="shared" si="408"/>
        <v>6.1496765980145418E-2</v>
      </c>
      <c r="AC1175">
        <f t="shared" si="409"/>
        <v>6.2169115872079135E-2</v>
      </c>
      <c r="AD1175">
        <f t="shared" si="410"/>
        <v>3.355749683722748E-3</v>
      </c>
      <c r="AE1175">
        <f t="shared" si="411"/>
        <v>2.2576969391299287E-2</v>
      </c>
      <c r="AG1175">
        <f t="shared" si="412"/>
        <v>-1.8216613072018815</v>
      </c>
      <c r="AH1175">
        <f t="shared" si="413"/>
        <v>0.28230164529793333</v>
      </c>
      <c r="AI1175">
        <f t="shared" si="414"/>
        <v>5.9305525545373605E-2</v>
      </c>
      <c r="AK1175" s="26">
        <f t="shared" si="415"/>
        <v>-2.3170340089755381E-3</v>
      </c>
      <c r="AL1175" s="26">
        <f t="shared" si="416"/>
        <v>-2.8498544016425598E-2</v>
      </c>
      <c r="AM1175" s="26">
        <f t="shared" si="417"/>
        <v>-1.5679530894509242E-2</v>
      </c>
      <c r="AN1175" s="26">
        <f t="shared" si="418"/>
        <v>-32.304285714285712</v>
      </c>
      <c r="AO1175" s="26">
        <f t="shared" si="419"/>
        <v>-28.051785714285682</v>
      </c>
      <c r="AP1175" s="26">
        <f t="shared" si="420"/>
        <v>-25.299557522123848</v>
      </c>
      <c r="AS1175" s="2">
        <v>44305</v>
      </c>
      <c r="AT1175">
        <v>8.6</v>
      </c>
      <c r="AU1175">
        <v>72.3</v>
      </c>
      <c r="AV1175">
        <v>13.4</v>
      </c>
      <c r="AW1175">
        <v>1.2</v>
      </c>
      <c r="AX1175">
        <v>149.82</v>
      </c>
      <c r="AY1175">
        <v>0.2</v>
      </c>
      <c r="AZ1175">
        <v>3.7</v>
      </c>
      <c r="BA1175">
        <v>319.83440000000002</v>
      </c>
      <c r="BB1175">
        <v>166.6123</v>
      </c>
      <c r="BC1175">
        <v>193.02350000000001</v>
      </c>
      <c r="BD1175">
        <v>3.6082000000000001</v>
      </c>
      <c r="BE1175">
        <v>26.9239</v>
      </c>
      <c r="BF1175">
        <v>-8.1388999999999996</v>
      </c>
      <c r="BG1175">
        <v>-11.881</v>
      </c>
      <c r="BH1175">
        <v>29.19</v>
      </c>
    </row>
    <row r="1176" spans="1:60" x14ac:dyDescent="0.25">
      <c r="A1176" s="2">
        <v>44325</v>
      </c>
      <c r="B1176">
        <v>12.4</v>
      </c>
      <c r="C1176">
        <v>0</v>
      </c>
      <c r="D1176">
        <v>41.1</v>
      </c>
      <c r="E1176">
        <v>5.2</v>
      </c>
      <c r="F1176">
        <v>285.08999999999997</v>
      </c>
      <c r="G1176">
        <v>0.2</v>
      </c>
      <c r="H1176">
        <v>2.9</v>
      </c>
      <c r="I1176">
        <v>75.159700000000001</v>
      </c>
      <c r="J1176">
        <v>26.078700000000001</v>
      </c>
      <c r="K1176">
        <v>26.917000000000002</v>
      </c>
      <c r="L1176">
        <v>3.5846</v>
      </c>
      <c r="M1176">
        <v>8.1278000000000006</v>
      </c>
      <c r="P1176">
        <v>31.4</v>
      </c>
      <c r="S1176">
        <f t="shared" si="399"/>
        <v>486.75779999999997</v>
      </c>
      <c r="T1176">
        <f t="shared" si="400"/>
        <v>1.1624565895117352E-2</v>
      </c>
      <c r="U1176">
        <f t="shared" si="401"/>
        <v>0</v>
      </c>
      <c r="V1176">
        <f t="shared" si="402"/>
        <v>3.8529811152364771E-2</v>
      </c>
      <c r="W1176">
        <f t="shared" si="403"/>
        <v>4.874817956016954E-3</v>
      </c>
      <c r="X1176">
        <f t="shared" si="404"/>
        <v>0.26726189443862947</v>
      </c>
      <c r="Y1176">
        <f t="shared" si="405"/>
        <v>1.874929983083444E-4</v>
      </c>
      <c r="Z1176">
        <f t="shared" si="406"/>
        <v>2.7186484754709935E-3</v>
      </c>
      <c r="AA1176">
        <f t="shared" si="407"/>
        <v>7.0459587524778364E-2</v>
      </c>
      <c r="AB1176">
        <f t="shared" si="408"/>
        <v>2.4447868274919106E-2</v>
      </c>
      <c r="AC1176">
        <f t="shared" si="409"/>
        <v>2.5233745177328529E-2</v>
      </c>
      <c r="AD1176">
        <f t="shared" si="410"/>
        <v>3.3604370086804565E-3</v>
      </c>
      <c r="AE1176">
        <f t="shared" si="411"/>
        <v>7.6195279582528079E-3</v>
      </c>
      <c r="AG1176">
        <f t="shared" si="412"/>
        <v>-1.8483791222352977</v>
      </c>
      <c r="AH1176">
        <f t="shared" si="413"/>
        <v>0.33281675887416068</v>
      </c>
      <c r="AI1176">
        <f t="shared" si="414"/>
        <v>0.35900711119765644</v>
      </c>
      <c r="AK1176" s="26">
        <f t="shared" si="415"/>
        <v>-7.736434306817086E-3</v>
      </c>
      <c r="AL1176" s="26">
        <f t="shared" si="416"/>
        <v>-3.1317971652531862E-2</v>
      </c>
      <c r="AM1176" s="26">
        <f t="shared" si="417"/>
        <v>-1.7111032470058074E-2</v>
      </c>
      <c r="AN1176" s="26">
        <f t="shared" si="418"/>
        <v>-32.064285714285703</v>
      </c>
      <c r="AO1176" s="26">
        <f t="shared" si="419"/>
        <v>-27.871071428571401</v>
      </c>
      <c r="AP1176" s="26">
        <f t="shared" si="420"/>
        <v>-25.166548672566321</v>
      </c>
      <c r="AS1176" s="2">
        <v>44304</v>
      </c>
      <c r="AT1176">
        <v>8.8000000000000007</v>
      </c>
      <c r="AU1176">
        <v>50.8</v>
      </c>
      <c r="AV1176">
        <v>10.199999999999999</v>
      </c>
      <c r="AW1176">
        <v>1.3</v>
      </c>
      <c r="AX1176">
        <v>119.33</v>
      </c>
      <c r="AY1176">
        <v>0.2</v>
      </c>
      <c r="AZ1176">
        <v>3.9</v>
      </c>
      <c r="BA1176">
        <v>290.14080000000001</v>
      </c>
      <c r="BB1176">
        <v>109.87739999999999</v>
      </c>
      <c r="BC1176">
        <v>146.01349999999999</v>
      </c>
      <c r="BD1176">
        <v>3.6179999999999999</v>
      </c>
      <c r="BE1176">
        <v>11.3338</v>
      </c>
      <c r="BH1176">
        <v>29.24</v>
      </c>
    </row>
    <row r="1177" spans="1:60" x14ac:dyDescent="0.25">
      <c r="A1177" s="2">
        <v>44324</v>
      </c>
      <c r="B1177">
        <v>14.8</v>
      </c>
      <c r="C1177">
        <v>0</v>
      </c>
      <c r="D1177">
        <v>29.4</v>
      </c>
      <c r="E1177">
        <v>2.4</v>
      </c>
      <c r="F1177">
        <v>250.63</v>
      </c>
      <c r="G1177">
        <v>0.2</v>
      </c>
      <c r="H1177">
        <v>3.5</v>
      </c>
      <c r="I1177">
        <v>141.26060000000001</v>
      </c>
      <c r="J1177">
        <v>43.718800000000002</v>
      </c>
      <c r="K1177">
        <v>58.440899999999999</v>
      </c>
      <c r="L1177">
        <v>3.7604000000000002</v>
      </c>
      <c r="M1177">
        <v>22.596299999999999</v>
      </c>
      <c r="P1177">
        <v>30.99</v>
      </c>
      <c r="S1177">
        <f t="shared" si="399"/>
        <v>570.70700000000011</v>
      </c>
      <c r="T1177">
        <f t="shared" si="400"/>
        <v>1.3874481874817485E-2</v>
      </c>
      <c r="U1177">
        <f t="shared" si="401"/>
        <v>0</v>
      </c>
      <c r="V1177">
        <f t="shared" si="402"/>
        <v>2.7561470751326624E-2</v>
      </c>
      <c r="W1177">
        <f t="shared" si="403"/>
        <v>2.2499159797001326E-3</v>
      </c>
      <c r="X1177">
        <f t="shared" si="404"/>
        <v>0.23495685083010176</v>
      </c>
      <c r="Y1177">
        <f t="shared" si="405"/>
        <v>1.874929983083444E-4</v>
      </c>
      <c r="Z1177">
        <f t="shared" si="406"/>
        <v>3.2811274703960268E-3</v>
      </c>
      <c r="AA1177">
        <f t="shared" si="407"/>
        <v>0.13242686718417856</v>
      </c>
      <c r="AB1177">
        <f t="shared" si="408"/>
        <v>4.0984844472214232E-2</v>
      </c>
      <c r="AC1177">
        <f t="shared" si="409"/>
        <v>5.4786297824190616E-2</v>
      </c>
      <c r="AD1177">
        <f t="shared" si="410"/>
        <v>3.5252433541934913E-3</v>
      </c>
      <c r="AE1177">
        <f t="shared" si="411"/>
        <v>2.1183240188374211E-2</v>
      </c>
      <c r="AG1177">
        <f t="shared" si="412"/>
        <v>-1.877289737383093</v>
      </c>
      <c r="AH1177">
        <f t="shared" si="413"/>
        <v>0.30329458009302457</v>
      </c>
      <c r="AI1177">
        <f t="shared" si="414"/>
        <v>0.18625983475782576</v>
      </c>
      <c r="AK1177" s="26">
        <f t="shared" si="415"/>
        <v>-1.342190502573426E-2</v>
      </c>
      <c r="AL1177" s="26">
        <f t="shared" si="416"/>
        <v>-3.2166600117812638E-2</v>
      </c>
      <c r="AM1177" s="26">
        <f t="shared" si="417"/>
        <v>-1.8189472285566805E-2</v>
      </c>
      <c r="AN1177" s="26">
        <f t="shared" si="418"/>
        <v>-31.811428571428561</v>
      </c>
      <c r="AO1177" s="26">
        <f t="shared" si="419"/>
        <v>-27.690892857142828</v>
      </c>
      <c r="AP1177" s="26">
        <f t="shared" si="420"/>
        <v>-25.032477876106149</v>
      </c>
      <c r="AS1177" s="2">
        <v>44303</v>
      </c>
      <c r="AT1177">
        <v>9.3000000000000007</v>
      </c>
      <c r="AU1177">
        <v>1</v>
      </c>
      <c r="AV1177">
        <v>26</v>
      </c>
      <c r="AW1177">
        <v>2.4</v>
      </c>
      <c r="AX1177">
        <v>146.44</v>
      </c>
      <c r="AY1177">
        <v>0.2</v>
      </c>
      <c r="AZ1177">
        <v>3.5</v>
      </c>
      <c r="BA1177">
        <v>276.63260000000002</v>
      </c>
      <c r="BB1177">
        <v>111.2878</v>
      </c>
      <c r="BC1177">
        <v>134.46860000000001</v>
      </c>
      <c r="BD1177">
        <v>3.6177000000000001</v>
      </c>
      <c r="BE1177">
        <v>15.710800000000001</v>
      </c>
      <c r="BH1177">
        <v>29.2</v>
      </c>
    </row>
    <row r="1178" spans="1:60" x14ac:dyDescent="0.25">
      <c r="A1178" s="2">
        <v>44323</v>
      </c>
      <c r="B1178">
        <v>15.7</v>
      </c>
      <c r="C1178">
        <v>0</v>
      </c>
      <c r="D1178">
        <v>32.4</v>
      </c>
      <c r="E1178">
        <v>6.2</v>
      </c>
      <c r="F1178">
        <v>184.06</v>
      </c>
      <c r="G1178">
        <v>0.2</v>
      </c>
      <c r="H1178">
        <v>3.4</v>
      </c>
      <c r="I1178">
        <v>224.27619999999999</v>
      </c>
      <c r="J1178">
        <v>103.5873</v>
      </c>
      <c r="K1178">
        <v>110.6527</v>
      </c>
      <c r="L1178">
        <v>3.5510000000000002</v>
      </c>
      <c r="M1178">
        <v>23.138000000000002</v>
      </c>
      <c r="N1178">
        <v>-7.1254</v>
      </c>
      <c r="O1178">
        <v>-10.6275</v>
      </c>
      <c r="P1178">
        <v>30.71</v>
      </c>
      <c r="S1178">
        <f t="shared" si="399"/>
        <v>707.16520000000003</v>
      </c>
      <c r="T1178">
        <f t="shared" si="400"/>
        <v>1.4718200367205033E-2</v>
      </c>
      <c r="U1178">
        <f t="shared" si="401"/>
        <v>0</v>
      </c>
      <c r="V1178">
        <f t="shared" si="402"/>
        <v>3.0373865725951788E-2</v>
      </c>
      <c r="W1178">
        <f t="shared" si="403"/>
        <v>5.8122829475586758E-3</v>
      </c>
      <c r="X1178">
        <f t="shared" si="404"/>
        <v>0.17254980634316933</v>
      </c>
      <c r="Y1178">
        <f t="shared" si="405"/>
        <v>1.874929983083444E-4</v>
      </c>
      <c r="Z1178">
        <f t="shared" si="406"/>
        <v>3.1873809712418544E-3</v>
      </c>
      <c r="AA1178">
        <f t="shared" si="407"/>
        <v>0.21025108593600952</v>
      </c>
      <c r="AB1178">
        <f t="shared" si="408"/>
        <v>9.7109467318329812E-2</v>
      </c>
      <c r="AC1178">
        <f t="shared" si="409"/>
        <v>0.10373303246956869</v>
      </c>
      <c r="AD1178">
        <f t="shared" si="410"/>
        <v>3.3289381849646547E-3</v>
      </c>
      <c r="AE1178">
        <f t="shared" si="411"/>
        <v>2.1691064974292362E-2</v>
      </c>
      <c r="AG1178">
        <f t="shared" si="412"/>
        <v>-1.9002183930385621</v>
      </c>
      <c r="AH1178">
        <f t="shared" si="413"/>
        <v>0.24852009432772737</v>
      </c>
      <c r="AI1178">
        <f t="shared" si="414"/>
        <v>-0.13815544038784608</v>
      </c>
      <c r="AK1178" s="26">
        <f t="shared" si="415"/>
        <v>-1.5218279906645482E-2</v>
      </c>
      <c r="AL1178" s="26">
        <f t="shared" si="416"/>
        <v>-3.1481892428436853E-2</v>
      </c>
      <c r="AM1178" s="26">
        <f t="shared" si="417"/>
        <v>-1.8417180872782241E-2</v>
      </c>
      <c r="AN1178" s="26">
        <f t="shared" si="418"/>
        <v>-31.545714285714261</v>
      </c>
      <c r="AO1178" s="26">
        <f t="shared" si="419"/>
        <v>-27.512499999999974</v>
      </c>
      <c r="AP1178" s="26">
        <f t="shared" si="420"/>
        <v>-24.89584070796456</v>
      </c>
      <c r="AS1178" s="2">
        <v>44302</v>
      </c>
      <c r="AT1178">
        <v>9.9</v>
      </c>
      <c r="AU1178">
        <v>1.2</v>
      </c>
      <c r="AV1178">
        <v>20.5</v>
      </c>
      <c r="AW1178">
        <v>4</v>
      </c>
      <c r="AX1178">
        <v>160.78</v>
      </c>
      <c r="AY1178">
        <v>0.2</v>
      </c>
      <c r="AZ1178">
        <v>3.3</v>
      </c>
      <c r="BA1178">
        <v>302.51350000000002</v>
      </c>
      <c r="BB1178">
        <v>147.60310000000001</v>
      </c>
      <c r="BC1178">
        <v>183.08510000000001</v>
      </c>
      <c r="BD1178">
        <v>3.6263000000000001</v>
      </c>
      <c r="BE1178">
        <v>19.628799999999998</v>
      </c>
      <c r="BF1178">
        <v>-9.6569000000000003</v>
      </c>
      <c r="BG1178">
        <v>-14.7157</v>
      </c>
      <c r="BH1178">
        <v>29.21</v>
      </c>
    </row>
    <row r="1179" spans="1:60" x14ac:dyDescent="0.25">
      <c r="A1179" s="2">
        <v>44322</v>
      </c>
      <c r="B1179">
        <v>14.5</v>
      </c>
      <c r="C1179">
        <v>1.6</v>
      </c>
      <c r="D1179">
        <v>32.299999999999997</v>
      </c>
      <c r="E1179">
        <v>6.6</v>
      </c>
      <c r="F1179">
        <v>151.5</v>
      </c>
      <c r="G1179">
        <v>0.2</v>
      </c>
      <c r="H1179">
        <v>3.2</v>
      </c>
      <c r="I1179">
        <v>207.33330000000001</v>
      </c>
      <c r="J1179">
        <v>112.3293</v>
      </c>
      <c r="K1179">
        <v>137.87970000000001</v>
      </c>
      <c r="L1179">
        <v>3.5794000000000001</v>
      </c>
      <c r="M1179">
        <v>24.817</v>
      </c>
      <c r="N1179">
        <v>-7.5166000000000004</v>
      </c>
      <c r="O1179">
        <v>-10.177899999999999</v>
      </c>
      <c r="P1179">
        <v>30.67</v>
      </c>
      <c r="S1179">
        <f t="shared" si="399"/>
        <v>695.8386999999999</v>
      </c>
      <c r="T1179">
        <f t="shared" si="400"/>
        <v>1.3593242377354967E-2</v>
      </c>
      <c r="U1179">
        <f t="shared" si="401"/>
        <v>1.4999439864667552E-3</v>
      </c>
      <c r="V1179">
        <f t="shared" si="402"/>
        <v>3.0280119226797617E-2</v>
      </c>
      <c r="W1179">
        <f t="shared" si="403"/>
        <v>6.1872689441753639E-3</v>
      </c>
      <c r="X1179">
        <f t="shared" si="404"/>
        <v>0.14202594621857087</v>
      </c>
      <c r="Y1179">
        <f t="shared" si="405"/>
        <v>1.874929983083444E-4</v>
      </c>
      <c r="Z1179">
        <f t="shared" si="406"/>
        <v>2.9998879729335104E-3</v>
      </c>
      <c r="AA1179">
        <f t="shared" si="407"/>
        <v>0.19436771033081729</v>
      </c>
      <c r="AB1179">
        <f t="shared" si="408"/>
        <v>0.10530478627438755</v>
      </c>
      <c r="AC1179">
        <f t="shared" si="409"/>
        <v>0.12925739179427517</v>
      </c>
      <c r="AD1179">
        <f t="shared" si="410"/>
        <v>3.3555621907244396E-3</v>
      </c>
      <c r="AE1179">
        <f t="shared" si="411"/>
        <v>2.3265068695090912E-2</v>
      </c>
      <c r="AG1179">
        <f t="shared" si="412"/>
        <v>-1.9117612278165486</v>
      </c>
      <c r="AH1179">
        <f t="shared" si="413"/>
        <v>0.22003897041969833</v>
      </c>
      <c r="AI1179">
        <f t="shared" si="414"/>
        <v>-0.30859188630556955</v>
      </c>
      <c r="AK1179" s="26">
        <f t="shared" si="415"/>
        <v>-1.9767020753890141E-2</v>
      </c>
      <c r="AL1179" s="26">
        <f t="shared" si="416"/>
        <v>-2.926782946252926E-2</v>
      </c>
      <c r="AM1179" s="26">
        <f t="shared" si="417"/>
        <v>-1.826278287752045E-2</v>
      </c>
      <c r="AN1179" s="26">
        <f t="shared" si="418"/>
        <v>-31.268571428571409</v>
      </c>
      <c r="AO1179" s="26">
        <f t="shared" si="419"/>
        <v>-27.331964285714253</v>
      </c>
      <c r="AP1179" s="26">
        <f t="shared" si="420"/>
        <v>-24.755840707964552</v>
      </c>
      <c r="AS1179" s="2">
        <v>44301</v>
      </c>
      <c r="AT1179">
        <v>10.3</v>
      </c>
      <c r="AU1179">
        <v>2.9</v>
      </c>
      <c r="AV1179">
        <v>8.6999999999999993</v>
      </c>
      <c r="AW1179">
        <v>2.7</v>
      </c>
      <c r="AX1179">
        <v>185.28</v>
      </c>
      <c r="AY1179">
        <v>0.2</v>
      </c>
      <c r="AZ1179">
        <v>3.4</v>
      </c>
      <c r="BA1179">
        <v>304.10509999999999</v>
      </c>
      <c r="BB1179">
        <v>170.57769999999999</v>
      </c>
      <c r="BC1179">
        <v>193.16309999999999</v>
      </c>
      <c r="BD1179">
        <v>3.6463999999999999</v>
      </c>
      <c r="BE1179">
        <v>17.105399999999999</v>
      </c>
      <c r="BF1179">
        <v>-6.7134999999999998</v>
      </c>
      <c r="BG1179">
        <v>-11.528700000000001</v>
      </c>
      <c r="BH1179">
        <v>29.35</v>
      </c>
    </row>
    <row r="1180" spans="1:60" x14ac:dyDescent="0.25">
      <c r="A1180" s="2">
        <v>44321</v>
      </c>
      <c r="B1180">
        <v>12.8</v>
      </c>
      <c r="C1180">
        <v>66.8</v>
      </c>
      <c r="D1180">
        <v>52.6</v>
      </c>
      <c r="E1180">
        <v>16.600000000000001</v>
      </c>
      <c r="F1180">
        <v>180.37</v>
      </c>
      <c r="G1180">
        <v>0.2</v>
      </c>
      <c r="H1180">
        <v>3.1</v>
      </c>
      <c r="I1180">
        <v>136.27260000000001</v>
      </c>
      <c r="J1180">
        <v>49.508899999999997</v>
      </c>
      <c r="K1180">
        <v>57.180999999999997</v>
      </c>
      <c r="L1180">
        <v>3.7515000000000001</v>
      </c>
      <c r="M1180">
        <v>25.048100000000002</v>
      </c>
      <c r="N1180">
        <v>-12.5707</v>
      </c>
      <c r="O1180">
        <v>-15.1478</v>
      </c>
      <c r="P1180">
        <v>30.67</v>
      </c>
      <c r="S1180">
        <f t="shared" si="399"/>
        <v>604.23209999999995</v>
      </c>
      <c r="T1180">
        <f t="shared" si="400"/>
        <v>1.1999551891734041E-2</v>
      </c>
      <c r="U1180">
        <f t="shared" si="401"/>
        <v>6.2622661434987015E-2</v>
      </c>
      <c r="V1180">
        <f t="shared" si="402"/>
        <v>4.9310658555094575E-2</v>
      </c>
      <c r="W1180">
        <f t="shared" si="403"/>
        <v>1.5561918859592586E-2</v>
      </c>
      <c r="X1180">
        <f t="shared" si="404"/>
        <v>0.16909056052438037</v>
      </c>
      <c r="Y1180">
        <f t="shared" si="405"/>
        <v>1.874929983083444E-4</v>
      </c>
      <c r="Z1180">
        <f t="shared" si="406"/>
        <v>2.9061414737793379E-3</v>
      </c>
      <c r="AA1180">
        <f t="shared" si="407"/>
        <v>0.12775079180636847</v>
      </c>
      <c r="AB1180">
        <f t="shared" si="408"/>
        <v>4.6412860519739953E-2</v>
      </c>
      <c r="AC1180">
        <f t="shared" si="409"/>
        <v>5.3605185681347201E-2</v>
      </c>
      <c r="AD1180">
        <f t="shared" si="410"/>
        <v>3.5168999157687698E-3</v>
      </c>
      <c r="AE1180">
        <f t="shared" si="411"/>
        <v>2.3481716854636205E-2</v>
      </c>
      <c r="AG1180">
        <f t="shared" si="412"/>
        <v>-1.921445469411351</v>
      </c>
      <c r="AH1180">
        <f t="shared" si="413"/>
        <v>0.33516070259251241</v>
      </c>
      <c r="AI1180">
        <f t="shared" si="414"/>
        <v>0.37119202019755304</v>
      </c>
      <c r="AK1180" s="26">
        <f t="shared" si="415"/>
        <v>-1.812522492184615E-2</v>
      </c>
      <c r="AL1180" s="26">
        <f t="shared" si="416"/>
        <v>-2.6781104803831723E-2</v>
      </c>
      <c r="AM1180" s="26">
        <f t="shared" si="417"/>
        <v>-1.7242558808371417E-2</v>
      </c>
      <c r="AN1180" s="26">
        <f t="shared" si="418"/>
        <v>-30.986190476190465</v>
      </c>
      <c r="AO1180" s="26">
        <f t="shared" si="419"/>
        <v>-27.15910714285712</v>
      </c>
      <c r="AP1180" s="26">
        <f t="shared" si="420"/>
        <v>-24.614867256637112</v>
      </c>
      <c r="AS1180" s="2">
        <v>44300</v>
      </c>
      <c r="AT1180">
        <v>11</v>
      </c>
      <c r="AU1180">
        <v>2.1</v>
      </c>
      <c r="AV1180">
        <v>18.399999999999999</v>
      </c>
      <c r="AW1180">
        <v>3.1</v>
      </c>
      <c r="AX1180">
        <v>184.12</v>
      </c>
      <c r="AY1180">
        <v>0.2</v>
      </c>
      <c r="AZ1180">
        <v>3.2</v>
      </c>
      <c r="BA1180">
        <v>293.35550000000001</v>
      </c>
      <c r="BB1180">
        <v>177.32419999999999</v>
      </c>
      <c r="BC1180">
        <v>203.66470000000001</v>
      </c>
      <c r="BD1180">
        <v>3.6587999999999998</v>
      </c>
      <c r="BE1180">
        <v>23.619800000000001</v>
      </c>
      <c r="BF1180">
        <v>-6.9992000000000001</v>
      </c>
      <c r="BG1180">
        <v>-11.7982</v>
      </c>
      <c r="BH1180">
        <v>29.59</v>
      </c>
    </row>
    <row r="1181" spans="1:60" x14ac:dyDescent="0.25">
      <c r="A1181" s="2">
        <v>44320</v>
      </c>
      <c r="B1181">
        <v>13.1</v>
      </c>
      <c r="C1181">
        <v>6.5</v>
      </c>
      <c r="D1181">
        <v>55.1</v>
      </c>
      <c r="E1181">
        <v>16.3</v>
      </c>
      <c r="F1181">
        <v>142.57</v>
      </c>
      <c r="G1181">
        <v>0.1</v>
      </c>
      <c r="H1181">
        <v>3.1</v>
      </c>
      <c r="I1181">
        <v>98.740700000000004</v>
      </c>
      <c r="J1181">
        <v>55.947099999999999</v>
      </c>
      <c r="K1181">
        <v>49.526200000000003</v>
      </c>
      <c r="L1181">
        <v>3.6008</v>
      </c>
      <c r="M1181">
        <v>19.651399999999999</v>
      </c>
      <c r="N1181">
        <v>-7.5290999999999997</v>
      </c>
      <c r="O1181">
        <v>-10.6012</v>
      </c>
      <c r="P1181">
        <v>30.64</v>
      </c>
      <c r="S1181">
        <f t="shared" si="399"/>
        <v>464.2362</v>
      </c>
      <c r="T1181">
        <f t="shared" si="400"/>
        <v>1.2280791389196556E-2</v>
      </c>
      <c r="U1181">
        <f t="shared" si="401"/>
        <v>6.0935224450211923E-3</v>
      </c>
      <c r="V1181">
        <f t="shared" si="402"/>
        <v>5.1654321033948881E-2</v>
      </c>
      <c r="W1181">
        <f t="shared" si="403"/>
        <v>1.5280679362130067E-2</v>
      </c>
      <c r="X1181">
        <f t="shared" si="404"/>
        <v>0.13365438384410327</v>
      </c>
      <c r="Y1181">
        <f t="shared" si="405"/>
        <v>9.3746499154172199E-5</v>
      </c>
      <c r="Z1181">
        <f t="shared" si="406"/>
        <v>2.9061414737793379E-3</v>
      </c>
      <c r="AA1181">
        <f t="shared" si="407"/>
        <v>9.2565949490323707E-2</v>
      </c>
      <c r="AB1181">
        <f t="shared" si="408"/>
        <v>5.2448447628283872E-2</v>
      </c>
      <c r="AC1181">
        <f t="shared" si="409"/>
        <v>4.6429078664093633E-2</v>
      </c>
      <c r="AD1181">
        <f t="shared" si="410"/>
        <v>3.3756239415434321E-3</v>
      </c>
      <c r="AE1181">
        <f t="shared" si="411"/>
        <v>1.8422499534782994E-2</v>
      </c>
      <c r="AG1181">
        <f t="shared" si="412"/>
        <v>-1.9326518847128111</v>
      </c>
      <c r="AH1181">
        <f t="shared" si="413"/>
        <v>0.24038608558211649</v>
      </c>
      <c r="AI1181">
        <f t="shared" si="414"/>
        <v>-0.18962497893717989</v>
      </c>
      <c r="AK1181" s="26">
        <f t="shared" si="415"/>
        <v>-2.4018920007741751E-2</v>
      </c>
      <c r="AL1181" s="26">
        <f t="shared" si="416"/>
        <v>-2.811719330213408E-2</v>
      </c>
      <c r="AM1181" s="26">
        <f t="shared" si="417"/>
        <v>-1.8123593385112519E-2</v>
      </c>
      <c r="AN1181" s="26">
        <f t="shared" si="418"/>
        <v>-30.693809523809506</v>
      </c>
      <c r="AO1181" s="26">
        <f t="shared" si="419"/>
        <v>-26.992321428571412</v>
      </c>
      <c r="AP1181" s="26">
        <f t="shared" si="420"/>
        <v>-24.473628318584012</v>
      </c>
      <c r="AS1181" s="2">
        <v>44299</v>
      </c>
      <c r="AT1181">
        <v>11.2</v>
      </c>
      <c r="AU1181">
        <v>2.8</v>
      </c>
      <c r="AV1181">
        <v>55.7</v>
      </c>
      <c r="AW1181">
        <v>6.5</v>
      </c>
      <c r="AX1181">
        <v>184.23</v>
      </c>
      <c r="AY1181">
        <v>0.2</v>
      </c>
      <c r="AZ1181">
        <v>3.5</v>
      </c>
      <c r="BA1181">
        <v>274.66449999999998</v>
      </c>
      <c r="BB1181">
        <v>147.7116</v>
      </c>
      <c r="BC1181">
        <v>169.7938</v>
      </c>
      <c r="BD1181">
        <v>3.762</v>
      </c>
      <c r="BE1181">
        <v>16.968299999999999</v>
      </c>
      <c r="BF1181">
        <v>-6.8712999999999997</v>
      </c>
      <c r="BG1181">
        <v>-11.987299999999999</v>
      </c>
      <c r="BH1181">
        <v>29.86</v>
      </c>
    </row>
    <row r="1182" spans="1:60" x14ac:dyDescent="0.25">
      <c r="A1182" s="2">
        <v>44319</v>
      </c>
      <c r="B1182">
        <v>14.6</v>
      </c>
      <c r="C1182">
        <v>4.4000000000000004</v>
      </c>
      <c r="D1182">
        <v>22.7</v>
      </c>
      <c r="E1182">
        <v>5.2</v>
      </c>
      <c r="F1182">
        <v>216.59</v>
      </c>
      <c r="G1182">
        <v>0.2</v>
      </c>
      <c r="H1182">
        <v>3.5</v>
      </c>
      <c r="I1182">
        <v>185.56780000000001</v>
      </c>
      <c r="J1182">
        <v>103.56780000000001</v>
      </c>
      <c r="K1182">
        <v>89.212599999999995</v>
      </c>
      <c r="L1182">
        <v>3.6012</v>
      </c>
      <c r="M1182">
        <v>23.813500000000001</v>
      </c>
      <c r="N1182">
        <v>-7.8642000000000003</v>
      </c>
      <c r="O1182">
        <v>-9.5045000000000002</v>
      </c>
      <c r="P1182">
        <v>30.52</v>
      </c>
      <c r="S1182">
        <f t="shared" si="399"/>
        <v>672.95289999999989</v>
      </c>
      <c r="T1182">
        <f t="shared" si="400"/>
        <v>1.368698887650914E-2</v>
      </c>
      <c r="U1182">
        <f t="shared" si="401"/>
        <v>4.1248459627835771E-3</v>
      </c>
      <c r="V1182">
        <f t="shared" si="402"/>
        <v>2.1280455307997086E-2</v>
      </c>
      <c r="W1182">
        <f t="shared" si="403"/>
        <v>4.874817956016954E-3</v>
      </c>
      <c r="X1182">
        <f t="shared" si="404"/>
        <v>0.20304554251802154</v>
      </c>
      <c r="Y1182">
        <f t="shared" si="405"/>
        <v>1.874929983083444E-4</v>
      </c>
      <c r="Z1182">
        <f t="shared" si="406"/>
        <v>3.2811274703960268E-3</v>
      </c>
      <c r="AA1182">
        <f t="shared" si="407"/>
        <v>0.17396331605741594</v>
      </c>
      <c r="AB1182">
        <f t="shared" si="408"/>
        <v>9.7091186750994748E-2</v>
      </c>
      <c r="AC1182">
        <f t="shared" si="409"/>
        <v>8.3633689304415018E-2</v>
      </c>
      <c r="AD1182">
        <f t="shared" si="410"/>
        <v>3.375998927540049E-3</v>
      </c>
      <c r="AE1182">
        <f t="shared" si="411"/>
        <v>2.2324322576078796E-2</v>
      </c>
      <c r="AG1182">
        <f t="shared" si="412"/>
        <v>-1.9483337202249895</v>
      </c>
      <c r="AH1182">
        <f t="shared" si="413"/>
        <v>0.27280559366611146</v>
      </c>
      <c r="AI1182">
        <f t="shared" si="414"/>
        <v>2.5219697048620218E-3</v>
      </c>
      <c r="AK1182" s="26">
        <f t="shared" si="415"/>
        <v>-2.3876983343903313E-2</v>
      </c>
      <c r="AL1182" s="26">
        <f t="shared" si="416"/>
        <v>-2.7931081390643597E-2</v>
      </c>
      <c r="AM1182" s="26">
        <f t="shared" si="417"/>
        <v>-1.7629594963397083E-2</v>
      </c>
      <c r="AN1182" s="26">
        <f t="shared" si="418"/>
        <v>-30.389523809523816</v>
      </c>
      <c r="AO1182" s="26">
        <f t="shared" si="419"/>
        <v>-26.830535714285709</v>
      </c>
      <c r="AP1182" s="26">
        <f t="shared" si="420"/>
        <v>-24.330884955752154</v>
      </c>
      <c r="AS1182" s="2">
        <v>44298</v>
      </c>
      <c r="AT1182">
        <v>11.2</v>
      </c>
      <c r="AU1182">
        <v>0.7</v>
      </c>
      <c r="AV1182">
        <v>42</v>
      </c>
      <c r="AW1182">
        <v>5.0999999999999996</v>
      </c>
      <c r="AX1182">
        <v>121.89</v>
      </c>
      <c r="AY1182">
        <v>0.2</v>
      </c>
      <c r="AZ1182">
        <v>3.5</v>
      </c>
      <c r="BA1182">
        <v>301.41750000000002</v>
      </c>
      <c r="BB1182">
        <v>153.482</v>
      </c>
      <c r="BC1182">
        <v>182.7612</v>
      </c>
      <c r="BD1182">
        <v>4.2704000000000004</v>
      </c>
      <c r="BE1182">
        <v>27.672599999999999</v>
      </c>
      <c r="BF1182">
        <v>-6.8548999999999998</v>
      </c>
      <c r="BG1182">
        <v>-11.7019</v>
      </c>
      <c r="BH1182">
        <v>30.15</v>
      </c>
    </row>
    <row r="1183" spans="1:60" x14ac:dyDescent="0.25">
      <c r="A1183" s="2">
        <v>44318</v>
      </c>
      <c r="B1183">
        <v>15.4</v>
      </c>
      <c r="C1183">
        <v>1.2</v>
      </c>
      <c r="D1183">
        <v>41.1</v>
      </c>
      <c r="E1183">
        <v>2.6</v>
      </c>
      <c r="F1183">
        <v>132.16999999999999</v>
      </c>
      <c r="G1183">
        <v>0.1</v>
      </c>
      <c r="H1183">
        <v>3.5</v>
      </c>
      <c r="I1183">
        <v>175.20160000000001</v>
      </c>
      <c r="J1183">
        <v>58.039000000000001</v>
      </c>
      <c r="K1183">
        <v>60.613700000000001</v>
      </c>
      <c r="L1183">
        <v>3.5981999999999998</v>
      </c>
      <c r="M1183">
        <v>9.6187000000000005</v>
      </c>
      <c r="P1183">
        <v>30.42</v>
      </c>
      <c r="S1183">
        <f t="shared" si="399"/>
        <v>503.14120000000003</v>
      </c>
      <c r="T1183">
        <f t="shared" si="400"/>
        <v>1.4436960869742518E-2</v>
      </c>
      <c r="U1183">
        <f t="shared" si="401"/>
        <v>1.1249579898500663E-3</v>
      </c>
      <c r="V1183">
        <f t="shared" si="402"/>
        <v>3.8529811152364771E-2</v>
      </c>
      <c r="W1183">
        <f t="shared" si="403"/>
        <v>2.437408978008477E-3</v>
      </c>
      <c r="X1183">
        <f t="shared" si="404"/>
        <v>0.12390474793206938</v>
      </c>
      <c r="Y1183">
        <f t="shared" si="405"/>
        <v>9.3746499154172199E-5</v>
      </c>
      <c r="Z1183">
        <f t="shared" si="406"/>
        <v>3.2811274703960268E-3</v>
      </c>
      <c r="AA1183">
        <f t="shared" si="407"/>
        <v>0.16424536646209617</v>
      </c>
      <c r="AB1183">
        <f t="shared" si="408"/>
        <v>5.4409530644090001E-2</v>
      </c>
      <c r="AC1183">
        <f t="shared" si="409"/>
        <v>5.6823221757812473E-2</v>
      </c>
      <c r="AD1183">
        <f t="shared" si="410"/>
        <v>3.3731865325654234E-3</v>
      </c>
      <c r="AE1183">
        <f t="shared" si="411"/>
        <v>9.0171945141423616E-3</v>
      </c>
      <c r="AG1183">
        <f t="shared" si="412"/>
        <v>-1.9631858081358708</v>
      </c>
      <c r="AH1183">
        <f t="shared" si="413"/>
        <v>0.19282595540572778</v>
      </c>
      <c r="AI1183">
        <f t="shared" si="414"/>
        <v>-0.47108959133592665</v>
      </c>
      <c r="AK1183" s="26">
        <f t="shared" si="415"/>
        <v>-3.9802839505569398E-2</v>
      </c>
      <c r="AL1183" s="26">
        <f t="shared" si="416"/>
        <v>-2.7551773010798059E-2</v>
      </c>
      <c r="AM1183" s="26">
        <f t="shared" si="417"/>
        <v>-1.7974909778223969E-2</v>
      </c>
      <c r="AN1183" s="26">
        <f t="shared" si="418"/>
        <v>-30.060000000000002</v>
      </c>
      <c r="AO1183" s="26">
        <f t="shared" si="419"/>
        <v>-26.667499999999986</v>
      </c>
      <c r="AP1183" s="26">
        <f t="shared" si="420"/>
        <v>-24.186017699114991</v>
      </c>
      <c r="AS1183" s="2">
        <v>44297</v>
      </c>
      <c r="AT1183">
        <v>10.3</v>
      </c>
      <c r="AU1183">
        <v>6.3</v>
      </c>
      <c r="AV1183">
        <v>58.3</v>
      </c>
      <c r="AW1183">
        <v>7.6</v>
      </c>
      <c r="AX1183">
        <v>150.25</v>
      </c>
      <c r="AY1183">
        <v>0.2</v>
      </c>
      <c r="AZ1183">
        <v>3.3</v>
      </c>
      <c r="BA1183">
        <v>193.17250000000001</v>
      </c>
      <c r="BB1183">
        <v>73.554699999999997</v>
      </c>
      <c r="BC1183">
        <v>64.356399999999994</v>
      </c>
      <c r="BD1183">
        <v>3.7195</v>
      </c>
      <c r="BE1183">
        <v>13.5282</v>
      </c>
      <c r="BH1183">
        <v>30.41</v>
      </c>
    </row>
    <row r="1184" spans="1:60" x14ac:dyDescent="0.25">
      <c r="A1184" s="2">
        <v>44317</v>
      </c>
      <c r="B1184">
        <v>14.4</v>
      </c>
      <c r="C1184">
        <v>16.899999999999999</v>
      </c>
      <c r="D1184">
        <v>4.3</v>
      </c>
      <c r="E1184">
        <v>0.5</v>
      </c>
      <c r="F1184">
        <v>155.77000000000001</v>
      </c>
      <c r="G1184">
        <v>0.1</v>
      </c>
      <c r="H1184">
        <v>3.6</v>
      </c>
      <c r="I1184">
        <v>227.47479999999999</v>
      </c>
      <c r="J1184">
        <v>75.411900000000003</v>
      </c>
      <c r="K1184">
        <v>72.926500000000004</v>
      </c>
      <c r="L1184">
        <v>3.5592999999999999</v>
      </c>
      <c r="M1184">
        <v>12.756500000000001</v>
      </c>
      <c r="P1184">
        <v>30.21</v>
      </c>
      <c r="S1184">
        <f t="shared" si="399"/>
        <v>587.69899999999996</v>
      </c>
      <c r="T1184">
        <f t="shared" si="400"/>
        <v>1.3499495878200795E-2</v>
      </c>
      <c r="U1184">
        <f t="shared" si="401"/>
        <v>1.58431583570551E-2</v>
      </c>
      <c r="V1184">
        <f t="shared" si="402"/>
        <v>4.0310994636294038E-3</v>
      </c>
      <c r="W1184">
        <f t="shared" si="403"/>
        <v>4.6873249577086097E-4</v>
      </c>
      <c r="X1184">
        <f t="shared" si="404"/>
        <v>0.14602892173245402</v>
      </c>
      <c r="Y1184">
        <f t="shared" si="405"/>
        <v>9.3746499154172199E-5</v>
      </c>
      <c r="Z1184">
        <f t="shared" si="406"/>
        <v>3.3748739695501988E-3</v>
      </c>
      <c r="AA1184">
        <f t="shared" si="407"/>
        <v>0.21324966145795488</v>
      </c>
      <c r="AB1184">
        <f t="shared" si="408"/>
        <v>7.0696016195645181E-2</v>
      </c>
      <c r="AC1184">
        <f t="shared" si="409"/>
        <v>6.8366040705667389E-2</v>
      </c>
      <c r="AD1184">
        <f t="shared" si="410"/>
        <v>3.3367191443944505E-3</v>
      </c>
      <c r="AE1184">
        <f t="shared" si="411"/>
        <v>1.1958772164601976E-2</v>
      </c>
      <c r="AG1184">
        <f t="shared" si="412"/>
        <v>-1.9835702562455155</v>
      </c>
      <c r="AH1184">
        <f t="shared" si="413"/>
        <v>0.19529880056041651</v>
      </c>
      <c r="AI1184">
        <f t="shared" si="414"/>
        <v>-0.45707376634557839</v>
      </c>
      <c r="AK1184" s="26">
        <f t="shared" si="415"/>
        <v>-3.8150378893216763E-2</v>
      </c>
      <c r="AL1184" s="26">
        <f t="shared" si="416"/>
        <v>-2.4511893785752165E-2</v>
      </c>
      <c r="AM1184" s="26">
        <f t="shared" si="417"/>
        <v>-1.7757233725648081E-2</v>
      </c>
      <c r="AN1184" s="26">
        <f t="shared" si="418"/>
        <v>-29.711428571428574</v>
      </c>
      <c r="AO1184" s="26">
        <f t="shared" si="419"/>
        <v>-26.504107142857126</v>
      </c>
      <c r="AP1184" s="26">
        <f t="shared" si="420"/>
        <v>-24.040530973451276</v>
      </c>
      <c r="AS1184" s="2">
        <v>44296</v>
      </c>
      <c r="AT1184">
        <v>9.9</v>
      </c>
      <c r="AU1184">
        <v>1.5</v>
      </c>
      <c r="AV1184">
        <v>11.7</v>
      </c>
      <c r="AW1184">
        <v>2.9</v>
      </c>
      <c r="AX1184">
        <v>126.2</v>
      </c>
      <c r="AY1184">
        <v>0.2</v>
      </c>
      <c r="AZ1184">
        <v>3</v>
      </c>
      <c r="BA1184">
        <v>241.46289999999999</v>
      </c>
      <c r="BB1184">
        <v>88.150199999999998</v>
      </c>
      <c r="BC1184">
        <v>154.6782</v>
      </c>
      <c r="BD1184">
        <v>3.6214</v>
      </c>
      <c r="BE1184">
        <v>21.484500000000001</v>
      </c>
      <c r="BH1184">
        <v>30.46</v>
      </c>
    </row>
    <row r="1185" spans="1:60" x14ac:dyDescent="0.25">
      <c r="A1185" s="2">
        <v>44316</v>
      </c>
      <c r="B1185">
        <v>12.1</v>
      </c>
      <c r="C1185">
        <v>19.8</v>
      </c>
      <c r="D1185">
        <v>11.9</v>
      </c>
      <c r="E1185">
        <v>2.4</v>
      </c>
      <c r="F1185">
        <v>157.16999999999999</v>
      </c>
      <c r="G1185">
        <v>0.1</v>
      </c>
      <c r="H1185">
        <v>3.2</v>
      </c>
      <c r="I1185">
        <v>297.98219999999998</v>
      </c>
      <c r="J1185">
        <v>141.84639999999999</v>
      </c>
      <c r="K1185">
        <v>142.18940000000001</v>
      </c>
      <c r="L1185">
        <v>3.5583999999999998</v>
      </c>
      <c r="M1185">
        <v>23.815300000000001</v>
      </c>
      <c r="N1185">
        <v>-12.6668</v>
      </c>
      <c r="O1185">
        <v>-15.232699999999999</v>
      </c>
      <c r="P1185">
        <v>30.04</v>
      </c>
      <c r="S1185">
        <f t="shared" si="399"/>
        <v>816.06169999999986</v>
      </c>
      <c r="T1185">
        <f t="shared" si="400"/>
        <v>1.1343326397654835E-2</v>
      </c>
      <c r="U1185">
        <f t="shared" si="401"/>
        <v>1.8561806832526093E-2</v>
      </c>
      <c r="V1185">
        <f t="shared" si="402"/>
        <v>1.115583339934649E-2</v>
      </c>
      <c r="W1185">
        <f t="shared" si="403"/>
        <v>2.2499159797001326E-3</v>
      </c>
      <c r="X1185">
        <f t="shared" si="404"/>
        <v>0.14734137272061243</v>
      </c>
      <c r="Y1185">
        <f t="shared" si="405"/>
        <v>9.3746499154172199E-5</v>
      </c>
      <c r="Z1185">
        <f t="shared" si="406"/>
        <v>2.9998879729335104E-3</v>
      </c>
      <c r="AA1185">
        <f t="shared" si="407"/>
        <v>0.27934788060258364</v>
      </c>
      <c r="AB1185">
        <f t="shared" si="408"/>
        <v>0.1329760341762237</v>
      </c>
      <c r="AC1185">
        <f t="shared" si="409"/>
        <v>0.13329758466832253</v>
      </c>
      <c r="AD1185">
        <f t="shared" si="410"/>
        <v>3.335875425902063E-3</v>
      </c>
      <c r="AE1185">
        <f t="shared" si="411"/>
        <v>2.2326010013063571E-2</v>
      </c>
      <c r="AG1185">
        <f t="shared" si="412"/>
        <v>-2.0022065701055389</v>
      </c>
      <c r="AH1185">
        <f t="shared" si="413"/>
        <v>0.21607189981499125</v>
      </c>
      <c r="AI1185">
        <f t="shared" si="414"/>
        <v>-0.33559511245170598</v>
      </c>
      <c r="AK1185" s="26">
        <f t="shared" si="415"/>
        <v>-4.0562293287574269E-2</v>
      </c>
      <c r="AL1185" s="26">
        <f t="shared" si="416"/>
        <v>-2.153247603052677E-2</v>
      </c>
      <c r="AM1185" s="26">
        <f t="shared" si="417"/>
        <v>-1.7660396910481962E-2</v>
      </c>
      <c r="AN1185" s="26">
        <f t="shared" si="418"/>
        <v>-29.372380952380944</v>
      </c>
      <c r="AO1185" s="26">
        <f t="shared" si="419"/>
        <v>-26.351785714285697</v>
      </c>
      <c r="AP1185" s="26">
        <f t="shared" si="420"/>
        <v>-23.897610619468978</v>
      </c>
      <c r="AS1185" s="2">
        <v>44295</v>
      </c>
      <c r="AT1185">
        <v>9.9</v>
      </c>
      <c r="AU1185">
        <v>3.2</v>
      </c>
      <c r="AV1185">
        <v>44.4</v>
      </c>
      <c r="AW1185">
        <v>8.9</v>
      </c>
      <c r="AX1185">
        <v>199.4</v>
      </c>
      <c r="AY1185">
        <v>0.2</v>
      </c>
      <c r="AZ1185">
        <v>3</v>
      </c>
      <c r="BA1185">
        <v>198.08250000000001</v>
      </c>
      <c r="BB1185">
        <v>107.5356</v>
      </c>
      <c r="BC1185">
        <v>109.8365</v>
      </c>
      <c r="BD1185">
        <v>3.6</v>
      </c>
      <c r="BE1185">
        <v>26.345500000000001</v>
      </c>
      <c r="BF1185">
        <v>-7.1079999999999997</v>
      </c>
      <c r="BG1185">
        <v>-12.727499999999999</v>
      </c>
      <c r="BH1185">
        <v>30.44</v>
      </c>
    </row>
    <row r="1186" spans="1:60" x14ac:dyDescent="0.25">
      <c r="A1186" s="2">
        <v>44315</v>
      </c>
      <c r="B1186">
        <v>11.1</v>
      </c>
      <c r="C1186">
        <v>0.3</v>
      </c>
      <c r="D1186">
        <v>48.7</v>
      </c>
      <c r="E1186">
        <v>5.2</v>
      </c>
      <c r="F1186">
        <v>154.80000000000001</v>
      </c>
      <c r="G1186">
        <v>0.1</v>
      </c>
      <c r="H1186">
        <v>3.1</v>
      </c>
      <c r="I1186">
        <v>287.81970000000001</v>
      </c>
      <c r="J1186">
        <v>113.4357</v>
      </c>
      <c r="K1186">
        <v>105.68300000000001</v>
      </c>
      <c r="L1186">
        <v>3.6566000000000001</v>
      </c>
      <c r="M1186">
        <v>20.830200000000001</v>
      </c>
      <c r="N1186">
        <v>-11.411</v>
      </c>
      <c r="O1186">
        <v>-14.6906</v>
      </c>
      <c r="P1186">
        <v>30.23</v>
      </c>
      <c r="S1186">
        <f t="shared" si="399"/>
        <v>754.72519999999997</v>
      </c>
      <c r="T1186">
        <f t="shared" si="400"/>
        <v>1.0405861406113113E-2</v>
      </c>
      <c r="U1186">
        <f t="shared" si="401"/>
        <v>2.8123949746251657E-4</v>
      </c>
      <c r="V1186">
        <f t="shared" si="402"/>
        <v>4.5654545088081859E-2</v>
      </c>
      <c r="W1186">
        <f t="shared" si="403"/>
        <v>4.874817956016954E-3</v>
      </c>
      <c r="X1186">
        <f t="shared" si="404"/>
        <v>0.14511958069065856</v>
      </c>
      <c r="Y1186">
        <f t="shared" si="405"/>
        <v>9.3746499154172199E-5</v>
      </c>
      <c r="Z1186">
        <f t="shared" si="406"/>
        <v>2.9061414737793379E-3</v>
      </c>
      <c r="AA1186">
        <f t="shared" si="407"/>
        <v>0.26982089262604098</v>
      </c>
      <c r="AB1186">
        <f t="shared" si="408"/>
        <v>0.1063419975410293</v>
      </c>
      <c r="AC1186">
        <f t="shared" si="409"/>
        <v>9.9074112701103806E-2</v>
      </c>
      <c r="AD1186">
        <f t="shared" si="410"/>
        <v>3.4279344880714605E-3</v>
      </c>
      <c r="AE1186">
        <f t="shared" si="411"/>
        <v>1.9527583266812375E-2</v>
      </c>
      <c r="AG1186">
        <f t="shared" si="412"/>
        <v>-2.0032140447336082</v>
      </c>
      <c r="AH1186">
        <f t="shared" si="413"/>
        <v>0.22886351587807888</v>
      </c>
      <c r="AI1186">
        <f t="shared" si="414"/>
        <v>-0.26034435610076295</v>
      </c>
      <c r="AK1186" s="26">
        <f t="shared" si="415"/>
        <v>-4.2374551503913671E-2</v>
      </c>
      <c r="AL1186" s="26">
        <f t="shared" si="416"/>
        <v>-2.1278796329770949E-2</v>
      </c>
      <c r="AM1186" s="26">
        <f t="shared" si="417"/>
        <v>-1.8348867052194989E-2</v>
      </c>
      <c r="AN1186" s="26">
        <f t="shared" si="418"/>
        <v>-29.025714285714283</v>
      </c>
      <c r="AO1186" s="26">
        <f t="shared" si="419"/>
        <v>-26.204821428571428</v>
      </c>
      <c r="AP1186" s="26">
        <f t="shared" si="420"/>
        <v>-23.751504424778716</v>
      </c>
      <c r="AS1186" s="2">
        <v>44294</v>
      </c>
      <c r="AT1186">
        <v>10.4</v>
      </c>
      <c r="AU1186">
        <v>0.7</v>
      </c>
      <c r="AV1186">
        <v>60.5</v>
      </c>
      <c r="AW1186">
        <v>10</v>
      </c>
      <c r="AX1186">
        <v>142.69</v>
      </c>
      <c r="AY1186">
        <v>0.2</v>
      </c>
      <c r="AZ1186">
        <v>3.1</v>
      </c>
      <c r="BA1186">
        <v>217.22239999999999</v>
      </c>
      <c r="BB1186">
        <v>111.5457</v>
      </c>
      <c r="BC1186">
        <v>134.4435</v>
      </c>
      <c r="BD1186">
        <v>3.7040000000000002</v>
      </c>
      <c r="BE1186">
        <v>36.565399999999997</v>
      </c>
      <c r="BF1186">
        <v>-8.0105000000000004</v>
      </c>
      <c r="BG1186">
        <v>-13.097300000000001</v>
      </c>
      <c r="BH1186">
        <v>30.61</v>
      </c>
    </row>
    <row r="1187" spans="1:60" x14ac:dyDescent="0.25">
      <c r="A1187" s="2">
        <v>44314</v>
      </c>
      <c r="B1187">
        <v>10.4</v>
      </c>
      <c r="C1187">
        <v>3.6</v>
      </c>
      <c r="D1187">
        <v>23.4</v>
      </c>
      <c r="E1187">
        <v>4</v>
      </c>
      <c r="F1187">
        <v>267.27999999999997</v>
      </c>
      <c r="G1187">
        <v>0.1</v>
      </c>
      <c r="H1187">
        <v>3.4</v>
      </c>
      <c r="I1187">
        <v>269.51769999999999</v>
      </c>
      <c r="J1187">
        <v>121.4911</v>
      </c>
      <c r="K1187">
        <v>105.96380000000001</v>
      </c>
      <c r="L1187">
        <v>3.4222999999999999</v>
      </c>
      <c r="M1187">
        <v>22.259699999999999</v>
      </c>
      <c r="N1187">
        <v>-8.7104999999999997</v>
      </c>
      <c r="O1187">
        <v>-13.418799999999999</v>
      </c>
      <c r="P1187">
        <v>30.13</v>
      </c>
      <c r="S1187">
        <f t="shared" si="399"/>
        <v>834.8345999999998</v>
      </c>
      <c r="T1187">
        <f t="shared" si="400"/>
        <v>9.749635912033908E-3</v>
      </c>
      <c r="U1187">
        <f t="shared" si="401"/>
        <v>3.3748739695501988E-3</v>
      </c>
      <c r="V1187">
        <f t="shared" si="402"/>
        <v>2.1936680802076291E-2</v>
      </c>
      <c r="W1187">
        <f t="shared" si="403"/>
        <v>3.7498599661668877E-3</v>
      </c>
      <c r="X1187">
        <f t="shared" si="404"/>
        <v>0.25056564293927142</v>
      </c>
      <c r="Y1187">
        <f t="shared" si="405"/>
        <v>9.3746499154172199E-5</v>
      </c>
      <c r="Z1187">
        <f t="shared" si="406"/>
        <v>3.1873809712418544E-3</v>
      </c>
      <c r="AA1187">
        <f t="shared" si="407"/>
        <v>0.25266340835084433</v>
      </c>
      <c r="AB1187">
        <f t="shared" si="408"/>
        <v>0.1138936530338945</v>
      </c>
      <c r="AC1187">
        <f t="shared" si="409"/>
        <v>9.9337352870728715E-2</v>
      </c>
      <c r="AD1187">
        <f t="shared" si="410"/>
        <v>3.2082864405532348E-3</v>
      </c>
      <c r="AE1187">
        <f t="shared" si="411"/>
        <v>2.0867689472221267E-2</v>
      </c>
      <c r="AG1187">
        <f t="shared" si="412"/>
        <v>-2.0185099643108253</v>
      </c>
      <c r="AH1187">
        <f t="shared" si="413"/>
        <v>0.31352551053171596</v>
      </c>
      <c r="AI1187">
        <f t="shared" si="414"/>
        <v>0.24173710801373369</v>
      </c>
      <c r="AK1187" s="26">
        <f t="shared" si="415"/>
        <v>-4.5341257680265645E-2</v>
      </c>
      <c r="AL1187" s="26">
        <f t="shared" si="416"/>
        <v>-2.0693505128703604E-2</v>
      </c>
      <c r="AM1187" s="26">
        <f t="shared" si="417"/>
        <v>-1.8742064758098753E-2</v>
      </c>
      <c r="AN1187" s="26">
        <f t="shared" si="418"/>
        <v>-28.681904761904754</v>
      </c>
      <c r="AO1187" s="26">
        <f t="shared" si="419"/>
        <v>-26.066964285714288</v>
      </c>
      <c r="AP1187" s="26">
        <f t="shared" si="420"/>
        <v>-23.60699115044244</v>
      </c>
      <c r="AS1187" s="2">
        <v>44293</v>
      </c>
      <c r="AT1187">
        <v>11.5</v>
      </c>
      <c r="AU1187">
        <v>16.100000000000001</v>
      </c>
      <c r="AV1187">
        <v>63.7</v>
      </c>
      <c r="AW1187">
        <v>12</v>
      </c>
      <c r="AX1187">
        <v>102.22</v>
      </c>
      <c r="AY1187">
        <v>0.2</v>
      </c>
      <c r="AZ1187">
        <v>3.1</v>
      </c>
      <c r="BA1187">
        <v>202.7149</v>
      </c>
      <c r="BB1187">
        <v>84.743600000000001</v>
      </c>
      <c r="BC1187">
        <v>116.5117</v>
      </c>
      <c r="BD1187">
        <v>3.6132</v>
      </c>
      <c r="BE1187">
        <v>31.547799999999999</v>
      </c>
      <c r="BF1187">
        <v>-8.4246999999999996</v>
      </c>
      <c r="BG1187">
        <v>-14.018700000000001</v>
      </c>
      <c r="BH1187">
        <v>30.83</v>
      </c>
    </row>
    <row r="1188" spans="1:60" x14ac:dyDescent="0.25">
      <c r="A1188" s="2">
        <v>44313</v>
      </c>
      <c r="B1188">
        <v>10.1</v>
      </c>
      <c r="C1188">
        <v>16.100000000000001</v>
      </c>
      <c r="D1188">
        <v>22.8</v>
      </c>
      <c r="E1188">
        <v>4.0999999999999996</v>
      </c>
      <c r="F1188">
        <v>301.07</v>
      </c>
      <c r="G1188">
        <v>0.1</v>
      </c>
      <c r="H1188">
        <v>3.7</v>
      </c>
      <c r="I1188">
        <v>263.36189999999999</v>
      </c>
      <c r="J1188">
        <v>109.3359</v>
      </c>
      <c r="K1188">
        <v>105.55719999999999</v>
      </c>
      <c r="L1188">
        <v>3.1812999999999998</v>
      </c>
      <c r="M1188">
        <v>23.053599999999999</v>
      </c>
      <c r="N1188">
        <v>-8.5485000000000007</v>
      </c>
      <c r="O1188">
        <v>-13.136900000000001</v>
      </c>
      <c r="P1188">
        <v>30.04</v>
      </c>
      <c r="S1188">
        <f t="shared" si="399"/>
        <v>862.45989999999995</v>
      </c>
      <c r="T1188">
        <f t="shared" si="400"/>
        <v>9.4683964145713916E-3</v>
      </c>
      <c r="U1188">
        <f t="shared" si="401"/>
        <v>1.5093186363821724E-2</v>
      </c>
      <c r="V1188">
        <f t="shared" si="402"/>
        <v>2.1374201807151261E-2</v>
      </c>
      <c r="W1188">
        <f t="shared" si="403"/>
        <v>3.8436064653210593E-3</v>
      </c>
      <c r="X1188">
        <f t="shared" si="404"/>
        <v>0.28224258500346622</v>
      </c>
      <c r="Y1188">
        <f t="shared" si="405"/>
        <v>9.3746499154172199E-5</v>
      </c>
      <c r="Z1188">
        <f t="shared" si="406"/>
        <v>3.4686204687043713E-3</v>
      </c>
      <c r="AA1188">
        <f t="shared" si="407"/>
        <v>0.24689256135591181</v>
      </c>
      <c r="AB1188">
        <f t="shared" si="408"/>
        <v>0.10249857856870655</v>
      </c>
      <c r="AC1188">
        <f t="shared" si="409"/>
        <v>9.8956179605167838E-2</v>
      </c>
      <c r="AD1188">
        <f t="shared" si="410"/>
        <v>2.9823573775916799E-3</v>
      </c>
      <c r="AE1188">
        <f t="shared" si="411"/>
        <v>2.1611942929006239E-2</v>
      </c>
      <c r="AG1188">
        <f t="shared" si="412"/>
        <v>-2.0334665874049582</v>
      </c>
      <c r="AH1188">
        <f t="shared" si="413"/>
        <v>0.35719628595119646</v>
      </c>
      <c r="AI1188">
        <f t="shared" si="414"/>
        <v>0.50161993212794931</v>
      </c>
      <c r="AK1188" s="26">
        <f t="shared" si="415"/>
        <v>-5.3128265991316814E-2</v>
      </c>
      <c r="AL1188" s="26">
        <f t="shared" si="416"/>
        <v>-2.1091048876679203E-2</v>
      </c>
      <c r="AM1188" s="26">
        <f t="shared" si="417"/>
        <v>-1.9239784003254101E-2</v>
      </c>
      <c r="AN1188" s="26">
        <f t="shared" si="418"/>
        <v>-28.325238095238095</v>
      </c>
      <c r="AO1188" s="26">
        <f t="shared" si="419"/>
        <v>-25.932857142857163</v>
      </c>
      <c r="AP1188" s="26">
        <f t="shared" si="420"/>
        <v>-23.461681415929171</v>
      </c>
      <c r="AS1188" s="2">
        <v>44292</v>
      </c>
      <c r="AT1188">
        <v>10.8</v>
      </c>
      <c r="AU1188">
        <v>2.6</v>
      </c>
      <c r="AV1188">
        <v>82.1</v>
      </c>
      <c r="AW1188">
        <v>10.8</v>
      </c>
      <c r="AX1188">
        <v>137.55000000000001</v>
      </c>
      <c r="AY1188">
        <v>0.2</v>
      </c>
      <c r="AZ1188">
        <v>3.2</v>
      </c>
      <c r="BA1188">
        <v>135.7842</v>
      </c>
      <c r="BB1188">
        <v>53.849200000000003</v>
      </c>
      <c r="BC1188">
        <v>99.555999999999997</v>
      </c>
      <c r="BD1188">
        <v>3.9222999999999999</v>
      </c>
      <c r="BE1188">
        <v>44.961500000000001</v>
      </c>
      <c r="BF1188">
        <v>-8.8523999999999994</v>
      </c>
      <c r="BG1188">
        <v>-14.0814</v>
      </c>
      <c r="BH1188">
        <v>31.11</v>
      </c>
    </row>
    <row r="1189" spans="1:60" x14ac:dyDescent="0.25">
      <c r="A1189" s="2">
        <v>44312</v>
      </c>
      <c r="B1189">
        <v>9.1999999999999993</v>
      </c>
      <c r="C1189">
        <v>0</v>
      </c>
      <c r="D1189">
        <v>3</v>
      </c>
      <c r="E1189">
        <v>2.1</v>
      </c>
      <c r="F1189">
        <v>285.47000000000003</v>
      </c>
      <c r="G1189">
        <v>0.2</v>
      </c>
      <c r="H1189">
        <v>3.2</v>
      </c>
      <c r="I1189">
        <v>256.26679999999999</v>
      </c>
      <c r="J1189">
        <v>96.896600000000007</v>
      </c>
      <c r="K1189">
        <v>111.9888</v>
      </c>
      <c r="L1189">
        <v>3.2029999999999998</v>
      </c>
      <c r="M1189">
        <v>21.633400000000002</v>
      </c>
      <c r="N1189">
        <v>-7.9320000000000004</v>
      </c>
      <c r="O1189">
        <v>-14.743</v>
      </c>
      <c r="P1189">
        <v>29.96</v>
      </c>
      <c r="S1189">
        <f t="shared" si="399"/>
        <v>793.15859999999998</v>
      </c>
      <c r="T1189">
        <f t="shared" si="400"/>
        <v>8.6246779221838404E-3</v>
      </c>
      <c r="U1189">
        <f t="shared" si="401"/>
        <v>0</v>
      </c>
      <c r="V1189">
        <f t="shared" si="402"/>
        <v>2.8123949746251659E-3</v>
      </c>
      <c r="W1189">
        <f t="shared" si="403"/>
        <v>1.9686764822376161E-3</v>
      </c>
      <c r="X1189">
        <f t="shared" si="404"/>
        <v>0.26761813113541538</v>
      </c>
      <c r="Y1189">
        <f t="shared" si="405"/>
        <v>1.874929983083444E-4</v>
      </c>
      <c r="Z1189">
        <f t="shared" si="406"/>
        <v>2.9998879729335104E-3</v>
      </c>
      <c r="AA1189">
        <f t="shared" si="407"/>
        <v>0.24024115349442413</v>
      </c>
      <c r="AB1189">
        <f t="shared" si="408"/>
        <v>9.0837170299421621E-2</v>
      </c>
      <c r="AC1189">
        <f t="shared" si="409"/>
        <v>0.10498557944476758</v>
      </c>
      <c r="AD1189">
        <f t="shared" si="410"/>
        <v>3.002700367908135E-3</v>
      </c>
      <c r="AE1189">
        <f t="shared" si="411"/>
        <v>2.028055514801869E-2</v>
      </c>
      <c r="AG1189">
        <f t="shared" si="412"/>
        <v>-2.0480864162846624</v>
      </c>
      <c r="AH1189">
        <f t="shared" si="413"/>
        <v>0.30449181663372255</v>
      </c>
      <c r="AI1189">
        <f t="shared" si="414"/>
        <v>0.19088523266476742</v>
      </c>
      <c r="AK1189" s="26">
        <f t="shared" si="415"/>
        <v>-5.9382755639504847E-2</v>
      </c>
      <c r="AL1189" s="26">
        <f t="shared" si="416"/>
        <v>-2.2350747370527863E-2</v>
      </c>
      <c r="AM1189" s="26">
        <f t="shared" si="417"/>
        <v>-1.9978138067512641E-2</v>
      </c>
      <c r="AN1189" s="26">
        <f t="shared" si="418"/>
        <v>-27.951428571428565</v>
      </c>
      <c r="AO1189" s="26">
        <f t="shared" si="419"/>
        <v>-25.803928571428585</v>
      </c>
      <c r="AP1189" s="26">
        <f t="shared" si="420"/>
        <v>-23.314336283185803</v>
      </c>
      <c r="AS1189" s="2">
        <v>44291</v>
      </c>
      <c r="AT1189">
        <v>9.6999999999999993</v>
      </c>
      <c r="AU1189">
        <v>0</v>
      </c>
      <c r="AV1189">
        <v>51.2</v>
      </c>
      <c r="AW1189">
        <v>12.8</v>
      </c>
      <c r="AX1189">
        <v>113.72</v>
      </c>
      <c r="AY1189">
        <v>0.2</v>
      </c>
      <c r="AZ1189">
        <v>3.2</v>
      </c>
      <c r="BA1189">
        <v>80.604500000000002</v>
      </c>
      <c r="BB1189">
        <v>30.3627</v>
      </c>
      <c r="BC1189">
        <v>39.974200000000003</v>
      </c>
      <c r="BD1189">
        <v>3.5992000000000002</v>
      </c>
      <c r="BE1189">
        <v>13.4529</v>
      </c>
      <c r="BF1189">
        <v>-8.1633999999999993</v>
      </c>
      <c r="BG1189">
        <v>-13.7363</v>
      </c>
      <c r="BH1189">
        <v>31.28</v>
      </c>
    </row>
    <row r="1190" spans="1:60" x14ac:dyDescent="0.25">
      <c r="A1190" s="2">
        <v>44311</v>
      </c>
      <c r="B1190">
        <v>8.6999999999999993</v>
      </c>
      <c r="C1190">
        <v>0</v>
      </c>
      <c r="D1190">
        <v>21.6</v>
      </c>
      <c r="E1190">
        <v>1.8</v>
      </c>
      <c r="F1190">
        <v>262.5</v>
      </c>
      <c r="G1190">
        <v>0.2</v>
      </c>
      <c r="H1190">
        <v>3.1</v>
      </c>
      <c r="I1190">
        <v>149.54509999999999</v>
      </c>
      <c r="J1190">
        <v>43.903399999999998</v>
      </c>
      <c r="K1190">
        <v>60.676099999999998</v>
      </c>
      <c r="L1190">
        <v>3.2433999999999998</v>
      </c>
      <c r="M1190">
        <v>10.1607</v>
      </c>
      <c r="P1190">
        <v>29.87</v>
      </c>
      <c r="S1190">
        <f t="shared" si="399"/>
        <v>565.42869999999994</v>
      </c>
      <c r="T1190">
        <f t="shared" si="400"/>
        <v>8.1559454264129791E-3</v>
      </c>
      <c r="U1190">
        <f t="shared" si="401"/>
        <v>0</v>
      </c>
      <c r="V1190">
        <f t="shared" si="402"/>
        <v>2.0249243817301196E-2</v>
      </c>
      <c r="W1190">
        <f t="shared" si="403"/>
        <v>1.6874369847750994E-3</v>
      </c>
      <c r="X1190">
        <f t="shared" si="404"/>
        <v>0.24608456027970199</v>
      </c>
      <c r="Y1190">
        <f t="shared" si="405"/>
        <v>1.874929983083444E-4</v>
      </c>
      <c r="Z1190">
        <f t="shared" si="406"/>
        <v>2.9061414737793379E-3</v>
      </c>
      <c r="AA1190">
        <f t="shared" si="407"/>
        <v>0.14019329590660595</v>
      </c>
      <c r="AB1190">
        <f t="shared" si="408"/>
        <v>4.1157900509652831E-2</v>
      </c>
      <c r="AC1190">
        <f t="shared" si="409"/>
        <v>5.6881719573284674E-2</v>
      </c>
      <c r="AD1190">
        <f t="shared" si="410"/>
        <v>3.0405739535664207E-3</v>
      </c>
      <c r="AE1190">
        <f t="shared" si="411"/>
        <v>9.5253005395579734E-3</v>
      </c>
      <c r="AG1190">
        <f t="shared" si="412"/>
        <v>-2.0633601443394198</v>
      </c>
      <c r="AH1190">
        <f t="shared" si="413"/>
        <v>0.28879612151983691</v>
      </c>
      <c r="AI1190">
        <f t="shared" si="414"/>
        <v>9.8469035522305751E-2</v>
      </c>
      <c r="AK1190" s="26">
        <f t="shared" si="415"/>
        <v>-6.4461088316947412E-2</v>
      </c>
      <c r="AL1190" s="26">
        <f t="shared" si="416"/>
        <v>-2.2235906235019365E-2</v>
      </c>
      <c r="AM1190" s="26">
        <f t="shared" si="417"/>
        <v>-1.9362084192743545E-2</v>
      </c>
      <c r="AN1190" s="26">
        <f t="shared" si="418"/>
        <v>-27.575238095238099</v>
      </c>
      <c r="AO1190" s="26">
        <f t="shared" si="419"/>
        <v>-25.679285714285722</v>
      </c>
      <c r="AP1190" s="26">
        <f t="shared" si="420"/>
        <v>-23.167876106194662</v>
      </c>
      <c r="AS1190" s="2">
        <v>44290</v>
      </c>
      <c r="AT1190">
        <v>11.8</v>
      </c>
      <c r="AU1190">
        <v>0</v>
      </c>
      <c r="AV1190">
        <v>54</v>
      </c>
      <c r="AW1190">
        <v>5.0999999999999996</v>
      </c>
      <c r="AX1190">
        <v>196.16</v>
      </c>
      <c r="AY1190">
        <v>0.2</v>
      </c>
      <c r="AZ1190">
        <v>3.4</v>
      </c>
      <c r="BA1190">
        <v>88.995000000000005</v>
      </c>
      <c r="BB1190">
        <v>38.401600000000002</v>
      </c>
      <c r="BC1190">
        <v>58.713700000000003</v>
      </c>
      <c r="BD1190">
        <v>3.5567000000000002</v>
      </c>
      <c r="BE1190">
        <v>24.766100000000002</v>
      </c>
      <c r="BH1190">
        <v>31.14</v>
      </c>
    </row>
    <row r="1191" spans="1:60" x14ac:dyDescent="0.25">
      <c r="A1191" s="2">
        <v>44310</v>
      </c>
      <c r="B1191">
        <v>8.9</v>
      </c>
      <c r="C1191">
        <v>0</v>
      </c>
      <c r="D1191">
        <v>28</v>
      </c>
      <c r="E1191">
        <v>3.8</v>
      </c>
      <c r="F1191">
        <v>252.46</v>
      </c>
      <c r="G1191">
        <v>0.2</v>
      </c>
      <c r="H1191">
        <v>3.3</v>
      </c>
      <c r="I1191">
        <v>184.08959999999999</v>
      </c>
      <c r="J1191">
        <v>52.514099999999999</v>
      </c>
      <c r="K1191">
        <v>74.649100000000004</v>
      </c>
      <c r="L1191">
        <v>3.3919999999999999</v>
      </c>
      <c r="M1191">
        <v>11.2669</v>
      </c>
      <c r="P1191">
        <v>29.66</v>
      </c>
      <c r="S1191">
        <f t="shared" si="399"/>
        <v>622.57169999999996</v>
      </c>
      <c r="T1191">
        <f t="shared" si="400"/>
        <v>8.3434384247213257E-3</v>
      </c>
      <c r="U1191">
        <f t="shared" si="401"/>
        <v>0</v>
      </c>
      <c r="V1191">
        <f t="shared" si="402"/>
        <v>2.6249019763168215E-2</v>
      </c>
      <c r="W1191">
        <f t="shared" si="403"/>
        <v>3.5623669678585433E-3</v>
      </c>
      <c r="X1191">
        <f t="shared" si="404"/>
        <v>0.23667241176462311</v>
      </c>
      <c r="Y1191">
        <f t="shared" si="405"/>
        <v>1.874929983083444E-4</v>
      </c>
      <c r="Z1191">
        <f t="shared" si="406"/>
        <v>3.0936344720876819E-3</v>
      </c>
      <c r="AA1191">
        <f t="shared" si="407"/>
        <v>0.17257755530691896</v>
      </c>
      <c r="AB1191">
        <f t="shared" si="408"/>
        <v>4.9230130312321138E-2</v>
      </c>
      <c r="AC1191">
        <f t="shared" si="409"/>
        <v>6.9980917900097153E-2</v>
      </c>
      <c r="AD1191">
        <f t="shared" si="410"/>
        <v>3.1798812513095208E-3</v>
      </c>
      <c r="AE1191">
        <f t="shared" si="411"/>
        <v>1.0562324313201426E-2</v>
      </c>
      <c r="AG1191">
        <f t="shared" si="412"/>
        <v>-2.0847986423747478</v>
      </c>
      <c r="AH1191">
        <f t="shared" si="413"/>
        <v>0.28867068870396861</v>
      </c>
      <c r="AI1191">
        <f t="shared" si="414"/>
        <v>9.7621354734338389E-2</v>
      </c>
      <c r="AK1191" s="26">
        <f t="shared" si="415"/>
        <v>-6.339704769507154E-2</v>
      </c>
      <c r="AL1191" s="26">
        <f t="shared" si="416"/>
        <v>-2.2389431193786002E-2</v>
      </c>
      <c r="AM1191" s="26">
        <f t="shared" si="417"/>
        <v>-2.0244148321745287E-2</v>
      </c>
      <c r="AN1191" s="26">
        <f t="shared" si="418"/>
        <v>-27.209047619047617</v>
      </c>
      <c r="AO1191" s="26">
        <f t="shared" si="419"/>
        <v>-25.555892857142872</v>
      </c>
      <c r="AP1191" s="26">
        <f t="shared" si="420"/>
        <v>-23.020707964601741</v>
      </c>
      <c r="AS1191" s="2">
        <v>44289</v>
      </c>
      <c r="AT1191">
        <v>13.4</v>
      </c>
      <c r="AU1191">
        <v>0</v>
      </c>
      <c r="AV1191">
        <v>50.3</v>
      </c>
      <c r="AW1191">
        <v>5.4</v>
      </c>
      <c r="AX1191">
        <v>176.45</v>
      </c>
      <c r="AY1191">
        <v>0.2</v>
      </c>
      <c r="AZ1191">
        <v>3.6</v>
      </c>
      <c r="BA1191">
        <v>92.033100000000005</v>
      </c>
      <c r="BB1191">
        <v>31.215199999999999</v>
      </c>
      <c r="BC1191">
        <v>60.314399999999999</v>
      </c>
      <c r="BD1191">
        <v>3.5760000000000001</v>
      </c>
      <c r="BE1191">
        <v>23.0596</v>
      </c>
      <c r="BH1191">
        <v>31</v>
      </c>
    </row>
    <row r="1192" spans="1:60" x14ac:dyDescent="0.25">
      <c r="A1192" s="2">
        <v>44309</v>
      </c>
      <c r="B1192">
        <v>9.1999999999999993</v>
      </c>
      <c r="C1192">
        <v>217</v>
      </c>
      <c r="D1192">
        <v>34.700000000000003</v>
      </c>
      <c r="E1192">
        <v>6.2</v>
      </c>
      <c r="F1192">
        <v>262.20999999999998</v>
      </c>
      <c r="G1192">
        <v>0.2</v>
      </c>
      <c r="H1192">
        <v>3.6</v>
      </c>
      <c r="I1192">
        <v>180.2946</v>
      </c>
      <c r="J1192">
        <v>100.14060000000001</v>
      </c>
      <c r="K1192">
        <v>97.665700000000001</v>
      </c>
      <c r="L1192">
        <v>3.4927999999999999</v>
      </c>
      <c r="M1192">
        <v>21.316199999999998</v>
      </c>
      <c r="N1192">
        <v>-7.1711999999999998</v>
      </c>
      <c r="O1192">
        <v>-13.7637</v>
      </c>
      <c r="P1192">
        <v>29.4</v>
      </c>
      <c r="S1192">
        <f t="shared" si="399"/>
        <v>936.01990000000001</v>
      </c>
      <c r="T1192">
        <f t="shared" si="400"/>
        <v>8.6246779221838404E-3</v>
      </c>
      <c r="U1192">
        <f t="shared" si="401"/>
        <v>0.20342990316455364</v>
      </c>
      <c r="V1192">
        <f t="shared" si="402"/>
        <v>3.2530035206497755E-2</v>
      </c>
      <c r="W1192">
        <f t="shared" si="403"/>
        <v>5.8122829475586758E-3</v>
      </c>
      <c r="X1192">
        <f t="shared" si="404"/>
        <v>0.24581269543215489</v>
      </c>
      <c r="Y1192">
        <f t="shared" si="405"/>
        <v>1.874929983083444E-4</v>
      </c>
      <c r="Z1192">
        <f t="shared" si="406"/>
        <v>3.3748739695501988E-3</v>
      </c>
      <c r="AA1192">
        <f t="shared" si="407"/>
        <v>0.16901987566401813</v>
      </c>
      <c r="AB1192">
        <f t="shared" si="408"/>
        <v>9.3878306731982969E-2</v>
      </c>
      <c r="AC1192">
        <f t="shared" si="409"/>
        <v>9.1558174624416344E-2</v>
      </c>
      <c r="AD1192">
        <f t="shared" si="410"/>
        <v>3.2743777224569261E-3</v>
      </c>
      <c r="AE1192">
        <f t="shared" si="411"/>
        <v>1.9983191252701652E-2</v>
      </c>
      <c r="AG1192">
        <f t="shared" si="412"/>
        <v>-2.1090221701463832</v>
      </c>
      <c r="AH1192">
        <f t="shared" si="413"/>
        <v>0.51975515289350904</v>
      </c>
      <c r="AI1192">
        <f t="shared" si="414"/>
        <v>1.4661710691764438</v>
      </c>
      <c r="AK1192" s="26">
        <f t="shared" si="415"/>
        <v>-6.3630806822772001E-2</v>
      </c>
      <c r="AL1192" s="26">
        <f t="shared" si="416"/>
        <v>-2.1700355921976361E-2</v>
      </c>
      <c r="AM1192" s="26">
        <f t="shared" si="417"/>
        <v>-2.0307490259417138E-2</v>
      </c>
      <c r="AN1192" s="26">
        <f t="shared" si="418"/>
        <v>-26.856190476190474</v>
      </c>
      <c r="AO1192" s="26">
        <f t="shared" si="419"/>
        <v>-25.43892857142858</v>
      </c>
      <c r="AP1192" s="26">
        <f t="shared" si="420"/>
        <v>-22.875132743362805</v>
      </c>
      <c r="AS1192" s="2">
        <v>44288</v>
      </c>
      <c r="AT1192">
        <v>13.2</v>
      </c>
      <c r="AU1192">
        <v>0</v>
      </c>
      <c r="AV1192">
        <v>66.2</v>
      </c>
      <c r="AW1192">
        <v>7.6</v>
      </c>
      <c r="AX1192">
        <v>171.52</v>
      </c>
      <c r="AY1192">
        <v>0.2</v>
      </c>
      <c r="AZ1192">
        <v>3.5</v>
      </c>
      <c r="BA1192">
        <v>136.33850000000001</v>
      </c>
      <c r="BB1192">
        <v>31.899100000000001</v>
      </c>
      <c r="BC1192">
        <v>62.415700000000001</v>
      </c>
      <c r="BD1192">
        <v>3.5905999999999998</v>
      </c>
      <c r="BE1192">
        <v>22.76</v>
      </c>
      <c r="BF1192">
        <v>-8.0167999999999999</v>
      </c>
      <c r="BG1192">
        <v>-13.8512</v>
      </c>
      <c r="BH1192">
        <v>30.8</v>
      </c>
    </row>
    <row r="1193" spans="1:60" x14ac:dyDescent="0.25">
      <c r="A1193" s="2">
        <v>44308</v>
      </c>
      <c r="B1193">
        <v>8.8000000000000007</v>
      </c>
      <c r="C1193">
        <v>1.6</v>
      </c>
      <c r="D1193">
        <v>55.1</v>
      </c>
      <c r="E1193">
        <v>9.3000000000000007</v>
      </c>
      <c r="F1193">
        <v>232.82</v>
      </c>
      <c r="G1193">
        <v>0.2</v>
      </c>
      <c r="H1193">
        <v>3.7</v>
      </c>
      <c r="I1193">
        <v>183.9554</v>
      </c>
      <c r="J1193">
        <v>95.088399999999993</v>
      </c>
      <c r="K1193">
        <v>84.378100000000003</v>
      </c>
      <c r="L1193">
        <v>3.6408</v>
      </c>
      <c r="M1193">
        <v>18.629799999999999</v>
      </c>
      <c r="N1193">
        <v>-9.6950000000000003</v>
      </c>
      <c r="O1193">
        <v>-14.1715</v>
      </c>
      <c r="P1193">
        <v>29.31</v>
      </c>
      <c r="S1193">
        <f t="shared" si="399"/>
        <v>697.21250000000009</v>
      </c>
      <c r="T1193">
        <f t="shared" si="400"/>
        <v>8.2496919255671541E-3</v>
      </c>
      <c r="U1193">
        <f t="shared" si="401"/>
        <v>1.4999439864667552E-3</v>
      </c>
      <c r="V1193">
        <f t="shared" si="402"/>
        <v>5.1654321033948881E-2</v>
      </c>
      <c r="W1193">
        <f t="shared" si="403"/>
        <v>8.7184244213380137E-3</v>
      </c>
      <c r="X1193">
        <f t="shared" si="404"/>
        <v>0.21826059933074368</v>
      </c>
      <c r="Y1193">
        <f t="shared" si="405"/>
        <v>1.874929983083444E-4</v>
      </c>
      <c r="Z1193">
        <f t="shared" si="406"/>
        <v>3.4686204687043713E-3</v>
      </c>
      <c r="AA1193">
        <f t="shared" si="407"/>
        <v>0.17245174750505407</v>
      </c>
      <c r="AB1193">
        <f t="shared" si="408"/>
        <v>8.9142046101715861E-2</v>
      </c>
      <c r="AC1193">
        <f t="shared" si="409"/>
        <v>7.9101514802806569E-2</v>
      </c>
      <c r="AD1193">
        <f t="shared" si="410"/>
        <v>3.4131225412051013E-3</v>
      </c>
      <c r="AE1193">
        <f t="shared" si="411"/>
        <v>1.7464785299423972E-2</v>
      </c>
      <c r="AG1193">
        <f t="shared" si="412"/>
        <v>-2.1249837478566782</v>
      </c>
      <c r="AH1193">
        <f t="shared" si="413"/>
        <v>0.30950387946450114</v>
      </c>
      <c r="AI1193">
        <f t="shared" si="414"/>
        <v>0.22445612765843215</v>
      </c>
      <c r="AK1193" s="26">
        <f t="shared" si="415"/>
        <v>-7.5022845687034961E-2</v>
      </c>
      <c r="AL1193" s="26">
        <f t="shared" si="416"/>
        <v>-2.2985253809606615E-2</v>
      </c>
      <c r="AM1193" s="26">
        <f t="shared" si="417"/>
        <v>-2.0891584044509998E-2</v>
      </c>
      <c r="AN1193" s="26">
        <f t="shared" si="418"/>
        <v>-26.547142857142859</v>
      </c>
      <c r="AO1193" s="26">
        <f t="shared" si="419"/>
        <v>-25.33982142857144</v>
      </c>
      <c r="AP1193" s="26">
        <f t="shared" si="420"/>
        <v>-22.732212389380507</v>
      </c>
      <c r="AS1193" s="2">
        <v>44287</v>
      </c>
      <c r="AT1193">
        <v>12.2</v>
      </c>
      <c r="AU1193">
        <v>0</v>
      </c>
      <c r="AV1193">
        <v>53.1</v>
      </c>
      <c r="AW1193">
        <v>4</v>
      </c>
      <c r="AX1193">
        <v>186.45</v>
      </c>
      <c r="AY1193">
        <v>0.2</v>
      </c>
      <c r="AZ1193">
        <v>3.7</v>
      </c>
      <c r="BA1193">
        <v>202.26159999999999</v>
      </c>
      <c r="BB1193">
        <v>65.643500000000003</v>
      </c>
      <c r="BC1193">
        <v>117.20359999999999</v>
      </c>
      <c r="BD1193">
        <v>3.5705</v>
      </c>
      <c r="BE1193">
        <v>26.338699999999999</v>
      </c>
      <c r="BF1193">
        <v>-7.9561999999999999</v>
      </c>
      <c r="BG1193">
        <v>-13.762499999999999</v>
      </c>
      <c r="BH1193">
        <v>30.62</v>
      </c>
    </row>
    <row r="1194" spans="1:60" x14ac:dyDescent="0.25">
      <c r="A1194" s="2">
        <v>44307</v>
      </c>
      <c r="B1194">
        <v>8.8000000000000007</v>
      </c>
      <c r="C1194">
        <v>1.9</v>
      </c>
      <c r="D1194">
        <v>44</v>
      </c>
      <c r="E1194">
        <v>5.5</v>
      </c>
      <c r="F1194">
        <v>235.38</v>
      </c>
      <c r="G1194">
        <v>0.2</v>
      </c>
      <c r="H1194">
        <v>3.6</v>
      </c>
      <c r="I1194">
        <v>279.39620000000002</v>
      </c>
      <c r="J1194">
        <v>117.7927</v>
      </c>
      <c r="K1194">
        <v>115.6541</v>
      </c>
      <c r="L1194">
        <v>3.4203000000000001</v>
      </c>
      <c r="M1194">
        <v>16.386700000000001</v>
      </c>
      <c r="N1194">
        <v>-8.2528000000000006</v>
      </c>
      <c r="O1194">
        <v>-12.5267</v>
      </c>
      <c r="P1194">
        <v>29.25</v>
      </c>
      <c r="S1194">
        <f t="shared" si="399"/>
        <v>832.03</v>
      </c>
      <c r="T1194">
        <f t="shared" si="400"/>
        <v>8.2496919255671541E-3</v>
      </c>
      <c r="U1194">
        <f t="shared" si="401"/>
        <v>1.7811834839292716E-3</v>
      </c>
      <c r="V1194">
        <f t="shared" si="402"/>
        <v>4.1248459627835764E-2</v>
      </c>
      <c r="W1194">
        <f t="shared" si="403"/>
        <v>5.1560574534794705E-3</v>
      </c>
      <c r="X1194">
        <f t="shared" si="404"/>
        <v>0.22066050970909049</v>
      </c>
      <c r="Y1194">
        <f t="shared" si="405"/>
        <v>1.874929983083444E-4</v>
      </c>
      <c r="Z1194">
        <f t="shared" si="406"/>
        <v>3.3748739695501988E-3</v>
      </c>
      <c r="AA1194">
        <f t="shared" si="407"/>
        <v>0.26192415626978927</v>
      </c>
      <c r="AB1194">
        <f t="shared" si="408"/>
        <v>0.11042653250917658</v>
      </c>
      <c r="AC1194">
        <f t="shared" si="409"/>
        <v>0.10842166987826546</v>
      </c>
      <c r="AD1194">
        <f t="shared" si="410"/>
        <v>3.2064115105701514E-3</v>
      </c>
      <c r="AE1194">
        <f t="shared" si="411"/>
        <v>1.5361957576896736E-2</v>
      </c>
      <c r="AG1194">
        <f t="shared" si="412"/>
        <v>-2.1395298818952346</v>
      </c>
      <c r="AH1194">
        <f t="shared" si="413"/>
        <v>0.29602022674465744</v>
      </c>
      <c r="AI1194">
        <f t="shared" si="414"/>
        <v>0.14273683260847167</v>
      </c>
      <c r="AK1194" s="26">
        <f t="shared" si="415"/>
        <v>-7.2576454901583737E-2</v>
      </c>
      <c r="AL1194" s="26">
        <f t="shared" si="416"/>
        <v>-2.0921278988844882E-2</v>
      </c>
      <c r="AM1194" s="26">
        <f t="shared" si="417"/>
        <v>-2.0895822547732812E-2</v>
      </c>
      <c r="AN1194" s="26">
        <f t="shared" si="418"/>
        <v>-26.219523809523828</v>
      </c>
      <c r="AO1194" s="26">
        <f t="shared" si="419"/>
        <v>-25.239107142857161</v>
      </c>
      <c r="AP1194" s="26">
        <f t="shared" si="420"/>
        <v>-22.584955752212373</v>
      </c>
      <c r="AS1194" s="2">
        <v>44286</v>
      </c>
      <c r="AT1194">
        <v>11.7</v>
      </c>
      <c r="AU1194">
        <v>0</v>
      </c>
      <c r="AV1194">
        <v>6.8</v>
      </c>
      <c r="AW1194">
        <v>0.6</v>
      </c>
      <c r="AX1194">
        <v>243.93</v>
      </c>
      <c r="AY1194">
        <v>0.2</v>
      </c>
      <c r="AZ1194">
        <v>3.8</v>
      </c>
      <c r="BA1194">
        <v>229.85079999999999</v>
      </c>
      <c r="BB1194">
        <v>104.12439999999999</v>
      </c>
      <c r="BC1194">
        <v>156.21729999999999</v>
      </c>
      <c r="BD1194">
        <v>3.5733999999999999</v>
      </c>
      <c r="BE1194">
        <v>28.290600000000001</v>
      </c>
      <c r="BF1194">
        <v>-8.9849999999999994</v>
      </c>
      <c r="BG1194">
        <v>-15.100300000000001</v>
      </c>
      <c r="BH1194">
        <v>30.06</v>
      </c>
    </row>
    <row r="1195" spans="1:60" x14ac:dyDescent="0.25">
      <c r="A1195" s="2">
        <v>44306</v>
      </c>
      <c r="B1195">
        <v>8.9</v>
      </c>
      <c r="C1195">
        <v>18</v>
      </c>
      <c r="D1195">
        <v>5.2</v>
      </c>
      <c r="E1195">
        <v>1.2</v>
      </c>
      <c r="F1195">
        <v>223.57</v>
      </c>
      <c r="G1195">
        <v>0.2</v>
      </c>
      <c r="H1195">
        <v>3.8</v>
      </c>
      <c r="I1195">
        <v>309.47699999999998</v>
      </c>
      <c r="J1195">
        <v>165.30779999999999</v>
      </c>
      <c r="K1195">
        <v>183.54640000000001</v>
      </c>
      <c r="L1195">
        <v>5.0564999999999998</v>
      </c>
      <c r="M1195">
        <v>18.063300000000002</v>
      </c>
      <c r="N1195">
        <v>-8.8190000000000008</v>
      </c>
      <c r="O1195">
        <v>-12.069599999999999</v>
      </c>
      <c r="P1195">
        <v>29.19</v>
      </c>
      <c r="S1195">
        <f t="shared" si="399"/>
        <v>942.32100000000003</v>
      </c>
      <c r="T1195">
        <f t="shared" si="400"/>
        <v>8.3434384247213257E-3</v>
      </c>
      <c r="U1195">
        <f t="shared" si="401"/>
        <v>1.6874369847750995E-2</v>
      </c>
      <c r="V1195">
        <f t="shared" si="402"/>
        <v>4.874817956016954E-3</v>
      </c>
      <c r="W1195">
        <f t="shared" si="403"/>
        <v>1.1249579898500663E-3</v>
      </c>
      <c r="X1195">
        <f t="shared" si="404"/>
        <v>0.20958904815898277</v>
      </c>
      <c r="Y1195">
        <f t="shared" si="405"/>
        <v>1.874929983083444E-4</v>
      </c>
      <c r="Z1195">
        <f t="shared" si="406"/>
        <v>3.5623669678585433E-3</v>
      </c>
      <c r="AA1195">
        <f t="shared" si="407"/>
        <v>0.29012385318735745</v>
      </c>
      <c r="AB1195">
        <f t="shared" si="408"/>
        <v>0.15497027532878063</v>
      </c>
      <c r="AC1195">
        <f t="shared" si="409"/>
        <v>0.17206832432351352</v>
      </c>
      <c r="AD1195">
        <f t="shared" si="410"/>
        <v>4.7402917297307166E-3</v>
      </c>
      <c r="AE1195">
        <f t="shared" si="411"/>
        <v>1.6933711381715587E-2</v>
      </c>
      <c r="AG1195">
        <f t="shared" si="412"/>
        <v>-2.1543198687925051</v>
      </c>
      <c r="AH1195">
        <f t="shared" si="413"/>
        <v>0.2614902037252046</v>
      </c>
      <c r="AI1195">
        <f t="shared" si="414"/>
        <v>-6.3037950128692358E-2</v>
      </c>
      <c r="AK1195" s="26">
        <f t="shared" si="415"/>
        <v>-7.11489992795582E-2</v>
      </c>
      <c r="AL1195" s="26">
        <f t="shared" si="416"/>
        <v>-1.7966121488364933E-2</v>
      </c>
      <c r="AM1195" s="26">
        <f t="shared" si="417"/>
        <v>-2.1697843758757634E-2</v>
      </c>
      <c r="AN1195" s="26">
        <f t="shared" si="418"/>
        <v>-25.947142857142879</v>
      </c>
      <c r="AO1195" s="26">
        <f t="shared" si="419"/>
        <v>-25.145000000000014</v>
      </c>
      <c r="AP1195" s="26">
        <f t="shared" si="420"/>
        <v>-22.438318584070785</v>
      </c>
      <c r="AS1195" s="2">
        <v>44285</v>
      </c>
      <c r="AT1195">
        <v>11.5</v>
      </c>
      <c r="AU1195">
        <v>3.3</v>
      </c>
      <c r="AV1195">
        <v>54.5</v>
      </c>
      <c r="AW1195">
        <v>3.4</v>
      </c>
      <c r="AX1195">
        <v>246.98</v>
      </c>
      <c r="AY1195">
        <v>0.2</v>
      </c>
      <c r="AZ1195">
        <v>3.5</v>
      </c>
      <c r="BA1195">
        <v>219.84540000000001</v>
      </c>
      <c r="BB1195">
        <v>84.637</v>
      </c>
      <c r="BC1195">
        <v>125.8537</v>
      </c>
      <c r="BD1195">
        <v>6.1978</v>
      </c>
      <c r="BE1195">
        <v>29.972200000000001</v>
      </c>
      <c r="BF1195">
        <v>-7.4820000000000002</v>
      </c>
      <c r="BG1195">
        <v>-13.8789</v>
      </c>
      <c r="BH1195">
        <v>30.07</v>
      </c>
    </row>
    <row r="1196" spans="1:60" x14ac:dyDescent="0.25">
      <c r="A1196" s="2">
        <v>44305</v>
      </c>
      <c r="B1196">
        <v>8.6</v>
      </c>
      <c r="C1196">
        <v>72.3</v>
      </c>
      <c r="D1196">
        <v>13.4</v>
      </c>
      <c r="E1196">
        <v>1.2</v>
      </c>
      <c r="F1196">
        <v>149.82</v>
      </c>
      <c r="G1196">
        <v>0.2</v>
      </c>
      <c r="H1196">
        <v>3.7</v>
      </c>
      <c r="I1196">
        <v>319.83440000000002</v>
      </c>
      <c r="J1196">
        <v>166.6123</v>
      </c>
      <c r="K1196">
        <v>193.02350000000001</v>
      </c>
      <c r="L1196">
        <v>3.6082000000000001</v>
      </c>
      <c r="M1196">
        <v>26.9239</v>
      </c>
      <c r="N1196">
        <v>-8.1388999999999996</v>
      </c>
      <c r="O1196">
        <v>-11.881</v>
      </c>
      <c r="P1196">
        <v>29.19</v>
      </c>
      <c r="S1196">
        <f t="shared" si="399"/>
        <v>959.22230000000002</v>
      </c>
      <c r="T1196">
        <f t="shared" si="400"/>
        <v>8.0621989272588075E-3</v>
      </c>
      <c r="U1196">
        <f t="shared" si="401"/>
        <v>6.7778718888466497E-2</v>
      </c>
      <c r="V1196">
        <f t="shared" si="402"/>
        <v>1.2562030886659074E-2</v>
      </c>
      <c r="W1196">
        <f t="shared" si="403"/>
        <v>1.1249579898500663E-3</v>
      </c>
      <c r="X1196">
        <f t="shared" si="404"/>
        <v>0.14045100503278077</v>
      </c>
      <c r="Y1196">
        <f t="shared" si="405"/>
        <v>1.874929983083444E-4</v>
      </c>
      <c r="Z1196">
        <f t="shared" si="406"/>
        <v>3.4686204687043713E-3</v>
      </c>
      <c r="AA1196">
        <f t="shared" si="407"/>
        <v>0.29983355309075171</v>
      </c>
      <c r="AB1196">
        <f t="shared" si="408"/>
        <v>0.15619319841024684</v>
      </c>
      <c r="AC1196">
        <f t="shared" si="409"/>
        <v>0.18095277379485358</v>
      </c>
      <c r="AD1196">
        <f t="shared" si="410"/>
        <v>3.3825611824808413E-3</v>
      </c>
      <c r="AE1196">
        <f t="shared" si="411"/>
        <v>2.5240213685770167E-2</v>
      </c>
      <c r="AG1196">
        <f t="shared" si="412"/>
        <v>-2.1662179280187073</v>
      </c>
      <c r="AH1196">
        <f t="shared" si="413"/>
        <v>0.25887523887779806</v>
      </c>
      <c r="AI1196">
        <f t="shared" si="414"/>
        <v>-7.980338572558289E-2</v>
      </c>
      <c r="AK1196" s="26">
        <f t="shared" si="415"/>
        <v>-5.8634631791540492E-2</v>
      </c>
      <c r="AL1196" s="26">
        <f t="shared" si="416"/>
        <v>-1.5899561942697982E-2</v>
      </c>
      <c r="AM1196" s="26">
        <f t="shared" si="417"/>
        <v>-2.1708423839321422E-2</v>
      </c>
      <c r="AN1196" s="26">
        <f t="shared" si="418"/>
        <v>-25.695714285714299</v>
      </c>
      <c r="AO1196" s="26">
        <f t="shared" si="419"/>
        <v>-25.05660714285716</v>
      </c>
      <c r="AP1196" s="26">
        <f t="shared" si="420"/>
        <v>-22.291061946902644</v>
      </c>
      <c r="AS1196" s="2">
        <v>44284</v>
      </c>
      <c r="AT1196">
        <v>10.6</v>
      </c>
      <c r="AU1196">
        <v>1.6</v>
      </c>
      <c r="AV1196">
        <v>76.2</v>
      </c>
      <c r="AW1196">
        <v>11.8</v>
      </c>
      <c r="AX1196">
        <v>211.12</v>
      </c>
      <c r="AY1196">
        <v>0.2</v>
      </c>
      <c r="AZ1196">
        <v>3.8</v>
      </c>
      <c r="BA1196">
        <v>153.7122</v>
      </c>
      <c r="BB1196">
        <v>53.179600000000001</v>
      </c>
      <c r="BC1196">
        <v>84.021500000000003</v>
      </c>
      <c r="BD1196">
        <v>3.9205000000000001</v>
      </c>
      <c r="BE1196">
        <v>31.295000000000002</v>
      </c>
      <c r="BF1196">
        <v>-5.5496999999999996</v>
      </c>
      <c r="BG1196">
        <v>-12.7704</v>
      </c>
      <c r="BH1196">
        <v>29.97</v>
      </c>
    </row>
    <row r="1197" spans="1:60" x14ac:dyDescent="0.25">
      <c r="A1197" s="2">
        <v>44304</v>
      </c>
      <c r="B1197">
        <v>8.8000000000000007</v>
      </c>
      <c r="C1197">
        <v>50.8</v>
      </c>
      <c r="D1197">
        <v>10.199999999999999</v>
      </c>
      <c r="E1197">
        <v>1.3</v>
      </c>
      <c r="F1197">
        <v>119.33</v>
      </c>
      <c r="G1197">
        <v>0.2</v>
      </c>
      <c r="H1197">
        <v>3.9</v>
      </c>
      <c r="I1197">
        <v>290.14080000000001</v>
      </c>
      <c r="J1197">
        <v>109.87739999999999</v>
      </c>
      <c r="K1197">
        <v>146.01349999999999</v>
      </c>
      <c r="L1197">
        <v>3.6179999999999999</v>
      </c>
      <c r="M1197">
        <v>11.3338</v>
      </c>
      <c r="P1197">
        <v>29.24</v>
      </c>
      <c r="S1197">
        <f t="shared" si="399"/>
        <v>755.51350000000002</v>
      </c>
      <c r="T1197">
        <f t="shared" si="400"/>
        <v>8.2496919255671541E-3</v>
      </c>
      <c r="U1197">
        <f t="shared" si="401"/>
        <v>4.7623221570319473E-2</v>
      </c>
      <c r="V1197">
        <f t="shared" si="402"/>
        <v>9.5621429137255631E-3</v>
      </c>
      <c r="W1197">
        <f t="shared" si="403"/>
        <v>1.2187044890042385E-3</v>
      </c>
      <c r="X1197">
        <f t="shared" si="404"/>
        <v>0.11186769744067368</v>
      </c>
      <c r="Y1197">
        <f t="shared" si="405"/>
        <v>1.874929983083444E-4</v>
      </c>
      <c r="Z1197">
        <f t="shared" si="406"/>
        <v>3.6561134670127153E-3</v>
      </c>
      <c r="AA1197">
        <f t="shared" si="407"/>
        <v>0.27199684261790846</v>
      </c>
      <c r="AB1197">
        <f t="shared" si="408"/>
        <v>0.10300621586162639</v>
      </c>
      <c r="AC1197">
        <f t="shared" si="409"/>
        <v>0.1368825445424772</v>
      </c>
      <c r="AD1197">
        <f t="shared" si="410"/>
        <v>3.3917483393979498E-3</v>
      </c>
      <c r="AE1197">
        <f t="shared" si="411"/>
        <v>1.0625040721135568E-2</v>
      </c>
      <c r="AG1197">
        <f t="shared" si="412"/>
        <v>-2.1756851617312609</v>
      </c>
      <c r="AH1197">
        <f t="shared" si="413"/>
        <v>0.19299010552574675</v>
      </c>
      <c r="AI1197">
        <f t="shared" si="414"/>
        <v>-0.47098223203853468</v>
      </c>
      <c r="AK1197" s="26">
        <f t="shared" si="415"/>
        <v>-5.7784359972450072E-2</v>
      </c>
      <c r="AL1197" s="26">
        <f t="shared" si="416"/>
        <v>-1.4461179273372204E-2</v>
      </c>
      <c r="AM1197" s="26">
        <f t="shared" si="417"/>
        <v>-2.1786181167872093E-2</v>
      </c>
      <c r="AN1197" s="26">
        <f t="shared" si="418"/>
        <v>-25.474761904761909</v>
      </c>
      <c r="AO1197" s="26">
        <f t="shared" si="419"/>
        <v>-24.97375000000001</v>
      </c>
      <c r="AP1197" s="26">
        <f t="shared" si="420"/>
        <v>-22.144690265486723</v>
      </c>
      <c r="AS1197" s="2">
        <v>44283</v>
      </c>
      <c r="AT1197">
        <v>10.7</v>
      </c>
      <c r="AU1197">
        <v>0</v>
      </c>
      <c r="AV1197">
        <v>74.7</v>
      </c>
      <c r="AW1197">
        <v>11.1</v>
      </c>
      <c r="AX1197">
        <v>172.99</v>
      </c>
      <c r="AY1197">
        <v>0.2</v>
      </c>
      <c r="AZ1197">
        <v>3.3</v>
      </c>
      <c r="BA1197">
        <v>116.48439999999999</v>
      </c>
      <c r="BB1197">
        <v>31.551300000000001</v>
      </c>
      <c r="BC1197">
        <v>55.988500000000002</v>
      </c>
      <c r="BD1197">
        <v>3.7185000000000001</v>
      </c>
      <c r="BE1197">
        <v>18.307500000000001</v>
      </c>
      <c r="BH1197">
        <v>29.93</v>
      </c>
    </row>
    <row r="1198" spans="1:60" x14ac:dyDescent="0.25">
      <c r="A1198" s="2">
        <v>44303</v>
      </c>
      <c r="B1198">
        <v>9.3000000000000007</v>
      </c>
      <c r="C1198">
        <v>1</v>
      </c>
      <c r="D1198">
        <v>26</v>
      </c>
      <c r="E1198">
        <v>2.4</v>
      </c>
      <c r="F1198">
        <v>146.44</v>
      </c>
      <c r="G1198">
        <v>0.2</v>
      </c>
      <c r="H1198">
        <v>3.5</v>
      </c>
      <c r="I1198">
        <v>276.63260000000002</v>
      </c>
      <c r="J1198">
        <v>111.2878</v>
      </c>
      <c r="K1198">
        <v>134.46860000000001</v>
      </c>
      <c r="L1198">
        <v>3.6177000000000001</v>
      </c>
      <c r="M1198">
        <v>15.710800000000001</v>
      </c>
      <c r="P1198">
        <v>29.2</v>
      </c>
      <c r="S1198">
        <f t="shared" si="399"/>
        <v>730.5575</v>
      </c>
      <c r="T1198">
        <f t="shared" si="400"/>
        <v>8.7184244213380137E-3</v>
      </c>
      <c r="U1198">
        <f t="shared" si="401"/>
        <v>9.3746499154172193E-4</v>
      </c>
      <c r="V1198">
        <f t="shared" si="402"/>
        <v>2.4374089780084769E-2</v>
      </c>
      <c r="W1198">
        <f t="shared" si="403"/>
        <v>2.2499159797001326E-3</v>
      </c>
      <c r="X1198">
        <f t="shared" si="404"/>
        <v>0.13728237336136975</v>
      </c>
      <c r="Y1198">
        <f t="shared" si="405"/>
        <v>1.874929983083444E-4</v>
      </c>
      <c r="Z1198">
        <f t="shared" si="406"/>
        <v>3.2811274703960268E-3</v>
      </c>
      <c r="AA1198">
        <f t="shared" si="407"/>
        <v>0.25933337801916456</v>
      </c>
      <c r="AB1198">
        <f t="shared" si="408"/>
        <v>0.10432841648569684</v>
      </c>
      <c r="AC1198">
        <f t="shared" si="409"/>
        <v>0.12605960496162719</v>
      </c>
      <c r="AD1198">
        <f t="shared" si="410"/>
        <v>3.3914670999004876E-3</v>
      </c>
      <c r="AE1198">
        <f t="shared" si="411"/>
        <v>1.4728324989113686E-2</v>
      </c>
      <c r="AG1198">
        <f t="shared" si="412"/>
        <v>-2.1898384602199776</v>
      </c>
      <c r="AH1198">
        <f t="shared" si="413"/>
        <v>0.19175921399185245</v>
      </c>
      <c r="AI1198">
        <f t="shared" si="414"/>
        <v>-0.48007825028509177</v>
      </c>
      <c r="AK1198" s="26">
        <f t="shared" si="415"/>
        <v>-5.3560374854751513E-2</v>
      </c>
      <c r="AL1198" s="26">
        <f t="shared" si="416"/>
        <v>-1.2771462239814152E-2</v>
      </c>
      <c r="AM1198" s="26">
        <f t="shared" si="417"/>
        <v>-2.1756112600479743E-2</v>
      </c>
      <c r="AN1198" s="26">
        <f t="shared" si="418"/>
        <v>-25.273809523809522</v>
      </c>
      <c r="AO1198" s="26">
        <f t="shared" si="419"/>
        <v>-24.895000000000017</v>
      </c>
      <c r="AP1198" s="26">
        <f t="shared" si="420"/>
        <v>-21.999911504424773</v>
      </c>
      <c r="AS1198" s="2">
        <v>44282</v>
      </c>
      <c r="AT1198">
        <v>11.3</v>
      </c>
      <c r="AU1198">
        <v>2.1</v>
      </c>
      <c r="AV1198">
        <v>73</v>
      </c>
      <c r="AW1198">
        <v>13.4</v>
      </c>
      <c r="AX1198">
        <v>134.22999999999999</v>
      </c>
      <c r="AY1198">
        <v>0.2</v>
      </c>
      <c r="AZ1198">
        <v>3.1</v>
      </c>
      <c r="BA1198">
        <v>119.27079999999999</v>
      </c>
      <c r="BB1198">
        <v>30.901499999999999</v>
      </c>
      <c r="BC1198">
        <v>51.715699999999998</v>
      </c>
      <c r="BD1198">
        <v>3.5339</v>
      </c>
      <c r="BE1198">
        <v>19.7927</v>
      </c>
      <c r="BH1198">
        <v>29.92</v>
      </c>
    </row>
    <row r="1199" spans="1:60" x14ac:dyDescent="0.25">
      <c r="A1199" s="2">
        <v>44302</v>
      </c>
      <c r="B1199">
        <v>9.9</v>
      </c>
      <c r="C1199">
        <v>1.2</v>
      </c>
      <c r="D1199">
        <v>20.5</v>
      </c>
      <c r="E1199">
        <v>4</v>
      </c>
      <c r="F1199">
        <v>160.78</v>
      </c>
      <c r="G1199">
        <v>0.2</v>
      </c>
      <c r="H1199">
        <v>3.3</v>
      </c>
      <c r="I1199">
        <v>302.51350000000002</v>
      </c>
      <c r="J1199">
        <v>147.60310000000001</v>
      </c>
      <c r="K1199">
        <v>183.08510000000001</v>
      </c>
      <c r="L1199">
        <v>3.6263000000000001</v>
      </c>
      <c r="M1199">
        <v>19.628799999999998</v>
      </c>
      <c r="N1199">
        <v>-9.6569000000000003</v>
      </c>
      <c r="O1199">
        <v>-14.7157</v>
      </c>
      <c r="P1199">
        <v>29.21</v>
      </c>
      <c r="S1199">
        <f t="shared" si="399"/>
        <v>856.33680000000004</v>
      </c>
      <c r="T1199">
        <f t="shared" si="400"/>
        <v>9.2809034162630467E-3</v>
      </c>
      <c r="U1199">
        <f t="shared" si="401"/>
        <v>1.1249579898500663E-3</v>
      </c>
      <c r="V1199">
        <f t="shared" si="402"/>
        <v>1.9218032326605298E-2</v>
      </c>
      <c r="W1199">
        <f t="shared" si="403"/>
        <v>3.7498599661668877E-3</v>
      </c>
      <c r="X1199">
        <f t="shared" si="404"/>
        <v>0.15072562134007805</v>
      </c>
      <c r="Y1199">
        <f t="shared" si="405"/>
        <v>1.874929983083444E-4</v>
      </c>
      <c r="Z1199">
        <f t="shared" si="406"/>
        <v>3.0936344720876819E-3</v>
      </c>
      <c r="AA1199">
        <f t="shared" si="407"/>
        <v>0.28359581571875669</v>
      </c>
      <c r="AB1199">
        <f t="shared" si="408"/>
        <v>0.13837273889303195</v>
      </c>
      <c r="AC1199">
        <f t="shared" si="409"/>
        <v>0.17163587172291533</v>
      </c>
      <c r="AD1199">
        <f t="shared" si="410"/>
        <v>3.3995292988277461E-3</v>
      </c>
      <c r="AE1199">
        <f t="shared" si="411"/>
        <v>1.840131282597415E-2</v>
      </c>
      <c r="AG1199">
        <f t="shared" si="412"/>
        <v>-2.2015755969875461</v>
      </c>
      <c r="AH1199">
        <f t="shared" si="413"/>
        <v>0.20578181533533352</v>
      </c>
      <c r="AI1199">
        <f t="shared" si="414"/>
        <v>-0.39855543044099401</v>
      </c>
      <c r="AK1199" s="26">
        <f t="shared" si="415"/>
        <v>-4.9343425188608486E-2</v>
      </c>
      <c r="AL1199" s="26">
        <f t="shared" si="416"/>
        <v>-9.6513142489121351E-3</v>
      </c>
      <c r="AM1199" s="26">
        <f t="shared" si="417"/>
        <v>-2.0591053508597745E-2</v>
      </c>
      <c r="AN1199" s="26">
        <f t="shared" si="418"/>
        <v>-25.092380952380967</v>
      </c>
      <c r="AO1199" s="26">
        <f t="shared" si="419"/>
        <v>-24.824285714285722</v>
      </c>
      <c r="AP1199" s="26">
        <f t="shared" si="420"/>
        <v>-21.856371681415915</v>
      </c>
      <c r="AS1199" s="2">
        <v>44281</v>
      </c>
      <c r="AT1199">
        <v>11</v>
      </c>
      <c r="AU1199">
        <v>1</v>
      </c>
      <c r="AV1199">
        <v>82.8</v>
      </c>
      <c r="AW1199">
        <v>6.6</v>
      </c>
      <c r="AX1199">
        <v>199.52</v>
      </c>
      <c r="AY1199">
        <v>0.2</v>
      </c>
      <c r="AZ1199">
        <v>3.1</v>
      </c>
      <c r="BA1199">
        <v>243.03389999999999</v>
      </c>
      <c r="BB1199">
        <v>89.193899999999999</v>
      </c>
      <c r="BC1199">
        <v>103.02249999999999</v>
      </c>
      <c r="BD1199">
        <v>6.9730999999999996</v>
      </c>
      <c r="BE1199">
        <v>28.485299999999999</v>
      </c>
      <c r="BF1199">
        <v>-6.0856000000000003</v>
      </c>
      <c r="BG1199">
        <v>-12.6425</v>
      </c>
      <c r="BH1199">
        <v>29.9</v>
      </c>
    </row>
    <row r="1200" spans="1:60" x14ac:dyDescent="0.25">
      <c r="A1200" s="2">
        <v>44301</v>
      </c>
      <c r="B1200">
        <v>10.3</v>
      </c>
      <c r="C1200">
        <v>2.9</v>
      </c>
      <c r="D1200">
        <v>8.6999999999999993</v>
      </c>
      <c r="E1200">
        <v>2.7</v>
      </c>
      <c r="F1200">
        <v>185.28</v>
      </c>
      <c r="G1200">
        <v>0.2</v>
      </c>
      <c r="H1200">
        <v>3.4</v>
      </c>
      <c r="I1200">
        <v>304.10509999999999</v>
      </c>
      <c r="J1200">
        <v>170.57769999999999</v>
      </c>
      <c r="K1200">
        <v>193.16309999999999</v>
      </c>
      <c r="L1200">
        <v>3.6463999999999999</v>
      </c>
      <c r="M1200">
        <v>17.105399999999999</v>
      </c>
      <c r="N1200">
        <v>-6.7134999999999998</v>
      </c>
      <c r="O1200">
        <v>-11.528700000000001</v>
      </c>
      <c r="P1200">
        <v>29.35</v>
      </c>
      <c r="S1200">
        <f t="shared" si="399"/>
        <v>902.07770000000005</v>
      </c>
      <c r="T1200">
        <f t="shared" si="400"/>
        <v>9.6558894128797364E-3</v>
      </c>
      <c r="U1200">
        <f t="shared" si="401"/>
        <v>2.7186484754709935E-3</v>
      </c>
      <c r="V1200">
        <f t="shared" si="402"/>
        <v>8.1559454264129791E-3</v>
      </c>
      <c r="W1200">
        <f t="shared" si="403"/>
        <v>2.5311554771626494E-3</v>
      </c>
      <c r="X1200">
        <f t="shared" si="404"/>
        <v>0.17369351363285024</v>
      </c>
      <c r="Y1200">
        <f t="shared" si="405"/>
        <v>1.874929983083444E-4</v>
      </c>
      <c r="Z1200">
        <f t="shared" si="406"/>
        <v>3.1873809712418544E-3</v>
      </c>
      <c r="AA1200">
        <f t="shared" si="407"/>
        <v>0.28508788499929449</v>
      </c>
      <c r="AB1200">
        <f t="shared" si="408"/>
        <v>0.15991062208770637</v>
      </c>
      <c r="AC1200">
        <f t="shared" si="409"/>
        <v>0.18108364390767276</v>
      </c>
      <c r="AD1200">
        <f t="shared" si="410"/>
        <v>3.4183723451577347E-3</v>
      </c>
      <c r="AE1200">
        <f t="shared" si="411"/>
        <v>1.6035713666317768E-2</v>
      </c>
      <c r="AG1200">
        <f t="shared" si="412"/>
        <v>-2.2067099825861485</v>
      </c>
      <c r="AH1200">
        <f t="shared" si="413"/>
        <v>0.21616574006064454</v>
      </c>
      <c r="AI1200">
        <f t="shared" si="414"/>
        <v>-0.33840658754189701</v>
      </c>
      <c r="AK1200" s="26">
        <f t="shared" si="415"/>
        <v>-4.0402808171917992E-2</v>
      </c>
      <c r="AL1200" s="26">
        <f t="shared" si="416"/>
        <v>-5.6203637752545721E-3</v>
      </c>
      <c r="AM1200" s="26">
        <f t="shared" si="417"/>
        <v>-1.887017308246064E-2</v>
      </c>
      <c r="AN1200" s="26">
        <f t="shared" si="418"/>
        <v>-24.93714285714287</v>
      </c>
      <c r="AO1200" s="26">
        <f t="shared" si="419"/>
        <v>-24.76035714285716</v>
      </c>
      <c r="AP1200" s="26">
        <f t="shared" si="420"/>
        <v>-21.71212389380532</v>
      </c>
      <c r="AS1200" s="2">
        <v>44280</v>
      </c>
      <c r="AT1200">
        <v>10</v>
      </c>
      <c r="AU1200">
        <v>58.3</v>
      </c>
      <c r="AV1200">
        <v>27.8</v>
      </c>
      <c r="AW1200">
        <v>1.8</v>
      </c>
      <c r="AX1200">
        <v>190.23</v>
      </c>
      <c r="AY1200">
        <v>0.2</v>
      </c>
      <c r="AZ1200">
        <v>3.3</v>
      </c>
      <c r="BA1200">
        <v>316.02199999999999</v>
      </c>
      <c r="BB1200">
        <v>157.73249999999999</v>
      </c>
      <c r="BC1200">
        <v>179.2407</v>
      </c>
      <c r="BD1200">
        <v>7.0933000000000002</v>
      </c>
      <c r="BE1200">
        <v>27.677700000000002</v>
      </c>
      <c r="BF1200">
        <v>-6.4358000000000004</v>
      </c>
      <c r="BG1200">
        <v>-12.6577</v>
      </c>
      <c r="BH1200">
        <v>29.88</v>
      </c>
    </row>
    <row r="1201" spans="1:60" x14ac:dyDescent="0.25">
      <c r="A1201" s="2">
        <v>44300</v>
      </c>
      <c r="B1201">
        <v>11</v>
      </c>
      <c r="C1201">
        <v>2.1</v>
      </c>
      <c r="D1201">
        <v>18.399999999999999</v>
      </c>
      <c r="E1201">
        <v>3.1</v>
      </c>
      <c r="F1201">
        <v>184.12</v>
      </c>
      <c r="G1201">
        <v>0.2</v>
      </c>
      <c r="H1201">
        <v>3.2</v>
      </c>
      <c r="I1201">
        <v>293.35550000000001</v>
      </c>
      <c r="J1201">
        <v>177.32419999999999</v>
      </c>
      <c r="K1201">
        <v>203.66470000000001</v>
      </c>
      <c r="L1201">
        <v>3.6587999999999998</v>
      </c>
      <c r="M1201">
        <v>23.619800000000001</v>
      </c>
      <c r="N1201">
        <v>-6.9992000000000001</v>
      </c>
      <c r="O1201">
        <v>-11.7982</v>
      </c>
      <c r="P1201">
        <v>29.59</v>
      </c>
      <c r="S1201">
        <f t="shared" si="399"/>
        <v>923.74300000000017</v>
      </c>
      <c r="T1201">
        <f t="shared" si="400"/>
        <v>1.0312114906958941E-2</v>
      </c>
      <c r="U1201">
        <f t="shared" si="401"/>
        <v>1.9686764822376161E-3</v>
      </c>
      <c r="V1201">
        <f t="shared" si="402"/>
        <v>1.7249355844367681E-2</v>
      </c>
      <c r="W1201">
        <f t="shared" si="403"/>
        <v>2.9061414737793379E-3</v>
      </c>
      <c r="X1201">
        <f t="shared" si="404"/>
        <v>0.17260605424266184</v>
      </c>
      <c r="Y1201">
        <f t="shared" si="405"/>
        <v>1.874929983083444E-4</v>
      </c>
      <c r="Z1201">
        <f t="shared" si="406"/>
        <v>2.9998879729335104E-3</v>
      </c>
      <c r="AA1201">
        <f t="shared" si="407"/>
        <v>0.27501051132621762</v>
      </c>
      <c r="AB1201">
        <f t="shared" si="408"/>
        <v>0.16623522965314261</v>
      </c>
      <c r="AC1201">
        <f t="shared" si="409"/>
        <v>0.19092852626284734</v>
      </c>
      <c r="AD1201">
        <f t="shared" si="410"/>
        <v>3.4299969110528519E-3</v>
      </c>
      <c r="AE1201">
        <f t="shared" si="411"/>
        <v>2.2142735607217166E-2</v>
      </c>
      <c r="AG1201">
        <f t="shared" si="412"/>
        <v>-2.2066568330261709</v>
      </c>
      <c r="AH1201">
        <f t="shared" si="413"/>
        <v>0.23037245952846444</v>
      </c>
      <c r="AI1201">
        <f t="shared" si="414"/>
        <v>-0.25652556683496364</v>
      </c>
      <c r="AK1201" s="26">
        <f t="shared" si="415"/>
        <v>-3.806760519858271E-2</v>
      </c>
      <c r="AL1201" s="26">
        <f t="shared" si="416"/>
        <v>-3.8146756260642456E-3</v>
      </c>
      <c r="AM1201" s="26">
        <f t="shared" si="417"/>
        <v>-1.8461403502316953E-2</v>
      </c>
      <c r="AN1201" s="26">
        <f t="shared" si="418"/>
        <v>-24.812857142857165</v>
      </c>
      <c r="AO1201" s="26">
        <f t="shared" si="419"/>
        <v>-24.703035714285733</v>
      </c>
      <c r="AP1201" s="26">
        <f t="shared" si="420"/>
        <v>-21.569292035398242</v>
      </c>
      <c r="AS1201" s="2">
        <v>44279</v>
      </c>
      <c r="AT1201">
        <v>9.3000000000000007</v>
      </c>
      <c r="AU1201">
        <v>4.3</v>
      </c>
      <c r="AV1201">
        <v>59.8</v>
      </c>
      <c r="AW1201">
        <v>3.7</v>
      </c>
      <c r="AX1201">
        <v>206.74</v>
      </c>
      <c r="AY1201">
        <v>0.2</v>
      </c>
      <c r="AZ1201">
        <v>3.3</v>
      </c>
      <c r="BA1201">
        <v>297.03829999999999</v>
      </c>
      <c r="BB1201">
        <v>122.6216</v>
      </c>
      <c r="BC1201">
        <v>183.15450000000001</v>
      </c>
      <c r="BD1201">
        <v>7.0224000000000002</v>
      </c>
      <c r="BE1201">
        <v>24.910299999999999</v>
      </c>
      <c r="BF1201">
        <v>-6.6241000000000003</v>
      </c>
      <c r="BG1201">
        <v>-12.934699999999999</v>
      </c>
      <c r="BH1201">
        <v>29.98</v>
      </c>
    </row>
    <row r="1202" spans="1:60" x14ac:dyDescent="0.25">
      <c r="A1202" s="2">
        <v>44299</v>
      </c>
      <c r="B1202">
        <v>11.2</v>
      </c>
      <c r="C1202">
        <v>2.8</v>
      </c>
      <c r="D1202">
        <v>55.7</v>
      </c>
      <c r="E1202">
        <v>6.5</v>
      </c>
      <c r="F1202">
        <v>184.23</v>
      </c>
      <c r="G1202">
        <v>0.2</v>
      </c>
      <c r="H1202">
        <v>3.5</v>
      </c>
      <c r="I1202">
        <v>274.66449999999998</v>
      </c>
      <c r="J1202">
        <v>147.7116</v>
      </c>
      <c r="K1202">
        <v>169.7938</v>
      </c>
      <c r="L1202">
        <v>3.762</v>
      </c>
      <c r="M1202">
        <v>16.968299999999999</v>
      </c>
      <c r="N1202">
        <v>-6.8712999999999997</v>
      </c>
      <c r="O1202">
        <v>-11.987299999999999</v>
      </c>
      <c r="P1202">
        <v>29.86</v>
      </c>
      <c r="S1202">
        <f t="shared" si="399"/>
        <v>877.03019999999992</v>
      </c>
      <c r="T1202">
        <f t="shared" si="400"/>
        <v>1.0499607905267284E-2</v>
      </c>
      <c r="U1202">
        <f t="shared" si="401"/>
        <v>2.624901976316821E-3</v>
      </c>
      <c r="V1202">
        <f t="shared" si="402"/>
        <v>5.2216800028873911E-2</v>
      </c>
      <c r="W1202">
        <f t="shared" si="403"/>
        <v>6.0935224450211923E-3</v>
      </c>
      <c r="X1202">
        <f t="shared" si="404"/>
        <v>0.17270917539173142</v>
      </c>
      <c r="Y1202">
        <f t="shared" si="405"/>
        <v>1.874929983083444E-4</v>
      </c>
      <c r="Z1202">
        <f t="shared" si="406"/>
        <v>3.2811274703960268E-3</v>
      </c>
      <c r="AA1202">
        <f t="shared" si="407"/>
        <v>0.25748835316931123</v>
      </c>
      <c r="AB1202">
        <f t="shared" si="408"/>
        <v>0.13847445384461421</v>
      </c>
      <c r="AC1202">
        <f t="shared" si="409"/>
        <v>0.15917574328083683</v>
      </c>
      <c r="AD1202">
        <f t="shared" si="410"/>
        <v>3.5267432981799579E-3</v>
      </c>
      <c r="AE1202">
        <f t="shared" si="411"/>
        <v>1.5907187215977399E-2</v>
      </c>
      <c r="AG1202">
        <f t="shared" si="412"/>
        <v>-2.204958465457457</v>
      </c>
      <c r="AH1202">
        <f t="shared" si="413"/>
        <v>0.2635198154318924</v>
      </c>
      <c r="AI1202">
        <f t="shared" si="414"/>
        <v>-6.0724005178455269E-2</v>
      </c>
      <c r="AK1202" s="26">
        <f t="shared" si="415"/>
        <v>-3.9283068737187676E-2</v>
      </c>
      <c r="AL1202" s="26">
        <f t="shared" si="416"/>
        <v>-2.7056612372489686E-3</v>
      </c>
      <c r="AM1202" s="26">
        <f t="shared" si="417"/>
        <v>-1.812823757008844E-2</v>
      </c>
      <c r="AN1202" s="26">
        <f t="shared" si="418"/>
        <v>-24.719047619047647</v>
      </c>
      <c r="AO1202" s="26">
        <f t="shared" si="419"/>
        <v>-24.653571428571453</v>
      </c>
      <c r="AP1202" s="26">
        <f t="shared" si="420"/>
        <v>-21.429026548672574</v>
      </c>
      <c r="AS1202" s="2">
        <v>44278</v>
      </c>
      <c r="AT1202">
        <v>9.6999999999999993</v>
      </c>
      <c r="AU1202">
        <v>1.5</v>
      </c>
      <c r="AV1202">
        <v>30.8</v>
      </c>
      <c r="AW1202">
        <v>2.7</v>
      </c>
      <c r="AX1202">
        <v>80.86</v>
      </c>
      <c r="AY1202">
        <v>0.2</v>
      </c>
      <c r="AZ1202">
        <v>3.2</v>
      </c>
      <c r="BA1202">
        <v>316.95510000000002</v>
      </c>
      <c r="BB1202">
        <v>183.08539999999999</v>
      </c>
      <c r="BC1202">
        <v>227.44110000000001</v>
      </c>
      <c r="BD1202">
        <v>3.7856999999999998</v>
      </c>
      <c r="BE1202">
        <v>21.729399999999998</v>
      </c>
      <c r="BF1202">
        <v>-5.8391000000000002</v>
      </c>
      <c r="BG1202">
        <v>-12.3178</v>
      </c>
      <c r="BH1202">
        <v>30.15</v>
      </c>
    </row>
    <row r="1203" spans="1:60" x14ac:dyDescent="0.25">
      <c r="A1203" s="2">
        <v>44298</v>
      </c>
      <c r="B1203">
        <v>11.2</v>
      </c>
      <c r="C1203">
        <v>0.7</v>
      </c>
      <c r="D1203">
        <v>42</v>
      </c>
      <c r="E1203">
        <v>5.0999999999999996</v>
      </c>
      <c r="F1203">
        <v>121.89</v>
      </c>
      <c r="G1203">
        <v>0.2</v>
      </c>
      <c r="H1203">
        <v>3.5</v>
      </c>
      <c r="I1203">
        <v>301.41750000000002</v>
      </c>
      <c r="J1203">
        <v>153.482</v>
      </c>
      <c r="K1203">
        <v>182.7612</v>
      </c>
      <c r="L1203">
        <v>4.2704000000000004</v>
      </c>
      <c r="M1203">
        <v>27.672599999999999</v>
      </c>
      <c r="N1203">
        <v>-6.8548999999999998</v>
      </c>
      <c r="O1203">
        <v>-11.7019</v>
      </c>
      <c r="P1203">
        <v>30.15</v>
      </c>
      <c r="S1203">
        <f t="shared" si="399"/>
        <v>854.19370000000004</v>
      </c>
      <c r="T1203">
        <f t="shared" si="400"/>
        <v>1.0499607905267284E-2</v>
      </c>
      <c r="U1203">
        <f t="shared" si="401"/>
        <v>6.5622549407920526E-4</v>
      </c>
      <c r="V1203">
        <f t="shared" si="402"/>
        <v>3.9373529644752318E-2</v>
      </c>
      <c r="W1203">
        <f t="shared" si="403"/>
        <v>4.7810714568627816E-3</v>
      </c>
      <c r="X1203">
        <f t="shared" si="404"/>
        <v>0.11426760781902048</v>
      </c>
      <c r="Y1203">
        <f t="shared" si="405"/>
        <v>1.874929983083444E-4</v>
      </c>
      <c r="Z1203">
        <f t="shared" si="406"/>
        <v>3.2811274703960268E-3</v>
      </c>
      <c r="AA1203">
        <f t="shared" si="407"/>
        <v>0.282568354088027</v>
      </c>
      <c r="AB1203">
        <f t="shared" si="408"/>
        <v>0.14388400183180655</v>
      </c>
      <c r="AC1203">
        <f t="shared" si="409"/>
        <v>0.17133222681215496</v>
      </c>
      <c r="AD1203">
        <f t="shared" si="410"/>
        <v>4.0033504998797697E-3</v>
      </c>
      <c r="AE1203">
        <f t="shared" si="411"/>
        <v>2.5942093724937453E-2</v>
      </c>
      <c r="AG1203">
        <f t="shared" si="412"/>
        <v>-2.2020948382296948</v>
      </c>
      <c r="AH1203">
        <f t="shared" si="413"/>
        <v>0.19898875651362388</v>
      </c>
      <c r="AI1203">
        <f t="shared" si="414"/>
        <v>-0.44340286405804269</v>
      </c>
      <c r="AK1203" s="26">
        <f t="shared" si="415"/>
        <v>-4.4074269280078127E-2</v>
      </c>
      <c r="AL1203" s="26">
        <f t="shared" si="416"/>
        <v>-1.3764480402328472E-3</v>
      </c>
      <c r="AM1203" s="26">
        <f t="shared" si="417"/>
        <v>-1.9766375510919004E-2</v>
      </c>
      <c r="AN1203" s="26">
        <f t="shared" si="418"/>
        <v>-24.654761904761916</v>
      </c>
      <c r="AO1203" s="26">
        <f t="shared" si="419"/>
        <v>-24.610892857142879</v>
      </c>
      <c r="AP1203" s="26">
        <f t="shared" si="420"/>
        <v>-21.290442477876105</v>
      </c>
      <c r="AS1203" s="2">
        <v>44277</v>
      </c>
      <c r="AT1203">
        <v>9.5</v>
      </c>
      <c r="AU1203">
        <v>0</v>
      </c>
      <c r="AV1203">
        <v>37.299999999999997</v>
      </c>
      <c r="AW1203">
        <v>4.8</v>
      </c>
      <c r="AX1203">
        <v>108.25</v>
      </c>
      <c r="AY1203">
        <v>0.2</v>
      </c>
      <c r="AZ1203">
        <v>3</v>
      </c>
      <c r="BA1203">
        <v>280.26589999999999</v>
      </c>
      <c r="BB1203">
        <v>152.1003</v>
      </c>
      <c r="BC1203">
        <v>214.4281</v>
      </c>
      <c r="BD1203">
        <v>3.5914999999999999</v>
      </c>
      <c r="BE1203">
        <v>30.535499999999999</v>
      </c>
      <c r="BF1203">
        <v>-6.0358999999999998</v>
      </c>
      <c r="BG1203">
        <v>-13.9902</v>
      </c>
      <c r="BH1203">
        <v>30.39</v>
      </c>
    </row>
    <row r="1204" spans="1:60" x14ac:dyDescent="0.25">
      <c r="A1204" s="2">
        <v>44297</v>
      </c>
      <c r="B1204">
        <v>10.3</v>
      </c>
      <c r="C1204">
        <v>6.3</v>
      </c>
      <c r="D1204">
        <v>58.3</v>
      </c>
      <c r="E1204">
        <v>7.6</v>
      </c>
      <c r="F1204">
        <v>150.25</v>
      </c>
      <c r="G1204">
        <v>0.2</v>
      </c>
      <c r="H1204">
        <v>3.3</v>
      </c>
      <c r="I1204">
        <v>193.17250000000001</v>
      </c>
      <c r="J1204">
        <v>73.554699999999997</v>
      </c>
      <c r="K1204">
        <v>64.356399999999994</v>
      </c>
      <c r="L1204">
        <v>3.7195</v>
      </c>
      <c r="M1204">
        <v>13.5282</v>
      </c>
      <c r="P1204">
        <v>30.41</v>
      </c>
      <c r="S1204">
        <f t="shared" si="399"/>
        <v>584.58130000000006</v>
      </c>
      <c r="T1204">
        <f t="shared" si="400"/>
        <v>9.6558894128797364E-3</v>
      </c>
      <c r="U1204">
        <f t="shared" si="401"/>
        <v>5.9060294467128483E-3</v>
      </c>
      <c r="V1204">
        <f t="shared" si="402"/>
        <v>5.4654209006882386E-2</v>
      </c>
      <c r="W1204">
        <f t="shared" si="403"/>
        <v>7.1247339357170866E-3</v>
      </c>
      <c r="X1204">
        <f t="shared" si="404"/>
        <v>0.14085411497914371</v>
      </c>
      <c r="Y1204">
        <f t="shared" si="405"/>
        <v>1.874929983083444E-4</v>
      </c>
      <c r="Z1204">
        <f t="shared" si="406"/>
        <v>3.0936344720876819E-3</v>
      </c>
      <c r="AA1204">
        <f t="shared" si="407"/>
        <v>0.18109245607859328</v>
      </c>
      <c r="AB1204">
        <f t="shared" si="408"/>
        <v>6.8954956213353888E-2</v>
      </c>
      <c r="AC1204">
        <f t="shared" si="409"/>
        <v>6.0331871981655669E-2</v>
      </c>
      <c r="AD1204">
        <f t="shared" si="410"/>
        <v>3.4869010360394346E-3</v>
      </c>
      <c r="AE1204">
        <f t="shared" si="411"/>
        <v>1.2682213898574723E-2</v>
      </c>
      <c r="AG1204">
        <f t="shared" si="412"/>
        <v>-2.2006679298842693</v>
      </c>
      <c r="AH1204">
        <f t="shared" si="413"/>
        <v>0.23415831815030649</v>
      </c>
      <c r="AI1204">
        <f t="shared" si="414"/>
        <v>-0.23646788520828579</v>
      </c>
      <c r="AK1204" s="26">
        <f t="shared" si="415"/>
        <v>-3.1469061434379886E-2</v>
      </c>
      <c r="AL1204" s="26">
        <f t="shared" si="416"/>
        <v>2.6983540324487243E-3</v>
      </c>
      <c r="AM1204" s="26">
        <f t="shared" si="417"/>
        <v>-1.7302048843427703E-2</v>
      </c>
      <c r="AN1204" s="26">
        <f t="shared" si="418"/>
        <v>-24.61904761904762</v>
      </c>
      <c r="AO1204" s="26">
        <f t="shared" si="419"/>
        <v>-24.573571428571441</v>
      </c>
      <c r="AP1204" s="26">
        <f t="shared" si="420"/>
        <v>-21.154955752212388</v>
      </c>
      <c r="AS1204" s="2">
        <v>44276</v>
      </c>
      <c r="AT1204">
        <v>9.9</v>
      </c>
      <c r="AU1204">
        <v>0</v>
      </c>
      <c r="AV1204">
        <v>63.8</v>
      </c>
      <c r="AW1204">
        <v>6.4</v>
      </c>
      <c r="AX1204">
        <v>77.86</v>
      </c>
      <c r="AY1204">
        <v>0.2</v>
      </c>
      <c r="AZ1204">
        <v>3</v>
      </c>
      <c r="BA1204">
        <v>162.01519999999999</v>
      </c>
      <c r="BB1204">
        <v>67.863699999999994</v>
      </c>
      <c r="BC1204">
        <v>92.94</v>
      </c>
      <c r="BD1204">
        <v>3.5760000000000001</v>
      </c>
      <c r="BE1204">
        <v>9.5695999999999994</v>
      </c>
      <c r="BH1204">
        <v>30.7</v>
      </c>
    </row>
    <row r="1205" spans="1:60" x14ac:dyDescent="0.25">
      <c r="A1205" s="2">
        <v>44296</v>
      </c>
      <c r="B1205">
        <v>9.9</v>
      </c>
      <c r="C1205">
        <v>1.5</v>
      </c>
      <c r="D1205">
        <v>11.7</v>
      </c>
      <c r="E1205">
        <v>2.9</v>
      </c>
      <c r="F1205">
        <v>126.2</v>
      </c>
      <c r="G1205">
        <v>0.2</v>
      </c>
      <c r="H1205">
        <v>3</v>
      </c>
      <c r="I1205">
        <v>241.46289999999999</v>
      </c>
      <c r="J1205">
        <v>88.150199999999998</v>
      </c>
      <c r="K1205">
        <v>154.6782</v>
      </c>
      <c r="L1205">
        <v>3.6214</v>
      </c>
      <c r="M1205">
        <v>21.484500000000001</v>
      </c>
      <c r="P1205">
        <v>30.46</v>
      </c>
      <c r="S1205">
        <f t="shared" si="399"/>
        <v>664.79719999999998</v>
      </c>
      <c r="T1205">
        <f t="shared" si="400"/>
        <v>9.2809034162630467E-3</v>
      </c>
      <c r="U1205">
        <f t="shared" si="401"/>
        <v>1.406197487312583E-3</v>
      </c>
      <c r="V1205">
        <f t="shared" si="402"/>
        <v>1.0968340401038145E-2</v>
      </c>
      <c r="W1205">
        <f t="shared" si="403"/>
        <v>2.7186484754709935E-3</v>
      </c>
      <c r="X1205">
        <f t="shared" si="404"/>
        <v>0.11830808193256531</v>
      </c>
      <c r="Y1205">
        <f t="shared" si="405"/>
        <v>1.874929983083444E-4</v>
      </c>
      <c r="Z1205">
        <f t="shared" si="406"/>
        <v>2.8123949746251659E-3</v>
      </c>
      <c r="AA1205">
        <f t="shared" si="407"/>
        <v>0.22636301550613963</v>
      </c>
      <c r="AB1205">
        <f t="shared" si="408"/>
        <v>8.2637726497401087E-2</v>
      </c>
      <c r="AC1205">
        <f t="shared" si="409"/>
        <v>0.14500539745468877</v>
      </c>
      <c r="AD1205">
        <f t="shared" si="410"/>
        <v>3.3949357203691918E-3</v>
      </c>
      <c r="AE1205">
        <f t="shared" si="411"/>
        <v>2.0140966610778126E-2</v>
      </c>
      <c r="AG1205">
        <f t="shared" si="412"/>
        <v>-2.2101759983527551</v>
      </c>
      <c r="AH1205">
        <f t="shared" si="413"/>
        <v>0.1658230262963617</v>
      </c>
      <c r="AI1205">
        <f t="shared" si="414"/>
        <v>-0.64487964648130136</v>
      </c>
      <c r="AK1205" s="26">
        <f t="shared" si="415"/>
        <v>-2.9804409313018254E-2</v>
      </c>
      <c r="AL1205" s="26">
        <f t="shared" si="416"/>
        <v>4.4988442730698741E-3</v>
      </c>
      <c r="AM1205" s="26">
        <f t="shared" si="417"/>
        <v>-1.6823589111350873E-2</v>
      </c>
      <c r="AN1205" s="26">
        <f t="shared" si="418"/>
        <v>-24.600476190476197</v>
      </c>
      <c r="AO1205" s="26">
        <f t="shared" si="419"/>
        <v>-24.537678571428586</v>
      </c>
      <c r="AP1205" s="26">
        <f t="shared" si="420"/>
        <v>-21.023362831858407</v>
      </c>
      <c r="AS1205" s="2">
        <v>44275</v>
      </c>
      <c r="AT1205">
        <v>11</v>
      </c>
      <c r="AU1205">
        <v>0.7</v>
      </c>
      <c r="AV1205">
        <v>43.9</v>
      </c>
      <c r="AW1205">
        <v>2.8</v>
      </c>
      <c r="AX1205">
        <v>147.94999999999999</v>
      </c>
      <c r="AY1205">
        <v>0.2</v>
      </c>
      <c r="AZ1205">
        <v>3.1</v>
      </c>
      <c r="BA1205">
        <v>234.11689999999999</v>
      </c>
      <c r="BB1205">
        <v>93.033299999999997</v>
      </c>
      <c r="BC1205">
        <v>140.012</v>
      </c>
      <c r="BD1205">
        <v>3.5760000000000001</v>
      </c>
      <c r="BE1205">
        <v>18.797499999999999</v>
      </c>
      <c r="BH1205">
        <v>30.86</v>
      </c>
    </row>
    <row r="1206" spans="1:60" x14ac:dyDescent="0.25">
      <c r="A1206" s="2">
        <v>44295</v>
      </c>
      <c r="B1206">
        <v>9.9</v>
      </c>
      <c r="C1206">
        <v>3.2</v>
      </c>
      <c r="D1206">
        <v>44.4</v>
      </c>
      <c r="E1206">
        <v>8.9</v>
      </c>
      <c r="F1206">
        <v>199.4</v>
      </c>
      <c r="G1206">
        <v>0.2</v>
      </c>
      <c r="H1206">
        <v>3</v>
      </c>
      <c r="I1206">
        <v>198.08250000000001</v>
      </c>
      <c r="J1206">
        <v>107.5356</v>
      </c>
      <c r="K1206">
        <v>109.8365</v>
      </c>
      <c r="L1206">
        <v>3.6</v>
      </c>
      <c r="M1206">
        <v>26.345500000000001</v>
      </c>
      <c r="N1206">
        <v>-7.1079999999999997</v>
      </c>
      <c r="O1206">
        <v>-12.727499999999999</v>
      </c>
      <c r="P1206">
        <v>30.44</v>
      </c>
      <c r="S1206">
        <f t="shared" si="399"/>
        <v>714.40010000000007</v>
      </c>
      <c r="T1206">
        <f t="shared" si="400"/>
        <v>9.2809034162630467E-3</v>
      </c>
      <c r="U1206">
        <f t="shared" si="401"/>
        <v>2.9998879729335104E-3</v>
      </c>
      <c r="V1206">
        <f t="shared" si="402"/>
        <v>4.162344562445245E-2</v>
      </c>
      <c r="W1206">
        <f t="shared" si="403"/>
        <v>8.3434384247213257E-3</v>
      </c>
      <c r="X1206">
        <f t="shared" si="404"/>
        <v>0.18693051931341936</v>
      </c>
      <c r="Y1206">
        <f t="shared" si="405"/>
        <v>1.874929983083444E-4</v>
      </c>
      <c r="Z1206">
        <f t="shared" si="406"/>
        <v>2.8123949746251659E-3</v>
      </c>
      <c r="AA1206">
        <f t="shared" si="407"/>
        <v>0.18569540918706315</v>
      </c>
      <c r="AB1206">
        <f t="shared" si="408"/>
        <v>0.100810860344434</v>
      </c>
      <c r="AC1206">
        <f t="shared" si="409"/>
        <v>0.10296787354347234</v>
      </c>
      <c r="AD1206">
        <f t="shared" si="410"/>
        <v>3.3748739695501988E-3</v>
      </c>
      <c r="AE1206">
        <f t="shared" si="411"/>
        <v>2.4697983934662437E-2</v>
      </c>
      <c r="AG1206">
        <f t="shared" si="412"/>
        <v>-2.2234658421225681</v>
      </c>
      <c r="AH1206">
        <f t="shared" si="413"/>
        <v>0.27687606665938563</v>
      </c>
      <c r="AI1206">
        <f t="shared" si="414"/>
        <v>1.1008548038352869E-2</v>
      </c>
      <c r="AK1206" s="26">
        <f t="shared" si="415"/>
        <v>-2.4059056901736708E-2</v>
      </c>
      <c r="AL1206" s="26">
        <f t="shared" si="416"/>
        <v>5.6179799357046201E-3</v>
      </c>
      <c r="AM1206" s="26">
        <f t="shared" si="417"/>
        <v>-1.5585558740065175E-2</v>
      </c>
      <c r="AN1206" s="26">
        <f t="shared" si="418"/>
        <v>-24.599523809523824</v>
      </c>
      <c r="AO1206" s="26">
        <f t="shared" si="419"/>
        <v>-24.502500000000019</v>
      </c>
      <c r="AP1206" s="26">
        <f t="shared" si="420"/>
        <v>-20.893628318584078</v>
      </c>
      <c r="AS1206" s="2">
        <v>44274</v>
      </c>
      <c r="AT1206">
        <v>11.8</v>
      </c>
      <c r="AU1206">
        <v>257.10000000000002</v>
      </c>
      <c r="AV1206">
        <v>24.4</v>
      </c>
      <c r="AW1206">
        <v>4.9000000000000004</v>
      </c>
      <c r="AX1206">
        <v>114.98</v>
      </c>
      <c r="AY1206">
        <v>0.2</v>
      </c>
      <c r="AZ1206">
        <v>3.2</v>
      </c>
      <c r="BA1206">
        <v>260.67840000000001</v>
      </c>
      <c r="BB1206">
        <v>130.274</v>
      </c>
      <c r="BC1206">
        <v>157.87</v>
      </c>
      <c r="BD1206">
        <v>3.2789999999999999</v>
      </c>
      <c r="BE1206">
        <v>30.298500000000001</v>
      </c>
      <c r="BF1206">
        <v>-5.9447000000000001</v>
      </c>
      <c r="BG1206">
        <v>-14.205</v>
      </c>
      <c r="BH1206">
        <v>31.08</v>
      </c>
    </row>
    <row r="1207" spans="1:60" x14ac:dyDescent="0.25">
      <c r="A1207" s="2">
        <v>44294</v>
      </c>
      <c r="B1207">
        <v>10.4</v>
      </c>
      <c r="C1207">
        <v>0.7</v>
      </c>
      <c r="D1207">
        <v>60.5</v>
      </c>
      <c r="E1207">
        <v>10</v>
      </c>
      <c r="F1207">
        <v>142.69</v>
      </c>
      <c r="G1207">
        <v>0.2</v>
      </c>
      <c r="H1207">
        <v>3.1</v>
      </c>
      <c r="I1207">
        <v>217.22239999999999</v>
      </c>
      <c r="J1207">
        <v>111.5457</v>
      </c>
      <c r="K1207">
        <v>134.4435</v>
      </c>
      <c r="L1207">
        <v>3.7040000000000002</v>
      </c>
      <c r="M1207">
        <v>36.565399999999997</v>
      </c>
      <c r="N1207">
        <v>-8.0105000000000004</v>
      </c>
      <c r="O1207">
        <v>-13.097300000000001</v>
      </c>
      <c r="P1207">
        <v>30.61</v>
      </c>
      <c r="S1207">
        <f t="shared" si="399"/>
        <v>731.0709999999998</v>
      </c>
      <c r="T1207">
        <f t="shared" si="400"/>
        <v>9.749635912033908E-3</v>
      </c>
      <c r="U1207">
        <f t="shared" si="401"/>
        <v>6.5622549407920526E-4</v>
      </c>
      <c r="V1207">
        <f t="shared" si="402"/>
        <v>5.6716631988274174E-2</v>
      </c>
      <c r="W1207">
        <f t="shared" si="403"/>
        <v>9.3746499154172182E-3</v>
      </c>
      <c r="X1207">
        <f t="shared" si="404"/>
        <v>0.13376687964308831</v>
      </c>
      <c r="Y1207">
        <f t="shared" si="405"/>
        <v>1.874929983083444E-4</v>
      </c>
      <c r="Z1207">
        <f t="shared" si="406"/>
        <v>2.9061414737793379E-3</v>
      </c>
      <c r="AA1207">
        <f t="shared" si="407"/>
        <v>0.20363839537867254</v>
      </c>
      <c r="AB1207">
        <f t="shared" si="408"/>
        <v>0.10457018870701544</v>
      </c>
      <c r="AC1207">
        <f t="shared" si="409"/>
        <v>0.1260360745903395</v>
      </c>
      <c r="AD1207">
        <f t="shared" si="410"/>
        <v>3.4723703286705381E-3</v>
      </c>
      <c r="AE1207">
        <f t="shared" si="411"/>
        <v>3.4278782401719672E-2</v>
      </c>
      <c r="AG1207">
        <f t="shared" si="412"/>
        <v>-2.2268162211811995</v>
      </c>
      <c r="AH1207">
        <f t="shared" si="413"/>
        <v>0.24763643982670017</v>
      </c>
      <c r="AI1207">
        <f t="shared" si="414"/>
        <v>-0.16212793276651336</v>
      </c>
      <c r="AK1207" s="26">
        <f t="shared" si="415"/>
        <v>-1.5949440102381973E-2</v>
      </c>
      <c r="AL1207" s="26">
        <f t="shared" si="416"/>
        <v>5.0230060605102322E-3</v>
      </c>
      <c r="AM1207" s="26">
        <f t="shared" si="417"/>
        <v>-1.5087143447893969E-2</v>
      </c>
      <c r="AN1207" s="26">
        <f t="shared" si="418"/>
        <v>-24.60761904761905</v>
      </c>
      <c r="AO1207" s="26">
        <f t="shared" si="419"/>
        <v>-24.467142857142875</v>
      </c>
      <c r="AP1207" s="26">
        <f t="shared" si="420"/>
        <v>-20.76548672566372</v>
      </c>
      <c r="AS1207" s="2">
        <v>44273</v>
      </c>
      <c r="AT1207">
        <v>11.9</v>
      </c>
      <c r="AU1207">
        <v>0.6</v>
      </c>
      <c r="AV1207">
        <v>10.199999999999999</v>
      </c>
      <c r="AW1207">
        <v>1.1000000000000001</v>
      </c>
      <c r="AX1207">
        <v>116.38</v>
      </c>
      <c r="AY1207">
        <v>0.2</v>
      </c>
      <c r="AZ1207">
        <v>3.1</v>
      </c>
      <c r="BA1207">
        <v>274.16730000000001</v>
      </c>
      <c r="BB1207">
        <v>197.28790000000001</v>
      </c>
      <c r="BC1207">
        <v>208.6268</v>
      </c>
      <c r="BD1207">
        <v>3.5059999999999998</v>
      </c>
      <c r="BE1207">
        <v>24.431799999999999</v>
      </c>
      <c r="BF1207">
        <v>-6.2778</v>
      </c>
      <c r="BG1207">
        <v>-13.733000000000001</v>
      </c>
      <c r="BH1207">
        <v>31.41</v>
      </c>
    </row>
    <row r="1208" spans="1:60" x14ac:dyDescent="0.25">
      <c r="A1208" s="2">
        <v>44293</v>
      </c>
      <c r="B1208">
        <v>11.5</v>
      </c>
      <c r="C1208">
        <v>16.100000000000001</v>
      </c>
      <c r="D1208">
        <v>63.7</v>
      </c>
      <c r="E1208">
        <v>12</v>
      </c>
      <c r="F1208">
        <v>102.22</v>
      </c>
      <c r="G1208">
        <v>0.2</v>
      </c>
      <c r="H1208">
        <v>3.1</v>
      </c>
      <c r="I1208">
        <v>202.7149</v>
      </c>
      <c r="J1208">
        <v>84.743600000000001</v>
      </c>
      <c r="K1208">
        <v>116.5117</v>
      </c>
      <c r="L1208">
        <v>3.6132</v>
      </c>
      <c r="M1208">
        <v>31.547799999999999</v>
      </c>
      <c r="N1208">
        <v>-8.4246999999999996</v>
      </c>
      <c r="O1208">
        <v>-14.018700000000001</v>
      </c>
      <c r="P1208">
        <v>30.83</v>
      </c>
      <c r="S1208">
        <f t="shared" si="399"/>
        <v>647.95120000000009</v>
      </c>
      <c r="T1208">
        <f t="shared" si="400"/>
        <v>1.0780847402729802E-2</v>
      </c>
      <c r="U1208">
        <f t="shared" si="401"/>
        <v>1.5093186363821724E-2</v>
      </c>
      <c r="V1208">
        <f t="shared" si="402"/>
        <v>5.9716519961207686E-2</v>
      </c>
      <c r="W1208">
        <f t="shared" si="403"/>
        <v>1.1249579898500664E-2</v>
      </c>
      <c r="X1208">
        <f t="shared" si="404"/>
        <v>9.5827671435394807E-2</v>
      </c>
      <c r="Y1208">
        <f t="shared" si="405"/>
        <v>1.874929983083444E-4</v>
      </c>
      <c r="Z1208">
        <f t="shared" si="406"/>
        <v>2.9061414737793379E-3</v>
      </c>
      <c r="AA1208">
        <f t="shared" si="407"/>
        <v>0.19003812201388101</v>
      </c>
      <c r="AB1208">
        <f t="shared" si="408"/>
        <v>7.944415825721507E-2</v>
      </c>
      <c r="AC1208">
        <f t="shared" si="409"/>
        <v>0.10922563985501164</v>
      </c>
      <c r="AD1208">
        <f t="shared" si="410"/>
        <v>3.3872485074385498E-3</v>
      </c>
      <c r="AE1208">
        <f t="shared" si="411"/>
        <v>2.9574958060159934E-2</v>
      </c>
      <c r="AG1208">
        <f t="shared" si="412"/>
        <v>-2.2274685830816492</v>
      </c>
      <c r="AH1208">
        <f t="shared" si="413"/>
        <v>0.22533639759390231</v>
      </c>
      <c r="AI1208">
        <f t="shared" si="414"/>
        <v>-0.29487366840861007</v>
      </c>
      <c r="AK1208" s="26">
        <f t="shared" si="415"/>
        <v>-1.5954765796357684E-2</v>
      </c>
      <c r="AL1208" s="26">
        <f t="shared" si="416"/>
        <v>4.6584409917012903E-3</v>
      </c>
      <c r="AM1208" s="26">
        <f t="shared" si="417"/>
        <v>-1.4725992111630309E-2</v>
      </c>
      <c r="AN1208" s="26">
        <f t="shared" si="418"/>
        <v>-24.625714285714274</v>
      </c>
      <c r="AO1208" s="26">
        <f t="shared" si="419"/>
        <v>-24.433928571428595</v>
      </c>
      <c r="AP1208" s="26">
        <f t="shared" si="420"/>
        <v>-20.639469026548667</v>
      </c>
      <c r="AS1208" s="2">
        <v>44272</v>
      </c>
      <c r="AT1208">
        <v>11.7</v>
      </c>
      <c r="AU1208">
        <v>69.3</v>
      </c>
      <c r="AV1208">
        <v>33.299999999999997</v>
      </c>
      <c r="AW1208">
        <v>18.399999999999999</v>
      </c>
      <c r="AX1208">
        <v>92.68</v>
      </c>
      <c r="AY1208">
        <v>0.2</v>
      </c>
      <c r="AZ1208">
        <v>2.6</v>
      </c>
      <c r="BA1208">
        <v>288.76859999999999</v>
      </c>
      <c r="BB1208">
        <v>155.66139999999999</v>
      </c>
      <c r="BC1208">
        <v>180.48269999999999</v>
      </c>
      <c r="BD1208">
        <v>3.4447000000000001</v>
      </c>
      <c r="BE1208">
        <v>23.752099999999999</v>
      </c>
      <c r="BF1208">
        <v>-6.5053000000000001</v>
      </c>
      <c r="BG1208">
        <v>-13.865399999999999</v>
      </c>
      <c r="BH1208">
        <v>31.77</v>
      </c>
    </row>
    <row r="1209" spans="1:60" x14ac:dyDescent="0.25">
      <c r="A1209" s="2">
        <v>44292</v>
      </c>
      <c r="B1209">
        <v>10.8</v>
      </c>
      <c r="C1209">
        <v>2.6</v>
      </c>
      <c r="D1209">
        <v>82.1</v>
      </c>
      <c r="E1209">
        <v>10.8</v>
      </c>
      <c r="F1209">
        <v>137.55000000000001</v>
      </c>
      <c r="G1209">
        <v>0.2</v>
      </c>
      <c r="H1209">
        <v>3.2</v>
      </c>
      <c r="I1209">
        <v>135.7842</v>
      </c>
      <c r="J1209">
        <v>53.849200000000003</v>
      </c>
      <c r="K1209">
        <v>99.555999999999997</v>
      </c>
      <c r="L1209">
        <v>3.9222999999999999</v>
      </c>
      <c r="M1209">
        <v>44.961500000000001</v>
      </c>
      <c r="N1209">
        <v>-8.8523999999999994</v>
      </c>
      <c r="O1209">
        <v>-14.0814</v>
      </c>
      <c r="P1209">
        <v>31.11</v>
      </c>
      <c r="S1209">
        <f t="shared" si="399"/>
        <v>585.32319999999993</v>
      </c>
      <c r="T1209">
        <f t="shared" si="400"/>
        <v>1.0124621908650598E-2</v>
      </c>
      <c r="U1209">
        <f t="shared" si="401"/>
        <v>2.437408978008477E-3</v>
      </c>
      <c r="V1209">
        <f t="shared" si="402"/>
        <v>7.6965875805575359E-2</v>
      </c>
      <c r="W1209">
        <f t="shared" si="403"/>
        <v>1.0124621908650598E-2</v>
      </c>
      <c r="X1209">
        <f t="shared" si="404"/>
        <v>0.12894830958656386</v>
      </c>
      <c r="Y1209">
        <f t="shared" si="405"/>
        <v>1.874929983083444E-4</v>
      </c>
      <c r="Z1209">
        <f t="shared" si="406"/>
        <v>2.9998879729335104E-3</v>
      </c>
      <c r="AA1209">
        <f t="shared" si="407"/>
        <v>0.12729293390449947</v>
      </c>
      <c r="AB1209">
        <f t="shared" si="408"/>
        <v>5.0481739822528494E-2</v>
      </c>
      <c r="AC1209">
        <f t="shared" si="409"/>
        <v>9.333026469792767E-2</v>
      </c>
      <c r="AD1209">
        <f t="shared" si="410"/>
        <v>3.6770189363240957E-3</v>
      </c>
      <c r="AE1209">
        <f t="shared" si="411"/>
        <v>4.2149832217203129E-2</v>
      </c>
      <c r="AG1209">
        <f t="shared" si="412"/>
        <v>-2.2248340106168603</v>
      </c>
      <c r="AH1209">
        <f t="shared" si="413"/>
        <v>0.27393805137589389</v>
      </c>
      <c r="AI1209">
        <f t="shared" si="414"/>
        <v>-8.2176219221557576E-3</v>
      </c>
      <c r="AK1209" s="26">
        <f t="shared" si="415"/>
        <v>-1.210451225783471E-2</v>
      </c>
      <c r="AL1209" s="26">
        <f t="shared" si="416"/>
        <v>6.1480577968594519E-3</v>
      </c>
      <c r="AM1209" s="26">
        <f t="shared" si="417"/>
        <v>-1.3745272651301821E-2</v>
      </c>
      <c r="AN1209" s="26">
        <f t="shared" si="418"/>
        <v>-24.655238095238087</v>
      </c>
      <c r="AO1209" s="26">
        <f t="shared" si="419"/>
        <v>-24.398928571428598</v>
      </c>
      <c r="AP1209" s="26">
        <f t="shared" si="420"/>
        <v>-20.515575221238947</v>
      </c>
      <c r="AS1209" s="2">
        <v>44271</v>
      </c>
      <c r="AT1209">
        <v>11.7</v>
      </c>
      <c r="AU1209">
        <v>1.8</v>
      </c>
      <c r="AV1209">
        <v>40.299999999999997</v>
      </c>
      <c r="AW1209">
        <v>8.8000000000000007</v>
      </c>
      <c r="AX1209">
        <v>94.24</v>
      </c>
      <c r="AY1209">
        <v>0.2</v>
      </c>
      <c r="AZ1209">
        <v>2.6</v>
      </c>
      <c r="BA1209">
        <v>267.38099999999997</v>
      </c>
      <c r="BB1209">
        <v>135.7431</v>
      </c>
      <c r="BC1209">
        <v>145.982</v>
      </c>
      <c r="BD1209">
        <v>3.4832000000000001</v>
      </c>
      <c r="BE1209">
        <v>30.0566</v>
      </c>
      <c r="BF1209">
        <v>-6.8815</v>
      </c>
      <c r="BG1209">
        <v>-13.1915</v>
      </c>
      <c r="BH1209">
        <v>32.07</v>
      </c>
    </row>
    <row r="1210" spans="1:60" x14ac:dyDescent="0.25">
      <c r="A1210" s="2">
        <v>44291</v>
      </c>
      <c r="B1210">
        <v>9.6999999999999993</v>
      </c>
      <c r="C1210">
        <v>0</v>
      </c>
      <c r="D1210">
        <v>51.2</v>
      </c>
      <c r="E1210">
        <v>12.8</v>
      </c>
      <c r="F1210">
        <v>113.72</v>
      </c>
      <c r="G1210">
        <v>0.2</v>
      </c>
      <c r="H1210">
        <v>3.2</v>
      </c>
      <c r="I1210">
        <v>80.604500000000002</v>
      </c>
      <c r="J1210">
        <v>30.3627</v>
      </c>
      <c r="K1210">
        <v>39.974200000000003</v>
      </c>
      <c r="L1210">
        <v>3.5992000000000002</v>
      </c>
      <c r="M1210">
        <v>13.4529</v>
      </c>
      <c r="N1210">
        <v>-8.1633999999999993</v>
      </c>
      <c r="O1210">
        <v>-13.7363</v>
      </c>
      <c r="P1210">
        <v>31.28</v>
      </c>
      <c r="S1210">
        <f t="shared" si="399"/>
        <v>358.81349999999998</v>
      </c>
      <c r="T1210">
        <f t="shared" si="400"/>
        <v>9.0934104179547018E-3</v>
      </c>
      <c r="U1210">
        <f t="shared" si="401"/>
        <v>0</v>
      </c>
      <c r="V1210">
        <f t="shared" si="402"/>
        <v>4.7998207566936166E-2</v>
      </c>
      <c r="W1210">
        <f t="shared" si="403"/>
        <v>1.1999551891734041E-2</v>
      </c>
      <c r="X1210">
        <f t="shared" si="404"/>
        <v>0.10660851883812461</v>
      </c>
      <c r="Y1210">
        <f t="shared" si="405"/>
        <v>1.874929983083444E-4</v>
      </c>
      <c r="Z1210">
        <f t="shared" si="406"/>
        <v>2.9998879729335104E-3</v>
      </c>
      <c r="AA1210">
        <f t="shared" si="407"/>
        <v>7.5563896910724723E-2</v>
      </c>
      <c r="AB1210">
        <f t="shared" si="408"/>
        <v>2.8463968298683841E-2</v>
      </c>
      <c r="AC1210">
        <f t="shared" si="409"/>
        <v>3.7474413064887101E-2</v>
      </c>
      <c r="AD1210">
        <f t="shared" si="410"/>
        <v>3.3741239975569656E-3</v>
      </c>
      <c r="AE1210">
        <f t="shared" si="411"/>
        <v>1.261162278471163E-2</v>
      </c>
      <c r="AG1210">
        <f t="shared" si="412"/>
        <v>-2.2279889658136343</v>
      </c>
      <c r="AH1210">
        <f t="shared" si="413"/>
        <v>0.19149869247070297</v>
      </c>
      <c r="AI1210">
        <f t="shared" si="414"/>
        <v>-0.49807028268137044</v>
      </c>
      <c r="AK1210" s="26">
        <f t="shared" si="415"/>
        <v>-1.5876063378258198E-2</v>
      </c>
      <c r="AL1210" s="26">
        <f t="shared" si="416"/>
        <v>6.8402668802122202E-3</v>
      </c>
      <c r="AM1210" s="26">
        <f t="shared" si="417"/>
        <v>-1.3103696499541767E-2</v>
      </c>
      <c r="AN1210" s="26">
        <f t="shared" si="418"/>
        <v>-24.705238095238084</v>
      </c>
      <c r="AO1210" s="26">
        <f t="shared" si="419"/>
        <v>-24.363928571428595</v>
      </c>
      <c r="AP1210" s="26">
        <f t="shared" si="420"/>
        <v>-20.393982300884964</v>
      </c>
      <c r="AS1210" s="2">
        <v>44270</v>
      </c>
      <c r="AT1210">
        <v>10.6</v>
      </c>
      <c r="AU1210">
        <v>2.7</v>
      </c>
      <c r="AV1210">
        <v>71.8</v>
      </c>
      <c r="AW1210">
        <v>13.3</v>
      </c>
      <c r="AX1210">
        <v>83.51</v>
      </c>
      <c r="AY1210">
        <v>0.2</v>
      </c>
      <c r="AZ1210">
        <v>2.5</v>
      </c>
      <c r="BA1210">
        <v>196.58250000000001</v>
      </c>
      <c r="BB1210">
        <v>82.729100000000003</v>
      </c>
      <c r="BC1210">
        <v>92.672200000000004</v>
      </c>
      <c r="BD1210">
        <v>3.5232000000000001</v>
      </c>
      <c r="BE1210">
        <v>27.013100000000001</v>
      </c>
      <c r="BF1210">
        <v>-6.7224000000000004</v>
      </c>
      <c r="BG1210">
        <v>-12.8627</v>
      </c>
      <c r="BH1210">
        <v>32.340000000000003</v>
      </c>
    </row>
    <row r="1211" spans="1:60" x14ac:dyDescent="0.25">
      <c r="A1211" s="2">
        <v>44290</v>
      </c>
      <c r="B1211">
        <v>11.8</v>
      </c>
      <c r="C1211">
        <v>0</v>
      </c>
      <c r="D1211">
        <v>54</v>
      </c>
      <c r="E1211">
        <v>5.0999999999999996</v>
      </c>
      <c r="F1211">
        <v>196.16</v>
      </c>
      <c r="G1211">
        <v>0.2</v>
      </c>
      <c r="H1211">
        <v>3.4</v>
      </c>
      <c r="I1211">
        <v>88.995000000000005</v>
      </c>
      <c r="J1211">
        <v>38.401600000000002</v>
      </c>
      <c r="K1211">
        <v>58.713700000000003</v>
      </c>
      <c r="L1211">
        <v>3.5567000000000002</v>
      </c>
      <c r="M1211">
        <v>24.766100000000002</v>
      </c>
      <c r="P1211">
        <v>31.14</v>
      </c>
      <c r="S1211">
        <f t="shared" si="399"/>
        <v>485.09309999999999</v>
      </c>
      <c r="T1211">
        <f t="shared" si="400"/>
        <v>1.1062086900192319E-2</v>
      </c>
      <c r="U1211">
        <f t="shared" si="401"/>
        <v>0</v>
      </c>
      <c r="V1211">
        <f t="shared" si="402"/>
        <v>5.0623109543252984E-2</v>
      </c>
      <c r="W1211">
        <f t="shared" si="403"/>
        <v>4.7810714568627816E-3</v>
      </c>
      <c r="X1211">
        <f t="shared" si="404"/>
        <v>0.18389313274082417</v>
      </c>
      <c r="Y1211">
        <f t="shared" si="405"/>
        <v>1.874929983083444E-4</v>
      </c>
      <c r="Z1211">
        <f t="shared" si="406"/>
        <v>3.1873809712418544E-3</v>
      </c>
      <c r="AA1211">
        <f t="shared" si="407"/>
        <v>8.3429696922255547E-2</v>
      </c>
      <c r="AB1211">
        <f t="shared" si="408"/>
        <v>3.6000155619188588E-2</v>
      </c>
      <c r="AC1211">
        <f t="shared" si="409"/>
        <v>5.5042038273883202E-2</v>
      </c>
      <c r="AD1211">
        <f t="shared" si="410"/>
        <v>3.3342817354164423E-3</v>
      </c>
      <c r="AE1211">
        <f t="shared" si="411"/>
        <v>2.321735172702144E-2</v>
      </c>
      <c r="AG1211">
        <f t="shared" si="412"/>
        <v>-2.2478582208191185</v>
      </c>
      <c r="AH1211">
        <f t="shared" si="413"/>
        <v>0.27695162633770387</v>
      </c>
      <c r="AI1211">
        <f t="shared" si="414"/>
        <v>6.2474853159655234E-3</v>
      </c>
      <c r="AK1211" s="26">
        <f t="shared" si="415"/>
        <v>-1.5065142768217687E-2</v>
      </c>
      <c r="AL1211" s="26">
        <f t="shared" si="416"/>
        <v>7.969476943416709E-3</v>
      </c>
      <c r="AM1211" s="26">
        <f t="shared" si="417"/>
        <v>-1.2665945147703778E-2</v>
      </c>
      <c r="AN1211" s="26">
        <f t="shared" si="418"/>
        <v>-24.763333333333335</v>
      </c>
      <c r="AO1211" s="26">
        <f t="shared" si="419"/>
        <v>-24.325178571428609</v>
      </c>
      <c r="AP1211" s="26">
        <f t="shared" si="420"/>
        <v>-20.273185840707981</v>
      </c>
      <c r="AS1211" s="2">
        <v>44269</v>
      </c>
      <c r="AT1211">
        <v>9.8000000000000007</v>
      </c>
      <c r="AU1211">
        <v>0</v>
      </c>
      <c r="AV1211">
        <v>73.5</v>
      </c>
      <c r="AW1211">
        <v>14.3</v>
      </c>
      <c r="AX1211">
        <v>91.13</v>
      </c>
      <c r="AY1211">
        <v>0.2</v>
      </c>
      <c r="AZ1211">
        <v>2.6</v>
      </c>
      <c r="BA1211">
        <v>89.569800000000001</v>
      </c>
      <c r="BB1211">
        <v>33.411499999999997</v>
      </c>
      <c r="BC1211">
        <v>40.836300000000001</v>
      </c>
      <c r="BD1211">
        <v>3.5219999999999998</v>
      </c>
      <c r="BE1211">
        <v>21.630099999999999</v>
      </c>
      <c r="BH1211">
        <v>32.590000000000003</v>
      </c>
    </row>
    <row r="1212" spans="1:60" x14ac:dyDescent="0.25">
      <c r="A1212" s="2">
        <v>44289</v>
      </c>
      <c r="B1212">
        <v>13.4</v>
      </c>
      <c r="C1212">
        <v>0</v>
      </c>
      <c r="D1212">
        <v>50.3</v>
      </c>
      <c r="E1212">
        <v>5.4</v>
      </c>
      <c r="F1212">
        <v>176.45</v>
      </c>
      <c r="G1212">
        <v>0.2</v>
      </c>
      <c r="H1212">
        <v>3.6</v>
      </c>
      <c r="I1212">
        <v>92.033100000000005</v>
      </c>
      <c r="J1212">
        <v>31.215199999999999</v>
      </c>
      <c r="K1212">
        <v>60.314399999999999</v>
      </c>
      <c r="L1212">
        <v>3.5760000000000001</v>
      </c>
      <c r="M1212">
        <v>23.0596</v>
      </c>
      <c r="P1212">
        <v>31</v>
      </c>
      <c r="S1212">
        <f t="shared" si="399"/>
        <v>459.54829999999993</v>
      </c>
      <c r="T1212">
        <f t="shared" si="400"/>
        <v>1.2562030886659074E-2</v>
      </c>
      <c r="U1212">
        <f t="shared" si="401"/>
        <v>0</v>
      </c>
      <c r="V1212">
        <f t="shared" si="402"/>
        <v>4.7154489074548611E-2</v>
      </c>
      <c r="W1212">
        <f t="shared" si="403"/>
        <v>5.0623109543252989E-3</v>
      </c>
      <c r="X1212">
        <f t="shared" si="404"/>
        <v>0.16541569775753681</v>
      </c>
      <c r="Y1212">
        <f t="shared" si="405"/>
        <v>1.874929983083444E-4</v>
      </c>
      <c r="Z1212">
        <f t="shared" si="406"/>
        <v>3.3748739695501988E-3</v>
      </c>
      <c r="AA1212">
        <f t="shared" si="407"/>
        <v>8.6277809313058451E-2</v>
      </c>
      <c r="AB1212">
        <f t="shared" si="408"/>
        <v>2.9263157203973156E-2</v>
      </c>
      <c r="AC1212">
        <f t="shared" si="409"/>
        <v>5.6542638485844031E-2</v>
      </c>
      <c r="AD1212">
        <f t="shared" si="410"/>
        <v>3.3523748097531976E-3</v>
      </c>
      <c r="AE1212">
        <f t="shared" si="411"/>
        <v>2.161756771895549E-2</v>
      </c>
      <c r="AG1212">
        <f t="shared" si="412"/>
        <v>-2.2680394681696274</v>
      </c>
      <c r="AH1212">
        <f t="shared" si="413"/>
        <v>0.25537446335988379</v>
      </c>
      <c r="AI1212">
        <f t="shared" si="414"/>
        <v>-0.12184171281495433</v>
      </c>
      <c r="AK1212" s="26">
        <f t="shared" si="415"/>
        <v>-1.6806095611652777E-2</v>
      </c>
      <c r="AL1212" s="26">
        <f t="shared" si="416"/>
        <v>7.1270759241512105E-3</v>
      </c>
      <c r="AM1212" s="26">
        <f t="shared" si="417"/>
        <v>-1.2567337104434223E-2</v>
      </c>
      <c r="AN1212" s="26">
        <f t="shared" si="418"/>
        <v>-24.817142857142848</v>
      </c>
      <c r="AO1212" s="26">
        <f t="shared" si="419"/>
        <v>-24.278928571428601</v>
      </c>
      <c r="AP1212" s="26">
        <f t="shared" si="420"/>
        <v>-20.152389380531005</v>
      </c>
      <c r="AS1212" s="2">
        <v>44268</v>
      </c>
      <c r="AT1212">
        <v>7.7</v>
      </c>
      <c r="AU1212">
        <v>0</v>
      </c>
      <c r="AV1212">
        <v>84.4</v>
      </c>
      <c r="AW1212">
        <v>18.399999999999999</v>
      </c>
      <c r="AX1212">
        <v>72</v>
      </c>
      <c r="AY1212">
        <v>0.2</v>
      </c>
      <c r="AZ1212">
        <v>2.7</v>
      </c>
      <c r="BA1212">
        <v>77.035899999999998</v>
      </c>
      <c r="BB1212">
        <v>43.002400000000002</v>
      </c>
      <c r="BC1212">
        <v>35.1708</v>
      </c>
      <c r="BD1212">
        <v>3.5215999999999998</v>
      </c>
      <c r="BE1212">
        <v>16.900600000000001</v>
      </c>
      <c r="BH1212">
        <v>32.72</v>
      </c>
    </row>
    <row r="1213" spans="1:60" x14ac:dyDescent="0.25">
      <c r="A1213" s="2">
        <v>44288</v>
      </c>
      <c r="B1213">
        <v>13.2</v>
      </c>
      <c r="C1213">
        <v>0</v>
      </c>
      <c r="D1213">
        <v>66.2</v>
      </c>
      <c r="E1213">
        <v>7.6</v>
      </c>
      <c r="F1213">
        <v>171.52</v>
      </c>
      <c r="G1213">
        <v>0.2</v>
      </c>
      <c r="H1213">
        <v>3.5</v>
      </c>
      <c r="I1213">
        <v>136.33850000000001</v>
      </c>
      <c r="J1213">
        <v>31.899100000000001</v>
      </c>
      <c r="K1213">
        <v>62.415700000000001</v>
      </c>
      <c r="L1213">
        <v>3.5905999999999998</v>
      </c>
      <c r="M1213">
        <v>22.76</v>
      </c>
      <c r="N1213">
        <v>-8.0167999999999999</v>
      </c>
      <c r="O1213">
        <v>-13.8512</v>
      </c>
      <c r="P1213">
        <v>30.8</v>
      </c>
      <c r="S1213">
        <f t="shared" si="399"/>
        <v>519.22389999999996</v>
      </c>
      <c r="T1213">
        <f t="shared" si="400"/>
        <v>1.2374537888350728E-2</v>
      </c>
      <c r="U1213">
        <f t="shared" si="401"/>
        <v>0</v>
      </c>
      <c r="V1213">
        <f t="shared" si="402"/>
        <v>6.2060182440061992E-2</v>
      </c>
      <c r="W1213">
        <f t="shared" si="403"/>
        <v>7.1247339357170866E-3</v>
      </c>
      <c r="X1213">
        <f t="shared" si="404"/>
        <v>0.16079399534923616</v>
      </c>
      <c r="Y1213">
        <f t="shared" si="405"/>
        <v>1.874929983083444E-4</v>
      </c>
      <c r="Z1213">
        <f t="shared" si="406"/>
        <v>3.2811274703960268E-3</v>
      </c>
      <c r="AA1213">
        <f t="shared" si="407"/>
        <v>0.12781257074931107</v>
      </c>
      <c r="AB1213">
        <f t="shared" si="408"/>
        <v>2.9904289511688543E-2</v>
      </c>
      <c r="AC1213">
        <f t="shared" si="409"/>
        <v>5.851253367257065E-2</v>
      </c>
      <c r="AD1213">
        <f t="shared" si="410"/>
        <v>3.3660617986297067E-3</v>
      </c>
      <c r="AE1213">
        <f t="shared" si="411"/>
        <v>2.1336703207489593E-2</v>
      </c>
      <c r="AG1213">
        <f t="shared" si="412"/>
        <v>-2.2918212194476197</v>
      </c>
      <c r="AH1213">
        <f t="shared" si="413"/>
        <v>0.26715877328955995</v>
      </c>
      <c r="AI1213">
        <f t="shared" si="414"/>
        <v>-5.211996458653597E-2</v>
      </c>
      <c r="AK1213" s="26">
        <f t="shared" si="415"/>
        <v>-1.546724382368489E-2</v>
      </c>
      <c r="AL1213" s="26">
        <f t="shared" si="416"/>
        <v>7.6962896006137205E-3</v>
      </c>
      <c r="AM1213" s="26">
        <f t="shared" si="417"/>
        <v>-1.3700919772206444E-2</v>
      </c>
      <c r="AN1213" s="26">
        <f t="shared" si="418"/>
        <v>-24.869523809523805</v>
      </c>
      <c r="AO1213" s="26">
        <f t="shared" si="419"/>
        <v>-24.230000000000025</v>
      </c>
      <c r="AP1213" s="26">
        <f t="shared" si="420"/>
        <v>-20.030265486725689</v>
      </c>
      <c r="AS1213" s="2">
        <v>44267</v>
      </c>
      <c r="AT1213">
        <v>9.3000000000000007</v>
      </c>
      <c r="AU1213">
        <v>0</v>
      </c>
      <c r="AV1213">
        <v>83.7</v>
      </c>
      <c r="AW1213">
        <v>21</v>
      </c>
      <c r="AX1213">
        <v>124.37</v>
      </c>
      <c r="AY1213">
        <v>0.2</v>
      </c>
      <c r="AZ1213">
        <v>3</v>
      </c>
      <c r="BA1213">
        <v>83.633200000000002</v>
      </c>
      <c r="BB1213">
        <v>63.987400000000001</v>
      </c>
      <c r="BC1213">
        <v>53.558799999999998</v>
      </c>
      <c r="BD1213">
        <v>3.5270999999999999</v>
      </c>
      <c r="BE1213">
        <v>28.308199999999999</v>
      </c>
      <c r="BF1213">
        <v>-7.0195999999999996</v>
      </c>
      <c r="BG1213">
        <v>-12.503299999999999</v>
      </c>
      <c r="BH1213">
        <v>33.020000000000003</v>
      </c>
    </row>
    <row r="1214" spans="1:60" x14ac:dyDescent="0.25">
      <c r="A1214" s="2">
        <v>44287</v>
      </c>
      <c r="B1214">
        <v>12.2</v>
      </c>
      <c r="C1214">
        <v>0</v>
      </c>
      <c r="D1214">
        <v>53.1</v>
      </c>
      <c r="E1214">
        <v>4</v>
      </c>
      <c r="F1214">
        <v>186.45</v>
      </c>
      <c r="G1214">
        <v>0.2</v>
      </c>
      <c r="H1214">
        <v>3.7</v>
      </c>
      <c r="I1214">
        <v>202.26159999999999</v>
      </c>
      <c r="J1214">
        <v>65.643500000000003</v>
      </c>
      <c r="K1214">
        <v>117.20359999999999</v>
      </c>
      <c r="L1214">
        <v>3.5705</v>
      </c>
      <c r="M1214">
        <v>26.338699999999999</v>
      </c>
      <c r="N1214">
        <v>-7.9561999999999999</v>
      </c>
      <c r="O1214">
        <v>-13.762499999999999</v>
      </c>
      <c r="P1214">
        <v>30.62</v>
      </c>
      <c r="S1214">
        <f t="shared" si="399"/>
        <v>674.66789999999992</v>
      </c>
      <c r="T1214">
        <f t="shared" si="400"/>
        <v>1.1437072896809007E-2</v>
      </c>
      <c r="U1214">
        <f t="shared" si="401"/>
        <v>0</v>
      </c>
      <c r="V1214">
        <f t="shared" si="402"/>
        <v>4.9779391050865436E-2</v>
      </c>
      <c r="W1214">
        <f t="shared" si="403"/>
        <v>3.7498599661668877E-3</v>
      </c>
      <c r="X1214">
        <f t="shared" si="404"/>
        <v>0.17479034767295404</v>
      </c>
      <c r="Y1214">
        <f t="shared" si="405"/>
        <v>1.874929983083444E-4</v>
      </c>
      <c r="Z1214">
        <f t="shared" si="406"/>
        <v>3.4686204687043713E-3</v>
      </c>
      <c r="AA1214">
        <f t="shared" si="407"/>
        <v>0.18961316913321513</v>
      </c>
      <c r="AB1214">
        <f t="shared" si="408"/>
        <v>6.1538483172269023E-2</v>
      </c>
      <c r="AC1214">
        <f t="shared" si="409"/>
        <v>0.10987427188265936</v>
      </c>
      <c r="AD1214">
        <f t="shared" si="410"/>
        <v>3.3472187522997181E-3</v>
      </c>
      <c r="AE1214">
        <f t="shared" si="411"/>
        <v>2.4691609172719949E-2</v>
      </c>
      <c r="AG1214">
        <f t="shared" si="412"/>
        <v>-2.3149438110491483</v>
      </c>
      <c r="AH1214">
        <f t="shared" si="413"/>
        <v>0.26810439422652799</v>
      </c>
      <c r="AI1214">
        <f t="shared" si="414"/>
        <v>-4.7185190750754162E-2</v>
      </c>
      <c r="AK1214" s="26">
        <f t="shared" si="415"/>
        <v>-7.0995875533488295E-3</v>
      </c>
      <c r="AL1214" s="26">
        <f t="shared" si="416"/>
        <v>9.8442244556357639E-3</v>
      </c>
      <c r="AM1214" s="26">
        <f t="shared" si="417"/>
        <v>-1.3218729261309264E-2</v>
      </c>
      <c r="AN1214" s="26">
        <f t="shared" si="418"/>
        <v>-24.900952380952372</v>
      </c>
      <c r="AO1214" s="26">
        <f t="shared" si="419"/>
        <v>-24.180892857142872</v>
      </c>
      <c r="AP1214" s="26">
        <f t="shared" si="420"/>
        <v>-19.904601769911515</v>
      </c>
      <c r="AS1214" s="2">
        <v>44266</v>
      </c>
      <c r="AT1214">
        <v>10.199999999999999</v>
      </c>
      <c r="AU1214">
        <v>0</v>
      </c>
      <c r="AV1214">
        <v>70.400000000000006</v>
      </c>
      <c r="AW1214">
        <v>18.600000000000001</v>
      </c>
      <c r="AX1214">
        <v>64</v>
      </c>
      <c r="AY1214">
        <v>0.2</v>
      </c>
      <c r="AZ1214">
        <v>3</v>
      </c>
      <c r="BA1214">
        <v>87.456400000000002</v>
      </c>
      <c r="BB1214">
        <v>78.393100000000004</v>
      </c>
      <c r="BC1214">
        <v>68.581599999999995</v>
      </c>
      <c r="BD1214">
        <v>4.5332999999999997</v>
      </c>
      <c r="BE1214">
        <v>28.477799999999998</v>
      </c>
      <c r="BF1214">
        <v>-7.3380999999999998</v>
      </c>
      <c r="BG1214">
        <v>-12.435499999999999</v>
      </c>
      <c r="BH1214">
        <v>32.99</v>
      </c>
    </row>
    <row r="1215" spans="1:60" x14ac:dyDescent="0.25">
      <c r="A1215" s="2">
        <v>44286</v>
      </c>
      <c r="B1215">
        <v>11.7</v>
      </c>
      <c r="C1215">
        <v>0</v>
      </c>
      <c r="D1215">
        <v>6.8</v>
      </c>
      <c r="E1215">
        <v>0.6</v>
      </c>
      <c r="F1215">
        <v>243.93</v>
      </c>
      <c r="G1215">
        <v>0.2</v>
      </c>
      <c r="H1215">
        <v>3.8</v>
      </c>
      <c r="I1215">
        <v>229.85079999999999</v>
      </c>
      <c r="J1215">
        <v>104.12439999999999</v>
      </c>
      <c r="K1215">
        <v>156.21729999999999</v>
      </c>
      <c r="L1215">
        <v>3.5733999999999999</v>
      </c>
      <c r="M1215">
        <v>28.290600000000001</v>
      </c>
      <c r="N1215">
        <v>-8.9849999999999994</v>
      </c>
      <c r="O1215">
        <v>-15.100300000000001</v>
      </c>
      <c r="P1215">
        <v>30.06</v>
      </c>
      <c r="S1215">
        <f t="shared" si="399"/>
        <v>789.08650000000011</v>
      </c>
      <c r="T1215">
        <f t="shared" si="400"/>
        <v>1.0968340401038145E-2</v>
      </c>
      <c r="U1215">
        <f t="shared" si="401"/>
        <v>0</v>
      </c>
      <c r="V1215">
        <f t="shared" si="402"/>
        <v>6.3747619424837088E-3</v>
      </c>
      <c r="W1215">
        <f t="shared" si="403"/>
        <v>5.6247899492503314E-4</v>
      </c>
      <c r="X1215">
        <f t="shared" si="404"/>
        <v>0.22867583538677222</v>
      </c>
      <c r="Y1215">
        <f t="shared" si="405"/>
        <v>1.874929983083444E-4</v>
      </c>
      <c r="Z1215">
        <f t="shared" si="406"/>
        <v>3.5623669678585433E-3</v>
      </c>
      <c r="AA1215">
        <f t="shared" si="407"/>
        <v>0.215477078277858</v>
      </c>
      <c r="AB1215">
        <f t="shared" si="408"/>
        <v>9.7612979765286864E-2</v>
      </c>
      <c r="AC1215">
        <f t="shared" si="409"/>
        <v>0.14644824982317062</v>
      </c>
      <c r="AD1215">
        <f t="shared" si="410"/>
        <v>3.349937400775189E-3</v>
      </c>
      <c r="AE1215">
        <f t="shared" si="411"/>
        <v>2.6521447089710239E-2</v>
      </c>
      <c r="AG1215">
        <f t="shared" si="412"/>
        <v>-2.3593728729131125</v>
      </c>
      <c r="AH1215">
        <f t="shared" si="413"/>
        <v>0.27685272378109621</v>
      </c>
      <c r="AI1215">
        <f t="shared" si="414"/>
        <v>2.6877923562441172E-3</v>
      </c>
      <c r="AK1215" s="26">
        <f t="shared" si="415"/>
        <v>-6.0246723375710354E-3</v>
      </c>
      <c r="AL1215" s="26">
        <f t="shared" si="416"/>
        <v>9.9419200260667806E-3</v>
      </c>
      <c r="AM1215" s="26">
        <f t="shared" si="417"/>
        <v>-1.3884415685267743E-2</v>
      </c>
      <c r="AN1215" s="26">
        <f t="shared" si="418"/>
        <v>-24.943333333333332</v>
      </c>
      <c r="AO1215" s="26">
        <f t="shared" si="419"/>
        <v>-24.133571428571457</v>
      </c>
      <c r="AP1215" s="26">
        <f t="shared" si="420"/>
        <v>-19.776283185840725</v>
      </c>
      <c r="AS1215" s="2">
        <v>44265</v>
      </c>
      <c r="AT1215">
        <v>11.1</v>
      </c>
      <c r="AU1215">
        <v>1</v>
      </c>
      <c r="AV1215">
        <v>59.9</v>
      </c>
      <c r="AW1215">
        <v>10.8</v>
      </c>
      <c r="AX1215">
        <v>104.86</v>
      </c>
      <c r="AY1215">
        <v>0.2</v>
      </c>
      <c r="AZ1215">
        <v>3.3</v>
      </c>
      <c r="BA1215">
        <v>316.80079999999998</v>
      </c>
      <c r="BB1215">
        <v>149.94739999999999</v>
      </c>
      <c r="BC1215">
        <v>165.9796</v>
      </c>
      <c r="BD1215">
        <v>3.6855000000000002</v>
      </c>
      <c r="BE1215">
        <v>23.137499999999999</v>
      </c>
      <c r="BF1215">
        <v>-6.5275999999999996</v>
      </c>
      <c r="BG1215">
        <v>-12.668799999999999</v>
      </c>
      <c r="BH1215">
        <v>33.19</v>
      </c>
    </row>
    <row r="1216" spans="1:60" x14ac:dyDescent="0.25">
      <c r="A1216" s="2">
        <v>44285</v>
      </c>
      <c r="B1216">
        <v>11.5</v>
      </c>
      <c r="C1216">
        <v>3.3</v>
      </c>
      <c r="D1216">
        <v>54.5</v>
      </c>
      <c r="E1216">
        <v>3.4</v>
      </c>
      <c r="F1216">
        <v>246.98</v>
      </c>
      <c r="G1216">
        <v>0.2</v>
      </c>
      <c r="H1216">
        <v>3.5</v>
      </c>
      <c r="I1216">
        <v>219.84540000000001</v>
      </c>
      <c r="J1216">
        <v>84.637</v>
      </c>
      <c r="K1216">
        <v>125.8537</v>
      </c>
      <c r="L1216">
        <v>6.1978</v>
      </c>
      <c r="M1216">
        <v>29.972200000000001</v>
      </c>
      <c r="N1216">
        <v>-7.4820000000000002</v>
      </c>
      <c r="O1216">
        <v>-13.8789</v>
      </c>
      <c r="P1216">
        <v>30.07</v>
      </c>
      <c r="S1216">
        <f t="shared" si="399"/>
        <v>789.88610000000006</v>
      </c>
      <c r="T1216">
        <f t="shared" si="400"/>
        <v>1.0780847402729802E-2</v>
      </c>
      <c r="U1216">
        <f t="shared" si="401"/>
        <v>3.0936344720876819E-3</v>
      </c>
      <c r="V1216">
        <f t="shared" si="402"/>
        <v>5.1091842039023845E-2</v>
      </c>
      <c r="W1216">
        <f t="shared" si="403"/>
        <v>3.1873809712418544E-3</v>
      </c>
      <c r="X1216">
        <f t="shared" si="404"/>
        <v>0.23153510361097446</v>
      </c>
      <c r="Y1216">
        <f t="shared" si="405"/>
        <v>1.874929983083444E-4</v>
      </c>
      <c r="Z1216">
        <f t="shared" si="406"/>
        <v>3.2811274703960268E-3</v>
      </c>
      <c r="AA1216">
        <f t="shared" si="407"/>
        <v>0.20609736605148649</v>
      </c>
      <c r="AB1216">
        <f t="shared" si="408"/>
        <v>7.9344224489116724E-2</v>
      </c>
      <c r="AC1216">
        <f t="shared" si="409"/>
        <v>0.11798343780599441</v>
      </c>
      <c r="AD1216">
        <f t="shared" si="410"/>
        <v>5.810220524577284E-3</v>
      </c>
      <c r="AE1216">
        <f t="shared" si="411"/>
        <v>2.8097888219486798E-2</v>
      </c>
      <c r="AG1216">
        <f t="shared" si="412"/>
        <v>-2.3732214625703181</v>
      </c>
      <c r="AH1216">
        <f t="shared" si="413"/>
        <v>0.33125531718424878</v>
      </c>
      <c r="AI1216">
        <f t="shared" si="414"/>
        <v>0.32526759370297303</v>
      </c>
      <c r="AK1216" s="26">
        <f t="shared" si="415"/>
        <v>-3.7133211520918863E-3</v>
      </c>
      <c r="AL1216" s="26">
        <f t="shared" si="416"/>
        <v>4.9225566866664683E-3</v>
      </c>
      <c r="AM1216" s="26">
        <f t="shared" si="417"/>
        <v>-1.4296375135227773E-2</v>
      </c>
      <c r="AN1216" s="26">
        <f t="shared" si="418"/>
        <v>-24.945714285714295</v>
      </c>
      <c r="AO1216" s="26">
        <f t="shared" si="419"/>
        <v>-24.069464285714297</v>
      </c>
      <c r="AP1216" s="26">
        <f t="shared" si="420"/>
        <v>-19.636371681415937</v>
      </c>
      <c r="AS1216" s="2">
        <v>44264</v>
      </c>
      <c r="AT1216">
        <v>11</v>
      </c>
      <c r="AU1216">
        <v>1</v>
      </c>
      <c r="AV1216">
        <v>13.9</v>
      </c>
      <c r="AW1216">
        <v>6.5</v>
      </c>
      <c r="AX1216">
        <v>114.47</v>
      </c>
      <c r="AY1216">
        <v>0.2</v>
      </c>
      <c r="AZ1216">
        <v>3.3</v>
      </c>
      <c r="BA1216">
        <v>360.53519999999997</v>
      </c>
      <c r="BB1216">
        <v>214.42910000000001</v>
      </c>
      <c r="BC1216">
        <v>213.41929999999999</v>
      </c>
      <c r="BD1216">
        <v>3.1234999999999999</v>
      </c>
      <c r="BE1216">
        <v>28.046399999999998</v>
      </c>
      <c r="BF1216">
        <v>-5.4036999999999997</v>
      </c>
      <c r="BG1216">
        <v>-12.174300000000001</v>
      </c>
      <c r="BH1216">
        <v>33.520000000000003</v>
      </c>
    </row>
    <row r="1217" spans="1:60" x14ac:dyDescent="0.25">
      <c r="A1217" s="2">
        <v>44284</v>
      </c>
      <c r="B1217">
        <v>10.6</v>
      </c>
      <c r="C1217">
        <v>1.6</v>
      </c>
      <c r="D1217">
        <v>76.2</v>
      </c>
      <c r="E1217">
        <v>11.8</v>
      </c>
      <c r="F1217">
        <v>211.12</v>
      </c>
      <c r="G1217">
        <v>0.2</v>
      </c>
      <c r="H1217">
        <v>3.8</v>
      </c>
      <c r="I1217">
        <v>153.7122</v>
      </c>
      <c r="J1217">
        <v>53.179600000000001</v>
      </c>
      <c r="K1217">
        <v>84.021500000000003</v>
      </c>
      <c r="L1217">
        <v>3.9205000000000001</v>
      </c>
      <c r="M1217">
        <v>31.295000000000002</v>
      </c>
      <c r="N1217">
        <v>-5.5496999999999996</v>
      </c>
      <c r="O1217">
        <v>-12.7704</v>
      </c>
      <c r="P1217">
        <v>29.97</v>
      </c>
      <c r="S1217">
        <f t="shared" si="399"/>
        <v>641.44880000000001</v>
      </c>
      <c r="T1217">
        <f t="shared" si="400"/>
        <v>9.9371289103422512E-3</v>
      </c>
      <c r="U1217">
        <f t="shared" si="401"/>
        <v>1.4999439864667552E-3</v>
      </c>
      <c r="V1217">
        <f t="shared" si="402"/>
        <v>7.1434832355479205E-2</v>
      </c>
      <c r="W1217">
        <f t="shared" si="403"/>
        <v>1.1062086900192319E-2</v>
      </c>
      <c r="X1217">
        <f t="shared" si="404"/>
        <v>0.19791760901428834</v>
      </c>
      <c r="Y1217">
        <f t="shared" si="405"/>
        <v>1.874929983083444E-4</v>
      </c>
      <c r="Z1217">
        <f t="shared" si="406"/>
        <v>3.5623669678585433E-3</v>
      </c>
      <c r="AA1217">
        <f t="shared" si="407"/>
        <v>0.14409980627285945</v>
      </c>
      <c r="AB1217">
        <f t="shared" si="408"/>
        <v>4.9854013264192157E-2</v>
      </c>
      <c r="AC1217">
        <f t="shared" si="409"/>
        <v>7.876721478682279E-2</v>
      </c>
      <c r="AD1217">
        <f t="shared" si="410"/>
        <v>3.6753314993393208E-3</v>
      </c>
      <c r="AE1217">
        <f t="shared" si="411"/>
        <v>2.9337966910298188E-2</v>
      </c>
      <c r="AG1217">
        <f t="shared" si="412"/>
        <v>-2.3934598755470766</v>
      </c>
      <c r="AH1217">
        <f t="shared" si="413"/>
        <v>0.32493942804323395</v>
      </c>
      <c r="AI1217">
        <f t="shared" si="414"/>
        <v>0.28855985804707518</v>
      </c>
      <c r="AK1217" s="26">
        <f t="shared" si="415"/>
        <v>-1.701285128347782E-2</v>
      </c>
      <c r="AL1217" s="26">
        <f t="shared" si="416"/>
        <v>3.7892334958103402E-4</v>
      </c>
      <c r="AM1217" s="26">
        <f t="shared" si="417"/>
        <v>-1.6642959518241601E-2</v>
      </c>
      <c r="AN1217" s="26">
        <f t="shared" si="418"/>
        <v>-24.93666666666666</v>
      </c>
      <c r="AO1217" s="26">
        <f t="shared" si="419"/>
        <v>-23.999464285714289</v>
      </c>
      <c r="AP1217" s="26">
        <f t="shared" si="420"/>
        <v>-19.489646017699137</v>
      </c>
      <c r="AS1217" s="2">
        <v>44263</v>
      </c>
      <c r="AT1217">
        <v>10.3</v>
      </c>
      <c r="AU1217">
        <v>0.8</v>
      </c>
      <c r="AV1217">
        <v>11.4</v>
      </c>
      <c r="AW1217">
        <v>11.2</v>
      </c>
      <c r="AX1217">
        <v>159.93</v>
      </c>
      <c r="AY1217">
        <v>0.2</v>
      </c>
      <c r="AZ1217">
        <v>3.1</v>
      </c>
      <c r="BA1217">
        <v>377.1857</v>
      </c>
      <c r="BB1217">
        <v>167.75370000000001</v>
      </c>
      <c r="BC1217">
        <v>194.2517</v>
      </c>
      <c r="BD1217">
        <v>3.0907</v>
      </c>
      <c r="BE1217">
        <v>31.807200000000002</v>
      </c>
      <c r="BF1217">
        <v>-5.7169999999999996</v>
      </c>
      <c r="BG1217">
        <v>-12.8428</v>
      </c>
      <c r="BH1217">
        <v>33.97</v>
      </c>
    </row>
    <row r="1218" spans="1:60" x14ac:dyDescent="0.25">
      <c r="A1218" s="2">
        <v>44283</v>
      </c>
      <c r="B1218">
        <v>10.7</v>
      </c>
      <c r="C1218">
        <v>0</v>
      </c>
      <c r="D1218">
        <v>74.7</v>
      </c>
      <c r="E1218">
        <v>11.1</v>
      </c>
      <c r="F1218">
        <v>172.99</v>
      </c>
      <c r="G1218">
        <v>0.2</v>
      </c>
      <c r="H1218">
        <v>3.3</v>
      </c>
      <c r="I1218">
        <v>116.48439999999999</v>
      </c>
      <c r="J1218">
        <v>31.551300000000001</v>
      </c>
      <c r="K1218">
        <v>55.988500000000002</v>
      </c>
      <c r="L1218">
        <v>3.7185000000000001</v>
      </c>
      <c r="M1218">
        <v>18.307500000000001</v>
      </c>
      <c r="P1218">
        <v>29.93</v>
      </c>
      <c r="S1218">
        <f t="shared" ref="S1218:S1281" si="421">SUM(B1218:M1218)</f>
        <v>499.04020000000003</v>
      </c>
      <c r="T1218">
        <f t="shared" si="400"/>
        <v>1.0030875409496424E-2</v>
      </c>
      <c r="U1218">
        <f t="shared" si="401"/>
        <v>0</v>
      </c>
      <c r="V1218">
        <f t="shared" si="402"/>
        <v>7.0028634868166628E-2</v>
      </c>
      <c r="W1218">
        <f t="shared" si="403"/>
        <v>1.0405861406113113E-2</v>
      </c>
      <c r="X1218">
        <f t="shared" si="404"/>
        <v>0.1621720688868025</v>
      </c>
      <c r="Y1218">
        <f t="shared" si="405"/>
        <v>1.874929983083444E-4</v>
      </c>
      <c r="Z1218">
        <f t="shared" si="406"/>
        <v>3.0936344720876819E-3</v>
      </c>
      <c r="AA1218">
        <f t="shared" si="407"/>
        <v>0.10920004706074254</v>
      </c>
      <c r="AB1218">
        <f t="shared" si="408"/>
        <v>2.9578239187630331E-2</v>
      </c>
      <c r="AC1218">
        <f t="shared" si="409"/>
        <v>5.2487258678933696E-2</v>
      </c>
      <c r="AD1218">
        <f t="shared" si="410"/>
        <v>3.4859635710478929E-3</v>
      </c>
      <c r="AE1218">
        <f t="shared" si="411"/>
        <v>1.7162640332650074E-2</v>
      </c>
      <c r="AG1218">
        <f t="shared" si="412"/>
        <v>-2.410783600274168</v>
      </c>
      <c r="AH1218">
        <f t="shared" si="413"/>
        <v>0.27308120837362476</v>
      </c>
      <c r="AI1218">
        <f t="shared" si="414"/>
        <v>-1.477908285968553E-2</v>
      </c>
      <c r="AK1218" s="26">
        <f t="shared" si="415"/>
        <v>-1.2874068341153289E-2</v>
      </c>
      <c r="AL1218" s="26">
        <f t="shared" si="416"/>
        <v>1.2424089609325284E-4</v>
      </c>
      <c r="AM1218" s="26">
        <f t="shared" si="417"/>
        <v>-1.7070996907614044E-2</v>
      </c>
      <c r="AN1218" s="26">
        <f t="shared" si="418"/>
        <v>-24.903333333333336</v>
      </c>
      <c r="AO1218" s="26">
        <f t="shared" si="419"/>
        <v>-23.918750000000017</v>
      </c>
      <c r="AP1218" s="26">
        <f t="shared" si="420"/>
        <v>-19.336902654867266</v>
      </c>
      <c r="AS1218" s="2">
        <v>44262</v>
      </c>
      <c r="AT1218">
        <v>10.7</v>
      </c>
      <c r="AU1218">
        <v>0</v>
      </c>
      <c r="AV1218">
        <v>58</v>
      </c>
      <c r="AW1218">
        <v>22.9</v>
      </c>
      <c r="AX1218">
        <v>140.03</v>
      </c>
      <c r="AY1218">
        <v>0.2</v>
      </c>
      <c r="AZ1218">
        <v>3.3</v>
      </c>
      <c r="BA1218">
        <v>271.786</v>
      </c>
      <c r="BB1218">
        <v>78.248199999999997</v>
      </c>
      <c r="BC1218">
        <v>112.95229999999999</v>
      </c>
      <c r="BD1218">
        <v>3.1419000000000001</v>
      </c>
      <c r="BE1218">
        <v>10.855399999999999</v>
      </c>
      <c r="BH1218">
        <v>34.43</v>
      </c>
    </row>
    <row r="1219" spans="1:60" x14ac:dyDescent="0.25">
      <c r="A1219" s="2">
        <v>44282</v>
      </c>
      <c r="B1219">
        <v>11.3</v>
      </c>
      <c r="C1219">
        <v>2.1</v>
      </c>
      <c r="D1219">
        <v>73</v>
      </c>
      <c r="E1219">
        <v>13.4</v>
      </c>
      <c r="F1219">
        <v>134.22999999999999</v>
      </c>
      <c r="G1219">
        <v>0.2</v>
      </c>
      <c r="H1219">
        <v>3.1</v>
      </c>
      <c r="I1219">
        <v>119.27079999999999</v>
      </c>
      <c r="J1219">
        <v>30.901499999999999</v>
      </c>
      <c r="K1219">
        <v>51.715699999999998</v>
      </c>
      <c r="L1219">
        <v>3.5339</v>
      </c>
      <c r="M1219">
        <v>19.7927</v>
      </c>
      <c r="P1219">
        <v>29.92</v>
      </c>
      <c r="S1219">
        <f t="shared" si="421"/>
        <v>462.5446</v>
      </c>
      <c r="T1219">
        <f t="shared" si="400"/>
        <v>1.0593354404421457E-2</v>
      </c>
      <c r="U1219">
        <f t="shared" si="401"/>
        <v>1.9686764822376161E-3</v>
      </c>
      <c r="V1219">
        <f t="shared" si="402"/>
        <v>6.8434944382545701E-2</v>
      </c>
      <c r="W1219">
        <f t="shared" si="403"/>
        <v>1.2562030886659074E-2</v>
      </c>
      <c r="X1219">
        <f t="shared" si="404"/>
        <v>0.12583592581464531</v>
      </c>
      <c r="Y1219">
        <f t="shared" si="405"/>
        <v>1.874929983083444E-4</v>
      </c>
      <c r="Z1219">
        <f t="shared" si="406"/>
        <v>2.9061414737793379E-3</v>
      </c>
      <c r="AA1219">
        <f t="shared" si="407"/>
        <v>0.11181219951317441</v>
      </c>
      <c r="AB1219">
        <f t="shared" si="408"/>
        <v>2.8969074436126518E-2</v>
      </c>
      <c r="AC1219">
        <f t="shared" si="409"/>
        <v>4.8481658263074226E-2</v>
      </c>
      <c r="AD1219">
        <f t="shared" si="410"/>
        <v>3.3129075336092912E-3</v>
      </c>
      <c r="AE1219">
        <f t="shared" si="411"/>
        <v>1.855496333808784E-2</v>
      </c>
      <c r="AG1219">
        <f t="shared" si="412"/>
        <v>-2.4267739387936413</v>
      </c>
      <c r="AH1219">
        <f t="shared" si="413"/>
        <v>0.24104352978068469</v>
      </c>
      <c r="AI1219">
        <f t="shared" si="414"/>
        <v>-0.20536710341826092</v>
      </c>
      <c r="AK1219" s="26">
        <f t="shared" si="415"/>
        <v>-8.7244018766889087E-3</v>
      </c>
      <c r="AL1219" s="26">
        <f t="shared" si="416"/>
        <v>-7.2499022525349122E-4</v>
      </c>
      <c r="AM1219" s="26">
        <f t="shared" si="417"/>
        <v>-1.7746740754663232E-2</v>
      </c>
      <c r="AN1219" s="26">
        <f t="shared" si="418"/>
        <v>-24.855714285714285</v>
      </c>
      <c r="AO1219" s="26">
        <f t="shared" si="419"/>
        <v>-23.828928571428577</v>
      </c>
      <c r="AP1219" s="26">
        <f t="shared" si="420"/>
        <v>-19.182566371681432</v>
      </c>
      <c r="AS1219" s="2">
        <v>44261</v>
      </c>
      <c r="AT1219">
        <v>11.8</v>
      </c>
      <c r="AU1219">
        <v>2</v>
      </c>
      <c r="AV1219">
        <v>42.6</v>
      </c>
      <c r="AW1219">
        <v>23.6</v>
      </c>
      <c r="AX1219">
        <v>172.27</v>
      </c>
      <c r="AY1219">
        <v>0.2</v>
      </c>
      <c r="AZ1219">
        <v>3.6</v>
      </c>
      <c r="BA1219">
        <v>291.97539999999998</v>
      </c>
      <c r="BB1219">
        <v>84.952600000000004</v>
      </c>
      <c r="BC1219">
        <v>138.81200000000001</v>
      </c>
      <c r="BD1219">
        <v>3.5387</v>
      </c>
      <c r="BE1219">
        <v>18.691099999999999</v>
      </c>
      <c r="BH1219">
        <v>34.75</v>
      </c>
    </row>
    <row r="1220" spans="1:60" x14ac:dyDescent="0.25">
      <c r="A1220" s="2">
        <v>44281</v>
      </c>
      <c r="B1220">
        <v>11</v>
      </c>
      <c r="C1220">
        <v>1</v>
      </c>
      <c r="D1220">
        <v>82.8</v>
      </c>
      <c r="E1220">
        <v>6.6</v>
      </c>
      <c r="F1220">
        <v>199.52</v>
      </c>
      <c r="G1220">
        <v>0.2</v>
      </c>
      <c r="H1220">
        <v>3.1</v>
      </c>
      <c r="I1220">
        <v>243.03389999999999</v>
      </c>
      <c r="J1220">
        <v>89.193899999999999</v>
      </c>
      <c r="K1220">
        <v>103.02249999999999</v>
      </c>
      <c r="L1220">
        <v>6.9730999999999996</v>
      </c>
      <c r="M1220">
        <v>28.485299999999999</v>
      </c>
      <c r="N1220">
        <v>-6.0856000000000003</v>
      </c>
      <c r="O1220">
        <v>-12.6425</v>
      </c>
      <c r="P1220">
        <v>29.9</v>
      </c>
      <c r="S1220">
        <f t="shared" si="421"/>
        <v>774.92870000000016</v>
      </c>
      <c r="T1220">
        <f t="shared" si="400"/>
        <v>1.0312114906958941E-2</v>
      </c>
      <c r="U1220">
        <f t="shared" si="401"/>
        <v>9.3746499154172193E-4</v>
      </c>
      <c r="V1220">
        <f t="shared" si="402"/>
        <v>7.7622101299654578E-2</v>
      </c>
      <c r="W1220">
        <f t="shared" si="403"/>
        <v>6.1872689441753639E-3</v>
      </c>
      <c r="X1220">
        <f t="shared" si="404"/>
        <v>0.18704301511240437</v>
      </c>
      <c r="Y1220">
        <f t="shared" si="405"/>
        <v>1.874929983083444E-4</v>
      </c>
      <c r="Z1220">
        <f t="shared" si="406"/>
        <v>2.9061414737793379E-3</v>
      </c>
      <c r="AA1220">
        <f t="shared" si="407"/>
        <v>0.22783577300785168</v>
      </c>
      <c r="AB1220">
        <f t="shared" si="408"/>
        <v>8.3616158709073185E-2</v>
      </c>
      <c r="AC1220">
        <f t="shared" si="409"/>
        <v>9.6579987091107045E-2</v>
      </c>
      <c r="AD1220">
        <f t="shared" si="410"/>
        <v>6.5370371325195811E-3</v>
      </c>
      <c r="AE1220">
        <f t="shared" si="411"/>
        <v>2.6703971523563411E-2</v>
      </c>
      <c r="AG1220">
        <f t="shared" si="412"/>
        <v>-2.4436244903488444</v>
      </c>
      <c r="AH1220">
        <f t="shared" si="413"/>
        <v>0.31189957125038603</v>
      </c>
      <c r="AI1220">
        <f t="shared" si="414"/>
        <v>0.21303302503237634</v>
      </c>
      <c r="AK1220" s="26">
        <f t="shared" si="415"/>
        <v>-2.542101496968735E-3</v>
      </c>
      <c r="AL1220" s="26">
        <f t="shared" si="416"/>
        <v>-1.678010439476324E-3</v>
      </c>
      <c r="AM1220" s="26">
        <f t="shared" si="417"/>
        <v>-1.8082214675924052E-2</v>
      </c>
      <c r="AN1220" s="26">
        <f t="shared" si="418"/>
        <v>-24.803333333333335</v>
      </c>
      <c r="AO1220" s="26">
        <f t="shared" si="419"/>
        <v>-23.735178571428577</v>
      </c>
      <c r="AP1220" s="26">
        <f t="shared" si="420"/>
        <v>-19.026725663716817</v>
      </c>
      <c r="AS1220" s="2">
        <v>44260</v>
      </c>
      <c r="AT1220">
        <v>12.3</v>
      </c>
      <c r="AU1220">
        <v>19</v>
      </c>
      <c r="AV1220">
        <v>21.6</v>
      </c>
      <c r="AW1220">
        <v>13.3</v>
      </c>
      <c r="AX1220">
        <v>116.45</v>
      </c>
      <c r="AY1220">
        <v>0.2</v>
      </c>
      <c r="AZ1220">
        <v>3.3</v>
      </c>
      <c r="BA1220">
        <v>337.38560000000001</v>
      </c>
      <c r="BB1220">
        <v>120.3103</v>
      </c>
      <c r="BC1220">
        <v>199.17789999999999</v>
      </c>
      <c r="BD1220">
        <v>3.5828000000000002</v>
      </c>
      <c r="BE1220">
        <v>23.210599999999999</v>
      </c>
      <c r="BF1220">
        <v>-6.6139999999999999</v>
      </c>
      <c r="BG1220">
        <v>-13.572100000000001</v>
      </c>
      <c r="BH1220">
        <v>35.06</v>
      </c>
    </row>
    <row r="1221" spans="1:60" x14ac:dyDescent="0.25">
      <c r="A1221" s="2">
        <v>44280</v>
      </c>
      <c r="B1221">
        <v>10</v>
      </c>
      <c r="C1221">
        <v>58.3</v>
      </c>
      <c r="D1221">
        <v>27.8</v>
      </c>
      <c r="E1221">
        <v>1.8</v>
      </c>
      <c r="F1221">
        <v>190.23</v>
      </c>
      <c r="G1221">
        <v>0.2</v>
      </c>
      <c r="H1221">
        <v>3.3</v>
      </c>
      <c r="I1221">
        <v>316.02199999999999</v>
      </c>
      <c r="J1221">
        <v>157.73249999999999</v>
      </c>
      <c r="K1221">
        <v>179.2407</v>
      </c>
      <c r="L1221">
        <v>7.0933000000000002</v>
      </c>
      <c r="M1221">
        <v>27.677700000000002</v>
      </c>
      <c r="N1221">
        <v>-6.4358000000000004</v>
      </c>
      <c r="O1221">
        <v>-12.6577</v>
      </c>
      <c r="P1221">
        <v>29.88</v>
      </c>
      <c r="S1221">
        <f t="shared" si="421"/>
        <v>979.39619999999991</v>
      </c>
      <c r="T1221">
        <f t="shared" ref="T1221:T1284" si="422">B1221/$S$4</f>
        <v>9.3746499154172182E-3</v>
      </c>
      <c r="U1221">
        <f t="shared" ref="U1221:U1284" si="423">C1221/$S$4</f>
        <v>5.4654209006882386E-2</v>
      </c>
      <c r="V1221">
        <f t="shared" ref="V1221:V1284" si="424">D1221/$S$4</f>
        <v>2.6061526764859871E-2</v>
      </c>
      <c r="W1221">
        <f t="shared" ref="W1221:W1284" si="425">E1221/$S$4</f>
        <v>1.6874369847750994E-3</v>
      </c>
      <c r="X1221">
        <f t="shared" ref="X1221:X1284" si="426">F1221/$S$4</f>
        <v>0.17833396534098175</v>
      </c>
      <c r="Y1221">
        <f t="shared" ref="Y1221:Y1284" si="427">G1221/$S$4</f>
        <v>1.874929983083444E-4</v>
      </c>
      <c r="Z1221">
        <f t="shared" ref="Z1221:Z1284" si="428">H1221/$S$4</f>
        <v>3.0936344720876819E-3</v>
      </c>
      <c r="AA1221">
        <f t="shared" ref="AA1221:AA1284" si="429">I1221/$S$4</f>
        <v>0.29625956155699801</v>
      </c>
      <c r="AB1221">
        <f t="shared" ref="AB1221:AB1284" si="430">J1221/$S$4</f>
        <v>0.14786869677835465</v>
      </c>
      <c r="AC1221">
        <f t="shared" ref="AC1221:AC1284" si="431">K1221/$S$4</f>
        <v>0.16803188130943231</v>
      </c>
      <c r="AD1221">
        <f t="shared" ref="AD1221:AD1284" si="432">L1221/$S$4</f>
        <v>6.649720424502896E-3</v>
      </c>
      <c r="AE1221">
        <f t="shared" ref="AE1221:AE1284" si="433">M1221/$S$4</f>
        <v>2.5946874796394317E-2</v>
      </c>
      <c r="AG1221">
        <f t="shared" ref="AG1221:AG1284" si="434">(P1221-AVERAGE(P1221:P1585)) / _xlfn.STDEV.S(P1221:P3048)</f>
        <v>-2.4608195175339516</v>
      </c>
      <c r="AH1221">
        <f t="shared" ref="AH1221:AH1284" si="435">SUM(T1221:Y1221,Z1221,AE1221)</f>
        <v>0.29933979027970664</v>
      </c>
      <c r="AI1221">
        <f t="shared" ref="AI1221:AI1284" si="436">(AH1221-AVERAGE(AH1221:AH1585))/_xlfn.STDEV.S(AH1221:AH1585)</f>
        <v>0.13970634593925732</v>
      </c>
      <c r="AK1221" s="26">
        <f t="shared" ref="AK1221:AK1284" si="437">AVERAGEA(AH1221:AH1241)-AVERAGE(AH1587:AH1607, AH1952:AH1972, AH2317:AH2337)</f>
        <v>-1.3034915013106219E-3</v>
      </c>
      <c r="AL1221" s="26">
        <f t="shared" ref="AL1221:AL1284" si="438">AVERAGEA(AH1221:AH1276)-AVERAGE(AH1587:AH1642, AH1952:AH2006, AH2317:AH2371)</f>
        <v>-1.6000284185816727E-3</v>
      </c>
      <c r="AM1221" s="26">
        <f t="shared" ref="AM1221:AM1284" si="439">AVERAGEA(AH1221:AH1333)-AVERAGE(AH1587:AH1699,AH1952:AH2063,AH2317:AH2428)</f>
        <v>-1.7962693696807724E-2</v>
      </c>
      <c r="AN1221" s="26">
        <f t="shared" ref="AN1221:AN1284" si="440">AVERAGEA(P1221:P1241)-AVERAGE(P1587:P1607, P1952:P1972, P2317:P2337)</f>
        <v>-24.745714285714278</v>
      </c>
      <c r="AO1221" s="26">
        <f t="shared" ref="AO1221:AO1284" si="441">AVERAGEA(P1221:P1276)-AVERAGE(P1587:P1642, P1952:P2006, P2317:P2371)</f>
        <v>-23.635357142857153</v>
      </c>
      <c r="AP1221" s="26">
        <f t="shared" ref="AP1221:AP1284" si="442">AVERAGEA(P1221:P1333)-AVERAGE(P1587:P1699,P1952:P2063,P2317:P2428)</f>
        <v>-18.866637168141587</v>
      </c>
      <c r="AS1221" s="2">
        <v>44259</v>
      </c>
      <c r="AT1221">
        <v>12.6</v>
      </c>
      <c r="AU1221">
        <v>0</v>
      </c>
      <c r="AV1221">
        <v>38.4</v>
      </c>
      <c r="AW1221">
        <v>16</v>
      </c>
      <c r="AX1221">
        <v>75.760000000000005</v>
      </c>
      <c r="AY1221">
        <v>0.2</v>
      </c>
      <c r="AZ1221">
        <v>2.9</v>
      </c>
      <c r="BA1221">
        <v>344.31139999999999</v>
      </c>
      <c r="BB1221">
        <v>147.20519999999999</v>
      </c>
      <c r="BC1221">
        <v>188.45599999999999</v>
      </c>
      <c r="BD1221">
        <v>3.5996999999999999</v>
      </c>
      <c r="BE1221">
        <v>28.642499999999998</v>
      </c>
      <c r="BF1221">
        <v>-6.2808999999999999</v>
      </c>
      <c r="BG1221">
        <v>-13.7683</v>
      </c>
      <c r="BH1221">
        <v>35.47</v>
      </c>
    </row>
    <row r="1222" spans="1:60" x14ac:dyDescent="0.25">
      <c r="A1222" s="2">
        <v>44279</v>
      </c>
      <c r="B1222">
        <v>9.3000000000000007</v>
      </c>
      <c r="C1222">
        <v>4.3</v>
      </c>
      <c r="D1222">
        <v>59.8</v>
      </c>
      <c r="E1222">
        <v>3.7</v>
      </c>
      <c r="F1222">
        <v>206.74</v>
      </c>
      <c r="G1222">
        <v>0.2</v>
      </c>
      <c r="H1222">
        <v>3.3</v>
      </c>
      <c r="I1222">
        <v>297.03829999999999</v>
      </c>
      <c r="J1222">
        <v>122.6216</v>
      </c>
      <c r="K1222">
        <v>183.15450000000001</v>
      </c>
      <c r="L1222">
        <v>7.0224000000000002</v>
      </c>
      <c r="M1222">
        <v>24.910299999999999</v>
      </c>
      <c r="N1222">
        <v>-6.6241000000000003</v>
      </c>
      <c r="O1222">
        <v>-12.934699999999999</v>
      </c>
      <c r="P1222">
        <v>29.98</v>
      </c>
      <c r="S1222">
        <f t="shared" si="421"/>
        <v>922.08709999999996</v>
      </c>
      <c r="T1222">
        <f t="shared" si="422"/>
        <v>8.7184244213380137E-3</v>
      </c>
      <c r="U1222">
        <f t="shared" si="423"/>
        <v>4.0310994636294038E-3</v>
      </c>
      <c r="V1222">
        <f t="shared" si="424"/>
        <v>5.606040649419497E-2</v>
      </c>
      <c r="W1222">
        <f t="shared" si="425"/>
        <v>3.4686204687043713E-3</v>
      </c>
      <c r="X1222">
        <f t="shared" si="426"/>
        <v>0.19381151235133559</v>
      </c>
      <c r="Y1222">
        <f t="shared" si="427"/>
        <v>1.874929983083444E-4</v>
      </c>
      <c r="Z1222">
        <f t="shared" si="428"/>
        <v>3.0936344720876819E-3</v>
      </c>
      <c r="AA1222">
        <f t="shared" si="429"/>
        <v>0.27846300739706747</v>
      </c>
      <c r="AB1222">
        <f t="shared" si="430"/>
        <v>0.11495345720683241</v>
      </c>
      <c r="AC1222">
        <f t="shared" si="431"/>
        <v>0.17170093179332832</v>
      </c>
      <c r="AD1222">
        <f t="shared" si="432"/>
        <v>6.5832541566025879E-3</v>
      </c>
      <c r="AE1222">
        <f t="shared" si="433"/>
        <v>2.3352534178801756E-2</v>
      </c>
      <c r="AG1222">
        <f t="shared" si="434"/>
        <v>-2.4715730018464108</v>
      </c>
      <c r="AH1222">
        <f t="shared" si="435"/>
        <v>0.29272372484840009</v>
      </c>
      <c r="AI1222">
        <f t="shared" si="436"/>
        <v>0.10072018629297942</v>
      </c>
      <c r="AK1222" s="26">
        <f t="shared" si="437"/>
        <v>1.1175788011309473E-3</v>
      </c>
      <c r="AL1222" s="26">
        <f t="shared" si="438"/>
        <v>-1.7770586379665665E-3</v>
      </c>
      <c r="AM1222" s="26">
        <f t="shared" si="439"/>
        <v>-1.8052412414958446E-2</v>
      </c>
      <c r="AN1222" s="26">
        <f t="shared" si="440"/>
        <v>-24.674761904761908</v>
      </c>
      <c r="AO1222" s="26">
        <f t="shared" si="441"/>
        <v>-23.532142857142865</v>
      </c>
      <c r="AP1222" s="26">
        <f t="shared" si="442"/>
        <v>-18.700973451327428</v>
      </c>
      <c r="AS1222" s="2">
        <v>44258</v>
      </c>
      <c r="AT1222">
        <v>12.1</v>
      </c>
      <c r="AU1222">
        <v>2</v>
      </c>
      <c r="AV1222">
        <v>7</v>
      </c>
      <c r="AW1222">
        <v>12.1</v>
      </c>
      <c r="AX1222">
        <v>126.39</v>
      </c>
      <c r="AY1222">
        <v>0.2</v>
      </c>
      <c r="AZ1222">
        <v>3</v>
      </c>
      <c r="BA1222">
        <v>341.84969999999998</v>
      </c>
      <c r="BB1222">
        <v>171.05709999999999</v>
      </c>
      <c r="BC1222">
        <v>188.39660000000001</v>
      </c>
      <c r="BD1222">
        <v>3.9138000000000002</v>
      </c>
      <c r="BE1222">
        <v>27.695900000000002</v>
      </c>
      <c r="BF1222">
        <v>-5.6147999999999998</v>
      </c>
      <c r="BG1222">
        <v>-13.9246</v>
      </c>
      <c r="BH1222">
        <v>35.85</v>
      </c>
    </row>
    <row r="1223" spans="1:60" x14ac:dyDescent="0.25">
      <c r="A1223" s="2">
        <v>44278</v>
      </c>
      <c r="B1223">
        <v>9.6999999999999993</v>
      </c>
      <c r="C1223">
        <v>1.5</v>
      </c>
      <c r="D1223">
        <v>30.8</v>
      </c>
      <c r="E1223">
        <v>2.7</v>
      </c>
      <c r="F1223">
        <v>80.86</v>
      </c>
      <c r="G1223">
        <v>0.2</v>
      </c>
      <c r="H1223">
        <v>3.2</v>
      </c>
      <c r="I1223">
        <v>316.95510000000002</v>
      </c>
      <c r="J1223">
        <v>183.08539999999999</v>
      </c>
      <c r="K1223">
        <v>227.44110000000001</v>
      </c>
      <c r="L1223">
        <v>3.7856999999999998</v>
      </c>
      <c r="M1223">
        <v>21.729399999999998</v>
      </c>
      <c r="N1223">
        <v>-5.8391000000000002</v>
      </c>
      <c r="O1223">
        <v>-12.3178</v>
      </c>
      <c r="P1223">
        <v>30.15</v>
      </c>
      <c r="S1223">
        <f t="shared" si="421"/>
        <v>881.95670000000018</v>
      </c>
      <c r="T1223">
        <f t="shared" si="422"/>
        <v>9.0934104179547018E-3</v>
      </c>
      <c r="U1223">
        <f t="shared" si="423"/>
        <v>1.406197487312583E-3</v>
      </c>
      <c r="V1223">
        <f t="shared" si="424"/>
        <v>2.8873921739485036E-2</v>
      </c>
      <c r="W1223">
        <f t="shared" si="425"/>
        <v>2.5311554771626494E-3</v>
      </c>
      <c r="X1223">
        <f t="shared" si="426"/>
        <v>7.5803419216063636E-2</v>
      </c>
      <c r="Y1223">
        <f t="shared" si="427"/>
        <v>1.874929983083444E-4</v>
      </c>
      <c r="Z1223">
        <f t="shared" si="428"/>
        <v>2.9998879729335104E-3</v>
      </c>
      <c r="AA1223">
        <f t="shared" si="429"/>
        <v>0.29713431014060565</v>
      </c>
      <c r="AB1223">
        <f t="shared" si="430"/>
        <v>0.17163615296241277</v>
      </c>
      <c r="AC1223">
        <f t="shared" si="431"/>
        <v>0.21321806888773992</v>
      </c>
      <c r="AD1223">
        <f t="shared" si="432"/>
        <v>3.5489612184794964E-3</v>
      </c>
      <c r="AE1223">
        <f t="shared" si="433"/>
        <v>2.0370551787206689E-2</v>
      </c>
      <c r="AG1223">
        <f t="shared" si="434"/>
        <v>-2.478557646044151</v>
      </c>
      <c r="AH1223">
        <f t="shared" si="435"/>
        <v>0.14126603709642716</v>
      </c>
      <c r="AI1223">
        <f t="shared" si="436"/>
        <v>-0.7954083493016294</v>
      </c>
      <c r="AK1223" s="26">
        <f t="shared" si="437"/>
        <v>3.5235916301608328E-3</v>
      </c>
      <c r="AL1223" s="26">
        <f t="shared" si="438"/>
        <v>-1.8317446538213267E-3</v>
      </c>
      <c r="AM1223" s="26">
        <f t="shared" si="439"/>
        <v>-1.8421622631689172E-2</v>
      </c>
      <c r="AN1223" s="26">
        <f t="shared" si="440"/>
        <v>-24.6</v>
      </c>
      <c r="AO1223" s="26">
        <f t="shared" si="441"/>
        <v>-23.428392857142867</v>
      </c>
      <c r="AP1223" s="26">
        <f t="shared" si="442"/>
        <v>-18.531238938053114</v>
      </c>
      <c r="AS1223" s="2">
        <v>44257</v>
      </c>
      <c r="AT1223">
        <v>11.7</v>
      </c>
      <c r="AU1223">
        <v>0</v>
      </c>
      <c r="AV1223">
        <v>12.7</v>
      </c>
      <c r="AW1223">
        <v>4.3</v>
      </c>
      <c r="AX1223">
        <v>178.08</v>
      </c>
      <c r="AY1223">
        <v>0.1</v>
      </c>
      <c r="AZ1223">
        <v>3.2</v>
      </c>
      <c r="BA1223">
        <v>334.7559</v>
      </c>
      <c r="BB1223">
        <v>138.10470000000001</v>
      </c>
      <c r="BC1223">
        <v>195.78110000000001</v>
      </c>
      <c r="BD1223">
        <v>3.5276999999999998</v>
      </c>
      <c r="BE1223">
        <v>27.299900000000001</v>
      </c>
      <c r="BF1223">
        <v>-6.3428000000000004</v>
      </c>
      <c r="BG1223">
        <v>-14.481299999999999</v>
      </c>
      <c r="BH1223">
        <v>36.19</v>
      </c>
    </row>
    <row r="1224" spans="1:60" x14ac:dyDescent="0.25">
      <c r="A1224" s="2">
        <v>44277</v>
      </c>
      <c r="B1224">
        <v>9.5</v>
      </c>
      <c r="C1224">
        <v>0</v>
      </c>
      <c r="D1224">
        <v>37.299999999999997</v>
      </c>
      <c r="E1224">
        <v>4.8</v>
      </c>
      <c r="F1224">
        <v>108.25</v>
      </c>
      <c r="G1224">
        <v>0.2</v>
      </c>
      <c r="H1224">
        <v>3</v>
      </c>
      <c r="I1224">
        <v>280.26589999999999</v>
      </c>
      <c r="J1224">
        <v>152.1003</v>
      </c>
      <c r="K1224">
        <v>214.4281</v>
      </c>
      <c r="L1224">
        <v>3.5914999999999999</v>
      </c>
      <c r="M1224">
        <v>30.535499999999999</v>
      </c>
      <c r="N1224">
        <v>-6.0358999999999998</v>
      </c>
      <c r="O1224">
        <v>-13.9902</v>
      </c>
      <c r="P1224">
        <v>30.39</v>
      </c>
      <c r="S1224">
        <f t="shared" si="421"/>
        <v>843.97129999999981</v>
      </c>
      <c r="T1224">
        <f t="shared" si="422"/>
        <v>8.9059174196463586E-3</v>
      </c>
      <c r="U1224">
        <f t="shared" si="423"/>
        <v>0</v>
      </c>
      <c r="V1224">
        <f t="shared" si="424"/>
        <v>3.4967444184506223E-2</v>
      </c>
      <c r="W1224">
        <f t="shared" si="425"/>
        <v>4.4998319594002651E-3</v>
      </c>
      <c r="X1224">
        <f t="shared" si="426"/>
        <v>0.1014805853343914</v>
      </c>
      <c r="Y1224">
        <f t="shared" si="427"/>
        <v>1.874929983083444E-4</v>
      </c>
      <c r="Z1224">
        <f t="shared" si="428"/>
        <v>2.8123949746251659E-3</v>
      </c>
      <c r="AA1224">
        <f t="shared" si="429"/>
        <v>0.26273946957293309</v>
      </c>
      <c r="AB1224">
        <f t="shared" si="430"/>
        <v>0.14258870645299337</v>
      </c>
      <c r="AC1224">
        <f t="shared" si="431"/>
        <v>0.20101883695280751</v>
      </c>
      <c r="AD1224">
        <f t="shared" si="432"/>
        <v>3.3669055171220942E-3</v>
      </c>
      <c r="AE1224">
        <f t="shared" si="433"/>
        <v>2.8625962249222248E-2</v>
      </c>
      <c r="AG1224">
        <f t="shared" si="434"/>
        <v>-2.4816564391742961</v>
      </c>
      <c r="AH1224">
        <f t="shared" si="435"/>
        <v>0.18147962912009999</v>
      </c>
      <c r="AI1224">
        <f t="shared" si="436"/>
        <v>-0.56109691924064065</v>
      </c>
      <c r="AK1224" s="26">
        <f t="shared" si="437"/>
        <v>1.1093594652146155E-2</v>
      </c>
      <c r="AL1224" s="26">
        <f t="shared" si="438"/>
        <v>3.2151533716159864E-4</v>
      </c>
      <c r="AM1224" s="26">
        <f t="shared" si="439"/>
        <v>-1.6546977206563313E-2</v>
      </c>
      <c r="AN1224" s="26">
        <f t="shared" si="440"/>
        <v>-24.525714285714287</v>
      </c>
      <c r="AO1224" s="26">
        <f t="shared" si="441"/>
        <v>-23.320357142857141</v>
      </c>
      <c r="AP1224" s="26">
        <f t="shared" si="442"/>
        <v>-18.355221238938064</v>
      </c>
      <c r="AS1224" s="2">
        <v>44256</v>
      </c>
      <c r="AT1224">
        <v>11</v>
      </c>
      <c r="AU1224">
        <v>1.5</v>
      </c>
      <c r="AV1224">
        <v>3.5</v>
      </c>
      <c r="AW1224">
        <v>5.4</v>
      </c>
      <c r="AX1224">
        <v>145.54</v>
      </c>
      <c r="AY1224">
        <v>0.1</v>
      </c>
      <c r="AZ1224">
        <v>2.9</v>
      </c>
      <c r="BA1224">
        <v>321.81060000000002</v>
      </c>
      <c r="BB1224">
        <v>121.80500000000001</v>
      </c>
      <c r="BC1224">
        <v>158.93459999999999</v>
      </c>
      <c r="BD1224">
        <v>3.5251000000000001</v>
      </c>
      <c r="BE1224">
        <v>34.351900000000001</v>
      </c>
      <c r="BF1224">
        <v>-6.4961000000000002</v>
      </c>
      <c r="BG1224">
        <v>-13.272500000000001</v>
      </c>
      <c r="BH1224">
        <v>36.5</v>
      </c>
    </row>
    <row r="1225" spans="1:60" x14ac:dyDescent="0.25">
      <c r="A1225" s="2">
        <v>44276</v>
      </c>
      <c r="B1225">
        <v>9.9</v>
      </c>
      <c r="C1225">
        <v>0</v>
      </c>
      <c r="D1225">
        <v>63.8</v>
      </c>
      <c r="E1225">
        <v>6.4</v>
      </c>
      <c r="F1225">
        <v>77.86</v>
      </c>
      <c r="G1225">
        <v>0.2</v>
      </c>
      <c r="H1225">
        <v>3</v>
      </c>
      <c r="I1225">
        <v>162.01519999999999</v>
      </c>
      <c r="J1225">
        <v>67.863699999999994</v>
      </c>
      <c r="K1225">
        <v>92.94</v>
      </c>
      <c r="L1225">
        <v>3.5760000000000001</v>
      </c>
      <c r="M1225">
        <v>9.5695999999999994</v>
      </c>
      <c r="P1225">
        <v>30.7</v>
      </c>
      <c r="S1225">
        <f t="shared" si="421"/>
        <v>497.12450000000001</v>
      </c>
      <c r="T1225">
        <f t="shared" si="422"/>
        <v>9.2809034162630467E-3</v>
      </c>
      <c r="U1225">
        <f t="shared" si="423"/>
        <v>0</v>
      </c>
      <c r="V1225">
        <f t="shared" si="424"/>
        <v>5.9810266460361854E-2</v>
      </c>
      <c r="W1225">
        <f t="shared" si="425"/>
        <v>5.9997759458670207E-3</v>
      </c>
      <c r="X1225">
        <f t="shared" si="426"/>
        <v>7.2991024241438468E-2</v>
      </c>
      <c r="Y1225">
        <f t="shared" si="427"/>
        <v>1.874929983083444E-4</v>
      </c>
      <c r="Z1225">
        <f t="shared" si="428"/>
        <v>2.8123949746251659E-3</v>
      </c>
      <c r="AA1225">
        <f t="shared" si="429"/>
        <v>0.15188357809763037</v>
      </c>
      <c r="AB1225">
        <f t="shared" si="430"/>
        <v>6.3619842946489952E-2</v>
      </c>
      <c r="AC1225">
        <f t="shared" si="431"/>
        <v>8.7127996313887637E-2</v>
      </c>
      <c r="AD1225">
        <f t="shared" si="432"/>
        <v>3.3523748097531976E-3</v>
      </c>
      <c r="AE1225">
        <f t="shared" si="433"/>
        <v>8.9711649830576615E-3</v>
      </c>
      <c r="AG1225">
        <f t="shared" si="434"/>
        <v>-2.4807576480336002</v>
      </c>
      <c r="AH1225">
        <f t="shared" si="435"/>
        <v>0.16005302301992155</v>
      </c>
      <c r="AI1225">
        <f t="shared" si="436"/>
        <v>-0.68986838288412011</v>
      </c>
      <c r="AK1225" s="26">
        <f t="shared" si="437"/>
        <v>1.2911258916603441E-2</v>
      </c>
      <c r="AL1225" s="26">
        <f t="shared" si="438"/>
        <v>3.0713696785381051E-4</v>
      </c>
      <c r="AM1225" s="26">
        <f t="shared" si="439"/>
        <v>-1.6440643788071418E-2</v>
      </c>
      <c r="AN1225" s="26">
        <f t="shared" si="440"/>
        <v>-24.454285714285717</v>
      </c>
      <c r="AO1225" s="26">
        <f t="shared" si="441"/>
        <v>-23.210892857142866</v>
      </c>
      <c r="AP1225" s="26">
        <f t="shared" si="442"/>
        <v>-18.178230088495575</v>
      </c>
      <c r="AS1225" s="2">
        <v>44255</v>
      </c>
      <c r="AT1225">
        <v>11.6</v>
      </c>
      <c r="AU1225">
        <v>0</v>
      </c>
      <c r="AV1225">
        <v>9.5</v>
      </c>
      <c r="AW1225">
        <v>2.6</v>
      </c>
      <c r="AX1225">
        <v>150.22999999999999</v>
      </c>
      <c r="AY1225">
        <v>0.2</v>
      </c>
      <c r="AZ1225">
        <v>3.2</v>
      </c>
      <c r="BA1225">
        <v>221.89449999999999</v>
      </c>
      <c r="BB1225">
        <v>63.071899999999999</v>
      </c>
      <c r="BC1225">
        <v>71.3185</v>
      </c>
      <c r="BD1225">
        <v>3.528</v>
      </c>
      <c r="BE1225">
        <v>12.6515</v>
      </c>
      <c r="BH1225">
        <v>36.86</v>
      </c>
    </row>
    <row r="1226" spans="1:60" x14ac:dyDescent="0.25">
      <c r="A1226" s="2">
        <v>44275</v>
      </c>
      <c r="B1226">
        <v>11</v>
      </c>
      <c r="C1226">
        <v>0.7</v>
      </c>
      <c r="D1226">
        <v>43.9</v>
      </c>
      <c r="E1226">
        <v>2.8</v>
      </c>
      <c r="F1226">
        <v>147.94999999999999</v>
      </c>
      <c r="G1226">
        <v>0.2</v>
      </c>
      <c r="H1226">
        <v>3.1</v>
      </c>
      <c r="I1226">
        <v>234.11689999999999</v>
      </c>
      <c r="J1226">
        <v>93.033299999999997</v>
      </c>
      <c r="K1226">
        <v>140.012</v>
      </c>
      <c r="L1226">
        <v>3.5760000000000001</v>
      </c>
      <c r="M1226">
        <v>18.797499999999999</v>
      </c>
      <c r="P1226">
        <v>30.86</v>
      </c>
      <c r="S1226">
        <f t="shared" si="421"/>
        <v>699.18569999999988</v>
      </c>
      <c r="T1226">
        <f t="shared" si="422"/>
        <v>1.0312114906958941E-2</v>
      </c>
      <c r="U1226">
        <f t="shared" si="423"/>
        <v>6.5622549407920526E-4</v>
      </c>
      <c r="V1226">
        <f t="shared" si="424"/>
        <v>4.1154713128681589E-2</v>
      </c>
      <c r="W1226">
        <f t="shared" si="425"/>
        <v>2.624901976316821E-3</v>
      </c>
      <c r="X1226">
        <f t="shared" si="426"/>
        <v>0.13869794549859774</v>
      </c>
      <c r="Y1226">
        <f t="shared" si="427"/>
        <v>1.874929983083444E-4</v>
      </c>
      <c r="Z1226">
        <f t="shared" si="428"/>
        <v>2.9061414737793379E-3</v>
      </c>
      <c r="AA1226">
        <f t="shared" si="429"/>
        <v>0.21947639767827415</v>
      </c>
      <c r="AB1226">
        <f t="shared" si="430"/>
        <v>8.7215461797598468E-2</v>
      </c>
      <c r="AC1226">
        <f t="shared" si="431"/>
        <v>0.13125634839573957</v>
      </c>
      <c r="AD1226">
        <f t="shared" si="432"/>
        <v>3.3523748097531976E-3</v>
      </c>
      <c r="AE1226">
        <f t="shared" si="433"/>
        <v>1.7621998178505516E-2</v>
      </c>
      <c r="AG1226">
        <f t="shared" si="434"/>
        <v>-2.4884712328667842</v>
      </c>
      <c r="AH1226">
        <f t="shared" si="435"/>
        <v>0.2141615336552275</v>
      </c>
      <c r="AI1226">
        <f t="shared" si="436"/>
        <v>-0.37038092942221129</v>
      </c>
      <c r="AK1226" s="26">
        <f t="shared" si="437"/>
        <v>1.3016813010532008E-2</v>
      </c>
      <c r="AL1226" s="26">
        <f t="shared" si="438"/>
        <v>-8.9366361385662119E-4</v>
      </c>
      <c r="AM1226" s="26">
        <f t="shared" si="439"/>
        <v>-1.6484840699539899E-2</v>
      </c>
      <c r="AN1226" s="26">
        <f t="shared" si="440"/>
        <v>-24.389999999999986</v>
      </c>
      <c r="AO1226" s="26">
        <f t="shared" si="441"/>
        <v>-23.103571428571435</v>
      </c>
      <c r="AP1226" s="26">
        <f t="shared" si="442"/>
        <v>-18.000530973451333</v>
      </c>
      <c r="AS1226" s="2">
        <v>44254</v>
      </c>
      <c r="AT1226">
        <v>11.7</v>
      </c>
      <c r="AU1226">
        <v>1</v>
      </c>
      <c r="AV1226">
        <v>21.1</v>
      </c>
      <c r="AW1226">
        <v>3.3</v>
      </c>
      <c r="AX1226">
        <v>99.7</v>
      </c>
      <c r="AY1226">
        <v>0.2</v>
      </c>
      <c r="AZ1226">
        <v>3.1</v>
      </c>
      <c r="BA1226">
        <v>239.84479999999999</v>
      </c>
      <c r="BB1226">
        <v>57.302999999999997</v>
      </c>
      <c r="BC1226">
        <v>120.3783</v>
      </c>
      <c r="BD1226">
        <v>3.5285000000000002</v>
      </c>
      <c r="BE1226">
        <v>14.8706</v>
      </c>
      <c r="BH1226">
        <v>37.11</v>
      </c>
    </row>
    <row r="1227" spans="1:60" x14ac:dyDescent="0.25">
      <c r="A1227" s="2">
        <v>44274</v>
      </c>
      <c r="B1227">
        <v>11.8</v>
      </c>
      <c r="C1227">
        <v>257.10000000000002</v>
      </c>
      <c r="D1227">
        <v>24.4</v>
      </c>
      <c r="E1227">
        <v>4.9000000000000004</v>
      </c>
      <c r="F1227">
        <v>114.98</v>
      </c>
      <c r="G1227">
        <v>0.2</v>
      </c>
      <c r="H1227">
        <v>3.2</v>
      </c>
      <c r="I1227">
        <v>260.67840000000001</v>
      </c>
      <c r="J1227">
        <v>130.274</v>
      </c>
      <c r="K1227">
        <v>157.87</v>
      </c>
      <c r="L1227">
        <v>3.2789999999999999</v>
      </c>
      <c r="M1227">
        <v>30.298500000000001</v>
      </c>
      <c r="N1227">
        <v>-5.9447000000000001</v>
      </c>
      <c r="O1227">
        <v>-14.205</v>
      </c>
      <c r="P1227">
        <v>31.08</v>
      </c>
      <c r="S1227">
        <f t="shared" si="421"/>
        <v>998.97989999999993</v>
      </c>
      <c r="T1227">
        <f t="shared" si="422"/>
        <v>1.1062086900192319E-2</v>
      </c>
      <c r="U1227">
        <f t="shared" si="423"/>
        <v>0.24102224932537672</v>
      </c>
      <c r="V1227">
        <f t="shared" si="424"/>
        <v>2.2874145793618014E-2</v>
      </c>
      <c r="W1227">
        <f t="shared" si="425"/>
        <v>4.5935784585544375E-3</v>
      </c>
      <c r="X1227">
        <f t="shared" si="426"/>
        <v>0.10778972472746719</v>
      </c>
      <c r="Y1227">
        <f t="shared" si="427"/>
        <v>1.874929983083444E-4</v>
      </c>
      <c r="Z1227">
        <f t="shared" si="428"/>
        <v>2.9998879729335104E-3</v>
      </c>
      <c r="AA1227">
        <f t="shared" si="429"/>
        <v>0.24437687405110961</v>
      </c>
      <c r="AB1227">
        <f t="shared" si="430"/>
        <v>0.12212731430810628</v>
      </c>
      <c r="AC1227">
        <f t="shared" si="431"/>
        <v>0.14799759821469163</v>
      </c>
      <c r="AD1227">
        <f t="shared" si="432"/>
        <v>3.0739477072653063E-3</v>
      </c>
      <c r="AE1227">
        <f t="shared" si="433"/>
        <v>2.8403783046226861E-2</v>
      </c>
      <c r="AG1227">
        <f t="shared" si="434"/>
        <v>-2.4928018895317496</v>
      </c>
      <c r="AH1227">
        <f t="shared" si="435"/>
        <v>0.41893294922267738</v>
      </c>
      <c r="AI1227">
        <f t="shared" si="436"/>
        <v>0.84278092106739111</v>
      </c>
      <c r="AK1227" s="26">
        <f t="shared" si="437"/>
        <v>1.1583942412150605E-2</v>
      </c>
      <c r="AL1227" s="26">
        <f t="shared" si="438"/>
        <v>-2.5594267428361572E-3</v>
      </c>
      <c r="AM1227" s="26">
        <f t="shared" si="439"/>
        <v>-1.6610135799312059E-2</v>
      </c>
      <c r="AN1227" s="26">
        <f t="shared" si="440"/>
        <v>-24.33619047619046</v>
      </c>
      <c r="AO1227" s="26">
        <f t="shared" si="441"/>
        <v>-22.999642857142859</v>
      </c>
      <c r="AP1227" s="26">
        <f t="shared" si="442"/>
        <v>-17.819380530973454</v>
      </c>
      <c r="AS1227" s="2">
        <v>44253</v>
      </c>
      <c r="AT1227">
        <v>11.3</v>
      </c>
      <c r="AU1227">
        <v>0.9</v>
      </c>
      <c r="AV1227">
        <v>49.1</v>
      </c>
      <c r="AW1227">
        <v>5.0999999999999996</v>
      </c>
      <c r="AX1227">
        <v>98.36</v>
      </c>
      <c r="AY1227">
        <v>0.4</v>
      </c>
      <c r="AZ1227">
        <v>3.2</v>
      </c>
      <c r="BA1227">
        <v>256.30919999999998</v>
      </c>
      <c r="BB1227">
        <v>69.792199999999994</v>
      </c>
      <c r="BC1227">
        <v>139.26349999999999</v>
      </c>
      <c r="BD1227">
        <v>3.5787</v>
      </c>
      <c r="BE1227">
        <v>20.648900000000001</v>
      </c>
      <c r="BF1227">
        <v>-3.0289999999999999</v>
      </c>
      <c r="BG1227">
        <v>-10.978300000000001</v>
      </c>
      <c r="BH1227">
        <v>37.299999999999997</v>
      </c>
    </row>
    <row r="1228" spans="1:60" x14ac:dyDescent="0.25">
      <c r="A1228" s="2">
        <v>44273</v>
      </c>
      <c r="B1228">
        <v>11.9</v>
      </c>
      <c r="C1228">
        <v>0.6</v>
      </c>
      <c r="D1228">
        <v>10.199999999999999</v>
      </c>
      <c r="E1228">
        <v>1.1000000000000001</v>
      </c>
      <c r="F1228">
        <v>116.38</v>
      </c>
      <c r="G1228">
        <v>0.2</v>
      </c>
      <c r="H1228">
        <v>3.1</v>
      </c>
      <c r="I1228">
        <v>274.16730000000001</v>
      </c>
      <c r="J1228">
        <v>197.28790000000001</v>
      </c>
      <c r="K1228">
        <v>208.6268</v>
      </c>
      <c r="L1228">
        <v>3.5059999999999998</v>
      </c>
      <c r="M1228">
        <v>24.431799999999999</v>
      </c>
      <c r="N1228">
        <v>-6.2778</v>
      </c>
      <c r="O1228">
        <v>-13.733000000000001</v>
      </c>
      <c r="P1228">
        <v>31.41</v>
      </c>
      <c r="S1228">
        <f t="shared" si="421"/>
        <v>851.49979999999994</v>
      </c>
      <c r="T1228">
        <f t="shared" si="422"/>
        <v>1.115583339934649E-2</v>
      </c>
      <c r="U1228">
        <f t="shared" si="423"/>
        <v>5.6247899492503314E-4</v>
      </c>
      <c r="V1228">
        <f t="shared" si="424"/>
        <v>9.5621429137255631E-3</v>
      </c>
      <c r="W1228">
        <f t="shared" si="425"/>
        <v>1.0312114906958943E-3</v>
      </c>
      <c r="X1228">
        <f t="shared" si="426"/>
        <v>0.1091021757156256</v>
      </c>
      <c r="Y1228">
        <f t="shared" si="427"/>
        <v>1.874929983083444E-4</v>
      </c>
      <c r="Z1228">
        <f t="shared" si="428"/>
        <v>2.9061414737793379E-3</v>
      </c>
      <c r="AA1228">
        <f t="shared" si="429"/>
        <v>0.25702224557551673</v>
      </c>
      <c r="AB1228">
        <f t="shared" si="430"/>
        <v>0.18495049950478409</v>
      </c>
      <c r="AC1228">
        <f t="shared" si="431"/>
        <v>0.19558032129737651</v>
      </c>
      <c r="AD1228">
        <f t="shared" si="432"/>
        <v>3.286752260345277E-3</v>
      </c>
      <c r="AE1228">
        <f t="shared" si="433"/>
        <v>2.290395718034904E-2</v>
      </c>
      <c r="AG1228">
        <f t="shared" si="434"/>
        <v>-2.4907412148670121</v>
      </c>
      <c r="AH1228">
        <f t="shared" si="435"/>
        <v>0.15741143416675532</v>
      </c>
      <c r="AI1228">
        <f t="shared" si="436"/>
        <v>-0.70255658360873308</v>
      </c>
      <c r="AK1228" s="26">
        <f t="shared" si="437"/>
        <v>5.8347330020466492E-3</v>
      </c>
      <c r="AL1228" s="26">
        <f t="shared" si="438"/>
        <v>-4.9011774627255866E-3</v>
      </c>
      <c r="AM1228" s="26">
        <f t="shared" si="439"/>
        <v>-1.795665409934008E-2</v>
      </c>
      <c r="AN1228" s="26">
        <f t="shared" si="440"/>
        <v>-24.304761904761889</v>
      </c>
      <c r="AO1228" s="26">
        <f t="shared" si="441"/>
        <v>-22.901249999999997</v>
      </c>
      <c r="AP1228" s="26">
        <f t="shared" si="442"/>
        <v>-17.635044247787611</v>
      </c>
      <c r="AS1228" s="2">
        <v>44252</v>
      </c>
      <c r="AT1228">
        <v>11.7</v>
      </c>
      <c r="AU1228">
        <v>0</v>
      </c>
      <c r="AV1228">
        <v>69.2</v>
      </c>
      <c r="AW1228">
        <v>6</v>
      </c>
      <c r="AX1228">
        <v>159.52000000000001</v>
      </c>
      <c r="AY1228">
        <v>0.6</v>
      </c>
      <c r="AZ1228">
        <v>3.5</v>
      </c>
      <c r="BA1228">
        <v>240.37970000000001</v>
      </c>
      <c r="BB1228">
        <v>74.493499999999997</v>
      </c>
      <c r="BC1228">
        <v>112.3593</v>
      </c>
      <c r="BD1228">
        <v>3.6154999999999999</v>
      </c>
      <c r="BE1228">
        <v>26.201499999999999</v>
      </c>
      <c r="BF1228">
        <v>-3.6383000000000001</v>
      </c>
      <c r="BG1228">
        <v>-11.166399999999999</v>
      </c>
      <c r="BH1228">
        <v>37.56</v>
      </c>
    </row>
    <row r="1229" spans="1:60" x14ac:dyDescent="0.25">
      <c r="A1229" s="2">
        <v>44272</v>
      </c>
      <c r="B1229">
        <v>11.7</v>
      </c>
      <c r="C1229">
        <v>69.3</v>
      </c>
      <c r="D1229">
        <v>33.299999999999997</v>
      </c>
      <c r="E1229">
        <v>18.399999999999999</v>
      </c>
      <c r="F1229">
        <v>92.68</v>
      </c>
      <c r="G1229">
        <v>0.2</v>
      </c>
      <c r="H1229">
        <v>2.6</v>
      </c>
      <c r="I1229">
        <v>288.76859999999999</v>
      </c>
      <c r="J1229">
        <v>155.66139999999999</v>
      </c>
      <c r="K1229">
        <v>180.48269999999999</v>
      </c>
      <c r="L1229">
        <v>3.4447000000000001</v>
      </c>
      <c r="M1229">
        <v>23.752099999999999</v>
      </c>
      <c r="N1229">
        <v>-6.5053000000000001</v>
      </c>
      <c r="O1229">
        <v>-13.865399999999999</v>
      </c>
      <c r="P1229">
        <v>31.77</v>
      </c>
      <c r="S1229">
        <f t="shared" si="421"/>
        <v>880.28949999999998</v>
      </c>
      <c r="T1229">
        <f t="shared" si="422"/>
        <v>1.0968340401038145E-2</v>
      </c>
      <c r="U1229">
        <f t="shared" si="423"/>
        <v>6.4966323913841328E-2</v>
      </c>
      <c r="V1229">
        <f t="shared" si="424"/>
        <v>3.1217584218339336E-2</v>
      </c>
      <c r="W1229">
        <f t="shared" si="425"/>
        <v>1.7249355844367681E-2</v>
      </c>
      <c r="X1229">
        <f t="shared" si="426"/>
        <v>8.6884255416086797E-2</v>
      </c>
      <c r="Y1229">
        <f t="shared" si="427"/>
        <v>1.874929983083444E-4</v>
      </c>
      <c r="Z1229">
        <f t="shared" si="428"/>
        <v>2.437408978008477E-3</v>
      </c>
      <c r="AA1229">
        <f t="shared" si="429"/>
        <v>0.27071045315651487</v>
      </c>
      <c r="AB1229">
        <f t="shared" si="430"/>
        <v>0.14592711303437259</v>
      </c>
      <c r="AC1229">
        <f t="shared" si="431"/>
        <v>0.16919621282892713</v>
      </c>
      <c r="AD1229">
        <f t="shared" si="432"/>
        <v>3.2292856563637695E-3</v>
      </c>
      <c r="AE1229">
        <f t="shared" si="433"/>
        <v>2.2266762225598133E-2</v>
      </c>
      <c r="AG1229">
        <f t="shared" si="434"/>
        <v>-2.4868020308238243</v>
      </c>
      <c r="AH1229">
        <f t="shared" si="435"/>
        <v>0.23617752399558822</v>
      </c>
      <c r="AI1229">
        <f t="shared" si="436"/>
        <v>-0.23757787869208313</v>
      </c>
      <c r="AK1229" s="26">
        <f t="shared" si="437"/>
        <v>1.2583364911395251E-2</v>
      </c>
      <c r="AL1229" s="26">
        <f t="shared" si="438"/>
        <v>-5.2687993370247876E-3</v>
      </c>
      <c r="AM1229" s="26">
        <f t="shared" si="439"/>
        <v>-1.6578986243526744E-2</v>
      </c>
      <c r="AN1229" s="26">
        <f t="shared" si="440"/>
        <v>-24.296190476190453</v>
      </c>
      <c r="AO1229" s="26">
        <f t="shared" si="441"/>
        <v>-22.809821428571439</v>
      </c>
      <c r="AP1229" s="26">
        <f t="shared" si="442"/>
        <v>-17.448672566371691</v>
      </c>
      <c r="AS1229" s="2">
        <v>44251</v>
      </c>
      <c r="AT1229">
        <v>11.4</v>
      </c>
      <c r="AU1229">
        <v>0</v>
      </c>
      <c r="AV1229">
        <v>85.6</v>
      </c>
      <c r="AW1229">
        <v>9.6</v>
      </c>
      <c r="AX1229">
        <v>147.07</v>
      </c>
      <c r="AY1229">
        <v>0.6</v>
      </c>
      <c r="AZ1229">
        <v>3.5</v>
      </c>
      <c r="BA1229">
        <v>216.90729999999999</v>
      </c>
      <c r="BB1229">
        <v>57.472200000000001</v>
      </c>
      <c r="BC1229">
        <v>80.5077</v>
      </c>
      <c r="BD1229">
        <v>3.6591999999999998</v>
      </c>
      <c r="BE1229">
        <v>31.671900000000001</v>
      </c>
      <c r="BF1229">
        <v>-5.0408999999999997</v>
      </c>
      <c r="BG1229">
        <v>-12.238</v>
      </c>
      <c r="BH1229">
        <v>37.79</v>
      </c>
    </row>
    <row r="1230" spans="1:60" x14ac:dyDescent="0.25">
      <c r="A1230" s="2">
        <v>44271</v>
      </c>
      <c r="B1230">
        <v>11.7</v>
      </c>
      <c r="C1230">
        <v>1.8</v>
      </c>
      <c r="D1230">
        <v>40.299999999999997</v>
      </c>
      <c r="E1230">
        <v>8.8000000000000007</v>
      </c>
      <c r="F1230">
        <v>94.24</v>
      </c>
      <c r="G1230">
        <v>0.2</v>
      </c>
      <c r="H1230">
        <v>2.6</v>
      </c>
      <c r="I1230">
        <v>267.38099999999997</v>
      </c>
      <c r="J1230">
        <v>135.7431</v>
      </c>
      <c r="K1230">
        <v>145.982</v>
      </c>
      <c r="L1230">
        <v>3.4832000000000001</v>
      </c>
      <c r="M1230">
        <v>30.0566</v>
      </c>
      <c r="N1230">
        <v>-6.8815</v>
      </c>
      <c r="O1230">
        <v>-13.1915</v>
      </c>
      <c r="P1230">
        <v>32.07</v>
      </c>
      <c r="S1230">
        <f t="shared" si="421"/>
        <v>742.28589999999997</v>
      </c>
      <c r="T1230">
        <f t="shared" si="422"/>
        <v>1.0968340401038145E-2</v>
      </c>
      <c r="U1230">
        <f t="shared" si="423"/>
        <v>1.6874369847750994E-3</v>
      </c>
      <c r="V1230">
        <f t="shared" si="424"/>
        <v>3.7779839159131391E-2</v>
      </c>
      <c r="W1230">
        <f t="shared" si="425"/>
        <v>8.2496919255671541E-3</v>
      </c>
      <c r="X1230">
        <f t="shared" si="426"/>
        <v>8.8346700802891864E-2</v>
      </c>
      <c r="Y1230">
        <f t="shared" si="427"/>
        <v>1.874929983083444E-4</v>
      </c>
      <c r="Z1230">
        <f t="shared" si="428"/>
        <v>2.437408978008477E-3</v>
      </c>
      <c r="AA1230">
        <f t="shared" si="429"/>
        <v>0.25066032690341711</v>
      </c>
      <c r="AB1230">
        <f t="shared" si="430"/>
        <v>0.12725440409334712</v>
      </c>
      <c r="AC1230">
        <f t="shared" si="431"/>
        <v>0.13685301439524364</v>
      </c>
      <c r="AD1230">
        <f t="shared" si="432"/>
        <v>3.2653780585381259E-3</v>
      </c>
      <c r="AE1230">
        <f t="shared" si="433"/>
        <v>2.8177010264772918E-2</v>
      </c>
      <c r="AG1230">
        <f t="shared" si="434"/>
        <v>-2.4862589391347973</v>
      </c>
      <c r="AH1230">
        <f t="shared" si="435"/>
        <v>0.1778339215144934</v>
      </c>
      <c r="AI1230">
        <f t="shared" si="436"/>
        <v>-0.58325233758602313</v>
      </c>
      <c r="AK1230" s="26">
        <f t="shared" si="437"/>
        <v>2.074185934976136E-2</v>
      </c>
      <c r="AL1230" s="26">
        <f t="shared" si="438"/>
        <v>-3.9280419282557155E-3</v>
      </c>
      <c r="AM1230" s="26">
        <f t="shared" si="439"/>
        <v>-1.5958586015580062E-2</v>
      </c>
      <c r="AN1230" s="26">
        <f t="shared" si="440"/>
        <v>-24.300952380952381</v>
      </c>
      <c r="AO1230" s="26">
        <f t="shared" si="441"/>
        <v>-22.725535714285733</v>
      </c>
      <c r="AP1230" s="26">
        <f t="shared" si="442"/>
        <v>-17.261061946902643</v>
      </c>
      <c r="AS1230" s="2">
        <v>44250</v>
      </c>
      <c r="AT1230">
        <v>11.5</v>
      </c>
      <c r="AU1230">
        <v>0</v>
      </c>
      <c r="AV1230">
        <v>59.6</v>
      </c>
      <c r="AW1230">
        <v>7.3</v>
      </c>
      <c r="AX1230">
        <v>130.65</v>
      </c>
      <c r="AY1230">
        <v>0.5</v>
      </c>
      <c r="AZ1230">
        <v>3.1</v>
      </c>
      <c r="BA1230">
        <v>230.4203</v>
      </c>
      <c r="BB1230">
        <v>80.673900000000003</v>
      </c>
      <c r="BC1230">
        <v>133.29089999999999</v>
      </c>
      <c r="BD1230">
        <v>3.6459000000000001</v>
      </c>
      <c r="BE1230">
        <v>22.749600000000001</v>
      </c>
      <c r="BF1230">
        <v>-4.2865000000000002</v>
      </c>
      <c r="BG1230">
        <v>-11.5105</v>
      </c>
      <c r="BH1230">
        <v>37.979999999999997</v>
      </c>
    </row>
    <row r="1231" spans="1:60" x14ac:dyDescent="0.25">
      <c r="A1231" s="2">
        <v>44270</v>
      </c>
      <c r="B1231">
        <v>10.6</v>
      </c>
      <c r="C1231">
        <v>2.7</v>
      </c>
      <c r="D1231">
        <v>71.8</v>
      </c>
      <c r="E1231">
        <v>13.3</v>
      </c>
      <c r="F1231">
        <v>83.51</v>
      </c>
      <c r="G1231">
        <v>0.2</v>
      </c>
      <c r="H1231">
        <v>2.5</v>
      </c>
      <c r="I1231">
        <v>196.58250000000001</v>
      </c>
      <c r="J1231">
        <v>82.729100000000003</v>
      </c>
      <c r="K1231">
        <v>92.672200000000004</v>
      </c>
      <c r="L1231">
        <v>3.5232000000000001</v>
      </c>
      <c r="M1231">
        <v>27.013100000000001</v>
      </c>
      <c r="N1231">
        <v>-6.7224000000000004</v>
      </c>
      <c r="O1231">
        <v>-12.8627</v>
      </c>
      <c r="P1231">
        <v>32.340000000000003</v>
      </c>
      <c r="S1231">
        <f t="shared" si="421"/>
        <v>587.13009999999997</v>
      </c>
      <c r="T1231">
        <f t="shared" si="422"/>
        <v>9.9371289103422512E-3</v>
      </c>
      <c r="U1231">
        <f t="shared" si="423"/>
        <v>2.5311554771626494E-3</v>
      </c>
      <c r="V1231">
        <f t="shared" si="424"/>
        <v>6.7309986392695628E-2</v>
      </c>
      <c r="W1231">
        <f t="shared" si="425"/>
        <v>1.2468284387504903E-2</v>
      </c>
      <c r="X1231">
        <f t="shared" si="426"/>
        <v>7.8287701443649202E-2</v>
      </c>
      <c r="Y1231">
        <f t="shared" si="427"/>
        <v>1.874929983083444E-4</v>
      </c>
      <c r="Z1231">
        <f t="shared" si="428"/>
        <v>2.3436624788543046E-3</v>
      </c>
      <c r="AA1231">
        <f t="shared" si="429"/>
        <v>0.18428921169975054</v>
      </c>
      <c r="AB1231">
        <f t="shared" si="430"/>
        <v>7.7555635031754264E-2</v>
      </c>
      <c r="AC1231">
        <f t="shared" si="431"/>
        <v>8.6876943189152761E-2</v>
      </c>
      <c r="AD1231">
        <f t="shared" si="432"/>
        <v>3.3028766581997947E-3</v>
      </c>
      <c r="AE1231">
        <f t="shared" si="433"/>
        <v>2.5323835563015689E-2</v>
      </c>
      <c r="AG1231">
        <f t="shared" si="434"/>
        <v>-2.4874403123500368</v>
      </c>
      <c r="AH1231">
        <f t="shared" si="435"/>
        <v>0.19838924765153296</v>
      </c>
      <c r="AI1231">
        <f t="shared" si="436"/>
        <v>-0.46335044302315992</v>
      </c>
      <c r="AK1231" s="26">
        <f t="shared" si="437"/>
        <v>3.1280251520964392E-2</v>
      </c>
      <c r="AL1231" s="26">
        <f t="shared" si="438"/>
        <v>-2.9380303498934002E-3</v>
      </c>
      <c r="AM1231" s="26">
        <f t="shared" si="439"/>
        <v>-1.4713415147672992E-2</v>
      </c>
      <c r="AN1231" s="26">
        <f t="shared" si="440"/>
        <v>-24.317142857142848</v>
      </c>
      <c r="AO1231" s="26">
        <f t="shared" si="441"/>
        <v>-22.644107142857145</v>
      </c>
      <c r="AP1231" s="26">
        <f t="shared" si="442"/>
        <v>-17.071150442477865</v>
      </c>
      <c r="AS1231" s="2">
        <v>44249</v>
      </c>
      <c r="AT1231">
        <v>11</v>
      </c>
      <c r="AU1231">
        <v>0</v>
      </c>
      <c r="AV1231">
        <v>51</v>
      </c>
      <c r="AW1231">
        <v>5.9</v>
      </c>
      <c r="AX1231">
        <v>130.58000000000001</v>
      </c>
      <c r="AY1231">
        <v>0.6</v>
      </c>
      <c r="AZ1231">
        <v>3.2</v>
      </c>
      <c r="BA1231">
        <v>241.0958</v>
      </c>
      <c r="BB1231">
        <v>97.123599999999996</v>
      </c>
      <c r="BC1231">
        <v>153.5677</v>
      </c>
      <c r="BD1231">
        <v>3.6495000000000002</v>
      </c>
      <c r="BE1231">
        <v>21.298300000000001</v>
      </c>
      <c r="BF1231">
        <v>-3.5413000000000001</v>
      </c>
      <c r="BG1231">
        <v>-10.9291</v>
      </c>
      <c r="BH1231">
        <v>38.270000000000003</v>
      </c>
    </row>
    <row r="1232" spans="1:60" x14ac:dyDescent="0.25">
      <c r="A1232" s="2">
        <v>44269</v>
      </c>
      <c r="B1232">
        <v>9.8000000000000007</v>
      </c>
      <c r="C1232">
        <v>0</v>
      </c>
      <c r="D1232">
        <v>73.5</v>
      </c>
      <c r="E1232">
        <v>14.3</v>
      </c>
      <c r="F1232">
        <v>91.13</v>
      </c>
      <c r="G1232">
        <v>0.2</v>
      </c>
      <c r="H1232">
        <v>2.6</v>
      </c>
      <c r="I1232">
        <v>89.569800000000001</v>
      </c>
      <c r="J1232">
        <v>33.411499999999997</v>
      </c>
      <c r="K1232">
        <v>40.836300000000001</v>
      </c>
      <c r="L1232">
        <v>3.5219999999999998</v>
      </c>
      <c r="M1232">
        <v>21.630099999999999</v>
      </c>
      <c r="P1232">
        <v>32.590000000000003</v>
      </c>
      <c r="S1232">
        <f t="shared" si="421"/>
        <v>380.49969999999996</v>
      </c>
      <c r="T1232">
        <f t="shared" si="422"/>
        <v>9.1871569171088751E-3</v>
      </c>
      <c r="U1232">
        <f t="shared" si="423"/>
        <v>0</v>
      </c>
      <c r="V1232">
        <f t="shared" si="424"/>
        <v>6.8903676878316555E-2</v>
      </c>
      <c r="W1232">
        <f t="shared" si="425"/>
        <v>1.3405749379046624E-2</v>
      </c>
      <c r="X1232">
        <f t="shared" si="426"/>
        <v>8.5431184679197109E-2</v>
      </c>
      <c r="Y1232">
        <f t="shared" si="427"/>
        <v>1.874929983083444E-4</v>
      </c>
      <c r="Z1232">
        <f t="shared" si="428"/>
        <v>2.437408978008477E-3</v>
      </c>
      <c r="AA1232">
        <f t="shared" si="429"/>
        <v>8.396855179939372E-2</v>
      </c>
      <c r="AB1232">
        <f t="shared" si="430"/>
        <v>3.1322111564896241E-2</v>
      </c>
      <c r="AC1232">
        <f t="shared" si="431"/>
        <v>3.828260163409522E-2</v>
      </c>
      <c r="AD1232">
        <f t="shared" si="432"/>
        <v>3.3017517002099442E-3</v>
      </c>
      <c r="AE1232">
        <f t="shared" si="433"/>
        <v>2.0277461513546598E-2</v>
      </c>
      <c r="AG1232">
        <f t="shared" si="434"/>
        <v>-2.4897997076744298</v>
      </c>
      <c r="AH1232">
        <f t="shared" si="435"/>
        <v>0.19983013134353256</v>
      </c>
      <c r="AI1232">
        <f t="shared" si="436"/>
        <v>-0.45661354837688795</v>
      </c>
      <c r="AK1232" s="26">
        <f t="shared" si="437"/>
        <v>3.7215012037608519E-2</v>
      </c>
      <c r="AL1232" s="26">
        <f t="shared" si="438"/>
        <v>-1.7065713148703143E-3</v>
      </c>
      <c r="AM1232" s="26">
        <f t="shared" si="439"/>
        <v>-1.3574106476917008E-2</v>
      </c>
      <c r="AN1232" s="26">
        <f t="shared" si="440"/>
        <v>-24.338095238095256</v>
      </c>
      <c r="AO1232" s="26">
        <f t="shared" si="441"/>
        <v>-22.563035714285718</v>
      </c>
      <c r="AP1232" s="26">
        <f t="shared" si="442"/>
        <v>-16.880265486725662</v>
      </c>
      <c r="AS1232" s="2">
        <v>44248</v>
      </c>
      <c r="AT1232">
        <v>11.1</v>
      </c>
      <c r="AU1232">
        <v>0</v>
      </c>
      <c r="AV1232">
        <v>45.3</v>
      </c>
      <c r="AW1232">
        <v>6.7</v>
      </c>
      <c r="AX1232">
        <v>153.01</v>
      </c>
      <c r="AY1232">
        <v>0.6</v>
      </c>
      <c r="AZ1232">
        <v>3.3</v>
      </c>
      <c r="BA1232">
        <v>140.01089999999999</v>
      </c>
      <c r="BB1232">
        <v>50.975900000000003</v>
      </c>
      <c r="BC1232">
        <v>74.746499999999997</v>
      </c>
      <c r="BD1232">
        <v>3.6840000000000002</v>
      </c>
      <c r="BE1232">
        <v>20.878399999999999</v>
      </c>
      <c r="BH1232">
        <v>38.65</v>
      </c>
    </row>
    <row r="1233" spans="1:60" x14ac:dyDescent="0.25">
      <c r="A1233" s="2">
        <v>44268</v>
      </c>
      <c r="B1233">
        <v>7.7</v>
      </c>
      <c r="C1233">
        <v>0</v>
      </c>
      <c r="D1233">
        <v>84.4</v>
      </c>
      <c r="E1233">
        <v>18.399999999999999</v>
      </c>
      <c r="F1233">
        <v>72</v>
      </c>
      <c r="G1233">
        <v>0.2</v>
      </c>
      <c r="H1233">
        <v>2.7</v>
      </c>
      <c r="I1233">
        <v>77.035899999999998</v>
      </c>
      <c r="J1233">
        <v>43.002400000000002</v>
      </c>
      <c r="K1233">
        <v>35.1708</v>
      </c>
      <c r="L1233">
        <v>3.5215999999999998</v>
      </c>
      <c r="M1233">
        <v>16.900600000000001</v>
      </c>
      <c r="P1233">
        <v>32.72</v>
      </c>
      <c r="S1233">
        <f t="shared" si="421"/>
        <v>361.03129999999993</v>
      </c>
      <c r="T1233">
        <f t="shared" si="422"/>
        <v>7.218480434871259E-3</v>
      </c>
      <c r="U1233">
        <f t="shared" si="423"/>
        <v>0</v>
      </c>
      <c r="V1233">
        <f t="shared" si="424"/>
        <v>7.9122045286121337E-2</v>
      </c>
      <c r="W1233">
        <f t="shared" si="425"/>
        <v>1.7249355844367681E-2</v>
      </c>
      <c r="X1233">
        <f t="shared" si="426"/>
        <v>6.7497479391003978E-2</v>
      </c>
      <c r="Y1233">
        <f t="shared" si="427"/>
        <v>1.874929983083444E-4</v>
      </c>
      <c r="Z1233">
        <f t="shared" si="428"/>
        <v>2.5311554771626494E-3</v>
      </c>
      <c r="AA1233">
        <f t="shared" si="429"/>
        <v>7.221845934190893E-2</v>
      </c>
      <c r="AB1233">
        <f t="shared" si="430"/>
        <v>4.0313244552273746E-2</v>
      </c>
      <c r="AC1233">
        <f t="shared" si="431"/>
        <v>3.2971393724515595E-2</v>
      </c>
      <c r="AD1233">
        <f t="shared" si="432"/>
        <v>3.3013767142133278E-3</v>
      </c>
      <c r="AE1233">
        <f t="shared" si="433"/>
        <v>1.5843720836050026E-2</v>
      </c>
      <c r="AG1233">
        <f t="shared" si="434"/>
        <v>-2.4993704586196515</v>
      </c>
      <c r="AH1233">
        <f t="shared" si="435"/>
        <v>0.18964973026788529</v>
      </c>
      <c r="AI1233">
        <f t="shared" si="436"/>
        <v>-0.51844425182176446</v>
      </c>
      <c r="AK1233" s="26">
        <f t="shared" si="437"/>
        <v>3.8298462648928305E-2</v>
      </c>
      <c r="AL1233" s="26">
        <f t="shared" si="438"/>
        <v>-2.8015639058835973E-3</v>
      </c>
      <c r="AM1233" s="26">
        <f t="shared" si="439"/>
        <v>-1.3142110164588994E-2</v>
      </c>
      <c r="AN1233" s="26">
        <f t="shared" si="440"/>
        <v>-24.355714285714292</v>
      </c>
      <c r="AO1233" s="26">
        <f t="shared" si="441"/>
        <v>-22.477142857142866</v>
      </c>
      <c r="AP1233" s="26">
        <f t="shared" si="442"/>
        <v>-16.690088495575225</v>
      </c>
      <c r="AS1233" s="2">
        <v>44247</v>
      </c>
      <c r="AT1233">
        <v>11.7</v>
      </c>
      <c r="AU1233">
        <v>0</v>
      </c>
      <c r="AV1233">
        <v>81.2</v>
      </c>
      <c r="AW1233">
        <v>8</v>
      </c>
      <c r="AX1233">
        <v>140.49</v>
      </c>
      <c r="AY1233">
        <v>0.6</v>
      </c>
      <c r="AZ1233">
        <v>3.8</v>
      </c>
      <c r="BA1233">
        <v>135.14779999999999</v>
      </c>
      <c r="BB1233">
        <v>50.809699999999999</v>
      </c>
      <c r="BC1233">
        <v>87.694699999999997</v>
      </c>
      <c r="BD1233">
        <v>3.6720000000000002</v>
      </c>
      <c r="BE1233">
        <v>15.965999999999999</v>
      </c>
      <c r="BH1233">
        <v>38.83</v>
      </c>
    </row>
    <row r="1234" spans="1:60" x14ac:dyDescent="0.25">
      <c r="A1234" s="2">
        <v>44267</v>
      </c>
      <c r="B1234">
        <v>9.3000000000000007</v>
      </c>
      <c r="C1234">
        <v>0</v>
      </c>
      <c r="D1234">
        <v>83.7</v>
      </c>
      <c r="E1234">
        <v>21</v>
      </c>
      <c r="F1234">
        <v>124.37</v>
      </c>
      <c r="G1234">
        <v>0.2</v>
      </c>
      <c r="H1234">
        <v>3</v>
      </c>
      <c r="I1234">
        <v>83.633200000000002</v>
      </c>
      <c r="J1234">
        <v>63.987400000000001</v>
      </c>
      <c r="K1234">
        <v>53.558799999999998</v>
      </c>
      <c r="L1234">
        <v>3.5270999999999999</v>
      </c>
      <c r="M1234">
        <v>28.308199999999999</v>
      </c>
      <c r="N1234">
        <v>-7.0195999999999996</v>
      </c>
      <c r="O1234">
        <v>-12.503299999999999</v>
      </c>
      <c r="P1234">
        <v>33.020000000000003</v>
      </c>
      <c r="S1234">
        <f t="shared" si="421"/>
        <v>474.5847</v>
      </c>
      <c r="T1234">
        <f t="shared" si="422"/>
        <v>8.7184244213380137E-3</v>
      </c>
      <c r="U1234">
        <f t="shared" si="423"/>
        <v>0</v>
      </c>
      <c r="V1234">
        <f t="shared" si="424"/>
        <v>7.8465819792042132E-2</v>
      </c>
      <c r="W1234">
        <f t="shared" si="425"/>
        <v>1.9686764822376159E-2</v>
      </c>
      <c r="X1234">
        <f t="shared" si="426"/>
        <v>0.11659252099804396</v>
      </c>
      <c r="Y1234">
        <f t="shared" si="427"/>
        <v>1.874929983083444E-4</v>
      </c>
      <c r="Z1234">
        <f t="shared" si="428"/>
        <v>2.8123949746251659E-3</v>
      </c>
      <c r="AA1234">
        <f t="shared" si="429"/>
        <v>7.8403197130607144E-2</v>
      </c>
      <c r="AB1234">
        <f t="shared" si="430"/>
        <v>5.9985947399776779E-2</v>
      </c>
      <c r="AC1234">
        <f t="shared" si="431"/>
        <v>5.0209499988984774E-2</v>
      </c>
      <c r="AD1234">
        <f t="shared" si="432"/>
        <v>3.3065327716668073E-3</v>
      </c>
      <c r="AE1234">
        <f t="shared" si="433"/>
        <v>2.653794647356137E-2</v>
      </c>
      <c r="AG1234">
        <f t="shared" si="434"/>
        <v>-2.4988422529900616</v>
      </c>
      <c r="AH1234">
        <f t="shared" si="435"/>
        <v>0.25300136448029514</v>
      </c>
      <c r="AI1234">
        <f t="shared" si="436"/>
        <v>-0.1430424197960852</v>
      </c>
      <c r="AK1234" s="26">
        <f t="shared" si="437"/>
        <v>4.299659523875371E-2</v>
      </c>
      <c r="AL1234" s="26">
        <f t="shared" si="438"/>
        <v>-4.0892005305248336E-3</v>
      </c>
      <c r="AM1234" s="26">
        <f t="shared" si="439"/>
        <v>-1.3094577371057708E-2</v>
      </c>
      <c r="AN1234" s="26">
        <f t="shared" si="440"/>
        <v>-24.377142857142857</v>
      </c>
      <c r="AO1234" s="26">
        <f t="shared" si="441"/>
        <v>-22.384999999999991</v>
      </c>
      <c r="AP1234" s="26">
        <f t="shared" si="442"/>
        <v>-16.500442477876106</v>
      </c>
      <c r="AS1234" s="2">
        <v>44246</v>
      </c>
      <c r="AT1234">
        <v>12.2</v>
      </c>
      <c r="AU1234">
        <v>0</v>
      </c>
      <c r="AV1234">
        <v>82.6</v>
      </c>
      <c r="AW1234">
        <v>8.9</v>
      </c>
      <c r="AX1234">
        <v>108.54</v>
      </c>
      <c r="AY1234">
        <v>0.6</v>
      </c>
      <c r="AZ1234">
        <v>3.7</v>
      </c>
      <c r="BA1234">
        <v>249.54859999999999</v>
      </c>
      <c r="BB1234">
        <v>97.676699999999997</v>
      </c>
      <c r="BC1234">
        <v>138.94059999999999</v>
      </c>
      <c r="BD1234">
        <v>3.6757</v>
      </c>
      <c r="BE1234">
        <v>30.068899999999999</v>
      </c>
      <c r="BF1234">
        <v>-2.5335000000000001</v>
      </c>
      <c r="BG1234">
        <v>-8.7718000000000007</v>
      </c>
      <c r="BH1234">
        <v>39.090000000000003</v>
      </c>
    </row>
    <row r="1235" spans="1:60" x14ac:dyDescent="0.25">
      <c r="A1235" s="2">
        <v>44266</v>
      </c>
      <c r="B1235">
        <v>10.199999999999999</v>
      </c>
      <c r="C1235">
        <v>0</v>
      </c>
      <c r="D1235">
        <v>70.400000000000006</v>
      </c>
      <c r="E1235">
        <v>18.600000000000001</v>
      </c>
      <c r="F1235">
        <v>64</v>
      </c>
      <c r="G1235">
        <v>0.2</v>
      </c>
      <c r="H1235">
        <v>3</v>
      </c>
      <c r="I1235">
        <v>87.456400000000002</v>
      </c>
      <c r="J1235">
        <v>78.393100000000004</v>
      </c>
      <c r="K1235">
        <v>68.581599999999995</v>
      </c>
      <c r="L1235">
        <v>4.5332999999999997</v>
      </c>
      <c r="M1235">
        <v>28.477799999999998</v>
      </c>
      <c r="N1235">
        <v>-7.3380999999999998</v>
      </c>
      <c r="O1235">
        <v>-12.435499999999999</v>
      </c>
      <c r="P1235">
        <v>32.99</v>
      </c>
      <c r="S1235">
        <f t="shared" si="421"/>
        <v>433.84219999999999</v>
      </c>
      <c r="T1235">
        <f t="shared" si="422"/>
        <v>9.5621429137255631E-3</v>
      </c>
      <c r="U1235">
        <f t="shared" si="423"/>
        <v>0</v>
      </c>
      <c r="V1235">
        <f t="shared" si="424"/>
        <v>6.5997535404537233E-2</v>
      </c>
      <c r="W1235">
        <f t="shared" si="425"/>
        <v>1.7436848842676027E-2</v>
      </c>
      <c r="X1235">
        <f t="shared" si="426"/>
        <v>5.9997759458670204E-2</v>
      </c>
      <c r="Y1235">
        <f t="shared" si="427"/>
        <v>1.874929983083444E-4</v>
      </c>
      <c r="Z1235">
        <f t="shared" si="428"/>
        <v>2.8123949746251659E-3</v>
      </c>
      <c r="AA1235">
        <f t="shared" si="429"/>
        <v>8.1987313286269445E-2</v>
      </c>
      <c r="AB1235">
        <f t="shared" si="430"/>
        <v>7.3490786828429369E-2</v>
      </c>
      <c r="AC1235">
        <f t="shared" si="431"/>
        <v>6.4292849063917745E-2</v>
      </c>
      <c r="AD1235">
        <f t="shared" si="432"/>
        <v>4.2498100461560873E-3</v>
      </c>
      <c r="AE1235">
        <f t="shared" si="433"/>
        <v>2.6696940536126847E-2</v>
      </c>
      <c r="AG1235">
        <f t="shared" si="434"/>
        <v>-2.5183361866174603</v>
      </c>
      <c r="AH1235">
        <f t="shared" si="435"/>
        <v>0.18269111512866937</v>
      </c>
      <c r="AI1235">
        <f t="shared" si="436"/>
        <v>-0.55969361792786254</v>
      </c>
      <c r="AK1235" s="26">
        <f t="shared" si="437"/>
        <v>4.3292887745508934E-2</v>
      </c>
      <c r="AL1235" s="26">
        <f t="shared" si="438"/>
        <v>-6.6268713893787301E-3</v>
      </c>
      <c r="AM1235" s="26">
        <f t="shared" si="439"/>
        <v>-1.4524863560577778E-2</v>
      </c>
      <c r="AN1235" s="26">
        <f t="shared" si="440"/>
        <v>-24.410952380952381</v>
      </c>
      <c r="AO1235" s="26">
        <f t="shared" si="441"/>
        <v>-22.290714285714273</v>
      </c>
      <c r="AP1235" s="26">
        <f t="shared" si="442"/>
        <v>-16.313362831858406</v>
      </c>
      <c r="AS1235" s="2">
        <v>44245</v>
      </c>
      <c r="AT1235">
        <v>12.9</v>
      </c>
      <c r="AU1235">
        <v>0</v>
      </c>
      <c r="AV1235">
        <v>85.5</v>
      </c>
      <c r="AW1235">
        <v>10.7</v>
      </c>
      <c r="AX1235">
        <v>98.49</v>
      </c>
      <c r="AY1235">
        <v>0.6</v>
      </c>
      <c r="AZ1235">
        <v>3.6</v>
      </c>
      <c r="BA1235">
        <v>253.45410000000001</v>
      </c>
      <c r="BB1235">
        <v>88.023600000000002</v>
      </c>
      <c r="BC1235">
        <v>126.6161</v>
      </c>
      <c r="BD1235">
        <v>3.6783999999999999</v>
      </c>
      <c r="BE1235">
        <v>22.0383</v>
      </c>
      <c r="BF1235">
        <v>-3.9775</v>
      </c>
      <c r="BG1235">
        <v>-9.1692999999999998</v>
      </c>
      <c r="BH1235">
        <v>39.51</v>
      </c>
    </row>
    <row r="1236" spans="1:60" x14ac:dyDescent="0.25">
      <c r="A1236" s="2">
        <v>44265</v>
      </c>
      <c r="B1236">
        <v>11.1</v>
      </c>
      <c r="C1236">
        <v>1</v>
      </c>
      <c r="D1236">
        <v>59.9</v>
      </c>
      <c r="E1236">
        <v>10.8</v>
      </c>
      <c r="F1236">
        <v>104.86</v>
      </c>
      <c r="G1236">
        <v>0.2</v>
      </c>
      <c r="H1236">
        <v>3.3</v>
      </c>
      <c r="I1236">
        <v>316.80079999999998</v>
      </c>
      <c r="J1236">
        <v>149.94739999999999</v>
      </c>
      <c r="K1236">
        <v>165.9796</v>
      </c>
      <c r="L1236">
        <v>3.6855000000000002</v>
      </c>
      <c r="M1236">
        <v>23.137499999999999</v>
      </c>
      <c r="N1236">
        <v>-6.5275999999999996</v>
      </c>
      <c r="O1236">
        <v>-12.668799999999999</v>
      </c>
      <c r="P1236">
        <v>33.19</v>
      </c>
      <c r="S1236">
        <f t="shared" si="421"/>
        <v>850.71080000000006</v>
      </c>
      <c r="T1236">
        <f t="shared" si="422"/>
        <v>1.0405861406113113E-2</v>
      </c>
      <c r="U1236">
        <f t="shared" si="423"/>
        <v>9.3746499154172193E-4</v>
      </c>
      <c r="V1236">
        <f t="shared" si="424"/>
        <v>5.6154152993349138E-2</v>
      </c>
      <c r="W1236">
        <f t="shared" si="425"/>
        <v>1.0124621908650598E-2</v>
      </c>
      <c r="X1236">
        <f t="shared" si="426"/>
        <v>9.8302579013064953E-2</v>
      </c>
      <c r="Y1236">
        <f t="shared" si="427"/>
        <v>1.874929983083444E-4</v>
      </c>
      <c r="Z1236">
        <f t="shared" si="428"/>
        <v>3.0936344720876819E-3</v>
      </c>
      <c r="AA1236">
        <f t="shared" si="429"/>
        <v>0.29698965929241072</v>
      </c>
      <c r="AB1236">
        <f t="shared" si="430"/>
        <v>0.14057043807270317</v>
      </c>
      <c r="AC1236">
        <f t="shared" si="431"/>
        <v>0.1556000643100984</v>
      </c>
      <c r="AD1236">
        <f t="shared" si="432"/>
        <v>3.4550272263270164E-3</v>
      </c>
      <c r="AE1236">
        <f t="shared" si="433"/>
        <v>2.1690596241796589E-2</v>
      </c>
      <c r="AG1236">
        <f t="shared" si="434"/>
        <v>-2.5241971164310049</v>
      </c>
      <c r="AH1236">
        <f t="shared" si="435"/>
        <v>0.20089640402491213</v>
      </c>
      <c r="AI1236">
        <f t="shared" si="436"/>
        <v>-0.45199128073889749</v>
      </c>
      <c r="AK1236" s="26">
        <f t="shared" si="437"/>
        <v>4.31185862188673E-2</v>
      </c>
      <c r="AL1236" s="26">
        <f t="shared" si="438"/>
        <v>-8.1958010809104753E-3</v>
      </c>
      <c r="AM1236" s="26">
        <f t="shared" si="439"/>
        <v>-1.3924706769143091E-2</v>
      </c>
      <c r="AN1236" s="26">
        <f t="shared" si="440"/>
        <v>-24.436666666666667</v>
      </c>
      <c r="AO1236" s="26">
        <f t="shared" si="441"/>
        <v>-22.185535714285692</v>
      </c>
      <c r="AP1236" s="26">
        <f t="shared" si="442"/>
        <v>-16.125752212389365</v>
      </c>
      <c r="AS1236" s="2">
        <v>44244</v>
      </c>
      <c r="AT1236">
        <v>13</v>
      </c>
      <c r="AU1236">
        <v>48.8</v>
      </c>
      <c r="AV1236">
        <v>74.900000000000006</v>
      </c>
      <c r="AW1236">
        <v>10.5</v>
      </c>
      <c r="AX1236">
        <v>62.48</v>
      </c>
      <c r="AY1236">
        <v>0.6</v>
      </c>
      <c r="AZ1236">
        <v>3.8</v>
      </c>
      <c r="BA1236">
        <v>270.05369999999999</v>
      </c>
      <c r="BB1236">
        <v>96.490499999999997</v>
      </c>
      <c r="BC1236">
        <v>142.89519999999999</v>
      </c>
      <c r="BD1236">
        <v>3.6996000000000002</v>
      </c>
      <c r="BE1236">
        <v>19.820599999999999</v>
      </c>
      <c r="BF1236">
        <v>-3.1528999999999998</v>
      </c>
      <c r="BG1236">
        <v>-9.0848999999999993</v>
      </c>
      <c r="BH1236">
        <v>39.96</v>
      </c>
    </row>
    <row r="1237" spans="1:60" x14ac:dyDescent="0.25">
      <c r="A1237" s="2">
        <v>44264</v>
      </c>
      <c r="B1237">
        <v>11</v>
      </c>
      <c r="C1237">
        <v>1</v>
      </c>
      <c r="D1237">
        <v>13.9</v>
      </c>
      <c r="E1237">
        <v>6.5</v>
      </c>
      <c r="F1237">
        <v>114.47</v>
      </c>
      <c r="G1237">
        <v>0.2</v>
      </c>
      <c r="H1237">
        <v>3.3</v>
      </c>
      <c r="I1237">
        <v>360.53519999999997</v>
      </c>
      <c r="J1237">
        <v>214.42910000000001</v>
      </c>
      <c r="K1237">
        <v>213.41929999999999</v>
      </c>
      <c r="L1237">
        <v>3.1234999999999999</v>
      </c>
      <c r="M1237">
        <v>28.046399999999998</v>
      </c>
      <c r="N1237">
        <v>-5.4036999999999997</v>
      </c>
      <c r="O1237">
        <v>-12.174300000000001</v>
      </c>
      <c r="P1237">
        <v>33.520000000000003</v>
      </c>
      <c r="S1237">
        <f t="shared" si="421"/>
        <v>969.92349999999999</v>
      </c>
      <c r="T1237">
        <f t="shared" si="422"/>
        <v>1.0312114906958941E-2</v>
      </c>
      <c r="U1237">
        <f t="shared" si="423"/>
        <v>9.3746499154172193E-4</v>
      </c>
      <c r="V1237">
        <f t="shared" si="424"/>
        <v>1.3030763382429936E-2</v>
      </c>
      <c r="W1237">
        <f t="shared" si="425"/>
        <v>6.0935224450211923E-3</v>
      </c>
      <c r="X1237">
        <f t="shared" si="426"/>
        <v>0.1073116175817809</v>
      </c>
      <c r="Y1237">
        <f t="shared" si="427"/>
        <v>1.874929983083444E-4</v>
      </c>
      <c r="Z1237">
        <f t="shared" si="428"/>
        <v>3.0936344720876819E-3</v>
      </c>
      <c r="AA1237">
        <f t="shared" si="429"/>
        <v>0.33798912821849297</v>
      </c>
      <c r="AB1237">
        <f t="shared" si="430"/>
        <v>0.20101977441779906</v>
      </c>
      <c r="AC1237">
        <f t="shared" si="431"/>
        <v>0.20007312226934021</v>
      </c>
      <c r="AD1237">
        <f t="shared" si="432"/>
        <v>2.9281719010805685E-3</v>
      </c>
      <c r="AE1237">
        <f t="shared" si="433"/>
        <v>2.6292518138775749E-2</v>
      </c>
      <c r="AG1237">
        <f t="shared" si="434"/>
        <v>-2.5221542059414328</v>
      </c>
      <c r="AH1237">
        <f t="shared" si="435"/>
        <v>0.16725912891690448</v>
      </c>
      <c r="AI1237">
        <f t="shared" si="436"/>
        <v>-0.65046828945936841</v>
      </c>
      <c r="AK1237" s="26">
        <f t="shared" si="437"/>
        <v>4.3745165498618732E-2</v>
      </c>
      <c r="AL1237" s="26">
        <f t="shared" si="438"/>
        <v>-8.6383682591496258E-3</v>
      </c>
      <c r="AM1237" s="26">
        <f t="shared" si="439"/>
        <v>-1.3824037132507183E-2</v>
      </c>
      <c r="AN1237" s="26">
        <f t="shared" si="440"/>
        <v>-24.457142857142856</v>
      </c>
      <c r="AO1237" s="26">
        <f t="shared" si="441"/>
        <v>-22.073214285714272</v>
      </c>
      <c r="AP1237" s="26">
        <f t="shared" si="442"/>
        <v>-15.938849557522097</v>
      </c>
      <c r="AS1237" s="2">
        <v>44243</v>
      </c>
      <c r="AT1237">
        <v>12.4</v>
      </c>
      <c r="AU1237">
        <v>17.8</v>
      </c>
      <c r="AV1237">
        <v>52.2</v>
      </c>
      <c r="AW1237">
        <v>6.1</v>
      </c>
      <c r="AX1237">
        <v>42.09</v>
      </c>
      <c r="AY1237">
        <v>0.5</v>
      </c>
      <c r="AZ1237">
        <v>3.8</v>
      </c>
      <c r="BA1237">
        <v>342.82089999999999</v>
      </c>
      <c r="BB1237">
        <v>124.6669</v>
      </c>
      <c r="BC1237">
        <v>205.4572</v>
      </c>
      <c r="BD1237">
        <v>3.6819000000000002</v>
      </c>
      <c r="BE1237">
        <v>26.494199999999999</v>
      </c>
      <c r="BF1237">
        <v>-3.4742999999999999</v>
      </c>
      <c r="BG1237">
        <v>-9.3474000000000004</v>
      </c>
      <c r="BH1237">
        <v>40.43</v>
      </c>
    </row>
    <row r="1238" spans="1:60" x14ac:dyDescent="0.25">
      <c r="A1238" s="2">
        <v>44263</v>
      </c>
      <c r="B1238">
        <v>10.3</v>
      </c>
      <c r="C1238">
        <v>0.8</v>
      </c>
      <c r="D1238">
        <v>11.4</v>
      </c>
      <c r="E1238">
        <v>11.2</v>
      </c>
      <c r="F1238">
        <v>159.93</v>
      </c>
      <c r="G1238">
        <v>0.2</v>
      </c>
      <c r="H1238">
        <v>3.1</v>
      </c>
      <c r="I1238">
        <v>377.1857</v>
      </c>
      <c r="J1238">
        <v>167.75370000000001</v>
      </c>
      <c r="K1238">
        <v>194.2517</v>
      </c>
      <c r="L1238">
        <v>3.0907</v>
      </c>
      <c r="M1238">
        <v>31.807200000000002</v>
      </c>
      <c r="N1238">
        <v>-5.7169999999999996</v>
      </c>
      <c r="O1238">
        <v>-12.8428</v>
      </c>
      <c r="P1238">
        <v>33.97</v>
      </c>
      <c r="S1238">
        <f t="shared" si="421"/>
        <v>971.01899999999989</v>
      </c>
      <c r="T1238">
        <f t="shared" si="422"/>
        <v>9.6558894128797364E-3</v>
      </c>
      <c r="U1238">
        <f t="shared" si="423"/>
        <v>7.4997199323337759E-4</v>
      </c>
      <c r="V1238">
        <f t="shared" si="424"/>
        <v>1.0687100903575631E-2</v>
      </c>
      <c r="W1238">
        <f t="shared" si="425"/>
        <v>1.0499607905267284E-2</v>
      </c>
      <c r="X1238">
        <f t="shared" si="426"/>
        <v>0.1499287760972676</v>
      </c>
      <c r="Y1238">
        <f t="shared" si="427"/>
        <v>1.874929983083444E-4</v>
      </c>
      <c r="Z1238">
        <f t="shared" si="428"/>
        <v>2.9061414737793379E-3</v>
      </c>
      <c r="AA1238">
        <f t="shared" si="429"/>
        <v>0.35359838906015845</v>
      </c>
      <c r="AB1238">
        <f t="shared" si="430"/>
        <v>0.15726322095159256</v>
      </c>
      <c r="AC1238">
        <f t="shared" si="431"/>
        <v>0.18210416829746509</v>
      </c>
      <c r="AD1238">
        <f t="shared" si="432"/>
        <v>2.897423049358E-3</v>
      </c>
      <c r="AE1238">
        <f t="shared" si="433"/>
        <v>2.9818136478965859E-2</v>
      </c>
      <c r="AG1238">
        <f t="shared" si="434"/>
        <v>-2.5125929933535667</v>
      </c>
      <c r="AH1238">
        <f t="shared" si="435"/>
        <v>0.21443311726327718</v>
      </c>
      <c r="AI1238">
        <f t="shared" si="436"/>
        <v>-0.37056326784663884</v>
      </c>
      <c r="AK1238" s="26">
        <f t="shared" si="437"/>
        <v>4.6935372257192187E-2</v>
      </c>
      <c r="AL1238" s="26">
        <f t="shared" si="438"/>
        <v>-7.8215365975283779E-3</v>
      </c>
      <c r="AM1238" s="26">
        <f t="shared" si="439"/>
        <v>-1.2766146051844035E-2</v>
      </c>
      <c r="AN1238" s="26">
        <f t="shared" si="440"/>
        <v>-24.470476190476184</v>
      </c>
      <c r="AO1238" s="26">
        <f t="shared" si="441"/>
        <v>-21.955178571428554</v>
      </c>
      <c r="AP1238" s="26">
        <f t="shared" si="442"/>
        <v>-15.75150442477873</v>
      </c>
      <c r="AS1238" s="2">
        <v>44242</v>
      </c>
      <c r="AT1238">
        <v>11.4</v>
      </c>
      <c r="AU1238">
        <v>1.7</v>
      </c>
      <c r="AV1238">
        <v>56.9</v>
      </c>
      <c r="AW1238">
        <v>11.7</v>
      </c>
      <c r="AX1238">
        <v>36.18</v>
      </c>
      <c r="AY1238">
        <v>0.3</v>
      </c>
      <c r="AZ1238">
        <v>3.7</v>
      </c>
      <c r="BA1238">
        <v>311.00299999999999</v>
      </c>
      <c r="BB1238">
        <v>130.63489999999999</v>
      </c>
      <c r="BC1238">
        <v>187.18440000000001</v>
      </c>
      <c r="BD1238">
        <v>3.7271999999999998</v>
      </c>
      <c r="BE1238">
        <v>29.046399999999998</v>
      </c>
      <c r="BF1238">
        <v>-2.8382000000000001</v>
      </c>
      <c r="BG1238">
        <v>-9.3637999999999995</v>
      </c>
      <c r="BH1238">
        <v>41.04</v>
      </c>
    </row>
    <row r="1239" spans="1:60" x14ac:dyDescent="0.25">
      <c r="A1239" s="2">
        <v>44262</v>
      </c>
      <c r="B1239">
        <v>10.7</v>
      </c>
      <c r="C1239">
        <v>0</v>
      </c>
      <c r="D1239">
        <v>58</v>
      </c>
      <c r="E1239">
        <v>22.9</v>
      </c>
      <c r="F1239">
        <v>140.03</v>
      </c>
      <c r="G1239">
        <v>0.2</v>
      </c>
      <c r="H1239">
        <v>3.3</v>
      </c>
      <c r="I1239">
        <v>271.786</v>
      </c>
      <c r="J1239">
        <v>78.248199999999997</v>
      </c>
      <c r="K1239">
        <v>112.95229999999999</v>
      </c>
      <c r="L1239">
        <v>3.1419000000000001</v>
      </c>
      <c r="M1239">
        <v>10.855399999999999</v>
      </c>
      <c r="P1239">
        <v>34.43</v>
      </c>
      <c r="S1239">
        <f t="shared" si="421"/>
        <v>712.11379999999997</v>
      </c>
      <c r="T1239">
        <f t="shared" si="422"/>
        <v>1.0030875409496424E-2</v>
      </c>
      <c r="U1239">
        <f t="shared" si="423"/>
        <v>0</v>
      </c>
      <c r="V1239">
        <f t="shared" si="424"/>
        <v>5.4372969509419868E-2</v>
      </c>
      <c r="W1239">
        <f t="shared" si="425"/>
        <v>2.146794830630543E-2</v>
      </c>
      <c r="X1239">
        <f t="shared" si="426"/>
        <v>0.13127322276558731</v>
      </c>
      <c r="Y1239">
        <f t="shared" si="427"/>
        <v>1.874929983083444E-4</v>
      </c>
      <c r="Z1239">
        <f t="shared" si="428"/>
        <v>3.0936344720876819E-3</v>
      </c>
      <c r="AA1239">
        <f t="shared" si="429"/>
        <v>0.25478986019115846</v>
      </c>
      <c r="AB1239">
        <f t="shared" si="430"/>
        <v>7.3354948151154967E-2</v>
      </c>
      <c r="AC1239">
        <f t="shared" si="431"/>
        <v>0.10588882696411803</v>
      </c>
      <c r="AD1239">
        <f t="shared" si="432"/>
        <v>2.9454212569249363E-3</v>
      </c>
      <c r="AE1239">
        <f t="shared" si="433"/>
        <v>1.0176557469182007E-2</v>
      </c>
      <c r="AG1239">
        <f t="shared" si="434"/>
        <v>-2.5021363667062904</v>
      </c>
      <c r="AH1239">
        <f t="shared" si="435"/>
        <v>0.23060270093038707</v>
      </c>
      <c r="AI1239">
        <f t="shared" si="436"/>
        <v>-0.27442037944656023</v>
      </c>
      <c r="AK1239" s="26">
        <f t="shared" si="437"/>
        <v>4.0864165943088782E-2</v>
      </c>
      <c r="AL1239" s="26">
        <f t="shared" si="438"/>
        <v>-8.8670327110328961E-3</v>
      </c>
      <c r="AM1239" s="26">
        <f t="shared" si="439"/>
        <v>-1.4198352800174174E-2</v>
      </c>
      <c r="AN1239" s="26">
        <f t="shared" si="440"/>
        <v>-24.476190476190482</v>
      </c>
      <c r="AO1239" s="26">
        <f t="shared" si="441"/>
        <v>-21.834285714285699</v>
      </c>
      <c r="AP1239" s="26">
        <f t="shared" si="442"/>
        <v>-15.566725663716795</v>
      </c>
      <c r="AS1239" s="2">
        <v>44241</v>
      </c>
      <c r="AT1239">
        <v>11.8</v>
      </c>
      <c r="AU1239">
        <v>0</v>
      </c>
      <c r="AV1239">
        <v>60.7</v>
      </c>
      <c r="AW1239">
        <v>3.8</v>
      </c>
      <c r="AX1239">
        <v>75.180000000000007</v>
      </c>
      <c r="AY1239">
        <v>0.2</v>
      </c>
      <c r="AZ1239">
        <v>3.6</v>
      </c>
      <c r="BA1239">
        <v>282.93079999999998</v>
      </c>
      <c r="BB1239">
        <v>101.71380000000001</v>
      </c>
      <c r="BC1239">
        <v>143.2869</v>
      </c>
      <c r="BD1239">
        <v>3.7978999999999998</v>
      </c>
      <c r="BE1239">
        <v>9.9343000000000004</v>
      </c>
      <c r="BH1239">
        <v>41.82</v>
      </c>
    </row>
    <row r="1240" spans="1:60" x14ac:dyDescent="0.25">
      <c r="A1240" s="2">
        <v>44261</v>
      </c>
      <c r="B1240">
        <v>11.8</v>
      </c>
      <c r="C1240">
        <v>2</v>
      </c>
      <c r="D1240">
        <v>42.6</v>
      </c>
      <c r="E1240">
        <v>23.6</v>
      </c>
      <c r="F1240">
        <v>172.27</v>
      </c>
      <c r="G1240">
        <v>0.2</v>
      </c>
      <c r="H1240">
        <v>3.6</v>
      </c>
      <c r="I1240">
        <v>291.97539999999998</v>
      </c>
      <c r="J1240">
        <v>84.952600000000004</v>
      </c>
      <c r="K1240">
        <v>138.81200000000001</v>
      </c>
      <c r="L1240">
        <v>3.5387</v>
      </c>
      <c r="M1240">
        <v>18.691099999999999</v>
      </c>
      <c r="P1240">
        <v>34.75</v>
      </c>
      <c r="S1240">
        <f t="shared" si="421"/>
        <v>794.0397999999999</v>
      </c>
      <c r="T1240">
        <f t="shared" si="422"/>
        <v>1.1062086900192319E-2</v>
      </c>
      <c r="U1240">
        <f t="shared" si="423"/>
        <v>1.8749299830834439E-3</v>
      </c>
      <c r="V1240">
        <f t="shared" si="424"/>
        <v>3.9936008639677355E-2</v>
      </c>
      <c r="W1240">
        <f t="shared" si="425"/>
        <v>2.2124173800384637E-2</v>
      </c>
      <c r="X1240">
        <f t="shared" si="426"/>
        <v>0.16149709409289245</v>
      </c>
      <c r="Y1240">
        <f t="shared" si="427"/>
        <v>1.874929983083444E-4</v>
      </c>
      <c r="Z1240">
        <f t="shared" si="428"/>
        <v>3.3748739695501988E-3</v>
      </c>
      <c r="AA1240">
        <f t="shared" si="429"/>
        <v>0.27371671589139085</v>
      </c>
      <c r="AB1240">
        <f t="shared" si="430"/>
        <v>7.9640088440447288E-2</v>
      </c>
      <c r="AC1240">
        <f t="shared" si="431"/>
        <v>0.1301313904058895</v>
      </c>
      <c r="AD1240">
        <f t="shared" si="432"/>
        <v>3.3174073655686913E-3</v>
      </c>
      <c r="AE1240">
        <f t="shared" si="433"/>
        <v>1.7522251903405478E-2</v>
      </c>
      <c r="AG1240">
        <f t="shared" si="434"/>
        <v>-2.5001147383174191</v>
      </c>
      <c r="AH1240">
        <f t="shared" si="435"/>
        <v>0.25757891228749419</v>
      </c>
      <c r="AI1240">
        <f t="shared" si="436"/>
        <v>-0.11293091537650467</v>
      </c>
      <c r="AK1240" s="26">
        <f t="shared" si="437"/>
        <v>3.9211589263641988E-2</v>
      </c>
      <c r="AL1240" s="26">
        <f t="shared" si="438"/>
        <v>-1.0167639833449982E-2</v>
      </c>
      <c r="AM1240" s="26">
        <f t="shared" si="439"/>
        <v>-1.4668227675850687E-2</v>
      </c>
      <c r="AN1240" s="26">
        <f t="shared" si="440"/>
        <v>-24.467619047619038</v>
      </c>
      <c r="AO1240" s="26">
        <f t="shared" si="441"/>
        <v>-21.709999999999987</v>
      </c>
      <c r="AP1240" s="26">
        <f t="shared" si="442"/>
        <v>-15.38601769911503</v>
      </c>
      <c r="AS1240" s="2">
        <v>44240</v>
      </c>
      <c r="AT1240">
        <v>12.8</v>
      </c>
      <c r="AU1240">
        <v>0</v>
      </c>
      <c r="AV1240">
        <v>9.6999999999999993</v>
      </c>
      <c r="AW1240">
        <v>1.6</v>
      </c>
      <c r="AX1240">
        <v>62.87</v>
      </c>
      <c r="AY1240">
        <v>0.2</v>
      </c>
      <c r="AZ1240">
        <v>3.5</v>
      </c>
      <c r="BA1240">
        <v>313.33359999999999</v>
      </c>
      <c r="BB1240">
        <v>170.55889999999999</v>
      </c>
      <c r="BC1240">
        <v>217.209</v>
      </c>
      <c r="BD1240">
        <v>3.7827000000000002</v>
      </c>
      <c r="BE1240">
        <v>22.3215</v>
      </c>
      <c r="BH1240">
        <v>42.59</v>
      </c>
    </row>
    <row r="1241" spans="1:60" x14ac:dyDescent="0.25">
      <c r="A1241" s="2">
        <v>44260</v>
      </c>
      <c r="B1241">
        <v>12.3</v>
      </c>
      <c r="C1241">
        <v>19</v>
      </c>
      <c r="D1241">
        <v>21.6</v>
      </c>
      <c r="E1241">
        <v>13.3</v>
      </c>
      <c r="F1241">
        <v>116.45</v>
      </c>
      <c r="G1241">
        <v>0.2</v>
      </c>
      <c r="H1241">
        <v>3.3</v>
      </c>
      <c r="I1241">
        <v>337.38560000000001</v>
      </c>
      <c r="J1241">
        <v>120.3103</v>
      </c>
      <c r="K1241">
        <v>199.17789999999999</v>
      </c>
      <c r="L1241">
        <v>3.5828000000000002</v>
      </c>
      <c r="M1241">
        <v>23.210599999999999</v>
      </c>
      <c r="N1241">
        <v>-6.6139999999999999</v>
      </c>
      <c r="O1241">
        <v>-13.572100000000001</v>
      </c>
      <c r="P1241">
        <v>35.06</v>
      </c>
      <c r="S1241">
        <f t="shared" si="421"/>
        <v>869.81720000000007</v>
      </c>
      <c r="T1241">
        <f t="shared" si="422"/>
        <v>1.153081939596318E-2</v>
      </c>
      <c r="U1241">
        <f t="shared" si="423"/>
        <v>1.7811834839292717E-2</v>
      </c>
      <c r="V1241">
        <f t="shared" si="424"/>
        <v>2.0249243817301196E-2</v>
      </c>
      <c r="W1241">
        <f t="shared" si="425"/>
        <v>1.2468284387504903E-2</v>
      </c>
      <c r="X1241">
        <f t="shared" si="426"/>
        <v>0.10916779826503352</v>
      </c>
      <c r="Y1241">
        <f t="shared" si="427"/>
        <v>1.874929983083444E-4</v>
      </c>
      <c r="Z1241">
        <f t="shared" si="428"/>
        <v>3.0936344720876819E-3</v>
      </c>
      <c r="AA1241">
        <f t="shared" si="429"/>
        <v>0.31628718865029876</v>
      </c>
      <c r="AB1241">
        <f t="shared" si="430"/>
        <v>0.11278669437188202</v>
      </c>
      <c r="AC1241">
        <f t="shared" si="431"/>
        <v>0.18672230833879794</v>
      </c>
      <c r="AD1241">
        <f t="shared" si="432"/>
        <v>3.3587495716956815E-3</v>
      </c>
      <c r="AE1241">
        <f t="shared" si="433"/>
        <v>2.175912493267829E-2</v>
      </c>
      <c r="AG1241">
        <f t="shared" si="434"/>
        <v>-2.4986213468773908</v>
      </c>
      <c r="AH1241">
        <f t="shared" si="435"/>
        <v>0.19626823310816982</v>
      </c>
      <c r="AI1241">
        <f t="shared" si="436"/>
        <v>-0.4742636664053449</v>
      </c>
      <c r="AK1241" s="26">
        <f t="shared" si="437"/>
        <v>3.183892262237617E-2</v>
      </c>
      <c r="AL1241" s="26">
        <f t="shared" si="438"/>
        <v>-1.3413081694516188E-2</v>
      </c>
      <c r="AM1241" s="26">
        <f t="shared" si="439"/>
        <v>-1.5798542489993128E-2</v>
      </c>
      <c r="AN1241" s="26">
        <f t="shared" si="440"/>
        <v>-24.440952380952382</v>
      </c>
      <c r="AO1241" s="26">
        <f t="shared" si="441"/>
        <v>-21.579107142857133</v>
      </c>
      <c r="AP1241" s="26">
        <f t="shared" si="442"/>
        <v>-15.206637168141583</v>
      </c>
      <c r="AS1241" s="2">
        <v>44239</v>
      </c>
      <c r="AT1241">
        <v>13.8</v>
      </c>
      <c r="AU1241">
        <v>0</v>
      </c>
      <c r="AV1241">
        <v>43.6</v>
      </c>
      <c r="AW1241">
        <v>2.2999999999999998</v>
      </c>
      <c r="AX1241">
        <v>49.35</v>
      </c>
      <c r="AY1241">
        <v>0.2</v>
      </c>
      <c r="AZ1241">
        <v>3.5</v>
      </c>
      <c r="BA1241">
        <v>319.9384</v>
      </c>
      <c r="BB1241">
        <v>221.501</v>
      </c>
      <c r="BC1241">
        <v>250.5326</v>
      </c>
      <c r="BD1241">
        <v>3.8012999999999999</v>
      </c>
      <c r="BE1241">
        <v>21.9849</v>
      </c>
      <c r="BF1241">
        <v>-3.0848</v>
      </c>
      <c r="BG1241">
        <v>-9.1082999999999998</v>
      </c>
      <c r="BH1241">
        <v>43.44</v>
      </c>
    </row>
    <row r="1242" spans="1:60" x14ac:dyDescent="0.25">
      <c r="A1242" s="2">
        <v>44259</v>
      </c>
      <c r="B1242">
        <v>12.6</v>
      </c>
      <c r="C1242">
        <v>0</v>
      </c>
      <c r="D1242">
        <v>38.4</v>
      </c>
      <c r="E1242">
        <v>16</v>
      </c>
      <c r="F1242">
        <v>75.760000000000005</v>
      </c>
      <c r="G1242">
        <v>0.2</v>
      </c>
      <c r="H1242">
        <v>2.9</v>
      </c>
      <c r="I1242">
        <v>344.31139999999999</v>
      </c>
      <c r="J1242">
        <v>147.20519999999999</v>
      </c>
      <c r="K1242">
        <v>188.45599999999999</v>
      </c>
      <c r="L1242">
        <v>3.5996999999999999</v>
      </c>
      <c r="M1242">
        <v>28.642499999999998</v>
      </c>
      <c r="N1242">
        <v>-6.2808999999999999</v>
      </c>
      <c r="O1242">
        <v>-13.7683</v>
      </c>
      <c r="P1242">
        <v>35.47</v>
      </c>
      <c r="S1242">
        <f t="shared" si="421"/>
        <v>858.07479999999998</v>
      </c>
      <c r="T1242">
        <f t="shared" si="422"/>
        <v>1.1812058893425697E-2</v>
      </c>
      <c r="U1242">
        <f t="shared" si="423"/>
        <v>0</v>
      </c>
      <c r="V1242">
        <f t="shared" si="424"/>
        <v>3.5998655675202121E-2</v>
      </c>
      <c r="W1242">
        <f t="shared" si="425"/>
        <v>1.4999439864667551E-2</v>
      </c>
      <c r="X1242">
        <f t="shared" si="426"/>
        <v>7.1022347759200855E-2</v>
      </c>
      <c r="Y1242">
        <f t="shared" si="427"/>
        <v>1.874929983083444E-4</v>
      </c>
      <c r="Z1242">
        <f t="shared" si="428"/>
        <v>2.7186484754709935E-3</v>
      </c>
      <c r="AA1242">
        <f t="shared" si="429"/>
        <v>0.32277988368871841</v>
      </c>
      <c r="AB1242">
        <f t="shared" si="430"/>
        <v>0.13799972157289747</v>
      </c>
      <c r="AC1242">
        <f t="shared" si="431"/>
        <v>0.17667090244598674</v>
      </c>
      <c r="AD1242">
        <f t="shared" si="432"/>
        <v>3.3745927300527362E-3</v>
      </c>
      <c r="AE1242">
        <f t="shared" si="433"/>
        <v>2.6851341020233767E-2</v>
      </c>
      <c r="AG1242">
        <f t="shared" si="434"/>
        <v>-2.4907464095658005</v>
      </c>
      <c r="AH1242">
        <f t="shared" si="435"/>
        <v>0.16358998468650929</v>
      </c>
      <c r="AI1242">
        <f t="shared" si="436"/>
        <v>-0.66653754494391149</v>
      </c>
      <c r="AK1242" s="26">
        <f t="shared" si="437"/>
        <v>2.7763588203502998E-2</v>
      </c>
      <c r="AL1242" s="26">
        <f t="shared" si="438"/>
        <v>-1.4946575209367763E-2</v>
      </c>
      <c r="AM1242" s="26">
        <f t="shared" si="439"/>
        <v>-1.6354434341526281E-2</v>
      </c>
      <c r="AN1242" s="26">
        <f t="shared" si="440"/>
        <v>-24.391904761904762</v>
      </c>
      <c r="AO1242" s="26">
        <f t="shared" si="441"/>
        <v>-21.440357142857131</v>
      </c>
      <c r="AP1242" s="26">
        <f t="shared" si="442"/>
        <v>-15.026017699115044</v>
      </c>
      <c r="AS1242" s="2">
        <v>44238</v>
      </c>
      <c r="AT1242">
        <v>14.8</v>
      </c>
      <c r="AU1242">
        <v>0</v>
      </c>
      <c r="AV1242">
        <v>26.7</v>
      </c>
      <c r="AW1242">
        <v>2.1</v>
      </c>
      <c r="AX1242">
        <v>28.54</v>
      </c>
      <c r="AY1242">
        <v>0.2</v>
      </c>
      <c r="AZ1242">
        <v>3</v>
      </c>
      <c r="BA1242">
        <v>352.37560000000002</v>
      </c>
      <c r="BB1242">
        <v>243.39519999999999</v>
      </c>
      <c r="BC1242">
        <v>256.86470000000003</v>
      </c>
      <c r="BD1242">
        <v>4.2941000000000003</v>
      </c>
      <c r="BE1242">
        <v>26.775500000000001</v>
      </c>
      <c r="BF1242">
        <v>-2.0341999999999998</v>
      </c>
      <c r="BG1242">
        <v>-7.9714999999999998</v>
      </c>
      <c r="BH1242">
        <v>44.35</v>
      </c>
    </row>
    <row r="1243" spans="1:60" x14ac:dyDescent="0.25">
      <c r="A1243" s="2">
        <v>44258</v>
      </c>
      <c r="B1243">
        <v>12.1</v>
      </c>
      <c r="C1243">
        <v>2</v>
      </c>
      <c r="D1243">
        <v>7</v>
      </c>
      <c r="E1243">
        <v>12.1</v>
      </c>
      <c r="F1243">
        <v>126.39</v>
      </c>
      <c r="G1243">
        <v>0.2</v>
      </c>
      <c r="H1243">
        <v>3</v>
      </c>
      <c r="I1243">
        <v>341.84969999999998</v>
      </c>
      <c r="J1243">
        <v>171.05709999999999</v>
      </c>
      <c r="K1243">
        <v>188.39660000000001</v>
      </c>
      <c r="L1243">
        <v>3.9138000000000002</v>
      </c>
      <c r="M1243">
        <v>27.695900000000002</v>
      </c>
      <c r="N1243">
        <v>-5.6147999999999998</v>
      </c>
      <c r="O1243">
        <v>-13.9246</v>
      </c>
      <c r="P1243">
        <v>35.85</v>
      </c>
      <c r="S1243">
        <f t="shared" si="421"/>
        <v>895.70310000000006</v>
      </c>
      <c r="T1243">
        <f t="shared" si="422"/>
        <v>1.1343326397654835E-2</v>
      </c>
      <c r="U1243">
        <f t="shared" si="423"/>
        <v>1.8749299830834439E-3</v>
      </c>
      <c r="V1243">
        <f t="shared" si="424"/>
        <v>6.5622549407920536E-3</v>
      </c>
      <c r="W1243">
        <f t="shared" si="425"/>
        <v>1.1343326397654835E-2</v>
      </c>
      <c r="X1243">
        <f t="shared" si="426"/>
        <v>0.11848620028095823</v>
      </c>
      <c r="Y1243">
        <f t="shared" si="427"/>
        <v>1.874929983083444E-4</v>
      </c>
      <c r="Z1243">
        <f t="shared" si="428"/>
        <v>2.8123949746251659E-3</v>
      </c>
      <c r="AA1243">
        <f t="shared" si="429"/>
        <v>0.32047212611904013</v>
      </c>
      <c r="AB1243">
        <f t="shared" si="430"/>
        <v>0.16036004280465146</v>
      </c>
      <c r="AC1243">
        <f t="shared" si="431"/>
        <v>0.17661521702548919</v>
      </c>
      <c r="AD1243">
        <f t="shared" si="432"/>
        <v>3.6690504838959915E-3</v>
      </c>
      <c r="AE1243">
        <f t="shared" si="433"/>
        <v>2.5963936659240378E-2</v>
      </c>
      <c r="AG1243">
        <f t="shared" si="434"/>
        <v>-2.4845787270236364</v>
      </c>
      <c r="AH1243">
        <f t="shared" si="435"/>
        <v>0.17857386263231725</v>
      </c>
      <c r="AI1243">
        <f t="shared" si="436"/>
        <v>-0.57750003018824492</v>
      </c>
      <c r="AK1243" s="26">
        <f t="shared" si="437"/>
        <v>2.2263931974147444E-2</v>
      </c>
      <c r="AL1243" s="26">
        <f t="shared" si="438"/>
        <v>-1.6271091037158403E-2</v>
      </c>
      <c r="AM1243" s="26">
        <f t="shared" si="439"/>
        <v>-1.7079167786111266E-2</v>
      </c>
      <c r="AN1243" s="26">
        <f t="shared" si="440"/>
        <v>-24.32714285714286</v>
      </c>
      <c r="AO1243" s="26">
        <f t="shared" si="441"/>
        <v>-21.292321428571434</v>
      </c>
      <c r="AP1243" s="26">
        <f t="shared" si="442"/>
        <v>-14.845044247787612</v>
      </c>
      <c r="AS1243" s="2">
        <v>44237</v>
      </c>
      <c r="AT1243">
        <v>14.8</v>
      </c>
      <c r="AU1243">
        <v>3.9</v>
      </c>
      <c r="AV1243">
        <v>58.4</v>
      </c>
      <c r="AW1243">
        <v>2.8</v>
      </c>
      <c r="AX1243">
        <v>15.4</v>
      </c>
      <c r="AY1243">
        <v>0.2</v>
      </c>
      <c r="AZ1243">
        <v>2.9</v>
      </c>
      <c r="BA1243">
        <v>364.3338</v>
      </c>
      <c r="BB1243">
        <v>232.8501</v>
      </c>
      <c r="BC1243">
        <v>231.3176</v>
      </c>
      <c r="BD1243">
        <v>5.6025</v>
      </c>
      <c r="BE1243">
        <v>33.583799999999997</v>
      </c>
      <c r="BF1243">
        <v>-2.6604999999999999</v>
      </c>
      <c r="BG1243">
        <v>-7.3535000000000004</v>
      </c>
      <c r="BH1243">
        <v>45.25</v>
      </c>
    </row>
    <row r="1244" spans="1:60" x14ac:dyDescent="0.25">
      <c r="A1244" s="2">
        <v>44257</v>
      </c>
      <c r="B1244">
        <v>11.7</v>
      </c>
      <c r="C1244">
        <v>0</v>
      </c>
      <c r="D1244">
        <v>12.7</v>
      </c>
      <c r="E1244">
        <v>4.3</v>
      </c>
      <c r="F1244">
        <v>178.08</v>
      </c>
      <c r="G1244">
        <v>0.1</v>
      </c>
      <c r="H1244">
        <v>3.2</v>
      </c>
      <c r="I1244">
        <v>334.7559</v>
      </c>
      <c r="J1244">
        <v>138.10470000000001</v>
      </c>
      <c r="K1244">
        <v>195.78110000000001</v>
      </c>
      <c r="L1244">
        <v>3.5276999999999998</v>
      </c>
      <c r="M1244">
        <v>27.299900000000001</v>
      </c>
      <c r="N1244">
        <v>-6.3428000000000004</v>
      </c>
      <c r="O1244">
        <v>-14.481299999999999</v>
      </c>
      <c r="P1244">
        <v>36.19</v>
      </c>
      <c r="S1244">
        <f t="shared" si="421"/>
        <v>909.54930000000002</v>
      </c>
      <c r="T1244">
        <f t="shared" si="422"/>
        <v>1.0968340401038145E-2</v>
      </c>
      <c r="U1244">
        <f t="shared" si="423"/>
        <v>0</v>
      </c>
      <c r="V1244">
        <f t="shared" si="424"/>
        <v>1.1905805392579868E-2</v>
      </c>
      <c r="W1244">
        <f t="shared" si="425"/>
        <v>4.0310994636294038E-3</v>
      </c>
      <c r="X1244">
        <f t="shared" si="426"/>
        <v>0.16694376569374986</v>
      </c>
      <c r="Y1244">
        <f t="shared" si="427"/>
        <v>9.3746499154172199E-5</v>
      </c>
      <c r="Z1244">
        <f t="shared" si="428"/>
        <v>2.9998879729335104E-3</v>
      </c>
      <c r="AA1244">
        <f t="shared" si="429"/>
        <v>0.31382193696204153</v>
      </c>
      <c r="AB1244">
        <f t="shared" si="430"/>
        <v>0.12946832141737205</v>
      </c>
      <c r="AC1244">
        <f t="shared" si="431"/>
        <v>0.18353792725552903</v>
      </c>
      <c r="AD1244">
        <f t="shared" si="432"/>
        <v>3.3070952506617322E-3</v>
      </c>
      <c r="AE1244">
        <f t="shared" si="433"/>
        <v>2.5592700522589856E-2</v>
      </c>
      <c r="AG1244">
        <f t="shared" si="434"/>
        <v>-2.4808061907684551</v>
      </c>
      <c r="AH1244">
        <f t="shared" si="435"/>
        <v>0.22253534594567481</v>
      </c>
      <c r="AI1244">
        <f t="shared" si="436"/>
        <v>-0.31640888187406474</v>
      </c>
      <c r="AK1244" s="26">
        <f t="shared" si="437"/>
        <v>1.9509351804786385E-2</v>
      </c>
      <c r="AL1244" s="26">
        <f t="shared" si="438"/>
        <v>-1.7324165550692744E-2</v>
      </c>
      <c r="AM1244" s="26">
        <f t="shared" si="439"/>
        <v>-1.718857492831441E-2</v>
      </c>
      <c r="AN1244" s="26">
        <f t="shared" si="440"/>
        <v>-24.234761904761903</v>
      </c>
      <c r="AO1244" s="26">
        <f t="shared" si="441"/>
        <v>-21.137678571428587</v>
      </c>
      <c r="AP1244" s="26">
        <f t="shared" si="442"/>
        <v>-14.663008849557514</v>
      </c>
      <c r="AS1244" s="2">
        <v>44236</v>
      </c>
      <c r="AT1244">
        <v>14.9</v>
      </c>
      <c r="AU1244">
        <v>4.5999999999999996</v>
      </c>
      <c r="AV1244">
        <v>86.9</v>
      </c>
      <c r="AW1244">
        <v>4.9000000000000004</v>
      </c>
      <c r="AX1244">
        <v>13.49</v>
      </c>
      <c r="AY1244">
        <v>0.2</v>
      </c>
      <c r="AZ1244">
        <v>3.2</v>
      </c>
      <c r="BA1244">
        <v>355.9545</v>
      </c>
      <c r="BB1244">
        <v>231.66050000000001</v>
      </c>
      <c r="BC1244">
        <v>229.05619999999999</v>
      </c>
      <c r="BD1244">
        <v>5.7000999999999999</v>
      </c>
      <c r="BE1244">
        <v>34.394100000000002</v>
      </c>
      <c r="BF1244">
        <v>-2.4468000000000001</v>
      </c>
      <c r="BG1244">
        <v>-6.3800999999999997</v>
      </c>
      <c r="BH1244">
        <v>46.15</v>
      </c>
    </row>
    <row r="1245" spans="1:60" x14ac:dyDescent="0.25">
      <c r="A1245" s="2">
        <v>44256</v>
      </c>
      <c r="B1245">
        <v>11</v>
      </c>
      <c r="C1245">
        <v>1.5</v>
      </c>
      <c r="D1245">
        <v>3.5</v>
      </c>
      <c r="E1245">
        <v>5.4</v>
      </c>
      <c r="F1245">
        <v>145.54</v>
      </c>
      <c r="G1245">
        <v>0.1</v>
      </c>
      <c r="H1245">
        <v>2.9</v>
      </c>
      <c r="I1245">
        <v>321.81060000000002</v>
      </c>
      <c r="J1245">
        <v>121.80500000000001</v>
      </c>
      <c r="K1245">
        <v>158.93459999999999</v>
      </c>
      <c r="L1245">
        <v>3.5251000000000001</v>
      </c>
      <c r="M1245">
        <v>34.351900000000001</v>
      </c>
      <c r="N1245">
        <v>-6.4961000000000002</v>
      </c>
      <c r="O1245">
        <v>-13.272500000000001</v>
      </c>
      <c r="P1245">
        <v>36.5</v>
      </c>
      <c r="S1245">
        <f t="shared" si="421"/>
        <v>810.36719999999991</v>
      </c>
      <c r="T1245">
        <f t="shared" si="422"/>
        <v>1.0312114906958941E-2</v>
      </c>
      <c r="U1245">
        <f t="shared" si="423"/>
        <v>1.406197487312583E-3</v>
      </c>
      <c r="V1245">
        <f t="shared" si="424"/>
        <v>3.2811274703960268E-3</v>
      </c>
      <c r="W1245">
        <f t="shared" si="425"/>
        <v>5.0623109543252989E-3</v>
      </c>
      <c r="X1245">
        <f t="shared" si="426"/>
        <v>0.13643865486898221</v>
      </c>
      <c r="Y1245">
        <f t="shared" si="427"/>
        <v>9.3746499154172199E-5</v>
      </c>
      <c r="Z1245">
        <f t="shared" si="428"/>
        <v>2.7186484754709935E-3</v>
      </c>
      <c r="AA1245">
        <f t="shared" si="429"/>
        <v>0.30168617140703646</v>
      </c>
      <c r="AB1245">
        <f t="shared" si="430"/>
        <v>0.11418792329473944</v>
      </c>
      <c r="AC1245">
        <f t="shared" si="431"/>
        <v>0.14899562344468695</v>
      </c>
      <c r="AD1245">
        <f t="shared" si="432"/>
        <v>3.3046578416837239E-3</v>
      </c>
      <c r="AE1245">
        <f t="shared" si="433"/>
        <v>3.2203703642942075E-2</v>
      </c>
      <c r="AG1245">
        <f t="shared" si="434"/>
        <v>-2.4788631341857035</v>
      </c>
      <c r="AH1245">
        <f t="shared" si="435"/>
        <v>0.19151650430554229</v>
      </c>
      <c r="AI1245">
        <f t="shared" si="436"/>
        <v>-0.49881028963117308</v>
      </c>
      <c r="AK1245" s="26">
        <f t="shared" si="437"/>
        <v>1.8459949029135586E-2</v>
      </c>
      <c r="AL1245" s="26">
        <f t="shared" si="438"/>
        <v>-1.8009159501699873E-2</v>
      </c>
      <c r="AM1245" s="26">
        <f t="shared" si="439"/>
        <v>-1.6680943442699769E-2</v>
      </c>
      <c r="AN1245" s="26">
        <f t="shared" si="440"/>
        <v>-24.111428571428569</v>
      </c>
      <c r="AO1245" s="26">
        <f t="shared" si="441"/>
        <v>-20.976964285714281</v>
      </c>
      <c r="AP1245" s="26">
        <f t="shared" si="442"/>
        <v>-14.478053097345125</v>
      </c>
      <c r="AS1245" s="2">
        <v>44235</v>
      </c>
      <c r="AT1245">
        <v>14.6</v>
      </c>
      <c r="AU1245">
        <v>3.2</v>
      </c>
      <c r="AV1245">
        <v>74.5</v>
      </c>
      <c r="AW1245">
        <v>9.9</v>
      </c>
      <c r="AX1245">
        <v>22.35</v>
      </c>
      <c r="AY1245">
        <v>0.2</v>
      </c>
      <c r="AZ1245">
        <v>3.1</v>
      </c>
      <c r="BA1245">
        <v>303.96339999999998</v>
      </c>
      <c r="BB1245">
        <v>159.5249</v>
      </c>
      <c r="BC1245">
        <v>181.91640000000001</v>
      </c>
      <c r="BD1245">
        <v>3.8376999999999999</v>
      </c>
      <c r="BE1245">
        <v>31.520499999999998</v>
      </c>
      <c r="BF1245">
        <v>-4.7150999999999996</v>
      </c>
      <c r="BG1245">
        <v>-6.6787999999999998</v>
      </c>
      <c r="BH1245">
        <v>47.04</v>
      </c>
    </row>
    <row r="1246" spans="1:60" x14ac:dyDescent="0.25">
      <c r="A1246" s="2">
        <v>44255</v>
      </c>
      <c r="B1246">
        <v>11.6</v>
      </c>
      <c r="C1246">
        <v>0</v>
      </c>
      <c r="D1246">
        <v>9.5</v>
      </c>
      <c r="E1246">
        <v>2.6</v>
      </c>
      <c r="F1246">
        <v>150.22999999999999</v>
      </c>
      <c r="G1246">
        <v>0.2</v>
      </c>
      <c r="H1246">
        <v>3.2</v>
      </c>
      <c r="I1246">
        <v>221.89449999999999</v>
      </c>
      <c r="J1246">
        <v>63.071899999999999</v>
      </c>
      <c r="K1246">
        <v>71.3185</v>
      </c>
      <c r="L1246">
        <v>3.528</v>
      </c>
      <c r="M1246">
        <v>12.6515</v>
      </c>
      <c r="P1246">
        <v>36.86</v>
      </c>
      <c r="S1246">
        <f t="shared" si="421"/>
        <v>549.7944</v>
      </c>
      <c r="T1246">
        <f t="shared" si="422"/>
        <v>1.0874593901883974E-2</v>
      </c>
      <c r="U1246">
        <f t="shared" si="423"/>
        <v>0</v>
      </c>
      <c r="V1246">
        <f t="shared" si="424"/>
        <v>8.9059174196463586E-3</v>
      </c>
      <c r="W1246">
        <f t="shared" si="425"/>
        <v>2.437408978008477E-3</v>
      </c>
      <c r="X1246">
        <f t="shared" si="426"/>
        <v>0.14083536567931287</v>
      </c>
      <c r="Y1246">
        <f t="shared" si="427"/>
        <v>1.874929983083444E-4</v>
      </c>
      <c r="Z1246">
        <f t="shared" si="428"/>
        <v>2.9998879729335104E-3</v>
      </c>
      <c r="AA1246">
        <f t="shared" si="429"/>
        <v>0.20801832556565461</v>
      </c>
      <c r="AB1246">
        <f t="shared" si="430"/>
        <v>5.9127698200020333E-2</v>
      </c>
      <c r="AC1246">
        <f t="shared" si="431"/>
        <v>6.6858596999268299E-2</v>
      </c>
      <c r="AD1246">
        <f t="shared" si="432"/>
        <v>3.3073764901591948E-3</v>
      </c>
      <c r="AE1246">
        <f t="shared" si="433"/>
        <v>1.1860338340490096E-2</v>
      </c>
      <c r="AG1246">
        <f t="shared" si="434"/>
        <v>-2.4736327473792712</v>
      </c>
      <c r="AH1246">
        <f t="shared" si="435"/>
        <v>0.17810100529058365</v>
      </c>
      <c r="AI1246">
        <f t="shared" si="436"/>
        <v>-0.57845992093445353</v>
      </c>
      <c r="AK1246" s="26">
        <f t="shared" si="437"/>
        <v>1.6086600158882469E-2</v>
      </c>
      <c r="AL1246" s="26">
        <f t="shared" si="438"/>
        <v>-1.8243463809934052E-2</v>
      </c>
      <c r="AM1246" s="26">
        <f t="shared" si="439"/>
        <v>-1.657943423564659E-2</v>
      </c>
      <c r="AN1246" s="26">
        <f t="shared" si="440"/>
        <v>-23.964285714285722</v>
      </c>
      <c r="AO1246" s="26">
        <f t="shared" si="441"/>
        <v>-20.810357142857164</v>
      </c>
      <c r="AP1246" s="26">
        <f t="shared" si="442"/>
        <v>-14.29247787610619</v>
      </c>
      <c r="AS1246" s="2">
        <v>44234</v>
      </c>
      <c r="AT1246">
        <v>12.8</v>
      </c>
      <c r="AU1246">
        <v>0</v>
      </c>
      <c r="AV1246">
        <v>53.4</v>
      </c>
      <c r="AW1246">
        <v>14.4</v>
      </c>
      <c r="AX1246">
        <v>16.309999999999999</v>
      </c>
      <c r="AY1246">
        <v>0.3</v>
      </c>
      <c r="AZ1246">
        <v>2.9</v>
      </c>
      <c r="BA1246">
        <v>130.65559999999999</v>
      </c>
      <c r="BB1246">
        <v>78.442499999999995</v>
      </c>
      <c r="BC1246">
        <v>81.901499999999999</v>
      </c>
      <c r="BD1246">
        <v>3.7989000000000002</v>
      </c>
      <c r="BE1246">
        <v>18.153500000000001</v>
      </c>
      <c r="BH1246">
        <v>47.87</v>
      </c>
    </row>
    <row r="1247" spans="1:60" x14ac:dyDescent="0.25">
      <c r="A1247" s="2">
        <v>44254</v>
      </c>
      <c r="B1247">
        <v>11.7</v>
      </c>
      <c r="C1247">
        <v>1</v>
      </c>
      <c r="D1247">
        <v>21.1</v>
      </c>
      <c r="E1247">
        <v>3.3</v>
      </c>
      <c r="F1247">
        <v>99.7</v>
      </c>
      <c r="G1247">
        <v>0.2</v>
      </c>
      <c r="H1247">
        <v>3.1</v>
      </c>
      <c r="I1247">
        <v>239.84479999999999</v>
      </c>
      <c r="J1247">
        <v>57.302999999999997</v>
      </c>
      <c r="K1247">
        <v>120.3783</v>
      </c>
      <c r="L1247">
        <v>3.5285000000000002</v>
      </c>
      <c r="M1247">
        <v>14.8706</v>
      </c>
      <c r="P1247">
        <v>37.11</v>
      </c>
      <c r="S1247">
        <f t="shared" si="421"/>
        <v>576.02519999999993</v>
      </c>
      <c r="T1247">
        <f t="shared" si="422"/>
        <v>1.0968340401038145E-2</v>
      </c>
      <c r="U1247">
        <f t="shared" si="423"/>
        <v>9.3746499154172193E-4</v>
      </c>
      <c r="V1247">
        <f t="shared" si="424"/>
        <v>1.9780511321530334E-2</v>
      </c>
      <c r="W1247">
        <f t="shared" si="425"/>
        <v>3.0936344720876819E-3</v>
      </c>
      <c r="X1247">
        <f t="shared" si="426"/>
        <v>9.3465259656709682E-2</v>
      </c>
      <c r="Y1247">
        <f t="shared" si="427"/>
        <v>1.874929983083444E-4</v>
      </c>
      <c r="Z1247">
        <f t="shared" si="428"/>
        <v>2.9061414737793379E-3</v>
      </c>
      <c r="AA1247">
        <f t="shared" si="429"/>
        <v>0.22484610340332598</v>
      </c>
      <c r="AB1247">
        <f t="shared" si="430"/>
        <v>5.371955641031529E-2</v>
      </c>
      <c r="AC1247">
        <f t="shared" si="431"/>
        <v>0.11285044199130685</v>
      </c>
      <c r="AD1247">
        <f t="shared" si="432"/>
        <v>3.3078452226549659E-3</v>
      </c>
      <c r="AE1247">
        <f t="shared" si="433"/>
        <v>1.3940666903220329E-2</v>
      </c>
      <c r="AG1247">
        <f t="shared" si="434"/>
        <v>-2.4753801707017766</v>
      </c>
      <c r="AH1247">
        <f t="shared" si="435"/>
        <v>0.14527951221821558</v>
      </c>
      <c r="AI1247">
        <f t="shared" si="436"/>
        <v>-0.77251683264798909</v>
      </c>
      <c r="AK1247" s="26">
        <f t="shared" si="437"/>
        <v>1.5313637952761305E-2</v>
      </c>
      <c r="AL1247" s="26">
        <f t="shared" si="438"/>
        <v>-1.6526247245275849E-2</v>
      </c>
      <c r="AM1247" s="26">
        <f t="shared" si="439"/>
        <v>-1.4365054816046191E-2</v>
      </c>
      <c r="AN1247" s="26">
        <f t="shared" si="440"/>
        <v>-23.80380952380952</v>
      </c>
      <c r="AO1247" s="26">
        <f t="shared" si="441"/>
        <v>-20.642142857142872</v>
      </c>
      <c r="AP1247" s="26">
        <f t="shared" si="442"/>
        <v>-14.108584070796468</v>
      </c>
      <c r="AS1247" s="2">
        <v>44233</v>
      </c>
      <c r="AT1247">
        <v>12.1</v>
      </c>
      <c r="AU1247">
        <v>0</v>
      </c>
      <c r="AV1247">
        <v>80.900000000000006</v>
      </c>
      <c r="AW1247">
        <v>11.9</v>
      </c>
      <c r="AX1247">
        <v>24.96</v>
      </c>
      <c r="AY1247">
        <v>0.6</v>
      </c>
      <c r="AZ1247">
        <v>3.2</v>
      </c>
      <c r="BA1247">
        <v>161.7527</v>
      </c>
      <c r="BB1247">
        <v>73.530699999999996</v>
      </c>
      <c r="BC1247">
        <v>93.761600000000001</v>
      </c>
      <c r="BD1247">
        <v>3.7210000000000001</v>
      </c>
      <c r="BE1247">
        <v>16.539000000000001</v>
      </c>
      <c r="BH1247">
        <v>48.4</v>
      </c>
    </row>
    <row r="1248" spans="1:60" x14ac:dyDescent="0.25">
      <c r="A1248" s="2">
        <v>44253</v>
      </c>
      <c r="B1248">
        <v>11.3</v>
      </c>
      <c r="C1248">
        <v>0.9</v>
      </c>
      <c r="D1248">
        <v>49.1</v>
      </c>
      <c r="E1248">
        <v>5.0999999999999996</v>
      </c>
      <c r="F1248">
        <v>98.36</v>
      </c>
      <c r="G1248">
        <v>0.4</v>
      </c>
      <c r="H1248">
        <v>3.2</v>
      </c>
      <c r="I1248">
        <v>256.30919999999998</v>
      </c>
      <c r="J1248">
        <v>69.792199999999994</v>
      </c>
      <c r="K1248">
        <v>139.26349999999999</v>
      </c>
      <c r="L1248">
        <v>3.5787</v>
      </c>
      <c r="M1248">
        <v>20.648900000000001</v>
      </c>
      <c r="N1248">
        <v>-3.0289999999999999</v>
      </c>
      <c r="O1248">
        <v>-10.978300000000001</v>
      </c>
      <c r="P1248">
        <v>37.299999999999997</v>
      </c>
      <c r="S1248">
        <f t="shared" si="421"/>
        <v>657.95249999999999</v>
      </c>
      <c r="T1248">
        <f t="shared" si="422"/>
        <v>1.0593354404421457E-2</v>
      </c>
      <c r="U1248">
        <f t="shared" si="423"/>
        <v>8.4371849238754971E-4</v>
      </c>
      <c r="V1248">
        <f t="shared" si="424"/>
        <v>4.6029531084698545E-2</v>
      </c>
      <c r="W1248">
        <f t="shared" si="425"/>
        <v>4.7810714568627816E-3</v>
      </c>
      <c r="X1248">
        <f t="shared" si="426"/>
        <v>9.2209056568043762E-2</v>
      </c>
      <c r="Y1248">
        <f t="shared" si="427"/>
        <v>3.7498599661668879E-4</v>
      </c>
      <c r="Z1248">
        <f t="shared" si="428"/>
        <v>2.9998879729335104E-3</v>
      </c>
      <c r="AA1248">
        <f t="shared" si="429"/>
        <v>0.24028090201006549</v>
      </c>
      <c r="AB1248">
        <f t="shared" si="430"/>
        <v>6.542774418267816E-2</v>
      </c>
      <c r="AC1248">
        <f t="shared" si="431"/>
        <v>0.13055465584957057</v>
      </c>
      <c r="AD1248">
        <f t="shared" si="432"/>
        <v>3.3549059652303601E-3</v>
      </c>
      <c r="AE1248">
        <f t="shared" si="433"/>
        <v>1.9357620863845862E-2</v>
      </c>
      <c r="AG1248">
        <f t="shared" si="434"/>
        <v>-2.4810534193812854</v>
      </c>
      <c r="AH1248">
        <f t="shared" si="435"/>
        <v>0.1771892268398102</v>
      </c>
      <c r="AI1248">
        <f t="shared" si="436"/>
        <v>-0.58491002310461837</v>
      </c>
      <c r="AK1248" s="26">
        <f t="shared" si="437"/>
        <v>1.4760247904135215E-2</v>
      </c>
      <c r="AL1248" s="26">
        <f t="shared" si="438"/>
        <v>-1.8287077694620901E-2</v>
      </c>
      <c r="AM1248" s="26">
        <f t="shared" si="439"/>
        <v>-1.3645825037615078E-2</v>
      </c>
      <c r="AN1248" s="26">
        <f t="shared" si="440"/>
        <v>-23.632380952380949</v>
      </c>
      <c r="AO1248" s="26">
        <f t="shared" si="441"/>
        <v>-20.464821428571447</v>
      </c>
      <c r="AP1248" s="26">
        <f t="shared" si="442"/>
        <v>-13.922566371681413</v>
      </c>
      <c r="AS1248" s="2">
        <v>44232</v>
      </c>
      <c r="AT1248">
        <v>12.1</v>
      </c>
      <c r="AU1248">
        <v>0</v>
      </c>
      <c r="AV1248">
        <v>94.5</v>
      </c>
      <c r="AW1248">
        <v>6.6</v>
      </c>
      <c r="AX1248">
        <v>33.83</v>
      </c>
      <c r="AY1248">
        <v>0.6</v>
      </c>
      <c r="AZ1248">
        <v>3.2</v>
      </c>
      <c r="BA1248">
        <v>328.43880000000001</v>
      </c>
      <c r="BB1248">
        <v>128.72049999999999</v>
      </c>
      <c r="BC1248">
        <v>167.327</v>
      </c>
      <c r="BD1248">
        <v>2.9037999999999999</v>
      </c>
      <c r="BE1248">
        <v>26.846699999999998</v>
      </c>
      <c r="BF1248">
        <v>-2.5440999999999998</v>
      </c>
      <c r="BG1248">
        <v>-7.0675999999999997</v>
      </c>
      <c r="BH1248">
        <v>48.8</v>
      </c>
    </row>
    <row r="1249" spans="1:60" x14ac:dyDescent="0.25">
      <c r="A1249" s="2">
        <v>44252</v>
      </c>
      <c r="B1249">
        <v>11.7</v>
      </c>
      <c r="C1249">
        <v>0</v>
      </c>
      <c r="D1249">
        <v>69.2</v>
      </c>
      <c r="E1249">
        <v>6</v>
      </c>
      <c r="F1249">
        <v>159.52000000000001</v>
      </c>
      <c r="G1249">
        <v>0.6</v>
      </c>
      <c r="H1249">
        <v>3.5</v>
      </c>
      <c r="I1249">
        <v>240.37970000000001</v>
      </c>
      <c r="J1249">
        <v>74.493499999999997</v>
      </c>
      <c r="K1249">
        <v>112.3593</v>
      </c>
      <c r="L1249">
        <v>3.6154999999999999</v>
      </c>
      <c r="M1249">
        <v>26.201499999999999</v>
      </c>
      <c r="N1249">
        <v>-3.6383000000000001</v>
      </c>
      <c r="O1249">
        <v>-11.166399999999999</v>
      </c>
      <c r="P1249">
        <v>37.56</v>
      </c>
      <c r="S1249">
        <f t="shared" si="421"/>
        <v>707.56950000000006</v>
      </c>
      <c r="T1249">
        <f t="shared" si="422"/>
        <v>1.0968340401038145E-2</v>
      </c>
      <c r="U1249">
        <f t="shared" si="423"/>
        <v>0</v>
      </c>
      <c r="V1249">
        <f t="shared" si="424"/>
        <v>6.487257741468716E-2</v>
      </c>
      <c r="W1249">
        <f t="shared" si="425"/>
        <v>5.6247899492503318E-3</v>
      </c>
      <c r="X1249">
        <f t="shared" si="426"/>
        <v>0.14954441545073549</v>
      </c>
      <c r="Y1249">
        <f t="shared" si="427"/>
        <v>5.6247899492503314E-4</v>
      </c>
      <c r="Z1249">
        <f t="shared" si="428"/>
        <v>3.2811274703960268E-3</v>
      </c>
      <c r="AA1249">
        <f t="shared" si="429"/>
        <v>0.22534755342730167</v>
      </c>
      <c r="AB1249">
        <f t="shared" si="430"/>
        <v>6.9835048347413262E-2</v>
      </c>
      <c r="AC1249">
        <f t="shared" si="431"/>
        <v>0.1053329102241338</v>
      </c>
      <c r="AD1249">
        <f t="shared" si="432"/>
        <v>3.3894046769190954E-3</v>
      </c>
      <c r="AE1249">
        <f t="shared" si="433"/>
        <v>2.4562988975880426E-2</v>
      </c>
      <c r="AG1249">
        <f t="shared" si="434"/>
        <v>-2.4822699005198321</v>
      </c>
      <c r="AH1249">
        <f t="shared" si="435"/>
        <v>0.25941671865691263</v>
      </c>
      <c r="AI1249">
        <f t="shared" si="436"/>
        <v>-9.7983348134476511E-2</v>
      </c>
      <c r="AK1249" s="26">
        <f t="shared" si="437"/>
        <v>1.2522429686944975E-2</v>
      </c>
      <c r="AL1249" s="26">
        <f t="shared" si="438"/>
        <v>-2.0072027778962581E-2</v>
      </c>
      <c r="AM1249" s="26">
        <f t="shared" si="439"/>
        <v>-1.4626175319252144E-2</v>
      </c>
      <c r="AN1249" s="26">
        <f t="shared" si="440"/>
        <v>-23.456666666666678</v>
      </c>
      <c r="AO1249" s="26">
        <f t="shared" si="441"/>
        <v>-20.281785714285739</v>
      </c>
      <c r="AP1249" s="26">
        <f t="shared" si="442"/>
        <v>-13.732389380530961</v>
      </c>
      <c r="AS1249" s="2">
        <v>44231</v>
      </c>
      <c r="AT1249">
        <v>13.6</v>
      </c>
      <c r="AU1249">
        <v>0</v>
      </c>
      <c r="AV1249">
        <v>82.8</v>
      </c>
      <c r="AW1249">
        <v>3.8</v>
      </c>
      <c r="AX1249">
        <v>63.82</v>
      </c>
      <c r="AY1249">
        <v>0.6</v>
      </c>
      <c r="AZ1249">
        <v>3.2</v>
      </c>
      <c r="BA1249">
        <v>314.55009999999999</v>
      </c>
      <c r="BB1249">
        <v>160.5445</v>
      </c>
      <c r="BC1249">
        <v>167.679</v>
      </c>
      <c r="BD1249">
        <v>1.6491</v>
      </c>
      <c r="BE1249">
        <v>30.5671</v>
      </c>
      <c r="BF1249">
        <v>-3.2517</v>
      </c>
      <c r="BG1249">
        <v>-7.4709000000000003</v>
      </c>
      <c r="BH1249">
        <v>49.28</v>
      </c>
    </row>
    <row r="1250" spans="1:60" x14ac:dyDescent="0.25">
      <c r="A1250" s="2">
        <v>44251</v>
      </c>
      <c r="B1250">
        <v>11.4</v>
      </c>
      <c r="C1250">
        <v>0</v>
      </c>
      <c r="D1250">
        <v>85.6</v>
      </c>
      <c r="E1250">
        <v>9.6</v>
      </c>
      <c r="F1250">
        <v>147.07</v>
      </c>
      <c r="G1250">
        <v>0.6</v>
      </c>
      <c r="H1250">
        <v>3.5</v>
      </c>
      <c r="I1250">
        <v>216.90729999999999</v>
      </c>
      <c r="J1250">
        <v>57.472200000000001</v>
      </c>
      <c r="K1250">
        <v>80.5077</v>
      </c>
      <c r="L1250">
        <v>3.6591999999999998</v>
      </c>
      <c r="M1250">
        <v>31.671900000000001</v>
      </c>
      <c r="N1250">
        <v>-5.0408999999999997</v>
      </c>
      <c r="O1250">
        <v>-12.238</v>
      </c>
      <c r="P1250">
        <v>37.79</v>
      </c>
      <c r="S1250">
        <f t="shared" si="421"/>
        <v>647.98830000000009</v>
      </c>
      <c r="T1250">
        <f t="shared" si="422"/>
        <v>1.0687100903575631E-2</v>
      </c>
      <c r="U1250">
        <f t="shared" si="423"/>
        <v>0</v>
      </c>
      <c r="V1250">
        <f t="shared" si="424"/>
        <v>8.0247003275971396E-2</v>
      </c>
      <c r="W1250">
        <f t="shared" si="425"/>
        <v>8.9996639188005302E-3</v>
      </c>
      <c r="X1250">
        <f t="shared" si="426"/>
        <v>0.13787297630604103</v>
      </c>
      <c r="Y1250">
        <f t="shared" si="427"/>
        <v>5.6247899492503314E-4</v>
      </c>
      <c r="Z1250">
        <f t="shared" si="428"/>
        <v>3.2811274703960268E-3</v>
      </c>
      <c r="AA1250">
        <f t="shared" si="429"/>
        <v>0.20334300015983772</v>
      </c>
      <c r="AB1250">
        <f t="shared" si="430"/>
        <v>5.3878175486884151E-2</v>
      </c>
      <c r="AC1250">
        <f t="shared" si="431"/>
        <v>7.547315029954349E-2</v>
      </c>
      <c r="AD1250">
        <f t="shared" si="432"/>
        <v>3.4303718970494688E-3</v>
      </c>
      <c r="AE1250">
        <f t="shared" si="433"/>
        <v>2.9691297465610264E-2</v>
      </c>
      <c r="AG1250">
        <f t="shared" si="434"/>
        <v>-2.4855169291956747</v>
      </c>
      <c r="AH1250">
        <f t="shared" si="435"/>
        <v>0.27134164833531993</v>
      </c>
      <c r="AI1250">
        <f t="shared" si="436"/>
        <v>-2.5360917613790824E-2</v>
      </c>
      <c r="AK1250" s="26">
        <f t="shared" si="437"/>
        <v>9.7254091381810681E-3</v>
      </c>
      <c r="AL1250" s="26">
        <f t="shared" si="438"/>
        <v>-2.0526407016095122E-2</v>
      </c>
      <c r="AM1250" s="26">
        <f t="shared" si="439"/>
        <v>-1.438972839685454E-2</v>
      </c>
      <c r="AN1250" s="26">
        <f t="shared" si="440"/>
        <v>-23.271428571428579</v>
      </c>
      <c r="AO1250" s="26">
        <f t="shared" si="441"/>
        <v>-20.088035714285731</v>
      </c>
      <c r="AP1250" s="26">
        <f t="shared" si="442"/>
        <v>-13.538407079645992</v>
      </c>
      <c r="AS1250" s="2">
        <v>44230</v>
      </c>
      <c r="AT1250">
        <v>13.7</v>
      </c>
      <c r="AU1250">
        <v>1.1000000000000001</v>
      </c>
      <c r="AV1250">
        <v>83.1</v>
      </c>
      <c r="AW1250">
        <v>6.7</v>
      </c>
      <c r="AX1250">
        <v>16.75</v>
      </c>
      <c r="AY1250">
        <v>0.4</v>
      </c>
      <c r="AZ1250">
        <v>3.4</v>
      </c>
      <c r="BA1250">
        <v>311.11599999999999</v>
      </c>
      <c r="BB1250">
        <v>117.61579999999999</v>
      </c>
      <c r="BC1250">
        <v>137.32140000000001</v>
      </c>
      <c r="BD1250">
        <v>3.6960000000000002</v>
      </c>
      <c r="BE1250">
        <v>28.742699999999999</v>
      </c>
      <c r="BF1250">
        <v>-4.2308000000000003</v>
      </c>
      <c r="BG1250">
        <v>-8.3223000000000003</v>
      </c>
      <c r="BH1250">
        <v>49.79</v>
      </c>
    </row>
    <row r="1251" spans="1:60" x14ac:dyDescent="0.25">
      <c r="A1251" s="2">
        <v>44250</v>
      </c>
      <c r="B1251">
        <v>11.5</v>
      </c>
      <c r="C1251">
        <v>0</v>
      </c>
      <c r="D1251">
        <v>59.6</v>
      </c>
      <c r="E1251">
        <v>7.3</v>
      </c>
      <c r="F1251">
        <v>130.65</v>
      </c>
      <c r="G1251">
        <v>0.5</v>
      </c>
      <c r="H1251">
        <v>3.1</v>
      </c>
      <c r="I1251">
        <v>230.4203</v>
      </c>
      <c r="J1251">
        <v>80.673900000000003</v>
      </c>
      <c r="K1251">
        <v>133.29089999999999</v>
      </c>
      <c r="L1251">
        <v>3.6459000000000001</v>
      </c>
      <c r="M1251">
        <v>22.749600000000001</v>
      </c>
      <c r="N1251">
        <v>-4.2865000000000002</v>
      </c>
      <c r="O1251">
        <v>-11.5105</v>
      </c>
      <c r="P1251">
        <v>37.979999999999997</v>
      </c>
      <c r="S1251">
        <f t="shared" si="421"/>
        <v>683.43059999999991</v>
      </c>
      <c r="T1251">
        <f t="shared" si="422"/>
        <v>1.0780847402729802E-2</v>
      </c>
      <c r="U1251">
        <f t="shared" si="423"/>
        <v>0</v>
      </c>
      <c r="V1251">
        <f t="shared" si="424"/>
        <v>5.5872913495886627E-2</v>
      </c>
      <c r="W1251">
        <f t="shared" si="425"/>
        <v>6.8434944382545701E-3</v>
      </c>
      <c r="X1251">
        <f t="shared" si="426"/>
        <v>0.12247980114492597</v>
      </c>
      <c r="Y1251">
        <f t="shared" si="427"/>
        <v>4.6873249577086097E-4</v>
      </c>
      <c r="Z1251">
        <f t="shared" si="428"/>
        <v>2.9061414737793379E-3</v>
      </c>
      <c r="AA1251">
        <f t="shared" si="429"/>
        <v>0.21601096459054103</v>
      </c>
      <c r="AB1251">
        <f t="shared" si="430"/>
        <v>7.5628956981137724E-2</v>
      </c>
      <c r="AC1251">
        <f t="shared" si="431"/>
        <v>0.1249555524410885</v>
      </c>
      <c r="AD1251">
        <f t="shared" si="432"/>
        <v>3.417903612661964E-3</v>
      </c>
      <c r="AE1251">
        <f t="shared" si="433"/>
        <v>2.1326953571577559E-2</v>
      </c>
      <c r="AG1251">
        <f t="shared" si="434"/>
        <v>-2.4915172555382137</v>
      </c>
      <c r="AH1251">
        <f t="shared" si="435"/>
        <v>0.22067888402292474</v>
      </c>
      <c r="AI1251">
        <f t="shared" si="436"/>
        <v>-0.32322051017853048</v>
      </c>
      <c r="AK1251" s="26">
        <f t="shared" si="437"/>
        <v>-1.0112524146140695E-2</v>
      </c>
      <c r="AL1251" s="26">
        <f t="shared" si="438"/>
        <v>-2.3423063353013612E-2</v>
      </c>
      <c r="AM1251" s="26">
        <f t="shared" si="439"/>
        <v>-1.4894013215410895E-2</v>
      </c>
      <c r="AN1251" s="26">
        <f t="shared" si="440"/>
        <v>-23.079047619047643</v>
      </c>
      <c r="AO1251" s="26">
        <f t="shared" si="441"/>
        <v>-19.890000000000022</v>
      </c>
      <c r="AP1251" s="26">
        <f t="shared" si="442"/>
        <v>-13.341592920353975</v>
      </c>
      <c r="AS1251" s="2">
        <v>44229</v>
      </c>
      <c r="AT1251">
        <v>13</v>
      </c>
      <c r="AU1251">
        <v>2.1</v>
      </c>
      <c r="AV1251">
        <v>14.6</v>
      </c>
      <c r="AW1251">
        <v>1.8</v>
      </c>
      <c r="AX1251">
        <v>23.41</v>
      </c>
      <c r="AY1251">
        <v>0.4</v>
      </c>
      <c r="AZ1251">
        <v>3.4</v>
      </c>
      <c r="BA1251">
        <v>328.52789999999999</v>
      </c>
      <c r="BB1251">
        <v>216.28479999999999</v>
      </c>
      <c r="BC1251">
        <v>203.80619999999999</v>
      </c>
      <c r="BD1251">
        <v>3.6970999999999998</v>
      </c>
      <c r="BE1251">
        <v>26.7913</v>
      </c>
      <c r="BF1251">
        <v>-3.7526999999999999</v>
      </c>
      <c r="BG1251">
        <v>-6.5991999999999997</v>
      </c>
      <c r="BH1251">
        <v>50.26</v>
      </c>
    </row>
    <row r="1252" spans="1:60" x14ac:dyDescent="0.25">
      <c r="A1252" s="2">
        <v>44249</v>
      </c>
      <c r="B1252">
        <v>11</v>
      </c>
      <c r="C1252">
        <v>0</v>
      </c>
      <c r="D1252">
        <v>51</v>
      </c>
      <c r="E1252">
        <v>5.9</v>
      </c>
      <c r="F1252">
        <v>130.58000000000001</v>
      </c>
      <c r="G1252">
        <v>0.6</v>
      </c>
      <c r="H1252">
        <v>3.2</v>
      </c>
      <c r="I1252">
        <v>241.0958</v>
      </c>
      <c r="J1252">
        <v>97.123599999999996</v>
      </c>
      <c r="K1252">
        <v>153.5677</v>
      </c>
      <c r="L1252">
        <v>3.6495000000000002</v>
      </c>
      <c r="M1252">
        <v>21.298300000000001</v>
      </c>
      <c r="N1252">
        <v>-3.5413000000000001</v>
      </c>
      <c r="O1252">
        <v>-10.9291</v>
      </c>
      <c r="P1252">
        <v>38.270000000000003</v>
      </c>
      <c r="S1252">
        <f t="shared" si="421"/>
        <v>719.01490000000001</v>
      </c>
      <c r="T1252">
        <f t="shared" si="422"/>
        <v>1.0312114906958941E-2</v>
      </c>
      <c r="U1252">
        <f t="shared" si="423"/>
        <v>0</v>
      </c>
      <c r="V1252">
        <f t="shared" si="424"/>
        <v>4.7810714568627816E-2</v>
      </c>
      <c r="W1252">
        <f t="shared" si="425"/>
        <v>5.5310434500961594E-3</v>
      </c>
      <c r="X1252">
        <f t="shared" si="426"/>
        <v>0.12241417859551806</v>
      </c>
      <c r="Y1252">
        <f t="shared" si="427"/>
        <v>5.6247899492503314E-4</v>
      </c>
      <c r="Z1252">
        <f t="shared" si="428"/>
        <v>2.9998879729335104E-3</v>
      </c>
      <c r="AA1252">
        <f t="shared" si="429"/>
        <v>0.22601887210774468</v>
      </c>
      <c r="AB1252">
        <f t="shared" si="430"/>
        <v>9.1049974852501575E-2</v>
      </c>
      <c r="AC1252">
        <f t="shared" si="431"/>
        <v>0.14396434258158169</v>
      </c>
      <c r="AD1252">
        <f t="shared" si="432"/>
        <v>3.4212784866315144E-3</v>
      </c>
      <c r="AE1252">
        <f t="shared" si="433"/>
        <v>1.9966410629353056E-2</v>
      </c>
      <c r="AG1252">
        <f t="shared" si="434"/>
        <v>-2.490956000451682</v>
      </c>
      <c r="AH1252">
        <f t="shared" si="435"/>
        <v>0.2095968291184126</v>
      </c>
      <c r="AI1252">
        <f t="shared" si="436"/>
        <v>-0.38729316443999562</v>
      </c>
      <c r="AK1252" s="26">
        <f t="shared" si="437"/>
        <v>-1.5225337678795997E-2</v>
      </c>
      <c r="AL1252" s="26">
        <f t="shared" si="438"/>
        <v>-2.7545930595047147E-2</v>
      </c>
      <c r="AM1252" s="26">
        <f t="shared" si="439"/>
        <v>-1.5362118522213919E-2</v>
      </c>
      <c r="AN1252" s="26">
        <f t="shared" si="440"/>
        <v>-22.876666666666694</v>
      </c>
      <c r="AO1252" s="26">
        <f t="shared" si="441"/>
        <v>-19.686250000000008</v>
      </c>
      <c r="AP1252" s="26">
        <f t="shared" si="442"/>
        <v>-13.141858407079624</v>
      </c>
      <c r="AS1252" s="2">
        <v>44228</v>
      </c>
      <c r="AT1252">
        <v>12.8</v>
      </c>
      <c r="AU1252">
        <v>2.5</v>
      </c>
      <c r="AV1252">
        <v>32.9</v>
      </c>
      <c r="AW1252">
        <v>3.7</v>
      </c>
      <c r="AX1252">
        <v>28.45</v>
      </c>
      <c r="AY1252">
        <v>0.4</v>
      </c>
      <c r="AZ1252">
        <v>3.2</v>
      </c>
      <c r="BA1252">
        <v>329.11590000000001</v>
      </c>
      <c r="BB1252">
        <v>217.15180000000001</v>
      </c>
      <c r="BC1252">
        <v>201.3749</v>
      </c>
      <c r="BD1252">
        <v>3.7166999999999999</v>
      </c>
      <c r="BE1252">
        <v>36.0961</v>
      </c>
      <c r="BF1252">
        <v>-3.1318999999999999</v>
      </c>
      <c r="BG1252">
        <v>-5.2123999999999997</v>
      </c>
      <c r="BH1252">
        <v>50.85</v>
      </c>
    </row>
    <row r="1253" spans="1:60" x14ac:dyDescent="0.25">
      <c r="A1253" s="2">
        <v>44248</v>
      </c>
      <c r="B1253">
        <v>11.1</v>
      </c>
      <c r="C1253">
        <v>0</v>
      </c>
      <c r="D1253">
        <v>45.3</v>
      </c>
      <c r="E1253">
        <v>6.7</v>
      </c>
      <c r="F1253">
        <v>153.01</v>
      </c>
      <c r="G1253">
        <v>0.6</v>
      </c>
      <c r="H1253">
        <v>3.3</v>
      </c>
      <c r="I1253">
        <v>140.01089999999999</v>
      </c>
      <c r="J1253">
        <v>50.975900000000003</v>
      </c>
      <c r="K1253">
        <v>74.746499999999997</v>
      </c>
      <c r="L1253">
        <v>3.6840000000000002</v>
      </c>
      <c r="M1253">
        <v>20.878399999999999</v>
      </c>
      <c r="P1253">
        <v>38.65</v>
      </c>
      <c r="S1253">
        <f t="shared" si="421"/>
        <v>510.3057</v>
      </c>
      <c r="T1253">
        <f t="shared" si="422"/>
        <v>1.0405861406113113E-2</v>
      </c>
      <c r="U1253">
        <f t="shared" si="423"/>
        <v>0</v>
      </c>
      <c r="V1253">
        <f t="shared" si="424"/>
        <v>4.2467164116839998E-2</v>
      </c>
      <c r="W1253">
        <f t="shared" si="425"/>
        <v>6.2810154433295372E-3</v>
      </c>
      <c r="X1253">
        <f t="shared" si="426"/>
        <v>0.14344151835579885</v>
      </c>
      <c r="Y1253">
        <f t="shared" si="427"/>
        <v>5.6247899492503314E-4</v>
      </c>
      <c r="Z1253">
        <f t="shared" si="428"/>
        <v>3.0936344720876819E-3</v>
      </c>
      <c r="AA1253">
        <f t="shared" si="429"/>
        <v>0.13125531718424888</v>
      </c>
      <c r="AB1253">
        <f t="shared" si="430"/>
        <v>4.7788121662331665E-2</v>
      </c>
      <c r="AC1253">
        <f t="shared" si="431"/>
        <v>7.0072226990273309E-2</v>
      </c>
      <c r="AD1253">
        <f t="shared" si="432"/>
        <v>3.4536210288397037E-3</v>
      </c>
      <c r="AE1253">
        <f t="shared" si="433"/>
        <v>1.9572769079404684E-2</v>
      </c>
      <c r="AG1253">
        <f t="shared" si="434"/>
        <v>-2.4842919671405523</v>
      </c>
      <c r="AH1253">
        <f t="shared" si="435"/>
        <v>0.22582444186849893</v>
      </c>
      <c r="AI1253">
        <f t="shared" si="436"/>
        <v>-0.28984289473475666</v>
      </c>
      <c r="AK1253" s="26">
        <f t="shared" si="437"/>
        <v>-1.8889906187208649E-2</v>
      </c>
      <c r="AL1253" s="26">
        <f t="shared" si="438"/>
        <v>-2.8696533274549824E-2</v>
      </c>
      <c r="AM1253" s="26">
        <f t="shared" si="439"/>
        <v>-1.6502559617495138E-2</v>
      </c>
      <c r="AN1253" s="26">
        <f t="shared" si="440"/>
        <v>-22.661428571428587</v>
      </c>
      <c r="AO1253" s="26">
        <f t="shared" si="441"/>
        <v>-19.479642857142878</v>
      </c>
      <c r="AP1253" s="26">
        <f t="shared" si="442"/>
        <v>-12.94238938053094</v>
      </c>
      <c r="AS1253" s="2">
        <v>44227</v>
      </c>
      <c r="AT1253">
        <v>13.6</v>
      </c>
      <c r="AU1253">
        <v>2.9</v>
      </c>
      <c r="AV1253">
        <v>21</v>
      </c>
      <c r="AW1253">
        <v>1.2</v>
      </c>
      <c r="AX1253">
        <v>43.76</v>
      </c>
      <c r="AY1253">
        <v>0.6</v>
      </c>
      <c r="AZ1253">
        <v>3</v>
      </c>
      <c r="BA1253">
        <v>322.65170000000001</v>
      </c>
      <c r="BB1253">
        <v>97.102199999999996</v>
      </c>
      <c r="BC1253">
        <v>113.9902</v>
      </c>
      <c r="BD1253">
        <v>3.7229999999999999</v>
      </c>
      <c r="BE1253">
        <v>13.550800000000001</v>
      </c>
      <c r="BH1253">
        <v>51.52</v>
      </c>
    </row>
    <row r="1254" spans="1:60" x14ac:dyDescent="0.25">
      <c r="A1254" s="2">
        <v>44247</v>
      </c>
      <c r="B1254">
        <v>11.7</v>
      </c>
      <c r="C1254">
        <v>0</v>
      </c>
      <c r="D1254">
        <v>81.2</v>
      </c>
      <c r="E1254">
        <v>8</v>
      </c>
      <c r="F1254">
        <v>140.49</v>
      </c>
      <c r="G1254">
        <v>0.6</v>
      </c>
      <c r="H1254">
        <v>3.8</v>
      </c>
      <c r="I1254">
        <v>135.14779999999999</v>
      </c>
      <c r="J1254">
        <v>50.809699999999999</v>
      </c>
      <c r="K1254">
        <v>87.694699999999997</v>
      </c>
      <c r="L1254">
        <v>3.6720000000000002</v>
      </c>
      <c r="M1254">
        <v>15.965999999999999</v>
      </c>
      <c r="P1254">
        <v>38.83</v>
      </c>
      <c r="S1254">
        <f t="shared" si="421"/>
        <v>539.0802000000001</v>
      </c>
      <c r="T1254">
        <f t="shared" si="422"/>
        <v>1.0968340401038145E-2</v>
      </c>
      <c r="U1254">
        <f t="shared" si="423"/>
        <v>0</v>
      </c>
      <c r="V1254">
        <f t="shared" si="424"/>
        <v>7.6122157313187819E-2</v>
      </c>
      <c r="W1254">
        <f t="shared" si="425"/>
        <v>7.4997199323337755E-3</v>
      </c>
      <c r="X1254">
        <f t="shared" si="426"/>
        <v>0.13170445666169653</v>
      </c>
      <c r="Y1254">
        <f t="shared" si="427"/>
        <v>5.6247899492503314E-4</v>
      </c>
      <c r="Z1254">
        <f t="shared" si="428"/>
        <v>3.5623669678585433E-3</v>
      </c>
      <c r="AA1254">
        <f t="shared" si="429"/>
        <v>0.12669633118388232</v>
      </c>
      <c r="AB1254">
        <f t="shared" si="430"/>
        <v>4.7632314980737424E-2</v>
      </c>
      <c r="AC1254">
        <f t="shared" si="431"/>
        <v>8.2210711193753838E-2</v>
      </c>
      <c r="AD1254">
        <f t="shared" si="432"/>
        <v>3.4423714489412028E-3</v>
      </c>
      <c r="AE1254">
        <f t="shared" si="433"/>
        <v>1.4967566054955131E-2</v>
      </c>
      <c r="AG1254">
        <f t="shared" si="434"/>
        <v>-2.4909324722660169</v>
      </c>
      <c r="AH1254">
        <f t="shared" si="435"/>
        <v>0.24538708632599501</v>
      </c>
      <c r="AI1254">
        <f t="shared" si="436"/>
        <v>-0.1733918793606965</v>
      </c>
      <c r="AK1254" s="26">
        <f t="shared" si="437"/>
        <v>-2.1436449482589603E-2</v>
      </c>
      <c r="AL1254" s="26">
        <f t="shared" si="438"/>
        <v>-2.9498432458091473E-2</v>
      </c>
      <c r="AM1254" s="26">
        <f t="shared" si="439"/>
        <v>-1.6866798780925535E-2</v>
      </c>
      <c r="AN1254" s="26">
        <f t="shared" si="440"/>
        <v>-22.430952380952412</v>
      </c>
      <c r="AO1254" s="26">
        <f t="shared" si="441"/>
        <v>-19.270178571428588</v>
      </c>
      <c r="AP1254" s="26">
        <f t="shared" si="442"/>
        <v>-12.74716814159288</v>
      </c>
      <c r="AS1254" s="2">
        <v>44226</v>
      </c>
      <c r="AT1254">
        <v>14.7</v>
      </c>
      <c r="AU1254">
        <v>4.5</v>
      </c>
      <c r="AV1254">
        <v>16.899999999999999</v>
      </c>
      <c r="AW1254">
        <v>1.9</v>
      </c>
      <c r="AX1254">
        <v>23.58</v>
      </c>
      <c r="AY1254">
        <v>0.6</v>
      </c>
      <c r="AZ1254">
        <v>3</v>
      </c>
      <c r="BA1254">
        <v>325.69970000000001</v>
      </c>
      <c r="BB1254">
        <v>96.453100000000006</v>
      </c>
      <c r="BC1254">
        <v>134.57910000000001</v>
      </c>
      <c r="BD1254">
        <v>3.7214</v>
      </c>
      <c r="BE1254">
        <v>31.877400000000002</v>
      </c>
      <c r="BH1254">
        <v>52.1</v>
      </c>
    </row>
    <row r="1255" spans="1:60" x14ac:dyDescent="0.25">
      <c r="A1255" s="2">
        <v>44246</v>
      </c>
      <c r="B1255">
        <v>12.2</v>
      </c>
      <c r="C1255">
        <v>0</v>
      </c>
      <c r="D1255">
        <v>82.6</v>
      </c>
      <c r="E1255">
        <v>8.9</v>
      </c>
      <c r="F1255">
        <v>108.54</v>
      </c>
      <c r="G1255">
        <v>0.6</v>
      </c>
      <c r="H1255">
        <v>3.7</v>
      </c>
      <c r="I1255">
        <v>249.54859999999999</v>
      </c>
      <c r="J1255">
        <v>97.676699999999997</v>
      </c>
      <c r="K1255">
        <v>138.94059999999999</v>
      </c>
      <c r="L1255">
        <v>3.6757</v>
      </c>
      <c r="M1255">
        <v>30.068899999999999</v>
      </c>
      <c r="N1255">
        <v>-2.5335000000000001</v>
      </c>
      <c r="O1255">
        <v>-8.7718000000000007</v>
      </c>
      <c r="P1255">
        <v>39.090000000000003</v>
      </c>
      <c r="S1255">
        <f t="shared" si="421"/>
        <v>736.45050000000003</v>
      </c>
      <c r="T1255">
        <f t="shared" si="422"/>
        <v>1.1437072896809007E-2</v>
      </c>
      <c r="U1255">
        <f t="shared" si="423"/>
        <v>0</v>
      </c>
      <c r="V1255">
        <f t="shared" si="424"/>
        <v>7.7434608301346228E-2</v>
      </c>
      <c r="W1255">
        <f t="shared" si="425"/>
        <v>8.3434384247213257E-3</v>
      </c>
      <c r="X1255">
        <f t="shared" si="426"/>
        <v>0.1017524501819385</v>
      </c>
      <c r="Y1255">
        <f t="shared" si="427"/>
        <v>5.6247899492503314E-4</v>
      </c>
      <c r="Z1255">
        <f t="shared" si="428"/>
        <v>3.4686204687043713E-3</v>
      </c>
      <c r="AA1255">
        <f t="shared" si="429"/>
        <v>0.23394307618824853</v>
      </c>
      <c r="AB1255">
        <f t="shared" si="430"/>
        <v>9.1568486739323302E-2</v>
      </c>
      <c r="AC1255">
        <f t="shared" si="431"/>
        <v>0.13025194840380175</v>
      </c>
      <c r="AD1255">
        <f t="shared" si="432"/>
        <v>3.445840069409907E-3</v>
      </c>
      <c r="AE1255">
        <f t="shared" si="433"/>
        <v>2.8188541084168881E-2</v>
      </c>
      <c r="AG1255">
        <f t="shared" si="434"/>
        <v>-2.4922533224385295</v>
      </c>
      <c r="AH1255">
        <f t="shared" si="435"/>
        <v>0.23118721035261333</v>
      </c>
      <c r="AI1255">
        <f t="shared" si="436"/>
        <v>-0.25678018531422719</v>
      </c>
      <c r="AK1255" s="26">
        <f t="shared" si="437"/>
        <v>-2.8081281696779481E-2</v>
      </c>
      <c r="AL1255" s="26">
        <f t="shared" si="438"/>
        <v>-3.2443108765157103E-2</v>
      </c>
      <c r="AM1255" s="26">
        <f t="shared" si="439"/>
        <v>-1.7701467002877058E-2</v>
      </c>
      <c r="AN1255" s="26">
        <f t="shared" si="440"/>
        <v>-22.188095238095229</v>
      </c>
      <c r="AO1255" s="26">
        <f t="shared" si="441"/>
        <v>-19.053571428571423</v>
      </c>
      <c r="AP1255" s="26">
        <f t="shared" si="442"/>
        <v>-12.555309734513216</v>
      </c>
      <c r="AS1255" s="2">
        <v>44225</v>
      </c>
      <c r="AT1255">
        <v>15.3</v>
      </c>
      <c r="AU1255">
        <v>2.1</v>
      </c>
      <c r="AV1255">
        <v>91.3</v>
      </c>
      <c r="AW1255">
        <v>6.1</v>
      </c>
      <c r="AX1255">
        <v>29.44</v>
      </c>
      <c r="AY1255">
        <v>0.6</v>
      </c>
      <c r="AZ1255">
        <v>3.3</v>
      </c>
      <c r="BA1255">
        <v>352.0804</v>
      </c>
      <c r="BB1255">
        <v>114.5425</v>
      </c>
      <c r="BC1255">
        <v>122.0692</v>
      </c>
      <c r="BD1255">
        <v>3.7065999999999999</v>
      </c>
      <c r="BE1255">
        <v>20.728300000000001</v>
      </c>
      <c r="BH1255">
        <v>52.61</v>
      </c>
    </row>
    <row r="1256" spans="1:60" x14ac:dyDescent="0.25">
      <c r="A1256" s="2">
        <v>44245</v>
      </c>
      <c r="B1256">
        <v>12.9</v>
      </c>
      <c r="C1256">
        <v>0</v>
      </c>
      <c r="D1256">
        <v>85.5</v>
      </c>
      <c r="E1256">
        <v>10.7</v>
      </c>
      <c r="F1256">
        <v>98.49</v>
      </c>
      <c r="G1256">
        <v>0.6</v>
      </c>
      <c r="H1256">
        <v>3.6</v>
      </c>
      <c r="I1256">
        <v>253.45410000000001</v>
      </c>
      <c r="J1256">
        <v>88.023600000000002</v>
      </c>
      <c r="K1256">
        <v>126.6161</v>
      </c>
      <c r="L1256">
        <v>3.6783999999999999</v>
      </c>
      <c r="M1256">
        <v>22.0383</v>
      </c>
      <c r="N1256">
        <v>-3.9775</v>
      </c>
      <c r="O1256">
        <v>-9.1692999999999998</v>
      </c>
      <c r="P1256">
        <v>39.51</v>
      </c>
      <c r="S1256">
        <f t="shared" si="421"/>
        <v>705.60050000000001</v>
      </c>
      <c r="T1256">
        <f t="shared" si="422"/>
        <v>1.2093298390888213E-2</v>
      </c>
      <c r="U1256">
        <f t="shared" si="423"/>
        <v>0</v>
      </c>
      <c r="V1256">
        <f t="shared" si="424"/>
        <v>8.0153256776817228E-2</v>
      </c>
      <c r="W1256">
        <f t="shared" si="425"/>
        <v>1.0030875409496424E-2</v>
      </c>
      <c r="X1256">
        <f t="shared" si="426"/>
        <v>9.2330927016944189E-2</v>
      </c>
      <c r="Y1256">
        <f t="shared" si="427"/>
        <v>5.6247899492503314E-4</v>
      </c>
      <c r="Z1256">
        <f t="shared" si="428"/>
        <v>3.3748739695501988E-3</v>
      </c>
      <c r="AA1256">
        <f t="shared" si="429"/>
        <v>0.23760434571271474</v>
      </c>
      <c r="AB1256">
        <f t="shared" si="430"/>
        <v>8.2519043429471917E-2</v>
      </c>
      <c r="AC1256">
        <f t="shared" si="431"/>
        <v>0.11869816111554582</v>
      </c>
      <c r="AD1256">
        <f t="shared" si="432"/>
        <v>3.4483712248870699E-3</v>
      </c>
      <c r="AE1256">
        <f t="shared" si="433"/>
        <v>2.0660134723093929E-2</v>
      </c>
      <c r="AG1256">
        <f t="shared" si="434"/>
        <v>-2.4826336218180658</v>
      </c>
      <c r="AH1256">
        <f t="shared" si="435"/>
        <v>0.21920584528171522</v>
      </c>
      <c r="AI1256">
        <f t="shared" si="436"/>
        <v>-0.32632187741412616</v>
      </c>
      <c r="AK1256" s="26">
        <f t="shared" si="437"/>
        <v>-2.9681913887456779E-2</v>
      </c>
      <c r="AL1256" s="26">
        <f t="shared" si="438"/>
        <v>-3.2955123684778473E-2</v>
      </c>
      <c r="AM1256" s="26">
        <f t="shared" si="439"/>
        <v>-1.8074029693971344E-2</v>
      </c>
      <c r="AN1256" s="26">
        <f t="shared" si="440"/>
        <v>-21.937142857142874</v>
      </c>
      <c r="AO1256" s="26">
        <f t="shared" si="441"/>
        <v>-18.833035714285721</v>
      </c>
      <c r="AP1256" s="26">
        <f t="shared" si="442"/>
        <v>-12.363982300884913</v>
      </c>
      <c r="AS1256" s="2">
        <v>44224</v>
      </c>
      <c r="AT1256">
        <v>12</v>
      </c>
      <c r="AU1256">
        <v>1.8</v>
      </c>
      <c r="AV1256">
        <v>29.6</v>
      </c>
      <c r="AW1256">
        <v>3.2</v>
      </c>
      <c r="AX1256">
        <v>15.14</v>
      </c>
      <c r="AY1256">
        <v>0.6</v>
      </c>
      <c r="AZ1256">
        <v>3.7</v>
      </c>
      <c r="BA1256">
        <v>368.30029999999999</v>
      </c>
      <c r="BB1256">
        <v>203.7723</v>
      </c>
      <c r="BC1256">
        <v>208.37289999999999</v>
      </c>
      <c r="BD1256">
        <v>3.6785999999999999</v>
      </c>
      <c r="BE1256">
        <v>27.746400000000001</v>
      </c>
      <c r="BH1256">
        <v>53.15</v>
      </c>
    </row>
    <row r="1257" spans="1:60" x14ac:dyDescent="0.25">
      <c r="A1257" s="2">
        <v>44244</v>
      </c>
      <c r="B1257">
        <v>13</v>
      </c>
      <c r="C1257">
        <v>48.8</v>
      </c>
      <c r="D1257">
        <v>74.900000000000006</v>
      </c>
      <c r="E1257">
        <v>10.5</v>
      </c>
      <c r="F1257">
        <v>62.48</v>
      </c>
      <c r="G1257">
        <v>0.6</v>
      </c>
      <c r="H1257">
        <v>3.8</v>
      </c>
      <c r="I1257">
        <v>270.05369999999999</v>
      </c>
      <c r="J1257">
        <v>96.490499999999997</v>
      </c>
      <c r="K1257">
        <v>142.89519999999999</v>
      </c>
      <c r="L1257">
        <v>3.6996000000000002</v>
      </c>
      <c r="M1257">
        <v>19.820599999999999</v>
      </c>
      <c r="N1257">
        <v>-3.1528999999999998</v>
      </c>
      <c r="O1257">
        <v>-9.0848999999999993</v>
      </c>
      <c r="P1257">
        <v>39.96</v>
      </c>
      <c r="S1257">
        <f t="shared" si="421"/>
        <v>747.03959999999995</v>
      </c>
      <c r="T1257">
        <f t="shared" si="422"/>
        <v>1.2187044890042385E-2</v>
      </c>
      <c r="U1257">
        <f t="shared" si="423"/>
        <v>4.5748291587236027E-2</v>
      </c>
      <c r="V1257">
        <f t="shared" si="424"/>
        <v>7.0216127866474978E-2</v>
      </c>
      <c r="W1257">
        <f t="shared" si="425"/>
        <v>9.8433824111880796E-3</v>
      </c>
      <c r="X1257">
        <f t="shared" si="426"/>
        <v>5.8572812671526781E-2</v>
      </c>
      <c r="Y1257">
        <f t="shared" si="427"/>
        <v>5.6247899492503314E-4</v>
      </c>
      <c r="Z1257">
        <f t="shared" si="428"/>
        <v>3.5623669678585433E-3</v>
      </c>
      <c r="AA1257">
        <f t="shared" si="429"/>
        <v>0.2531658895863107</v>
      </c>
      <c r="AB1257">
        <f t="shared" si="430"/>
        <v>9.045646576635652E-2</v>
      </c>
      <c r="AC1257">
        <f t="shared" si="431"/>
        <v>0.13395924745935264</v>
      </c>
      <c r="AD1257">
        <f t="shared" si="432"/>
        <v>3.4682454827077544E-3</v>
      </c>
      <c r="AE1257">
        <f t="shared" si="433"/>
        <v>1.8581118611351852E-2</v>
      </c>
      <c r="AG1257">
        <f t="shared" si="434"/>
        <v>-2.470671917051682</v>
      </c>
      <c r="AH1257">
        <f t="shared" si="435"/>
        <v>0.21927362400060368</v>
      </c>
      <c r="AI1257">
        <f t="shared" si="436"/>
        <v>-0.32504510269836367</v>
      </c>
      <c r="AK1257" s="26">
        <f t="shared" si="437"/>
        <v>-3.2633959896988668E-2</v>
      </c>
      <c r="AL1257" s="26">
        <f t="shared" si="438"/>
        <v>-3.3003530359234617E-2</v>
      </c>
      <c r="AM1257" s="26">
        <f t="shared" si="439"/>
        <v>-1.8073059044378337E-2</v>
      </c>
      <c r="AN1257" s="26">
        <f t="shared" si="440"/>
        <v>-21.690476190476176</v>
      </c>
      <c r="AO1257" s="26">
        <f t="shared" si="441"/>
        <v>-18.605714285714278</v>
      </c>
      <c r="AP1257" s="26">
        <f t="shared" si="442"/>
        <v>-12.173097345132703</v>
      </c>
      <c r="AS1257" s="2">
        <v>44223</v>
      </c>
      <c r="AT1257">
        <v>11.9</v>
      </c>
      <c r="AU1257">
        <v>20.2</v>
      </c>
      <c r="AV1257">
        <v>43.6</v>
      </c>
      <c r="AW1257">
        <v>4.2</v>
      </c>
      <c r="AX1257">
        <v>23.76</v>
      </c>
      <c r="AY1257">
        <v>0.6</v>
      </c>
      <c r="AZ1257">
        <v>3.5</v>
      </c>
      <c r="BA1257">
        <v>373.96249999999998</v>
      </c>
      <c r="BB1257">
        <v>209.8903</v>
      </c>
      <c r="BC1257">
        <v>190.2235</v>
      </c>
      <c r="BD1257">
        <v>4.4775</v>
      </c>
      <c r="BE1257">
        <v>29.2393</v>
      </c>
      <c r="BH1257">
        <v>53.81</v>
      </c>
    </row>
    <row r="1258" spans="1:60" x14ac:dyDescent="0.25">
      <c r="A1258" s="2">
        <v>44243</v>
      </c>
      <c r="B1258">
        <v>12.4</v>
      </c>
      <c r="C1258">
        <v>17.8</v>
      </c>
      <c r="D1258">
        <v>52.2</v>
      </c>
      <c r="E1258">
        <v>6.1</v>
      </c>
      <c r="F1258">
        <v>42.09</v>
      </c>
      <c r="G1258">
        <v>0.5</v>
      </c>
      <c r="H1258">
        <v>3.8</v>
      </c>
      <c r="I1258">
        <v>342.82089999999999</v>
      </c>
      <c r="J1258">
        <v>124.6669</v>
      </c>
      <c r="K1258">
        <v>205.4572</v>
      </c>
      <c r="L1258">
        <v>3.6819000000000002</v>
      </c>
      <c r="M1258">
        <v>26.494199999999999</v>
      </c>
      <c r="N1258">
        <v>-3.4742999999999999</v>
      </c>
      <c r="O1258">
        <v>-9.3474000000000004</v>
      </c>
      <c r="P1258">
        <v>40.43</v>
      </c>
      <c r="S1258">
        <f t="shared" si="421"/>
        <v>838.01110000000006</v>
      </c>
      <c r="T1258">
        <f t="shared" si="422"/>
        <v>1.1624565895117352E-2</v>
      </c>
      <c r="U1258">
        <f t="shared" si="423"/>
        <v>1.6686876849442651E-2</v>
      </c>
      <c r="V1258">
        <f t="shared" si="424"/>
        <v>4.8935672558477888E-2</v>
      </c>
      <c r="W1258">
        <f t="shared" si="425"/>
        <v>5.7185364484045034E-3</v>
      </c>
      <c r="X1258">
        <f t="shared" si="426"/>
        <v>3.9457901493991081E-2</v>
      </c>
      <c r="Y1258">
        <f t="shared" si="427"/>
        <v>4.6873249577086097E-4</v>
      </c>
      <c r="Z1258">
        <f t="shared" si="428"/>
        <v>3.5623669678585433E-3</v>
      </c>
      <c r="AA1258">
        <f t="shared" si="429"/>
        <v>0.32138259211882547</v>
      </c>
      <c r="AB1258">
        <f t="shared" si="430"/>
        <v>0.11687085435403269</v>
      </c>
      <c r="AC1258">
        <f t="shared" si="431"/>
        <v>0.19260893226018586</v>
      </c>
      <c r="AD1258">
        <f t="shared" si="432"/>
        <v>3.4516523523574661E-3</v>
      </c>
      <c r="AE1258">
        <f t="shared" si="433"/>
        <v>2.4837384978904687E-2</v>
      </c>
      <c r="AG1258">
        <f t="shared" si="434"/>
        <v>-2.4570055848770678</v>
      </c>
      <c r="AH1258">
        <f t="shared" si="435"/>
        <v>0.15129203768796756</v>
      </c>
      <c r="AI1258">
        <f t="shared" si="436"/>
        <v>-0.72487718781324817</v>
      </c>
      <c r="AK1258" s="26">
        <f t="shared" si="437"/>
        <v>-3.6952624514713983E-2</v>
      </c>
      <c r="AL1258" s="26">
        <f t="shared" si="438"/>
        <v>-3.42992191385353E-2</v>
      </c>
      <c r="AM1258" s="26">
        <f t="shared" si="439"/>
        <v>-1.8449181613595433E-2</v>
      </c>
      <c r="AN1258" s="26">
        <f t="shared" si="440"/>
        <v>-21.451904761904764</v>
      </c>
      <c r="AO1258" s="26">
        <f t="shared" si="441"/>
        <v>-18.376071428571429</v>
      </c>
      <c r="AP1258" s="26">
        <f t="shared" si="442"/>
        <v>-11.981858407079599</v>
      </c>
      <c r="AS1258" s="2">
        <v>44222</v>
      </c>
      <c r="AT1258">
        <v>11.2</v>
      </c>
      <c r="AU1258">
        <v>0</v>
      </c>
      <c r="AV1258">
        <v>19.100000000000001</v>
      </c>
      <c r="AW1258">
        <v>3.4</v>
      </c>
      <c r="AX1258">
        <v>23.59</v>
      </c>
      <c r="AY1258">
        <v>0.3</v>
      </c>
      <c r="AZ1258">
        <v>3.3</v>
      </c>
      <c r="BA1258">
        <v>370.59280000000001</v>
      </c>
      <c r="BB1258">
        <v>246.25049999999999</v>
      </c>
      <c r="BC1258">
        <v>200.11080000000001</v>
      </c>
      <c r="BD1258">
        <v>3.6191</v>
      </c>
      <c r="BE1258">
        <v>31.8565</v>
      </c>
      <c r="BH1258">
        <v>54.58</v>
      </c>
    </row>
    <row r="1259" spans="1:60" x14ac:dyDescent="0.25">
      <c r="A1259" s="2">
        <v>44242</v>
      </c>
      <c r="B1259">
        <v>11.4</v>
      </c>
      <c r="C1259">
        <v>1.7</v>
      </c>
      <c r="D1259">
        <v>56.9</v>
      </c>
      <c r="E1259">
        <v>11.7</v>
      </c>
      <c r="F1259">
        <v>36.18</v>
      </c>
      <c r="G1259">
        <v>0.3</v>
      </c>
      <c r="H1259">
        <v>3.7</v>
      </c>
      <c r="I1259">
        <v>311.00299999999999</v>
      </c>
      <c r="J1259">
        <v>130.63489999999999</v>
      </c>
      <c r="K1259">
        <v>187.18440000000001</v>
      </c>
      <c r="L1259">
        <v>3.7271999999999998</v>
      </c>
      <c r="M1259">
        <v>29.046399999999998</v>
      </c>
      <c r="N1259">
        <v>-2.8382000000000001</v>
      </c>
      <c r="O1259">
        <v>-9.3637999999999995</v>
      </c>
      <c r="P1259">
        <v>41.04</v>
      </c>
      <c r="S1259">
        <f t="shared" si="421"/>
        <v>783.47589999999991</v>
      </c>
      <c r="T1259">
        <f t="shared" si="422"/>
        <v>1.0687100903575631E-2</v>
      </c>
      <c r="U1259">
        <f t="shared" si="423"/>
        <v>1.5936904856209272E-3</v>
      </c>
      <c r="V1259">
        <f t="shared" si="424"/>
        <v>5.3341758018723977E-2</v>
      </c>
      <c r="W1259">
        <f t="shared" si="425"/>
        <v>1.0968340401038145E-2</v>
      </c>
      <c r="X1259">
        <f t="shared" si="426"/>
        <v>3.39174833939795E-2</v>
      </c>
      <c r="Y1259">
        <f t="shared" si="427"/>
        <v>2.8123949746251657E-4</v>
      </c>
      <c r="Z1259">
        <f t="shared" si="428"/>
        <v>3.4686204687043713E-3</v>
      </c>
      <c r="AA1259">
        <f t="shared" si="429"/>
        <v>0.29155442476445015</v>
      </c>
      <c r="AB1259">
        <f t="shared" si="430"/>
        <v>0.12246564542355368</v>
      </c>
      <c r="AC1259">
        <f t="shared" si="431"/>
        <v>0.17547882196274231</v>
      </c>
      <c r="AD1259">
        <f t="shared" si="432"/>
        <v>3.4941195164743056E-3</v>
      </c>
      <c r="AE1259">
        <f t="shared" si="433"/>
        <v>2.7229983130317471E-2</v>
      </c>
      <c r="AG1259">
        <f t="shared" si="434"/>
        <v>-2.4332183847525686</v>
      </c>
      <c r="AH1259">
        <f t="shared" si="435"/>
        <v>0.14148821629942254</v>
      </c>
      <c r="AI1259">
        <f t="shared" si="436"/>
        <v>-0.78310458334989419</v>
      </c>
      <c r="AK1259" s="26">
        <f t="shared" si="437"/>
        <v>-3.9546366940359567E-2</v>
      </c>
      <c r="AL1259" s="26">
        <f t="shared" si="438"/>
        <v>-3.4438767498704795E-2</v>
      </c>
      <c r="AM1259" s="26">
        <f t="shared" si="439"/>
        <v>-1.9243659135090962E-2</v>
      </c>
      <c r="AN1259" s="26">
        <f t="shared" si="440"/>
        <v>-21.213333333333331</v>
      </c>
      <c r="AO1259" s="26">
        <f t="shared" si="441"/>
        <v>-18.145357142857137</v>
      </c>
      <c r="AP1259" s="26">
        <f t="shared" si="442"/>
        <v>-11.789203539822964</v>
      </c>
      <c r="AS1259" s="2">
        <v>44221</v>
      </c>
      <c r="AT1259">
        <v>9.1999999999999993</v>
      </c>
      <c r="AU1259">
        <v>0</v>
      </c>
      <c r="AV1259">
        <v>15</v>
      </c>
      <c r="AW1259">
        <v>1.4</v>
      </c>
      <c r="AX1259">
        <v>27.41</v>
      </c>
      <c r="AY1259">
        <v>0.1</v>
      </c>
      <c r="AZ1259">
        <v>2.9</v>
      </c>
      <c r="BA1259">
        <v>367.63830000000002</v>
      </c>
      <c r="BB1259">
        <v>222.2148</v>
      </c>
      <c r="BC1259">
        <v>223.50049999999999</v>
      </c>
      <c r="BD1259">
        <v>3.7652999999999999</v>
      </c>
      <c r="BE1259">
        <v>30.377800000000001</v>
      </c>
      <c r="BH1259">
        <v>55.35</v>
      </c>
    </row>
    <row r="1260" spans="1:60" x14ac:dyDescent="0.25">
      <c r="A1260" s="2">
        <v>44241</v>
      </c>
      <c r="B1260">
        <v>11.8</v>
      </c>
      <c r="C1260">
        <v>0</v>
      </c>
      <c r="D1260">
        <v>60.7</v>
      </c>
      <c r="E1260">
        <v>3.8</v>
      </c>
      <c r="F1260">
        <v>75.180000000000007</v>
      </c>
      <c r="G1260">
        <v>0.2</v>
      </c>
      <c r="H1260">
        <v>3.6</v>
      </c>
      <c r="I1260">
        <v>282.93079999999998</v>
      </c>
      <c r="J1260">
        <v>101.71380000000001</v>
      </c>
      <c r="K1260">
        <v>143.2869</v>
      </c>
      <c r="L1260">
        <v>3.7978999999999998</v>
      </c>
      <c r="M1260">
        <v>9.9343000000000004</v>
      </c>
      <c r="P1260">
        <v>41.82</v>
      </c>
      <c r="S1260">
        <f t="shared" si="421"/>
        <v>696.94369999999992</v>
      </c>
      <c r="T1260">
        <f t="shared" si="422"/>
        <v>1.1062086900192319E-2</v>
      </c>
      <c r="U1260">
        <f t="shared" si="423"/>
        <v>0</v>
      </c>
      <c r="V1260">
        <f t="shared" si="424"/>
        <v>5.6904124986582524E-2</v>
      </c>
      <c r="W1260">
        <f t="shared" si="425"/>
        <v>3.5623669678585433E-3</v>
      </c>
      <c r="X1260">
        <f t="shared" si="426"/>
        <v>7.0478618064106657E-2</v>
      </c>
      <c r="Y1260">
        <f t="shared" si="427"/>
        <v>1.874929983083444E-4</v>
      </c>
      <c r="Z1260">
        <f t="shared" si="428"/>
        <v>3.3748739695501988E-3</v>
      </c>
      <c r="AA1260">
        <f t="shared" si="429"/>
        <v>0.26523772002889257</v>
      </c>
      <c r="AB1260">
        <f t="shared" si="430"/>
        <v>9.5353126656676404E-2</v>
      </c>
      <c r="AC1260">
        <f t="shared" si="431"/>
        <v>0.13432645249653954</v>
      </c>
      <c r="AD1260">
        <f t="shared" si="432"/>
        <v>3.5603982913763057E-3</v>
      </c>
      <c r="AE1260">
        <f t="shared" si="433"/>
        <v>9.3130584654729284E-3</v>
      </c>
      <c r="AG1260">
        <f t="shared" si="434"/>
        <v>-2.3968875738238196</v>
      </c>
      <c r="AH1260">
        <f t="shared" si="435"/>
        <v>0.15488262235207148</v>
      </c>
      <c r="AI1260">
        <f t="shared" si="436"/>
        <v>-0.70363622286999528</v>
      </c>
      <c r="AK1260" s="26">
        <f t="shared" si="437"/>
        <v>-3.7845640273299633E-2</v>
      </c>
      <c r="AL1260" s="26">
        <f t="shared" si="438"/>
        <v>-3.745668158418998E-2</v>
      </c>
      <c r="AM1260" s="26">
        <f t="shared" si="439"/>
        <v>-1.8540610168336885E-2</v>
      </c>
      <c r="AN1260" s="26">
        <f t="shared" si="440"/>
        <v>-20.985238095238074</v>
      </c>
      <c r="AO1260" s="26">
        <f t="shared" si="441"/>
        <v>-17.916607142857146</v>
      </c>
      <c r="AP1260" s="26">
        <f t="shared" si="442"/>
        <v>-11.600176991150391</v>
      </c>
      <c r="AS1260" s="2">
        <v>44220</v>
      </c>
      <c r="AT1260">
        <v>8.6999999999999993</v>
      </c>
      <c r="AU1260">
        <v>0</v>
      </c>
      <c r="AV1260">
        <v>4.0999999999999996</v>
      </c>
      <c r="AW1260">
        <v>1.5</v>
      </c>
      <c r="AX1260">
        <v>25.56</v>
      </c>
      <c r="AY1260">
        <v>0.2</v>
      </c>
      <c r="AZ1260">
        <v>3.2</v>
      </c>
      <c r="BA1260">
        <v>366.32760000000002</v>
      </c>
      <c r="BB1260">
        <v>128.11250000000001</v>
      </c>
      <c r="BC1260">
        <v>126.2577</v>
      </c>
      <c r="BD1260">
        <v>3.6265000000000001</v>
      </c>
      <c r="BE1260">
        <v>16.421500000000002</v>
      </c>
      <c r="BH1260">
        <v>56.14</v>
      </c>
    </row>
    <row r="1261" spans="1:60" x14ac:dyDescent="0.25">
      <c r="A1261" s="2">
        <v>44240</v>
      </c>
      <c r="B1261">
        <v>12.8</v>
      </c>
      <c r="C1261">
        <v>0</v>
      </c>
      <c r="D1261">
        <v>9.6999999999999993</v>
      </c>
      <c r="E1261">
        <v>1.6</v>
      </c>
      <c r="F1261">
        <v>62.87</v>
      </c>
      <c r="G1261">
        <v>0.2</v>
      </c>
      <c r="H1261">
        <v>3.5</v>
      </c>
      <c r="I1261">
        <v>313.33359999999999</v>
      </c>
      <c r="J1261">
        <v>170.55889999999999</v>
      </c>
      <c r="K1261">
        <v>217.209</v>
      </c>
      <c r="L1261">
        <v>3.7827000000000002</v>
      </c>
      <c r="M1261">
        <v>22.3215</v>
      </c>
      <c r="P1261">
        <v>42.59</v>
      </c>
      <c r="S1261">
        <f t="shared" si="421"/>
        <v>817.87570000000005</v>
      </c>
      <c r="T1261">
        <f t="shared" si="422"/>
        <v>1.1999551891734041E-2</v>
      </c>
      <c r="U1261">
        <f t="shared" si="423"/>
        <v>0</v>
      </c>
      <c r="V1261">
        <f t="shared" si="424"/>
        <v>9.0934104179547018E-3</v>
      </c>
      <c r="W1261">
        <f t="shared" si="425"/>
        <v>1.4999439864667552E-3</v>
      </c>
      <c r="X1261">
        <f t="shared" si="426"/>
        <v>5.8938424018228054E-2</v>
      </c>
      <c r="Y1261">
        <f t="shared" si="427"/>
        <v>1.874929983083444E-4</v>
      </c>
      <c r="Z1261">
        <f t="shared" si="428"/>
        <v>3.2811274703960268E-3</v>
      </c>
      <c r="AA1261">
        <f t="shared" si="429"/>
        <v>0.29373928067373728</v>
      </c>
      <c r="AB1261">
        <f t="shared" si="430"/>
        <v>0.15989299774586538</v>
      </c>
      <c r="AC1261">
        <f t="shared" si="431"/>
        <v>0.20362583334778589</v>
      </c>
      <c r="AD1261">
        <f t="shared" si="432"/>
        <v>3.5461488235048718E-3</v>
      </c>
      <c r="AE1261">
        <f t="shared" si="433"/>
        <v>2.0925624808698546E-2</v>
      </c>
      <c r="AG1261">
        <f t="shared" si="434"/>
        <v>-2.3602951565711003</v>
      </c>
      <c r="AH1261">
        <f t="shared" si="435"/>
        <v>0.10592557559178647</v>
      </c>
      <c r="AI1261">
        <f t="shared" si="436"/>
        <v>-0.99310808593722366</v>
      </c>
      <c r="AK1261" s="26">
        <f t="shared" si="437"/>
        <v>-4.418443034482214E-2</v>
      </c>
      <c r="AL1261" s="26">
        <f t="shared" si="438"/>
        <v>-3.8440313378475879E-2</v>
      </c>
      <c r="AM1261" s="26">
        <f t="shared" si="439"/>
        <v>-1.8229214993903065E-2</v>
      </c>
      <c r="AN1261" s="26">
        <f t="shared" si="440"/>
        <v>-20.776190476190457</v>
      </c>
      <c r="AO1261" s="26">
        <f t="shared" si="441"/>
        <v>-17.690892857142856</v>
      </c>
      <c r="AP1261" s="26">
        <f t="shared" si="442"/>
        <v>-11.417522123893775</v>
      </c>
      <c r="AS1261" s="2">
        <v>44219</v>
      </c>
      <c r="AT1261">
        <v>10.8</v>
      </c>
      <c r="AU1261">
        <v>0</v>
      </c>
      <c r="AV1261">
        <v>43.1</v>
      </c>
      <c r="AW1261">
        <v>3.6</v>
      </c>
      <c r="AX1261">
        <v>20.059999999999999</v>
      </c>
      <c r="AY1261">
        <v>0.2</v>
      </c>
      <c r="AZ1261">
        <v>3.1</v>
      </c>
      <c r="BA1261">
        <v>373.25549999999998</v>
      </c>
      <c r="BB1261">
        <v>116.2195</v>
      </c>
      <c r="BC1261">
        <v>123.46980000000001</v>
      </c>
      <c r="BD1261">
        <v>3.6400999999999999</v>
      </c>
      <c r="BE1261">
        <v>22.195900000000002</v>
      </c>
      <c r="BH1261">
        <v>56.7</v>
      </c>
    </row>
    <row r="1262" spans="1:60" x14ac:dyDescent="0.25">
      <c r="A1262" s="2">
        <v>44239</v>
      </c>
      <c r="B1262">
        <v>13.8</v>
      </c>
      <c r="C1262">
        <v>0</v>
      </c>
      <c r="D1262">
        <v>43.6</v>
      </c>
      <c r="E1262">
        <v>2.2999999999999998</v>
      </c>
      <c r="F1262">
        <v>49.35</v>
      </c>
      <c r="G1262">
        <v>0.2</v>
      </c>
      <c r="H1262">
        <v>3.5</v>
      </c>
      <c r="I1262">
        <v>319.9384</v>
      </c>
      <c r="J1262">
        <v>221.501</v>
      </c>
      <c r="K1262">
        <v>250.5326</v>
      </c>
      <c r="L1262">
        <v>3.8012999999999999</v>
      </c>
      <c r="M1262">
        <v>21.9849</v>
      </c>
      <c r="N1262">
        <v>-3.0848</v>
      </c>
      <c r="O1262">
        <v>-9.1082999999999998</v>
      </c>
      <c r="P1262">
        <v>43.44</v>
      </c>
      <c r="S1262">
        <f t="shared" si="421"/>
        <v>930.50819999999999</v>
      </c>
      <c r="T1262">
        <f t="shared" si="422"/>
        <v>1.2937016883275762E-2</v>
      </c>
      <c r="U1262">
        <f t="shared" si="423"/>
        <v>0</v>
      </c>
      <c r="V1262">
        <f t="shared" si="424"/>
        <v>4.0873473631219077E-2</v>
      </c>
      <c r="W1262">
        <f t="shared" si="425"/>
        <v>2.1561694805459601E-3</v>
      </c>
      <c r="X1262">
        <f t="shared" si="426"/>
        <v>4.6263897332583979E-2</v>
      </c>
      <c r="Y1262">
        <f t="shared" si="427"/>
        <v>1.874929983083444E-4</v>
      </c>
      <c r="Z1262">
        <f t="shared" si="428"/>
        <v>3.2811274703960268E-3</v>
      </c>
      <c r="AA1262">
        <f t="shared" si="429"/>
        <v>0.29993104944987203</v>
      </c>
      <c r="AB1262">
        <f t="shared" si="430"/>
        <v>0.20764943309148295</v>
      </c>
      <c r="AC1262">
        <f t="shared" si="431"/>
        <v>0.2348655417399256</v>
      </c>
      <c r="AD1262">
        <f t="shared" si="432"/>
        <v>3.5635856723475472E-3</v>
      </c>
      <c r="AE1262">
        <f t="shared" si="433"/>
        <v>2.0610074092545602E-2</v>
      </c>
      <c r="AG1262">
        <f t="shared" si="434"/>
        <v>-2.3171037903271627</v>
      </c>
      <c r="AH1262">
        <f t="shared" si="435"/>
        <v>0.12630925188887476</v>
      </c>
      <c r="AI1262">
        <f t="shared" si="436"/>
        <v>-0.87308964994029747</v>
      </c>
      <c r="AK1262" s="26">
        <f t="shared" si="437"/>
        <v>-4.5865474711178758E-2</v>
      </c>
      <c r="AL1262" s="26">
        <f t="shared" si="438"/>
        <v>-3.7775108309013428E-2</v>
      </c>
      <c r="AM1262" s="26">
        <f t="shared" si="439"/>
        <v>-1.7594551194629326E-2</v>
      </c>
      <c r="AN1262" s="26">
        <f t="shared" si="440"/>
        <v>-20.59190476190475</v>
      </c>
      <c r="AO1262" s="26">
        <f t="shared" si="441"/>
        <v>-17.467321428571417</v>
      </c>
      <c r="AP1262" s="26">
        <f t="shared" si="442"/>
        <v>-11.237876106194648</v>
      </c>
      <c r="AS1262" s="2">
        <v>44218</v>
      </c>
      <c r="AT1262">
        <v>9.9</v>
      </c>
      <c r="AU1262">
        <v>0.2</v>
      </c>
      <c r="AV1262">
        <v>61.8</v>
      </c>
      <c r="AW1262">
        <v>11.1</v>
      </c>
      <c r="AX1262">
        <v>40.32</v>
      </c>
      <c r="AY1262">
        <v>0.1</v>
      </c>
      <c r="AZ1262">
        <v>2.9</v>
      </c>
      <c r="BA1262">
        <v>267.89859999999999</v>
      </c>
      <c r="BB1262">
        <v>115.7961</v>
      </c>
      <c r="BC1262">
        <v>144.85409999999999</v>
      </c>
      <c r="BD1262">
        <v>3.6585999999999999</v>
      </c>
      <c r="BE1262">
        <v>28.085899999999999</v>
      </c>
      <c r="BH1262">
        <v>57.25</v>
      </c>
    </row>
    <row r="1263" spans="1:60" x14ac:dyDescent="0.25">
      <c r="A1263" s="2">
        <v>44238</v>
      </c>
      <c r="B1263">
        <v>14.8</v>
      </c>
      <c r="C1263">
        <v>0</v>
      </c>
      <c r="D1263">
        <v>26.7</v>
      </c>
      <c r="E1263">
        <v>2.1</v>
      </c>
      <c r="F1263">
        <v>28.54</v>
      </c>
      <c r="G1263">
        <v>0.2</v>
      </c>
      <c r="H1263">
        <v>3</v>
      </c>
      <c r="I1263">
        <v>352.37560000000002</v>
      </c>
      <c r="J1263">
        <v>243.39519999999999</v>
      </c>
      <c r="K1263">
        <v>256.86470000000003</v>
      </c>
      <c r="L1263">
        <v>4.2941000000000003</v>
      </c>
      <c r="M1263">
        <v>26.775500000000001</v>
      </c>
      <c r="N1263">
        <v>-2.0341999999999998</v>
      </c>
      <c r="O1263">
        <v>-7.9714999999999998</v>
      </c>
      <c r="P1263">
        <v>44.35</v>
      </c>
      <c r="S1263">
        <f t="shared" si="421"/>
        <v>959.04509999999993</v>
      </c>
      <c r="T1263">
        <f t="shared" si="422"/>
        <v>1.3874481874817485E-2</v>
      </c>
      <c r="U1263">
        <f t="shared" si="423"/>
        <v>0</v>
      </c>
      <c r="V1263">
        <f t="shared" si="424"/>
        <v>2.5030315274163974E-2</v>
      </c>
      <c r="W1263">
        <f t="shared" si="425"/>
        <v>1.9686764822376161E-3</v>
      </c>
      <c r="X1263">
        <f t="shared" si="426"/>
        <v>2.6755250858600744E-2</v>
      </c>
      <c r="Y1263">
        <f t="shared" si="427"/>
        <v>1.874929983083444E-4</v>
      </c>
      <c r="Z1263">
        <f t="shared" si="428"/>
        <v>2.8123949746251659E-3</v>
      </c>
      <c r="AA1263">
        <f t="shared" si="429"/>
        <v>0.33033978887350918</v>
      </c>
      <c r="AB1263">
        <f t="shared" si="430"/>
        <v>0.2281744791092957</v>
      </c>
      <c r="AC1263">
        <f t="shared" si="431"/>
        <v>0.24080166381286697</v>
      </c>
      <c r="AD1263">
        <f t="shared" si="432"/>
        <v>4.0255684201793082E-3</v>
      </c>
      <c r="AE1263">
        <f t="shared" si="433"/>
        <v>2.5101093881025376E-2</v>
      </c>
      <c r="AG1263">
        <f t="shared" si="434"/>
        <v>-2.2686253344903689</v>
      </c>
      <c r="AH1263">
        <f t="shared" si="435"/>
        <v>9.5729706343778698E-2</v>
      </c>
      <c r="AI1263">
        <f t="shared" si="436"/>
        <v>-1.053782197329413</v>
      </c>
      <c r="AK1263" s="26">
        <f t="shared" si="437"/>
        <v>-4.2413929497677472E-2</v>
      </c>
      <c r="AL1263" s="26">
        <f t="shared" si="438"/>
        <v>-3.6382053746073312E-2</v>
      </c>
      <c r="AM1263" s="26">
        <f t="shared" si="439"/>
        <v>-1.6788777634793223E-2</v>
      </c>
      <c r="AN1263" s="26">
        <f t="shared" si="440"/>
        <v>-20.431904761904775</v>
      </c>
      <c r="AO1263" s="26">
        <f t="shared" si="441"/>
        <v>-17.246428571428574</v>
      </c>
      <c r="AP1263" s="26">
        <f t="shared" si="442"/>
        <v>-11.061238938053066</v>
      </c>
      <c r="AS1263" s="2">
        <v>44217</v>
      </c>
      <c r="AT1263">
        <v>9</v>
      </c>
      <c r="AU1263">
        <v>0.1</v>
      </c>
      <c r="AV1263">
        <v>53</v>
      </c>
      <c r="AW1263">
        <v>14.9</v>
      </c>
      <c r="AX1263">
        <v>44.16</v>
      </c>
      <c r="AY1263">
        <v>0.2</v>
      </c>
      <c r="AZ1263">
        <v>2.7</v>
      </c>
      <c r="BA1263">
        <v>188.63120000000001</v>
      </c>
      <c r="BB1263">
        <v>101.20910000000001</v>
      </c>
      <c r="BC1263">
        <v>83.122799999999998</v>
      </c>
      <c r="BD1263">
        <v>3.7595999999999998</v>
      </c>
      <c r="BE1263">
        <v>26.245899999999999</v>
      </c>
      <c r="BH1263">
        <v>57.85</v>
      </c>
    </row>
    <row r="1264" spans="1:60" x14ac:dyDescent="0.25">
      <c r="A1264" s="2">
        <v>44237</v>
      </c>
      <c r="B1264">
        <v>14.8</v>
      </c>
      <c r="C1264">
        <v>3.9</v>
      </c>
      <c r="D1264">
        <v>58.4</v>
      </c>
      <c r="E1264">
        <v>2.8</v>
      </c>
      <c r="F1264">
        <v>15.4</v>
      </c>
      <c r="G1264">
        <v>0.2</v>
      </c>
      <c r="H1264">
        <v>2.9</v>
      </c>
      <c r="I1264">
        <v>364.3338</v>
      </c>
      <c r="J1264">
        <v>232.8501</v>
      </c>
      <c r="K1264">
        <v>231.3176</v>
      </c>
      <c r="L1264">
        <v>5.6025</v>
      </c>
      <c r="M1264">
        <v>33.583799999999997</v>
      </c>
      <c r="N1264">
        <v>-2.6604999999999999</v>
      </c>
      <c r="O1264">
        <v>-7.3535000000000004</v>
      </c>
      <c r="P1264">
        <v>45.25</v>
      </c>
      <c r="S1264">
        <f t="shared" si="421"/>
        <v>966.0877999999999</v>
      </c>
      <c r="T1264">
        <f t="shared" si="422"/>
        <v>1.3874481874817485E-2</v>
      </c>
      <c r="U1264">
        <f t="shared" si="423"/>
        <v>3.6561134670127153E-3</v>
      </c>
      <c r="V1264">
        <f t="shared" si="424"/>
        <v>5.4747955506036561E-2</v>
      </c>
      <c r="W1264">
        <f t="shared" si="425"/>
        <v>2.624901976316821E-3</v>
      </c>
      <c r="X1264">
        <f t="shared" si="426"/>
        <v>1.4436960869742518E-2</v>
      </c>
      <c r="Y1264">
        <f t="shared" si="427"/>
        <v>1.874929983083444E-4</v>
      </c>
      <c r="Z1264">
        <f t="shared" si="428"/>
        <v>2.7186484754709935E-3</v>
      </c>
      <c r="AA1264">
        <f t="shared" si="429"/>
        <v>0.34155018273536342</v>
      </c>
      <c r="AB1264">
        <f t="shared" si="430"/>
        <v>0.2182888170269891</v>
      </c>
      <c r="AC1264">
        <f t="shared" si="431"/>
        <v>0.21685215192745141</v>
      </c>
      <c r="AD1264">
        <f t="shared" si="432"/>
        <v>5.2521476151124969E-3</v>
      </c>
      <c r="AE1264">
        <f t="shared" si="433"/>
        <v>3.1483636782938876E-2</v>
      </c>
      <c r="AG1264">
        <f t="shared" si="434"/>
        <v>-2.2197812065391487</v>
      </c>
      <c r="AH1264">
        <f t="shared" si="435"/>
        <v>0.12373019195064432</v>
      </c>
      <c r="AI1264">
        <f t="shared" si="436"/>
        <v>-0.89072712513585073</v>
      </c>
      <c r="AK1264" s="26">
        <f t="shared" si="437"/>
        <v>-4.2427406672960646E-2</v>
      </c>
      <c r="AL1264" s="26">
        <f t="shared" si="438"/>
        <v>-3.3928830068466476E-2</v>
      </c>
      <c r="AM1264" s="26">
        <f t="shared" si="439"/>
        <v>-1.5890159367347889E-2</v>
      </c>
      <c r="AN1264" s="26">
        <f t="shared" si="440"/>
        <v>-20.29476190476192</v>
      </c>
      <c r="AO1264" s="26">
        <f t="shared" si="441"/>
        <v>-17.028928571428551</v>
      </c>
      <c r="AP1264" s="26">
        <f t="shared" si="442"/>
        <v>-10.886991150442441</v>
      </c>
      <c r="AS1264" s="2">
        <v>44216</v>
      </c>
      <c r="AT1264">
        <v>10.7</v>
      </c>
      <c r="AU1264">
        <v>2</v>
      </c>
      <c r="AV1264">
        <v>88.7</v>
      </c>
      <c r="AW1264">
        <v>13.6</v>
      </c>
      <c r="AX1264">
        <v>37.44</v>
      </c>
      <c r="AY1264">
        <v>0.2</v>
      </c>
      <c r="AZ1264">
        <v>3.1</v>
      </c>
      <c r="BA1264">
        <v>227.87899999999999</v>
      </c>
      <c r="BB1264">
        <v>112.0279</v>
      </c>
      <c r="BC1264">
        <v>85.114000000000004</v>
      </c>
      <c r="BD1264">
        <v>5.7351999999999999</v>
      </c>
      <c r="BE1264">
        <v>23.395600000000002</v>
      </c>
      <c r="BH1264">
        <v>58.41</v>
      </c>
    </row>
    <row r="1265" spans="1:60" x14ac:dyDescent="0.25">
      <c r="A1265" s="2">
        <v>44236</v>
      </c>
      <c r="B1265">
        <v>14.9</v>
      </c>
      <c r="C1265">
        <v>4.5999999999999996</v>
      </c>
      <c r="D1265">
        <v>86.9</v>
      </c>
      <c r="E1265">
        <v>4.9000000000000004</v>
      </c>
      <c r="F1265">
        <v>13.49</v>
      </c>
      <c r="G1265">
        <v>0.2</v>
      </c>
      <c r="H1265">
        <v>3.2</v>
      </c>
      <c r="I1265">
        <v>355.9545</v>
      </c>
      <c r="J1265">
        <v>231.66050000000001</v>
      </c>
      <c r="K1265">
        <v>229.05619999999999</v>
      </c>
      <c r="L1265">
        <v>5.7000999999999999</v>
      </c>
      <c r="M1265">
        <v>34.394100000000002</v>
      </c>
      <c r="N1265">
        <v>-2.4468000000000001</v>
      </c>
      <c r="O1265">
        <v>-6.3800999999999997</v>
      </c>
      <c r="P1265">
        <v>46.15</v>
      </c>
      <c r="S1265">
        <f t="shared" si="421"/>
        <v>984.95540000000005</v>
      </c>
      <c r="T1265">
        <f t="shared" si="422"/>
        <v>1.3968228373971657E-2</v>
      </c>
      <c r="U1265">
        <f t="shared" si="423"/>
        <v>4.3123389610919202E-3</v>
      </c>
      <c r="V1265">
        <f t="shared" si="424"/>
        <v>8.1465707764975637E-2</v>
      </c>
      <c r="W1265">
        <f t="shared" si="425"/>
        <v>4.5935784585544375E-3</v>
      </c>
      <c r="X1265">
        <f t="shared" si="426"/>
        <v>1.2646402735897828E-2</v>
      </c>
      <c r="Y1265">
        <f t="shared" si="427"/>
        <v>1.874929983083444E-4</v>
      </c>
      <c r="Z1265">
        <f t="shared" si="428"/>
        <v>2.9998879729335104E-3</v>
      </c>
      <c r="AA1265">
        <f t="shared" si="429"/>
        <v>0.33369488233173783</v>
      </c>
      <c r="AB1265">
        <f t="shared" si="430"/>
        <v>0.21717360867305108</v>
      </c>
      <c r="AC1265">
        <f t="shared" si="431"/>
        <v>0.21473216859557895</v>
      </c>
      <c r="AD1265">
        <f t="shared" si="432"/>
        <v>5.3436441982869691E-3</v>
      </c>
      <c r="AE1265">
        <f t="shared" si="433"/>
        <v>3.2243264665585136E-2</v>
      </c>
      <c r="AG1265">
        <f t="shared" si="434"/>
        <v>-2.1699041726202011</v>
      </c>
      <c r="AH1265">
        <f t="shared" si="435"/>
        <v>0.15241690193131846</v>
      </c>
      <c r="AI1265">
        <f t="shared" si="436"/>
        <v>-0.72293636268760575</v>
      </c>
      <c r="AK1265" s="26">
        <f t="shared" si="437"/>
        <v>-3.8974111524808466E-2</v>
      </c>
      <c r="AL1265" s="26">
        <f t="shared" si="438"/>
        <v>-3.3539283231677555E-2</v>
      </c>
      <c r="AM1265" s="26">
        <f t="shared" si="439"/>
        <v>-1.53226271872339E-2</v>
      </c>
      <c r="AN1265" s="26">
        <f t="shared" si="440"/>
        <v>-20.19285714285715</v>
      </c>
      <c r="AO1265" s="26">
        <f t="shared" si="441"/>
        <v>-16.817321428571432</v>
      </c>
      <c r="AP1265" s="26">
        <f t="shared" si="442"/>
        <v>-10.716902654867226</v>
      </c>
      <c r="AS1265" s="2">
        <v>44215</v>
      </c>
      <c r="AT1265">
        <v>10.8</v>
      </c>
      <c r="AU1265">
        <v>0</v>
      </c>
      <c r="AV1265">
        <v>69.7</v>
      </c>
      <c r="AW1265">
        <v>4.8</v>
      </c>
      <c r="AX1265">
        <v>12.01</v>
      </c>
      <c r="AY1265">
        <v>0.1</v>
      </c>
      <c r="AZ1265">
        <v>2.9</v>
      </c>
      <c r="BA1265">
        <v>323.29840000000002</v>
      </c>
      <c r="BB1265">
        <v>143.1232</v>
      </c>
      <c r="BC1265">
        <v>95.992800000000003</v>
      </c>
      <c r="BD1265">
        <v>6.6760999999999999</v>
      </c>
      <c r="BE1265">
        <v>25.648099999999999</v>
      </c>
      <c r="BH1265">
        <v>59.07</v>
      </c>
    </row>
    <row r="1266" spans="1:60" x14ac:dyDescent="0.25">
      <c r="A1266" s="2">
        <v>44235</v>
      </c>
      <c r="B1266">
        <v>14.6</v>
      </c>
      <c r="C1266">
        <v>3.2</v>
      </c>
      <c r="D1266">
        <v>74.5</v>
      </c>
      <c r="E1266">
        <v>9.9</v>
      </c>
      <c r="F1266">
        <v>22.35</v>
      </c>
      <c r="G1266">
        <v>0.2</v>
      </c>
      <c r="H1266">
        <v>3.1</v>
      </c>
      <c r="I1266">
        <v>303.96339999999998</v>
      </c>
      <c r="J1266">
        <v>159.5249</v>
      </c>
      <c r="K1266">
        <v>181.91640000000001</v>
      </c>
      <c r="L1266">
        <v>3.8376999999999999</v>
      </c>
      <c r="M1266">
        <v>31.520499999999998</v>
      </c>
      <c r="N1266">
        <v>-4.7150999999999996</v>
      </c>
      <c r="O1266">
        <v>-6.6787999999999998</v>
      </c>
      <c r="P1266">
        <v>47.04</v>
      </c>
      <c r="S1266">
        <f t="shared" si="421"/>
        <v>808.61289999999997</v>
      </c>
      <c r="T1266">
        <f t="shared" si="422"/>
        <v>1.368698887650914E-2</v>
      </c>
      <c r="U1266">
        <f t="shared" si="423"/>
        <v>2.9998879729335104E-3</v>
      </c>
      <c r="V1266">
        <f t="shared" si="424"/>
        <v>6.9841141869858278E-2</v>
      </c>
      <c r="W1266">
        <f t="shared" si="425"/>
        <v>9.2809034162630467E-3</v>
      </c>
      <c r="X1266">
        <f t="shared" si="426"/>
        <v>2.0952342560957488E-2</v>
      </c>
      <c r="Y1266">
        <f t="shared" si="427"/>
        <v>1.874929983083444E-4</v>
      </c>
      <c r="Z1266">
        <f t="shared" si="428"/>
        <v>2.9061414737793379E-3</v>
      </c>
      <c r="AA1266">
        <f t="shared" si="429"/>
        <v>0.28495504620999301</v>
      </c>
      <c r="AB1266">
        <f t="shared" si="430"/>
        <v>0.14954900902919405</v>
      </c>
      <c r="AC1266">
        <f t="shared" si="431"/>
        <v>0.1705402563873005</v>
      </c>
      <c r="AD1266">
        <f t="shared" si="432"/>
        <v>3.597709398039666E-3</v>
      </c>
      <c r="AE1266">
        <f t="shared" si="433"/>
        <v>2.9549365265890845E-2</v>
      </c>
      <c r="AG1266">
        <f t="shared" si="434"/>
        <v>-2.1196944189654245</v>
      </c>
      <c r="AH1266">
        <f t="shared" si="435"/>
        <v>0.1494042644345</v>
      </c>
      <c r="AI1266">
        <f t="shared" si="436"/>
        <v>-0.7411563102176506</v>
      </c>
      <c r="AK1266" s="26">
        <f t="shared" si="437"/>
        <v>-4.1951522658540019E-2</v>
      </c>
      <c r="AL1266" s="26">
        <f t="shared" si="438"/>
        <v>-3.3767601156322921E-2</v>
      </c>
      <c r="AM1266" s="26">
        <f t="shared" si="439"/>
        <v>-1.4996720386577067E-2</v>
      </c>
      <c r="AN1266" s="26">
        <f t="shared" si="440"/>
        <v>-20.11904761904762</v>
      </c>
      <c r="AO1266" s="26">
        <f t="shared" si="441"/>
        <v>-16.612321428571448</v>
      </c>
      <c r="AP1266" s="26">
        <f t="shared" si="442"/>
        <v>-10.551238938053075</v>
      </c>
      <c r="AS1266" s="2">
        <v>44214</v>
      </c>
      <c r="AT1266">
        <v>9.6</v>
      </c>
      <c r="AU1266">
        <v>2.2999999999999998</v>
      </c>
      <c r="AV1266">
        <v>65.900000000000006</v>
      </c>
      <c r="AW1266">
        <v>7.3</v>
      </c>
      <c r="AX1266">
        <v>11.94</v>
      </c>
      <c r="AY1266">
        <v>0.3</v>
      </c>
      <c r="AZ1266">
        <v>2.9</v>
      </c>
      <c r="BA1266">
        <v>372.6474</v>
      </c>
      <c r="BB1266">
        <v>180.09100000000001</v>
      </c>
      <c r="BC1266">
        <v>191.62119999999999</v>
      </c>
      <c r="BD1266">
        <v>4.4989999999999997</v>
      </c>
      <c r="BE1266">
        <v>27.115400000000001</v>
      </c>
      <c r="BH1266">
        <v>59.88</v>
      </c>
    </row>
    <row r="1267" spans="1:60" x14ac:dyDescent="0.25">
      <c r="A1267" s="2">
        <v>44234</v>
      </c>
      <c r="B1267">
        <v>12.8</v>
      </c>
      <c r="C1267">
        <v>0</v>
      </c>
      <c r="D1267">
        <v>53.4</v>
      </c>
      <c r="E1267">
        <v>14.4</v>
      </c>
      <c r="F1267">
        <v>16.309999999999999</v>
      </c>
      <c r="G1267">
        <v>0.3</v>
      </c>
      <c r="H1267">
        <v>2.9</v>
      </c>
      <c r="I1267">
        <v>130.65559999999999</v>
      </c>
      <c r="J1267">
        <v>78.442499999999995</v>
      </c>
      <c r="K1267">
        <v>81.901499999999999</v>
      </c>
      <c r="L1267">
        <v>3.7989000000000002</v>
      </c>
      <c r="M1267">
        <v>18.153500000000001</v>
      </c>
      <c r="P1267">
        <v>47.87</v>
      </c>
      <c r="S1267">
        <f t="shared" si="421"/>
        <v>413.06200000000001</v>
      </c>
      <c r="T1267">
        <f t="shared" si="422"/>
        <v>1.1999551891734041E-2</v>
      </c>
      <c r="U1267">
        <f t="shared" si="423"/>
        <v>0</v>
      </c>
      <c r="V1267">
        <f t="shared" si="424"/>
        <v>5.0060630548327947E-2</v>
      </c>
      <c r="W1267">
        <f t="shared" si="425"/>
        <v>1.3499495878200795E-2</v>
      </c>
      <c r="X1267">
        <f t="shared" si="426"/>
        <v>1.5290054012045484E-2</v>
      </c>
      <c r="Y1267">
        <f t="shared" si="427"/>
        <v>2.8123949746251657E-4</v>
      </c>
      <c r="Z1267">
        <f t="shared" si="428"/>
        <v>2.7186484754709935E-3</v>
      </c>
      <c r="AA1267">
        <f t="shared" si="429"/>
        <v>0.1224850509488786</v>
      </c>
      <c r="AB1267">
        <f t="shared" si="430"/>
        <v>7.3537097599011517E-2</v>
      </c>
      <c r="AC1267">
        <f t="shared" si="431"/>
        <v>7.6779789004754337E-2</v>
      </c>
      <c r="AD1267">
        <f t="shared" si="432"/>
        <v>3.5613357563678474E-3</v>
      </c>
      <c r="AE1267">
        <f t="shared" si="433"/>
        <v>1.701827072395265E-2</v>
      </c>
      <c r="AG1267">
        <f t="shared" si="434"/>
        <v>-2.072811509534807</v>
      </c>
      <c r="AH1267">
        <f t="shared" si="435"/>
        <v>0.11086789102719444</v>
      </c>
      <c r="AI1267">
        <f t="shared" si="436"/>
        <v>-0.96893884311428113</v>
      </c>
      <c r="AK1267" s="26">
        <f t="shared" si="437"/>
        <v>-4.0867938123649944E-2</v>
      </c>
      <c r="AL1267" s="26">
        <f t="shared" si="438"/>
        <v>-3.2672831213245102E-2</v>
      </c>
      <c r="AM1267" s="26">
        <f t="shared" si="439"/>
        <v>-1.420640089564576E-2</v>
      </c>
      <c r="AN1267" s="26">
        <f t="shared" si="440"/>
        <v>-20.064285714285717</v>
      </c>
      <c r="AO1267" s="26">
        <f t="shared" si="441"/>
        <v>-16.412678571428614</v>
      </c>
      <c r="AP1267" s="26">
        <f t="shared" si="442"/>
        <v>-10.389026548672533</v>
      </c>
      <c r="AS1267" s="2">
        <v>44213</v>
      </c>
      <c r="AT1267">
        <v>9.6999999999999993</v>
      </c>
      <c r="AU1267">
        <v>4.5999999999999996</v>
      </c>
      <c r="AV1267">
        <v>33.700000000000003</v>
      </c>
      <c r="AW1267">
        <v>1.2</v>
      </c>
      <c r="AX1267">
        <v>15.51</v>
      </c>
      <c r="AY1267">
        <v>0.6</v>
      </c>
      <c r="AZ1267">
        <v>3.1</v>
      </c>
      <c r="BA1267">
        <v>352.88189999999997</v>
      </c>
      <c r="BB1267">
        <v>163.1884</v>
      </c>
      <c r="BC1267">
        <v>161.24549999999999</v>
      </c>
      <c r="BD1267">
        <v>3.7669000000000001</v>
      </c>
      <c r="BE1267">
        <v>17.8432</v>
      </c>
      <c r="BH1267">
        <v>60.8</v>
      </c>
    </row>
    <row r="1268" spans="1:60" x14ac:dyDescent="0.25">
      <c r="A1268" s="2">
        <v>44233</v>
      </c>
      <c r="B1268">
        <v>12.1</v>
      </c>
      <c r="C1268">
        <v>0</v>
      </c>
      <c r="D1268">
        <v>80.900000000000006</v>
      </c>
      <c r="E1268">
        <v>11.9</v>
      </c>
      <c r="F1268">
        <v>24.96</v>
      </c>
      <c r="G1268">
        <v>0.6</v>
      </c>
      <c r="H1268">
        <v>3.2</v>
      </c>
      <c r="I1268">
        <v>161.7527</v>
      </c>
      <c r="J1268">
        <v>73.530699999999996</v>
      </c>
      <c r="K1268">
        <v>93.761600000000001</v>
      </c>
      <c r="L1268">
        <v>3.7210000000000001</v>
      </c>
      <c r="M1268">
        <v>16.539000000000001</v>
      </c>
      <c r="P1268">
        <v>48.4</v>
      </c>
      <c r="S1268">
        <f t="shared" si="421"/>
        <v>482.96499999999997</v>
      </c>
      <c r="T1268">
        <f t="shared" si="422"/>
        <v>1.1343326397654835E-2</v>
      </c>
      <c r="U1268">
        <f t="shared" si="423"/>
        <v>0</v>
      </c>
      <c r="V1268">
        <f t="shared" si="424"/>
        <v>7.5840917815725314E-2</v>
      </c>
      <c r="W1268">
        <f t="shared" si="425"/>
        <v>1.115583339934649E-2</v>
      </c>
      <c r="X1268">
        <f t="shared" si="426"/>
        <v>2.3399126188881379E-2</v>
      </c>
      <c r="Y1268">
        <f t="shared" si="427"/>
        <v>5.6247899492503314E-4</v>
      </c>
      <c r="Z1268">
        <f t="shared" si="428"/>
        <v>2.9998879729335104E-3</v>
      </c>
      <c r="AA1268">
        <f t="shared" si="429"/>
        <v>0.15163749353735068</v>
      </c>
      <c r="AB1268">
        <f t="shared" si="430"/>
        <v>6.8932457053556884E-2</v>
      </c>
      <c r="AC1268">
        <f t="shared" si="431"/>
        <v>8.789821755093831E-2</v>
      </c>
      <c r="AD1268">
        <f t="shared" si="432"/>
        <v>3.4883072335267474E-3</v>
      </c>
      <c r="AE1268">
        <f t="shared" si="433"/>
        <v>1.5504733495108541E-2</v>
      </c>
      <c r="AG1268">
        <f t="shared" si="434"/>
        <v>-2.0468418848004197</v>
      </c>
      <c r="AH1268">
        <f t="shared" si="435"/>
        <v>0.14080630426457511</v>
      </c>
      <c r="AI1268">
        <f t="shared" si="436"/>
        <v>-0.79404254875445368</v>
      </c>
      <c r="AK1268" s="26">
        <f t="shared" si="437"/>
        <v>-4.3282468491745815E-2</v>
      </c>
      <c r="AL1268" s="26">
        <f t="shared" si="438"/>
        <v>-3.2929917594818406E-2</v>
      </c>
      <c r="AM1268" s="26">
        <f t="shared" si="439"/>
        <v>-1.4496606042810556E-2</v>
      </c>
      <c r="AN1268" s="26">
        <f t="shared" si="440"/>
        <v>-20.012380952380951</v>
      </c>
      <c r="AO1268" s="26">
        <f t="shared" si="441"/>
        <v>-16.215357142857172</v>
      </c>
      <c r="AP1268" s="26">
        <f t="shared" si="442"/>
        <v>-10.231415929203493</v>
      </c>
      <c r="AS1268" s="2">
        <v>44212</v>
      </c>
      <c r="AT1268">
        <v>11.8</v>
      </c>
      <c r="AU1268">
        <v>0.8</v>
      </c>
      <c r="AV1268">
        <v>35.200000000000003</v>
      </c>
      <c r="AW1268">
        <v>1.7</v>
      </c>
      <c r="AX1268">
        <v>15.54</v>
      </c>
      <c r="AY1268">
        <v>0.5</v>
      </c>
      <c r="AZ1268">
        <v>3.1</v>
      </c>
      <c r="BA1268">
        <v>381.2747</v>
      </c>
      <c r="BB1268">
        <v>174.11500000000001</v>
      </c>
      <c r="BC1268">
        <v>207.88419999999999</v>
      </c>
      <c r="BD1268">
        <v>3.7945000000000002</v>
      </c>
      <c r="BE1268">
        <v>14.0709</v>
      </c>
      <c r="BH1268">
        <v>61.61</v>
      </c>
    </row>
    <row r="1269" spans="1:60" x14ac:dyDescent="0.25">
      <c r="A1269" s="2">
        <v>44232</v>
      </c>
      <c r="B1269">
        <v>12.1</v>
      </c>
      <c r="C1269">
        <v>0</v>
      </c>
      <c r="D1269">
        <v>94.5</v>
      </c>
      <c r="E1269">
        <v>6.6</v>
      </c>
      <c r="F1269">
        <v>33.83</v>
      </c>
      <c r="G1269">
        <v>0.6</v>
      </c>
      <c r="H1269">
        <v>3.2</v>
      </c>
      <c r="I1269">
        <v>328.43880000000001</v>
      </c>
      <c r="J1269">
        <v>128.72049999999999</v>
      </c>
      <c r="K1269">
        <v>167.327</v>
      </c>
      <c r="L1269">
        <v>2.9037999999999999</v>
      </c>
      <c r="M1269">
        <v>26.846699999999998</v>
      </c>
      <c r="N1269">
        <v>-2.5440999999999998</v>
      </c>
      <c r="O1269">
        <v>-7.0675999999999997</v>
      </c>
      <c r="P1269">
        <v>48.8</v>
      </c>
      <c r="S1269">
        <f t="shared" si="421"/>
        <v>805.06680000000006</v>
      </c>
      <c r="T1269">
        <f t="shared" si="422"/>
        <v>1.1343326397654835E-2</v>
      </c>
      <c r="U1269">
        <f t="shared" si="423"/>
        <v>0</v>
      </c>
      <c r="V1269">
        <f t="shared" si="424"/>
        <v>8.8590441700692718E-2</v>
      </c>
      <c r="W1269">
        <f t="shared" si="425"/>
        <v>6.1872689441753639E-3</v>
      </c>
      <c r="X1269">
        <f t="shared" si="426"/>
        <v>3.1714440663856452E-2</v>
      </c>
      <c r="Y1269">
        <f t="shared" si="427"/>
        <v>5.6247899492503314E-4</v>
      </c>
      <c r="Z1269">
        <f t="shared" si="428"/>
        <v>2.9998879729335104E-3</v>
      </c>
      <c r="AA1269">
        <f t="shared" si="429"/>
        <v>0.3078998768639733</v>
      </c>
      <c r="AB1269">
        <f t="shared" si="430"/>
        <v>0.1206709624437462</v>
      </c>
      <c r="AC1269">
        <f t="shared" si="431"/>
        <v>0.15686320463970169</v>
      </c>
      <c r="AD1269">
        <f t="shared" si="432"/>
        <v>2.7222108424388518E-3</v>
      </c>
      <c r="AE1269">
        <f t="shared" si="433"/>
        <v>2.5167841388423144E-2</v>
      </c>
      <c r="AG1269">
        <f t="shared" si="434"/>
        <v>-2.0299058943284924</v>
      </c>
      <c r="AH1269">
        <f t="shared" si="435"/>
        <v>0.16656568606266109</v>
      </c>
      <c r="AI1269">
        <f t="shared" si="436"/>
        <v>-0.64189102927476449</v>
      </c>
      <c r="AK1269" s="26">
        <f t="shared" si="437"/>
        <v>-4.6895217506721182E-2</v>
      </c>
      <c r="AL1269" s="26">
        <f t="shared" si="438"/>
        <v>-3.2105355195106225E-2</v>
      </c>
      <c r="AM1269" s="26">
        <f t="shared" si="439"/>
        <v>-1.466787011176976E-2</v>
      </c>
      <c r="AN1269" s="26">
        <f t="shared" si="440"/>
        <v>-19.949523809523797</v>
      </c>
      <c r="AO1269" s="26">
        <f t="shared" si="441"/>
        <v>-16.018214285714308</v>
      </c>
      <c r="AP1269" s="26">
        <f t="shared" si="442"/>
        <v>-10.071769911504404</v>
      </c>
      <c r="AS1269" s="2">
        <v>44211</v>
      </c>
      <c r="AT1269">
        <v>12</v>
      </c>
      <c r="AU1269">
        <v>0.4</v>
      </c>
      <c r="AV1269">
        <v>16.8</v>
      </c>
      <c r="AW1269">
        <v>2.1</v>
      </c>
      <c r="AX1269">
        <v>22.66</v>
      </c>
      <c r="AY1269">
        <v>0.6</v>
      </c>
      <c r="AZ1269">
        <v>2.9</v>
      </c>
      <c r="BA1269">
        <v>382.52839999999998</v>
      </c>
      <c r="BB1269">
        <v>243.23439999999999</v>
      </c>
      <c r="BC1269">
        <v>244.08920000000001</v>
      </c>
      <c r="BD1269">
        <v>3.8692000000000002</v>
      </c>
      <c r="BE1269">
        <v>38.197699999999998</v>
      </c>
      <c r="BH1269">
        <v>62.46</v>
      </c>
    </row>
    <row r="1270" spans="1:60" x14ac:dyDescent="0.25">
      <c r="A1270" s="2">
        <v>44231</v>
      </c>
      <c r="B1270">
        <v>13.6</v>
      </c>
      <c r="C1270">
        <v>0</v>
      </c>
      <c r="D1270">
        <v>82.8</v>
      </c>
      <c r="E1270">
        <v>3.8</v>
      </c>
      <c r="F1270">
        <v>63.82</v>
      </c>
      <c r="G1270">
        <v>0.6</v>
      </c>
      <c r="H1270">
        <v>3.2</v>
      </c>
      <c r="I1270">
        <v>314.55009999999999</v>
      </c>
      <c r="J1270">
        <v>160.5445</v>
      </c>
      <c r="K1270">
        <v>167.679</v>
      </c>
      <c r="L1270">
        <v>1.6491</v>
      </c>
      <c r="M1270">
        <v>30.5671</v>
      </c>
      <c r="N1270">
        <v>-3.2517</v>
      </c>
      <c r="O1270">
        <v>-7.4709000000000003</v>
      </c>
      <c r="P1270">
        <v>49.28</v>
      </c>
      <c r="S1270">
        <f t="shared" si="421"/>
        <v>842.80979999999988</v>
      </c>
      <c r="T1270">
        <f t="shared" si="422"/>
        <v>1.2749523884967418E-2</v>
      </c>
      <c r="U1270">
        <f t="shared" si="423"/>
        <v>0</v>
      </c>
      <c r="V1270">
        <f t="shared" si="424"/>
        <v>7.7622101299654578E-2</v>
      </c>
      <c r="W1270">
        <f t="shared" si="425"/>
        <v>3.5623669678585433E-3</v>
      </c>
      <c r="X1270">
        <f t="shared" si="426"/>
        <v>5.9829015760192693E-2</v>
      </c>
      <c r="Y1270">
        <f t="shared" si="427"/>
        <v>5.6247899492503314E-4</v>
      </c>
      <c r="Z1270">
        <f t="shared" si="428"/>
        <v>2.9998879729335104E-3</v>
      </c>
      <c r="AA1270">
        <f t="shared" si="429"/>
        <v>0.29487970683594777</v>
      </c>
      <c r="AB1270">
        <f t="shared" si="430"/>
        <v>0.15050484833456998</v>
      </c>
      <c r="AC1270">
        <f t="shared" si="431"/>
        <v>0.15719319231672438</v>
      </c>
      <c r="AD1270">
        <f t="shared" si="432"/>
        <v>1.5459735175514537E-3</v>
      </c>
      <c r="AE1270">
        <f t="shared" si="433"/>
        <v>2.8655586142954968E-2</v>
      </c>
      <c r="AG1270">
        <f t="shared" si="434"/>
        <v>-2.0068369132042227</v>
      </c>
      <c r="AH1270">
        <f t="shared" si="435"/>
        <v>0.18598096102348674</v>
      </c>
      <c r="AI1270">
        <f t="shared" si="436"/>
        <v>-0.52704531017800249</v>
      </c>
      <c r="AK1270" s="26">
        <f t="shared" si="437"/>
        <v>-5.1022509806720823E-2</v>
      </c>
      <c r="AL1270" s="26">
        <f t="shared" si="438"/>
        <v>-3.5298376022698988E-2</v>
      </c>
      <c r="AM1270" s="26">
        <f t="shared" si="439"/>
        <v>-1.5024427869574919E-2</v>
      </c>
      <c r="AN1270" s="26">
        <f t="shared" si="440"/>
        <v>-19.860476190476192</v>
      </c>
      <c r="AO1270" s="26">
        <f t="shared" si="441"/>
        <v>-15.816071428571462</v>
      </c>
      <c r="AP1270" s="26">
        <f t="shared" si="442"/>
        <v>-9.9085840707964508</v>
      </c>
      <c r="AS1270" s="2">
        <v>44210</v>
      </c>
      <c r="AT1270">
        <v>11.7</v>
      </c>
      <c r="AU1270">
        <v>2.2000000000000002</v>
      </c>
      <c r="AV1270">
        <v>44.1</v>
      </c>
      <c r="AW1270">
        <v>5.4</v>
      </c>
      <c r="AX1270">
        <v>13.71</v>
      </c>
      <c r="AY1270">
        <v>0.6</v>
      </c>
      <c r="AZ1270">
        <v>3.1</v>
      </c>
      <c r="BA1270">
        <v>340.23700000000002</v>
      </c>
      <c r="BB1270">
        <v>217.4427</v>
      </c>
      <c r="BC1270">
        <v>207.88640000000001</v>
      </c>
      <c r="BD1270">
        <v>4.0065</v>
      </c>
      <c r="BE1270">
        <v>33.8476</v>
      </c>
      <c r="BH1270">
        <v>63.42</v>
      </c>
    </row>
    <row r="1271" spans="1:60" x14ac:dyDescent="0.25">
      <c r="A1271" s="2">
        <v>44230</v>
      </c>
      <c r="B1271">
        <v>13.7</v>
      </c>
      <c r="C1271">
        <v>1.1000000000000001</v>
      </c>
      <c r="D1271">
        <v>83.1</v>
      </c>
      <c r="E1271">
        <v>6.7</v>
      </c>
      <c r="F1271">
        <v>16.75</v>
      </c>
      <c r="G1271">
        <v>0.4</v>
      </c>
      <c r="H1271">
        <v>3.4</v>
      </c>
      <c r="I1271">
        <v>311.11599999999999</v>
      </c>
      <c r="J1271">
        <v>117.61579999999999</v>
      </c>
      <c r="K1271">
        <v>137.32140000000001</v>
      </c>
      <c r="L1271">
        <v>3.6960000000000002</v>
      </c>
      <c r="M1271">
        <v>28.742699999999999</v>
      </c>
      <c r="N1271">
        <v>-4.2308000000000003</v>
      </c>
      <c r="O1271">
        <v>-8.3223000000000003</v>
      </c>
      <c r="P1271">
        <v>49.79</v>
      </c>
      <c r="S1271">
        <f t="shared" si="421"/>
        <v>723.64190000000008</v>
      </c>
      <c r="T1271">
        <f t="shared" si="422"/>
        <v>1.2843270384121589E-2</v>
      </c>
      <c r="U1271">
        <f t="shared" si="423"/>
        <v>1.0312114906958943E-3</v>
      </c>
      <c r="V1271">
        <f t="shared" si="424"/>
        <v>7.7903340797117082E-2</v>
      </c>
      <c r="W1271">
        <f t="shared" si="425"/>
        <v>6.2810154433295372E-3</v>
      </c>
      <c r="X1271">
        <f t="shared" si="426"/>
        <v>1.5702538608323841E-2</v>
      </c>
      <c r="Y1271">
        <f t="shared" si="427"/>
        <v>3.7498599661668879E-4</v>
      </c>
      <c r="Z1271">
        <f t="shared" si="428"/>
        <v>3.1873809712418544E-3</v>
      </c>
      <c r="AA1271">
        <f t="shared" si="429"/>
        <v>0.29166035830849435</v>
      </c>
      <c r="AB1271">
        <f t="shared" si="430"/>
        <v>0.11026069495217285</v>
      </c>
      <c r="AC1271">
        <f t="shared" si="431"/>
        <v>0.12873400508949742</v>
      </c>
      <c r="AD1271">
        <f t="shared" si="432"/>
        <v>3.4648706087382045E-3</v>
      </c>
      <c r="AE1271">
        <f t="shared" si="433"/>
        <v>2.6945275012386249E-2</v>
      </c>
      <c r="AG1271">
        <f t="shared" si="434"/>
        <v>-1.981215489756728</v>
      </c>
      <c r="AH1271">
        <f t="shared" si="435"/>
        <v>0.14426901870383274</v>
      </c>
      <c r="AI1271">
        <f t="shared" si="436"/>
        <v>-0.77316488527372829</v>
      </c>
      <c r="AK1271" s="26">
        <f t="shared" si="437"/>
        <v>-5.4391928622844046E-2</v>
      </c>
      <c r="AL1271" s="26">
        <f t="shared" si="438"/>
        <v>-3.6824277745163628E-2</v>
      </c>
      <c r="AM1271" s="26">
        <f t="shared" si="439"/>
        <v>-1.5285019078387363E-2</v>
      </c>
      <c r="AN1271" s="26">
        <f t="shared" si="440"/>
        <v>-19.748571428571431</v>
      </c>
      <c r="AO1271" s="26">
        <f t="shared" si="441"/>
        <v>-15.610714285714309</v>
      </c>
      <c r="AP1271" s="26">
        <f t="shared" si="442"/>
        <v>-9.7429203539822709</v>
      </c>
      <c r="AS1271" s="2">
        <v>44209</v>
      </c>
      <c r="AT1271">
        <v>9.9</v>
      </c>
      <c r="AU1271">
        <v>2.1</v>
      </c>
      <c r="AV1271">
        <v>83</v>
      </c>
      <c r="AW1271">
        <v>13.6</v>
      </c>
      <c r="AX1271">
        <v>24.55</v>
      </c>
      <c r="AY1271">
        <v>0.6</v>
      </c>
      <c r="AZ1271">
        <v>3</v>
      </c>
      <c r="BA1271">
        <v>280.66559999999998</v>
      </c>
      <c r="BB1271">
        <v>147.4538</v>
      </c>
      <c r="BC1271">
        <v>101.0754</v>
      </c>
      <c r="BD1271">
        <v>3.7690999999999999</v>
      </c>
      <c r="BE1271">
        <v>17.5413</v>
      </c>
      <c r="BH1271">
        <v>64.31</v>
      </c>
    </row>
    <row r="1272" spans="1:60" x14ac:dyDescent="0.25">
      <c r="A1272" s="2">
        <v>44229</v>
      </c>
      <c r="B1272">
        <v>13</v>
      </c>
      <c r="C1272">
        <v>2.1</v>
      </c>
      <c r="D1272">
        <v>14.6</v>
      </c>
      <c r="E1272">
        <v>1.8</v>
      </c>
      <c r="F1272">
        <v>23.41</v>
      </c>
      <c r="G1272">
        <v>0.4</v>
      </c>
      <c r="H1272">
        <v>3.4</v>
      </c>
      <c r="I1272">
        <v>328.52789999999999</v>
      </c>
      <c r="J1272">
        <v>216.28479999999999</v>
      </c>
      <c r="K1272">
        <v>203.80619999999999</v>
      </c>
      <c r="L1272">
        <v>3.6970999999999998</v>
      </c>
      <c r="M1272">
        <v>26.7913</v>
      </c>
      <c r="N1272">
        <v>-3.7526999999999999</v>
      </c>
      <c r="O1272">
        <v>-6.5991999999999997</v>
      </c>
      <c r="P1272">
        <v>50.26</v>
      </c>
      <c r="S1272">
        <f t="shared" si="421"/>
        <v>837.81729999999993</v>
      </c>
      <c r="T1272">
        <f t="shared" si="422"/>
        <v>1.2187044890042385E-2</v>
      </c>
      <c r="U1272">
        <f t="shared" si="423"/>
        <v>1.9686764822376161E-3</v>
      </c>
      <c r="V1272">
        <f t="shared" si="424"/>
        <v>1.368698887650914E-2</v>
      </c>
      <c r="W1272">
        <f t="shared" si="425"/>
        <v>1.6874369847750994E-3</v>
      </c>
      <c r="X1272">
        <f t="shared" si="426"/>
        <v>2.194605545199171E-2</v>
      </c>
      <c r="Y1272">
        <f t="shared" si="427"/>
        <v>3.7498599661668879E-4</v>
      </c>
      <c r="Z1272">
        <f t="shared" si="428"/>
        <v>3.1873809712418544E-3</v>
      </c>
      <c r="AA1272">
        <f t="shared" si="429"/>
        <v>0.30798340499471966</v>
      </c>
      <c r="AB1272">
        <f t="shared" si="430"/>
        <v>0.20275942820260301</v>
      </c>
      <c r="AC1272">
        <f t="shared" si="431"/>
        <v>0.19106117755915047</v>
      </c>
      <c r="AD1272">
        <f t="shared" si="432"/>
        <v>3.4659018202289E-3</v>
      </c>
      <c r="AE1272">
        <f t="shared" si="433"/>
        <v>2.5115905827891735E-2</v>
      </c>
      <c r="AG1272">
        <f t="shared" si="434"/>
        <v>-1.9581448946094975</v>
      </c>
      <c r="AH1272">
        <f t="shared" si="435"/>
        <v>8.015447548130622E-2</v>
      </c>
      <c r="AI1272">
        <f t="shared" si="436"/>
        <v>-1.1527390647442173</v>
      </c>
      <c r="AK1272" s="26">
        <f t="shared" si="437"/>
        <v>-3.9875787674268331E-2</v>
      </c>
      <c r="AL1272" s="26">
        <f t="shared" si="438"/>
        <v>-3.2699019967401613E-2</v>
      </c>
      <c r="AM1272" s="26">
        <f t="shared" si="439"/>
        <v>-1.2997023768499844E-2</v>
      </c>
      <c r="AN1272" s="26">
        <f t="shared" si="440"/>
        <v>-19.622380952380965</v>
      </c>
      <c r="AO1272" s="26">
        <f t="shared" si="441"/>
        <v>-15.400178571428583</v>
      </c>
      <c r="AP1272" s="26">
        <f t="shared" si="442"/>
        <v>-9.5761946902654529</v>
      </c>
      <c r="AS1272" s="2">
        <v>44208</v>
      </c>
      <c r="AT1272">
        <v>9.1999999999999993</v>
      </c>
      <c r="AU1272">
        <v>1.8</v>
      </c>
      <c r="AV1272">
        <v>71.099999999999994</v>
      </c>
      <c r="AW1272">
        <v>9.8000000000000007</v>
      </c>
      <c r="AX1272">
        <v>12.31</v>
      </c>
      <c r="AY1272">
        <v>0.5</v>
      </c>
      <c r="AZ1272">
        <v>3.1</v>
      </c>
      <c r="BA1272">
        <v>250.69579999999999</v>
      </c>
      <c r="BB1272">
        <v>163.5111</v>
      </c>
      <c r="BC1272">
        <v>143.8595</v>
      </c>
      <c r="BD1272">
        <v>4.6885000000000003</v>
      </c>
      <c r="BE1272">
        <v>33.215000000000003</v>
      </c>
      <c r="BH1272">
        <v>65.14</v>
      </c>
    </row>
    <row r="1273" spans="1:60" x14ac:dyDescent="0.25">
      <c r="A1273" s="2">
        <v>44228</v>
      </c>
      <c r="B1273">
        <v>12.8</v>
      </c>
      <c r="C1273">
        <v>2.5</v>
      </c>
      <c r="D1273">
        <v>32.9</v>
      </c>
      <c r="E1273">
        <v>3.7</v>
      </c>
      <c r="F1273">
        <v>28.45</v>
      </c>
      <c r="G1273">
        <v>0.4</v>
      </c>
      <c r="H1273">
        <v>3.2</v>
      </c>
      <c r="I1273">
        <v>329.11590000000001</v>
      </c>
      <c r="J1273">
        <v>217.15180000000001</v>
      </c>
      <c r="K1273">
        <v>201.3749</v>
      </c>
      <c r="L1273">
        <v>3.7166999999999999</v>
      </c>
      <c r="M1273">
        <v>36.0961</v>
      </c>
      <c r="N1273">
        <v>-3.1318999999999999</v>
      </c>
      <c r="O1273">
        <v>-5.2123999999999997</v>
      </c>
      <c r="P1273">
        <v>50.85</v>
      </c>
      <c r="S1273">
        <f t="shared" si="421"/>
        <v>871.40539999999999</v>
      </c>
      <c r="T1273">
        <f t="shared" si="422"/>
        <v>1.1999551891734041E-2</v>
      </c>
      <c r="U1273">
        <f t="shared" si="423"/>
        <v>2.3436624788543046E-3</v>
      </c>
      <c r="V1273">
        <f t="shared" si="424"/>
        <v>3.084259822172265E-2</v>
      </c>
      <c r="W1273">
        <f t="shared" si="425"/>
        <v>3.4686204687043713E-3</v>
      </c>
      <c r="X1273">
        <f t="shared" si="426"/>
        <v>2.6670879009361988E-2</v>
      </c>
      <c r="Y1273">
        <f t="shared" si="427"/>
        <v>3.7498599661668879E-4</v>
      </c>
      <c r="Z1273">
        <f t="shared" si="428"/>
        <v>2.9998879729335104E-3</v>
      </c>
      <c r="AA1273">
        <f t="shared" si="429"/>
        <v>0.30853463440974621</v>
      </c>
      <c r="AB1273">
        <f t="shared" si="430"/>
        <v>0.20357221035026971</v>
      </c>
      <c r="AC1273">
        <f t="shared" si="431"/>
        <v>0.18878191892521509</v>
      </c>
      <c r="AD1273">
        <f t="shared" si="432"/>
        <v>3.4842761340631175E-3</v>
      </c>
      <c r="AE1273">
        <f t="shared" si="433"/>
        <v>3.3838830081189146E-2</v>
      </c>
      <c r="AG1273">
        <f t="shared" si="434"/>
        <v>-1.925801350292824</v>
      </c>
      <c r="AH1273">
        <f t="shared" si="435"/>
        <v>0.11253901612111669</v>
      </c>
      <c r="AI1273">
        <f t="shared" si="436"/>
        <v>-0.96767171857266054</v>
      </c>
      <c r="AK1273" s="26">
        <f t="shared" si="437"/>
        <v>-3.8880744475769904E-2</v>
      </c>
      <c r="AL1273" s="26">
        <f t="shared" si="438"/>
        <v>-3.3582197365709943E-2</v>
      </c>
      <c r="AM1273" s="26">
        <f t="shared" si="439"/>
        <v>-1.3583110288910988E-2</v>
      </c>
      <c r="AN1273" s="26">
        <f t="shared" si="440"/>
        <v>-19.485238095238124</v>
      </c>
      <c r="AO1273" s="26">
        <f t="shared" si="441"/>
        <v>-15.183750000000018</v>
      </c>
      <c r="AP1273" s="26">
        <f t="shared" si="442"/>
        <v>-9.4059292035397988</v>
      </c>
      <c r="AS1273" s="2">
        <v>44207</v>
      </c>
      <c r="AT1273">
        <v>8.4</v>
      </c>
      <c r="AU1273">
        <v>0.4</v>
      </c>
      <c r="AV1273">
        <v>71.599999999999994</v>
      </c>
      <c r="AW1273">
        <v>10.7</v>
      </c>
      <c r="AX1273">
        <v>23.01</v>
      </c>
      <c r="AY1273">
        <v>0.5</v>
      </c>
      <c r="AZ1273">
        <v>3</v>
      </c>
      <c r="BA1273">
        <v>319.55160000000001</v>
      </c>
      <c r="BB1273">
        <v>163.37909999999999</v>
      </c>
      <c r="BC1273">
        <v>144.30359999999999</v>
      </c>
      <c r="BD1273">
        <v>3.8279999999999998</v>
      </c>
      <c r="BE1273">
        <v>33.9621</v>
      </c>
      <c r="BH1273">
        <v>66.02</v>
      </c>
    </row>
    <row r="1274" spans="1:60" x14ac:dyDescent="0.25">
      <c r="A1274" s="2">
        <v>44227</v>
      </c>
      <c r="B1274">
        <v>13.6</v>
      </c>
      <c r="C1274">
        <v>2.9</v>
      </c>
      <c r="D1274">
        <v>21</v>
      </c>
      <c r="E1274">
        <v>1.2</v>
      </c>
      <c r="F1274">
        <v>43.76</v>
      </c>
      <c r="G1274">
        <v>0.6</v>
      </c>
      <c r="H1274">
        <v>3</v>
      </c>
      <c r="I1274">
        <v>322.65170000000001</v>
      </c>
      <c r="J1274">
        <v>97.102199999999996</v>
      </c>
      <c r="K1274">
        <v>113.9902</v>
      </c>
      <c r="L1274">
        <v>3.7229999999999999</v>
      </c>
      <c r="M1274">
        <v>13.550800000000001</v>
      </c>
      <c r="P1274">
        <v>51.52</v>
      </c>
      <c r="S1274">
        <f t="shared" si="421"/>
        <v>637.07789999999989</v>
      </c>
      <c r="T1274">
        <f t="shared" si="422"/>
        <v>1.2749523884967418E-2</v>
      </c>
      <c r="U1274">
        <f t="shared" si="423"/>
        <v>2.7186484754709935E-3</v>
      </c>
      <c r="V1274">
        <f t="shared" si="424"/>
        <v>1.9686764822376159E-2</v>
      </c>
      <c r="W1274">
        <f t="shared" si="425"/>
        <v>1.1249579898500663E-3</v>
      </c>
      <c r="X1274">
        <f t="shared" si="426"/>
        <v>4.1023468029865749E-2</v>
      </c>
      <c r="Y1274">
        <f t="shared" si="427"/>
        <v>5.6247899492503314E-4</v>
      </c>
      <c r="Z1274">
        <f t="shared" si="428"/>
        <v>2.8123949746251659E-3</v>
      </c>
      <c r="AA1274">
        <f t="shared" si="429"/>
        <v>0.30247467321142218</v>
      </c>
      <c r="AB1274">
        <f t="shared" si="430"/>
        <v>9.1029913101682583E-2</v>
      </c>
      <c r="AC1274">
        <f t="shared" si="431"/>
        <v>0.10686182187883919</v>
      </c>
      <c r="AD1274">
        <f t="shared" si="432"/>
        <v>3.4901821635098303E-3</v>
      </c>
      <c r="AE1274">
        <f t="shared" si="433"/>
        <v>1.2703400607383565E-2</v>
      </c>
      <c r="AG1274">
        <f t="shared" si="434"/>
        <v>-1.8869618145644116</v>
      </c>
      <c r="AH1274">
        <f t="shared" si="435"/>
        <v>9.3381637779464149E-2</v>
      </c>
      <c r="AI1274">
        <f t="shared" si="436"/>
        <v>-1.0802188735090765</v>
      </c>
      <c r="AK1274" s="26">
        <f t="shared" si="437"/>
        <v>-3.6850797960156556E-2</v>
      </c>
      <c r="AL1274" s="26">
        <f t="shared" si="438"/>
        <v>-3.3379422013994853E-2</v>
      </c>
      <c r="AM1274" s="26">
        <f t="shared" si="439"/>
        <v>-1.32081773876567E-2</v>
      </c>
      <c r="AN1274" s="26">
        <f t="shared" si="440"/>
        <v>-19.344761904761924</v>
      </c>
      <c r="AO1274" s="26">
        <f t="shared" si="441"/>
        <v>-14.964642857142863</v>
      </c>
      <c r="AP1274" s="26">
        <f t="shared" si="442"/>
        <v>-9.2376106194689953</v>
      </c>
      <c r="AS1274" s="2">
        <v>44206</v>
      </c>
      <c r="AT1274">
        <v>9.3000000000000007</v>
      </c>
      <c r="AU1274">
        <v>22</v>
      </c>
      <c r="AV1274">
        <v>50</v>
      </c>
      <c r="AW1274">
        <v>3.6</v>
      </c>
      <c r="AX1274">
        <v>28.57</v>
      </c>
      <c r="AY1274">
        <v>0.6</v>
      </c>
      <c r="AZ1274">
        <v>3.4</v>
      </c>
      <c r="BA1274">
        <v>327.21789999999999</v>
      </c>
      <c r="BB1274">
        <v>157.97550000000001</v>
      </c>
      <c r="BC1274">
        <v>152.3922</v>
      </c>
      <c r="BD1274">
        <v>3.7926000000000002</v>
      </c>
      <c r="BE1274">
        <v>16.901399999999999</v>
      </c>
      <c r="BH1274">
        <v>66.92</v>
      </c>
    </row>
    <row r="1275" spans="1:60" x14ac:dyDescent="0.25">
      <c r="A1275" s="2">
        <v>44226</v>
      </c>
      <c r="B1275">
        <v>14.7</v>
      </c>
      <c r="C1275">
        <v>4.5</v>
      </c>
      <c r="D1275">
        <v>16.899999999999999</v>
      </c>
      <c r="E1275">
        <v>1.9</v>
      </c>
      <c r="F1275">
        <v>23.58</v>
      </c>
      <c r="G1275">
        <v>0.6</v>
      </c>
      <c r="H1275">
        <v>3</v>
      </c>
      <c r="I1275">
        <v>325.69970000000001</v>
      </c>
      <c r="J1275">
        <v>96.453100000000006</v>
      </c>
      <c r="K1275">
        <v>134.57910000000001</v>
      </c>
      <c r="L1275">
        <v>3.7214</v>
      </c>
      <c r="M1275">
        <v>31.877400000000002</v>
      </c>
      <c r="P1275">
        <v>52.1</v>
      </c>
      <c r="S1275">
        <f t="shared" si="421"/>
        <v>657.51070000000004</v>
      </c>
      <c r="T1275">
        <f t="shared" si="422"/>
        <v>1.3780735375663312E-2</v>
      </c>
      <c r="U1275">
        <f t="shared" si="423"/>
        <v>4.2185924619377486E-3</v>
      </c>
      <c r="V1275">
        <f t="shared" si="424"/>
        <v>1.58431583570551E-2</v>
      </c>
      <c r="W1275">
        <f t="shared" si="425"/>
        <v>1.7811834839292716E-3</v>
      </c>
      <c r="X1275">
        <f t="shared" si="426"/>
        <v>2.2105424500553802E-2</v>
      </c>
      <c r="Y1275">
        <f t="shared" si="427"/>
        <v>5.6247899492503314E-4</v>
      </c>
      <c r="Z1275">
        <f t="shared" si="428"/>
        <v>2.8123949746251659E-3</v>
      </c>
      <c r="AA1275">
        <f t="shared" si="429"/>
        <v>0.30533206650564138</v>
      </c>
      <c r="AB1275">
        <f t="shared" si="430"/>
        <v>9.0421404575672867E-2</v>
      </c>
      <c r="AC1275">
        <f t="shared" si="431"/>
        <v>0.12616319484319255</v>
      </c>
      <c r="AD1275">
        <f t="shared" si="432"/>
        <v>3.4886822195233638E-3</v>
      </c>
      <c r="AE1275">
        <f t="shared" si="433"/>
        <v>2.9883946521372086E-2</v>
      </c>
      <c r="AG1275">
        <f t="shared" si="434"/>
        <v>-1.8541845073438488</v>
      </c>
      <c r="AH1275">
        <f t="shared" si="435"/>
        <v>9.0987914670061509E-2</v>
      </c>
      <c r="AI1275">
        <f t="shared" si="436"/>
        <v>-1.0960642466959989</v>
      </c>
      <c r="AK1275" s="26">
        <f t="shared" si="437"/>
        <v>-3.3904800831879661E-2</v>
      </c>
      <c r="AL1275" s="26">
        <f t="shared" si="438"/>
        <v>-3.3614330652339708E-2</v>
      </c>
      <c r="AM1275" s="26">
        <f t="shared" si="439"/>
        <v>-1.3183079873564568E-2</v>
      </c>
      <c r="AN1275" s="26">
        <f t="shared" si="440"/>
        <v>-19.205238095238109</v>
      </c>
      <c r="AO1275" s="26">
        <f t="shared" si="441"/>
        <v>-14.745892857142863</v>
      </c>
      <c r="AP1275" s="26">
        <f t="shared" si="442"/>
        <v>-9.0735398230088293</v>
      </c>
      <c r="AS1275" s="2">
        <v>44205</v>
      </c>
      <c r="AT1275">
        <v>10.5</v>
      </c>
      <c r="AU1275">
        <v>2.6</v>
      </c>
      <c r="AV1275">
        <v>4.7</v>
      </c>
      <c r="AW1275">
        <v>1.2</v>
      </c>
      <c r="AX1275">
        <v>16.12</v>
      </c>
      <c r="AY1275">
        <v>0.4</v>
      </c>
      <c r="AZ1275">
        <v>3.7</v>
      </c>
      <c r="BA1275">
        <v>349.53989999999999</v>
      </c>
      <c r="BB1275">
        <v>234.86429999999999</v>
      </c>
      <c r="BC1275">
        <v>186.773</v>
      </c>
      <c r="BD1275">
        <v>3.7890999999999999</v>
      </c>
      <c r="BE1275">
        <v>25.543900000000001</v>
      </c>
      <c r="BH1275">
        <v>67.680000000000007</v>
      </c>
    </row>
    <row r="1276" spans="1:60" x14ac:dyDescent="0.25">
      <c r="A1276" s="2">
        <v>44225</v>
      </c>
      <c r="B1276">
        <v>15.3</v>
      </c>
      <c r="C1276">
        <v>2.1</v>
      </c>
      <c r="D1276">
        <v>91.3</v>
      </c>
      <c r="E1276">
        <v>6.1</v>
      </c>
      <c r="F1276">
        <v>29.44</v>
      </c>
      <c r="G1276">
        <v>0.6</v>
      </c>
      <c r="H1276">
        <v>3.3</v>
      </c>
      <c r="I1276">
        <v>352.0804</v>
      </c>
      <c r="J1276">
        <v>114.5425</v>
      </c>
      <c r="K1276">
        <v>122.0692</v>
      </c>
      <c r="L1276">
        <v>3.7065999999999999</v>
      </c>
      <c r="M1276">
        <v>20.728300000000001</v>
      </c>
      <c r="N1276">
        <v>3.6080999999999999</v>
      </c>
      <c r="O1276">
        <v>1.5817000000000001</v>
      </c>
      <c r="P1276">
        <v>52.61</v>
      </c>
      <c r="S1276">
        <f t="shared" si="421"/>
        <v>761.26700000000005</v>
      </c>
      <c r="T1276">
        <f t="shared" si="422"/>
        <v>1.4343214370588346E-2</v>
      </c>
      <c r="U1276">
        <f t="shared" si="423"/>
        <v>1.9686764822376161E-3</v>
      </c>
      <c r="V1276">
        <f t="shared" si="424"/>
        <v>8.5590553727759214E-2</v>
      </c>
      <c r="W1276">
        <f t="shared" si="425"/>
        <v>5.7185364484045034E-3</v>
      </c>
      <c r="X1276">
        <f t="shared" si="426"/>
        <v>2.7598969350988295E-2</v>
      </c>
      <c r="Y1276">
        <f t="shared" si="427"/>
        <v>5.6247899492503314E-4</v>
      </c>
      <c r="Z1276">
        <f t="shared" si="428"/>
        <v>3.0936344720876819E-3</v>
      </c>
      <c r="AA1276">
        <f t="shared" si="429"/>
        <v>0.33006304920800605</v>
      </c>
      <c r="AB1276">
        <f t="shared" si="430"/>
        <v>0.10737958379366769</v>
      </c>
      <c r="AC1276">
        <f t="shared" si="431"/>
        <v>0.11443560154550475</v>
      </c>
      <c r="AD1276">
        <f t="shared" si="432"/>
        <v>3.4748077376485463E-3</v>
      </c>
      <c r="AE1276">
        <f t="shared" si="433"/>
        <v>1.9432055584174275E-2</v>
      </c>
      <c r="AG1276">
        <f t="shared" si="434"/>
        <v>-1.8261114758124046</v>
      </c>
      <c r="AH1276">
        <f t="shared" si="435"/>
        <v>0.15830811943116496</v>
      </c>
      <c r="AI1276">
        <f t="shared" si="436"/>
        <v>-0.69926854723482357</v>
      </c>
      <c r="AK1276" s="26">
        <f t="shared" si="437"/>
        <v>-3.3835624843741863E-2</v>
      </c>
      <c r="AL1276" s="26">
        <f t="shared" si="438"/>
        <v>-3.3907429081945203E-2</v>
      </c>
      <c r="AM1276" s="26">
        <f t="shared" si="439"/>
        <v>-1.2343540152117194E-2</v>
      </c>
      <c r="AN1276" s="26">
        <f t="shared" si="440"/>
        <v>-19.05380952380952</v>
      </c>
      <c r="AO1276" s="26">
        <f t="shared" si="441"/>
        <v>-14.525714285714272</v>
      </c>
      <c r="AP1276" s="26">
        <f t="shared" si="442"/>
        <v>-8.9146902654866977</v>
      </c>
      <c r="AS1276" s="2">
        <v>44204</v>
      </c>
      <c r="AT1276">
        <v>11.1</v>
      </c>
      <c r="AU1276">
        <v>1.8</v>
      </c>
      <c r="AV1276">
        <v>15</v>
      </c>
      <c r="AW1276">
        <v>1.7</v>
      </c>
      <c r="AX1276">
        <v>9.94</v>
      </c>
      <c r="AY1276">
        <v>0.3</v>
      </c>
      <c r="AZ1276">
        <v>4</v>
      </c>
      <c r="BA1276">
        <v>357.13619999999997</v>
      </c>
      <c r="BB1276">
        <v>259.93560000000002</v>
      </c>
      <c r="BC1276">
        <v>233.18780000000001</v>
      </c>
      <c r="BD1276">
        <v>3.8039999999999998</v>
      </c>
      <c r="BE1276">
        <v>37.5351</v>
      </c>
      <c r="BH1276">
        <v>68.47</v>
      </c>
    </row>
    <row r="1277" spans="1:60" x14ac:dyDescent="0.25">
      <c r="A1277" s="2">
        <v>44224</v>
      </c>
      <c r="B1277">
        <v>12</v>
      </c>
      <c r="C1277">
        <v>1.8</v>
      </c>
      <c r="D1277">
        <v>29.6</v>
      </c>
      <c r="E1277">
        <v>3.2</v>
      </c>
      <c r="F1277">
        <v>15.14</v>
      </c>
      <c r="G1277">
        <v>0.6</v>
      </c>
      <c r="H1277">
        <v>3.7</v>
      </c>
      <c r="I1277">
        <v>368.30029999999999</v>
      </c>
      <c r="J1277">
        <v>203.7723</v>
      </c>
      <c r="K1277">
        <v>208.37289999999999</v>
      </c>
      <c r="L1277">
        <v>3.6785999999999999</v>
      </c>
      <c r="M1277">
        <v>27.746400000000001</v>
      </c>
      <c r="N1277">
        <v>3.3361000000000001</v>
      </c>
      <c r="O1277">
        <v>0.77810000000000001</v>
      </c>
      <c r="P1277">
        <v>53.15</v>
      </c>
      <c r="S1277">
        <f t="shared" si="421"/>
        <v>877.91049999999996</v>
      </c>
      <c r="T1277">
        <f t="shared" si="422"/>
        <v>1.1249579898500664E-2</v>
      </c>
      <c r="U1277">
        <f t="shared" si="423"/>
        <v>1.6874369847750994E-3</v>
      </c>
      <c r="V1277">
        <f t="shared" si="424"/>
        <v>2.774896374963497E-2</v>
      </c>
      <c r="W1277">
        <f t="shared" si="425"/>
        <v>2.9998879729335104E-3</v>
      </c>
      <c r="X1277">
        <f t="shared" si="426"/>
        <v>1.4193219971941669E-2</v>
      </c>
      <c r="Y1277">
        <f t="shared" si="427"/>
        <v>5.6247899492503314E-4</v>
      </c>
      <c r="Z1277">
        <f t="shared" si="428"/>
        <v>3.4686204687043713E-3</v>
      </c>
      <c r="AA1277">
        <f t="shared" si="429"/>
        <v>0.34526863762431365</v>
      </c>
      <c r="AB1277">
        <f t="shared" si="430"/>
        <v>0.19102939749593723</v>
      </c>
      <c r="AC1277">
        <f t="shared" si="431"/>
        <v>0.19534229893602406</v>
      </c>
      <c r="AD1277">
        <f t="shared" si="432"/>
        <v>3.4485587178853779E-3</v>
      </c>
      <c r="AE1277">
        <f t="shared" si="433"/>
        <v>2.6011278641313234E-2</v>
      </c>
      <c r="AG1277">
        <f t="shared" si="434"/>
        <v>-1.7953942410127617</v>
      </c>
      <c r="AH1277">
        <f t="shared" si="435"/>
        <v>8.7921466682728558E-2</v>
      </c>
      <c r="AI1277">
        <f t="shared" si="436"/>
        <v>-1.1160203122441621</v>
      </c>
      <c r="AK1277" s="26">
        <f t="shared" si="437"/>
        <v>-3.689428294340702E-2</v>
      </c>
      <c r="AL1277" s="26">
        <f t="shared" si="438"/>
        <v>-3.5265712063922205E-2</v>
      </c>
      <c r="AM1277" s="26">
        <f t="shared" si="439"/>
        <v>-1.2419379410702813E-2</v>
      </c>
      <c r="AN1277" s="26">
        <f t="shared" si="440"/>
        <v>-18.89238095238094</v>
      </c>
      <c r="AO1277" s="26">
        <f t="shared" si="441"/>
        <v>-14.306428571428569</v>
      </c>
      <c r="AP1277" s="26">
        <f t="shared" si="442"/>
        <v>-8.7570796460176865</v>
      </c>
      <c r="AS1277" s="2">
        <v>44203</v>
      </c>
      <c r="AT1277">
        <v>10.3</v>
      </c>
      <c r="AU1277">
        <v>5</v>
      </c>
      <c r="AV1277">
        <v>13.2</v>
      </c>
      <c r="AW1277">
        <v>2.2000000000000002</v>
      </c>
      <c r="AX1277">
        <v>9.3800000000000008</v>
      </c>
      <c r="AY1277">
        <v>0.3</v>
      </c>
      <c r="AZ1277">
        <v>3.9</v>
      </c>
      <c r="BA1277">
        <v>356.8134</v>
      </c>
      <c r="BB1277">
        <v>262.041</v>
      </c>
      <c r="BC1277">
        <v>220.49019999999999</v>
      </c>
      <c r="BD1277">
        <v>3.8086000000000002</v>
      </c>
      <c r="BE1277">
        <v>38.835299999999997</v>
      </c>
      <c r="BH1277">
        <v>69.510000000000005</v>
      </c>
    </row>
    <row r="1278" spans="1:60" x14ac:dyDescent="0.25">
      <c r="A1278" s="2">
        <v>44223</v>
      </c>
      <c r="B1278">
        <v>11.9</v>
      </c>
      <c r="C1278">
        <v>20.2</v>
      </c>
      <c r="D1278">
        <v>43.6</v>
      </c>
      <c r="E1278">
        <v>4.2</v>
      </c>
      <c r="F1278">
        <v>23.76</v>
      </c>
      <c r="G1278">
        <v>0.6</v>
      </c>
      <c r="H1278">
        <v>3.5</v>
      </c>
      <c r="I1278">
        <v>373.96249999999998</v>
      </c>
      <c r="J1278">
        <v>209.8903</v>
      </c>
      <c r="K1278">
        <v>190.2235</v>
      </c>
      <c r="L1278">
        <v>4.4775</v>
      </c>
      <c r="M1278">
        <v>29.2393</v>
      </c>
      <c r="N1278">
        <v>0.10390000000000001</v>
      </c>
      <c r="O1278">
        <v>-2.1265000000000001</v>
      </c>
      <c r="P1278">
        <v>53.81</v>
      </c>
      <c r="S1278">
        <f t="shared" si="421"/>
        <v>915.55309999999986</v>
      </c>
      <c r="T1278">
        <f t="shared" si="422"/>
        <v>1.115583339934649E-2</v>
      </c>
      <c r="U1278">
        <f t="shared" si="423"/>
        <v>1.8936792829142783E-2</v>
      </c>
      <c r="V1278">
        <f t="shared" si="424"/>
        <v>4.0873473631219077E-2</v>
      </c>
      <c r="W1278">
        <f t="shared" si="425"/>
        <v>3.9373529644752322E-3</v>
      </c>
      <c r="X1278">
        <f t="shared" si="426"/>
        <v>2.2274168199031313E-2</v>
      </c>
      <c r="Y1278">
        <f t="shared" si="427"/>
        <v>5.6247899492503314E-4</v>
      </c>
      <c r="Z1278">
        <f t="shared" si="428"/>
        <v>3.2811274703960268E-3</v>
      </c>
      <c r="AA1278">
        <f t="shared" si="429"/>
        <v>0.35057675189942117</v>
      </c>
      <c r="AB1278">
        <f t="shared" si="430"/>
        <v>0.19676480831418947</v>
      </c>
      <c r="AC1278">
        <f t="shared" si="431"/>
        <v>0.17832787181853674</v>
      </c>
      <c r="AD1278">
        <f t="shared" si="432"/>
        <v>4.1974994996280598E-3</v>
      </c>
      <c r="AE1278">
        <f t="shared" si="433"/>
        <v>2.7410820127185868E-2</v>
      </c>
      <c r="AG1278">
        <f t="shared" si="434"/>
        <v>-1.7551886919468929</v>
      </c>
      <c r="AH1278">
        <f t="shared" si="435"/>
        <v>0.12843204761572183</v>
      </c>
      <c r="AI1278">
        <f t="shared" si="436"/>
        <v>-0.87749959438532921</v>
      </c>
      <c r="AK1278" s="26">
        <f t="shared" si="437"/>
        <v>-3.7533174263380736E-2</v>
      </c>
      <c r="AL1278" s="26">
        <f t="shared" si="438"/>
        <v>-3.4085684701997576E-2</v>
      </c>
      <c r="AM1278" s="26">
        <f t="shared" si="439"/>
        <v>-1.2313830808035692E-2</v>
      </c>
      <c r="AN1278" s="26">
        <f t="shared" si="440"/>
        <v>-18.701904761904757</v>
      </c>
      <c r="AO1278" s="26">
        <f t="shared" si="441"/>
        <v>-14.081428571428575</v>
      </c>
      <c r="AP1278" s="26">
        <f t="shared" si="442"/>
        <v>-8.5989380530973563</v>
      </c>
      <c r="AS1278" s="2">
        <v>44202</v>
      </c>
      <c r="AT1278">
        <v>10.3</v>
      </c>
      <c r="AU1278">
        <v>3.4</v>
      </c>
      <c r="AV1278">
        <v>56.3</v>
      </c>
      <c r="AW1278">
        <v>3.1</v>
      </c>
      <c r="AX1278">
        <v>7.8</v>
      </c>
      <c r="AY1278">
        <v>0.3</v>
      </c>
      <c r="AZ1278">
        <v>3.6</v>
      </c>
      <c r="BA1278">
        <v>338.50659999999999</v>
      </c>
      <c r="BB1278">
        <v>235.9014</v>
      </c>
      <c r="BC1278">
        <v>190.7414</v>
      </c>
      <c r="BD1278">
        <v>3.8302</v>
      </c>
      <c r="BE1278">
        <v>20.162600000000001</v>
      </c>
      <c r="BH1278">
        <v>70.39</v>
      </c>
    </row>
    <row r="1279" spans="1:60" x14ac:dyDescent="0.25">
      <c r="A1279" s="2">
        <v>44222</v>
      </c>
      <c r="B1279">
        <v>11.2</v>
      </c>
      <c r="C1279">
        <v>0</v>
      </c>
      <c r="D1279">
        <v>19.100000000000001</v>
      </c>
      <c r="E1279">
        <v>3.4</v>
      </c>
      <c r="F1279">
        <v>23.59</v>
      </c>
      <c r="G1279">
        <v>0.3</v>
      </c>
      <c r="H1279">
        <v>3.3</v>
      </c>
      <c r="I1279">
        <v>370.59280000000001</v>
      </c>
      <c r="J1279">
        <v>246.25049999999999</v>
      </c>
      <c r="K1279">
        <v>200.11080000000001</v>
      </c>
      <c r="L1279">
        <v>3.6191</v>
      </c>
      <c r="M1279">
        <v>31.8565</v>
      </c>
      <c r="N1279">
        <v>0.67469999999999997</v>
      </c>
      <c r="O1279">
        <v>-1.5118</v>
      </c>
      <c r="P1279">
        <v>54.58</v>
      </c>
      <c r="S1279">
        <f t="shared" si="421"/>
        <v>913.31970000000001</v>
      </c>
      <c r="T1279">
        <f t="shared" si="422"/>
        <v>1.0499607905267284E-2</v>
      </c>
      <c r="U1279">
        <f t="shared" si="423"/>
        <v>0</v>
      </c>
      <c r="V1279">
        <f t="shared" si="424"/>
        <v>1.7905581338446889E-2</v>
      </c>
      <c r="W1279">
        <f t="shared" si="425"/>
        <v>3.1873809712418544E-3</v>
      </c>
      <c r="X1279">
        <f t="shared" si="426"/>
        <v>2.2114799150469221E-2</v>
      </c>
      <c r="Y1279">
        <f t="shared" si="427"/>
        <v>2.8123949746251657E-4</v>
      </c>
      <c r="Z1279">
        <f t="shared" si="428"/>
        <v>3.0936344720876819E-3</v>
      </c>
      <c r="AA1279">
        <f t="shared" si="429"/>
        <v>0.34741777611742303</v>
      </c>
      <c r="AB1279">
        <f t="shared" si="430"/>
        <v>0.23085122289964477</v>
      </c>
      <c r="AC1279">
        <f t="shared" si="431"/>
        <v>0.1875968694294072</v>
      </c>
      <c r="AD1279">
        <f t="shared" si="432"/>
        <v>3.3927795508886457E-3</v>
      </c>
      <c r="AE1279">
        <f t="shared" si="433"/>
        <v>2.9864353503048866E-2</v>
      </c>
      <c r="AG1279">
        <f t="shared" si="434"/>
        <v>-1.7061383647984061</v>
      </c>
      <c r="AH1279">
        <f t="shared" si="435"/>
        <v>8.6946596838024318E-2</v>
      </c>
      <c r="AI1279">
        <f t="shared" si="436"/>
        <v>-1.1230271459914771</v>
      </c>
      <c r="AK1279" s="26">
        <f t="shared" si="437"/>
        <v>-3.7789530761496298E-2</v>
      </c>
      <c r="AL1279" s="26">
        <f t="shared" si="438"/>
        <v>-3.3892051307994608E-2</v>
      </c>
      <c r="AM1279" s="26">
        <f t="shared" si="439"/>
        <v>-1.1237396172070813E-2</v>
      </c>
      <c r="AN1279" s="26">
        <f t="shared" si="440"/>
        <v>-18.491428571428564</v>
      </c>
      <c r="AO1279" s="26">
        <f t="shared" si="441"/>
        <v>-13.848571428571432</v>
      </c>
      <c r="AP1279" s="26">
        <f t="shared" si="442"/>
        <v>-8.4407079646017849</v>
      </c>
      <c r="AS1279" s="2">
        <v>44201</v>
      </c>
      <c r="AT1279">
        <v>10.199999999999999</v>
      </c>
      <c r="AU1279">
        <v>2.5</v>
      </c>
      <c r="AV1279">
        <v>80.099999999999994</v>
      </c>
      <c r="AW1279">
        <v>4.9000000000000004</v>
      </c>
      <c r="AX1279">
        <v>6.75</v>
      </c>
      <c r="AY1279">
        <v>0.1</v>
      </c>
      <c r="AZ1279">
        <v>3.3</v>
      </c>
      <c r="BA1279">
        <v>352.28609999999998</v>
      </c>
      <c r="BB1279">
        <v>215.00020000000001</v>
      </c>
      <c r="BC1279">
        <v>188.4725</v>
      </c>
      <c r="BD1279">
        <v>3.8599000000000001</v>
      </c>
      <c r="BE1279">
        <v>33.818100000000001</v>
      </c>
      <c r="BH1279">
        <v>71.17</v>
      </c>
    </row>
    <row r="1280" spans="1:60" x14ac:dyDescent="0.25">
      <c r="A1280" s="2">
        <v>44221</v>
      </c>
      <c r="B1280">
        <v>9.1999999999999993</v>
      </c>
      <c r="C1280">
        <v>0</v>
      </c>
      <c r="D1280">
        <v>15</v>
      </c>
      <c r="E1280">
        <v>1.4</v>
      </c>
      <c r="F1280">
        <v>27.41</v>
      </c>
      <c r="G1280">
        <v>0.1</v>
      </c>
      <c r="H1280">
        <v>2.9</v>
      </c>
      <c r="I1280">
        <v>367.63830000000002</v>
      </c>
      <c r="J1280">
        <v>222.2148</v>
      </c>
      <c r="K1280">
        <v>223.50049999999999</v>
      </c>
      <c r="L1280">
        <v>3.7652999999999999</v>
      </c>
      <c r="M1280">
        <v>30.377800000000001</v>
      </c>
      <c r="N1280">
        <v>3.3466</v>
      </c>
      <c r="O1280">
        <v>1.2322</v>
      </c>
      <c r="P1280">
        <v>55.35</v>
      </c>
      <c r="S1280">
        <f t="shared" si="421"/>
        <v>903.50670000000002</v>
      </c>
      <c r="T1280">
        <f t="shared" si="422"/>
        <v>8.6246779221838404E-3</v>
      </c>
      <c r="U1280">
        <f t="shared" si="423"/>
        <v>0</v>
      </c>
      <c r="V1280">
        <f t="shared" si="424"/>
        <v>1.4061974873125828E-2</v>
      </c>
      <c r="W1280">
        <f t="shared" si="425"/>
        <v>1.3124509881584105E-3</v>
      </c>
      <c r="X1280">
        <f t="shared" si="426"/>
        <v>2.5695915418158598E-2</v>
      </c>
      <c r="Y1280">
        <f t="shared" si="427"/>
        <v>9.3746499154172199E-5</v>
      </c>
      <c r="Z1280">
        <f t="shared" si="428"/>
        <v>2.7186484754709935E-3</v>
      </c>
      <c r="AA1280">
        <f t="shared" si="429"/>
        <v>0.34464803579991304</v>
      </c>
      <c r="AB1280">
        <f t="shared" si="430"/>
        <v>0.20831859560244542</v>
      </c>
      <c r="AC1280">
        <f t="shared" si="431"/>
        <v>0.20952389434207061</v>
      </c>
      <c r="AD1280">
        <f t="shared" si="432"/>
        <v>3.5298369326520452E-3</v>
      </c>
      <c r="AE1280">
        <f t="shared" si="433"/>
        <v>2.847812402005612E-2</v>
      </c>
      <c r="AG1280">
        <f t="shared" si="434"/>
        <v>-1.6564911031132663</v>
      </c>
      <c r="AH1280">
        <f t="shared" si="435"/>
        <v>8.0985538196307966E-2</v>
      </c>
      <c r="AI1280">
        <f t="shared" si="436"/>
        <v>-1.1610967895278197</v>
      </c>
      <c r="AK1280" s="26">
        <f t="shared" si="437"/>
        <v>-3.7788204918151158E-2</v>
      </c>
      <c r="AL1280" s="26">
        <f t="shared" si="438"/>
        <v>-3.493203981467384E-2</v>
      </c>
      <c r="AM1280" s="26">
        <f t="shared" si="439"/>
        <v>-1.0292560050927491E-2</v>
      </c>
      <c r="AN1280" s="26">
        <f t="shared" si="440"/>
        <v>-18.27666666666665</v>
      </c>
      <c r="AO1280" s="26">
        <f t="shared" si="441"/>
        <v>-13.612678571428589</v>
      </c>
      <c r="AP1280" s="26">
        <f t="shared" si="442"/>
        <v>-8.2831858407079864</v>
      </c>
      <c r="AS1280" s="2">
        <v>44200</v>
      </c>
      <c r="AT1280">
        <v>8.9</v>
      </c>
      <c r="AU1280">
        <v>1.4</v>
      </c>
      <c r="AV1280">
        <v>59.1</v>
      </c>
      <c r="AW1280">
        <v>6.4</v>
      </c>
      <c r="AX1280">
        <v>6.25</v>
      </c>
      <c r="AY1280">
        <v>0.2</v>
      </c>
      <c r="AZ1280">
        <v>3.5</v>
      </c>
      <c r="BA1280">
        <v>317.23239999999998</v>
      </c>
      <c r="BB1280">
        <v>159.73390000000001</v>
      </c>
      <c r="BC1280">
        <v>183.14449999999999</v>
      </c>
      <c r="BD1280">
        <v>3.8809</v>
      </c>
      <c r="BE1280">
        <v>33.068899999999999</v>
      </c>
      <c r="BH1280">
        <v>71.989999999999995</v>
      </c>
    </row>
    <row r="1281" spans="1:60" x14ac:dyDescent="0.25">
      <c r="A1281" s="2">
        <v>44220</v>
      </c>
      <c r="B1281">
        <v>8.6999999999999993</v>
      </c>
      <c r="C1281">
        <v>0</v>
      </c>
      <c r="D1281">
        <v>4.0999999999999996</v>
      </c>
      <c r="E1281">
        <v>1.5</v>
      </c>
      <c r="F1281">
        <v>25.56</v>
      </c>
      <c r="G1281">
        <v>0.2</v>
      </c>
      <c r="H1281">
        <v>3.2</v>
      </c>
      <c r="I1281">
        <v>366.32760000000002</v>
      </c>
      <c r="J1281">
        <v>128.11250000000001</v>
      </c>
      <c r="K1281">
        <v>126.2577</v>
      </c>
      <c r="L1281">
        <v>3.6265000000000001</v>
      </c>
      <c r="M1281">
        <v>16.421500000000002</v>
      </c>
      <c r="P1281">
        <v>56.14</v>
      </c>
      <c r="S1281">
        <f t="shared" si="421"/>
        <v>684.00580000000002</v>
      </c>
      <c r="T1281">
        <f t="shared" si="422"/>
        <v>8.1559454264129791E-3</v>
      </c>
      <c r="U1281">
        <f t="shared" si="423"/>
        <v>0</v>
      </c>
      <c r="V1281">
        <f t="shared" si="424"/>
        <v>3.8436064653210593E-3</v>
      </c>
      <c r="W1281">
        <f t="shared" si="425"/>
        <v>1.406197487312583E-3</v>
      </c>
      <c r="X1281">
        <f t="shared" si="426"/>
        <v>2.3961605183806411E-2</v>
      </c>
      <c r="Y1281">
        <f t="shared" si="427"/>
        <v>1.874929983083444E-4</v>
      </c>
      <c r="Z1281">
        <f t="shared" si="428"/>
        <v>2.9998879729335104E-3</v>
      </c>
      <c r="AA1281">
        <f t="shared" si="429"/>
        <v>0.34341930043549929</v>
      </c>
      <c r="AB1281">
        <f t="shared" si="430"/>
        <v>0.12010098372888886</v>
      </c>
      <c r="AC1281">
        <f t="shared" si="431"/>
        <v>0.11836217366257726</v>
      </c>
      <c r="AD1281">
        <f t="shared" si="432"/>
        <v>3.3997167918260545E-3</v>
      </c>
      <c r="AE1281">
        <f t="shared" si="433"/>
        <v>1.5394581358602388E-2</v>
      </c>
      <c r="AG1281">
        <f t="shared" si="434"/>
        <v>-1.6047189893733835</v>
      </c>
      <c r="AH1281">
        <f t="shared" si="435"/>
        <v>5.5949316892697276E-2</v>
      </c>
      <c r="AI1281">
        <f t="shared" si="436"/>
        <v>-1.3107407167758482</v>
      </c>
      <c r="AK1281" s="26">
        <f t="shared" si="437"/>
        <v>-3.6557009824164377E-2</v>
      </c>
      <c r="AL1281" s="26">
        <f t="shared" si="438"/>
        <v>-3.3296131597585613E-2</v>
      </c>
      <c r="AM1281" s="26">
        <f t="shared" si="439"/>
        <v>-9.5527218053681473E-3</v>
      </c>
      <c r="AN1281" s="26">
        <f t="shared" si="440"/>
        <v>-18.052857142857121</v>
      </c>
      <c r="AO1281" s="26">
        <f t="shared" si="441"/>
        <v>-13.369821428571441</v>
      </c>
      <c r="AP1281" s="26">
        <f t="shared" si="442"/>
        <v>-8.1272566371681734</v>
      </c>
      <c r="AS1281" s="2">
        <v>44199</v>
      </c>
      <c r="AT1281">
        <v>8.6999999999999993</v>
      </c>
      <c r="AU1281">
        <v>136</v>
      </c>
      <c r="AV1281">
        <v>43.3</v>
      </c>
      <c r="AW1281">
        <v>5.7</v>
      </c>
      <c r="AX1281">
        <v>7.42</v>
      </c>
      <c r="AY1281">
        <v>0.2</v>
      </c>
      <c r="AZ1281">
        <v>3.5</v>
      </c>
      <c r="BA1281">
        <v>240.49160000000001</v>
      </c>
      <c r="BB1281">
        <v>87.351399999999998</v>
      </c>
      <c r="BC1281">
        <v>90.493899999999996</v>
      </c>
      <c r="BD1281">
        <v>3.8654000000000002</v>
      </c>
      <c r="BE1281">
        <v>19.5627</v>
      </c>
      <c r="BH1281">
        <v>72.599999999999994</v>
      </c>
    </row>
    <row r="1282" spans="1:60" x14ac:dyDescent="0.25">
      <c r="A1282" s="2">
        <v>44219</v>
      </c>
      <c r="B1282">
        <v>10.8</v>
      </c>
      <c r="C1282">
        <v>0</v>
      </c>
      <c r="D1282">
        <v>43.1</v>
      </c>
      <c r="E1282">
        <v>3.6</v>
      </c>
      <c r="F1282">
        <v>20.059999999999999</v>
      </c>
      <c r="G1282">
        <v>0.2</v>
      </c>
      <c r="H1282">
        <v>3.1</v>
      </c>
      <c r="I1282">
        <v>373.25549999999998</v>
      </c>
      <c r="J1282">
        <v>116.2195</v>
      </c>
      <c r="K1282">
        <v>123.46980000000001</v>
      </c>
      <c r="L1282">
        <v>3.6400999999999999</v>
      </c>
      <c r="M1282">
        <v>22.195900000000002</v>
      </c>
      <c r="P1282">
        <v>56.7</v>
      </c>
      <c r="S1282">
        <f t="shared" ref="S1282:S1345" si="443">SUM(B1282:M1282)</f>
        <v>719.64080000000001</v>
      </c>
      <c r="T1282">
        <f t="shared" si="422"/>
        <v>1.0124621908650598E-2</v>
      </c>
      <c r="U1282">
        <f t="shared" si="423"/>
        <v>0</v>
      </c>
      <c r="V1282">
        <f t="shared" si="424"/>
        <v>4.0404741135448216E-2</v>
      </c>
      <c r="W1282">
        <f t="shared" si="425"/>
        <v>3.3748739695501988E-3</v>
      </c>
      <c r="X1282">
        <f t="shared" si="426"/>
        <v>1.880554773032694E-2</v>
      </c>
      <c r="Y1282">
        <f t="shared" si="427"/>
        <v>1.874929983083444E-4</v>
      </c>
      <c r="Z1282">
        <f t="shared" si="428"/>
        <v>2.9061414737793379E-3</v>
      </c>
      <c r="AA1282">
        <f t="shared" si="429"/>
        <v>0.34991396415040116</v>
      </c>
      <c r="AB1282">
        <f t="shared" si="430"/>
        <v>0.10895171258448315</v>
      </c>
      <c r="AC1282">
        <f t="shared" si="431"/>
        <v>0.1157486150126581</v>
      </c>
      <c r="AD1282">
        <f t="shared" si="432"/>
        <v>3.4124663157110218E-3</v>
      </c>
      <c r="AE1282">
        <f t="shared" si="433"/>
        <v>2.0807879205760906E-2</v>
      </c>
      <c r="AG1282">
        <f t="shared" si="434"/>
        <v>-1.5698853756802797</v>
      </c>
      <c r="AH1282">
        <f t="shared" si="435"/>
        <v>9.6611298421824546E-2</v>
      </c>
      <c r="AI1282">
        <f t="shared" si="436"/>
        <v>-1.0711852701082685</v>
      </c>
      <c r="AK1282" s="26">
        <f t="shared" si="437"/>
        <v>-2.867007667325279E-2</v>
      </c>
      <c r="AL1282" s="26">
        <f t="shared" si="438"/>
        <v>-3.1933857693215981E-2</v>
      </c>
      <c r="AM1282" s="26">
        <f t="shared" si="439"/>
        <v>-8.1845306421197417E-3</v>
      </c>
      <c r="AN1282" s="26">
        <f t="shared" si="440"/>
        <v>-17.826190476190476</v>
      </c>
      <c r="AO1282" s="26">
        <f t="shared" si="441"/>
        <v>-13.125357142857141</v>
      </c>
      <c r="AP1282" s="26">
        <f t="shared" si="442"/>
        <v>-7.9747787610619696</v>
      </c>
      <c r="AS1282" s="2">
        <v>44198</v>
      </c>
      <c r="AT1282">
        <v>8.9</v>
      </c>
      <c r="AU1282">
        <v>1.1000000000000001</v>
      </c>
      <c r="AV1282">
        <v>5.9</v>
      </c>
      <c r="AW1282">
        <v>1</v>
      </c>
      <c r="AX1282">
        <v>16.66</v>
      </c>
      <c r="AY1282">
        <v>0.2</v>
      </c>
      <c r="AZ1282">
        <v>3.8</v>
      </c>
      <c r="BA1282">
        <v>299.05290000000002</v>
      </c>
      <c r="BB1282">
        <v>97.805000000000007</v>
      </c>
      <c r="BC1282">
        <v>131.31710000000001</v>
      </c>
      <c r="BD1282">
        <v>3.8896000000000002</v>
      </c>
      <c r="BE1282">
        <v>21.8675</v>
      </c>
      <c r="BH1282">
        <v>73.3</v>
      </c>
    </row>
    <row r="1283" spans="1:60" x14ac:dyDescent="0.25">
      <c r="A1283" s="2">
        <v>44218</v>
      </c>
      <c r="B1283">
        <v>9.9</v>
      </c>
      <c r="C1283">
        <v>0.2</v>
      </c>
      <c r="D1283">
        <v>61.8</v>
      </c>
      <c r="E1283">
        <v>11.1</v>
      </c>
      <c r="F1283">
        <v>40.32</v>
      </c>
      <c r="G1283">
        <v>0.1</v>
      </c>
      <c r="H1283">
        <v>2.9</v>
      </c>
      <c r="I1283">
        <v>267.89859999999999</v>
      </c>
      <c r="J1283">
        <v>115.7961</v>
      </c>
      <c r="K1283">
        <v>144.85409999999999</v>
      </c>
      <c r="L1283">
        <v>3.6585999999999999</v>
      </c>
      <c r="M1283">
        <v>28.085899999999999</v>
      </c>
      <c r="N1283">
        <v>4.2864000000000004</v>
      </c>
      <c r="O1283">
        <v>1.6791</v>
      </c>
      <c r="P1283">
        <v>57.25</v>
      </c>
      <c r="S1283">
        <f t="shared" si="443"/>
        <v>686.61329999999998</v>
      </c>
      <c r="T1283">
        <f t="shared" si="422"/>
        <v>9.2809034162630467E-3</v>
      </c>
      <c r="U1283">
        <f t="shared" si="423"/>
        <v>1.874929983083444E-4</v>
      </c>
      <c r="V1283">
        <f t="shared" si="424"/>
        <v>5.7935336477278408E-2</v>
      </c>
      <c r="W1283">
        <f t="shared" si="425"/>
        <v>1.0405861406113113E-2</v>
      </c>
      <c r="X1283">
        <f t="shared" si="426"/>
        <v>3.779858845896223E-2</v>
      </c>
      <c r="Y1283">
        <f t="shared" si="427"/>
        <v>9.3746499154172199E-5</v>
      </c>
      <c r="Z1283">
        <f t="shared" si="428"/>
        <v>2.7186484754709935E-3</v>
      </c>
      <c r="AA1283">
        <f t="shared" si="429"/>
        <v>0.25114555878303912</v>
      </c>
      <c r="AB1283">
        <f t="shared" si="430"/>
        <v>0.10855478990706438</v>
      </c>
      <c r="AC1283">
        <f t="shared" si="431"/>
        <v>0.13579564763128374</v>
      </c>
      <c r="AD1283">
        <f t="shared" si="432"/>
        <v>3.4298094180545435E-3</v>
      </c>
      <c r="AE1283">
        <f t="shared" si="433"/>
        <v>2.6329548005941648E-2</v>
      </c>
      <c r="AG1283">
        <f t="shared" si="434"/>
        <v>-1.5354695918187382</v>
      </c>
      <c r="AH1283">
        <f t="shared" si="435"/>
        <v>0.14475012573749196</v>
      </c>
      <c r="AI1283">
        <f t="shared" si="436"/>
        <v>-0.7865244579079923</v>
      </c>
      <c r="AK1283" s="26">
        <f t="shared" si="437"/>
        <v>-3.0356460125942175E-2</v>
      </c>
      <c r="AL1283" s="26">
        <f t="shared" si="438"/>
        <v>-3.1068662882298967E-2</v>
      </c>
      <c r="AM1283" s="26">
        <f t="shared" si="439"/>
        <v>-7.4022949201066612E-3</v>
      </c>
      <c r="AN1283" s="26">
        <f t="shared" si="440"/>
        <v>-17.576666666666682</v>
      </c>
      <c r="AO1283" s="26">
        <f t="shared" si="441"/>
        <v>-12.870892857142863</v>
      </c>
      <c r="AP1283" s="26">
        <f t="shared" si="442"/>
        <v>-7.822389380531007</v>
      </c>
      <c r="AS1283" s="2">
        <v>44197</v>
      </c>
      <c r="AT1283">
        <v>9.4</v>
      </c>
      <c r="AU1283">
        <v>10.7</v>
      </c>
      <c r="AV1283">
        <v>5.9</v>
      </c>
      <c r="AW1283">
        <v>0.9</v>
      </c>
      <c r="AX1283">
        <v>22.33</v>
      </c>
      <c r="AY1283">
        <v>0.2</v>
      </c>
      <c r="AZ1283">
        <v>3.8</v>
      </c>
      <c r="BA1283">
        <v>276.51150000000001</v>
      </c>
      <c r="BB1283">
        <v>83.493600000000001</v>
      </c>
      <c r="BC1283">
        <v>123.7016</v>
      </c>
      <c r="BD1283">
        <v>3.8555999999999999</v>
      </c>
      <c r="BE1283">
        <v>14.996600000000001</v>
      </c>
      <c r="BH1283">
        <v>73.819999999999993</v>
      </c>
    </row>
    <row r="1284" spans="1:60" x14ac:dyDescent="0.25">
      <c r="A1284" s="2">
        <v>44217</v>
      </c>
      <c r="B1284">
        <v>9</v>
      </c>
      <c r="C1284">
        <v>0.1</v>
      </c>
      <c r="D1284">
        <v>53</v>
      </c>
      <c r="E1284">
        <v>14.9</v>
      </c>
      <c r="F1284">
        <v>44.16</v>
      </c>
      <c r="G1284">
        <v>0.2</v>
      </c>
      <c r="H1284">
        <v>2.7</v>
      </c>
      <c r="I1284">
        <v>188.63120000000001</v>
      </c>
      <c r="J1284">
        <v>101.20910000000001</v>
      </c>
      <c r="K1284">
        <v>83.122799999999998</v>
      </c>
      <c r="L1284">
        <v>3.7595999999999998</v>
      </c>
      <c r="M1284">
        <v>26.245899999999999</v>
      </c>
      <c r="N1284">
        <v>1.1992</v>
      </c>
      <c r="O1284">
        <v>-1.3859999999999999</v>
      </c>
      <c r="P1284">
        <v>57.85</v>
      </c>
      <c r="S1284">
        <f t="shared" si="443"/>
        <v>527.02859999999998</v>
      </c>
      <c r="T1284">
        <f t="shared" si="422"/>
        <v>8.4371849238754973E-3</v>
      </c>
      <c r="U1284">
        <f t="shared" si="423"/>
        <v>9.3746499154172199E-5</v>
      </c>
      <c r="V1284">
        <f t="shared" si="424"/>
        <v>4.9685644551711261E-2</v>
      </c>
      <c r="W1284">
        <f t="shared" si="425"/>
        <v>1.3968228373971657E-2</v>
      </c>
      <c r="X1284">
        <f t="shared" si="426"/>
        <v>4.1398454026482435E-2</v>
      </c>
      <c r="Y1284">
        <f t="shared" si="427"/>
        <v>1.874929983083444E-4</v>
      </c>
      <c r="Z1284">
        <f t="shared" si="428"/>
        <v>2.5311554771626494E-3</v>
      </c>
      <c r="AA1284">
        <f t="shared" si="429"/>
        <v>0.17683514631250485</v>
      </c>
      <c r="AB1284">
        <f t="shared" si="430"/>
        <v>9.4879988075445287E-2</v>
      </c>
      <c r="AC1284">
        <f t="shared" si="431"/>
        <v>7.7924714998924241E-2</v>
      </c>
      <c r="AD1284">
        <f t="shared" si="432"/>
        <v>3.5244933822002576E-3</v>
      </c>
      <c r="AE1284">
        <f t="shared" si="433"/>
        <v>2.4604612421504878E-2</v>
      </c>
      <c r="AG1284">
        <f t="shared" si="434"/>
        <v>-1.4969219201693111</v>
      </c>
      <c r="AH1284">
        <f t="shared" si="435"/>
        <v>0.1409065192721709</v>
      </c>
      <c r="AI1284">
        <f t="shared" si="436"/>
        <v>-0.81000977677805164</v>
      </c>
      <c r="AK1284" s="26">
        <f t="shared" si="437"/>
        <v>-3.4620867841252248E-2</v>
      </c>
      <c r="AL1284" s="26">
        <f t="shared" si="438"/>
        <v>-3.1566426660004365E-2</v>
      </c>
      <c r="AM1284" s="26">
        <f t="shared" si="439"/>
        <v>-8.6033808745751561E-3</v>
      </c>
      <c r="AN1284" s="26">
        <f t="shared" si="440"/>
        <v>-17.31952380952383</v>
      </c>
      <c r="AO1284" s="26">
        <f t="shared" si="441"/>
        <v>-12.605892857142862</v>
      </c>
      <c r="AP1284" s="26">
        <f t="shared" si="442"/>
        <v>-7.6682300884956049</v>
      </c>
      <c r="AS1284" s="2">
        <v>44196</v>
      </c>
      <c r="AT1284">
        <v>9.6</v>
      </c>
      <c r="AU1284">
        <v>0.5</v>
      </c>
      <c r="AV1284">
        <v>44.1</v>
      </c>
      <c r="AW1284">
        <v>4.7</v>
      </c>
      <c r="AX1284">
        <v>39.11</v>
      </c>
      <c r="AY1284">
        <v>0.4</v>
      </c>
      <c r="AZ1284">
        <v>3.7</v>
      </c>
      <c r="BA1284">
        <v>224.5829</v>
      </c>
      <c r="BB1284">
        <v>85.820899999999995</v>
      </c>
      <c r="BC1284">
        <v>117.0455</v>
      </c>
      <c r="BD1284">
        <v>3.8132999999999999</v>
      </c>
      <c r="BE1284">
        <v>23.8247</v>
      </c>
      <c r="BH1284">
        <v>74.430000000000007</v>
      </c>
    </row>
    <row r="1285" spans="1:60" x14ac:dyDescent="0.25">
      <c r="A1285" s="2">
        <v>44216</v>
      </c>
      <c r="B1285">
        <v>10.7</v>
      </c>
      <c r="C1285">
        <v>2</v>
      </c>
      <c r="D1285">
        <v>88.7</v>
      </c>
      <c r="E1285">
        <v>13.6</v>
      </c>
      <c r="F1285">
        <v>37.44</v>
      </c>
      <c r="G1285">
        <v>0.2</v>
      </c>
      <c r="H1285">
        <v>3.1</v>
      </c>
      <c r="I1285">
        <v>227.87899999999999</v>
      </c>
      <c r="J1285">
        <v>112.0279</v>
      </c>
      <c r="K1285">
        <v>85.114000000000004</v>
      </c>
      <c r="L1285">
        <v>5.7351999999999999</v>
      </c>
      <c r="M1285">
        <v>23.395600000000002</v>
      </c>
      <c r="N1285">
        <v>1.3078000000000001</v>
      </c>
      <c r="O1285">
        <v>-0.74590000000000001</v>
      </c>
      <c r="P1285">
        <v>58.41</v>
      </c>
      <c r="S1285">
        <f t="shared" si="443"/>
        <v>609.8916999999999</v>
      </c>
      <c r="T1285">
        <f t="shared" ref="T1285:T1348" si="444">B1285/$S$4</f>
        <v>1.0030875409496424E-2</v>
      </c>
      <c r="U1285">
        <f t="shared" ref="U1285:U1348" si="445">C1285/$S$4</f>
        <v>1.8749299830834439E-3</v>
      </c>
      <c r="V1285">
        <f t="shared" ref="V1285:V1348" si="446">D1285/$S$4</f>
        <v>8.3153144749750732E-2</v>
      </c>
      <c r="W1285">
        <f t="shared" ref="W1285:W1348" si="447">E1285/$S$4</f>
        <v>1.2749523884967418E-2</v>
      </c>
      <c r="X1285">
        <f t="shared" ref="X1285:X1348" si="448">F1285/$S$4</f>
        <v>3.509868928332207E-2</v>
      </c>
      <c r="Y1285">
        <f t="shared" ref="Y1285:Y1348" si="449">G1285/$S$4</f>
        <v>1.874929983083444E-4</v>
      </c>
      <c r="Z1285">
        <f t="shared" ref="Z1285:Z1348" si="450">H1285/$S$4</f>
        <v>2.9061414737793379E-3</v>
      </c>
      <c r="AA1285">
        <f t="shared" ref="AA1285:AA1348" si="451">I1285/$S$4</f>
        <v>0.21362858480753605</v>
      </c>
      <c r="AB1285">
        <f t="shared" ref="AB1285:AB1348" si="452">J1285/$S$4</f>
        <v>0.10502223432593687</v>
      </c>
      <c r="AC1285">
        <f t="shared" ref="AC1285:AC1348" si="453">K1285/$S$4</f>
        <v>7.9791395290082126E-2</v>
      </c>
      <c r="AD1285">
        <f t="shared" ref="AD1285:AD1348" si="454">L1285/$S$4</f>
        <v>5.3765492194900837E-3</v>
      </c>
      <c r="AE1285">
        <f t="shared" ref="AE1285:AE1348" si="455">M1285/$S$4</f>
        <v>2.1932555956113511E-2</v>
      </c>
      <c r="AG1285">
        <f t="shared" ref="AG1285:AG1348" si="456">(P1285-AVERAGE(P1285:P1649)) / _xlfn.STDEV.S(P1285:P3112)</f>
        <v>-1.4611149814166886</v>
      </c>
      <c r="AH1285">
        <f t="shared" ref="AH1285:AH1348" si="457">SUM(T1285:Y1285,Z1285,AE1285)</f>
        <v>0.16793335373882129</v>
      </c>
      <c r="AI1285">
        <f t="shared" ref="AI1285:AI1348" si="458">(AH1285-AVERAGE(AH1285:AH1649))/_xlfn.STDEV.S(AH1285:AH1649)</f>
        <v>-0.64851976611817475</v>
      </c>
      <c r="AK1285" s="26">
        <f t="shared" ref="AK1285:AK1348" si="459">AVERAGEA(AH1285:AH1305)-AVERAGE(AH1651:AH1671, AH2016:AH2036, AH2381:AH2401)</f>
        <v>-2.81035888994592E-2</v>
      </c>
      <c r="AL1285" s="26">
        <f t="shared" ref="AL1285:AL1348" si="460">AVERAGEA(AH1285:AH1340)-AVERAGE(AH1651:AH1706, AH2016:AH2070, AH2381:AH2435)</f>
        <v>-2.9789855169024521E-2</v>
      </c>
      <c r="AM1285" s="26">
        <f t="shared" ref="AM1285:AM1348" si="461">AVERAGEA(AH1285:AH1397)-AVERAGE(AH1651:AH1763,AH2016:AH2127,AH2381:AH2492)</f>
        <v>-8.2135854199371638E-3</v>
      </c>
      <c r="AN1285" s="26">
        <f t="shared" ref="AN1285:AN1348" si="462">AVERAGEA(P1285:P1305)-AVERAGE(P1651:P1671, P2016:P2036, P2381:P2401)</f>
        <v>-17.038095238095238</v>
      </c>
      <c r="AO1285" s="26">
        <f t="shared" ref="AO1285:AO1348" si="463">AVERAGEA(P1285:P1340)-AVERAGE(P1651:P1706, P2016:P2070, P2381:P2435)</f>
        <v>-12.329464285714309</v>
      </c>
      <c r="AP1285" s="26">
        <f t="shared" ref="AP1285:AP1348" si="464">AVERAGEA(P1285:P1397)-AVERAGE(P1651:P1763,P2016:P2127,P2381:P2492)</f>
        <v>-7.5100884955752889</v>
      </c>
      <c r="AS1285" s="2">
        <v>44195</v>
      </c>
      <c r="AT1285">
        <v>10.3</v>
      </c>
      <c r="AU1285">
        <v>1</v>
      </c>
      <c r="AV1285">
        <v>50.3</v>
      </c>
      <c r="AW1285">
        <v>6.1</v>
      </c>
      <c r="AX1285">
        <v>36.14</v>
      </c>
      <c r="AY1285">
        <v>0.6</v>
      </c>
      <c r="AZ1285">
        <v>3.4</v>
      </c>
      <c r="BA1285">
        <v>202.5247</v>
      </c>
      <c r="BB1285">
        <v>93.0017</v>
      </c>
      <c r="BC1285">
        <v>124.55419999999999</v>
      </c>
      <c r="BD1285">
        <v>3.8334999999999999</v>
      </c>
      <c r="BE1285">
        <v>28.34</v>
      </c>
      <c r="BH1285">
        <v>74.86</v>
      </c>
    </row>
    <row r="1286" spans="1:60" x14ac:dyDescent="0.25">
      <c r="A1286" s="2">
        <v>44215</v>
      </c>
      <c r="B1286">
        <v>10.8</v>
      </c>
      <c r="C1286">
        <v>0</v>
      </c>
      <c r="D1286">
        <v>69.7</v>
      </c>
      <c r="E1286">
        <v>4.8</v>
      </c>
      <c r="F1286">
        <v>12.01</v>
      </c>
      <c r="G1286">
        <v>0.1</v>
      </c>
      <c r="H1286">
        <v>2.9</v>
      </c>
      <c r="I1286">
        <v>323.29840000000002</v>
      </c>
      <c r="J1286">
        <v>143.1232</v>
      </c>
      <c r="K1286">
        <v>95.992800000000003</v>
      </c>
      <c r="L1286">
        <v>6.6760999999999999</v>
      </c>
      <c r="M1286">
        <v>25.648099999999999</v>
      </c>
      <c r="N1286">
        <v>1.5136000000000001</v>
      </c>
      <c r="O1286">
        <v>-0.59919999999999995</v>
      </c>
      <c r="P1286">
        <v>59.07</v>
      </c>
      <c r="S1286">
        <f t="shared" si="443"/>
        <v>695.04860000000008</v>
      </c>
      <c r="T1286">
        <f t="shared" si="444"/>
        <v>1.0124621908650598E-2</v>
      </c>
      <c r="U1286">
        <f t="shared" si="445"/>
        <v>0</v>
      </c>
      <c r="V1286">
        <f t="shared" si="446"/>
        <v>6.5341309910458015E-2</v>
      </c>
      <c r="W1286">
        <f t="shared" si="447"/>
        <v>4.4998319594002651E-3</v>
      </c>
      <c r="X1286">
        <f t="shared" si="448"/>
        <v>1.125895454841608E-2</v>
      </c>
      <c r="Y1286">
        <f t="shared" si="449"/>
        <v>9.3746499154172199E-5</v>
      </c>
      <c r="Z1286">
        <f t="shared" si="450"/>
        <v>2.7186484754709935E-3</v>
      </c>
      <c r="AA1286">
        <f t="shared" si="451"/>
        <v>0.30308093182145224</v>
      </c>
      <c r="AB1286">
        <f t="shared" si="452"/>
        <v>0.13417298947742418</v>
      </c>
      <c r="AC1286">
        <f t="shared" si="453"/>
        <v>8.9989889440066209E-2</v>
      </c>
      <c r="AD1286">
        <f t="shared" si="454"/>
        <v>6.2586100300316893E-3</v>
      </c>
      <c r="AE1286">
        <f t="shared" si="455"/>
        <v>2.4044195849561238E-2</v>
      </c>
      <c r="AG1286">
        <f t="shared" si="456"/>
        <v>-1.4173313620330967</v>
      </c>
      <c r="AH1286">
        <f t="shared" si="457"/>
        <v>0.11808130915111137</v>
      </c>
      <c r="AI1286">
        <f t="shared" si="458"/>
        <v>-0.94622196189215602</v>
      </c>
      <c r="AK1286" s="26">
        <f t="shared" si="459"/>
        <v>-3.1244864449593221E-2</v>
      </c>
      <c r="AL1286" s="26">
        <f t="shared" si="460"/>
        <v>-2.8646106028227938E-2</v>
      </c>
      <c r="AM1286" s="26">
        <f t="shared" si="461"/>
        <v>-8.9172383464380112E-3</v>
      </c>
      <c r="AN1286" s="26">
        <f t="shared" si="462"/>
        <v>-16.739523809523817</v>
      </c>
      <c r="AO1286" s="26">
        <f t="shared" si="463"/>
        <v>-12.041071428571414</v>
      </c>
      <c r="AP1286" s="26">
        <f t="shared" si="464"/>
        <v>-7.3494690265487179</v>
      </c>
      <c r="AS1286" s="2">
        <v>44194</v>
      </c>
      <c r="AT1286">
        <v>11.1</v>
      </c>
      <c r="AU1286">
        <v>1.8</v>
      </c>
      <c r="AV1286">
        <v>14.3</v>
      </c>
      <c r="AW1286">
        <v>2.5</v>
      </c>
      <c r="AX1286">
        <v>24.97</v>
      </c>
      <c r="AY1286">
        <v>0.5</v>
      </c>
      <c r="AZ1286">
        <v>3.3</v>
      </c>
      <c r="BA1286">
        <v>221.7698</v>
      </c>
      <c r="BB1286">
        <v>87.4268</v>
      </c>
      <c r="BC1286">
        <v>140.9401</v>
      </c>
      <c r="BD1286">
        <v>3.8496000000000001</v>
      </c>
      <c r="BE1286">
        <v>23.157900000000001</v>
      </c>
      <c r="BH1286">
        <v>75.38</v>
      </c>
    </row>
    <row r="1287" spans="1:60" x14ac:dyDescent="0.25">
      <c r="A1287" s="2">
        <v>44214</v>
      </c>
      <c r="B1287">
        <v>9.6</v>
      </c>
      <c r="C1287">
        <v>2.2999999999999998</v>
      </c>
      <c r="D1287">
        <v>65.900000000000006</v>
      </c>
      <c r="E1287">
        <v>7.3</v>
      </c>
      <c r="F1287">
        <v>11.94</v>
      </c>
      <c r="G1287">
        <v>0.3</v>
      </c>
      <c r="H1287">
        <v>2.9</v>
      </c>
      <c r="I1287">
        <v>372.6474</v>
      </c>
      <c r="J1287">
        <v>180.09100000000001</v>
      </c>
      <c r="K1287">
        <v>191.62119999999999</v>
      </c>
      <c r="L1287">
        <v>4.4989999999999997</v>
      </c>
      <c r="M1287">
        <v>27.115400000000001</v>
      </c>
      <c r="N1287">
        <v>-0.39240000000000003</v>
      </c>
      <c r="O1287">
        <v>-1.8493999999999999</v>
      </c>
      <c r="P1287">
        <v>59.88</v>
      </c>
      <c r="S1287">
        <f t="shared" si="443"/>
        <v>876.21400000000006</v>
      </c>
      <c r="T1287">
        <f t="shared" si="444"/>
        <v>8.9996639188005302E-3</v>
      </c>
      <c r="U1287">
        <f t="shared" si="445"/>
        <v>2.1561694805459601E-3</v>
      </c>
      <c r="V1287">
        <f t="shared" si="446"/>
        <v>6.1778942942599481E-2</v>
      </c>
      <c r="W1287">
        <f t="shared" si="447"/>
        <v>6.8434944382545701E-3</v>
      </c>
      <c r="X1287">
        <f t="shared" si="448"/>
        <v>1.119333199900816E-2</v>
      </c>
      <c r="Y1287">
        <f t="shared" si="449"/>
        <v>2.8123949746251657E-4</v>
      </c>
      <c r="Z1287">
        <f t="shared" si="450"/>
        <v>2.7186484754709935E-3</v>
      </c>
      <c r="AA1287">
        <f t="shared" si="451"/>
        <v>0.34934389168904467</v>
      </c>
      <c r="AB1287">
        <f t="shared" si="452"/>
        <v>0.16882900779174026</v>
      </c>
      <c r="AC1287">
        <f t="shared" si="453"/>
        <v>0.1796381666372146</v>
      </c>
      <c r="AD1287">
        <f t="shared" si="454"/>
        <v>4.2176549969462065E-3</v>
      </c>
      <c r="AE1287">
        <f t="shared" si="455"/>
        <v>2.5419738231650408E-2</v>
      </c>
      <c r="AG1287">
        <f t="shared" si="456"/>
        <v>-1.3616310287817113</v>
      </c>
      <c r="AH1287">
        <f t="shared" si="457"/>
        <v>0.11939122898379263</v>
      </c>
      <c r="AI1287">
        <f t="shared" si="458"/>
        <v>-0.93914720248798367</v>
      </c>
      <c r="AK1287" s="26">
        <f t="shared" si="459"/>
        <v>-3.4340815799445701E-2</v>
      </c>
      <c r="AL1287" s="26">
        <f t="shared" si="460"/>
        <v>-2.7041122437548151E-2</v>
      </c>
      <c r="AM1287" s="26">
        <f t="shared" si="461"/>
        <v>-8.4072615391144467E-3</v>
      </c>
      <c r="AN1287" s="26">
        <f t="shared" si="462"/>
        <v>-16.429523809523815</v>
      </c>
      <c r="AO1287" s="26">
        <f t="shared" si="463"/>
        <v>-11.746250000000003</v>
      </c>
      <c r="AP1287" s="26">
        <f t="shared" si="464"/>
        <v>-7.1861946902655234</v>
      </c>
      <c r="AS1287" s="2">
        <v>44193</v>
      </c>
      <c r="AT1287">
        <v>10.4</v>
      </c>
      <c r="AU1287">
        <v>2.7</v>
      </c>
      <c r="AV1287">
        <v>20.2</v>
      </c>
      <c r="AW1287">
        <v>4.4000000000000004</v>
      </c>
      <c r="AX1287">
        <v>18.32</v>
      </c>
      <c r="AY1287">
        <v>0.5</v>
      </c>
      <c r="AZ1287">
        <v>3.2</v>
      </c>
      <c r="BA1287">
        <v>203.14099999999999</v>
      </c>
      <c r="BB1287">
        <v>85.515100000000004</v>
      </c>
      <c r="BC1287">
        <v>119.10760000000001</v>
      </c>
      <c r="BD1287">
        <v>3.8315000000000001</v>
      </c>
      <c r="BE1287">
        <v>29.299700000000001</v>
      </c>
      <c r="BH1287">
        <v>75.89</v>
      </c>
    </row>
    <row r="1288" spans="1:60" x14ac:dyDescent="0.25">
      <c r="A1288" s="2">
        <v>44213</v>
      </c>
      <c r="B1288">
        <v>9.6999999999999993</v>
      </c>
      <c r="C1288">
        <v>4.5999999999999996</v>
      </c>
      <c r="D1288">
        <v>33.700000000000003</v>
      </c>
      <c r="E1288">
        <v>1.2</v>
      </c>
      <c r="F1288">
        <v>15.51</v>
      </c>
      <c r="G1288">
        <v>0.6</v>
      </c>
      <c r="H1288">
        <v>3.1</v>
      </c>
      <c r="I1288">
        <v>352.88189999999997</v>
      </c>
      <c r="J1288">
        <v>163.1884</v>
      </c>
      <c r="K1288">
        <v>161.24549999999999</v>
      </c>
      <c r="L1288">
        <v>3.7669000000000001</v>
      </c>
      <c r="M1288">
        <v>17.8432</v>
      </c>
      <c r="P1288">
        <v>60.8</v>
      </c>
      <c r="S1288">
        <f t="shared" si="443"/>
        <v>767.33589999999992</v>
      </c>
      <c r="T1288">
        <f t="shared" si="444"/>
        <v>9.0934104179547018E-3</v>
      </c>
      <c r="U1288">
        <f t="shared" si="445"/>
        <v>4.3123389610919202E-3</v>
      </c>
      <c r="V1288">
        <f t="shared" si="446"/>
        <v>3.1592570214956033E-2</v>
      </c>
      <c r="W1288">
        <f t="shared" si="447"/>
        <v>1.1249579898500663E-3</v>
      </c>
      <c r="X1288">
        <f t="shared" si="448"/>
        <v>1.4540082018812107E-2</v>
      </c>
      <c r="Y1288">
        <f t="shared" si="449"/>
        <v>5.6247899492503314E-4</v>
      </c>
      <c r="Z1288">
        <f t="shared" si="450"/>
        <v>2.9061414737793379E-3</v>
      </c>
      <c r="AA1288">
        <f t="shared" si="451"/>
        <v>0.33081442739872674</v>
      </c>
      <c r="AB1288">
        <f t="shared" si="452"/>
        <v>0.15298341202570714</v>
      </c>
      <c r="AC1288">
        <f t="shared" si="453"/>
        <v>0.15116201129364071</v>
      </c>
      <c r="AD1288">
        <f t="shared" si="454"/>
        <v>3.5313368766385126E-3</v>
      </c>
      <c r="AE1288">
        <f t="shared" si="455"/>
        <v>1.6727375337077251E-2</v>
      </c>
      <c r="AG1288">
        <f t="shared" si="456"/>
        <v>-1.2969687230586444</v>
      </c>
      <c r="AH1288">
        <f t="shared" si="457"/>
        <v>8.0859355408446465E-2</v>
      </c>
      <c r="AI1288">
        <f t="shared" si="458"/>
        <v>-1.1704105933782398</v>
      </c>
      <c r="AK1288" s="26">
        <f t="shared" si="459"/>
        <v>-3.4758219854870112E-2</v>
      </c>
      <c r="AL1288" s="26">
        <f t="shared" si="460"/>
        <v>-2.6549060455844931E-2</v>
      </c>
      <c r="AM1288" s="26">
        <f t="shared" si="461"/>
        <v>-8.9468738547812399E-3</v>
      </c>
      <c r="AN1288" s="26">
        <f t="shared" si="462"/>
        <v>-16.115714285714304</v>
      </c>
      <c r="AO1288" s="26">
        <f t="shared" si="463"/>
        <v>-11.448035714285737</v>
      </c>
      <c r="AP1288" s="26">
        <f t="shared" si="464"/>
        <v>-7.022389380531024</v>
      </c>
      <c r="AS1288" s="2">
        <v>44192</v>
      </c>
      <c r="AT1288">
        <v>9.5</v>
      </c>
      <c r="AU1288">
        <v>1.1000000000000001</v>
      </c>
      <c r="AV1288">
        <v>53.4</v>
      </c>
      <c r="AW1288">
        <v>12.6</v>
      </c>
      <c r="AX1288">
        <v>25.06</v>
      </c>
      <c r="AY1288">
        <v>0.6</v>
      </c>
      <c r="AZ1288">
        <v>3.2</v>
      </c>
      <c r="BA1288">
        <v>79.763199999999998</v>
      </c>
      <c r="BB1288">
        <v>40.808</v>
      </c>
      <c r="BC1288">
        <v>40.849400000000003</v>
      </c>
      <c r="BD1288">
        <v>3.8203999999999998</v>
      </c>
      <c r="BE1288">
        <v>8.4532000000000007</v>
      </c>
      <c r="BH1288">
        <v>76.400000000000006</v>
      </c>
    </row>
    <row r="1289" spans="1:60" x14ac:dyDescent="0.25">
      <c r="A1289" s="2">
        <v>44212</v>
      </c>
      <c r="B1289">
        <v>11.8</v>
      </c>
      <c r="C1289">
        <v>0.8</v>
      </c>
      <c r="D1289">
        <v>35.200000000000003</v>
      </c>
      <c r="E1289">
        <v>1.7</v>
      </c>
      <c r="F1289">
        <v>15.54</v>
      </c>
      <c r="G1289">
        <v>0.5</v>
      </c>
      <c r="H1289">
        <v>3.1</v>
      </c>
      <c r="I1289">
        <v>381.2747</v>
      </c>
      <c r="J1289">
        <v>174.11500000000001</v>
      </c>
      <c r="K1289">
        <v>207.88419999999999</v>
      </c>
      <c r="L1289">
        <v>3.7945000000000002</v>
      </c>
      <c r="M1289">
        <v>14.0709</v>
      </c>
      <c r="P1289">
        <v>61.61</v>
      </c>
      <c r="S1289">
        <f t="shared" si="443"/>
        <v>849.77930000000003</v>
      </c>
      <c r="T1289">
        <f t="shared" si="444"/>
        <v>1.1062086900192319E-2</v>
      </c>
      <c r="U1289">
        <f t="shared" si="445"/>
        <v>7.4997199323337759E-4</v>
      </c>
      <c r="V1289">
        <f t="shared" si="446"/>
        <v>3.2998767702268617E-2</v>
      </c>
      <c r="W1289">
        <f t="shared" si="447"/>
        <v>1.5936904856209272E-3</v>
      </c>
      <c r="X1289">
        <f t="shared" si="448"/>
        <v>1.4568205968558358E-2</v>
      </c>
      <c r="Y1289">
        <f t="shared" si="449"/>
        <v>4.6873249577086097E-4</v>
      </c>
      <c r="Z1289">
        <f t="shared" si="450"/>
        <v>2.9061414737793379E-3</v>
      </c>
      <c r="AA1289">
        <f t="shared" si="451"/>
        <v>0.35743168341057258</v>
      </c>
      <c r="AB1289">
        <f t="shared" si="452"/>
        <v>0.16322671700228691</v>
      </c>
      <c r="AC1289">
        <f t="shared" si="453"/>
        <v>0.19488415979465762</v>
      </c>
      <c r="AD1289">
        <f t="shared" si="454"/>
        <v>3.5572109104050642E-3</v>
      </c>
      <c r="AE1289">
        <f t="shared" si="455"/>
        <v>1.3190976149484415E-2</v>
      </c>
      <c r="AG1289">
        <f t="shared" si="456"/>
        <v>-1.2402896659715394</v>
      </c>
      <c r="AH1289">
        <f t="shared" si="457"/>
        <v>7.753857316890822E-2</v>
      </c>
      <c r="AI1289">
        <f t="shared" si="458"/>
        <v>-1.1919878702784712</v>
      </c>
      <c r="AK1289" s="26">
        <f t="shared" si="459"/>
        <v>-3.2893186823625936E-2</v>
      </c>
      <c r="AL1289" s="26">
        <f t="shared" si="460"/>
        <v>-2.4180960273514698E-2</v>
      </c>
      <c r="AM1289" s="26">
        <f t="shared" si="461"/>
        <v>-9.4799537816485091E-3</v>
      </c>
      <c r="AN1289" s="26">
        <f t="shared" si="462"/>
        <v>-15.803809523809505</v>
      </c>
      <c r="AO1289" s="26">
        <f t="shared" si="463"/>
        <v>-11.150535714285709</v>
      </c>
      <c r="AP1289" s="26">
        <f t="shared" si="464"/>
        <v>-6.8615929203540418</v>
      </c>
      <c r="AS1289" s="2">
        <v>44191</v>
      </c>
      <c r="AT1289">
        <v>11.4</v>
      </c>
      <c r="AU1289">
        <v>1.7</v>
      </c>
      <c r="AV1289">
        <v>63.7</v>
      </c>
      <c r="AW1289">
        <v>7</v>
      </c>
      <c r="AX1289">
        <v>31.08</v>
      </c>
      <c r="AY1289">
        <v>0.6</v>
      </c>
      <c r="AZ1289">
        <v>3.2</v>
      </c>
      <c r="BA1289">
        <v>90.822500000000005</v>
      </c>
      <c r="BB1289">
        <v>51.266300000000001</v>
      </c>
      <c r="BC1289">
        <v>76.111500000000007</v>
      </c>
      <c r="BD1289">
        <v>3.7745000000000002</v>
      </c>
      <c r="BE1289">
        <v>13.5984</v>
      </c>
      <c r="BH1289">
        <v>76.77</v>
      </c>
    </row>
    <row r="1290" spans="1:60" x14ac:dyDescent="0.25">
      <c r="A1290" s="2">
        <v>44211</v>
      </c>
      <c r="B1290">
        <v>12</v>
      </c>
      <c r="C1290">
        <v>0.4</v>
      </c>
      <c r="D1290">
        <v>16.8</v>
      </c>
      <c r="E1290">
        <v>2.1</v>
      </c>
      <c r="F1290">
        <v>22.66</v>
      </c>
      <c r="G1290">
        <v>0.6</v>
      </c>
      <c r="H1290">
        <v>2.9</v>
      </c>
      <c r="I1290">
        <v>382.52839999999998</v>
      </c>
      <c r="J1290">
        <v>243.23439999999999</v>
      </c>
      <c r="K1290">
        <v>244.08920000000001</v>
      </c>
      <c r="L1290">
        <v>3.8692000000000002</v>
      </c>
      <c r="M1290">
        <v>38.197699999999998</v>
      </c>
      <c r="N1290">
        <v>2.4777999999999998</v>
      </c>
      <c r="O1290">
        <v>0.96750000000000003</v>
      </c>
      <c r="P1290">
        <v>62.46</v>
      </c>
      <c r="S1290">
        <f t="shared" si="443"/>
        <v>969.37889999999993</v>
      </c>
      <c r="T1290">
        <f t="shared" si="444"/>
        <v>1.1249579898500664E-2</v>
      </c>
      <c r="U1290">
        <f t="shared" si="445"/>
        <v>3.7498599661668879E-4</v>
      </c>
      <c r="V1290">
        <f t="shared" si="446"/>
        <v>1.5749411857900929E-2</v>
      </c>
      <c r="W1290">
        <f t="shared" si="447"/>
        <v>1.9686764822376161E-3</v>
      </c>
      <c r="X1290">
        <f t="shared" si="448"/>
        <v>2.1242956708335418E-2</v>
      </c>
      <c r="Y1290">
        <f t="shared" si="449"/>
        <v>5.6247899492503314E-4</v>
      </c>
      <c r="Z1290">
        <f t="shared" si="450"/>
        <v>2.7186484754709935E-3</v>
      </c>
      <c r="AA1290">
        <f t="shared" si="451"/>
        <v>0.35860698327046842</v>
      </c>
      <c r="AB1290">
        <f t="shared" si="452"/>
        <v>0.22802373473865581</v>
      </c>
      <c r="AC1290">
        <f t="shared" si="453"/>
        <v>0.22882507981342567</v>
      </c>
      <c r="AD1290">
        <f t="shared" si="454"/>
        <v>3.6272395452732306E-3</v>
      </c>
      <c r="AE1290">
        <f t="shared" si="455"/>
        <v>3.5809006507413227E-2</v>
      </c>
      <c r="AG1290">
        <f t="shared" si="456"/>
        <v>-1.1800873943345938</v>
      </c>
      <c r="AH1290">
        <f t="shared" si="457"/>
        <v>8.9675744921400569E-2</v>
      </c>
      <c r="AI1290">
        <f t="shared" si="458"/>
        <v>-1.1225995471213455</v>
      </c>
      <c r="AK1290" s="26">
        <f t="shared" si="459"/>
        <v>-3.2613826720265554E-2</v>
      </c>
      <c r="AL1290" s="26">
        <f t="shared" si="460"/>
        <v>-2.1981744409410725E-2</v>
      </c>
      <c r="AM1290" s="26">
        <f t="shared" si="461"/>
        <v>-9.3313912985552305E-3</v>
      </c>
      <c r="AN1290" s="26">
        <f t="shared" si="462"/>
        <v>-15.493333333333325</v>
      </c>
      <c r="AO1290" s="26">
        <f t="shared" si="463"/>
        <v>-10.857142857142847</v>
      </c>
      <c r="AP1290" s="26">
        <f t="shared" si="464"/>
        <v>-6.7033628318584704</v>
      </c>
      <c r="AS1290" s="2">
        <v>44190</v>
      </c>
      <c r="AT1290">
        <v>12.1</v>
      </c>
      <c r="AU1290">
        <v>1.2</v>
      </c>
      <c r="AV1290">
        <v>42.7</v>
      </c>
      <c r="AW1290">
        <v>2.8</v>
      </c>
      <c r="AX1290">
        <v>24.46</v>
      </c>
      <c r="AY1290">
        <v>0.6</v>
      </c>
      <c r="AZ1290">
        <v>3.4</v>
      </c>
      <c r="BA1290">
        <v>134.82589999999999</v>
      </c>
      <c r="BB1290">
        <v>48.365499999999997</v>
      </c>
      <c r="BC1290">
        <v>91.610799999999998</v>
      </c>
      <c r="BD1290">
        <v>3.7694000000000001</v>
      </c>
      <c r="BE1290">
        <v>24.441400000000002</v>
      </c>
      <c r="BH1290">
        <v>76.94</v>
      </c>
    </row>
    <row r="1291" spans="1:60" x14ac:dyDescent="0.25">
      <c r="A1291" s="2">
        <v>44210</v>
      </c>
      <c r="B1291">
        <v>11.7</v>
      </c>
      <c r="C1291">
        <v>2.2000000000000002</v>
      </c>
      <c r="D1291">
        <v>44.1</v>
      </c>
      <c r="E1291">
        <v>5.4</v>
      </c>
      <c r="F1291">
        <v>13.71</v>
      </c>
      <c r="G1291">
        <v>0.6</v>
      </c>
      <c r="H1291">
        <v>3.1</v>
      </c>
      <c r="I1291">
        <v>340.23700000000002</v>
      </c>
      <c r="J1291">
        <v>217.4427</v>
      </c>
      <c r="K1291">
        <v>207.88640000000001</v>
      </c>
      <c r="L1291">
        <v>4.0065</v>
      </c>
      <c r="M1291">
        <v>33.8476</v>
      </c>
      <c r="N1291">
        <v>4.0831</v>
      </c>
      <c r="O1291">
        <v>1.8340000000000001</v>
      </c>
      <c r="P1291">
        <v>63.42</v>
      </c>
      <c r="S1291">
        <f t="shared" si="443"/>
        <v>884.23019999999997</v>
      </c>
      <c r="T1291">
        <f t="shared" si="444"/>
        <v>1.0968340401038145E-2</v>
      </c>
      <c r="U1291">
        <f t="shared" si="445"/>
        <v>2.0624229813917885E-3</v>
      </c>
      <c r="V1291">
        <f t="shared" si="446"/>
        <v>4.1342206126989939E-2</v>
      </c>
      <c r="W1291">
        <f t="shared" si="447"/>
        <v>5.0623109543252989E-3</v>
      </c>
      <c r="X1291">
        <f t="shared" si="448"/>
        <v>1.2852645034037009E-2</v>
      </c>
      <c r="Y1291">
        <f t="shared" si="449"/>
        <v>5.6247899492503314E-4</v>
      </c>
      <c r="Z1291">
        <f t="shared" si="450"/>
        <v>2.9061414737793379E-3</v>
      </c>
      <c r="AA1291">
        <f t="shared" si="451"/>
        <v>0.31896027632718088</v>
      </c>
      <c r="AB1291">
        <f t="shared" si="452"/>
        <v>0.20384491891630918</v>
      </c>
      <c r="AC1291">
        <f t="shared" si="453"/>
        <v>0.19488622221763902</v>
      </c>
      <c r="AD1291">
        <f t="shared" si="454"/>
        <v>3.755953488611909E-3</v>
      </c>
      <c r="AE1291">
        <f t="shared" si="455"/>
        <v>3.1730940047707587E-2</v>
      </c>
      <c r="AG1291">
        <f t="shared" si="456"/>
        <v>-1.1109361391036685</v>
      </c>
      <c r="AH1291">
        <f t="shared" si="457"/>
        <v>0.10748748601419414</v>
      </c>
      <c r="AI1291">
        <f t="shared" si="458"/>
        <v>-1.0189574939038286</v>
      </c>
      <c r="AK1291" s="26">
        <f t="shared" si="459"/>
        <v>-2.691578504222375E-2</v>
      </c>
      <c r="AL1291" s="26">
        <f t="shared" si="460"/>
        <v>-2.0741638933885281E-2</v>
      </c>
      <c r="AM1291" s="26">
        <f t="shared" si="461"/>
        <v>-8.0076417832111724E-3</v>
      </c>
      <c r="AN1291" s="26">
        <f t="shared" si="462"/>
        <v>-15.190476190476176</v>
      </c>
      <c r="AO1291" s="26">
        <f t="shared" si="463"/>
        <v>-10.571785714285738</v>
      </c>
      <c r="AP1291" s="26">
        <f t="shared" si="464"/>
        <v>-6.548230088495643</v>
      </c>
      <c r="AS1291" s="2">
        <v>44189</v>
      </c>
      <c r="AT1291">
        <v>11.5</v>
      </c>
      <c r="AU1291">
        <v>2.4</v>
      </c>
      <c r="AV1291">
        <v>76.400000000000006</v>
      </c>
      <c r="AW1291">
        <v>6.3</v>
      </c>
      <c r="AX1291">
        <v>17.66</v>
      </c>
      <c r="AY1291">
        <v>0.6</v>
      </c>
      <c r="AZ1291">
        <v>3.4</v>
      </c>
      <c r="BA1291">
        <v>109.3715</v>
      </c>
      <c r="BB1291">
        <v>49.158999999999999</v>
      </c>
      <c r="BC1291">
        <v>74.573300000000003</v>
      </c>
      <c r="BD1291">
        <v>3.7645</v>
      </c>
      <c r="BE1291">
        <v>24.946200000000001</v>
      </c>
      <c r="BH1291">
        <v>77.3</v>
      </c>
    </row>
    <row r="1292" spans="1:60" x14ac:dyDescent="0.25">
      <c r="A1292" s="2">
        <v>44209</v>
      </c>
      <c r="B1292">
        <v>9.9</v>
      </c>
      <c r="C1292">
        <v>2.1</v>
      </c>
      <c r="D1292">
        <v>83</v>
      </c>
      <c r="E1292">
        <v>13.6</v>
      </c>
      <c r="F1292">
        <v>24.55</v>
      </c>
      <c r="G1292">
        <v>0.6</v>
      </c>
      <c r="H1292">
        <v>3</v>
      </c>
      <c r="I1292">
        <v>280.66559999999998</v>
      </c>
      <c r="J1292">
        <v>147.4538</v>
      </c>
      <c r="K1292">
        <v>101.0754</v>
      </c>
      <c r="L1292">
        <v>3.7690999999999999</v>
      </c>
      <c r="M1292">
        <v>17.5413</v>
      </c>
      <c r="N1292">
        <v>5.1748000000000003</v>
      </c>
      <c r="O1292">
        <v>2.8645</v>
      </c>
      <c r="P1292">
        <v>64.31</v>
      </c>
      <c r="S1292">
        <f t="shared" si="443"/>
        <v>687.25519999999995</v>
      </c>
      <c r="T1292">
        <f t="shared" si="444"/>
        <v>9.2809034162630467E-3</v>
      </c>
      <c r="U1292">
        <f t="shared" si="445"/>
        <v>1.9686764822376161E-3</v>
      </c>
      <c r="V1292">
        <f t="shared" si="446"/>
        <v>7.7809594297962914E-2</v>
      </c>
      <c r="W1292">
        <f t="shared" si="447"/>
        <v>1.2749523884967418E-2</v>
      </c>
      <c r="X1292">
        <f t="shared" si="448"/>
        <v>2.3014765542349273E-2</v>
      </c>
      <c r="Y1292">
        <f t="shared" si="449"/>
        <v>5.6247899492503314E-4</v>
      </c>
      <c r="Z1292">
        <f t="shared" si="450"/>
        <v>2.8123949746251659E-3</v>
      </c>
      <c r="AA1292">
        <f t="shared" si="451"/>
        <v>0.2631141743300523</v>
      </c>
      <c r="AB1292">
        <f t="shared" si="452"/>
        <v>0.13823277536979475</v>
      </c>
      <c r="AC1292">
        <f t="shared" si="453"/>
        <v>9.4754649006076164E-2</v>
      </c>
      <c r="AD1292">
        <f t="shared" si="454"/>
        <v>3.533399299619904E-3</v>
      </c>
      <c r="AE1292">
        <f t="shared" si="455"/>
        <v>1.6444354656130807E-2</v>
      </c>
      <c r="AG1292">
        <f t="shared" si="456"/>
        <v>-1.0467760134008286</v>
      </c>
      <c r="AH1292">
        <f t="shared" si="457"/>
        <v>0.14464269224946125</v>
      </c>
      <c r="AI1292">
        <f t="shared" si="458"/>
        <v>-0.79893536919556729</v>
      </c>
      <c r="AK1292" s="26">
        <f t="shared" si="459"/>
        <v>-2.3035358523330135E-2</v>
      </c>
      <c r="AL1292" s="26">
        <f t="shared" si="460"/>
        <v>-2.1725242269412484E-2</v>
      </c>
      <c r="AM1292" s="26">
        <f t="shared" si="461"/>
        <v>-8.7461932958484701E-3</v>
      </c>
      <c r="AN1292" s="26">
        <f t="shared" si="462"/>
        <v>-14.890476190476193</v>
      </c>
      <c r="AO1292" s="26">
        <f t="shared" si="463"/>
        <v>-10.296250000000001</v>
      </c>
      <c r="AP1292" s="26">
        <f t="shared" si="464"/>
        <v>-6.3969026548673327</v>
      </c>
      <c r="AS1292" s="2">
        <v>44188</v>
      </c>
      <c r="AT1292">
        <v>10.9</v>
      </c>
      <c r="AU1292">
        <v>24.8</v>
      </c>
      <c r="AV1292">
        <v>23.5</v>
      </c>
      <c r="AW1292">
        <v>2.5</v>
      </c>
      <c r="AX1292">
        <v>12.51</v>
      </c>
      <c r="AY1292">
        <v>0.6</v>
      </c>
      <c r="AZ1292">
        <v>3.7</v>
      </c>
      <c r="BA1292">
        <v>271.56810000000002</v>
      </c>
      <c r="BB1292">
        <v>109.4289</v>
      </c>
      <c r="BC1292">
        <v>146.0677</v>
      </c>
      <c r="BD1292">
        <v>3.7614999999999998</v>
      </c>
      <c r="BE1292">
        <v>30.629300000000001</v>
      </c>
      <c r="BH1292">
        <v>77.5</v>
      </c>
    </row>
    <row r="1293" spans="1:60" x14ac:dyDescent="0.25">
      <c r="A1293" s="2">
        <v>44208</v>
      </c>
      <c r="B1293">
        <v>9.1999999999999993</v>
      </c>
      <c r="C1293">
        <v>1.8</v>
      </c>
      <c r="D1293">
        <v>71.099999999999994</v>
      </c>
      <c r="E1293">
        <v>9.8000000000000007</v>
      </c>
      <c r="F1293">
        <v>12.31</v>
      </c>
      <c r="G1293">
        <v>0.5</v>
      </c>
      <c r="H1293">
        <v>3.1</v>
      </c>
      <c r="I1293">
        <v>250.69579999999999</v>
      </c>
      <c r="J1293">
        <v>163.5111</v>
      </c>
      <c r="K1293">
        <v>143.8595</v>
      </c>
      <c r="L1293">
        <v>4.6885000000000003</v>
      </c>
      <c r="M1293">
        <v>33.215000000000003</v>
      </c>
      <c r="N1293">
        <v>10.1274</v>
      </c>
      <c r="O1293">
        <v>7.3240999999999996</v>
      </c>
      <c r="P1293">
        <v>65.14</v>
      </c>
      <c r="S1293">
        <f t="shared" si="443"/>
        <v>703.7799</v>
      </c>
      <c r="T1293">
        <f t="shared" si="444"/>
        <v>8.6246779221838404E-3</v>
      </c>
      <c r="U1293">
        <f t="shared" si="445"/>
        <v>1.6874369847750994E-3</v>
      </c>
      <c r="V1293">
        <f t="shared" si="446"/>
        <v>6.6653760898616424E-2</v>
      </c>
      <c r="W1293">
        <f t="shared" si="447"/>
        <v>9.1871569171088751E-3</v>
      </c>
      <c r="X1293">
        <f t="shared" si="448"/>
        <v>1.1540194045878598E-2</v>
      </c>
      <c r="Y1293">
        <f t="shared" si="449"/>
        <v>4.6873249577086097E-4</v>
      </c>
      <c r="Z1293">
        <f t="shared" si="450"/>
        <v>2.9061414737793379E-3</v>
      </c>
      <c r="AA1293">
        <f t="shared" si="451"/>
        <v>0.23501853602654521</v>
      </c>
      <c r="AB1293">
        <f t="shared" si="452"/>
        <v>0.15328593197847765</v>
      </c>
      <c r="AC1293">
        <f t="shared" si="453"/>
        <v>0.13486324495069635</v>
      </c>
      <c r="AD1293">
        <f t="shared" si="454"/>
        <v>4.3953046128433638E-3</v>
      </c>
      <c r="AE1293">
        <f t="shared" si="455"/>
        <v>3.1137899694058297E-2</v>
      </c>
      <c r="AG1293">
        <f t="shared" si="456"/>
        <v>-0.98691005206454085</v>
      </c>
      <c r="AH1293">
        <f t="shared" si="457"/>
        <v>0.13220600043217132</v>
      </c>
      <c r="AI1293">
        <f t="shared" si="458"/>
        <v>-0.87374165380533375</v>
      </c>
      <c r="AK1293" s="26">
        <f t="shared" si="459"/>
        <v>-2.4683770179743061E-2</v>
      </c>
      <c r="AL1293" s="26">
        <f t="shared" si="460"/>
        <v>-2.0086153367531501E-2</v>
      </c>
      <c r="AM1293" s="26">
        <f t="shared" si="461"/>
        <v>-8.6036264406259277E-3</v>
      </c>
      <c r="AN1293" s="26">
        <f t="shared" si="462"/>
        <v>-14.598095238095212</v>
      </c>
      <c r="AO1293" s="26">
        <f t="shared" si="463"/>
        <v>-10.029285714285706</v>
      </c>
      <c r="AP1293" s="26">
        <f t="shared" si="464"/>
        <v>-6.2487610619469791</v>
      </c>
      <c r="AS1293" s="2">
        <v>44187</v>
      </c>
      <c r="AT1293">
        <v>10.6</v>
      </c>
      <c r="AU1293">
        <v>0.9</v>
      </c>
      <c r="AV1293">
        <v>65.8</v>
      </c>
      <c r="AW1293">
        <v>9.8000000000000007</v>
      </c>
      <c r="AX1293">
        <v>15</v>
      </c>
      <c r="AY1293">
        <v>0.5</v>
      </c>
      <c r="AZ1293">
        <v>3.6</v>
      </c>
      <c r="BA1293">
        <v>166.64619999999999</v>
      </c>
      <c r="BB1293">
        <v>68.266400000000004</v>
      </c>
      <c r="BC1293">
        <v>80.028199999999998</v>
      </c>
      <c r="BD1293">
        <v>3.7593000000000001</v>
      </c>
      <c r="BE1293">
        <v>22.136399999999998</v>
      </c>
      <c r="BH1293">
        <v>77.72</v>
      </c>
    </row>
    <row r="1294" spans="1:60" x14ac:dyDescent="0.25">
      <c r="A1294" s="2">
        <v>44207</v>
      </c>
      <c r="B1294">
        <v>8.4</v>
      </c>
      <c r="C1294">
        <v>0.4</v>
      </c>
      <c r="D1294">
        <v>71.599999999999994</v>
      </c>
      <c r="E1294">
        <v>10.7</v>
      </c>
      <c r="F1294">
        <v>23.01</v>
      </c>
      <c r="G1294">
        <v>0.5</v>
      </c>
      <c r="H1294">
        <v>3</v>
      </c>
      <c r="I1294">
        <v>319.55160000000001</v>
      </c>
      <c r="J1294">
        <v>163.37909999999999</v>
      </c>
      <c r="K1294">
        <v>144.30359999999999</v>
      </c>
      <c r="L1294">
        <v>3.8279999999999998</v>
      </c>
      <c r="M1294">
        <v>33.9621</v>
      </c>
      <c r="N1294">
        <v>4.8262</v>
      </c>
      <c r="O1294">
        <v>2.0701999999999998</v>
      </c>
      <c r="P1294">
        <v>66.02</v>
      </c>
      <c r="S1294">
        <f t="shared" si="443"/>
        <v>782.63439999999991</v>
      </c>
      <c r="T1294">
        <f t="shared" si="444"/>
        <v>7.8747059289504644E-3</v>
      </c>
      <c r="U1294">
        <f t="shared" si="445"/>
        <v>3.7498599661668879E-4</v>
      </c>
      <c r="V1294">
        <f t="shared" si="446"/>
        <v>6.7122493394387278E-2</v>
      </c>
      <c r="W1294">
        <f t="shared" si="447"/>
        <v>1.0030875409496424E-2</v>
      </c>
      <c r="X1294">
        <f t="shared" si="448"/>
        <v>2.1571069455375024E-2</v>
      </c>
      <c r="Y1294">
        <f t="shared" si="449"/>
        <v>4.6873249577086097E-4</v>
      </c>
      <c r="Z1294">
        <f t="shared" si="450"/>
        <v>2.8123949746251659E-3</v>
      </c>
      <c r="AA1294">
        <f t="shared" si="451"/>
        <v>0.29956843799114369</v>
      </c>
      <c r="AB1294">
        <f t="shared" si="452"/>
        <v>0.15316218659959413</v>
      </c>
      <c r="AC1294">
        <f t="shared" si="453"/>
        <v>0.13527957315344002</v>
      </c>
      <c r="AD1294">
        <f t="shared" si="454"/>
        <v>3.5886159876217113E-3</v>
      </c>
      <c r="AE1294">
        <f t="shared" si="455"/>
        <v>3.1838279789239116E-2</v>
      </c>
      <c r="AG1294">
        <f t="shared" si="456"/>
        <v>-0.92285267759119083</v>
      </c>
      <c r="AH1294">
        <f t="shared" si="457"/>
        <v>0.14209353744446102</v>
      </c>
      <c r="AI1294">
        <f t="shared" si="458"/>
        <v>-0.81467106966512837</v>
      </c>
      <c r="AK1294" s="26">
        <f t="shared" si="459"/>
        <v>-2.4043910145944786E-2</v>
      </c>
      <c r="AL1294" s="26">
        <f t="shared" si="460"/>
        <v>-1.9441303006697941E-2</v>
      </c>
      <c r="AM1294" s="26">
        <f t="shared" si="461"/>
        <v>-1.007865542830863E-2</v>
      </c>
      <c r="AN1294" s="26">
        <f t="shared" si="462"/>
        <v>-14.310952380952372</v>
      </c>
      <c r="AO1294" s="26">
        <f t="shared" si="463"/>
        <v>-9.7703571428571365</v>
      </c>
      <c r="AP1294" s="26">
        <f t="shared" si="464"/>
        <v>-6.1023893805310507</v>
      </c>
      <c r="AS1294" s="2">
        <v>44186</v>
      </c>
      <c r="AT1294">
        <v>9.5</v>
      </c>
      <c r="AU1294">
        <v>2.8</v>
      </c>
      <c r="AV1294">
        <v>67.5</v>
      </c>
      <c r="AW1294">
        <v>6.2</v>
      </c>
      <c r="AX1294">
        <v>25.91</v>
      </c>
      <c r="AY1294">
        <v>0.6</v>
      </c>
      <c r="AZ1294">
        <v>3.4</v>
      </c>
      <c r="BA1294">
        <v>230.5463</v>
      </c>
      <c r="BB1294">
        <v>78.533799999999999</v>
      </c>
      <c r="BC1294">
        <v>128.03469999999999</v>
      </c>
      <c r="BD1294">
        <v>3.7867999999999999</v>
      </c>
      <c r="BE1294">
        <v>24.489699999999999</v>
      </c>
      <c r="BH1294">
        <v>78.040000000000006</v>
      </c>
    </row>
    <row r="1295" spans="1:60" x14ac:dyDescent="0.25">
      <c r="A1295" s="2">
        <v>44206</v>
      </c>
      <c r="B1295">
        <v>9.3000000000000007</v>
      </c>
      <c r="C1295">
        <v>22</v>
      </c>
      <c r="D1295">
        <v>50</v>
      </c>
      <c r="E1295">
        <v>3.6</v>
      </c>
      <c r="F1295">
        <v>28.57</v>
      </c>
      <c r="G1295">
        <v>0.6</v>
      </c>
      <c r="H1295">
        <v>3.4</v>
      </c>
      <c r="I1295">
        <v>327.21789999999999</v>
      </c>
      <c r="J1295">
        <v>157.97550000000001</v>
      </c>
      <c r="K1295">
        <v>152.3922</v>
      </c>
      <c r="L1295">
        <v>3.7926000000000002</v>
      </c>
      <c r="M1295">
        <v>16.901399999999999</v>
      </c>
      <c r="P1295">
        <v>66.92</v>
      </c>
      <c r="S1295">
        <f t="shared" si="443"/>
        <v>775.74959999999999</v>
      </c>
      <c r="T1295">
        <f t="shared" si="444"/>
        <v>8.7184244213380137E-3</v>
      </c>
      <c r="U1295">
        <f t="shared" si="445"/>
        <v>2.0624229813917882E-2</v>
      </c>
      <c r="V1295">
        <f t="shared" si="446"/>
        <v>4.6873249577086093E-2</v>
      </c>
      <c r="W1295">
        <f t="shared" si="447"/>
        <v>3.3748739695501988E-3</v>
      </c>
      <c r="X1295">
        <f t="shared" si="448"/>
        <v>2.6783374808346996E-2</v>
      </c>
      <c r="Y1295">
        <f t="shared" si="449"/>
        <v>5.6247899492503314E-4</v>
      </c>
      <c r="Z1295">
        <f t="shared" si="450"/>
        <v>3.1873809712418544E-3</v>
      </c>
      <c r="AA1295">
        <f t="shared" si="451"/>
        <v>0.30675532585580001</v>
      </c>
      <c r="AB1295">
        <f t="shared" si="452"/>
        <v>0.14809650077129929</v>
      </c>
      <c r="AC1295">
        <f t="shared" si="453"/>
        <v>0.1428623524840244</v>
      </c>
      <c r="AD1295">
        <f t="shared" si="454"/>
        <v>3.5554297269211345E-3</v>
      </c>
      <c r="AE1295">
        <f t="shared" si="455"/>
        <v>1.5844470808043257E-2</v>
      </c>
      <c r="AG1295">
        <f t="shared" si="456"/>
        <v>-0.85693828637745229</v>
      </c>
      <c r="AH1295">
        <f t="shared" si="457"/>
        <v>0.12596848336444932</v>
      </c>
      <c r="AI1295">
        <f t="shared" si="458"/>
        <v>-0.91051039666631617</v>
      </c>
      <c r="AK1295" s="26">
        <f t="shared" si="459"/>
        <v>-3.5374897718663326E-2</v>
      </c>
      <c r="AL1295" s="26">
        <f t="shared" si="460"/>
        <v>-1.8117336265545209E-2</v>
      </c>
      <c r="AM1295" s="26">
        <f t="shared" si="461"/>
        <v>-1.0185820121067418E-2</v>
      </c>
      <c r="AN1295" s="26">
        <f t="shared" si="462"/>
        <v>-14.029047619047603</v>
      </c>
      <c r="AO1295" s="26">
        <f t="shared" si="463"/>
        <v>-9.5185714285714198</v>
      </c>
      <c r="AP1295" s="26">
        <f t="shared" si="464"/>
        <v>-5.9589380530974267</v>
      </c>
      <c r="AS1295" s="2">
        <v>44185</v>
      </c>
      <c r="AT1295">
        <v>10.199999999999999</v>
      </c>
      <c r="AU1295">
        <v>1.5</v>
      </c>
      <c r="AV1295">
        <v>74.3</v>
      </c>
      <c r="AW1295">
        <v>4.3</v>
      </c>
      <c r="AX1295">
        <v>22.67</v>
      </c>
      <c r="AY1295">
        <v>0.6</v>
      </c>
      <c r="AZ1295">
        <v>3.6</v>
      </c>
      <c r="BA1295">
        <v>227.959</v>
      </c>
      <c r="BB1295">
        <v>74.020600000000002</v>
      </c>
      <c r="BC1295">
        <v>100.20569999999999</v>
      </c>
      <c r="BD1295">
        <v>3.7947000000000002</v>
      </c>
      <c r="BE1295">
        <v>23.916</v>
      </c>
      <c r="BH1295">
        <v>78.42</v>
      </c>
    </row>
    <row r="1296" spans="1:60" x14ac:dyDescent="0.25">
      <c r="A1296" s="2">
        <v>44205</v>
      </c>
      <c r="B1296">
        <v>10.5</v>
      </c>
      <c r="C1296">
        <v>2.6</v>
      </c>
      <c r="D1296">
        <v>4.7</v>
      </c>
      <c r="E1296">
        <v>1.2</v>
      </c>
      <c r="F1296">
        <v>16.12</v>
      </c>
      <c r="G1296">
        <v>0.4</v>
      </c>
      <c r="H1296">
        <v>3.7</v>
      </c>
      <c r="I1296">
        <v>349.53989999999999</v>
      </c>
      <c r="J1296">
        <v>234.86429999999999</v>
      </c>
      <c r="K1296">
        <v>186.773</v>
      </c>
      <c r="L1296">
        <v>3.7890999999999999</v>
      </c>
      <c r="M1296">
        <v>25.543900000000001</v>
      </c>
      <c r="P1296">
        <v>67.680000000000007</v>
      </c>
      <c r="S1296">
        <f t="shared" si="443"/>
        <v>839.73019999999997</v>
      </c>
      <c r="T1296">
        <f t="shared" si="444"/>
        <v>9.8433824111880796E-3</v>
      </c>
      <c r="U1296">
        <f t="shared" si="445"/>
        <v>2.437408978008477E-3</v>
      </c>
      <c r="V1296">
        <f t="shared" si="446"/>
        <v>4.4060854602460935E-3</v>
      </c>
      <c r="W1296">
        <f t="shared" si="447"/>
        <v>1.1249579898500663E-3</v>
      </c>
      <c r="X1296">
        <f t="shared" si="448"/>
        <v>1.5111935663652558E-2</v>
      </c>
      <c r="Y1296">
        <f t="shared" si="449"/>
        <v>3.7498599661668879E-4</v>
      </c>
      <c r="Z1296">
        <f t="shared" si="450"/>
        <v>3.4686204687043713E-3</v>
      </c>
      <c r="AA1296">
        <f t="shared" si="451"/>
        <v>0.3276814193969943</v>
      </c>
      <c r="AB1296">
        <f t="shared" si="452"/>
        <v>0.22017705901295243</v>
      </c>
      <c r="AC1296">
        <f t="shared" si="453"/>
        <v>0.17509314886522201</v>
      </c>
      <c r="AD1296">
        <f t="shared" si="454"/>
        <v>3.5521485994507384E-3</v>
      </c>
      <c r="AE1296">
        <f t="shared" si="455"/>
        <v>2.3946511997442591E-2</v>
      </c>
      <c r="AG1296">
        <f t="shared" si="456"/>
        <v>-0.80163091634889694</v>
      </c>
      <c r="AH1296">
        <f t="shared" si="457"/>
        <v>6.0713888965708923E-2</v>
      </c>
      <c r="AI1296">
        <f t="shared" si="458"/>
        <v>-1.3008680888170976</v>
      </c>
      <c r="AK1296" s="26">
        <f t="shared" si="459"/>
        <v>-3.6182206856427021E-2</v>
      </c>
      <c r="AL1296" s="26">
        <f t="shared" si="460"/>
        <v>-1.9931220537233008E-2</v>
      </c>
      <c r="AM1296" s="26">
        <f t="shared" si="461"/>
        <v>-1.1358910716120441E-2</v>
      </c>
      <c r="AN1296" s="26">
        <f t="shared" si="462"/>
        <v>-13.749999999999986</v>
      </c>
      <c r="AO1296" s="26">
        <f t="shared" si="463"/>
        <v>-9.2749999999999773</v>
      </c>
      <c r="AP1296" s="26">
        <f t="shared" si="464"/>
        <v>-5.8206194690266244</v>
      </c>
      <c r="AS1296" s="2">
        <v>44184</v>
      </c>
      <c r="AT1296">
        <v>10.9</v>
      </c>
      <c r="AU1296">
        <v>12.8</v>
      </c>
      <c r="AV1296">
        <v>73</v>
      </c>
      <c r="AW1296">
        <v>6.6</v>
      </c>
      <c r="AX1296">
        <v>42.05</v>
      </c>
      <c r="AY1296">
        <v>0.6</v>
      </c>
      <c r="AZ1296">
        <v>3.9</v>
      </c>
      <c r="BA1296">
        <v>182.96469999999999</v>
      </c>
      <c r="BB1296">
        <v>92.521699999999996</v>
      </c>
      <c r="BC1296">
        <v>89.894000000000005</v>
      </c>
      <c r="BD1296">
        <v>3.8169</v>
      </c>
      <c r="BE1296">
        <v>19.291</v>
      </c>
      <c r="BH1296">
        <v>78.7</v>
      </c>
    </row>
    <row r="1297" spans="1:60" x14ac:dyDescent="0.25">
      <c r="A1297" s="2">
        <v>44204</v>
      </c>
      <c r="B1297">
        <v>11.1</v>
      </c>
      <c r="C1297">
        <v>1.8</v>
      </c>
      <c r="D1297">
        <v>15</v>
      </c>
      <c r="E1297">
        <v>1.7</v>
      </c>
      <c r="F1297">
        <v>9.94</v>
      </c>
      <c r="G1297">
        <v>0.3</v>
      </c>
      <c r="H1297">
        <v>4</v>
      </c>
      <c r="I1297">
        <v>357.13619999999997</v>
      </c>
      <c r="J1297">
        <v>259.93560000000002</v>
      </c>
      <c r="K1297">
        <v>233.18780000000001</v>
      </c>
      <c r="L1297">
        <v>3.8039999999999998</v>
      </c>
      <c r="M1297">
        <v>37.5351</v>
      </c>
      <c r="N1297">
        <v>2.7614000000000001</v>
      </c>
      <c r="O1297">
        <v>-9.4399999999999998E-2</v>
      </c>
      <c r="P1297">
        <v>68.47</v>
      </c>
      <c r="S1297">
        <f t="shared" si="443"/>
        <v>935.43869999999993</v>
      </c>
      <c r="T1297">
        <f t="shared" si="444"/>
        <v>1.0405861406113113E-2</v>
      </c>
      <c r="U1297">
        <f t="shared" si="445"/>
        <v>1.6874369847750994E-3</v>
      </c>
      <c r="V1297">
        <f t="shared" si="446"/>
        <v>1.4061974873125828E-2</v>
      </c>
      <c r="W1297">
        <f t="shared" si="447"/>
        <v>1.5936904856209272E-3</v>
      </c>
      <c r="X1297">
        <f t="shared" si="448"/>
        <v>9.3184020159247146E-3</v>
      </c>
      <c r="Y1297">
        <f t="shared" si="449"/>
        <v>2.8123949746251657E-4</v>
      </c>
      <c r="Z1297">
        <f t="shared" si="450"/>
        <v>3.7498599661668877E-3</v>
      </c>
      <c r="AA1297">
        <f t="shared" si="451"/>
        <v>0.33480268471224267</v>
      </c>
      <c r="AB1297">
        <f t="shared" si="452"/>
        <v>0.24368052505539242</v>
      </c>
      <c r="AC1297">
        <f t="shared" si="453"/>
        <v>0.21860539895463274</v>
      </c>
      <c r="AD1297">
        <f t="shared" si="454"/>
        <v>3.5661168278247101E-3</v>
      </c>
      <c r="AE1297">
        <f t="shared" si="455"/>
        <v>3.5187842204017689E-2</v>
      </c>
      <c r="AG1297">
        <f t="shared" si="456"/>
        <v>-0.74378410915930182</v>
      </c>
      <c r="AH1297">
        <f t="shared" si="457"/>
        <v>7.6286307433206774E-2</v>
      </c>
      <c r="AI1297">
        <f t="shared" si="458"/>
        <v>-1.2099706686429077</v>
      </c>
      <c r="AK1297" s="26">
        <f t="shared" si="459"/>
        <v>-3.3126481682949682E-2</v>
      </c>
      <c r="AL1297" s="26">
        <f t="shared" si="460"/>
        <v>-1.8278720863839137E-2</v>
      </c>
      <c r="AM1297" s="26">
        <f t="shared" si="461"/>
        <v>-1.1318851924455309E-2</v>
      </c>
      <c r="AN1297" s="26">
        <f t="shared" si="462"/>
        <v>-13.476190476190453</v>
      </c>
      <c r="AO1297" s="26">
        <f t="shared" si="463"/>
        <v>-9.0405357142856815</v>
      </c>
      <c r="AP1297" s="26">
        <f t="shared" si="464"/>
        <v>-5.686725663716885</v>
      </c>
      <c r="AS1297" s="2">
        <v>44183</v>
      </c>
      <c r="AT1297">
        <v>12.5</v>
      </c>
      <c r="AU1297">
        <v>9.9</v>
      </c>
      <c r="AV1297">
        <v>84.2</v>
      </c>
      <c r="AW1297">
        <v>5.6</v>
      </c>
      <c r="AX1297">
        <v>46.65</v>
      </c>
      <c r="AY1297">
        <v>0.6</v>
      </c>
      <c r="AZ1297">
        <v>4</v>
      </c>
      <c r="BA1297">
        <v>310.10079999999999</v>
      </c>
      <c r="BB1297">
        <v>105.61060000000001</v>
      </c>
      <c r="BC1297">
        <v>133.8613</v>
      </c>
      <c r="BD1297">
        <v>3.8525999999999998</v>
      </c>
      <c r="BE1297">
        <v>23.863</v>
      </c>
      <c r="BH1297">
        <v>78.94</v>
      </c>
    </row>
    <row r="1298" spans="1:60" x14ac:dyDescent="0.25">
      <c r="A1298" s="2">
        <v>44203</v>
      </c>
      <c r="B1298">
        <v>10.3</v>
      </c>
      <c r="C1298">
        <v>5</v>
      </c>
      <c r="D1298">
        <v>13.2</v>
      </c>
      <c r="E1298">
        <v>2.2000000000000002</v>
      </c>
      <c r="F1298">
        <v>9.3800000000000008</v>
      </c>
      <c r="G1298">
        <v>0.3</v>
      </c>
      <c r="H1298">
        <v>3.9</v>
      </c>
      <c r="I1298">
        <v>356.8134</v>
      </c>
      <c r="J1298">
        <v>262.041</v>
      </c>
      <c r="K1298">
        <v>220.49019999999999</v>
      </c>
      <c r="L1298">
        <v>3.8086000000000002</v>
      </c>
      <c r="M1298">
        <v>38.835299999999997</v>
      </c>
      <c r="N1298">
        <v>1.1364000000000001</v>
      </c>
      <c r="O1298">
        <v>-1.5495000000000001</v>
      </c>
      <c r="P1298">
        <v>69.510000000000005</v>
      </c>
      <c r="S1298">
        <f t="shared" si="443"/>
        <v>926.26849999999979</v>
      </c>
      <c r="T1298">
        <f t="shared" si="444"/>
        <v>9.6558894128797364E-3</v>
      </c>
      <c r="U1298">
        <f t="shared" si="445"/>
        <v>4.6873249577086091E-3</v>
      </c>
      <c r="V1298">
        <f t="shared" si="446"/>
        <v>1.2374537888350728E-2</v>
      </c>
      <c r="W1298">
        <f t="shared" si="447"/>
        <v>2.0624229813917885E-3</v>
      </c>
      <c r="X1298">
        <f t="shared" si="448"/>
        <v>8.7934216206613531E-3</v>
      </c>
      <c r="Y1298">
        <f t="shared" si="449"/>
        <v>2.8123949746251657E-4</v>
      </c>
      <c r="Z1298">
        <f t="shared" si="450"/>
        <v>3.6561134670127153E-3</v>
      </c>
      <c r="AA1298">
        <f t="shared" si="451"/>
        <v>0.33450007101297302</v>
      </c>
      <c r="AB1298">
        <f t="shared" si="452"/>
        <v>0.24565426384858435</v>
      </c>
      <c r="AC1298">
        <f t="shared" si="453"/>
        <v>0.20670184347803255</v>
      </c>
      <c r="AD1298">
        <f t="shared" si="454"/>
        <v>3.5704291667858021E-3</v>
      </c>
      <c r="AE1298">
        <f t="shared" si="455"/>
        <v>3.640673418602023E-2</v>
      </c>
      <c r="AG1298">
        <f t="shared" si="456"/>
        <v>-0.66627585989693627</v>
      </c>
      <c r="AH1298">
        <f t="shared" si="457"/>
        <v>7.7917684011487687E-2</v>
      </c>
      <c r="AI1298">
        <f t="shared" si="458"/>
        <v>-1.2020380933553387</v>
      </c>
      <c r="AK1298" s="26">
        <f t="shared" si="459"/>
        <v>-2.939768789437841E-2</v>
      </c>
      <c r="AL1298" s="26">
        <f t="shared" si="460"/>
        <v>-1.7775519789182848E-2</v>
      </c>
      <c r="AM1298" s="26">
        <f t="shared" si="461"/>
        <v>-1.1133458681805014E-2</v>
      </c>
      <c r="AN1298" s="26">
        <f t="shared" si="462"/>
        <v>-13.208095238095211</v>
      </c>
      <c r="AO1298" s="26">
        <f t="shared" si="463"/>
        <v>-8.8146428571428572</v>
      </c>
      <c r="AP1298" s="26">
        <f t="shared" si="464"/>
        <v>-5.555840707964677</v>
      </c>
      <c r="AS1298" s="2">
        <v>44182</v>
      </c>
      <c r="AT1298">
        <v>13</v>
      </c>
      <c r="AU1298">
        <v>1</v>
      </c>
      <c r="AV1298">
        <v>86</v>
      </c>
      <c r="AW1298">
        <v>6</v>
      </c>
      <c r="AX1298">
        <v>26.32</v>
      </c>
      <c r="AY1298">
        <v>0.6</v>
      </c>
      <c r="AZ1298">
        <v>3.9</v>
      </c>
      <c r="BA1298">
        <v>312.21199999999999</v>
      </c>
      <c r="BB1298">
        <v>144.7603</v>
      </c>
      <c r="BC1298">
        <v>153.8236</v>
      </c>
      <c r="BD1298">
        <v>3.8733</v>
      </c>
      <c r="BE1298">
        <v>24.0777</v>
      </c>
      <c r="BH1298">
        <v>79.3</v>
      </c>
    </row>
    <row r="1299" spans="1:60" x14ac:dyDescent="0.25">
      <c r="A1299" s="2">
        <v>44202</v>
      </c>
      <c r="B1299">
        <v>10.3</v>
      </c>
      <c r="C1299">
        <v>3.4</v>
      </c>
      <c r="D1299">
        <v>56.3</v>
      </c>
      <c r="E1299">
        <v>3.1</v>
      </c>
      <c r="F1299">
        <v>7.8</v>
      </c>
      <c r="G1299">
        <v>0.3</v>
      </c>
      <c r="H1299">
        <v>3.6</v>
      </c>
      <c r="I1299">
        <v>338.50659999999999</v>
      </c>
      <c r="J1299">
        <v>235.9014</v>
      </c>
      <c r="K1299">
        <v>190.7414</v>
      </c>
      <c r="L1299">
        <v>3.8302</v>
      </c>
      <c r="M1299">
        <v>20.162600000000001</v>
      </c>
      <c r="N1299">
        <v>-2.4331999999999998</v>
      </c>
      <c r="O1299">
        <v>-4.4825999999999997</v>
      </c>
      <c r="P1299">
        <v>70.39</v>
      </c>
      <c r="S1299">
        <f t="shared" si="443"/>
        <v>873.94219999999996</v>
      </c>
      <c r="T1299">
        <f t="shared" si="444"/>
        <v>9.6558894128797364E-3</v>
      </c>
      <c r="U1299">
        <f t="shared" si="445"/>
        <v>3.1873809712418544E-3</v>
      </c>
      <c r="V1299">
        <f t="shared" si="446"/>
        <v>5.277927902379894E-2</v>
      </c>
      <c r="W1299">
        <f t="shared" si="447"/>
        <v>2.9061414737793379E-3</v>
      </c>
      <c r="X1299">
        <f t="shared" si="448"/>
        <v>7.3122269340254306E-3</v>
      </c>
      <c r="Y1299">
        <f t="shared" si="449"/>
        <v>2.8123949746251657E-4</v>
      </c>
      <c r="Z1299">
        <f t="shared" si="450"/>
        <v>3.3748739695501988E-3</v>
      </c>
      <c r="AA1299">
        <f t="shared" si="451"/>
        <v>0.31733808690581705</v>
      </c>
      <c r="AB1299">
        <f t="shared" si="452"/>
        <v>0.22114930395568036</v>
      </c>
      <c r="AC1299">
        <f t="shared" si="453"/>
        <v>0.17881338493765619</v>
      </c>
      <c r="AD1299">
        <f t="shared" si="454"/>
        <v>3.5906784106031031E-3</v>
      </c>
      <c r="AE1299">
        <f t="shared" si="455"/>
        <v>1.8901731638459124E-2</v>
      </c>
      <c r="AG1299">
        <f t="shared" si="456"/>
        <v>-0.60100129755185172</v>
      </c>
      <c r="AH1299">
        <f t="shared" si="457"/>
        <v>9.8398762921197147E-2</v>
      </c>
      <c r="AI1299">
        <f t="shared" si="458"/>
        <v>-1.080668258148098</v>
      </c>
      <c r="AK1299" s="26">
        <f t="shared" si="459"/>
        <v>-2.4823372109340644E-2</v>
      </c>
      <c r="AL1299" s="26">
        <f t="shared" si="460"/>
        <v>-1.7254316038599699E-2</v>
      </c>
      <c r="AM1299" s="26">
        <f t="shared" si="461"/>
        <v>-1.1214125470289577E-2</v>
      </c>
      <c r="AN1299" s="26">
        <f t="shared" si="462"/>
        <v>-12.958095238095225</v>
      </c>
      <c r="AO1299" s="26">
        <f t="shared" si="463"/>
        <v>-8.5980357142857144</v>
      </c>
      <c r="AP1299" s="26">
        <f t="shared" si="464"/>
        <v>-5.4278761061947449</v>
      </c>
      <c r="AS1299" s="2">
        <v>44181</v>
      </c>
      <c r="AT1299">
        <v>12.1</v>
      </c>
      <c r="AU1299">
        <v>2</v>
      </c>
      <c r="AV1299">
        <v>45.8</v>
      </c>
      <c r="AW1299">
        <v>2.6</v>
      </c>
      <c r="AX1299">
        <v>32.369999999999997</v>
      </c>
      <c r="AY1299">
        <v>0.6</v>
      </c>
      <c r="AZ1299">
        <v>3.8</v>
      </c>
      <c r="BA1299">
        <v>352.68799999999999</v>
      </c>
      <c r="BB1299">
        <v>212.9939</v>
      </c>
      <c r="BC1299">
        <v>183.67349999999999</v>
      </c>
      <c r="BD1299">
        <v>3.9266999999999999</v>
      </c>
      <c r="BE1299">
        <v>30.981999999999999</v>
      </c>
      <c r="BH1299">
        <v>79.72</v>
      </c>
    </row>
    <row r="1300" spans="1:60" x14ac:dyDescent="0.25">
      <c r="A1300" s="2">
        <v>44201</v>
      </c>
      <c r="B1300">
        <v>10.199999999999999</v>
      </c>
      <c r="C1300">
        <v>2.5</v>
      </c>
      <c r="D1300">
        <v>80.099999999999994</v>
      </c>
      <c r="E1300">
        <v>4.9000000000000004</v>
      </c>
      <c r="F1300">
        <v>6.75</v>
      </c>
      <c r="G1300">
        <v>0.1</v>
      </c>
      <c r="H1300">
        <v>3.3</v>
      </c>
      <c r="I1300">
        <v>352.28609999999998</v>
      </c>
      <c r="J1300">
        <v>215.00020000000001</v>
      </c>
      <c r="K1300">
        <v>188.4725</v>
      </c>
      <c r="L1300">
        <v>3.8599000000000001</v>
      </c>
      <c r="M1300">
        <v>33.818100000000001</v>
      </c>
      <c r="N1300">
        <v>-1.8908</v>
      </c>
      <c r="O1300">
        <v>-3.5960000000000001</v>
      </c>
      <c r="P1300">
        <v>71.17</v>
      </c>
      <c r="S1300">
        <f t="shared" si="443"/>
        <v>901.28679999999986</v>
      </c>
      <c r="T1300">
        <f t="shared" si="444"/>
        <v>9.5621429137255631E-3</v>
      </c>
      <c r="U1300">
        <f t="shared" si="445"/>
        <v>2.3436624788543046E-3</v>
      </c>
      <c r="V1300">
        <f t="shared" si="446"/>
        <v>7.5090945822491914E-2</v>
      </c>
      <c r="W1300">
        <f t="shared" si="447"/>
        <v>4.5935784585544375E-3</v>
      </c>
      <c r="X1300">
        <f t="shared" si="448"/>
        <v>6.327888692906623E-3</v>
      </c>
      <c r="Y1300">
        <f t="shared" si="449"/>
        <v>9.3746499154172199E-5</v>
      </c>
      <c r="Z1300">
        <f t="shared" si="450"/>
        <v>3.0936344720876819E-3</v>
      </c>
      <c r="AA1300">
        <f t="shared" si="451"/>
        <v>0.33025588575676618</v>
      </c>
      <c r="AB1300">
        <f t="shared" si="452"/>
        <v>0.20155516067446852</v>
      </c>
      <c r="AC1300">
        <f t="shared" si="453"/>
        <v>0.17668637061834719</v>
      </c>
      <c r="AD1300">
        <f t="shared" si="454"/>
        <v>3.6185211208518927E-3</v>
      </c>
      <c r="AE1300">
        <f t="shared" si="455"/>
        <v>3.1703284830457104E-2</v>
      </c>
      <c r="AG1300">
        <f t="shared" si="456"/>
        <v>-0.54337517472944807</v>
      </c>
      <c r="AH1300">
        <f t="shared" si="457"/>
        <v>0.13280888416823178</v>
      </c>
      <c r="AI1300">
        <f t="shared" si="458"/>
        <v>-0.87514124786602876</v>
      </c>
      <c r="AK1300" s="26">
        <f t="shared" si="459"/>
        <v>-2.3730962011173112E-2</v>
      </c>
      <c r="AL1300" s="26">
        <f t="shared" si="460"/>
        <v>-1.7338016595942696E-2</v>
      </c>
      <c r="AM1300" s="26">
        <f t="shared" si="461"/>
        <v>-8.2263382622823067E-3</v>
      </c>
      <c r="AN1300" s="26">
        <f t="shared" si="462"/>
        <v>-12.713809523809516</v>
      </c>
      <c r="AO1300" s="26">
        <f t="shared" si="463"/>
        <v>-8.3866071428571445</v>
      </c>
      <c r="AP1300" s="26">
        <f t="shared" si="464"/>
        <v>-5.3018584070797061</v>
      </c>
      <c r="AS1300" s="2">
        <v>44180</v>
      </c>
      <c r="AT1300">
        <v>11.6</v>
      </c>
      <c r="AU1300">
        <v>6.1</v>
      </c>
      <c r="AV1300">
        <v>47.9</v>
      </c>
      <c r="AW1300">
        <v>3.4</v>
      </c>
      <c r="AX1300">
        <v>15.45</v>
      </c>
      <c r="AY1300">
        <v>0.5</v>
      </c>
      <c r="AZ1300">
        <v>4</v>
      </c>
      <c r="BA1300">
        <v>350.48739999999998</v>
      </c>
      <c r="BB1300">
        <v>209.0102</v>
      </c>
      <c r="BC1300">
        <v>178.35470000000001</v>
      </c>
      <c r="BD1300">
        <v>3.8601999999999999</v>
      </c>
      <c r="BE1300">
        <v>36.872199999999999</v>
      </c>
      <c r="BH1300">
        <v>80.16</v>
      </c>
    </row>
    <row r="1301" spans="1:60" x14ac:dyDescent="0.25">
      <c r="A1301" s="2">
        <v>44200</v>
      </c>
      <c r="B1301">
        <v>8.9</v>
      </c>
      <c r="C1301">
        <v>1.4</v>
      </c>
      <c r="D1301">
        <v>59.1</v>
      </c>
      <c r="E1301">
        <v>6.4</v>
      </c>
      <c r="F1301">
        <v>6.25</v>
      </c>
      <c r="G1301">
        <v>0.2</v>
      </c>
      <c r="H1301">
        <v>3.5</v>
      </c>
      <c r="I1301">
        <v>317.23239999999998</v>
      </c>
      <c r="J1301">
        <v>159.73390000000001</v>
      </c>
      <c r="K1301">
        <v>183.14449999999999</v>
      </c>
      <c r="L1301">
        <v>3.8809</v>
      </c>
      <c r="M1301">
        <v>33.068899999999999</v>
      </c>
      <c r="N1301">
        <v>1.6154999999999999</v>
      </c>
      <c r="O1301">
        <v>-0.53700000000000003</v>
      </c>
      <c r="P1301">
        <v>71.989999999999995</v>
      </c>
      <c r="S1301">
        <f t="shared" si="443"/>
        <v>782.81060000000002</v>
      </c>
      <c r="T1301">
        <f t="shared" si="444"/>
        <v>8.3434384247213257E-3</v>
      </c>
      <c r="U1301">
        <f t="shared" si="445"/>
        <v>1.3124509881584105E-3</v>
      </c>
      <c r="V1301">
        <f t="shared" si="446"/>
        <v>5.5404181000115765E-2</v>
      </c>
      <c r="W1301">
        <f t="shared" si="447"/>
        <v>5.9997759458670207E-3</v>
      </c>
      <c r="X1301">
        <f t="shared" si="448"/>
        <v>5.8591561971357616E-3</v>
      </c>
      <c r="Y1301">
        <f t="shared" si="449"/>
        <v>1.874929983083444E-4</v>
      </c>
      <c r="Z1301">
        <f t="shared" si="450"/>
        <v>3.2811274703960268E-3</v>
      </c>
      <c r="AA1301">
        <f t="shared" si="451"/>
        <v>0.29739426918276013</v>
      </c>
      <c r="AB1301">
        <f t="shared" si="452"/>
        <v>0.14974493921242626</v>
      </c>
      <c r="AC1301">
        <f t="shared" si="453"/>
        <v>0.17169155714341289</v>
      </c>
      <c r="AD1301">
        <f t="shared" si="454"/>
        <v>3.6382078856742684E-3</v>
      </c>
      <c r="AE1301">
        <f t="shared" si="455"/>
        <v>3.1000936058794046E-2</v>
      </c>
      <c r="AG1301">
        <f t="shared" si="456"/>
        <v>-0.48255239462415106</v>
      </c>
      <c r="AH1301">
        <f t="shared" si="457"/>
        <v>0.11138855908349669</v>
      </c>
      <c r="AI1301">
        <f t="shared" si="458"/>
        <v>-1.0040085131873158</v>
      </c>
      <c r="AK1301" s="26">
        <f t="shared" si="459"/>
        <v>-2.356256204985914E-2</v>
      </c>
      <c r="AL1301" s="26">
        <f t="shared" si="460"/>
        <v>-1.6952001993318394E-2</v>
      </c>
      <c r="AM1301" s="26">
        <f t="shared" si="461"/>
        <v>-8.9300691725965886E-3</v>
      </c>
      <c r="AN1301" s="26">
        <f t="shared" si="462"/>
        <v>-12.472380952380945</v>
      </c>
      <c r="AO1301" s="26">
        <f t="shared" si="463"/>
        <v>-8.178392857142839</v>
      </c>
      <c r="AP1301" s="26">
        <f t="shared" si="464"/>
        <v>-5.1768141592921069</v>
      </c>
      <c r="AS1301" s="2">
        <v>44179</v>
      </c>
      <c r="AT1301">
        <v>11</v>
      </c>
      <c r="AU1301">
        <v>0</v>
      </c>
      <c r="AV1301">
        <v>79.599999999999994</v>
      </c>
      <c r="AW1301">
        <v>6.4</v>
      </c>
      <c r="AX1301">
        <v>33.26</v>
      </c>
      <c r="AY1301">
        <v>0.4</v>
      </c>
      <c r="AZ1301">
        <v>4.0999999999999996</v>
      </c>
      <c r="BA1301">
        <v>326.3202</v>
      </c>
      <c r="BB1301">
        <v>136.8005</v>
      </c>
      <c r="BC1301">
        <v>166.46850000000001</v>
      </c>
      <c r="BD1301">
        <v>3.972</v>
      </c>
      <c r="BE1301">
        <v>20.2714</v>
      </c>
      <c r="BH1301">
        <v>80.58</v>
      </c>
    </row>
    <row r="1302" spans="1:60" x14ac:dyDescent="0.25">
      <c r="A1302" s="2">
        <v>44199</v>
      </c>
      <c r="B1302">
        <v>8.6999999999999993</v>
      </c>
      <c r="C1302">
        <v>136</v>
      </c>
      <c r="D1302">
        <v>43.3</v>
      </c>
      <c r="E1302">
        <v>5.7</v>
      </c>
      <c r="F1302">
        <v>7.42</v>
      </c>
      <c r="G1302">
        <v>0.2</v>
      </c>
      <c r="H1302">
        <v>3.5</v>
      </c>
      <c r="I1302">
        <v>240.49160000000001</v>
      </c>
      <c r="J1302">
        <v>87.351399999999998</v>
      </c>
      <c r="K1302">
        <v>90.493899999999996</v>
      </c>
      <c r="L1302">
        <v>3.8654000000000002</v>
      </c>
      <c r="M1302">
        <v>19.5627</v>
      </c>
      <c r="P1302">
        <v>72.599999999999994</v>
      </c>
      <c r="S1302">
        <f t="shared" si="443"/>
        <v>646.58499999999992</v>
      </c>
      <c r="T1302">
        <f t="shared" si="444"/>
        <v>8.1559454264129791E-3</v>
      </c>
      <c r="U1302">
        <f t="shared" si="445"/>
        <v>0.12749523884967418</v>
      </c>
      <c r="V1302">
        <f t="shared" si="446"/>
        <v>4.0592234133756559E-2</v>
      </c>
      <c r="W1302">
        <f t="shared" si="447"/>
        <v>5.3435504517878154E-3</v>
      </c>
      <c r="X1302">
        <f t="shared" si="448"/>
        <v>6.9559902372395765E-3</v>
      </c>
      <c r="Y1302">
        <f t="shared" si="449"/>
        <v>1.874929983083444E-4</v>
      </c>
      <c r="Z1302">
        <f t="shared" si="450"/>
        <v>3.2811274703960268E-3</v>
      </c>
      <c r="AA1302">
        <f t="shared" si="451"/>
        <v>0.22545245575985517</v>
      </c>
      <c r="AB1302">
        <f t="shared" si="452"/>
        <v>8.188887946215756E-2</v>
      </c>
      <c r="AC1302">
        <f t="shared" si="453"/>
        <v>8.4834863198077426E-2</v>
      </c>
      <c r="AD1302">
        <f t="shared" si="454"/>
        <v>3.6236771783053718E-3</v>
      </c>
      <c r="AE1302">
        <f t="shared" si="455"/>
        <v>1.8339346390033241E-2</v>
      </c>
      <c r="AG1302">
        <f t="shared" si="456"/>
        <v>-0.43799751001561316</v>
      </c>
      <c r="AH1302">
        <f t="shared" si="457"/>
        <v>0.21035092595760871</v>
      </c>
      <c r="AI1302">
        <f t="shared" si="458"/>
        <v>-0.41139432234171985</v>
      </c>
      <c r="AK1302" s="26">
        <f t="shared" si="459"/>
        <v>-2.2391712916613585E-2</v>
      </c>
      <c r="AL1302" s="26">
        <f t="shared" si="460"/>
        <v>-1.5697479645458701E-2</v>
      </c>
      <c r="AM1302" s="26">
        <f t="shared" si="461"/>
        <v>-8.9023517342183001E-3</v>
      </c>
      <c r="AN1302" s="26">
        <f t="shared" si="462"/>
        <v>-12.237142857142842</v>
      </c>
      <c r="AO1302" s="26">
        <f t="shared" si="463"/>
        <v>-7.9735714285714323</v>
      </c>
      <c r="AP1302" s="26">
        <f t="shared" si="464"/>
        <v>-5.0546017699115851</v>
      </c>
      <c r="AS1302" s="2">
        <v>44178</v>
      </c>
      <c r="AT1302">
        <v>11.1</v>
      </c>
      <c r="AU1302">
        <v>2.1</v>
      </c>
      <c r="AV1302">
        <v>24.6</v>
      </c>
      <c r="AW1302">
        <v>1.3</v>
      </c>
      <c r="AX1302">
        <v>12.79</v>
      </c>
      <c r="AY1302">
        <v>0.6</v>
      </c>
      <c r="AZ1302">
        <v>4</v>
      </c>
      <c r="BA1302">
        <v>342.6284</v>
      </c>
      <c r="BB1302">
        <v>116.4873</v>
      </c>
      <c r="BC1302">
        <v>157.31649999999999</v>
      </c>
      <c r="BD1302">
        <v>3.9790999999999999</v>
      </c>
      <c r="BE1302">
        <v>19.820900000000002</v>
      </c>
      <c r="BH1302">
        <v>81.03</v>
      </c>
    </row>
    <row r="1303" spans="1:60" x14ac:dyDescent="0.25">
      <c r="A1303" s="2">
        <v>44198</v>
      </c>
      <c r="B1303">
        <v>8.9</v>
      </c>
      <c r="C1303">
        <v>1.1000000000000001</v>
      </c>
      <c r="D1303">
        <v>5.9</v>
      </c>
      <c r="E1303">
        <v>1</v>
      </c>
      <c r="F1303">
        <v>16.66</v>
      </c>
      <c r="G1303">
        <v>0.2</v>
      </c>
      <c r="H1303">
        <v>3.8</v>
      </c>
      <c r="I1303">
        <v>299.05290000000002</v>
      </c>
      <c r="J1303">
        <v>97.805000000000007</v>
      </c>
      <c r="K1303">
        <v>131.31710000000001</v>
      </c>
      <c r="L1303">
        <v>3.8896000000000002</v>
      </c>
      <c r="M1303">
        <v>21.8675</v>
      </c>
      <c r="P1303">
        <v>73.3</v>
      </c>
      <c r="S1303">
        <f t="shared" si="443"/>
        <v>591.49209999999994</v>
      </c>
      <c r="T1303">
        <f t="shared" si="444"/>
        <v>8.3434384247213257E-3</v>
      </c>
      <c r="U1303">
        <f t="shared" si="445"/>
        <v>1.0312114906958943E-3</v>
      </c>
      <c r="V1303">
        <f t="shared" si="446"/>
        <v>5.5310434500961594E-3</v>
      </c>
      <c r="W1303">
        <f t="shared" si="447"/>
        <v>9.3746499154172193E-4</v>
      </c>
      <c r="X1303">
        <f t="shared" si="448"/>
        <v>1.5618166759085087E-2</v>
      </c>
      <c r="Y1303">
        <f t="shared" si="449"/>
        <v>1.874929983083444E-4</v>
      </c>
      <c r="Z1303">
        <f t="shared" si="450"/>
        <v>3.5623669678585433E-3</v>
      </c>
      <c r="AA1303">
        <f t="shared" si="451"/>
        <v>0.28035162436902744</v>
      </c>
      <c r="AB1303">
        <f t="shared" si="452"/>
        <v>9.1688763497738121E-2</v>
      </c>
      <c r="AC1303">
        <f t="shared" si="453"/>
        <v>0.12310518404078347</v>
      </c>
      <c r="AD1303">
        <f t="shared" si="454"/>
        <v>3.6463638311006819E-3</v>
      </c>
      <c r="AE1303">
        <f t="shared" si="455"/>
        <v>2.0500015702538604E-2</v>
      </c>
      <c r="AG1303">
        <f t="shared" si="456"/>
        <v>-0.38639321079515504</v>
      </c>
      <c r="AH1303">
        <f t="shared" si="457"/>
        <v>5.5711200784845677E-2</v>
      </c>
      <c r="AI1303">
        <f t="shared" si="458"/>
        <v>-1.3362848389483741</v>
      </c>
      <c r="AK1303" s="26">
        <f t="shared" si="459"/>
        <v>-2.8429482979352064E-2</v>
      </c>
      <c r="AL1303" s="26">
        <f t="shared" si="460"/>
        <v>-1.6620916143019832E-2</v>
      </c>
      <c r="AM1303" s="26">
        <f t="shared" si="461"/>
        <v>-1.0184845323399278E-2</v>
      </c>
      <c r="AN1303" s="26">
        <f t="shared" si="462"/>
        <v>-11.999047619047602</v>
      </c>
      <c r="AO1303" s="26">
        <f t="shared" si="463"/>
        <v>-7.769999999999996</v>
      </c>
      <c r="AP1303" s="26">
        <f t="shared" si="464"/>
        <v>-4.9354867256637789</v>
      </c>
      <c r="AS1303" s="2">
        <v>44177</v>
      </c>
      <c r="AT1303">
        <v>11.6</v>
      </c>
      <c r="AU1303">
        <v>41.1</v>
      </c>
      <c r="AV1303">
        <v>52.3</v>
      </c>
      <c r="AW1303">
        <v>2.9</v>
      </c>
      <c r="AX1303">
        <v>13.32</v>
      </c>
      <c r="AY1303">
        <v>0.6</v>
      </c>
      <c r="AZ1303">
        <v>3.8</v>
      </c>
      <c r="BA1303">
        <v>340.80849999999998</v>
      </c>
      <c r="BB1303">
        <v>165.1395</v>
      </c>
      <c r="BC1303">
        <v>173.6283</v>
      </c>
      <c r="BD1303">
        <v>3.9885999999999999</v>
      </c>
      <c r="BE1303">
        <v>24.386800000000001</v>
      </c>
      <c r="BH1303">
        <v>81.38</v>
      </c>
    </row>
    <row r="1304" spans="1:60" x14ac:dyDescent="0.25">
      <c r="A1304" s="2">
        <v>44197</v>
      </c>
      <c r="B1304">
        <v>9.4</v>
      </c>
      <c r="C1304">
        <v>10.7</v>
      </c>
      <c r="D1304">
        <v>5.9</v>
      </c>
      <c r="E1304">
        <v>0.9</v>
      </c>
      <c r="F1304">
        <v>22.33</v>
      </c>
      <c r="G1304">
        <v>0.2</v>
      </c>
      <c r="H1304">
        <v>3.8</v>
      </c>
      <c r="I1304">
        <v>276.51150000000001</v>
      </c>
      <c r="J1304">
        <v>83.493600000000001</v>
      </c>
      <c r="K1304">
        <v>123.7016</v>
      </c>
      <c r="L1304">
        <v>3.8555999999999999</v>
      </c>
      <c r="M1304">
        <v>14.996600000000001</v>
      </c>
      <c r="N1304">
        <v>3.8243999999999998</v>
      </c>
      <c r="O1304">
        <v>2.1147999999999998</v>
      </c>
      <c r="P1304">
        <v>73.819999999999993</v>
      </c>
      <c r="S1304">
        <f t="shared" si="443"/>
        <v>555.78890000000001</v>
      </c>
      <c r="T1304">
        <f t="shared" si="444"/>
        <v>8.8121709204921871E-3</v>
      </c>
      <c r="U1304">
        <f t="shared" si="445"/>
        <v>1.0030875409496424E-2</v>
      </c>
      <c r="V1304">
        <f t="shared" si="446"/>
        <v>5.5310434500961594E-3</v>
      </c>
      <c r="W1304">
        <f t="shared" si="447"/>
        <v>8.4371849238754971E-4</v>
      </c>
      <c r="X1304">
        <f t="shared" si="448"/>
        <v>2.0933593261126648E-2</v>
      </c>
      <c r="Y1304">
        <f t="shared" si="449"/>
        <v>1.874929983083444E-4</v>
      </c>
      <c r="Z1304">
        <f t="shared" si="450"/>
        <v>3.5623669678585433E-3</v>
      </c>
      <c r="AA1304">
        <f t="shared" si="451"/>
        <v>0.25921985100868883</v>
      </c>
      <c r="AB1304">
        <f t="shared" si="452"/>
        <v>7.8272327017787913E-2</v>
      </c>
      <c r="AC1304">
        <f t="shared" si="453"/>
        <v>0.11596591939769747</v>
      </c>
      <c r="AD1304">
        <f t="shared" si="454"/>
        <v>3.6144900213882628E-3</v>
      </c>
      <c r="AE1304">
        <f t="shared" si="455"/>
        <v>1.4058787492154588E-2</v>
      </c>
      <c r="AG1304">
        <f t="shared" si="456"/>
        <v>-0.34873134372591369</v>
      </c>
      <c r="AH1304">
        <f t="shared" si="457"/>
        <v>6.396004899192044E-2</v>
      </c>
      <c r="AI1304">
        <f t="shared" si="458"/>
        <v>-1.2898636970856527</v>
      </c>
      <c r="AK1304" s="26">
        <f t="shared" si="459"/>
        <v>-2.2088492097158893E-2</v>
      </c>
      <c r="AL1304" s="26">
        <f t="shared" si="460"/>
        <v>-1.0526260369785684E-2</v>
      </c>
      <c r="AM1304" s="26">
        <f t="shared" si="461"/>
        <v>-9.3282022583539848E-3</v>
      </c>
      <c r="AN1304" s="26">
        <f t="shared" si="462"/>
        <v>-11.774761904761903</v>
      </c>
      <c r="AO1304" s="26">
        <f t="shared" si="463"/>
        <v>-7.5725000000000051</v>
      </c>
      <c r="AP1304" s="26">
        <f t="shared" si="464"/>
        <v>-4.8197345132744118</v>
      </c>
      <c r="AS1304" s="2">
        <v>44176</v>
      </c>
      <c r="AT1304">
        <v>12.2</v>
      </c>
      <c r="AU1304">
        <v>3.5</v>
      </c>
      <c r="AV1304">
        <v>75.599999999999994</v>
      </c>
      <c r="AW1304">
        <v>4.4000000000000004</v>
      </c>
      <c r="AX1304">
        <v>15.13</v>
      </c>
      <c r="AY1304">
        <v>0.4</v>
      </c>
      <c r="AZ1304">
        <v>3.8</v>
      </c>
      <c r="BA1304">
        <v>338.94650000000001</v>
      </c>
      <c r="BB1304">
        <v>205.68129999999999</v>
      </c>
      <c r="BC1304">
        <v>205.1617</v>
      </c>
      <c r="BD1304">
        <v>4.7937000000000003</v>
      </c>
      <c r="BE1304">
        <v>32.025199999999998</v>
      </c>
      <c r="BH1304">
        <v>81.84</v>
      </c>
    </row>
    <row r="1305" spans="1:60" x14ac:dyDescent="0.25">
      <c r="A1305" s="2">
        <v>44196</v>
      </c>
      <c r="B1305">
        <v>9.6</v>
      </c>
      <c r="C1305">
        <v>0.5</v>
      </c>
      <c r="D1305">
        <v>44.1</v>
      </c>
      <c r="E1305">
        <v>4.7</v>
      </c>
      <c r="F1305">
        <v>39.11</v>
      </c>
      <c r="G1305">
        <v>0.4</v>
      </c>
      <c r="H1305">
        <v>3.7</v>
      </c>
      <c r="I1305">
        <v>224.5829</v>
      </c>
      <c r="J1305">
        <v>85.820899999999995</v>
      </c>
      <c r="K1305">
        <v>117.0455</v>
      </c>
      <c r="L1305">
        <v>3.8132999999999999</v>
      </c>
      <c r="M1305">
        <v>23.8247</v>
      </c>
      <c r="N1305">
        <v>3.8243999999999998</v>
      </c>
      <c r="O1305">
        <v>2.1423000000000001</v>
      </c>
      <c r="P1305">
        <v>74.430000000000007</v>
      </c>
      <c r="S1305">
        <f t="shared" si="443"/>
        <v>557.19730000000004</v>
      </c>
      <c r="T1305">
        <f t="shared" si="444"/>
        <v>8.9996639188005302E-3</v>
      </c>
      <c r="U1305">
        <f t="shared" si="445"/>
        <v>4.6873249577086097E-4</v>
      </c>
      <c r="V1305">
        <f t="shared" si="446"/>
        <v>4.1342206126989939E-2</v>
      </c>
      <c r="W1305">
        <f t="shared" si="447"/>
        <v>4.4060854602460935E-3</v>
      </c>
      <c r="X1305">
        <f t="shared" si="448"/>
        <v>3.6664255819196745E-2</v>
      </c>
      <c r="Y1305">
        <f t="shared" si="449"/>
        <v>3.7498599661668879E-4</v>
      </c>
      <c r="Z1305">
        <f t="shared" si="450"/>
        <v>3.4686204687043713E-3</v>
      </c>
      <c r="AA1305">
        <f t="shared" si="451"/>
        <v>0.21053860644891537</v>
      </c>
      <c r="AB1305">
        <f t="shared" si="452"/>
        <v>8.0454089292602962E-2</v>
      </c>
      <c r="AC1305">
        <f t="shared" si="453"/>
        <v>0.10972605866749661</v>
      </c>
      <c r="AD1305">
        <f t="shared" si="454"/>
        <v>3.574835252246048E-3</v>
      </c>
      <c r="AE1305">
        <f t="shared" si="455"/>
        <v>2.2334822183984061E-2</v>
      </c>
      <c r="AG1305">
        <f t="shared" si="456"/>
        <v>-0.30406499408573695</v>
      </c>
      <c r="AH1305">
        <f t="shared" si="457"/>
        <v>0.11805937247030929</v>
      </c>
      <c r="AI1305">
        <f t="shared" si="458"/>
        <v>-0.96832291750334509</v>
      </c>
      <c r="AK1305" s="26">
        <f t="shared" si="459"/>
        <v>-2.8081165629685267E-2</v>
      </c>
      <c r="AL1305" s="26">
        <f t="shared" si="460"/>
        <v>-8.2580671708397668E-3</v>
      </c>
      <c r="AM1305" s="26">
        <f t="shared" si="461"/>
        <v>-6.6282889792582123E-3</v>
      </c>
      <c r="AN1305" s="26">
        <f t="shared" si="462"/>
        <v>-11.548095238095215</v>
      </c>
      <c r="AO1305" s="26">
        <f t="shared" si="463"/>
        <v>-7.3739285714285643</v>
      </c>
      <c r="AP1305" s="26">
        <f t="shared" si="464"/>
        <v>-4.703628318584137</v>
      </c>
      <c r="AS1305" s="2">
        <v>44175</v>
      </c>
      <c r="AT1305">
        <v>12.9</v>
      </c>
      <c r="AU1305">
        <v>10.3</v>
      </c>
      <c r="AV1305">
        <v>19.600000000000001</v>
      </c>
      <c r="AW1305">
        <v>0.6</v>
      </c>
      <c r="AX1305">
        <v>9.4600000000000009</v>
      </c>
      <c r="AY1305">
        <v>0.5</v>
      </c>
      <c r="AZ1305">
        <v>4</v>
      </c>
      <c r="BA1305">
        <v>377.49520000000001</v>
      </c>
      <c r="BB1305">
        <v>308.85430000000002</v>
      </c>
      <c r="BC1305">
        <v>238.66139999999999</v>
      </c>
      <c r="BD1305">
        <v>6.8506999999999998</v>
      </c>
      <c r="BE1305">
        <v>42.567399999999999</v>
      </c>
      <c r="BH1305">
        <v>82.43</v>
      </c>
    </row>
    <row r="1306" spans="1:60" x14ac:dyDescent="0.25">
      <c r="A1306" s="2">
        <v>44195</v>
      </c>
      <c r="B1306">
        <v>10.3</v>
      </c>
      <c r="C1306">
        <v>1</v>
      </c>
      <c r="D1306">
        <v>50.3</v>
      </c>
      <c r="E1306">
        <v>6.1</v>
      </c>
      <c r="F1306">
        <v>36.14</v>
      </c>
      <c r="G1306">
        <v>0.6</v>
      </c>
      <c r="H1306">
        <v>3.4</v>
      </c>
      <c r="I1306">
        <v>202.5247</v>
      </c>
      <c r="J1306">
        <v>93.0017</v>
      </c>
      <c r="K1306">
        <v>124.55419999999999</v>
      </c>
      <c r="L1306">
        <v>3.8334999999999999</v>
      </c>
      <c r="M1306">
        <v>28.34</v>
      </c>
      <c r="N1306">
        <v>3.4018999999999999</v>
      </c>
      <c r="O1306">
        <v>2.6591</v>
      </c>
      <c r="P1306">
        <v>74.86</v>
      </c>
      <c r="S1306">
        <f t="shared" si="443"/>
        <v>560.09410000000003</v>
      </c>
      <c r="T1306">
        <f t="shared" si="444"/>
        <v>9.6558894128797364E-3</v>
      </c>
      <c r="U1306">
        <f t="shared" si="445"/>
        <v>9.3746499154172193E-4</v>
      </c>
      <c r="V1306">
        <f t="shared" si="446"/>
        <v>4.7154489074548611E-2</v>
      </c>
      <c r="W1306">
        <f t="shared" si="447"/>
        <v>5.7185364484045034E-3</v>
      </c>
      <c r="X1306">
        <f t="shared" si="448"/>
        <v>3.3879984794317829E-2</v>
      </c>
      <c r="Y1306">
        <f t="shared" si="449"/>
        <v>5.6247899492503314E-4</v>
      </c>
      <c r="Z1306">
        <f t="shared" si="450"/>
        <v>3.1873809712418544E-3</v>
      </c>
      <c r="AA1306">
        <f t="shared" si="451"/>
        <v>0.18985981617248976</v>
      </c>
      <c r="AB1306">
        <f t="shared" si="452"/>
        <v>8.7185837903865762E-2</v>
      </c>
      <c r="AC1306">
        <f t="shared" si="453"/>
        <v>0.11676520204948593</v>
      </c>
      <c r="AD1306">
        <f t="shared" si="454"/>
        <v>3.5937720450751908E-3</v>
      </c>
      <c r="AE1306">
        <f t="shared" si="455"/>
        <v>2.6567757860292397E-2</v>
      </c>
      <c r="AG1306">
        <f t="shared" si="456"/>
        <v>-0.2733997891778755</v>
      </c>
      <c r="AH1306">
        <f t="shared" si="457"/>
        <v>0.12766398254815167</v>
      </c>
      <c r="AI1306">
        <f t="shared" si="458"/>
        <v>-0.9106116745758065</v>
      </c>
      <c r="AK1306" s="26">
        <f t="shared" si="459"/>
        <v>-3.3735579472668337E-2</v>
      </c>
      <c r="AL1306" s="26">
        <f t="shared" si="460"/>
        <v>-1.0342554060425363E-2</v>
      </c>
      <c r="AM1306" s="26">
        <f t="shared" si="461"/>
        <v>-7.0936922298865668E-3</v>
      </c>
      <c r="AN1306" s="26">
        <f t="shared" si="462"/>
        <v>-11.331904761904752</v>
      </c>
      <c r="AO1306" s="26">
        <f t="shared" si="463"/>
        <v>-7.1794642857142748</v>
      </c>
      <c r="AP1306" s="26">
        <f t="shared" si="464"/>
        <v>-4.5903539823009254</v>
      </c>
      <c r="AS1306" s="2">
        <v>44174</v>
      </c>
      <c r="AT1306">
        <v>12.6</v>
      </c>
      <c r="AU1306">
        <v>4.2</v>
      </c>
      <c r="AV1306">
        <v>24</v>
      </c>
      <c r="AW1306">
        <v>1</v>
      </c>
      <c r="AX1306">
        <v>8.77</v>
      </c>
      <c r="AY1306">
        <v>0.6</v>
      </c>
      <c r="AZ1306">
        <v>3.6</v>
      </c>
      <c r="BA1306">
        <v>381.60090000000002</v>
      </c>
      <c r="BB1306">
        <v>336.47660000000002</v>
      </c>
      <c r="BC1306">
        <v>231.88650000000001</v>
      </c>
      <c r="BD1306">
        <v>7.9116</v>
      </c>
      <c r="BE1306">
        <v>35.778300000000002</v>
      </c>
      <c r="BH1306">
        <v>83.08</v>
      </c>
    </row>
    <row r="1307" spans="1:60" x14ac:dyDescent="0.25">
      <c r="A1307" s="2">
        <v>44194</v>
      </c>
      <c r="B1307">
        <v>11.1</v>
      </c>
      <c r="C1307">
        <v>1.8</v>
      </c>
      <c r="D1307">
        <v>14.3</v>
      </c>
      <c r="E1307">
        <v>2.5</v>
      </c>
      <c r="F1307">
        <v>24.97</v>
      </c>
      <c r="G1307">
        <v>0.5</v>
      </c>
      <c r="H1307">
        <v>3.3</v>
      </c>
      <c r="I1307">
        <v>221.7698</v>
      </c>
      <c r="J1307">
        <v>87.4268</v>
      </c>
      <c r="K1307">
        <v>140.9401</v>
      </c>
      <c r="L1307">
        <v>3.8496000000000001</v>
      </c>
      <c r="M1307">
        <v>23.157900000000001</v>
      </c>
      <c r="N1307">
        <v>4.8869999999999996</v>
      </c>
      <c r="O1307">
        <v>2.5924999999999998</v>
      </c>
      <c r="P1307">
        <v>75.38</v>
      </c>
      <c r="S1307">
        <f t="shared" si="443"/>
        <v>535.6142000000001</v>
      </c>
      <c r="T1307">
        <f t="shared" si="444"/>
        <v>1.0405861406113113E-2</v>
      </c>
      <c r="U1307">
        <f t="shared" si="445"/>
        <v>1.6874369847750994E-3</v>
      </c>
      <c r="V1307">
        <f t="shared" si="446"/>
        <v>1.3405749379046624E-2</v>
      </c>
      <c r="W1307">
        <f t="shared" si="447"/>
        <v>2.3436624788543046E-3</v>
      </c>
      <c r="X1307">
        <f t="shared" si="448"/>
        <v>2.3408500838796795E-2</v>
      </c>
      <c r="Y1307">
        <f t="shared" si="449"/>
        <v>4.6873249577086097E-4</v>
      </c>
      <c r="Z1307">
        <f t="shared" si="450"/>
        <v>3.0936344720876819E-3</v>
      </c>
      <c r="AA1307">
        <f t="shared" si="451"/>
        <v>0.20790142368120937</v>
      </c>
      <c r="AB1307">
        <f t="shared" si="452"/>
        <v>8.1959564322519815E-2</v>
      </c>
      <c r="AC1307">
        <f t="shared" si="453"/>
        <v>0.13212640965438943</v>
      </c>
      <c r="AD1307">
        <f t="shared" si="454"/>
        <v>3.6088652314390126E-3</v>
      </c>
      <c r="AE1307">
        <f t="shared" si="455"/>
        <v>2.1709720527624043E-2</v>
      </c>
      <c r="AG1307">
        <f t="shared" si="456"/>
        <v>-0.2357345989373853</v>
      </c>
      <c r="AH1307">
        <f t="shared" si="457"/>
        <v>7.6523298583068514E-2</v>
      </c>
      <c r="AI1307">
        <f t="shared" si="458"/>
        <v>-1.2158256509903869</v>
      </c>
      <c r="AK1307" s="26">
        <f t="shared" si="459"/>
        <v>-3.4848408451175497E-2</v>
      </c>
      <c r="AL1307" s="26">
        <f t="shared" si="460"/>
        <v>-7.7929104343938127E-3</v>
      </c>
      <c r="AM1307" s="26">
        <f t="shared" si="461"/>
        <v>-6.1777723408495411E-3</v>
      </c>
      <c r="AN1307" s="26">
        <f t="shared" si="462"/>
        <v>-11.106190476190449</v>
      </c>
      <c r="AO1307" s="26">
        <f t="shared" si="463"/>
        <v>-6.9844642857142816</v>
      </c>
      <c r="AP1307" s="26">
        <f t="shared" si="464"/>
        <v>-4.478495575221288</v>
      </c>
      <c r="AS1307" s="2">
        <v>44173</v>
      </c>
      <c r="AT1307">
        <v>12.1</v>
      </c>
      <c r="AU1307">
        <v>15.5</v>
      </c>
      <c r="AV1307">
        <v>18.600000000000001</v>
      </c>
      <c r="AW1307">
        <v>1.6</v>
      </c>
      <c r="AX1307">
        <v>33.54</v>
      </c>
      <c r="AY1307">
        <v>0.5</v>
      </c>
      <c r="AZ1307">
        <v>3.9</v>
      </c>
      <c r="BA1307">
        <v>381.53660000000002</v>
      </c>
      <c r="BB1307">
        <v>303.24849999999998</v>
      </c>
      <c r="BC1307">
        <v>228.45590000000001</v>
      </c>
      <c r="BD1307">
        <v>4.7324000000000002</v>
      </c>
      <c r="BE1307">
        <v>24.0321</v>
      </c>
      <c r="BH1307">
        <v>83.78</v>
      </c>
    </row>
    <row r="1308" spans="1:60" x14ac:dyDescent="0.25">
      <c r="A1308" s="2">
        <v>44193</v>
      </c>
      <c r="B1308">
        <v>10.4</v>
      </c>
      <c r="C1308">
        <v>2.7</v>
      </c>
      <c r="D1308">
        <v>20.2</v>
      </c>
      <c r="E1308">
        <v>4.4000000000000004</v>
      </c>
      <c r="F1308">
        <v>18.32</v>
      </c>
      <c r="G1308">
        <v>0.5</v>
      </c>
      <c r="H1308">
        <v>3.2</v>
      </c>
      <c r="I1308">
        <v>203.14099999999999</v>
      </c>
      <c r="J1308">
        <v>85.515100000000004</v>
      </c>
      <c r="K1308">
        <v>119.10760000000001</v>
      </c>
      <c r="L1308">
        <v>3.8315000000000001</v>
      </c>
      <c r="M1308">
        <v>29.299700000000001</v>
      </c>
      <c r="N1308">
        <v>7.3303000000000003</v>
      </c>
      <c r="O1308">
        <v>6.2850000000000001</v>
      </c>
      <c r="P1308">
        <v>75.89</v>
      </c>
      <c r="S1308">
        <f t="shared" si="443"/>
        <v>500.61490000000003</v>
      </c>
      <c r="T1308">
        <f t="shared" si="444"/>
        <v>9.749635912033908E-3</v>
      </c>
      <c r="U1308">
        <f t="shared" si="445"/>
        <v>2.5311554771626494E-3</v>
      </c>
      <c r="V1308">
        <f t="shared" si="446"/>
        <v>1.8936792829142783E-2</v>
      </c>
      <c r="W1308">
        <f t="shared" si="447"/>
        <v>4.1248459627835771E-3</v>
      </c>
      <c r="X1308">
        <f t="shared" si="448"/>
        <v>1.7174358645044345E-2</v>
      </c>
      <c r="Y1308">
        <f t="shared" si="449"/>
        <v>4.6873249577086097E-4</v>
      </c>
      <c r="Z1308">
        <f t="shared" si="450"/>
        <v>2.9998879729335104E-3</v>
      </c>
      <c r="AA1308">
        <f t="shared" si="451"/>
        <v>0.19043757584677692</v>
      </c>
      <c r="AB1308">
        <f t="shared" si="452"/>
        <v>8.0167412498189511E-2</v>
      </c>
      <c r="AC1308">
        <f t="shared" si="453"/>
        <v>0.1116592052265548</v>
      </c>
      <c r="AD1308">
        <f t="shared" si="454"/>
        <v>3.5918971150921074E-3</v>
      </c>
      <c r="AE1308">
        <f t="shared" si="455"/>
        <v>2.7467443012674991E-2</v>
      </c>
      <c r="AG1308">
        <f t="shared" si="456"/>
        <v>-0.19882993487433026</v>
      </c>
      <c r="AH1308">
        <f t="shared" si="457"/>
        <v>8.3452852307546621E-2</v>
      </c>
      <c r="AI1308">
        <f t="shared" si="458"/>
        <v>-1.1773772294149771</v>
      </c>
      <c r="AK1308" s="26">
        <f t="shared" si="459"/>
        <v>-3.1322049067230143E-2</v>
      </c>
      <c r="AL1308" s="26">
        <f t="shared" si="460"/>
        <v>-4.2369634276827051E-3</v>
      </c>
      <c r="AM1308" s="26">
        <f t="shared" si="461"/>
        <v>-4.513549644033138E-3</v>
      </c>
      <c r="AN1308" s="26">
        <f t="shared" si="462"/>
        <v>-10.86999999999999</v>
      </c>
      <c r="AO1308" s="26">
        <f t="shared" si="463"/>
        <v>-6.7891071428571337</v>
      </c>
      <c r="AP1308" s="26">
        <f t="shared" si="464"/>
        <v>-4.3681415929204235</v>
      </c>
      <c r="AS1308" s="2">
        <v>44172</v>
      </c>
      <c r="AT1308">
        <v>12.9</v>
      </c>
      <c r="AU1308">
        <v>0</v>
      </c>
      <c r="AV1308">
        <v>59.3</v>
      </c>
      <c r="AW1308">
        <v>4.7</v>
      </c>
      <c r="AX1308">
        <v>18.72</v>
      </c>
      <c r="AY1308">
        <v>0.6</v>
      </c>
      <c r="AZ1308">
        <v>4</v>
      </c>
      <c r="BA1308">
        <v>356.053</v>
      </c>
      <c r="BB1308">
        <v>225.9281</v>
      </c>
      <c r="BC1308">
        <v>209.1164</v>
      </c>
      <c r="BD1308">
        <v>4.0189000000000004</v>
      </c>
      <c r="BE1308">
        <v>27.918800000000001</v>
      </c>
      <c r="BH1308">
        <v>84.34</v>
      </c>
    </row>
    <row r="1309" spans="1:60" x14ac:dyDescent="0.25">
      <c r="A1309" s="2">
        <v>44192</v>
      </c>
      <c r="B1309">
        <v>9.5</v>
      </c>
      <c r="C1309">
        <v>1.1000000000000001</v>
      </c>
      <c r="D1309">
        <v>53.4</v>
      </c>
      <c r="E1309">
        <v>12.6</v>
      </c>
      <c r="F1309">
        <v>25.06</v>
      </c>
      <c r="G1309">
        <v>0.6</v>
      </c>
      <c r="H1309">
        <v>3.2</v>
      </c>
      <c r="I1309">
        <v>79.763199999999998</v>
      </c>
      <c r="J1309">
        <v>40.808</v>
      </c>
      <c r="K1309">
        <v>40.849400000000003</v>
      </c>
      <c r="L1309">
        <v>3.8203999999999998</v>
      </c>
      <c r="M1309">
        <v>8.4532000000000007</v>
      </c>
      <c r="P1309">
        <v>76.400000000000006</v>
      </c>
      <c r="S1309">
        <f t="shared" si="443"/>
        <v>279.15419999999995</v>
      </c>
      <c r="T1309">
        <f t="shared" si="444"/>
        <v>8.9059174196463586E-3</v>
      </c>
      <c r="U1309">
        <f t="shared" si="445"/>
        <v>1.0312114906958943E-3</v>
      </c>
      <c r="V1309">
        <f t="shared" si="446"/>
        <v>5.0060630548327947E-2</v>
      </c>
      <c r="W1309">
        <f t="shared" si="447"/>
        <v>1.1812058893425697E-2</v>
      </c>
      <c r="X1309">
        <f t="shared" si="448"/>
        <v>2.349287268803555E-2</v>
      </c>
      <c r="Y1309">
        <f t="shared" si="449"/>
        <v>5.6247899492503314E-4</v>
      </c>
      <c r="Z1309">
        <f t="shared" si="450"/>
        <v>2.9998879729335104E-3</v>
      </c>
      <c r="AA1309">
        <f t="shared" si="451"/>
        <v>7.4775207613340666E-2</v>
      </c>
      <c r="AB1309">
        <f t="shared" si="452"/>
        <v>3.825607137483459E-2</v>
      </c>
      <c r="AC1309">
        <f t="shared" si="453"/>
        <v>3.8294882425484421E-2</v>
      </c>
      <c r="AD1309">
        <f t="shared" si="454"/>
        <v>3.5814912536859941E-3</v>
      </c>
      <c r="AE1309">
        <f t="shared" si="455"/>
        <v>7.924579066500485E-3</v>
      </c>
      <c r="AG1309">
        <f t="shared" si="456"/>
        <v>-0.16192276952199605</v>
      </c>
      <c r="AH1309">
        <f t="shared" si="457"/>
        <v>0.10678963707449048</v>
      </c>
      <c r="AI1309">
        <f t="shared" si="458"/>
        <v>-1.0408382791439732</v>
      </c>
      <c r="AK1309" s="26">
        <f t="shared" si="459"/>
        <v>-3.1377609492395556E-2</v>
      </c>
      <c r="AL1309" s="26">
        <f t="shared" si="460"/>
        <v>-3.0936244278198799E-3</v>
      </c>
      <c r="AM1309" s="26">
        <f t="shared" si="461"/>
        <v>-6.8769237761608926E-3</v>
      </c>
      <c r="AN1309" s="26">
        <f t="shared" si="462"/>
        <v>-10.621428571428581</v>
      </c>
      <c r="AO1309" s="26">
        <f t="shared" si="463"/>
        <v>-6.5948214285714215</v>
      </c>
      <c r="AP1309" s="26">
        <f t="shared" si="464"/>
        <v>-4.2601769911505158</v>
      </c>
      <c r="AS1309" s="2">
        <v>44171</v>
      </c>
      <c r="AT1309">
        <v>12.7</v>
      </c>
      <c r="AU1309">
        <v>0.7</v>
      </c>
      <c r="AV1309">
        <v>31.4</v>
      </c>
      <c r="AW1309">
        <v>2.7</v>
      </c>
      <c r="AX1309">
        <v>16.66</v>
      </c>
      <c r="AY1309">
        <v>0.6</v>
      </c>
      <c r="AZ1309">
        <v>3.4</v>
      </c>
      <c r="BA1309">
        <v>344.90010000000001</v>
      </c>
      <c r="BB1309">
        <v>160.10329999999999</v>
      </c>
      <c r="BC1309">
        <v>187.58150000000001</v>
      </c>
      <c r="BD1309">
        <v>3.9733999999999998</v>
      </c>
      <c r="BE1309">
        <v>15.523400000000001</v>
      </c>
      <c r="BH1309">
        <v>84.94</v>
      </c>
    </row>
    <row r="1310" spans="1:60" x14ac:dyDescent="0.25">
      <c r="A1310" s="2">
        <v>44191</v>
      </c>
      <c r="B1310">
        <v>11.4</v>
      </c>
      <c r="C1310">
        <v>1.7</v>
      </c>
      <c r="D1310">
        <v>63.7</v>
      </c>
      <c r="E1310">
        <v>7</v>
      </c>
      <c r="F1310">
        <v>31.08</v>
      </c>
      <c r="G1310">
        <v>0.6</v>
      </c>
      <c r="H1310">
        <v>3.2</v>
      </c>
      <c r="I1310">
        <v>90.822500000000005</v>
      </c>
      <c r="J1310">
        <v>51.266300000000001</v>
      </c>
      <c r="K1310">
        <v>76.111500000000007</v>
      </c>
      <c r="L1310">
        <v>3.7745000000000002</v>
      </c>
      <c r="M1310">
        <v>13.5984</v>
      </c>
      <c r="P1310">
        <v>76.77</v>
      </c>
      <c r="S1310">
        <f t="shared" si="443"/>
        <v>354.25320000000005</v>
      </c>
      <c r="T1310">
        <f t="shared" si="444"/>
        <v>1.0687100903575631E-2</v>
      </c>
      <c r="U1310">
        <f t="shared" si="445"/>
        <v>1.5936904856209272E-3</v>
      </c>
      <c r="V1310">
        <f t="shared" si="446"/>
        <v>5.9716519961207686E-2</v>
      </c>
      <c r="W1310">
        <f t="shared" si="447"/>
        <v>6.5622549407920536E-3</v>
      </c>
      <c r="X1310">
        <f t="shared" si="448"/>
        <v>2.9136411937116715E-2</v>
      </c>
      <c r="Y1310">
        <f t="shared" si="449"/>
        <v>5.6247899492503314E-4</v>
      </c>
      <c r="Z1310">
        <f t="shared" si="450"/>
        <v>2.9998879729335104E-3</v>
      </c>
      <c r="AA1310">
        <f t="shared" si="451"/>
        <v>8.5142914194298036E-2</v>
      </c>
      <c r="AB1310">
        <f t="shared" si="452"/>
        <v>4.8060361495875378E-2</v>
      </c>
      <c r="AC1310">
        <f t="shared" si="453"/>
        <v>7.135186670372777E-2</v>
      </c>
      <c r="AD1310">
        <f t="shared" si="454"/>
        <v>3.5384616105742293E-3</v>
      </c>
      <c r="AE1310">
        <f t="shared" si="455"/>
        <v>1.2748023940980952E-2</v>
      </c>
      <c r="AG1310">
        <f t="shared" si="456"/>
        <v>-0.13584967540297477</v>
      </c>
      <c r="AH1310">
        <f t="shared" si="457"/>
        <v>0.12400636913715252</v>
      </c>
      <c r="AI1310">
        <f t="shared" si="458"/>
        <v>-0.93699586979493943</v>
      </c>
      <c r="AK1310" s="26">
        <f t="shared" si="459"/>
        <v>-3.241217800058499E-2</v>
      </c>
      <c r="AL1310" s="26">
        <f t="shared" si="460"/>
        <v>-3.7995857877896333E-3</v>
      </c>
      <c r="AM1310" s="26">
        <f t="shared" si="461"/>
        <v>-6.4825654388207254E-3</v>
      </c>
      <c r="AN1310" s="26">
        <f t="shared" si="462"/>
        <v>-10.366190476190482</v>
      </c>
      <c r="AO1310" s="26">
        <f t="shared" si="463"/>
        <v>-6.4048214285714096</v>
      </c>
      <c r="AP1310" s="26">
        <f t="shared" si="464"/>
        <v>-4.1560176991150826</v>
      </c>
      <c r="AS1310" s="2">
        <v>44170</v>
      </c>
      <c r="AT1310">
        <v>11.2</v>
      </c>
      <c r="AU1310">
        <v>1.9</v>
      </c>
      <c r="AV1310">
        <v>39.200000000000003</v>
      </c>
      <c r="AW1310">
        <v>2.8</v>
      </c>
      <c r="AX1310">
        <v>25.64</v>
      </c>
      <c r="AY1310">
        <v>0.6</v>
      </c>
      <c r="AZ1310">
        <v>2.8</v>
      </c>
      <c r="BA1310">
        <v>346.25479999999999</v>
      </c>
      <c r="BB1310">
        <v>179.03469999999999</v>
      </c>
      <c r="BC1310">
        <v>198.21299999999999</v>
      </c>
      <c r="BD1310">
        <v>3.9821</v>
      </c>
      <c r="BE1310">
        <v>17.395199999999999</v>
      </c>
      <c r="BH1310">
        <v>85.37</v>
      </c>
    </row>
    <row r="1311" spans="1:60" x14ac:dyDescent="0.25">
      <c r="A1311" s="2">
        <v>44190</v>
      </c>
      <c r="B1311">
        <v>12.1</v>
      </c>
      <c r="C1311">
        <v>1.2</v>
      </c>
      <c r="D1311">
        <v>42.7</v>
      </c>
      <c r="E1311">
        <v>2.8</v>
      </c>
      <c r="F1311">
        <v>24.46</v>
      </c>
      <c r="G1311">
        <v>0.6</v>
      </c>
      <c r="H1311">
        <v>3.4</v>
      </c>
      <c r="I1311">
        <v>134.82589999999999</v>
      </c>
      <c r="J1311">
        <v>48.365499999999997</v>
      </c>
      <c r="K1311">
        <v>91.610799999999998</v>
      </c>
      <c r="L1311">
        <v>3.7694000000000001</v>
      </c>
      <c r="M1311">
        <v>24.441400000000002</v>
      </c>
      <c r="N1311">
        <v>4.3788999999999998</v>
      </c>
      <c r="O1311">
        <v>0.88870000000000005</v>
      </c>
      <c r="P1311">
        <v>76.94</v>
      </c>
      <c r="S1311">
        <f t="shared" si="443"/>
        <v>390.27299999999997</v>
      </c>
      <c r="T1311">
        <f t="shared" si="444"/>
        <v>1.1343326397654835E-2</v>
      </c>
      <c r="U1311">
        <f t="shared" si="445"/>
        <v>1.1249579898500663E-3</v>
      </c>
      <c r="V1311">
        <f t="shared" si="446"/>
        <v>4.002975513883153E-2</v>
      </c>
      <c r="W1311">
        <f t="shared" si="447"/>
        <v>2.624901976316821E-3</v>
      </c>
      <c r="X1311">
        <f t="shared" si="448"/>
        <v>2.2930393693110517E-2</v>
      </c>
      <c r="Y1311">
        <f t="shared" si="449"/>
        <v>5.6247899492503314E-4</v>
      </c>
      <c r="Z1311">
        <f t="shared" si="450"/>
        <v>3.1873809712418544E-3</v>
      </c>
      <c r="AA1311">
        <f t="shared" si="451"/>
        <v>0.12639456120310502</v>
      </c>
      <c r="AB1311">
        <f t="shared" si="452"/>
        <v>4.5340963048411148E-2</v>
      </c>
      <c r="AC1311">
        <f t="shared" si="453"/>
        <v>8.5881917847130382E-2</v>
      </c>
      <c r="AD1311">
        <f t="shared" si="454"/>
        <v>3.5336805391173666E-3</v>
      </c>
      <c r="AE1311">
        <f t="shared" si="455"/>
        <v>2.2912956844267845E-2</v>
      </c>
      <c r="AG1311">
        <f t="shared" si="456"/>
        <v>-0.12525717280098678</v>
      </c>
      <c r="AH1311">
        <f t="shared" si="457"/>
        <v>0.10471615200619851</v>
      </c>
      <c r="AI1311">
        <f t="shared" si="458"/>
        <v>-1.0540917718737828</v>
      </c>
      <c r="AK1311" s="26">
        <f t="shared" si="459"/>
        <v>-3.1986135874881333E-2</v>
      </c>
      <c r="AL1311" s="26">
        <f t="shared" si="460"/>
        <v>-2.9055254253562979E-3</v>
      </c>
      <c r="AM1311" s="26">
        <f t="shared" si="461"/>
        <v>-5.6356877723731935E-3</v>
      </c>
      <c r="AN1311" s="26">
        <f t="shared" si="462"/>
        <v>-10.113809523809536</v>
      </c>
      <c r="AO1311" s="26">
        <f t="shared" si="463"/>
        <v>-6.2242857142856991</v>
      </c>
      <c r="AP1311" s="26">
        <f t="shared" si="464"/>
        <v>-4.0544247787611027</v>
      </c>
      <c r="AS1311" s="2">
        <v>44169</v>
      </c>
      <c r="AT1311">
        <v>12.2</v>
      </c>
      <c r="AU1311">
        <v>1.8</v>
      </c>
      <c r="AV1311">
        <v>80.900000000000006</v>
      </c>
      <c r="AW1311">
        <v>7.4</v>
      </c>
      <c r="AX1311">
        <v>22.7</v>
      </c>
      <c r="AY1311">
        <v>0.5</v>
      </c>
      <c r="AZ1311">
        <v>2.7</v>
      </c>
      <c r="BA1311">
        <v>311.6653</v>
      </c>
      <c r="BB1311">
        <v>153.77180000000001</v>
      </c>
      <c r="BC1311">
        <v>189.42740000000001</v>
      </c>
      <c r="BD1311">
        <v>4.0746000000000002</v>
      </c>
      <c r="BE1311">
        <v>23.689399999999999</v>
      </c>
      <c r="BH1311">
        <v>85.8</v>
      </c>
    </row>
    <row r="1312" spans="1:60" x14ac:dyDescent="0.25">
      <c r="A1312" s="2">
        <v>44189</v>
      </c>
      <c r="B1312">
        <v>11.5</v>
      </c>
      <c r="C1312">
        <v>2.4</v>
      </c>
      <c r="D1312">
        <v>76.400000000000006</v>
      </c>
      <c r="E1312">
        <v>6.3</v>
      </c>
      <c r="F1312">
        <v>17.66</v>
      </c>
      <c r="G1312">
        <v>0.6</v>
      </c>
      <c r="H1312">
        <v>3.4</v>
      </c>
      <c r="I1312">
        <v>109.3715</v>
      </c>
      <c r="J1312">
        <v>49.158999999999999</v>
      </c>
      <c r="K1312">
        <v>74.573300000000003</v>
      </c>
      <c r="L1312">
        <v>3.7645</v>
      </c>
      <c r="M1312">
        <v>24.946200000000001</v>
      </c>
      <c r="N1312">
        <v>4.3788999999999998</v>
      </c>
      <c r="O1312">
        <v>0.87760000000000005</v>
      </c>
      <c r="P1312">
        <v>77.3</v>
      </c>
      <c r="S1312">
        <f t="shared" si="443"/>
        <v>380.0745</v>
      </c>
      <c r="T1312">
        <f t="shared" si="444"/>
        <v>1.0780847402729802E-2</v>
      </c>
      <c r="U1312">
        <f t="shared" si="445"/>
        <v>2.2499159797001326E-3</v>
      </c>
      <c r="V1312">
        <f t="shared" si="446"/>
        <v>7.1622325353787555E-2</v>
      </c>
      <c r="W1312">
        <f t="shared" si="447"/>
        <v>5.9060294467128483E-3</v>
      </c>
      <c r="X1312">
        <f t="shared" si="448"/>
        <v>1.6555631750626808E-2</v>
      </c>
      <c r="Y1312">
        <f t="shared" si="449"/>
        <v>5.6247899492503314E-4</v>
      </c>
      <c r="Z1312">
        <f t="shared" si="450"/>
        <v>3.1873809712418544E-3</v>
      </c>
      <c r="AA1312">
        <f t="shared" si="451"/>
        <v>0.10253195232240543</v>
      </c>
      <c r="AB1312">
        <f t="shared" si="452"/>
        <v>4.6084841519199504E-2</v>
      </c>
      <c r="AC1312">
        <f t="shared" si="453"/>
        <v>6.9909858053738297E-2</v>
      </c>
      <c r="AD1312">
        <f t="shared" si="454"/>
        <v>3.5290869606588119E-3</v>
      </c>
      <c r="AE1312">
        <f t="shared" si="455"/>
        <v>2.3386189171998105E-2</v>
      </c>
      <c r="AG1312">
        <f t="shared" si="456"/>
        <v>-9.9972940380963243E-2</v>
      </c>
      <c r="AH1312">
        <f t="shared" si="457"/>
        <v>0.13425079907172216</v>
      </c>
      <c r="AI1312">
        <f t="shared" si="458"/>
        <v>-0.87906544240132978</v>
      </c>
      <c r="AK1312" s="26">
        <f t="shared" si="459"/>
        <v>-3.5843482898506973E-2</v>
      </c>
      <c r="AL1312" s="26">
        <f t="shared" si="460"/>
        <v>-3.8205414784397984E-3</v>
      </c>
      <c r="AM1312" s="26">
        <f t="shared" si="461"/>
        <v>-6.0852196577332041E-3</v>
      </c>
      <c r="AN1312" s="26">
        <f t="shared" si="462"/>
        <v>-9.8661904761904822</v>
      </c>
      <c r="AO1312" s="26">
        <f t="shared" si="463"/>
        <v>-6.0560714285714141</v>
      </c>
      <c r="AP1312" s="26">
        <f t="shared" si="464"/>
        <v>-3.9536283185841228</v>
      </c>
      <c r="AS1312" s="2">
        <v>44168</v>
      </c>
      <c r="AT1312">
        <v>12.9</v>
      </c>
      <c r="AU1312">
        <v>25.2</v>
      </c>
      <c r="AV1312">
        <v>79.2</v>
      </c>
      <c r="AW1312">
        <v>5.3</v>
      </c>
      <c r="AX1312">
        <v>14.26</v>
      </c>
      <c r="AY1312">
        <v>0.6</v>
      </c>
      <c r="AZ1312">
        <v>2.4</v>
      </c>
      <c r="BA1312">
        <v>347.92349999999999</v>
      </c>
      <c r="BB1312">
        <v>216.2542</v>
      </c>
      <c r="BC1312">
        <v>232.3117</v>
      </c>
      <c r="BD1312">
        <v>4.0717999999999996</v>
      </c>
      <c r="BE1312">
        <v>27.3995</v>
      </c>
      <c r="BH1312">
        <v>86.39</v>
      </c>
    </row>
    <row r="1313" spans="1:60" x14ac:dyDescent="0.25">
      <c r="A1313" s="2">
        <v>44188</v>
      </c>
      <c r="B1313">
        <v>10.9</v>
      </c>
      <c r="C1313">
        <v>24.8</v>
      </c>
      <c r="D1313">
        <v>23.5</v>
      </c>
      <c r="E1313">
        <v>2.5</v>
      </c>
      <c r="F1313">
        <v>12.51</v>
      </c>
      <c r="G1313">
        <v>0.6</v>
      </c>
      <c r="H1313">
        <v>3.7</v>
      </c>
      <c r="I1313">
        <v>271.56810000000002</v>
      </c>
      <c r="J1313">
        <v>109.4289</v>
      </c>
      <c r="K1313">
        <v>146.0677</v>
      </c>
      <c r="L1313">
        <v>3.7614999999999998</v>
      </c>
      <c r="M1313">
        <v>30.629300000000001</v>
      </c>
      <c r="N1313">
        <v>5.3158000000000003</v>
      </c>
      <c r="O1313">
        <v>1.1308</v>
      </c>
      <c r="P1313">
        <v>77.5</v>
      </c>
      <c r="S1313">
        <f t="shared" si="443"/>
        <v>639.96550000000002</v>
      </c>
      <c r="T1313">
        <f t="shared" si="444"/>
        <v>1.0218368407804769E-2</v>
      </c>
      <c r="U1313">
        <f t="shared" si="445"/>
        <v>2.3249131790234703E-2</v>
      </c>
      <c r="V1313">
        <f t="shared" si="446"/>
        <v>2.2030427301230466E-2</v>
      </c>
      <c r="W1313">
        <f t="shared" si="447"/>
        <v>2.3436624788543046E-3</v>
      </c>
      <c r="X1313">
        <f t="shared" si="448"/>
        <v>1.1727687044186941E-2</v>
      </c>
      <c r="Y1313">
        <f t="shared" si="449"/>
        <v>5.6247899492503314E-4</v>
      </c>
      <c r="Z1313">
        <f t="shared" si="450"/>
        <v>3.4686204687043713E-3</v>
      </c>
      <c r="AA1313">
        <f t="shared" si="451"/>
        <v>0.25458558656950148</v>
      </c>
      <c r="AB1313">
        <f t="shared" si="452"/>
        <v>0.10258576281291994</v>
      </c>
      <c r="AC1313">
        <f t="shared" si="453"/>
        <v>0.13693335514501878</v>
      </c>
      <c r="AD1313">
        <f t="shared" si="454"/>
        <v>3.5262745656841868E-3</v>
      </c>
      <c r="AE1313">
        <f t="shared" si="455"/>
        <v>2.8713896465428865E-2</v>
      </c>
      <c r="AG1313">
        <f t="shared" si="456"/>
        <v>-8.7027581437072718E-2</v>
      </c>
      <c r="AH1313">
        <f t="shared" si="457"/>
        <v>0.10231427295136945</v>
      </c>
      <c r="AI1313">
        <f t="shared" si="458"/>
        <v>-1.0696926353681764</v>
      </c>
      <c r="AK1313" s="26">
        <f t="shared" si="459"/>
        <v>-3.5519704811023525E-2</v>
      </c>
      <c r="AL1313" s="26">
        <f t="shared" si="460"/>
        <v>-4.0138601520527117E-3</v>
      </c>
      <c r="AM1313" s="26">
        <f t="shared" si="461"/>
        <v>-5.5155172046831291E-3</v>
      </c>
      <c r="AN1313" s="26">
        <f t="shared" si="462"/>
        <v>-9.625714285714281</v>
      </c>
      <c r="AO1313" s="26">
        <f t="shared" si="463"/>
        <v>-5.897142857142839</v>
      </c>
      <c r="AP1313" s="26">
        <f t="shared" si="464"/>
        <v>-3.8560176991150996</v>
      </c>
      <c r="AS1313" s="2">
        <v>44167</v>
      </c>
      <c r="AT1313">
        <v>12.5</v>
      </c>
      <c r="AU1313">
        <v>32.700000000000003</v>
      </c>
      <c r="AV1313">
        <v>17.8</v>
      </c>
      <c r="AW1313">
        <v>0.8</v>
      </c>
      <c r="AX1313">
        <v>19.91</v>
      </c>
      <c r="AY1313">
        <v>0.5</v>
      </c>
      <c r="AZ1313">
        <v>2.5</v>
      </c>
      <c r="BA1313">
        <v>378.81380000000001</v>
      </c>
      <c r="BB1313">
        <v>304.166</v>
      </c>
      <c r="BC1313">
        <v>254.71799999999999</v>
      </c>
      <c r="BD1313">
        <v>8.1941000000000006</v>
      </c>
      <c r="BE1313">
        <v>37.058399999999999</v>
      </c>
      <c r="BH1313">
        <v>87.04</v>
      </c>
    </row>
    <row r="1314" spans="1:60" x14ac:dyDescent="0.25">
      <c r="A1314" s="2">
        <v>44187</v>
      </c>
      <c r="B1314">
        <v>10.6</v>
      </c>
      <c r="C1314">
        <v>0.9</v>
      </c>
      <c r="D1314">
        <v>65.8</v>
      </c>
      <c r="E1314">
        <v>9.8000000000000007</v>
      </c>
      <c r="F1314">
        <v>15</v>
      </c>
      <c r="G1314">
        <v>0.5</v>
      </c>
      <c r="H1314">
        <v>3.6</v>
      </c>
      <c r="I1314">
        <v>166.64619999999999</v>
      </c>
      <c r="J1314">
        <v>68.266400000000004</v>
      </c>
      <c r="K1314">
        <v>80.028199999999998</v>
      </c>
      <c r="L1314">
        <v>3.7593000000000001</v>
      </c>
      <c r="M1314">
        <v>22.136399999999998</v>
      </c>
      <c r="N1314">
        <v>4.3635000000000002</v>
      </c>
      <c r="O1314">
        <v>0.69779999999999998</v>
      </c>
      <c r="P1314">
        <v>77.72</v>
      </c>
      <c r="S1314">
        <f t="shared" si="443"/>
        <v>447.03649999999988</v>
      </c>
      <c r="T1314">
        <f t="shared" si="444"/>
        <v>9.9371289103422512E-3</v>
      </c>
      <c r="U1314">
        <f t="shared" si="445"/>
        <v>8.4371849238754971E-4</v>
      </c>
      <c r="V1314">
        <f t="shared" si="446"/>
        <v>6.1685196443445299E-2</v>
      </c>
      <c r="W1314">
        <f t="shared" si="447"/>
        <v>9.1871569171088751E-3</v>
      </c>
      <c r="X1314">
        <f t="shared" si="448"/>
        <v>1.4061974873125828E-2</v>
      </c>
      <c r="Y1314">
        <f t="shared" si="449"/>
        <v>4.6873249577086097E-4</v>
      </c>
      <c r="Z1314">
        <f t="shared" si="450"/>
        <v>3.3748739695501988E-3</v>
      </c>
      <c r="AA1314">
        <f t="shared" si="451"/>
        <v>0.15622497847346009</v>
      </c>
      <c r="AB1314">
        <f t="shared" si="452"/>
        <v>6.3997360098583811E-2</v>
      </c>
      <c r="AC1314">
        <f t="shared" si="453"/>
        <v>7.5023635836099223E-2</v>
      </c>
      <c r="AD1314">
        <f t="shared" si="454"/>
        <v>3.5242121427027954E-3</v>
      </c>
      <c r="AE1314">
        <f t="shared" si="455"/>
        <v>2.0752100038764171E-2</v>
      </c>
      <c r="AG1314">
        <f t="shared" si="456"/>
        <v>-7.2511514316332057E-2</v>
      </c>
      <c r="AH1314">
        <f t="shared" si="457"/>
        <v>0.12031088214049503</v>
      </c>
      <c r="AI1314">
        <f t="shared" si="458"/>
        <v>-0.96132619495299998</v>
      </c>
      <c r="AK1314" s="26">
        <f t="shared" si="459"/>
        <v>-3.586684363327243E-2</v>
      </c>
      <c r="AL1314" s="26">
        <f t="shared" si="460"/>
        <v>-3.0310519877237152E-3</v>
      </c>
      <c r="AM1314" s="26">
        <f t="shared" si="461"/>
        <v>-5.6246572108444581E-3</v>
      </c>
      <c r="AN1314" s="26">
        <f t="shared" si="462"/>
        <v>-9.3785714285714334</v>
      </c>
      <c r="AO1314" s="26">
        <f t="shared" si="463"/>
        <v>-5.7428571428571331</v>
      </c>
      <c r="AP1314" s="26">
        <f t="shared" si="464"/>
        <v>-3.7607079646018349</v>
      </c>
      <c r="AS1314" s="2">
        <v>44166</v>
      </c>
      <c r="AT1314">
        <v>12</v>
      </c>
      <c r="AU1314">
        <v>123.4</v>
      </c>
      <c r="AV1314">
        <v>41.8</v>
      </c>
      <c r="AW1314">
        <v>1.7</v>
      </c>
      <c r="AX1314">
        <v>10.06</v>
      </c>
      <c r="AY1314">
        <v>0.5</v>
      </c>
      <c r="AZ1314">
        <v>2.9</v>
      </c>
      <c r="BA1314">
        <v>348.30799999999999</v>
      </c>
      <c r="BB1314">
        <v>295.09859999999998</v>
      </c>
      <c r="BC1314">
        <v>241.02420000000001</v>
      </c>
      <c r="BD1314">
        <v>8.1653000000000002</v>
      </c>
      <c r="BE1314">
        <v>38.166899999999998</v>
      </c>
      <c r="BH1314">
        <v>87.71</v>
      </c>
    </row>
    <row r="1315" spans="1:60" x14ac:dyDescent="0.25">
      <c r="A1315" s="2">
        <v>44186</v>
      </c>
      <c r="B1315">
        <v>9.5</v>
      </c>
      <c r="C1315">
        <v>2.8</v>
      </c>
      <c r="D1315">
        <v>67.5</v>
      </c>
      <c r="E1315">
        <v>6.2</v>
      </c>
      <c r="F1315">
        <v>25.91</v>
      </c>
      <c r="G1315">
        <v>0.6</v>
      </c>
      <c r="H1315">
        <v>3.4</v>
      </c>
      <c r="I1315">
        <v>230.5463</v>
      </c>
      <c r="J1315">
        <v>78.533799999999999</v>
      </c>
      <c r="K1315">
        <v>128.03469999999999</v>
      </c>
      <c r="L1315">
        <v>3.7867999999999999</v>
      </c>
      <c r="M1315">
        <v>24.489699999999999</v>
      </c>
      <c r="N1315">
        <v>2.4748000000000001</v>
      </c>
      <c r="O1315">
        <v>-2.012</v>
      </c>
      <c r="P1315">
        <v>78.040000000000006</v>
      </c>
      <c r="S1315">
        <f t="shared" si="443"/>
        <v>581.30129999999986</v>
      </c>
      <c r="T1315">
        <f t="shared" si="444"/>
        <v>8.9059174196463586E-3</v>
      </c>
      <c r="U1315">
        <f t="shared" si="445"/>
        <v>2.624901976316821E-3</v>
      </c>
      <c r="V1315">
        <f t="shared" si="446"/>
        <v>6.3278886929066233E-2</v>
      </c>
      <c r="W1315">
        <f t="shared" si="447"/>
        <v>5.8122829475586758E-3</v>
      </c>
      <c r="X1315">
        <f t="shared" si="448"/>
        <v>2.4289717930846014E-2</v>
      </c>
      <c r="Y1315">
        <f t="shared" si="449"/>
        <v>5.6247899492503314E-4</v>
      </c>
      <c r="Z1315">
        <f t="shared" si="450"/>
        <v>3.1873809712418544E-3</v>
      </c>
      <c r="AA1315">
        <f t="shared" si="451"/>
        <v>0.21612908517947529</v>
      </c>
      <c r="AB1315">
        <f t="shared" si="452"/>
        <v>7.3622688152739285E-2</v>
      </c>
      <c r="AC1315">
        <f t="shared" si="453"/>
        <v>0.12002804895254689</v>
      </c>
      <c r="AD1315">
        <f t="shared" si="454"/>
        <v>3.5499924299701923E-3</v>
      </c>
      <c r="AE1315">
        <f t="shared" si="455"/>
        <v>2.2958236403359308E-2</v>
      </c>
      <c r="AG1315">
        <f t="shared" si="456"/>
        <v>-5.0251186955976877E-2</v>
      </c>
      <c r="AH1315">
        <f t="shared" si="457"/>
        <v>0.1316198035729603</v>
      </c>
      <c r="AI1315">
        <f t="shared" si="458"/>
        <v>-0.893332734856917</v>
      </c>
      <c r="AK1315" s="26">
        <f t="shared" si="459"/>
        <v>-4.0861759782943818E-2</v>
      </c>
      <c r="AL1315" s="26">
        <f t="shared" si="460"/>
        <v>-3.3532804678967632E-3</v>
      </c>
      <c r="AM1315" s="26">
        <f t="shared" si="461"/>
        <v>-5.113424366355257E-3</v>
      </c>
      <c r="AN1315" s="26">
        <f t="shared" si="462"/>
        <v>-9.1261904761904873</v>
      </c>
      <c r="AO1315" s="26">
        <f t="shared" si="463"/>
        <v>-5.5905357142857071</v>
      </c>
      <c r="AP1315" s="26">
        <f t="shared" si="464"/>
        <v>-3.6621238938053722</v>
      </c>
      <c r="AS1315" s="2">
        <v>44165</v>
      </c>
      <c r="AT1315">
        <v>11.3</v>
      </c>
      <c r="AU1315">
        <v>39.4</v>
      </c>
      <c r="AV1315">
        <v>58.2</v>
      </c>
      <c r="AW1315">
        <v>2.6</v>
      </c>
      <c r="AX1315">
        <v>48.71</v>
      </c>
      <c r="AY1315">
        <v>0.5</v>
      </c>
      <c r="AZ1315">
        <v>2.7</v>
      </c>
      <c r="BA1315">
        <v>315.57530000000003</v>
      </c>
      <c r="BB1315">
        <v>280.13580000000002</v>
      </c>
      <c r="BC1315">
        <v>219.6781</v>
      </c>
      <c r="BD1315">
        <v>5.8666</v>
      </c>
      <c r="BE1315">
        <v>28.5626</v>
      </c>
      <c r="BH1315">
        <v>88.31</v>
      </c>
    </row>
    <row r="1316" spans="1:60" x14ac:dyDescent="0.25">
      <c r="A1316" s="2">
        <v>44185</v>
      </c>
      <c r="B1316">
        <v>10.199999999999999</v>
      </c>
      <c r="C1316">
        <v>1.5</v>
      </c>
      <c r="D1316">
        <v>74.3</v>
      </c>
      <c r="E1316">
        <v>4.3</v>
      </c>
      <c r="F1316">
        <v>22.67</v>
      </c>
      <c r="G1316">
        <v>0.6</v>
      </c>
      <c r="H1316">
        <v>3.6</v>
      </c>
      <c r="I1316">
        <v>227.959</v>
      </c>
      <c r="J1316">
        <v>74.020600000000002</v>
      </c>
      <c r="K1316">
        <v>100.20569999999999</v>
      </c>
      <c r="L1316">
        <v>3.7947000000000002</v>
      </c>
      <c r="M1316">
        <v>23.916</v>
      </c>
      <c r="P1316">
        <v>78.42</v>
      </c>
      <c r="S1316">
        <f t="shared" si="443"/>
        <v>547.06600000000014</v>
      </c>
      <c r="T1316">
        <f t="shared" si="444"/>
        <v>9.5621429137255631E-3</v>
      </c>
      <c r="U1316">
        <f t="shared" si="445"/>
        <v>1.406197487312583E-3</v>
      </c>
      <c r="V1316">
        <f t="shared" si="446"/>
        <v>6.9653648871549942E-2</v>
      </c>
      <c r="W1316">
        <f t="shared" si="447"/>
        <v>4.0310994636294038E-3</v>
      </c>
      <c r="X1316">
        <f t="shared" si="448"/>
        <v>2.1252331358250838E-2</v>
      </c>
      <c r="Y1316">
        <f t="shared" si="449"/>
        <v>5.6247899492503314E-4</v>
      </c>
      <c r="Z1316">
        <f t="shared" si="450"/>
        <v>3.3748739695501988E-3</v>
      </c>
      <c r="AA1316">
        <f t="shared" si="451"/>
        <v>0.21370358200685938</v>
      </c>
      <c r="AB1316">
        <f t="shared" si="452"/>
        <v>6.9391721152913186E-2</v>
      </c>
      <c r="AC1316">
        <f t="shared" si="453"/>
        <v>9.3939335702932322E-2</v>
      </c>
      <c r="AD1316">
        <f t="shared" si="454"/>
        <v>3.5573984034033721E-3</v>
      </c>
      <c r="AE1316">
        <f t="shared" si="455"/>
        <v>2.2420412737711823E-2</v>
      </c>
      <c r="AG1316">
        <f t="shared" si="456"/>
        <v>-2.3330065614564629E-2</v>
      </c>
      <c r="AH1316">
        <f t="shared" si="457"/>
        <v>0.13226318579665539</v>
      </c>
      <c r="AI1316">
        <f t="shared" si="458"/>
        <v>-0.88835773701102605</v>
      </c>
      <c r="AK1316" s="26">
        <f t="shared" si="459"/>
        <v>-2.6750840309021473E-2</v>
      </c>
      <c r="AL1316" s="26">
        <f t="shared" si="460"/>
        <v>-3.2168106757973769E-4</v>
      </c>
      <c r="AM1316" s="26">
        <f t="shared" si="461"/>
        <v>-4.6481306249118171E-3</v>
      </c>
      <c r="AN1316" s="26">
        <f t="shared" si="462"/>
        <v>-8.8604761904761915</v>
      </c>
      <c r="AO1316" s="26">
        <f t="shared" si="463"/>
        <v>-5.4387500000000131</v>
      </c>
      <c r="AP1316" s="26">
        <f t="shared" si="464"/>
        <v>-3.5625663716814842</v>
      </c>
      <c r="AS1316" s="2">
        <v>44164</v>
      </c>
      <c r="AT1316">
        <v>11.1</v>
      </c>
      <c r="AU1316">
        <v>51.8</v>
      </c>
      <c r="AV1316">
        <v>14.9</v>
      </c>
      <c r="AW1316">
        <v>0.7</v>
      </c>
      <c r="AX1316">
        <v>43.42</v>
      </c>
      <c r="AY1316">
        <v>0.4</v>
      </c>
      <c r="AZ1316">
        <v>2.7</v>
      </c>
      <c r="BA1316">
        <v>308.971</v>
      </c>
      <c r="BB1316">
        <v>189.8646</v>
      </c>
      <c r="BC1316">
        <v>204.23670000000001</v>
      </c>
      <c r="BD1316">
        <v>3.984</v>
      </c>
      <c r="BE1316">
        <v>17.352499999999999</v>
      </c>
      <c r="BH1316">
        <v>88.85</v>
      </c>
    </row>
    <row r="1317" spans="1:60" x14ac:dyDescent="0.25">
      <c r="A1317" s="2">
        <v>44184</v>
      </c>
      <c r="B1317">
        <v>10.9</v>
      </c>
      <c r="C1317">
        <v>12.8</v>
      </c>
      <c r="D1317">
        <v>73</v>
      </c>
      <c r="E1317">
        <v>6.6</v>
      </c>
      <c r="F1317">
        <v>42.05</v>
      </c>
      <c r="G1317">
        <v>0.6</v>
      </c>
      <c r="H1317">
        <v>3.9</v>
      </c>
      <c r="I1317">
        <v>182.96469999999999</v>
      </c>
      <c r="J1317">
        <v>92.521699999999996</v>
      </c>
      <c r="K1317">
        <v>89.894000000000005</v>
      </c>
      <c r="L1317">
        <v>3.8169</v>
      </c>
      <c r="M1317">
        <v>19.291</v>
      </c>
      <c r="P1317">
        <v>78.7</v>
      </c>
      <c r="S1317">
        <f t="shared" si="443"/>
        <v>538.33830000000012</v>
      </c>
      <c r="T1317">
        <f t="shared" si="444"/>
        <v>1.0218368407804769E-2</v>
      </c>
      <c r="U1317">
        <f t="shared" si="445"/>
        <v>1.1999551891734041E-2</v>
      </c>
      <c r="V1317">
        <f t="shared" si="446"/>
        <v>6.8434944382545701E-2</v>
      </c>
      <c r="W1317">
        <f t="shared" si="447"/>
        <v>6.1872689441753639E-3</v>
      </c>
      <c r="X1317">
        <f t="shared" si="448"/>
        <v>3.9420402894329402E-2</v>
      </c>
      <c r="Y1317">
        <f t="shared" si="449"/>
        <v>5.6247899492503314E-4</v>
      </c>
      <c r="Z1317">
        <f t="shared" si="450"/>
        <v>3.6561134670127153E-3</v>
      </c>
      <c r="AA1317">
        <f t="shared" si="451"/>
        <v>0.17152300093793368</v>
      </c>
      <c r="AB1317">
        <f t="shared" si="452"/>
        <v>8.6735854707925733E-2</v>
      </c>
      <c r="AC1317">
        <f t="shared" si="453"/>
        <v>8.427247794965155E-2</v>
      </c>
      <c r="AD1317">
        <f t="shared" si="454"/>
        <v>3.5782101262155984E-3</v>
      </c>
      <c r="AE1317">
        <f t="shared" si="455"/>
        <v>1.8084637151831357E-2</v>
      </c>
      <c r="AG1317">
        <f t="shared" si="456"/>
        <v>-4.0730280199349116E-3</v>
      </c>
      <c r="AH1317">
        <f t="shared" si="457"/>
        <v>0.15856376613435841</v>
      </c>
      <c r="AI1317">
        <f t="shared" si="458"/>
        <v>-0.73417774783164103</v>
      </c>
      <c r="AK1317" s="26">
        <f t="shared" si="459"/>
        <v>-2.6833881850796021E-2</v>
      </c>
      <c r="AL1317" s="26">
        <f t="shared" si="460"/>
        <v>1.9911421611423785E-4</v>
      </c>
      <c r="AM1317" s="26">
        <f t="shared" si="461"/>
        <v>-8.490515896898726E-3</v>
      </c>
      <c r="AN1317" s="26">
        <f t="shared" si="462"/>
        <v>-8.6014285714285705</v>
      </c>
      <c r="AO1317" s="26">
        <f t="shared" si="463"/>
        <v>-5.2933928571428766</v>
      </c>
      <c r="AP1317" s="26">
        <f t="shared" si="464"/>
        <v>-3.4660176991151133</v>
      </c>
      <c r="AS1317" s="2">
        <v>44163</v>
      </c>
      <c r="AT1317">
        <v>12.1</v>
      </c>
      <c r="AU1317">
        <v>2.9</v>
      </c>
      <c r="AV1317">
        <v>33.6</v>
      </c>
      <c r="AW1317">
        <v>1.6</v>
      </c>
      <c r="AX1317">
        <v>27.6</v>
      </c>
      <c r="AY1317">
        <v>0.2</v>
      </c>
      <c r="AZ1317">
        <v>3</v>
      </c>
      <c r="BA1317">
        <v>362.27760000000001</v>
      </c>
      <c r="BB1317">
        <v>195.28970000000001</v>
      </c>
      <c r="BC1317">
        <v>208.80950000000001</v>
      </c>
      <c r="BD1317">
        <v>3.9824000000000002</v>
      </c>
      <c r="BE1317">
        <v>15.007099999999999</v>
      </c>
      <c r="BH1317">
        <v>89.29</v>
      </c>
    </row>
    <row r="1318" spans="1:60" x14ac:dyDescent="0.25">
      <c r="A1318" s="2">
        <v>44183</v>
      </c>
      <c r="B1318">
        <v>12.5</v>
      </c>
      <c r="C1318">
        <v>9.9</v>
      </c>
      <c r="D1318">
        <v>84.2</v>
      </c>
      <c r="E1318">
        <v>5.6</v>
      </c>
      <c r="F1318">
        <v>46.65</v>
      </c>
      <c r="G1318">
        <v>0.6</v>
      </c>
      <c r="H1318">
        <v>4</v>
      </c>
      <c r="I1318">
        <v>310.10079999999999</v>
      </c>
      <c r="J1318">
        <v>105.61060000000001</v>
      </c>
      <c r="K1318">
        <v>133.8613</v>
      </c>
      <c r="L1318">
        <v>3.8525999999999998</v>
      </c>
      <c r="M1318">
        <v>23.863</v>
      </c>
      <c r="N1318">
        <v>1.3673999999999999</v>
      </c>
      <c r="O1318">
        <v>-5.0734000000000004</v>
      </c>
      <c r="P1318">
        <v>78.94</v>
      </c>
      <c r="S1318">
        <f t="shared" si="443"/>
        <v>740.73829999999998</v>
      </c>
      <c r="T1318">
        <f t="shared" si="444"/>
        <v>1.1718312394271523E-2</v>
      </c>
      <c r="U1318">
        <f t="shared" si="445"/>
        <v>9.2809034162630467E-3</v>
      </c>
      <c r="V1318">
        <f t="shared" si="446"/>
        <v>7.8934552287812987E-2</v>
      </c>
      <c r="W1318">
        <f t="shared" si="447"/>
        <v>5.249803952633642E-3</v>
      </c>
      <c r="X1318">
        <f t="shared" si="448"/>
        <v>4.3732741855421323E-2</v>
      </c>
      <c r="Y1318">
        <f t="shared" si="449"/>
        <v>5.6247899492503314E-4</v>
      </c>
      <c r="Z1318">
        <f t="shared" si="450"/>
        <v>3.7498599661668877E-3</v>
      </c>
      <c r="AA1318">
        <f t="shared" si="451"/>
        <v>0.29070864384908118</v>
      </c>
      <c r="AB1318">
        <f t="shared" si="452"/>
        <v>9.9006240235716178E-2</v>
      </c>
      <c r="AC1318">
        <f t="shared" si="453"/>
        <v>0.1254902824722639</v>
      </c>
      <c r="AD1318">
        <f t="shared" si="454"/>
        <v>3.6116776264136377E-3</v>
      </c>
      <c r="AE1318">
        <f t="shared" si="455"/>
        <v>2.2370727093160108E-2</v>
      </c>
      <c r="AG1318">
        <f t="shared" si="456"/>
        <v>1.213700859939626E-2</v>
      </c>
      <c r="AH1318">
        <f t="shared" si="457"/>
        <v>0.17559937996065456</v>
      </c>
      <c r="AI1318">
        <f t="shared" si="458"/>
        <v>-0.63099664775259856</v>
      </c>
      <c r="AK1318" s="26">
        <f t="shared" si="459"/>
        <v>-2.798162023994058E-2</v>
      </c>
      <c r="AL1318" s="26">
        <f t="shared" si="460"/>
        <v>1.6624920457769254E-3</v>
      </c>
      <c r="AM1318" s="26">
        <f t="shared" si="461"/>
        <v>-1.1070793710003163E-2</v>
      </c>
      <c r="AN1318" s="26">
        <f t="shared" si="462"/>
        <v>-8.3347619047619048</v>
      </c>
      <c r="AO1318" s="26">
        <f t="shared" si="463"/>
        <v>-5.1544642857142833</v>
      </c>
      <c r="AP1318" s="26">
        <f t="shared" si="464"/>
        <v>-3.3711504424779122</v>
      </c>
      <c r="AS1318" s="2">
        <v>44162</v>
      </c>
      <c r="AT1318">
        <v>12.9</v>
      </c>
      <c r="AU1318">
        <v>18.899999999999999</v>
      </c>
      <c r="AV1318">
        <v>11</v>
      </c>
      <c r="AW1318">
        <v>0.5</v>
      </c>
      <c r="AX1318">
        <v>35.69</v>
      </c>
      <c r="AY1318">
        <v>0.1</v>
      </c>
      <c r="AZ1318">
        <v>3.2</v>
      </c>
      <c r="BA1318">
        <v>390.15260000000001</v>
      </c>
      <c r="BB1318">
        <v>304.86329999999998</v>
      </c>
      <c r="BC1318">
        <v>260.10239999999999</v>
      </c>
      <c r="BD1318">
        <v>4.4717000000000002</v>
      </c>
      <c r="BE1318">
        <v>29.878799999999998</v>
      </c>
      <c r="BH1318">
        <v>89.72</v>
      </c>
    </row>
    <row r="1319" spans="1:60" x14ac:dyDescent="0.25">
      <c r="A1319" s="2">
        <v>44182</v>
      </c>
      <c r="B1319">
        <v>13</v>
      </c>
      <c r="C1319">
        <v>1</v>
      </c>
      <c r="D1319">
        <v>86</v>
      </c>
      <c r="E1319">
        <v>6</v>
      </c>
      <c r="F1319">
        <v>26.32</v>
      </c>
      <c r="G1319">
        <v>0.6</v>
      </c>
      <c r="H1319">
        <v>3.9</v>
      </c>
      <c r="I1319">
        <v>312.21199999999999</v>
      </c>
      <c r="J1319">
        <v>144.7603</v>
      </c>
      <c r="K1319">
        <v>153.8236</v>
      </c>
      <c r="L1319">
        <v>3.8733</v>
      </c>
      <c r="M1319">
        <v>24.0777</v>
      </c>
      <c r="N1319">
        <v>1.8907</v>
      </c>
      <c r="O1319">
        <v>-4.9950999999999999</v>
      </c>
      <c r="P1319">
        <v>79.3</v>
      </c>
      <c r="S1319">
        <f t="shared" si="443"/>
        <v>775.56690000000003</v>
      </c>
      <c r="T1319">
        <f t="shared" si="444"/>
        <v>1.2187044890042385E-2</v>
      </c>
      <c r="U1319">
        <f t="shared" si="445"/>
        <v>9.3746499154172193E-4</v>
      </c>
      <c r="V1319">
        <f t="shared" si="446"/>
        <v>8.0621989272588082E-2</v>
      </c>
      <c r="W1319">
        <f t="shared" si="447"/>
        <v>5.6247899492503318E-3</v>
      </c>
      <c r="X1319">
        <f t="shared" si="448"/>
        <v>2.467407857737812E-2</v>
      </c>
      <c r="Y1319">
        <f t="shared" si="449"/>
        <v>5.6247899492503314E-4</v>
      </c>
      <c r="Z1319">
        <f t="shared" si="450"/>
        <v>3.6561134670127153E-3</v>
      </c>
      <c r="AA1319">
        <f t="shared" si="451"/>
        <v>0.29268781993922405</v>
      </c>
      <c r="AB1319">
        <f t="shared" si="452"/>
        <v>0.13570771341507712</v>
      </c>
      <c r="AC1319">
        <f t="shared" si="453"/>
        <v>0.14420423987291722</v>
      </c>
      <c r="AD1319">
        <f t="shared" si="454"/>
        <v>3.6310831517385516E-3</v>
      </c>
      <c r="AE1319">
        <f t="shared" si="455"/>
        <v>2.2572000826844119E-2</v>
      </c>
      <c r="AG1319">
        <f t="shared" si="456"/>
        <v>3.7589686834037926E-2</v>
      </c>
      <c r="AH1319">
        <f t="shared" si="457"/>
        <v>0.15083596096958252</v>
      </c>
      <c r="AI1319">
        <f t="shared" si="458"/>
        <v>-0.77989188756196337</v>
      </c>
      <c r="AK1319" s="26">
        <f t="shared" si="459"/>
        <v>-2.9572257268160485E-2</v>
      </c>
      <c r="AL1319" s="26">
        <f t="shared" si="460"/>
        <v>1.5641201613162958E-3</v>
      </c>
      <c r="AM1319" s="26">
        <f t="shared" si="461"/>
        <v>-1.5222455319619993E-2</v>
      </c>
      <c r="AN1319" s="26">
        <f t="shared" si="462"/>
        <v>-8.0571428571428498</v>
      </c>
      <c r="AO1319" s="26">
        <f t="shared" si="463"/>
        <v>-5.0185714285714482</v>
      </c>
      <c r="AP1319" s="26">
        <f t="shared" si="464"/>
        <v>-3.2757522123894205</v>
      </c>
      <c r="AS1319" s="2">
        <v>44161</v>
      </c>
      <c r="AT1319">
        <v>13.1</v>
      </c>
      <c r="AU1319">
        <v>37.9</v>
      </c>
      <c r="AV1319">
        <v>29.5</v>
      </c>
      <c r="AW1319">
        <v>2.2999999999999998</v>
      </c>
      <c r="AX1319">
        <v>26.29</v>
      </c>
      <c r="AY1319">
        <v>0.2</v>
      </c>
      <c r="AZ1319">
        <v>3.2</v>
      </c>
      <c r="BA1319">
        <v>369.90230000000003</v>
      </c>
      <c r="BB1319">
        <v>288.84649999999999</v>
      </c>
      <c r="BC1319">
        <v>260.75409999999999</v>
      </c>
      <c r="BD1319">
        <v>4.9131999999999998</v>
      </c>
      <c r="BE1319">
        <v>34.057499999999997</v>
      </c>
      <c r="BH1319">
        <v>90.25</v>
      </c>
    </row>
    <row r="1320" spans="1:60" x14ac:dyDescent="0.25">
      <c r="A1320" s="2">
        <v>44181</v>
      </c>
      <c r="B1320">
        <v>12.1</v>
      </c>
      <c r="C1320">
        <v>2</v>
      </c>
      <c r="D1320">
        <v>45.8</v>
      </c>
      <c r="E1320">
        <v>2.6</v>
      </c>
      <c r="F1320">
        <v>32.369999999999997</v>
      </c>
      <c r="G1320">
        <v>0.6</v>
      </c>
      <c r="H1320">
        <v>3.8</v>
      </c>
      <c r="I1320">
        <v>352.68799999999999</v>
      </c>
      <c r="J1320">
        <v>212.9939</v>
      </c>
      <c r="K1320">
        <v>183.67349999999999</v>
      </c>
      <c r="L1320">
        <v>3.9266999999999999</v>
      </c>
      <c r="M1320">
        <v>30.981999999999999</v>
      </c>
      <c r="N1320">
        <v>2.9047999999999998</v>
      </c>
      <c r="O1320">
        <v>-2.9765000000000001</v>
      </c>
      <c r="P1320">
        <v>79.72</v>
      </c>
      <c r="S1320">
        <f t="shared" si="443"/>
        <v>883.53409999999997</v>
      </c>
      <c r="T1320">
        <f t="shared" si="444"/>
        <v>1.1343326397654835E-2</v>
      </c>
      <c r="U1320">
        <f t="shared" si="445"/>
        <v>1.8749299830834439E-3</v>
      </c>
      <c r="V1320">
        <f t="shared" si="446"/>
        <v>4.2935896612610859E-2</v>
      </c>
      <c r="W1320">
        <f t="shared" si="447"/>
        <v>2.437408978008477E-3</v>
      </c>
      <c r="X1320">
        <f t="shared" si="448"/>
        <v>3.0345741776205536E-2</v>
      </c>
      <c r="Y1320">
        <f t="shared" si="449"/>
        <v>5.6247899492503314E-4</v>
      </c>
      <c r="Z1320">
        <f t="shared" si="450"/>
        <v>3.5623669678585433E-3</v>
      </c>
      <c r="AA1320">
        <f t="shared" si="451"/>
        <v>0.33063265293686683</v>
      </c>
      <c r="AB1320">
        <f t="shared" si="452"/>
        <v>0.19967432466193835</v>
      </c>
      <c r="AC1320">
        <f t="shared" si="453"/>
        <v>0.17218747612393845</v>
      </c>
      <c r="AD1320">
        <f t="shared" si="454"/>
        <v>3.6811437822868794E-3</v>
      </c>
      <c r="AE1320">
        <f t="shared" si="455"/>
        <v>2.9044540367945626E-2</v>
      </c>
      <c r="AG1320">
        <f t="shared" si="456"/>
        <v>6.7670939790002702E-2</v>
      </c>
      <c r="AH1320">
        <f t="shared" si="457"/>
        <v>0.12210669007829235</v>
      </c>
      <c r="AI1320">
        <f t="shared" si="458"/>
        <v>-0.95265136870683964</v>
      </c>
      <c r="AK1320" s="26">
        <f t="shared" si="459"/>
        <v>-3.1390140274449085E-2</v>
      </c>
      <c r="AL1320" s="26">
        <f t="shared" si="460"/>
        <v>1.5893513619457955E-3</v>
      </c>
      <c r="AM1320" s="26">
        <f t="shared" si="461"/>
        <v>-1.8019484994149321E-2</v>
      </c>
      <c r="AN1320" s="26">
        <f t="shared" si="462"/>
        <v>-7.7628571428571291</v>
      </c>
      <c r="AO1320" s="26">
        <f t="shared" si="463"/>
        <v>-4.885357142857174</v>
      </c>
      <c r="AP1320" s="26">
        <f t="shared" si="464"/>
        <v>-3.1805309734513827</v>
      </c>
      <c r="AS1320" s="2">
        <v>44160</v>
      </c>
      <c r="AT1320">
        <v>13</v>
      </c>
      <c r="AU1320">
        <v>35.1</v>
      </c>
      <c r="AV1320">
        <v>52.8</v>
      </c>
      <c r="AW1320">
        <v>2.9</v>
      </c>
      <c r="AX1320">
        <v>43.28</v>
      </c>
      <c r="AY1320">
        <v>0.1</v>
      </c>
      <c r="AZ1320">
        <v>3.6</v>
      </c>
      <c r="BA1320">
        <v>361.58339999999998</v>
      </c>
      <c r="BB1320">
        <v>259.91109999999998</v>
      </c>
      <c r="BC1320">
        <v>232.15430000000001</v>
      </c>
      <c r="BD1320">
        <v>5.2900999999999998</v>
      </c>
      <c r="BE1320">
        <v>28.581900000000001</v>
      </c>
      <c r="BH1320">
        <v>90.77</v>
      </c>
    </row>
    <row r="1321" spans="1:60" x14ac:dyDescent="0.25">
      <c r="A1321" s="2">
        <v>44180</v>
      </c>
      <c r="B1321">
        <v>11.6</v>
      </c>
      <c r="C1321">
        <v>6.1</v>
      </c>
      <c r="D1321">
        <v>47.9</v>
      </c>
      <c r="E1321">
        <v>3.4</v>
      </c>
      <c r="F1321">
        <v>15.45</v>
      </c>
      <c r="G1321">
        <v>0.5</v>
      </c>
      <c r="H1321">
        <v>4</v>
      </c>
      <c r="I1321">
        <v>350.48739999999998</v>
      </c>
      <c r="J1321">
        <v>209.0102</v>
      </c>
      <c r="K1321">
        <v>178.35470000000001</v>
      </c>
      <c r="L1321">
        <v>3.8601999999999999</v>
      </c>
      <c r="M1321">
        <v>36.872199999999999</v>
      </c>
      <c r="N1321">
        <v>1.5839000000000001</v>
      </c>
      <c r="O1321">
        <v>-3.0105</v>
      </c>
      <c r="P1321">
        <v>80.16</v>
      </c>
      <c r="S1321">
        <f t="shared" si="443"/>
        <v>867.53469999999993</v>
      </c>
      <c r="T1321">
        <f t="shared" si="444"/>
        <v>1.0874593901883974E-2</v>
      </c>
      <c r="U1321">
        <f t="shared" si="445"/>
        <v>5.7185364484045034E-3</v>
      </c>
      <c r="V1321">
        <f t="shared" si="446"/>
        <v>4.4904573094848479E-2</v>
      </c>
      <c r="W1321">
        <f t="shared" si="447"/>
        <v>3.1873809712418544E-3</v>
      </c>
      <c r="X1321">
        <f t="shared" si="448"/>
        <v>1.4483834119319602E-2</v>
      </c>
      <c r="Y1321">
        <f t="shared" si="449"/>
        <v>4.6873249577086097E-4</v>
      </c>
      <c r="Z1321">
        <f t="shared" si="450"/>
        <v>3.7498599661668877E-3</v>
      </c>
      <c r="AA1321">
        <f t="shared" si="451"/>
        <v>0.32856966747648009</v>
      </c>
      <c r="AB1321">
        <f t="shared" si="452"/>
        <v>0.19593974537513359</v>
      </c>
      <c r="AC1321">
        <f t="shared" si="453"/>
        <v>0.16720128732692635</v>
      </c>
      <c r="AD1321">
        <f t="shared" si="454"/>
        <v>3.6188023603493549E-3</v>
      </c>
      <c r="AE1321">
        <f t="shared" si="455"/>
        <v>3.4566396661124675E-2</v>
      </c>
      <c r="AG1321">
        <f t="shared" si="456"/>
        <v>9.9273969901906234E-2</v>
      </c>
      <c r="AH1321">
        <f t="shared" si="457"/>
        <v>0.11795390765876082</v>
      </c>
      <c r="AI1321">
        <f t="shared" si="458"/>
        <v>-0.97693804794164152</v>
      </c>
      <c r="AK1321" s="26">
        <f t="shared" si="459"/>
        <v>-2.5925638982276372E-2</v>
      </c>
      <c r="AL1321" s="26">
        <f t="shared" si="460"/>
        <v>2.3093177792713748E-3</v>
      </c>
      <c r="AM1321" s="26">
        <f t="shared" si="461"/>
        <v>-2.0610009382572764E-2</v>
      </c>
      <c r="AN1321" s="26">
        <f t="shared" si="462"/>
        <v>-7.4561904761904998</v>
      </c>
      <c r="AO1321" s="26">
        <f t="shared" si="463"/>
        <v>-4.7548214285714892</v>
      </c>
      <c r="AP1321" s="26">
        <f t="shared" si="464"/>
        <v>-3.0876106194690607</v>
      </c>
      <c r="AS1321" s="2">
        <v>44159</v>
      </c>
      <c r="AT1321">
        <v>13.3</v>
      </c>
      <c r="AU1321">
        <v>42.4</v>
      </c>
      <c r="AV1321">
        <v>77.900000000000006</v>
      </c>
      <c r="AW1321">
        <v>5</v>
      </c>
      <c r="AX1321">
        <v>38.380000000000003</v>
      </c>
      <c r="AY1321">
        <v>0.1</v>
      </c>
      <c r="AZ1321">
        <v>4.3</v>
      </c>
      <c r="BA1321">
        <v>375.54180000000002</v>
      </c>
      <c r="BB1321">
        <v>181.91210000000001</v>
      </c>
      <c r="BC1321">
        <v>191.96350000000001</v>
      </c>
      <c r="BD1321">
        <v>4.4179000000000004</v>
      </c>
      <c r="BE1321">
        <v>27.9512</v>
      </c>
      <c r="BH1321">
        <v>91.24</v>
      </c>
    </row>
    <row r="1322" spans="1:60" x14ac:dyDescent="0.25">
      <c r="A1322" s="2">
        <v>44179</v>
      </c>
      <c r="B1322">
        <v>11</v>
      </c>
      <c r="C1322">
        <v>0</v>
      </c>
      <c r="D1322">
        <v>79.599999999999994</v>
      </c>
      <c r="E1322">
        <v>6.4</v>
      </c>
      <c r="F1322">
        <v>33.26</v>
      </c>
      <c r="G1322">
        <v>0.4</v>
      </c>
      <c r="H1322">
        <v>4.0999999999999996</v>
      </c>
      <c r="I1322">
        <v>326.3202</v>
      </c>
      <c r="J1322">
        <v>136.8005</v>
      </c>
      <c r="K1322">
        <v>166.46850000000001</v>
      </c>
      <c r="L1322">
        <v>3.972</v>
      </c>
      <c r="M1322">
        <v>20.2714</v>
      </c>
      <c r="N1322">
        <v>1.4363999999999999</v>
      </c>
      <c r="O1322">
        <v>-3.1149</v>
      </c>
      <c r="P1322">
        <v>80.58</v>
      </c>
      <c r="S1322">
        <f t="shared" si="443"/>
        <v>788.59259999999983</v>
      </c>
      <c r="T1322">
        <f t="shared" si="444"/>
        <v>1.0312114906958941E-2</v>
      </c>
      <c r="U1322">
        <f t="shared" si="445"/>
        <v>0</v>
      </c>
      <c r="V1322">
        <f t="shared" si="446"/>
        <v>7.462221332672106E-2</v>
      </c>
      <c r="W1322">
        <f t="shared" si="447"/>
        <v>5.9997759458670207E-3</v>
      </c>
      <c r="X1322">
        <f t="shared" si="448"/>
        <v>3.1180085618677668E-2</v>
      </c>
      <c r="Y1322">
        <f t="shared" si="449"/>
        <v>3.7498599661668879E-4</v>
      </c>
      <c r="Z1322">
        <f t="shared" si="450"/>
        <v>3.8436064653210593E-3</v>
      </c>
      <c r="AA1322">
        <f t="shared" si="451"/>
        <v>0.30591376353289301</v>
      </c>
      <c r="AB1322">
        <f t="shared" si="452"/>
        <v>0.12824567957540334</v>
      </c>
      <c r="AC1322">
        <f t="shared" si="453"/>
        <v>0.15605839094446314</v>
      </c>
      <c r="AD1322">
        <f t="shared" si="454"/>
        <v>3.7236109464037193E-3</v>
      </c>
      <c r="AE1322">
        <f t="shared" si="455"/>
        <v>1.9003727829538863E-2</v>
      </c>
      <c r="AG1322">
        <f t="shared" si="456"/>
        <v>0.12933027453075543</v>
      </c>
      <c r="AH1322">
        <f t="shared" si="457"/>
        <v>0.1453365100897013</v>
      </c>
      <c r="AI1322">
        <f t="shared" si="458"/>
        <v>-0.81278173068541959</v>
      </c>
      <c r="AK1322" s="26">
        <f t="shared" si="459"/>
        <v>-2.4014246075140938E-2</v>
      </c>
      <c r="AL1322" s="26">
        <f t="shared" si="460"/>
        <v>2.9651816797109376E-3</v>
      </c>
      <c r="AM1322" s="26">
        <f t="shared" si="461"/>
        <v>-2.1951680241940996E-2</v>
      </c>
      <c r="AN1322" s="26">
        <f t="shared" si="462"/>
        <v>-7.142857142857153</v>
      </c>
      <c r="AO1322" s="26">
        <f t="shared" si="463"/>
        <v>-4.6266071428572104</v>
      </c>
      <c r="AP1322" s="26">
        <f t="shared" si="464"/>
        <v>-2.9948672566372068</v>
      </c>
      <c r="AS1322" s="2">
        <v>44158</v>
      </c>
      <c r="AT1322">
        <v>11.7</v>
      </c>
      <c r="AU1322">
        <v>8.3000000000000007</v>
      </c>
      <c r="AV1322">
        <v>73.5</v>
      </c>
      <c r="AW1322">
        <v>5.9</v>
      </c>
      <c r="AX1322">
        <v>46.52</v>
      </c>
      <c r="AY1322">
        <v>0.2</v>
      </c>
      <c r="AZ1322">
        <v>3.9</v>
      </c>
      <c r="BA1322">
        <v>346.3655</v>
      </c>
      <c r="BB1322">
        <v>168.28870000000001</v>
      </c>
      <c r="BC1322">
        <v>197.71619999999999</v>
      </c>
      <c r="BD1322">
        <v>4.3516000000000004</v>
      </c>
      <c r="BE1322">
        <v>26.432500000000001</v>
      </c>
      <c r="BH1322">
        <v>91.63</v>
      </c>
    </row>
    <row r="1323" spans="1:60" x14ac:dyDescent="0.25">
      <c r="A1323" s="2">
        <v>44178</v>
      </c>
      <c r="B1323">
        <v>11.1</v>
      </c>
      <c r="C1323">
        <v>2.1</v>
      </c>
      <c r="D1323">
        <v>24.6</v>
      </c>
      <c r="E1323">
        <v>1.3</v>
      </c>
      <c r="F1323">
        <v>12.79</v>
      </c>
      <c r="G1323">
        <v>0.6</v>
      </c>
      <c r="H1323">
        <v>4</v>
      </c>
      <c r="I1323">
        <v>342.6284</v>
      </c>
      <c r="J1323">
        <v>116.4873</v>
      </c>
      <c r="K1323">
        <v>157.31649999999999</v>
      </c>
      <c r="L1323">
        <v>3.9790999999999999</v>
      </c>
      <c r="M1323">
        <v>19.820900000000002</v>
      </c>
      <c r="P1323">
        <v>81.03</v>
      </c>
      <c r="S1323">
        <f t="shared" si="443"/>
        <v>696.72220000000016</v>
      </c>
      <c r="T1323">
        <f t="shared" si="444"/>
        <v>1.0405861406113113E-2</v>
      </c>
      <c r="U1323">
        <f t="shared" si="445"/>
        <v>1.9686764822376161E-3</v>
      </c>
      <c r="V1323">
        <f t="shared" si="446"/>
        <v>2.306163879192636E-2</v>
      </c>
      <c r="W1323">
        <f t="shared" si="447"/>
        <v>1.2187044890042385E-3</v>
      </c>
      <c r="X1323">
        <f t="shared" si="448"/>
        <v>1.1990177241818622E-2</v>
      </c>
      <c r="Y1323">
        <f t="shared" si="449"/>
        <v>5.6247899492503314E-4</v>
      </c>
      <c r="Z1323">
        <f t="shared" si="450"/>
        <v>3.7498599661668877E-3</v>
      </c>
      <c r="AA1323">
        <f t="shared" si="451"/>
        <v>0.32120213010795373</v>
      </c>
      <c r="AB1323">
        <f t="shared" si="452"/>
        <v>0.10920276570921802</v>
      </c>
      <c r="AC1323">
        <f t="shared" si="453"/>
        <v>0.14747871134187329</v>
      </c>
      <c r="AD1323">
        <f t="shared" si="454"/>
        <v>3.7302669478436654E-3</v>
      </c>
      <c r="AE1323">
        <f t="shared" si="455"/>
        <v>1.8581399850849317E-2</v>
      </c>
      <c r="AG1323">
        <f t="shared" si="456"/>
        <v>0.16166558775883527</v>
      </c>
      <c r="AH1323">
        <f t="shared" si="457"/>
        <v>7.1538797223041198E-2</v>
      </c>
      <c r="AI1323">
        <f t="shared" si="458"/>
        <v>-1.2573383431450313</v>
      </c>
      <c r="AK1323" s="26">
        <f t="shared" si="459"/>
        <v>-2.4537882770583108E-2</v>
      </c>
      <c r="AL1323" s="26">
        <f t="shared" si="460"/>
        <v>3.0204151081590636E-3</v>
      </c>
      <c r="AM1323" s="26">
        <f t="shared" si="461"/>
        <v>-2.3828160775528157E-2</v>
      </c>
      <c r="AN1323" s="26">
        <f t="shared" si="462"/>
        <v>-6.8252380952381202</v>
      </c>
      <c r="AO1323" s="26">
        <f t="shared" si="463"/>
        <v>-4.5026785714286319</v>
      </c>
      <c r="AP1323" s="26">
        <f t="shared" si="464"/>
        <v>-2.9030088495575654</v>
      </c>
      <c r="AS1323" s="2">
        <v>44157</v>
      </c>
      <c r="AT1323">
        <v>11</v>
      </c>
      <c r="AU1323">
        <v>1.3</v>
      </c>
      <c r="AV1323">
        <v>53.9</v>
      </c>
      <c r="AW1323">
        <v>6.6</v>
      </c>
      <c r="AX1323">
        <v>68.27</v>
      </c>
      <c r="AY1323">
        <v>0.2</v>
      </c>
      <c r="AZ1323">
        <v>4</v>
      </c>
      <c r="BA1323">
        <v>220.04069999999999</v>
      </c>
      <c r="BB1323">
        <v>75.328199999999995</v>
      </c>
      <c r="BC1323">
        <v>88.260900000000007</v>
      </c>
      <c r="BD1323">
        <v>4.1642999999999999</v>
      </c>
      <c r="BE1323">
        <v>16.269200000000001</v>
      </c>
      <c r="BH1323">
        <v>91.98</v>
      </c>
    </row>
    <row r="1324" spans="1:60" x14ac:dyDescent="0.25">
      <c r="A1324" s="2">
        <v>44177</v>
      </c>
      <c r="B1324">
        <v>11.6</v>
      </c>
      <c r="C1324">
        <v>41.1</v>
      </c>
      <c r="D1324">
        <v>52.3</v>
      </c>
      <c r="E1324">
        <v>2.9</v>
      </c>
      <c r="F1324">
        <v>13.32</v>
      </c>
      <c r="G1324">
        <v>0.6</v>
      </c>
      <c r="H1324">
        <v>3.8</v>
      </c>
      <c r="I1324">
        <v>340.80849999999998</v>
      </c>
      <c r="J1324">
        <v>165.1395</v>
      </c>
      <c r="K1324">
        <v>173.6283</v>
      </c>
      <c r="L1324">
        <v>3.9885999999999999</v>
      </c>
      <c r="M1324">
        <v>24.386800000000001</v>
      </c>
      <c r="P1324">
        <v>81.38</v>
      </c>
      <c r="S1324">
        <f t="shared" si="443"/>
        <v>833.57169999999996</v>
      </c>
      <c r="T1324">
        <f t="shared" si="444"/>
        <v>1.0874593901883974E-2</v>
      </c>
      <c r="U1324">
        <f t="shared" si="445"/>
        <v>3.8529811152364771E-2</v>
      </c>
      <c r="V1324">
        <f t="shared" si="446"/>
        <v>4.9029419057632057E-2</v>
      </c>
      <c r="W1324">
        <f t="shared" si="447"/>
        <v>2.7186484754709935E-3</v>
      </c>
      <c r="X1324">
        <f t="shared" si="448"/>
        <v>1.2487033687335737E-2</v>
      </c>
      <c r="Y1324">
        <f t="shared" si="449"/>
        <v>5.6247899492503314E-4</v>
      </c>
      <c r="Z1324">
        <f t="shared" si="450"/>
        <v>3.5623669678585433E-3</v>
      </c>
      <c r="AA1324">
        <f t="shared" si="451"/>
        <v>0.3194960375698469</v>
      </c>
      <c r="AB1324">
        <f t="shared" si="452"/>
        <v>0.15481249997070418</v>
      </c>
      <c r="AC1324">
        <f t="shared" si="453"/>
        <v>0.16277045279090355</v>
      </c>
      <c r="AD1324">
        <f t="shared" si="454"/>
        <v>3.7391728652633118E-3</v>
      </c>
      <c r="AE1324">
        <f t="shared" si="455"/>
        <v>2.2861771255729666E-2</v>
      </c>
      <c r="AG1324">
        <f t="shared" si="456"/>
        <v>0.18634942327740123</v>
      </c>
      <c r="AH1324">
        <f t="shared" si="457"/>
        <v>0.14062612349320078</v>
      </c>
      <c r="AI1324">
        <f t="shared" si="458"/>
        <v>-0.84244265192000189</v>
      </c>
      <c r="AK1324" s="26">
        <f t="shared" si="459"/>
        <v>-1.9951915634936257E-2</v>
      </c>
      <c r="AL1324" s="26">
        <f t="shared" si="460"/>
        <v>4.8610573091768527E-3</v>
      </c>
      <c r="AM1324" s="26">
        <f t="shared" si="461"/>
        <v>-2.6223592891906455E-2</v>
      </c>
      <c r="AN1324" s="26">
        <f t="shared" si="462"/>
        <v>-6.5061904761904685</v>
      </c>
      <c r="AO1324" s="26">
        <f t="shared" si="463"/>
        <v>-4.3803571428571786</v>
      </c>
      <c r="AP1324" s="26">
        <f t="shared" si="464"/>
        <v>-2.8154867256637459</v>
      </c>
      <c r="AS1324" s="2">
        <v>44156</v>
      </c>
      <c r="AT1324">
        <v>13.1</v>
      </c>
      <c r="AU1324">
        <v>0.6</v>
      </c>
      <c r="AV1324">
        <v>51.2</v>
      </c>
      <c r="AW1324">
        <v>8.5</v>
      </c>
      <c r="AX1324">
        <v>52.17</v>
      </c>
      <c r="AY1324">
        <v>0.2</v>
      </c>
      <c r="AZ1324">
        <v>3.9</v>
      </c>
      <c r="BA1324">
        <v>206.15270000000001</v>
      </c>
      <c r="BB1324">
        <v>71.794399999999996</v>
      </c>
      <c r="BC1324">
        <v>89.675299999999993</v>
      </c>
      <c r="BD1324">
        <v>4.2091000000000003</v>
      </c>
      <c r="BE1324">
        <v>18.038599999999999</v>
      </c>
      <c r="BH1324">
        <v>92.21</v>
      </c>
    </row>
    <row r="1325" spans="1:60" x14ac:dyDescent="0.25">
      <c r="A1325" s="2">
        <v>44176</v>
      </c>
      <c r="B1325">
        <v>12.2</v>
      </c>
      <c r="C1325">
        <v>3.5</v>
      </c>
      <c r="D1325">
        <v>75.599999999999994</v>
      </c>
      <c r="E1325">
        <v>4.4000000000000004</v>
      </c>
      <c r="F1325">
        <v>15.13</v>
      </c>
      <c r="G1325">
        <v>0.4</v>
      </c>
      <c r="H1325">
        <v>3.8</v>
      </c>
      <c r="I1325">
        <v>338.94650000000001</v>
      </c>
      <c r="J1325">
        <v>205.68129999999999</v>
      </c>
      <c r="K1325">
        <v>205.1617</v>
      </c>
      <c r="L1325">
        <v>4.7937000000000003</v>
      </c>
      <c r="M1325">
        <v>32.025199999999998</v>
      </c>
      <c r="N1325">
        <v>0.83309999999999995</v>
      </c>
      <c r="O1325">
        <v>-4.5503999999999998</v>
      </c>
      <c r="P1325">
        <v>81.84</v>
      </c>
      <c r="S1325">
        <f t="shared" si="443"/>
        <v>901.63839999999993</v>
      </c>
      <c r="T1325">
        <f t="shared" si="444"/>
        <v>1.1437072896809007E-2</v>
      </c>
      <c r="U1325">
        <f t="shared" si="445"/>
        <v>3.2811274703960268E-3</v>
      </c>
      <c r="V1325">
        <f t="shared" si="446"/>
        <v>7.0872353360554169E-2</v>
      </c>
      <c r="W1325">
        <f t="shared" si="447"/>
        <v>4.1248459627835771E-3</v>
      </c>
      <c r="X1325">
        <f t="shared" si="448"/>
        <v>1.4183845322026253E-2</v>
      </c>
      <c r="Y1325">
        <f t="shared" si="449"/>
        <v>3.7498599661668879E-4</v>
      </c>
      <c r="Z1325">
        <f t="shared" si="450"/>
        <v>3.5623669678585433E-3</v>
      </c>
      <c r="AA1325">
        <f t="shared" si="451"/>
        <v>0.31775047775559628</v>
      </c>
      <c r="AB1325">
        <f t="shared" si="452"/>
        <v>0.19281901816479036</v>
      </c>
      <c r="AC1325">
        <f t="shared" si="453"/>
        <v>0.19233191135518529</v>
      </c>
      <c r="AD1325">
        <f t="shared" si="454"/>
        <v>4.4939259299535527E-3</v>
      </c>
      <c r="AE1325">
        <f t="shared" si="455"/>
        <v>3.0022503847121951E-2</v>
      </c>
      <c r="AG1325">
        <f t="shared" si="456"/>
        <v>0.21944456893630315</v>
      </c>
      <c r="AH1325">
        <f t="shared" si="457"/>
        <v>0.13785910182416622</v>
      </c>
      <c r="AI1325">
        <f t="shared" si="458"/>
        <v>-0.85850960281011979</v>
      </c>
      <c r="AK1325" s="26">
        <f t="shared" si="459"/>
        <v>-1.9898922078200071E-2</v>
      </c>
      <c r="AL1325" s="26">
        <f t="shared" si="460"/>
        <v>3.2340868163561465E-3</v>
      </c>
      <c r="AM1325" s="26">
        <f t="shared" si="461"/>
        <v>-2.9936647816582451E-2</v>
      </c>
      <c r="AN1325" s="26">
        <f t="shared" si="462"/>
        <v>-6.1866666666666674</v>
      </c>
      <c r="AO1325" s="26">
        <f t="shared" si="463"/>
        <v>-4.2598214285714562</v>
      </c>
      <c r="AP1325" s="26">
        <f t="shared" si="464"/>
        <v>-2.7277876106194867</v>
      </c>
      <c r="AS1325" s="2">
        <v>44155</v>
      </c>
      <c r="AT1325">
        <v>13.5</v>
      </c>
      <c r="AU1325">
        <v>5</v>
      </c>
      <c r="AV1325">
        <v>51.1</v>
      </c>
      <c r="AW1325">
        <v>4</v>
      </c>
      <c r="AX1325">
        <v>55.39</v>
      </c>
      <c r="AY1325">
        <v>0.1</v>
      </c>
      <c r="AZ1325">
        <v>3.8</v>
      </c>
      <c r="BA1325">
        <v>339.50259999999997</v>
      </c>
      <c r="BB1325">
        <v>146.54580000000001</v>
      </c>
      <c r="BC1325">
        <v>176.02</v>
      </c>
      <c r="BD1325">
        <v>4.1954000000000002</v>
      </c>
      <c r="BE1325">
        <v>31.881399999999999</v>
      </c>
      <c r="BH1325">
        <v>92.42</v>
      </c>
    </row>
    <row r="1326" spans="1:60" x14ac:dyDescent="0.25">
      <c r="A1326" s="2">
        <v>44175</v>
      </c>
      <c r="B1326">
        <v>12.9</v>
      </c>
      <c r="C1326">
        <v>10.3</v>
      </c>
      <c r="D1326">
        <v>19.600000000000001</v>
      </c>
      <c r="E1326">
        <v>0.6</v>
      </c>
      <c r="F1326">
        <v>9.4600000000000009</v>
      </c>
      <c r="G1326">
        <v>0.5</v>
      </c>
      <c r="H1326">
        <v>4</v>
      </c>
      <c r="I1326">
        <v>377.49520000000001</v>
      </c>
      <c r="J1326">
        <v>308.85430000000002</v>
      </c>
      <c r="K1326">
        <v>238.66139999999999</v>
      </c>
      <c r="L1326">
        <v>6.8506999999999998</v>
      </c>
      <c r="M1326">
        <v>42.567399999999999</v>
      </c>
      <c r="N1326">
        <v>2.0339</v>
      </c>
      <c r="O1326">
        <v>-4.0358999999999998</v>
      </c>
      <c r="P1326">
        <v>82.43</v>
      </c>
      <c r="S1326">
        <f t="shared" si="443"/>
        <v>1031.789</v>
      </c>
      <c r="T1326">
        <f t="shared" si="444"/>
        <v>1.2093298390888213E-2</v>
      </c>
      <c r="U1326">
        <f t="shared" si="445"/>
        <v>9.6558894128797364E-3</v>
      </c>
      <c r="V1326">
        <f t="shared" si="446"/>
        <v>1.837431383421775E-2</v>
      </c>
      <c r="W1326">
        <f t="shared" si="447"/>
        <v>5.6247899492503314E-4</v>
      </c>
      <c r="X1326">
        <f t="shared" si="448"/>
        <v>8.8684188199846907E-3</v>
      </c>
      <c r="Y1326">
        <f t="shared" si="449"/>
        <v>4.6873249577086097E-4</v>
      </c>
      <c r="Z1326">
        <f t="shared" si="450"/>
        <v>3.7498599661668877E-3</v>
      </c>
      <c r="AA1326">
        <f t="shared" si="451"/>
        <v>0.35388853447504065</v>
      </c>
      <c r="AB1326">
        <f t="shared" si="452"/>
        <v>0.28954009373712447</v>
      </c>
      <c r="AC1326">
        <f t="shared" si="453"/>
        <v>0.2237367073323355</v>
      </c>
      <c r="AD1326">
        <f t="shared" si="454"/>
        <v>6.4222914175548745E-3</v>
      </c>
      <c r="AE1326">
        <f t="shared" si="455"/>
        <v>3.9905447280953091E-2</v>
      </c>
      <c r="AG1326">
        <f t="shared" si="456"/>
        <v>0.26243875623477042</v>
      </c>
      <c r="AH1326">
        <f t="shared" si="457"/>
        <v>9.3678439195786278E-2</v>
      </c>
      <c r="AI1326">
        <f t="shared" si="458"/>
        <v>-1.124187422670633</v>
      </c>
      <c r="AK1326" s="26">
        <f t="shared" si="459"/>
        <v>-1.2204544236551179E-2</v>
      </c>
      <c r="AL1326" s="26">
        <f t="shared" si="460"/>
        <v>5.7451219511378548E-3</v>
      </c>
      <c r="AM1326" s="26">
        <f t="shared" si="461"/>
        <v>-2.8546826100480566E-2</v>
      </c>
      <c r="AN1326" s="26">
        <f t="shared" si="462"/>
        <v>-5.8757142857142668</v>
      </c>
      <c r="AO1326" s="26">
        <f t="shared" si="463"/>
        <v>-4.1351785714286109</v>
      </c>
      <c r="AP1326" s="26">
        <f t="shared" si="464"/>
        <v>-2.6400884955752275</v>
      </c>
      <c r="AS1326" s="2">
        <v>44154</v>
      </c>
      <c r="AT1326">
        <v>12.6</v>
      </c>
      <c r="AU1326">
        <v>3.1</v>
      </c>
      <c r="AV1326">
        <v>54.6</v>
      </c>
      <c r="AW1326">
        <v>9.9</v>
      </c>
      <c r="AX1326">
        <v>27.34</v>
      </c>
      <c r="AY1326">
        <v>0.2</v>
      </c>
      <c r="AZ1326">
        <v>4</v>
      </c>
      <c r="BA1326">
        <v>246.959</v>
      </c>
      <c r="BB1326">
        <v>89.552300000000002</v>
      </c>
      <c r="BC1326">
        <v>83.382800000000003</v>
      </c>
      <c r="BD1326">
        <v>4.1525999999999996</v>
      </c>
      <c r="BE1326">
        <v>21.8399</v>
      </c>
      <c r="BH1326">
        <v>92.72</v>
      </c>
    </row>
    <row r="1327" spans="1:60" x14ac:dyDescent="0.25">
      <c r="A1327" s="2">
        <v>44174</v>
      </c>
      <c r="B1327">
        <v>12.6</v>
      </c>
      <c r="C1327">
        <v>4.2</v>
      </c>
      <c r="D1327">
        <v>24</v>
      </c>
      <c r="E1327">
        <v>1</v>
      </c>
      <c r="F1327">
        <v>8.77</v>
      </c>
      <c r="G1327">
        <v>0.6</v>
      </c>
      <c r="H1327">
        <v>3.6</v>
      </c>
      <c r="I1327">
        <v>381.60090000000002</v>
      </c>
      <c r="J1327">
        <v>336.47660000000002</v>
      </c>
      <c r="K1327">
        <v>231.88650000000001</v>
      </c>
      <c r="L1327">
        <v>7.9116</v>
      </c>
      <c r="M1327">
        <v>35.778300000000002</v>
      </c>
      <c r="N1327">
        <v>3.0272000000000001</v>
      </c>
      <c r="O1327">
        <v>-3.7149000000000001</v>
      </c>
      <c r="P1327">
        <v>83.08</v>
      </c>
      <c r="S1327">
        <f t="shared" si="443"/>
        <v>1048.4239000000002</v>
      </c>
      <c r="T1327">
        <f t="shared" si="444"/>
        <v>1.1812058893425697E-2</v>
      </c>
      <c r="U1327">
        <f t="shared" si="445"/>
        <v>3.9373529644752322E-3</v>
      </c>
      <c r="V1327">
        <f t="shared" si="446"/>
        <v>2.2499159797001327E-2</v>
      </c>
      <c r="W1327">
        <f t="shared" si="447"/>
        <v>9.3746499154172193E-4</v>
      </c>
      <c r="X1327">
        <f t="shared" si="448"/>
        <v>8.2215679758209006E-3</v>
      </c>
      <c r="Y1327">
        <f t="shared" si="449"/>
        <v>5.6247899492503314E-4</v>
      </c>
      <c r="Z1327">
        <f t="shared" si="450"/>
        <v>3.3748739695501988E-3</v>
      </c>
      <c r="AA1327">
        <f t="shared" si="451"/>
        <v>0.3577374844908135</v>
      </c>
      <c r="AB1327">
        <f t="shared" si="452"/>
        <v>0.31543503297298736</v>
      </c>
      <c r="AC1327">
        <f t="shared" si="453"/>
        <v>0.21738547576113951</v>
      </c>
      <c r="AD1327">
        <f t="shared" si="454"/>
        <v>7.4168480270814874E-3</v>
      </c>
      <c r="AE1327">
        <f t="shared" si="455"/>
        <v>3.3540903706877193E-2</v>
      </c>
      <c r="AG1327">
        <f t="shared" si="456"/>
        <v>0.30996356330836139</v>
      </c>
      <c r="AH1327">
        <f t="shared" si="457"/>
        <v>8.4885861293617304E-2</v>
      </c>
      <c r="AI1327">
        <f t="shared" si="458"/>
        <v>-1.1828889539401222</v>
      </c>
      <c r="AK1327" s="26">
        <f t="shared" si="459"/>
        <v>-1.412783402084114E-2</v>
      </c>
      <c r="AL1327" s="26">
        <f t="shared" si="460"/>
        <v>6.2005826210999038E-3</v>
      </c>
      <c r="AM1327" s="26">
        <f t="shared" si="461"/>
        <v>-2.8973599986152093E-2</v>
      </c>
      <c r="AN1327" s="26">
        <f t="shared" si="462"/>
        <v>-5.5766666666666396</v>
      </c>
      <c r="AO1327" s="26">
        <f t="shared" si="463"/>
        <v>-4.010357142857174</v>
      </c>
      <c r="AP1327" s="26">
        <f t="shared" si="464"/>
        <v>-2.552566371681408</v>
      </c>
      <c r="AS1327" s="2">
        <v>44153</v>
      </c>
      <c r="AT1327">
        <v>13.4</v>
      </c>
      <c r="AU1327">
        <v>53.8</v>
      </c>
      <c r="AV1327">
        <v>90.3</v>
      </c>
      <c r="AW1327">
        <v>6.6</v>
      </c>
      <c r="AX1327">
        <v>74.08</v>
      </c>
      <c r="AY1327">
        <v>0.1</v>
      </c>
      <c r="AZ1327">
        <v>4</v>
      </c>
      <c r="BA1327">
        <v>339.25779999999997</v>
      </c>
      <c r="BB1327">
        <v>98.265699999999995</v>
      </c>
      <c r="BC1327">
        <v>96.844700000000003</v>
      </c>
      <c r="BD1327">
        <v>5.4264000000000001</v>
      </c>
      <c r="BE1327">
        <v>24.546399999999998</v>
      </c>
      <c r="BH1327">
        <v>92.92</v>
      </c>
    </row>
    <row r="1328" spans="1:60" x14ac:dyDescent="0.25">
      <c r="A1328" s="2">
        <v>44173</v>
      </c>
      <c r="B1328">
        <v>12.1</v>
      </c>
      <c r="C1328">
        <v>15.5</v>
      </c>
      <c r="D1328">
        <v>18.600000000000001</v>
      </c>
      <c r="E1328">
        <v>1.6</v>
      </c>
      <c r="F1328">
        <v>33.54</v>
      </c>
      <c r="G1328">
        <v>0.5</v>
      </c>
      <c r="H1328">
        <v>3.9</v>
      </c>
      <c r="I1328">
        <v>381.53660000000002</v>
      </c>
      <c r="J1328">
        <v>303.24849999999998</v>
      </c>
      <c r="K1328">
        <v>228.45590000000001</v>
      </c>
      <c r="L1328">
        <v>4.7324000000000002</v>
      </c>
      <c r="M1328">
        <v>24.0321</v>
      </c>
      <c r="N1328">
        <v>2.8767999999999998</v>
      </c>
      <c r="O1328">
        <v>-3.9742000000000002</v>
      </c>
      <c r="P1328">
        <v>83.78</v>
      </c>
      <c r="S1328">
        <f t="shared" si="443"/>
        <v>1027.7455</v>
      </c>
      <c r="T1328">
        <f t="shared" si="444"/>
        <v>1.1343326397654835E-2</v>
      </c>
      <c r="U1328">
        <f t="shared" si="445"/>
        <v>1.453070736889669E-2</v>
      </c>
      <c r="V1328">
        <f t="shared" si="446"/>
        <v>1.7436848842676027E-2</v>
      </c>
      <c r="W1328">
        <f t="shared" si="447"/>
        <v>1.4999439864667552E-3</v>
      </c>
      <c r="X1328">
        <f t="shared" si="448"/>
        <v>3.1442575816309354E-2</v>
      </c>
      <c r="Y1328">
        <f t="shared" si="449"/>
        <v>4.6873249577086097E-4</v>
      </c>
      <c r="Z1328">
        <f t="shared" si="450"/>
        <v>3.6561134670127153E-3</v>
      </c>
      <c r="AA1328">
        <f t="shared" si="451"/>
        <v>0.35767720549185733</v>
      </c>
      <c r="AB1328">
        <f t="shared" si="452"/>
        <v>0.28428485248753982</v>
      </c>
      <c r="AC1328">
        <f t="shared" si="453"/>
        <v>0.21416940836115647</v>
      </c>
      <c r="AD1328">
        <f t="shared" si="454"/>
        <v>4.4364593259720447E-3</v>
      </c>
      <c r="AE1328">
        <f t="shared" si="455"/>
        <v>2.2529252423229815E-2</v>
      </c>
      <c r="AG1328">
        <f t="shared" si="456"/>
        <v>0.36125196391735637</v>
      </c>
      <c r="AH1328">
        <f t="shared" si="457"/>
        <v>0.10290750079801703</v>
      </c>
      <c r="AI1328">
        <f t="shared" si="458"/>
        <v>-1.076652935879808</v>
      </c>
      <c r="AK1328" s="26">
        <f t="shared" si="459"/>
        <v>-6.241476741281532E-3</v>
      </c>
      <c r="AL1328" s="26">
        <f t="shared" si="460"/>
        <v>7.1157024649503575E-3</v>
      </c>
      <c r="AM1328" s="26">
        <f t="shared" si="461"/>
        <v>-2.6572930510046666E-2</v>
      </c>
      <c r="AN1328" s="26">
        <f t="shared" si="462"/>
        <v>-5.2999999999999972</v>
      </c>
      <c r="AO1328" s="26">
        <f t="shared" si="463"/>
        <v>-3.8876785714286228</v>
      </c>
      <c r="AP1328" s="26">
        <f t="shared" si="464"/>
        <v>-2.4655752212389643</v>
      </c>
      <c r="AS1328" s="2">
        <v>44152</v>
      </c>
      <c r="AT1328">
        <v>13.8</v>
      </c>
      <c r="AU1328">
        <v>2.8</v>
      </c>
      <c r="AV1328">
        <v>79.099999999999994</v>
      </c>
      <c r="AW1328">
        <v>6.3</v>
      </c>
      <c r="AX1328">
        <v>38.75</v>
      </c>
      <c r="AY1328">
        <v>0.1</v>
      </c>
      <c r="AZ1328">
        <v>4.2</v>
      </c>
      <c r="BA1328">
        <v>323.27600000000001</v>
      </c>
      <c r="BB1328">
        <v>117.86320000000001</v>
      </c>
      <c r="BC1328">
        <v>115.105</v>
      </c>
      <c r="BD1328">
        <v>4.2682000000000002</v>
      </c>
      <c r="BE1328">
        <v>22.701599999999999</v>
      </c>
      <c r="BH1328">
        <v>93.04</v>
      </c>
    </row>
    <row r="1329" spans="1:60" x14ac:dyDescent="0.25">
      <c r="A1329" s="2">
        <v>44172</v>
      </c>
      <c r="B1329">
        <v>12.9</v>
      </c>
      <c r="C1329">
        <v>0</v>
      </c>
      <c r="D1329">
        <v>59.3</v>
      </c>
      <c r="E1329">
        <v>4.7</v>
      </c>
      <c r="F1329">
        <v>18.72</v>
      </c>
      <c r="G1329">
        <v>0.6</v>
      </c>
      <c r="H1329">
        <v>4</v>
      </c>
      <c r="I1329">
        <v>356.053</v>
      </c>
      <c r="J1329">
        <v>225.9281</v>
      </c>
      <c r="K1329">
        <v>209.1164</v>
      </c>
      <c r="L1329">
        <v>4.0189000000000004</v>
      </c>
      <c r="M1329">
        <v>27.918800000000001</v>
      </c>
      <c r="N1329">
        <v>4.6254999999999997</v>
      </c>
      <c r="O1329">
        <v>-2.3875999999999999</v>
      </c>
      <c r="P1329">
        <v>84.34</v>
      </c>
      <c r="S1329">
        <f t="shared" si="443"/>
        <v>923.25520000000006</v>
      </c>
      <c r="T1329">
        <f t="shared" si="444"/>
        <v>1.2093298390888213E-2</v>
      </c>
      <c r="U1329">
        <f t="shared" si="445"/>
        <v>0</v>
      </c>
      <c r="V1329">
        <f t="shared" si="446"/>
        <v>5.5591673998424108E-2</v>
      </c>
      <c r="W1329">
        <f t="shared" si="447"/>
        <v>4.4060854602460935E-3</v>
      </c>
      <c r="X1329">
        <f t="shared" si="448"/>
        <v>1.7549344641661035E-2</v>
      </c>
      <c r="Y1329">
        <f t="shared" si="449"/>
        <v>5.6247899492503314E-4</v>
      </c>
      <c r="Z1329">
        <f t="shared" si="450"/>
        <v>3.7498599661668877E-3</v>
      </c>
      <c r="AA1329">
        <f t="shared" si="451"/>
        <v>0.33378722263340471</v>
      </c>
      <c r="AB1329">
        <f t="shared" si="452"/>
        <v>0.21179968435553731</v>
      </c>
      <c r="AC1329">
        <f t="shared" si="453"/>
        <v>0.19603930415723533</v>
      </c>
      <c r="AD1329">
        <f t="shared" si="454"/>
        <v>3.7675780545070267E-3</v>
      </c>
      <c r="AE1329">
        <f t="shared" si="455"/>
        <v>2.6172897605855026E-2</v>
      </c>
      <c r="AG1329">
        <f t="shared" si="456"/>
        <v>0.40185547473500521</v>
      </c>
      <c r="AH1329">
        <f t="shared" si="457"/>
        <v>0.12012563905816639</v>
      </c>
      <c r="AI1329">
        <f t="shared" si="458"/>
        <v>-0.97400285416552035</v>
      </c>
      <c r="AK1329" s="26">
        <f t="shared" si="459"/>
        <v>-1.1716928517379321E-3</v>
      </c>
      <c r="AL1329" s="26">
        <f t="shared" si="460"/>
        <v>7.5444621230997266E-3</v>
      </c>
      <c r="AM1329" s="26">
        <f t="shared" si="461"/>
        <v>-2.4910780191592097E-2</v>
      </c>
      <c r="AN1329" s="26">
        <f t="shared" si="462"/>
        <v>-5.0495238095237909</v>
      </c>
      <c r="AO1329" s="26">
        <f t="shared" si="463"/>
        <v>-3.7694642857143208</v>
      </c>
      <c r="AP1329" s="26">
        <f t="shared" si="464"/>
        <v>-2.380442477876116</v>
      </c>
      <c r="AS1329" s="2">
        <v>44151</v>
      </c>
      <c r="AT1329">
        <v>12.5</v>
      </c>
      <c r="AU1329">
        <v>27.4</v>
      </c>
      <c r="AV1329">
        <v>82.2</v>
      </c>
      <c r="AW1329">
        <v>4</v>
      </c>
      <c r="AX1329">
        <v>42.48</v>
      </c>
      <c r="AY1329">
        <v>0.2</v>
      </c>
      <c r="AZ1329">
        <v>4.0999999999999996</v>
      </c>
      <c r="BA1329">
        <v>233.81319999999999</v>
      </c>
      <c r="BB1329">
        <v>93.318299999999994</v>
      </c>
      <c r="BC1329">
        <v>93.441100000000006</v>
      </c>
      <c r="BD1329">
        <v>4.2484999999999999</v>
      </c>
      <c r="BE1329">
        <v>27.384</v>
      </c>
      <c r="BH1329">
        <v>93.2</v>
      </c>
    </row>
    <row r="1330" spans="1:60" x14ac:dyDescent="0.25">
      <c r="A1330" s="2">
        <v>44171</v>
      </c>
      <c r="B1330">
        <v>12.7</v>
      </c>
      <c r="C1330">
        <v>0.7</v>
      </c>
      <c r="D1330">
        <v>31.4</v>
      </c>
      <c r="E1330">
        <v>2.7</v>
      </c>
      <c r="F1330">
        <v>16.66</v>
      </c>
      <c r="G1330">
        <v>0.6</v>
      </c>
      <c r="H1330">
        <v>3.4</v>
      </c>
      <c r="I1330">
        <v>344.90010000000001</v>
      </c>
      <c r="J1330">
        <v>160.10329999999999</v>
      </c>
      <c r="K1330">
        <v>187.58150000000001</v>
      </c>
      <c r="L1330">
        <v>3.9733999999999998</v>
      </c>
      <c r="M1330">
        <v>15.523400000000001</v>
      </c>
      <c r="P1330">
        <v>84.94</v>
      </c>
      <c r="S1330">
        <f t="shared" si="443"/>
        <v>780.24170000000004</v>
      </c>
      <c r="T1330">
        <f t="shared" si="444"/>
        <v>1.1905805392579868E-2</v>
      </c>
      <c r="U1330">
        <f t="shared" si="445"/>
        <v>6.5622549407920526E-4</v>
      </c>
      <c r="V1330">
        <f t="shared" si="446"/>
        <v>2.9436400734410065E-2</v>
      </c>
      <c r="W1330">
        <f t="shared" si="447"/>
        <v>2.5311554771626494E-3</v>
      </c>
      <c r="X1330">
        <f t="shared" si="448"/>
        <v>1.5618166759085087E-2</v>
      </c>
      <c r="Y1330">
        <f t="shared" si="449"/>
        <v>5.6247899492503314E-4</v>
      </c>
      <c r="Z1330">
        <f t="shared" si="450"/>
        <v>3.1873809712418544E-3</v>
      </c>
      <c r="AA1330">
        <f t="shared" si="451"/>
        <v>0.32333176932923907</v>
      </c>
      <c r="AB1330">
        <f t="shared" si="452"/>
        <v>0.15009123878030176</v>
      </c>
      <c r="AC1330">
        <f t="shared" si="453"/>
        <v>0.1758510893108835</v>
      </c>
      <c r="AD1330">
        <f t="shared" si="454"/>
        <v>3.7249233973918779E-3</v>
      </c>
      <c r="AE1330">
        <f t="shared" si="455"/>
        <v>1.4552644049698766E-2</v>
      </c>
      <c r="AG1330">
        <f t="shared" si="456"/>
        <v>0.44549128740298899</v>
      </c>
      <c r="AH1330">
        <f t="shared" si="457"/>
        <v>7.8450257873182536E-2</v>
      </c>
      <c r="AI1330">
        <f t="shared" si="458"/>
        <v>-1.2275858481875179</v>
      </c>
      <c r="AK1330" s="26">
        <f t="shared" si="459"/>
        <v>3.8480973690424303E-3</v>
      </c>
      <c r="AL1330" s="26">
        <f t="shared" si="460"/>
        <v>6.5532619730517827E-3</v>
      </c>
      <c r="AM1330" s="26">
        <f t="shared" si="461"/>
        <v>-2.780018418200475E-2</v>
      </c>
      <c r="AN1330" s="26">
        <f t="shared" si="462"/>
        <v>-4.8219047619047473</v>
      </c>
      <c r="AO1330" s="26">
        <f t="shared" si="463"/>
        <v>-3.6519642857143282</v>
      </c>
      <c r="AP1330" s="26">
        <f t="shared" si="464"/>
        <v>-2.2988495575221464</v>
      </c>
      <c r="AS1330" s="2">
        <v>44150</v>
      </c>
      <c r="AT1330">
        <v>12.6</v>
      </c>
      <c r="AU1330">
        <v>0</v>
      </c>
      <c r="AV1330">
        <v>81.2</v>
      </c>
      <c r="AW1330">
        <v>5.5</v>
      </c>
      <c r="AX1330">
        <v>69.03</v>
      </c>
      <c r="AY1330">
        <v>0.2</v>
      </c>
      <c r="AZ1330">
        <v>3.7</v>
      </c>
      <c r="BA1330">
        <v>99.3523</v>
      </c>
      <c r="BB1330">
        <v>44.506700000000002</v>
      </c>
      <c r="BC1330">
        <v>38.951500000000003</v>
      </c>
      <c r="BD1330">
        <v>4.1520000000000001</v>
      </c>
      <c r="BE1330">
        <v>15.1494</v>
      </c>
      <c r="BH1330">
        <v>93.34</v>
      </c>
    </row>
    <row r="1331" spans="1:60" x14ac:dyDescent="0.25">
      <c r="A1331" s="2">
        <v>44170</v>
      </c>
      <c r="B1331">
        <v>11.2</v>
      </c>
      <c r="C1331">
        <v>1.9</v>
      </c>
      <c r="D1331">
        <v>39.200000000000003</v>
      </c>
      <c r="E1331">
        <v>2.8</v>
      </c>
      <c r="F1331">
        <v>25.64</v>
      </c>
      <c r="G1331">
        <v>0.6</v>
      </c>
      <c r="H1331">
        <v>2.8</v>
      </c>
      <c r="I1331">
        <v>346.25479999999999</v>
      </c>
      <c r="J1331">
        <v>179.03469999999999</v>
      </c>
      <c r="K1331">
        <v>198.21299999999999</v>
      </c>
      <c r="L1331">
        <v>3.9821</v>
      </c>
      <c r="M1331">
        <v>17.395199999999999</v>
      </c>
      <c r="P1331">
        <v>85.37</v>
      </c>
      <c r="S1331">
        <f t="shared" si="443"/>
        <v>829.01979999999992</v>
      </c>
      <c r="T1331">
        <f t="shared" si="444"/>
        <v>1.0499607905267284E-2</v>
      </c>
      <c r="U1331">
        <f t="shared" si="445"/>
        <v>1.7811834839292716E-3</v>
      </c>
      <c r="V1331">
        <f t="shared" si="446"/>
        <v>3.67486276684355E-2</v>
      </c>
      <c r="W1331">
        <f t="shared" si="447"/>
        <v>2.624901976316821E-3</v>
      </c>
      <c r="X1331">
        <f t="shared" si="448"/>
        <v>2.4036602383129751E-2</v>
      </c>
      <c r="Y1331">
        <f t="shared" si="449"/>
        <v>5.6247899492503314E-4</v>
      </c>
      <c r="Z1331">
        <f t="shared" si="450"/>
        <v>2.624901976316821E-3</v>
      </c>
      <c r="AA1331">
        <f t="shared" si="451"/>
        <v>0.3246017531532806</v>
      </c>
      <c r="AB1331">
        <f t="shared" si="452"/>
        <v>0.16783876352117472</v>
      </c>
      <c r="AC1331">
        <f t="shared" si="453"/>
        <v>0.18581774836845932</v>
      </c>
      <c r="AD1331">
        <f t="shared" si="454"/>
        <v>3.7330793428182909E-3</v>
      </c>
      <c r="AE1331">
        <f t="shared" si="455"/>
        <v>1.6307391020866559E-2</v>
      </c>
      <c r="AG1331">
        <f t="shared" si="456"/>
        <v>0.47623625162080774</v>
      </c>
      <c r="AH1331">
        <f t="shared" si="457"/>
        <v>9.5185695409187046E-2</v>
      </c>
      <c r="AI1331">
        <f t="shared" si="458"/>
        <v>-1.1285461166355781</v>
      </c>
      <c r="AK1331" s="26">
        <f t="shared" si="459"/>
        <v>2.5834928084046971E-3</v>
      </c>
      <c r="AL1331" s="26">
        <f t="shared" si="460"/>
        <v>7.9188588560074602E-3</v>
      </c>
      <c r="AM1331" s="26">
        <f t="shared" si="461"/>
        <v>-2.571362935842364E-2</v>
      </c>
      <c r="AN1331" s="26">
        <f t="shared" si="462"/>
        <v>-4.616190476190468</v>
      </c>
      <c r="AO1331" s="26">
        <f t="shared" si="463"/>
        <v>-3.5398214285714715</v>
      </c>
      <c r="AP1331" s="26">
        <f t="shared" si="464"/>
        <v>-2.2212389380531192</v>
      </c>
      <c r="AS1331" s="2">
        <v>44149</v>
      </c>
      <c r="AT1331">
        <v>13.7</v>
      </c>
      <c r="AU1331">
        <v>21.9</v>
      </c>
      <c r="AV1331">
        <v>41.1</v>
      </c>
      <c r="AW1331">
        <v>3.3</v>
      </c>
      <c r="AX1331">
        <v>72.31</v>
      </c>
      <c r="AY1331">
        <v>0.2</v>
      </c>
      <c r="AZ1331">
        <v>3.9</v>
      </c>
      <c r="BA1331">
        <v>317.60739999999998</v>
      </c>
      <c r="BB1331">
        <v>79.753799999999998</v>
      </c>
      <c r="BC1331">
        <v>98.693700000000007</v>
      </c>
      <c r="BD1331">
        <v>4.1520000000000001</v>
      </c>
      <c r="BE1331">
        <v>17.083200000000001</v>
      </c>
      <c r="BH1331">
        <v>93.3</v>
      </c>
    </row>
    <row r="1332" spans="1:60" x14ac:dyDescent="0.25">
      <c r="A1332" s="2">
        <v>44169</v>
      </c>
      <c r="B1332">
        <v>12.2</v>
      </c>
      <c r="C1332">
        <v>1.8</v>
      </c>
      <c r="D1332">
        <v>80.900000000000006</v>
      </c>
      <c r="E1332">
        <v>7.4</v>
      </c>
      <c r="F1332">
        <v>22.7</v>
      </c>
      <c r="G1332">
        <v>0.5</v>
      </c>
      <c r="H1332">
        <v>2.7</v>
      </c>
      <c r="I1332">
        <v>311.6653</v>
      </c>
      <c r="J1332">
        <v>153.77180000000001</v>
      </c>
      <c r="K1332">
        <v>189.42740000000001</v>
      </c>
      <c r="L1332">
        <v>4.0746000000000002</v>
      </c>
      <c r="M1332">
        <v>23.689399999999999</v>
      </c>
      <c r="N1332">
        <v>4.7237999999999998</v>
      </c>
      <c r="O1332">
        <v>-2.1741000000000001</v>
      </c>
      <c r="P1332">
        <v>85.8</v>
      </c>
      <c r="S1332">
        <f t="shared" si="443"/>
        <v>810.82850000000008</v>
      </c>
      <c r="T1332">
        <f t="shared" si="444"/>
        <v>1.1437072896809007E-2</v>
      </c>
      <c r="U1332">
        <f t="shared" si="445"/>
        <v>1.6874369847750994E-3</v>
      </c>
      <c r="V1332">
        <f t="shared" si="446"/>
        <v>7.5840917815725314E-2</v>
      </c>
      <c r="W1332">
        <f t="shared" si="447"/>
        <v>6.9372409374087425E-3</v>
      </c>
      <c r="X1332">
        <f t="shared" si="448"/>
        <v>2.1280455307997086E-2</v>
      </c>
      <c r="Y1332">
        <f t="shared" si="449"/>
        <v>4.6873249577086097E-4</v>
      </c>
      <c r="Z1332">
        <f t="shared" si="450"/>
        <v>2.5311554771626494E-3</v>
      </c>
      <c r="AA1332">
        <f t="shared" si="451"/>
        <v>0.29217530782834822</v>
      </c>
      <c r="AB1332">
        <f t="shared" si="452"/>
        <v>0.14415567918635536</v>
      </c>
      <c r="AC1332">
        <f t="shared" si="453"/>
        <v>0.17758155593877037</v>
      </c>
      <c r="AD1332">
        <f t="shared" si="454"/>
        <v>3.8197948545359004E-3</v>
      </c>
      <c r="AE1332">
        <f t="shared" si="455"/>
        <v>2.2207983170628467E-2</v>
      </c>
      <c r="AG1332">
        <f t="shared" si="456"/>
        <v>0.50699109278917776</v>
      </c>
      <c r="AH1332">
        <f t="shared" si="457"/>
        <v>0.14239099508627723</v>
      </c>
      <c r="AI1332">
        <f t="shared" si="458"/>
        <v>-0.84398873364257276</v>
      </c>
      <c r="AK1332" s="26">
        <f t="shared" si="459"/>
        <v>7.8409304045408967E-3</v>
      </c>
      <c r="AL1332" s="26">
        <f t="shared" si="460"/>
        <v>8.4838254812493741E-3</v>
      </c>
      <c r="AM1332" s="26">
        <f t="shared" si="461"/>
        <v>-2.4760855480608496E-2</v>
      </c>
      <c r="AN1332" s="26">
        <f t="shared" si="462"/>
        <v>-4.4266666666666623</v>
      </c>
      <c r="AO1332" s="26">
        <f t="shared" si="463"/>
        <v>-3.4303571428571757</v>
      </c>
      <c r="AP1332" s="26">
        <f t="shared" si="464"/>
        <v>-2.1443362831858508</v>
      </c>
      <c r="AS1332" s="2">
        <v>44148</v>
      </c>
      <c r="AT1332">
        <v>14.4</v>
      </c>
      <c r="AU1332">
        <v>6.2</v>
      </c>
      <c r="AV1332">
        <v>48.7</v>
      </c>
      <c r="AW1332">
        <v>2.6</v>
      </c>
      <c r="AX1332">
        <v>60.95</v>
      </c>
      <c r="AY1332">
        <v>0.2</v>
      </c>
      <c r="AZ1332">
        <v>4.2</v>
      </c>
      <c r="BA1332">
        <v>367.57420000000002</v>
      </c>
      <c r="BB1332">
        <v>168.7903</v>
      </c>
      <c r="BC1332">
        <v>179.73570000000001</v>
      </c>
      <c r="BD1332">
        <v>4.1836000000000002</v>
      </c>
      <c r="BE1332">
        <v>24.457000000000001</v>
      </c>
      <c r="BH1332">
        <v>93.32</v>
      </c>
    </row>
    <row r="1333" spans="1:60" x14ac:dyDescent="0.25">
      <c r="A1333" s="2">
        <v>44168</v>
      </c>
      <c r="B1333">
        <v>12.9</v>
      </c>
      <c r="C1333">
        <v>25.2</v>
      </c>
      <c r="D1333">
        <v>79.2</v>
      </c>
      <c r="E1333">
        <v>5.3</v>
      </c>
      <c r="F1333">
        <v>14.26</v>
      </c>
      <c r="G1333">
        <v>0.6</v>
      </c>
      <c r="H1333">
        <v>2.4</v>
      </c>
      <c r="I1333">
        <v>347.92349999999999</v>
      </c>
      <c r="J1333">
        <v>216.2542</v>
      </c>
      <c r="K1333">
        <v>232.3117</v>
      </c>
      <c r="L1333">
        <v>4.0717999999999996</v>
      </c>
      <c r="M1333">
        <v>27.3995</v>
      </c>
      <c r="N1333">
        <v>3.5581999999999998</v>
      </c>
      <c r="O1333">
        <v>-3.1747000000000001</v>
      </c>
      <c r="P1333">
        <v>86.39</v>
      </c>
      <c r="S1333">
        <f t="shared" si="443"/>
        <v>967.82069999999999</v>
      </c>
      <c r="T1333">
        <f t="shared" si="444"/>
        <v>1.2093298390888213E-2</v>
      </c>
      <c r="U1333">
        <f t="shared" si="445"/>
        <v>2.3624117786851393E-2</v>
      </c>
      <c r="V1333">
        <f t="shared" si="446"/>
        <v>7.4247227330104373E-2</v>
      </c>
      <c r="W1333">
        <f t="shared" si="447"/>
        <v>4.9685644551711256E-3</v>
      </c>
      <c r="X1333">
        <f t="shared" si="448"/>
        <v>1.3368250779384954E-2</v>
      </c>
      <c r="Y1333">
        <f t="shared" si="449"/>
        <v>5.6247899492503314E-4</v>
      </c>
      <c r="Z1333">
        <f t="shared" si="450"/>
        <v>2.2499159797001326E-3</v>
      </c>
      <c r="AA1333">
        <f t="shared" si="451"/>
        <v>0.32616610098466625</v>
      </c>
      <c r="AB1333">
        <f t="shared" si="452"/>
        <v>0.20273074177386183</v>
      </c>
      <c r="AC1333">
        <f t="shared" si="453"/>
        <v>0.21778408587554304</v>
      </c>
      <c r="AD1333">
        <f t="shared" si="454"/>
        <v>3.8171699525595829E-3</v>
      </c>
      <c r="AE1333">
        <f t="shared" si="455"/>
        <v>2.5686072035747409E-2</v>
      </c>
      <c r="AG1333">
        <f t="shared" si="456"/>
        <v>0.5498800936499072</v>
      </c>
      <c r="AH1333">
        <f t="shared" si="457"/>
        <v>0.15679992575277266</v>
      </c>
      <c r="AI1333">
        <f t="shared" si="458"/>
        <v>-0.75750835242665204</v>
      </c>
      <c r="AK1333" s="26">
        <f t="shared" si="459"/>
        <v>9.7462297892312866E-3</v>
      </c>
      <c r="AL1333" s="26">
        <f t="shared" si="460"/>
        <v>9.9018149389198118E-3</v>
      </c>
      <c r="AM1333" s="26">
        <f t="shared" si="461"/>
        <v>-2.5717725167860084E-2</v>
      </c>
      <c r="AN1333" s="26">
        <f t="shared" si="462"/>
        <v>-4.2476190476190396</v>
      </c>
      <c r="AO1333" s="26">
        <f t="shared" si="463"/>
        <v>-3.3305357142857304</v>
      </c>
      <c r="AP1333" s="26">
        <f t="shared" si="464"/>
        <v>-2.0667256637168379</v>
      </c>
      <c r="AS1333" s="2">
        <v>44147</v>
      </c>
      <c r="AT1333">
        <v>14.8</v>
      </c>
      <c r="AU1333">
        <v>0.8</v>
      </c>
      <c r="AV1333">
        <v>59.6</v>
      </c>
      <c r="AW1333">
        <v>3.3</v>
      </c>
      <c r="AX1333">
        <v>42.38</v>
      </c>
      <c r="AY1333">
        <v>0.2</v>
      </c>
      <c r="AZ1333">
        <v>3.9</v>
      </c>
      <c r="BA1333">
        <v>352.99759999999998</v>
      </c>
      <c r="BB1333">
        <v>176.9562</v>
      </c>
      <c r="BC1333">
        <v>162.39930000000001</v>
      </c>
      <c r="BD1333">
        <v>4.1669999999999998</v>
      </c>
      <c r="BE1333">
        <v>22.626200000000001</v>
      </c>
      <c r="BH1333">
        <v>93.5</v>
      </c>
    </row>
    <row r="1334" spans="1:60" x14ac:dyDescent="0.25">
      <c r="A1334" s="2">
        <v>44167</v>
      </c>
      <c r="B1334">
        <v>12.5</v>
      </c>
      <c r="C1334">
        <v>32.700000000000003</v>
      </c>
      <c r="D1334">
        <v>17.8</v>
      </c>
      <c r="E1334">
        <v>0.8</v>
      </c>
      <c r="F1334">
        <v>19.91</v>
      </c>
      <c r="G1334">
        <v>0.5</v>
      </c>
      <c r="H1334">
        <v>2.5</v>
      </c>
      <c r="I1334">
        <v>378.81380000000001</v>
      </c>
      <c r="J1334">
        <v>304.166</v>
      </c>
      <c r="K1334">
        <v>254.71799999999999</v>
      </c>
      <c r="L1334">
        <v>8.1941000000000006</v>
      </c>
      <c r="M1334">
        <v>37.058399999999999</v>
      </c>
      <c r="N1334">
        <v>1.8665</v>
      </c>
      <c r="O1334">
        <v>-3.6434000000000002</v>
      </c>
      <c r="P1334">
        <v>87.04</v>
      </c>
      <c r="S1334">
        <f t="shared" si="443"/>
        <v>1069.6602999999998</v>
      </c>
      <c r="T1334">
        <f t="shared" si="444"/>
        <v>1.1718312394271523E-2</v>
      </c>
      <c r="U1334">
        <f t="shared" si="445"/>
        <v>3.065510522341431E-2</v>
      </c>
      <c r="V1334">
        <f t="shared" si="446"/>
        <v>1.6686876849442651E-2</v>
      </c>
      <c r="W1334">
        <f t="shared" si="447"/>
        <v>7.4997199323337759E-4</v>
      </c>
      <c r="X1334">
        <f t="shared" si="448"/>
        <v>1.8664927981595685E-2</v>
      </c>
      <c r="Y1334">
        <f t="shared" si="449"/>
        <v>4.6873249577086097E-4</v>
      </c>
      <c r="Z1334">
        <f t="shared" si="450"/>
        <v>2.3436624788543046E-3</v>
      </c>
      <c r="AA1334">
        <f t="shared" si="451"/>
        <v>0.35512467581288754</v>
      </c>
      <c r="AB1334">
        <f t="shared" si="452"/>
        <v>0.28514497661727939</v>
      </c>
      <c r="AC1334">
        <f t="shared" si="453"/>
        <v>0.23878920771552431</v>
      </c>
      <c r="AD1334">
        <f t="shared" si="454"/>
        <v>7.6816818871920239E-3</v>
      </c>
      <c r="AE1334">
        <f t="shared" si="455"/>
        <v>3.4740952642549748E-2</v>
      </c>
      <c r="AG1334">
        <f t="shared" si="456"/>
        <v>0.59729515623243346</v>
      </c>
      <c r="AH1334">
        <f t="shared" si="457"/>
        <v>0.11602854205913246</v>
      </c>
      <c r="AI1334">
        <f t="shared" si="458"/>
        <v>-1.0058926914367494</v>
      </c>
      <c r="AK1334" s="26">
        <f t="shared" si="459"/>
        <v>7.3504755056803539E-3</v>
      </c>
      <c r="AL1334" s="26">
        <f t="shared" si="460"/>
        <v>9.5855879087372864E-3</v>
      </c>
      <c r="AM1334" s="26">
        <f t="shared" si="461"/>
        <v>-2.8094669313144249E-2</v>
      </c>
      <c r="AN1334" s="26">
        <f t="shared" si="462"/>
        <v>-4.0795238095238204</v>
      </c>
      <c r="AO1334" s="26">
        <f t="shared" si="463"/>
        <v>-3.2357142857142946</v>
      </c>
      <c r="AP1334" s="26">
        <f t="shared" si="464"/>
        <v>-1.9906194690265693</v>
      </c>
      <c r="AS1334" s="2">
        <v>44146</v>
      </c>
      <c r="AT1334">
        <v>15.8</v>
      </c>
      <c r="AU1334">
        <v>5.6</v>
      </c>
      <c r="AV1334">
        <v>12.3</v>
      </c>
      <c r="AW1334">
        <v>0.3</v>
      </c>
      <c r="AX1334">
        <v>23.49</v>
      </c>
      <c r="AY1334">
        <v>0.2</v>
      </c>
      <c r="AZ1334">
        <v>4.2</v>
      </c>
      <c r="BA1334">
        <v>378.63159999999999</v>
      </c>
      <c r="BB1334">
        <v>252.44460000000001</v>
      </c>
      <c r="BC1334">
        <v>225.41659999999999</v>
      </c>
      <c r="BD1334">
        <v>4.0458999999999996</v>
      </c>
      <c r="BE1334">
        <v>31.760300000000001</v>
      </c>
      <c r="BH1334">
        <v>93.7</v>
      </c>
    </row>
    <row r="1335" spans="1:60" x14ac:dyDescent="0.25">
      <c r="A1335" s="2">
        <v>44166</v>
      </c>
      <c r="B1335">
        <v>12</v>
      </c>
      <c r="C1335">
        <v>123.4</v>
      </c>
      <c r="D1335">
        <v>41.8</v>
      </c>
      <c r="E1335">
        <v>1.7</v>
      </c>
      <c r="F1335">
        <v>10.06</v>
      </c>
      <c r="G1335">
        <v>0.5</v>
      </c>
      <c r="H1335">
        <v>2.9</v>
      </c>
      <c r="I1335">
        <v>348.30799999999999</v>
      </c>
      <c r="J1335">
        <v>295.09859999999998</v>
      </c>
      <c r="K1335">
        <v>241.02420000000001</v>
      </c>
      <c r="L1335">
        <v>8.1653000000000002</v>
      </c>
      <c r="M1335">
        <v>38.166899999999998</v>
      </c>
      <c r="N1335">
        <v>3.8534999999999999</v>
      </c>
      <c r="O1335">
        <v>-1.0441</v>
      </c>
      <c r="P1335">
        <v>87.71</v>
      </c>
      <c r="S1335">
        <f t="shared" si="443"/>
        <v>1123.1229999999998</v>
      </c>
      <c r="T1335">
        <f t="shared" si="444"/>
        <v>1.1249579898500664E-2</v>
      </c>
      <c r="U1335">
        <f t="shared" si="445"/>
        <v>0.11568317995624849</v>
      </c>
      <c r="V1335">
        <f t="shared" si="446"/>
        <v>3.9186036646443975E-2</v>
      </c>
      <c r="W1335">
        <f t="shared" si="447"/>
        <v>1.5936904856209272E-3</v>
      </c>
      <c r="X1335">
        <f t="shared" si="448"/>
        <v>9.4308978149097236E-3</v>
      </c>
      <c r="Y1335">
        <f t="shared" si="449"/>
        <v>4.6873249577086097E-4</v>
      </c>
      <c r="Z1335">
        <f t="shared" si="450"/>
        <v>2.7186484754709935E-3</v>
      </c>
      <c r="AA1335">
        <f t="shared" si="451"/>
        <v>0.32652655627391408</v>
      </c>
      <c r="AB1335">
        <f t="shared" si="452"/>
        <v>0.27664460655297396</v>
      </c>
      <c r="AC1335">
        <f t="shared" si="453"/>
        <v>0.2259517496143503</v>
      </c>
      <c r="AD1335">
        <f t="shared" si="454"/>
        <v>7.6546828954356218E-3</v>
      </c>
      <c r="AE1335">
        <f t="shared" si="455"/>
        <v>3.5780132585673745E-2</v>
      </c>
      <c r="AG1335">
        <f t="shared" si="456"/>
        <v>0.64621769334944379</v>
      </c>
      <c r="AH1335">
        <f t="shared" si="457"/>
        <v>0.21611089835863939</v>
      </c>
      <c r="AI1335">
        <f t="shared" si="458"/>
        <v>-0.39851879869141643</v>
      </c>
      <c r="AK1335" s="26">
        <f t="shared" si="459"/>
        <v>6.3545618039755336E-3</v>
      </c>
      <c r="AL1335" s="26">
        <f t="shared" si="460"/>
        <v>9.8025792474312479E-3</v>
      </c>
      <c r="AM1335" s="26">
        <f t="shared" si="461"/>
        <v>-2.96167565545572E-2</v>
      </c>
      <c r="AN1335" s="26">
        <f t="shared" si="462"/>
        <v>-3.9261904761904702</v>
      </c>
      <c r="AO1335" s="26">
        <f t="shared" si="463"/>
        <v>-3.1476785714285853</v>
      </c>
      <c r="AP1335" s="26">
        <f t="shared" si="464"/>
        <v>-1.9165486725664067</v>
      </c>
      <c r="AS1335" s="2">
        <v>44145</v>
      </c>
      <c r="AT1335">
        <v>16.600000000000001</v>
      </c>
      <c r="AU1335">
        <v>21.8</v>
      </c>
      <c r="AV1335">
        <v>13</v>
      </c>
      <c r="AW1335">
        <v>1.1000000000000001</v>
      </c>
      <c r="AX1335">
        <v>35.51</v>
      </c>
      <c r="AY1335">
        <v>0.1</v>
      </c>
      <c r="AZ1335">
        <v>4</v>
      </c>
      <c r="BA1335">
        <v>371.01639999999998</v>
      </c>
      <c r="BB1335">
        <v>276.42180000000002</v>
      </c>
      <c r="BC1335">
        <v>228.3407</v>
      </c>
      <c r="BD1335">
        <v>4.1738</v>
      </c>
      <c r="BE1335">
        <v>37.726599999999998</v>
      </c>
      <c r="BH1335">
        <v>93.89</v>
      </c>
    </row>
    <row r="1336" spans="1:60" x14ac:dyDescent="0.25">
      <c r="A1336" s="2">
        <v>44165</v>
      </c>
      <c r="B1336">
        <v>11.3</v>
      </c>
      <c r="C1336">
        <v>39.4</v>
      </c>
      <c r="D1336">
        <v>58.2</v>
      </c>
      <c r="E1336">
        <v>2.6</v>
      </c>
      <c r="F1336">
        <v>48.71</v>
      </c>
      <c r="G1336">
        <v>0.5</v>
      </c>
      <c r="H1336">
        <v>2.7</v>
      </c>
      <c r="I1336">
        <v>315.57530000000003</v>
      </c>
      <c r="J1336">
        <v>280.13580000000002</v>
      </c>
      <c r="K1336">
        <v>219.6781</v>
      </c>
      <c r="L1336">
        <v>5.8666</v>
      </c>
      <c r="M1336">
        <v>28.5626</v>
      </c>
      <c r="N1336">
        <v>2.4714999999999998</v>
      </c>
      <c r="O1336">
        <v>-2.1069</v>
      </c>
      <c r="P1336">
        <v>88.31</v>
      </c>
      <c r="S1336">
        <f t="shared" si="443"/>
        <v>1013.2284</v>
      </c>
      <c r="T1336">
        <f t="shared" si="444"/>
        <v>1.0593354404421457E-2</v>
      </c>
      <c r="U1336">
        <f t="shared" si="445"/>
        <v>3.6936120666743844E-2</v>
      </c>
      <c r="V1336">
        <f t="shared" si="446"/>
        <v>5.4560462507728218E-2</v>
      </c>
      <c r="W1336">
        <f t="shared" si="447"/>
        <v>2.437408978008477E-3</v>
      </c>
      <c r="X1336">
        <f t="shared" si="448"/>
        <v>4.5663919737997272E-2</v>
      </c>
      <c r="Y1336">
        <f t="shared" si="449"/>
        <v>4.6873249577086097E-4</v>
      </c>
      <c r="Z1336">
        <f t="shared" si="450"/>
        <v>2.5311554771626494E-3</v>
      </c>
      <c r="AA1336">
        <f t="shared" si="451"/>
        <v>0.2958407959452764</v>
      </c>
      <c r="AB1336">
        <f t="shared" si="452"/>
        <v>0.26261750537753353</v>
      </c>
      <c r="AC1336">
        <f t="shared" si="453"/>
        <v>0.20594052815840155</v>
      </c>
      <c r="AD1336">
        <f t="shared" si="454"/>
        <v>5.499732119378666E-3</v>
      </c>
      <c r="AE1336">
        <f t="shared" si="455"/>
        <v>2.6776437567409585E-2</v>
      </c>
      <c r="AG1336">
        <f t="shared" si="456"/>
        <v>0.68985097889764724</v>
      </c>
      <c r="AH1336">
        <f t="shared" si="457"/>
        <v>0.17996759183524236</v>
      </c>
      <c r="AI1336">
        <f t="shared" si="458"/>
        <v>-0.61637086342857261</v>
      </c>
      <c r="AK1336" s="26">
        <f t="shared" si="459"/>
        <v>1.0158562605463439E-2</v>
      </c>
      <c r="AL1336" s="26">
        <f t="shared" si="460"/>
        <v>1.266499802362292E-2</v>
      </c>
      <c r="AM1336" s="26">
        <f t="shared" si="461"/>
        <v>-2.9007681401477414E-2</v>
      </c>
      <c r="AN1336" s="26">
        <f t="shared" si="462"/>
        <v>-3.7852380952380997</v>
      </c>
      <c r="AO1336" s="26">
        <f t="shared" si="463"/>
        <v>-3.067142857142855</v>
      </c>
      <c r="AP1336" s="26">
        <f t="shared" si="464"/>
        <v>-1.8434513274336553</v>
      </c>
      <c r="AS1336" s="2">
        <v>44144</v>
      </c>
      <c r="AT1336">
        <v>15.6</v>
      </c>
      <c r="AU1336">
        <v>38.4</v>
      </c>
      <c r="AV1336">
        <v>16.399999999999999</v>
      </c>
      <c r="AW1336">
        <v>1.1000000000000001</v>
      </c>
      <c r="AX1336">
        <v>57.43</v>
      </c>
      <c r="AY1336">
        <v>0.2</v>
      </c>
      <c r="AZ1336">
        <v>3.8</v>
      </c>
      <c r="BA1336">
        <v>360.27120000000002</v>
      </c>
      <c r="BB1336">
        <v>249.37219999999999</v>
      </c>
      <c r="BC1336">
        <v>188.01230000000001</v>
      </c>
      <c r="BD1336">
        <v>4.1885000000000003</v>
      </c>
      <c r="BE1336">
        <v>32.917400000000001</v>
      </c>
      <c r="BH1336">
        <v>94.15</v>
      </c>
    </row>
    <row r="1337" spans="1:60" x14ac:dyDescent="0.25">
      <c r="A1337" s="2">
        <v>44164</v>
      </c>
      <c r="B1337">
        <v>11.1</v>
      </c>
      <c r="C1337">
        <v>51.8</v>
      </c>
      <c r="D1337">
        <v>14.9</v>
      </c>
      <c r="E1337">
        <v>0.7</v>
      </c>
      <c r="F1337">
        <v>43.42</v>
      </c>
      <c r="G1337">
        <v>0.4</v>
      </c>
      <c r="H1337">
        <v>2.7</v>
      </c>
      <c r="I1337">
        <v>308.971</v>
      </c>
      <c r="J1337">
        <v>189.8646</v>
      </c>
      <c r="K1337">
        <v>204.23670000000001</v>
      </c>
      <c r="L1337">
        <v>3.984</v>
      </c>
      <c r="M1337">
        <v>17.352499999999999</v>
      </c>
      <c r="P1337">
        <v>88.85</v>
      </c>
      <c r="S1337">
        <f t="shared" si="443"/>
        <v>849.42880000000002</v>
      </c>
      <c r="T1337">
        <f t="shared" si="444"/>
        <v>1.0405861406113113E-2</v>
      </c>
      <c r="U1337">
        <f t="shared" si="445"/>
        <v>4.8560686561861195E-2</v>
      </c>
      <c r="V1337">
        <f t="shared" si="446"/>
        <v>1.3968228373971657E-2</v>
      </c>
      <c r="W1337">
        <f t="shared" si="447"/>
        <v>6.5622549407920526E-4</v>
      </c>
      <c r="X1337">
        <f t="shared" si="448"/>
        <v>4.0704729932741567E-2</v>
      </c>
      <c r="Y1337">
        <f t="shared" si="449"/>
        <v>3.7498599661668879E-4</v>
      </c>
      <c r="Z1337">
        <f t="shared" si="450"/>
        <v>2.5311554771626494E-3</v>
      </c>
      <c r="AA1337">
        <f t="shared" si="451"/>
        <v>0.28964949590163735</v>
      </c>
      <c r="AB1337">
        <f t="shared" si="452"/>
        <v>0.17799141563307241</v>
      </c>
      <c r="AC1337">
        <f t="shared" si="453"/>
        <v>0.19146475623800921</v>
      </c>
      <c r="AD1337">
        <f t="shared" si="454"/>
        <v>3.7348605263022201E-3</v>
      </c>
      <c r="AE1337">
        <f t="shared" si="455"/>
        <v>1.6267361265727729E-2</v>
      </c>
      <c r="AG1337">
        <f t="shared" si="456"/>
        <v>0.72894924743983058</v>
      </c>
      <c r="AH1337">
        <f t="shared" si="457"/>
        <v>0.1334692345082738</v>
      </c>
      <c r="AI1337">
        <f t="shared" si="458"/>
        <v>-0.9008656060996536</v>
      </c>
      <c r="AK1337" s="26">
        <f t="shared" si="459"/>
        <v>1.0372728714840601E-2</v>
      </c>
      <c r="AL1337" s="26">
        <f t="shared" si="460"/>
        <v>1.2942035669069735E-2</v>
      </c>
      <c r="AM1337" s="26">
        <f t="shared" si="461"/>
        <v>-2.7724753923632273E-2</v>
      </c>
      <c r="AN1337" s="26">
        <f t="shared" si="462"/>
        <v>-3.662857142857149</v>
      </c>
      <c r="AO1337" s="26">
        <f t="shared" si="463"/>
        <v>-2.9964285714286092</v>
      </c>
      <c r="AP1337" s="26">
        <f t="shared" si="464"/>
        <v>-1.774070796460208</v>
      </c>
      <c r="AS1337" s="2">
        <v>44143</v>
      </c>
      <c r="AT1337">
        <v>14.6</v>
      </c>
      <c r="AU1337">
        <v>17.2</v>
      </c>
      <c r="AV1337">
        <v>15.5</v>
      </c>
      <c r="AW1337">
        <v>1.4</v>
      </c>
      <c r="AX1337">
        <v>80.94</v>
      </c>
      <c r="AY1337">
        <v>0.2</v>
      </c>
      <c r="AZ1337">
        <v>4.2</v>
      </c>
      <c r="BA1337">
        <v>350.53559999999999</v>
      </c>
      <c r="BB1337">
        <v>100.33920000000001</v>
      </c>
      <c r="BC1337">
        <v>86.060199999999995</v>
      </c>
      <c r="BD1337">
        <v>4.1894</v>
      </c>
      <c r="BE1337">
        <v>18.535499999999999</v>
      </c>
      <c r="BH1337">
        <v>94.33</v>
      </c>
    </row>
    <row r="1338" spans="1:60" x14ac:dyDescent="0.25">
      <c r="A1338" s="2">
        <v>44163</v>
      </c>
      <c r="B1338">
        <v>12.1</v>
      </c>
      <c r="C1338">
        <v>2.9</v>
      </c>
      <c r="D1338">
        <v>33.6</v>
      </c>
      <c r="E1338">
        <v>1.6</v>
      </c>
      <c r="F1338">
        <v>27.6</v>
      </c>
      <c r="G1338">
        <v>0.2</v>
      </c>
      <c r="H1338">
        <v>3</v>
      </c>
      <c r="I1338">
        <v>362.27760000000001</v>
      </c>
      <c r="J1338">
        <v>195.28970000000001</v>
      </c>
      <c r="K1338">
        <v>208.80950000000001</v>
      </c>
      <c r="L1338">
        <v>3.9824000000000002</v>
      </c>
      <c r="M1338">
        <v>15.007099999999999</v>
      </c>
      <c r="P1338">
        <v>89.29</v>
      </c>
      <c r="S1338">
        <f t="shared" si="443"/>
        <v>866.36630000000002</v>
      </c>
      <c r="T1338">
        <f t="shared" si="444"/>
        <v>1.1343326397654835E-2</v>
      </c>
      <c r="U1338">
        <f t="shared" si="445"/>
        <v>2.7186484754709935E-3</v>
      </c>
      <c r="V1338">
        <f t="shared" si="446"/>
        <v>3.1498823715801857E-2</v>
      </c>
      <c r="W1338">
        <f t="shared" si="447"/>
        <v>1.4999439864667552E-3</v>
      </c>
      <c r="X1338">
        <f t="shared" si="448"/>
        <v>2.5874033766551525E-2</v>
      </c>
      <c r="Y1338">
        <f t="shared" si="449"/>
        <v>1.874929983083444E-4</v>
      </c>
      <c r="Z1338">
        <f t="shared" si="450"/>
        <v>2.8123949746251659E-3</v>
      </c>
      <c r="AA1338">
        <f t="shared" si="451"/>
        <v>0.33962256721975531</v>
      </c>
      <c r="AB1338">
        <f t="shared" si="452"/>
        <v>0.18307725695868543</v>
      </c>
      <c r="AC1338">
        <f t="shared" si="453"/>
        <v>0.1957515961513312</v>
      </c>
      <c r="AD1338">
        <f t="shared" si="454"/>
        <v>3.7333605823157536E-3</v>
      </c>
      <c r="AE1338">
        <f t="shared" si="455"/>
        <v>1.4068630874565774E-2</v>
      </c>
      <c r="AG1338">
        <f t="shared" si="456"/>
        <v>0.76056626584147957</v>
      </c>
      <c r="AH1338">
        <f t="shared" si="457"/>
        <v>9.0003295189445262E-2</v>
      </c>
      <c r="AI1338">
        <f t="shared" si="458"/>
        <v>-1.1639147596317001</v>
      </c>
      <c r="AK1338" s="26">
        <f t="shared" si="459"/>
        <v>1.2164434127270196E-2</v>
      </c>
      <c r="AL1338" s="26">
        <f t="shared" si="460"/>
        <v>1.4205979540094338E-2</v>
      </c>
      <c r="AM1338" s="26">
        <f t="shared" si="461"/>
        <v>-2.9260801926883934E-2</v>
      </c>
      <c r="AN1338" s="26">
        <f t="shared" si="462"/>
        <v>-3.5452380952380906</v>
      </c>
      <c r="AO1338" s="26">
        <f t="shared" si="463"/>
        <v>-2.9294642857143174</v>
      </c>
      <c r="AP1338" s="26">
        <f t="shared" si="464"/>
        <v>-1.7065486725663845</v>
      </c>
      <c r="AS1338" s="2">
        <v>44142</v>
      </c>
      <c r="AT1338">
        <v>15</v>
      </c>
      <c r="AU1338">
        <v>238</v>
      </c>
      <c r="AV1338">
        <v>10.6</v>
      </c>
      <c r="AW1338">
        <v>1.3</v>
      </c>
      <c r="AX1338">
        <v>97.68</v>
      </c>
      <c r="AY1338">
        <v>0.2</v>
      </c>
      <c r="AZ1338">
        <v>4.0999999999999996</v>
      </c>
      <c r="BA1338">
        <v>343.19110000000001</v>
      </c>
      <c r="BB1338">
        <v>105.3888</v>
      </c>
      <c r="BC1338">
        <v>98.364400000000003</v>
      </c>
      <c r="BD1338">
        <v>4.1877000000000004</v>
      </c>
      <c r="BE1338">
        <v>21.8431</v>
      </c>
      <c r="BH1338">
        <v>94.36</v>
      </c>
    </row>
    <row r="1339" spans="1:60" x14ac:dyDescent="0.25">
      <c r="A1339" s="2">
        <v>44162</v>
      </c>
      <c r="B1339">
        <v>12.9</v>
      </c>
      <c r="C1339">
        <v>18.899999999999999</v>
      </c>
      <c r="D1339">
        <v>11</v>
      </c>
      <c r="E1339">
        <v>0.5</v>
      </c>
      <c r="F1339">
        <v>35.69</v>
      </c>
      <c r="G1339">
        <v>0.1</v>
      </c>
      <c r="H1339">
        <v>3.2</v>
      </c>
      <c r="I1339">
        <v>390.15260000000001</v>
      </c>
      <c r="J1339">
        <v>304.86329999999998</v>
      </c>
      <c r="K1339">
        <v>260.10239999999999</v>
      </c>
      <c r="L1339">
        <v>4.4717000000000002</v>
      </c>
      <c r="M1339">
        <v>29.878799999999998</v>
      </c>
      <c r="N1339">
        <v>-0.60350000000000004</v>
      </c>
      <c r="O1339">
        <v>-5.6532</v>
      </c>
      <c r="P1339">
        <v>89.72</v>
      </c>
      <c r="S1339">
        <f t="shared" si="443"/>
        <v>1071.7588000000001</v>
      </c>
      <c r="T1339">
        <f t="shared" si="444"/>
        <v>1.2093298390888213E-2</v>
      </c>
      <c r="U1339">
        <f t="shared" si="445"/>
        <v>1.7718088340138542E-2</v>
      </c>
      <c r="V1339">
        <f t="shared" si="446"/>
        <v>1.0312114906958941E-2</v>
      </c>
      <c r="W1339">
        <f t="shared" si="447"/>
        <v>4.6873249577086097E-4</v>
      </c>
      <c r="X1339">
        <f t="shared" si="448"/>
        <v>3.3458125548124051E-2</v>
      </c>
      <c r="Y1339">
        <f t="shared" si="449"/>
        <v>9.3746499154172199E-5</v>
      </c>
      <c r="Z1339">
        <f t="shared" si="450"/>
        <v>2.9998879729335104E-3</v>
      </c>
      <c r="AA1339">
        <f t="shared" si="451"/>
        <v>0.36575440385898084</v>
      </c>
      <c r="AB1339">
        <f t="shared" si="452"/>
        <v>0.28579867095588141</v>
      </c>
      <c r="AC1339">
        <f t="shared" si="453"/>
        <v>0.24383689421598156</v>
      </c>
      <c r="AD1339">
        <f t="shared" si="454"/>
        <v>4.192062202677118E-3</v>
      </c>
      <c r="AE1339">
        <f t="shared" si="455"/>
        <v>2.80103289892768E-2</v>
      </c>
      <c r="AG1339">
        <f t="shared" si="456"/>
        <v>0.79143845241700361</v>
      </c>
      <c r="AH1339">
        <f t="shared" si="457"/>
        <v>0.10515432314324509</v>
      </c>
      <c r="AI1339">
        <f t="shared" si="458"/>
        <v>-1.0738467920044208</v>
      </c>
      <c r="AK1339" s="26">
        <f t="shared" si="459"/>
        <v>2.4423279907426654E-2</v>
      </c>
      <c r="AL1339" s="26">
        <f t="shared" si="460"/>
        <v>1.585517632343772E-2</v>
      </c>
      <c r="AM1339" s="26">
        <f t="shared" si="461"/>
        <v>-2.6224668902609244E-2</v>
      </c>
      <c r="AN1339" s="26">
        <f t="shared" si="462"/>
        <v>-3.4476190476190709</v>
      </c>
      <c r="AO1339" s="26">
        <f t="shared" si="463"/>
        <v>-2.8730357142857628</v>
      </c>
      <c r="AP1339" s="26">
        <f t="shared" si="464"/>
        <v>-1.6391150442478164</v>
      </c>
      <c r="AS1339" s="2">
        <v>44141</v>
      </c>
      <c r="AT1339">
        <v>17.100000000000001</v>
      </c>
      <c r="AU1339">
        <v>21.2</v>
      </c>
      <c r="AV1339">
        <v>15.9</v>
      </c>
      <c r="AW1339">
        <v>1.6</v>
      </c>
      <c r="AX1339">
        <v>80.98</v>
      </c>
      <c r="AY1339">
        <v>0.2</v>
      </c>
      <c r="AZ1339">
        <v>4.2</v>
      </c>
      <c r="BA1339">
        <v>353.16669999999999</v>
      </c>
      <c r="BB1339">
        <v>197.9562</v>
      </c>
      <c r="BC1339">
        <v>161.05269999999999</v>
      </c>
      <c r="BD1339">
        <v>4.1856</v>
      </c>
      <c r="BE1339">
        <v>30.227399999999999</v>
      </c>
      <c r="BH1339">
        <v>94.41</v>
      </c>
    </row>
    <row r="1340" spans="1:60" x14ac:dyDescent="0.25">
      <c r="A1340" s="2">
        <v>44161</v>
      </c>
      <c r="B1340">
        <v>13.1</v>
      </c>
      <c r="C1340">
        <v>37.9</v>
      </c>
      <c r="D1340">
        <v>29.5</v>
      </c>
      <c r="E1340">
        <v>2.2999999999999998</v>
      </c>
      <c r="F1340">
        <v>26.29</v>
      </c>
      <c r="G1340">
        <v>0.2</v>
      </c>
      <c r="H1340">
        <v>3.2</v>
      </c>
      <c r="I1340">
        <v>369.90230000000003</v>
      </c>
      <c r="J1340">
        <v>288.84649999999999</v>
      </c>
      <c r="K1340">
        <v>260.75409999999999</v>
      </c>
      <c r="L1340">
        <v>4.9131999999999998</v>
      </c>
      <c r="M1340">
        <v>34.057499999999997</v>
      </c>
      <c r="N1340">
        <v>3.0700000000000002E-2</v>
      </c>
      <c r="O1340">
        <v>-6.2243000000000004</v>
      </c>
      <c r="P1340">
        <v>90.25</v>
      </c>
      <c r="S1340">
        <f t="shared" si="443"/>
        <v>1070.9636</v>
      </c>
      <c r="T1340">
        <f t="shared" si="444"/>
        <v>1.2280791389196556E-2</v>
      </c>
      <c r="U1340">
        <f t="shared" si="445"/>
        <v>3.5529923179431259E-2</v>
      </c>
      <c r="V1340">
        <f t="shared" si="446"/>
        <v>2.7655217250480795E-2</v>
      </c>
      <c r="W1340">
        <f t="shared" si="447"/>
        <v>2.1561694805459601E-3</v>
      </c>
      <c r="X1340">
        <f t="shared" si="448"/>
        <v>2.4645954627631868E-2</v>
      </c>
      <c r="Y1340">
        <f t="shared" si="449"/>
        <v>1.874929983083444E-4</v>
      </c>
      <c r="Z1340">
        <f t="shared" si="450"/>
        <v>2.9998879729335104E-3</v>
      </c>
      <c r="AA1340">
        <f t="shared" si="451"/>
        <v>0.34677045654076349</v>
      </c>
      <c r="AB1340">
        <f t="shared" si="452"/>
        <v>0.27078348167935595</v>
      </c>
      <c r="AC1340">
        <f t="shared" si="453"/>
        <v>0.24444784015096929</v>
      </c>
      <c r="AD1340">
        <f t="shared" si="454"/>
        <v>4.6059529964427876E-3</v>
      </c>
      <c r="AE1340">
        <f t="shared" si="455"/>
        <v>3.1927713949432189E-2</v>
      </c>
      <c r="AG1340">
        <f t="shared" si="456"/>
        <v>0.82992079335842606</v>
      </c>
      <c r="AH1340">
        <f t="shared" si="457"/>
        <v>0.13738315084796049</v>
      </c>
      <c r="AI1340">
        <f t="shared" si="458"/>
        <v>-0.87841868966947256</v>
      </c>
      <c r="AK1340" s="26">
        <f t="shared" si="459"/>
        <v>2.7534757463186649E-2</v>
      </c>
      <c r="AL1340" s="26">
        <f t="shared" si="460"/>
        <v>1.6020680745560512E-2</v>
      </c>
      <c r="AM1340" s="26">
        <f t="shared" si="461"/>
        <v>-2.4222515794408206E-2</v>
      </c>
      <c r="AN1340" s="26">
        <f t="shared" si="462"/>
        <v>-3.3676190476190442</v>
      </c>
      <c r="AO1340" s="26">
        <f t="shared" si="463"/>
        <v>-2.8271428571428743</v>
      </c>
      <c r="AP1340" s="26">
        <f t="shared" si="464"/>
        <v>-1.5742477876106307</v>
      </c>
      <c r="AS1340" s="2">
        <v>44140</v>
      </c>
      <c r="AT1340">
        <v>18.2</v>
      </c>
      <c r="AU1340">
        <v>17.600000000000001</v>
      </c>
      <c r="AV1340">
        <v>63.1</v>
      </c>
      <c r="AW1340">
        <v>4.7</v>
      </c>
      <c r="AX1340">
        <v>92.2</v>
      </c>
      <c r="AY1340">
        <v>0.2</v>
      </c>
      <c r="AZ1340">
        <v>3.9</v>
      </c>
      <c r="BA1340">
        <v>360.08370000000002</v>
      </c>
      <c r="BB1340">
        <v>169.63720000000001</v>
      </c>
      <c r="BC1340">
        <v>151.24780000000001</v>
      </c>
      <c r="BD1340">
        <v>4.2003000000000004</v>
      </c>
      <c r="BE1340">
        <v>28.069099999999999</v>
      </c>
      <c r="BH1340">
        <v>94.56</v>
      </c>
    </row>
    <row r="1341" spans="1:60" x14ac:dyDescent="0.25">
      <c r="A1341" s="2">
        <v>44160</v>
      </c>
      <c r="B1341">
        <v>13</v>
      </c>
      <c r="C1341">
        <v>35.1</v>
      </c>
      <c r="D1341">
        <v>52.8</v>
      </c>
      <c r="E1341">
        <v>2.9</v>
      </c>
      <c r="F1341">
        <v>43.28</v>
      </c>
      <c r="G1341">
        <v>0.1</v>
      </c>
      <c r="H1341">
        <v>3.6</v>
      </c>
      <c r="I1341">
        <v>361.58339999999998</v>
      </c>
      <c r="J1341">
        <v>259.91109999999998</v>
      </c>
      <c r="K1341">
        <v>232.15430000000001</v>
      </c>
      <c r="L1341">
        <v>5.2900999999999998</v>
      </c>
      <c r="M1341">
        <v>28.581900000000001</v>
      </c>
      <c r="N1341">
        <v>-2.2056</v>
      </c>
      <c r="O1341">
        <v>-7.8247</v>
      </c>
      <c r="P1341">
        <v>90.77</v>
      </c>
      <c r="S1341">
        <f t="shared" si="443"/>
        <v>1038.3008</v>
      </c>
      <c r="T1341">
        <f t="shared" si="444"/>
        <v>1.2187044890042385E-2</v>
      </c>
      <c r="U1341">
        <f t="shared" si="445"/>
        <v>3.2905021203114442E-2</v>
      </c>
      <c r="V1341">
        <f t="shared" si="446"/>
        <v>4.9498151553402911E-2</v>
      </c>
      <c r="W1341">
        <f t="shared" si="447"/>
        <v>2.7186484754709935E-3</v>
      </c>
      <c r="X1341">
        <f t="shared" si="448"/>
        <v>4.0573484833925727E-2</v>
      </c>
      <c r="Y1341">
        <f t="shared" si="449"/>
        <v>9.3746499154172199E-5</v>
      </c>
      <c r="Z1341">
        <f t="shared" si="450"/>
        <v>3.3748739695501988E-3</v>
      </c>
      <c r="AA1341">
        <f t="shared" si="451"/>
        <v>0.33897177902262704</v>
      </c>
      <c r="AB1341">
        <f t="shared" si="452"/>
        <v>0.24365755716309961</v>
      </c>
      <c r="AC1341">
        <f t="shared" si="453"/>
        <v>0.21763652888587437</v>
      </c>
      <c r="AD1341">
        <f t="shared" si="454"/>
        <v>4.9592835517548632E-3</v>
      </c>
      <c r="AE1341">
        <f t="shared" si="455"/>
        <v>2.6794530641746344E-2</v>
      </c>
      <c r="AG1341">
        <f t="shared" si="456"/>
        <v>0.86773500912476909</v>
      </c>
      <c r="AH1341">
        <f t="shared" si="457"/>
        <v>0.16814550206640716</v>
      </c>
      <c r="AI1341">
        <f t="shared" si="458"/>
        <v>-0.69048842297195134</v>
      </c>
      <c r="AK1341" s="26">
        <f t="shared" si="459"/>
        <v>2.3755880723472039E-2</v>
      </c>
      <c r="AL1341" s="26">
        <f t="shared" si="460"/>
        <v>1.3972391722960831E-2</v>
      </c>
      <c r="AM1341" s="26">
        <f t="shared" si="461"/>
        <v>-2.2285334817426228E-2</v>
      </c>
      <c r="AN1341" s="26">
        <f t="shared" si="462"/>
        <v>-3.3047619047619037</v>
      </c>
      <c r="AO1341" s="26">
        <f t="shared" si="463"/>
        <v>-2.7896428571428658</v>
      </c>
      <c r="AP1341" s="26">
        <f t="shared" si="464"/>
        <v>-1.5125663716814444</v>
      </c>
      <c r="AS1341" s="2">
        <v>44139</v>
      </c>
      <c r="AT1341">
        <v>18.2</v>
      </c>
      <c r="AU1341">
        <v>26.8</v>
      </c>
      <c r="AV1341">
        <v>66</v>
      </c>
      <c r="AW1341">
        <v>5.5</v>
      </c>
      <c r="AX1341">
        <v>67.62</v>
      </c>
      <c r="AY1341">
        <v>0.1</v>
      </c>
      <c r="AZ1341">
        <v>4</v>
      </c>
      <c r="BA1341">
        <v>337.01369999999997</v>
      </c>
      <c r="BB1341">
        <v>179.7902</v>
      </c>
      <c r="BC1341">
        <v>154.8365</v>
      </c>
      <c r="BD1341">
        <v>4.2161</v>
      </c>
      <c r="BE1341">
        <v>29.212499999999999</v>
      </c>
      <c r="BH1341">
        <v>94.77</v>
      </c>
    </row>
    <row r="1342" spans="1:60" x14ac:dyDescent="0.25">
      <c r="A1342" s="2">
        <v>44159</v>
      </c>
      <c r="B1342">
        <v>13.3</v>
      </c>
      <c r="C1342">
        <v>42.4</v>
      </c>
      <c r="D1342">
        <v>77.900000000000006</v>
      </c>
      <c r="E1342">
        <v>5</v>
      </c>
      <c r="F1342">
        <v>38.380000000000003</v>
      </c>
      <c r="G1342">
        <v>0.1</v>
      </c>
      <c r="H1342">
        <v>4.3</v>
      </c>
      <c r="I1342">
        <v>375.54180000000002</v>
      </c>
      <c r="J1342">
        <v>181.91210000000001</v>
      </c>
      <c r="K1342">
        <v>191.96350000000001</v>
      </c>
      <c r="L1342">
        <v>4.4179000000000004</v>
      </c>
      <c r="M1342">
        <v>27.9512</v>
      </c>
      <c r="N1342">
        <v>-4.6992000000000003</v>
      </c>
      <c r="O1342">
        <v>-10.1288</v>
      </c>
      <c r="P1342">
        <v>91.24</v>
      </c>
      <c r="S1342">
        <f t="shared" si="443"/>
        <v>963.16650000000016</v>
      </c>
      <c r="T1342">
        <f t="shared" si="444"/>
        <v>1.2468284387504903E-2</v>
      </c>
      <c r="U1342">
        <f t="shared" si="445"/>
        <v>3.9748515641369005E-2</v>
      </c>
      <c r="V1342">
        <f t="shared" si="446"/>
        <v>7.3028522841100146E-2</v>
      </c>
      <c r="W1342">
        <f t="shared" si="447"/>
        <v>4.6873249577086091E-3</v>
      </c>
      <c r="X1342">
        <f t="shared" si="448"/>
        <v>3.5979906375371289E-2</v>
      </c>
      <c r="Y1342">
        <f t="shared" si="449"/>
        <v>9.3746499154172199E-5</v>
      </c>
      <c r="Z1342">
        <f t="shared" si="450"/>
        <v>4.0310994636294038E-3</v>
      </c>
      <c r="AA1342">
        <f t="shared" si="451"/>
        <v>0.35205729036056305</v>
      </c>
      <c r="AB1342">
        <f t="shared" si="452"/>
        <v>0.17053622528783688</v>
      </c>
      <c r="AC1342">
        <f t="shared" si="453"/>
        <v>0.17995906090381936</v>
      </c>
      <c r="AD1342">
        <f t="shared" si="454"/>
        <v>4.1416265861321739E-3</v>
      </c>
      <c r="AE1342">
        <f t="shared" si="455"/>
        <v>2.6203271471580976E-2</v>
      </c>
      <c r="AG1342">
        <f t="shared" si="456"/>
        <v>0.9018661951372029</v>
      </c>
      <c r="AH1342">
        <f t="shared" si="457"/>
        <v>0.19624067163741848</v>
      </c>
      <c r="AI1342">
        <f t="shared" si="458"/>
        <v>-0.51890660748147499</v>
      </c>
      <c r="AK1342" s="26">
        <f t="shared" si="459"/>
        <v>2.4363657133964572E-2</v>
      </c>
      <c r="AL1342" s="26">
        <f t="shared" si="460"/>
        <v>1.1611384467718366E-2</v>
      </c>
      <c r="AM1342" s="26">
        <f t="shared" si="461"/>
        <v>-2.1376219430920829E-2</v>
      </c>
      <c r="AN1342" s="26">
        <f t="shared" si="462"/>
        <v>-3.2552380952380844</v>
      </c>
      <c r="AO1342" s="26">
        <f t="shared" si="463"/>
        <v>-2.7551785714285728</v>
      </c>
      <c r="AP1342" s="26">
        <f t="shared" si="464"/>
        <v>-1.453805309734534</v>
      </c>
      <c r="AS1342" s="2">
        <v>44138</v>
      </c>
      <c r="AT1342">
        <v>17.3</v>
      </c>
      <c r="AU1342">
        <v>22.8</v>
      </c>
      <c r="AV1342">
        <v>71.3</v>
      </c>
      <c r="AW1342">
        <v>6.5</v>
      </c>
      <c r="AX1342">
        <v>57.2</v>
      </c>
      <c r="AY1342">
        <v>0.1</v>
      </c>
      <c r="AZ1342">
        <v>4</v>
      </c>
      <c r="BA1342">
        <v>288.2944</v>
      </c>
      <c r="BB1342">
        <v>130.81059999999999</v>
      </c>
      <c r="BC1342">
        <v>110.6863</v>
      </c>
      <c r="BD1342">
        <v>4.2521000000000004</v>
      </c>
      <c r="BE1342">
        <v>29.963899999999999</v>
      </c>
      <c r="BH1342">
        <v>94.95</v>
      </c>
    </row>
    <row r="1343" spans="1:60" x14ac:dyDescent="0.25">
      <c r="A1343" s="2">
        <v>44158</v>
      </c>
      <c r="B1343">
        <v>11.7</v>
      </c>
      <c r="C1343">
        <v>8.3000000000000007</v>
      </c>
      <c r="D1343">
        <v>73.5</v>
      </c>
      <c r="E1343">
        <v>5.9</v>
      </c>
      <c r="F1343">
        <v>46.52</v>
      </c>
      <c r="G1343">
        <v>0.2</v>
      </c>
      <c r="H1343">
        <v>3.9</v>
      </c>
      <c r="I1343">
        <v>346.3655</v>
      </c>
      <c r="J1343">
        <v>168.28870000000001</v>
      </c>
      <c r="K1343">
        <v>197.71619999999999</v>
      </c>
      <c r="L1343">
        <v>4.3516000000000004</v>
      </c>
      <c r="M1343">
        <v>26.432500000000001</v>
      </c>
      <c r="N1343">
        <v>-4.1055999999999999</v>
      </c>
      <c r="O1343">
        <v>-9.3305000000000007</v>
      </c>
      <c r="P1343">
        <v>91.63</v>
      </c>
      <c r="S1343">
        <f t="shared" si="443"/>
        <v>893.17449999999985</v>
      </c>
      <c r="T1343">
        <f t="shared" si="444"/>
        <v>1.0968340401038145E-2</v>
      </c>
      <c r="U1343">
        <f t="shared" si="445"/>
        <v>7.7809594297962928E-3</v>
      </c>
      <c r="V1343">
        <f t="shared" si="446"/>
        <v>6.8903676878316555E-2</v>
      </c>
      <c r="W1343">
        <f t="shared" si="447"/>
        <v>5.5310434500961594E-3</v>
      </c>
      <c r="X1343">
        <f t="shared" si="448"/>
        <v>4.3610871406520903E-2</v>
      </c>
      <c r="Y1343">
        <f t="shared" si="449"/>
        <v>1.874929983083444E-4</v>
      </c>
      <c r="Z1343">
        <f t="shared" si="450"/>
        <v>3.6561134670127153E-3</v>
      </c>
      <c r="AA1343">
        <f t="shared" si="451"/>
        <v>0.32470553052784429</v>
      </c>
      <c r="AB1343">
        <f t="shared" si="452"/>
        <v>0.15776476472206738</v>
      </c>
      <c r="AC1343">
        <f t="shared" si="453"/>
        <v>0.18535201576066138</v>
      </c>
      <c r="AD1343">
        <f t="shared" si="454"/>
        <v>4.0794726571929578E-3</v>
      </c>
      <c r="AE1343">
        <f t="shared" si="455"/>
        <v>2.4779543388926566E-2</v>
      </c>
      <c r="AG1343">
        <f t="shared" si="456"/>
        <v>0.93005037144323655</v>
      </c>
      <c r="AH1343">
        <f t="shared" si="457"/>
        <v>0.16541804142001568</v>
      </c>
      <c r="AI1343">
        <f t="shared" si="458"/>
        <v>-0.70272129367821945</v>
      </c>
      <c r="AK1343" s="26">
        <f t="shared" si="459"/>
        <v>2.6470274893529072E-2</v>
      </c>
      <c r="AL1343" s="26">
        <f t="shared" si="460"/>
        <v>1.0280391761262997E-2</v>
      </c>
      <c r="AM1343" s="26">
        <f t="shared" si="461"/>
        <v>-2.043341835546264E-2</v>
      </c>
      <c r="AN1343" s="26">
        <f t="shared" si="462"/>
        <v>-3.2104761904761858</v>
      </c>
      <c r="AO1343" s="26">
        <f t="shared" si="463"/>
        <v>-2.725357142857149</v>
      </c>
      <c r="AP1343" s="26">
        <f t="shared" si="464"/>
        <v>-1.3970796460177013</v>
      </c>
      <c r="AS1343" s="2">
        <v>44137</v>
      </c>
      <c r="AT1343">
        <v>16</v>
      </c>
      <c r="AU1343">
        <v>0</v>
      </c>
      <c r="AV1343">
        <v>79.400000000000006</v>
      </c>
      <c r="AW1343">
        <v>11.8</v>
      </c>
      <c r="AX1343">
        <v>49.64</v>
      </c>
      <c r="AY1343">
        <v>0.2</v>
      </c>
      <c r="AZ1343">
        <v>4.3</v>
      </c>
      <c r="BA1343">
        <v>178.98570000000001</v>
      </c>
      <c r="BB1343">
        <v>61.968000000000004</v>
      </c>
      <c r="BC1343">
        <v>49.600700000000003</v>
      </c>
      <c r="BD1343">
        <v>4.3312999999999997</v>
      </c>
      <c r="BE1343">
        <v>31.0945</v>
      </c>
      <c r="BH1343">
        <v>95.05</v>
      </c>
    </row>
    <row r="1344" spans="1:60" x14ac:dyDescent="0.25">
      <c r="A1344" s="2">
        <v>44157</v>
      </c>
      <c r="B1344">
        <v>11</v>
      </c>
      <c r="C1344">
        <v>1.3</v>
      </c>
      <c r="D1344">
        <v>53.9</v>
      </c>
      <c r="E1344">
        <v>6.6</v>
      </c>
      <c r="F1344">
        <v>68.27</v>
      </c>
      <c r="G1344">
        <v>0.2</v>
      </c>
      <c r="H1344">
        <v>4</v>
      </c>
      <c r="I1344">
        <v>220.04069999999999</v>
      </c>
      <c r="J1344">
        <v>75.328199999999995</v>
      </c>
      <c r="K1344">
        <v>88.260900000000007</v>
      </c>
      <c r="L1344">
        <v>4.1642999999999999</v>
      </c>
      <c r="M1344">
        <v>16.269200000000001</v>
      </c>
      <c r="P1344">
        <v>91.98</v>
      </c>
      <c r="S1344">
        <f t="shared" si="443"/>
        <v>549.33330000000001</v>
      </c>
      <c r="T1344">
        <f t="shared" si="444"/>
        <v>1.0312114906958941E-2</v>
      </c>
      <c r="U1344">
        <f t="shared" si="445"/>
        <v>1.2187044890042385E-3</v>
      </c>
      <c r="V1344">
        <f t="shared" si="446"/>
        <v>5.0529363044098809E-2</v>
      </c>
      <c r="W1344">
        <f t="shared" si="447"/>
        <v>6.1872689441753639E-3</v>
      </c>
      <c r="X1344">
        <f t="shared" si="448"/>
        <v>6.4000734972553347E-2</v>
      </c>
      <c r="Y1344">
        <f t="shared" si="449"/>
        <v>1.874929983083444E-4</v>
      </c>
      <c r="Z1344">
        <f t="shared" si="450"/>
        <v>3.7498599661668877E-3</v>
      </c>
      <c r="AA1344">
        <f t="shared" si="451"/>
        <v>0.20628045296433456</v>
      </c>
      <c r="AB1344">
        <f t="shared" si="452"/>
        <v>7.0617550375853128E-2</v>
      </c>
      <c r="AC1344">
        <f t="shared" si="453"/>
        <v>8.2741503871964772E-2</v>
      </c>
      <c r="AD1344">
        <f t="shared" si="454"/>
        <v>3.9038854642771924E-3</v>
      </c>
      <c r="AE1344">
        <f t="shared" si="455"/>
        <v>1.5251805440390584E-2</v>
      </c>
      <c r="AG1344">
        <f t="shared" si="456"/>
        <v>0.95527722600597464</v>
      </c>
      <c r="AH1344">
        <f t="shared" si="457"/>
        <v>0.15143734476165652</v>
      </c>
      <c r="AI1344">
        <f t="shared" si="458"/>
        <v>-0.7876426260875532</v>
      </c>
      <c r="AK1344" s="26">
        <f t="shared" si="459"/>
        <v>2.7789609553196787E-2</v>
      </c>
      <c r="AL1344" s="26">
        <f t="shared" si="460"/>
        <v>9.7868867530905845E-3</v>
      </c>
      <c r="AM1344" s="26">
        <f t="shared" si="461"/>
        <v>-2.1291995253158613E-2</v>
      </c>
      <c r="AN1344" s="26">
        <f t="shared" si="462"/>
        <v>-3.1738095238095099</v>
      </c>
      <c r="AO1344" s="26">
        <f t="shared" si="463"/>
        <v>-2.6976785714285541</v>
      </c>
      <c r="AP1344" s="26">
        <f t="shared" si="464"/>
        <v>-1.3425663716814</v>
      </c>
      <c r="AS1344" s="2">
        <v>44136</v>
      </c>
      <c r="AT1344">
        <v>17.7</v>
      </c>
      <c r="AU1344">
        <v>0</v>
      </c>
      <c r="AV1344">
        <v>74.599999999999994</v>
      </c>
      <c r="AW1344">
        <v>7.5</v>
      </c>
      <c r="AX1344">
        <v>29.66</v>
      </c>
      <c r="AY1344">
        <v>0.2</v>
      </c>
      <c r="AZ1344">
        <v>4</v>
      </c>
      <c r="BA1344">
        <v>107.101</v>
      </c>
      <c r="BB1344">
        <v>37.860199999999999</v>
      </c>
      <c r="BC1344">
        <v>34.212400000000002</v>
      </c>
      <c r="BD1344">
        <v>4.2550999999999997</v>
      </c>
      <c r="BE1344">
        <v>13.8322</v>
      </c>
      <c r="BH1344">
        <v>95</v>
      </c>
    </row>
    <row r="1345" spans="1:60" x14ac:dyDescent="0.25">
      <c r="A1345" s="2">
        <v>44156</v>
      </c>
      <c r="B1345">
        <v>13.1</v>
      </c>
      <c r="C1345">
        <v>0.6</v>
      </c>
      <c r="D1345">
        <v>51.2</v>
      </c>
      <c r="E1345">
        <v>8.5</v>
      </c>
      <c r="F1345">
        <v>52.17</v>
      </c>
      <c r="G1345">
        <v>0.2</v>
      </c>
      <c r="H1345">
        <v>3.9</v>
      </c>
      <c r="I1345">
        <v>206.15270000000001</v>
      </c>
      <c r="J1345">
        <v>71.794399999999996</v>
      </c>
      <c r="K1345">
        <v>89.675299999999993</v>
      </c>
      <c r="L1345">
        <v>4.2091000000000003</v>
      </c>
      <c r="M1345">
        <v>18.038599999999999</v>
      </c>
      <c r="P1345">
        <v>92.21</v>
      </c>
      <c r="S1345">
        <f t="shared" si="443"/>
        <v>519.54010000000005</v>
      </c>
      <c r="T1345">
        <f t="shared" si="444"/>
        <v>1.2280791389196556E-2</v>
      </c>
      <c r="U1345">
        <f t="shared" si="445"/>
        <v>5.6247899492503314E-4</v>
      </c>
      <c r="V1345">
        <f t="shared" si="446"/>
        <v>4.7998207566936166E-2</v>
      </c>
      <c r="W1345">
        <f t="shared" si="447"/>
        <v>7.9684524281046359E-3</v>
      </c>
      <c r="X1345">
        <f t="shared" si="448"/>
        <v>4.8907548608731637E-2</v>
      </c>
      <c r="Y1345">
        <f t="shared" si="449"/>
        <v>1.874929983083444E-4</v>
      </c>
      <c r="Z1345">
        <f t="shared" si="450"/>
        <v>3.6561134670127153E-3</v>
      </c>
      <c r="AA1345">
        <f t="shared" si="451"/>
        <v>0.19326093916180315</v>
      </c>
      <c r="AB1345">
        <f t="shared" si="452"/>
        <v>6.7304736588742989E-2</v>
      </c>
      <c r="AC1345">
        <f t="shared" si="453"/>
        <v>8.4067454356001367E-2</v>
      </c>
      <c r="AD1345">
        <f t="shared" si="454"/>
        <v>3.9458838958982617E-3</v>
      </c>
      <c r="AE1345">
        <f t="shared" si="455"/>
        <v>1.6910555996424503E-2</v>
      </c>
      <c r="AG1345">
        <f t="shared" si="456"/>
        <v>0.97154795813531536</v>
      </c>
      <c r="AH1345">
        <f t="shared" si="457"/>
        <v>0.13847164144963958</v>
      </c>
      <c r="AI1345">
        <f t="shared" si="458"/>
        <v>-0.86610939002835152</v>
      </c>
      <c r="AK1345" s="26">
        <f t="shared" si="459"/>
        <v>2.1457145138307626E-2</v>
      </c>
      <c r="AL1345" s="26">
        <f t="shared" si="460"/>
        <v>7.6305230833677573E-3</v>
      </c>
      <c r="AM1345" s="26">
        <f t="shared" si="461"/>
        <v>-2.3165085150090581E-2</v>
      </c>
      <c r="AN1345" s="26">
        <f t="shared" si="462"/>
        <v>-3.148571428571401</v>
      </c>
      <c r="AO1345" s="26">
        <f t="shared" si="463"/>
        <v>-2.6712499999999721</v>
      </c>
      <c r="AP1345" s="26">
        <f t="shared" si="464"/>
        <v>-1.2907964601769777</v>
      </c>
      <c r="AS1345" s="2">
        <v>44135</v>
      </c>
      <c r="AT1345">
        <v>19</v>
      </c>
      <c r="AU1345">
        <v>16.5</v>
      </c>
      <c r="AV1345">
        <v>39.299999999999997</v>
      </c>
      <c r="AW1345">
        <v>3.6</v>
      </c>
      <c r="AX1345">
        <v>73.92</v>
      </c>
      <c r="AY1345">
        <v>0.2</v>
      </c>
      <c r="AZ1345">
        <v>4.2</v>
      </c>
      <c r="BA1345">
        <v>309.32139999999998</v>
      </c>
      <c r="BB1345">
        <v>45.5505</v>
      </c>
      <c r="BC1345">
        <v>62.2331</v>
      </c>
      <c r="BD1345">
        <v>4.2319000000000004</v>
      </c>
      <c r="BE1345">
        <v>17.802499999999998</v>
      </c>
      <c r="BH1345">
        <v>94.64</v>
      </c>
    </row>
    <row r="1346" spans="1:60" x14ac:dyDescent="0.25">
      <c r="A1346" s="2">
        <v>44155</v>
      </c>
      <c r="B1346">
        <v>13.5</v>
      </c>
      <c r="C1346">
        <v>5</v>
      </c>
      <c r="D1346">
        <v>51.1</v>
      </c>
      <c r="E1346">
        <v>4</v>
      </c>
      <c r="F1346">
        <v>55.39</v>
      </c>
      <c r="G1346">
        <v>0.1</v>
      </c>
      <c r="H1346">
        <v>3.8</v>
      </c>
      <c r="I1346">
        <v>339.50259999999997</v>
      </c>
      <c r="J1346">
        <v>146.54580000000001</v>
      </c>
      <c r="K1346">
        <v>176.02</v>
      </c>
      <c r="L1346">
        <v>4.1954000000000002</v>
      </c>
      <c r="M1346">
        <v>31.881399999999999</v>
      </c>
      <c r="N1346">
        <v>-5.8197000000000001</v>
      </c>
      <c r="O1346">
        <v>-11.538500000000001</v>
      </c>
      <c r="P1346">
        <v>92.42</v>
      </c>
      <c r="S1346">
        <f t="shared" ref="S1346:S1409" si="465">SUM(B1346:M1346)</f>
        <v>831.03519999999992</v>
      </c>
      <c r="T1346">
        <f t="shared" si="444"/>
        <v>1.2655777385813246E-2</v>
      </c>
      <c r="U1346">
        <f t="shared" si="445"/>
        <v>4.6873249577086091E-3</v>
      </c>
      <c r="V1346">
        <f t="shared" si="446"/>
        <v>4.7904461067781991E-2</v>
      </c>
      <c r="W1346">
        <f t="shared" si="447"/>
        <v>3.7498599661668877E-3</v>
      </c>
      <c r="X1346">
        <f t="shared" si="448"/>
        <v>5.192618588149598E-2</v>
      </c>
      <c r="Y1346">
        <f t="shared" si="449"/>
        <v>9.3746499154172199E-5</v>
      </c>
      <c r="Z1346">
        <f t="shared" si="450"/>
        <v>3.5623669678585433E-3</v>
      </c>
      <c r="AA1346">
        <f t="shared" si="451"/>
        <v>0.31827180203739258</v>
      </c>
      <c r="AB1346">
        <f t="shared" si="452"/>
        <v>0.13738155715747488</v>
      </c>
      <c r="AC1346">
        <f t="shared" si="453"/>
        <v>0.16501258781117389</v>
      </c>
      <c r="AD1346">
        <f t="shared" si="454"/>
        <v>3.9330406255141401E-3</v>
      </c>
      <c r="AE1346">
        <f t="shared" si="455"/>
        <v>2.9887696381338251E-2</v>
      </c>
      <c r="AG1346">
        <f t="shared" si="456"/>
        <v>0.98636516711418054</v>
      </c>
      <c r="AH1346">
        <f t="shared" si="457"/>
        <v>0.15446741910731768</v>
      </c>
      <c r="AI1346">
        <f t="shared" si="458"/>
        <v>-0.76820067251874902</v>
      </c>
      <c r="AK1346" s="26">
        <f t="shared" si="459"/>
        <v>1.8256090570546279E-2</v>
      </c>
      <c r="AL1346" s="26">
        <f t="shared" si="460"/>
        <v>4.5881445096926377E-3</v>
      </c>
      <c r="AM1346" s="26">
        <f t="shared" si="461"/>
        <v>-2.3217430540450112E-2</v>
      </c>
      <c r="AN1346" s="26">
        <f t="shared" si="462"/>
        <v>-3.139047619047588</v>
      </c>
      <c r="AO1346" s="26">
        <f t="shared" si="463"/>
        <v>-2.6446428571428413</v>
      </c>
      <c r="AP1346" s="26">
        <f t="shared" si="464"/>
        <v>-1.2421238938052994</v>
      </c>
      <c r="AS1346" s="2">
        <v>44134</v>
      </c>
      <c r="AT1346">
        <v>19.600000000000001</v>
      </c>
      <c r="AU1346">
        <v>0.2</v>
      </c>
      <c r="AV1346">
        <v>61.4</v>
      </c>
      <c r="AW1346">
        <v>8.8000000000000007</v>
      </c>
      <c r="AX1346">
        <v>22.78</v>
      </c>
      <c r="AY1346">
        <v>0.4</v>
      </c>
      <c r="AZ1346">
        <v>4.3</v>
      </c>
      <c r="BA1346">
        <v>301.7099</v>
      </c>
      <c r="BB1346">
        <v>74.462800000000001</v>
      </c>
      <c r="BC1346">
        <v>68.559600000000003</v>
      </c>
      <c r="BD1346">
        <v>4.2449000000000003</v>
      </c>
      <c r="BE1346">
        <v>23.104299999999999</v>
      </c>
      <c r="BH1346">
        <v>94.44</v>
      </c>
    </row>
    <row r="1347" spans="1:60" x14ac:dyDescent="0.25">
      <c r="A1347" s="2">
        <v>44154</v>
      </c>
      <c r="B1347">
        <v>12.6</v>
      </c>
      <c r="C1347">
        <v>3.1</v>
      </c>
      <c r="D1347">
        <v>54.6</v>
      </c>
      <c r="E1347">
        <v>9.9</v>
      </c>
      <c r="F1347">
        <v>27.34</v>
      </c>
      <c r="G1347">
        <v>0.2</v>
      </c>
      <c r="H1347">
        <v>4</v>
      </c>
      <c r="I1347">
        <v>246.959</v>
      </c>
      <c r="J1347">
        <v>89.552300000000002</v>
      </c>
      <c r="K1347">
        <v>83.382800000000003</v>
      </c>
      <c r="L1347">
        <v>4.1525999999999996</v>
      </c>
      <c r="M1347">
        <v>21.8399</v>
      </c>
      <c r="N1347">
        <v>-4.9555999999999996</v>
      </c>
      <c r="O1347">
        <v>-10.055199999999999</v>
      </c>
      <c r="P1347">
        <v>92.72</v>
      </c>
      <c r="S1347">
        <f t="shared" si="465"/>
        <v>557.62660000000005</v>
      </c>
      <c r="T1347">
        <f t="shared" si="444"/>
        <v>1.1812058893425697E-2</v>
      </c>
      <c r="U1347">
        <f t="shared" si="445"/>
        <v>2.9061414737793379E-3</v>
      </c>
      <c r="V1347">
        <f t="shared" si="446"/>
        <v>5.118558853817802E-2</v>
      </c>
      <c r="W1347">
        <f t="shared" si="447"/>
        <v>9.2809034162630467E-3</v>
      </c>
      <c r="X1347">
        <f t="shared" si="448"/>
        <v>2.5630292868750678E-2</v>
      </c>
      <c r="Y1347">
        <f t="shared" si="449"/>
        <v>1.874929983083444E-4</v>
      </c>
      <c r="Z1347">
        <f t="shared" si="450"/>
        <v>3.7498599661668877E-3</v>
      </c>
      <c r="AA1347">
        <f t="shared" si="451"/>
        <v>0.23151541684615209</v>
      </c>
      <c r="AB1347">
        <f t="shared" si="452"/>
        <v>8.3952146162041746E-2</v>
      </c>
      <c r="AC1347">
        <f t="shared" si="453"/>
        <v>7.8168455896725095E-2</v>
      </c>
      <c r="AD1347">
        <f t="shared" si="454"/>
        <v>3.8929171238761542E-3</v>
      </c>
      <c r="AE1347">
        <f t="shared" si="455"/>
        <v>2.0474141668772053E-2</v>
      </c>
      <c r="AG1347">
        <f t="shared" si="456"/>
        <v>1.0079641167648161</v>
      </c>
      <c r="AH1347">
        <f t="shared" si="457"/>
        <v>0.12522647982364407</v>
      </c>
      <c r="AI1347">
        <f t="shared" si="458"/>
        <v>-0.94391258828691671</v>
      </c>
      <c r="AK1347" s="26">
        <f t="shared" si="459"/>
        <v>1.8207141505630769E-2</v>
      </c>
      <c r="AL1347" s="26">
        <f t="shared" si="460"/>
        <v>3.5043713657745834E-3</v>
      </c>
      <c r="AM1347" s="26">
        <f t="shared" si="461"/>
        <v>-2.0377117360607711E-2</v>
      </c>
      <c r="AN1347" s="26">
        <f t="shared" si="462"/>
        <v>-3.1485714285714153</v>
      </c>
      <c r="AO1347" s="26">
        <f t="shared" si="463"/>
        <v>-2.6158928571428532</v>
      </c>
      <c r="AP1347" s="26">
        <f t="shared" si="464"/>
        <v>-1.1876106194690408</v>
      </c>
      <c r="AS1347" s="2">
        <v>44133</v>
      </c>
      <c r="AT1347">
        <v>17.3</v>
      </c>
      <c r="AU1347">
        <v>3.1</v>
      </c>
      <c r="AV1347">
        <v>66.3</v>
      </c>
      <c r="AW1347">
        <v>8.1</v>
      </c>
      <c r="AX1347">
        <v>53.44</v>
      </c>
      <c r="AY1347">
        <v>0.5</v>
      </c>
      <c r="AZ1347">
        <v>4.2</v>
      </c>
      <c r="BA1347">
        <v>304.88069999999999</v>
      </c>
      <c r="BB1347">
        <v>81.680400000000006</v>
      </c>
      <c r="BC1347">
        <v>76.869799999999998</v>
      </c>
      <c r="BD1347">
        <v>4.29</v>
      </c>
      <c r="BE1347">
        <v>22.664400000000001</v>
      </c>
      <c r="BH1347">
        <v>94.4</v>
      </c>
    </row>
    <row r="1348" spans="1:60" x14ac:dyDescent="0.25">
      <c r="A1348" s="2">
        <v>44153</v>
      </c>
      <c r="B1348">
        <v>13.4</v>
      </c>
      <c r="C1348">
        <v>53.8</v>
      </c>
      <c r="D1348">
        <v>90.3</v>
      </c>
      <c r="E1348">
        <v>6.6</v>
      </c>
      <c r="F1348">
        <v>74.08</v>
      </c>
      <c r="G1348">
        <v>0.1</v>
      </c>
      <c r="H1348">
        <v>4</v>
      </c>
      <c r="I1348">
        <v>339.25779999999997</v>
      </c>
      <c r="J1348">
        <v>98.265699999999995</v>
      </c>
      <c r="K1348">
        <v>96.844700000000003</v>
      </c>
      <c r="L1348">
        <v>5.4264000000000001</v>
      </c>
      <c r="M1348">
        <v>24.546399999999998</v>
      </c>
      <c r="N1348">
        <v>-5.81</v>
      </c>
      <c r="O1348">
        <v>-10.3086</v>
      </c>
      <c r="P1348">
        <v>92.92</v>
      </c>
      <c r="S1348">
        <f t="shared" si="465"/>
        <v>806.62099999999987</v>
      </c>
      <c r="T1348">
        <f t="shared" si="444"/>
        <v>1.2562030886659074E-2</v>
      </c>
      <c r="U1348">
        <f t="shared" si="445"/>
        <v>5.0435616544944634E-2</v>
      </c>
      <c r="V1348">
        <f t="shared" si="446"/>
        <v>8.4653088736217491E-2</v>
      </c>
      <c r="W1348">
        <f t="shared" si="447"/>
        <v>6.1872689441753639E-3</v>
      </c>
      <c r="X1348">
        <f t="shared" si="448"/>
        <v>6.9447406573410753E-2</v>
      </c>
      <c r="Y1348">
        <f t="shared" si="449"/>
        <v>9.3746499154172199E-5</v>
      </c>
      <c r="Z1348">
        <f t="shared" si="450"/>
        <v>3.7498599661668877E-3</v>
      </c>
      <c r="AA1348">
        <f t="shared" si="451"/>
        <v>0.31804231060746319</v>
      </c>
      <c r="AB1348">
        <f t="shared" si="452"/>
        <v>9.2120653619341381E-2</v>
      </c>
      <c r="AC1348">
        <f t="shared" si="453"/>
        <v>9.0788515866360595E-2</v>
      </c>
      <c r="AD1348">
        <f t="shared" si="454"/>
        <v>5.0870600301019999E-3</v>
      </c>
      <c r="AE1348">
        <f t="shared" si="455"/>
        <v>2.3011390668379723E-2</v>
      </c>
      <c r="AG1348">
        <f t="shared" si="456"/>
        <v>1.0220439283742659</v>
      </c>
      <c r="AH1348">
        <f t="shared" si="457"/>
        <v>0.2501404088191081</v>
      </c>
      <c r="AI1348">
        <f t="shared" si="458"/>
        <v>-0.1892077557310019</v>
      </c>
      <c r="AK1348" s="26">
        <f t="shared" si="459"/>
        <v>2.4194993789629166E-2</v>
      </c>
      <c r="AL1348" s="26">
        <f t="shared" si="460"/>
        <v>6.5239511256643401E-3</v>
      </c>
      <c r="AM1348" s="26">
        <f t="shared" si="461"/>
        <v>-1.2635441032417205E-2</v>
      </c>
      <c r="AN1348" s="26">
        <f t="shared" si="462"/>
        <v>-3.1595238095237903</v>
      </c>
      <c r="AO1348" s="26">
        <f t="shared" si="463"/>
        <v>-2.5860714285714153</v>
      </c>
      <c r="AP1348" s="26">
        <f t="shared" si="464"/>
        <v>-1.1306194690265556</v>
      </c>
      <c r="AS1348" s="2">
        <v>44132</v>
      </c>
      <c r="AT1348">
        <v>18</v>
      </c>
      <c r="AU1348">
        <v>19.2</v>
      </c>
      <c r="AV1348">
        <v>70.400000000000006</v>
      </c>
      <c r="AW1348">
        <v>9</v>
      </c>
      <c r="AX1348">
        <v>62.1</v>
      </c>
      <c r="AY1348">
        <v>0.5</v>
      </c>
      <c r="AZ1348">
        <v>4.0999999999999996</v>
      </c>
      <c r="BA1348">
        <v>307.7251</v>
      </c>
      <c r="BB1348">
        <v>83.433800000000005</v>
      </c>
      <c r="BC1348">
        <v>79.773799999999994</v>
      </c>
      <c r="BD1348">
        <v>3.9186000000000001</v>
      </c>
      <c r="BE1348">
        <v>25.741700000000002</v>
      </c>
      <c r="BH1348">
        <v>94.44</v>
      </c>
    </row>
    <row r="1349" spans="1:60" x14ac:dyDescent="0.25">
      <c r="A1349" s="2">
        <v>44152</v>
      </c>
      <c r="B1349">
        <v>13.8</v>
      </c>
      <c r="C1349">
        <v>2.8</v>
      </c>
      <c r="D1349">
        <v>79.099999999999994</v>
      </c>
      <c r="E1349">
        <v>6.3</v>
      </c>
      <c r="F1349">
        <v>38.75</v>
      </c>
      <c r="G1349">
        <v>0.1</v>
      </c>
      <c r="H1349">
        <v>4.2</v>
      </c>
      <c r="I1349">
        <v>323.27600000000001</v>
      </c>
      <c r="J1349">
        <v>117.86320000000001</v>
      </c>
      <c r="K1349">
        <v>115.105</v>
      </c>
      <c r="L1349">
        <v>4.2682000000000002</v>
      </c>
      <c r="M1349">
        <v>22.701599999999999</v>
      </c>
      <c r="N1349">
        <v>-5.3985000000000003</v>
      </c>
      <c r="O1349">
        <v>-9.1160999999999994</v>
      </c>
      <c r="P1349">
        <v>93.04</v>
      </c>
      <c r="S1349">
        <f t="shared" si="465"/>
        <v>728.26400000000001</v>
      </c>
      <c r="T1349">
        <f t="shared" ref="T1349:T1412" si="466">B1349/$S$4</f>
        <v>1.2937016883275762E-2</v>
      </c>
      <c r="U1349">
        <f t="shared" ref="U1349:U1412" si="467">C1349/$S$4</f>
        <v>2.624901976316821E-3</v>
      </c>
      <c r="V1349">
        <f t="shared" ref="V1349:V1412" si="468">D1349/$S$4</f>
        <v>7.4153480830950191E-2</v>
      </c>
      <c r="W1349">
        <f t="shared" ref="W1349:W1412" si="469">E1349/$S$4</f>
        <v>5.9060294467128483E-3</v>
      </c>
      <c r="X1349">
        <f t="shared" ref="X1349:X1412" si="470">F1349/$S$4</f>
        <v>3.6326768422241723E-2</v>
      </c>
      <c r="Y1349">
        <f t="shared" ref="Y1349:Y1412" si="471">G1349/$S$4</f>
        <v>9.3746499154172199E-5</v>
      </c>
      <c r="Z1349">
        <f t="shared" ref="Z1349:Z1412" si="472">H1349/$S$4</f>
        <v>3.9373529644752322E-3</v>
      </c>
      <c r="AA1349">
        <f t="shared" ref="AA1349:AA1412" si="473">I1349/$S$4</f>
        <v>0.30305993260564168</v>
      </c>
      <c r="AB1349">
        <f t="shared" ref="AB1349:AB1412" si="474">J1349/$S$4</f>
        <v>0.11049262379108028</v>
      </c>
      <c r="AC1349">
        <f t="shared" ref="AC1349:AC1412" si="475">K1349/$S$4</f>
        <v>0.1079069078514099</v>
      </c>
      <c r="AD1349">
        <f t="shared" ref="AD1349:AD1412" si="476">L1349/$S$4</f>
        <v>4.0012880768983778E-3</v>
      </c>
      <c r="AE1349">
        <f t="shared" ref="AE1349:AE1412" si="477">M1349/$S$4</f>
        <v>2.1281955251983554E-2</v>
      </c>
      <c r="AG1349">
        <f t="shared" ref="AG1349:AG1412" si="478">(P1349-AVERAGE(P1349:P1713)) / _xlfn.STDEV.S(P1349:P3176)</f>
        <v>1.030077283793507</v>
      </c>
      <c r="AH1349">
        <f t="shared" ref="AH1349:AH1412" si="479">SUM(T1349:Y1349,Z1349,AE1349)</f>
        <v>0.15726125227511031</v>
      </c>
      <c r="AI1349">
        <f t="shared" ref="AI1349:AI1412" si="480">(AH1349-AVERAGE(AH1349:AH1713))/_xlfn.STDEV.S(AH1349:AH1713)</f>
        <v>-0.75110604304180539</v>
      </c>
      <c r="AK1349" s="26">
        <f t="shared" ref="AK1349:AK1412" si="481">AVERAGEA(AH1349:AH1369)-AVERAGE(AH1715:AH1735, AH2080:AH2100, AH2445:AH2465)</f>
        <v>2.079650016641113E-2</v>
      </c>
      <c r="AL1349" s="26">
        <f t="shared" ref="AL1349:AL1412" si="482">AVERAGEA(AH1349:AH1404)-AVERAGE(AH1715:AH1770, AH2080:AH2134, AH2445:AH2499)</f>
        <v>2.2536993205587996E-3</v>
      </c>
      <c r="AM1349" s="26">
        <f t="shared" ref="AM1349:AM1412" si="483">AVERAGEA(AH1349:AH1461)-AVERAGE(AH1715:AH1827,AH2080:AH2191,AH2445:AH2556)</f>
        <v>-8.7136881490932905E-3</v>
      </c>
      <c r="AN1349" s="26">
        <f t="shared" ref="AN1349:AN1412" si="484">AVERAGEA(P1349:P1369)-AVERAGE(P1715:P1735, P2080:P2100, P2445:P2465)</f>
        <v>-3.1676190476189987</v>
      </c>
      <c r="AO1349" s="26">
        <f t="shared" ref="AO1349:AO1412" si="485">AVERAGEA(P1349:P1404)-AVERAGE(P1715:P1770, P2080:P2134, P2445:P2499)</f>
        <v>-2.5541071428571342</v>
      </c>
      <c r="AP1349" s="26">
        <f t="shared" ref="AP1349:AP1412" si="486">AVERAGEA(P1349:P1461)-AVERAGE(P1715:P1827,P2080:P2191,P2445:P2556)</f>
        <v>-1.0747787610619355</v>
      </c>
      <c r="AS1349" s="2">
        <v>44131</v>
      </c>
      <c r="AT1349">
        <v>17.8</v>
      </c>
      <c r="AU1349">
        <v>0</v>
      </c>
      <c r="AV1349">
        <v>73.400000000000006</v>
      </c>
      <c r="AW1349">
        <v>8.1</v>
      </c>
      <c r="AX1349">
        <v>63.67</v>
      </c>
      <c r="AY1349">
        <v>0.4</v>
      </c>
      <c r="AZ1349">
        <v>3.5</v>
      </c>
      <c r="BA1349">
        <v>287.3476</v>
      </c>
      <c r="BB1349">
        <v>82.714299999999994</v>
      </c>
      <c r="BC1349">
        <v>84.623800000000003</v>
      </c>
      <c r="BD1349">
        <v>3.2397</v>
      </c>
      <c r="BE1349">
        <v>20.7043</v>
      </c>
      <c r="BH1349">
        <v>94.52</v>
      </c>
    </row>
    <row r="1350" spans="1:60" x14ac:dyDescent="0.25">
      <c r="A1350" s="2">
        <v>44151</v>
      </c>
      <c r="B1350">
        <v>12.5</v>
      </c>
      <c r="C1350">
        <v>27.4</v>
      </c>
      <c r="D1350">
        <v>82.2</v>
      </c>
      <c r="E1350">
        <v>4</v>
      </c>
      <c r="F1350">
        <v>42.48</v>
      </c>
      <c r="G1350">
        <v>0.2</v>
      </c>
      <c r="H1350">
        <v>4.0999999999999996</v>
      </c>
      <c r="I1350">
        <v>233.81319999999999</v>
      </c>
      <c r="J1350">
        <v>93.318299999999994</v>
      </c>
      <c r="K1350">
        <v>93.441100000000006</v>
      </c>
      <c r="L1350">
        <v>4.2484999999999999</v>
      </c>
      <c r="M1350">
        <v>27.384</v>
      </c>
      <c r="N1350">
        <v>-6.1120999999999999</v>
      </c>
      <c r="O1350">
        <v>-9.5269999999999992</v>
      </c>
      <c r="P1350">
        <v>93.2</v>
      </c>
      <c r="S1350">
        <f t="shared" si="465"/>
        <v>625.08510000000001</v>
      </c>
      <c r="T1350">
        <f t="shared" si="466"/>
        <v>1.1718312394271523E-2</v>
      </c>
      <c r="U1350">
        <f t="shared" si="467"/>
        <v>2.5686540768243178E-2</v>
      </c>
      <c r="V1350">
        <f t="shared" si="468"/>
        <v>7.7059622304729541E-2</v>
      </c>
      <c r="W1350">
        <f t="shared" si="469"/>
        <v>3.7498599661668877E-3</v>
      </c>
      <c r="X1350">
        <f t="shared" si="470"/>
        <v>3.9823512840692341E-2</v>
      </c>
      <c r="Y1350">
        <f t="shared" si="471"/>
        <v>1.874929983083444E-4</v>
      </c>
      <c r="Z1350">
        <f t="shared" si="472"/>
        <v>3.8436064653210593E-3</v>
      </c>
      <c r="AA1350">
        <f t="shared" si="473"/>
        <v>0.21919168956034293</v>
      </c>
      <c r="AB1350">
        <f t="shared" si="474"/>
        <v>8.7482639320187863E-2</v>
      </c>
      <c r="AC1350">
        <f t="shared" si="475"/>
        <v>8.759776002114919E-2</v>
      </c>
      <c r="AD1350">
        <f t="shared" si="476"/>
        <v>3.9828200165650052E-3</v>
      </c>
      <c r="AE1350">
        <f t="shared" si="477"/>
        <v>2.5671541328378514E-2</v>
      </c>
      <c r="AG1350">
        <f t="shared" si="478"/>
        <v>1.0410854827457454</v>
      </c>
      <c r="AH1350">
        <f t="shared" si="479"/>
        <v>0.18774048906611138</v>
      </c>
      <c r="AI1350">
        <f t="shared" si="480"/>
        <v>-0.56640081971340006</v>
      </c>
      <c r="AK1350" s="26">
        <f t="shared" si="481"/>
        <v>1.8857483290858346E-2</v>
      </c>
      <c r="AL1350" s="26">
        <f t="shared" si="482"/>
        <v>1.895674744110537E-3</v>
      </c>
      <c r="AM1350" s="26">
        <f t="shared" si="483"/>
        <v>-5.3631136039699046E-3</v>
      </c>
      <c r="AN1350" s="26">
        <f t="shared" si="484"/>
        <v>-3.1647619047618747</v>
      </c>
      <c r="AO1350" s="26">
        <f t="shared" si="485"/>
        <v>-2.5199999999999818</v>
      </c>
      <c r="AP1350" s="26">
        <f t="shared" si="486"/>
        <v>-1.0161061946902521</v>
      </c>
      <c r="AS1350" s="2">
        <v>44130</v>
      </c>
      <c r="AT1350">
        <v>15</v>
      </c>
      <c r="AU1350">
        <v>0.8</v>
      </c>
      <c r="AV1350">
        <v>60.2</v>
      </c>
      <c r="AW1350">
        <v>3.9</v>
      </c>
      <c r="AX1350">
        <v>27.14</v>
      </c>
      <c r="AY1350">
        <v>0.5</v>
      </c>
      <c r="AZ1350">
        <v>3.8</v>
      </c>
      <c r="BA1350">
        <v>331.41199999999998</v>
      </c>
      <c r="BB1350">
        <v>107.535</v>
      </c>
      <c r="BC1350">
        <v>113.2484</v>
      </c>
      <c r="BD1350">
        <v>3.1303999999999998</v>
      </c>
      <c r="BE1350">
        <v>31.728400000000001</v>
      </c>
      <c r="BH1350">
        <v>94.67</v>
      </c>
    </row>
    <row r="1351" spans="1:60" x14ac:dyDescent="0.25">
      <c r="A1351" s="2">
        <v>44150</v>
      </c>
      <c r="B1351">
        <v>12.6</v>
      </c>
      <c r="C1351">
        <v>0</v>
      </c>
      <c r="D1351">
        <v>81.2</v>
      </c>
      <c r="E1351">
        <v>5.5</v>
      </c>
      <c r="F1351">
        <v>69.03</v>
      </c>
      <c r="G1351">
        <v>0.2</v>
      </c>
      <c r="H1351">
        <v>3.7</v>
      </c>
      <c r="I1351">
        <v>99.3523</v>
      </c>
      <c r="J1351">
        <v>44.506700000000002</v>
      </c>
      <c r="K1351">
        <v>38.951500000000003</v>
      </c>
      <c r="L1351">
        <v>4.1520000000000001</v>
      </c>
      <c r="M1351">
        <v>15.1494</v>
      </c>
      <c r="P1351">
        <v>93.34</v>
      </c>
      <c r="S1351">
        <f t="shared" si="465"/>
        <v>374.34190000000001</v>
      </c>
      <c r="T1351">
        <f t="shared" si="466"/>
        <v>1.1812058893425697E-2</v>
      </c>
      <c r="U1351">
        <f t="shared" si="467"/>
        <v>0</v>
      </c>
      <c r="V1351">
        <f t="shared" si="468"/>
        <v>7.6122157313187819E-2</v>
      </c>
      <c r="W1351">
        <f t="shared" si="469"/>
        <v>5.1560574534794705E-3</v>
      </c>
      <c r="X1351">
        <f t="shared" si="470"/>
        <v>6.4713208366125069E-2</v>
      </c>
      <c r="Y1351">
        <f t="shared" si="471"/>
        <v>1.874929983083444E-4</v>
      </c>
      <c r="Z1351">
        <f t="shared" si="472"/>
        <v>3.4686204687043713E-3</v>
      </c>
      <c r="AA1351">
        <f t="shared" si="473"/>
        <v>9.3139303079150623E-2</v>
      </c>
      <c r="AB1351">
        <f t="shared" si="474"/>
        <v>4.1723473139049956E-2</v>
      </c>
      <c r="AC1351">
        <f t="shared" si="475"/>
        <v>3.6515667618037387E-2</v>
      </c>
      <c r="AD1351">
        <f t="shared" si="476"/>
        <v>3.8923546448812294E-3</v>
      </c>
      <c r="AE1351">
        <f t="shared" si="477"/>
        <v>1.4202032142862161E-2</v>
      </c>
      <c r="AG1351">
        <f t="shared" si="478"/>
        <v>1.0505880793918245</v>
      </c>
      <c r="AH1351">
        <f t="shared" si="479"/>
        <v>0.17566162763609292</v>
      </c>
      <c r="AI1351">
        <f t="shared" si="480"/>
        <v>-0.63757648696387803</v>
      </c>
      <c r="AK1351" s="26">
        <f t="shared" si="481"/>
        <v>1.2080182809244666E-2</v>
      </c>
      <c r="AL1351" s="26">
        <f t="shared" si="482"/>
        <v>-2.3985644464661338E-3</v>
      </c>
      <c r="AM1351" s="26">
        <f t="shared" si="483"/>
        <v>1.8141855700892773E-4</v>
      </c>
      <c r="AN1351" s="26">
        <f t="shared" si="484"/>
        <v>-3.149523809523771</v>
      </c>
      <c r="AO1351" s="26">
        <f t="shared" si="485"/>
        <v>-2.4846428571428305</v>
      </c>
      <c r="AP1351" s="26">
        <f t="shared" si="486"/>
        <v>-0.95663716814156885</v>
      </c>
      <c r="AS1351" s="2">
        <v>44129</v>
      </c>
      <c r="AT1351">
        <v>14.7</v>
      </c>
      <c r="AU1351">
        <v>17.5</v>
      </c>
      <c r="AV1351">
        <v>76.900000000000006</v>
      </c>
      <c r="AW1351">
        <v>7.6</v>
      </c>
      <c r="AX1351">
        <v>84.22</v>
      </c>
      <c r="AY1351">
        <v>0.5</v>
      </c>
      <c r="AZ1351">
        <v>3</v>
      </c>
      <c r="BA1351">
        <v>154.9195</v>
      </c>
      <c r="BB1351">
        <v>30.839400000000001</v>
      </c>
      <c r="BC1351">
        <v>33.571199999999997</v>
      </c>
      <c r="BD1351">
        <v>3.0011000000000001</v>
      </c>
      <c r="BE1351">
        <v>17.079899999999999</v>
      </c>
      <c r="BH1351">
        <v>94.67</v>
      </c>
    </row>
    <row r="1352" spans="1:60" x14ac:dyDescent="0.25">
      <c r="A1352" s="2">
        <v>44149</v>
      </c>
      <c r="B1352">
        <v>13.7</v>
      </c>
      <c r="C1352">
        <v>21.9</v>
      </c>
      <c r="D1352">
        <v>41.1</v>
      </c>
      <c r="E1352">
        <v>3.3</v>
      </c>
      <c r="F1352">
        <v>72.31</v>
      </c>
      <c r="G1352">
        <v>0.2</v>
      </c>
      <c r="H1352">
        <v>3.9</v>
      </c>
      <c r="I1352">
        <v>317.60739999999998</v>
      </c>
      <c r="J1352">
        <v>79.753799999999998</v>
      </c>
      <c r="K1352">
        <v>98.693700000000007</v>
      </c>
      <c r="L1352">
        <v>4.1520000000000001</v>
      </c>
      <c r="M1352">
        <v>17.083200000000001</v>
      </c>
      <c r="P1352">
        <v>93.3</v>
      </c>
      <c r="S1352">
        <f t="shared" si="465"/>
        <v>673.70010000000002</v>
      </c>
      <c r="T1352">
        <f t="shared" si="466"/>
        <v>1.2843270384121589E-2</v>
      </c>
      <c r="U1352">
        <f t="shared" si="467"/>
        <v>2.0530483314763707E-2</v>
      </c>
      <c r="V1352">
        <f t="shared" si="468"/>
        <v>3.8529811152364771E-2</v>
      </c>
      <c r="W1352">
        <f t="shared" si="469"/>
        <v>3.0936344720876819E-3</v>
      </c>
      <c r="X1352">
        <f t="shared" si="470"/>
        <v>6.7788093538381916E-2</v>
      </c>
      <c r="Y1352">
        <f t="shared" si="471"/>
        <v>1.874929983083444E-4</v>
      </c>
      <c r="Z1352">
        <f t="shared" si="472"/>
        <v>3.6561134670127153E-3</v>
      </c>
      <c r="AA1352">
        <f t="shared" si="473"/>
        <v>0.29774581855458826</v>
      </c>
      <c r="AB1352">
        <f t="shared" si="474"/>
        <v>7.4766395442420183E-2</v>
      </c>
      <c r="AC1352">
        <f t="shared" si="475"/>
        <v>9.252188863572125E-2</v>
      </c>
      <c r="AD1352">
        <f t="shared" si="476"/>
        <v>3.8923546448812294E-3</v>
      </c>
      <c r="AE1352">
        <f t="shared" si="477"/>
        <v>1.6014901943505546E-2</v>
      </c>
      <c r="AG1352">
        <f t="shared" si="478"/>
        <v>1.0465928139352128</v>
      </c>
      <c r="AH1352">
        <f t="shared" si="479"/>
        <v>0.16264380127054628</v>
      </c>
      <c r="AI1352">
        <f t="shared" si="480"/>
        <v>-0.71435687196574216</v>
      </c>
      <c r="AK1352" s="26">
        <f t="shared" si="481"/>
        <v>1.7498685819165749E-2</v>
      </c>
      <c r="AL1352" s="26">
        <f t="shared" si="482"/>
        <v>-7.7031498354979133E-4</v>
      </c>
      <c r="AM1352" s="26">
        <f t="shared" si="483"/>
        <v>4.7758000829190572E-3</v>
      </c>
      <c r="AN1352" s="26">
        <f t="shared" si="484"/>
        <v>-3.1323809523809274</v>
      </c>
      <c r="AO1352" s="26">
        <f t="shared" si="485"/>
        <v>-2.4471428571428504</v>
      </c>
      <c r="AP1352" s="26">
        <f t="shared" si="486"/>
        <v>-0.8964601769911269</v>
      </c>
      <c r="AS1352" s="2">
        <v>44128</v>
      </c>
      <c r="AT1352">
        <v>16.2</v>
      </c>
      <c r="AU1352">
        <v>63.2</v>
      </c>
      <c r="AV1352">
        <v>67.3</v>
      </c>
      <c r="AW1352">
        <v>6.6</v>
      </c>
      <c r="AX1352">
        <v>76.64</v>
      </c>
      <c r="AY1352">
        <v>0.5</v>
      </c>
      <c r="AZ1352">
        <v>4</v>
      </c>
      <c r="BA1352">
        <v>195.81809999999999</v>
      </c>
      <c r="BB1352">
        <v>43.330800000000004</v>
      </c>
      <c r="BC1352">
        <v>45.567599999999999</v>
      </c>
      <c r="BD1352">
        <v>3.1482000000000001</v>
      </c>
      <c r="BE1352">
        <v>19.401399999999999</v>
      </c>
      <c r="BH1352">
        <v>94.48</v>
      </c>
    </row>
    <row r="1353" spans="1:60" x14ac:dyDescent="0.25">
      <c r="A1353" s="2">
        <v>44148</v>
      </c>
      <c r="B1353">
        <v>14.4</v>
      </c>
      <c r="C1353">
        <v>6.2</v>
      </c>
      <c r="D1353">
        <v>48.7</v>
      </c>
      <c r="E1353">
        <v>2.6</v>
      </c>
      <c r="F1353">
        <v>60.95</v>
      </c>
      <c r="G1353">
        <v>0.2</v>
      </c>
      <c r="H1353">
        <v>4.2</v>
      </c>
      <c r="I1353">
        <v>367.57420000000002</v>
      </c>
      <c r="J1353">
        <v>168.7903</v>
      </c>
      <c r="K1353">
        <v>179.73570000000001</v>
      </c>
      <c r="L1353">
        <v>4.1836000000000002</v>
      </c>
      <c r="M1353">
        <v>24.457000000000001</v>
      </c>
      <c r="N1353">
        <v>-6.3189000000000002</v>
      </c>
      <c r="O1353">
        <v>-9.5239999999999991</v>
      </c>
      <c r="P1353">
        <v>93.32</v>
      </c>
      <c r="S1353">
        <f t="shared" si="465"/>
        <v>881.99080000000004</v>
      </c>
      <c r="T1353">
        <f t="shared" si="466"/>
        <v>1.3499495878200795E-2</v>
      </c>
      <c r="U1353">
        <f t="shared" si="467"/>
        <v>5.8122829475586758E-3</v>
      </c>
      <c r="V1353">
        <f t="shared" si="468"/>
        <v>4.5654545088081859E-2</v>
      </c>
      <c r="W1353">
        <f t="shared" si="469"/>
        <v>2.437408978008477E-3</v>
      </c>
      <c r="X1353">
        <f t="shared" si="470"/>
        <v>5.7138491234467952E-2</v>
      </c>
      <c r="Y1353">
        <f t="shared" si="471"/>
        <v>1.874929983083444E-4</v>
      </c>
      <c r="Z1353">
        <f t="shared" si="472"/>
        <v>3.9373529644752322E-3</v>
      </c>
      <c r="AA1353">
        <f t="shared" si="473"/>
        <v>0.34458794429395523</v>
      </c>
      <c r="AB1353">
        <f t="shared" si="474"/>
        <v>0.15823499716182471</v>
      </c>
      <c r="AC1353">
        <f t="shared" si="475"/>
        <v>0.16849592648024547</v>
      </c>
      <c r="AD1353">
        <f t="shared" si="476"/>
        <v>3.9219785386139482E-3</v>
      </c>
      <c r="AE1353">
        <f t="shared" si="477"/>
        <v>2.2927581298135893E-2</v>
      </c>
      <c r="AG1353">
        <f t="shared" si="478"/>
        <v>1.047066493266994</v>
      </c>
      <c r="AH1353">
        <f t="shared" si="479"/>
        <v>0.15159465138723727</v>
      </c>
      <c r="AI1353">
        <f t="shared" si="480"/>
        <v>-0.78339483985997815</v>
      </c>
      <c r="AK1353" s="26">
        <f t="shared" si="481"/>
        <v>2.0050086076026707E-2</v>
      </c>
      <c r="AL1353" s="26">
        <f t="shared" si="482"/>
        <v>-3.4899109682801077E-3</v>
      </c>
      <c r="AM1353" s="26">
        <f t="shared" si="483"/>
        <v>1.1817471301925342E-2</v>
      </c>
      <c r="AN1353" s="26">
        <f t="shared" si="484"/>
        <v>-3.1133333333332871</v>
      </c>
      <c r="AO1353" s="26">
        <f t="shared" si="485"/>
        <v>-2.4083928571428288</v>
      </c>
      <c r="AP1353" s="26">
        <f t="shared" si="486"/>
        <v>-0.83265486725660764</v>
      </c>
      <c r="AS1353" s="2">
        <v>44127</v>
      </c>
      <c r="AT1353">
        <v>14.6</v>
      </c>
      <c r="AU1353">
        <v>16.399999999999999</v>
      </c>
      <c r="AV1353">
        <v>59.5</v>
      </c>
      <c r="AW1353">
        <v>3.4</v>
      </c>
      <c r="AX1353">
        <v>43.75</v>
      </c>
      <c r="AY1353">
        <v>0.5</v>
      </c>
      <c r="AZ1353">
        <v>4.2</v>
      </c>
      <c r="BA1353">
        <v>355.2482</v>
      </c>
      <c r="BB1353">
        <v>197.3597</v>
      </c>
      <c r="BC1353">
        <v>128.41800000000001</v>
      </c>
      <c r="BD1353">
        <v>3.1303999999999998</v>
      </c>
      <c r="BE1353">
        <v>29.8782</v>
      </c>
      <c r="BH1353">
        <v>94.44</v>
      </c>
    </row>
    <row r="1354" spans="1:60" x14ac:dyDescent="0.25">
      <c r="A1354" s="2">
        <v>44147</v>
      </c>
      <c r="B1354">
        <v>14.8</v>
      </c>
      <c r="C1354">
        <v>0.8</v>
      </c>
      <c r="D1354">
        <v>59.6</v>
      </c>
      <c r="E1354">
        <v>3.3</v>
      </c>
      <c r="F1354">
        <v>42.38</v>
      </c>
      <c r="G1354">
        <v>0.2</v>
      </c>
      <c r="H1354">
        <v>3.9</v>
      </c>
      <c r="I1354">
        <v>352.99759999999998</v>
      </c>
      <c r="J1354">
        <v>176.9562</v>
      </c>
      <c r="K1354">
        <v>162.39930000000001</v>
      </c>
      <c r="L1354">
        <v>4.1669999999999998</v>
      </c>
      <c r="M1354">
        <v>22.626200000000001</v>
      </c>
      <c r="N1354">
        <v>-6.4634</v>
      </c>
      <c r="O1354">
        <v>-9.9923000000000002</v>
      </c>
      <c r="P1354">
        <v>93.5</v>
      </c>
      <c r="S1354">
        <f t="shared" si="465"/>
        <v>844.12630000000013</v>
      </c>
      <c r="T1354">
        <f t="shared" si="466"/>
        <v>1.3874481874817485E-2</v>
      </c>
      <c r="U1354">
        <f t="shared" si="467"/>
        <v>7.4997199323337759E-4</v>
      </c>
      <c r="V1354">
        <f t="shared" si="468"/>
        <v>5.5872913495886627E-2</v>
      </c>
      <c r="W1354">
        <f t="shared" si="469"/>
        <v>3.0936344720876819E-3</v>
      </c>
      <c r="X1354">
        <f t="shared" si="470"/>
        <v>3.9729766341538179E-2</v>
      </c>
      <c r="Y1354">
        <f t="shared" si="471"/>
        <v>1.874929983083444E-4</v>
      </c>
      <c r="Z1354">
        <f t="shared" si="472"/>
        <v>3.6561134670127153E-3</v>
      </c>
      <c r="AA1354">
        <f t="shared" si="473"/>
        <v>0.3309228920982481</v>
      </c>
      <c r="AB1354">
        <f t="shared" si="474"/>
        <v>0.16589024253625526</v>
      </c>
      <c r="AC1354">
        <f t="shared" si="475"/>
        <v>0.15224365840088158</v>
      </c>
      <c r="AD1354">
        <f t="shared" si="476"/>
        <v>3.9064166197543548E-3</v>
      </c>
      <c r="AE1354">
        <f t="shared" si="477"/>
        <v>2.1211270391621309E-2</v>
      </c>
      <c r="AG1354">
        <f t="shared" si="478"/>
        <v>1.0595284884731493</v>
      </c>
      <c r="AH1354">
        <f t="shared" si="479"/>
        <v>0.13837564503450572</v>
      </c>
      <c r="AI1354">
        <f t="shared" si="480"/>
        <v>-0.86280566008433701</v>
      </c>
      <c r="AK1354" s="26">
        <f t="shared" si="481"/>
        <v>2.2174685306952741E-2</v>
      </c>
      <c r="AL1354" s="26">
        <f t="shared" si="482"/>
        <v>-4.3737060890560731E-3</v>
      </c>
      <c r="AM1354" s="26">
        <f t="shared" si="483"/>
        <v>1.3310017159265497E-2</v>
      </c>
      <c r="AN1354" s="26">
        <f t="shared" si="484"/>
        <v>-3.0852380952380685</v>
      </c>
      <c r="AO1354" s="26">
        <f t="shared" si="485"/>
        <v>-2.3692857142856809</v>
      </c>
      <c r="AP1354" s="26">
        <f t="shared" si="486"/>
        <v>-0.76495575221237289</v>
      </c>
      <c r="AS1354" s="2">
        <v>44126</v>
      </c>
      <c r="AT1354">
        <v>14.3</v>
      </c>
      <c r="AU1354">
        <v>2.2999999999999998</v>
      </c>
      <c r="AV1354">
        <v>78.3</v>
      </c>
      <c r="AW1354">
        <v>9.6</v>
      </c>
      <c r="AX1354">
        <v>87.96</v>
      </c>
      <c r="AY1354">
        <v>0.5</v>
      </c>
      <c r="AZ1354">
        <v>3.9</v>
      </c>
      <c r="BA1354">
        <v>286.50920000000002</v>
      </c>
      <c r="BB1354">
        <v>120.2139</v>
      </c>
      <c r="BC1354">
        <v>88.221500000000006</v>
      </c>
      <c r="BD1354">
        <v>3.1394000000000002</v>
      </c>
      <c r="BE1354">
        <v>24.386099999999999</v>
      </c>
      <c r="BH1354">
        <v>94.48</v>
      </c>
    </row>
    <row r="1355" spans="1:60" x14ac:dyDescent="0.25">
      <c r="A1355" s="2">
        <v>44146</v>
      </c>
      <c r="B1355">
        <v>15.8</v>
      </c>
      <c r="C1355">
        <v>5.6</v>
      </c>
      <c r="D1355">
        <v>12.3</v>
      </c>
      <c r="E1355">
        <v>0.3</v>
      </c>
      <c r="F1355">
        <v>23.49</v>
      </c>
      <c r="G1355">
        <v>0.2</v>
      </c>
      <c r="H1355">
        <v>4.2</v>
      </c>
      <c r="I1355">
        <v>378.63159999999999</v>
      </c>
      <c r="J1355">
        <v>252.44460000000001</v>
      </c>
      <c r="K1355">
        <v>225.41659999999999</v>
      </c>
      <c r="L1355">
        <v>4.0458999999999996</v>
      </c>
      <c r="M1355">
        <v>31.760300000000001</v>
      </c>
      <c r="N1355">
        <v>-6.4268999999999998</v>
      </c>
      <c r="O1355">
        <v>-9.2139000000000006</v>
      </c>
      <c r="P1355">
        <v>93.7</v>
      </c>
      <c r="S1355">
        <f t="shared" si="465"/>
        <v>954.18899999999996</v>
      </c>
      <c r="T1355">
        <f t="shared" si="466"/>
        <v>1.4811946866359206E-2</v>
      </c>
      <c r="U1355">
        <f t="shared" si="467"/>
        <v>5.249803952633642E-3</v>
      </c>
      <c r="V1355">
        <f t="shared" si="468"/>
        <v>1.153081939596318E-2</v>
      </c>
      <c r="W1355">
        <f t="shared" si="469"/>
        <v>2.8123949746251657E-4</v>
      </c>
      <c r="X1355">
        <f t="shared" si="470"/>
        <v>2.2021052651315046E-2</v>
      </c>
      <c r="Y1355">
        <f t="shared" si="471"/>
        <v>1.874929983083444E-4</v>
      </c>
      <c r="Z1355">
        <f t="shared" si="472"/>
        <v>3.9373529644752322E-3</v>
      </c>
      <c r="AA1355">
        <f t="shared" si="473"/>
        <v>0.35495386969142861</v>
      </c>
      <c r="AB1355">
        <f t="shared" si="474"/>
        <v>0.23665797480375339</v>
      </c>
      <c r="AC1355">
        <f t="shared" si="475"/>
        <v>0.21132017101236369</v>
      </c>
      <c r="AD1355">
        <f t="shared" si="476"/>
        <v>3.7928896092786525E-3</v>
      </c>
      <c r="AE1355">
        <f t="shared" si="477"/>
        <v>2.9774169370862552E-2</v>
      </c>
      <c r="AG1355">
        <f t="shared" si="478"/>
        <v>1.0735027263052814</v>
      </c>
      <c r="AH1355">
        <f t="shared" si="479"/>
        <v>8.7793877697379716E-2</v>
      </c>
      <c r="AI1355">
        <f t="shared" si="480"/>
        <v>-1.1692038629775265</v>
      </c>
      <c r="AK1355" s="26">
        <f t="shared" si="481"/>
        <v>2.54264076254474E-2</v>
      </c>
      <c r="AL1355" s="26">
        <f t="shared" si="482"/>
        <v>-4.4113921817160173E-3</v>
      </c>
      <c r="AM1355" s="26">
        <f t="shared" si="483"/>
        <v>1.5583112511755981E-2</v>
      </c>
      <c r="AN1355" s="26">
        <f t="shared" si="484"/>
        <v>-3.0576190476190135</v>
      </c>
      <c r="AO1355" s="26">
        <f t="shared" si="485"/>
        <v>-2.330892857142814</v>
      </c>
      <c r="AP1355" s="26">
        <f t="shared" si="486"/>
        <v>-0.69513274336281938</v>
      </c>
      <c r="AS1355" s="2">
        <v>44125</v>
      </c>
      <c r="AT1355">
        <v>14</v>
      </c>
      <c r="AU1355">
        <v>2.6</v>
      </c>
      <c r="AV1355">
        <v>50.2</v>
      </c>
      <c r="AW1355">
        <v>6.7</v>
      </c>
      <c r="AX1355">
        <v>59.92</v>
      </c>
      <c r="AY1355">
        <v>0.5</v>
      </c>
      <c r="AZ1355">
        <v>3.5</v>
      </c>
      <c r="BA1355">
        <v>324.5222</v>
      </c>
      <c r="BB1355">
        <v>120.4714</v>
      </c>
      <c r="BC1355">
        <v>83.572100000000006</v>
      </c>
      <c r="BD1355">
        <v>2.9336000000000002</v>
      </c>
      <c r="BE1355">
        <v>30.361599999999999</v>
      </c>
      <c r="BH1355">
        <v>94.53</v>
      </c>
    </row>
    <row r="1356" spans="1:60" x14ac:dyDescent="0.25">
      <c r="A1356" s="2">
        <v>44145</v>
      </c>
      <c r="B1356">
        <v>16.600000000000001</v>
      </c>
      <c r="C1356">
        <v>21.8</v>
      </c>
      <c r="D1356">
        <v>13</v>
      </c>
      <c r="E1356">
        <v>1.1000000000000001</v>
      </c>
      <c r="F1356">
        <v>35.51</v>
      </c>
      <c r="G1356">
        <v>0.1</v>
      </c>
      <c r="H1356">
        <v>4</v>
      </c>
      <c r="I1356">
        <v>371.01639999999998</v>
      </c>
      <c r="J1356">
        <v>276.42180000000002</v>
      </c>
      <c r="K1356">
        <v>228.3407</v>
      </c>
      <c r="L1356">
        <v>4.1738</v>
      </c>
      <c r="M1356">
        <v>37.726599999999998</v>
      </c>
      <c r="N1356">
        <v>-6.5940000000000003</v>
      </c>
      <c r="O1356">
        <v>-9.3229000000000006</v>
      </c>
      <c r="P1356">
        <v>93.89</v>
      </c>
      <c r="S1356">
        <f t="shared" si="465"/>
        <v>1009.7892999999999</v>
      </c>
      <c r="T1356">
        <f t="shared" si="466"/>
        <v>1.5561918859592586E-2</v>
      </c>
      <c r="U1356">
        <f t="shared" si="467"/>
        <v>2.0436736815609539E-2</v>
      </c>
      <c r="V1356">
        <f t="shared" si="468"/>
        <v>1.2187044890042385E-2</v>
      </c>
      <c r="W1356">
        <f t="shared" si="469"/>
        <v>1.0312114906958943E-3</v>
      </c>
      <c r="X1356">
        <f t="shared" si="470"/>
        <v>3.328938184964654E-2</v>
      </c>
      <c r="Y1356">
        <f t="shared" si="471"/>
        <v>9.3746499154172199E-5</v>
      </c>
      <c r="Z1356">
        <f t="shared" si="472"/>
        <v>3.7498599661668877E-3</v>
      </c>
      <c r="AA1356">
        <f t="shared" si="473"/>
        <v>0.34781488628784007</v>
      </c>
      <c r="AB1356">
        <f t="shared" si="474"/>
        <v>0.25913576039894759</v>
      </c>
      <c r="AC1356">
        <f t="shared" si="475"/>
        <v>0.21406141239413085</v>
      </c>
      <c r="AD1356">
        <f t="shared" si="476"/>
        <v>3.9127913816968387E-3</v>
      </c>
      <c r="AE1356">
        <f t="shared" si="477"/>
        <v>3.5367366749897926E-2</v>
      </c>
      <c r="AG1356">
        <f t="shared" si="478"/>
        <v>1.0867501612356463</v>
      </c>
      <c r="AH1356">
        <f t="shared" si="479"/>
        <v>0.12171726712080591</v>
      </c>
      <c r="AI1356">
        <f t="shared" si="480"/>
        <v>-0.96628392339201752</v>
      </c>
      <c r="AK1356" s="26">
        <f t="shared" si="481"/>
        <v>2.8661929656064428E-2</v>
      </c>
      <c r="AL1356" s="26">
        <f t="shared" si="482"/>
        <v>-4.436273507018279E-3</v>
      </c>
      <c r="AM1356" s="26">
        <f t="shared" si="483"/>
        <v>1.7997653214397558E-2</v>
      </c>
      <c r="AN1356" s="26">
        <f t="shared" si="484"/>
        <v>-3.0290476190475886</v>
      </c>
      <c r="AO1356" s="26">
        <f t="shared" si="485"/>
        <v>-2.2898214285714005</v>
      </c>
      <c r="AP1356" s="26">
        <f t="shared" si="486"/>
        <v>-0.62345132743361376</v>
      </c>
      <c r="AS1356" s="2">
        <v>44124</v>
      </c>
      <c r="AT1356">
        <v>14.8</v>
      </c>
      <c r="AU1356">
        <v>23.3</v>
      </c>
      <c r="AV1356">
        <v>61.5</v>
      </c>
      <c r="AW1356">
        <v>5.9</v>
      </c>
      <c r="AX1356">
        <v>111.49</v>
      </c>
      <c r="AY1356">
        <v>0.4</v>
      </c>
      <c r="AZ1356">
        <v>3.3</v>
      </c>
      <c r="BA1356">
        <v>343.89679999999998</v>
      </c>
      <c r="BB1356">
        <v>139.70230000000001</v>
      </c>
      <c r="BC1356">
        <v>96.445400000000006</v>
      </c>
      <c r="BD1356">
        <v>3.1631</v>
      </c>
      <c r="BE1356">
        <v>28.8873</v>
      </c>
      <c r="BH1356">
        <v>94.57</v>
      </c>
    </row>
    <row r="1357" spans="1:60" x14ac:dyDescent="0.25">
      <c r="A1357" s="2">
        <v>44144</v>
      </c>
      <c r="B1357">
        <v>15.6</v>
      </c>
      <c r="C1357">
        <v>38.4</v>
      </c>
      <c r="D1357">
        <v>16.399999999999999</v>
      </c>
      <c r="E1357">
        <v>1.1000000000000001</v>
      </c>
      <c r="F1357">
        <v>57.43</v>
      </c>
      <c r="G1357">
        <v>0.2</v>
      </c>
      <c r="H1357">
        <v>3.8</v>
      </c>
      <c r="I1357">
        <v>360.27120000000002</v>
      </c>
      <c r="J1357">
        <v>249.37219999999999</v>
      </c>
      <c r="K1357">
        <v>188.01230000000001</v>
      </c>
      <c r="L1357">
        <v>4.1885000000000003</v>
      </c>
      <c r="M1357">
        <v>32.917400000000001</v>
      </c>
      <c r="N1357">
        <v>-6.2049000000000003</v>
      </c>
      <c r="O1357">
        <v>-9.1678999999999995</v>
      </c>
      <c r="P1357">
        <v>94.15</v>
      </c>
      <c r="S1357">
        <f t="shared" si="465"/>
        <v>967.69159999999999</v>
      </c>
      <c r="T1357">
        <f t="shared" si="466"/>
        <v>1.4624453868050861E-2</v>
      </c>
      <c r="U1357">
        <f t="shared" si="467"/>
        <v>3.5998655675202121E-2</v>
      </c>
      <c r="V1357">
        <f t="shared" si="468"/>
        <v>1.5374425861284237E-2</v>
      </c>
      <c r="W1357">
        <f t="shared" si="469"/>
        <v>1.0312114906958943E-3</v>
      </c>
      <c r="X1357">
        <f t="shared" si="470"/>
        <v>5.383861446424109E-2</v>
      </c>
      <c r="Y1357">
        <f t="shared" si="471"/>
        <v>1.874929983083444E-4</v>
      </c>
      <c r="Z1357">
        <f t="shared" si="472"/>
        <v>3.5623669678585433E-3</v>
      </c>
      <c r="AA1357">
        <f t="shared" si="473"/>
        <v>0.337741637460726</v>
      </c>
      <c r="AB1357">
        <f t="shared" si="474"/>
        <v>0.23377770736374057</v>
      </c>
      <c r="AC1357">
        <f t="shared" si="475"/>
        <v>0.1762549492292397</v>
      </c>
      <c r="AD1357">
        <f t="shared" si="476"/>
        <v>3.9265721170725024E-3</v>
      </c>
      <c r="AE1357">
        <f t="shared" si="477"/>
        <v>3.0858910112575477E-2</v>
      </c>
      <c r="AG1357">
        <f t="shared" si="478"/>
        <v>1.1052735694342493</v>
      </c>
      <c r="AH1357">
        <f t="shared" si="479"/>
        <v>0.15547613143821656</v>
      </c>
      <c r="AI1357">
        <f t="shared" si="480"/>
        <v>-0.76253684201214822</v>
      </c>
      <c r="AK1357" s="26">
        <f t="shared" si="481"/>
        <v>2.9549927744885823E-2</v>
      </c>
      <c r="AL1357" s="26">
        <f t="shared" si="482"/>
        <v>7.6034772183627974E-4</v>
      </c>
      <c r="AM1357" s="26">
        <f t="shared" si="483"/>
        <v>2.0538809209494191E-2</v>
      </c>
      <c r="AN1357" s="26">
        <f t="shared" si="484"/>
        <v>-3.0009523809523415</v>
      </c>
      <c r="AO1357" s="26">
        <f t="shared" si="485"/>
        <v>-2.2482142857142691</v>
      </c>
      <c r="AP1357" s="26">
        <f t="shared" si="486"/>
        <v>-0.54929203539822424</v>
      </c>
      <c r="AS1357" s="2">
        <v>44123</v>
      </c>
      <c r="AT1357">
        <v>14.6</v>
      </c>
      <c r="AU1357">
        <v>2</v>
      </c>
      <c r="AV1357">
        <v>26</v>
      </c>
      <c r="AW1357">
        <v>1.5</v>
      </c>
      <c r="AX1357">
        <v>115.02</v>
      </c>
      <c r="AY1357">
        <v>0.4</v>
      </c>
      <c r="AZ1357">
        <v>3.5</v>
      </c>
      <c r="BA1357">
        <v>371.80549999999999</v>
      </c>
      <c r="BB1357">
        <v>186.66560000000001</v>
      </c>
      <c r="BC1357">
        <v>172.8536</v>
      </c>
      <c r="BD1357">
        <v>3.2448999999999999</v>
      </c>
      <c r="BE1357">
        <v>37.279499999999999</v>
      </c>
      <c r="BH1357">
        <v>94.66</v>
      </c>
    </row>
    <row r="1358" spans="1:60" x14ac:dyDescent="0.25">
      <c r="A1358" s="2">
        <v>44143</v>
      </c>
      <c r="B1358">
        <v>14.6</v>
      </c>
      <c r="C1358">
        <v>17.2</v>
      </c>
      <c r="D1358">
        <v>15.5</v>
      </c>
      <c r="E1358">
        <v>1.4</v>
      </c>
      <c r="F1358">
        <v>80.94</v>
      </c>
      <c r="G1358">
        <v>0.2</v>
      </c>
      <c r="H1358">
        <v>4.2</v>
      </c>
      <c r="I1358">
        <v>350.53559999999999</v>
      </c>
      <c r="J1358">
        <v>100.33920000000001</v>
      </c>
      <c r="K1358">
        <v>86.060199999999995</v>
      </c>
      <c r="L1358">
        <v>4.1894</v>
      </c>
      <c r="M1358">
        <v>18.535499999999999</v>
      </c>
      <c r="P1358">
        <v>94.33</v>
      </c>
      <c r="S1358">
        <f t="shared" si="465"/>
        <v>693.69989999999996</v>
      </c>
      <c r="T1358">
        <f t="shared" si="466"/>
        <v>1.368698887650914E-2</v>
      </c>
      <c r="U1358">
        <f t="shared" si="467"/>
        <v>1.6124397854517615E-2</v>
      </c>
      <c r="V1358">
        <f t="shared" si="468"/>
        <v>1.453070736889669E-2</v>
      </c>
      <c r="W1358">
        <f t="shared" si="469"/>
        <v>1.3124509881584105E-3</v>
      </c>
      <c r="X1358">
        <f t="shared" si="470"/>
        <v>7.5878416415386965E-2</v>
      </c>
      <c r="Y1358">
        <f t="shared" si="471"/>
        <v>1.874929983083444E-4</v>
      </c>
      <c r="Z1358">
        <f t="shared" si="472"/>
        <v>3.9373529644752322E-3</v>
      </c>
      <c r="AA1358">
        <f t="shared" si="473"/>
        <v>0.32861485328907242</v>
      </c>
      <c r="AB1358">
        <f t="shared" si="474"/>
        <v>9.4064487279303152E-2</v>
      </c>
      <c r="AC1358">
        <f t="shared" si="475"/>
        <v>8.0678424665078893E-2</v>
      </c>
      <c r="AD1358">
        <f t="shared" si="476"/>
        <v>3.9274158355648899E-3</v>
      </c>
      <c r="AE1358">
        <f t="shared" si="477"/>
        <v>1.7376382350721586E-2</v>
      </c>
      <c r="AG1358">
        <f t="shared" si="478"/>
        <v>1.117859685759903</v>
      </c>
      <c r="AH1358">
        <f t="shared" si="479"/>
        <v>0.14303418981697399</v>
      </c>
      <c r="AI1358">
        <f t="shared" si="480"/>
        <v>-0.83691340597344988</v>
      </c>
      <c r="AK1358" s="26">
        <f t="shared" si="481"/>
        <v>2.7522673093033884E-2</v>
      </c>
      <c r="AL1358" s="26">
        <f t="shared" si="482"/>
        <v>-2.3690024923845032E-3</v>
      </c>
      <c r="AM1358" s="26">
        <f t="shared" si="483"/>
        <v>2.0027421778942234E-2</v>
      </c>
      <c r="AN1358" s="26">
        <f t="shared" si="484"/>
        <v>-2.9814285714285376</v>
      </c>
      <c r="AO1358" s="26">
        <f t="shared" si="485"/>
        <v>-2.208392857142826</v>
      </c>
      <c r="AP1358" s="26">
        <f t="shared" si="486"/>
        <v>-0.47460176991150149</v>
      </c>
      <c r="AS1358" s="2">
        <v>44122</v>
      </c>
      <c r="AT1358">
        <v>16.899999999999999</v>
      </c>
      <c r="AU1358">
        <v>50.3</v>
      </c>
      <c r="AV1358">
        <v>52.5</v>
      </c>
      <c r="AW1358">
        <v>4</v>
      </c>
      <c r="AX1358">
        <v>122.49</v>
      </c>
      <c r="AY1358">
        <v>0.5</v>
      </c>
      <c r="AZ1358">
        <v>3.7</v>
      </c>
      <c r="BA1358">
        <v>291.33569999999997</v>
      </c>
      <c r="BB1358">
        <v>78.080600000000004</v>
      </c>
      <c r="BC1358">
        <v>65.156899999999993</v>
      </c>
      <c r="BD1358">
        <v>3.762</v>
      </c>
      <c r="BE1358">
        <v>15.3507</v>
      </c>
      <c r="BH1358">
        <v>94.78</v>
      </c>
    </row>
    <row r="1359" spans="1:60" x14ac:dyDescent="0.25">
      <c r="A1359" s="2">
        <v>44142</v>
      </c>
      <c r="B1359">
        <v>15</v>
      </c>
      <c r="C1359">
        <v>238</v>
      </c>
      <c r="D1359">
        <v>10.6</v>
      </c>
      <c r="E1359">
        <v>1.3</v>
      </c>
      <c r="F1359">
        <v>97.68</v>
      </c>
      <c r="G1359">
        <v>0.2</v>
      </c>
      <c r="H1359">
        <v>4.0999999999999996</v>
      </c>
      <c r="I1359">
        <v>343.19110000000001</v>
      </c>
      <c r="J1359">
        <v>105.3888</v>
      </c>
      <c r="K1359">
        <v>98.364400000000003</v>
      </c>
      <c r="L1359">
        <v>4.1877000000000004</v>
      </c>
      <c r="M1359">
        <v>21.8431</v>
      </c>
      <c r="P1359">
        <v>94.36</v>
      </c>
      <c r="S1359">
        <f t="shared" si="465"/>
        <v>939.85510000000011</v>
      </c>
      <c r="T1359">
        <f t="shared" si="466"/>
        <v>1.4061974873125828E-2</v>
      </c>
      <c r="U1359">
        <f t="shared" si="467"/>
        <v>0.22311666798692981</v>
      </c>
      <c r="V1359">
        <f t="shared" si="468"/>
        <v>9.9371289103422512E-3</v>
      </c>
      <c r="W1359">
        <f t="shared" si="469"/>
        <v>1.2187044890042385E-3</v>
      </c>
      <c r="X1359">
        <f t="shared" si="470"/>
        <v>9.1571580373795397E-2</v>
      </c>
      <c r="Y1359">
        <f t="shared" si="471"/>
        <v>1.874929983083444E-4</v>
      </c>
      <c r="Z1359">
        <f t="shared" si="472"/>
        <v>3.8436064653210593E-3</v>
      </c>
      <c r="AA1359">
        <f t="shared" si="473"/>
        <v>0.32172964165869422</v>
      </c>
      <c r="AB1359">
        <f t="shared" si="474"/>
        <v>9.8798310500592221E-2</v>
      </c>
      <c r="AC1359">
        <f t="shared" si="475"/>
        <v>9.2213181414006556E-2</v>
      </c>
      <c r="AD1359">
        <f t="shared" si="476"/>
        <v>3.9258221450792696E-3</v>
      </c>
      <c r="AE1359">
        <f t="shared" si="477"/>
        <v>2.0477141556744984E-2</v>
      </c>
      <c r="AG1359">
        <f t="shared" si="478"/>
        <v>1.119259053746591</v>
      </c>
      <c r="AH1359">
        <f t="shared" si="479"/>
        <v>0.36441429765357186</v>
      </c>
      <c r="AI1359">
        <f t="shared" si="480"/>
        <v>0.50286668685095148</v>
      </c>
      <c r="AK1359" s="26">
        <f t="shared" si="481"/>
        <v>2.8855779559839229E-2</v>
      </c>
      <c r="AL1359" s="26">
        <f t="shared" si="482"/>
        <v>-2.7522080481234557E-3</v>
      </c>
      <c r="AM1359" s="26">
        <f t="shared" si="483"/>
        <v>2.0274778429969831E-2</v>
      </c>
      <c r="AN1359" s="26">
        <f t="shared" si="484"/>
        <v>-2.9599999999999795</v>
      </c>
      <c r="AO1359" s="26">
        <f t="shared" si="485"/>
        <v>-2.1696428571428186</v>
      </c>
      <c r="AP1359" s="26">
        <f t="shared" si="486"/>
        <v>-0.40106194690264374</v>
      </c>
      <c r="AS1359" s="2">
        <v>44121</v>
      </c>
      <c r="AT1359">
        <v>18</v>
      </c>
      <c r="AU1359">
        <v>4.5</v>
      </c>
      <c r="AV1359">
        <v>7.4</v>
      </c>
      <c r="AW1359">
        <v>0.3</v>
      </c>
      <c r="AX1359">
        <v>93.92</v>
      </c>
      <c r="AY1359">
        <v>0.5</v>
      </c>
      <c r="AZ1359">
        <v>4</v>
      </c>
      <c r="BA1359">
        <v>346.05950000000001</v>
      </c>
      <c r="BB1359">
        <v>167.01599999999999</v>
      </c>
      <c r="BC1359">
        <v>143.07900000000001</v>
      </c>
      <c r="BD1359">
        <v>4.1802999999999999</v>
      </c>
      <c r="BE1359">
        <v>22.671900000000001</v>
      </c>
      <c r="BH1359">
        <v>94.68</v>
      </c>
    </row>
    <row r="1360" spans="1:60" x14ac:dyDescent="0.25">
      <c r="A1360" s="2">
        <v>44141</v>
      </c>
      <c r="B1360">
        <v>17.100000000000001</v>
      </c>
      <c r="C1360">
        <v>21.2</v>
      </c>
      <c r="D1360">
        <v>15.9</v>
      </c>
      <c r="E1360">
        <v>1.6</v>
      </c>
      <c r="F1360">
        <v>80.98</v>
      </c>
      <c r="G1360">
        <v>0.2</v>
      </c>
      <c r="H1360">
        <v>4.2</v>
      </c>
      <c r="I1360">
        <v>353.16669999999999</v>
      </c>
      <c r="J1360">
        <v>197.9562</v>
      </c>
      <c r="K1360">
        <v>161.05269999999999</v>
      </c>
      <c r="L1360">
        <v>4.1856</v>
      </c>
      <c r="M1360">
        <v>30.227399999999999</v>
      </c>
      <c r="N1360">
        <v>-5.1994999999999996</v>
      </c>
      <c r="O1360">
        <v>-7.4855</v>
      </c>
      <c r="P1360">
        <v>94.41</v>
      </c>
      <c r="S1360">
        <f t="shared" si="465"/>
        <v>887.76859999999988</v>
      </c>
      <c r="T1360">
        <f t="shared" si="466"/>
        <v>1.6030651355363447E-2</v>
      </c>
      <c r="U1360">
        <f t="shared" si="467"/>
        <v>1.9874257820684502E-2</v>
      </c>
      <c r="V1360">
        <f t="shared" si="468"/>
        <v>1.4905693365513379E-2</v>
      </c>
      <c r="W1360">
        <f t="shared" si="469"/>
        <v>1.4999439864667552E-3</v>
      </c>
      <c r="X1360">
        <f t="shared" si="470"/>
        <v>7.5915915015048643E-2</v>
      </c>
      <c r="Y1360">
        <f t="shared" si="471"/>
        <v>1.874929983083444E-4</v>
      </c>
      <c r="Z1360">
        <f t="shared" si="472"/>
        <v>3.9373529644752322E-3</v>
      </c>
      <c r="AA1360">
        <f t="shared" si="473"/>
        <v>0.33108141742831781</v>
      </c>
      <c r="AB1360">
        <f t="shared" si="474"/>
        <v>0.18557700735863142</v>
      </c>
      <c r="AC1360">
        <f t="shared" si="475"/>
        <v>0.15098126804327147</v>
      </c>
      <c r="AD1360">
        <f t="shared" si="476"/>
        <v>3.9238534685970316E-3</v>
      </c>
      <c r="AE1360">
        <f t="shared" si="477"/>
        <v>2.8337129285328243E-2</v>
      </c>
      <c r="AG1360">
        <f t="shared" si="478"/>
        <v>1.1221687135769329</v>
      </c>
      <c r="AH1360">
        <f t="shared" si="479"/>
        <v>0.16068843679118855</v>
      </c>
      <c r="AI1360">
        <f t="shared" si="480"/>
        <v>-0.72351143862655132</v>
      </c>
      <c r="AK1360" s="26">
        <f t="shared" si="481"/>
        <v>1.4605767065886122E-2</v>
      </c>
      <c r="AL1360" s="26">
        <f t="shared" si="482"/>
        <v>-8.0911816618990384E-3</v>
      </c>
      <c r="AM1360" s="26">
        <f t="shared" si="483"/>
        <v>1.854358321121935E-2</v>
      </c>
      <c r="AN1360" s="26">
        <f t="shared" si="484"/>
        <v>-2.9409523809523535</v>
      </c>
      <c r="AO1360" s="26">
        <f t="shared" si="485"/>
        <v>-2.1321428571428385</v>
      </c>
      <c r="AP1360" s="26">
        <f t="shared" si="486"/>
        <v>-0.32592920353981469</v>
      </c>
      <c r="AS1360" s="2">
        <v>44120</v>
      </c>
      <c r="AT1360">
        <v>17.2</v>
      </c>
      <c r="AU1360">
        <v>4.9000000000000004</v>
      </c>
      <c r="AV1360">
        <v>9.9</v>
      </c>
      <c r="AW1360">
        <v>1.8</v>
      </c>
      <c r="AX1360">
        <v>46.29</v>
      </c>
      <c r="AY1360">
        <v>0.5</v>
      </c>
      <c r="AZ1360">
        <v>3.7</v>
      </c>
      <c r="BA1360">
        <v>349.81479999999999</v>
      </c>
      <c r="BB1360">
        <v>238.52180000000001</v>
      </c>
      <c r="BC1360">
        <v>188.4419</v>
      </c>
      <c r="BD1360">
        <v>4.1757</v>
      </c>
      <c r="BE1360">
        <v>28.164200000000001</v>
      </c>
      <c r="BH1360">
        <v>94.9</v>
      </c>
    </row>
    <row r="1361" spans="1:60" x14ac:dyDescent="0.25">
      <c r="A1361" s="2">
        <v>44140</v>
      </c>
      <c r="B1361">
        <v>18.2</v>
      </c>
      <c r="C1361">
        <v>17.600000000000001</v>
      </c>
      <c r="D1361">
        <v>63.1</v>
      </c>
      <c r="E1361">
        <v>4.7</v>
      </c>
      <c r="F1361">
        <v>92.2</v>
      </c>
      <c r="G1361">
        <v>0.2</v>
      </c>
      <c r="H1361">
        <v>3.9</v>
      </c>
      <c r="I1361">
        <v>360.08370000000002</v>
      </c>
      <c r="J1361">
        <v>169.63720000000001</v>
      </c>
      <c r="K1361">
        <v>151.24780000000001</v>
      </c>
      <c r="L1361">
        <v>4.2003000000000004</v>
      </c>
      <c r="M1361">
        <v>28.069099999999999</v>
      </c>
      <c r="N1361">
        <v>-5.9843000000000002</v>
      </c>
      <c r="O1361">
        <v>-7.8853</v>
      </c>
      <c r="P1361">
        <v>94.56</v>
      </c>
      <c r="S1361">
        <f t="shared" si="465"/>
        <v>913.13810000000001</v>
      </c>
      <c r="T1361">
        <f t="shared" si="466"/>
        <v>1.7061862846059338E-2</v>
      </c>
      <c r="U1361">
        <f t="shared" si="467"/>
        <v>1.6499383851134308E-2</v>
      </c>
      <c r="V1361">
        <f t="shared" si="468"/>
        <v>5.9154040966282656E-2</v>
      </c>
      <c r="W1361">
        <f t="shared" si="469"/>
        <v>4.4060854602460935E-3</v>
      </c>
      <c r="X1361">
        <f t="shared" si="470"/>
        <v>8.6434272220146768E-2</v>
      </c>
      <c r="Y1361">
        <f t="shared" si="471"/>
        <v>1.874929983083444E-4</v>
      </c>
      <c r="Z1361">
        <f t="shared" si="472"/>
        <v>3.6561134670127153E-3</v>
      </c>
      <c r="AA1361">
        <f t="shared" si="473"/>
        <v>0.33756586277481193</v>
      </c>
      <c r="AB1361">
        <f t="shared" si="474"/>
        <v>0.15902893626316139</v>
      </c>
      <c r="AC1361">
        <f t="shared" si="475"/>
        <v>0.14178951754770405</v>
      </c>
      <c r="AD1361">
        <f t="shared" si="476"/>
        <v>3.9376342039726953E-3</v>
      </c>
      <c r="AE1361">
        <f t="shared" si="477"/>
        <v>2.6313798594083747E-2</v>
      </c>
      <c r="AG1361">
        <f t="shared" si="478"/>
        <v>1.1325781905307866</v>
      </c>
      <c r="AH1361">
        <f t="shared" si="479"/>
        <v>0.21371305040327399</v>
      </c>
      <c r="AI1361">
        <f t="shared" si="480"/>
        <v>-0.40273659712098281</v>
      </c>
      <c r="AK1361" s="26">
        <f t="shared" si="481"/>
        <v>9.2606720289217515E-3</v>
      </c>
      <c r="AL1361" s="26">
        <f t="shared" si="482"/>
        <v>-9.5747317293262135E-3</v>
      </c>
      <c r="AM1361" s="26">
        <f t="shared" si="483"/>
        <v>1.7035908458150562E-2</v>
      </c>
      <c r="AN1361" s="26">
        <f t="shared" si="484"/>
        <v>-2.9114285714285586</v>
      </c>
      <c r="AO1361" s="26">
        <f t="shared" si="485"/>
        <v>-2.096607142857124</v>
      </c>
      <c r="AP1361" s="26">
        <f t="shared" si="486"/>
        <v>-0.24964601769910644</v>
      </c>
      <c r="AS1361" s="2">
        <v>44119</v>
      </c>
      <c r="AT1361">
        <v>16.399999999999999</v>
      </c>
      <c r="AU1361">
        <v>32.799999999999997</v>
      </c>
      <c r="AV1361">
        <v>68.7</v>
      </c>
      <c r="AW1361">
        <v>5.0999999999999996</v>
      </c>
      <c r="AX1361">
        <v>34.72</v>
      </c>
      <c r="AY1361">
        <v>0.5</v>
      </c>
      <c r="AZ1361">
        <v>3.3</v>
      </c>
      <c r="BA1361">
        <v>333.53730000000002</v>
      </c>
      <c r="BB1361">
        <v>185.8758</v>
      </c>
      <c r="BC1361">
        <v>145.9873</v>
      </c>
      <c r="BD1361">
        <v>4.2100999999999997</v>
      </c>
      <c r="BE1361">
        <v>33.077100000000002</v>
      </c>
      <c r="BH1361">
        <v>95.07</v>
      </c>
    </row>
    <row r="1362" spans="1:60" x14ac:dyDescent="0.25">
      <c r="A1362" s="2">
        <v>44139</v>
      </c>
      <c r="B1362">
        <v>18.2</v>
      </c>
      <c r="C1362">
        <v>26.8</v>
      </c>
      <c r="D1362">
        <v>66</v>
      </c>
      <c r="E1362">
        <v>5.5</v>
      </c>
      <c r="F1362">
        <v>67.62</v>
      </c>
      <c r="G1362">
        <v>0.1</v>
      </c>
      <c r="H1362">
        <v>4</v>
      </c>
      <c r="I1362">
        <v>337.01369999999997</v>
      </c>
      <c r="J1362">
        <v>179.7902</v>
      </c>
      <c r="K1362">
        <v>154.8365</v>
      </c>
      <c r="L1362">
        <v>4.2161</v>
      </c>
      <c r="M1362">
        <v>29.212499999999999</v>
      </c>
      <c r="N1362">
        <v>-5.3777999999999997</v>
      </c>
      <c r="O1362">
        <v>-7.7332000000000001</v>
      </c>
      <c r="P1362">
        <v>94.77</v>
      </c>
      <c r="S1362">
        <f t="shared" si="465"/>
        <v>893.28899999999999</v>
      </c>
      <c r="T1362">
        <f t="shared" si="466"/>
        <v>1.7061862846059338E-2</v>
      </c>
      <c r="U1362">
        <f t="shared" si="467"/>
        <v>2.5124061773318149E-2</v>
      </c>
      <c r="V1362">
        <f t="shared" si="468"/>
        <v>6.1872689441753649E-2</v>
      </c>
      <c r="W1362">
        <f t="shared" si="469"/>
        <v>5.1560574534794705E-3</v>
      </c>
      <c r="X1362">
        <f t="shared" si="470"/>
        <v>6.339138272805124E-2</v>
      </c>
      <c r="Y1362">
        <f t="shared" si="471"/>
        <v>9.3746499154172199E-5</v>
      </c>
      <c r="Z1362">
        <f t="shared" si="472"/>
        <v>3.7498599661668877E-3</v>
      </c>
      <c r="AA1362">
        <f t="shared" si="473"/>
        <v>0.31593854541994437</v>
      </c>
      <c r="AB1362">
        <f t="shared" si="474"/>
        <v>0.1685470183222845</v>
      </c>
      <c r="AC1362">
        <f t="shared" si="475"/>
        <v>0.14515379816284982</v>
      </c>
      <c r="AD1362">
        <f t="shared" si="476"/>
        <v>3.952446150839054E-3</v>
      </c>
      <c r="AE1362">
        <f t="shared" si="477"/>
        <v>2.7385696065412551E-2</v>
      </c>
      <c r="AG1362">
        <f t="shared" si="478"/>
        <v>1.1475340833831136</v>
      </c>
      <c r="AH1362">
        <f t="shared" si="479"/>
        <v>0.20383535677339545</v>
      </c>
      <c r="AI1362">
        <f t="shared" si="480"/>
        <v>-0.45955122798528908</v>
      </c>
      <c r="AK1362" s="26">
        <f t="shared" si="481"/>
        <v>1.0379451678065671E-2</v>
      </c>
      <c r="AL1362" s="26">
        <f t="shared" si="482"/>
        <v>-3.9334357000462006E-3</v>
      </c>
      <c r="AM1362" s="26">
        <f t="shared" si="483"/>
        <v>1.9390755257652437E-2</v>
      </c>
      <c r="AN1362" s="26">
        <f t="shared" si="484"/>
        <v>-2.8809523809523796</v>
      </c>
      <c r="AO1362" s="26">
        <f t="shared" si="485"/>
        <v>-2.0630357142857179</v>
      </c>
      <c r="AP1362" s="26">
        <f t="shared" si="486"/>
        <v>-0.17292035398229189</v>
      </c>
      <c r="AS1362" s="2">
        <v>44118</v>
      </c>
      <c r="AT1362">
        <v>17.2</v>
      </c>
      <c r="AU1362">
        <v>43.4</v>
      </c>
      <c r="AV1362">
        <v>75.8</v>
      </c>
      <c r="AW1362">
        <v>9.4</v>
      </c>
      <c r="AX1362">
        <v>45.47</v>
      </c>
      <c r="AY1362">
        <v>0.5</v>
      </c>
      <c r="AZ1362">
        <v>3.5</v>
      </c>
      <c r="BA1362">
        <v>315.53190000000001</v>
      </c>
      <c r="BB1362">
        <v>138.60059999999999</v>
      </c>
      <c r="BC1362">
        <v>86.732100000000003</v>
      </c>
      <c r="BD1362">
        <v>4.7228000000000003</v>
      </c>
      <c r="BE1362">
        <v>26.135999999999999</v>
      </c>
      <c r="BH1362">
        <v>95.24</v>
      </c>
    </row>
    <row r="1363" spans="1:60" x14ac:dyDescent="0.25">
      <c r="A1363" s="2">
        <v>44138</v>
      </c>
      <c r="B1363">
        <v>17.3</v>
      </c>
      <c r="C1363">
        <v>22.8</v>
      </c>
      <c r="D1363">
        <v>71.3</v>
      </c>
      <c r="E1363">
        <v>6.5</v>
      </c>
      <c r="F1363">
        <v>57.2</v>
      </c>
      <c r="G1363">
        <v>0.1</v>
      </c>
      <c r="H1363">
        <v>4</v>
      </c>
      <c r="I1363">
        <v>288.2944</v>
      </c>
      <c r="J1363">
        <v>130.81059999999999</v>
      </c>
      <c r="K1363">
        <v>110.6863</v>
      </c>
      <c r="L1363">
        <v>4.2521000000000004</v>
      </c>
      <c r="M1363">
        <v>29.963899999999999</v>
      </c>
      <c r="N1363">
        <v>-4.6707000000000001</v>
      </c>
      <c r="O1363">
        <v>-7.2912999999999997</v>
      </c>
      <c r="P1363">
        <v>94.95</v>
      </c>
      <c r="S1363">
        <f t="shared" si="465"/>
        <v>743.20730000000003</v>
      </c>
      <c r="T1363">
        <f t="shared" si="466"/>
        <v>1.621814435367179E-2</v>
      </c>
      <c r="U1363">
        <f t="shared" si="467"/>
        <v>2.1374201807151261E-2</v>
      </c>
      <c r="V1363">
        <f t="shared" si="468"/>
        <v>6.6841253896924774E-2</v>
      </c>
      <c r="W1363">
        <f t="shared" si="469"/>
        <v>6.0935224450211923E-3</v>
      </c>
      <c r="X1363">
        <f t="shared" si="470"/>
        <v>5.3622997516186495E-2</v>
      </c>
      <c r="Y1363">
        <f t="shared" si="471"/>
        <v>9.3746499154172199E-5</v>
      </c>
      <c r="Z1363">
        <f t="shared" si="472"/>
        <v>3.7498599661668877E-3</v>
      </c>
      <c r="AA1363">
        <f t="shared" si="473"/>
        <v>0.27026590725752581</v>
      </c>
      <c r="AB1363">
        <f t="shared" si="474"/>
        <v>0.12263035802256757</v>
      </c>
      <c r="AC1363">
        <f t="shared" si="475"/>
        <v>0.1037645312932845</v>
      </c>
      <c r="AD1363">
        <f t="shared" si="476"/>
        <v>3.986194890534556E-3</v>
      </c>
      <c r="AE1363">
        <f t="shared" si="477"/>
        <v>2.8090107260057E-2</v>
      </c>
      <c r="AG1363">
        <f t="shared" si="478"/>
        <v>1.1603136192293617</v>
      </c>
      <c r="AH1363">
        <f t="shared" si="479"/>
        <v>0.19608383374433358</v>
      </c>
      <c r="AI1363">
        <f t="shared" si="480"/>
        <v>-0.50766184653498581</v>
      </c>
      <c r="AK1363" s="26">
        <f t="shared" si="481"/>
        <v>4.9078926137423318E-3</v>
      </c>
      <c r="AL1363" s="26">
        <f t="shared" si="482"/>
        <v>-5.804048322034655E-3</v>
      </c>
      <c r="AM1363" s="26">
        <f t="shared" si="483"/>
        <v>2.222633046156508E-2</v>
      </c>
      <c r="AN1363" s="26">
        <f t="shared" si="484"/>
        <v>-2.8480952380952402</v>
      </c>
      <c r="AO1363" s="26">
        <f t="shared" si="485"/>
        <v>-2.0321428571428584</v>
      </c>
      <c r="AP1363" s="26">
        <f t="shared" si="486"/>
        <v>-9.4690265486718772E-2</v>
      </c>
      <c r="AS1363" s="2">
        <v>44117</v>
      </c>
      <c r="AT1363">
        <v>18.100000000000001</v>
      </c>
      <c r="AU1363">
        <v>0.8</v>
      </c>
      <c r="AV1363">
        <v>28.2</v>
      </c>
      <c r="AW1363">
        <v>1.3</v>
      </c>
      <c r="AX1363">
        <v>89.93</v>
      </c>
      <c r="AY1363">
        <v>0.4</v>
      </c>
      <c r="AZ1363">
        <v>3.4</v>
      </c>
      <c r="BA1363">
        <v>365.71589999999998</v>
      </c>
      <c r="BB1363">
        <v>210.74969999999999</v>
      </c>
      <c r="BC1363">
        <v>176.65870000000001</v>
      </c>
      <c r="BD1363">
        <v>4.8197000000000001</v>
      </c>
      <c r="BE1363">
        <v>27.614999999999998</v>
      </c>
      <c r="BH1363">
        <v>95.36</v>
      </c>
    </row>
    <row r="1364" spans="1:60" x14ac:dyDescent="0.25">
      <c r="A1364" s="2">
        <v>44137</v>
      </c>
      <c r="B1364">
        <v>16</v>
      </c>
      <c r="C1364">
        <v>0</v>
      </c>
      <c r="D1364">
        <v>79.400000000000006</v>
      </c>
      <c r="E1364">
        <v>11.8</v>
      </c>
      <c r="F1364">
        <v>49.64</v>
      </c>
      <c r="G1364">
        <v>0.2</v>
      </c>
      <c r="H1364">
        <v>4.3</v>
      </c>
      <c r="I1364">
        <v>178.98570000000001</v>
      </c>
      <c r="J1364">
        <v>61.968000000000004</v>
      </c>
      <c r="K1364">
        <v>49.600700000000003</v>
      </c>
      <c r="L1364">
        <v>4.3312999999999997</v>
      </c>
      <c r="M1364">
        <v>31.0945</v>
      </c>
      <c r="N1364">
        <v>-4.9386000000000001</v>
      </c>
      <c r="O1364">
        <v>-7.1703000000000001</v>
      </c>
      <c r="P1364">
        <v>95.05</v>
      </c>
      <c r="S1364">
        <f t="shared" si="465"/>
        <v>487.3202</v>
      </c>
      <c r="T1364">
        <f t="shared" si="466"/>
        <v>1.4999439864667551E-2</v>
      </c>
      <c r="U1364">
        <f t="shared" si="467"/>
        <v>0</v>
      </c>
      <c r="V1364">
        <f t="shared" si="468"/>
        <v>7.4434720328412723E-2</v>
      </c>
      <c r="W1364">
        <f t="shared" si="469"/>
        <v>1.1062086900192319E-2</v>
      </c>
      <c r="X1364">
        <f t="shared" si="470"/>
        <v>4.6535762180131078E-2</v>
      </c>
      <c r="Y1364">
        <f t="shared" si="471"/>
        <v>1.874929983083444E-4</v>
      </c>
      <c r="Z1364">
        <f t="shared" si="472"/>
        <v>4.0310994636294038E-3</v>
      </c>
      <c r="AA1364">
        <f t="shared" si="473"/>
        <v>0.16779282773658918</v>
      </c>
      <c r="AB1364">
        <f t="shared" si="474"/>
        <v>5.8092830595857424E-2</v>
      </c>
      <c r="AC1364">
        <f t="shared" si="475"/>
        <v>4.649891980596349E-2</v>
      </c>
      <c r="AD1364">
        <f t="shared" si="476"/>
        <v>4.0604421178646599E-3</v>
      </c>
      <c r="AE1364">
        <f t="shared" si="477"/>
        <v>2.9150005179494072E-2</v>
      </c>
      <c r="AG1364">
        <f t="shared" si="478"/>
        <v>1.1671627279651196</v>
      </c>
      <c r="AH1364">
        <f t="shared" si="479"/>
        <v>0.18040060691483548</v>
      </c>
      <c r="AI1364">
        <f t="shared" si="480"/>
        <v>-0.59987353140680844</v>
      </c>
      <c r="AK1364" s="26">
        <f t="shared" si="481"/>
        <v>9.5085734856337201E-5</v>
      </c>
      <c r="AL1364" s="26">
        <f t="shared" si="482"/>
        <v>-5.8349344454167451E-3</v>
      </c>
      <c r="AM1364" s="26">
        <f t="shared" si="483"/>
        <v>2.6265445132344412E-2</v>
      </c>
      <c r="AN1364" s="26">
        <f t="shared" si="484"/>
        <v>-2.817619047619047</v>
      </c>
      <c r="AO1364" s="26">
        <f t="shared" si="485"/>
        <v>-2.0055357142857275</v>
      </c>
      <c r="AP1364" s="26">
        <f t="shared" si="486"/>
        <v>-1.5309734513252238E-2</v>
      </c>
      <c r="AS1364" s="2">
        <v>44116</v>
      </c>
      <c r="AT1364">
        <v>18.5</v>
      </c>
      <c r="AU1364">
        <v>16.899999999999999</v>
      </c>
      <c r="AV1364">
        <v>27.3</v>
      </c>
      <c r="AW1364">
        <v>1.1000000000000001</v>
      </c>
      <c r="AX1364">
        <v>75.56</v>
      </c>
      <c r="AY1364">
        <v>0.4</v>
      </c>
      <c r="AZ1364">
        <v>3.4</v>
      </c>
      <c r="BA1364">
        <v>370.1454</v>
      </c>
      <c r="BB1364">
        <v>208.78880000000001</v>
      </c>
      <c r="BC1364">
        <v>159.14859999999999</v>
      </c>
      <c r="BD1364">
        <v>4.5907999999999998</v>
      </c>
      <c r="BE1364">
        <v>31.985800000000001</v>
      </c>
      <c r="BH1364">
        <v>95.68</v>
      </c>
    </row>
    <row r="1365" spans="1:60" x14ac:dyDescent="0.25">
      <c r="A1365" s="2">
        <v>44136</v>
      </c>
      <c r="B1365">
        <v>17.7</v>
      </c>
      <c r="C1365">
        <v>0</v>
      </c>
      <c r="D1365">
        <v>74.599999999999994</v>
      </c>
      <c r="E1365">
        <v>7.5</v>
      </c>
      <c r="F1365">
        <v>29.66</v>
      </c>
      <c r="G1365">
        <v>0.2</v>
      </c>
      <c r="H1365">
        <v>4</v>
      </c>
      <c r="I1365">
        <v>107.101</v>
      </c>
      <c r="J1365">
        <v>37.860199999999999</v>
      </c>
      <c r="K1365">
        <v>34.212400000000002</v>
      </c>
      <c r="L1365">
        <v>4.2550999999999997</v>
      </c>
      <c r="M1365">
        <v>13.8322</v>
      </c>
      <c r="P1365">
        <v>95</v>
      </c>
      <c r="S1365">
        <f t="shared" si="465"/>
        <v>330.92090000000002</v>
      </c>
      <c r="T1365">
        <f t="shared" si="466"/>
        <v>1.6593130350288476E-2</v>
      </c>
      <c r="U1365">
        <f t="shared" si="467"/>
        <v>0</v>
      </c>
      <c r="V1365">
        <f t="shared" si="468"/>
        <v>6.9934888369012446E-2</v>
      </c>
      <c r="W1365">
        <f t="shared" si="469"/>
        <v>7.0309874365629141E-3</v>
      </c>
      <c r="X1365">
        <f t="shared" si="470"/>
        <v>2.780521164912747E-2</v>
      </c>
      <c r="Y1365">
        <f t="shared" si="471"/>
        <v>1.874929983083444E-4</v>
      </c>
      <c r="Z1365">
        <f t="shared" si="472"/>
        <v>3.7498599661668877E-3</v>
      </c>
      <c r="AA1365">
        <f t="shared" si="473"/>
        <v>0.10040343805910995</v>
      </c>
      <c r="AB1365">
        <f t="shared" si="474"/>
        <v>3.5492612072767896E-2</v>
      </c>
      <c r="AC1365">
        <f t="shared" si="475"/>
        <v>3.2072927276622011E-2</v>
      </c>
      <c r="AD1365">
        <f t="shared" si="476"/>
        <v>3.9890072855091807E-3</v>
      </c>
      <c r="AE1365">
        <f t="shared" si="477"/>
        <v>1.2967203256003406E-2</v>
      </c>
      <c r="AG1365">
        <f t="shared" si="478"/>
        <v>1.1628265360433228</v>
      </c>
      <c r="AH1365">
        <f t="shared" si="479"/>
        <v>0.13826877402546994</v>
      </c>
      <c r="AI1365">
        <f t="shared" si="480"/>
        <v>-0.85215689237105796</v>
      </c>
      <c r="AK1365" s="26">
        <f t="shared" si="481"/>
        <v>-5.6525790900710526E-3</v>
      </c>
      <c r="AL1365" s="26">
        <f t="shared" si="482"/>
        <v>-5.6550683944323887E-3</v>
      </c>
      <c r="AM1365" s="26">
        <f t="shared" si="483"/>
        <v>2.7819609856296723E-2</v>
      </c>
      <c r="AN1365" s="26">
        <f t="shared" si="484"/>
        <v>-2.7738095238095184</v>
      </c>
      <c r="AO1365" s="26">
        <f t="shared" si="485"/>
        <v>-1.9821428571428612</v>
      </c>
      <c r="AP1365" s="26">
        <f t="shared" si="486"/>
        <v>6.3451327433639904E-2</v>
      </c>
      <c r="AS1365" s="2">
        <v>44115</v>
      </c>
      <c r="AT1365">
        <v>17.7</v>
      </c>
      <c r="AU1365">
        <v>23.4</v>
      </c>
      <c r="AV1365">
        <v>64.900000000000006</v>
      </c>
      <c r="AW1365">
        <v>3.8</v>
      </c>
      <c r="AX1365">
        <v>88.63</v>
      </c>
      <c r="AY1365">
        <v>0.5</v>
      </c>
      <c r="AZ1365">
        <v>3.2</v>
      </c>
      <c r="BA1365">
        <v>285.54450000000003</v>
      </c>
      <c r="BB1365">
        <v>62.827800000000003</v>
      </c>
      <c r="BC1365">
        <v>59.016500000000001</v>
      </c>
      <c r="BD1365">
        <v>4.2763999999999998</v>
      </c>
      <c r="BE1365">
        <v>16.088000000000001</v>
      </c>
      <c r="BH1365">
        <v>95.73</v>
      </c>
    </row>
    <row r="1366" spans="1:60" x14ac:dyDescent="0.25">
      <c r="A1366" s="2">
        <v>44135</v>
      </c>
      <c r="B1366">
        <v>19</v>
      </c>
      <c r="C1366">
        <v>16.5</v>
      </c>
      <c r="D1366">
        <v>39.299999999999997</v>
      </c>
      <c r="E1366">
        <v>3.6</v>
      </c>
      <c r="F1366">
        <v>73.92</v>
      </c>
      <c r="G1366">
        <v>0.2</v>
      </c>
      <c r="H1366">
        <v>4.2</v>
      </c>
      <c r="I1366">
        <v>309.32139999999998</v>
      </c>
      <c r="J1366">
        <v>45.5505</v>
      </c>
      <c r="K1366">
        <v>62.2331</v>
      </c>
      <c r="L1366">
        <v>4.2319000000000004</v>
      </c>
      <c r="M1366">
        <v>17.802499999999998</v>
      </c>
      <c r="P1366">
        <v>94.64</v>
      </c>
      <c r="S1366">
        <f t="shared" si="465"/>
        <v>595.85939999999994</v>
      </c>
      <c r="T1366">
        <f t="shared" si="466"/>
        <v>1.7811834839292717E-2</v>
      </c>
      <c r="U1366">
        <f t="shared" si="467"/>
        <v>1.5468172360438412E-2</v>
      </c>
      <c r="V1366">
        <f t="shared" si="468"/>
        <v>3.6842374167589668E-2</v>
      </c>
      <c r="W1366">
        <f t="shared" si="469"/>
        <v>3.3748739695501988E-3</v>
      </c>
      <c r="X1366">
        <f t="shared" si="470"/>
        <v>6.9297412174764081E-2</v>
      </c>
      <c r="Y1366">
        <f t="shared" si="471"/>
        <v>1.874929983083444E-4</v>
      </c>
      <c r="Z1366">
        <f t="shared" si="472"/>
        <v>3.9373529644752322E-3</v>
      </c>
      <c r="AA1366">
        <f t="shared" si="473"/>
        <v>0.28997798363467359</v>
      </c>
      <c r="AB1366">
        <f t="shared" si="474"/>
        <v>4.2701999097221201E-2</v>
      </c>
      <c r="AC1366">
        <f t="shared" si="475"/>
        <v>5.8341352565115134E-2</v>
      </c>
      <c r="AD1366">
        <f t="shared" si="476"/>
        <v>3.9672580977054136E-3</v>
      </c>
      <c r="AE1366">
        <f t="shared" si="477"/>
        <v>1.6689220511921503E-2</v>
      </c>
      <c r="AG1366">
        <f t="shared" si="478"/>
        <v>1.135280016485432</v>
      </c>
      <c r="AH1366">
        <f t="shared" si="479"/>
        <v>0.16360873398634015</v>
      </c>
      <c r="AI1366">
        <f t="shared" si="480"/>
        <v>-0.69966533915372708</v>
      </c>
      <c r="AK1366" s="26">
        <f t="shared" si="481"/>
        <v>-1.1629922837926299E-3</v>
      </c>
      <c r="AL1366" s="26">
        <f t="shared" si="482"/>
        <v>-9.273375237571907E-3</v>
      </c>
      <c r="AM1366" s="26">
        <f t="shared" si="483"/>
        <v>3.2003002733552444E-2</v>
      </c>
      <c r="AN1366" s="26">
        <f t="shared" si="484"/>
        <v>-2.7261904761904816</v>
      </c>
      <c r="AO1366" s="26">
        <f t="shared" si="485"/>
        <v>-1.9601785714285853</v>
      </c>
      <c r="AP1366" s="26">
        <f t="shared" si="486"/>
        <v>0.14115044247789399</v>
      </c>
      <c r="AS1366" s="2">
        <v>44114</v>
      </c>
      <c r="AT1366">
        <v>17.8</v>
      </c>
      <c r="AU1366">
        <v>0.6</v>
      </c>
      <c r="AV1366">
        <v>54.4</v>
      </c>
      <c r="AW1366">
        <v>4.5999999999999996</v>
      </c>
      <c r="AX1366">
        <v>73.45</v>
      </c>
      <c r="AY1366">
        <v>0.5</v>
      </c>
      <c r="AZ1366">
        <v>3.4</v>
      </c>
      <c r="BA1366">
        <v>323.60399999999998</v>
      </c>
      <c r="BB1366">
        <v>60.486800000000002</v>
      </c>
      <c r="BC1366">
        <v>61.491300000000003</v>
      </c>
      <c r="BD1366">
        <v>4.2957000000000001</v>
      </c>
      <c r="BE1366">
        <v>19.866099999999999</v>
      </c>
      <c r="BH1366">
        <v>95.69</v>
      </c>
    </row>
    <row r="1367" spans="1:60" x14ac:dyDescent="0.25">
      <c r="A1367" s="2">
        <v>44134</v>
      </c>
      <c r="B1367">
        <v>19.600000000000001</v>
      </c>
      <c r="C1367">
        <v>0.2</v>
      </c>
      <c r="D1367">
        <v>61.4</v>
      </c>
      <c r="E1367">
        <v>8.8000000000000007</v>
      </c>
      <c r="F1367">
        <v>22.78</v>
      </c>
      <c r="G1367">
        <v>0.4</v>
      </c>
      <c r="H1367">
        <v>4.3</v>
      </c>
      <c r="I1367">
        <v>301.7099</v>
      </c>
      <c r="J1367">
        <v>74.462800000000001</v>
      </c>
      <c r="K1367">
        <v>68.559600000000003</v>
      </c>
      <c r="L1367">
        <v>4.2449000000000003</v>
      </c>
      <c r="M1367">
        <v>23.104299999999999</v>
      </c>
      <c r="N1367">
        <v>-1.3445</v>
      </c>
      <c r="O1367">
        <v>-3.2871000000000001</v>
      </c>
      <c r="P1367">
        <v>94.44</v>
      </c>
      <c r="S1367">
        <f t="shared" si="465"/>
        <v>589.56150000000002</v>
      </c>
      <c r="T1367">
        <f t="shared" si="466"/>
        <v>1.837431383421775E-2</v>
      </c>
      <c r="U1367">
        <f t="shared" si="467"/>
        <v>1.874929983083444E-4</v>
      </c>
      <c r="V1367">
        <f t="shared" si="468"/>
        <v>5.7560350480661722E-2</v>
      </c>
      <c r="W1367">
        <f t="shared" si="469"/>
        <v>8.2496919255671541E-3</v>
      </c>
      <c r="X1367">
        <f t="shared" si="470"/>
        <v>2.1355452507320426E-2</v>
      </c>
      <c r="Y1367">
        <f t="shared" si="471"/>
        <v>3.7498599661668879E-4</v>
      </c>
      <c r="Z1367">
        <f t="shared" si="472"/>
        <v>4.0310994636294038E-3</v>
      </c>
      <c r="AA1367">
        <f t="shared" si="473"/>
        <v>0.28284246885155379</v>
      </c>
      <c r="AB1367">
        <f t="shared" si="474"/>
        <v>6.9806268172172933E-2</v>
      </c>
      <c r="AC1367">
        <f t="shared" si="475"/>
        <v>6.4272224834103844E-2</v>
      </c>
      <c r="AD1367">
        <f t="shared" si="476"/>
        <v>3.9794451425954553E-3</v>
      </c>
      <c r="AE1367">
        <f t="shared" si="477"/>
        <v>2.1659472404077403E-2</v>
      </c>
      <c r="AG1367">
        <f t="shared" si="478"/>
        <v>1.119620683248657</v>
      </c>
      <c r="AH1367">
        <f t="shared" si="479"/>
        <v>0.13179285961039888</v>
      </c>
      <c r="AI1367">
        <f t="shared" si="480"/>
        <v>-0.89249535866231799</v>
      </c>
      <c r="AK1367" s="26">
        <f t="shared" si="481"/>
        <v>-1.6145334572662262E-3</v>
      </c>
      <c r="AL1367" s="26">
        <f t="shared" si="482"/>
        <v>-8.5445330356300753E-3</v>
      </c>
      <c r="AM1367" s="26">
        <f t="shared" si="483"/>
        <v>3.3920639098740213E-2</v>
      </c>
      <c r="AN1367" s="26">
        <f t="shared" si="484"/>
        <v>-2.6633333333333269</v>
      </c>
      <c r="AO1367" s="26">
        <f t="shared" si="485"/>
        <v>-1.9344642857143128</v>
      </c>
      <c r="AP1367" s="26">
        <f t="shared" si="486"/>
        <v>0.22159292035399858</v>
      </c>
      <c r="AS1367" s="2">
        <v>44113</v>
      </c>
      <c r="AT1367">
        <v>18.7</v>
      </c>
      <c r="AU1367">
        <v>2.6</v>
      </c>
      <c r="AV1367">
        <v>50.9</v>
      </c>
      <c r="AW1367">
        <v>3.8</v>
      </c>
      <c r="AX1367">
        <v>81.010000000000005</v>
      </c>
      <c r="AY1367">
        <v>0.5</v>
      </c>
      <c r="AZ1367">
        <v>3.5</v>
      </c>
      <c r="BA1367">
        <v>306.51729999999998</v>
      </c>
      <c r="BB1367">
        <v>122.78579999999999</v>
      </c>
      <c r="BC1367">
        <v>131.93690000000001</v>
      </c>
      <c r="BD1367">
        <v>4.8643999999999998</v>
      </c>
      <c r="BE1367">
        <v>39.933399999999999</v>
      </c>
      <c r="BH1367">
        <v>95.46</v>
      </c>
    </row>
    <row r="1368" spans="1:60" x14ac:dyDescent="0.25">
      <c r="A1368" s="2">
        <v>44133</v>
      </c>
      <c r="B1368">
        <v>17.3</v>
      </c>
      <c r="C1368">
        <v>3.1</v>
      </c>
      <c r="D1368">
        <v>66.3</v>
      </c>
      <c r="E1368">
        <v>8.1</v>
      </c>
      <c r="F1368">
        <v>53.44</v>
      </c>
      <c r="G1368">
        <v>0.5</v>
      </c>
      <c r="H1368">
        <v>4.2</v>
      </c>
      <c r="I1368">
        <v>304.88069999999999</v>
      </c>
      <c r="J1368">
        <v>81.680400000000006</v>
      </c>
      <c r="K1368">
        <v>76.869799999999998</v>
      </c>
      <c r="L1368">
        <v>4.29</v>
      </c>
      <c r="M1368">
        <v>22.664400000000001</v>
      </c>
      <c r="N1368">
        <v>-1.3865000000000001</v>
      </c>
      <c r="O1368">
        <v>-3.1581000000000001</v>
      </c>
      <c r="P1368">
        <v>94.4</v>
      </c>
      <c r="S1368">
        <f t="shared" si="465"/>
        <v>643.32529999999986</v>
      </c>
      <c r="T1368">
        <f t="shared" si="466"/>
        <v>1.621814435367179E-2</v>
      </c>
      <c r="U1368">
        <f t="shared" si="467"/>
        <v>2.9061414737793379E-3</v>
      </c>
      <c r="V1368">
        <f t="shared" si="468"/>
        <v>6.215392893921616E-2</v>
      </c>
      <c r="W1368">
        <f t="shared" si="469"/>
        <v>7.593466431487947E-3</v>
      </c>
      <c r="X1368">
        <f t="shared" si="470"/>
        <v>5.0098129147989619E-2</v>
      </c>
      <c r="Y1368">
        <f t="shared" si="471"/>
        <v>4.6873249577086097E-4</v>
      </c>
      <c r="Z1368">
        <f t="shared" si="472"/>
        <v>3.9373529644752322E-3</v>
      </c>
      <c r="AA1368">
        <f t="shared" si="473"/>
        <v>0.28581498284673423</v>
      </c>
      <c r="AB1368">
        <f t="shared" si="474"/>
        <v>7.6572515495124463E-2</v>
      </c>
      <c r="AC1368">
        <f t="shared" si="475"/>
        <v>7.2062746406813857E-2</v>
      </c>
      <c r="AD1368">
        <f t="shared" si="476"/>
        <v>4.0217248137139868E-3</v>
      </c>
      <c r="AE1368">
        <f t="shared" si="477"/>
        <v>2.1247081554298202E-2</v>
      </c>
      <c r="AG1368">
        <f t="shared" si="478"/>
        <v>1.1158876991947961</v>
      </c>
      <c r="AH1368">
        <f t="shared" si="479"/>
        <v>0.16462297736068915</v>
      </c>
      <c r="AI1368">
        <f t="shared" si="480"/>
        <v>-0.69666654583059884</v>
      </c>
      <c r="AK1368" s="26">
        <f t="shared" si="481"/>
        <v>7.4946754778551505E-4</v>
      </c>
      <c r="AL1368" s="26">
        <f t="shared" si="482"/>
        <v>-8.0960899607475656E-3</v>
      </c>
      <c r="AM1368" s="26">
        <f t="shared" si="483"/>
        <v>3.6321091527388716E-2</v>
      </c>
      <c r="AN1368" s="26">
        <f t="shared" si="484"/>
        <v>-2.5980952380952118</v>
      </c>
      <c r="AO1368" s="26">
        <f t="shared" si="485"/>
        <v>-1.9000000000000483</v>
      </c>
      <c r="AP1368" s="26">
        <f t="shared" si="486"/>
        <v>0.30769911504425806</v>
      </c>
      <c r="AS1368" s="2">
        <v>44112</v>
      </c>
      <c r="AT1368">
        <v>19.5</v>
      </c>
      <c r="AU1368">
        <v>1.6</v>
      </c>
      <c r="AV1368">
        <v>68.5</v>
      </c>
      <c r="AW1368">
        <v>5.6</v>
      </c>
      <c r="AX1368">
        <v>78</v>
      </c>
      <c r="AY1368">
        <v>0.5</v>
      </c>
      <c r="AZ1368">
        <v>3.3</v>
      </c>
      <c r="BA1368">
        <v>260.73579999999998</v>
      </c>
      <c r="BB1368">
        <v>78.758300000000006</v>
      </c>
      <c r="BC1368">
        <v>80.161100000000005</v>
      </c>
      <c r="BD1368">
        <v>7.7972000000000001</v>
      </c>
      <c r="BE1368">
        <v>18.4968</v>
      </c>
      <c r="BH1368">
        <v>95.39</v>
      </c>
    </row>
    <row r="1369" spans="1:60" x14ac:dyDescent="0.25">
      <c r="A1369" s="2">
        <v>44132</v>
      </c>
      <c r="B1369">
        <v>18</v>
      </c>
      <c r="C1369">
        <v>19.2</v>
      </c>
      <c r="D1369">
        <v>70.400000000000006</v>
      </c>
      <c r="E1369">
        <v>9</v>
      </c>
      <c r="F1369">
        <v>62.1</v>
      </c>
      <c r="G1369">
        <v>0.5</v>
      </c>
      <c r="H1369">
        <v>4.0999999999999996</v>
      </c>
      <c r="I1369">
        <v>307.7251</v>
      </c>
      <c r="J1369">
        <v>83.433800000000005</v>
      </c>
      <c r="K1369">
        <v>79.773799999999994</v>
      </c>
      <c r="L1369">
        <v>3.9186000000000001</v>
      </c>
      <c r="M1369">
        <v>25.741700000000002</v>
      </c>
      <c r="N1369">
        <v>-1.9821</v>
      </c>
      <c r="O1369">
        <v>-3.2492999999999999</v>
      </c>
      <c r="P1369">
        <v>94.44</v>
      </c>
      <c r="S1369">
        <f t="shared" si="465"/>
        <v>683.89300000000003</v>
      </c>
      <c r="T1369">
        <f t="shared" si="466"/>
        <v>1.6874369847750995E-2</v>
      </c>
      <c r="U1369">
        <f t="shared" si="467"/>
        <v>1.799932783760106E-2</v>
      </c>
      <c r="V1369">
        <f t="shared" si="468"/>
        <v>6.5997535404537233E-2</v>
      </c>
      <c r="W1369">
        <f t="shared" si="469"/>
        <v>8.4371849238754973E-3</v>
      </c>
      <c r="X1369">
        <f t="shared" si="470"/>
        <v>5.8216575974740933E-2</v>
      </c>
      <c r="Y1369">
        <f t="shared" si="471"/>
        <v>4.6873249577086097E-4</v>
      </c>
      <c r="Z1369">
        <f t="shared" si="472"/>
        <v>3.8436064653210593E-3</v>
      </c>
      <c r="AA1369">
        <f t="shared" si="473"/>
        <v>0.28848150826867552</v>
      </c>
      <c r="AB1369">
        <f t="shared" si="474"/>
        <v>7.8216266611293717E-2</v>
      </c>
      <c r="AC1369">
        <f t="shared" si="475"/>
        <v>7.4785144742251008E-2</v>
      </c>
      <c r="AD1369">
        <f t="shared" si="476"/>
        <v>3.6735503158553916E-3</v>
      </c>
      <c r="AE1369">
        <f t="shared" si="477"/>
        <v>2.4131942572769544E-2</v>
      </c>
      <c r="AG1369">
        <f t="shared" si="478"/>
        <v>1.1180608748213376</v>
      </c>
      <c r="AH1369">
        <f t="shared" si="479"/>
        <v>0.1959692755223672</v>
      </c>
      <c r="AI1369">
        <f t="shared" si="480"/>
        <v>-0.50756917733865692</v>
      </c>
      <c r="AK1369" s="26">
        <f t="shared" si="481"/>
        <v>7.4549001774998347E-4</v>
      </c>
      <c r="AL1369" s="26">
        <f t="shared" si="482"/>
        <v>-8.7634177187980444E-3</v>
      </c>
      <c r="AM1369" s="26">
        <f t="shared" si="483"/>
        <v>3.8261368458291478E-2</v>
      </c>
      <c r="AN1369" s="26">
        <f t="shared" si="484"/>
        <v>-2.5285714285714249</v>
      </c>
      <c r="AO1369" s="26">
        <f t="shared" si="485"/>
        <v>-1.8621428571428851</v>
      </c>
      <c r="AP1369" s="26">
        <f t="shared" si="486"/>
        <v>0.39628318584071565</v>
      </c>
      <c r="AS1369" s="2">
        <v>44111</v>
      </c>
      <c r="AT1369">
        <v>19.899999999999999</v>
      </c>
      <c r="AU1369">
        <v>2.7</v>
      </c>
      <c r="AV1369">
        <v>53.1</v>
      </c>
      <c r="AW1369">
        <v>5.0999999999999996</v>
      </c>
      <c r="AX1369">
        <v>74.81</v>
      </c>
      <c r="AY1369">
        <v>0.5</v>
      </c>
      <c r="AZ1369">
        <v>3.2</v>
      </c>
      <c r="BA1369">
        <v>301.79360000000003</v>
      </c>
      <c r="BB1369">
        <v>103.4076</v>
      </c>
      <c r="BC1369">
        <v>101.53789999999999</v>
      </c>
      <c r="BD1369">
        <v>4.6260000000000003</v>
      </c>
      <c r="BE1369">
        <v>28.982099999999999</v>
      </c>
      <c r="BH1369">
        <v>95.35</v>
      </c>
    </row>
    <row r="1370" spans="1:60" x14ac:dyDescent="0.25">
      <c r="A1370" s="2">
        <v>44131</v>
      </c>
      <c r="B1370">
        <v>17.8</v>
      </c>
      <c r="C1370">
        <v>0</v>
      </c>
      <c r="D1370">
        <v>73.400000000000006</v>
      </c>
      <c r="E1370">
        <v>8.1</v>
      </c>
      <c r="F1370">
        <v>63.67</v>
      </c>
      <c r="G1370">
        <v>0.4</v>
      </c>
      <c r="H1370">
        <v>3.5</v>
      </c>
      <c r="I1370">
        <v>287.3476</v>
      </c>
      <c r="J1370">
        <v>82.714299999999994</v>
      </c>
      <c r="K1370">
        <v>84.623800000000003</v>
      </c>
      <c r="L1370">
        <v>3.2397</v>
      </c>
      <c r="M1370">
        <v>20.7043</v>
      </c>
      <c r="N1370">
        <v>-1.7182999999999999</v>
      </c>
      <c r="O1370">
        <v>-3.1768999999999998</v>
      </c>
      <c r="P1370">
        <v>94.52</v>
      </c>
      <c r="S1370">
        <f t="shared" si="465"/>
        <v>645.49969999999996</v>
      </c>
      <c r="T1370">
        <f t="shared" si="466"/>
        <v>1.6686876849442651E-2</v>
      </c>
      <c r="U1370">
        <f t="shared" si="467"/>
        <v>0</v>
      </c>
      <c r="V1370">
        <f t="shared" si="468"/>
        <v>6.8809930379162387E-2</v>
      </c>
      <c r="W1370">
        <f t="shared" si="469"/>
        <v>7.593466431487947E-3</v>
      </c>
      <c r="X1370">
        <f t="shared" si="470"/>
        <v>5.9688396011461434E-2</v>
      </c>
      <c r="Y1370">
        <f t="shared" si="471"/>
        <v>3.7498599661668879E-4</v>
      </c>
      <c r="Z1370">
        <f t="shared" si="472"/>
        <v>3.2811274703960268E-3</v>
      </c>
      <c r="AA1370">
        <f t="shared" si="473"/>
        <v>0.26937831540353407</v>
      </c>
      <c r="AB1370">
        <f t="shared" si="474"/>
        <v>7.7541760549879449E-2</v>
      </c>
      <c r="AC1370">
        <f t="shared" si="475"/>
        <v>7.933184995122837E-2</v>
      </c>
      <c r="AD1370">
        <f t="shared" si="476"/>
        <v>3.0371053330977165E-3</v>
      </c>
      <c r="AE1370">
        <f t="shared" si="477"/>
        <v>1.9409556424377274E-2</v>
      </c>
      <c r="AG1370">
        <f t="shared" si="478"/>
        <v>1.1232237194170589</v>
      </c>
      <c r="AH1370">
        <f t="shared" si="479"/>
        <v>0.1758443395629444</v>
      </c>
      <c r="AI1370">
        <f t="shared" si="480"/>
        <v>-0.62765254308139196</v>
      </c>
      <c r="AK1370" s="26">
        <f t="shared" si="481"/>
        <v>-1.6438270061924498E-3</v>
      </c>
      <c r="AL1370" s="26">
        <f t="shared" si="482"/>
        <v>-7.6642048612782232E-3</v>
      </c>
      <c r="AM1370" s="26">
        <f t="shared" si="483"/>
        <v>3.9654285182826432E-2</v>
      </c>
      <c r="AN1370" s="26">
        <f t="shared" si="484"/>
        <v>-2.4580952380952397</v>
      </c>
      <c r="AO1370" s="26">
        <f t="shared" si="485"/>
        <v>-1.8230357142857372</v>
      </c>
      <c r="AP1370" s="26">
        <f t="shared" si="486"/>
        <v>0.48716814159291744</v>
      </c>
      <c r="AS1370" s="2">
        <v>44110</v>
      </c>
      <c r="AT1370">
        <v>20.2</v>
      </c>
      <c r="AU1370">
        <v>55.1</v>
      </c>
      <c r="AV1370">
        <v>70.3</v>
      </c>
      <c r="AW1370">
        <v>6.9</v>
      </c>
      <c r="AX1370">
        <v>67.62</v>
      </c>
      <c r="AY1370">
        <v>0.5</v>
      </c>
      <c r="AZ1370">
        <v>3</v>
      </c>
      <c r="BA1370">
        <v>256.8655</v>
      </c>
      <c r="BB1370">
        <v>86.197400000000002</v>
      </c>
      <c r="BC1370">
        <v>87.565700000000007</v>
      </c>
      <c r="BD1370">
        <v>4.4907000000000004</v>
      </c>
      <c r="BE1370">
        <v>29.9651</v>
      </c>
      <c r="BH1370">
        <v>95.31</v>
      </c>
    </row>
    <row r="1371" spans="1:60" x14ac:dyDescent="0.25">
      <c r="A1371" s="2">
        <v>44130</v>
      </c>
      <c r="B1371">
        <v>15</v>
      </c>
      <c r="C1371">
        <v>0.8</v>
      </c>
      <c r="D1371">
        <v>60.2</v>
      </c>
      <c r="E1371">
        <v>3.9</v>
      </c>
      <c r="F1371">
        <v>27.14</v>
      </c>
      <c r="G1371">
        <v>0.5</v>
      </c>
      <c r="H1371">
        <v>3.8</v>
      </c>
      <c r="I1371">
        <v>331.41199999999998</v>
      </c>
      <c r="J1371">
        <v>107.535</v>
      </c>
      <c r="K1371">
        <v>113.2484</v>
      </c>
      <c r="L1371">
        <v>3.1303999999999998</v>
      </c>
      <c r="M1371">
        <v>31.728400000000001</v>
      </c>
      <c r="N1371">
        <v>-1.0067999999999999</v>
      </c>
      <c r="O1371">
        <v>-2.1976</v>
      </c>
      <c r="P1371">
        <v>94.67</v>
      </c>
      <c r="S1371">
        <f t="shared" si="465"/>
        <v>698.39419999999996</v>
      </c>
      <c r="T1371">
        <f t="shared" si="466"/>
        <v>1.4061974873125828E-2</v>
      </c>
      <c r="U1371">
        <f t="shared" si="467"/>
        <v>7.4997199323337759E-4</v>
      </c>
      <c r="V1371">
        <f t="shared" si="468"/>
        <v>5.6435392490811663E-2</v>
      </c>
      <c r="W1371">
        <f t="shared" si="469"/>
        <v>3.6561134670127153E-3</v>
      </c>
      <c r="X1371">
        <f t="shared" si="470"/>
        <v>2.5442799870442335E-2</v>
      </c>
      <c r="Y1371">
        <f t="shared" si="471"/>
        <v>4.6873249577086097E-4</v>
      </c>
      <c r="Z1371">
        <f t="shared" si="472"/>
        <v>3.5623669678585433E-3</v>
      </c>
      <c r="AA1371">
        <f t="shared" si="473"/>
        <v>0.3106871477768251</v>
      </c>
      <c r="AB1371">
        <f t="shared" si="474"/>
        <v>0.10081029786543906</v>
      </c>
      <c r="AC1371">
        <f t="shared" si="475"/>
        <v>0.10616641034811354</v>
      </c>
      <c r="AD1371">
        <f t="shared" si="476"/>
        <v>2.9346404095222062E-3</v>
      </c>
      <c r="AE1371">
        <f t="shared" si="477"/>
        <v>2.9744264237632372E-2</v>
      </c>
      <c r="AG1371">
        <f t="shared" si="478"/>
        <v>1.1336379172227791</v>
      </c>
      <c r="AH1371">
        <f t="shared" si="479"/>
        <v>0.13412161639588768</v>
      </c>
      <c r="AI1371">
        <f t="shared" si="480"/>
        <v>-0.87853699033435217</v>
      </c>
      <c r="AK1371" s="26">
        <f t="shared" si="481"/>
        <v>1.8536495277753917E-3</v>
      </c>
      <c r="AL1371" s="26">
        <f t="shared" si="482"/>
        <v>-8.4211609686986044E-3</v>
      </c>
      <c r="AM1371" s="26">
        <f t="shared" si="483"/>
        <v>4.2391810471232916E-2</v>
      </c>
      <c r="AN1371" s="26">
        <f t="shared" si="484"/>
        <v>-2.3971428571428675</v>
      </c>
      <c r="AO1371" s="26">
        <f t="shared" si="485"/>
        <v>-1.7869642857143049</v>
      </c>
      <c r="AP1371" s="26">
        <f t="shared" si="486"/>
        <v>0.57982300884954441</v>
      </c>
      <c r="AS1371" s="2">
        <v>44109</v>
      </c>
      <c r="AT1371">
        <v>20.3</v>
      </c>
      <c r="AU1371">
        <v>19.600000000000001</v>
      </c>
      <c r="AV1371">
        <v>82.8</v>
      </c>
      <c r="AW1371">
        <v>5.4</v>
      </c>
      <c r="AX1371">
        <v>77.44</v>
      </c>
      <c r="AY1371">
        <v>0.5</v>
      </c>
      <c r="AZ1371">
        <v>2.9</v>
      </c>
      <c r="BA1371">
        <v>199.8373</v>
      </c>
      <c r="BB1371">
        <v>80.296899999999994</v>
      </c>
      <c r="BC1371">
        <v>114.5844</v>
      </c>
      <c r="BD1371">
        <v>4.3011999999999997</v>
      </c>
      <c r="BE1371">
        <v>33.209800000000001</v>
      </c>
      <c r="BH1371">
        <v>95.24</v>
      </c>
    </row>
    <row r="1372" spans="1:60" x14ac:dyDescent="0.25">
      <c r="A1372" s="2">
        <v>44129</v>
      </c>
      <c r="B1372">
        <v>14.7</v>
      </c>
      <c r="C1372">
        <v>17.5</v>
      </c>
      <c r="D1372">
        <v>76.900000000000006</v>
      </c>
      <c r="E1372">
        <v>7.6</v>
      </c>
      <c r="F1372">
        <v>84.22</v>
      </c>
      <c r="G1372">
        <v>0.5</v>
      </c>
      <c r="H1372">
        <v>3</v>
      </c>
      <c r="I1372">
        <v>154.9195</v>
      </c>
      <c r="J1372">
        <v>30.839400000000001</v>
      </c>
      <c r="K1372">
        <v>33.571199999999997</v>
      </c>
      <c r="L1372">
        <v>3.0011000000000001</v>
      </c>
      <c r="M1372">
        <v>17.079899999999999</v>
      </c>
      <c r="P1372">
        <v>94.67</v>
      </c>
      <c r="S1372">
        <f t="shared" si="465"/>
        <v>443.83110000000005</v>
      </c>
      <c r="T1372">
        <f t="shared" si="466"/>
        <v>1.3780735375663312E-2</v>
      </c>
      <c r="U1372">
        <f t="shared" si="467"/>
        <v>1.6405637351980133E-2</v>
      </c>
      <c r="V1372">
        <f t="shared" si="468"/>
        <v>7.2091057849558424E-2</v>
      </c>
      <c r="W1372">
        <f t="shared" si="469"/>
        <v>7.1247339357170866E-3</v>
      </c>
      <c r="X1372">
        <f t="shared" si="470"/>
        <v>7.8953301587643812E-2</v>
      </c>
      <c r="Y1372">
        <f t="shared" si="471"/>
        <v>4.6873249577086097E-4</v>
      </c>
      <c r="Z1372">
        <f t="shared" si="472"/>
        <v>2.8123949746251659E-3</v>
      </c>
      <c r="AA1372">
        <f t="shared" si="473"/>
        <v>0.14523160775714777</v>
      </c>
      <c r="AB1372">
        <f t="shared" si="474"/>
        <v>2.8910857860151781E-2</v>
      </c>
      <c r="AC1372">
        <f t="shared" si="475"/>
        <v>3.1471824724045451E-2</v>
      </c>
      <c r="AD1372">
        <f t="shared" si="476"/>
        <v>2.8134261861158618E-3</v>
      </c>
      <c r="AE1372">
        <f t="shared" si="477"/>
        <v>1.6011808309033454E-2</v>
      </c>
      <c r="AG1372">
        <f t="shared" si="478"/>
        <v>1.1328882375924234</v>
      </c>
      <c r="AH1372">
        <f t="shared" si="479"/>
        <v>0.20764840187999223</v>
      </c>
      <c r="AI1372">
        <f t="shared" si="480"/>
        <v>-0.43676846905887945</v>
      </c>
      <c r="AK1372" s="26">
        <f t="shared" si="481"/>
        <v>8.6190709887105921E-3</v>
      </c>
      <c r="AL1372" s="26">
        <f t="shared" si="482"/>
        <v>-5.9259723403632392E-3</v>
      </c>
      <c r="AM1372" s="26">
        <f t="shared" si="483"/>
        <v>4.712767644610194E-2</v>
      </c>
      <c r="AN1372" s="26">
        <f t="shared" si="484"/>
        <v>-2.3476190476190482</v>
      </c>
      <c r="AO1372" s="26">
        <f t="shared" si="485"/>
        <v>-1.7460714285714687</v>
      </c>
      <c r="AP1372" s="26">
        <f t="shared" si="486"/>
        <v>0.67168141592919994</v>
      </c>
      <c r="AS1372" s="2">
        <v>44108</v>
      </c>
      <c r="AT1372">
        <v>19.7</v>
      </c>
      <c r="AU1372">
        <v>21.5</v>
      </c>
      <c r="AV1372">
        <v>67.7</v>
      </c>
      <c r="AW1372">
        <v>5.8</v>
      </c>
      <c r="AX1372">
        <v>131.88999999999999</v>
      </c>
      <c r="AY1372">
        <v>0.5</v>
      </c>
      <c r="AZ1372">
        <v>2.9</v>
      </c>
      <c r="BA1372">
        <v>109.3305</v>
      </c>
      <c r="BB1372">
        <v>33.444200000000002</v>
      </c>
      <c r="BC1372">
        <v>34.542499999999997</v>
      </c>
      <c r="BD1372">
        <v>4.3364000000000003</v>
      </c>
      <c r="BE1372">
        <v>18.1205</v>
      </c>
      <c r="BH1372">
        <v>95.19</v>
      </c>
    </row>
    <row r="1373" spans="1:60" x14ac:dyDescent="0.25">
      <c r="A1373" s="2">
        <v>44128</v>
      </c>
      <c r="B1373">
        <v>16.2</v>
      </c>
      <c r="C1373">
        <v>63.2</v>
      </c>
      <c r="D1373">
        <v>67.3</v>
      </c>
      <c r="E1373">
        <v>6.6</v>
      </c>
      <c r="F1373">
        <v>76.64</v>
      </c>
      <c r="G1373">
        <v>0.5</v>
      </c>
      <c r="H1373">
        <v>4</v>
      </c>
      <c r="I1373">
        <v>195.81809999999999</v>
      </c>
      <c r="J1373">
        <v>43.330800000000004</v>
      </c>
      <c r="K1373">
        <v>45.567599999999999</v>
      </c>
      <c r="L1373">
        <v>3.1482000000000001</v>
      </c>
      <c r="M1373">
        <v>19.401399999999999</v>
      </c>
      <c r="P1373">
        <v>94.48</v>
      </c>
      <c r="S1373">
        <f t="shared" si="465"/>
        <v>541.70609999999999</v>
      </c>
      <c r="T1373">
        <f t="shared" si="466"/>
        <v>1.5186932862975894E-2</v>
      </c>
      <c r="U1373">
        <f t="shared" si="467"/>
        <v>5.9247787465436824E-2</v>
      </c>
      <c r="V1373">
        <f t="shared" si="468"/>
        <v>6.3091393930757883E-2</v>
      </c>
      <c r="W1373">
        <f t="shared" si="469"/>
        <v>6.1872689441753639E-3</v>
      </c>
      <c r="X1373">
        <f t="shared" si="470"/>
        <v>7.184731695175757E-2</v>
      </c>
      <c r="Y1373">
        <f t="shared" si="471"/>
        <v>4.6873249577086097E-4</v>
      </c>
      <c r="Z1373">
        <f t="shared" si="472"/>
        <v>3.7498599661668877E-3</v>
      </c>
      <c r="AA1373">
        <f t="shared" si="473"/>
        <v>0.18357261346021606</v>
      </c>
      <c r="AB1373">
        <f t="shared" si="474"/>
        <v>4.0621108055496048E-2</v>
      </c>
      <c r="AC1373">
        <f t="shared" si="475"/>
        <v>4.2718029748576566E-2</v>
      </c>
      <c r="AD1373">
        <f t="shared" si="476"/>
        <v>2.9513272863716492E-3</v>
      </c>
      <c r="AE1373">
        <f t="shared" si="477"/>
        <v>1.8188133286897563E-2</v>
      </c>
      <c r="AG1373">
        <f t="shared" si="478"/>
        <v>1.1179573097400815</v>
      </c>
      <c r="AH1373">
        <f t="shared" si="479"/>
        <v>0.23796742590393885</v>
      </c>
      <c r="AI1373">
        <f t="shared" si="480"/>
        <v>-0.25390832817435288</v>
      </c>
      <c r="AK1373" s="26">
        <f t="shared" si="481"/>
        <v>1.0517759013151079E-2</v>
      </c>
      <c r="AL1373" s="26">
        <f t="shared" si="482"/>
        <v>-9.4236425054929629E-3</v>
      </c>
      <c r="AM1373" s="26">
        <f t="shared" si="483"/>
        <v>5.0991163767254932E-2</v>
      </c>
      <c r="AN1373" s="26">
        <f t="shared" si="484"/>
        <v>-2.2976190476190368</v>
      </c>
      <c r="AO1373" s="26">
        <f t="shared" si="485"/>
        <v>-1.6978571428571456</v>
      </c>
      <c r="AP1373" s="26">
        <f t="shared" si="486"/>
        <v>0.76265486725664289</v>
      </c>
      <c r="AS1373" s="2">
        <v>44107</v>
      </c>
      <c r="AT1373">
        <v>17.7</v>
      </c>
      <c r="AU1373">
        <v>23.7</v>
      </c>
      <c r="AV1373">
        <v>88.6</v>
      </c>
      <c r="AW1373">
        <v>8.1999999999999993</v>
      </c>
      <c r="AX1373">
        <v>82.1</v>
      </c>
      <c r="AY1373">
        <v>0.5</v>
      </c>
      <c r="AZ1373">
        <v>3.2</v>
      </c>
      <c r="BA1373">
        <v>128.69669999999999</v>
      </c>
      <c r="BB1373">
        <v>38.063400000000001</v>
      </c>
      <c r="BC1373">
        <v>46.548099999999998</v>
      </c>
      <c r="BD1373">
        <v>4.3060999999999998</v>
      </c>
      <c r="BE1373">
        <v>33.082999999999998</v>
      </c>
      <c r="BH1373">
        <v>94.97</v>
      </c>
    </row>
    <row r="1374" spans="1:60" x14ac:dyDescent="0.25">
      <c r="A1374" s="2">
        <v>44127</v>
      </c>
      <c r="B1374">
        <v>14.6</v>
      </c>
      <c r="C1374">
        <v>16.399999999999999</v>
      </c>
      <c r="D1374">
        <v>59.5</v>
      </c>
      <c r="E1374">
        <v>3.4</v>
      </c>
      <c r="F1374">
        <v>43.75</v>
      </c>
      <c r="G1374">
        <v>0.5</v>
      </c>
      <c r="H1374">
        <v>4.2</v>
      </c>
      <c r="I1374">
        <v>355.2482</v>
      </c>
      <c r="J1374">
        <v>197.3597</v>
      </c>
      <c r="K1374">
        <v>128.41800000000001</v>
      </c>
      <c r="L1374">
        <v>3.1303999999999998</v>
      </c>
      <c r="M1374">
        <v>29.8782</v>
      </c>
      <c r="N1374">
        <v>-1.3782000000000001</v>
      </c>
      <c r="O1374">
        <v>-2.4691999999999998</v>
      </c>
      <c r="P1374">
        <v>94.44</v>
      </c>
      <c r="S1374">
        <f t="shared" si="465"/>
        <v>856.3845</v>
      </c>
      <c r="T1374">
        <f t="shared" si="466"/>
        <v>1.368698887650914E-2</v>
      </c>
      <c r="U1374">
        <f t="shared" si="467"/>
        <v>1.5374425861284237E-2</v>
      </c>
      <c r="V1374">
        <f t="shared" si="468"/>
        <v>5.5779166996732452E-2</v>
      </c>
      <c r="W1374">
        <f t="shared" si="469"/>
        <v>3.1873809712418544E-3</v>
      </c>
      <c r="X1374">
        <f t="shared" si="470"/>
        <v>4.1014093379950337E-2</v>
      </c>
      <c r="Y1374">
        <f t="shared" si="471"/>
        <v>4.6873249577086097E-4</v>
      </c>
      <c r="Z1374">
        <f t="shared" si="472"/>
        <v>3.9373529644752322E-3</v>
      </c>
      <c r="AA1374">
        <f t="shared" si="473"/>
        <v>0.33303275080821193</v>
      </c>
      <c r="AB1374">
        <f t="shared" si="474"/>
        <v>0.18501780949117677</v>
      </c>
      <c r="AC1374">
        <f t="shared" si="475"/>
        <v>0.12038737928380484</v>
      </c>
      <c r="AD1374">
        <f t="shared" si="476"/>
        <v>2.9346404095222062E-3</v>
      </c>
      <c r="AE1374">
        <f t="shared" si="477"/>
        <v>2.8009766510281874E-2</v>
      </c>
      <c r="AG1374">
        <f t="shared" si="478"/>
        <v>1.1141983918760314</v>
      </c>
      <c r="AH1374">
        <f t="shared" si="479"/>
        <v>0.16145790805624596</v>
      </c>
      <c r="AI1374">
        <f t="shared" si="480"/>
        <v>-0.71349657711695313</v>
      </c>
      <c r="AK1374" s="26">
        <f t="shared" si="481"/>
        <v>9.8655378338214084E-3</v>
      </c>
      <c r="AL1374" s="26">
        <f t="shared" si="482"/>
        <v>-1.8789009843449278E-2</v>
      </c>
      <c r="AM1374" s="26">
        <f t="shared" si="483"/>
        <v>5.4140815411994836E-2</v>
      </c>
      <c r="AN1374" s="26">
        <f t="shared" si="484"/>
        <v>-2.2509523809523557</v>
      </c>
      <c r="AO1374" s="26">
        <f t="shared" si="485"/>
        <v>-1.6458928571428686</v>
      </c>
      <c r="AP1374" s="26">
        <f t="shared" si="486"/>
        <v>0.8542477876106318</v>
      </c>
      <c r="AS1374" s="2">
        <v>44106</v>
      </c>
      <c r="AT1374">
        <v>17.3</v>
      </c>
      <c r="AU1374">
        <v>2.5</v>
      </c>
      <c r="AV1374">
        <v>49.2</v>
      </c>
      <c r="AW1374">
        <v>5.4</v>
      </c>
      <c r="AX1374">
        <v>104.98</v>
      </c>
      <c r="AY1374">
        <v>0.5</v>
      </c>
      <c r="AZ1374">
        <v>3.4</v>
      </c>
      <c r="BA1374">
        <v>271.10289999999998</v>
      </c>
      <c r="BB1374">
        <v>101.87649999999999</v>
      </c>
      <c r="BC1374">
        <v>110.8141</v>
      </c>
      <c r="BD1374">
        <v>4.3047000000000004</v>
      </c>
      <c r="BE1374">
        <v>24.0702</v>
      </c>
      <c r="BH1374">
        <v>94.77</v>
      </c>
    </row>
    <row r="1375" spans="1:60" x14ac:dyDescent="0.25">
      <c r="A1375" s="2">
        <v>44126</v>
      </c>
      <c r="B1375">
        <v>14.3</v>
      </c>
      <c r="C1375">
        <v>2.2999999999999998</v>
      </c>
      <c r="D1375">
        <v>78.3</v>
      </c>
      <c r="E1375">
        <v>9.6</v>
      </c>
      <c r="F1375">
        <v>87.96</v>
      </c>
      <c r="G1375">
        <v>0.5</v>
      </c>
      <c r="H1375">
        <v>3.9</v>
      </c>
      <c r="I1375">
        <v>286.50920000000002</v>
      </c>
      <c r="J1375">
        <v>120.2139</v>
      </c>
      <c r="K1375">
        <v>88.221500000000006</v>
      </c>
      <c r="L1375">
        <v>3.1394000000000002</v>
      </c>
      <c r="M1375">
        <v>24.386099999999999</v>
      </c>
      <c r="N1375">
        <v>-1.4914000000000001</v>
      </c>
      <c r="O1375">
        <v>-2.2019000000000002</v>
      </c>
      <c r="P1375">
        <v>94.48</v>
      </c>
      <c r="S1375">
        <f t="shared" si="465"/>
        <v>719.3300999999999</v>
      </c>
      <c r="T1375">
        <f t="shared" si="466"/>
        <v>1.3405749379046624E-2</v>
      </c>
      <c r="U1375">
        <f t="shared" si="467"/>
        <v>2.1561694805459601E-3</v>
      </c>
      <c r="V1375">
        <f t="shared" si="468"/>
        <v>7.3403508837716819E-2</v>
      </c>
      <c r="W1375">
        <f t="shared" si="469"/>
        <v>8.9996639188005302E-3</v>
      </c>
      <c r="X1375">
        <f t="shared" si="470"/>
        <v>8.2459420656009849E-2</v>
      </c>
      <c r="Y1375">
        <f t="shared" si="471"/>
        <v>4.6873249577086097E-4</v>
      </c>
      <c r="Z1375">
        <f t="shared" si="472"/>
        <v>3.6561134670127153E-3</v>
      </c>
      <c r="AA1375">
        <f t="shared" si="473"/>
        <v>0.26859234475462551</v>
      </c>
      <c r="AB1375">
        <f t="shared" si="474"/>
        <v>0.1126963227466974</v>
      </c>
      <c r="AC1375">
        <f t="shared" si="475"/>
        <v>8.270456775129803E-2</v>
      </c>
      <c r="AD1375">
        <f t="shared" si="476"/>
        <v>2.9430775944460819E-3</v>
      </c>
      <c r="AE1375">
        <f t="shared" si="477"/>
        <v>2.2861115030235583E-2</v>
      </c>
      <c r="AG1375">
        <f t="shared" si="478"/>
        <v>1.1164257262047363</v>
      </c>
      <c r="AH1375">
        <f t="shared" si="479"/>
        <v>0.20741047326513895</v>
      </c>
      <c r="AI1375">
        <f t="shared" si="480"/>
        <v>-0.43679590197699486</v>
      </c>
      <c r="AK1375" s="26">
        <f t="shared" si="481"/>
        <v>8.9785709564907945E-3</v>
      </c>
      <c r="AL1375" s="26">
        <f t="shared" si="482"/>
        <v>-2.4611097670392684E-2</v>
      </c>
      <c r="AM1375" s="26">
        <f t="shared" si="483"/>
        <v>5.4312906866771982E-2</v>
      </c>
      <c r="AN1375" s="26">
        <f t="shared" si="484"/>
        <v>-2.213333333333324</v>
      </c>
      <c r="AO1375" s="26">
        <f t="shared" si="485"/>
        <v>-1.5933928571428595</v>
      </c>
      <c r="AP1375" s="26">
        <f t="shared" si="486"/>
        <v>0.80881874209859461</v>
      </c>
      <c r="AS1375" s="2">
        <v>44105</v>
      </c>
      <c r="AT1375">
        <v>17.399999999999999</v>
      </c>
      <c r="AU1375">
        <v>3.7</v>
      </c>
      <c r="AV1375">
        <v>78.5</v>
      </c>
      <c r="AW1375">
        <v>4.4000000000000004</v>
      </c>
      <c r="AX1375">
        <v>121.43</v>
      </c>
      <c r="AY1375">
        <v>0.5</v>
      </c>
      <c r="AZ1375">
        <v>3.3</v>
      </c>
      <c r="BA1375">
        <v>293.28519999999997</v>
      </c>
      <c r="BB1375">
        <v>142.16829999999999</v>
      </c>
      <c r="BC1375">
        <v>139.29910000000001</v>
      </c>
      <c r="BD1375">
        <v>4.3060999999999998</v>
      </c>
      <c r="BE1375">
        <v>34.952199999999998</v>
      </c>
      <c r="BH1375">
        <v>94.66</v>
      </c>
    </row>
    <row r="1376" spans="1:60" x14ac:dyDescent="0.25">
      <c r="A1376" s="2">
        <v>44125</v>
      </c>
      <c r="B1376">
        <v>14</v>
      </c>
      <c r="C1376">
        <v>2.6</v>
      </c>
      <c r="D1376">
        <v>50.2</v>
      </c>
      <c r="E1376">
        <v>6.7</v>
      </c>
      <c r="F1376">
        <v>59.92</v>
      </c>
      <c r="G1376">
        <v>0.5</v>
      </c>
      <c r="H1376">
        <v>3.5</v>
      </c>
      <c r="I1376">
        <v>324.5222</v>
      </c>
      <c r="J1376">
        <v>120.4714</v>
      </c>
      <c r="K1376">
        <v>83.572100000000006</v>
      </c>
      <c r="L1376">
        <v>2.9336000000000002</v>
      </c>
      <c r="M1376">
        <v>30.361599999999999</v>
      </c>
      <c r="N1376">
        <v>-1.1780999999999999</v>
      </c>
      <c r="O1376">
        <v>-1.7955000000000001</v>
      </c>
      <c r="P1376">
        <v>94.53</v>
      </c>
      <c r="S1376">
        <f t="shared" si="465"/>
        <v>699.28089999999986</v>
      </c>
      <c r="T1376">
        <f t="shared" si="466"/>
        <v>1.3124509881584107E-2</v>
      </c>
      <c r="U1376">
        <f t="shared" si="467"/>
        <v>2.437408978008477E-3</v>
      </c>
      <c r="V1376">
        <f t="shared" si="468"/>
        <v>4.7060742575394443E-2</v>
      </c>
      <c r="W1376">
        <f t="shared" si="469"/>
        <v>6.2810154433295372E-3</v>
      </c>
      <c r="X1376">
        <f t="shared" si="470"/>
        <v>5.6172902293179977E-2</v>
      </c>
      <c r="Y1376">
        <f t="shared" si="471"/>
        <v>4.6873249577086097E-4</v>
      </c>
      <c r="Z1376">
        <f t="shared" si="472"/>
        <v>3.2811274703960268E-3</v>
      </c>
      <c r="AA1376">
        <f t="shared" si="473"/>
        <v>0.30422820147810098</v>
      </c>
      <c r="AB1376">
        <f t="shared" si="474"/>
        <v>0.1129377199820194</v>
      </c>
      <c r="AC1376">
        <f t="shared" si="475"/>
        <v>7.8345918019623942E-2</v>
      </c>
      <c r="AD1376">
        <f t="shared" si="476"/>
        <v>2.7501472991867957E-3</v>
      </c>
      <c r="AE1376">
        <f t="shared" si="477"/>
        <v>2.8462937087193142E-2</v>
      </c>
      <c r="AG1376">
        <f t="shared" si="478"/>
        <v>1.1194276228002975</v>
      </c>
      <c r="AH1376">
        <f t="shared" si="479"/>
        <v>0.15728937622485659</v>
      </c>
      <c r="AI1376">
        <f t="shared" si="480"/>
        <v>-0.73647734673149634</v>
      </c>
      <c r="AK1376" s="26">
        <f t="shared" si="481"/>
        <v>1.6313006882577585E-3</v>
      </c>
      <c r="AL1376" s="26">
        <f t="shared" si="482"/>
        <v>-3.3221439074384546E-2</v>
      </c>
      <c r="AM1376" s="26">
        <f t="shared" si="483"/>
        <v>5.516389188159837E-2</v>
      </c>
      <c r="AN1376" s="26">
        <f t="shared" si="484"/>
        <v>-2.1742857142856877</v>
      </c>
      <c r="AO1376" s="26">
        <f t="shared" si="485"/>
        <v>-1.5364285714285586</v>
      </c>
      <c r="AP1376" s="26">
        <f t="shared" si="486"/>
        <v>0.7632352706688863</v>
      </c>
      <c r="AS1376" s="2">
        <v>44104</v>
      </c>
      <c r="AT1376">
        <v>18.3</v>
      </c>
      <c r="AU1376">
        <v>2.2999999999999998</v>
      </c>
      <c r="AV1376">
        <v>30.6</v>
      </c>
      <c r="AW1376">
        <v>0.7</v>
      </c>
      <c r="AX1376">
        <v>117.14</v>
      </c>
      <c r="AY1376">
        <v>0.5</v>
      </c>
      <c r="AZ1376">
        <v>3.3</v>
      </c>
      <c r="BA1376">
        <v>315.37200000000001</v>
      </c>
      <c r="BB1376">
        <v>244.75030000000001</v>
      </c>
      <c r="BC1376">
        <v>139.15610000000001</v>
      </c>
      <c r="BD1376">
        <v>4.6268000000000002</v>
      </c>
      <c r="BE1376">
        <v>29.437100000000001</v>
      </c>
      <c r="BH1376">
        <v>94.71</v>
      </c>
    </row>
    <row r="1377" spans="1:60" x14ac:dyDescent="0.25">
      <c r="A1377" s="2">
        <v>44124</v>
      </c>
      <c r="B1377">
        <v>14.8</v>
      </c>
      <c r="C1377">
        <v>23.3</v>
      </c>
      <c r="D1377">
        <v>61.5</v>
      </c>
      <c r="E1377">
        <v>5.9</v>
      </c>
      <c r="F1377">
        <v>111.49</v>
      </c>
      <c r="G1377">
        <v>0.4</v>
      </c>
      <c r="H1377">
        <v>3.3</v>
      </c>
      <c r="I1377">
        <v>343.89679999999998</v>
      </c>
      <c r="J1377">
        <v>139.70230000000001</v>
      </c>
      <c r="K1377">
        <v>96.445400000000006</v>
      </c>
      <c r="L1377">
        <v>3.1631</v>
      </c>
      <c r="M1377">
        <v>28.8873</v>
      </c>
      <c r="N1377">
        <v>-1.1876</v>
      </c>
      <c r="O1377">
        <v>-2.6661000000000001</v>
      </c>
      <c r="P1377">
        <v>94.57</v>
      </c>
      <c r="S1377">
        <f t="shared" si="465"/>
        <v>832.78489999999999</v>
      </c>
      <c r="T1377">
        <f t="shared" si="466"/>
        <v>1.3874481874817485E-2</v>
      </c>
      <c r="U1377">
        <f t="shared" si="467"/>
        <v>2.1842934302922123E-2</v>
      </c>
      <c r="V1377">
        <f t="shared" si="468"/>
        <v>5.7654096979815897E-2</v>
      </c>
      <c r="W1377">
        <f t="shared" si="469"/>
        <v>5.5310434500961594E-3</v>
      </c>
      <c r="X1377">
        <f t="shared" si="470"/>
        <v>0.10451797190698657</v>
      </c>
      <c r="Y1377">
        <f t="shared" si="471"/>
        <v>3.7498599661668879E-4</v>
      </c>
      <c r="Z1377">
        <f t="shared" si="472"/>
        <v>3.0936344720876819E-3</v>
      </c>
      <c r="AA1377">
        <f t="shared" si="473"/>
        <v>0.32239121070322524</v>
      </c>
      <c r="AB1377">
        <f t="shared" si="474"/>
        <v>0.13096601548785911</v>
      </c>
      <c r="AC1377">
        <f t="shared" si="475"/>
        <v>9.0414186095237992E-2</v>
      </c>
      <c r="AD1377">
        <f t="shared" si="476"/>
        <v>2.9652955147456204E-3</v>
      </c>
      <c r="AE1377">
        <f t="shared" si="477"/>
        <v>2.7080832450163184E-2</v>
      </c>
      <c r="AG1377">
        <f t="shared" si="478"/>
        <v>1.1216910890598843</v>
      </c>
      <c r="AH1377">
        <f t="shared" si="479"/>
        <v>0.23396998143350581</v>
      </c>
      <c r="AI1377">
        <f t="shared" si="480"/>
        <v>-0.27532545442542811</v>
      </c>
      <c r="AK1377" s="26">
        <f t="shared" si="481"/>
        <v>-1.1201278130840986E-3</v>
      </c>
      <c r="AL1377" s="26">
        <f t="shared" si="482"/>
        <v>-3.8225504993976422E-2</v>
      </c>
      <c r="AM1377" s="26">
        <f t="shared" si="483"/>
        <v>5.7487068459158408E-2</v>
      </c>
      <c r="AN1377" s="26">
        <f t="shared" si="484"/>
        <v>-2.1238095238094985</v>
      </c>
      <c r="AO1377" s="26">
        <f t="shared" si="485"/>
        <v>-1.4783928571428504</v>
      </c>
      <c r="AP1377" s="26">
        <f t="shared" si="486"/>
        <v>0.71700321802092049</v>
      </c>
      <c r="AS1377" s="2">
        <v>44103</v>
      </c>
      <c r="AT1377">
        <v>17.899999999999999</v>
      </c>
      <c r="AU1377">
        <v>15.3</v>
      </c>
      <c r="AV1377">
        <v>14.3</v>
      </c>
      <c r="AW1377">
        <v>0.7</v>
      </c>
      <c r="AX1377">
        <v>90.87</v>
      </c>
      <c r="AY1377">
        <v>0.5</v>
      </c>
      <c r="AZ1377">
        <v>3.4</v>
      </c>
      <c r="BA1377">
        <v>304.95159999999998</v>
      </c>
      <c r="BB1377">
        <v>234.4684</v>
      </c>
      <c r="BC1377">
        <v>150.5712</v>
      </c>
      <c r="BD1377">
        <v>5.1131000000000002</v>
      </c>
      <c r="BE1377">
        <v>31.572099999999999</v>
      </c>
      <c r="BH1377">
        <v>94.79</v>
      </c>
    </row>
    <row r="1378" spans="1:60" x14ac:dyDescent="0.25">
      <c r="A1378" s="2">
        <v>44123</v>
      </c>
      <c r="B1378">
        <v>14.6</v>
      </c>
      <c r="C1378">
        <v>2</v>
      </c>
      <c r="D1378">
        <v>26</v>
      </c>
      <c r="E1378">
        <v>1.5</v>
      </c>
      <c r="F1378">
        <v>115.02</v>
      </c>
      <c r="G1378">
        <v>0.4</v>
      </c>
      <c r="H1378">
        <v>3.5</v>
      </c>
      <c r="I1378">
        <v>371.80549999999999</v>
      </c>
      <c r="J1378">
        <v>186.66560000000001</v>
      </c>
      <c r="K1378">
        <v>172.8536</v>
      </c>
      <c r="L1378">
        <v>3.2448999999999999</v>
      </c>
      <c r="M1378">
        <v>37.279499999999999</v>
      </c>
      <c r="N1378">
        <v>-0.8548</v>
      </c>
      <c r="O1378">
        <v>-3.1642000000000001</v>
      </c>
      <c r="P1378">
        <v>94.66</v>
      </c>
      <c r="S1378">
        <f t="shared" si="465"/>
        <v>934.86910000000012</v>
      </c>
      <c r="T1378">
        <f t="shared" si="466"/>
        <v>1.368698887650914E-2</v>
      </c>
      <c r="U1378">
        <f t="shared" si="467"/>
        <v>1.8749299830834439E-3</v>
      </c>
      <c r="V1378">
        <f t="shared" si="468"/>
        <v>2.4374089780084769E-2</v>
      </c>
      <c r="W1378">
        <f t="shared" si="469"/>
        <v>1.406197487312583E-3</v>
      </c>
      <c r="X1378">
        <f t="shared" si="470"/>
        <v>0.10782722332712885</v>
      </c>
      <c r="Y1378">
        <f t="shared" si="471"/>
        <v>3.7498599661668879E-4</v>
      </c>
      <c r="Z1378">
        <f t="shared" si="472"/>
        <v>3.2811274703960268E-3</v>
      </c>
      <c r="AA1378">
        <f t="shared" si="473"/>
        <v>0.34855463991266566</v>
      </c>
      <c r="AB1378">
        <f t="shared" si="474"/>
        <v>0.17499246512513045</v>
      </c>
      <c r="AC1378">
        <f t="shared" si="475"/>
        <v>0.16204419866195618</v>
      </c>
      <c r="AD1378">
        <f t="shared" si="476"/>
        <v>3.0419801510537334E-3</v>
      </c>
      <c r="AE1378">
        <f t="shared" si="477"/>
        <v>3.4948226152179622E-2</v>
      </c>
      <c r="AG1378">
        <f t="shared" si="478"/>
        <v>1.1277134267041209</v>
      </c>
      <c r="AH1378">
        <f t="shared" si="479"/>
        <v>0.18777376907331114</v>
      </c>
      <c r="AI1378">
        <f t="shared" si="480"/>
        <v>-0.55112749280222251</v>
      </c>
      <c r="AK1378" s="26">
        <f t="shared" si="481"/>
        <v>-4.507019191002104E-3</v>
      </c>
      <c r="AL1378" s="26">
        <f t="shared" si="482"/>
        <v>-4.4208465161557658E-2</v>
      </c>
      <c r="AM1378" s="26">
        <f t="shared" si="483"/>
        <v>6.0374493293902709E-2</v>
      </c>
      <c r="AN1378" s="26">
        <f t="shared" si="484"/>
        <v>-2.0728571428571314</v>
      </c>
      <c r="AO1378" s="26">
        <f t="shared" si="485"/>
        <v>-1.4225000000000136</v>
      </c>
      <c r="AP1378" s="26">
        <f t="shared" si="486"/>
        <v>0.67077372736866892</v>
      </c>
      <c r="AS1378" s="2">
        <v>44102</v>
      </c>
      <c r="AT1378">
        <v>17.7</v>
      </c>
      <c r="AU1378">
        <v>25.8</v>
      </c>
      <c r="AV1378">
        <v>15.8</v>
      </c>
      <c r="AW1378">
        <v>0.8</v>
      </c>
      <c r="AX1378">
        <v>112.16</v>
      </c>
      <c r="AY1378">
        <v>0.5</v>
      </c>
      <c r="AZ1378">
        <v>3.2</v>
      </c>
      <c r="BA1378">
        <v>301.90789999999998</v>
      </c>
      <c r="BB1378">
        <v>214.82980000000001</v>
      </c>
      <c r="BC1378">
        <v>127.4637</v>
      </c>
      <c r="BD1378">
        <v>4.7882999999999996</v>
      </c>
      <c r="BE1378">
        <v>38.471400000000003</v>
      </c>
      <c r="BH1378">
        <v>94.84</v>
      </c>
    </row>
    <row r="1379" spans="1:60" x14ac:dyDescent="0.25">
      <c r="A1379" s="2">
        <v>44122</v>
      </c>
      <c r="B1379">
        <v>16.899999999999999</v>
      </c>
      <c r="C1379">
        <v>50.3</v>
      </c>
      <c r="D1379">
        <v>52.5</v>
      </c>
      <c r="E1379">
        <v>4</v>
      </c>
      <c r="F1379">
        <v>122.49</v>
      </c>
      <c r="G1379">
        <v>0.5</v>
      </c>
      <c r="H1379">
        <v>3.7</v>
      </c>
      <c r="I1379">
        <v>291.33569999999997</v>
      </c>
      <c r="J1379">
        <v>78.080600000000004</v>
      </c>
      <c r="K1379">
        <v>65.156899999999993</v>
      </c>
      <c r="L1379">
        <v>3.762</v>
      </c>
      <c r="M1379">
        <v>15.3507</v>
      </c>
      <c r="P1379">
        <v>94.78</v>
      </c>
      <c r="S1379">
        <f t="shared" si="465"/>
        <v>704.07589999999982</v>
      </c>
      <c r="T1379">
        <f t="shared" si="466"/>
        <v>1.58431583570551E-2</v>
      </c>
      <c r="U1379">
        <f t="shared" si="467"/>
        <v>4.7154489074548611E-2</v>
      </c>
      <c r="V1379">
        <f t="shared" si="468"/>
        <v>4.92169120559404E-2</v>
      </c>
      <c r="W1379">
        <f t="shared" si="469"/>
        <v>3.7498599661668877E-3</v>
      </c>
      <c r="X1379">
        <f t="shared" si="470"/>
        <v>0.11483008681394551</v>
      </c>
      <c r="Y1379">
        <f t="shared" si="471"/>
        <v>4.6873249577086097E-4</v>
      </c>
      <c r="Z1379">
        <f t="shared" si="472"/>
        <v>3.4686204687043713E-3</v>
      </c>
      <c r="AA1379">
        <f t="shared" si="473"/>
        <v>0.27311701953630163</v>
      </c>
      <c r="AB1379">
        <f t="shared" si="474"/>
        <v>7.319782901857258E-2</v>
      </c>
      <c r="AC1379">
        <f t="shared" si="475"/>
        <v>6.1082312707384817E-2</v>
      </c>
      <c r="AD1379">
        <f t="shared" si="476"/>
        <v>3.5267432981799579E-3</v>
      </c>
      <c r="AE1379">
        <f t="shared" si="477"/>
        <v>1.439074384565951E-2</v>
      </c>
      <c r="AG1379">
        <f t="shared" si="478"/>
        <v>1.1360210361136402</v>
      </c>
      <c r="AH1379">
        <f t="shared" si="479"/>
        <v>0.24912260307779124</v>
      </c>
      <c r="AI1379">
        <f t="shared" si="480"/>
        <v>-0.18305514128918374</v>
      </c>
      <c r="AK1379" s="26">
        <f t="shared" si="481"/>
        <v>-6.4939583840988024E-3</v>
      </c>
      <c r="AL1379" s="26">
        <f t="shared" si="482"/>
        <v>-4.7801716578753595E-2</v>
      </c>
      <c r="AM1379" s="26">
        <f t="shared" si="483"/>
        <v>6.398481848385551E-2</v>
      </c>
      <c r="AN1379" s="26">
        <f t="shared" si="484"/>
        <v>-2.011904761904745</v>
      </c>
      <c r="AO1379" s="26">
        <f t="shared" si="485"/>
        <v>-1.3646428571428828</v>
      </c>
      <c r="AP1379" s="26">
        <f t="shared" si="486"/>
        <v>0.6232743362832025</v>
      </c>
      <c r="AS1379" s="2">
        <v>44101</v>
      </c>
      <c r="AT1379">
        <v>19.2</v>
      </c>
      <c r="AU1379">
        <v>0.2</v>
      </c>
      <c r="AV1379">
        <v>45.6</v>
      </c>
      <c r="AW1379">
        <v>1.9</v>
      </c>
      <c r="AX1379">
        <v>99.67</v>
      </c>
      <c r="AY1379">
        <v>0.6</v>
      </c>
      <c r="AZ1379">
        <v>3.1</v>
      </c>
      <c r="BA1379">
        <v>195.54949999999999</v>
      </c>
      <c r="BB1379">
        <v>70.653300000000002</v>
      </c>
      <c r="BC1379">
        <v>59.606900000000003</v>
      </c>
      <c r="BD1379">
        <v>4.3270999999999997</v>
      </c>
      <c r="BE1379">
        <v>16.3675</v>
      </c>
      <c r="BH1379">
        <v>94.89</v>
      </c>
    </row>
    <row r="1380" spans="1:60" x14ac:dyDescent="0.25">
      <c r="A1380" s="2">
        <v>44121</v>
      </c>
      <c r="B1380">
        <v>18</v>
      </c>
      <c r="C1380">
        <v>4.5</v>
      </c>
      <c r="D1380">
        <v>7.4</v>
      </c>
      <c r="E1380">
        <v>0.3</v>
      </c>
      <c r="F1380">
        <v>93.92</v>
      </c>
      <c r="G1380">
        <v>0.5</v>
      </c>
      <c r="H1380">
        <v>4</v>
      </c>
      <c r="I1380">
        <v>346.05950000000001</v>
      </c>
      <c r="J1380">
        <v>167.01599999999999</v>
      </c>
      <c r="K1380">
        <v>143.07900000000001</v>
      </c>
      <c r="L1380">
        <v>4.1802999999999999</v>
      </c>
      <c r="M1380">
        <v>22.671900000000001</v>
      </c>
      <c r="P1380">
        <v>94.68</v>
      </c>
      <c r="S1380">
        <f t="shared" si="465"/>
        <v>811.62670000000003</v>
      </c>
      <c r="T1380">
        <f t="shared" si="466"/>
        <v>1.6874369847750995E-2</v>
      </c>
      <c r="U1380">
        <f t="shared" si="467"/>
        <v>4.2185924619377486E-3</v>
      </c>
      <c r="V1380">
        <f t="shared" si="468"/>
        <v>6.9372409374087425E-3</v>
      </c>
      <c r="W1380">
        <f t="shared" si="469"/>
        <v>2.8123949746251657E-4</v>
      </c>
      <c r="X1380">
        <f t="shared" si="470"/>
        <v>8.8046712005598521E-2</v>
      </c>
      <c r="Y1380">
        <f t="shared" si="471"/>
        <v>4.6873249577086097E-4</v>
      </c>
      <c r="Z1380">
        <f t="shared" si="472"/>
        <v>3.7498599661668877E-3</v>
      </c>
      <c r="AA1380">
        <f t="shared" si="473"/>
        <v>0.32441866624043253</v>
      </c>
      <c r="AB1380">
        <f t="shared" si="474"/>
        <v>0.15657165302733222</v>
      </c>
      <c r="AC1380">
        <f t="shared" si="475"/>
        <v>0.13413155352479803</v>
      </c>
      <c r="AD1380">
        <f t="shared" si="476"/>
        <v>3.9188849041418604E-3</v>
      </c>
      <c r="AE1380">
        <f t="shared" si="477"/>
        <v>2.1254112541734767E-2</v>
      </c>
      <c r="AG1380">
        <f t="shared" si="478"/>
        <v>1.1279164878615067</v>
      </c>
      <c r="AH1380">
        <f t="shared" si="479"/>
        <v>0.14183085975383103</v>
      </c>
      <c r="AI1380">
        <f t="shared" si="480"/>
        <v>-0.82573024199751399</v>
      </c>
      <c r="AK1380" s="26">
        <f t="shared" si="481"/>
        <v>-1.2566673570426706E-2</v>
      </c>
      <c r="AL1380" s="26">
        <f t="shared" si="482"/>
        <v>-5.2088168113721911E-2</v>
      </c>
      <c r="AM1380" s="26">
        <f t="shared" si="483"/>
        <v>6.6711728686546956E-2</v>
      </c>
      <c r="AN1380" s="26">
        <f t="shared" si="484"/>
        <v>-1.9485714285714124</v>
      </c>
      <c r="AO1380" s="26">
        <f t="shared" si="485"/>
        <v>-1.3069642857143009</v>
      </c>
      <c r="AP1380" s="26">
        <f t="shared" si="486"/>
        <v>0.57219336696718415</v>
      </c>
      <c r="AS1380" s="2">
        <v>44100</v>
      </c>
      <c r="AT1380">
        <v>20</v>
      </c>
      <c r="AU1380">
        <v>1.5</v>
      </c>
      <c r="AV1380">
        <v>32.799999999999997</v>
      </c>
      <c r="AW1380">
        <v>3.8</v>
      </c>
      <c r="AX1380">
        <v>38.1</v>
      </c>
      <c r="AY1380">
        <v>0.6</v>
      </c>
      <c r="AZ1380">
        <v>3.3</v>
      </c>
      <c r="BA1380">
        <v>188.7525</v>
      </c>
      <c r="BB1380">
        <v>63.264800000000001</v>
      </c>
      <c r="BC1380">
        <v>65.554599999999994</v>
      </c>
      <c r="BD1380">
        <v>4.4234</v>
      </c>
      <c r="BE1380">
        <v>18.272099999999998</v>
      </c>
      <c r="BH1380">
        <v>94.78</v>
      </c>
    </row>
    <row r="1381" spans="1:60" x14ac:dyDescent="0.25">
      <c r="A1381" s="2">
        <v>44120</v>
      </c>
      <c r="B1381">
        <v>17.2</v>
      </c>
      <c r="C1381">
        <v>4.9000000000000004</v>
      </c>
      <c r="D1381">
        <v>9.9</v>
      </c>
      <c r="E1381">
        <v>1.8</v>
      </c>
      <c r="F1381">
        <v>46.29</v>
      </c>
      <c r="G1381">
        <v>0.5</v>
      </c>
      <c r="H1381">
        <v>3.7</v>
      </c>
      <c r="I1381">
        <v>349.81479999999999</v>
      </c>
      <c r="J1381">
        <v>238.52180000000001</v>
      </c>
      <c r="K1381">
        <v>188.4419</v>
      </c>
      <c r="L1381">
        <v>4.1757</v>
      </c>
      <c r="M1381">
        <v>28.164200000000001</v>
      </c>
      <c r="N1381">
        <v>-0.23719999999999999</v>
      </c>
      <c r="O1381">
        <v>-2.7873000000000001</v>
      </c>
      <c r="P1381">
        <v>94.9</v>
      </c>
      <c r="S1381">
        <f t="shared" si="465"/>
        <v>893.40840000000014</v>
      </c>
      <c r="T1381">
        <f t="shared" si="466"/>
        <v>1.6124397854517615E-2</v>
      </c>
      <c r="U1381">
        <f t="shared" si="467"/>
        <v>4.5935784585544375E-3</v>
      </c>
      <c r="V1381">
        <f t="shared" si="468"/>
        <v>9.2809034162630467E-3</v>
      </c>
      <c r="W1381">
        <f t="shared" si="469"/>
        <v>1.6874369847750994E-3</v>
      </c>
      <c r="X1381">
        <f t="shared" si="470"/>
        <v>4.3395254458466308E-2</v>
      </c>
      <c r="Y1381">
        <f t="shared" si="471"/>
        <v>4.6873249577086097E-4</v>
      </c>
      <c r="Z1381">
        <f t="shared" si="472"/>
        <v>3.4686204687043713E-3</v>
      </c>
      <c r="AA1381">
        <f t="shared" si="473"/>
        <v>0.32793912852316914</v>
      </c>
      <c r="AB1381">
        <f t="shared" si="474"/>
        <v>0.2236058372195163</v>
      </c>
      <c r="AC1381">
        <f t="shared" si="475"/>
        <v>0.17665768418960601</v>
      </c>
      <c r="AD1381">
        <f t="shared" si="476"/>
        <v>3.9145725651807683E-3</v>
      </c>
      <c r="AE1381">
        <f t="shared" si="477"/>
        <v>2.6402951514779366E-2</v>
      </c>
      <c r="AG1381">
        <f t="shared" si="478"/>
        <v>1.1437311753220807</v>
      </c>
      <c r="AH1381">
        <f t="shared" si="479"/>
        <v>0.1054218756518311</v>
      </c>
      <c r="AI1381">
        <f t="shared" si="480"/>
        <v>-1.0458328046468555</v>
      </c>
      <c r="AK1381" s="26">
        <f t="shared" si="481"/>
        <v>-1.6288101562635854E-2</v>
      </c>
      <c r="AL1381" s="26">
        <f t="shared" si="482"/>
        <v>-5.6593301772458221E-2</v>
      </c>
      <c r="AM1381" s="26">
        <f t="shared" si="483"/>
        <v>6.974762160184439E-2</v>
      </c>
      <c r="AN1381" s="26">
        <f t="shared" si="484"/>
        <v>-1.8795238095238034</v>
      </c>
      <c r="AO1381" s="26">
        <f t="shared" si="485"/>
        <v>-1.2510714285714357</v>
      </c>
      <c r="AP1381" s="26">
        <f t="shared" si="486"/>
        <v>0.52042828518953854</v>
      </c>
      <c r="AS1381" s="2">
        <v>44099</v>
      </c>
      <c r="AT1381">
        <v>16.100000000000001</v>
      </c>
      <c r="AU1381">
        <v>88.3</v>
      </c>
      <c r="AV1381">
        <v>38.5</v>
      </c>
      <c r="AW1381">
        <v>2.8</v>
      </c>
      <c r="AX1381">
        <v>0</v>
      </c>
      <c r="AY1381">
        <v>0.5</v>
      </c>
      <c r="AZ1381">
        <v>3.4</v>
      </c>
      <c r="BA1381">
        <v>227.87350000000001</v>
      </c>
      <c r="BB1381">
        <v>124.4021</v>
      </c>
      <c r="BC1381">
        <v>117.755</v>
      </c>
      <c r="BD1381">
        <v>4.6289999999999996</v>
      </c>
      <c r="BE1381">
        <v>30.465599999999998</v>
      </c>
      <c r="BH1381">
        <v>94.63</v>
      </c>
    </row>
    <row r="1382" spans="1:60" x14ac:dyDescent="0.25">
      <c r="A1382" s="2">
        <v>44119</v>
      </c>
      <c r="B1382">
        <v>16.399999999999999</v>
      </c>
      <c r="C1382">
        <v>32.799999999999997</v>
      </c>
      <c r="D1382">
        <v>68.7</v>
      </c>
      <c r="E1382">
        <v>5.0999999999999996</v>
      </c>
      <c r="F1382">
        <v>34.72</v>
      </c>
      <c r="G1382">
        <v>0.5</v>
      </c>
      <c r="H1382">
        <v>3.3</v>
      </c>
      <c r="I1382">
        <v>333.53730000000002</v>
      </c>
      <c r="J1382">
        <v>185.8758</v>
      </c>
      <c r="K1382">
        <v>145.9873</v>
      </c>
      <c r="L1382">
        <v>4.2100999999999997</v>
      </c>
      <c r="M1382">
        <v>33.077100000000002</v>
      </c>
      <c r="N1382">
        <v>-2.87E-2</v>
      </c>
      <c r="O1382">
        <v>-2.9056000000000002</v>
      </c>
      <c r="P1382">
        <v>95.07</v>
      </c>
      <c r="S1382">
        <f t="shared" si="465"/>
        <v>864.20760000000007</v>
      </c>
      <c r="T1382">
        <f t="shared" si="466"/>
        <v>1.5374425861284237E-2</v>
      </c>
      <c r="U1382">
        <f t="shared" si="467"/>
        <v>3.0748851722568474E-2</v>
      </c>
      <c r="V1382">
        <f t="shared" si="468"/>
        <v>6.4403844918916292E-2</v>
      </c>
      <c r="W1382">
        <f t="shared" si="469"/>
        <v>4.7810714568627816E-3</v>
      </c>
      <c r="X1382">
        <f t="shared" si="470"/>
        <v>3.2548784506328581E-2</v>
      </c>
      <c r="Y1382">
        <f t="shared" si="471"/>
        <v>4.6873249577086097E-4</v>
      </c>
      <c r="Z1382">
        <f t="shared" si="472"/>
        <v>3.0936344720876819E-3</v>
      </c>
      <c r="AA1382">
        <f t="shared" si="473"/>
        <v>0.31267954212334875</v>
      </c>
      <c r="AB1382">
        <f t="shared" si="474"/>
        <v>0.1742520552748108</v>
      </c>
      <c r="AC1382">
        <f t="shared" si="475"/>
        <v>0.13685798295969881</v>
      </c>
      <c r="AD1382">
        <f t="shared" si="476"/>
        <v>3.9468213608898029E-3</v>
      </c>
      <c r="AE1382">
        <f t="shared" si="477"/>
        <v>3.100862327172469E-2</v>
      </c>
      <c r="AG1382">
        <f t="shared" si="478"/>
        <v>1.1558962298360629</v>
      </c>
      <c r="AH1382">
        <f t="shared" si="479"/>
        <v>0.18242796870554359</v>
      </c>
      <c r="AI1382">
        <f t="shared" si="480"/>
        <v>-0.58555172319221571</v>
      </c>
      <c r="AK1382" s="26">
        <f t="shared" si="481"/>
        <v>-1.8179879130852977E-2</v>
      </c>
      <c r="AL1382" s="26">
        <f t="shared" si="482"/>
        <v>-6.2915567349460272E-2</v>
      </c>
      <c r="AM1382" s="26">
        <f t="shared" si="483"/>
        <v>7.1009273263254236E-2</v>
      </c>
      <c r="AN1382" s="26">
        <f t="shared" si="484"/>
        <v>-1.8242857142857218</v>
      </c>
      <c r="AO1382" s="26">
        <f t="shared" si="485"/>
        <v>-1.1991071428571303</v>
      </c>
      <c r="AP1382" s="26">
        <f t="shared" si="486"/>
        <v>0.46579435313951478</v>
      </c>
      <c r="AS1382" s="2">
        <v>44098</v>
      </c>
      <c r="AT1382">
        <v>15.4</v>
      </c>
      <c r="AU1382">
        <v>18.8</v>
      </c>
      <c r="AV1382">
        <v>65</v>
      </c>
      <c r="AW1382">
        <v>5.2</v>
      </c>
      <c r="AX1382">
        <v>133.86000000000001</v>
      </c>
      <c r="AY1382">
        <v>0.5</v>
      </c>
      <c r="AZ1382">
        <v>3.2</v>
      </c>
      <c r="BA1382">
        <v>208.05889999999999</v>
      </c>
      <c r="BB1382">
        <v>112.72929999999999</v>
      </c>
      <c r="BC1382">
        <v>80.617999999999995</v>
      </c>
      <c r="BD1382">
        <v>4.617</v>
      </c>
      <c r="BE1382">
        <v>29.374099999999999</v>
      </c>
      <c r="BH1382">
        <v>94.52</v>
      </c>
    </row>
    <row r="1383" spans="1:60" x14ac:dyDescent="0.25">
      <c r="A1383" s="2">
        <v>44118</v>
      </c>
      <c r="B1383">
        <v>17.2</v>
      </c>
      <c r="C1383">
        <v>43.4</v>
      </c>
      <c r="D1383">
        <v>75.8</v>
      </c>
      <c r="E1383">
        <v>9.4</v>
      </c>
      <c r="F1383">
        <v>45.47</v>
      </c>
      <c r="G1383">
        <v>0.5</v>
      </c>
      <c r="H1383">
        <v>3.5</v>
      </c>
      <c r="I1383">
        <v>315.53190000000001</v>
      </c>
      <c r="J1383">
        <v>138.60059999999999</v>
      </c>
      <c r="K1383">
        <v>86.732100000000003</v>
      </c>
      <c r="L1383">
        <v>4.7228000000000003</v>
      </c>
      <c r="M1383">
        <v>26.135999999999999</v>
      </c>
      <c r="N1383">
        <v>1.1871</v>
      </c>
      <c r="O1383">
        <v>-2.8704000000000001</v>
      </c>
      <c r="P1383">
        <v>95.24</v>
      </c>
      <c r="S1383">
        <f t="shared" si="465"/>
        <v>766.99339999999984</v>
      </c>
      <c r="T1383">
        <f t="shared" si="466"/>
        <v>1.6124397854517615E-2</v>
      </c>
      <c r="U1383">
        <f t="shared" si="467"/>
        <v>4.0685980632910727E-2</v>
      </c>
      <c r="V1383">
        <f t="shared" si="468"/>
        <v>7.1059846358862519E-2</v>
      </c>
      <c r="W1383">
        <f t="shared" si="469"/>
        <v>8.8121709204921871E-3</v>
      </c>
      <c r="X1383">
        <f t="shared" si="470"/>
        <v>4.2626533165402096E-2</v>
      </c>
      <c r="Y1383">
        <f t="shared" si="471"/>
        <v>4.6873249577086097E-4</v>
      </c>
      <c r="Z1383">
        <f t="shared" si="472"/>
        <v>3.2811274703960268E-3</v>
      </c>
      <c r="AA1383">
        <f t="shared" si="473"/>
        <v>0.29580010996464345</v>
      </c>
      <c r="AB1383">
        <f t="shared" si="474"/>
        <v>0.12993321030667757</v>
      </c>
      <c r="AC1383">
        <f t="shared" si="475"/>
        <v>8.1308307392895782E-2</v>
      </c>
      <c r="AD1383">
        <f t="shared" si="476"/>
        <v>4.4274596620532446E-3</v>
      </c>
      <c r="AE1383">
        <f t="shared" si="477"/>
        <v>2.4501585018934444E-2</v>
      </c>
      <c r="AG1383">
        <f t="shared" si="478"/>
        <v>1.1681385563692286</v>
      </c>
      <c r="AH1383">
        <f t="shared" si="479"/>
        <v>0.20756037391728649</v>
      </c>
      <c r="AI1383">
        <f t="shared" si="480"/>
        <v>-0.43357051854608969</v>
      </c>
      <c r="AK1383" s="26">
        <f t="shared" si="481"/>
        <v>-1.3265518008668986E-2</v>
      </c>
      <c r="AL1383" s="26">
        <f t="shared" si="482"/>
        <v>-6.2584643881490709E-2</v>
      </c>
      <c r="AM1383" s="26">
        <f t="shared" si="483"/>
        <v>7.3527414512218836E-2</v>
      </c>
      <c r="AN1383" s="26">
        <f t="shared" si="484"/>
        <v>-1.7785714285714107</v>
      </c>
      <c r="AO1383" s="26">
        <f t="shared" si="485"/>
        <v>-1.1492857142857247</v>
      </c>
      <c r="AP1383" s="26">
        <f t="shared" si="486"/>
        <v>0.40970217835264577</v>
      </c>
      <c r="AS1383" s="2">
        <v>44097</v>
      </c>
      <c r="AT1383">
        <v>15.6</v>
      </c>
      <c r="AU1383">
        <v>2.4</v>
      </c>
      <c r="AV1383">
        <v>35.5</v>
      </c>
      <c r="AW1383">
        <v>1.6</v>
      </c>
      <c r="AX1383">
        <v>123.74</v>
      </c>
      <c r="AY1383">
        <v>0.5</v>
      </c>
      <c r="AZ1383">
        <v>3.2</v>
      </c>
      <c r="BA1383">
        <v>260.71230000000003</v>
      </c>
      <c r="BB1383">
        <v>186.45650000000001</v>
      </c>
      <c r="BC1383">
        <v>148.21119999999999</v>
      </c>
      <c r="BD1383">
        <v>4.5415000000000001</v>
      </c>
      <c r="BE1383">
        <v>28.323</v>
      </c>
      <c r="BH1383">
        <v>94.4</v>
      </c>
    </row>
    <row r="1384" spans="1:60" x14ac:dyDescent="0.25">
      <c r="A1384" s="2">
        <v>44117</v>
      </c>
      <c r="B1384">
        <v>18.100000000000001</v>
      </c>
      <c r="C1384">
        <v>0.8</v>
      </c>
      <c r="D1384">
        <v>28.2</v>
      </c>
      <c r="E1384">
        <v>1.3</v>
      </c>
      <c r="F1384">
        <v>89.93</v>
      </c>
      <c r="G1384">
        <v>0.4</v>
      </c>
      <c r="H1384">
        <v>3.4</v>
      </c>
      <c r="I1384">
        <v>365.71589999999998</v>
      </c>
      <c r="J1384">
        <v>210.74969999999999</v>
      </c>
      <c r="K1384">
        <v>176.65870000000001</v>
      </c>
      <c r="L1384">
        <v>4.8197000000000001</v>
      </c>
      <c r="M1384">
        <v>27.614999999999998</v>
      </c>
      <c r="N1384">
        <v>1.3299000000000001</v>
      </c>
      <c r="O1384">
        <v>-2.9752000000000001</v>
      </c>
      <c r="P1384">
        <v>95.36</v>
      </c>
      <c r="S1384">
        <f t="shared" si="465"/>
        <v>927.68900000000008</v>
      </c>
      <c r="T1384">
        <f t="shared" si="466"/>
        <v>1.696811634690517E-2</v>
      </c>
      <c r="U1384">
        <f t="shared" si="467"/>
        <v>7.4997199323337759E-4</v>
      </c>
      <c r="V1384">
        <f t="shared" si="468"/>
        <v>2.6436512761476558E-2</v>
      </c>
      <c r="W1384">
        <f t="shared" si="469"/>
        <v>1.2187044890042385E-3</v>
      </c>
      <c r="X1384">
        <f t="shared" si="470"/>
        <v>8.4306226689347064E-2</v>
      </c>
      <c r="Y1384">
        <f t="shared" si="471"/>
        <v>3.7498599661668879E-4</v>
      </c>
      <c r="Z1384">
        <f t="shared" si="472"/>
        <v>3.1873809712418544E-3</v>
      </c>
      <c r="AA1384">
        <f t="shared" si="473"/>
        <v>0.34284585310017318</v>
      </c>
      <c r="AB1384">
        <f t="shared" si="474"/>
        <v>0.19757046572792042</v>
      </c>
      <c r="AC1384">
        <f t="shared" si="475"/>
        <v>0.16561134670127159</v>
      </c>
      <c r="AD1384">
        <f t="shared" si="476"/>
        <v>4.5183000197336369E-3</v>
      </c>
      <c r="AE1384">
        <f t="shared" si="477"/>
        <v>2.5888095741424651E-2</v>
      </c>
      <c r="AG1384">
        <f t="shared" si="478"/>
        <v>1.176708194082027</v>
      </c>
      <c r="AH1384">
        <f t="shared" si="479"/>
        <v>0.15912999498924962</v>
      </c>
      <c r="AI1384">
        <f t="shared" si="480"/>
        <v>-0.72518729671870819</v>
      </c>
      <c r="AK1384" s="26">
        <f t="shared" si="481"/>
        <v>-1.9206818459658881E-2</v>
      </c>
      <c r="AL1384" s="26">
        <f t="shared" si="482"/>
        <v>-6.4445878505474508E-2</v>
      </c>
      <c r="AM1384" s="26">
        <f t="shared" si="483"/>
        <v>7.3800834505698243E-2</v>
      </c>
      <c r="AN1384" s="26">
        <f t="shared" si="484"/>
        <v>-1.7438095238095173</v>
      </c>
      <c r="AO1384" s="26">
        <f t="shared" si="485"/>
        <v>-1.1016071428571479</v>
      </c>
      <c r="AP1384" s="26">
        <f t="shared" si="486"/>
        <v>0.35133344789072396</v>
      </c>
      <c r="AS1384" s="2">
        <v>44096</v>
      </c>
      <c r="AT1384">
        <v>15</v>
      </c>
      <c r="AU1384">
        <v>39.799999999999997</v>
      </c>
      <c r="AV1384">
        <v>1.7</v>
      </c>
      <c r="AW1384">
        <v>0.3</v>
      </c>
      <c r="AX1384">
        <v>181.99</v>
      </c>
      <c r="AY1384">
        <v>0.4</v>
      </c>
      <c r="AZ1384">
        <v>3.4</v>
      </c>
      <c r="BA1384">
        <v>259.46440000000001</v>
      </c>
      <c r="BB1384">
        <v>213.1626</v>
      </c>
      <c r="BC1384">
        <v>150.11859999999999</v>
      </c>
      <c r="BD1384">
        <v>4.4874999999999998</v>
      </c>
      <c r="BE1384">
        <v>37.457599999999999</v>
      </c>
      <c r="BH1384">
        <v>94.3</v>
      </c>
    </row>
    <row r="1385" spans="1:60" x14ac:dyDescent="0.25">
      <c r="A1385" s="2">
        <v>44116</v>
      </c>
      <c r="B1385">
        <v>18.5</v>
      </c>
      <c r="C1385">
        <v>16.899999999999999</v>
      </c>
      <c r="D1385">
        <v>27.3</v>
      </c>
      <c r="E1385">
        <v>1.1000000000000001</v>
      </c>
      <c r="F1385">
        <v>75.56</v>
      </c>
      <c r="G1385">
        <v>0.4</v>
      </c>
      <c r="H1385">
        <v>3.4</v>
      </c>
      <c r="I1385">
        <v>370.1454</v>
      </c>
      <c r="J1385">
        <v>208.78880000000001</v>
      </c>
      <c r="K1385">
        <v>159.14859999999999</v>
      </c>
      <c r="L1385">
        <v>4.5907999999999998</v>
      </c>
      <c r="M1385">
        <v>31.985800000000001</v>
      </c>
      <c r="N1385">
        <v>0.22520000000000001</v>
      </c>
      <c r="O1385">
        <v>-3.9674</v>
      </c>
      <c r="P1385">
        <v>95.68</v>
      </c>
      <c r="S1385">
        <f t="shared" si="465"/>
        <v>917.81939999999997</v>
      </c>
      <c r="T1385">
        <f t="shared" si="466"/>
        <v>1.7343102343521856E-2</v>
      </c>
      <c r="U1385">
        <f t="shared" si="467"/>
        <v>1.58431583570551E-2</v>
      </c>
      <c r="V1385">
        <f t="shared" si="468"/>
        <v>2.559279426908901E-2</v>
      </c>
      <c r="W1385">
        <f t="shared" si="469"/>
        <v>1.0312114906958943E-3</v>
      </c>
      <c r="X1385">
        <f t="shared" si="470"/>
        <v>7.0834854760892504E-2</v>
      </c>
      <c r="Y1385">
        <f t="shared" si="471"/>
        <v>3.7498599661668879E-4</v>
      </c>
      <c r="Z1385">
        <f t="shared" si="472"/>
        <v>3.1873809712418544E-3</v>
      </c>
      <c r="AA1385">
        <f t="shared" si="473"/>
        <v>0.34699835428020726</v>
      </c>
      <c r="AB1385">
        <f t="shared" si="474"/>
        <v>0.19573219062600627</v>
      </c>
      <c r="AC1385">
        <f t="shared" si="475"/>
        <v>0.14919624095287687</v>
      </c>
      <c r="AD1385">
        <f t="shared" si="476"/>
        <v>4.3037142831697369E-3</v>
      </c>
      <c r="AE1385">
        <f t="shared" si="477"/>
        <v>2.998556772645521E-2</v>
      </c>
      <c r="AG1385">
        <f t="shared" si="478"/>
        <v>1.2003046446572214</v>
      </c>
      <c r="AH1385">
        <f t="shared" si="479"/>
        <v>0.16419305591556815</v>
      </c>
      <c r="AI1385">
        <f t="shared" si="480"/>
        <v>-0.69611593759456425</v>
      </c>
      <c r="AK1385" s="26">
        <f t="shared" si="481"/>
        <v>-1.6235125862375743E-2</v>
      </c>
      <c r="AL1385" s="26">
        <f t="shared" si="482"/>
        <v>-6.0093260356594291E-2</v>
      </c>
      <c r="AM1385" s="26">
        <f t="shared" si="483"/>
        <v>7.5066327139666156E-2</v>
      </c>
      <c r="AN1385" s="26">
        <f t="shared" si="484"/>
        <v>-1.7176190476190669</v>
      </c>
      <c r="AO1385" s="26">
        <f t="shared" si="485"/>
        <v>-1.051964285714277</v>
      </c>
      <c r="AP1385" s="26">
        <f t="shared" si="486"/>
        <v>0.29098559777895616</v>
      </c>
      <c r="AS1385" s="2">
        <v>44095</v>
      </c>
      <c r="AT1385">
        <v>12.1</v>
      </c>
      <c r="AU1385">
        <v>50.3</v>
      </c>
      <c r="AV1385">
        <v>1.7</v>
      </c>
      <c r="AW1385">
        <v>0.8</v>
      </c>
      <c r="AX1385">
        <v>196.07</v>
      </c>
      <c r="AY1385">
        <v>0.5</v>
      </c>
      <c r="AZ1385">
        <v>3.8</v>
      </c>
      <c r="BA1385">
        <v>260.26119999999997</v>
      </c>
      <c r="BB1385">
        <v>180.6062</v>
      </c>
      <c r="BC1385">
        <v>132.38800000000001</v>
      </c>
      <c r="BD1385">
        <v>4.4866000000000001</v>
      </c>
      <c r="BE1385">
        <v>31.772200000000002</v>
      </c>
      <c r="BH1385">
        <v>94.22</v>
      </c>
    </row>
    <row r="1386" spans="1:60" x14ac:dyDescent="0.25">
      <c r="A1386" s="2">
        <v>44115</v>
      </c>
      <c r="B1386">
        <v>17.7</v>
      </c>
      <c r="C1386">
        <v>23.4</v>
      </c>
      <c r="D1386">
        <v>64.900000000000006</v>
      </c>
      <c r="E1386">
        <v>3.8</v>
      </c>
      <c r="F1386">
        <v>88.63</v>
      </c>
      <c r="G1386">
        <v>0.5</v>
      </c>
      <c r="H1386">
        <v>3.2</v>
      </c>
      <c r="I1386">
        <v>285.54450000000003</v>
      </c>
      <c r="J1386">
        <v>62.827800000000003</v>
      </c>
      <c r="K1386">
        <v>59.016500000000001</v>
      </c>
      <c r="L1386">
        <v>4.2763999999999998</v>
      </c>
      <c r="M1386">
        <v>16.088000000000001</v>
      </c>
      <c r="P1386">
        <v>95.73</v>
      </c>
      <c r="S1386">
        <f t="shared" si="465"/>
        <v>629.88319999999987</v>
      </c>
      <c r="T1386">
        <f t="shared" si="466"/>
        <v>1.6593130350288476E-2</v>
      </c>
      <c r="U1386">
        <f t="shared" si="467"/>
        <v>2.1936680802076291E-2</v>
      </c>
      <c r="V1386">
        <f t="shared" si="468"/>
        <v>6.0841477951057758E-2</v>
      </c>
      <c r="W1386">
        <f t="shared" si="469"/>
        <v>3.5623669678585433E-3</v>
      </c>
      <c r="X1386">
        <f t="shared" si="470"/>
        <v>8.3087522200342809E-2</v>
      </c>
      <c r="Y1386">
        <f t="shared" si="471"/>
        <v>4.6873249577086097E-4</v>
      </c>
      <c r="Z1386">
        <f t="shared" si="472"/>
        <v>2.9998879729335104E-3</v>
      </c>
      <c r="AA1386">
        <f t="shared" si="473"/>
        <v>0.26768797227728525</v>
      </c>
      <c r="AB1386">
        <f t="shared" si="474"/>
        <v>5.8898862995585E-2</v>
      </c>
      <c r="AC1386">
        <f t="shared" si="475"/>
        <v>5.5325902673322033E-2</v>
      </c>
      <c r="AD1386">
        <f t="shared" si="476"/>
        <v>4.008975289829019E-3</v>
      </c>
      <c r="AE1386">
        <f t="shared" si="477"/>
        <v>1.5081936783923222E-2</v>
      </c>
      <c r="AG1386">
        <f t="shared" si="478"/>
        <v>1.2038559901606514</v>
      </c>
      <c r="AH1386">
        <f t="shared" si="479"/>
        <v>0.20457173552425148</v>
      </c>
      <c r="AI1386">
        <f t="shared" si="480"/>
        <v>-0.45378151175342246</v>
      </c>
      <c r="AK1386" s="26">
        <f t="shared" si="481"/>
        <v>-2.0023439749671856E-2</v>
      </c>
      <c r="AL1386" s="26">
        <f t="shared" si="482"/>
        <v>-5.6439816990762726E-2</v>
      </c>
      <c r="AM1386" s="26">
        <f t="shared" si="483"/>
        <v>7.7233926052072799E-2</v>
      </c>
      <c r="AN1386" s="26">
        <f t="shared" si="484"/>
        <v>-1.7090476190476096</v>
      </c>
      <c r="AO1386" s="26">
        <f t="shared" si="485"/>
        <v>-1.0073214285714158</v>
      </c>
      <c r="AP1386" s="26">
        <f t="shared" si="486"/>
        <v>0.22546832559362429</v>
      </c>
      <c r="AS1386" s="2">
        <v>44094</v>
      </c>
      <c r="AT1386">
        <v>12.5</v>
      </c>
      <c r="AU1386">
        <v>13.4</v>
      </c>
      <c r="AV1386">
        <v>13.3</v>
      </c>
      <c r="AW1386">
        <v>2</v>
      </c>
      <c r="AX1386">
        <v>201.88</v>
      </c>
      <c r="AY1386">
        <v>0.5</v>
      </c>
      <c r="AZ1386">
        <v>3.5</v>
      </c>
      <c r="BA1386">
        <v>219.7577</v>
      </c>
      <c r="BB1386">
        <v>92.201599999999999</v>
      </c>
      <c r="BC1386">
        <v>84.201300000000003</v>
      </c>
      <c r="BD1386">
        <v>4.4313000000000002</v>
      </c>
      <c r="BE1386">
        <v>11.4663</v>
      </c>
      <c r="BH1386">
        <v>94.14</v>
      </c>
    </row>
    <row r="1387" spans="1:60" x14ac:dyDescent="0.25">
      <c r="A1387" s="2">
        <v>44114</v>
      </c>
      <c r="B1387">
        <v>17.8</v>
      </c>
      <c r="C1387">
        <v>0.6</v>
      </c>
      <c r="D1387">
        <v>54.4</v>
      </c>
      <c r="E1387">
        <v>4.5999999999999996</v>
      </c>
      <c r="F1387">
        <v>73.45</v>
      </c>
      <c r="G1387">
        <v>0.5</v>
      </c>
      <c r="H1387">
        <v>3.4</v>
      </c>
      <c r="I1387">
        <v>323.60399999999998</v>
      </c>
      <c r="J1387">
        <v>60.486800000000002</v>
      </c>
      <c r="K1387">
        <v>61.491300000000003</v>
      </c>
      <c r="L1387">
        <v>4.2957000000000001</v>
      </c>
      <c r="M1387">
        <v>19.866099999999999</v>
      </c>
      <c r="P1387">
        <v>95.69</v>
      </c>
      <c r="S1387">
        <f t="shared" si="465"/>
        <v>624.49389999999994</v>
      </c>
      <c r="T1387">
        <f t="shared" si="466"/>
        <v>1.6686876849442651E-2</v>
      </c>
      <c r="U1387">
        <f t="shared" si="467"/>
        <v>5.6247899492503314E-4</v>
      </c>
      <c r="V1387">
        <f t="shared" si="468"/>
        <v>5.099809553986967E-2</v>
      </c>
      <c r="W1387">
        <f t="shared" si="469"/>
        <v>4.3123389610919202E-3</v>
      </c>
      <c r="X1387">
        <f t="shared" si="470"/>
        <v>6.8856803628739471E-2</v>
      </c>
      <c r="Y1387">
        <f t="shared" si="471"/>
        <v>4.6873249577086097E-4</v>
      </c>
      <c r="Z1387">
        <f t="shared" si="472"/>
        <v>3.1873809712418544E-3</v>
      </c>
      <c r="AA1387">
        <f t="shared" si="473"/>
        <v>0.30336742112286735</v>
      </c>
      <c r="AB1387">
        <f t="shared" si="474"/>
        <v>5.6704257450385827E-2</v>
      </c>
      <c r="AC1387">
        <f t="shared" si="475"/>
        <v>5.7645941034389483E-2</v>
      </c>
      <c r="AD1387">
        <f t="shared" si="476"/>
        <v>4.0270683641657748E-3</v>
      </c>
      <c r="AE1387">
        <f t="shared" si="477"/>
        <v>1.8623773268467002E-2</v>
      </c>
      <c r="AG1387">
        <f t="shared" si="478"/>
        <v>1.2007388794605331</v>
      </c>
      <c r="AH1387">
        <f t="shared" si="479"/>
        <v>0.16369648070954848</v>
      </c>
      <c r="AI1387">
        <f t="shared" si="480"/>
        <v>-0.70057571636621174</v>
      </c>
      <c r="AK1387" s="26">
        <f t="shared" si="481"/>
        <v>-2.0587637430414696E-2</v>
      </c>
      <c r="AL1387" s="26">
        <f t="shared" si="482"/>
        <v>-6.2824007152590011E-2</v>
      </c>
      <c r="AM1387" s="26">
        <f t="shared" si="483"/>
        <v>7.8105503248033115E-2</v>
      </c>
      <c r="AN1387" s="26">
        <f t="shared" si="484"/>
        <v>-1.702380952380949</v>
      </c>
      <c r="AO1387" s="26">
        <f t="shared" si="485"/>
        <v>-0.96321428571428669</v>
      </c>
      <c r="AP1387" s="26">
        <f t="shared" si="486"/>
        <v>0.1568849557522185</v>
      </c>
      <c r="AS1387" s="2">
        <v>44093</v>
      </c>
      <c r="AT1387">
        <v>13.5</v>
      </c>
      <c r="AU1387">
        <v>0</v>
      </c>
      <c r="AV1387">
        <v>31.9</v>
      </c>
      <c r="AW1387">
        <v>2.7</v>
      </c>
      <c r="AX1387">
        <v>197.5</v>
      </c>
      <c r="AY1387">
        <v>0.5</v>
      </c>
      <c r="AZ1387">
        <v>3.4</v>
      </c>
      <c r="BA1387">
        <v>213.96260000000001</v>
      </c>
      <c r="BB1387">
        <v>77.894199999999998</v>
      </c>
      <c r="BC1387">
        <v>93.750699999999995</v>
      </c>
      <c r="BD1387">
        <v>4.3742999999999999</v>
      </c>
      <c r="BE1387">
        <v>17.128900000000002</v>
      </c>
      <c r="BH1387">
        <v>93.94</v>
      </c>
    </row>
    <row r="1388" spans="1:60" x14ac:dyDescent="0.25">
      <c r="A1388" s="2">
        <v>44113</v>
      </c>
      <c r="B1388">
        <v>18.7</v>
      </c>
      <c r="C1388">
        <v>2.6</v>
      </c>
      <c r="D1388">
        <v>50.9</v>
      </c>
      <c r="E1388">
        <v>3.8</v>
      </c>
      <c r="F1388">
        <v>81.010000000000005</v>
      </c>
      <c r="G1388">
        <v>0.5</v>
      </c>
      <c r="H1388">
        <v>3.5</v>
      </c>
      <c r="I1388">
        <v>306.51729999999998</v>
      </c>
      <c r="J1388">
        <v>122.78579999999999</v>
      </c>
      <c r="K1388">
        <v>131.93690000000001</v>
      </c>
      <c r="L1388">
        <v>4.8643999999999998</v>
      </c>
      <c r="M1388">
        <v>39.933399999999999</v>
      </c>
      <c r="N1388">
        <v>2.4293999999999998</v>
      </c>
      <c r="O1388">
        <v>-2.3355000000000001</v>
      </c>
      <c r="P1388">
        <v>95.46</v>
      </c>
      <c r="S1388">
        <f t="shared" si="465"/>
        <v>767.04780000000005</v>
      </c>
      <c r="T1388">
        <f t="shared" si="466"/>
        <v>1.7530595341830199E-2</v>
      </c>
      <c r="U1388">
        <f t="shared" si="467"/>
        <v>2.437408978008477E-3</v>
      </c>
      <c r="V1388">
        <f t="shared" si="468"/>
        <v>4.7716968069473641E-2</v>
      </c>
      <c r="W1388">
        <f t="shared" si="469"/>
        <v>3.5623669678585433E-3</v>
      </c>
      <c r="X1388">
        <f t="shared" si="470"/>
        <v>7.5944038964794902E-2</v>
      </c>
      <c r="Y1388">
        <f t="shared" si="471"/>
        <v>4.6873249577086097E-4</v>
      </c>
      <c r="Z1388">
        <f t="shared" si="472"/>
        <v>3.2811274703960268E-3</v>
      </c>
      <c r="AA1388">
        <f t="shared" si="473"/>
        <v>0.28734923805189144</v>
      </c>
      <c r="AB1388">
        <f t="shared" si="474"/>
        <v>0.11510738895844355</v>
      </c>
      <c r="AC1388">
        <f t="shared" si="475"/>
        <v>0.12368622484254102</v>
      </c>
      <c r="AD1388">
        <f t="shared" si="476"/>
        <v>4.5602047048555515E-3</v>
      </c>
      <c r="AE1388">
        <f t="shared" si="477"/>
        <v>3.7436164493232199E-2</v>
      </c>
      <c r="AG1388">
        <f t="shared" si="478"/>
        <v>1.1834183749805047</v>
      </c>
      <c r="AH1388">
        <f t="shared" si="479"/>
        <v>0.18837740278136486</v>
      </c>
      <c r="AI1388">
        <f t="shared" si="480"/>
        <v>-0.5526644631012626</v>
      </c>
      <c r="AK1388" s="26">
        <f t="shared" si="481"/>
        <v>-2.4089033460871018E-2</v>
      </c>
      <c r="AL1388" s="26">
        <f t="shared" si="482"/>
        <v>-5.8899189434287458E-2</v>
      </c>
      <c r="AM1388" s="26">
        <f t="shared" si="483"/>
        <v>8.0781275327738211E-2</v>
      </c>
      <c r="AN1388" s="26">
        <f t="shared" si="484"/>
        <v>-1.7014285714285506</v>
      </c>
      <c r="AO1388" s="26">
        <f t="shared" si="485"/>
        <v>-0.9189285714285802</v>
      </c>
      <c r="AP1388" s="26">
        <f t="shared" si="486"/>
        <v>8.6933047287018894E-2</v>
      </c>
      <c r="AS1388" s="2">
        <v>44092</v>
      </c>
      <c r="AT1388">
        <v>15.4</v>
      </c>
      <c r="AU1388">
        <v>0</v>
      </c>
      <c r="AV1388">
        <v>15.3</v>
      </c>
      <c r="AW1388">
        <v>2.5</v>
      </c>
      <c r="AX1388">
        <v>209.79</v>
      </c>
      <c r="AY1388">
        <v>0.5</v>
      </c>
      <c r="AZ1388">
        <v>3.4</v>
      </c>
      <c r="BA1388">
        <v>264.21300000000002</v>
      </c>
      <c r="BB1388">
        <v>120.7569</v>
      </c>
      <c r="BC1388">
        <v>109.5291</v>
      </c>
      <c r="BD1388">
        <v>4.3818999999999999</v>
      </c>
      <c r="BE1388">
        <v>21.979900000000001</v>
      </c>
      <c r="BH1388">
        <v>93.74</v>
      </c>
    </row>
    <row r="1389" spans="1:60" x14ac:dyDescent="0.25">
      <c r="A1389" s="2">
        <v>44112</v>
      </c>
      <c r="B1389">
        <v>19.5</v>
      </c>
      <c r="C1389">
        <v>1.6</v>
      </c>
      <c r="D1389">
        <v>68.5</v>
      </c>
      <c r="E1389">
        <v>5.6</v>
      </c>
      <c r="F1389">
        <v>78</v>
      </c>
      <c r="G1389">
        <v>0.5</v>
      </c>
      <c r="H1389">
        <v>3.3</v>
      </c>
      <c r="I1389">
        <v>260.73579999999998</v>
      </c>
      <c r="J1389">
        <v>78.758300000000006</v>
      </c>
      <c r="K1389">
        <v>80.161100000000005</v>
      </c>
      <c r="L1389">
        <v>7.7972000000000001</v>
      </c>
      <c r="M1389">
        <v>18.4968</v>
      </c>
      <c r="N1389">
        <v>2.5367000000000002</v>
      </c>
      <c r="O1389">
        <v>-2.3967000000000001</v>
      </c>
      <c r="P1389">
        <v>95.39</v>
      </c>
      <c r="S1389">
        <f t="shared" si="465"/>
        <v>622.94920000000002</v>
      </c>
      <c r="T1389">
        <f t="shared" si="466"/>
        <v>1.8280567335063579E-2</v>
      </c>
      <c r="U1389">
        <f t="shared" si="467"/>
        <v>1.4999439864667552E-3</v>
      </c>
      <c r="V1389">
        <f t="shared" si="468"/>
        <v>6.4216351920607956E-2</v>
      </c>
      <c r="W1389">
        <f t="shared" si="469"/>
        <v>5.249803952633642E-3</v>
      </c>
      <c r="X1389">
        <f t="shared" si="470"/>
        <v>7.3122269340254314E-2</v>
      </c>
      <c r="Y1389">
        <f t="shared" si="471"/>
        <v>4.6873249577086097E-4</v>
      </c>
      <c r="Z1389">
        <f t="shared" si="472"/>
        <v>3.0936344720876819E-3</v>
      </c>
      <c r="AA1389">
        <f t="shared" si="473"/>
        <v>0.24443068454162409</v>
      </c>
      <c r="AB1389">
        <f t="shared" si="474"/>
        <v>7.3833149043340401E-2</v>
      </c>
      <c r="AC1389">
        <f t="shared" si="475"/>
        <v>7.514822493347513E-2</v>
      </c>
      <c r="AD1389">
        <f t="shared" si="476"/>
        <v>7.3096020320491143E-3</v>
      </c>
      <c r="AE1389">
        <f t="shared" si="477"/>
        <v>1.7340102455548921E-2</v>
      </c>
      <c r="AG1389">
        <f t="shared" si="478"/>
        <v>1.1779911702948069</v>
      </c>
      <c r="AH1389">
        <f t="shared" si="479"/>
        <v>0.18327140595843372</v>
      </c>
      <c r="AI1389">
        <f t="shared" si="480"/>
        <v>-0.58396548216662414</v>
      </c>
      <c r="AK1389" s="26">
        <f t="shared" si="481"/>
        <v>-2.8321826285371138E-2</v>
      </c>
      <c r="AL1389" s="26">
        <f t="shared" si="482"/>
        <v>-5.8963797512650906E-2</v>
      </c>
      <c r="AM1389" s="26">
        <f t="shared" si="483"/>
        <v>8.3493207864361985E-2</v>
      </c>
      <c r="AN1389" s="26">
        <f t="shared" si="484"/>
        <v>-1.6842857142857071</v>
      </c>
      <c r="AO1389" s="26">
        <f t="shared" si="485"/>
        <v>-0.86410714285715073</v>
      </c>
      <c r="AP1389" s="26">
        <f t="shared" si="486"/>
        <v>2.1674191800585163E-2</v>
      </c>
      <c r="AS1389" s="2">
        <v>44091</v>
      </c>
      <c r="AT1389">
        <v>16</v>
      </c>
      <c r="AU1389">
        <v>16.2</v>
      </c>
      <c r="AV1389">
        <v>38.200000000000003</v>
      </c>
      <c r="AW1389">
        <v>3.4</v>
      </c>
      <c r="AX1389">
        <v>175.42</v>
      </c>
      <c r="AY1389">
        <v>0.4</v>
      </c>
      <c r="AZ1389">
        <v>3.4</v>
      </c>
      <c r="BA1389">
        <v>248.4194</v>
      </c>
      <c r="BB1389">
        <v>180.14250000000001</v>
      </c>
      <c r="BC1389">
        <v>112.7076</v>
      </c>
      <c r="BD1389">
        <v>4.3680000000000003</v>
      </c>
      <c r="BE1389">
        <v>18.880600000000001</v>
      </c>
      <c r="BH1389">
        <v>93.6</v>
      </c>
    </row>
    <row r="1390" spans="1:60" x14ac:dyDescent="0.25">
      <c r="A1390" s="2">
        <v>44111</v>
      </c>
      <c r="B1390">
        <v>19.899999999999999</v>
      </c>
      <c r="C1390">
        <v>2.7</v>
      </c>
      <c r="D1390">
        <v>53.1</v>
      </c>
      <c r="E1390">
        <v>5.0999999999999996</v>
      </c>
      <c r="F1390">
        <v>74.81</v>
      </c>
      <c r="G1390">
        <v>0.5</v>
      </c>
      <c r="H1390">
        <v>3.2</v>
      </c>
      <c r="I1390">
        <v>301.79360000000003</v>
      </c>
      <c r="J1390">
        <v>103.4076</v>
      </c>
      <c r="K1390">
        <v>101.53789999999999</v>
      </c>
      <c r="L1390">
        <v>4.6260000000000003</v>
      </c>
      <c r="M1390">
        <v>28.982099999999999</v>
      </c>
      <c r="N1390">
        <v>2.5975000000000001</v>
      </c>
      <c r="O1390">
        <v>-3.0160999999999998</v>
      </c>
      <c r="P1390">
        <v>95.35</v>
      </c>
      <c r="S1390">
        <f t="shared" si="465"/>
        <v>699.65719999999999</v>
      </c>
      <c r="T1390">
        <f t="shared" si="466"/>
        <v>1.8655553331680265E-2</v>
      </c>
      <c r="U1390">
        <f t="shared" si="467"/>
        <v>2.5311554771626494E-3</v>
      </c>
      <c r="V1390">
        <f t="shared" si="468"/>
        <v>4.9779391050865436E-2</v>
      </c>
      <c r="W1390">
        <f t="shared" si="469"/>
        <v>4.7810714568627816E-3</v>
      </c>
      <c r="X1390">
        <f t="shared" si="470"/>
        <v>7.0131756017236216E-2</v>
      </c>
      <c r="Y1390">
        <f t="shared" si="471"/>
        <v>4.6873249577086097E-4</v>
      </c>
      <c r="Z1390">
        <f t="shared" si="472"/>
        <v>2.9998879729335104E-3</v>
      </c>
      <c r="AA1390">
        <f t="shared" si="473"/>
        <v>0.28292093467134583</v>
      </c>
      <c r="AB1390">
        <f t="shared" si="474"/>
        <v>9.6941004859349769E-2</v>
      </c>
      <c r="AC1390">
        <f t="shared" si="475"/>
        <v>9.5188226564664205E-2</v>
      </c>
      <c r="AD1390">
        <f t="shared" si="476"/>
        <v>4.3367130508720061E-3</v>
      </c>
      <c r="AE1390">
        <f t="shared" si="477"/>
        <v>2.7169704131361338E-2</v>
      </c>
      <c r="AG1390">
        <f t="shared" si="478"/>
        <v>1.1747290327727202</v>
      </c>
      <c r="AH1390">
        <f t="shared" si="479"/>
        <v>0.17651725193387308</v>
      </c>
      <c r="AI1390">
        <f t="shared" si="480"/>
        <v>-0.62409780642155444</v>
      </c>
      <c r="AK1390" s="26">
        <f t="shared" si="481"/>
        <v>-2.9974804735528576E-2</v>
      </c>
      <c r="AL1390" s="26">
        <f t="shared" si="482"/>
        <v>-6.2099874038186065E-2</v>
      </c>
      <c r="AM1390" s="26">
        <f t="shared" si="483"/>
        <v>8.1898990111602343E-2</v>
      </c>
      <c r="AN1390" s="26">
        <f t="shared" si="484"/>
        <v>-1.6666666666666572</v>
      </c>
      <c r="AO1390" s="26">
        <f t="shared" si="485"/>
        <v>-0.80624999999997726</v>
      </c>
      <c r="AP1390" s="26">
        <f t="shared" si="486"/>
        <v>-4.2886597938135651E-2</v>
      </c>
      <c r="AS1390" s="2">
        <v>44090</v>
      </c>
      <c r="AT1390">
        <v>15.8</v>
      </c>
      <c r="AU1390">
        <v>3.6</v>
      </c>
      <c r="AV1390">
        <v>31.7</v>
      </c>
      <c r="AW1390">
        <v>1.9</v>
      </c>
      <c r="AX1390">
        <v>166.32</v>
      </c>
      <c r="AY1390">
        <v>0.4</v>
      </c>
      <c r="AZ1390">
        <v>3.4</v>
      </c>
      <c r="BA1390">
        <v>247.53790000000001</v>
      </c>
      <c r="BB1390">
        <v>234.6455</v>
      </c>
      <c r="BC1390">
        <v>124.94710000000001</v>
      </c>
      <c r="BD1390">
        <v>4.3882000000000003</v>
      </c>
      <c r="BE1390">
        <v>20.811900000000001</v>
      </c>
      <c r="BH1390">
        <v>93.64</v>
      </c>
    </row>
    <row r="1391" spans="1:60" x14ac:dyDescent="0.25">
      <c r="A1391" s="2">
        <v>44110</v>
      </c>
      <c r="B1391">
        <v>20.2</v>
      </c>
      <c r="C1391">
        <v>55.1</v>
      </c>
      <c r="D1391">
        <v>70.3</v>
      </c>
      <c r="E1391">
        <v>6.9</v>
      </c>
      <c r="F1391">
        <v>67.62</v>
      </c>
      <c r="G1391">
        <v>0.5</v>
      </c>
      <c r="H1391">
        <v>3</v>
      </c>
      <c r="I1391">
        <v>256.8655</v>
      </c>
      <c r="J1391">
        <v>86.197400000000002</v>
      </c>
      <c r="K1391">
        <v>87.565700000000007</v>
      </c>
      <c r="L1391">
        <v>4.4907000000000004</v>
      </c>
      <c r="M1391">
        <v>29.9651</v>
      </c>
      <c r="N1391">
        <v>2.8681000000000001</v>
      </c>
      <c r="O1391">
        <v>-3.3388</v>
      </c>
      <c r="P1391">
        <v>95.31</v>
      </c>
      <c r="S1391">
        <f t="shared" si="465"/>
        <v>688.70439999999996</v>
      </c>
      <c r="T1391">
        <f t="shared" si="466"/>
        <v>1.8936792829142783E-2</v>
      </c>
      <c r="U1391">
        <f t="shared" si="467"/>
        <v>5.1654321033948881E-2</v>
      </c>
      <c r="V1391">
        <f t="shared" si="468"/>
        <v>6.5903788905383051E-2</v>
      </c>
      <c r="W1391">
        <f t="shared" si="469"/>
        <v>6.4685084416378812E-3</v>
      </c>
      <c r="X1391">
        <f t="shared" si="470"/>
        <v>6.339138272805124E-2</v>
      </c>
      <c r="Y1391">
        <f t="shared" si="471"/>
        <v>4.6873249577086097E-4</v>
      </c>
      <c r="Z1391">
        <f t="shared" si="472"/>
        <v>2.8123949746251659E-3</v>
      </c>
      <c r="AA1391">
        <f t="shared" si="473"/>
        <v>0.24080241378486017</v>
      </c>
      <c r="AB1391">
        <f t="shared" si="474"/>
        <v>8.080704486191842E-2</v>
      </c>
      <c r="AC1391">
        <f t="shared" si="475"/>
        <v>8.2089778209844963E-2</v>
      </c>
      <c r="AD1391">
        <f t="shared" si="476"/>
        <v>4.2098740375164107E-3</v>
      </c>
      <c r="AE1391">
        <f t="shared" si="477"/>
        <v>2.8091232218046852E-2</v>
      </c>
      <c r="AG1391">
        <f t="shared" si="478"/>
        <v>1.1714586538045497</v>
      </c>
      <c r="AH1391">
        <f t="shared" si="479"/>
        <v>0.23772715362660668</v>
      </c>
      <c r="AI1391">
        <f t="shared" si="480"/>
        <v>-0.25527561970594193</v>
      </c>
      <c r="AK1391" s="26">
        <f t="shared" si="481"/>
        <v>-3.161571220789014E-2</v>
      </c>
      <c r="AL1391" s="26">
        <f t="shared" si="482"/>
        <v>-6.5929162399806007E-2</v>
      </c>
      <c r="AM1391" s="26">
        <f t="shared" si="483"/>
        <v>8.4311665568097327E-2</v>
      </c>
      <c r="AN1391" s="26">
        <f t="shared" si="484"/>
        <v>-1.6385714285714101</v>
      </c>
      <c r="AO1391" s="26">
        <f t="shared" si="485"/>
        <v>-0.74678571428569285</v>
      </c>
      <c r="AP1391" s="26">
        <f t="shared" si="486"/>
        <v>-0.10658738938052181</v>
      </c>
      <c r="AS1391" s="2">
        <v>44089</v>
      </c>
      <c r="AT1391">
        <v>15.6</v>
      </c>
      <c r="AU1391">
        <v>391.9</v>
      </c>
      <c r="AV1391">
        <v>6.9</v>
      </c>
      <c r="AW1391">
        <v>0.6</v>
      </c>
      <c r="AX1391">
        <v>201.39</v>
      </c>
      <c r="AY1391">
        <v>0.3</v>
      </c>
      <c r="AZ1391">
        <v>3.4</v>
      </c>
      <c r="BA1391">
        <v>258.68329999999997</v>
      </c>
      <c r="BB1391">
        <v>273.56819999999999</v>
      </c>
      <c r="BC1391">
        <v>130.02940000000001</v>
      </c>
      <c r="BD1391">
        <v>4.8788999999999998</v>
      </c>
      <c r="BE1391">
        <v>44.983400000000003</v>
      </c>
      <c r="BH1391">
        <v>93.54</v>
      </c>
    </row>
    <row r="1392" spans="1:60" x14ac:dyDescent="0.25">
      <c r="A1392" s="2">
        <v>44109</v>
      </c>
      <c r="B1392">
        <v>20.3</v>
      </c>
      <c r="C1392">
        <v>19.600000000000001</v>
      </c>
      <c r="D1392">
        <v>82.8</v>
      </c>
      <c r="E1392">
        <v>5.4</v>
      </c>
      <c r="F1392">
        <v>77.44</v>
      </c>
      <c r="G1392">
        <v>0.5</v>
      </c>
      <c r="H1392">
        <v>2.9</v>
      </c>
      <c r="I1392">
        <v>199.8373</v>
      </c>
      <c r="J1392">
        <v>80.296899999999994</v>
      </c>
      <c r="K1392">
        <v>114.5844</v>
      </c>
      <c r="L1392">
        <v>4.3011999999999997</v>
      </c>
      <c r="M1392">
        <v>33.209800000000001</v>
      </c>
      <c r="N1392">
        <v>3.3203999999999998</v>
      </c>
      <c r="O1392">
        <v>-2.4664999999999999</v>
      </c>
      <c r="P1392">
        <v>95.24</v>
      </c>
      <c r="S1392">
        <f t="shared" si="465"/>
        <v>641.16959999999995</v>
      </c>
      <c r="T1392">
        <f t="shared" si="466"/>
        <v>1.9030539328296955E-2</v>
      </c>
      <c r="U1392">
        <f t="shared" si="467"/>
        <v>1.837431383421775E-2</v>
      </c>
      <c r="V1392">
        <f t="shared" si="468"/>
        <v>7.7622101299654578E-2</v>
      </c>
      <c r="W1392">
        <f t="shared" si="469"/>
        <v>5.0623109543252989E-3</v>
      </c>
      <c r="X1392">
        <f t="shared" si="470"/>
        <v>7.2597288944990943E-2</v>
      </c>
      <c r="Y1392">
        <f t="shared" si="471"/>
        <v>4.6873249577086097E-4</v>
      </c>
      <c r="Z1392">
        <f t="shared" si="472"/>
        <v>2.7186484754709935E-3</v>
      </c>
      <c r="AA1392">
        <f t="shared" si="473"/>
        <v>0.18734047275422056</v>
      </c>
      <c r="AB1392">
        <f t="shared" si="474"/>
        <v>7.527553267932649E-2</v>
      </c>
      <c r="AC1392">
        <f t="shared" si="475"/>
        <v>0.10741886357681328</v>
      </c>
      <c r="AD1392">
        <f t="shared" si="476"/>
        <v>4.0322244216192543E-3</v>
      </c>
      <c r="AE1392">
        <f t="shared" si="477"/>
        <v>3.1133024876102276E-2</v>
      </c>
      <c r="AG1392">
        <f t="shared" si="478"/>
        <v>1.1659321744967579</v>
      </c>
      <c r="AH1392">
        <f t="shared" si="479"/>
        <v>0.22700696020882966</v>
      </c>
      <c r="AI1392">
        <f t="shared" si="480"/>
        <v>-0.3190561045539797</v>
      </c>
      <c r="AK1392" s="26">
        <f t="shared" si="481"/>
        <v>-2.1587171532634619E-2</v>
      </c>
      <c r="AL1392" s="26">
        <f t="shared" si="482"/>
        <v>-7.0978974936940498E-2</v>
      </c>
      <c r="AM1392" s="26">
        <f t="shared" si="483"/>
        <v>8.4252954888055676E-2</v>
      </c>
      <c r="AN1392" s="26">
        <f t="shared" si="484"/>
        <v>-1.6014285714285847</v>
      </c>
      <c r="AO1392" s="26">
        <f t="shared" si="485"/>
        <v>-0.68374999999997499</v>
      </c>
      <c r="AP1392" s="26">
        <f t="shared" si="486"/>
        <v>-0.16901537028412861</v>
      </c>
      <c r="AS1392" s="2">
        <v>44088</v>
      </c>
      <c r="AT1392">
        <v>14.9</v>
      </c>
      <c r="AU1392">
        <v>107.2</v>
      </c>
      <c r="AV1392">
        <v>18</v>
      </c>
      <c r="AW1392">
        <v>0.6</v>
      </c>
      <c r="AX1392">
        <v>207.59</v>
      </c>
      <c r="AY1392">
        <v>0.5</v>
      </c>
      <c r="AZ1392">
        <v>3.4</v>
      </c>
      <c r="BA1392">
        <v>264.23970000000003</v>
      </c>
      <c r="BB1392">
        <v>209.07</v>
      </c>
      <c r="BC1392">
        <v>124.3933</v>
      </c>
      <c r="BD1392">
        <v>4.5891000000000002</v>
      </c>
      <c r="BE1392">
        <v>34.194600000000001</v>
      </c>
      <c r="BH1392">
        <v>93.43</v>
      </c>
    </row>
    <row r="1393" spans="1:60" x14ac:dyDescent="0.25">
      <c r="A1393" s="2">
        <v>44108</v>
      </c>
      <c r="B1393">
        <v>19.7</v>
      </c>
      <c r="C1393">
        <v>21.5</v>
      </c>
      <c r="D1393">
        <v>67.7</v>
      </c>
      <c r="E1393">
        <v>5.8</v>
      </c>
      <c r="F1393">
        <v>131.88999999999999</v>
      </c>
      <c r="G1393">
        <v>0.5</v>
      </c>
      <c r="H1393">
        <v>2.9</v>
      </c>
      <c r="I1393">
        <v>109.3305</v>
      </c>
      <c r="J1393">
        <v>33.444200000000002</v>
      </c>
      <c r="K1393">
        <v>34.542499999999997</v>
      </c>
      <c r="L1393">
        <v>4.3364000000000003</v>
      </c>
      <c r="M1393">
        <v>18.1205</v>
      </c>
      <c r="P1393">
        <v>95.19</v>
      </c>
      <c r="S1393">
        <f t="shared" si="465"/>
        <v>449.76410000000004</v>
      </c>
      <c r="T1393">
        <f t="shared" si="466"/>
        <v>1.8468060333371922E-2</v>
      </c>
      <c r="U1393">
        <f t="shared" si="467"/>
        <v>2.0155497318147021E-2</v>
      </c>
      <c r="V1393">
        <f t="shared" si="468"/>
        <v>6.3466379927374569E-2</v>
      </c>
      <c r="W1393">
        <f t="shared" si="469"/>
        <v>5.4372969509419869E-3</v>
      </c>
      <c r="X1393">
        <f t="shared" si="470"/>
        <v>0.1236422577344377</v>
      </c>
      <c r="Y1393">
        <f t="shared" si="471"/>
        <v>4.6873249577086097E-4</v>
      </c>
      <c r="Z1393">
        <f t="shared" si="472"/>
        <v>2.7186484754709935E-3</v>
      </c>
      <c r="AA1393">
        <f t="shared" si="473"/>
        <v>0.10249351625775223</v>
      </c>
      <c r="AB1393">
        <f t="shared" si="474"/>
        <v>3.1352766670119658E-2</v>
      </c>
      <c r="AC1393">
        <f t="shared" si="475"/>
        <v>3.2382384470329928E-2</v>
      </c>
      <c r="AD1393">
        <f t="shared" si="476"/>
        <v>4.0652231893215235E-3</v>
      </c>
      <c r="AE1393">
        <f t="shared" si="477"/>
        <v>1.6987334379231771E-2</v>
      </c>
      <c r="AG1393">
        <f t="shared" si="478"/>
        <v>1.1618699968581079</v>
      </c>
      <c r="AH1393">
        <f t="shared" si="479"/>
        <v>0.2513442076147468</v>
      </c>
      <c r="AI1393">
        <f t="shared" si="480"/>
        <v>-0.17131347818539341</v>
      </c>
      <c r="AK1393" s="26">
        <f t="shared" si="481"/>
        <v>-3.0456706382371107E-2</v>
      </c>
      <c r="AL1393" s="26">
        <f t="shared" si="482"/>
        <v>-7.2696481111319322E-2</v>
      </c>
      <c r="AM1393" s="26">
        <f t="shared" si="483"/>
        <v>8.334011684073267E-2</v>
      </c>
      <c r="AN1393" s="26">
        <f t="shared" si="484"/>
        <v>-1.5614285714285501</v>
      </c>
      <c r="AO1393" s="26">
        <f t="shared" si="485"/>
        <v>-0.6182142857142594</v>
      </c>
      <c r="AP1393" s="26">
        <f t="shared" si="486"/>
        <v>-0.23203822255696593</v>
      </c>
      <c r="AS1393" s="2">
        <v>44087</v>
      </c>
      <c r="AT1393">
        <v>15.6</v>
      </c>
      <c r="AU1393">
        <v>36.4</v>
      </c>
      <c r="AV1393">
        <v>68.3</v>
      </c>
      <c r="AW1393">
        <v>3.5</v>
      </c>
      <c r="AX1393">
        <v>201.04</v>
      </c>
      <c r="AY1393">
        <v>0.5</v>
      </c>
      <c r="AZ1393">
        <v>3.2</v>
      </c>
      <c r="BA1393">
        <v>168.58699999999999</v>
      </c>
      <c r="BB1393">
        <v>59.788400000000003</v>
      </c>
      <c r="BC1393">
        <v>62.154200000000003</v>
      </c>
      <c r="BD1393">
        <v>4.3295000000000003</v>
      </c>
      <c r="BE1393">
        <v>13.853300000000001</v>
      </c>
      <c r="BH1393">
        <v>93.31</v>
      </c>
    </row>
    <row r="1394" spans="1:60" x14ac:dyDescent="0.25">
      <c r="A1394" s="2">
        <v>44107</v>
      </c>
      <c r="B1394">
        <v>17.7</v>
      </c>
      <c r="C1394">
        <v>23.7</v>
      </c>
      <c r="D1394">
        <v>88.6</v>
      </c>
      <c r="E1394">
        <v>8.1999999999999993</v>
      </c>
      <c r="F1394">
        <v>82.1</v>
      </c>
      <c r="G1394">
        <v>0.5</v>
      </c>
      <c r="H1394">
        <v>3.2</v>
      </c>
      <c r="I1394">
        <v>128.69669999999999</v>
      </c>
      <c r="J1394">
        <v>38.063400000000001</v>
      </c>
      <c r="K1394">
        <v>46.548099999999998</v>
      </c>
      <c r="L1394">
        <v>4.3060999999999998</v>
      </c>
      <c r="M1394">
        <v>33.082999999999998</v>
      </c>
      <c r="P1394">
        <v>94.97</v>
      </c>
      <c r="S1394">
        <f t="shared" si="465"/>
        <v>474.69729999999993</v>
      </c>
      <c r="T1394">
        <f t="shared" si="466"/>
        <v>1.6593130350288476E-2</v>
      </c>
      <c r="U1394">
        <f t="shared" si="467"/>
        <v>2.2217920299538809E-2</v>
      </c>
      <c r="V1394">
        <f t="shared" si="468"/>
        <v>8.305939825059655E-2</v>
      </c>
      <c r="W1394">
        <f t="shared" si="469"/>
        <v>7.6872129306421186E-3</v>
      </c>
      <c r="X1394">
        <f t="shared" si="470"/>
        <v>7.6965875805575359E-2</v>
      </c>
      <c r="Y1394">
        <f t="shared" si="471"/>
        <v>4.6873249577086097E-4</v>
      </c>
      <c r="Z1394">
        <f t="shared" si="472"/>
        <v>2.9998879729335104E-3</v>
      </c>
      <c r="AA1394">
        <f t="shared" si="473"/>
        <v>0.12064865077694752</v>
      </c>
      <c r="AB1394">
        <f t="shared" si="474"/>
        <v>3.5683104959049181E-2</v>
      </c>
      <c r="AC1394">
        <f t="shared" si="475"/>
        <v>4.3637214172783226E-2</v>
      </c>
      <c r="AD1394">
        <f t="shared" si="476"/>
        <v>4.0368180000778086E-3</v>
      </c>
      <c r="AE1394">
        <f t="shared" si="477"/>
        <v>3.1014154315174784E-2</v>
      </c>
      <c r="AG1394">
        <f t="shared" si="478"/>
        <v>1.1450955450223057</v>
      </c>
      <c r="AH1394">
        <f t="shared" si="479"/>
        <v>0.24100631242052051</v>
      </c>
      <c r="AI1394">
        <f t="shared" si="480"/>
        <v>-0.23152189889916883</v>
      </c>
      <c r="AK1394" s="26">
        <f t="shared" si="481"/>
        <v>-3.3057399441311058E-2</v>
      </c>
      <c r="AL1394" s="26">
        <f t="shared" si="482"/>
        <v>-6.9964696407654292E-2</v>
      </c>
      <c r="AM1394" s="26">
        <f t="shared" si="483"/>
        <v>8.5367007192436395E-2</v>
      </c>
      <c r="AN1394" s="26">
        <f t="shared" si="484"/>
        <v>-1.5190476190475977</v>
      </c>
      <c r="AO1394" s="26">
        <f t="shared" si="485"/>
        <v>-0.54999999999998295</v>
      </c>
      <c r="AP1394" s="26">
        <f t="shared" si="486"/>
        <v>-0.29680083737750351</v>
      </c>
      <c r="AS1394" s="2">
        <v>44086</v>
      </c>
      <c r="AT1394">
        <v>17.399999999999999</v>
      </c>
      <c r="AU1394">
        <v>81.8</v>
      </c>
      <c r="AV1394">
        <v>62.3</v>
      </c>
      <c r="AW1394">
        <v>4.5999999999999996</v>
      </c>
      <c r="AX1394">
        <v>191.67</v>
      </c>
      <c r="AY1394">
        <v>0.5</v>
      </c>
      <c r="AZ1394">
        <v>3.1</v>
      </c>
      <c r="BA1394">
        <v>184.1995</v>
      </c>
      <c r="BB1394">
        <v>73.9285</v>
      </c>
      <c r="BC1394">
        <v>62.073599999999999</v>
      </c>
      <c r="BD1394">
        <v>4.2952000000000004</v>
      </c>
      <c r="BE1394">
        <v>19.867699999999999</v>
      </c>
      <c r="BH1394">
        <v>93.04</v>
      </c>
    </row>
    <row r="1395" spans="1:60" x14ac:dyDescent="0.25">
      <c r="A1395" s="2">
        <v>44106</v>
      </c>
      <c r="B1395">
        <v>17.3</v>
      </c>
      <c r="C1395">
        <v>2.5</v>
      </c>
      <c r="D1395">
        <v>49.2</v>
      </c>
      <c r="E1395">
        <v>5.4</v>
      </c>
      <c r="F1395">
        <v>104.98</v>
      </c>
      <c r="G1395">
        <v>0.5</v>
      </c>
      <c r="H1395">
        <v>3.4</v>
      </c>
      <c r="I1395">
        <v>271.10289999999998</v>
      </c>
      <c r="J1395">
        <v>101.87649999999999</v>
      </c>
      <c r="K1395">
        <v>110.8141</v>
      </c>
      <c r="L1395">
        <v>4.3047000000000004</v>
      </c>
      <c r="M1395">
        <v>24.0702</v>
      </c>
      <c r="N1395">
        <v>2.6598999999999999</v>
      </c>
      <c r="O1395">
        <v>-3.2924000000000002</v>
      </c>
      <c r="P1395">
        <v>94.77</v>
      </c>
      <c r="S1395">
        <f t="shared" si="465"/>
        <v>695.44839999999999</v>
      </c>
      <c r="T1395">
        <f t="shared" si="466"/>
        <v>1.621814435367179E-2</v>
      </c>
      <c r="U1395">
        <f t="shared" si="467"/>
        <v>2.3436624788543046E-3</v>
      </c>
      <c r="V1395">
        <f t="shared" si="468"/>
        <v>4.612327758385272E-2</v>
      </c>
      <c r="W1395">
        <f t="shared" si="469"/>
        <v>5.0623109543252989E-3</v>
      </c>
      <c r="X1395">
        <f t="shared" si="470"/>
        <v>9.8415074812049974E-2</v>
      </c>
      <c r="Y1395">
        <f t="shared" si="471"/>
        <v>4.6873249577086097E-4</v>
      </c>
      <c r="Z1395">
        <f t="shared" si="472"/>
        <v>3.1873809712418544E-3</v>
      </c>
      <c r="AA1395">
        <f t="shared" si="473"/>
        <v>0.25414947785543623</v>
      </c>
      <c r="AB1395">
        <f t="shared" si="474"/>
        <v>9.5505652210800221E-2</v>
      </c>
      <c r="AC1395">
        <f t="shared" si="475"/>
        <v>0.10388433931920352</v>
      </c>
      <c r="AD1395">
        <f t="shared" si="476"/>
        <v>4.0355055490896505E-3</v>
      </c>
      <c r="AE1395">
        <f t="shared" si="477"/>
        <v>2.2564969839407555E-2</v>
      </c>
      <c r="AG1395">
        <f t="shared" si="478"/>
        <v>1.1297572627656685</v>
      </c>
      <c r="AH1395">
        <f t="shared" si="479"/>
        <v>0.19438355348917438</v>
      </c>
      <c r="AI1395">
        <f t="shared" si="480"/>
        <v>-0.51079358882110959</v>
      </c>
      <c r="AK1395" s="26">
        <f t="shared" si="481"/>
        <v>-3.9433674720138312E-2</v>
      </c>
      <c r="AL1395" s="26">
        <f t="shared" si="482"/>
        <v>-7.4462762249972336E-2</v>
      </c>
      <c r="AM1395" s="26">
        <f t="shared" si="483"/>
        <v>8.4397271424444309E-2</v>
      </c>
      <c r="AN1395" s="26">
        <f t="shared" si="484"/>
        <v>-1.4719047619047387</v>
      </c>
      <c r="AO1395" s="26">
        <f t="shared" si="485"/>
        <v>-0.47696428571428839</v>
      </c>
      <c r="AP1395" s="26">
        <f t="shared" si="486"/>
        <v>-0.36067910734898589</v>
      </c>
      <c r="AS1395" s="2">
        <v>44085</v>
      </c>
      <c r="AT1395">
        <v>18.600000000000001</v>
      </c>
      <c r="AU1395">
        <v>17.2</v>
      </c>
      <c r="AV1395">
        <v>43</v>
      </c>
      <c r="AW1395">
        <v>1.2</v>
      </c>
      <c r="AX1395">
        <v>190.24</v>
      </c>
      <c r="AY1395">
        <v>0.5</v>
      </c>
      <c r="AZ1395">
        <v>3.5</v>
      </c>
      <c r="BA1395">
        <v>299.58659999999998</v>
      </c>
      <c r="BB1395">
        <v>194.03200000000001</v>
      </c>
      <c r="BC1395">
        <v>136.54519999999999</v>
      </c>
      <c r="BD1395">
        <v>4.1868999999999996</v>
      </c>
      <c r="BE1395">
        <v>22.978200000000001</v>
      </c>
      <c r="BH1395">
        <v>92.78</v>
      </c>
    </row>
    <row r="1396" spans="1:60" x14ac:dyDescent="0.25">
      <c r="A1396" s="2">
        <v>44105</v>
      </c>
      <c r="B1396">
        <v>17.399999999999999</v>
      </c>
      <c r="C1396">
        <v>3.7</v>
      </c>
      <c r="D1396">
        <v>78.5</v>
      </c>
      <c r="E1396">
        <v>4.4000000000000004</v>
      </c>
      <c r="F1396">
        <v>121.43</v>
      </c>
      <c r="G1396">
        <v>0.5</v>
      </c>
      <c r="H1396">
        <v>3.3</v>
      </c>
      <c r="I1396">
        <v>293.28519999999997</v>
      </c>
      <c r="J1396">
        <v>142.16829999999999</v>
      </c>
      <c r="K1396">
        <v>139.29910000000001</v>
      </c>
      <c r="L1396">
        <v>4.3060999999999998</v>
      </c>
      <c r="M1396">
        <v>34.952199999999998</v>
      </c>
      <c r="N1396">
        <v>3.41</v>
      </c>
      <c r="O1396">
        <v>-2.3894000000000002</v>
      </c>
      <c r="P1396">
        <v>94.66</v>
      </c>
      <c r="S1396">
        <f t="shared" si="465"/>
        <v>843.24090000000001</v>
      </c>
      <c r="T1396">
        <f t="shared" si="466"/>
        <v>1.6311890852825958E-2</v>
      </c>
      <c r="U1396">
        <f t="shared" si="467"/>
        <v>3.4686204687043713E-3</v>
      </c>
      <c r="V1396">
        <f t="shared" si="468"/>
        <v>7.3591001836025169E-2</v>
      </c>
      <c r="W1396">
        <f t="shared" si="469"/>
        <v>4.1248459627835771E-3</v>
      </c>
      <c r="X1396">
        <f t="shared" si="470"/>
        <v>0.11383637392291129</v>
      </c>
      <c r="Y1396">
        <f t="shared" si="471"/>
        <v>4.6873249577086097E-4</v>
      </c>
      <c r="Z1396">
        <f t="shared" si="472"/>
        <v>3.0936344720876819E-3</v>
      </c>
      <c r="AA1396">
        <f t="shared" si="473"/>
        <v>0.2749446075373122</v>
      </c>
      <c r="AB1396">
        <f t="shared" si="474"/>
        <v>0.13327780415700097</v>
      </c>
      <c r="AC1396">
        <f t="shared" si="475"/>
        <v>0.13058802960326948</v>
      </c>
      <c r="AD1396">
        <f t="shared" si="476"/>
        <v>4.0368180000778086E-3</v>
      </c>
      <c r="AE1396">
        <f t="shared" si="477"/>
        <v>3.2766463877364572E-2</v>
      </c>
      <c r="AG1396">
        <f t="shared" si="478"/>
        <v>1.1210860073908719</v>
      </c>
      <c r="AH1396">
        <f t="shared" si="479"/>
        <v>0.24766156388847349</v>
      </c>
      <c r="AI1396">
        <f t="shared" si="480"/>
        <v>-0.19024319527581499</v>
      </c>
      <c r="AK1396" s="26">
        <f t="shared" si="481"/>
        <v>-4.0719675803178146E-2</v>
      </c>
      <c r="AL1396" s="26">
        <f t="shared" si="482"/>
        <v>-6.9049524668420403E-2</v>
      </c>
      <c r="AM1396" s="26">
        <f t="shared" si="483"/>
        <v>8.2999878716799869E-2</v>
      </c>
      <c r="AN1396" s="26">
        <f t="shared" si="484"/>
        <v>-1.4195238095238096</v>
      </c>
      <c r="AO1396" s="26">
        <f t="shared" si="485"/>
        <v>-0.39392857142854609</v>
      </c>
      <c r="AP1396" s="26">
        <f t="shared" si="486"/>
        <v>-0.42298356510747226</v>
      </c>
      <c r="AS1396" s="2">
        <v>44084</v>
      </c>
      <c r="AT1396">
        <v>18.399999999999999</v>
      </c>
      <c r="AU1396">
        <v>372.4</v>
      </c>
      <c r="AV1396">
        <v>33.1</v>
      </c>
      <c r="AW1396">
        <v>2</v>
      </c>
      <c r="AX1396">
        <v>167.62</v>
      </c>
      <c r="AY1396">
        <v>0.5</v>
      </c>
      <c r="AZ1396">
        <v>3.5</v>
      </c>
      <c r="BA1396">
        <v>288.98059999999998</v>
      </c>
      <c r="BB1396">
        <v>187.81469999999999</v>
      </c>
      <c r="BC1396">
        <v>133.82769999999999</v>
      </c>
      <c r="BD1396">
        <v>4.2717000000000001</v>
      </c>
      <c r="BE1396">
        <v>30.468699999999998</v>
      </c>
      <c r="BH1396">
        <v>92.64</v>
      </c>
    </row>
    <row r="1397" spans="1:60" x14ac:dyDescent="0.25">
      <c r="A1397" s="2">
        <v>44104</v>
      </c>
      <c r="B1397">
        <v>18.3</v>
      </c>
      <c r="C1397">
        <v>2.2999999999999998</v>
      </c>
      <c r="D1397">
        <v>30.6</v>
      </c>
      <c r="E1397">
        <v>0.7</v>
      </c>
      <c r="F1397">
        <v>117.14</v>
      </c>
      <c r="G1397">
        <v>0.5</v>
      </c>
      <c r="H1397">
        <v>3.3</v>
      </c>
      <c r="I1397">
        <v>315.37200000000001</v>
      </c>
      <c r="J1397">
        <v>244.75030000000001</v>
      </c>
      <c r="K1397">
        <v>139.15610000000001</v>
      </c>
      <c r="L1397">
        <v>4.6268000000000002</v>
      </c>
      <c r="M1397">
        <v>29.437100000000001</v>
      </c>
      <c r="N1397">
        <v>2.1541999999999999</v>
      </c>
      <c r="O1397">
        <v>-6.6976000000000004</v>
      </c>
      <c r="P1397">
        <v>94.71</v>
      </c>
      <c r="S1397">
        <f t="shared" si="465"/>
        <v>906.18230000000005</v>
      </c>
      <c r="T1397">
        <f t="shared" si="466"/>
        <v>1.7155609345213513E-2</v>
      </c>
      <c r="U1397">
        <f t="shared" si="467"/>
        <v>2.1561694805459601E-3</v>
      </c>
      <c r="V1397">
        <f t="shared" si="468"/>
        <v>2.8686428741176693E-2</v>
      </c>
      <c r="W1397">
        <f t="shared" si="469"/>
        <v>6.5622549407920526E-4</v>
      </c>
      <c r="X1397">
        <f t="shared" si="470"/>
        <v>0.1098146491091973</v>
      </c>
      <c r="Y1397">
        <f t="shared" si="471"/>
        <v>4.6873249577086097E-4</v>
      </c>
      <c r="Z1397">
        <f t="shared" si="472"/>
        <v>3.0936344720876819E-3</v>
      </c>
      <c r="AA1397">
        <f t="shared" si="473"/>
        <v>0.29565020931249592</v>
      </c>
      <c r="AB1397">
        <f t="shared" si="474"/>
        <v>0.2294448379193339</v>
      </c>
      <c r="AC1397">
        <f t="shared" si="475"/>
        <v>0.13045397210947901</v>
      </c>
      <c r="AD1397">
        <f t="shared" si="476"/>
        <v>4.337463022865239E-3</v>
      </c>
      <c r="AE1397">
        <f t="shared" si="477"/>
        <v>2.7596250702512821E-2</v>
      </c>
      <c r="AG1397">
        <f t="shared" si="478"/>
        <v>1.124360099745835</v>
      </c>
      <c r="AH1397">
        <f t="shared" si="479"/>
        <v>0.18962769984058403</v>
      </c>
      <c r="AI1397">
        <f t="shared" si="480"/>
        <v>-0.53753970428404352</v>
      </c>
      <c r="AK1397" s="26">
        <f t="shared" si="481"/>
        <v>-2.3992992404547053E-2</v>
      </c>
      <c r="AL1397" s="26">
        <f t="shared" si="482"/>
        <v>-6.308360962323889E-2</v>
      </c>
      <c r="AM1397" s="26">
        <f t="shared" si="483"/>
        <v>8.4174416189848444E-2</v>
      </c>
      <c r="AN1397" s="26">
        <f t="shared" si="484"/>
        <v>-1.3671428571428521</v>
      </c>
      <c r="AO1397" s="26">
        <f t="shared" si="485"/>
        <v>-0.30910714285714391</v>
      </c>
      <c r="AP1397" s="26">
        <f t="shared" si="486"/>
        <v>-0.48530580137662582</v>
      </c>
      <c r="AS1397" s="2">
        <v>44083</v>
      </c>
      <c r="AT1397">
        <v>19.5</v>
      </c>
      <c r="AU1397">
        <v>57.8</v>
      </c>
      <c r="AV1397">
        <v>80.599999999999994</v>
      </c>
      <c r="AW1397">
        <v>4.5</v>
      </c>
      <c r="AX1397">
        <v>179.04</v>
      </c>
      <c r="AY1397">
        <v>0.5</v>
      </c>
      <c r="AZ1397">
        <v>3.2</v>
      </c>
      <c r="BA1397">
        <v>282.2636</v>
      </c>
      <c r="BB1397">
        <v>104.49769999999999</v>
      </c>
      <c r="BC1397">
        <v>116.24079999999999</v>
      </c>
      <c r="BD1397">
        <v>4.3426</v>
      </c>
      <c r="BE1397">
        <v>25.819900000000001</v>
      </c>
      <c r="BH1397">
        <v>92.54</v>
      </c>
    </row>
    <row r="1398" spans="1:60" x14ac:dyDescent="0.25">
      <c r="A1398" s="2">
        <v>44103</v>
      </c>
      <c r="B1398">
        <v>17.899999999999999</v>
      </c>
      <c r="C1398">
        <v>15.3</v>
      </c>
      <c r="D1398">
        <v>14.3</v>
      </c>
      <c r="E1398">
        <v>0.7</v>
      </c>
      <c r="F1398">
        <v>90.87</v>
      </c>
      <c r="G1398">
        <v>0.5</v>
      </c>
      <c r="H1398">
        <v>3.4</v>
      </c>
      <c r="I1398">
        <v>304.95159999999998</v>
      </c>
      <c r="J1398">
        <v>234.4684</v>
      </c>
      <c r="K1398">
        <v>150.5712</v>
      </c>
      <c r="L1398">
        <v>5.1131000000000002</v>
      </c>
      <c r="M1398">
        <v>31.572099999999999</v>
      </c>
      <c r="N1398">
        <v>3.5173000000000001</v>
      </c>
      <c r="O1398">
        <v>-4.8951000000000002</v>
      </c>
      <c r="P1398">
        <v>94.79</v>
      </c>
      <c r="S1398">
        <f t="shared" si="465"/>
        <v>869.64639999999997</v>
      </c>
      <c r="T1398">
        <f t="shared" si="466"/>
        <v>1.678062334859682E-2</v>
      </c>
      <c r="U1398">
        <f t="shared" si="467"/>
        <v>1.4343214370588346E-2</v>
      </c>
      <c r="V1398">
        <f t="shared" si="468"/>
        <v>1.3405749379046624E-2</v>
      </c>
      <c r="W1398">
        <f t="shared" si="469"/>
        <v>6.5622549407920526E-4</v>
      </c>
      <c r="X1398">
        <f t="shared" si="470"/>
        <v>8.5187443781396269E-2</v>
      </c>
      <c r="Y1398">
        <f t="shared" si="471"/>
        <v>4.6873249577086097E-4</v>
      </c>
      <c r="Z1398">
        <f t="shared" si="472"/>
        <v>3.1873809712418544E-3</v>
      </c>
      <c r="AA1398">
        <f t="shared" si="473"/>
        <v>0.28588144911463453</v>
      </c>
      <c r="AB1398">
        <f t="shared" si="474"/>
        <v>0.21980591662280108</v>
      </c>
      <c r="AC1398">
        <f t="shared" si="475"/>
        <v>0.14115522873442693</v>
      </c>
      <c r="AD1398">
        <f t="shared" si="476"/>
        <v>4.7933522482519787E-3</v>
      </c>
      <c r="AE1398">
        <f t="shared" si="477"/>
        <v>2.9597738459454397E-2</v>
      </c>
      <c r="AG1398">
        <f t="shared" si="478"/>
        <v>1.129930740943683</v>
      </c>
      <c r="AH1398">
        <f t="shared" si="479"/>
        <v>0.16362710830017438</v>
      </c>
      <c r="AI1398">
        <f t="shared" si="480"/>
        <v>-0.69641819081437861</v>
      </c>
      <c r="AK1398" s="26">
        <f t="shared" si="481"/>
        <v>-2.2077496972043864E-2</v>
      </c>
      <c r="AL1398" s="26">
        <f t="shared" si="482"/>
        <v>-5.8184635203243518E-2</v>
      </c>
      <c r="AM1398" s="26">
        <f t="shared" si="483"/>
        <v>8.4525413507505365E-2</v>
      </c>
      <c r="AN1398" s="26">
        <f t="shared" si="484"/>
        <v>-1.3271428571428601</v>
      </c>
      <c r="AO1398" s="26">
        <f t="shared" si="485"/>
        <v>-0.22732142857144311</v>
      </c>
      <c r="AP1398" s="26">
        <f t="shared" si="486"/>
        <v>-0.54975539425279862</v>
      </c>
      <c r="AS1398" s="2">
        <v>44082</v>
      </c>
      <c r="AT1398">
        <v>20.100000000000001</v>
      </c>
      <c r="AU1398">
        <v>40.700000000000003</v>
      </c>
      <c r="AV1398">
        <v>54.4</v>
      </c>
      <c r="AW1398">
        <v>5.8</v>
      </c>
      <c r="AX1398">
        <v>180.41</v>
      </c>
      <c r="AY1398">
        <v>0.4</v>
      </c>
      <c r="AZ1398">
        <v>3.2</v>
      </c>
      <c r="BA1398">
        <v>249.04310000000001</v>
      </c>
      <c r="BB1398">
        <v>104.374</v>
      </c>
      <c r="BC1398">
        <v>96.088499999999996</v>
      </c>
      <c r="BD1398">
        <v>4.4095000000000004</v>
      </c>
      <c r="BE1398">
        <v>27.529800000000002</v>
      </c>
      <c r="BH1398">
        <v>92.41</v>
      </c>
    </row>
    <row r="1399" spans="1:60" x14ac:dyDescent="0.25">
      <c r="A1399" s="2">
        <v>44102</v>
      </c>
      <c r="B1399">
        <v>17.7</v>
      </c>
      <c r="C1399">
        <v>25.8</v>
      </c>
      <c r="D1399">
        <v>15.8</v>
      </c>
      <c r="E1399">
        <v>0.8</v>
      </c>
      <c r="F1399">
        <v>112.16</v>
      </c>
      <c r="G1399">
        <v>0.5</v>
      </c>
      <c r="H1399">
        <v>3.2</v>
      </c>
      <c r="I1399">
        <v>301.90789999999998</v>
      </c>
      <c r="J1399">
        <v>214.82980000000001</v>
      </c>
      <c r="K1399">
        <v>127.4637</v>
      </c>
      <c r="L1399">
        <v>4.7882999999999996</v>
      </c>
      <c r="M1399">
        <v>38.471400000000003</v>
      </c>
      <c r="N1399">
        <v>2.0767000000000002</v>
      </c>
      <c r="O1399">
        <v>-6.9539999999999997</v>
      </c>
      <c r="P1399">
        <v>94.84</v>
      </c>
      <c r="S1399">
        <f t="shared" si="465"/>
        <v>863.42110000000002</v>
      </c>
      <c r="T1399">
        <f t="shared" si="466"/>
        <v>1.6593130350288476E-2</v>
      </c>
      <c r="U1399">
        <f t="shared" si="467"/>
        <v>2.4186596781776426E-2</v>
      </c>
      <c r="V1399">
        <f t="shared" si="468"/>
        <v>1.4811946866359206E-2</v>
      </c>
      <c r="W1399">
        <f t="shared" si="469"/>
        <v>7.4997199323337759E-4</v>
      </c>
      <c r="X1399">
        <f t="shared" si="470"/>
        <v>0.10514607345131953</v>
      </c>
      <c r="Y1399">
        <f t="shared" si="471"/>
        <v>4.6873249577086097E-4</v>
      </c>
      <c r="Z1399">
        <f t="shared" si="472"/>
        <v>2.9998879729335104E-3</v>
      </c>
      <c r="AA1399">
        <f t="shared" si="473"/>
        <v>0.28302808691987902</v>
      </c>
      <c r="AB1399">
        <f t="shared" si="474"/>
        <v>0.20139541663990981</v>
      </c>
      <c r="AC1399">
        <f t="shared" si="475"/>
        <v>0.11949275644237659</v>
      </c>
      <c r="AD1399">
        <f t="shared" si="476"/>
        <v>4.4888636189992269E-3</v>
      </c>
      <c r="AE1399">
        <f t="shared" si="477"/>
        <v>3.6065590675598204E-2</v>
      </c>
      <c r="AG1399">
        <f t="shared" si="478"/>
        <v>1.1333418674386575</v>
      </c>
      <c r="AH1399">
        <f t="shared" si="479"/>
        <v>0.2010219305872796</v>
      </c>
      <c r="AI1399">
        <f t="shared" si="480"/>
        <v>-0.47320145762958266</v>
      </c>
      <c r="AK1399" s="26">
        <f t="shared" si="481"/>
        <v>-1.6503928324283768E-2</v>
      </c>
      <c r="AL1399" s="26">
        <f t="shared" si="482"/>
        <v>-5.3786550002273392E-2</v>
      </c>
      <c r="AM1399" s="26">
        <f t="shared" si="483"/>
        <v>8.3572974175595727E-2</v>
      </c>
      <c r="AN1399" s="26">
        <f t="shared" si="484"/>
        <v>-1.2909523809523762</v>
      </c>
      <c r="AO1399" s="26">
        <f t="shared" si="485"/>
        <v>-0.14446428571429237</v>
      </c>
      <c r="AP1399" s="26">
        <f t="shared" si="486"/>
        <v>-0.61367759452939197</v>
      </c>
      <c r="AS1399" s="2">
        <v>44081</v>
      </c>
      <c r="AT1399">
        <v>19.899999999999999</v>
      </c>
      <c r="AU1399">
        <v>43.7</v>
      </c>
      <c r="AV1399">
        <v>33.1</v>
      </c>
      <c r="AW1399">
        <v>1.3</v>
      </c>
      <c r="AX1399">
        <v>185.11</v>
      </c>
      <c r="AY1399">
        <v>0.5</v>
      </c>
      <c r="AZ1399">
        <v>3.3</v>
      </c>
      <c r="BA1399">
        <v>276.07830000000001</v>
      </c>
      <c r="BB1399">
        <v>124.6232</v>
      </c>
      <c r="BC1399">
        <v>114.2325</v>
      </c>
      <c r="BD1399">
        <v>4.3680000000000003</v>
      </c>
      <c r="BE1399">
        <v>25.4023</v>
      </c>
      <c r="BH1399">
        <v>92.3</v>
      </c>
    </row>
    <row r="1400" spans="1:60" x14ac:dyDescent="0.25">
      <c r="A1400" s="2">
        <v>44101</v>
      </c>
      <c r="B1400">
        <v>19.2</v>
      </c>
      <c r="C1400">
        <v>0.2</v>
      </c>
      <c r="D1400">
        <v>45.6</v>
      </c>
      <c r="E1400">
        <v>1.9</v>
      </c>
      <c r="F1400">
        <v>99.67</v>
      </c>
      <c r="G1400">
        <v>0.6</v>
      </c>
      <c r="H1400">
        <v>3.1</v>
      </c>
      <c r="I1400">
        <v>195.54949999999999</v>
      </c>
      <c r="J1400">
        <v>70.653300000000002</v>
      </c>
      <c r="K1400">
        <v>59.606900000000003</v>
      </c>
      <c r="L1400">
        <v>4.3270999999999997</v>
      </c>
      <c r="M1400">
        <v>16.3675</v>
      </c>
      <c r="P1400">
        <v>94.89</v>
      </c>
      <c r="S1400">
        <f t="shared" si="465"/>
        <v>516.77429999999993</v>
      </c>
      <c r="T1400">
        <f t="shared" si="466"/>
        <v>1.799932783760106E-2</v>
      </c>
      <c r="U1400">
        <f t="shared" si="467"/>
        <v>1.874929983083444E-4</v>
      </c>
      <c r="V1400">
        <f t="shared" si="468"/>
        <v>4.2748403614302523E-2</v>
      </c>
      <c r="W1400">
        <f t="shared" si="469"/>
        <v>1.7811834839292716E-3</v>
      </c>
      <c r="X1400">
        <f t="shared" si="470"/>
        <v>9.3437135706963423E-2</v>
      </c>
      <c r="Y1400">
        <f t="shared" si="471"/>
        <v>5.6247899492503314E-4</v>
      </c>
      <c r="Z1400">
        <f t="shared" si="472"/>
        <v>2.9061414737793379E-3</v>
      </c>
      <c r="AA1400">
        <f t="shared" si="473"/>
        <v>0.18332081036348793</v>
      </c>
      <c r="AB1400">
        <f t="shared" si="474"/>
        <v>6.6234995286894749E-2</v>
      </c>
      <c r="AC1400">
        <f t="shared" si="475"/>
        <v>5.5879382004328265E-2</v>
      </c>
      <c r="AD1400">
        <f t="shared" si="476"/>
        <v>4.0565047649001847E-3</v>
      </c>
      <c r="AE1400">
        <f t="shared" si="477"/>
        <v>1.5343958249059132E-2</v>
      </c>
      <c r="AG1400">
        <f t="shared" si="478"/>
        <v>1.1367772430502681</v>
      </c>
      <c r="AH1400">
        <f t="shared" si="479"/>
        <v>0.17496612235886813</v>
      </c>
      <c r="AI1400">
        <f t="shared" si="480"/>
        <v>-0.63012756009439208</v>
      </c>
      <c r="AK1400" s="26">
        <f t="shared" si="481"/>
        <v>-1.3388937506864929E-2</v>
      </c>
      <c r="AL1400" s="26">
        <f t="shared" si="482"/>
        <v>-5.1308188870536175E-2</v>
      </c>
      <c r="AM1400" s="26">
        <f t="shared" si="483"/>
        <v>8.2906355506916829E-2</v>
      </c>
      <c r="AN1400" s="26">
        <f t="shared" si="484"/>
        <v>-1.2657142857142958</v>
      </c>
      <c r="AO1400" s="26">
        <f t="shared" si="485"/>
        <v>-6.4642857142857224E-2</v>
      </c>
      <c r="AP1400" s="26">
        <f t="shared" si="486"/>
        <v>-0.67945071711932314</v>
      </c>
      <c r="AS1400" s="2">
        <v>44080</v>
      </c>
      <c r="AT1400">
        <v>18.2</v>
      </c>
      <c r="AU1400">
        <v>3.2</v>
      </c>
      <c r="AV1400">
        <v>32.299999999999997</v>
      </c>
      <c r="AW1400">
        <v>2.2999999999999998</v>
      </c>
      <c r="AX1400">
        <v>151.32</v>
      </c>
      <c r="AY1400">
        <v>0.5</v>
      </c>
      <c r="AZ1400">
        <v>3.2</v>
      </c>
      <c r="BA1400">
        <v>215.3826</v>
      </c>
      <c r="BB1400">
        <v>67.204999999999998</v>
      </c>
      <c r="BC1400">
        <v>52.655799999999999</v>
      </c>
      <c r="BD1400">
        <v>4.3680000000000003</v>
      </c>
      <c r="BE1400">
        <v>15.0883</v>
      </c>
      <c r="BH1400">
        <v>92.18</v>
      </c>
    </row>
    <row r="1401" spans="1:60" x14ac:dyDescent="0.25">
      <c r="A1401" s="2">
        <v>44100</v>
      </c>
      <c r="B1401">
        <v>20</v>
      </c>
      <c r="C1401">
        <v>1.5</v>
      </c>
      <c r="D1401">
        <v>32.799999999999997</v>
      </c>
      <c r="E1401">
        <v>3.8</v>
      </c>
      <c r="F1401">
        <v>38.1</v>
      </c>
      <c r="G1401">
        <v>0.6</v>
      </c>
      <c r="H1401">
        <v>3.3</v>
      </c>
      <c r="I1401">
        <v>188.7525</v>
      </c>
      <c r="J1401">
        <v>63.264800000000001</v>
      </c>
      <c r="K1401">
        <v>65.554599999999994</v>
      </c>
      <c r="L1401">
        <v>4.4234</v>
      </c>
      <c r="M1401">
        <v>18.272099999999998</v>
      </c>
      <c r="P1401">
        <v>94.78</v>
      </c>
      <c r="S1401">
        <f t="shared" si="465"/>
        <v>440.36739999999998</v>
      </c>
      <c r="T1401">
        <f t="shared" si="466"/>
        <v>1.8749299830834436E-2</v>
      </c>
      <c r="U1401">
        <f t="shared" si="467"/>
        <v>1.406197487312583E-3</v>
      </c>
      <c r="V1401">
        <f t="shared" si="468"/>
        <v>3.0748851722568474E-2</v>
      </c>
      <c r="W1401">
        <f t="shared" si="469"/>
        <v>3.5623669678585433E-3</v>
      </c>
      <c r="X1401">
        <f t="shared" si="470"/>
        <v>3.5717416177739603E-2</v>
      </c>
      <c r="Y1401">
        <f t="shared" si="471"/>
        <v>5.6247899492503314E-4</v>
      </c>
      <c r="Z1401">
        <f t="shared" si="472"/>
        <v>3.0936344720876819E-3</v>
      </c>
      <c r="AA1401">
        <f t="shared" si="473"/>
        <v>0.17694886081597885</v>
      </c>
      <c r="AB1401">
        <f t="shared" si="474"/>
        <v>5.930853519688873E-2</v>
      </c>
      <c r="AC1401">
        <f t="shared" si="475"/>
        <v>6.145514253452096E-2</v>
      </c>
      <c r="AD1401">
        <f t="shared" si="476"/>
        <v>4.1467826435856526E-3</v>
      </c>
      <c r="AE1401">
        <f t="shared" si="477"/>
        <v>1.7129454071949494E-2</v>
      </c>
      <c r="AG1401">
        <f t="shared" si="478"/>
        <v>1.1283007519776007</v>
      </c>
      <c r="AH1401">
        <f t="shared" si="479"/>
        <v>0.11096969972527584</v>
      </c>
      <c r="AI1401">
        <f t="shared" si="480"/>
        <v>-1.0157084831781642</v>
      </c>
      <c r="AK1401" s="26">
        <f t="shared" si="481"/>
        <v>-2.3619917050865524E-2</v>
      </c>
      <c r="AL1401" s="26">
        <f t="shared" si="482"/>
        <v>-5.1459751848999147E-2</v>
      </c>
      <c r="AM1401" s="26">
        <f t="shared" si="483"/>
        <v>8.3011168414511283E-2</v>
      </c>
      <c r="AN1401" s="26">
        <f t="shared" si="484"/>
        <v>-1.2523809523809462</v>
      </c>
      <c r="AO1401" s="26">
        <f t="shared" si="485"/>
        <v>1.303571428570649E-2</v>
      </c>
      <c r="AP1401" s="26">
        <f t="shared" si="486"/>
        <v>-0.74855114221034569</v>
      </c>
      <c r="AS1401" s="2">
        <v>44079</v>
      </c>
      <c r="AT1401">
        <v>19.3</v>
      </c>
      <c r="AU1401">
        <v>3.5</v>
      </c>
      <c r="AV1401">
        <v>69.900000000000006</v>
      </c>
      <c r="AW1401">
        <v>3.3</v>
      </c>
      <c r="AX1401">
        <v>128.44</v>
      </c>
      <c r="AY1401">
        <v>0.5</v>
      </c>
      <c r="AZ1401">
        <v>2.9</v>
      </c>
      <c r="BA1401">
        <v>247.0872</v>
      </c>
      <c r="BB1401">
        <v>69.000100000000003</v>
      </c>
      <c r="BC1401">
        <v>51.121400000000001</v>
      </c>
      <c r="BD1401">
        <v>4.3777999999999997</v>
      </c>
      <c r="BE1401">
        <v>15</v>
      </c>
      <c r="BH1401">
        <v>91.95</v>
      </c>
    </row>
    <row r="1402" spans="1:60" x14ac:dyDescent="0.25">
      <c r="A1402" s="2">
        <v>44099</v>
      </c>
      <c r="B1402">
        <v>16.100000000000001</v>
      </c>
      <c r="C1402">
        <v>88.3</v>
      </c>
      <c r="D1402">
        <v>38.5</v>
      </c>
      <c r="E1402">
        <v>2.8</v>
      </c>
      <c r="F1402">
        <v>0</v>
      </c>
      <c r="G1402">
        <v>0.5</v>
      </c>
      <c r="H1402">
        <v>3.4</v>
      </c>
      <c r="I1402">
        <v>227.87350000000001</v>
      </c>
      <c r="J1402">
        <v>124.4021</v>
      </c>
      <c r="K1402">
        <v>117.755</v>
      </c>
      <c r="L1402">
        <v>4.6289999999999996</v>
      </c>
      <c r="M1402">
        <v>30.465599999999998</v>
      </c>
      <c r="N1402">
        <v>4.0156000000000001</v>
      </c>
      <c r="O1402">
        <v>-5.2210999999999999</v>
      </c>
      <c r="P1402">
        <v>94.63</v>
      </c>
      <c r="S1402">
        <f t="shared" si="465"/>
        <v>654.72520000000009</v>
      </c>
      <c r="T1402">
        <f t="shared" si="466"/>
        <v>1.5093186363821724E-2</v>
      </c>
      <c r="U1402">
        <f t="shared" si="467"/>
        <v>8.2778158753134046E-2</v>
      </c>
      <c r="V1402">
        <f t="shared" si="468"/>
        <v>3.6092402174356296E-2</v>
      </c>
      <c r="W1402">
        <f t="shared" si="469"/>
        <v>2.624901976316821E-3</v>
      </c>
      <c r="X1402">
        <f t="shared" si="470"/>
        <v>0</v>
      </c>
      <c r="Y1402">
        <f t="shared" si="471"/>
        <v>4.6873249577086097E-4</v>
      </c>
      <c r="Z1402">
        <f t="shared" si="472"/>
        <v>3.1873809712418544E-3</v>
      </c>
      <c r="AA1402">
        <f t="shared" si="473"/>
        <v>0.21362342875008258</v>
      </c>
      <c r="AB1402">
        <f t="shared" si="474"/>
        <v>0.11662261362427245</v>
      </c>
      <c r="AC1402">
        <f t="shared" si="475"/>
        <v>0.11039119007899546</v>
      </c>
      <c r="AD1402">
        <f t="shared" si="476"/>
        <v>4.3395254458466299E-3</v>
      </c>
      <c r="AE1402">
        <f t="shared" si="477"/>
        <v>2.8560433446313482E-2</v>
      </c>
      <c r="AG1402">
        <f t="shared" si="478"/>
        <v>1.1168324763229929</v>
      </c>
      <c r="AH1402">
        <f t="shared" si="479"/>
        <v>0.1688051961809551</v>
      </c>
      <c r="AI1402">
        <f t="shared" si="480"/>
        <v>-0.67115105215091342</v>
      </c>
      <c r="AK1402" s="26">
        <f t="shared" si="481"/>
        <v>-1.6764382883648177E-2</v>
      </c>
      <c r="AL1402" s="26">
        <f t="shared" si="482"/>
        <v>-5.1795600356263627E-2</v>
      </c>
      <c r="AM1402" s="26">
        <f t="shared" si="483"/>
        <v>8.2646407926176724E-2</v>
      </c>
      <c r="AN1402" s="26">
        <f t="shared" si="484"/>
        <v>-1.2452380952381219</v>
      </c>
      <c r="AO1402" s="26">
        <f t="shared" si="485"/>
        <v>9.0535714285678637E-2</v>
      </c>
      <c r="AP1402" s="26">
        <f t="shared" si="486"/>
        <v>-0.8186465382613477</v>
      </c>
      <c r="AS1402" s="2">
        <v>44078</v>
      </c>
      <c r="AT1402">
        <v>20.399999999999999</v>
      </c>
      <c r="AU1402">
        <v>57.5</v>
      </c>
      <c r="AV1402">
        <v>48.7</v>
      </c>
      <c r="AW1402">
        <v>3.4</v>
      </c>
      <c r="AX1402">
        <v>160.72999999999999</v>
      </c>
      <c r="AY1402">
        <v>0.5</v>
      </c>
      <c r="AZ1402">
        <v>2.8</v>
      </c>
      <c r="BA1402">
        <v>263.54230000000001</v>
      </c>
      <c r="BB1402">
        <v>87.366500000000002</v>
      </c>
      <c r="BC1402">
        <v>128.1926</v>
      </c>
      <c r="BD1402">
        <v>4.4466999999999999</v>
      </c>
      <c r="BE1402">
        <v>34.533900000000003</v>
      </c>
      <c r="BH1402">
        <v>91.71</v>
      </c>
    </row>
    <row r="1403" spans="1:60" x14ac:dyDescent="0.25">
      <c r="A1403" s="2">
        <v>44098</v>
      </c>
      <c r="B1403">
        <v>15.4</v>
      </c>
      <c r="C1403">
        <v>18.8</v>
      </c>
      <c r="D1403">
        <v>65</v>
      </c>
      <c r="E1403">
        <v>5.2</v>
      </c>
      <c r="F1403">
        <v>133.86000000000001</v>
      </c>
      <c r="G1403">
        <v>0.5</v>
      </c>
      <c r="H1403">
        <v>3.2</v>
      </c>
      <c r="I1403">
        <v>208.05889999999999</v>
      </c>
      <c r="J1403">
        <v>112.72929999999999</v>
      </c>
      <c r="K1403">
        <v>80.617999999999995</v>
      </c>
      <c r="L1403">
        <v>4.617</v>
      </c>
      <c r="M1403">
        <v>29.374099999999999</v>
      </c>
      <c r="N1403">
        <v>3.9788000000000001</v>
      </c>
      <c r="O1403">
        <v>-5.6367000000000003</v>
      </c>
      <c r="P1403">
        <v>94.52</v>
      </c>
      <c r="S1403">
        <f t="shared" si="465"/>
        <v>677.3572999999999</v>
      </c>
      <c r="T1403">
        <f t="shared" si="466"/>
        <v>1.4436960869742518E-2</v>
      </c>
      <c r="U1403">
        <f t="shared" si="467"/>
        <v>1.7624341840984374E-2</v>
      </c>
      <c r="V1403">
        <f t="shared" si="468"/>
        <v>6.0935224450211926E-2</v>
      </c>
      <c r="W1403">
        <f t="shared" si="469"/>
        <v>4.874817956016954E-3</v>
      </c>
      <c r="X1403">
        <f t="shared" si="470"/>
        <v>0.12548906376777491</v>
      </c>
      <c r="Y1403">
        <f t="shared" si="471"/>
        <v>4.6873249577086097E-4</v>
      </c>
      <c r="Z1403">
        <f t="shared" si="472"/>
        <v>2.9998879729335104E-3</v>
      </c>
      <c r="AA1403">
        <f t="shared" si="473"/>
        <v>0.19504793492867997</v>
      </c>
      <c r="AB1403">
        <f t="shared" si="474"/>
        <v>0.10567977227100422</v>
      </c>
      <c r="AC1403">
        <f t="shared" si="475"/>
        <v>7.5576552688110532E-2</v>
      </c>
      <c r="AD1403">
        <f t="shared" si="476"/>
        <v>4.3282758659481304E-3</v>
      </c>
      <c r="AE1403">
        <f t="shared" si="477"/>
        <v>2.7537190408045691E-2</v>
      </c>
      <c r="AG1403">
        <f t="shared" si="478"/>
        <v>1.1083346706996542</v>
      </c>
      <c r="AH1403">
        <f t="shared" si="479"/>
        <v>0.25436621976148077</v>
      </c>
      <c r="AI1403">
        <f t="shared" si="480"/>
        <v>-0.15755421455014959</v>
      </c>
      <c r="AK1403" s="26">
        <f t="shared" si="481"/>
        <v>-1.2727422031762081E-2</v>
      </c>
      <c r="AL1403" s="26">
        <f t="shared" si="482"/>
        <v>-5.0001787879662529E-2</v>
      </c>
      <c r="AM1403" s="26">
        <f t="shared" si="483"/>
        <v>8.1682885047723919E-2</v>
      </c>
      <c r="AN1403" s="26">
        <f t="shared" si="484"/>
        <v>-1.239523809523817</v>
      </c>
      <c r="AO1403" s="26">
        <f t="shared" si="485"/>
        <v>0.1628571428571064</v>
      </c>
      <c r="AP1403" s="26">
        <f t="shared" si="486"/>
        <v>-0.88828381795197231</v>
      </c>
      <c r="AS1403" s="2">
        <v>44077</v>
      </c>
      <c r="AT1403">
        <v>21.9</v>
      </c>
      <c r="AU1403">
        <v>54.3</v>
      </c>
      <c r="AV1403">
        <v>63.1</v>
      </c>
      <c r="AW1403">
        <v>2.6</v>
      </c>
      <c r="AX1403">
        <v>160.15</v>
      </c>
      <c r="AY1403">
        <v>0.5</v>
      </c>
      <c r="AZ1403">
        <v>3.3</v>
      </c>
      <c r="BA1403">
        <v>303.42910000000001</v>
      </c>
      <c r="BB1403">
        <v>110.08240000000001</v>
      </c>
      <c r="BC1403">
        <v>140.2413</v>
      </c>
      <c r="BD1403">
        <v>4.3864999999999998</v>
      </c>
      <c r="BE1403">
        <v>24.2727</v>
      </c>
      <c r="BH1403">
        <v>91.56</v>
      </c>
    </row>
    <row r="1404" spans="1:60" x14ac:dyDescent="0.25">
      <c r="A1404" s="2">
        <v>44097</v>
      </c>
      <c r="B1404">
        <v>15.6</v>
      </c>
      <c r="C1404">
        <v>2.4</v>
      </c>
      <c r="D1404">
        <v>35.5</v>
      </c>
      <c r="E1404">
        <v>1.6</v>
      </c>
      <c r="F1404">
        <v>123.74</v>
      </c>
      <c r="G1404">
        <v>0.5</v>
      </c>
      <c r="H1404">
        <v>3.2</v>
      </c>
      <c r="I1404">
        <v>260.71230000000003</v>
      </c>
      <c r="J1404">
        <v>186.45650000000001</v>
      </c>
      <c r="K1404">
        <v>148.21119999999999</v>
      </c>
      <c r="L1404">
        <v>4.5415000000000001</v>
      </c>
      <c r="M1404">
        <v>28.323</v>
      </c>
      <c r="N1404">
        <v>3.8317999999999999</v>
      </c>
      <c r="O1404">
        <v>-4.2435999999999998</v>
      </c>
      <c r="P1404">
        <v>94.4</v>
      </c>
      <c r="S1404">
        <f t="shared" si="465"/>
        <v>810.78449999999998</v>
      </c>
      <c r="T1404">
        <f t="shared" si="466"/>
        <v>1.4624453868050861E-2</v>
      </c>
      <c r="U1404">
        <f t="shared" si="467"/>
        <v>2.2499159797001326E-3</v>
      </c>
      <c r="V1404">
        <f t="shared" si="468"/>
        <v>3.3280007199731128E-2</v>
      </c>
      <c r="W1404">
        <f t="shared" si="469"/>
        <v>1.4999439864667552E-3</v>
      </c>
      <c r="X1404">
        <f t="shared" si="470"/>
        <v>0.11600191805337266</v>
      </c>
      <c r="Y1404">
        <f t="shared" si="471"/>
        <v>4.6873249577086097E-4</v>
      </c>
      <c r="Z1404">
        <f t="shared" si="472"/>
        <v>2.9998879729335104E-3</v>
      </c>
      <c r="AA1404">
        <f t="shared" si="473"/>
        <v>0.24440865411432289</v>
      </c>
      <c r="AB1404">
        <f t="shared" si="474"/>
        <v>0.17479644119539908</v>
      </c>
      <c r="AC1404">
        <f t="shared" si="475"/>
        <v>0.13894281135438843</v>
      </c>
      <c r="AD1404">
        <f t="shared" si="476"/>
        <v>4.2574972590867302E-3</v>
      </c>
      <c r="AE1404">
        <f t="shared" si="477"/>
        <v>2.6551820955436189E-2</v>
      </c>
      <c r="AG1404">
        <f t="shared" si="478"/>
        <v>1.0990723473365451</v>
      </c>
      <c r="AH1404">
        <f t="shared" si="479"/>
        <v>0.19767668051146209</v>
      </c>
      <c r="AI1404">
        <f t="shared" si="480"/>
        <v>-0.49896064488948522</v>
      </c>
      <c r="AK1404" s="26">
        <f t="shared" si="481"/>
        <v>-1.657132312893761E-2</v>
      </c>
      <c r="AL1404" s="26">
        <f t="shared" si="482"/>
        <v>-4.5701473581131746E-2</v>
      </c>
      <c r="AM1404" s="26">
        <f t="shared" si="483"/>
        <v>8.097945818855945E-2</v>
      </c>
      <c r="AN1404" s="26">
        <f t="shared" si="484"/>
        <v>-1.229047619047634</v>
      </c>
      <c r="AO1404" s="26">
        <f t="shared" si="485"/>
        <v>0.24517857142856769</v>
      </c>
      <c r="AP1404" s="26">
        <f t="shared" si="486"/>
        <v>-0.9571340228169305</v>
      </c>
      <c r="AS1404" s="2">
        <v>44076</v>
      </c>
      <c r="AT1404">
        <v>22</v>
      </c>
      <c r="AU1404">
        <v>17.5</v>
      </c>
      <c r="AV1404">
        <v>9.8000000000000007</v>
      </c>
      <c r="AW1404">
        <v>0.6</v>
      </c>
      <c r="AX1404">
        <v>176.81</v>
      </c>
      <c r="AY1404">
        <v>0.5</v>
      </c>
      <c r="AZ1404">
        <v>3.3</v>
      </c>
      <c r="BA1404">
        <v>315.50470000000001</v>
      </c>
      <c r="BB1404">
        <v>161.34139999999999</v>
      </c>
      <c r="BC1404">
        <v>149.1344</v>
      </c>
      <c r="BD1404">
        <v>4.1083999999999996</v>
      </c>
      <c r="BE1404">
        <v>32.8994</v>
      </c>
      <c r="BH1404">
        <v>91.41</v>
      </c>
    </row>
    <row r="1405" spans="1:60" x14ac:dyDescent="0.25">
      <c r="A1405" s="2">
        <v>44096</v>
      </c>
      <c r="B1405">
        <v>15</v>
      </c>
      <c r="C1405">
        <v>39.799999999999997</v>
      </c>
      <c r="D1405">
        <v>1.7</v>
      </c>
      <c r="E1405">
        <v>0.3</v>
      </c>
      <c r="F1405">
        <v>181.99</v>
      </c>
      <c r="G1405">
        <v>0.4</v>
      </c>
      <c r="H1405">
        <v>3.4</v>
      </c>
      <c r="I1405">
        <v>259.46440000000001</v>
      </c>
      <c r="J1405">
        <v>213.1626</v>
      </c>
      <c r="K1405">
        <v>150.11859999999999</v>
      </c>
      <c r="L1405">
        <v>4.4874999999999998</v>
      </c>
      <c r="M1405">
        <v>37.457599999999999</v>
      </c>
      <c r="N1405">
        <v>3.1133999999999999</v>
      </c>
      <c r="O1405">
        <v>-5.9988000000000001</v>
      </c>
      <c r="P1405">
        <v>94.3</v>
      </c>
      <c r="S1405">
        <f t="shared" si="465"/>
        <v>907.28070000000002</v>
      </c>
      <c r="T1405">
        <f t="shared" si="466"/>
        <v>1.4061974873125828E-2</v>
      </c>
      <c r="U1405">
        <f t="shared" si="467"/>
        <v>3.731110666336053E-2</v>
      </c>
      <c r="V1405">
        <f t="shared" si="468"/>
        <v>1.5936904856209272E-3</v>
      </c>
      <c r="W1405">
        <f t="shared" si="469"/>
        <v>2.8123949746251657E-4</v>
      </c>
      <c r="X1405">
        <f t="shared" si="470"/>
        <v>0.17060925381067799</v>
      </c>
      <c r="Y1405">
        <f t="shared" si="471"/>
        <v>3.7498599661668879E-4</v>
      </c>
      <c r="Z1405">
        <f t="shared" si="472"/>
        <v>3.1873809712418544E-3</v>
      </c>
      <c r="AA1405">
        <f t="shared" si="473"/>
        <v>0.24323879155137795</v>
      </c>
      <c r="AB1405">
        <f t="shared" si="474"/>
        <v>0.19983247500601145</v>
      </c>
      <c r="AC1405">
        <f t="shared" si="475"/>
        <v>0.14073093207925513</v>
      </c>
      <c r="AD1405">
        <f t="shared" si="476"/>
        <v>4.2068741495434768E-3</v>
      </c>
      <c r="AE1405">
        <f t="shared" si="477"/>
        <v>3.5115188667173204E-2</v>
      </c>
      <c r="AG1405">
        <f t="shared" si="478"/>
        <v>1.0912768524177994</v>
      </c>
      <c r="AH1405">
        <f t="shared" si="479"/>
        <v>0.26253482096527958</v>
      </c>
      <c r="AI1405">
        <f t="shared" si="480"/>
        <v>-0.10819468360349961</v>
      </c>
      <c r="AK1405" s="26">
        <f t="shared" si="481"/>
        <v>-5.6512443184878469E-3</v>
      </c>
      <c r="AL1405" s="26">
        <f t="shared" si="482"/>
        <v>-2.9573188594988531E-2</v>
      </c>
      <c r="AM1405" s="26">
        <f t="shared" si="483"/>
        <v>8.1829789002343611E-2</v>
      </c>
      <c r="AN1405" s="26">
        <f t="shared" si="484"/>
        <v>-1.2180952380952448</v>
      </c>
      <c r="AO1405" s="26">
        <f t="shared" si="485"/>
        <v>0.33035714285712459</v>
      </c>
      <c r="AP1405" s="26">
        <f t="shared" si="486"/>
        <v>-1.0257964601769913</v>
      </c>
      <c r="AS1405" s="2">
        <v>44075</v>
      </c>
      <c r="AT1405">
        <v>21.5</v>
      </c>
      <c r="AU1405">
        <v>2.1</v>
      </c>
      <c r="AV1405">
        <v>10.7</v>
      </c>
      <c r="AW1405">
        <v>1.1000000000000001</v>
      </c>
      <c r="AX1405">
        <v>133.82</v>
      </c>
      <c r="AY1405">
        <v>0.3</v>
      </c>
      <c r="AZ1405">
        <v>3.1</v>
      </c>
      <c r="BA1405">
        <v>306.6952</v>
      </c>
      <c r="BB1405">
        <v>163.2081</v>
      </c>
      <c r="BC1405">
        <v>142.9949</v>
      </c>
      <c r="BD1405">
        <v>4.3316999999999997</v>
      </c>
      <c r="BE1405">
        <v>30.2667</v>
      </c>
      <c r="BH1405">
        <v>91.14</v>
      </c>
    </row>
    <row r="1406" spans="1:60" x14ac:dyDescent="0.25">
      <c r="A1406" s="2">
        <v>44095</v>
      </c>
      <c r="B1406">
        <v>12.1</v>
      </c>
      <c r="C1406">
        <v>50.3</v>
      </c>
      <c r="D1406">
        <v>1.7</v>
      </c>
      <c r="E1406">
        <v>0.8</v>
      </c>
      <c r="F1406">
        <v>196.07</v>
      </c>
      <c r="G1406">
        <v>0.5</v>
      </c>
      <c r="H1406">
        <v>3.8</v>
      </c>
      <c r="I1406">
        <v>260.26119999999997</v>
      </c>
      <c r="J1406">
        <v>180.6062</v>
      </c>
      <c r="K1406">
        <v>132.38800000000001</v>
      </c>
      <c r="L1406">
        <v>4.4866000000000001</v>
      </c>
      <c r="M1406">
        <v>31.772200000000002</v>
      </c>
      <c r="N1406">
        <v>4.0755999999999997</v>
      </c>
      <c r="O1406">
        <v>-4.3628</v>
      </c>
      <c r="P1406">
        <v>94.22</v>
      </c>
      <c r="S1406">
        <f t="shared" si="465"/>
        <v>874.78419999999983</v>
      </c>
      <c r="T1406">
        <f t="shared" si="466"/>
        <v>1.1343326397654835E-2</v>
      </c>
      <c r="U1406">
        <f t="shared" si="467"/>
        <v>4.7154489074548611E-2</v>
      </c>
      <c r="V1406">
        <f t="shared" si="468"/>
        <v>1.5936904856209272E-3</v>
      </c>
      <c r="W1406">
        <f t="shared" si="469"/>
        <v>7.4997199323337759E-4</v>
      </c>
      <c r="X1406">
        <f t="shared" si="470"/>
        <v>0.1838087608915854</v>
      </c>
      <c r="Y1406">
        <f t="shared" si="471"/>
        <v>4.6873249577086097E-4</v>
      </c>
      <c r="Z1406">
        <f t="shared" si="472"/>
        <v>3.5623669678585433E-3</v>
      </c>
      <c r="AA1406">
        <f t="shared" si="473"/>
        <v>0.24398576365663838</v>
      </c>
      <c r="AB1406">
        <f t="shared" si="474"/>
        <v>0.16931198975538253</v>
      </c>
      <c r="AC1406">
        <f t="shared" si="475"/>
        <v>0.12410911530022549</v>
      </c>
      <c r="AD1406">
        <f t="shared" si="476"/>
        <v>4.2060304310510893E-3</v>
      </c>
      <c r="AE1406">
        <f t="shared" si="477"/>
        <v>2.9785325204261897E-2</v>
      </c>
      <c r="AG1406">
        <f t="shared" si="478"/>
        <v>1.0849706973057884</v>
      </c>
      <c r="AH1406">
        <f t="shared" si="479"/>
        <v>0.27846666351053445</v>
      </c>
      <c r="AI1406">
        <f t="shared" si="480"/>
        <v>-1.3415027429897339E-2</v>
      </c>
      <c r="AK1406" s="26">
        <f t="shared" si="481"/>
        <v>-8.6540786099661982E-3</v>
      </c>
      <c r="AL1406" s="26">
        <f t="shared" si="482"/>
        <v>-2.0308242172117186E-2</v>
      </c>
      <c r="AM1406" s="26">
        <f t="shared" si="483"/>
        <v>8.0438661812860024E-2</v>
      </c>
      <c r="AN1406" s="26">
        <f t="shared" si="484"/>
        <v>-1.210000000000008</v>
      </c>
      <c r="AO1406" s="26">
        <f t="shared" si="485"/>
        <v>0.4110714285714181</v>
      </c>
      <c r="AP1406" s="26">
        <f t="shared" si="486"/>
        <v>-1.0941516442696297</v>
      </c>
      <c r="AS1406" s="2">
        <v>44074</v>
      </c>
      <c r="AT1406">
        <v>20.5</v>
      </c>
      <c r="AU1406">
        <v>168.4</v>
      </c>
      <c r="AV1406">
        <v>23.3</v>
      </c>
      <c r="AW1406">
        <v>1.3</v>
      </c>
      <c r="AX1406">
        <v>123.99</v>
      </c>
      <c r="AY1406">
        <v>0.5</v>
      </c>
      <c r="AZ1406">
        <v>3.1</v>
      </c>
      <c r="BA1406">
        <v>272.88060000000002</v>
      </c>
      <c r="BB1406">
        <v>141.53280000000001</v>
      </c>
      <c r="BC1406">
        <v>133.5472</v>
      </c>
      <c r="BD1406">
        <v>4.3666</v>
      </c>
      <c r="BE1406">
        <v>34.244500000000002</v>
      </c>
      <c r="BH1406">
        <v>91.15</v>
      </c>
    </row>
    <row r="1407" spans="1:60" x14ac:dyDescent="0.25">
      <c r="A1407" s="2">
        <v>44094</v>
      </c>
      <c r="B1407">
        <v>12.5</v>
      </c>
      <c r="C1407">
        <v>13.4</v>
      </c>
      <c r="D1407">
        <v>13.3</v>
      </c>
      <c r="E1407">
        <v>2</v>
      </c>
      <c r="F1407">
        <v>201.88</v>
      </c>
      <c r="G1407">
        <v>0.5</v>
      </c>
      <c r="H1407">
        <v>3.5</v>
      </c>
      <c r="I1407">
        <v>219.7577</v>
      </c>
      <c r="J1407">
        <v>92.201599999999999</v>
      </c>
      <c r="K1407">
        <v>84.201300000000003</v>
      </c>
      <c r="L1407">
        <v>4.4313000000000002</v>
      </c>
      <c r="M1407">
        <v>11.4663</v>
      </c>
      <c r="P1407">
        <v>94.14</v>
      </c>
      <c r="S1407">
        <f t="shared" si="465"/>
        <v>659.1382000000001</v>
      </c>
      <c r="T1407">
        <f t="shared" si="466"/>
        <v>1.1718312394271523E-2</v>
      </c>
      <c r="U1407">
        <f t="shared" si="467"/>
        <v>1.2562030886659074E-2</v>
      </c>
      <c r="V1407">
        <f t="shared" si="468"/>
        <v>1.2468284387504903E-2</v>
      </c>
      <c r="W1407">
        <f t="shared" si="469"/>
        <v>1.8749299830834439E-3</v>
      </c>
      <c r="X1407">
        <f t="shared" si="470"/>
        <v>0.18925543249244281</v>
      </c>
      <c r="Y1407">
        <f t="shared" si="471"/>
        <v>4.6873249577086097E-4</v>
      </c>
      <c r="Z1407">
        <f t="shared" si="472"/>
        <v>3.2811274703960268E-3</v>
      </c>
      <c r="AA1407">
        <f t="shared" si="473"/>
        <v>0.20601515037172827</v>
      </c>
      <c r="AB1407">
        <f t="shared" si="474"/>
        <v>8.6435772164133229E-2</v>
      </c>
      <c r="AC1407">
        <f t="shared" si="475"/>
        <v>7.8935770992301993E-2</v>
      </c>
      <c r="AD1407">
        <f t="shared" si="476"/>
        <v>4.1541886170188324E-3</v>
      </c>
      <c r="AE1407">
        <f t="shared" si="477"/>
        <v>1.0749254832514847E-2</v>
      </c>
      <c r="AG1407">
        <f t="shared" si="478"/>
        <v>1.0786595273472328</v>
      </c>
      <c r="AH1407">
        <f t="shared" si="479"/>
        <v>0.2423781049426435</v>
      </c>
      <c r="AI1407">
        <f t="shared" si="480"/>
        <v>-0.23005362416233646</v>
      </c>
      <c r="AK1407" s="26">
        <f t="shared" si="481"/>
        <v>2.6737617588521445E-3</v>
      </c>
      <c r="AL1407" s="26">
        <f t="shared" si="482"/>
        <v>-9.9260132540140433E-3</v>
      </c>
      <c r="AM1407" s="26">
        <f t="shared" si="483"/>
        <v>8.1673635376847464E-2</v>
      </c>
      <c r="AN1407" s="26">
        <f t="shared" si="484"/>
        <v>-1.1799999999999926</v>
      </c>
      <c r="AO1407" s="26">
        <f t="shared" si="485"/>
        <v>0.49303571428572468</v>
      </c>
      <c r="AP1407" s="26">
        <f t="shared" si="486"/>
        <v>-1.1632477876106009</v>
      </c>
      <c r="AS1407" s="2">
        <v>44073</v>
      </c>
      <c r="AT1407">
        <v>17.899999999999999</v>
      </c>
      <c r="AU1407">
        <v>0.3</v>
      </c>
      <c r="AV1407">
        <v>36.6</v>
      </c>
      <c r="AW1407">
        <v>1</v>
      </c>
      <c r="AX1407">
        <v>92.12</v>
      </c>
      <c r="AY1407">
        <v>0.5</v>
      </c>
      <c r="AZ1407">
        <v>3.1</v>
      </c>
      <c r="BA1407">
        <v>208.96010000000001</v>
      </c>
      <c r="BB1407">
        <v>39.539400000000001</v>
      </c>
      <c r="BC1407">
        <v>96.542400000000001</v>
      </c>
      <c r="BD1407">
        <v>4.3666</v>
      </c>
      <c r="BE1407">
        <v>10.006500000000001</v>
      </c>
      <c r="BH1407">
        <v>91.4</v>
      </c>
    </row>
    <row r="1408" spans="1:60" x14ac:dyDescent="0.25">
      <c r="A1408" s="2">
        <v>44093</v>
      </c>
      <c r="B1408">
        <v>13.5</v>
      </c>
      <c r="C1408">
        <v>0</v>
      </c>
      <c r="D1408">
        <v>31.9</v>
      </c>
      <c r="E1408">
        <v>2.7</v>
      </c>
      <c r="F1408">
        <v>197.5</v>
      </c>
      <c r="G1408">
        <v>0.5</v>
      </c>
      <c r="H1408">
        <v>3.4</v>
      </c>
      <c r="I1408">
        <v>213.96260000000001</v>
      </c>
      <c r="J1408">
        <v>77.894199999999998</v>
      </c>
      <c r="K1408">
        <v>93.750699999999995</v>
      </c>
      <c r="L1408">
        <v>4.3742999999999999</v>
      </c>
      <c r="M1408">
        <v>17.128900000000002</v>
      </c>
      <c r="P1408">
        <v>93.94</v>
      </c>
      <c r="S1408">
        <f t="shared" si="465"/>
        <v>656.61070000000007</v>
      </c>
      <c r="T1408">
        <f t="shared" si="466"/>
        <v>1.2655777385813246E-2</v>
      </c>
      <c r="U1408">
        <f t="shared" si="467"/>
        <v>0</v>
      </c>
      <c r="V1408">
        <f t="shared" si="468"/>
        <v>2.9905133230180927E-2</v>
      </c>
      <c r="W1408">
        <f t="shared" si="469"/>
        <v>2.5311554771626494E-3</v>
      </c>
      <c r="X1408">
        <f t="shared" si="470"/>
        <v>0.18514933582949009</v>
      </c>
      <c r="Y1408">
        <f t="shared" si="471"/>
        <v>4.6873249577086097E-4</v>
      </c>
      <c r="Z1408">
        <f t="shared" si="472"/>
        <v>3.1873809712418544E-3</v>
      </c>
      <c r="AA1408">
        <f t="shared" si="473"/>
        <v>0.20058244699924482</v>
      </c>
      <c r="AB1408">
        <f t="shared" si="474"/>
        <v>7.3023085544149199E-2</v>
      </c>
      <c r="AC1408">
        <f t="shared" si="475"/>
        <v>8.7887999182530499E-2</v>
      </c>
      <c r="AD1408">
        <f t="shared" si="476"/>
        <v>4.1007531125009542E-3</v>
      </c>
      <c r="AE1408">
        <f t="shared" si="477"/>
        <v>1.6057744093619E-2</v>
      </c>
      <c r="AG1408">
        <f t="shared" si="478"/>
        <v>1.0633770860972593</v>
      </c>
      <c r="AH1408">
        <f t="shared" si="479"/>
        <v>0.24995525948327862</v>
      </c>
      <c r="AI1408">
        <f t="shared" si="480"/>
        <v>-0.18738875219167286</v>
      </c>
      <c r="AK1408" s="26">
        <f t="shared" si="481"/>
        <v>-5.5768542393496157E-3</v>
      </c>
      <c r="AL1408" s="26">
        <f t="shared" si="482"/>
        <v>2.8022703527163517E-3</v>
      </c>
      <c r="AM1408" s="26">
        <f t="shared" si="483"/>
        <v>7.9799202382385359E-2</v>
      </c>
      <c r="AN1408" s="26">
        <f t="shared" si="484"/>
        <v>-1.1342857142856815</v>
      </c>
      <c r="AO1408" s="26">
        <f t="shared" si="485"/>
        <v>0.57535714285714334</v>
      </c>
      <c r="AP1408" s="26">
        <f t="shared" si="486"/>
        <v>-1.2408603114148065</v>
      </c>
      <c r="AS1408" s="2">
        <v>44072</v>
      </c>
      <c r="AT1408">
        <v>17</v>
      </c>
      <c r="AU1408">
        <v>3.3</v>
      </c>
      <c r="AV1408">
        <v>26.2</v>
      </c>
      <c r="AW1408">
        <v>2.5</v>
      </c>
      <c r="AX1408">
        <v>125.7</v>
      </c>
      <c r="AY1408">
        <v>0.5</v>
      </c>
      <c r="AZ1408">
        <v>3.2</v>
      </c>
      <c r="BA1408">
        <v>217.24889999999999</v>
      </c>
      <c r="BB1408">
        <v>42.003700000000002</v>
      </c>
      <c r="BC1408">
        <v>98.348299999999995</v>
      </c>
      <c r="BD1408">
        <v>4.3434999999999997</v>
      </c>
      <c r="BE1408">
        <v>16.721499999999999</v>
      </c>
      <c r="BH1408">
        <v>91.25</v>
      </c>
    </row>
    <row r="1409" spans="1:60" x14ac:dyDescent="0.25">
      <c r="A1409" s="2">
        <v>44092</v>
      </c>
      <c r="B1409">
        <v>15.4</v>
      </c>
      <c r="C1409">
        <v>0</v>
      </c>
      <c r="D1409">
        <v>15.3</v>
      </c>
      <c r="E1409">
        <v>2.5</v>
      </c>
      <c r="F1409">
        <v>209.79</v>
      </c>
      <c r="G1409">
        <v>0.5</v>
      </c>
      <c r="H1409">
        <v>3.4</v>
      </c>
      <c r="I1409">
        <v>264.21300000000002</v>
      </c>
      <c r="J1409">
        <v>120.7569</v>
      </c>
      <c r="K1409">
        <v>109.5291</v>
      </c>
      <c r="L1409">
        <v>4.3818999999999999</v>
      </c>
      <c r="M1409">
        <v>21.979900000000001</v>
      </c>
      <c r="N1409">
        <v>4.3083999999999998</v>
      </c>
      <c r="O1409">
        <v>-4.9207000000000001</v>
      </c>
      <c r="P1409">
        <v>93.74</v>
      </c>
      <c r="S1409">
        <f t="shared" si="465"/>
        <v>767.75080000000003</v>
      </c>
      <c r="T1409">
        <f t="shared" si="466"/>
        <v>1.4436960869742518E-2</v>
      </c>
      <c r="U1409">
        <f t="shared" si="467"/>
        <v>0</v>
      </c>
      <c r="V1409">
        <f t="shared" si="468"/>
        <v>1.4343214370588346E-2</v>
      </c>
      <c r="W1409">
        <f t="shared" si="469"/>
        <v>2.3436624788543046E-3</v>
      </c>
      <c r="X1409">
        <f t="shared" si="470"/>
        <v>0.19667078057553783</v>
      </c>
      <c r="Y1409">
        <f t="shared" si="471"/>
        <v>4.6873249577086097E-4</v>
      </c>
      <c r="Z1409">
        <f t="shared" si="472"/>
        <v>3.1873809712418544E-3</v>
      </c>
      <c r="AA1409">
        <f t="shared" si="473"/>
        <v>0.24769043781021299</v>
      </c>
      <c r="AB1409">
        <f t="shared" si="474"/>
        <v>0.11320536623710456</v>
      </c>
      <c r="AC1409">
        <f t="shared" si="475"/>
        <v>0.10267969680507241</v>
      </c>
      <c r="AD1409">
        <f t="shared" si="476"/>
        <v>4.107877846436671E-3</v>
      </c>
      <c r="AE1409">
        <f t="shared" si="477"/>
        <v>2.0605386767587892E-2</v>
      </c>
      <c r="AG1409">
        <f t="shared" si="478"/>
        <v>1.048067263405841</v>
      </c>
      <c r="AH1409">
        <f t="shared" si="479"/>
        <v>0.25205611852932364</v>
      </c>
      <c r="AI1409">
        <f t="shared" si="480"/>
        <v>-0.17465722570464429</v>
      </c>
      <c r="AK1409" s="26">
        <f t="shared" si="481"/>
        <v>-2.0747510924424839E-2</v>
      </c>
      <c r="AL1409" s="26">
        <f t="shared" si="482"/>
        <v>1.2626320896543253E-2</v>
      </c>
      <c r="AM1409" s="26">
        <f t="shared" si="483"/>
        <v>8.1333087906715895E-2</v>
      </c>
      <c r="AN1409" s="26">
        <f t="shared" si="484"/>
        <v>-1.0799999999999841</v>
      </c>
      <c r="AO1409" s="26">
        <f t="shared" si="485"/>
        <v>0.66124999999999545</v>
      </c>
      <c r="AP1409" s="26">
        <f t="shared" si="486"/>
        <v>-1.3111016564556621</v>
      </c>
      <c r="AS1409" s="2">
        <v>44071</v>
      </c>
      <c r="AT1409">
        <v>15.2</v>
      </c>
      <c r="AU1409">
        <v>9.1</v>
      </c>
      <c r="AV1409">
        <v>60</v>
      </c>
      <c r="AW1409">
        <v>3.3</v>
      </c>
      <c r="AX1409">
        <v>134.71</v>
      </c>
      <c r="AY1409">
        <v>0.5</v>
      </c>
      <c r="AZ1409">
        <v>3.4</v>
      </c>
      <c r="BA1409">
        <v>269.27420000000001</v>
      </c>
      <c r="BB1409">
        <v>65.818600000000004</v>
      </c>
      <c r="BC1409">
        <v>127.8745</v>
      </c>
      <c r="BD1409">
        <v>4.3421000000000003</v>
      </c>
      <c r="BE1409">
        <v>24.436199999999999</v>
      </c>
      <c r="BH1409">
        <v>91.12</v>
      </c>
    </row>
    <row r="1410" spans="1:60" x14ac:dyDescent="0.25">
      <c r="A1410" s="2">
        <v>44091</v>
      </c>
      <c r="B1410">
        <v>16</v>
      </c>
      <c r="C1410">
        <v>16.2</v>
      </c>
      <c r="D1410">
        <v>38.200000000000003</v>
      </c>
      <c r="E1410">
        <v>3.4</v>
      </c>
      <c r="F1410">
        <v>175.42</v>
      </c>
      <c r="G1410">
        <v>0.4</v>
      </c>
      <c r="H1410">
        <v>3.4</v>
      </c>
      <c r="I1410">
        <v>248.4194</v>
      </c>
      <c r="J1410">
        <v>180.14250000000001</v>
      </c>
      <c r="K1410">
        <v>112.7076</v>
      </c>
      <c r="L1410">
        <v>4.3680000000000003</v>
      </c>
      <c r="M1410">
        <v>18.880600000000001</v>
      </c>
      <c r="N1410">
        <v>5.2938999999999998</v>
      </c>
      <c r="O1410">
        <v>-5.0008999999999997</v>
      </c>
      <c r="P1410">
        <v>93.6</v>
      </c>
      <c r="S1410">
        <f t="shared" ref="S1410:S1473" si="487">SUM(B1410:M1410)</f>
        <v>817.53809999999999</v>
      </c>
      <c r="T1410">
        <f t="shared" si="466"/>
        <v>1.4999439864667551E-2</v>
      </c>
      <c r="U1410">
        <f t="shared" si="467"/>
        <v>1.5186932862975894E-2</v>
      </c>
      <c r="V1410">
        <f t="shared" si="468"/>
        <v>3.5811162676893778E-2</v>
      </c>
      <c r="W1410">
        <f t="shared" si="469"/>
        <v>3.1873809712418544E-3</v>
      </c>
      <c r="X1410">
        <f t="shared" si="470"/>
        <v>0.16445010881624886</v>
      </c>
      <c r="Y1410">
        <f t="shared" si="471"/>
        <v>3.7498599661668879E-4</v>
      </c>
      <c r="Z1410">
        <f t="shared" si="472"/>
        <v>3.1873809712418544E-3</v>
      </c>
      <c r="AA1410">
        <f t="shared" si="473"/>
        <v>0.23288449071979964</v>
      </c>
      <c r="AB1410">
        <f t="shared" si="474"/>
        <v>0.16887728723880466</v>
      </c>
      <c r="AC1410">
        <f t="shared" si="475"/>
        <v>0.10565942928068778</v>
      </c>
      <c r="AD1410">
        <f t="shared" si="476"/>
        <v>4.0948470830542419E-3</v>
      </c>
      <c r="AE1410">
        <f t="shared" si="477"/>
        <v>1.7699901519302636E-2</v>
      </c>
      <c r="AG1410">
        <f t="shared" si="478"/>
        <v>1.0372008426814807</v>
      </c>
      <c r="AH1410">
        <f t="shared" si="479"/>
        <v>0.25489729367918912</v>
      </c>
      <c r="AI1410">
        <f t="shared" si="480"/>
        <v>-0.15951759249791531</v>
      </c>
      <c r="AK1410" s="26">
        <f t="shared" si="481"/>
        <v>-3.1791692243278546E-2</v>
      </c>
      <c r="AL1410" s="26">
        <f t="shared" si="482"/>
        <v>2.8407074217965123E-2</v>
      </c>
      <c r="AM1410" s="26">
        <f t="shared" si="483"/>
        <v>8.1015967779572318E-2</v>
      </c>
      <c r="AN1410" s="26">
        <f t="shared" si="484"/>
        <v>-1.0161904761904736</v>
      </c>
      <c r="AO1410" s="26">
        <f t="shared" si="485"/>
        <v>0.75428571428570024</v>
      </c>
      <c r="AP1410" s="26">
        <f t="shared" si="486"/>
        <v>-1.379136880818308</v>
      </c>
      <c r="AS1410" s="2">
        <v>44070</v>
      </c>
      <c r="AT1410">
        <v>14.3</v>
      </c>
      <c r="AU1410">
        <v>24.3</v>
      </c>
      <c r="AV1410">
        <v>27.1</v>
      </c>
      <c r="AW1410">
        <v>2.7</v>
      </c>
      <c r="AX1410">
        <v>162.19999999999999</v>
      </c>
      <c r="AY1410">
        <v>0.5</v>
      </c>
      <c r="AZ1410">
        <v>3.2</v>
      </c>
      <c r="BA1410">
        <v>226.56</v>
      </c>
      <c r="BB1410">
        <v>108.63339999999999</v>
      </c>
      <c r="BC1410">
        <v>124.9218</v>
      </c>
      <c r="BD1410">
        <v>4.5648</v>
      </c>
      <c r="BE1410">
        <v>24.236799999999999</v>
      </c>
      <c r="BH1410">
        <v>91.19</v>
      </c>
    </row>
    <row r="1411" spans="1:60" x14ac:dyDescent="0.25">
      <c r="A1411" s="2">
        <v>44090</v>
      </c>
      <c r="B1411">
        <v>15.8</v>
      </c>
      <c r="C1411">
        <v>3.6</v>
      </c>
      <c r="D1411">
        <v>31.7</v>
      </c>
      <c r="E1411">
        <v>1.9</v>
      </c>
      <c r="F1411">
        <v>166.32</v>
      </c>
      <c r="G1411">
        <v>0.4</v>
      </c>
      <c r="H1411">
        <v>3.4</v>
      </c>
      <c r="I1411">
        <v>247.53790000000001</v>
      </c>
      <c r="J1411">
        <v>234.6455</v>
      </c>
      <c r="K1411">
        <v>124.94710000000001</v>
      </c>
      <c r="L1411">
        <v>4.3882000000000003</v>
      </c>
      <c r="M1411">
        <v>20.811900000000001</v>
      </c>
      <c r="N1411">
        <v>5.1119000000000003</v>
      </c>
      <c r="O1411">
        <v>-5.7058999999999997</v>
      </c>
      <c r="P1411">
        <v>93.64</v>
      </c>
      <c r="S1411">
        <f t="shared" si="487"/>
        <v>855.45060000000001</v>
      </c>
      <c r="T1411">
        <f t="shared" si="466"/>
        <v>1.4811946866359206E-2</v>
      </c>
      <c r="U1411">
        <f t="shared" si="467"/>
        <v>3.3748739695501988E-3</v>
      </c>
      <c r="V1411">
        <f t="shared" si="468"/>
        <v>2.9717640231872584E-2</v>
      </c>
      <c r="W1411">
        <f t="shared" si="469"/>
        <v>1.7811834839292716E-3</v>
      </c>
      <c r="X1411">
        <f t="shared" si="470"/>
        <v>0.15591917739321917</v>
      </c>
      <c r="Y1411">
        <f t="shared" si="471"/>
        <v>3.7498599661668879E-4</v>
      </c>
      <c r="Z1411">
        <f t="shared" si="472"/>
        <v>3.1873809712418544E-3</v>
      </c>
      <c r="AA1411">
        <f t="shared" si="473"/>
        <v>0.23205811532975562</v>
      </c>
      <c r="AB1411">
        <f t="shared" si="474"/>
        <v>0.2199719416728031</v>
      </c>
      <c r="AC1411">
        <f t="shared" si="475"/>
        <v>0.11713353204466269</v>
      </c>
      <c r="AD1411">
        <f t="shared" si="476"/>
        <v>4.1137838758833842E-3</v>
      </c>
      <c r="AE1411">
        <f t="shared" si="477"/>
        <v>1.9510427657467164E-2</v>
      </c>
      <c r="AG1411">
        <f t="shared" si="478"/>
        <v>1.0397751213562536</v>
      </c>
      <c r="AH1411">
        <f t="shared" si="479"/>
        <v>0.22867761657025615</v>
      </c>
      <c r="AI1411">
        <f t="shared" si="480"/>
        <v>-0.31812149969310499</v>
      </c>
      <c r="AK1411" s="26">
        <f t="shared" si="481"/>
        <v>-5.1400384088335305E-2</v>
      </c>
      <c r="AL1411" s="26">
        <f t="shared" si="482"/>
        <v>2.9951699399098974E-2</v>
      </c>
      <c r="AM1411" s="26">
        <f t="shared" si="483"/>
        <v>7.9774581225705465E-2</v>
      </c>
      <c r="AN1411" s="26">
        <f t="shared" si="484"/>
        <v>-0.93904761904759937</v>
      </c>
      <c r="AO1411" s="26">
        <f t="shared" si="485"/>
        <v>0.8526785714285694</v>
      </c>
      <c r="AP1411" s="26">
        <f t="shared" si="486"/>
        <v>-1.4460013972985593</v>
      </c>
      <c r="AS1411" s="2">
        <v>44069</v>
      </c>
      <c r="AT1411">
        <v>14.8</v>
      </c>
      <c r="AU1411">
        <v>1.3</v>
      </c>
      <c r="AV1411">
        <v>61.1</v>
      </c>
      <c r="AW1411">
        <v>12.7</v>
      </c>
      <c r="AX1411">
        <v>143.54</v>
      </c>
      <c r="AY1411">
        <v>0.5</v>
      </c>
      <c r="AZ1411">
        <v>3.4</v>
      </c>
      <c r="BA1411">
        <v>105.7739</v>
      </c>
      <c r="BB1411">
        <v>40.1858</v>
      </c>
      <c r="BC1411">
        <v>38.266399999999997</v>
      </c>
      <c r="BD1411">
        <v>4.3544</v>
      </c>
      <c r="BE1411">
        <v>14.2858</v>
      </c>
      <c r="BH1411">
        <v>91.13</v>
      </c>
    </row>
    <row r="1412" spans="1:60" x14ac:dyDescent="0.25">
      <c r="A1412" s="2">
        <v>44089</v>
      </c>
      <c r="B1412">
        <v>15.6</v>
      </c>
      <c r="C1412">
        <v>391.9</v>
      </c>
      <c r="D1412">
        <v>6.9</v>
      </c>
      <c r="E1412">
        <v>0.6</v>
      </c>
      <c r="F1412">
        <v>201.39</v>
      </c>
      <c r="G1412">
        <v>0.3</v>
      </c>
      <c r="H1412">
        <v>3.4</v>
      </c>
      <c r="I1412">
        <v>258.68329999999997</v>
      </c>
      <c r="J1412">
        <v>273.56819999999999</v>
      </c>
      <c r="K1412">
        <v>130.02940000000001</v>
      </c>
      <c r="L1412">
        <v>4.8788999999999998</v>
      </c>
      <c r="M1412">
        <v>44.983400000000003</v>
      </c>
      <c r="N1412">
        <v>6.7740999999999998</v>
      </c>
      <c r="O1412">
        <v>-4.3861999999999997</v>
      </c>
      <c r="P1412">
        <v>93.54</v>
      </c>
      <c r="S1412">
        <f t="shared" si="487"/>
        <v>1332.2331999999999</v>
      </c>
      <c r="T1412">
        <f t="shared" si="466"/>
        <v>1.4624453868050861E-2</v>
      </c>
      <c r="U1412">
        <f t="shared" si="467"/>
        <v>0.36739253018520079</v>
      </c>
      <c r="V1412">
        <f t="shared" si="468"/>
        <v>6.4685084416378812E-3</v>
      </c>
      <c r="W1412">
        <f t="shared" si="469"/>
        <v>5.6247899492503314E-4</v>
      </c>
      <c r="X1412">
        <f t="shared" si="470"/>
        <v>0.18879607464658738</v>
      </c>
      <c r="Y1412">
        <f t="shared" si="471"/>
        <v>2.8123949746251657E-4</v>
      </c>
      <c r="Z1412">
        <f t="shared" si="472"/>
        <v>3.1873809712418544E-3</v>
      </c>
      <c r="AA1412">
        <f t="shared" si="473"/>
        <v>0.24250653764648469</v>
      </c>
      <c r="AB1412">
        <f t="shared" si="474"/>
        <v>0.25646061029908407</v>
      </c>
      <c r="AC1412">
        <f t="shared" si="475"/>
        <v>0.12189801037117519</v>
      </c>
      <c r="AD1412">
        <f t="shared" si="476"/>
        <v>4.5737979472329068E-3</v>
      </c>
      <c r="AE1412">
        <f t="shared" si="477"/>
        <v>4.2170362700517897E-2</v>
      </c>
      <c r="AG1412">
        <f t="shared" si="478"/>
        <v>1.0319028309495109</v>
      </c>
      <c r="AH1412">
        <f t="shared" si="479"/>
        <v>0.62348302930562405</v>
      </c>
      <c r="AI1412">
        <f t="shared" si="480"/>
        <v>2.0554777188305802</v>
      </c>
      <c r="AK1412" s="26">
        <f t="shared" si="481"/>
        <v>-6.1442687642490557E-2</v>
      </c>
      <c r="AL1412" s="26">
        <f t="shared" si="482"/>
        <v>3.3608131355074899E-2</v>
      </c>
      <c r="AM1412" s="26">
        <f t="shared" si="483"/>
        <v>7.9282373400392292E-2</v>
      </c>
      <c r="AN1412" s="26">
        <f t="shared" si="484"/>
        <v>-0.8652380952380696</v>
      </c>
      <c r="AO1412" s="26">
        <f t="shared" si="485"/>
        <v>0.95196428571431113</v>
      </c>
      <c r="AP1412" s="26">
        <f t="shared" si="486"/>
        <v>-1.5135185840707948</v>
      </c>
      <c r="AS1412" s="2">
        <v>44068</v>
      </c>
      <c r="AT1412">
        <v>16.399999999999999</v>
      </c>
      <c r="AU1412">
        <v>11.9</v>
      </c>
      <c r="AV1412">
        <v>43.4</v>
      </c>
      <c r="AW1412">
        <v>2.4</v>
      </c>
      <c r="AX1412">
        <v>164.97</v>
      </c>
      <c r="AY1412">
        <v>0.4</v>
      </c>
      <c r="AZ1412">
        <v>3</v>
      </c>
      <c r="BA1412">
        <v>283.00740000000002</v>
      </c>
      <c r="BB1412">
        <v>103.5177</v>
      </c>
      <c r="BC1412">
        <v>137.12809999999999</v>
      </c>
      <c r="BD1412">
        <v>4.4047999999999998</v>
      </c>
      <c r="BE1412">
        <v>22.8215</v>
      </c>
      <c r="BH1412">
        <v>91</v>
      </c>
    </row>
    <row r="1413" spans="1:60" x14ac:dyDescent="0.25">
      <c r="A1413" s="2">
        <v>44088</v>
      </c>
      <c r="B1413">
        <v>14.9</v>
      </c>
      <c r="C1413">
        <v>107.2</v>
      </c>
      <c r="D1413">
        <v>18</v>
      </c>
      <c r="E1413">
        <v>0.6</v>
      </c>
      <c r="F1413">
        <v>207.59</v>
      </c>
      <c r="G1413">
        <v>0.5</v>
      </c>
      <c r="H1413">
        <v>3.4</v>
      </c>
      <c r="I1413">
        <v>264.23970000000003</v>
      </c>
      <c r="J1413">
        <v>209.07</v>
      </c>
      <c r="K1413">
        <v>124.3933</v>
      </c>
      <c r="L1413">
        <v>4.5891000000000002</v>
      </c>
      <c r="M1413">
        <v>34.194600000000001</v>
      </c>
      <c r="N1413">
        <v>6.8327</v>
      </c>
      <c r="O1413">
        <v>-5.1688999999999998</v>
      </c>
      <c r="P1413">
        <v>93.43</v>
      </c>
      <c r="S1413">
        <f t="shared" si="487"/>
        <v>988.6767000000001</v>
      </c>
      <c r="T1413">
        <f t="shared" ref="T1413:T1476" si="488">B1413/$S$4</f>
        <v>1.3968228373971657E-2</v>
      </c>
      <c r="U1413">
        <f t="shared" ref="U1413:U1476" si="489">C1413/$S$4</f>
        <v>0.10049624709327259</v>
      </c>
      <c r="V1413">
        <f t="shared" ref="V1413:V1476" si="490">D1413/$S$4</f>
        <v>1.6874369847750995E-2</v>
      </c>
      <c r="W1413">
        <f t="shared" ref="W1413:W1476" si="491">E1413/$S$4</f>
        <v>5.6247899492503314E-4</v>
      </c>
      <c r="X1413">
        <f t="shared" ref="X1413:X1476" si="492">F1413/$S$4</f>
        <v>0.19460835759414605</v>
      </c>
      <c r="Y1413">
        <f t="shared" ref="Y1413:Y1476" si="493">G1413/$S$4</f>
        <v>4.6873249577086097E-4</v>
      </c>
      <c r="Z1413">
        <f t="shared" ref="Z1413:Z1476" si="494">H1413/$S$4</f>
        <v>3.1873809712418544E-3</v>
      </c>
      <c r="AA1413">
        <f t="shared" ref="AA1413:AA1476" si="495">I1413/$S$4</f>
        <v>0.24771546812548717</v>
      </c>
      <c r="AB1413">
        <f t="shared" ref="AB1413:AB1476" si="496">J1413/$S$4</f>
        <v>0.19599580578162779</v>
      </c>
      <c r="AC1413">
        <f t="shared" ref="AC1413:AC1476" si="497">K1413/$S$4</f>
        <v>0.11661436393234688</v>
      </c>
      <c r="AD1413">
        <f t="shared" ref="AD1413:AD1476" si="498">L1413/$S$4</f>
        <v>4.3021205926841158E-3</v>
      </c>
      <c r="AE1413">
        <f t="shared" ref="AE1413:AE1476" si="499">M1413/$S$4</f>
        <v>3.2056240399772562E-2</v>
      </c>
      <c r="AG1413">
        <f t="shared" ref="AG1413:AG1476" si="500">(P1413-AVERAGE(P1413:P1777)) / _xlfn.STDEV.S(P1413:P3240)</f>
        <v>1.0232789201055439</v>
      </c>
      <c r="AH1413">
        <f t="shared" ref="AH1413:AH1476" si="501">SUM(T1413:Y1413,Z1413,AE1413)</f>
        <v>0.3622220357708516</v>
      </c>
      <c r="AI1413">
        <f t="shared" ref="AI1413:AI1476" si="502">(AH1413-AVERAGE(AH1413:AH1777))/_xlfn.STDEV.S(AH1413:AH1777)</f>
        <v>0.4927423269654147</v>
      </c>
      <c r="AK1413" s="26">
        <f t="shared" ref="AK1413:AK1476" si="503">AVERAGEA(AH1413:AH1433)-AVERAGE(AH1779:AH1799, AH2144:AH2164, AH2509:AH2529)</f>
        <v>-9.0366906610831244E-2</v>
      </c>
      <c r="AL1413" s="26">
        <f t="shared" ref="AL1413:AL1476" si="504">AVERAGEA(AH1413:AH1468)-AVERAGE(AH1779:AH1834, AH2144:AH2198, AH2509:AH2563)</f>
        <v>3.0791335216516891E-2</v>
      </c>
      <c r="AM1413" s="26">
        <f t="shared" ref="AM1413:AM1476" si="505">AVERAGEA(AH1413:AH1525)-AVERAGE(AH1779:AH1891,AH2144:AH2255,AH2509:AH2620)</f>
        <v>7.6053157479230693E-2</v>
      </c>
      <c r="AN1413" s="26">
        <f t="shared" ref="AN1413:AN1476" si="506">AVERAGEA(P1413:P1433)-AVERAGE(P1779:P1799, P2144:P2164, P2509:P2529)</f>
        <v>-0.7990476190475988</v>
      </c>
      <c r="AO1413" s="26">
        <f t="shared" ref="AO1413:AO1476" si="507">AVERAGEA(P1413:P1468)-AVERAGE(P1779:P1834, P2144:P2198, P2509:P2563)</f>
        <v>1.0537500000000222</v>
      </c>
      <c r="AP1413" s="26">
        <f t="shared" ref="AP1413:AP1476" si="508">AVERAGEA(P1413:P1525)-AVERAGE(P1779:P1891,P2144:P2255,P2509:P2620)</f>
        <v>-1.5821741210236695</v>
      </c>
      <c r="AS1413" s="2">
        <v>44067</v>
      </c>
      <c r="AT1413">
        <v>15.8</v>
      </c>
      <c r="AU1413">
        <v>22.9</v>
      </c>
      <c r="AV1413">
        <v>15.2</v>
      </c>
      <c r="AW1413">
        <v>2.6</v>
      </c>
      <c r="AX1413">
        <v>149.34</v>
      </c>
      <c r="AY1413">
        <v>0.4</v>
      </c>
      <c r="AZ1413">
        <v>3</v>
      </c>
      <c r="BA1413">
        <v>244.2449</v>
      </c>
      <c r="BB1413">
        <v>115.7901</v>
      </c>
      <c r="BC1413">
        <v>141.2243</v>
      </c>
      <c r="BD1413">
        <v>4.4912999999999998</v>
      </c>
      <c r="BE1413">
        <v>23.0976</v>
      </c>
      <c r="BH1413">
        <v>90.86</v>
      </c>
    </row>
    <row r="1414" spans="1:60" x14ac:dyDescent="0.25">
      <c r="A1414" s="2">
        <v>44087</v>
      </c>
      <c r="B1414">
        <v>15.6</v>
      </c>
      <c r="C1414">
        <v>36.4</v>
      </c>
      <c r="D1414">
        <v>68.3</v>
      </c>
      <c r="E1414">
        <v>3.5</v>
      </c>
      <c r="F1414">
        <v>201.04</v>
      </c>
      <c r="G1414">
        <v>0.5</v>
      </c>
      <c r="H1414">
        <v>3.2</v>
      </c>
      <c r="I1414">
        <v>168.58699999999999</v>
      </c>
      <c r="J1414">
        <v>59.788400000000003</v>
      </c>
      <c r="K1414">
        <v>62.154200000000003</v>
      </c>
      <c r="L1414">
        <v>4.3295000000000003</v>
      </c>
      <c r="M1414">
        <v>13.853300000000001</v>
      </c>
      <c r="P1414">
        <v>93.31</v>
      </c>
      <c r="S1414">
        <f t="shared" si="487"/>
        <v>637.25240000000008</v>
      </c>
      <c r="T1414">
        <f t="shared" si="488"/>
        <v>1.4624453868050861E-2</v>
      </c>
      <c r="U1414">
        <f t="shared" si="489"/>
        <v>3.4123725692118675E-2</v>
      </c>
      <c r="V1414">
        <f t="shared" si="490"/>
        <v>6.4028858922299606E-2</v>
      </c>
      <c r="W1414">
        <f t="shared" si="491"/>
        <v>3.2811274703960268E-3</v>
      </c>
      <c r="X1414">
        <f t="shared" si="492"/>
        <v>0.18846796189954776</v>
      </c>
      <c r="Y1414">
        <f t="shared" si="493"/>
        <v>4.6873249577086097E-4</v>
      </c>
      <c r="Z1414">
        <f t="shared" si="494"/>
        <v>2.9998879729335104E-3</v>
      </c>
      <c r="AA1414">
        <f t="shared" si="495"/>
        <v>0.15804441052904425</v>
      </c>
      <c r="AB1414">
        <f t="shared" si="496"/>
        <v>5.604953190029309E-2</v>
      </c>
      <c r="AC1414">
        <f t="shared" si="497"/>
        <v>5.8267386577282497E-2</v>
      </c>
      <c r="AD1414">
        <f t="shared" si="498"/>
        <v>4.0587546808798849E-3</v>
      </c>
      <c r="AE1414">
        <f t="shared" si="499"/>
        <v>1.2986983767324937E-2</v>
      </c>
      <c r="AG1414">
        <f t="shared" si="500"/>
        <v>1.0139124753028439</v>
      </c>
      <c r="AH1414">
        <f t="shared" si="501"/>
        <v>0.32098173208844222</v>
      </c>
      <c r="AI1414">
        <f t="shared" si="502"/>
        <v>0.24378615215411789</v>
      </c>
      <c r="AK1414" s="26">
        <f t="shared" si="503"/>
        <v>-9.3631231137283666E-2</v>
      </c>
      <c r="AL1414" s="26">
        <f t="shared" si="504"/>
        <v>3.6358746151493704E-2</v>
      </c>
      <c r="AM1414" s="26">
        <f t="shared" si="505"/>
        <v>7.6781203641979101E-2</v>
      </c>
      <c r="AN1414" s="26">
        <f t="shared" si="506"/>
        <v>-0.7314285714285802</v>
      </c>
      <c r="AO1414" s="26">
        <f t="shared" si="507"/>
        <v>1.159285714285744</v>
      </c>
      <c r="AP1414" s="26">
        <f t="shared" si="508"/>
        <v>-1.6525348527094081</v>
      </c>
      <c r="AS1414" s="2">
        <v>44066</v>
      </c>
      <c r="AT1414">
        <v>18</v>
      </c>
      <c r="AU1414">
        <v>13.1</v>
      </c>
      <c r="AV1414">
        <v>59.5</v>
      </c>
      <c r="AW1414">
        <v>6.1</v>
      </c>
      <c r="AX1414">
        <v>162.69</v>
      </c>
      <c r="AY1414">
        <v>0.4</v>
      </c>
      <c r="AZ1414">
        <v>2.9</v>
      </c>
      <c r="BA1414">
        <v>116.92010000000001</v>
      </c>
      <c r="BB1414">
        <v>44.430900000000001</v>
      </c>
      <c r="BC1414">
        <v>44.021299999999997</v>
      </c>
      <c r="BD1414">
        <v>4.5837000000000003</v>
      </c>
      <c r="BE1414">
        <v>9.907</v>
      </c>
      <c r="BH1414">
        <v>90.76</v>
      </c>
    </row>
    <row r="1415" spans="1:60" x14ac:dyDescent="0.25">
      <c r="A1415" s="2">
        <v>44086</v>
      </c>
      <c r="B1415">
        <v>17.399999999999999</v>
      </c>
      <c r="C1415">
        <v>81.8</v>
      </c>
      <c r="D1415">
        <v>62.3</v>
      </c>
      <c r="E1415">
        <v>4.5999999999999996</v>
      </c>
      <c r="F1415">
        <v>191.67</v>
      </c>
      <c r="G1415">
        <v>0.5</v>
      </c>
      <c r="H1415">
        <v>3.1</v>
      </c>
      <c r="I1415">
        <v>184.1995</v>
      </c>
      <c r="J1415">
        <v>73.9285</v>
      </c>
      <c r="K1415">
        <v>62.073599999999999</v>
      </c>
      <c r="L1415">
        <v>4.2952000000000004</v>
      </c>
      <c r="M1415">
        <v>19.867699999999999</v>
      </c>
      <c r="P1415">
        <v>93.04</v>
      </c>
      <c r="S1415">
        <f t="shared" si="487"/>
        <v>705.73450000000003</v>
      </c>
      <c r="T1415">
        <f t="shared" si="488"/>
        <v>1.6311890852825958E-2</v>
      </c>
      <c r="U1415">
        <f t="shared" si="489"/>
        <v>7.6684636308112855E-2</v>
      </c>
      <c r="V1415">
        <f t="shared" si="490"/>
        <v>5.840406897304927E-2</v>
      </c>
      <c r="W1415">
        <f t="shared" si="491"/>
        <v>4.3123389610919202E-3</v>
      </c>
      <c r="X1415">
        <f t="shared" si="492"/>
        <v>0.17968391492880181</v>
      </c>
      <c r="Y1415">
        <f t="shared" si="493"/>
        <v>4.6873249577086097E-4</v>
      </c>
      <c r="Z1415">
        <f t="shared" si="494"/>
        <v>2.9061414737793379E-3</v>
      </c>
      <c r="AA1415">
        <f t="shared" si="495"/>
        <v>0.17268058270948941</v>
      </c>
      <c r="AB1415">
        <f t="shared" si="496"/>
        <v>6.9305380627192187E-2</v>
      </c>
      <c r="AC1415">
        <f t="shared" si="497"/>
        <v>5.8191826898964231E-2</v>
      </c>
      <c r="AD1415">
        <f t="shared" si="498"/>
        <v>4.0265996316700041E-3</v>
      </c>
      <c r="AE1415">
        <f t="shared" si="499"/>
        <v>1.8625273212453469E-2</v>
      </c>
      <c r="AG1415">
        <f t="shared" si="500"/>
        <v>0.99332981720855074</v>
      </c>
      <c r="AH1415">
        <f t="shared" si="501"/>
        <v>0.35739699720588547</v>
      </c>
      <c r="AI1415">
        <f t="shared" si="502"/>
        <v>0.4609914050705376</v>
      </c>
      <c r="AK1415" s="26">
        <f t="shared" si="503"/>
        <v>-0.10270678061508992</v>
      </c>
      <c r="AL1415" s="26">
        <f t="shared" si="504"/>
        <v>3.5054108358855252E-2</v>
      </c>
      <c r="AM1415" s="26">
        <f t="shared" si="505"/>
        <v>7.4670618322194182E-2</v>
      </c>
      <c r="AN1415" s="26">
        <f t="shared" si="506"/>
        <v>-0.65952380952380452</v>
      </c>
      <c r="AO1415" s="26">
        <f t="shared" si="507"/>
        <v>1.2682142857143077</v>
      </c>
      <c r="AP1415" s="26">
        <f t="shared" si="508"/>
        <v>-1.725028269419866</v>
      </c>
      <c r="AS1415" s="2">
        <v>44065</v>
      </c>
      <c r="AT1415">
        <v>16.7</v>
      </c>
      <c r="AU1415">
        <v>3.6</v>
      </c>
      <c r="AV1415">
        <v>82.2</v>
      </c>
      <c r="AW1415">
        <v>5.5</v>
      </c>
      <c r="AX1415">
        <v>126.17</v>
      </c>
      <c r="AY1415">
        <v>0.4</v>
      </c>
      <c r="AZ1415">
        <v>2.8</v>
      </c>
      <c r="BA1415">
        <v>142.33879999999999</v>
      </c>
      <c r="BB1415">
        <v>40.991500000000002</v>
      </c>
      <c r="BC1415">
        <v>72.257900000000006</v>
      </c>
      <c r="BD1415">
        <v>4.5008999999999997</v>
      </c>
      <c r="BE1415">
        <v>20.556000000000001</v>
      </c>
      <c r="BH1415">
        <v>90.47</v>
      </c>
    </row>
    <row r="1416" spans="1:60" x14ac:dyDescent="0.25">
      <c r="A1416" s="2">
        <v>44085</v>
      </c>
      <c r="B1416">
        <v>18.600000000000001</v>
      </c>
      <c r="C1416">
        <v>17.2</v>
      </c>
      <c r="D1416">
        <v>43</v>
      </c>
      <c r="E1416">
        <v>1.2</v>
      </c>
      <c r="F1416">
        <v>190.24</v>
      </c>
      <c r="G1416">
        <v>0.5</v>
      </c>
      <c r="H1416">
        <v>3.5</v>
      </c>
      <c r="I1416">
        <v>299.58659999999998</v>
      </c>
      <c r="J1416">
        <v>194.03200000000001</v>
      </c>
      <c r="K1416">
        <v>136.54519999999999</v>
      </c>
      <c r="L1416">
        <v>4.1868999999999996</v>
      </c>
      <c r="M1416">
        <v>22.978200000000001</v>
      </c>
      <c r="N1416">
        <v>6.2979000000000003</v>
      </c>
      <c r="O1416">
        <v>-4.8563000000000001</v>
      </c>
      <c r="P1416">
        <v>92.78</v>
      </c>
      <c r="S1416">
        <f t="shared" si="487"/>
        <v>931.5689000000001</v>
      </c>
      <c r="T1416">
        <f t="shared" si="488"/>
        <v>1.7436848842676027E-2</v>
      </c>
      <c r="U1416">
        <f t="shared" si="489"/>
        <v>1.6124397854517615E-2</v>
      </c>
      <c r="V1416">
        <f t="shared" si="490"/>
        <v>4.0310994636294041E-2</v>
      </c>
      <c r="W1416">
        <f t="shared" si="491"/>
        <v>1.1249579898500663E-3</v>
      </c>
      <c r="X1416">
        <f t="shared" si="492"/>
        <v>0.17834333999089719</v>
      </c>
      <c r="Y1416">
        <f t="shared" si="493"/>
        <v>4.6873249577086097E-4</v>
      </c>
      <c r="Z1416">
        <f t="shared" si="494"/>
        <v>3.2811274703960268E-3</v>
      </c>
      <c r="AA1416">
        <f t="shared" si="495"/>
        <v>0.28085194943501318</v>
      </c>
      <c r="AB1416">
        <f t="shared" si="496"/>
        <v>0.18189820723882338</v>
      </c>
      <c r="AC1416">
        <f t="shared" si="497"/>
        <v>0.12800634476306272</v>
      </c>
      <c r="AD1416">
        <f t="shared" si="498"/>
        <v>3.925072173086035E-3</v>
      </c>
      <c r="AE1416">
        <f t="shared" si="499"/>
        <v>2.1541258068643994E-2</v>
      </c>
      <c r="AG1416">
        <f t="shared" si="500"/>
        <v>0.97345410333891824</v>
      </c>
      <c r="AH1416">
        <f t="shared" si="501"/>
        <v>0.27863165734904582</v>
      </c>
      <c r="AI1416">
        <f t="shared" si="502"/>
        <v>-1.4114454945961695E-2</v>
      </c>
      <c r="AK1416" s="26">
        <f t="shared" si="503"/>
        <v>-0.1147332198956052</v>
      </c>
      <c r="AL1416" s="26">
        <f t="shared" si="504"/>
        <v>3.5970561054717798E-2</v>
      </c>
      <c r="AM1416" s="26">
        <f t="shared" si="505"/>
        <v>7.4796207210774013E-2</v>
      </c>
      <c r="AN1416" s="26">
        <f t="shared" si="506"/>
        <v>-0.59142857142855121</v>
      </c>
      <c r="AO1416" s="26">
        <f t="shared" si="507"/>
        <v>1.3798214285714749</v>
      </c>
      <c r="AP1416" s="26">
        <f t="shared" si="508"/>
        <v>-1.7975034276455091</v>
      </c>
      <c r="AS1416" s="2">
        <v>44064</v>
      </c>
      <c r="AT1416">
        <v>17.3</v>
      </c>
      <c r="AU1416">
        <v>14.7</v>
      </c>
      <c r="AV1416">
        <v>60.6</v>
      </c>
      <c r="AW1416">
        <v>4.8</v>
      </c>
      <c r="AX1416">
        <v>194.69</v>
      </c>
      <c r="AY1416">
        <v>0.4</v>
      </c>
      <c r="AZ1416">
        <v>3.1</v>
      </c>
      <c r="BA1416">
        <v>228.71610000000001</v>
      </c>
      <c r="BB1416">
        <v>36.282800000000002</v>
      </c>
      <c r="BC1416">
        <v>109.7577</v>
      </c>
      <c r="BD1416">
        <v>4.4696999999999996</v>
      </c>
      <c r="BE1416">
        <v>23.5107</v>
      </c>
      <c r="BH1416">
        <v>90.17</v>
      </c>
    </row>
    <row r="1417" spans="1:60" x14ac:dyDescent="0.25">
      <c r="A1417" s="2">
        <v>44084</v>
      </c>
      <c r="B1417">
        <v>18.399999999999999</v>
      </c>
      <c r="C1417">
        <v>372.4</v>
      </c>
      <c r="D1417">
        <v>33.1</v>
      </c>
      <c r="E1417">
        <v>2</v>
      </c>
      <c r="F1417">
        <v>167.62</v>
      </c>
      <c r="G1417">
        <v>0.5</v>
      </c>
      <c r="H1417">
        <v>3.5</v>
      </c>
      <c r="I1417">
        <v>288.98059999999998</v>
      </c>
      <c r="J1417">
        <v>187.81469999999999</v>
      </c>
      <c r="K1417">
        <v>133.82769999999999</v>
      </c>
      <c r="L1417">
        <v>4.2717000000000001</v>
      </c>
      <c r="M1417">
        <v>30.468699999999998</v>
      </c>
      <c r="N1417">
        <v>6.38</v>
      </c>
      <c r="O1417">
        <v>-4.7027000000000001</v>
      </c>
      <c r="P1417">
        <v>92.64</v>
      </c>
      <c r="S1417">
        <f t="shared" si="487"/>
        <v>1242.8833999999999</v>
      </c>
      <c r="T1417">
        <f t="shared" si="488"/>
        <v>1.7249355844367681E-2</v>
      </c>
      <c r="U1417">
        <f t="shared" si="489"/>
        <v>0.34911196285013724</v>
      </c>
      <c r="V1417">
        <f t="shared" si="490"/>
        <v>3.1030091220030996E-2</v>
      </c>
      <c r="W1417">
        <f t="shared" si="491"/>
        <v>1.8749299830834439E-3</v>
      </c>
      <c r="X1417">
        <f t="shared" si="492"/>
        <v>0.15713788188222344</v>
      </c>
      <c r="Y1417">
        <f t="shared" si="493"/>
        <v>4.6873249577086097E-4</v>
      </c>
      <c r="Z1417">
        <f t="shared" si="494"/>
        <v>3.2811274703960268E-3</v>
      </c>
      <c r="AA1417">
        <f t="shared" si="495"/>
        <v>0.27090919573472172</v>
      </c>
      <c r="AB1417">
        <f t="shared" si="496"/>
        <v>0.17606970614691103</v>
      </c>
      <c r="AC1417">
        <f t="shared" si="497"/>
        <v>0.12545878364854809</v>
      </c>
      <c r="AD1417">
        <f t="shared" si="498"/>
        <v>4.0045692043687731E-3</v>
      </c>
      <c r="AE1417">
        <f t="shared" si="499"/>
        <v>2.856333958778726E-2</v>
      </c>
      <c r="AG1417">
        <f t="shared" si="500"/>
        <v>0.96250896140094544</v>
      </c>
      <c r="AH1417">
        <f t="shared" si="501"/>
        <v>0.5887174213337969</v>
      </c>
      <c r="AI1417">
        <f t="shared" si="502"/>
        <v>1.8551927255834457</v>
      </c>
      <c r="AK1417" s="26">
        <f t="shared" si="503"/>
        <v>-0.13298155629143577</v>
      </c>
      <c r="AL1417" s="26">
        <f t="shared" si="504"/>
        <v>3.5339243995897884E-2</v>
      </c>
      <c r="AM1417" s="26">
        <f t="shared" si="505"/>
        <v>7.3345492283620362E-2</v>
      </c>
      <c r="AN1417" s="26">
        <f t="shared" si="506"/>
        <v>-0.51809523809522773</v>
      </c>
      <c r="AO1417" s="26">
        <f t="shared" si="507"/>
        <v>1.4953571428571735</v>
      </c>
      <c r="AP1417" s="26">
        <f t="shared" si="508"/>
        <v>-1.8704538558786368</v>
      </c>
      <c r="AS1417" s="2">
        <v>44063</v>
      </c>
      <c r="AT1417">
        <v>18</v>
      </c>
      <c r="AU1417">
        <v>41</v>
      </c>
      <c r="AV1417">
        <v>35.200000000000003</v>
      </c>
      <c r="AW1417">
        <v>2</v>
      </c>
      <c r="AX1417">
        <v>198.68</v>
      </c>
      <c r="AY1417">
        <v>0.5</v>
      </c>
      <c r="AZ1417">
        <v>3.1</v>
      </c>
      <c r="BA1417">
        <v>284.08109999999999</v>
      </c>
      <c r="BB1417">
        <v>65.135900000000007</v>
      </c>
      <c r="BC1417">
        <v>145.14420000000001</v>
      </c>
      <c r="BD1417">
        <v>4.6426999999999996</v>
      </c>
      <c r="BE1417">
        <v>34.335099999999997</v>
      </c>
      <c r="BH1417">
        <v>89.93</v>
      </c>
    </row>
    <row r="1418" spans="1:60" x14ac:dyDescent="0.25">
      <c r="A1418" s="2">
        <v>44083</v>
      </c>
      <c r="B1418">
        <v>19.5</v>
      </c>
      <c r="C1418">
        <v>57.8</v>
      </c>
      <c r="D1418">
        <v>80.599999999999994</v>
      </c>
      <c r="E1418">
        <v>4.5</v>
      </c>
      <c r="F1418">
        <v>179.04</v>
      </c>
      <c r="G1418">
        <v>0.5</v>
      </c>
      <c r="H1418">
        <v>3.2</v>
      </c>
      <c r="I1418">
        <v>282.2636</v>
      </c>
      <c r="J1418">
        <v>104.49769999999999</v>
      </c>
      <c r="K1418">
        <v>116.24079999999999</v>
      </c>
      <c r="L1418">
        <v>4.3426</v>
      </c>
      <c r="M1418">
        <v>25.819900000000001</v>
      </c>
      <c r="N1418">
        <v>6.2632000000000003</v>
      </c>
      <c r="O1418">
        <v>-3.6282000000000001</v>
      </c>
      <c r="P1418">
        <v>92.54</v>
      </c>
      <c r="S1418">
        <f t="shared" si="487"/>
        <v>878.30459999999982</v>
      </c>
      <c r="T1418">
        <f t="shared" si="488"/>
        <v>1.8280567335063579E-2</v>
      </c>
      <c r="U1418">
        <f t="shared" si="489"/>
        <v>5.4185476511111524E-2</v>
      </c>
      <c r="V1418">
        <f t="shared" si="490"/>
        <v>7.5559678318262782E-2</v>
      </c>
      <c r="W1418">
        <f t="shared" si="491"/>
        <v>4.2185924619377486E-3</v>
      </c>
      <c r="X1418">
        <f t="shared" si="492"/>
        <v>0.16784373208562989</v>
      </c>
      <c r="Y1418">
        <f t="shared" si="493"/>
        <v>4.6873249577086097E-4</v>
      </c>
      <c r="Z1418">
        <f t="shared" si="494"/>
        <v>2.9998879729335104E-3</v>
      </c>
      <c r="AA1418">
        <f t="shared" si="495"/>
        <v>0.26461224338653599</v>
      </c>
      <c r="AB1418">
        <f t="shared" si="496"/>
        <v>9.7962935446629387E-2</v>
      </c>
      <c r="AC1418">
        <f t="shared" si="497"/>
        <v>0.10897168058880298</v>
      </c>
      <c r="AD1418">
        <f t="shared" si="498"/>
        <v>4.0710354722690812E-3</v>
      </c>
      <c r="AE1418">
        <f t="shared" si="499"/>
        <v>2.4205252335108104E-2</v>
      </c>
      <c r="AG1418">
        <f t="shared" si="500"/>
        <v>0.95455163432301093</v>
      </c>
      <c r="AH1418">
        <f t="shared" si="501"/>
        <v>0.34776191951581797</v>
      </c>
      <c r="AI1418">
        <f t="shared" si="502"/>
        <v>0.40765106148762159</v>
      </c>
      <c r="AK1418" s="26">
        <f t="shared" si="503"/>
        <v>-0.14602377013911955</v>
      </c>
      <c r="AL1418" s="26">
        <f t="shared" si="504"/>
        <v>2.7802880262976004E-2</v>
      </c>
      <c r="AM1418" s="26">
        <f t="shared" si="505"/>
        <v>7.0715835042094721E-2</v>
      </c>
      <c r="AN1418" s="26">
        <f t="shared" si="506"/>
        <v>-0.44428571428569796</v>
      </c>
      <c r="AO1418" s="26">
        <f t="shared" si="507"/>
        <v>1.6135714285714471</v>
      </c>
      <c r="AP1418" s="26">
        <f t="shared" si="508"/>
        <v>-1.9433076824419828</v>
      </c>
      <c r="AS1418" s="2">
        <v>44062</v>
      </c>
      <c r="AT1418">
        <v>18.899999999999999</v>
      </c>
      <c r="AU1418">
        <v>19.600000000000001</v>
      </c>
      <c r="AV1418">
        <v>8.8000000000000007</v>
      </c>
      <c r="AW1418">
        <v>0.4</v>
      </c>
      <c r="AX1418">
        <v>217.63</v>
      </c>
      <c r="AY1418">
        <v>0.5</v>
      </c>
      <c r="AZ1418">
        <v>2.7</v>
      </c>
      <c r="BA1418">
        <v>307.75490000000002</v>
      </c>
      <c r="BB1418">
        <v>85.292299999999997</v>
      </c>
      <c r="BC1418">
        <v>148.0138</v>
      </c>
      <c r="BD1418">
        <v>4.2666000000000004</v>
      </c>
      <c r="BE1418">
        <v>26.511099999999999</v>
      </c>
      <c r="BH1418">
        <v>89.75</v>
      </c>
    </row>
    <row r="1419" spans="1:60" x14ac:dyDescent="0.25">
      <c r="A1419" s="2">
        <v>44082</v>
      </c>
      <c r="B1419">
        <v>20.100000000000001</v>
      </c>
      <c r="C1419">
        <v>40.700000000000003</v>
      </c>
      <c r="D1419">
        <v>54.4</v>
      </c>
      <c r="E1419">
        <v>5.8</v>
      </c>
      <c r="F1419">
        <v>180.41</v>
      </c>
      <c r="G1419">
        <v>0.4</v>
      </c>
      <c r="H1419">
        <v>3.2</v>
      </c>
      <c r="I1419">
        <v>249.04310000000001</v>
      </c>
      <c r="J1419">
        <v>104.374</v>
      </c>
      <c r="K1419">
        <v>96.088499999999996</v>
      </c>
      <c r="L1419">
        <v>4.4095000000000004</v>
      </c>
      <c r="M1419">
        <v>27.529800000000002</v>
      </c>
      <c r="N1419">
        <v>6.6174999999999997</v>
      </c>
      <c r="O1419">
        <v>-2.9638</v>
      </c>
      <c r="P1419">
        <v>92.41</v>
      </c>
      <c r="S1419">
        <f t="shared" si="487"/>
        <v>786.45489999999995</v>
      </c>
      <c r="T1419">
        <f t="shared" si="488"/>
        <v>1.8843046329988612E-2</v>
      </c>
      <c r="U1419">
        <f t="shared" si="489"/>
        <v>3.8154825155748084E-2</v>
      </c>
      <c r="V1419">
        <f t="shared" si="490"/>
        <v>5.099809553986967E-2</v>
      </c>
      <c r="W1419">
        <f t="shared" si="491"/>
        <v>5.4372969509419869E-3</v>
      </c>
      <c r="X1419">
        <f t="shared" si="492"/>
        <v>0.16912805912404205</v>
      </c>
      <c r="Y1419">
        <f t="shared" si="493"/>
        <v>3.7498599661668879E-4</v>
      </c>
      <c r="Z1419">
        <f t="shared" si="494"/>
        <v>2.9998879729335104E-3</v>
      </c>
      <c r="AA1419">
        <f t="shared" si="495"/>
        <v>0.23346918763502422</v>
      </c>
      <c r="AB1419">
        <f t="shared" si="496"/>
        <v>9.7846971027175683E-2</v>
      </c>
      <c r="AC1419">
        <f t="shared" si="497"/>
        <v>9.0079604839756744E-2</v>
      </c>
      <c r="AD1419">
        <f t="shared" si="498"/>
        <v>4.1337518802032234E-3</v>
      </c>
      <c r="AE1419">
        <f t="shared" si="499"/>
        <v>2.5808223724145297E-2</v>
      </c>
      <c r="AG1419">
        <f t="shared" si="500"/>
        <v>0.94435233305523958</v>
      </c>
      <c r="AH1419">
        <f t="shared" si="501"/>
        <v>0.31174442079428588</v>
      </c>
      <c r="AI1419">
        <f t="shared" si="502"/>
        <v>0.18936613788671347</v>
      </c>
      <c r="AK1419" s="26">
        <f t="shared" si="503"/>
        <v>-0.15147032120876375</v>
      </c>
      <c r="AL1419" s="26">
        <f t="shared" si="504"/>
        <v>2.9879823919341519E-2</v>
      </c>
      <c r="AM1419" s="26">
        <f t="shared" si="505"/>
        <v>7.0871969107580923E-2</v>
      </c>
      <c r="AN1419" s="26">
        <f t="shared" si="506"/>
        <v>-0.36666666666664582</v>
      </c>
      <c r="AO1419" s="26">
        <f t="shared" si="507"/>
        <v>1.7342857142857468</v>
      </c>
      <c r="AP1419" s="26">
        <f t="shared" si="508"/>
        <v>-2.0156116605934358</v>
      </c>
      <c r="AS1419" s="2">
        <v>44061</v>
      </c>
      <c r="AT1419">
        <v>19.5</v>
      </c>
      <c r="AU1419">
        <v>229.1</v>
      </c>
      <c r="AV1419">
        <v>5.8</v>
      </c>
      <c r="AW1419">
        <v>0.8</v>
      </c>
      <c r="AX1419">
        <v>170.23</v>
      </c>
      <c r="AY1419">
        <v>0.4</v>
      </c>
      <c r="AZ1419">
        <v>2.9</v>
      </c>
      <c r="BA1419">
        <v>308.81810000000002</v>
      </c>
      <c r="BB1419">
        <v>99.925799999999995</v>
      </c>
      <c r="BC1419">
        <v>145.7774</v>
      </c>
      <c r="BD1419">
        <v>4.1525999999999996</v>
      </c>
      <c r="BE1419">
        <v>31.326899999999998</v>
      </c>
      <c r="BH1419">
        <v>89.57</v>
      </c>
    </row>
    <row r="1420" spans="1:60" x14ac:dyDescent="0.25">
      <c r="A1420" s="2">
        <v>44081</v>
      </c>
      <c r="B1420">
        <v>19.899999999999999</v>
      </c>
      <c r="C1420">
        <v>43.7</v>
      </c>
      <c r="D1420">
        <v>33.1</v>
      </c>
      <c r="E1420">
        <v>1.3</v>
      </c>
      <c r="F1420">
        <v>185.11</v>
      </c>
      <c r="G1420">
        <v>0.5</v>
      </c>
      <c r="H1420">
        <v>3.3</v>
      </c>
      <c r="I1420">
        <v>276.07830000000001</v>
      </c>
      <c r="J1420">
        <v>124.6232</v>
      </c>
      <c r="K1420">
        <v>114.2325</v>
      </c>
      <c r="L1420">
        <v>4.3680000000000003</v>
      </c>
      <c r="M1420">
        <v>25.4023</v>
      </c>
      <c r="N1420">
        <v>6.4317000000000002</v>
      </c>
      <c r="O1420">
        <v>-1.9419</v>
      </c>
      <c r="P1420">
        <v>92.3</v>
      </c>
      <c r="S1420">
        <f t="shared" si="487"/>
        <v>831.61429999999996</v>
      </c>
      <c r="T1420">
        <f t="shared" si="488"/>
        <v>1.8655553331680265E-2</v>
      </c>
      <c r="U1420">
        <f t="shared" si="489"/>
        <v>4.0967220130373252E-2</v>
      </c>
      <c r="V1420">
        <f t="shared" si="490"/>
        <v>3.1030091220030996E-2</v>
      </c>
      <c r="W1420">
        <f t="shared" si="491"/>
        <v>1.2187044890042385E-3</v>
      </c>
      <c r="X1420">
        <f t="shared" si="492"/>
        <v>0.17353414458428815</v>
      </c>
      <c r="Y1420">
        <f t="shared" si="493"/>
        <v>4.6873249577086097E-4</v>
      </c>
      <c r="Z1420">
        <f t="shared" si="494"/>
        <v>3.0936344720876819E-3</v>
      </c>
      <c r="AA1420">
        <f t="shared" si="495"/>
        <v>0.25881374117435296</v>
      </c>
      <c r="AB1420">
        <f t="shared" si="496"/>
        <v>0.11682988713390231</v>
      </c>
      <c r="AC1420">
        <f t="shared" si="497"/>
        <v>0.10708896964628975</v>
      </c>
      <c r="AD1420">
        <f t="shared" si="498"/>
        <v>4.0948470830542419E-3</v>
      </c>
      <c r="AE1420">
        <f t="shared" si="499"/>
        <v>2.3813766954640284E-2</v>
      </c>
      <c r="AG1420">
        <f t="shared" si="500"/>
        <v>0.93563764348545519</v>
      </c>
      <c r="AH1420">
        <f t="shared" si="501"/>
        <v>0.29278184767787568</v>
      </c>
      <c r="AI1420">
        <f t="shared" si="502"/>
        <v>7.3706983832888803E-2</v>
      </c>
      <c r="AK1420" s="26">
        <f t="shared" si="503"/>
        <v>-0.14459378336161688</v>
      </c>
      <c r="AL1420" s="26">
        <f t="shared" si="504"/>
        <v>3.4670531043901442E-2</v>
      </c>
      <c r="AM1420" s="26">
        <f t="shared" si="505"/>
        <v>6.8261465529999898E-2</v>
      </c>
      <c r="AN1420" s="26">
        <f t="shared" si="506"/>
        <v>-0.27476190476191675</v>
      </c>
      <c r="AO1420" s="26">
        <f t="shared" si="507"/>
        <v>1.8614285714285899</v>
      </c>
      <c r="AP1420" s="26">
        <f t="shared" si="508"/>
        <v>-2.0872170122837161</v>
      </c>
      <c r="AS1420" s="2">
        <v>44060</v>
      </c>
      <c r="AT1420">
        <v>18.100000000000001</v>
      </c>
      <c r="AU1420">
        <v>280.39999999999998</v>
      </c>
      <c r="AV1420">
        <v>10.6</v>
      </c>
      <c r="AW1420">
        <v>1.4</v>
      </c>
      <c r="AX1420">
        <v>151.74</v>
      </c>
      <c r="AY1420">
        <v>0.5</v>
      </c>
      <c r="AZ1420">
        <v>3.6</v>
      </c>
      <c r="BA1420">
        <v>288.82850000000002</v>
      </c>
      <c r="BB1420">
        <v>83.581699999999998</v>
      </c>
      <c r="BC1420">
        <v>142.43459999999999</v>
      </c>
      <c r="BD1420">
        <v>4.1582999999999997</v>
      </c>
      <c r="BE1420">
        <v>40.261200000000002</v>
      </c>
      <c r="BH1420">
        <v>89.39</v>
      </c>
    </row>
    <row r="1421" spans="1:60" x14ac:dyDescent="0.25">
      <c r="A1421" s="2">
        <v>44080</v>
      </c>
      <c r="B1421">
        <v>18.2</v>
      </c>
      <c r="C1421">
        <v>3.2</v>
      </c>
      <c r="D1421">
        <v>32.299999999999997</v>
      </c>
      <c r="E1421">
        <v>2.2999999999999998</v>
      </c>
      <c r="F1421">
        <v>151.32</v>
      </c>
      <c r="G1421">
        <v>0.5</v>
      </c>
      <c r="H1421">
        <v>3.2</v>
      </c>
      <c r="I1421">
        <v>215.3826</v>
      </c>
      <c r="J1421">
        <v>67.204999999999998</v>
      </c>
      <c r="K1421">
        <v>52.655799999999999</v>
      </c>
      <c r="L1421">
        <v>4.3680000000000003</v>
      </c>
      <c r="M1421">
        <v>15.0883</v>
      </c>
      <c r="P1421">
        <v>92.18</v>
      </c>
      <c r="S1421">
        <f t="shared" si="487"/>
        <v>565.7197000000001</v>
      </c>
      <c r="T1421">
        <f t="shared" si="488"/>
        <v>1.7061862846059338E-2</v>
      </c>
      <c r="U1421">
        <f t="shared" si="489"/>
        <v>2.9998879729335104E-3</v>
      </c>
      <c r="V1421">
        <f t="shared" si="490"/>
        <v>3.0280119226797617E-2</v>
      </c>
      <c r="W1421">
        <f t="shared" si="491"/>
        <v>2.1561694805459601E-3</v>
      </c>
      <c r="X1421">
        <f t="shared" si="492"/>
        <v>0.14185720252009335</v>
      </c>
      <c r="Y1421">
        <f t="shared" si="493"/>
        <v>4.6873249577086097E-4</v>
      </c>
      <c r="Z1421">
        <f t="shared" si="494"/>
        <v>2.9998879729335104E-3</v>
      </c>
      <c r="AA1421">
        <f t="shared" si="495"/>
        <v>0.20191364728723407</v>
      </c>
      <c r="AB1421">
        <f t="shared" si="496"/>
        <v>6.3002334756561418E-2</v>
      </c>
      <c r="AC1421">
        <f t="shared" si="497"/>
        <v>4.9362969101622599E-2</v>
      </c>
      <c r="AD1421">
        <f t="shared" si="498"/>
        <v>4.0948470830542419E-3</v>
      </c>
      <c r="AE1421">
        <f t="shared" si="499"/>
        <v>1.4144753031878963E-2</v>
      </c>
      <c r="AG1421">
        <f t="shared" si="500"/>
        <v>0.92616883338969724</v>
      </c>
      <c r="AH1421">
        <f t="shared" si="501"/>
        <v>0.21196861554701313</v>
      </c>
      <c r="AI1421">
        <f t="shared" si="502"/>
        <v>-0.41558704465605378</v>
      </c>
      <c r="AK1421" s="26">
        <f t="shared" si="503"/>
        <v>-0.14107857534695195</v>
      </c>
      <c r="AL1421" s="26">
        <f t="shared" si="504"/>
        <v>4.1236870402882819E-2</v>
      </c>
      <c r="AM1421" s="26">
        <f t="shared" si="505"/>
        <v>6.5518253339599819E-2</v>
      </c>
      <c r="AN1421" s="26">
        <f t="shared" si="506"/>
        <v>-0.17428571428570194</v>
      </c>
      <c r="AO1421" s="26">
        <f t="shared" si="507"/>
        <v>1.9942857142857093</v>
      </c>
      <c r="AP1421" s="26">
        <f t="shared" si="508"/>
        <v>-2.1590091177259296</v>
      </c>
      <c r="AS1421" s="2">
        <v>44059</v>
      </c>
      <c r="AT1421">
        <v>17.100000000000001</v>
      </c>
      <c r="AU1421">
        <v>2.1</v>
      </c>
      <c r="AV1421">
        <v>12.2</v>
      </c>
      <c r="AW1421">
        <v>1.3</v>
      </c>
      <c r="AX1421">
        <v>223.83</v>
      </c>
      <c r="AY1421">
        <v>0.4</v>
      </c>
      <c r="AZ1421">
        <v>4.0999999999999996</v>
      </c>
      <c r="BA1421">
        <v>193.6163</v>
      </c>
      <c r="BB1421">
        <v>48.3386</v>
      </c>
      <c r="BC1421">
        <v>98.307699999999997</v>
      </c>
      <c r="BD1421">
        <v>4.1760000000000002</v>
      </c>
      <c r="BE1421">
        <v>10.982699999999999</v>
      </c>
      <c r="BH1421">
        <v>89.17</v>
      </c>
    </row>
    <row r="1422" spans="1:60" x14ac:dyDescent="0.25">
      <c r="A1422" s="2">
        <v>44079</v>
      </c>
      <c r="B1422">
        <v>19.3</v>
      </c>
      <c r="C1422">
        <v>3.5</v>
      </c>
      <c r="D1422">
        <v>69.900000000000006</v>
      </c>
      <c r="E1422">
        <v>3.3</v>
      </c>
      <c r="F1422">
        <v>128.44</v>
      </c>
      <c r="G1422">
        <v>0.5</v>
      </c>
      <c r="H1422">
        <v>2.9</v>
      </c>
      <c r="I1422">
        <v>247.0872</v>
      </c>
      <c r="J1422">
        <v>69.000100000000003</v>
      </c>
      <c r="K1422">
        <v>51.121400000000001</v>
      </c>
      <c r="L1422">
        <v>4.3777999999999997</v>
      </c>
      <c r="M1422">
        <v>15</v>
      </c>
      <c r="P1422">
        <v>91.95</v>
      </c>
      <c r="S1422">
        <f t="shared" si="487"/>
        <v>614.42649999999992</v>
      </c>
      <c r="T1422">
        <f t="shared" si="488"/>
        <v>1.8093074336755232E-2</v>
      </c>
      <c r="U1422">
        <f t="shared" si="489"/>
        <v>3.2811274703960268E-3</v>
      </c>
      <c r="V1422">
        <f t="shared" si="490"/>
        <v>6.5528802908766365E-2</v>
      </c>
      <c r="W1422">
        <f t="shared" si="491"/>
        <v>3.0936344720876819E-3</v>
      </c>
      <c r="X1422">
        <f t="shared" si="492"/>
        <v>0.12040800351361876</v>
      </c>
      <c r="Y1422">
        <f t="shared" si="493"/>
        <v>4.6873249577086097E-4</v>
      </c>
      <c r="Z1422">
        <f t="shared" si="494"/>
        <v>2.7186484754709935E-3</v>
      </c>
      <c r="AA1422">
        <f t="shared" si="495"/>
        <v>0.23163559985806775</v>
      </c>
      <c r="AB1422">
        <f t="shared" si="496"/>
        <v>6.4685178162877971E-2</v>
      </c>
      <c r="AC1422">
        <f t="shared" si="497"/>
        <v>4.7924522818600983E-2</v>
      </c>
      <c r="AD1422">
        <f t="shared" si="498"/>
        <v>4.1040342399713495E-3</v>
      </c>
      <c r="AE1422">
        <f t="shared" si="499"/>
        <v>1.4061974873125828E-2</v>
      </c>
      <c r="AG1422">
        <f t="shared" si="500"/>
        <v>0.90847499663157361</v>
      </c>
      <c r="AH1422">
        <f t="shared" si="501"/>
        <v>0.22765399854599175</v>
      </c>
      <c r="AI1422">
        <f t="shared" si="502"/>
        <v>-0.32096892728078841</v>
      </c>
      <c r="AK1422" s="26">
        <f t="shared" si="503"/>
        <v>-0.14396467739050728</v>
      </c>
      <c r="AL1422" s="26">
        <f t="shared" si="504"/>
        <v>4.9682213216782012E-2</v>
      </c>
      <c r="AM1422" s="26">
        <f t="shared" si="505"/>
        <v>6.9197428893731761E-2</v>
      </c>
      <c r="AN1422" s="26">
        <f t="shared" si="506"/>
        <v>-6.7619047619047024E-2</v>
      </c>
      <c r="AO1422" s="26">
        <f t="shared" si="507"/>
        <v>2.1296428571428407</v>
      </c>
      <c r="AP1422" s="26">
        <f t="shared" si="508"/>
        <v>-2.2310374404356708</v>
      </c>
      <c r="AS1422" s="2">
        <v>44058</v>
      </c>
      <c r="AT1422">
        <v>18.8</v>
      </c>
      <c r="AU1422">
        <v>275.60000000000002</v>
      </c>
      <c r="AV1422">
        <v>16.5</v>
      </c>
      <c r="AW1422">
        <v>0.3</v>
      </c>
      <c r="AX1422">
        <v>166</v>
      </c>
      <c r="AY1422">
        <v>0.5</v>
      </c>
      <c r="AZ1422">
        <v>4.0999999999999996</v>
      </c>
      <c r="BA1422">
        <v>236.8192</v>
      </c>
      <c r="BB1422">
        <v>44.593000000000004</v>
      </c>
      <c r="BC1422">
        <v>127.50490000000001</v>
      </c>
      <c r="BD1422">
        <v>4.1820000000000004</v>
      </c>
      <c r="BE1422">
        <v>17.189599999999999</v>
      </c>
      <c r="BH1422">
        <v>88.88</v>
      </c>
    </row>
    <row r="1423" spans="1:60" x14ac:dyDescent="0.25">
      <c r="A1423" s="2">
        <v>44078</v>
      </c>
      <c r="B1423">
        <v>20.399999999999999</v>
      </c>
      <c r="C1423">
        <v>57.5</v>
      </c>
      <c r="D1423">
        <v>48.7</v>
      </c>
      <c r="E1423">
        <v>3.4</v>
      </c>
      <c r="F1423">
        <v>160.72999999999999</v>
      </c>
      <c r="G1423">
        <v>0.5</v>
      </c>
      <c r="H1423">
        <v>2.8</v>
      </c>
      <c r="I1423">
        <v>263.54230000000001</v>
      </c>
      <c r="J1423">
        <v>87.366500000000002</v>
      </c>
      <c r="K1423">
        <v>128.1926</v>
      </c>
      <c r="L1423">
        <v>4.4466999999999999</v>
      </c>
      <c r="M1423">
        <v>34.533900000000003</v>
      </c>
      <c r="N1423">
        <v>5.8951000000000002</v>
      </c>
      <c r="O1423">
        <v>-1.9888999999999999</v>
      </c>
      <c r="P1423">
        <v>91.71</v>
      </c>
      <c r="S1423">
        <f t="shared" si="487"/>
        <v>812.11199999999997</v>
      </c>
      <c r="T1423">
        <f t="shared" si="488"/>
        <v>1.9124285827451126E-2</v>
      </c>
      <c r="U1423">
        <f t="shared" si="489"/>
        <v>5.3904237013649013E-2</v>
      </c>
      <c r="V1423">
        <f t="shared" si="490"/>
        <v>4.5654545088081859E-2</v>
      </c>
      <c r="W1423">
        <f t="shared" si="491"/>
        <v>3.1873809712418544E-3</v>
      </c>
      <c r="X1423">
        <f t="shared" si="492"/>
        <v>0.15067874809050094</v>
      </c>
      <c r="Y1423">
        <f t="shared" si="493"/>
        <v>4.6873249577086097E-4</v>
      </c>
      <c r="Z1423">
        <f t="shared" si="494"/>
        <v>2.624901976316821E-3</v>
      </c>
      <c r="AA1423">
        <f t="shared" si="495"/>
        <v>0.24706168004038595</v>
      </c>
      <c r="AB1423">
        <f t="shared" si="496"/>
        <v>8.1903035183529843E-2</v>
      </c>
      <c r="AC1423">
        <f t="shared" si="497"/>
        <v>0.12017607467471134</v>
      </c>
      <c r="AD1423">
        <f t="shared" si="498"/>
        <v>4.1686255778885751E-3</v>
      </c>
      <c r="AE1423">
        <f t="shared" si="499"/>
        <v>3.2374322271402675E-2</v>
      </c>
      <c r="AG1423">
        <f t="shared" si="500"/>
        <v>0.88999472530903967</v>
      </c>
      <c r="AH1423">
        <f t="shared" si="501"/>
        <v>0.30801715373441518</v>
      </c>
      <c r="AI1423">
        <f t="shared" si="502"/>
        <v>0.16152713632157803</v>
      </c>
      <c r="AK1423" s="26">
        <f t="shared" si="503"/>
        <v>-0.13589361718701887</v>
      </c>
      <c r="AL1423" s="26">
        <f t="shared" si="504"/>
        <v>5.4542778562112315E-2</v>
      </c>
      <c r="AM1423" s="26">
        <f t="shared" si="505"/>
        <v>6.6042571674195694E-2</v>
      </c>
      <c r="AN1423" s="26">
        <f t="shared" si="506"/>
        <v>4.4761904761912774E-2</v>
      </c>
      <c r="AO1423" s="26">
        <f t="shared" si="507"/>
        <v>2.2662499999999852</v>
      </c>
      <c r="AP1423" s="26">
        <f t="shared" si="508"/>
        <v>-2.3019579646017689</v>
      </c>
      <c r="AS1423" s="2">
        <v>44057</v>
      </c>
      <c r="AT1423">
        <v>18.600000000000001</v>
      </c>
      <c r="AU1423">
        <v>341.5</v>
      </c>
      <c r="AV1423">
        <v>16.5</v>
      </c>
      <c r="AW1423">
        <v>1</v>
      </c>
      <c r="AX1423">
        <v>143.84</v>
      </c>
      <c r="AY1423">
        <v>0.5</v>
      </c>
      <c r="AZ1423">
        <v>3.8</v>
      </c>
      <c r="BA1423">
        <v>277.8759</v>
      </c>
      <c r="BB1423">
        <v>86.335400000000007</v>
      </c>
      <c r="BC1423">
        <v>143.8219</v>
      </c>
      <c r="BD1423">
        <v>4.2057000000000002</v>
      </c>
      <c r="BE1423">
        <v>33.293300000000002</v>
      </c>
      <c r="BH1423">
        <v>88.61</v>
      </c>
    </row>
    <row r="1424" spans="1:60" x14ac:dyDescent="0.25">
      <c r="A1424" s="2">
        <v>44077</v>
      </c>
      <c r="B1424">
        <v>21.9</v>
      </c>
      <c r="C1424">
        <v>54.3</v>
      </c>
      <c r="D1424">
        <v>63.1</v>
      </c>
      <c r="E1424">
        <v>2.6</v>
      </c>
      <c r="F1424">
        <v>160.15</v>
      </c>
      <c r="G1424">
        <v>0.5</v>
      </c>
      <c r="H1424">
        <v>3.3</v>
      </c>
      <c r="I1424">
        <v>303.42910000000001</v>
      </c>
      <c r="J1424">
        <v>110.08240000000001</v>
      </c>
      <c r="K1424">
        <v>140.2413</v>
      </c>
      <c r="L1424">
        <v>4.3864999999999998</v>
      </c>
      <c r="M1424">
        <v>24.2727</v>
      </c>
      <c r="N1424">
        <v>5.0324</v>
      </c>
      <c r="O1424">
        <v>-3.3892000000000002</v>
      </c>
      <c r="P1424">
        <v>91.56</v>
      </c>
      <c r="S1424">
        <f t="shared" si="487"/>
        <v>888.26199999999994</v>
      </c>
      <c r="T1424">
        <f t="shared" si="488"/>
        <v>2.0530483314763707E-2</v>
      </c>
      <c r="U1424">
        <f t="shared" si="489"/>
        <v>5.0904349040715495E-2</v>
      </c>
      <c r="V1424">
        <f t="shared" si="490"/>
        <v>5.9154040966282656E-2</v>
      </c>
      <c r="W1424">
        <f t="shared" si="491"/>
        <v>2.437408978008477E-3</v>
      </c>
      <c r="X1424">
        <f t="shared" si="492"/>
        <v>0.15013501839540677</v>
      </c>
      <c r="Y1424">
        <f t="shared" si="493"/>
        <v>4.6873249577086097E-4</v>
      </c>
      <c r="Z1424">
        <f t="shared" si="494"/>
        <v>3.0936344720876819E-3</v>
      </c>
      <c r="AA1424">
        <f t="shared" si="495"/>
        <v>0.28445415866501228</v>
      </c>
      <c r="AB1424">
        <f t="shared" si="496"/>
        <v>0.10319839618489246</v>
      </c>
      <c r="AC1424">
        <f t="shared" si="497"/>
        <v>0.13147130911830007</v>
      </c>
      <c r="AD1424">
        <f t="shared" si="498"/>
        <v>4.1121901853977631E-3</v>
      </c>
      <c r="AE1424">
        <f t="shared" si="499"/>
        <v>2.2754806500194753E-2</v>
      </c>
      <c r="AG1424">
        <f t="shared" si="500"/>
        <v>0.87819718838179384</v>
      </c>
      <c r="AH1424">
        <f t="shared" si="501"/>
        <v>0.30947847416323032</v>
      </c>
      <c r="AI1424">
        <f t="shared" si="502"/>
        <v>0.1716762480504414</v>
      </c>
      <c r="AK1424" s="26">
        <f t="shared" si="503"/>
        <v>-0.1348977525906232</v>
      </c>
      <c r="AL1424" s="26">
        <f t="shared" si="504"/>
        <v>5.5876134915765263E-2</v>
      </c>
      <c r="AM1424" s="26">
        <f t="shared" si="505"/>
        <v>6.4806708923926093E-2</v>
      </c>
      <c r="AN1424" s="26">
        <f t="shared" si="506"/>
        <v>0.16428571428572525</v>
      </c>
      <c r="AO1424" s="26">
        <f t="shared" si="507"/>
        <v>2.4041071428571286</v>
      </c>
      <c r="AP1424" s="26">
        <f t="shared" si="508"/>
        <v>-2.3710549234442766</v>
      </c>
      <c r="AS1424" s="2">
        <v>44056</v>
      </c>
      <c r="AT1424">
        <v>18.600000000000001</v>
      </c>
      <c r="AU1424">
        <v>63.9</v>
      </c>
      <c r="AV1424">
        <v>47.4</v>
      </c>
      <c r="AW1424">
        <v>2.1</v>
      </c>
      <c r="AX1424">
        <v>152.47</v>
      </c>
      <c r="AY1424">
        <v>0.7</v>
      </c>
      <c r="AZ1424">
        <v>4</v>
      </c>
      <c r="BA1424">
        <v>280.05169999999998</v>
      </c>
      <c r="BB1424">
        <v>70.8827</v>
      </c>
      <c r="BC1424">
        <v>134.94640000000001</v>
      </c>
      <c r="BD1424">
        <v>4.2095000000000002</v>
      </c>
      <c r="BE1424">
        <v>31.770299999999999</v>
      </c>
      <c r="BH1424">
        <v>88.39</v>
      </c>
    </row>
    <row r="1425" spans="1:60" x14ac:dyDescent="0.25">
      <c r="A1425" s="2">
        <v>44076</v>
      </c>
      <c r="B1425">
        <v>22</v>
      </c>
      <c r="C1425">
        <v>17.5</v>
      </c>
      <c r="D1425">
        <v>9.8000000000000007</v>
      </c>
      <c r="E1425">
        <v>0.6</v>
      </c>
      <c r="F1425">
        <v>176.81</v>
      </c>
      <c r="G1425">
        <v>0.5</v>
      </c>
      <c r="H1425">
        <v>3.3</v>
      </c>
      <c r="I1425">
        <v>315.50470000000001</v>
      </c>
      <c r="J1425">
        <v>161.34139999999999</v>
      </c>
      <c r="K1425">
        <v>149.1344</v>
      </c>
      <c r="L1425">
        <v>4.1083999999999996</v>
      </c>
      <c r="M1425">
        <v>32.8994</v>
      </c>
      <c r="N1425">
        <v>5.6683000000000003</v>
      </c>
      <c r="O1425">
        <v>-3.673</v>
      </c>
      <c r="P1425">
        <v>91.41</v>
      </c>
      <c r="S1425">
        <f t="shared" si="487"/>
        <v>893.49830000000009</v>
      </c>
      <c r="T1425">
        <f t="shared" si="488"/>
        <v>2.0624229813917882E-2</v>
      </c>
      <c r="U1425">
        <f t="shared" si="489"/>
        <v>1.6405637351980133E-2</v>
      </c>
      <c r="V1425">
        <f t="shared" si="490"/>
        <v>9.1871569171088751E-3</v>
      </c>
      <c r="W1425">
        <f t="shared" si="491"/>
        <v>5.6247899492503314E-4</v>
      </c>
      <c r="X1425">
        <f t="shared" si="492"/>
        <v>0.16575318515449186</v>
      </c>
      <c r="Y1425">
        <f t="shared" si="493"/>
        <v>4.6873249577086097E-4</v>
      </c>
      <c r="Z1425">
        <f t="shared" si="494"/>
        <v>3.0936344720876819E-3</v>
      </c>
      <c r="AA1425">
        <f t="shared" si="495"/>
        <v>0.29577461091687351</v>
      </c>
      <c r="AB1425">
        <f t="shared" si="496"/>
        <v>0.15125191418632958</v>
      </c>
      <c r="AC1425">
        <f t="shared" si="497"/>
        <v>0.13980827903457976</v>
      </c>
      <c r="AD1425">
        <f t="shared" si="498"/>
        <v>3.8514811712500097E-3</v>
      </c>
      <c r="AE1425">
        <f t="shared" si="499"/>
        <v>3.0842035742727727E-2</v>
      </c>
      <c r="AG1425">
        <f t="shared" si="500"/>
        <v>0.86639470614623859</v>
      </c>
      <c r="AH1425">
        <f t="shared" si="501"/>
        <v>0.24693709094301006</v>
      </c>
      <c r="AI1425">
        <f t="shared" si="502"/>
        <v>-0.20662477146278613</v>
      </c>
      <c r="AK1425" s="26">
        <f t="shared" si="503"/>
        <v>-0.14148506016728452</v>
      </c>
      <c r="AL1425" s="26">
        <f t="shared" si="504"/>
        <v>5.9251086966567779E-2</v>
      </c>
      <c r="AM1425" s="26">
        <f t="shared" si="505"/>
        <v>6.2657006404845117E-2</v>
      </c>
      <c r="AN1425" s="26">
        <f t="shared" si="506"/>
        <v>0.28714285714286802</v>
      </c>
      <c r="AO1425" s="26">
        <f t="shared" si="507"/>
        <v>2.5426785714285387</v>
      </c>
      <c r="AP1425" s="26">
        <f t="shared" si="508"/>
        <v>-2.4390936340279552</v>
      </c>
      <c r="AS1425" s="2">
        <v>44055</v>
      </c>
      <c r="AT1425">
        <v>19.100000000000001</v>
      </c>
      <c r="AU1425">
        <v>20.399999999999999</v>
      </c>
      <c r="AV1425">
        <v>57.8</v>
      </c>
      <c r="AW1425">
        <v>3.5</v>
      </c>
      <c r="AX1425">
        <v>232.21</v>
      </c>
      <c r="AY1425">
        <v>0.7</v>
      </c>
      <c r="AZ1425">
        <v>4.0999999999999996</v>
      </c>
      <c r="BA1425">
        <v>281.81360000000001</v>
      </c>
      <c r="BB1425">
        <v>55.635100000000001</v>
      </c>
      <c r="BC1425">
        <v>139.93450000000001</v>
      </c>
      <c r="BD1425">
        <v>4.2041000000000004</v>
      </c>
      <c r="BE1425">
        <v>26.1921</v>
      </c>
      <c r="BH1425">
        <v>88.2</v>
      </c>
    </row>
    <row r="1426" spans="1:60" x14ac:dyDescent="0.25">
      <c r="A1426" s="2">
        <v>44075</v>
      </c>
      <c r="B1426">
        <v>21.5</v>
      </c>
      <c r="C1426">
        <v>2.1</v>
      </c>
      <c r="D1426">
        <v>10.7</v>
      </c>
      <c r="E1426">
        <v>1.1000000000000001</v>
      </c>
      <c r="F1426">
        <v>133.82</v>
      </c>
      <c r="G1426">
        <v>0.3</v>
      </c>
      <c r="H1426">
        <v>3.1</v>
      </c>
      <c r="I1426">
        <v>306.6952</v>
      </c>
      <c r="J1426">
        <v>163.2081</v>
      </c>
      <c r="K1426">
        <v>142.9949</v>
      </c>
      <c r="L1426">
        <v>4.3316999999999997</v>
      </c>
      <c r="M1426">
        <v>30.2667</v>
      </c>
      <c r="N1426">
        <v>5.9688999999999997</v>
      </c>
      <c r="O1426">
        <v>-3.0674000000000001</v>
      </c>
      <c r="P1426">
        <v>91.14</v>
      </c>
      <c r="S1426">
        <f t="shared" si="487"/>
        <v>820.11660000000006</v>
      </c>
      <c r="T1426">
        <f t="shared" si="488"/>
        <v>2.0155497318147021E-2</v>
      </c>
      <c r="U1426">
        <f t="shared" si="489"/>
        <v>1.9686764822376161E-3</v>
      </c>
      <c r="V1426">
        <f t="shared" si="490"/>
        <v>1.0030875409496424E-2</v>
      </c>
      <c r="W1426">
        <f t="shared" si="491"/>
        <v>1.0312114906958943E-3</v>
      </c>
      <c r="X1426">
        <f t="shared" si="492"/>
        <v>0.12545156516811323</v>
      </c>
      <c r="Y1426">
        <f t="shared" si="493"/>
        <v>2.8123949746251657E-4</v>
      </c>
      <c r="Z1426">
        <f t="shared" si="494"/>
        <v>2.9061414737793379E-3</v>
      </c>
      <c r="AA1426">
        <f t="shared" si="495"/>
        <v>0.28751601307388669</v>
      </c>
      <c r="AB1426">
        <f t="shared" si="496"/>
        <v>0.15300188008604051</v>
      </c>
      <c r="AC1426">
        <f t="shared" si="497"/>
        <v>0.13405271271900937</v>
      </c>
      <c r="AD1426">
        <f t="shared" si="498"/>
        <v>4.0608171038612768E-3</v>
      </c>
      <c r="AE1426">
        <f t="shared" si="499"/>
        <v>2.8373971659495834E-2</v>
      </c>
      <c r="AG1426">
        <f t="shared" si="500"/>
        <v>0.84563495808926115</v>
      </c>
      <c r="AH1426">
        <f t="shared" si="501"/>
        <v>0.19019917849942788</v>
      </c>
      <c r="AI1426">
        <f t="shared" si="502"/>
        <v>-0.55125204573555453</v>
      </c>
      <c r="AK1426" s="26">
        <f t="shared" si="503"/>
        <v>-0.15701704710893283</v>
      </c>
      <c r="AL1426" s="26">
        <f t="shared" si="504"/>
        <v>5.9121394752378986E-2</v>
      </c>
      <c r="AM1426" s="26">
        <f t="shared" si="505"/>
        <v>5.7252743266264561E-2</v>
      </c>
      <c r="AN1426" s="26">
        <f t="shared" si="506"/>
        <v>0.41190476190480751</v>
      </c>
      <c r="AO1426" s="26">
        <f t="shared" si="507"/>
        <v>2.6833928571428345</v>
      </c>
      <c r="AP1426" s="26">
        <f t="shared" si="508"/>
        <v>-2.505327143478894</v>
      </c>
      <c r="AS1426" s="2">
        <v>44054</v>
      </c>
      <c r="AT1426">
        <v>20.2</v>
      </c>
      <c r="AU1426">
        <v>92.9</v>
      </c>
      <c r="AV1426">
        <v>48.1</v>
      </c>
      <c r="AW1426">
        <v>3.2</v>
      </c>
      <c r="AX1426">
        <v>222.22</v>
      </c>
      <c r="AY1426">
        <v>0.5</v>
      </c>
      <c r="AZ1426">
        <v>3.5</v>
      </c>
      <c r="BA1426">
        <v>290.47070000000002</v>
      </c>
      <c r="BB1426">
        <v>50.751600000000003</v>
      </c>
      <c r="BC1426">
        <v>142.74019999999999</v>
      </c>
      <c r="BD1426">
        <v>4.1525999999999996</v>
      </c>
      <c r="BE1426">
        <v>31.488800000000001</v>
      </c>
      <c r="BH1426">
        <v>88.01</v>
      </c>
    </row>
    <row r="1427" spans="1:60" x14ac:dyDescent="0.25">
      <c r="A1427" s="2">
        <v>44074</v>
      </c>
      <c r="B1427">
        <v>20.5</v>
      </c>
      <c r="C1427">
        <v>168.4</v>
      </c>
      <c r="D1427">
        <v>23.3</v>
      </c>
      <c r="E1427">
        <v>1.3</v>
      </c>
      <c r="F1427">
        <v>123.99</v>
      </c>
      <c r="G1427">
        <v>0.5</v>
      </c>
      <c r="H1427">
        <v>3.1</v>
      </c>
      <c r="I1427">
        <v>272.88060000000002</v>
      </c>
      <c r="J1427">
        <v>141.53280000000001</v>
      </c>
      <c r="K1427">
        <v>133.5472</v>
      </c>
      <c r="L1427">
        <v>4.3666</v>
      </c>
      <c r="M1427">
        <v>34.244500000000002</v>
      </c>
      <c r="N1427">
        <v>8.6768999999999998</v>
      </c>
      <c r="O1427">
        <v>-3.2418999999999998</v>
      </c>
      <c r="P1427">
        <v>91.15</v>
      </c>
      <c r="S1427">
        <f t="shared" si="487"/>
        <v>927.6617</v>
      </c>
      <c r="T1427">
        <f t="shared" si="488"/>
        <v>1.9218032326605298E-2</v>
      </c>
      <c r="U1427">
        <f t="shared" si="489"/>
        <v>0.15786910457562597</v>
      </c>
      <c r="V1427">
        <f t="shared" si="490"/>
        <v>2.1842934302922123E-2</v>
      </c>
      <c r="W1427">
        <f t="shared" si="491"/>
        <v>1.2187044890042385E-3</v>
      </c>
      <c r="X1427">
        <f t="shared" si="492"/>
        <v>0.1162362843012581</v>
      </c>
      <c r="Y1427">
        <f t="shared" si="493"/>
        <v>4.6873249577086097E-4</v>
      </c>
      <c r="Z1427">
        <f t="shared" si="494"/>
        <v>2.9061414737793379E-3</v>
      </c>
      <c r="AA1427">
        <f t="shared" si="495"/>
        <v>0.25581600937089999</v>
      </c>
      <c r="AB1427">
        <f t="shared" si="496"/>
        <v>0.13268204515487622</v>
      </c>
      <c r="AC1427">
        <f t="shared" si="497"/>
        <v>0.12519582471842064</v>
      </c>
      <c r="AD1427">
        <f t="shared" si="498"/>
        <v>4.0935346320660829E-3</v>
      </c>
      <c r="AE1427">
        <f t="shared" si="499"/>
        <v>3.2103019902850499E-2</v>
      </c>
      <c r="AG1427">
        <f t="shared" si="500"/>
        <v>0.84572956663069254</v>
      </c>
      <c r="AH1427">
        <f t="shared" si="501"/>
        <v>0.35186295386781641</v>
      </c>
      <c r="AI1427">
        <f t="shared" si="502"/>
        <v>0.42724271820924781</v>
      </c>
      <c r="AK1427" s="26">
        <f t="shared" si="503"/>
        <v>-0.16496718772086938</v>
      </c>
      <c r="AL1427" s="26">
        <f t="shared" si="504"/>
        <v>6.0708486265680206E-2</v>
      </c>
      <c r="AM1427" s="26">
        <f t="shared" si="505"/>
        <v>5.3537304643270611E-2</v>
      </c>
      <c r="AN1427" s="26">
        <f t="shared" si="506"/>
        <v>0.54476190476192698</v>
      </c>
      <c r="AO1427" s="26">
        <f t="shared" si="507"/>
        <v>2.8287499999999426</v>
      </c>
      <c r="AP1427" s="26">
        <f t="shared" si="508"/>
        <v>-2.5690648967551653</v>
      </c>
      <c r="AS1427" s="2">
        <v>44053</v>
      </c>
      <c r="AT1427">
        <v>19.5</v>
      </c>
      <c r="AU1427">
        <v>114.1</v>
      </c>
      <c r="AV1427">
        <v>37.299999999999997</v>
      </c>
      <c r="AW1427">
        <v>2.1</v>
      </c>
      <c r="AX1427">
        <v>207.46</v>
      </c>
      <c r="AY1427">
        <v>0.7</v>
      </c>
      <c r="AZ1427">
        <v>3.8</v>
      </c>
      <c r="BA1427">
        <v>302.49860000000001</v>
      </c>
      <c r="BB1427">
        <v>54.781799999999997</v>
      </c>
      <c r="BC1427">
        <v>137.87029999999999</v>
      </c>
      <c r="BD1427">
        <v>4.2515999999999998</v>
      </c>
      <c r="BE1427">
        <v>34.552599999999998</v>
      </c>
      <c r="BH1427">
        <v>87.84</v>
      </c>
    </row>
    <row r="1428" spans="1:60" x14ac:dyDescent="0.25">
      <c r="A1428" s="2">
        <v>44073</v>
      </c>
      <c r="B1428">
        <v>17.899999999999999</v>
      </c>
      <c r="C1428">
        <v>0.3</v>
      </c>
      <c r="D1428">
        <v>36.6</v>
      </c>
      <c r="E1428">
        <v>1</v>
      </c>
      <c r="F1428">
        <v>92.12</v>
      </c>
      <c r="G1428">
        <v>0.5</v>
      </c>
      <c r="H1428">
        <v>3.1</v>
      </c>
      <c r="I1428">
        <v>208.96010000000001</v>
      </c>
      <c r="J1428">
        <v>39.539400000000001</v>
      </c>
      <c r="K1428">
        <v>96.542400000000001</v>
      </c>
      <c r="L1428">
        <v>4.3666</v>
      </c>
      <c r="M1428">
        <v>10.006500000000001</v>
      </c>
      <c r="P1428">
        <v>91.4</v>
      </c>
      <c r="S1428">
        <f t="shared" si="487"/>
        <v>510.935</v>
      </c>
      <c r="T1428">
        <f t="shared" si="488"/>
        <v>1.678062334859682E-2</v>
      </c>
      <c r="U1428">
        <f t="shared" si="489"/>
        <v>2.8123949746251657E-4</v>
      </c>
      <c r="V1428">
        <f t="shared" si="490"/>
        <v>3.4311218690427026E-2</v>
      </c>
      <c r="W1428">
        <f t="shared" si="491"/>
        <v>9.3746499154172193E-4</v>
      </c>
      <c r="X1428">
        <f t="shared" si="492"/>
        <v>8.6359275020823426E-2</v>
      </c>
      <c r="Y1428">
        <f t="shared" si="493"/>
        <v>4.6873249577086097E-4</v>
      </c>
      <c r="Z1428">
        <f t="shared" si="494"/>
        <v>2.9061414737793379E-3</v>
      </c>
      <c r="AA1428">
        <f t="shared" si="495"/>
        <v>0.19589277837905739</v>
      </c>
      <c r="AB1428">
        <f t="shared" si="496"/>
        <v>3.706680328656476E-2</v>
      </c>
      <c r="AC1428">
        <f t="shared" si="497"/>
        <v>9.0505120199417533E-2</v>
      </c>
      <c r="AD1428">
        <f t="shared" si="498"/>
        <v>4.0935346320660829E-3</v>
      </c>
      <c r="AE1428">
        <f t="shared" si="499"/>
        <v>9.3807434378622417E-3</v>
      </c>
      <c r="AG1428">
        <f t="shared" si="500"/>
        <v>0.86377137679131377</v>
      </c>
      <c r="AH1428">
        <f t="shared" si="501"/>
        <v>0.15142543895626398</v>
      </c>
      <c r="AI1428">
        <f t="shared" si="502"/>
        <v>-0.78295078902313431</v>
      </c>
      <c r="AK1428" s="26">
        <f t="shared" si="503"/>
        <v>-0.16943561906717186</v>
      </c>
      <c r="AL1428" s="26">
        <f t="shared" si="504"/>
        <v>6.264073177755991E-2</v>
      </c>
      <c r="AM1428" s="26">
        <f t="shared" si="505"/>
        <v>4.9270214756556352E-2</v>
      </c>
      <c r="AN1428" s="26">
        <f t="shared" si="506"/>
        <v>0.65999999999999659</v>
      </c>
      <c r="AO1428" s="26">
        <f t="shared" si="507"/>
        <v>2.9691071428571121</v>
      </c>
      <c r="AP1428" s="26">
        <f t="shared" si="508"/>
        <v>-2.6405759712014572</v>
      </c>
      <c r="AS1428" s="2">
        <v>44052</v>
      </c>
      <c r="AT1428">
        <v>20.2</v>
      </c>
      <c r="AU1428">
        <v>275.3</v>
      </c>
      <c r="AV1428">
        <v>19.899999999999999</v>
      </c>
      <c r="AW1428">
        <v>1.4</v>
      </c>
      <c r="AX1428">
        <v>218.6</v>
      </c>
      <c r="AY1428">
        <v>0.7</v>
      </c>
      <c r="AZ1428">
        <v>4.2</v>
      </c>
      <c r="BA1428">
        <v>208.24209999999999</v>
      </c>
      <c r="BB1428">
        <v>34.942599999999999</v>
      </c>
      <c r="BC1428">
        <v>108.9237</v>
      </c>
      <c r="BD1428">
        <v>4.2766000000000002</v>
      </c>
      <c r="BE1428">
        <v>14.8667</v>
      </c>
      <c r="BH1428">
        <v>87.67</v>
      </c>
    </row>
    <row r="1429" spans="1:60" x14ac:dyDescent="0.25">
      <c r="A1429" s="2">
        <v>44072</v>
      </c>
      <c r="B1429">
        <v>17</v>
      </c>
      <c r="C1429">
        <v>3.3</v>
      </c>
      <c r="D1429">
        <v>26.2</v>
      </c>
      <c r="E1429">
        <v>2.5</v>
      </c>
      <c r="F1429">
        <v>125.7</v>
      </c>
      <c r="G1429">
        <v>0.5</v>
      </c>
      <c r="H1429">
        <v>3.2</v>
      </c>
      <c r="I1429">
        <v>217.24889999999999</v>
      </c>
      <c r="J1429">
        <v>42.003700000000002</v>
      </c>
      <c r="K1429">
        <v>98.348299999999995</v>
      </c>
      <c r="L1429">
        <v>4.3434999999999997</v>
      </c>
      <c r="M1429">
        <v>16.721499999999999</v>
      </c>
      <c r="P1429">
        <v>91.25</v>
      </c>
      <c r="S1429">
        <f t="shared" si="487"/>
        <v>557.06589999999994</v>
      </c>
      <c r="T1429">
        <f t="shared" si="488"/>
        <v>1.5936904856209272E-2</v>
      </c>
      <c r="U1429">
        <f t="shared" si="489"/>
        <v>3.0936344720876819E-3</v>
      </c>
      <c r="V1429">
        <f t="shared" si="490"/>
        <v>2.4561582778393112E-2</v>
      </c>
      <c r="W1429">
        <f t="shared" si="491"/>
        <v>2.3436624788543046E-3</v>
      </c>
      <c r="X1429">
        <f t="shared" si="492"/>
        <v>0.11783934943679444</v>
      </c>
      <c r="Y1429">
        <f t="shared" si="493"/>
        <v>4.6873249577086097E-4</v>
      </c>
      <c r="Z1429">
        <f t="shared" si="494"/>
        <v>2.9998879729335104E-3</v>
      </c>
      <c r="AA1429">
        <f t="shared" si="495"/>
        <v>0.20366323820094839</v>
      </c>
      <c r="AB1429">
        <f t="shared" si="496"/>
        <v>3.9376998265221029E-2</v>
      </c>
      <c r="AC1429">
        <f t="shared" si="497"/>
        <v>9.2198088227642722E-2</v>
      </c>
      <c r="AD1429">
        <f t="shared" si="498"/>
        <v>4.0718791907614687E-3</v>
      </c>
      <c r="AE1429">
        <f t="shared" si="499"/>
        <v>1.5675820856064903E-2</v>
      </c>
      <c r="AG1429">
        <f t="shared" si="500"/>
        <v>0.85217987836066567</v>
      </c>
      <c r="AH1429">
        <f t="shared" si="501"/>
        <v>0.18291957534710809</v>
      </c>
      <c r="AI1429">
        <f t="shared" si="502"/>
        <v>-0.59493328232710974</v>
      </c>
      <c r="AK1429" s="26">
        <f t="shared" si="503"/>
        <v>-0.15092505139261198</v>
      </c>
      <c r="AL1429" s="26">
        <f t="shared" si="504"/>
        <v>7.2370744828984368E-2</v>
      </c>
      <c r="AM1429" s="26">
        <f t="shared" si="505"/>
        <v>4.7749319221740527E-2</v>
      </c>
      <c r="AN1429" s="26">
        <f t="shared" si="506"/>
        <v>0.76333333333332121</v>
      </c>
      <c r="AO1429" s="26">
        <f t="shared" si="507"/>
        <v>3.1053571428571303</v>
      </c>
      <c r="AP1429" s="26">
        <f t="shared" si="508"/>
        <v>-2.7165593530668275</v>
      </c>
      <c r="AS1429" s="2">
        <v>44051</v>
      </c>
      <c r="AT1429">
        <v>21.1</v>
      </c>
      <c r="AU1429">
        <v>234.5</v>
      </c>
      <c r="AV1429">
        <v>4.8</v>
      </c>
      <c r="AW1429">
        <v>0.7</v>
      </c>
      <c r="AX1429">
        <v>246.25</v>
      </c>
      <c r="AY1429">
        <v>0.7</v>
      </c>
      <c r="AZ1429">
        <v>4.3</v>
      </c>
      <c r="BA1429">
        <v>237.3099</v>
      </c>
      <c r="BB1429">
        <v>32.147799999999997</v>
      </c>
      <c r="BC1429">
        <v>150.292</v>
      </c>
      <c r="BD1429">
        <v>4.2906000000000004</v>
      </c>
      <c r="BE1429">
        <v>22.238</v>
      </c>
      <c r="BH1429">
        <v>87.35</v>
      </c>
    </row>
    <row r="1430" spans="1:60" x14ac:dyDescent="0.25">
      <c r="A1430" s="2">
        <v>44071</v>
      </c>
      <c r="B1430">
        <v>15.2</v>
      </c>
      <c r="C1430">
        <v>9.1</v>
      </c>
      <c r="D1430">
        <v>60</v>
      </c>
      <c r="E1430">
        <v>3.3</v>
      </c>
      <c r="F1430">
        <v>134.71</v>
      </c>
      <c r="G1430">
        <v>0.5</v>
      </c>
      <c r="H1430">
        <v>3.4</v>
      </c>
      <c r="I1430">
        <v>269.27420000000001</v>
      </c>
      <c r="J1430">
        <v>65.818600000000004</v>
      </c>
      <c r="K1430">
        <v>127.8745</v>
      </c>
      <c r="L1430">
        <v>4.3421000000000003</v>
      </c>
      <c r="M1430">
        <v>24.436199999999999</v>
      </c>
      <c r="N1430">
        <v>2.6046999999999998</v>
      </c>
      <c r="O1430">
        <v>-2.7324000000000002</v>
      </c>
      <c r="P1430">
        <v>91.12</v>
      </c>
      <c r="S1430">
        <f t="shared" si="487"/>
        <v>717.95559999999989</v>
      </c>
      <c r="T1430">
        <f t="shared" si="488"/>
        <v>1.4249467871434173E-2</v>
      </c>
      <c r="U1430">
        <f t="shared" si="489"/>
        <v>8.5309314230296689E-3</v>
      </c>
      <c r="V1430">
        <f t="shared" si="490"/>
        <v>5.6247899492503313E-2</v>
      </c>
      <c r="W1430">
        <f t="shared" si="491"/>
        <v>3.0936344720876819E-3</v>
      </c>
      <c r="X1430">
        <f t="shared" si="492"/>
        <v>0.12628590901058537</v>
      </c>
      <c r="Y1430">
        <f t="shared" si="493"/>
        <v>4.6873249577086097E-4</v>
      </c>
      <c r="Z1430">
        <f t="shared" si="494"/>
        <v>3.1873809712418544E-3</v>
      </c>
      <c r="AA1430">
        <f t="shared" si="495"/>
        <v>0.25243513562540393</v>
      </c>
      <c r="AB1430">
        <f t="shared" si="496"/>
        <v>6.1702633292287978E-2</v>
      </c>
      <c r="AC1430">
        <f t="shared" si="497"/>
        <v>0.11987786706090192</v>
      </c>
      <c r="AD1430">
        <f t="shared" si="498"/>
        <v>4.0705667397733106E-3</v>
      </c>
      <c r="AE1430">
        <f t="shared" si="499"/>
        <v>2.2908082026311824E-2</v>
      </c>
      <c r="AG1430">
        <f t="shared" si="500"/>
        <v>0.84208322326969121</v>
      </c>
      <c r="AH1430">
        <f t="shared" si="501"/>
        <v>0.23497203776296477</v>
      </c>
      <c r="AI1430">
        <f t="shared" si="502"/>
        <v>-0.28233388363789846</v>
      </c>
      <c r="AK1430" s="26">
        <f t="shared" si="503"/>
        <v>-0.13859780191690613</v>
      </c>
      <c r="AL1430" s="26">
        <f t="shared" si="504"/>
        <v>8.9450276592721589E-2</v>
      </c>
      <c r="AM1430" s="26">
        <f t="shared" si="505"/>
        <v>5.5059312149460804E-2</v>
      </c>
      <c r="AN1430" s="26">
        <f t="shared" si="506"/>
        <v>0.86619047619049638</v>
      </c>
      <c r="AO1430" s="26">
        <f t="shared" si="507"/>
        <v>3.2394642857142628</v>
      </c>
      <c r="AP1430" s="26">
        <f t="shared" si="508"/>
        <v>-2.7943750970346315</v>
      </c>
      <c r="AS1430" s="2">
        <v>44050</v>
      </c>
      <c r="AT1430">
        <v>21.5</v>
      </c>
      <c r="AU1430">
        <v>448.4</v>
      </c>
      <c r="AV1430">
        <v>6.8</v>
      </c>
      <c r="AW1430">
        <v>0.7</v>
      </c>
      <c r="AX1430">
        <v>255.72</v>
      </c>
      <c r="AY1430">
        <v>0.8</v>
      </c>
      <c r="AZ1430">
        <v>4</v>
      </c>
      <c r="BA1430">
        <v>249.2756</v>
      </c>
      <c r="BB1430">
        <v>34.379100000000001</v>
      </c>
      <c r="BC1430">
        <v>171.65270000000001</v>
      </c>
      <c r="BD1430">
        <v>4.2161</v>
      </c>
      <c r="BE1430">
        <v>32.974899999999998</v>
      </c>
      <c r="BH1430">
        <v>87.05</v>
      </c>
    </row>
    <row r="1431" spans="1:60" x14ac:dyDescent="0.25">
      <c r="A1431" s="2">
        <v>44070</v>
      </c>
      <c r="B1431">
        <v>14.3</v>
      </c>
      <c r="C1431">
        <v>24.3</v>
      </c>
      <c r="D1431">
        <v>27.1</v>
      </c>
      <c r="E1431">
        <v>2.7</v>
      </c>
      <c r="F1431">
        <v>162.19999999999999</v>
      </c>
      <c r="G1431">
        <v>0.5</v>
      </c>
      <c r="H1431">
        <v>3.2</v>
      </c>
      <c r="I1431">
        <v>226.56</v>
      </c>
      <c r="J1431">
        <v>108.63339999999999</v>
      </c>
      <c r="K1431">
        <v>124.9218</v>
      </c>
      <c r="L1431">
        <v>4.5648</v>
      </c>
      <c r="M1431">
        <v>24.236799999999999</v>
      </c>
      <c r="N1431">
        <v>9.7571999999999992</v>
      </c>
      <c r="O1431">
        <v>-4.0347</v>
      </c>
      <c r="P1431">
        <v>91.19</v>
      </c>
      <c r="S1431">
        <f t="shared" si="487"/>
        <v>723.21680000000003</v>
      </c>
      <c r="T1431">
        <f t="shared" si="488"/>
        <v>1.3405749379046624E-2</v>
      </c>
      <c r="U1431">
        <f t="shared" si="489"/>
        <v>2.2780399294463842E-2</v>
      </c>
      <c r="V1431">
        <f t="shared" si="490"/>
        <v>2.5405301270780663E-2</v>
      </c>
      <c r="W1431">
        <f t="shared" si="491"/>
        <v>2.5311554771626494E-3</v>
      </c>
      <c r="X1431">
        <f t="shared" si="492"/>
        <v>0.15205682162806727</v>
      </c>
      <c r="Y1431">
        <f t="shared" si="493"/>
        <v>4.6873249577086097E-4</v>
      </c>
      <c r="Z1431">
        <f t="shared" si="494"/>
        <v>2.9998879729335104E-3</v>
      </c>
      <c r="AA1431">
        <f t="shared" si="495"/>
        <v>0.21239206848369252</v>
      </c>
      <c r="AB1431">
        <f t="shared" si="496"/>
        <v>0.10184000941214849</v>
      </c>
      <c r="AC1431">
        <f t="shared" si="497"/>
        <v>0.11710981418037668</v>
      </c>
      <c r="AD1431">
        <f t="shared" si="498"/>
        <v>4.2793401933896519E-3</v>
      </c>
      <c r="AE1431">
        <f t="shared" si="499"/>
        <v>2.2721151506998404E-2</v>
      </c>
      <c r="AG1431">
        <f t="shared" si="500"/>
        <v>0.84689781220149984</v>
      </c>
      <c r="AH1431">
        <f t="shared" si="501"/>
        <v>0.24236919902522383</v>
      </c>
      <c r="AI1431">
        <f t="shared" si="502"/>
        <v>-0.24261061510833276</v>
      </c>
      <c r="AK1431" s="26">
        <f t="shared" si="503"/>
        <v>-0.10952390103824922</v>
      </c>
      <c r="AL1431" s="26">
        <f t="shared" si="504"/>
        <v>0.1029629863375861</v>
      </c>
      <c r="AM1431" s="26">
        <f t="shared" si="505"/>
        <v>5.9956078129619339E-2</v>
      </c>
      <c r="AN1431" s="26">
        <f t="shared" si="506"/>
        <v>0.98523809523810257</v>
      </c>
      <c r="AO1431" s="26">
        <f t="shared" si="507"/>
        <v>3.3717857142856928</v>
      </c>
      <c r="AP1431" s="26">
        <f t="shared" si="508"/>
        <v>-2.8722645385587953</v>
      </c>
      <c r="AS1431" s="2">
        <v>44049</v>
      </c>
      <c r="AT1431">
        <v>20.9</v>
      </c>
      <c r="AU1431">
        <v>361.7</v>
      </c>
      <c r="AV1431">
        <v>18.8</v>
      </c>
      <c r="AW1431">
        <v>1.3</v>
      </c>
      <c r="AX1431">
        <v>264.37</v>
      </c>
      <c r="AY1431">
        <v>0.8</v>
      </c>
      <c r="AZ1431">
        <v>4</v>
      </c>
      <c r="BA1431">
        <v>249.64160000000001</v>
      </c>
      <c r="BB1431">
        <v>35.948799999999999</v>
      </c>
      <c r="BC1431">
        <v>165.12729999999999</v>
      </c>
      <c r="BD1431">
        <v>4.1959</v>
      </c>
      <c r="BE1431">
        <v>29.4892</v>
      </c>
      <c r="BH1431">
        <v>86.83</v>
      </c>
    </row>
    <row r="1432" spans="1:60" x14ac:dyDescent="0.25">
      <c r="A1432" s="2">
        <v>44069</v>
      </c>
      <c r="B1432">
        <v>14.8</v>
      </c>
      <c r="C1432">
        <v>1.3</v>
      </c>
      <c r="D1432">
        <v>61.1</v>
      </c>
      <c r="E1432">
        <v>12.7</v>
      </c>
      <c r="F1432">
        <v>143.54</v>
      </c>
      <c r="G1432">
        <v>0.5</v>
      </c>
      <c r="H1432">
        <v>3.4</v>
      </c>
      <c r="I1432">
        <v>105.7739</v>
      </c>
      <c r="J1432">
        <v>40.1858</v>
      </c>
      <c r="K1432">
        <v>38.266399999999997</v>
      </c>
      <c r="L1432">
        <v>4.3544</v>
      </c>
      <c r="M1432">
        <v>14.2858</v>
      </c>
      <c r="N1432">
        <v>9.2316000000000003</v>
      </c>
      <c r="O1432">
        <v>-3.4502999999999999</v>
      </c>
      <c r="P1432">
        <v>91.13</v>
      </c>
      <c r="S1432">
        <f t="shared" si="487"/>
        <v>440.2063</v>
      </c>
      <c r="T1432">
        <f t="shared" si="488"/>
        <v>1.3874481874817485E-2</v>
      </c>
      <c r="U1432">
        <f t="shared" si="489"/>
        <v>1.2187044890042385E-3</v>
      </c>
      <c r="V1432">
        <f t="shared" si="490"/>
        <v>5.7279110983199211E-2</v>
      </c>
      <c r="W1432">
        <f t="shared" si="491"/>
        <v>1.1905805392579868E-2</v>
      </c>
      <c r="X1432">
        <f t="shared" si="492"/>
        <v>0.13456372488589877</v>
      </c>
      <c r="Y1432">
        <f t="shared" si="493"/>
        <v>4.6873249577086097E-4</v>
      </c>
      <c r="Z1432">
        <f t="shared" si="494"/>
        <v>3.1873809712418544E-3</v>
      </c>
      <c r="AA1432">
        <f t="shared" si="495"/>
        <v>9.9159328268834931E-2</v>
      </c>
      <c r="AB1432">
        <f t="shared" si="496"/>
        <v>3.7672780657097331E-2</v>
      </c>
      <c r="AC1432">
        <f t="shared" si="497"/>
        <v>3.5873410352332144E-2</v>
      </c>
      <c r="AD1432">
        <f t="shared" si="498"/>
        <v>4.0820975591692741E-3</v>
      </c>
      <c r="AE1432">
        <f t="shared" si="499"/>
        <v>1.3392437376166732E-2</v>
      </c>
      <c r="AG1432">
        <f t="shared" si="500"/>
        <v>0.84208522086242643</v>
      </c>
      <c r="AH1432">
        <f t="shared" si="501"/>
        <v>0.23589037846867905</v>
      </c>
      <c r="AI1432">
        <f t="shared" si="502"/>
        <v>-0.28549023497929243</v>
      </c>
      <c r="AK1432" s="26">
        <f t="shared" si="503"/>
        <v>-7.8001154108687076E-2</v>
      </c>
      <c r="AL1432" s="26">
        <f t="shared" si="504"/>
        <v>0.11417067512057361</v>
      </c>
      <c r="AM1432" s="26">
        <f t="shared" si="505"/>
        <v>6.8853836803365764E-2</v>
      </c>
      <c r="AN1432" s="26">
        <f t="shared" si="506"/>
        <v>1.0985714285714323</v>
      </c>
      <c r="AO1432" s="26">
        <f t="shared" si="507"/>
        <v>3.3402922077921886</v>
      </c>
      <c r="AP1432" s="26">
        <f t="shared" si="508"/>
        <v>-2.9511584875301793</v>
      </c>
      <c r="AS1432" s="2">
        <v>44048</v>
      </c>
      <c r="AT1432">
        <v>17.399999999999999</v>
      </c>
      <c r="AU1432">
        <v>327.7</v>
      </c>
      <c r="AV1432">
        <v>55.9</v>
      </c>
      <c r="AW1432">
        <v>3</v>
      </c>
      <c r="AX1432">
        <v>251.41</v>
      </c>
      <c r="AY1432">
        <v>0.8</v>
      </c>
      <c r="AZ1432">
        <v>3.8</v>
      </c>
      <c r="BA1432">
        <v>198.93299999999999</v>
      </c>
      <c r="BB1432">
        <v>35.129899999999999</v>
      </c>
      <c r="BC1432">
        <v>148.69390000000001</v>
      </c>
      <c r="BD1432">
        <v>4.2119999999999997</v>
      </c>
      <c r="BE1432">
        <v>23.037099999999999</v>
      </c>
      <c r="BH1432">
        <v>86.65</v>
      </c>
    </row>
    <row r="1433" spans="1:60" x14ac:dyDescent="0.25">
      <c r="A1433" s="2">
        <v>44068</v>
      </c>
      <c r="B1433">
        <v>16.399999999999999</v>
      </c>
      <c r="C1433">
        <v>11.9</v>
      </c>
      <c r="D1433">
        <v>43.4</v>
      </c>
      <c r="E1433">
        <v>2.4</v>
      </c>
      <c r="F1433">
        <v>164.97</v>
      </c>
      <c r="G1433">
        <v>0.4</v>
      </c>
      <c r="H1433">
        <v>3</v>
      </c>
      <c r="I1433">
        <v>283.00740000000002</v>
      </c>
      <c r="J1433">
        <v>103.5177</v>
      </c>
      <c r="K1433">
        <v>137.12809999999999</v>
      </c>
      <c r="L1433">
        <v>4.4047999999999998</v>
      </c>
      <c r="M1433">
        <v>22.8215</v>
      </c>
      <c r="N1433">
        <v>8.5902999999999992</v>
      </c>
      <c r="O1433">
        <v>-4.6967999999999996</v>
      </c>
      <c r="P1433">
        <v>91</v>
      </c>
      <c r="S1433">
        <f t="shared" si="487"/>
        <v>793.34950000000003</v>
      </c>
      <c r="T1433">
        <f t="shared" si="488"/>
        <v>1.5374425861284237E-2</v>
      </c>
      <c r="U1433">
        <f t="shared" si="489"/>
        <v>1.115583339934649E-2</v>
      </c>
      <c r="V1433">
        <f t="shared" si="490"/>
        <v>4.0685980632910727E-2</v>
      </c>
      <c r="W1433">
        <f t="shared" si="491"/>
        <v>2.2499159797001326E-3</v>
      </c>
      <c r="X1433">
        <f t="shared" si="492"/>
        <v>0.15465359965463787</v>
      </c>
      <c r="Y1433">
        <f t="shared" si="493"/>
        <v>3.7498599661668879E-4</v>
      </c>
      <c r="Z1433">
        <f t="shared" si="494"/>
        <v>2.8123949746251659E-3</v>
      </c>
      <c r="AA1433">
        <f t="shared" si="495"/>
        <v>0.26530952984724471</v>
      </c>
      <c r="AB1433">
        <f t="shared" si="496"/>
        <v>9.7044219754918518E-2</v>
      </c>
      <c r="AC1433">
        <f t="shared" si="497"/>
        <v>0.1285527931066324</v>
      </c>
      <c r="AD1433">
        <f t="shared" si="498"/>
        <v>4.1293457947429767E-3</v>
      </c>
      <c r="AE1433">
        <f t="shared" si="499"/>
        <v>2.1394357304469407E-2</v>
      </c>
      <c r="AG1433">
        <f t="shared" si="500"/>
        <v>0.83208079571814986</v>
      </c>
      <c r="AH1433">
        <f t="shared" si="501"/>
        <v>0.24870149380359069</v>
      </c>
      <c r="AI1433">
        <f t="shared" si="502"/>
        <v>-0.21418590567601045</v>
      </c>
      <c r="AK1433" s="26">
        <f t="shared" si="503"/>
        <v>-5.4344475037795992E-2</v>
      </c>
      <c r="AL1433" s="26">
        <f t="shared" si="504"/>
        <v>0.12247163911206449</v>
      </c>
      <c r="AM1433" s="26">
        <f t="shared" si="505"/>
        <v>7.3167889946545384E-2</v>
      </c>
      <c r="AN1433" s="26">
        <f t="shared" si="506"/>
        <v>1.2123809523809541</v>
      </c>
      <c r="AO1433" s="26">
        <f t="shared" si="507"/>
        <v>3.3089682539682457</v>
      </c>
      <c r="AP1433" s="26">
        <f t="shared" si="508"/>
        <v>-3.0295968534906592</v>
      </c>
      <c r="AS1433" s="2">
        <v>44047</v>
      </c>
      <c r="AT1433">
        <v>16.899999999999999</v>
      </c>
      <c r="AU1433">
        <v>441.4</v>
      </c>
      <c r="AV1433">
        <v>8</v>
      </c>
      <c r="AW1433">
        <v>0.9</v>
      </c>
      <c r="AX1433">
        <v>156.61000000000001</v>
      </c>
      <c r="AY1433">
        <v>0.8</v>
      </c>
      <c r="AZ1433">
        <v>3.8</v>
      </c>
      <c r="BA1433">
        <v>275.98829999999998</v>
      </c>
      <c r="BB1433">
        <v>37.527700000000003</v>
      </c>
      <c r="BC1433">
        <v>182.88329999999999</v>
      </c>
      <c r="BD1433">
        <v>4.2374000000000001</v>
      </c>
      <c r="BE1433">
        <v>25.639500000000002</v>
      </c>
      <c r="BH1433">
        <v>86.49</v>
      </c>
    </row>
    <row r="1434" spans="1:60" x14ac:dyDescent="0.25">
      <c r="A1434" s="2">
        <v>44067</v>
      </c>
      <c r="B1434">
        <v>15.8</v>
      </c>
      <c r="C1434">
        <v>22.9</v>
      </c>
      <c r="D1434">
        <v>15.2</v>
      </c>
      <c r="E1434">
        <v>2.6</v>
      </c>
      <c r="F1434">
        <v>149.34</v>
      </c>
      <c r="G1434">
        <v>0.4</v>
      </c>
      <c r="H1434">
        <v>3</v>
      </c>
      <c r="I1434">
        <v>244.2449</v>
      </c>
      <c r="J1434">
        <v>115.7901</v>
      </c>
      <c r="K1434">
        <v>141.2243</v>
      </c>
      <c r="L1434">
        <v>4.4912999999999998</v>
      </c>
      <c r="M1434">
        <v>23.0976</v>
      </c>
      <c r="N1434">
        <v>8.5798000000000005</v>
      </c>
      <c r="O1434">
        <v>-4.8849999999999998</v>
      </c>
      <c r="P1434">
        <v>90.86</v>
      </c>
      <c r="S1434">
        <f t="shared" si="487"/>
        <v>738.08820000000014</v>
      </c>
      <c r="T1434">
        <f t="shared" si="488"/>
        <v>1.4811946866359206E-2</v>
      </c>
      <c r="U1434">
        <f t="shared" si="489"/>
        <v>2.146794830630543E-2</v>
      </c>
      <c r="V1434">
        <f t="shared" si="490"/>
        <v>1.4249467871434173E-2</v>
      </c>
      <c r="W1434">
        <f t="shared" si="491"/>
        <v>2.437408978008477E-3</v>
      </c>
      <c r="X1434">
        <f t="shared" si="492"/>
        <v>0.14000102183684077</v>
      </c>
      <c r="Y1434">
        <f t="shared" si="493"/>
        <v>3.7498599661668879E-4</v>
      </c>
      <c r="Z1434">
        <f t="shared" si="494"/>
        <v>2.8123949746251659E-3</v>
      </c>
      <c r="AA1434">
        <f t="shared" si="495"/>
        <v>0.22897104311260871</v>
      </c>
      <c r="AB1434">
        <f t="shared" si="496"/>
        <v>0.10854916511711513</v>
      </c>
      <c r="AC1434">
        <f t="shared" si="497"/>
        <v>0.1323928372049856</v>
      </c>
      <c r="AD1434">
        <f t="shared" si="498"/>
        <v>4.2104365165113351E-3</v>
      </c>
      <c r="AE1434">
        <f t="shared" si="499"/>
        <v>2.1653191388634075E-2</v>
      </c>
      <c r="AG1434">
        <f t="shared" si="500"/>
        <v>0.82133473266503898</v>
      </c>
      <c r="AH1434">
        <f t="shared" si="501"/>
        <v>0.21780836621882399</v>
      </c>
      <c r="AI1434">
        <f t="shared" si="502"/>
        <v>-0.40153548315670845</v>
      </c>
      <c r="AK1434" s="26">
        <f t="shared" si="503"/>
        <v>-3.0048578766243783E-2</v>
      </c>
      <c r="AL1434" s="26">
        <f t="shared" si="504"/>
        <v>0.13526276532686621</v>
      </c>
      <c r="AM1434" s="26">
        <f t="shared" si="505"/>
        <v>7.8756954756184772E-2</v>
      </c>
      <c r="AN1434" s="26">
        <f t="shared" si="506"/>
        <v>1.3352380952380969</v>
      </c>
      <c r="AO1434" s="26">
        <f t="shared" si="507"/>
        <v>3.2812702156333984</v>
      </c>
      <c r="AP1434" s="26">
        <f t="shared" si="508"/>
        <v>-3.1050208715979437</v>
      </c>
      <c r="AS1434" s="2">
        <v>44046</v>
      </c>
      <c r="AT1434">
        <v>19.3</v>
      </c>
      <c r="AU1434">
        <v>334.7</v>
      </c>
      <c r="AV1434">
        <v>6.4</v>
      </c>
      <c r="AW1434">
        <v>1</v>
      </c>
      <c r="AX1434">
        <v>138.75</v>
      </c>
      <c r="AY1434">
        <v>0.8</v>
      </c>
      <c r="AZ1434">
        <v>4</v>
      </c>
      <c r="BA1434">
        <v>270.39280000000002</v>
      </c>
      <c r="BB1434">
        <v>39.810299999999998</v>
      </c>
      <c r="BC1434">
        <v>177.9813</v>
      </c>
      <c r="BD1434">
        <v>4.2043999999999997</v>
      </c>
      <c r="BE1434">
        <v>27.827200000000001</v>
      </c>
      <c r="BH1434">
        <v>86.31</v>
      </c>
    </row>
    <row r="1435" spans="1:60" x14ac:dyDescent="0.25">
      <c r="A1435" s="2">
        <v>44066</v>
      </c>
      <c r="B1435">
        <v>18</v>
      </c>
      <c r="C1435">
        <v>13.1</v>
      </c>
      <c r="D1435">
        <v>59.5</v>
      </c>
      <c r="E1435">
        <v>6.1</v>
      </c>
      <c r="F1435">
        <v>162.69</v>
      </c>
      <c r="G1435">
        <v>0.4</v>
      </c>
      <c r="H1435">
        <v>2.9</v>
      </c>
      <c r="I1435">
        <v>116.92010000000001</v>
      </c>
      <c r="J1435">
        <v>44.430900000000001</v>
      </c>
      <c r="K1435">
        <v>44.021299999999997</v>
      </c>
      <c r="L1435">
        <v>4.5837000000000003</v>
      </c>
      <c r="M1435">
        <v>9.907</v>
      </c>
      <c r="P1435">
        <v>90.76</v>
      </c>
      <c r="S1435">
        <f t="shared" si="487"/>
        <v>482.55299999999994</v>
      </c>
      <c r="T1435">
        <f t="shared" si="488"/>
        <v>1.6874369847750995E-2</v>
      </c>
      <c r="U1435">
        <f t="shared" si="489"/>
        <v>1.2280791389196556E-2</v>
      </c>
      <c r="V1435">
        <f t="shared" si="490"/>
        <v>5.5779166996732452E-2</v>
      </c>
      <c r="W1435">
        <f t="shared" si="491"/>
        <v>5.7185364484045034E-3</v>
      </c>
      <c r="X1435">
        <f t="shared" si="492"/>
        <v>0.15251617947392274</v>
      </c>
      <c r="Y1435">
        <f t="shared" si="493"/>
        <v>3.7498599661668879E-4</v>
      </c>
      <c r="Z1435">
        <f t="shared" si="494"/>
        <v>2.7186484754709935E-3</v>
      </c>
      <c r="AA1435">
        <f t="shared" si="495"/>
        <v>0.10960850055755729</v>
      </c>
      <c r="AB1435">
        <f t="shared" si="496"/>
        <v>4.1652413292691093E-2</v>
      </c>
      <c r="AC1435">
        <f t="shared" si="497"/>
        <v>4.1268427632155602E-2</v>
      </c>
      <c r="AD1435">
        <f t="shared" si="498"/>
        <v>4.2970582817297908E-3</v>
      </c>
      <c r="AE1435">
        <f t="shared" si="499"/>
        <v>9.287465671203839E-3</v>
      </c>
      <c r="AG1435">
        <f t="shared" si="500"/>
        <v>0.81354352693902288</v>
      </c>
      <c r="AH1435">
        <f t="shared" si="501"/>
        <v>0.25555014429929879</v>
      </c>
      <c r="AI1435">
        <f t="shared" si="502"/>
        <v>-0.18211726725362282</v>
      </c>
      <c r="AK1435" s="26">
        <f t="shared" si="503"/>
        <v>-1.5844551162185305E-2</v>
      </c>
      <c r="AL1435" s="26">
        <f t="shared" si="504"/>
        <v>0.1441353532064924</v>
      </c>
      <c r="AM1435" s="26">
        <f t="shared" si="505"/>
        <v>7.9803647151992063E-2</v>
      </c>
      <c r="AN1435" s="26">
        <f t="shared" si="506"/>
        <v>1.4547619047619094</v>
      </c>
      <c r="AO1435" s="26">
        <f t="shared" si="507"/>
        <v>3.2544505494505245</v>
      </c>
      <c r="AP1435" s="26">
        <f t="shared" si="508"/>
        <v>-3.1818737236215355</v>
      </c>
      <c r="AS1435" s="2">
        <v>44045</v>
      </c>
      <c r="AT1435">
        <v>17.2</v>
      </c>
      <c r="AU1435">
        <v>127.1</v>
      </c>
      <c r="AV1435">
        <v>21.4</v>
      </c>
      <c r="AW1435">
        <v>0.6</v>
      </c>
      <c r="AX1435">
        <v>148.19999999999999</v>
      </c>
      <c r="AY1435">
        <v>0.7</v>
      </c>
      <c r="AZ1435">
        <v>3.5</v>
      </c>
      <c r="BA1435">
        <v>205.27289999999999</v>
      </c>
      <c r="BB1435">
        <v>32.357900000000001</v>
      </c>
      <c r="BC1435">
        <v>136.10470000000001</v>
      </c>
      <c r="BD1435">
        <v>4.2336</v>
      </c>
      <c r="BE1435">
        <v>9.6516999999999999</v>
      </c>
      <c r="BH1435">
        <v>86.11</v>
      </c>
    </row>
    <row r="1436" spans="1:60" x14ac:dyDescent="0.25">
      <c r="A1436" s="2">
        <v>44065</v>
      </c>
      <c r="B1436">
        <v>16.7</v>
      </c>
      <c r="C1436">
        <v>3.6</v>
      </c>
      <c r="D1436">
        <v>82.2</v>
      </c>
      <c r="E1436">
        <v>5.5</v>
      </c>
      <c r="F1436">
        <v>126.17</v>
      </c>
      <c r="G1436">
        <v>0.4</v>
      </c>
      <c r="H1436">
        <v>2.8</v>
      </c>
      <c r="I1436">
        <v>142.33879999999999</v>
      </c>
      <c r="J1436">
        <v>40.991500000000002</v>
      </c>
      <c r="K1436">
        <v>72.257900000000006</v>
      </c>
      <c r="L1436">
        <v>4.5008999999999997</v>
      </c>
      <c r="M1436">
        <v>20.556000000000001</v>
      </c>
      <c r="P1436">
        <v>90.47</v>
      </c>
      <c r="S1436">
        <f t="shared" si="487"/>
        <v>518.01509999999996</v>
      </c>
      <c r="T1436">
        <f t="shared" si="488"/>
        <v>1.5655665358746754E-2</v>
      </c>
      <c r="U1436">
        <f t="shared" si="489"/>
        <v>3.3748739695501988E-3</v>
      </c>
      <c r="V1436">
        <f t="shared" si="490"/>
        <v>7.7059622304729541E-2</v>
      </c>
      <c r="W1436">
        <f t="shared" si="491"/>
        <v>5.1560574534794705E-3</v>
      </c>
      <c r="X1436">
        <f t="shared" si="492"/>
        <v>0.11827995798281905</v>
      </c>
      <c r="Y1436">
        <f t="shared" si="493"/>
        <v>3.7498599661668879E-4</v>
      </c>
      <c r="Z1436">
        <f t="shared" si="494"/>
        <v>2.624901976316821E-3</v>
      </c>
      <c r="AA1436">
        <f t="shared" si="495"/>
        <v>0.13343764193805885</v>
      </c>
      <c r="AB1436">
        <f t="shared" si="496"/>
        <v>3.8428096200782497E-2</v>
      </c>
      <c r="AC1436">
        <f t="shared" si="497"/>
        <v>6.7739251612322596E-2</v>
      </c>
      <c r="AD1436">
        <f t="shared" si="498"/>
        <v>4.2194361804301361E-3</v>
      </c>
      <c r="AE1436">
        <f t="shared" si="499"/>
        <v>1.9270530366131636E-2</v>
      </c>
      <c r="AG1436">
        <f t="shared" si="500"/>
        <v>0.79166757182264691</v>
      </c>
      <c r="AH1436">
        <f t="shared" si="501"/>
        <v>0.24179659540839019</v>
      </c>
      <c r="AI1436">
        <f t="shared" si="502"/>
        <v>-0.26565430610308838</v>
      </c>
      <c r="AK1436" s="26">
        <f t="shared" si="503"/>
        <v>-1.0890896864498678E-2</v>
      </c>
      <c r="AL1436" s="26">
        <f t="shared" si="504"/>
        <v>0.15614257920680774</v>
      </c>
      <c r="AM1436" s="26">
        <f t="shared" si="505"/>
        <v>8.1730358141893777E-2</v>
      </c>
      <c r="AN1436" s="26">
        <f t="shared" si="506"/>
        <v>1.5714285714285836</v>
      </c>
      <c r="AO1436" s="26">
        <f t="shared" si="507"/>
        <v>3.2253221288515306</v>
      </c>
      <c r="AP1436" s="26">
        <f t="shared" si="508"/>
        <v>-3.2605691480131895</v>
      </c>
      <c r="AS1436" s="2">
        <v>44044</v>
      </c>
      <c r="AT1436">
        <v>18</v>
      </c>
      <c r="AU1436">
        <v>187.7</v>
      </c>
      <c r="AV1436">
        <v>47</v>
      </c>
      <c r="AW1436">
        <v>3</v>
      </c>
      <c r="AX1436">
        <v>218.69</v>
      </c>
      <c r="AY1436">
        <v>0.7</v>
      </c>
      <c r="AZ1436">
        <v>4.3</v>
      </c>
      <c r="BA1436">
        <v>200.89789999999999</v>
      </c>
      <c r="BB1436">
        <v>30.480699999999999</v>
      </c>
      <c r="BC1436">
        <v>124.7137</v>
      </c>
      <c r="BD1436">
        <v>4.1822999999999997</v>
      </c>
      <c r="BE1436">
        <v>18.832599999999999</v>
      </c>
      <c r="BH1436">
        <v>85.83</v>
      </c>
    </row>
    <row r="1437" spans="1:60" x14ac:dyDescent="0.25">
      <c r="A1437" s="2">
        <v>44064</v>
      </c>
      <c r="B1437">
        <v>17.3</v>
      </c>
      <c r="C1437">
        <v>14.7</v>
      </c>
      <c r="D1437">
        <v>60.6</v>
      </c>
      <c r="E1437">
        <v>4.8</v>
      </c>
      <c r="F1437">
        <v>194.69</v>
      </c>
      <c r="G1437">
        <v>0.4</v>
      </c>
      <c r="H1437">
        <v>3.1</v>
      </c>
      <c r="I1437">
        <v>228.71610000000001</v>
      </c>
      <c r="J1437">
        <v>36.282800000000002</v>
      </c>
      <c r="K1437">
        <v>109.7577</v>
      </c>
      <c r="L1437">
        <v>4.4696999999999996</v>
      </c>
      <c r="M1437">
        <v>23.5107</v>
      </c>
      <c r="N1437">
        <v>8.6540999999999997</v>
      </c>
      <c r="O1437">
        <v>-5.1837</v>
      </c>
      <c r="P1437">
        <v>90.17</v>
      </c>
      <c r="S1437">
        <f t="shared" si="487"/>
        <v>698.327</v>
      </c>
      <c r="T1437">
        <f t="shared" si="488"/>
        <v>1.621814435367179E-2</v>
      </c>
      <c r="U1437">
        <f t="shared" si="489"/>
        <v>1.3780735375663312E-2</v>
      </c>
      <c r="V1437">
        <f t="shared" si="490"/>
        <v>5.6810378487428349E-2</v>
      </c>
      <c r="W1437">
        <f t="shared" si="491"/>
        <v>4.4998319594002651E-3</v>
      </c>
      <c r="X1437">
        <f t="shared" si="492"/>
        <v>0.18251505920325783</v>
      </c>
      <c r="Y1437">
        <f t="shared" si="493"/>
        <v>3.7498599661668879E-4</v>
      </c>
      <c r="Z1437">
        <f t="shared" si="494"/>
        <v>2.9061414737793379E-3</v>
      </c>
      <c r="AA1437">
        <f t="shared" si="495"/>
        <v>0.21441333675195565</v>
      </c>
      <c r="AB1437">
        <f t="shared" si="496"/>
        <v>3.4013854795109988E-2</v>
      </c>
      <c r="AC1437">
        <f t="shared" si="497"/>
        <v>0.10289400130213885</v>
      </c>
      <c r="AD1437">
        <f t="shared" si="498"/>
        <v>4.1901872726940338E-3</v>
      </c>
      <c r="AE1437">
        <f t="shared" si="499"/>
        <v>2.2040458176639962E-2</v>
      </c>
      <c r="AG1437">
        <f t="shared" si="500"/>
        <v>0.76904022321069188</v>
      </c>
      <c r="AH1437">
        <f t="shared" si="501"/>
        <v>0.29914573502645753</v>
      </c>
      <c r="AI1437">
        <f t="shared" si="502"/>
        <v>7.0717189869505259E-2</v>
      </c>
      <c r="AK1437" s="26">
        <f t="shared" si="503"/>
        <v>-3.4942311194494646E-3</v>
      </c>
      <c r="AL1437" s="26">
        <f t="shared" si="504"/>
        <v>0.17122814885999205</v>
      </c>
      <c r="AM1437" s="26">
        <f t="shared" si="505"/>
        <v>8.8566193855435182E-2</v>
      </c>
      <c r="AN1437" s="26">
        <f t="shared" si="506"/>
        <v>1.6980952380952345</v>
      </c>
      <c r="AO1437" s="26">
        <f t="shared" si="507"/>
        <v>3.1993357142857093</v>
      </c>
      <c r="AP1437" s="26">
        <f t="shared" si="508"/>
        <v>-3.3354920353982322</v>
      </c>
      <c r="AS1437" s="2">
        <v>44043</v>
      </c>
      <c r="AT1437">
        <v>18.100000000000001</v>
      </c>
      <c r="AU1437">
        <v>432.5</v>
      </c>
      <c r="AV1437">
        <v>12.5</v>
      </c>
      <c r="AW1437">
        <v>0.4</v>
      </c>
      <c r="AX1437">
        <v>267.5</v>
      </c>
      <c r="AY1437">
        <v>0.6</v>
      </c>
      <c r="AZ1437">
        <v>4.4000000000000004</v>
      </c>
      <c r="BA1437">
        <v>247.5658</v>
      </c>
      <c r="BB1437">
        <v>28.810700000000001</v>
      </c>
      <c r="BC1437">
        <v>168.46950000000001</v>
      </c>
      <c r="BD1437">
        <v>4.1704999999999997</v>
      </c>
      <c r="BE1437">
        <v>31.634699999999999</v>
      </c>
      <c r="BH1437">
        <v>85.32</v>
      </c>
    </row>
    <row r="1438" spans="1:60" x14ac:dyDescent="0.25">
      <c r="A1438" s="2">
        <v>44063</v>
      </c>
      <c r="B1438">
        <v>18</v>
      </c>
      <c r="C1438">
        <v>41</v>
      </c>
      <c r="D1438">
        <v>35.200000000000003</v>
      </c>
      <c r="E1438">
        <v>2</v>
      </c>
      <c r="F1438">
        <v>198.68</v>
      </c>
      <c r="G1438">
        <v>0.5</v>
      </c>
      <c r="H1438">
        <v>3.1</v>
      </c>
      <c r="I1438">
        <v>284.08109999999999</v>
      </c>
      <c r="J1438">
        <v>65.135900000000007</v>
      </c>
      <c r="K1438">
        <v>145.14420000000001</v>
      </c>
      <c r="L1438">
        <v>4.6426999999999996</v>
      </c>
      <c r="M1438">
        <v>34.335099999999997</v>
      </c>
      <c r="N1438">
        <v>8.1780000000000008</v>
      </c>
      <c r="O1438">
        <v>-4.7233999999999998</v>
      </c>
      <c r="P1438">
        <v>89.93</v>
      </c>
      <c r="S1438">
        <f t="shared" si="487"/>
        <v>831.81900000000007</v>
      </c>
      <c r="T1438">
        <f t="shared" si="488"/>
        <v>1.6874369847750995E-2</v>
      </c>
      <c r="U1438">
        <f t="shared" si="489"/>
        <v>3.8436064653210596E-2</v>
      </c>
      <c r="V1438">
        <f t="shared" si="490"/>
        <v>3.2998767702268617E-2</v>
      </c>
      <c r="W1438">
        <f t="shared" si="491"/>
        <v>1.8749299830834439E-3</v>
      </c>
      <c r="X1438">
        <f t="shared" si="492"/>
        <v>0.18625554451950932</v>
      </c>
      <c r="Y1438">
        <f t="shared" si="493"/>
        <v>4.6873249577086097E-4</v>
      </c>
      <c r="Z1438">
        <f t="shared" si="494"/>
        <v>2.9061414737793379E-3</v>
      </c>
      <c r="AA1438">
        <f t="shared" si="495"/>
        <v>0.26631608600866302</v>
      </c>
      <c r="AB1438">
        <f t="shared" si="496"/>
        <v>6.1062625942562447E-2</v>
      </c>
      <c r="AC1438">
        <f t="shared" si="497"/>
        <v>0.13606760622533001</v>
      </c>
      <c r="AD1438">
        <f t="shared" si="498"/>
        <v>4.3523687162307523E-3</v>
      </c>
      <c r="AE1438">
        <f t="shared" si="499"/>
        <v>3.218795423108417E-2</v>
      </c>
      <c r="AG1438">
        <f t="shared" si="500"/>
        <v>0.75082036455289125</v>
      </c>
      <c r="AH1438">
        <f t="shared" si="501"/>
        <v>0.31200250490645731</v>
      </c>
      <c r="AI1438">
        <f t="shared" si="502"/>
        <v>0.14204585776848822</v>
      </c>
      <c r="AK1438" s="26">
        <f t="shared" si="503"/>
        <v>1.6256866121941382E-2</v>
      </c>
      <c r="AL1438" s="26">
        <f t="shared" si="504"/>
        <v>0.18896217168050827</v>
      </c>
      <c r="AM1438" s="26">
        <f t="shared" si="505"/>
        <v>9.9798592550149223E-2</v>
      </c>
      <c r="AN1438" s="26">
        <f t="shared" si="506"/>
        <v>1.8076190476190419</v>
      </c>
      <c r="AO1438" s="26">
        <f t="shared" si="507"/>
        <v>3.1726020408163009</v>
      </c>
      <c r="AP1438" s="26">
        <f t="shared" si="508"/>
        <v>-3.4147841791583886</v>
      </c>
      <c r="AS1438" s="2">
        <v>44042</v>
      </c>
      <c r="AT1438">
        <v>17.899999999999999</v>
      </c>
      <c r="AU1438">
        <v>431.6</v>
      </c>
      <c r="AV1438">
        <v>41.5</v>
      </c>
      <c r="AW1438">
        <v>1.7</v>
      </c>
      <c r="AX1438">
        <v>264.41000000000003</v>
      </c>
      <c r="AY1438">
        <v>0.8</v>
      </c>
      <c r="AZ1438">
        <v>4.3</v>
      </c>
      <c r="BA1438">
        <v>216.44900000000001</v>
      </c>
      <c r="BB1438">
        <v>32.518700000000003</v>
      </c>
      <c r="BC1438">
        <v>170.19820000000001</v>
      </c>
      <c r="BD1438">
        <v>4.4565999999999999</v>
      </c>
      <c r="BE1438">
        <v>25.665800000000001</v>
      </c>
      <c r="BH1438">
        <v>85.47</v>
      </c>
    </row>
    <row r="1439" spans="1:60" x14ac:dyDescent="0.25">
      <c r="A1439" s="2">
        <v>44062</v>
      </c>
      <c r="B1439">
        <v>18.899999999999999</v>
      </c>
      <c r="C1439">
        <v>19.600000000000001</v>
      </c>
      <c r="D1439">
        <v>8.8000000000000007</v>
      </c>
      <c r="E1439">
        <v>0.4</v>
      </c>
      <c r="F1439">
        <v>217.63</v>
      </c>
      <c r="G1439">
        <v>0.5</v>
      </c>
      <c r="H1439">
        <v>2.7</v>
      </c>
      <c r="I1439">
        <v>307.75490000000002</v>
      </c>
      <c r="J1439">
        <v>85.292299999999997</v>
      </c>
      <c r="K1439">
        <v>148.0138</v>
      </c>
      <c r="L1439">
        <v>4.2666000000000004</v>
      </c>
      <c r="M1439">
        <v>26.511099999999999</v>
      </c>
      <c r="N1439">
        <v>7.8460999999999999</v>
      </c>
      <c r="O1439">
        <v>-4.7572000000000001</v>
      </c>
      <c r="P1439">
        <v>89.75</v>
      </c>
      <c r="S1439">
        <f t="shared" si="487"/>
        <v>840.36869999999999</v>
      </c>
      <c r="T1439">
        <f t="shared" si="488"/>
        <v>1.7718088340138542E-2</v>
      </c>
      <c r="U1439">
        <f t="shared" si="489"/>
        <v>1.837431383421775E-2</v>
      </c>
      <c r="V1439">
        <f t="shared" si="490"/>
        <v>8.2496919255671541E-3</v>
      </c>
      <c r="W1439">
        <f t="shared" si="491"/>
        <v>3.7498599661668879E-4</v>
      </c>
      <c r="X1439">
        <f t="shared" si="492"/>
        <v>0.20402050610922493</v>
      </c>
      <c r="Y1439">
        <f t="shared" si="493"/>
        <v>4.6873249577086097E-4</v>
      </c>
      <c r="Z1439">
        <f t="shared" si="494"/>
        <v>2.5311554771626494E-3</v>
      </c>
      <c r="AA1439">
        <f t="shared" si="495"/>
        <v>0.2885094447254235</v>
      </c>
      <c r="AB1439">
        <f t="shared" si="496"/>
        <v>7.9958545298074002E-2</v>
      </c>
      <c r="AC1439">
        <f t="shared" si="497"/>
        <v>0.13875775576505811</v>
      </c>
      <c r="AD1439">
        <f t="shared" si="498"/>
        <v>3.9997881329119113E-3</v>
      </c>
      <c r="AE1439">
        <f t="shared" si="499"/>
        <v>2.4853228137261742E-2</v>
      </c>
      <c r="AG1439">
        <f t="shared" si="500"/>
        <v>0.73706851852322064</v>
      </c>
      <c r="AH1439">
        <f t="shared" si="501"/>
        <v>0.27659070231596034</v>
      </c>
      <c r="AI1439">
        <f t="shared" si="502"/>
        <v>-7.2333980656409599E-2</v>
      </c>
      <c r="AK1439" s="26">
        <f t="shared" si="503"/>
        <v>3.1756269458955266E-2</v>
      </c>
      <c r="AL1439" s="26">
        <f t="shared" si="504"/>
        <v>0.19141216060788124</v>
      </c>
      <c r="AM1439" s="26">
        <f t="shared" si="505"/>
        <v>9.7992286612100188E-2</v>
      </c>
      <c r="AN1439" s="26">
        <f t="shared" si="506"/>
        <v>1.9399999999999835</v>
      </c>
      <c r="AO1439" s="26">
        <f t="shared" si="507"/>
        <v>3.1471130952380832</v>
      </c>
      <c r="AP1439" s="26">
        <f t="shared" si="508"/>
        <v>-3.4933609882005499</v>
      </c>
      <c r="AS1439" s="2">
        <v>44041</v>
      </c>
      <c r="AT1439">
        <v>18</v>
      </c>
      <c r="AU1439">
        <v>437.1</v>
      </c>
      <c r="AV1439">
        <v>83.8</v>
      </c>
      <c r="AW1439">
        <v>6.2</v>
      </c>
      <c r="AX1439">
        <v>241.45</v>
      </c>
      <c r="AY1439">
        <v>0.5</v>
      </c>
      <c r="AZ1439">
        <v>4.3</v>
      </c>
      <c r="BA1439">
        <v>147.27109999999999</v>
      </c>
      <c r="BB1439">
        <v>50.140900000000002</v>
      </c>
      <c r="BC1439">
        <v>122.92910000000001</v>
      </c>
      <c r="BD1439">
        <v>4.1466000000000003</v>
      </c>
      <c r="BE1439">
        <v>25.892700000000001</v>
      </c>
      <c r="BH1439">
        <v>85.32</v>
      </c>
    </row>
    <row r="1440" spans="1:60" x14ac:dyDescent="0.25">
      <c r="A1440" s="2">
        <v>44061</v>
      </c>
      <c r="B1440">
        <v>19.5</v>
      </c>
      <c r="C1440">
        <v>229.1</v>
      </c>
      <c r="D1440">
        <v>5.8</v>
      </c>
      <c r="E1440">
        <v>0.8</v>
      </c>
      <c r="F1440">
        <v>170.23</v>
      </c>
      <c r="G1440">
        <v>0.4</v>
      </c>
      <c r="H1440">
        <v>2.9</v>
      </c>
      <c r="I1440">
        <v>308.81810000000002</v>
      </c>
      <c r="J1440">
        <v>99.925799999999995</v>
      </c>
      <c r="K1440">
        <v>145.7774</v>
      </c>
      <c r="L1440">
        <v>4.1525999999999996</v>
      </c>
      <c r="M1440">
        <v>31.326899999999998</v>
      </c>
      <c r="N1440">
        <v>7.5994000000000002</v>
      </c>
      <c r="O1440">
        <v>-4.7961999999999998</v>
      </c>
      <c r="P1440">
        <v>89.57</v>
      </c>
      <c r="S1440">
        <f t="shared" si="487"/>
        <v>1018.7307999999999</v>
      </c>
      <c r="T1440">
        <f t="shared" si="488"/>
        <v>1.8280567335063579E-2</v>
      </c>
      <c r="U1440">
        <f t="shared" si="489"/>
        <v>0.21477322956220848</v>
      </c>
      <c r="V1440">
        <f t="shared" si="490"/>
        <v>5.4372969509419869E-3</v>
      </c>
      <c r="W1440">
        <f t="shared" si="491"/>
        <v>7.4997199323337759E-4</v>
      </c>
      <c r="X1440">
        <f t="shared" si="492"/>
        <v>0.1595846655101473</v>
      </c>
      <c r="Y1440">
        <f t="shared" si="493"/>
        <v>3.7498599661668879E-4</v>
      </c>
      <c r="Z1440">
        <f t="shared" si="494"/>
        <v>2.7186484754709935E-3</v>
      </c>
      <c r="AA1440">
        <f t="shared" si="495"/>
        <v>0.28950615750443065</v>
      </c>
      <c r="AB1440">
        <f t="shared" si="496"/>
        <v>9.367693925179979E-2</v>
      </c>
      <c r="AC1440">
        <f t="shared" si="497"/>
        <v>0.13666120905797421</v>
      </c>
      <c r="AD1440">
        <f t="shared" si="498"/>
        <v>3.8929171238761542E-3</v>
      </c>
      <c r="AE1440">
        <f t="shared" si="499"/>
        <v>2.9367872043528368E-2</v>
      </c>
      <c r="AG1440">
        <f t="shared" si="500"/>
        <v>0.72333170563714511</v>
      </c>
      <c r="AH1440">
        <f t="shared" si="501"/>
        <v>0.43128723786721074</v>
      </c>
      <c r="AI1440">
        <f t="shared" si="502"/>
        <v>0.83161300233954971</v>
      </c>
      <c r="AK1440" s="26">
        <f t="shared" si="503"/>
        <v>7.3787021301637445E-2</v>
      </c>
      <c r="AL1440" s="26">
        <f t="shared" si="504"/>
        <v>0.19871985704297579</v>
      </c>
      <c r="AM1440" s="26">
        <f t="shared" si="505"/>
        <v>9.9070089578707554E-2</v>
      </c>
      <c r="AN1440" s="26">
        <f t="shared" si="506"/>
        <v>2.0747619047619139</v>
      </c>
      <c r="AO1440" s="26">
        <f t="shared" si="507"/>
        <v>3.1219642857142702</v>
      </c>
      <c r="AP1440" s="26">
        <f t="shared" si="508"/>
        <v>-3.5722123893804962</v>
      </c>
      <c r="AS1440" s="2">
        <v>44040</v>
      </c>
      <c r="AT1440">
        <v>17.600000000000001</v>
      </c>
      <c r="AU1440">
        <v>248.6</v>
      </c>
      <c r="AV1440">
        <v>80.5</v>
      </c>
      <c r="AW1440">
        <v>7.5</v>
      </c>
      <c r="AX1440">
        <v>202.85</v>
      </c>
      <c r="AZ1440">
        <v>4.0999999999999996</v>
      </c>
      <c r="BA1440">
        <v>125.7597</v>
      </c>
      <c r="BB1440">
        <v>41.54</v>
      </c>
      <c r="BC1440">
        <v>119.26090000000001</v>
      </c>
      <c r="BD1440">
        <v>4.1520000000000001</v>
      </c>
      <c r="BE1440">
        <v>20.466000000000001</v>
      </c>
      <c r="BH1440">
        <v>85.13</v>
      </c>
    </row>
    <row r="1441" spans="1:60" x14ac:dyDescent="0.25">
      <c r="A1441" s="2">
        <v>44060</v>
      </c>
      <c r="B1441">
        <v>18.100000000000001</v>
      </c>
      <c r="C1441">
        <v>280.39999999999998</v>
      </c>
      <c r="D1441">
        <v>10.6</v>
      </c>
      <c r="E1441">
        <v>1.4</v>
      </c>
      <c r="F1441">
        <v>151.74</v>
      </c>
      <c r="G1441">
        <v>0.5</v>
      </c>
      <c r="H1441">
        <v>3.6</v>
      </c>
      <c r="I1441">
        <v>288.82850000000002</v>
      </c>
      <c r="J1441">
        <v>83.581699999999998</v>
      </c>
      <c r="K1441">
        <v>142.43459999999999</v>
      </c>
      <c r="L1441">
        <v>4.1582999999999997</v>
      </c>
      <c r="M1441">
        <v>40.261200000000002</v>
      </c>
      <c r="N1441">
        <v>7.1287000000000003</v>
      </c>
      <c r="O1441">
        <v>-5.8758999999999997</v>
      </c>
      <c r="P1441">
        <v>89.39</v>
      </c>
      <c r="S1441">
        <f t="shared" si="487"/>
        <v>1025.6043</v>
      </c>
      <c r="T1441">
        <f t="shared" si="488"/>
        <v>1.696811634690517E-2</v>
      </c>
      <c r="U1441">
        <f t="shared" si="489"/>
        <v>0.2628651836282988</v>
      </c>
      <c r="V1441">
        <f t="shared" si="490"/>
        <v>9.9371289103422512E-3</v>
      </c>
      <c r="W1441">
        <f t="shared" si="491"/>
        <v>1.3124509881584105E-3</v>
      </c>
      <c r="X1441">
        <f t="shared" si="492"/>
        <v>0.14225093781654088</v>
      </c>
      <c r="Y1441">
        <f t="shared" si="493"/>
        <v>4.6873249577086097E-4</v>
      </c>
      <c r="Z1441">
        <f t="shared" si="494"/>
        <v>3.3748739695501988E-3</v>
      </c>
      <c r="AA1441">
        <f t="shared" si="495"/>
        <v>0.27076660730950824</v>
      </c>
      <c r="AB1441">
        <f t="shared" si="496"/>
        <v>7.8354917683542732E-2</v>
      </c>
      <c r="AC1441">
        <f t="shared" si="497"/>
        <v>0.13352745108424854</v>
      </c>
      <c r="AD1441">
        <f t="shared" si="498"/>
        <v>3.8982606743279418E-3</v>
      </c>
      <c r="AE1441">
        <f t="shared" si="499"/>
        <v>3.7743465517459579E-2</v>
      </c>
      <c r="AG1441">
        <f t="shared" si="500"/>
        <v>0.70961704579492091</v>
      </c>
      <c r="AH1441">
        <f t="shared" si="501"/>
        <v>0.47492088967302615</v>
      </c>
      <c r="AI1441">
        <f t="shared" si="502"/>
        <v>1.087940607814085</v>
      </c>
      <c r="AK1441" s="26">
        <f t="shared" si="503"/>
        <v>8.985825596289676E-2</v>
      </c>
      <c r="AL1441" s="26">
        <f t="shared" si="504"/>
        <v>0.19271101744347796</v>
      </c>
      <c r="AM1441" s="26">
        <f t="shared" si="505"/>
        <v>9.2537566435208995E-2</v>
      </c>
      <c r="AN1441" s="26">
        <f t="shared" si="506"/>
        <v>2.1838095238094866</v>
      </c>
      <c r="AO1441" s="26">
        <f t="shared" si="507"/>
        <v>3.093299689441011</v>
      </c>
      <c r="AP1441" s="26">
        <f t="shared" si="508"/>
        <v>-3.6547518276259723</v>
      </c>
      <c r="AS1441" s="2">
        <v>44039</v>
      </c>
      <c r="AT1441">
        <v>17.399999999999999</v>
      </c>
      <c r="AU1441">
        <v>154.4</v>
      </c>
      <c r="AV1441">
        <v>42.4</v>
      </c>
      <c r="AW1441">
        <v>1.8</v>
      </c>
      <c r="AX1441">
        <v>204.49</v>
      </c>
      <c r="AY1441">
        <v>0</v>
      </c>
      <c r="AZ1441">
        <v>3.6</v>
      </c>
      <c r="BA1441">
        <v>197.53120000000001</v>
      </c>
      <c r="BB1441">
        <v>37.497799999999998</v>
      </c>
      <c r="BC1441">
        <v>149.77269999999999</v>
      </c>
      <c r="BD1441">
        <v>4.9114000000000004</v>
      </c>
      <c r="BE1441">
        <v>29.337</v>
      </c>
      <c r="BH1441">
        <v>84.93</v>
      </c>
    </row>
    <row r="1442" spans="1:60" x14ac:dyDescent="0.25">
      <c r="A1442" s="2">
        <v>44059</v>
      </c>
      <c r="B1442">
        <v>17.100000000000001</v>
      </c>
      <c r="C1442">
        <v>2.1</v>
      </c>
      <c r="D1442">
        <v>12.2</v>
      </c>
      <c r="E1442">
        <v>1.3</v>
      </c>
      <c r="F1442">
        <v>223.83</v>
      </c>
      <c r="G1442">
        <v>0.4</v>
      </c>
      <c r="H1442">
        <v>4.0999999999999996</v>
      </c>
      <c r="I1442">
        <v>193.6163</v>
      </c>
      <c r="J1442">
        <v>48.3386</v>
      </c>
      <c r="K1442">
        <v>98.307699999999997</v>
      </c>
      <c r="L1442">
        <v>4.1760000000000002</v>
      </c>
      <c r="M1442">
        <v>10.982699999999999</v>
      </c>
      <c r="P1442">
        <v>89.17</v>
      </c>
      <c r="S1442">
        <f t="shared" si="487"/>
        <v>616.45130000000006</v>
      </c>
      <c r="T1442">
        <f t="shared" si="488"/>
        <v>1.6030651355363447E-2</v>
      </c>
      <c r="U1442">
        <f t="shared" si="489"/>
        <v>1.9686764822376161E-3</v>
      </c>
      <c r="V1442">
        <f t="shared" si="490"/>
        <v>1.1437072896809007E-2</v>
      </c>
      <c r="W1442">
        <f t="shared" si="491"/>
        <v>1.2187044890042385E-3</v>
      </c>
      <c r="X1442">
        <f t="shared" si="492"/>
        <v>0.20983278905678363</v>
      </c>
      <c r="Y1442">
        <f t="shared" si="493"/>
        <v>3.7498599661668879E-4</v>
      </c>
      <c r="Z1442">
        <f t="shared" si="494"/>
        <v>3.8436064653210593E-3</v>
      </c>
      <c r="AA1442">
        <f t="shared" si="495"/>
        <v>0.18150850304183949</v>
      </c>
      <c r="AB1442">
        <f t="shared" si="496"/>
        <v>4.5315745240138677E-2</v>
      </c>
      <c r="AC1442">
        <f t="shared" si="497"/>
        <v>9.2160027148986134E-2</v>
      </c>
      <c r="AD1442">
        <f t="shared" si="498"/>
        <v>3.9148538046782306E-3</v>
      </c>
      <c r="AE1442">
        <f t="shared" si="499"/>
        <v>1.0295896762605269E-2</v>
      </c>
      <c r="AG1442">
        <f t="shared" si="500"/>
        <v>0.69299857877406434</v>
      </c>
      <c r="AH1442">
        <f t="shared" si="501"/>
        <v>0.25500238350474097</v>
      </c>
      <c r="AI1442">
        <f t="shared" si="502"/>
        <v>-0.19528917543075078</v>
      </c>
      <c r="AK1442" s="26">
        <f t="shared" si="503"/>
        <v>0.10401337021499174</v>
      </c>
      <c r="AL1442" s="26">
        <f t="shared" si="504"/>
        <v>0.19245635704273795</v>
      </c>
      <c r="AM1442" s="26">
        <f t="shared" si="505"/>
        <v>9.0255107273669422E-2</v>
      </c>
      <c r="AN1442" s="26">
        <f t="shared" si="506"/>
        <v>2.2919047619047461</v>
      </c>
      <c r="AO1442" s="26">
        <f t="shared" si="507"/>
        <v>3.0621190476190492</v>
      </c>
      <c r="AP1442" s="26">
        <f t="shared" si="508"/>
        <v>-3.7398879056046752</v>
      </c>
      <c r="AS1442" s="2">
        <v>44038</v>
      </c>
      <c r="AT1442">
        <v>17.5</v>
      </c>
      <c r="AU1442">
        <v>497.7</v>
      </c>
      <c r="AV1442">
        <v>52.9</v>
      </c>
      <c r="AW1442">
        <v>4.3</v>
      </c>
      <c r="AX1442">
        <v>168.56</v>
      </c>
      <c r="AY1442">
        <v>0</v>
      </c>
      <c r="AZ1442">
        <v>3.4</v>
      </c>
      <c r="BA1442">
        <v>131.12</v>
      </c>
      <c r="BB1442">
        <v>25.332799999999999</v>
      </c>
      <c r="BC1442">
        <v>78.887799999999999</v>
      </c>
      <c r="BD1442">
        <v>6.5864000000000003</v>
      </c>
      <c r="BE1442">
        <v>13.7234</v>
      </c>
      <c r="BH1442">
        <v>84.73</v>
      </c>
    </row>
    <row r="1443" spans="1:60" x14ac:dyDescent="0.25">
      <c r="A1443" s="2">
        <v>44058</v>
      </c>
      <c r="B1443">
        <v>18.8</v>
      </c>
      <c r="C1443">
        <v>275.60000000000002</v>
      </c>
      <c r="D1443">
        <v>16.5</v>
      </c>
      <c r="E1443">
        <v>0.3</v>
      </c>
      <c r="F1443">
        <v>166</v>
      </c>
      <c r="G1443">
        <v>0.5</v>
      </c>
      <c r="H1443">
        <v>4.0999999999999996</v>
      </c>
      <c r="I1443">
        <v>236.8192</v>
      </c>
      <c r="J1443">
        <v>44.593000000000004</v>
      </c>
      <c r="K1443">
        <v>127.50490000000001</v>
      </c>
      <c r="L1443">
        <v>4.1820000000000004</v>
      </c>
      <c r="M1443">
        <v>17.189599999999999</v>
      </c>
      <c r="P1443">
        <v>88.88</v>
      </c>
      <c r="S1443">
        <f t="shared" si="487"/>
        <v>912.08870000000013</v>
      </c>
      <c r="T1443">
        <f t="shared" si="488"/>
        <v>1.7624341840984374E-2</v>
      </c>
      <c r="U1443">
        <f t="shared" si="489"/>
        <v>0.25836535166889857</v>
      </c>
      <c r="V1443">
        <f t="shared" si="490"/>
        <v>1.5468172360438412E-2</v>
      </c>
      <c r="W1443">
        <f t="shared" si="491"/>
        <v>2.8123949746251657E-4</v>
      </c>
      <c r="X1443">
        <f t="shared" si="492"/>
        <v>0.15561918859592583</v>
      </c>
      <c r="Y1443">
        <f t="shared" si="493"/>
        <v>4.6873249577086097E-4</v>
      </c>
      <c r="Z1443">
        <f t="shared" si="494"/>
        <v>3.8436064653210593E-3</v>
      </c>
      <c r="AA1443">
        <f t="shared" si="495"/>
        <v>0.22200970932491734</v>
      </c>
      <c r="AB1443">
        <f t="shared" si="496"/>
        <v>4.1804376367820008E-2</v>
      </c>
      <c r="AC1443">
        <f t="shared" si="497"/>
        <v>0.11953138000002811</v>
      </c>
      <c r="AD1443">
        <f t="shared" si="498"/>
        <v>3.9204785946274816E-3</v>
      </c>
      <c r="AE1443">
        <f t="shared" si="499"/>
        <v>1.611464821860558E-2</v>
      </c>
      <c r="AG1443">
        <f t="shared" si="500"/>
        <v>0.67123613980098151</v>
      </c>
      <c r="AH1443">
        <f t="shared" si="501"/>
        <v>0.46778528114340717</v>
      </c>
      <c r="AI1443">
        <f t="shared" si="502"/>
        <v>1.0501265422979407</v>
      </c>
      <c r="AK1443" s="26">
        <f t="shared" si="503"/>
        <v>0.15441576925040285</v>
      </c>
      <c r="AL1443" s="26">
        <f t="shared" si="504"/>
        <v>0.208040394859905</v>
      </c>
      <c r="AM1443" s="26">
        <f t="shared" si="505"/>
        <v>0.10120598852845786</v>
      </c>
      <c r="AN1443" s="26">
        <f t="shared" si="506"/>
        <v>2.4004761904761693</v>
      </c>
      <c r="AO1443" s="26">
        <f t="shared" si="507"/>
        <v>3.0293993506493422</v>
      </c>
      <c r="AP1443" s="26">
        <f t="shared" si="508"/>
        <v>-3.8276186645212817</v>
      </c>
      <c r="AS1443" s="2">
        <v>44037</v>
      </c>
      <c r="AT1443">
        <v>20.2</v>
      </c>
      <c r="AU1443">
        <v>189.6</v>
      </c>
      <c r="AV1443">
        <v>30.9</v>
      </c>
      <c r="AW1443">
        <v>1.3</v>
      </c>
      <c r="AX1443">
        <v>188.76</v>
      </c>
      <c r="AY1443">
        <v>0</v>
      </c>
      <c r="AZ1443">
        <v>4</v>
      </c>
      <c r="BA1443">
        <v>167.32900000000001</v>
      </c>
      <c r="BB1443">
        <v>26.735099999999999</v>
      </c>
      <c r="BC1443">
        <v>125.0064</v>
      </c>
      <c r="BD1443">
        <v>6.6155999999999997</v>
      </c>
      <c r="BE1443">
        <v>19.5246</v>
      </c>
      <c r="BH1443">
        <v>84.43</v>
      </c>
    </row>
    <row r="1444" spans="1:60" x14ac:dyDescent="0.25">
      <c r="A1444" s="2">
        <v>44057</v>
      </c>
      <c r="B1444">
        <v>18.600000000000001</v>
      </c>
      <c r="C1444">
        <v>341.5</v>
      </c>
      <c r="D1444">
        <v>16.5</v>
      </c>
      <c r="E1444">
        <v>1</v>
      </c>
      <c r="F1444">
        <v>143.84</v>
      </c>
      <c r="G1444">
        <v>0.5</v>
      </c>
      <c r="H1444">
        <v>3.8</v>
      </c>
      <c r="I1444">
        <v>277.8759</v>
      </c>
      <c r="J1444">
        <v>86.335400000000007</v>
      </c>
      <c r="K1444">
        <v>143.8219</v>
      </c>
      <c r="L1444">
        <v>4.2057000000000002</v>
      </c>
      <c r="M1444">
        <v>33.293300000000002</v>
      </c>
      <c r="N1444">
        <v>6.3712999999999997</v>
      </c>
      <c r="O1444">
        <v>-6.6086999999999998</v>
      </c>
      <c r="P1444">
        <v>88.61</v>
      </c>
      <c r="S1444">
        <f t="shared" si="487"/>
        <v>1071.2722000000001</v>
      </c>
      <c r="T1444">
        <f t="shared" si="488"/>
        <v>1.7436848842676027E-2</v>
      </c>
      <c r="U1444">
        <f t="shared" si="489"/>
        <v>0.32014429461149801</v>
      </c>
      <c r="V1444">
        <f t="shared" si="490"/>
        <v>1.5468172360438412E-2</v>
      </c>
      <c r="W1444">
        <f t="shared" si="491"/>
        <v>9.3746499154172193E-4</v>
      </c>
      <c r="X1444">
        <f t="shared" si="492"/>
        <v>0.13484496438336127</v>
      </c>
      <c r="Y1444">
        <f t="shared" si="493"/>
        <v>4.6873249577086097E-4</v>
      </c>
      <c r="Z1444">
        <f t="shared" si="494"/>
        <v>3.5623669678585433E-3</v>
      </c>
      <c r="AA1444">
        <f t="shared" si="495"/>
        <v>0.26049892824314835</v>
      </c>
      <c r="AB1444">
        <f t="shared" si="496"/>
        <v>8.0936415030751191E-2</v>
      </c>
      <c r="AC1444">
        <f t="shared" si="497"/>
        <v>0.13482799626701436</v>
      </c>
      <c r="AD1444">
        <f t="shared" si="498"/>
        <v>3.9426965149270202E-3</v>
      </c>
      <c r="AE1444">
        <f t="shared" si="499"/>
        <v>3.1211303202896012E-2</v>
      </c>
      <c r="AG1444">
        <f t="shared" si="500"/>
        <v>0.65097297906740237</v>
      </c>
      <c r="AH1444">
        <f t="shared" si="501"/>
        <v>0.5240741478560409</v>
      </c>
      <c r="AI1444">
        <f t="shared" si="502"/>
        <v>1.3734979383074886</v>
      </c>
      <c r="AK1444" s="26">
        <f t="shared" si="503"/>
        <v>0.16664566075467768</v>
      </c>
      <c r="AL1444" s="26">
        <f t="shared" si="504"/>
        <v>0.20630901916623429</v>
      </c>
      <c r="AM1444" s="26">
        <f t="shared" si="505"/>
        <v>9.7437066986178822E-2</v>
      </c>
      <c r="AN1444" s="26">
        <f t="shared" si="506"/>
        <v>2.5123809523809371</v>
      </c>
      <c r="AO1444" s="26">
        <f t="shared" si="507"/>
        <v>2.9957101328903661</v>
      </c>
      <c r="AP1444" s="26">
        <f t="shared" si="508"/>
        <v>-3.9152459353776266</v>
      </c>
      <c r="AS1444" s="2">
        <v>44036</v>
      </c>
      <c r="AT1444">
        <v>20.399999999999999</v>
      </c>
      <c r="AU1444">
        <v>607</v>
      </c>
      <c r="AV1444">
        <v>32.9</v>
      </c>
      <c r="AW1444">
        <v>3.7</v>
      </c>
      <c r="AX1444">
        <v>186.16</v>
      </c>
      <c r="AY1444">
        <v>0.5</v>
      </c>
      <c r="AZ1444">
        <v>4.5</v>
      </c>
      <c r="BA1444">
        <v>231.5909</v>
      </c>
      <c r="BB1444">
        <v>27.797499999999999</v>
      </c>
      <c r="BC1444">
        <v>156.3356</v>
      </c>
      <c r="BD1444">
        <v>4.1566000000000001</v>
      </c>
      <c r="BE1444">
        <v>23.523800000000001</v>
      </c>
      <c r="BH1444">
        <v>84.38</v>
      </c>
    </row>
    <row r="1445" spans="1:60" x14ac:dyDescent="0.25">
      <c r="A1445" s="2">
        <v>44056</v>
      </c>
      <c r="B1445">
        <v>18.600000000000001</v>
      </c>
      <c r="C1445">
        <v>63.9</v>
      </c>
      <c r="D1445">
        <v>47.4</v>
      </c>
      <c r="E1445">
        <v>2.1</v>
      </c>
      <c r="F1445">
        <v>152.47</v>
      </c>
      <c r="G1445">
        <v>0.7</v>
      </c>
      <c r="H1445">
        <v>4</v>
      </c>
      <c r="I1445">
        <v>280.05169999999998</v>
      </c>
      <c r="J1445">
        <v>70.8827</v>
      </c>
      <c r="K1445">
        <v>134.94640000000001</v>
      </c>
      <c r="L1445">
        <v>4.2095000000000002</v>
      </c>
      <c r="M1445">
        <v>31.770299999999999</v>
      </c>
      <c r="N1445">
        <v>7.8699000000000003</v>
      </c>
      <c r="O1445">
        <v>-6.6767000000000003</v>
      </c>
      <c r="P1445">
        <v>88.39</v>
      </c>
      <c r="S1445">
        <f t="shared" si="487"/>
        <v>811.03060000000016</v>
      </c>
      <c r="T1445">
        <f t="shared" si="488"/>
        <v>1.7436848842676027E-2</v>
      </c>
      <c r="U1445">
        <f t="shared" si="489"/>
        <v>5.9904012959516029E-2</v>
      </c>
      <c r="V1445">
        <f t="shared" si="490"/>
        <v>4.4435840599077618E-2</v>
      </c>
      <c r="W1445">
        <f t="shared" si="491"/>
        <v>1.9686764822376161E-3</v>
      </c>
      <c r="X1445">
        <f t="shared" si="492"/>
        <v>0.14293528726036633</v>
      </c>
      <c r="Y1445">
        <f t="shared" si="493"/>
        <v>6.5622549407920526E-4</v>
      </c>
      <c r="Z1445">
        <f t="shared" si="494"/>
        <v>3.7498599661668877E-3</v>
      </c>
      <c r="AA1445">
        <f t="shared" si="495"/>
        <v>0.26253866457174485</v>
      </c>
      <c r="AB1445">
        <f t="shared" si="496"/>
        <v>6.6450049755954407E-2</v>
      </c>
      <c r="AC1445">
        <f t="shared" si="497"/>
        <v>0.12650752573458582</v>
      </c>
      <c r="AD1445">
        <f t="shared" si="498"/>
        <v>3.9462588818948785E-3</v>
      </c>
      <c r="AE1445">
        <f t="shared" si="499"/>
        <v>2.9783544020777968E-2</v>
      </c>
      <c r="AG1445">
        <f t="shared" si="500"/>
        <v>0.63442207045825039</v>
      </c>
      <c r="AH1445">
        <f t="shared" si="501"/>
        <v>0.30087029562489775</v>
      </c>
      <c r="AI1445">
        <f t="shared" si="502"/>
        <v>7.3443574989367155E-2</v>
      </c>
      <c r="AK1445" s="26">
        <f t="shared" si="503"/>
        <v>0.20466716499627152</v>
      </c>
      <c r="AL1445" s="26">
        <f t="shared" si="504"/>
        <v>0.21537593138541927</v>
      </c>
      <c r="AM1445" s="26">
        <f t="shared" si="505"/>
        <v>0.10283081229017194</v>
      </c>
      <c r="AN1445" s="26">
        <f t="shared" si="506"/>
        <v>2.6314285714285575</v>
      </c>
      <c r="AO1445" s="26">
        <f t="shared" si="507"/>
        <v>2.9601190476190453</v>
      </c>
      <c r="AP1445" s="26">
        <f t="shared" si="508"/>
        <v>-4.0043215339232603</v>
      </c>
      <c r="AS1445" s="2">
        <v>44035</v>
      </c>
      <c r="AT1445">
        <v>19.7</v>
      </c>
      <c r="AU1445">
        <v>144.6</v>
      </c>
      <c r="AV1445">
        <v>31.6</v>
      </c>
      <c r="AW1445">
        <v>0.7</v>
      </c>
      <c r="AX1445">
        <v>243.17</v>
      </c>
      <c r="AY1445">
        <v>0.8</v>
      </c>
      <c r="AZ1445">
        <v>4.3</v>
      </c>
      <c r="BA1445">
        <v>257.83440000000002</v>
      </c>
      <c r="BB1445">
        <v>46.210799999999999</v>
      </c>
      <c r="BC1445">
        <v>159.2458</v>
      </c>
      <c r="BD1445">
        <v>4.1494999999999997</v>
      </c>
      <c r="BE1445">
        <v>26.431000000000001</v>
      </c>
      <c r="BH1445">
        <v>84.31</v>
      </c>
    </row>
    <row r="1446" spans="1:60" x14ac:dyDescent="0.25">
      <c r="A1446" s="2">
        <v>44055</v>
      </c>
      <c r="B1446">
        <v>19.100000000000001</v>
      </c>
      <c r="C1446">
        <v>20.399999999999999</v>
      </c>
      <c r="D1446">
        <v>57.8</v>
      </c>
      <c r="E1446">
        <v>3.5</v>
      </c>
      <c r="F1446">
        <v>232.21</v>
      </c>
      <c r="G1446">
        <v>0.7</v>
      </c>
      <c r="H1446">
        <v>4.0999999999999996</v>
      </c>
      <c r="I1446">
        <v>281.81360000000001</v>
      </c>
      <c r="J1446">
        <v>55.635100000000001</v>
      </c>
      <c r="K1446">
        <v>139.93450000000001</v>
      </c>
      <c r="L1446">
        <v>4.2041000000000004</v>
      </c>
      <c r="M1446">
        <v>26.1921</v>
      </c>
      <c r="N1446">
        <v>7.6901999999999999</v>
      </c>
      <c r="O1446">
        <v>-7.5046999999999997</v>
      </c>
      <c r="P1446">
        <v>88.2</v>
      </c>
      <c r="S1446">
        <f t="shared" si="487"/>
        <v>845.58939999999996</v>
      </c>
      <c r="T1446">
        <f t="shared" si="488"/>
        <v>1.7905581338446889E-2</v>
      </c>
      <c r="U1446">
        <f t="shared" si="489"/>
        <v>1.9124285827451126E-2</v>
      </c>
      <c r="V1446">
        <f t="shared" si="490"/>
        <v>5.4185476511111524E-2</v>
      </c>
      <c r="W1446">
        <f t="shared" si="491"/>
        <v>3.2811274703960268E-3</v>
      </c>
      <c r="X1446">
        <f t="shared" si="492"/>
        <v>0.21768874568590324</v>
      </c>
      <c r="Y1446">
        <f t="shared" si="493"/>
        <v>6.5622549407920526E-4</v>
      </c>
      <c r="Z1446">
        <f t="shared" si="494"/>
        <v>3.8436064653210593E-3</v>
      </c>
      <c r="AA1446">
        <f t="shared" si="495"/>
        <v>0.26419038414034218</v>
      </c>
      <c r="AB1446">
        <f t="shared" si="496"/>
        <v>5.2155958550922851E-2</v>
      </c>
      <c r="AC1446">
        <f t="shared" si="497"/>
        <v>0.13118369485889511</v>
      </c>
      <c r="AD1446">
        <f t="shared" si="498"/>
        <v>3.9411965709405536E-3</v>
      </c>
      <c r="AE1446">
        <f t="shared" si="499"/>
        <v>2.4554176804959936E-2</v>
      </c>
      <c r="AG1446">
        <f t="shared" si="500"/>
        <v>0.62012155515042355</v>
      </c>
      <c r="AH1446">
        <f t="shared" si="501"/>
        <v>0.341239225597669</v>
      </c>
      <c r="AI1446">
        <f t="shared" si="502"/>
        <v>0.3060636572540173</v>
      </c>
      <c r="AK1446" s="26">
        <f t="shared" si="503"/>
        <v>0.21716958873388509</v>
      </c>
      <c r="AL1446" s="26">
        <f t="shared" si="504"/>
        <v>0.22920252163351124</v>
      </c>
      <c r="AM1446" s="26">
        <f t="shared" si="505"/>
        <v>0.10952735798484903</v>
      </c>
      <c r="AN1446" s="26">
        <f t="shared" si="506"/>
        <v>2.7571428571428669</v>
      </c>
      <c r="AO1446" s="26">
        <f t="shared" si="507"/>
        <v>2.924137630662031</v>
      </c>
      <c r="AP1446" s="26">
        <f t="shared" si="508"/>
        <v>-4.0997150874163424</v>
      </c>
      <c r="AS1446" s="2">
        <v>44034</v>
      </c>
      <c r="AT1446">
        <v>19.100000000000001</v>
      </c>
      <c r="AU1446">
        <v>249.8</v>
      </c>
      <c r="AV1446">
        <v>16.100000000000001</v>
      </c>
      <c r="AW1446">
        <v>1</v>
      </c>
      <c r="AX1446">
        <v>245.41</v>
      </c>
      <c r="AY1446">
        <v>0.8</v>
      </c>
      <c r="AZ1446">
        <v>4.3</v>
      </c>
      <c r="BA1446">
        <v>252.87989999999999</v>
      </c>
      <c r="BB1446">
        <v>34.787599999999998</v>
      </c>
      <c r="BC1446">
        <v>161.0155</v>
      </c>
      <c r="BD1446">
        <v>5.8381999999999996</v>
      </c>
      <c r="BE1446">
        <v>25.908200000000001</v>
      </c>
      <c r="BH1446">
        <v>84.27</v>
      </c>
    </row>
    <row r="1447" spans="1:60" x14ac:dyDescent="0.25">
      <c r="A1447" s="2">
        <v>44054</v>
      </c>
      <c r="B1447">
        <v>20.2</v>
      </c>
      <c r="C1447">
        <v>92.9</v>
      </c>
      <c r="D1447">
        <v>48.1</v>
      </c>
      <c r="E1447">
        <v>3.2</v>
      </c>
      <c r="F1447">
        <v>222.22</v>
      </c>
      <c r="G1447">
        <v>0.5</v>
      </c>
      <c r="H1447">
        <v>3.5</v>
      </c>
      <c r="I1447">
        <v>290.47070000000002</v>
      </c>
      <c r="J1447">
        <v>50.751600000000003</v>
      </c>
      <c r="K1447">
        <v>142.74019999999999</v>
      </c>
      <c r="L1447">
        <v>4.1525999999999996</v>
      </c>
      <c r="M1447">
        <v>31.488800000000001</v>
      </c>
      <c r="N1447">
        <v>8.6631999999999998</v>
      </c>
      <c r="O1447">
        <v>-6.4013999999999998</v>
      </c>
      <c r="P1447">
        <v>88.01</v>
      </c>
      <c r="S1447">
        <f t="shared" si="487"/>
        <v>910.22389999999996</v>
      </c>
      <c r="T1447">
        <f t="shared" si="488"/>
        <v>1.8936792829142783E-2</v>
      </c>
      <c r="U1447">
        <f t="shared" si="489"/>
        <v>8.7090497714225973E-2</v>
      </c>
      <c r="V1447">
        <f t="shared" si="490"/>
        <v>4.5092066093156823E-2</v>
      </c>
      <c r="W1447">
        <f t="shared" si="491"/>
        <v>2.9998879729335104E-3</v>
      </c>
      <c r="X1447">
        <f t="shared" si="492"/>
        <v>0.20832347042040145</v>
      </c>
      <c r="Y1447">
        <f t="shared" si="493"/>
        <v>4.6873249577086097E-4</v>
      </c>
      <c r="Z1447">
        <f t="shared" si="494"/>
        <v>3.2811274703960268E-3</v>
      </c>
      <c r="AA1447">
        <f t="shared" si="495"/>
        <v>0.27230611231861807</v>
      </c>
      <c r="AB1447">
        <f t="shared" si="496"/>
        <v>4.7577848264728856E-2</v>
      </c>
      <c r="AC1447">
        <f t="shared" si="497"/>
        <v>0.13381394038566369</v>
      </c>
      <c r="AD1447">
        <f t="shared" si="498"/>
        <v>3.8929171238761542E-3</v>
      </c>
      <c r="AE1447">
        <f t="shared" si="499"/>
        <v>2.9519647625658976E-2</v>
      </c>
      <c r="AG1447">
        <f t="shared" si="500"/>
        <v>0.60585709563293322</v>
      </c>
      <c r="AH1447">
        <f t="shared" si="501"/>
        <v>0.39571222262168643</v>
      </c>
      <c r="AI1447">
        <f t="shared" si="502"/>
        <v>0.62177628698797438</v>
      </c>
      <c r="AK1447" s="26">
        <f t="shared" si="503"/>
        <v>0.23851278406265619</v>
      </c>
      <c r="AL1447" s="26">
        <f t="shared" si="504"/>
        <v>0.24016298415674642</v>
      </c>
      <c r="AM1447" s="26">
        <f t="shared" si="505"/>
        <v>0.1220833165915744</v>
      </c>
      <c r="AN1447" s="26">
        <f t="shared" si="506"/>
        <v>2.891428571428591</v>
      </c>
      <c r="AO1447" s="26">
        <f t="shared" si="507"/>
        <v>2.890000000000029</v>
      </c>
      <c r="AP1447" s="26">
        <f t="shared" si="508"/>
        <v>-4.1891924778760909</v>
      </c>
      <c r="AS1447" s="2">
        <v>44033</v>
      </c>
      <c r="AT1447">
        <v>19.100000000000001</v>
      </c>
      <c r="AU1447">
        <v>231.7</v>
      </c>
      <c r="AV1447">
        <v>24.2</v>
      </c>
      <c r="AW1447">
        <v>1.8</v>
      </c>
      <c r="AX1447">
        <v>240.27</v>
      </c>
      <c r="AY1447">
        <v>0.7</v>
      </c>
      <c r="AZ1447">
        <v>3.9</v>
      </c>
      <c r="BA1447">
        <v>239.64750000000001</v>
      </c>
      <c r="BB1447">
        <v>36.572200000000002</v>
      </c>
      <c r="BC1447">
        <v>151.59350000000001</v>
      </c>
      <c r="BD1447">
        <v>4.1760000000000002</v>
      </c>
      <c r="BE1447">
        <v>21.3843</v>
      </c>
      <c r="BH1447">
        <v>84.25</v>
      </c>
    </row>
    <row r="1448" spans="1:60" x14ac:dyDescent="0.25">
      <c r="A1448" s="2">
        <v>44053</v>
      </c>
      <c r="B1448">
        <v>19.5</v>
      </c>
      <c r="C1448">
        <v>114.1</v>
      </c>
      <c r="D1448">
        <v>37.299999999999997</v>
      </c>
      <c r="E1448">
        <v>2.1</v>
      </c>
      <c r="F1448">
        <v>207.46</v>
      </c>
      <c r="G1448">
        <v>0.7</v>
      </c>
      <c r="H1448">
        <v>3.8</v>
      </c>
      <c r="I1448">
        <v>302.49860000000001</v>
      </c>
      <c r="J1448">
        <v>54.781799999999997</v>
      </c>
      <c r="K1448">
        <v>137.87029999999999</v>
      </c>
      <c r="L1448">
        <v>4.2515999999999998</v>
      </c>
      <c r="M1448">
        <v>34.552599999999998</v>
      </c>
      <c r="N1448">
        <v>8.7591999999999999</v>
      </c>
      <c r="O1448">
        <v>-6.6544999999999996</v>
      </c>
      <c r="P1448">
        <v>87.84</v>
      </c>
      <c r="S1448">
        <f t="shared" si="487"/>
        <v>918.91489999999999</v>
      </c>
      <c r="T1448">
        <f t="shared" si="488"/>
        <v>1.8280567335063579E-2</v>
      </c>
      <c r="U1448">
        <f t="shared" si="489"/>
        <v>0.10696475553491046</v>
      </c>
      <c r="V1448">
        <f t="shared" si="490"/>
        <v>3.4967444184506223E-2</v>
      </c>
      <c r="W1448">
        <f t="shared" si="491"/>
        <v>1.9686764822376161E-3</v>
      </c>
      <c r="X1448">
        <f t="shared" si="492"/>
        <v>0.19448648714524563</v>
      </c>
      <c r="Y1448">
        <f t="shared" si="493"/>
        <v>6.5622549407920526E-4</v>
      </c>
      <c r="Z1448">
        <f t="shared" si="494"/>
        <v>3.5623669678585433E-3</v>
      </c>
      <c r="AA1448">
        <f t="shared" si="495"/>
        <v>0.28358184749038273</v>
      </c>
      <c r="AB1448">
        <f t="shared" si="496"/>
        <v>5.1356019673640299E-2</v>
      </c>
      <c r="AC1448">
        <f t="shared" si="497"/>
        <v>0.12924857962335465</v>
      </c>
      <c r="AD1448">
        <f t="shared" si="498"/>
        <v>3.9857261580387845E-3</v>
      </c>
      <c r="AE1448">
        <f t="shared" si="499"/>
        <v>3.2391852866744501E-2</v>
      </c>
      <c r="AG1448">
        <f t="shared" si="500"/>
        <v>0.59308682374222765</v>
      </c>
      <c r="AH1448">
        <f t="shared" si="501"/>
        <v>0.3932783760106458</v>
      </c>
      <c r="AI1448">
        <f t="shared" si="502"/>
        <v>0.60271859430320551</v>
      </c>
      <c r="AK1448" s="26">
        <f t="shared" si="503"/>
        <v>0.25912824133449952</v>
      </c>
      <c r="AL1448" s="26">
        <f t="shared" si="504"/>
        <v>0.26016757194163986</v>
      </c>
      <c r="AM1448" s="26">
        <f t="shared" si="505"/>
        <v>0.13680176087045171</v>
      </c>
      <c r="AN1448" s="26">
        <f t="shared" si="506"/>
        <v>3.0319047619047694</v>
      </c>
      <c r="AO1448" s="26">
        <f t="shared" si="507"/>
        <v>2.8568589743589996</v>
      </c>
      <c r="AP1448" s="26">
        <f t="shared" si="508"/>
        <v>-4.2793578398002836</v>
      </c>
      <c r="AS1448" s="2">
        <v>44032</v>
      </c>
      <c r="AT1448">
        <v>19</v>
      </c>
      <c r="AU1448">
        <v>332.7</v>
      </c>
      <c r="AV1448">
        <v>16.899999999999999</v>
      </c>
      <c r="AW1448">
        <v>2.1</v>
      </c>
      <c r="AX1448">
        <v>219.45</v>
      </c>
      <c r="AY1448">
        <v>0.7</v>
      </c>
      <c r="AZ1448">
        <v>3.6</v>
      </c>
      <c r="BA1448">
        <v>233.7013</v>
      </c>
      <c r="BB1448">
        <v>37.953699999999998</v>
      </c>
      <c r="BC1448">
        <v>150.0667</v>
      </c>
      <c r="BD1448">
        <v>4.1760000000000002</v>
      </c>
      <c r="BE1448">
        <v>22.170200000000001</v>
      </c>
      <c r="BH1448">
        <v>84.22</v>
      </c>
    </row>
    <row r="1449" spans="1:60" x14ac:dyDescent="0.25">
      <c r="A1449" s="2">
        <v>44052</v>
      </c>
      <c r="B1449">
        <v>20.2</v>
      </c>
      <c r="C1449">
        <v>275.3</v>
      </c>
      <c r="D1449">
        <v>19.899999999999999</v>
      </c>
      <c r="E1449">
        <v>1.4</v>
      </c>
      <c r="F1449">
        <v>218.6</v>
      </c>
      <c r="G1449">
        <v>0.7</v>
      </c>
      <c r="H1449">
        <v>4.2</v>
      </c>
      <c r="I1449">
        <v>208.24209999999999</v>
      </c>
      <c r="J1449">
        <v>34.942599999999999</v>
      </c>
      <c r="K1449">
        <v>108.9237</v>
      </c>
      <c r="L1449">
        <v>4.2766000000000002</v>
      </c>
      <c r="M1449">
        <v>14.8667</v>
      </c>
      <c r="P1449">
        <v>87.67</v>
      </c>
      <c r="S1449">
        <f t="shared" si="487"/>
        <v>911.5517000000001</v>
      </c>
      <c r="T1449">
        <f t="shared" si="488"/>
        <v>1.8936792829142783E-2</v>
      </c>
      <c r="U1449">
        <f t="shared" si="489"/>
        <v>0.25808411217143606</v>
      </c>
      <c r="V1449">
        <f t="shared" si="490"/>
        <v>1.8655553331680265E-2</v>
      </c>
      <c r="W1449">
        <f t="shared" si="491"/>
        <v>1.3124509881584105E-3</v>
      </c>
      <c r="X1449">
        <f t="shared" si="492"/>
        <v>0.20492984715102042</v>
      </c>
      <c r="Y1449">
        <f t="shared" si="493"/>
        <v>6.5622549407920526E-4</v>
      </c>
      <c r="Z1449">
        <f t="shared" si="494"/>
        <v>3.9373529644752322E-3</v>
      </c>
      <c r="AA1449">
        <f t="shared" si="495"/>
        <v>0.19521967851513039</v>
      </c>
      <c r="AB1449">
        <f t="shared" si="496"/>
        <v>3.2757464213445768E-2</v>
      </c>
      <c r="AC1449">
        <f t="shared" si="497"/>
        <v>0.10211215549919306</v>
      </c>
      <c r="AD1449">
        <f t="shared" si="498"/>
        <v>4.0091627828273283E-3</v>
      </c>
      <c r="AE1449">
        <f t="shared" si="499"/>
        <v>1.3937010789753316E-2</v>
      </c>
      <c r="AG1449">
        <f t="shared" si="500"/>
        <v>0.58035148093487865</v>
      </c>
      <c r="AH1449">
        <f t="shared" si="501"/>
        <v>0.52044934571974577</v>
      </c>
      <c r="AI1449">
        <f t="shared" si="502"/>
        <v>1.3340881603680343</v>
      </c>
      <c r="AK1449" s="26">
        <f t="shared" si="503"/>
        <v>0.27353656085434958</v>
      </c>
      <c r="AL1449" s="26">
        <f t="shared" si="504"/>
        <v>0.2678389840026994</v>
      </c>
      <c r="AM1449" s="26">
        <f t="shared" si="505"/>
        <v>0.1414120297249416</v>
      </c>
      <c r="AN1449" s="26">
        <f t="shared" si="506"/>
        <v>3.1785714285714164</v>
      </c>
      <c r="AO1449" s="26">
        <f t="shared" si="507"/>
        <v>2.8216823308270875</v>
      </c>
      <c r="AP1449" s="26">
        <f t="shared" si="508"/>
        <v>-4.3720866325104453</v>
      </c>
      <c r="AS1449" s="2">
        <v>44031</v>
      </c>
      <c r="AT1449">
        <v>20.2</v>
      </c>
      <c r="AU1449">
        <v>58.6</v>
      </c>
      <c r="AV1449">
        <v>8.6</v>
      </c>
      <c r="AW1449">
        <v>0.7</v>
      </c>
      <c r="AX1449">
        <v>229.07</v>
      </c>
      <c r="AY1449">
        <v>0.7</v>
      </c>
      <c r="AZ1449">
        <v>4</v>
      </c>
      <c r="BA1449">
        <v>165.08869999999999</v>
      </c>
      <c r="BB1449">
        <v>38.946300000000001</v>
      </c>
      <c r="BC1449">
        <v>133.68459999999999</v>
      </c>
      <c r="BD1449">
        <v>4.1966999999999999</v>
      </c>
      <c r="BE1449">
        <v>11.186400000000001</v>
      </c>
      <c r="BH1449">
        <v>84.16</v>
      </c>
    </row>
    <row r="1450" spans="1:60" x14ac:dyDescent="0.25">
      <c r="A1450" s="2">
        <v>44051</v>
      </c>
      <c r="B1450">
        <v>21.1</v>
      </c>
      <c r="C1450">
        <v>234.5</v>
      </c>
      <c r="D1450">
        <v>4.8</v>
      </c>
      <c r="E1450">
        <v>0.7</v>
      </c>
      <c r="F1450">
        <v>246.25</v>
      </c>
      <c r="G1450">
        <v>0.7</v>
      </c>
      <c r="H1450">
        <v>4.3</v>
      </c>
      <c r="I1450">
        <v>237.3099</v>
      </c>
      <c r="J1450">
        <v>32.147799999999997</v>
      </c>
      <c r="K1450">
        <v>150.292</v>
      </c>
      <c r="L1450">
        <v>4.2906000000000004</v>
      </c>
      <c r="M1450">
        <v>22.238</v>
      </c>
      <c r="P1450">
        <v>87.35</v>
      </c>
      <c r="S1450">
        <f t="shared" si="487"/>
        <v>958.62829999999985</v>
      </c>
      <c r="T1450">
        <f t="shared" si="488"/>
        <v>1.9780511321530334E-2</v>
      </c>
      <c r="U1450">
        <f t="shared" si="489"/>
        <v>0.21983554051653378</v>
      </c>
      <c r="V1450">
        <f t="shared" si="490"/>
        <v>4.4998319594002651E-3</v>
      </c>
      <c r="W1450">
        <f t="shared" si="491"/>
        <v>6.5622549407920526E-4</v>
      </c>
      <c r="X1450">
        <f t="shared" si="492"/>
        <v>0.23085075416714901</v>
      </c>
      <c r="Y1450">
        <f t="shared" si="493"/>
        <v>6.5622549407920526E-4</v>
      </c>
      <c r="Z1450">
        <f t="shared" si="494"/>
        <v>4.0310994636294038E-3</v>
      </c>
      <c r="AA1450">
        <f t="shared" si="495"/>
        <v>0.22246972339626686</v>
      </c>
      <c r="AB1450">
        <f t="shared" si="496"/>
        <v>3.0137437055084964E-2</v>
      </c>
      <c r="AC1450">
        <f t="shared" si="497"/>
        <v>0.14089348850878847</v>
      </c>
      <c r="AD1450">
        <f t="shared" si="498"/>
        <v>4.0222872927089121E-3</v>
      </c>
      <c r="AE1450">
        <f t="shared" si="499"/>
        <v>2.084734648190481E-2</v>
      </c>
      <c r="AG1450">
        <f t="shared" si="500"/>
        <v>0.55662315363975534</v>
      </c>
      <c r="AH1450">
        <f t="shared" si="501"/>
        <v>0.50115753489830606</v>
      </c>
      <c r="AI1450">
        <f t="shared" si="502"/>
        <v>1.2263580027105689</v>
      </c>
      <c r="AK1450" s="26">
        <f t="shared" si="503"/>
        <v>0.26377751507181424</v>
      </c>
      <c r="AL1450" s="26">
        <f t="shared" si="504"/>
        <v>0.26643394377259066</v>
      </c>
      <c r="AM1450" s="26">
        <f t="shared" si="505"/>
        <v>0.13957396785239223</v>
      </c>
      <c r="AN1450" s="26">
        <f t="shared" si="506"/>
        <v>3.3295238095238204</v>
      </c>
      <c r="AO1450" s="26">
        <f t="shared" si="507"/>
        <v>2.7844256756757204</v>
      </c>
      <c r="AP1450" s="26">
        <f t="shared" si="508"/>
        <v>-4.4686606075101025</v>
      </c>
      <c r="AS1450" s="2">
        <v>44030</v>
      </c>
      <c r="AT1450">
        <v>21.2</v>
      </c>
      <c r="AU1450">
        <v>105.5</v>
      </c>
      <c r="AV1450">
        <v>12.8</v>
      </c>
      <c r="AW1450">
        <v>0.3</v>
      </c>
      <c r="AX1450">
        <v>217.54</v>
      </c>
      <c r="AY1450">
        <v>0.8</v>
      </c>
      <c r="AZ1450">
        <v>4</v>
      </c>
      <c r="BA1450">
        <v>203.815</v>
      </c>
      <c r="BB1450">
        <v>46.510599999999997</v>
      </c>
      <c r="BC1450">
        <v>144.5087</v>
      </c>
      <c r="BD1450">
        <v>4.1997</v>
      </c>
      <c r="BE1450">
        <v>15.9567</v>
      </c>
      <c r="BH1450">
        <v>83.95</v>
      </c>
    </row>
    <row r="1451" spans="1:60" x14ac:dyDescent="0.25">
      <c r="A1451" s="2">
        <v>44050</v>
      </c>
      <c r="B1451">
        <v>21.5</v>
      </c>
      <c r="C1451">
        <v>448.4</v>
      </c>
      <c r="D1451">
        <v>6.8</v>
      </c>
      <c r="E1451">
        <v>0.7</v>
      </c>
      <c r="F1451">
        <v>255.72</v>
      </c>
      <c r="G1451">
        <v>0.8</v>
      </c>
      <c r="H1451">
        <v>4</v>
      </c>
      <c r="I1451">
        <v>249.2756</v>
      </c>
      <c r="J1451">
        <v>34.379100000000001</v>
      </c>
      <c r="K1451">
        <v>171.65270000000001</v>
      </c>
      <c r="L1451">
        <v>4.2161</v>
      </c>
      <c r="M1451">
        <v>32.974899999999998</v>
      </c>
      <c r="N1451">
        <v>8.9007000000000005</v>
      </c>
      <c r="O1451">
        <v>-5.7602000000000002</v>
      </c>
      <c r="P1451">
        <v>87.05</v>
      </c>
      <c r="S1451">
        <f t="shared" si="487"/>
        <v>1230.4184</v>
      </c>
      <c r="T1451">
        <f t="shared" si="488"/>
        <v>2.0155497318147021E-2</v>
      </c>
      <c r="U1451">
        <f t="shared" si="489"/>
        <v>0.42035930220730811</v>
      </c>
      <c r="V1451">
        <f t="shared" si="490"/>
        <v>6.3747619424837088E-3</v>
      </c>
      <c r="W1451">
        <f t="shared" si="491"/>
        <v>6.5622549407920526E-4</v>
      </c>
      <c r="X1451">
        <f t="shared" si="492"/>
        <v>0.23972854763704912</v>
      </c>
      <c r="Y1451">
        <f t="shared" si="493"/>
        <v>7.4997199323337759E-4</v>
      </c>
      <c r="Z1451">
        <f t="shared" si="494"/>
        <v>3.7498599661668877E-3</v>
      </c>
      <c r="AA1451">
        <f t="shared" si="495"/>
        <v>0.23368714824555764</v>
      </c>
      <c r="AB1451">
        <f t="shared" si="496"/>
        <v>3.2229202690712014E-2</v>
      </c>
      <c r="AC1451">
        <f t="shared" si="497"/>
        <v>0.16091839695361373</v>
      </c>
      <c r="AD1451">
        <f t="shared" si="498"/>
        <v>3.952446150839054E-3</v>
      </c>
      <c r="AE1451">
        <f t="shared" si="499"/>
        <v>3.0912814349589125E-2</v>
      </c>
      <c r="AG1451">
        <f t="shared" si="500"/>
        <v>0.53439913514490656</v>
      </c>
      <c r="AH1451">
        <f t="shared" si="501"/>
        <v>0.7226869809080565</v>
      </c>
      <c r="AI1451">
        <f t="shared" si="502"/>
        <v>2.5208529249871798</v>
      </c>
      <c r="AK1451" s="26">
        <f t="shared" si="503"/>
        <v>0.28217143676755085</v>
      </c>
      <c r="AL1451" s="26">
        <f t="shared" si="504"/>
        <v>0.29577562907081589</v>
      </c>
      <c r="AM1451" s="26">
        <f t="shared" si="505"/>
        <v>0.16306497077479826</v>
      </c>
      <c r="AN1451" s="26">
        <f t="shared" si="506"/>
        <v>3.4795238095238261</v>
      </c>
      <c r="AO1451" s="26">
        <f t="shared" si="507"/>
        <v>2.7447817460317907</v>
      </c>
      <c r="AP1451" s="26">
        <f t="shared" si="508"/>
        <v>-4.567173058013708</v>
      </c>
      <c r="AS1451" s="2">
        <v>44029</v>
      </c>
      <c r="AT1451">
        <v>21.2</v>
      </c>
      <c r="AU1451">
        <v>122.3</v>
      </c>
      <c r="AV1451">
        <v>4.5999999999999996</v>
      </c>
      <c r="AW1451">
        <v>0.5</v>
      </c>
      <c r="AX1451">
        <v>183.52</v>
      </c>
      <c r="AY1451">
        <v>0.7</v>
      </c>
      <c r="AZ1451">
        <v>3.9</v>
      </c>
      <c r="BA1451">
        <v>271.06349999999998</v>
      </c>
      <c r="BB1451">
        <v>70.572800000000001</v>
      </c>
      <c r="BC1451">
        <v>160.8588</v>
      </c>
      <c r="BD1451">
        <v>4.1989000000000001</v>
      </c>
      <c r="BE1451">
        <v>24.979099999999999</v>
      </c>
      <c r="BH1451">
        <v>83.84</v>
      </c>
    </row>
    <row r="1452" spans="1:60" x14ac:dyDescent="0.25">
      <c r="A1452" s="2">
        <v>44049</v>
      </c>
      <c r="B1452">
        <v>20.9</v>
      </c>
      <c r="C1452">
        <v>361.7</v>
      </c>
      <c r="D1452">
        <v>18.8</v>
      </c>
      <c r="E1452">
        <v>1.3</v>
      </c>
      <c r="F1452">
        <v>264.37</v>
      </c>
      <c r="G1452">
        <v>0.8</v>
      </c>
      <c r="H1452">
        <v>4</v>
      </c>
      <c r="I1452">
        <v>249.64160000000001</v>
      </c>
      <c r="J1452">
        <v>35.948799999999999</v>
      </c>
      <c r="K1452">
        <v>165.12729999999999</v>
      </c>
      <c r="L1452">
        <v>4.1959</v>
      </c>
      <c r="M1452">
        <v>29.4892</v>
      </c>
      <c r="N1452">
        <v>9.4753000000000007</v>
      </c>
      <c r="O1452">
        <v>-4.9043000000000001</v>
      </c>
      <c r="P1452">
        <v>86.83</v>
      </c>
      <c r="S1452">
        <f t="shared" si="487"/>
        <v>1156.2728</v>
      </c>
      <c r="T1452">
        <f t="shared" si="488"/>
        <v>1.9593018323221988E-2</v>
      </c>
      <c r="U1452">
        <f t="shared" si="489"/>
        <v>0.3390810874406408</v>
      </c>
      <c r="V1452">
        <f t="shared" si="490"/>
        <v>1.7624341840984374E-2</v>
      </c>
      <c r="W1452">
        <f t="shared" si="491"/>
        <v>1.2187044890042385E-3</v>
      </c>
      <c r="X1452">
        <f t="shared" si="492"/>
        <v>0.24783761981388502</v>
      </c>
      <c r="Y1452">
        <f t="shared" si="493"/>
        <v>7.4997199323337759E-4</v>
      </c>
      <c r="Z1452">
        <f t="shared" si="494"/>
        <v>3.7498599661668877E-3</v>
      </c>
      <c r="AA1452">
        <f t="shared" si="495"/>
        <v>0.23403026043246195</v>
      </c>
      <c r="AB1452">
        <f t="shared" si="496"/>
        <v>3.3700741487935053E-2</v>
      </c>
      <c r="AC1452">
        <f t="shared" si="497"/>
        <v>0.15480106289780737</v>
      </c>
      <c r="AD1452">
        <f t="shared" si="498"/>
        <v>3.9335093580099107E-3</v>
      </c>
      <c r="AE1452">
        <f t="shared" si="499"/>
        <v>2.7645092628572145E-2</v>
      </c>
      <c r="AG1452">
        <f t="shared" si="500"/>
        <v>0.51809442346280521</v>
      </c>
      <c r="AH1452">
        <f t="shared" si="501"/>
        <v>0.65749969649570872</v>
      </c>
      <c r="AI1452">
        <f t="shared" si="502"/>
        <v>2.1452955582917812</v>
      </c>
      <c r="AK1452" s="26">
        <f t="shared" si="503"/>
        <v>0.2728321507100861</v>
      </c>
      <c r="AL1452" s="26">
        <f t="shared" si="504"/>
        <v>0.29910796020943214</v>
      </c>
      <c r="AM1452" s="26">
        <f t="shared" si="505"/>
        <v>0.16818935599131601</v>
      </c>
      <c r="AN1452" s="26">
        <f t="shared" si="506"/>
        <v>3.6185714285714283</v>
      </c>
      <c r="AO1452" s="26">
        <f t="shared" si="507"/>
        <v>2.6939642857143298</v>
      </c>
      <c r="AP1452" s="26">
        <f t="shared" si="508"/>
        <v>-4.6758761061946075</v>
      </c>
      <c r="AS1452" s="2">
        <v>44028</v>
      </c>
      <c r="AT1452">
        <v>20.399999999999999</v>
      </c>
      <c r="AU1452">
        <v>54.3</v>
      </c>
      <c r="AV1452">
        <v>2.9</v>
      </c>
      <c r="AW1452">
        <v>0.7</v>
      </c>
      <c r="AX1452">
        <v>108.24</v>
      </c>
      <c r="AY1452">
        <v>0.8</v>
      </c>
      <c r="AZ1452">
        <v>3.9</v>
      </c>
      <c r="BA1452">
        <v>265.21800000000002</v>
      </c>
      <c r="BB1452">
        <v>119.3844</v>
      </c>
      <c r="BC1452">
        <v>168.2415</v>
      </c>
      <c r="BD1452">
        <v>4.2</v>
      </c>
      <c r="BE1452">
        <v>32.110900000000001</v>
      </c>
      <c r="BH1452">
        <v>83.77</v>
      </c>
    </row>
    <row r="1453" spans="1:60" x14ac:dyDescent="0.25">
      <c r="A1453" s="2">
        <v>44048</v>
      </c>
      <c r="B1453">
        <v>17.399999999999999</v>
      </c>
      <c r="C1453">
        <v>327.7</v>
      </c>
      <c r="D1453">
        <v>55.9</v>
      </c>
      <c r="E1453">
        <v>3</v>
      </c>
      <c r="F1453">
        <v>251.41</v>
      </c>
      <c r="G1453">
        <v>0.8</v>
      </c>
      <c r="H1453">
        <v>3.8</v>
      </c>
      <c r="I1453">
        <v>198.93299999999999</v>
      </c>
      <c r="J1453">
        <v>35.129899999999999</v>
      </c>
      <c r="K1453">
        <v>148.69390000000001</v>
      </c>
      <c r="L1453">
        <v>4.2119999999999997</v>
      </c>
      <c r="M1453">
        <v>23.037099999999999</v>
      </c>
      <c r="N1453">
        <v>10.036</v>
      </c>
      <c r="O1453">
        <v>-6.0511999999999997</v>
      </c>
      <c r="P1453">
        <v>86.65</v>
      </c>
      <c r="S1453">
        <f t="shared" si="487"/>
        <v>1070.0158999999999</v>
      </c>
      <c r="T1453">
        <f t="shared" si="488"/>
        <v>1.6311890852825958E-2</v>
      </c>
      <c r="U1453">
        <f t="shared" si="489"/>
        <v>0.30720727772822226</v>
      </c>
      <c r="V1453">
        <f t="shared" si="490"/>
        <v>5.2404293027182254E-2</v>
      </c>
      <c r="W1453">
        <f t="shared" si="491"/>
        <v>2.8123949746251659E-3</v>
      </c>
      <c r="X1453">
        <f t="shared" si="492"/>
        <v>0.23568807352350429</v>
      </c>
      <c r="Y1453">
        <f t="shared" si="493"/>
        <v>7.4997199323337759E-4</v>
      </c>
      <c r="Z1453">
        <f t="shared" si="494"/>
        <v>3.5623669678585433E-3</v>
      </c>
      <c r="AA1453">
        <f t="shared" si="495"/>
        <v>0.18649272316236937</v>
      </c>
      <c r="AB1453">
        <f t="shared" si="496"/>
        <v>3.2933051406361533E-2</v>
      </c>
      <c r="AC1453">
        <f t="shared" si="497"/>
        <v>0.13939532570580565</v>
      </c>
      <c r="AD1453">
        <f t="shared" si="498"/>
        <v>3.9486025443737326E-3</v>
      </c>
      <c r="AE1453">
        <f t="shared" si="499"/>
        <v>2.1596474756645799E-2</v>
      </c>
      <c r="AG1453">
        <f t="shared" si="500"/>
        <v>0.50483555667242197</v>
      </c>
      <c r="AH1453">
        <f t="shared" si="501"/>
        <v>0.64033274382409755</v>
      </c>
      <c r="AI1453">
        <f t="shared" si="502"/>
        <v>2.0611335673220661</v>
      </c>
      <c r="AK1453" s="26">
        <f t="shared" si="503"/>
        <v>0.2634082519469923</v>
      </c>
      <c r="AL1453" s="26">
        <f t="shared" si="504"/>
        <v>0.30487098426504661</v>
      </c>
      <c r="AM1453" s="26">
        <f t="shared" si="505"/>
        <v>0.17758081100828371</v>
      </c>
      <c r="AN1453" s="26">
        <f t="shared" si="506"/>
        <v>3.7600000000000051</v>
      </c>
      <c r="AO1453" s="26">
        <f t="shared" si="507"/>
        <v>2.6412605042017248</v>
      </c>
      <c r="AP1453" s="26">
        <f t="shared" si="508"/>
        <v>-4.7861035918791828</v>
      </c>
      <c r="AS1453" s="2">
        <v>44027</v>
      </c>
      <c r="AT1453">
        <v>19.8</v>
      </c>
      <c r="AU1453">
        <v>332.6</v>
      </c>
      <c r="AV1453">
        <v>3.7</v>
      </c>
      <c r="AW1453">
        <v>0.6</v>
      </c>
      <c r="AX1453">
        <v>134.38999999999999</v>
      </c>
      <c r="AY1453">
        <v>0.8</v>
      </c>
      <c r="AZ1453">
        <v>3.9</v>
      </c>
      <c r="BA1453">
        <v>265.34269999999998</v>
      </c>
      <c r="BB1453">
        <v>84.552999999999997</v>
      </c>
      <c r="BC1453">
        <v>167.31299999999999</v>
      </c>
      <c r="BD1453">
        <v>4.2408999999999999</v>
      </c>
      <c r="BE1453">
        <v>32.979500000000002</v>
      </c>
      <c r="BH1453">
        <v>83.7</v>
      </c>
    </row>
    <row r="1454" spans="1:60" x14ac:dyDescent="0.25">
      <c r="A1454" s="2">
        <v>44047</v>
      </c>
      <c r="B1454">
        <v>16.899999999999999</v>
      </c>
      <c r="C1454">
        <v>441.4</v>
      </c>
      <c r="D1454">
        <v>8</v>
      </c>
      <c r="E1454">
        <v>0.9</v>
      </c>
      <c r="F1454">
        <v>156.61000000000001</v>
      </c>
      <c r="G1454">
        <v>0.8</v>
      </c>
      <c r="H1454">
        <v>3.8</v>
      </c>
      <c r="I1454">
        <v>275.98829999999998</v>
      </c>
      <c r="J1454">
        <v>37.527700000000003</v>
      </c>
      <c r="K1454">
        <v>182.88329999999999</v>
      </c>
      <c r="L1454">
        <v>4.2374000000000001</v>
      </c>
      <c r="M1454">
        <v>25.639500000000002</v>
      </c>
      <c r="N1454">
        <v>10.1134</v>
      </c>
      <c r="O1454">
        <v>-6.1052</v>
      </c>
      <c r="P1454">
        <v>86.49</v>
      </c>
      <c r="S1454">
        <f t="shared" si="487"/>
        <v>1154.6861999999999</v>
      </c>
      <c r="T1454">
        <f t="shared" si="488"/>
        <v>1.58431583570551E-2</v>
      </c>
      <c r="U1454">
        <f t="shared" si="489"/>
        <v>0.413797047266516</v>
      </c>
      <c r="V1454">
        <f t="shared" si="490"/>
        <v>7.4997199323337755E-3</v>
      </c>
      <c r="W1454">
        <f t="shared" si="491"/>
        <v>8.4371849238754971E-4</v>
      </c>
      <c r="X1454">
        <f t="shared" si="492"/>
        <v>0.14681639232534907</v>
      </c>
      <c r="Y1454">
        <f t="shared" si="493"/>
        <v>7.4997199323337759E-4</v>
      </c>
      <c r="Z1454">
        <f t="shared" si="494"/>
        <v>3.5623669678585433E-3</v>
      </c>
      <c r="AA1454">
        <f t="shared" si="495"/>
        <v>0.2587293693251142</v>
      </c>
      <c r="AB1454">
        <f t="shared" si="496"/>
        <v>3.5180904963080281E-2</v>
      </c>
      <c r="AC1454">
        <f t="shared" si="497"/>
        <v>0.17144669128762219</v>
      </c>
      <c r="AD1454">
        <f t="shared" si="498"/>
        <v>3.9724141551588923E-3</v>
      </c>
      <c r="AE1454">
        <f t="shared" si="499"/>
        <v>2.4036133650633982E-2</v>
      </c>
      <c r="AG1454">
        <f t="shared" si="500"/>
        <v>0.49308923405481053</v>
      </c>
      <c r="AH1454">
        <f t="shared" si="501"/>
        <v>0.61314850898536732</v>
      </c>
      <c r="AI1454">
        <f t="shared" si="502"/>
        <v>1.9148163912709213</v>
      </c>
      <c r="AK1454" s="26">
        <f t="shared" si="503"/>
        <v>0.26903179151367851</v>
      </c>
      <c r="AL1454" s="26">
        <f t="shared" si="504"/>
        <v>0.31283751892479528</v>
      </c>
      <c r="AM1454" s="26">
        <f t="shared" si="505"/>
        <v>0.18696177844752396</v>
      </c>
      <c r="AN1454" s="26">
        <f t="shared" si="506"/>
        <v>3.9038095238095281</v>
      </c>
      <c r="AO1454" s="26">
        <f t="shared" si="507"/>
        <v>2.5874891774892319</v>
      </c>
      <c r="AP1454" s="26">
        <f t="shared" si="508"/>
        <v>-4.8968597479216385</v>
      </c>
      <c r="AS1454" s="2">
        <v>44026</v>
      </c>
      <c r="AT1454">
        <v>20.100000000000001</v>
      </c>
      <c r="AU1454">
        <v>504.2</v>
      </c>
      <c r="AV1454">
        <v>21.8</v>
      </c>
      <c r="AW1454">
        <v>1.2</v>
      </c>
      <c r="AX1454">
        <v>216.31</v>
      </c>
      <c r="AY1454">
        <v>0.7</v>
      </c>
      <c r="AZ1454">
        <v>3.9</v>
      </c>
      <c r="BA1454">
        <v>255.70750000000001</v>
      </c>
      <c r="BB1454">
        <v>54.619199999999999</v>
      </c>
      <c r="BC1454">
        <v>161.5461</v>
      </c>
      <c r="BD1454">
        <v>4.2713999999999999</v>
      </c>
      <c r="BE1454">
        <v>17.510400000000001</v>
      </c>
      <c r="BH1454">
        <v>83.73</v>
      </c>
    </row>
    <row r="1455" spans="1:60" x14ac:dyDescent="0.25">
      <c r="A1455" s="2">
        <v>44046</v>
      </c>
      <c r="B1455">
        <v>19.3</v>
      </c>
      <c r="C1455">
        <v>334.7</v>
      </c>
      <c r="D1455">
        <v>6.4</v>
      </c>
      <c r="E1455">
        <v>1</v>
      </c>
      <c r="F1455">
        <v>138.75</v>
      </c>
      <c r="G1455">
        <v>0.8</v>
      </c>
      <c r="H1455">
        <v>4</v>
      </c>
      <c r="I1455">
        <v>270.39280000000002</v>
      </c>
      <c r="J1455">
        <v>39.810299999999998</v>
      </c>
      <c r="K1455">
        <v>177.9813</v>
      </c>
      <c r="L1455">
        <v>4.2043999999999997</v>
      </c>
      <c r="M1455">
        <v>27.827200000000001</v>
      </c>
      <c r="N1455">
        <v>10.806100000000001</v>
      </c>
      <c r="O1455">
        <v>-6.0540000000000003</v>
      </c>
      <c r="P1455">
        <v>86.31</v>
      </c>
      <c r="S1455">
        <f t="shared" si="487"/>
        <v>1025.1659999999999</v>
      </c>
      <c r="T1455">
        <f t="shared" si="488"/>
        <v>1.8093074336755232E-2</v>
      </c>
      <c r="U1455">
        <f t="shared" si="489"/>
        <v>0.31376953266901431</v>
      </c>
      <c r="V1455">
        <f t="shared" si="490"/>
        <v>5.9997759458670207E-3</v>
      </c>
      <c r="W1455">
        <f t="shared" si="491"/>
        <v>9.3746499154172193E-4</v>
      </c>
      <c r="X1455">
        <f t="shared" si="492"/>
        <v>0.13007326757641391</v>
      </c>
      <c r="Y1455">
        <f t="shared" si="493"/>
        <v>7.4997199323337759E-4</v>
      </c>
      <c r="Z1455">
        <f t="shared" si="494"/>
        <v>3.7498599661668877E-3</v>
      </c>
      <c r="AA1455">
        <f t="shared" si="495"/>
        <v>0.25348378396494253</v>
      </c>
      <c r="AB1455">
        <f t="shared" si="496"/>
        <v>3.7320762552773411E-2</v>
      </c>
      <c r="AC1455">
        <f t="shared" si="497"/>
        <v>0.16685123789908468</v>
      </c>
      <c r="AD1455">
        <f t="shared" si="498"/>
        <v>3.941477810438015E-3</v>
      </c>
      <c r="AE1455">
        <f t="shared" si="499"/>
        <v>2.6087025812629804E-2</v>
      </c>
      <c r="AG1455">
        <f t="shared" si="500"/>
        <v>0.47991841839855681</v>
      </c>
      <c r="AH1455">
        <f t="shared" si="501"/>
        <v>0.49945997329162228</v>
      </c>
      <c r="AI1455">
        <f t="shared" si="502"/>
        <v>1.2540336111515245</v>
      </c>
      <c r="AK1455" s="26">
        <f t="shared" si="503"/>
        <v>0.29080525225434817</v>
      </c>
      <c r="AL1455" s="26">
        <f t="shared" si="504"/>
        <v>0.32545980968571886</v>
      </c>
      <c r="AM1455" s="26">
        <f t="shared" si="505"/>
        <v>0.19959259656956296</v>
      </c>
      <c r="AN1455" s="26">
        <f t="shared" si="506"/>
        <v>4.0580952380952482</v>
      </c>
      <c r="AO1455" s="26">
        <f t="shared" si="507"/>
        <v>2.5338392857143219</v>
      </c>
      <c r="AP1455" s="26">
        <f t="shared" si="508"/>
        <v>-5.0084679203539366</v>
      </c>
      <c r="AS1455" s="2">
        <v>44025</v>
      </c>
      <c r="AT1455">
        <v>20.2</v>
      </c>
      <c r="AU1455">
        <v>552.9</v>
      </c>
      <c r="AV1455">
        <v>14</v>
      </c>
      <c r="AW1455">
        <v>0.6</v>
      </c>
      <c r="AX1455">
        <v>274.36</v>
      </c>
      <c r="AY1455">
        <v>0.4</v>
      </c>
      <c r="AZ1455">
        <v>3.9</v>
      </c>
      <c r="BA1455">
        <v>222.85329999999999</v>
      </c>
      <c r="BB1455">
        <v>49.079799999999999</v>
      </c>
      <c r="BC1455">
        <v>154.18610000000001</v>
      </c>
      <c r="BD1455">
        <v>4.2203999999999997</v>
      </c>
      <c r="BE1455">
        <v>25.388999999999999</v>
      </c>
      <c r="BH1455">
        <v>83.65</v>
      </c>
    </row>
    <row r="1456" spans="1:60" x14ac:dyDescent="0.25">
      <c r="A1456" s="2">
        <v>44045</v>
      </c>
      <c r="B1456">
        <v>17.2</v>
      </c>
      <c r="C1456">
        <v>127.1</v>
      </c>
      <c r="D1456">
        <v>21.4</v>
      </c>
      <c r="E1456">
        <v>0.6</v>
      </c>
      <c r="F1456">
        <v>148.19999999999999</v>
      </c>
      <c r="G1456">
        <v>0.7</v>
      </c>
      <c r="H1456">
        <v>3.5</v>
      </c>
      <c r="I1456">
        <v>205.27289999999999</v>
      </c>
      <c r="J1456">
        <v>32.357900000000001</v>
      </c>
      <c r="K1456">
        <v>136.10470000000001</v>
      </c>
      <c r="L1456">
        <v>4.2336</v>
      </c>
      <c r="M1456">
        <v>9.6516999999999999</v>
      </c>
      <c r="P1456">
        <v>86.11</v>
      </c>
      <c r="S1456">
        <f t="shared" si="487"/>
        <v>706.32079999999996</v>
      </c>
      <c r="T1456">
        <f t="shared" si="488"/>
        <v>1.6124397854517615E-2</v>
      </c>
      <c r="U1456">
        <f t="shared" si="489"/>
        <v>0.11915180042495285</v>
      </c>
      <c r="V1456">
        <f t="shared" si="490"/>
        <v>2.0061750818992849E-2</v>
      </c>
      <c r="W1456">
        <f t="shared" si="491"/>
        <v>5.6247899492503314E-4</v>
      </c>
      <c r="X1456">
        <f t="shared" si="492"/>
        <v>0.13893231174648318</v>
      </c>
      <c r="Y1456">
        <f t="shared" si="493"/>
        <v>6.5622549407920526E-4</v>
      </c>
      <c r="Z1456">
        <f t="shared" si="494"/>
        <v>3.2811274703960268E-3</v>
      </c>
      <c r="AA1456">
        <f t="shared" si="495"/>
        <v>0.19243615746224471</v>
      </c>
      <c r="AB1456">
        <f t="shared" si="496"/>
        <v>3.0334398449807884E-2</v>
      </c>
      <c r="AC1456">
        <f t="shared" si="497"/>
        <v>0.12759339143428861</v>
      </c>
      <c r="AD1456">
        <f t="shared" si="498"/>
        <v>3.9688517881910339E-3</v>
      </c>
      <c r="AE1456">
        <f t="shared" si="499"/>
        <v>9.0481308588632372E-3</v>
      </c>
      <c r="AG1456">
        <f t="shared" si="500"/>
        <v>0.46532104312306238</v>
      </c>
      <c r="AH1456">
        <f t="shared" si="501"/>
        <v>0.3078182236632101</v>
      </c>
      <c r="AI1456">
        <f t="shared" si="502"/>
        <v>0.12187341046643241</v>
      </c>
      <c r="AK1456" s="26">
        <f t="shared" si="503"/>
        <v>0.32105801093633257</v>
      </c>
      <c r="AL1456" s="26">
        <f t="shared" si="504"/>
        <v>0.33589837638429232</v>
      </c>
      <c r="AM1456" s="26">
        <f t="shared" si="505"/>
        <v>0.21211156510365187</v>
      </c>
      <c r="AN1456" s="26">
        <f t="shared" si="506"/>
        <v>4.2247619047619338</v>
      </c>
      <c r="AO1456" s="26">
        <f t="shared" si="507"/>
        <v>2.4811808755761007</v>
      </c>
      <c r="AP1456" s="26">
        <f t="shared" si="508"/>
        <v>-5.120416785612278</v>
      </c>
      <c r="AS1456" s="2">
        <v>44024</v>
      </c>
      <c r="AT1456">
        <v>21.9</v>
      </c>
      <c r="AU1456">
        <v>263.2</v>
      </c>
      <c r="AV1456">
        <v>24.1</v>
      </c>
      <c r="AW1456">
        <v>1.5</v>
      </c>
      <c r="AX1456">
        <v>246.35</v>
      </c>
      <c r="AY1456">
        <v>0.4</v>
      </c>
      <c r="AZ1456">
        <v>3.8</v>
      </c>
      <c r="BA1456">
        <v>133.8236</v>
      </c>
      <c r="BB1456">
        <v>44.716200000000001</v>
      </c>
      <c r="BC1456">
        <v>102.363</v>
      </c>
      <c r="BD1456">
        <v>4.1890999999999998</v>
      </c>
      <c r="BE1456">
        <v>11.5924</v>
      </c>
      <c r="BH1456">
        <v>83.38</v>
      </c>
    </row>
    <row r="1457" spans="1:60" x14ac:dyDescent="0.25">
      <c r="A1457" s="2">
        <v>44044</v>
      </c>
      <c r="B1457">
        <v>18</v>
      </c>
      <c r="C1457">
        <v>187.7</v>
      </c>
      <c r="D1457">
        <v>47</v>
      </c>
      <c r="E1457">
        <v>3</v>
      </c>
      <c r="F1457">
        <v>218.69</v>
      </c>
      <c r="G1457">
        <v>0.7</v>
      </c>
      <c r="H1457">
        <v>4.3</v>
      </c>
      <c r="I1457">
        <v>200.89789999999999</v>
      </c>
      <c r="J1457">
        <v>30.480699999999999</v>
      </c>
      <c r="K1457">
        <v>124.7137</v>
      </c>
      <c r="L1457">
        <v>4.1822999999999997</v>
      </c>
      <c r="M1457">
        <v>18.832599999999999</v>
      </c>
      <c r="P1457">
        <v>85.83</v>
      </c>
      <c r="S1457">
        <f t="shared" si="487"/>
        <v>858.49720000000002</v>
      </c>
      <c r="T1457">
        <f t="shared" si="488"/>
        <v>1.6874369847750995E-2</v>
      </c>
      <c r="U1457">
        <f t="shared" si="489"/>
        <v>0.1759621789123812</v>
      </c>
      <c r="V1457">
        <f t="shared" si="490"/>
        <v>4.4060854602460932E-2</v>
      </c>
      <c r="W1457">
        <f t="shared" si="491"/>
        <v>2.8123949746251659E-3</v>
      </c>
      <c r="X1457">
        <f t="shared" si="492"/>
        <v>0.20501421900025915</v>
      </c>
      <c r="Y1457">
        <f t="shared" si="493"/>
        <v>6.5622549407920526E-4</v>
      </c>
      <c r="Z1457">
        <f t="shared" si="494"/>
        <v>4.0310994636294038E-3</v>
      </c>
      <c r="AA1457">
        <f t="shared" si="495"/>
        <v>0.18833474812424969</v>
      </c>
      <c r="AB1457">
        <f t="shared" si="496"/>
        <v>2.8574589167685762E-2</v>
      </c>
      <c r="AC1457">
        <f t="shared" si="497"/>
        <v>0.11691472771563685</v>
      </c>
      <c r="AD1457">
        <f t="shared" si="498"/>
        <v>3.920759834124943E-3</v>
      </c>
      <c r="AE1457">
        <f t="shared" si="499"/>
        <v>1.7654903199708631E-2</v>
      </c>
      <c r="AG1457">
        <f t="shared" si="500"/>
        <v>0.44490519845754689</v>
      </c>
      <c r="AH1457">
        <f t="shared" si="501"/>
        <v>0.46706624549489467</v>
      </c>
      <c r="AI1457">
        <f t="shared" si="502"/>
        <v>1.0637030101404734</v>
      </c>
      <c r="AK1457" s="26">
        <f t="shared" si="503"/>
        <v>0.35119853522731903</v>
      </c>
      <c r="AL1457" s="26">
        <f t="shared" si="504"/>
        <v>0.356276582201145</v>
      </c>
      <c r="AM1457" s="26">
        <f t="shared" si="505"/>
        <v>0.232915650599683</v>
      </c>
      <c r="AN1457" s="26">
        <f t="shared" si="506"/>
        <v>4.3919047619047973</v>
      </c>
      <c r="AO1457" s="26">
        <f t="shared" si="507"/>
        <v>2.4277380952381264</v>
      </c>
      <c r="AP1457" s="26">
        <f t="shared" si="508"/>
        <v>-5.2362536873155818</v>
      </c>
      <c r="AS1457" s="2">
        <v>44023</v>
      </c>
      <c r="AT1457">
        <v>20.399999999999999</v>
      </c>
      <c r="AU1457">
        <v>464.5</v>
      </c>
      <c r="AV1457">
        <v>41.7</v>
      </c>
      <c r="AW1457">
        <v>2.6</v>
      </c>
      <c r="AX1457">
        <v>194.95</v>
      </c>
      <c r="AY1457">
        <v>0.4</v>
      </c>
      <c r="AZ1457">
        <v>3.9</v>
      </c>
      <c r="BA1457">
        <v>169.91139999999999</v>
      </c>
      <c r="BB1457">
        <v>44.372500000000002</v>
      </c>
      <c r="BC1457">
        <v>144.63239999999999</v>
      </c>
      <c r="BD1457">
        <v>4.1792999999999996</v>
      </c>
      <c r="BE1457">
        <v>16.171199999999999</v>
      </c>
      <c r="BH1457">
        <v>83</v>
      </c>
    </row>
    <row r="1458" spans="1:60" x14ac:dyDescent="0.25">
      <c r="A1458" s="2">
        <v>44043</v>
      </c>
      <c r="B1458">
        <v>18.100000000000001</v>
      </c>
      <c r="C1458">
        <v>432.5</v>
      </c>
      <c r="D1458">
        <v>12.5</v>
      </c>
      <c r="E1458">
        <v>0.4</v>
      </c>
      <c r="F1458">
        <v>267.5</v>
      </c>
      <c r="G1458">
        <v>0.6</v>
      </c>
      <c r="H1458">
        <v>4.4000000000000004</v>
      </c>
      <c r="I1458">
        <v>247.5658</v>
      </c>
      <c r="J1458">
        <v>28.810700000000001</v>
      </c>
      <c r="K1458">
        <v>168.46950000000001</v>
      </c>
      <c r="L1458">
        <v>4.1704999999999997</v>
      </c>
      <c r="M1458">
        <v>31.634699999999999</v>
      </c>
      <c r="N1458">
        <v>12.036899999999999</v>
      </c>
      <c r="O1458">
        <v>-8.0702999999999996</v>
      </c>
      <c r="P1458">
        <v>85.32</v>
      </c>
      <c r="S1458">
        <f t="shared" si="487"/>
        <v>1216.6512</v>
      </c>
      <c r="T1458">
        <f t="shared" si="488"/>
        <v>1.696811634690517E-2</v>
      </c>
      <c r="U1458">
        <f t="shared" si="489"/>
        <v>0.40545360884179471</v>
      </c>
      <c r="V1458">
        <f t="shared" si="490"/>
        <v>1.1718312394271523E-2</v>
      </c>
      <c r="W1458">
        <f t="shared" si="491"/>
        <v>3.7498599661668879E-4</v>
      </c>
      <c r="X1458">
        <f t="shared" si="492"/>
        <v>0.25077188523741062</v>
      </c>
      <c r="Y1458">
        <f t="shared" si="493"/>
        <v>5.6247899492503314E-4</v>
      </c>
      <c r="Z1458">
        <f t="shared" si="494"/>
        <v>4.1248459627835771E-3</v>
      </c>
      <c r="AA1458">
        <f t="shared" si="495"/>
        <v>0.23208427060301962</v>
      </c>
      <c r="AB1458">
        <f t="shared" si="496"/>
        <v>2.7009022631811087E-2</v>
      </c>
      <c r="AC1458">
        <f t="shared" si="497"/>
        <v>0.15793425839253813</v>
      </c>
      <c r="AD1458">
        <f t="shared" si="498"/>
        <v>3.909697747224751E-3</v>
      </c>
      <c r="AE1458">
        <f t="shared" si="499"/>
        <v>2.9656423767924909E-2</v>
      </c>
      <c r="AG1458">
        <f t="shared" si="500"/>
        <v>0.40771826255113647</v>
      </c>
      <c r="AH1458">
        <f t="shared" si="501"/>
        <v>0.71963065754263211</v>
      </c>
      <c r="AI1458">
        <f t="shared" si="502"/>
        <v>2.563139397739044</v>
      </c>
      <c r="AK1458" s="26">
        <f t="shared" si="503"/>
        <v>0.41643868355094671</v>
      </c>
      <c r="AL1458" s="26">
        <f t="shared" si="504"/>
        <v>0.40897084021839958</v>
      </c>
      <c r="AM1458" s="26">
        <f t="shared" si="505"/>
        <v>0.28557663786883419</v>
      </c>
      <c r="AN1458" s="26">
        <f t="shared" si="506"/>
        <v>4.556666666666672</v>
      </c>
      <c r="AO1458" s="26">
        <f t="shared" si="507"/>
        <v>2.3729495073891798</v>
      </c>
      <c r="AP1458" s="26">
        <f t="shared" si="508"/>
        <v>-5.3534269148611173</v>
      </c>
      <c r="AS1458" s="2">
        <v>44022</v>
      </c>
      <c r="AT1458">
        <v>19.399999999999999</v>
      </c>
      <c r="AU1458">
        <v>261.89999999999998</v>
      </c>
      <c r="AV1458">
        <v>34</v>
      </c>
      <c r="AW1458">
        <v>4.7</v>
      </c>
      <c r="AX1458">
        <v>174.69</v>
      </c>
      <c r="AY1458">
        <v>0.4</v>
      </c>
      <c r="AZ1458">
        <v>3.9</v>
      </c>
      <c r="BA1458">
        <v>228.7704</v>
      </c>
      <c r="BB1458">
        <v>56.3215</v>
      </c>
      <c r="BC1458">
        <v>151.09739999999999</v>
      </c>
      <c r="BD1458">
        <v>4.1879999999999997</v>
      </c>
      <c r="BE1458">
        <v>23.2727</v>
      </c>
      <c r="BH1458">
        <v>82.69</v>
      </c>
    </row>
    <row r="1459" spans="1:60" x14ac:dyDescent="0.25">
      <c r="A1459" s="2">
        <v>44042</v>
      </c>
      <c r="B1459">
        <v>17.899999999999999</v>
      </c>
      <c r="C1459">
        <v>431.6</v>
      </c>
      <c r="D1459">
        <v>41.5</v>
      </c>
      <c r="E1459">
        <v>1.7</v>
      </c>
      <c r="F1459">
        <v>264.41000000000003</v>
      </c>
      <c r="G1459">
        <v>0.8</v>
      </c>
      <c r="H1459">
        <v>4.3</v>
      </c>
      <c r="I1459">
        <v>216.44900000000001</v>
      </c>
      <c r="J1459">
        <v>32.518700000000003</v>
      </c>
      <c r="K1459">
        <v>170.19820000000001</v>
      </c>
      <c r="L1459">
        <v>4.4565999999999999</v>
      </c>
      <c r="M1459">
        <v>25.665800000000001</v>
      </c>
      <c r="N1459">
        <v>11.6556</v>
      </c>
      <c r="O1459">
        <v>-7.7572999999999999</v>
      </c>
      <c r="P1459">
        <v>85.47</v>
      </c>
      <c r="S1459">
        <f t="shared" si="487"/>
        <v>1211.4982999999997</v>
      </c>
      <c r="T1459">
        <f t="shared" si="488"/>
        <v>1.678062334859682E-2</v>
      </c>
      <c r="U1459">
        <f t="shared" si="489"/>
        <v>0.4046098903494072</v>
      </c>
      <c r="V1459">
        <f t="shared" si="490"/>
        <v>3.8904797148981457E-2</v>
      </c>
      <c r="W1459">
        <f t="shared" si="491"/>
        <v>1.5936904856209272E-3</v>
      </c>
      <c r="X1459">
        <f t="shared" si="492"/>
        <v>0.2478751184135467</v>
      </c>
      <c r="Y1459">
        <f t="shared" si="493"/>
        <v>7.4997199323337759E-4</v>
      </c>
      <c r="Z1459">
        <f t="shared" si="494"/>
        <v>4.0310994636294038E-3</v>
      </c>
      <c r="AA1459">
        <f t="shared" si="495"/>
        <v>0.20291335995421417</v>
      </c>
      <c r="AB1459">
        <f t="shared" si="496"/>
        <v>3.0485142820447796E-2</v>
      </c>
      <c r="AC1459">
        <f t="shared" si="497"/>
        <v>0.1595548541234163</v>
      </c>
      <c r="AD1459">
        <f t="shared" si="498"/>
        <v>4.1779064813048375E-3</v>
      </c>
      <c r="AE1459">
        <f t="shared" si="499"/>
        <v>2.4060788979911527E-2</v>
      </c>
      <c r="AG1459">
        <f t="shared" si="500"/>
        <v>0.41874027130588282</v>
      </c>
      <c r="AH1459">
        <f t="shared" si="501"/>
        <v>0.73860598018292734</v>
      </c>
      <c r="AI1459">
        <f t="shared" si="502"/>
        <v>2.6860630036776341</v>
      </c>
      <c r="AK1459" s="26">
        <f t="shared" si="503"/>
        <v>0.48512274530462279</v>
      </c>
      <c r="AL1459" s="26">
        <f t="shared" si="504"/>
        <v>0.48031455265074569</v>
      </c>
      <c r="AM1459" s="26">
        <f t="shared" si="505"/>
        <v>0.36120075832763865</v>
      </c>
      <c r="AN1459" s="26">
        <f t="shared" si="506"/>
        <v>4.7371428571428567</v>
      </c>
      <c r="AO1459" s="26">
        <f t="shared" si="507"/>
        <v>2.3253571428571433</v>
      </c>
      <c r="AP1459" s="26">
        <f t="shared" si="508"/>
        <v>-5.46502528445005</v>
      </c>
      <c r="AS1459" s="2">
        <v>44021</v>
      </c>
      <c r="AT1459">
        <v>20.8</v>
      </c>
      <c r="AU1459">
        <v>385.1</v>
      </c>
      <c r="AV1459">
        <v>7.4</v>
      </c>
      <c r="AW1459">
        <v>1.8</v>
      </c>
      <c r="AX1459">
        <v>170.77</v>
      </c>
      <c r="AY1459">
        <v>0.4</v>
      </c>
      <c r="AZ1459">
        <v>3.8</v>
      </c>
      <c r="BA1459">
        <v>257.8005</v>
      </c>
      <c r="BB1459">
        <v>88.073499999999996</v>
      </c>
      <c r="BC1459">
        <v>150.1722</v>
      </c>
      <c r="BD1459">
        <v>4.1639999999999997</v>
      </c>
      <c r="BE1459">
        <v>23.1998</v>
      </c>
      <c r="BH1459">
        <v>82.5</v>
      </c>
    </row>
    <row r="1460" spans="1:60" x14ac:dyDescent="0.25">
      <c r="A1460" s="2">
        <v>44041</v>
      </c>
      <c r="B1460">
        <v>18</v>
      </c>
      <c r="C1460">
        <v>437.1</v>
      </c>
      <c r="D1460">
        <v>83.8</v>
      </c>
      <c r="E1460">
        <v>6.2</v>
      </c>
      <c r="F1460">
        <v>241.45</v>
      </c>
      <c r="G1460">
        <v>0.5</v>
      </c>
      <c r="H1460">
        <v>4.3</v>
      </c>
      <c r="I1460">
        <v>147.27109999999999</v>
      </c>
      <c r="J1460">
        <v>50.140900000000002</v>
      </c>
      <c r="K1460">
        <v>122.92910000000001</v>
      </c>
      <c r="L1460">
        <v>4.1466000000000003</v>
      </c>
      <c r="M1460">
        <v>25.892700000000001</v>
      </c>
      <c r="N1460">
        <v>9.8447999999999993</v>
      </c>
      <c r="O1460">
        <v>-9.9139999999999997</v>
      </c>
      <c r="P1460">
        <v>85.32</v>
      </c>
      <c r="S1460">
        <f t="shared" si="487"/>
        <v>1141.7303999999999</v>
      </c>
      <c r="T1460">
        <f t="shared" si="488"/>
        <v>1.6874369847750995E-2</v>
      </c>
      <c r="U1460">
        <f t="shared" si="489"/>
        <v>0.40976594780288667</v>
      </c>
      <c r="V1460">
        <f t="shared" si="490"/>
        <v>7.8559566291196287E-2</v>
      </c>
      <c r="W1460">
        <f t="shared" si="491"/>
        <v>5.8122829475586758E-3</v>
      </c>
      <c r="X1460">
        <f t="shared" si="492"/>
        <v>0.22635092220774874</v>
      </c>
      <c r="Y1460">
        <f t="shared" si="493"/>
        <v>4.6873249577086097E-4</v>
      </c>
      <c r="Z1460">
        <f t="shared" si="494"/>
        <v>4.0310994636294038E-3</v>
      </c>
      <c r="AA1460">
        <f t="shared" si="495"/>
        <v>0.13806150051584007</v>
      </c>
      <c r="AB1460">
        <f t="shared" si="496"/>
        <v>4.7005338394394323E-2</v>
      </c>
      <c r="AC1460">
        <f t="shared" si="497"/>
        <v>0.11524172769173149</v>
      </c>
      <c r="AD1460">
        <f t="shared" si="498"/>
        <v>3.8872923339269044E-3</v>
      </c>
      <c r="AE1460">
        <f t="shared" si="499"/>
        <v>2.4273499786492344E-2</v>
      </c>
      <c r="AG1460">
        <f t="shared" si="500"/>
        <v>0.40792603325152199</v>
      </c>
      <c r="AH1460">
        <f t="shared" si="501"/>
        <v>0.76613642084303391</v>
      </c>
      <c r="AI1460">
        <f t="shared" si="502"/>
        <v>2.8551121119606324</v>
      </c>
      <c r="AK1460" s="26">
        <f t="shared" si="503"/>
        <v>0.53980882812121755</v>
      </c>
      <c r="AL1460" s="26">
        <f t="shared" si="504"/>
        <v>0.534289626862818</v>
      </c>
      <c r="AM1460" s="26">
        <f t="shared" si="505"/>
        <v>0.4196401470942302</v>
      </c>
      <c r="AN1460" s="26">
        <f t="shared" si="506"/>
        <v>4.8976190476190737</v>
      </c>
      <c r="AO1460" s="26">
        <f t="shared" si="507"/>
        <v>2.2687500000000398</v>
      </c>
      <c r="AP1460" s="26">
        <f t="shared" si="508"/>
        <v>-5.5827433628318346</v>
      </c>
      <c r="AS1460" s="2">
        <v>44020</v>
      </c>
      <c r="AT1460">
        <v>21.3</v>
      </c>
      <c r="AU1460">
        <v>358.2</v>
      </c>
      <c r="AV1460">
        <v>23.1</v>
      </c>
      <c r="AW1460">
        <v>1.7</v>
      </c>
      <c r="AX1460">
        <v>155.80000000000001</v>
      </c>
      <c r="AY1460">
        <v>0.4</v>
      </c>
      <c r="AZ1460">
        <v>3.9</v>
      </c>
      <c r="BA1460">
        <v>250.65790000000001</v>
      </c>
      <c r="BB1460">
        <v>76.445899999999995</v>
      </c>
      <c r="BC1460">
        <v>155.61949999999999</v>
      </c>
      <c r="BD1460">
        <v>4.1711</v>
      </c>
      <c r="BE1460">
        <v>38.395000000000003</v>
      </c>
      <c r="BH1460">
        <v>82.4</v>
      </c>
    </row>
    <row r="1461" spans="1:60" x14ac:dyDescent="0.25">
      <c r="A1461" s="2">
        <v>44040</v>
      </c>
      <c r="B1461">
        <v>17.600000000000001</v>
      </c>
      <c r="C1461">
        <v>248.6</v>
      </c>
      <c r="D1461">
        <v>80.5</v>
      </c>
      <c r="E1461">
        <v>7.5</v>
      </c>
      <c r="F1461">
        <v>202.85</v>
      </c>
      <c r="H1461">
        <v>4.0999999999999996</v>
      </c>
      <c r="I1461">
        <v>125.7597</v>
      </c>
      <c r="J1461">
        <v>41.54</v>
      </c>
      <c r="K1461">
        <v>119.26090000000001</v>
      </c>
      <c r="L1461">
        <v>4.1520000000000001</v>
      </c>
      <c r="M1461">
        <v>20.466000000000001</v>
      </c>
      <c r="N1461">
        <v>8.8866999999999994</v>
      </c>
      <c r="O1461">
        <v>-10.9114</v>
      </c>
      <c r="P1461">
        <v>85.13</v>
      </c>
      <c r="S1461">
        <f t="shared" si="487"/>
        <v>872.32859999999994</v>
      </c>
      <c r="T1461">
        <f t="shared" si="488"/>
        <v>1.6499383851134308E-2</v>
      </c>
      <c r="U1461">
        <f t="shared" si="489"/>
        <v>0.23305379689727207</v>
      </c>
      <c r="V1461">
        <f t="shared" si="490"/>
        <v>7.5465931819108614E-2</v>
      </c>
      <c r="W1461">
        <f t="shared" si="491"/>
        <v>7.0309874365629141E-3</v>
      </c>
      <c r="X1461">
        <f t="shared" si="492"/>
        <v>0.19016477353423827</v>
      </c>
      <c r="Y1461">
        <f t="shared" si="493"/>
        <v>0</v>
      </c>
      <c r="Z1461">
        <f t="shared" si="494"/>
        <v>3.8436064653210593E-3</v>
      </c>
      <c r="AA1461">
        <f t="shared" si="495"/>
        <v>0.11789531609678948</v>
      </c>
      <c r="AB1461">
        <f t="shared" si="496"/>
        <v>3.8942295748643128E-2</v>
      </c>
      <c r="AC1461">
        <f t="shared" si="497"/>
        <v>0.11180291860975815</v>
      </c>
      <c r="AD1461">
        <f t="shared" si="498"/>
        <v>3.8923546448812294E-3</v>
      </c>
      <c r="AE1461">
        <f t="shared" si="499"/>
        <v>1.9186158516892881E-2</v>
      </c>
      <c r="AG1461">
        <f t="shared" si="500"/>
        <v>0.3942537332645154</v>
      </c>
      <c r="AH1461">
        <f t="shared" si="501"/>
        <v>0.54524463852053018</v>
      </c>
      <c r="AI1461">
        <f t="shared" si="502"/>
        <v>1.560473751361777</v>
      </c>
      <c r="AK1461" s="26">
        <f t="shared" si="503"/>
        <v>0.53023562758471088</v>
      </c>
      <c r="AL1461" s="26">
        <f t="shared" si="504"/>
        <v>0.52926042348909585</v>
      </c>
      <c r="AM1461" s="26">
        <f t="shared" si="505"/>
        <v>0.41563311559243238</v>
      </c>
      <c r="AN1461" s="26">
        <f t="shared" si="506"/>
        <v>5.0566666666667004</v>
      </c>
      <c r="AO1461" s="26">
        <f t="shared" si="507"/>
        <v>2.209629120879157</v>
      </c>
      <c r="AP1461" s="26">
        <f t="shared" si="508"/>
        <v>-5.7020728386657424</v>
      </c>
      <c r="AS1461" s="2">
        <v>44019</v>
      </c>
      <c r="AT1461">
        <v>22</v>
      </c>
      <c r="AU1461">
        <v>200.8</v>
      </c>
      <c r="AV1461">
        <v>62.7</v>
      </c>
      <c r="AW1461">
        <v>4.5</v>
      </c>
      <c r="AX1461">
        <v>229.59</v>
      </c>
      <c r="AY1461">
        <v>0.3</v>
      </c>
      <c r="AZ1461">
        <v>3.9</v>
      </c>
      <c r="BA1461">
        <v>185.90620000000001</v>
      </c>
      <c r="BB1461">
        <v>52.131599999999999</v>
      </c>
      <c r="BC1461">
        <v>133.08779999999999</v>
      </c>
      <c r="BD1461">
        <v>4.1372999999999998</v>
      </c>
      <c r="BE1461">
        <v>28.267900000000001</v>
      </c>
      <c r="BH1461">
        <v>82.3</v>
      </c>
    </row>
    <row r="1462" spans="1:60" x14ac:dyDescent="0.25">
      <c r="A1462" s="2">
        <v>44039</v>
      </c>
      <c r="B1462">
        <v>17.399999999999999</v>
      </c>
      <c r="C1462">
        <v>154.4</v>
      </c>
      <c r="D1462">
        <v>42.4</v>
      </c>
      <c r="E1462">
        <v>1.8</v>
      </c>
      <c r="F1462">
        <v>204.49</v>
      </c>
      <c r="G1462">
        <v>0</v>
      </c>
      <c r="H1462">
        <v>3.6</v>
      </c>
      <c r="I1462">
        <v>197.53120000000001</v>
      </c>
      <c r="J1462">
        <v>37.497799999999998</v>
      </c>
      <c r="K1462">
        <v>149.77269999999999</v>
      </c>
      <c r="L1462">
        <v>4.9114000000000004</v>
      </c>
      <c r="M1462">
        <v>29.337</v>
      </c>
      <c r="N1462">
        <v>9.4585000000000008</v>
      </c>
      <c r="O1462">
        <v>-10.225099999999999</v>
      </c>
      <c r="P1462">
        <v>84.93</v>
      </c>
      <c r="S1462">
        <f t="shared" si="487"/>
        <v>843.14009999999996</v>
      </c>
      <c r="T1462">
        <f t="shared" si="488"/>
        <v>1.6311890852825958E-2</v>
      </c>
      <c r="U1462">
        <f t="shared" si="489"/>
        <v>0.14474459469404186</v>
      </c>
      <c r="V1462">
        <f t="shared" si="490"/>
        <v>3.9748515641369005E-2</v>
      </c>
      <c r="W1462">
        <f t="shared" si="491"/>
        <v>1.6874369847750994E-3</v>
      </c>
      <c r="X1462">
        <f t="shared" si="492"/>
        <v>0.19170221612036673</v>
      </c>
      <c r="Y1462">
        <f t="shared" si="493"/>
        <v>0</v>
      </c>
      <c r="Z1462">
        <f t="shared" si="494"/>
        <v>3.3748739695501988E-3</v>
      </c>
      <c r="AA1462">
        <f t="shared" si="495"/>
        <v>0.1851785847372262</v>
      </c>
      <c r="AB1462">
        <f t="shared" si="496"/>
        <v>3.5152874759833176E-2</v>
      </c>
      <c r="AC1462">
        <f t="shared" si="497"/>
        <v>0.14040666293868084</v>
      </c>
      <c r="AD1462">
        <f t="shared" si="498"/>
        <v>4.6042655594580135E-3</v>
      </c>
      <c r="AE1462">
        <f t="shared" si="499"/>
        <v>2.7502410456859496E-2</v>
      </c>
      <c r="AG1462">
        <f t="shared" si="500"/>
        <v>0.37989960485488355</v>
      </c>
      <c r="AH1462">
        <f t="shared" si="501"/>
        <v>0.42507193871978832</v>
      </c>
      <c r="AI1462">
        <f t="shared" si="502"/>
        <v>0.84566815853066124</v>
      </c>
      <c r="AK1462" s="26">
        <f t="shared" si="503"/>
        <v>0.52891611882440182</v>
      </c>
      <c r="AL1462" s="26">
        <f t="shared" si="504"/>
        <v>0.52582294359855675</v>
      </c>
      <c r="AM1462" s="26">
        <f t="shared" si="505"/>
        <v>0.41395364871931539</v>
      </c>
      <c r="AN1462" s="26">
        <f t="shared" si="506"/>
        <v>5.2371428571428851</v>
      </c>
      <c r="AO1462" s="26">
        <f t="shared" si="507"/>
        <v>2.1636214285714601</v>
      </c>
      <c r="AP1462" s="26">
        <f t="shared" si="508"/>
        <v>-5.8073946902654825</v>
      </c>
      <c r="AS1462" s="2">
        <v>44018</v>
      </c>
      <c r="AT1462">
        <v>22.1</v>
      </c>
      <c r="AU1462">
        <v>121.1</v>
      </c>
      <c r="AV1462">
        <v>84.7</v>
      </c>
      <c r="AW1462">
        <v>9.6</v>
      </c>
      <c r="AX1462">
        <v>425.58</v>
      </c>
      <c r="AY1462">
        <v>0.4</v>
      </c>
      <c r="AZ1462">
        <v>3.7</v>
      </c>
      <c r="BA1462">
        <v>116.34829999999999</v>
      </c>
      <c r="BB1462">
        <v>43.244100000000003</v>
      </c>
      <c r="BC1462">
        <v>51.430100000000003</v>
      </c>
      <c r="BD1462">
        <v>4.194</v>
      </c>
      <c r="BE1462">
        <v>23.012499999999999</v>
      </c>
      <c r="BH1462">
        <v>82.17</v>
      </c>
    </row>
    <row r="1463" spans="1:60" x14ac:dyDescent="0.25">
      <c r="A1463" s="2">
        <v>44038</v>
      </c>
      <c r="B1463">
        <v>17.5</v>
      </c>
      <c r="C1463">
        <v>497.7</v>
      </c>
      <c r="D1463">
        <v>52.9</v>
      </c>
      <c r="E1463">
        <v>4.3</v>
      </c>
      <c r="F1463">
        <v>168.56</v>
      </c>
      <c r="G1463">
        <v>0</v>
      </c>
      <c r="H1463">
        <v>3.4</v>
      </c>
      <c r="I1463">
        <v>131.12</v>
      </c>
      <c r="J1463">
        <v>25.332799999999999</v>
      </c>
      <c r="K1463">
        <v>78.887799999999999</v>
      </c>
      <c r="L1463">
        <v>6.5864000000000003</v>
      </c>
      <c r="M1463">
        <v>13.7234</v>
      </c>
      <c r="P1463">
        <v>84.73</v>
      </c>
      <c r="S1463">
        <f t="shared" si="487"/>
        <v>1000.0104</v>
      </c>
      <c r="T1463">
        <f t="shared" si="488"/>
        <v>1.6405637351980133E-2</v>
      </c>
      <c r="U1463">
        <f t="shared" si="489"/>
        <v>0.46657632629031498</v>
      </c>
      <c r="V1463">
        <f t="shared" si="490"/>
        <v>4.9591898052557086E-2</v>
      </c>
      <c r="W1463">
        <f t="shared" si="491"/>
        <v>4.0310994636294038E-3</v>
      </c>
      <c r="X1463">
        <f t="shared" si="492"/>
        <v>0.15801909897427266</v>
      </c>
      <c r="Y1463">
        <f t="shared" si="493"/>
        <v>0</v>
      </c>
      <c r="Z1463">
        <f t="shared" si="494"/>
        <v>3.1873809712418544E-3</v>
      </c>
      <c r="AA1463">
        <f t="shared" si="495"/>
        <v>0.12292040969095058</v>
      </c>
      <c r="AB1463">
        <f t="shared" si="496"/>
        <v>2.3748613137728133E-2</v>
      </c>
      <c r="AC1463">
        <f t="shared" si="497"/>
        <v>7.3954550759745052E-2</v>
      </c>
      <c r="AD1463">
        <f t="shared" si="498"/>
        <v>6.1745194202903978E-3</v>
      </c>
      <c r="AE1463">
        <f t="shared" si="499"/>
        <v>1.2865207064923665E-2</v>
      </c>
      <c r="AG1463">
        <f t="shared" si="500"/>
        <v>0.36551782844493291</v>
      </c>
      <c r="AH1463">
        <f t="shared" si="501"/>
        <v>0.71067664816891984</v>
      </c>
      <c r="AI1463">
        <f t="shared" si="502"/>
        <v>2.5626051645200696</v>
      </c>
      <c r="AK1463" s="26">
        <f t="shared" si="503"/>
        <v>0.53948561251272897</v>
      </c>
      <c r="AL1463" s="26">
        <f t="shared" si="504"/>
        <v>0.52451766421758383</v>
      </c>
      <c r="AM1463" s="26">
        <f t="shared" si="505"/>
        <v>0.41301693369976694</v>
      </c>
      <c r="AN1463" s="26">
        <f t="shared" si="506"/>
        <v>5.4228571428571399</v>
      </c>
      <c r="AO1463" s="26">
        <f t="shared" si="507"/>
        <v>2.1135119047619213</v>
      </c>
      <c r="AP1463" s="26">
        <f t="shared" si="508"/>
        <v>-5.9166334808259649</v>
      </c>
      <c r="AS1463" s="2">
        <v>44017</v>
      </c>
      <c r="AT1463">
        <v>18.899999999999999</v>
      </c>
      <c r="AU1463">
        <v>576.5</v>
      </c>
      <c r="AV1463">
        <v>61.4</v>
      </c>
      <c r="AW1463">
        <v>8.5</v>
      </c>
      <c r="AX1463">
        <v>175.85</v>
      </c>
      <c r="AY1463">
        <v>0.3</v>
      </c>
      <c r="AZ1463">
        <v>3.2</v>
      </c>
      <c r="BA1463">
        <v>91.623699999999999</v>
      </c>
      <c r="BB1463">
        <v>24.884899999999998</v>
      </c>
      <c r="BC1463">
        <v>18.308399999999999</v>
      </c>
      <c r="BD1463">
        <v>4.1992000000000003</v>
      </c>
      <c r="BE1463">
        <v>17.126100000000001</v>
      </c>
      <c r="BH1463">
        <v>81.96</v>
      </c>
    </row>
    <row r="1464" spans="1:60" x14ac:dyDescent="0.25">
      <c r="A1464" s="2">
        <v>44037</v>
      </c>
      <c r="B1464">
        <v>20.2</v>
      </c>
      <c r="C1464">
        <v>189.6</v>
      </c>
      <c r="D1464">
        <v>30.9</v>
      </c>
      <c r="E1464">
        <v>1.3</v>
      </c>
      <c r="F1464">
        <v>188.76</v>
      </c>
      <c r="G1464">
        <v>0</v>
      </c>
      <c r="H1464">
        <v>4</v>
      </c>
      <c r="I1464">
        <v>167.32900000000001</v>
      </c>
      <c r="J1464">
        <v>26.735099999999999</v>
      </c>
      <c r="K1464">
        <v>125.0064</v>
      </c>
      <c r="L1464">
        <v>6.6155999999999997</v>
      </c>
      <c r="M1464">
        <v>19.5246</v>
      </c>
      <c r="P1464">
        <v>84.43</v>
      </c>
      <c r="S1464">
        <f t="shared" si="487"/>
        <v>779.97069999999985</v>
      </c>
      <c r="T1464">
        <f t="shared" si="488"/>
        <v>1.8936792829142783E-2</v>
      </c>
      <c r="U1464">
        <f t="shared" si="489"/>
        <v>0.17774336239631047</v>
      </c>
      <c r="V1464">
        <f t="shared" si="490"/>
        <v>2.8967668238639204E-2</v>
      </c>
      <c r="W1464">
        <f t="shared" si="491"/>
        <v>1.2187044890042385E-3</v>
      </c>
      <c r="X1464">
        <f t="shared" si="492"/>
        <v>0.17695589180341542</v>
      </c>
      <c r="Y1464">
        <f t="shared" si="493"/>
        <v>0</v>
      </c>
      <c r="Z1464">
        <f t="shared" si="494"/>
        <v>3.7498599661668877E-3</v>
      </c>
      <c r="AA1464">
        <f t="shared" si="495"/>
        <v>0.15686507956968479</v>
      </c>
      <c r="AB1464">
        <f t="shared" si="496"/>
        <v>2.5063220295367089E-2</v>
      </c>
      <c r="AC1464">
        <f t="shared" si="497"/>
        <v>0.11718912371866111</v>
      </c>
      <c r="AD1464">
        <f t="shared" si="498"/>
        <v>6.2018933980434151E-3</v>
      </c>
      <c r="AE1464">
        <f t="shared" si="499"/>
        <v>1.8303628973855502E-2</v>
      </c>
      <c r="AG1464">
        <f t="shared" si="500"/>
        <v>0.34393817336697691</v>
      </c>
      <c r="AH1464">
        <f t="shared" si="501"/>
        <v>0.42587590869653452</v>
      </c>
      <c r="AI1464">
        <f t="shared" si="502"/>
        <v>0.87108582133153556</v>
      </c>
      <c r="AK1464" s="26">
        <f t="shared" si="503"/>
        <v>0.54411457804265462</v>
      </c>
      <c r="AL1464" s="26">
        <f t="shared" si="504"/>
        <v>0.51705040401058222</v>
      </c>
      <c r="AM1464" s="26">
        <f t="shared" si="505"/>
        <v>0.40928376475852474</v>
      </c>
      <c r="AN1464" s="26">
        <f t="shared" si="506"/>
        <v>5.612380952380974</v>
      </c>
      <c r="AO1464" s="26">
        <f t="shared" si="507"/>
        <v>2.0619487577639859</v>
      </c>
      <c r="AP1464" s="26">
        <f t="shared" si="508"/>
        <v>-6.0275028857252977</v>
      </c>
      <c r="AS1464" s="2">
        <v>44016</v>
      </c>
      <c r="AT1464">
        <v>22</v>
      </c>
      <c r="AU1464">
        <v>479.7</v>
      </c>
      <c r="AV1464">
        <v>93.3</v>
      </c>
      <c r="AW1464">
        <v>8.3000000000000007</v>
      </c>
      <c r="AX1464">
        <v>214.18</v>
      </c>
      <c r="AY1464">
        <v>0.4</v>
      </c>
      <c r="AZ1464">
        <v>3.4</v>
      </c>
      <c r="BA1464">
        <v>98.312200000000004</v>
      </c>
      <c r="BB1464">
        <v>24.7531</v>
      </c>
      <c r="BC1464">
        <v>33.113300000000002</v>
      </c>
      <c r="BD1464">
        <v>4.2274000000000003</v>
      </c>
      <c r="BE1464">
        <v>23.6294</v>
      </c>
      <c r="BH1464">
        <v>81.58</v>
      </c>
    </row>
    <row r="1465" spans="1:60" x14ac:dyDescent="0.25">
      <c r="A1465" s="2">
        <v>44036</v>
      </c>
      <c r="B1465">
        <v>20.399999999999999</v>
      </c>
      <c r="C1465">
        <v>607</v>
      </c>
      <c r="D1465">
        <v>32.9</v>
      </c>
      <c r="E1465">
        <v>3.7</v>
      </c>
      <c r="F1465">
        <v>186.16</v>
      </c>
      <c r="G1465">
        <v>0.5</v>
      </c>
      <c r="H1465">
        <v>4.5</v>
      </c>
      <c r="I1465">
        <v>231.5909</v>
      </c>
      <c r="J1465">
        <v>27.797499999999999</v>
      </c>
      <c r="K1465">
        <v>156.3356</v>
      </c>
      <c r="L1465">
        <v>4.1566000000000001</v>
      </c>
      <c r="M1465">
        <v>23.523800000000001</v>
      </c>
      <c r="N1465">
        <v>8.9588999999999999</v>
      </c>
      <c r="O1465">
        <v>-11.3645</v>
      </c>
      <c r="P1465">
        <v>84.38</v>
      </c>
      <c r="S1465">
        <f t="shared" si="487"/>
        <v>1298.5644</v>
      </c>
      <c r="T1465">
        <f t="shared" si="488"/>
        <v>1.9124285827451126E-2</v>
      </c>
      <c r="U1465">
        <f t="shared" si="489"/>
        <v>0.56904124986582516</v>
      </c>
      <c r="V1465">
        <f t="shared" si="490"/>
        <v>3.084259822172265E-2</v>
      </c>
      <c r="W1465">
        <f t="shared" si="491"/>
        <v>3.4686204687043713E-3</v>
      </c>
      <c r="X1465">
        <f t="shared" si="492"/>
        <v>0.17451848282540694</v>
      </c>
      <c r="Y1465">
        <f t="shared" si="493"/>
        <v>4.6873249577086097E-4</v>
      </c>
      <c r="Z1465">
        <f t="shared" si="494"/>
        <v>4.2185924619377486E-3</v>
      </c>
      <c r="AA1465">
        <f t="shared" si="495"/>
        <v>0.21710836110963977</v>
      </c>
      <c r="AB1465">
        <f t="shared" si="496"/>
        <v>2.6059183102381013E-2</v>
      </c>
      <c r="AC1465">
        <f t="shared" si="497"/>
        <v>0.14655915193167002</v>
      </c>
      <c r="AD1465">
        <f t="shared" si="498"/>
        <v>3.8966669838423214E-3</v>
      </c>
      <c r="AE1465">
        <f t="shared" si="499"/>
        <v>2.2052738968029159E-2</v>
      </c>
      <c r="AG1465">
        <f t="shared" si="500"/>
        <v>0.34054477705512698</v>
      </c>
      <c r="AH1465">
        <f t="shared" si="501"/>
        <v>0.82373530113484794</v>
      </c>
      <c r="AI1465">
        <f t="shared" si="502"/>
        <v>3.2666095946553102</v>
      </c>
      <c r="AK1465" s="26">
        <f t="shared" si="503"/>
        <v>0.56155253398684446</v>
      </c>
      <c r="AL1465" s="26">
        <f t="shared" si="504"/>
        <v>0.5142939639776396</v>
      </c>
      <c r="AM1465" s="26">
        <f t="shared" si="505"/>
        <v>0.40784454693351896</v>
      </c>
      <c r="AN1465" s="26">
        <f t="shared" si="506"/>
        <v>5.7952380952381048</v>
      </c>
      <c r="AO1465" s="26">
        <f t="shared" si="507"/>
        <v>1.9929870129870011</v>
      </c>
      <c r="AP1465" s="26">
        <f t="shared" si="508"/>
        <v>-6.1405148833467678</v>
      </c>
      <c r="AS1465" s="2">
        <v>44015</v>
      </c>
      <c r="AT1465">
        <v>21.4</v>
      </c>
      <c r="AU1465">
        <v>533.4</v>
      </c>
      <c r="AV1465">
        <v>32.5</v>
      </c>
      <c r="AW1465">
        <v>3</v>
      </c>
      <c r="AX1465">
        <v>207.87</v>
      </c>
      <c r="AY1465">
        <v>0.7</v>
      </c>
      <c r="AZ1465">
        <v>3.4</v>
      </c>
      <c r="BA1465">
        <v>223.79580000000001</v>
      </c>
      <c r="BB1465">
        <v>42.138500000000001</v>
      </c>
      <c r="BC1465">
        <v>135.6591</v>
      </c>
      <c r="BD1465">
        <v>4.2183000000000002</v>
      </c>
      <c r="BE1465">
        <v>32.702800000000003</v>
      </c>
      <c r="BH1465">
        <v>81.2</v>
      </c>
    </row>
    <row r="1466" spans="1:60" x14ac:dyDescent="0.25">
      <c r="A1466" s="2">
        <v>44035</v>
      </c>
      <c r="B1466">
        <v>19.7</v>
      </c>
      <c r="C1466">
        <v>144.6</v>
      </c>
      <c r="D1466">
        <v>31.6</v>
      </c>
      <c r="E1466">
        <v>0.7</v>
      </c>
      <c r="F1466">
        <v>243.17</v>
      </c>
      <c r="G1466">
        <v>0.8</v>
      </c>
      <c r="H1466">
        <v>4.3</v>
      </c>
      <c r="I1466">
        <v>257.83440000000002</v>
      </c>
      <c r="J1466">
        <v>46.210799999999999</v>
      </c>
      <c r="K1466">
        <v>159.2458</v>
      </c>
      <c r="L1466">
        <v>4.1494999999999997</v>
      </c>
      <c r="M1466">
        <v>26.431000000000001</v>
      </c>
      <c r="N1466">
        <v>9.2111000000000001</v>
      </c>
      <c r="O1466">
        <v>-11.797800000000001</v>
      </c>
      <c r="P1466">
        <v>84.31</v>
      </c>
      <c r="S1466">
        <f t="shared" si="487"/>
        <v>938.74150000000009</v>
      </c>
      <c r="T1466">
        <f t="shared" si="488"/>
        <v>1.8468060333371922E-2</v>
      </c>
      <c r="U1466">
        <f t="shared" si="489"/>
        <v>0.13555743777693299</v>
      </c>
      <c r="V1466">
        <f t="shared" si="490"/>
        <v>2.9623893732718412E-2</v>
      </c>
      <c r="W1466">
        <f t="shared" si="491"/>
        <v>6.5622549407920526E-4</v>
      </c>
      <c r="X1466">
        <f t="shared" si="492"/>
        <v>0.2279633619932005</v>
      </c>
      <c r="Y1466">
        <f t="shared" si="493"/>
        <v>7.4997199323337759E-4</v>
      </c>
      <c r="Z1466">
        <f t="shared" si="494"/>
        <v>4.0310994636294038E-3</v>
      </c>
      <c r="AA1466">
        <f t="shared" si="495"/>
        <v>0.24171072361516496</v>
      </c>
      <c r="AB1466">
        <f t="shared" si="496"/>
        <v>4.3321007231136202E-2</v>
      </c>
      <c r="AC1466">
        <f t="shared" si="497"/>
        <v>0.14928736255005473</v>
      </c>
      <c r="AD1466">
        <f t="shared" si="498"/>
        <v>3.8900109824023749E-3</v>
      </c>
      <c r="AE1466">
        <f t="shared" si="499"/>
        <v>2.4778137191439252E-2</v>
      </c>
      <c r="AG1466">
        <f t="shared" si="500"/>
        <v>0.33577489605120758</v>
      </c>
      <c r="AH1466">
        <f t="shared" si="501"/>
        <v>0.44182818797860507</v>
      </c>
      <c r="AI1466">
        <f t="shared" si="502"/>
        <v>0.99589897441345765</v>
      </c>
      <c r="AK1466" s="26" t="e">
        <f t="shared" si="503"/>
        <v>#DIV/0!</v>
      </c>
      <c r="AL1466" s="26" t="e">
        <f t="shared" si="504"/>
        <v>#DIV/0!</v>
      </c>
      <c r="AM1466" s="26" t="e">
        <f t="shared" si="505"/>
        <v>#DIV/0!</v>
      </c>
      <c r="AN1466" s="26">
        <f t="shared" si="506"/>
        <v>5.9638095238095303</v>
      </c>
      <c r="AO1466" s="26">
        <f t="shared" si="507"/>
        <v>1.9336904761904634</v>
      </c>
      <c r="AP1466" s="26">
        <f t="shared" si="508"/>
        <v>-6.2519005478297629</v>
      </c>
      <c r="AS1466" s="2">
        <v>44014</v>
      </c>
      <c r="AT1466">
        <v>23.1</v>
      </c>
      <c r="AU1466">
        <v>176.6</v>
      </c>
      <c r="AV1466">
        <v>13</v>
      </c>
      <c r="AW1466">
        <v>2.2000000000000002</v>
      </c>
      <c r="AX1466">
        <v>183.53</v>
      </c>
      <c r="AY1466">
        <v>0.8</v>
      </c>
      <c r="AZ1466">
        <v>3.7</v>
      </c>
      <c r="BA1466">
        <v>246.33699999999999</v>
      </c>
      <c r="BB1466">
        <v>67.500500000000002</v>
      </c>
      <c r="BC1466">
        <v>153.11619999999999</v>
      </c>
      <c r="BD1466">
        <v>4.2553000000000001</v>
      </c>
      <c r="BE1466">
        <v>34.396500000000003</v>
      </c>
      <c r="BH1466">
        <v>80.900000000000006</v>
      </c>
    </row>
    <row r="1467" spans="1:60" x14ac:dyDescent="0.25">
      <c r="A1467" s="2">
        <v>44034</v>
      </c>
      <c r="B1467">
        <v>19.100000000000001</v>
      </c>
      <c r="C1467">
        <v>249.8</v>
      </c>
      <c r="D1467">
        <v>16.100000000000001</v>
      </c>
      <c r="E1467">
        <v>1</v>
      </c>
      <c r="F1467">
        <v>245.41</v>
      </c>
      <c r="G1467">
        <v>0.8</v>
      </c>
      <c r="H1467">
        <v>4.3</v>
      </c>
      <c r="I1467">
        <v>252.87989999999999</v>
      </c>
      <c r="J1467">
        <v>34.787599999999998</v>
      </c>
      <c r="K1467">
        <v>161.0155</v>
      </c>
      <c r="L1467">
        <v>5.8381999999999996</v>
      </c>
      <c r="M1467">
        <v>25.908200000000001</v>
      </c>
      <c r="N1467">
        <v>9.0386000000000006</v>
      </c>
      <c r="O1467">
        <v>-12.144</v>
      </c>
      <c r="P1467">
        <v>84.27</v>
      </c>
      <c r="S1467">
        <f t="shared" si="487"/>
        <v>1016.9394</v>
      </c>
      <c r="T1467">
        <f t="shared" si="488"/>
        <v>1.7905581338446889E-2</v>
      </c>
      <c r="U1467">
        <f t="shared" si="489"/>
        <v>0.23417875488712214</v>
      </c>
      <c r="V1467">
        <f t="shared" si="490"/>
        <v>1.5093186363821724E-2</v>
      </c>
      <c r="W1467">
        <f t="shared" si="491"/>
        <v>9.3746499154172193E-4</v>
      </c>
      <c r="X1467">
        <f t="shared" si="492"/>
        <v>0.23006328357425396</v>
      </c>
      <c r="Y1467">
        <f t="shared" si="493"/>
        <v>7.4997199323337759E-4</v>
      </c>
      <c r="Z1467">
        <f t="shared" si="494"/>
        <v>4.0310994636294038E-3</v>
      </c>
      <c r="AA1467">
        <f t="shared" si="495"/>
        <v>0.23706605331457148</v>
      </c>
      <c r="AB1467">
        <f t="shared" si="496"/>
        <v>3.2612157139756806E-2</v>
      </c>
      <c r="AC1467">
        <f t="shared" si="497"/>
        <v>0.15094639434558613</v>
      </c>
      <c r="AD1467">
        <f t="shared" si="498"/>
        <v>5.4731081136188808E-3</v>
      </c>
      <c r="AE1467">
        <f t="shared" si="499"/>
        <v>2.4288030493861239E-2</v>
      </c>
      <c r="AG1467">
        <f t="shared" si="500"/>
        <v>0.33322612012799463</v>
      </c>
      <c r="AH1467">
        <f t="shared" si="501"/>
        <v>0.52724737310591041</v>
      </c>
      <c r="AI1467">
        <f t="shared" si="502"/>
        <v>1.5184288183877661</v>
      </c>
      <c r="AK1467" s="26" t="e">
        <f t="shared" si="503"/>
        <v>#DIV/0!</v>
      </c>
      <c r="AL1467" s="26" t="e">
        <f t="shared" si="504"/>
        <v>#DIV/0!</v>
      </c>
      <c r="AM1467" s="26" t="e">
        <f t="shared" si="505"/>
        <v>#DIV/0!</v>
      </c>
      <c r="AN1467" s="26">
        <f t="shared" si="506"/>
        <v>5.955523809523811</v>
      </c>
      <c r="AO1467" s="26">
        <f t="shared" si="507"/>
        <v>1.8704642857142915</v>
      </c>
      <c r="AP1467" s="26">
        <f t="shared" si="508"/>
        <v>-6.3625840707964727</v>
      </c>
      <c r="AS1467" s="2">
        <v>44013</v>
      </c>
      <c r="AT1467">
        <v>24.2</v>
      </c>
      <c r="AU1467">
        <v>236.3</v>
      </c>
      <c r="AV1467">
        <v>31.5</v>
      </c>
      <c r="AW1467">
        <v>3.7</v>
      </c>
      <c r="AX1467">
        <v>210.04</v>
      </c>
      <c r="AY1467">
        <v>0.8</v>
      </c>
      <c r="AZ1467">
        <v>3.9</v>
      </c>
      <c r="BA1467">
        <v>223.0975</v>
      </c>
      <c r="BB1467">
        <v>47.785499999999999</v>
      </c>
      <c r="BC1467">
        <v>134.25110000000001</v>
      </c>
      <c r="BD1467">
        <v>4.2221000000000002</v>
      </c>
      <c r="BE1467">
        <v>26.4666</v>
      </c>
      <c r="BH1467">
        <v>80.709999999999994</v>
      </c>
    </row>
    <row r="1468" spans="1:60" x14ac:dyDescent="0.25">
      <c r="A1468" s="2">
        <v>44033</v>
      </c>
      <c r="B1468">
        <v>19.100000000000001</v>
      </c>
      <c r="C1468">
        <v>231.7</v>
      </c>
      <c r="D1468">
        <v>24.2</v>
      </c>
      <c r="E1468">
        <v>1.8</v>
      </c>
      <c r="F1468">
        <v>240.27</v>
      </c>
      <c r="G1468">
        <v>0.7</v>
      </c>
      <c r="H1468">
        <v>3.9</v>
      </c>
      <c r="I1468">
        <v>239.64750000000001</v>
      </c>
      <c r="J1468">
        <v>36.572200000000002</v>
      </c>
      <c r="K1468">
        <v>151.59350000000001</v>
      </c>
      <c r="L1468">
        <v>4.1760000000000002</v>
      </c>
      <c r="M1468">
        <v>21.3843</v>
      </c>
      <c r="N1468">
        <v>9.1219000000000001</v>
      </c>
      <c r="O1468">
        <v>-12.2158</v>
      </c>
      <c r="P1468">
        <v>84.25</v>
      </c>
      <c r="S1468">
        <f t="shared" si="487"/>
        <v>975.04350000000022</v>
      </c>
      <c r="T1468">
        <f t="shared" si="488"/>
        <v>1.7905581338446889E-2</v>
      </c>
      <c r="U1468">
        <f t="shared" si="489"/>
        <v>0.21721063854021697</v>
      </c>
      <c r="V1468">
        <f t="shared" si="490"/>
        <v>2.268665279530967E-2</v>
      </c>
      <c r="W1468">
        <f t="shared" si="491"/>
        <v>1.6874369847750994E-3</v>
      </c>
      <c r="X1468">
        <f t="shared" si="492"/>
        <v>0.22524471351772954</v>
      </c>
      <c r="Y1468">
        <f t="shared" si="493"/>
        <v>6.5622549407920526E-4</v>
      </c>
      <c r="Z1468">
        <f t="shared" si="494"/>
        <v>3.6561134670127153E-3</v>
      </c>
      <c r="AA1468">
        <f t="shared" si="495"/>
        <v>0.2246611415604948</v>
      </c>
      <c r="AB1468">
        <f t="shared" si="496"/>
        <v>3.4285157163662164E-2</v>
      </c>
      <c r="AC1468">
        <f t="shared" si="497"/>
        <v>0.14211359919528002</v>
      </c>
      <c r="AD1468">
        <f t="shared" si="498"/>
        <v>3.9148538046782306E-3</v>
      </c>
      <c r="AE1468">
        <f t="shared" si="499"/>
        <v>2.0047032618625643E-2</v>
      </c>
      <c r="AG1468">
        <f t="shared" si="500"/>
        <v>0.33218244559464921</v>
      </c>
      <c r="AH1468">
        <f t="shared" si="501"/>
        <v>0.50909439475619567</v>
      </c>
      <c r="AI1468">
        <f t="shared" si="502"/>
        <v>1.4151399910539866</v>
      </c>
      <c r="AK1468" s="26" t="e">
        <f t="shared" si="503"/>
        <v>#DIV/0!</v>
      </c>
      <c r="AL1468" s="26" t="e">
        <f t="shared" si="504"/>
        <v>#DIV/0!</v>
      </c>
      <c r="AM1468" s="26" t="e">
        <f t="shared" si="505"/>
        <v>#DIV/0!</v>
      </c>
      <c r="AN1468" s="26">
        <f t="shared" si="506"/>
        <v>5.9421052631578988</v>
      </c>
      <c r="AO1468" s="26">
        <f t="shared" si="507"/>
        <v>1.8056766917293032</v>
      </c>
      <c r="AP1468" s="26">
        <f t="shared" si="508"/>
        <v>-6.4729389846297494</v>
      </c>
      <c r="AS1468" s="2">
        <v>44012</v>
      </c>
      <c r="AT1468">
        <v>22.6</v>
      </c>
      <c r="AU1468">
        <v>351.5</v>
      </c>
      <c r="AV1468">
        <v>58.9</v>
      </c>
      <c r="AW1468">
        <v>7.6</v>
      </c>
      <c r="AX1468">
        <v>215.72</v>
      </c>
      <c r="AY1468">
        <v>0.6</v>
      </c>
      <c r="AZ1468">
        <v>3.8</v>
      </c>
      <c r="BA1468">
        <v>142.71250000000001</v>
      </c>
      <c r="BB1468">
        <v>47.561199999999999</v>
      </c>
      <c r="BC1468">
        <v>91.628299999999996</v>
      </c>
      <c r="BD1468">
        <v>4.2161</v>
      </c>
      <c r="BE1468">
        <v>22.3979</v>
      </c>
      <c r="BH1468">
        <v>80.53</v>
      </c>
    </row>
    <row r="1469" spans="1:60" x14ac:dyDescent="0.25">
      <c r="A1469" s="2">
        <v>44032</v>
      </c>
      <c r="B1469">
        <v>19</v>
      </c>
      <c r="C1469">
        <v>332.7</v>
      </c>
      <c r="D1469">
        <v>16.899999999999999</v>
      </c>
      <c r="E1469">
        <v>2.1</v>
      </c>
      <c r="F1469">
        <v>219.45</v>
      </c>
      <c r="G1469">
        <v>0.7</v>
      </c>
      <c r="H1469">
        <v>3.6</v>
      </c>
      <c r="I1469">
        <v>233.7013</v>
      </c>
      <c r="J1469">
        <v>37.953699999999998</v>
      </c>
      <c r="K1469">
        <v>150.0667</v>
      </c>
      <c r="L1469">
        <v>4.1760000000000002</v>
      </c>
      <c r="M1469">
        <v>22.170200000000001</v>
      </c>
      <c r="N1469">
        <v>9.6181000000000001</v>
      </c>
      <c r="O1469">
        <v>-11.153</v>
      </c>
      <c r="P1469">
        <v>84.22</v>
      </c>
      <c r="S1469">
        <f t="shared" si="487"/>
        <v>1042.5179000000001</v>
      </c>
      <c r="T1469">
        <f t="shared" si="488"/>
        <v>1.7811834839292717E-2</v>
      </c>
      <c r="U1469">
        <f t="shared" si="489"/>
        <v>0.31189460268593089</v>
      </c>
      <c r="V1469">
        <f t="shared" si="490"/>
        <v>1.58431583570551E-2</v>
      </c>
      <c r="W1469">
        <f t="shared" si="491"/>
        <v>1.9686764822376161E-3</v>
      </c>
      <c r="X1469">
        <f t="shared" si="492"/>
        <v>0.20572669239383087</v>
      </c>
      <c r="Y1469">
        <f t="shared" si="493"/>
        <v>6.5622549407920526E-4</v>
      </c>
      <c r="Z1469">
        <f t="shared" si="494"/>
        <v>3.3748739695501988E-3</v>
      </c>
      <c r="AA1469">
        <f t="shared" si="495"/>
        <v>0.21908678722778943</v>
      </c>
      <c r="AB1469">
        <f t="shared" si="496"/>
        <v>3.5580265049477047E-2</v>
      </c>
      <c r="AC1469">
        <f t="shared" si="497"/>
        <v>0.14068227764619412</v>
      </c>
      <c r="AD1469">
        <f t="shared" si="498"/>
        <v>3.9148538046782306E-3</v>
      </c>
      <c r="AE1469">
        <f t="shared" si="499"/>
        <v>2.0783786355478284E-2</v>
      </c>
      <c r="AG1469">
        <f t="shared" si="500"/>
        <v>0.33046677302641136</v>
      </c>
      <c r="AH1469">
        <f t="shared" si="501"/>
        <v>0.57805985057745479</v>
      </c>
      <c r="AI1469">
        <f t="shared" si="502"/>
        <v>1.8403399300292522</v>
      </c>
      <c r="AK1469" s="26" t="e">
        <f t="shared" si="503"/>
        <v>#DIV/0!</v>
      </c>
      <c r="AL1469" s="26" t="e">
        <f t="shared" si="504"/>
        <v>#DIV/0!</v>
      </c>
      <c r="AM1469" s="26" t="e">
        <f t="shared" si="505"/>
        <v>#DIV/0!</v>
      </c>
      <c r="AN1469" s="26">
        <f t="shared" si="506"/>
        <v>5.9239682539682548</v>
      </c>
      <c r="AO1469" s="26">
        <f t="shared" si="507"/>
        <v>1.7405753968253777</v>
      </c>
      <c r="AP1469" s="26">
        <f t="shared" si="508"/>
        <v>-6.5773844641101533</v>
      </c>
      <c r="AS1469" s="2">
        <v>44011</v>
      </c>
      <c r="AT1469">
        <v>21.9</v>
      </c>
      <c r="AU1469">
        <v>418.6</v>
      </c>
      <c r="AV1469">
        <v>63</v>
      </c>
      <c r="AW1469">
        <v>3.6</v>
      </c>
      <c r="AX1469">
        <v>196.21</v>
      </c>
      <c r="AY1469">
        <v>0.8</v>
      </c>
      <c r="AZ1469">
        <v>4</v>
      </c>
      <c r="BA1469">
        <v>187.40809999999999</v>
      </c>
      <c r="BB1469">
        <v>34.546799999999998</v>
      </c>
      <c r="BC1469">
        <v>120.1221</v>
      </c>
      <c r="BD1469">
        <v>4.2367999999999997</v>
      </c>
      <c r="BE1469">
        <v>27.8689</v>
      </c>
      <c r="BH1469">
        <v>80.430000000000007</v>
      </c>
    </row>
    <row r="1470" spans="1:60" x14ac:dyDescent="0.25">
      <c r="A1470" s="2">
        <v>44031</v>
      </c>
      <c r="B1470">
        <v>20.2</v>
      </c>
      <c r="C1470">
        <v>58.6</v>
      </c>
      <c r="D1470">
        <v>8.6</v>
      </c>
      <c r="E1470">
        <v>0.7</v>
      </c>
      <c r="F1470">
        <v>229.07</v>
      </c>
      <c r="G1470">
        <v>0.7</v>
      </c>
      <c r="H1470">
        <v>4</v>
      </c>
      <c r="I1470">
        <v>165.08869999999999</v>
      </c>
      <c r="J1470">
        <v>38.946300000000001</v>
      </c>
      <c r="K1470">
        <v>133.68459999999999</v>
      </c>
      <c r="L1470">
        <v>4.1966999999999999</v>
      </c>
      <c r="M1470">
        <v>11.186400000000001</v>
      </c>
      <c r="P1470">
        <v>84.16</v>
      </c>
      <c r="S1470">
        <f t="shared" si="487"/>
        <v>674.9726999999998</v>
      </c>
      <c r="T1470">
        <f t="shared" si="488"/>
        <v>1.8936792829142783E-2</v>
      </c>
      <c r="U1470">
        <f t="shared" si="489"/>
        <v>5.4935448504344904E-2</v>
      </c>
      <c r="V1470">
        <f t="shared" si="490"/>
        <v>8.0621989272588075E-3</v>
      </c>
      <c r="W1470">
        <f t="shared" si="491"/>
        <v>6.5622549407920526E-4</v>
      </c>
      <c r="X1470">
        <f t="shared" si="492"/>
        <v>0.21474510561246224</v>
      </c>
      <c r="Y1470">
        <f t="shared" si="493"/>
        <v>6.5622549407920526E-4</v>
      </c>
      <c r="Z1470">
        <f t="shared" si="494"/>
        <v>3.7498599661668877E-3</v>
      </c>
      <c r="AA1470">
        <f t="shared" si="495"/>
        <v>0.15476487674913386</v>
      </c>
      <c r="AB1470">
        <f t="shared" si="496"/>
        <v>3.6510792800081363E-2</v>
      </c>
      <c r="AC1470">
        <f t="shared" si="497"/>
        <v>0.12532463240825847</v>
      </c>
      <c r="AD1470">
        <f t="shared" si="498"/>
        <v>3.9342593300031444E-3</v>
      </c>
      <c r="AE1470">
        <f t="shared" si="499"/>
        <v>1.0486858381382318E-2</v>
      </c>
      <c r="AG1470">
        <f t="shared" si="500"/>
        <v>0.32663465263371233</v>
      </c>
      <c r="AH1470">
        <f t="shared" si="501"/>
        <v>0.31222871520891637</v>
      </c>
      <c r="AI1470">
        <f t="shared" si="502"/>
        <v>0.22989064212267707</v>
      </c>
      <c r="AK1470" s="26" t="e">
        <f t="shared" si="503"/>
        <v>#DIV/0!</v>
      </c>
      <c r="AL1470" s="26" t="e">
        <f t="shared" si="504"/>
        <v>#DIV/0!</v>
      </c>
      <c r="AM1470" s="26" t="e">
        <f t="shared" si="505"/>
        <v>#DIV/0!</v>
      </c>
      <c r="AN1470" s="26">
        <f t="shared" si="506"/>
        <v>5.8988515406162634</v>
      </c>
      <c r="AO1470" s="26">
        <f t="shared" si="507"/>
        <v>1.6668277310924395</v>
      </c>
      <c r="AP1470" s="26">
        <f t="shared" si="508"/>
        <v>-6.6830869338886174</v>
      </c>
      <c r="AS1470" s="2">
        <v>44010</v>
      </c>
      <c r="AT1470">
        <v>21.6</v>
      </c>
      <c r="AU1470">
        <v>591.4</v>
      </c>
      <c r="AV1470">
        <v>52.1</v>
      </c>
      <c r="AW1470">
        <v>3.5</v>
      </c>
      <c r="AX1470">
        <v>173.31</v>
      </c>
      <c r="AY1470">
        <v>0.7</v>
      </c>
      <c r="AZ1470">
        <v>4</v>
      </c>
      <c r="BA1470">
        <v>153.3426</v>
      </c>
      <c r="BB1470">
        <v>30.614899999999999</v>
      </c>
      <c r="BC1470">
        <v>44.608899999999998</v>
      </c>
      <c r="BD1470">
        <v>4.1839000000000004</v>
      </c>
      <c r="BE1470">
        <v>12.265000000000001</v>
      </c>
      <c r="BH1470">
        <v>80.180000000000007</v>
      </c>
    </row>
    <row r="1471" spans="1:60" x14ac:dyDescent="0.25">
      <c r="A1471" s="2">
        <v>44030</v>
      </c>
      <c r="B1471">
        <v>21.2</v>
      </c>
      <c r="C1471">
        <v>105.5</v>
      </c>
      <c r="D1471">
        <v>12.8</v>
      </c>
      <c r="E1471">
        <v>0.3</v>
      </c>
      <c r="F1471">
        <v>217.54</v>
      </c>
      <c r="G1471">
        <v>0.8</v>
      </c>
      <c r="H1471">
        <v>4</v>
      </c>
      <c r="I1471">
        <v>203.815</v>
      </c>
      <c r="J1471">
        <v>46.510599999999997</v>
      </c>
      <c r="K1471">
        <v>144.5087</v>
      </c>
      <c r="L1471">
        <v>4.1997</v>
      </c>
      <c r="M1471">
        <v>15.9567</v>
      </c>
      <c r="P1471">
        <v>83.95</v>
      </c>
      <c r="S1471">
        <f t="shared" si="487"/>
        <v>777.13069999999993</v>
      </c>
      <c r="T1471">
        <f t="shared" si="488"/>
        <v>1.9874257820684502E-2</v>
      </c>
      <c r="U1471">
        <f t="shared" si="489"/>
        <v>9.8902556607651668E-2</v>
      </c>
      <c r="V1471">
        <f t="shared" si="490"/>
        <v>1.1999551891734041E-2</v>
      </c>
      <c r="W1471">
        <f t="shared" si="491"/>
        <v>2.8123949746251657E-4</v>
      </c>
      <c r="X1471">
        <f t="shared" si="492"/>
        <v>0.20393613425998619</v>
      </c>
      <c r="Y1471">
        <f t="shared" si="493"/>
        <v>7.4997199323337759E-4</v>
      </c>
      <c r="Z1471">
        <f t="shared" si="494"/>
        <v>3.7498599661668877E-3</v>
      </c>
      <c r="AA1471">
        <f t="shared" si="495"/>
        <v>0.19106942725107603</v>
      </c>
      <c r="AB1471">
        <f t="shared" si="496"/>
        <v>4.3602059235600406E-2</v>
      </c>
      <c r="AC1471">
        <f t="shared" si="497"/>
        <v>0.13547184722320524</v>
      </c>
      <c r="AD1471">
        <f t="shared" si="498"/>
        <v>3.9370717249777691E-3</v>
      </c>
      <c r="AE1471">
        <f t="shared" si="499"/>
        <v>1.4958847630533794E-2</v>
      </c>
      <c r="AG1471">
        <f t="shared" si="500"/>
        <v>0.31206495460331524</v>
      </c>
      <c r="AH1471">
        <f t="shared" si="501"/>
        <v>0.354452419667453</v>
      </c>
      <c r="AI1471">
        <f t="shared" si="502"/>
        <v>0.48747013932298633</v>
      </c>
      <c r="AK1471" s="26" t="e">
        <f t="shared" si="503"/>
        <v>#DIV/0!</v>
      </c>
      <c r="AL1471" s="26" t="e">
        <f t="shared" si="504"/>
        <v>#DIV/0!</v>
      </c>
      <c r="AM1471" s="26" t="e">
        <f t="shared" si="505"/>
        <v>#DIV/0!</v>
      </c>
      <c r="AN1471" s="26">
        <f t="shared" si="506"/>
        <v>5.8616071428571388</v>
      </c>
      <c r="AO1471" s="26">
        <f t="shared" si="507"/>
        <v>1.5855357142857116</v>
      </c>
      <c r="AP1471" s="26">
        <f t="shared" si="508"/>
        <v>-6.7903650442478209</v>
      </c>
      <c r="AS1471" s="2">
        <v>44009</v>
      </c>
      <c r="AT1471">
        <v>21.8</v>
      </c>
      <c r="AU1471">
        <v>475.3</v>
      </c>
      <c r="AV1471">
        <v>12.1</v>
      </c>
      <c r="AW1471">
        <v>1.6</v>
      </c>
      <c r="AX1471">
        <v>236.07</v>
      </c>
      <c r="AY1471">
        <v>0.7</v>
      </c>
      <c r="AZ1471">
        <v>4.0999999999999996</v>
      </c>
      <c r="BA1471">
        <v>189.76089999999999</v>
      </c>
      <c r="BB1471">
        <v>29.6952</v>
      </c>
      <c r="BC1471">
        <v>98.427999999999997</v>
      </c>
      <c r="BD1471">
        <v>4.1764999999999999</v>
      </c>
      <c r="BE1471">
        <v>20.277999999999999</v>
      </c>
      <c r="BH1471">
        <v>79.819999999999993</v>
      </c>
    </row>
    <row r="1472" spans="1:60" x14ac:dyDescent="0.25">
      <c r="A1472" s="2">
        <v>44029</v>
      </c>
      <c r="B1472">
        <v>21.2</v>
      </c>
      <c r="C1472">
        <v>122.3</v>
      </c>
      <c r="D1472">
        <v>4.5999999999999996</v>
      </c>
      <c r="E1472">
        <v>0.5</v>
      </c>
      <c r="F1472">
        <v>183.52</v>
      </c>
      <c r="G1472">
        <v>0.7</v>
      </c>
      <c r="H1472">
        <v>3.9</v>
      </c>
      <c r="I1472">
        <v>271.06349999999998</v>
      </c>
      <c r="J1472">
        <v>70.572800000000001</v>
      </c>
      <c r="K1472">
        <v>160.8588</v>
      </c>
      <c r="L1472">
        <v>4.1989000000000001</v>
      </c>
      <c r="M1472">
        <v>24.979099999999999</v>
      </c>
      <c r="N1472">
        <v>9.8690999999999995</v>
      </c>
      <c r="O1472">
        <v>-11.024100000000001</v>
      </c>
      <c r="P1472">
        <v>83.84</v>
      </c>
      <c r="S1472">
        <f t="shared" si="487"/>
        <v>868.3931</v>
      </c>
      <c r="T1472">
        <f t="shared" si="488"/>
        <v>1.9874257820684502E-2</v>
      </c>
      <c r="U1472">
        <f t="shared" si="489"/>
        <v>0.11465196846555259</v>
      </c>
      <c r="V1472">
        <f t="shared" si="490"/>
        <v>4.3123389610919202E-3</v>
      </c>
      <c r="W1472">
        <f t="shared" si="491"/>
        <v>4.6873249577086097E-4</v>
      </c>
      <c r="X1472">
        <f t="shared" si="492"/>
        <v>0.17204357524773681</v>
      </c>
      <c r="Y1472">
        <f t="shared" si="493"/>
        <v>6.5622549407920526E-4</v>
      </c>
      <c r="Z1472">
        <f t="shared" si="494"/>
        <v>3.6561134670127153E-3</v>
      </c>
      <c r="AA1472">
        <f t="shared" si="495"/>
        <v>0.25411254173476949</v>
      </c>
      <c r="AB1472">
        <f t="shared" si="496"/>
        <v>6.615952935507563E-2</v>
      </c>
      <c r="AC1472">
        <f t="shared" si="497"/>
        <v>0.15079949358141154</v>
      </c>
      <c r="AD1472">
        <f t="shared" si="498"/>
        <v>3.9363217529845363E-3</v>
      </c>
      <c r="AE1472">
        <f t="shared" si="499"/>
        <v>2.3417031770219823E-2</v>
      </c>
      <c r="AG1472">
        <f t="shared" si="500"/>
        <v>0.30474978826391946</v>
      </c>
      <c r="AH1472">
        <f t="shared" si="501"/>
        <v>0.33908024372214846</v>
      </c>
      <c r="AI1472">
        <f t="shared" si="502"/>
        <v>0.39475163454925016</v>
      </c>
      <c r="AK1472" s="26" t="e">
        <f t="shared" si="503"/>
        <v>#DIV/0!</v>
      </c>
      <c r="AL1472" s="26" t="e">
        <f t="shared" si="504"/>
        <v>#DIV/0!</v>
      </c>
      <c r="AM1472" s="26" t="e">
        <f t="shared" si="505"/>
        <v>#DIV/0!</v>
      </c>
      <c r="AN1472" s="26">
        <f t="shared" si="506"/>
        <v>5.8208571428571503</v>
      </c>
      <c r="AO1472" s="26">
        <f t="shared" si="507"/>
        <v>1.5044880952381163</v>
      </c>
      <c r="AP1472" s="26">
        <f t="shared" si="508"/>
        <v>-6.8923244837758233</v>
      </c>
      <c r="AS1472" s="2">
        <v>44008</v>
      </c>
      <c r="AT1472">
        <v>21.7</v>
      </c>
      <c r="AU1472">
        <v>335.5</v>
      </c>
      <c r="AV1472">
        <v>32</v>
      </c>
      <c r="AW1472">
        <v>2.4</v>
      </c>
      <c r="AX1472">
        <v>259.86</v>
      </c>
      <c r="AY1472">
        <v>0.7</v>
      </c>
      <c r="AZ1472">
        <v>4</v>
      </c>
      <c r="BA1472">
        <v>272.29880000000003</v>
      </c>
      <c r="BB1472">
        <v>59.416499999999999</v>
      </c>
      <c r="BC1472">
        <v>145.64169999999999</v>
      </c>
      <c r="BD1472">
        <v>4.1397000000000004</v>
      </c>
      <c r="BE1472">
        <v>22.650700000000001</v>
      </c>
      <c r="BH1472">
        <v>79.48</v>
      </c>
    </row>
    <row r="1473" spans="1:60" x14ac:dyDescent="0.25">
      <c r="A1473" s="2">
        <v>44028</v>
      </c>
      <c r="B1473">
        <v>20.399999999999999</v>
      </c>
      <c r="C1473">
        <v>54.3</v>
      </c>
      <c r="D1473">
        <v>2.9</v>
      </c>
      <c r="E1473">
        <v>0.7</v>
      </c>
      <c r="F1473">
        <v>108.24</v>
      </c>
      <c r="G1473">
        <v>0.8</v>
      </c>
      <c r="H1473">
        <v>3.9</v>
      </c>
      <c r="I1473">
        <v>265.21800000000002</v>
      </c>
      <c r="J1473">
        <v>119.3844</v>
      </c>
      <c r="K1473">
        <v>168.2415</v>
      </c>
      <c r="L1473">
        <v>4.2</v>
      </c>
      <c r="M1473">
        <v>32.110900000000001</v>
      </c>
      <c r="N1473">
        <v>10.920299999999999</v>
      </c>
      <c r="O1473">
        <v>-9.2858000000000001</v>
      </c>
      <c r="P1473">
        <v>83.77</v>
      </c>
      <c r="S1473">
        <f t="shared" si="487"/>
        <v>780.39480000000003</v>
      </c>
      <c r="T1473">
        <f t="shared" si="488"/>
        <v>1.9124285827451126E-2</v>
      </c>
      <c r="U1473">
        <f t="shared" si="489"/>
        <v>5.0904349040715495E-2</v>
      </c>
      <c r="V1473">
        <f t="shared" si="490"/>
        <v>2.7186484754709935E-3</v>
      </c>
      <c r="W1473">
        <f t="shared" si="491"/>
        <v>6.5622549407920526E-4</v>
      </c>
      <c r="X1473">
        <f t="shared" si="492"/>
        <v>0.10147121068447597</v>
      </c>
      <c r="Y1473">
        <f t="shared" si="493"/>
        <v>7.4997199323337759E-4</v>
      </c>
      <c r="Z1473">
        <f t="shared" si="494"/>
        <v>3.6561134670127153E-3</v>
      </c>
      <c r="AA1473">
        <f t="shared" si="495"/>
        <v>0.2486325901267124</v>
      </c>
      <c r="AB1473">
        <f t="shared" si="496"/>
        <v>0.11191869553621354</v>
      </c>
      <c r="AC1473">
        <f t="shared" si="497"/>
        <v>0.1577205163744666</v>
      </c>
      <c r="AD1473">
        <f t="shared" si="498"/>
        <v>3.9373529644752322E-3</v>
      </c>
      <c r="AE1473">
        <f t="shared" si="499"/>
        <v>3.0102844596897081E-2</v>
      </c>
      <c r="AG1473">
        <f t="shared" si="500"/>
        <v>0.30035127711266091</v>
      </c>
      <c r="AH1473">
        <f t="shared" si="501"/>
        <v>0.20938364957933597</v>
      </c>
      <c r="AI1473">
        <f t="shared" si="502"/>
        <v>-0.39301740718287453</v>
      </c>
      <c r="AK1473" s="26" t="e">
        <f t="shared" si="503"/>
        <v>#DIV/0!</v>
      </c>
      <c r="AL1473" s="26" t="e">
        <f t="shared" si="504"/>
        <v>#DIV/0!</v>
      </c>
      <c r="AM1473" s="26" t="e">
        <f t="shared" si="505"/>
        <v>#DIV/0!</v>
      </c>
      <c r="AN1473" s="26">
        <f t="shared" si="506"/>
        <v>5.7735714285714295</v>
      </c>
      <c r="AO1473" s="26">
        <f t="shared" si="507"/>
        <v>1.4223214285714221</v>
      </c>
      <c r="AP1473" s="26">
        <f t="shared" si="508"/>
        <v>-6.9877433628318784</v>
      </c>
      <c r="AS1473" s="2">
        <v>44007</v>
      </c>
      <c r="AT1473">
        <v>21.6</v>
      </c>
      <c r="AU1473">
        <v>188</v>
      </c>
      <c r="AV1473">
        <v>38.700000000000003</v>
      </c>
      <c r="AW1473">
        <v>2.7</v>
      </c>
      <c r="AX1473">
        <v>239.66</v>
      </c>
      <c r="AY1473">
        <v>0.7</v>
      </c>
      <c r="AZ1473">
        <v>4.4000000000000004</v>
      </c>
      <c r="BA1473">
        <v>274.34320000000002</v>
      </c>
      <c r="BB1473">
        <v>63.386400000000002</v>
      </c>
      <c r="BC1473">
        <v>156.01840000000001</v>
      </c>
      <c r="BD1473">
        <v>4.1609999999999996</v>
      </c>
      <c r="BE1473">
        <v>23.1524</v>
      </c>
      <c r="BH1473">
        <v>79.23</v>
      </c>
    </row>
    <row r="1474" spans="1:60" x14ac:dyDescent="0.25">
      <c r="A1474" s="2">
        <v>44027</v>
      </c>
      <c r="B1474">
        <v>19.8</v>
      </c>
      <c r="C1474">
        <v>332.6</v>
      </c>
      <c r="D1474">
        <v>3.7</v>
      </c>
      <c r="E1474">
        <v>0.6</v>
      </c>
      <c r="F1474">
        <v>134.38999999999999</v>
      </c>
      <c r="G1474">
        <v>0.8</v>
      </c>
      <c r="H1474">
        <v>3.9</v>
      </c>
      <c r="I1474">
        <v>265.34269999999998</v>
      </c>
      <c r="J1474">
        <v>84.552999999999997</v>
      </c>
      <c r="K1474">
        <v>167.31299999999999</v>
      </c>
      <c r="L1474">
        <v>4.2408999999999999</v>
      </c>
      <c r="M1474">
        <v>32.979500000000002</v>
      </c>
      <c r="N1474">
        <v>10.435600000000001</v>
      </c>
      <c r="O1474">
        <v>-10.748100000000001</v>
      </c>
      <c r="P1474">
        <v>83.7</v>
      </c>
      <c r="S1474">
        <f t="shared" ref="S1474:S1537" si="509">SUM(B1474:M1474)</f>
        <v>1050.2191</v>
      </c>
      <c r="T1474">
        <f t="shared" si="488"/>
        <v>1.8561806832526093E-2</v>
      </c>
      <c r="U1474">
        <f t="shared" si="489"/>
        <v>0.31180085618677672</v>
      </c>
      <c r="V1474">
        <f t="shared" si="490"/>
        <v>3.4686204687043713E-3</v>
      </c>
      <c r="W1474">
        <f t="shared" si="491"/>
        <v>5.6247899492503314E-4</v>
      </c>
      <c r="X1474">
        <f t="shared" si="492"/>
        <v>0.125985920213292</v>
      </c>
      <c r="Y1474">
        <f t="shared" si="493"/>
        <v>7.4997199323337759E-4</v>
      </c>
      <c r="Z1474">
        <f t="shared" si="494"/>
        <v>3.6561134670127153E-3</v>
      </c>
      <c r="AA1474">
        <f t="shared" si="495"/>
        <v>0.24874949201115765</v>
      </c>
      <c r="AB1474">
        <f t="shared" si="496"/>
        <v>7.9265477429827216E-2</v>
      </c>
      <c r="AC1474">
        <f t="shared" si="497"/>
        <v>0.1568500801298201</v>
      </c>
      <c r="AD1474">
        <f t="shared" si="498"/>
        <v>3.9756952826292885E-3</v>
      </c>
      <c r="AE1474">
        <f t="shared" si="499"/>
        <v>3.091712668855022E-2</v>
      </c>
      <c r="AG1474">
        <f t="shared" si="500"/>
        <v>0.29599613165247129</v>
      </c>
      <c r="AH1474">
        <f t="shared" si="501"/>
        <v>0.49570289484502056</v>
      </c>
      <c r="AI1474">
        <f t="shared" si="502"/>
        <v>1.3447787729916465</v>
      </c>
      <c r="AK1474" s="26" t="e">
        <f t="shared" si="503"/>
        <v>#DIV/0!</v>
      </c>
      <c r="AL1474" s="26" t="e">
        <f t="shared" si="504"/>
        <v>#DIV/0!</v>
      </c>
      <c r="AM1474" s="26" t="e">
        <f t="shared" si="505"/>
        <v>#DIV/0!</v>
      </c>
      <c r="AN1474" s="26">
        <f t="shared" si="506"/>
        <v>5.7246886446886407</v>
      </c>
      <c r="AO1474" s="26">
        <f t="shared" si="507"/>
        <v>1.3405219780219682</v>
      </c>
      <c r="AP1474" s="26">
        <f t="shared" si="508"/>
        <v>-7.0734445200817078</v>
      </c>
      <c r="AS1474" s="2">
        <v>44006</v>
      </c>
      <c r="AT1474">
        <v>22.1</v>
      </c>
      <c r="AU1474">
        <v>307.8</v>
      </c>
      <c r="AV1474">
        <v>8.9</v>
      </c>
      <c r="AW1474">
        <v>1.3</v>
      </c>
      <c r="AX1474">
        <v>276.82</v>
      </c>
      <c r="AY1474">
        <v>0.7</v>
      </c>
      <c r="AZ1474">
        <v>4.2</v>
      </c>
      <c r="BA1474">
        <v>278.2516</v>
      </c>
      <c r="BB1474">
        <v>63.092199999999998</v>
      </c>
      <c r="BC1474">
        <v>152.6765</v>
      </c>
      <c r="BD1474">
        <v>4.2164000000000001</v>
      </c>
      <c r="BE1474">
        <v>21.936900000000001</v>
      </c>
      <c r="BH1474">
        <v>79.02</v>
      </c>
    </row>
    <row r="1475" spans="1:60" x14ac:dyDescent="0.25">
      <c r="A1475" s="2">
        <v>44026</v>
      </c>
      <c r="B1475">
        <v>20.100000000000001</v>
      </c>
      <c r="C1475">
        <v>504.2</v>
      </c>
      <c r="D1475">
        <v>21.8</v>
      </c>
      <c r="E1475">
        <v>1.2</v>
      </c>
      <c r="F1475">
        <v>216.31</v>
      </c>
      <c r="G1475">
        <v>0.7</v>
      </c>
      <c r="H1475">
        <v>3.9</v>
      </c>
      <c r="I1475">
        <v>255.70750000000001</v>
      </c>
      <c r="J1475">
        <v>54.619199999999999</v>
      </c>
      <c r="K1475">
        <v>161.5461</v>
      </c>
      <c r="L1475">
        <v>4.2713999999999999</v>
      </c>
      <c r="M1475">
        <v>17.510400000000001</v>
      </c>
      <c r="N1475">
        <v>10.0839</v>
      </c>
      <c r="O1475">
        <v>-11.6488</v>
      </c>
      <c r="P1475">
        <v>83.73</v>
      </c>
      <c r="S1475">
        <f t="shared" si="509"/>
        <v>1261.8645999999999</v>
      </c>
      <c r="T1475">
        <f t="shared" si="488"/>
        <v>1.8843046329988612E-2</v>
      </c>
      <c r="U1475">
        <f t="shared" si="489"/>
        <v>0.47266984873533618</v>
      </c>
      <c r="V1475">
        <f t="shared" si="490"/>
        <v>2.0436736815609539E-2</v>
      </c>
      <c r="W1475">
        <f t="shared" si="491"/>
        <v>1.1249579898500663E-3</v>
      </c>
      <c r="X1475">
        <f t="shared" si="492"/>
        <v>0.20278305232038987</v>
      </c>
      <c r="Y1475">
        <f t="shared" si="493"/>
        <v>6.5622549407920526E-4</v>
      </c>
      <c r="Z1475">
        <f t="shared" si="494"/>
        <v>3.6561134670127153E-3</v>
      </c>
      <c r="AA1475">
        <f t="shared" si="495"/>
        <v>0.23971682932465485</v>
      </c>
      <c r="AB1475">
        <f t="shared" si="496"/>
        <v>5.1203587866015615E-2</v>
      </c>
      <c r="AC1475">
        <f t="shared" si="497"/>
        <v>0.15144381327009815</v>
      </c>
      <c r="AD1475">
        <f t="shared" si="498"/>
        <v>4.0042879648713109E-3</v>
      </c>
      <c r="AE1475">
        <f t="shared" si="499"/>
        <v>1.6415386987892168E-2</v>
      </c>
      <c r="AG1475">
        <f t="shared" si="500"/>
        <v>0.29885087776529484</v>
      </c>
      <c r="AH1475">
        <f t="shared" si="501"/>
        <v>0.73658536814015818</v>
      </c>
      <c r="AI1475">
        <f t="shared" si="502"/>
        <v>2.8143154590839186</v>
      </c>
      <c r="AK1475" s="26" t="e">
        <f t="shared" si="503"/>
        <v>#DIV/0!</v>
      </c>
      <c r="AL1475" s="26" t="e">
        <f t="shared" si="504"/>
        <v>#DIV/0!</v>
      </c>
      <c r="AM1475" s="26" t="e">
        <f t="shared" si="505"/>
        <v>#DIV/0!</v>
      </c>
      <c r="AN1475" s="26">
        <f t="shared" si="506"/>
        <v>5.6770238095238312</v>
      </c>
      <c r="AO1475" s="26">
        <f t="shared" si="507"/>
        <v>1.2623214285714397</v>
      </c>
      <c r="AP1475" s="26">
        <f t="shared" si="508"/>
        <v>-7.1482522123893943</v>
      </c>
      <c r="AS1475" s="2">
        <v>44005</v>
      </c>
      <c r="AT1475">
        <v>22.4</v>
      </c>
      <c r="AU1475">
        <v>65</v>
      </c>
      <c r="AV1475">
        <v>5.9</v>
      </c>
      <c r="AW1475">
        <v>0.7</v>
      </c>
      <c r="AX1475">
        <v>287.77999999999997</v>
      </c>
      <c r="AY1475">
        <v>0.6</v>
      </c>
      <c r="AZ1475">
        <v>4.3</v>
      </c>
      <c r="BA1475">
        <v>273.31709999999998</v>
      </c>
      <c r="BB1475">
        <v>51.721600000000002</v>
      </c>
      <c r="BC1475">
        <v>150.25020000000001</v>
      </c>
      <c r="BD1475">
        <v>4.1959</v>
      </c>
      <c r="BE1475">
        <v>24.751000000000001</v>
      </c>
      <c r="BH1475">
        <v>78.81</v>
      </c>
    </row>
    <row r="1476" spans="1:60" x14ac:dyDescent="0.25">
      <c r="A1476" s="2">
        <v>44025</v>
      </c>
      <c r="B1476">
        <v>20.2</v>
      </c>
      <c r="C1476">
        <v>552.9</v>
      </c>
      <c r="D1476">
        <v>14</v>
      </c>
      <c r="E1476">
        <v>0.6</v>
      </c>
      <c r="F1476">
        <v>274.36</v>
      </c>
      <c r="G1476">
        <v>0.4</v>
      </c>
      <c r="H1476">
        <v>3.9</v>
      </c>
      <c r="I1476">
        <v>222.85329999999999</v>
      </c>
      <c r="J1476">
        <v>49.079799999999999</v>
      </c>
      <c r="K1476">
        <v>154.18610000000001</v>
      </c>
      <c r="L1476">
        <v>4.2203999999999997</v>
      </c>
      <c r="M1476">
        <v>25.388999999999999</v>
      </c>
      <c r="N1476">
        <v>11.705500000000001</v>
      </c>
      <c r="O1476">
        <v>-9.8082999999999991</v>
      </c>
      <c r="P1476">
        <v>83.65</v>
      </c>
      <c r="S1476">
        <f t="shared" si="509"/>
        <v>1322.0885999999996</v>
      </c>
      <c r="T1476">
        <f t="shared" si="488"/>
        <v>1.8936792829142783E-2</v>
      </c>
      <c r="U1476">
        <f t="shared" si="489"/>
        <v>0.51832439382341799</v>
      </c>
      <c r="V1476">
        <f t="shared" si="490"/>
        <v>1.3124509881584107E-2</v>
      </c>
      <c r="W1476">
        <f t="shared" si="491"/>
        <v>5.6247899492503314E-4</v>
      </c>
      <c r="X1476">
        <f t="shared" si="492"/>
        <v>0.25720289507938682</v>
      </c>
      <c r="Y1476">
        <f t="shared" si="493"/>
        <v>3.7498599661668879E-4</v>
      </c>
      <c r="Z1476">
        <f t="shared" si="494"/>
        <v>3.6561134670127153E-3</v>
      </c>
      <c r="AA1476">
        <f t="shared" si="495"/>
        <v>0.2089171669995448</v>
      </c>
      <c r="AB1476">
        <f t="shared" si="496"/>
        <v>4.6010594291869399E-2</v>
      </c>
      <c r="AC1476">
        <f t="shared" si="497"/>
        <v>0.14454407093235111</v>
      </c>
      <c r="AD1476">
        <f t="shared" si="498"/>
        <v>3.956477250302683E-3</v>
      </c>
      <c r="AE1476">
        <f t="shared" si="499"/>
        <v>2.3801298670252775E-2</v>
      </c>
      <c r="AG1476">
        <f t="shared" si="500"/>
        <v>0.29387291950703798</v>
      </c>
      <c r="AH1476">
        <f t="shared" si="501"/>
        <v>0.83598346874233886</v>
      </c>
      <c r="AI1476">
        <f t="shared" si="502"/>
        <v>3.4604256629736816</v>
      </c>
      <c r="AK1476" s="26" t="e">
        <f t="shared" si="503"/>
        <v>#DIV/0!</v>
      </c>
      <c r="AL1476" s="26" t="e">
        <f t="shared" si="504"/>
        <v>#DIV/0!</v>
      </c>
      <c r="AM1476" s="26" t="e">
        <f t="shared" si="505"/>
        <v>#DIV/0!</v>
      </c>
      <c r="AN1476" s="26">
        <f t="shared" si="506"/>
        <v>5.6206926406926527</v>
      </c>
      <c r="AO1476" s="26">
        <f t="shared" si="507"/>
        <v>1.1817045454545507</v>
      </c>
      <c r="AP1476" s="26">
        <f t="shared" si="508"/>
        <v>-7.218527755430415</v>
      </c>
      <c r="AS1476" s="2">
        <v>44004</v>
      </c>
      <c r="AT1476">
        <v>22.6</v>
      </c>
      <c r="AU1476">
        <v>220.7</v>
      </c>
      <c r="AV1476">
        <v>7.4</v>
      </c>
      <c r="AW1476">
        <v>2.1</v>
      </c>
      <c r="AX1476">
        <v>233.87</v>
      </c>
      <c r="AY1476">
        <v>0.7</v>
      </c>
      <c r="AZ1476">
        <v>4.2</v>
      </c>
      <c r="BA1476">
        <v>222.3897</v>
      </c>
      <c r="BB1476">
        <v>49.4876</v>
      </c>
      <c r="BC1476">
        <v>135.9562</v>
      </c>
      <c r="BD1476">
        <v>4.1795999999999998</v>
      </c>
      <c r="BE1476">
        <v>28.436</v>
      </c>
      <c r="BH1476">
        <v>78.58</v>
      </c>
    </row>
    <row r="1477" spans="1:60" x14ac:dyDescent="0.25">
      <c r="A1477" s="2">
        <v>44024</v>
      </c>
      <c r="B1477">
        <v>21.9</v>
      </c>
      <c r="C1477">
        <v>263.2</v>
      </c>
      <c r="D1477">
        <v>24.1</v>
      </c>
      <c r="E1477">
        <v>1.5</v>
      </c>
      <c r="F1477">
        <v>246.35</v>
      </c>
      <c r="G1477">
        <v>0.4</v>
      </c>
      <c r="H1477">
        <v>3.8</v>
      </c>
      <c r="I1477">
        <v>133.8236</v>
      </c>
      <c r="J1477">
        <v>44.716200000000001</v>
      </c>
      <c r="K1477">
        <v>102.363</v>
      </c>
      <c r="L1477">
        <v>4.1890999999999998</v>
      </c>
      <c r="M1477">
        <v>11.5924</v>
      </c>
      <c r="P1477">
        <v>83.38</v>
      </c>
      <c r="S1477">
        <f t="shared" si="509"/>
        <v>857.93429999999989</v>
      </c>
      <c r="T1477">
        <f t="shared" ref="T1477:T1540" si="510">B1477/$S$4</f>
        <v>2.0530483314763707E-2</v>
      </c>
      <c r="U1477">
        <f t="shared" ref="U1477:U1540" si="511">C1477/$S$4</f>
        <v>0.2467407857737812</v>
      </c>
      <c r="V1477">
        <f t="shared" ref="V1477:V1540" si="512">D1477/$S$4</f>
        <v>2.2592906296155499E-2</v>
      </c>
      <c r="W1477">
        <f t="shared" ref="W1477:W1540" si="513">E1477/$S$4</f>
        <v>1.406197487312583E-3</v>
      </c>
      <c r="X1477">
        <f t="shared" ref="X1477:X1540" si="514">F1477/$S$4</f>
        <v>0.23094450066630318</v>
      </c>
      <c r="Y1477">
        <f t="shared" ref="Y1477:Y1540" si="515">G1477/$S$4</f>
        <v>3.7498599661668879E-4</v>
      </c>
      <c r="Z1477">
        <f t="shared" ref="Z1477:Z1540" si="516">H1477/$S$4</f>
        <v>3.5623669678585433E-3</v>
      </c>
      <c r="AA1477">
        <f t="shared" ref="AA1477:AA1540" si="517">I1477/$S$4</f>
        <v>0.12545494004208277</v>
      </c>
      <c r="AB1477">
        <f t="shared" ref="AB1477:AB1540" si="518">J1477/$S$4</f>
        <v>4.1919872054777943E-2</v>
      </c>
      <c r="AC1477">
        <f t="shared" ref="AC1477:AC1540" si="519">K1477/$S$4</f>
        <v>9.596172892918528E-2</v>
      </c>
      <c r="AD1477">
        <f t="shared" ref="AD1477:AD1540" si="520">L1477/$S$4</f>
        <v>3.9271345960674268E-3</v>
      </c>
      <c r="AE1477">
        <f t="shared" ref="AE1477:AE1540" si="521">M1477/$S$4</f>
        <v>1.0867469167948257E-2</v>
      </c>
      <c r="AG1477">
        <f t="shared" ref="AG1477:AG1540" si="522">(P1477-AVERAGE(P1477:P1841)) / _xlfn.STDEV.S(P1477:P3304)</f>
        <v>0.27536021872418692</v>
      </c>
      <c r="AH1477">
        <f t="shared" ref="AH1477:AH1540" si="523">SUM(T1477:Y1477,Z1477,AE1477)</f>
        <v>0.53701969567073959</v>
      </c>
      <c r="AI1477">
        <f t="shared" ref="AI1477:AI1540" si="524">(AH1477-AVERAGE(AH1477:AH1841))/_xlfn.STDEV.S(AH1477:AH1841)</f>
        <v>1.660887604797106</v>
      </c>
      <c r="AK1477" s="26" t="e">
        <f t="shared" ref="AK1477:AK1540" si="525">AVERAGEA(AH1477:AH1497)-AVERAGE(AH1843:AH1863, AH2208:AH2228, AH2573:AH2593)</f>
        <v>#DIV/0!</v>
      </c>
      <c r="AL1477" s="26" t="e">
        <f t="shared" ref="AL1477:AL1540" si="526">AVERAGEA(AH1477:AH1532)-AVERAGE(AH1843:AH1898, AH2208:AH2262, AH2573:AH2627)</f>
        <v>#DIV/0!</v>
      </c>
      <c r="AM1477" s="26" t="e">
        <f t="shared" ref="AM1477:AM1540" si="527">AVERAGEA(AH1477:AH1589)-AVERAGE(AH1843:AH1955,AH2208:AH2319,AH2573:AH2684)</f>
        <v>#DIV/0!</v>
      </c>
      <c r="AN1477" s="26">
        <f t="shared" ref="AN1477:AN1540" si="528">AVERAGEA(P1477:P1497)-AVERAGE(P1843:P1863, P2208:P2228, P2573:P2593)</f>
        <v>5.5488095238095383</v>
      </c>
      <c r="AO1477" s="26">
        <f t="shared" ref="AO1477:AO1540" si="529">AVERAGEA(P1477:P1532)-AVERAGE(P1843:P1898, P2208:P2262, P2573:P2627)</f>
        <v>1.0887499999999903</v>
      </c>
      <c r="AP1477" s="26">
        <f t="shared" ref="AP1477:AP1540" si="530">AVERAGEA(P1477:P1589)-AVERAGE(P1843:P1955,P2208:P2319,P2573:P2684)</f>
        <v>-7.294292035398243</v>
      </c>
      <c r="AS1477" s="2">
        <v>44003</v>
      </c>
      <c r="AT1477">
        <v>23.2</v>
      </c>
      <c r="AU1477">
        <v>283.3</v>
      </c>
      <c r="AV1477">
        <v>17.100000000000001</v>
      </c>
      <c r="AW1477">
        <v>1.1000000000000001</v>
      </c>
      <c r="AX1477">
        <v>228.98</v>
      </c>
      <c r="AY1477">
        <v>0.7</v>
      </c>
      <c r="AZ1477">
        <v>4.2</v>
      </c>
      <c r="BA1477">
        <v>127.4696</v>
      </c>
      <c r="BB1477">
        <v>26.703299999999999</v>
      </c>
      <c r="BC1477">
        <v>51.726999999999997</v>
      </c>
      <c r="BD1477">
        <v>4.1566000000000001</v>
      </c>
      <c r="BE1477">
        <v>11.4344</v>
      </c>
      <c r="BH1477">
        <v>78.319999999999993</v>
      </c>
    </row>
    <row r="1478" spans="1:60" x14ac:dyDescent="0.25">
      <c r="A1478" s="2">
        <v>44023</v>
      </c>
      <c r="B1478">
        <v>20.399999999999999</v>
      </c>
      <c r="C1478">
        <v>464.5</v>
      </c>
      <c r="D1478">
        <v>41.7</v>
      </c>
      <c r="E1478">
        <v>2.6</v>
      </c>
      <c r="F1478">
        <v>194.95</v>
      </c>
      <c r="G1478">
        <v>0.4</v>
      </c>
      <c r="H1478">
        <v>3.9</v>
      </c>
      <c r="I1478">
        <v>169.91139999999999</v>
      </c>
      <c r="J1478">
        <v>44.372500000000002</v>
      </c>
      <c r="K1478">
        <v>144.63239999999999</v>
      </c>
      <c r="L1478">
        <v>4.1792999999999996</v>
      </c>
      <c r="M1478">
        <v>16.171199999999999</v>
      </c>
      <c r="P1478">
        <v>83</v>
      </c>
      <c r="S1478">
        <f t="shared" si="509"/>
        <v>1107.7167999999999</v>
      </c>
      <c r="T1478">
        <f t="shared" si="510"/>
        <v>1.9124285827451126E-2</v>
      </c>
      <c r="U1478">
        <f t="shared" si="511"/>
        <v>0.43545248857112984</v>
      </c>
      <c r="V1478">
        <f t="shared" si="512"/>
        <v>3.9092290147289807E-2</v>
      </c>
      <c r="W1478">
        <f t="shared" si="513"/>
        <v>2.437408978008477E-3</v>
      </c>
      <c r="X1478">
        <f t="shared" si="514"/>
        <v>0.18275880010105869</v>
      </c>
      <c r="Y1478">
        <f t="shared" si="515"/>
        <v>3.7498599661668879E-4</v>
      </c>
      <c r="Z1478">
        <f t="shared" si="516"/>
        <v>3.6561134670127153E-3</v>
      </c>
      <c r="AA1478">
        <f t="shared" si="517"/>
        <v>0.15928598916384212</v>
      </c>
      <c r="AB1478">
        <f t="shared" si="518"/>
        <v>4.1597665337185057E-2</v>
      </c>
      <c r="AC1478">
        <f t="shared" si="519"/>
        <v>0.13558781164265893</v>
      </c>
      <c r="AD1478">
        <f t="shared" si="520"/>
        <v>3.9179474391503183E-3</v>
      </c>
      <c r="AE1478">
        <f t="shared" si="521"/>
        <v>1.5159933871219493E-2</v>
      </c>
      <c r="AG1478">
        <f t="shared" si="522"/>
        <v>0.24906159228784203</v>
      </c>
      <c r="AH1478">
        <f t="shared" si="523"/>
        <v>0.69805630695978682</v>
      </c>
      <c r="AI1478">
        <f t="shared" si="524"/>
        <v>2.6766138698964346</v>
      </c>
      <c r="AK1478" s="26" t="e">
        <f t="shared" si="525"/>
        <v>#DIV/0!</v>
      </c>
      <c r="AL1478" s="26" t="e">
        <f t="shared" si="526"/>
        <v>#DIV/0!</v>
      </c>
      <c r="AM1478" s="26" t="e">
        <f t="shared" si="527"/>
        <v>#DIV/0!</v>
      </c>
      <c r="AN1478" s="26">
        <f t="shared" si="528"/>
        <v>5.468412698412692</v>
      </c>
      <c r="AO1478" s="26">
        <f t="shared" si="529"/>
        <v>0.98555555555554974</v>
      </c>
      <c r="AP1478" s="26">
        <f t="shared" si="530"/>
        <v>-7.3759488692232225</v>
      </c>
      <c r="AS1478" s="2">
        <v>44002</v>
      </c>
      <c r="AT1478">
        <v>23.7</v>
      </c>
      <c r="AU1478">
        <v>294.2</v>
      </c>
      <c r="AV1478">
        <v>11.7</v>
      </c>
      <c r="AW1478">
        <v>3.7</v>
      </c>
      <c r="AX1478">
        <v>177.09</v>
      </c>
      <c r="AY1478">
        <v>0.8</v>
      </c>
      <c r="AZ1478">
        <v>4.3</v>
      </c>
      <c r="BA1478">
        <v>142.04230000000001</v>
      </c>
      <c r="BB1478">
        <v>33.588999999999999</v>
      </c>
      <c r="BC1478">
        <v>85.244399999999999</v>
      </c>
      <c r="BD1478">
        <v>4.1843000000000004</v>
      </c>
      <c r="BE1478">
        <v>15.16</v>
      </c>
      <c r="BH1478">
        <v>77.959999999999994</v>
      </c>
    </row>
    <row r="1479" spans="1:60" x14ac:dyDescent="0.25">
      <c r="A1479" s="2">
        <v>44022</v>
      </c>
      <c r="B1479">
        <v>19.399999999999999</v>
      </c>
      <c r="C1479">
        <v>261.89999999999998</v>
      </c>
      <c r="D1479">
        <v>34</v>
      </c>
      <c r="E1479">
        <v>4.7</v>
      </c>
      <c r="F1479">
        <v>174.69</v>
      </c>
      <c r="G1479">
        <v>0.4</v>
      </c>
      <c r="H1479">
        <v>3.9</v>
      </c>
      <c r="I1479">
        <v>228.7704</v>
      </c>
      <c r="J1479">
        <v>56.3215</v>
      </c>
      <c r="K1479">
        <v>151.09739999999999</v>
      </c>
      <c r="L1479">
        <v>4.1879999999999997</v>
      </c>
      <c r="M1479">
        <v>23.2727</v>
      </c>
      <c r="N1479">
        <v>9.8987999999999996</v>
      </c>
      <c r="O1479">
        <v>-10.915800000000001</v>
      </c>
      <c r="P1479">
        <v>82.69</v>
      </c>
      <c r="S1479">
        <f t="shared" si="509"/>
        <v>962.63999999999987</v>
      </c>
      <c r="T1479">
        <f t="shared" si="510"/>
        <v>1.8186820835909404E-2</v>
      </c>
      <c r="U1479">
        <f t="shared" si="511"/>
        <v>0.24552208128477696</v>
      </c>
      <c r="V1479">
        <f t="shared" si="512"/>
        <v>3.1873809712418544E-2</v>
      </c>
      <c r="W1479">
        <f t="shared" si="513"/>
        <v>4.4060854602460935E-3</v>
      </c>
      <c r="X1479">
        <f t="shared" si="514"/>
        <v>0.16376575937242341</v>
      </c>
      <c r="Y1479">
        <f t="shared" si="515"/>
        <v>3.7498599661668879E-4</v>
      </c>
      <c r="Z1479">
        <f t="shared" si="516"/>
        <v>3.6561134670127153E-3</v>
      </c>
      <c r="AA1479">
        <f t="shared" si="517"/>
        <v>0.21446424110099632</v>
      </c>
      <c r="AB1479">
        <f t="shared" si="518"/>
        <v>5.2799434521117093E-2</v>
      </c>
      <c r="AC1479">
        <f t="shared" si="519"/>
        <v>0.14164852281297616</v>
      </c>
      <c r="AD1479">
        <f t="shared" si="520"/>
        <v>3.9261033845767309E-3</v>
      </c>
      <c r="AE1479">
        <f t="shared" si="521"/>
        <v>2.1817341508653033E-2</v>
      </c>
      <c r="AG1479">
        <f t="shared" si="522"/>
        <v>0.22782472126849915</v>
      </c>
      <c r="AH1479">
        <f t="shared" si="523"/>
        <v>0.48960299763805681</v>
      </c>
      <c r="AI1479">
        <f t="shared" si="524"/>
        <v>1.3931736203208092</v>
      </c>
      <c r="AK1479" s="26" t="e">
        <f t="shared" si="525"/>
        <v>#DIV/0!</v>
      </c>
      <c r="AL1479" s="26" t="e">
        <f t="shared" si="526"/>
        <v>#DIV/0!</v>
      </c>
      <c r="AM1479" s="26" t="e">
        <f t="shared" si="527"/>
        <v>#DIV/0!</v>
      </c>
      <c r="AN1479" s="26">
        <f t="shared" si="528"/>
        <v>5.3853571428571456</v>
      </c>
      <c r="AO1479" s="26">
        <f t="shared" si="529"/>
        <v>0.87839285714285609</v>
      </c>
      <c r="AP1479" s="26">
        <f t="shared" si="530"/>
        <v>-7.4577654867256626</v>
      </c>
      <c r="AS1479" s="2">
        <v>44001</v>
      </c>
      <c r="AT1479">
        <v>23.8</v>
      </c>
      <c r="AU1479">
        <v>463.1</v>
      </c>
      <c r="AV1479">
        <v>4.7</v>
      </c>
      <c r="AW1479">
        <v>1.8</v>
      </c>
      <c r="AX1479">
        <v>159.32</v>
      </c>
      <c r="AY1479">
        <v>0.7</v>
      </c>
      <c r="AZ1479">
        <v>4.3</v>
      </c>
      <c r="BA1479">
        <v>268.89870000000002</v>
      </c>
      <c r="BB1479">
        <v>52.823300000000003</v>
      </c>
      <c r="BC1479">
        <v>162.1343</v>
      </c>
      <c r="BD1479">
        <v>4.2043999999999997</v>
      </c>
      <c r="BE1479">
        <v>21.818899999999999</v>
      </c>
      <c r="BH1479">
        <v>77.62</v>
      </c>
    </row>
    <row r="1480" spans="1:60" x14ac:dyDescent="0.25">
      <c r="A1480" s="2">
        <v>44021</v>
      </c>
      <c r="B1480">
        <v>20.8</v>
      </c>
      <c r="C1480">
        <v>385.1</v>
      </c>
      <c r="D1480">
        <v>7.4</v>
      </c>
      <c r="E1480">
        <v>1.8</v>
      </c>
      <c r="F1480">
        <v>170.77</v>
      </c>
      <c r="G1480">
        <v>0.4</v>
      </c>
      <c r="H1480">
        <v>3.8</v>
      </c>
      <c r="I1480">
        <v>257.8005</v>
      </c>
      <c r="J1480">
        <v>88.073499999999996</v>
      </c>
      <c r="K1480">
        <v>150.1722</v>
      </c>
      <c r="L1480">
        <v>4.1639999999999997</v>
      </c>
      <c r="M1480">
        <v>23.1998</v>
      </c>
      <c r="N1480">
        <v>11.0549</v>
      </c>
      <c r="O1480">
        <v>-9.1311999999999998</v>
      </c>
      <c r="P1480">
        <v>82.5</v>
      </c>
      <c r="S1480">
        <f t="shared" si="509"/>
        <v>1113.48</v>
      </c>
      <c r="T1480">
        <f t="shared" si="510"/>
        <v>1.9499271824067816E-2</v>
      </c>
      <c r="U1480">
        <f t="shared" si="511"/>
        <v>0.36101776824271714</v>
      </c>
      <c r="V1480">
        <f t="shared" si="512"/>
        <v>6.9372409374087425E-3</v>
      </c>
      <c r="W1480">
        <f t="shared" si="513"/>
        <v>1.6874369847750994E-3</v>
      </c>
      <c r="X1480">
        <f t="shared" si="514"/>
        <v>0.16009089660557985</v>
      </c>
      <c r="Y1480">
        <f t="shared" si="515"/>
        <v>3.7498599661668879E-4</v>
      </c>
      <c r="Z1480">
        <f t="shared" si="516"/>
        <v>3.5623669678585433E-3</v>
      </c>
      <c r="AA1480">
        <f t="shared" si="517"/>
        <v>0.24167894355195169</v>
      </c>
      <c r="AB1480">
        <f t="shared" si="518"/>
        <v>8.256582293254984E-2</v>
      </c>
      <c r="AC1480">
        <f t="shared" si="519"/>
        <v>0.14078118020280178</v>
      </c>
      <c r="AD1480">
        <f t="shared" si="520"/>
        <v>3.9036042247797297E-3</v>
      </c>
      <c r="AE1480">
        <f t="shared" si="521"/>
        <v>2.174900031076964E-2</v>
      </c>
      <c r="AG1480">
        <f t="shared" si="522"/>
        <v>0.21519645949350807</v>
      </c>
      <c r="AH1480">
        <f t="shared" si="523"/>
        <v>0.57491896786979335</v>
      </c>
      <c r="AI1480">
        <f t="shared" si="524"/>
        <v>1.9379170634040179</v>
      </c>
      <c r="AK1480" s="26" t="e">
        <f t="shared" si="525"/>
        <v>#DIV/0!</v>
      </c>
      <c r="AL1480" s="26" t="e">
        <f t="shared" si="526"/>
        <v>#DIV/0!</v>
      </c>
      <c r="AM1480" s="26" t="e">
        <f t="shared" si="527"/>
        <v>#DIV/0!</v>
      </c>
      <c r="AN1480" s="26">
        <f t="shared" si="528"/>
        <v>5.3014285714285592</v>
      </c>
      <c r="AO1480" s="26">
        <f t="shared" si="529"/>
        <v>0.77071428571427703</v>
      </c>
      <c r="AP1480" s="26">
        <f t="shared" si="530"/>
        <v>-7.5349557522123973</v>
      </c>
      <c r="AS1480" s="2">
        <v>44000</v>
      </c>
      <c r="AT1480">
        <v>23.4</v>
      </c>
      <c r="AU1480">
        <v>553.1</v>
      </c>
      <c r="AV1480">
        <v>20</v>
      </c>
      <c r="AW1480">
        <v>2</v>
      </c>
      <c r="AX1480">
        <v>175.91</v>
      </c>
      <c r="AY1480">
        <v>0.7</v>
      </c>
      <c r="AZ1480">
        <v>3.8</v>
      </c>
      <c r="BA1480">
        <v>288.19389999999999</v>
      </c>
      <c r="BB1480">
        <v>77.950999999999993</v>
      </c>
      <c r="BC1480">
        <v>164.45359999999999</v>
      </c>
      <c r="BD1480">
        <v>4.2750000000000004</v>
      </c>
      <c r="BE1480">
        <v>22.091999999999999</v>
      </c>
      <c r="BH1480">
        <v>77.39</v>
      </c>
    </row>
    <row r="1481" spans="1:60" x14ac:dyDescent="0.25">
      <c r="A1481" s="2">
        <v>44020</v>
      </c>
      <c r="B1481">
        <v>21.3</v>
      </c>
      <c r="C1481">
        <v>358.2</v>
      </c>
      <c r="D1481">
        <v>23.1</v>
      </c>
      <c r="E1481">
        <v>1.7</v>
      </c>
      <c r="F1481">
        <v>155.80000000000001</v>
      </c>
      <c r="G1481">
        <v>0.4</v>
      </c>
      <c r="H1481">
        <v>3.9</v>
      </c>
      <c r="I1481">
        <v>250.65790000000001</v>
      </c>
      <c r="J1481">
        <v>76.445899999999995</v>
      </c>
      <c r="K1481">
        <v>155.61949999999999</v>
      </c>
      <c r="L1481">
        <v>4.1711</v>
      </c>
      <c r="M1481">
        <v>38.395000000000003</v>
      </c>
      <c r="N1481">
        <v>10.7644</v>
      </c>
      <c r="O1481">
        <v>-9.7677999999999994</v>
      </c>
      <c r="P1481">
        <v>82.4</v>
      </c>
      <c r="S1481">
        <f t="shared" si="509"/>
        <v>1089.6894</v>
      </c>
      <c r="T1481">
        <f t="shared" si="510"/>
        <v>1.9968004319838677E-2</v>
      </c>
      <c r="U1481">
        <f t="shared" si="511"/>
        <v>0.33579995997024475</v>
      </c>
      <c r="V1481">
        <f t="shared" si="512"/>
        <v>2.1655441304613776E-2</v>
      </c>
      <c r="W1481">
        <f t="shared" si="513"/>
        <v>1.5936904856209272E-3</v>
      </c>
      <c r="X1481">
        <f t="shared" si="514"/>
        <v>0.14605704568220029</v>
      </c>
      <c r="Y1481">
        <f t="shared" si="515"/>
        <v>3.7498599661668879E-4</v>
      </c>
      <c r="Z1481">
        <f t="shared" si="516"/>
        <v>3.6561134670127153E-3</v>
      </c>
      <c r="AA1481">
        <f t="shared" si="517"/>
        <v>0.23498300610336578</v>
      </c>
      <c r="AB1481">
        <f t="shared" si="518"/>
        <v>7.1665354996899314E-2</v>
      </c>
      <c r="AC1481">
        <f t="shared" si="519"/>
        <v>0.14588783325122698</v>
      </c>
      <c r="AD1481">
        <f t="shared" si="520"/>
        <v>3.9102602262196763E-3</v>
      </c>
      <c r="AE1481">
        <f t="shared" si="521"/>
        <v>3.5993968350244418E-2</v>
      </c>
      <c r="AG1481">
        <f t="shared" si="522"/>
        <v>0.20902653332180068</v>
      </c>
      <c r="AH1481">
        <f t="shared" si="523"/>
        <v>0.56509920957639215</v>
      </c>
      <c r="AI1481">
        <f t="shared" si="524"/>
        <v>1.8888909400655325</v>
      </c>
      <c r="AK1481" s="26" t="e">
        <f t="shared" si="525"/>
        <v>#DIV/0!</v>
      </c>
      <c r="AL1481" s="26" t="e">
        <f t="shared" si="526"/>
        <v>#DIV/0!</v>
      </c>
      <c r="AM1481" s="26" t="e">
        <f t="shared" si="527"/>
        <v>#DIV/0!</v>
      </c>
      <c r="AN1481" s="26">
        <f t="shared" si="528"/>
        <v>5.223095238095226</v>
      </c>
      <c r="AO1481" s="26">
        <f t="shared" si="529"/>
        <v>0.66964285714284699</v>
      </c>
      <c r="AP1481" s="26">
        <f t="shared" si="530"/>
        <v>-7.6020796460177138</v>
      </c>
      <c r="AS1481" s="2">
        <v>43999</v>
      </c>
      <c r="AT1481">
        <v>22.1</v>
      </c>
      <c r="AU1481">
        <v>24</v>
      </c>
      <c r="AV1481">
        <v>8.9</v>
      </c>
      <c r="AW1481">
        <v>0.8</v>
      </c>
      <c r="AX1481">
        <v>195.43</v>
      </c>
      <c r="AY1481">
        <v>0.8</v>
      </c>
      <c r="AZ1481">
        <v>4</v>
      </c>
      <c r="BA1481">
        <v>309.24040000000002</v>
      </c>
      <c r="BB1481">
        <v>86.996899999999997</v>
      </c>
      <c r="BC1481">
        <v>172.64429999999999</v>
      </c>
      <c r="BD1481">
        <v>4.2606000000000002</v>
      </c>
      <c r="BE1481">
        <v>16.863299999999999</v>
      </c>
      <c r="BH1481">
        <v>77.19</v>
      </c>
    </row>
    <row r="1482" spans="1:60" x14ac:dyDescent="0.25">
      <c r="A1482" s="2">
        <v>44019</v>
      </c>
      <c r="B1482">
        <v>22</v>
      </c>
      <c r="C1482">
        <v>200.8</v>
      </c>
      <c r="D1482">
        <v>62.7</v>
      </c>
      <c r="E1482">
        <v>4.5</v>
      </c>
      <c r="F1482">
        <v>229.59</v>
      </c>
      <c r="G1482">
        <v>0.3</v>
      </c>
      <c r="H1482">
        <v>3.9</v>
      </c>
      <c r="I1482">
        <v>185.90620000000001</v>
      </c>
      <c r="J1482">
        <v>52.131599999999999</v>
      </c>
      <c r="K1482">
        <v>133.08779999999999</v>
      </c>
      <c r="L1482">
        <v>4.1372999999999998</v>
      </c>
      <c r="M1482">
        <v>28.267900000000001</v>
      </c>
      <c r="N1482">
        <v>11.210599999999999</v>
      </c>
      <c r="O1482">
        <v>-9.4626999999999999</v>
      </c>
      <c r="P1482">
        <v>82.3</v>
      </c>
      <c r="S1482">
        <f t="shared" si="509"/>
        <v>927.32080000000008</v>
      </c>
      <c r="T1482">
        <f t="shared" si="510"/>
        <v>2.0624229813917882E-2</v>
      </c>
      <c r="U1482">
        <f t="shared" si="511"/>
        <v>0.18824297030157777</v>
      </c>
      <c r="V1482">
        <f t="shared" si="512"/>
        <v>5.877905496966597E-2</v>
      </c>
      <c r="W1482">
        <f t="shared" si="513"/>
        <v>4.2185924619377486E-3</v>
      </c>
      <c r="X1482">
        <f t="shared" si="514"/>
        <v>0.21523258740806395</v>
      </c>
      <c r="Y1482">
        <f t="shared" si="515"/>
        <v>2.8123949746251657E-4</v>
      </c>
      <c r="Z1482">
        <f t="shared" si="516"/>
        <v>3.6561134670127153E-3</v>
      </c>
      <c r="AA1482">
        <f t="shared" si="517"/>
        <v>0.17428055421055366</v>
      </c>
      <c r="AB1482">
        <f t="shared" si="518"/>
        <v>4.8871549953056426E-2</v>
      </c>
      <c r="AC1482">
        <f t="shared" si="519"/>
        <v>0.12476515330130636</v>
      </c>
      <c r="AD1482">
        <f t="shared" si="520"/>
        <v>3.8785739095055657E-3</v>
      </c>
      <c r="AE1482">
        <f t="shared" si="521"/>
        <v>2.6500166634402241E-2</v>
      </c>
      <c r="AG1482">
        <f t="shared" si="522"/>
        <v>0.2029036257314393</v>
      </c>
      <c r="AH1482">
        <f t="shared" si="523"/>
        <v>0.51753495455404075</v>
      </c>
      <c r="AI1482">
        <f t="shared" si="524"/>
        <v>1.5985692806423875</v>
      </c>
      <c r="AK1482" s="26" t="e">
        <f t="shared" si="525"/>
        <v>#DIV/0!</v>
      </c>
      <c r="AL1482" s="26" t="e">
        <f t="shared" si="526"/>
        <v>#DIV/0!</v>
      </c>
      <c r="AM1482" s="26" t="e">
        <f t="shared" si="527"/>
        <v>#DIV/0!</v>
      </c>
      <c r="AN1482" s="26">
        <f t="shared" si="528"/>
        <v>5.1599999999999966</v>
      </c>
      <c r="AO1482" s="26">
        <f t="shared" si="529"/>
        <v>0.58660714285714732</v>
      </c>
      <c r="AP1482" s="26">
        <f t="shared" si="530"/>
        <v>-7.6474336283185949</v>
      </c>
      <c r="AS1482" s="2">
        <v>43998</v>
      </c>
      <c r="AT1482">
        <v>19.600000000000001</v>
      </c>
      <c r="AU1482">
        <v>486.8</v>
      </c>
      <c r="AV1482">
        <v>2.2999999999999998</v>
      </c>
      <c r="AW1482">
        <v>0.4</v>
      </c>
      <c r="AX1482">
        <v>165.85</v>
      </c>
      <c r="AY1482">
        <v>0.6</v>
      </c>
      <c r="AZ1482">
        <v>4.2</v>
      </c>
      <c r="BA1482">
        <v>307.28870000000001</v>
      </c>
      <c r="BB1482">
        <v>77.540300000000002</v>
      </c>
      <c r="BC1482">
        <v>160.26679999999999</v>
      </c>
      <c r="BD1482">
        <v>4.2607999999999997</v>
      </c>
      <c r="BE1482">
        <v>28.389500000000002</v>
      </c>
      <c r="BH1482">
        <v>77.02</v>
      </c>
    </row>
    <row r="1483" spans="1:60" x14ac:dyDescent="0.25">
      <c r="A1483" s="2">
        <v>44018</v>
      </c>
      <c r="B1483">
        <v>22.1</v>
      </c>
      <c r="C1483">
        <v>121.1</v>
      </c>
      <c r="D1483">
        <v>84.7</v>
      </c>
      <c r="E1483">
        <v>9.6</v>
      </c>
      <c r="F1483">
        <v>425.58</v>
      </c>
      <c r="G1483">
        <v>0.4</v>
      </c>
      <c r="H1483">
        <v>3.7</v>
      </c>
      <c r="I1483">
        <v>116.34829999999999</v>
      </c>
      <c r="J1483">
        <v>43.244100000000003</v>
      </c>
      <c r="K1483">
        <v>51.430100000000003</v>
      </c>
      <c r="L1483">
        <v>4.194</v>
      </c>
      <c r="M1483">
        <v>23.012499999999999</v>
      </c>
      <c r="N1483">
        <v>10.4701</v>
      </c>
      <c r="O1483">
        <v>-10.597200000000001</v>
      </c>
      <c r="P1483">
        <v>82.17</v>
      </c>
      <c r="S1483">
        <f t="shared" si="509"/>
        <v>905.40899999999999</v>
      </c>
      <c r="T1483">
        <f t="shared" si="510"/>
        <v>2.0717976313072057E-2</v>
      </c>
      <c r="U1483">
        <f t="shared" si="511"/>
        <v>0.11352701047570252</v>
      </c>
      <c r="V1483">
        <f t="shared" si="512"/>
        <v>7.9403284783583855E-2</v>
      </c>
      <c r="W1483">
        <f t="shared" si="513"/>
        <v>8.9996639188005302E-3</v>
      </c>
      <c r="X1483">
        <f t="shared" si="514"/>
        <v>0.39896635110032602</v>
      </c>
      <c r="Y1483">
        <f t="shared" si="515"/>
        <v>3.7498599661668879E-4</v>
      </c>
      <c r="Z1483">
        <f t="shared" si="516"/>
        <v>3.4686204687043713E-3</v>
      </c>
      <c r="AA1483">
        <f t="shared" si="517"/>
        <v>0.10907245807539372</v>
      </c>
      <c r="AB1483">
        <f t="shared" si="518"/>
        <v>4.0539829840729381E-2</v>
      </c>
      <c r="AC1483">
        <f t="shared" si="519"/>
        <v>4.8213918261489914E-2</v>
      </c>
      <c r="AD1483">
        <f t="shared" si="520"/>
        <v>3.931728174525982E-3</v>
      </c>
      <c r="AE1483">
        <f t="shared" si="521"/>
        <v>2.1573413117853876E-2</v>
      </c>
      <c r="AG1483">
        <f t="shared" si="522"/>
        <v>0.19469024626106474</v>
      </c>
      <c r="AH1483">
        <f t="shared" si="523"/>
        <v>0.64703130617465987</v>
      </c>
      <c r="AI1483">
        <f t="shared" si="524"/>
        <v>2.4328836335683746</v>
      </c>
      <c r="AK1483" s="26" t="e">
        <f t="shared" si="525"/>
        <v>#DIV/0!</v>
      </c>
      <c r="AL1483" s="26" t="e">
        <f t="shared" si="526"/>
        <v>#DIV/0!</v>
      </c>
      <c r="AM1483" s="26" t="e">
        <f t="shared" si="527"/>
        <v>#DIV/0!</v>
      </c>
      <c r="AN1483" s="26">
        <f t="shared" si="528"/>
        <v>5.1110714285714494</v>
      </c>
      <c r="AO1483" s="26">
        <f t="shared" si="529"/>
        <v>0.51946428571430658</v>
      </c>
      <c r="AP1483" s="26">
        <f t="shared" si="530"/>
        <v>-7.6728982300884923</v>
      </c>
      <c r="AS1483" s="2">
        <v>43997</v>
      </c>
      <c r="AT1483">
        <v>22.1</v>
      </c>
      <c r="AU1483">
        <v>323.89999999999998</v>
      </c>
      <c r="AV1483">
        <v>23.5</v>
      </c>
      <c r="AW1483">
        <v>1.3</v>
      </c>
      <c r="AX1483">
        <v>141.03</v>
      </c>
      <c r="AY1483">
        <v>0.8</v>
      </c>
      <c r="AZ1483">
        <v>3.6</v>
      </c>
      <c r="BA1483">
        <v>266.58609999999999</v>
      </c>
      <c r="BB1483">
        <v>50.763100000000001</v>
      </c>
      <c r="BC1483">
        <v>145.89490000000001</v>
      </c>
      <c r="BD1483">
        <v>4.2237999999999998</v>
      </c>
      <c r="BE1483">
        <v>26.469899999999999</v>
      </c>
      <c r="BH1483">
        <v>76.83</v>
      </c>
    </row>
    <row r="1484" spans="1:60" x14ac:dyDescent="0.25">
      <c r="A1484" s="2">
        <v>44017</v>
      </c>
      <c r="B1484">
        <v>18.899999999999999</v>
      </c>
      <c r="C1484">
        <v>576.5</v>
      </c>
      <c r="D1484">
        <v>61.4</v>
      </c>
      <c r="E1484">
        <v>8.5</v>
      </c>
      <c r="F1484">
        <v>175.85</v>
      </c>
      <c r="G1484">
        <v>0.3</v>
      </c>
      <c r="H1484">
        <v>3.2</v>
      </c>
      <c r="I1484">
        <v>91.623699999999999</v>
      </c>
      <c r="J1484">
        <v>24.884899999999998</v>
      </c>
      <c r="K1484">
        <v>18.308399999999999</v>
      </c>
      <c r="L1484">
        <v>4.1992000000000003</v>
      </c>
      <c r="M1484">
        <v>17.126100000000001</v>
      </c>
      <c r="P1484">
        <v>81.96</v>
      </c>
      <c r="S1484">
        <f t="shared" si="509"/>
        <v>1000.7923</v>
      </c>
      <c r="T1484">
        <f t="shared" si="510"/>
        <v>1.7718088340138542E-2</v>
      </c>
      <c r="U1484">
        <f t="shared" si="511"/>
        <v>0.54044856762380267</v>
      </c>
      <c r="V1484">
        <f t="shared" si="512"/>
        <v>5.7560350480661722E-2</v>
      </c>
      <c r="W1484">
        <f t="shared" si="513"/>
        <v>7.9684524281046359E-3</v>
      </c>
      <c r="X1484">
        <f t="shared" si="514"/>
        <v>0.1648532187626118</v>
      </c>
      <c r="Y1484">
        <f t="shared" si="515"/>
        <v>2.8123949746251657E-4</v>
      </c>
      <c r="Z1484">
        <f t="shared" si="516"/>
        <v>2.9998879729335104E-3</v>
      </c>
      <c r="AA1484">
        <f t="shared" si="517"/>
        <v>8.5894011145521268E-2</v>
      </c>
      <c r="AB1484">
        <f t="shared" si="518"/>
        <v>2.3328722568016595E-2</v>
      </c>
      <c r="AC1484">
        <f t="shared" si="519"/>
        <v>1.7163484051142461E-2</v>
      </c>
      <c r="AD1484">
        <f t="shared" si="520"/>
        <v>3.9366029924819985E-3</v>
      </c>
      <c r="AE1484">
        <f t="shared" si="521"/>
        <v>1.6055119191642684E-2</v>
      </c>
      <c r="AG1484">
        <f t="shared" si="522"/>
        <v>0.18085739491585348</v>
      </c>
      <c r="AH1484">
        <f t="shared" si="523"/>
        <v>0.80788492429735814</v>
      </c>
      <c r="AI1484">
        <f t="shared" si="524"/>
        <v>3.4909582159773467</v>
      </c>
      <c r="AK1484" s="26" t="e">
        <f t="shared" si="525"/>
        <v>#DIV/0!</v>
      </c>
      <c r="AL1484" s="26" t="e">
        <f t="shared" si="526"/>
        <v>#DIV/0!</v>
      </c>
      <c r="AM1484" s="26" t="e">
        <f t="shared" si="527"/>
        <v>#DIV/0!</v>
      </c>
      <c r="AN1484" s="26">
        <f t="shared" si="528"/>
        <v>5.047619047619051</v>
      </c>
      <c r="AO1484" s="26">
        <f t="shared" si="529"/>
        <v>0.44029761904762665</v>
      </c>
      <c r="AP1484" s="26">
        <f t="shared" si="530"/>
        <v>-7.7073746312684364</v>
      </c>
      <c r="AS1484" s="2">
        <v>43996</v>
      </c>
      <c r="AT1484">
        <v>21.8</v>
      </c>
      <c r="AU1484">
        <v>271.8</v>
      </c>
      <c r="AV1484">
        <v>49.2</v>
      </c>
      <c r="AW1484">
        <v>2.8</v>
      </c>
      <c r="AX1484">
        <v>93.83</v>
      </c>
      <c r="AY1484">
        <v>0.8</v>
      </c>
      <c r="AZ1484">
        <v>3.4</v>
      </c>
      <c r="BA1484">
        <v>101.372</v>
      </c>
      <c r="BB1484">
        <v>20.1252</v>
      </c>
      <c r="BC1484">
        <v>61.542999999999999</v>
      </c>
      <c r="BD1484">
        <v>4.2172000000000001</v>
      </c>
      <c r="BE1484">
        <v>18.273800000000001</v>
      </c>
      <c r="BH1484">
        <v>76.63</v>
      </c>
    </row>
    <row r="1485" spans="1:60" x14ac:dyDescent="0.25">
      <c r="A1485" s="2">
        <v>44016</v>
      </c>
      <c r="B1485">
        <v>22</v>
      </c>
      <c r="C1485">
        <v>479.7</v>
      </c>
      <c r="D1485">
        <v>93.3</v>
      </c>
      <c r="E1485">
        <v>8.3000000000000007</v>
      </c>
      <c r="F1485">
        <v>214.18</v>
      </c>
      <c r="G1485">
        <v>0.4</v>
      </c>
      <c r="H1485">
        <v>3.4</v>
      </c>
      <c r="I1485">
        <v>98.312200000000004</v>
      </c>
      <c r="J1485">
        <v>24.7531</v>
      </c>
      <c r="K1485">
        <v>33.113300000000002</v>
      </c>
      <c r="L1485">
        <v>4.2274000000000003</v>
      </c>
      <c r="M1485">
        <v>23.6294</v>
      </c>
      <c r="P1485">
        <v>81.58</v>
      </c>
      <c r="S1485">
        <f t="shared" si="509"/>
        <v>1005.3154</v>
      </c>
      <c r="T1485">
        <f t="shared" si="510"/>
        <v>2.0624229813917882E-2</v>
      </c>
      <c r="U1485">
        <f t="shared" si="511"/>
        <v>0.449701956442564</v>
      </c>
      <c r="V1485">
        <f t="shared" si="512"/>
        <v>8.7465483710842645E-2</v>
      </c>
      <c r="W1485">
        <f t="shared" si="513"/>
        <v>7.7809594297962928E-3</v>
      </c>
      <c r="X1485">
        <f t="shared" si="514"/>
        <v>0.20078625188840601</v>
      </c>
      <c r="Y1485">
        <f t="shared" si="515"/>
        <v>3.7498599661668879E-4</v>
      </c>
      <c r="Z1485">
        <f t="shared" si="516"/>
        <v>3.1873809712418544E-3</v>
      </c>
      <c r="AA1485">
        <f t="shared" si="517"/>
        <v>9.2164245741448075E-2</v>
      </c>
      <c r="AB1485">
        <f t="shared" si="518"/>
        <v>2.3205164682131397E-2</v>
      </c>
      <c r="AC1485">
        <f t="shared" si="519"/>
        <v>3.1042559504418501E-2</v>
      </c>
      <c r="AD1485">
        <f t="shared" si="520"/>
        <v>3.9630395052434753E-3</v>
      </c>
      <c r="AE1485">
        <f t="shared" si="521"/>
        <v>2.2151735271135963E-2</v>
      </c>
      <c r="AG1485">
        <f t="shared" si="522"/>
        <v>0.15506618292000643</v>
      </c>
      <c r="AH1485">
        <f t="shared" si="523"/>
        <v>0.79207298352452138</v>
      </c>
      <c r="AI1485">
        <f t="shared" si="524"/>
        <v>3.4559265673365251</v>
      </c>
      <c r="AK1485" s="26" t="e">
        <f t="shared" si="525"/>
        <v>#DIV/0!</v>
      </c>
      <c r="AL1485" s="26" t="e">
        <f t="shared" si="526"/>
        <v>#DIV/0!</v>
      </c>
      <c r="AM1485" s="26" t="e">
        <f t="shared" si="527"/>
        <v>#DIV/0!</v>
      </c>
      <c r="AN1485" s="26">
        <f t="shared" si="528"/>
        <v>4.9554761904761904</v>
      </c>
      <c r="AO1485" s="26">
        <f t="shared" si="529"/>
        <v>0.32982142857143515</v>
      </c>
      <c r="AP1485" s="26">
        <f t="shared" si="530"/>
        <v>-7.7687168141592906</v>
      </c>
      <c r="AS1485" s="2">
        <v>43995</v>
      </c>
      <c r="AT1485">
        <v>22.1</v>
      </c>
      <c r="AU1485">
        <v>429.8</v>
      </c>
      <c r="AV1485">
        <v>62.8</v>
      </c>
      <c r="AW1485">
        <v>4.0999999999999996</v>
      </c>
      <c r="AX1485">
        <v>231.94</v>
      </c>
      <c r="AY1485">
        <v>0.7</v>
      </c>
      <c r="AZ1485">
        <v>3.5</v>
      </c>
      <c r="BA1485">
        <v>94.592200000000005</v>
      </c>
      <c r="BB1485">
        <v>22.179200000000002</v>
      </c>
      <c r="BC1485">
        <v>60.186900000000001</v>
      </c>
      <c r="BD1485">
        <v>4.2453000000000003</v>
      </c>
      <c r="BE1485">
        <v>16.308700000000002</v>
      </c>
      <c r="BH1485">
        <v>76.27</v>
      </c>
    </row>
    <row r="1486" spans="1:60" x14ac:dyDescent="0.25">
      <c r="A1486" s="2">
        <v>44015</v>
      </c>
      <c r="B1486">
        <v>21.4</v>
      </c>
      <c r="C1486">
        <v>533.4</v>
      </c>
      <c r="D1486">
        <v>32.5</v>
      </c>
      <c r="E1486">
        <v>3</v>
      </c>
      <c r="F1486">
        <v>207.87</v>
      </c>
      <c r="G1486">
        <v>0.7</v>
      </c>
      <c r="H1486">
        <v>3.4</v>
      </c>
      <c r="I1486">
        <v>223.79580000000001</v>
      </c>
      <c r="J1486">
        <v>42.138500000000001</v>
      </c>
      <c r="K1486">
        <v>135.6591</v>
      </c>
      <c r="L1486">
        <v>4.2183000000000002</v>
      </c>
      <c r="M1486">
        <v>32.702800000000003</v>
      </c>
      <c r="N1486">
        <v>9.5228000000000002</v>
      </c>
      <c r="O1486">
        <v>-10.4429</v>
      </c>
      <c r="P1486">
        <v>81.2</v>
      </c>
      <c r="S1486">
        <f t="shared" si="509"/>
        <v>1240.7845000000002</v>
      </c>
      <c r="T1486">
        <f t="shared" si="510"/>
        <v>2.0061750818992849E-2</v>
      </c>
      <c r="U1486">
        <f t="shared" si="511"/>
        <v>0.50004382648835444</v>
      </c>
      <c r="V1486">
        <f t="shared" si="512"/>
        <v>3.0467612225105963E-2</v>
      </c>
      <c r="W1486">
        <f t="shared" si="513"/>
        <v>2.8123949746251659E-3</v>
      </c>
      <c r="X1486">
        <f t="shared" si="514"/>
        <v>0.19487084779177774</v>
      </c>
      <c r="Y1486">
        <f t="shared" si="515"/>
        <v>6.5622549407920526E-4</v>
      </c>
      <c r="Z1486">
        <f t="shared" si="516"/>
        <v>3.1873809712418544E-3</v>
      </c>
      <c r="AA1486">
        <f t="shared" si="517"/>
        <v>0.20980072775407291</v>
      </c>
      <c r="AB1486">
        <f t="shared" si="518"/>
        <v>3.9503368546080851E-2</v>
      </c>
      <c r="AC1486">
        <f t="shared" si="519"/>
        <v>0.12717565703405762</v>
      </c>
      <c r="AD1486">
        <f t="shared" si="520"/>
        <v>3.9545085738204458E-3</v>
      </c>
      <c r="AE1486">
        <f t="shared" si="521"/>
        <v>3.0657730125390626E-2</v>
      </c>
      <c r="AG1486">
        <f t="shared" si="522"/>
        <v>0.12935194345363391</v>
      </c>
      <c r="AH1486">
        <f t="shared" si="523"/>
        <v>0.78275776888956783</v>
      </c>
      <c r="AI1486">
        <f t="shared" si="524"/>
        <v>3.4605692459407562</v>
      </c>
      <c r="AK1486" s="26" t="e">
        <f t="shared" si="525"/>
        <v>#DIV/0!</v>
      </c>
      <c r="AL1486" s="26" t="e">
        <f t="shared" si="526"/>
        <v>#DIV/0!</v>
      </c>
      <c r="AM1486" s="26" t="e">
        <f t="shared" si="527"/>
        <v>#DIV/0!</v>
      </c>
      <c r="AN1486" s="26">
        <f t="shared" si="528"/>
        <v>4.8576190476190391</v>
      </c>
      <c r="AO1486" s="26">
        <f t="shared" si="529"/>
        <v>0.21214285714286518</v>
      </c>
      <c r="AP1486" s="26">
        <f t="shared" si="530"/>
        <v>-7.8320353982301043</v>
      </c>
      <c r="AS1486" s="2">
        <v>43994</v>
      </c>
      <c r="AT1486">
        <v>23.2</v>
      </c>
      <c r="AU1486">
        <v>70.7</v>
      </c>
      <c r="AV1486">
        <v>57.3</v>
      </c>
      <c r="AW1486">
        <v>2.7</v>
      </c>
      <c r="AX1486">
        <v>259.73</v>
      </c>
      <c r="AY1486">
        <v>0.8</v>
      </c>
      <c r="AZ1486">
        <v>3.7</v>
      </c>
      <c r="BA1486">
        <v>132.5752</v>
      </c>
      <c r="BB1486">
        <v>20.4758</v>
      </c>
      <c r="BC1486">
        <v>87.510199999999998</v>
      </c>
      <c r="BD1486">
        <v>4.2135999999999996</v>
      </c>
      <c r="BE1486">
        <v>18.522300000000001</v>
      </c>
      <c r="BH1486">
        <v>75.91</v>
      </c>
    </row>
    <row r="1487" spans="1:60" x14ac:dyDescent="0.25">
      <c r="A1487" s="2">
        <v>44014</v>
      </c>
      <c r="B1487">
        <v>23.1</v>
      </c>
      <c r="C1487">
        <v>176.6</v>
      </c>
      <c r="D1487">
        <v>13</v>
      </c>
      <c r="E1487">
        <v>2.2000000000000002</v>
      </c>
      <c r="F1487">
        <v>183.53</v>
      </c>
      <c r="G1487">
        <v>0.8</v>
      </c>
      <c r="H1487">
        <v>3.7</v>
      </c>
      <c r="I1487">
        <v>246.33699999999999</v>
      </c>
      <c r="J1487">
        <v>67.500500000000002</v>
      </c>
      <c r="K1487">
        <v>153.11619999999999</v>
      </c>
      <c r="L1487">
        <v>4.2553000000000001</v>
      </c>
      <c r="M1487">
        <v>34.396500000000003</v>
      </c>
      <c r="N1487">
        <v>10.0442</v>
      </c>
      <c r="O1487">
        <v>-10.090199999999999</v>
      </c>
      <c r="P1487">
        <v>80.900000000000006</v>
      </c>
      <c r="S1487">
        <f t="shared" si="509"/>
        <v>908.53549999999996</v>
      </c>
      <c r="T1487">
        <f t="shared" si="510"/>
        <v>2.1655441304613776E-2</v>
      </c>
      <c r="U1487">
        <f t="shared" si="511"/>
        <v>0.16555631750626809</v>
      </c>
      <c r="V1487">
        <f t="shared" si="512"/>
        <v>1.2187044890042385E-2</v>
      </c>
      <c r="W1487">
        <f t="shared" si="513"/>
        <v>2.0624229813917885E-3</v>
      </c>
      <c r="X1487">
        <f t="shared" si="514"/>
        <v>0.17205294989765221</v>
      </c>
      <c r="Y1487">
        <f t="shared" si="515"/>
        <v>7.4997199323337759E-4</v>
      </c>
      <c r="Z1487">
        <f t="shared" si="516"/>
        <v>3.4686204687043713E-3</v>
      </c>
      <c r="AA1487">
        <f t="shared" si="517"/>
        <v>0.23093231362141314</v>
      </c>
      <c r="AB1487">
        <f t="shared" si="518"/>
        <v>6.3279355661561995E-2</v>
      </c>
      <c r="AC1487">
        <f t="shared" si="519"/>
        <v>0.1435410771379006</v>
      </c>
      <c r="AD1487">
        <f t="shared" si="520"/>
        <v>3.9891947785074891E-3</v>
      </c>
      <c r="AE1487">
        <f t="shared" si="521"/>
        <v>3.2245514581564841E-2</v>
      </c>
      <c r="AG1487">
        <f t="shared" si="522"/>
        <v>0.10934389198648355</v>
      </c>
      <c r="AH1487">
        <f t="shared" si="523"/>
        <v>0.40997828362347083</v>
      </c>
      <c r="AI1487">
        <f t="shared" si="524"/>
        <v>1.0121801796275913</v>
      </c>
      <c r="AK1487" s="26" t="e">
        <f t="shared" si="525"/>
        <v>#DIV/0!</v>
      </c>
      <c r="AL1487" s="26" t="e">
        <f t="shared" si="526"/>
        <v>#DIV/0!</v>
      </c>
      <c r="AM1487" s="26" t="e">
        <f t="shared" si="527"/>
        <v>#DIV/0!</v>
      </c>
      <c r="AN1487" s="26" t="e">
        <f t="shared" si="528"/>
        <v>#DIV/0!</v>
      </c>
      <c r="AO1487" s="26" t="e">
        <f t="shared" si="529"/>
        <v>#DIV/0!</v>
      </c>
      <c r="AP1487" s="26" t="e">
        <f t="shared" si="530"/>
        <v>#DIV/0!</v>
      </c>
      <c r="AS1487" s="2">
        <v>43993</v>
      </c>
      <c r="AT1487">
        <v>23.6</v>
      </c>
      <c r="AU1487">
        <v>82.3</v>
      </c>
      <c r="AV1487">
        <v>67.5</v>
      </c>
      <c r="AW1487">
        <v>2.4</v>
      </c>
      <c r="AX1487">
        <v>134.59</v>
      </c>
      <c r="AY1487">
        <v>0.9</v>
      </c>
      <c r="AZ1487">
        <v>3.7</v>
      </c>
      <c r="BA1487">
        <v>172.65110000000001</v>
      </c>
      <c r="BB1487">
        <v>20.503599999999999</v>
      </c>
      <c r="BC1487">
        <v>128.72730000000001</v>
      </c>
      <c r="BD1487">
        <v>4.0758999999999999</v>
      </c>
      <c r="BE1487">
        <v>18.879799999999999</v>
      </c>
      <c r="BH1487">
        <v>75.64</v>
      </c>
    </row>
    <row r="1488" spans="1:60" x14ac:dyDescent="0.25">
      <c r="A1488" s="2">
        <v>44013</v>
      </c>
      <c r="B1488">
        <v>24.2</v>
      </c>
      <c r="C1488">
        <v>236.3</v>
      </c>
      <c r="D1488">
        <v>31.5</v>
      </c>
      <c r="E1488">
        <v>3.7</v>
      </c>
      <c r="F1488">
        <v>210.04</v>
      </c>
      <c r="G1488">
        <v>0.8</v>
      </c>
      <c r="H1488">
        <v>3.9</v>
      </c>
      <c r="I1488">
        <v>223.0975</v>
      </c>
      <c r="J1488">
        <v>47.785499999999999</v>
      </c>
      <c r="K1488">
        <v>134.25110000000001</v>
      </c>
      <c r="L1488">
        <v>4.2221000000000002</v>
      </c>
      <c r="M1488">
        <v>26.4666</v>
      </c>
      <c r="N1488">
        <v>10.210599999999999</v>
      </c>
      <c r="O1488">
        <v>-9.8834</v>
      </c>
      <c r="P1488">
        <v>80.709999999999994</v>
      </c>
      <c r="S1488">
        <f t="shared" si="509"/>
        <v>946.26279999999997</v>
      </c>
      <c r="T1488">
        <f t="shared" si="510"/>
        <v>2.268665279530967E-2</v>
      </c>
      <c r="U1488">
        <f t="shared" si="511"/>
        <v>0.22152297750130889</v>
      </c>
      <c r="V1488">
        <f t="shared" si="512"/>
        <v>2.9530147233564241E-2</v>
      </c>
      <c r="W1488">
        <f t="shared" si="513"/>
        <v>3.4686204687043713E-3</v>
      </c>
      <c r="X1488">
        <f t="shared" si="514"/>
        <v>0.19690514682342325</v>
      </c>
      <c r="Y1488">
        <f t="shared" si="515"/>
        <v>7.4997199323337759E-4</v>
      </c>
      <c r="Z1488">
        <f t="shared" si="516"/>
        <v>3.6561134670127153E-3</v>
      </c>
      <c r="AA1488">
        <f t="shared" si="517"/>
        <v>0.20914609595047931</v>
      </c>
      <c r="AB1488">
        <f t="shared" si="518"/>
        <v>4.4797233353316951E-2</v>
      </c>
      <c r="AC1488">
        <f t="shared" si="519"/>
        <v>0.12585570632596688</v>
      </c>
      <c r="AD1488">
        <f t="shared" si="520"/>
        <v>3.9580709407883042E-3</v>
      </c>
      <c r="AE1488">
        <f t="shared" si="521"/>
        <v>2.4811510945138136E-2</v>
      </c>
      <c r="AG1488">
        <f t="shared" si="522"/>
        <v>9.7147541965350304E-2</v>
      </c>
      <c r="AH1488">
        <f t="shared" si="523"/>
        <v>0.50333114122769473</v>
      </c>
      <c r="AI1488">
        <f t="shared" si="524"/>
        <v>1.6450871185640765</v>
      </c>
      <c r="AK1488" s="26" t="e">
        <f t="shared" si="525"/>
        <v>#DIV/0!</v>
      </c>
      <c r="AL1488" s="26" t="e">
        <f t="shared" si="526"/>
        <v>#DIV/0!</v>
      </c>
      <c r="AM1488" s="26" t="e">
        <f t="shared" si="527"/>
        <v>#DIV/0!</v>
      </c>
      <c r="AN1488" s="26" t="e">
        <f t="shared" si="528"/>
        <v>#DIV/0!</v>
      </c>
      <c r="AO1488" s="26" t="e">
        <f t="shared" si="529"/>
        <v>#DIV/0!</v>
      </c>
      <c r="AP1488" s="26" t="e">
        <f t="shared" si="530"/>
        <v>#DIV/0!</v>
      </c>
      <c r="AS1488" s="2">
        <v>43992</v>
      </c>
      <c r="AT1488">
        <v>21.6</v>
      </c>
      <c r="AU1488">
        <v>225.8</v>
      </c>
      <c r="AV1488">
        <v>9.5</v>
      </c>
      <c r="AW1488">
        <v>1.6</v>
      </c>
      <c r="AX1488">
        <v>120.11</v>
      </c>
      <c r="AY1488">
        <v>0.9</v>
      </c>
      <c r="AZ1488">
        <v>3.7</v>
      </c>
      <c r="BA1488">
        <v>260.10559999999998</v>
      </c>
      <c r="BB1488">
        <v>56.268799999999999</v>
      </c>
      <c r="BC1488">
        <v>175.35830000000001</v>
      </c>
      <c r="BD1488">
        <v>4.0984999999999996</v>
      </c>
      <c r="BE1488">
        <v>28.3903</v>
      </c>
      <c r="BH1488">
        <v>75.41</v>
      </c>
    </row>
    <row r="1489" spans="1:60" x14ac:dyDescent="0.25">
      <c r="A1489" s="2">
        <v>44012</v>
      </c>
      <c r="B1489">
        <v>22.6</v>
      </c>
      <c r="C1489">
        <v>351.5</v>
      </c>
      <c r="D1489">
        <v>58.9</v>
      </c>
      <c r="E1489">
        <v>7.6</v>
      </c>
      <c r="F1489">
        <v>215.72</v>
      </c>
      <c r="G1489">
        <v>0.6</v>
      </c>
      <c r="H1489">
        <v>3.8</v>
      </c>
      <c r="I1489">
        <v>142.71250000000001</v>
      </c>
      <c r="J1489">
        <v>47.561199999999999</v>
      </c>
      <c r="K1489">
        <v>91.628299999999996</v>
      </c>
      <c r="L1489">
        <v>4.2161</v>
      </c>
      <c r="M1489">
        <v>22.3979</v>
      </c>
      <c r="N1489">
        <v>9.3087</v>
      </c>
      <c r="O1489">
        <v>-10.171799999999999</v>
      </c>
      <c r="P1489">
        <v>80.53</v>
      </c>
      <c r="S1489">
        <f t="shared" si="509"/>
        <v>969.23599999999999</v>
      </c>
      <c r="T1489">
        <f t="shared" si="510"/>
        <v>2.1186708808842915E-2</v>
      </c>
      <c r="U1489">
        <f t="shared" si="511"/>
        <v>0.32951894452691527</v>
      </c>
      <c r="V1489">
        <f t="shared" si="512"/>
        <v>5.5216688001807422E-2</v>
      </c>
      <c r="W1489">
        <f t="shared" si="513"/>
        <v>7.1247339357170866E-3</v>
      </c>
      <c r="X1489">
        <f t="shared" si="514"/>
        <v>0.20222994797538024</v>
      </c>
      <c r="Y1489">
        <f t="shared" si="515"/>
        <v>5.6247899492503314E-4</v>
      </c>
      <c r="Z1489">
        <f t="shared" si="516"/>
        <v>3.5623669678585433E-3</v>
      </c>
      <c r="AA1489">
        <f t="shared" si="517"/>
        <v>0.13378797260539799</v>
      </c>
      <c r="AB1489">
        <f t="shared" si="518"/>
        <v>4.4586959955714142E-2</v>
      </c>
      <c r="AC1489">
        <f t="shared" si="519"/>
        <v>8.5898323484482356E-2</v>
      </c>
      <c r="AD1489">
        <f t="shared" si="520"/>
        <v>3.952446150839054E-3</v>
      </c>
      <c r="AE1489">
        <f t="shared" si="521"/>
        <v>2.0997247134052332E-2</v>
      </c>
      <c r="AG1489">
        <f t="shared" si="522"/>
        <v>8.4605480695954999E-2</v>
      </c>
      <c r="AH1489">
        <f t="shared" si="523"/>
        <v>0.64039911634549884</v>
      </c>
      <c r="AI1489">
        <f t="shared" si="524"/>
        <v>2.581263994815715</v>
      </c>
      <c r="AK1489" s="26" t="e">
        <f t="shared" si="525"/>
        <v>#DIV/0!</v>
      </c>
      <c r="AL1489" s="26" t="e">
        <f t="shared" si="526"/>
        <v>#DIV/0!</v>
      </c>
      <c r="AM1489" s="26" t="e">
        <f t="shared" si="527"/>
        <v>#DIV/0!</v>
      </c>
      <c r="AN1489" s="26" t="e">
        <f t="shared" si="528"/>
        <v>#DIV/0!</v>
      </c>
      <c r="AO1489" s="26" t="e">
        <f t="shared" si="529"/>
        <v>#DIV/0!</v>
      </c>
      <c r="AP1489" s="26" t="e">
        <f t="shared" si="530"/>
        <v>#DIV/0!</v>
      </c>
      <c r="AS1489" s="2">
        <v>43991</v>
      </c>
      <c r="AT1489">
        <v>20.3</v>
      </c>
      <c r="AU1489">
        <v>268.3</v>
      </c>
      <c r="AV1489">
        <v>1.6</v>
      </c>
      <c r="AW1489">
        <v>1.1000000000000001</v>
      </c>
      <c r="AX1489">
        <v>132.68</v>
      </c>
      <c r="AY1489">
        <v>0.3</v>
      </c>
      <c r="AZ1489">
        <v>3.6</v>
      </c>
      <c r="BA1489">
        <v>269.65530000000001</v>
      </c>
      <c r="BB1489">
        <v>64.048699999999997</v>
      </c>
      <c r="BC1489">
        <v>178.6301</v>
      </c>
      <c r="BD1489">
        <v>4.1342999999999996</v>
      </c>
      <c r="BE1489">
        <v>30.6416</v>
      </c>
      <c r="BH1489">
        <v>75.25</v>
      </c>
    </row>
    <row r="1490" spans="1:60" x14ac:dyDescent="0.25">
      <c r="A1490" s="2">
        <v>44011</v>
      </c>
      <c r="B1490">
        <v>21.9</v>
      </c>
      <c r="C1490">
        <v>418.6</v>
      </c>
      <c r="D1490">
        <v>63</v>
      </c>
      <c r="E1490">
        <v>3.6</v>
      </c>
      <c r="F1490">
        <v>196.21</v>
      </c>
      <c r="G1490">
        <v>0.8</v>
      </c>
      <c r="H1490">
        <v>4</v>
      </c>
      <c r="I1490">
        <v>187.40809999999999</v>
      </c>
      <c r="J1490">
        <v>34.546799999999998</v>
      </c>
      <c r="K1490">
        <v>120.1221</v>
      </c>
      <c r="L1490">
        <v>4.2367999999999997</v>
      </c>
      <c r="M1490">
        <v>27.8689</v>
      </c>
      <c r="N1490">
        <v>8.8137000000000008</v>
      </c>
      <c r="O1490">
        <v>-10.416700000000001</v>
      </c>
      <c r="P1490">
        <v>80.430000000000007</v>
      </c>
      <c r="S1490">
        <f t="shared" si="509"/>
        <v>1082.2926999999997</v>
      </c>
      <c r="T1490">
        <f t="shared" si="510"/>
        <v>2.0530483314763707E-2</v>
      </c>
      <c r="U1490">
        <f t="shared" si="511"/>
        <v>0.39242284545936479</v>
      </c>
      <c r="V1490">
        <f t="shared" si="512"/>
        <v>5.9060294467128481E-2</v>
      </c>
      <c r="W1490">
        <f t="shared" si="513"/>
        <v>3.3748739695501988E-3</v>
      </c>
      <c r="X1490">
        <f t="shared" si="514"/>
        <v>0.18394000599040125</v>
      </c>
      <c r="Y1490">
        <f t="shared" si="515"/>
        <v>7.4997199323337759E-4</v>
      </c>
      <c r="Z1490">
        <f t="shared" si="516"/>
        <v>3.7498599661668877E-3</v>
      </c>
      <c r="AA1490">
        <f t="shared" si="517"/>
        <v>0.17568853288135017</v>
      </c>
      <c r="AB1490">
        <f t="shared" si="518"/>
        <v>3.2386415569793554E-2</v>
      </c>
      <c r="AC1490">
        <f t="shared" si="519"/>
        <v>0.11261026346047387</v>
      </c>
      <c r="AD1490">
        <f t="shared" si="520"/>
        <v>3.971851676163967E-3</v>
      </c>
      <c r="AE1490">
        <f t="shared" si="521"/>
        <v>2.6126118102777093E-2</v>
      </c>
      <c r="AG1490">
        <f t="shared" si="522"/>
        <v>7.7689695231690725E-2</v>
      </c>
      <c r="AH1490">
        <f t="shared" si="523"/>
        <v>0.68995445326338567</v>
      </c>
      <c r="AI1490">
        <f t="shared" si="524"/>
        <v>2.948712706224796</v>
      </c>
      <c r="AK1490" s="26" t="e">
        <f t="shared" si="525"/>
        <v>#DIV/0!</v>
      </c>
      <c r="AL1490" s="26" t="e">
        <f t="shared" si="526"/>
        <v>#DIV/0!</v>
      </c>
      <c r="AM1490" s="26" t="e">
        <f t="shared" si="527"/>
        <v>#DIV/0!</v>
      </c>
      <c r="AN1490" s="26" t="e">
        <f t="shared" si="528"/>
        <v>#DIV/0!</v>
      </c>
      <c r="AO1490" s="26" t="e">
        <f t="shared" si="529"/>
        <v>#DIV/0!</v>
      </c>
      <c r="AP1490" s="26" t="e">
        <f t="shared" si="530"/>
        <v>#DIV/0!</v>
      </c>
      <c r="AS1490" s="2">
        <v>43990</v>
      </c>
      <c r="AT1490">
        <v>19.399999999999999</v>
      </c>
      <c r="AU1490">
        <v>57.4</v>
      </c>
      <c r="AV1490">
        <v>9.3000000000000007</v>
      </c>
      <c r="AW1490">
        <v>0.6</v>
      </c>
      <c r="AX1490">
        <v>185.48</v>
      </c>
      <c r="AY1490">
        <v>0.9</v>
      </c>
      <c r="AZ1490">
        <v>3.4</v>
      </c>
      <c r="BA1490">
        <v>215.37989999999999</v>
      </c>
      <c r="BB1490">
        <v>37.1584</v>
      </c>
      <c r="BC1490">
        <v>164.22810000000001</v>
      </c>
      <c r="BD1490">
        <v>4.2240000000000002</v>
      </c>
      <c r="BE1490">
        <v>29.9434</v>
      </c>
      <c r="BH1490">
        <v>75.099999999999994</v>
      </c>
    </row>
    <row r="1491" spans="1:60" x14ac:dyDescent="0.25">
      <c r="A1491" s="2">
        <v>44010</v>
      </c>
      <c r="B1491">
        <v>21.6</v>
      </c>
      <c r="C1491">
        <v>591.4</v>
      </c>
      <c r="D1491">
        <v>52.1</v>
      </c>
      <c r="E1491">
        <v>3.5</v>
      </c>
      <c r="F1491">
        <v>173.31</v>
      </c>
      <c r="G1491">
        <v>0.7</v>
      </c>
      <c r="H1491">
        <v>4</v>
      </c>
      <c r="I1491">
        <v>153.3426</v>
      </c>
      <c r="J1491">
        <v>30.614899999999999</v>
      </c>
      <c r="K1491">
        <v>44.608899999999998</v>
      </c>
      <c r="L1491">
        <v>4.1839000000000004</v>
      </c>
      <c r="M1491">
        <v>12.265000000000001</v>
      </c>
      <c r="P1491">
        <v>80.180000000000007</v>
      </c>
      <c r="S1491">
        <f t="shared" si="509"/>
        <v>1091.6253000000002</v>
      </c>
      <c r="T1491">
        <f t="shared" si="510"/>
        <v>2.0249243817301196E-2</v>
      </c>
      <c r="U1491">
        <f t="shared" si="511"/>
        <v>0.55441679599777427</v>
      </c>
      <c r="V1491">
        <f t="shared" si="512"/>
        <v>4.8841926059323713E-2</v>
      </c>
      <c r="W1491">
        <f t="shared" si="513"/>
        <v>3.2811274703960268E-3</v>
      </c>
      <c r="X1491">
        <f t="shared" si="514"/>
        <v>0.16247205768409584</v>
      </c>
      <c r="Y1491">
        <f t="shared" si="515"/>
        <v>6.5622549407920526E-4</v>
      </c>
      <c r="Z1491">
        <f t="shared" si="516"/>
        <v>3.7498599661668877E-3</v>
      </c>
      <c r="AA1491">
        <f t="shared" si="517"/>
        <v>0.14375331921198564</v>
      </c>
      <c r="AB1491">
        <f t="shared" si="518"/>
        <v>2.8700396969550662E-2</v>
      </c>
      <c r="AC1491">
        <f t="shared" si="519"/>
        <v>4.1819282061185514E-2</v>
      </c>
      <c r="AD1491">
        <f t="shared" si="520"/>
        <v>3.9222597781114104E-3</v>
      </c>
      <c r="AE1491">
        <f t="shared" si="521"/>
        <v>1.149800812125922E-2</v>
      </c>
      <c r="AG1491">
        <f t="shared" si="522"/>
        <v>6.0239540492926152E-2</v>
      </c>
      <c r="AH1491">
        <f t="shared" si="523"/>
        <v>0.80516524461039618</v>
      </c>
      <c r="AI1491">
        <f t="shared" si="524"/>
        <v>3.7865454274623729</v>
      </c>
      <c r="AK1491" s="26" t="e">
        <f t="shared" si="525"/>
        <v>#DIV/0!</v>
      </c>
      <c r="AL1491" s="26" t="e">
        <f t="shared" si="526"/>
        <v>#DIV/0!</v>
      </c>
      <c r="AM1491" s="26" t="e">
        <f t="shared" si="527"/>
        <v>#DIV/0!</v>
      </c>
      <c r="AN1491" s="26" t="e">
        <f t="shared" si="528"/>
        <v>#DIV/0!</v>
      </c>
      <c r="AO1491" s="26" t="e">
        <f t="shared" si="529"/>
        <v>#DIV/0!</v>
      </c>
      <c r="AP1491" s="26" t="e">
        <f t="shared" si="530"/>
        <v>#DIV/0!</v>
      </c>
      <c r="AS1491" s="2">
        <v>43989</v>
      </c>
      <c r="AT1491">
        <v>16.7</v>
      </c>
      <c r="AU1491">
        <v>182.4</v>
      </c>
      <c r="AV1491">
        <v>35.6</v>
      </c>
      <c r="AW1491">
        <v>3.8</v>
      </c>
      <c r="AX1491">
        <v>139.4</v>
      </c>
      <c r="AY1491">
        <v>0.9</v>
      </c>
      <c r="AZ1491">
        <v>3.3</v>
      </c>
      <c r="BA1491">
        <v>99.0077</v>
      </c>
      <c r="BB1491">
        <v>29.3538</v>
      </c>
      <c r="BC1491">
        <v>47.168799999999997</v>
      </c>
      <c r="BD1491">
        <v>4.2329999999999997</v>
      </c>
      <c r="BE1491">
        <v>15.0693</v>
      </c>
      <c r="BH1491">
        <v>74.94</v>
      </c>
    </row>
    <row r="1492" spans="1:60" x14ac:dyDescent="0.25">
      <c r="A1492" s="2">
        <v>44009</v>
      </c>
      <c r="B1492">
        <v>21.8</v>
      </c>
      <c r="C1492">
        <v>475.3</v>
      </c>
      <c r="D1492">
        <v>12.1</v>
      </c>
      <c r="E1492">
        <v>1.6</v>
      </c>
      <c r="F1492">
        <v>236.07</v>
      </c>
      <c r="G1492">
        <v>0.7</v>
      </c>
      <c r="H1492">
        <v>4.0999999999999996</v>
      </c>
      <c r="I1492">
        <v>189.76089999999999</v>
      </c>
      <c r="J1492">
        <v>29.6952</v>
      </c>
      <c r="K1492">
        <v>98.427999999999997</v>
      </c>
      <c r="L1492">
        <v>4.1764999999999999</v>
      </c>
      <c r="M1492">
        <v>20.277999999999999</v>
      </c>
      <c r="P1492">
        <v>79.819999999999993</v>
      </c>
      <c r="S1492">
        <f t="shared" si="509"/>
        <v>1094.0086000000003</v>
      </c>
      <c r="T1492">
        <f t="shared" si="510"/>
        <v>2.0436736815609539E-2</v>
      </c>
      <c r="U1492">
        <f t="shared" si="511"/>
        <v>0.44557711047978044</v>
      </c>
      <c r="V1492">
        <f t="shared" si="512"/>
        <v>1.1343326397654835E-2</v>
      </c>
      <c r="W1492">
        <f t="shared" si="513"/>
        <v>1.4999439864667552E-3</v>
      </c>
      <c r="X1492">
        <f t="shared" si="514"/>
        <v>0.22130736055325428</v>
      </c>
      <c r="Y1492">
        <f t="shared" si="515"/>
        <v>6.5622549407920526E-4</v>
      </c>
      <c r="Z1492">
        <f t="shared" si="516"/>
        <v>3.8436064653210593E-3</v>
      </c>
      <c r="AA1492">
        <f t="shared" si="517"/>
        <v>0.17789420051344954</v>
      </c>
      <c r="AB1492">
        <f t="shared" si="518"/>
        <v>2.783821041682974E-2</v>
      </c>
      <c r="AC1492">
        <f t="shared" si="519"/>
        <v>9.2272804187468596E-2</v>
      </c>
      <c r="AD1492">
        <f t="shared" si="520"/>
        <v>3.9153225371740012E-3</v>
      </c>
      <c r="AE1492">
        <f t="shared" si="521"/>
        <v>1.9009915098483036E-2</v>
      </c>
      <c r="AG1492">
        <f t="shared" si="522"/>
        <v>3.5074758617216949E-2</v>
      </c>
      <c r="AH1492">
        <f t="shared" si="523"/>
        <v>0.72367422529064918</v>
      </c>
      <c r="AI1492">
        <f t="shared" si="524"/>
        <v>3.3011464307938896</v>
      </c>
      <c r="AK1492" s="26" t="e">
        <f t="shared" si="525"/>
        <v>#DIV/0!</v>
      </c>
      <c r="AL1492" s="26" t="e">
        <f t="shared" si="526"/>
        <v>#DIV/0!</v>
      </c>
      <c r="AM1492" s="26" t="e">
        <f t="shared" si="527"/>
        <v>#DIV/0!</v>
      </c>
      <c r="AN1492" s="26" t="e">
        <f t="shared" si="528"/>
        <v>#DIV/0!</v>
      </c>
      <c r="AO1492" s="26" t="e">
        <f t="shared" si="529"/>
        <v>#DIV/0!</v>
      </c>
      <c r="AP1492" s="26" t="e">
        <f t="shared" si="530"/>
        <v>#DIV/0!</v>
      </c>
      <c r="AS1492" s="2">
        <v>43988</v>
      </c>
      <c r="AT1492">
        <v>17.2</v>
      </c>
      <c r="AU1492">
        <v>114</v>
      </c>
      <c r="AV1492">
        <v>75.400000000000006</v>
      </c>
      <c r="AW1492">
        <v>6.5</v>
      </c>
      <c r="AX1492">
        <v>171.71</v>
      </c>
      <c r="AY1492">
        <v>0.9</v>
      </c>
      <c r="AZ1492">
        <v>2.9</v>
      </c>
      <c r="BA1492">
        <v>84.606800000000007</v>
      </c>
      <c r="BB1492">
        <v>23.9909</v>
      </c>
      <c r="BC1492">
        <v>32.3352</v>
      </c>
      <c r="BD1492">
        <v>4.2070999999999996</v>
      </c>
      <c r="BE1492">
        <v>17.239699999999999</v>
      </c>
      <c r="BH1492">
        <v>74.599999999999994</v>
      </c>
    </row>
    <row r="1493" spans="1:60" x14ac:dyDescent="0.25">
      <c r="A1493" s="2">
        <v>44008</v>
      </c>
      <c r="B1493">
        <v>21.7</v>
      </c>
      <c r="C1493">
        <v>335.5</v>
      </c>
      <c r="D1493">
        <v>32</v>
      </c>
      <c r="E1493">
        <v>2.4</v>
      </c>
      <c r="F1493">
        <v>259.86</v>
      </c>
      <c r="G1493">
        <v>0.7</v>
      </c>
      <c r="H1493">
        <v>4</v>
      </c>
      <c r="I1493">
        <v>272.29880000000003</v>
      </c>
      <c r="J1493">
        <v>59.416499999999999</v>
      </c>
      <c r="K1493">
        <v>145.64169999999999</v>
      </c>
      <c r="L1493">
        <v>4.1397000000000004</v>
      </c>
      <c r="M1493">
        <v>22.650700000000001</v>
      </c>
      <c r="N1493">
        <v>11.1952</v>
      </c>
      <c r="O1493">
        <v>-8.2551000000000005</v>
      </c>
      <c r="P1493">
        <v>79.48</v>
      </c>
      <c r="S1493">
        <f t="shared" si="509"/>
        <v>1160.3073999999999</v>
      </c>
      <c r="T1493">
        <f t="shared" si="510"/>
        <v>2.0342990316455364E-2</v>
      </c>
      <c r="U1493">
        <f t="shared" si="511"/>
        <v>0.31451950466224771</v>
      </c>
      <c r="V1493">
        <f t="shared" si="512"/>
        <v>2.9998879729335102E-2</v>
      </c>
      <c r="W1493">
        <f t="shared" si="513"/>
        <v>2.2499159797001326E-3</v>
      </c>
      <c r="X1493">
        <f t="shared" si="514"/>
        <v>0.24360965270203186</v>
      </c>
      <c r="Y1493">
        <f t="shared" si="515"/>
        <v>6.5622549407920526E-4</v>
      </c>
      <c r="Z1493">
        <f t="shared" si="516"/>
        <v>3.7498599661668877E-3</v>
      </c>
      <c r="AA1493">
        <f t="shared" si="517"/>
        <v>0.25527059223882104</v>
      </c>
      <c r="AB1493">
        <f t="shared" si="518"/>
        <v>5.570088866993872E-2</v>
      </c>
      <c r="AC1493">
        <f t="shared" si="519"/>
        <v>0.13653399505862199</v>
      </c>
      <c r="AD1493">
        <f t="shared" si="520"/>
        <v>3.8808238254852663E-3</v>
      </c>
      <c r="AE1493">
        <f t="shared" si="521"/>
        <v>2.1234238283914082E-2</v>
      </c>
      <c r="AG1493">
        <f t="shared" si="522"/>
        <v>1.1310913975510107E-2</v>
      </c>
      <c r="AH1493">
        <f t="shared" si="523"/>
        <v>0.63636126713393038</v>
      </c>
      <c r="AI1493">
        <f t="shared" si="524"/>
        <v>2.7366138046086519</v>
      </c>
      <c r="AK1493" s="26" t="e">
        <f t="shared" si="525"/>
        <v>#DIV/0!</v>
      </c>
      <c r="AL1493" s="26" t="e">
        <f t="shared" si="526"/>
        <v>#DIV/0!</v>
      </c>
      <c r="AM1493" s="26" t="e">
        <f t="shared" si="527"/>
        <v>#DIV/0!</v>
      </c>
      <c r="AN1493" s="26" t="e">
        <f t="shared" si="528"/>
        <v>#DIV/0!</v>
      </c>
      <c r="AO1493" s="26" t="e">
        <f t="shared" si="529"/>
        <v>#DIV/0!</v>
      </c>
      <c r="AP1493" s="26" t="e">
        <f t="shared" si="530"/>
        <v>#DIV/0!</v>
      </c>
      <c r="AS1493" s="2">
        <v>43987</v>
      </c>
      <c r="AT1493">
        <v>18.8</v>
      </c>
      <c r="AU1493">
        <v>35.5</v>
      </c>
      <c r="AV1493">
        <v>34.6</v>
      </c>
      <c r="AW1493">
        <v>5</v>
      </c>
      <c r="AX1493">
        <v>146.78</v>
      </c>
      <c r="AY1493">
        <v>0.9</v>
      </c>
      <c r="AZ1493">
        <v>3.3</v>
      </c>
      <c r="BA1493">
        <v>120.125</v>
      </c>
      <c r="BB1493">
        <v>24.180800000000001</v>
      </c>
      <c r="BC1493">
        <v>121.6046</v>
      </c>
      <c r="BD1493">
        <v>4.2614000000000001</v>
      </c>
      <c r="BE1493">
        <v>27.305099999999999</v>
      </c>
      <c r="BH1493">
        <v>74.27</v>
      </c>
    </row>
    <row r="1494" spans="1:60" x14ac:dyDescent="0.25">
      <c r="A1494" s="2">
        <v>44007</v>
      </c>
      <c r="B1494">
        <v>21.6</v>
      </c>
      <c r="C1494">
        <v>188</v>
      </c>
      <c r="D1494">
        <v>38.700000000000003</v>
      </c>
      <c r="E1494">
        <v>2.7</v>
      </c>
      <c r="F1494">
        <v>239.66</v>
      </c>
      <c r="G1494">
        <v>0.7</v>
      </c>
      <c r="H1494">
        <v>4.4000000000000004</v>
      </c>
      <c r="I1494">
        <v>274.34320000000002</v>
      </c>
      <c r="J1494">
        <v>63.386400000000002</v>
      </c>
      <c r="K1494">
        <v>156.01840000000001</v>
      </c>
      <c r="L1494">
        <v>4.1609999999999996</v>
      </c>
      <c r="M1494">
        <v>23.1524</v>
      </c>
      <c r="N1494">
        <v>10.670500000000001</v>
      </c>
      <c r="O1494">
        <v>-8.4701000000000004</v>
      </c>
      <c r="P1494">
        <v>79.23</v>
      </c>
      <c r="S1494">
        <f t="shared" si="509"/>
        <v>1016.8214</v>
      </c>
      <c r="T1494">
        <f t="shared" si="510"/>
        <v>2.0249243817301196E-2</v>
      </c>
      <c r="U1494">
        <f t="shared" si="511"/>
        <v>0.17624341840984373</v>
      </c>
      <c r="V1494">
        <f t="shared" si="512"/>
        <v>3.6279895172664639E-2</v>
      </c>
      <c r="W1494">
        <f t="shared" si="513"/>
        <v>2.5311554771626494E-3</v>
      </c>
      <c r="X1494">
        <f t="shared" si="514"/>
        <v>0.22467285987288907</v>
      </c>
      <c r="Y1494">
        <f t="shared" si="515"/>
        <v>6.5622549407920526E-4</v>
      </c>
      <c r="Z1494">
        <f t="shared" si="516"/>
        <v>4.1248459627835771E-3</v>
      </c>
      <c r="AA1494">
        <f t="shared" si="517"/>
        <v>0.25718714566752893</v>
      </c>
      <c r="AB1494">
        <f t="shared" si="518"/>
        <v>5.9422530939860205E-2</v>
      </c>
      <c r="AC1494">
        <f t="shared" si="519"/>
        <v>0.14626178803635301</v>
      </c>
      <c r="AD1494">
        <f t="shared" si="520"/>
        <v>3.9007918298051046E-3</v>
      </c>
      <c r="AE1494">
        <f t="shared" si="521"/>
        <v>2.1704564470170561E-2</v>
      </c>
      <c r="AG1494">
        <f t="shared" si="522"/>
        <v>-6.158140406047603E-3</v>
      </c>
      <c r="AH1494">
        <f t="shared" si="523"/>
        <v>0.4864622086768946</v>
      </c>
      <c r="AI1494">
        <f t="shared" si="524"/>
        <v>1.6898261274253346</v>
      </c>
      <c r="AK1494" s="26" t="e">
        <f t="shared" si="525"/>
        <v>#DIV/0!</v>
      </c>
      <c r="AL1494" s="26" t="e">
        <f t="shared" si="526"/>
        <v>#DIV/0!</v>
      </c>
      <c r="AM1494" s="26" t="e">
        <f t="shared" si="527"/>
        <v>#DIV/0!</v>
      </c>
      <c r="AN1494" s="26" t="e">
        <f t="shared" si="528"/>
        <v>#DIV/0!</v>
      </c>
      <c r="AO1494" s="26" t="e">
        <f t="shared" si="529"/>
        <v>#DIV/0!</v>
      </c>
      <c r="AP1494" s="26" t="e">
        <f t="shared" si="530"/>
        <v>#DIV/0!</v>
      </c>
      <c r="AS1494" s="2">
        <v>43986</v>
      </c>
      <c r="AT1494">
        <v>17.100000000000001</v>
      </c>
      <c r="AU1494">
        <v>65.7</v>
      </c>
      <c r="AV1494">
        <v>47.9</v>
      </c>
      <c r="AW1494">
        <v>1.9</v>
      </c>
      <c r="AX1494">
        <v>110.23</v>
      </c>
      <c r="AY1494">
        <v>0.6</v>
      </c>
      <c r="AZ1494">
        <v>3.5</v>
      </c>
      <c r="BA1494">
        <v>191.06479999999999</v>
      </c>
      <c r="BB1494">
        <v>44.639499999999998</v>
      </c>
      <c r="BC1494">
        <v>146.81440000000001</v>
      </c>
      <c r="BD1494">
        <v>5.3941999999999997</v>
      </c>
      <c r="BE1494">
        <v>32.857300000000002</v>
      </c>
      <c r="BH1494">
        <v>74.02</v>
      </c>
    </row>
    <row r="1495" spans="1:60" x14ac:dyDescent="0.25">
      <c r="A1495" s="2">
        <v>44006</v>
      </c>
      <c r="B1495">
        <v>22.1</v>
      </c>
      <c r="C1495">
        <v>307.8</v>
      </c>
      <c r="D1495">
        <v>8.9</v>
      </c>
      <c r="E1495">
        <v>1.3</v>
      </c>
      <c r="F1495">
        <v>276.82</v>
      </c>
      <c r="G1495">
        <v>0.7</v>
      </c>
      <c r="H1495">
        <v>4.2</v>
      </c>
      <c r="I1495">
        <v>278.2516</v>
      </c>
      <c r="J1495">
        <v>63.092199999999998</v>
      </c>
      <c r="K1495">
        <v>152.6765</v>
      </c>
      <c r="L1495">
        <v>4.2164000000000001</v>
      </c>
      <c r="M1495">
        <v>21.936900000000001</v>
      </c>
      <c r="N1495">
        <v>10.3668</v>
      </c>
      <c r="O1495">
        <v>-7.8543000000000003</v>
      </c>
      <c r="P1495">
        <v>79.02</v>
      </c>
      <c r="S1495">
        <f t="shared" si="509"/>
        <v>1141.9936000000002</v>
      </c>
      <c r="T1495">
        <f t="shared" si="510"/>
        <v>2.0717976313072057E-2</v>
      </c>
      <c r="U1495">
        <f t="shared" si="511"/>
        <v>0.28855172439654203</v>
      </c>
      <c r="V1495">
        <f t="shared" si="512"/>
        <v>8.3434384247213257E-3</v>
      </c>
      <c r="W1495">
        <f t="shared" si="513"/>
        <v>1.2187044890042385E-3</v>
      </c>
      <c r="X1495">
        <f t="shared" si="514"/>
        <v>0.25950905895857945</v>
      </c>
      <c r="Y1495">
        <f t="shared" si="515"/>
        <v>6.5622549407920526E-4</v>
      </c>
      <c r="Z1495">
        <f t="shared" si="516"/>
        <v>3.9373529644752322E-3</v>
      </c>
      <c r="AA1495">
        <f t="shared" si="517"/>
        <v>0.26085113384047059</v>
      </c>
      <c r="AB1495">
        <f t="shared" si="518"/>
        <v>5.9146728739348627E-2</v>
      </c>
      <c r="AC1495">
        <f t="shared" si="519"/>
        <v>0.14312887378111971</v>
      </c>
      <c r="AD1495">
        <f t="shared" si="520"/>
        <v>3.9527273903365162E-3</v>
      </c>
      <c r="AE1495">
        <f t="shared" si="521"/>
        <v>2.0565075772951601E-2</v>
      </c>
      <c r="AG1495">
        <f t="shared" si="522"/>
        <v>-2.0833379116828962E-2</v>
      </c>
      <c r="AH1495">
        <f t="shared" si="523"/>
        <v>0.60349955681342515</v>
      </c>
      <c r="AI1495">
        <f t="shared" si="524"/>
        <v>2.546547883809112</v>
      </c>
      <c r="AK1495" s="26" t="e">
        <f t="shared" si="525"/>
        <v>#DIV/0!</v>
      </c>
      <c r="AL1495" s="26" t="e">
        <f t="shared" si="526"/>
        <v>#DIV/0!</v>
      </c>
      <c r="AM1495" s="26" t="e">
        <f t="shared" si="527"/>
        <v>#DIV/0!</v>
      </c>
      <c r="AN1495" s="26" t="e">
        <f t="shared" si="528"/>
        <v>#DIV/0!</v>
      </c>
      <c r="AO1495" s="26" t="e">
        <f t="shared" si="529"/>
        <v>#DIV/0!</v>
      </c>
      <c r="AP1495" s="26" t="e">
        <f t="shared" si="530"/>
        <v>#DIV/0!</v>
      </c>
      <c r="AS1495" s="2">
        <v>43985</v>
      </c>
      <c r="AT1495">
        <v>16</v>
      </c>
      <c r="AU1495">
        <v>173.4</v>
      </c>
      <c r="AV1495">
        <v>42</v>
      </c>
      <c r="AW1495">
        <v>1.3</v>
      </c>
      <c r="AX1495">
        <v>243.64</v>
      </c>
      <c r="AY1495">
        <v>0.6</v>
      </c>
      <c r="AZ1495">
        <v>3.2</v>
      </c>
      <c r="BA1495">
        <v>173.77869999999999</v>
      </c>
      <c r="BB1495">
        <v>30.311</v>
      </c>
      <c r="BC1495">
        <v>136.5984</v>
      </c>
      <c r="BD1495">
        <v>4.3856999999999999</v>
      </c>
      <c r="BE1495">
        <v>36.680399999999999</v>
      </c>
      <c r="BH1495">
        <v>73.760000000000005</v>
      </c>
    </row>
    <row r="1496" spans="1:60" x14ac:dyDescent="0.25">
      <c r="A1496" s="2">
        <v>44005</v>
      </c>
      <c r="B1496">
        <v>22.4</v>
      </c>
      <c r="C1496">
        <v>65</v>
      </c>
      <c r="D1496">
        <v>5.9</v>
      </c>
      <c r="E1496">
        <v>0.7</v>
      </c>
      <c r="F1496">
        <v>287.77999999999997</v>
      </c>
      <c r="G1496">
        <v>0.6</v>
      </c>
      <c r="H1496">
        <v>4.3</v>
      </c>
      <c r="I1496">
        <v>273.31709999999998</v>
      </c>
      <c r="J1496">
        <v>51.721600000000002</v>
      </c>
      <c r="K1496">
        <v>150.25020000000001</v>
      </c>
      <c r="L1496">
        <v>4.1959</v>
      </c>
      <c r="M1496">
        <v>24.751000000000001</v>
      </c>
      <c r="N1496">
        <v>9.5251999999999999</v>
      </c>
      <c r="O1496">
        <v>-8.1602999999999994</v>
      </c>
      <c r="P1496">
        <v>78.81</v>
      </c>
      <c r="S1496">
        <f t="shared" si="509"/>
        <v>890.9158000000001</v>
      </c>
      <c r="T1496">
        <f t="shared" si="510"/>
        <v>2.0999215810534568E-2</v>
      </c>
      <c r="U1496">
        <f t="shared" si="511"/>
        <v>6.0935224450211926E-2</v>
      </c>
      <c r="V1496">
        <f t="shared" si="512"/>
        <v>5.5310434500961594E-3</v>
      </c>
      <c r="W1496">
        <f t="shared" si="513"/>
        <v>6.5622549407920526E-4</v>
      </c>
      <c r="X1496">
        <f t="shared" si="514"/>
        <v>0.26978367526587671</v>
      </c>
      <c r="Y1496">
        <f t="shared" si="515"/>
        <v>5.6247899492503314E-4</v>
      </c>
      <c r="Z1496">
        <f t="shared" si="516"/>
        <v>4.0310994636294038E-3</v>
      </c>
      <c r="AA1496">
        <f t="shared" si="517"/>
        <v>0.25622521283970795</v>
      </c>
      <c r="AB1496">
        <f t="shared" si="518"/>
        <v>4.8487189306524327E-2</v>
      </c>
      <c r="AC1496">
        <f t="shared" si="519"/>
        <v>0.14085430247214203</v>
      </c>
      <c r="AD1496">
        <f t="shared" si="520"/>
        <v>3.9335093580099107E-3</v>
      </c>
      <c r="AE1496">
        <f t="shared" si="521"/>
        <v>2.3203196005649161E-2</v>
      </c>
      <c r="AG1496">
        <f t="shared" si="522"/>
        <v>-3.5508588641158072E-2</v>
      </c>
      <c r="AH1496">
        <f t="shared" si="523"/>
        <v>0.38570215893500215</v>
      </c>
      <c r="AI1496">
        <f t="shared" si="524"/>
        <v>0.98608510541416738</v>
      </c>
      <c r="AK1496" s="26" t="e">
        <f t="shared" si="525"/>
        <v>#DIV/0!</v>
      </c>
      <c r="AL1496" s="26" t="e">
        <f t="shared" si="526"/>
        <v>#DIV/0!</v>
      </c>
      <c r="AM1496" s="26" t="e">
        <f t="shared" si="527"/>
        <v>#DIV/0!</v>
      </c>
      <c r="AN1496" s="26" t="e">
        <f t="shared" si="528"/>
        <v>#DIV/0!</v>
      </c>
      <c r="AO1496" s="26" t="e">
        <f t="shared" si="529"/>
        <v>#DIV/0!</v>
      </c>
      <c r="AP1496" s="26" t="e">
        <f t="shared" si="530"/>
        <v>#DIV/0!</v>
      </c>
      <c r="AS1496" s="2">
        <v>43984</v>
      </c>
      <c r="AT1496">
        <v>14</v>
      </c>
      <c r="AU1496">
        <v>22.1</v>
      </c>
      <c r="AV1496">
        <v>10.3</v>
      </c>
      <c r="AW1496">
        <v>1.3</v>
      </c>
      <c r="AX1496">
        <v>286.04000000000002</v>
      </c>
      <c r="AY1496">
        <v>0.6</v>
      </c>
      <c r="AZ1496">
        <v>3.1</v>
      </c>
      <c r="BA1496">
        <v>145.96969999999999</v>
      </c>
      <c r="BB1496">
        <v>41.099299999999999</v>
      </c>
      <c r="BC1496">
        <v>119.85939999999999</v>
      </c>
      <c r="BD1496">
        <v>4.3186</v>
      </c>
      <c r="BE1496">
        <v>38.836199999999998</v>
      </c>
      <c r="BH1496">
        <v>73.510000000000005</v>
      </c>
    </row>
    <row r="1497" spans="1:60" x14ac:dyDescent="0.25">
      <c r="A1497" s="2">
        <v>44004</v>
      </c>
      <c r="B1497">
        <v>22.6</v>
      </c>
      <c r="C1497">
        <v>220.7</v>
      </c>
      <c r="D1497">
        <v>7.4</v>
      </c>
      <c r="E1497">
        <v>2.1</v>
      </c>
      <c r="F1497">
        <v>233.87</v>
      </c>
      <c r="G1497">
        <v>0.7</v>
      </c>
      <c r="H1497">
        <v>4.2</v>
      </c>
      <c r="I1497">
        <v>222.3897</v>
      </c>
      <c r="J1497">
        <v>49.4876</v>
      </c>
      <c r="K1497">
        <v>135.9562</v>
      </c>
      <c r="L1497">
        <v>4.1795999999999998</v>
      </c>
      <c r="M1497">
        <v>28.436</v>
      </c>
      <c r="N1497">
        <v>9.2251999999999992</v>
      </c>
      <c r="O1497">
        <v>-8.4062000000000001</v>
      </c>
      <c r="P1497">
        <v>78.58</v>
      </c>
      <c r="S1497">
        <f t="shared" si="509"/>
        <v>932.01909999999998</v>
      </c>
      <c r="T1497">
        <f t="shared" si="510"/>
        <v>2.1186708808842915E-2</v>
      </c>
      <c r="U1497">
        <f t="shared" si="511"/>
        <v>0.206898523633258</v>
      </c>
      <c r="V1497">
        <f t="shared" si="512"/>
        <v>6.9372409374087425E-3</v>
      </c>
      <c r="W1497">
        <f t="shared" si="513"/>
        <v>1.9686764822376161E-3</v>
      </c>
      <c r="X1497">
        <f t="shared" si="514"/>
        <v>0.2192449375718625</v>
      </c>
      <c r="Y1497">
        <f t="shared" si="515"/>
        <v>6.5622549407920526E-4</v>
      </c>
      <c r="Z1497">
        <f t="shared" si="516"/>
        <v>3.9373529644752322E-3</v>
      </c>
      <c r="AA1497">
        <f t="shared" si="517"/>
        <v>0.20848255822946607</v>
      </c>
      <c r="AB1497">
        <f t="shared" si="518"/>
        <v>4.6392892515420114E-2</v>
      </c>
      <c r="AC1497">
        <f t="shared" si="519"/>
        <v>0.12745417788304464</v>
      </c>
      <c r="AD1497">
        <f t="shared" si="520"/>
        <v>3.9182286786477805E-3</v>
      </c>
      <c r="AE1497">
        <f t="shared" si="521"/>
        <v>2.6657754499480404E-2</v>
      </c>
      <c r="AG1497">
        <f t="shared" si="522"/>
        <v>-5.1576820555141428E-2</v>
      </c>
      <c r="AH1497">
        <f t="shared" si="523"/>
        <v>0.48748742039164461</v>
      </c>
      <c r="AI1497">
        <f t="shared" si="524"/>
        <v>1.7317004980667827</v>
      </c>
      <c r="AK1497" s="26" t="e">
        <f t="shared" si="525"/>
        <v>#DIV/0!</v>
      </c>
      <c r="AL1497" s="26" t="e">
        <f t="shared" si="526"/>
        <v>#DIV/0!</v>
      </c>
      <c r="AM1497" s="26" t="e">
        <f t="shared" si="527"/>
        <v>#DIV/0!</v>
      </c>
      <c r="AN1497" s="26" t="e">
        <f t="shared" si="528"/>
        <v>#DIV/0!</v>
      </c>
      <c r="AO1497" s="26" t="e">
        <f t="shared" si="529"/>
        <v>#DIV/0!</v>
      </c>
      <c r="AP1497" s="26" t="e">
        <f t="shared" si="530"/>
        <v>#DIV/0!</v>
      </c>
      <c r="AS1497" s="2">
        <v>43983</v>
      </c>
      <c r="AT1497">
        <v>13.6</v>
      </c>
      <c r="AU1497">
        <v>4.7</v>
      </c>
      <c r="AV1497">
        <v>33.5</v>
      </c>
      <c r="AW1497">
        <v>3.1</v>
      </c>
      <c r="AX1497">
        <v>298.42</v>
      </c>
      <c r="AY1497">
        <v>0.9</v>
      </c>
      <c r="AZ1497">
        <v>2.8</v>
      </c>
      <c r="BA1497">
        <v>85.900499999999994</v>
      </c>
      <c r="BB1497">
        <v>32.280299999999997</v>
      </c>
      <c r="BC1497">
        <v>26.274000000000001</v>
      </c>
      <c r="BD1497">
        <v>4.2930000000000001</v>
      </c>
      <c r="BE1497">
        <v>18.435400000000001</v>
      </c>
      <c r="BH1497">
        <v>73.260000000000005</v>
      </c>
    </row>
    <row r="1498" spans="1:60" x14ac:dyDescent="0.25">
      <c r="A1498" s="2">
        <v>44003</v>
      </c>
      <c r="B1498">
        <v>23.2</v>
      </c>
      <c r="C1498">
        <v>283.3</v>
      </c>
      <c r="D1498">
        <v>17.100000000000001</v>
      </c>
      <c r="E1498">
        <v>1.1000000000000001</v>
      </c>
      <c r="F1498">
        <v>228.98</v>
      </c>
      <c r="G1498">
        <v>0.7</v>
      </c>
      <c r="H1498">
        <v>4.2</v>
      </c>
      <c r="I1498">
        <v>127.4696</v>
      </c>
      <c r="J1498">
        <v>26.703299999999999</v>
      </c>
      <c r="K1498">
        <v>51.726999999999997</v>
      </c>
      <c r="L1498">
        <v>4.1566000000000001</v>
      </c>
      <c r="M1498">
        <v>11.4344</v>
      </c>
      <c r="P1498">
        <v>78.319999999999993</v>
      </c>
      <c r="S1498">
        <f t="shared" si="509"/>
        <v>780.07090000000017</v>
      </c>
      <c r="T1498">
        <f t="shared" si="510"/>
        <v>2.1749187803767948E-2</v>
      </c>
      <c r="U1498">
        <f t="shared" si="511"/>
        <v>0.26558383210376985</v>
      </c>
      <c r="V1498">
        <f t="shared" si="512"/>
        <v>1.6030651355363447E-2</v>
      </c>
      <c r="W1498">
        <f t="shared" si="513"/>
        <v>1.0312114906958943E-3</v>
      </c>
      <c r="X1498">
        <f t="shared" si="514"/>
        <v>0.21466073376322348</v>
      </c>
      <c r="Y1498">
        <f t="shared" si="515"/>
        <v>6.5622549407920526E-4</v>
      </c>
      <c r="Z1498">
        <f t="shared" si="516"/>
        <v>3.9373529644752322E-3</v>
      </c>
      <c r="AA1498">
        <f t="shared" si="517"/>
        <v>0.11949828748582668</v>
      </c>
      <c r="AB1498">
        <f t="shared" si="518"/>
        <v>2.5033408908636062E-2</v>
      </c>
      <c r="AC1498">
        <f t="shared" si="519"/>
        <v>4.8492251617478645E-2</v>
      </c>
      <c r="AD1498">
        <f t="shared" si="520"/>
        <v>3.8966669838423214E-3</v>
      </c>
      <c r="AE1498">
        <f t="shared" si="521"/>
        <v>1.0719349699284664E-2</v>
      </c>
      <c r="AG1498">
        <f t="shared" si="522"/>
        <v>-6.9731786359571155E-2</v>
      </c>
      <c r="AH1498">
        <f t="shared" si="523"/>
        <v>0.53436854467465977</v>
      </c>
      <c r="AI1498">
        <f t="shared" si="524"/>
        <v>2.0852641075351617</v>
      </c>
      <c r="AK1498" s="26" t="e">
        <f t="shared" si="525"/>
        <v>#DIV/0!</v>
      </c>
      <c r="AL1498" s="26" t="e">
        <f t="shared" si="526"/>
        <v>#DIV/0!</v>
      </c>
      <c r="AM1498" s="26" t="e">
        <f t="shared" si="527"/>
        <v>#DIV/0!</v>
      </c>
      <c r="AN1498" s="26" t="e">
        <f t="shared" si="528"/>
        <v>#DIV/0!</v>
      </c>
      <c r="AO1498" s="26" t="e">
        <f t="shared" si="529"/>
        <v>#DIV/0!</v>
      </c>
      <c r="AP1498" s="26" t="e">
        <f t="shared" si="530"/>
        <v>#DIV/0!</v>
      </c>
      <c r="AS1498" s="2">
        <v>43982</v>
      </c>
      <c r="AT1498">
        <v>14.1</v>
      </c>
      <c r="AU1498">
        <v>0</v>
      </c>
      <c r="AV1498">
        <v>33.700000000000003</v>
      </c>
      <c r="AW1498">
        <v>3.6</v>
      </c>
      <c r="AX1498">
        <v>240.73</v>
      </c>
      <c r="AY1498">
        <v>0.9</v>
      </c>
      <c r="AZ1498">
        <v>2.8</v>
      </c>
      <c r="BA1498">
        <v>79.341700000000003</v>
      </c>
      <c r="BB1498">
        <v>40.774099999999997</v>
      </c>
      <c r="BC1498">
        <v>26.3247</v>
      </c>
      <c r="BD1498">
        <v>4.2763999999999998</v>
      </c>
      <c r="BE1498">
        <v>16.192399999999999</v>
      </c>
      <c r="BH1498">
        <v>73.06</v>
      </c>
    </row>
    <row r="1499" spans="1:60" x14ac:dyDescent="0.25">
      <c r="A1499" s="2">
        <v>44002</v>
      </c>
      <c r="B1499">
        <v>23.7</v>
      </c>
      <c r="C1499">
        <v>294.2</v>
      </c>
      <c r="D1499">
        <v>11.7</v>
      </c>
      <c r="E1499">
        <v>3.7</v>
      </c>
      <c r="F1499">
        <v>177.09</v>
      </c>
      <c r="G1499">
        <v>0.8</v>
      </c>
      <c r="H1499">
        <v>4.3</v>
      </c>
      <c r="I1499">
        <v>142.04230000000001</v>
      </c>
      <c r="J1499">
        <v>33.588999999999999</v>
      </c>
      <c r="K1499">
        <v>85.244399999999999</v>
      </c>
      <c r="L1499">
        <v>4.1843000000000004</v>
      </c>
      <c r="M1499">
        <v>15.16</v>
      </c>
      <c r="P1499">
        <v>77.959999999999994</v>
      </c>
      <c r="S1499">
        <f t="shared" si="509"/>
        <v>795.71</v>
      </c>
      <c r="T1499">
        <f t="shared" si="510"/>
        <v>2.2217920299538809E-2</v>
      </c>
      <c r="U1499">
        <f t="shared" si="511"/>
        <v>0.27580220051157456</v>
      </c>
      <c r="V1499">
        <f t="shared" si="512"/>
        <v>1.0968340401038145E-2</v>
      </c>
      <c r="W1499">
        <f t="shared" si="513"/>
        <v>3.4686204687043713E-3</v>
      </c>
      <c r="X1499">
        <f t="shared" si="514"/>
        <v>0.16601567535212353</v>
      </c>
      <c r="Y1499">
        <f t="shared" si="515"/>
        <v>7.4997199323337759E-4</v>
      </c>
      <c r="Z1499">
        <f t="shared" si="516"/>
        <v>4.0310994636294038E-3</v>
      </c>
      <c r="AA1499">
        <f t="shared" si="517"/>
        <v>0.13315968356806673</v>
      </c>
      <c r="AB1499">
        <f t="shared" si="518"/>
        <v>3.1488511600894893E-2</v>
      </c>
      <c r="AC1499">
        <f t="shared" si="519"/>
        <v>7.9913640724979154E-2</v>
      </c>
      <c r="AD1499">
        <f t="shared" si="520"/>
        <v>3.9226347641080272E-3</v>
      </c>
      <c r="AE1499">
        <f t="shared" si="521"/>
        <v>1.4211969271772503E-2</v>
      </c>
      <c r="AG1499">
        <f t="shared" si="522"/>
        <v>-9.4832341987735103E-2</v>
      </c>
      <c r="AH1499">
        <f t="shared" si="523"/>
        <v>0.4974657977616147</v>
      </c>
      <c r="AI1499">
        <f t="shared" si="524"/>
        <v>1.8307294253627646</v>
      </c>
      <c r="AK1499" s="26" t="e">
        <f t="shared" si="525"/>
        <v>#DIV/0!</v>
      </c>
      <c r="AL1499" s="26" t="e">
        <f t="shared" si="526"/>
        <v>#DIV/0!</v>
      </c>
      <c r="AM1499" s="26" t="e">
        <f t="shared" si="527"/>
        <v>#DIV/0!</v>
      </c>
      <c r="AN1499" s="26" t="e">
        <f t="shared" si="528"/>
        <v>#DIV/0!</v>
      </c>
      <c r="AO1499" s="26" t="e">
        <f t="shared" si="529"/>
        <v>#DIV/0!</v>
      </c>
      <c r="AP1499" s="26" t="e">
        <f t="shared" si="530"/>
        <v>#DIV/0!</v>
      </c>
      <c r="AS1499" s="2">
        <v>43981</v>
      </c>
      <c r="AT1499">
        <v>16.7</v>
      </c>
      <c r="AU1499">
        <v>4.3</v>
      </c>
      <c r="AV1499">
        <v>12.4</v>
      </c>
      <c r="AW1499">
        <v>3.3</v>
      </c>
      <c r="AX1499">
        <v>228.19</v>
      </c>
      <c r="AY1499">
        <v>0.9</v>
      </c>
      <c r="AZ1499">
        <v>3.4</v>
      </c>
      <c r="BA1499">
        <v>83.586500000000001</v>
      </c>
      <c r="BB1499">
        <v>33.1417</v>
      </c>
      <c r="BC1499">
        <v>39.504100000000001</v>
      </c>
      <c r="BD1499">
        <v>4.2777000000000003</v>
      </c>
      <c r="BE1499">
        <v>20.437100000000001</v>
      </c>
      <c r="BH1499">
        <v>71.98</v>
      </c>
    </row>
    <row r="1500" spans="1:60" x14ac:dyDescent="0.25">
      <c r="A1500" s="2">
        <v>44001</v>
      </c>
      <c r="B1500">
        <v>23.8</v>
      </c>
      <c r="C1500">
        <v>463.1</v>
      </c>
      <c r="D1500">
        <v>4.7</v>
      </c>
      <c r="E1500">
        <v>1.8</v>
      </c>
      <c r="F1500">
        <v>159.32</v>
      </c>
      <c r="G1500">
        <v>0.7</v>
      </c>
      <c r="H1500">
        <v>4.3</v>
      </c>
      <c r="I1500">
        <v>268.89870000000002</v>
      </c>
      <c r="J1500">
        <v>52.823300000000003</v>
      </c>
      <c r="K1500">
        <v>162.1343</v>
      </c>
      <c r="L1500">
        <v>4.2043999999999997</v>
      </c>
      <c r="M1500">
        <v>21.818899999999999</v>
      </c>
      <c r="N1500">
        <v>9.6661000000000001</v>
      </c>
      <c r="O1500">
        <v>-7.4355000000000002</v>
      </c>
      <c r="P1500">
        <v>77.62</v>
      </c>
      <c r="S1500">
        <f t="shared" si="509"/>
        <v>1167.5996</v>
      </c>
      <c r="T1500">
        <f t="shared" si="510"/>
        <v>2.2311666798692981E-2</v>
      </c>
      <c r="U1500">
        <f t="shared" si="511"/>
        <v>0.43414003758297143</v>
      </c>
      <c r="V1500">
        <f t="shared" si="512"/>
        <v>4.4060854602460935E-3</v>
      </c>
      <c r="W1500">
        <f t="shared" si="513"/>
        <v>1.6874369847750994E-3</v>
      </c>
      <c r="X1500">
        <f t="shared" si="514"/>
        <v>0.14935692245242713</v>
      </c>
      <c r="Y1500">
        <f t="shared" si="515"/>
        <v>6.5622549407920526E-4</v>
      </c>
      <c r="Z1500">
        <f t="shared" si="516"/>
        <v>4.0310994636294038E-3</v>
      </c>
      <c r="AA1500">
        <f t="shared" si="517"/>
        <v>0.25208311752108004</v>
      </c>
      <c r="AB1500">
        <f t="shared" si="518"/>
        <v>4.9519994487705839E-2</v>
      </c>
      <c r="AC1500">
        <f t="shared" si="519"/>
        <v>0.151995230178123</v>
      </c>
      <c r="AD1500">
        <f t="shared" si="520"/>
        <v>3.941477810438015E-3</v>
      </c>
      <c r="AE1500">
        <f t="shared" si="521"/>
        <v>2.0454454903949676E-2</v>
      </c>
      <c r="AG1500">
        <f t="shared" si="522"/>
        <v>-0.11854716925873257</v>
      </c>
      <c r="AH1500">
        <f t="shared" si="523"/>
        <v>0.63704392914077101</v>
      </c>
      <c r="AI1500">
        <f t="shared" si="524"/>
        <v>2.8732839129069423</v>
      </c>
      <c r="AK1500" s="26" t="e">
        <f t="shared" si="525"/>
        <v>#DIV/0!</v>
      </c>
      <c r="AL1500" s="26" t="e">
        <f t="shared" si="526"/>
        <v>#DIV/0!</v>
      </c>
      <c r="AM1500" s="26" t="e">
        <f t="shared" si="527"/>
        <v>#DIV/0!</v>
      </c>
      <c r="AN1500" s="26" t="e">
        <f t="shared" si="528"/>
        <v>#DIV/0!</v>
      </c>
      <c r="AO1500" s="26" t="e">
        <f t="shared" si="529"/>
        <v>#DIV/0!</v>
      </c>
      <c r="AP1500" s="26" t="e">
        <f t="shared" si="530"/>
        <v>#DIV/0!</v>
      </c>
      <c r="AS1500" s="2">
        <v>43980</v>
      </c>
      <c r="AT1500">
        <v>18.100000000000001</v>
      </c>
      <c r="AU1500">
        <v>130.4</v>
      </c>
      <c r="AV1500">
        <v>8.1</v>
      </c>
      <c r="AW1500">
        <v>1.4</v>
      </c>
      <c r="AX1500">
        <v>252.4</v>
      </c>
      <c r="AY1500">
        <v>0.9</v>
      </c>
      <c r="AZ1500">
        <v>3.6</v>
      </c>
      <c r="BA1500">
        <v>130.50479999999999</v>
      </c>
      <c r="BB1500">
        <v>28.367899999999999</v>
      </c>
      <c r="BC1500">
        <v>114.0536</v>
      </c>
      <c r="BD1500">
        <v>4.3192000000000004</v>
      </c>
      <c r="BE1500">
        <v>28.296500000000002</v>
      </c>
      <c r="BH1500">
        <v>72.400000000000006</v>
      </c>
    </row>
    <row r="1501" spans="1:60" x14ac:dyDescent="0.25">
      <c r="A1501" s="2">
        <v>44000</v>
      </c>
      <c r="B1501">
        <v>23.4</v>
      </c>
      <c r="C1501">
        <v>553.1</v>
      </c>
      <c r="D1501">
        <v>20</v>
      </c>
      <c r="E1501">
        <v>2</v>
      </c>
      <c r="F1501">
        <v>175.91</v>
      </c>
      <c r="G1501">
        <v>0.7</v>
      </c>
      <c r="H1501">
        <v>3.8</v>
      </c>
      <c r="I1501">
        <v>288.19389999999999</v>
      </c>
      <c r="J1501">
        <v>77.950999999999993</v>
      </c>
      <c r="K1501">
        <v>164.45359999999999</v>
      </c>
      <c r="L1501">
        <v>4.2750000000000004</v>
      </c>
      <c r="M1501">
        <v>22.091999999999999</v>
      </c>
      <c r="N1501">
        <v>9.4603000000000002</v>
      </c>
      <c r="O1501">
        <v>-7.7702</v>
      </c>
      <c r="P1501">
        <v>77.39</v>
      </c>
      <c r="S1501">
        <f t="shared" si="509"/>
        <v>1335.8755000000003</v>
      </c>
      <c r="T1501">
        <f t="shared" si="510"/>
        <v>2.1936680802076291E-2</v>
      </c>
      <c r="U1501">
        <f t="shared" si="511"/>
        <v>0.51851188682172644</v>
      </c>
      <c r="V1501">
        <f t="shared" si="512"/>
        <v>1.8749299830834436E-2</v>
      </c>
      <c r="W1501">
        <f t="shared" si="513"/>
        <v>1.8749299830834439E-3</v>
      </c>
      <c r="X1501">
        <f t="shared" si="514"/>
        <v>0.16490946666210429</v>
      </c>
      <c r="Y1501">
        <f t="shared" si="515"/>
        <v>6.5622549407920526E-4</v>
      </c>
      <c r="Z1501">
        <f t="shared" si="516"/>
        <v>3.5623669678585433E-3</v>
      </c>
      <c r="AA1501">
        <f t="shared" si="517"/>
        <v>0.27017169202587582</v>
      </c>
      <c r="AB1501">
        <f t="shared" si="518"/>
        <v>7.3076333555668754E-2</v>
      </c>
      <c r="AC1501">
        <f t="shared" si="519"/>
        <v>0.1541694927330057</v>
      </c>
      <c r="AD1501">
        <f t="shared" si="520"/>
        <v>4.0076628388408617E-3</v>
      </c>
      <c r="AE1501">
        <f t="shared" si="521"/>
        <v>2.071047659313972E-2</v>
      </c>
      <c r="AG1501">
        <f t="shared" si="522"/>
        <v>-0.13464600200524543</v>
      </c>
      <c r="AH1501">
        <f t="shared" si="523"/>
        <v>0.75091133315490233</v>
      </c>
      <c r="AI1501">
        <f t="shared" si="524"/>
        <v>3.7643635602812435</v>
      </c>
      <c r="AK1501" s="26" t="e">
        <f t="shared" si="525"/>
        <v>#DIV/0!</v>
      </c>
      <c r="AL1501" s="26" t="e">
        <f t="shared" si="526"/>
        <v>#DIV/0!</v>
      </c>
      <c r="AM1501" s="26" t="e">
        <f t="shared" si="527"/>
        <v>#DIV/0!</v>
      </c>
      <c r="AN1501" s="26" t="e">
        <f t="shared" si="528"/>
        <v>#DIV/0!</v>
      </c>
      <c r="AO1501" s="26" t="e">
        <f t="shared" si="529"/>
        <v>#DIV/0!</v>
      </c>
      <c r="AP1501" s="26" t="e">
        <f t="shared" si="530"/>
        <v>#DIV/0!</v>
      </c>
      <c r="AS1501" s="2">
        <v>43979</v>
      </c>
      <c r="AT1501">
        <v>18.100000000000001</v>
      </c>
      <c r="AU1501">
        <v>36.4</v>
      </c>
      <c r="AV1501">
        <v>19.2</v>
      </c>
      <c r="AW1501">
        <v>3.3</v>
      </c>
      <c r="AX1501">
        <v>247.05</v>
      </c>
      <c r="AY1501">
        <v>0.6</v>
      </c>
      <c r="AZ1501">
        <v>3.6</v>
      </c>
      <c r="BA1501">
        <v>123.0423</v>
      </c>
      <c r="BB1501">
        <v>32.638399999999997</v>
      </c>
      <c r="BC1501">
        <v>119.89919999999999</v>
      </c>
      <c r="BD1501">
        <v>4.3173000000000004</v>
      </c>
      <c r="BE1501">
        <v>27.620899999999999</v>
      </c>
      <c r="BH1501">
        <v>72.14</v>
      </c>
    </row>
    <row r="1502" spans="1:60" x14ac:dyDescent="0.25">
      <c r="A1502" s="2">
        <v>43999</v>
      </c>
      <c r="B1502">
        <v>22.1</v>
      </c>
      <c r="C1502">
        <v>24</v>
      </c>
      <c r="D1502">
        <v>8.9</v>
      </c>
      <c r="E1502">
        <v>0.8</v>
      </c>
      <c r="F1502">
        <v>195.43</v>
      </c>
      <c r="G1502">
        <v>0.8</v>
      </c>
      <c r="H1502">
        <v>4</v>
      </c>
      <c r="I1502">
        <v>309.24040000000002</v>
      </c>
      <c r="J1502">
        <v>86.996899999999997</v>
      </c>
      <c r="K1502">
        <v>172.64429999999999</v>
      </c>
      <c r="L1502">
        <v>4.2606000000000002</v>
      </c>
      <c r="M1502">
        <v>16.863299999999999</v>
      </c>
      <c r="N1502">
        <v>10.132</v>
      </c>
      <c r="O1502">
        <v>-6.6848999999999998</v>
      </c>
      <c r="P1502">
        <v>77.19</v>
      </c>
      <c r="S1502">
        <f t="shared" si="509"/>
        <v>846.03550000000007</v>
      </c>
      <c r="T1502">
        <f t="shared" si="510"/>
        <v>2.0717976313072057E-2</v>
      </c>
      <c r="U1502">
        <f t="shared" si="511"/>
        <v>2.2499159797001327E-2</v>
      </c>
      <c r="V1502">
        <f t="shared" si="512"/>
        <v>8.3434384247213257E-3</v>
      </c>
      <c r="W1502">
        <f t="shared" si="513"/>
        <v>7.4997199323337759E-4</v>
      </c>
      <c r="X1502">
        <f t="shared" si="514"/>
        <v>0.18320878329699872</v>
      </c>
      <c r="Y1502">
        <f t="shared" si="515"/>
        <v>7.4997199323337759E-4</v>
      </c>
      <c r="Z1502">
        <f t="shared" si="516"/>
        <v>3.7498599661668877E-3</v>
      </c>
      <c r="AA1502">
        <f t="shared" si="517"/>
        <v>0.28990204897035871</v>
      </c>
      <c r="AB1502">
        <f t="shared" si="518"/>
        <v>8.1556548122656017E-2</v>
      </c>
      <c r="AC1502">
        <f t="shared" si="519"/>
        <v>0.1618479872392265</v>
      </c>
      <c r="AD1502">
        <f t="shared" si="520"/>
        <v>3.9941633429626602E-3</v>
      </c>
      <c r="AE1502">
        <f t="shared" si="521"/>
        <v>1.5808753391865518E-2</v>
      </c>
      <c r="AG1502">
        <f t="shared" si="522"/>
        <v>-0.14867223940962623</v>
      </c>
      <c r="AH1502">
        <f t="shared" si="523"/>
        <v>0.25582791517629255</v>
      </c>
      <c r="AI1502">
        <f t="shared" si="524"/>
        <v>8.1403004853652608E-2</v>
      </c>
      <c r="AK1502" s="26" t="e">
        <f t="shared" si="525"/>
        <v>#DIV/0!</v>
      </c>
      <c r="AL1502" s="26" t="e">
        <f t="shared" si="526"/>
        <v>#DIV/0!</v>
      </c>
      <c r="AM1502" s="26" t="e">
        <f t="shared" si="527"/>
        <v>#DIV/0!</v>
      </c>
      <c r="AN1502" s="26" t="e">
        <f t="shared" si="528"/>
        <v>#DIV/0!</v>
      </c>
      <c r="AO1502" s="26" t="e">
        <f t="shared" si="529"/>
        <v>#DIV/0!</v>
      </c>
      <c r="AP1502" s="26" t="e">
        <f t="shared" si="530"/>
        <v>#DIV/0!</v>
      </c>
      <c r="AS1502" s="2">
        <v>43978</v>
      </c>
      <c r="AT1502">
        <v>18.899999999999999</v>
      </c>
      <c r="AU1502">
        <v>7.6</v>
      </c>
      <c r="AV1502">
        <v>14.3</v>
      </c>
      <c r="AW1502">
        <v>1</v>
      </c>
      <c r="AX1502">
        <v>265.20999999999998</v>
      </c>
      <c r="AZ1502">
        <v>3.8</v>
      </c>
      <c r="BA1502">
        <v>146.13310000000001</v>
      </c>
      <c r="BB1502">
        <v>48.712600000000002</v>
      </c>
      <c r="BC1502">
        <v>134.39500000000001</v>
      </c>
      <c r="BD1502">
        <v>3.9216000000000002</v>
      </c>
      <c r="BE1502">
        <v>27.632300000000001</v>
      </c>
      <c r="BH1502">
        <v>71.900000000000006</v>
      </c>
    </row>
    <row r="1503" spans="1:60" x14ac:dyDescent="0.25">
      <c r="A1503" s="2">
        <v>43998</v>
      </c>
      <c r="B1503">
        <v>19.600000000000001</v>
      </c>
      <c r="C1503">
        <v>486.8</v>
      </c>
      <c r="D1503">
        <v>2.2999999999999998</v>
      </c>
      <c r="E1503">
        <v>0.4</v>
      </c>
      <c r="F1503">
        <v>165.85</v>
      </c>
      <c r="G1503">
        <v>0.6</v>
      </c>
      <c r="H1503">
        <v>4.2</v>
      </c>
      <c r="I1503">
        <v>307.28870000000001</v>
      </c>
      <c r="J1503">
        <v>77.540300000000002</v>
      </c>
      <c r="K1503">
        <v>160.26679999999999</v>
      </c>
      <c r="L1503">
        <v>4.2607999999999997</v>
      </c>
      <c r="M1503">
        <v>28.389500000000002</v>
      </c>
      <c r="N1503">
        <v>10.9796</v>
      </c>
      <c r="O1503">
        <v>-5.8925999999999998</v>
      </c>
      <c r="P1503">
        <v>77.02</v>
      </c>
      <c r="S1503">
        <f t="shared" si="509"/>
        <v>1257.4961000000001</v>
      </c>
      <c r="T1503">
        <f t="shared" si="510"/>
        <v>1.837431383421775E-2</v>
      </c>
      <c r="U1503">
        <f t="shared" si="511"/>
        <v>0.45635795788251021</v>
      </c>
      <c r="V1503">
        <f t="shared" si="512"/>
        <v>2.1561694805459601E-3</v>
      </c>
      <c r="W1503">
        <f t="shared" si="513"/>
        <v>3.7498599661668879E-4</v>
      </c>
      <c r="X1503">
        <f t="shared" si="514"/>
        <v>0.15547856884719458</v>
      </c>
      <c r="Y1503">
        <f t="shared" si="515"/>
        <v>5.6247899492503314E-4</v>
      </c>
      <c r="Z1503">
        <f t="shared" si="516"/>
        <v>3.9373529644752322E-3</v>
      </c>
      <c r="AA1503">
        <f t="shared" si="517"/>
        <v>0.28807239854636674</v>
      </c>
      <c r="AB1503">
        <f t="shared" si="518"/>
        <v>7.2691316683642579E-2</v>
      </c>
      <c r="AC1503">
        <f t="shared" si="519"/>
        <v>0.15024451430641883</v>
      </c>
      <c r="AD1503">
        <f t="shared" si="520"/>
        <v>3.9943508359609687E-3</v>
      </c>
      <c r="AE1503">
        <f t="shared" si="521"/>
        <v>2.6614162377373716E-2</v>
      </c>
      <c r="AG1503">
        <f t="shared" si="522"/>
        <v>-0.16062902975707491</v>
      </c>
      <c r="AH1503">
        <f t="shared" si="523"/>
        <v>0.66385599037785914</v>
      </c>
      <c r="AI1503">
        <f t="shared" si="524"/>
        <v>3.1860174528551082</v>
      </c>
      <c r="AK1503" s="26" t="e">
        <f t="shared" si="525"/>
        <v>#DIV/0!</v>
      </c>
      <c r="AL1503" s="26" t="e">
        <f t="shared" si="526"/>
        <v>#DIV/0!</v>
      </c>
      <c r="AM1503" s="26" t="e">
        <f t="shared" si="527"/>
        <v>#DIV/0!</v>
      </c>
      <c r="AN1503" s="26" t="e">
        <f t="shared" si="528"/>
        <v>#DIV/0!</v>
      </c>
      <c r="AO1503" s="26" t="e">
        <f t="shared" si="529"/>
        <v>#DIV/0!</v>
      </c>
      <c r="AP1503" s="26" t="e">
        <f t="shared" si="530"/>
        <v>#DIV/0!</v>
      </c>
      <c r="AS1503" s="2">
        <v>43977</v>
      </c>
      <c r="AT1503">
        <v>20.399999999999999</v>
      </c>
      <c r="AU1503">
        <v>87.5</v>
      </c>
      <c r="AV1503">
        <v>0.9</v>
      </c>
      <c r="AW1503">
        <v>0.5</v>
      </c>
      <c r="AX1503">
        <v>234.86</v>
      </c>
      <c r="AY1503">
        <v>0.3</v>
      </c>
      <c r="AZ1503">
        <v>4.2</v>
      </c>
      <c r="BA1503">
        <v>191.26929999999999</v>
      </c>
      <c r="BB1503">
        <v>65.447000000000003</v>
      </c>
      <c r="BC1503">
        <v>148.20189999999999</v>
      </c>
      <c r="BD1503">
        <v>4.5925000000000002</v>
      </c>
      <c r="BE1503">
        <v>37.863700000000001</v>
      </c>
      <c r="BH1503">
        <v>71.7</v>
      </c>
    </row>
    <row r="1504" spans="1:60" x14ac:dyDescent="0.25">
      <c r="A1504" s="2">
        <v>43997</v>
      </c>
      <c r="B1504">
        <v>22.1</v>
      </c>
      <c r="C1504">
        <v>323.89999999999998</v>
      </c>
      <c r="D1504">
        <v>23.5</v>
      </c>
      <c r="E1504">
        <v>1.3</v>
      </c>
      <c r="F1504">
        <v>141.03</v>
      </c>
      <c r="G1504">
        <v>0.8</v>
      </c>
      <c r="H1504">
        <v>3.6</v>
      </c>
      <c r="I1504">
        <v>266.58609999999999</v>
      </c>
      <c r="J1504">
        <v>50.763100000000001</v>
      </c>
      <c r="K1504">
        <v>145.89490000000001</v>
      </c>
      <c r="L1504">
        <v>4.2237999999999998</v>
      </c>
      <c r="M1504">
        <v>26.469899999999999</v>
      </c>
      <c r="N1504">
        <v>9.0023999999999997</v>
      </c>
      <c r="O1504">
        <v>-7.1725000000000003</v>
      </c>
      <c r="P1504">
        <v>76.83</v>
      </c>
      <c r="S1504">
        <f t="shared" si="509"/>
        <v>1010.1678000000001</v>
      </c>
      <c r="T1504">
        <f t="shared" si="510"/>
        <v>2.0717976313072057E-2</v>
      </c>
      <c r="U1504">
        <f t="shared" si="511"/>
        <v>0.30364491076036371</v>
      </c>
      <c r="V1504">
        <f t="shared" si="512"/>
        <v>2.2030427301230466E-2</v>
      </c>
      <c r="W1504">
        <f t="shared" si="513"/>
        <v>1.2187044890042385E-3</v>
      </c>
      <c r="X1504">
        <f t="shared" si="514"/>
        <v>0.13221068775712905</v>
      </c>
      <c r="Y1504">
        <f t="shared" si="515"/>
        <v>7.4997199323337759E-4</v>
      </c>
      <c r="Z1504">
        <f t="shared" si="516"/>
        <v>3.3748739695501988E-3</v>
      </c>
      <c r="AA1504">
        <f t="shared" si="517"/>
        <v>0.24991513598164061</v>
      </c>
      <c r="AB1504">
        <f t="shared" si="518"/>
        <v>4.7588629112131582E-2</v>
      </c>
      <c r="AC1504">
        <f t="shared" si="519"/>
        <v>0.13677136119448036</v>
      </c>
      <c r="AD1504">
        <f t="shared" si="520"/>
        <v>3.9596646312739245E-3</v>
      </c>
      <c r="AE1504">
        <f t="shared" si="521"/>
        <v>2.4814604579610225E-2</v>
      </c>
      <c r="AG1504">
        <f t="shared" si="522"/>
        <v>-0.17396764386640948</v>
      </c>
      <c r="AH1504">
        <f t="shared" si="523"/>
        <v>0.5087621571631934</v>
      </c>
      <c r="AI1504">
        <f t="shared" si="524"/>
        <v>2.0446052083605646</v>
      </c>
      <c r="AK1504" s="26" t="e">
        <f t="shared" si="525"/>
        <v>#DIV/0!</v>
      </c>
      <c r="AL1504" s="26" t="e">
        <f t="shared" si="526"/>
        <v>#DIV/0!</v>
      </c>
      <c r="AM1504" s="26" t="e">
        <f t="shared" si="527"/>
        <v>#DIV/0!</v>
      </c>
      <c r="AN1504" s="26" t="e">
        <f t="shared" si="528"/>
        <v>#DIV/0!</v>
      </c>
      <c r="AO1504" s="26" t="e">
        <f t="shared" si="529"/>
        <v>#DIV/0!</v>
      </c>
      <c r="AP1504" s="26" t="e">
        <f t="shared" si="530"/>
        <v>#DIV/0!</v>
      </c>
      <c r="AS1504" s="2">
        <v>43976</v>
      </c>
      <c r="AT1504">
        <v>20.100000000000001</v>
      </c>
      <c r="AU1504">
        <v>101.6</v>
      </c>
      <c r="AV1504">
        <v>45</v>
      </c>
      <c r="AW1504">
        <v>5.2</v>
      </c>
      <c r="AX1504">
        <v>161.13999999999999</v>
      </c>
      <c r="AY1504">
        <v>0.9</v>
      </c>
      <c r="AZ1504">
        <v>3.7</v>
      </c>
      <c r="BA1504">
        <v>117.3402</v>
      </c>
      <c r="BB1504">
        <v>50.825000000000003</v>
      </c>
      <c r="BC1504">
        <v>79.074799999999996</v>
      </c>
      <c r="BD1504">
        <v>4.2812999999999999</v>
      </c>
      <c r="BE1504">
        <v>31.504100000000001</v>
      </c>
      <c r="BH1504">
        <v>71.39</v>
      </c>
    </row>
    <row r="1505" spans="1:60" x14ac:dyDescent="0.25">
      <c r="A1505" s="2">
        <v>43996</v>
      </c>
      <c r="B1505">
        <v>21.8</v>
      </c>
      <c r="C1505">
        <v>271.8</v>
      </c>
      <c r="D1505">
        <v>49.2</v>
      </c>
      <c r="E1505">
        <v>2.8</v>
      </c>
      <c r="F1505">
        <v>93.83</v>
      </c>
      <c r="G1505">
        <v>0.8</v>
      </c>
      <c r="H1505">
        <v>3.4</v>
      </c>
      <c r="I1505">
        <v>101.372</v>
      </c>
      <c r="J1505">
        <v>20.1252</v>
      </c>
      <c r="K1505">
        <v>61.542999999999999</v>
      </c>
      <c r="L1505">
        <v>4.2172000000000001</v>
      </c>
      <c r="M1505">
        <v>18.273800000000001</v>
      </c>
      <c r="P1505">
        <v>76.63</v>
      </c>
      <c r="S1505">
        <f t="shared" si="509"/>
        <v>649.16120000000001</v>
      </c>
      <c r="T1505">
        <f t="shared" si="510"/>
        <v>2.0436736815609539E-2</v>
      </c>
      <c r="U1505">
        <f t="shared" si="511"/>
        <v>0.25480298470104001</v>
      </c>
      <c r="V1505">
        <f t="shared" si="512"/>
        <v>4.612327758385272E-2</v>
      </c>
      <c r="W1505">
        <f t="shared" si="513"/>
        <v>2.624901976316821E-3</v>
      </c>
      <c r="X1505">
        <f t="shared" si="514"/>
        <v>8.7962340156359758E-2</v>
      </c>
      <c r="Y1505">
        <f t="shared" si="515"/>
        <v>7.4997199323337759E-4</v>
      </c>
      <c r="Z1505">
        <f t="shared" si="516"/>
        <v>3.1873809712418544E-3</v>
      </c>
      <c r="AA1505">
        <f t="shared" si="517"/>
        <v>9.503270112256744E-2</v>
      </c>
      <c r="AB1505">
        <f t="shared" si="518"/>
        <v>1.8866670447775461E-2</v>
      </c>
      <c r="AC1505">
        <f t="shared" si="519"/>
        <v>5.7694407974452189E-2</v>
      </c>
      <c r="AD1505">
        <f t="shared" si="520"/>
        <v>3.9534773623297499E-3</v>
      </c>
      <c r="AE1505">
        <f t="shared" si="521"/>
        <v>1.7131047762435118E-2</v>
      </c>
      <c r="AG1505">
        <f t="shared" si="522"/>
        <v>-0.18799806342050057</v>
      </c>
      <c r="AH1505">
        <f t="shared" si="523"/>
        <v>0.43301864196008921</v>
      </c>
      <c r="AI1505">
        <f t="shared" si="524"/>
        <v>1.4735308701685512</v>
      </c>
      <c r="AK1505" s="26" t="e">
        <f t="shared" si="525"/>
        <v>#DIV/0!</v>
      </c>
      <c r="AL1505" s="26" t="e">
        <f t="shared" si="526"/>
        <v>#DIV/0!</v>
      </c>
      <c r="AM1505" s="26" t="e">
        <f t="shared" si="527"/>
        <v>#DIV/0!</v>
      </c>
      <c r="AN1505" s="26" t="e">
        <f t="shared" si="528"/>
        <v>#DIV/0!</v>
      </c>
      <c r="AO1505" s="26" t="e">
        <f t="shared" si="529"/>
        <v>#DIV/0!</v>
      </c>
      <c r="AP1505" s="26" t="e">
        <f t="shared" si="530"/>
        <v>#DIV/0!</v>
      </c>
      <c r="AS1505" s="2">
        <v>43975</v>
      </c>
      <c r="AT1505">
        <v>16.600000000000001</v>
      </c>
      <c r="AU1505">
        <v>0</v>
      </c>
      <c r="AV1505">
        <v>41.1</v>
      </c>
      <c r="AW1505">
        <v>4.9000000000000004</v>
      </c>
      <c r="AX1505">
        <v>187.98</v>
      </c>
      <c r="AY1505">
        <v>0.8</v>
      </c>
      <c r="AZ1505">
        <v>2.2999999999999998</v>
      </c>
      <c r="BA1505">
        <v>86.03</v>
      </c>
      <c r="BB1505">
        <v>46.786200000000001</v>
      </c>
      <c r="BC1505">
        <v>21.1831</v>
      </c>
      <c r="BD1505">
        <v>4.2915999999999999</v>
      </c>
      <c r="BE1505">
        <v>13.960599999999999</v>
      </c>
      <c r="BH1505">
        <v>71.08</v>
      </c>
    </row>
    <row r="1506" spans="1:60" x14ac:dyDescent="0.25">
      <c r="A1506" s="2">
        <v>43995</v>
      </c>
      <c r="B1506">
        <v>22.1</v>
      </c>
      <c r="C1506">
        <v>429.8</v>
      </c>
      <c r="D1506">
        <v>62.8</v>
      </c>
      <c r="E1506">
        <v>4.0999999999999996</v>
      </c>
      <c r="F1506">
        <v>231.94</v>
      </c>
      <c r="G1506">
        <v>0.7</v>
      </c>
      <c r="H1506">
        <v>3.5</v>
      </c>
      <c r="I1506">
        <v>94.592200000000005</v>
      </c>
      <c r="J1506">
        <v>22.179200000000002</v>
      </c>
      <c r="K1506">
        <v>60.186900000000001</v>
      </c>
      <c r="L1506">
        <v>4.2453000000000003</v>
      </c>
      <c r="M1506">
        <v>16.308700000000002</v>
      </c>
      <c r="P1506">
        <v>76.27</v>
      </c>
      <c r="S1506">
        <f t="shared" si="509"/>
        <v>952.45230000000026</v>
      </c>
      <c r="T1506">
        <f t="shared" si="510"/>
        <v>2.0717976313072057E-2</v>
      </c>
      <c r="U1506">
        <f t="shared" si="511"/>
        <v>0.40292245336463206</v>
      </c>
      <c r="V1506">
        <f t="shared" si="512"/>
        <v>5.8872801468820131E-2</v>
      </c>
      <c r="W1506">
        <f t="shared" si="513"/>
        <v>3.8436064653210593E-3</v>
      </c>
      <c r="X1506">
        <f t="shared" si="514"/>
        <v>0.21743563013818698</v>
      </c>
      <c r="Y1506">
        <f t="shared" si="515"/>
        <v>6.5622549407920526E-4</v>
      </c>
      <c r="Z1506">
        <f t="shared" si="516"/>
        <v>3.2811274703960268E-3</v>
      </c>
      <c r="AA1506">
        <f t="shared" si="517"/>
        <v>8.8676875972912877E-2</v>
      </c>
      <c r="AB1506">
        <f t="shared" si="518"/>
        <v>2.0792223540402159E-2</v>
      </c>
      <c r="AC1506">
        <f t="shared" si="519"/>
        <v>5.6423111699422462E-2</v>
      </c>
      <c r="AD1506">
        <f t="shared" si="520"/>
        <v>3.9798201285920721E-3</v>
      </c>
      <c r="AE1506">
        <f t="shared" si="521"/>
        <v>1.5288835307556481E-2</v>
      </c>
      <c r="AG1506">
        <f t="shared" si="522"/>
        <v>-0.21303588806355311</v>
      </c>
      <c r="AH1506">
        <f t="shared" si="523"/>
        <v>0.72301865602206394</v>
      </c>
      <c r="AI1506">
        <f t="shared" si="524"/>
        <v>3.7339828386555705</v>
      </c>
      <c r="AK1506" s="26" t="e">
        <f t="shared" si="525"/>
        <v>#DIV/0!</v>
      </c>
      <c r="AL1506" s="26" t="e">
        <f t="shared" si="526"/>
        <v>#DIV/0!</v>
      </c>
      <c r="AM1506" s="26" t="e">
        <f t="shared" si="527"/>
        <v>#DIV/0!</v>
      </c>
      <c r="AN1506" s="26" t="e">
        <f t="shared" si="528"/>
        <v>#DIV/0!</v>
      </c>
      <c r="AO1506" s="26" t="e">
        <f t="shared" si="529"/>
        <v>#DIV/0!</v>
      </c>
      <c r="AP1506" s="26" t="e">
        <f t="shared" si="530"/>
        <v>#DIV/0!</v>
      </c>
      <c r="AS1506" s="2">
        <v>43974</v>
      </c>
      <c r="AT1506">
        <v>19</v>
      </c>
      <c r="AU1506">
        <v>1.2</v>
      </c>
      <c r="AV1506">
        <v>64.2</v>
      </c>
      <c r="AW1506">
        <v>3.7</v>
      </c>
      <c r="AX1506">
        <v>116.47</v>
      </c>
      <c r="AY1506">
        <v>0.9</v>
      </c>
      <c r="AZ1506">
        <v>3.4</v>
      </c>
      <c r="BA1506">
        <v>86.713200000000001</v>
      </c>
      <c r="BB1506">
        <v>43.313800000000001</v>
      </c>
      <c r="BC1506">
        <v>39.247799999999998</v>
      </c>
      <c r="BD1506">
        <v>4.3179999999999996</v>
      </c>
      <c r="BE1506">
        <v>17.535599999999999</v>
      </c>
      <c r="BH1506">
        <v>70.680000000000007</v>
      </c>
    </row>
    <row r="1507" spans="1:60" x14ac:dyDescent="0.25">
      <c r="A1507" s="2">
        <v>43994</v>
      </c>
      <c r="B1507">
        <v>23.2</v>
      </c>
      <c r="C1507">
        <v>70.7</v>
      </c>
      <c r="D1507">
        <v>57.3</v>
      </c>
      <c r="E1507">
        <v>2.7</v>
      </c>
      <c r="F1507">
        <v>259.73</v>
      </c>
      <c r="G1507">
        <v>0.8</v>
      </c>
      <c r="H1507">
        <v>3.7</v>
      </c>
      <c r="I1507">
        <v>132.5752</v>
      </c>
      <c r="J1507">
        <v>20.4758</v>
      </c>
      <c r="K1507">
        <v>87.510199999999998</v>
      </c>
      <c r="L1507">
        <v>4.2135999999999996</v>
      </c>
      <c r="M1507">
        <v>18.522300000000001</v>
      </c>
      <c r="N1507">
        <v>9.6620000000000008</v>
      </c>
      <c r="O1507">
        <v>-6.8391000000000002</v>
      </c>
      <c r="P1507">
        <v>75.91</v>
      </c>
      <c r="S1507">
        <f t="shared" si="509"/>
        <v>681.4271</v>
      </c>
      <c r="T1507">
        <f t="shared" si="510"/>
        <v>2.1749187803767948E-2</v>
      </c>
      <c r="U1507">
        <f t="shared" si="511"/>
        <v>6.6278774901999737E-2</v>
      </c>
      <c r="V1507">
        <f t="shared" si="512"/>
        <v>5.3716744015340663E-2</v>
      </c>
      <c r="W1507">
        <f t="shared" si="513"/>
        <v>2.5311554771626494E-3</v>
      </c>
      <c r="X1507">
        <f t="shared" si="514"/>
        <v>0.24348778225313145</v>
      </c>
      <c r="Y1507">
        <f t="shared" si="515"/>
        <v>7.4997199323337759E-4</v>
      </c>
      <c r="Z1507">
        <f t="shared" si="516"/>
        <v>3.4686204687043713E-3</v>
      </c>
      <c r="AA1507">
        <f t="shared" si="517"/>
        <v>0.12428460874664209</v>
      </c>
      <c r="AB1507">
        <f t="shared" si="518"/>
        <v>1.919534567380999E-2</v>
      </c>
      <c r="AC1507">
        <f t="shared" si="519"/>
        <v>8.2037748902814386E-2</v>
      </c>
      <c r="AD1507">
        <f t="shared" si="520"/>
        <v>3.9501024883601991E-3</v>
      </c>
      <c r="AE1507">
        <f t="shared" si="521"/>
        <v>1.7364007812833235E-2</v>
      </c>
      <c r="AG1507">
        <f t="shared" si="522"/>
        <v>-0.23808078091568402</v>
      </c>
      <c r="AH1507">
        <f t="shared" si="523"/>
        <v>0.40934624472617348</v>
      </c>
      <c r="AI1507">
        <f t="shared" si="524"/>
        <v>1.3353286577005978</v>
      </c>
      <c r="AK1507" s="26" t="e">
        <f t="shared" si="525"/>
        <v>#DIV/0!</v>
      </c>
      <c r="AL1507" s="26" t="e">
        <f t="shared" si="526"/>
        <v>#DIV/0!</v>
      </c>
      <c r="AM1507" s="26" t="e">
        <f t="shared" si="527"/>
        <v>#DIV/0!</v>
      </c>
      <c r="AN1507" s="26" t="e">
        <f t="shared" si="528"/>
        <v>#DIV/0!</v>
      </c>
      <c r="AO1507" s="26" t="e">
        <f t="shared" si="529"/>
        <v>#DIV/0!</v>
      </c>
      <c r="AP1507" s="26" t="e">
        <f t="shared" si="530"/>
        <v>#DIV/0!</v>
      </c>
      <c r="AS1507" s="2">
        <v>43973</v>
      </c>
      <c r="AT1507">
        <v>18.5</v>
      </c>
      <c r="AU1507">
        <v>0</v>
      </c>
      <c r="AV1507">
        <v>62.7</v>
      </c>
      <c r="AW1507">
        <v>2.6</v>
      </c>
      <c r="AX1507">
        <v>161.34</v>
      </c>
      <c r="AY1507">
        <v>0.9</v>
      </c>
      <c r="AZ1507">
        <v>3.6</v>
      </c>
      <c r="BA1507">
        <v>94.5749</v>
      </c>
      <c r="BB1507">
        <v>34.1907</v>
      </c>
      <c r="BC1507">
        <v>70.011600000000001</v>
      </c>
      <c r="BD1507">
        <v>4.3064</v>
      </c>
      <c r="BE1507">
        <v>29.930599999999998</v>
      </c>
      <c r="BH1507">
        <v>70.260000000000005</v>
      </c>
    </row>
    <row r="1508" spans="1:60" x14ac:dyDescent="0.25">
      <c r="A1508" s="2">
        <v>43993</v>
      </c>
      <c r="B1508">
        <v>23.6</v>
      </c>
      <c r="C1508">
        <v>82.3</v>
      </c>
      <c r="D1508">
        <v>67.5</v>
      </c>
      <c r="E1508">
        <v>2.4</v>
      </c>
      <c r="F1508">
        <v>134.59</v>
      </c>
      <c r="G1508">
        <v>0.9</v>
      </c>
      <c r="H1508">
        <v>3.7</v>
      </c>
      <c r="I1508">
        <v>172.65110000000001</v>
      </c>
      <c r="J1508">
        <v>20.503599999999999</v>
      </c>
      <c r="K1508">
        <v>128.72730000000001</v>
      </c>
      <c r="L1508">
        <v>4.0758999999999999</v>
      </c>
      <c r="M1508">
        <v>18.879799999999999</v>
      </c>
      <c r="N1508">
        <v>10.218500000000001</v>
      </c>
      <c r="O1508">
        <v>-6.4678000000000004</v>
      </c>
      <c r="P1508">
        <v>75.64</v>
      </c>
      <c r="S1508">
        <f t="shared" si="509"/>
        <v>659.82770000000005</v>
      </c>
      <c r="T1508">
        <f t="shared" si="510"/>
        <v>2.2124173800384637E-2</v>
      </c>
      <c r="U1508">
        <f t="shared" si="511"/>
        <v>7.715336880388371E-2</v>
      </c>
      <c r="V1508">
        <f t="shared" si="512"/>
        <v>6.3278886929066233E-2</v>
      </c>
      <c r="W1508">
        <f t="shared" si="513"/>
        <v>2.2499159797001326E-3</v>
      </c>
      <c r="X1508">
        <f t="shared" si="514"/>
        <v>0.12617341321160036</v>
      </c>
      <c r="Y1508">
        <f t="shared" si="515"/>
        <v>8.4371849238754971E-4</v>
      </c>
      <c r="Z1508">
        <f t="shared" si="516"/>
        <v>3.4686204687043713E-3</v>
      </c>
      <c r="AA1508">
        <f t="shared" si="517"/>
        <v>0.16185436200116898</v>
      </c>
      <c r="AB1508">
        <f t="shared" si="518"/>
        <v>1.9221407200574848E-2</v>
      </c>
      <c r="AC1508">
        <f t="shared" si="519"/>
        <v>0.12067733720568871</v>
      </c>
      <c r="AD1508">
        <f t="shared" si="520"/>
        <v>3.8210135590249043E-3</v>
      </c>
      <c r="AE1508">
        <f t="shared" si="521"/>
        <v>1.7699151547309402E-2</v>
      </c>
      <c r="AG1508">
        <f t="shared" si="522"/>
        <v>-0.25696193953550628</v>
      </c>
      <c r="AH1508">
        <f t="shared" si="523"/>
        <v>0.31299124923303645</v>
      </c>
      <c r="AI1508">
        <f t="shared" si="524"/>
        <v>0.57602402183791757</v>
      </c>
      <c r="AK1508" s="26" t="e">
        <f t="shared" si="525"/>
        <v>#DIV/0!</v>
      </c>
      <c r="AL1508" s="26" t="e">
        <f t="shared" si="526"/>
        <v>#DIV/0!</v>
      </c>
      <c r="AM1508" s="26" t="e">
        <f t="shared" si="527"/>
        <v>#DIV/0!</v>
      </c>
      <c r="AN1508" s="26" t="e">
        <f t="shared" si="528"/>
        <v>#DIV/0!</v>
      </c>
      <c r="AO1508" s="26" t="e">
        <f t="shared" si="529"/>
        <v>#DIV/0!</v>
      </c>
      <c r="AP1508" s="26" t="e">
        <f t="shared" si="530"/>
        <v>#DIV/0!</v>
      </c>
      <c r="AS1508" s="2">
        <v>43972</v>
      </c>
      <c r="AT1508">
        <v>19.3</v>
      </c>
      <c r="AU1508">
        <v>0</v>
      </c>
      <c r="AV1508">
        <v>4.4000000000000004</v>
      </c>
      <c r="AW1508">
        <v>0.3</v>
      </c>
      <c r="AX1508">
        <v>274.58</v>
      </c>
      <c r="AY1508">
        <v>0.9</v>
      </c>
      <c r="AZ1508">
        <v>3.7</v>
      </c>
      <c r="BA1508">
        <v>110.3895</v>
      </c>
      <c r="BB1508">
        <v>30.920300000000001</v>
      </c>
      <c r="BC1508">
        <v>82.082400000000007</v>
      </c>
      <c r="BD1508">
        <v>4.3464</v>
      </c>
      <c r="BE1508">
        <v>25.382999999999999</v>
      </c>
      <c r="BH1508">
        <v>69.819999999999993</v>
      </c>
    </row>
    <row r="1509" spans="1:60" x14ac:dyDescent="0.25">
      <c r="A1509" s="2">
        <v>43992</v>
      </c>
      <c r="B1509">
        <v>21.6</v>
      </c>
      <c r="C1509">
        <v>225.8</v>
      </c>
      <c r="D1509">
        <v>9.5</v>
      </c>
      <c r="E1509">
        <v>1.6</v>
      </c>
      <c r="F1509">
        <v>120.11</v>
      </c>
      <c r="G1509">
        <v>0.9</v>
      </c>
      <c r="H1509">
        <v>3.7</v>
      </c>
      <c r="I1509">
        <v>260.10559999999998</v>
      </c>
      <c r="J1509">
        <v>56.268799999999999</v>
      </c>
      <c r="K1509">
        <v>175.35830000000001</v>
      </c>
      <c r="L1509">
        <v>4.0984999999999996</v>
      </c>
      <c r="M1509">
        <v>28.3903</v>
      </c>
      <c r="N1509">
        <v>10.862399999999999</v>
      </c>
      <c r="O1509">
        <v>-6.7676999999999996</v>
      </c>
      <c r="P1509">
        <v>75.41</v>
      </c>
      <c r="S1509">
        <f t="shared" si="509"/>
        <v>907.43149999999991</v>
      </c>
      <c r="T1509">
        <f t="shared" si="510"/>
        <v>2.0249243817301196E-2</v>
      </c>
      <c r="U1509">
        <f t="shared" si="511"/>
        <v>0.21167959509012083</v>
      </c>
      <c r="V1509">
        <f t="shared" si="512"/>
        <v>8.9059174196463586E-3</v>
      </c>
      <c r="W1509">
        <f t="shared" si="513"/>
        <v>1.4999439864667552E-3</v>
      </c>
      <c r="X1509">
        <f t="shared" si="514"/>
        <v>0.11259892013407621</v>
      </c>
      <c r="Y1509">
        <f t="shared" si="515"/>
        <v>8.4371849238754971E-4</v>
      </c>
      <c r="Z1509">
        <f t="shared" si="516"/>
        <v>3.4686204687043713E-3</v>
      </c>
      <c r="AA1509">
        <f t="shared" si="517"/>
        <v>0.24383989410395449</v>
      </c>
      <c r="AB1509">
        <f t="shared" si="518"/>
        <v>5.2750030116062843E-2</v>
      </c>
      <c r="AC1509">
        <f t="shared" si="519"/>
        <v>0.16439226722627073</v>
      </c>
      <c r="AD1509">
        <f t="shared" si="520"/>
        <v>3.842200267833747E-3</v>
      </c>
      <c r="AE1509">
        <f t="shared" si="521"/>
        <v>2.6614912349366946E-2</v>
      </c>
      <c r="AG1509">
        <f t="shared" si="522"/>
        <v>-0.27311177061370651</v>
      </c>
      <c r="AH1509">
        <f t="shared" si="523"/>
        <v>0.38586087175807027</v>
      </c>
      <c r="AI1509">
        <f t="shared" si="524"/>
        <v>1.1552001939253211</v>
      </c>
      <c r="AK1509" s="26" t="e">
        <f t="shared" si="525"/>
        <v>#DIV/0!</v>
      </c>
      <c r="AL1509" s="26" t="e">
        <f t="shared" si="526"/>
        <v>#DIV/0!</v>
      </c>
      <c r="AM1509" s="26" t="e">
        <f t="shared" si="527"/>
        <v>#DIV/0!</v>
      </c>
      <c r="AN1509" s="26" t="e">
        <f t="shared" si="528"/>
        <v>#DIV/0!</v>
      </c>
      <c r="AO1509" s="26" t="e">
        <f t="shared" si="529"/>
        <v>#DIV/0!</v>
      </c>
      <c r="AP1509" s="26" t="e">
        <f t="shared" si="530"/>
        <v>#DIV/0!</v>
      </c>
      <c r="AS1509" s="2">
        <v>43971</v>
      </c>
      <c r="AT1509">
        <v>19.2</v>
      </c>
      <c r="AU1509">
        <v>148.80000000000001</v>
      </c>
      <c r="AV1509">
        <v>0.8</v>
      </c>
      <c r="AW1509">
        <v>0.4</v>
      </c>
      <c r="AX1509">
        <v>184.95</v>
      </c>
      <c r="AY1509">
        <v>0.9</v>
      </c>
      <c r="AZ1509">
        <v>3.6</v>
      </c>
      <c r="BA1509">
        <v>212.809</v>
      </c>
      <c r="BB1509">
        <v>47.0867</v>
      </c>
      <c r="BC1509">
        <v>154.4743</v>
      </c>
      <c r="BD1509">
        <v>4.649</v>
      </c>
      <c r="BE1509">
        <v>44.281199999999998</v>
      </c>
      <c r="BH1509">
        <v>69.510000000000005</v>
      </c>
    </row>
    <row r="1510" spans="1:60" x14ac:dyDescent="0.25">
      <c r="A1510" s="2">
        <v>43991</v>
      </c>
      <c r="B1510">
        <v>20.3</v>
      </c>
      <c r="C1510">
        <v>268.3</v>
      </c>
      <c r="D1510">
        <v>1.6</v>
      </c>
      <c r="E1510">
        <v>1.1000000000000001</v>
      </c>
      <c r="F1510">
        <v>132.68</v>
      </c>
      <c r="G1510">
        <v>0.3</v>
      </c>
      <c r="H1510">
        <v>3.6</v>
      </c>
      <c r="I1510">
        <v>269.65530000000001</v>
      </c>
      <c r="J1510">
        <v>64.048699999999997</v>
      </c>
      <c r="K1510">
        <v>178.6301</v>
      </c>
      <c r="L1510">
        <v>4.1342999999999996</v>
      </c>
      <c r="M1510">
        <v>30.6416</v>
      </c>
      <c r="N1510">
        <v>11.029299999999999</v>
      </c>
      <c r="O1510">
        <v>-6.7023999999999999</v>
      </c>
      <c r="P1510">
        <v>75.25</v>
      </c>
      <c r="S1510">
        <f t="shared" si="509"/>
        <v>974.99000000000012</v>
      </c>
      <c r="T1510">
        <f t="shared" si="510"/>
        <v>1.9030539328296955E-2</v>
      </c>
      <c r="U1510">
        <f t="shared" si="511"/>
        <v>0.25152185723064402</v>
      </c>
      <c r="V1510">
        <f t="shared" si="512"/>
        <v>1.4999439864667552E-3</v>
      </c>
      <c r="W1510">
        <f t="shared" si="513"/>
        <v>1.0312114906958943E-3</v>
      </c>
      <c r="X1510">
        <f t="shared" si="514"/>
        <v>0.12438285507775566</v>
      </c>
      <c r="Y1510">
        <f t="shared" si="515"/>
        <v>2.8123949746251657E-4</v>
      </c>
      <c r="Z1510">
        <f t="shared" si="516"/>
        <v>3.3748739695501988E-3</v>
      </c>
      <c r="AA1510">
        <f t="shared" si="517"/>
        <v>0.25279240353368049</v>
      </c>
      <c r="AB1510">
        <f t="shared" si="518"/>
        <v>6.0043414003758282E-2</v>
      </c>
      <c r="AC1510">
        <f t="shared" si="519"/>
        <v>0.16745946518559693</v>
      </c>
      <c r="AD1510">
        <f t="shared" si="520"/>
        <v>3.8757615145309406E-3</v>
      </c>
      <c r="AE1510">
        <f t="shared" si="521"/>
        <v>2.8725427284824825E-2</v>
      </c>
      <c r="AG1510">
        <f t="shared" si="522"/>
        <v>-0.28448203550276074</v>
      </c>
      <c r="AH1510">
        <f t="shared" si="523"/>
        <v>0.4298479478656968</v>
      </c>
      <c r="AI1510">
        <f t="shared" si="524"/>
        <v>1.5084822804071749</v>
      </c>
      <c r="AK1510" s="26" t="e">
        <f t="shared" si="525"/>
        <v>#DIV/0!</v>
      </c>
      <c r="AL1510" s="26" t="e">
        <f t="shared" si="526"/>
        <v>#DIV/0!</v>
      </c>
      <c r="AM1510" s="26" t="e">
        <f t="shared" si="527"/>
        <v>#DIV/0!</v>
      </c>
      <c r="AN1510" s="26" t="e">
        <f t="shared" si="528"/>
        <v>#DIV/0!</v>
      </c>
      <c r="AO1510" s="26" t="e">
        <f t="shared" si="529"/>
        <v>#DIV/0!</v>
      </c>
      <c r="AP1510" s="26" t="e">
        <f t="shared" si="530"/>
        <v>#DIV/0!</v>
      </c>
      <c r="AS1510" s="2">
        <v>43970</v>
      </c>
      <c r="AT1510">
        <v>18.600000000000001</v>
      </c>
      <c r="AU1510">
        <v>139.4</v>
      </c>
      <c r="AV1510">
        <v>27.3</v>
      </c>
      <c r="AW1510">
        <v>1.3</v>
      </c>
      <c r="AX1510">
        <v>232.52</v>
      </c>
      <c r="AY1510">
        <v>0.7</v>
      </c>
      <c r="AZ1510">
        <v>3</v>
      </c>
      <c r="BA1510">
        <v>152.86680000000001</v>
      </c>
      <c r="BB1510">
        <v>52.430599999999998</v>
      </c>
      <c r="BC1510">
        <v>107.8065</v>
      </c>
      <c r="BD1510">
        <v>4.3478000000000003</v>
      </c>
      <c r="BE1510">
        <v>35.046900000000001</v>
      </c>
      <c r="BH1510">
        <v>69.25</v>
      </c>
    </row>
    <row r="1511" spans="1:60" x14ac:dyDescent="0.25">
      <c r="A1511" s="2">
        <v>43990</v>
      </c>
      <c r="B1511">
        <v>19.399999999999999</v>
      </c>
      <c r="C1511">
        <v>57.4</v>
      </c>
      <c r="D1511">
        <v>9.3000000000000007</v>
      </c>
      <c r="E1511">
        <v>0.6</v>
      </c>
      <c r="F1511">
        <v>185.48</v>
      </c>
      <c r="G1511">
        <v>0.9</v>
      </c>
      <c r="H1511">
        <v>3.4</v>
      </c>
      <c r="I1511">
        <v>215.37989999999999</v>
      </c>
      <c r="J1511">
        <v>37.1584</v>
      </c>
      <c r="K1511">
        <v>164.22810000000001</v>
      </c>
      <c r="L1511">
        <v>4.2240000000000002</v>
      </c>
      <c r="M1511">
        <v>29.9434</v>
      </c>
      <c r="N1511">
        <v>11.5944</v>
      </c>
      <c r="O1511">
        <v>-5.6505000000000001</v>
      </c>
      <c r="P1511">
        <v>75.099999999999994</v>
      </c>
      <c r="S1511">
        <f t="shared" si="509"/>
        <v>727.41380000000004</v>
      </c>
      <c r="T1511">
        <f t="shared" si="510"/>
        <v>1.8186820835909404E-2</v>
      </c>
      <c r="U1511">
        <f t="shared" si="511"/>
        <v>5.3810490514494838E-2</v>
      </c>
      <c r="V1511">
        <f t="shared" si="512"/>
        <v>8.7184244213380137E-3</v>
      </c>
      <c r="W1511">
        <f t="shared" si="513"/>
        <v>5.6247899492503314E-4</v>
      </c>
      <c r="X1511">
        <f t="shared" si="514"/>
        <v>0.17388100663115857</v>
      </c>
      <c r="Y1511">
        <f t="shared" si="515"/>
        <v>8.4371849238754971E-4</v>
      </c>
      <c r="Z1511">
        <f t="shared" si="516"/>
        <v>3.1873809712418544E-3</v>
      </c>
      <c r="AA1511">
        <f t="shared" si="517"/>
        <v>0.20191111613175691</v>
      </c>
      <c r="AB1511">
        <f t="shared" si="518"/>
        <v>3.4834699141703923E-2</v>
      </c>
      <c r="AC1511">
        <f t="shared" si="519"/>
        <v>0.15395809437741306</v>
      </c>
      <c r="AD1511">
        <f t="shared" si="520"/>
        <v>3.9598521242722338E-3</v>
      </c>
      <c r="AE1511">
        <f t="shared" si="521"/>
        <v>2.8070889227730395E-2</v>
      </c>
      <c r="AG1511">
        <f t="shared" si="522"/>
        <v>-0.29517622086613299</v>
      </c>
      <c r="AH1511">
        <f t="shared" si="523"/>
        <v>0.2872612100891857</v>
      </c>
      <c r="AI1511">
        <f t="shared" si="524"/>
        <v>0.38237589116658721</v>
      </c>
      <c r="AK1511" s="26" t="e">
        <f t="shared" si="525"/>
        <v>#DIV/0!</v>
      </c>
      <c r="AL1511" s="26" t="e">
        <f t="shared" si="526"/>
        <v>#DIV/0!</v>
      </c>
      <c r="AM1511" s="26" t="e">
        <f t="shared" si="527"/>
        <v>#DIV/0!</v>
      </c>
      <c r="AN1511" s="26" t="e">
        <f t="shared" si="528"/>
        <v>#DIV/0!</v>
      </c>
      <c r="AO1511" s="26" t="e">
        <f t="shared" si="529"/>
        <v>#DIV/0!</v>
      </c>
      <c r="AP1511" s="26" t="e">
        <f t="shared" si="530"/>
        <v>#DIV/0!</v>
      </c>
      <c r="AS1511" s="2">
        <v>43969</v>
      </c>
      <c r="AT1511">
        <v>18.2</v>
      </c>
      <c r="AU1511">
        <v>2.8</v>
      </c>
      <c r="AV1511">
        <v>47.1</v>
      </c>
      <c r="AW1511">
        <v>2</v>
      </c>
      <c r="AX1511">
        <v>251.94</v>
      </c>
      <c r="AY1511">
        <v>0.9</v>
      </c>
      <c r="AZ1511">
        <v>3.2</v>
      </c>
      <c r="BA1511">
        <v>130.0538</v>
      </c>
      <c r="BB1511">
        <v>68.761899999999997</v>
      </c>
      <c r="BC1511">
        <v>76.801199999999994</v>
      </c>
      <c r="BD1511">
        <v>4.3507999999999996</v>
      </c>
      <c r="BE1511">
        <v>28.727599999999999</v>
      </c>
      <c r="BH1511">
        <v>68.95</v>
      </c>
    </row>
    <row r="1512" spans="1:60" x14ac:dyDescent="0.25">
      <c r="A1512" s="2">
        <v>43989</v>
      </c>
      <c r="B1512">
        <v>16.7</v>
      </c>
      <c r="C1512">
        <v>182.4</v>
      </c>
      <c r="D1512">
        <v>35.6</v>
      </c>
      <c r="E1512">
        <v>3.8</v>
      </c>
      <c r="F1512">
        <v>139.4</v>
      </c>
      <c r="G1512">
        <v>0.9</v>
      </c>
      <c r="H1512">
        <v>3.3</v>
      </c>
      <c r="I1512">
        <v>99.0077</v>
      </c>
      <c r="J1512">
        <v>29.3538</v>
      </c>
      <c r="K1512">
        <v>47.168799999999997</v>
      </c>
      <c r="L1512">
        <v>4.2329999999999997</v>
      </c>
      <c r="M1512">
        <v>15.0693</v>
      </c>
      <c r="P1512">
        <v>74.94</v>
      </c>
      <c r="S1512">
        <f t="shared" si="509"/>
        <v>576.93259999999987</v>
      </c>
      <c r="T1512">
        <f t="shared" si="510"/>
        <v>1.5655665358746754E-2</v>
      </c>
      <c r="U1512">
        <f t="shared" si="511"/>
        <v>0.17099361445721009</v>
      </c>
      <c r="V1512">
        <f t="shared" si="512"/>
        <v>3.3373753698885303E-2</v>
      </c>
      <c r="W1512">
        <f t="shared" si="513"/>
        <v>3.5623669678585433E-3</v>
      </c>
      <c r="X1512">
        <f t="shared" si="514"/>
        <v>0.13068261982091603</v>
      </c>
      <c r="Y1512">
        <f t="shared" si="515"/>
        <v>8.4371849238754971E-4</v>
      </c>
      <c r="Z1512">
        <f t="shared" si="516"/>
        <v>3.0936344720876819E-3</v>
      </c>
      <c r="AA1512">
        <f t="shared" si="517"/>
        <v>9.2816252643065339E-2</v>
      </c>
      <c r="AB1512">
        <f t="shared" si="518"/>
        <v>2.7518159868717397E-2</v>
      </c>
      <c r="AC1512">
        <f t="shared" si="519"/>
        <v>4.4219098693033171E-2</v>
      </c>
      <c r="AD1512">
        <f t="shared" si="520"/>
        <v>3.9682893091961087E-3</v>
      </c>
      <c r="AE1512">
        <f t="shared" si="521"/>
        <v>1.412694119703967E-2</v>
      </c>
      <c r="AG1512">
        <f t="shared" si="522"/>
        <v>-0.30655973768591493</v>
      </c>
      <c r="AH1512">
        <f t="shared" si="523"/>
        <v>0.3723323144651316</v>
      </c>
      <c r="AI1512">
        <f t="shared" si="524"/>
        <v>1.0586398378511255</v>
      </c>
      <c r="AK1512" s="26" t="e">
        <f t="shared" si="525"/>
        <v>#DIV/0!</v>
      </c>
      <c r="AL1512" s="26" t="e">
        <f t="shared" si="526"/>
        <v>#DIV/0!</v>
      </c>
      <c r="AM1512" s="26" t="e">
        <f t="shared" si="527"/>
        <v>#DIV/0!</v>
      </c>
      <c r="AN1512" s="26" t="e">
        <f t="shared" si="528"/>
        <v>#DIV/0!</v>
      </c>
      <c r="AO1512" s="26" t="e">
        <f t="shared" si="529"/>
        <v>#DIV/0!</v>
      </c>
      <c r="AP1512" s="26" t="e">
        <f t="shared" si="530"/>
        <v>#DIV/0!</v>
      </c>
      <c r="AS1512" s="2">
        <v>43968</v>
      </c>
      <c r="AT1512">
        <v>18.600000000000001</v>
      </c>
      <c r="AU1512">
        <v>0.9</v>
      </c>
      <c r="AV1512">
        <v>54.1</v>
      </c>
      <c r="AW1512">
        <v>3.1</v>
      </c>
      <c r="AX1512">
        <v>260.88</v>
      </c>
      <c r="AY1512">
        <v>0.9</v>
      </c>
      <c r="AZ1512">
        <v>3</v>
      </c>
      <c r="BA1512">
        <v>96.339799999999997</v>
      </c>
      <c r="BB1512">
        <v>57.961199999999998</v>
      </c>
      <c r="BC1512">
        <v>36.0154</v>
      </c>
      <c r="BD1512">
        <v>4.3173000000000004</v>
      </c>
      <c r="BE1512">
        <v>17.8996</v>
      </c>
      <c r="BH1512">
        <v>68.61</v>
      </c>
    </row>
    <row r="1513" spans="1:60" x14ac:dyDescent="0.25">
      <c r="A1513" s="2">
        <v>43988</v>
      </c>
      <c r="B1513">
        <v>17.2</v>
      </c>
      <c r="C1513">
        <v>114</v>
      </c>
      <c r="D1513">
        <v>75.400000000000006</v>
      </c>
      <c r="E1513">
        <v>6.5</v>
      </c>
      <c r="F1513">
        <v>171.71</v>
      </c>
      <c r="G1513">
        <v>0.9</v>
      </c>
      <c r="H1513">
        <v>2.9</v>
      </c>
      <c r="I1513">
        <v>84.606800000000007</v>
      </c>
      <c r="J1513">
        <v>23.9909</v>
      </c>
      <c r="K1513">
        <v>32.3352</v>
      </c>
      <c r="L1513">
        <v>4.2070999999999996</v>
      </c>
      <c r="M1513">
        <v>17.239699999999999</v>
      </c>
      <c r="P1513">
        <v>74.599999999999994</v>
      </c>
      <c r="S1513">
        <f t="shared" si="509"/>
        <v>550.98969999999997</v>
      </c>
      <c r="T1513">
        <f t="shared" si="510"/>
        <v>1.6124397854517615E-2</v>
      </c>
      <c r="U1513">
        <f t="shared" si="511"/>
        <v>0.1068710090357563</v>
      </c>
      <c r="V1513">
        <f t="shared" si="512"/>
        <v>7.0684860362245833E-2</v>
      </c>
      <c r="W1513">
        <f t="shared" si="513"/>
        <v>6.0935224450211923E-3</v>
      </c>
      <c r="X1513">
        <f t="shared" si="514"/>
        <v>0.16097211369762907</v>
      </c>
      <c r="Y1513">
        <f t="shared" si="515"/>
        <v>8.4371849238754971E-4</v>
      </c>
      <c r="Z1513">
        <f t="shared" si="516"/>
        <v>2.7186484754709935E-3</v>
      </c>
      <c r="AA1513">
        <f t="shared" si="517"/>
        <v>7.9315913046372158E-2</v>
      </c>
      <c r="AB1513">
        <f t="shared" si="518"/>
        <v>2.2490628865578295E-2</v>
      </c>
      <c r="AC1513">
        <f t="shared" si="519"/>
        <v>3.0313117994499886E-2</v>
      </c>
      <c r="AD1513">
        <f t="shared" si="520"/>
        <v>3.9440089659151783E-3</v>
      </c>
      <c r="AE1513">
        <f t="shared" si="521"/>
        <v>1.6161615214681822E-2</v>
      </c>
      <c r="AG1513">
        <f t="shared" si="522"/>
        <v>-0.33021366836867577</v>
      </c>
      <c r="AH1513">
        <f t="shared" si="523"/>
        <v>0.38046988557771039</v>
      </c>
      <c r="AI1513">
        <f t="shared" si="524"/>
        <v>1.1268020350911863</v>
      </c>
      <c r="AK1513" s="26" t="e">
        <f t="shared" si="525"/>
        <v>#DIV/0!</v>
      </c>
      <c r="AL1513" s="26" t="e">
        <f t="shared" si="526"/>
        <v>#DIV/0!</v>
      </c>
      <c r="AM1513" s="26" t="e">
        <f t="shared" si="527"/>
        <v>#DIV/0!</v>
      </c>
      <c r="AN1513" s="26" t="e">
        <f t="shared" si="528"/>
        <v>#DIV/0!</v>
      </c>
      <c r="AO1513" s="26" t="e">
        <f t="shared" si="529"/>
        <v>#DIV/0!</v>
      </c>
      <c r="AP1513" s="26" t="e">
        <f t="shared" si="530"/>
        <v>#DIV/0!</v>
      </c>
      <c r="AS1513" s="2">
        <v>43967</v>
      </c>
      <c r="AT1513">
        <v>20.6</v>
      </c>
      <c r="AU1513">
        <v>9.8000000000000007</v>
      </c>
      <c r="AV1513">
        <v>42.2</v>
      </c>
      <c r="AW1513">
        <v>3.3</v>
      </c>
      <c r="AX1513">
        <v>245.21</v>
      </c>
      <c r="AY1513">
        <v>0.9</v>
      </c>
      <c r="AZ1513">
        <v>3.5</v>
      </c>
      <c r="BA1513">
        <v>107.498</v>
      </c>
      <c r="BB1513">
        <v>53.988100000000003</v>
      </c>
      <c r="BC1513">
        <v>49.037799999999997</v>
      </c>
      <c r="BD1513">
        <v>4.3094000000000001</v>
      </c>
      <c r="BE1513">
        <v>25.7547</v>
      </c>
      <c r="BH1513">
        <v>68.209999999999994</v>
      </c>
    </row>
    <row r="1514" spans="1:60" x14ac:dyDescent="0.25">
      <c r="A1514" s="2">
        <v>43987</v>
      </c>
      <c r="B1514">
        <v>18.8</v>
      </c>
      <c r="C1514">
        <v>35.5</v>
      </c>
      <c r="D1514">
        <v>34.6</v>
      </c>
      <c r="E1514">
        <v>5</v>
      </c>
      <c r="F1514">
        <v>146.78</v>
      </c>
      <c r="G1514">
        <v>0.9</v>
      </c>
      <c r="H1514">
        <v>3.3</v>
      </c>
      <c r="I1514">
        <v>120.125</v>
      </c>
      <c r="J1514">
        <v>24.180800000000001</v>
      </c>
      <c r="K1514">
        <v>121.6046</v>
      </c>
      <c r="L1514">
        <v>4.2614000000000001</v>
      </c>
      <c r="M1514">
        <v>27.305099999999999</v>
      </c>
      <c r="N1514">
        <v>9.6011000000000006</v>
      </c>
      <c r="O1514">
        <v>-7.1742999999999997</v>
      </c>
      <c r="P1514">
        <v>74.27</v>
      </c>
      <c r="S1514">
        <f t="shared" si="509"/>
        <v>542.3569</v>
      </c>
      <c r="T1514">
        <f t="shared" si="510"/>
        <v>1.7624341840984374E-2</v>
      </c>
      <c r="U1514">
        <f t="shared" si="511"/>
        <v>3.3280007199731128E-2</v>
      </c>
      <c r="V1514">
        <f t="shared" si="512"/>
        <v>3.243628870734358E-2</v>
      </c>
      <c r="W1514">
        <f t="shared" si="513"/>
        <v>4.6873249577086091E-3</v>
      </c>
      <c r="X1514">
        <f t="shared" si="514"/>
        <v>0.13760111145849394</v>
      </c>
      <c r="Y1514">
        <f t="shared" si="515"/>
        <v>8.4371849238754971E-4</v>
      </c>
      <c r="Z1514">
        <f t="shared" si="516"/>
        <v>3.0936344720876819E-3</v>
      </c>
      <c r="AA1514">
        <f t="shared" si="517"/>
        <v>0.11261298210894935</v>
      </c>
      <c r="AB1514">
        <f t="shared" si="518"/>
        <v>2.2668653467472072E-2</v>
      </c>
      <c r="AC1514">
        <f t="shared" si="519"/>
        <v>0.11400005531043449</v>
      </c>
      <c r="AD1514">
        <f t="shared" si="520"/>
        <v>3.9949133149558939E-3</v>
      </c>
      <c r="AE1514">
        <f t="shared" si="521"/>
        <v>2.559757534054587E-2</v>
      </c>
      <c r="AG1514">
        <f t="shared" si="522"/>
        <v>-0.35320366810912746</v>
      </c>
      <c r="AH1514">
        <f t="shared" si="523"/>
        <v>0.25516400246928272</v>
      </c>
      <c r="AI1514">
        <f t="shared" si="524"/>
        <v>0.13510909290112938</v>
      </c>
      <c r="AK1514" s="26" t="e">
        <f t="shared" si="525"/>
        <v>#DIV/0!</v>
      </c>
      <c r="AL1514" s="26" t="e">
        <f t="shared" si="526"/>
        <v>#DIV/0!</v>
      </c>
      <c r="AM1514" s="26" t="e">
        <f t="shared" si="527"/>
        <v>#DIV/0!</v>
      </c>
      <c r="AN1514" s="26" t="e">
        <f t="shared" si="528"/>
        <v>#DIV/0!</v>
      </c>
      <c r="AO1514" s="26" t="e">
        <f t="shared" si="529"/>
        <v>#DIV/0!</v>
      </c>
      <c r="AP1514" s="26" t="e">
        <f t="shared" si="530"/>
        <v>#DIV/0!</v>
      </c>
      <c r="AS1514" s="2">
        <v>43966</v>
      </c>
      <c r="AT1514">
        <v>20.3</v>
      </c>
      <c r="AU1514">
        <v>1.2</v>
      </c>
      <c r="AV1514">
        <v>40.799999999999997</v>
      </c>
      <c r="AW1514">
        <v>3.2</v>
      </c>
      <c r="AX1514">
        <v>189.57</v>
      </c>
      <c r="AY1514">
        <v>0.9</v>
      </c>
      <c r="AZ1514">
        <v>3.3</v>
      </c>
      <c r="BA1514">
        <v>156.12180000000001</v>
      </c>
      <c r="BB1514">
        <v>61.664000000000001</v>
      </c>
      <c r="BC1514">
        <v>80.383600000000001</v>
      </c>
      <c r="BD1514">
        <v>4.3105000000000002</v>
      </c>
      <c r="BE1514">
        <v>29.931100000000001</v>
      </c>
      <c r="BH1514">
        <v>67.84</v>
      </c>
    </row>
    <row r="1515" spans="1:60" x14ac:dyDescent="0.25">
      <c r="A1515" s="2">
        <v>43986</v>
      </c>
      <c r="B1515">
        <v>17.100000000000001</v>
      </c>
      <c r="C1515">
        <v>65.7</v>
      </c>
      <c r="D1515">
        <v>47.9</v>
      </c>
      <c r="E1515">
        <v>1.9</v>
      </c>
      <c r="F1515">
        <v>110.23</v>
      </c>
      <c r="G1515">
        <v>0.6</v>
      </c>
      <c r="H1515">
        <v>3.5</v>
      </c>
      <c r="I1515">
        <v>191.06479999999999</v>
      </c>
      <c r="J1515">
        <v>44.639499999999998</v>
      </c>
      <c r="K1515">
        <v>146.81440000000001</v>
      </c>
      <c r="L1515">
        <v>5.3941999999999997</v>
      </c>
      <c r="M1515">
        <v>32.857300000000002</v>
      </c>
      <c r="N1515">
        <v>9.5771999999999995</v>
      </c>
      <c r="O1515">
        <v>-7.1345000000000001</v>
      </c>
      <c r="P1515">
        <v>74.02</v>
      </c>
      <c r="S1515">
        <f t="shared" si="509"/>
        <v>667.7002</v>
      </c>
      <c r="T1515">
        <f t="shared" si="510"/>
        <v>1.6030651355363447E-2</v>
      </c>
      <c r="U1515">
        <f t="shared" si="511"/>
        <v>6.1591449944291131E-2</v>
      </c>
      <c r="V1515">
        <f t="shared" si="512"/>
        <v>4.4904573094848479E-2</v>
      </c>
      <c r="W1515">
        <f t="shared" si="513"/>
        <v>1.7811834839292716E-3</v>
      </c>
      <c r="X1515">
        <f t="shared" si="514"/>
        <v>0.10333676601764401</v>
      </c>
      <c r="Y1515">
        <f t="shared" si="515"/>
        <v>5.6247899492503314E-4</v>
      </c>
      <c r="Z1515">
        <f t="shared" si="516"/>
        <v>3.2811274703960268E-3</v>
      </c>
      <c r="AA1515">
        <f t="shared" si="517"/>
        <v>0.17911656111592078</v>
      </c>
      <c r="AB1515">
        <f t="shared" si="518"/>
        <v>4.1847968489926696E-2</v>
      </c>
      <c r="AC1515">
        <f t="shared" si="519"/>
        <v>0.13763336025420297</v>
      </c>
      <c r="AD1515">
        <f t="shared" si="520"/>
        <v>5.0568736573743563E-3</v>
      </c>
      <c r="AE1515">
        <f t="shared" si="521"/>
        <v>3.0802568466583823E-2</v>
      </c>
      <c r="AG1515">
        <f t="shared" si="522"/>
        <v>-0.37077631653051196</v>
      </c>
      <c r="AH1515">
        <f t="shared" si="523"/>
        <v>0.26229079882798123</v>
      </c>
      <c r="AI1515">
        <f t="shared" si="524"/>
        <v>0.19186953289104225</v>
      </c>
      <c r="AK1515" s="26" t="e">
        <f t="shared" si="525"/>
        <v>#DIV/0!</v>
      </c>
      <c r="AL1515" s="26" t="e">
        <f t="shared" si="526"/>
        <v>#DIV/0!</v>
      </c>
      <c r="AM1515" s="26" t="e">
        <f t="shared" si="527"/>
        <v>#DIV/0!</v>
      </c>
      <c r="AN1515" s="26" t="e">
        <f t="shared" si="528"/>
        <v>#DIV/0!</v>
      </c>
      <c r="AO1515" s="26" t="e">
        <f t="shared" si="529"/>
        <v>#DIV/0!</v>
      </c>
      <c r="AP1515" s="26" t="e">
        <f t="shared" si="530"/>
        <v>#DIV/0!</v>
      </c>
      <c r="AS1515" s="2">
        <v>43965</v>
      </c>
      <c r="AT1515">
        <v>20.3</v>
      </c>
      <c r="AU1515">
        <v>3.9</v>
      </c>
      <c r="AV1515">
        <v>18.600000000000001</v>
      </c>
      <c r="AW1515">
        <v>1.9</v>
      </c>
      <c r="AX1515">
        <v>329.25</v>
      </c>
      <c r="AY1515">
        <v>0.9</v>
      </c>
      <c r="AZ1515">
        <v>3.4</v>
      </c>
      <c r="BA1515">
        <v>186.6542</v>
      </c>
      <c r="BB1515">
        <v>63.341299999999997</v>
      </c>
      <c r="BC1515">
        <v>116.81359999999999</v>
      </c>
      <c r="BD1515">
        <v>4.6124000000000001</v>
      </c>
      <c r="BE1515">
        <v>31.482299999999999</v>
      </c>
      <c r="BH1515">
        <v>67.599999999999994</v>
      </c>
    </row>
    <row r="1516" spans="1:60" x14ac:dyDescent="0.25">
      <c r="A1516" s="2">
        <v>43985</v>
      </c>
      <c r="B1516">
        <v>16</v>
      </c>
      <c r="C1516">
        <v>173.4</v>
      </c>
      <c r="D1516">
        <v>42</v>
      </c>
      <c r="E1516">
        <v>1.3</v>
      </c>
      <c r="F1516">
        <v>243.64</v>
      </c>
      <c r="G1516">
        <v>0.6</v>
      </c>
      <c r="H1516">
        <v>3.2</v>
      </c>
      <c r="I1516">
        <v>173.77869999999999</v>
      </c>
      <c r="J1516">
        <v>30.311</v>
      </c>
      <c r="K1516">
        <v>136.5984</v>
      </c>
      <c r="L1516">
        <v>4.3856999999999999</v>
      </c>
      <c r="M1516">
        <v>36.680399999999999</v>
      </c>
      <c r="N1516">
        <v>9.4088999999999992</v>
      </c>
      <c r="O1516">
        <v>-7.6647999999999996</v>
      </c>
      <c r="P1516">
        <v>73.760000000000005</v>
      </c>
      <c r="S1516">
        <f t="shared" si="509"/>
        <v>861.89420000000007</v>
      </c>
      <c r="T1516">
        <f t="shared" si="510"/>
        <v>1.4999439864667551E-2</v>
      </c>
      <c r="U1516">
        <f t="shared" si="511"/>
        <v>0.16255642953333457</v>
      </c>
      <c r="V1516">
        <f t="shared" si="512"/>
        <v>3.9373529644752318E-2</v>
      </c>
      <c r="W1516">
        <f t="shared" si="513"/>
        <v>1.2187044890042385E-3</v>
      </c>
      <c r="X1516">
        <f t="shared" si="514"/>
        <v>0.22840397053922512</v>
      </c>
      <c r="Y1516">
        <f t="shared" si="515"/>
        <v>5.6247899492503314E-4</v>
      </c>
      <c r="Z1516">
        <f t="shared" si="516"/>
        <v>2.9998879729335104E-3</v>
      </c>
      <c r="AA1516">
        <f t="shared" si="517"/>
        <v>0.16291144752563141</v>
      </c>
      <c r="AB1516">
        <f t="shared" si="518"/>
        <v>2.8415501358621132E-2</v>
      </c>
      <c r="AC1516">
        <f t="shared" si="519"/>
        <v>0.12805621790061275</v>
      </c>
      <c r="AD1516">
        <f t="shared" si="520"/>
        <v>4.1114402134045294E-3</v>
      </c>
      <c r="AE1516">
        <f t="shared" si="521"/>
        <v>3.4386590875746977E-2</v>
      </c>
      <c r="AG1516">
        <f t="shared" si="522"/>
        <v>-0.38904381999696952</v>
      </c>
      <c r="AH1516">
        <f t="shared" si="523"/>
        <v>0.48450103191458932</v>
      </c>
      <c r="AI1516">
        <f t="shared" si="524"/>
        <v>1.9525184424117383</v>
      </c>
      <c r="AK1516" s="26" t="e">
        <f t="shared" si="525"/>
        <v>#DIV/0!</v>
      </c>
      <c r="AL1516" s="26" t="e">
        <f t="shared" si="526"/>
        <v>#DIV/0!</v>
      </c>
      <c r="AM1516" s="26" t="e">
        <f t="shared" si="527"/>
        <v>#DIV/0!</v>
      </c>
      <c r="AN1516" s="26" t="e">
        <f t="shared" si="528"/>
        <v>#DIV/0!</v>
      </c>
      <c r="AO1516" s="26" t="e">
        <f t="shared" si="529"/>
        <v>#DIV/0!</v>
      </c>
      <c r="AP1516" s="26" t="e">
        <f t="shared" si="530"/>
        <v>#DIV/0!</v>
      </c>
      <c r="AS1516" s="2">
        <v>43964</v>
      </c>
      <c r="AT1516">
        <v>19.899999999999999</v>
      </c>
      <c r="AU1516">
        <v>0</v>
      </c>
      <c r="AV1516">
        <v>26.8</v>
      </c>
      <c r="AW1516">
        <v>1.2</v>
      </c>
      <c r="AX1516">
        <v>153.06</v>
      </c>
      <c r="AY1516">
        <v>0.9</v>
      </c>
      <c r="AZ1516">
        <v>3.4</v>
      </c>
      <c r="BA1516">
        <v>205.40430000000001</v>
      </c>
      <c r="BB1516">
        <v>74.949399999999997</v>
      </c>
      <c r="BC1516">
        <v>133.4736</v>
      </c>
      <c r="BD1516">
        <v>3.411</v>
      </c>
      <c r="BE1516">
        <v>30.283200000000001</v>
      </c>
      <c r="BH1516">
        <v>67.39</v>
      </c>
    </row>
    <row r="1517" spans="1:60" x14ac:dyDescent="0.25">
      <c r="A1517" s="2">
        <v>43984</v>
      </c>
      <c r="B1517">
        <v>14</v>
      </c>
      <c r="C1517">
        <v>22.1</v>
      </c>
      <c r="D1517">
        <v>10.3</v>
      </c>
      <c r="E1517">
        <v>1.3</v>
      </c>
      <c r="F1517">
        <v>286.04000000000002</v>
      </c>
      <c r="G1517">
        <v>0.6</v>
      </c>
      <c r="H1517">
        <v>3.1</v>
      </c>
      <c r="I1517">
        <v>145.96969999999999</v>
      </c>
      <c r="J1517">
        <v>41.099299999999999</v>
      </c>
      <c r="K1517">
        <v>119.85939999999999</v>
      </c>
      <c r="L1517">
        <v>4.3186</v>
      </c>
      <c r="M1517">
        <v>38.836199999999998</v>
      </c>
      <c r="N1517">
        <v>8.0562000000000005</v>
      </c>
      <c r="O1517">
        <v>-10.0799</v>
      </c>
      <c r="P1517">
        <v>73.510000000000005</v>
      </c>
      <c r="S1517">
        <f t="shared" si="509"/>
        <v>687.52319999999997</v>
      </c>
      <c r="T1517">
        <f t="shared" si="510"/>
        <v>1.3124509881584107E-2</v>
      </c>
      <c r="U1517">
        <f t="shared" si="511"/>
        <v>2.0717976313072057E-2</v>
      </c>
      <c r="V1517">
        <f t="shared" si="512"/>
        <v>9.6558894128797364E-3</v>
      </c>
      <c r="W1517">
        <f t="shared" si="513"/>
        <v>1.2187044890042385E-3</v>
      </c>
      <c r="X1517">
        <f t="shared" si="514"/>
        <v>0.26815248618059417</v>
      </c>
      <c r="Y1517">
        <f t="shared" si="515"/>
        <v>5.6247899492503314E-4</v>
      </c>
      <c r="Z1517">
        <f t="shared" si="516"/>
        <v>2.9061414737793379E-3</v>
      </c>
      <c r="AA1517">
        <f t="shared" si="517"/>
        <v>0.13684148357584766</v>
      </c>
      <c r="AB1517">
        <f t="shared" si="518"/>
        <v>3.8529154926870687E-2</v>
      </c>
      <c r="AC1517">
        <f t="shared" si="519"/>
        <v>0.11236399140719586</v>
      </c>
      <c r="AD1517">
        <f t="shared" si="520"/>
        <v>4.0485363124720805E-3</v>
      </c>
      <c r="AE1517">
        <f t="shared" si="521"/>
        <v>3.6407577904512621E-2</v>
      </c>
      <c r="AG1517">
        <f t="shared" si="522"/>
        <v>-0.4066520597182614</v>
      </c>
      <c r="AH1517">
        <f t="shared" si="523"/>
        <v>0.35274576465035123</v>
      </c>
      <c r="AI1517">
        <f t="shared" si="524"/>
        <v>0.91910309711667904</v>
      </c>
      <c r="AK1517" s="26" t="e">
        <f t="shared" si="525"/>
        <v>#DIV/0!</v>
      </c>
      <c r="AL1517" s="26" t="e">
        <f t="shared" si="526"/>
        <v>#DIV/0!</v>
      </c>
      <c r="AM1517" s="26" t="e">
        <f t="shared" si="527"/>
        <v>#DIV/0!</v>
      </c>
      <c r="AN1517" s="26" t="e">
        <f t="shared" si="528"/>
        <v>#DIV/0!</v>
      </c>
      <c r="AO1517" s="26" t="e">
        <f t="shared" si="529"/>
        <v>#DIV/0!</v>
      </c>
      <c r="AP1517" s="26" t="e">
        <f t="shared" si="530"/>
        <v>#DIV/0!</v>
      </c>
      <c r="AS1517" s="2">
        <v>43963</v>
      </c>
      <c r="AT1517">
        <v>20.9</v>
      </c>
      <c r="AU1517">
        <v>4.9000000000000004</v>
      </c>
      <c r="AV1517">
        <v>40</v>
      </c>
      <c r="AW1517">
        <v>3</v>
      </c>
      <c r="AX1517">
        <v>215.56</v>
      </c>
      <c r="AY1517">
        <v>0.8</v>
      </c>
      <c r="AZ1517">
        <v>3.5</v>
      </c>
      <c r="BA1517">
        <v>132.61590000000001</v>
      </c>
      <c r="BB1517">
        <v>63.81</v>
      </c>
      <c r="BC1517">
        <v>92.531099999999995</v>
      </c>
      <c r="BD1517">
        <v>2.8908999999999998</v>
      </c>
      <c r="BE1517">
        <v>23.7957</v>
      </c>
      <c r="BH1517">
        <v>67.2</v>
      </c>
    </row>
    <row r="1518" spans="1:60" x14ac:dyDescent="0.25">
      <c r="A1518" s="2">
        <v>43983</v>
      </c>
      <c r="B1518">
        <v>13.6</v>
      </c>
      <c r="C1518">
        <v>4.7</v>
      </c>
      <c r="D1518">
        <v>33.5</v>
      </c>
      <c r="E1518">
        <v>3.1</v>
      </c>
      <c r="F1518">
        <v>298.42</v>
      </c>
      <c r="G1518">
        <v>0.9</v>
      </c>
      <c r="H1518">
        <v>2.8</v>
      </c>
      <c r="I1518">
        <v>85.900499999999994</v>
      </c>
      <c r="J1518">
        <v>32.280299999999997</v>
      </c>
      <c r="K1518">
        <v>26.274000000000001</v>
      </c>
      <c r="L1518">
        <v>4.2930000000000001</v>
      </c>
      <c r="M1518">
        <v>18.435400000000001</v>
      </c>
      <c r="N1518">
        <v>8.1950000000000003</v>
      </c>
      <c r="O1518">
        <v>-10.2445</v>
      </c>
      <c r="P1518">
        <v>73.260000000000005</v>
      </c>
      <c r="S1518">
        <f t="shared" si="509"/>
        <v>524.20319999999992</v>
      </c>
      <c r="T1518">
        <f t="shared" si="510"/>
        <v>1.2749523884967418E-2</v>
      </c>
      <c r="U1518">
        <f t="shared" si="511"/>
        <v>4.4060854602460935E-3</v>
      </c>
      <c r="V1518">
        <f t="shared" si="512"/>
        <v>3.1405077216647682E-2</v>
      </c>
      <c r="W1518">
        <f t="shared" si="513"/>
        <v>2.9061414737793379E-3</v>
      </c>
      <c r="X1518">
        <f t="shared" si="514"/>
        <v>0.27975830277588065</v>
      </c>
      <c r="Y1518">
        <f t="shared" si="515"/>
        <v>8.4371849238754971E-4</v>
      </c>
      <c r="Z1518">
        <f t="shared" si="516"/>
        <v>2.624901976316821E-3</v>
      </c>
      <c r="AA1518">
        <f t="shared" si="517"/>
        <v>8.0528711505929676E-2</v>
      </c>
      <c r="AB1518">
        <f t="shared" si="518"/>
        <v>3.0261651166464242E-2</v>
      </c>
      <c r="AC1518">
        <f t="shared" si="519"/>
        <v>2.4630955187767201E-2</v>
      </c>
      <c r="AD1518">
        <f t="shared" si="520"/>
        <v>4.0245372086886123E-3</v>
      </c>
      <c r="AE1518">
        <f t="shared" si="521"/>
        <v>1.7282542105068261E-2</v>
      </c>
      <c r="AG1518">
        <f t="shared" si="522"/>
        <v>-0.42427988850355103</v>
      </c>
      <c r="AH1518">
        <f t="shared" si="523"/>
        <v>0.35197629338529379</v>
      </c>
      <c r="AI1518">
        <f t="shared" si="524"/>
        <v>0.91568374364990268</v>
      </c>
      <c r="AK1518" s="26" t="e">
        <f t="shared" si="525"/>
        <v>#DIV/0!</v>
      </c>
      <c r="AL1518" s="26" t="e">
        <f t="shared" si="526"/>
        <v>#DIV/0!</v>
      </c>
      <c r="AM1518" s="26" t="e">
        <f t="shared" si="527"/>
        <v>#DIV/0!</v>
      </c>
      <c r="AN1518" s="26" t="e">
        <f t="shared" si="528"/>
        <v>#DIV/0!</v>
      </c>
      <c r="AO1518" s="26" t="e">
        <f t="shared" si="529"/>
        <v>#DIV/0!</v>
      </c>
      <c r="AP1518" s="26" t="e">
        <f t="shared" si="530"/>
        <v>#DIV/0!</v>
      </c>
      <c r="AS1518" s="2">
        <v>43962</v>
      </c>
      <c r="AT1518">
        <v>18.899999999999999</v>
      </c>
      <c r="AU1518">
        <v>30.7</v>
      </c>
      <c r="AV1518">
        <v>64.2</v>
      </c>
      <c r="AW1518">
        <v>6.1</v>
      </c>
      <c r="AX1518">
        <v>119.48</v>
      </c>
      <c r="AY1518">
        <v>0.9</v>
      </c>
      <c r="AZ1518">
        <v>3.2</v>
      </c>
      <c r="BA1518">
        <v>98.247500000000002</v>
      </c>
      <c r="BB1518">
        <v>50.474899999999998</v>
      </c>
      <c r="BC1518">
        <v>44.503</v>
      </c>
      <c r="BD1518">
        <v>2.1616</v>
      </c>
      <c r="BE1518">
        <v>24.828800000000001</v>
      </c>
      <c r="BH1518">
        <v>67.05</v>
      </c>
    </row>
    <row r="1519" spans="1:60" x14ac:dyDescent="0.25">
      <c r="A1519" s="2">
        <v>43982</v>
      </c>
      <c r="B1519">
        <v>14.1</v>
      </c>
      <c r="C1519">
        <v>0</v>
      </c>
      <c r="D1519">
        <v>33.700000000000003</v>
      </c>
      <c r="E1519">
        <v>3.6</v>
      </c>
      <c r="F1519">
        <v>240.73</v>
      </c>
      <c r="G1519">
        <v>0.9</v>
      </c>
      <c r="H1519">
        <v>2.8</v>
      </c>
      <c r="I1519">
        <v>79.341700000000003</v>
      </c>
      <c r="J1519">
        <v>40.774099999999997</v>
      </c>
      <c r="K1519">
        <v>26.3247</v>
      </c>
      <c r="L1519">
        <v>4.2763999999999998</v>
      </c>
      <c r="M1519">
        <v>16.192399999999999</v>
      </c>
      <c r="P1519">
        <v>73.06</v>
      </c>
      <c r="S1519">
        <f t="shared" si="509"/>
        <v>462.73930000000001</v>
      </c>
      <c r="T1519">
        <f t="shared" si="510"/>
        <v>1.3218256380738279E-2</v>
      </c>
      <c r="U1519">
        <f t="shared" si="511"/>
        <v>0</v>
      </c>
      <c r="V1519">
        <f t="shared" si="512"/>
        <v>3.1592570214956033E-2</v>
      </c>
      <c r="W1519">
        <f t="shared" si="513"/>
        <v>3.3748739695501988E-3</v>
      </c>
      <c r="X1519">
        <f t="shared" si="514"/>
        <v>0.2256759474138387</v>
      </c>
      <c r="Y1519">
        <f t="shared" si="515"/>
        <v>8.4371849238754971E-4</v>
      </c>
      <c r="Z1519">
        <f t="shared" si="516"/>
        <v>2.624901976316821E-3</v>
      </c>
      <c r="AA1519">
        <f t="shared" si="517"/>
        <v>7.4380066119405841E-2</v>
      </c>
      <c r="AB1519">
        <f t="shared" si="518"/>
        <v>3.822429131162132E-2</v>
      </c>
      <c r="AC1519">
        <f t="shared" si="519"/>
        <v>2.4678484662838368E-2</v>
      </c>
      <c r="AD1519">
        <f t="shared" si="520"/>
        <v>4.008975289829019E-3</v>
      </c>
      <c r="AE1519">
        <f t="shared" si="521"/>
        <v>1.5179808129040177E-2</v>
      </c>
      <c r="AG1519">
        <f t="shared" si="522"/>
        <v>-0.43854876606064491</v>
      </c>
      <c r="AH1519">
        <f t="shared" si="523"/>
        <v>0.29251007657682776</v>
      </c>
      <c r="AI1519">
        <f t="shared" si="524"/>
        <v>0.44539047715288216</v>
      </c>
      <c r="AK1519" s="26" t="e">
        <f t="shared" si="525"/>
        <v>#DIV/0!</v>
      </c>
      <c r="AL1519" s="26" t="e">
        <f t="shared" si="526"/>
        <v>#DIV/0!</v>
      </c>
      <c r="AM1519" s="26" t="e">
        <f t="shared" si="527"/>
        <v>#DIV/0!</v>
      </c>
      <c r="AN1519" s="26" t="e">
        <f t="shared" si="528"/>
        <v>#DIV/0!</v>
      </c>
      <c r="AO1519" s="26" t="e">
        <f t="shared" si="529"/>
        <v>#DIV/0!</v>
      </c>
      <c r="AP1519" s="26" t="e">
        <f t="shared" si="530"/>
        <v>#DIV/0!</v>
      </c>
      <c r="AS1519" s="2">
        <v>43961</v>
      </c>
      <c r="AT1519">
        <v>18.3</v>
      </c>
      <c r="AU1519">
        <v>14.9</v>
      </c>
      <c r="AV1519">
        <v>35.299999999999997</v>
      </c>
      <c r="AW1519">
        <v>2</v>
      </c>
      <c r="AX1519">
        <v>169.37</v>
      </c>
      <c r="AY1519">
        <v>0.7</v>
      </c>
      <c r="AZ1519">
        <v>3.4</v>
      </c>
      <c r="BA1519">
        <v>107.6575</v>
      </c>
      <c r="BB1519">
        <v>56.884399999999999</v>
      </c>
      <c r="BC1519">
        <v>29.6372</v>
      </c>
      <c r="BD1519">
        <v>4.6950000000000003</v>
      </c>
      <c r="BE1519">
        <v>19.448499999999999</v>
      </c>
      <c r="BH1519">
        <v>66.72</v>
      </c>
    </row>
    <row r="1520" spans="1:60" x14ac:dyDescent="0.25">
      <c r="A1520" s="2">
        <v>43981</v>
      </c>
      <c r="B1520">
        <v>16.7</v>
      </c>
      <c r="C1520">
        <v>4.3</v>
      </c>
      <c r="D1520">
        <v>12.4</v>
      </c>
      <c r="E1520">
        <v>3.3</v>
      </c>
      <c r="F1520">
        <v>228.19</v>
      </c>
      <c r="G1520">
        <v>0.9</v>
      </c>
      <c r="H1520">
        <v>3.4</v>
      </c>
      <c r="I1520">
        <v>83.586500000000001</v>
      </c>
      <c r="J1520">
        <v>33.1417</v>
      </c>
      <c r="K1520">
        <v>39.504100000000001</v>
      </c>
      <c r="L1520">
        <v>4.2777000000000003</v>
      </c>
      <c r="M1520">
        <v>20.437100000000001</v>
      </c>
      <c r="P1520">
        <v>71.98</v>
      </c>
      <c r="S1520">
        <f t="shared" si="509"/>
        <v>450.13709999999992</v>
      </c>
      <c r="T1520">
        <f t="shared" si="510"/>
        <v>1.5655665358746754E-2</v>
      </c>
      <c r="U1520">
        <f t="shared" si="511"/>
        <v>4.0310994636294038E-3</v>
      </c>
      <c r="V1520">
        <f t="shared" si="512"/>
        <v>1.1624565895117352E-2</v>
      </c>
      <c r="W1520">
        <f t="shared" si="513"/>
        <v>3.0936344720876819E-3</v>
      </c>
      <c r="X1520">
        <f t="shared" si="514"/>
        <v>0.21392013641990551</v>
      </c>
      <c r="Y1520">
        <f t="shared" si="515"/>
        <v>8.4371849238754971E-4</v>
      </c>
      <c r="Z1520">
        <f t="shared" si="516"/>
        <v>3.1873809712418544E-3</v>
      </c>
      <c r="AA1520">
        <f t="shared" si="517"/>
        <v>7.8359417515502142E-2</v>
      </c>
      <c r="AB1520">
        <f t="shared" si="518"/>
        <v>3.1069183510178285E-2</v>
      </c>
      <c r="AC1520">
        <f t="shared" si="519"/>
        <v>3.7033710772363337E-2</v>
      </c>
      <c r="AD1520">
        <f t="shared" si="520"/>
        <v>4.0101939943180242E-3</v>
      </c>
      <c r="AE1520">
        <f t="shared" si="521"/>
        <v>1.9159065778637324E-2</v>
      </c>
      <c r="AG1520">
        <f t="shared" si="522"/>
        <v>-0.51225799743715472</v>
      </c>
      <c r="AH1520">
        <f t="shared" si="523"/>
        <v>0.27151526685175342</v>
      </c>
      <c r="AI1520">
        <f t="shared" si="524"/>
        <v>0.27946890572685612</v>
      </c>
      <c r="AK1520" s="26" t="e">
        <f t="shared" si="525"/>
        <v>#DIV/0!</v>
      </c>
      <c r="AL1520" s="26" t="e">
        <f t="shared" si="526"/>
        <v>#DIV/0!</v>
      </c>
      <c r="AM1520" s="26" t="e">
        <f t="shared" si="527"/>
        <v>#DIV/0!</v>
      </c>
      <c r="AN1520" s="26" t="e">
        <f t="shared" si="528"/>
        <v>#DIV/0!</v>
      </c>
      <c r="AO1520" s="26" t="e">
        <f t="shared" si="529"/>
        <v>#DIV/0!</v>
      </c>
      <c r="AP1520" s="26" t="e">
        <f t="shared" si="530"/>
        <v>#DIV/0!</v>
      </c>
      <c r="AS1520" s="2">
        <v>43960</v>
      </c>
      <c r="AU1520">
        <v>9.8000000000000007</v>
      </c>
      <c r="AX1520">
        <v>208.57</v>
      </c>
      <c r="BC1520">
        <v>86.148300000000006</v>
      </c>
      <c r="BH1520">
        <v>66.31</v>
      </c>
    </row>
    <row r="1521" spans="1:60" x14ac:dyDescent="0.25">
      <c r="A1521" s="2">
        <v>43980</v>
      </c>
      <c r="B1521">
        <v>18.100000000000001</v>
      </c>
      <c r="C1521">
        <v>130.4</v>
      </c>
      <c r="D1521">
        <v>8.1</v>
      </c>
      <c r="E1521">
        <v>1.4</v>
      </c>
      <c r="F1521">
        <v>252.4</v>
      </c>
      <c r="G1521">
        <v>0.9</v>
      </c>
      <c r="H1521">
        <v>3.6</v>
      </c>
      <c r="I1521">
        <v>130.50479999999999</v>
      </c>
      <c r="J1521">
        <v>28.367899999999999</v>
      </c>
      <c r="K1521">
        <v>114.0536</v>
      </c>
      <c r="L1521">
        <v>4.3192000000000004</v>
      </c>
      <c r="M1521">
        <v>28.296500000000002</v>
      </c>
      <c r="N1521">
        <v>4.5646000000000004</v>
      </c>
      <c r="O1521">
        <v>-13.289199999999999</v>
      </c>
      <c r="P1521">
        <v>72.400000000000006</v>
      </c>
      <c r="S1521">
        <f t="shared" si="509"/>
        <v>720.44200000000001</v>
      </c>
      <c r="T1521">
        <f t="shared" si="510"/>
        <v>1.696811634690517E-2</v>
      </c>
      <c r="U1521">
        <f t="shared" si="511"/>
        <v>0.12224543489704054</v>
      </c>
      <c r="V1521">
        <f t="shared" si="512"/>
        <v>7.593466431487947E-3</v>
      </c>
      <c r="W1521">
        <f t="shared" si="513"/>
        <v>1.3124509881584105E-3</v>
      </c>
      <c r="X1521">
        <f t="shared" si="514"/>
        <v>0.23661616386513062</v>
      </c>
      <c r="Y1521">
        <f t="shared" si="515"/>
        <v>8.4371849238754971E-4</v>
      </c>
      <c r="Z1521">
        <f t="shared" si="516"/>
        <v>3.3748739695501988E-3</v>
      </c>
      <c r="AA1521">
        <f t="shared" si="517"/>
        <v>0.1223436812281541</v>
      </c>
      <c r="AB1521">
        <f t="shared" si="518"/>
        <v>2.6593913133556413E-2</v>
      </c>
      <c r="AC1521">
        <f t="shared" si="519"/>
        <v>0.10692125715930294</v>
      </c>
      <c r="AD1521">
        <f t="shared" si="520"/>
        <v>4.0490987914670058E-3</v>
      </c>
      <c r="AE1521">
        <f t="shared" si="521"/>
        <v>2.6526978133160337E-2</v>
      </c>
      <c r="AG1521">
        <f t="shared" si="522"/>
        <v>-0.48490145743022528</v>
      </c>
      <c r="AH1521">
        <f t="shared" si="523"/>
        <v>0.41548120312382081</v>
      </c>
      <c r="AI1521">
        <f t="shared" si="524"/>
        <v>1.4218663152980584</v>
      </c>
      <c r="AK1521" s="26" t="e">
        <f t="shared" si="525"/>
        <v>#DIV/0!</v>
      </c>
      <c r="AL1521" s="26" t="e">
        <f t="shared" si="526"/>
        <v>#DIV/0!</v>
      </c>
      <c r="AM1521" s="26" t="e">
        <f t="shared" si="527"/>
        <v>#DIV/0!</v>
      </c>
      <c r="AN1521" s="26" t="e">
        <f t="shared" si="528"/>
        <v>#DIV/0!</v>
      </c>
      <c r="AO1521" s="26" t="e">
        <f t="shared" si="529"/>
        <v>#DIV/0!</v>
      </c>
      <c r="AP1521" s="26" t="e">
        <f t="shared" si="530"/>
        <v>#DIV/0!</v>
      </c>
      <c r="AS1521" s="2">
        <v>43959</v>
      </c>
      <c r="AT1521">
        <v>17.8</v>
      </c>
      <c r="AU1521">
        <v>5</v>
      </c>
      <c r="AV1521">
        <v>14.7</v>
      </c>
      <c r="AW1521">
        <v>0.6</v>
      </c>
      <c r="AX1521">
        <v>259.61</v>
      </c>
      <c r="AY1521">
        <v>0.7</v>
      </c>
      <c r="AZ1521">
        <v>3.7</v>
      </c>
      <c r="BA1521">
        <v>201.92699999999999</v>
      </c>
      <c r="BB1521">
        <v>34.543100000000003</v>
      </c>
      <c r="BC1521">
        <v>108.07940000000001</v>
      </c>
      <c r="BD1521">
        <v>2.7006000000000001</v>
      </c>
      <c r="BE1521">
        <v>26.5916</v>
      </c>
      <c r="BH1521">
        <v>65.81</v>
      </c>
    </row>
    <row r="1522" spans="1:60" x14ac:dyDescent="0.25">
      <c r="A1522" s="2">
        <v>43979</v>
      </c>
      <c r="B1522">
        <v>18.100000000000001</v>
      </c>
      <c r="C1522">
        <v>36.4</v>
      </c>
      <c r="D1522">
        <v>19.2</v>
      </c>
      <c r="E1522">
        <v>3.3</v>
      </c>
      <c r="F1522">
        <v>247.05</v>
      </c>
      <c r="G1522">
        <v>0.6</v>
      </c>
      <c r="H1522">
        <v>3.6</v>
      </c>
      <c r="I1522">
        <v>123.0423</v>
      </c>
      <c r="J1522">
        <v>32.638399999999997</v>
      </c>
      <c r="K1522">
        <v>119.89919999999999</v>
      </c>
      <c r="L1522">
        <v>4.3173000000000004</v>
      </c>
      <c r="M1522">
        <v>27.620899999999999</v>
      </c>
      <c r="N1522">
        <v>5.3026</v>
      </c>
      <c r="O1522">
        <v>-12.844099999999999</v>
      </c>
      <c r="P1522">
        <v>72.14</v>
      </c>
      <c r="S1522">
        <f t="shared" si="509"/>
        <v>635.76810000000012</v>
      </c>
      <c r="T1522">
        <f t="shared" si="510"/>
        <v>1.696811634690517E-2</v>
      </c>
      <c r="U1522">
        <f t="shared" si="511"/>
        <v>3.4123725692118675E-2</v>
      </c>
      <c r="V1522">
        <f t="shared" si="512"/>
        <v>1.799932783760106E-2</v>
      </c>
      <c r="W1522">
        <f t="shared" si="513"/>
        <v>3.0936344720876819E-3</v>
      </c>
      <c r="X1522">
        <f t="shared" si="514"/>
        <v>0.23160072616038241</v>
      </c>
      <c r="Y1522">
        <f t="shared" si="515"/>
        <v>5.6247899492503314E-4</v>
      </c>
      <c r="Z1522">
        <f t="shared" si="516"/>
        <v>3.3748739695501988E-3</v>
      </c>
      <c r="AA1522">
        <f t="shared" si="517"/>
        <v>0.115347848728774</v>
      </c>
      <c r="AB1522">
        <f t="shared" si="518"/>
        <v>3.0597357379935335E-2</v>
      </c>
      <c r="AC1522">
        <f t="shared" si="519"/>
        <v>0.11240130251385921</v>
      </c>
      <c r="AD1522">
        <f t="shared" si="520"/>
        <v>4.0473176079830761E-3</v>
      </c>
      <c r="AE1522">
        <f t="shared" si="521"/>
        <v>2.5893626784874745E-2</v>
      </c>
      <c r="AG1522">
        <f t="shared" si="522"/>
        <v>-0.50332074058047571</v>
      </c>
      <c r="AH1522">
        <f t="shared" si="523"/>
        <v>0.33361651025844496</v>
      </c>
      <c r="AI1522">
        <f t="shared" si="524"/>
        <v>0.77841160583590874</v>
      </c>
      <c r="AK1522" s="26" t="e">
        <f t="shared" si="525"/>
        <v>#DIV/0!</v>
      </c>
      <c r="AL1522" s="26" t="e">
        <f t="shared" si="526"/>
        <v>#DIV/0!</v>
      </c>
      <c r="AM1522" s="26" t="e">
        <f t="shared" si="527"/>
        <v>#DIV/0!</v>
      </c>
      <c r="AN1522" s="26" t="e">
        <f t="shared" si="528"/>
        <v>#DIV/0!</v>
      </c>
      <c r="AO1522" s="26" t="e">
        <f t="shared" si="529"/>
        <v>#DIV/0!</v>
      </c>
      <c r="AP1522" s="26" t="e">
        <f t="shared" si="530"/>
        <v>#DIV/0!</v>
      </c>
      <c r="AS1522" s="2">
        <v>43958</v>
      </c>
      <c r="AT1522">
        <v>18.5</v>
      </c>
      <c r="AU1522">
        <v>59.4</v>
      </c>
      <c r="AV1522">
        <v>16.7</v>
      </c>
      <c r="AW1522">
        <v>1.9</v>
      </c>
      <c r="AX1522">
        <v>263.49</v>
      </c>
      <c r="AY1522">
        <v>0.8</v>
      </c>
      <c r="AZ1522">
        <v>3.5</v>
      </c>
      <c r="BA1522">
        <v>178.23429999999999</v>
      </c>
      <c r="BB1522">
        <v>32.3992</v>
      </c>
      <c r="BC1522">
        <v>108.84910000000001</v>
      </c>
      <c r="BD1522">
        <v>2.694</v>
      </c>
      <c r="BE1522">
        <v>26.896599999999999</v>
      </c>
      <c r="BH1522">
        <v>65.400000000000006</v>
      </c>
    </row>
    <row r="1523" spans="1:60" x14ac:dyDescent="0.25">
      <c r="A1523" s="2">
        <v>43978</v>
      </c>
      <c r="B1523">
        <v>18.899999999999999</v>
      </c>
      <c r="C1523">
        <v>7.6</v>
      </c>
      <c r="D1523">
        <v>14.3</v>
      </c>
      <c r="E1523">
        <v>1</v>
      </c>
      <c r="F1523">
        <v>265.20999999999998</v>
      </c>
      <c r="H1523">
        <v>3.8</v>
      </c>
      <c r="I1523">
        <v>146.13310000000001</v>
      </c>
      <c r="J1523">
        <v>48.712600000000002</v>
      </c>
      <c r="K1523">
        <v>134.39500000000001</v>
      </c>
      <c r="L1523">
        <v>3.9216000000000002</v>
      </c>
      <c r="M1523">
        <v>27.632300000000001</v>
      </c>
      <c r="N1523">
        <v>5.2430000000000003</v>
      </c>
      <c r="O1523">
        <v>-12.6729</v>
      </c>
      <c r="P1523">
        <v>71.900000000000006</v>
      </c>
      <c r="S1523">
        <f t="shared" si="509"/>
        <v>671.6046</v>
      </c>
      <c r="T1523">
        <f t="shared" si="510"/>
        <v>1.7718088340138542E-2</v>
      </c>
      <c r="U1523">
        <f t="shared" si="511"/>
        <v>7.1247339357170866E-3</v>
      </c>
      <c r="V1523">
        <f t="shared" si="512"/>
        <v>1.3405749379046624E-2</v>
      </c>
      <c r="W1523">
        <f t="shared" si="513"/>
        <v>9.3746499154172193E-4</v>
      </c>
      <c r="X1523">
        <f t="shared" si="514"/>
        <v>0.24862509040678005</v>
      </c>
      <c r="Y1523">
        <f t="shared" si="515"/>
        <v>0</v>
      </c>
      <c r="Z1523">
        <f t="shared" si="516"/>
        <v>3.5623669678585433E-3</v>
      </c>
      <c r="AA1523">
        <f t="shared" si="517"/>
        <v>0.13699466535546562</v>
      </c>
      <c r="AB1523">
        <f t="shared" si="518"/>
        <v>4.5666357146975284E-2</v>
      </c>
      <c r="AC1523">
        <f t="shared" si="519"/>
        <v>0.12599060753824973</v>
      </c>
      <c r="AD1523">
        <f t="shared" si="520"/>
        <v>3.6763627108300167E-3</v>
      </c>
      <c r="AE1523">
        <f t="shared" si="521"/>
        <v>2.5904313885778324E-2</v>
      </c>
      <c r="AG1523">
        <f t="shared" si="522"/>
        <v>-0.52042539230953788</v>
      </c>
      <c r="AH1523">
        <f t="shared" si="523"/>
        <v>0.31727780790686089</v>
      </c>
      <c r="AI1523">
        <f t="shared" si="524"/>
        <v>0.65070454448849291</v>
      </c>
      <c r="AK1523" s="26" t="e">
        <f t="shared" si="525"/>
        <v>#DIV/0!</v>
      </c>
      <c r="AL1523" s="26" t="e">
        <f t="shared" si="526"/>
        <v>#DIV/0!</v>
      </c>
      <c r="AM1523" s="26" t="e">
        <f t="shared" si="527"/>
        <v>#DIV/0!</v>
      </c>
      <c r="AN1523" s="26" t="e">
        <f t="shared" si="528"/>
        <v>#DIV/0!</v>
      </c>
      <c r="AO1523" s="26" t="e">
        <f t="shared" si="529"/>
        <v>#DIV/0!</v>
      </c>
      <c r="AP1523" s="26" t="e">
        <f t="shared" si="530"/>
        <v>#DIV/0!</v>
      </c>
      <c r="AS1523" s="2">
        <v>43957</v>
      </c>
      <c r="AT1523">
        <v>19.399999999999999</v>
      </c>
      <c r="AU1523">
        <v>4.3</v>
      </c>
      <c r="AV1523">
        <v>20.3</v>
      </c>
      <c r="AW1523">
        <v>3.1</v>
      </c>
      <c r="AX1523">
        <v>265.33</v>
      </c>
      <c r="AY1523">
        <v>0.8</v>
      </c>
      <c r="AZ1523">
        <v>3.5</v>
      </c>
      <c r="BA1523">
        <v>175.24529999999999</v>
      </c>
      <c r="BB1523">
        <v>41.387599999999999</v>
      </c>
      <c r="BC1523">
        <v>91.0197</v>
      </c>
      <c r="BD1523">
        <v>2.6572</v>
      </c>
      <c r="BE1523">
        <v>24.1449</v>
      </c>
      <c r="BH1523">
        <v>65.069999999999993</v>
      </c>
    </row>
    <row r="1524" spans="1:60" x14ac:dyDescent="0.25">
      <c r="A1524" s="2">
        <v>43977</v>
      </c>
      <c r="B1524">
        <v>20.399999999999999</v>
      </c>
      <c r="C1524">
        <v>87.5</v>
      </c>
      <c r="D1524">
        <v>0.9</v>
      </c>
      <c r="E1524">
        <v>0.5</v>
      </c>
      <c r="F1524">
        <v>234.86</v>
      </c>
      <c r="G1524">
        <v>0.3</v>
      </c>
      <c r="H1524">
        <v>4.2</v>
      </c>
      <c r="I1524">
        <v>191.26929999999999</v>
      </c>
      <c r="J1524">
        <v>65.447000000000003</v>
      </c>
      <c r="K1524">
        <v>148.20189999999999</v>
      </c>
      <c r="L1524">
        <v>4.5925000000000002</v>
      </c>
      <c r="M1524">
        <v>37.863700000000001</v>
      </c>
      <c r="N1524">
        <v>5.0960999999999999</v>
      </c>
      <c r="O1524">
        <v>-12.0046</v>
      </c>
      <c r="P1524">
        <v>71.7</v>
      </c>
      <c r="S1524">
        <f t="shared" si="509"/>
        <v>796.03440000000001</v>
      </c>
      <c r="T1524">
        <f t="shared" si="510"/>
        <v>1.9124285827451126E-2</v>
      </c>
      <c r="U1524">
        <f t="shared" si="511"/>
        <v>8.2028186759900673E-2</v>
      </c>
      <c r="V1524">
        <f t="shared" si="512"/>
        <v>8.4371849238754971E-4</v>
      </c>
      <c r="W1524">
        <f t="shared" si="513"/>
        <v>4.6873249577086097E-4</v>
      </c>
      <c r="X1524">
        <f t="shared" si="514"/>
        <v>0.22017302791348883</v>
      </c>
      <c r="Y1524">
        <f t="shared" si="515"/>
        <v>2.8123949746251657E-4</v>
      </c>
      <c r="Z1524">
        <f t="shared" si="516"/>
        <v>3.9373529644752322E-3</v>
      </c>
      <c r="AA1524">
        <f t="shared" si="517"/>
        <v>0.17930827270669106</v>
      </c>
      <c r="AB1524">
        <f t="shared" si="518"/>
        <v>6.1354271301431076E-2</v>
      </c>
      <c r="AC1524">
        <f t="shared" si="519"/>
        <v>0.13893409292996711</v>
      </c>
      <c r="AD1524">
        <f t="shared" si="520"/>
        <v>4.3053079736553581E-3</v>
      </c>
      <c r="AE1524">
        <f t="shared" si="521"/>
        <v>3.5495893200238299E-2</v>
      </c>
      <c r="AG1524">
        <f t="shared" si="522"/>
        <v>-0.5348726719768403</v>
      </c>
      <c r="AH1524">
        <f t="shared" si="523"/>
        <v>0.36235243715117504</v>
      </c>
      <c r="AI1524">
        <f t="shared" si="524"/>
        <v>1.0097649928323529</v>
      </c>
      <c r="AK1524" s="26" t="e">
        <f t="shared" si="525"/>
        <v>#DIV/0!</v>
      </c>
      <c r="AL1524" s="26" t="e">
        <f t="shared" si="526"/>
        <v>#DIV/0!</v>
      </c>
      <c r="AM1524" s="26" t="e">
        <f t="shared" si="527"/>
        <v>#DIV/0!</v>
      </c>
      <c r="AN1524" s="26" t="e">
        <f t="shared" si="528"/>
        <v>#DIV/0!</v>
      </c>
      <c r="AO1524" s="26" t="e">
        <f t="shared" si="529"/>
        <v>#DIV/0!</v>
      </c>
      <c r="AP1524" s="26" t="e">
        <f t="shared" si="530"/>
        <v>#DIV/0!</v>
      </c>
      <c r="AS1524" s="2">
        <v>43956</v>
      </c>
      <c r="AT1524">
        <v>16.399999999999999</v>
      </c>
      <c r="AU1524">
        <v>48.7</v>
      </c>
      <c r="AV1524">
        <v>25.7</v>
      </c>
      <c r="AW1524">
        <v>2.5</v>
      </c>
      <c r="AX1524">
        <v>223.1</v>
      </c>
      <c r="AY1524">
        <v>0.8</v>
      </c>
      <c r="AZ1524">
        <v>3.3</v>
      </c>
      <c r="BA1524">
        <v>182.6429</v>
      </c>
      <c r="BB1524">
        <v>40.986800000000002</v>
      </c>
      <c r="BC1524">
        <v>95.953599999999994</v>
      </c>
      <c r="BD1524">
        <v>2.6831</v>
      </c>
      <c r="BE1524">
        <v>26.208100000000002</v>
      </c>
      <c r="BH1524">
        <v>64.78</v>
      </c>
    </row>
    <row r="1525" spans="1:60" x14ac:dyDescent="0.25">
      <c r="A1525" s="2">
        <v>43976</v>
      </c>
      <c r="B1525">
        <v>20.100000000000001</v>
      </c>
      <c r="C1525">
        <v>101.6</v>
      </c>
      <c r="D1525">
        <v>45</v>
      </c>
      <c r="E1525">
        <v>5.2</v>
      </c>
      <c r="F1525">
        <v>161.13999999999999</v>
      </c>
      <c r="G1525">
        <v>0.9</v>
      </c>
      <c r="H1525">
        <v>3.7</v>
      </c>
      <c r="I1525">
        <v>117.3402</v>
      </c>
      <c r="J1525">
        <v>50.825000000000003</v>
      </c>
      <c r="K1525">
        <v>79.074799999999996</v>
      </c>
      <c r="L1525">
        <v>4.2812999999999999</v>
      </c>
      <c r="M1525">
        <v>31.504100000000001</v>
      </c>
      <c r="N1525">
        <v>4.0351999999999997</v>
      </c>
      <c r="O1525">
        <v>-11.710599999999999</v>
      </c>
      <c r="P1525">
        <v>71.39</v>
      </c>
      <c r="S1525">
        <f t="shared" si="509"/>
        <v>620.66539999999986</v>
      </c>
      <c r="T1525">
        <f t="shared" si="510"/>
        <v>1.8843046329988612E-2</v>
      </c>
      <c r="U1525">
        <f t="shared" si="511"/>
        <v>9.5246443140638945E-2</v>
      </c>
      <c r="V1525">
        <f t="shared" si="512"/>
        <v>4.2185924619377486E-2</v>
      </c>
      <c r="W1525">
        <f t="shared" si="513"/>
        <v>4.874817956016954E-3</v>
      </c>
      <c r="X1525">
        <f t="shared" si="514"/>
        <v>0.15106310873703305</v>
      </c>
      <c r="Y1525">
        <f t="shared" si="515"/>
        <v>8.4371849238754971E-4</v>
      </c>
      <c r="Z1525">
        <f t="shared" si="516"/>
        <v>3.4686204687043713E-3</v>
      </c>
      <c r="AA1525">
        <f t="shared" si="517"/>
        <v>0.11000232960050395</v>
      </c>
      <c r="AB1525">
        <f t="shared" si="518"/>
        <v>4.7646658195108021E-2</v>
      </c>
      <c r="AC1525">
        <f t="shared" si="519"/>
        <v>7.4129856713163342E-2</v>
      </c>
      <c r="AD1525">
        <f t="shared" si="520"/>
        <v>4.0135688682875741E-3</v>
      </c>
      <c r="AE1525">
        <f t="shared" si="521"/>
        <v>2.9533990840029563E-2</v>
      </c>
      <c r="AG1525">
        <f t="shared" si="522"/>
        <v>-0.55673498466214222</v>
      </c>
      <c r="AH1525">
        <f t="shared" si="523"/>
        <v>0.34605967058417658</v>
      </c>
      <c r="AI1525">
        <f t="shared" si="524"/>
        <v>0.88384345627682448</v>
      </c>
      <c r="AK1525" s="26" t="e">
        <f t="shared" si="525"/>
        <v>#DIV/0!</v>
      </c>
      <c r="AL1525" s="26" t="e">
        <f t="shared" si="526"/>
        <v>#DIV/0!</v>
      </c>
      <c r="AM1525" s="26" t="e">
        <f t="shared" si="527"/>
        <v>#DIV/0!</v>
      </c>
      <c r="AN1525" s="26" t="e">
        <f t="shared" si="528"/>
        <v>#DIV/0!</v>
      </c>
      <c r="AO1525" s="26" t="e">
        <f t="shared" si="529"/>
        <v>#DIV/0!</v>
      </c>
      <c r="AP1525" s="26" t="e">
        <f t="shared" si="530"/>
        <v>#DIV/0!</v>
      </c>
      <c r="AS1525" s="2">
        <v>43955</v>
      </c>
      <c r="AT1525">
        <v>16.399999999999999</v>
      </c>
      <c r="AU1525">
        <v>1.7</v>
      </c>
      <c r="AV1525">
        <v>22.6</v>
      </c>
      <c r="AW1525">
        <v>1.7</v>
      </c>
      <c r="AX1525">
        <v>161.91999999999999</v>
      </c>
      <c r="AY1525">
        <v>0.9</v>
      </c>
      <c r="AZ1525">
        <v>3.5</v>
      </c>
      <c r="BA1525">
        <v>204.72190000000001</v>
      </c>
      <c r="BB1525">
        <v>45.635599999999997</v>
      </c>
      <c r="BC1525">
        <v>112.6237</v>
      </c>
      <c r="BD1525">
        <v>2.6884999999999999</v>
      </c>
      <c r="BE1525">
        <v>31.564599999999999</v>
      </c>
      <c r="BH1525">
        <v>64.48</v>
      </c>
    </row>
    <row r="1526" spans="1:60" x14ac:dyDescent="0.25">
      <c r="A1526" s="2">
        <v>43975</v>
      </c>
      <c r="B1526">
        <v>16.600000000000001</v>
      </c>
      <c r="C1526">
        <v>0</v>
      </c>
      <c r="D1526">
        <v>41.1</v>
      </c>
      <c r="E1526">
        <v>4.9000000000000004</v>
      </c>
      <c r="F1526">
        <v>187.98</v>
      </c>
      <c r="G1526">
        <v>0.8</v>
      </c>
      <c r="H1526">
        <v>2.2999999999999998</v>
      </c>
      <c r="I1526">
        <v>86.03</v>
      </c>
      <c r="J1526">
        <v>46.786200000000001</v>
      </c>
      <c r="K1526">
        <v>21.1831</v>
      </c>
      <c r="L1526">
        <v>4.2915999999999999</v>
      </c>
      <c r="M1526">
        <v>13.960599999999999</v>
      </c>
      <c r="P1526">
        <v>71.08</v>
      </c>
      <c r="S1526">
        <f t="shared" si="509"/>
        <v>425.93150000000009</v>
      </c>
      <c r="T1526">
        <f t="shared" si="510"/>
        <v>1.5561918859592586E-2</v>
      </c>
      <c r="U1526">
        <f t="shared" si="511"/>
        <v>0</v>
      </c>
      <c r="V1526">
        <f t="shared" si="512"/>
        <v>3.8529811152364771E-2</v>
      </c>
      <c r="W1526">
        <f t="shared" si="513"/>
        <v>4.5935784585544375E-3</v>
      </c>
      <c r="X1526">
        <f t="shared" si="514"/>
        <v>0.17622466911001289</v>
      </c>
      <c r="Y1526">
        <f t="shared" si="515"/>
        <v>7.4997199323337759E-4</v>
      </c>
      <c r="Z1526">
        <f t="shared" si="516"/>
        <v>2.1561694805459601E-3</v>
      </c>
      <c r="AA1526">
        <f t="shared" si="517"/>
        <v>8.0650113222334341E-2</v>
      </c>
      <c r="AB1526">
        <f t="shared" si="518"/>
        <v>4.3860424587269312E-2</v>
      </c>
      <c r="AC1526">
        <f t="shared" si="519"/>
        <v>1.9858414662327448E-2</v>
      </c>
      <c r="AD1526">
        <f t="shared" si="520"/>
        <v>4.0232247577004533E-3</v>
      </c>
      <c r="AE1526">
        <f t="shared" si="521"/>
        <v>1.3087573760917362E-2</v>
      </c>
      <c r="AG1526">
        <f t="shared" si="522"/>
        <v>-0.57864187880141427</v>
      </c>
      <c r="AH1526">
        <f t="shared" si="523"/>
        <v>0.25090369281522135</v>
      </c>
      <c r="AI1526">
        <f t="shared" si="524"/>
        <v>0.13182358411047568</v>
      </c>
      <c r="AK1526" s="26" t="e">
        <f t="shared" si="525"/>
        <v>#DIV/0!</v>
      </c>
      <c r="AL1526" s="26" t="e">
        <f t="shared" si="526"/>
        <v>#DIV/0!</v>
      </c>
      <c r="AM1526" s="26" t="e">
        <f t="shared" si="527"/>
        <v>#DIV/0!</v>
      </c>
      <c r="AN1526" s="26" t="e">
        <f t="shared" si="528"/>
        <v>#DIV/0!</v>
      </c>
      <c r="AO1526" s="26" t="e">
        <f t="shared" si="529"/>
        <v>#DIV/0!</v>
      </c>
      <c r="AP1526" s="26" t="e">
        <f t="shared" si="530"/>
        <v>#DIV/0!</v>
      </c>
      <c r="AS1526" s="2">
        <v>43954</v>
      </c>
      <c r="AT1526">
        <v>17.399999999999999</v>
      </c>
      <c r="AU1526">
        <v>62.6</v>
      </c>
      <c r="AV1526">
        <v>11.1</v>
      </c>
      <c r="AW1526">
        <v>1.6</v>
      </c>
      <c r="AX1526">
        <v>184.21</v>
      </c>
      <c r="AY1526">
        <v>0.9</v>
      </c>
      <c r="AZ1526">
        <v>3.1</v>
      </c>
      <c r="BA1526">
        <v>107.31740000000001</v>
      </c>
      <c r="BB1526">
        <v>39.582299999999996</v>
      </c>
      <c r="BC1526">
        <v>40.553100000000001</v>
      </c>
      <c r="BD1526">
        <v>2.6836000000000002</v>
      </c>
      <c r="BE1526">
        <v>24.3873</v>
      </c>
      <c r="BH1526">
        <v>64.16</v>
      </c>
    </row>
    <row r="1527" spans="1:60" x14ac:dyDescent="0.25">
      <c r="A1527" s="2">
        <v>43974</v>
      </c>
      <c r="B1527">
        <v>19</v>
      </c>
      <c r="C1527">
        <v>1.2</v>
      </c>
      <c r="D1527">
        <v>64.2</v>
      </c>
      <c r="E1527">
        <v>3.7</v>
      </c>
      <c r="F1527">
        <v>116.47</v>
      </c>
      <c r="G1527">
        <v>0.9</v>
      </c>
      <c r="H1527">
        <v>3.4</v>
      </c>
      <c r="I1527">
        <v>86.713200000000001</v>
      </c>
      <c r="J1527">
        <v>43.313800000000001</v>
      </c>
      <c r="K1527">
        <v>39.247799999999998</v>
      </c>
      <c r="L1527">
        <v>4.3179999999999996</v>
      </c>
      <c r="M1527">
        <v>17.535599999999999</v>
      </c>
      <c r="P1527">
        <v>70.680000000000007</v>
      </c>
      <c r="S1527">
        <f t="shared" si="509"/>
        <v>399.9984</v>
      </c>
      <c r="T1527">
        <f t="shared" si="510"/>
        <v>1.7811834839292717E-2</v>
      </c>
      <c r="U1527">
        <f t="shared" si="511"/>
        <v>1.1249579898500663E-3</v>
      </c>
      <c r="V1527">
        <f t="shared" si="512"/>
        <v>6.0185252456978547E-2</v>
      </c>
      <c r="W1527">
        <f t="shared" si="513"/>
        <v>3.4686204687043713E-3</v>
      </c>
      <c r="X1527">
        <f t="shared" si="514"/>
        <v>0.10918654756486434</v>
      </c>
      <c r="Y1527">
        <f t="shared" si="515"/>
        <v>8.4371849238754971E-4</v>
      </c>
      <c r="Z1527">
        <f t="shared" si="516"/>
        <v>3.1873809712418544E-3</v>
      </c>
      <c r="AA1527">
        <f t="shared" si="517"/>
        <v>8.1290589304555641E-2</v>
      </c>
      <c r="AB1527">
        <f t="shared" si="518"/>
        <v>4.0605171150639836E-2</v>
      </c>
      <c r="AC1527">
        <f t="shared" si="519"/>
        <v>3.6793438495031194E-2</v>
      </c>
      <c r="AD1527">
        <f t="shared" si="520"/>
        <v>4.0479738334771552E-3</v>
      </c>
      <c r="AE1527">
        <f t="shared" si="521"/>
        <v>1.6439011105679018E-2</v>
      </c>
      <c r="AG1527">
        <f t="shared" si="522"/>
        <v>-0.60662781574700475</v>
      </c>
      <c r="AH1527">
        <f t="shared" si="523"/>
        <v>0.21224732388899847</v>
      </c>
      <c r="AI1527">
        <f t="shared" si="524"/>
        <v>-0.1740111249305413</v>
      </c>
      <c r="AK1527" s="26" t="e">
        <f t="shared" si="525"/>
        <v>#DIV/0!</v>
      </c>
      <c r="AL1527" s="26" t="e">
        <f t="shared" si="526"/>
        <v>#DIV/0!</v>
      </c>
      <c r="AM1527" s="26" t="e">
        <f t="shared" si="527"/>
        <v>#DIV/0!</v>
      </c>
      <c r="AN1527" s="26" t="e">
        <f t="shared" si="528"/>
        <v>#DIV/0!</v>
      </c>
      <c r="AO1527" s="26" t="e">
        <f t="shared" si="529"/>
        <v>#DIV/0!</v>
      </c>
      <c r="AP1527" s="26" t="e">
        <f t="shared" si="530"/>
        <v>#DIV/0!</v>
      </c>
      <c r="AS1527" s="2">
        <v>43953</v>
      </c>
      <c r="AT1527">
        <v>17.100000000000001</v>
      </c>
      <c r="AU1527">
        <v>22.3</v>
      </c>
      <c r="AV1527">
        <v>15.3</v>
      </c>
      <c r="AW1527">
        <v>3.5</v>
      </c>
      <c r="AX1527">
        <v>151.05000000000001</v>
      </c>
      <c r="AY1527">
        <v>0.9</v>
      </c>
      <c r="AZ1527">
        <v>2.9</v>
      </c>
      <c r="BA1527">
        <v>99.529499999999999</v>
      </c>
      <c r="BB1527">
        <v>39.202399999999997</v>
      </c>
      <c r="BC1527">
        <v>32.586300000000001</v>
      </c>
      <c r="BD1527">
        <v>2.6427</v>
      </c>
      <c r="BE1527">
        <v>27.488800000000001</v>
      </c>
      <c r="BH1527">
        <v>63.81</v>
      </c>
    </row>
    <row r="1528" spans="1:60" x14ac:dyDescent="0.25">
      <c r="A1528" s="2">
        <v>43973</v>
      </c>
      <c r="B1528">
        <v>18.5</v>
      </c>
      <c r="C1528">
        <v>0</v>
      </c>
      <c r="D1528">
        <v>62.7</v>
      </c>
      <c r="E1528">
        <v>2.6</v>
      </c>
      <c r="F1528">
        <v>161.34</v>
      </c>
      <c r="G1528">
        <v>0.9</v>
      </c>
      <c r="H1528">
        <v>3.6</v>
      </c>
      <c r="I1528">
        <v>94.5749</v>
      </c>
      <c r="J1528">
        <v>34.1907</v>
      </c>
      <c r="K1528">
        <v>70.011600000000001</v>
      </c>
      <c r="L1528">
        <v>4.3064</v>
      </c>
      <c r="M1528">
        <v>29.930599999999998</v>
      </c>
      <c r="N1528">
        <v>5.5193000000000003</v>
      </c>
      <c r="O1528">
        <v>-12.108000000000001</v>
      </c>
      <c r="P1528">
        <v>70.260000000000005</v>
      </c>
      <c r="S1528">
        <f t="shared" si="509"/>
        <v>482.65419999999995</v>
      </c>
      <c r="T1528">
        <f t="shared" si="510"/>
        <v>1.7343102343521856E-2</v>
      </c>
      <c r="U1528">
        <f t="shared" si="511"/>
        <v>0</v>
      </c>
      <c r="V1528">
        <f t="shared" si="512"/>
        <v>5.877905496966597E-2</v>
      </c>
      <c r="W1528">
        <f t="shared" si="513"/>
        <v>2.437408978008477E-3</v>
      </c>
      <c r="X1528">
        <f t="shared" si="514"/>
        <v>0.15125060173534141</v>
      </c>
      <c r="Y1528">
        <f t="shared" si="515"/>
        <v>8.4371849238754971E-4</v>
      </c>
      <c r="Z1528">
        <f t="shared" si="516"/>
        <v>3.3748739695501988E-3</v>
      </c>
      <c r="AA1528">
        <f t="shared" si="517"/>
        <v>8.8660657828559197E-2</v>
      </c>
      <c r="AB1528">
        <f t="shared" si="518"/>
        <v>3.2052584286305551E-2</v>
      </c>
      <c r="AC1528">
        <f t="shared" si="519"/>
        <v>6.5633424001822413E-2</v>
      </c>
      <c r="AD1528">
        <f t="shared" si="520"/>
        <v>4.0370992395752708E-3</v>
      </c>
      <c r="AE1528">
        <f t="shared" si="521"/>
        <v>2.8058889675838659E-2</v>
      </c>
      <c r="AG1528">
        <f t="shared" si="522"/>
        <v>-0.63601871676503197</v>
      </c>
      <c r="AH1528">
        <f t="shared" si="523"/>
        <v>0.26208765016431412</v>
      </c>
      <c r="AI1528">
        <f t="shared" si="524"/>
        <v>0.21966561782103458</v>
      </c>
      <c r="AK1528" s="26" t="e">
        <f t="shared" si="525"/>
        <v>#DIV/0!</v>
      </c>
      <c r="AL1528" s="26" t="e">
        <f t="shared" si="526"/>
        <v>#DIV/0!</v>
      </c>
      <c r="AM1528" s="26" t="e">
        <f t="shared" si="527"/>
        <v>#DIV/0!</v>
      </c>
      <c r="AN1528" s="26" t="e">
        <f t="shared" si="528"/>
        <v>#DIV/0!</v>
      </c>
      <c r="AO1528" s="26" t="e">
        <f t="shared" si="529"/>
        <v>#DIV/0!</v>
      </c>
      <c r="AP1528" s="26" t="e">
        <f t="shared" si="530"/>
        <v>#DIV/0!</v>
      </c>
      <c r="AS1528" s="2">
        <v>43952</v>
      </c>
      <c r="AT1528">
        <v>17</v>
      </c>
      <c r="AU1528">
        <v>66.7</v>
      </c>
      <c r="AV1528">
        <v>31.1</v>
      </c>
      <c r="AW1528">
        <v>3.5</v>
      </c>
      <c r="AX1528">
        <v>158.43</v>
      </c>
      <c r="AY1528">
        <v>0.9</v>
      </c>
      <c r="AZ1528">
        <v>3.1</v>
      </c>
      <c r="BA1528">
        <v>101.0307</v>
      </c>
      <c r="BB1528">
        <v>38.680199999999999</v>
      </c>
      <c r="BC1528">
        <v>34.791899999999998</v>
      </c>
      <c r="BD1528">
        <v>2.6637</v>
      </c>
      <c r="BE1528">
        <v>20.0139</v>
      </c>
      <c r="BH1528">
        <v>63.45</v>
      </c>
    </row>
    <row r="1529" spans="1:60" x14ac:dyDescent="0.25">
      <c r="A1529" s="2">
        <v>43972</v>
      </c>
      <c r="B1529">
        <v>19.3</v>
      </c>
      <c r="C1529">
        <v>0</v>
      </c>
      <c r="D1529">
        <v>4.4000000000000004</v>
      </c>
      <c r="E1529">
        <v>0.3</v>
      </c>
      <c r="F1529">
        <v>274.58</v>
      </c>
      <c r="G1529">
        <v>0.9</v>
      </c>
      <c r="H1529">
        <v>3.7</v>
      </c>
      <c r="I1529">
        <v>110.3895</v>
      </c>
      <c r="J1529">
        <v>30.920300000000001</v>
      </c>
      <c r="K1529">
        <v>82.082400000000007</v>
      </c>
      <c r="L1529">
        <v>4.3464</v>
      </c>
      <c r="M1529">
        <v>25.382999999999999</v>
      </c>
      <c r="N1529">
        <v>6.1818999999999997</v>
      </c>
      <c r="O1529">
        <v>-11.343</v>
      </c>
      <c r="P1529">
        <v>69.819999999999993</v>
      </c>
      <c r="S1529">
        <f t="shared" si="509"/>
        <v>556.30160000000001</v>
      </c>
      <c r="T1529">
        <f t="shared" si="510"/>
        <v>1.8093074336755232E-2</v>
      </c>
      <c r="U1529">
        <f t="shared" si="511"/>
        <v>0</v>
      </c>
      <c r="V1529">
        <f t="shared" si="512"/>
        <v>4.1248459627835771E-3</v>
      </c>
      <c r="W1529">
        <f t="shared" si="513"/>
        <v>2.8123949746251657E-4</v>
      </c>
      <c r="X1529">
        <f t="shared" si="514"/>
        <v>0.25740913737752597</v>
      </c>
      <c r="Y1529">
        <f t="shared" si="515"/>
        <v>8.4371849238754971E-4</v>
      </c>
      <c r="Z1529">
        <f t="shared" si="516"/>
        <v>3.4686204687043713E-3</v>
      </c>
      <c r="AA1529">
        <f t="shared" si="517"/>
        <v>0.1034862916837949</v>
      </c>
      <c r="AB1529">
        <f t="shared" si="518"/>
        <v>2.8986698777967505E-2</v>
      </c>
      <c r="AC1529">
        <f t="shared" si="519"/>
        <v>7.6949376421724239E-2</v>
      </c>
      <c r="AD1529">
        <f t="shared" si="520"/>
        <v>4.0745978392369405E-3</v>
      </c>
      <c r="AE1529">
        <f t="shared" si="521"/>
        <v>2.3795673880303528E-2</v>
      </c>
      <c r="AG1529">
        <f t="shared" si="522"/>
        <v>-0.66682338459851542</v>
      </c>
      <c r="AH1529">
        <f t="shared" si="523"/>
        <v>0.30801631001592278</v>
      </c>
      <c r="AI1529">
        <f t="shared" si="524"/>
        <v>0.58252366808913092</v>
      </c>
      <c r="AK1529" s="26" t="e">
        <f t="shared" si="525"/>
        <v>#DIV/0!</v>
      </c>
      <c r="AL1529" s="26" t="e">
        <f t="shared" si="526"/>
        <v>#DIV/0!</v>
      </c>
      <c r="AM1529" s="26" t="e">
        <f t="shared" si="527"/>
        <v>#DIV/0!</v>
      </c>
      <c r="AN1529" s="26" t="e">
        <f t="shared" si="528"/>
        <v>#DIV/0!</v>
      </c>
      <c r="AO1529" s="26" t="e">
        <f t="shared" si="529"/>
        <v>#DIV/0!</v>
      </c>
      <c r="AP1529" s="26" t="e">
        <f t="shared" si="530"/>
        <v>#DIV/0!</v>
      </c>
      <c r="AS1529" s="2">
        <v>43951</v>
      </c>
      <c r="AT1529">
        <v>17.3</v>
      </c>
      <c r="AU1529">
        <v>19.2</v>
      </c>
      <c r="AV1529">
        <v>54</v>
      </c>
      <c r="AW1529">
        <v>3.5</v>
      </c>
      <c r="AX1529">
        <v>132.66</v>
      </c>
      <c r="AY1529">
        <v>0.9</v>
      </c>
      <c r="AZ1529">
        <v>3.4</v>
      </c>
      <c r="BA1529">
        <v>132.4332</v>
      </c>
      <c r="BB1529">
        <v>46.968400000000003</v>
      </c>
      <c r="BC1529">
        <v>54.571300000000001</v>
      </c>
      <c r="BD1529">
        <v>2.6735000000000002</v>
      </c>
      <c r="BE1529">
        <v>30.292400000000001</v>
      </c>
      <c r="BH1529">
        <v>62.66</v>
      </c>
    </row>
    <row r="1530" spans="1:60" x14ac:dyDescent="0.25">
      <c r="A1530" s="2">
        <v>43971</v>
      </c>
      <c r="B1530">
        <v>19.2</v>
      </c>
      <c r="C1530">
        <v>148.80000000000001</v>
      </c>
      <c r="D1530">
        <v>0.8</v>
      </c>
      <c r="E1530">
        <v>0.4</v>
      </c>
      <c r="F1530">
        <v>184.95</v>
      </c>
      <c r="G1530">
        <v>0.9</v>
      </c>
      <c r="H1530">
        <v>3.6</v>
      </c>
      <c r="I1530">
        <v>212.809</v>
      </c>
      <c r="J1530">
        <v>47.0867</v>
      </c>
      <c r="K1530">
        <v>154.4743</v>
      </c>
      <c r="L1530">
        <v>4.649</v>
      </c>
      <c r="M1530">
        <v>44.281199999999998</v>
      </c>
      <c r="N1530">
        <v>5.3845000000000001</v>
      </c>
      <c r="O1530">
        <v>-11.088800000000001</v>
      </c>
      <c r="P1530">
        <v>69.510000000000005</v>
      </c>
      <c r="S1530">
        <f t="shared" si="509"/>
        <v>821.95019999999988</v>
      </c>
      <c r="T1530">
        <f t="shared" si="510"/>
        <v>1.799932783760106E-2</v>
      </c>
      <c r="U1530">
        <f t="shared" si="511"/>
        <v>0.13949479074140822</v>
      </c>
      <c r="V1530">
        <f t="shared" si="512"/>
        <v>7.4997199323337759E-4</v>
      </c>
      <c r="W1530">
        <f t="shared" si="513"/>
        <v>3.7498599661668879E-4</v>
      </c>
      <c r="X1530">
        <f t="shared" si="514"/>
        <v>0.17338415018564146</v>
      </c>
      <c r="Y1530">
        <f t="shared" si="515"/>
        <v>8.4371849238754971E-4</v>
      </c>
      <c r="Z1530">
        <f t="shared" si="516"/>
        <v>3.3748739695501988E-3</v>
      </c>
      <c r="AA1530">
        <f t="shared" si="517"/>
        <v>0.1995009873850023</v>
      </c>
      <c r="AB1530">
        <f t="shared" si="518"/>
        <v>4.4142132817227599E-2</v>
      </c>
      <c r="AC1530">
        <f t="shared" si="519"/>
        <v>0.1448142483429134</v>
      </c>
      <c r="AD1530">
        <f t="shared" si="520"/>
        <v>4.3582747456774647E-3</v>
      </c>
      <c r="AE1530">
        <f t="shared" si="521"/>
        <v>4.1512074783457295E-2</v>
      </c>
      <c r="AG1530">
        <f t="shared" si="522"/>
        <v>-0.68902855285339404</v>
      </c>
      <c r="AH1530">
        <f t="shared" si="523"/>
        <v>0.37773389399989588</v>
      </c>
      <c r="AI1530">
        <f t="shared" si="524"/>
        <v>1.1334385653713979</v>
      </c>
      <c r="AK1530" s="26" t="e">
        <f t="shared" si="525"/>
        <v>#DIV/0!</v>
      </c>
      <c r="AL1530" s="26" t="e">
        <f t="shared" si="526"/>
        <v>#DIV/0!</v>
      </c>
      <c r="AM1530" s="26" t="e">
        <f t="shared" si="527"/>
        <v>#DIV/0!</v>
      </c>
      <c r="AN1530" s="26" t="e">
        <f t="shared" si="528"/>
        <v>#DIV/0!</v>
      </c>
      <c r="AO1530" s="26" t="e">
        <f t="shared" si="529"/>
        <v>#DIV/0!</v>
      </c>
      <c r="AP1530" s="26" t="e">
        <f t="shared" si="530"/>
        <v>#DIV/0!</v>
      </c>
      <c r="AS1530" s="2">
        <v>43950</v>
      </c>
      <c r="AT1530">
        <v>17.899999999999999</v>
      </c>
      <c r="AU1530">
        <v>6.7</v>
      </c>
      <c r="AV1530">
        <v>14.6</v>
      </c>
      <c r="AW1530">
        <v>1.4</v>
      </c>
      <c r="AX1530">
        <v>119.38</v>
      </c>
      <c r="AY1530">
        <v>0.9</v>
      </c>
      <c r="AZ1530">
        <v>3.6</v>
      </c>
      <c r="BA1530">
        <v>216.8098</v>
      </c>
      <c r="BB1530">
        <v>53.122500000000002</v>
      </c>
      <c r="BC1530">
        <v>108.416</v>
      </c>
      <c r="BD1530">
        <v>2.6808999999999998</v>
      </c>
      <c r="BE1530">
        <v>30.808299999999999</v>
      </c>
      <c r="BH1530">
        <v>62.34</v>
      </c>
    </row>
    <row r="1531" spans="1:60" x14ac:dyDescent="0.25">
      <c r="A1531" s="2">
        <v>43970</v>
      </c>
      <c r="B1531">
        <v>18.600000000000001</v>
      </c>
      <c r="C1531">
        <v>139.4</v>
      </c>
      <c r="D1531">
        <v>27.3</v>
      </c>
      <c r="E1531">
        <v>1.3</v>
      </c>
      <c r="F1531">
        <v>232.52</v>
      </c>
      <c r="G1531">
        <v>0.7</v>
      </c>
      <c r="H1531">
        <v>3</v>
      </c>
      <c r="I1531">
        <v>152.86680000000001</v>
      </c>
      <c r="J1531">
        <v>52.430599999999998</v>
      </c>
      <c r="K1531">
        <v>107.8065</v>
      </c>
      <c r="L1531">
        <v>4.3478000000000003</v>
      </c>
      <c r="M1531">
        <v>35.046900000000001</v>
      </c>
      <c r="N1531">
        <v>5.7268999999999997</v>
      </c>
      <c r="O1531">
        <v>-9.4885999999999999</v>
      </c>
      <c r="P1531">
        <v>69.25</v>
      </c>
      <c r="S1531">
        <f t="shared" si="509"/>
        <v>775.31860000000006</v>
      </c>
      <c r="T1531">
        <f t="shared" si="510"/>
        <v>1.7436848842676027E-2</v>
      </c>
      <c r="U1531">
        <f t="shared" si="511"/>
        <v>0.13068261982091603</v>
      </c>
      <c r="V1531">
        <f t="shared" si="512"/>
        <v>2.559279426908901E-2</v>
      </c>
      <c r="W1531">
        <f t="shared" si="513"/>
        <v>1.2187044890042385E-3</v>
      </c>
      <c r="X1531">
        <f t="shared" si="514"/>
        <v>0.21797935983328118</v>
      </c>
      <c r="Y1531">
        <f t="shared" si="515"/>
        <v>6.5622549407920526E-4</v>
      </c>
      <c r="Z1531">
        <f t="shared" si="516"/>
        <v>2.8123949746251659E-3</v>
      </c>
      <c r="AA1531">
        <f t="shared" si="517"/>
        <v>0.14330727336901011</v>
      </c>
      <c r="AB1531">
        <f t="shared" si="518"/>
        <v>4.9151851985527406E-2</v>
      </c>
      <c r="AC1531">
        <f t="shared" si="519"/>
        <v>0.10106481961064265</v>
      </c>
      <c r="AD1531">
        <f t="shared" si="520"/>
        <v>4.0759102902250986E-3</v>
      </c>
      <c r="AE1531">
        <f t="shared" si="521"/>
        <v>3.2855241812063576E-2</v>
      </c>
      <c r="AG1531">
        <f t="shared" si="522"/>
        <v>-0.70796520000774099</v>
      </c>
      <c r="AH1531">
        <f t="shared" si="523"/>
        <v>0.42923418953573439</v>
      </c>
      <c r="AI1531">
        <f t="shared" si="524"/>
        <v>1.5439553998633788</v>
      </c>
      <c r="AK1531" s="26" t="e">
        <f t="shared" si="525"/>
        <v>#DIV/0!</v>
      </c>
      <c r="AL1531" s="26" t="e">
        <f t="shared" si="526"/>
        <v>#DIV/0!</v>
      </c>
      <c r="AM1531" s="26" t="e">
        <f t="shared" si="527"/>
        <v>#DIV/0!</v>
      </c>
      <c r="AN1531" s="26" t="e">
        <f t="shared" si="528"/>
        <v>#DIV/0!</v>
      </c>
      <c r="AO1531" s="26" t="e">
        <f t="shared" si="529"/>
        <v>#DIV/0!</v>
      </c>
      <c r="AP1531" s="26" t="e">
        <f t="shared" si="530"/>
        <v>#DIV/0!</v>
      </c>
      <c r="AS1531" s="2">
        <v>43949</v>
      </c>
      <c r="AT1531">
        <v>15.9</v>
      </c>
      <c r="AU1531">
        <v>32.299999999999997</v>
      </c>
      <c r="AV1531">
        <v>5.7</v>
      </c>
      <c r="AW1531">
        <v>1</v>
      </c>
      <c r="AX1531">
        <v>154.02000000000001</v>
      </c>
      <c r="AY1531">
        <v>0.8</v>
      </c>
      <c r="AZ1531">
        <v>3.5</v>
      </c>
      <c r="BA1531">
        <v>224.6711</v>
      </c>
      <c r="BB1531">
        <v>58.006399999999999</v>
      </c>
      <c r="BC1531">
        <v>108.33499999999999</v>
      </c>
      <c r="BD1531">
        <v>2.6836000000000002</v>
      </c>
      <c r="BE1531">
        <v>34.541899999999998</v>
      </c>
      <c r="BH1531">
        <v>62.03</v>
      </c>
    </row>
    <row r="1532" spans="1:60" x14ac:dyDescent="0.25">
      <c r="A1532" s="2">
        <v>43969</v>
      </c>
      <c r="B1532">
        <v>18.2</v>
      </c>
      <c r="C1532">
        <v>2.8</v>
      </c>
      <c r="D1532">
        <v>47.1</v>
      </c>
      <c r="E1532">
        <v>2</v>
      </c>
      <c r="F1532">
        <v>251.94</v>
      </c>
      <c r="G1532">
        <v>0.9</v>
      </c>
      <c r="H1532">
        <v>3.2</v>
      </c>
      <c r="I1532">
        <v>130.0538</v>
      </c>
      <c r="J1532">
        <v>68.761899999999997</v>
      </c>
      <c r="K1532">
        <v>76.801199999999994</v>
      </c>
      <c r="L1532">
        <v>4.3507999999999996</v>
      </c>
      <c r="M1532">
        <v>28.727599999999999</v>
      </c>
      <c r="N1532">
        <v>5.4946999999999999</v>
      </c>
      <c r="O1532">
        <v>-9.3754000000000008</v>
      </c>
      <c r="P1532">
        <v>68.95</v>
      </c>
      <c r="S1532">
        <f t="shared" si="509"/>
        <v>634.83529999999996</v>
      </c>
      <c r="T1532">
        <f t="shared" si="510"/>
        <v>1.7061862846059338E-2</v>
      </c>
      <c r="U1532">
        <f t="shared" si="511"/>
        <v>2.624901976316821E-3</v>
      </c>
      <c r="V1532">
        <f t="shared" si="512"/>
        <v>4.41546011016151E-2</v>
      </c>
      <c r="W1532">
        <f t="shared" si="513"/>
        <v>1.8749299830834439E-3</v>
      </c>
      <c r="X1532">
        <f t="shared" si="514"/>
        <v>0.23618492996902141</v>
      </c>
      <c r="Y1532">
        <f t="shared" si="515"/>
        <v>8.4371849238754971E-4</v>
      </c>
      <c r="Z1532">
        <f t="shared" si="516"/>
        <v>2.9998879729335104E-3</v>
      </c>
      <c r="AA1532">
        <f t="shared" si="517"/>
        <v>0.12192088451696879</v>
      </c>
      <c r="AB1532">
        <f t="shared" si="518"/>
        <v>6.4461874001892724E-2</v>
      </c>
      <c r="AC1532">
        <f t="shared" si="519"/>
        <v>7.1998436308394087E-2</v>
      </c>
      <c r="AD1532">
        <f t="shared" si="520"/>
        <v>4.0787226851997233E-3</v>
      </c>
      <c r="AE1532">
        <f t="shared" si="521"/>
        <v>2.693111929101397E-2</v>
      </c>
      <c r="AG1532">
        <f t="shared" si="522"/>
        <v>-0.72963482180451034</v>
      </c>
      <c r="AH1532">
        <f t="shared" si="523"/>
        <v>0.33267595163243119</v>
      </c>
      <c r="AI1532">
        <f t="shared" si="524"/>
        <v>0.7893481202194913</v>
      </c>
      <c r="AK1532" s="26" t="e">
        <f t="shared" si="525"/>
        <v>#DIV/0!</v>
      </c>
      <c r="AL1532" s="26" t="e">
        <f t="shared" si="526"/>
        <v>#DIV/0!</v>
      </c>
      <c r="AM1532" s="26" t="e">
        <f t="shared" si="527"/>
        <v>#DIV/0!</v>
      </c>
      <c r="AN1532" s="26" t="e">
        <f t="shared" si="528"/>
        <v>#DIV/0!</v>
      </c>
      <c r="AO1532" s="26" t="e">
        <f t="shared" si="529"/>
        <v>#DIV/0!</v>
      </c>
      <c r="AP1532" s="26" t="e">
        <f t="shared" si="530"/>
        <v>#DIV/0!</v>
      </c>
      <c r="AS1532" s="2">
        <v>43948</v>
      </c>
      <c r="AT1532">
        <v>15.2</v>
      </c>
      <c r="AU1532">
        <v>1</v>
      </c>
      <c r="AV1532">
        <v>14.8</v>
      </c>
      <c r="AW1532">
        <v>0.8</v>
      </c>
      <c r="AX1532">
        <v>232.11</v>
      </c>
      <c r="AY1532">
        <v>0.9</v>
      </c>
      <c r="AZ1532">
        <v>3.9</v>
      </c>
      <c r="BA1532">
        <v>182.91239999999999</v>
      </c>
      <c r="BB1532">
        <v>47.162399999999998</v>
      </c>
      <c r="BC1532">
        <v>100.49939999999999</v>
      </c>
      <c r="BD1532">
        <v>2.6579999999999999</v>
      </c>
      <c r="BE1532">
        <v>30.103100000000001</v>
      </c>
      <c r="BH1532">
        <v>61.77</v>
      </c>
    </row>
    <row r="1533" spans="1:60" x14ac:dyDescent="0.25">
      <c r="A1533" s="2">
        <v>43968</v>
      </c>
      <c r="B1533">
        <v>18.600000000000001</v>
      </c>
      <c r="C1533">
        <v>0.9</v>
      </c>
      <c r="D1533">
        <v>54.1</v>
      </c>
      <c r="E1533">
        <v>3.1</v>
      </c>
      <c r="F1533">
        <v>260.88</v>
      </c>
      <c r="G1533">
        <v>0.9</v>
      </c>
      <c r="H1533">
        <v>3</v>
      </c>
      <c r="I1533">
        <v>96.339799999999997</v>
      </c>
      <c r="J1533">
        <v>57.961199999999998</v>
      </c>
      <c r="K1533">
        <v>36.0154</v>
      </c>
      <c r="L1533">
        <v>4.3173000000000004</v>
      </c>
      <c r="M1533">
        <v>17.8996</v>
      </c>
      <c r="P1533">
        <v>68.61</v>
      </c>
      <c r="S1533">
        <f t="shared" si="509"/>
        <v>554.01329999999996</v>
      </c>
      <c r="T1533">
        <f t="shared" si="510"/>
        <v>1.7436848842676027E-2</v>
      </c>
      <c r="U1533">
        <f t="shared" si="511"/>
        <v>8.4371849238754971E-4</v>
      </c>
      <c r="V1533">
        <f t="shared" si="512"/>
        <v>5.0716856042407159E-2</v>
      </c>
      <c r="W1533">
        <f t="shared" si="513"/>
        <v>2.9061414737793379E-3</v>
      </c>
      <c r="X1533">
        <f t="shared" si="514"/>
        <v>0.24456586699340441</v>
      </c>
      <c r="Y1533">
        <f t="shared" si="515"/>
        <v>8.4371849238754971E-4</v>
      </c>
      <c r="Z1533">
        <f t="shared" si="516"/>
        <v>2.8123949746251659E-3</v>
      </c>
      <c r="AA1533">
        <f t="shared" si="517"/>
        <v>9.0315189792131184E-2</v>
      </c>
      <c r="AB1533">
        <f t="shared" si="518"/>
        <v>5.4336595867748048E-2</v>
      </c>
      <c r="AC1533">
        <f t="shared" si="519"/>
        <v>3.3763176656371734E-2</v>
      </c>
      <c r="AD1533">
        <f t="shared" si="520"/>
        <v>4.0473176079830761E-3</v>
      </c>
      <c r="AE1533">
        <f t="shared" si="521"/>
        <v>1.6780248362600204E-2</v>
      </c>
      <c r="AG1533">
        <f t="shared" si="522"/>
        <v>-0.7540483222532085</v>
      </c>
      <c r="AH1533">
        <f t="shared" si="523"/>
        <v>0.33690579367426743</v>
      </c>
      <c r="AI1533">
        <f t="shared" si="524"/>
        <v>0.82490978312827579</v>
      </c>
      <c r="AK1533" s="26" t="e">
        <f t="shared" si="525"/>
        <v>#DIV/0!</v>
      </c>
      <c r="AL1533" s="26" t="e">
        <f t="shared" si="526"/>
        <v>#DIV/0!</v>
      </c>
      <c r="AM1533" s="26" t="e">
        <f t="shared" si="527"/>
        <v>#DIV/0!</v>
      </c>
      <c r="AN1533" s="26" t="e">
        <f t="shared" si="528"/>
        <v>#DIV/0!</v>
      </c>
      <c r="AO1533" s="26" t="e">
        <f t="shared" si="529"/>
        <v>#DIV/0!</v>
      </c>
      <c r="AP1533" s="26" t="e">
        <f t="shared" si="530"/>
        <v>#DIV/0!</v>
      </c>
      <c r="AS1533" s="2">
        <v>43947</v>
      </c>
      <c r="AT1533">
        <v>15.1</v>
      </c>
      <c r="AU1533">
        <v>1.6</v>
      </c>
      <c r="AV1533">
        <v>4.7</v>
      </c>
      <c r="AW1533">
        <v>0.4</v>
      </c>
      <c r="AX1533">
        <v>243.83</v>
      </c>
      <c r="AY1533">
        <v>0.9</v>
      </c>
      <c r="AZ1533">
        <v>3.5</v>
      </c>
      <c r="BA1533">
        <v>114.61709999999999</v>
      </c>
      <c r="BB1533">
        <v>44.017699999999998</v>
      </c>
      <c r="BC1533">
        <v>58.185000000000002</v>
      </c>
      <c r="BD1533">
        <v>2.6225999999999998</v>
      </c>
      <c r="BE1533">
        <v>19.1937</v>
      </c>
      <c r="BH1533">
        <v>61.48</v>
      </c>
    </row>
    <row r="1534" spans="1:60" x14ac:dyDescent="0.25">
      <c r="A1534" s="2">
        <v>43967</v>
      </c>
      <c r="B1534">
        <v>20.6</v>
      </c>
      <c r="C1534">
        <v>9.8000000000000007</v>
      </c>
      <c r="D1534">
        <v>42.2</v>
      </c>
      <c r="E1534">
        <v>3.3</v>
      </c>
      <c r="F1534">
        <v>245.21</v>
      </c>
      <c r="G1534">
        <v>0.9</v>
      </c>
      <c r="H1534">
        <v>3.5</v>
      </c>
      <c r="I1534">
        <v>107.498</v>
      </c>
      <c r="J1534">
        <v>53.988100000000003</v>
      </c>
      <c r="K1534">
        <v>49.037799999999997</v>
      </c>
      <c r="L1534">
        <v>4.3094000000000001</v>
      </c>
      <c r="M1534">
        <v>25.7547</v>
      </c>
      <c r="P1534">
        <v>68.209999999999994</v>
      </c>
      <c r="S1534">
        <f t="shared" si="509"/>
        <v>566.09799999999984</v>
      </c>
      <c r="T1534">
        <f t="shared" si="510"/>
        <v>1.9311778825759473E-2</v>
      </c>
      <c r="U1534">
        <f t="shared" si="511"/>
        <v>9.1871569171088751E-3</v>
      </c>
      <c r="V1534">
        <f t="shared" si="512"/>
        <v>3.9561022643060668E-2</v>
      </c>
      <c r="W1534">
        <f t="shared" si="513"/>
        <v>3.0936344720876819E-3</v>
      </c>
      <c r="X1534">
        <f t="shared" si="514"/>
        <v>0.22987579057594565</v>
      </c>
      <c r="Y1534">
        <f t="shared" si="515"/>
        <v>8.4371849238754971E-4</v>
      </c>
      <c r="Z1534">
        <f t="shared" si="516"/>
        <v>3.2811274703960268E-3</v>
      </c>
      <c r="AA1534">
        <f t="shared" si="517"/>
        <v>0.10077561166075202</v>
      </c>
      <c r="AB1534">
        <f t="shared" si="518"/>
        <v>5.0611953709853642E-2</v>
      </c>
      <c r="AC1534">
        <f t="shared" si="519"/>
        <v>4.5971220762224645E-2</v>
      </c>
      <c r="AD1534">
        <f t="shared" si="520"/>
        <v>4.0399116345498963E-3</v>
      </c>
      <c r="AE1534">
        <f t="shared" si="521"/>
        <v>2.4144129617659583E-2</v>
      </c>
      <c r="AG1534">
        <f t="shared" si="522"/>
        <v>-0.7825511535094346</v>
      </c>
      <c r="AH1534">
        <f t="shared" si="523"/>
        <v>0.32929835901440557</v>
      </c>
      <c r="AI1534">
        <f t="shared" si="524"/>
        <v>0.76716313197508246</v>
      </c>
      <c r="AK1534" s="26" t="e">
        <f t="shared" si="525"/>
        <v>#DIV/0!</v>
      </c>
      <c r="AL1534" s="26" t="e">
        <f t="shared" si="526"/>
        <v>#DIV/0!</v>
      </c>
      <c r="AM1534" s="26" t="e">
        <f t="shared" si="527"/>
        <v>#DIV/0!</v>
      </c>
      <c r="AN1534" s="26" t="e">
        <f t="shared" si="528"/>
        <v>#DIV/0!</v>
      </c>
      <c r="AO1534" s="26" t="e">
        <f t="shared" si="529"/>
        <v>#DIV/0!</v>
      </c>
      <c r="AP1534" s="26" t="e">
        <f t="shared" si="530"/>
        <v>#DIV/0!</v>
      </c>
      <c r="AS1534" s="2">
        <v>43946</v>
      </c>
      <c r="AT1534">
        <v>16.2</v>
      </c>
      <c r="AU1534">
        <v>19.8</v>
      </c>
      <c r="AV1534">
        <v>24.4</v>
      </c>
      <c r="AW1534">
        <v>2.6</v>
      </c>
      <c r="AX1534">
        <v>220.05</v>
      </c>
      <c r="AY1534">
        <v>0.9</v>
      </c>
      <c r="AZ1534">
        <v>3.8</v>
      </c>
      <c r="BA1534">
        <v>104.8449</v>
      </c>
      <c r="BB1534">
        <v>34.706800000000001</v>
      </c>
      <c r="BC1534">
        <v>45.517499999999998</v>
      </c>
      <c r="BD1534">
        <v>2.64</v>
      </c>
      <c r="BE1534">
        <v>27.116900000000001</v>
      </c>
      <c r="BH1534">
        <v>61.06</v>
      </c>
    </row>
    <row r="1535" spans="1:60" x14ac:dyDescent="0.25">
      <c r="A1535" s="2">
        <v>43966</v>
      </c>
      <c r="B1535">
        <v>20.3</v>
      </c>
      <c r="C1535">
        <v>1.2</v>
      </c>
      <c r="D1535">
        <v>40.799999999999997</v>
      </c>
      <c r="E1535">
        <v>3.2</v>
      </c>
      <c r="F1535">
        <v>189.57</v>
      </c>
      <c r="G1535">
        <v>0.9</v>
      </c>
      <c r="H1535">
        <v>3.3</v>
      </c>
      <c r="I1535">
        <v>156.12180000000001</v>
      </c>
      <c r="J1535">
        <v>61.664000000000001</v>
      </c>
      <c r="K1535">
        <v>80.383600000000001</v>
      </c>
      <c r="L1535">
        <v>4.3105000000000002</v>
      </c>
      <c r="M1535">
        <v>29.931100000000001</v>
      </c>
      <c r="N1535">
        <v>5.3281000000000001</v>
      </c>
      <c r="O1535">
        <v>-8.5440000000000005</v>
      </c>
      <c r="P1535">
        <v>67.84</v>
      </c>
      <c r="S1535">
        <f t="shared" si="509"/>
        <v>591.68100000000004</v>
      </c>
      <c r="T1535">
        <f t="shared" si="510"/>
        <v>1.9030539328296955E-2</v>
      </c>
      <c r="U1535">
        <f t="shared" si="511"/>
        <v>1.1249579898500663E-3</v>
      </c>
      <c r="V1535">
        <f t="shared" si="512"/>
        <v>3.8248571654902253E-2</v>
      </c>
      <c r="W1535">
        <f t="shared" si="513"/>
        <v>2.9998879729335104E-3</v>
      </c>
      <c r="X1535">
        <f t="shared" si="514"/>
        <v>0.17771523844656423</v>
      </c>
      <c r="Y1535">
        <f t="shared" si="515"/>
        <v>8.4371849238754971E-4</v>
      </c>
      <c r="Z1535">
        <f t="shared" si="516"/>
        <v>3.0936344720876819E-3</v>
      </c>
      <c r="AA1535">
        <f t="shared" si="517"/>
        <v>0.14635872191647842</v>
      </c>
      <c r="AB1535">
        <f t="shared" si="518"/>
        <v>5.7807841238428741E-2</v>
      </c>
      <c r="AC1535">
        <f t="shared" si="519"/>
        <v>7.5356810894093157E-2</v>
      </c>
      <c r="AD1535">
        <f t="shared" si="520"/>
        <v>4.0409428460405922E-3</v>
      </c>
      <c r="AE1535">
        <f t="shared" si="521"/>
        <v>2.8059358408334432E-2</v>
      </c>
      <c r="AG1535">
        <f t="shared" si="522"/>
        <v>-0.8091706876542909</v>
      </c>
      <c r="AH1535">
        <f t="shared" si="523"/>
        <v>0.27111590676535668</v>
      </c>
      <c r="AI1535">
        <f t="shared" si="524"/>
        <v>0.31008631325168567</v>
      </c>
      <c r="AK1535" s="26" t="e">
        <f t="shared" si="525"/>
        <v>#DIV/0!</v>
      </c>
      <c r="AL1535" s="26" t="e">
        <f t="shared" si="526"/>
        <v>#DIV/0!</v>
      </c>
      <c r="AM1535" s="26" t="e">
        <f t="shared" si="527"/>
        <v>#DIV/0!</v>
      </c>
      <c r="AN1535" s="26" t="e">
        <f t="shared" si="528"/>
        <v>#DIV/0!</v>
      </c>
      <c r="AO1535" s="26" t="e">
        <f t="shared" si="529"/>
        <v>#DIV/0!</v>
      </c>
      <c r="AP1535" s="26" t="e">
        <f t="shared" si="530"/>
        <v>#DIV/0!</v>
      </c>
      <c r="AS1535" s="2">
        <v>43945</v>
      </c>
      <c r="AT1535">
        <v>16.8</v>
      </c>
      <c r="AU1535">
        <v>3.4</v>
      </c>
      <c r="AV1535">
        <v>38.1</v>
      </c>
      <c r="AW1535">
        <v>3.6</v>
      </c>
      <c r="AX1535">
        <v>227.31</v>
      </c>
      <c r="AY1535">
        <v>0.9</v>
      </c>
      <c r="AZ1535">
        <v>4</v>
      </c>
      <c r="BA1535">
        <v>126.3977</v>
      </c>
      <c r="BB1535">
        <v>43.858499999999999</v>
      </c>
      <c r="BC1535">
        <v>63.959200000000003</v>
      </c>
      <c r="BD1535">
        <v>3.0508999999999999</v>
      </c>
      <c r="BE1535">
        <v>23.164400000000001</v>
      </c>
      <c r="BH1535">
        <v>60.75</v>
      </c>
    </row>
    <row r="1536" spans="1:60" x14ac:dyDescent="0.25">
      <c r="A1536" s="2">
        <v>43965</v>
      </c>
      <c r="B1536">
        <v>20.3</v>
      </c>
      <c r="C1536">
        <v>3.9</v>
      </c>
      <c r="D1536">
        <v>18.600000000000001</v>
      </c>
      <c r="E1536">
        <v>1.9</v>
      </c>
      <c r="F1536">
        <v>329.25</v>
      </c>
      <c r="G1536">
        <v>0.9</v>
      </c>
      <c r="H1536">
        <v>3.4</v>
      </c>
      <c r="I1536">
        <v>186.6542</v>
      </c>
      <c r="J1536">
        <v>63.341299999999997</v>
      </c>
      <c r="K1536">
        <v>116.81359999999999</v>
      </c>
      <c r="L1536">
        <v>4.6124000000000001</v>
      </c>
      <c r="M1536">
        <v>31.482299999999999</v>
      </c>
      <c r="N1536">
        <v>4.8867000000000003</v>
      </c>
      <c r="O1536">
        <v>-8.7584999999999997</v>
      </c>
      <c r="P1536">
        <v>67.599999999999994</v>
      </c>
      <c r="S1536">
        <f t="shared" si="509"/>
        <v>781.15379999999993</v>
      </c>
      <c r="T1536">
        <f t="shared" si="510"/>
        <v>1.9030539328296955E-2</v>
      </c>
      <c r="U1536">
        <f t="shared" si="511"/>
        <v>3.6561134670127153E-3</v>
      </c>
      <c r="V1536">
        <f t="shared" si="512"/>
        <v>1.7436848842676027E-2</v>
      </c>
      <c r="W1536">
        <f t="shared" si="513"/>
        <v>1.7811834839292716E-3</v>
      </c>
      <c r="X1536">
        <f t="shared" si="514"/>
        <v>0.30866034846511192</v>
      </c>
      <c r="Y1536">
        <f t="shared" si="515"/>
        <v>8.4371849238754971E-4</v>
      </c>
      <c r="Z1536">
        <f t="shared" si="516"/>
        <v>3.1873809712418544E-3</v>
      </c>
      <c r="AA1536">
        <f t="shared" si="517"/>
        <v>0.17498177802422687</v>
      </c>
      <c r="AB1536">
        <f t="shared" si="518"/>
        <v>5.938025126874167E-2</v>
      </c>
      <c r="AC1536">
        <f t="shared" si="519"/>
        <v>0.10950866053595808</v>
      </c>
      <c r="AD1536">
        <f t="shared" si="520"/>
        <v>4.3239635269870383E-3</v>
      </c>
      <c r="AE1536">
        <f t="shared" si="521"/>
        <v>2.9513554103213949E-2</v>
      </c>
      <c r="AG1536">
        <f t="shared" si="522"/>
        <v>-0.82725417662970369</v>
      </c>
      <c r="AH1536">
        <f t="shared" si="523"/>
        <v>0.38410968715387023</v>
      </c>
      <c r="AI1536">
        <f t="shared" si="524"/>
        <v>1.2009500223735698</v>
      </c>
      <c r="AK1536" s="26" t="e">
        <f t="shared" si="525"/>
        <v>#DIV/0!</v>
      </c>
      <c r="AL1536" s="26" t="e">
        <f t="shared" si="526"/>
        <v>#DIV/0!</v>
      </c>
      <c r="AM1536" s="26" t="e">
        <f t="shared" si="527"/>
        <v>#DIV/0!</v>
      </c>
      <c r="AN1536" s="26" t="e">
        <f t="shared" si="528"/>
        <v>#DIV/0!</v>
      </c>
      <c r="AO1536" s="26" t="e">
        <f t="shared" si="529"/>
        <v>#DIV/0!</v>
      </c>
      <c r="AP1536" s="26" t="e">
        <f t="shared" si="530"/>
        <v>#DIV/0!</v>
      </c>
      <c r="AS1536" s="2">
        <v>43944</v>
      </c>
      <c r="AT1536">
        <v>15.5</v>
      </c>
      <c r="AU1536">
        <v>27.1</v>
      </c>
      <c r="AV1536">
        <v>14.1</v>
      </c>
      <c r="AW1536">
        <v>1.4</v>
      </c>
      <c r="AX1536">
        <v>265.05</v>
      </c>
      <c r="AY1536">
        <v>0.9</v>
      </c>
      <c r="AZ1536">
        <v>3.6</v>
      </c>
      <c r="BA1536">
        <v>116.6371</v>
      </c>
      <c r="BB1536">
        <v>53.565199999999997</v>
      </c>
      <c r="BC1536">
        <v>101.8878</v>
      </c>
      <c r="BD1536">
        <v>3.0533999999999999</v>
      </c>
      <c r="BE1536">
        <v>31.790800000000001</v>
      </c>
      <c r="BH1536">
        <v>60.39</v>
      </c>
    </row>
    <row r="1537" spans="1:60" x14ac:dyDescent="0.25">
      <c r="A1537" s="2">
        <v>43964</v>
      </c>
      <c r="B1537">
        <v>19.899999999999999</v>
      </c>
      <c r="C1537">
        <v>0</v>
      </c>
      <c r="D1537">
        <v>26.8</v>
      </c>
      <c r="E1537">
        <v>1.2</v>
      </c>
      <c r="F1537">
        <v>153.06</v>
      </c>
      <c r="G1537">
        <v>0.9</v>
      </c>
      <c r="H1537">
        <v>3.4</v>
      </c>
      <c r="I1537">
        <v>205.40430000000001</v>
      </c>
      <c r="J1537">
        <v>74.949399999999997</v>
      </c>
      <c r="K1537">
        <v>133.4736</v>
      </c>
      <c r="L1537">
        <v>3.411</v>
      </c>
      <c r="M1537">
        <v>30.283200000000001</v>
      </c>
      <c r="N1537">
        <v>4.8423999999999996</v>
      </c>
      <c r="O1537">
        <v>-8.8034999999999997</v>
      </c>
      <c r="P1537">
        <v>67.39</v>
      </c>
      <c r="S1537">
        <f t="shared" si="509"/>
        <v>652.78149999999994</v>
      </c>
      <c r="T1537">
        <f t="shared" si="510"/>
        <v>1.8655553331680265E-2</v>
      </c>
      <c r="U1537">
        <f t="shared" si="511"/>
        <v>0</v>
      </c>
      <c r="V1537">
        <f t="shared" si="512"/>
        <v>2.5124061773318149E-2</v>
      </c>
      <c r="W1537">
        <f t="shared" si="513"/>
        <v>1.1249579898500663E-3</v>
      </c>
      <c r="X1537">
        <f t="shared" si="514"/>
        <v>0.14348839160537596</v>
      </c>
      <c r="Y1537">
        <f t="shared" si="515"/>
        <v>8.4371849238754971E-4</v>
      </c>
      <c r="Z1537">
        <f t="shared" si="516"/>
        <v>3.1873809712418544E-3</v>
      </c>
      <c r="AA1537">
        <f t="shared" si="517"/>
        <v>0.19255934036213332</v>
      </c>
      <c r="AB1537">
        <f t="shared" si="518"/>
        <v>7.0262438637057126E-2</v>
      </c>
      <c r="AC1537">
        <f t="shared" si="519"/>
        <v>0.12512682729504318</v>
      </c>
      <c r="AD1537">
        <f t="shared" si="520"/>
        <v>3.1976930861488135E-3</v>
      </c>
      <c r="AE1537">
        <f t="shared" si="521"/>
        <v>2.8389439831856274E-2</v>
      </c>
      <c r="AG1537">
        <f t="shared" si="522"/>
        <v>-0.84342738389505556</v>
      </c>
      <c r="AH1537">
        <f t="shared" si="523"/>
        <v>0.22081350399571009</v>
      </c>
      <c r="AI1537">
        <f t="shared" si="524"/>
        <v>-8.1671233113969996E-2</v>
      </c>
      <c r="AK1537" s="26" t="e">
        <f t="shared" si="525"/>
        <v>#DIV/0!</v>
      </c>
      <c r="AL1537" s="26" t="e">
        <f t="shared" si="526"/>
        <v>#DIV/0!</v>
      </c>
      <c r="AM1537" s="26" t="e">
        <f t="shared" si="527"/>
        <v>#DIV/0!</v>
      </c>
      <c r="AN1537" s="26" t="e">
        <f t="shared" si="528"/>
        <v>#DIV/0!</v>
      </c>
      <c r="AO1537" s="26" t="e">
        <f t="shared" si="529"/>
        <v>#DIV/0!</v>
      </c>
      <c r="AP1537" s="26" t="e">
        <f t="shared" si="530"/>
        <v>#DIV/0!</v>
      </c>
      <c r="AS1537" s="2">
        <v>43943</v>
      </c>
      <c r="AT1537">
        <v>15.2</v>
      </c>
      <c r="AU1537">
        <v>40.1</v>
      </c>
      <c r="AV1537">
        <v>61</v>
      </c>
      <c r="AW1537">
        <v>5.3</v>
      </c>
      <c r="AX1537">
        <v>270.44</v>
      </c>
      <c r="AY1537">
        <v>0.5</v>
      </c>
      <c r="AZ1537">
        <v>3.3</v>
      </c>
      <c r="BA1537">
        <v>92.150199999999998</v>
      </c>
      <c r="BB1537">
        <v>39.231200000000001</v>
      </c>
      <c r="BC1537">
        <v>35.1601</v>
      </c>
      <c r="BD1537">
        <v>3.1419999999999999</v>
      </c>
      <c r="BE1537">
        <v>34.356099999999998</v>
      </c>
      <c r="BH1537">
        <v>59.48</v>
      </c>
    </row>
    <row r="1538" spans="1:60" x14ac:dyDescent="0.25">
      <c r="A1538" s="2">
        <v>43963</v>
      </c>
      <c r="B1538">
        <v>20.9</v>
      </c>
      <c r="C1538">
        <v>4.9000000000000004</v>
      </c>
      <c r="D1538">
        <v>40</v>
      </c>
      <c r="E1538">
        <v>3</v>
      </c>
      <c r="F1538">
        <v>215.56</v>
      </c>
      <c r="G1538">
        <v>0.8</v>
      </c>
      <c r="H1538">
        <v>3.5</v>
      </c>
      <c r="I1538">
        <v>132.61590000000001</v>
      </c>
      <c r="J1538">
        <v>63.81</v>
      </c>
      <c r="K1538">
        <v>92.531099999999995</v>
      </c>
      <c r="L1538">
        <v>2.8908999999999998</v>
      </c>
      <c r="M1538">
        <v>23.7957</v>
      </c>
      <c r="N1538">
        <v>4.8743999999999996</v>
      </c>
      <c r="O1538">
        <v>-8.2743000000000002</v>
      </c>
      <c r="P1538">
        <v>67.2</v>
      </c>
      <c r="S1538">
        <f t="shared" ref="S1538:S1601" si="531">SUM(B1538:M1538)</f>
        <v>604.30360000000007</v>
      </c>
      <c r="T1538">
        <f t="shared" si="510"/>
        <v>1.9593018323221988E-2</v>
      </c>
      <c r="U1538">
        <f t="shared" si="511"/>
        <v>4.5935784585544375E-3</v>
      </c>
      <c r="V1538">
        <f t="shared" si="512"/>
        <v>3.7498599661668873E-2</v>
      </c>
      <c r="W1538">
        <f t="shared" si="513"/>
        <v>2.8123949746251659E-3</v>
      </c>
      <c r="X1538">
        <f t="shared" si="514"/>
        <v>0.20207995357673358</v>
      </c>
      <c r="Y1538">
        <f t="shared" si="515"/>
        <v>7.4997199323337759E-4</v>
      </c>
      <c r="Z1538">
        <f t="shared" si="516"/>
        <v>3.2811274703960268E-3</v>
      </c>
      <c r="AA1538">
        <f t="shared" si="517"/>
        <v>0.12432276357179785</v>
      </c>
      <c r="AB1538">
        <f t="shared" si="518"/>
        <v>5.981964111027728E-2</v>
      </c>
      <c r="AC1538">
        <f t="shared" si="519"/>
        <v>8.6744666878846216E-2</v>
      </c>
      <c r="AD1538">
        <f t="shared" si="520"/>
        <v>2.7101175440479635E-3</v>
      </c>
      <c r="AE1538">
        <f t="shared" si="521"/>
        <v>2.2307635699229351E-2</v>
      </c>
      <c r="AG1538">
        <f t="shared" si="522"/>
        <v>-0.85835127272308709</v>
      </c>
      <c r="AH1538">
        <f t="shared" si="523"/>
        <v>0.2929162801576628</v>
      </c>
      <c r="AI1538">
        <f t="shared" si="524"/>
        <v>0.48576718720123052</v>
      </c>
      <c r="AK1538" s="26" t="e">
        <f t="shared" si="525"/>
        <v>#DIV/0!</v>
      </c>
      <c r="AL1538" s="26" t="e">
        <f t="shared" si="526"/>
        <v>#DIV/0!</v>
      </c>
      <c r="AM1538" s="26" t="e">
        <f t="shared" si="527"/>
        <v>#DIV/0!</v>
      </c>
      <c r="AN1538" s="26" t="e">
        <f t="shared" si="528"/>
        <v>#DIV/0!</v>
      </c>
      <c r="AO1538" s="26" t="e">
        <f t="shared" si="529"/>
        <v>#DIV/0!</v>
      </c>
      <c r="AP1538" s="26" t="e">
        <f t="shared" si="530"/>
        <v>#DIV/0!</v>
      </c>
      <c r="AS1538" s="2">
        <v>43942</v>
      </c>
      <c r="AT1538">
        <v>14.5</v>
      </c>
      <c r="AU1538">
        <v>4.3</v>
      </c>
      <c r="AV1538">
        <v>51.5</v>
      </c>
      <c r="AW1538">
        <v>6.4</v>
      </c>
      <c r="AX1538">
        <v>261.83999999999997</v>
      </c>
      <c r="AZ1538">
        <v>2.7</v>
      </c>
      <c r="BA1538">
        <v>81.115700000000004</v>
      </c>
      <c r="BB1538">
        <v>42.198099999999997</v>
      </c>
      <c r="BC1538">
        <v>32.923200000000001</v>
      </c>
      <c r="BD1538">
        <v>2.7429999999999999</v>
      </c>
      <c r="BE1538">
        <v>31.235199999999999</v>
      </c>
      <c r="BH1538">
        <v>59.73</v>
      </c>
    </row>
    <row r="1539" spans="1:60" x14ac:dyDescent="0.25">
      <c r="A1539" s="2">
        <v>43962</v>
      </c>
      <c r="B1539">
        <v>18.899999999999999</v>
      </c>
      <c r="C1539">
        <v>30.7</v>
      </c>
      <c r="D1539">
        <v>64.2</v>
      </c>
      <c r="E1539">
        <v>6.1</v>
      </c>
      <c r="F1539">
        <v>119.48</v>
      </c>
      <c r="G1539">
        <v>0.9</v>
      </c>
      <c r="H1539">
        <v>3.2</v>
      </c>
      <c r="I1539">
        <v>98.247500000000002</v>
      </c>
      <c r="J1539">
        <v>50.474899999999998</v>
      </c>
      <c r="K1539">
        <v>44.503</v>
      </c>
      <c r="L1539">
        <v>2.1616</v>
      </c>
      <c r="M1539">
        <v>24.828800000000001</v>
      </c>
      <c r="N1539">
        <v>4.0129999999999999</v>
      </c>
      <c r="O1539">
        <v>-9.0557999999999996</v>
      </c>
      <c r="P1539">
        <v>67.05</v>
      </c>
      <c r="S1539">
        <f t="shared" si="531"/>
        <v>463.69579999999996</v>
      </c>
      <c r="T1539">
        <f t="shared" si="510"/>
        <v>1.7718088340138542E-2</v>
      </c>
      <c r="U1539">
        <f t="shared" si="511"/>
        <v>2.8780175240330861E-2</v>
      </c>
      <c r="V1539">
        <f t="shared" si="512"/>
        <v>6.0185252456978547E-2</v>
      </c>
      <c r="W1539">
        <f t="shared" si="513"/>
        <v>5.7185364484045034E-3</v>
      </c>
      <c r="X1539">
        <f t="shared" si="514"/>
        <v>0.11200831718940493</v>
      </c>
      <c r="Y1539">
        <f t="shared" si="515"/>
        <v>8.4371849238754971E-4</v>
      </c>
      <c r="Z1539">
        <f t="shared" si="516"/>
        <v>2.9998879729335104E-3</v>
      </c>
      <c r="AA1539">
        <f t="shared" si="517"/>
        <v>9.2103591756495323E-2</v>
      </c>
      <c r="AB1539">
        <f t="shared" si="518"/>
        <v>4.7318451701569259E-2</v>
      </c>
      <c r="AC1539">
        <f t="shared" si="519"/>
        <v>4.1720004518581252E-2</v>
      </c>
      <c r="AD1539">
        <f t="shared" si="520"/>
        <v>2.0264243257165858E-3</v>
      </c>
      <c r="AE1539">
        <f t="shared" si="521"/>
        <v>2.3276130781991106E-2</v>
      </c>
      <c r="AG1539">
        <f t="shared" si="522"/>
        <v>-0.87069464558662901</v>
      </c>
      <c r="AH1539">
        <f t="shared" si="523"/>
        <v>0.25153010692256955</v>
      </c>
      <c r="AI1539">
        <f t="shared" si="524"/>
        <v>0.16143114226349181</v>
      </c>
      <c r="AK1539" s="26" t="e">
        <f t="shared" si="525"/>
        <v>#DIV/0!</v>
      </c>
      <c r="AL1539" s="26" t="e">
        <f t="shared" si="526"/>
        <v>#DIV/0!</v>
      </c>
      <c r="AM1539" s="26" t="e">
        <f t="shared" si="527"/>
        <v>#DIV/0!</v>
      </c>
      <c r="AN1539" s="26" t="e">
        <f t="shared" si="528"/>
        <v>#DIV/0!</v>
      </c>
      <c r="AO1539" s="26" t="e">
        <f t="shared" si="529"/>
        <v>#DIV/0!</v>
      </c>
      <c r="AP1539" s="26" t="e">
        <f t="shared" si="530"/>
        <v>#DIV/0!</v>
      </c>
      <c r="AS1539" s="2">
        <v>43941</v>
      </c>
      <c r="AT1539">
        <v>14.3</v>
      </c>
      <c r="AU1539">
        <v>1.1000000000000001</v>
      </c>
      <c r="AV1539">
        <v>44.3</v>
      </c>
      <c r="AW1539">
        <v>3.1</v>
      </c>
      <c r="AX1539">
        <v>260.33999999999997</v>
      </c>
      <c r="AY1539">
        <v>0.5</v>
      </c>
      <c r="AZ1539">
        <v>3</v>
      </c>
      <c r="BA1539">
        <v>86.502099999999999</v>
      </c>
      <c r="BB1539">
        <v>43.108600000000003</v>
      </c>
      <c r="BC1539">
        <v>41.784799999999997</v>
      </c>
      <c r="BD1539">
        <v>2.8883999999999999</v>
      </c>
      <c r="BE1539">
        <v>35.457599999999999</v>
      </c>
      <c r="BH1539">
        <v>59.39</v>
      </c>
    </row>
    <row r="1540" spans="1:60" x14ac:dyDescent="0.25">
      <c r="A1540" s="2">
        <v>43961</v>
      </c>
      <c r="B1540">
        <v>18.3</v>
      </c>
      <c r="C1540">
        <v>14.9</v>
      </c>
      <c r="D1540">
        <v>35.299999999999997</v>
      </c>
      <c r="E1540">
        <v>2</v>
      </c>
      <c r="F1540">
        <v>169.37</v>
      </c>
      <c r="G1540">
        <v>0.7</v>
      </c>
      <c r="H1540">
        <v>3.4</v>
      </c>
      <c r="I1540">
        <v>107.6575</v>
      </c>
      <c r="J1540">
        <v>56.884399999999999</v>
      </c>
      <c r="K1540">
        <v>29.6372</v>
      </c>
      <c r="L1540">
        <v>4.6950000000000003</v>
      </c>
      <c r="M1540">
        <v>19.448499999999999</v>
      </c>
      <c r="P1540">
        <v>66.72</v>
      </c>
      <c r="S1540">
        <f t="shared" si="531"/>
        <v>462.29259999999999</v>
      </c>
      <c r="T1540">
        <f t="shared" si="510"/>
        <v>1.7155609345213513E-2</v>
      </c>
      <c r="U1540">
        <f t="shared" si="511"/>
        <v>1.3968228373971657E-2</v>
      </c>
      <c r="V1540">
        <f t="shared" si="512"/>
        <v>3.3092514201422778E-2</v>
      </c>
      <c r="W1540">
        <f t="shared" si="513"/>
        <v>1.8749299830834439E-3</v>
      </c>
      <c r="X1540">
        <f t="shared" si="514"/>
        <v>0.15877844561742144</v>
      </c>
      <c r="Y1540">
        <f t="shared" si="515"/>
        <v>6.5622549407920526E-4</v>
      </c>
      <c r="Z1540">
        <f t="shared" si="516"/>
        <v>3.1873809712418544E-3</v>
      </c>
      <c r="AA1540">
        <f t="shared" si="517"/>
        <v>0.10092513732690292</v>
      </c>
      <c r="AB1540">
        <f t="shared" si="518"/>
        <v>5.3327133564855925E-2</v>
      </c>
      <c r="AC1540">
        <f t="shared" si="519"/>
        <v>2.7783837447320322E-2</v>
      </c>
      <c r="AD1540">
        <f t="shared" si="520"/>
        <v>4.4013981352883846E-3</v>
      </c>
      <c r="AE1540">
        <f t="shared" si="521"/>
        <v>1.8232287887999177E-2</v>
      </c>
      <c r="AG1540">
        <f t="shared" si="522"/>
        <v>-0.89506348062502172</v>
      </c>
      <c r="AH1540">
        <f t="shared" si="523"/>
        <v>0.24694562187443309</v>
      </c>
      <c r="AI1540">
        <f t="shared" si="524"/>
        <v>0.12573276151831989</v>
      </c>
      <c r="AK1540" s="26" t="e">
        <f t="shared" si="525"/>
        <v>#DIV/0!</v>
      </c>
      <c r="AL1540" s="26" t="e">
        <f t="shared" si="526"/>
        <v>#DIV/0!</v>
      </c>
      <c r="AM1540" s="26" t="e">
        <f t="shared" si="527"/>
        <v>#DIV/0!</v>
      </c>
      <c r="AN1540" s="26" t="e">
        <f t="shared" si="528"/>
        <v>#DIV/0!</v>
      </c>
      <c r="AO1540" s="26" t="e">
        <f t="shared" si="529"/>
        <v>#DIV/0!</v>
      </c>
      <c r="AP1540" s="26" t="e">
        <f t="shared" si="530"/>
        <v>#DIV/0!</v>
      </c>
      <c r="AS1540" s="2">
        <v>43940</v>
      </c>
      <c r="AT1540">
        <v>14.4</v>
      </c>
      <c r="AU1540">
        <v>3.7</v>
      </c>
      <c r="AV1540">
        <v>43.2</v>
      </c>
      <c r="AW1540">
        <v>0.7</v>
      </c>
      <c r="AX1540">
        <v>215.77</v>
      </c>
      <c r="AY1540">
        <v>0.5</v>
      </c>
      <c r="AZ1540">
        <v>3.1</v>
      </c>
      <c r="BA1540">
        <v>100.22029999999999</v>
      </c>
      <c r="BB1540">
        <v>47.073900000000002</v>
      </c>
      <c r="BC1540">
        <v>34.374699999999997</v>
      </c>
      <c r="BD1540">
        <v>2.9794999999999998</v>
      </c>
      <c r="BE1540">
        <v>17.7334</v>
      </c>
      <c r="BH1540">
        <v>59.12</v>
      </c>
    </row>
    <row r="1541" spans="1:60" x14ac:dyDescent="0.25">
      <c r="A1541" s="2">
        <v>43960</v>
      </c>
      <c r="C1541">
        <v>9.8000000000000007</v>
      </c>
      <c r="F1541">
        <v>208.57</v>
      </c>
      <c r="K1541">
        <v>86.148300000000006</v>
      </c>
      <c r="P1541">
        <v>66.31</v>
      </c>
      <c r="S1541">
        <f t="shared" si="531"/>
        <v>304.51830000000001</v>
      </c>
      <c r="T1541">
        <f t="shared" ref="T1541:T1604" si="532">B1541/$S$4</f>
        <v>0</v>
      </c>
      <c r="U1541">
        <f t="shared" ref="U1541:U1604" si="533">C1541/$S$4</f>
        <v>9.1871569171088751E-3</v>
      </c>
      <c r="V1541">
        <f t="shared" ref="V1541:V1604" si="534">D1541/$S$4</f>
        <v>0</v>
      </c>
      <c r="W1541">
        <f t="shared" ref="W1541:W1604" si="535">E1541/$S$4</f>
        <v>0</v>
      </c>
      <c r="X1541">
        <f t="shared" ref="X1541:X1604" si="536">F1541/$S$4</f>
        <v>0.19552707328585694</v>
      </c>
      <c r="Y1541">
        <f t="shared" ref="Y1541:Y1604" si="537">G1541/$S$4</f>
        <v>0</v>
      </c>
      <c r="Z1541">
        <f t="shared" ref="Z1541:Z1604" si="538">H1541/$S$4</f>
        <v>0</v>
      </c>
      <c r="AA1541">
        <f t="shared" ref="AA1541:AA1604" si="539">I1541/$S$4</f>
        <v>0</v>
      </c>
      <c r="AB1541">
        <f t="shared" ref="AB1541:AB1604" si="540">J1541/$S$4</f>
        <v>0</v>
      </c>
      <c r="AC1541">
        <f t="shared" ref="AC1541:AC1604" si="541">K1541/$S$4</f>
        <v>8.0761015330833727E-2</v>
      </c>
      <c r="AD1541">
        <f t="shared" ref="AD1541:AD1604" si="542">L1541/$S$4</f>
        <v>0</v>
      </c>
      <c r="AE1541">
        <f t="shared" ref="AE1541:AE1604" si="543">M1541/$S$4</f>
        <v>0</v>
      </c>
      <c r="AG1541">
        <f t="shared" ref="AG1541:AG1604" si="544">(P1541-AVERAGE(P1541:P1905)) / _xlfn.STDEV.S(P1541:P3368)</f>
        <v>-0.92487696536050412</v>
      </c>
      <c r="AH1541">
        <f t="shared" ref="AH1541:AH1604" si="545">SUM(T1541:Y1541,Z1541,AE1541)</f>
        <v>0.20471423020296581</v>
      </c>
      <c r="AI1541">
        <f t="shared" ref="AI1541:AI1604" si="546">(AH1541-AVERAGE(AH1541:AH1905))/_xlfn.STDEV.S(AH1541:AH1905)</f>
        <v>-0.20493647195799031</v>
      </c>
      <c r="AK1541" s="26" t="e">
        <f t="shared" ref="AK1541:AK1604" si="547">AVERAGEA(AH1541:AH1561)-AVERAGE(AH1907:AH1927, AH2272:AH2292, AH2637:AH2657)</f>
        <v>#DIV/0!</v>
      </c>
      <c r="AL1541" s="26" t="e">
        <f t="shared" ref="AL1541:AL1604" si="548">AVERAGEA(AH1541:AH1596)-AVERAGE(AH1907:AH1962, AH2272:AH2326, AH2637:AH2691)</f>
        <v>#DIV/0!</v>
      </c>
      <c r="AM1541" s="26" t="e">
        <f t="shared" ref="AM1541:AM1604" si="549">AVERAGEA(AH1541:AH1653)-AVERAGE(AH1907:AH2019,AH2272:AH2383,AH2637:AH2748)</f>
        <v>#DIV/0!</v>
      </c>
      <c r="AN1541" s="26" t="e">
        <f t="shared" ref="AN1541:AN1604" si="550">AVERAGEA(P1541:P1561)-AVERAGE(P1907:P1927, P2272:P2292, P2637:P2657)</f>
        <v>#DIV/0!</v>
      </c>
      <c r="AO1541" s="26" t="e">
        <f t="shared" ref="AO1541:AO1604" si="551">AVERAGEA(P1541:P1596)-AVERAGE(P1907:P1962, P2272:P2326, P2637:P2691)</f>
        <v>#DIV/0!</v>
      </c>
      <c r="AP1541" s="26" t="e">
        <f t="shared" ref="AP1541:AP1604" si="552">AVERAGEA(P1541:P1653)-AVERAGE(P1907:P2019,P2272:P2383,P2637:P2748)</f>
        <v>#DIV/0!</v>
      </c>
      <c r="AS1541" s="2">
        <v>43939</v>
      </c>
      <c r="AT1541">
        <v>15.1</v>
      </c>
      <c r="AU1541">
        <v>38.6</v>
      </c>
      <c r="AV1541">
        <v>30.1</v>
      </c>
      <c r="AW1541">
        <v>1.3</v>
      </c>
      <c r="AX1541">
        <v>201.02</v>
      </c>
      <c r="AY1541">
        <v>0.5</v>
      </c>
      <c r="AZ1541">
        <v>2.8</v>
      </c>
      <c r="BA1541">
        <v>112.7799</v>
      </c>
      <c r="BB1541">
        <v>47.120199999999997</v>
      </c>
      <c r="BC1541">
        <v>48.753500000000003</v>
      </c>
      <c r="BD1541">
        <v>3.1724000000000001</v>
      </c>
      <c r="BE1541">
        <v>25.36</v>
      </c>
      <c r="BH1541">
        <v>58.69</v>
      </c>
    </row>
    <row r="1542" spans="1:60" x14ac:dyDescent="0.25">
      <c r="A1542" s="2">
        <v>43959</v>
      </c>
      <c r="B1542">
        <v>17.8</v>
      </c>
      <c r="C1542">
        <v>5</v>
      </c>
      <c r="D1542">
        <v>14.7</v>
      </c>
      <c r="E1542">
        <v>0.6</v>
      </c>
      <c r="F1542">
        <v>259.61</v>
      </c>
      <c r="G1542">
        <v>0.7</v>
      </c>
      <c r="H1542">
        <v>3.7</v>
      </c>
      <c r="I1542">
        <v>201.92699999999999</v>
      </c>
      <c r="J1542">
        <v>34.543100000000003</v>
      </c>
      <c r="K1542">
        <v>108.07940000000001</v>
      </c>
      <c r="L1542">
        <v>2.7006000000000001</v>
      </c>
      <c r="M1542">
        <v>26.5916</v>
      </c>
      <c r="N1542">
        <v>3.6515</v>
      </c>
      <c r="O1542">
        <v>-9.1542999999999992</v>
      </c>
      <c r="P1542">
        <v>65.81</v>
      </c>
      <c r="S1542">
        <f t="shared" si="531"/>
        <v>675.95169999999996</v>
      </c>
      <c r="T1542">
        <f t="shared" si="532"/>
        <v>1.6686876849442651E-2</v>
      </c>
      <c r="U1542">
        <f t="shared" si="533"/>
        <v>4.6873249577086091E-3</v>
      </c>
      <c r="V1542">
        <f t="shared" si="534"/>
        <v>1.3780735375663312E-2</v>
      </c>
      <c r="W1542">
        <f t="shared" si="535"/>
        <v>5.6247899492503314E-4</v>
      </c>
      <c r="X1542">
        <f t="shared" si="536"/>
        <v>0.24337528645414644</v>
      </c>
      <c r="Y1542">
        <f t="shared" si="537"/>
        <v>6.5622549407920526E-4</v>
      </c>
      <c r="Z1542">
        <f t="shared" si="538"/>
        <v>3.4686204687043713E-3</v>
      </c>
      <c r="AA1542">
        <f t="shared" si="539"/>
        <v>0.18929949334704527</v>
      </c>
      <c r="AB1542">
        <f t="shared" si="540"/>
        <v>3.2382946949324858E-2</v>
      </c>
      <c r="AC1542">
        <f t="shared" si="541"/>
        <v>0.10132065380683439</v>
      </c>
      <c r="AD1542">
        <f t="shared" si="542"/>
        <v>2.5317179561575743E-3</v>
      </c>
      <c r="AE1542">
        <f t="shared" si="543"/>
        <v>2.4928694069080853E-2</v>
      </c>
      <c r="AG1542">
        <f t="shared" si="544"/>
        <v>-0.96083583214213564</v>
      </c>
      <c r="AH1542">
        <f t="shared" si="545"/>
        <v>0.30814624266375057</v>
      </c>
      <c r="AI1542">
        <f t="shared" si="546"/>
        <v>0.60375875612563767</v>
      </c>
      <c r="AK1542" s="26" t="e">
        <f t="shared" si="547"/>
        <v>#DIV/0!</v>
      </c>
      <c r="AL1542" s="26" t="e">
        <f t="shared" si="548"/>
        <v>#DIV/0!</v>
      </c>
      <c r="AM1542" s="26" t="e">
        <f t="shared" si="549"/>
        <v>#DIV/0!</v>
      </c>
      <c r="AN1542" s="26" t="e">
        <f t="shared" si="550"/>
        <v>#DIV/0!</v>
      </c>
      <c r="AO1542" s="26" t="e">
        <f t="shared" si="551"/>
        <v>#DIV/0!</v>
      </c>
      <c r="AP1542" s="26" t="e">
        <f t="shared" si="552"/>
        <v>#DIV/0!</v>
      </c>
      <c r="AS1542" s="2">
        <v>43938</v>
      </c>
      <c r="AT1542">
        <v>14.5</v>
      </c>
      <c r="AU1542">
        <v>4.0999999999999996</v>
      </c>
      <c r="AV1542">
        <v>10.1</v>
      </c>
      <c r="AW1542">
        <v>0.4</v>
      </c>
      <c r="AX1542">
        <v>238.37</v>
      </c>
      <c r="AY1542">
        <v>0.5</v>
      </c>
      <c r="AZ1542">
        <v>3</v>
      </c>
      <c r="BA1542">
        <v>149.29310000000001</v>
      </c>
      <c r="BB1542">
        <v>53.3902</v>
      </c>
      <c r="BC1542">
        <v>97.140699999999995</v>
      </c>
      <c r="BD1542">
        <v>3.2645</v>
      </c>
      <c r="BE1542">
        <v>35.936900000000001</v>
      </c>
      <c r="BH1542">
        <v>58.34</v>
      </c>
    </row>
    <row r="1543" spans="1:60" x14ac:dyDescent="0.25">
      <c r="A1543" s="2">
        <v>43958</v>
      </c>
      <c r="B1543">
        <v>18.5</v>
      </c>
      <c r="C1543">
        <v>59.4</v>
      </c>
      <c r="D1543">
        <v>16.7</v>
      </c>
      <c r="E1543">
        <v>1.9</v>
      </c>
      <c r="F1543">
        <v>263.49</v>
      </c>
      <c r="G1543">
        <v>0.8</v>
      </c>
      <c r="H1543">
        <v>3.5</v>
      </c>
      <c r="I1543">
        <v>178.23429999999999</v>
      </c>
      <c r="J1543">
        <v>32.3992</v>
      </c>
      <c r="K1543">
        <v>108.84910000000001</v>
      </c>
      <c r="L1543">
        <v>2.694</v>
      </c>
      <c r="M1543">
        <v>26.896599999999999</v>
      </c>
      <c r="N1543">
        <v>3.4373999999999998</v>
      </c>
      <c r="O1543">
        <v>-9.5023</v>
      </c>
      <c r="P1543">
        <v>65.400000000000006</v>
      </c>
      <c r="S1543">
        <f t="shared" si="531"/>
        <v>713.36320000000001</v>
      </c>
      <c r="T1543">
        <f t="shared" si="532"/>
        <v>1.7343102343521856E-2</v>
      </c>
      <c r="U1543">
        <f t="shared" si="533"/>
        <v>5.5685420497578283E-2</v>
      </c>
      <c r="V1543">
        <f t="shared" si="534"/>
        <v>1.5655665358746754E-2</v>
      </c>
      <c r="W1543">
        <f t="shared" si="535"/>
        <v>1.7811834839292716E-3</v>
      </c>
      <c r="X1543">
        <f t="shared" si="536"/>
        <v>0.24701265062132832</v>
      </c>
      <c r="Y1543">
        <f t="shared" si="537"/>
        <v>7.4997199323337759E-4</v>
      </c>
      <c r="Z1543">
        <f t="shared" si="538"/>
        <v>3.2811274703960268E-3</v>
      </c>
      <c r="AA1543">
        <f t="shared" si="539"/>
        <v>0.16708841654194473</v>
      </c>
      <c r="AB1543">
        <f t="shared" si="540"/>
        <v>3.0373115753958558E-2</v>
      </c>
      <c r="AC1543">
        <f t="shared" si="541"/>
        <v>0.10204222061082405</v>
      </c>
      <c r="AD1543">
        <f t="shared" si="542"/>
        <v>2.5255306872133988E-3</v>
      </c>
      <c r="AE1543">
        <f t="shared" si="543"/>
        <v>2.5214620891501078E-2</v>
      </c>
      <c r="AG1543">
        <f t="shared" si="544"/>
        <v>-0.99103863957017346</v>
      </c>
      <c r="AH1543">
        <f t="shared" si="545"/>
        <v>0.366723742660235</v>
      </c>
      <c r="AI1543">
        <f t="shared" si="546"/>
        <v>1.0628809244997162</v>
      </c>
      <c r="AK1543" s="26" t="e">
        <f t="shared" si="547"/>
        <v>#DIV/0!</v>
      </c>
      <c r="AL1543" s="26" t="e">
        <f t="shared" si="548"/>
        <v>#DIV/0!</v>
      </c>
      <c r="AM1543" s="26" t="e">
        <f t="shared" si="549"/>
        <v>#DIV/0!</v>
      </c>
      <c r="AN1543" s="26" t="e">
        <f t="shared" si="550"/>
        <v>#DIV/0!</v>
      </c>
      <c r="AO1543" s="26" t="e">
        <f t="shared" si="551"/>
        <v>#DIV/0!</v>
      </c>
      <c r="AP1543" s="26" t="e">
        <f t="shared" si="552"/>
        <v>#DIV/0!</v>
      </c>
      <c r="AS1543" s="2">
        <v>43937</v>
      </c>
      <c r="AT1543">
        <v>14.2</v>
      </c>
      <c r="AU1543">
        <v>13.4</v>
      </c>
      <c r="AV1543">
        <v>18.399999999999999</v>
      </c>
      <c r="AW1543">
        <v>1.2</v>
      </c>
      <c r="AX1543">
        <v>234.79</v>
      </c>
      <c r="AY1543">
        <v>0.5</v>
      </c>
      <c r="AZ1543">
        <v>3</v>
      </c>
      <c r="BA1543">
        <v>136.947</v>
      </c>
      <c r="BB1543">
        <v>49.813699999999997</v>
      </c>
      <c r="BC1543">
        <v>84.465699999999998</v>
      </c>
      <c r="BD1543">
        <v>3.3136000000000001</v>
      </c>
      <c r="BE1543">
        <v>26.961400000000001</v>
      </c>
      <c r="BH1543">
        <v>58.03</v>
      </c>
    </row>
    <row r="1544" spans="1:60" x14ac:dyDescent="0.25">
      <c r="A1544" s="2">
        <v>43957</v>
      </c>
      <c r="B1544">
        <v>19.399999999999999</v>
      </c>
      <c r="C1544">
        <v>4.3</v>
      </c>
      <c r="D1544">
        <v>20.3</v>
      </c>
      <c r="E1544">
        <v>3.1</v>
      </c>
      <c r="F1544">
        <v>265.33</v>
      </c>
      <c r="G1544">
        <v>0.8</v>
      </c>
      <c r="H1544">
        <v>3.5</v>
      </c>
      <c r="I1544">
        <v>175.24529999999999</v>
      </c>
      <c r="J1544">
        <v>41.387599999999999</v>
      </c>
      <c r="K1544">
        <v>91.0197</v>
      </c>
      <c r="L1544">
        <v>2.6572</v>
      </c>
      <c r="M1544">
        <v>24.1449</v>
      </c>
      <c r="N1544">
        <v>3.6532</v>
      </c>
      <c r="O1544">
        <v>-9.4016999999999999</v>
      </c>
      <c r="P1544">
        <v>65.069999999999993</v>
      </c>
      <c r="S1544">
        <f t="shared" si="531"/>
        <v>651.18469999999991</v>
      </c>
      <c r="T1544">
        <f t="shared" si="532"/>
        <v>1.8186820835909404E-2</v>
      </c>
      <c r="U1544">
        <f t="shared" si="533"/>
        <v>4.0310994636294038E-3</v>
      </c>
      <c r="V1544">
        <f t="shared" si="534"/>
        <v>1.9030539328296955E-2</v>
      </c>
      <c r="W1544">
        <f t="shared" si="535"/>
        <v>2.9061414737793379E-3</v>
      </c>
      <c r="X1544">
        <f t="shared" si="536"/>
        <v>0.24873758620576505</v>
      </c>
      <c r="Y1544">
        <f t="shared" si="537"/>
        <v>7.4997199323337759E-4</v>
      </c>
      <c r="Z1544">
        <f t="shared" si="538"/>
        <v>3.2811274703960268E-3</v>
      </c>
      <c r="AA1544">
        <f t="shared" si="539"/>
        <v>0.1642863336822265</v>
      </c>
      <c r="AB1544">
        <f t="shared" si="540"/>
        <v>3.8799426083932172E-2</v>
      </c>
      <c r="AC1544">
        <f t="shared" si="541"/>
        <v>8.5327782290630066E-2</v>
      </c>
      <c r="AD1544">
        <f t="shared" si="542"/>
        <v>2.4910319755246635E-3</v>
      </c>
      <c r="AE1544">
        <f t="shared" si="543"/>
        <v>2.2634998474275723E-2</v>
      </c>
      <c r="AG1544">
        <f t="shared" si="544"/>
        <v>-1.016129230747526</v>
      </c>
      <c r="AH1544">
        <f t="shared" si="545"/>
        <v>0.31955828524528535</v>
      </c>
      <c r="AI1544">
        <f t="shared" si="546"/>
        <v>0.69820376072414192</v>
      </c>
      <c r="AK1544" s="26" t="e">
        <f t="shared" si="547"/>
        <v>#DIV/0!</v>
      </c>
      <c r="AL1544" s="26" t="e">
        <f t="shared" si="548"/>
        <v>#DIV/0!</v>
      </c>
      <c r="AM1544" s="26" t="e">
        <f t="shared" si="549"/>
        <v>#DIV/0!</v>
      </c>
      <c r="AN1544" s="26" t="e">
        <f t="shared" si="550"/>
        <v>#DIV/0!</v>
      </c>
      <c r="AO1544" s="26" t="e">
        <f t="shared" si="551"/>
        <v>#DIV/0!</v>
      </c>
      <c r="AP1544" s="26" t="e">
        <f t="shared" si="552"/>
        <v>#DIV/0!</v>
      </c>
      <c r="AS1544" s="2">
        <v>43936</v>
      </c>
      <c r="AT1544">
        <v>13.8</v>
      </c>
      <c r="AU1544">
        <v>51.3</v>
      </c>
      <c r="AV1544">
        <v>55.9</v>
      </c>
      <c r="AW1544">
        <v>2.5</v>
      </c>
      <c r="AX1544">
        <v>238.92</v>
      </c>
      <c r="AY1544">
        <v>0.8</v>
      </c>
      <c r="AZ1544">
        <v>2.9</v>
      </c>
      <c r="BA1544">
        <v>109.5377</v>
      </c>
      <c r="BB1544">
        <v>37.433199999999999</v>
      </c>
      <c r="BC1544">
        <v>61.55</v>
      </c>
      <c r="BD1544">
        <v>3.9041000000000001</v>
      </c>
      <c r="BE1544">
        <v>31.061299999999999</v>
      </c>
      <c r="BH1544">
        <v>57.75</v>
      </c>
    </row>
    <row r="1545" spans="1:60" x14ac:dyDescent="0.25">
      <c r="A1545" s="2">
        <v>43956</v>
      </c>
      <c r="B1545">
        <v>16.399999999999999</v>
      </c>
      <c r="C1545">
        <v>48.7</v>
      </c>
      <c r="D1545">
        <v>25.7</v>
      </c>
      <c r="E1545">
        <v>2.5</v>
      </c>
      <c r="F1545">
        <v>223.1</v>
      </c>
      <c r="G1545">
        <v>0.8</v>
      </c>
      <c r="H1545">
        <v>3.3</v>
      </c>
      <c r="I1545">
        <v>182.6429</v>
      </c>
      <c r="J1545">
        <v>40.986800000000002</v>
      </c>
      <c r="K1545">
        <v>95.953599999999994</v>
      </c>
      <c r="L1545">
        <v>2.6831</v>
      </c>
      <c r="M1545">
        <v>26.208100000000002</v>
      </c>
      <c r="N1545">
        <v>3.9177</v>
      </c>
      <c r="O1545">
        <v>-9.1691000000000003</v>
      </c>
      <c r="P1545">
        <v>64.78</v>
      </c>
      <c r="S1545">
        <f t="shared" si="531"/>
        <v>668.97450000000003</v>
      </c>
      <c r="T1545">
        <f t="shared" si="532"/>
        <v>1.5374425861284237E-2</v>
      </c>
      <c r="U1545">
        <f t="shared" si="533"/>
        <v>4.5654545088081859E-2</v>
      </c>
      <c r="V1545">
        <f t="shared" si="534"/>
        <v>2.4092850282622251E-2</v>
      </c>
      <c r="W1545">
        <f t="shared" si="535"/>
        <v>2.3436624788543046E-3</v>
      </c>
      <c r="X1545">
        <f t="shared" si="536"/>
        <v>0.20914843961295815</v>
      </c>
      <c r="Y1545">
        <f t="shared" si="537"/>
        <v>7.4997199323337759E-4</v>
      </c>
      <c r="Z1545">
        <f t="shared" si="538"/>
        <v>3.0936344720876819E-3</v>
      </c>
      <c r="AA1545">
        <f t="shared" si="539"/>
        <v>0.17122132470365556</v>
      </c>
      <c r="AB1545">
        <f t="shared" si="540"/>
        <v>3.8423690115322248E-2</v>
      </c>
      <c r="AC1545">
        <f t="shared" si="541"/>
        <v>8.9953140812397761E-2</v>
      </c>
      <c r="AD1545">
        <f t="shared" si="542"/>
        <v>2.5153123188055939E-3</v>
      </c>
      <c r="AE1545">
        <f t="shared" si="543"/>
        <v>2.4569176244824603E-2</v>
      </c>
      <c r="AG1545">
        <f t="shared" si="544"/>
        <v>-1.0387406564610309</v>
      </c>
      <c r="AH1545">
        <f t="shared" si="545"/>
        <v>0.32502670603394646</v>
      </c>
      <c r="AI1545">
        <f t="shared" si="546"/>
        <v>0.74271136358312795</v>
      </c>
      <c r="AK1545" s="26" t="e">
        <f t="shared" si="547"/>
        <v>#DIV/0!</v>
      </c>
      <c r="AL1545" s="26" t="e">
        <f t="shared" si="548"/>
        <v>#DIV/0!</v>
      </c>
      <c r="AM1545" s="26" t="e">
        <f t="shared" si="549"/>
        <v>#DIV/0!</v>
      </c>
      <c r="AN1545" s="26" t="e">
        <f t="shared" si="550"/>
        <v>#DIV/0!</v>
      </c>
      <c r="AO1545" s="26" t="e">
        <f t="shared" si="551"/>
        <v>#DIV/0!</v>
      </c>
      <c r="AP1545" s="26" t="e">
        <f t="shared" si="552"/>
        <v>#DIV/0!</v>
      </c>
      <c r="AS1545" s="2">
        <v>43935</v>
      </c>
      <c r="AT1545">
        <v>13.4</v>
      </c>
      <c r="AU1545">
        <v>3.5</v>
      </c>
      <c r="AV1545">
        <v>51.8</v>
      </c>
      <c r="AW1545">
        <v>3.7</v>
      </c>
      <c r="AX1545">
        <v>191.84</v>
      </c>
      <c r="AY1545">
        <v>0.8</v>
      </c>
      <c r="AZ1545">
        <v>2.7</v>
      </c>
      <c r="BA1545">
        <v>105.697</v>
      </c>
      <c r="BB1545">
        <v>33.972799999999999</v>
      </c>
      <c r="BC1545">
        <v>58.121699999999997</v>
      </c>
      <c r="BD1545">
        <v>4.0453999999999999</v>
      </c>
      <c r="BE1545">
        <v>38.058900000000001</v>
      </c>
      <c r="BH1545">
        <v>57.53</v>
      </c>
    </row>
    <row r="1546" spans="1:60" x14ac:dyDescent="0.25">
      <c r="A1546" s="2">
        <v>43955</v>
      </c>
      <c r="B1546">
        <v>16.399999999999999</v>
      </c>
      <c r="C1546">
        <v>1.7</v>
      </c>
      <c r="D1546">
        <v>22.6</v>
      </c>
      <c r="E1546">
        <v>1.7</v>
      </c>
      <c r="F1546">
        <v>161.91999999999999</v>
      </c>
      <c r="G1546">
        <v>0.9</v>
      </c>
      <c r="H1546">
        <v>3.5</v>
      </c>
      <c r="I1546">
        <v>204.72190000000001</v>
      </c>
      <c r="J1546">
        <v>45.635599999999997</v>
      </c>
      <c r="K1546">
        <v>112.6237</v>
      </c>
      <c r="L1546">
        <v>2.6884999999999999</v>
      </c>
      <c r="M1546">
        <v>31.564599999999999</v>
      </c>
      <c r="N1546">
        <v>3.3725000000000001</v>
      </c>
      <c r="O1546">
        <v>-9.1869999999999994</v>
      </c>
      <c r="P1546">
        <v>64.48</v>
      </c>
      <c r="S1546">
        <f t="shared" si="531"/>
        <v>605.9543000000001</v>
      </c>
      <c r="T1546">
        <f t="shared" si="532"/>
        <v>1.5374425861284237E-2</v>
      </c>
      <c r="U1546">
        <f t="shared" si="533"/>
        <v>1.5936904856209272E-3</v>
      </c>
      <c r="V1546">
        <f t="shared" si="534"/>
        <v>2.1186708808842915E-2</v>
      </c>
      <c r="W1546">
        <f t="shared" si="535"/>
        <v>1.5936904856209272E-3</v>
      </c>
      <c r="X1546">
        <f t="shared" si="536"/>
        <v>0.15179433143043561</v>
      </c>
      <c r="Y1546">
        <f t="shared" si="537"/>
        <v>8.4371849238754971E-4</v>
      </c>
      <c r="Z1546">
        <f t="shared" si="538"/>
        <v>3.2811274703960268E-3</v>
      </c>
      <c r="AA1546">
        <f t="shared" si="539"/>
        <v>0.19191961425190524</v>
      </c>
      <c r="AB1546">
        <f t="shared" si="540"/>
        <v>4.27817773680014E-2</v>
      </c>
      <c r="AC1546">
        <f t="shared" si="541"/>
        <v>0.10558077596789743</v>
      </c>
      <c r="AD1546">
        <f t="shared" si="542"/>
        <v>2.5203746297599193E-3</v>
      </c>
      <c r="AE1546">
        <f t="shared" si="543"/>
        <v>2.9590707472017835E-2</v>
      </c>
      <c r="AG1546">
        <f t="shared" si="544"/>
        <v>-1.0621839976195229</v>
      </c>
      <c r="AH1546">
        <f t="shared" si="545"/>
        <v>0.225258400506606</v>
      </c>
      <c r="AI1546">
        <f t="shared" si="546"/>
        <v>-3.369752058222622E-2</v>
      </c>
      <c r="AK1546" s="26" t="e">
        <f t="shared" si="547"/>
        <v>#DIV/0!</v>
      </c>
      <c r="AL1546" s="26" t="e">
        <f t="shared" si="548"/>
        <v>#DIV/0!</v>
      </c>
      <c r="AM1546" s="26" t="e">
        <f t="shared" si="549"/>
        <v>#DIV/0!</v>
      </c>
      <c r="AN1546" s="26" t="e">
        <f t="shared" si="550"/>
        <v>#DIV/0!</v>
      </c>
      <c r="AO1546" s="26" t="e">
        <f t="shared" si="551"/>
        <v>#DIV/0!</v>
      </c>
      <c r="AP1546" s="26" t="e">
        <f t="shared" si="552"/>
        <v>#DIV/0!</v>
      </c>
      <c r="AS1546" s="2">
        <v>43934</v>
      </c>
      <c r="AT1546">
        <v>11.6</v>
      </c>
      <c r="AU1546">
        <v>0</v>
      </c>
      <c r="AV1546">
        <v>53.9</v>
      </c>
      <c r="AW1546">
        <v>5.6</v>
      </c>
      <c r="AX1546">
        <v>170.34</v>
      </c>
      <c r="AY1546">
        <v>0.9</v>
      </c>
      <c r="AZ1546">
        <v>2</v>
      </c>
      <c r="BA1546">
        <v>82.081000000000003</v>
      </c>
      <c r="BB1546">
        <v>34.5441</v>
      </c>
      <c r="BC1546">
        <v>24.368099999999998</v>
      </c>
      <c r="BD1546">
        <v>4.0399000000000003</v>
      </c>
      <c r="BE1546">
        <v>16.190000000000001</v>
      </c>
      <c r="BH1546">
        <v>57.26</v>
      </c>
    </row>
    <row r="1547" spans="1:60" x14ac:dyDescent="0.25">
      <c r="A1547" s="2">
        <v>43954</v>
      </c>
      <c r="B1547">
        <v>17.399999999999999</v>
      </c>
      <c r="C1547">
        <v>62.6</v>
      </c>
      <c r="D1547">
        <v>11.1</v>
      </c>
      <c r="E1547">
        <v>1.6</v>
      </c>
      <c r="F1547">
        <v>184.21</v>
      </c>
      <c r="G1547">
        <v>0.9</v>
      </c>
      <c r="H1547">
        <v>3.1</v>
      </c>
      <c r="I1547">
        <v>107.31740000000001</v>
      </c>
      <c r="J1547">
        <v>39.582299999999996</v>
      </c>
      <c r="K1547">
        <v>40.553100000000001</v>
      </c>
      <c r="L1547">
        <v>2.6836000000000002</v>
      </c>
      <c r="M1547">
        <v>24.3873</v>
      </c>
      <c r="P1547">
        <v>64.16</v>
      </c>
      <c r="S1547">
        <f t="shared" si="531"/>
        <v>495.43369999999999</v>
      </c>
      <c r="T1547">
        <f t="shared" si="532"/>
        <v>1.6311890852825958E-2</v>
      </c>
      <c r="U1547">
        <f t="shared" si="533"/>
        <v>5.8685308470511795E-2</v>
      </c>
      <c r="V1547">
        <f t="shared" si="534"/>
        <v>1.0405861406113113E-2</v>
      </c>
      <c r="W1547">
        <f t="shared" si="535"/>
        <v>1.4999439864667552E-3</v>
      </c>
      <c r="X1547">
        <f t="shared" si="536"/>
        <v>0.17269042609190061</v>
      </c>
      <c r="Y1547">
        <f t="shared" si="537"/>
        <v>8.4371849238754971E-4</v>
      </c>
      <c r="Z1547">
        <f t="shared" si="538"/>
        <v>2.9061414737793379E-3</v>
      </c>
      <c r="AA1547">
        <f t="shared" si="539"/>
        <v>0.10060630548327959</v>
      </c>
      <c r="AB1547">
        <f t="shared" si="540"/>
        <v>3.7107020534701898E-2</v>
      </c>
      <c r="AC1547">
        <f t="shared" si="541"/>
        <v>3.8017111548490606E-2</v>
      </c>
      <c r="AD1547">
        <f t="shared" si="542"/>
        <v>2.515781051301365E-3</v>
      </c>
      <c r="AE1547">
        <f t="shared" si="543"/>
        <v>2.2862239988225435E-2</v>
      </c>
      <c r="AG1547">
        <f t="shared" si="544"/>
        <v>-1.0871375930037326</v>
      </c>
      <c r="AH1547">
        <f t="shared" si="545"/>
        <v>0.28620553076221061</v>
      </c>
      <c r="AI1547">
        <f t="shared" si="546"/>
        <v>0.4409375790171236</v>
      </c>
      <c r="AK1547" s="26" t="e">
        <f t="shared" si="547"/>
        <v>#DIV/0!</v>
      </c>
      <c r="AL1547" s="26" t="e">
        <f t="shared" si="548"/>
        <v>#DIV/0!</v>
      </c>
      <c r="AM1547" s="26" t="e">
        <f t="shared" si="549"/>
        <v>#DIV/0!</v>
      </c>
      <c r="AN1547" s="26" t="e">
        <f t="shared" si="550"/>
        <v>#DIV/0!</v>
      </c>
      <c r="AO1547" s="26" t="e">
        <f t="shared" si="551"/>
        <v>#DIV/0!</v>
      </c>
      <c r="AP1547" s="26" t="e">
        <f t="shared" si="552"/>
        <v>#DIV/0!</v>
      </c>
      <c r="AS1547" s="2">
        <v>43933</v>
      </c>
      <c r="AT1547">
        <v>12.7</v>
      </c>
      <c r="AU1547">
        <v>45.7</v>
      </c>
      <c r="AV1547">
        <v>23.5</v>
      </c>
      <c r="AW1547">
        <v>1.5</v>
      </c>
      <c r="AX1547">
        <v>219.05</v>
      </c>
      <c r="AY1547">
        <v>0.9</v>
      </c>
      <c r="AZ1547">
        <v>2.5</v>
      </c>
      <c r="BA1547">
        <v>101.069</v>
      </c>
      <c r="BB1547">
        <v>50.138399999999997</v>
      </c>
      <c r="BC1547">
        <v>34.362400000000001</v>
      </c>
      <c r="BD1547">
        <v>3.9845000000000002</v>
      </c>
      <c r="BE1547">
        <v>20.944700000000001</v>
      </c>
      <c r="BH1547">
        <v>56.99</v>
      </c>
    </row>
    <row r="1548" spans="1:60" x14ac:dyDescent="0.25">
      <c r="A1548" s="2">
        <v>43953</v>
      </c>
      <c r="B1548">
        <v>17.100000000000001</v>
      </c>
      <c r="C1548">
        <v>22.3</v>
      </c>
      <c r="D1548">
        <v>15.3</v>
      </c>
      <c r="E1548">
        <v>3.5</v>
      </c>
      <c r="F1548">
        <v>151.05000000000001</v>
      </c>
      <c r="G1548">
        <v>0.9</v>
      </c>
      <c r="H1548">
        <v>2.9</v>
      </c>
      <c r="I1548">
        <v>99.529499999999999</v>
      </c>
      <c r="J1548">
        <v>39.202399999999997</v>
      </c>
      <c r="K1548">
        <v>32.586300000000001</v>
      </c>
      <c r="L1548">
        <v>2.6427</v>
      </c>
      <c r="M1548">
        <v>27.488800000000001</v>
      </c>
      <c r="P1548">
        <v>63.81</v>
      </c>
      <c r="S1548">
        <f t="shared" si="531"/>
        <v>414.49970000000002</v>
      </c>
      <c r="T1548">
        <f t="shared" si="532"/>
        <v>1.6030651355363447E-2</v>
      </c>
      <c r="U1548">
        <f t="shared" si="533"/>
        <v>2.09054693113804E-2</v>
      </c>
      <c r="V1548">
        <f t="shared" si="534"/>
        <v>1.4343214370588346E-2</v>
      </c>
      <c r="W1548">
        <f t="shared" si="535"/>
        <v>3.2811274703960268E-3</v>
      </c>
      <c r="X1548">
        <f t="shared" si="536"/>
        <v>0.14160408697237711</v>
      </c>
      <c r="Y1548">
        <f t="shared" si="537"/>
        <v>8.4371849238754971E-4</v>
      </c>
      <c r="Z1548">
        <f t="shared" si="538"/>
        <v>2.7186484754709935E-3</v>
      </c>
      <c r="AA1548">
        <f t="shared" si="539"/>
        <v>9.3305421875651814E-2</v>
      </c>
      <c r="AB1548">
        <f t="shared" si="540"/>
        <v>3.6750877584415198E-2</v>
      </c>
      <c r="AC1548">
        <f t="shared" si="541"/>
        <v>3.0548515453876015E-2</v>
      </c>
      <c r="AD1548">
        <f t="shared" si="542"/>
        <v>2.4774387331473087E-3</v>
      </c>
      <c r="AE1548">
        <f t="shared" si="543"/>
        <v>2.5769787659492085E-2</v>
      </c>
      <c r="AG1548">
        <f t="shared" si="544"/>
        <v>-1.1142866727741334</v>
      </c>
      <c r="AH1548">
        <f t="shared" si="545"/>
        <v>0.22549670410745595</v>
      </c>
      <c r="AI1548">
        <f t="shared" si="546"/>
        <v>-3.0304728971816849E-2</v>
      </c>
      <c r="AK1548" s="26" t="e">
        <f t="shared" si="547"/>
        <v>#DIV/0!</v>
      </c>
      <c r="AL1548" s="26" t="e">
        <f t="shared" si="548"/>
        <v>#DIV/0!</v>
      </c>
      <c r="AM1548" s="26" t="e">
        <f t="shared" si="549"/>
        <v>#DIV/0!</v>
      </c>
      <c r="AN1548" s="26" t="e">
        <f t="shared" si="550"/>
        <v>#DIV/0!</v>
      </c>
      <c r="AO1548" s="26" t="e">
        <f t="shared" si="551"/>
        <v>#DIV/0!</v>
      </c>
      <c r="AP1548" s="26" t="e">
        <f t="shared" si="552"/>
        <v>#DIV/0!</v>
      </c>
      <c r="AS1548" s="2">
        <v>43932</v>
      </c>
      <c r="AT1548">
        <v>13</v>
      </c>
      <c r="AU1548">
        <v>6.1</v>
      </c>
      <c r="AV1548">
        <v>11.4</v>
      </c>
      <c r="AW1548">
        <v>0.3</v>
      </c>
      <c r="AX1548">
        <v>455.39</v>
      </c>
      <c r="AY1548">
        <v>0.9</v>
      </c>
      <c r="AZ1548">
        <v>2.6</v>
      </c>
      <c r="BA1548">
        <v>107.36490000000001</v>
      </c>
      <c r="BB1548">
        <v>55.203800000000001</v>
      </c>
      <c r="BC1548">
        <v>48.083500000000001</v>
      </c>
      <c r="BD1548">
        <v>3.984</v>
      </c>
      <c r="BE1548">
        <v>28.860399999999998</v>
      </c>
      <c r="BH1548">
        <v>56.52</v>
      </c>
    </row>
    <row r="1549" spans="1:60" x14ac:dyDescent="0.25">
      <c r="A1549" s="2">
        <v>43952</v>
      </c>
      <c r="B1549">
        <v>17</v>
      </c>
      <c r="C1549">
        <v>66.7</v>
      </c>
      <c r="D1549">
        <v>31.1</v>
      </c>
      <c r="E1549">
        <v>3.5</v>
      </c>
      <c r="F1549">
        <v>158.43</v>
      </c>
      <c r="G1549">
        <v>0.9</v>
      </c>
      <c r="H1549">
        <v>3.1</v>
      </c>
      <c r="I1549">
        <v>101.0307</v>
      </c>
      <c r="J1549">
        <v>38.680199999999999</v>
      </c>
      <c r="K1549">
        <v>34.791899999999998</v>
      </c>
      <c r="L1549">
        <v>2.6637</v>
      </c>
      <c r="M1549">
        <v>20.0139</v>
      </c>
      <c r="N1549">
        <v>-0.62629999999999997</v>
      </c>
      <c r="O1549">
        <v>-12.827500000000001</v>
      </c>
      <c r="P1549">
        <v>63.45</v>
      </c>
      <c r="S1549">
        <f t="shared" si="531"/>
        <v>477.91040000000004</v>
      </c>
      <c r="T1549">
        <f t="shared" si="532"/>
        <v>1.5936904856209272E-2</v>
      </c>
      <c r="U1549">
        <f t="shared" si="533"/>
        <v>6.2528914935832861E-2</v>
      </c>
      <c r="V1549">
        <f t="shared" si="534"/>
        <v>2.9155161236947554E-2</v>
      </c>
      <c r="W1549">
        <f t="shared" si="535"/>
        <v>3.2811274703960268E-3</v>
      </c>
      <c r="X1549">
        <f t="shared" si="536"/>
        <v>0.14852257860995502</v>
      </c>
      <c r="Y1549">
        <f t="shared" si="537"/>
        <v>8.4371849238754971E-4</v>
      </c>
      <c r="Z1549">
        <f t="shared" si="538"/>
        <v>2.9061414737793379E-3</v>
      </c>
      <c r="AA1549">
        <f t="shared" si="539"/>
        <v>9.4712744320954237E-2</v>
      </c>
      <c r="AB1549">
        <f t="shared" si="540"/>
        <v>3.6261333365832114E-2</v>
      </c>
      <c r="AC1549">
        <f t="shared" si="541"/>
        <v>3.2616188239220432E-2</v>
      </c>
      <c r="AD1549">
        <f t="shared" si="542"/>
        <v>2.4971254979696848E-3</v>
      </c>
      <c r="AE1549">
        <f t="shared" si="543"/>
        <v>1.8762330594216867E-2</v>
      </c>
      <c r="AG1549">
        <f t="shared" si="544"/>
        <v>-1.1423310298462812</v>
      </c>
      <c r="AH1549">
        <f t="shared" si="545"/>
        <v>0.28193687766972453</v>
      </c>
      <c r="AI1549">
        <f t="shared" si="546"/>
        <v>0.40783363960330776</v>
      </c>
      <c r="AK1549" s="26" t="e">
        <f t="shared" si="547"/>
        <v>#DIV/0!</v>
      </c>
      <c r="AL1549" s="26" t="e">
        <f t="shared" si="548"/>
        <v>#DIV/0!</v>
      </c>
      <c r="AM1549" s="26" t="e">
        <f t="shared" si="549"/>
        <v>#DIV/0!</v>
      </c>
      <c r="AN1549" s="26" t="e">
        <f t="shared" si="550"/>
        <v>#DIV/0!</v>
      </c>
      <c r="AO1549" s="26" t="e">
        <f t="shared" si="551"/>
        <v>#DIV/0!</v>
      </c>
      <c r="AP1549" s="26" t="e">
        <f t="shared" si="552"/>
        <v>#DIV/0!</v>
      </c>
      <c r="AS1549" s="2">
        <v>43931</v>
      </c>
      <c r="AT1549">
        <v>12.9</v>
      </c>
      <c r="AU1549">
        <v>31</v>
      </c>
      <c r="AV1549">
        <v>4.2</v>
      </c>
      <c r="AW1549">
        <v>1</v>
      </c>
      <c r="AX1549">
        <v>230.76</v>
      </c>
      <c r="AY1549">
        <v>0.7</v>
      </c>
      <c r="AZ1549">
        <v>2.7</v>
      </c>
      <c r="BA1549">
        <v>117.0159</v>
      </c>
      <c r="BB1549">
        <v>48.521900000000002</v>
      </c>
      <c r="BC1549">
        <v>53.393799999999999</v>
      </c>
      <c r="BD1549">
        <v>3.9655</v>
      </c>
      <c r="BE1549">
        <v>24.556899999999999</v>
      </c>
      <c r="BH1549">
        <v>56.12</v>
      </c>
    </row>
    <row r="1550" spans="1:60" x14ac:dyDescent="0.25">
      <c r="A1550" s="2">
        <v>43951</v>
      </c>
      <c r="B1550">
        <v>17.3</v>
      </c>
      <c r="C1550">
        <v>19.2</v>
      </c>
      <c r="D1550">
        <v>54</v>
      </c>
      <c r="E1550">
        <v>3.5</v>
      </c>
      <c r="F1550">
        <v>132.66</v>
      </c>
      <c r="G1550">
        <v>0.9</v>
      </c>
      <c r="H1550">
        <v>3.4</v>
      </c>
      <c r="I1550">
        <v>132.4332</v>
      </c>
      <c r="J1550">
        <v>46.968400000000003</v>
      </c>
      <c r="K1550">
        <v>54.571300000000001</v>
      </c>
      <c r="L1550">
        <v>2.6735000000000002</v>
      </c>
      <c r="M1550">
        <v>30.292400000000001</v>
      </c>
      <c r="N1550">
        <v>-0.51049999999999995</v>
      </c>
      <c r="O1550">
        <v>-12.273099999999999</v>
      </c>
      <c r="P1550">
        <v>62.66</v>
      </c>
      <c r="S1550">
        <f t="shared" si="531"/>
        <v>497.89879999999994</v>
      </c>
      <c r="T1550">
        <f t="shared" si="532"/>
        <v>1.621814435367179E-2</v>
      </c>
      <c r="U1550">
        <f t="shared" si="533"/>
        <v>1.799932783760106E-2</v>
      </c>
      <c r="V1550">
        <f t="shared" si="534"/>
        <v>5.0623109543252984E-2</v>
      </c>
      <c r="W1550">
        <f t="shared" si="535"/>
        <v>3.2811274703960268E-3</v>
      </c>
      <c r="X1550">
        <f t="shared" si="536"/>
        <v>0.12436410577792482</v>
      </c>
      <c r="Y1550">
        <f t="shared" si="537"/>
        <v>8.4371849238754971E-4</v>
      </c>
      <c r="Z1550">
        <f t="shared" si="538"/>
        <v>3.1873809712418544E-3</v>
      </c>
      <c r="AA1550">
        <f t="shared" si="539"/>
        <v>0.12415148871784316</v>
      </c>
      <c r="AB1550">
        <f t="shared" si="540"/>
        <v>4.4031230708728213E-2</v>
      </c>
      <c r="AC1550">
        <f t="shared" si="541"/>
        <v>5.1158683292920767E-2</v>
      </c>
      <c r="AD1550">
        <f t="shared" si="542"/>
        <v>2.5063126548867938E-3</v>
      </c>
      <c r="AE1550">
        <f t="shared" si="543"/>
        <v>2.8398064509778456E-2</v>
      </c>
      <c r="AG1550">
        <f t="shared" si="544"/>
        <v>-1.1992180886731796</v>
      </c>
      <c r="AH1550">
        <f t="shared" si="545"/>
        <v>0.24491497895625453</v>
      </c>
      <c r="AI1550">
        <f t="shared" si="546"/>
        <v>0.12166803321743108</v>
      </c>
      <c r="AK1550" s="26" t="e">
        <f t="shared" si="547"/>
        <v>#DIV/0!</v>
      </c>
      <c r="AL1550" s="26" t="e">
        <f t="shared" si="548"/>
        <v>#DIV/0!</v>
      </c>
      <c r="AM1550" s="26" t="e">
        <f t="shared" si="549"/>
        <v>#DIV/0!</v>
      </c>
      <c r="AN1550" s="26" t="e">
        <f t="shared" si="550"/>
        <v>#DIV/0!</v>
      </c>
      <c r="AO1550" s="26" t="e">
        <f t="shared" si="551"/>
        <v>#DIV/0!</v>
      </c>
      <c r="AP1550" s="26" t="e">
        <f t="shared" si="552"/>
        <v>#DIV/0!</v>
      </c>
      <c r="AS1550" s="2">
        <v>43930</v>
      </c>
      <c r="AT1550">
        <v>12.7</v>
      </c>
      <c r="AU1550">
        <v>0.8</v>
      </c>
      <c r="AV1550">
        <v>18.3</v>
      </c>
      <c r="AW1550">
        <v>1.7</v>
      </c>
      <c r="AX1550">
        <v>218.59</v>
      </c>
      <c r="AY1550">
        <v>0.4</v>
      </c>
      <c r="AZ1550">
        <v>3.3</v>
      </c>
      <c r="BA1550">
        <v>209.9222</v>
      </c>
      <c r="BB1550">
        <v>40.084099999999999</v>
      </c>
      <c r="BC1550">
        <v>87.908900000000003</v>
      </c>
      <c r="BD1550">
        <v>3.9645000000000001</v>
      </c>
      <c r="BE1550">
        <v>28.049299999999999</v>
      </c>
      <c r="BH1550">
        <v>55.79</v>
      </c>
    </row>
    <row r="1551" spans="1:60" x14ac:dyDescent="0.25">
      <c r="A1551" s="2">
        <v>43950</v>
      </c>
      <c r="B1551">
        <v>17.899999999999999</v>
      </c>
      <c r="C1551">
        <v>6.7</v>
      </c>
      <c r="D1551">
        <v>14.6</v>
      </c>
      <c r="E1551">
        <v>1.4</v>
      </c>
      <c r="F1551">
        <v>119.38</v>
      </c>
      <c r="G1551">
        <v>0.9</v>
      </c>
      <c r="H1551">
        <v>3.6</v>
      </c>
      <c r="I1551">
        <v>216.8098</v>
      </c>
      <c r="J1551">
        <v>53.122500000000002</v>
      </c>
      <c r="K1551">
        <v>108.416</v>
      </c>
      <c r="L1551">
        <v>2.6808999999999998</v>
      </c>
      <c r="M1551">
        <v>30.808299999999999</v>
      </c>
      <c r="N1551">
        <v>-1.7605999999999999</v>
      </c>
      <c r="O1551">
        <v>-13.125</v>
      </c>
      <c r="P1551">
        <v>62.34</v>
      </c>
      <c r="S1551">
        <f t="shared" si="531"/>
        <v>576.3175</v>
      </c>
      <c r="T1551">
        <f t="shared" si="532"/>
        <v>1.678062334859682E-2</v>
      </c>
      <c r="U1551">
        <f t="shared" si="533"/>
        <v>6.2810154433295372E-3</v>
      </c>
      <c r="V1551">
        <f t="shared" si="534"/>
        <v>1.368698887650914E-2</v>
      </c>
      <c r="W1551">
        <f t="shared" si="535"/>
        <v>1.3124509881584105E-3</v>
      </c>
      <c r="X1551">
        <f t="shared" si="536"/>
        <v>0.11191457069025075</v>
      </c>
      <c r="Y1551">
        <f t="shared" si="537"/>
        <v>8.4371849238754971E-4</v>
      </c>
      <c r="Z1551">
        <f t="shared" si="538"/>
        <v>3.3748739695501988E-3</v>
      </c>
      <c r="AA1551">
        <f t="shared" si="539"/>
        <v>0.20325159732316242</v>
      </c>
      <c r="AB1551">
        <f t="shared" si="540"/>
        <v>4.9800484013175127E-2</v>
      </c>
      <c r="AC1551">
        <f t="shared" si="541"/>
        <v>0.10163620452298731</v>
      </c>
      <c r="AD1551">
        <f t="shared" si="542"/>
        <v>2.5132498958242021E-3</v>
      </c>
      <c r="AE1551">
        <f t="shared" si="543"/>
        <v>2.8881702698914831E-2</v>
      </c>
      <c r="AG1551">
        <f t="shared" si="544"/>
        <v>-1.2253687176393417</v>
      </c>
      <c r="AH1551">
        <f t="shared" si="545"/>
        <v>0.18307594450769721</v>
      </c>
      <c r="AI1551">
        <f t="shared" si="546"/>
        <v>-0.35666952061600005</v>
      </c>
      <c r="AK1551" s="26" t="e">
        <f t="shared" si="547"/>
        <v>#DIV/0!</v>
      </c>
      <c r="AL1551" s="26" t="e">
        <f t="shared" si="548"/>
        <v>#DIV/0!</v>
      </c>
      <c r="AM1551" s="26" t="e">
        <f t="shared" si="549"/>
        <v>#DIV/0!</v>
      </c>
      <c r="AN1551" s="26" t="e">
        <f t="shared" si="550"/>
        <v>#DIV/0!</v>
      </c>
      <c r="AO1551" s="26" t="e">
        <f t="shared" si="551"/>
        <v>#DIV/0!</v>
      </c>
      <c r="AP1551" s="26" t="e">
        <f t="shared" si="552"/>
        <v>#DIV/0!</v>
      </c>
      <c r="AS1551" s="2">
        <v>43929</v>
      </c>
      <c r="AT1551">
        <v>11.8</v>
      </c>
      <c r="AU1551">
        <v>9.9</v>
      </c>
      <c r="AV1551">
        <v>12.4</v>
      </c>
      <c r="AW1551">
        <v>1.9</v>
      </c>
      <c r="AX1551">
        <v>234.54</v>
      </c>
      <c r="AY1551">
        <v>0.1</v>
      </c>
      <c r="AZ1551">
        <v>3.6</v>
      </c>
      <c r="BA1551">
        <v>202.06970000000001</v>
      </c>
      <c r="BB1551">
        <v>38.712800000000001</v>
      </c>
      <c r="BC1551">
        <v>76.264099999999999</v>
      </c>
      <c r="BD1551">
        <v>3.9990000000000001</v>
      </c>
      <c r="BE1551">
        <v>26.5046</v>
      </c>
      <c r="BH1551">
        <v>55.46</v>
      </c>
    </row>
    <row r="1552" spans="1:60" x14ac:dyDescent="0.25">
      <c r="A1552" s="2">
        <v>43949</v>
      </c>
      <c r="B1552">
        <v>15.9</v>
      </c>
      <c r="C1552">
        <v>32.299999999999997</v>
      </c>
      <c r="D1552">
        <v>5.7</v>
      </c>
      <c r="E1552">
        <v>1</v>
      </c>
      <c r="F1552">
        <v>154.02000000000001</v>
      </c>
      <c r="G1552">
        <v>0.8</v>
      </c>
      <c r="H1552">
        <v>3.5</v>
      </c>
      <c r="I1552">
        <v>224.6711</v>
      </c>
      <c r="J1552">
        <v>58.006399999999999</v>
      </c>
      <c r="K1552">
        <v>108.33499999999999</v>
      </c>
      <c r="L1552">
        <v>2.6836000000000002</v>
      </c>
      <c r="M1552">
        <v>34.541899999999998</v>
      </c>
      <c r="N1552">
        <v>-1.9043000000000001</v>
      </c>
      <c r="O1552">
        <v>-12.937900000000001</v>
      </c>
      <c r="P1552">
        <v>62.03</v>
      </c>
      <c r="S1552">
        <f t="shared" si="531"/>
        <v>641.45800000000008</v>
      </c>
      <c r="T1552">
        <f t="shared" si="532"/>
        <v>1.4905693365513379E-2</v>
      </c>
      <c r="U1552">
        <f t="shared" si="533"/>
        <v>3.0280119226797617E-2</v>
      </c>
      <c r="V1552">
        <f t="shared" si="534"/>
        <v>5.3435504517878154E-3</v>
      </c>
      <c r="W1552">
        <f t="shared" si="535"/>
        <v>9.3746499154172193E-4</v>
      </c>
      <c r="X1552">
        <f t="shared" si="536"/>
        <v>0.14438835799725602</v>
      </c>
      <c r="Y1552">
        <f t="shared" si="537"/>
        <v>7.4997199323337759E-4</v>
      </c>
      <c r="Z1552">
        <f t="shared" si="538"/>
        <v>3.2811274703960268E-3</v>
      </c>
      <c r="AA1552">
        <f t="shared" si="539"/>
        <v>0.21062129086116935</v>
      </c>
      <c r="AB1552">
        <f t="shared" si="540"/>
        <v>5.4378969285365737E-2</v>
      </c>
      <c r="AC1552">
        <f t="shared" si="541"/>
        <v>0.10156026985867243</v>
      </c>
      <c r="AD1552">
        <f t="shared" si="542"/>
        <v>2.515781051301365E-3</v>
      </c>
      <c r="AE1552">
        <f t="shared" si="543"/>
        <v>3.2381821991335005E-2</v>
      </c>
      <c r="AG1552">
        <f t="shared" si="544"/>
        <v>-1.2511244803242902</v>
      </c>
      <c r="AH1552">
        <f t="shared" si="545"/>
        <v>0.23226810748786098</v>
      </c>
      <c r="AI1552">
        <f t="shared" si="546"/>
        <v>2.2706623334360715E-2</v>
      </c>
      <c r="AK1552" s="26" t="e">
        <f t="shared" si="547"/>
        <v>#DIV/0!</v>
      </c>
      <c r="AL1552" s="26" t="e">
        <f t="shared" si="548"/>
        <v>#DIV/0!</v>
      </c>
      <c r="AM1552" s="26" t="e">
        <f t="shared" si="549"/>
        <v>#DIV/0!</v>
      </c>
      <c r="AN1552" s="26" t="e">
        <f t="shared" si="550"/>
        <v>#DIV/0!</v>
      </c>
      <c r="AO1552" s="26" t="e">
        <f t="shared" si="551"/>
        <v>#DIV/0!</v>
      </c>
      <c r="AP1552" s="26" t="e">
        <f t="shared" si="552"/>
        <v>#DIV/0!</v>
      </c>
      <c r="AS1552" s="2">
        <v>43928</v>
      </c>
      <c r="AT1552">
        <v>11.1</v>
      </c>
      <c r="AU1552">
        <v>41.2</v>
      </c>
      <c r="AV1552">
        <v>13.6</v>
      </c>
      <c r="AW1552">
        <v>1.6</v>
      </c>
      <c r="AX1552">
        <v>232.23</v>
      </c>
      <c r="AZ1552">
        <v>3.8</v>
      </c>
      <c r="BA1552">
        <v>207.24430000000001</v>
      </c>
      <c r="BB1552">
        <v>35.998199999999997</v>
      </c>
      <c r="BC1552">
        <v>70.126999999999995</v>
      </c>
      <c r="BD1552">
        <v>4.0278999999999998</v>
      </c>
      <c r="BE1552">
        <v>30.713799999999999</v>
      </c>
      <c r="BH1552">
        <v>55.19</v>
      </c>
    </row>
    <row r="1553" spans="1:60" x14ac:dyDescent="0.25">
      <c r="A1553" s="2">
        <v>43948</v>
      </c>
      <c r="B1553">
        <v>15.2</v>
      </c>
      <c r="C1553">
        <v>1</v>
      </c>
      <c r="D1553">
        <v>14.8</v>
      </c>
      <c r="E1553">
        <v>0.8</v>
      </c>
      <c r="F1553">
        <v>232.11</v>
      </c>
      <c r="G1553">
        <v>0.9</v>
      </c>
      <c r="H1553">
        <v>3.9</v>
      </c>
      <c r="I1553">
        <v>182.91239999999999</v>
      </c>
      <c r="J1553">
        <v>47.162399999999998</v>
      </c>
      <c r="K1553">
        <v>100.49939999999999</v>
      </c>
      <c r="L1553">
        <v>2.6579999999999999</v>
      </c>
      <c r="M1553">
        <v>30.103100000000001</v>
      </c>
      <c r="N1553">
        <v>-0.48730000000000001</v>
      </c>
      <c r="O1553">
        <v>-12.218500000000001</v>
      </c>
      <c r="P1553">
        <v>61.77</v>
      </c>
      <c r="S1553">
        <f t="shared" si="531"/>
        <v>632.0453</v>
      </c>
      <c r="T1553">
        <f t="shared" si="532"/>
        <v>1.4249467871434173E-2</v>
      </c>
      <c r="U1553">
        <f t="shared" si="533"/>
        <v>9.3746499154172193E-4</v>
      </c>
      <c r="V1553">
        <f t="shared" si="534"/>
        <v>1.3874481874817485E-2</v>
      </c>
      <c r="W1553">
        <f t="shared" si="535"/>
        <v>7.4997199323337759E-4</v>
      </c>
      <c r="X1553">
        <f t="shared" si="536"/>
        <v>0.21759499918674907</v>
      </c>
      <c r="Y1553">
        <f t="shared" si="537"/>
        <v>8.4371849238754971E-4</v>
      </c>
      <c r="Z1553">
        <f t="shared" si="538"/>
        <v>3.6561134670127153E-3</v>
      </c>
      <c r="AA1553">
        <f t="shared" si="539"/>
        <v>0.17147397151887606</v>
      </c>
      <c r="AB1553">
        <f t="shared" si="540"/>
        <v>4.4213098917087301E-2</v>
      </c>
      <c r="AC1553">
        <f t="shared" si="541"/>
        <v>9.4214669170948118E-2</v>
      </c>
      <c r="AD1553">
        <f t="shared" si="542"/>
        <v>2.4917819475178968E-3</v>
      </c>
      <c r="AE1553">
        <f t="shared" si="543"/>
        <v>2.8220602386879609E-2</v>
      </c>
      <c r="AG1553">
        <f t="shared" si="544"/>
        <v>-1.2738264244292252</v>
      </c>
      <c r="AH1553">
        <f t="shared" si="545"/>
        <v>0.28012682026405572</v>
      </c>
      <c r="AI1553">
        <f t="shared" si="546"/>
        <v>0.39187275926038589</v>
      </c>
      <c r="AK1553" s="26" t="e">
        <f t="shared" si="547"/>
        <v>#DIV/0!</v>
      </c>
      <c r="AL1553" s="26" t="e">
        <f t="shared" si="548"/>
        <v>#DIV/0!</v>
      </c>
      <c r="AM1553" s="26" t="e">
        <f t="shared" si="549"/>
        <v>#DIV/0!</v>
      </c>
      <c r="AN1553" s="26" t="e">
        <f t="shared" si="550"/>
        <v>#DIV/0!</v>
      </c>
      <c r="AO1553" s="26" t="e">
        <f t="shared" si="551"/>
        <v>#DIV/0!</v>
      </c>
      <c r="AP1553" s="26" t="e">
        <f t="shared" si="552"/>
        <v>#DIV/0!</v>
      </c>
      <c r="AS1553" s="2">
        <v>43927</v>
      </c>
      <c r="AT1553">
        <v>11</v>
      </c>
      <c r="AU1553">
        <v>16.899999999999999</v>
      </c>
      <c r="AV1553">
        <v>59.8</v>
      </c>
      <c r="AW1553">
        <v>4</v>
      </c>
      <c r="AX1553">
        <v>242.88</v>
      </c>
      <c r="AY1553">
        <v>0.9</v>
      </c>
      <c r="AZ1553">
        <v>3.5</v>
      </c>
      <c r="BA1553">
        <v>123.11109999999999</v>
      </c>
      <c r="BB1553">
        <v>25.779199999999999</v>
      </c>
      <c r="BC1553">
        <v>55.626899999999999</v>
      </c>
      <c r="BD1553">
        <v>3.9699</v>
      </c>
      <c r="BE1553">
        <v>40.1967</v>
      </c>
      <c r="BH1553">
        <v>54.98</v>
      </c>
    </row>
    <row r="1554" spans="1:60" x14ac:dyDescent="0.25">
      <c r="A1554" s="2">
        <v>43947</v>
      </c>
      <c r="B1554">
        <v>15.1</v>
      </c>
      <c r="C1554">
        <v>1.6</v>
      </c>
      <c r="D1554">
        <v>4.7</v>
      </c>
      <c r="E1554">
        <v>0.4</v>
      </c>
      <c r="F1554">
        <v>243.83</v>
      </c>
      <c r="G1554">
        <v>0.9</v>
      </c>
      <c r="H1554">
        <v>3.5</v>
      </c>
      <c r="I1554">
        <v>114.61709999999999</v>
      </c>
      <c r="J1554">
        <v>44.017699999999998</v>
      </c>
      <c r="K1554">
        <v>58.185000000000002</v>
      </c>
      <c r="L1554">
        <v>2.6225999999999998</v>
      </c>
      <c r="M1554">
        <v>19.1937</v>
      </c>
      <c r="P1554">
        <v>61.48</v>
      </c>
      <c r="S1554">
        <f t="shared" si="531"/>
        <v>508.66609999999991</v>
      </c>
      <c r="T1554">
        <f t="shared" si="532"/>
        <v>1.415572137228E-2</v>
      </c>
      <c r="U1554">
        <f t="shared" si="533"/>
        <v>1.4999439864667552E-3</v>
      </c>
      <c r="V1554">
        <f t="shared" si="534"/>
        <v>4.4060854602460935E-3</v>
      </c>
      <c r="W1554">
        <f t="shared" si="535"/>
        <v>3.7498599661668879E-4</v>
      </c>
      <c r="X1554">
        <f t="shared" si="536"/>
        <v>0.22858208888761805</v>
      </c>
      <c r="Y1554">
        <f t="shared" si="537"/>
        <v>8.4371849238754971E-4</v>
      </c>
      <c r="Z1554">
        <f t="shared" si="538"/>
        <v>3.2811274703960268E-3</v>
      </c>
      <c r="AA1554">
        <f t="shared" si="539"/>
        <v>0.10744951868203668</v>
      </c>
      <c r="AB1554">
        <f t="shared" si="540"/>
        <v>4.1265052758186052E-2</v>
      </c>
      <c r="AC1554">
        <f t="shared" si="541"/>
        <v>5.4546400532855088E-2</v>
      </c>
      <c r="AD1554">
        <f t="shared" si="542"/>
        <v>2.4585956868173196E-3</v>
      </c>
      <c r="AE1554">
        <f t="shared" si="543"/>
        <v>1.7993421808154348E-2</v>
      </c>
      <c r="AG1554">
        <f t="shared" si="544"/>
        <v>-1.2987881373200936</v>
      </c>
      <c r="AH1554">
        <f t="shared" si="545"/>
        <v>0.27113709347416548</v>
      </c>
      <c r="AI1554">
        <f t="shared" si="546"/>
        <v>0.32345274275337443</v>
      </c>
      <c r="AK1554" s="26" t="e">
        <f t="shared" si="547"/>
        <v>#DIV/0!</v>
      </c>
      <c r="AL1554" s="26" t="e">
        <f t="shared" si="548"/>
        <v>#DIV/0!</v>
      </c>
      <c r="AM1554" s="26" t="e">
        <f t="shared" si="549"/>
        <v>#DIV/0!</v>
      </c>
      <c r="AN1554" s="26" t="e">
        <f t="shared" si="550"/>
        <v>#DIV/0!</v>
      </c>
      <c r="AO1554" s="26" t="e">
        <f t="shared" si="551"/>
        <v>#DIV/0!</v>
      </c>
      <c r="AP1554" s="26" t="e">
        <f t="shared" si="552"/>
        <v>#DIV/0!</v>
      </c>
      <c r="AS1554" s="2">
        <v>43926</v>
      </c>
      <c r="AT1554">
        <v>10.6</v>
      </c>
      <c r="AU1554">
        <v>1.3</v>
      </c>
      <c r="AV1554">
        <v>56.6</v>
      </c>
      <c r="AW1554">
        <v>4.7</v>
      </c>
      <c r="AX1554">
        <v>246.09</v>
      </c>
      <c r="AY1554">
        <v>0.9</v>
      </c>
      <c r="AZ1554">
        <v>2.8</v>
      </c>
      <c r="BA1554">
        <v>98.014300000000006</v>
      </c>
      <c r="BB1554">
        <v>26.451499999999999</v>
      </c>
      <c r="BC1554">
        <v>36.427399999999999</v>
      </c>
      <c r="BD1554">
        <v>3.9119999999999999</v>
      </c>
      <c r="BE1554">
        <v>17.5274</v>
      </c>
      <c r="BH1554">
        <v>54.7</v>
      </c>
    </row>
    <row r="1555" spans="1:60" x14ac:dyDescent="0.25">
      <c r="A1555" s="2">
        <v>43946</v>
      </c>
      <c r="B1555">
        <v>16.2</v>
      </c>
      <c r="C1555">
        <v>19.8</v>
      </c>
      <c r="D1555">
        <v>24.4</v>
      </c>
      <c r="E1555">
        <v>2.6</v>
      </c>
      <c r="F1555">
        <v>220.05</v>
      </c>
      <c r="G1555">
        <v>0.9</v>
      </c>
      <c r="H1555">
        <v>3.8</v>
      </c>
      <c r="I1555">
        <v>104.8449</v>
      </c>
      <c r="J1555">
        <v>34.706800000000001</v>
      </c>
      <c r="K1555">
        <v>45.517499999999998</v>
      </c>
      <c r="L1555">
        <v>2.64</v>
      </c>
      <c r="M1555">
        <v>27.116900000000001</v>
      </c>
      <c r="P1555">
        <v>61.06</v>
      </c>
      <c r="S1555">
        <f t="shared" si="531"/>
        <v>502.57609999999994</v>
      </c>
      <c r="T1555">
        <f t="shared" si="532"/>
        <v>1.5186932862975894E-2</v>
      </c>
      <c r="U1555">
        <f t="shared" si="533"/>
        <v>1.8561806832526093E-2</v>
      </c>
      <c r="V1555">
        <f t="shared" si="534"/>
        <v>2.2874145793618014E-2</v>
      </c>
      <c r="W1555">
        <f t="shared" si="535"/>
        <v>2.437408978008477E-3</v>
      </c>
      <c r="X1555">
        <f t="shared" si="536"/>
        <v>0.20628917138875591</v>
      </c>
      <c r="Y1555">
        <f t="shared" si="537"/>
        <v>8.4371849238754971E-4</v>
      </c>
      <c r="Z1555">
        <f t="shared" si="538"/>
        <v>3.5623669678585433E-3</v>
      </c>
      <c r="AA1555">
        <f t="shared" si="539"/>
        <v>9.828842329169267E-2</v>
      </c>
      <c r="AB1555">
        <f t="shared" si="540"/>
        <v>3.2536409968440233E-2</v>
      </c>
      <c r="AC1555">
        <f t="shared" si="541"/>
        <v>4.2671062752500329E-2</v>
      </c>
      <c r="AD1555">
        <f t="shared" si="542"/>
        <v>2.4749075776701458E-3</v>
      </c>
      <c r="AE1555">
        <f t="shared" si="543"/>
        <v>2.5421144429137722E-2</v>
      </c>
      <c r="AG1555">
        <f t="shared" si="544"/>
        <v>-1.3327288367434273</v>
      </c>
      <c r="AH1555">
        <f t="shared" si="545"/>
        <v>0.29517669574526822</v>
      </c>
      <c r="AI1555">
        <f t="shared" si="546"/>
        <v>0.5089266024005844</v>
      </c>
      <c r="AK1555" s="26" t="e">
        <f t="shared" si="547"/>
        <v>#DIV/0!</v>
      </c>
      <c r="AL1555" s="26" t="e">
        <f t="shared" si="548"/>
        <v>#DIV/0!</v>
      </c>
      <c r="AM1555" s="26" t="e">
        <f t="shared" si="549"/>
        <v>#DIV/0!</v>
      </c>
      <c r="AN1555" s="26" t="e">
        <f t="shared" si="550"/>
        <v>#DIV/0!</v>
      </c>
      <c r="AO1555" s="26" t="e">
        <f t="shared" si="551"/>
        <v>#DIV/0!</v>
      </c>
      <c r="AP1555" s="26" t="e">
        <f t="shared" si="552"/>
        <v>#DIV/0!</v>
      </c>
      <c r="AS1555" s="2">
        <v>43925</v>
      </c>
      <c r="AT1555">
        <v>12</v>
      </c>
      <c r="AU1555">
        <v>8.8000000000000007</v>
      </c>
      <c r="AV1555">
        <v>33.4</v>
      </c>
      <c r="AW1555">
        <v>1</v>
      </c>
      <c r="AX1555">
        <v>215.85</v>
      </c>
      <c r="AY1555">
        <v>0.9</v>
      </c>
      <c r="AZ1555">
        <v>3.4</v>
      </c>
      <c r="BA1555">
        <v>166.4545</v>
      </c>
      <c r="BB1555">
        <v>36.848199999999999</v>
      </c>
      <c r="BC1555">
        <v>75.939499999999995</v>
      </c>
      <c r="BD1555">
        <v>4.1369999999999996</v>
      </c>
      <c r="BE1555">
        <v>32.7453</v>
      </c>
      <c r="BH1555">
        <v>54.48</v>
      </c>
    </row>
    <row r="1556" spans="1:60" x14ac:dyDescent="0.25">
      <c r="A1556" s="2">
        <v>43945</v>
      </c>
      <c r="B1556">
        <v>16.8</v>
      </c>
      <c r="C1556">
        <v>3.4</v>
      </c>
      <c r="D1556">
        <v>38.1</v>
      </c>
      <c r="E1556">
        <v>3.6</v>
      </c>
      <c r="F1556">
        <v>227.31</v>
      </c>
      <c r="G1556">
        <v>0.9</v>
      </c>
      <c r="H1556">
        <v>4</v>
      </c>
      <c r="I1556">
        <v>126.3977</v>
      </c>
      <c r="J1556">
        <v>43.858499999999999</v>
      </c>
      <c r="K1556">
        <v>63.959200000000003</v>
      </c>
      <c r="L1556">
        <v>3.0508999999999999</v>
      </c>
      <c r="M1556">
        <v>23.164400000000001</v>
      </c>
      <c r="N1556">
        <v>-8.9999999999999998E-4</v>
      </c>
      <c r="O1556">
        <v>-12.984400000000001</v>
      </c>
      <c r="P1556">
        <v>60.75</v>
      </c>
      <c r="S1556">
        <f t="shared" si="531"/>
        <v>554.5406999999999</v>
      </c>
      <c r="T1556">
        <f t="shared" si="532"/>
        <v>1.5749411857900929E-2</v>
      </c>
      <c r="U1556">
        <f t="shared" si="533"/>
        <v>3.1873809712418544E-3</v>
      </c>
      <c r="V1556">
        <f t="shared" si="534"/>
        <v>3.5717416177739603E-2</v>
      </c>
      <c r="W1556">
        <f t="shared" si="535"/>
        <v>3.3748739695501988E-3</v>
      </c>
      <c r="X1556">
        <f t="shared" si="536"/>
        <v>0.21309516722734881</v>
      </c>
      <c r="Y1556">
        <f t="shared" si="537"/>
        <v>8.4371849238754971E-4</v>
      </c>
      <c r="Z1556">
        <f t="shared" si="538"/>
        <v>3.7498599661668877E-3</v>
      </c>
      <c r="AA1556">
        <f t="shared" si="539"/>
        <v>0.1184934187613931</v>
      </c>
      <c r="AB1556">
        <f t="shared" si="540"/>
        <v>4.1115808331532611E-2</v>
      </c>
      <c r="AC1556">
        <f t="shared" si="541"/>
        <v>5.9959510887015302E-2</v>
      </c>
      <c r="AD1556">
        <f t="shared" si="542"/>
        <v>2.8601119426946392E-3</v>
      </c>
      <c r="AE1556">
        <f t="shared" si="543"/>
        <v>2.1715814050069063E-2</v>
      </c>
      <c r="AG1556">
        <f t="shared" si="544"/>
        <v>-1.3597250517414841</v>
      </c>
      <c r="AH1556">
        <f t="shared" si="545"/>
        <v>0.29743364271240491</v>
      </c>
      <c r="AI1556">
        <f t="shared" si="546"/>
        <v>0.52741414483077487</v>
      </c>
      <c r="AK1556" s="26" t="e">
        <f t="shared" si="547"/>
        <v>#DIV/0!</v>
      </c>
      <c r="AL1556" s="26" t="e">
        <f t="shared" si="548"/>
        <v>#DIV/0!</v>
      </c>
      <c r="AM1556" s="26" t="e">
        <f t="shared" si="549"/>
        <v>#DIV/0!</v>
      </c>
      <c r="AN1556" s="26" t="e">
        <f t="shared" si="550"/>
        <v>#DIV/0!</v>
      </c>
      <c r="AO1556" s="26" t="e">
        <f t="shared" si="551"/>
        <v>#DIV/0!</v>
      </c>
      <c r="AP1556" s="26" t="e">
        <f t="shared" si="552"/>
        <v>#DIV/0!</v>
      </c>
      <c r="AS1556" s="2">
        <v>43924</v>
      </c>
      <c r="AT1556">
        <v>12.2</v>
      </c>
      <c r="AU1556">
        <v>19.8</v>
      </c>
      <c r="AV1556">
        <v>65.2</v>
      </c>
      <c r="AW1556">
        <v>5.2</v>
      </c>
      <c r="AX1556">
        <v>142.97</v>
      </c>
      <c r="AY1556">
        <v>0.9</v>
      </c>
      <c r="AZ1556">
        <v>3.4</v>
      </c>
      <c r="BA1556">
        <v>189.6498</v>
      </c>
      <c r="BB1556">
        <v>50.219900000000003</v>
      </c>
      <c r="BC1556">
        <v>69.876800000000003</v>
      </c>
      <c r="BD1556">
        <v>3.9119999999999999</v>
      </c>
      <c r="BE1556">
        <v>31.134399999999999</v>
      </c>
      <c r="BH1556">
        <v>54.33</v>
      </c>
    </row>
    <row r="1557" spans="1:60" x14ac:dyDescent="0.25">
      <c r="A1557" s="2">
        <v>43944</v>
      </c>
      <c r="B1557">
        <v>15.5</v>
      </c>
      <c r="C1557">
        <v>27.1</v>
      </c>
      <c r="D1557">
        <v>14.1</v>
      </c>
      <c r="E1557">
        <v>1.4</v>
      </c>
      <c r="F1557">
        <v>265.05</v>
      </c>
      <c r="G1557">
        <v>0.9</v>
      </c>
      <c r="H1557">
        <v>3.6</v>
      </c>
      <c r="I1557">
        <v>116.6371</v>
      </c>
      <c r="J1557">
        <v>53.565199999999997</v>
      </c>
      <c r="K1557">
        <v>101.8878</v>
      </c>
      <c r="L1557">
        <v>3.0533999999999999</v>
      </c>
      <c r="M1557">
        <v>31.790800000000001</v>
      </c>
      <c r="N1557">
        <v>0.41110000000000002</v>
      </c>
      <c r="O1557">
        <v>-12.571199999999999</v>
      </c>
      <c r="P1557">
        <v>60.39</v>
      </c>
      <c r="S1557">
        <f t="shared" si="531"/>
        <v>634.58429999999998</v>
      </c>
      <c r="T1557">
        <f t="shared" si="532"/>
        <v>1.453070736889669E-2</v>
      </c>
      <c r="U1557">
        <f t="shared" si="533"/>
        <v>2.5405301270780663E-2</v>
      </c>
      <c r="V1557">
        <f t="shared" si="534"/>
        <v>1.3218256380738279E-2</v>
      </c>
      <c r="W1557">
        <f t="shared" si="535"/>
        <v>1.3124509881584105E-3</v>
      </c>
      <c r="X1557">
        <f t="shared" si="536"/>
        <v>0.24847509600813339</v>
      </c>
      <c r="Y1557">
        <f t="shared" si="537"/>
        <v>8.4371849238754971E-4</v>
      </c>
      <c r="Z1557">
        <f t="shared" si="538"/>
        <v>3.3748739695501988E-3</v>
      </c>
      <c r="AA1557">
        <f t="shared" si="539"/>
        <v>0.10934319796495097</v>
      </c>
      <c r="AB1557">
        <f t="shared" si="540"/>
        <v>5.0215499764930636E-2</v>
      </c>
      <c r="AC1557">
        <f t="shared" si="541"/>
        <v>9.5516245565204647E-2</v>
      </c>
      <c r="AD1557">
        <f t="shared" si="542"/>
        <v>2.8624556051734936E-3</v>
      </c>
      <c r="AE1557">
        <f t="shared" si="543"/>
        <v>2.9802762053104573E-2</v>
      </c>
      <c r="AG1557">
        <f t="shared" si="544"/>
        <v>-1.3904189719286837</v>
      </c>
      <c r="AH1557">
        <f t="shared" si="545"/>
        <v>0.33696316653174979</v>
      </c>
      <c r="AI1557">
        <f t="shared" si="546"/>
        <v>0.83175777593604383</v>
      </c>
      <c r="AK1557" s="26" t="e">
        <f t="shared" si="547"/>
        <v>#DIV/0!</v>
      </c>
      <c r="AL1557" s="26" t="e">
        <f t="shared" si="548"/>
        <v>#DIV/0!</v>
      </c>
      <c r="AM1557" s="26" t="e">
        <f t="shared" si="549"/>
        <v>#DIV/0!</v>
      </c>
      <c r="AN1557" s="26" t="e">
        <f t="shared" si="550"/>
        <v>#DIV/0!</v>
      </c>
      <c r="AO1557" s="26" t="e">
        <f t="shared" si="551"/>
        <v>#DIV/0!</v>
      </c>
      <c r="AP1557" s="26" t="e">
        <f t="shared" si="552"/>
        <v>#DIV/0!</v>
      </c>
      <c r="AS1557" s="2">
        <v>43923</v>
      </c>
      <c r="AT1557">
        <v>13</v>
      </c>
      <c r="AU1557">
        <v>5.7</v>
      </c>
      <c r="AV1557">
        <v>76.3</v>
      </c>
      <c r="AW1557">
        <v>3.6</v>
      </c>
      <c r="AX1557">
        <v>199.15</v>
      </c>
      <c r="AY1557">
        <v>0.9</v>
      </c>
      <c r="AZ1557">
        <v>3.3</v>
      </c>
      <c r="BA1557">
        <v>205.6755</v>
      </c>
      <c r="BB1557">
        <v>53.384700000000002</v>
      </c>
      <c r="BC1557">
        <v>78.857200000000006</v>
      </c>
      <c r="BD1557">
        <v>3.9174000000000002</v>
      </c>
      <c r="BE1557">
        <v>27.209900000000001</v>
      </c>
      <c r="BH1557">
        <v>54.32</v>
      </c>
    </row>
    <row r="1558" spans="1:60" x14ac:dyDescent="0.25">
      <c r="A1558" s="2">
        <v>43943</v>
      </c>
      <c r="B1558">
        <v>15.2</v>
      </c>
      <c r="C1558">
        <v>40.1</v>
      </c>
      <c r="D1558">
        <v>61</v>
      </c>
      <c r="E1558">
        <v>5.3</v>
      </c>
      <c r="F1558">
        <v>270.44</v>
      </c>
      <c r="G1558">
        <v>0.5</v>
      </c>
      <c r="H1558">
        <v>3.3</v>
      </c>
      <c r="I1558">
        <v>92.150199999999998</v>
      </c>
      <c r="J1558">
        <v>39.231200000000001</v>
      </c>
      <c r="K1558">
        <v>35.1601</v>
      </c>
      <c r="L1558">
        <v>3.1419999999999999</v>
      </c>
      <c r="M1558">
        <v>34.356099999999998</v>
      </c>
      <c r="N1558">
        <v>-0.30470000000000003</v>
      </c>
      <c r="O1558">
        <v>-12.7209</v>
      </c>
      <c r="P1558">
        <v>59.48</v>
      </c>
      <c r="S1558">
        <f t="shared" si="531"/>
        <v>599.87959999999998</v>
      </c>
      <c r="T1558">
        <f t="shared" si="532"/>
        <v>1.4249467871434173E-2</v>
      </c>
      <c r="U1558">
        <f t="shared" si="533"/>
        <v>3.7592346160823048E-2</v>
      </c>
      <c r="V1558">
        <f t="shared" si="534"/>
        <v>5.7185364484045036E-2</v>
      </c>
      <c r="W1558">
        <f t="shared" si="535"/>
        <v>4.9685644551711256E-3</v>
      </c>
      <c r="X1558">
        <f t="shared" si="536"/>
        <v>0.25352803231254328</v>
      </c>
      <c r="Y1558">
        <f t="shared" si="537"/>
        <v>4.6873249577086097E-4</v>
      </c>
      <c r="Z1558">
        <f t="shared" si="538"/>
        <v>3.0936344720876819E-3</v>
      </c>
      <c r="AA1558">
        <f t="shared" si="539"/>
        <v>8.6387586463567978E-2</v>
      </c>
      <c r="AB1558">
        <f t="shared" si="540"/>
        <v>3.6777876576171604E-2</v>
      </c>
      <c r="AC1558">
        <f t="shared" si="541"/>
        <v>3.2961362849106099E-2</v>
      </c>
      <c r="AD1558">
        <f t="shared" si="542"/>
        <v>2.9455150034240901E-3</v>
      </c>
      <c r="AE1558">
        <f t="shared" si="543"/>
        <v>3.2207640995906547E-2</v>
      </c>
      <c r="AG1558">
        <f t="shared" si="544"/>
        <v>-1.4584316698972797</v>
      </c>
      <c r="AH1558">
        <f t="shared" si="545"/>
        <v>0.40329378324778176</v>
      </c>
      <c r="AI1558">
        <f t="shared" si="546"/>
        <v>1.3426790040172347</v>
      </c>
      <c r="AK1558" s="26" t="e">
        <f t="shared" si="547"/>
        <v>#DIV/0!</v>
      </c>
      <c r="AL1558" s="26" t="e">
        <f t="shared" si="548"/>
        <v>#DIV/0!</v>
      </c>
      <c r="AM1558" s="26" t="e">
        <f t="shared" si="549"/>
        <v>#DIV/0!</v>
      </c>
      <c r="AN1558" s="26" t="e">
        <f t="shared" si="550"/>
        <v>#DIV/0!</v>
      </c>
      <c r="AO1558" s="26" t="e">
        <f t="shared" si="551"/>
        <v>#DIV/0!</v>
      </c>
      <c r="AP1558" s="26" t="e">
        <f t="shared" si="552"/>
        <v>#DIV/0!</v>
      </c>
      <c r="AS1558" s="2">
        <v>43922</v>
      </c>
      <c r="AT1558">
        <v>13.3</v>
      </c>
      <c r="AU1558">
        <v>90.2</v>
      </c>
      <c r="AV1558">
        <v>55.9</v>
      </c>
      <c r="AW1558">
        <v>2.2999999999999998</v>
      </c>
      <c r="AX1558">
        <v>218.27</v>
      </c>
      <c r="AY1558">
        <v>0.9</v>
      </c>
      <c r="AZ1558">
        <v>3.2</v>
      </c>
      <c r="BA1558">
        <v>226.21119999999999</v>
      </c>
      <c r="BB1558">
        <v>54.124499999999998</v>
      </c>
      <c r="BC1558">
        <v>92.407600000000002</v>
      </c>
      <c r="BD1558">
        <v>3.9567000000000001</v>
      </c>
      <c r="BE1558">
        <v>31.871099999999998</v>
      </c>
      <c r="BH1558">
        <v>54.39</v>
      </c>
    </row>
    <row r="1559" spans="1:60" x14ac:dyDescent="0.25">
      <c r="A1559" s="2">
        <v>43942</v>
      </c>
      <c r="B1559">
        <v>14.5</v>
      </c>
      <c r="C1559">
        <v>4.3</v>
      </c>
      <c r="D1559">
        <v>51.5</v>
      </c>
      <c r="E1559">
        <v>6.4</v>
      </c>
      <c r="F1559">
        <v>261.83999999999997</v>
      </c>
      <c r="H1559">
        <v>2.7</v>
      </c>
      <c r="I1559">
        <v>81.115700000000004</v>
      </c>
      <c r="J1559">
        <v>42.198099999999997</v>
      </c>
      <c r="K1559">
        <v>32.923200000000001</v>
      </c>
      <c r="L1559">
        <v>2.7429999999999999</v>
      </c>
      <c r="M1559">
        <v>31.235199999999999</v>
      </c>
      <c r="N1559">
        <v>-0.90090000000000003</v>
      </c>
      <c r="O1559">
        <v>-12.7882</v>
      </c>
      <c r="P1559">
        <v>59.73</v>
      </c>
      <c r="S1559">
        <f t="shared" si="531"/>
        <v>531.45519999999999</v>
      </c>
      <c r="T1559">
        <f t="shared" si="532"/>
        <v>1.3593242377354967E-2</v>
      </c>
      <c r="U1559">
        <f t="shared" si="533"/>
        <v>4.0310994636294038E-3</v>
      </c>
      <c r="V1559">
        <f t="shared" si="534"/>
        <v>4.8279447064398677E-2</v>
      </c>
      <c r="W1559">
        <f t="shared" si="535"/>
        <v>5.9997759458670207E-3</v>
      </c>
      <c r="X1559">
        <f t="shared" si="536"/>
        <v>0.24546583338528444</v>
      </c>
      <c r="Y1559">
        <f t="shared" si="537"/>
        <v>0</v>
      </c>
      <c r="Z1559">
        <f t="shared" si="538"/>
        <v>2.5311554771626494E-3</v>
      </c>
      <c r="AA1559">
        <f t="shared" si="539"/>
        <v>7.6043129014400856E-2</v>
      </c>
      <c r="AB1559">
        <f t="shared" si="540"/>
        <v>3.9559241459576733E-2</v>
      </c>
      <c r="AC1559">
        <f t="shared" si="541"/>
        <v>3.086434740952642E-2</v>
      </c>
      <c r="AD1559">
        <f t="shared" si="542"/>
        <v>2.5714664717989429E-3</v>
      </c>
      <c r="AE1559">
        <f t="shared" si="543"/>
        <v>2.9281906503803991E-2</v>
      </c>
      <c r="AG1559">
        <f t="shared" si="544"/>
        <v>-1.4494246680229335</v>
      </c>
      <c r="AH1559">
        <f t="shared" si="545"/>
        <v>0.34918246021750116</v>
      </c>
      <c r="AI1559">
        <f t="shared" si="546"/>
        <v>0.93428349596017846</v>
      </c>
      <c r="AK1559" s="26" t="e">
        <f t="shared" si="547"/>
        <v>#DIV/0!</v>
      </c>
      <c r="AL1559" s="26" t="e">
        <f t="shared" si="548"/>
        <v>#DIV/0!</v>
      </c>
      <c r="AM1559" s="26" t="e">
        <f t="shared" si="549"/>
        <v>#DIV/0!</v>
      </c>
      <c r="AN1559" s="26" t="e">
        <f t="shared" si="550"/>
        <v>#DIV/0!</v>
      </c>
      <c r="AO1559" s="26" t="e">
        <f t="shared" si="551"/>
        <v>#DIV/0!</v>
      </c>
      <c r="AP1559" s="26" t="e">
        <f t="shared" si="552"/>
        <v>#DIV/0!</v>
      </c>
      <c r="AS1559" s="2">
        <v>43921</v>
      </c>
      <c r="AT1559">
        <v>13</v>
      </c>
      <c r="AU1559">
        <v>17.3</v>
      </c>
      <c r="AV1559">
        <v>20.6</v>
      </c>
      <c r="AW1559">
        <v>0.9</v>
      </c>
      <c r="AX1559">
        <v>184.56</v>
      </c>
      <c r="AY1559">
        <v>0.6</v>
      </c>
      <c r="AZ1559">
        <v>3.2</v>
      </c>
      <c r="BA1559">
        <v>245.3364</v>
      </c>
      <c r="BB1559">
        <v>66.148700000000005</v>
      </c>
      <c r="BC1559">
        <v>106.75360000000001</v>
      </c>
      <c r="BD1559">
        <v>4.08</v>
      </c>
      <c r="BE1559">
        <v>33.352899999999998</v>
      </c>
      <c r="BH1559">
        <v>54.16</v>
      </c>
    </row>
    <row r="1560" spans="1:60" x14ac:dyDescent="0.25">
      <c r="A1560" s="2">
        <v>43941</v>
      </c>
      <c r="B1560">
        <v>14.3</v>
      </c>
      <c r="C1560">
        <v>1.1000000000000001</v>
      </c>
      <c r="D1560">
        <v>44.3</v>
      </c>
      <c r="E1560">
        <v>3.1</v>
      </c>
      <c r="F1560">
        <v>260.33999999999997</v>
      </c>
      <c r="G1560">
        <v>0.5</v>
      </c>
      <c r="H1560">
        <v>3</v>
      </c>
      <c r="I1560">
        <v>86.502099999999999</v>
      </c>
      <c r="J1560">
        <v>43.108600000000003</v>
      </c>
      <c r="K1560">
        <v>41.784799999999997</v>
      </c>
      <c r="L1560">
        <v>2.8883999999999999</v>
      </c>
      <c r="M1560">
        <v>35.457599999999999</v>
      </c>
      <c r="N1560">
        <v>-9.64E-2</v>
      </c>
      <c r="O1560">
        <v>-13.055300000000001</v>
      </c>
      <c r="P1560">
        <v>59.39</v>
      </c>
      <c r="S1560">
        <f t="shared" si="531"/>
        <v>536.38149999999996</v>
      </c>
      <c r="T1560">
        <f t="shared" si="532"/>
        <v>1.3405749379046624E-2</v>
      </c>
      <c r="U1560">
        <f t="shared" si="533"/>
        <v>1.0312114906958943E-3</v>
      </c>
      <c r="V1560">
        <f t="shared" si="534"/>
        <v>4.1529699125298275E-2</v>
      </c>
      <c r="W1560">
        <f t="shared" si="535"/>
        <v>2.9061414737793379E-3</v>
      </c>
      <c r="X1560">
        <f t="shared" si="536"/>
        <v>0.24405963589797186</v>
      </c>
      <c r="Y1560">
        <f t="shared" si="537"/>
        <v>4.6873249577086097E-4</v>
      </c>
      <c r="Z1560">
        <f t="shared" si="538"/>
        <v>2.8123949746251659E-3</v>
      </c>
      <c r="AA1560">
        <f t="shared" si="539"/>
        <v>8.1092690444841187E-2</v>
      </c>
      <c r="AB1560">
        <f t="shared" si="540"/>
        <v>4.0412803334375476E-2</v>
      </c>
      <c r="AC1560">
        <f t="shared" si="541"/>
        <v>3.9171787178572538E-2</v>
      </c>
      <c r="AD1560">
        <f t="shared" si="542"/>
        <v>2.7077738815691095E-3</v>
      </c>
      <c r="AE1560">
        <f t="shared" si="543"/>
        <v>3.3240258684089759E-2</v>
      </c>
      <c r="AG1560">
        <f t="shared" si="544"/>
        <v>-1.4800416820555615</v>
      </c>
      <c r="AH1560">
        <f t="shared" si="545"/>
        <v>0.33945382352127773</v>
      </c>
      <c r="AI1560">
        <f t="shared" si="546"/>
        <v>0.86285045450714848</v>
      </c>
      <c r="AK1560" s="26" t="e">
        <f t="shared" si="547"/>
        <v>#DIV/0!</v>
      </c>
      <c r="AL1560" s="26" t="e">
        <f t="shared" si="548"/>
        <v>#DIV/0!</v>
      </c>
      <c r="AM1560" s="26" t="e">
        <f t="shared" si="549"/>
        <v>#DIV/0!</v>
      </c>
      <c r="AN1560" s="26" t="e">
        <f t="shared" si="550"/>
        <v>#DIV/0!</v>
      </c>
      <c r="AO1560" s="26" t="e">
        <f t="shared" si="551"/>
        <v>#DIV/0!</v>
      </c>
      <c r="AP1560" s="26" t="e">
        <f t="shared" si="552"/>
        <v>#DIV/0!</v>
      </c>
      <c r="AS1560" s="2">
        <v>43920</v>
      </c>
      <c r="AT1560">
        <v>11.7</v>
      </c>
      <c r="AU1560">
        <v>37.299999999999997</v>
      </c>
      <c r="AV1560">
        <v>53.6</v>
      </c>
      <c r="AW1560">
        <v>2.4</v>
      </c>
      <c r="AX1560">
        <v>168.06</v>
      </c>
      <c r="AY1560">
        <v>0.9</v>
      </c>
      <c r="AZ1560">
        <v>3.3</v>
      </c>
      <c r="BA1560">
        <v>194.85900000000001</v>
      </c>
      <c r="BB1560">
        <v>56.823500000000003</v>
      </c>
      <c r="BC1560">
        <v>100.98950000000001</v>
      </c>
      <c r="BD1560">
        <v>4.0766999999999998</v>
      </c>
      <c r="BE1560">
        <v>32.415300000000002</v>
      </c>
      <c r="BH1560">
        <v>54.48</v>
      </c>
    </row>
    <row r="1561" spans="1:60" x14ac:dyDescent="0.25">
      <c r="A1561" s="2">
        <v>43940</v>
      </c>
      <c r="B1561">
        <v>14.4</v>
      </c>
      <c r="C1561">
        <v>3.7</v>
      </c>
      <c r="D1561">
        <v>43.2</v>
      </c>
      <c r="E1561">
        <v>0.7</v>
      </c>
      <c r="F1561">
        <v>215.77</v>
      </c>
      <c r="G1561">
        <v>0.5</v>
      </c>
      <c r="H1561">
        <v>3.1</v>
      </c>
      <c r="I1561">
        <v>100.22029999999999</v>
      </c>
      <c r="J1561">
        <v>47.073900000000002</v>
      </c>
      <c r="K1561">
        <v>34.374699999999997</v>
      </c>
      <c r="L1561">
        <v>2.9794999999999998</v>
      </c>
      <c r="M1561">
        <v>17.7334</v>
      </c>
      <c r="P1561">
        <v>59.12</v>
      </c>
      <c r="S1561">
        <f t="shared" si="531"/>
        <v>483.75180000000006</v>
      </c>
      <c r="T1561">
        <f t="shared" si="532"/>
        <v>1.3499495878200795E-2</v>
      </c>
      <c r="U1561">
        <f t="shared" si="533"/>
        <v>3.4686204687043713E-3</v>
      </c>
      <c r="V1561">
        <f t="shared" si="534"/>
        <v>4.0498487634602391E-2</v>
      </c>
      <c r="W1561">
        <f t="shared" si="535"/>
        <v>6.5622549407920526E-4</v>
      </c>
      <c r="X1561">
        <f t="shared" si="536"/>
        <v>0.20227682122495735</v>
      </c>
      <c r="Y1561">
        <f t="shared" si="537"/>
        <v>4.6873249577086097E-4</v>
      </c>
      <c r="Z1561">
        <f t="shared" si="538"/>
        <v>2.9061414737793379E-3</v>
      </c>
      <c r="AA1561">
        <f t="shared" si="539"/>
        <v>9.395302269180883E-2</v>
      </c>
      <c r="AB1561">
        <f t="shared" si="540"/>
        <v>4.4130133265335866E-2</v>
      </c>
      <c r="AC1561">
        <f t="shared" si="541"/>
        <v>3.2225077844749227E-2</v>
      </c>
      <c r="AD1561">
        <f t="shared" si="542"/>
        <v>2.7931769422985604E-3</v>
      </c>
      <c r="AE1561">
        <f t="shared" si="543"/>
        <v>1.6624441681005971E-2</v>
      </c>
      <c r="AG1561">
        <f t="shared" si="544"/>
        <v>-1.5064020395073408</v>
      </c>
      <c r="AH1561">
        <f t="shared" si="545"/>
        <v>0.28039896635110023</v>
      </c>
      <c r="AI1561">
        <f t="shared" si="546"/>
        <v>0.41267828256511441</v>
      </c>
      <c r="AK1561" s="26" t="e">
        <f t="shared" si="547"/>
        <v>#DIV/0!</v>
      </c>
      <c r="AL1561" s="26" t="e">
        <f t="shared" si="548"/>
        <v>#DIV/0!</v>
      </c>
      <c r="AM1561" s="26" t="e">
        <f t="shared" si="549"/>
        <v>#DIV/0!</v>
      </c>
      <c r="AN1561" s="26" t="e">
        <f t="shared" si="550"/>
        <v>#DIV/0!</v>
      </c>
      <c r="AO1561" s="26" t="e">
        <f t="shared" si="551"/>
        <v>#DIV/0!</v>
      </c>
      <c r="AP1561" s="26" t="e">
        <f t="shared" si="552"/>
        <v>#DIV/0!</v>
      </c>
      <c r="AS1561" s="2">
        <v>43919</v>
      </c>
      <c r="AU1561">
        <v>9.1</v>
      </c>
      <c r="AX1561">
        <v>84.09</v>
      </c>
      <c r="BC1561">
        <v>45.950299999999999</v>
      </c>
      <c r="BH1561">
        <v>54.72</v>
      </c>
    </row>
    <row r="1562" spans="1:60" x14ac:dyDescent="0.25">
      <c r="A1562" s="2">
        <v>43939</v>
      </c>
      <c r="B1562">
        <v>15.1</v>
      </c>
      <c r="C1562">
        <v>38.6</v>
      </c>
      <c r="D1562">
        <v>30.1</v>
      </c>
      <c r="E1562">
        <v>1.3</v>
      </c>
      <c r="F1562">
        <v>201.02</v>
      </c>
      <c r="G1562">
        <v>0.5</v>
      </c>
      <c r="H1562">
        <v>2.8</v>
      </c>
      <c r="I1562">
        <v>112.7799</v>
      </c>
      <c r="J1562">
        <v>47.120199999999997</v>
      </c>
      <c r="K1562">
        <v>48.753500000000003</v>
      </c>
      <c r="L1562">
        <v>3.1724000000000001</v>
      </c>
      <c r="M1562">
        <v>25.36</v>
      </c>
      <c r="P1562">
        <v>58.69</v>
      </c>
      <c r="S1562">
        <f t="shared" si="531"/>
        <v>526.60599999999999</v>
      </c>
      <c r="T1562">
        <f t="shared" si="532"/>
        <v>1.415572137228E-2</v>
      </c>
      <c r="U1562">
        <f t="shared" si="533"/>
        <v>3.6186148673510464E-2</v>
      </c>
      <c r="V1562">
        <f t="shared" si="534"/>
        <v>2.8217696245405832E-2</v>
      </c>
      <c r="W1562">
        <f t="shared" si="535"/>
        <v>1.2187044890042385E-3</v>
      </c>
      <c r="X1562">
        <f t="shared" si="536"/>
        <v>0.18844921259971695</v>
      </c>
      <c r="Y1562">
        <f t="shared" si="537"/>
        <v>4.6873249577086097E-4</v>
      </c>
      <c r="Z1562">
        <f t="shared" si="538"/>
        <v>2.624901976316821E-3</v>
      </c>
      <c r="AA1562">
        <f t="shared" si="539"/>
        <v>0.10572720799957624</v>
      </c>
      <c r="AB1562">
        <f t="shared" si="540"/>
        <v>4.417353789444424E-2</v>
      </c>
      <c r="AC1562">
        <f t="shared" si="541"/>
        <v>4.5704699465129339E-2</v>
      </c>
      <c r="AD1562">
        <f t="shared" si="542"/>
        <v>2.9740139391669588E-3</v>
      </c>
      <c r="AE1562">
        <f t="shared" si="543"/>
        <v>2.3774112185498068E-2</v>
      </c>
      <c r="AG1562">
        <f t="shared" si="544"/>
        <v>-1.5440073562942234</v>
      </c>
      <c r="AH1562">
        <f t="shared" si="545"/>
        <v>0.29509523003750321</v>
      </c>
      <c r="AI1562">
        <f t="shared" si="546"/>
        <v>0.52611701065559779</v>
      </c>
      <c r="AK1562" s="26" t="e">
        <f t="shared" si="547"/>
        <v>#DIV/0!</v>
      </c>
      <c r="AL1562" s="26" t="e">
        <f t="shared" si="548"/>
        <v>#DIV/0!</v>
      </c>
      <c r="AM1562" s="26" t="e">
        <f t="shared" si="549"/>
        <v>#DIV/0!</v>
      </c>
      <c r="AN1562" s="26" t="e">
        <f t="shared" si="550"/>
        <v>#DIV/0!</v>
      </c>
      <c r="AO1562" s="26" t="e">
        <f t="shared" si="551"/>
        <v>#DIV/0!</v>
      </c>
      <c r="AP1562" s="26" t="e">
        <f t="shared" si="552"/>
        <v>#DIV/0!</v>
      </c>
      <c r="AS1562" s="2">
        <v>43918</v>
      </c>
      <c r="AT1562">
        <v>13</v>
      </c>
      <c r="AU1562">
        <v>52.2</v>
      </c>
      <c r="AV1562">
        <v>53.2</v>
      </c>
      <c r="AW1562">
        <v>2.2999999999999998</v>
      </c>
      <c r="AX1562">
        <v>217.11</v>
      </c>
      <c r="AY1562">
        <v>0.9</v>
      </c>
      <c r="AZ1562">
        <v>3.8</v>
      </c>
      <c r="BA1562">
        <v>148.76650000000001</v>
      </c>
      <c r="BB1562">
        <v>34.495699999999999</v>
      </c>
      <c r="BC1562">
        <v>52.970500000000001</v>
      </c>
      <c r="BD1562">
        <v>4.0704000000000002</v>
      </c>
      <c r="BE1562">
        <v>23.694299999999998</v>
      </c>
      <c r="BH1562">
        <v>54.83</v>
      </c>
    </row>
    <row r="1563" spans="1:60" x14ac:dyDescent="0.25">
      <c r="A1563" s="2">
        <v>43938</v>
      </c>
      <c r="B1563">
        <v>14.5</v>
      </c>
      <c r="C1563">
        <v>4.0999999999999996</v>
      </c>
      <c r="D1563">
        <v>10.1</v>
      </c>
      <c r="E1563">
        <v>0.4</v>
      </c>
      <c r="F1563">
        <v>238.37</v>
      </c>
      <c r="G1563">
        <v>0.5</v>
      </c>
      <c r="H1563">
        <v>3</v>
      </c>
      <c r="I1563">
        <v>149.29310000000001</v>
      </c>
      <c r="J1563">
        <v>53.3902</v>
      </c>
      <c r="K1563">
        <v>97.140699999999995</v>
      </c>
      <c r="L1563">
        <v>3.2645</v>
      </c>
      <c r="M1563">
        <v>35.936900000000001</v>
      </c>
      <c r="N1563">
        <v>-0.15049999999999999</v>
      </c>
      <c r="O1563">
        <v>-12.8438</v>
      </c>
      <c r="P1563">
        <v>58.34</v>
      </c>
      <c r="S1563">
        <f t="shared" si="531"/>
        <v>609.99540000000002</v>
      </c>
      <c r="T1563">
        <f t="shared" si="532"/>
        <v>1.3593242377354967E-2</v>
      </c>
      <c r="U1563">
        <f t="shared" si="533"/>
        <v>3.8436064653210593E-3</v>
      </c>
      <c r="V1563">
        <f t="shared" si="534"/>
        <v>9.4683964145713916E-3</v>
      </c>
      <c r="W1563">
        <f t="shared" si="535"/>
        <v>3.7498599661668879E-4</v>
      </c>
      <c r="X1563">
        <f t="shared" si="536"/>
        <v>0.22346353003380026</v>
      </c>
      <c r="Y1563">
        <f t="shared" si="537"/>
        <v>4.6873249577086097E-4</v>
      </c>
      <c r="Z1563">
        <f t="shared" si="538"/>
        <v>2.8123949746251659E-3</v>
      </c>
      <c r="AA1563">
        <f t="shared" si="539"/>
        <v>0.13995705472873746</v>
      </c>
      <c r="AB1563">
        <f t="shared" si="540"/>
        <v>5.0051443391410842E-2</v>
      </c>
      <c r="AC1563">
        <f t="shared" si="541"/>
        <v>9.1066005503856948E-2</v>
      </c>
      <c r="AD1563">
        <f t="shared" si="542"/>
        <v>3.060354464887951E-3</v>
      </c>
      <c r="AE1563">
        <f t="shared" si="543"/>
        <v>3.3689585654535704E-2</v>
      </c>
      <c r="AG1563">
        <f t="shared" si="544"/>
        <v>-1.576811493331558</v>
      </c>
      <c r="AH1563">
        <f t="shared" si="545"/>
        <v>0.28771447441259607</v>
      </c>
      <c r="AI1563">
        <f t="shared" si="546"/>
        <v>0.47091538340083594</v>
      </c>
      <c r="AK1563" s="26" t="e">
        <f t="shared" si="547"/>
        <v>#DIV/0!</v>
      </c>
      <c r="AL1563" s="26" t="e">
        <f t="shared" si="548"/>
        <v>#DIV/0!</v>
      </c>
      <c r="AM1563" s="26" t="e">
        <f t="shared" si="549"/>
        <v>#DIV/0!</v>
      </c>
      <c r="AN1563" s="26" t="e">
        <f t="shared" si="550"/>
        <v>#DIV/0!</v>
      </c>
      <c r="AO1563" s="26" t="e">
        <f t="shared" si="551"/>
        <v>#DIV/0!</v>
      </c>
      <c r="AP1563" s="26" t="e">
        <f t="shared" si="552"/>
        <v>#DIV/0!</v>
      </c>
      <c r="AS1563" s="2">
        <v>43917</v>
      </c>
      <c r="AT1563">
        <v>13.1</v>
      </c>
      <c r="AU1563">
        <v>0.2</v>
      </c>
      <c r="AV1563">
        <v>33.700000000000003</v>
      </c>
      <c r="AW1563">
        <v>2.9</v>
      </c>
      <c r="AX1563">
        <v>213.54</v>
      </c>
      <c r="AY1563">
        <v>0.9</v>
      </c>
      <c r="AZ1563">
        <v>4</v>
      </c>
      <c r="BA1563">
        <v>225.083</v>
      </c>
      <c r="BB1563">
        <v>55.2622</v>
      </c>
      <c r="BC1563">
        <v>63.125900000000001</v>
      </c>
      <c r="BD1563">
        <v>4.08</v>
      </c>
      <c r="BE1563">
        <v>29.379799999999999</v>
      </c>
      <c r="BH1563">
        <v>54.81</v>
      </c>
    </row>
    <row r="1564" spans="1:60" x14ac:dyDescent="0.25">
      <c r="A1564" s="2">
        <v>43937</v>
      </c>
      <c r="B1564">
        <v>14.2</v>
      </c>
      <c r="C1564">
        <v>13.4</v>
      </c>
      <c r="D1564">
        <v>18.399999999999999</v>
      </c>
      <c r="E1564">
        <v>1.2</v>
      </c>
      <c r="F1564">
        <v>234.79</v>
      </c>
      <c r="G1564">
        <v>0.5</v>
      </c>
      <c r="H1564">
        <v>3</v>
      </c>
      <c r="I1564">
        <v>136.947</v>
      </c>
      <c r="J1564">
        <v>49.813699999999997</v>
      </c>
      <c r="K1564">
        <v>84.465699999999998</v>
      </c>
      <c r="L1564">
        <v>3.3136000000000001</v>
      </c>
      <c r="M1564">
        <v>26.961400000000001</v>
      </c>
      <c r="N1564">
        <v>-1.4297</v>
      </c>
      <c r="O1564">
        <v>-13.7623</v>
      </c>
      <c r="P1564">
        <v>58.03</v>
      </c>
      <c r="S1564">
        <f t="shared" si="531"/>
        <v>586.9914</v>
      </c>
      <c r="T1564">
        <f t="shared" si="532"/>
        <v>1.331200287989245E-2</v>
      </c>
      <c r="U1564">
        <f t="shared" si="533"/>
        <v>1.2562030886659074E-2</v>
      </c>
      <c r="V1564">
        <f t="shared" si="534"/>
        <v>1.7249355844367681E-2</v>
      </c>
      <c r="W1564">
        <f t="shared" si="535"/>
        <v>1.1249579898500663E-3</v>
      </c>
      <c r="X1564">
        <f t="shared" si="536"/>
        <v>0.22010740536408088</v>
      </c>
      <c r="Y1564">
        <f t="shared" si="537"/>
        <v>4.6873249577086097E-4</v>
      </c>
      <c r="Z1564">
        <f t="shared" si="538"/>
        <v>2.8123949746251659E-3</v>
      </c>
      <c r="AA1564">
        <f t="shared" si="539"/>
        <v>0.1283830181966642</v>
      </c>
      <c r="AB1564">
        <f t="shared" si="540"/>
        <v>4.6698599849161873E-2</v>
      </c>
      <c r="AC1564">
        <f t="shared" si="541"/>
        <v>7.9183636736065613E-2</v>
      </c>
      <c r="AD1564">
        <f t="shared" si="542"/>
        <v>3.1063839959726497E-3</v>
      </c>
      <c r="AE1564">
        <f t="shared" si="543"/>
        <v>2.5275368622952984E-2</v>
      </c>
      <c r="AG1564">
        <f t="shared" si="544"/>
        <v>-1.6074671591909127</v>
      </c>
      <c r="AH1564">
        <f t="shared" si="545"/>
        <v>0.29291224905819913</v>
      </c>
      <c r="AI1564">
        <f t="shared" si="546"/>
        <v>0.51168029586868202</v>
      </c>
      <c r="AK1564" s="26" t="e">
        <f t="shared" si="547"/>
        <v>#DIV/0!</v>
      </c>
      <c r="AL1564" s="26" t="e">
        <f t="shared" si="548"/>
        <v>#DIV/0!</v>
      </c>
      <c r="AM1564" s="26" t="e">
        <f t="shared" si="549"/>
        <v>#DIV/0!</v>
      </c>
      <c r="AN1564" s="26" t="e">
        <f t="shared" si="550"/>
        <v>#DIV/0!</v>
      </c>
      <c r="AO1564" s="26" t="e">
        <f t="shared" si="551"/>
        <v>#DIV/0!</v>
      </c>
      <c r="AP1564" s="26" t="e">
        <f t="shared" si="552"/>
        <v>#DIV/0!</v>
      </c>
      <c r="AS1564" s="2">
        <v>43916</v>
      </c>
      <c r="AT1564">
        <v>13.4</v>
      </c>
      <c r="AU1564">
        <v>5.8</v>
      </c>
      <c r="AV1564">
        <v>22.9</v>
      </c>
      <c r="AW1564">
        <v>3.5</v>
      </c>
      <c r="AX1564">
        <v>193.12</v>
      </c>
      <c r="AY1564">
        <v>0.9</v>
      </c>
      <c r="AZ1564">
        <v>3.6</v>
      </c>
      <c r="BA1564">
        <v>212.9034</v>
      </c>
      <c r="BB1564">
        <v>65.634</v>
      </c>
      <c r="BC1564">
        <v>67.497</v>
      </c>
      <c r="BD1564">
        <v>4.0784000000000002</v>
      </c>
      <c r="BE1564">
        <v>27.3401</v>
      </c>
      <c r="BH1564">
        <v>54.94</v>
      </c>
    </row>
    <row r="1565" spans="1:60" x14ac:dyDescent="0.25">
      <c r="A1565" s="2">
        <v>43936</v>
      </c>
      <c r="B1565">
        <v>13.8</v>
      </c>
      <c r="C1565">
        <v>51.3</v>
      </c>
      <c r="D1565">
        <v>55.9</v>
      </c>
      <c r="E1565">
        <v>2.5</v>
      </c>
      <c r="F1565">
        <v>238.92</v>
      </c>
      <c r="G1565">
        <v>0.8</v>
      </c>
      <c r="H1565">
        <v>2.9</v>
      </c>
      <c r="I1565">
        <v>109.5377</v>
      </c>
      <c r="J1565">
        <v>37.433199999999999</v>
      </c>
      <c r="K1565">
        <v>61.55</v>
      </c>
      <c r="L1565">
        <v>3.9041000000000001</v>
      </c>
      <c r="M1565">
        <v>31.061299999999999</v>
      </c>
      <c r="N1565">
        <v>-1.6163000000000001</v>
      </c>
      <c r="O1565">
        <v>-13.405099999999999</v>
      </c>
      <c r="P1565">
        <v>57.75</v>
      </c>
      <c r="S1565">
        <f t="shared" si="531"/>
        <v>609.60629999999981</v>
      </c>
      <c r="T1565">
        <f t="shared" si="532"/>
        <v>1.2937016883275762E-2</v>
      </c>
      <c r="U1565">
        <f t="shared" si="533"/>
        <v>4.8091954066090334E-2</v>
      </c>
      <c r="V1565">
        <f t="shared" si="534"/>
        <v>5.2404293027182254E-2</v>
      </c>
      <c r="W1565">
        <f t="shared" si="535"/>
        <v>2.3436624788543046E-3</v>
      </c>
      <c r="X1565">
        <f t="shared" si="536"/>
        <v>0.22397913577914819</v>
      </c>
      <c r="Y1565">
        <f t="shared" si="537"/>
        <v>7.4997199323337759E-4</v>
      </c>
      <c r="Z1565">
        <f t="shared" si="538"/>
        <v>2.7186484754709935E-3</v>
      </c>
      <c r="AA1565">
        <f t="shared" si="539"/>
        <v>0.10268775900399968</v>
      </c>
      <c r="AB1565">
        <f t="shared" si="540"/>
        <v>3.5092314521379585E-2</v>
      </c>
      <c r="AC1565">
        <f t="shared" si="541"/>
        <v>5.7700970229392981E-2</v>
      </c>
      <c r="AD1565">
        <f t="shared" si="542"/>
        <v>3.6599570734780367E-3</v>
      </c>
      <c r="AE1565">
        <f t="shared" si="543"/>
        <v>2.9118881341774885E-2</v>
      </c>
      <c r="AG1565">
        <f t="shared" si="544"/>
        <v>-1.6366340574457108</v>
      </c>
      <c r="AH1565">
        <f t="shared" si="545"/>
        <v>0.37234356404503011</v>
      </c>
      <c r="AI1565">
        <f t="shared" si="546"/>
        <v>1.1186491670449135</v>
      </c>
      <c r="AK1565" s="26" t="e">
        <f t="shared" si="547"/>
        <v>#DIV/0!</v>
      </c>
      <c r="AL1565" s="26" t="e">
        <f t="shared" si="548"/>
        <v>#DIV/0!</v>
      </c>
      <c r="AM1565" s="26" t="e">
        <f t="shared" si="549"/>
        <v>#DIV/0!</v>
      </c>
      <c r="AN1565" s="26" t="e">
        <f t="shared" si="550"/>
        <v>#DIV/0!</v>
      </c>
      <c r="AO1565" s="26" t="e">
        <f t="shared" si="551"/>
        <v>#DIV/0!</v>
      </c>
      <c r="AP1565" s="26" t="e">
        <f t="shared" si="552"/>
        <v>#DIV/0!</v>
      </c>
      <c r="AS1565" s="2">
        <v>43915</v>
      </c>
      <c r="AT1565">
        <v>13.3</v>
      </c>
      <c r="AU1565">
        <v>3</v>
      </c>
      <c r="AV1565">
        <v>34.5</v>
      </c>
      <c r="AW1565">
        <v>3.5</v>
      </c>
      <c r="AX1565">
        <v>228.88</v>
      </c>
      <c r="AY1565">
        <v>0.9</v>
      </c>
      <c r="AZ1565">
        <v>3.3</v>
      </c>
      <c r="BA1565">
        <v>238.3212</v>
      </c>
      <c r="BB1565">
        <v>60.723100000000002</v>
      </c>
      <c r="BC1565">
        <v>67.273300000000006</v>
      </c>
      <c r="BD1565">
        <v>4.0621999999999998</v>
      </c>
      <c r="BE1565">
        <v>22.720500000000001</v>
      </c>
      <c r="BH1565">
        <v>55.18</v>
      </c>
    </row>
    <row r="1566" spans="1:60" x14ac:dyDescent="0.25">
      <c r="A1566" s="2">
        <v>43935</v>
      </c>
      <c r="B1566">
        <v>13.4</v>
      </c>
      <c r="C1566">
        <v>3.5</v>
      </c>
      <c r="D1566">
        <v>51.8</v>
      </c>
      <c r="E1566">
        <v>3.7</v>
      </c>
      <c r="F1566">
        <v>191.84</v>
      </c>
      <c r="G1566">
        <v>0.8</v>
      </c>
      <c r="H1566">
        <v>2.7</v>
      </c>
      <c r="I1566">
        <v>105.697</v>
      </c>
      <c r="J1566">
        <v>33.972799999999999</v>
      </c>
      <c r="K1566">
        <v>58.121699999999997</v>
      </c>
      <c r="L1566">
        <v>4.0453999999999999</v>
      </c>
      <c r="M1566">
        <v>38.058900000000001</v>
      </c>
      <c r="N1566">
        <v>-1.0709</v>
      </c>
      <c r="O1566">
        <v>-12.9207</v>
      </c>
      <c r="P1566">
        <v>57.53</v>
      </c>
      <c r="S1566">
        <f t="shared" si="531"/>
        <v>507.63579999999996</v>
      </c>
      <c r="T1566">
        <f t="shared" si="532"/>
        <v>1.2562030886659074E-2</v>
      </c>
      <c r="U1566">
        <f t="shared" si="533"/>
        <v>3.2811274703960268E-3</v>
      </c>
      <c r="V1566">
        <f t="shared" si="534"/>
        <v>4.8560686561861195E-2</v>
      </c>
      <c r="W1566">
        <f t="shared" si="535"/>
        <v>3.4686204687043713E-3</v>
      </c>
      <c r="X1566">
        <f t="shared" si="536"/>
        <v>0.17984328397736393</v>
      </c>
      <c r="Y1566">
        <f t="shared" si="537"/>
        <v>7.4997199323337759E-4</v>
      </c>
      <c r="Z1566">
        <f t="shared" si="538"/>
        <v>2.5311554771626494E-3</v>
      </c>
      <c r="AA1566">
        <f t="shared" si="539"/>
        <v>9.9087237210985377E-2</v>
      </c>
      <c r="AB1566">
        <f t="shared" si="540"/>
        <v>3.1848310664648612E-2</v>
      </c>
      <c r="AC1566">
        <f t="shared" si="541"/>
        <v>5.4487058998890496E-2</v>
      </c>
      <c r="AD1566">
        <f t="shared" si="542"/>
        <v>3.7924208767828819E-3</v>
      </c>
      <c r="AE1566">
        <f t="shared" si="543"/>
        <v>3.567888636658724E-2</v>
      </c>
      <c r="AG1566">
        <f t="shared" si="544"/>
        <v>-1.662248477377813</v>
      </c>
      <c r="AH1566">
        <f t="shared" si="545"/>
        <v>0.2866757632019678</v>
      </c>
      <c r="AI1566">
        <f t="shared" si="546"/>
        <v>0.46975798178831907</v>
      </c>
      <c r="AK1566" s="26" t="e">
        <f t="shared" si="547"/>
        <v>#DIV/0!</v>
      </c>
      <c r="AL1566" s="26" t="e">
        <f t="shared" si="548"/>
        <v>#DIV/0!</v>
      </c>
      <c r="AM1566" s="26" t="e">
        <f t="shared" si="549"/>
        <v>#DIV/0!</v>
      </c>
      <c r="AN1566" s="26" t="e">
        <f t="shared" si="550"/>
        <v>#DIV/0!</v>
      </c>
      <c r="AO1566" s="26" t="e">
        <f t="shared" si="551"/>
        <v>#DIV/0!</v>
      </c>
      <c r="AP1566" s="26" t="e">
        <f t="shared" si="552"/>
        <v>#DIV/0!</v>
      </c>
      <c r="AS1566" s="2">
        <v>43914</v>
      </c>
      <c r="AT1566">
        <v>13.7</v>
      </c>
      <c r="AU1566">
        <v>5.3</v>
      </c>
      <c r="AV1566">
        <v>56.1</v>
      </c>
      <c r="AW1566">
        <v>2.9</v>
      </c>
      <c r="AX1566">
        <v>231.24</v>
      </c>
      <c r="AY1566">
        <v>0.7</v>
      </c>
      <c r="AZ1566">
        <v>3.2</v>
      </c>
      <c r="BA1566">
        <v>207.76169999999999</v>
      </c>
      <c r="BB1566">
        <v>60.785200000000003</v>
      </c>
      <c r="BC1566">
        <v>67.662499999999994</v>
      </c>
      <c r="BD1566">
        <v>4.0777999999999999</v>
      </c>
      <c r="BE1566">
        <v>29.070699999999999</v>
      </c>
      <c r="BH1566">
        <v>55.45</v>
      </c>
    </row>
    <row r="1567" spans="1:60" x14ac:dyDescent="0.25">
      <c r="A1567" s="2">
        <v>43934</v>
      </c>
      <c r="B1567">
        <v>11.6</v>
      </c>
      <c r="C1567">
        <v>0</v>
      </c>
      <c r="D1567">
        <v>53.9</v>
      </c>
      <c r="E1567">
        <v>5.6</v>
      </c>
      <c r="F1567">
        <v>170.34</v>
      </c>
      <c r="G1567">
        <v>0.9</v>
      </c>
      <c r="H1567">
        <v>2</v>
      </c>
      <c r="I1567">
        <v>82.081000000000003</v>
      </c>
      <c r="J1567">
        <v>34.5441</v>
      </c>
      <c r="K1567">
        <v>24.368099999999998</v>
      </c>
      <c r="L1567">
        <v>4.0399000000000003</v>
      </c>
      <c r="M1567">
        <v>16.190000000000001</v>
      </c>
      <c r="N1567">
        <v>-1.0271999999999999</v>
      </c>
      <c r="O1567">
        <v>-13.51</v>
      </c>
      <c r="P1567">
        <v>57.26</v>
      </c>
      <c r="S1567">
        <f t="shared" si="531"/>
        <v>405.56310000000002</v>
      </c>
      <c r="T1567">
        <f t="shared" si="532"/>
        <v>1.0874593901883974E-2</v>
      </c>
      <c r="U1567">
        <f t="shared" si="533"/>
        <v>0</v>
      </c>
      <c r="V1567">
        <f t="shared" si="534"/>
        <v>5.0529363044098809E-2</v>
      </c>
      <c r="W1567">
        <f t="shared" si="535"/>
        <v>5.249803952633642E-3</v>
      </c>
      <c r="X1567">
        <f t="shared" si="536"/>
        <v>0.1596877866592169</v>
      </c>
      <c r="Y1567">
        <f t="shared" si="537"/>
        <v>8.4371849238754971E-4</v>
      </c>
      <c r="Z1567">
        <f t="shared" si="538"/>
        <v>1.8749299830834439E-3</v>
      </c>
      <c r="AA1567">
        <f t="shared" si="539"/>
        <v>7.6948063970736086E-2</v>
      </c>
      <c r="AB1567">
        <f t="shared" si="540"/>
        <v>3.2383884414316395E-2</v>
      </c>
      <c r="AC1567">
        <f t="shared" si="541"/>
        <v>2.2844240660387833E-2</v>
      </c>
      <c r="AD1567">
        <f t="shared" si="542"/>
        <v>3.7872648193294028E-3</v>
      </c>
      <c r="AE1567">
        <f t="shared" si="543"/>
        <v>1.517755821306048E-2</v>
      </c>
      <c r="AG1567">
        <f t="shared" si="544"/>
        <v>-1.6917933593852248</v>
      </c>
      <c r="AH1567">
        <f t="shared" si="545"/>
        <v>0.24423775424636479</v>
      </c>
      <c r="AI1567">
        <f t="shared" si="546"/>
        <v>0.14751416216321522</v>
      </c>
      <c r="AK1567" s="26" t="e">
        <f t="shared" si="547"/>
        <v>#DIV/0!</v>
      </c>
      <c r="AL1567" s="26" t="e">
        <f t="shared" si="548"/>
        <v>#DIV/0!</v>
      </c>
      <c r="AM1567" s="26" t="e">
        <f t="shared" si="549"/>
        <v>#DIV/0!</v>
      </c>
      <c r="AN1567" s="26" t="e">
        <f t="shared" si="550"/>
        <v>#DIV/0!</v>
      </c>
      <c r="AO1567" s="26" t="e">
        <f t="shared" si="551"/>
        <v>#DIV/0!</v>
      </c>
      <c r="AP1567" s="26" t="e">
        <f t="shared" si="552"/>
        <v>#DIV/0!</v>
      </c>
      <c r="AS1567" s="2">
        <v>43913</v>
      </c>
      <c r="AT1567">
        <v>13.3</v>
      </c>
      <c r="AU1567">
        <v>4.4000000000000004</v>
      </c>
      <c r="AV1567">
        <v>65.8</v>
      </c>
      <c r="AW1567">
        <v>3</v>
      </c>
      <c r="AX1567">
        <v>232.74</v>
      </c>
      <c r="AY1567">
        <v>0.6</v>
      </c>
      <c r="AZ1567">
        <v>2.9</v>
      </c>
      <c r="BA1567">
        <v>138.62989999999999</v>
      </c>
      <c r="BB1567">
        <v>56.112400000000001</v>
      </c>
      <c r="BC1567">
        <v>61.9664</v>
      </c>
      <c r="BD1567">
        <v>4.0827</v>
      </c>
      <c r="BE1567">
        <v>31.527899999999999</v>
      </c>
      <c r="BH1567">
        <v>55.68</v>
      </c>
    </row>
    <row r="1568" spans="1:60" x14ac:dyDescent="0.25">
      <c r="A1568" s="2">
        <v>43933</v>
      </c>
      <c r="B1568">
        <v>12.7</v>
      </c>
      <c r="C1568">
        <v>45.7</v>
      </c>
      <c r="D1568">
        <v>23.5</v>
      </c>
      <c r="E1568">
        <v>1.5</v>
      </c>
      <c r="F1568">
        <v>219.05</v>
      </c>
      <c r="G1568">
        <v>0.9</v>
      </c>
      <c r="H1568">
        <v>2.5</v>
      </c>
      <c r="I1568">
        <v>101.069</v>
      </c>
      <c r="J1568">
        <v>50.138399999999997</v>
      </c>
      <c r="K1568">
        <v>34.362400000000001</v>
      </c>
      <c r="L1568">
        <v>3.9845000000000002</v>
      </c>
      <c r="M1568">
        <v>20.944700000000001</v>
      </c>
      <c r="P1568">
        <v>56.99</v>
      </c>
      <c r="S1568">
        <f t="shared" si="531"/>
        <v>516.34900000000005</v>
      </c>
      <c r="T1568">
        <f t="shared" si="532"/>
        <v>1.1905805392579868E-2</v>
      </c>
      <c r="U1568">
        <f t="shared" si="533"/>
        <v>4.2842150113456691E-2</v>
      </c>
      <c r="V1568">
        <f t="shared" si="534"/>
        <v>2.2030427301230466E-2</v>
      </c>
      <c r="W1568">
        <f t="shared" si="535"/>
        <v>1.406197487312583E-3</v>
      </c>
      <c r="X1568">
        <f t="shared" si="536"/>
        <v>0.2053517063972142</v>
      </c>
      <c r="Y1568">
        <f t="shared" si="537"/>
        <v>8.4371849238754971E-4</v>
      </c>
      <c r="Z1568">
        <f t="shared" si="538"/>
        <v>2.3436624788543046E-3</v>
      </c>
      <c r="AA1568">
        <f t="shared" si="539"/>
        <v>9.4748649230130294E-2</v>
      </c>
      <c r="AB1568">
        <f t="shared" si="540"/>
        <v>4.7002994731915465E-2</v>
      </c>
      <c r="AC1568">
        <f t="shared" si="541"/>
        <v>3.2213547025353263E-2</v>
      </c>
      <c r="AD1568">
        <f t="shared" si="542"/>
        <v>3.7353292587979912E-3</v>
      </c>
      <c r="AE1568">
        <f t="shared" si="543"/>
        <v>1.9634923008343904E-2</v>
      </c>
      <c r="AG1568">
        <f t="shared" si="544"/>
        <v>-1.7219353388707872</v>
      </c>
      <c r="AH1568">
        <f t="shared" si="545"/>
        <v>0.3063585906713796</v>
      </c>
      <c r="AI1568">
        <f t="shared" si="546"/>
        <v>0.620201164594679</v>
      </c>
      <c r="AK1568" s="26" t="e">
        <f t="shared" si="547"/>
        <v>#DIV/0!</v>
      </c>
      <c r="AL1568" s="26" t="e">
        <f t="shared" si="548"/>
        <v>#DIV/0!</v>
      </c>
      <c r="AM1568" s="26" t="e">
        <f t="shared" si="549"/>
        <v>#DIV/0!</v>
      </c>
      <c r="AN1568" s="26" t="e">
        <f t="shared" si="550"/>
        <v>#DIV/0!</v>
      </c>
      <c r="AO1568" s="26" t="e">
        <f t="shared" si="551"/>
        <v>#DIV/0!</v>
      </c>
      <c r="AP1568" s="26" t="e">
        <f t="shared" si="552"/>
        <v>#DIV/0!</v>
      </c>
      <c r="AS1568" s="2">
        <v>43912</v>
      </c>
      <c r="AT1568">
        <v>13.4</v>
      </c>
      <c r="AU1568">
        <v>4.4000000000000004</v>
      </c>
      <c r="AV1568">
        <v>55.8</v>
      </c>
      <c r="AW1568">
        <v>2.8</v>
      </c>
      <c r="AX1568">
        <v>206.78</v>
      </c>
      <c r="AZ1568">
        <v>3.4</v>
      </c>
      <c r="BA1568">
        <v>103.233</v>
      </c>
      <c r="BB1568">
        <v>42.860900000000001</v>
      </c>
      <c r="BC1568">
        <v>35.340699999999998</v>
      </c>
      <c r="BD1568">
        <v>4.0805999999999996</v>
      </c>
      <c r="BE1568">
        <v>17.1327</v>
      </c>
      <c r="BH1568">
        <v>55.93</v>
      </c>
    </row>
    <row r="1569" spans="1:60" x14ac:dyDescent="0.25">
      <c r="A1569" s="2">
        <v>43932</v>
      </c>
      <c r="B1569">
        <v>13</v>
      </c>
      <c r="C1569">
        <v>6.1</v>
      </c>
      <c r="D1569">
        <v>11.4</v>
      </c>
      <c r="E1569">
        <v>0.3</v>
      </c>
      <c r="F1569">
        <v>455.39</v>
      </c>
      <c r="G1569">
        <v>0.9</v>
      </c>
      <c r="H1569">
        <v>2.6</v>
      </c>
      <c r="I1569">
        <v>107.36490000000001</v>
      </c>
      <c r="J1569">
        <v>55.203800000000001</v>
      </c>
      <c r="K1569">
        <v>48.083500000000001</v>
      </c>
      <c r="L1569">
        <v>3.984</v>
      </c>
      <c r="M1569">
        <v>28.860399999999998</v>
      </c>
      <c r="P1569">
        <v>56.52</v>
      </c>
      <c r="S1569">
        <f t="shared" si="531"/>
        <v>733.1866</v>
      </c>
      <c r="T1569">
        <f t="shared" si="532"/>
        <v>1.2187044890042385E-2</v>
      </c>
      <c r="U1569">
        <f t="shared" si="533"/>
        <v>5.7185364484045034E-3</v>
      </c>
      <c r="V1569">
        <f t="shared" si="534"/>
        <v>1.0687100903575631E-2</v>
      </c>
      <c r="W1569">
        <f t="shared" si="535"/>
        <v>2.8123949746251657E-4</v>
      </c>
      <c r="X1569">
        <f t="shared" si="536"/>
        <v>0.42691218249818474</v>
      </c>
      <c r="Y1569">
        <f t="shared" si="537"/>
        <v>8.4371849238754971E-4</v>
      </c>
      <c r="Z1569">
        <f t="shared" si="538"/>
        <v>2.437408978008477E-3</v>
      </c>
      <c r="AA1569">
        <f t="shared" si="539"/>
        <v>0.10065083507037782</v>
      </c>
      <c r="AB1569">
        <f t="shared" si="540"/>
        <v>5.1751629900070907E-2</v>
      </c>
      <c r="AC1569">
        <f t="shared" si="541"/>
        <v>4.5076597920796387E-2</v>
      </c>
      <c r="AD1569">
        <f t="shared" si="542"/>
        <v>3.7348605263022201E-3</v>
      </c>
      <c r="AE1569">
        <f t="shared" si="543"/>
        <v>2.7055614641890709E-2</v>
      </c>
      <c r="AG1569">
        <f t="shared" si="544"/>
        <v>-1.7665215518398507</v>
      </c>
      <c r="AH1569">
        <f t="shared" si="545"/>
        <v>0.48612284634995656</v>
      </c>
      <c r="AI1569">
        <f t="shared" si="546"/>
        <v>1.9872640883645833</v>
      </c>
      <c r="AK1569" s="26" t="e">
        <f t="shared" si="547"/>
        <v>#DIV/0!</v>
      </c>
      <c r="AL1569" s="26" t="e">
        <f t="shared" si="548"/>
        <v>#DIV/0!</v>
      </c>
      <c r="AM1569" s="26" t="e">
        <f t="shared" si="549"/>
        <v>#DIV/0!</v>
      </c>
      <c r="AN1569" s="26" t="e">
        <f t="shared" si="550"/>
        <v>#DIV/0!</v>
      </c>
      <c r="AO1569" s="26" t="e">
        <f t="shared" si="551"/>
        <v>#DIV/0!</v>
      </c>
      <c r="AP1569" s="26" t="e">
        <f t="shared" si="552"/>
        <v>#DIV/0!</v>
      </c>
      <c r="AS1569" s="2">
        <v>43911</v>
      </c>
      <c r="AT1569">
        <v>15.9</v>
      </c>
      <c r="AU1569">
        <v>5.7</v>
      </c>
      <c r="AV1569">
        <v>73.099999999999994</v>
      </c>
      <c r="AW1569">
        <v>4.2</v>
      </c>
      <c r="AX1569">
        <v>92.29</v>
      </c>
      <c r="AY1569">
        <v>0.5</v>
      </c>
      <c r="AZ1569">
        <v>3.7</v>
      </c>
      <c r="BA1569">
        <v>109.709</v>
      </c>
      <c r="BB1569">
        <v>41.930100000000003</v>
      </c>
      <c r="BC1569">
        <v>40.036999999999999</v>
      </c>
      <c r="BD1569">
        <v>4.08</v>
      </c>
      <c r="BE1569">
        <v>22.116099999999999</v>
      </c>
      <c r="BH1569">
        <v>56.01</v>
      </c>
    </row>
    <row r="1570" spans="1:60" x14ac:dyDescent="0.25">
      <c r="A1570" s="2">
        <v>43931</v>
      </c>
      <c r="B1570">
        <v>12.9</v>
      </c>
      <c r="C1570">
        <v>31</v>
      </c>
      <c r="D1570">
        <v>4.2</v>
      </c>
      <c r="E1570">
        <v>1</v>
      </c>
      <c r="F1570">
        <v>230.76</v>
      </c>
      <c r="G1570">
        <v>0.7</v>
      </c>
      <c r="H1570">
        <v>2.7</v>
      </c>
      <c r="I1570">
        <v>117.0159</v>
      </c>
      <c r="J1570">
        <v>48.521900000000002</v>
      </c>
      <c r="K1570">
        <v>53.393799999999999</v>
      </c>
      <c r="L1570">
        <v>3.9655</v>
      </c>
      <c r="M1570">
        <v>24.556899999999999</v>
      </c>
      <c r="N1570">
        <v>-0.74680000000000002</v>
      </c>
      <c r="O1570">
        <v>-13.299099999999999</v>
      </c>
      <c r="P1570">
        <v>56.12</v>
      </c>
      <c r="S1570">
        <f t="shared" si="531"/>
        <v>530.71400000000006</v>
      </c>
      <c r="T1570">
        <f t="shared" si="532"/>
        <v>1.2093298390888213E-2</v>
      </c>
      <c r="U1570">
        <f t="shared" si="533"/>
        <v>2.9061414737793379E-2</v>
      </c>
      <c r="V1570">
        <f t="shared" si="534"/>
        <v>3.9373529644752322E-3</v>
      </c>
      <c r="W1570">
        <f t="shared" si="535"/>
        <v>9.3746499154172193E-4</v>
      </c>
      <c r="X1570">
        <f t="shared" si="536"/>
        <v>0.21632942144816775</v>
      </c>
      <c r="Y1570">
        <f t="shared" si="537"/>
        <v>6.5622549407920526E-4</v>
      </c>
      <c r="Z1570">
        <f t="shared" si="538"/>
        <v>2.5311554771626494E-3</v>
      </c>
      <c r="AA1570">
        <f t="shared" si="539"/>
        <v>0.10969830970374699</v>
      </c>
      <c r="AB1570">
        <f t="shared" si="540"/>
        <v>4.5487582573088277E-2</v>
      </c>
      <c r="AC1570">
        <f t="shared" si="541"/>
        <v>5.0054818265380392E-2</v>
      </c>
      <c r="AD1570">
        <f t="shared" si="542"/>
        <v>3.7175174239586981E-3</v>
      </c>
      <c r="AE1570">
        <f t="shared" si="543"/>
        <v>2.3021234050790911E-2</v>
      </c>
      <c r="AG1570">
        <f t="shared" si="544"/>
        <v>-1.8072326386288349</v>
      </c>
      <c r="AH1570">
        <f t="shared" si="545"/>
        <v>0.2885675675548991</v>
      </c>
      <c r="AI1570">
        <f t="shared" si="546"/>
        <v>0.49711224558431127</v>
      </c>
      <c r="AK1570" s="26" t="e">
        <f t="shared" si="547"/>
        <v>#DIV/0!</v>
      </c>
      <c r="AL1570" s="26" t="e">
        <f t="shared" si="548"/>
        <v>#DIV/0!</v>
      </c>
      <c r="AM1570" s="26" t="e">
        <f t="shared" si="549"/>
        <v>#DIV/0!</v>
      </c>
      <c r="AN1570" s="26" t="e">
        <f t="shared" si="550"/>
        <v>#DIV/0!</v>
      </c>
      <c r="AO1570" s="26" t="e">
        <f t="shared" si="551"/>
        <v>#DIV/0!</v>
      </c>
      <c r="AP1570" s="26" t="e">
        <f t="shared" si="552"/>
        <v>#DIV/0!</v>
      </c>
      <c r="AS1570" s="2">
        <v>43910</v>
      </c>
      <c r="AT1570">
        <v>15.1</v>
      </c>
      <c r="AU1570">
        <v>3.1</v>
      </c>
      <c r="AV1570">
        <v>32</v>
      </c>
      <c r="AW1570">
        <v>0.9</v>
      </c>
      <c r="AX1570">
        <v>111.94</v>
      </c>
      <c r="AY1570">
        <v>0.9</v>
      </c>
      <c r="AZ1570">
        <v>3.8</v>
      </c>
      <c r="BA1570">
        <v>296.06549999999999</v>
      </c>
      <c r="BB1570">
        <v>65.676500000000004</v>
      </c>
      <c r="BC1570">
        <v>88.617000000000004</v>
      </c>
      <c r="BD1570">
        <v>4.0965999999999996</v>
      </c>
      <c r="BE1570">
        <v>23.738700000000001</v>
      </c>
      <c r="BH1570">
        <v>56.02</v>
      </c>
    </row>
    <row r="1571" spans="1:60" x14ac:dyDescent="0.25">
      <c r="A1571" s="2">
        <v>43930</v>
      </c>
      <c r="B1571">
        <v>12.7</v>
      </c>
      <c r="C1571">
        <v>0.8</v>
      </c>
      <c r="D1571">
        <v>18.3</v>
      </c>
      <c r="E1571">
        <v>1.7</v>
      </c>
      <c r="F1571">
        <v>218.59</v>
      </c>
      <c r="G1571">
        <v>0.4</v>
      </c>
      <c r="H1571">
        <v>3.3</v>
      </c>
      <c r="I1571">
        <v>209.9222</v>
      </c>
      <c r="J1571">
        <v>40.084099999999999</v>
      </c>
      <c r="K1571">
        <v>87.908900000000003</v>
      </c>
      <c r="L1571">
        <v>3.9645000000000001</v>
      </c>
      <c r="M1571">
        <v>28.049299999999999</v>
      </c>
      <c r="N1571">
        <v>-1.0117</v>
      </c>
      <c r="O1571">
        <v>-13.4642</v>
      </c>
      <c r="P1571">
        <v>55.79</v>
      </c>
      <c r="S1571">
        <f t="shared" si="531"/>
        <v>625.71900000000005</v>
      </c>
      <c r="T1571">
        <f t="shared" si="532"/>
        <v>1.1905805392579868E-2</v>
      </c>
      <c r="U1571">
        <f t="shared" si="533"/>
        <v>7.4997199323337759E-4</v>
      </c>
      <c r="V1571">
        <f t="shared" si="534"/>
        <v>1.7155609345213513E-2</v>
      </c>
      <c r="W1571">
        <f t="shared" si="535"/>
        <v>1.5936904856209272E-3</v>
      </c>
      <c r="X1571">
        <f t="shared" si="536"/>
        <v>0.20492047250110498</v>
      </c>
      <c r="Y1571">
        <f t="shared" si="537"/>
        <v>3.7498599661668879E-4</v>
      </c>
      <c r="Z1571">
        <f t="shared" si="538"/>
        <v>3.0936344720876819E-3</v>
      </c>
      <c r="AA1571">
        <f t="shared" si="539"/>
        <v>0.19679471344741967</v>
      </c>
      <c r="AB1571">
        <f t="shared" si="540"/>
        <v>3.7577440467457535E-2</v>
      </c>
      <c r="AC1571">
        <f t="shared" si="541"/>
        <v>8.241151619494208E-2</v>
      </c>
      <c r="AD1571">
        <f t="shared" si="542"/>
        <v>3.7165799589671568E-3</v>
      </c>
      <c r="AE1571">
        <f t="shared" si="543"/>
        <v>2.6295236787251219E-2</v>
      </c>
      <c r="AG1571">
        <f t="shared" si="544"/>
        <v>-1.8440076164667403</v>
      </c>
      <c r="AH1571">
        <f t="shared" si="545"/>
        <v>0.26608940697370825</v>
      </c>
      <c r="AI1571">
        <f t="shared" si="546"/>
        <v>0.32682967500600751</v>
      </c>
      <c r="AK1571" s="26" t="e">
        <f t="shared" si="547"/>
        <v>#DIV/0!</v>
      </c>
      <c r="AL1571" s="26" t="e">
        <f t="shared" si="548"/>
        <v>#DIV/0!</v>
      </c>
      <c r="AM1571" s="26" t="e">
        <f t="shared" si="549"/>
        <v>#DIV/0!</v>
      </c>
      <c r="AN1571" s="26" t="e">
        <f t="shared" si="550"/>
        <v>#DIV/0!</v>
      </c>
      <c r="AO1571" s="26" t="e">
        <f t="shared" si="551"/>
        <v>#DIV/0!</v>
      </c>
      <c r="AP1571" s="26" t="e">
        <f t="shared" si="552"/>
        <v>#DIV/0!</v>
      </c>
      <c r="AS1571" s="2">
        <v>43909</v>
      </c>
      <c r="AT1571">
        <v>14.2</v>
      </c>
      <c r="AU1571">
        <v>3.7</v>
      </c>
      <c r="AV1571">
        <v>6.7</v>
      </c>
      <c r="AW1571">
        <v>0.3</v>
      </c>
      <c r="AX1571">
        <v>151.4</v>
      </c>
      <c r="AY1571">
        <v>0.9</v>
      </c>
      <c r="AZ1571">
        <v>3.7</v>
      </c>
      <c r="BA1571">
        <v>297.44529999999997</v>
      </c>
      <c r="BB1571">
        <v>123.8822</v>
      </c>
      <c r="BC1571">
        <v>108.9312</v>
      </c>
      <c r="BD1571">
        <v>4.1914999999999996</v>
      </c>
      <c r="BE1571">
        <v>25.801600000000001</v>
      </c>
      <c r="BH1571">
        <v>56.17</v>
      </c>
    </row>
    <row r="1572" spans="1:60" x14ac:dyDescent="0.25">
      <c r="A1572" s="2">
        <v>43929</v>
      </c>
      <c r="B1572">
        <v>11.8</v>
      </c>
      <c r="C1572">
        <v>9.9</v>
      </c>
      <c r="D1572">
        <v>12.4</v>
      </c>
      <c r="E1572">
        <v>1.9</v>
      </c>
      <c r="F1572">
        <v>234.54</v>
      </c>
      <c r="G1572">
        <v>0.1</v>
      </c>
      <c r="H1572">
        <v>3.6</v>
      </c>
      <c r="I1572">
        <v>202.06970000000001</v>
      </c>
      <c r="J1572">
        <v>38.712800000000001</v>
      </c>
      <c r="K1572">
        <v>76.264099999999999</v>
      </c>
      <c r="L1572">
        <v>3.9990000000000001</v>
      </c>
      <c r="M1572">
        <v>26.5046</v>
      </c>
      <c r="N1572">
        <v>-1.7492000000000001</v>
      </c>
      <c r="O1572">
        <v>-14.402900000000001</v>
      </c>
      <c r="P1572">
        <v>55.46</v>
      </c>
      <c r="S1572">
        <f t="shared" si="531"/>
        <v>621.79020000000003</v>
      </c>
      <c r="T1572">
        <f t="shared" si="532"/>
        <v>1.1062086900192319E-2</v>
      </c>
      <c r="U1572">
        <f t="shared" si="533"/>
        <v>9.2809034162630467E-3</v>
      </c>
      <c r="V1572">
        <f t="shared" si="534"/>
        <v>1.1624565895117352E-2</v>
      </c>
      <c r="W1572">
        <f t="shared" si="535"/>
        <v>1.7811834839292716E-3</v>
      </c>
      <c r="X1572">
        <f t="shared" si="536"/>
        <v>0.21987303911619546</v>
      </c>
      <c r="Y1572">
        <f t="shared" si="537"/>
        <v>9.3746499154172199E-5</v>
      </c>
      <c r="Z1572">
        <f t="shared" si="538"/>
        <v>3.3748739695501988E-3</v>
      </c>
      <c r="AA1572">
        <f t="shared" si="539"/>
        <v>0.1894332696013383</v>
      </c>
      <c r="AB1572">
        <f t="shared" si="540"/>
        <v>3.6291894724556371E-2</v>
      </c>
      <c r="AC1572">
        <f t="shared" si="541"/>
        <v>7.1494923861437035E-2</v>
      </c>
      <c r="AD1572">
        <f t="shared" si="542"/>
        <v>3.748922501175346E-3</v>
      </c>
      <c r="AE1572">
        <f t="shared" si="543"/>
        <v>2.4847134614816722E-2</v>
      </c>
      <c r="AG1572">
        <f t="shared" si="544"/>
        <v>-1.8816646627092939</v>
      </c>
      <c r="AH1572">
        <f t="shared" si="545"/>
        <v>0.28193753389521858</v>
      </c>
      <c r="AI1572">
        <f t="shared" si="546"/>
        <v>0.44820706838568641</v>
      </c>
      <c r="AK1572" s="26" t="e">
        <f t="shared" si="547"/>
        <v>#DIV/0!</v>
      </c>
      <c r="AL1572" s="26" t="e">
        <f t="shared" si="548"/>
        <v>#DIV/0!</v>
      </c>
      <c r="AM1572" s="26" t="e">
        <f t="shared" si="549"/>
        <v>#DIV/0!</v>
      </c>
      <c r="AN1572" s="26" t="e">
        <f t="shared" si="550"/>
        <v>#DIV/0!</v>
      </c>
      <c r="AO1572" s="26" t="e">
        <f t="shared" si="551"/>
        <v>#DIV/0!</v>
      </c>
      <c r="AP1572" s="26" t="e">
        <f t="shared" si="552"/>
        <v>#DIV/0!</v>
      </c>
      <c r="AS1572" s="2">
        <v>43908</v>
      </c>
      <c r="AT1572">
        <v>14</v>
      </c>
      <c r="AU1572">
        <v>1.5</v>
      </c>
      <c r="AV1572">
        <v>51.2</v>
      </c>
      <c r="AW1572">
        <v>1.1000000000000001</v>
      </c>
      <c r="AX1572">
        <v>168.98</v>
      </c>
      <c r="AY1572">
        <v>0.9</v>
      </c>
      <c r="AZ1572">
        <v>3.9</v>
      </c>
      <c r="BA1572">
        <v>233.94300000000001</v>
      </c>
      <c r="BB1572">
        <v>121.31740000000001</v>
      </c>
      <c r="BC1572">
        <v>65.576899999999995</v>
      </c>
      <c r="BD1572">
        <v>4.1280000000000001</v>
      </c>
      <c r="BE1572">
        <v>29.035399999999999</v>
      </c>
      <c r="BH1572">
        <v>56.27</v>
      </c>
    </row>
    <row r="1573" spans="1:60" x14ac:dyDescent="0.25">
      <c r="A1573" s="2">
        <v>43928</v>
      </c>
      <c r="B1573">
        <v>11.1</v>
      </c>
      <c r="C1573">
        <v>41.2</v>
      </c>
      <c r="D1573">
        <v>13.6</v>
      </c>
      <c r="E1573">
        <v>1.6</v>
      </c>
      <c r="F1573">
        <v>232.23</v>
      </c>
      <c r="H1573">
        <v>3.8</v>
      </c>
      <c r="I1573">
        <v>207.24430000000001</v>
      </c>
      <c r="J1573">
        <v>35.998199999999997</v>
      </c>
      <c r="K1573">
        <v>70.126999999999995</v>
      </c>
      <c r="L1573">
        <v>4.0278999999999998</v>
      </c>
      <c r="M1573">
        <v>30.713799999999999</v>
      </c>
      <c r="N1573">
        <v>-0.73860000000000003</v>
      </c>
      <c r="O1573">
        <v>-13.015700000000001</v>
      </c>
      <c r="P1573">
        <v>55.19</v>
      </c>
      <c r="S1573">
        <f t="shared" si="531"/>
        <v>651.64120000000003</v>
      </c>
      <c r="T1573">
        <f t="shared" si="532"/>
        <v>1.0405861406113113E-2</v>
      </c>
      <c r="U1573">
        <f t="shared" si="533"/>
        <v>3.8623557651518946E-2</v>
      </c>
      <c r="V1573">
        <f t="shared" si="534"/>
        <v>1.2749523884967418E-2</v>
      </c>
      <c r="W1573">
        <f t="shared" si="535"/>
        <v>1.4999439864667552E-3</v>
      </c>
      <c r="X1573">
        <f t="shared" si="536"/>
        <v>0.21770749498573408</v>
      </c>
      <c r="Y1573">
        <f t="shared" si="537"/>
        <v>0</v>
      </c>
      <c r="Z1573">
        <f t="shared" si="538"/>
        <v>3.5623669678585433E-3</v>
      </c>
      <c r="AA1573">
        <f t="shared" si="539"/>
        <v>0.19428427594657008</v>
      </c>
      <c r="AB1573">
        <f t="shared" si="540"/>
        <v>3.3747052258517214E-2</v>
      </c>
      <c r="AC1573">
        <f t="shared" si="541"/>
        <v>6.5741607461846333E-2</v>
      </c>
      <c r="AD1573">
        <f t="shared" si="542"/>
        <v>3.7760152394309015E-3</v>
      </c>
      <c r="AE1573">
        <f t="shared" si="543"/>
        <v>2.8793112257214138E-2</v>
      </c>
      <c r="AG1573">
        <f t="shared" si="544"/>
        <v>-1.9160485207800204</v>
      </c>
      <c r="AH1573">
        <f t="shared" si="545"/>
        <v>0.313341861139873</v>
      </c>
      <c r="AI1573">
        <f t="shared" si="546"/>
        <v>0.68801961606678785</v>
      </c>
      <c r="AK1573" s="26" t="e">
        <f t="shared" si="547"/>
        <v>#DIV/0!</v>
      </c>
      <c r="AL1573" s="26" t="e">
        <f t="shared" si="548"/>
        <v>#DIV/0!</v>
      </c>
      <c r="AM1573" s="26" t="e">
        <f t="shared" si="549"/>
        <v>#DIV/0!</v>
      </c>
      <c r="AN1573" s="26" t="e">
        <f t="shared" si="550"/>
        <v>#DIV/0!</v>
      </c>
      <c r="AO1573" s="26" t="e">
        <f t="shared" si="551"/>
        <v>#DIV/0!</v>
      </c>
      <c r="AP1573" s="26" t="e">
        <f t="shared" si="552"/>
        <v>#DIV/0!</v>
      </c>
      <c r="AS1573" s="2">
        <v>43907</v>
      </c>
      <c r="AT1573">
        <v>14</v>
      </c>
      <c r="AU1573">
        <v>3.4</v>
      </c>
      <c r="AV1573">
        <v>67.599999999999994</v>
      </c>
      <c r="AW1573">
        <v>0.6</v>
      </c>
      <c r="AX1573">
        <v>121.07</v>
      </c>
      <c r="AY1573">
        <v>0.6</v>
      </c>
      <c r="AZ1573">
        <v>3.7</v>
      </c>
      <c r="BA1573">
        <v>250.84389999999999</v>
      </c>
      <c r="BB1573">
        <v>130.59729999999999</v>
      </c>
      <c r="BC1573">
        <v>106.36360000000001</v>
      </c>
      <c r="BD1573">
        <v>4.1444000000000001</v>
      </c>
      <c r="BE1573">
        <v>27.1495</v>
      </c>
      <c r="BH1573">
        <v>56.37</v>
      </c>
    </row>
    <row r="1574" spans="1:60" x14ac:dyDescent="0.25">
      <c r="A1574" s="2">
        <v>43927</v>
      </c>
      <c r="B1574">
        <v>11</v>
      </c>
      <c r="C1574">
        <v>16.899999999999999</v>
      </c>
      <c r="D1574">
        <v>59.8</v>
      </c>
      <c r="E1574">
        <v>4</v>
      </c>
      <c r="F1574">
        <v>242.88</v>
      </c>
      <c r="G1574">
        <v>0.9</v>
      </c>
      <c r="H1574">
        <v>3.5</v>
      </c>
      <c r="I1574">
        <v>123.11109999999999</v>
      </c>
      <c r="J1574">
        <v>25.779199999999999</v>
      </c>
      <c r="K1574">
        <v>55.626899999999999</v>
      </c>
      <c r="L1574">
        <v>3.9699</v>
      </c>
      <c r="M1574">
        <v>40.1967</v>
      </c>
      <c r="N1574">
        <v>-2.7679</v>
      </c>
      <c r="O1574">
        <v>-14.64</v>
      </c>
      <c r="P1574">
        <v>54.98</v>
      </c>
      <c r="S1574">
        <f t="shared" si="531"/>
        <v>587.66380000000004</v>
      </c>
      <c r="T1574">
        <f t="shared" si="532"/>
        <v>1.0312114906958941E-2</v>
      </c>
      <c r="U1574">
        <f t="shared" si="533"/>
        <v>1.58431583570551E-2</v>
      </c>
      <c r="V1574">
        <f t="shared" si="534"/>
        <v>5.606040649419497E-2</v>
      </c>
      <c r="W1574">
        <f t="shared" si="535"/>
        <v>3.7498599661668877E-3</v>
      </c>
      <c r="X1574">
        <f t="shared" si="536"/>
        <v>0.22769149714565343</v>
      </c>
      <c r="Y1574">
        <f t="shared" si="537"/>
        <v>8.4371849238754971E-4</v>
      </c>
      <c r="Z1574">
        <f t="shared" si="538"/>
        <v>3.2811274703960268E-3</v>
      </c>
      <c r="AA1574">
        <f t="shared" si="539"/>
        <v>0.11541234632019208</v>
      </c>
      <c r="AB1574">
        <f t="shared" si="540"/>
        <v>2.4167097509952357E-2</v>
      </c>
      <c r="AC1574">
        <f t="shared" si="541"/>
        <v>5.2148271337992207E-2</v>
      </c>
      <c r="AD1574">
        <f t="shared" si="542"/>
        <v>3.7216422699214817E-3</v>
      </c>
      <c r="AE1574">
        <f t="shared" si="543"/>
        <v>3.7682999025505134E-2</v>
      </c>
      <c r="AG1574">
        <f t="shared" si="544"/>
        <v>-1.9470885035872052</v>
      </c>
      <c r="AH1574">
        <f t="shared" si="545"/>
        <v>0.35546488185831809</v>
      </c>
      <c r="AI1574">
        <f t="shared" si="546"/>
        <v>1.009929724630771</v>
      </c>
      <c r="AK1574" s="26" t="e">
        <f t="shared" si="547"/>
        <v>#DIV/0!</v>
      </c>
      <c r="AL1574" s="26" t="e">
        <f t="shared" si="548"/>
        <v>#DIV/0!</v>
      </c>
      <c r="AM1574" s="26" t="e">
        <f t="shared" si="549"/>
        <v>#DIV/0!</v>
      </c>
      <c r="AN1574" s="26" t="e">
        <f t="shared" si="550"/>
        <v>#DIV/0!</v>
      </c>
      <c r="AO1574" s="26" t="e">
        <f t="shared" si="551"/>
        <v>#DIV/0!</v>
      </c>
      <c r="AP1574" s="26" t="e">
        <f t="shared" si="552"/>
        <v>#DIV/0!</v>
      </c>
      <c r="AS1574" s="2">
        <v>43906</v>
      </c>
      <c r="AT1574">
        <v>13.6</v>
      </c>
      <c r="AU1574">
        <v>44.2</v>
      </c>
      <c r="AV1574">
        <v>33.299999999999997</v>
      </c>
      <c r="AW1574">
        <v>0.3</v>
      </c>
      <c r="AX1574">
        <v>182.01</v>
      </c>
      <c r="AY1574">
        <v>0.9</v>
      </c>
      <c r="AZ1574">
        <v>3.7</v>
      </c>
      <c r="BA1574">
        <v>223.3227</v>
      </c>
      <c r="BB1574">
        <v>123.9089</v>
      </c>
      <c r="BC1574">
        <v>95.264700000000005</v>
      </c>
      <c r="BD1574">
        <v>4.1124999999999998</v>
      </c>
      <c r="BE1574">
        <v>26.482099999999999</v>
      </c>
      <c r="BH1574">
        <v>56.54</v>
      </c>
    </row>
    <row r="1575" spans="1:60" x14ac:dyDescent="0.25">
      <c r="A1575" s="2">
        <v>43926</v>
      </c>
      <c r="B1575">
        <v>10.6</v>
      </c>
      <c r="C1575">
        <v>1.3</v>
      </c>
      <c r="D1575">
        <v>56.6</v>
      </c>
      <c r="E1575">
        <v>4.7</v>
      </c>
      <c r="F1575">
        <v>246.09</v>
      </c>
      <c r="G1575">
        <v>0.9</v>
      </c>
      <c r="H1575">
        <v>2.8</v>
      </c>
      <c r="I1575">
        <v>98.014300000000006</v>
      </c>
      <c r="J1575">
        <v>26.451499999999999</v>
      </c>
      <c r="K1575">
        <v>36.427399999999999</v>
      </c>
      <c r="L1575">
        <v>3.9119999999999999</v>
      </c>
      <c r="M1575">
        <v>17.5274</v>
      </c>
      <c r="P1575">
        <v>54.7</v>
      </c>
      <c r="S1575">
        <f t="shared" si="531"/>
        <v>505.32259999999997</v>
      </c>
      <c r="T1575">
        <f t="shared" si="532"/>
        <v>9.9371289103422512E-3</v>
      </c>
      <c r="U1575">
        <f t="shared" si="533"/>
        <v>1.2187044890042385E-3</v>
      </c>
      <c r="V1575">
        <f t="shared" si="534"/>
        <v>5.3060518521261459E-2</v>
      </c>
      <c r="W1575">
        <f t="shared" si="535"/>
        <v>4.4060854602460935E-3</v>
      </c>
      <c r="X1575">
        <f t="shared" si="536"/>
        <v>0.23070075976850235</v>
      </c>
      <c r="Y1575">
        <f t="shared" si="537"/>
        <v>8.4371849238754971E-4</v>
      </c>
      <c r="Z1575">
        <f t="shared" si="538"/>
        <v>2.624901976316821E-3</v>
      </c>
      <c r="AA1575">
        <f t="shared" si="539"/>
        <v>9.1884974920467793E-2</v>
      </c>
      <c r="AB1575">
        <f t="shared" si="540"/>
        <v>2.4797355223765857E-2</v>
      </c>
      <c r="AC1575">
        <f t="shared" si="541"/>
        <v>3.4149412232886922E-2</v>
      </c>
      <c r="AD1575">
        <f t="shared" si="542"/>
        <v>3.6673630469112161E-3</v>
      </c>
      <c r="AE1575">
        <f t="shared" si="543"/>
        <v>1.6431323892748376E-2</v>
      </c>
      <c r="AG1575">
        <f t="shared" si="544"/>
        <v>-1.983923103679851</v>
      </c>
      <c r="AH1575">
        <f t="shared" si="545"/>
        <v>0.31922314151080916</v>
      </c>
      <c r="AI1575">
        <f t="shared" si="546"/>
        <v>0.73861800611080175</v>
      </c>
      <c r="AK1575" s="26" t="e">
        <f t="shared" si="547"/>
        <v>#DIV/0!</v>
      </c>
      <c r="AL1575" s="26" t="e">
        <f t="shared" si="548"/>
        <v>#DIV/0!</v>
      </c>
      <c r="AM1575" s="26" t="e">
        <f t="shared" si="549"/>
        <v>#DIV/0!</v>
      </c>
      <c r="AN1575" s="26" t="e">
        <f t="shared" si="550"/>
        <v>#DIV/0!</v>
      </c>
      <c r="AO1575" s="26" t="e">
        <f t="shared" si="551"/>
        <v>#DIV/0!</v>
      </c>
      <c r="AP1575" s="26" t="e">
        <f t="shared" si="552"/>
        <v>#DIV/0!</v>
      </c>
      <c r="AS1575" s="2">
        <v>43905</v>
      </c>
      <c r="AT1575">
        <v>13.5</v>
      </c>
      <c r="AU1575">
        <v>43</v>
      </c>
      <c r="AV1575">
        <v>61.7</v>
      </c>
      <c r="AW1575">
        <v>3.3</v>
      </c>
      <c r="AX1575">
        <v>180.47</v>
      </c>
      <c r="AY1575">
        <v>1</v>
      </c>
      <c r="AZ1575">
        <v>3.4</v>
      </c>
      <c r="BA1575">
        <v>110.41549999999999</v>
      </c>
      <c r="BB1575">
        <v>51.5732</v>
      </c>
      <c r="BC1575">
        <v>39.726399999999998</v>
      </c>
      <c r="BD1575">
        <v>4.0568</v>
      </c>
      <c r="BE1575">
        <v>16.118400000000001</v>
      </c>
      <c r="BH1575">
        <v>56.71</v>
      </c>
    </row>
    <row r="1576" spans="1:60" x14ac:dyDescent="0.25">
      <c r="A1576" s="2">
        <v>43925</v>
      </c>
      <c r="B1576">
        <v>12</v>
      </c>
      <c r="C1576">
        <v>8.8000000000000007</v>
      </c>
      <c r="D1576">
        <v>33.4</v>
      </c>
      <c r="E1576">
        <v>1</v>
      </c>
      <c r="F1576">
        <v>215.85</v>
      </c>
      <c r="G1576">
        <v>0.9</v>
      </c>
      <c r="H1576">
        <v>3.4</v>
      </c>
      <c r="I1576">
        <v>166.4545</v>
      </c>
      <c r="J1576">
        <v>36.848199999999999</v>
      </c>
      <c r="K1576">
        <v>75.939499999999995</v>
      </c>
      <c r="L1576">
        <v>4.1369999999999996</v>
      </c>
      <c r="M1576">
        <v>32.7453</v>
      </c>
      <c r="P1576">
        <v>54.48</v>
      </c>
      <c r="S1576">
        <f t="shared" si="531"/>
        <v>591.47449999999992</v>
      </c>
      <c r="T1576">
        <f t="shared" si="532"/>
        <v>1.1249579898500664E-2</v>
      </c>
      <c r="U1576">
        <f t="shared" si="533"/>
        <v>8.2496919255671541E-3</v>
      </c>
      <c r="V1576">
        <f t="shared" si="534"/>
        <v>3.1311330717493507E-2</v>
      </c>
      <c r="W1576">
        <f t="shared" si="535"/>
        <v>9.3746499154172193E-4</v>
      </c>
      <c r="X1576">
        <f t="shared" si="536"/>
        <v>0.20235181842428066</v>
      </c>
      <c r="Y1576">
        <f t="shared" si="537"/>
        <v>8.4371849238754971E-4</v>
      </c>
      <c r="Z1576">
        <f t="shared" si="538"/>
        <v>3.1873809712418544E-3</v>
      </c>
      <c r="AA1576">
        <f t="shared" si="539"/>
        <v>0.15604526643458155</v>
      </c>
      <c r="AB1576">
        <f t="shared" si="540"/>
        <v>3.4543897501327678E-2</v>
      </c>
      <c r="AC1576">
        <f t="shared" si="541"/>
        <v>7.119062272518259E-2</v>
      </c>
      <c r="AD1576">
        <f t="shared" si="542"/>
        <v>3.878292670008103E-3</v>
      </c>
      <c r="AE1576">
        <f t="shared" si="543"/>
        <v>3.0697572387531145E-2</v>
      </c>
      <c r="AG1576">
        <f t="shared" si="544"/>
        <v>-2.0175024268855535</v>
      </c>
      <c r="AH1576">
        <f t="shared" si="545"/>
        <v>0.28882855780854422</v>
      </c>
      <c r="AI1576">
        <f t="shared" si="546"/>
        <v>0.5101766169970543</v>
      </c>
      <c r="AK1576" s="26" t="e">
        <f t="shared" si="547"/>
        <v>#DIV/0!</v>
      </c>
      <c r="AL1576" s="26" t="e">
        <f t="shared" si="548"/>
        <v>#DIV/0!</v>
      </c>
      <c r="AM1576" s="26" t="e">
        <f t="shared" si="549"/>
        <v>#DIV/0!</v>
      </c>
      <c r="AN1576" s="26" t="e">
        <f t="shared" si="550"/>
        <v>#DIV/0!</v>
      </c>
      <c r="AO1576" s="26" t="e">
        <f t="shared" si="551"/>
        <v>#DIV/0!</v>
      </c>
      <c r="AP1576" s="26" t="e">
        <f t="shared" si="552"/>
        <v>#DIV/0!</v>
      </c>
      <c r="AS1576" s="2">
        <v>43904</v>
      </c>
      <c r="AT1576">
        <v>16.5</v>
      </c>
      <c r="AU1576">
        <v>63.9</v>
      </c>
      <c r="AV1576">
        <v>36</v>
      </c>
      <c r="AW1576">
        <v>1.4</v>
      </c>
      <c r="AX1576">
        <v>152.11000000000001</v>
      </c>
      <c r="AY1576">
        <v>1</v>
      </c>
      <c r="AZ1576">
        <v>3.7</v>
      </c>
      <c r="BA1576">
        <v>152.74700000000001</v>
      </c>
      <c r="BB1576">
        <v>76.911100000000005</v>
      </c>
      <c r="BC1576">
        <v>83.587599999999995</v>
      </c>
      <c r="BD1576">
        <v>4.0575999999999999</v>
      </c>
      <c r="BE1576">
        <v>22.670200000000001</v>
      </c>
      <c r="BH1576">
        <v>56.76</v>
      </c>
    </row>
    <row r="1577" spans="1:60" x14ac:dyDescent="0.25">
      <c r="A1577" s="2">
        <v>43924</v>
      </c>
      <c r="B1577">
        <v>12.2</v>
      </c>
      <c r="C1577">
        <v>19.8</v>
      </c>
      <c r="D1577">
        <v>65.2</v>
      </c>
      <c r="E1577">
        <v>5.2</v>
      </c>
      <c r="F1577">
        <v>142.97</v>
      </c>
      <c r="G1577">
        <v>0.9</v>
      </c>
      <c r="H1577">
        <v>3.4</v>
      </c>
      <c r="I1577">
        <v>189.6498</v>
      </c>
      <c r="J1577">
        <v>50.219900000000003</v>
      </c>
      <c r="K1577">
        <v>69.876800000000003</v>
      </c>
      <c r="L1577">
        <v>3.9119999999999999</v>
      </c>
      <c r="M1577">
        <v>31.134399999999999</v>
      </c>
      <c r="N1577">
        <v>-3.1227</v>
      </c>
      <c r="O1577">
        <v>-14.4491</v>
      </c>
      <c r="P1577">
        <v>54.33</v>
      </c>
      <c r="S1577">
        <f t="shared" si="531"/>
        <v>594.4629000000001</v>
      </c>
      <c r="T1577">
        <f t="shared" si="532"/>
        <v>1.1437072896809007E-2</v>
      </c>
      <c r="U1577">
        <f t="shared" si="533"/>
        <v>1.8561806832526093E-2</v>
      </c>
      <c r="V1577">
        <f t="shared" si="534"/>
        <v>6.112271744852027E-2</v>
      </c>
      <c r="W1577">
        <f t="shared" si="535"/>
        <v>4.874817956016954E-3</v>
      </c>
      <c r="X1577">
        <f t="shared" si="536"/>
        <v>0.13402936984071998</v>
      </c>
      <c r="Y1577">
        <f t="shared" si="537"/>
        <v>8.4371849238754971E-4</v>
      </c>
      <c r="Z1577">
        <f t="shared" si="538"/>
        <v>3.1873809712418544E-3</v>
      </c>
      <c r="AA1577">
        <f t="shared" si="539"/>
        <v>0.17779004815288926</v>
      </c>
      <c r="AB1577">
        <f t="shared" si="540"/>
        <v>4.7079398128726122E-2</v>
      </c>
      <c r="AC1577">
        <f t="shared" si="541"/>
        <v>6.5507053720962591E-2</v>
      </c>
      <c r="AD1577">
        <f t="shared" si="542"/>
        <v>3.6673630469112161E-3</v>
      </c>
      <c r="AE1577">
        <f t="shared" si="543"/>
        <v>2.9187410032656586E-2</v>
      </c>
      <c r="AG1577">
        <f t="shared" si="544"/>
        <v>-2.0470243276724531</v>
      </c>
      <c r="AH1577">
        <f t="shared" si="545"/>
        <v>0.26324429447087827</v>
      </c>
      <c r="AI1577">
        <f t="shared" si="546"/>
        <v>0.31755239218294778</v>
      </c>
      <c r="AK1577" s="26" t="e">
        <f t="shared" si="547"/>
        <v>#DIV/0!</v>
      </c>
      <c r="AL1577" s="26" t="e">
        <f t="shared" si="548"/>
        <v>#DIV/0!</v>
      </c>
      <c r="AM1577" s="26" t="e">
        <f t="shared" si="549"/>
        <v>#DIV/0!</v>
      </c>
      <c r="AN1577" s="26" t="e">
        <f t="shared" si="550"/>
        <v>#DIV/0!</v>
      </c>
      <c r="AO1577" s="26" t="e">
        <f t="shared" si="551"/>
        <v>#DIV/0!</v>
      </c>
      <c r="AP1577" s="26" t="e">
        <f t="shared" si="552"/>
        <v>#DIV/0!</v>
      </c>
      <c r="AS1577" s="2">
        <v>43903</v>
      </c>
      <c r="AT1577">
        <v>17.100000000000001</v>
      </c>
      <c r="AU1577">
        <v>0</v>
      </c>
      <c r="AV1577">
        <v>58.5</v>
      </c>
      <c r="AW1577">
        <v>7.6</v>
      </c>
      <c r="AX1577">
        <v>121</v>
      </c>
      <c r="AY1577">
        <v>0.9</v>
      </c>
      <c r="AZ1577">
        <v>3.5</v>
      </c>
      <c r="BA1577">
        <v>112.27290000000001</v>
      </c>
      <c r="BB1577">
        <v>80.481200000000001</v>
      </c>
      <c r="BC1577">
        <v>66.324799999999996</v>
      </c>
      <c r="BD1577">
        <v>4.1193</v>
      </c>
      <c r="BE1577">
        <v>28.937200000000001</v>
      </c>
      <c r="BH1577">
        <v>56.91</v>
      </c>
    </row>
    <row r="1578" spans="1:60" x14ac:dyDescent="0.25">
      <c r="A1578" s="2">
        <v>43923</v>
      </c>
      <c r="B1578">
        <v>13</v>
      </c>
      <c r="C1578">
        <v>5.7</v>
      </c>
      <c r="D1578">
        <v>76.3</v>
      </c>
      <c r="E1578">
        <v>3.6</v>
      </c>
      <c r="F1578">
        <v>199.15</v>
      </c>
      <c r="G1578">
        <v>0.9</v>
      </c>
      <c r="H1578">
        <v>3.3</v>
      </c>
      <c r="I1578">
        <v>205.6755</v>
      </c>
      <c r="J1578">
        <v>53.384700000000002</v>
      </c>
      <c r="K1578">
        <v>78.857200000000006</v>
      </c>
      <c r="L1578">
        <v>3.9174000000000002</v>
      </c>
      <c r="M1578">
        <v>27.209900000000001</v>
      </c>
      <c r="N1578">
        <v>-3.2964000000000002</v>
      </c>
      <c r="O1578">
        <v>-15.055400000000001</v>
      </c>
      <c r="P1578">
        <v>54.32</v>
      </c>
      <c r="S1578">
        <f t="shared" si="531"/>
        <v>670.99469999999997</v>
      </c>
      <c r="T1578">
        <f t="shared" si="532"/>
        <v>1.2187044890042385E-2</v>
      </c>
      <c r="U1578">
        <f t="shared" si="533"/>
        <v>5.3435504517878154E-3</v>
      </c>
      <c r="V1578">
        <f t="shared" si="534"/>
        <v>7.1528578854633373E-2</v>
      </c>
      <c r="W1578">
        <f t="shared" si="535"/>
        <v>3.3748739695501988E-3</v>
      </c>
      <c r="X1578">
        <f t="shared" si="536"/>
        <v>0.18669615306553392</v>
      </c>
      <c r="Y1578">
        <f t="shared" si="537"/>
        <v>8.4371849238754971E-4</v>
      </c>
      <c r="Z1578">
        <f t="shared" si="538"/>
        <v>3.0936344720876819E-3</v>
      </c>
      <c r="AA1578">
        <f t="shared" si="539"/>
        <v>0.19281358086783942</v>
      </c>
      <c r="AB1578">
        <f t="shared" si="540"/>
        <v>5.0046287333957364E-2</v>
      </c>
      <c r="AC1578">
        <f t="shared" si="541"/>
        <v>7.3925864331003885E-2</v>
      </c>
      <c r="AD1578">
        <f t="shared" si="542"/>
        <v>3.6724253578655414E-3</v>
      </c>
      <c r="AE1578">
        <f t="shared" si="543"/>
        <v>2.5508328673351101E-2</v>
      </c>
      <c r="AG1578">
        <f t="shared" si="544"/>
        <v>-2.0673136604392637</v>
      </c>
      <c r="AH1578">
        <f t="shared" si="545"/>
        <v>0.30857588286937404</v>
      </c>
      <c r="AI1578">
        <f t="shared" si="546"/>
        <v>0.6611595285237899</v>
      </c>
      <c r="AK1578" s="26" t="e">
        <f t="shared" si="547"/>
        <v>#DIV/0!</v>
      </c>
      <c r="AL1578" s="26" t="e">
        <f t="shared" si="548"/>
        <v>#DIV/0!</v>
      </c>
      <c r="AM1578" s="26" t="e">
        <f t="shared" si="549"/>
        <v>#DIV/0!</v>
      </c>
      <c r="AN1578" s="26" t="e">
        <f t="shared" si="550"/>
        <v>#DIV/0!</v>
      </c>
      <c r="AO1578" s="26" t="e">
        <f t="shared" si="551"/>
        <v>#DIV/0!</v>
      </c>
      <c r="AP1578" s="26" t="e">
        <f t="shared" si="552"/>
        <v>#DIV/0!</v>
      </c>
      <c r="AS1578" s="2">
        <v>43902</v>
      </c>
      <c r="AT1578">
        <v>17.100000000000001</v>
      </c>
      <c r="AU1578">
        <v>0</v>
      </c>
      <c r="AV1578">
        <v>61.1</v>
      </c>
      <c r="AW1578">
        <v>8.6</v>
      </c>
      <c r="AX1578">
        <v>116.17</v>
      </c>
      <c r="AY1578">
        <v>0.9</v>
      </c>
      <c r="AZ1578">
        <v>3.3</v>
      </c>
      <c r="BA1578">
        <v>109.0866</v>
      </c>
      <c r="BB1578">
        <v>81.703900000000004</v>
      </c>
      <c r="BC1578">
        <v>55.665799999999997</v>
      </c>
      <c r="BD1578">
        <v>4.1321000000000003</v>
      </c>
      <c r="BE1578">
        <v>21.889500000000002</v>
      </c>
      <c r="BH1578">
        <v>57.14</v>
      </c>
    </row>
    <row r="1579" spans="1:60" x14ac:dyDescent="0.25">
      <c r="A1579" s="2">
        <v>43922</v>
      </c>
      <c r="B1579">
        <v>13.3</v>
      </c>
      <c r="C1579">
        <v>90.2</v>
      </c>
      <c r="D1579">
        <v>55.9</v>
      </c>
      <c r="E1579">
        <v>2.2999999999999998</v>
      </c>
      <c r="F1579">
        <v>218.27</v>
      </c>
      <c r="G1579">
        <v>0.9</v>
      </c>
      <c r="H1579">
        <v>3.2</v>
      </c>
      <c r="I1579">
        <v>226.21119999999999</v>
      </c>
      <c r="J1579">
        <v>54.124499999999998</v>
      </c>
      <c r="K1579">
        <v>92.407600000000002</v>
      </c>
      <c r="L1579">
        <v>3.9567000000000001</v>
      </c>
      <c r="M1579">
        <v>31.871099999999998</v>
      </c>
      <c r="N1579">
        <v>-2.7694999999999999</v>
      </c>
      <c r="O1579">
        <v>-14.2765</v>
      </c>
      <c r="P1579">
        <v>54.39</v>
      </c>
      <c r="S1579">
        <f t="shared" si="531"/>
        <v>792.64109999999994</v>
      </c>
      <c r="T1579">
        <f t="shared" si="532"/>
        <v>1.2468284387504903E-2</v>
      </c>
      <c r="U1579">
        <f t="shared" si="533"/>
        <v>8.4559342237063323E-2</v>
      </c>
      <c r="V1579">
        <f t="shared" si="534"/>
        <v>5.2404293027182254E-2</v>
      </c>
      <c r="W1579">
        <f t="shared" si="535"/>
        <v>2.1561694805459601E-3</v>
      </c>
      <c r="X1579">
        <f t="shared" si="536"/>
        <v>0.20462048370381164</v>
      </c>
      <c r="Y1579">
        <f t="shared" si="537"/>
        <v>8.4371849238754971E-4</v>
      </c>
      <c r="Z1579">
        <f t="shared" si="538"/>
        <v>2.9998879729335104E-3</v>
      </c>
      <c r="AA1579">
        <f t="shared" si="539"/>
        <v>0.21206508069464275</v>
      </c>
      <c r="AB1579">
        <f t="shared" si="540"/>
        <v>5.0739823934699925E-2</v>
      </c>
      <c r="AC1579">
        <f t="shared" si="541"/>
        <v>8.662888995239082E-2</v>
      </c>
      <c r="AD1579">
        <f t="shared" si="542"/>
        <v>3.7092677320331312E-3</v>
      </c>
      <c r="AE1579">
        <f t="shared" si="543"/>
        <v>2.987804049192537E-2</v>
      </c>
      <c r="AG1579">
        <f t="shared" si="544"/>
        <v>-2.0823919615517466</v>
      </c>
      <c r="AH1579">
        <f t="shared" si="545"/>
        <v>0.38993021979335452</v>
      </c>
      <c r="AI1579">
        <f t="shared" si="546"/>
        <v>1.2777753761741881</v>
      </c>
      <c r="AK1579" s="26" t="e">
        <f t="shared" si="547"/>
        <v>#DIV/0!</v>
      </c>
      <c r="AL1579" s="26" t="e">
        <f t="shared" si="548"/>
        <v>#DIV/0!</v>
      </c>
      <c r="AM1579" s="26" t="e">
        <f t="shared" si="549"/>
        <v>#DIV/0!</v>
      </c>
      <c r="AN1579" s="26" t="e">
        <f t="shared" si="550"/>
        <v>#DIV/0!</v>
      </c>
      <c r="AO1579" s="26" t="e">
        <f t="shared" si="551"/>
        <v>#DIV/0!</v>
      </c>
      <c r="AP1579" s="26" t="e">
        <f t="shared" si="552"/>
        <v>#DIV/0!</v>
      </c>
      <c r="AS1579" s="2">
        <v>43901</v>
      </c>
      <c r="AT1579">
        <v>16.2</v>
      </c>
      <c r="AU1579">
        <v>1.1000000000000001</v>
      </c>
      <c r="AV1579">
        <v>73.3</v>
      </c>
      <c r="AW1579">
        <v>6.3</v>
      </c>
      <c r="AX1579">
        <v>82.22</v>
      </c>
      <c r="AY1579">
        <v>0.9</v>
      </c>
      <c r="AZ1579">
        <v>3.2</v>
      </c>
      <c r="BA1579">
        <v>135.86449999999999</v>
      </c>
      <c r="BB1579">
        <v>71.8108</v>
      </c>
      <c r="BC1579">
        <v>74.287400000000005</v>
      </c>
      <c r="BD1579">
        <v>4.0881999999999996</v>
      </c>
      <c r="BE1579">
        <v>30.1768</v>
      </c>
      <c r="BH1579">
        <v>57.27</v>
      </c>
    </row>
    <row r="1580" spans="1:60" x14ac:dyDescent="0.25">
      <c r="A1580" s="2">
        <v>43921</v>
      </c>
      <c r="B1580">
        <v>13</v>
      </c>
      <c r="C1580">
        <v>17.3</v>
      </c>
      <c r="D1580">
        <v>20.6</v>
      </c>
      <c r="E1580">
        <v>0.9</v>
      </c>
      <c r="F1580">
        <v>184.56</v>
      </c>
      <c r="G1580">
        <v>0.6</v>
      </c>
      <c r="H1580">
        <v>3.2</v>
      </c>
      <c r="I1580">
        <v>245.3364</v>
      </c>
      <c r="J1580">
        <v>66.148700000000005</v>
      </c>
      <c r="K1580">
        <v>106.75360000000001</v>
      </c>
      <c r="L1580">
        <v>4.08</v>
      </c>
      <c r="M1580">
        <v>33.352899999999998</v>
      </c>
      <c r="N1580">
        <v>-5.2816000000000001</v>
      </c>
      <c r="O1580">
        <v>-17.008199999999999</v>
      </c>
      <c r="P1580">
        <v>54.16</v>
      </c>
      <c r="S1580">
        <f t="shared" si="531"/>
        <v>695.83159999999998</v>
      </c>
      <c r="T1580">
        <f t="shared" si="532"/>
        <v>1.2187044890042385E-2</v>
      </c>
      <c r="U1580">
        <f t="shared" si="533"/>
        <v>1.621814435367179E-2</v>
      </c>
      <c r="V1580">
        <f t="shared" si="534"/>
        <v>1.9311778825759473E-2</v>
      </c>
      <c r="W1580">
        <f t="shared" si="535"/>
        <v>8.4371849238754971E-4</v>
      </c>
      <c r="X1580">
        <f t="shared" si="536"/>
        <v>0.17301853883894019</v>
      </c>
      <c r="Y1580">
        <f t="shared" si="537"/>
        <v>5.6247899492503314E-4</v>
      </c>
      <c r="Z1580">
        <f t="shared" si="538"/>
        <v>2.9998879729335104E-3</v>
      </c>
      <c r="AA1580">
        <f t="shared" si="539"/>
        <v>0.2299942861508765</v>
      </c>
      <c r="AB1580">
        <f t="shared" si="540"/>
        <v>6.2012090485995902E-2</v>
      </c>
      <c r="AC1580">
        <f t="shared" si="541"/>
        <v>0.10007776272104837</v>
      </c>
      <c r="AD1580">
        <f t="shared" si="542"/>
        <v>3.8248571654902253E-3</v>
      </c>
      <c r="AE1580">
        <f t="shared" si="543"/>
        <v>3.1267176116391897E-2</v>
      </c>
      <c r="AG1580">
        <f t="shared" si="544"/>
        <v>-2.1198169299407916</v>
      </c>
      <c r="AH1580">
        <f t="shared" si="545"/>
        <v>0.25640876848505184</v>
      </c>
      <c r="AI1580">
        <f t="shared" si="546"/>
        <v>0.27426296086314805</v>
      </c>
      <c r="AK1580" s="26" t="e">
        <f t="shared" si="547"/>
        <v>#DIV/0!</v>
      </c>
      <c r="AL1580" s="26" t="e">
        <f t="shared" si="548"/>
        <v>#DIV/0!</v>
      </c>
      <c r="AM1580" s="26" t="e">
        <f t="shared" si="549"/>
        <v>#DIV/0!</v>
      </c>
      <c r="AN1580" s="26" t="e">
        <f t="shared" si="550"/>
        <v>#DIV/0!</v>
      </c>
      <c r="AO1580" s="26" t="e">
        <f t="shared" si="551"/>
        <v>#DIV/0!</v>
      </c>
      <c r="AP1580" s="26" t="e">
        <f t="shared" si="552"/>
        <v>#DIV/0!</v>
      </c>
      <c r="AS1580" s="2">
        <v>43900</v>
      </c>
      <c r="AT1580">
        <v>14.8</v>
      </c>
      <c r="AU1580">
        <v>0.1</v>
      </c>
      <c r="AV1580">
        <v>76.5</v>
      </c>
      <c r="AW1580">
        <v>6.9</v>
      </c>
      <c r="AX1580">
        <v>33.909999999999997</v>
      </c>
      <c r="AY1580">
        <v>0.5</v>
      </c>
      <c r="AZ1580">
        <v>3.5</v>
      </c>
      <c r="BA1580">
        <v>134.44759999999999</v>
      </c>
      <c r="BB1580">
        <v>102.1103</v>
      </c>
      <c r="BC1580">
        <v>84.574399999999997</v>
      </c>
      <c r="BD1580">
        <v>4.6031000000000004</v>
      </c>
      <c r="BE1580">
        <v>22.113</v>
      </c>
      <c r="BH1580">
        <v>57.42</v>
      </c>
    </row>
    <row r="1581" spans="1:60" x14ac:dyDescent="0.25">
      <c r="A1581" s="2">
        <v>43920</v>
      </c>
      <c r="B1581">
        <v>11.7</v>
      </c>
      <c r="C1581">
        <v>37.299999999999997</v>
      </c>
      <c r="D1581">
        <v>53.6</v>
      </c>
      <c r="E1581">
        <v>2.4</v>
      </c>
      <c r="F1581">
        <v>168.06</v>
      </c>
      <c r="G1581">
        <v>0.9</v>
      </c>
      <c r="H1581">
        <v>3.3</v>
      </c>
      <c r="I1581">
        <v>194.85900000000001</v>
      </c>
      <c r="J1581">
        <v>56.823500000000003</v>
      </c>
      <c r="K1581">
        <v>100.98950000000001</v>
      </c>
      <c r="L1581">
        <v>4.0766999999999998</v>
      </c>
      <c r="M1581">
        <v>32.415300000000002</v>
      </c>
      <c r="N1581">
        <v>-4.3906999999999998</v>
      </c>
      <c r="O1581">
        <v>-16.342199999999998</v>
      </c>
      <c r="P1581">
        <v>54.48</v>
      </c>
      <c r="S1581">
        <f t="shared" si="531"/>
        <v>666.42399999999998</v>
      </c>
      <c r="T1581">
        <f t="shared" si="532"/>
        <v>1.0968340401038145E-2</v>
      </c>
      <c r="U1581">
        <f t="shared" si="533"/>
        <v>3.4967444184506223E-2</v>
      </c>
      <c r="V1581">
        <f t="shared" si="534"/>
        <v>5.0248123546636297E-2</v>
      </c>
      <c r="W1581">
        <f t="shared" si="535"/>
        <v>2.2499159797001326E-3</v>
      </c>
      <c r="X1581">
        <f t="shared" si="536"/>
        <v>0.15755036647850179</v>
      </c>
      <c r="Y1581">
        <f t="shared" si="537"/>
        <v>8.4371849238754971E-4</v>
      </c>
      <c r="Z1581">
        <f t="shared" si="538"/>
        <v>3.0936344720876819E-3</v>
      </c>
      <c r="AA1581">
        <f t="shared" si="539"/>
        <v>0.1826734907868284</v>
      </c>
      <c r="AB1581">
        <f t="shared" si="540"/>
        <v>5.3270041946871037E-2</v>
      </c>
      <c r="AC1581">
        <f t="shared" si="541"/>
        <v>9.4674120763302727E-2</v>
      </c>
      <c r="AD1581">
        <f t="shared" si="542"/>
        <v>3.8217635310181376E-3</v>
      </c>
      <c r="AE1581">
        <f t="shared" si="543"/>
        <v>3.0388208940322379E-2</v>
      </c>
      <c r="AG1581">
        <f t="shared" si="544"/>
        <v>-2.1180010784742667</v>
      </c>
      <c r="AH1581">
        <f t="shared" si="545"/>
        <v>0.29030975249518021</v>
      </c>
      <c r="AI1581">
        <f t="shared" si="546"/>
        <v>0.53086887408594163</v>
      </c>
      <c r="AK1581" s="26" t="e">
        <f t="shared" si="547"/>
        <v>#DIV/0!</v>
      </c>
      <c r="AL1581" s="26" t="e">
        <f t="shared" si="548"/>
        <v>#DIV/0!</v>
      </c>
      <c r="AM1581" s="26" t="e">
        <f t="shared" si="549"/>
        <v>#DIV/0!</v>
      </c>
      <c r="AN1581" s="26" t="e">
        <f t="shared" si="550"/>
        <v>#DIV/0!</v>
      </c>
      <c r="AO1581" s="26" t="e">
        <f t="shared" si="551"/>
        <v>#DIV/0!</v>
      </c>
      <c r="AP1581" s="26" t="e">
        <f t="shared" si="552"/>
        <v>#DIV/0!</v>
      </c>
      <c r="AS1581" s="2">
        <v>43899</v>
      </c>
      <c r="AT1581">
        <v>13.2</v>
      </c>
      <c r="AU1581">
        <v>5.7</v>
      </c>
      <c r="AV1581">
        <v>36.700000000000003</v>
      </c>
      <c r="AW1581">
        <v>2</v>
      </c>
      <c r="AX1581">
        <v>80.959999999999994</v>
      </c>
      <c r="AY1581">
        <v>0.9</v>
      </c>
      <c r="AZ1581">
        <v>3.2</v>
      </c>
      <c r="BA1581">
        <v>225.26609999999999</v>
      </c>
      <c r="BB1581">
        <v>113.9299</v>
      </c>
      <c r="BC1581">
        <v>150.0284</v>
      </c>
      <c r="BD1581">
        <v>4.0987999999999998</v>
      </c>
      <c r="BE1581">
        <v>34.216000000000001</v>
      </c>
      <c r="BH1581">
        <v>57.66</v>
      </c>
    </row>
    <row r="1582" spans="1:60" x14ac:dyDescent="0.25">
      <c r="A1582" s="2">
        <v>43919</v>
      </c>
      <c r="C1582">
        <v>9.1</v>
      </c>
      <c r="F1582">
        <v>84.09</v>
      </c>
      <c r="K1582">
        <v>45.950299999999999</v>
      </c>
      <c r="P1582">
        <v>54.72</v>
      </c>
      <c r="S1582">
        <f t="shared" si="531"/>
        <v>139.1403</v>
      </c>
      <c r="T1582">
        <f t="shared" si="532"/>
        <v>0</v>
      </c>
      <c r="U1582">
        <f t="shared" si="533"/>
        <v>8.5309314230296689E-3</v>
      </c>
      <c r="V1582">
        <f t="shared" si="534"/>
        <v>0</v>
      </c>
      <c r="W1582">
        <f t="shared" si="535"/>
        <v>0</v>
      </c>
      <c r="X1582">
        <f t="shared" si="536"/>
        <v>7.8831431138743399E-2</v>
      </c>
      <c r="Y1582">
        <f t="shared" si="537"/>
        <v>0</v>
      </c>
      <c r="Z1582">
        <f t="shared" si="538"/>
        <v>0</v>
      </c>
      <c r="AA1582">
        <f t="shared" si="539"/>
        <v>0</v>
      </c>
      <c r="AB1582">
        <f t="shared" si="540"/>
        <v>0</v>
      </c>
      <c r="AC1582">
        <f t="shared" si="541"/>
        <v>4.3076797600839579E-2</v>
      </c>
      <c r="AD1582">
        <f t="shared" si="542"/>
        <v>0</v>
      </c>
      <c r="AE1582">
        <f t="shared" si="543"/>
        <v>0</v>
      </c>
      <c r="AG1582">
        <f t="shared" si="544"/>
        <v>-2.1219821360523552</v>
      </c>
      <c r="AH1582">
        <f t="shared" si="545"/>
        <v>8.7362362561773071E-2</v>
      </c>
      <c r="AI1582">
        <f t="shared" si="546"/>
        <v>-0.99823433273557571</v>
      </c>
      <c r="AK1582" s="26" t="e">
        <f t="shared" si="547"/>
        <v>#DIV/0!</v>
      </c>
      <c r="AL1582" s="26" t="e">
        <f t="shared" si="548"/>
        <v>#DIV/0!</v>
      </c>
      <c r="AM1582" s="26" t="e">
        <f t="shared" si="549"/>
        <v>#DIV/0!</v>
      </c>
      <c r="AN1582" s="26" t="e">
        <f t="shared" si="550"/>
        <v>#DIV/0!</v>
      </c>
      <c r="AO1582" s="26" t="e">
        <f t="shared" si="551"/>
        <v>#DIV/0!</v>
      </c>
      <c r="AP1582" s="26" t="e">
        <f t="shared" si="552"/>
        <v>#DIV/0!</v>
      </c>
      <c r="AS1582" s="2">
        <v>43898</v>
      </c>
      <c r="AT1582">
        <v>12.9</v>
      </c>
      <c r="AU1582">
        <v>0</v>
      </c>
      <c r="AV1582">
        <v>73.400000000000006</v>
      </c>
      <c r="AW1582">
        <v>3.1</v>
      </c>
      <c r="AX1582">
        <v>107.51</v>
      </c>
      <c r="AY1582">
        <v>1</v>
      </c>
      <c r="AZ1582">
        <v>3.4</v>
      </c>
      <c r="BA1582">
        <v>129.66659999999999</v>
      </c>
      <c r="BB1582">
        <v>50.143000000000001</v>
      </c>
      <c r="BC1582">
        <v>48.2804</v>
      </c>
      <c r="BD1582">
        <v>4.0769000000000002</v>
      </c>
      <c r="BE1582">
        <v>14.864800000000001</v>
      </c>
      <c r="BH1582">
        <v>57.98</v>
      </c>
    </row>
    <row r="1583" spans="1:60" x14ac:dyDescent="0.25">
      <c r="A1583" s="2">
        <v>43918</v>
      </c>
      <c r="B1583">
        <v>13</v>
      </c>
      <c r="C1583">
        <v>52.2</v>
      </c>
      <c r="D1583">
        <v>53.2</v>
      </c>
      <c r="E1583">
        <v>2.2999999999999998</v>
      </c>
      <c r="F1583">
        <v>217.11</v>
      </c>
      <c r="G1583">
        <v>0.9</v>
      </c>
      <c r="H1583">
        <v>3.8</v>
      </c>
      <c r="I1583">
        <v>148.76650000000001</v>
      </c>
      <c r="J1583">
        <v>34.495699999999999</v>
      </c>
      <c r="K1583">
        <v>52.970500000000001</v>
      </c>
      <c r="L1583">
        <v>4.0704000000000002</v>
      </c>
      <c r="M1583">
        <v>23.694299999999998</v>
      </c>
      <c r="P1583">
        <v>54.83</v>
      </c>
      <c r="S1583">
        <f t="shared" si="531"/>
        <v>606.50739999999996</v>
      </c>
      <c r="T1583">
        <f t="shared" si="532"/>
        <v>1.2187044890042385E-2</v>
      </c>
      <c r="U1583">
        <f t="shared" si="533"/>
        <v>4.8935672558477888E-2</v>
      </c>
      <c r="V1583">
        <f t="shared" si="534"/>
        <v>4.9873137550019611E-2</v>
      </c>
      <c r="W1583">
        <f t="shared" si="535"/>
        <v>2.1561694805459601E-3</v>
      </c>
      <c r="X1583">
        <f t="shared" si="536"/>
        <v>0.20353302431362325</v>
      </c>
      <c r="Y1583">
        <f t="shared" si="537"/>
        <v>8.4371849238754971E-4</v>
      </c>
      <c r="Z1583">
        <f t="shared" si="538"/>
        <v>3.5623669678585433E-3</v>
      </c>
      <c r="AA1583">
        <f t="shared" si="539"/>
        <v>0.13946338566419159</v>
      </c>
      <c r="AB1583">
        <f t="shared" si="540"/>
        <v>3.2338511108725779E-2</v>
      </c>
      <c r="AC1583">
        <f t="shared" si="541"/>
        <v>4.9657989334460778E-2</v>
      </c>
      <c r="AD1583">
        <f t="shared" si="542"/>
        <v>3.8158575015714252E-3</v>
      </c>
      <c r="AE1583">
        <f t="shared" si="543"/>
        <v>2.2212576749087019E-2</v>
      </c>
      <c r="AG1583">
        <f t="shared" si="544"/>
        <v>-2.1357195606257844</v>
      </c>
      <c r="AH1583">
        <f t="shared" si="545"/>
        <v>0.34330371100204221</v>
      </c>
      <c r="AI1583">
        <f t="shared" si="546"/>
        <v>0.92785496550512037</v>
      </c>
      <c r="AK1583" s="26" t="e">
        <f t="shared" si="547"/>
        <v>#DIV/0!</v>
      </c>
      <c r="AL1583" s="26" t="e">
        <f t="shared" si="548"/>
        <v>#DIV/0!</v>
      </c>
      <c r="AM1583" s="26" t="e">
        <f t="shared" si="549"/>
        <v>#DIV/0!</v>
      </c>
      <c r="AN1583" s="26" t="e">
        <f t="shared" si="550"/>
        <v>#DIV/0!</v>
      </c>
      <c r="AO1583" s="26" t="e">
        <f t="shared" si="551"/>
        <v>#DIV/0!</v>
      </c>
      <c r="AP1583" s="26" t="e">
        <f t="shared" si="552"/>
        <v>#DIV/0!</v>
      </c>
      <c r="AS1583" s="2">
        <v>43897</v>
      </c>
      <c r="AT1583">
        <v>13.9</v>
      </c>
      <c r="AU1583">
        <v>0.2</v>
      </c>
      <c r="AV1583">
        <v>36.1</v>
      </c>
      <c r="AW1583">
        <v>3.5</v>
      </c>
      <c r="AX1583">
        <v>74.53</v>
      </c>
      <c r="AY1583">
        <v>1</v>
      </c>
      <c r="AZ1583">
        <v>3.4</v>
      </c>
      <c r="BA1583">
        <v>222.99359999999999</v>
      </c>
      <c r="BB1583">
        <v>67.868899999999996</v>
      </c>
      <c r="BC1583">
        <v>112.017</v>
      </c>
      <c r="BD1583">
        <v>4.0540000000000003</v>
      </c>
      <c r="BE1583">
        <v>22.984300000000001</v>
      </c>
      <c r="BH1583">
        <v>58.13</v>
      </c>
    </row>
    <row r="1584" spans="1:60" x14ac:dyDescent="0.25">
      <c r="A1584" s="2">
        <v>43917</v>
      </c>
      <c r="B1584">
        <v>13.1</v>
      </c>
      <c r="C1584">
        <v>0.2</v>
      </c>
      <c r="D1584">
        <v>33.700000000000003</v>
      </c>
      <c r="E1584">
        <v>2.9</v>
      </c>
      <c r="F1584">
        <v>213.54</v>
      </c>
      <c r="G1584">
        <v>0.9</v>
      </c>
      <c r="H1584">
        <v>4</v>
      </c>
      <c r="I1584">
        <v>225.083</v>
      </c>
      <c r="J1584">
        <v>55.2622</v>
      </c>
      <c r="K1584">
        <v>63.125900000000001</v>
      </c>
      <c r="L1584">
        <v>4.08</v>
      </c>
      <c r="M1584">
        <v>29.379799999999999</v>
      </c>
      <c r="N1584">
        <v>-5.2698</v>
      </c>
      <c r="O1584">
        <v>-16.697600000000001</v>
      </c>
      <c r="P1584">
        <v>54.81</v>
      </c>
      <c r="S1584">
        <f t="shared" si="531"/>
        <v>645.2709000000001</v>
      </c>
      <c r="T1584">
        <f t="shared" si="532"/>
        <v>1.2280791389196556E-2</v>
      </c>
      <c r="U1584">
        <f t="shared" si="533"/>
        <v>1.874929983083444E-4</v>
      </c>
      <c r="V1584">
        <f t="shared" si="534"/>
        <v>3.1592570214956033E-2</v>
      </c>
      <c r="W1584">
        <f t="shared" si="535"/>
        <v>2.7186484754709935E-3</v>
      </c>
      <c r="X1584">
        <f t="shared" si="536"/>
        <v>0.2001862742938193</v>
      </c>
      <c r="Y1584">
        <f t="shared" si="537"/>
        <v>8.4371849238754971E-4</v>
      </c>
      <c r="Z1584">
        <f t="shared" si="538"/>
        <v>3.7498599661668877E-3</v>
      </c>
      <c r="AA1584">
        <f t="shared" si="539"/>
        <v>0.21100743269118538</v>
      </c>
      <c r="AB1584">
        <f t="shared" si="540"/>
        <v>5.1806377855576943E-2</v>
      </c>
      <c r="AC1584">
        <f t="shared" si="541"/>
        <v>5.9178321309563582E-2</v>
      </c>
      <c r="AD1584">
        <f t="shared" si="542"/>
        <v>3.8248571654902253E-3</v>
      </c>
      <c r="AE1584">
        <f t="shared" si="543"/>
        <v>2.754253395849748E-2</v>
      </c>
      <c r="AG1584">
        <f t="shared" si="544"/>
        <v>-2.1596143763305626</v>
      </c>
      <c r="AH1584">
        <f t="shared" si="545"/>
        <v>0.27910188978880313</v>
      </c>
      <c r="AI1584">
        <f t="shared" si="546"/>
        <v>0.44731618273770241</v>
      </c>
      <c r="AK1584" s="26" t="e">
        <f t="shared" si="547"/>
        <v>#DIV/0!</v>
      </c>
      <c r="AL1584" s="26" t="e">
        <f t="shared" si="548"/>
        <v>#DIV/0!</v>
      </c>
      <c r="AM1584" s="26" t="e">
        <f t="shared" si="549"/>
        <v>#DIV/0!</v>
      </c>
      <c r="AN1584" s="26" t="e">
        <f t="shared" si="550"/>
        <v>#DIV/0!</v>
      </c>
      <c r="AO1584" s="26" t="e">
        <f t="shared" si="551"/>
        <v>#DIV/0!</v>
      </c>
      <c r="AP1584" s="26" t="e">
        <f t="shared" si="552"/>
        <v>#DIV/0!</v>
      </c>
      <c r="AS1584" s="2">
        <v>43896</v>
      </c>
      <c r="AT1584">
        <v>14.3</v>
      </c>
      <c r="AU1584">
        <v>1.8</v>
      </c>
      <c r="AV1584">
        <v>63</v>
      </c>
      <c r="AW1584">
        <v>3.5</v>
      </c>
      <c r="AX1584">
        <v>38.549999999999997</v>
      </c>
      <c r="AY1584">
        <v>0.9</v>
      </c>
      <c r="AZ1584">
        <v>3.4</v>
      </c>
      <c r="BA1584">
        <v>222.58019999999999</v>
      </c>
      <c r="BB1584">
        <v>98.969300000000004</v>
      </c>
      <c r="BC1584">
        <v>132.14330000000001</v>
      </c>
      <c r="BD1584">
        <v>4.032</v>
      </c>
      <c r="BE1584">
        <v>34.0017</v>
      </c>
      <c r="BH1584">
        <v>58.31</v>
      </c>
    </row>
    <row r="1585" spans="1:60" x14ac:dyDescent="0.25">
      <c r="A1585" s="2">
        <v>43916</v>
      </c>
      <c r="B1585">
        <v>13.4</v>
      </c>
      <c r="C1585">
        <v>5.8</v>
      </c>
      <c r="D1585">
        <v>22.9</v>
      </c>
      <c r="E1585">
        <v>3.5</v>
      </c>
      <c r="F1585">
        <v>193.12</v>
      </c>
      <c r="G1585">
        <v>0.9</v>
      </c>
      <c r="H1585">
        <v>3.6</v>
      </c>
      <c r="I1585">
        <v>212.9034</v>
      </c>
      <c r="J1585">
        <v>65.634</v>
      </c>
      <c r="K1585">
        <v>67.497</v>
      </c>
      <c r="L1585">
        <v>4.0784000000000002</v>
      </c>
      <c r="M1585">
        <v>27.3401</v>
      </c>
      <c r="N1585">
        <v>-5.7854999999999999</v>
      </c>
      <c r="O1585">
        <v>-17.648900000000001</v>
      </c>
      <c r="P1585">
        <v>54.94</v>
      </c>
      <c r="S1585">
        <f t="shared" si="531"/>
        <v>620.67289999999991</v>
      </c>
      <c r="T1585">
        <f t="shared" si="532"/>
        <v>1.2562030886659074E-2</v>
      </c>
      <c r="U1585">
        <f t="shared" si="533"/>
        <v>5.4372969509419869E-3</v>
      </c>
      <c r="V1585">
        <f t="shared" si="534"/>
        <v>2.146794830630543E-2</v>
      </c>
      <c r="W1585">
        <f t="shared" si="535"/>
        <v>3.2811274703960268E-3</v>
      </c>
      <c r="X1585">
        <f t="shared" si="536"/>
        <v>0.18104323916653733</v>
      </c>
      <c r="Y1585">
        <f t="shared" si="537"/>
        <v>8.4371849238754971E-4</v>
      </c>
      <c r="Z1585">
        <f t="shared" si="538"/>
        <v>3.3748739695501988E-3</v>
      </c>
      <c r="AA1585">
        <f t="shared" si="539"/>
        <v>0.19958948408020383</v>
      </c>
      <c r="AB1585">
        <f t="shared" si="540"/>
        <v>6.1529577254849373E-2</v>
      </c>
      <c r="AC1585">
        <f t="shared" si="541"/>
        <v>6.3276074534091606E-2</v>
      </c>
      <c r="AD1585">
        <f t="shared" si="542"/>
        <v>3.8233572215037588E-3</v>
      </c>
      <c r="AE1585">
        <f t="shared" si="543"/>
        <v>2.5630386615249832E-2</v>
      </c>
      <c r="AG1585">
        <f t="shared" si="544"/>
        <v>-2.1729568510545487</v>
      </c>
      <c r="AH1585">
        <f t="shared" si="545"/>
        <v>0.25364062185802744</v>
      </c>
      <c r="AI1585">
        <f t="shared" si="546"/>
        <v>0.25675523880741818</v>
      </c>
      <c r="AK1585" s="26" t="e">
        <f t="shared" si="547"/>
        <v>#DIV/0!</v>
      </c>
      <c r="AL1585" s="26" t="e">
        <f t="shared" si="548"/>
        <v>#DIV/0!</v>
      </c>
      <c r="AM1585" s="26" t="e">
        <f t="shared" si="549"/>
        <v>#DIV/0!</v>
      </c>
      <c r="AN1585" s="26" t="e">
        <f t="shared" si="550"/>
        <v>#DIV/0!</v>
      </c>
      <c r="AO1585" s="26" t="e">
        <f t="shared" si="551"/>
        <v>#DIV/0!</v>
      </c>
      <c r="AP1585" s="26" t="e">
        <f t="shared" si="552"/>
        <v>#DIV/0!</v>
      </c>
      <c r="AS1585" s="2">
        <v>43895</v>
      </c>
      <c r="AT1585">
        <v>14.2</v>
      </c>
      <c r="AU1585">
        <v>0</v>
      </c>
      <c r="AV1585">
        <v>20.6</v>
      </c>
      <c r="AW1585">
        <v>2.5</v>
      </c>
      <c r="AX1585">
        <v>80.63</v>
      </c>
      <c r="AY1585">
        <v>0.9</v>
      </c>
      <c r="AZ1585">
        <v>3.3</v>
      </c>
      <c r="BA1585">
        <v>300.19639999999998</v>
      </c>
      <c r="BB1585">
        <v>179.49529999999999</v>
      </c>
      <c r="BC1585">
        <v>171.3424</v>
      </c>
      <c r="BD1585">
        <v>4.032</v>
      </c>
      <c r="BE1585">
        <v>27.579799999999999</v>
      </c>
      <c r="BH1585">
        <v>58.67</v>
      </c>
    </row>
    <row r="1586" spans="1:60" x14ac:dyDescent="0.25">
      <c r="A1586" s="2">
        <v>43915</v>
      </c>
      <c r="B1586">
        <v>13.3</v>
      </c>
      <c r="C1586">
        <v>3</v>
      </c>
      <c r="D1586">
        <v>34.5</v>
      </c>
      <c r="E1586">
        <v>3.5</v>
      </c>
      <c r="F1586">
        <v>228.88</v>
      </c>
      <c r="G1586">
        <v>0.9</v>
      </c>
      <c r="H1586">
        <v>3.3</v>
      </c>
      <c r="I1586">
        <v>238.3212</v>
      </c>
      <c r="J1586">
        <v>60.723100000000002</v>
      </c>
      <c r="K1586">
        <v>67.273300000000006</v>
      </c>
      <c r="L1586">
        <v>4.0621999999999998</v>
      </c>
      <c r="M1586">
        <v>22.720500000000001</v>
      </c>
      <c r="N1586">
        <v>-5.0274000000000001</v>
      </c>
      <c r="O1586">
        <v>-17.493300000000001</v>
      </c>
      <c r="P1586">
        <v>55.18</v>
      </c>
      <c r="S1586">
        <f t="shared" si="531"/>
        <v>680.48029999999994</v>
      </c>
      <c r="T1586">
        <f t="shared" si="532"/>
        <v>1.2468284387504903E-2</v>
      </c>
      <c r="U1586">
        <f t="shared" si="533"/>
        <v>2.8123949746251659E-3</v>
      </c>
      <c r="V1586">
        <f t="shared" si="534"/>
        <v>3.2342542208189405E-2</v>
      </c>
      <c r="W1586">
        <f t="shared" si="535"/>
        <v>3.2811274703960268E-3</v>
      </c>
      <c r="X1586">
        <f t="shared" si="536"/>
        <v>0.21456698726406931</v>
      </c>
      <c r="Y1586">
        <f t="shared" si="537"/>
        <v>8.4371849238754971E-4</v>
      </c>
      <c r="Z1586">
        <f t="shared" si="538"/>
        <v>3.0936344720876819E-3</v>
      </c>
      <c r="AA1586">
        <f t="shared" si="539"/>
        <v>0.22341778174221302</v>
      </c>
      <c r="AB1586">
        <f t="shared" si="540"/>
        <v>5.6925780427887138E-2</v>
      </c>
      <c r="AC1586">
        <f t="shared" si="541"/>
        <v>6.306636361548372E-2</v>
      </c>
      <c r="AD1586">
        <f t="shared" si="542"/>
        <v>3.8081702886407828E-3</v>
      </c>
      <c r="AE1586">
        <f t="shared" si="543"/>
        <v>2.1299673340323694E-2</v>
      </c>
      <c r="AG1586">
        <f t="shared" si="544"/>
        <v>-2.1783395027147709</v>
      </c>
      <c r="AH1586">
        <f t="shared" si="545"/>
        <v>0.29070836260958371</v>
      </c>
      <c r="AI1586">
        <f t="shared" si="546"/>
        <v>0.53578380116413671</v>
      </c>
      <c r="AK1586" s="26" t="e">
        <f t="shared" si="547"/>
        <v>#DIV/0!</v>
      </c>
      <c r="AL1586" s="26" t="e">
        <f t="shared" si="548"/>
        <v>#DIV/0!</v>
      </c>
      <c r="AM1586" s="26" t="e">
        <f t="shared" si="549"/>
        <v>#DIV/0!</v>
      </c>
      <c r="AN1586" s="26" t="e">
        <f t="shared" si="550"/>
        <v>#DIV/0!</v>
      </c>
      <c r="AO1586" s="26" t="e">
        <f t="shared" si="551"/>
        <v>#DIV/0!</v>
      </c>
      <c r="AP1586" s="26" t="e">
        <f t="shared" si="552"/>
        <v>#DIV/0!</v>
      </c>
      <c r="AS1586" s="2">
        <v>43894</v>
      </c>
      <c r="AT1586">
        <v>15</v>
      </c>
      <c r="AU1586">
        <v>0</v>
      </c>
      <c r="AV1586">
        <v>19.7</v>
      </c>
      <c r="AW1586">
        <v>1.7</v>
      </c>
      <c r="AX1586">
        <v>89.07</v>
      </c>
      <c r="AY1586">
        <v>0.3</v>
      </c>
      <c r="AZ1586">
        <v>3.6</v>
      </c>
      <c r="BA1586">
        <v>293.93700000000001</v>
      </c>
      <c r="BB1586">
        <v>218.7364</v>
      </c>
      <c r="BC1586">
        <v>200.21950000000001</v>
      </c>
      <c r="BD1586">
        <v>4.0334000000000003</v>
      </c>
      <c r="BE1586">
        <v>29.639900000000001</v>
      </c>
      <c r="BH1586">
        <v>59.13</v>
      </c>
    </row>
    <row r="1587" spans="1:60" x14ac:dyDescent="0.25">
      <c r="A1587" s="2">
        <v>43914</v>
      </c>
      <c r="B1587">
        <v>13.7</v>
      </c>
      <c r="C1587">
        <v>5.3</v>
      </c>
      <c r="D1587">
        <v>56.1</v>
      </c>
      <c r="E1587">
        <v>2.9</v>
      </c>
      <c r="F1587">
        <v>231.24</v>
      </c>
      <c r="G1587">
        <v>0.7</v>
      </c>
      <c r="H1587">
        <v>3.2</v>
      </c>
      <c r="I1587">
        <v>207.76169999999999</v>
      </c>
      <c r="J1587">
        <v>60.785200000000003</v>
      </c>
      <c r="K1587">
        <v>67.662499999999994</v>
      </c>
      <c r="L1587">
        <v>4.0777999999999999</v>
      </c>
      <c r="M1587">
        <v>29.070699999999999</v>
      </c>
      <c r="N1587">
        <v>-4.6184000000000003</v>
      </c>
      <c r="O1587">
        <v>-15.996499999999999</v>
      </c>
      <c r="P1587">
        <v>55.45</v>
      </c>
      <c r="S1587">
        <f t="shared" si="531"/>
        <v>682.49790000000007</v>
      </c>
      <c r="T1587">
        <f t="shared" si="532"/>
        <v>1.2843270384121589E-2</v>
      </c>
      <c r="U1587">
        <f t="shared" si="533"/>
        <v>4.9685644551711256E-3</v>
      </c>
      <c r="V1587">
        <f t="shared" si="534"/>
        <v>5.2591786025490597E-2</v>
      </c>
      <c r="W1587">
        <f t="shared" si="535"/>
        <v>2.7186484754709935E-3</v>
      </c>
      <c r="X1587">
        <f t="shared" si="536"/>
        <v>0.21677940464410778</v>
      </c>
      <c r="Y1587">
        <f t="shared" si="537"/>
        <v>6.5622549407920526E-4</v>
      </c>
      <c r="Z1587">
        <f t="shared" si="538"/>
        <v>2.9998879729335104E-3</v>
      </c>
      <c r="AA1587">
        <f t="shared" si="539"/>
        <v>0.19476932033319375</v>
      </c>
      <c r="AB1587">
        <f t="shared" si="540"/>
        <v>5.6983997003861878E-2</v>
      </c>
      <c r="AC1587">
        <f t="shared" si="541"/>
        <v>6.3431224990191756E-2</v>
      </c>
      <c r="AD1587">
        <f t="shared" si="542"/>
        <v>3.8227947425088335E-3</v>
      </c>
      <c r="AE1587">
        <f t="shared" si="543"/>
        <v>2.7252763529611933E-2</v>
      </c>
      <c r="AG1587">
        <f t="shared" si="544"/>
        <v>-2.1815415707182182</v>
      </c>
      <c r="AH1587">
        <f t="shared" si="545"/>
        <v>0.32081055098098671</v>
      </c>
      <c r="AI1587">
        <f t="shared" si="546"/>
        <v>0.76300401647149463</v>
      </c>
      <c r="AK1587" s="26" t="e">
        <f t="shared" si="547"/>
        <v>#DIV/0!</v>
      </c>
      <c r="AL1587" s="26" t="e">
        <f t="shared" si="548"/>
        <v>#DIV/0!</v>
      </c>
      <c r="AM1587" s="26" t="e">
        <f t="shared" si="549"/>
        <v>#DIV/0!</v>
      </c>
      <c r="AN1587" s="26" t="e">
        <f t="shared" si="550"/>
        <v>#DIV/0!</v>
      </c>
      <c r="AO1587" s="26" t="e">
        <f t="shared" si="551"/>
        <v>#DIV/0!</v>
      </c>
      <c r="AP1587" s="26" t="e">
        <f t="shared" si="552"/>
        <v>#DIV/0!</v>
      </c>
      <c r="AS1587" s="2">
        <v>43893</v>
      </c>
      <c r="AT1587">
        <v>14.5</v>
      </c>
      <c r="AU1587">
        <v>0.8</v>
      </c>
      <c r="AV1587">
        <v>16.100000000000001</v>
      </c>
      <c r="AW1587">
        <v>2.2999999999999998</v>
      </c>
      <c r="AX1587">
        <v>72.709999999999994</v>
      </c>
      <c r="AZ1587">
        <v>3.5</v>
      </c>
      <c r="BA1587">
        <v>285.38369999999998</v>
      </c>
      <c r="BB1587">
        <v>218.8074</v>
      </c>
      <c r="BC1587">
        <v>186.9478</v>
      </c>
      <c r="BD1587">
        <v>4.0781000000000001</v>
      </c>
      <c r="BE1587">
        <v>33.261499999999998</v>
      </c>
      <c r="BH1587">
        <v>59.55</v>
      </c>
    </row>
    <row r="1588" spans="1:60" x14ac:dyDescent="0.25">
      <c r="A1588" s="2">
        <v>43913</v>
      </c>
      <c r="B1588">
        <v>13.3</v>
      </c>
      <c r="C1588">
        <v>4.4000000000000004</v>
      </c>
      <c r="D1588">
        <v>65.8</v>
      </c>
      <c r="E1588">
        <v>3</v>
      </c>
      <c r="F1588">
        <v>232.74</v>
      </c>
      <c r="G1588">
        <v>0.6</v>
      </c>
      <c r="H1588">
        <v>2.9</v>
      </c>
      <c r="I1588">
        <v>138.62989999999999</v>
      </c>
      <c r="J1588">
        <v>56.112400000000001</v>
      </c>
      <c r="K1588">
        <v>61.9664</v>
      </c>
      <c r="L1588">
        <v>4.0827</v>
      </c>
      <c r="M1588">
        <v>31.527899999999999</v>
      </c>
      <c r="N1588">
        <v>-4.4302000000000001</v>
      </c>
      <c r="O1588">
        <v>-14.237</v>
      </c>
      <c r="P1588">
        <v>55.68</v>
      </c>
      <c r="S1588">
        <f t="shared" si="531"/>
        <v>615.05930000000012</v>
      </c>
      <c r="T1588">
        <f t="shared" si="532"/>
        <v>1.2468284387504903E-2</v>
      </c>
      <c r="U1588">
        <f t="shared" si="533"/>
        <v>4.1248459627835771E-3</v>
      </c>
      <c r="V1588">
        <f t="shared" si="534"/>
        <v>6.1685196443445299E-2</v>
      </c>
      <c r="W1588">
        <f t="shared" si="535"/>
        <v>2.8123949746251659E-3</v>
      </c>
      <c r="X1588">
        <f t="shared" si="536"/>
        <v>0.21818560213142035</v>
      </c>
      <c r="Y1588">
        <f t="shared" si="537"/>
        <v>5.6247899492503314E-4</v>
      </c>
      <c r="Z1588">
        <f t="shared" si="538"/>
        <v>2.7186484754709935E-3</v>
      </c>
      <c r="AA1588">
        <f t="shared" si="539"/>
        <v>0.12996067803092975</v>
      </c>
      <c r="AB1588">
        <f t="shared" si="540"/>
        <v>5.2603410591385714E-2</v>
      </c>
      <c r="AC1588">
        <f t="shared" si="541"/>
        <v>5.8091330651870957E-2</v>
      </c>
      <c r="AD1588">
        <f t="shared" si="542"/>
        <v>3.8273883209673882E-3</v>
      </c>
      <c r="AE1588">
        <f t="shared" si="543"/>
        <v>2.9556302506828253E-2</v>
      </c>
      <c r="AG1588">
        <f t="shared" si="544"/>
        <v>-2.1878659077816511</v>
      </c>
      <c r="AH1588">
        <f t="shared" si="545"/>
        <v>0.33211375387700359</v>
      </c>
      <c r="AI1588">
        <f t="shared" si="546"/>
        <v>0.85019737891536518</v>
      </c>
      <c r="AK1588" s="26" t="e">
        <f t="shared" si="547"/>
        <v>#DIV/0!</v>
      </c>
      <c r="AL1588" s="26" t="e">
        <f t="shared" si="548"/>
        <v>#DIV/0!</v>
      </c>
      <c r="AM1588" s="26" t="e">
        <f t="shared" si="549"/>
        <v>#DIV/0!</v>
      </c>
      <c r="AN1588" s="26" t="e">
        <f t="shared" si="550"/>
        <v>#DIV/0!</v>
      </c>
      <c r="AO1588" s="26" t="e">
        <f t="shared" si="551"/>
        <v>#DIV/0!</v>
      </c>
      <c r="AP1588" s="26" t="e">
        <f t="shared" si="552"/>
        <v>#DIV/0!</v>
      </c>
      <c r="AS1588" s="2">
        <v>43892</v>
      </c>
      <c r="AT1588">
        <v>13.1</v>
      </c>
      <c r="AU1588">
        <v>3.3</v>
      </c>
      <c r="AV1588">
        <v>25.8</v>
      </c>
      <c r="AW1588">
        <v>2.5</v>
      </c>
      <c r="AX1588">
        <v>101.37</v>
      </c>
      <c r="AY1588">
        <v>0.6</v>
      </c>
      <c r="AZ1588">
        <v>3.5</v>
      </c>
      <c r="BA1588">
        <v>250.91720000000001</v>
      </c>
      <c r="BB1588">
        <v>163.3133</v>
      </c>
      <c r="BC1588">
        <v>149.87029999999999</v>
      </c>
      <c r="BD1588">
        <v>4.0647000000000002</v>
      </c>
      <c r="BE1588">
        <v>28.436800000000002</v>
      </c>
      <c r="BH1588">
        <v>59.98</v>
      </c>
    </row>
    <row r="1589" spans="1:60" x14ac:dyDescent="0.25">
      <c r="A1589" s="2">
        <v>43912</v>
      </c>
      <c r="B1589">
        <v>13.4</v>
      </c>
      <c r="C1589">
        <v>4.4000000000000004</v>
      </c>
      <c r="D1589">
        <v>55.8</v>
      </c>
      <c r="E1589">
        <v>2.8</v>
      </c>
      <c r="F1589">
        <v>206.78</v>
      </c>
      <c r="H1589">
        <v>3.4</v>
      </c>
      <c r="I1589">
        <v>103.233</v>
      </c>
      <c r="J1589">
        <v>42.860900000000001</v>
      </c>
      <c r="K1589">
        <v>35.340699999999998</v>
      </c>
      <c r="L1589">
        <v>4.0805999999999996</v>
      </c>
      <c r="M1589">
        <v>17.1327</v>
      </c>
      <c r="P1589">
        <v>55.93</v>
      </c>
      <c r="S1589">
        <f t="shared" si="531"/>
        <v>489.22789999999998</v>
      </c>
      <c r="T1589">
        <f t="shared" si="532"/>
        <v>1.2562030886659074E-2</v>
      </c>
      <c r="U1589">
        <f t="shared" si="533"/>
        <v>4.1248459627835771E-3</v>
      </c>
      <c r="V1589">
        <f t="shared" si="534"/>
        <v>5.2310546528028079E-2</v>
      </c>
      <c r="W1589">
        <f t="shared" si="535"/>
        <v>2.624901976316821E-3</v>
      </c>
      <c r="X1589">
        <f t="shared" si="536"/>
        <v>0.19384901095099727</v>
      </c>
      <c r="Y1589">
        <f t="shared" si="537"/>
        <v>0</v>
      </c>
      <c r="Z1589">
        <f t="shared" si="538"/>
        <v>3.1873809712418544E-3</v>
      </c>
      <c r="AA1589">
        <f t="shared" si="539"/>
        <v>9.6777323471826576E-2</v>
      </c>
      <c r="AB1589">
        <f t="shared" si="540"/>
        <v>4.0180593255970593E-2</v>
      </c>
      <c r="AC1589">
        <f t="shared" si="541"/>
        <v>3.3130669026578533E-2</v>
      </c>
      <c r="AD1589">
        <f t="shared" si="542"/>
        <v>3.8254196444851502E-3</v>
      </c>
      <c r="AE1589">
        <f t="shared" si="543"/>
        <v>1.6061306460586858E-2</v>
      </c>
      <c r="AG1589">
        <f t="shared" si="544"/>
        <v>-2.1927873304602827</v>
      </c>
      <c r="AH1589">
        <f t="shared" si="545"/>
        <v>0.28472002373661348</v>
      </c>
      <c r="AI1589">
        <f t="shared" si="546"/>
        <v>0.49818602549678626</v>
      </c>
      <c r="AK1589" s="26" t="e">
        <f t="shared" si="547"/>
        <v>#DIV/0!</v>
      </c>
      <c r="AL1589" s="26" t="e">
        <f t="shared" si="548"/>
        <v>#DIV/0!</v>
      </c>
      <c r="AM1589" s="26" t="e">
        <f t="shared" si="549"/>
        <v>#DIV/0!</v>
      </c>
      <c r="AN1589" s="26" t="e">
        <f t="shared" si="550"/>
        <v>#DIV/0!</v>
      </c>
      <c r="AO1589" s="26" t="e">
        <f t="shared" si="551"/>
        <v>#DIV/0!</v>
      </c>
      <c r="AP1589" s="26" t="e">
        <f t="shared" si="552"/>
        <v>#DIV/0!</v>
      </c>
      <c r="AS1589" s="2">
        <v>43891</v>
      </c>
      <c r="AT1589">
        <v>12.8</v>
      </c>
      <c r="AU1589">
        <v>20.5</v>
      </c>
      <c r="AV1589">
        <v>61.5</v>
      </c>
      <c r="AW1589">
        <v>4.8</v>
      </c>
      <c r="AX1589">
        <v>100.16</v>
      </c>
      <c r="AY1589">
        <v>0.9</v>
      </c>
      <c r="AZ1589">
        <v>3.4</v>
      </c>
      <c r="BA1589">
        <v>111.3921</v>
      </c>
      <c r="BB1589">
        <v>56.1068</v>
      </c>
      <c r="BC1589">
        <v>37.056800000000003</v>
      </c>
      <c r="BD1589">
        <v>4.0353000000000003</v>
      </c>
      <c r="BE1589">
        <v>16.768799999999999</v>
      </c>
      <c r="BH1589">
        <v>60.41</v>
      </c>
    </row>
    <row r="1590" spans="1:60" x14ac:dyDescent="0.25">
      <c r="A1590" s="2">
        <v>43911</v>
      </c>
      <c r="B1590">
        <v>15.9</v>
      </c>
      <c r="C1590">
        <v>5.7</v>
      </c>
      <c r="D1590">
        <v>73.099999999999994</v>
      </c>
      <c r="E1590">
        <v>4.2</v>
      </c>
      <c r="F1590">
        <v>92.29</v>
      </c>
      <c r="G1590">
        <v>0.5</v>
      </c>
      <c r="H1590">
        <v>3.7</v>
      </c>
      <c r="I1590">
        <v>109.709</v>
      </c>
      <c r="J1590">
        <v>41.930100000000003</v>
      </c>
      <c r="K1590">
        <v>40.036999999999999</v>
      </c>
      <c r="L1590">
        <v>4.08</v>
      </c>
      <c r="M1590">
        <v>22.116099999999999</v>
      </c>
      <c r="P1590">
        <v>56.01</v>
      </c>
      <c r="S1590">
        <f t="shared" si="531"/>
        <v>413.26219999999995</v>
      </c>
      <c r="T1590">
        <f t="shared" si="532"/>
        <v>1.4905693365513379E-2</v>
      </c>
      <c r="U1590">
        <f t="shared" si="533"/>
        <v>5.3435504517878154E-3</v>
      </c>
      <c r="V1590">
        <f t="shared" si="534"/>
        <v>6.8528690881699869E-2</v>
      </c>
      <c r="W1590">
        <f t="shared" si="535"/>
        <v>3.9373529644752322E-3</v>
      </c>
      <c r="X1590">
        <f t="shared" si="536"/>
        <v>8.6518644069385517E-2</v>
      </c>
      <c r="Y1590">
        <f t="shared" si="537"/>
        <v>4.6873249577086097E-4</v>
      </c>
      <c r="Z1590">
        <f t="shared" si="538"/>
        <v>3.4686204687043713E-3</v>
      </c>
      <c r="AA1590">
        <f t="shared" si="539"/>
        <v>0.10284834675705078</v>
      </c>
      <c r="AB1590">
        <f t="shared" si="540"/>
        <v>3.9308000841843556E-2</v>
      </c>
      <c r="AC1590">
        <f t="shared" si="541"/>
        <v>3.7533285866355917E-2</v>
      </c>
      <c r="AD1590">
        <f t="shared" si="542"/>
        <v>3.8248571654902253E-3</v>
      </c>
      <c r="AE1590">
        <f t="shared" si="543"/>
        <v>2.0733069499435874E-2</v>
      </c>
      <c r="AG1590">
        <f t="shared" si="544"/>
        <v>-2.2111148522060229</v>
      </c>
      <c r="AH1590">
        <f t="shared" si="545"/>
        <v>0.20390435419677291</v>
      </c>
      <c r="AI1590">
        <f t="shared" si="546"/>
        <v>-0.10498292153386905</v>
      </c>
      <c r="AK1590" s="26" t="e">
        <f t="shared" si="547"/>
        <v>#DIV/0!</v>
      </c>
      <c r="AL1590" s="26" t="e">
        <f t="shared" si="548"/>
        <v>#DIV/0!</v>
      </c>
      <c r="AM1590" s="26" t="e">
        <f t="shared" si="549"/>
        <v>#DIV/0!</v>
      </c>
      <c r="AN1590" s="26" t="e">
        <f t="shared" si="550"/>
        <v>#DIV/0!</v>
      </c>
      <c r="AO1590" s="26" t="e">
        <f t="shared" si="551"/>
        <v>#DIV/0!</v>
      </c>
      <c r="AP1590" s="26" t="e">
        <f t="shared" si="552"/>
        <v>#DIV/0!</v>
      </c>
      <c r="AS1590" s="2">
        <v>43890</v>
      </c>
      <c r="AT1590">
        <v>13.8</v>
      </c>
      <c r="AU1590">
        <v>1.3</v>
      </c>
      <c r="AV1590">
        <v>73.7</v>
      </c>
      <c r="AW1590">
        <v>7</v>
      </c>
      <c r="AX1590">
        <v>76.819999999999993</v>
      </c>
      <c r="AY1590">
        <v>0.9</v>
      </c>
      <c r="AZ1590">
        <v>2.9</v>
      </c>
      <c r="BA1590">
        <v>80.1417</v>
      </c>
      <c r="BB1590">
        <v>59.975700000000003</v>
      </c>
      <c r="BC1590">
        <v>44.3386</v>
      </c>
      <c r="BD1590">
        <v>4.0503</v>
      </c>
      <c r="BE1590">
        <v>11.0753</v>
      </c>
      <c r="BH1590">
        <v>60.62</v>
      </c>
    </row>
    <row r="1591" spans="1:60" x14ac:dyDescent="0.25">
      <c r="A1591" s="2">
        <v>43910</v>
      </c>
      <c r="B1591">
        <v>15.1</v>
      </c>
      <c r="C1591">
        <v>3.1</v>
      </c>
      <c r="D1591">
        <v>32</v>
      </c>
      <c r="E1591">
        <v>0.9</v>
      </c>
      <c r="F1591">
        <v>111.94</v>
      </c>
      <c r="G1591">
        <v>0.9</v>
      </c>
      <c r="H1591">
        <v>3.8</v>
      </c>
      <c r="I1591">
        <v>296.06549999999999</v>
      </c>
      <c r="J1591">
        <v>65.676500000000004</v>
      </c>
      <c r="K1591">
        <v>88.617000000000004</v>
      </c>
      <c r="L1591">
        <v>4.0965999999999996</v>
      </c>
      <c r="M1591">
        <v>23.738700000000001</v>
      </c>
      <c r="N1591">
        <v>-3.7848000000000002</v>
      </c>
      <c r="O1591">
        <v>-13.0723</v>
      </c>
      <c r="P1591">
        <v>56.02</v>
      </c>
      <c r="S1591">
        <f t="shared" si="531"/>
        <v>645.93429999999989</v>
      </c>
      <c r="T1591">
        <f t="shared" si="532"/>
        <v>1.415572137228E-2</v>
      </c>
      <c r="U1591">
        <f t="shared" si="533"/>
        <v>2.9061414737793379E-3</v>
      </c>
      <c r="V1591">
        <f t="shared" si="534"/>
        <v>2.9998879729335102E-2</v>
      </c>
      <c r="W1591">
        <f t="shared" si="535"/>
        <v>8.4371849238754971E-4</v>
      </c>
      <c r="X1591">
        <f t="shared" si="536"/>
        <v>0.10493983115318035</v>
      </c>
      <c r="Y1591">
        <f t="shared" si="537"/>
        <v>8.4371849238754971E-4</v>
      </c>
      <c r="Z1591">
        <f t="shared" si="538"/>
        <v>3.5623669678585433E-3</v>
      </c>
      <c r="AA1591">
        <f t="shared" si="539"/>
        <v>0.27755104145329568</v>
      </c>
      <c r="AB1591">
        <f t="shared" si="540"/>
        <v>6.1569419516989903E-2</v>
      </c>
      <c r="AC1591">
        <f t="shared" si="541"/>
        <v>8.3075335155452776E-2</v>
      </c>
      <c r="AD1591">
        <f t="shared" si="542"/>
        <v>3.8404190843498174E-3</v>
      </c>
      <c r="AE1591">
        <f t="shared" si="543"/>
        <v>2.2254200194711474E-2</v>
      </c>
      <c r="AG1591">
        <f t="shared" si="544"/>
        <v>-2.2355700006390609</v>
      </c>
      <c r="AH1591">
        <f t="shared" si="545"/>
        <v>0.17950457787591992</v>
      </c>
      <c r="AI1591">
        <f t="shared" si="546"/>
        <v>-0.28732210104120265</v>
      </c>
      <c r="AK1591" s="26" t="e">
        <f t="shared" si="547"/>
        <v>#DIV/0!</v>
      </c>
      <c r="AL1591" s="26" t="e">
        <f t="shared" si="548"/>
        <v>#DIV/0!</v>
      </c>
      <c r="AM1591" s="26" t="e">
        <f t="shared" si="549"/>
        <v>#DIV/0!</v>
      </c>
      <c r="AN1591" s="26" t="e">
        <f t="shared" si="550"/>
        <v>#DIV/0!</v>
      </c>
      <c r="AO1591" s="26" t="e">
        <f t="shared" si="551"/>
        <v>#DIV/0!</v>
      </c>
      <c r="AP1591" s="26" t="e">
        <f t="shared" si="552"/>
        <v>#DIV/0!</v>
      </c>
      <c r="AS1591" s="2">
        <v>43889</v>
      </c>
      <c r="AT1591">
        <v>15.1</v>
      </c>
      <c r="AU1591">
        <v>1.1000000000000001</v>
      </c>
      <c r="AV1591">
        <v>73</v>
      </c>
      <c r="AW1591">
        <v>4.9000000000000004</v>
      </c>
      <c r="AX1591">
        <v>83.34</v>
      </c>
      <c r="AY1591">
        <v>0.9</v>
      </c>
      <c r="AZ1591">
        <v>3.5</v>
      </c>
      <c r="BA1591">
        <v>233.79230000000001</v>
      </c>
      <c r="BB1591">
        <v>92.208500000000001</v>
      </c>
      <c r="BC1591">
        <v>128.1318</v>
      </c>
      <c r="BD1591">
        <v>4.0865999999999998</v>
      </c>
      <c r="BE1591">
        <v>26.5261</v>
      </c>
      <c r="BH1591">
        <v>60.83</v>
      </c>
    </row>
    <row r="1592" spans="1:60" x14ac:dyDescent="0.25">
      <c r="A1592" s="2">
        <v>43909</v>
      </c>
      <c r="B1592">
        <v>14.2</v>
      </c>
      <c r="C1592">
        <v>3.7</v>
      </c>
      <c r="D1592">
        <v>6.7</v>
      </c>
      <c r="E1592">
        <v>0.3</v>
      </c>
      <c r="F1592">
        <v>151.4</v>
      </c>
      <c r="G1592">
        <v>0.9</v>
      </c>
      <c r="H1592">
        <v>3.7</v>
      </c>
      <c r="I1592">
        <v>297.44529999999997</v>
      </c>
      <c r="J1592">
        <v>123.8822</v>
      </c>
      <c r="K1592">
        <v>108.9312</v>
      </c>
      <c r="L1592">
        <v>4.1914999999999996</v>
      </c>
      <c r="M1592">
        <v>25.801600000000001</v>
      </c>
      <c r="N1592">
        <v>-3.5154999999999998</v>
      </c>
      <c r="O1592">
        <v>-12.401199999999999</v>
      </c>
      <c r="P1592">
        <v>56.17</v>
      </c>
      <c r="S1592">
        <f t="shared" si="531"/>
        <v>741.15179999999998</v>
      </c>
      <c r="T1592">
        <f t="shared" si="532"/>
        <v>1.331200287989245E-2</v>
      </c>
      <c r="U1592">
        <f t="shared" si="533"/>
        <v>3.4686204687043713E-3</v>
      </c>
      <c r="V1592">
        <f t="shared" si="534"/>
        <v>6.2810154433295372E-3</v>
      </c>
      <c r="W1592">
        <f t="shared" si="535"/>
        <v>2.8123949746251657E-4</v>
      </c>
      <c r="X1592">
        <f t="shared" si="536"/>
        <v>0.1419321997194167</v>
      </c>
      <c r="Y1592">
        <f t="shared" si="537"/>
        <v>8.4371849238754971E-4</v>
      </c>
      <c r="Z1592">
        <f t="shared" si="538"/>
        <v>3.4686204687043713E-3</v>
      </c>
      <c r="AA1592">
        <f t="shared" si="539"/>
        <v>0.27884455564862493</v>
      </c>
      <c r="AB1592">
        <f t="shared" si="540"/>
        <v>0.11613522557516991</v>
      </c>
      <c r="AC1592">
        <f t="shared" si="541"/>
        <v>0.10211918648662963</v>
      </c>
      <c r="AD1592">
        <f t="shared" si="542"/>
        <v>3.9293845120471271E-3</v>
      </c>
      <c r="AE1592">
        <f t="shared" si="543"/>
        <v>2.4188096725762893E-2</v>
      </c>
      <c r="AG1592">
        <f t="shared" si="544"/>
        <v>-2.2497511272193491</v>
      </c>
      <c r="AH1592">
        <f t="shared" si="545"/>
        <v>0.19377551369566037</v>
      </c>
      <c r="AI1592">
        <f t="shared" si="546"/>
        <v>-0.1816527297667046</v>
      </c>
      <c r="AK1592" s="26" t="e">
        <f t="shared" si="547"/>
        <v>#DIV/0!</v>
      </c>
      <c r="AL1592" s="26" t="e">
        <f t="shared" si="548"/>
        <v>#DIV/0!</v>
      </c>
      <c r="AM1592" s="26" t="e">
        <f t="shared" si="549"/>
        <v>#DIV/0!</v>
      </c>
      <c r="AN1592" s="26" t="e">
        <f t="shared" si="550"/>
        <v>#DIV/0!</v>
      </c>
      <c r="AO1592" s="26" t="e">
        <f t="shared" si="551"/>
        <v>#DIV/0!</v>
      </c>
      <c r="AP1592" s="26" t="e">
        <f t="shared" si="552"/>
        <v>#DIV/0!</v>
      </c>
      <c r="AS1592" s="2">
        <v>43888</v>
      </c>
      <c r="AT1592">
        <v>14.7</v>
      </c>
      <c r="AU1592">
        <v>18.100000000000001</v>
      </c>
      <c r="AV1592">
        <v>33.299999999999997</v>
      </c>
      <c r="AW1592">
        <v>2.2999999999999998</v>
      </c>
      <c r="AX1592">
        <v>53.64</v>
      </c>
      <c r="AY1592">
        <v>0.9</v>
      </c>
      <c r="AZ1592">
        <v>3.5</v>
      </c>
      <c r="BA1592">
        <v>252.30680000000001</v>
      </c>
      <c r="BB1592">
        <v>155.9907</v>
      </c>
      <c r="BC1592">
        <v>183.059</v>
      </c>
      <c r="BD1592">
        <v>4.3047000000000004</v>
      </c>
      <c r="BE1592">
        <v>38.882199999999997</v>
      </c>
      <c r="BH1592">
        <v>61.29</v>
      </c>
    </row>
    <row r="1593" spans="1:60" x14ac:dyDescent="0.25">
      <c r="A1593" s="2">
        <v>43908</v>
      </c>
      <c r="B1593">
        <v>14</v>
      </c>
      <c r="C1593">
        <v>1.5</v>
      </c>
      <c r="D1593">
        <v>51.2</v>
      </c>
      <c r="E1593">
        <v>1.1000000000000001</v>
      </c>
      <c r="F1593">
        <v>168.98</v>
      </c>
      <c r="G1593">
        <v>0.9</v>
      </c>
      <c r="H1593">
        <v>3.9</v>
      </c>
      <c r="I1593">
        <v>233.94300000000001</v>
      </c>
      <c r="J1593">
        <v>121.31740000000001</v>
      </c>
      <c r="K1593">
        <v>65.576899999999995</v>
      </c>
      <c r="L1593">
        <v>4.1280000000000001</v>
      </c>
      <c r="M1593">
        <v>29.035399999999999</v>
      </c>
      <c r="N1593">
        <v>-2.0992999999999999</v>
      </c>
      <c r="O1593">
        <v>-11.0618</v>
      </c>
      <c r="P1593">
        <v>56.27</v>
      </c>
      <c r="S1593">
        <f t="shared" si="531"/>
        <v>695.58070000000009</v>
      </c>
      <c r="T1593">
        <f t="shared" si="532"/>
        <v>1.3124509881584107E-2</v>
      </c>
      <c r="U1593">
        <f t="shared" si="533"/>
        <v>1.406197487312583E-3</v>
      </c>
      <c r="V1593">
        <f t="shared" si="534"/>
        <v>4.7998207566936166E-2</v>
      </c>
      <c r="W1593">
        <f t="shared" si="535"/>
        <v>1.0312114906958943E-3</v>
      </c>
      <c r="X1593">
        <f t="shared" si="536"/>
        <v>0.15841283427072017</v>
      </c>
      <c r="Y1593">
        <f t="shared" si="537"/>
        <v>8.4371849238754971E-4</v>
      </c>
      <c r="Z1593">
        <f t="shared" si="538"/>
        <v>3.6561134670127153E-3</v>
      </c>
      <c r="AA1593">
        <f t="shared" si="539"/>
        <v>0.21931337251624505</v>
      </c>
      <c r="AB1593">
        <f t="shared" si="540"/>
        <v>0.11373081536486369</v>
      </c>
      <c r="AC1593">
        <f t="shared" si="541"/>
        <v>6.1476048003832336E-2</v>
      </c>
      <c r="AD1593">
        <f t="shared" si="542"/>
        <v>3.8698554850842282E-3</v>
      </c>
      <c r="AE1593">
        <f t="shared" si="543"/>
        <v>2.7219671015410511E-2</v>
      </c>
      <c r="AG1593">
        <f t="shared" si="544"/>
        <v>-2.2683966676957121</v>
      </c>
      <c r="AH1593">
        <f t="shared" si="545"/>
        <v>0.25369246367205972</v>
      </c>
      <c r="AI1593">
        <f t="shared" si="546"/>
        <v>0.26341761389772</v>
      </c>
      <c r="AK1593" s="26" t="e">
        <f t="shared" si="547"/>
        <v>#DIV/0!</v>
      </c>
      <c r="AL1593" s="26" t="e">
        <f t="shared" si="548"/>
        <v>#DIV/0!</v>
      </c>
      <c r="AM1593" s="26" t="e">
        <f t="shared" si="549"/>
        <v>#DIV/0!</v>
      </c>
      <c r="AN1593" s="26" t="e">
        <f t="shared" si="550"/>
        <v>#DIV/0!</v>
      </c>
      <c r="AO1593" s="26" t="e">
        <f t="shared" si="551"/>
        <v>#DIV/0!</v>
      </c>
      <c r="AP1593" s="26" t="e">
        <f t="shared" si="552"/>
        <v>#DIV/0!</v>
      </c>
      <c r="AS1593" s="2">
        <v>43887</v>
      </c>
      <c r="AT1593">
        <v>14.7</v>
      </c>
      <c r="AU1593">
        <v>1.5</v>
      </c>
      <c r="AV1593">
        <v>25.3</v>
      </c>
      <c r="AW1593">
        <v>3.5</v>
      </c>
      <c r="AX1593">
        <v>58.87</v>
      </c>
      <c r="AY1593">
        <v>0.4</v>
      </c>
      <c r="AZ1593">
        <v>3.5</v>
      </c>
      <c r="BA1593">
        <v>239.12379999999999</v>
      </c>
      <c r="BB1593">
        <v>96.576800000000006</v>
      </c>
      <c r="BC1593">
        <v>146.14320000000001</v>
      </c>
      <c r="BD1593">
        <v>4.0631000000000004</v>
      </c>
      <c r="BE1593">
        <v>33.762900000000002</v>
      </c>
      <c r="BH1593">
        <v>61.83</v>
      </c>
    </row>
    <row r="1594" spans="1:60" x14ac:dyDescent="0.25">
      <c r="A1594" s="2">
        <v>43907</v>
      </c>
      <c r="B1594">
        <v>14</v>
      </c>
      <c r="C1594">
        <v>3.4</v>
      </c>
      <c r="D1594">
        <v>67.599999999999994</v>
      </c>
      <c r="E1594">
        <v>0.6</v>
      </c>
      <c r="F1594">
        <v>121.07</v>
      </c>
      <c r="G1594">
        <v>0.6</v>
      </c>
      <c r="H1594">
        <v>3.7</v>
      </c>
      <c r="I1594">
        <v>250.84389999999999</v>
      </c>
      <c r="J1594">
        <v>130.59729999999999</v>
      </c>
      <c r="K1594">
        <v>106.36360000000001</v>
      </c>
      <c r="L1594">
        <v>4.1444000000000001</v>
      </c>
      <c r="M1594">
        <v>27.1495</v>
      </c>
      <c r="N1594">
        <v>-1.4744999999999999</v>
      </c>
      <c r="O1594">
        <v>-11.1907</v>
      </c>
      <c r="P1594">
        <v>56.37</v>
      </c>
      <c r="S1594">
        <f t="shared" si="531"/>
        <v>730.06870000000004</v>
      </c>
      <c r="T1594">
        <f t="shared" si="532"/>
        <v>1.3124509881584107E-2</v>
      </c>
      <c r="U1594">
        <f t="shared" si="533"/>
        <v>3.1873809712418544E-3</v>
      </c>
      <c r="V1594">
        <f t="shared" si="534"/>
        <v>6.3372633428220401E-2</v>
      </c>
      <c r="W1594">
        <f t="shared" si="535"/>
        <v>5.6247899492503314E-4</v>
      </c>
      <c r="X1594">
        <f t="shared" si="536"/>
        <v>0.11349888652595627</v>
      </c>
      <c r="Y1594">
        <f t="shared" si="537"/>
        <v>5.6247899492503314E-4</v>
      </c>
      <c r="Z1594">
        <f t="shared" si="538"/>
        <v>3.4686204687043713E-3</v>
      </c>
      <c r="AA1594">
        <f t="shared" si="539"/>
        <v>0.23515737459179253</v>
      </c>
      <c r="AB1594">
        <f t="shared" si="540"/>
        <v>0.1224303967398717</v>
      </c>
      <c r="AC1594">
        <f t="shared" si="541"/>
        <v>9.9712151374347094E-2</v>
      </c>
      <c r="AD1594">
        <f t="shared" si="542"/>
        <v>3.8852299109455122E-3</v>
      </c>
      <c r="AE1594">
        <f t="shared" si="543"/>
        <v>2.5451705787861979E-2</v>
      </c>
      <c r="AG1594">
        <f t="shared" si="544"/>
        <v>-2.2876855137900902</v>
      </c>
      <c r="AH1594">
        <f t="shared" si="545"/>
        <v>0.22322869505341905</v>
      </c>
      <c r="AI1594">
        <f t="shared" si="546"/>
        <v>3.7962797266823577E-2</v>
      </c>
      <c r="AK1594" s="26" t="e">
        <f t="shared" si="547"/>
        <v>#DIV/0!</v>
      </c>
      <c r="AL1594" s="26" t="e">
        <f t="shared" si="548"/>
        <v>#DIV/0!</v>
      </c>
      <c r="AM1594" s="26" t="e">
        <f t="shared" si="549"/>
        <v>#DIV/0!</v>
      </c>
      <c r="AN1594" s="26" t="e">
        <f t="shared" si="550"/>
        <v>#DIV/0!</v>
      </c>
      <c r="AO1594" s="26" t="e">
        <f t="shared" si="551"/>
        <v>#DIV/0!</v>
      </c>
      <c r="AP1594" s="26" t="e">
        <f t="shared" si="552"/>
        <v>#DIV/0!</v>
      </c>
      <c r="AS1594" s="2">
        <v>43886</v>
      </c>
      <c r="AT1594">
        <v>15.3</v>
      </c>
      <c r="AU1594">
        <v>0</v>
      </c>
      <c r="AV1594">
        <v>77.3</v>
      </c>
      <c r="AW1594">
        <v>7.1</v>
      </c>
      <c r="AX1594">
        <v>64.84</v>
      </c>
      <c r="AZ1594">
        <v>3.5</v>
      </c>
      <c r="BA1594">
        <v>161.44159999999999</v>
      </c>
      <c r="BB1594">
        <v>91.683599999999998</v>
      </c>
      <c r="BC1594">
        <v>80.959699999999998</v>
      </c>
      <c r="BD1594">
        <v>4.0726000000000004</v>
      </c>
      <c r="BE1594">
        <v>27.714200000000002</v>
      </c>
      <c r="BH1594">
        <v>62.34</v>
      </c>
    </row>
    <row r="1595" spans="1:60" x14ac:dyDescent="0.25">
      <c r="A1595" s="2">
        <v>43906</v>
      </c>
      <c r="B1595">
        <v>13.6</v>
      </c>
      <c r="C1595">
        <v>44.2</v>
      </c>
      <c r="D1595">
        <v>33.299999999999997</v>
      </c>
      <c r="E1595">
        <v>0.3</v>
      </c>
      <c r="F1595">
        <v>182.01</v>
      </c>
      <c r="G1595">
        <v>0.9</v>
      </c>
      <c r="H1595">
        <v>3.7</v>
      </c>
      <c r="I1595">
        <v>223.3227</v>
      </c>
      <c r="J1595">
        <v>123.9089</v>
      </c>
      <c r="K1595">
        <v>95.264700000000005</v>
      </c>
      <c r="L1595">
        <v>4.1124999999999998</v>
      </c>
      <c r="M1595">
        <v>26.482099999999999</v>
      </c>
      <c r="N1595">
        <v>-0.60670000000000002</v>
      </c>
      <c r="O1595">
        <v>-9.5656999999999996</v>
      </c>
      <c r="P1595">
        <v>56.54</v>
      </c>
      <c r="S1595">
        <f t="shared" si="531"/>
        <v>751.10089999999991</v>
      </c>
      <c r="T1595">
        <f t="shared" si="532"/>
        <v>1.2749523884967418E-2</v>
      </c>
      <c r="U1595">
        <f t="shared" si="533"/>
        <v>4.1435952626144114E-2</v>
      </c>
      <c r="V1595">
        <f t="shared" si="534"/>
        <v>3.1217584218339336E-2</v>
      </c>
      <c r="W1595">
        <f t="shared" si="535"/>
        <v>2.8123949746251657E-4</v>
      </c>
      <c r="X1595">
        <f t="shared" si="536"/>
        <v>0.1706280031105088</v>
      </c>
      <c r="Y1595">
        <f t="shared" si="537"/>
        <v>8.4371849238754971E-4</v>
      </c>
      <c r="Z1595">
        <f t="shared" si="538"/>
        <v>3.4686204687043713E-3</v>
      </c>
      <c r="AA1595">
        <f t="shared" si="539"/>
        <v>0.20935721306657451</v>
      </c>
      <c r="AB1595">
        <f t="shared" si="540"/>
        <v>0.11616025589044407</v>
      </c>
      <c r="AC1595">
        <f t="shared" si="541"/>
        <v>8.9307321179724675E-2</v>
      </c>
      <c r="AD1595">
        <f t="shared" si="542"/>
        <v>3.8553247777153312E-3</v>
      </c>
      <c r="AE1595">
        <f t="shared" si="543"/>
        <v>2.4826041652507035E-2</v>
      </c>
      <c r="AG1595">
        <f t="shared" si="544"/>
        <v>-2.301950409928855</v>
      </c>
      <c r="AH1595">
        <f t="shared" si="545"/>
        <v>0.28545068395102113</v>
      </c>
      <c r="AI1595">
        <f t="shared" si="546"/>
        <v>0.49876178197832927</v>
      </c>
      <c r="AK1595" s="26" t="e">
        <f t="shared" si="547"/>
        <v>#DIV/0!</v>
      </c>
      <c r="AL1595" s="26" t="e">
        <f t="shared" si="548"/>
        <v>#DIV/0!</v>
      </c>
      <c r="AM1595" s="26" t="e">
        <f t="shared" si="549"/>
        <v>#DIV/0!</v>
      </c>
      <c r="AN1595" s="26" t="e">
        <f t="shared" si="550"/>
        <v>#DIV/0!</v>
      </c>
      <c r="AO1595" s="26" t="e">
        <f t="shared" si="551"/>
        <v>#DIV/0!</v>
      </c>
      <c r="AP1595" s="26" t="e">
        <f t="shared" si="552"/>
        <v>#DIV/0!</v>
      </c>
      <c r="AS1595" s="2">
        <v>43885</v>
      </c>
      <c r="AT1595">
        <v>14.4</v>
      </c>
      <c r="AU1595">
        <v>0</v>
      </c>
      <c r="AV1595">
        <v>58.7</v>
      </c>
      <c r="AW1595">
        <v>5.4</v>
      </c>
      <c r="AX1595">
        <v>44.66</v>
      </c>
      <c r="AY1595">
        <v>0.9</v>
      </c>
      <c r="AZ1595">
        <v>3.3</v>
      </c>
      <c r="BA1595">
        <v>150.32839999999999</v>
      </c>
      <c r="BB1595">
        <v>64.860500000000002</v>
      </c>
      <c r="BC1595">
        <v>103.7116</v>
      </c>
      <c r="BD1595">
        <v>4.0601000000000003</v>
      </c>
      <c r="BE1595">
        <v>31.884799999999998</v>
      </c>
      <c r="BH1595">
        <v>62.66</v>
      </c>
    </row>
    <row r="1596" spans="1:60" x14ac:dyDescent="0.25">
      <c r="A1596" s="2">
        <v>43905</v>
      </c>
      <c r="B1596">
        <v>13.5</v>
      </c>
      <c r="C1596">
        <v>43</v>
      </c>
      <c r="D1596">
        <v>61.7</v>
      </c>
      <c r="E1596">
        <v>3.3</v>
      </c>
      <c r="F1596">
        <v>180.47</v>
      </c>
      <c r="G1596">
        <v>1</v>
      </c>
      <c r="H1596">
        <v>3.4</v>
      </c>
      <c r="I1596">
        <v>110.41549999999999</v>
      </c>
      <c r="J1596">
        <v>51.5732</v>
      </c>
      <c r="K1596">
        <v>39.726399999999998</v>
      </c>
      <c r="L1596">
        <v>4.0568</v>
      </c>
      <c r="M1596">
        <v>16.118400000000001</v>
      </c>
      <c r="P1596">
        <v>56.71</v>
      </c>
      <c r="S1596">
        <f t="shared" si="531"/>
        <v>528.26029999999992</v>
      </c>
      <c r="T1596">
        <f t="shared" si="532"/>
        <v>1.2655777385813246E-2</v>
      </c>
      <c r="U1596">
        <f t="shared" si="533"/>
        <v>4.0310994636294041E-2</v>
      </c>
      <c r="V1596">
        <f t="shared" si="534"/>
        <v>5.7841589978124247E-2</v>
      </c>
      <c r="W1596">
        <f t="shared" si="535"/>
        <v>3.0936344720876819E-3</v>
      </c>
      <c r="X1596">
        <f t="shared" si="536"/>
        <v>0.16918430702353454</v>
      </c>
      <c r="Y1596">
        <f t="shared" si="537"/>
        <v>9.3746499154172193E-4</v>
      </c>
      <c r="Z1596">
        <f t="shared" si="538"/>
        <v>3.1873809712418544E-3</v>
      </c>
      <c r="AA1596">
        <f t="shared" si="539"/>
        <v>0.10351066577357498</v>
      </c>
      <c r="AB1596">
        <f t="shared" si="540"/>
        <v>4.8348069501779535E-2</v>
      </c>
      <c r="AC1596">
        <f t="shared" si="541"/>
        <v>3.7242109239983057E-2</v>
      </c>
      <c r="AD1596">
        <f t="shared" si="542"/>
        <v>3.8031079776864574E-3</v>
      </c>
      <c r="AE1596">
        <f t="shared" si="543"/>
        <v>1.5110435719666091E-2</v>
      </c>
      <c r="AG1596">
        <f t="shared" si="544"/>
        <v>-2.3166885133321422</v>
      </c>
      <c r="AH1596">
        <f t="shared" si="545"/>
        <v>0.30232158517830343</v>
      </c>
      <c r="AI1596">
        <f t="shared" si="546"/>
        <v>0.62479834751177799</v>
      </c>
      <c r="AK1596" s="26" t="e">
        <f t="shared" si="547"/>
        <v>#DIV/0!</v>
      </c>
      <c r="AL1596" s="26" t="e">
        <f t="shared" si="548"/>
        <v>#DIV/0!</v>
      </c>
      <c r="AM1596" s="26" t="e">
        <f t="shared" si="549"/>
        <v>#DIV/0!</v>
      </c>
      <c r="AN1596" s="26" t="e">
        <f t="shared" si="550"/>
        <v>#DIV/0!</v>
      </c>
      <c r="AO1596" s="26" t="e">
        <f t="shared" si="551"/>
        <v>#DIV/0!</v>
      </c>
      <c r="AP1596" s="26" t="e">
        <f t="shared" si="552"/>
        <v>#DIV/0!</v>
      </c>
      <c r="AS1596" s="2">
        <v>43884</v>
      </c>
      <c r="AT1596">
        <v>11.9</v>
      </c>
      <c r="AU1596">
        <v>0</v>
      </c>
      <c r="AV1596">
        <v>64.2</v>
      </c>
      <c r="AW1596">
        <v>6.2</v>
      </c>
      <c r="AX1596">
        <v>22.34</v>
      </c>
      <c r="AY1596">
        <v>0.9</v>
      </c>
      <c r="AZ1596">
        <v>3.4</v>
      </c>
      <c r="BA1596">
        <v>89.286600000000007</v>
      </c>
      <c r="BB1596">
        <v>43.502000000000002</v>
      </c>
      <c r="BC1596">
        <v>31.449200000000001</v>
      </c>
      <c r="BD1596">
        <v>4.0361000000000002</v>
      </c>
      <c r="BE1596">
        <v>23.182600000000001</v>
      </c>
      <c r="BH1596">
        <v>62.96</v>
      </c>
    </row>
    <row r="1597" spans="1:60" x14ac:dyDescent="0.25">
      <c r="A1597" s="2">
        <v>43904</v>
      </c>
      <c r="B1597">
        <v>16.5</v>
      </c>
      <c r="C1597">
        <v>63.9</v>
      </c>
      <c r="D1597">
        <v>36</v>
      </c>
      <c r="E1597">
        <v>1.4</v>
      </c>
      <c r="F1597">
        <v>152.11000000000001</v>
      </c>
      <c r="G1597">
        <v>1</v>
      </c>
      <c r="H1597">
        <v>3.7</v>
      </c>
      <c r="I1597">
        <v>152.74700000000001</v>
      </c>
      <c r="J1597">
        <v>76.911100000000005</v>
      </c>
      <c r="K1597">
        <v>83.587599999999995</v>
      </c>
      <c r="L1597">
        <v>4.0575999999999999</v>
      </c>
      <c r="M1597">
        <v>22.670200000000001</v>
      </c>
      <c r="P1597">
        <v>56.76</v>
      </c>
      <c r="S1597">
        <f t="shared" si="531"/>
        <v>614.58349999999996</v>
      </c>
      <c r="T1597">
        <f t="shared" si="532"/>
        <v>1.5468172360438412E-2</v>
      </c>
      <c r="U1597">
        <f t="shared" si="533"/>
        <v>5.9904012959516029E-2</v>
      </c>
      <c r="V1597">
        <f t="shared" si="534"/>
        <v>3.3748739695501989E-2</v>
      </c>
      <c r="W1597">
        <f t="shared" si="535"/>
        <v>1.3124509881584105E-3</v>
      </c>
      <c r="X1597">
        <f t="shared" si="536"/>
        <v>0.14259779986341134</v>
      </c>
      <c r="Y1597">
        <f t="shared" si="537"/>
        <v>9.3746499154172193E-4</v>
      </c>
      <c r="Z1597">
        <f t="shared" si="538"/>
        <v>3.4686204687043713E-3</v>
      </c>
      <c r="AA1597">
        <f t="shared" si="539"/>
        <v>0.1431949650630234</v>
      </c>
      <c r="AB1597">
        <f t="shared" si="540"/>
        <v>7.2101463710964528E-2</v>
      </c>
      <c r="AC1597">
        <f t="shared" si="541"/>
        <v>7.8360448726992826E-2</v>
      </c>
      <c r="AD1597">
        <f t="shared" si="542"/>
        <v>3.8038579496796907E-3</v>
      </c>
      <c r="AE1597">
        <f t="shared" si="543"/>
        <v>2.1252518851249146E-2</v>
      </c>
      <c r="AG1597">
        <f t="shared" si="544"/>
        <v>-2.3418672748085703</v>
      </c>
      <c r="AH1597">
        <f t="shared" si="545"/>
        <v>0.27868978017852142</v>
      </c>
      <c r="AI1597">
        <f t="shared" si="546"/>
        <v>0.45216830572943062</v>
      </c>
      <c r="AK1597" s="26" t="e">
        <f t="shared" si="547"/>
        <v>#DIV/0!</v>
      </c>
      <c r="AL1597" s="26" t="e">
        <f t="shared" si="548"/>
        <v>#DIV/0!</v>
      </c>
      <c r="AM1597" s="26" t="e">
        <f t="shared" si="549"/>
        <v>#DIV/0!</v>
      </c>
      <c r="AN1597" s="26" t="e">
        <f t="shared" si="550"/>
        <v>#DIV/0!</v>
      </c>
      <c r="AO1597" s="26" t="e">
        <f t="shared" si="551"/>
        <v>#DIV/0!</v>
      </c>
      <c r="AP1597" s="26" t="e">
        <f t="shared" si="552"/>
        <v>#DIV/0!</v>
      </c>
      <c r="AS1597" s="2">
        <v>43883</v>
      </c>
      <c r="AT1597">
        <v>13.4</v>
      </c>
      <c r="AU1597">
        <v>0</v>
      </c>
      <c r="AV1597">
        <v>57.5</v>
      </c>
      <c r="AW1597">
        <v>7.5</v>
      </c>
      <c r="AX1597">
        <v>83.02</v>
      </c>
      <c r="AY1597">
        <v>0.9</v>
      </c>
      <c r="AZ1597">
        <v>3.6</v>
      </c>
      <c r="BA1597">
        <v>92.923900000000003</v>
      </c>
      <c r="BB1597">
        <v>48.475099999999998</v>
      </c>
      <c r="BC1597">
        <v>29.139700000000001</v>
      </c>
      <c r="BD1597">
        <v>4.0507999999999997</v>
      </c>
      <c r="BE1597">
        <v>10.3718</v>
      </c>
      <c r="BH1597">
        <v>63.13</v>
      </c>
    </row>
    <row r="1598" spans="1:60" x14ac:dyDescent="0.25">
      <c r="A1598" s="2">
        <v>43903</v>
      </c>
      <c r="B1598">
        <v>17.100000000000001</v>
      </c>
      <c r="C1598">
        <v>0</v>
      </c>
      <c r="D1598">
        <v>58.5</v>
      </c>
      <c r="E1598">
        <v>7.6</v>
      </c>
      <c r="F1598">
        <v>121</v>
      </c>
      <c r="G1598">
        <v>0.9</v>
      </c>
      <c r="H1598">
        <v>3.5</v>
      </c>
      <c r="I1598">
        <v>112.27290000000001</v>
      </c>
      <c r="J1598">
        <v>80.481200000000001</v>
      </c>
      <c r="K1598">
        <v>66.324799999999996</v>
      </c>
      <c r="L1598">
        <v>4.1193</v>
      </c>
      <c r="M1598">
        <v>28.937200000000001</v>
      </c>
      <c r="N1598">
        <v>0.96220000000000006</v>
      </c>
      <c r="O1598">
        <v>-8.0266999999999999</v>
      </c>
      <c r="P1598">
        <v>56.91</v>
      </c>
      <c r="S1598">
        <f t="shared" si="531"/>
        <v>500.73540000000003</v>
      </c>
      <c r="T1598">
        <f t="shared" si="532"/>
        <v>1.6030651355363447E-2</v>
      </c>
      <c r="U1598">
        <f t="shared" si="533"/>
        <v>0</v>
      </c>
      <c r="V1598">
        <f t="shared" si="534"/>
        <v>5.4841702005190729E-2</v>
      </c>
      <c r="W1598">
        <f t="shared" si="535"/>
        <v>7.1247339357170866E-3</v>
      </c>
      <c r="X1598">
        <f t="shared" si="536"/>
        <v>0.11343326397654835</v>
      </c>
      <c r="Y1598">
        <f t="shared" si="537"/>
        <v>8.4371849238754971E-4</v>
      </c>
      <c r="Z1598">
        <f t="shared" si="538"/>
        <v>3.2811274703960268E-3</v>
      </c>
      <c r="AA1598">
        <f t="shared" si="539"/>
        <v>0.1052519132488646</v>
      </c>
      <c r="AB1598">
        <f t="shared" si="540"/>
        <v>7.5448307477267634E-2</v>
      </c>
      <c r="AC1598">
        <f t="shared" si="541"/>
        <v>6.2177178071006395E-2</v>
      </c>
      <c r="AD1598">
        <f t="shared" si="542"/>
        <v>3.8616995396578151E-3</v>
      </c>
      <c r="AE1598">
        <f t="shared" si="543"/>
        <v>2.7127611953241117E-2</v>
      </c>
      <c r="AG1598">
        <f t="shared" si="544"/>
        <v>-2.3596442509764413</v>
      </c>
      <c r="AH1598">
        <f t="shared" si="545"/>
        <v>0.22268280918884428</v>
      </c>
      <c r="AI1598">
        <f t="shared" si="546"/>
        <v>4.0528301376382074E-2</v>
      </c>
      <c r="AK1598" s="26" t="e">
        <f t="shared" si="547"/>
        <v>#DIV/0!</v>
      </c>
      <c r="AL1598" s="26" t="e">
        <f t="shared" si="548"/>
        <v>#DIV/0!</v>
      </c>
      <c r="AM1598" s="26" t="e">
        <f t="shared" si="549"/>
        <v>#DIV/0!</v>
      </c>
      <c r="AN1598" s="26" t="e">
        <f t="shared" si="550"/>
        <v>#DIV/0!</v>
      </c>
      <c r="AO1598" s="26" t="e">
        <f t="shared" si="551"/>
        <v>#DIV/0!</v>
      </c>
      <c r="AP1598" s="26" t="e">
        <f t="shared" si="552"/>
        <v>#DIV/0!</v>
      </c>
      <c r="AS1598" s="2">
        <v>43882</v>
      </c>
      <c r="AT1598">
        <v>14.1</v>
      </c>
      <c r="AU1598">
        <v>0</v>
      </c>
      <c r="AV1598">
        <v>85.6</v>
      </c>
      <c r="AW1598">
        <v>7.3</v>
      </c>
      <c r="AX1598">
        <v>97.58</v>
      </c>
      <c r="AY1598">
        <v>0.9</v>
      </c>
      <c r="AZ1598">
        <v>3.7</v>
      </c>
      <c r="BA1598">
        <v>105.1164</v>
      </c>
      <c r="BB1598">
        <v>79.733599999999996</v>
      </c>
      <c r="BC1598">
        <v>80.180700000000002</v>
      </c>
      <c r="BD1598">
        <v>4.0575999999999999</v>
      </c>
      <c r="BE1598">
        <v>31.815300000000001</v>
      </c>
      <c r="BH1598">
        <v>63.34</v>
      </c>
    </row>
    <row r="1599" spans="1:60" x14ac:dyDescent="0.25">
      <c r="A1599" s="2">
        <v>43902</v>
      </c>
      <c r="B1599">
        <v>17.100000000000001</v>
      </c>
      <c r="C1599">
        <v>0</v>
      </c>
      <c r="D1599">
        <v>61.1</v>
      </c>
      <c r="E1599">
        <v>8.6</v>
      </c>
      <c r="F1599">
        <v>116.17</v>
      </c>
      <c r="G1599">
        <v>0.9</v>
      </c>
      <c r="H1599">
        <v>3.3</v>
      </c>
      <c r="I1599">
        <v>109.0866</v>
      </c>
      <c r="J1599">
        <v>81.703900000000004</v>
      </c>
      <c r="K1599">
        <v>55.665799999999997</v>
      </c>
      <c r="L1599">
        <v>4.1321000000000003</v>
      </c>
      <c r="M1599">
        <v>21.889500000000002</v>
      </c>
      <c r="N1599">
        <v>1.2807999999999999</v>
      </c>
      <c r="O1599">
        <v>-7.3849999999999998</v>
      </c>
      <c r="P1599">
        <v>57.14</v>
      </c>
      <c r="S1599">
        <f t="shared" si="531"/>
        <v>479.64789999999999</v>
      </c>
      <c r="T1599">
        <f t="shared" si="532"/>
        <v>1.6030651355363447E-2</v>
      </c>
      <c r="U1599">
        <f t="shared" si="533"/>
        <v>0</v>
      </c>
      <c r="V1599">
        <f t="shared" si="534"/>
        <v>5.7279110983199211E-2</v>
      </c>
      <c r="W1599">
        <f t="shared" si="535"/>
        <v>8.0621989272588075E-3</v>
      </c>
      <c r="X1599">
        <f t="shared" si="536"/>
        <v>0.10890530806740184</v>
      </c>
      <c r="Y1599">
        <f t="shared" si="537"/>
        <v>8.4371849238754971E-4</v>
      </c>
      <c r="Z1599">
        <f t="shared" si="538"/>
        <v>3.0936344720876819E-3</v>
      </c>
      <c r="AA1599">
        <f t="shared" si="539"/>
        <v>0.10226486854631521</v>
      </c>
      <c r="AB1599">
        <f t="shared" si="540"/>
        <v>7.6594545922425691E-2</v>
      </c>
      <c r="AC1599">
        <f t="shared" si="541"/>
        <v>5.218473872616318E-2</v>
      </c>
      <c r="AD1599">
        <f t="shared" si="542"/>
        <v>3.8736990915495496E-3</v>
      </c>
      <c r="AE1599">
        <f t="shared" si="543"/>
        <v>2.0520639932352522E-2</v>
      </c>
      <c r="AG1599">
        <f t="shared" si="544"/>
        <v>-2.3713117442839695</v>
      </c>
      <c r="AH1599">
        <f t="shared" si="545"/>
        <v>0.21473526223005107</v>
      </c>
      <c r="AI1599">
        <f t="shared" si="546"/>
        <v>-1.7836895472084714E-2</v>
      </c>
      <c r="AK1599" s="26" t="e">
        <f t="shared" si="547"/>
        <v>#DIV/0!</v>
      </c>
      <c r="AL1599" s="26" t="e">
        <f t="shared" si="548"/>
        <v>#DIV/0!</v>
      </c>
      <c r="AM1599" s="26" t="e">
        <f t="shared" si="549"/>
        <v>#DIV/0!</v>
      </c>
      <c r="AN1599" s="26" t="e">
        <f t="shared" si="550"/>
        <v>#DIV/0!</v>
      </c>
      <c r="AO1599" s="26" t="e">
        <f t="shared" si="551"/>
        <v>#DIV/0!</v>
      </c>
      <c r="AP1599" s="26" t="e">
        <f t="shared" si="552"/>
        <v>#DIV/0!</v>
      </c>
      <c r="AS1599" s="2">
        <v>43881</v>
      </c>
      <c r="AT1599">
        <v>14.5</v>
      </c>
      <c r="AU1599">
        <v>0</v>
      </c>
      <c r="AV1599">
        <v>80.900000000000006</v>
      </c>
      <c r="AW1599">
        <v>5.0999999999999996</v>
      </c>
      <c r="AX1599">
        <v>49.58</v>
      </c>
      <c r="AY1599">
        <v>0.4</v>
      </c>
      <c r="AZ1599">
        <v>3.8</v>
      </c>
      <c r="BA1599">
        <v>154.2234</v>
      </c>
      <c r="BB1599">
        <v>68.418199999999999</v>
      </c>
      <c r="BC1599">
        <v>114.0476</v>
      </c>
      <c r="BD1599">
        <v>4.0544000000000002</v>
      </c>
      <c r="BE1599">
        <v>28.992799999999999</v>
      </c>
      <c r="BH1599">
        <v>63.7</v>
      </c>
    </row>
    <row r="1600" spans="1:60" x14ac:dyDescent="0.25">
      <c r="A1600" s="2">
        <v>43901</v>
      </c>
      <c r="B1600">
        <v>16.2</v>
      </c>
      <c r="C1600">
        <v>1.1000000000000001</v>
      </c>
      <c r="D1600">
        <v>73.3</v>
      </c>
      <c r="E1600">
        <v>6.3</v>
      </c>
      <c r="F1600">
        <v>82.22</v>
      </c>
      <c r="G1600">
        <v>0.9</v>
      </c>
      <c r="H1600">
        <v>3.2</v>
      </c>
      <c r="I1600">
        <v>135.86449999999999</v>
      </c>
      <c r="J1600">
        <v>71.8108</v>
      </c>
      <c r="K1600">
        <v>74.287400000000005</v>
      </c>
      <c r="L1600">
        <v>4.0881999999999996</v>
      </c>
      <c r="M1600">
        <v>30.1768</v>
      </c>
      <c r="N1600">
        <v>0.75560000000000005</v>
      </c>
      <c r="O1600">
        <v>-8.4941999999999993</v>
      </c>
      <c r="P1600">
        <v>57.27</v>
      </c>
      <c r="S1600">
        <f t="shared" si="531"/>
        <v>499.4477</v>
      </c>
      <c r="T1600">
        <f t="shared" si="532"/>
        <v>1.5186932862975894E-2</v>
      </c>
      <c r="U1600">
        <f t="shared" si="533"/>
        <v>1.0312114906958943E-3</v>
      </c>
      <c r="V1600">
        <f t="shared" si="534"/>
        <v>6.8716183880008219E-2</v>
      </c>
      <c r="W1600">
        <f t="shared" si="535"/>
        <v>5.9060294467128483E-3</v>
      </c>
      <c r="X1600">
        <f t="shared" si="536"/>
        <v>7.7078371604560381E-2</v>
      </c>
      <c r="Y1600">
        <f t="shared" si="537"/>
        <v>8.4371849238754971E-4</v>
      </c>
      <c r="Z1600">
        <f t="shared" si="538"/>
        <v>2.9998879729335104E-3</v>
      </c>
      <c r="AA1600">
        <f t="shared" si="539"/>
        <v>0.12736821234332027</v>
      </c>
      <c r="AB1600">
        <f t="shared" si="540"/>
        <v>6.7320111014604278E-2</v>
      </c>
      <c r="AC1600">
        <f t="shared" si="541"/>
        <v>6.964183681265651E-2</v>
      </c>
      <c r="AD1600">
        <f t="shared" si="542"/>
        <v>3.8325443784208674E-3</v>
      </c>
      <c r="AE1600">
        <f t="shared" si="543"/>
        <v>2.8289693556756233E-2</v>
      </c>
      <c r="AG1600">
        <f t="shared" si="544"/>
        <v>-2.3918632909298219</v>
      </c>
      <c r="AH1600">
        <f t="shared" si="545"/>
        <v>0.20005202930703053</v>
      </c>
      <c r="AI1600">
        <f t="shared" si="546"/>
        <v>-0.12563303694279282</v>
      </c>
      <c r="AK1600" s="26" t="e">
        <f t="shared" si="547"/>
        <v>#DIV/0!</v>
      </c>
      <c r="AL1600" s="26" t="e">
        <f t="shared" si="548"/>
        <v>#DIV/0!</v>
      </c>
      <c r="AM1600" s="26" t="e">
        <f t="shared" si="549"/>
        <v>#DIV/0!</v>
      </c>
      <c r="AN1600" s="26" t="e">
        <f t="shared" si="550"/>
        <v>#DIV/0!</v>
      </c>
      <c r="AO1600" s="26" t="e">
        <f t="shared" si="551"/>
        <v>#DIV/0!</v>
      </c>
      <c r="AP1600" s="26" t="e">
        <f t="shared" si="552"/>
        <v>#DIV/0!</v>
      </c>
      <c r="AS1600" s="2">
        <v>43880</v>
      </c>
      <c r="AT1600">
        <v>13.9</v>
      </c>
      <c r="AU1600">
        <v>0</v>
      </c>
      <c r="AV1600">
        <v>71.099999999999994</v>
      </c>
      <c r="AW1600">
        <v>7.2</v>
      </c>
      <c r="AX1600">
        <v>59.24</v>
      </c>
      <c r="AZ1600">
        <v>3.8</v>
      </c>
      <c r="BA1600">
        <v>145.1611</v>
      </c>
      <c r="BB1600">
        <v>72.145799999999994</v>
      </c>
      <c r="BC1600">
        <v>100.72239999999999</v>
      </c>
      <c r="BD1600">
        <v>4.032</v>
      </c>
      <c r="BE1600">
        <v>28.250299999999999</v>
      </c>
      <c r="BH1600">
        <v>64.05</v>
      </c>
    </row>
    <row r="1601" spans="1:60" x14ac:dyDescent="0.25">
      <c r="A1601" s="2">
        <v>43900</v>
      </c>
      <c r="B1601">
        <v>14.8</v>
      </c>
      <c r="C1601">
        <v>0.1</v>
      </c>
      <c r="D1601">
        <v>76.5</v>
      </c>
      <c r="E1601">
        <v>6.9</v>
      </c>
      <c r="F1601">
        <v>33.909999999999997</v>
      </c>
      <c r="G1601">
        <v>0.5</v>
      </c>
      <c r="H1601">
        <v>3.5</v>
      </c>
      <c r="I1601">
        <v>134.44759999999999</v>
      </c>
      <c r="J1601">
        <v>102.1103</v>
      </c>
      <c r="K1601">
        <v>84.574399999999997</v>
      </c>
      <c r="L1601">
        <v>4.6031000000000004</v>
      </c>
      <c r="M1601">
        <v>22.113</v>
      </c>
      <c r="N1601">
        <v>0.7762</v>
      </c>
      <c r="O1601">
        <v>-9.2832000000000008</v>
      </c>
      <c r="P1601">
        <v>57.42</v>
      </c>
      <c r="S1601">
        <f t="shared" si="531"/>
        <v>484.05840000000001</v>
      </c>
      <c r="T1601">
        <f t="shared" si="532"/>
        <v>1.3874481874817485E-2</v>
      </c>
      <c r="U1601">
        <f t="shared" si="533"/>
        <v>9.3746499154172199E-5</v>
      </c>
      <c r="V1601">
        <f t="shared" si="534"/>
        <v>7.1716071852941723E-2</v>
      </c>
      <c r="W1601">
        <f t="shared" si="535"/>
        <v>6.4685084416378812E-3</v>
      </c>
      <c r="X1601">
        <f t="shared" si="536"/>
        <v>3.1789437863179788E-2</v>
      </c>
      <c r="Y1601">
        <f t="shared" si="537"/>
        <v>4.6873249577086097E-4</v>
      </c>
      <c r="Z1601">
        <f t="shared" si="538"/>
        <v>3.2811274703960268E-3</v>
      </c>
      <c r="AA1601">
        <f t="shared" si="539"/>
        <v>0.1260399181968048</v>
      </c>
      <c r="AB1601">
        <f t="shared" si="540"/>
        <v>9.5724831525822687E-2</v>
      </c>
      <c r="AC1601">
        <f t="shared" si="541"/>
        <v>7.9285539180646208E-2</v>
      </c>
      <c r="AD1601">
        <f t="shared" si="542"/>
        <v>4.3152451025657004E-3</v>
      </c>
      <c r="AE1601">
        <f t="shared" si="543"/>
        <v>2.0730163357962097E-2</v>
      </c>
      <c r="AG1601">
        <f t="shared" si="544"/>
        <v>-2.4114756773875685</v>
      </c>
      <c r="AH1601">
        <f t="shared" si="545"/>
        <v>0.14842226985586005</v>
      </c>
      <c r="AI1601">
        <f t="shared" si="546"/>
        <v>-0.50400230141056213</v>
      </c>
      <c r="AK1601" s="26" t="e">
        <f t="shared" si="547"/>
        <v>#DIV/0!</v>
      </c>
      <c r="AL1601" s="26" t="e">
        <f t="shared" si="548"/>
        <v>#DIV/0!</v>
      </c>
      <c r="AM1601" s="26" t="e">
        <f t="shared" si="549"/>
        <v>#DIV/0!</v>
      </c>
      <c r="AN1601" s="26" t="e">
        <f t="shared" si="550"/>
        <v>#DIV/0!</v>
      </c>
      <c r="AO1601" s="26" t="e">
        <f t="shared" si="551"/>
        <v>#DIV/0!</v>
      </c>
      <c r="AP1601" s="26" t="e">
        <f t="shared" si="552"/>
        <v>#DIV/0!</v>
      </c>
      <c r="AS1601" s="2">
        <v>43879</v>
      </c>
      <c r="AT1601">
        <v>14.8</v>
      </c>
      <c r="AU1601">
        <v>0</v>
      </c>
      <c r="AV1601">
        <v>75</v>
      </c>
      <c r="AW1601">
        <v>7.7</v>
      </c>
      <c r="AX1601">
        <v>71.33</v>
      </c>
      <c r="AY1601">
        <v>0.9</v>
      </c>
      <c r="AZ1601">
        <v>3.8</v>
      </c>
      <c r="BA1601">
        <v>122.9177</v>
      </c>
      <c r="BB1601">
        <v>72.717399999999998</v>
      </c>
      <c r="BC1601">
        <v>71.683000000000007</v>
      </c>
      <c r="BD1601">
        <v>4.0785999999999998</v>
      </c>
      <c r="BE1601">
        <v>27.648</v>
      </c>
      <c r="BH1601">
        <v>64.48</v>
      </c>
    </row>
    <row r="1602" spans="1:60" x14ac:dyDescent="0.25">
      <c r="A1602" s="2">
        <v>43899</v>
      </c>
      <c r="B1602">
        <v>13.2</v>
      </c>
      <c r="C1602">
        <v>5.7</v>
      </c>
      <c r="D1602">
        <v>36.700000000000003</v>
      </c>
      <c r="E1602">
        <v>2</v>
      </c>
      <c r="F1602">
        <v>80.959999999999994</v>
      </c>
      <c r="G1602">
        <v>0.9</v>
      </c>
      <c r="H1602">
        <v>3.2</v>
      </c>
      <c r="I1602">
        <v>225.26609999999999</v>
      </c>
      <c r="J1602">
        <v>113.9299</v>
      </c>
      <c r="K1602">
        <v>150.0284</v>
      </c>
      <c r="L1602">
        <v>4.0987999999999998</v>
      </c>
      <c r="M1602">
        <v>34.216000000000001</v>
      </c>
      <c r="N1602">
        <v>0.46010000000000001</v>
      </c>
      <c r="O1602">
        <v>-9.3497000000000003</v>
      </c>
      <c r="P1602">
        <v>57.66</v>
      </c>
      <c r="S1602">
        <f t="shared" ref="S1602:S1665" si="553">SUM(B1602:M1602)</f>
        <v>670.19920000000002</v>
      </c>
      <c r="T1602">
        <f t="shared" si="532"/>
        <v>1.2374537888350728E-2</v>
      </c>
      <c r="U1602">
        <f t="shared" si="533"/>
        <v>5.3435504517878154E-3</v>
      </c>
      <c r="V1602">
        <f t="shared" si="534"/>
        <v>3.4404965189581194E-2</v>
      </c>
      <c r="W1602">
        <f t="shared" si="535"/>
        <v>1.8749299830834439E-3</v>
      </c>
      <c r="X1602">
        <f t="shared" si="536"/>
        <v>7.5897165715217804E-2</v>
      </c>
      <c r="Y1602">
        <f t="shared" si="537"/>
        <v>8.4371849238754971E-4</v>
      </c>
      <c r="Z1602">
        <f t="shared" si="538"/>
        <v>2.9998879729335104E-3</v>
      </c>
      <c r="AA1602">
        <f t="shared" si="539"/>
        <v>0.21117908253113668</v>
      </c>
      <c r="AB1602">
        <f t="shared" si="540"/>
        <v>0.10680529273984922</v>
      </c>
      <c r="AC1602">
        <f t="shared" si="541"/>
        <v>0.14064637273701808</v>
      </c>
      <c r="AD1602">
        <f t="shared" si="542"/>
        <v>3.8424815073312096E-3</v>
      </c>
      <c r="AE1602">
        <f t="shared" si="543"/>
        <v>3.2076302150591561E-2</v>
      </c>
      <c r="AG1602">
        <f t="shared" si="544"/>
        <v>-2.4240178706184148</v>
      </c>
      <c r="AH1602">
        <f t="shared" si="545"/>
        <v>0.16581505784393361</v>
      </c>
      <c r="AI1602">
        <f t="shared" si="546"/>
        <v>-0.37820833554915373</v>
      </c>
      <c r="AK1602" s="26" t="e">
        <f t="shared" si="547"/>
        <v>#DIV/0!</v>
      </c>
      <c r="AL1602" s="26" t="e">
        <f t="shared" si="548"/>
        <v>#DIV/0!</v>
      </c>
      <c r="AM1602" s="26" t="e">
        <f t="shared" si="549"/>
        <v>#DIV/0!</v>
      </c>
      <c r="AN1602" s="26" t="e">
        <f t="shared" si="550"/>
        <v>#DIV/0!</v>
      </c>
      <c r="AO1602" s="26" t="e">
        <f t="shared" si="551"/>
        <v>#DIV/0!</v>
      </c>
      <c r="AP1602" s="26" t="e">
        <f t="shared" si="552"/>
        <v>#DIV/0!</v>
      </c>
      <c r="AS1602" s="2">
        <v>43878</v>
      </c>
      <c r="AT1602">
        <v>13.1</v>
      </c>
      <c r="AU1602">
        <v>0</v>
      </c>
      <c r="AV1602">
        <v>73.900000000000006</v>
      </c>
      <c r="AW1602">
        <v>6.9</v>
      </c>
      <c r="AX1602">
        <v>48.95</v>
      </c>
      <c r="AY1602">
        <v>0.9</v>
      </c>
      <c r="AZ1602">
        <v>3.3</v>
      </c>
      <c r="BA1602">
        <v>138.58869999999999</v>
      </c>
      <c r="BB1602">
        <v>74.567400000000006</v>
      </c>
      <c r="BC1602">
        <v>61.849699999999999</v>
      </c>
      <c r="BD1602">
        <v>4.08</v>
      </c>
      <c r="BE1602">
        <v>35.3932</v>
      </c>
      <c r="BH1602">
        <v>64.86</v>
      </c>
    </row>
    <row r="1603" spans="1:60" x14ac:dyDescent="0.25">
      <c r="A1603" s="2">
        <v>43898</v>
      </c>
      <c r="B1603">
        <v>12.9</v>
      </c>
      <c r="C1603">
        <v>0</v>
      </c>
      <c r="D1603">
        <v>73.400000000000006</v>
      </c>
      <c r="E1603">
        <v>3.1</v>
      </c>
      <c r="F1603">
        <v>107.51</v>
      </c>
      <c r="G1603">
        <v>1</v>
      </c>
      <c r="H1603">
        <v>3.4</v>
      </c>
      <c r="I1603">
        <v>129.66659999999999</v>
      </c>
      <c r="J1603">
        <v>50.143000000000001</v>
      </c>
      <c r="K1603">
        <v>48.2804</v>
      </c>
      <c r="L1603">
        <v>4.0769000000000002</v>
      </c>
      <c r="M1603">
        <v>14.864800000000001</v>
      </c>
      <c r="P1603">
        <v>57.98</v>
      </c>
      <c r="S1603">
        <f t="shared" si="553"/>
        <v>448.3417</v>
      </c>
      <c r="T1603">
        <f t="shared" si="532"/>
        <v>1.2093298390888213E-2</v>
      </c>
      <c r="U1603">
        <f t="shared" si="533"/>
        <v>0</v>
      </c>
      <c r="V1603">
        <f t="shared" si="534"/>
        <v>6.8809930379162387E-2</v>
      </c>
      <c r="W1603">
        <f t="shared" si="535"/>
        <v>2.9061414737793379E-3</v>
      </c>
      <c r="X1603">
        <f t="shared" si="536"/>
        <v>0.10078686124065053</v>
      </c>
      <c r="Y1603">
        <f t="shared" si="537"/>
        <v>9.3746499154172193E-4</v>
      </c>
      <c r="Z1603">
        <f t="shared" si="538"/>
        <v>3.1873809712418544E-3</v>
      </c>
      <c r="AA1603">
        <f t="shared" si="539"/>
        <v>0.12155789807224383</v>
      </c>
      <c r="AB1603">
        <f t="shared" si="540"/>
        <v>4.700730707087656E-2</v>
      </c>
      <c r="AC1603">
        <f t="shared" si="541"/>
        <v>4.5261184777630949E-2</v>
      </c>
      <c r="AD1603">
        <f t="shared" si="542"/>
        <v>3.821951024016446E-3</v>
      </c>
      <c r="AE1603">
        <f t="shared" si="543"/>
        <v>1.3935229606269389E-2</v>
      </c>
      <c r="AG1603">
        <f t="shared" si="544"/>
        <v>-2.4299532216033612</v>
      </c>
      <c r="AH1603">
        <f t="shared" si="545"/>
        <v>0.20265630705353341</v>
      </c>
      <c r="AI1603">
        <f t="shared" si="546"/>
        <v>-0.11029525804566138</v>
      </c>
      <c r="AK1603" s="26" t="e">
        <f t="shared" si="547"/>
        <v>#DIV/0!</v>
      </c>
      <c r="AL1603" s="26" t="e">
        <f t="shared" si="548"/>
        <v>#DIV/0!</v>
      </c>
      <c r="AM1603" s="26" t="e">
        <f t="shared" si="549"/>
        <v>#DIV/0!</v>
      </c>
      <c r="AN1603" s="26" t="e">
        <f t="shared" si="550"/>
        <v>#DIV/0!</v>
      </c>
      <c r="AO1603" s="26" t="e">
        <f t="shared" si="551"/>
        <v>#DIV/0!</v>
      </c>
      <c r="AP1603" s="26" t="e">
        <f t="shared" si="552"/>
        <v>#DIV/0!</v>
      </c>
      <c r="AS1603" s="2">
        <v>43877</v>
      </c>
      <c r="AT1603">
        <v>12.3</v>
      </c>
      <c r="AU1603">
        <v>0</v>
      </c>
      <c r="AV1603">
        <v>43.8</v>
      </c>
      <c r="AW1603">
        <v>7.4</v>
      </c>
      <c r="AX1603">
        <v>46.93</v>
      </c>
      <c r="AY1603">
        <v>0.9</v>
      </c>
      <c r="AZ1603">
        <v>3.1</v>
      </c>
      <c r="BA1603">
        <v>95.300399999999996</v>
      </c>
      <c r="BB1603">
        <v>36.655299999999997</v>
      </c>
      <c r="BC1603">
        <v>30.010100000000001</v>
      </c>
      <c r="BD1603">
        <v>4.0450999999999997</v>
      </c>
      <c r="BE1603">
        <v>13.2493</v>
      </c>
      <c r="BH1603">
        <v>65.17</v>
      </c>
    </row>
    <row r="1604" spans="1:60" x14ac:dyDescent="0.25">
      <c r="A1604" s="2">
        <v>43897</v>
      </c>
      <c r="B1604">
        <v>13.9</v>
      </c>
      <c r="C1604">
        <v>0.2</v>
      </c>
      <c r="D1604">
        <v>36.1</v>
      </c>
      <c r="E1604">
        <v>3.5</v>
      </c>
      <c r="F1604">
        <v>74.53</v>
      </c>
      <c r="G1604">
        <v>1</v>
      </c>
      <c r="H1604">
        <v>3.4</v>
      </c>
      <c r="I1604">
        <v>222.99359999999999</v>
      </c>
      <c r="J1604">
        <v>67.868899999999996</v>
      </c>
      <c r="K1604">
        <v>112.017</v>
      </c>
      <c r="L1604">
        <v>4.0540000000000003</v>
      </c>
      <c r="M1604">
        <v>22.984300000000001</v>
      </c>
      <c r="P1604">
        <v>58.13</v>
      </c>
      <c r="S1604">
        <f t="shared" si="553"/>
        <v>562.54779999999994</v>
      </c>
      <c r="T1604">
        <f t="shared" si="532"/>
        <v>1.3030763382429936E-2</v>
      </c>
      <c r="U1604">
        <f t="shared" si="533"/>
        <v>1.874929983083444E-4</v>
      </c>
      <c r="V1604">
        <f t="shared" si="534"/>
        <v>3.3842486194656164E-2</v>
      </c>
      <c r="W1604">
        <f t="shared" si="535"/>
        <v>3.2811274703960268E-3</v>
      </c>
      <c r="X1604">
        <f t="shared" si="536"/>
        <v>6.9869265819604537E-2</v>
      </c>
      <c r="Y1604">
        <f t="shared" si="537"/>
        <v>9.3746499154172193E-4</v>
      </c>
      <c r="Z1604">
        <f t="shared" si="538"/>
        <v>3.1873809712418544E-3</v>
      </c>
      <c r="AA1604">
        <f t="shared" si="539"/>
        <v>0.20904869333785811</v>
      </c>
      <c r="AB1604">
        <f t="shared" si="540"/>
        <v>6.3624717764445962E-2</v>
      </c>
      <c r="AC1604">
        <f t="shared" si="541"/>
        <v>0.10501201595752906</v>
      </c>
      <c r="AD1604">
        <f t="shared" si="542"/>
        <v>3.8004830757101407E-3</v>
      </c>
      <c r="AE1604">
        <f t="shared" si="543"/>
        <v>2.1546976605092399E-2</v>
      </c>
      <c r="AG1604">
        <f t="shared" si="544"/>
        <v>-2.4510338521113408</v>
      </c>
      <c r="AH1604">
        <f t="shared" si="545"/>
        <v>0.14588295843327098</v>
      </c>
      <c r="AI1604">
        <f t="shared" si="546"/>
        <v>-0.52395038041601871</v>
      </c>
      <c r="AK1604" s="26" t="e">
        <f t="shared" si="547"/>
        <v>#DIV/0!</v>
      </c>
      <c r="AL1604" s="26" t="e">
        <f t="shared" si="548"/>
        <v>#DIV/0!</v>
      </c>
      <c r="AM1604" s="26" t="e">
        <f t="shared" si="549"/>
        <v>#DIV/0!</v>
      </c>
      <c r="AN1604" s="26" t="e">
        <f t="shared" si="550"/>
        <v>#DIV/0!</v>
      </c>
      <c r="AO1604" s="26" t="e">
        <f t="shared" si="551"/>
        <v>#DIV/0!</v>
      </c>
      <c r="AP1604" s="26" t="e">
        <f t="shared" si="552"/>
        <v>#DIV/0!</v>
      </c>
      <c r="AS1604" s="2">
        <v>43876</v>
      </c>
      <c r="AT1604">
        <v>15.9</v>
      </c>
      <c r="AU1604">
        <v>0</v>
      </c>
      <c r="AV1604">
        <v>74.5</v>
      </c>
      <c r="AW1604">
        <v>2.6</v>
      </c>
      <c r="AX1604">
        <v>98.65</v>
      </c>
      <c r="AY1604">
        <v>0.9</v>
      </c>
      <c r="AZ1604">
        <v>3</v>
      </c>
      <c r="BA1604">
        <v>133.3486</v>
      </c>
      <c r="BB1604">
        <v>50.186199999999999</v>
      </c>
      <c r="BC1604">
        <v>60.697499999999998</v>
      </c>
      <c r="BD1604">
        <v>4.032</v>
      </c>
      <c r="BE1604">
        <v>18.253599999999999</v>
      </c>
      <c r="BH1604">
        <v>65.319999999999993</v>
      </c>
    </row>
    <row r="1605" spans="1:60" x14ac:dyDescent="0.25">
      <c r="A1605" s="2">
        <v>43896</v>
      </c>
      <c r="B1605">
        <v>14.3</v>
      </c>
      <c r="C1605">
        <v>1.8</v>
      </c>
      <c r="D1605">
        <v>63</v>
      </c>
      <c r="E1605">
        <v>3.5</v>
      </c>
      <c r="F1605">
        <v>38.549999999999997</v>
      </c>
      <c r="G1605">
        <v>0.9</v>
      </c>
      <c r="H1605">
        <v>3.4</v>
      </c>
      <c r="I1605">
        <v>222.58019999999999</v>
      </c>
      <c r="J1605">
        <v>98.969300000000004</v>
      </c>
      <c r="K1605">
        <v>132.14330000000001</v>
      </c>
      <c r="L1605">
        <v>4.032</v>
      </c>
      <c r="M1605">
        <v>34.0017</v>
      </c>
      <c r="N1605">
        <v>0.55359999999999998</v>
      </c>
      <c r="O1605">
        <v>-9.6638999999999999</v>
      </c>
      <c r="P1605">
        <v>58.31</v>
      </c>
      <c r="S1605">
        <f t="shared" si="553"/>
        <v>617.17650000000015</v>
      </c>
      <c r="T1605">
        <f t="shared" ref="T1605:T1668" si="554">B1605/$S$4</f>
        <v>1.3405749379046624E-2</v>
      </c>
      <c r="U1605">
        <f t="shared" ref="U1605:U1668" si="555">C1605/$S$4</f>
        <v>1.6874369847750994E-3</v>
      </c>
      <c r="V1605">
        <f t="shared" ref="V1605:V1668" si="556">D1605/$S$4</f>
        <v>5.9060294467128481E-2</v>
      </c>
      <c r="W1605">
        <f t="shared" ref="W1605:W1668" si="557">E1605/$S$4</f>
        <v>3.2811274703960268E-3</v>
      </c>
      <c r="X1605">
        <f t="shared" ref="X1605:X1668" si="558">F1605/$S$4</f>
        <v>3.613927542393338E-2</v>
      </c>
      <c r="Y1605">
        <f t="shared" ref="Y1605:Y1668" si="559">G1605/$S$4</f>
        <v>8.4371849238754971E-4</v>
      </c>
      <c r="Z1605">
        <f t="shared" ref="Z1605:Z1668" si="560">H1605/$S$4</f>
        <v>3.1873809712418544E-3</v>
      </c>
      <c r="AA1605">
        <f t="shared" ref="AA1605:AA1668" si="561">I1605/$S$4</f>
        <v>0.20866114531035476</v>
      </c>
      <c r="AB1605">
        <f t="shared" ref="AB1605:AB1668" si="562">J1605/$S$4</f>
        <v>9.2780253987390149E-2</v>
      </c>
      <c r="AC1605">
        <f t="shared" ref="AC1605:AC1668" si="563">K1605/$S$4</f>
        <v>0.12387971761679523</v>
      </c>
      <c r="AD1605">
        <f t="shared" ref="AD1605:AD1668" si="564">L1605/$S$4</f>
        <v>3.7798588458962229E-3</v>
      </c>
      <c r="AE1605">
        <f t="shared" ref="AE1605:AE1668" si="565">M1605/$S$4</f>
        <v>3.1875403402904165E-2</v>
      </c>
      <c r="AG1605">
        <f t="shared" ref="AG1605:AG1668" si="566">(P1605-AVERAGE(P1605:P1969)) / _xlfn.STDEV.S(P1605:P3432)</f>
        <v>-2.4702634799114449</v>
      </c>
      <c r="AH1605">
        <f t="shared" ref="AH1605:AH1668" si="567">SUM(T1605:Y1605,Z1605,AE1605)</f>
        <v>0.14948038659181317</v>
      </c>
      <c r="AI1605">
        <f t="shared" ref="AI1605:AI1668" si="568">(AH1605-AVERAGE(AH1605:AH1969))/_xlfn.STDEV.S(AH1605:AH1969)</f>
        <v>-0.49926345503202557</v>
      </c>
      <c r="AK1605" s="26" t="e">
        <f t="shared" ref="AK1605:AK1668" si="569">AVERAGEA(AH1605:AH1625)-AVERAGE(AH1971:AH1991, AH2336:AH2356, AH2701:AH2721)</f>
        <v>#DIV/0!</v>
      </c>
      <c r="AL1605" s="26" t="e">
        <f t="shared" ref="AL1605:AL1668" si="570">AVERAGEA(AH1605:AH1660)-AVERAGE(AH1971:AH2026, AH2336:AH2390, AH2701:AH2755)</f>
        <v>#DIV/0!</v>
      </c>
      <c r="AM1605" s="26" t="e">
        <f t="shared" ref="AM1605:AM1668" si="571">AVERAGEA(AH1605:AH1717)-AVERAGE(AH1971:AH2083,AH2336:AH2447,AH2701:AH2812)</f>
        <v>#DIV/0!</v>
      </c>
      <c r="AN1605" s="26" t="e">
        <f t="shared" ref="AN1605:AN1668" si="572">AVERAGEA(P1605:P1625)-AVERAGE(P1971:P1991, P2336:P2356, P2701:P2721)</f>
        <v>#DIV/0!</v>
      </c>
      <c r="AO1605" s="26" t="e">
        <f t="shared" ref="AO1605:AO1668" si="573">AVERAGEA(P1605:P1660)-AVERAGE(P1971:P2026, P2336:P2390, P2701:P2755)</f>
        <v>#DIV/0!</v>
      </c>
      <c r="AP1605" s="26" t="e">
        <f t="shared" ref="AP1605:AP1668" si="574">AVERAGEA(P1605:P1717)-AVERAGE(P1971:P2083,P2336:P2447,P2701:P2812)</f>
        <v>#DIV/0!</v>
      </c>
      <c r="AS1605" s="2">
        <v>43875</v>
      </c>
      <c r="AT1605">
        <v>15.8</v>
      </c>
      <c r="AU1605">
        <v>0</v>
      </c>
      <c r="AV1605">
        <v>21.8</v>
      </c>
      <c r="AW1605">
        <v>2</v>
      </c>
      <c r="AX1605">
        <v>36.53</v>
      </c>
      <c r="AY1605">
        <v>0.9</v>
      </c>
      <c r="AZ1605">
        <v>3.3</v>
      </c>
      <c r="BA1605">
        <v>256.96629999999999</v>
      </c>
      <c r="BB1605">
        <v>131.3082</v>
      </c>
      <c r="BC1605">
        <v>176.5711</v>
      </c>
      <c r="BD1605">
        <v>4.032</v>
      </c>
      <c r="BE1605">
        <v>35.369700000000002</v>
      </c>
      <c r="BH1605">
        <v>65.52</v>
      </c>
    </row>
    <row r="1606" spans="1:60" x14ac:dyDescent="0.25">
      <c r="A1606" s="2">
        <v>43895</v>
      </c>
      <c r="B1606">
        <v>14.2</v>
      </c>
      <c r="C1606">
        <v>0</v>
      </c>
      <c r="D1606">
        <v>20.6</v>
      </c>
      <c r="E1606">
        <v>2.5</v>
      </c>
      <c r="F1606">
        <v>80.63</v>
      </c>
      <c r="G1606">
        <v>0.9</v>
      </c>
      <c r="H1606">
        <v>3.3</v>
      </c>
      <c r="I1606">
        <v>300.19639999999998</v>
      </c>
      <c r="J1606">
        <v>179.49529999999999</v>
      </c>
      <c r="K1606">
        <v>171.3424</v>
      </c>
      <c r="L1606">
        <v>4.032</v>
      </c>
      <c r="M1606">
        <v>27.579799999999999</v>
      </c>
      <c r="N1606">
        <v>-0.1701</v>
      </c>
      <c r="O1606">
        <v>-10.4245</v>
      </c>
      <c r="P1606">
        <v>58.67</v>
      </c>
      <c r="S1606">
        <f t="shared" si="553"/>
        <v>804.77589999999998</v>
      </c>
      <c r="T1606">
        <f t="shared" si="554"/>
        <v>1.331200287989245E-2</v>
      </c>
      <c r="U1606">
        <f t="shared" si="555"/>
        <v>0</v>
      </c>
      <c r="V1606">
        <f t="shared" si="556"/>
        <v>1.9311778825759473E-2</v>
      </c>
      <c r="W1606">
        <f t="shared" si="557"/>
        <v>2.3436624788543046E-3</v>
      </c>
      <c r="X1606">
        <f t="shared" si="558"/>
        <v>7.5587802268009027E-2</v>
      </c>
      <c r="Y1606">
        <f t="shared" si="559"/>
        <v>8.4371849238754971E-4</v>
      </c>
      <c r="Z1606">
        <f t="shared" si="560"/>
        <v>3.0936344720876819E-3</v>
      </c>
      <c r="AA1606">
        <f t="shared" si="561"/>
        <v>0.28142361558685536</v>
      </c>
      <c r="AB1606">
        <f t="shared" si="562"/>
        <v>0.16827055989627882</v>
      </c>
      <c r="AC1606">
        <f t="shared" si="563"/>
        <v>0.16062750156673833</v>
      </c>
      <c r="AD1606">
        <f t="shared" si="564"/>
        <v>3.7798588458962229E-3</v>
      </c>
      <c r="AE1606">
        <f t="shared" si="565"/>
        <v>2.5855096973722382E-2</v>
      </c>
      <c r="AG1606">
        <f t="shared" si="566"/>
        <v>-2.4739610747526681</v>
      </c>
      <c r="AH1606">
        <f t="shared" si="567"/>
        <v>0.14034769639071287</v>
      </c>
      <c r="AI1606">
        <f t="shared" si="568"/>
        <v>-0.56692498661953961</v>
      </c>
      <c r="AK1606" s="26" t="e">
        <f t="shared" si="569"/>
        <v>#DIV/0!</v>
      </c>
      <c r="AL1606" s="26" t="e">
        <f t="shared" si="570"/>
        <v>#DIV/0!</v>
      </c>
      <c r="AM1606" s="26" t="e">
        <f t="shared" si="571"/>
        <v>#DIV/0!</v>
      </c>
      <c r="AN1606" s="26" t="e">
        <f t="shared" si="572"/>
        <v>#DIV/0!</v>
      </c>
      <c r="AO1606" s="26" t="e">
        <f t="shared" si="573"/>
        <v>#DIV/0!</v>
      </c>
      <c r="AP1606" s="26" t="e">
        <f t="shared" si="574"/>
        <v>#DIV/0!</v>
      </c>
      <c r="AS1606" s="2">
        <v>43874</v>
      </c>
      <c r="AT1606">
        <v>15.2</v>
      </c>
      <c r="AU1606">
        <v>2</v>
      </c>
      <c r="AV1606">
        <v>59.5</v>
      </c>
      <c r="AW1606">
        <v>4.9000000000000004</v>
      </c>
      <c r="AX1606">
        <v>43.98</v>
      </c>
      <c r="AY1606">
        <v>0.1</v>
      </c>
      <c r="AZ1606">
        <v>3.2</v>
      </c>
      <c r="BA1606">
        <v>201.9889</v>
      </c>
      <c r="BB1606">
        <v>102.1797</v>
      </c>
      <c r="BC1606">
        <v>117.1358</v>
      </c>
      <c r="BD1606">
        <v>4.0335999999999999</v>
      </c>
      <c r="BE1606">
        <v>24.214099999999998</v>
      </c>
      <c r="BH1606">
        <v>65.95</v>
      </c>
    </row>
    <row r="1607" spans="1:60" x14ac:dyDescent="0.25">
      <c r="A1607" s="2">
        <v>43894</v>
      </c>
      <c r="B1607">
        <v>15</v>
      </c>
      <c r="C1607">
        <v>0</v>
      </c>
      <c r="D1607">
        <v>19.7</v>
      </c>
      <c r="E1607">
        <v>1.7</v>
      </c>
      <c r="F1607">
        <v>89.07</v>
      </c>
      <c r="G1607">
        <v>0.3</v>
      </c>
      <c r="H1607">
        <v>3.6</v>
      </c>
      <c r="I1607">
        <v>293.93700000000001</v>
      </c>
      <c r="J1607">
        <v>218.7364</v>
      </c>
      <c r="K1607">
        <v>200.21950000000001</v>
      </c>
      <c r="L1607">
        <v>4.0334000000000003</v>
      </c>
      <c r="M1607">
        <v>29.639900000000001</v>
      </c>
      <c r="N1607">
        <v>-0.42230000000000001</v>
      </c>
      <c r="O1607">
        <v>-10.4443</v>
      </c>
      <c r="P1607">
        <v>59.13</v>
      </c>
      <c r="S1607">
        <f t="shared" si="553"/>
        <v>875.9362000000001</v>
      </c>
      <c r="T1607">
        <f t="shared" si="554"/>
        <v>1.4061974873125828E-2</v>
      </c>
      <c r="U1607">
        <f t="shared" si="555"/>
        <v>0</v>
      </c>
      <c r="V1607">
        <f t="shared" si="556"/>
        <v>1.8468060333371922E-2</v>
      </c>
      <c r="W1607">
        <f t="shared" si="557"/>
        <v>1.5936904856209272E-3</v>
      </c>
      <c r="X1607">
        <f t="shared" si="558"/>
        <v>8.350000679662116E-2</v>
      </c>
      <c r="Y1607">
        <f t="shared" si="559"/>
        <v>2.8123949746251657E-4</v>
      </c>
      <c r="Z1607">
        <f t="shared" si="560"/>
        <v>3.3748739695501988E-3</v>
      </c>
      <c r="AA1607">
        <f t="shared" si="561"/>
        <v>0.2755556472187991</v>
      </c>
      <c r="AB1607">
        <f t="shared" si="562"/>
        <v>0.2050577173758667</v>
      </c>
      <c r="AC1607">
        <f t="shared" si="563"/>
        <v>0.18769877187398781</v>
      </c>
      <c r="AD1607">
        <f t="shared" si="564"/>
        <v>3.7811712968843815E-3</v>
      </c>
      <c r="AE1607">
        <f t="shared" si="565"/>
        <v>2.7786368602797484E-2</v>
      </c>
      <c r="AG1607">
        <f t="shared" si="566"/>
        <v>-2.4684713076414471</v>
      </c>
      <c r="AH1607">
        <f t="shared" si="567"/>
        <v>0.14906621455855004</v>
      </c>
      <c r="AI1607">
        <f t="shared" si="568"/>
        <v>-0.5054016884363054</v>
      </c>
      <c r="AK1607" s="26" t="e">
        <f t="shared" si="569"/>
        <v>#DIV/0!</v>
      </c>
      <c r="AL1607" s="26" t="e">
        <f t="shared" si="570"/>
        <v>#DIV/0!</v>
      </c>
      <c r="AM1607" s="26" t="e">
        <f t="shared" si="571"/>
        <v>#DIV/0!</v>
      </c>
      <c r="AN1607" s="26" t="e">
        <f t="shared" si="572"/>
        <v>#DIV/0!</v>
      </c>
      <c r="AO1607" s="26" t="e">
        <f t="shared" si="573"/>
        <v>#DIV/0!</v>
      </c>
      <c r="AP1607" s="26" t="e">
        <f t="shared" si="574"/>
        <v>#DIV/0!</v>
      </c>
      <c r="AS1607" s="2">
        <v>43873</v>
      </c>
      <c r="AT1607">
        <v>16.100000000000001</v>
      </c>
      <c r="AU1607">
        <v>0.2</v>
      </c>
      <c r="AV1607">
        <v>69.599999999999994</v>
      </c>
      <c r="AW1607">
        <v>9.9</v>
      </c>
      <c r="AX1607">
        <v>55.21</v>
      </c>
      <c r="AZ1607">
        <v>2.7</v>
      </c>
      <c r="BA1607">
        <v>129.05969999999999</v>
      </c>
      <c r="BB1607">
        <v>90.622200000000007</v>
      </c>
      <c r="BC1607">
        <v>73.112899999999996</v>
      </c>
      <c r="BD1607">
        <v>4.0327999999999999</v>
      </c>
      <c r="BE1607">
        <v>21.9651</v>
      </c>
      <c r="BH1607">
        <v>66.48</v>
      </c>
    </row>
    <row r="1608" spans="1:60" x14ac:dyDescent="0.25">
      <c r="A1608" s="2">
        <v>43893</v>
      </c>
      <c r="B1608">
        <v>14.5</v>
      </c>
      <c r="C1608">
        <v>0.8</v>
      </c>
      <c r="D1608">
        <v>16.100000000000001</v>
      </c>
      <c r="E1608">
        <v>2.2999999999999998</v>
      </c>
      <c r="F1608">
        <v>72.709999999999994</v>
      </c>
      <c r="H1608">
        <v>3.5</v>
      </c>
      <c r="I1608">
        <v>285.38369999999998</v>
      </c>
      <c r="J1608">
        <v>218.8074</v>
      </c>
      <c r="K1608">
        <v>186.9478</v>
      </c>
      <c r="L1608">
        <v>4.0781000000000001</v>
      </c>
      <c r="M1608">
        <v>33.261499999999998</v>
      </c>
      <c r="N1608">
        <v>-0.69889999999999997</v>
      </c>
      <c r="O1608">
        <v>-9.8129000000000008</v>
      </c>
      <c r="P1608">
        <v>59.55</v>
      </c>
      <c r="S1608">
        <f t="shared" si="553"/>
        <v>838.38849999999991</v>
      </c>
      <c r="T1608">
        <f t="shared" si="554"/>
        <v>1.3593242377354967E-2</v>
      </c>
      <c r="U1608">
        <f t="shared" si="555"/>
        <v>7.4997199323337759E-4</v>
      </c>
      <c r="V1608">
        <f t="shared" si="556"/>
        <v>1.5093186363821724E-2</v>
      </c>
      <c r="W1608">
        <f t="shared" si="557"/>
        <v>2.1561694805459601E-3</v>
      </c>
      <c r="X1608">
        <f t="shared" si="558"/>
        <v>6.8163079534998589E-2</v>
      </c>
      <c r="Y1608">
        <f t="shared" si="559"/>
        <v>0</v>
      </c>
      <c r="Z1608">
        <f t="shared" si="560"/>
        <v>3.2811274703960268E-3</v>
      </c>
      <c r="AA1608">
        <f t="shared" si="561"/>
        <v>0.2675372279066453</v>
      </c>
      <c r="AB1608">
        <f t="shared" si="562"/>
        <v>0.20512427739026617</v>
      </c>
      <c r="AC1608">
        <f t="shared" si="563"/>
        <v>0.17525701774574351</v>
      </c>
      <c r="AD1608">
        <f t="shared" si="564"/>
        <v>3.8230759820062962E-3</v>
      </c>
      <c r="AE1608">
        <f t="shared" si="565"/>
        <v>3.1181491816164982E-2</v>
      </c>
      <c r="AG1608">
        <f t="shared" si="566"/>
        <v>-2.4661569121321403</v>
      </c>
      <c r="AH1608">
        <f t="shared" si="567"/>
        <v>0.13421826903651563</v>
      </c>
      <c r="AI1608">
        <f t="shared" si="568"/>
        <v>-0.61423982505165053</v>
      </c>
      <c r="AK1608" s="26" t="e">
        <f t="shared" si="569"/>
        <v>#DIV/0!</v>
      </c>
      <c r="AL1608" s="26" t="e">
        <f t="shared" si="570"/>
        <v>#DIV/0!</v>
      </c>
      <c r="AM1608" s="26" t="e">
        <f t="shared" si="571"/>
        <v>#DIV/0!</v>
      </c>
      <c r="AN1608" s="26" t="e">
        <f t="shared" si="572"/>
        <v>#DIV/0!</v>
      </c>
      <c r="AO1608" s="26" t="e">
        <f t="shared" si="573"/>
        <v>#DIV/0!</v>
      </c>
      <c r="AP1608" s="26" t="e">
        <f t="shared" si="574"/>
        <v>#DIV/0!</v>
      </c>
      <c r="AS1608" s="2">
        <v>43872</v>
      </c>
      <c r="AT1608">
        <v>16.399999999999999</v>
      </c>
      <c r="AU1608">
        <v>10.1</v>
      </c>
      <c r="AV1608">
        <v>71.8</v>
      </c>
      <c r="AW1608">
        <v>10.7</v>
      </c>
      <c r="AX1608">
        <v>55.05</v>
      </c>
      <c r="AY1608">
        <v>0.8</v>
      </c>
      <c r="AZ1608">
        <v>2.6</v>
      </c>
      <c r="BA1608">
        <v>111.1202</v>
      </c>
      <c r="BB1608">
        <v>85.389300000000006</v>
      </c>
      <c r="BC1608">
        <v>68.351299999999995</v>
      </c>
      <c r="BD1608">
        <v>4.0545999999999998</v>
      </c>
      <c r="BE1608">
        <v>26.531400000000001</v>
      </c>
      <c r="BH1608">
        <v>67.069999999999993</v>
      </c>
    </row>
    <row r="1609" spans="1:60" x14ac:dyDescent="0.25">
      <c r="A1609" s="2">
        <v>43892</v>
      </c>
      <c r="B1609">
        <v>13.1</v>
      </c>
      <c r="C1609">
        <v>3.3</v>
      </c>
      <c r="D1609">
        <v>25.8</v>
      </c>
      <c r="E1609">
        <v>2.5</v>
      </c>
      <c r="F1609">
        <v>101.37</v>
      </c>
      <c r="G1609">
        <v>0.6</v>
      </c>
      <c r="H1609">
        <v>3.5</v>
      </c>
      <c r="I1609">
        <v>250.91720000000001</v>
      </c>
      <c r="J1609">
        <v>163.3133</v>
      </c>
      <c r="K1609">
        <v>149.87029999999999</v>
      </c>
      <c r="L1609">
        <v>4.0647000000000002</v>
      </c>
      <c r="M1609">
        <v>28.436800000000002</v>
      </c>
      <c r="N1609">
        <v>-0.52980000000000005</v>
      </c>
      <c r="O1609">
        <v>-10.261900000000001</v>
      </c>
      <c r="P1609">
        <v>59.98</v>
      </c>
      <c r="S1609">
        <f t="shared" si="553"/>
        <v>746.77229999999997</v>
      </c>
      <c r="T1609">
        <f t="shared" si="554"/>
        <v>1.2280791389196556E-2</v>
      </c>
      <c r="U1609">
        <f t="shared" si="555"/>
        <v>3.0936344720876819E-3</v>
      </c>
      <c r="V1609">
        <f t="shared" si="556"/>
        <v>2.4186596781776426E-2</v>
      </c>
      <c r="W1609">
        <f t="shared" si="557"/>
        <v>2.3436624788543046E-3</v>
      </c>
      <c r="X1609">
        <f t="shared" si="558"/>
        <v>9.503082619258435E-2</v>
      </c>
      <c r="Y1609">
        <f t="shared" si="559"/>
        <v>5.6247899492503314E-4</v>
      </c>
      <c r="Z1609">
        <f t="shared" si="560"/>
        <v>3.2811274703960268E-3</v>
      </c>
      <c r="AA1609">
        <f t="shared" si="561"/>
        <v>0.23522609077567255</v>
      </c>
      <c r="AB1609">
        <f t="shared" si="562"/>
        <v>0.15310050140315068</v>
      </c>
      <c r="AC1609">
        <f t="shared" si="563"/>
        <v>0.14049815952185532</v>
      </c>
      <c r="AD1609">
        <f t="shared" si="564"/>
        <v>3.8105139511196372E-3</v>
      </c>
      <c r="AE1609">
        <f t="shared" si="565"/>
        <v>2.6658504471473637E-2</v>
      </c>
      <c r="AG1609">
        <f t="shared" si="566"/>
        <v>-2.4625525819720844</v>
      </c>
      <c r="AH1609">
        <f t="shared" si="567"/>
        <v>0.16743762225129402</v>
      </c>
      <c r="AI1609">
        <f t="shared" si="568"/>
        <v>-0.37612409484877096</v>
      </c>
      <c r="AK1609" s="26" t="e">
        <f t="shared" si="569"/>
        <v>#DIV/0!</v>
      </c>
      <c r="AL1609" s="26" t="e">
        <f t="shared" si="570"/>
        <v>#DIV/0!</v>
      </c>
      <c r="AM1609" s="26" t="e">
        <f t="shared" si="571"/>
        <v>#DIV/0!</v>
      </c>
      <c r="AN1609" s="26" t="e">
        <f t="shared" si="572"/>
        <v>#DIV/0!</v>
      </c>
      <c r="AO1609" s="26" t="e">
        <f t="shared" si="573"/>
        <v>#DIV/0!</v>
      </c>
      <c r="AP1609" s="26" t="e">
        <f t="shared" si="574"/>
        <v>#DIV/0!</v>
      </c>
      <c r="AS1609" s="2">
        <v>43871</v>
      </c>
      <c r="AT1609">
        <v>13.8</v>
      </c>
      <c r="AU1609">
        <v>0</v>
      </c>
      <c r="AV1609">
        <v>59.8</v>
      </c>
      <c r="AW1609">
        <v>8.3000000000000007</v>
      </c>
      <c r="AX1609">
        <v>57.62</v>
      </c>
      <c r="AY1609">
        <v>0.7</v>
      </c>
      <c r="AZ1609">
        <v>3</v>
      </c>
      <c r="BA1609">
        <v>108.5095</v>
      </c>
      <c r="BB1609">
        <v>78.413899999999998</v>
      </c>
      <c r="BC1609">
        <v>59.151800000000001</v>
      </c>
      <c r="BD1609">
        <v>4.0308999999999999</v>
      </c>
      <c r="BE1609">
        <v>38.589599999999997</v>
      </c>
      <c r="BH1609">
        <v>67.44</v>
      </c>
    </row>
    <row r="1610" spans="1:60" x14ac:dyDescent="0.25">
      <c r="A1610" s="2">
        <v>43891</v>
      </c>
      <c r="B1610">
        <v>12.8</v>
      </c>
      <c r="C1610">
        <v>20.5</v>
      </c>
      <c r="D1610">
        <v>61.5</v>
      </c>
      <c r="E1610">
        <v>4.8</v>
      </c>
      <c r="F1610">
        <v>100.16</v>
      </c>
      <c r="G1610">
        <v>0.9</v>
      </c>
      <c r="H1610">
        <v>3.4</v>
      </c>
      <c r="I1610">
        <v>111.3921</v>
      </c>
      <c r="J1610">
        <v>56.1068</v>
      </c>
      <c r="K1610">
        <v>37.056800000000003</v>
      </c>
      <c r="L1610">
        <v>4.0353000000000003</v>
      </c>
      <c r="M1610">
        <v>16.768799999999999</v>
      </c>
      <c r="P1610">
        <v>60.41</v>
      </c>
      <c r="S1610">
        <f t="shared" si="553"/>
        <v>429.41980000000001</v>
      </c>
      <c r="T1610">
        <f t="shared" si="554"/>
        <v>1.1999551891734041E-2</v>
      </c>
      <c r="U1610">
        <f t="shared" si="555"/>
        <v>1.9218032326605298E-2</v>
      </c>
      <c r="V1610">
        <f t="shared" si="556"/>
        <v>5.7654096979815897E-2</v>
      </c>
      <c r="W1610">
        <f t="shared" si="557"/>
        <v>4.4998319594002651E-3</v>
      </c>
      <c r="X1610">
        <f t="shared" si="558"/>
        <v>9.3896493552818858E-2</v>
      </c>
      <c r="Y1610">
        <f t="shared" si="559"/>
        <v>8.4371849238754971E-4</v>
      </c>
      <c r="Z1610">
        <f t="shared" si="560"/>
        <v>3.1873809712418544E-3</v>
      </c>
      <c r="AA1610">
        <f t="shared" si="561"/>
        <v>0.10442619408431464</v>
      </c>
      <c r="AB1610">
        <f t="shared" si="562"/>
        <v>5.2598160787433082E-2</v>
      </c>
      <c r="AC1610">
        <f t="shared" si="563"/>
        <v>3.4739452698563281E-2</v>
      </c>
      <c r="AD1610">
        <f t="shared" si="564"/>
        <v>3.7829524803683107E-3</v>
      </c>
      <c r="AE1610">
        <f t="shared" si="565"/>
        <v>1.5720162950164825E-2</v>
      </c>
      <c r="AG1610">
        <f t="shared" si="566"/>
        <v>-2.4585251831446535</v>
      </c>
      <c r="AH1610">
        <f t="shared" si="567"/>
        <v>0.20701926912416857</v>
      </c>
      <c r="AI1610">
        <f t="shared" si="568"/>
        <v>-9.1664201028835532E-2</v>
      </c>
      <c r="AK1610" s="26" t="e">
        <f t="shared" si="569"/>
        <v>#DIV/0!</v>
      </c>
      <c r="AL1610" s="26" t="e">
        <f t="shared" si="570"/>
        <v>#DIV/0!</v>
      </c>
      <c r="AM1610" s="26" t="e">
        <f t="shared" si="571"/>
        <v>#DIV/0!</v>
      </c>
      <c r="AN1610" s="26" t="e">
        <f t="shared" si="572"/>
        <v>#DIV/0!</v>
      </c>
      <c r="AO1610" s="26" t="e">
        <f t="shared" si="573"/>
        <v>#DIV/0!</v>
      </c>
      <c r="AP1610" s="26" t="e">
        <f t="shared" si="574"/>
        <v>#DIV/0!</v>
      </c>
      <c r="AS1610" s="2">
        <v>43870</v>
      </c>
      <c r="AT1610">
        <v>13.2</v>
      </c>
      <c r="AU1610">
        <v>1.7</v>
      </c>
      <c r="AV1610">
        <v>51</v>
      </c>
      <c r="AW1610">
        <v>4.8</v>
      </c>
      <c r="AX1610">
        <v>81.849999999999994</v>
      </c>
      <c r="AZ1610">
        <v>2.7</v>
      </c>
      <c r="BA1610">
        <v>105.8428</v>
      </c>
      <c r="BB1610">
        <v>55.608800000000002</v>
      </c>
      <c r="BC1610">
        <v>35.399900000000002</v>
      </c>
      <c r="BD1610">
        <v>4.0590000000000002</v>
      </c>
      <c r="BE1610">
        <v>14.2905</v>
      </c>
      <c r="BH1610">
        <v>67.78</v>
      </c>
    </row>
    <row r="1611" spans="1:60" x14ac:dyDescent="0.25">
      <c r="A1611" s="2">
        <v>43890</v>
      </c>
      <c r="B1611">
        <v>13.8</v>
      </c>
      <c r="C1611">
        <v>1.3</v>
      </c>
      <c r="D1611">
        <v>73.7</v>
      </c>
      <c r="E1611">
        <v>7</v>
      </c>
      <c r="F1611">
        <v>76.819999999999993</v>
      </c>
      <c r="G1611">
        <v>0.9</v>
      </c>
      <c r="H1611">
        <v>2.9</v>
      </c>
      <c r="I1611">
        <v>80.1417</v>
      </c>
      <c r="J1611">
        <v>59.975700000000003</v>
      </c>
      <c r="K1611">
        <v>44.3386</v>
      </c>
      <c r="L1611">
        <v>4.0503</v>
      </c>
      <c r="M1611">
        <v>11.0753</v>
      </c>
      <c r="P1611">
        <v>60.62</v>
      </c>
      <c r="S1611">
        <f t="shared" si="553"/>
        <v>376.00160000000005</v>
      </c>
      <c r="T1611">
        <f t="shared" si="554"/>
        <v>1.2937016883275762E-2</v>
      </c>
      <c r="U1611">
        <f t="shared" si="555"/>
        <v>1.2187044890042385E-3</v>
      </c>
      <c r="V1611">
        <f t="shared" si="556"/>
        <v>6.9091169876624905E-2</v>
      </c>
      <c r="W1611">
        <f t="shared" si="557"/>
        <v>6.5622549407920536E-3</v>
      </c>
      <c r="X1611">
        <f t="shared" si="558"/>
        <v>7.2016060650235067E-2</v>
      </c>
      <c r="Y1611">
        <f t="shared" si="559"/>
        <v>8.4371849238754971E-4</v>
      </c>
      <c r="Z1611">
        <f t="shared" si="560"/>
        <v>2.7186484754709935E-3</v>
      </c>
      <c r="AA1611">
        <f t="shared" si="561"/>
        <v>7.5130038112639214E-2</v>
      </c>
      <c r="AB1611">
        <f t="shared" si="562"/>
        <v>5.6225119093208854E-2</v>
      </c>
      <c r="AC1611">
        <f t="shared" si="563"/>
        <v>4.1565885273971794E-2</v>
      </c>
      <c r="AD1611">
        <f t="shared" si="564"/>
        <v>3.7970144552414362E-3</v>
      </c>
      <c r="AE1611">
        <f t="shared" si="565"/>
        <v>1.0382706020822034E-2</v>
      </c>
      <c r="AG1611">
        <f t="shared" si="566"/>
        <v>-2.4750360105478522</v>
      </c>
      <c r="AH1611">
        <f t="shared" si="567"/>
        <v>0.1757702798286126</v>
      </c>
      <c r="AI1611">
        <f t="shared" si="568"/>
        <v>-0.31670229418590251</v>
      </c>
      <c r="AK1611" s="26" t="e">
        <f t="shared" si="569"/>
        <v>#DIV/0!</v>
      </c>
      <c r="AL1611" s="26" t="e">
        <f t="shared" si="570"/>
        <v>#DIV/0!</v>
      </c>
      <c r="AM1611" s="26" t="e">
        <f t="shared" si="571"/>
        <v>#DIV/0!</v>
      </c>
      <c r="AN1611" s="26" t="e">
        <f t="shared" si="572"/>
        <v>#DIV/0!</v>
      </c>
      <c r="AO1611" s="26" t="e">
        <f t="shared" si="573"/>
        <v>#DIV/0!</v>
      </c>
      <c r="AP1611" s="26" t="e">
        <f t="shared" si="574"/>
        <v>#DIV/0!</v>
      </c>
      <c r="AS1611" s="2">
        <v>43869</v>
      </c>
      <c r="AT1611">
        <v>15.7</v>
      </c>
      <c r="AU1611">
        <v>3.3</v>
      </c>
      <c r="AV1611">
        <v>59.4</v>
      </c>
      <c r="AW1611">
        <v>2.8</v>
      </c>
      <c r="AX1611">
        <v>90.53</v>
      </c>
      <c r="AY1611">
        <v>0.9</v>
      </c>
      <c r="AZ1611">
        <v>3</v>
      </c>
      <c r="BA1611">
        <v>207.49449999999999</v>
      </c>
      <c r="BB1611">
        <v>65.451800000000006</v>
      </c>
      <c r="BC1611">
        <v>95.531899999999993</v>
      </c>
      <c r="BD1611">
        <v>4.08</v>
      </c>
      <c r="BE1611">
        <v>20.108899999999998</v>
      </c>
      <c r="BH1611">
        <v>68.069999999999993</v>
      </c>
    </row>
    <row r="1612" spans="1:60" x14ac:dyDescent="0.25">
      <c r="A1612" s="2">
        <v>43889</v>
      </c>
      <c r="B1612">
        <v>15.1</v>
      </c>
      <c r="C1612">
        <v>1.1000000000000001</v>
      </c>
      <c r="D1612">
        <v>73</v>
      </c>
      <c r="E1612">
        <v>4.9000000000000004</v>
      </c>
      <c r="F1612">
        <v>83.34</v>
      </c>
      <c r="G1612">
        <v>0.9</v>
      </c>
      <c r="H1612">
        <v>3.5</v>
      </c>
      <c r="I1612">
        <v>233.79230000000001</v>
      </c>
      <c r="J1612">
        <v>92.208500000000001</v>
      </c>
      <c r="K1612">
        <v>128.1318</v>
      </c>
      <c r="L1612">
        <v>4.0865999999999998</v>
      </c>
      <c r="M1612">
        <v>26.5261</v>
      </c>
      <c r="N1612">
        <v>0.54859999999999998</v>
      </c>
      <c r="O1612">
        <v>-8.7184000000000008</v>
      </c>
      <c r="P1612">
        <v>60.83</v>
      </c>
      <c r="S1612">
        <f t="shared" si="553"/>
        <v>666.58530000000007</v>
      </c>
      <c r="T1612">
        <f t="shared" si="554"/>
        <v>1.415572137228E-2</v>
      </c>
      <c r="U1612">
        <f t="shared" si="555"/>
        <v>1.0312114906958943E-3</v>
      </c>
      <c r="V1612">
        <f t="shared" si="556"/>
        <v>6.8434944382545701E-2</v>
      </c>
      <c r="W1612">
        <f t="shared" si="557"/>
        <v>4.5935784585544375E-3</v>
      </c>
      <c r="X1612">
        <f t="shared" si="558"/>
        <v>7.8128332395087111E-2</v>
      </c>
      <c r="Y1612">
        <f t="shared" si="559"/>
        <v>8.4371849238754971E-4</v>
      </c>
      <c r="Z1612">
        <f t="shared" si="560"/>
        <v>3.2811274703960268E-3</v>
      </c>
      <c r="AA1612">
        <f t="shared" si="561"/>
        <v>0.21917209654201972</v>
      </c>
      <c r="AB1612">
        <f t="shared" si="562"/>
        <v>8.644224067257486E-2</v>
      </c>
      <c r="AC1612">
        <f t="shared" si="563"/>
        <v>0.1201190768032256</v>
      </c>
      <c r="AD1612">
        <f t="shared" si="564"/>
        <v>3.8310444344344004E-3</v>
      </c>
      <c r="AE1612">
        <f t="shared" si="565"/>
        <v>2.4867290112134868E-2</v>
      </c>
      <c r="AG1612">
        <f t="shared" si="566"/>
        <v>-2.4921670620634804</v>
      </c>
      <c r="AH1612">
        <f t="shared" si="567"/>
        <v>0.19533592417408158</v>
      </c>
      <c r="AI1612">
        <f t="shared" si="568"/>
        <v>-0.17700797756876466</v>
      </c>
      <c r="AK1612" s="26" t="e">
        <f t="shared" si="569"/>
        <v>#DIV/0!</v>
      </c>
      <c r="AL1612" s="26" t="e">
        <f t="shared" si="570"/>
        <v>#DIV/0!</v>
      </c>
      <c r="AM1612" s="26" t="e">
        <f t="shared" si="571"/>
        <v>#DIV/0!</v>
      </c>
      <c r="AN1612" s="26" t="e">
        <f t="shared" si="572"/>
        <v>#DIV/0!</v>
      </c>
      <c r="AO1612" s="26" t="e">
        <f t="shared" si="573"/>
        <v>#DIV/0!</v>
      </c>
      <c r="AP1612" s="26" t="e">
        <f t="shared" si="574"/>
        <v>#DIV/0!</v>
      </c>
      <c r="AS1612" s="2">
        <v>43868</v>
      </c>
      <c r="AT1612">
        <v>16.899999999999999</v>
      </c>
      <c r="AU1612">
        <v>0.5</v>
      </c>
      <c r="AV1612">
        <v>23.9</v>
      </c>
      <c r="AW1612">
        <v>1.3</v>
      </c>
      <c r="AX1612">
        <v>79.27</v>
      </c>
      <c r="AY1612">
        <v>0.9</v>
      </c>
      <c r="AZ1612">
        <v>3.1</v>
      </c>
      <c r="BA1612">
        <v>317.55009999999999</v>
      </c>
      <c r="BB1612">
        <v>183.11619999999999</v>
      </c>
      <c r="BC1612">
        <v>189.80340000000001</v>
      </c>
      <c r="BD1612">
        <v>4.1704999999999997</v>
      </c>
      <c r="BE1612">
        <v>28.0931</v>
      </c>
      <c r="BH1612">
        <v>68.47</v>
      </c>
    </row>
    <row r="1613" spans="1:60" x14ac:dyDescent="0.25">
      <c r="A1613" s="2">
        <v>43888</v>
      </c>
      <c r="B1613">
        <v>14.7</v>
      </c>
      <c r="C1613">
        <v>18.100000000000001</v>
      </c>
      <c r="D1613">
        <v>33.299999999999997</v>
      </c>
      <c r="E1613">
        <v>2.2999999999999998</v>
      </c>
      <c r="F1613">
        <v>53.64</v>
      </c>
      <c r="G1613">
        <v>0.9</v>
      </c>
      <c r="H1613">
        <v>3.5</v>
      </c>
      <c r="I1613">
        <v>252.30680000000001</v>
      </c>
      <c r="J1613">
        <v>155.9907</v>
      </c>
      <c r="K1613">
        <v>183.059</v>
      </c>
      <c r="L1613">
        <v>4.3047000000000004</v>
      </c>
      <c r="M1613">
        <v>38.882199999999997</v>
      </c>
      <c r="N1613">
        <v>0.5393</v>
      </c>
      <c r="O1613">
        <v>-9.2248999999999999</v>
      </c>
      <c r="P1613">
        <v>61.29</v>
      </c>
      <c r="S1613">
        <f t="shared" si="553"/>
        <v>760.98339999999996</v>
      </c>
      <c r="T1613">
        <f t="shared" si="554"/>
        <v>1.3780735375663312E-2</v>
      </c>
      <c r="U1613">
        <f t="shared" si="555"/>
        <v>1.696811634690517E-2</v>
      </c>
      <c r="V1613">
        <f t="shared" si="556"/>
        <v>3.1217584218339336E-2</v>
      </c>
      <c r="W1613">
        <f t="shared" si="557"/>
        <v>2.1561694805459601E-3</v>
      </c>
      <c r="X1613">
        <f t="shared" si="558"/>
        <v>5.0285622146297962E-2</v>
      </c>
      <c r="Y1613">
        <f t="shared" si="559"/>
        <v>8.4371849238754971E-4</v>
      </c>
      <c r="Z1613">
        <f t="shared" si="560"/>
        <v>3.2811274703960268E-3</v>
      </c>
      <c r="AA1613">
        <f t="shared" si="561"/>
        <v>0.23652879212791894</v>
      </c>
      <c r="AB1613">
        <f t="shared" si="562"/>
        <v>0.14623582025608728</v>
      </c>
      <c r="AC1613">
        <f t="shared" si="563"/>
        <v>0.17161140388663607</v>
      </c>
      <c r="AD1613">
        <f t="shared" si="564"/>
        <v>4.0355055490896505E-3</v>
      </c>
      <c r="AE1613">
        <f t="shared" si="565"/>
        <v>3.645070129412354E-2</v>
      </c>
      <c r="AG1613">
        <f t="shared" si="566"/>
        <v>-2.4855811260413354</v>
      </c>
      <c r="AH1613">
        <f t="shared" si="567"/>
        <v>0.15498377482465886</v>
      </c>
      <c r="AI1613">
        <f t="shared" si="568"/>
        <v>-0.46651236324362383</v>
      </c>
      <c r="AK1613" s="26" t="e">
        <f t="shared" si="569"/>
        <v>#DIV/0!</v>
      </c>
      <c r="AL1613" s="26" t="e">
        <f t="shared" si="570"/>
        <v>#DIV/0!</v>
      </c>
      <c r="AM1613" s="26" t="e">
        <f t="shared" si="571"/>
        <v>#DIV/0!</v>
      </c>
      <c r="AN1613" s="26" t="e">
        <f t="shared" si="572"/>
        <v>#DIV/0!</v>
      </c>
      <c r="AO1613" s="26" t="e">
        <f t="shared" si="573"/>
        <v>#DIV/0!</v>
      </c>
      <c r="AP1613" s="26" t="e">
        <f t="shared" si="574"/>
        <v>#DIV/0!</v>
      </c>
      <c r="AS1613" s="2">
        <v>43867</v>
      </c>
      <c r="AT1613">
        <v>18.3</v>
      </c>
      <c r="AU1613">
        <v>18</v>
      </c>
      <c r="AV1613">
        <v>33.700000000000003</v>
      </c>
      <c r="AW1613">
        <v>2.9</v>
      </c>
      <c r="AX1613">
        <v>66.06</v>
      </c>
      <c r="AY1613">
        <v>0.9</v>
      </c>
      <c r="AZ1613">
        <v>3.1</v>
      </c>
      <c r="BA1613">
        <v>307.46080000000001</v>
      </c>
      <c r="BB1613">
        <v>210.49459999999999</v>
      </c>
      <c r="BC1613">
        <v>191.31870000000001</v>
      </c>
      <c r="BD1613">
        <v>4.2321999999999997</v>
      </c>
      <c r="BE1613">
        <v>29.986999999999998</v>
      </c>
      <c r="BH1613">
        <v>68.98</v>
      </c>
    </row>
    <row r="1614" spans="1:60" x14ac:dyDescent="0.25">
      <c r="A1614" s="2">
        <v>43887</v>
      </c>
      <c r="B1614">
        <v>14.7</v>
      </c>
      <c r="C1614">
        <v>1.5</v>
      </c>
      <c r="D1614">
        <v>25.3</v>
      </c>
      <c r="E1614">
        <v>3.5</v>
      </c>
      <c r="F1614">
        <v>58.87</v>
      </c>
      <c r="G1614">
        <v>0.4</v>
      </c>
      <c r="H1614">
        <v>3.5</v>
      </c>
      <c r="I1614">
        <v>239.12379999999999</v>
      </c>
      <c r="J1614">
        <v>96.576800000000006</v>
      </c>
      <c r="K1614">
        <v>146.14320000000001</v>
      </c>
      <c r="L1614">
        <v>4.0631000000000004</v>
      </c>
      <c r="M1614">
        <v>33.762900000000002</v>
      </c>
      <c r="N1614">
        <v>0.16850000000000001</v>
      </c>
      <c r="O1614">
        <v>-9.8856000000000002</v>
      </c>
      <c r="P1614">
        <v>61.83</v>
      </c>
      <c r="S1614">
        <f t="shared" si="553"/>
        <v>627.43979999999988</v>
      </c>
      <c r="T1614">
        <f t="shared" si="554"/>
        <v>1.3780735375663312E-2</v>
      </c>
      <c r="U1614">
        <f t="shared" si="555"/>
        <v>1.406197487312583E-3</v>
      </c>
      <c r="V1614">
        <f t="shared" si="556"/>
        <v>2.3717864286005565E-2</v>
      </c>
      <c r="W1614">
        <f t="shared" si="557"/>
        <v>3.2811274703960268E-3</v>
      </c>
      <c r="X1614">
        <f t="shared" si="558"/>
        <v>5.5188564052061163E-2</v>
      </c>
      <c r="Y1614">
        <f t="shared" si="559"/>
        <v>3.7498599661668879E-4</v>
      </c>
      <c r="Z1614">
        <f t="shared" si="560"/>
        <v>3.2811274703960268E-3</v>
      </c>
      <c r="AA1614">
        <f t="shared" si="561"/>
        <v>0.22417019114442438</v>
      </c>
      <c r="AB1614">
        <f t="shared" si="562"/>
        <v>9.0537368995126571E-2</v>
      </c>
      <c r="AC1614">
        <f t="shared" si="563"/>
        <v>0.13700413375188017</v>
      </c>
      <c r="AD1614">
        <f t="shared" si="564"/>
        <v>3.8090140071331707E-3</v>
      </c>
      <c r="AE1614">
        <f t="shared" si="565"/>
        <v>3.1651536762924003E-2</v>
      </c>
      <c r="AG1614">
        <f t="shared" si="566"/>
        <v>-2.4704943634483105</v>
      </c>
      <c r="AH1614">
        <f t="shared" si="567"/>
        <v>0.13268213890137537</v>
      </c>
      <c r="AI1614">
        <f t="shared" si="568"/>
        <v>-0.62729676552840841</v>
      </c>
      <c r="AK1614" s="26" t="e">
        <f t="shared" si="569"/>
        <v>#DIV/0!</v>
      </c>
      <c r="AL1614" s="26" t="e">
        <f t="shared" si="570"/>
        <v>#DIV/0!</v>
      </c>
      <c r="AM1614" s="26" t="e">
        <f t="shared" si="571"/>
        <v>#DIV/0!</v>
      </c>
      <c r="AN1614" s="26" t="e">
        <f t="shared" si="572"/>
        <v>#DIV/0!</v>
      </c>
      <c r="AO1614" s="26" t="e">
        <f t="shared" si="573"/>
        <v>#DIV/0!</v>
      </c>
      <c r="AP1614" s="26" t="e">
        <f t="shared" si="574"/>
        <v>#DIV/0!</v>
      </c>
      <c r="AS1614" s="2">
        <v>43866</v>
      </c>
      <c r="AT1614">
        <v>19</v>
      </c>
      <c r="AU1614">
        <v>6.5</v>
      </c>
      <c r="AV1614">
        <v>28.3</v>
      </c>
      <c r="AW1614">
        <v>3.9</v>
      </c>
      <c r="AX1614">
        <v>88.37</v>
      </c>
      <c r="AY1614">
        <v>0.9</v>
      </c>
      <c r="AZ1614">
        <v>2.4</v>
      </c>
      <c r="BA1614">
        <v>268.20620000000002</v>
      </c>
      <c r="BB1614">
        <v>150.58959999999999</v>
      </c>
      <c r="BC1614">
        <v>184.36609999999999</v>
      </c>
      <c r="BD1614">
        <v>4.2076000000000002</v>
      </c>
      <c r="BE1614">
        <v>30.959700000000002</v>
      </c>
      <c r="BH1614">
        <v>69.64</v>
      </c>
    </row>
    <row r="1615" spans="1:60" x14ac:dyDescent="0.25">
      <c r="A1615" s="2">
        <v>43886</v>
      </c>
      <c r="B1615">
        <v>15.3</v>
      </c>
      <c r="C1615">
        <v>0</v>
      </c>
      <c r="D1615">
        <v>77.3</v>
      </c>
      <c r="E1615">
        <v>7.1</v>
      </c>
      <c r="F1615">
        <v>64.84</v>
      </c>
      <c r="H1615">
        <v>3.5</v>
      </c>
      <c r="I1615">
        <v>161.44159999999999</v>
      </c>
      <c r="J1615">
        <v>91.683599999999998</v>
      </c>
      <c r="K1615">
        <v>80.959699999999998</v>
      </c>
      <c r="L1615">
        <v>4.0726000000000004</v>
      </c>
      <c r="M1615">
        <v>27.714200000000002</v>
      </c>
      <c r="N1615">
        <v>0.55200000000000005</v>
      </c>
      <c r="O1615">
        <v>-9.4862000000000002</v>
      </c>
      <c r="P1615">
        <v>62.34</v>
      </c>
      <c r="S1615">
        <f t="shared" si="553"/>
        <v>533.9117</v>
      </c>
      <c r="T1615">
        <f t="shared" si="554"/>
        <v>1.4343214370588346E-2</v>
      </c>
      <c r="U1615">
        <f t="shared" si="555"/>
        <v>0</v>
      </c>
      <c r="V1615">
        <f t="shared" si="556"/>
        <v>7.2466043846175096E-2</v>
      </c>
      <c r="W1615">
        <f t="shared" si="557"/>
        <v>6.6560014399462252E-3</v>
      </c>
      <c r="X1615">
        <f t="shared" si="558"/>
        <v>6.0785230051565255E-2</v>
      </c>
      <c r="Y1615">
        <f t="shared" si="559"/>
        <v>0</v>
      </c>
      <c r="Z1615">
        <f t="shared" si="560"/>
        <v>3.2811274703960268E-3</v>
      </c>
      <c r="AA1615">
        <f t="shared" si="561"/>
        <v>0.15134584817848204</v>
      </c>
      <c r="AB1615">
        <f t="shared" si="562"/>
        <v>8.5950165298514611E-2</v>
      </c>
      <c r="AC1615">
        <f t="shared" si="563"/>
        <v>7.5896884475720336E-2</v>
      </c>
      <c r="AD1615">
        <f t="shared" si="564"/>
        <v>3.817919924552817E-3</v>
      </c>
      <c r="AE1615">
        <f t="shared" si="565"/>
        <v>2.5981092268585592E-2</v>
      </c>
      <c r="AG1615">
        <f t="shared" si="566"/>
        <v>-2.4573369516288226</v>
      </c>
      <c r="AH1615">
        <f t="shared" si="567"/>
        <v>0.18351270944725653</v>
      </c>
      <c r="AI1615">
        <f t="shared" si="568"/>
        <v>-0.26630984345912467</v>
      </c>
      <c r="AK1615" s="26" t="e">
        <f t="shared" si="569"/>
        <v>#DIV/0!</v>
      </c>
      <c r="AL1615" s="26" t="e">
        <f t="shared" si="570"/>
        <v>#DIV/0!</v>
      </c>
      <c r="AM1615" s="26" t="e">
        <f t="shared" si="571"/>
        <v>#DIV/0!</v>
      </c>
      <c r="AN1615" s="26" t="e">
        <f t="shared" si="572"/>
        <v>#DIV/0!</v>
      </c>
      <c r="AO1615" s="26" t="e">
        <f t="shared" si="573"/>
        <v>#DIV/0!</v>
      </c>
      <c r="AP1615" s="26" t="e">
        <f t="shared" si="574"/>
        <v>#DIV/0!</v>
      </c>
      <c r="AS1615" s="2">
        <v>43865</v>
      </c>
      <c r="AT1615">
        <v>16.899999999999999</v>
      </c>
      <c r="AU1615">
        <v>16</v>
      </c>
      <c r="AV1615">
        <v>62.1</v>
      </c>
      <c r="AW1615">
        <v>5.5</v>
      </c>
      <c r="AX1615">
        <v>49.81</v>
      </c>
      <c r="AY1615">
        <v>0.9</v>
      </c>
      <c r="AZ1615">
        <v>2.8</v>
      </c>
      <c r="BA1615">
        <v>227.71440000000001</v>
      </c>
      <c r="BB1615">
        <v>76.125600000000006</v>
      </c>
      <c r="BC1615">
        <v>95.590900000000005</v>
      </c>
      <c r="BD1615">
        <v>4.2626999999999997</v>
      </c>
      <c r="BE1615">
        <v>26.0654</v>
      </c>
      <c r="BH1615">
        <v>70.17</v>
      </c>
    </row>
    <row r="1616" spans="1:60" x14ac:dyDescent="0.25">
      <c r="A1616" s="2">
        <v>43885</v>
      </c>
      <c r="B1616">
        <v>14.4</v>
      </c>
      <c r="C1616">
        <v>0</v>
      </c>
      <c r="D1616">
        <v>58.7</v>
      </c>
      <c r="E1616">
        <v>5.4</v>
      </c>
      <c r="F1616">
        <v>44.66</v>
      </c>
      <c r="G1616">
        <v>0.9</v>
      </c>
      <c r="H1616">
        <v>3.3</v>
      </c>
      <c r="I1616">
        <v>150.32839999999999</v>
      </c>
      <c r="J1616">
        <v>64.860500000000002</v>
      </c>
      <c r="K1616">
        <v>103.7116</v>
      </c>
      <c r="L1616">
        <v>4.0601000000000003</v>
      </c>
      <c r="M1616">
        <v>31.884799999999998</v>
      </c>
      <c r="N1616">
        <v>0.1222</v>
      </c>
      <c r="O1616">
        <v>-10.0297</v>
      </c>
      <c r="P1616">
        <v>62.66</v>
      </c>
      <c r="S1616">
        <f t="shared" si="553"/>
        <v>482.20539999999994</v>
      </c>
      <c r="T1616">
        <f t="shared" si="554"/>
        <v>1.3499495878200795E-2</v>
      </c>
      <c r="U1616">
        <f t="shared" si="555"/>
        <v>0</v>
      </c>
      <c r="V1616">
        <f t="shared" si="556"/>
        <v>5.5029195003499079E-2</v>
      </c>
      <c r="W1616">
        <f t="shared" si="557"/>
        <v>5.0623109543252989E-3</v>
      </c>
      <c r="X1616">
        <f t="shared" si="558"/>
        <v>4.1867186522253297E-2</v>
      </c>
      <c r="Y1616">
        <f t="shared" si="559"/>
        <v>8.4371849238754971E-4</v>
      </c>
      <c r="Z1616">
        <f t="shared" si="560"/>
        <v>3.0936344720876819E-3</v>
      </c>
      <c r="AA1616">
        <f t="shared" si="561"/>
        <v>0.14092761223448058</v>
      </c>
      <c r="AB1616">
        <f t="shared" si="562"/>
        <v>6.0804448083891856E-2</v>
      </c>
      <c r="AC1616">
        <f t="shared" si="563"/>
        <v>9.7225994216778452E-2</v>
      </c>
      <c r="AD1616">
        <f t="shared" si="564"/>
        <v>3.8062016121585456E-3</v>
      </c>
      <c r="AE1616">
        <f t="shared" si="565"/>
        <v>2.9890883762309493E-2</v>
      </c>
      <c r="AG1616">
        <f t="shared" si="566"/>
        <v>-2.4623761671801963</v>
      </c>
      <c r="AH1616">
        <f t="shared" si="567"/>
        <v>0.14928642508506321</v>
      </c>
      <c r="AI1616">
        <f t="shared" si="568"/>
        <v>-0.5108614443838807</v>
      </c>
      <c r="AK1616" s="26" t="e">
        <f t="shared" si="569"/>
        <v>#DIV/0!</v>
      </c>
      <c r="AL1616" s="26" t="e">
        <f t="shared" si="570"/>
        <v>#DIV/0!</v>
      </c>
      <c r="AM1616" s="26" t="e">
        <f t="shared" si="571"/>
        <v>#DIV/0!</v>
      </c>
      <c r="AN1616" s="26" t="e">
        <f t="shared" si="572"/>
        <v>#DIV/0!</v>
      </c>
      <c r="AO1616" s="26" t="e">
        <f t="shared" si="573"/>
        <v>#DIV/0!</v>
      </c>
      <c r="AP1616" s="26" t="e">
        <f t="shared" si="574"/>
        <v>#DIV/0!</v>
      </c>
      <c r="AS1616" s="2">
        <v>43864</v>
      </c>
      <c r="AT1616">
        <v>17.899999999999999</v>
      </c>
      <c r="AU1616">
        <v>337.2</v>
      </c>
      <c r="AV1616">
        <v>51.2</v>
      </c>
      <c r="AW1616">
        <v>5.4</v>
      </c>
      <c r="AX1616">
        <v>22.63</v>
      </c>
      <c r="AY1616">
        <v>0.9</v>
      </c>
      <c r="AZ1616">
        <v>2.9</v>
      </c>
      <c r="BA1616">
        <v>181.81450000000001</v>
      </c>
      <c r="BB1616">
        <v>57.9816</v>
      </c>
      <c r="BC1616">
        <v>92.793400000000005</v>
      </c>
      <c r="BD1616">
        <v>4.2881</v>
      </c>
      <c r="BE1616">
        <v>29.951899999999998</v>
      </c>
      <c r="BH1616">
        <v>70.62</v>
      </c>
    </row>
    <row r="1617" spans="1:60" x14ac:dyDescent="0.25">
      <c r="A1617" s="2">
        <v>43884</v>
      </c>
      <c r="B1617">
        <v>11.9</v>
      </c>
      <c r="C1617">
        <v>0</v>
      </c>
      <c r="D1617">
        <v>64.2</v>
      </c>
      <c r="E1617">
        <v>6.2</v>
      </c>
      <c r="F1617">
        <v>22.34</v>
      </c>
      <c r="G1617">
        <v>0.9</v>
      </c>
      <c r="H1617">
        <v>3.4</v>
      </c>
      <c r="I1617">
        <v>89.286600000000007</v>
      </c>
      <c r="J1617">
        <v>43.502000000000002</v>
      </c>
      <c r="K1617">
        <v>31.449200000000001</v>
      </c>
      <c r="L1617">
        <v>4.0361000000000002</v>
      </c>
      <c r="M1617">
        <v>23.182600000000001</v>
      </c>
      <c r="P1617">
        <v>62.96</v>
      </c>
      <c r="S1617">
        <f t="shared" si="553"/>
        <v>300.3965</v>
      </c>
      <c r="T1617">
        <f t="shared" si="554"/>
        <v>1.115583339934649E-2</v>
      </c>
      <c r="U1617">
        <f t="shared" si="555"/>
        <v>0</v>
      </c>
      <c r="V1617">
        <f t="shared" si="556"/>
        <v>6.0185252456978547E-2</v>
      </c>
      <c r="W1617">
        <f t="shared" si="557"/>
        <v>5.8122829475586758E-3</v>
      </c>
      <c r="X1617">
        <f t="shared" si="558"/>
        <v>2.0942967911042068E-2</v>
      </c>
      <c r="Y1617">
        <f t="shared" si="559"/>
        <v>8.4371849238754971E-4</v>
      </c>
      <c r="Z1617">
        <f t="shared" si="560"/>
        <v>3.1873809712418544E-3</v>
      </c>
      <c r="AA1617">
        <f t="shared" si="561"/>
        <v>8.370306171378912E-2</v>
      </c>
      <c r="AB1617">
        <f t="shared" si="562"/>
        <v>4.0781602062047992E-2</v>
      </c>
      <c r="AC1617">
        <f t="shared" si="563"/>
        <v>2.9482524011993923E-2</v>
      </c>
      <c r="AD1617">
        <f t="shared" si="564"/>
        <v>3.783702452361544E-3</v>
      </c>
      <c r="AE1617">
        <f t="shared" si="565"/>
        <v>2.1732875912915124E-2</v>
      </c>
      <c r="AG1617">
        <f t="shared" si="566"/>
        <v>-2.4694711543335139</v>
      </c>
      <c r="AH1617">
        <f t="shared" si="567"/>
        <v>0.1238603120914703</v>
      </c>
      <c r="AI1617">
        <f t="shared" si="568"/>
        <v>-0.69322868014978234</v>
      </c>
      <c r="AK1617" s="26" t="e">
        <f t="shared" si="569"/>
        <v>#DIV/0!</v>
      </c>
      <c r="AL1617" s="26" t="e">
        <f t="shared" si="570"/>
        <v>#DIV/0!</v>
      </c>
      <c r="AM1617" s="26" t="e">
        <f t="shared" si="571"/>
        <v>#DIV/0!</v>
      </c>
      <c r="AN1617" s="26" t="e">
        <f t="shared" si="572"/>
        <v>#DIV/0!</v>
      </c>
      <c r="AO1617" s="26" t="e">
        <f t="shared" si="573"/>
        <v>#DIV/0!</v>
      </c>
      <c r="AP1617" s="26" t="e">
        <f t="shared" si="574"/>
        <v>#DIV/0!</v>
      </c>
      <c r="AS1617" s="2">
        <v>43863</v>
      </c>
      <c r="AT1617">
        <v>11.7</v>
      </c>
      <c r="AU1617">
        <v>3.2</v>
      </c>
      <c r="AV1617">
        <v>27.8</v>
      </c>
      <c r="AW1617">
        <v>4.5999999999999996</v>
      </c>
      <c r="AX1617">
        <v>19.12</v>
      </c>
      <c r="AY1617">
        <v>0.9</v>
      </c>
      <c r="AZ1617">
        <v>2.5</v>
      </c>
      <c r="BA1617">
        <v>138.84440000000001</v>
      </c>
      <c r="BB1617">
        <v>36.944099999999999</v>
      </c>
      <c r="BC1617">
        <v>54.407699999999998</v>
      </c>
      <c r="BD1617">
        <v>4.2736000000000001</v>
      </c>
      <c r="BE1617">
        <v>26.935600000000001</v>
      </c>
      <c r="BH1617">
        <v>70.989999999999995</v>
      </c>
    </row>
    <row r="1618" spans="1:60" x14ac:dyDescent="0.25">
      <c r="A1618" s="2">
        <v>43883</v>
      </c>
      <c r="B1618">
        <v>13.4</v>
      </c>
      <c r="C1618">
        <v>0</v>
      </c>
      <c r="D1618">
        <v>57.5</v>
      </c>
      <c r="E1618">
        <v>7.5</v>
      </c>
      <c r="F1618">
        <v>83.02</v>
      </c>
      <c r="G1618">
        <v>0.9</v>
      </c>
      <c r="H1618">
        <v>3.6</v>
      </c>
      <c r="I1618">
        <v>92.923900000000003</v>
      </c>
      <c r="J1618">
        <v>48.475099999999998</v>
      </c>
      <c r="K1618">
        <v>29.139700000000001</v>
      </c>
      <c r="L1618">
        <v>4.0507999999999997</v>
      </c>
      <c r="M1618">
        <v>10.3718</v>
      </c>
      <c r="P1618">
        <v>63.13</v>
      </c>
      <c r="S1618">
        <f t="shared" si="553"/>
        <v>350.88130000000001</v>
      </c>
      <c r="T1618">
        <f t="shared" si="554"/>
        <v>1.2562030886659074E-2</v>
      </c>
      <c r="U1618">
        <f t="shared" si="555"/>
        <v>0</v>
      </c>
      <c r="V1618">
        <f t="shared" si="556"/>
        <v>5.3904237013649013E-2</v>
      </c>
      <c r="W1618">
        <f t="shared" si="557"/>
        <v>7.0309874365629141E-3</v>
      </c>
      <c r="X1618">
        <f t="shared" si="558"/>
        <v>7.7828343597793753E-2</v>
      </c>
      <c r="Y1618">
        <f t="shared" si="559"/>
        <v>8.4371849238754971E-4</v>
      </c>
      <c r="Z1618">
        <f t="shared" si="560"/>
        <v>3.3748739695501988E-3</v>
      </c>
      <c r="AA1618">
        <f t="shared" si="561"/>
        <v>8.7112903127523816E-2</v>
      </c>
      <c r="AB1618">
        <f t="shared" si="562"/>
        <v>4.5443709211484121E-2</v>
      </c>
      <c r="AC1618">
        <f t="shared" si="563"/>
        <v>2.7317448614028315E-2</v>
      </c>
      <c r="AD1618">
        <f t="shared" si="564"/>
        <v>3.7974831877372068E-3</v>
      </c>
      <c r="AE1618">
        <f t="shared" si="565"/>
        <v>9.7231993992724312E-3</v>
      </c>
      <c r="AG1618">
        <f t="shared" si="566"/>
        <v>-2.4900796410266381</v>
      </c>
      <c r="AH1618">
        <f t="shared" si="567"/>
        <v>0.16526739079587491</v>
      </c>
      <c r="AI1618">
        <f t="shared" si="568"/>
        <v>-0.40142370598058252</v>
      </c>
      <c r="AK1618" s="26" t="e">
        <f t="shared" si="569"/>
        <v>#DIV/0!</v>
      </c>
      <c r="AL1618" s="26" t="e">
        <f t="shared" si="570"/>
        <v>#DIV/0!</v>
      </c>
      <c r="AM1618" s="26" t="e">
        <f t="shared" si="571"/>
        <v>#DIV/0!</v>
      </c>
      <c r="AN1618" s="26" t="e">
        <f t="shared" si="572"/>
        <v>#DIV/0!</v>
      </c>
      <c r="AO1618" s="26" t="e">
        <f t="shared" si="573"/>
        <v>#DIV/0!</v>
      </c>
      <c r="AP1618" s="26" t="e">
        <f t="shared" si="574"/>
        <v>#DIV/0!</v>
      </c>
      <c r="AS1618" s="2">
        <v>43862</v>
      </c>
      <c r="AT1618">
        <v>11.5</v>
      </c>
      <c r="AU1618">
        <v>1.3</v>
      </c>
      <c r="AV1618">
        <v>73.5</v>
      </c>
      <c r="AW1618">
        <v>7.2</v>
      </c>
      <c r="AX1618">
        <v>35.1</v>
      </c>
      <c r="AY1618">
        <v>0.9</v>
      </c>
      <c r="AZ1618">
        <v>2.9</v>
      </c>
      <c r="BA1618">
        <v>94.575100000000006</v>
      </c>
      <c r="BB1618">
        <v>44.845999999999997</v>
      </c>
      <c r="BC1618">
        <v>41.210700000000003</v>
      </c>
      <c r="BD1618">
        <v>4.2992999999999997</v>
      </c>
      <c r="BE1618">
        <v>22.449000000000002</v>
      </c>
      <c r="BH1618">
        <v>71.19</v>
      </c>
    </row>
    <row r="1619" spans="1:60" x14ac:dyDescent="0.25">
      <c r="A1619" s="2">
        <v>43882</v>
      </c>
      <c r="B1619">
        <v>14.1</v>
      </c>
      <c r="C1619">
        <v>0</v>
      </c>
      <c r="D1619">
        <v>85.6</v>
      </c>
      <c r="E1619">
        <v>7.3</v>
      </c>
      <c r="F1619">
        <v>97.58</v>
      </c>
      <c r="G1619">
        <v>0.9</v>
      </c>
      <c r="H1619">
        <v>3.7</v>
      </c>
      <c r="I1619">
        <v>105.1164</v>
      </c>
      <c r="J1619">
        <v>79.733599999999996</v>
      </c>
      <c r="K1619">
        <v>80.180700000000002</v>
      </c>
      <c r="L1619">
        <v>4.0575999999999999</v>
      </c>
      <c r="M1619">
        <v>31.815300000000001</v>
      </c>
      <c r="N1619">
        <v>-0.93210000000000004</v>
      </c>
      <c r="O1619">
        <v>-11.174799999999999</v>
      </c>
      <c r="P1619">
        <v>63.34</v>
      </c>
      <c r="S1619">
        <f t="shared" si="553"/>
        <v>510.08359999999993</v>
      </c>
      <c r="T1619">
        <f t="shared" si="554"/>
        <v>1.3218256380738279E-2</v>
      </c>
      <c r="U1619">
        <f t="shared" si="555"/>
        <v>0</v>
      </c>
      <c r="V1619">
        <f t="shared" si="556"/>
        <v>8.0247003275971396E-2</v>
      </c>
      <c r="W1619">
        <f t="shared" si="557"/>
        <v>6.8434944382545701E-3</v>
      </c>
      <c r="X1619">
        <f t="shared" si="558"/>
        <v>9.1477833874641229E-2</v>
      </c>
      <c r="Y1619">
        <f t="shared" si="559"/>
        <v>8.4371849238754971E-4</v>
      </c>
      <c r="Z1619">
        <f t="shared" si="560"/>
        <v>3.4686204687043713E-3</v>
      </c>
      <c r="AA1619">
        <f t="shared" si="561"/>
        <v>9.8542945036896257E-2</v>
      </c>
      <c r="AB1619">
        <f t="shared" si="562"/>
        <v>7.4747458649591036E-2</v>
      </c>
      <c r="AC1619">
        <f t="shared" si="563"/>
        <v>7.516659924730934E-2</v>
      </c>
      <c r="AD1619">
        <f t="shared" si="564"/>
        <v>3.8038579496796907E-3</v>
      </c>
      <c r="AE1619">
        <f t="shared" si="565"/>
        <v>2.9825729945397346E-2</v>
      </c>
      <c r="AG1619">
        <f t="shared" si="566"/>
        <v>-2.5073775395481896</v>
      </c>
      <c r="AH1619">
        <f t="shared" si="567"/>
        <v>0.22592465687609473</v>
      </c>
      <c r="AI1619">
        <f t="shared" si="568"/>
        <v>2.7611495952714265E-2</v>
      </c>
      <c r="AK1619" s="26" t="e">
        <f t="shared" si="569"/>
        <v>#DIV/0!</v>
      </c>
      <c r="AL1619" s="26" t="e">
        <f t="shared" si="570"/>
        <v>#DIV/0!</v>
      </c>
      <c r="AM1619" s="26" t="e">
        <f t="shared" si="571"/>
        <v>#DIV/0!</v>
      </c>
      <c r="AN1619" s="26" t="e">
        <f t="shared" si="572"/>
        <v>#DIV/0!</v>
      </c>
      <c r="AO1619" s="26" t="e">
        <f t="shared" si="573"/>
        <v>#DIV/0!</v>
      </c>
      <c r="AP1619" s="26" t="e">
        <f t="shared" si="574"/>
        <v>#DIV/0!</v>
      </c>
      <c r="AS1619" s="2">
        <v>43861</v>
      </c>
      <c r="AT1619">
        <v>10.6</v>
      </c>
      <c r="AU1619">
        <v>1.4</v>
      </c>
      <c r="AV1619">
        <v>68.3</v>
      </c>
      <c r="AW1619">
        <v>7.7</v>
      </c>
      <c r="AX1619">
        <v>36.01</v>
      </c>
      <c r="AY1619">
        <v>0.8</v>
      </c>
      <c r="AZ1619">
        <v>3.2</v>
      </c>
      <c r="BA1619">
        <v>158.38659999999999</v>
      </c>
      <c r="BB1619">
        <v>74.312399999999997</v>
      </c>
      <c r="BC1619">
        <v>82.464299999999994</v>
      </c>
      <c r="BD1619">
        <v>4.1936999999999998</v>
      </c>
      <c r="BE1619">
        <v>28.752400000000002</v>
      </c>
      <c r="BH1619">
        <v>71.37</v>
      </c>
    </row>
    <row r="1620" spans="1:60" x14ac:dyDescent="0.25">
      <c r="A1620" s="2">
        <v>43881</v>
      </c>
      <c r="B1620">
        <v>14.5</v>
      </c>
      <c r="C1620">
        <v>0</v>
      </c>
      <c r="D1620">
        <v>80.900000000000006</v>
      </c>
      <c r="E1620">
        <v>5.0999999999999996</v>
      </c>
      <c r="F1620">
        <v>49.58</v>
      </c>
      <c r="G1620">
        <v>0.4</v>
      </c>
      <c r="H1620">
        <v>3.8</v>
      </c>
      <c r="I1620">
        <v>154.2234</v>
      </c>
      <c r="J1620">
        <v>68.418199999999999</v>
      </c>
      <c r="K1620">
        <v>114.0476</v>
      </c>
      <c r="L1620">
        <v>4.0544000000000002</v>
      </c>
      <c r="M1620">
        <v>28.992799999999999</v>
      </c>
      <c r="N1620">
        <v>-0.99109999999999998</v>
      </c>
      <c r="O1620">
        <v>-11.193</v>
      </c>
      <c r="P1620">
        <v>63.7</v>
      </c>
      <c r="S1620">
        <f t="shared" si="553"/>
        <v>524.01639999999998</v>
      </c>
      <c r="T1620">
        <f t="shared" si="554"/>
        <v>1.3593242377354967E-2</v>
      </c>
      <c r="U1620">
        <f t="shared" si="555"/>
        <v>0</v>
      </c>
      <c r="V1620">
        <f t="shared" si="556"/>
        <v>7.5840917815725314E-2</v>
      </c>
      <c r="W1620">
        <f t="shared" si="557"/>
        <v>4.7810714568627816E-3</v>
      </c>
      <c r="X1620">
        <f t="shared" si="558"/>
        <v>4.6479514280638567E-2</v>
      </c>
      <c r="Y1620">
        <f t="shared" si="559"/>
        <v>3.7498599661668879E-4</v>
      </c>
      <c r="Z1620">
        <f t="shared" si="560"/>
        <v>3.5623669678585433E-3</v>
      </c>
      <c r="AA1620">
        <f t="shared" si="561"/>
        <v>0.1445790383765356</v>
      </c>
      <c r="AB1620">
        <f t="shared" si="562"/>
        <v>6.4139667284299831E-2</v>
      </c>
      <c r="AC1620">
        <f t="shared" si="563"/>
        <v>0.10691563236935368</v>
      </c>
      <c r="AD1620">
        <f t="shared" si="564"/>
        <v>3.8008580617067576E-3</v>
      </c>
      <c r="AE1620">
        <f t="shared" si="565"/>
        <v>2.7179735006770834E-2</v>
      </c>
      <c r="AG1620">
        <f t="shared" si="566"/>
        <v>-2.5095468760647486</v>
      </c>
      <c r="AH1620">
        <f t="shared" si="567"/>
        <v>0.17181183390182772</v>
      </c>
      <c r="AI1620">
        <f t="shared" si="568"/>
        <v>-0.35513620803055063</v>
      </c>
      <c r="AK1620" s="26" t="e">
        <f t="shared" si="569"/>
        <v>#DIV/0!</v>
      </c>
      <c r="AL1620" s="26" t="e">
        <f t="shared" si="570"/>
        <v>#DIV/0!</v>
      </c>
      <c r="AM1620" s="26" t="e">
        <f t="shared" si="571"/>
        <v>#DIV/0!</v>
      </c>
      <c r="AN1620" s="26" t="e">
        <f t="shared" si="572"/>
        <v>#DIV/0!</v>
      </c>
      <c r="AO1620" s="26" t="e">
        <f t="shared" si="573"/>
        <v>#DIV/0!</v>
      </c>
      <c r="AP1620" s="26" t="e">
        <f t="shared" si="574"/>
        <v>#DIV/0!</v>
      </c>
      <c r="AS1620" s="2">
        <v>43860</v>
      </c>
      <c r="AT1620">
        <v>10.8</v>
      </c>
      <c r="AU1620">
        <v>3.6</v>
      </c>
      <c r="AV1620">
        <v>66.099999999999994</v>
      </c>
      <c r="AW1620">
        <v>7.2</v>
      </c>
      <c r="AX1620">
        <v>47.91</v>
      </c>
      <c r="AY1620">
        <v>0.9</v>
      </c>
      <c r="AZ1620">
        <v>3.3</v>
      </c>
      <c r="BA1620">
        <v>181.06659999999999</v>
      </c>
      <c r="BB1620">
        <v>103.9747</v>
      </c>
      <c r="BC1620">
        <v>94.973399999999998</v>
      </c>
      <c r="BD1620">
        <v>4.1792999999999996</v>
      </c>
      <c r="BE1620">
        <v>27.614000000000001</v>
      </c>
      <c r="BH1620">
        <v>71.87</v>
      </c>
    </row>
    <row r="1621" spans="1:60" x14ac:dyDescent="0.25">
      <c r="A1621" s="2">
        <v>43880</v>
      </c>
      <c r="B1621">
        <v>13.9</v>
      </c>
      <c r="C1621">
        <v>0</v>
      </c>
      <c r="D1621">
        <v>71.099999999999994</v>
      </c>
      <c r="E1621">
        <v>7.2</v>
      </c>
      <c r="F1621">
        <v>59.24</v>
      </c>
      <c r="H1621">
        <v>3.8</v>
      </c>
      <c r="I1621">
        <v>145.1611</v>
      </c>
      <c r="J1621">
        <v>72.145799999999994</v>
      </c>
      <c r="K1621">
        <v>100.72239999999999</v>
      </c>
      <c r="L1621">
        <v>4.032</v>
      </c>
      <c r="M1621">
        <v>28.250299999999999</v>
      </c>
      <c r="N1621">
        <v>-1.0763</v>
      </c>
      <c r="O1621">
        <v>-11.7301</v>
      </c>
      <c r="P1621">
        <v>64.05</v>
      </c>
      <c r="S1621">
        <f t="shared" si="553"/>
        <v>505.55160000000001</v>
      </c>
      <c r="T1621">
        <f t="shared" si="554"/>
        <v>1.3030763382429936E-2</v>
      </c>
      <c r="U1621">
        <f t="shared" si="555"/>
        <v>0</v>
      </c>
      <c r="V1621">
        <f t="shared" si="556"/>
        <v>6.6653760898616424E-2</v>
      </c>
      <c r="W1621">
        <f t="shared" si="557"/>
        <v>6.7497479391003977E-3</v>
      </c>
      <c r="X1621">
        <f t="shared" si="558"/>
        <v>5.5535426098931605E-2</v>
      </c>
      <c r="Y1621">
        <f t="shared" si="559"/>
        <v>0</v>
      </c>
      <c r="Z1621">
        <f t="shared" si="560"/>
        <v>3.5623669678585433E-3</v>
      </c>
      <c r="AA1621">
        <f t="shared" si="561"/>
        <v>0.13608344938368705</v>
      </c>
      <c r="AB1621">
        <f t="shared" si="562"/>
        <v>6.7634161786770758E-2</v>
      </c>
      <c r="AC1621">
        <f t="shared" si="563"/>
        <v>9.442372386406192E-2</v>
      </c>
      <c r="AD1621">
        <f t="shared" si="564"/>
        <v>3.7798588458962229E-3</v>
      </c>
      <c r="AE1621">
        <f t="shared" si="565"/>
        <v>2.6483667250551107E-2</v>
      </c>
      <c r="AG1621">
        <f t="shared" si="566"/>
        <v>-2.5126108451786351</v>
      </c>
      <c r="AH1621">
        <f t="shared" si="567"/>
        <v>0.172015732537488</v>
      </c>
      <c r="AI1621">
        <f t="shared" si="568"/>
        <v>-0.354640252838548</v>
      </c>
      <c r="AK1621" s="26" t="e">
        <f t="shared" si="569"/>
        <v>#DIV/0!</v>
      </c>
      <c r="AL1621" s="26" t="e">
        <f t="shared" si="570"/>
        <v>#DIV/0!</v>
      </c>
      <c r="AM1621" s="26" t="e">
        <f t="shared" si="571"/>
        <v>#DIV/0!</v>
      </c>
      <c r="AN1621" s="26" t="e">
        <f t="shared" si="572"/>
        <v>#DIV/0!</v>
      </c>
      <c r="AO1621" s="26" t="e">
        <f t="shared" si="573"/>
        <v>#DIV/0!</v>
      </c>
      <c r="AP1621" s="26" t="e">
        <f t="shared" si="574"/>
        <v>#DIV/0!</v>
      </c>
      <c r="AS1621" s="2">
        <v>43859</v>
      </c>
      <c r="AT1621">
        <v>10.8</v>
      </c>
      <c r="AU1621">
        <v>3.7</v>
      </c>
      <c r="AV1621">
        <v>65.5</v>
      </c>
      <c r="AW1621">
        <v>8.1999999999999993</v>
      </c>
      <c r="AX1621">
        <v>26.5</v>
      </c>
      <c r="AY1621">
        <v>0.9</v>
      </c>
      <c r="AZ1621">
        <v>3</v>
      </c>
      <c r="BA1621">
        <v>163.31739999999999</v>
      </c>
      <c r="BB1621">
        <v>108.5145</v>
      </c>
      <c r="BC1621">
        <v>120.133</v>
      </c>
      <c r="BD1621">
        <v>4.1787000000000001</v>
      </c>
      <c r="BE1621">
        <v>23.005199999999999</v>
      </c>
      <c r="BH1621">
        <v>72.3</v>
      </c>
    </row>
    <row r="1622" spans="1:60" x14ac:dyDescent="0.25">
      <c r="A1622" s="2">
        <v>43879</v>
      </c>
      <c r="B1622">
        <v>14.8</v>
      </c>
      <c r="C1622">
        <v>0</v>
      </c>
      <c r="D1622">
        <v>75</v>
      </c>
      <c r="E1622">
        <v>7.7</v>
      </c>
      <c r="F1622">
        <v>71.33</v>
      </c>
      <c r="G1622">
        <v>0.9</v>
      </c>
      <c r="H1622">
        <v>3.8</v>
      </c>
      <c r="I1622">
        <v>122.9177</v>
      </c>
      <c r="J1622">
        <v>72.717399999999998</v>
      </c>
      <c r="K1622">
        <v>71.683000000000007</v>
      </c>
      <c r="L1622">
        <v>4.0785999999999998</v>
      </c>
      <c r="M1622">
        <v>27.648</v>
      </c>
      <c r="N1622">
        <v>-0.50719999999999998</v>
      </c>
      <c r="O1622">
        <v>-11.3849</v>
      </c>
      <c r="P1622">
        <v>64.48</v>
      </c>
      <c r="S1622">
        <f t="shared" si="553"/>
        <v>472.57470000000001</v>
      </c>
      <c r="T1622">
        <f t="shared" si="554"/>
        <v>1.3874481874817485E-2</v>
      </c>
      <c r="U1622">
        <f t="shared" si="555"/>
        <v>0</v>
      </c>
      <c r="V1622">
        <f t="shared" si="556"/>
        <v>7.0309874365629146E-2</v>
      </c>
      <c r="W1622">
        <f t="shared" si="557"/>
        <v>7.218480434871259E-3</v>
      </c>
      <c r="X1622">
        <f t="shared" si="558"/>
        <v>6.6869377846671019E-2</v>
      </c>
      <c r="Y1622">
        <f t="shared" si="559"/>
        <v>8.4371849238754971E-4</v>
      </c>
      <c r="Z1622">
        <f t="shared" si="560"/>
        <v>3.5623669678585433E-3</v>
      </c>
      <c r="AA1622">
        <f t="shared" si="561"/>
        <v>0.11523104059082791</v>
      </c>
      <c r="AB1622">
        <f t="shared" si="562"/>
        <v>6.817001677593601E-2</v>
      </c>
      <c r="AC1622">
        <f t="shared" si="563"/>
        <v>6.7200302988685262E-2</v>
      </c>
      <c r="AD1622">
        <f t="shared" si="564"/>
        <v>3.8235447145020668E-3</v>
      </c>
      <c r="AE1622">
        <f t="shared" si="565"/>
        <v>2.5919032086145526E-2</v>
      </c>
      <c r="AG1622">
        <f t="shared" si="566"/>
        <v>-2.5069202565752393</v>
      </c>
      <c r="AH1622">
        <f t="shared" si="567"/>
        <v>0.18859733206838053</v>
      </c>
      <c r="AI1622">
        <f t="shared" si="568"/>
        <v>-0.23876977819961981</v>
      </c>
      <c r="AK1622" s="26" t="e">
        <f t="shared" si="569"/>
        <v>#DIV/0!</v>
      </c>
      <c r="AL1622" s="26" t="e">
        <f t="shared" si="570"/>
        <v>#DIV/0!</v>
      </c>
      <c r="AM1622" s="26" t="e">
        <f t="shared" si="571"/>
        <v>#DIV/0!</v>
      </c>
      <c r="AN1622" s="26" t="e">
        <f t="shared" si="572"/>
        <v>#DIV/0!</v>
      </c>
      <c r="AO1622" s="26" t="e">
        <f t="shared" si="573"/>
        <v>#DIV/0!</v>
      </c>
      <c r="AP1622" s="26" t="e">
        <f t="shared" si="574"/>
        <v>#DIV/0!</v>
      </c>
      <c r="AS1622" s="2">
        <v>43858</v>
      </c>
      <c r="AT1622">
        <v>10.6</v>
      </c>
      <c r="AU1622">
        <v>2</v>
      </c>
      <c r="AV1622">
        <v>55.3</v>
      </c>
      <c r="AW1622">
        <v>6.7</v>
      </c>
      <c r="AX1622">
        <v>26.1</v>
      </c>
      <c r="AY1622">
        <v>0.9</v>
      </c>
      <c r="AZ1622">
        <v>2.9</v>
      </c>
      <c r="BA1622">
        <v>183.92</v>
      </c>
      <c r="BB1622">
        <v>92.062399999999997</v>
      </c>
      <c r="BC1622">
        <v>104.7912</v>
      </c>
      <c r="BD1622">
        <v>4.2480000000000002</v>
      </c>
      <c r="BE1622">
        <v>22.764399999999998</v>
      </c>
      <c r="BH1622">
        <v>72.94</v>
      </c>
    </row>
    <row r="1623" spans="1:60" x14ac:dyDescent="0.25">
      <c r="A1623" s="2">
        <v>43878</v>
      </c>
      <c r="B1623">
        <v>13.1</v>
      </c>
      <c r="C1623">
        <v>0</v>
      </c>
      <c r="D1623">
        <v>73.900000000000006</v>
      </c>
      <c r="E1623">
        <v>6.9</v>
      </c>
      <c r="F1623">
        <v>48.95</v>
      </c>
      <c r="G1623">
        <v>0.9</v>
      </c>
      <c r="H1623">
        <v>3.3</v>
      </c>
      <c r="I1623">
        <v>138.58869999999999</v>
      </c>
      <c r="J1623">
        <v>74.567400000000006</v>
      </c>
      <c r="K1623">
        <v>61.849699999999999</v>
      </c>
      <c r="L1623">
        <v>4.08</v>
      </c>
      <c r="M1623">
        <v>35.3932</v>
      </c>
      <c r="N1623">
        <v>-0.73560000000000003</v>
      </c>
      <c r="O1623">
        <v>-12.749000000000001</v>
      </c>
      <c r="P1623">
        <v>64.86</v>
      </c>
      <c r="S1623">
        <f t="shared" si="553"/>
        <v>461.529</v>
      </c>
      <c r="T1623">
        <f t="shared" si="554"/>
        <v>1.2280791389196556E-2</v>
      </c>
      <c r="U1623">
        <f t="shared" si="555"/>
        <v>0</v>
      </c>
      <c r="V1623">
        <f t="shared" si="556"/>
        <v>6.9278662874933256E-2</v>
      </c>
      <c r="W1623">
        <f t="shared" si="557"/>
        <v>6.4685084416378812E-3</v>
      </c>
      <c r="X1623">
        <f t="shared" si="558"/>
        <v>4.5888911335967293E-2</v>
      </c>
      <c r="Y1623">
        <f t="shared" si="559"/>
        <v>8.4371849238754971E-4</v>
      </c>
      <c r="Z1623">
        <f t="shared" si="560"/>
        <v>3.0936344720876819E-3</v>
      </c>
      <c r="AA1623">
        <f t="shared" si="561"/>
        <v>0.12992205447327823</v>
      </c>
      <c r="AB1623">
        <f t="shared" si="562"/>
        <v>6.9904327010288203E-2</v>
      </c>
      <c r="AC1623">
        <f t="shared" si="563"/>
        <v>5.7981928487358038E-2</v>
      </c>
      <c r="AD1623">
        <f t="shared" si="564"/>
        <v>3.8248571654902253E-3</v>
      </c>
      <c r="AE1623">
        <f t="shared" si="565"/>
        <v>3.3179885938634475E-2</v>
      </c>
      <c r="AG1623">
        <f t="shared" si="566"/>
        <v>-2.5060645625933518</v>
      </c>
      <c r="AH1623">
        <f t="shared" si="567"/>
        <v>0.17103411294484466</v>
      </c>
      <c r="AI1623">
        <f t="shared" si="568"/>
        <v>-0.36282324190783172</v>
      </c>
      <c r="AK1623" s="26" t="e">
        <f t="shared" si="569"/>
        <v>#DIV/0!</v>
      </c>
      <c r="AL1623" s="26" t="e">
        <f t="shared" si="570"/>
        <v>#DIV/0!</v>
      </c>
      <c r="AM1623" s="26" t="e">
        <f t="shared" si="571"/>
        <v>#DIV/0!</v>
      </c>
      <c r="AN1623" s="26" t="e">
        <f t="shared" si="572"/>
        <v>#DIV/0!</v>
      </c>
      <c r="AO1623" s="26" t="e">
        <f t="shared" si="573"/>
        <v>#DIV/0!</v>
      </c>
      <c r="AP1623" s="26" t="e">
        <f t="shared" si="574"/>
        <v>#DIV/0!</v>
      </c>
      <c r="AS1623" s="2">
        <v>43857</v>
      </c>
      <c r="AT1623">
        <v>9.5</v>
      </c>
      <c r="AU1623">
        <v>36.200000000000003</v>
      </c>
      <c r="AV1623">
        <v>61.2</v>
      </c>
      <c r="AW1623">
        <v>0.9</v>
      </c>
      <c r="AX1623">
        <v>41.88</v>
      </c>
      <c r="AY1623">
        <v>0.9</v>
      </c>
      <c r="AZ1623">
        <v>3.2</v>
      </c>
      <c r="BA1623">
        <v>256.27949999999998</v>
      </c>
      <c r="BB1623">
        <v>147.70150000000001</v>
      </c>
      <c r="BC1623">
        <v>151.4513</v>
      </c>
      <c r="BD1623">
        <v>4.2474999999999996</v>
      </c>
      <c r="BE1623">
        <v>28.503599999999999</v>
      </c>
      <c r="BH1623">
        <v>73.7</v>
      </c>
    </row>
    <row r="1624" spans="1:60" x14ac:dyDescent="0.25">
      <c r="A1624" s="2">
        <v>43877</v>
      </c>
      <c r="B1624">
        <v>12.3</v>
      </c>
      <c r="C1624">
        <v>0</v>
      </c>
      <c r="D1624">
        <v>43.8</v>
      </c>
      <c r="E1624">
        <v>7.4</v>
      </c>
      <c r="F1624">
        <v>46.93</v>
      </c>
      <c r="G1624">
        <v>0.9</v>
      </c>
      <c r="H1624">
        <v>3.1</v>
      </c>
      <c r="I1624">
        <v>95.300399999999996</v>
      </c>
      <c r="J1624">
        <v>36.655299999999997</v>
      </c>
      <c r="K1624">
        <v>30.010100000000001</v>
      </c>
      <c r="L1624">
        <v>4.0450999999999997</v>
      </c>
      <c r="M1624">
        <v>13.2493</v>
      </c>
      <c r="P1624">
        <v>65.17</v>
      </c>
      <c r="S1624">
        <f t="shared" si="553"/>
        <v>293.6902</v>
      </c>
      <c r="T1624">
        <f t="shared" si="554"/>
        <v>1.153081939596318E-2</v>
      </c>
      <c r="U1624">
        <f t="shared" si="555"/>
        <v>0</v>
      </c>
      <c r="V1624">
        <f t="shared" si="556"/>
        <v>4.1060966629527414E-2</v>
      </c>
      <c r="W1624">
        <f t="shared" si="557"/>
        <v>6.9372409374087425E-3</v>
      </c>
      <c r="X1624">
        <f t="shared" si="558"/>
        <v>4.3995232053053009E-2</v>
      </c>
      <c r="Y1624">
        <f t="shared" si="559"/>
        <v>8.4371849238754971E-4</v>
      </c>
      <c r="Z1624">
        <f t="shared" si="560"/>
        <v>2.9061414737793379E-3</v>
      </c>
      <c r="AA1624">
        <f t="shared" si="561"/>
        <v>8.9340788679922706E-2</v>
      </c>
      <c r="AB1624">
        <f t="shared" si="562"/>
        <v>3.4363060504459274E-2</v>
      </c>
      <c r="AC1624">
        <f t="shared" si="563"/>
        <v>2.813341814266623E-2</v>
      </c>
      <c r="AD1624">
        <f t="shared" si="564"/>
        <v>3.7921396372854188E-3</v>
      </c>
      <c r="AE1624">
        <f t="shared" si="565"/>
        <v>1.2420754912433735E-2</v>
      </c>
      <c r="AG1624">
        <f t="shared" si="566"/>
        <v>-2.512591214678725</v>
      </c>
      <c r="AH1624">
        <f t="shared" si="567"/>
        <v>0.11969487389455298</v>
      </c>
      <c r="AI1624">
        <f t="shared" si="568"/>
        <v>-0.72391828039445472</v>
      </c>
      <c r="AK1624" s="26" t="e">
        <f t="shared" si="569"/>
        <v>#DIV/0!</v>
      </c>
      <c r="AL1624" s="26" t="e">
        <f t="shared" si="570"/>
        <v>#DIV/0!</v>
      </c>
      <c r="AM1624" s="26" t="e">
        <f t="shared" si="571"/>
        <v>#DIV/0!</v>
      </c>
      <c r="AN1624" s="26" t="e">
        <f t="shared" si="572"/>
        <v>#DIV/0!</v>
      </c>
      <c r="AO1624" s="26" t="e">
        <f t="shared" si="573"/>
        <v>#DIV/0!</v>
      </c>
      <c r="AP1624" s="26" t="e">
        <f t="shared" si="574"/>
        <v>#DIV/0!</v>
      </c>
      <c r="AS1624" s="2">
        <v>43856</v>
      </c>
      <c r="AT1624">
        <v>10.1</v>
      </c>
      <c r="AU1624">
        <v>2.2000000000000002</v>
      </c>
      <c r="AV1624">
        <v>47</v>
      </c>
      <c r="AW1624">
        <v>0.6</v>
      </c>
      <c r="AX1624">
        <v>38.14</v>
      </c>
      <c r="AY1624">
        <v>0.6</v>
      </c>
      <c r="AZ1624">
        <v>3.1</v>
      </c>
      <c r="BA1624">
        <v>285.22190000000001</v>
      </c>
      <c r="BB1624">
        <v>139.0932</v>
      </c>
      <c r="BC1624">
        <v>117.9586</v>
      </c>
      <c r="BD1624">
        <v>4.2237</v>
      </c>
      <c r="BE1624">
        <v>15.403600000000001</v>
      </c>
      <c r="BH1624">
        <v>74.31</v>
      </c>
    </row>
    <row r="1625" spans="1:60" x14ac:dyDescent="0.25">
      <c r="A1625" s="2">
        <v>43876</v>
      </c>
      <c r="B1625">
        <v>15.9</v>
      </c>
      <c r="C1625">
        <v>0</v>
      </c>
      <c r="D1625">
        <v>74.5</v>
      </c>
      <c r="E1625">
        <v>2.6</v>
      </c>
      <c r="F1625">
        <v>98.65</v>
      </c>
      <c r="G1625">
        <v>0.9</v>
      </c>
      <c r="H1625">
        <v>3</v>
      </c>
      <c r="I1625">
        <v>133.3486</v>
      </c>
      <c r="J1625">
        <v>50.186199999999999</v>
      </c>
      <c r="K1625">
        <v>60.697499999999998</v>
      </c>
      <c r="L1625">
        <v>4.032</v>
      </c>
      <c r="M1625">
        <v>18.253599999999999</v>
      </c>
      <c r="P1625">
        <v>65.319999999999993</v>
      </c>
      <c r="S1625">
        <f t="shared" si="553"/>
        <v>462.06789999999995</v>
      </c>
      <c r="T1625">
        <f t="shared" si="554"/>
        <v>1.4905693365513379E-2</v>
      </c>
      <c r="U1625">
        <f t="shared" si="555"/>
        <v>0</v>
      </c>
      <c r="V1625">
        <f t="shared" si="556"/>
        <v>6.9841141869858278E-2</v>
      </c>
      <c r="W1625">
        <f t="shared" si="557"/>
        <v>2.437408978008477E-3</v>
      </c>
      <c r="X1625">
        <f t="shared" si="558"/>
        <v>9.2480921415590875E-2</v>
      </c>
      <c r="Y1625">
        <f t="shared" si="559"/>
        <v>8.4371849238754971E-4</v>
      </c>
      <c r="Z1625">
        <f t="shared" si="560"/>
        <v>2.8123949746251659E-3</v>
      </c>
      <c r="AA1625">
        <f t="shared" si="561"/>
        <v>0.12500964417110047</v>
      </c>
      <c r="AB1625">
        <f t="shared" si="562"/>
        <v>4.7047805558511166E-2</v>
      </c>
      <c r="AC1625">
        <f t="shared" si="563"/>
        <v>5.6901781324103666E-2</v>
      </c>
      <c r="AD1625">
        <f t="shared" si="564"/>
        <v>3.7798588458962229E-3</v>
      </c>
      <c r="AE1625">
        <f t="shared" si="565"/>
        <v>1.7112110969605975E-2</v>
      </c>
      <c r="AG1625">
        <f t="shared" si="566"/>
        <v>-2.5370688854636065</v>
      </c>
      <c r="AH1625">
        <f t="shared" si="567"/>
        <v>0.20043339006558966</v>
      </c>
      <c r="AI1625">
        <f t="shared" si="568"/>
        <v>-0.1609008635810677</v>
      </c>
      <c r="AK1625" s="26" t="e">
        <f t="shared" si="569"/>
        <v>#DIV/0!</v>
      </c>
      <c r="AL1625" s="26" t="e">
        <f t="shared" si="570"/>
        <v>#DIV/0!</v>
      </c>
      <c r="AM1625" s="26" t="e">
        <f t="shared" si="571"/>
        <v>#DIV/0!</v>
      </c>
      <c r="AN1625" s="26" t="e">
        <f t="shared" si="572"/>
        <v>#DIV/0!</v>
      </c>
      <c r="AO1625" s="26" t="e">
        <f t="shared" si="573"/>
        <v>#DIV/0!</v>
      </c>
      <c r="AP1625" s="26" t="e">
        <f t="shared" si="574"/>
        <v>#DIV/0!</v>
      </c>
      <c r="AS1625" s="2">
        <v>43855</v>
      </c>
      <c r="AT1625">
        <v>10.9</v>
      </c>
      <c r="AU1625">
        <v>1.3</v>
      </c>
      <c r="AV1625">
        <v>44.1</v>
      </c>
      <c r="AW1625">
        <v>0.9</v>
      </c>
      <c r="AX1625">
        <v>30.25</v>
      </c>
      <c r="AY1625">
        <v>0.9</v>
      </c>
      <c r="AZ1625">
        <v>2.8</v>
      </c>
      <c r="BA1625">
        <v>344.93270000000001</v>
      </c>
      <c r="BB1625">
        <v>227.1046</v>
      </c>
      <c r="BC1625">
        <v>170.79750000000001</v>
      </c>
      <c r="BD1625">
        <v>4.2427999999999999</v>
      </c>
      <c r="BE1625">
        <v>20.017299999999999</v>
      </c>
      <c r="BH1625">
        <v>74.84</v>
      </c>
    </row>
    <row r="1626" spans="1:60" x14ac:dyDescent="0.25">
      <c r="A1626" s="2">
        <v>43875</v>
      </c>
      <c r="B1626">
        <v>15.8</v>
      </c>
      <c r="C1626">
        <v>0</v>
      </c>
      <c r="D1626">
        <v>21.8</v>
      </c>
      <c r="E1626">
        <v>2</v>
      </c>
      <c r="F1626">
        <v>36.53</v>
      </c>
      <c r="G1626">
        <v>0.9</v>
      </c>
      <c r="H1626">
        <v>3.3</v>
      </c>
      <c r="I1626">
        <v>256.96629999999999</v>
      </c>
      <c r="J1626">
        <v>131.3082</v>
      </c>
      <c r="K1626">
        <v>176.5711</v>
      </c>
      <c r="L1626">
        <v>4.032</v>
      </c>
      <c r="M1626">
        <v>35.369700000000002</v>
      </c>
      <c r="N1626">
        <v>1.2493000000000001</v>
      </c>
      <c r="O1626">
        <v>-11.1404</v>
      </c>
      <c r="P1626">
        <v>65.52</v>
      </c>
      <c r="S1626">
        <f t="shared" si="553"/>
        <v>684.57730000000004</v>
      </c>
      <c r="T1626">
        <f t="shared" si="554"/>
        <v>1.4811946866359206E-2</v>
      </c>
      <c r="U1626">
        <f t="shared" si="555"/>
        <v>0</v>
      </c>
      <c r="V1626">
        <f t="shared" si="556"/>
        <v>2.0436736815609539E-2</v>
      </c>
      <c r="W1626">
        <f t="shared" si="557"/>
        <v>1.8749299830834439E-3</v>
      </c>
      <c r="X1626">
        <f t="shared" si="558"/>
        <v>3.4245596141019102E-2</v>
      </c>
      <c r="Y1626">
        <f t="shared" si="559"/>
        <v>8.4371849238754971E-4</v>
      </c>
      <c r="Z1626">
        <f t="shared" si="560"/>
        <v>3.0936344720876819E-3</v>
      </c>
      <c r="AA1626">
        <f t="shared" si="561"/>
        <v>0.24089691025600757</v>
      </c>
      <c r="AB1626">
        <f t="shared" si="562"/>
        <v>0.12309684060235873</v>
      </c>
      <c r="AC1626">
        <f t="shared" si="563"/>
        <v>0.16552922476801255</v>
      </c>
      <c r="AD1626">
        <f t="shared" si="564"/>
        <v>3.7798588458962229E-3</v>
      </c>
      <c r="AE1626">
        <f t="shared" si="565"/>
        <v>3.315785551133324E-2</v>
      </c>
      <c r="AG1626">
        <f t="shared" si="566"/>
        <v>-2.5569985578151839</v>
      </c>
      <c r="AH1626">
        <f t="shared" si="567"/>
        <v>0.10846441828187978</v>
      </c>
      <c r="AI1626">
        <f t="shared" si="568"/>
        <v>-0.80413832435363819</v>
      </c>
      <c r="AK1626" s="26" t="e">
        <f t="shared" si="569"/>
        <v>#DIV/0!</v>
      </c>
      <c r="AL1626" s="26" t="e">
        <f t="shared" si="570"/>
        <v>#DIV/0!</v>
      </c>
      <c r="AM1626" s="26" t="e">
        <f t="shared" si="571"/>
        <v>#DIV/0!</v>
      </c>
      <c r="AN1626" s="26" t="e">
        <f t="shared" si="572"/>
        <v>#DIV/0!</v>
      </c>
      <c r="AO1626" s="26" t="e">
        <f t="shared" si="573"/>
        <v>#DIV/0!</v>
      </c>
      <c r="AP1626" s="26" t="e">
        <f t="shared" si="574"/>
        <v>#DIV/0!</v>
      </c>
      <c r="AS1626" s="2">
        <v>43854</v>
      </c>
      <c r="AT1626">
        <v>11.2</v>
      </c>
      <c r="AU1626">
        <v>8.9</v>
      </c>
      <c r="AV1626">
        <v>47.7</v>
      </c>
      <c r="AW1626">
        <v>1</v>
      </c>
      <c r="AX1626">
        <v>48.71</v>
      </c>
      <c r="AY1626">
        <v>0.9</v>
      </c>
      <c r="AZ1626">
        <v>3</v>
      </c>
      <c r="BA1626">
        <v>342.46409999999997</v>
      </c>
      <c r="BB1626">
        <v>330.4393</v>
      </c>
      <c r="BC1626">
        <v>228.92359999999999</v>
      </c>
      <c r="BD1626">
        <v>4.5677000000000003</v>
      </c>
      <c r="BE1626">
        <v>30.751100000000001</v>
      </c>
      <c r="BH1626">
        <v>75.45</v>
      </c>
    </row>
    <row r="1627" spans="1:60" x14ac:dyDescent="0.25">
      <c r="A1627" s="2">
        <v>43874</v>
      </c>
      <c r="B1627">
        <v>15.2</v>
      </c>
      <c r="C1627">
        <v>2</v>
      </c>
      <c r="D1627">
        <v>59.5</v>
      </c>
      <c r="E1627">
        <v>4.9000000000000004</v>
      </c>
      <c r="F1627">
        <v>43.98</v>
      </c>
      <c r="G1627">
        <v>0.1</v>
      </c>
      <c r="H1627">
        <v>3.2</v>
      </c>
      <c r="I1627">
        <v>201.9889</v>
      </c>
      <c r="J1627">
        <v>102.1797</v>
      </c>
      <c r="K1627">
        <v>117.1358</v>
      </c>
      <c r="L1627">
        <v>4.0335999999999999</v>
      </c>
      <c r="M1627">
        <v>24.214099999999998</v>
      </c>
      <c r="N1627">
        <v>1.2346999999999999</v>
      </c>
      <c r="O1627">
        <v>-10.894399999999999</v>
      </c>
      <c r="P1627">
        <v>65.95</v>
      </c>
      <c r="S1627">
        <f t="shared" si="553"/>
        <v>578.43209999999999</v>
      </c>
      <c r="T1627">
        <f t="shared" si="554"/>
        <v>1.4249467871434173E-2</v>
      </c>
      <c r="U1627">
        <f t="shared" si="555"/>
        <v>1.8749299830834439E-3</v>
      </c>
      <c r="V1627">
        <f t="shared" si="556"/>
        <v>5.5779166996732452E-2</v>
      </c>
      <c r="W1627">
        <f t="shared" si="557"/>
        <v>4.5935784585544375E-3</v>
      </c>
      <c r="X1627">
        <f t="shared" si="558"/>
        <v>4.1229710328004925E-2</v>
      </c>
      <c r="Y1627">
        <f t="shared" si="559"/>
        <v>9.3746499154172199E-5</v>
      </c>
      <c r="Z1627">
        <f t="shared" si="560"/>
        <v>2.9998879729335104E-3</v>
      </c>
      <c r="AA1627">
        <f t="shared" si="561"/>
        <v>0.18935752243002171</v>
      </c>
      <c r="AB1627">
        <f t="shared" si="562"/>
        <v>9.5789891596235674E-2</v>
      </c>
      <c r="AC1627">
        <f t="shared" si="563"/>
        <v>0.10981071175623283</v>
      </c>
      <c r="AD1627">
        <f t="shared" si="564"/>
        <v>3.7813587898826895E-3</v>
      </c>
      <c r="AE1627">
        <f t="shared" si="565"/>
        <v>2.2699871051690405E-2</v>
      </c>
      <c r="AG1627">
        <f t="shared" si="566"/>
        <v>-2.5514259303107951</v>
      </c>
      <c r="AH1627">
        <f t="shared" si="567"/>
        <v>0.14352035916158751</v>
      </c>
      <c r="AI1627">
        <f t="shared" si="568"/>
        <v>-0.56254641645990189</v>
      </c>
      <c r="AK1627" s="26" t="e">
        <f t="shared" si="569"/>
        <v>#DIV/0!</v>
      </c>
      <c r="AL1627" s="26" t="e">
        <f t="shared" si="570"/>
        <v>#DIV/0!</v>
      </c>
      <c r="AM1627" s="26" t="e">
        <f t="shared" si="571"/>
        <v>#DIV/0!</v>
      </c>
      <c r="AN1627" s="26" t="e">
        <f t="shared" si="572"/>
        <v>#DIV/0!</v>
      </c>
      <c r="AO1627" s="26" t="e">
        <f t="shared" si="573"/>
        <v>#DIV/0!</v>
      </c>
      <c r="AP1627" s="26" t="e">
        <f t="shared" si="574"/>
        <v>#DIV/0!</v>
      </c>
      <c r="AS1627" s="2">
        <v>43853</v>
      </c>
      <c r="AT1627">
        <v>11.2</v>
      </c>
      <c r="AU1627">
        <v>77.2</v>
      </c>
      <c r="AV1627">
        <v>24</v>
      </c>
      <c r="AW1627">
        <v>0.3</v>
      </c>
      <c r="AX1627">
        <v>30.47</v>
      </c>
      <c r="AY1627">
        <v>0.9</v>
      </c>
      <c r="AZ1627">
        <v>3.3</v>
      </c>
      <c r="BA1627">
        <v>352.49970000000002</v>
      </c>
      <c r="BB1627">
        <v>348.85120000000001</v>
      </c>
      <c r="BC1627">
        <v>233.35589999999999</v>
      </c>
      <c r="BD1627">
        <v>6.3418000000000001</v>
      </c>
      <c r="BE1627">
        <v>33.445300000000003</v>
      </c>
      <c r="BH1627">
        <v>76.19</v>
      </c>
    </row>
    <row r="1628" spans="1:60" x14ac:dyDescent="0.25">
      <c r="A1628" s="2">
        <v>43873</v>
      </c>
      <c r="B1628">
        <v>16.100000000000001</v>
      </c>
      <c r="C1628">
        <v>0.2</v>
      </c>
      <c r="D1628">
        <v>69.599999999999994</v>
      </c>
      <c r="E1628">
        <v>9.9</v>
      </c>
      <c r="F1628">
        <v>55.21</v>
      </c>
      <c r="H1628">
        <v>2.7</v>
      </c>
      <c r="I1628">
        <v>129.05969999999999</v>
      </c>
      <c r="J1628">
        <v>90.622200000000007</v>
      </c>
      <c r="K1628">
        <v>73.112899999999996</v>
      </c>
      <c r="L1628">
        <v>4.0327999999999999</v>
      </c>
      <c r="M1628">
        <v>21.9651</v>
      </c>
      <c r="N1628">
        <v>1.8806</v>
      </c>
      <c r="O1628">
        <v>-9.6965000000000003</v>
      </c>
      <c r="P1628">
        <v>66.48</v>
      </c>
      <c r="S1628">
        <f t="shared" si="553"/>
        <v>472.50269999999995</v>
      </c>
      <c r="T1628">
        <f t="shared" si="554"/>
        <v>1.5093186363821724E-2</v>
      </c>
      <c r="U1628">
        <f t="shared" si="555"/>
        <v>1.874929983083444E-4</v>
      </c>
      <c r="V1628">
        <f t="shared" si="556"/>
        <v>6.5247563411303833E-2</v>
      </c>
      <c r="W1628">
        <f t="shared" si="557"/>
        <v>9.2809034162630467E-3</v>
      </c>
      <c r="X1628">
        <f t="shared" si="558"/>
        <v>5.1757442183018469E-2</v>
      </c>
      <c r="Y1628">
        <f t="shared" si="559"/>
        <v>0</v>
      </c>
      <c r="Z1628">
        <f t="shared" si="560"/>
        <v>2.5311554771626494E-3</v>
      </c>
      <c r="AA1628">
        <f t="shared" si="561"/>
        <v>0.12098895056887717</v>
      </c>
      <c r="AB1628">
        <f t="shared" si="562"/>
        <v>8.4955139956492232E-2</v>
      </c>
      <c r="AC1628">
        <f t="shared" si="563"/>
        <v>6.8540784180090755E-2</v>
      </c>
      <c r="AD1628">
        <f t="shared" si="564"/>
        <v>3.7806088178894562E-3</v>
      </c>
      <c r="AE1628">
        <f t="shared" si="565"/>
        <v>2.0591512285713074E-2</v>
      </c>
      <c r="AG1628">
        <f t="shared" si="566"/>
        <v>-2.533565446239094</v>
      </c>
      <c r="AH1628">
        <f t="shared" si="567"/>
        <v>0.16468925613559113</v>
      </c>
      <c r="AI1628">
        <f t="shared" si="568"/>
        <v>-0.41676628571043778</v>
      </c>
      <c r="AK1628" s="26" t="e">
        <f t="shared" si="569"/>
        <v>#DIV/0!</v>
      </c>
      <c r="AL1628" s="26" t="e">
        <f t="shared" si="570"/>
        <v>#DIV/0!</v>
      </c>
      <c r="AM1628" s="26" t="e">
        <f t="shared" si="571"/>
        <v>#DIV/0!</v>
      </c>
      <c r="AN1628" s="26" t="e">
        <f t="shared" si="572"/>
        <v>#DIV/0!</v>
      </c>
      <c r="AO1628" s="26" t="e">
        <f t="shared" si="573"/>
        <v>#DIV/0!</v>
      </c>
      <c r="AP1628" s="26" t="e">
        <f t="shared" si="574"/>
        <v>#DIV/0!</v>
      </c>
      <c r="AS1628" s="2">
        <v>43852</v>
      </c>
      <c r="AT1628">
        <v>10.8</v>
      </c>
      <c r="AU1628">
        <v>0.8</v>
      </c>
      <c r="AV1628">
        <v>35.6</v>
      </c>
      <c r="AW1628">
        <v>2.4</v>
      </c>
      <c r="AX1628">
        <v>27.24</v>
      </c>
      <c r="AY1628">
        <v>0.7</v>
      </c>
      <c r="AZ1628">
        <v>3.6</v>
      </c>
      <c r="BA1628">
        <v>341.6841</v>
      </c>
      <c r="BB1628">
        <v>303.17149999999998</v>
      </c>
      <c r="BC1628">
        <v>220.54390000000001</v>
      </c>
      <c r="BD1628">
        <v>7.0525000000000002</v>
      </c>
      <c r="BE1628">
        <v>36.888599999999997</v>
      </c>
      <c r="BH1628">
        <v>76.930000000000007</v>
      </c>
    </row>
    <row r="1629" spans="1:60" x14ac:dyDescent="0.25">
      <c r="A1629" s="2">
        <v>43872</v>
      </c>
      <c r="B1629">
        <v>16.399999999999999</v>
      </c>
      <c r="C1629">
        <v>10.1</v>
      </c>
      <c r="D1629">
        <v>71.8</v>
      </c>
      <c r="E1629">
        <v>10.7</v>
      </c>
      <c r="F1629">
        <v>55.05</v>
      </c>
      <c r="G1629">
        <v>0.8</v>
      </c>
      <c r="H1629">
        <v>2.6</v>
      </c>
      <c r="I1629">
        <v>111.1202</v>
      </c>
      <c r="J1629">
        <v>85.389300000000006</v>
      </c>
      <c r="K1629">
        <v>68.351299999999995</v>
      </c>
      <c r="L1629">
        <v>4.0545999999999998</v>
      </c>
      <c r="M1629">
        <v>26.531400000000001</v>
      </c>
      <c r="N1629">
        <v>2.0800999999999998</v>
      </c>
      <c r="O1629">
        <v>-9.0212000000000003</v>
      </c>
      <c r="P1629">
        <v>67.069999999999993</v>
      </c>
      <c r="S1629">
        <f t="shared" si="553"/>
        <v>462.89679999999998</v>
      </c>
      <c r="T1629">
        <f t="shared" si="554"/>
        <v>1.5374425861284237E-2</v>
      </c>
      <c r="U1629">
        <f t="shared" si="555"/>
        <v>9.4683964145713916E-3</v>
      </c>
      <c r="V1629">
        <f t="shared" si="556"/>
        <v>6.7309986392695628E-2</v>
      </c>
      <c r="W1629">
        <f t="shared" si="557"/>
        <v>1.0030875409496424E-2</v>
      </c>
      <c r="X1629">
        <f t="shared" si="558"/>
        <v>5.160744778437179E-2</v>
      </c>
      <c r="Y1629">
        <f t="shared" si="559"/>
        <v>7.4997199323337759E-4</v>
      </c>
      <c r="Z1629">
        <f t="shared" si="560"/>
        <v>2.437408978008477E-3</v>
      </c>
      <c r="AA1629">
        <f t="shared" si="561"/>
        <v>0.10417129735311445</v>
      </c>
      <c r="AB1629">
        <f t="shared" si="562"/>
        <v>8.0049479402253557E-2</v>
      </c>
      <c r="AC1629">
        <f t="shared" si="563"/>
        <v>6.4076950876365696E-2</v>
      </c>
      <c r="AD1629">
        <f t="shared" si="564"/>
        <v>3.8010455547050656E-3</v>
      </c>
      <c r="AE1629">
        <f t="shared" si="565"/>
        <v>2.4872258676590042E-2</v>
      </c>
      <c r="AG1629">
        <f t="shared" si="566"/>
        <v>-2.5072452786432522</v>
      </c>
      <c r="AH1629">
        <f t="shared" si="567"/>
        <v>0.18185077151025136</v>
      </c>
      <c r="AI1629">
        <f t="shared" si="568"/>
        <v>-0.29855906468947047</v>
      </c>
      <c r="AK1629" s="26" t="e">
        <f t="shared" si="569"/>
        <v>#DIV/0!</v>
      </c>
      <c r="AL1629" s="26" t="e">
        <f t="shared" si="570"/>
        <v>#DIV/0!</v>
      </c>
      <c r="AM1629" s="26" t="e">
        <f t="shared" si="571"/>
        <v>#DIV/0!</v>
      </c>
      <c r="AN1629" s="26" t="e">
        <f t="shared" si="572"/>
        <v>#DIV/0!</v>
      </c>
      <c r="AO1629" s="26" t="e">
        <f t="shared" si="573"/>
        <v>#DIV/0!</v>
      </c>
      <c r="AP1629" s="26" t="e">
        <f t="shared" si="574"/>
        <v>#DIV/0!</v>
      </c>
      <c r="AS1629" s="2">
        <v>43851</v>
      </c>
      <c r="AT1629">
        <v>10.5</v>
      </c>
      <c r="AU1629">
        <v>71.7</v>
      </c>
      <c r="AV1629">
        <v>62.3</v>
      </c>
      <c r="AW1629">
        <v>2.7</v>
      </c>
      <c r="AX1629">
        <v>66.17</v>
      </c>
      <c r="AZ1629">
        <v>3.1</v>
      </c>
      <c r="BA1629">
        <v>307.61810000000003</v>
      </c>
      <c r="BB1629">
        <v>246.52269999999999</v>
      </c>
      <c r="BC1629">
        <v>222.93520000000001</v>
      </c>
      <c r="BD1629">
        <v>5.6418999999999997</v>
      </c>
      <c r="BE1629">
        <v>26.003699999999998</v>
      </c>
      <c r="BH1629">
        <v>77.69</v>
      </c>
    </row>
    <row r="1630" spans="1:60" x14ac:dyDescent="0.25">
      <c r="A1630" s="2">
        <v>43871</v>
      </c>
      <c r="B1630">
        <v>13.8</v>
      </c>
      <c r="C1630">
        <v>0</v>
      </c>
      <c r="D1630">
        <v>59.8</v>
      </c>
      <c r="E1630">
        <v>8.3000000000000007</v>
      </c>
      <c r="F1630">
        <v>57.62</v>
      </c>
      <c r="G1630">
        <v>0.7</v>
      </c>
      <c r="H1630">
        <v>3</v>
      </c>
      <c r="I1630">
        <v>108.5095</v>
      </c>
      <c r="J1630">
        <v>78.413899999999998</v>
      </c>
      <c r="K1630">
        <v>59.151800000000001</v>
      </c>
      <c r="L1630">
        <v>4.0308999999999999</v>
      </c>
      <c r="M1630">
        <v>38.589599999999997</v>
      </c>
      <c r="N1630">
        <v>1.6368</v>
      </c>
      <c r="O1630">
        <v>-8.8095999999999997</v>
      </c>
      <c r="P1630">
        <v>67.44</v>
      </c>
      <c r="S1630">
        <f t="shared" si="553"/>
        <v>431.91569999999996</v>
      </c>
      <c r="T1630">
        <f t="shared" si="554"/>
        <v>1.2937016883275762E-2</v>
      </c>
      <c r="U1630">
        <f t="shared" si="555"/>
        <v>0</v>
      </c>
      <c r="V1630">
        <f t="shared" si="556"/>
        <v>5.606040649419497E-2</v>
      </c>
      <c r="W1630">
        <f t="shared" si="557"/>
        <v>7.7809594297962928E-3</v>
      </c>
      <c r="X1630">
        <f t="shared" si="558"/>
        <v>5.4016732812634013E-2</v>
      </c>
      <c r="Y1630">
        <f t="shared" si="559"/>
        <v>6.5622549407920526E-4</v>
      </c>
      <c r="Z1630">
        <f t="shared" si="560"/>
        <v>2.8123949746251659E-3</v>
      </c>
      <c r="AA1630">
        <f t="shared" si="561"/>
        <v>0.10172385749969648</v>
      </c>
      <c r="AB1630">
        <f t="shared" si="562"/>
        <v>7.3510286100253425E-2</v>
      </c>
      <c r="AC1630">
        <f t="shared" si="563"/>
        <v>5.5452741686677624E-2</v>
      </c>
      <c r="AD1630">
        <f t="shared" si="564"/>
        <v>3.7788276344055266E-3</v>
      </c>
      <c r="AE1630">
        <f t="shared" si="565"/>
        <v>3.6176399037598429E-2</v>
      </c>
      <c r="AG1630">
        <f t="shared" si="566"/>
        <v>-2.5051993085966595</v>
      </c>
      <c r="AH1630">
        <f t="shared" si="567"/>
        <v>0.17044013512620382</v>
      </c>
      <c r="AI1630">
        <f t="shared" si="568"/>
        <v>-0.37857410512812045</v>
      </c>
      <c r="AK1630" s="26" t="e">
        <f t="shared" si="569"/>
        <v>#DIV/0!</v>
      </c>
      <c r="AL1630" s="26" t="e">
        <f t="shared" si="570"/>
        <v>#DIV/0!</v>
      </c>
      <c r="AM1630" s="26" t="e">
        <f t="shared" si="571"/>
        <v>#DIV/0!</v>
      </c>
      <c r="AN1630" s="26" t="e">
        <f t="shared" si="572"/>
        <v>#DIV/0!</v>
      </c>
      <c r="AO1630" s="26" t="e">
        <f t="shared" si="573"/>
        <v>#DIV/0!</v>
      </c>
      <c r="AP1630" s="26" t="e">
        <f t="shared" si="574"/>
        <v>#DIV/0!</v>
      </c>
      <c r="AS1630" s="2">
        <v>43850</v>
      </c>
      <c r="AT1630">
        <v>9.4</v>
      </c>
      <c r="AU1630">
        <v>22.8</v>
      </c>
      <c r="AV1630">
        <v>37.700000000000003</v>
      </c>
      <c r="AW1630">
        <v>1.4</v>
      </c>
      <c r="AX1630">
        <v>46.07</v>
      </c>
      <c r="AY1630">
        <v>0.6</v>
      </c>
      <c r="AZ1630">
        <v>3.4</v>
      </c>
      <c r="BA1630">
        <v>307.40449999999998</v>
      </c>
      <c r="BB1630">
        <v>259.81380000000001</v>
      </c>
      <c r="BC1630">
        <v>225.46969999999999</v>
      </c>
      <c r="BD1630">
        <v>4.5505000000000004</v>
      </c>
      <c r="BE1630">
        <v>30.2347</v>
      </c>
      <c r="BH1630">
        <v>78.459999999999994</v>
      </c>
    </row>
    <row r="1631" spans="1:60" x14ac:dyDescent="0.25">
      <c r="A1631" s="2">
        <v>43870</v>
      </c>
      <c r="B1631">
        <v>13.2</v>
      </c>
      <c r="C1631">
        <v>1.7</v>
      </c>
      <c r="D1631">
        <v>51</v>
      </c>
      <c r="E1631">
        <v>4.8</v>
      </c>
      <c r="F1631">
        <v>81.849999999999994</v>
      </c>
      <c r="H1631">
        <v>2.7</v>
      </c>
      <c r="I1631">
        <v>105.8428</v>
      </c>
      <c r="J1631">
        <v>55.608800000000002</v>
      </c>
      <c r="K1631">
        <v>35.399900000000002</v>
      </c>
      <c r="L1631">
        <v>4.0590000000000002</v>
      </c>
      <c r="M1631">
        <v>14.2905</v>
      </c>
      <c r="P1631">
        <v>67.78</v>
      </c>
      <c r="S1631">
        <f t="shared" si="553"/>
        <v>370.45100000000002</v>
      </c>
      <c r="T1631">
        <f t="shared" si="554"/>
        <v>1.2374537888350728E-2</v>
      </c>
      <c r="U1631">
        <f t="shared" si="555"/>
        <v>1.5936904856209272E-3</v>
      </c>
      <c r="V1631">
        <f t="shared" si="556"/>
        <v>4.7810714568627816E-2</v>
      </c>
      <c r="W1631">
        <f t="shared" si="557"/>
        <v>4.4998319594002651E-3</v>
      </c>
      <c r="X1631">
        <f t="shared" si="558"/>
        <v>7.6731509557689939E-2</v>
      </c>
      <c r="Y1631">
        <f t="shared" si="559"/>
        <v>0</v>
      </c>
      <c r="Z1631">
        <f t="shared" si="560"/>
        <v>2.5311554771626494E-3</v>
      </c>
      <c r="AA1631">
        <f t="shared" si="561"/>
        <v>9.9223919606752156E-2</v>
      </c>
      <c r="AB1631">
        <f t="shared" si="562"/>
        <v>5.213130322164531E-2</v>
      </c>
      <c r="AC1631">
        <f t="shared" si="563"/>
        <v>3.3186166954077806E-2</v>
      </c>
      <c r="AD1631">
        <f t="shared" si="564"/>
        <v>3.8051704006678492E-3</v>
      </c>
      <c r="AE1631">
        <f t="shared" si="565"/>
        <v>1.3396843461626977E-2</v>
      </c>
      <c r="AG1631">
        <f t="shared" si="566"/>
        <v>-2.5063241084518406</v>
      </c>
      <c r="AH1631">
        <f t="shared" si="567"/>
        <v>0.15893828339847929</v>
      </c>
      <c r="AI1631">
        <f t="shared" si="568"/>
        <v>-0.45932315034675875</v>
      </c>
      <c r="AK1631" s="26" t="e">
        <f t="shared" si="569"/>
        <v>#DIV/0!</v>
      </c>
      <c r="AL1631" s="26" t="e">
        <f t="shared" si="570"/>
        <v>#DIV/0!</v>
      </c>
      <c r="AM1631" s="26" t="e">
        <f t="shared" si="571"/>
        <v>#DIV/0!</v>
      </c>
      <c r="AN1631" s="26" t="e">
        <f t="shared" si="572"/>
        <v>#DIV/0!</v>
      </c>
      <c r="AO1631" s="26" t="e">
        <f t="shared" si="573"/>
        <v>#DIV/0!</v>
      </c>
      <c r="AP1631" s="26" t="e">
        <f t="shared" si="574"/>
        <v>#DIV/0!</v>
      </c>
      <c r="AS1631" s="2">
        <v>43849</v>
      </c>
      <c r="AT1631">
        <v>10</v>
      </c>
      <c r="AU1631">
        <v>76</v>
      </c>
      <c r="AV1631">
        <v>64.400000000000006</v>
      </c>
      <c r="AW1631">
        <v>1.6</v>
      </c>
      <c r="AX1631">
        <v>31.36</v>
      </c>
      <c r="AY1631">
        <v>0.4</v>
      </c>
      <c r="AZ1631">
        <v>3.3</v>
      </c>
      <c r="BA1631">
        <v>283.29680000000002</v>
      </c>
      <c r="BB1631">
        <v>93.9191</v>
      </c>
      <c r="BC1631">
        <v>114.7752</v>
      </c>
      <c r="BD1631">
        <v>4.3060999999999998</v>
      </c>
      <c r="BE1631">
        <v>12.551</v>
      </c>
      <c r="BH1631">
        <v>79.150000000000006</v>
      </c>
    </row>
    <row r="1632" spans="1:60" x14ac:dyDescent="0.25">
      <c r="A1632" s="2">
        <v>43869</v>
      </c>
      <c r="B1632">
        <v>15.7</v>
      </c>
      <c r="C1632">
        <v>3.3</v>
      </c>
      <c r="D1632">
        <v>59.4</v>
      </c>
      <c r="E1632">
        <v>2.8</v>
      </c>
      <c r="F1632">
        <v>90.53</v>
      </c>
      <c r="G1632">
        <v>0.9</v>
      </c>
      <c r="H1632">
        <v>3</v>
      </c>
      <c r="I1632">
        <v>207.49449999999999</v>
      </c>
      <c r="J1632">
        <v>65.451800000000006</v>
      </c>
      <c r="K1632">
        <v>95.531899999999993</v>
      </c>
      <c r="L1632">
        <v>4.08</v>
      </c>
      <c r="M1632">
        <v>20.108899999999998</v>
      </c>
      <c r="P1632">
        <v>68.069999999999993</v>
      </c>
      <c r="S1632">
        <f t="shared" si="553"/>
        <v>568.2971</v>
      </c>
      <c r="T1632">
        <f t="shared" si="554"/>
        <v>1.4718200367205033E-2</v>
      </c>
      <c r="U1632">
        <f t="shared" si="555"/>
        <v>3.0936344720876819E-3</v>
      </c>
      <c r="V1632">
        <f t="shared" si="556"/>
        <v>5.5685420497578283E-2</v>
      </c>
      <c r="W1632">
        <f t="shared" si="557"/>
        <v>2.624901976316821E-3</v>
      </c>
      <c r="X1632">
        <f t="shared" si="558"/>
        <v>8.4868705684272086E-2</v>
      </c>
      <c r="Y1632">
        <f t="shared" si="559"/>
        <v>8.4371849238754971E-4</v>
      </c>
      <c r="Z1632">
        <f t="shared" si="560"/>
        <v>2.8123949746251659E-3</v>
      </c>
      <c r="AA1632">
        <f t="shared" si="561"/>
        <v>0.19451882968745379</v>
      </c>
      <c r="AB1632">
        <f t="shared" si="562"/>
        <v>6.1358771133390479E-2</v>
      </c>
      <c r="AC1632">
        <f t="shared" si="563"/>
        <v>8.9557811825464614E-2</v>
      </c>
      <c r="AD1632">
        <f t="shared" si="564"/>
        <v>3.8248571654902253E-3</v>
      </c>
      <c r="AE1632">
        <f t="shared" si="565"/>
        <v>1.8851389768413329E-2</v>
      </c>
      <c r="AG1632">
        <f t="shared" si="566"/>
        <v>-2.5132841480830233</v>
      </c>
      <c r="AH1632">
        <f t="shared" si="567"/>
        <v>0.18349836623288593</v>
      </c>
      <c r="AI1632">
        <f t="shared" si="568"/>
        <v>-0.29090855920256165</v>
      </c>
      <c r="AK1632" s="26" t="e">
        <f t="shared" si="569"/>
        <v>#DIV/0!</v>
      </c>
      <c r="AL1632" s="26" t="e">
        <f t="shared" si="570"/>
        <v>#DIV/0!</v>
      </c>
      <c r="AM1632" s="26" t="e">
        <f t="shared" si="571"/>
        <v>#DIV/0!</v>
      </c>
      <c r="AN1632" s="26" t="e">
        <f t="shared" si="572"/>
        <v>#DIV/0!</v>
      </c>
      <c r="AO1632" s="26" t="e">
        <f t="shared" si="573"/>
        <v>#DIV/0!</v>
      </c>
      <c r="AP1632" s="26" t="e">
        <f t="shared" si="574"/>
        <v>#DIV/0!</v>
      </c>
      <c r="AS1632" s="2">
        <v>43848</v>
      </c>
      <c r="AT1632">
        <v>10</v>
      </c>
      <c r="AU1632">
        <v>2.1</v>
      </c>
      <c r="AV1632">
        <v>65.099999999999994</v>
      </c>
      <c r="AW1632">
        <v>4.2</v>
      </c>
      <c r="AX1632">
        <v>30.45</v>
      </c>
      <c r="AY1632">
        <v>0.4</v>
      </c>
      <c r="AZ1632">
        <v>3.7</v>
      </c>
      <c r="BA1632">
        <v>258.05939999999998</v>
      </c>
      <c r="BB1632">
        <v>94.687899999999999</v>
      </c>
      <c r="BC1632">
        <v>100.0146</v>
      </c>
      <c r="BD1632">
        <v>4.2817999999999996</v>
      </c>
      <c r="BE1632">
        <v>23.500599999999999</v>
      </c>
      <c r="BH1632">
        <v>79.760000000000005</v>
      </c>
    </row>
    <row r="1633" spans="1:60" x14ac:dyDescent="0.25">
      <c r="A1633" s="2">
        <v>43868</v>
      </c>
      <c r="B1633">
        <v>16.899999999999999</v>
      </c>
      <c r="C1633">
        <v>0.5</v>
      </c>
      <c r="D1633">
        <v>23.9</v>
      </c>
      <c r="E1633">
        <v>1.3</v>
      </c>
      <c r="F1633">
        <v>79.27</v>
      </c>
      <c r="G1633">
        <v>0.9</v>
      </c>
      <c r="H1633">
        <v>3.1</v>
      </c>
      <c r="I1633">
        <v>317.55009999999999</v>
      </c>
      <c r="J1633">
        <v>183.11619999999999</v>
      </c>
      <c r="K1633">
        <v>189.80340000000001</v>
      </c>
      <c r="L1633">
        <v>4.1704999999999997</v>
      </c>
      <c r="M1633">
        <v>28.0931</v>
      </c>
      <c r="N1633">
        <v>2.3934000000000002</v>
      </c>
      <c r="O1633">
        <v>-7.7784000000000004</v>
      </c>
      <c r="P1633">
        <v>68.47</v>
      </c>
      <c r="S1633">
        <f t="shared" si="553"/>
        <v>848.60329999999999</v>
      </c>
      <c r="T1633">
        <f t="shared" si="554"/>
        <v>1.58431583570551E-2</v>
      </c>
      <c r="U1633">
        <f t="shared" si="555"/>
        <v>4.6873249577086097E-4</v>
      </c>
      <c r="V1633">
        <f t="shared" si="556"/>
        <v>2.2405413297847152E-2</v>
      </c>
      <c r="W1633">
        <f t="shared" si="557"/>
        <v>1.2187044890042385E-3</v>
      </c>
      <c r="X1633">
        <f t="shared" si="558"/>
        <v>7.4312849879512297E-2</v>
      </c>
      <c r="Y1633">
        <f t="shared" si="559"/>
        <v>8.4371849238754971E-4</v>
      </c>
      <c r="Z1633">
        <f t="shared" si="560"/>
        <v>2.9061414737793379E-3</v>
      </c>
      <c r="AA1633">
        <f t="shared" si="561"/>
        <v>0.29769210181057293</v>
      </c>
      <c r="AB1633">
        <f t="shared" si="562"/>
        <v>0.17166502688415225</v>
      </c>
      <c r="AC1633">
        <f t="shared" si="563"/>
        <v>0.17793404277559008</v>
      </c>
      <c r="AD1633">
        <f t="shared" si="564"/>
        <v>3.909697747224751E-3</v>
      </c>
      <c r="AE1633">
        <f t="shared" si="565"/>
        <v>2.6336297753880748E-2</v>
      </c>
      <c r="AG1633">
        <f t="shared" si="566"/>
        <v>-2.5067635923231602</v>
      </c>
      <c r="AH1633">
        <f t="shared" si="567"/>
        <v>0.14433501623923728</v>
      </c>
      <c r="AI1633">
        <f t="shared" si="568"/>
        <v>-0.56183577131572215</v>
      </c>
      <c r="AK1633" s="26" t="e">
        <f t="shared" si="569"/>
        <v>#DIV/0!</v>
      </c>
      <c r="AL1633" s="26" t="e">
        <f t="shared" si="570"/>
        <v>#DIV/0!</v>
      </c>
      <c r="AM1633" s="26" t="e">
        <f t="shared" si="571"/>
        <v>#DIV/0!</v>
      </c>
      <c r="AN1633" s="26" t="e">
        <f t="shared" si="572"/>
        <v>#DIV/0!</v>
      </c>
      <c r="AO1633" s="26" t="e">
        <f t="shared" si="573"/>
        <v>#DIV/0!</v>
      </c>
      <c r="AP1633" s="26" t="e">
        <f t="shared" si="574"/>
        <v>#DIV/0!</v>
      </c>
      <c r="AS1633" s="2">
        <v>43847</v>
      </c>
      <c r="AT1633">
        <v>11</v>
      </c>
      <c r="AU1633">
        <v>1.4</v>
      </c>
      <c r="AV1633">
        <v>72.2</v>
      </c>
      <c r="AW1633">
        <v>3.6</v>
      </c>
      <c r="AX1633">
        <v>58</v>
      </c>
      <c r="AY1633">
        <v>0.5</v>
      </c>
      <c r="AZ1633">
        <v>3.6</v>
      </c>
      <c r="BA1633">
        <v>269.87099999999998</v>
      </c>
      <c r="BB1633">
        <v>120.8193</v>
      </c>
      <c r="BC1633">
        <v>139.87180000000001</v>
      </c>
      <c r="BD1633">
        <v>4.4478999999999997</v>
      </c>
      <c r="BE1633">
        <v>25.740300000000001</v>
      </c>
      <c r="BH1633">
        <v>80.31</v>
      </c>
    </row>
    <row r="1634" spans="1:60" x14ac:dyDescent="0.25">
      <c r="A1634" s="2">
        <v>43867</v>
      </c>
      <c r="B1634">
        <v>18.3</v>
      </c>
      <c r="C1634">
        <v>18</v>
      </c>
      <c r="D1634">
        <v>33.700000000000003</v>
      </c>
      <c r="E1634">
        <v>2.9</v>
      </c>
      <c r="F1634">
        <v>66.06</v>
      </c>
      <c r="G1634">
        <v>0.9</v>
      </c>
      <c r="H1634">
        <v>3.1</v>
      </c>
      <c r="I1634">
        <v>307.46080000000001</v>
      </c>
      <c r="J1634">
        <v>210.49459999999999</v>
      </c>
      <c r="K1634">
        <v>191.31870000000001</v>
      </c>
      <c r="L1634">
        <v>4.2321999999999997</v>
      </c>
      <c r="M1634">
        <v>29.986999999999998</v>
      </c>
      <c r="N1634">
        <v>2.7210000000000001</v>
      </c>
      <c r="O1634">
        <v>-7.6882999999999999</v>
      </c>
      <c r="P1634">
        <v>68.98</v>
      </c>
      <c r="S1634">
        <f t="shared" si="553"/>
        <v>886.45330000000001</v>
      </c>
      <c r="T1634">
        <f t="shared" si="554"/>
        <v>1.7155609345213513E-2</v>
      </c>
      <c r="U1634">
        <f t="shared" si="555"/>
        <v>1.6874369847750995E-2</v>
      </c>
      <c r="V1634">
        <f t="shared" si="556"/>
        <v>3.1592570214956033E-2</v>
      </c>
      <c r="W1634">
        <f t="shared" si="557"/>
        <v>2.7186484754709935E-3</v>
      </c>
      <c r="X1634">
        <f t="shared" si="558"/>
        <v>6.1928937341246153E-2</v>
      </c>
      <c r="Y1634">
        <f t="shared" si="559"/>
        <v>8.4371849238754971E-4</v>
      </c>
      <c r="Z1634">
        <f t="shared" si="560"/>
        <v>2.9061414737793379E-3</v>
      </c>
      <c r="AA1634">
        <f t="shared" si="561"/>
        <v>0.28823373627141108</v>
      </c>
      <c r="AB1634">
        <f t="shared" si="562"/>
        <v>0.19733131840857812</v>
      </c>
      <c r="AC1634">
        <f t="shared" si="563"/>
        <v>0.17935458347727323</v>
      </c>
      <c r="AD1634">
        <f t="shared" si="564"/>
        <v>3.967539337202875E-3</v>
      </c>
      <c r="AE1634">
        <f t="shared" si="565"/>
        <v>2.8111762701361613E-2</v>
      </c>
      <c r="AG1634">
        <f t="shared" si="566"/>
        <v>-2.4857877434351128</v>
      </c>
      <c r="AH1634">
        <f t="shared" si="567"/>
        <v>0.16213175789216619</v>
      </c>
      <c r="AI1634">
        <f t="shared" si="568"/>
        <v>-0.44115226478749792</v>
      </c>
      <c r="AK1634" s="26" t="e">
        <f t="shared" si="569"/>
        <v>#DIV/0!</v>
      </c>
      <c r="AL1634" s="26" t="e">
        <f t="shared" si="570"/>
        <v>#DIV/0!</v>
      </c>
      <c r="AM1634" s="26" t="e">
        <f t="shared" si="571"/>
        <v>#DIV/0!</v>
      </c>
      <c r="AN1634" s="26" t="e">
        <f t="shared" si="572"/>
        <v>#DIV/0!</v>
      </c>
      <c r="AO1634" s="26" t="e">
        <f t="shared" si="573"/>
        <v>#DIV/0!</v>
      </c>
      <c r="AP1634" s="26" t="e">
        <f t="shared" si="574"/>
        <v>#DIV/0!</v>
      </c>
      <c r="AS1634" s="2">
        <v>43846</v>
      </c>
      <c r="AT1634">
        <v>11.3</v>
      </c>
      <c r="AU1634">
        <v>2.7</v>
      </c>
      <c r="AV1634">
        <v>68.900000000000006</v>
      </c>
      <c r="AW1634">
        <v>3.1</v>
      </c>
      <c r="AX1634">
        <v>67.55</v>
      </c>
      <c r="AY1634">
        <v>0.3</v>
      </c>
      <c r="AZ1634">
        <v>3.5</v>
      </c>
      <c r="BA1634">
        <v>274.78429999999997</v>
      </c>
      <c r="BB1634">
        <v>142.96440000000001</v>
      </c>
      <c r="BC1634">
        <v>137.0829</v>
      </c>
      <c r="BD1634">
        <v>4.3259999999999996</v>
      </c>
      <c r="BE1634">
        <v>29.037500000000001</v>
      </c>
      <c r="BH1634">
        <v>80.87</v>
      </c>
    </row>
    <row r="1635" spans="1:60" x14ac:dyDescent="0.25">
      <c r="A1635" s="2">
        <v>43866</v>
      </c>
      <c r="B1635">
        <v>19</v>
      </c>
      <c r="C1635">
        <v>6.5</v>
      </c>
      <c r="D1635">
        <v>28.3</v>
      </c>
      <c r="E1635">
        <v>3.9</v>
      </c>
      <c r="F1635">
        <v>88.37</v>
      </c>
      <c r="G1635">
        <v>0.9</v>
      </c>
      <c r="H1635">
        <v>2.4</v>
      </c>
      <c r="I1635">
        <v>268.20620000000002</v>
      </c>
      <c r="J1635">
        <v>150.58959999999999</v>
      </c>
      <c r="K1635">
        <v>184.36609999999999</v>
      </c>
      <c r="L1635">
        <v>4.2076000000000002</v>
      </c>
      <c r="M1635">
        <v>30.959700000000002</v>
      </c>
      <c r="N1635">
        <v>2.7723</v>
      </c>
      <c r="O1635">
        <v>-7.7531999999999996</v>
      </c>
      <c r="P1635">
        <v>69.64</v>
      </c>
      <c r="S1635">
        <f t="shared" si="553"/>
        <v>787.69919999999991</v>
      </c>
      <c r="T1635">
        <f t="shared" si="554"/>
        <v>1.7811834839292717E-2</v>
      </c>
      <c r="U1635">
        <f t="shared" si="555"/>
        <v>6.0935224450211923E-3</v>
      </c>
      <c r="V1635">
        <f t="shared" si="556"/>
        <v>2.6530259260630729E-2</v>
      </c>
      <c r="W1635">
        <f t="shared" si="557"/>
        <v>3.6561134670127153E-3</v>
      </c>
      <c r="X1635">
        <f t="shared" si="558"/>
        <v>8.2843781302541969E-2</v>
      </c>
      <c r="Y1635">
        <f t="shared" si="559"/>
        <v>8.4371849238754971E-4</v>
      </c>
      <c r="Z1635">
        <f t="shared" si="560"/>
        <v>2.2499159797001326E-3</v>
      </c>
      <c r="AA1635">
        <f t="shared" si="561"/>
        <v>0.2514339230144374</v>
      </c>
      <c r="AB1635">
        <f t="shared" si="562"/>
        <v>0.14117247809027128</v>
      </c>
      <c r="AC1635">
        <f t="shared" si="563"/>
        <v>0.17283676437708023</v>
      </c>
      <c r="AD1635">
        <f t="shared" si="564"/>
        <v>3.9444776984109489E-3</v>
      </c>
      <c r="AE1635">
        <f t="shared" si="565"/>
        <v>2.902363489863425E-2</v>
      </c>
      <c r="AG1635">
        <f t="shared" si="566"/>
        <v>-2.4442896409096035</v>
      </c>
      <c r="AH1635">
        <f t="shared" si="567"/>
        <v>0.16905278068522125</v>
      </c>
      <c r="AI1635">
        <f t="shared" si="568"/>
        <v>-0.39492515369155845</v>
      </c>
      <c r="AK1635" s="26" t="e">
        <f t="shared" si="569"/>
        <v>#DIV/0!</v>
      </c>
      <c r="AL1635" s="26" t="e">
        <f t="shared" si="570"/>
        <v>#DIV/0!</v>
      </c>
      <c r="AM1635" s="26" t="e">
        <f t="shared" si="571"/>
        <v>#DIV/0!</v>
      </c>
      <c r="AN1635" s="26" t="e">
        <f t="shared" si="572"/>
        <v>#DIV/0!</v>
      </c>
      <c r="AO1635" s="26" t="e">
        <f t="shared" si="573"/>
        <v>#DIV/0!</v>
      </c>
      <c r="AP1635" s="26" t="e">
        <f t="shared" si="574"/>
        <v>#DIV/0!</v>
      </c>
      <c r="AS1635" s="2">
        <v>43845</v>
      </c>
      <c r="AT1635">
        <v>11.5</v>
      </c>
      <c r="AU1635">
        <v>5.6</v>
      </c>
      <c r="AV1635">
        <v>66.2</v>
      </c>
      <c r="AW1635">
        <v>7.4</v>
      </c>
      <c r="AX1635">
        <v>66.17</v>
      </c>
      <c r="AZ1635">
        <v>3.6</v>
      </c>
      <c r="BA1635">
        <v>185.32040000000001</v>
      </c>
      <c r="BB1635">
        <v>101.60939999999999</v>
      </c>
      <c r="BC1635">
        <v>70.4983</v>
      </c>
      <c r="BD1635">
        <v>4.2122999999999999</v>
      </c>
      <c r="BE1635">
        <v>30.295500000000001</v>
      </c>
      <c r="BH1635">
        <v>81.430000000000007</v>
      </c>
    </row>
    <row r="1636" spans="1:60" x14ac:dyDescent="0.25">
      <c r="A1636" s="2">
        <v>43865</v>
      </c>
      <c r="B1636">
        <v>16.899999999999999</v>
      </c>
      <c r="C1636">
        <v>16</v>
      </c>
      <c r="D1636">
        <v>62.1</v>
      </c>
      <c r="E1636">
        <v>5.5</v>
      </c>
      <c r="F1636">
        <v>49.81</v>
      </c>
      <c r="G1636">
        <v>0.9</v>
      </c>
      <c r="H1636">
        <v>2.8</v>
      </c>
      <c r="I1636">
        <v>227.71440000000001</v>
      </c>
      <c r="J1636">
        <v>76.125600000000006</v>
      </c>
      <c r="K1636">
        <v>95.590900000000005</v>
      </c>
      <c r="L1636">
        <v>4.2626999999999997</v>
      </c>
      <c r="M1636">
        <v>26.0654</v>
      </c>
      <c r="N1636">
        <v>2.4112</v>
      </c>
      <c r="O1636">
        <v>-7.4457000000000004</v>
      </c>
      <c r="P1636">
        <v>70.17</v>
      </c>
      <c r="S1636">
        <f t="shared" si="553"/>
        <v>583.76900000000001</v>
      </c>
      <c r="T1636">
        <f t="shared" si="554"/>
        <v>1.58431583570551E-2</v>
      </c>
      <c r="U1636">
        <f t="shared" si="555"/>
        <v>1.4999439864667551E-2</v>
      </c>
      <c r="V1636">
        <f t="shared" si="556"/>
        <v>5.8216575974740933E-2</v>
      </c>
      <c r="W1636">
        <f t="shared" si="557"/>
        <v>5.1560574534794705E-3</v>
      </c>
      <c r="X1636">
        <f t="shared" si="558"/>
        <v>4.6695131228693169E-2</v>
      </c>
      <c r="Y1636">
        <f t="shared" si="559"/>
        <v>8.4371849238754971E-4</v>
      </c>
      <c r="Z1636">
        <f t="shared" si="560"/>
        <v>2.624901976316821E-3</v>
      </c>
      <c r="AA1636">
        <f t="shared" si="561"/>
        <v>0.2134742780699283</v>
      </c>
      <c r="AB1636">
        <f t="shared" si="562"/>
        <v>7.1365084960108516E-2</v>
      </c>
      <c r="AC1636">
        <f t="shared" si="563"/>
        <v>8.9613122259965594E-2</v>
      </c>
      <c r="AD1636">
        <f t="shared" si="564"/>
        <v>3.9961320194448974E-3</v>
      </c>
      <c r="AE1636">
        <f t="shared" si="565"/>
        <v>2.4435399990531598E-2</v>
      </c>
      <c r="AG1636">
        <f t="shared" si="566"/>
        <v>-2.4167161583634815</v>
      </c>
      <c r="AH1636">
        <f t="shared" si="567"/>
        <v>0.16881438333787219</v>
      </c>
      <c r="AI1636">
        <f t="shared" si="568"/>
        <v>-0.39771927916562899</v>
      </c>
      <c r="AK1636" s="26" t="e">
        <f t="shared" si="569"/>
        <v>#DIV/0!</v>
      </c>
      <c r="AL1636" s="26" t="e">
        <f t="shared" si="570"/>
        <v>#DIV/0!</v>
      </c>
      <c r="AM1636" s="26" t="e">
        <f t="shared" si="571"/>
        <v>#DIV/0!</v>
      </c>
      <c r="AN1636" s="26" t="e">
        <f t="shared" si="572"/>
        <v>#DIV/0!</v>
      </c>
      <c r="AO1636" s="26" t="e">
        <f t="shared" si="573"/>
        <v>#DIV/0!</v>
      </c>
      <c r="AP1636" s="26" t="e">
        <f t="shared" si="574"/>
        <v>#DIV/0!</v>
      </c>
      <c r="AS1636" s="2">
        <v>43844</v>
      </c>
      <c r="AT1636">
        <v>11.6</v>
      </c>
      <c r="AU1636">
        <v>1.3</v>
      </c>
      <c r="AV1636">
        <v>76.900000000000006</v>
      </c>
      <c r="AW1636">
        <v>7.9</v>
      </c>
      <c r="AX1636">
        <v>39.78</v>
      </c>
      <c r="AY1636">
        <v>0.4</v>
      </c>
      <c r="AZ1636">
        <v>3.5</v>
      </c>
      <c r="BA1636">
        <v>191.4958</v>
      </c>
      <c r="BB1636">
        <v>97.460300000000004</v>
      </c>
      <c r="BC1636">
        <v>92.632099999999994</v>
      </c>
      <c r="BD1636">
        <v>4.2</v>
      </c>
      <c r="BE1636">
        <v>30.4437</v>
      </c>
      <c r="BH1636">
        <v>81.96</v>
      </c>
    </row>
    <row r="1637" spans="1:60" x14ac:dyDescent="0.25">
      <c r="A1637" s="2">
        <v>43864</v>
      </c>
      <c r="B1637">
        <v>17.899999999999999</v>
      </c>
      <c r="C1637">
        <v>337.2</v>
      </c>
      <c r="D1637">
        <v>51.2</v>
      </c>
      <c r="E1637">
        <v>5.4</v>
      </c>
      <c r="F1637">
        <v>22.63</v>
      </c>
      <c r="G1637">
        <v>0.9</v>
      </c>
      <c r="H1637">
        <v>2.9</v>
      </c>
      <c r="I1637">
        <v>181.81450000000001</v>
      </c>
      <c r="J1637">
        <v>57.9816</v>
      </c>
      <c r="K1637">
        <v>92.793400000000005</v>
      </c>
      <c r="L1637">
        <v>4.2881</v>
      </c>
      <c r="M1637">
        <v>29.951899999999998</v>
      </c>
      <c r="N1637">
        <v>2.9476</v>
      </c>
      <c r="O1637">
        <v>-6.6178999999999997</v>
      </c>
      <c r="P1637">
        <v>70.62</v>
      </c>
      <c r="S1637">
        <f t="shared" si="553"/>
        <v>804.95949999999982</v>
      </c>
      <c r="T1637">
        <f t="shared" si="554"/>
        <v>1.678062334859682E-2</v>
      </c>
      <c r="U1637">
        <f t="shared" si="555"/>
        <v>0.31611319514786862</v>
      </c>
      <c r="V1637">
        <f t="shared" si="556"/>
        <v>4.7998207566936166E-2</v>
      </c>
      <c r="W1637">
        <f t="shared" si="557"/>
        <v>5.0623109543252989E-3</v>
      </c>
      <c r="X1637">
        <f t="shared" si="558"/>
        <v>2.1214832758589167E-2</v>
      </c>
      <c r="Y1637">
        <f t="shared" si="559"/>
        <v>8.4371849238754971E-4</v>
      </c>
      <c r="Z1637">
        <f t="shared" si="560"/>
        <v>2.7186484754709935E-3</v>
      </c>
      <c r="AA1637">
        <f t="shared" si="561"/>
        <v>0.1704447287046624</v>
      </c>
      <c r="AB1637">
        <f t="shared" si="562"/>
        <v>5.4355720153575503E-2</v>
      </c>
      <c r="AC1637">
        <f t="shared" si="563"/>
        <v>8.6990563946127628E-2</v>
      </c>
      <c r="AD1637">
        <f t="shared" si="564"/>
        <v>4.019943630230058E-3</v>
      </c>
      <c r="AE1637">
        <f t="shared" si="565"/>
        <v>2.8078857680158498E-2</v>
      </c>
      <c r="AG1637">
        <f t="shared" si="566"/>
        <v>-2.3976576152663309</v>
      </c>
      <c r="AH1637">
        <f t="shared" si="567"/>
        <v>0.43881039442433312</v>
      </c>
      <c r="AI1637">
        <f t="shared" si="568"/>
        <v>1.4484460746601251</v>
      </c>
      <c r="AK1637" s="26" t="e">
        <f t="shared" si="569"/>
        <v>#DIV/0!</v>
      </c>
      <c r="AL1637" s="26" t="e">
        <f t="shared" si="570"/>
        <v>#DIV/0!</v>
      </c>
      <c r="AM1637" s="26" t="e">
        <f t="shared" si="571"/>
        <v>#DIV/0!</v>
      </c>
      <c r="AN1637" s="26" t="e">
        <f t="shared" si="572"/>
        <v>#DIV/0!</v>
      </c>
      <c r="AO1637" s="26" t="e">
        <f t="shared" si="573"/>
        <v>#DIV/0!</v>
      </c>
      <c r="AP1637" s="26" t="e">
        <f t="shared" si="574"/>
        <v>#DIV/0!</v>
      </c>
      <c r="AS1637" s="2">
        <v>43843</v>
      </c>
      <c r="AT1637">
        <v>10</v>
      </c>
      <c r="AU1637">
        <v>3.1</v>
      </c>
      <c r="AV1637">
        <v>56.7</v>
      </c>
      <c r="AW1637">
        <v>3.1</v>
      </c>
      <c r="AX1637">
        <v>27.74</v>
      </c>
      <c r="AY1637">
        <v>0.3</v>
      </c>
      <c r="AZ1637">
        <v>3.3</v>
      </c>
      <c r="BA1637">
        <v>256.04109999999997</v>
      </c>
      <c r="BB1637">
        <v>157.1961</v>
      </c>
      <c r="BC1637">
        <v>150.0574</v>
      </c>
      <c r="BD1637">
        <v>4.3375000000000004</v>
      </c>
      <c r="BE1637">
        <v>39.066800000000001</v>
      </c>
      <c r="BH1637">
        <v>82.49</v>
      </c>
    </row>
    <row r="1638" spans="1:60" x14ac:dyDescent="0.25">
      <c r="A1638" s="2">
        <v>43863</v>
      </c>
      <c r="B1638">
        <v>11.7</v>
      </c>
      <c r="C1638">
        <v>3.2</v>
      </c>
      <c r="D1638">
        <v>27.8</v>
      </c>
      <c r="E1638">
        <v>4.5999999999999996</v>
      </c>
      <c r="F1638">
        <v>19.12</v>
      </c>
      <c r="G1638">
        <v>0.9</v>
      </c>
      <c r="H1638">
        <v>2.5</v>
      </c>
      <c r="I1638">
        <v>138.84440000000001</v>
      </c>
      <c r="J1638">
        <v>36.944099999999999</v>
      </c>
      <c r="K1638">
        <v>54.407699999999998</v>
      </c>
      <c r="L1638">
        <v>4.2736000000000001</v>
      </c>
      <c r="M1638">
        <v>26.935600000000001</v>
      </c>
      <c r="P1638">
        <v>70.989999999999995</v>
      </c>
      <c r="S1638">
        <f t="shared" si="553"/>
        <v>331.22539999999998</v>
      </c>
      <c r="T1638">
        <f t="shared" si="554"/>
        <v>1.0968340401038145E-2</v>
      </c>
      <c r="U1638">
        <f t="shared" si="555"/>
        <v>2.9998879729335104E-3</v>
      </c>
      <c r="V1638">
        <f t="shared" si="556"/>
        <v>2.6061526764859871E-2</v>
      </c>
      <c r="W1638">
        <f t="shared" si="557"/>
        <v>4.3123389610919202E-3</v>
      </c>
      <c r="X1638">
        <f t="shared" si="558"/>
        <v>1.7924330638277725E-2</v>
      </c>
      <c r="Y1638">
        <f t="shared" si="559"/>
        <v>8.4371849238754971E-4</v>
      </c>
      <c r="Z1638">
        <f t="shared" si="560"/>
        <v>2.3436624788543046E-3</v>
      </c>
      <c r="AA1638">
        <f t="shared" si="561"/>
        <v>0.13016176427161547</v>
      </c>
      <c r="AB1638">
        <f t="shared" si="562"/>
        <v>3.4633800394016527E-2</v>
      </c>
      <c r="AC1638">
        <f t="shared" si="563"/>
        <v>5.1005314020304539E-2</v>
      </c>
      <c r="AD1638">
        <f t="shared" si="564"/>
        <v>4.0063503878527027E-3</v>
      </c>
      <c r="AE1638">
        <f t="shared" si="565"/>
        <v>2.5251182026171205E-2</v>
      </c>
      <c r="AG1638">
        <f t="shared" si="566"/>
        <v>-2.3877430340192092</v>
      </c>
      <c r="AH1638">
        <f t="shared" si="567"/>
        <v>9.0704987735614223E-2</v>
      </c>
      <c r="AI1638">
        <f t="shared" si="568"/>
        <v>-0.92853281525291764</v>
      </c>
      <c r="AK1638" s="26" t="e">
        <f t="shared" si="569"/>
        <v>#DIV/0!</v>
      </c>
      <c r="AL1638" s="26" t="e">
        <f t="shared" si="570"/>
        <v>#DIV/0!</v>
      </c>
      <c r="AM1638" s="26" t="e">
        <f t="shared" si="571"/>
        <v>#DIV/0!</v>
      </c>
      <c r="AN1638" s="26" t="e">
        <f t="shared" si="572"/>
        <v>#DIV/0!</v>
      </c>
      <c r="AO1638" s="26" t="e">
        <f t="shared" si="573"/>
        <v>#DIV/0!</v>
      </c>
      <c r="AP1638" s="26" t="e">
        <f t="shared" si="574"/>
        <v>#DIV/0!</v>
      </c>
      <c r="AS1638" s="2">
        <v>43842</v>
      </c>
      <c r="AT1638">
        <v>9.8000000000000007</v>
      </c>
      <c r="AU1638">
        <v>0</v>
      </c>
      <c r="AV1638">
        <v>70.099999999999994</v>
      </c>
      <c r="AW1638">
        <v>4.9000000000000004</v>
      </c>
      <c r="AX1638">
        <v>35.97</v>
      </c>
      <c r="AY1638">
        <v>0.3</v>
      </c>
      <c r="AZ1638">
        <v>3.3</v>
      </c>
      <c r="BA1638">
        <v>150.8186</v>
      </c>
      <c r="BB1638">
        <v>82.2791</v>
      </c>
      <c r="BC1638">
        <v>66.963899999999995</v>
      </c>
      <c r="BD1638">
        <v>4.3066000000000004</v>
      </c>
      <c r="BE1638">
        <v>5.6195000000000004</v>
      </c>
      <c r="BH1638">
        <v>82.99</v>
      </c>
    </row>
    <row r="1639" spans="1:60" x14ac:dyDescent="0.25">
      <c r="A1639" s="2">
        <v>43862</v>
      </c>
      <c r="B1639">
        <v>11.5</v>
      </c>
      <c r="C1639">
        <v>1.3</v>
      </c>
      <c r="D1639">
        <v>73.5</v>
      </c>
      <c r="E1639">
        <v>7.2</v>
      </c>
      <c r="F1639">
        <v>35.1</v>
      </c>
      <c r="G1639">
        <v>0.9</v>
      </c>
      <c r="H1639">
        <v>2.9</v>
      </c>
      <c r="I1639">
        <v>94.575100000000006</v>
      </c>
      <c r="J1639">
        <v>44.845999999999997</v>
      </c>
      <c r="K1639">
        <v>41.210700000000003</v>
      </c>
      <c r="L1639">
        <v>4.2992999999999997</v>
      </c>
      <c r="M1639">
        <v>22.449000000000002</v>
      </c>
      <c r="P1639">
        <v>71.19</v>
      </c>
      <c r="S1639">
        <f t="shared" si="553"/>
        <v>339.7801</v>
      </c>
      <c r="T1639">
        <f t="shared" si="554"/>
        <v>1.0780847402729802E-2</v>
      </c>
      <c r="U1639">
        <f t="shared" si="555"/>
        <v>1.2187044890042385E-3</v>
      </c>
      <c r="V1639">
        <f t="shared" si="556"/>
        <v>6.8903676878316555E-2</v>
      </c>
      <c r="W1639">
        <f t="shared" si="557"/>
        <v>6.7497479391003977E-3</v>
      </c>
      <c r="X1639">
        <f t="shared" si="558"/>
        <v>3.2905021203114442E-2</v>
      </c>
      <c r="Y1639">
        <f t="shared" si="559"/>
        <v>8.4371849238754971E-4</v>
      </c>
      <c r="Z1639">
        <f t="shared" si="560"/>
        <v>2.7186484754709935E-3</v>
      </c>
      <c r="AA1639">
        <f t="shared" si="561"/>
        <v>8.8660845321557505E-2</v>
      </c>
      <c r="AB1639">
        <f t="shared" si="562"/>
        <v>4.2041555010680055E-2</v>
      </c>
      <c r="AC1639">
        <f t="shared" si="563"/>
        <v>3.8633588526928442E-2</v>
      </c>
      <c r="AD1639">
        <f t="shared" si="564"/>
        <v>4.0304432381353247E-3</v>
      </c>
      <c r="AE1639">
        <f t="shared" si="565"/>
        <v>2.1045151595120118E-2</v>
      </c>
      <c r="AG1639">
        <f t="shared" si="566"/>
        <v>-2.399518148891933</v>
      </c>
      <c r="AH1639">
        <f t="shared" si="567"/>
        <v>0.14516551647524412</v>
      </c>
      <c r="AI1639">
        <f t="shared" si="568"/>
        <v>-0.55944988979189703</v>
      </c>
      <c r="AK1639" s="26" t="e">
        <f t="shared" si="569"/>
        <v>#DIV/0!</v>
      </c>
      <c r="AL1639" s="26" t="e">
        <f t="shared" si="570"/>
        <v>#DIV/0!</v>
      </c>
      <c r="AM1639" s="26" t="e">
        <f t="shared" si="571"/>
        <v>#DIV/0!</v>
      </c>
      <c r="AN1639" s="26" t="e">
        <f t="shared" si="572"/>
        <v>#DIV/0!</v>
      </c>
      <c r="AO1639" s="26" t="e">
        <f t="shared" si="573"/>
        <v>#DIV/0!</v>
      </c>
      <c r="AP1639" s="26" t="e">
        <f t="shared" si="574"/>
        <v>#DIV/0!</v>
      </c>
      <c r="AS1639" s="2">
        <v>43841</v>
      </c>
      <c r="AT1639">
        <v>11.3</v>
      </c>
      <c r="AU1639">
        <v>0.8</v>
      </c>
      <c r="AV1639">
        <v>64.099999999999994</v>
      </c>
      <c r="AW1639">
        <v>3.1</v>
      </c>
      <c r="AX1639">
        <v>38.130000000000003</v>
      </c>
      <c r="AY1639">
        <v>0.6</v>
      </c>
      <c r="AZ1639">
        <v>3.3</v>
      </c>
      <c r="BA1639">
        <v>260.17989999999998</v>
      </c>
      <c r="BB1639">
        <v>95.831000000000003</v>
      </c>
      <c r="BC1639">
        <v>107.3737</v>
      </c>
      <c r="BD1639">
        <v>4.3383000000000003</v>
      </c>
      <c r="BE1639">
        <v>19.572500000000002</v>
      </c>
      <c r="BH1639">
        <v>83.41</v>
      </c>
    </row>
    <row r="1640" spans="1:60" x14ac:dyDescent="0.25">
      <c r="A1640" s="2">
        <v>43861</v>
      </c>
      <c r="B1640">
        <v>10.6</v>
      </c>
      <c r="C1640">
        <v>1.4</v>
      </c>
      <c r="D1640">
        <v>68.3</v>
      </c>
      <c r="E1640">
        <v>7.7</v>
      </c>
      <c r="F1640">
        <v>36.01</v>
      </c>
      <c r="G1640">
        <v>0.8</v>
      </c>
      <c r="H1640">
        <v>3.2</v>
      </c>
      <c r="I1640">
        <v>158.38659999999999</v>
      </c>
      <c r="J1640">
        <v>74.312399999999997</v>
      </c>
      <c r="K1640">
        <v>82.464299999999994</v>
      </c>
      <c r="L1640">
        <v>4.1936999999999998</v>
      </c>
      <c r="M1640">
        <v>28.752400000000002</v>
      </c>
      <c r="N1640">
        <v>0.23849999999999999</v>
      </c>
      <c r="O1640">
        <v>-8.0845000000000002</v>
      </c>
      <c r="P1640">
        <v>71.37</v>
      </c>
      <c r="S1640">
        <f t="shared" si="553"/>
        <v>476.11939999999993</v>
      </c>
      <c r="T1640">
        <f t="shared" si="554"/>
        <v>9.9371289103422512E-3</v>
      </c>
      <c r="U1640">
        <f t="shared" si="555"/>
        <v>1.3124509881584105E-3</v>
      </c>
      <c r="V1640">
        <f t="shared" si="556"/>
        <v>6.4028858922299606E-2</v>
      </c>
      <c r="W1640">
        <f t="shared" si="557"/>
        <v>7.218480434871259E-3</v>
      </c>
      <c r="X1640">
        <f t="shared" si="558"/>
        <v>3.3758114345417402E-2</v>
      </c>
      <c r="Y1640">
        <f t="shared" si="559"/>
        <v>7.4997199323337759E-4</v>
      </c>
      <c r="Z1640">
        <f t="shared" si="560"/>
        <v>2.9998879729335104E-3</v>
      </c>
      <c r="AA1640">
        <f t="shared" si="561"/>
        <v>0.14848189262932207</v>
      </c>
      <c r="AB1640">
        <f t="shared" si="562"/>
        <v>6.9665273437445052E-2</v>
      </c>
      <c r="AC1640">
        <f t="shared" si="563"/>
        <v>7.7307394301994015E-2</v>
      </c>
      <c r="AD1640">
        <f t="shared" si="564"/>
        <v>3.9314469350285189E-3</v>
      </c>
      <c r="AE1640">
        <f t="shared" si="565"/>
        <v>2.6954368422804208E-2</v>
      </c>
      <c r="AG1640">
        <f t="shared" si="566"/>
        <v>-2.4143719703430273</v>
      </c>
      <c r="AH1640">
        <f t="shared" si="567"/>
        <v>0.14695926199006001</v>
      </c>
      <c r="AI1640">
        <f t="shared" si="568"/>
        <v>-0.54907528905240399</v>
      </c>
      <c r="AK1640" s="26" t="e">
        <f t="shared" si="569"/>
        <v>#DIV/0!</v>
      </c>
      <c r="AL1640" s="26" t="e">
        <f t="shared" si="570"/>
        <v>#DIV/0!</v>
      </c>
      <c r="AM1640" s="26" t="e">
        <f t="shared" si="571"/>
        <v>#DIV/0!</v>
      </c>
      <c r="AN1640" s="26" t="e">
        <f t="shared" si="572"/>
        <v>#DIV/0!</v>
      </c>
      <c r="AO1640" s="26" t="e">
        <f t="shared" si="573"/>
        <v>#DIV/0!</v>
      </c>
      <c r="AP1640" s="26" t="e">
        <f t="shared" si="574"/>
        <v>#DIV/0!</v>
      </c>
      <c r="AS1640" s="2">
        <v>43840</v>
      </c>
      <c r="AT1640">
        <v>11.5</v>
      </c>
      <c r="AU1640">
        <v>4</v>
      </c>
      <c r="AV1640">
        <v>46.7</v>
      </c>
      <c r="AW1640">
        <v>5</v>
      </c>
      <c r="AX1640">
        <v>32.21</v>
      </c>
      <c r="AY1640">
        <v>0.5</v>
      </c>
      <c r="AZ1640">
        <v>3.7</v>
      </c>
      <c r="BA1640">
        <v>264.12240000000003</v>
      </c>
      <c r="BB1640">
        <v>141.9727</v>
      </c>
      <c r="BC1640">
        <v>121.9539</v>
      </c>
      <c r="BD1640">
        <v>4.3635999999999999</v>
      </c>
      <c r="BE1640">
        <v>21.920200000000001</v>
      </c>
      <c r="BH1640">
        <v>83.84</v>
      </c>
    </row>
    <row r="1641" spans="1:60" x14ac:dyDescent="0.25">
      <c r="A1641" s="2">
        <v>43860</v>
      </c>
      <c r="B1641">
        <v>10.8</v>
      </c>
      <c r="C1641">
        <v>3.6</v>
      </c>
      <c r="D1641">
        <v>66.099999999999994</v>
      </c>
      <c r="E1641">
        <v>7.2</v>
      </c>
      <c r="F1641">
        <v>47.91</v>
      </c>
      <c r="G1641">
        <v>0.9</v>
      </c>
      <c r="H1641">
        <v>3.3</v>
      </c>
      <c r="I1641">
        <v>181.06659999999999</v>
      </c>
      <c r="J1641">
        <v>103.9747</v>
      </c>
      <c r="K1641">
        <v>94.973399999999998</v>
      </c>
      <c r="L1641">
        <v>4.1792999999999996</v>
      </c>
      <c r="M1641">
        <v>27.614000000000001</v>
      </c>
      <c r="N1641">
        <v>1.4145000000000001</v>
      </c>
      <c r="O1641">
        <v>-6.9104999999999999</v>
      </c>
      <c r="P1641">
        <v>71.87</v>
      </c>
      <c r="S1641">
        <f t="shared" si="553"/>
        <v>551.61800000000005</v>
      </c>
      <c r="T1641">
        <f t="shared" si="554"/>
        <v>1.0124621908650598E-2</v>
      </c>
      <c r="U1641">
        <f t="shared" si="555"/>
        <v>3.3748739695501988E-3</v>
      </c>
      <c r="V1641">
        <f t="shared" si="556"/>
        <v>6.196643594090781E-2</v>
      </c>
      <c r="W1641">
        <f t="shared" si="557"/>
        <v>6.7497479391003977E-3</v>
      </c>
      <c r="X1641">
        <f t="shared" si="558"/>
        <v>4.4913947744763892E-2</v>
      </c>
      <c r="Y1641">
        <f t="shared" si="559"/>
        <v>8.4371849238754971E-4</v>
      </c>
      <c r="Z1641">
        <f t="shared" si="560"/>
        <v>3.0936344720876819E-3</v>
      </c>
      <c r="AA1641">
        <f t="shared" si="561"/>
        <v>0.16974359863748834</v>
      </c>
      <c r="AB1641">
        <f t="shared" si="562"/>
        <v>9.7472641256053066E-2</v>
      </c>
      <c r="AC1641">
        <f t="shared" si="563"/>
        <v>8.903423762768857E-2</v>
      </c>
      <c r="AD1641">
        <f t="shared" si="564"/>
        <v>3.9179474391503183E-3</v>
      </c>
      <c r="AE1641">
        <f t="shared" si="565"/>
        <v>2.5887158276433109E-2</v>
      </c>
      <c r="AG1641">
        <f t="shared" si="566"/>
        <v>-2.3864806243537431</v>
      </c>
      <c r="AH1641">
        <f t="shared" si="567"/>
        <v>0.15695413874388123</v>
      </c>
      <c r="AI1641">
        <f t="shared" si="568"/>
        <v>-0.48262886331679755</v>
      </c>
      <c r="AK1641" s="26" t="e">
        <f t="shared" si="569"/>
        <v>#DIV/0!</v>
      </c>
      <c r="AL1641" s="26" t="e">
        <f t="shared" si="570"/>
        <v>#DIV/0!</v>
      </c>
      <c r="AM1641" s="26" t="e">
        <f t="shared" si="571"/>
        <v>#DIV/0!</v>
      </c>
      <c r="AN1641" s="26" t="e">
        <f t="shared" si="572"/>
        <v>#DIV/0!</v>
      </c>
      <c r="AO1641" s="26" t="e">
        <f t="shared" si="573"/>
        <v>#DIV/0!</v>
      </c>
      <c r="AP1641" s="26" t="e">
        <f t="shared" si="574"/>
        <v>#DIV/0!</v>
      </c>
      <c r="AS1641" s="2">
        <v>43839</v>
      </c>
      <c r="AT1641">
        <v>12</v>
      </c>
      <c r="AU1641">
        <v>18.899999999999999</v>
      </c>
      <c r="AV1641">
        <v>53</v>
      </c>
      <c r="AW1641">
        <v>3.7</v>
      </c>
      <c r="AX1641">
        <v>25.54</v>
      </c>
      <c r="AY1641">
        <v>0.5</v>
      </c>
      <c r="AZ1641">
        <v>3.6</v>
      </c>
      <c r="BA1641">
        <v>279.33190000000002</v>
      </c>
      <c r="BB1641">
        <v>164.2415</v>
      </c>
      <c r="BC1641">
        <v>118.8197</v>
      </c>
      <c r="BD1641">
        <v>4.4215</v>
      </c>
      <c r="BE1641">
        <v>16.340900000000001</v>
      </c>
      <c r="BH1641">
        <v>84.27</v>
      </c>
    </row>
    <row r="1642" spans="1:60" x14ac:dyDescent="0.25">
      <c r="A1642" s="2">
        <v>43859</v>
      </c>
      <c r="B1642">
        <v>10.8</v>
      </c>
      <c r="C1642">
        <v>3.7</v>
      </c>
      <c r="D1642">
        <v>65.5</v>
      </c>
      <c r="E1642">
        <v>8.1999999999999993</v>
      </c>
      <c r="F1642">
        <v>26.5</v>
      </c>
      <c r="G1642">
        <v>0.9</v>
      </c>
      <c r="H1642">
        <v>3</v>
      </c>
      <c r="I1642">
        <v>163.31739999999999</v>
      </c>
      <c r="J1642">
        <v>108.5145</v>
      </c>
      <c r="K1642">
        <v>120.133</v>
      </c>
      <c r="L1642">
        <v>4.1787000000000001</v>
      </c>
      <c r="M1642">
        <v>23.005199999999999</v>
      </c>
      <c r="N1642">
        <v>2.694</v>
      </c>
      <c r="O1642">
        <v>-5.6539000000000001</v>
      </c>
      <c r="P1642">
        <v>72.3</v>
      </c>
      <c r="S1642">
        <f t="shared" si="553"/>
        <v>537.74879999999996</v>
      </c>
      <c r="T1642">
        <f t="shared" si="554"/>
        <v>1.0124621908650598E-2</v>
      </c>
      <c r="U1642">
        <f t="shared" si="555"/>
        <v>3.4686204687043713E-3</v>
      </c>
      <c r="V1642">
        <f t="shared" si="556"/>
        <v>6.1403956945982788E-2</v>
      </c>
      <c r="W1642">
        <f t="shared" si="557"/>
        <v>7.6872129306421186E-3</v>
      </c>
      <c r="X1642">
        <f t="shared" si="558"/>
        <v>2.4842822275855631E-2</v>
      </c>
      <c r="Y1642">
        <f t="shared" si="559"/>
        <v>8.4371849238754971E-4</v>
      </c>
      <c r="Z1642">
        <f t="shared" si="560"/>
        <v>2.8123949746251659E-3</v>
      </c>
      <c r="AA1642">
        <f t="shared" si="561"/>
        <v>0.15310434500961601</v>
      </c>
      <c r="AB1642">
        <f t="shared" si="562"/>
        <v>0.10172854482465418</v>
      </c>
      <c r="AC1642">
        <f t="shared" si="563"/>
        <v>0.11262048182888168</v>
      </c>
      <c r="AD1642">
        <f t="shared" si="564"/>
        <v>3.917384960155393E-3</v>
      </c>
      <c r="AE1642">
        <f t="shared" si="565"/>
        <v>2.1566569623415618E-2</v>
      </c>
      <c r="AG1642">
        <f t="shared" si="566"/>
        <v>-2.3663359049895925</v>
      </c>
      <c r="AH1642">
        <f t="shared" si="567"/>
        <v>0.13274991762026384</v>
      </c>
      <c r="AI1642">
        <f t="shared" si="568"/>
        <v>-0.64928262770630651</v>
      </c>
      <c r="AK1642" s="26" t="e">
        <f t="shared" si="569"/>
        <v>#DIV/0!</v>
      </c>
      <c r="AL1642" s="26" t="e">
        <f t="shared" si="570"/>
        <v>#DIV/0!</v>
      </c>
      <c r="AM1642" s="26" t="e">
        <f t="shared" si="571"/>
        <v>#DIV/0!</v>
      </c>
      <c r="AN1642" s="26" t="e">
        <f t="shared" si="572"/>
        <v>#DIV/0!</v>
      </c>
      <c r="AO1642" s="26" t="e">
        <f t="shared" si="573"/>
        <v>#DIV/0!</v>
      </c>
      <c r="AP1642" s="26" t="e">
        <f t="shared" si="574"/>
        <v>#DIV/0!</v>
      </c>
      <c r="AS1642" s="2">
        <v>43838</v>
      </c>
      <c r="AT1642">
        <v>12.3</v>
      </c>
      <c r="AU1642">
        <v>1</v>
      </c>
      <c r="AV1642">
        <v>64.400000000000006</v>
      </c>
      <c r="AW1642">
        <v>4.0999999999999996</v>
      </c>
      <c r="AX1642">
        <v>11.1</v>
      </c>
      <c r="AY1642">
        <v>0.5</v>
      </c>
      <c r="AZ1642">
        <v>3.5</v>
      </c>
      <c r="BA1642">
        <v>243.95070000000001</v>
      </c>
      <c r="BB1642">
        <v>188.9624</v>
      </c>
      <c r="BC1642">
        <v>144.0523</v>
      </c>
      <c r="BD1642">
        <v>3.6236999999999999</v>
      </c>
      <c r="BE1642">
        <v>25.7285</v>
      </c>
      <c r="BH1642">
        <v>84.77</v>
      </c>
    </row>
    <row r="1643" spans="1:60" x14ac:dyDescent="0.25">
      <c r="A1643" s="2">
        <v>43858</v>
      </c>
      <c r="B1643">
        <v>10.6</v>
      </c>
      <c r="C1643">
        <v>2</v>
      </c>
      <c r="D1643">
        <v>55.3</v>
      </c>
      <c r="E1643">
        <v>6.7</v>
      </c>
      <c r="F1643">
        <v>26.1</v>
      </c>
      <c r="G1643">
        <v>0.9</v>
      </c>
      <c r="H1643">
        <v>2.9</v>
      </c>
      <c r="I1643">
        <v>183.92</v>
      </c>
      <c r="J1643">
        <v>92.062399999999997</v>
      </c>
      <c r="K1643">
        <v>104.7912</v>
      </c>
      <c r="L1643">
        <v>4.2480000000000002</v>
      </c>
      <c r="M1643">
        <v>22.764399999999998</v>
      </c>
      <c r="N1643">
        <v>2.8178000000000001</v>
      </c>
      <c r="O1643">
        <v>-5.0221</v>
      </c>
      <c r="P1643">
        <v>72.94</v>
      </c>
      <c r="S1643">
        <f t="shared" si="553"/>
        <v>512.28599999999994</v>
      </c>
      <c r="T1643">
        <f t="shared" si="554"/>
        <v>9.9371289103422512E-3</v>
      </c>
      <c r="U1643">
        <f t="shared" si="555"/>
        <v>1.8749299830834439E-3</v>
      </c>
      <c r="V1643">
        <f t="shared" si="556"/>
        <v>5.1841814032257218E-2</v>
      </c>
      <c r="W1643">
        <f t="shared" si="557"/>
        <v>6.2810154433295372E-3</v>
      </c>
      <c r="X1643">
        <f t="shared" si="558"/>
        <v>2.4467836279238944E-2</v>
      </c>
      <c r="Y1643">
        <f t="shared" si="559"/>
        <v>8.4371849238754971E-4</v>
      </c>
      <c r="Z1643">
        <f t="shared" si="560"/>
        <v>2.7186484754709935E-3</v>
      </c>
      <c r="AA1643">
        <f t="shared" si="561"/>
        <v>0.17241856124435348</v>
      </c>
      <c r="AB1643">
        <f t="shared" si="562"/>
        <v>8.6305277037310613E-2</v>
      </c>
      <c r="AC1643">
        <f t="shared" si="563"/>
        <v>9.8238081421646889E-2</v>
      </c>
      <c r="AD1643">
        <f t="shared" si="564"/>
        <v>3.9823512840692346E-3</v>
      </c>
      <c r="AE1643">
        <f t="shared" si="565"/>
        <v>2.1340828053452374E-2</v>
      </c>
      <c r="AG1643">
        <f t="shared" si="566"/>
        <v>-2.3157446096434962</v>
      </c>
      <c r="AH1643">
        <f t="shared" si="567"/>
        <v>0.11930591966956233</v>
      </c>
      <c r="AI1643">
        <f t="shared" si="568"/>
        <v>-0.74327944761317755</v>
      </c>
      <c r="AK1643" s="26" t="e">
        <f t="shared" si="569"/>
        <v>#DIV/0!</v>
      </c>
      <c r="AL1643" s="26" t="e">
        <f t="shared" si="570"/>
        <v>#DIV/0!</v>
      </c>
      <c r="AM1643" s="26" t="e">
        <f t="shared" si="571"/>
        <v>#DIV/0!</v>
      </c>
      <c r="AN1643" s="26" t="e">
        <f t="shared" si="572"/>
        <v>#DIV/0!</v>
      </c>
      <c r="AO1643" s="26" t="e">
        <f t="shared" si="573"/>
        <v>#DIV/0!</v>
      </c>
      <c r="AP1643" s="26" t="e">
        <f t="shared" si="574"/>
        <v>#DIV/0!</v>
      </c>
      <c r="AS1643" s="2">
        <v>43837</v>
      </c>
      <c r="AT1643">
        <v>11</v>
      </c>
      <c r="AU1643">
        <v>0</v>
      </c>
      <c r="AV1643">
        <v>63.9</v>
      </c>
      <c r="AW1643">
        <v>2.9</v>
      </c>
      <c r="AX1643">
        <v>16.489999999999998</v>
      </c>
      <c r="AY1643">
        <v>0.5</v>
      </c>
      <c r="AZ1643">
        <v>3.5</v>
      </c>
      <c r="BA1643">
        <v>269.83280000000002</v>
      </c>
      <c r="BB1643">
        <v>182.43989999999999</v>
      </c>
      <c r="BC1643">
        <v>163.54390000000001</v>
      </c>
      <c r="BD1643">
        <v>3.3772000000000002</v>
      </c>
      <c r="BE1643">
        <v>32.615000000000002</v>
      </c>
      <c r="BH1643">
        <v>85.3</v>
      </c>
    </row>
    <row r="1644" spans="1:60" x14ac:dyDescent="0.25">
      <c r="A1644" s="2">
        <v>43857</v>
      </c>
      <c r="B1644">
        <v>9.5</v>
      </c>
      <c r="C1644">
        <v>36.200000000000003</v>
      </c>
      <c r="D1644">
        <v>61.2</v>
      </c>
      <c r="E1644">
        <v>0.9</v>
      </c>
      <c r="F1644">
        <v>41.88</v>
      </c>
      <c r="G1644">
        <v>0.9</v>
      </c>
      <c r="H1644">
        <v>3.2</v>
      </c>
      <c r="I1644">
        <v>256.27949999999998</v>
      </c>
      <c r="J1644">
        <v>147.70150000000001</v>
      </c>
      <c r="K1644">
        <v>151.4513</v>
      </c>
      <c r="L1644">
        <v>4.2474999999999996</v>
      </c>
      <c r="M1644">
        <v>28.503599999999999</v>
      </c>
      <c r="N1644">
        <v>3.1084999999999998</v>
      </c>
      <c r="O1644">
        <v>-5.1214000000000004</v>
      </c>
      <c r="P1644">
        <v>73.7</v>
      </c>
      <c r="S1644">
        <f t="shared" si="553"/>
        <v>741.96339999999987</v>
      </c>
      <c r="T1644">
        <f t="shared" si="554"/>
        <v>8.9059174196463586E-3</v>
      </c>
      <c r="U1644">
        <f t="shared" si="555"/>
        <v>3.3936232693810339E-2</v>
      </c>
      <c r="V1644">
        <f t="shared" si="556"/>
        <v>5.7372857482353386E-2</v>
      </c>
      <c r="W1644">
        <f t="shared" si="557"/>
        <v>8.4371849238754971E-4</v>
      </c>
      <c r="X1644">
        <f t="shared" si="558"/>
        <v>3.9261033845767318E-2</v>
      </c>
      <c r="Y1644">
        <f t="shared" si="559"/>
        <v>8.4371849238754971E-4</v>
      </c>
      <c r="Z1644">
        <f t="shared" si="560"/>
        <v>2.9998879729335104E-3</v>
      </c>
      <c r="AA1644">
        <f t="shared" si="561"/>
        <v>0.24025305929981672</v>
      </c>
      <c r="AB1644">
        <f t="shared" si="562"/>
        <v>0.13846498544819966</v>
      </c>
      <c r="AC1644">
        <f t="shared" si="563"/>
        <v>0.14198029167348278</v>
      </c>
      <c r="AD1644">
        <f t="shared" si="564"/>
        <v>3.9818825515734631E-3</v>
      </c>
      <c r="AE1644">
        <f t="shared" si="565"/>
        <v>2.6721127132908622E-2</v>
      </c>
      <c r="AG1644">
        <f t="shared" si="566"/>
        <v>-2.2454027234267815</v>
      </c>
      <c r="AH1644">
        <f t="shared" si="567"/>
        <v>0.17088449353219462</v>
      </c>
      <c r="AI1644">
        <f t="shared" si="568"/>
        <v>-0.39549085276027185</v>
      </c>
      <c r="AK1644" s="26" t="e">
        <f t="shared" si="569"/>
        <v>#DIV/0!</v>
      </c>
      <c r="AL1644" s="26" t="e">
        <f t="shared" si="570"/>
        <v>#DIV/0!</v>
      </c>
      <c r="AM1644" s="26" t="e">
        <f t="shared" si="571"/>
        <v>#DIV/0!</v>
      </c>
      <c r="AN1644" s="26" t="e">
        <f t="shared" si="572"/>
        <v>#DIV/0!</v>
      </c>
      <c r="AO1644" s="26" t="e">
        <f t="shared" si="573"/>
        <v>#DIV/0!</v>
      </c>
      <c r="AP1644" s="26" t="e">
        <f t="shared" si="574"/>
        <v>#DIV/0!</v>
      </c>
      <c r="AS1644" s="2">
        <v>43836</v>
      </c>
      <c r="AT1644">
        <v>10.7</v>
      </c>
      <c r="AU1644">
        <v>0</v>
      </c>
      <c r="AV1644">
        <v>76.599999999999994</v>
      </c>
      <c r="AW1644">
        <v>1.9</v>
      </c>
      <c r="AX1644">
        <v>39.07</v>
      </c>
      <c r="AY1644">
        <v>0.5</v>
      </c>
      <c r="AZ1644">
        <v>3.3</v>
      </c>
      <c r="BA1644">
        <v>239.34059999999999</v>
      </c>
      <c r="BB1644">
        <v>125.3329</v>
      </c>
      <c r="BC1644">
        <v>141.46440000000001</v>
      </c>
      <c r="BD1644">
        <v>4.0909000000000004</v>
      </c>
      <c r="BE1644">
        <v>23.919499999999999</v>
      </c>
      <c r="BH1644">
        <v>85.86</v>
      </c>
    </row>
    <row r="1645" spans="1:60" x14ac:dyDescent="0.25">
      <c r="A1645" s="2">
        <v>43856</v>
      </c>
      <c r="B1645">
        <v>10.1</v>
      </c>
      <c r="C1645">
        <v>2.2000000000000002</v>
      </c>
      <c r="D1645">
        <v>47</v>
      </c>
      <c r="E1645">
        <v>0.6</v>
      </c>
      <c r="F1645">
        <v>38.14</v>
      </c>
      <c r="G1645">
        <v>0.6</v>
      </c>
      <c r="H1645">
        <v>3.1</v>
      </c>
      <c r="I1645">
        <v>285.22190000000001</v>
      </c>
      <c r="J1645">
        <v>139.0932</v>
      </c>
      <c r="K1645">
        <v>117.9586</v>
      </c>
      <c r="L1645">
        <v>4.2237</v>
      </c>
      <c r="M1645">
        <v>15.403600000000001</v>
      </c>
      <c r="P1645">
        <v>74.31</v>
      </c>
      <c r="S1645">
        <f t="shared" si="553"/>
        <v>663.64100000000008</v>
      </c>
      <c r="T1645">
        <f t="shared" si="554"/>
        <v>9.4683964145713916E-3</v>
      </c>
      <c r="U1645">
        <f t="shared" si="555"/>
        <v>2.0624229813917885E-3</v>
      </c>
      <c r="V1645">
        <f t="shared" si="556"/>
        <v>4.4060854602460932E-2</v>
      </c>
      <c r="W1645">
        <f t="shared" si="557"/>
        <v>5.6247899492503314E-4</v>
      </c>
      <c r="X1645">
        <f t="shared" si="558"/>
        <v>3.5754914777401274E-2</v>
      </c>
      <c r="Y1645">
        <f t="shared" si="559"/>
        <v>5.6247899492503314E-4</v>
      </c>
      <c r="Z1645">
        <f t="shared" si="560"/>
        <v>2.9061414737793379E-3</v>
      </c>
      <c r="AA1645">
        <f t="shared" si="561"/>
        <v>0.26738554607101384</v>
      </c>
      <c r="AB1645">
        <f t="shared" si="562"/>
        <v>0.13039500556151104</v>
      </c>
      <c r="AC1645">
        <f t="shared" si="563"/>
        <v>0.11058205795127336</v>
      </c>
      <c r="AD1645">
        <f t="shared" si="564"/>
        <v>3.9595708847747707E-3</v>
      </c>
      <c r="AE1645">
        <f t="shared" si="565"/>
        <v>1.4440335743712068E-2</v>
      </c>
      <c r="AG1645">
        <f t="shared" si="566"/>
        <v>-2.1924678099894255</v>
      </c>
      <c r="AH1645">
        <f t="shared" si="567"/>
        <v>0.10981802398316685</v>
      </c>
      <c r="AI1645">
        <f t="shared" si="568"/>
        <v>-0.81116568559470681</v>
      </c>
      <c r="AK1645" s="26" t="e">
        <f t="shared" si="569"/>
        <v>#DIV/0!</v>
      </c>
      <c r="AL1645" s="26" t="e">
        <f t="shared" si="570"/>
        <v>#DIV/0!</v>
      </c>
      <c r="AM1645" s="26" t="e">
        <f t="shared" si="571"/>
        <v>#DIV/0!</v>
      </c>
      <c r="AN1645" s="26" t="e">
        <f t="shared" si="572"/>
        <v>#DIV/0!</v>
      </c>
      <c r="AO1645" s="26" t="e">
        <f t="shared" si="573"/>
        <v>#DIV/0!</v>
      </c>
      <c r="AP1645" s="26" t="e">
        <f t="shared" si="574"/>
        <v>#DIV/0!</v>
      </c>
      <c r="AS1645" s="2">
        <v>43835</v>
      </c>
      <c r="AT1645">
        <v>11.4</v>
      </c>
      <c r="AU1645">
        <v>58.8</v>
      </c>
      <c r="AV1645">
        <v>46.7</v>
      </c>
      <c r="AW1645">
        <v>2</v>
      </c>
      <c r="AX1645">
        <v>26.15</v>
      </c>
      <c r="AY1645">
        <v>0.5</v>
      </c>
      <c r="AZ1645">
        <v>3.1</v>
      </c>
      <c r="BA1645">
        <v>250.15790000000001</v>
      </c>
      <c r="BB1645">
        <v>60.752699999999997</v>
      </c>
      <c r="BC1645">
        <v>90.419899999999998</v>
      </c>
      <c r="BD1645">
        <v>4.2637999999999998</v>
      </c>
      <c r="BE1645">
        <v>17.3855</v>
      </c>
      <c r="BH1645">
        <v>86.39</v>
      </c>
    </row>
    <row r="1646" spans="1:60" x14ac:dyDescent="0.25">
      <c r="A1646" s="2">
        <v>43855</v>
      </c>
      <c r="B1646">
        <v>10.9</v>
      </c>
      <c r="C1646">
        <v>1.3</v>
      </c>
      <c r="D1646">
        <v>44.1</v>
      </c>
      <c r="E1646">
        <v>0.9</v>
      </c>
      <c r="F1646">
        <v>30.25</v>
      </c>
      <c r="G1646">
        <v>0.9</v>
      </c>
      <c r="H1646">
        <v>2.8</v>
      </c>
      <c r="I1646">
        <v>344.93270000000001</v>
      </c>
      <c r="J1646">
        <v>227.1046</v>
      </c>
      <c r="K1646">
        <v>170.79750000000001</v>
      </c>
      <c r="L1646">
        <v>4.2427999999999999</v>
      </c>
      <c r="M1646">
        <v>20.017299999999999</v>
      </c>
      <c r="P1646">
        <v>74.84</v>
      </c>
      <c r="S1646">
        <f t="shared" si="553"/>
        <v>858.24490000000003</v>
      </c>
      <c r="T1646">
        <f t="shared" si="554"/>
        <v>1.0218368407804769E-2</v>
      </c>
      <c r="U1646">
        <f t="shared" si="555"/>
        <v>1.2187044890042385E-3</v>
      </c>
      <c r="V1646">
        <f t="shared" si="556"/>
        <v>4.1342206126989939E-2</v>
      </c>
      <c r="W1646">
        <f t="shared" si="557"/>
        <v>8.4371849238754971E-4</v>
      </c>
      <c r="X1646">
        <f t="shared" si="558"/>
        <v>2.8358315994137087E-2</v>
      </c>
      <c r="Y1646">
        <f t="shared" si="559"/>
        <v>8.4371849238754971E-4</v>
      </c>
      <c r="Z1646">
        <f t="shared" si="560"/>
        <v>2.624901976316821E-3</v>
      </c>
      <c r="AA1646">
        <f t="shared" si="561"/>
        <v>0.32336233068796333</v>
      </c>
      <c r="AB1646">
        <f t="shared" si="562"/>
        <v>0.21290261191808615</v>
      </c>
      <c r="AC1646">
        <f t="shared" si="563"/>
        <v>0.16011667689284725</v>
      </c>
      <c r="AD1646">
        <f t="shared" si="564"/>
        <v>3.9774764661132172E-3</v>
      </c>
      <c r="AE1646">
        <f t="shared" si="565"/>
        <v>1.876551797518811E-2</v>
      </c>
      <c r="AG1646">
        <f t="shared" si="566"/>
        <v>-2.1482104552325989</v>
      </c>
      <c r="AH1646">
        <f t="shared" si="567"/>
        <v>0.10421545195421607</v>
      </c>
      <c r="AI1646">
        <f t="shared" si="568"/>
        <v>-0.85277164966976182</v>
      </c>
      <c r="AK1646" s="26" t="e">
        <f t="shared" si="569"/>
        <v>#DIV/0!</v>
      </c>
      <c r="AL1646" s="26" t="e">
        <f t="shared" si="570"/>
        <v>#DIV/0!</v>
      </c>
      <c r="AM1646" s="26" t="e">
        <f t="shared" si="571"/>
        <v>#DIV/0!</v>
      </c>
      <c r="AN1646" s="26" t="e">
        <f t="shared" si="572"/>
        <v>#DIV/0!</v>
      </c>
      <c r="AO1646" s="26" t="e">
        <f t="shared" si="573"/>
        <v>#DIV/0!</v>
      </c>
      <c r="AP1646" s="26" t="e">
        <f t="shared" si="574"/>
        <v>#DIV/0!</v>
      </c>
      <c r="AS1646" s="2">
        <v>43834</v>
      </c>
      <c r="AT1646">
        <v>11.8</v>
      </c>
      <c r="AU1646">
        <v>0</v>
      </c>
      <c r="AV1646">
        <v>68.2</v>
      </c>
      <c r="AW1646">
        <v>7.1</v>
      </c>
      <c r="AX1646">
        <v>13.82</v>
      </c>
      <c r="AY1646">
        <v>0.5</v>
      </c>
      <c r="AZ1646">
        <v>3</v>
      </c>
      <c r="BA1646">
        <v>156.76900000000001</v>
      </c>
      <c r="BB1646">
        <v>70.621099999999998</v>
      </c>
      <c r="BC1646">
        <v>63.153799999999997</v>
      </c>
      <c r="BD1646">
        <v>4.2343000000000002</v>
      </c>
      <c r="BE1646">
        <v>11.598599999999999</v>
      </c>
      <c r="BH1646">
        <v>86.78</v>
      </c>
    </row>
    <row r="1647" spans="1:60" x14ac:dyDescent="0.25">
      <c r="A1647" s="2">
        <v>43854</v>
      </c>
      <c r="B1647">
        <v>11.2</v>
      </c>
      <c r="C1647">
        <v>8.9</v>
      </c>
      <c r="D1647">
        <v>47.7</v>
      </c>
      <c r="E1647">
        <v>1</v>
      </c>
      <c r="F1647">
        <v>48.71</v>
      </c>
      <c r="G1647">
        <v>0.9</v>
      </c>
      <c r="H1647">
        <v>3</v>
      </c>
      <c r="I1647">
        <v>342.46409999999997</v>
      </c>
      <c r="J1647">
        <v>330.4393</v>
      </c>
      <c r="K1647">
        <v>228.92359999999999</v>
      </c>
      <c r="L1647">
        <v>4.5677000000000003</v>
      </c>
      <c r="M1647">
        <v>30.751100000000001</v>
      </c>
      <c r="N1647">
        <v>3.3239000000000001</v>
      </c>
      <c r="O1647">
        <v>-4.8654999999999999</v>
      </c>
      <c r="P1647">
        <v>75.45</v>
      </c>
      <c r="S1647">
        <f t="shared" si="553"/>
        <v>1058.5557999999999</v>
      </c>
      <c r="T1647">
        <f t="shared" si="554"/>
        <v>1.0499607905267284E-2</v>
      </c>
      <c r="U1647">
        <f t="shared" si="555"/>
        <v>8.3434384247213257E-3</v>
      </c>
      <c r="V1647">
        <f t="shared" si="556"/>
        <v>4.4717080096540136E-2</v>
      </c>
      <c r="W1647">
        <f t="shared" si="557"/>
        <v>9.3746499154172193E-4</v>
      </c>
      <c r="X1647">
        <f t="shared" si="558"/>
        <v>4.5663919737997272E-2</v>
      </c>
      <c r="Y1647">
        <f t="shared" si="559"/>
        <v>8.4371849238754971E-4</v>
      </c>
      <c r="Z1647">
        <f t="shared" si="560"/>
        <v>2.8123949746251659E-3</v>
      </c>
      <c r="AA1647">
        <f t="shared" si="561"/>
        <v>0.3210481046098434</v>
      </c>
      <c r="AB1647">
        <f t="shared" si="562"/>
        <v>0.30977527557955253</v>
      </c>
      <c r="AC1647">
        <f t="shared" si="563"/>
        <v>0.21460786073770052</v>
      </c>
      <c r="AD1647">
        <f t="shared" si="564"/>
        <v>4.2820588418651237E-3</v>
      </c>
      <c r="AE1647">
        <f t="shared" si="565"/>
        <v>2.8828079701398647E-2</v>
      </c>
      <c r="AG1647">
        <f t="shared" si="566"/>
        <v>-2.0902305889620454</v>
      </c>
      <c r="AH1647">
        <f t="shared" si="567"/>
        <v>0.14264570432447912</v>
      </c>
      <c r="AI1647">
        <f t="shared" si="568"/>
        <v>-0.59635817660057955</v>
      </c>
      <c r="AK1647" s="26" t="e">
        <f t="shared" si="569"/>
        <v>#DIV/0!</v>
      </c>
      <c r="AL1647" s="26" t="e">
        <f t="shared" si="570"/>
        <v>#DIV/0!</v>
      </c>
      <c r="AM1647" s="26" t="e">
        <f t="shared" si="571"/>
        <v>#DIV/0!</v>
      </c>
      <c r="AN1647" s="26" t="e">
        <f t="shared" si="572"/>
        <v>#DIV/0!</v>
      </c>
      <c r="AO1647" s="26" t="e">
        <f t="shared" si="573"/>
        <v>#DIV/0!</v>
      </c>
      <c r="AP1647" s="26" t="e">
        <f t="shared" si="574"/>
        <v>#DIV/0!</v>
      </c>
      <c r="AS1647" s="2">
        <v>43833</v>
      </c>
      <c r="AT1647">
        <v>12</v>
      </c>
      <c r="AU1647">
        <v>0</v>
      </c>
      <c r="AV1647">
        <v>78.8</v>
      </c>
      <c r="AW1647">
        <v>3.5</v>
      </c>
      <c r="AX1647">
        <v>19.64</v>
      </c>
      <c r="AY1647">
        <v>0.5</v>
      </c>
      <c r="AZ1647">
        <v>3.1</v>
      </c>
      <c r="BA1647">
        <v>180.80240000000001</v>
      </c>
      <c r="BB1647">
        <v>72.4191</v>
      </c>
      <c r="BC1647">
        <v>67.2042</v>
      </c>
      <c r="BD1647">
        <v>4.2263999999999999</v>
      </c>
      <c r="BE1647">
        <v>22.648399999999999</v>
      </c>
      <c r="BH1647">
        <v>87.15</v>
      </c>
    </row>
    <row r="1648" spans="1:60" x14ac:dyDescent="0.25">
      <c r="A1648" s="2">
        <v>43853</v>
      </c>
      <c r="B1648">
        <v>11.2</v>
      </c>
      <c r="C1648">
        <v>77.2</v>
      </c>
      <c r="D1648">
        <v>24</v>
      </c>
      <c r="E1648">
        <v>0.3</v>
      </c>
      <c r="F1648">
        <v>30.47</v>
      </c>
      <c r="G1648">
        <v>0.9</v>
      </c>
      <c r="H1648">
        <v>3.3</v>
      </c>
      <c r="I1648">
        <v>352.49970000000002</v>
      </c>
      <c r="J1648">
        <v>348.85120000000001</v>
      </c>
      <c r="K1648">
        <v>233.35589999999999</v>
      </c>
      <c r="L1648">
        <v>6.3418000000000001</v>
      </c>
      <c r="M1648">
        <v>33.445300000000003</v>
      </c>
      <c r="N1648">
        <v>3.2873000000000001</v>
      </c>
      <c r="O1648">
        <v>-5.1300999999999997</v>
      </c>
      <c r="P1648">
        <v>76.19</v>
      </c>
      <c r="S1648">
        <f t="shared" si="553"/>
        <v>1121.8639000000001</v>
      </c>
      <c r="T1648">
        <f t="shared" si="554"/>
        <v>1.0499607905267284E-2</v>
      </c>
      <c r="U1648">
        <f t="shared" si="555"/>
        <v>7.2372297347020928E-2</v>
      </c>
      <c r="V1648">
        <f t="shared" si="556"/>
        <v>2.2499159797001327E-2</v>
      </c>
      <c r="W1648">
        <f t="shared" si="557"/>
        <v>2.8123949746251657E-4</v>
      </c>
      <c r="X1648">
        <f t="shared" si="558"/>
        <v>2.8564558292276266E-2</v>
      </c>
      <c r="Y1648">
        <f t="shared" si="559"/>
        <v>8.4371849238754971E-4</v>
      </c>
      <c r="Z1648">
        <f t="shared" si="560"/>
        <v>3.0936344720876819E-3</v>
      </c>
      <c r="AA1648">
        <f t="shared" si="561"/>
        <v>0.33045612827895954</v>
      </c>
      <c r="AB1648">
        <f t="shared" si="562"/>
        <v>0.32703578725731952</v>
      </c>
      <c r="AC1648">
        <f t="shared" si="563"/>
        <v>0.2187629868197109</v>
      </c>
      <c r="AD1648">
        <f t="shared" si="564"/>
        <v>5.945215483359292E-3</v>
      </c>
      <c r="AE1648">
        <f t="shared" si="565"/>
        <v>3.1353797881610357E-2</v>
      </c>
      <c r="AG1648">
        <f t="shared" si="566"/>
        <v>-2.01067349196635</v>
      </c>
      <c r="AH1648">
        <f t="shared" si="567"/>
        <v>0.16950801368511392</v>
      </c>
      <c r="AI1648">
        <f t="shared" si="568"/>
        <v>-0.41685341752347205</v>
      </c>
      <c r="AK1648" s="26" t="e">
        <f t="shared" si="569"/>
        <v>#DIV/0!</v>
      </c>
      <c r="AL1648" s="26" t="e">
        <f t="shared" si="570"/>
        <v>#DIV/0!</v>
      </c>
      <c r="AM1648" s="26" t="e">
        <f t="shared" si="571"/>
        <v>#DIV/0!</v>
      </c>
      <c r="AN1648" s="26" t="e">
        <f t="shared" si="572"/>
        <v>#DIV/0!</v>
      </c>
      <c r="AO1648" s="26" t="e">
        <f t="shared" si="573"/>
        <v>#DIV/0!</v>
      </c>
      <c r="AP1648" s="26" t="e">
        <f t="shared" si="574"/>
        <v>#DIV/0!</v>
      </c>
      <c r="AS1648" s="2">
        <v>43832</v>
      </c>
      <c r="AT1648">
        <v>11.5</v>
      </c>
      <c r="AU1648">
        <v>17.2</v>
      </c>
      <c r="AV1648">
        <v>69.2</v>
      </c>
      <c r="AW1648">
        <v>0.8</v>
      </c>
      <c r="AX1648">
        <v>41.31</v>
      </c>
      <c r="AY1648">
        <v>0.5</v>
      </c>
      <c r="AZ1648">
        <v>3.4</v>
      </c>
      <c r="BA1648">
        <v>251.27330000000001</v>
      </c>
      <c r="BB1648">
        <v>64.263599999999997</v>
      </c>
      <c r="BC1648">
        <v>98.857699999999994</v>
      </c>
      <c r="BD1648">
        <v>4.2431000000000001</v>
      </c>
      <c r="BE1648">
        <v>31.0533</v>
      </c>
      <c r="BH1648">
        <v>87.55</v>
      </c>
    </row>
    <row r="1649" spans="1:60" x14ac:dyDescent="0.25">
      <c r="A1649" s="2">
        <v>43852</v>
      </c>
      <c r="B1649">
        <v>10.8</v>
      </c>
      <c r="C1649">
        <v>0.8</v>
      </c>
      <c r="D1649">
        <v>35.6</v>
      </c>
      <c r="E1649">
        <v>2.4</v>
      </c>
      <c r="F1649">
        <v>27.24</v>
      </c>
      <c r="G1649">
        <v>0.7</v>
      </c>
      <c r="H1649">
        <v>3.6</v>
      </c>
      <c r="I1649">
        <v>341.6841</v>
      </c>
      <c r="J1649">
        <v>303.17149999999998</v>
      </c>
      <c r="K1649">
        <v>220.54390000000001</v>
      </c>
      <c r="L1649">
        <v>7.0525000000000002</v>
      </c>
      <c r="M1649">
        <v>36.888599999999997</v>
      </c>
      <c r="N1649">
        <v>2.7820999999999998</v>
      </c>
      <c r="O1649">
        <v>-5.3666</v>
      </c>
      <c r="P1649">
        <v>76.930000000000007</v>
      </c>
      <c r="S1649">
        <f t="shared" si="553"/>
        <v>990.48059999999998</v>
      </c>
      <c r="T1649">
        <f t="shared" si="554"/>
        <v>1.0124621908650598E-2</v>
      </c>
      <c r="U1649">
        <f t="shared" si="555"/>
        <v>7.4997199323337759E-4</v>
      </c>
      <c r="V1649">
        <f t="shared" si="556"/>
        <v>3.3373753698885303E-2</v>
      </c>
      <c r="W1649">
        <f t="shared" si="557"/>
        <v>2.2499159797001326E-3</v>
      </c>
      <c r="X1649">
        <f t="shared" si="558"/>
        <v>2.5536546369596503E-2</v>
      </c>
      <c r="Y1649">
        <f t="shared" si="559"/>
        <v>6.5622549407920526E-4</v>
      </c>
      <c r="Z1649">
        <f t="shared" si="560"/>
        <v>3.3748739695501988E-3</v>
      </c>
      <c r="AA1649">
        <f t="shared" si="561"/>
        <v>0.32031688191644087</v>
      </c>
      <c r="AB1649">
        <f t="shared" si="562"/>
        <v>0.28421266768319114</v>
      </c>
      <c r="AC1649">
        <f t="shared" si="563"/>
        <v>0.20675218534807838</v>
      </c>
      <c r="AD1649">
        <f t="shared" si="564"/>
        <v>6.6114718528479943E-3</v>
      </c>
      <c r="AE1649">
        <f t="shared" si="565"/>
        <v>3.4581771086985957E-2</v>
      </c>
      <c r="AG1649">
        <f t="shared" si="566"/>
        <v>-1.9276984505573924</v>
      </c>
      <c r="AH1649">
        <f t="shared" si="567"/>
        <v>0.11064768050068127</v>
      </c>
      <c r="AI1649">
        <f t="shared" si="568"/>
        <v>-0.81541480750211892</v>
      </c>
      <c r="AK1649" s="26" t="e">
        <f t="shared" si="569"/>
        <v>#DIV/0!</v>
      </c>
      <c r="AL1649" s="26" t="e">
        <f t="shared" si="570"/>
        <v>#DIV/0!</v>
      </c>
      <c r="AM1649" s="26" t="e">
        <f t="shared" si="571"/>
        <v>#DIV/0!</v>
      </c>
      <c r="AN1649" s="26" t="e">
        <f t="shared" si="572"/>
        <v>#DIV/0!</v>
      </c>
      <c r="AO1649" s="26" t="e">
        <f t="shared" si="573"/>
        <v>#DIV/0!</v>
      </c>
      <c r="AP1649" s="26" t="e">
        <f t="shared" si="574"/>
        <v>#DIV/0!</v>
      </c>
      <c r="AS1649" s="2">
        <v>43831</v>
      </c>
      <c r="AT1649">
        <v>12.1</v>
      </c>
      <c r="AU1649">
        <v>1</v>
      </c>
      <c r="AV1649">
        <v>38.9</v>
      </c>
      <c r="AW1649">
        <v>0.5</v>
      </c>
      <c r="AX1649">
        <v>52.47</v>
      </c>
      <c r="AY1649">
        <v>0.5</v>
      </c>
      <c r="AZ1649">
        <v>3.1</v>
      </c>
      <c r="BA1649">
        <v>238.024</v>
      </c>
      <c r="BB1649">
        <v>47.777799999999999</v>
      </c>
      <c r="BC1649">
        <v>81.016999999999996</v>
      </c>
      <c r="BD1649">
        <v>4.2717000000000001</v>
      </c>
      <c r="BE1649">
        <v>18.805599999999998</v>
      </c>
      <c r="BH1649">
        <v>88.1</v>
      </c>
    </row>
    <row r="1650" spans="1:60" x14ac:dyDescent="0.25">
      <c r="A1650" s="2">
        <v>43851</v>
      </c>
      <c r="B1650">
        <v>10.5</v>
      </c>
      <c r="C1650">
        <v>71.7</v>
      </c>
      <c r="D1650">
        <v>62.3</v>
      </c>
      <c r="E1650">
        <v>2.7</v>
      </c>
      <c r="F1650">
        <v>66.17</v>
      </c>
      <c r="H1650">
        <v>3.1</v>
      </c>
      <c r="I1650">
        <v>307.61810000000003</v>
      </c>
      <c r="J1650">
        <v>246.52269999999999</v>
      </c>
      <c r="K1650">
        <v>222.93520000000001</v>
      </c>
      <c r="L1650">
        <v>5.6418999999999997</v>
      </c>
      <c r="M1650">
        <v>26.003699999999998</v>
      </c>
      <c r="N1650">
        <v>1.6122000000000001</v>
      </c>
      <c r="O1650">
        <v>-5.8898000000000001</v>
      </c>
      <c r="P1650">
        <v>77.69</v>
      </c>
      <c r="S1650">
        <f t="shared" si="553"/>
        <v>1025.1916000000001</v>
      </c>
      <c r="T1650">
        <f t="shared" si="554"/>
        <v>9.8433824111880796E-3</v>
      </c>
      <c r="U1650">
        <f t="shared" si="555"/>
        <v>6.721623989354146E-2</v>
      </c>
      <c r="V1650">
        <f t="shared" si="556"/>
        <v>5.840406897304927E-2</v>
      </c>
      <c r="W1650">
        <f t="shared" si="557"/>
        <v>2.5311554771626494E-3</v>
      </c>
      <c r="X1650">
        <f t="shared" si="558"/>
        <v>6.203205849031574E-2</v>
      </c>
      <c r="Y1650">
        <f t="shared" si="559"/>
        <v>0</v>
      </c>
      <c r="Z1650">
        <f t="shared" si="560"/>
        <v>2.9061414737793379E-3</v>
      </c>
      <c r="AA1650">
        <f t="shared" si="561"/>
        <v>0.28838119951458058</v>
      </c>
      <c r="AB1650">
        <f t="shared" si="562"/>
        <v>0.23110640087034243</v>
      </c>
      <c r="AC1650">
        <f t="shared" si="563"/>
        <v>0.20899394538235208</v>
      </c>
      <c r="AD1650">
        <f t="shared" si="564"/>
        <v>5.2890837357792405E-3</v>
      </c>
      <c r="AE1650">
        <f t="shared" si="565"/>
        <v>2.4377558400553473E-2</v>
      </c>
      <c r="AG1650">
        <f t="shared" si="566"/>
        <v>-1.8385069184372642</v>
      </c>
      <c r="AH1650">
        <f t="shared" si="567"/>
        <v>0.22731060511959</v>
      </c>
      <c r="AI1650">
        <f t="shared" si="568"/>
        <v>-3.2542577888831116E-2</v>
      </c>
      <c r="AK1650" s="26" t="e">
        <f t="shared" si="569"/>
        <v>#DIV/0!</v>
      </c>
      <c r="AL1650" s="26" t="e">
        <f t="shared" si="570"/>
        <v>#DIV/0!</v>
      </c>
      <c r="AM1650" s="26" t="e">
        <f t="shared" si="571"/>
        <v>#DIV/0!</v>
      </c>
      <c r="AN1650" s="26" t="e">
        <f t="shared" si="572"/>
        <v>#DIV/0!</v>
      </c>
      <c r="AO1650" s="26" t="e">
        <f t="shared" si="573"/>
        <v>#DIV/0!</v>
      </c>
      <c r="AP1650" s="26" t="e">
        <f t="shared" si="574"/>
        <v>#DIV/0!</v>
      </c>
      <c r="AS1650" s="2">
        <v>43830</v>
      </c>
      <c r="AU1650">
        <v>33.6</v>
      </c>
      <c r="AX1650">
        <v>38.51</v>
      </c>
      <c r="BH1650">
        <v>88.36</v>
      </c>
    </row>
    <row r="1651" spans="1:60" x14ac:dyDescent="0.25">
      <c r="A1651" s="2">
        <v>43850</v>
      </c>
      <c r="B1651">
        <v>9.4</v>
      </c>
      <c r="C1651">
        <v>22.8</v>
      </c>
      <c r="D1651">
        <v>37.700000000000003</v>
      </c>
      <c r="E1651">
        <v>1.4</v>
      </c>
      <c r="F1651">
        <v>46.07</v>
      </c>
      <c r="G1651">
        <v>0.6</v>
      </c>
      <c r="H1651">
        <v>3.4</v>
      </c>
      <c r="I1651">
        <v>307.40449999999998</v>
      </c>
      <c r="J1651">
        <v>259.81380000000001</v>
      </c>
      <c r="K1651">
        <v>225.46969999999999</v>
      </c>
      <c r="L1651">
        <v>4.5505000000000004</v>
      </c>
      <c r="M1651">
        <v>30.2347</v>
      </c>
      <c r="N1651">
        <v>1.8743000000000001</v>
      </c>
      <c r="O1651">
        <v>-5.7755000000000001</v>
      </c>
      <c r="P1651">
        <v>78.459999999999994</v>
      </c>
      <c r="S1651">
        <f t="shared" si="553"/>
        <v>948.84320000000002</v>
      </c>
      <c r="T1651">
        <f t="shared" si="554"/>
        <v>8.8121709204921871E-3</v>
      </c>
      <c r="U1651">
        <f t="shared" si="555"/>
        <v>2.1374201807151261E-2</v>
      </c>
      <c r="V1651">
        <f t="shared" si="556"/>
        <v>3.5342430181122916E-2</v>
      </c>
      <c r="W1651">
        <f t="shared" si="557"/>
        <v>1.3124509881584105E-3</v>
      </c>
      <c r="X1651">
        <f t="shared" si="558"/>
        <v>4.3189012160327125E-2</v>
      </c>
      <c r="Y1651">
        <f t="shared" si="559"/>
        <v>5.6247899492503314E-4</v>
      </c>
      <c r="Z1651">
        <f t="shared" si="560"/>
        <v>3.1873809712418544E-3</v>
      </c>
      <c r="AA1651">
        <f t="shared" si="561"/>
        <v>0.28818095699238722</v>
      </c>
      <c r="AB1651">
        <f t="shared" si="562"/>
        <v>0.24356634181942263</v>
      </c>
      <c r="AC1651">
        <f t="shared" si="563"/>
        <v>0.21136995040341455</v>
      </c>
      <c r="AD1651">
        <f t="shared" si="564"/>
        <v>4.2659344440106059E-3</v>
      </c>
      <c r="AE1651">
        <f t="shared" si="565"/>
        <v>2.83439727797665E-2</v>
      </c>
      <c r="AG1651">
        <f t="shared" si="566"/>
        <v>-1.7446354439566678</v>
      </c>
      <c r="AH1651">
        <f t="shared" si="567"/>
        <v>0.1421240988031853</v>
      </c>
      <c r="AI1651">
        <f t="shared" si="568"/>
        <v>-0.60541705396675027</v>
      </c>
      <c r="AK1651" s="26" t="e">
        <f t="shared" si="569"/>
        <v>#DIV/0!</v>
      </c>
      <c r="AL1651" s="26" t="e">
        <f t="shared" si="570"/>
        <v>#DIV/0!</v>
      </c>
      <c r="AM1651" s="26" t="e">
        <f t="shared" si="571"/>
        <v>#DIV/0!</v>
      </c>
      <c r="AN1651" s="26" t="e">
        <f t="shared" si="572"/>
        <v>#DIV/0!</v>
      </c>
      <c r="AO1651" s="26" t="e">
        <f t="shared" si="573"/>
        <v>#DIV/0!</v>
      </c>
      <c r="AP1651" s="26" t="e">
        <f t="shared" si="574"/>
        <v>#DIV/0!</v>
      </c>
      <c r="AS1651" s="2">
        <v>43829</v>
      </c>
      <c r="AT1651">
        <v>12.9</v>
      </c>
      <c r="AU1651">
        <v>0</v>
      </c>
      <c r="AV1651">
        <v>83.1</v>
      </c>
      <c r="AW1651">
        <v>4.2</v>
      </c>
      <c r="AX1651">
        <v>54.59</v>
      </c>
      <c r="AY1651">
        <v>0.5</v>
      </c>
      <c r="AZ1651">
        <v>3.2</v>
      </c>
      <c r="BA1651">
        <v>160.53739999999999</v>
      </c>
      <c r="BB1651">
        <v>66.881299999999996</v>
      </c>
      <c r="BC1651">
        <v>74.540599999999998</v>
      </c>
      <c r="BD1651">
        <v>4.2942</v>
      </c>
      <c r="BE1651">
        <v>20.526299999999999</v>
      </c>
      <c r="BH1651">
        <v>88.64</v>
      </c>
    </row>
    <row r="1652" spans="1:60" x14ac:dyDescent="0.25">
      <c r="A1652" s="2">
        <v>43849</v>
      </c>
      <c r="B1652">
        <v>10</v>
      </c>
      <c r="C1652">
        <v>76</v>
      </c>
      <c r="D1652">
        <v>64.400000000000006</v>
      </c>
      <c r="E1652">
        <v>1.6</v>
      </c>
      <c r="F1652">
        <v>31.36</v>
      </c>
      <c r="G1652">
        <v>0.4</v>
      </c>
      <c r="H1652">
        <v>3.3</v>
      </c>
      <c r="I1652">
        <v>283.29680000000002</v>
      </c>
      <c r="J1652">
        <v>93.9191</v>
      </c>
      <c r="K1652">
        <v>114.7752</v>
      </c>
      <c r="L1652">
        <v>4.3060999999999998</v>
      </c>
      <c r="M1652">
        <v>12.551</v>
      </c>
      <c r="P1652">
        <v>79.150000000000006</v>
      </c>
      <c r="S1652">
        <f t="shared" si="553"/>
        <v>695.90820000000008</v>
      </c>
      <c r="T1652">
        <f t="shared" si="554"/>
        <v>9.3746499154172182E-3</v>
      </c>
      <c r="U1652">
        <f t="shared" si="555"/>
        <v>7.1247339357170869E-2</v>
      </c>
      <c r="V1652">
        <f t="shared" si="556"/>
        <v>6.0372745455286897E-2</v>
      </c>
      <c r="W1652">
        <f t="shared" si="557"/>
        <v>1.4999439864667552E-3</v>
      </c>
      <c r="X1652">
        <f t="shared" si="558"/>
        <v>2.9398902134748398E-2</v>
      </c>
      <c r="Y1652">
        <f t="shared" si="559"/>
        <v>3.7498599661668879E-4</v>
      </c>
      <c r="Z1652">
        <f t="shared" si="560"/>
        <v>3.0936344720876819E-3</v>
      </c>
      <c r="AA1652">
        <f t="shared" si="561"/>
        <v>0.26558083221579692</v>
      </c>
      <c r="AB1652">
        <f t="shared" si="562"/>
        <v>8.804586828710613E-2</v>
      </c>
      <c r="AC1652">
        <f t="shared" si="563"/>
        <v>0.10759773189719944</v>
      </c>
      <c r="AD1652">
        <f t="shared" si="564"/>
        <v>4.0368180000778086E-3</v>
      </c>
      <c r="AE1652">
        <f t="shared" si="565"/>
        <v>1.1766123108840152E-2</v>
      </c>
      <c r="AG1652">
        <f t="shared" si="566"/>
        <v>-1.6596447772150398</v>
      </c>
      <c r="AH1652">
        <f t="shared" si="567"/>
        <v>0.18712832442663466</v>
      </c>
      <c r="AI1652">
        <f t="shared" si="568"/>
        <v>-0.30563819965462485</v>
      </c>
      <c r="AK1652" s="26" t="e">
        <f t="shared" si="569"/>
        <v>#DIV/0!</v>
      </c>
      <c r="AL1652" s="26" t="e">
        <f t="shared" si="570"/>
        <v>#DIV/0!</v>
      </c>
      <c r="AM1652" s="26" t="e">
        <f t="shared" si="571"/>
        <v>#DIV/0!</v>
      </c>
      <c r="AN1652" s="26" t="e">
        <f t="shared" si="572"/>
        <v>#DIV/0!</v>
      </c>
      <c r="AO1652" s="26" t="e">
        <f t="shared" si="573"/>
        <v>#DIV/0!</v>
      </c>
      <c r="AP1652" s="26" t="e">
        <f t="shared" si="574"/>
        <v>#DIV/0!</v>
      </c>
      <c r="AS1652" s="2">
        <v>43828</v>
      </c>
      <c r="AT1652">
        <v>13.9</v>
      </c>
      <c r="AU1652">
        <v>55.8</v>
      </c>
      <c r="AV1652">
        <v>70.099999999999994</v>
      </c>
      <c r="AW1652">
        <v>1.1000000000000001</v>
      </c>
      <c r="AX1652">
        <v>56.13</v>
      </c>
      <c r="AY1652">
        <v>0.5</v>
      </c>
      <c r="AZ1652">
        <v>2.9</v>
      </c>
      <c r="BA1652">
        <v>173.6362</v>
      </c>
      <c r="BB1652">
        <v>60.255299999999998</v>
      </c>
      <c r="BC1652">
        <v>79.033199999999994</v>
      </c>
      <c r="BD1652">
        <v>4.2720000000000002</v>
      </c>
      <c r="BE1652">
        <v>24.2027</v>
      </c>
      <c r="BH1652">
        <v>88.95</v>
      </c>
    </row>
    <row r="1653" spans="1:60" x14ac:dyDescent="0.25">
      <c r="A1653" s="2">
        <v>43848</v>
      </c>
      <c r="B1653">
        <v>10</v>
      </c>
      <c r="C1653">
        <v>2.1</v>
      </c>
      <c r="D1653">
        <v>65.099999999999994</v>
      </c>
      <c r="E1653">
        <v>4.2</v>
      </c>
      <c r="F1653">
        <v>30.45</v>
      </c>
      <c r="G1653">
        <v>0.4</v>
      </c>
      <c r="H1653">
        <v>3.7</v>
      </c>
      <c r="I1653">
        <v>258.05939999999998</v>
      </c>
      <c r="J1653">
        <v>94.687899999999999</v>
      </c>
      <c r="K1653">
        <v>100.0146</v>
      </c>
      <c r="L1653">
        <v>4.2817999999999996</v>
      </c>
      <c r="M1653">
        <v>23.500599999999999</v>
      </c>
      <c r="P1653">
        <v>79.760000000000005</v>
      </c>
      <c r="S1653">
        <f t="shared" si="553"/>
        <v>596.49429999999995</v>
      </c>
      <c r="T1653">
        <f t="shared" si="554"/>
        <v>9.3746499154172182E-3</v>
      </c>
      <c r="U1653">
        <f t="shared" si="555"/>
        <v>1.9686764822376161E-3</v>
      </c>
      <c r="V1653">
        <f t="shared" si="556"/>
        <v>6.1028970949366088E-2</v>
      </c>
      <c r="W1653">
        <f t="shared" si="557"/>
        <v>3.9373529644752322E-3</v>
      </c>
      <c r="X1653">
        <f t="shared" si="558"/>
        <v>2.854580899244543E-2</v>
      </c>
      <c r="Y1653">
        <f t="shared" si="559"/>
        <v>3.7498599661668879E-4</v>
      </c>
      <c r="Z1653">
        <f t="shared" si="560"/>
        <v>3.4686204687043713E-3</v>
      </c>
      <c r="AA1653">
        <f t="shared" si="561"/>
        <v>0.24192165323826181</v>
      </c>
      <c r="AB1653">
        <f t="shared" si="562"/>
        <v>8.8766591372603412E-2</v>
      </c>
      <c r="AC1653">
        <f t="shared" si="563"/>
        <v>9.3760186143048707E-2</v>
      </c>
      <c r="AD1653">
        <f t="shared" si="564"/>
        <v>4.0140376007833448E-3</v>
      </c>
      <c r="AE1653">
        <f t="shared" si="565"/>
        <v>2.2030989780225389E-2</v>
      </c>
      <c r="AG1653">
        <f t="shared" si="566"/>
        <v>-1.5841459583014508</v>
      </c>
      <c r="AH1653">
        <f t="shared" si="567"/>
        <v>0.13073005554948802</v>
      </c>
      <c r="AI1653">
        <f t="shared" si="568"/>
        <v>-0.68415556236663633</v>
      </c>
      <c r="AK1653" s="26" t="e">
        <f t="shared" si="569"/>
        <v>#DIV/0!</v>
      </c>
      <c r="AL1653" s="26" t="e">
        <f t="shared" si="570"/>
        <v>#DIV/0!</v>
      </c>
      <c r="AM1653" s="26" t="e">
        <f t="shared" si="571"/>
        <v>#DIV/0!</v>
      </c>
      <c r="AN1653" s="26" t="e">
        <f t="shared" si="572"/>
        <v>#DIV/0!</v>
      </c>
      <c r="AO1653" s="26" t="e">
        <f t="shared" si="573"/>
        <v>#DIV/0!</v>
      </c>
      <c r="AP1653" s="26" t="e">
        <f t="shared" si="574"/>
        <v>#DIV/0!</v>
      </c>
      <c r="AS1653" s="2">
        <v>43827</v>
      </c>
      <c r="AT1653">
        <v>15.1</v>
      </c>
      <c r="AU1653">
        <v>0.9</v>
      </c>
      <c r="AV1653">
        <v>35.799999999999997</v>
      </c>
      <c r="AW1653">
        <v>0.4</v>
      </c>
      <c r="AX1653">
        <v>36.67</v>
      </c>
      <c r="AY1653">
        <v>0.5</v>
      </c>
      <c r="AZ1653">
        <v>2.9</v>
      </c>
      <c r="BA1653">
        <v>206.51840000000001</v>
      </c>
      <c r="BB1653">
        <v>85.581800000000001</v>
      </c>
      <c r="BC1653">
        <v>111.6985</v>
      </c>
      <c r="BD1653">
        <v>4.2720000000000002</v>
      </c>
      <c r="BE1653">
        <v>18.1951</v>
      </c>
      <c r="BH1653">
        <v>89.18</v>
      </c>
    </row>
    <row r="1654" spans="1:60" x14ac:dyDescent="0.25">
      <c r="A1654" s="2">
        <v>43847</v>
      </c>
      <c r="B1654">
        <v>11</v>
      </c>
      <c r="C1654">
        <v>1.4</v>
      </c>
      <c r="D1654">
        <v>72.2</v>
      </c>
      <c r="E1654">
        <v>3.6</v>
      </c>
      <c r="F1654">
        <v>58</v>
      </c>
      <c r="G1654">
        <v>0.5</v>
      </c>
      <c r="H1654">
        <v>3.6</v>
      </c>
      <c r="I1654">
        <v>269.87099999999998</v>
      </c>
      <c r="J1654">
        <v>120.8193</v>
      </c>
      <c r="K1654">
        <v>139.87180000000001</v>
      </c>
      <c r="L1654">
        <v>4.4478999999999997</v>
      </c>
      <c r="M1654">
        <v>25.740300000000001</v>
      </c>
      <c r="N1654">
        <v>2.4950000000000001</v>
      </c>
      <c r="O1654">
        <v>-5.1092000000000004</v>
      </c>
      <c r="P1654">
        <v>80.31</v>
      </c>
      <c r="S1654">
        <f t="shared" si="553"/>
        <v>711.05029999999999</v>
      </c>
      <c r="T1654">
        <f t="shared" si="554"/>
        <v>1.0312114906958941E-2</v>
      </c>
      <c r="U1654">
        <f t="shared" si="555"/>
        <v>1.3124509881584105E-3</v>
      </c>
      <c r="V1654">
        <f t="shared" si="556"/>
        <v>6.7684972389312328E-2</v>
      </c>
      <c r="W1654">
        <f t="shared" si="557"/>
        <v>3.3748739695501988E-3</v>
      </c>
      <c r="X1654">
        <f t="shared" si="558"/>
        <v>5.4372969509419868E-2</v>
      </c>
      <c r="Y1654">
        <f t="shared" si="559"/>
        <v>4.6873249577086097E-4</v>
      </c>
      <c r="Z1654">
        <f t="shared" si="560"/>
        <v>3.3748739695501988E-3</v>
      </c>
      <c r="AA1654">
        <f t="shared" si="561"/>
        <v>0.25299461473235602</v>
      </c>
      <c r="AB1654">
        <f t="shared" si="562"/>
        <v>0.11326386405257675</v>
      </c>
      <c r="AC1654">
        <f t="shared" si="563"/>
        <v>0.13112491580392543</v>
      </c>
      <c r="AD1654">
        <f t="shared" si="564"/>
        <v>4.1697505358784248E-3</v>
      </c>
      <c r="AE1654">
        <f t="shared" si="565"/>
        <v>2.4130630121781387E-2</v>
      </c>
      <c r="AG1654">
        <f t="shared" si="566"/>
        <v>-1.5156627125553246</v>
      </c>
      <c r="AH1654">
        <f t="shared" si="567"/>
        <v>0.1650316183505022</v>
      </c>
      <c r="AI1654">
        <f t="shared" si="568"/>
        <v>-0.45766471602204101</v>
      </c>
      <c r="AK1654" s="26" t="e">
        <f t="shared" si="569"/>
        <v>#DIV/0!</v>
      </c>
      <c r="AL1654" s="26" t="e">
        <f t="shared" si="570"/>
        <v>#DIV/0!</v>
      </c>
      <c r="AM1654" s="26" t="e">
        <f t="shared" si="571"/>
        <v>#DIV/0!</v>
      </c>
      <c r="AN1654" s="26" t="e">
        <f t="shared" si="572"/>
        <v>#DIV/0!</v>
      </c>
      <c r="AO1654" s="26" t="e">
        <f t="shared" si="573"/>
        <v>#DIV/0!</v>
      </c>
      <c r="AP1654" s="26" t="e">
        <f t="shared" si="574"/>
        <v>#DIV/0!</v>
      </c>
      <c r="AS1654" s="2">
        <v>43826</v>
      </c>
      <c r="AT1654">
        <v>15.1</v>
      </c>
      <c r="AU1654">
        <v>67.400000000000006</v>
      </c>
      <c r="AV1654">
        <v>22.8</v>
      </c>
      <c r="AW1654">
        <v>0.5</v>
      </c>
      <c r="AX1654">
        <v>22.01</v>
      </c>
      <c r="AY1654">
        <v>0.5</v>
      </c>
      <c r="AZ1654">
        <v>3.4</v>
      </c>
      <c r="BA1654">
        <v>218.17519999999999</v>
      </c>
      <c r="BB1654">
        <v>84.749799999999993</v>
      </c>
      <c r="BC1654">
        <v>104.26349999999999</v>
      </c>
      <c r="BD1654">
        <v>4.2960000000000003</v>
      </c>
      <c r="BE1654">
        <v>30.212</v>
      </c>
      <c r="BH1654">
        <v>89.36</v>
      </c>
    </row>
    <row r="1655" spans="1:60" x14ac:dyDescent="0.25">
      <c r="A1655" s="2">
        <v>43846</v>
      </c>
      <c r="B1655">
        <v>11.3</v>
      </c>
      <c r="C1655">
        <v>2.7</v>
      </c>
      <c r="D1655">
        <v>68.900000000000006</v>
      </c>
      <c r="E1655">
        <v>3.1</v>
      </c>
      <c r="F1655">
        <v>67.55</v>
      </c>
      <c r="G1655">
        <v>0.3</v>
      </c>
      <c r="H1655">
        <v>3.5</v>
      </c>
      <c r="I1655">
        <v>274.78429999999997</v>
      </c>
      <c r="J1655">
        <v>142.96440000000001</v>
      </c>
      <c r="K1655">
        <v>137.0829</v>
      </c>
      <c r="L1655">
        <v>4.3259999999999996</v>
      </c>
      <c r="M1655">
        <v>29.037500000000001</v>
      </c>
      <c r="N1655">
        <v>2.1303999999999998</v>
      </c>
      <c r="O1655">
        <v>-4.8640999999999996</v>
      </c>
      <c r="P1655">
        <v>80.87</v>
      </c>
      <c r="S1655">
        <f t="shared" si="553"/>
        <v>745.54510000000005</v>
      </c>
      <c r="T1655">
        <f t="shared" si="554"/>
        <v>1.0593354404421457E-2</v>
      </c>
      <c r="U1655">
        <f t="shared" si="555"/>
        <v>2.5311554771626494E-3</v>
      </c>
      <c r="V1655">
        <f t="shared" si="556"/>
        <v>6.4591337917224642E-2</v>
      </c>
      <c r="W1655">
        <f t="shared" si="557"/>
        <v>2.9061414737793379E-3</v>
      </c>
      <c r="X1655">
        <f t="shared" si="558"/>
        <v>6.3325760178643317E-2</v>
      </c>
      <c r="Y1655">
        <f t="shared" si="559"/>
        <v>2.8123949746251657E-4</v>
      </c>
      <c r="Z1655">
        <f t="shared" si="560"/>
        <v>3.2811274703960268E-3</v>
      </c>
      <c r="AA1655">
        <f t="shared" si="561"/>
        <v>0.25760066147529798</v>
      </c>
      <c r="AB1655">
        <f t="shared" si="562"/>
        <v>0.13402412003676736</v>
      </c>
      <c r="AC1655">
        <f t="shared" si="563"/>
        <v>0.12851041968901469</v>
      </c>
      <c r="AD1655">
        <f t="shared" si="564"/>
        <v>4.0554735534094888E-3</v>
      </c>
      <c r="AE1655">
        <f t="shared" si="565"/>
        <v>2.722163969189275E-2</v>
      </c>
      <c r="AG1655">
        <f t="shared" si="566"/>
        <v>-1.4440217257637895</v>
      </c>
      <c r="AH1655">
        <f t="shared" si="567"/>
        <v>0.17473175611098268</v>
      </c>
      <c r="AI1655">
        <f t="shared" si="568"/>
        <v>-0.39452066275284958</v>
      </c>
      <c r="AK1655" s="26" t="e">
        <f t="shared" si="569"/>
        <v>#DIV/0!</v>
      </c>
      <c r="AL1655" s="26" t="e">
        <f t="shared" si="570"/>
        <v>#DIV/0!</v>
      </c>
      <c r="AM1655" s="26" t="e">
        <f t="shared" si="571"/>
        <v>#DIV/0!</v>
      </c>
      <c r="AN1655" s="26" t="e">
        <f t="shared" si="572"/>
        <v>#DIV/0!</v>
      </c>
      <c r="AO1655" s="26" t="e">
        <f t="shared" si="573"/>
        <v>#DIV/0!</v>
      </c>
      <c r="AP1655" s="26" t="e">
        <f t="shared" si="574"/>
        <v>#DIV/0!</v>
      </c>
      <c r="AS1655" s="2">
        <v>43825</v>
      </c>
      <c r="AT1655">
        <v>16.3</v>
      </c>
      <c r="AU1655">
        <v>142</v>
      </c>
      <c r="AV1655">
        <v>15.9</v>
      </c>
      <c r="AW1655">
        <v>1.2</v>
      </c>
      <c r="AX1655">
        <v>28.47</v>
      </c>
      <c r="AY1655">
        <v>0.5</v>
      </c>
      <c r="AZ1655">
        <v>3.5</v>
      </c>
      <c r="BA1655">
        <v>169.98949999999999</v>
      </c>
      <c r="BB1655">
        <v>51.430100000000003</v>
      </c>
      <c r="BC1655">
        <v>72.127899999999997</v>
      </c>
      <c r="BD1655">
        <v>4.2960000000000003</v>
      </c>
      <c r="BE1655">
        <v>21.827100000000002</v>
      </c>
      <c r="BH1655">
        <v>89.51</v>
      </c>
    </row>
    <row r="1656" spans="1:60" x14ac:dyDescent="0.25">
      <c r="A1656" s="2">
        <v>43845</v>
      </c>
      <c r="B1656">
        <v>11.5</v>
      </c>
      <c r="C1656">
        <v>5.6</v>
      </c>
      <c r="D1656">
        <v>66.2</v>
      </c>
      <c r="E1656">
        <v>7.4</v>
      </c>
      <c r="F1656">
        <v>66.17</v>
      </c>
      <c r="H1656">
        <v>3.6</v>
      </c>
      <c r="I1656">
        <v>185.32040000000001</v>
      </c>
      <c r="J1656">
        <v>101.60939999999999</v>
      </c>
      <c r="K1656">
        <v>70.4983</v>
      </c>
      <c r="L1656">
        <v>4.2122999999999999</v>
      </c>
      <c r="M1656">
        <v>30.295500000000001</v>
      </c>
      <c r="N1656">
        <v>2.3927</v>
      </c>
      <c r="O1656">
        <v>-4.8784999999999998</v>
      </c>
      <c r="P1656">
        <v>81.430000000000007</v>
      </c>
      <c r="S1656">
        <f t="shared" si="553"/>
        <v>552.40589999999997</v>
      </c>
      <c r="T1656">
        <f t="shared" si="554"/>
        <v>1.0780847402729802E-2</v>
      </c>
      <c r="U1656">
        <f t="shared" si="555"/>
        <v>5.249803952633642E-3</v>
      </c>
      <c r="V1656">
        <f t="shared" si="556"/>
        <v>6.2060182440061992E-2</v>
      </c>
      <c r="W1656">
        <f t="shared" si="557"/>
        <v>6.9372409374087425E-3</v>
      </c>
      <c r="X1656">
        <f t="shared" si="558"/>
        <v>6.203205849031574E-2</v>
      </c>
      <c r="Y1656">
        <f t="shared" si="559"/>
        <v>0</v>
      </c>
      <c r="Z1656">
        <f t="shared" si="560"/>
        <v>3.3748739695501988E-3</v>
      </c>
      <c r="AA1656">
        <f t="shared" si="561"/>
        <v>0.17373138721850853</v>
      </c>
      <c r="AB1656">
        <f t="shared" si="562"/>
        <v>9.5255255311559428E-2</v>
      </c>
      <c r="AC1656">
        <f t="shared" si="563"/>
        <v>6.608968821320578E-2</v>
      </c>
      <c r="AD1656">
        <f t="shared" si="564"/>
        <v>3.9488837838711948E-3</v>
      </c>
      <c r="AE1656">
        <f t="shared" si="565"/>
        <v>2.8400970651252237E-2</v>
      </c>
      <c r="AG1656">
        <f t="shared" si="566"/>
        <v>-1.3708075246564264</v>
      </c>
      <c r="AH1656">
        <f t="shared" si="567"/>
        <v>0.17883597784395236</v>
      </c>
      <c r="AI1656">
        <f t="shared" si="568"/>
        <v>-0.36849962420325105</v>
      </c>
      <c r="AK1656" s="26" t="e">
        <f t="shared" si="569"/>
        <v>#DIV/0!</v>
      </c>
      <c r="AL1656" s="26" t="e">
        <f t="shared" si="570"/>
        <v>#DIV/0!</v>
      </c>
      <c r="AM1656" s="26" t="e">
        <f t="shared" si="571"/>
        <v>#DIV/0!</v>
      </c>
      <c r="AN1656" s="26" t="e">
        <f t="shared" si="572"/>
        <v>#DIV/0!</v>
      </c>
      <c r="AO1656" s="26" t="e">
        <f t="shared" si="573"/>
        <v>#DIV/0!</v>
      </c>
      <c r="AP1656" s="26" t="e">
        <f t="shared" si="574"/>
        <v>#DIV/0!</v>
      </c>
      <c r="AS1656" s="2">
        <v>43824</v>
      </c>
      <c r="AT1656">
        <v>15.2</v>
      </c>
      <c r="AU1656">
        <v>0.6</v>
      </c>
      <c r="AV1656">
        <v>21.8</v>
      </c>
      <c r="AW1656">
        <v>1</v>
      </c>
      <c r="AX1656">
        <v>14.43</v>
      </c>
      <c r="AY1656">
        <v>0.5</v>
      </c>
      <c r="AZ1656">
        <v>3.6</v>
      </c>
      <c r="BA1656">
        <v>148.48820000000001</v>
      </c>
      <c r="BB1656">
        <v>50.028399999999998</v>
      </c>
      <c r="BC1656">
        <v>59.224400000000003</v>
      </c>
      <c r="BD1656">
        <v>4.2960000000000003</v>
      </c>
      <c r="BE1656">
        <v>22.0383</v>
      </c>
      <c r="BH1656">
        <v>89.55</v>
      </c>
    </row>
    <row r="1657" spans="1:60" x14ac:dyDescent="0.25">
      <c r="A1657" s="2">
        <v>43844</v>
      </c>
      <c r="B1657">
        <v>11.6</v>
      </c>
      <c r="C1657">
        <v>1.3</v>
      </c>
      <c r="D1657">
        <v>76.900000000000006</v>
      </c>
      <c r="E1657">
        <v>7.9</v>
      </c>
      <c r="F1657">
        <v>39.78</v>
      </c>
      <c r="G1657">
        <v>0.4</v>
      </c>
      <c r="H1657">
        <v>3.5</v>
      </c>
      <c r="I1657">
        <v>191.4958</v>
      </c>
      <c r="J1657">
        <v>97.460300000000004</v>
      </c>
      <c r="K1657">
        <v>92.632099999999994</v>
      </c>
      <c r="L1657">
        <v>4.2</v>
      </c>
      <c r="M1657">
        <v>30.4437</v>
      </c>
      <c r="N1657">
        <v>2.8754</v>
      </c>
      <c r="O1657">
        <v>-4.1188000000000002</v>
      </c>
      <c r="P1657">
        <v>81.96</v>
      </c>
      <c r="S1657">
        <f t="shared" si="553"/>
        <v>557.61190000000011</v>
      </c>
      <c r="T1657">
        <f t="shared" si="554"/>
        <v>1.0874593901883974E-2</v>
      </c>
      <c r="U1657">
        <f t="shared" si="555"/>
        <v>1.2187044890042385E-3</v>
      </c>
      <c r="V1657">
        <f t="shared" si="556"/>
        <v>7.2091057849558424E-2</v>
      </c>
      <c r="W1657">
        <f t="shared" si="557"/>
        <v>7.405973433179603E-3</v>
      </c>
      <c r="X1657">
        <f t="shared" si="558"/>
        <v>3.7292357363529698E-2</v>
      </c>
      <c r="Y1657">
        <f t="shared" si="559"/>
        <v>3.7498599661668879E-4</v>
      </c>
      <c r="Z1657">
        <f t="shared" si="560"/>
        <v>3.2811274703960268E-3</v>
      </c>
      <c r="AA1657">
        <f t="shared" si="561"/>
        <v>0.17952060852727528</v>
      </c>
      <c r="AB1657">
        <f t="shared" si="562"/>
        <v>9.136561931515369E-2</v>
      </c>
      <c r="AC1657">
        <f t="shared" si="563"/>
        <v>8.6839350842991936E-2</v>
      </c>
      <c r="AD1657">
        <f t="shared" si="564"/>
        <v>3.9373529644752322E-3</v>
      </c>
      <c r="AE1657">
        <f t="shared" si="565"/>
        <v>2.8539902962998718E-2</v>
      </c>
      <c r="AG1657">
        <f t="shared" si="566"/>
        <v>-1.3006834357664101</v>
      </c>
      <c r="AH1657">
        <f t="shared" si="567"/>
        <v>0.16107870346716738</v>
      </c>
      <c r="AI1657">
        <f t="shared" si="568"/>
        <v>-0.4875558766388719</v>
      </c>
      <c r="AK1657" s="26" t="e">
        <f t="shared" si="569"/>
        <v>#DIV/0!</v>
      </c>
      <c r="AL1657" s="26" t="e">
        <f t="shared" si="570"/>
        <v>#DIV/0!</v>
      </c>
      <c r="AM1657" s="26" t="e">
        <f t="shared" si="571"/>
        <v>#DIV/0!</v>
      </c>
      <c r="AN1657" s="26" t="e">
        <f t="shared" si="572"/>
        <v>#DIV/0!</v>
      </c>
      <c r="AO1657" s="26" t="e">
        <f t="shared" si="573"/>
        <v>#DIV/0!</v>
      </c>
      <c r="AP1657" s="26" t="e">
        <f t="shared" si="574"/>
        <v>#DIV/0!</v>
      </c>
      <c r="AS1657" s="2">
        <v>43823</v>
      </c>
      <c r="AT1657">
        <v>14.1</v>
      </c>
      <c r="AU1657">
        <v>10.6</v>
      </c>
      <c r="AV1657">
        <v>36.299999999999997</v>
      </c>
      <c r="AW1657">
        <v>1.9</v>
      </c>
      <c r="AX1657">
        <v>19.7</v>
      </c>
      <c r="AY1657">
        <v>0.5</v>
      </c>
      <c r="AZ1657">
        <v>3.6</v>
      </c>
      <c r="BA1657">
        <v>146.08840000000001</v>
      </c>
      <c r="BB1657">
        <v>40.019399999999997</v>
      </c>
      <c r="BC1657">
        <v>64.827500000000001</v>
      </c>
      <c r="BD1657">
        <v>4.2930000000000001</v>
      </c>
      <c r="BE1657">
        <v>26.747499999999999</v>
      </c>
      <c r="BH1657">
        <v>89.54</v>
      </c>
    </row>
    <row r="1658" spans="1:60" x14ac:dyDescent="0.25">
      <c r="A1658" s="2">
        <v>43843</v>
      </c>
      <c r="B1658">
        <v>10</v>
      </c>
      <c r="C1658">
        <v>3.1</v>
      </c>
      <c r="D1658">
        <v>56.7</v>
      </c>
      <c r="E1658">
        <v>3.1</v>
      </c>
      <c r="F1658">
        <v>27.74</v>
      </c>
      <c r="G1658">
        <v>0.3</v>
      </c>
      <c r="H1658">
        <v>3.3</v>
      </c>
      <c r="I1658">
        <v>256.04109999999997</v>
      </c>
      <c r="J1658">
        <v>157.1961</v>
      </c>
      <c r="K1658">
        <v>150.0574</v>
      </c>
      <c r="L1658">
        <v>4.3375000000000004</v>
      </c>
      <c r="M1658">
        <v>39.066800000000001</v>
      </c>
      <c r="N1658">
        <v>3.2944</v>
      </c>
      <c r="O1658">
        <v>-3.2237</v>
      </c>
      <c r="P1658">
        <v>82.49</v>
      </c>
      <c r="S1658">
        <f t="shared" si="553"/>
        <v>710.93889999999988</v>
      </c>
      <c r="T1658">
        <f t="shared" si="554"/>
        <v>9.3746499154172182E-3</v>
      </c>
      <c r="U1658">
        <f t="shared" si="555"/>
        <v>2.9061414737793379E-3</v>
      </c>
      <c r="V1658">
        <f t="shared" si="556"/>
        <v>5.3154265020415634E-2</v>
      </c>
      <c r="W1658">
        <f t="shared" si="557"/>
        <v>2.9061414737793379E-3</v>
      </c>
      <c r="X1658">
        <f t="shared" si="558"/>
        <v>2.6005278865367364E-2</v>
      </c>
      <c r="Y1658">
        <f t="shared" si="559"/>
        <v>2.8123949746251657E-4</v>
      </c>
      <c r="Z1658">
        <f t="shared" si="560"/>
        <v>3.0936344720876819E-3</v>
      </c>
      <c r="AA1658">
        <f t="shared" si="561"/>
        <v>0.24002956764583314</v>
      </c>
      <c r="AB1658">
        <f t="shared" si="562"/>
        <v>0.14736584055689167</v>
      </c>
      <c r="AC1658">
        <f t="shared" si="563"/>
        <v>0.14067355922177277</v>
      </c>
      <c r="AD1658">
        <f t="shared" si="564"/>
        <v>4.0662544008122194E-3</v>
      </c>
      <c r="AE1658">
        <f t="shared" si="565"/>
        <v>3.6623757331562139E-2</v>
      </c>
      <c r="AG1658">
        <f t="shared" si="566"/>
        <v>-1.2293064706727563</v>
      </c>
      <c r="AH1658">
        <f t="shared" si="567"/>
        <v>0.13434510804987124</v>
      </c>
      <c r="AI1658">
        <f t="shared" si="568"/>
        <v>-0.66634247769083021</v>
      </c>
      <c r="AK1658" s="26" t="e">
        <f t="shared" si="569"/>
        <v>#DIV/0!</v>
      </c>
      <c r="AL1658" s="26" t="e">
        <f t="shared" si="570"/>
        <v>#DIV/0!</v>
      </c>
      <c r="AM1658" s="26" t="e">
        <f t="shared" si="571"/>
        <v>#DIV/0!</v>
      </c>
      <c r="AN1658" s="26" t="e">
        <f t="shared" si="572"/>
        <v>#DIV/0!</v>
      </c>
      <c r="AO1658" s="26" t="e">
        <f t="shared" si="573"/>
        <v>#DIV/0!</v>
      </c>
      <c r="AP1658" s="26" t="e">
        <f t="shared" si="574"/>
        <v>#DIV/0!</v>
      </c>
      <c r="AS1658" s="2">
        <v>43822</v>
      </c>
      <c r="AT1658">
        <v>12.9</v>
      </c>
      <c r="AU1658">
        <v>0</v>
      </c>
      <c r="AV1658">
        <v>70.5</v>
      </c>
      <c r="AW1658">
        <v>3.1</v>
      </c>
      <c r="AX1658">
        <v>17.2</v>
      </c>
      <c r="AY1658">
        <v>0.5</v>
      </c>
      <c r="AZ1658">
        <v>3.6</v>
      </c>
      <c r="BA1658">
        <v>164.65289999999999</v>
      </c>
      <c r="BB1658">
        <v>44.506399999999999</v>
      </c>
      <c r="BC1658">
        <v>65.920599999999993</v>
      </c>
      <c r="BD1658">
        <v>4.1896000000000004</v>
      </c>
      <c r="BE1658">
        <v>27.2806</v>
      </c>
      <c r="BH1658">
        <v>89.54</v>
      </c>
    </row>
    <row r="1659" spans="1:60" x14ac:dyDescent="0.25">
      <c r="A1659" s="2">
        <v>43842</v>
      </c>
      <c r="B1659">
        <v>9.8000000000000007</v>
      </c>
      <c r="C1659">
        <v>0</v>
      </c>
      <c r="D1659">
        <v>70.099999999999994</v>
      </c>
      <c r="E1659">
        <v>4.9000000000000004</v>
      </c>
      <c r="F1659">
        <v>35.97</v>
      </c>
      <c r="G1659">
        <v>0.3</v>
      </c>
      <c r="H1659">
        <v>3.3</v>
      </c>
      <c r="I1659">
        <v>150.8186</v>
      </c>
      <c r="J1659">
        <v>82.2791</v>
      </c>
      <c r="K1659">
        <v>66.963899999999995</v>
      </c>
      <c r="L1659">
        <v>4.3066000000000004</v>
      </c>
      <c r="M1659">
        <v>5.6195000000000004</v>
      </c>
      <c r="P1659">
        <v>82.99</v>
      </c>
      <c r="S1659">
        <f t="shared" si="553"/>
        <v>434.35770000000002</v>
      </c>
      <c r="T1659">
        <f t="shared" si="554"/>
        <v>9.1871569171088751E-3</v>
      </c>
      <c r="U1659">
        <f t="shared" si="555"/>
        <v>0</v>
      </c>
      <c r="V1659">
        <f t="shared" si="556"/>
        <v>6.5716295907074701E-2</v>
      </c>
      <c r="W1659">
        <f t="shared" si="557"/>
        <v>4.5935784585544375E-3</v>
      </c>
      <c r="X1659">
        <f t="shared" si="558"/>
        <v>3.3720615745755737E-2</v>
      </c>
      <c r="Y1659">
        <f t="shared" si="559"/>
        <v>2.8123949746251657E-4</v>
      </c>
      <c r="Z1659">
        <f t="shared" si="560"/>
        <v>3.0936344720876819E-3</v>
      </c>
      <c r="AA1659">
        <f t="shared" si="561"/>
        <v>0.14138715757333434</v>
      </c>
      <c r="AB1659">
        <f t="shared" si="562"/>
        <v>7.7133775785560493E-2</v>
      </c>
      <c r="AC1659">
        <f t="shared" si="563"/>
        <v>6.2776311947100705E-2</v>
      </c>
      <c r="AD1659">
        <f t="shared" si="564"/>
        <v>4.0372867325735801E-3</v>
      </c>
      <c r="AE1659">
        <f t="shared" si="565"/>
        <v>5.2680845199687062E-3</v>
      </c>
      <c r="AG1659">
        <f t="shared" si="566"/>
        <v>-1.161343618149671</v>
      </c>
      <c r="AH1659">
        <f t="shared" si="567"/>
        <v>0.12186060551801264</v>
      </c>
      <c r="AI1659">
        <f t="shared" si="568"/>
        <v>-0.75167203241797298</v>
      </c>
      <c r="AK1659" s="26" t="e">
        <f t="shared" si="569"/>
        <v>#DIV/0!</v>
      </c>
      <c r="AL1659" s="26" t="e">
        <f t="shared" si="570"/>
        <v>#DIV/0!</v>
      </c>
      <c r="AM1659" s="26" t="e">
        <f t="shared" si="571"/>
        <v>#DIV/0!</v>
      </c>
      <c r="AN1659" s="26" t="e">
        <f t="shared" si="572"/>
        <v>#DIV/0!</v>
      </c>
      <c r="AO1659" s="26" t="e">
        <f t="shared" si="573"/>
        <v>#DIV/0!</v>
      </c>
      <c r="AP1659" s="26" t="e">
        <f t="shared" si="574"/>
        <v>#DIV/0!</v>
      </c>
      <c r="AS1659" s="2">
        <v>43821</v>
      </c>
      <c r="AT1659">
        <v>12.9</v>
      </c>
      <c r="AU1659">
        <v>0</v>
      </c>
      <c r="AV1659">
        <v>42</v>
      </c>
      <c r="AW1659">
        <v>1.9</v>
      </c>
      <c r="AX1659">
        <v>16.25</v>
      </c>
      <c r="AY1659">
        <v>0.5</v>
      </c>
      <c r="AZ1659">
        <v>3.6</v>
      </c>
      <c r="BA1659">
        <v>184.4967</v>
      </c>
      <c r="BB1659">
        <v>45.881</v>
      </c>
      <c r="BC1659">
        <v>58.103299999999997</v>
      </c>
      <c r="BD1659">
        <v>4.1757</v>
      </c>
      <c r="BE1659">
        <v>25.817499999999999</v>
      </c>
      <c r="BH1659">
        <v>89.54</v>
      </c>
    </row>
    <row r="1660" spans="1:60" x14ac:dyDescent="0.25">
      <c r="A1660" s="2">
        <v>43841</v>
      </c>
      <c r="B1660">
        <v>11.3</v>
      </c>
      <c r="C1660">
        <v>0.8</v>
      </c>
      <c r="D1660">
        <v>64.099999999999994</v>
      </c>
      <c r="E1660">
        <v>3.1</v>
      </c>
      <c r="F1660">
        <v>38.130000000000003</v>
      </c>
      <c r="G1660">
        <v>0.6</v>
      </c>
      <c r="H1660">
        <v>3.3</v>
      </c>
      <c r="I1660">
        <v>260.17989999999998</v>
      </c>
      <c r="J1660">
        <v>95.831000000000003</v>
      </c>
      <c r="K1660">
        <v>107.3737</v>
      </c>
      <c r="L1660">
        <v>4.3383000000000003</v>
      </c>
      <c r="M1660">
        <v>19.572500000000002</v>
      </c>
      <c r="P1660">
        <v>83.41</v>
      </c>
      <c r="S1660">
        <f t="shared" si="553"/>
        <v>608.62540000000001</v>
      </c>
      <c r="T1660">
        <f t="shared" si="554"/>
        <v>1.0593354404421457E-2</v>
      </c>
      <c r="U1660">
        <f t="shared" si="555"/>
        <v>7.4997199323337759E-4</v>
      </c>
      <c r="V1660">
        <f t="shared" si="556"/>
        <v>6.0091505957824372E-2</v>
      </c>
      <c r="W1660">
        <f t="shared" si="557"/>
        <v>2.9061414737793379E-3</v>
      </c>
      <c r="X1660">
        <f t="shared" si="558"/>
        <v>3.5745540127485861E-2</v>
      </c>
      <c r="Y1660">
        <f t="shared" si="559"/>
        <v>5.6247899492503314E-4</v>
      </c>
      <c r="Z1660">
        <f t="shared" si="560"/>
        <v>3.0936344720876819E-3</v>
      </c>
      <c r="AA1660">
        <f t="shared" si="561"/>
        <v>0.24390954775282603</v>
      </c>
      <c r="AB1660">
        <f t="shared" si="562"/>
        <v>8.9838207604434756E-2</v>
      </c>
      <c r="AC1660">
        <f t="shared" si="563"/>
        <v>0.10065908476230338</v>
      </c>
      <c r="AD1660">
        <f t="shared" si="564"/>
        <v>4.0670043728054522E-3</v>
      </c>
      <c r="AE1660">
        <f t="shared" si="565"/>
        <v>1.8348533546950353E-2</v>
      </c>
      <c r="AG1660">
        <f t="shared" si="566"/>
        <v>-1.1045746906378857</v>
      </c>
      <c r="AH1660">
        <f t="shared" si="567"/>
        <v>0.13209116097070747</v>
      </c>
      <c r="AI1660">
        <f t="shared" si="568"/>
        <v>-0.68752561074483409</v>
      </c>
      <c r="AK1660" s="26" t="e">
        <f t="shared" si="569"/>
        <v>#DIV/0!</v>
      </c>
      <c r="AL1660" s="26" t="e">
        <f t="shared" si="570"/>
        <v>#DIV/0!</v>
      </c>
      <c r="AM1660" s="26" t="e">
        <f t="shared" si="571"/>
        <v>#DIV/0!</v>
      </c>
      <c r="AN1660" s="26" t="e">
        <f t="shared" si="572"/>
        <v>#DIV/0!</v>
      </c>
      <c r="AO1660" s="26" t="e">
        <f t="shared" si="573"/>
        <v>#DIV/0!</v>
      </c>
      <c r="AP1660" s="26" t="e">
        <f t="shared" si="574"/>
        <v>#DIV/0!</v>
      </c>
      <c r="AS1660" s="2">
        <v>43820</v>
      </c>
      <c r="AT1660">
        <v>11.4</v>
      </c>
      <c r="AU1660">
        <v>230.8</v>
      </c>
      <c r="AV1660">
        <v>74.2</v>
      </c>
      <c r="AW1660">
        <v>2</v>
      </c>
      <c r="AX1660">
        <v>31.81</v>
      </c>
      <c r="AY1660">
        <v>0.5</v>
      </c>
      <c r="AZ1660">
        <v>3.6</v>
      </c>
      <c r="BA1660">
        <v>212.41200000000001</v>
      </c>
      <c r="BB1660">
        <v>41.606999999999999</v>
      </c>
      <c r="BC1660">
        <v>61.038499999999999</v>
      </c>
      <c r="BD1660">
        <v>4.1760000000000002</v>
      </c>
      <c r="BE1660">
        <v>29.2437</v>
      </c>
      <c r="BH1660">
        <v>89.51</v>
      </c>
    </row>
    <row r="1661" spans="1:60" x14ac:dyDescent="0.25">
      <c r="A1661" s="2">
        <v>43840</v>
      </c>
      <c r="B1661">
        <v>11.5</v>
      </c>
      <c r="C1661">
        <v>4</v>
      </c>
      <c r="D1661">
        <v>46.7</v>
      </c>
      <c r="E1661">
        <v>5</v>
      </c>
      <c r="F1661">
        <v>32.21</v>
      </c>
      <c r="G1661">
        <v>0.5</v>
      </c>
      <c r="H1661">
        <v>3.7</v>
      </c>
      <c r="I1661">
        <v>264.12240000000003</v>
      </c>
      <c r="J1661">
        <v>141.9727</v>
      </c>
      <c r="K1661">
        <v>121.9539</v>
      </c>
      <c r="L1661">
        <v>4.3635999999999999</v>
      </c>
      <c r="M1661">
        <v>21.920200000000001</v>
      </c>
      <c r="N1661">
        <v>3.7682000000000002</v>
      </c>
      <c r="O1661">
        <v>-2.7606000000000002</v>
      </c>
      <c r="P1661">
        <v>83.84</v>
      </c>
      <c r="S1661">
        <f t="shared" si="553"/>
        <v>657.94280000000003</v>
      </c>
      <c r="T1661">
        <f t="shared" si="554"/>
        <v>1.0780847402729802E-2</v>
      </c>
      <c r="U1661">
        <f t="shared" si="555"/>
        <v>3.7498599661668877E-3</v>
      </c>
      <c r="V1661">
        <f t="shared" si="556"/>
        <v>4.3779615104998414E-2</v>
      </c>
      <c r="W1661">
        <f t="shared" si="557"/>
        <v>4.6873249577086091E-3</v>
      </c>
      <c r="X1661">
        <f t="shared" si="558"/>
        <v>3.0195747377558865E-2</v>
      </c>
      <c r="Y1661">
        <f t="shared" si="559"/>
        <v>4.6873249577086097E-4</v>
      </c>
      <c r="Z1661">
        <f t="shared" si="560"/>
        <v>3.4686204687043713E-3</v>
      </c>
      <c r="AA1661">
        <f t="shared" si="561"/>
        <v>0.24760550348197932</v>
      </c>
      <c r="AB1661">
        <f t="shared" si="562"/>
        <v>0.13309443600465543</v>
      </c>
      <c r="AC1661">
        <f t="shared" si="563"/>
        <v>0.11432751183198001</v>
      </c>
      <c r="AD1661">
        <f t="shared" si="564"/>
        <v>4.0907222370914573E-3</v>
      </c>
      <c r="AE1661">
        <f t="shared" si="565"/>
        <v>2.0549420107592854E-2</v>
      </c>
      <c r="AG1661">
        <f t="shared" si="566"/>
        <v>-1.0455578471126274</v>
      </c>
      <c r="AH1661">
        <f t="shared" si="567"/>
        <v>0.11768016788123066</v>
      </c>
      <c r="AI1661">
        <f t="shared" si="568"/>
        <v>-0.78550757615588862</v>
      </c>
      <c r="AK1661" s="26" t="e">
        <f t="shared" si="569"/>
        <v>#DIV/0!</v>
      </c>
      <c r="AL1661" s="26" t="e">
        <f t="shared" si="570"/>
        <v>#DIV/0!</v>
      </c>
      <c r="AM1661" s="26" t="e">
        <f t="shared" si="571"/>
        <v>#DIV/0!</v>
      </c>
      <c r="AN1661" s="26" t="e">
        <f t="shared" si="572"/>
        <v>#DIV/0!</v>
      </c>
      <c r="AO1661" s="26" t="e">
        <f t="shared" si="573"/>
        <v>#DIV/0!</v>
      </c>
      <c r="AP1661" s="26" t="e">
        <f t="shared" si="574"/>
        <v>#DIV/0!</v>
      </c>
      <c r="AS1661" s="2">
        <v>43819</v>
      </c>
      <c r="AT1661">
        <v>10.199999999999999</v>
      </c>
      <c r="AU1661">
        <v>0</v>
      </c>
      <c r="AV1661">
        <v>82.2</v>
      </c>
      <c r="AW1661">
        <v>2.9</v>
      </c>
      <c r="AX1661">
        <v>29.29</v>
      </c>
      <c r="AY1661">
        <v>0.5</v>
      </c>
      <c r="AZ1661">
        <v>4</v>
      </c>
      <c r="BA1661">
        <v>208.89330000000001</v>
      </c>
      <c r="BB1661">
        <v>57.556600000000003</v>
      </c>
      <c r="BC1661">
        <v>77.13</v>
      </c>
      <c r="BD1661">
        <v>4.1760000000000002</v>
      </c>
      <c r="BE1661">
        <v>21.2392</v>
      </c>
      <c r="BH1661">
        <v>89.48</v>
      </c>
    </row>
    <row r="1662" spans="1:60" x14ac:dyDescent="0.25">
      <c r="A1662" s="2">
        <v>43839</v>
      </c>
      <c r="B1662">
        <v>12</v>
      </c>
      <c r="C1662">
        <v>18.899999999999999</v>
      </c>
      <c r="D1662">
        <v>53</v>
      </c>
      <c r="E1662">
        <v>3.7</v>
      </c>
      <c r="F1662">
        <v>25.54</v>
      </c>
      <c r="G1662">
        <v>0.5</v>
      </c>
      <c r="H1662">
        <v>3.6</v>
      </c>
      <c r="I1662">
        <v>279.33190000000002</v>
      </c>
      <c r="J1662">
        <v>164.2415</v>
      </c>
      <c r="K1662">
        <v>118.8197</v>
      </c>
      <c r="L1662">
        <v>4.4215</v>
      </c>
      <c r="M1662">
        <v>16.340900000000001</v>
      </c>
      <c r="N1662">
        <v>3.6297999999999999</v>
      </c>
      <c r="O1662">
        <v>-2.5520999999999998</v>
      </c>
      <c r="P1662">
        <v>84.27</v>
      </c>
      <c r="S1662">
        <f t="shared" si="553"/>
        <v>700.39550000000008</v>
      </c>
      <c r="T1662">
        <f t="shared" si="554"/>
        <v>1.1249579898500664E-2</v>
      </c>
      <c r="U1662">
        <f t="shared" si="555"/>
        <v>1.7718088340138542E-2</v>
      </c>
      <c r="V1662">
        <f t="shared" si="556"/>
        <v>4.9685644551711261E-2</v>
      </c>
      <c r="W1662">
        <f t="shared" si="557"/>
        <v>3.4686204687043713E-3</v>
      </c>
      <c r="X1662">
        <f t="shared" si="558"/>
        <v>2.3942855883975576E-2</v>
      </c>
      <c r="Y1662">
        <f t="shared" si="559"/>
        <v>4.6873249577086097E-4</v>
      </c>
      <c r="Z1662">
        <f t="shared" si="560"/>
        <v>3.3748739695501988E-3</v>
      </c>
      <c r="AA1662">
        <f t="shared" si="561"/>
        <v>0.2618638772708331</v>
      </c>
      <c r="AB1662">
        <f t="shared" si="562"/>
        <v>0.15397065640829971</v>
      </c>
      <c r="AC1662">
        <f t="shared" si="563"/>
        <v>0.11138930905548994</v>
      </c>
      <c r="AD1662">
        <f t="shared" si="564"/>
        <v>4.1450014601017238E-3</v>
      </c>
      <c r="AE1662">
        <f t="shared" si="565"/>
        <v>1.5319021680284125E-2</v>
      </c>
      <c r="AG1662">
        <f t="shared" si="566"/>
        <v>-0.98586003018199875</v>
      </c>
      <c r="AH1662">
        <f t="shared" si="567"/>
        <v>0.1252274172886356</v>
      </c>
      <c r="AI1662">
        <f t="shared" si="568"/>
        <v>-0.73953226859051613</v>
      </c>
      <c r="AK1662" s="26" t="e">
        <f t="shared" si="569"/>
        <v>#DIV/0!</v>
      </c>
      <c r="AL1662" s="26" t="e">
        <f t="shared" si="570"/>
        <v>#DIV/0!</v>
      </c>
      <c r="AM1662" s="26" t="e">
        <f t="shared" si="571"/>
        <v>#DIV/0!</v>
      </c>
      <c r="AN1662" s="26" t="e">
        <f t="shared" si="572"/>
        <v>#DIV/0!</v>
      </c>
      <c r="AO1662" s="26" t="e">
        <f t="shared" si="573"/>
        <v>#DIV/0!</v>
      </c>
      <c r="AP1662" s="26" t="e">
        <f t="shared" si="574"/>
        <v>#DIV/0!</v>
      </c>
      <c r="AS1662" s="2">
        <v>43818</v>
      </c>
      <c r="AT1662">
        <v>11.7</v>
      </c>
      <c r="AU1662">
        <v>1.3</v>
      </c>
      <c r="AV1662">
        <v>82.6</v>
      </c>
      <c r="AW1662">
        <v>3.1</v>
      </c>
      <c r="AX1662">
        <v>43.95</v>
      </c>
      <c r="AY1662">
        <v>0.1</v>
      </c>
      <c r="AZ1662">
        <v>4</v>
      </c>
      <c r="BA1662">
        <v>246.4264</v>
      </c>
      <c r="BB1662">
        <v>107.8687</v>
      </c>
      <c r="BC1662">
        <v>91.007099999999994</v>
      </c>
      <c r="BD1662">
        <v>4.1879999999999997</v>
      </c>
      <c r="BE1662">
        <v>22.757200000000001</v>
      </c>
      <c r="BH1662">
        <v>89.54</v>
      </c>
    </row>
    <row r="1663" spans="1:60" x14ac:dyDescent="0.25">
      <c r="A1663" s="2">
        <v>43838</v>
      </c>
      <c r="B1663">
        <v>12.3</v>
      </c>
      <c r="C1663">
        <v>1</v>
      </c>
      <c r="D1663">
        <v>64.400000000000006</v>
      </c>
      <c r="E1663">
        <v>4.0999999999999996</v>
      </c>
      <c r="F1663">
        <v>11.1</v>
      </c>
      <c r="G1663">
        <v>0.5</v>
      </c>
      <c r="H1663">
        <v>3.5</v>
      </c>
      <c r="I1663">
        <v>243.95070000000001</v>
      </c>
      <c r="J1663">
        <v>188.9624</v>
      </c>
      <c r="K1663">
        <v>144.0523</v>
      </c>
      <c r="L1663">
        <v>3.6236999999999999</v>
      </c>
      <c r="M1663">
        <v>25.7285</v>
      </c>
      <c r="N1663">
        <v>3.8616000000000001</v>
      </c>
      <c r="O1663">
        <v>-2.3824999999999998</v>
      </c>
      <c r="P1663">
        <v>84.77</v>
      </c>
      <c r="S1663">
        <f t="shared" si="553"/>
        <v>703.21760000000017</v>
      </c>
      <c r="T1663">
        <f t="shared" si="554"/>
        <v>1.153081939596318E-2</v>
      </c>
      <c r="U1663">
        <f t="shared" si="555"/>
        <v>9.3746499154172193E-4</v>
      </c>
      <c r="V1663">
        <f t="shared" si="556"/>
        <v>6.0372745455286897E-2</v>
      </c>
      <c r="W1663">
        <f t="shared" si="557"/>
        <v>3.8436064653210593E-3</v>
      </c>
      <c r="X1663">
        <f t="shared" si="558"/>
        <v>1.0405861406113113E-2</v>
      </c>
      <c r="Y1663">
        <f t="shared" si="559"/>
        <v>4.6873249577086097E-4</v>
      </c>
      <c r="Z1663">
        <f t="shared" si="560"/>
        <v>3.2811274703960268E-3</v>
      </c>
      <c r="AA1663">
        <f t="shared" si="561"/>
        <v>0.22869524091209714</v>
      </c>
      <c r="AB1663">
        <f t="shared" si="562"/>
        <v>0.17714563471770348</v>
      </c>
      <c r="AC1663">
        <f t="shared" si="563"/>
        <v>0.13504398820106558</v>
      </c>
      <c r="AD1663">
        <f t="shared" si="564"/>
        <v>3.3970918898497378E-3</v>
      </c>
      <c r="AE1663">
        <f t="shared" si="565"/>
        <v>2.4119568034881193E-2</v>
      </c>
      <c r="AG1663">
        <f t="shared" si="566"/>
        <v>-0.91489361159544635</v>
      </c>
      <c r="AH1663">
        <f t="shared" si="567"/>
        <v>0.11495992571527404</v>
      </c>
      <c r="AI1663">
        <f t="shared" si="568"/>
        <v>-0.81045161227621931</v>
      </c>
      <c r="AK1663" s="26" t="e">
        <f t="shared" si="569"/>
        <v>#DIV/0!</v>
      </c>
      <c r="AL1663" s="26" t="e">
        <f t="shared" si="570"/>
        <v>#DIV/0!</v>
      </c>
      <c r="AM1663" s="26" t="e">
        <f t="shared" si="571"/>
        <v>#DIV/0!</v>
      </c>
      <c r="AN1663" s="26" t="e">
        <f t="shared" si="572"/>
        <v>#DIV/0!</v>
      </c>
      <c r="AO1663" s="26" t="e">
        <f t="shared" si="573"/>
        <v>#DIV/0!</v>
      </c>
      <c r="AP1663" s="26" t="e">
        <f t="shared" si="574"/>
        <v>#DIV/0!</v>
      </c>
      <c r="AS1663" s="2">
        <v>43817</v>
      </c>
      <c r="AT1663">
        <v>12.8</v>
      </c>
      <c r="AU1663">
        <v>0.5</v>
      </c>
      <c r="AV1663">
        <v>64.900000000000006</v>
      </c>
      <c r="AW1663">
        <v>2.5</v>
      </c>
      <c r="AX1663">
        <v>31.91</v>
      </c>
      <c r="AZ1663">
        <v>3.7</v>
      </c>
      <c r="BA1663">
        <v>289.10379999999998</v>
      </c>
      <c r="BB1663">
        <v>161.87799999999999</v>
      </c>
      <c r="BC1663">
        <v>127.5009</v>
      </c>
      <c r="BD1663">
        <v>4.1760000000000002</v>
      </c>
      <c r="BE1663">
        <v>28.728300000000001</v>
      </c>
      <c r="BH1663">
        <v>89.61</v>
      </c>
    </row>
    <row r="1664" spans="1:60" x14ac:dyDescent="0.25">
      <c r="A1664" s="2">
        <v>43837</v>
      </c>
      <c r="B1664">
        <v>11</v>
      </c>
      <c r="C1664">
        <v>0</v>
      </c>
      <c r="D1664">
        <v>63.9</v>
      </c>
      <c r="E1664">
        <v>2.9</v>
      </c>
      <c r="F1664">
        <v>16.489999999999998</v>
      </c>
      <c r="G1664">
        <v>0.5</v>
      </c>
      <c r="H1664">
        <v>3.5</v>
      </c>
      <c r="I1664">
        <v>269.83280000000002</v>
      </c>
      <c r="J1664">
        <v>182.43989999999999</v>
      </c>
      <c r="K1664">
        <v>163.54390000000001</v>
      </c>
      <c r="L1664">
        <v>3.3772000000000002</v>
      </c>
      <c r="M1664">
        <v>32.615000000000002</v>
      </c>
      <c r="N1664">
        <v>3.9287999999999998</v>
      </c>
      <c r="O1664">
        <v>-2.7075</v>
      </c>
      <c r="P1664">
        <v>85.3</v>
      </c>
      <c r="S1664">
        <f t="shared" si="553"/>
        <v>750.0988000000001</v>
      </c>
      <c r="T1664">
        <f t="shared" si="554"/>
        <v>1.0312114906958941E-2</v>
      </c>
      <c r="U1664">
        <f t="shared" si="555"/>
        <v>0</v>
      </c>
      <c r="V1664">
        <f t="shared" si="556"/>
        <v>5.9904012959516029E-2</v>
      </c>
      <c r="W1664">
        <f t="shared" si="557"/>
        <v>2.7186484754709935E-3</v>
      </c>
      <c r="X1664">
        <f t="shared" si="558"/>
        <v>1.5458797710522993E-2</v>
      </c>
      <c r="Y1664">
        <f t="shared" si="559"/>
        <v>4.6873249577086097E-4</v>
      </c>
      <c r="Z1664">
        <f t="shared" si="560"/>
        <v>3.2811274703960268E-3</v>
      </c>
      <c r="AA1664">
        <f t="shared" si="561"/>
        <v>0.25295880356967915</v>
      </c>
      <c r="AB1664">
        <f t="shared" si="562"/>
        <v>0.1710310193103726</v>
      </c>
      <c r="AC1664">
        <f t="shared" si="563"/>
        <v>0.15331668083020022</v>
      </c>
      <c r="AD1664">
        <f t="shared" si="564"/>
        <v>3.1660067694347033E-3</v>
      </c>
      <c r="AE1664">
        <f t="shared" si="565"/>
        <v>3.0575420699133261E-2</v>
      </c>
      <c r="AG1664">
        <f t="shared" si="566"/>
        <v>-0.83872009650591528</v>
      </c>
      <c r="AH1664">
        <f t="shared" si="567"/>
        <v>0.1227188547177691</v>
      </c>
      <c r="AI1664">
        <f t="shared" si="568"/>
        <v>-0.76346403254509665</v>
      </c>
      <c r="AK1664" s="26" t="e">
        <f t="shared" si="569"/>
        <v>#DIV/0!</v>
      </c>
      <c r="AL1664" s="26" t="e">
        <f t="shared" si="570"/>
        <v>#DIV/0!</v>
      </c>
      <c r="AM1664" s="26" t="e">
        <f t="shared" si="571"/>
        <v>#DIV/0!</v>
      </c>
      <c r="AN1664" s="26" t="e">
        <f t="shared" si="572"/>
        <v>#DIV/0!</v>
      </c>
      <c r="AO1664" s="26" t="e">
        <f t="shared" si="573"/>
        <v>#DIV/0!</v>
      </c>
      <c r="AP1664" s="26" t="e">
        <f t="shared" si="574"/>
        <v>#DIV/0!</v>
      </c>
      <c r="AS1664" s="2">
        <v>43816</v>
      </c>
      <c r="AT1664">
        <v>12.6</v>
      </c>
      <c r="AU1664">
        <v>0.8</v>
      </c>
      <c r="AV1664">
        <v>29.1</v>
      </c>
      <c r="AW1664">
        <v>3</v>
      </c>
      <c r="AX1664">
        <v>34.75</v>
      </c>
      <c r="AY1664">
        <v>0.5</v>
      </c>
      <c r="AZ1664">
        <v>3.3</v>
      </c>
      <c r="BA1664">
        <v>319.17610000000002</v>
      </c>
      <c r="BB1664">
        <v>181.7148</v>
      </c>
      <c r="BC1664">
        <v>119.9014</v>
      </c>
      <c r="BD1664">
        <v>4.1760000000000002</v>
      </c>
      <c r="BE1664">
        <v>22.168900000000001</v>
      </c>
      <c r="BH1664">
        <v>89.84</v>
      </c>
    </row>
    <row r="1665" spans="1:60" x14ac:dyDescent="0.25">
      <c r="A1665" s="2">
        <v>43836</v>
      </c>
      <c r="B1665">
        <v>10.7</v>
      </c>
      <c r="C1665">
        <v>0</v>
      </c>
      <c r="D1665">
        <v>76.599999999999994</v>
      </c>
      <c r="E1665">
        <v>1.9</v>
      </c>
      <c r="F1665">
        <v>39.07</v>
      </c>
      <c r="G1665">
        <v>0.5</v>
      </c>
      <c r="H1665">
        <v>3.3</v>
      </c>
      <c r="I1665">
        <v>239.34059999999999</v>
      </c>
      <c r="J1665">
        <v>125.3329</v>
      </c>
      <c r="K1665">
        <v>141.46440000000001</v>
      </c>
      <c r="L1665">
        <v>4.0909000000000004</v>
      </c>
      <c r="M1665">
        <v>23.919499999999999</v>
      </c>
      <c r="N1665">
        <v>3.9548000000000001</v>
      </c>
      <c r="O1665">
        <v>-1.7341</v>
      </c>
      <c r="P1665">
        <v>85.86</v>
      </c>
      <c r="S1665">
        <f t="shared" si="553"/>
        <v>666.21830000000011</v>
      </c>
      <c r="T1665">
        <f t="shared" si="554"/>
        <v>1.0030875409496424E-2</v>
      </c>
      <c r="U1665">
        <f t="shared" si="555"/>
        <v>0</v>
      </c>
      <c r="V1665">
        <f t="shared" si="556"/>
        <v>7.1809818352095892E-2</v>
      </c>
      <c r="W1665">
        <f t="shared" si="557"/>
        <v>1.7811834839292716E-3</v>
      </c>
      <c r="X1665">
        <f t="shared" si="558"/>
        <v>3.6626757219535074E-2</v>
      </c>
      <c r="Y1665">
        <f t="shared" si="559"/>
        <v>4.6873249577086097E-4</v>
      </c>
      <c r="Z1665">
        <f t="shared" si="560"/>
        <v>3.0936344720876819E-3</v>
      </c>
      <c r="AA1665">
        <f t="shared" si="561"/>
        <v>0.22437343355459063</v>
      </c>
      <c r="AB1665">
        <f t="shared" si="562"/>
        <v>0.11749520603839947</v>
      </c>
      <c r="AC1665">
        <f t="shared" si="563"/>
        <v>0.13261792254945479</v>
      </c>
      <c r="AD1665">
        <f t="shared" si="564"/>
        <v>3.8350755338980307E-3</v>
      </c>
      <c r="AE1665">
        <f t="shared" si="565"/>
        <v>2.2423693865182216E-2</v>
      </c>
      <c r="AG1665">
        <f t="shared" si="566"/>
        <v>-0.75739820095356325</v>
      </c>
      <c r="AH1665">
        <f t="shared" si="567"/>
        <v>0.14623469529809741</v>
      </c>
      <c r="AI1665">
        <f t="shared" si="568"/>
        <v>-0.61274735481068787</v>
      </c>
      <c r="AK1665" s="26" t="e">
        <f t="shared" si="569"/>
        <v>#DIV/0!</v>
      </c>
      <c r="AL1665" s="26" t="e">
        <f t="shared" si="570"/>
        <v>#DIV/0!</v>
      </c>
      <c r="AM1665" s="26" t="e">
        <f t="shared" si="571"/>
        <v>#DIV/0!</v>
      </c>
      <c r="AN1665" s="26" t="e">
        <f t="shared" si="572"/>
        <v>#DIV/0!</v>
      </c>
      <c r="AO1665" s="26" t="e">
        <f t="shared" si="573"/>
        <v>#DIV/0!</v>
      </c>
      <c r="AP1665" s="26" t="e">
        <f t="shared" si="574"/>
        <v>#DIV/0!</v>
      </c>
      <c r="AS1665" s="2">
        <v>43815</v>
      </c>
      <c r="AT1665">
        <v>12</v>
      </c>
      <c r="AU1665">
        <v>3</v>
      </c>
      <c r="AV1665">
        <v>75</v>
      </c>
      <c r="AW1665">
        <v>1.6</v>
      </c>
      <c r="AX1665">
        <v>29.6</v>
      </c>
      <c r="AY1665">
        <v>0.5</v>
      </c>
      <c r="AZ1665">
        <v>3.3</v>
      </c>
      <c r="BA1665">
        <v>279.6146</v>
      </c>
      <c r="BB1665">
        <v>169.81219999999999</v>
      </c>
      <c r="BC1665">
        <v>132.38030000000001</v>
      </c>
      <c r="BD1665">
        <v>4.1757</v>
      </c>
      <c r="BE1665">
        <v>31.808</v>
      </c>
      <c r="BH1665">
        <v>90.06</v>
      </c>
    </row>
    <row r="1666" spans="1:60" x14ac:dyDescent="0.25">
      <c r="A1666" s="2">
        <v>43835</v>
      </c>
      <c r="B1666">
        <v>11.4</v>
      </c>
      <c r="C1666">
        <v>58.8</v>
      </c>
      <c r="D1666">
        <v>46.7</v>
      </c>
      <c r="E1666">
        <v>2</v>
      </c>
      <c r="F1666">
        <v>26.15</v>
      </c>
      <c r="G1666">
        <v>0.5</v>
      </c>
      <c r="H1666">
        <v>3.1</v>
      </c>
      <c r="I1666">
        <v>250.15790000000001</v>
      </c>
      <c r="J1666">
        <v>60.752699999999997</v>
      </c>
      <c r="K1666">
        <v>90.419899999999998</v>
      </c>
      <c r="L1666">
        <v>4.2637999999999998</v>
      </c>
      <c r="M1666">
        <v>17.3855</v>
      </c>
      <c r="P1666">
        <v>86.39</v>
      </c>
      <c r="S1666">
        <f t="shared" ref="S1666:S1729" si="575">SUM(B1666:M1666)</f>
        <v>571.62979999999993</v>
      </c>
      <c r="T1666">
        <f t="shared" si="554"/>
        <v>1.0687100903575631E-2</v>
      </c>
      <c r="U1666">
        <f t="shared" si="555"/>
        <v>5.5122941502653247E-2</v>
      </c>
      <c r="V1666">
        <f t="shared" si="556"/>
        <v>4.3779615104998414E-2</v>
      </c>
      <c r="W1666">
        <f t="shared" si="557"/>
        <v>1.8749299830834439E-3</v>
      </c>
      <c r="X1666">
        <f t="shared" si="558"/>
        <v>2.4514709528816028E-2</v>
      </c>
      <c r="Y1666">
        <f t="shared" si="559"/>
        <v>4.6873249577086097E-4</v>
      </c>
      <c r="Z1666">
        <f t="shared" si="560"/>
        <v>2.9061414737793379E-3</v>
      </c>
      <c r="AA1666">
        <f t="shared" si="561"/>
        <v>0.23451427360759491</v>
      </c>
      <c r="AB1666">
        <f t="shared" si="562"/>
        <v>5.6953529391636767E-2</v>
      </c>
      <c r="AC1666">
        <f t="shared" si="563"/>
        <v>8.4765490788703338E-2</v>
      </c>
      <c r="AD1666">
        <f t="shared" si="564"/>
        <v>3.9971632309355933E-3</v>
      </c>
      <c r="AE1666">
        <f t="shared" si="565"/>
        <v>1.6298297610448608E-2</v>
      </c>
      <c r="AG1666">
        <f t="shared" si="566"/>
        <v>-0.68011142274553937</v>
      </c>
      <c r="AH1666">
        <f t="shared" si="567"/>
        <v>0.15565246860312559</v>
      </c>
      <c r="AI1666">
        <f t="shared" si="568"/>
        <v>-0.55358734037901591</v>
      </c>
      <c r="AK1666" s="26" t="e">
        <f t="shared" si="569"/>
        <v>#DIV/0!</v>
      </c>
      <c r="AL1666" s="26" t="e">
        <f t="shared" si="570"/>
        <v>#DIV/0!</v>
      </c>
      <c r="AM1666" s="26" t="e">
        <f t="shared" si="571"/>
        <v>#DIV/0!</v>
      </c>
      <c r="AN1666" s="26" t="e">
        <f t="shared" si="572"/>
        <v>#DIV/0!</v>
      </c>
      <c r="AO1666" s="26" t="e">
        <f t="shared" si="573"/>
        <v>#DIV/0!</v>
      </c>
      <c r="AP1666" s="26" t="e">
        <f t="shared" si="574"/>
        <v>#DIV/0!</v>
      </c>
      <c r="AS1666" s="2">
        <v>43814</v>
      </c>
      <c r="AT1666">
        <v>11.1</v>
      </c>
      <c r="AU1666">
        <v>0</v>
      </c>
      <c r="AV1666">
        <v>82.8</v>
      </c>
      <c r="AW1666">
        <v>4.4000000000000004</v>
      </c>
      <c r="AX1666">
        <v>29.95</v>
      </c>
      <c r="AY1666">
        <v>0.5</v>
      </c>
      <c r="AZ1666">
        <v>3.1</v>
      </c>
      <c r="BA1666">
        <v>120.6885</v>
      </c>
      <c r="BB1666">
        <v>42.290500000000002</v>
      </c>
      <c r="BC1666">
        <v>37.125599999999999</v>
      </c>
      <c r="BD1666">
        <v>4.1792999999999996</v>
      </c>
      <c r="BE1666">
        <v>14.567299999999999</v>
      </c>
      <c r="BH1666">
        <v>90.31</v>
      </c>
    </row>
    <row r="1667" spans="1:60" x14ac:dyDescent="0.25">
      <c r="A1667" s="2">
        <v>43834</v>
      </c>
      <c r="B1667">
        <v>11.8</v>
      </c>
      <c r="C1667">
        <v>0</v>
      </c>
      <c r="D1667">
        <v>68.2</v>
      </c>
      <c r="E1667">
        <v>7.1</v>
      </c>
      <c r="F1667">
        <v>13.82</v>
      </c>
      <c r="G1667">
        <v>0.5</v>
      </c>
      <c r="H1667">
        <v>3</v>
      </c>
      <c r="I1667">
        <v>156.76900000000001</v>
      </c>
      <c r="J1667">
        <v>70.621099999999998</v>
      </c>
      <c r="K1667">
        <v>63.153799999999997</v>
      </c>
      <c r="L1667">
        <v>4.2343000000000002</v>
      </c>
      <c r="M1667">
        <v>11.598599999999999</v>
      </c>
      <c r="P1667">
        <v>86.78</v>
      </c>
      <c r="S1667">
        <f t="shared" si="575"/>
        <v>410.79679999999996</v>
      </c>
      <c r="T1667">
        <f t="shared" si="554"/>
        <v>1.1062086900192319E-2</v>
      </c>
      <c r="U1667">
        <f t="shared" si="555"/>
        <v>0</v>
      </c>
      <c r="V1667">
        <f t="shared" si="556"/>
        <v>6.3935112423145438E-2</v>
      </c>
      <c r="W1667">
        <f t="shared" si="557"/>
        <v>6.6560014399462252E-3</v>
      </c>
      <c r="X1667">
        <f t="shared" si="558"/>
        <v>1.2955766183106596E-2</v>
      </c>
      <c r="Y1667">
        <f t="shared" si="559"/>
        <v>4.6873249577086097E-4</v>
      </c>
      <c r="Z1667">
        <f t="shared" si="560"/>
        <v>2.8123949746251659E-3</v>
      </c>
      <c r="AA1667">
        <f t="shared" si="561"/>
        <v>0.1469654492590042</v>
      </c>
      <c r="AB1667">
        <f t="shared" si="562"/>
        <v>6.6204808914167093E-2</v>
      </c>
      <c r="AC1667">
        <f t="shared" si="563"/>
        <v>5.9204476582827591E-2</v>
      </c>
      <c r="AD1667">
        <f t="shared" si="564"/>
        <v>3.969508013685113E-3</v>
      </c>
      <c r="AE1667">
        <f t="shared" si="565"/>
        <v>1.0873281450895816E-2</v>
      </c>
      <c r="AG1667">
        <f t="shared" si="566"/>
        <v>-0.62365156783258591</v>
      </c>
      <c r="AH1667">
        <f t="shared" si="567"/>
        <v>0.10876337586768242</v>
      </c>
      <c r="AI1667">
        <f t="shared" si="568"/>
        <v>-0.86227795861923762</v>
      </c>
      <c r="AK1667" s="26" t="e">
        <f t="shared" si="569"/>
        <v>#DIV/0!</v>
      </c>
      <c r="AL1667" s="26" t="e">
        <f t="shared" si="570"/>
        <v>#DIV/0!</v>
      </c>
      <c r="AM1667" s="26" t="e">
        <f t="shared" si="571"/>
        <v>#DIV/0!</v>
      </c>
      <c r="AN1667" s="26" t="e">
        <f t="shared" si="572"/>
        <v>#DIV/0!</v>
      </c>
      <c r="AO1667" s="26" t="e">
        <f t="shared" si="573"/>
        <v>#DIV/0!</v>
      </c>
      <c r="AP1667" s="26" t="e">
        <f t="shared" si="574"/>
        <v>#DIV/0!</v>
      </c>
      <c r="AS1667" s="2">
        <v>43813</v>
      </c>
      <c r="AT1667">
        <v>13</v>
      </c>
      <c r="AU1667">
        <v>0</v>
      </c>
      <c r="AV1667">
        <v>71.099999999999994</v>
      </c>
      <c r="AW1667">
        <v>4.4000000000000004</v>
      </c>
      <c r="AX1667">
        <v>23.01</v>
      </c>
      <c r="AY1667">
        <v>0.5</v>
      </c>
      <c r="AZ1667">
        <v>3.3</v>
      </c>
      <c r="BA1667">
        <v>149.75880000000001</v>
      </c>
      <c r="BB1667">
        <v>44.2318</v>
      </c>
      <c r="BC1667">
        <v>56.228200000000001</v>
      </c>
      <c r="BD1667">
        <v>4.1760000000000002</v>
      </c>
      <c r="BE1667">
        <v>10.693099999999999</v>
      </c>
      <c r="BH1667">
        <v>90.43</v>
      </c>
    </row>
    <row r="1668" spans="1:60" x14ac:dyDescent="0.25">
      <c r="A1668" s="2">
        <v>43833</v>
      </c>
      <c r="B1668">
        <v>12</v>
      </c>
      <c r="C1668">
        <v>0</v>
      </c>
      <c r="D1668">
        <v>78.8</v>
      </c>
      <c r="E1668">
        <v>3.5</v>
      </c>
      <c r="F1668">
        <v>19.64</v>
      </c>
      <c r="G1668">
        <v>0.5</v>
      </c>
      <c r="H1668">
        <v>3.1</v>
      </c>
      <c r="I1668">
        <v>180.80240000000001</v>
      </c>
      <c r="J1668">
        <v>72.4191</v>
      </c>
      <c r="K1668">
        <v>67.2042</v>
      </c>
      <c r="L1668">
        <v>4.2263999999999999</v>
      </c>
      <c r="M1668">
        <v>22.648399999999999</v>
      </c>
      <c r="N1668">
        <v>3.1459000000000001</v>
      </c>
      <c r="O1668">
        <v>-1.7874000000000001</v>
      </c>
      <c r="P1668">
        <v>87.15</v>
      </c>
      <c r="S1668">
        <f t="shared" si="575"/>
        <v>464.84050000000002</v>
      </c>
      <c r="T1668">
        <f t="shared" si="554"/>
        <v>1.1249579898500664E-2</v>
      </c>
      <c r="U1668">
        <f t="shared" si="555"/>
        <v>0</v>
      </c>
      <c r="V1668">
        <f t="shared" si="556"/>
        <v>7.3872241333487687E-2</v>
      </c>
      <c r="W1668">
        <f t="shared" si="557"/>
        <v>3.2811274703960268E-3</v>
      </c>
      <c r="X1668">
        <f t="shared" si="558"/>
        <v>1.8411812433879418E-2</v>
      </c>
      <c r="Y1668">
        <f t="shared" si="559"/>
        <v>4.6873249577086097E-4</v>
      </c>
      <c r="Z1668">
        <f t="shared" si="560"/>
        <v>2.9061414737793379E-3</v>
      </c>
      <c r="AA1668">
        <f t="shared" si="561"/>
        <v>0.16949592038672304</v>
      </c>
      <c r="AB1668">
        <f t="shared" si="562"/>
        <v>6.7890370968959113E-2</v>
      </c>
      <c r="AC1668">
        <f t="shared" si="563"/>
        <v>6.3001584784568188E-2</v>
      </c>
      <c r="AD1668">
        <f t="shared" si="564"/>
        <v>3.9621020402519332E-3</v>
      </c>
      <c r="AE1668">
        <f t="shared" si="565"/>
        <v>2.1232082114433535E-2</v>
      </c>
      <c r="AG1668">
        <f t="shared" si="566"/>
        <v>-0.56998266029930444</v>
      </c>
      <c r="AH1668">
        <f t="shared" si="567"/>
        <v>0.13142171722024751</v>
      </c>
      <c r="AI1668">
        <f t="shared" si="568"/>
        <v>-0.71886653778599041</v>
      </c>
      <c r="AK1668" s="26" t="e">
        <f t="shared" si="569"/>
        <v>#DIV/0!</v>
      </c>
      <c r="AL1668" s="26" t="e">
        <f t="shared" si="570"/>
        <v>#DIV/0!</v>
      </c>
      <c r="AM1668" s="26" t="e">
        <f t="shared" si="571"/>
        <v>#DIV/0!</v>
      </c>
      <c r="AN1668" s="26" t="e">
        <f t="shared" si="572"/>
        <v>#DIV/0!</v>
      </c>
      <c r="AO1668" s="26" t="e">
        <f t="shared" si="573"/>
        <v>#DIV/0!</v>
      </c>
      <c r="AP1668" s="26" t="e">
        <f t="shared" si="574"/>
        <v>#DIV/0!</v>
      </c>
      <c r="AS1668" s="2">
        <v>43812</v>
      </c>
      <c r="AT1668">
        <v>13.4</v>
      </c>
      <c r="AU1668">
        <v>0</v>
      </c>
      <c r="AV1668">
        <v>56.3</v>
      </c>
      <c r="AW1668">
        <v>3.7</v>
      </c>
      <c r="AX1668">
        <v>17.579999999999998</v>
      </c>
      <c r="AY1668">
        <v>0.5</v>
      </c>
      <c r="AZ1668">
        <v>3.4</v>
      </c>
      <c r="BA1668">
        <v>279.26530000000002</v>
      </c>
      <c r="BB1668">
        <v>138.81200000000001</v>
      </c>
      <c r="BC1668">
        <v>122.71429999999999</v>
      </c>
      <c r="BD1668">
        <v>4.7209000000000003</v>
      </c>
      <c r="BE1668">
        <v>32.487699999999997</v>
      </c>
      <c r="BH1668">
        <v>90.58</v>
      </c>
    </row>
    <row r="1669" spans="1:60" x14ac:dyDescent="0.25">
      <c r="A1669" s="2">
        <v>43832</v>
      </c>
      <c r="B1669">
        <v>11.5</v>
      </c>
      <c r="C1669">
        <v>17.2</v>
      </c>
      <c r="D1669">
        <v>69.2</v>
      </c>
      <c r="E1669">
        <v>0.8</v>
      </c>
      <c r="F1669">
        <v>41.31</v>
      </c>
      <c r="G1669">
        <v>0.5</v>
      </c>
      <c r="H1669">
        <v>3.4</v>
      </c>
      <c r="I1669">
        <v>251.27330000000001</v>
      </c>
      <c r="J1669">
        <v>64.263599999999997</v>
      </c>
      <c r="K1669">
        <v>98.857699999999994</v>
      </c>
      <c r="L1669">
        <v>4.2431000000000001</v>
      </c>
      <c r="M1669">
        <v>31.0533</v>
      </c>
      <c r="N1669">
        <v>4.5983000000000001</v>
      </c>
      <c r="O1669">
        <v>-1.6566000000000001</v>
      </c>
      <c r="P1669">
        <v>87.55</v>
      </c>
      <c r="S1669">
        <f t="shared" si="575"/>
        <v>593.60100000000011</v>
      </c>
      <c r="T1669">
        <f t="shared" ref="T1669:T1732" si="576">B1669/$S$4</f>
        <v>1.0780847402729802E-2</v>
      </c>
      <c r="U1669">
        <f t="shared" ref="U1669:U1732" si="577">C1669/$S$4</f>
        <v>1.6124397854517615E-2</v>
      </c>
      <c r="V1669">
        <f t="shared" ref="V1669:V1732" si="578">D1669/$S$4</f>
        <v>6.487257741468716E-2</v>
      </c>
      <c r="W1669">
        <f t="shared" ref="W1669:W1732" si="579">E1669/$S$4</f>
        <v>7.4997199323337759E-4</v>
      </c>
      <c r="X1669">
        <f t="shared" ref="X1669:X1732" si="580">F1669/$S$4</f>
        <v>3.8726678800588533E-2</v>
      </c>
      <c r="Y1669">
        <f t="shared" ref="Y1669:Y1732" si="581">G1669/$S$4</f>
        <v>4.6873249577086097E-4</v>
      </c>
      <c r="Z1669">
        <f t="shared" ref="Z1669:Z1732" si="582">H1669/$S$4</f>
        <v>3.1873809712418544E-3</v>
      </c>
      <c r="AA1669">
        <f t="shared" ref="AA1669:AA1732" si="583">I1669/$S$4</f>
        <v>0.23555992205916057</v>
      </c>
      <c r="AB1669">
        <f t="shared" ref="AB1669:AB1732" si="584">J1669/$S$4</f>
        <v>6.02448752304406E-2</v>
      </c>
      <c r="AC1669">
        <f t="shared" ref="AC1669:AC1732" si="585">K1669/$S$4</f>
        <v>9.2675632894334073E-2</v>
      </c>
      <c r="AD1669">
        <f t="shared" ref="AD1669:AD1732" si="586">L1669/$S$4</f>
        <v>3.9777577056106803E-3</v>
      </c>
      <c r="AE1669">
        <f t="shared" ref="AE1669:AE1732" si="587">M1669/$S$4</f>
        <v>2.9111381621842552E-2</v>
      </c>
      <c r="AG1669">
        <f t="shared" ref="AG1669:AG1732" si="588">(P1669-AVERAGE(P1669:P2033)) / _xlfn.STDEV.S(P1669:P3496)</f>
        <v>-0.51159411298088431</v>
      </c>
      <c r="AH1669">
        <f t="shared" ref="AH1669:AH1732" si="589">SUM(T1669:Y1669,Z1669,AE1669)</f>
        <v>0.16402196855461174</v>
      </c>
      <c r="AI1669">
        <f t="shared" ref="AI1669:AI1732" si="590">(AH1669-AVERAGE(AH1669:AH2033))/_xlfn.STDEV.S(AH1669:AH2033)</f>
        <v>-0.50958428539499834</v>
      </c>
      <c r="AK1669" s="26" t="e">
        <f t="shared" ref="AK1669:AK1732" si="591">AVERAGEA(AH1669:AH1689)-AVERAGE(AH2035:AH2055, AH2400:AH2420, AH2765:AH2785)</f>
        <v>#DIV/0!</v>
      </c>
      <c r="AL1669" s="26" t="e">
        <f t="shared" ref="AL1669:AL1732" si="592">AVERAGEA(AH1669:AH1724)-AVERAGE(AH2035:AH2090, AH2400:AH2454, AH2765:AH2819)</f>
        <v>#DIV/0!</v>
      </c>
      <c r="AM1669" s="26" t="e">
        <f t="shared" ref="AM1669:AM1732" si="593">AVERAGEA(AH1669:AH1781)-AVERAGE(AH2035:AH2147,AH2400:AH2511,AH2765:AH2876)</f>
        <v>#DIV/0!</v>
      </c>
      <c r="AN1669" s="26" t="e">
        <f t="shared" ref="AN1669:AN1732" si="594">AVERAGEA(P1669:P1689)-AVERAGE(P2035:P2055, P2400:P2420, P2765:P2785)</f>
        <v>#DIV/0!</v>
      </c>
      <c r="AO1669" s="26" t="e">
        <f t="shared" ref="AO1669:AO1732" si="595">AVERAGEA(P1669:P1724)-AVERAGE(P2035:P2090, P2400:P2454, P2765:P2819)</f>
        <v>#DIV/0!</v>
      </c>
      <c r="AP1669" s="26" t="e">
        <f t="shared" ref="AP1669:AP1732" si="596">AVERAGEA(P1669:P1781)-AVERAGE(P2035:P2147,P2400:P2511,P2765:P2876)</f>
        <v>#DIV/0!</v>
      </c>
      <c r="AS1669" s="2">
        <v>43811</v>
      </c>
      <c r="AT1669">
        <v>12.8</v>
      </c>
      <c r="AU1669">
        <v>0</v>
      </c>
      <c r="AV1669">
        <v>58.3</v>
      </c>
      <c r="AW1669">
        <v>1.5</v>
      </c>
      <c r="AX1669">
        <v>16.95</v>
      </c>
      <c r="AY1669">
        <v>0.5</v>
      </c>
      <c r="AZ1669">
        <v>3.5</v>
      </c>
      <c r="BA1669">
        <v>334.50889999999998</v>
      </c>
      <c r="BB1669">
        <v>229.3544</v>
      </c>
      <c r="BC1669">
        <v>159.70269999999999</v>
      </c>
      <c r="BD1669">
        <v>4.1113999999999997</v>
      </c>
      <c r="BE1669">
        <v>29.949100000000001</v>
      </c>
      <c r="BH1669">
        <v>90.92</v>
      </c>
    </row>
    <row r="1670" spans="1:60" x14ac:dyDescent="0.25">
      <c r="A1670" s="2">
        <v>43831</v>
      </c>
      <c r="B1670">
        <v>12.1</v>
      </c>
      <c r="C1670">
        <v>1</v>
      </c>
      <c r="D1670">
        <v>38.9</v>
      </c>
      <c r="E1670">
        <v>0.5</v>
      </c>
      <c r="F1670">
        <v>52.47</v>
      </c>
      <c r="G1670">
        <v>0.5</v>
      </c>
      <c r="H1670">
        <v>3.1</v>
      </c>
      <c r="I1670">
        <v>238.024</v>
      </c>
      <c r="J1670">
        <v>47.777799999999999</v>
      </c>
      <c r="K1670">
        <v>81.016999999999996</v>
      </c>
      <c r="L1670">
        <v>4.2717000000000001</v>
      </c>
      <c r="M1670">
        <v>18.805599999999998</v>
      </c>
      <c r="O1670">
        <v>-4.8255999999999997</v>
      </c>
      <c r="P1670">
        <v>88.1</v>
      </c>
      <c r="S1670">
        <f t="shared" si="575"/>
        <v>498.46609999999998</v>
      </c>
      <c r="T1670">
        <f t="shared" si="576"/>
        <v>1.1343326397654835E-2</v>
      </c>
      <c r="U1670">
        <f t="shared" si="577"/>
        <v>9.3746499154172193E-4</v>
      </c>
      <c r="V1670">
        <f t="shared" si="578"/>
        <v>3.6467388170972982E-2</v>
      </c>
      <c r="W1670">
        <f t="shared" si="579"/>
        <v>4.6873249577086097E-4</v>
      </c>
      <c r="X1670">
        <f t="shared" si="580"/>
        <v>4.9188788106194148E-2</v>
      </c>
      <c r="Y1670">
        <f t="shared" si="581"/>
        <v>4.6873249577086097E-4</v>
      </c>
      <c r="Z1670">
        <f t="shared" si="582"/>
        <v>2.9061414737793379E-3</v>
      </c>
      <c r="AA1670">
        <f t="shared" si="583"/>
        <v>0.22313916714672682</v>
      </c>
      <c r="AB1670">
        <f t="shared" si="584"/>
        <v>4.4790014872882082E-2</v>
      </c>
      <c r="AC1670">
        <f t="shared" si="585"/>
        <v>7.5950601219735681E-2</v>
      </c>
      <c r="AD1670">
        <f t="shared" si="586"/>
        <v>4.0045692043687731E-3</v>
      </c>
      <c r="AE1670">
        <f t="shared" si="587"/>
        <v>1.7629591644937003E-2</v>
      </c>
      <c r="AG1670">
        <f t="shared" si="588"/>
        <v>-0.43042137816467035</v>
      </c>
      <c r="AH1670">
        <f t="shared" si="589"/>
        <v>0.11941016577662174</v>
      </c>
      <c r="AI1670">
        <f t="shared" si="590"/>
        <v>-0.80185652211029212</v>
      </c>
      <c r="AK1670" s="26" t="e">
        <f t="shared" si="591"/>
        <v>#DIV/0!</v>
      </c>
      <c r="AL1670" s="26" t="e">
        <f t="shared" si="592"/>
        <v>#DIV/0!</v>
      </c>
      <c r="AM1670" s="26" t="e">
        <f t="shared" si="593"/>
        <v>#DIV/0!</v>
      </c>
      <c r="AN1670" s="26" t="e">
        <f t="shared" si="594"/>
        <v>#DIV/0!</v>
      </c>
      <c r="AO1670" s="26" t="e">
        <f t="shared" si="595"/>
        <v>#DIV/0!</v>
      </c>
      <c r="AP1670" s="26" t="e">
        <f t="shared" si="596"/>
        <v>#DIV/0!</v>
      </c>
      <c r="AS1670" s="2">
        <v>43810</v>
      </c>
      <c r="AT1670">
        <v>12.6</v>
      </c>
      <c r="AU1670">
        <v>210.1</v>
      </c>
      <c r="AV1670">
        <v>59.6</v>
      </c>
      <c r="AW1670">
        <v>2.4</v>
      </c>
      <c r="AX1670">
        <v>22.64</v>
      </c>
      <c r="AY1670">
        <v>0.5</v>
      </c>
      <c r="AZ1670">
        <v>3.2</v>
      </c>
      <c r="BA1670">
        <v>249.48339999999999</v>
      </c>
      <c r="BB1670">
        <v>196.72280000000001</v>
      </c>
      <c r="BC1670">
        <v>141.26410000000001</v>
      </c>
      <c r="BD1670">
        <v>4.2430000000000003</v>
      </c>
      <c r="BE1670">
        <v>29.405100000000001</v>
      </c>
      <c r="BH1670">
        <v>91.36</v>
      </c>
    </row>
    <row r="1671" spans="1:60" x14ac:dyDescent="0.25">
      <c r="A1671" s="2">
        <v>43830</v>
      </c>
      <c r="C1671">
        <v>33.6</v>
      </c>
      <c r="F1671">
        <v>38.51</v>
      </c>
      <c r="N1671">
        <v>1.9590000000000001</v>
      </c>
      <c r="O1671">
        <v>-4.8000999999999996</v>
      </c>
      <c r="P1671">
        <v>88.36</v>
      </c>
      <c r="S1671">
        <f t="shared" si="575"/>
        <v>72.11</v>
      </c>
      <c r="T1671">
        <f t="shared" si="576"/>
        <v>0</v>
      </c>
      <c r="U1671">
        <f t="shared" si="577"/>
        <v>3.1498823715801857E-2</v>
      </c>
      <c r="V1671">
        <f t="shared" si="578"/>
        <v>0</v>
      </c>
      <c r="W1671">
        <f t="shared" si="579"/>
        <v>0</v>
      </c>
      <c r="X1671">
        <f t="shared" si="580"/>
        <v>3.6101776824271709E-2</v>
      </c>
      <c r="Y1671">
        <f t="shared" si="581"/>
        <v>0</v>
      </c>
      <c r="Z1671">
        <f t="shared" si="582"/>
        <v>0</v>
      </c>
      <c r="AA1671">
        <f t="shared" si="583"/>
        <v>0</v>
      </c>
      <c r="AB1671">
        <f t="shared" si="584"/>
        <v>0</v>
      </c>
      <c r="AC1671">
        <f t="shared" si="585"/>
        <v>0</v>
      </c>
      <c r="AD1671">
        <f t="shared" si="586"/>
        <v>0</v>
      </c>
      <c r="AE1671">
        <f t="shared" si="587"/>
        <v>0</v>
      </c>
      <c r="AG1671">
        <f t="shared" si="588"/>
        <v>-0.39270121825410637</v>
      </c>
      <c r="AH1671">
        <f t="shared" si="589"/>
        <v>6.7600600540073566E-2</v>
      </c>
      <c r="AI1671">
        <f t="shared" si="590"/>
        <v>-1.1427133680537529</v>
      </c>
      <c r="AK1671" s="26" t="e">
        <f t="shared" si="591"/>
        <v>#DIV/0!</v>
      </c>
      <c r="AL1671" s="26" t="e">
        <f t="shared" si="592"/>
        <v>#DIV/0!</v>
      </c>
      <c r="AM1671" s="26" t="e">
        <f t="shared" si="593"/>
        <v>#DIV/0!</v>
      </c>
      <c r="AN1671" s="26" t="e">
        <f t="shared" si="594"/>
        <v>#DIV/0!</v>
      </c>
      <c r="AO1671" s="26" t="e">
        <f t="shared" si="595"/>
        <v>#DIV/0!</v>
      </c>
      <c r="AP1671" s="26" t="e">
        <f t="shared" si="596"/>
        <v>#DIV/0!</v>
      </c>
      <c r="AS1671" s="2">
        <v>43809</v>
      </c>
      <c r="AT1671">
        <v>13</v>
      </c>
      <c r="AU1671">
        <v>9.1</v>
      </c>
      <c r="AV1671">
        <v>65.900000000000006</v>
      </c>
      <c r="AW1671">
        <v>2.7</v>
      </c>
      <c r="AX1671">
        <v>46.42</v>
      </c>
      <c r="AY1671">
        <v>0.5</v>
      </c>
      <c r="AZ1671">
        <v>3.4</v>
      </c>
      <c r="BA1671">
        <v>292.66860000000003</v>
      </c>
      <c r="BB1671">
        <v>189.63310000000001</v>
      </c>
      <c r="BC1671">
        <v>128.64760000000001</v>
      </c>
      <c r="BD1671">
        <v>4.1947999999999999</v>
      </c>
      <c r="BE1671">
        <v>31.746300000000002</v>
      </c>
      <c r="BH1671">
        <v>91.82</v>
      </c>
    </row>
    <row r="1672" spans="1:60" x14ac:dyDescent="0.25">
      <c r="A1672" s="2">
        <v>43829</v>
      </c>
      <c r="B1672">
        <v>12.9</v>
      </c>
      <c r="C1672">
        <v>0</v>
      </c>
      <c r="D1672">
        <v>83.1</v>
      </c>
      <c r="E1672">
        <v>4.2</v>
      </c>
      <c r="F1672">
        <v>54.59</v>
      </c>
      <c r="G1672">
        <v>0.5</v>
      </c>
      <c r="H1672">
        <v>3.2</v>
      </c>
      <c r="I1672">
        <v>160.53739999999999</v>
      </c>
      <c r="J1672">
        <v>66.881299999999996</v>
      </c>
      <c r="K1672">
        <v>74.540599999999998</v>
      </c>
      <c r="L1672">
        <v>4.2942</v>
      </c>
      <c r="M1672">
        <v>20.526299999999999</v>
      </c>
      <c r="N1672">
        <v>0.63939999999999997</v>
      </c>
      <c r="O1672">
        <v>-5.0932000000000004</v>
      </c>
      <c r="P1672">
        <v>88.64</v>
      </c>
      <c r="S1672">
        <f t="shared" si="575"/>
        <v>485.26979999999998</v>
      </c>
      <c r="T1672">
        <f t="shared" si="576"/>
        <v>1.2093298390888213E-2</v>
      </c>
      <c r="U1672">
        <f t="shared" si="577"/>
        <v>0</v>
      </c>
      <c r="V1672">
        <f t="shared" si="578"/>
        <v>7.7903340797117082E-2</v>
      </c>
      <c r="W1672">
        <f t="shared" si="579"/>
        <v>3.9373529644752322E-3</v>
      </c>
      <c r="X1672">
        <f t="shared" si="580"/>
        <v>5.1176213888262601E-2</v>
      </c>
      <c r="Y1672">
        <f t="shared" si="581"/>
        <v>4.6873249577086097E-4</v>
      </c>
      <c r="Z1672">
        <f t="shared" si="582"/>
        <v>2.9998879729335104E-3</v>
      </c>
      <c r="AA1672">
        <f t="shared" si="583"/>
        <v>0.15049819233313003</v>
      </c>
      <c r="AB1672">
        <f t="shared" si="584"/>
        <v>6.2698877338799364E-2</v>
      </c>
      <c r="AC1672">
        <f t="shared" si="585"/>
        <v>6.9879202948514879E-2</v>
      </c>
      <c r="AD1672">
        <f t="shared" si="586"/>
        <v>4.025662166678462E-3</v>
      </c>
      <c r="AE1672">
        <f t="shared" si="587"/>
        <v>1.9242687655882846E-2</v>
      </c>
      <c r="AG1672">
        <f t="shared" si="588"/>
        <v>-0.35192139995103572</v>
      </c>
      <c r="AH1672">
        <f t="shared" si="589"/>
        <v>0.16782151416533037</v>
      </c>
      <c r="AI1672">
        <f t="shared" si="590"/>
        <v>-0.49890667840729258</v>
      </c>
      <c r="AK1672" s="26" t="e">
        <f t="shared" si="591"/>
        <v>#DIV/0!</v>
      </c>
      <c r="AL1672" s="26" t="e">
        <f t="shared" si="592"/>
        <v>#DIV/0!</v>
      </c>
      <c r="AM1672" s="26" t="e">
        <f t="shared" si="593"/>
        <v>#DIV/0!</v>
      </c>
      <c r="AN1672" s="26" t="e">
        <f t="shared" si="594"/>
        <v>#DIV/0!</v>
      </c>
      <c r="AO1672" s="26" t="e">
        <f t="shared" si="595"/>
        <v>#DIV/0!</v>
      </c>
      <c r="AP1672" s="26" t="e">
        <f t="shared" si="596"/>
        <v>#DIV/0!</v>
      </c>
      <c r="AS1672" s="2">
        <v>43808</v>
      </c>
      <c r="AT1672">
        <v>11.1</v>
      </c>
      <c r="AU1672">
        <v>0</v>
      </c>
      <c r="AV1672">
        <v>78.900000000000006</v>
      </c>
      <c r="AW1672">
        <v>2.7</v>
      </c>
      <c r="AX1672">
        <v>30.2</v>
      </c>
      <c r="AY1672">
        <v>0.5</v>
      </c>
      <c r="AZ1672">
        <v>3.4</v>
      </c>
      <c r="BA1672">
        <v>211.2688</v>
      </c>
      <c r="BB1672">
        <v>98.917299999999997</v>
      </c>
      <c r="BC1672">
        <v>91.328900000000004</v>
      </c>
      <c r="BD1672">
        <v>6.4138000000000002</v>
      </c>
      <c r="BE1672">
        <v>31.512899999999998</v>
      </c>
      <c r="BH1672">
        <v>92.12</v>
      </c>
    </row>
    <row r="1673" spans="1:60" x14ac:dyDescent="0.25">
      <c r="A1673" s="2">
        <v>43828</v>
      </c>
      <c r="B1673">
        <v>13.9</v>
      </c>
      <c r="C1673">
        <v>55.8</v>
      </c>
      <c r="D1673">
        <v>70.099999999999994</v>
      </c>
      <c r="E1673">
        <v>1.1000000000000001</v>
      </c>
      <c r="F1673">
        <v>56.13</v>
      </c>
      <c r="G1673">
        <v>0.5</v>
      </c>
      <c r="H1673">
        <v>2.9</v>
      </c>
      <c r="I1673">
        <v>173.6362</v>
      </c>
      <c r="J1673">
        <v>60.255299999999998</v>
      </c>
      <c r="K1673">
        <v>79.033199999999994</v>
      </c>
      <c r="L1673">
        <v>4.2720000000000002</v>
      </c>
      <c r="M1673">
        <v>24.2027</v>
      </c>
      <c r="P1673">
        <v>88.95</v>
      </c>
      <c r="S1673">
        <f t="shared" si="575"/>
        <v>541.82940000000008</v>
      </c>
      <c r="T1673">
        <f t="shared" si="576"/>
        <v>1.3030763382429936E-2</v>
      </c>
      <c r="U1673">
        <f t="shared" si="577"/>
        <v>5.2310546528028079E-2</v>
      </c>
      <c r="V1673">
        <f t="shared" si="578"/>
        <v>6.5716295907074701E-2</v>
      </c>
      <c r="W1673">
        <f t="shared" si="579"/>
        <v>1.0312114906958943E-3</v>
      </c>
      <c r="X1673">
        <f t="shared" si="580"/>
        <v>5.2619909975236856E-2</v>
      </c>
      <c r="Y1673">
        <f t="shared" si="581"/>
        <v>4.6873249577086097E-4</v>
      </c>
      <c r="Z1673">
        <f t="shared" si="582"/>
        <v>2.7186484754709935E-3</v>
      </c>
      <c r="AA1673">
        <f t="shared" si="583"/>
        <v>0.16277785876433673</v>
      </c>
      <c r="AB1673">
        <f t="shared" si="584"/>
        <v>5.6487234304843911E-2</v>
      </c>
      <c r="AC1673">
        <f t="shared" si="585"/>
        <v>7.4090858169515217E-2</v>
      </c>
      <c r="AD1673">
        <f t="shared" si="586"/>
        <v>4.0048504438662362E-3</v>
      </c>
      <c r="AE1673">
        <f t="shared" si="587"/>
        <v>2.2689183950786833E-2</v>
      </c>
      <c r="AG1673">
        <f t="shared" si="588"/>
        <v>-0.30659897992674873</v>
      </c>
      <c r="AH1673">
        <f t="shared" si="589"/>
        <v>0.21058529220549418</v>
      </c>
      <c r="AI1673">
        <f t="shared" si="590"/>
        <v>-0.22327374725175519</v>
      </c>
      <c r="AK1673" s="26" t="e">
        <f t="shared" si="591"/>
        <v>#DIV/0!</v>
      </c>
      <c r="AL1673" s="26" t="e">
        <f t="shared" si="592"/>
        <v>#DIV/0!</v>
      </c>
      <c r="AM1673" s="26" t="e">
        <f t="shared" si="593"/>
        <v>#DIV/0!</v>
      </c>
      <c r="AN1673" s="26" t="e">
        <f t="shared" si="594"/>
        <v>#DIV/0!</v>
      </c>
      <c r="AO1673" s="26" t="e">
        <f t="shared" si="595"/>
        <v>#DIV/0!</v>
      </c>
      <c r="AP1673" s="26" t="e">
        <f t="shared" si="596"/>
        <v>#DIV/0!</v>
      </c>
      <c r="AS1673" s="2">
        <v>43807</v>
      </c>
      <c r="AT1673">
        <v>10.6</v>
      </c>
      <c r="AU1673">
        <v>47.6</v>
      </c>
      <c r="AV1673">
        <v>69.099999999999994</v>
      </c>
      <c r="AW1673">
        <v>4</v>
      </c>
      <c r="AX1673">
        <v>25.5</v>
      </c>
      <c r="AY1673">
        <v>0.5</v>
      </c>
      <c r="AZ1673">
        <v>3.1</v>
      </c>
      <c r="BA1673">
        <v>117.8331</v>
      </c>
      <c r="BB1673">
        <v>38.887500000000003</v>
      </c>
      <c r="BC1673">
        <v>32.468200000000003</v>
      </c>
      <c r="BD1673">
        <v>4.1280000000000001</v>
      </c>
      <c r="BE1673">
        <v>13.3835</v>
      </c>
      <c r="BH1673">
        <v>92.39</v>
      </c>
    </row>
    <row r="1674" spans="1:60" x14ac:dyDescent="0.25">
      <c r="A1674" s="2">
        <v>43827</v>
      </c>
      <c r="B1674">
        <v>15.1</v>
      </c>
      <c r="C1674">
        <v>0.9</v>
      </c>
      <c r="D1674">
        <v>35.799999999999997</v>
      </c>
      <c r="E1674">
        <v>0.4</v>
      </c>
      <c r="F1674">
        <v>36.67</v>
      </c>
      <c r="G1674">
        <v>0.5</v>
      </c>
      <c r="H1674">
        <v>2.9</v>
      </c>
      <c r="I1674">
        <v>206.51840000000001</v>
      </c>
      <c r="J1674">
        <v>85.581800000000001</v>
      </c>
      <c r="K1674">
        <v>111.6985</v>
      </c>
      <c r="L1674">
        <v>4.2720000000000002</v>
      </c>
      <c r="M1674">
        <v>18.1951</v>
      </c>
      <c r="P1674">
        <v>89.18</v>
      </c>
      <c r="S1674">
        <f t="shared" si="575"/>
        <v>518.53579999999999</v>
      </c>
      <c r="T1674">
        <f t="shared" si="576"/>
        <v>1.415572137228E-2</v>
      </c>
      <c r="U1674">
        <f t="shared" si="577"/>
        <v>8.4371849238754971E-4</v>
      </c>
      <c r="V1674">
        <f t="shared" si="578"/>
        <v>3.3561246697193639E-2</v>
      </c>
      <c r="W1674">
        <f t="shared" si="579"/>
        <v>3.7498599661668879E-4</v>
      </c>
      <c r="X1674">
        <f t="shared" si="580"/>
        <v>3.4376841239834942E-2</v>
      </c>
      <c r="Y1674">
        <f t="shared" si="581"/>
        <v>4.6873249577086097E-4</v>
      </c>
      <c r="Z1674">
        <f t="shared" si="582"/>
        <v>2.7186484754709935E-3</v>
      </c>
      <c r="AA1674">
        <f t="shared" si="583"/>
        <v>0.19360377010920995</v>
      </c>
      <c r="AB1674">
        <f t="shared" si="584"/>
        <v>8.0229941413125339E-2</v>
      </c>
      <c r="AC1674">
        <f t="shared" si="585"/>
        <v>0.10471343335772303</v>
      </c>
      <c r="AD1674">
        <f t="shared" si="586"/>
        <v>4.0048504438662362E-3</v>
      </c>
      <c r="AE1674">
        <f t="shared" si="587"/>
        <v>1.7057269267600785E-2</v>
      </c>
      <c r="AG1674">
        <f t="shared" si="588"/>
        <v>-0.27318070699397334</v>
      </c>
      <c r="AH1674">
        <f t="shared" si="589"/>
        <v>0.10355716403715545</v>
      </c>
      <c r="AI1674">
        <f t="shared" si="590"/>
        <v>-0.9166489229114515</v>
      </c>
      <c r="AK1674" s="26" t="e">
        <f t="shared" si="591"/>
        <v>#DIV/0!</v>
      </c>
      <c r="AL1674" s="26" t="e">
        <f t="shared" si="592"/>
        <v>#DIV/0!</v>
      </c>
      <c r="AM1674" s="26" t="e">
        <f t="shared" si="593"/>
        <v>#DIV/0!</v>
      </c>
      <c r="AN1674" s="26" t="e">
        <f t="shared" si="594"/>
        <v>#DIV/0!</v>
      </c>
      <c r="AO1674" s="26" t="e">
        <f t="shared" si="595"/>
        <v>#DIV/0!</v>
      </c>
      <c r="AP1674" s="26" t="e">
        <f t="shared" si="596"/>
        <v>#DIV/0!</v>
      </c>
      <c r="AS1674" s="2">
        <v>43806</v>
      </c>
      <c r="AT1674">
        <v>12</v>
      </c>
      <c r="AU1674">
        <v>0</v>
      </c>
      <c r="AV1674">
        <v>85.7</v>
      </c>
      <c r="AW1674">
        <v>3.9</v>
      </c>
      <c r="AX1674">
        <v>19.96</v>
      </c>
      <c r="AY1674">
        <v>0.5</v>
      </c>
      <c r="AZ1674">
        <v>3.2</v>
      </c>
      <c r="BA1674">
        <v>163.71420000000001</v>
      </c>
      <c r="BB1674">
        <v>54.4636</v>
      </c>
      <c r="BC1674">
        <v>55.386400000000002</v>
      </c>
      <c r="BD1674">
        <v>4.1478999999999999</v>
      </c>
      <c r="BE1674">
        <v>25.5688</v>
      </c>
      <c r="BH1674">
        <v>92.41</v>
      </c>
    </row>
    <row r="1675" spans="1:60" x14ac:dyDescent="0.25">
      <c r="A1675" s="2">
        <v>43826</v>
      </c>
      <c r="B1675">
        <v>15.1</v>
      </c>
      <c r="C1675">
        <v>67.400000000000006</v>
      </c>
      <c r="D1675">
        <v>22.8</v>
      </c>
      <c r="E1675">
        <v>0.5</v>
      </c>
      <c r="F1675">
        <v>22.01</v>
      </c>
      <c r="G1675">
        <v>0.5</v>
      </c>
      <c r="H1675">
        <v>3.4</v>
      </c>
      <c r="I1675">
        <v>218.17519999999999</v>
      </c>
      <c r="J1675">
        <v>84.749799999999993</v>
      </c>
      <c r="K1675">
        <v>104.26349999999999</v>
      </c>
      <c r="L1675">
        <v>4.2960000000000003</v>
      </c>
      <c r="M1675">
        <v>30.212</v>
      </c>
      <c r="N1675">
        <v>0.4365</v>
      </c>
      <c r="O1675">
        <v>-5.85</v>
      </c>
      <c r="P1675">
        <v>89.36</v>
      </c>
      <c r="S1675">
        <f t="shared" si="575"/>
        <v>573.40650000000005</v>
      </c>
      <c r="T1675">
        <f t="shared" si="576"/>
        <v>1.415572137228E-2</v>
      </c>
      <c r="U1675">
        <f t="shared" si="577"/>
        <v>6.3185140429912065E-2</v>
      </c>
      <c r="V1675">
        <f t="shared" si="578"/>
        <v>2.1374201807151261E-2</v>
      </c>
      <c r="W1675">
        <f t="shared" si="579"/>
        <v>4.6873249577086097E-4</v>
      </c>
      <c r="X1675">
        <f t="shared" si="580"/>
        <v>2.0633604463833301E-2</v>
      </c>
      <c r="Y1675">
        <f t="shared" si="581"/>
        <v>4.6873249577086097E-4</v>
      </c>
      <c r="Z1675">
        <f t="shared" si="582"/>
        <v>3.1873809712418544E-3</v>
      </c>
      <c r="AA1675">
        <f t="shared" si="583"/>
        <v>0.20453161202261347</v>
      </c>
      <c r="AB1675">
        <f t="shared" si="584"/>
        <v>7.9449970540162618E-2</v>
      </c>
      <c r="AC1675">
        <f t="shared" si="585"/>
        <v>9.774338114561032E-2</v>
      </c>
      <c r="AD1675">
        <f t="shared" si="586"/>
        <v>4.0273496036632378E-3</v>
      </c>
      <c r="AE1675">
        <f t="shared" si="587"/>
        <v>2.8322692324458502E-2</v>
      </c>
      <c r="AG1675">
        <f t="shared" si="588"/>
        <v>-0.24718786049660352</v>
      </c>
      <c r="AH1675">
        <f t="shared" si="589"/>
        <v>0.15179620636041868</v>
      </c>
      <c r="AI1675">
        <f t="shared" si="590"/>
        <v>-0.61000392714885965</v>
      </c>
      <c r="AK1675" s="26" t="e">
        <f t="shared" si="591"/>
        <v>#DIV/0!</v>
      </c>
      <c r="AL1675" s="26" t="e">
        <f t="shared" si="592"/>
        <v>#DIV/0!</v>
      </c>
      <c r="AM1675" s="26" t="e">
        <f t="shared" si="593"/>
        <v>#DIV/0!</v>
      </c>
      <c r="AN1675" s="26" t="e">
        <f t="shared" si="594"/>
        <v>#DIV/0!</v>
      </c>
      <c r="AO1675" s="26" t="e">
        <f t="shared" si="595"/>
        <v>#DIV/0!</v>
      </c>
      <c r="AP1675" s="26" t="e">
        <f t="shared" si="596"/>
        <v>#DIV/0!</v>
      </c>
      <c r="AS1675" s="2">
        <v>43805</v>
      </c>
      <c r="AT1675">
        <v>13.3</v>
      </c>
      <c r="AU1675">
        <v>14.5</v>
      </c>
      <c r="AV1675">
        <v>64.2</v>
      </c>
      <c r="AW1675">
        <v>3.4</v>
      </c>
      <c r="AX1675">
        <v>32.65</v>
      </c>
      <c r="AY1675">
        <v>0.5</v>
      </c>
      <c r="AZ1675">
        <v>3.3</v>
      </c>
      <c r="BA1675">
        <v>234.874</v>
      </c>
      <c r="BB1675">
        <v>109.6082</v>
      </c>
      <c r="BC1675">
        <v>89.6143</v>
      </c>
      <c r="BD1675">
        <v>4.2191000000000001</v>
      </c>
      <c r="BE1675">
        <v>23.017399999999999</v>
      </c>
      <c r="BH1675">
        <v>92.54</v>
      </c>
    </row>
    <row r="1676" spans="1:60" x14ac:dyDescent="0.25">
      <c r="A1676" s="2">
        <v>43825</v>
      </c>
      <c r="B1676">
        <v>16.3</v>
      </c>
      <c r="C1676">
        <v>142</v>
      </c>
      <c r="D1676">
        <v>15.9</v>
      </c>
      <c r="E1676">
        <v>1.2</v>
      </c>
      <c r="F1676">
        <v>28.47</v>
      </c>
      <c r="G1676">
        <v>0.5</v>
      </c>
      <c r="H1676">
        <v>3.5</v>
      </c>
      <c r="I1676">
        <v>169.98949999999999</v>
      </c>
      <c r="J1676">
        <v>51.430100000000003</v>
      </c>
      <c r="K1676">
        <v>72.127899999999997</v>
      </c>
      <c r="L1676">
        <v>4.2960000000000003</v>
      </c>
      <c r="M1676">
        <v>21.827100000000002</v>
      </c>
      <c r="N1676">
        <v>1.6304000000000001</v>
      </c>
      <c r="O1676">
        <v>-4.5514999999999999</v>
      </c>
      <c r="P1676">
        <v>89.51</v>
      </c>
      <c r="S1676">
        <f t="shared" si="575"/>
        <v>527.54060000000004</v>
      </c>
      <c r="T1676">
        <f t="shared" si="576"/>
        <v>1.5280679362130067E-2</v>
      </c>
      <c r="U1676">
        <f t="shared" si="577"/>
        <v>0.13312002879892451</v>
      </c>
      <c r="V1676">
        <f t="shared" si="578"/>
        <v>1.4905693365513379E-2</v>
      </c>
      <c r="W1676">
        <f t="shared" si="579"/>
        <v>1.1249579898500663E-3</v>
      </c>
      <c r="X1676">
        <f t="shared" si="580"/>
        <v>2.6689628309192821E-2</v>
      </c>
      <c r="Y1676">
        <f t="shared" si="581"/>
        <v>4.6873249577086097E-4</v>
      </c>
      <c r="Z1676">
        <f t="shared" si="582"/>
        <v>3.2811274703960268E-3</v>
      </c>
      <c r="AA1676">
        <f t="shared" si="583"/>
        <v>0.15935920517968152</v>
      </c>
      <c r="AB1676">
        <f t="shared" si="584"/>
        <v>4.8213918261489914E-2</v>
      </c>
      <c r="AC1676">
        <f t="shared" si="585"/>
        <v>6.7617381163422155E-2</v>
      </c>
      <c r="AD1676">
        <f t="shared" si="586"/>
        <v>4.0273496036632378E-3</v>
      </c>
      <c r="AE1676">
        <f t="shared" si="587"/>
        <v>2.0462142116880321E-2</v>
      </c>
      <c r="AG1676">
        <f t="shared" si="588"/>
        <v>-0.22563975458574231</v>
      </c>
      <c r="AH1676">
        <f t="shared" si="589"/>
        <v>0.21533298990865807</v>
      </c>
      <c r="AI1676">
        <f t="shared" si="590"/>
        <v>-0.20252737508381047</v>
      </c>
      <c r="AK1676" s="26" t="e">
        <f t="shared" si="591"/>
        <v>#DIV/0!</v>
      </c>
      <c r="AL1676" s="26" t="e">
        <f t="shared" si="592"/>
        <v>#DIV/0!</v>
      </c>
      <c r="AM1676" s="26" t="e">
        <f t="shared" si="593"/>
        <v>#DIV/0!</v>
      </c>
      <c r="AN1676" s="26" t="e">
        <f t="shared" si="594"/>
        <v>#DIV/0!</v>
      </c>
      <c r="AO1676" s="26" t="e">
        <f t="shared" si="595"/>
        <v>#DIV/0!</v>
      </c>
      <c r="AP1676" s="26" t="e">
        <f t="shared" si="596"/>
        <v>#DIV/0!</v>
      </c>
      <c r="AS1676" s="2">
        <v>43804</v>
      </c>
      <c r="AT1676">
        <v>14.3</v>
      </c>
      <c r="AU1676">
        <v>17.600000000000001</v>
      </c>
      <c r="AV1676">
        <v>76.7</v>
      </c>
      <c r="AW1676">
        <v>1.1000000000000001</v>
      </c>
      <c r="AX1676">
        <v>48.67</v>
      </c>
      <c r="AY1676">
        <v>0.5</v>
      </c>
      <c r="AZ1676">
        <v>3.9</v>
      </c>
      <c r="BA1676">
        <v>362.50510000000003</v>
      </c>
      <c r="BB1676">
        <v>218.624</v>
      </c>
      <c r="BC1676">
        <v>157.92789999999999</v>
      </c>
      <c r="BD1676">
        <v>5.1280999999999999</v>
      </c>
      <c r="BE1676">
        <v>26.6402</v>
      </c>
      <c r="BH1676">
        <v>92.81</v>
      </c>
    </row>
    <row r="1677" spans="1:60" x14ac:dyDescent="0.25">
      <c r="A1677" s="2">
        <v>43824</v>
      </c>
      <c r="B1677">
        <v>15.2</v>
      </c>
      <c r="C1677">
        <v>0.6</v>
      </c>
      <c r="D1677">
        <v>21.8</v>
      </c>
      <c r="E1677">
        <v>1</v>
      </c>
      <c r="F1677">
        <v>14.43</v>
      </c>
      <c r="G1677">
        <v>0.5</v>
      </c>
      <c r="H1677">
        <v>3.6</v>
      </c>
      <c r="I1677">
        <v>148.48820000000001</v>
      </c>
      <c r="J1677">
        <v>50.028399999999998</v>
      </c>
      <c r="K1677">
        <v>59.224400000000003</v>
      </c>
      <c r="L1677">
        <v>4.2960000000000003</v>
      </c>
      <c r="M1677">
        <v>22.0383</v>
      </c>
      <c r="N1677">
        <v>2.1107999999999998</v>
      </c>
      <c r="O1677">
        <v>-4.0816999999999997</v>
      </c>
      <c r="P1677">
        <v>89.55</v>
      </c>
      <c r="S1677">
        <f t="shared" si="575"/>
        <v>341.20529999999997</v>
      </c>
      <c r="T1677">
        <f t="shared" si="576"/>
        <v>1.4249467871434173E-2</v>
      </c>
      <c r="U1677">
        <f t="shared" si="577"/>
        <v>5.6247899492503314E-4</v>
      </c>
      <c r="V1677">
        <f t="shared" si="578"/>
        <v>2.0436736815609539E-2</v>
      </c>
      <c r="W1677">
        <f t="shared" si="579"/>
        <v>9.3746499154172193E-4</v>
      </c>
      <c r="X1677">
        <f t="shared" si="580"/>
        <v>1.3527619827947047E-2</v>
      </c>
      <c r="Y1677">
        <f t="shared" si="581"/>
        <v>4.6873249577086097E-4</v>
      </c>
      <c r="Z1677">
        <f t="shared" si="582"/>
        <v>3.3748739695501988E-3</v>
      </c>
      <c r="AA1677">
        <f t="shared" si="583"/>
        <v>0.13920248915704553</v>
      </c>
      <c r="AB1677">
        <f t="shared" si="584"/>
        <v>4.6899873582845877E-2</v>
      </c>
      <c r="AC1677">
        <f t="shared" si="585"/>
        <v>5.552080164506356E-2</v>
      </c>
      <c r="AD1677">
        <f t="shared" si="586"/>
        <v>4.0273496036632378E-3</v>
      </c>
      <c r="AE1677">
        <f t="shared" si="587"/>
        <v>2.0660134723093929E-2</v>
      </c>
      <c r="AG1677">
        <f t="shared" si="588"/>
        <v>-0.22038265521459988</v>
      </c>
      <c r="AH1677">
        <f t="shared" si="589"/>
        <v>7.4217509689872507E-2</v>
      </c>
      <c r="AI1677">
        <f t="shared" si="590"/>
        <v>-1.1113291609805815</v>
      </c>
      <c r="AK1677" s="26" t="e">
        <f t="shared" si="591"/>
        <v>#DIV/0!</v>
      </c>
      <c r="AL1677" s="26" t="e">
        <f t="shared" si="592"/>
        <v>#DIV/0!</v>
      </c>
      <c r="AM1677" s="26" t="e">
        <f t="shared" si="593"/>
        <v>#DIV/0!</v>
      </c>
      <c r="AN1677" s="26" t="e">
        <f t="shared" si="594"/>
        <v>#DIV/0!</v>
      </c>
      <c r="AO1677" s="26" t="e">
        <f t="shared" si="595"/>
        <v>#DIV/0!</v>
      </c>
      <c r="AP1677" s="26" t="e">
        <f t="shared" si="596"/>
        <v>#DIV/0!</v>
      </c>
      <c r="AS1677" s="2">
        <v>43803</v>
      </c>
      <c r="AT1677">
        <v>15</v>
      </c>
      <c r="AU1677">
        <v>31.8</v>
      </c>
      <c r="AV1677">
        <v>60.4</v>
      </c>
      <c r="AW1677">
        <v>0.9</v>
      </c>
      <c r="AX1677">
        <v>60.29</v>
      </c>
      <c r="AY1677">
        <v>0.5</v>
      </c>
      <c r="AZ1677">
        <v>3.9</v>
      </c>
      <c r="BA1677">
        <v>361.23880000000003</v>
      </c>
      <c r="BB1677">
        <v>250.55250000000001</v>
      </c>
      <c r="BC1677">
        <v>149.85249999999999</v>
      </c>
      <c r="BD1677">
        <v>4.3650000000000002</v>
      </c>
      <c r="BE1677">
        <v>32.9741</v>
      </c>
      <c r="BH1677">
        <v>93.21</v>
      </c>
    </row>
    <row r="1678" spans="1:60" x14ac:dyDescent="0.25">
      <c r="A1678" s="2">
        <v>43823</v>
      </c>
      <c r="B1678">
        <v>14.1</v>
      </c>
      <c r="C1678">
        <v>10.6</v>
      </c>
      <c r="D1678">
        <v>36.299999999999997</v>
      </c>
      <c r="E1678">
        <v>1.9</v>
      </c>
      <c r="F1678">
        <v>19.7</v>
      </c>
      <c r="G1678">
        <v>0.5</v>
      </c>
      <c r="H1678">
        <v>3.6</v>
      </c>
      <c r="I1678">
        <v>146.08840000000001</v>
      </c>
      <c r="J1678">
        <v>40.019399999999997</v>
      </c>
      <c r="K1678">
        <v>64.827500000000001</v>
      </c>
      <c r="L1678">
        <v>4.2930000000000001</v>
      </c>
      <c r="M1678">
        <v>26.747499999999999</v>
      </c>
      <c r="N1678">
        <v>2.5055999999999998</v>
      </c>
      <c r="O1678">
        <v>-3.7018</v>
      </c>
      <c r="P1678">
        <v>89.54</v>
      </c>
      <c r="S1678">
        <f t="shared" si="575"/>
        <v>368.67579999999998</v>
      </c>
      <c r="T1678">
        <f t="shared" si="576"/>
        <v>1.3218256380738279E-2</v>
      </c>
      <c r="U1678">
        <f t="shared" si="577"/>
        <v>9.9371289103422512E-3</v>
      </c>
      <c r="V1678">
        <f t="shared" si="578"/>
        <v>3.40299791929645E-2</v>
      </c>
      <c r="W1678">
        <f t="shared" si="579"/>
        <v>1.7811834839292716E-3</v>
      </c>
      <c r="X1678">
        <f t="shared" si="580"/>
        <v>1.8468060333371922E-2</v>
      </c>
      <c r="Y1678">
        <f t="shared" si="581"/>
        <v>4.6873249577086097E-4</v>
      </c>
      <c r="Z1678">
        <f t="shared" si="582"/>
        <v>3.3748739695501988E-3</v>
      </c>
      <c r="AA1678">
        <f t="shared" si="583"/>
        <v>0.1369527606703437</v>
      </c>
      <c r="AB1678">
        <f t="shared" si="584"/>
        <v>3.7516786482504783E-2</v>
      </c>
      <c r="AC1678">
        <f t="shared" si="585"/>
        <v>6.0773511739170977E-2</v>
      </c>
      <c r="AD1678">
        <f t="shared" si="586"/>
        <v>4.0245372086886123E-3</v>
      </c>
      <c r="AE1678">
        <f t="shared" si="587"/>
        <v>2.5074844861262206E-2</v>
      </c>
      <c r="AG1678">
        <f t="shared" si="588"/>
        <v>-0.2225162525667512</v>
      </c>
      <c r="AH1678">
        <f t="shared" si="589"/>
        <v>0.10635305962792949</v>
      </c>
      <c r="AI1678">
        <f t="shared" si="590"/>
        <v>-0.91246736902292247</v>
      </c>
      <c r="AK1678" s="26" t="e">
        <f t="shared" si="591"/>
        <v>#DIV/0!</v>
      </c>
      <c r="AL1678" s="26" t="e">
        <f t="shared" si="592"/>
        <v>#DIV/0!</v>
      </c>
      <c r="AM1678" s="26" t="e">
        <f t="shared" si="593"/>
        <v>#DIV/0!</v>
      </c>
      <c r="AN1678" s="26" t="e">
        <f t="shared" si="594"/>
        <v>#DIV/0!</v>
      </c>
      <c r="AO1678" s="26" t="e">
        <f t="shared" si="595"/>
        <v>#DIV/0!</v>
      </c>
      <c r="AP1678" s="26" t="e">
        <f t="shared" si="596"/>
        <v>#DIV/0!</v>
      </c>
      <c r="AS1678" s="2">
        <v>43802</v>
      </c>
      <c r="AT1678">
        <v>15.7</v>
      </c>
      <c r="AU1678">
        <v>0.2</v>
      </c>
      <c r="AV1678">
        <v>46.3</v>
      </c>
      <c r="AW1678">
        <v>1.1000000000000001</v>
      </c>
      <c r="AX1678">
        <v>35.1</v>
      </c>
      <c r="AY1678">
        <v>0.5</v>
      </c>
      <c r="AZ1678">
        <v>4</v>
      </c>
      <c r="BA1678">
        <v>371.13099999999997</v>
      </c>
      <c r="BB1678">
        <v>288.05509999999998</v>
      </c>
      <c r="BC1678">
        <v>171.6404</v>
      </c>
      <c r="BD1678">
        <v>5.4988999999999999</v>
      </c>
      <c r="BE1678">
        <v>27.347899999999999</v>
      </c>
      <c r="BH1678">
        <v>93.58</v>
      </c>
    </row>
    <row r="1679" spans="1:60" x14ac:dyDescent="0.25">
      <c r="A1679" s="2">
        <v>43822</v>
      </c>
      <c r="B1679">
        <v>12.9</v>
      </c>
      <c r="C1679">
        <v>0</v>
      </c>
      <c r="D1679">
        <v>70.5</v>
      </c>
      <c r="E1679">
        <v>3.1</v>
      </c>
      <c r="F1679">
        <v>17.2</v>
      </c>
      <c r="G1679">
        <v>0.5</v>
      </c>
      <c r="H1679">
        <v>3.6</v>
      </c>
      <c r="I1679">
        <v>164.65289999999999</v>
      </c>
      <c r="J1679">
        <v>44.506399999999999</v>
      </c>
      <c r="K1679">
        <v>65.920599999999993</v>
      </c>
      <c r="L1679">
        <v>4.1896000000000004</v>
      </c>
      <c r="M1679">
        <v>27.2806</v>
      </c>
      <c r="N1679">
        <v>1.2809999999999999</v>
      </c>
      <c r="O1679">
        <v>-3.9701</v>
      </c>
      <c r="P1679">
        <v>89.54</v>
      </c>
      <c r="S1679">
        <f t="shared" si="575"/>
        <v>414.35009999999994</v>
      </c>
      <c r="T1679">
        <f t="shared" si="576"/>
        <v>1.2093298390888213E-2</v>
      </c>
      <c r="U1679">
        <f t="shared" si="577"/>
        <v>0</v>
      </c>
      <c r="V1679">
        <f t="shared" si="578"/>
        <v>6.6091281903691401E-2</v>
      </c>
      <c r="W1679">
        <f t="shared" si="579"/>
        <v>2.9061414737793379E-3</v>
      </c>
      <c r="X1679">
        <f t="shared" si="580"/>
        <v>1.6124397854517615E-2</v>
      </c>
      <c r="Y1679">
        <f t="shared" si="581"/>
        <v>4.6873249577086097E-4</v>
      </c>
      <c r="Z1679">
        <f t="shared" si="582"/>
        <v>3.3748739695501988E-3</v>
      </c>
      <c r="AA1679">
        <f t="shared" si="583"/>
        <v>0.15435632950581998</v>
      </c>
      <c r="AB1679">
        <f t="shared" si="584"/>
        <v>4.1723191899552495E-2</v>
      </c>
      <c r="AC1679">
        <f t="shared" si="585"/>
        <v>6.1798254721425229E-2</v>
      </c>
      <c r="AD1679">
        <f t="shared" si="586"/>
        <v>3.9276033285631983E-3</v>
      </c>
      <c r="AE1679">
        <f t="shared" si="587"/>
        <v>2.5574607448253097E-2</v>
      </c>
      <c r="AG1679">
        <f t="shared" si="588"/>
        <v>-0.22318300493378854</v>
      </c>
      <c r="AH1679">
        <f t="shared" si="589"/>
        <v>0.12663333353645073</v>
      </c>
      <c r="AI1679">
        <f t="shared" si="590"/>
        <v>-0.78739748090744344</v>
      </c>
      <c r="AK1679" s="26" t="e">
        <f t="shared" si="591"/>
        <v>#DIV/0!</v>
      </c>
      <c r="AL1679" s="26" t="e">
        <f t="shared" si="592"/>
        <v>#DIV/0!</v>
      </c>
      <c r="AM1679" s="26" t="e">
        <f t="shared" si="593"/>
        <v>#DIV/0!</v>
      </c>
      <c r="AN1679" s="26" t="e">
        <f t="shared" si="594"/>
        <v>#DIV/0!</v>
      </c>
      <c r="AO1679" s="26" t="e">
        <f t="shared" si="595"/>
        <v>#DIV/0!</v>
      </c>
      <c r="AP1679" s="26" t="e">
        <f t="shared" si="596"/>
        <v>#DIV/0!</v>
      </c>
      <c r="AS1679" s="2">
        <v>43801</v>
      </c>
      <c r="AT1679">
        <v>14.5</v>
      </c>
      <c r="AU1679">
        <v>14.2</v>
      </c>
      <c r="AV1679">
        <v>62.2</v>
      </c>
      <c r="AW1679">
        <v>1.5</v>
      </c>
      <c r="AX1679">
        <v>31.7</v>
      </c>
      <c r="AY1679">
        <v>0.5</v>
      </c>
      <c r="AZ1679">
        <v>3.6</v>
      </c>
      <c r="BA1679">
        <v>369.65820000000002</v>
      </c>
      <c r="BB1679">
        <v>228.50030000000001</v>
      </c>
      <c r="BC1679">
        <v>159.0316</v>
      </c>
      <c r="BD1679">
        <v>3.6190000000000002</v>
      </c>
      <c r="BE1679">
        <v>29.285900000000002</v>
      </c>
      <c r="BH1679">
        <v>93.89</v>
      </c>
    </row>
    <row r="1680" spans="1:60" x14ac:dyDescent="0.25">
      <c r="A1680" s="2">
        <v>43821</v>
      </c>
      <c r="B1680">
        <v>12.9</v>
      </c>
      <c r="C1680">
        <v>0</v>
      </c>
      <c r="D1680">
        <v>42</v>
      </c>
      <c r="E1680">
        <v>1.9</v>
      </c>
      <c r="F1680">
        <v>16.25</v>
      </c>
      <c r="G1680">
        <v>0.5</v>
      </c>
      <c r="H1680">
        <v>3.6</v>
      </c>
      <c r="I1680">
        <v>184.4967</v>
      </c>
      <c r="J1680">
        <v>45.881</v>
      </c>
      <c r="K1680">
        <v>58.103299999999997</v>
      </c>
      <c r="L1680">
        <v>4.1757</v>
      </c>
      <c r="M1680">
        <v>25.817499999999999</v>
      </c>
      <c r="P1680">
        <v>89.54</v>
      </c>
      <c r="S1680">
        <f t="shared" si="575"/>
        <v>395.62419999999997</v>
      </c>
      <c r="T1680">
        <f t="shared" si="576"/>
        <v>1.2093298390888213E-2</v>
      </c>
      <c r="U1680">
        <f t="shared" si="577"/>
        <v>0</v>
      </c>
      <c r="V1680">
        <f t="shared" si="578"/>
        <v>3.9373529644752318E-2</v>
      </c>
      <c r="W1680">
        <f t="shared" si="579"/>
        <v>1.7811834839292716E-3</v>
      </c>
      <c r="X1680">
        <f t="shared" si="580"/>
        <v>1.5233806112552982E-2</v>
      </c>
      <c r="Y1680">
        <f t="shared" si="581"/>
        <v>4.6873249577086097E-4</v>
      </c>
      <c r="Z1680">
        <f t="shared" si="582"/>
        <v>3.3748739695501988E-3</v>
      </c>
      <c r="AA1680">
        <f t="shared" si="583"/>
        <v>0.17295919730497561</v>
      </c>
      <c r="AB1680">
        <f t="shared" si="584"/>
        <v>4.3011831276925747E-2</v>
      </c>
      <c r="AC1680">
        <f t="shared" si="585"/>
        <v>5.4469809643046131E-2</v>
      </c>
      <c r="AD1680">
        <f t="shared" si="586"/>
        <v>3.9145725651807683E-3</v>
      </c>
      <c r="AE1680">
        <f t="shared" si="587"/>
        <v>2.4203002419128403E-2</v>
      </c>
      <c r="AG1680">
        <f t="shared" si="588"/>
        <v>-0.22385578896323394</v>
      </c>
      <c r="AH1680">
        <f t="shared" si="589"/>
        <v>9.6528426516572244E-2</v>
      </c>
      <c r="AI1680">
        <f t="shared" si="590"/>
        <v>-0.98513850177775986</v>
      </c>
      <c r="AK1680" s="26" t="e">
        <f t="shared" si="591"/>
        <v>#DIV/0!</v>
      </c>
      <c r="AL1680" s="26" t="e">
        <f t="shared" si="592"/>
        <v>#DIV/0!</v>
      </c>
      <c r="AM1680" s="26" t="e">
        <f t="shared" si="593"/>
        <v>#DIV/0!</v>
      </c>
      <c r="AN1680" s="26" t="e">
        <f t="shared" si="594"/>
        <v>#DIV/0!</v>
      </c>
      <c r="AO1680" s="26" t="e">
        <f t="shared" si="595"/>
        <v>#DIV/0!</v>
      </c>
      <c r="AP1680" s="26" t="e">
        <f t="shared" si="596"/>
        <v>#DIV/0!</v>
      </c>
      <c r="AS1680" s="2">
        <v>43800</v>
      </c>
      <c r="AT1680">
        <v>15.2</v>
      </c>
      <c r="AU1680">
        <v>242.6</v>
      </c>
      <c r="AV1680">
        <v>13.7</v>
      </c>
      <c r="AW1680">
        <v>0.1</v>
      </c>
      <c r="AX1680">
        <v>24.03</v>
      </c>
      <c r="AY1680">
        <v>0.5</v>
      </c>
      <c r="AZ1680">
        <v>3.2</v>
      </c>
      <c r="BA1680">
        <v>355.20479999999998</v>
      </c>
      <c r="BB1680">
        <v>192.4521</v>
      </c>
      <c r="BC1680">
        <v>101.7689</v>
      </c>
      <c r="BD1680">
        <v>3.0505</v>
      </c>
      <c r="BE1680">
        <v>17.718299999999999</v>
      </c>
      <c r="BH1680">
        <v>94.23</v>
      </c>
    </row>
    <row r="1681" spans="1:60" x14ac:dyDescent="0.25">
      <c r="A1681" s="2">
        <v>43820</v>
      </c>
      <c r="B1681">
        <v>11.4</v>
      </c>
      <c r="C1681">
        <v>230.8</v>
      </c>
      <c r="D1681">
        <v>74.2</v>
      </c>
      <c r="E1681">
        <v>2</v>
      </c>
      <c r="F1681">
        <v>31.81</v>
      </c>
      <c r="G1681">
        <v>0.5</v>
      </c>
      <c r="H1681">
        <v>3.6</v>
      </c>
      <c r="I1681">
        <v>212.41200000000001</v>
      </c>
      <c r="J1681">
        <v>41.606999999999999</v>
      </c>
      <c r="K1681">
        <v>61.038499999999999</v>
      </c>
      <c r="L1681">
        <v>4.1760000000000002</v>
      </c>
      <c r="M1681">
        <v>29.2437</v>
      </c>
      <c r="P1681">
        <v>89.51</v>
      </c>
      <c r="S1681">
        <f t="shared" si="575"/>
        <v>702.7872000000001</v>
      </c>
      <c r="T1681">
        <f t="shared" si="576"/>
        <v>1.0687100903575631E-2</v>
      </c>
      <c r="U1681">
        <f t="shared" si="577"/>
        <v>0.21636692004782943</v>
      </c>
      <c r="V1681">
        <f t="shared" si="578"/>
        <v>6.9559902372395774E-2</v>
      </c>
      <c r="W1681">
        <f t="shared" si="579"/>
        <v>1.8749299830834439E-3</v>
      </c>
      <c r="X1681">
        <f t="shared" si="580"/>
        <v>2.9820761380942171E-2</v>
      </c>
      <c r="Y1681">
        <f t="shared" si="581"/>
        <v>4.6873249577086097E-4</v>
      </c>
      <c r="Z1681">
        <f t="shared" si="582"/>
        <v>3.3748739695501988E-3</v>
      </c>
      <c r="AA1681">
        <f t="shared" si="583"/>
        <v>0.19912881378336025</v>
      </c>
      <c r="AB1681">
        <f t="shared" si="584"/>
        <v>3.9005105903076424E-2</v>
      </c>
      <c r="AC1681">
        <f t="shared" si="585"/>
        <v>5.7221456886219393E-2</v>
      </c>
      <c r="AD1681">
        <f t="shared" si="586"/>
        <v>3.9148538046782306E-3</v>
      </c>
      <c r="AE1681">
        <f t="shared" si="587"/>
        <v>2.7414944973148652E-2</v>
      </c>
      <c r="AG1681">
        <f t="shared" si="588"/>
        <v>-0.228930989080945</v>
      </c>
      <c r="AH1681">
        <f t="shared" si="589"/>
        <v>0.35956816612629616</v>
      </c>
      <c r="AI1681">
        <f t="shared" si="590"/>
        <v>0.69937553998908375</v>
      </c>
      <c r="AK1681" s="26" t="e">
        <f t="shared" si="591"/>
        <v>#DIV/0!</v>
      </c>
      <c r="AL1681" s="26" t="e">
        <f t="shared" si="592"/>
        <v>#DIV/0!</v>
      </c>
      <c r="AM1681" s="26" t="e">
        <f t="shared" si="593"/>
        <v>#DIV/0!</v>
      </c>
      <c r="AN1681" s="26" t="e">
        <f t="shared" si="594"/>
        <v>#DIV/0!</v>
      </c>
      <c r="AO1681" s="26" t="e">
        <f t="shared" si="595"/>
        <v>#DIV/0!</v>
      </c>
      <c r="AP1681" s="26" t="e">
        <f t="shared" si="596"/>
        <v>#DIV/0!</v>
      </c>
      <c r="AS1681" s="2">
        <v>43799</v>
      </c>
      <c r="AT1681">
        <v>16.399999999999999</v>
      </c>
      <c r="AU1681">
        <v>0.7</v>
      </c>
      <c r="AV1681">
        <v>32.6</v>
      </c>
      <c r="AW1681">
        <v>1.1000000000000001</v>
      </c>
      <c r="AX1681">
        <v>47.92</v>
      </c>
      <c r="AY1681">
        <v>0.5</v>
      </c>
      <c r="AZ1681">
        <v>2.8</v>
      </c>
      <c r="BA1681">
        <v>361.72269999999997</v>
      </c>
      <c r="BB1681">
        <v>172.1678</v>
      </c>
      <c r="BC1681">
        <v>95.868099999999998</v>
      </c>
      <c r="BD1681">
        <v>3.0308000000000002</v>
      </c>
      <c r="BE1681">
        <v>17.010200000000001</v>
      </c>
      <c r="BH1681">
        <v>94.2</v>
      </c>
    </row>
    <row r="1682" spans="1:60" x14ac:dyDescent="0.25">
      <c r="A1682" s="2">
        <v>43819</v>
      </c>
      <c r="B1682">
        <v>10.199999999999999</v>
      </c>
      <c r="C1682">
        <v>0</v>
      </c>
      <c r="D1682">
        <v>82.2</v>
      </c>
      <c r="E1682">
        <v>2.9</v>
      </c>
      <c r="F1682">
        <v>29.29</v>
      </c>
      <c r="G1682">
        <v>0.5</v>
      </c>
      <c r="H1682">
        <v>4</v>
      </c>
      <c r="I1682">
        <v>208.89330000000001</v>
      </c>
      <c r="J1682">
        <v>57.556600000000003</v>
      </c>
      <c r="K1682">
        <v>77.13</v>
      </c>
      <c r="L1682">
        <v>4.1760000000000002</v>
      </c>
      <c r="M1682">
        <v>21.2392</v>
      </c>
      <c r="N1682">
        <v>1.2977000000000001</v>
      </c>
      <c r="O1682">
        <v>-1.7636000000000001</v>
      </c>
      <c r="P1682">
        <v>89.48</v>
      </c>
      <c r="S1682">
        <f t="shared" si="575"/>
        <v>498.08509999999995</v>
      </c>
      <c r="T1682">
        <f t="shared" si="576"/>
        <v>9.5621429137255631E-3</v>
      </c>
      <c r="U1682">
        <f t="shared" si="577"/>
        <v>0</v>
      </c>
      <c r="V1682">
        <f t="shared" si="578"/>
        <v>7.7059622304729541E-2</v>
      </c>
      <c r="W1682">
        <f t="shared" si="579"/>
        <v>2.7186484754709935E-3</v>
      </c>
      <c r="X1682">
        <f t="shared" si="580"/>
        <v>2.7458349602257032E-2</v>
      </c>
      <c r="Y1682">
        <f t="shared" si="581"/>
        <v>4.6873249577086097E-4</v>
      </c>
      <c r="Z1682">
        <f t="shared" si="582"/>
        <v>3.7498599661668877E-3</v>
      </c>
      <c r="AA1682">
        <f t="shared" si="583"/>
        <v>0.19583015571762238</v>
      </c>
      <c r="AB1682">
        <f t="shared" si="584"/>
        <v>5.3957297532170274E-2</v>
      </c>
      <c r="AC1682">
        <f t="shared" si="585"/>
        <v>7.2306674797613005E-2</v>
      </c>
      <c r="AD1682">
        <f t="shared" si="586"/>
        <v>3.9148538046782306E-3</v>
      </c>
      <c r="AE1682">
        <f t="shared" si="587"/>
        <v>1.991100644835294E-2</v>
      </c>
      <c r="AG1682">
        <f t="shared" si="588"/>
        <v>-0.23401496938339234</v>
      </c>
      <c r="AH1682">
        <f t="shared" si="589"/>
        <v>0.14092836220647381</v>
      </c>
      <c r="AI1682">
        <f t="shared" si="590"/>
        <v>-0.70030511529890171</v>
      </c>
      <c r="AK1682" s="26" t="e">
        <f t="shared" si="591"/>
        <v>#DIV/0!</v>
      </c>
      <c r="AL1682" s="26" t="e">
        <f t="shared" si="592"/>
        <v>#DIV/0!</v>
      </c>
      <c r="AM1682" s="26" t="e">
        <f t="shared" si="593"/>
        <v>#DIV/0!</v>
      </c>
      <c r="AN1682" s="26" t="e">
        <f t="shared" si="594"/>
        <v>#DIV/0!</v>
      </c>
      <c r="AO1682" s="26" t="e">
        <f t="shared" si="595"/>
        <v>#DIV/0!</v>
      </c>
      <c r="AP1682" s="26" t="e">
        <f t="shared" si="596"/>
        <v>#DIV/0!</v>
      </c>
      <c r="AS1682" s="2">
        <v>43798</v>
      </c>
      <c r="AT1682">
        <v>14.4</v>
      </c>
      <c r="AU1682">
        <v>1</v>
      </c>
      <c r="AV1682">
        <v>80.599999999999994</v>
      </c>
      <c r="AW1682">
        <v>3.9</v>
      </c>
      <c r="AX1682">
        <v>31.85</v>
      </c>
      <c r="AY1682">
        <v>0.3</v>
      </c>
      <c r="AZ1682">
        <v>3.1</v>
      </c>
      <c r="BA1682">
        <v>286.72989999999999</v>
      </c>
      <c r="BB1682">
        <v>148.35570000000001</v>
      </c>
      <c r="BC1682">
        <v>86.801500000000004</v>
      </c>
      <c r="BD1682">
        <v>3.34</v>
      </c>
      <c r="BE1682">
        <v>18.325900000000001</v>
      </c>
      <c r="BH1682">
        <v>94.47</v>
      </c>
    </row>
    <row r="1683" spans="1:60" x14ac:dyDescent="0.25">
      <c r="A1683" s="2">
        <v>43818</v>
      </c>
      <c r="B1683">
        <v>11.7</v>
      </c>
      <c r="C1683">
        <v>1.3</v>
      </c>
      <c r="D1683">
        <v>82.6</v>
      </c>
      <c r="E1683">
        <v>3.1</v>
      </c>
      <c r="F1683">
        <v>43.95</v>
      </c>
      <c r="G1683">
        <v>0.1</v>
      </c>
      <c r="H1683">
        <v>4</v>
      </c>
      <c r="I1683">
        <v>246.4264</v>
      </c>
      <c r="J1683">
        <v>107.8687</v>
      </c>
      <c r="K1683">
        <v>91.007099999999994</v>
      </c>
      <c r="L1683">
        <v>4.1879999999999997</v>
      </c>
      <c r="M1683">
        <v>22.757200000000001</v>
      </c>
      <c r="N1683">
        <v>0.51400000000000001</v>
      </c>
      <c r="O1683">
        <v>-1.4238999999999999</v>
      </c>
      <c r="P1683">
        <v>89.54</v>
      </c>
      <c r="S1683">
        <f t="shared" si="575"/>
        <v>618.99739999999997</v>
      </c>
      <c r="T1683">
        <f t="shared" si="576"/>
        <v>1.0968340401038145E-2</v>
      </c>
      <c r="U1683">
        <f t="shared" si="577"/>
        <v>1.2187044890042385E-3</v>
      </c>
      <c r="V1683">
        <f t="shared" si="578"/>
        <v>7.7434608301346228E-2</v>
      </c>
      <c r="W1683">
        <f t="shared" si="579"/>
        <v>2.9061414737793379E-3</v>
      </c>
      <c r="X1683">
        <f t="shared" si="580"/>
        <v>4.120158637825868E-2</v>
      </c>
      <c r="Y1683">
        <f t="shared" si="581"/>
        <v>9.3746499154172199E-5</v>
      </c>
      <c r="Z1683">
        <f t="shared" si="582"/>
        <v>3.7498599661668877E-3</v>
      </c>
      <c r="AA1683">
        <f t="shared" si="583"/>
        <v>0.23101612299165697</v>
      </c>
      <c r="AB1683">
        <f t="shared" si="584"/>
        <v>0.10112312993311655</v>
      </c>
      <c r="AC1683">
        <f t="shared" si="585"/>
        <v>8.5315970231736635E-2</v>
      </c>
      <c r="AD1683">
        <f t="shared" si="586"/>
        <v>3.9261033845767309E-3</v>
      </c>
      <c r="AE1683">
        <f t="shared" si="587"/>
        <v>2.1334078305513274E-2</v>
      </c>
      <c r="AG1683">
        <f t="shared" si="588"/>
        <v>-0.22599243242654721</v>
      </c>
      <c r="AH1683">
        <f t="shared" si="589"/>
        <v>0.15890706581426095</v>
      </c>
      <c r="AI1683">
        <f t="shared" si="590"/>
        <v>-0.58861876029737314</v>
      </c>
      <c r="AK1683" s="26" t="e">
        <f t="shared" si="591"/>
        <v>#DIV/0!</v>
      </c>
      <c r="AL1683" s="26" t="e">
        <f t="shared" si="592"/>
        <v>#DIV/0!</v>
      </c>
      <c r="AM1683" s="26" t="e">
        <f t="shared" si="593"/>
        <v>#DIV/0!</v>
      </c>
      <c r="AN1683" s="26" t="e">
        <f t="shared" si="594"/>
        <v>#DIV/0!</v>
      </c>
      <c r="AO1683" s="26" t="e">
        <f t="shared" si="595"/>
        <v>#DIV/0!</v>
      </c>
      <c r="AP1683" s="26" t="e">
        <f t="shared" si="596"/>
        <v>#DIV/0!</v>
      </c>
      <c r="AS1683" s="2">
        <v>43797</v>
      </c>
      <c r="AT1683">
        <v>12.9</v>
      </c>
      <c r="AU1683">
        <v>1.1000000000000001</v>
      </c>
      <c r="AV1683">
        <v>57.6</v>
      </c>
      <c r="AW1683">
        <v>4.5</v>
      </c>
      <c r="AX1683">
        <v>26.04</v>
      </c>
      <c r="AZ1683">
        <v>2.8</v>
      </c>
      <c r="BA1683">
        <v>274.98750000000001</v>
      </c>
      <c r="BB1683">
        <v>104.6889</v>
      </c>
      <c r="BC1683">
        <v>52.588999999999999</v>
      </c>
      <c r="BD1683">
        <v>3.0341</v>
      </c>
      <c r="BE1683">
        <v>17.143599999999999</v>
      </c>
      <c r="BH1683">
        <v>94.53</v>
      </c>
    </row>
    <row r="1684" spans="1:60" x14ac:dyDescent="0.25">
      <c r="A1684" s="2">
        <v>43817</v>
      </c>
      <c r="B1684">
        <v>12.8</v>
      </c>
      <c r="C1684">
        <v>0.5</v>
      </c>
      <c r="D1684">
        <v>64.900000000000006</v>
      </c>
      <c r="E1684">
        <v>2.5</v>
      </c>
      <c r="F1684">
        <v>31.91</v>
      </c>
      <c r="H1684">
        <v>3.7</v>
      </c>
      <c r="I1684">
        <v>289.10379999999998</v>
      </c>
      <c r="J1684">
        <v>161.87799999999999</v>
      </c>
      <c r="K1684">
        <v>127.5009</v>
      </c>
      <c r="L1684">
        <v>4.1760000000000002</v>
      </c>
      <c r="M1684">
        <v>28.728300000000001</v>
      </c>
      <c r="N1684">
        <v>0.62380000000000002</v>
      </c>
      <c r="O1684">
        <v>-1.3469</v>
      </c>
      <c r="P1684">
        <v>89.61</v>
      </c>
      <c r="S1684">
        <f t="shared" si="575"/>
        <v>727.697</v>
      </c>
      <c r="T1684">
        <f t="shared" si="576"/>
        <v>1.1999551891734041E-2</v>
      </c>
      <c r="U1684">
        <f t="shared" si="577"/>
        <v>4.6873249577086097E-4</v>
      </c>
      <c r="V1684">
        <f t="shared" si="578"/>
        <v>6.0841477951057758E-2</v>
      </c>
      <c r="W1684">
        <f t="shared" si="579"/>
        <v>2.3436624788543046E-3</v>
      </c>
      <c r="X1684">
        <f t="shared" si="580"/>
        <v>2.9914507880096346E-2</v>
      </c>
      <c r="Y1684">
        <f t="shared" si="581"/>
        <v>0</v>
      </c>
      <c r="Z1684">
        <f t="shared" si="582"/>
        <v>3.4686204687043713E-3</v>
      </c>
      <c r="AA1684">
        <f t="shared" si="583"/>
        <v>0.27102469142167962</v>
      </c>
      <c r="AB1684">
        <f t="shared" si="584"/>
        <v>0.15175495790079085</v>
      </c>
      <c r="AC1684">
        <f t="shared" si="585"/>
        <v>0.11952763014006193</v>
      </c>
      <c r="AD1684">
        <f t="shared" si="586"/>
        <v>3.9148538046782306E-3</v>
      </c>
      <c r="AE1684">
        <f t="shared" si="587"/>
        <v>2.693177551650805E-2</v>
      </c>
      <c r="AG1684">
        <f t="shared" si="588"/>
        <v>-0.2165181557941232</v>
      </c>
      <c r="AH1684">
        <f t="shared" si="589"/>
        <v>0.13596832868272574</v>
      </c>
      <c r="AI1684">
        <f t="shared" si="590"/>
        <v>-0.73792420207262599</v>
      </c>
      <c r="AK1684" s="26" t="e">
        <f t="shared" si="591"/>
        <v>#DIV/0!</v>
      </c>
      <c r="AL1684" s="26" t="e">
        <f t="shared" si="592"/>
        <v>#DIV/0!</v>
      </c>
      <c r="AM1684" s="26" t="e">
        <f t="shared" si="593"/>
        <v>#DIV/0!</v>
      </c>
      <c r="AN1684" s="26" t="e">
        <f t="shared" si="594"/>
        <v>#DIV/0!</v>
      </c>
      <c r="AO1684" s="26" t="e">
        <f t="shared" si="595"/>
        <v>#DIV/0!</v>
      </c>
      <c r="AP1684" s="26" t="e">
        <f t="shared" si="596"/>
        <v>#DIV/0!</v>
      </c>
      <c r="AS1684" s="2">
        <v>43796</v>
      </c>
      <c r="AT1684">
        <v>13.6</v>
      </c>
      <c r="AU1684">
        <v>0.2</v>
      </c>
      <c r="AV1684">
        <v>48.1</v>
      </c>
      <c r="AW1684">
        <v>1.9</v>
      </c>
      <c r="AX1684">
        <v>17.84</v>
      </c>
      <c r="AY1684">
        <v>0.1</v>
      </c>
      <c r="AZ1684">
        <v>2.9</v>
      </c>
      <c r="BA1684">
        <v>376.96359999999999</v>
      </c>
      <c r="BB1684">
        <v>183.6388</v>
      </c>
      <c r="BC1684">
        <v>85.045400000000001</v>
      </c>
      <c r="BD1684">
        <v>5.9507000000000003</v>
      </c>
      <c r="BE1684">
        <v>20.8857</v>
      </c>
      <c r="BH1684">
        <v>94.56</v>
      </c>
    </row>
    <row r="1685" spans="1:60" x14ac:dyDescent="0.25">
      <c r="A1685" s="2">
        <v>43816</v>
      </c>
      <c r="B1685">
        <v>12.6</v>
      </c>
      <c r="C1685">
        <v>0.8</v>
      </c>
      <c r="D1685">
        <v>29.1</v>
      </c>
      <c r="E1685">
        <v>3</v>
      </c>
      <c r="F1685">
        <v>34.75</v>
      </c>
      <c r="G1685">
        <v>0.5</v>
      </c>
      <c r="H1685">
        <v>3.3</v>
      </c>
      <c r="I1685">
        <v>319.17610000000002</v>
      </c>
      <c r="J1685">
        <v>181.7148</v>
      </c>
      <c r="K1685">
        <v>119.9014</v>
      </c>
      <c r="L1685">
        <v>4.1760000000000002</v>
      </c>
      <c r="M1685">
        <v>22.168900000000001</v>
      </c>
      <c r="N1685">
        <v>1.4728000000000001</v>
      </c>
      <c r="O1685">
        <v>-1.2967</v>
      </c>
      <c r="P1685">
        <v>89.84</v>
      </c>
      <c r="S1685">
        <f t="shared" si="575"/>
        <v>731.18720000000008</v>
      </c>
      <c r="T1685">
        <f t="shared" si="576"/>
        <v>1.1812058893425697E-2</v>
      </c>
      <c r="U1685">
        <f t="shared" si="577"/>
        <v>7.4997199323337759E-4</v>
      </c>
      <c r="V1685">
        <f t="shared" si="578"/>
        <v>2.7280231253864109E-2</v>
      </c>
      <c r="W1685">
        <f t="shared" si="579"/>
        <v>2.8123949746251659E-3</v>
      </c>
      <c r="X1685">
        <f t="shared" si="580"/>
        <v>3.2576908456074839E-2</v>
      </c>
      <c r="Y1685">
        <f t="shared" si="581"/>
        <v>4.6873249577086097E-4</v>
      </c>
      <c r="Z1685">
        <f t="shared" si="582"/>
        <v>3.0936344720876819E-3</v>
      </c>
      <c r="AA1685">
        <f t="shared" si="583"/>
        <v>0.2992164198868198</v>
      </c>
      <c r="AB1685">
        <f t="shared" si="584"/>
        <v>0.17035126344500567</v>
      </c>
      <c r="AC1685">
        <f t="shared" si="585"/>
        <v>0.11240336493684061</v>
      </c>
      <c r="AD1685">
        <f t="shared" si="586"/>
        <v>3.9148538046782306E-3</v>
      </c>
      <c r="AE1685">
        <f t="shared" si="587"/>
        <v>2.0782567650989278E-2</v>
      </c>
      <c r="AG1685">
        <f t="shared" si="588"/>
        <v>-0.18385958965488183</v>
      </c>
      <c r="AH1685">
        <f t="shared" si="589"/>
        <v>9.9576500190070999E-2</v>
      </c>
      <c r="AI1685">
        <f t="shared" si="590"/>
        <v>-0.97407398068046125</v>
      </c>
      <c r="AK1685" s="26" t="e">
        <f t="shared" si="591"/>
        <v>#DIV/0!</v>
      </c>
      <c r="AL1685" s="26" t="e">
        <f t="shared" si="592"/>
        <v>#DIV/0!</v>
      </c>
      <c r="AM1685" s="26" t="e">
        <f t="shared" si="593"/>
        <v>#DIV/0!</v>
      </c>
      <c r="AN1685" s="26" t="e">
        <f t="shared" si="594"/>
        <v>#DIV/0!</v>
      </c>
      <c r="AO1685" s="26" t="e">
        <f t="shared" si="595"/>
        <v>#DIV/0!</v>
      </c>
      <c r="AP1685" s="26" t="e">
        <f t="shared" si="596"/>
        <v>#DIV/0!</v>
      </c>
      <c r="AS1685" s="2">
        <v>43795</v>
      </c>
      <c r="AT1685">
        <v>14.4</v>
      </c>
      <c r="AU1685">
        <v>33.1</v>
      </c>
      <c r="AV1685">
        <v>30.5</v>
      </c>
      <c r="AW1685">
        <v>0.5</v>
      </c>
      <c r="AX1685">
        <v>23.69</v>
      </c>
      <c r="AY1685">
        <v>0.5</v>
      </c>
      <c r="AZ1685">
        <v>3.2</v>
      </c>
      <c r="BA1685">
        <v>382.69600000000003</v>
      </c>
      <c r="BB1685">
        <v>281.77109999999999</v>
      </c>
      <c r="BC1685">
        <v>143.93379999999999</v>
      </c>
      <c r="BD1685">
        <v>6.6829000000000001</v>
      </c>
      <c r="BE1685">
        <v>26.700800000000001</v>
      </c>
      <c r="BH1685">
        <v>94.61</v>
      </c>
    </row>
    <row r="1686" spans="1:60" x14ac:dyDescent="0.25">
      <c r="A1686" s="2">
        <v>43815</v>
      </c>
      <c r="B1686">
        <v>12</v>
      </c>
      <c r="C1686">
        <v>3</v>
      </c>
      <c r="D1686">
        <v>75</v>
      </c>
      <c r="E1686">
        <v>1.6</v>
      </c>
      <c r="F1686">
        <v>29.6</v>
      </c>
      <c r="G1686">
        <v>0.5</v>
      </c>
      <c r="H1686">
        <v>3.3</v>
      </c>
      <c r="I1686">
        <v>279.6146</v>
      </c>
      <c r="J1686">
        <v>169.81219999999999</v>
      </c>
      <c r="K1686">
        <v>132.38030000000001</v>
      </c>
      <c r="L1686">
        <v>4.1757</v>
      </c>
      <c r="M1686">
        <v>31.808</v>
      </c>
      <c r="N1686">
        <v>2.1065999999999998</v>
      </c>
      <c r="O1686">
        <v>-1.1526000000000001</v>
      </c>
      <c r="P1686">
        <v>90.06</v>
      </c>
      <c r="S1686">
        <f t="shared" si="575"/>
        <v>742.79079999999999</v>
      </c>
      <c r="T1686">
        <f t="shared" si="576"/>
        <v>1.1249579898500664E-2</v>
      </c>
      <c r="U1686">
        <f t="shared" si="577"/>
        <v>2.8123949746251659E-3</v>
      </c>
      <c r="V1686">
        <f t="shared" si="578"/>
        <v>7.0309874365629146E-2</v>
      </c>
      <c r="W1686">
        <f t="shared" si="579"/>
        <v>1.4999439864667552E-3</v>
      </c>
      <c r="X1686">
        <f t="shared" si="580"/>
        <v>2.774896374963497E-2</v>
      </c>
      <c r="Y1686">
        <f t="shared" si="581"/>
        <v>4.6873249577086097E-4</v>
      </c>
      <c r="Z1686">
        <f t="shared" si="582"/>
        <v>3.0936344720876819E-3</v>
      </c>
      <c r="AA1686">
        <f t="shared" si="583"/>
        <v>0.26212889862394195</v>
      </c>
      <c r="AB1686">
        <f t="shared" si="584"/>
        <v>0.15919299263668119</v>
      </c>
      <c r="AC1686">
        <f t="shared" si="585"/>
        <v>0.12410189681979061</v>
      </c>
      <c r="AD1686">
        <f t="shared" si="586"/>
        <v>3.9145725651807683E-3</v>
      </c>
      <c r="AE1686">
        <f t="shared" si="587"/>
        <v>2.9818886450959089E-2</v>
      </c>
      <c r="AG1686">
        <f t="shared" si="588"/>
        <v>-0.15263749661790879</v>
      </c>
      <c r="AH1686">
        <f t="shared" si="589"/>
        <v>0.14700201039367433</v>
      </c>
      <c r="AI1686">
        <f t="shared" si="590"/>
        <v>-0.67794037884774283</v>
      </c>
      <c r="AK1686" s="26" t="e">
        <f t="shared" si="591"/>
        <v>#DIV/0!</v>
      </c>
      <c r="AL1686" s="26" t="e">
        <f t="shared" si="592"/>
        <v>#DIV/0!</v>
      </c>
      <c r="AM1686" s="26" t="e">
        <f t="shared" si="593"/>
        <v>#DIV/0!</v>
      </c>
      <c r="AN1686" s="26" t="e">
        <f t="shared" si="594"/>
        <v>#DIV/0!</v>
      </c>
      <c r="AO1686" s="26" t="e">
        <f t="shared" si="595"/>
        <v>#DIV/0!</v>
      </c>
      <c r="AP1686" s="26" t="e">
        <f t="shared" si="596"/>
        <v>#DIV/0!</v>
      </c>
      <c r="AS1686" s="2">
        <v>43794</v>
      </c>
      <c r="AT1686">
        <v>13.6</v>
      </c>
      <c r="AU1686">
        <v>0.9</v>
      </c>
      <c r="AV1686">
        <v>11.1</v>
      </c>
      <c r="AW1686">
        <v>0.4</v>
      </c>
      <c r="AX1686">
        <v>15.69</v>
      </c>
      <c r="AY1686">
        <v>0.5</v>
      </c>
      <c r="AZ1686">
        <v>3.2</v>
      </c>
      <c r="BA1686">
        <v>379.98630000000003</v>
      </c>
      <c r="BB1686">
        <v>257.74799999999999</v>
      </c>
      <c r="BC1686">
        <v>151.64760000000001</v>
      </c>
      <c r="BD1686">
        <v>7.1738</v>
      </c>
      <c r="BE1686">
        <v>38.118499999999997</v>
      </c>
      <c r="BH1686">
        <v>94.67</v>
      </c>
    </row>
    <row r="1687" spans="1:60" x14ac:dyDescent="0.25">
      <c r="A1687" s="2">
        <v>43814</v>
      </c>
      <c r="B1687">
        <v>11.1</v>
      </c>
      <c r="C1687">
        <v>0</v>
      </c>
      <c r="D1687">
        <v>82.8</v>
      </c>
      <c r="E1687">
        <v>4.4000000000000004</v>
      </c>
      <c r="F1687">
        <v>29.95</v>
      </c>
      <c r="G1687">
        <v>0.5</v>
      </c>
      <c r="H1687">
        <v>3.1</v>
      </c>
      <c r="I1687">
        <v>120.6885</v>
      </c>
      <c r="J1687">
        <v>42.290500000000002</v>
      </c>
      <c r="K1687">
        <v>37.125599999999999</v>
      </c>
      <c r="L1687">
        <v>4.1792999999999996</v>
      </c>
      <c r="M1687">
        <v>14.567299999999999</v>
      </c>
      <c r="P1687">
        <v>90.31</v>
      </c>
      <c r="S1687">
        <f t="shared" si="575"/>
        <v>350.70120000000003</v>
      </c>
      <c r="T1687">
        <f t="shared" si="576"/>
        <v>1.0405861406113113E-2</v>
      </c>
      <c r="U1687">
        <f t="shared" si="577"/>
        <v>0</v>
      </c>
      <c r="V1687">
        <f t="shared" si="578"/>
        <v>7.7622101299654578E-2</v>
      </c>
      <c r="W1687">
        <f t="shared" si="579"/>
        <v>4.1248459627835771E-3</v>
      </c>
      <c r="X1687">
        <f t="shared" si="580"/>
        <v>2.8077076496674569E-2</v>
      </c>
      <c r="Y1687">
        <f t="shared" si="581"/>
        <v>4.6873249577086097E-4</v>
      </c>
      <c r="Z1687">
        <f t="shared" si="582"/>
        <v>2.9061414737793379E-3</v>
      </c>
      <c r="AA1687">
        <f t="shared" si="583"/>
        <v>0.11314124363168311</v>
      </c>
      <c r="AB1687">
        <f t="shared" si="584"/>
        <v>3.9645863224795193E-2</v>
      </c>
      <c r="AC1687">
        <f t="shared" si="585"/>
        <v>3.4803950289981352E-2</v>
      </c>
      <c r="AD1687">
        <f t="shared" si="586"/>
        <v>3.9179474391503183E-3</v>
      </c>
      <c r="AE1687">
        <f t="shared" si="587"/>
        <v>1.3656333771285726E-2</v>
      </c>
      <c r="AG1687">
        <f t="shared" si="588"/>
        <v>-0.11708916882561692</v>
      </c>
      <c r="AH1687">
        <f t="shared" si="589"/>
        <v>0.13726109290606175</v>
      </c>
      <c r="AI1687">
        <f t="shared" si="590"/>
        <v>-0.74339380011293665</v>
      </c>
      <c r="AK1687" s="26" t="e">
        <f t="shared" si="591"/>
        <v>#DIV/0!</v>
      </c>
      <c r="AL1687" s="26" t="e">
        <f t="shared" si="592"/>
        <v>#DIV/0!</v>
      </c>
      <c r="AM1687" s="26" t="e">
        <f t="shared" si="593"/>
        <v>#DIV/0!</v>
      </c>
      <c r="AN1687" s="26" t="e">
        <f t="shared" si="594"/>
        <v>#DIV/0!</v>
      </c>
      <c r="AO1687" s="26" t="e">
        <f t="shared" si="595"/>
        <v>#DIV/0!</v>
      </c>
      <c r="AP1687" s="26" t="e">
        <f t="shared" si="596"/>
        <v>#DIV/0!</v>
      </c>
      <c r="AS1687" s="2">
        <v>43793</v>
      </c>
      <c r="AT1687">
        <v>12.6</v>
      </c>
      <c r="AU1687">
        <v>39.5</v>
      </c>
      <c r="AV1687">
        <v>69.5</v>
      </c>
      <c r="AW1687">
        <v>1.5</v>
      </c>
      <c r="AX1687">
        <v>40.729999999999997</v>
      </c>
      <c r="AY1687">
        <v>0.6</v>
      </c>
      <c r="AZ1687">
        <v>3</v>
      </c>
      <c r="BA1687">
        <v>304.3544</v>
      </c>
      <c r="BB1687">
        <v>104.4076</v>
      </c>
      <c r="BC1687">
        <v>65.809600000000003</v>
      </c>
      <c r="BD1687">
        <v>3.3586</v>
      </c>
      <c r="BE1687">
        <v>19.679500000000001</v>
      </c>
      <c r="BH1687">
        <v>94.81</v>
      </c>
    </row>
    <row r="1688" spans="1:60" x14ac:dyDescent="0.25">
      <c r="A1688" s="2">
        <v>43813</v>
      </c>
      <c r="B1688">
        <v>13</v>
      </c>
      <c r="C1688">
        <v>0</v>
      </c>
      <c r="D1688">
        <v>71.099999999999994</v>
      </c>
      <c r="E1688">
        <v>4.4000000000000004</v>
      </c>
      <c r="F1688">
        <v>23.01</v>
      </c>
      <c r="G1688">
        <v>0.5</v>
      </c>
      <c r="H1688">
        <v>3.3</v>
      </c>
      <c r="I1688">
        <v>149.75880000000001</v>
      </c>
      <c r="J1688">
        <v>44.2318</v>
      </c>
      <c r="K1688">
        <v>56.228200000000001</v>
      </c>
      <c r="L1688">
        <v>4.1760000000000002</v>
      </c>
      <c r="M1688">
        <v>10.693099999999999</v>
      </c>
      <c r="P1688">
        <v>90.43</v>
      </c>
      <c r="S1688">
        <f t="shared" si="575"/>
        <v>380.39790000000005</v>
      </c>
      <c r="T1688">
        <f t="shared" si="576"/>
        <v>1.2187044890042385E-2</v>
      </c>
      <c r="U1688">
        <f t="shared" si="577"/>
        <v>0</v>
      </c>
      <c r="V1688">
        <f t="shared" si="578"/>
        <v>6.6653760898616424E-2</v>
      </c>
      <c r="W1688">
        <f t="shared" si="579"/>
        <v>4.1248459627835771E-3</v>
      </c>
      <c r="X1688">
        <f t="shared" si="580"/>
        <v>2.1571069455375024E-2</v>
      </c>
      <c r="Y1688">
        <f t="shared" si="581"/>
        <v>4.6873249577086097E-4</v>
      </c>
      <c r="Z1688">
        <f t="shared" si="582"/>
        <v>3.0936344720876819E-3</v>
      </c>
      <c r="AA1688">
        <f t="shared" si="583"/>
        <v>0.14039363217529843</v>
      </c>
      <c r="AB1688">
        <f t="shared" si="584"/>
        <v>4.1465764012875134E-2</v>
      </c>
      <c r="AC1688">
        <f t="shared" si="585"/>
        <v>5.2711969037406249E-2</v>
      </c>
      <c r="AD1688">
        <f t="shared" si="586"/>
        <v>3.9148538046782306E-3</v>
      </c>
      <c r="AE1688">
        <f t="shared" si="587"/>
        <v>1.0024406901054786E-2</v>
      </c>
      <c r="AG1688">
        <f t="shared" si="588"/>
        <v>-0.10021054409978879</v>
      </c>
      <c r="AH1688">
        <f t="shared" si="589"/>
        <v>0.11812349507573074</v>
      </c>
      <c r="AI1688">
        <f t="shared" si="590"/>
        <v>-0.86911226238009065</v>
      </c>
      <c r="AK1688" s="26" t="e">
        <f t="shared" si="591"/>
        <v>#DIV/0!</v>
      </c>
      <c r="AL1688" s="26" t="e">
        <f t="shared" si="592"/>
        <v>#DIV/0!</v>
      </c>
      <c r="AM1688" s="26" t="e">
        <f t="shared" si="593"/>
        <v>#DIV/0!</v>
      </c>
      <c r="AN1688" s="26" t="e">
        <f t="shared" si="594"/>
        <v>#DIV/0!</v>
      </c>
      <c r="AO1688" s="26" t="e">
        <f t="shared" si="595"/>
        <v>#DIV/0!</v>
      </c>
      <c r="AP1688" s="26" t="e">
        <f t="shared" si="596"/>
        <v>#DIV/0!</v>
      </c>
      <c r="AS1688" s="2">
        <v>43792</v>
      </c>
      <c r="AT1688">
        <v>13.5</v>
      </c>
      <c r="AU1688">
        <v>0</v>
      </c>
      <c r="AV1688">
        <v>82.2</v>
      </c>
      <c r="AW1688">
        <v>2.6</v>
      </c>
      <c r="AX1688">
        <v>50.04</v>
      </c>
      <c r="AY1688">
        <v>0.6</v>
      </c>
      <c r="AZ1688">
        <v>3</v>
      </c>
      <c r="BA1688">
        <v>275.33769999999998</v>
      </c>
      <c r="BB1688">
        <v>60.331800000000001</v>
      </c>
      <c r="BC1688">
        <v>58.353400000000001</v>
      </c>
      <c r="BD1688">
        <v>3.3622000000000001</v>
      </c>
      <c r="BE1688">
        <v>7.2141000000000002</v>
      </c>
      <c r="BH1688">
        <v>94.81</v>
      </c>
    </row>
    <row r="1689" spans="1:60" x14ac:dyDescent="0.25">
      <c r="A1689" s="2">
        <v>43812</v>
      </c>
      <c r="B1689">
        <v>13.4</v>
      </c>
      <c r="C1689">
        <v>0</v>
      </c>
      <c r="D1689">
        <v>56.3</v>
      </c>
      <c r="E1689">
        <v>3.7</v>
      </c>
      <c r="F1689">
        <v>17.579999999999998</v>
      </c>
      <c r="G1689">
        <v>0.5</v>
      </c>
      <c r="H1689">
        <v>3.4</v>
      </c>
      <c r="I1689">
        <v>279.26530000000002</v>
      </c>
      <c r="J1689">
        <v>138.81200000000001</v>
      </c>
      <c r="K1689">
        <v>122.71429999999999</v>
      </c>
      <c r="L1689">
        <v>4.7209000000000003</v>
      </c>
      <c r="M1689">
        <v>32.487699999999997</v>
      </c>
      <c r="N1689">
        <v>2.9823</v>
      </c>
      <c r="O1689">
        <v>-1.52E-2</v>
      </c>
      <c r="P1689">
        <v>90.58</v>
      </c>
      <c r="S1689">
        <f t="shared" si="575"/>
        <v>672.88020000000006</v>
      </c>
      <c r="T1689">
        <f t="shared" si="576"/>
        <v>1.2562030886659074E-2</v>
      </c>
      <c r="U1689">
        <f t="shared" si="577"/>
        <v>0</v>
      </c>
      <c r="V1689">
        <f t="shared" si="578"/>
        <v>5.277927902379894E-2</v>
      </c>
      <c r="W1689">
        <f t="shared" si="579"/>
        <v>3.4686204687043713E-3</v>
      </c>
      <c r="X1689">
        <f t="shared" si="580"/>
        <v>1.6480634551303469E-2</v>
      </c>
      <c r="Y1689">
        <f t="shared" si="581"/>
        <v>4.6873249577086097E-4</v>
      </c>
      <c r="Z1689">
        <f t="shared" si="582"/>
        <v>3.1873809712418544E-3</v>
      </c>
      <c r="AA1689">
        <f t="shared" si="583"/>
        <v>0.26180144210239648</v>
      </c>
      <c r="AB1689">
        <f t="shared" si="584"/>
        <v>0.1301313904058895</v>
      </c>
      <c r="AC1689">
        <f t="shared" si="585"/>
        <v>0.11504036021154831</v>
      </c>
      <c r="AD1689">
        <f t="shared" si="586"/>
        <v>4.425678478569315E-3</v>
      </c>
      <c r="AE1689">
        <f t="shared" si="587"/>
        <v>3.0456081405709996E-2</v>
      </c>
      <c r="AG1689">
        <f t="shared" si="588"/>
        <v>-7.9037380256279141E-2</v>
      </c>
      <c r="AH1689">
        <f t="shared" si="589"/>
        <v>0.11940275980318857</v>
      </c>
      <c r="AI1689">
        <f t="shared" si="590"/>
        <v>-0.86632406024934849</v>
      </c>
      <c r="AK1689" s="26" t="e">
        <f t="shared" si="591"/>
        <v>#DIV/0!</v>
      </c>
      <c r="AL1689" s="26" t="e">
        <f t="shared" si="592"/>
        <v>#DIV/0!</v>
      </c>
      <c r="AM1689" s="26" t="e">
        <f t="shared" si="593"/>
        <v>#DIV/0!</v>
      </c>
      <c r="AN1689" s="26" t="e">
        <f t="shared" si="594"/>
        <v>#DIV/0!</v>
      </c>
      <c r="AO1689" s="26" t="e">
        <f t="shared" si="595"/>
        <v>#DIV/0!</v>
      </c>
      <c r="AP1689" s="26" t="e">
        <f t="shared" si="596"/>
        <v>#DIV/0!</v>
      </c>
      <c r="AS1689" s="2">
        <v>43791</v>
      </c>
      <c r="AT1689">
        <v>14.8</v>
      </c>
      <c r="AU1689">
        <v>1</v>
      </c>
      <c r="AV1689">
        <v>37.200000000000003</v>
      </c>
      <c r="AW1689">
        <v>0.6</v>
      </c>
      <c r="AX1689">
        <v>32.200000000000003</v>
      </c>
      <c r="AY1689">
        <v>0.5</v>
      </c>
      <c r="AZ1689">
        <v>3.5</v>
      </c>
      <c r="BA1689">
        <v>375.9051</v>
      </c>
      <c r="BB1689">
        <v>270.27409999999998</v>
      </c>
      <c r="BC1689">
        <v>151.49170000000001</v>
      </c>
      <c r="BD1689">
        <v>2.9823</v>
      </c>
      <c r="BE1689">
        <v>20.066500000000001</v>
      </c>
      <c r="BH1689">
        <v>94.83</v>
      </c>
    </row>
    <row r="1690" spans="1:60" x14ac:dyDescent="0.25">
      <c r="A1690" s="2">
        <v>43811</v>
      </c>
      <c r="B1690">
        <v>12.8</v>
      </c>
      <c r="C1690">
        <v>0</v>
      </c>
      <c r="D1690">
        <v>58.3</v>
      </c>
      <c r="E1690">
        <v>1.5</v>
      </c>
      <c r="F1690">
        <v>16.95</v>
      </c>
      <c r="G1690">
        <v>0.5</v>
      </c>
      <c r="H1690">
        <v>3.5</v>
      </c>
      <c r="I1690">
        <v>334.50889999999998</v>
      </c>
      <c r="J1690">
        <v>229.3544</v>
      </c>
      <c r="K1690">
        <v>159.70269999999999</v>
      </c>
      <c r="L1690">
        <v>4.1113999999999997</v>
      </c>
      <c r="M1690">
        <v>29.949100000000001</v>
      </c>
      <c r="N1690">
        <v>0.47449999999999998</v>
      </c>
      <c r="O1690">
        <v>-1.3129999999999999</v>
      </c>
      <c r="P1690">
        <v>90.92</v>
      </c>
      <c r="S1690">
        <f t="shared" si="575"/>
        <v>851.17650000000003</v>
      </c>
      <c r="T1690">
        <f t="shared" si="576"/>
        <v>1.1999551891734041E-2</v>
      </c>
      <c r="U1690">
        <f t="shared" si="577"/>
        <v>0</v>
      </c>
      <c r="V1690">
        <f t="shared" si="578"/>
        <v>5.4654209006882386E-2</v>
      </c>
      <c r="W1690">
        <f t="shared" si="579"/>
        <v>1.406197487312583E-3</v>
      </c>
      <c r="X1690">
        <f t="shared" si="580"/>
        <v>1.5890031606632184E-2</v>
      </c>
      <c r="Y1690">
        <f t="shared" si="581"/>
        <v>4.6873249577086097E-4</v>
      </c>
      <c r="Z1690">
        <f t="shared" si="582"/>
        <v>3.2811274703960268E-3</v>
      </c>
      <c r="AA1690">
        <f t="shared" si="583"/>
        <v>0.31359038310913068</v>
      </c>
      <c r="AB1690">
        <f t="shared" si="584"/>
        <v>0.2150117206560567</v>
      </c>
      <c r="AC1690">
        <f t="shared" si="585"/>
        <v>0.14971569030469015</v>
      </c>
      <c r="AD1690">
        <f t="shared" si="586"/>
        <v>3.8542935662246353E-3</v>
      </c>
      <c r="AE1690">
        <f t="shared" si="587"/>
        <v>2.8076232778182185E-2</v>
      </c>
      <c r="AG1690">
        <f t="shared" si="588"/>
        <v>-3.0741385003775414E-2</v>
      </c>
      <c r="AH1690">
        <f t="shared" si="589"/>
        <v>0.11577608273691026</v>
      </c>
      <c r="AI1690">
        <f t="shared" si="590"/>
        <v>-0.89469657875121289</v>
      </c>
      <c r="AK1690" s="26" t="e">
        <f t="shared" si="591"/>
        <v>#DIV/0!</v>
      </c>
      <c r="AL1690" s="26" t="e">
        <f t="shared" si="592"/>
        <v>#DIV/0!</v>
      </c>
      <c r="AM1690" s="26" t="e">
        <f t="shared" si="593"/>
        <v>#DIV/0!</v>
      </c>
      <c r="AN1690" s="26" t="e">
        <f t="shared" si="594"/>
        <v>#DIV/0!</v>
      </c>
      <c r="AO1690" s="26" t="e">
        <f t="shared" si="595"/>
        <v>#DIV/0!</v>
      </c>
      <c r="AP1690" s="26" t="e">
        <f t="shared" si="596"/>
        <v>#DIV/0!</v>
      </c>
      <c r="AS1690" s="2">
        <v>43790</v>
      </c>
      <c r="AT1690">
        <v>15.8</v>
      </c>
      <c r="AU1690">
        <v>22.6</v>
      </c>
      <c r="AV1690">
        <v>26.3</v>
      </c>
      <c r="AW1690">
        <v>0.3</v>
      </c>
      <c r="AX1690">
        <v>20.75</v>
      </c>
      <c r="AY1690">
        <v>0.3</v>
      </c>
      <c r="AZ1690">
        <v>2.8</v>
      </c>
      <c r="BA1690">
        <v>374.59969999999998</v>
      </c>
      <c r="BB1690">
        <v>331.27670000000001</v>
      </c>
      <c r="BC1690">
        <v>184.5241</v>
      </c>
      <c r="BD1690">
        <v>5.6063000000000001</v>
      </c>
      <c r="BE1690">
        <v>31.163799999999998</v>
      </c>
      <c r="BH1690">
        <v>95.04</v>
      </c>
    </row>
    <row r="1691" spans="1:60" x14ac:dyDescent="0.25">
      <c r="A1691" s="2">
        <v>43810</v>
      </c>
      <c r="B1691">
        <v>12.6</v>
      </c>
      <c r="C1691">
        <v>210.1</v>
      </c>
      <c r="D1691">
        <v>59.6</v>
      </c>
      <c r="E1691">
        <v>2.4</v>
      </c>
      <c r="F1691">
        <v>22.64</v>
      </c>
      <c r="G1691">
        <v>0.5</v>
      </c>
      <c r="H1691">
        <v>3.2</v>
      </c>
      <c r="I1691">
        <v>249.48339999999999</v>
      </c>
      <c r="J1691">
        <v>196.72280000000001</v>
      </c>
      <c r="K1691">
        <v>141.26410000000001</v>
      </c>
      <c r="L1691">
        <v>4.2430000000000003</v>
      </c>
      <c r="M1691">
        <v>29.405100000000001</v>
      </c>
      <c r="N1691">
        <v>2.0415999999999999</v>
      </c>
      <c r="O1691">
        <v>-0.60570000000000002</v>
      </c>
      <c r="P1691">
        <v>91.36</v>
      </c>
      <c r="S1691">
        <f t="shared" si="575"/>
        <v>932.15839999999992</v>
      </c>
      <c r="T1691">
        <f t="shared" si="576"/>
        <v>1.1812058893425697E-2</v>
      </c>
      <c r="U1691">
        <f t="shared" si="577"/>
        <v>0.19696139472291577</v>
      </c>
      <c r="V1691">
        <f t="shared" si="578"/>
        <v>5.5872913495886627E-2</v>
      </c>
      <c r="W1691">
        <f t="shared" si="579"/>
        <v>2.2499159797001326E-3</v>
      </c>
      <c r="X1691">
        <f t="shared" si="580"/>
        <v>2.1224207408504586E-2</v>
      </c>
      <c r="Y1691">
        <f t="shared" si="581"/>
        <v>4.6873249577086097E-4</v>
      </c>
      <c r="Z1691">
        <f t="shared" si="582"/>
        <v>2.9998879729335104E-3</v>
      </c>
      <c r="AA1691">
        <f t="shared" si="583"/>
        <v>0.23388195347080001</v>
      </c>
      <c r="AB1691">
        <f t="shared" si="584"/>
        <v>0.18442073803806386</v>
      </c>
      <c r="AC1691">
        <f t="shared" si="585"/>
        <v>0.13243014831164898</v>
      </c>
      <c r="AD1691">
        <f t="shared" si="586"/>
        <v>3.9776639591115265E-3</v>
      </c>
      <c r="AE1691">
        <f t="shared" si="587"/>
        <v>2.7566251822783487E-2</v>
      </c>
      <c r="AG1691">
        <f t="shared" si="588"/>
        <v>3.1784411247431039E-2</v>
      </c>
      <c r="AH1691">
        <f t="shared" si="589"/>
        <v>0.31915536279192069</v>
      </c>
      <c r="AI1691">
        <f t="shared" si="590"/>
        <v>0.38996379649255236</v>
      </c>
      <c r="AK1691" s="26" t="e">
        <f t="shared" si="591"/>
        <v>#DIV/0!</v>
      </c>
      <c r="AL1691" s="26" t="e">
        <f t="shared" si="592"/>
        <v>#DIV/0!</v>
      </c>
      <c r="AM1691" s="26" t="e">
        <f t="shared" si="593"/>
        <v>#DIV/0!</v>
      </c>
      <c r="AN1691" s="26" t="e">
        <f t="shared" si="594"/>
        <v>#DIV/0!</v>
      </c>
      <c r="AO1691" s="26" t="e">
        <f t="shared" si="595"/>
        <v>#DIV/0!</v>
      </c>
      <c r="AP1691" s="26" t="e">
        <f t="shared" si="596"/>
        <v>#DIV/0!</v>
      </c>
      <c r="AS1691" s="2">
        <v>43789</v>
      </c>
      <c r="AT1691">
        <v>16.3</v>
      </c>
      <c r="AU1691">
        <v>94</v>
      </c>
      <c r="AV1691">
        <v>5.8</v>
      </c>
      <c r="AW1691">
        <v>0</v>
      </c>
      <c r="AX1691">
        <v>22.55</v>
      </c>
      <c r="AZ1691">
        <v>3.1</v>
      </c>
      <c r="BA1691">
        <v>381.89640000000003</v>
      </c>
      <c r="BB1691">
        <v>332.62369999999999</v>
      </c>
      <c r="BC1691">
        <v>176.16419999999999</v>
      </c>
      <c r="BD1691">
        <v>6.4185999999999996</v>
      </c>
      <c r="BE1691">
        <v>44.050800000000002</v>
      </c>
      <c r="BH1691">
        <v>95.41</v>
      </c>
    </row>
    <row r="1692" spans="1:60" x14ac:dyDescent="0.25">
      <c r="A1692" s="2">
        <v>43809</v>
      </c>
      <c r="B1692">
        <v>13</v>
      </c>
      <c r="C1692">
        <v>9.1</v>
      </c>
      <c r="D1692">
        <v>65.900000000000006</v>
      </c>
      <c r="E1692">
        <v>2.7</v>
      </c>
      <c r="F1692">
        <v>46.42</v>
      </c>
      <c r="G1692">
        <v>0.5</v>
      </c>
      <c r="H1692">
        <v>3.4</v>
      </c>
      <c r="I1692">
        <v>292.66860000000003</v>
      </c>
      <c r="J1692">
        <v>189.63310000000001</v>
      </c>
      <c r="K1692">
        <v>128.64760000000001</v>
      </c>
      <c r="L1692">
        <v>4.1947999999999999</v>
      </c>
      <c r="M1692">
        <v>31.746300000000002</v>
      </c>
      <c r="N1692">
        <v>0.51060000000000005</v>
      </c>
      <c r="O1692">
        <v>-1.2295</v>
      </c>
      <c r="P1692">
        <v>91.82</v>
      </c>
      <c r="S1692">
        <f t="shared" si="575"/>
        <v>787.9104000000001</v>
      </c>
      <c r="T1692">
        <f t="shared" si="576"/>
        <v>1.2187044890042385E-2</v>
      </c>
      <c r="U1692">
        <f t="shared" si="577"/>
        <v>8.5309314230296689E-3</v>
      </c>
      <c r="V1692">
        <f t="shared" si="578"/>
        <v>6.1778942942599481E-2</v>
      </c>
      <c r="W1692">
        <f t="shared" si="579"/>
        <v>2.5311554771626494E-3</v>
      </c>
      <c r="X1692">
        <f t="shared" si="580"/>
        <v>4.3517124907366735E-2</v>
      </c>
      <c r="Y1692">
        <f t="shared" si="581"/>
        <v>4.6873249577086097E-4</v>
      </c>
      <c r="Z1692">
        <f t="shared" si="582"/>
        <v>3.1873809712418544E-3</v>
      </c>
      <c r="AA1692">
        <f t="shared" si="583"/>
        <v>0.2743665666235276</v>
      </c>
      <c r="AB1692">
        <f t="shared" si="584"/>
        <v>0.17777439248753052</v>
      </c>
      <c r="AC1692">
        <f t="shared" si="585"/>
        <v>0.12060262124586284</v>
      </c>
      <c r="AD1692">
        <f t="shared" si="586"/>
        <v>3.9324781465192148E-3</v>
      </c>
      <c r="AE1692">
        <f t="shared" si="587"/>
        <v>2.9761044860980967E-2</v>
      </c>
      <c r="AG1692">
        <f t="shared" si="588"/>
        <v>9.7145430269675884E-2</v>
      </c>
      <c r="AH1692">
        <f t="shared" si="589"/>
        <v>0.16196235796819461</v>
      </c>
      <c r="AI1692">
        <f t="shared" si="590"/>
        <v>-0.60276147941670299</v>
      </c>
      <c r="AK1692" s="26" t="e">
        <f t="shared" si="591"/>
        <v>#DIV/0!</v>
      </c>
      <c r="AL1692" s="26" t="e">
        <f t="shared" si="592"/>
        <v>#DIV/0!</v>
      </c>
      <c r="AM1692" s="26" t="e">
        <f t="shared" si="593"/>
        <v>#DIV/0!</v>
      </c>
      <c r="AN1692" s="26" t="e">
        <f t="shared" si="594"/>
        <v>#DIV/0!</v>
      </c>
      <c r="AO1692" s="26" t="e">
        <f t="shared" si="595"/>
        <v>#DIV/0!</v>
      </c>
      <c r="AP1692" s="26" t="e">
        <f t="shared" si="596"/>
        <v>#DIV/0!</v>
      </c>
      <c r="AS1692" s="2">
        <v>43788</v>
      </c>
      <c r="AT1692">
        <v>16.5</v>
      </c>
      <c r="AU1692">
        <v>97.7</v>
      </c>
      <c r="AV1692">
        <v>66</v>
      </c>
      <c r="AW1692">
        <v>2.7</v>
      </c>
      <c r="AX1692">
        <v>38.51</v>
      </c>
      <c r="AY1692">
        <v>0.4</v>
      </c>
      <c r="AZ1692">
        <v>2.8</v>
      </c>
      <c r="BA1692">
        <v>286.3562</v>
      </c>
      <c r="BB1692">
        <v>218.2945</v>
      </c>
      <c r="BC1692">
        <v>116.2272</v>
      </c>
      <c r="BD1692">
        <v>6.2443</v>
      </c>
      <c r="BE1692">
        <v>24.892099999999999</v>
      </c>
      <c r="BH1692">
        <v>95.83</v>
      </c>
    </row>
    <row r="1693" spans="1:60" x14ac:dyDescent="0.25">
      <c r="A1693" s="2">
        <v>43808</v>
      </c>
      <c r="B1693">
        <v>11.1</v>
      </c>
      <c r="C1693">
        <v>0</v>
      </c>
      <c r="D1693">
        <v>78.900000000000006</v>
      </c>
      <c r="E1693">
        <v>2.7</v>
      </c>
      <c r="F1693">
        <v>30.2</v>
      </c>
      <c r="G1693">
        <v>0.5</v>
      </c>
      <c r="H1693">
        <v>3.4</v>
      </c>
      <c r="I1693">
        <v>211.2688</v>
      </c>
      <c r="J1693">
        <v>98.917299999999997</v>
      </c>
      <c r="K1693">
        <v>91.328900000000004</v>
      </c>
      <c r="L1693">
        <v>6.4138000000000002</v>
      </c>
      <c r="M1693">
        <v>31.512899999999998</v>
      </c>
      <c r="N1693">
        <v>0.1082</v>
      </c>
      <c r="O1693">
        <v>-1.2366999999999999</v>
      </c>
      <c r="P1693">
        <v>92.12</v>
      </c>
      <c r="S1693">
        <f t="shared" si="575"/>
        <v>566.24170000000004</v>
      </c>
      <c r="T1693">
        <f t="shared" si="576"/>
        <v>1.0405861406113113E-2</v>
      </c>
      <c r="U1693">
        <f t="shared" si="577"/>
        <v>0</v>
      </c>
      <c r="V1693">
        <f t="shared" si="578"/>
        <v>7.3965987832641869E-2</v>
      </c>
      <c r="W1693">
        <f t="shared" si="579"/>
        <v>2.5311554771626494E-3</v>
      </c>
      <c r="X1693">
        <f t="shared" si="580"/>
        <v>2.831144274456E-2</v>
      </c>
      <c r="Y1693">
        <f t="shared" si="581"/>
        <v>4.6873249577086097E-4</v>
      </c>
      <c r="Z1693">
        <f t="shared" si="582"/>
        <v>3.1873809712418544E-3</v>
      </c>
      <c r="AA1693">
        <f t="shared" si="583"/>
        <v>0.19805710380502975</v>
      </c>
      <c r="AB1693">
        <f t="shared" si="584"/>
        <v>9.2731505807829961E-2</v>
      </c>
      <c r="AC1693">
        <f t="shared" si="585"/>
        <v>8.5617646466014774E-2</v>
      </c>
      <c r="AD1693">
        <f t="shared" si="586"/>
        <v>6.0127129627502961E-3</v>
      </c>
      <c r="AE1693">
        <f t="shared" si="587"/>
        <v>2.9542240531955127E-2</v>
      </c>
      <c r="AG1693">
        <f t="shared" si="588"/>
        <v>0.13988037838315989</v>
      </c>
      <c r="AH1693">
        <f t="shared" si="589"/>
        <v>0.14841280145944546</v>
      </c>
      <c r="AI1693">
        <f t="shared" si="590"/>
        <v>-0.69121907584748732</v>
      </c>
      <c r="AK1693" s="26" t="e">
        <f t="shared" si="591"/>
        <v>#DIV/0!</v>
      </c>
      <c r="AL1693" s="26" t="e">
        <f t="shared" si="592"/>
        <v>#DIV/0!</v>
      </c>
      <c r="AM1693" s="26" t="e">
        <f t="shared" si="593"/>
        <v>#DIV/0!</v>
      </c>
      <c r="AN1693" s="26" t="e">
        <f t="shared" si="594"/>
        <v>#DIV/0!</v>
      </c>
      <c r="AO1693" s="26" t="e">
        <f t="shared" si="595"/>
        <v>#DIV/0!</v>
      </c>
      <c r="AP1693" s="26" t="e">
        <f t="shared" si="596"/>
        <v>#DIV/0!</v>
      </c>
      <c r="AS1693" s="2">
        <v>43787</v>
      </c>
      <c r="AT1693">
        <v>17.2</v>
      </c>
      <c r="AU1693">
        <v>1.3</v>
      </c>
      <c r="AV1693">
        <v>70.3</v>
      </c>
      <c r="AW1693">
        <v>1.4</v>
      </c>
      <c r="AX1693">
        <v>31.19</v>
      </c>
      <c r="AY1693">
        <v>0.5</v>
      </c>
      <c r="AZ1693">
        <v>3.2</v>
      </c>
      <c r="BA1693">
        <v>358.60289999999998</v>
      </c>
      <c r="BB1693">
        <v>231.83160000000001</v>
      </c>
      <c r="BC1693">
        <v>115.5158</v>
      </c>
      <c r="BD1693">
        <v>4.3365999999999998</v>
      </c>
      <c r="BE1693">
        <v>32.840000000000003</v>
      </c>
      <c r="BH1693">
        <v>96.15</v>
      </c>
    </row>
    <row r="1694" spans="1:60" x14ac:dyDescent="0.25">
      <c r="A1694" s="2">
        <v>43807</v>
      </c>
      <c r="B1694">
        <v>10.6</v>
      </c>
      <c r="C1694">
        <v>47.6</v>
      </c>
      <c r="D1694">
        <v>69.099999999999994</v>
      </c>
      <c r="E1694">
        <v>4</v>
      </c>
      <c r="F1694">
        <v>25.5</v>
      </c>
      <c r="G1694">
        <v>0.5</v>
      </c>
      <c r="H1694">
        <v>3.1</v>
      </c>
      <c r="I1694">
        <v>117.8331</v>
      </c>
      <c r="J1694">
        <v>38.887500000000003</v>
      </c>
      <c r="K1694">
        <v>32.468200000000003</v>
      </c>
      <c r="L1694">
        <v>4.1280000000000001</v>
      </c>
      <c r="M1694">
        <v>13.3835</v>
      </c>
      <c r="P1694">
        <v>92.39</v>
      </c>
      <c r="S1694">
        <f t="shared" si="575"/>
        <v>367.10030000000006</v>
      </c>
      <c r="T1694">
        <f t="shared" si="576"/>
        <v>9.9371289103422512E-3</v>
      </c>
      <c r="U1694">
        <f t="shared" si="577"/>
        <v>4.4623333597385961E-2</v>
      </c>
      <c r="V1694">
        <f t="shared" si="578"/>
        <v>6.4778830915532978E-2</v>
      </c>
      <c r="W1694">
        <f t="shared" si="579"/>
        <v>3.7498599661668877E-3</v>
      </c>
      <c r="X1694">
        <f t="shared" si="580"/>
        <v>2.3905357284313908E-2</v>
      </c>
      <c r="Y1694">
        <f t="shared" si="581"/>
        <v>4.6873249577086097E-4</v>
      </c>
      <c r="Z1694">
        <f t="shared" si="582"/>
        <v>2.9061414737793379E-3</v>
      </c>
      <c r="AA1694">
        <f t="shared" si="583"/>
        <v>0.11046440609483488</v>
      </c>
      <c r="AB1694">
        <f t="shared" si="584"/>
        <v>3.6455669858578711E-2</v>
      </c>
      <c r="AC1694">
        <f t="shared" si="585"/>
        <v>3.043780083837494E-2</v>
      </c>
      <c r="AD1694">
        <f t="shared" si="586"/>
        <v>3.8698554850842282E-3</v>
      </c>
      <c r="AE1694">
        <f t="shared" si="587"/>
        <v>1.2546562714298635E-2</v>
      </c>
      <c r="AG1694">
        <f t="shared" si="588"/>
        <v>0.17839532600563185</v>
      </c>
      <c r="AH1694">
        <f t="shared" si="589"/>
        <v>0.16291594735759082</v>
      </c>
      <c r="AI1694">
        <f t="shared" si="590"/>
        <v>-0.60355710201617463</v>
      </c>
      <c r="AK1694" s="26" t="e">
        <f t="shared" si="591"/>
        <v>#DIV/0!</v>
      </c>
      <c r="AL1694" s="26" t="e">
        <f t="shared" si="592"/>
        <v>#DIV/0!</v>
      </c>
      <c r="AM1694" s="26" t="e">
        <f t="shared" si="593"/>
        <v>#DIV/0!</v>
      </c>
      <c r="AN1694" s="26" t="e">
        <f t="shared" si="594"/>
        <v>#DIV/0!</v>
      </c>
      <c r="AO1694" s="26" t="e">
        <f t="shared" si="595"/>
        <v>#DIV/0!</v>
      </c>
      <c r="AP1694" s="26" t="e">
        <f t="shared" si="596"/>
        <v>#DIV/0!</v>
      </c>
      <c r="AS1694" s="2">
        <v>43786</v>
      </c>
      <c r="AT1694">
        <v>14.8</v>
      </c>
      <c r="AU1694">
        <v>16.5</v>
      </c>
      <c r="AV1694">
        <v>43.4</v>
      </c>
      <c r="AW1694">
        <v>1.4</v>
      </c>
      <c r="AX1694">
        <v>24.09</v>
      </c>
      <c r="AY1694">
        <v>0.6</v>
      </c>
      <c r="AZ1694">
        <v>2.9</v>
      </c>
      <c r="BA1694">
        <v>343.57499999999999</v>
      </c>
      <c r="BB1694">
        <v>154.41130000000001</v>
      </c>
      <c r="BC1694">
        <v>77.977199999999996</v>
      </c>
      <c r="BD1694">
        <v>4.32</v>
      </c>
      <c r="BE1694">
        <v>14.505599999999999</v>
      </c>
      <c r="BH1694">
        <v>96.39</v>
      </c>
    </row>
    <row r="1695" spans="1:60" x14ac:dyDescent="0.25">
      <c r="A1695" s="2">
        <v>43806</v>
      </c>
      <c r="B1695">
        <v>12</v>
      </c>
      <c r="C1695">
        <v>0</v>
      </c>
      <c r="D1695">
        <v>85.7</v>
      </c>
      <c r="E1695">
        <v>3.9</v>
      </c>
      <c r="F1695">
        <v>19.96</v>
      </c>
      <c r="G1695">
        <v>0.5</v>
      </c>
      <c r="H1695">
        <v>3.2</v>
      </c>
      <c r="I1695">
        <v>163.71420000000001</v>
      </c>
      <c r="J1695">
        <v>54.4636</v>
      </c>
      <c r="K1695">
        <v>55.386400000000002</v>
      </c>
      <c r="L1695">
        <v>4.1478999999999999</v>
      </c>
      <c r="M1695">
        <v>25.5688</v>
      </c>
      <c r="P1695">
        <v>92.41</v>
      </c>
      <c r="S1695">
        <f t="shared" si="575"/>
        <v>428.54089999999997</v>
      </c>
      <c r="T1695">
        <f t="shared" si="576"/>
        <v>1.1249579898500664E-2</v>
      </c>
      <c r="U1695">
        <f t="shared" si="577"/>
        <v>0</v>
      </c>
      <c r="V1695">
        <f t="shared" si="578"/>
        <v>8.0340749775125564E-2</v>
      </c>
      <c r="W1695">
        <f t="shared" si="579"/>
        <v>3.6561134670127153E-3</v>
      </c>
      <c r="X1695">
        <f t="shared" si="580"/>
        <v>1.8711801231172769E-2</v>
      </c>
      <c r="Y1695">
        <f t="shared" si="581"/>
        <v>4.6873249577086097E-4</v>
      </c>
      <c r="Z1695">
        <f t="shared" si="582"/>
        <v>2.9998879729335104E-3</v>
      </c>
      <c r="AA1695">
        <f t="shared" si="583"/>
        <v>0.15347633111825978</v>
      </c>
      <c r="AB1695">
        <f t="shared" si="584"/>
        <v>5.1057718313331724E-2</v>
      </c>
      <c r="AC1695">
        <f t="shared" si="585"/>
        <v>5.192281100752643E-2</v>
      </c>
      <c r="AD1695">
        <f t="shared" si="586"/>
        <v>3.8885110384159084E-3</v>
      </c>
      <c r="AE1695">
        <f t="shared" si="587"/>
        <v>2.3969854875731979E-2</v>
      </c>
      <c r="AG1695">
        <f t="shared" si="588"/>
        <v>0.18178486858809043</v>
      </c>
      <c r="AH1695">
        <f t="shared" si="589"/>
        <v>0.14139671971624804</v>
      </c>
      <c r="AI1695">
        <f t="shared" si="590"/>
        <v>-0.74178939172852709</v>
      </c>
      <c r="AK1695" s="26" t="e">
        <f t="shared" si="591"/>
        <v>#DIV/0!</v>
      </c>
      <c r="AL1695" s="26" t="e">
        <f t="shared" si="592"/>
        <v>#DIV/0!</v>
      </c>
      <c r="AM1695" s="26" t="e">
        <f t="shared" si="593"/>
        <v>#DIV/0!</v>
      </c>
      <c r="AN1695" s="26" t="e">
        <f t="shared" si="594"/>
        <v>#DIV/0!</v>
      </c>
      <c r="AO1695" s="26" t="e">
        <f t="shared" si="595"/>
        <v>#DIV/0!</v>
      </c>
      <c r="AP1695" s="26" t="e">
        <f t="shared" si="596"/>
        <v>#DIV/0!</v>
      </c>
      <c r="AS1695" s="2">
        <v>43785</v>
      </c>
      <c r="AT1695">
        <v>16</v>
      </c>
      <c r="AU1695">
        <v>7.7</v>
      </c>
      <c r="AV1695">
        <v>39.6</v>
      </c>
      <c r="AW1695">
        <v>1.6</v>
      </c>
      <c r="AX1695">
        <v>34</v>
      </c>
      <c r="AY1695">
        <v>0.2</v>
      </c>
      <c r="AZ1695">
        <v>3.1</v>
      </c>
      <c r="BA1695">
        <v>336.26490000000001</v>
      </c>
      <c r="BB1695">
        <v>187.87020000000001</v>
      </c>
      <c r="BC1695">
        <v>86.671199999999999</v>
      </c>
      <c r="BD1695">
        <v>4.3262999999999998</v>
      </c>
      <c r="BE1695">
        <v>8.3064999999999998</v>
      </c>
      <c r="BH1695">
        <v>96.49</v>
      </c>
    </row>
    <row r="1696" spans="1:60" x14ac:dyDescent="0.25">
      <c r="A1696" s="2">
        <v>43805</v>
      </c>
      <c r="B1696">
        <v>13.3</v>
      </c>
      <c r="C1696">
        <v>14.5</v>
      </c>
      <c r="D1696">
        <v>64.2</v>
      </c>
      <c r="E1696">
        <v>3.4</v>
      </c>
      <c r="F1696">
        <v>32.65</v>
      </c>
      <c r="G1696">
        <v>0.5</v>
      </c>
      <c r="H1696">
        <v>3.3</v>
      </c>
      <c r="I1696">
        <v>234.874</v>
      </c>
      <c r="J1696">
        <v>109.6082</v>
      </c>
      <c r="K1696">
        <v>89.6143</v>
      </c>
      <c r="L1696">
        <v>4.2191000000000001</v>
      </c>
      <c r="M1696">
        <v>23.017399999999999</v>
      </c>
      <c r="N1696">
        <v>1.0235000000000001</v>
      </c>
      <c r="O1696">
        <v>8.5400000000000004E-2</v>
      </c>
      <c r="P1696">
        <v>92.54</v>
      </c>
      <c r="S1696">
        <f t="shared" si="575"/>
        <v>593.18299999999999</v>
      </c>
      <c r="T1696">
        <f t="shared" si="576"/>
        <v>1.2468284387504903E-2</v>
      </c>
      <c r="U1696">
        <f t="shared" si="577"/>
        <v>1.3593242377354967E-2</v>
      </c>
      <c r="V1696">
        <f t="shared" si="578"/>
        <v>6.0185252456978547E-2</v>
      </c>
      <c r="W1696">
        <f t="shared" si="579"/>
        <v>3.1873809712418544E-3</v>
      </c>
      <c r="X1696">
        <f t="shared" si="580"/>
        <v>3.0608231973837219E-2</v>
      </c>
      <c r="Y1696">
        <f t="shared" si="581"/>
        <v>4.6873249577086097E-4</v>
      </c>
      <c r="Z1696">
        <f t="shared" si="582"/>
        <v>3.0936344720876819E-3</v>
      </c>
      <c r="AA1696">
        <f t="shared" si="583"/>
        <v>0.22018615242337039</v>
      </c>
      <c r="AB1696">
        <f t="shared" si="584"/>
        <v>0.10275385028590336</v>
      </c>
      <c r="AC1696">
        <f t="shared" si="585"/>
        <v>8.4010268991517326E-2</v>
      </c>
      <c r="AD1696">
        <f t="shared" si="586"/>
        <v>3.9552585458136787E-3</v>
      </c>
      <c r="AE1696">
        <f t="shared" si="587"/>
        <v>2.1578006696312428E-2</v>
      </c>
      <c r="AG1696">
        <f t="shared" si="588"/>
        <v>0.20059582106428017</v>
      </c>
      <c r="AH1696">
        <f t="shared" si="589"/>
        <v>0.14518276583108847</v>
      </c>
      <c r="AI1696">
        <f t="shared" si="590"/>
        <v>-0.72225916466495288</v>
      </c>
      <c r="AK1696" s="26" t="e">
        <f t="shared" si="591"/>
        <v>#DIV/0!</v>
      </c>
      <c r="AL1696" s="26" t="e">
        <f t="shared" si="592"/>
        <v>#DIV/0!</v>
      </c>
      <c r="AM1696" s="26" t="e">
        <f t="shared" si="593"/>
        <v>#DIV/0!</v>
      </c>
      <c r="AN1696" s="26" t="e">
        <f t="shared" si="594"/>
        <v>#DIV/0!</v>
      </c>
      <c r="AO1696" s="26" t="e">
        <f t="shared" si="595"/>
        <v>#DIV/0!</v>
      </c>
      <c r="AP1696" s="26" t="e">
        <f t="shared" si="596"/>
        <v>#DIV/0!</v>
      </c>
      <c r="AS1696" s="2">
        <v>43784</v>
      </c>
      <c r="AT1696">
        <v>12.3</v>
      </c>
      <c r="AU1696">
        <v>136</v>
      </c>
      <c r="AV1696">
        <v>77.3</v>
      </c>
      <c r="AW1696">
        <v>2.6</v>
      </c>
      <c r="AX1696">
        <v>26.74</v>
      </c>
      <c r="AY1696">
        <v>0.1</v>
      </c>
      <c r="AZ1696">
        <v>3.1</v>
      </c>
      <c r="BA1696">
        <v>313.96289999999999</v>
      </c>
      <c r="BB1696">
        <v>190.8073</v>
      </c>
      <c r="BC1696">
        <v>100.99639999999999</v>
      </c>
      <c r="BD1696">
        <v>4.3011999999999997</v>
      </c>
      <c r="BE1696">
        <v>28.7516</v>
      </c>
      <c r="BH1696">
        <v>96.62</v>
      </c>
    </row>
    <row r="1697" spans="1:60" x14ac:dyDescent="0.25">
      <c r="A1697" s="2">
        <v>43804</v>
      </c>
      <c r="B1697">
        <v>14.3</v>
      </c>
      <c r="C1697">
        <v>17.600000000000001</v>
      </c>
      <c r="D1697">
        <v>76.7</v>
      </c>
      <c r="E1697">
        <v>1.1000000000000001</v>
      </c>
      <c r="F1697">
        <v>48.67</v>
      </c>
      <c r="G1697">
        <v>0.5</v>
      </c>
      <c r="H1697">
        <v>3.9</v>
      </c>
      <c r="I1697">
        <v>362.50510000000003</v>
      </c>
      <c r="J1697">
        <v>218.624</v>
      </c>
      <c r="K1697">
        <v>157.92789999999999</v>
      </c>
      <c r="L1697">
        <v>5.1280999999999999</v>
      </c>
      <c r="M1697">
        <v>26.6402</v>
      </c>
      <c r="N1697">
        <v>1.0302</v>
      </c>
      <c r="O1697">
        <v>0.42499999999999999</v>
      </c>
      <c r="P1697">
        <v>92.81</v>
      </c>
      <c r="S1697">
        <f t="shared" si="575"/>
        <v>933.59530000000018</v>
      </c>
      <c r="T1697">
        <f t="shared" si="576"/>
        <v>1.3405749379046624E-2</v>
      </c>
      <c r="U1697">
        <f t="shared" si="577"/>
        <v>1.6499383851134308E-2</v>
      </c>
      <c r="V1697">
        <f t="shared" si="578"/>
        <v>7.1903564851250074E-2</v>
      </c>
      <c r="W1697">
        <f t="shared" si="579"/>
        <v>1.0312114906958943E-3</v>
      </c>
      <c r="X1697">
        <f t="shared" si="580"/>
        <v>4.5626421138335607E-2</v>
      </c>
      <c r="Y1697">
        <f t="shared" si="581"/>
        <v>4.6873249577086097E-4</v>
      </c>
      <c r="Z1697">
        <f t="shared" si="582"/>
        <v>3.6561134670127153E-3</v>
      </c>
      <c r="AA1697">
        <f t="shared" si="583"/>
        <v>0.33983584050533105</v>
      </c>
      <c r="AB1697">
        <f t="shared" si="584"/>
        <v>0.20495234631081741</v>
      </c>
      <c r="AC1697">
        <f t="shared" si="585"/>
        <v>0.1480518774377019</v>
      </c>
      <c r="AD1697">
        <f t="shared" si="586"/>
        <v>4.8074142231251038E-3</v>
      </c>
      <c r="AE1697">
        <f t="shared" si="587"/>
        <v>2.4974254867669781E-2</v>
      </c>
      <c r="AG1697">
        <f t="shared" si="588"/>
        <v>0.23897912562069629</v>
      </c>
      <c r="AH1697">
        <f t="shared" si="589"/>
        <v>0.17756543154091586</v>
      </c>
      <c r="AI1697">
        <f t="shared" si="590"/>
        <v>-0.52351059337048478</v>
      </c>
      <c r="AK1697" s="26" t="e">
        <f t="shared" si="591"/>
        <v>#DIV/0!</v>
      </c>
      <c r="AL1697" s="26" t="e">
        <f t="shared" si="592"/>
        <v>#DIV/0!</v>
      </c>
      <c r="AM1697" s="26" t="e">
        <f t="shared" si="593"/>
        <v>#DIV/0!</v>
      </c>
      <c r="AN1697" s="26" t="e">
        <f t="shared" si="594"/>
        <v>#DIV/0!</v>
      </c>
      <c r="AO1697" s="26" t="e">
        <f t="shared" si="595"/>
        <v>#DIV/0!</v>
      </c>
      <c r="AP1697" s="26" t="e">
        <f t="shared" si="596"/>
        <v>#DIV/0!</v>
      </c>
      <c r="AS1697" s="2">
        <v>43783</v>
      </c>
      <c r="AT1697">
        <v>15.6</v>
      </c>
      <c r="AU1697">
        <v>0.3</v>
      </c>
      <c r="AV1697">
        <v>26.3</v>
      </c>
      <c r="AW1697">
        <v>1.4</v>
      </c>
      <c r="AX1697">
        <v>73.27</v>
      </c>
      <c r="AY1697">
        <v>0.1</v>
      </c>
      <c r="AZ1697">
        <v>3.1</v>
      </c>
      <c r="BA1697">
        <v>333.77730000000003</v>
      </c>
      <c r="BB1697">
        <v>277.71010000000001</v>
      </c>
      <c r="BC1697">
        <v>154.41659999999999</v>
      </c>
      <c r="BD1697">
        <v>4.3238000000000003</v>
      </c>
      <c r="BE1697">
        <v>23.527200000000001</v>
      </c>
      <c r="BH1697">
        <v>96.76</v>
      </c>
    </row>
    <row r="1698" spans="1:60" x14ac:dyDescent="0.25">
      <c r="A1698" s="2">
        <v>43803</v>
      </c>
      <c r="B1698">
        <v>15</v>
      </c>
      <c r="C1698">
        <v>31.8</v>
      </c>
      <c r="D1698">
        <v>60.4</v>
      </c>
      <c r="E1698">
        <v>0.9</v>
      </c>
      <c r="F1698">
        <v>60.29</v>
      </c>
      <c r="G1698">
        <v>0.5</v>
      </c>
      <c r="H1698">
        <v>3.9</v>
      </c>
      <c r="I1698">
        <v>361.23880000000003</v>
      </c>
      <c r="J1698">
        <v>250.55250000000001</v>
      </c>
      <c r="K1698">
        <v>149.85249999999999</v>
      </c>
      <c r="L1698">
        <v>4.3650000000000002</v>
      </c>
      <c r="M1698">
        <v>32.9741</v>
      </c>
      <c r="N1698">
        <v>0.70679999999999998</v>
      </c>
      <c r="O1698">
        <v>0.70679999999999998</v>
      </c>
      <c r="P1698">
        <v>93.21</v>
      </c>
      <c r="S1698">
        <f t="shared" si="575"/>
        <v>971.77290000000005</v>
      </c>
      <c r="T1698">
        <f t="shared" si="576"/>
        <v>1.4061974873125828E-2</v>
      </c>
      <c r="U1698">
        <f t="shared" si="577"/>
        <v>2.9811386731026759E-2</v>
      </c>
      <c r="V1698">
        <f t="shared" si="578"/>
        <v>5.6622885489119999E-2</v>
      </c>
      <c r="W1698">
        <f t="shared" si="579"/>
        <v>8.4371849238754971E-4</v>
      </c>
      <c r="X1698">
        <f t="shared" si="580"/>
        <v>5.6519764340050412E-2</v>
      </c>
      <c r="Y1698">
        <f t="shared" si="581"/>
        <v>4.6873249577086097E-4</v>
      </c>
      <c r="Z1698">
        <f t="shared" si="582"/>
        <v>3.6561134670127153E-3</v>
      </c>
      <c r="AA1698">
        <f t="shared" si="583"/>
        <v>0.33864872858654177</v>
      </c>
      <c r="AB1698">
        <f t="shared" si="584"/>
        <v>0.2348841972932573</v>
      </c>
      <c r="AC1698">
        <f t="shared" si="585"/>
        <v>0.14048147264500588</v>
      </c>
      <c r="AD1698">
        <f t="shared" si="586"/>
        <v>4.0920346880796163E-3</v>
      </c>
      <c r="AE1698">
        <f t="shared" si="587"/>
        <v>3.0912064377595892E-2</v>
      </c>
      <c r="AG1698">
        <f t="shared" si="588"/>
        <v>0.29549864303429435</v>
      </c>
      <c r="AH1698">
        <f t="shared" si="589"/>
        <v>0.19289664026609005</v>
      </c>
      <c r="AI1698">
        <f t="shared" si="590"/>
        <v>-0.43022821492548069</v>
      </c>
      <c r="AK1698" s="26" t="e">
        <f t="shared" si="591"/>
        <v>#DIV/0!</v>
      </c>
      <c r="AL1698" s="26" t="e">
        <f t="shared" si="592"/>
        <v>#DIV/0!</v>
      </c>
      <c r="AM1698" s="26" t="e">
        <f t="shared" si="593"/>
        <v>#DIV/0!</v>
      </c>
      <c r="AN1698" s="26" t="e">
        <f t="shared" si="594"/>
        <v>#DIV/0!</v>
      </c>
      <c r="AO1698" s="26" t="e">
        <f t="shared" si="595"/>
        <v>#DIV/0!</v>
      </c>
      <c r="AP1698" s="26" t="e">
        <f t="shared" si="596"/>
        <v>#DIV/0!</v>
      </c>
      <c r="AS1698" s="2">
        <v>43782</v>
      </c>
      <c r="AT1698">
        <v>16.100000000000001</v>
      </c>
      <c r="AU1698">
        <v>36.799999999999997</v>
      </c>
      <c r="AV1698">
        <v>60.3</v>
      </c>
      <c r="AW1698">
        <v>1.4</v>
      </c>
      <c r="AX1698">
        <v>30.97</v>
      </c>
      <c r="AY1698">
        <v>0.1</v>
      </c>
      <c r="AZ1698">
        <v>3.1</v>
      </c>
      <c r="BA1698">
        <v>311.13889999999998</v>
      </c>
      <c r="BB1698">
        <v>260.41609999999997</v>
      </c>
      <c r="BC1698">
        <v>149.05789999999999</v>
      </c>
      <c r="BD1698">
        <v>4.3357999999999999</v>
      </c>
      <c r="BE1698">
        <v>24.131399999999999</v>
      </c>
      <c r="BH1698">
        <v>96.97</v>
      </c>
    </row>
    <row r="1699" spans="1:60" x14ac:dyDescent="0.25">
      <c r="A1699" s="2">
        <v>43802</v>
      </c>
      <c r="B1699">
        <v>15.7</v>
      </c>
      <c r="C1699">
        <v>0.2</v>
      </c>
      <c r="D1699">
        <v>46.3</v>
      </c>
      <c r="E1699">
        <v>1.1000000000000001</v>
      </c>
      <c r="F1699">
        <v>35.1</v>
      </c>
      <c r="G1699">
        <v>0.5</v>
      </c>
      <c r="H1699">
        <v>4</v>
      </c>
      <c r="I1699">
        <v>371.13099999999997</v>
      </c>
      <c r="J1699">
        <v>288.05509999999998</v>
      </c>
      <c r="K1699">
        <v>171.6404</v>
      </c>
      <c r="L1699">
        <v>5.4988999999999999</v>
      </c>
      <c r="M1699">
        <v>27.347899999999999</v>
      </c>
      <c r="N1699">
        <v>1.4135</v>
      </c>
      <c r="O1699">
        <v>1.6214</v>
      </c>
      <c r="P1699">
        <v>93.58</v>
      </c>
      <c r="S1699">
        <f t="shared" si="575"/>
        <v>966.57330000000002</v>
      </c>
      <c r="T1699">
        <f t="shared" si="576"/>
        <v>1.4718200367205033E-2</v>
      </c>
      <c r="U1699">
        <f t="shared" si="577"/>
        <v>1.874929983083444E-4</v>
      </c>
      <c r="V1699">
        <f t="shared" si="578"/>
        <v>4.340462910838172E-2</v>
      </c>
      <c r="W1699">
        <f t="shared" si="579"/>
        <v>1.0312114906958943E-3</v>
      </c>
      <c r="X1699">
        <f t="shared" si="580"/>
        <v>3.2905021203114442E-2</v>
      </c>
      <c r="Y1699">
        <f t="shared" si="581"/>
        <v>4.6873249577086097E-4</v>
      </c>
      <c r="Z1699">
        <f t="shared" si="582"/>
        <v>3.7498599661668877E-3</v>
      </c>
      <c r="AA1699">
        <f t="shared" si="583"/>
        <v>0.34792231977587079</v>
      </c>
      <c r="AB1699">
        <f t="shared" si="584"/>
        <v>0.27004157188504985</v>
      </c>
      <c r="AC1699">
        <f t="shared" si="585"/>
        <v>0.16090686613421776</v>
      </c>
      <c r="AD1699">
        <f t="shared" si="586"/>
        <v>5.1550262419887746E-3</v>
      </c>
      <c r="AE1699">
        <f t="shared" si="587"/>
        <v>2.5637698842183854E-2</v>
      </c>
      <c r="AG1699">
        <f t="shared" si="588"/>
        <v>0.34791405932002767</v>
      </c>
      <c r="AH1699">
        <f t="shared" si="589"/>
        <v>0.12210284647182704</v>
      </c>
      <c r="AI1699">
        <f t="shared" si="590"/>
        <v>-0.87295962627907431</v>
      </c>
      <c r="AK1699" s="26" t="e">
        <f t="shared" si="591"/>
        <v>#DIV/0!</v>
      </c>
      <c r="AL1699" s="26" t="e">
        <f t="shared" si="592"/>
        <v>#DIV/0!</v>
      </c>
      <c r="AM1699" s="26" t="e">
        <f t="shared" si="593"/>
        <v>#DIV/0!</v>
      </c>
      <c r="AN1699" s="26" t="e">
        <f t="shared" si="594"/>
        <v>#DIV/0!</v>
      </c>
      <c r="AO1699" s="26" t="e">
        <f t="shared" si="595"/>
        <v>#DIV/0!</v>
      </c>
      <c r="AP1699" s="26" t="e">
        <f t="shared" si="596"/>
        <v>#DIV/0!</v>
      </c>
      <c r="AS1699" s="2">
        <v>43781</v>
      </c>
      <c r="AT1699">
        <v>14.7</v>
      </c>
      <c r="AU1699">
        <v>21.3</v>
      </c>
      <c r="AV1699">
        <v>70</v>
      </c>
      <c r="AW1699">
        <v>1.8</v>
      </c>
      <c r="AX1699">
        <v>37.049999999999997</v>
      </c>
      <c r="AY1699">
        <v>0.3</v>
      </c>
      <c r="AZ1699">
        <v>3</v>
      </c>
      <c r="BA1699">
        <v>313.06979999999999</v>
      </c>
      <c r="BB1699">
        <v>178.05670000000001</v>
      </c>
      <c r="BC1699">
        <v>116.9568</v>
      </c>
      <c r="BD1699">
        <v>4.3254000000000001</v>
      </c>
      <c r="BE1699">
        <v>16.111499999999999</v>
      </c>
      <c r="BH1699">
        <v>97.16</v>
      </c>
    </row>
    <row r="1700" spans="1:60" x14ac:dyDescent="0.25">
      <c r="A1700" s="2">
        <v>43801</v>
      </c>
      <c r="B1700">
        <v>14.5</v>
      </c>
      <c r="C1700">
        <v>14.2</v>
      </c>
      <c r="D1700">
        <v>62.2</v>
      </c>
      <c r="E1700">
        <v>1.5</v>
      </c>
      <c r="F1700">
        <v>31.7</v>
      </c>
      <c r="G1700">
        <v>0.5</v>
      </c>
      <c r="H1700">
        <v>3.6</v>
      </c>
      <c r="I1700">
        <v>369.65820000000002</v>
      </c>
      <c r="J1700">
        <v>228.50030000000001</v>
      </c>
      <c r="K1700">
        <v>159.0316</v>
      </c>
      <c r="L1700">
        <v>3.6190000000000002</v>
      </c>
      <c r="M1700">
        <v>29.285900000000002</v>
      </c>
      <c r="N1700">
        <v>1.6046</v>
      </c>
      <c r="O1700">
        <v>1.3547</v>
      </c>
      <c r="P1700">
        <v>93.89</v>
      </c>
      <c r="S1700">
        <f t="shared" si="575"/>
        <v>918.29500000000007</v>
      </c>
      <c r="T1700">
        <f t="shared" si="576"/>
        <v>1.3593242377354967E-2</v>
      </c>
      <c r="U1700">
        <f t="shared" si="577"/>
        <v>1.331200287989245E-2</v>
      </c>
      <c r="V1700">
        <f t="shared" si="578"/>
        <v>5.8310322473895108E-2</v>
      </c>
      <c r="W1700">
        <f t="shared" si="579"/>
        <v>1.406197487312583E-3</v>
      </c>
      <c r="X1700">
        <f t="shared" si="580"/>
        <v>2.9717640231872584E-2</v>
      </c>
      <c r="Y1700">
        <f t="shared" si="581"/>
        <v>4.6873249577086097E-4</v>
      </c>
      <c r="Z1700">
        <f t="shared" si="582"/>
        <v>3.3748739695501988E-3</v>
      </c>
      <c r="AA1700">
        <f t="shared" si="583"/>
        <v>0.34654162133632815</v>
      </c>
      <c r="AB1700">
        <f t="shared" si="584"/>
        <v>0.21421103180678092</v>
      </c>
      <c r="AC1700">
        <f t="shared" si="585"/>
        <v>0.14908655754886649</v>
      </c>
      <c r="AD1700">
        <f t="shared" si="586"/>
        <v>3.392685804389492E-3</v>
      </c>
      <c r="AE1700">
        <f t="shared" si="587"/>
        <v>2.7454505995791714E-2</v>
      </c>
      <c r="AG1700">
        <f t="shared" si="588"/>
        <v>0.39210438861568636</v>
      </c>
      <c r="AH1700">
        <f t="shared" si="589"/>
        <v>0.14763751791144045</v>
      </c>
      <c r="AI1700">
        <f t="shared" si="590"/>
        <v>-0.71993332271217791</v>
      </c>
      <c r="AK1700" s="26" t="e">
        <f t="shared" si="591"/>
        <v>#DIV/0!</v>
      </c>
      <c r="AL1700" s="26" t="e">
        <f t="shared" si="592"/>
        <v>#DIV/0!</v>
      </c>
      <c r="AM1700" s="26" t="e">
        <f t="shared" si="593"/>
        <v>#DIV/0!</v>
      </c>
      <c r="AN1700" s="26" t="e">
        <f t="shared" si="594"/>
        <v>#DIV/0!</v>
      </c>
      <c r="AO1700" s="26" t="e">
        <f t="shared" si="595"/>
        <v>#DIV/0!</v>
      </c>
      <c r="AP1700" s="26" t="e">
        <f t="shared" si="596"/>
        <v>#DIV/0!</v>
      </c>
      <c r="AS1700" s="2">
        <v>43780</v>
      </c>
      <c r="AT1700">
        <v>13.2</v>
      </c>
      <c r="AU1700">
        <v>3.3</v>
      </c>
      <c r="AV1700">
        <v>62.3</v>
      </c>
      <c r="AW1700">
        <v>1.2</v>
      </c>
      <c r="AX1700">
        <v>41.28</v>
      </c>
      <c r="AY1700">
        <v>0.5</v>
      </c>
      <c r="AZ1700">
        <v>3.1</v>
      </c>
      <c r="BA1700">
        <v>355.75920000000002</v>
      </c>
      <c r="BB1700">
        <v>191.40620000000001</v>
      </c>
      <c r="BC1700">
        <v>100.6277</v>
      </c>
      <c r="BD1700">
        <v>4.3863000000000003</v>
      </c>
      <c r="BE1700">
        <v>24.7971</v>
      </c>
      <c r="BH1700">
        <v>97.33</v>
      </c>
    </row>
    <row r="1701" spans="1:60" x14ac:dyDescent="0.25">
      <c r="A1701" s="2">
        <v>43800</v>
      </c>
      <c r="B1701">
        <v>15.2</v>
      </c>
      <c r="C1701">
        <v>242.6</v>
      </c>
      <c r="D1701">
        <v>13.7</v>
      </c>
      <c r="E1701">
        <v>0.1</v>
      </c>
      <c r="F1701">
        <v>24.03</v>
      </c>
      <c r="G1701">
        <v>0.5</v>
      </c>
      <c r="H1701">
        <v>3.2</v>
      </c>
      <c r="I1701">
        <v>355.20479999999998</v>
      </c>
      <c r="J1701">
        <v>192.4521</v>
      </c>
      <c r="K1701">
        <v>101.7689</v>
      </c>
      <c r="L1701">
        <v>3.0505</v>
      </c>
      <c r="M1701">
        <v>17.718299999999999</v>
      </c>
      <c r="P1701">
        <v>94.23</v>
      </c>
      <c r="S1701">
        <f t="shared" si="575"/>
        <v>969.52459999999996</v>
      </c>
      <c r="T1701">
        <f t="shared" si="576"/>
        <v>1.4249467871434173E-2</v>
      </c>
      <c r="U1701">
        <f t="shared" si="577"/>
        <v>0.22742900694802173</v>
      </c>
      <c r="V1701">
        <f t="shared" si="578"/>
        <v>1.2843270384121589E-2</v>
      </c>
      <c r="W1701">
        <f t="shared" si="579"/>
        <v>9.3746499154172199E-5</v>
      </c>
      <c r="X1701">
        <f t="shared" si="580"/>
        <v>2.2527283746747579E-2</v>
      </c>
      <c r="Y1701">
        <f t="shared" si="581"/>
        <v>4.6873249577086097E-4</v>
      </c>
      <c r="Z1701">
        <f t="shared" si="582"/>
        <v>2.9998879729335104E-3</v>
      </c>
      <c r="AA1701">
        <f t="shared" si="583"/>
        <v>0.33299206482757898</v>
      </c>
      <c r="AB1701">
        <f t="shared" si="584"/>
        <v>0.18041710629868662</v>
      </c>
      <c r="AC1701">
        <f t="shared" si="585"/>
        <v>9.5404780977710352E-2</v>
      </c>
      <c r="AD1701">
        <f t="shared" si="586"/>
        <v>2.8597369566980228E-3</v>
      </c>
      <c r="AE1701">
        <f t="shared" si="587"/>
        <v>1.6610285959633691E-2</v>
      </c>
      <c r="AG1701">
        <f t="shared" si="588"/>
        <v>0.44053028413232431</v>
      </c>
      <c r="AH1701">
        <f t="shared" si="589"/>
        <v>0.29722168187781728</v>
      </c>
      <c r="AI1701">
        <f t="shared" si="590"/>
        <v>0.20481698619457772</v>
      </c>
      <c r="AK1701" s="26" t="e">
        <f t="shared" si="591"/>
        <v>#DIV/0!</v>
      </c>
      <c r="AL1701" s="26" t="e">
        <f t="shared" si="592"/>
        <v>#DIV/0!</v>
      </c>
      <c r="AM1701" s="26" t="e">
        <f t="shared" si="593"/>
        <v>#DIV/0!</v>
      </c>
      <c r="AN1701" s="26" t="e">
        <f t="shared" si="594"/>
        <v>#DIV/0!</v>
      </c>
      <c r="AO1701" s="26" t="e">
        <f t="shared" si="595"/>
        <v>#DIV/0!</v>
      </c>
      <c r="AP1701" s="26" t="e">
        <f t="shared" si="596"/>
        <v>#DIV/0!</v>
      </c>
      <c r="AS1701" s="2">
        <v>43779</v>
      </c>
      <c r="AT1701">
        <v>14.8</v>
      </c>
      <c r="AU1701">
        <v>1.7</v>
      </c>
      <c r="AV1701">
        <v>31.1</v>
      </c>
      <c r="AW1701">
        <v>0.4</v>
      </c>
      <c r="AX1701">
        <v>66.349999999999994</v>
      </c>
      <c r="AY1701">
        <v>0.5</v>
      </c>
      <c r="AZ1701">
        <v>2.9</v>
      </c>
      <c r="BA1701">
        <v>360.67340000000002</v>
      </c>
      <c r="BB1701">
        <v>164.0155</v>
      </c>
      <c r="BC1701">
        <v>84.982799999999997</v>
      </c>
      <c r="BD1701">
        <v>4.383</v>
      </c>
      <c r="BE1701">
        <v>13.395200000000001</v>
      </c>
      <c r="BH1701">
        <v>97.45</v>
      </c>
    </row>
    <row r="1702" spans="1:60" x14ac:dyDescent="0.25">
      <c r="A1702" s="2">
        <v>43799</v>
      </c>
      <c r="B1702">
        <v>16.399999999999999</v>
      </c>
      <c r="C1702">
        <v>0.7</v>
      </c>
      <c r="D1702">
        <v>32.6</v>
      </c>
      <c r="E1702">
        <v>1.1000000000000001</v>
      </c>
      <c r="F1702">
        <v>47.92</v>
      </c>
      <c r="G1702">
        <v>0.5</v>
      </c>
      <c r="H1702">
        <v>2.8</v>
      </c>
      <c r="I1702">
        <v>361.72269999999997</v>
      </c>
      <c r="J1702">
        <v>172.1678</v>
      </c>
      <c r="K1702">
        <v>95.868099999999998</v>
      </c>
      <c r="L1702">
        <v>3.0308000000000002</v>
      </c>
      <c r="M1702">
        <v>17.010200000000001</v>
      </c>
      <c r="P1702">
        <v>94.2</v>
      </c>
      <c r="S1702">
        <f t="shared" si="575"/>
        <v>751.81960000000004</v>
      </c>
      <c r="T1702">
        <f t="shared" si="576"/>
        <v>1.5374425861284237E-2</v>
      </c>
      <c r="U1702">
        <f t="shared" si="577"/>
        <v>6.5622549407920526E-4</v>
      </c>
      <c r="V1702">
        <f t="shared" si="578"/>
        <v>3.0561358724260135E-2</v>
      </c>
      <c r="W1702">
        <f t="shared" si="579"/>
        <v>1.0312114906958943E-3</v>
      </c>
      <c r="X1702">
        <f t="shared" si="580"/>
        <v>4.4923322394679319E-2</v>
      </c>
      <c r="Y1702">
        <f t="shared" si="581"/>
        <v>4.6873249577086097E-4</v>
      </c>
      <c r="Z1702">
        <f t="shared" si="582"/>
        <v>2.624901976316821E-3</v>
      </c>
      <c r="AA1702">
        <f t="shared" si="583"/>
        <v>0.33910236789594878</v>
      </c>
      <c r="AB1702">
        <f t="shared" si="584"/>
        <v>0.16140128517075686</v>
      </c>
      <c r="AC1702">
        <f t="shared" si="585"/>
        <v>8.9872987555620953E-2</v>
      </c>
      <c r="AD1702">
        <f t="shared" si="586"/>
        <v>2.841268896364651E-3</v>
      </c>
      <c r="AE1702">
        <f t="shared" si="587"/>
        <v>1.5946466999122999E-2</v>
      </c>
      <c r="AG1702">
        <f t="shared" si="588"/>
        <v>0.43813181552944913</v>
      </c>
      <c r="AH1702">
        <f t="shared" si="589"/>
        <v>0.11158664543620946</v>
      </c>
      <c r="AI1702">
        <f t="shared" si="590"/>
        <v>-0.94290617518611097</v>
      </c>
      <c r="AK1702" s="26" t="e">
        <f t="shared" si="591"/>
        <v>#DIV/0!</v>
      </c>
      <c r="AL1702" s="26" t="e">
        <f t="shared" si="592"/>
        <v>#DIV/0!</v>
      </c>
      <c r="AM1702" s="26" t="e">
        <f t="shared" si="593"/>
        <v>#DIV/0!</v>
      </c>
      <c r="AN1702" s="26" t="e">
        <f t="shared" si="594"/>
        <v>#DIV/0!</v>
      </c>
      <c r="AO1702" s="26" t="e">
        <f t="shared" si="595"/>
        <v>#DIV/0!</v>
      </c>
      <c r="AP1702" s="26" t="e">
        <f t="shared" si="596"/>
        <v>#DIV/0!</v>
      </c>
      <c r="AS1702" s="2">
        <v>43778</v>
      </c>
      <c r="AT1702">
        <v>16.2</v>
      </c>
      <c r="AU1702">
        <v>3.7</v>
      </c>
      <c r="AV1702">
        <v>17.5</v>
      </c>
      <c r="AW1702">
        <v>0.6</v>
      </c>
      <c r="AX1702">
        <v>32.72</v>
      </c>
      <c r="AY1702">
        <v>0.5</v>
      </c>
      <c r="AZ1702">
        <v>3.1</v>
      </c>
      <c r="BA1702">
        <v>359.3725</v>
      </c>
      <c r="BB1702">
        <v>205.86160000000001</v>
      </c>
      <c r="BC1702">
        <v>99.896299999999997</v>
      </c>
      <c r="BD1702">
        <v>4.3909000000000002</v>
      </c>
      <c r="BE1702">
        <v>13.7875</v>
      </c>
      <c r="BH1702">
        <v>97.47</v>
      </c>
    </row>
    <row r="1703" spans="1:60" x14ac:dyDescent="0.25">
      <c r="A1703" s="2">
        <v>43798</v>
      </c>
      <c r="B1703">
        <v>14.4</v>
      </c>
      <c r="C1703">
        <v>1</v>
      </c>
      <c r="D1703">
        <v>80.599999999999994</v>
      </c>
      <c r="E1703">
        <v>3.9</v>
      </c>
      <c r="F1703">
        <v>31.85</v>
      </c>
      <c r="G1703">
        <v>0.3</v>
      </c>
      <c r="H1703">
        <v>3.1</v>
      </c>
      <c r="I1703">
        <v>286.72989999999999</v>
      </c>
      <c r="J1703">
        <v>148.35570000000001</v>
      </c>
      <c r="K1703">
        <v>86.801500000000004</v>
      </c>
      <c r="L1703">
        <v>3.34</v>
      </c>
      <c r="M1703">
        <v>18.325900000000001</v>
      </c>
      <c r="N1703">
        <v>-5.5978000000000003</v>
      </c>
      <c r="O1703">
        <v>-6.9793000000000003</v>
      </c>
      <c r="P1703">
        <v>94.47</v>
      </c>
      <c r="S1703">
        <f t="shared" si="575"/>
        <v>678.70300000000009</v>
      </c>
      <c r="T1703">
        <f t="shared" si="576"/>
        <v>1.3499495878200795E-2</v>
      </c>
      <c r="U1703">
        <f t="shared" si="577"/>
        <v>9.3746499154172193E-4</v>
      </c>
      <c r="V1703">
        <f t="shared" si="578"/>
        <v>7.5559678318262782E-2</v>
      </c>
      <c r="W1703">
        <f t="shared" si="579"/>
        <v>3.6561134670127153E-3</v>
      </c>
      <c r="X1703">
        <f t="shared" si="580"/>
        <v>2.9858259980603843E-2</v>
      </c>
      <c r="Y1703">
        <f t="shared" si="581"/>
        <v>2.8123949746251657E-4</v>
      </c>
      <c r="Z1703">
        <f t="shared" si="582"/>
        <v>2.9061414737793379E-3</v>
      </c>
      <c r="AA1703">
        <f t="shared" si="583"/>
        <v>0.26879924327825877</v>
      </c>
      <c r="AB1703">
        <f t="shared" si="584"/>
        <v>0.13907827504566625</v>
      </c>
      <c r="AC1703">
        <f t="shared" si="585"/>
        <v>8.1373367463308782E-2</v>
      </c>
      <c r="AD1703">
        <f t="shared" si="586"/>
        <v>3.1311330717493512E-3</v>
      </c>
      <c r="AE1703">
        <f t="shared" si="587"/>
        <v>1.7179889688494442E-2</v>
      </c>
      <c r="AG1703">
        <f t="shared" si="588"/>
        <v>0.4769445163578156</v>
      </c>
      <c r="AH1703">
        <f t="shared" si="589"/>
        <v>0.14387828329535815</v>
      </c>
      <c r="AI1703">
        <f t="shared" si="590"/>
        <v>-0.7501201571131263</v>
      </c>
      <c r="AK1703" s="26" t="e">
        <f t="shared" si="591"/>
        <v>#DIV/0!</v>
      </c>
      <c r="AL1703" s="26" t="e">
        <f t="shared" si="592"/>
        <v>#DIV/0!</v>
      </c>
      <c r="AM1703" s="26" t="e">
        <f t="shared" si="593"/>
        <v>#DIV/0!</v>
      </c>
      <c r="AN1703" s="26" t="e">
        <f t="shared" si="594"/>
        <v>#DIV/0!</v>
      </c>
      <c r="AO1703" s="26" t="e">
        <f t="shared" si="595"/>
        <v>#DIV/0!</v>
      </c>
      <c r="AP1703" s="26" t="e">
        <f t="shared" si="596"/>
        <v>#DIV/0!</v>
      </c>
      <c r="AS1703" s="2">
        <v>43777</v>
      </c>
      <c r="AT1703">
        <v>16</v>
      </c>
      <c r="AU1703">
        <v>0.3</v>
      </c>
      <c r="AV1703">
        <v>34.4</v>
      </c>
      <c r="AW1703">
        <v>0.7</v>
      </c>
      <c r="AX1703">
        <v>35.14</v>
      </c>
      <c r="AY1703">
        <v>0.5</v>
      </c>
      <c r="AZ1703">
        <v>3</v>
      </c>
      <c r="BA1703">
        <v>359.51240000000001</v>
      </c>
      <c r="BB1703">
        <v>247.53890000000001</v>
      </c>
      <c r="BC1703">
        <v>151.3852</v>
      </c>
      <c r="BD1703">
        <v>4.4295999999999998</v>
      </c>
      <c r="BE1703">
        <v>33.5032</v>
      </c>
      <c r="BH1703">
        <v>97.48</v>
      </c>
    </row>
    <row r="1704" spans="1:60" x14ac:dyDescent="0.25">
      <c r="A1704" s="2">
        <v>43797</v>
      </c>
      <c r="B1704">
        <v>12.9</v>
      </c>
      <c r="C1704">
        <v>1.1000000000000001</v>
      </c>
      <c r="D1704">
        <v>57.6</v>
      </c>
      <c r="E1704">
        <v>4.5</v>
      </c>
      <c r="F1704">
        <v>26.04</v>
      </c>
      <c r="H1704">
        <v>2.8</v>
      </c>
      <c r="I1704">
        <v>274.98750000000001</v>
      </c>
      <c r="J1704">
        <v>104.6889</v>
      </c>
      <c r="K1704">
        <v>52.588999999999999</v>
      </c>
      <c r="L1704">
        <v>3.0341</v>
      </c>
      <c r="M1704">
        <v>17.143599999999999</v>
      </c>
      <c r="N1704">
        <v>-5.7073</v>
      </c>
      <c r="O1704">
        <v>-7.5427</v>
      </c>
      <c r="P1704">
        <v>94.53</v>
      </c>
      <c r="S1704">
        <f t="shared" si="575"/>
        <v>557.38310000000001</v>
      </c>
      <c r="T1704">
        <f t="shared" si="576"/>
        <v>1.2093298390888213E-2</v>
      </c>
      <c r="U1704">
        <f t="shared" si="577"/>
        <v>1.0312114906958943E-3</v>
      </c>
      <c r="V1704">
        <f t="shared" si="578"/>
        <v>5.3997983512803181E-2</v>
      </c>
      <c r="W1704">
        <f t="shared" si="579"/>
        <v>4.2185924619377486E-3</v>
      </c>
      <c r="X1704">
        <f t="shared" si="580"/>
        <v>2.4411588379746437E-2</v>
      </c>
      <c r="Y1704">
        <f t="shared" si="581"/>
        <v>0</v>
      </c>
      <c r="Z1704">
        <f t="shared" si="582"/>
        <v>2.624901976316821E-3</v>
      </c>
      <c r="AA1704">
        <f t="shared" si="583"/>
        <v>0.25779115436157929</v>
      </c>
      <c r="AB1704">
        <f t="shared" si="584"/>
        <v>9.8142178753012177E-2</v>
      </c>
      <c r="AC1704">
        <f t="shared" si="585"/>
        <v>4.930034644018761E-2</v>
      </c>
      <c r="AD1704">
        <f t="shared" si="586"/>
        <v>2.8443625308367383E-3</v>
      </c>
      <c r="AE1704">
        <f t="shared" si="587"/>
        <v>1.6071524828994661E-2</v>
      </c>
      <c r="AG1704">
        <f t="shared" si="588"/>
        <v>0.48711855683880734</v>
      </c>
      <c r="AH1704">
        <f t="shared" si="589"/>
        <v>0.11444910104138295</v>
      </c>
      <c r="AI1704">
        <f t="shared" si="590"/>
        <v>-0.93639224676438559</v>
      </c>
      <c r="AK1704" s="26" t="e">
        <f t="shared" si="591"/>
        <v>#DIV/0!</v>
      </c>
      <c r="AL1704" s="26" t="e">
        <f t="shared" si="592"/>
        <v>#DIV/0!</v>
      </c>
      <c r="AM1704" s="26" t="e">
        <f t="shared" si="593"/>
        <v>#DIV/0!</v>
      </c>
      <c r="AN1704" s="26" t="e">
        <f t="shared" si="594"/>
        <v>#DIV/0!</v>
      </c>
      <c r="AO1704" s="26" t="e">
        <f t="shared" si="595"/>
        <v>#DIV/0!</v>
      </c>
      <c r="AP1704" s="26" t="e">
        <f t="shared" si="596"/>
        <v>#DIV/0!</v>
      </c>
      <c r="AS1704" s="2">
        <v>43776</v>
      </c>
      <c r="AT1704">
        <v>17</v>
      </c>
      <c r="AU1704">
        <v>12</v>
      </c>
      <c r="AV1704">
        <v>31</v>
      </c>
      <c r="AW1704">
        <v>0.8</v>
      </c>
      <c r="AX1704">
        <v>57.68</v>
      </c>
      <c r="AY1704">
        <v>0.5</v>
      </c>
      <c r="AZ1704">
        <v>3</v>
      </c>
      <c r="BA1704">
        <v>361.71629999999999</v>
      </c>
      <c r="BB1704">
        <v>207.1865</v>
      </c>
      <c r="BC1704">
        <v>141.53280000000001</v>
      </c>
      <c r="BD1704">
        <v>4.4413</v>
      </c>
      <c r="BE1704">
        <v>18.211200000000002</v>
      </c>
      <c r="BH1704">
        <v>97.55</v>
      </c>
    </row>
    <row r="1705" spans="1:60" x14ac:dyDescent="0.25">
      <c r="A1705" s="2">
        <v>43796</v>
      </c>
      <c r="B1705">
        <v>13.6</v>
      </c>
      <c r="C1705">
        <v>0.2</v>
      </c>
      <c r="D1705">
        <v>48.1</v>
      </c>
      <c r="E1705">
        <v>1.9</v>
      </c>
      <c r="F1705">
        <v>17.84</v>
      </c>
      <c r="G1705">
        <v>0.1</v>
      </c>
      <c r="H1705">
        <v>2.9</v>
      </c>
      <c r="I1705">
        <v>376.96359999999999</v>
      </c>
      <c r="J1705">
        <v>183.6388</v>
      </c>
      <c r="K1705">
        <v>85.045400000000001</v>
      </c>
      <c r="L1705">
        <v>5.9507000000000003</v>
      </c>
      <c r="M1705">
        <v>20.8857</v>
      </c>
      <c r="N1705">
        <v>-5.9016999999999999</v>
      </c>
      <c r="O1705">
        <v>-6.8605</v>
      </c>
      <c r="P1705">
        <v>94.56</v>
      </c>
      <c r="S1705">
        <f t="shared" si="575"/>
        <v>757.12419999999997</v>
      </c>
      <c r="T1705">
        <f t="shared" si="576"/>
        <v>1.2749523884967418E-2</v>
      </c>
      <c r="U1705">
        <f t="shared" si="577"/>
        <v>1.874929983083444E-4</v>
      </c>
      <c r="V1705">
        <f t="shared" si="578"/>
        <v>4.5092066093156823E-2</v>
      </c>
      <c r="W1705">
        <f t="shared" si="579"/>
        <v>1.7811834839292716E-3</v>
      </c>
      <c r="X1705">
        <f t="shared" si="580"/>
        <v>1.6724375449104319E-2</v>
      </c>
      <c r="Y1705">
        <f t="shared" si="581"/>
        <v>9.3746499154172199E-5</v>
      </c>
      <c r="Z1705">
        <f t="shared" si="582"/>
        <v>2.7186484754709935E-3</v>
      </c>
      <c r="AA1705">
        <f t="shared" si="583"/>
        <v>0.35339017808553702</v>
      </c>
      <c r="AB1705">
        <f t="shared" si="584"/>
        <v>0.17215494608873197</v>
      </c>
      <c r="AC1705">
        <f t="shared" si="585"/>
        <v>7.9727085191662356E-2</v>
      </c>
      <c r="AD1705">
        <f t="shared" si="586"/>
        <v>5.5785729251673251E-3</v>
      </c>
      <c r="AE1705">
        <f t="shared" si="587"/>
        <v>1.9579612573842942E-2</v>
      </c>
      <c r="AG1705">
        <f t="shared" si="588"/>
        <v>0.49324405340568872</v>
      </c>
      <c r="AH1705">
        <f t="shared" si="589"/>
        <v>9.8926649457934279E-2</v>
      </c>
      <c r="AI1705">
        <f t="shared" si="590"/>
        <v>-1.0391223696851219</v>
      </c>
      <c r="AK1705" s="26" t="e">
        <f t="shared" si="591"/>
        <v>#DIV/0!</v>
      </c>
      <c r="AL1705" s="26" t="e">
        <f t="shared" si="592"/>
        <v>#DIV/0!</v>
      </c>
      <c r="AM1705" s="26" t="e">
        <f t="shared" si="593"/>
        <v>#DIV/0!</v>
      </c>
      <c r="AN1705" s="26" t="e">
        <f t="shared" si="594"/>
        <v>#DIV/0!</v>
      </c>
      <c r="AO1705" s="26" t="e">
        <f t="shared" si="595"/>
        <v>#DIV/0!</v>
      </c>
      <c r="AP1705" s="26" t="e">
        <f t="shared" si="596"/>
        <v>#DIV/0!</v>
      </c>
      <c r="AS1705" s="2">
        <v>43775</v>
      </c>
      <c r="AT1705">
        <v>17.600000000000001</v>
      </c>
      <c r="AU1705">
        <v>0.9</v>
      </c>
      <c r="AV1705">
        <v>11.2</v>
      </c>
      <c r="AW1705">
        <v>0.4</v>
      </c>
      <c r="AX1705">
        <v>33.950000000000003</v>
      </c>
      <c r="AY1705">
        <v>0.5</v>
      </c>
      <c r="AZ1705">
        <v>2.8</v>
      </c>
      <c r="BA1705">
        <v>337.38529999999997</v>
      </c>
      <c r="BB1705">
        <v>219.18289999999999</v>
      </c>
      <c r="BC1705">
        <v>164.89680000000001</v>
      </c>
      <c r="BD1705">
        <v>4.4604999999999997</v>
      </c>
      <c r="BE1705">
        <v>27.714600000000001</v>
      </c>
      <c r="BH1705">
        <v>97.57</v>
      </c>
    </row>
    <row r="1706" spans="1:60" x14ac:dyDescent="0.25">
      <c r="A1706" s="2">
        <v>43795</v>
      </c>
      <c r="B1706">
        <v>14.4</v>
      </c>
      <c r="C1706">
        <v>33.1</v>
      </c>
      <c r="D1706">
        <v>30.5</v>
      </c>
      <c r="E1706">
        <v>0.5</v>
      </c>
      <c r="F1706">
        <v>23.69</v>
      </c>
      <c r="G1706">
        <v>0.5</v>
      </c>
      <c r="H1706">
        <v>3.2</v>
      </c>
      <c r="I1706">
        <v>382.69600000000003</v>
      </c>
      <c r="J1706">
        <v>281.77109999999999</v>
      </c>
      <c r="K1706">
        <v>143.93379999999999</v>
      </c>
      <c r="L1706">
        <v>6.6829000000000001</v>
      </c>
      <c r="M1706">
        <v>26.700800000000001</v>
      </c>
      <c r="N1706">
        <v>-6.0225999999999997</v>
      </c>
      <c r="O1706">
        <v>-6.7557</v>
      </c>
      <c r="P1706">
        <v>94.61</v>
      </c>
      <c r="S1706">
        <f t="shared" si="575"/>
        <v>947.67459999999994</v>
      </c>
      <c r="T1706">
        <f t="shared" si="576"/>
        <v>1.3499495878200795E-2</v>
      </c>
      <c r="U1706">
        <f t="shared" si="577"/>
        <v>3.1030091220030996E-2</v>
      </c>
      <c r="V1706">
        <f t="shared" si="578"/>
        <v>2.8592682242022518E-2</v>
      </c>
      <c r="W1706">
        <f t="shared" si="579"/>
        <v>4.6873249577086097E-4</v>
      </c>
      <c r="X1706">
        <f t="shared" si="580"/>
        <v>2.2208545649623393E-2</v>
      </c>
      <c r="Y1706">
        <f t="shared" si="581"/>
        <v>4.6873249577086097E-4</v>
      </c>
      <c r="Z1706">
        <f t="shared" si="582"/>
        <v>2.9998879729335104E-3</v>
      </c>
      <c r="AA1706">
        <f t="shared" si="583"/>
        <v>0.35876410240305084</v>
      </c>
      <c r="AB1706">
        <f t="shared" si="584"/>
        <v>0.26415054187820169</v>
      </c>
      <c r="AC1706">
        <f t="shared" si="585"/>
        <v>0.13493289859956789</v>
      </c>
      <c r="AD1706">
        <f t="shared" si="586"/>
        <v>6.2649847919741732E-3</v>
      </c>
      <c r="AE1706">
        <f t="shared" si="587"/>
        <v>2.5031065246157211E-2</v>
      </c>
      <c r="AG1706">
        <f t="shared" si="588"/>
        <v>0.50213408770210355</v>
      </c>
      <c r="AH1706">
        <f t="shared" si="589"/>
        <v>0.12429923320051013</v>
      </c>
      <c r="AI1706">
        <f t="shared" si="590"/>
        <v>-0.89110515753070729</v>
      </c>
      <c r="AK1706" s="26" t="e">
        <f t="shared" si="591"/>
        <v>#DIV/0!</v>
      </c>
      <c r="AL1706" s="26" t="e">
        <f t="shared" si="592"/>
        <v>#DIV/0!</v>
      </c>
      <c r="AM1706" s="26" t="e">
        <f t="shared" si="593"/>
        <v>#DIV/0!</v>
      </c>
      <c r="AN1706" s="26" t="e">
        <f t="shared" si="594"/>
        <v>#DIV/0!</v>
      </c>
      <c r="AO1706" s="26" t="e">
        <f t="shared" si="595"/>
        <v>#DIV/0!</v>
      </c>
      <c r="AP1706" s="26" t="e">
        <f t="shared" si="596"/>
        <v>#DIV/0!</v>
      </c>
      <c r="AS1706" s="2">
        <v>43774</v>
      </c>
      <c r="AT1706">
        <v>13.1</v>
      </c>
      <c r="AU1706">
        <v>197.2</v>
      </c>
      <c r="AV1706">
        <v>29.5</v>
      </c>
      <c r="AW1706">
        <v>0.6</v>
      </c>
      <c r="AX1706">
        <v>36.950000000000003</v>
      </c>
      <c r="AY1706">
        <v>0.5</v>
      </c>
      <c r="AZ1706">
        <v>2.4</v>
      </c>
      <c r="BA1706">
        <v>313.1182</v>
      </c>
      <c r="BB1706">
        <v>182.51840000000001</v>
      </c>
      <c r="BC1706">
        <v>152.85339999999999</v>
      </c>
      <c r="BD1706">
        <v>6.1894999999999998</v>
      </c>
      <c r="BE1706">
        <v>18.412400000000002</v>
      </c>
      <c r="BH1706">
        <v>97.6</v>
      </c>
    </row>
    <row r="1707" spans="1:60" x14ac:dyDescent="0.25">
      <c r="A1707" s="2">
        <v>43794</v>
      </c>
      <c r="B1707">
        <v>13.6</v>
      </c>
      <c r="C1707">
        <v>0.9</v>
      </c>
      <c r="D1707">
        <v>11.1</v>
      </c>
      <c r="E1707">
        <v>0.4</v>
      </c>
      <c r="F1707">
        <v>15.69</v>
      </c>
      <c r="G1707">
        <v>0.5</v>
      </c>
      <c r="H1707">
        <v>3.2</v>
      </c>
      <c r="I1707">
        <v>379.98630000000003</v>
      </c>
      <c r="J1707">
        <v>257.74799999999999</v>
      </c>
      <c r="K1707">
        <v>151.64760000000001</v>
      </c>
      <c r="L1707">
        <v>7.1738</v>
      </c>
      <c r="M1707">
        <v>38.118499999999997</v>
      </c>
      <c r="N1707">
        <v>-5.6502999999999997</v>
      </c>
      <c r="O1707">
        <v>-5.7168000000000001</v>
      </c>
      <c r="P1707">
        <v>94.67</v>
      </c>
      <c r="S1707">
        <f t="shared" si="575"/>
        <v>880.06420000000003</v>
      </c>
      <c r="T1707">
        <f t="shared" si="576"/>
        <v>1.2749523884967418E-2</v>
      </c>
      <c r="U1707">
        <f t="shared" si="577"/>
        <v>8.4371849238754971E-4</v>
      </c>
      <c r="V1707">
        <f t="shared" si="578"/>
        <v>1.0405861406113113E-2</v>
      </c>
      <c r="W1707">
        <f t="shared" si="579"/>
        <v>3.7498599661668879E-4</v>
      </c>
      <c r="X1707">
        <f t="shared" si="580"/>
        <v>1.4708825717289617E-2</v>
      </c>
      <c r="Y1707">
        <f t="shared" si="581"/>
        <v>4.6873249577086097E-4</v>
      </c>
      <c r="Z1707">
        <f t="shared" si="582"/>
        <v>2.9998879729335104E-3</v>
      </c>
      <c r="AA1707">
        <f t="shared" si="583"/>
        <v>0.35622385351547026</v>
      </c>
      <c r="AB1707">
        <f t="shared" si="584"/>
        <v>0.24162972663989574</v>
      </c>
      <c r="AC1707">
        <f t="shared" si="585"/>
        <v>0.14216431605132243</v>
      </c>
      <c r="AD1707">
        <f t="shared" si="586"/>
        <v>6.7251863563220042E-3</v>
      </c>
      <c r="AE1707">
        <f t="shared" si="587"/>
        <v>3.5734759280083121E-2</v>
      </c>
      <c r="AG1707">
        <f t="shared" si="588"/>
        <v>0.51243316596650434</v>
      </c>
      <c r="AH1707">
        <f t="shared" si="589"/>
        <v>7.8286295246161874E-2</v>
      </c>
      <c r="AI1707">
        <f t="shared" si="590"/>
        <v>-1.1813389166202379</v>
      </c>
      <c r="AK1707" s="26" t="e">
        <f t="shared" si="591"/>
        <v>#DIV/0!</v>
      </c>
      <c r="AL1707" s="26" t="e">
        <f t="shared" si="592"/>
        <v>#DIV/0!</v>
      </c>
      <c r="AM1707" s="26" t="e">
        <f t="shared" si="593"/>
        <v>#DIV/0!</v>
      </c>
      <c r="AN1707" s="26" t="e">
        <f t="shared" si="594"/>
        <v>#DIV/0!</v>
      </c>
      <c r="AO1707" s="26" t="e">
        <f t="shared" si="595"/>
        <v>#DIV/0!</v>
      </c>
      <c r="AP1707" s="26" t="e">
        <f t="shared" si="596"/>
        <v>#DIV/0!</v>
      </c>
      <c r="AS1707" s="2">
        <v>43773</v>
      </c>
      <c r="AT1707">
        <v>13.2</v>
      </c>
      <c r="AU1707">
        <v>0</v>
      </c>
      <c r="AV1707">
        <v>22.1</v>
      </c>
      <c r="AW1707">
        <v>0.6</v>
      </c>
      <c r="AX1707">
        <v>49.61</v>
      </c>
      <c r="AY1707">
        <v>0.5</v>
      </c>
      <c r="AZ1707">
        <v>3.1</v>
      </c>
      <c r="BA1707">
        <v>271.37939999999998</v>
      </c>
      <c r="BB1707">
        <v>142.0342</v>
      </c>
      <c r="BC1707">
        <v>121.58029999999999</v>
      </c>
      <c r="BD1707">
        <v>4.6649000000000003</v>
      </c>
      <c r="BE1707">
        <v>18.854399999999998</v>
      </c>
      <c r="BH1707">
        <v>97.63</v>
      </c>
    </row>
    <row r="1708" spans="1:60" x14ac:dyDescent="0.25">
      <c r="A1708" s="2">
        <v>43793</v>
      </c>
      <c r="B1708">
        <v>12.6</v>
      </c>
      <c r="C1708">
        <v>39.5</v>
      </c>
      <c r="D1708">
        <v>69.5</v>
      </c>
      <c r="E1708">
        <v>1.5</v>
      </c>
      <c r="F1708">
        <v>40.729999999999997</v>
      </c>
      <c r="G1708">
        <v>0.6</v>
      </c>
      <c r="H1708">
        <v>3</v>
      </c>
      <c r="I1708">
        <v>304.3544</v>
      </c>
      <c r="J1708">
        <v>104.4076</v>
      </c>
      <c r="K1708">
        <v>65.809600000000003</v>
      </c>
      <c r="L1708">
        <v>3.3586</v>
      </c>
      <c r="M1708">
        <v>19.679500000000001</v>
      </c>
      <c r="P1708">
        <v>94.81</v>
      </c>
      <c r="S1708">
        <f t="shared" si="575"/>
        <v>665.03970000000004</v>
      </c>
      <c r="T1708">
        <f t="shared" si="576"/>
        <v>1.1812058893425697E-2</v>
      </c>
      <c r="U1708">
        <f t="shared" si="577"/>
        <v>3.7029867165898019E-2</v>
      </c>
      <c r="V1708">
        <f t="shared" si="578"/>
        <v>6.5153816912149679E-2</v>
      </c>
      <c r="W1708">
        <f t="shared" si="579"/>
        <v>1.406197487312583E-3</v>
      </c>
      <c r="X1708">
        <f t="shared" si="580"/>
        <v>3.8182949105494329E-2</v>
      </c>
      <c r="Y1708">
        <f t="shared" si="581"/>
        <v>5.6247899492503314E-4</v>
      </c>
      <c r="Z1708">
        <f t="shared" si="582"/>
        <v>2.8123949746251659E-3</v>
      </c>
      <c r="AA1708">
        <f t="shared" si="583"/>
        <v>0.28532159502168586</v>
      </c>
      <c r="AB1708">
        <f t="shared" si="584"/>
        <v>9.7878469850891492E-2</v>
      </c>
      <c r="AC1708">
        <f t="shared" si="585"/>
        <v>6.1694196107364103E-2</v>
      </c>
      <c r="AD1708">
        <f t="shared" si="586"/>
        <v>3.148569920592027E-3</v>
      </c>
      <c r="AE1708">
        <f t="shared" si="587"/>
        <v>1.8448842301045317E-2</v>
      </c>
      <c r="AG1708">
        <f t="shared" si="588"/>
        <v>0.53363562137531717</v>
      </c>
      <c r="AH1708">
        <f t="shared" si="589"/>
        <v>0.1754086058348758</v>
      </c>
      <c r="AI1708">
        <f t="shared" si="590"/>
        <v>-0.59275617750672094</v>
      </c>
      <c r="AK1708" s="26" t="e">
        <f t="shared" si="591"/>
        <v>#DIV/0!</v>
      </c>
      <c r="AL1708" s="26" t="e">
        <f t="shared" si="592"/>
        <v>#DIV/0!</v>
      </c>
      <c r="AM1708" s="26" t="e">
        <f t="shared" si="593"/>
        <v>#DIV/0!</v>
      </c>
      <c r="AN1708" s="26" t="e">
        <f t="shared" si="594"/>
        <v>#DIV/0!</v>
      </c>
      <c r="AO1708" s="26" t="e">
        <f t="shared" si="595"/>
        <v>#DIV/0!</v>
      </c>
      <c r="AP1708" s="26" t="e">
        <f t="shared" si="596"/>
        <v>#DIV/0!</v>
      </c>
      <c r="AS1708" s="2">
        <v>43772</v>
      </c>
      <c r="AT1708">
        <v>12.9</v>
      </c>
      <c r="AU1708">
        <v>20.399999999999999</v>
      </c>
      <c r="AV1708">
        <v>45.6</v>
      </c>
      <c r="AW1708">
        <v>1.3</v>
      </c>
      <c r="AX1708">
        <v>37.11</v>
      </c>
      <c r="AY1708">
        <v>0.5</v>
      </c>
      <c r="AZ1708">
        <v>2.8</v>
      </c>
      <c r="BA1708">
        <v>197.61519999999999</v>
      </c>
      <c r="BB1708">
        <v>52.316499999999998</v>
      </c>
      <c r="BC1708">
        <v>53.045299999999997</v>
      </c>
      <c r="BD1708">
        <v>4.5119999999999996</v>
      </c>
      <c r="BE1708">
        <v>19.142199999999999</v>
      </c>
      <c r="BH1708">
        <v>97.58</v>
      </c>
    </row>
    <row r="1709" spans="1:60" x14ac:dyDescent="0.25">
      <c r="A1709" s="2">
        <v>43792</v>
      </c>
      <c r="B1709">
        <v>13.5</v>
      </c>
      <c r="C1709">
        <v>0</v>
      </c>
      <c r="D1709">
        <v>82.2</v>
      </c>
      <c r="E1709">
        <v>2.6</v>
      </c>
      <c r="F1709">
        <v>50.04</v>
      </c>
      <c r="G1709">
        <v>0.6</v>
      </c>
      <c r="H1709">
        <v>3</v>
      </c>
      <c r="I1709">
        <v>275.33769999999998</v>
      </c>
      <c r="J1709">
        <v>60.331800000000001</v>
      </c>
      <c r="K1709">
        <v>58.353400000000001</v>
      </c>
      <c r="L1709">
        <v>3.3622000000000001</v>
      </c>
      <c r="M1709">
        <v>7.2141000000000002</v>
      </c>
      <c r="P1709">
        <v>94.81</v>
      </c>
      <c r="S1709">
        <f t="shared" si="575"/>
        <v>556.53920000000005</v>
      </c>
      <c r="T1709">
        <f t="shared" si="576"/>
        <v>1.2655777385813246E-2</v>
      </c>
      <c r="U1709">
        <f t="shared" si="577"/>
        <v>0</v>
      </c>
      <c r="V1709">
        <f t="shared" si="578"/>
        <v>7.7059622304729541E-2</v>
      </c>
      <c r="W1709">
        <f t="shared" si="579"/>
        <v>2.437408978008477E-3</v>
      </c>
      <c r="X1709">
        <f t="shared" si="580"/>
        <v>4.6910748176747764E-2</v>
      </c>
      <c r="Y1709">
        <f t="shared" si="581"/>
        <v>5.6247899492503314E-4</v>
      </c>
      <c r="Z1709">
        <f t="shared" si="582"/>
        <v>2.8123949746251659E-3</v>
      </c>
      <c r="AA1709">
        <f t="shared" si="583"/>
        <v>0.25811945460161717</v>
      </c>
      <c r="AB1709">
        <f t="shared" si="584"/>
        <v>5.6558950376696858E-2</v>
      </c>
      <c r="AC1709">
        <f t="shared" si="585"/>
        <v>5.4704269637430719E-2</v>
      </c>
      <c r="AD1709">
        <f t="shared" si="586"/>
        <v>3.1519447945615774E-3</v>
      </c>
      <c r="AE1709">
        <f t="shared" si="587"/>
        <v>6.7629661954811361E-3</v>
      </c>
      <c r="AG1709">
        <f t="shared" si="588"/>
        <v>0.53600634065970099</v>
      </c>
      <c r="AH1709">
        <f t="shared" si="589"/>
        <v>0.14920139701033036</v>
      </c>
      <c r="AI1709">
        <f t="shared" si="590"/>
        <v>-0.75749808947569119</v>
      </c>
      <c r="AK1709" s="26" t="e">
        <f t="shared" si="591"/>
        <v>#DIV/0!</v>
      </c>
      <c r="AL1709" s="26" t="e">
        <f t="shared" si="592"/>
        <v>#DIV/0!</v>
      </c>
      <c r="AM1709" s="26" t="e">
        <f t="shared" si="593"/>
        <v>#DIV/0!</v>
      </c>
      <c r="AN1709" s="26" t="e">
        <f t="shared" si="594"/>
        <v>#DIV/0!</v>
      </c>
      <c r="AO1709" s="26" t="e">
        <f t="shared" si="595"/>
        <v>#DIV/0!</v>
      </c>
      <c r="AP1709" s="26" t="e">
        <f t="shared" si="596"/>
        <v>#DIV/0!</v>
      </c>
      <c r="AS1709" s="2">
        <v>43771</v>
      </c>
      <c r="AT1709">
        <v>13.5</v>
      </c>
      <c r="AU1709">
        <v>2.6</v>
      </c>
      <c r="AV1709">
        <v>65.5</v>
      </c>
      <c r="AW1709">
        <v>2</v>
      </c>
      <c r="AX1709">
        <v>43.47</v>
      </c>
      <c r="AY1709">
        <v>0.5</v>
      </c>
      <c r="AZ1709">
        <v>3.1</v>
      </c>
      <c r="BA1709">
        <v>166.7492</v>
      </c>
      <c r="BB1709">
        <v>39.6342</v>
      </c>
      <c r="BC1709">
        <v>51.502600000000001</v>
      </c>
      <c r="BD1709">
        <v>4.5284000000000004</v>
      </c>
      <c r="BE1709">
        <v>14.911899999999999</v>
      </c>
      <c r="BH1709">
        <v>97.46</v>
      </c>
    </row>
    <row r="1710" spans="1:60" x14ac:dyDescent="0.25">
      <c r="A1710" s="2">
        <v>43791</v>
      </c>
      <c r="B1710">
        <v>14.8</v>
      </c>
      <c r="C1710">
        <v>1</v>
      </c>
      <c r="D1710">
        <v>37.200000000000003</v>
      </c>
      <c r="E1710">
        <v>0.6</v>
      </c>
      <c r="F1710">
        <v>32.200000000000003</v>
      </c>
      <c r="G1710">
        <v>0.5</v>
      </c>
      <c r="H1710">
        <v>3.5</v>
      </c>
      <c r="I1710">
        <v>375.9051</v>
      </c>
      <c r="J1710">
        <v>270.27409999999998</v>
      </c>
      <c r="K1710">
        <v>151.49170000000001</v>
      </c>
      <c r="L1710">
        <v>2.9823</v>
      </c>
      <c r="M1710">
        <v>20.066500000000001</v>
      </c>
      <c r="N1710">
        <v>-4.8479999999999999</v>
      </c>
      <c r="O1710">
        <v>-5.4271000000000003</v>
      </c>
      <c r="P1710">
        <v>94.83</v>
      </c>
      <c r="S1710">
        <f t="shared" si="575"/>
        <v>910.51970000000006</v>
      </c>
      <c r="T1710">
        <f t="shared" si="576"/>
        <v>1.3874481874817485E-2</v>
      </c>
      <c r="U1710">
        <f t="shared" si="577"/>
        <v>9.3746499154172193E-4</v>
      </c>
      <c r="V1710">
        <f t="shared" si="578"/>
        <v>3.4873697685352055E-2</v>
      </c>
      <c r="W1710">
        <f t="shared" si="579"/>
        <v>5.6247899492503314E-4</v>
      </c>
      <c r="X1710">
        <f t="shared" si="580"/>
        <v>3.0186372727643448E-2</v>
      </c>
      <c r="Y1710">
        <f t="shared" si="581"/>
        <v>4.6873249577086097E-4</v>
      </c>
      <c r="Z1710">
        <f t="shared" si="582"/>
        <v>3.2811274703960268E-3</v>
      </c>
      <c r="AA1710">
        <f t="shared" si="583"/>
        <v>0.35239787139199014</v>
      </c>
      <c r="AB1710">
        <f t="shared" si="584"/>
        <v>0.25337250687044649</v>
      </c>
      <c r="AC1710">
        <f t="shared" si="585"/>
        <v>0.14201816525914107</v>
      </c>
      <c r="AD1710">
        <f t="shared" si="586"/>
        <v>2.7958018442748771E-3</v>
      </c>
      <c r="AE1710">
        <f t="shared" si="587"/>
        <v>1.8811641252771964E-2</v>
      </c>
      <c r="AG1710">
        <f t="shared" si="588"/>
        <v>0.54110712126571403</v>
      </c>
      <c r="AH1710">
        <f t="shared" si="589"/>
        <v>0.10299599749321858</v>
      </c>
      <c r="AI1710">
        <f t="shared" si="590"/>
        <v>-1.0466197651873501</v>
      </c>
      <c r="AK1710" s="26" t="e">
        <f t="shared" si="591"/>
        <v>#DIV/0!</v>
      </c>
      <c r="AL1710" s="26" t="e">
        <f t="shared" si="592"/>
        <v>#DIV/0!</v>
      </c>
      <c r="AM1710" s="26" t="e">
        <f t="shared" si="593"/>
        <v>#DIV/0!</v>
      </c>
      <c r="AN1710" s="26" t="e">
        <f t="shared" si="594"/>
        <v>#DIV/0!</v>
      </c>
      <c r="AO1710" s="26" t="e">
        <f t="shared" si="595"/>
        <v>#DIV/0!</v>
      </c>
      <c r="AP1710" s="26" t="e">
        <f t="shared" si="596"/>
        <v>#DIV/0!</v>
      </c>
      <c r="AS1710" s="2">
        <v>43770</v>
      </c>
      <c r="AT1710">
        <v>15</v>
      </c>
      <c r="AU1710">
        <v>111</v>
      </c>
      <c r="AV1710">
        <v>52.3</v>
      </c>
      <c r="AW1710">
        <v>1.6</v>
      </c>
      <c r="AX1710">
        <v>40.659999999999997</v>
      </c>
      <c r="AY1710">
        <v>0.5</v>
      </c>
      <c r="AZ1710">
        <v>3.4</v>
      </c>
      <c r="BA1710">
        <v>227.55799999999999</v>
      </c>
      <c r="BB1710">
        <v>57.922699999999999</v>
      </c>
      <c r="BC1710">
        <v>117.8997</v>
      </c>
      <c r="BD1710">
        <v>4.5675999999999997</v>
      </c>
      <c r="BE1710">
        <v>13.212</v>
      </c>
      <c r="BH1710">
        <v>97.32</v>
      </c>
    </row>
    <row r="1711" spans="1:60" x14ac:dyDescent="0.25">
      <c r="A1711" s="2">
        <v>43790</v>
      </c>
      <c r="B1711">
        <v>15.8</v>
      </c>
      <c r="C1711">
        <v>22.6</v>
      </c>
      <c r="D1711">
        <v>26.3</v>
      </c>
      <c r="E1711">
        <v>0.3</v>
      </c>
      <c r="F1711">
        <v>20.75</v>
      </c>
      <c r="G1711">
        <v>0.3</v>
      </c>
      <c r="H1711">
        <v>2.8</v>
      </c>
      <c r="I1711">
        <v>374.59969999999998</v>
      </c>
      <c r="J1711">
        <v>331.27670000000001</v>
      </c>
      <c r="K1711">
        <v>184.5241</v>
      </c>
      <c r="L1711">
        <v>5.6063000000000001</v>
      </c>
      <c r="M1711">
        <v>31.163799999999998</v>
      </c>
      <c r="N1711">
        <v>-4.4345999999999997</v>
      </c>
      <c r="O1711">
        <v>-5.3239000000000001</v>
      </c>
      <c r="P1711">
        <v>95.04</v>
      </c>
      <c r="S1711">
        <f t="shared" si="575"/>
        <v>1016.0206000000001</v>
      </c>
      <c r="T1711">
        <f t="shared" si="576"/>
        <v>1.4811946866359206E-2</v>
      </c>
      <c r="U1711">
        <f t="shared" si="577"/>
        <v>2.1186708808842915E-2</v>
      </c>
      <c r="V1711">
        <f t="shared" si="578"/>
        <v>2.4655329277547287E-2</v>
      </c>
      <c r="W1711">
        <f t="shared" si="579"/>
        <v>2.8123949746251657E-4</v>
      </c>
      <c r="X1711">
        <f t="shared" si="580"/>
        <v>1.9452398574490729E-2</v>
      </c>
      <c r="Y1711">
        <f t="shared" si="581"/>
        <v>2.8123949746251657E-4</v>
      </c>
      <c r="Z1711">
        <f t="shared" si="582"/>
        <v>2.624901976316821E-3</v>
      </c>
      <c r="AA1711">
        <f t="shared" si="583"/>
        <v>0.35117410459203158</v>
      </c>
      <c r="AB1711">
        <f t="shared" si="584"/>
        <v>0.31056030876346957</v>
      </c>
      <c r="AC1711">
        <f t="shared" si="585"/>
        <v>0.17298488384574384</v>
      </c>
      <c r="AD1711">
        <f t="shared" si="586"/>
        <v>5.2557099820803553E-3</v>
      </c>
      <c r="AE1711">
        <f t="shared" si="587"/>
        <v>2.9214971503407912E-2</v>
      </c>
      <c r="AG1711">
        <f t="shared" si="588"/>
        <v>0.57182004564998645</v>
      </c>
      <c r="AH1711">
        <f t="shared" si="589"/>
        <v>0.1125087360018899</v>
      </c>
      <c r="AI1711">
        <f t="shared" si="590"/>
        <v>-0.99718463796436985</v>
      </c>
      <c r="AK1711" s="26" t="e">
        <f t="shared" si="591"/>
        <v>#DIV/0!</v>
      </c>
      <c r="AL1711" s="26" t="e">
        <f t="shared" si="592"/>
        <v>#DIV/0!</v>
      </c>
      <c r="AM1711" s="26" t="e">
        <f t="shared" si="593"/>
        <v>#DIV/0!</v>
      </c>
      <c r="AN1711" s="26" t="e">
        <f t="shared" si="594"/>
        <v>#DIV/0!</v>
      </c>
      <c r="AO1711" s="26" t="e">
        <f t="shared" si="595"/>
        <v>#DIV/0!</v>
      </c>
      <c r="AP1711" s="26" t="e">
        <f t="shared" si="596"/>
        <v>#DIV/0!</v>
      </c>
      <c r="AS1711" s="2">
        <v>43769</v>
      </c>
      <c r="AT1711">
        <v>16.3</v>
      </c>
      <c r="AU1711">
        <v>55.8</v>
      </c>
      <c r="AV1711">
        <v>13.4</v>
      </c>
      <c r="AW1711">
        <v>0.4</v>
      </c>
      <c r="AX1711">
        <v>105.07</v>
      </c>
      <c r="AY1711">
        <v>0.4</v>
      </c>
      <c r="AZ1711">
        <v>3.3</v>
      </c>
      <c r="BA1711">
        <v>314.7004</v>
      </c>
      <c r="BB1711">
        <v>198.35900000000001</v>
      </c>
      <c r="BC1711">
        <v>157.8193</v>
      </c>
      <c r="BD1711">
        <v>4.5824999999999996</v>
      </c>
      <c r="BE1711">
        <v>23.864000000000001</v>
      </c>
      <c r="BH1711">
        <v>97.27</v>
      </c>
    </row>
    <row r="1712" spans="1:60" x14ac:dyDescent="0.25">
      <c r="A1712" s="2">
        <v>43789</v>
      </c>
      <c r="B1712">
        <v>16.3</v>
      </c>
      <c r="C1712">
        <v>94</v>
      </c>
      <c r="D1712">
        <v>5.8</v>
      </c>
      <c r="E1712">
        <v>0</v>
      </c>
      <c r="F1712">
        <v>22.55</v>
      </c>
      <c r="H1712">
        <v>3.1</v>
      </c>
      <c r="I1712">
        <v>381.89640000000003</v>
      </c>
      <c r="J1712">
        <v>332.62369999999999</v>
      </c>
      <c r="K1712">
        <v>176.16419999999999</v>
      </c>
      <c r="L1712">
        <v>6.4185999999999996</v>
      </c>
      <c r="M1712">
        <v>44.050800000000002</v>
      </c>
      <c r="N1712">
        <v>-4.6181999999999999</v>
      </c>
      <c r="O1712">
        <v>-5.4090999999999996</v>
      </c>
      <c r="P1712">
        <v>95.41</v>
      </c>
      <c r="S1712">
        <f t="shared" si="575"/>
        <v>1082.9037000000001</v>
      </c>
      <c r="T1712">
        <f t="shared" si="576"/>
        <v>1.5280679362130067E-2</v>
      </c>
      <c r="U1712">
        <f t="shared" si="577"/>
        <v>8.8121709204921864E-2</v>
      </c>
      <c r="V1712">
        <f t="shared" si="578"/>
        <v>5.4372969509419869E-3</v>
      </c>
      <c r="W1712">
        <f t="shared" si="579"/>
        <v>0</v>
      </c>
      <c r="X1712">
        <f t="shared" si="580"/>
        <v>2.1139835559265831E-2</v>
      </c>
      <c r="Y1712">
        <f t="shared" si="581"/>
        <v>0</v>
      </c>
      <c r="Z1712">
        <f t="shared" si="582"/>
        <v>2.9061414737793379E-3</v>
      </c>
      <c r="AA1712">
        <f t="shared" si="583"/>
        <v>0.35801450539581409</v>
      </c>
      <c r="AB1712">
        <f t="shared" si="584"/>
        <v>0.31182307410707621</v>
      </c>
      <c r="AC1712">
        <f t="shared" si="585"/>
        <v>0.16514777026295421</v>
      </c>
      <c r="AD1712">
        <f t="shared" si="586"/>
        <v>6.0172127947096957E-3</v>
      </c>
      <c r="AE1712">
        <f t="shared" si="587"/>
        <v>4.1296082849406085E-2</v>
      </c>
      <c r="AG1712">
        <f t="shared" si="588"/>
        <v>0.62417322511393281</v>
      </c>
      <c r="AH1712">
        <f t="shared" si="589"/>
        <v>0.17418174540044518</v>
      </c>
      <c r="AI1712">
        <f t="shared" si="590"/>
        <v>-0.62594560865870164</v>
      </c>
      <c r="AK1712" s="26" t="e">
        <f t="shared" si="591"/>
        <v>#DIV/0!</v>
      </c>
      <c r="AL1712" s="26" t="e">
        <f t="shared" si="592"/>
        <v>#DIV/0!</v>
      </c>
      <c r="AM1712" s="26" t="e">
        <f t="shared" si="593"/>
        <v>#DIV/0!</v>
      </c>
      <c r="AN1712" s="26" t="e">
        <f t="shared" si="594"/>
        <v>#DIV/0!</v>
      </c>
      <c r="AO1712" s="26" t="e">
        <f t="shared" si="595"/>
        <v>#DIV/0!</v>
      </c>
      <c r="AP1712" s="26" t="e">
        <f t="shared" si="596"/>
        <v>#DIV/0!</v>
      </c>
      <c r="AS1712" s="2">
        <v>43768</v>
      </c>
      <c r="AT1712">
        <v>14.8</v>
      </c>
      <c r="AU1712">
        <v>33.200000000000003</v>
      </c>
      <c r="AV1712">
        <v>2.2999999999999998</v>
      </c>
      <c r="AW1712">
        <v>0.1</v>
      </c>
      <c r="AX1712">
        <v>81.209999999999994</v>
      </c>
      <c r="AZ1712">
        <v>3.3</v>
      </c>
      <c r="BA1712">
        <v>328.2253</v>
      </c>
      <c r="BB1712">
        <v>268.83519999999999</v>
      </c>
      <c r="BC1712">
        <v>161.7756</v>
      </c>
      <c r="BD1712">
        <v>4.5837000000000003</v>
      </c>
      <c r="BE1712">
        <v>27.8002</v>
      </c>
      <c r="BH1712">
        <v>97.63</v>
      </c>
    </row>
    <row r="1713" spans="1:60" x14ac:dyDescent="0.25">
      <c r="A1713" s="2">
        <v>43788</v>
      </c>
      <c r="B1713">
        <v>16.5</v>
      </c>
      <c r="C1713">
        <v>97.7</v>
      </c>
      <c r="D1713">
        <v>66</v>
      </c>
      <c r="E1713">
        <v>2.7</v>
      </c>
      <c r="F1713">
        <v>38.51</v>
      </c>
      <c r="G1713">
        <v>0.4</v>
      </c>
      <c r="H1713">
        <v>2.8</v>
      </c>
      <c r="I1713">
        <v>286.3562</v>
      </c>
      <c r="J1713">
        <v>218.2945</v>
      </c>
      <c r="K1713">
        <v>116.2272</v>
      </c>
      <c r="L1713">
        <v>6.2443</v>
      </c>
      <c r="M1713">
        <v>24.892099999999999</v>
      </c>
      <c r="N1713">
        <v>-3.9708000000000001</v>
      </c>
      <c r="O1713">
        <v>-4.6681999999999997</v>
      </c>
      <c r="P1713">
        <v>95.83</v>
      </c>
      <c r="S1713">
        <f t="shared" si="575"/>
        <v>876.62429999999995</v>
      </c>
      <c r="T1713">
        <f t="shared" si="576"/>
        <v>1.5468172360438412E-2</v>
      </c>
      <c r="U1713">
        <f t="shared" si="577"/>
        <v>9.1590329673626236E-2</v>
      </c>
      <c r="V1713">
        <f t="shared" si="578"/>
        <v>6.1872689441753649E-2</v>
      </c>
      <c r="W1713">
        <f t="shared" si="579"/>
        <v>2.5311554771626494E-3</v>
      </c>
      <c r="X1713">
        <f t="shared" si="580"/>
        <v>3.6101776824271709E-2</v>
      </c>
      <c r="Y1713">
        <f t="shared" si="581"/>
        <v>3.7498599661668879E-4</v>
      </c>
      <c r="Z1713">
        <f t="shared" si="582"/>
        <v>2.624901976316821E-3</v>
      </c>
      <c r="AA1713">
        <f t="shared" si="583"/>
        <v>0.26844891261091963</v>
      </c>
      <c r="AB1713">
        <f t="shared" si="584"/>
        <v>0.20464345159610442</v>
      </c>
      <c r="AC1713">
        <f t="shared" si="585"/>
        <v>0.10895893106491801</v>
      </c>
      <c r="AD1713">
        <f t="shared" si="586"/>
        <v>5.8538126466839745E-3</v>
      </c>
      <c r="AE1713">
        <f t="shared" si="587"/>
        <v>2.3335472315955695E-2</v>
      </c>
      <c r="AG1713">
        <f t="shared" si="588"/>
        <v>0.68352393152448898</v>
      </c>
      <c r="AH1713">
        <f t="shared" si="589"/>
        <v>0.23389948406614189</v>
      </c>
      <c r="AI1713">
        <f t="shared" si="590"/>
        <v>-0.26300575506398405</v>
      </c>
      <c r="AK1713" s="26" t="e">
        <f t="shared" si="591"/>
        <v>#DIV/0!</v>
      </c>
      <c r="AL1713" s="26" t="e">
        <f t="shared" si="592"/>
        <v>#DIV/0!</v>
      </c>
      <c r="AM1713" s="26" t="e">
        <f t="shared" si="593"/>
        <v>#DIV/0!</v>
      </c>
      <c r="AN1713" s="26" t="e">
        <f t="shared" si="594"/>
        <v>#DIV/0!</v>
      </c>
      <c r="AO1713" s="26" t="e">
        <f t="shared" si="595"/>
        <v>#DIV/0!</v>
      </c>
      <c r="AP1713" s="26" t="e">
        <f t="shared" si="596"/>
        <v>#DIV/0!</v>
      </c>
      <c r="AS1713" s="2">
        <v>43767</v>
      </c>
      <c r="AT1713">
        <v>14.8</v>
      </c>
      <c r="AU1713">
        <v>33.4</v>
      </c>
      <c r="AV1713">
        <v>11.1</v>
      </c>
      <c r="AW1713">
        <v>0.5</v>
      </c>
      <c r="AX1713">
        <v>60.5</v>
      </c>
      <c r="AY1713">
        <v>0.5</v>
      </c>
      <c r="AZ1713">
        <v>3.2</v>
      </c>
      <c r="BA1713">
        <v>332.90219999999999</v>
      </c>
      <c r="BB1713">
        <v>294.12630000000001</v>
      </c>
      <c r="BC1713">
        <v>170.86320000000001</v>
      </c>
      <c r="BD1713">
        <v>3.9398</v>
      </c>
      <c r="BE1713">
        <v>33.393700000000003</v>
      </c>
      <c r="BH1713">
        <v>97.74</v>
      </c>
    </row>
    <row r="1714" spans="1:60" x14ac:dyDescent="0.25">
      <c r="A1714" s="2">
        <v>43787</v>
      </c>
      <c r="B1714">
        <v>17.2</v>
      </c>
      <c r="C1714">
        <v>1.3</v>
      </c>
      <c r="D1714">
        <v>70.3</v>
      </c>
      <c r="E1714">
        <v>1.4</v>
      </c>
      <c r="F1714">
        <v>31.19</v>
      </c>
      <c r="G1714">
        <v>0.5</v>
      </c>
      <c r="H1714">
        <v>3.2</v>
      </c>
      <c r="I1714">
        <v>358.60289999999998</v>
      </c>
      <c r="J1714">
        <v>231.83160000000001</v>
      </c>
      <c r="K1714">
        <v>115.5158</v>
      </c>
      <c r="L1714">
        <v>4.3365999999999998</v>
      </c>
      <c r="M1714">
        <v>32.840000000000003</v>
      </c>
      <c r="N1714">
        <v>-3.867</v>
      </c>
      <c r="O1714">
        <v>-4.1513</v>
      </c>
      <c r="P1714">
        <v>96.15</v>
      </c>
      <c r="S1714">
        <f t="shared" si="575"/>
        <v>868.21690000000001</v>
      </c>
      <c r="T1714">
        <f t="shared" si="576"/>
        <v>1.6124397854517615E-2</v>
      </c>
      <c r="U1714">
        <f t="shared" si="577"/>
        <v>1.2187044890042385E-3</v>
      </c>
      <c r="V1714">
        <f t="shared" si="578"/>
        <v>6.5903788905383051E-2</v>
      </c>
      <c r="W1714">
        <f t="shared" si="579"/>
        <v>1.3124509881584105E-3</v>
      </c>
      <c r="X1714">
        <f t="shared" si="580"/>
        <v>2.9239533086186306E-2</v>
      </c>
      <c r="Y1714">
        <f t="shared" si="581"/>
        <v>4.6873249577086097E-4</v>
      </c>
      <c r="Z1714">
        <f t="shared" si="582"/>
        <v>2.9998879729335104E-3</v>
      </c>
      <c r="AA1714">
        <f t="shared" si="583"/>
        <v>0.33617766461533694</v>
      </c>
      <c r="AB1714">
        <f t="shared" si="584"/>
        <v>0.21733400893310387</v>
      </c>
      <c r="AC1714">
        <f t="shared" si="585"/>
        <v>0.10829201846993523</v>
      </c>
      <c r="AD1714">
        <f t="shared" si="586"/>
        <v>4.065410682319831E-3</v>
      </c>
      <c r="AE1714">
        <f t="shared" si="587"/>
        <v>3.0786350322230149E-2</v>
      </c>
      <c r="AG1714">
        <f t="shared" si="588"/>
        <v>0.72990873402173784</v>
      </c>
      <c r="AH1714">
        <f t="shared" si="589"/>
        <v>0.14805384611418412</v>
      </c>
      <c r="AI1714">
        <f t="shared" si="590"/>
        <v>-0.78908301826612615</v>
      </c>
      <c r="AK1714" s="26" t="e">
        <f t="shared" si="591"/>
        <v>#DIV/0!</v>
      </c>
      <c r="AL1714" s="26" t="e">
        <f t="shared" si="592"/>
        <v>#DIV/0!</v>
      </c>
      <c r="AM1714" s="26" t="e">
        <f t="shared" si="593"/>
        <v>#DIV/0!</v>
      </c>
      <c r="AN1714" s="26" t="e">
        <f t="shared" si="594"/>
        <v>#DIV/0!</v>
      </c>
      <c r="AO1714" s="26" t="e">
        <f t="shared" si="595"/>
        <v>#DIV/0!</v>
      </c>
      <c r="AP1714" s="26" t="e">
        <f t="shared" si="596"/>
        <v>#DIV/0!</v>
      </c>
      <c r="AS1714" s="2">
        <v>43766</v>
      </c>
      <c r="AT1714">
        <v>13.1</v>
      </c>
      <c r="AU1714">
        <v>17.600000000000001</v>
      </c>
      <c r="AV1714">
        <v>40.799999999999997</v>
      </c>
      <c r="AW1714">
        <v>1.8</v>
      </c>
      <c r="AX1714">
        <v>72.09</v>
      </c>
      <c r="AY1714">
        <v>0.5</v>
      </c>
      <c r="AZ1714">
        <v>3.5</v>
      </c>
      <c r="BA1714">
        <v>321.74079999999998</v>
      </c>
      <c r="BB1714">
        <v>209.63149999999999</v>
      </c>
      <c r="BC1714">
        <v>144.85489999999999</v>
      </c>
      <c r="BD1714">
        <v>3.5327000000000002</v>
      </c>
      <c r="BE1714">
        <v>26.884399999999999</v>
      </c>
      <c r="BH1714">
        <v>97.84</v>
      </c>
    </row>
    <row r="1715" spans="1:60" x14ac:dyDescent="0.25">
      <c r="A1715" s="2">
        <v>43786</v>
      </c>
      <c r="B1715">
        <v>14.8</v>
      </c>
      <c r="C1715">
        <v>16.5</v>
      </c>
      <c r="D1715">
        <v>43.4</v>
      </c>
      <c r="E1715">
        <v>1.4</v>
      </c>
      <c r="F1715">
        <v>24.09</v>
      </c>
      <c r="G1715">
        <v>0.6</v>
      </c>
      <c r="H1715">
        <v>2.9</v>
      </c>
      <c r="I1715">
        <v>343.57499999999999</v>
      </c>
      <c r="J1715">
        <v>154.41130000000001</v>
      </c>
      <c r="K1715">
        <v>77.977199999999996</v>
      </c>
      <c r="L1715">
        <v>4.32</v>
      </c>
      <c r="M1715">
        <v>14.505599999999999</v>
      </c>
      <c r="P1715">
        <v>96.39</v>
      </c>
      <c r="S1715">
        <f t="shared" si="575"/>
        <v>698.47910000000002</v>
      </c>
      <c r="T1715">
        <f t="shared" si="576"/>
        <v>1.3874481874817485E-2</v>
      </c>
      <c r="U1715">
        <f t="shared" si="577"/>
        <v>1.5468172360438412E-2</v>
      </c>
      <c r="V1715">
        <f t="shared" si="578"/>
        <v>4.0685980632910727E-2</v>
      </c>
      <c r="W1715">
        <f t="shared" si="579"/>
        <v>1.3124509881584105E-3</v>
      </c>
      <c r="X1715">
        <f t="shared" si="580"/>
        <v>2.2583531646240079E-2</v>
      </c>
      <c r="Y1715">
        <f t="shared" si="581"/>
        <v>5.6247899492503314E-4</v>
      </c>
      <c r="Z1715">
        <f t="shared" si="582"/>
        <v>2.7186484754709935E-3</v>
      </c>
      <c r="AA1715">
        <f t="shared" si="583"/>
        <v>0.32208953446894711</v>
      </c>
      <c r="AB1715">
        <f t="shared" si="584"/>
        <v>0.14475518804844628</v>
      </c>
      <c r="AC1715">
        <f t="shared" si="585"/>
        <v>7.3100895138447156E-2</v>
      </c>
      <c r="AD1715">
        <f t="shared" si="586"/>
        <v>4.0498487634602386E-3</v>
      </c>
      <c r="AE1715">
        <f t="shared" si="587"/>
        <v>1.3598492181307601E-2</v>
      </c>
      <c r="AG1715">
        <f t="shared" si="588"/>
        <v>0.76599174967561545</v>
      </c>
      <c r="AH1715">
        <f t="shared" si="589"/>
        <v>0.11080423715426875</v>
      </c>
      <c r="AI1715">
        <f t="shared" si="590"/>
        <v>-1.0219497463374554</v>
      </c>
      <c r="AK1715" s="26" t="e">
        <f t="shared" si="591"/>
        <v>#DIV/0!</v>
      </c>
      <c r="AL1715" s="26" t="e">
        <f t="shared" si="592"/>
        <v>#DIV/0!</v>
      </c>
      <c r="AM1715" s="26" t="e">
        <f t="shared" si="593"/>
        <v>#DIV/0!</v>
      </c>
      <c r="AN1715" s="26" t="e">
        <f t="shared" si="594"/>
        <v>#DIV/0!</v>
      </c>
      <c r="AO1715" s="26" t="e">
        <f t="shared" si="595"/>
        <v>#DIV/0!</v>
      </c>
      <c r="AP1715" s="26" t="e">
        <f t="shared" si="596"/>
        <v>#DIV/0!</v>
      </c>
      <c r="AS1715" s="2">
        <v>43765</v>
      </c>
      <c r="AT1715">
        <v>12.5</v>
      </c>
      <c r="AU1715">
        <v>26</v>
      </c>
      <c r="AV1715">
        <v>51.2</v>
      </c>
      <c r="AW1715">
        <v>3</v>
      </c>
      <c r="AX1715">
        <v>65.45</v>
      </c>
      <c r="AY1715">
        <v>0.5</v>
      </c>
      <c r="AZ1715">
        <v>3.1</v>
      </c>
      <c r="BA1715">
        <v>174.7253</v>
      </c>
      <c r="BB1715">
        <v>39.830100000000002</v>
      </c>
      <c r="BC1715">
        <v>33.651299999999999</v>
      </c>
      <c r="BD1715">
        <v>2.9864000000000002</v>
      </c>
      <c r="BE1715">
        <v>19.703900000000001</v>
      </c>
      <c r="BH1715">
        <v>97.81</v>
      </c>
    </row>
    <row r="1716" spans="1:60" x14ac:dyDescent="0.25">
      <c r="A1716" s="2">
        <v>43785</v>
      </c>
      <c r="B1716">
        <v>16</v>
      </c>
      <c r="C1716">
        <v>7.7</v>
      </c>
      <c r="D1716">
        <v>39.6</v>
      </c>
      <c r="E1716">
        <v>1.6</v>
      </c>
      <c r="F1716">
        <v>34</v>
      </c>
      <c r="G1716">
        <v>0.2</v>
      </c>
      <c r="H1716">
        <v>3.1</v>
      </c>
      <c r="I1716">
        <v>336.26490000000001</v>
      </c>
      <c r="J1716">
        <v>187.87020000000001</v>
      </c>
      <c r="K1716">
        <v>86.671199999999999</v>
      </c>
      <c r="L1716">
        <v>4.3262999999999998</v>
      </c>
      <c r="M1716">
        <v>8.3064999999999998</v>
      </c>
      <c r="P1716">
        <v>96.49</v>
      </c>
      <c r="S1716">
        <f t="shared" si="575"/>
        <v>725.63909999999998</v>
      </c>
      <c r="T1716">
        <f t="shared" si="576"/>
        <v>1.4999439864667551E-2</v>
      </c>
      <c r="U1716">
        <f t="shared" si="577"/>
        <v>7.218480434871259E-3</v>
      </c>
      <c r="V1716">
        <f t="shared" si="578"/>
        <v>3.7123613665052187E-2</v>
      </c>
      <c r="W1716">
        <f t="shared" si="579"/>
        <v>1.4999439864667552E-3</v>
      </c>
      <c r="X1716">
        <f t="shared" si="580"/>
        <v>3.1873809712418544E-2</v>
      </c>
      <c r="Y1716">
        <f t="shared" si="581"/>
        <v>1.874929983083444E-4</v>
      </c>
      <c r="Z1716">
        <f t="shared" si="582"/>
        <v>2.9061414737793379E-3</v>
      </c>
      <c r="AA1716">
        <f t="shared" si="583"/>
        <v>0.31523657163427798</v>
      </c>
      <c r="AB1716">
        <f t="shared" si="584"/>
        <v>0.17612173545394161</v>
      </c>
      <c r="AC1716">
        <f t="shared" si="585"/>
        <v>8.1251215774910887E-2</v>
      </c>
      <c r="AD1716">
        <f t="shared" si="586"/>
        <v>4.055754792906951E-3</v>
      </c>
      <c r="AE1716">
        <f t="shared" si="587"/>
        <v>7.7870529522413127E-3</v>
      </c>
      <c r="AG1716">
        <f t="shared" si="588"/>
        <v>0.78375287960557927</v>
      </c>
      <c r="AH1716">
        <f t="shared" si="589"/>
        <v>0.10359597508780528</v>
      </c>
      <c r="AI1716">
        <f t="shared" si="590"/>
        <v>-1.0750130637060571</v>
      </c>
      <c r="AK1716" s="26" t="e">
        <f t="shared" si="591"/>
        <v>#DIV/0!</v>
      </c>
      <c r="AL1716" s="26" t="e">
        <f t="shared" si="592"/>
        <v>#DIV/0!</v>
      </c>
      <c r="AM1716" s="26" t="e">
        <f t="shared" si="593"/>
        <v>#DIV/0!</v>
      </c>
      <c r="AN1716" s="26" t="e">
        <f t="shared" si="594"/>
        <v>#DIV/0!</v>
      </c>
      <c r="AO1716" s="26" t="e">
        <f t="shared" si="595"/>
        <v>#DIV/0!</v>
      </c>
      <c r="AP1716" s="26" t="e">
        <f t="shared" si="596"/>
        <v>#DIV/0!</v>
      </c>
      <c r="AS1716" s="2">
        <v>43764</v>
      </c>
      <c r="AT1716">
        <v>13.4</v>
      </c>
      <c r="AU1716">
        <v>0</v>
      </c>
      <c r="AV1716">
        <v>58.4</v>
      </c>
      <c r="AW1716">
        <v>2.4</v>
      </c>
      <c r="AX1716">
        <v>106.12</v>
      </c>
      <c r="AY1716">
        <v>0.5</v>
      </c>
      <c r="AZ1716">
        <v>2.9</v>
      </c>
      <c r="BA1716">
        <v>162.3809</v>
      </c>
      <c r="BB1716">
        <v>34.413899999999998</v>
      </c>
      <c r="BC1716">
        <v>32.316499999999998</v>
      </c>
      <c r="BD1716">
        <v>3.0556999999999999</v>
      </c>
      <c r="BE1716">
        <v>21.408100000000001</v>
      </c>
      <c r="BH1716">
        <v>97.64</v>
      </c>
    </row>
    <row r="1717" spans="1:60" x14ac:dyDescent="0.25">
      <c r="A1717" s="2">
        <v>43784</v>
      </c>
      <c r="B1717">
        <v>12.3</v>
      </c>
      <c r="C1717">
        <v>136</v>
      </c>
      <c r="D1717">
        <v>77.3</v>
      </c>
      <c r="E1717">
        <v>2.6</v>
      </c>
      <c r="F1717">
        <v>26.74</v>
      </c>
      <c r="G1717">
        <v>0.1</v>
      </c>
      <c r="H1717">
        <v>3.1</v>
      </c>
      <c r="I1717">
        <v>313.96289999999999</v>
      </c>
      <c r="J1717">
        <v>190.8073</v>
      </c>
      <c r="K1717">
        <v>100.99639999999999</v>
      </c>
      <c r="L1717">
        <v>4.3011999999999997</v>
      </c>
      <c r="M1717">
        <v>28.7516</v>
      </c>
      <c r="N1717">
        <v>-4.024</v>
      </c>
      <c r="O1717">
        <v>-4.1951999999999998</v>
      </c>
      <c r="P1717">
        <v>96.62</v>
      </c>
      <c r="S1717">
        <f t="shared" si="575"/>
        <v>896.95940000000007</v>
      </c>
      <c r="T1717">
        <f t="shared" si="576"/>
        <v>1.153081939596318E-2</v>
      </c>
      <c r="U1717">
        <f t="shared" si="577"/>
        <v>0.12749523884967418</v>
      </c>
      <c r="V1717">
        <f t="shared" si="578"/>
        <v>7.2466043846175096E-2</v>
      </c>
      <c r="W1717">
        <f t="shared" si="579"/>
        <v>2.437408978008477E-3</v>
      </c>
      <c r="X1717">
        <f t="shared" si="580"/>
        <v>2.5067813873825642E-2</v>
      </c>
      <c r="Y1717">
        <f t="shared" si="581"/>
        <v>9.3746499154172199E-5</v>
      </c>
      <c r="Z1717">
        <f t="shared" si="582"/>
        <v>2.9061414737793379E-3</v>
      </c>
      <c r="AA1717">
        <f t="shared" si="583"/>
        <v>0.29432922739291445</v>
      </c>
      <c r="AB1717">
        <f t="shared" si="584"/>
        <v>0.17887516388059879</v>
      </c>
      <c r="AC1717">
        <f t="shared" si="585"/>
        <v>9.4680589271744359E-2</v>
      </c>
      <c r="AD1717">
        <f t="shared" si="586"/>
        <v>4.0322244216192543E-3</v>
      </c>
      <c r="AE1717">
        <f t="shared" si="587"/>
        <v>2.6953618450810971E-2</v>
      </c>
      <c r="AG1717">
        <f t="shared" si="588"/>
        <v>0.80570470971161623</v>
      </c>
      <c r="AH1717">
        <f t="shared" si="589"/>
        <v>0.26895083136739106</v>
      </c>
      <c r="AI1717">
        <f t="shared" si="590"/>
        <v>-7.4748779595043391E-2</v>
      </c>
      <c r="AK1717" s="26" t="e">
        <f t="shared" si="591"/>
        <v>#DIV/0!</v>
      </c>
      <c r="AL1717" s="26" t="e">
        <f t="shared" si="592"/>
        <v>#DIV/0!</v>
      </c>
      <c r="AM1717" s="26" t="e">
        <f t="shared" si="593"/>
        <v>#DIV/0!</v>
      </c>
      <c r="AN1717" s="26" t="e">
        <f t="shared" si="594"/>
        <v>#DIV/0!</v>
      </c>
      <c r="AO1717" s="26" t="e">
        <f t="shared" si="595"/>
        <v>#DIV/0!</v>
      </c>
      <c r="AP1717" s="26" t="e">
        <f t="shared" si="596"/>
        <v>#DIV/0!</v>
      </c>
      <c r="AS1717" s="2">
        <v>43763</v>
      </c>
      <c r="AT1717">
        <v>14.1</v>
      </c>
      <c r="AU1717">
        <v>0</v>
      </c>
      <c r="AV1717">
        <v>70.400000000000006</v>
      </c>
      <c r="AW1717">
        <v>2.2000000000000002</v>
      </c>
      <c r="AX1717">
        <v>86.22</v>
      </c>
      <c r="AY1717">
        <v>0.5</v>
      </c>
      <c r="AZ1717">
        <v>3.1</v>
      </c>
      <c r="BA1717">
        <v>260.01490000000001</v>
      </c>
      <c r="BB1717">
        <v>63.6265</v>
      </c>
      <c r="BC1717">
        <v>118.71810000000001</v>
      </c>
      <c r="BD1717">
        <v>3.1152000000000002</v>
      </c>
      <c r="BE1717">
        <v>23.113099999999999</v>
      </c>
      <c r="BH1717">
        <v>97.59</v>
      </c>
    </row>
    <row r="1718" spans="1:60" x14ac:dyDescent="0.25">
      <c r="A1718" s="2">
        <v>43783</v>
      </c>
      <c r="B1718">
        <v>15.6</v>
      </c>
      <c r="C1718">
        <v>0.3</v>
      </c>
      <c r="D1718">
        <v>26.3</v>
      </c>
      <c r="E1718">
        <v>1.4</v>
      </c>
      <c r="F1718">
        <v>73.27</v>
      </c>
      <c r="G1718">
        <v>0.1</v>
      </c>
      <c r="H1718">
        <v>3.1</v>
      </c>
      <c r="I1718">
        <v>333.77730000000003</v>
      </c>
      <c r="J1718">
        <v>277.71010000000001</v>
      </c>
      <c r="K1718">
        <v>154.41659999999999</v>
      </c>
      <c r="L1718">
        <v>4.3238000000000003</v>
      </c>
      <c r="M1718">
        <v>23.527200000000001</v>
      </c>
      <c r="N1718">
        <v>-3.2862</v>
      </c>
      <c r="O1718">
        <v>-3.7454000000000001</v>
      </c>
      <c r="P1718">
        <v>96.76</v>
      </c>
      <c r="S1718">
        <f t="shared" si="575"/>
        <v>913.82500000000005</v>
      </c>
      <c r="T1718">
        <f t="shared" si="576"/>
        <v>1.4624453868050861E-2</v>
      </c>
      <c r="U1718">
        <f t="shared" si="577"/>
        <v>2.8123949746251657E-4</v>
      </c>
      <c r="V1718">
        <f t="shared" si="578"/>
        <v>2.4655329277547287E-2</v>
      </c>
      <c r="W1718">
        <f t="shared" si="579"/>
        <v>1.3124509881584105E-3</v>
      </c>
      <c r="X1718">
        <f t="shared" si="580"/>
        <v>6.868805993026196E-2</v>
      </c>
      <c r="Y1718">
        <f t="shared" si="581"/>
        <v>9.3746499154172199E-5</v>
      </c>
      <c r="Z1718">
        <f t="shared" si="582"/>
        <v>2.9061414737793379E-3</v>
      </c>
      <c r="AA1718">
        <f t="shared" si="583"/>
        <v>0.31290453372131882</v>
      </c>
      <c r="AB1718">
        <f t="shared" si="584"/>
        <v>0.26034349654755073</v>
      </c>
      <c r="AC1718">
        <f t="shared" si="585"/>
        <v>0.14476015661290145</v>
      </c>
      <c r="AD1718">
        <f t="shared" si="586"/>
        <v>4.0534111304280978E-3</v>
      </c>
      <c r="AE1718">
        <f t="shared" si="587"/>
        <v>2.2055926349000401E-2</v>
      </c>
      <c r="AG1718">
        <f t="shared" si="588"/>
        <v>0.82923508479636143</v>
      </c>
      <c r="AH1718">
        <f t="shared" si="589"/>
        <v>0.13461734788341495</v>
      </c>
      <c r="AI1718">
        <f t="shared" si="590"/>
        <v>-0.89233195529973763</v>
      </c>
      <c r="AK1718" s="26" t="e">
        <f t="shared" si="591"/>
        <v>#DIV/0!</v>
      </c>
      <c r="AL1718" s="26" t="e">
        <f t="shared" si="592"/>
        <v>#DIV/0!</v>
      </c>
      <c r="AM1718" s="26" t="e">
        <f t="shared" si="593"/>
        <v>#DIV/0!</v>
      </c>
      <c r="AN1718" s="26" t="e">
        <f t="shared" si="594"/>
        <v>#DIV/0!</v>
      </c>
      <c r="AO1718" s="26" t="e">
        <f t="shared" si="595"/>
        <v>#DIV/0!</v>
      </c>
      <c r="AP1718" s="26" t="e">
        <f t="shared" si="596"/>
        <v>#DIV/0!</v>
      </c>
      <c r="AS1718" s="2">
        <v>43762</v>
      </c>
      <c r="AT1718">
        <v>16</v>
      </c>
      <c r="AU1718">
        <v>16.399999999999999</v>
      </c>
      <c r="AV1718">
        <v>31.3</v>
      </c>
      <c r="AW1718">
        <v>0.9</v>
      </c>
      <c r="AX1718">
        <v>68.3</v>
      </c>
      <c r="AY1718">
        <v>0.2</v>
      </c>
      <c r="AZ1718">
        <v>3.3</v>
      </c>
      <c r="BA1718">
        <v>324.83120000000002</v>
      </c>
      <c r="BB1718">
        <v>160.00210000000001</v>
      </c>
      <c r="BC1718">
        <v>148.08240000000001</v>
      </c>
      <c r="BD1718">
        <v>3.2606999999999999</v>
      </c>
      <c r="BE1718">
        <v>30.3919</v>
      </c>
      <c r="BH1718">
        <v>97.54</v>
      </c>
    </row>
    <row r="1719" spans="1:60" x14ac:dyDescent="0.25">
      <c r="A1719" s="2">
        <v>43782</v>
      </c>
      <c r="B1719">
        <v>16.100000000000001</v>
      </c>
      <c r="C1719">
        <v>36.799999999999997</v>
      </c>
      <c r="D1719">
        <v>60.3</v>
      </c>
      <c r="E1719">
        <v>1.4</v>
      </c>
      <c r="F1719">
        <v>30.97</v>
      </c>
      <c r="G1719">
        <v>0.1</v>
      </c>
      <c r="H1719">
        <v>3.1</v>
      </c>
      <c r="I1719">
        <v>311.13889999999998</v>
      </c>
      <c r="J1719">
        <v>260.41609999999997</v>
      </c>
      <c r="K1719">
        <v>149.05789999999999</v>
      </c>
      <c r="L1719">
        <v>4.3357999999999999</v>
      </c>
      <c r="M1719">
        <v>24.131399999999999</v>
      </c>
      <c r="N1719">
        <v>-2.7774999999999999</v>
      </c>
      <c r="O1719">
        <v>-3.8071999999999999</v>
      </c>
      <c r="P1719">
        <v>96.97</v>
      </c>
      <c r="S1719">
        <f t="shared" si="575"/>
        <v>897.85009999999988</v>
      </c>
      <c r="T1719">
        <f t="shared" si="576"/>
        <v>1.5093186363821724E-2</v>
      </c>
      <c r="U1719">
        <f t="shared" si="577"/>
        <v>3.4498711688735362E-2</v>
      </c>
      <c r="V1719">
        <f t="shared" si="578"/>
        <v>5.6529138989965831E-2</v>
      </c>
      <c r="W1719">
        <f t="shared" si="579"/>
        <v>1.3124509881584105E-3</v>
      </c>
      <c r="X1719">
        <f t="shared" si="580"/>
        <v>2.9033290788047127E-2</v>
      </c>
      <c r="Y1719">
        <f t="shared" si="581"/>
        <v>9.3746499154172199E-5</v>
      </c>
      <c r="Z1719">
        <f t="shared" si="582"/>
        <v>2.9061414737793379E-3</v>
      </c>
      <c r="AA1719">
        <f t="shared" si="583"/>
        <v>0.29168182625680061</v>
      </c>
      <c r="AB1719">
        <f t="shared" si="584"/>
        <v>0.24413097698382819</v>
      </c>
      <c r="AC1719">
        <f t="shared" si="585"/>
        <v>0.13973656296272682</v>
      </c>
      <c r="AD1719">
        <f t="shared" si="586"/>
        <v>4.0646607103265973E-3</v>
      </c>
      <c r="AE1719">
        <f t="shared" si="587"/>
        <v>2.2622342696889907E-2</v>
      </c>
      <c r="AG1719">
        <f t="shared" si="588"/>
        <v>0.86234020474535966</v>
      </c>
      <c r="AH1719">
        <f t="shared" si="589"/>
        <v>0.16208900948855187</v>
      </c>
      <c r="AI1719">
        <f t="shared" si="590"/>
        <v>-0.73245390673659583</v>
      </c>
      <c r="AK1719" s="26" t="e">
        <f t="shared" si="591"/>
        <v>#DIV/0!</v>
      </c>
      <c r="AL1719" s="26" t="e">
        <f t="shared" si="592"/>
        <v>#DIV/0!</v>
      </c>
      <c r="AM1719" s="26" t="e">
        <f t="shared" si="593"/>
        <v>#DIV/0!</v>
      </c>
      <c r="AN1719" s="26" t="e">
        <f t="shared" si="594"/>
        <v>#DIV/0!</v>
      </c>
      <c r="AO1719" s="26" t="e">
        <f t="shared" si="595"/>
        <v>#DIV/0!</v>
      </c>
      <c r="AP1719" s="26" t="e">
        <f t="shared" si="596"/>
        <v>#DIV/0!</v>
      </c>
      <c r="AS1719" s="2">
        <v>43761</v>
      </c>
      <c r="AT1719">
        <v>16.899999999999999</v>
      </c>
      <c r="AU1719">
        <v>0</v>
      </c>
      <c r="AV1719">
        <v>15.7</v>
      </c>
      <c r="AW1719">
        <v>0.5</v>
      </c>
      <c r="AX1719">
        <v>72.349999999999994</v>
      </c>
      <c r="AZ1719">
        <v>3.3</v>
      </c>
      <c r="BA1719">
        <v>321.74650000000003</v>
      </c>
      <c r="BB1719">
        <v>231.85329999999999</v>
      </c>
      <c r="BC1719">
        <v>159.8981</v>
      </c>
      <c r="BD1719">
        <v>3.2726999999999999</v>
      </c>
      <c r="BE1719">
        <v>27.079799999999999</v>
      </c>
      <c r="BH1719">
        <v>97.5</v>
      </c>
    </row>
    <row r="1720" spans="1:60" x14ac:dyDescent="0.25">
      <c r="A1720" s="2">
        <v>43781</v>
      </c>
      <c r="B1720">
        <v>14.7</v>
      </c>
      <c r="C1720">
        <v>21.3</v>
      </c>
      <c r="D1720">
        <v>70</v>
      </c>
      <c r="E1720">
        <v>1.8</v>
      </c>
      <c r="F1720">
        <v>37.049999999999997</v>
      </c>
      <c r="G1720">
        <v>0.3</v>
      </c>
      <c r="H1720">
        <v>3</v>
      </c>
      <c r="I1720">
        <v>313.06979999999999</v>
      </c>
      <c r="J1720">
        <v>178.05670000000001</v>
      </c>
      <c r="K1720">
        <v>116.9568</v>
      </c>
      <c r="L1720">
        <v>4.3254000000000001</v>
      </c>
      <c r="M1720">
        <v>16.111499999999999</v>
      </c>
      <c r="N1720">
        <v>-2.4277000000000002</v>
      </c>
      <c r="O1720">
        <v>-2.9746999999999999</v>
      </c>
      <c r="P1720">
        <v>97.16</v>
      </c>
      <c r="S1720">
        <f t="shared" si="575"/>
        <v>776.67019999999991</v>
      </c>
      <c r="T1720">
        <f t="shared" si="576"/>
        <v>1.3780735375663312E-2</v>
      </c>
      <c r="U1720">
        <f t="shared" si="577"/>
        <v>1.9968004319838677E-2</v>
      </c>
      <c r="V1720">
        <f t="shared" si="578"/>
        <v>6.5622549407920533E-2</v>
      </c>
      <c r="W1720">
        <f t="shared" si="579"/>
        <v>1.6874369847750994E-3</v>
      </c>
      <c r="X1720">
        <f t="shared" si="580"/>
        <v>3.4733077936620796E-2</v>
      </c>
      <c r="Y1720">
        <f t="shared" si="581"/>
        <v>2.8123949746251657E-4</v>
      </c>
      <c r="Z1720">
        <f t="shared" si="582"/>
        <v>2.8123949746251659E-3</v>
      </c>
      <c r="AA1720">
        <f t="shared" si="583"/>
        <v>0.29349197740896854</v>
      </c>
      <c r="AB1720">
        <f t="shared" si="584"/>
        <v>0.16692192275944692</v>
      </c>
      <c r="AC1720">
        <f t="shared" si="585"/>
        <v>0.10964290552274686</v>
      </c>
      <c r="AD1720">
        <f t="shared" si="586"/>
        <v>4.0549110744145644E-3</v>
      </c>
      <c r="AE1720">
        <f t="shared" si="587"/>
        <v>1.5103967211224452E-2</v>
      </c>
      <c r="AG1720">
        <f t="shared" si="588"/>
        <v>0.89320072467461864</v>
      </c>
      <c r="AH1720">
        <f t="shared" si="589"/>
        <v>0.15398940570813052</v>
      </c>
      <c r="AI1720">
        <f t="shared" si="590"/>
        <v>-0.78660308028278936</v>
      </c>
      <c r="AK1720" s="26" t="e">
        <f t="shared" si="591"/>
        <v>#DIV/0!</v>
      </c>
      <c r="AL1720" s="26" t="e">
        <f t="shared" si="592"/>
        <v>#DIV/0!</v>
      </c>
      <c r="AM1720" s="26" t="e">
        <f t="shared" si="593"/>
        <v>#DIV/0!</v>
      </c>
      <c r="AN1720" s="26" t="e">
        <f t="shared" si="594"/>
        <v>#DIV/0!</v>
      </c>
      <c r="AO1720" s="26" t="e">
        <f t="shared" si="595"/>
        <v>#DIV/0!</v>
      </c>
      <c r="AP1720" s="26" t="e">
        <f t="shared" si="596"/>
        <v>#DIV/0!</v>
      </c>
      <c r="AS1720" s="2">
        <v>43760</v>
      </c>
      <c r="AT1720">
        <v>15.5</v>
      </c>
      <c r="AU1720">
        <v>9.6</v>
      </c>
      <c r="AV1720">
        <v>30.3</v>
      </c>
      <c r="AW1720">
        <v>0.5</v>
      </c>
      <c r="AX1720">
        <v>75.13</v>
      </c>
      <c r="AY1720">
        <v>0.3</v>
      </c>
      <c r="AZ1720">
        <v>3.3</v>
      </c>
      <c r="BA1720">
        <v>318.27609999999999</v>
      </c>
      <c r="BB1720">
        <v>196.54419999999999</v>
      </c>
      <c r="BC1720">
        <v>161.81659999999999</v>
      </c>
      <c r="BD1720">
        <v>3.2376</v>
      </c>
      <c r="BE1720">
        <v>30.430099999999999</v>
      </c>
      <c r="BH1720">
        <v>97.56</v>
      </c>
    </row>
    <row r="1721" spans="1:60" x14ac:dyDescent="0.25">
      <c r="A1721" s="2">
        <v>43780</v>
      </c>
      <c r="B1721">
        <v>13.2</v>
      </c>
      <c r="C1721">
        <v>3.3</v>
      </c>
      <c r="D1721">
        <v>62.3</v>
      </c>
      <c r="E1721">
        <v>1.2</v>
      </c>
      <c r="F1721">
        <v>41.28</v>
      </c>
      <c r="G1721">
        <v>0.5</v>
      </c>
      <c r="H1721">
        <v>3.1</v>
      </c>
      <c r="I1721">
        <v>355.75920000000002</v>
      </c>
      <c r="J1721">
        <v>191.40620000000001</v>
      </c>
      <c r="K1721">
        <v>100.6277</v>
      </c>
      <c r="L1721">
        <v>4.3863000000000003</v>
      </c>
      <c r="M1721">
        <v>24.7971</v>
      </c>
      <c r="N1721">
        <v>-2.0108000000000001</v>
      </c>
      <c r="O1721">
        <v>-2.1829999999999998</v>
      </c>
      <c r="P1721">
        <v>97.33</v>
      </c>
      <c r="S1721">
        <f t="shared" si="575"/>
        <v>801.85649999999998</v>
      </c>
      <c r="T1721">
        <f t="shared" si="576"/>
        <v>1.2374537888350728E-2</v>
      </c>
      <c r="U1721">
        <f t="shared" si="577"/>
        <v>3.0936344720876819E-3</v>
      </c>
      <c r="V1721">
        <f t="shared" si="578"/>
        <v>5.840406897304927E-2</v>
      </c>
      <c r="W1721">
        <f t="shared" si="579"/>
        <v>1.1249579898500663E-3</v>
      </c>
      <c r="X1721">
        <f t="shared" si="580"/>
        <v>3.8698554850842282E-2</v>
      </c>
      <c r="Y1721">
        <f t="shared" si="581"/>
        <v>4.6873249577086097E-4</v>
      </c>
      <c r="Z1721">
        <f t="shared" si="582"/>
        <v>2.9061414737793379E-3</v>
      </c>
      <c r="AA1721">
        <f t="shared" si="583"/>
        <v>0.33351179541888976</v>
      </c>
      <c r="AB1721">
        <f t="shared" si="584"/>
        <v>0.17943661166403316</v>
      </c>
      <c r="AC1721">
        <f t="shared" si="585"/>
        <v>9.4334945929362937E-2</v>
      </c>
      <c r="AD1721">
        <f t="shared" si="586"/>
        <v>4.1120026923994555E-3</v>
      </c>
      <c r="AE1721">
        <f t="shared" si="587"/>
        <v>2.3246413141759233E-2</v>
      </c>
      <c r="AG1721">
        <f t="shared" si="588"/>
        <v>0.92182569245429669</v>
      </c>
      <c r="AH1721">
        <f t="shared" si="589"/>
        <v>0.14031704128548947</v>
      </c>
      <c r="AI1721">
        <f t="shared" si="590"/>
        <v>-0.8751321482245068</v>
      </c>
      <c r="AK1721" s="26" t="e">
        <f t="shared" si="591"/>
        <v>#DIV/0!</v>
      </c>
      <c r="AL1721" s="26" t="e">
        <f t="shared" si="592"/>
        <v>#DIV/0!</v>
      </c>
      <c r="AM1721" s="26" t="e">
        <f t="shared" si="593"/>
        <v>#DIV/0!</v>
      </c>
      <c r="AN1721" s="26" t="e">
        <f t="shared" si="594"/>
        <v>#DIV/0!</v>
      </c>
      <c r="AO1721" s="26" t="e">
        <f t="shared" si="595"/>
        <v>#DIV/0!</v>
      </c>
      <c r="AP1721" s="26" t="e">
        <f t="shared" si="596"/>
        <v>#DIV/0!</v>
      </c>
      <c r="AS1721" s="2">
        <v>43759</v>
      </c>
      <c r="AU1721">
        <v>88.4</v>
      </c>
      <c r="AX1721">
        <v>62.83</v>
      </c>
      <c r="AY1721">
        <v>0.1</v>
      </c>
      <c r="BC1721">
        <v>148.0223</v>
      </c>
      <c r="BH1721">
        <v>97.56</v>
      </c>
    </row>
    <row r="1722" spans="1:60" x14ac:dyDescent="0.25">
      <c r="A1722" s="2">
        <v>43779</v>
      </c>
      <c r="B1722">
        <v>14.8</v>
      </c>
      <c r="C1722">
        <v>1.7</v>
      </c>
      <c r="D1722">
        <v>31.1</v>
      </c>
      <c r="E1722">
        <v>0.4</v>
      </c>
      <c r="F1722">
        <v>66.349999999999994</v>
      </c>
      <c r="G1722">
        <v>0.5</v>
      </c>
      <c r="H1722">
        <v>2.9</v>
      </c>
      <c r="I1722">
        <v>360.67340000000002</v>
      </c>
      <c r="J1722">
        <v>164.0155</v>
      </c>
      <c r="K1722">
        <v>84.982799999999997</v>
      </c>
      <c r="L1722">
        <v>4.383</v>
      </c>
      <c r="M1722">
        <v>13.395200000000001</v>
      </c>
      <c r="P1722">
        <v>97.45</v>
      </c>
      <c r="S1722">
        <f t="shared" si="575"/>
        <v>745.19990000000007</v>
      </c>
      <c r="T1722">
        <f t="shared" si="576"/>
        <v>1.3874481874817485E-2</v>
      </c>
      <c r="U1722">
        <f t="shared" si="577"/>
        <v>1.5936904856209272E-3</v>
      </c>
      <c r="V1722">
        <f t="shared" si="578"/>
        <v>2.9155161236947554E-2</v>
      </c>
      <c r="W1722">
        <f t="shared" si="579"/>
        <v>3.7498599661668879E-4</v>
      </c>
      <c r="X1722">
        <f t="shared" si="580"/>
        <v>6.2200802188793244E-2</v>
      </c>
      <c r="Y1722">
        <f t="shared" si="581"/>
        <v>4.6873249577086097E-4</v>
      </c>
      <c r="Z1722">
        <f t="shared" si="582"/>
        <v>2.7186484754709935E-3</v>
      </c>
      <c r="AA1722">
        <f t="shared" si="583"/>
        <v>0.33811868588032412</v>
      </c>
      <c r="AB1722">
        <f t="shared" si="584"/>
        <v>0.15375878932021128</v>
      </c>
      <c r="AC1722">
        <f t="shared" si="585"/>
        <v>7.966839988319184E-2</v>
      </c>
      <c r="AD1722">
        <f t="shared" si="586"/>
        <v>4.1089090579273669E-3</v>
      </c>
      <c r="AE1722">
        <f t="shared" si="587"/>
        <v>1.2557531054699674E-2</v>
      </c>
      <c r="AG1722">
        <f t="shared" si="588"/>
        <v>0.94424506578031542</v>
      </c>
      <c r="AH1722">
        <f t="shared" si="589"/>
        <v>0.12294403380873742</v>
      </c>
      <c r="AI1722">
        <f t="shared" si="590"/>
        <v>-0.9872636470065993</v>
      </c>
      <c r="AK1722" s="26" t="e">
        <f t="shared" si="591"/>
        <v>#DIV/0!</v>
      </c>
      <c r="AL1722" s="26" t="e">
        <f t="shared" si="592"/>
        <v>#DIV/0!</v>
      </c>
      <c r="AM1722" s="26" t="e">
        <f t="shared" si="593"/>
        <v>#DIV/0!</v>
      </c>
      <c r="AN1722" s="26" t="e">
        <f t="shared" si="594"/>
        <v>#DIV/0!</v>
      </c>
      <c r="AO1722" s="26" t="e">
        <f t="shared" si="595"/>
        <v>#DIV/0!</v>
      </c>
      <c r="AP1722" s="26" t="e">
        <f t="shared" si="596"/>
        <v>#DIV/0!</v>
      </c>
      <c r="AS1722" s="2">
        <v>43758</v>
      </c>
      <c r="AT1722">
        <v>14.7</v>
      </c>
      <c r="AU1722">
        <v>97.2</v>
      </c>
      <c r="AV1722">
        <v>17.600000000000001</v>
      </c>
      <c r="AW1722">
        <v>0.5</v>
      </c>
      <c r="AX1722">
        <v>75.27</v>
      </c>
      <c r="AY1722">
        <v>0.1</v>
      </c>
      <c r="AZ1722">
        <v>3.4</v>
      </c>
      <c r="BA1722">
        <v>261.0496</v>
      </c>
      <c r="BB1722">
        <v>64.494799999999998</v>
      </c>
      <c r="BC1722">
        <v>117.20189999999999</v>
      </c>
      <c r="BD1722">
        <v>4.0114999999999998</v>
      </c>
      <c r="BE1722">
        <v>22.224</v>
      </c>
      <c r="BH1722">
        <v>97.54</v>
      </c>
    </row>
    <row r="1723" spans="1:60" x14ac:dyDescent="0.25">
      <c r="A1723" s="2">
        <v>43778</v>
      </c>
      <c r="B1723">
        <v>16.2</v>
      </c>
      <c r="C1723">
        <v>3.7</v>
      </c>
      <c r="D1723">
        <v>17.5</v>
      </c>
      <c r="E1723">
        <v>0.6</v>
      </c>
      <c r="F1723">
        <v>32.72</v>
      </c>
      <c r="G1723">
        <v>0.5</v>
      </c>
      <c r="H1723">
        <v>3.1</v>
      </c>
      <c r="I1723">
        <v>359.3725</v>
      </c>
      <c r="J1723">
        <v>205.86160000000001</v>
      </c>
      <c r="K1723">
        <v>99.896299999999997</v>
      </c>
      <c r="L1723">
        <v>4.3909000000000002</v>
      </c>
      <c r="M1723">
        <v>13.7875</v>
      </c>
      <c r="P1723">
        <v>97.47</v>
      </c>
      <c r="S1723">
        <f t="shared" si="575"/>
        <v>757.62880000000007</v>
      </c>
      <c r="T1723">
        <f t="shared" si="576"/>
        <v>1.5186932862975894E-2</v>
      </c>
      <c r="U1723">
        <f t="shared" si="577"/>
        <v>3.4686204687043713E-3</v>
      </c>
      <c r="V1723">
        <f t="shared" si="578"/>
        <v>1.6405637351980133E-2</v>
      </c>
      <c r="W1723">
        <f t="shared" si="579"/>
        <v>5.6247899492503314E-4</v>
      </c>
      <c r="X1723">
        <f t="shared" si="580"/>
        <v>3.0673854523245139E-2</v>
      </c>
      <c r="Y1723">
        <f t="shared" si="581"/>
        <v>4.6873249577086097E-4</v>
      </c>
      <c r="Z1723">
        <f t="shared" si="582"/>
        <v>2.9061414737793379E-3</v>
      </c>
      <c r="AA1723">
        <f t="shared" si="583"/>
        <v>0.33689913767282748</v>
      </c>
      <c r="AB1723">
        <f t="shared" si="584"/>
        <v>0.19298804310276535</v>
      </c>
      <c r="AC1723">
        <f t="shared" si="585"/>
        <v>9.3649284034549307E-2</v>
      </c>
      <c r="AD1723">
        <f t="shared" si="586"/>
        <v>4.1163150313605467E-3</v>
      </c>
      <c r="AE1723">
        <f t="shared" si="587"/>
        <v>1.292529857088149E-2</v>
      </c>
      <c r="AG1723">
        <f t="shared" si="588"/>
        <v>0.95378245436633602</v>
      </c>
      <c r="AH1723">
        <f t="shared" si="589"/>
        <v>8.259769674226225E-2</v>
      </c>
      <c r="AI1723">
        <f t="shared" si="590"/>
        <v>-1.2402943676069651</v>
      </c>
      <c r="AK1723" s="26" t="e">
        <f t="shared" si="591"/>
        <v>#DIV/0!</v>
      </c>
      <c r="AL1723" s="26" t="e">
        <f t="shared" si="592"/>
        <v>#DIV/0!</v>
      </c>
      <c r="AM1723" s="26" t="e">
        <f t="shared" si="593"/>
        <v>#DIV/0!</v>
      </c>
      <c r="AN1723" s="26" t="e">
        <f t="shared" si="594"/>
        <v>#DIV/0!</v>
      </c>
      <c r="AO1723" s="26" t="e">
        <f t="shared" si="595"/>
        <v>#DIV/0!</v>
      </c>
      <c r="AP1723" s="26" t="e">
        <f t="shared" si="596"/>
        <v>#DIV/0!</v>
      </c>
      <c r="AS1723" s="2">
        <v>43757</v>
      </c>
      <c r="AT1723">
        <v>14.7</v>
      </c>
      <c r="AU1723">
        <v>18.8</v>
      </c>
      <c r="AV1723">
        <v>67.7</v>
      </c>
      <c r="AW1723">
        <v>1.9</v>
      </c>
      <c r="AX1723">
        <v>48.73</v>
      </c>
      <c r="AY1723">
        <v>0.1</v>
      </c>
      <c r="AZ1723">
        <v>3.1</v>
      </c>
      <c r="BA1723">
        <v>244.6662</v>
      </c>
      <c r="BB1723">
        <v>45.099200000000003</v>
      </c>
      <c r="BC1723">
        <v>97.137799999999999</v>
      </c>
      <c r="BD1723">
        <v>4.3440000000000003</v>
      </c>
      <c r="BE1723">
        <v>12.941800000000001</v>
      </c>
      <c r="BH1723">
        <v>97.57</v>
      </c>
    </row>
    <row r="1724" spans="1:60" x14ac:dyDescent="0.25">
      <c r="A1724" s="2">
        <v>43777</v>
      </c>
      <c r="B1724">
        <v>16</v>
      </c>
      <c r="C1724">
        <v>0.3</v>
      </c>
      <c r="D1724">
        <v>34.4</v>
      </c>
      <c r="E1724">
        <v>0.7</v>
      </c>
      <c r="F1724">
        <v>35.14</v>
      </c>
      <c r="G1724">
        <v>0.5</v>
      </c>
      <c r="H1724">
        <v>3</v>
      </c>
      <c r="I1724">
        <v>359.51240000000001</v>
      </c>
      <c r="J1724">
        <v>247.53890000000001</v>
      </c>
      <c r="K1724">
        <v>151.3852</v>
      </c>
      <c r="L1724">
        <v>4.4295999999999998</v>
      </c>
      <c r="M1724">
        <v>33.5032</v>
      </c>
      <c r="N1724">
        <v>-2.8258999999999999</v>
      </c>
      <c r="O1724">
        <v>-3.1749999999999998</v>
      </c>
      <c r="P1724">
        <v>97.48</v>
      </c>
      <c r="S1724">
        <f t="shared" si="575"/>
        <v>886.40930000000003</v>
      </c>
      <c r="T1724">
        <f t="shared" si="576"/>
        <v>1.4999439864667551E-2</v>
      </c>
      <c r="U1724">
        <f t="shared" si="577"/>
        <v>2.8123949746251657E-4</v>
      </c>
      <c r="V1724">
        <f t="shared" si="578"/>
        <v>3.224879570903523E-2</v>
      </c>
      <c r="W1724">
        <f t="shared" si="579"/>
        <v>6.5622549407920526E-4</v>
      </c>
      <c r="X1724">
        <f t="shared" si="580"/>
        <v>3.2942519802776106E-2</v>
      </c>
      <c r="Y1724">
        <f t="shared" si="581"/>
        <v>4.6873249577086097E-4</v>
      </c>
      <c r="Z1724">
        <f t="shared" si="582"/>
        <v>2.8123949746251659E-3</v>
      </c>
      <c r="AA1724">
        <f t="shared" si="583"/>
        <v>0.33703028902514415</v>
      </c>
      <c r="AB1724">
        <f t="shared" si="584"/>
        <v>0.23205905279474714</v>
      </c>
      <c r="AC1724">
        <f t="shared" si="585"/>
        <v>0.14191832523754189</v>
      </c>
      <c r="AD1724">
        <f t="shared" si="586"/>
        <v>4.1525949265332112E-3</v>
      </c>
      <c r="AE1724">
        <f t="shared" si="587"/>
        <v>3.1408077104620617E-2</v>
      </c>
      <c r="AG1724">
        <f t="shared" si="588"/>
        <v>0.96218739763177252</v>
      </c>
      <c r="AH1724">
        <f t="shared" si="589"/>
        <v>0.11581742494303726</v>
      </c>
      <c r="AI1724">
        <f t="shared" si="590"/>
        <v>-1.053561525322362</v>
      </c>
      <c r="AK1724" s="26" t="e">
        <f t="shared" si="591"/>
        <v>#DIV/0!</v>
      </c>
      <c r="AL1724" s="26" t="e">
        <f t="shared" si="592"/>
        <v>#DIV/0!</v>
      </c>
      <c r="AM1724" s="26" t="e">
        <f t="shared" si="593"/>
        <v>#DIV/0!</v>
      </c>
      <c r="AN1724" s="26" t="e">
        <f t="shared" si="594"/>
        <v>#DIV/0!</v>
      </c>
      <c r="AO1724" s="26" t="e">
        <f t="shared" si="595"/>
        <v>#DIV/0!</v>
      </c>
      <c r="AP1724" s="26" t="e">
        <f t="shared" si="596"/>
        <v>#DIV/0!</v>
      </c>
      <c r="AS1724" s="2">
        <v>43756</v>
      </c>
      <c r="AT1724">
        <v>15.3</v>
      </c>
      <c r="AU1724">
        <v>28.1</v>
      </c>
      <c r="AV1724">
        <v>53.6</v>
      </c>
      <c r="AW1724">
        <v>1.7</v>
      </c>
      <c r="AX1724">
        <v>81.64</v>
      </c>
      <c r="AY1724">
        <v>0.1</v>
      </c>
      <c r="AZ1724">
        <v>2.9</v>
      </c>
      <c r="BA1724">
        <v>291.0838</v>
      </c>
      <c r="BB1724">
        <v>90.313999999999993</v>
      </c>
      <c r="BC1724">
        <v>119.3531</v>
      </c>
      <c r="BD1724">
        <v>4.3963999999999999</v>
      </c>
      <c r="BE1724">
        <v>23.505700000000001</v>
      </c>
      <c r="BH1724">
        <v>97.48</v>
      </c>
    </row>
    <row r="1725" spans="1:60" x14ac:dyDescent="0.25">
      <c r="A1725" s="2">
        <v>43776</v>
      </c>
      <c r="B1725">
        <v>17</v>
      </c>
      <c r="C1725">
        <v>12</v>
      </c>
      <c r="D1725">
        <v>31</v>
      </c>
      <c r="E1725">
        <v>0.8</v>
      </c>
      <c r="F1725">
        <v>57.68</v>
      </c>
      <c r="G1725">
        <v>0.5</v>
      </c>
      <c r="H1725">
        <v>3</v>
      </c>
      <c r="I1725">
        <v>361.71629999999999</v>
      </c>
      <c r="J1725">
        <v>207.1865</v>
      </c>
      <c r="K1725">
        <v>141.53280000000001</v>
      </c>
      <c r="L1725">
        <v>4.4413</v>
      </c>
      <c r="M1725">
        <v>18.211200000000002</v>
      </c>
      <c r="N1725">
        <v>-2.9293999999999998</v>
      </c>
      <c r="O1725">
        <v>-3.1928000000000001</v>
      </c>
      <c r="P1725">
        <v>97.55</v>
      </c>
      <c r="S1725">
        <f t="shared" si="575"/>
        <v>855.06809999999996</v>
      </c>
      <c r="T1725">
        <f t="shared" si="576"/>
        <v>1.5936904856209272E-2</v>
      </c>
      <c r="U1725">
        <f t="shared" si="577"/>
        <v>1.1249579898500664E-2</v>
      </c>
      <c r="V1725">
        <f t="shared" si="578"/>
        <v>2.9061414737793379E-2</v>
      </c>
      <c r="W1725">
        <f t="shared" si="579"/>
        <v>7.4997199323337759E-4</v>
      </c>
      <c r="X1725">
        <f t="shared" si="580"/>
        <v>5.4072980712126517E-2</v>
      </c>
      <c r="Y1725">
        <f t="shared" si="581"/>
        <v>4.6873249577086097E-4</v>
      </c>
      <c r="Z1725">
        <f t="shared" si="582"/>
        <v>2.8123949746251659E-3</v>
      </c>
      <c r="AA1725">
        <f t="shared" si="583"/>
        <v>0.33909636812000293</v>
      </c>
      <c r="AB1725">
        <f t="shared" si="584"/>
        <v>0.19423009047005896</v>
      </c>
      <c r="AC1725">
        <f t="shared" si="585"/>
        <v>0.13268204515487622</v>
      </c>
      <c r="AD1725">
        <f t="shared" si="586"/>
        <v>4.1635632669342493E-3</v>
      </c>
      <c r="AE1725">
        <f t="shared" si="587"/>
        <v>1.7072362453964606E-2</v>
      </c>
      <c r="AG1725">
        <f t="shared" si="588"/>
        <v>0.97871231296409966</v>
      </c>
      <c r="AH1725">
        <f t="shared" si="589"/>
        <v>0.13142434212222384</v>
      </c>
      <c r="AI1725">
        <f t="shared" si="590"/>
        <v>-0.96930985207128306</v>
      </c>
      <c r="AK1725" s="26" t="e">
        <f t="shared" si="591"/>
        <v>#DIV/0!</v>
      </c>
      <c r="AL1725" s="26" t="e">
        <f t="shared" si="592"/>
        <v>#DIV/0!</v>
      </c>
      <c r="AM1725" s="26" t="e">
        <f t="shared" si="593"/>
        <v>#DIV/0!</v>
      </c>
      <c r="AN1725" s="26" t="e">
        <f t="shared" si="594"/>
        <v>#DIV/0!</v>
      </c>
      <c r="AO1725" s="26" t="e">
        <f t="shared" si="595"/>
        <v>#DIV/0!</v>
      </c>
      <c r="AP1725" s="26" t="e">
        <f t="shared" si="596"/>
        <v>#DIV/0!</v>
      </c>
      <c r="AS1725" s="2">
        <v>43755</v>
      </c>
      <c r="AT1725">
        <v>15.8</v>
      </c>
      <c r="AU1725">
        <v>62.2</v>
      </c>
      <c r="AV1725">
        <v>28.1</v>
      </c>
      <c r="AW1725">
        <v>1.2</v>
      </c>
      <c r="AX1725">
        <v>82.54</v>
      </c>
      <c r="AY1725">
        <v>0.1</v>
      </c>
      <c r="AZ1725">
        <v>2.7</v>
      </c>
      <c r="BA1725">
        <v>316.3023</v>
      </c>
      <c r="BB1725">
        <v>155.08799999999999</v>
      </c>
      <c r="BC1725">
        <v>153.54140000000001</v>
      </c>
      <c r="BD1725">
        <v>4.4062000000000001</v>
      </c>
      <c r="BE1725">
        <v>29.3322</v>
      </c>
      <c r="BH1725">
        <v>97.47</v>
      </c>
    </row>
    <row r="1726" spans="1:60" x14ac:dyDescent="0.25">
      <c r="A1726" s="2">
        <v>43775</v>
      </c>
      <c r="B1726">
        <v>17.600000000000001</v>
      </c>
      <c r="C1726">
        <v>0.9</v>
      </c>
      <c r="D1726">
        <v>11.2</v>
      </c>
      <c r="E1726">
        <v>0.4</v>
      </c>
      <c r="F1726">
        <v>33.950000000000003</v>
      </c>
      <c r="G1726">
        <v>0.5</v>
      </c>
      <c r="H1726">
        <v>2.8</v>
      </c>
      <c r="I1726">
        <v>337.38529999999997</v>
      </c>
      <c r="J1726">
        <v>219.18289999999999</v>
      </c>
      <c r="K1726">
        <v>164.89680000000001</v>
      </c>
      <c r="L1726">
        <v>4.4604999999999997</v>
      </c>
      <c r="M1726">
        <v>27.714600000000001</v>
      </c>
      <c r="N1726">
        <v>-2.9308999999999998</v>
      </c>
      <c r="O1726">
        <v>-2.5293000000000001</v>
      </c>
      <c r="P1726">
        <v>97.57</v>
      </c>
      <c r="S1726">
        <f t="shared" si="575"/>
        <v>820.99009999999998</v>
      </c>
      <c r="T1726">
        <f t="shared" si="576"/>
        <v>1.6499383851134308E-2</v>
      </c>
      <c r="U1726">
        <f t="shared" si="577"/>
        <v>8.4371849238754971E-4</v>
      </c>
      <c r="V1726">
        <f t="shared" si="578"/>
        <v>1.0499607905267284E-2</v>
      </c>
      <c r="W1726">
        <f t="shared" si="579"/>
        <v>3.7498599661668879E-4</v>
      </c>
      <c r="X1726">
        <f t="shared" si="580"/>
        <v>3.182693646284146E-2</v>
      </c>
      <c r="Y1726">
        <f t="shared" si="581"/>
        <v>4.6873249577086097E-4</v>
      </c>
      <c r="Z1726">
        <f t="shared" si="582"/>
        <v>2.624901976316821E-3</v>
      </c>
      <c r="AA1726">
        <f t="shared" si="583"/>
        <v>0.31628690741080129</v>
      </c>
      <c r="AB1726">
        <f t="shared" si="584"/>
        <v>0.20547629549459007</v>
      </c>
      <c r="AC1726">
        <f t="shared" si="585"/>
        <v>0.15458497721725703</v>
      </c>
      <c r="AD1726">
        <f t="shared" si="586"/>
        <v>4.1815625947718505E-3</v>
      </c>
      <c r="AE1726">
        <f t="shared" si="587"/>
        <v>2.5981467254582207E-2</v>
      </c>
      <c r="AG1726">
        <f t="shared" si="588"/>
        <v>0.98892969313129842</v>
      </c>
      <c r="AH1726">
        <f t="shared" si="589"/>
        <v>8.9119734434917192E-2</v>
      </c>
      <c r="AI1726">
        <f t="shared" si="590"/>
        <v>-1.2348541812453155</v>
      </c>
      <c r="AK1726" s="26" t="e">
        <f t="shared" si="591"/>
        <v>#DIV/0!</v>
      </c>
      <c r="AL1726" s="26" t="e">
        <f t="shared" si="592"/>
        <v>#DIV/0!</v>
      </c>
      <c r="AM1726" s="26" t="e">
        <f t="shared" si="593"/>
        <v>#DIV/0!</v>
      </c>
      <c r="AN1726" s="26" t="e">
        <f t="shared" si="594"/>
        <v>#DIV/0!</v>
      </c>
      <c r="AO1726" s="26" t="e">
        <f t="shared" si="595"/>
        <v>#DIV/0!</v>
      </c>
      <c r="AP1726" s="26" t="e">
        <f t="shared" si="596"/>
        <v>#DIV/0!</v>
      </c>
      <c r="AS1726" s="2">
        <v>43754</v>
      </c>
      <c r="AT1726">
        <v>16.399999999999999</v>
      </c>
      <c r="AU1726">
        <v>10.6</v>
      </c>
      <c r="AV1726">
        <v>21.5</v>
      </c>
      <c r="AW1726">
        <v>1.8</v>
      </c>
      <c r="AX1726">
        <v>83.64</v>
      </c>
      <c r="AY1726">
        <v>0.1</v>
      </c>
      <c r="AZ1726">
        <v>2.4</v>
      </c>
      <c r="BA1726">
        <v>308.57530000000003</v>
      </c>
      <c r="BB1726">
        <v>107.30329999999999</v>
      </c>
      <c r="BC1726">
        <v>135.12049999999999</v>
      </c>
      <c r="BD1726">
        <v>4.4325999999999999</v>
      </c>
      <c r="BE1726">
        <v>19.405999999999999</v>
      </c>
      <c r="BH1726">
        <v>97.44</v>
      </c>
    </row>
    <row r="1727" spans="1:60" x14ac:dyDescent="0.25">
      <c r="A1727" s="2">
        <v>43774</v>
      </c>
      <c r="B1727">
        <v>13.1</v>
      </c>
      <c r="C1727">
        <v>197.2</v>
      </c>
      <c r="D1727">
        <v>29.5</v>
      </c>
      <c r="E1727">
        <v>0.6</v>
      </c>
      <c r="F1727">
        <v>36.950000000000003</v>
      </c>
      <c r="G1727">
        <v>0.5</v>
      </c>
      <c r="H1727">
        <v>2.4</v>
      </c>
      <c r="I1727">
        <v>313.1182</v>
      </c>
      <c r="J1727">
        <v>182.51840000000001</v>
      </c>
      <c r="K1727">
        <v>152.85339999999999</v>
      </c>
      <c r="L1727">
        <v>6.1894999999999998</v>
      </c>
      <c r="M1727">
        <v>18.412400000000002</v>
      </c>
      <c r="N1727">
        <v>-3.4929999999999999</v>
      </c>
      <c r="O1727">
        <v>-2.8492000000000002</v>
      </c>
      <c r="P1727">
        <v>97.6</v>
      </c>
      <c r="S1727">
        <f t="shared" si="575"/>
        <v>953.3418999999999</v>
      </c>
      <c r="T1727">
        <f t="shared" si="576"/>
        <v>1.2280791389196556E-2</v>
      </c>
      <c r="U1727">
        <f t="shared" si="577"/>
        <v>0.18486809633202755</v>
      </c>
      <c r="V1727">
        <f t="shared" si="578"/>
        <v>2.7655217250480795E-2</v>
      </c>
      <c r="W1727">
        <f t="shared" si="579"/>
        <v>5.6247899492503314E-4</v>
      </c>
      <c r="X1727">
        <f t="shared" si="580"/>
        <v>3.4639331437466628E-2</v>
      </c>
      <c r="Y1727">
        <f t="shared" si="581"/>
        <v>4.6873249577086097E-4</v>
      </c>
      <c r="Z1727">
        <f t="shared" si="582"/>
        <v>2.2499159797001326E-3</v>
      </c>
      <c r="AA1727">
        <f t="shared" si="583"/>
        <v>0.29353735071455916</v>
      </c>
      <c r="AB1727">
        <f t="shared" si="584"/>
        <v>0.17110461031220864</v>
      </c>
      <c r="AC1727">
        <f t="shared" si="585"/>
        <v>0.14329471133812344</v>
      </c>
      <c r="AD1727">
        <f t="shared" si="586"/>
        <v>5.8024395651474873E-3</v>
      </c>
      <c r="AE1727">
        <f t="shared" si="587"/>
        <v>1.7260980410262802E-2</v>
      </c>
      <c r="AG1727">
        <f t="shared" si="588"/>
        <v>1.0006907497951969</v>
      </c>
      <c r="AH1727">
        <f t="shared" si="589"/>
        <v>0.27998554428983036</v>
      </c>
      <c r="AI1727">
        <f t="shared" si="590"/>
        <v>-8.8961833619780745E-2</v>
      </c>
      <c r="AK1727" s="26" t="e">
        <f t="shared" si="591"/>
        <v>#DIV/0!</v>
      </c>
      <c r="AL1727" s="26" t="e">
        <f t="shared" si="592"/>
        <v>#DIV/0!</v>
      </c>
      <c r="AM1727" s="26" t="e">
        <f t="shared" si="593"/>
        <v>#DIV/0!</v>
      </c>
      <c r="AN1727" s="26" t="e">
        <f t="shared" si="594"/>
        <v>#DIV/0!</v>
      </c>
      <c r="AO1727" s="26" t="e">
        <f t="shared" si="595"/>
        <v>#DIV/0!</v>
      </c>
      <c r="AP1727" s="26" t="e">
        <f t="shared" si="596"/>
        <v>#DIV/0!</v>
      </c>
      <c r="AS1727" s="2">
        <v>43753</v>
      </c>
      <c r="AT1727">
        <v>14.4</v>
      </c>
      <c r="AU1727">
        <v>41</v>
      </c>
      <c r="AV1727">
        <v>42.6</v>
      </c>
      <c r="AW1727">
        <v>0.7</v>
      </c>
      <c r="AX1727">
        <v>106</v>
      </c>
      <c r="AY1727">
        <v>0.5</v>
      </c>
      <c r="AZ1727">
        <v>2.7</v>
      </c>
      <c r="BA1727">
        <v>307.99560000000002</v>
      </c>
      <c r="BB1727">
        <v>159.75739999999999</v>
      </c>
      <c r="BC1727">
        <v>146.93700000000001</v>
      </c>
      <c r="BD1727">
        <v>4.6037999999999997</v>
      </c>
      <c r="BE1727">
        <v>32.328800000000001</v>
      </c>
      <c r="BH1727">
        <v>97.47</v>
      </c>
    </row>
    <row r="1728" spans="1:60" x14ac:dyDescent="0.25">
      <c r="A1728" s="2">
        <v>43773</v>
      </c>
      <c r="B1728">
        <v>13.2</v>
      </c>
      <c r="C1728">
        <v>0</v>
      </c>
      <c r="D1728">
        <v>22.1</v>
      </c>
      <c r="E1728">
        <v>0.6</v>
      </c>
      <c r="F1728">
        <v>49.61</v>
      </c>
      <c r="G1728">
        <v>0.5</v>
      </c>
      <c r="H1728">
        <v>3.1</v>
      </c>
      <c r="I1728">
        <v>271.37939999999998</v>
      </c>
      <c r="J1728">
        <v>142.0342</v>
      </c>
      <c r="K1728">
        <v>121.58029999999999</v>
      </c>
      <c r="L1728">
        <v>4.6649000000000003</v>
      </c>
      <c r="M1728">
        <v>18.854399999999998</v>
      </c>
      <c r="N1728">
        <v>-3.3201999999999998</v>
      </c>
      <c r="O1728">
        <v>-3.0207000000000002</v>
      </c>
      <c r="P1728">
        <v>97.63</v>
      </c>
      <c r="S1728">
        <f t="shared" si="575"/>
        <v>647.6232</v>
      </c>
      <c r="T1728">
        <f t="shared" si="576"/>
        <v>1.2374537888350728E-2</v>
      </c>
      <c r="U1728">
        <f t="shared" si="577"/>
        <v>0</v>
      </c>
      <c r="V1728">
        <f t="shared" si="578"/>
        <v>2.0717976313072057E-2</v>
      </c>
      <c r="W1728">
        <f t="shared" si="579"/>
        <v>5.6247899492503314E-4</v>
      </c>
      <c r="X1728">
        <f t="shared" si="580"/>
        <v>4.6507638230384826E-2</v>
      </c>
      <c r="Y1728">
        <f t="shared" si="581"/>
        <v>4.6873249577086097E-4</v>
      </c>
      <c r="Z1728">
        <f t="shared" si="582"/>
        <v>2.9061414737793379E-3</v>
      </c>
      <c r="AA1728">
        <f t="shared" si="583"/>
        <v>0.25440868692559754</v>
      </c>
      <c r="AB1728">
        <f t="shared" si="584"/>
        <v>0.13315209010163523</v>
      </c>
      <c r="AC1728">
        <f t="shared" si="585"/>
        <v>0.11397727491114</v>
      </c>
      <c r="AD1728">
        <f t="shared" si="586"/>
        <v>4.373180439042979E-3</v>
      </c>
      <c r="AE1728">
        <f t="shared" si="587"/>
        <v>1.7675339936524238E-2</v>
      </c>
      <c r="AG1728">
        <f t="shared" si="588"/>
        <v>1.0127038777430808</v>
      </c>
      <c r="AH1728">
        <f t="shared" si="589"/>
        <v>0.10121284533280708</v>
      </c>
      <c r="AI1728">
        <f t="shared" si="590"/>
        <v>-1.1715337452286201</v>
      </c>
      <c r="AK1728" s="26" t="e">
        <f t="shared" si="591"/>
        <v>#DIV/0!</v>
      </c>
      <c r="AL1728" s="26" t="e">
        <f t="shared" si="592"/>
        <v>#DIV/0!</v>
      </c>
      <c r="AM1728" s="26" t="e">
        <f t="shared" si="593"/>
        <v>#DIV/0!</v>
      </c>
      <c r="AN1728" s="26" t="e">
        <f t="shared" si="594"/>
        <v>#DIV/0!</v>
      </c>
      <c r="AO1728" s="26" t="e">
        <f t="shared" si="595"/>
        <v>#DIV/0!</v>
      </c>
      <c r="AP1728" s="26" t="e">
        <f t="shared" si="596"/>
        <v>#DIV/0!</v>
      </c>
      <c r="AS1728" s="2">
        <v>43752</v>
      </c>
      <c r="AT1728">
        <v>14.8</v>
      </c>
      <c r="AU1728">
        <v>4</v>
      </c>
      <c r="AV1728">
        <v>42.3</v>
      </c>
      <c r="AW1728">
        <v>1.5</v>
      </c>
      <c r="AX1728">
        <v>137.52000000000001</v>
      </c>
      <c r="AY1728">
        <v>0.5</v>
      </c>
      <c r="AZ1728">
        <v>3.1</v>
      </c>
      <c r="BA1728">
        <v>279.50920000000002</v>
      </c>
      <c r="BB1728">
        <v>134.2826</v>
      </c>
      <c r="BC1728">
        <v>101.2281</v>
      </c>
      <c r="BD1728">
        <v>4.4215</v>
      </c>
      <c r="BE1728">
        <v>30.785399999999999</v>
      </c>
      <c r="BH1728">
        <v>97.41</v>
      </c>
    </row>
    <row r="1729" spans="1:60" x14ac:dyDescent="0.25">
      <c r="A1729" s="2">
        <v>43772</v>
      </c>
      <c r="B1729">
        <v>12.9</v>
      </c>
      <c r="C1729">
        <v>20.399999999999999</v>
      </c>
      <c r="D1729">
        <v>45.6</v>
      </c>
      <c r="E1729">
        <v>1.3</v>
      </c>
      <c r="F1729">
        <v>37.11</v>
      </c>
      <c r="G1729">
        <v>0.5</v>
      </c>
      <c r="H1729">
        <v>2.8</v>
      </c>
      <c r="I1729">
        <v>197.61519999999999</v>
      </c>
      <c r="J1729">
        <v>52.316499999999998</v>
      </c>
      <c r="K1729">
        <v>53.045299999999997</v>
      </c>
      <c r="L1729">
        <v>4.5119999999999996</v>
      </c>
      <c r="M1729">
        <v>19.142199999999999</v>
      </c>
      <c r="P1729">
        <v>97.58</v>
      </c>
      <c r="S1729">
        <f t="shared" si="575"/>
        <v>447.24119999999999</v>
      </c>
      <c r="T1729">
        <f t="shared" si="576"/>
        <v>1.2093298390888213E-2</v>
      </c>
      <c r="U1729">
        <f t="shared" si="577"/>
        <v>1.9124285827451126E-2</v>
      </c>
      <c r="V1729">
        <f t="shared" si="578"/>
        <v>4.2748403614302523E-2</v>
      </c>
      <c r="W1729">
        <f t="shared" si="579"/>
        <v>1.2187044890042385E-3</v>
      </c>
      <c r="X1729">
        <f t="shared" si="580"/>
        <v>3.47893258361133E-2</v>
      </c>
      <c r="Y1729">
        <f t="shared" si="581"/>
        <v>4.6873249577086097E-4</v>
      </c>
      <c r="Z1729">
        <f t="shared" si="582"/>
        <v>2.624901976316821E-3</v>
      </c>
      <c r="AA1729">
        <f t="shared" si="583"/>
        <v>0.18525733179651568</v>
      </c>
      <c r="AB1729">
        <f t="shared" si="584"/>
        <v>4.9044887229992493E-2</v>
      </c>
      <c r="AC1729">
        <f t="shared" si="585"/>
        <v>4.9728111715828097E-2</v>
      </c>
      <c r="AD1729">
        <f t="shared" si="586"/>
        <v>4.229842041836249E-3</v>
      </c>
      <c r="AE1729">
        <f t="shared" si="587"/>
        <v>1.7945142361089947E-2</v>
      </c>
      <c r="AG1729">
        <f t="shared" si="588"/>
        <v>1.0143947358703835</v>
      </c>
      <c r="AH1729">
        <f t="shared" si="589"/>
        <v>0.13101279499093701</v>
      </c>
      <c r="AI1729">
        <f t="shared" si="590"/>
        <v>-1.0044243901787087</v>
      </c>
      <c r="AK1729" s="26" t="e">
        <f t="shared" si="591"/>
        <v>#DIV/0!</v>
      </c>
      <c r="AL1729" s="26" t="e">
        <f t="shared" si="592"/>
        <v>#DIV/0!</v>
      </c>
      <c r="AM1729" s="26" t="e">
        <f t="shared" si="593"/>
        <v>#DIV/0!</v>
      </c>
      <c r="AN1729" s="26" t="e">
        <f t="shared" si="594"/>
        <v>#DIV/0!</v>
      </c>
      <c r="AO1729" s="26" t="e">
        <f t="shared" si="595"/>
        <v>#DIV/0!</v>
      </c>
      <c r="AP1729" s="26" t="e">
        <f t="shared" si="596"/>
        <v>#DIV/0!</v>
      </c>
      <c r="AS1729" s="2">
        <v>43751</v>
      </c>
      <c r="AT1729">
        <v>14.2</v>
      </c>
      <c r="AU1729">
        <v>18.899999999999999</v>
      </c>
      <c r="AV1729">
        <v>33.799999999999997</v>
      </c>
      <c r="AW1729">
        <v>1.6</v>
      </c>
      <c r="AX1729">
        <v>121.41</v>
      </c>
      <c r="AY1729">
        <v>0.5</v>
      </c>
      <c r="AZ1729">
        <v>3</v>
      </c>
      <c r="BA1729">
        <v>190.0942</v>
      </c>
      <c r="BB1729">
        <v>28.8263</v>
      </c>
      <c r="BC1729">
        <v>24.686</v>
      </c>
      <c r="BD1729">
        <v>4.3922999999999996</v>
      </c>
      <c r="BE1729">
        <v>14.7342</v>
      </c>
      <c r="BH1729">
        <v>97.35</v>
      </c>
    </row>
    <row r="1730" spans="1:60" x14ac:dyDescent="0.25">
      <c r="A1730" s="2">
        <v>43771</v>
      </c>
      <c r="B1730">
        <v>13.5</v>
      </c>
      <c r="C1730">
        <v>2.6</v>
      </c>
      <c r="D1730">
        <v>65.5</v>
      </c>
      <c r="E1730">
        <v>2</v>
      </c>
      <c r="F1730">
        <v>43.47</v>
      </c>
      <c r="G1730">
        <v>0.5</v>
      </c>
      <c r="H1730">
        <v>3.1</v>
      </c>
      <c r="I1730">
        <v>166.7492</v>
      </c>
      <c r="J1730">
        <v>39.6342</v>
      </c>
      <c r="K1730">
        <v>51.502600000000001</v>
      </c>
      <c r="L1730">
        <v>4.5284000000000004</v>
      </c>
      <c r="M1730">
        <v>14.911899999999999</v>
      </c>
      <c r="P1730">
        <v>97.46</v>
      </c>
      <c r="S1730">
        <f t="shared" ref="S1730:S1793" si="597">SUM(B1730:M1730)</f>
        <v>407.99630000000002</v>
      </c>
      <c r="T1730">
        <f t="shared" si="576"/>
        <v>1.2655777385813246E-2</v>
      </c>
      <c r="U1730">
        <f t="shared" si="577"/>
        <v>2.437408978008477E-3</v>
      </c>
      <c r="V1730">
        <f t="shared" si="578"/>
        <v>6.1403956945982788E-2</v>
      </c>
      <c r="W1730">
        <f t="shared" si="579"/>
        <v>1.8749299830834439E-3</v>
      </c>
      <c r="X1730">
        <f t="shared" si="580"/>
        <v>4.0751603182318651E-2</v>
      </c>
      <c r="Y1730">
        <f t="shared" si="581"/>
        <v>4.6873249577086097E-4</v>
      </c>
      <c r="Z1730">
        <f t="shared" si="582"/>
        <v>2.9061414737793379E-3</v>
      </c>
      <c r="AA1730">
        <f t="shared" si="583"/>
        <v>0.15632153736758889</v>
      </c>
      <c r="AB1730">
        <f t="shared" si="584"/>
        <v>3.7155674967762911E-2</v>
      </c>
      <c r="AC1730">
        <f t="shared" si="585"/>
        <v>4.8281884473376689E-2</v>
      </c>
      <c r="AD1730">
        <f t="shared" si="586"/>
        <v>4.2452164676975339E-3</v>
      </c>
      <c r="AE1730">
        <f t="shared" si="587"/>
        <v>1.3979384207371002E-2</v>
      </c>
      <c r="AG1730">
        <f t="shared" si="588"/>
        <v>1.0069162777560354</v>
      </c>
      <c r="AH1730">
        <f t="shared" si="589"/>
        <v>0.13647793465212779</v>
      </c>
      <c r="AI1730">
        <f t="shared" si="590"/>
        <v>-0.98121851805035454</v>
      </c>
      <c r="AK1730" s="26" t="e">
        <f t="shared" si="591"/>
        <v>#DIV/0!</v>
      </c>
      <c r="AL1730" s="26" t="e">
        <f t="shared" si="592"/>
        <v>#DIV/0!</v>
      </c>
      <c r="AM1730" s="26" t="e">
        <f t="shared" si="593"/>
        <v>#DIV/0!</v>
      </c>
      <c r="AN1730" s="26" t="e">
        <f t="shared" si="594"/>
        <v>#DIV/0!</v>
      </c>
      <c r="AO1730" s="26" t="e">
        <f t="shared" si="595"/>
        <v>#DIV/0!</v>
      </c>
      <c r="AP1730" s="26" t="e">
        <f t="shared" si="596"/>
        <v>#DIV/0!</v>
      </c>
      <c r="AS1730" s="2">
        <v>43750</v>
      </c>
      <c r="AT1730">
        <v>15</v>
      </c>
      <c r="AU1730">
        <v>17.100000000000001</v>
      </c>
      <c r="AV1730">
        <v>68.3</v>
      </c>
      <c r="AW1730">
        <v>2.7</v>
      </c>
      <c r="AX1730">
        <v>123.25</v>
      </c>
      <c r="AY1730">
        <v>0.5</v>
      </c>
      <c r="AZ1730">
        <v>3</v>
      </c>
      <c r="BA1730">
        <v>158.05000000000001</v>
      </c>
      <c r="BB1730">
        <v>31.133199999999999</v>
      </c>
      <c r="BC1730">
        <v>30.7971</v>
      </c>
      <c r="BD1730">
        <v>4.3968999999999996</v>
      </c>
      <c r="BE1730">
        <v>27.195699999999999</v>
      </c>
      <c r="BH1730">
        <v>97.17</v>
      </c>
    </row>
    <row r="1731" spans="1:60" x14ac:dyDescent="0.25">
      <c r="A1731" s="2">
        <v>43770</v>
      </c>
      <c r="B1731">
        <v>15</v>
      </c>
      <c r="C1731">
        <v>111</v>
      </c>
      <c r="D1731">
        <v>52.3</v>
      </c>
      <c r="E1731">
        <v>1.6</v>
      </c>
      <c r="F1731">
        <v>40.659999999999997</v>
      </c>
      <c r="G1731">
        <v>0.5</v>
      </c>
      <c r="H1731">
        <v>3.4</v>
      </c>
      <c r="I1731">
        <v>227.55799999999999</v>
      </c>
      <c r="J1731">
        <v>57.922699999999999</v>
      </c>
      <c r="K1731">
        <v>117.8997</v>
      </c>
      <c r="L1731">
        <v>4.5675999999999997</v>
      </c>
      <c r="M1731">
        <v>13.212</v>
      </c>
      <c r="N1731">
        <v>-2.355</v>
      </c>
      <c r="O1731">
        <v>-2.5405000000000002</v>
      </c>
      <c r="P1731">
        <v>97.32</v>
      </c>
      <c r="S1731">
        <f t="shared" si="597"/>
        <v>645.62</v>
      </c>
      <c r="T1731">
        <f t="shared" si="576"/>
        <v>1.4061974873125828E-2</v>
      </c>
      <c r="U1731">
        <f t="shared" si="577"/>
        <v>0.10405861406113114</v>
      </c>
      <c r="V1731">
        <f t="shared" si="578"/>
        <v>4.9029419057632057E-2</v>
      </c>
      <c r="W1731">
        <f t="shared" si="579"/>
        <v>1.4999439864667552E-3</v>
      </c>
      <c r="X1731">
        <f t="shared" si="580"/>
        <v>3.8117326556086413E-2</v>
      </c>
      <c r="Y1731">
        <f t="shared" si="581"/>
        <v>4.6873249577086097E-4</v>
      </c>
      <c r="Z1731">
        <f t="shared" si="582"/>
        <v>3.1873809712418544E-3</v>
      </c>
      <c r="AA1731">
        <f t="shared" si="583"/>
        <v>0.21332765854525115</v>
      </c>
      <c r="AB1731">
        <f t="shared" si="584"/>
        <v>5.4300503465573698E-2</v>
      </c>
      <c r="AC1731">
        <f t="shared" si="585"/>
        <v>0.11052684126327154</v>
      </c>
      <c r="AD1731">
        <f t="shared" si="586"/>
        <v>4.281965095365969E-3</v>
      </c>
      <c r="AE1731">
        <f t="shared" si="587"/>
        <v>1.238578746824923E-2</v>
      </c>
      <c r="AG1731">
        <f t="shared" si="588"/>
        <v>0.99673186145488302</v>
      </c>
      <c r="AH1731">
        <f t="shared" si="589"/>
        <v>0.22280917946970411</v>
      </c>
      <c r="AI1731">
        <f t="shared" si="590"/>
        <v>-0.46724929746104787</v>
      </c>
      <c r="AK1731" s="26" t="e">
        <f t="shared" si="591"/>
        <v>#DIV/0!</v>
      </c>
      <c r="AL1731" s="26" t="e">
        <f t="shared" si="592"/>
        <v>#DIV/0!</v>
      </c>
      <c r="AM1731" s="26" t="e">
        <f t="shared" si="593"/>
        <v>#DIV/0!</v>
      </c>
      <c r="AN1731" s="26" t="e">
        <f t="shared" si="594"/>
        <v>#DIV/0!</v>
      </c>
      <c r="AO1731" s="26" t="e">
        <f t="shared" si="595"/>
        <v>#DIV/0!</v>
      </c>
      <c r="AP1731" s="26" t="e">
        <f t="shared" si="596"/>
        <v>#DIV/0!</v>
      </c>
      <c r="AS1731" s="2">
        <v>43749</v>
      </c>
      <c r="AT1731">
        <v>17</v>
      </c>
      <c r="AU1731">
        <v>4.8</v>
      </c>
      <c r="AV1731">
        <v>68.900000000000006</v>
      </c>
      <c r="AW1731">
        <v>4</v>
      </c>
      <c r="AX1731">
        <v>88.45</v>
      </c>
      <c r="AY1731">
        <v>0.1</v>
      </c>
      <c r="AZ1731">
        <v>3.1</v>
      </c>
      <c r="BA1731">
        <v>178.99959999999999</v>
      </c>
      <c r="BB1731">
        <v>50.811300000000003</v>
      </c>
      <c r="BC1731">
        <v>51.372500000000002</v>
      </c>
      <c r="BD1731">
        <v>4.3971999999999998</v>
      </c>
      <c r="BE1731">
        <v>21.4773</v>
      </c>
      <c r="BH1731">
        <v>97.05</v>
      </c>
    </row>
    <row r="1732" spans="1:60" x14ac:dyDescent="0.25">
      <c r="A1732" s="2">
        <v>43769</v>
      </c>
      <c r="B1732">
        <v>16.3</v>
      </c>
      <c r="C1732">
        <v>55.8</v>
      </c>
      <c r="D1732">
        <v>13.4</v>
      </c>
      <c r="E1732">
        <v>0.4</v>
      </c>
      <c r="F1732">
        <v>105.07</v>
      </c>
      <c r="G1732">
        <v>0.4</v>
      </c>
      <c r="H1732">
        <v>3.3</v>
      </c>
      <c r="I1732">
        <v>314.7004</v>
      </c>
      <c r="J1732">
        <v>198.35900000000001</v>
      </c>
      <c r="K1732">
        <v>157.8193</v>
      </c>
      <c r="L1732">
        <v>4.5824999999999996</v>
      </c>
      <c r="M1732">
        <v>23.864000000000001</v>
      </c>
      <c r="N1732">
        <v>3.3441999999999998</v>
      </c>
      <c r="O1732">
        <v>-2.0051000000000001</v>
      </c>
      <c r="P1732">
        <v>97.27</v>
      </c>
      <c r="S1732">
        <f t="shared" si="597"/>
        <v>893.99520000000007</v>
      </c>
      <c r="T1732">
        <f t="shared" si="576"/>
        <v>1.5280679362130067E-2</v>
      </c>
      <c r="U1732">
        <f t="shared" si="577"/>
        <v>5.2310546528028079E-2</v>
      </c>
      <c r="V1732">
        <f t="shared" si="578"/>
        <v>1.2562030886659074E-2</v>
      </c>
      <c r="W1732">
        <f t="shared" si="579"/>
        <v>3.7498599661668879E-4</v>
      </c>
      <c r="X1732">
        <f t="shared" si="580"/>
        <v>9.8499446661288709E-2</v>
      </c>
      <c r="Y1732">
        <f t="shared" si="581"/>
        <v>3.7498599661668879E-4</v>
      </c>
      <c r="Z1732">
        <f t="shared" si="582"/>
        <v>3.0936344720876819E-3</v>
      </c>
      <c r="AA1732">
        <f t="shared" si="583"/>
        <v>0.2950206078241765</v>
      </c>
      <c r="AB1732">
        <f t="shared" si="584"/>
        <v>0.18595461825722442</v>
      </c>
      <c r="AC1732">
        <f t="shared" si="585"/>
        <v>0.14795006873962047</v>
      </c>
      <c r="AD1732">
        <f t="shared" si="586"/>
        <v>4.2959333237399403E-3</v>
      </c>
      <c r="AE1732">
        <f t="shared" si="587"/>
        <v>2.2371664558151653E-2</v>
      </c>
      <c r="AG1732">
        <f t="shared" si="588"/>
        <v>0.99835813459013423</v>
      </c>
      <c r="AH1732">
        <f t="shared" si="589"/>
        <v>0.20486797446157867</v>
      </c>
      <c r="AI1732">
        <f t="shared" si="590"/>
        <v>-0.57845161553496427</v>
      </c>
      <c r="AK1732" s="26" t="e">
        <f t="shared" si="591"/>
        <v>#DIV/0!</v>
      </c>
      <c r="AL1732" s="26" t="e">
        <f t="shared" si="592"/>
        <v>#DIV/0!</v>
      </c>
      <c r="AM1732" s="26" t="e">
        <f t="shared" si="593"/>
        <v>#DIV/0!</v>
      </c>
      <c r="AN1732" s="26" t="e">
        <f t="shared" si="594"/>
        <v>#DIV/0!</v>
      </c>
      <c r="AO1732" s="26" t="e">
        <f t="shared" si="595"/>
        <v>#DIV/0!</v>
      </c>
      <c r="AP1732" s="26" t="e">
        <f t="shared" si="596"/>
        <v>#DIV/0!</v>
      </c>
      <c r="AS1732" s="2">
        <v>43748</v>
      </c>
      <c r="AT1732">
        <v>17.7</v>
      </c>
      <c r="AU1732">
        <v>30.4</v>
      </c>
      <c r="AV1732">
        <v>67.400000000000006</v>
      </c>
      <c r="AW1732">
        <v>2.7</v>
      </c>
      <c r="AX1732">
        <v>84.55</v>
      </c>
      <c r="AZ1732">
        <v>2.7</v>
      </c>
      <c r="BA1732">
        <v>243.72540000000001</v>
      </c>
      <c r="BB1732">
        <v>47.300199999999997</v>
      </c>
      <c r="BC1732">
        <v>100.62139999999999</v>
      </c>
      <c r="BD1732">
        <v>4.3783000000000003</v>
      </c>
      <c r="BE1732">
        <v>23.2925</v>
      </c>
      <c r="BH1732">
        <v>97</v>
      </c>
    </row>
    <row r="1733" spans="1:60" x14ac:dyDescent="0.25">
      <c r="A1733" s="2">
        <v>43768</v>
      </c>
      <c r="B1733">
        <v>14.8</v>
      </c>
      <c r="C1733">
        <v>33.200000000000003</v>
      </c>
      <c r="D1733">
        <v>2.2999999999999998</v>
      </c>
      <c r="E1733">
        <v>0.1</v>
      </c>
      <c r="F1733">
        <v>81.209999999999994</v>
      </c>
      <c r="H1733">
        <v>3.3</v>
      </c>
      <c r="I1733">
        <v>328.2253</v>
      </c>
      <c r="J1733">
        <v>268.83519999999999</v>
      </c>
      <c r="K1733">
        <v>161.7756</v>
      </c>
      <c r="L1733">
        <v>4.5837000000000003</v>
      </c>
      <c r="M1733">
        <v>27.8002</v>
      </c>
      <c r="N1733">
        <v>2.8290000000000002</v>
      </c>
      <c r="O1733">
        <v>-1.9632000000000001</v>
      </c>
      <c r="P1733">
        <v>97.63</v>
      </c>
      <c r="S1733">
        <f t="shared" si="597"/>
        <v>926.13000000000011</v>
      </c>
      <c r="T1733">
        <f t="shared" ref="T1733:T1796" si="598">B1733/$S$4</f>
        <v>1.3874481874817485E-2</v>
      </c>
      <c r="U1733">
        <f t="shared" ref="U1733:U1796" si="599">C1733/$S$4</f>
        <v>3.1123837719185171E-2</v>
      </c>
      <c r="V1733">
        <f t="shared" ref="V1733:V1796" si="600">D1733/$S$4</f>
        <v>2.1561694805459601E-3</v>
      </c>
      <c r="W1733">
        <f t="shared" ref="W1733:W1796" si="601">E1733/$S$4</f>
        <v>9.3746499154172199E-5</v>
      </c>
      <c r="X1733">
        <f t="shared" ref="X1733:X1796" si="602">F1733/$S$4</f>
        <v>7.6131531963103224E-2</v>
      </c>
      <c r="Y1733">
        <f t="shared" ref="Y1733:Y1796" si="603">G1733/$S$4</f>
        <v>0</v>
      </c>
      <c r="Z1733">
        <f t="shared" ref="Z1733:Z1796" si="604">H1733/$S$4</f>
        <v>3.0936344720876819E-3</v>
      </c>
      <c r="AA1733">
        <f t="shared" ref="AA1733:AA1796" si="605">I1733/$S$4</f>
        <v>0.30769972808827917</v>
      </c>
      <c r="AB1733">
        <f t="shared" ref="AB1733:AB1796" si="606">J1733/$S$4</f>
        <v>0.2520235884941171</v>
      </c>
      <c r="AC1733">
        <f t="shared" ref="AC1733:AC1796" si="607">K1733/$S$4</f>
        <v>0.151658961485657</v>
      </c>
      <c r="AD1733">
        <f t="shared" ref="AD1733:AD1796" si="608">L1733/$S$4</f>
        <v>4.2970582817297908E-3</v>
      </c>
      <c r="AE1733">
        <f t="shared" ref="AE1733:AE1796" si="609">M1733/$S$4</f>
        <v>2.6061714257858179E-2</v>
      </c>
      <c r="AG1733">
        <f t="shared" ref="AG1733:AG1796" si="610">(P1733-AVERAGE(P1733:P2097)) / _xlfn.STDEV.S(P1733:P3560)</f>
        <v>1.0543513444533053</v>
      </c>
      <c r="AH1733">
        <f t="shared" ref="AH1733:AH1796" si="611">SUM(T1733:Y1733,Z1733,AE1733)</f>
        <v>0.15253511626675187</v>
      </c>
      <c r="AI1733">
        <f t="shared" ref="AI1733:AI1796" si="612">(AH1733-AVERAGE(AH1733:AH2097))/_xlfn.STDEV.S(AH1733:AH2097)</f>
        <v>-0.89739386495669027</v>
      </c>
      <c r="AK1733" s="26" t="e">
        <f t="shared" ref="AK1733:AK1796" si="613">AVERAGEA(AH1733:AH1753)-AVERAGE(AH2099:AH2119, AH2464:AH2484, AH2829:AH2849)</f>
        <v>#DIV/0!</v>
      </c>
      <c r="AL1733" s="26" t="e">
        <f t="shared" ref="AL1733:AL1796" si="614">AVERAGEA(AH1733:AH1788)-AVERAGE(AH2099:AH2154, AH2464:AH2518, AH2829:AH2883)</f>
        <v>#DIV/0!</v>
      </c>
      <c r="AM1733" s="26" t="e">
        <f t="shared" ref="AM1733:AM1796" si="615">AVERAGEA(AH1733:AH1845)-AVERAGE(AH2099:AH2211,AH2464:AH2575,AH2829:AH2940)</f>
        <v>#DIV/0!</v>
      </c>
      <c r="AN1733" s="26" t="e">
        <f t="shared" ref="AN1733:AN1796" si="616">AVERAGEA(P1733:P1753)-AVERAGE(P2099:P2119, P2464:P2484, P2829:P2849)</f>
        <v>#DIV/0!</v>
      </c>
      <c r="AO1733" s="26" t="e">
        <f t="shared" ref="AO1733:AO1796" si="617">AVERAGEA(P1733:P1788)-AVERAGE(P2099:P2154, P2464:P2518, P2829:P2883)</f>
        <v>#DIV/0!</v>
      </c>
      <c r="AP1733" s="26" t="e">
        <f t="shared" ref="AP1733:AP1796" si="618">AVERAGEA(P1733:P1845)-AVERAGE(P2099:P2211,P2464:P2575,P2829:P2940)</f>
        <v>#DIV/0!</v>
      </c>
      <c r="AS1733" s="2">
        <v>43747</v>
      </c>
      <c r="AT1733">
        <v>16.8</v>
      </c>
      <c r="AU1733">
        <v>6.7</v>
      </c>
      <c r="AV1733">
        <v>63.2</v>
      </c>
      <c r="AW1733">
        <v>2.2000000000000002</v>
      </c>
      <c r="AX1733">
        <v>57.62</v>
      </c>
      <c r="AY1733">
        <v>0.1</v>
      </c>
      <c r="AZ1733">
        <v>2.7</v>
      </c>
      <c r="BA1733">
        <v>278.89609999999999</v>
      </c>
      <c r="BB1733">
        <v>82.629499999999993</v>
      </c>
      <c r="BC1733">
        <v>116.5543</v>
      </c>
      <c r="BD1733">
        <v>4.4621000000000004</v>
      </c>
      <c r="BE1733">
        <v>20.793700000000001</v>
      </c>
      <c r="BH1733">
        <v>97.28</v>
      </c>
    </row>
    <row r="1734" spans="1:60" x14ac:dyDescent="0.25">
      <c r="A1734" s="2">
        <v>43767</v>
      </c>
      <c r="B1734">
        <v>14.8</v>
      </c>
      <c r="C1734">
        <v>33.4</v>
      </c>
      <c r="D1734">
        <v>11.1</v>
      </c>
      <c r="E1734">
        <v>0.5</v>
      </c>
      <c r="F1734">
        <v>60.5</v>
      </c>
      <c r="G1734">
        <v>0.5</v>
      </c>
      <c r="H1734">
        <v>3.2</v>
      </c>
      <c r="I1734">
        <v>332.90219999999999</v>
      </c>
      <c r="J1734">
        <v>294.12630000000001</v>
      </c>
      <c r="K1734">
        <v>170.86320000000001</v>
      </c>
      <c r="L1734">
        <v>3.9398</v>
      </c>
      <c r="M1734">
        <v>33.393700000000003</v>
      </c>
      <c r="N1734">
        <v>2.7242000000000002</v>
      </c>
      <c r="O1734">
        <v>-1.7599</v>
      </c>
      <c r="P1734">
        <v>97.74</v>
      </c>
      <c r="S1734">
        <f t="shared" si="597"/>
        <v>959.22519999999997</v>
      </c>
      <c r="T1734">
        <f t="shared" si="598"/>
        <v>1.3874481874817485E-2</v>
      </c>
      <c r="U1734">
        <f t="shared" si="599"/>
        <v>3.1311330717493507E-2</v>
      </c>
      <c r="V1734">
        <f t="shared" si="600"/>
        <v>1.0405861406113113E-2</v>
      </c>
      <c r="W1734">
        <f t="shared" si="601"/>
        <v>4.6873249577086097E-4</v>
      </c>
      <c r="X1734">
        <f t="shared" si="602"/>
        <v>5.6716631988274174E-2</v>
      </c>
      <c r="Y1734">
        <f t="shared" si="603"/>
        <v>4.6873249577086097E-4</v>
      </c>
      <c r="Z1734">
        <f t="shared" si="604"/>
        <v>2.9998879729335104E-3</v>
      </c>
      <c r="AA1734">
        <f t="shared" si="605"/>
        <v>0.31208415810722062</v>
      </c>
      <c r="AB1734">
        <f t="shared" si="606"/>
        <v>0.27573310934169798</v>
      </c>
      <c r="AC1734">
        <f t="shared" si="607"/>
        <v>0.16017826834279156</v>
      </c>
      <c r="AD1734">
        <f t="shared" si="608"/>
        <v>3.6934245736760761E-3</v>
      </c>
      <c r="AE1734">
        <f t="shared" si="609"/>
        <v>3.1305424688046798E-2</v>
      </c>
      <c r="AG1734">
        <f t="shared" si="610"/>
        <v>1.0783248704458459</v>
      </c>
      <c r="AH1734">
        <f t="shared" si="611"/>
        <v>0.14755108363922032</v>
      </c>
      <c r="AI1734">
        <f t="shared" si="612"/>
        <v>-0.93565774559525228</v>
      </c>
      <c r="AK1734" s="26" t="e">
        <f t="shared" si="613"/>
        <v>#DIV/0!</v>
      </c>
      <c r="AL1734" s="26" t="e">
        <f t="shared" si="614"/>
        <v>#DIV/0!</v>
      </c>
      <c r="AM1734" s="26" t="e">
        <f t="shared" si="615"/>
        <v>#DIV/0!</v>
      </c>
      <c r="AN1734" s="26" t="e">
        <f t="shared" si="616"/>
        <v>#DIV/0!</v>
      </c>
      <c r="AO1734" s="26" t="e">
        <f t="shared" si="617"/>
        <v>#DIV/0!</v>
      </c>
      <c r="AP1734" s="26" t="e">
        <f t="shared" si="618"/>
        <v>#DIV/0!</v>
      </c>
      <c r="AS1734" s="2">
        <v>43746</v>
      </c>
      <c r="AT1734">
        <v>17</v>
      </c>
      <c r="AU1734">
        <v>19.5</v>
      </c>
      <c r="AV1734">
        <v>64.2</v>
      </c>
      <c r="AW1734">
        <v>2</v>
      </c>
      <c r="AX1734">
        <v>42</v>
      </c>
      <c r="AY1734">
        <v>0.1</v>
      </c>
      <c r="AZ1734">
        <v>2.5</v>
      </c>
      <c r="BA1734">
        <v>310.23970000000003</v>
      </c>
      <c r="BB1734">
        <v>89.966999999999999</v>
      </c>
      <c r="BC1734">
        <v>124.7557</v>
      </c>
      <c r="BD1734">
        <v>4.4275000000000002</v>
      </c>
      <c r="BE1734">
        <v>30.075199999999999</v>
      </c>
      <c r="BH1734">
        <v>97.27</v>
      </c>
    </row>
    <row r="1735" spans="1:60" x14ac:dyDescent="0.25">
      <c r="A1735" s="2">
        <v>43766</v>
      </c>
      <c r="B1735">
        <v>13.1</v>
      </c>
      <c r="C1735">
        <v>17.600000000000001</v>
      </c>
      <c r="D1735">
        <v>40.799999999999997</v>
      </c>
      <c r="E1735">
        <v>1.8</v>
      </c>
      <c r="F1735">
        <v>72.09</v>
      </c>
      <c r="G1735">
        <v>0.5</v>
      </c>
      <c r="H1735">
        <v>3.5</v>
      </c>
      <c r="I1735">
        <v>321.74079999999998</v>
      </c>
      <c r="J1735">
        <v>209.63149999999999</v>
      </c>
      <c r="K1735">
        <v>144.85489999999999</v>
      </c>
      <c r="L1735">
        <v>3.5327000000000002</v>
      </c>
      <c r="M1735">
        <v>26.884399999999999</v>
      </c>
      <c r="N1735">
        <v>1.7121999999999999</v>
      </c>
      <c r="O1735">
        <v>-1.4509000000000001</v>
      </c>
      <c r="P1735">
        <v>97.84</v>
      </c>
      <c r="S1735">
        <f t="shared" si="597"/>
        <v>856.03429999999992</v>
      </c>
      <c r="T1735">
        <f t="shared" si="598"/>
        <v>1.2280791389196556E-2</v>
      </c>
      <c r="U1735">
        <f t="shared" si="599"/>
        <v>1.6499383851134308E-2</v>
      </c>
      <c r="V1735">
        <f t="shared" si="600"/>
        <v>3.8248571654902253E-2</v>
      </c>
      <c r="W1735">
        <f t="shared" si="601"/>
        <v>1.6874369847750994E-3</v>
      </c>
      <c r="X1735">
        <f t="shared" si="602"/>
        <v>6.7581851240242741E-2</v>
      </c>
      <c r="Y1735">
        <f t="shared" si="603"/>
        <v>4.6873249577086097E-4</v>
      </c>
      <c r="Z1735">
        <f t="shared" si="604"/>
        <v>3.2811274703960268E-3</v>
      </c>
      <c r="AA1735">
        <f t="shared" si="605"/>
        <v>0.30162073635062681</v>
      </c>
      <c r="AB1735">
        <f t="shared" si="606"/>
        <v>0.19652219237437846</v>
      </c>
      <c r="AC1735">
        <f t="shared" si="607"/>
        <v>0.13579639760327697</v>
      </c>
      <c r="AD1735">
        <f t="shared" si="608"/>
        <v>3.3117825756194411E-3</v>
      </c>
      <c r="AE1735">
        <f t="shared" si="609"/>
        <v>2.5203183818604268E-2</v>
      </c>
      <c r="AG1735">
        <f t="shared" si="610"/>
        <v>1.1015197299844641</v>
      </c>
      <c r="AH1735">
        <f t="shared" si="611"/>
        <v>0.16525107890502211</v>
      </c>
      <c r="AI1735">
        <f t="shared" si="612"/>
        <v>-0.83834130470136636</v>
      </c>
      <c r="AK1735" s="26" t="e">
        <f t="shared" si="613"/>
        <v>#DIV/0!</v>
      </c>
      <c r="AL1735" s="26" t="e">
        <f t="shared" si="614"/>
        <v>#DIV/0!</v>
      </c>
      <c r="AM1735" s="26" t="e">
        <f t="shared" si="615"/>
        <v>#DIV/0!</v>
      </c>
      <c r="AN1735" s="26" t="e">
        <f t="shared" si="616"/>
        <v>#DIV/0!</v>
      </c>
      <c r="AO1735" s="26" t="e">
        <f t="shared" si="617"/>
        <v>#DIV/0!</v>
      </c>
      <c r="AP1735" s="26" t="e">
        <f t="shared" si="618"/>
        <v>#DIV/0!</v>
      </c>
      <c r="AS1735" s="2">
        <v>43745</v>
      </c>
      <c r="AT1735">
        <v>16.8</v>
      </c>
      <c r="AU1735">
        <v>18.5</v>
      </c>
      <c r="AV1735">
        <v>36.1</v>
      </c>
      <c r="AW1735">
        <v>0.6</v>
      </c>
      <c r="AX1735">
        <v>103.58</v>
      </c>
      <c r="AY1735">
        <v>0.1</v>
      </c>
      <c r="AZ1735">
        <v>2.2000000000000002</v>
      </c>
      <c r="BA1735">
        <v>310.2</v>
      </c>
      <c r="BB1735">
        <v>210.1662</v>
      </c>
      <c r="BC1735">
        <v>153.3537</v>
      </c>
      <c r="BD1735">
        <v>4.5003000000000002</v>
      </c>
      <c r="BE1735">
        <v>31.1675</v>
      </c>
      <c r="BH1735">
        <v>97.27</v>
      </c>
    </row>
    <row r="1736" spans="1:60" x14ac:dyDescent="0.25">
      <c r="A1736" s="2">
        <v>43765</v>
      </c>
      <c r="B1736">
        <v>12.5</v>
      </c>
      <c r="C1736">
        <v>26</v>
      </c>
      <c r="D1736">
        <v>51.2</v>
      </c>
      <c r="E1736">
        <v>3</v>
      </c>
      <c r="F1736">
        <v>65.45</v>
      </c>
      <c r="G1736">
        <v>0.5</v>
      </c>
      <c r="H1736">
        <v>3.1</v>
      </c>
      <c r="I1736">
        <v>174.7253</v>
      </c>
      <c r="J1736">
        <v>39.830100000000002</v>
      </c>
      <c r="K1736">
        <v>33.651299999999999</v>
      </c>
      <c r="L1736">
        <v>2.9864000000000002</v>
      </c>
      <c r="M1736">
        <v>19.703900000000001</v>
      </c>
      <c r="P1736">
        <v>97.81</v>
      </c>
      <c r="S1736">
        <f t="shared" si="597"/>
        <v>432.64699999999999</v>
      </c>
      <c r="T1736">
        <f t="shared" si="598"/>
        <v>1.1718312394271523E-2</v>
      </c>
      <c r="U1736">
        <f t="shared" si="599"/>
        <v>2.4374089780084769E-2</v>
      </c>
      <c r="V1736">
        <f t="shared" si="600"/>
        <v>4.7998207566936166E-2</v>
      </c>
      <c r="W1736">
        <f t="shared" si="601"/>
        <v>2.8123949746251659E-3</v>
      </c>
      <c r="X1736">
        <f t="shared" si="602"/>
        <v>6.1357083696405704E-2</v>
      </c>
      <c r="Y1736">
        <f t="shared" si="603"/>
        <v>4.6873249577086097E-4</v>
      </c>
      <c r="Z1736">
        <f t="shared" si="604"/>
        <v>2.9061414737793379E-3</v>
      </c>
      <c r="AA1736">
        <f t="shared" si="605"/>
        <v>0.16379885188662482</v>
      </c>
      <c r="AB1736">
        <f t="shared" si="606"/>
        <v>3.7339324359605942E-2</v>
      </c>
      <c r="AC1736">
        <f t="shared" si="607"/>
        <v>3.1546915669867948E-2</v>
      </c>
      <c r="AD1736">
        <f t="shared" si="608"/>
        <v>2.7996454507401985E-3</v>
      </c>
      <c r="AE1736">
        <f t="shared" si="609"/>
        <v>1.8471716446838937E-2</v>
      </c>
      <c r="AG1736">
        <f t="shared" si="610"/>
        <v>1.1080274109796902</v>
      </c>
      <c r="AH1736">
        <f t="shared" si="611"/>
        <v>0.17010667882871247</v>
      </c>
      <c r="AI1736">
        <f t="shared" si="612"/>
        <v>-0.81664224140872022</v>
      </c>
      <c r="AK1736" s="26" t="e">
        <f t="shared" si="613"/>
        <v>#DIV/0!</v>
      </c>
      <c r="AL1736" s="26" t="e">
        <f t="shared" si="614"/>
        <v>#DIV/0!</v>
      </c>
      <c r="AM1736" s="26" t="e">
        <f t="shared" si="615"/>
        <v>#DIV/0!</v>
      </c>
      <c r="AN1736" s="26" t="e">
        <f t="shared" si="616"/>
        <v>#DIV/0!</v>
      </c>
      <c r="AO1736" s="26" t="e">
        <f t="shared" si="617"/>
        <v>#DIV/0!</v>
      </c>
      <c r="AP1736" s="26" t="e">
        <f t="shared" si="618"/>
        <v>#DIV/0!</v>
      </c>
      <c r="AS1736" s="2">
        <v>43744</v>
      </c>
      <c r="AT1736">
        <v>17.3</v>
      </c>
      <c r="AU1736">
        <v>5.8</v>
      </c>
      <c r="AV1736">
        <v>60.7</v>
      </c>
      <c r="AW1736">
        <v>1.2</v>
      </c>
      <c r="AX1736">
        <v>69.39</v>
      </c>
      <c r="AY1736">
        <v>0.1</v>
      </c>
      <c r="AZ1736">
        <v>2.1</v>
      </c>
      <c r="BA1736">
        <v>241.4007</v>
      </c>
      <c r="BB1736">
        <v>57.454300000000003</v>
      </c>
      <c r="BC1736">
        <v>93.318200000000004</v>
      </c>
      <c r="BD1736">
        <v>4.4880000000000004</v>
      </c>
      <c r="BE1736">
        <v>12.5283</v>
      </c>
      <c r="BH1736">
        <v>97.32</v>
      </c>
    </row>
    <row r="1737" spans="1:60" x14ac:dyDescent="0.25">
      <c r="A1737" s="2">
        <v>43764</v>
      </c>
      <c r="B1737">
        <v>13.4</v>
      </c>
      <c r="C1737">
        <v>0</v>
      </c>
      <c r="D1737">
        <v>58.4</v>
      </c>
      <c r="E1737">
        <v>2.4</v>
      </c>
      <c r="F1737">
        <v>106.12</v>
      </c>
      <c r="G1737">
        <v>0.5</v>
      </c>
      <c r="H1737">
        <v>2.9</v>
      </c>
      <c r="I1737">
        <v>162.3809</v>
      </c>
      <c r="J1737">
        <v>34.413899999999998</v>
      </c>
      <c r="K1737">
        <v>32.316499999999998</v>
      </c>
      <c r="L1737">
        <v>3.0556999999999999</v>
      </c>
      <c r="M1737">
        <v>21.408100000000001</v>
      </c>
      <c r="P1737">
        <v>97.64</v>
      </c>
      <c r="S1737">
        <f t="shared" si="597"/>
        <v>437.29510000000005</v>
      </c>
      <c r="T1737">
        <f t="shared" si="598"/>
        <v>1.2562030886659074E-2</v>
      </c>
      <c r="U1737">
        <f t="shared" si="599"/>
        <v>0</v>
      </c>
      <c r="V1737">
        <f t="shared" si="600"/>
        <v>5.4747955506036561E-2</v>
      </c>
      <c r="W1737">
        <f t="shared" si="601"/>
        <v>2.2499159797001326E-3</v>
      </c>
      <c r="X1737">
        <f t="shared" si="602"/>
        <v>9.9483784902407529E-2</v>
      </c>
      <c r="Y1737">
        <f t="shared" si="603"/>
        <v>4.6873249577086097E-4</v>
      </c>
      <c r="Z1737">
        <f t="shared" si="604"/>
        <v>2.7186484754709935E-3</v>
      </c>
      <c r="AA1737">
        <f t="shared" si="605"/>
        <v>0.15222640904503718</v>
      </c>
      <c r="AB1737">
        <f t="shared" si="606"/>
        <v>3.2261826472417661E-2</v>
      </c>
      <c r="AC1737">
        <f t="shared" si="607"/>
        <v>3.0295587399158053E-2</v>
      </c>
      <c r="AD1737">
        <f t="shared" si="608"/>
        <v>2.8646117746540397E-3</v>
      </c>
      <c r="AE1737">
        <f t="shared" si="609"/>
        <v>2.0069344285424336E-2</v>
      </c>
      <c r="AG1737">
        <f t="shared" si="610"/>
        <v>1.096163312731441</v>
      </c>
      <c r="AH1737">
        <f t="shared" si="611"/>
        <v>0.19230041253146948</v>
      </c>
      <c r="AI1737">
        <f t="shared" si="612"/>
        <v>-0.69083846467527987</v>
      </c>
      <c r="AK1737" s="26" t="e">
        <f t="shared" si="613"/>
        <v>#DIV/0!</v>
      </c>
      <c r="AL1737" s="26" t="e">
        <f t="shared" si="614"/>
        <v>#DIV/0!</v>
      </c>
      <c r="AM1737" s="26" t="e">
        <f t="shared" si="615"/>
        <v>#DIV/0!</v>
      </c>
      <c r="AN1737" s="26" t="e">
        <f t="shared" si="616"/>
        <v>#DIV/0!</v>
      </c>
      <c r="AO1737" s="26" t="e">
        <f t="shared" si="617"/>
        <v>#DIV/0!</v>
      </c>
      <c r="AP1737" s="26" t="e">
        <f t="shared" si="618"/>
        <v>#DIV/0!</v>
      </c>
      <c r="AS1737" s="2">
        <v>43743</v>
      </c>
      <c r="AT1737">
        <v>14.2</v>
      </c>
      <c r="AU1737">
        <v>10.3</v>
      </c>
      <c r="AV1737">
        <v>41.1</v>
      </c>
      <c r="AW1737">
        <v>1.2</v>
      </c>
      <c r="AX1737">
        <v>65.44</v>
      </c>
      <c r="AY1737">
        <v>0.1</v>
      </c>
      <c r="AZ1737">
        <v>2.2999999999999998</v>
      </c>
      <c r="BA1737">
        <v>244.63040000000001</v>
      </c>
      <c r="BB1737">
        <v>80.133499999999998</v>
      </c>
      <c r="BC1737">
        <v>96.287599999999998</v>
      </c>
      <c r="BD1737">
        <v>4.4611000000000001</v>
      </c>
      <c r="BE1737">
        <v>18.0184</v>
      </c>
      <c r="BH1737">
        <v>97.17</v>
      </c>
    </row>
    <row r="1738" spans="1:60" x14ac:dyDescent="0.25">
      <c r="A1738" s="2">
        <v>43763</v>
      </c>
      <c r="B1738">
        <v>14.1</v>
      </c>
      <c r="C1738">
        <v>0</v>
      </c>
      <c r="D1738">
        <v>70.400000000000006</v>
      </c>
      <c r="E1738">
        <v>2.2000000000000002</v>
      </c>
      <c r="F1738">
        <v>86.22</v>
      </c>
      <c r="G1738">
        <v>0.5</v>
      </c>
      <c r="H1738">
        <v>3.1</v>
      </c>
      <c r="I1738">
        <v>260.01490000000001</v>
      </c>
      <c r="J1738">
        <v>63.6265</v>
      </c>
      <c r="K1738">
        <v>118.71810000000001</v>
      </c>
      <c r="L1738">
        <v>3.1152000000000002</v>
      </c>
      <c r="M1738">
        <v>23.113099999999999</v>
      </c>
      <c r="N1738">
        <v>2.1533000000000002</v>
      </c>
      <c r="O1738">
        <v>0.27039999999999997</v>
      </c>
      <c r="P1738">
        <v>97.59</v>
      </c>
      <c r="S1738">
        <f t="shared" si="597"/>
        <v>645.1078</v>
      </c>
      <c r="T1738">
        <f t="shared" si="598"/>
        <v>1.3218256380738279E-2</v>
      </c>
      <c r="U1738">
        <f t="shared" si="599"/>
        <v>0</v>
      </c>
      <c r="V1738">
        <f t="shared" si="600"/>
        <v>6.5997535404537233E-2</v>
      </c>
      <c r="W1738">
        <f t="shared" si="601"/>
        <v>2.0624229813917885E-3</v>
      </c>
      <c r="X1738">
        <f t="shared" si="602"/>
        <v>8.0828231570727258E-2</v>
      </c>
      <c r="Y1738">
        <f t="shared" si="603"/>
        <v>4.6873249577086097E-4</v>
      </c>
      <c r="Z1738">
        <f t="shared" si="604"/>
        <v>2.9061414737793379E-3</v>
      </c>
      <c r="AA1738">
        <f t="shared" si="605"/>
        <v>0.24375486602922167</v>
      </c>
      <c r="AB1738">
        <f t="shared" si="606"/>
        <v>5.9647616284329366E-2</v>
      </c>
      <c r="AC1738">
        <f t="shared" si="607"/>
        <v>0.1112940626123493</v>
      </c>
      <c r="AD1738">
        <f t="shared" si="608"/>
        <v>2.9203909416507723E-3</v>
      </c>
      <c r="AE1738">
        <f t="shared" si="609"/>
        <v>2.1667722096002973E-2</v>
      </c>
      <c r="AG1738">
        <f t="shared" si="610"/>
        <v>1.1000786874835971</v>
      </c>
      <c r="AH1738">
        <f t="shared" si="611"/>
        <v>0.18714904240294777</v>
      </c>
      <c r="AI1738">
        <f t="shared" si="612"/>
        <v>-0.72703130251116732</v>
      </c>
      <c r="AK1738" s="26" t="e">
        <f t="shared" si="613"/>
        <v>#DIV/0!</v>
      </c>
      <c r="AL1738" s="26" t="e">
        <f t="shared" si="614"/>
        <v>#DIV/0!</v>
      </c>
      <c r="AM1738" s="26" t="e">
        <f t="shared" si="615"/>
        <v>#DIV/0!</v>
      </c>
      <c r="AN1738" s="26" t="e">
        <f t="shared" si="616"/>
        <v>#DIV/0!</v>
      </c>
      <c r="AO1738" s="26" t="e">
        <f t="shared" si="617"/>
        <v>#DIV/0!</v>
      </c>
      <c r="AP1738" s="26" t="e">
        <f t="shared" si="618"/>
        <v>#DIV/0!</v>
      </c>
      <c r="AS1738" s="2">
        <v>43742</v>
      </c>
      <c r="AT1738">
        <v>14</v>
      </c>
      <c r="AU1738">
        <v>83.4</v>
      </c>
      <c r="AV1738">
        <v>29.6</v>
      </c>
      <c r="AW1738">
        <v>0.7</v>
      </c>
      <c r="AX1738">
        <v>50.31</v>
      </c>
      <c r="AY1738">
        <v>0.1</v>
      </c>
      <c r="AZ1738">
        <v>2.4</v>
      </c>
      <c r="BA1738">
        <v>254.12100000000001</v>
      </c>
      <c r="BB1738">
        <v>115.10509999999999</v>
      </c>
      <c r="BC1738">
        <v>137.87029999999999</v>
      </c>
      <c r="BD1738">
        <v>4.4882999999999997</v>
      </c>
      <c r="BE1738">
        <v>23.201499999999999</v>
      </c>
      <c r="BH1738">
        <v>97.06</v>
      </c>
    </row>
    <row r="1739" spans="1:60" x14ac:dyDescent="0.25">
      <c r="A1739" s="2">
        <v>43762</v>
      </c>
      <c r="B1739">
        <v>16</v>
      </c>
      <c r="C1739">
        <v>16.399999999999999</v>
      </c>
      <c r="D1739">
        <v>31.3</v>
      </c>
      <c r="E1739">
        <v>0.9</v>
      </c>
      <c r="F1739">
        <v>68.3</v>
      </c>
      <c r="G1739">
        <v>0.2</v>
      </c>
      <c r="H1739">
        <v>3.3</v>
      </c>
      <c r="I1739">
        <v>324.83120000000002</v>
      </c>
      <c r="J1739">
        <v>160.00210000000001</v>
      </c>
      <c r="K1739">
        <v>148.08240000000001</v>
      </c>
      <c r="L1739">
        <v>3.2606999999999999</v>
      </c>
      <c r="M1739">
        <v>30.3919</v>
      </c>
      <c r="N1739">
        <v>1.6605000000000001</v>
      </c>
      <c r="O1739">
        <v>-5.4999999999999997E-3</v>
      </c>
      <c r="P1739">
        <v>97.54</v>
      </c>
      <c r="S1739">
        <f t="shared" si="597"/>
        <v>802.96830000000011</v>
      </c>
      <c r="T1739">
        <f t="shared" si="598"/>
        <v>1.4999439864667551E-2</v>
      </c>
      <c r="U1739">
        <f t="shared" si="599"/>
        <v>1.5374425861284237E-2</v>
      </c>
      <c r="V1739">
        <f t="shared" si="600"/>
        <v>2.9342654235255897E-2</v>
      </c>
      <c r="W1739">
        <f t="shared" si="601"/>
        <v>8.4371849238754971E-4</v>
      </c>
      <c r="X1739">
        <f t="shared" si="602"/>
        <v>6.4028858922299606E-2</v>
      </c>
      <c r="Y1739">
        <f t="shared" si="603"/>
        <v>1.874929983083444E-4</v>
      </c>
      <c r="Z1739">
        <f t="shared" si="604"/>
        <v>3.0936344720876819E-3</v>
      </c>
      <c r="AA1739">
        <f t="shared" si="605"/>
        <v>0.30451787816048742</v>
      </c>
      <c r="AB1739">
        <f t="shared" si="606"/>
        <v>0.14999636732315774</v>
      </c>
      <c r="AC1739">
        <f t="shared" si="607"/>
        <v>0.13882206586347789</v>
      </c>
      <c r="AD1739">
        <f t="shared" si="608"/>
        <v>3.0567920979200926E-3</v>
      </c>
      <c r="AE1739">
        <f t="shared" si="609"/>
        <v>2.8491342276436859E-2</v>
      </c>
      <c r="AG1739">
        <f t="shared" si="610"/>
        <v>1.1041616005942023</v>
      </c>
      <c r="AH1739">
        <f t="shared" si="611"/>
        <v>0.15636156712272772</v>
      </c>
      <c r="AI1739">
        <f t="shared" si="612"/>
        <v>-0.91648198811055581</v>
      </c>
      <c r="AK1739" s="26" t="e">
        <f t="shared" si="613"/>
        <v>#DIV/0!</v>
      </c>
      <c r="AL1739" s="26" t="e">
        <f t="shared" si="614"/>
        <v>#DIV/0!</v>
      </c>
      <c r="AM1739" s="26" t="e">
        <f t="shared" si="615"/>
        <v>#DIV/0!</v>
      </c>
      <c r="AN1739" s="26" t="e">
        <f t="shared" si="616"/>
        <v>#DIV/0!</v>
      </c>
      <c r="AO1739" s="26" t="e">
        <f t="shared" si="617"/>
        <v>#DIV/0!</v>
      </c>
      <c r="AP1739" s="26" t="e">
        <f t="shared" si="618"/>
        <v>#DIV/0!</v>
      </c>
      <c r="AS1739" s="2">
        <v>43741</v>
      </c>
      <c r="AT1739">
        <v>15.6</v>
      </c>
      <c r="AU1739">
        <v>38.5</v>
      </c>
      <c r="AV1739">
        <v>12.6</v>
      </c>
      <c r="AW1739">
        <v>1.5</v>
      </c>
      <c r="AX1739">
        <v>88.34</v>
      </c>
      <c r="AZ1739">
        <v>2.4</v>
      </c>
      <c r="BA1739">
        <v>225.16659999999999</v>
      </c>
      <c r="BB1739">
        <v>89.795699999999997</v>
      </c>
      <c r="BC1739">
        <v>116.24590000000001</v>
      </c>
      <c r="BD1739">
        <v>4.4823000000000004</v>
      </c>
      <c r="BE1739">
        <v>25.703800000000001</v>
      </c>
      <c r="BH1739">
        <v>97.05</v>
      </c>
    </row>
    <row r="1740" spans="1:60" x14ac:dyDescent="0.25">
      <c r="A1740" s="2">
        <v>43761</v>
      </c>
      <c r="B1740">
        <v>16.899999999999999</v>
      </c>
      <c r="C1740">
        <v>0</v>
      </c>
      <c r="D1740">
        <v>15.7</v>
      </c>
      <c r="E1740">
        <v>0.5</v>
      </c>
      <c r="F1740">
        <v>72.349999999999994</v>
      </c>
      <c r="H1740">
        <v>3.3</v>
      </c>
      <c r="I1740">
        <v>321.74650000000003</v>
      </c>
      <c r="J1740">
        <v>231.85329999999999</v>
      </c>
      <c r="K1740">
        <v>159.8981</v>
      </c>
      <c r="L1740">
        <v>3.2726999999999999</v>
      </c>
      <c r="M1740">
        <v>27.079799999999999</v>
      </c>
      <c r="N1740">
        <v>2.5859000000000001</v>
      </c>
      <c r="O1740">
        <v>0.90090000000000003</v>
      </c>
      <c r="P1740">
        <v>97.5</v>
      </c>
      <c r="S1740">
        <f t="shared" si="597"/>
        <v>852.60039999999992</v>
      </c>
      <c r="T1740">
        <f t="shared" si="598"/>
        <v>1.58431583570551E-2</v>
      </c>
      <c r="U1740">
        <f t="shared" si="599"/>
        <v>0</v>
      </c>
      <c r="V1740">
        <f t="shared" si="600"/>
        <v>1.4718200367205033E-2</v>
      </c>
      <c r="W1740">
        <f t="shared" si="601"/>
        <v>4.6873249577086097E-4</v>
      </c>
      <c r="X1740">
        <f t="shared" si="602"/>
        <v>6.7825592138043581E-2</v>
      </c>
      <c r="Y1740">
        <f t="shared" si="603"/>
        <v>0</v>
      </c>
      <c r="Z1740">
        <f t="shared" si="604"/>
        <v>3.0936344720876819E-3</v>
      </c>
      <c r="AA1740">
        <f t="shared" si="605"/>
        <v>0.30162607990107865</v>
      </c>
      <c r="AB1740">
        <f t="shared" si="606"/>
        <v>0.21735435192342031</v>
      </c>
      <c r="AC1740">
        <f t="shared" si="607"/>
        <v>0.1498988709640374</v>
      </c>
      <c r="AD1740">
        <f t="shared" si="608"/>
        <v>3.0680416778185934E-3</v>
      </c>
      <c r="AE1740">
        <f t="shared" si="609"/>
        <v>2.538636447795152E-2</v>
      </c>
      <c r="AG1740">
        <f t="shared" si="610"/>
        <v>1.109750710984303</v>
      </c>
      <c r="AH1740">
        <f t="shared" si="611"/>
        <v>0.12733568230811376</v>
      </c>
      <c r="AI1740">
        <f t="shared" si="612"/>
        <v>-1.0985206307121882</v>
      </c>
      <c r="AK1740" s="26" t="e">
        <f t="shared" si="613"/>
        <v>#DIV/0!</v>
      </c>
      <c r="AL1740" s="26" t="e">
        <f t="shared" si="614"/>
        <v>#DIV/0!</v>
      </c>
      <c r="AM1740" s="26" t="e">
        <f t="shared" si="615"/>
        <v>#DIV/0!</v>
      </c>
      <c r="AN1740" s="26" t="e">
        <f t="shared" si="616"/>
        <v>#DIV/0!</v>
      </c>
      <c r="AO1740" s="26" t="e">
        <f t="shared" si="617"/>
        <v>#DIV/0!</v>
      </c>
      <c r="AP1740" s="26" t="e">
        <f t="shared" si="618"/>
        <v>#DIV/0!</v>
      </c>
      <c r="AS1740" s="2">
        <v>43740</v>
      </c>
      <c r="AT1740">
        <v>12.7</v>
      </c>
      <c r="AU1740">
        <v>0</v>
      </c>
      <c r="AV1740">
        <v>63.7</v>
      </c>
      <c r="AW1740">
        <v>1.3</v>
      </c>
      <c r="AX1740">
        <v>84.46</v>
      </c>
      <c r="AY1740">
        <v>0.1</v>
      </c>
      <c r="AZ1740">
        <v>2.6</v>
      </c>
      <c r="BA1740">
        <v>216.68780000000001</v>
      </c>
      <c r="BB1740">
        <v>98.799099999999996</v>
      </c>
      <c r="BC1740">
        <v>136.78620000000001</v>
      </c>
      <c r="BD1740">
        <v>4.5589000000000004</v>
      </c>
      <c r="BE1740">
        <v>25.960599999999999</v>
      </c>
      <c r="BH1740">
        <v>97.04</v>
      </c>
    </row>
    <row r="1741" spans="1:60" x14ac:dyDescent="0.25">
      <c r="A1741" s="2">
        <v>43760</v>
      </c>
      <c r="B1741">
        <v>15.5</v>
      </c>
      <c r="C1741">
        <v>9.6</v>
      </c>
      <c r="D1741">
        <v>30.3</v>
      </c>
      <c r="E1741">
        <v>0.5</v>
      </c>
      <c r="F1741">
        <v>75.13</v>
      </c>
      <c r="G1741">
        <v>0.3</v>
      </c>
      <c r="H1741">
        <v>3.3</v>
      </c>
      <c r="I1741">
        <v>318.27609999999999</v>
      </c>
      <c r="J1741">
        <v>196.54419999999999</v>
      </c>
      <c r="K1741">
        <v>161.81659999999999</v>
      </c>
      <c r="L1741">
        <v>3.2376</v>
      </c>
      <c r="M1741">
        <v>30.430099999999999</v>
      </c>
      <c r="N1741">
        <v>2.5360999999999998</v>
      </c>
      <c r="O1741">
        <v>0.38169999999999998</v>
      </c>
      <c r="P1741">
        <v>97.56</v>
      </c>
      <c r="S1741">
        <f t="shared" si="597"/>
        <v>844.93460000000005</v>
      </c>
      <c r="T1741">
        <f t="shared" si="598"/>
        <v>1.453070736889669E-2</v>
      </c>
      <c r="U1741">
        <f t="shared" si="599"/>
        <v>8.9996639188005302E-3</v>
      </c>
      <c r="V1741">
        <f t="shared" si="600"/>
        <v>2.8405189243714175E-2</v>
      </c>
      <c r="W1741">
        <f t="shared" si="601"/>
        <v>4.6873249577086097E-4</v>
      </c>
      <c r="X1741">
        <f t="shared" si="602"/>
        <v>7.0431744814529559E-2</v>
      </c>
      <c r="Y1741">
        <f t="shared" si="603"/>
        <v>2.8123949746251657E-4</v>
      </c>
      <c r="Z1741">
        <f t="shared" si="604"/>
        <v>3.0936344720876819E-3</v>
      </c>
      <c r="AA1741">
        <f t="shared" si="605"/>
        <v>0.29837270139443223</v>
      </c>
      <c r="AB1741">
        <f t="shared" si="606"/>
        <v>0.1842533067905745</v>
      </c>
      <c r="AC1741">
        <f t="shared" si="607"/>
        <v>0.1516973975503102</v>
      </c>
      <c r="AD1741">
        <f t="shared" si="608"/>
        <v>3.0351366566154789E-3</v>
      </c>
      <c r="AE1741">
        <f t="shared" si="609"/>
        <v>2.8527153439113752E-2</v>
      </c>
      <c r="AG1741">
        <f t="shared" si="610"/>
        <v>1.128884583893097</v>
      </c>
      <c r="AH1741">
        <f t="shared" si="611"/>
        <v>0.15473806525037576</v>
      </c>
      <c r="AI1741">
        <f t="shared" si="612"/>
        <v>-0.94857587002125854</v>
      </c>
      <c r="AK1741" s="26" t="e">
        <f t="shared" si="613"/>
        <v>#DIV/0!</v>
      </c>
      <c r="AL1741" s="26" t="e">
        <f t="shared" si="614"/>
        <v>#DIV/0!</v>
      </c>
      <c r="AM1741" s="26" t="e">
        <f t="shared" si="615"/>
        <v>#DIV/0!</v>
      </c>
      <c r="AN1741" s="26" t="e">
        <f t="shared" si="616"/>
        <v>#DIV/0!</v>
      </c>
      <c r="AO1741" s="26" t="e">
        <f t="shared" si="617"/>
        <v>#DIV/0!</v>
      </c>
      <c r="AP1741" s="26" t="e">
        <f t="shared" si="618"/>
        <v>#DIV/0!</v>
      </c>
      <c r="AS1741" s="2">
        <v>43739</v>
      </c>
      <c r="AT1741">
        <v>11.8</v>
      </c>
      <c r="AU1741">
        <v>222.7</v>
      </c>
      <c r="AV1741">
        <v>21.5</v>
      </c>
      <c r="AW1741">
        <v>1.8</v>
      </c>
      <c r="AX1741">
        <v>84.45</v>
      </c>
      <c r="AY1741">
        <v>0.1</v>
      </c>
      <c r="AZ1741">
        <v>2.5</v>
      </c>
      <c r="BA1741">
        <v>204.9682</v>
      </c>
      <c r="BB1741">
        <v>86.605699999999999</v>
      </c>
      <c r="BC1741">
        <v>136.2724</v>
      </c>
      <c r="BD1741">
        <v>4.4629000000000003</v>
      </c>
      <c r="BE1741">
        <v>27.731200000000001</v>
      </c>
      <c r="BH1741">
        <v>96.92</v>
      </c>
    </row>
    <row r="1742" spans="1:60" x14ac:dyDescent="0.25">
      <c r="A1742" s="2">
        <v>43759</v>
      </c>
      <c r="C1742">
        <v>88.4</v>
      </c>
      <c r="F1742">
        <v>62.83</v>
      </c>
      <c r="G1742">
        <v>0.1</v>
      </c>
      <c r="K1742">
        <v>148.0223</v>
      </c>
      <c r="N1742">
        <v>3.4529999999999998</v>
      </c>
      <c r="O1742">
        <v>0.8488</v>
      </c>
      <c r="P1742">
        <v>97.56</v>
      </c>
      <c r="S1742">
        <f t="shared" si="597"/>
        <v>299.35230000000001</v>
      </c>
      <c r="T1742">
        <f t="shared" si="598"/>
        <v>0</v>
      </c>
      <c r="U1742">
        <f t="shared" si="599"/>
        <v>8.2871905252288228E-2</v>
      </c>
      <c r="V1742">
        <f t="shared" si="600"/>
        <v>0</v>
      </c>
      <c r="W1742">
        <f t="shared" si="601"/>
        <v>0</v>
      </c>
      <c r="X1742">
        <f t="shared" si="602"/>
        <v>5.8900925418566383E-2</v>
      </c>
      <c r="Y1742">
        <f t="shared" si="603"/>
        <v>9.3746499154172199E-5</v>
      </c>
      <c r="Z1742">
        <f t="shared" si="604"/>
        <v>0</v>
      </c>
      <c r="AA1742">
        <f t="shared" si="605"/>
        <v>0</v>
      </c>
      <c r="AB1742">
        <f t="shared" si="606"/>
        <v>0</v>
      </c>
      <c r="AC1742">
        <f t="shared" si="607"/>
        <v>0.13876572421748623</v>
      </c>
      <c r="AD1742">
        <f t="shared" si="608"/>
        <v>0</v>
      </c>
      <c r="AE1742">
        <f t="shared" si="609"/>
        <v>0</v>
      </c>
      <c r="AG1742">
        <f t="shared" si="610"/>
        <v>1.1405376592953549</v>
      </c>
      <c r="AH1742">
        <f t="shared" si="611"/>
        <v>0.14186657717000878</v>
      </c>
      <c r="AI1742">
        <f t="shared" si="612"/>
        <v>-1.035332437018063</v>
      </c>
      <c r="AK1742" s="26" t="e">
        <f t="shared" si="613"/>
        <v>#DIV/0!</v>
      </c>
      <c r="AL1742" s="26" t="e">
        <f t="shared" si="614"/>
        <v>#DIV/0!</v>
      </c>
      <c r="AM1742" s="26" t="e">
        <f t="shared" si="615"/>
        <v>#DIV/0!</v>
      </c>
      <c r="AN1742" s="26" t="e">
        <f t="shared" si="616"/>
        <v>#DIV/0!</v>
      </c>
      <c r="AO1742" s="26" t="e">
        <f t="shared" si="617"/>
        <v>#DIV/0!</v>
      </c>
      <c r="AP1742" s="26" t="e">
        <f t="shared" si="618"/>
        <v>#DIV/0!</v>
      </c>
      <c r="AS1742" s="2">
        <v>43738</v>
      </c>
      <c r="AT1742">
        <v>11.8</v>
      </c>
      <c r="AU1742">
        <v>39.5</v>
      </c>
      <c r="AV1742">
        <v>63.6</v>
      </c>
      <c r="AW1742">
        <v>5</v>
      </c>
      <c r="AX1742">
        <v>99.54</v>
      </c>
      <c r="AY1742">
        <v>0.1</v>
      </c>
      <c r="AZ1742">
        <v>2.4</v>
      </c>
      <c r="BA1742">
        <v>141.45609999999999</v>
      </c>
      <c r="BB1742">
        <v>40.888399999999997</v>
      </c>
      <c r="BC1742">
        <v>57.070799999999998</v>
      </c>
      <c r="BD1742">
        <v>4.4400000000000004</v>
      </c>
      <c r="BE1742">
        <v>25.5198</v>
      </c>
      <c r="BH1742">
        <v>96.68</v>
      </c>
    </row>
    <row r="1743" spans="1:60" x14ac:dyDescent="0.25">
      <c r="A1743" s="2">
        <v>43758</v>
      </c>
      <c r="B1743">
        <v>14.7</v>
      </c>
      <c r="C1743">
        <v>97.2</v>
      </c>
      <c r="D1743">
        <v>17.600000000000001</v>
      </c>
      <c r="E1743">
        <v>0.5</v>
      </c>
      <c r="F1743">
        <v>75.27</v>
      </c>
      <c r="G1743">
        <v>0.1</v>
      </c>
      <c r="H1743">
        <v>3.4</v>
      </c>
      <c r="I1743">
        <v>261.0496</v>
      </c>
      <c r="J1743">
        <v>64.494799999999998</v>
      </c>
      <c r="K1743">
        <v>117.20189999999999</v>
      </c>
      <c r="L1743">
        <v>4.0114999999999998</v>
      </c>
      <c r="M1743">
        <v>22.224</v>
      </c>
      <c r="P1743">
        <v>97.54</v>
      </c>
      <c r="S1743">
        <f t="shared" si="597"/>
        <v>677.7518</v>
      </c>
      <c r="T1743">
        <f t="shared" si="598"/>
        <v>1.3780735375663312E-2</v>
      </c>
      <c r="U1743">
        <f t="shared" si="599"/>
        <v>9.1121597177855368E-2</v>
      </c>
      <c r="V1743">
        <f t="shared" si="600"/>
        <v>1.6499383851134308E-2</v>
      </c>
      <c r="W1743">
        <f t="shared" si="601"/>
        <v>4.6873249577086097E-4</v>
      </c>
      <c r="X1743">
        <f t="shared" si="602"/>
        <v>7.0562989913345406E-2</v>
      </c>
      <c r="Y1743">
        <f t="shared" si="603"/>
        <v>9.3746499154172199E-5</v>
      </c>
      <c r="Z1743">
        <f t="shared" si="604"/>
        <v>3.1873809712418544E-3</v>
      </c>
      <c r="AA1743">
        <f t="shared" si="605"/>
        <v>0.24472486105596988</v>
      </c>
      <c r="AB1743">
        <f t="shared" si="606"/>
        <v>6.0461617136485041E-2</v>
      </c>
      <c r="AC1743">
        <f t="shared" si="607"/>
        <v>0.10987267819217374</v>
      </c>
      <c r="AD1743">
        <f t="shared" si="608"/>
        <v>3.7606408135696175E-3</v>
      </c>
      <c r="AE1743">
        <f t="shared" si="609"/>
        <v>2.0834221972023229E-2</v>
      </c>
      <c r="AG1743">
        <f t="shared" si="610"/>
        <v>1.149886339770162</v>
      </c>
      <c r="AH1743">
        <f t="shared" si="611"/>
        <v>0.21654878825618848</v>
      </c>
      <c r="AI1743">
        <f t="shared" si="612"/>
        <v>-0.60221374446316578</v>
      </c>
      <c r="AK1743" s="26" t="e">
        <f t="shared" si="613"/>
        <v>#DIV/0!</v>
      </c>
      <c r="AL1743" s="26" t="e">
        <f t="shared" si="614"/>
        <v>#DIV/0!</v>
      </c>
      <c r="AM1743" s="26" t="e">
        <f t="shared" si="615"/>
        <v>#DIV/0!</v>
      </c>
      <c r="AN1743" s="26" t="e">
        <f t="shared" si="616"/>
        <v>#DIV/0!</v>
      </c>
      <c r="AO1743" s="26" t="e">
        <f t="shared" si="617"/>
        <v>#DIV/0!</v>
      </c>
      <c r="AP1743" s="26" t="e">
        <f t="shared" si="618"/>
        <v>#DIV/0!</v>
      </c>
      <c r="AS1743" s="2">
        <v>43737</v>
      </c>
      <c r="AT1743">
        <v>12.7</v>
      </c>
      <c r="AU1743">
        <v>35.200000000000003</v>
      </c>
      <c r="AV1743">
        <v>61.3</v>
      </c>
      <c r="AW1743">
        <v>2.9</v>
      </c>
      <c r="AX1743">
        <v>100.16</v>
      </c>
      <c r="AY1743">
        <v>0.1</v>
      </c>
      <c r="AZ1743">
        <v>1.8</v>
      </c>
      <c r="BA1743">
        <v>101.0819</v>
      </c>
      <c r="BB1743">
        <v>22.242999999999999</v>
      </c>
      <c r="BC1743">
        <v>21.957999999999998</v>
      </c>
      <c r="BD1743">
        <v>4.4400000000000004</v>
      </c>
      <c r="BE1743">
        <v>17.667999999999999</v>
      </c>
      <c r="BH1743">
        <v>96.69</v>
      </c>
    </row>
    <row r="1744" spans="1:60" x14ac:dyDescent="0.25">
      <c r="A1744" s="2">
        <v>43757</v>
      </c>
      <c r="B1744">
        <v>14.7</v>
      </c>
      <c r="C1744">
        <v>18.8</v>
      </c>
      <c r="D1744">
        <v>67.7</v>
      </c>
      <c r="E1744">
        <v>1.9</v>
      </c>
      <c r="F1744">
        <v>48.73</v>
      </c>
      <c r="G1744">
        <v>0.1</v>
      </c>
      <c r="H1744">
        <v>3.1</v>
      </c>
      <c r="I1744">
        <v>244.6662</v>
      </c>
      <c r="J1744">
        <v>45.099200000000003</v>
      </c>
      <c r="K1744">
        <v>97.137799999999999</v>
      </c>
      <c r="L1744">
        <v>4.3440000000000003</v>
      </c>
      <c r="M1744">
        <v>12.941800000000001</v>
      </c>
      <c r="P1744">
        <v>97.57</v>
      </c>
      <c r="S1744">
        <f t="shared" si="597"/>
        <v>559.21900000000005</v>
      </c>
      <c r="T1744">
        <f t="shared" si="598"/>
        <v>1.3780735375663312E-2</v>
      </c>
      <c r="U1744">
        <f t="shared" si="599"/>
        <v>1.7624341840984374E-2</v>
      </c>
      <c r="V1744">
        <f t="shared" si="600"/>
        <v>6.3466379927374569E-2</v>
      </c>
      <c r="W1744">
        <f t="shared" si="601"/>
        <v>1.7811834839292716E-3</v>
      </c>
      <c r="X1744">
        <f t="shared" si="602"/>
        <v>4.5682669037828104E-2</v>
      </c>
      <c r="Y1744">
        <f t="shared" si="603"/>
        <v>9.3746499154172199E-5</v>
      </c>
      <c r="Z1744">
        <f t="shared" si="604"/>
        <v>2.9061414737793379E-3</v>
      </c>
      <c r="AA1744">
        <f t="shared" si="605"/>
        <v>0.22936599711354524</v>
      </c>
      <c r="AB1744">
        <f t="shared" si="606"/>
        <v>4.2278921146538431E-2</v>
      </c>
      <c r="AC1744">
        <f t="shared" si="607"/>
        <v>9.1063286855381467E-2</v>
      </c>
      <c r="AD1744">
        <f t="shared" si="608"/>
        <v>4.0723479232572402E-3</v>
      </c>
      <c r="AE1744">
        <f t="shared" si="609"/>
        <v>1.2132484427534658E-2</v>
      </c>
      <c r="AG1744">
        <f t="shared" si="610"/>
        <v>1.1662535417665838</v>
      </c>
      <c r="AH1744">
        <f t="shared" si="611"/>
        <v>0.15746768206624781</v>
      </c>
      <c r="AI1744">
        <f t="shared" si="612"/>
        <v>-0.95781619759888526</v>
      </c>
      <c r="AK1744" s="26" t="e">
        <f t="shared" si="613"/>
        <v>#DIV/0!</v>
      </c>
      <c r="AL1744" s="26" t="e">
        <f t="shared" si="614"/>
        <v>#DIV/0!</v>
      </c>
      <c r="AM1744" s="26" t="e">
        <f t="shared" si="615"/>
        <v>#DIV/0!</v>
      </c>
      <c r="AN1744" s="26" t="e">
        <f t="shared" si="616"/>
        <v>#DIV/0!</v>
      </c>
      <c r="AO1744" s="26" t="e">
        <f t="shared" si="617"/>
        <v>#DIV/0!</v>
      </c>
      <c r="AP1744" s="26" t="e">
        <f t="shared" si="618"/>
        <v>#DIV/0!</v>
      </c>
      <c r="AS1744" s="2">
        <v>43736</v>
      </c>
      <c r="AT1744">
        <v>13.6</v>
      </c>
      <c r="AU1744">
        <v>11.3</v>
      </c>
      <c r="AV1744">
        <v>69.3</v>
      </c>
      <c r="AW1744">
        <v>2.2999999999999998</v>
      </c>
      <c r="AX1744">
        <v>105.73</v>
      </c>
      <c r="AY1744">
        <v>0.1</v>
      </c>
      <c r="AZ1744">
        <v>2.5</v>
      </c>
      <c r="BA1744">
        <v>127.0586</v>
      </c>
      <c r="BB1744">
        <v>24.103400000000001</v>
      </c>
      <c r="BC1744">
        <v>29.535</v>
      </c>
      <c r="BD1744">
        <v>4.4249999999999998</v>
      </c>
      <c r="BE1744">
        <v>21.782800000000002</v>
      </c>
      <c r="BH1744">
        <v>96.47</v>
      </c>
    </row>
    <row r="1745" spans="1:60" x14ac:dyDescent="0.25">
      <c r="A1745" s="2">
        <v>43756</v>
      </c>
      <c r="B1745">
        <v>15.3</v>
      </c>
      <c r="C1745">
        <v>28.1</v>
      </c>
      <c r="D1745">
        <v>53.6</v>
      </c>
      <c r="E1745">
        <v>1.7</v>
      </c>
      <c r="F1745">
        <v>81.64</v>
      </c>
      <c r="G1745">
        <v>0.1</v>
      </c>
      <c r="H1745">
        <v>2.9</v>
      </c>
      <c r="I1745">
        <v>291.0838</v>
      </c>
      <c r="J1745">
        <v>90.313999999999993</v>
      </c>
      <c r="K1745">
        <v>119.3531</v>
      </c>
      <c r="L1745">
        <v>4.3963999999999999</v>
      </c>
      <c r="M1745">
        <v>23.505700000000001</v>
      </c>
      <c r="N1745">
        <v>2.1878000000000002</v>
      </c>
      <c r="O1745">
        <v>0.19839999999999999</v>
      </c>
      <c r="P1745">
        <v>97.48</v>
      </c>
      <c r="S1745">
        <f t="shared" si="597"/>
        <v>711.99300000000005</v>
      </c>
      <c r="T1745">
        <f t="shared" si="598"/>
        <v>1.4343214370588346E-2</v>
      </c>
      <c r="U1745">
        <f t="shared" si="599"/>
        <v>2.6342766262322386E-2</v>
      </c>
      <c r="V1745">
        <f t="shared" si="600"/>
        <v>5.0248123546636297E-2</v>
      </c>
      <c r="W1745">
        <f t="shared" si="601"/>
        <v>1.5936904856209272E-3</v>
      </c>
      <c r="X1745">
        <f t="shared" si="602"/>
        <v>7.6534641909466183E-2</v>
      </c>
      <c r="Y1745">
        <f t="shared" si="603"/>
        <v>9.3746499154172199E-5</v>
      </c>
      <c r="Z1745">
        <f t="shared" si="604"/>
        <v>2.7186484754709935E-3</v>
      </c>
      <c r="AA1745">
        <f t="shared" si="605"/>
        <v>0.27288087210493228</v>
      </c>
      <c r="AB1745">
        <f t="shared" si="606"/>
        <v>8.4666213246099062E-2</v>
      </c>
      <c r="AC1745">
        <f t="shared" si="607"/>
        <v>0.11188935288197829</v>
      </c>
      <c r="AD1745">
        <f t="shared" si="608"/>
        <v>4.1214710888140263E-3</v>
      </c>
      <c r="AE1745">
        <f t="shared" si="609"/>
        <v>2.2035770851682252E-2</v>
      </c>
      <c r="AG1745">
        <f t="shared" si="610"/>
        <v>1.1670349502768091</v>
      </c>
      <c r="AH1745">
        <f t="shared" si="611"/>
        <v>0.19391060240094157</v>
      </c>
      <c r="AI1745">
        <f t="shared" si="612"/>
        <v>-0.75202626910908288</v>
      </c>
      <c r="AK1745" s="26" t="e">
        <f t="shared" si="613"/>
        <v>#DIV/0!</v>
      </c>
      <c r="AL1745" s="26" t="e">
        <f t="shared" si="614"/>
        <v>#DIV/0!</v>
      </c>
      <c r="AM1745" s="26" t="e">
        <f t="shared" si="615"/>
        <v>#DIV/0!</v>
      </c>
      <c r="AN1745" s="26" t="e">
        <f t="shared" si="616"/>
        <v>#DIV/0!</v>
      </c>
      <c r="AO1745" s="26" t="e">
        <f t="shared" si="617"/>
        <v>#DIV/0!</v>
      </c>
      <c r="AP1745" s="26" t="e">
        <f t="shared" si="618"/>
        <v>#DIV/0!</v>
      </c>
      <c r="AS1745" s="2">
        <v>43735</v>
      </c>
      <c r="AT1745">
        <v>14.6</v>
      </c>
      <c r="AU1745">
        <v>95.1</v>
      </c>
      <c r="AV1745">
        <v>48.4</v>
      </c>
      <c r="AW1745">
        <v>1</v>
      </c>
      <c r="AX1745">
        <v>76.64</v>
      </c>
      <c r="AY1745">
        <v>0.2</v>
      </c>
      <c r="AZ1745">
        <v>3</v>
      </c>
      <c r="BA1745">
        <v>290.7878</v>
      </c>
      <c r="BB1745">
        <v>82.197900000000004</v>
      </c>
      <c r="BC1745">
        <v>135.38810000000001</v>
      </c>
      <c r="BD1745">
        <v>4.5444000000000004</v>
      </c>
      <c r="BE1745">
        <v>24.836400000000001</v>
      </c>
      <c r="BH1745">
        <v>96.26</v>
      </c>
    </row>
    <row r="1746" spans="1:60" x14ac:dyDescent="0.25">
      <c r="A1746" s="2">
        <v>43755</v>
      </c>
      <c r="B1746">
        <v>15.8</v>
      </c>
      <c r="C1746">
        <v>62.2</v>
      </c>
      <c r="D1746">
        <v>28.1</v>
      </c>
      <c r="E1746">
        <v>1.2</v>
      </c>
      <c r="F1746">
        <v>82.54</v>
      </c>
      <c r="G1746">
        <v>0.1</v>
      </c>
      <c r="H1746">
        <v>2.7</v>
      </c>
      <c r="I1746">
        <v>316.3023</v>
      </c>
      <c r="J1746">
        <v>155.08799999999999</v>
      </c>
      <c r="K1746">
        <v>153.54140000000001</v>
      </c>
      <c r="L1746">
        <v>4.4062000000000001</v>
      </c>
      <c r="M1746">
        <v>29.3322</v>
      </c>
      <c r="N1746">
        <v>1.6741999999999999</v>
      </c>
      <c r="O1746">
        <v>-0.3846</v>
      </c>
      <c r="P1746">
        <v>97.47</v>
      </c>
      <c r="S1746">
        <f t="shared" si="597"/>
        <v>851.31009999999992</v>
      </c>
      <c r="T1746">
        <f t="shared" si="598"/>
        <v>1.4811946866359206E-2</v>
      </c>
      <c r="U1746">
        <f t="shared" si="599"/>
        <v>5.8310322473895108E-2</v>
      </c>
      <c r="V1746">
        <f t="shared" si="600"/>
        <v>2.6342766262322386E-2</v>
      </c>
      <c r="W1746">
        <f t="shared" si="601"/>
        <v>1.1249579898500663E-3</v>
      </c>
      <c r="X1746">
        <f t="shared" si="602"/>
        <v>7.7378360401853738E-2</v>
      </c>
      <c r="Y1746">
        <f t="shared" si="603"/>
        <v>9.3746499154172199E-5</v>
      </c>
      <c r="Z1746">
        <f t="shared" si="604"/>
        <v>2.5311554771626494E-3</v>
      </c>
      <c r="AA1746">
        <f t="shared" si="605"/>
        <v>0.29652233299412717</v>
      </c>
      <c r="AB1746">
        <f t="shared" si="606"/>
        <v>0.14538957060822255</v>
      </c>
      <c r="AC1746">
        <f t="shared" si="607"/>
        <v>0.14393968725230416</v>
      </c>
      <c r="AD1746">
        <f t="shared" si="608"/>
        <v>4.1306582457311348E-3</v>
      </c>
      <c r="AE1746">
        <f t="shared" si="609"/>
        <v>2.7497910624900097E-2</v>
      </c>
      <c r="AG1746">
        <f t="shared" si="610"/>
        <v>1.1786855107786485</v>
      </c>
      <c r="AH1746">
        <f t="shared" si="611"/>
        <v>0.20809116659549742</v>
      </c>
      <c r="AI1746">
        <f t="shared" si="612"/>
        <v>-0.67487175952038303</v>
      </c>
      <c r="AK1746" s="26" t="e">
        <f t="shared" si="613"/>
        <v>#DIV/0!</v>
      </c>
      <c r="AL1746" s="26" t="e">
        <f t="shared" si="614"/>
        <v>#DIV/0!</v>
      </c>
      <c r="AM1746" s="26" t="e">
        <f t="shared" si="615"/>
        <v>#DIV/0!</v>
      </c>
      <c r="AN1746" s="26" t="e">
        <f t="shared" si="616"/>
        <v>#DIV/0!</v>
      </c>
      <c r="AO1746" s="26" t="e">
        <f t="shared" si="617"/>
        <v>#DIV/0!</v>
      </c>
      <c r="AP1746" s="26" t="e">
        <f t="shared" si="618"/>
        <v>#DIV/0!</v>
      </c>
      <c r="AS1746" s="2">
        <v>43734</v>
      </c>
      <c r="AT1746">
        <v>15.4</v>
      </c>
      <c r="AU1746">
        <v>113</v>
      </c>
      <c r="AV1746">
        <v>44.1</v>
      </c>
      <c r="AW1746">
        <v>0.6</v>
      </c>
      <c r="AX1746">
        <v>71.680000000000007</v>
      </c>
      <c r="AY1746">
        <v>0.2</v>
      </c>
      <c r="AZ1746">
        <v>2.9</v>
      </c>
      <c r="BA1746">
        <v>339.7183</v>
      </c>
      <c r="BB1746">
        <v>121.425</v>
      </c>
      <c r="BC1746">
        <v>144.9435</v>
      </c>
      <c r="BD1746">
        <v>4.5606</v>
      </c>
      <c r="BE1746">
        <v>24.535499999999999</v>
      </c>
      <c r="BH1746">
        <v>96.12</v>
      </c>
    </row>
    <row r="1747" spans="1:60" x14ac:dyDescent="0.25">
      <c r="A1747" s="2">
        <v>43754</v>
      </c>
      <c r="B1747">
        <v>16.399999999999999</v>
      </c>
      <c r="C1747">
        <v>10.6</v>
      </c>
      <c r="D1747">
        <v>21.5</v>
      </c>
      <c r="E1747">
        <v>1.8</v>
      </c>
      <c r="F1747">
        <v>83.64</v>
      </c>
      <c r="G1747">
        <v>0.1</v>
      </c>
      <c r="H1747">
        <v>2.4</v>
      </c>
      <c r="I1747">
        <v>308.57530000000003</v>
      </c>
      <c r="J1747">
        <v>107.30329999999999</v>
      </c>
      <c r="K1747">
        <v>135.12049999999999</v>
      </c>
      <c r="L1747">
        <v>4.4325999999999999</v>
      </c>
      <c r="M1747">
        <v>19.405999999999999</v>
      </c>
      <c r="N1747">
        <v>2.6070000000000002</v>
      </c>
      <c r="O1747">
        <v>0.22739999999999999</v>
      </c>
      <c r="P1747">
        <v>97.44</v>
      </c>
      <c r="S1747">
        <f t="shared" si="597"/>
        <v>711.27769999999998</v>
      </c>
      <c r="T1747">
        <f t="shared" si="598"/>
        <v>1.5374425861284237E-2</v>
      </c>
      <c r="U1747">
        <f t="shared" si="599"/>
        <v>9.9371289103422512E-3</v>
      </c>
      <c r="V1747">
        <f t="shared" si="600"/>
        <v>2.0155497318147021E-2</v>
      </c>
      <c r="W1747">
        <f t="shared" si="601"/>
        <v>1.6874369847750994E-3</v>
      </c>
      <c r="X1747">
        <f t="shared" si="602"/>
        <v>7.8409571892549615E-2</v>
      </c>
      <c r="Y1747">
        <f t="shared" si="603"/>
        <v>9.3746499154172199E-5</v>
      </c>
      <c r="Z1747">
        <f t="shared" si="604"/>
        <v>2.2499159797001326E-3</v>
      </c>
      <c r="AA1747">
        <f t="shared" si="605"/>
        <v>0.2892785410044843</v>
      </c>
      <c r="AB1747">
        <f t="shared" si="606"/>
        <v>0.10059308722689884</v>
      </c>
      <c r="AC1747">
        <f t="shared" si="607"/>
        <v>0.12667073838961324</v>
      </c>
      <c r="AD1747">
        <f t="shared" si="608"/>
        <v>4.1554073215078367E-3</v>
      </c>
      <c r="AE1747">
        <f t="shared" si="609"/>
        <v>1.8192445625858655E-2</v>
      </c>
      <c r="AG1747">
        <f t="shared" si="610"/>
        <v>1.1880525504445116</v>
      </c>
      <c r="AH1747">
        <f t="shared" si="611"/>
        <v>0.14610016907181117</v>
      </c>
      <c r="AI1747">
        <f t="shared" si="612"/>
        <v>-1.0466299271494848</v>
      </c>
      <c r="AK1747" s="26" t="e">
        <f t="shared" si="613"/>
        <v>#DIV/0!</v>
      </c>
      <c r="AL1747" s="26" t="e">
        <f t="shared" si="614"/>
        <v>#DIV/0!</v>
      </c>
      <c r="AM1747" s="26" t="e">
        <f t="shared" si="615"/>
        <v>#DIV/0!</v>
      </c>
      <c r="AN1747" s="26" t="e">
        <f t="shared" si="616"/>
        <v>#DIV/0!</v>
      </c>
      <c r="AO1747" s="26" t="e">
        <f t="shared" si="617"/>
        <v>#DIV/0!</v>
      </c>
      <c r="AP1747" s="26" t="e">
        <f t="shared" si="618"/>
        <v>#DIV/0!</v>
      </c>
      <c r="AS1747" s="2">
        <v>43733</v>
      </c>
      <c r="AT1747">
        <v>15.4</v>
      </c>
      <c r="AU1747">
        <v>121.7</v>
      </c>
      <c r="AV1747">
        <v>15.1</v>
      </c>
      <c r="AW1747">
        <v>0.2</v>
      </c>
      <c r="AX1747">
        <v>82</v>
      </c>
      <c r="AY1747">
        <v>0.2</v>
      </c>
      <c r="AZ1747">
        <v>3.1</v>
      </c>
      <c r="BA1747">
        <v>327.93439999999998</v>
      </c>
      <c r="BB1747">
        <v>164.85810000000001</v>
      </c>
      <c r="BC1747">
        <v>151.4341</v>
      </c>
      <c r="BD1747">
        <v>5.8434999999999997</v>
      </c>
      <c r="BE1747">
        <v>28.134799999999998</v>
      </c>
      <c r="BH1747">
        <v>96.01</v>
      </c>
    </row>
    <row r="1748" spans="1:60" x14ac:dyDescent="0.25">
      <c r="A1748" s="2">
        <v>43753</v>
      </c>
      <c r="B1748">
        <v>14.4</v>
      </c>
      <c r="C1748">
        <v>41</v>
      </c>
      <c r="D1748">
        <v>42.6</v>
      </c>
      <c r="E1748">
        <v>0.7</v>
      </c>
      <c r="F1748">
        <v>106</v>
      </c>
      <c r="G1748">
        <v>0.5</v>
      </c>
      <c r="H1748">
        <v>2.7</v>
      </c>
      <c r="I1748">
        <v>307.99560000000002</v>
      </c>
      <c r="J1748">
        <v>159.75739999999999</v>
      </c>
      <c r="K1748">
        <v>146.93700000000001</v>
      </c>
      <c r="L1748">
        <v>4.6037999999999997</v>
      </c>
      <c r="M1748">
        <v>32.328800000000001</v>
      </c>
      <c r="N1748">
        <v>2.3287</v>
      </c>
      <c r="O1748">
        <v>-2.5899999999999999E-2</v>
      </c>
      <c r="P1748">
        <v>97.47</v>
      </c>
      <c r="S1748">
        <f t="shared" si="597"/>
        <v>859.52260000000001</v>
      </c>
      <c r="T1748">
        <f t="shared" si="598"/>
        <v>1.3499495878200795E-2</v>
      </c>
      <c r="U1748">
        <f t="shared" si="599"/>
        <v>3.8436064653210596E-2</v>
      </c>
      <c r="V1748">
        <f t="shared" si="600"/>
        <v>3.9936008639677355E-2</v>
      </c>
      <c r="W1748">
        <f t="shared" si="601"/>
        <v>6.5622549407920526E-4</v>
      </c>
      <c r="X1748">
        <f t="shared" si="602"/>
        <v>9.9371289103422522E-2</v>
      </c>
      <c r="Y1748">
        <f t="shared" si="603"/>
        <v>4.6873249577086097E-4</v>
      </c>
      <c r="Z1748">
        <f t="shared" si="604"/>
        <v>2.5311554771626494E-3</v>
      </c>
      <c r="AA1748">
        <f t="shared" si="605"/>
        <v>0.28873509254888757</v>
      </c>
      <c r="AB1748">
        <f t="shared" si="606"/>
        <v>0.14976696963972747</v>
      </c>
      <c r="AC1748">
        <f t="shared" si="607"/>
        <v>0.13774829346216599</v>
      </c>
      <c r="AD1748">
        <f t="shared" si="608"/>
        <v>4.3159013280597786E-3</v>
      </c>
      <c r="AE1748">
        <f t="shared" si="609"/>
        <v>3.030711821855402E-2</v>
      </c>
      <c r="AG1748">
        <f t="shared" si="610"/>
        <v>1.2058724037689557</v>
      </c>
      <c r="AH1748">
        <f t="shared" si="611"/>
        <v>0.22520608996007802</v>
      </c>
      <c r="AI1748">
        <f t="shared" si="612"/>
        <v>-0.59242981980224341</v>
      </c>
      <c r="AK1748" s="26" t="e">
        <f t="shared" si="613"/>
        <v>#DIV/0!</v>
      </c>
      <c r="AL1748" s="26" t="e">
        <f t="shared" si="614"/>
        <v>#DIV/0!</v>
      </c>
      <c r="AM1748" s="26" t="e">
        <f t="shared" si="615"/>
        <v>#DIV/0!</v>
      </c>
      <c r="AN1748" s="26" t="e">
        <f t="shared" si="616"/>
        <v>#DIV/0!</v>
      </c>
      <c r="AO1748" s="26" t="e">
        <f t="shared" si="617"/>
        <v>#DIV/0!</v>
      </c>
      <c r="AP1748" s="26" t="e">
        <f t="shared" si="618"/>
        <v>#DIV/0!</v>
      </c>
      <c r="AS1748" s="2">
        <v>43732</v>
      </c>
      <c r="AT1748">
        <v>15.7</v>
      </c>
      <c r="AU1748">
        <v>34</v>
      </c>
      <c r="AV1748">
        <v>25.6</v>
      </c>
      <c r="AW1748">
        <v>0.3</v>
      </c>
      <c r="AX1748">
        <v>101.99</v>
      </c>
      <c r="AY1748">
        <v>0.1</v>
      </c>
      <c r="AZ1748">
        <v>3</v>
      </c>
      <c r="BA1748">
        <v>326.82830000000001</v>
      </c>
      <c r="BB1748">
        <v>167.50239999999999</v>
      </c>
      <c r="BC1748">
        <v>148.35230000000001</v>
      </c>
      <c r="BD1748">
        <v>4.5683999999999996</v>
      </c>
      <c r="BE1748">
        <v>26.19</v>
      </c>
      <c r="BH1748">
        <v>95.96</v>
      </c>
    </row>
    <row r="1749" spans="1:60" x14ac:dyDescent="0.25">
      <c r="A1749" s="2">
        <v>43752</v>
      </c>
      <c r="B1749">
        <v>14.8</v>
      </c>
      <c r="C1749">
        <v>4</v>
      </c>
      <c r="D1749">
        <v>42.3</v>
      </c>
      <c r="E1749">
        <v>1.5</v>
      </c>
      <c r="F1749">
        <v>137.52000000000001</v>
      </c>
      <c r="G1749">
        <v>0.5</v>
      </c>
      <c r="H1749">
        <v>3.1</v>
      </c>
      <c r="I1749">
        <v>279.50920000000002</v>
      </c>
      <c r="J1749">
        <v>134.2826</v>
      </c>
      <c r="K1749">
        <v>101.2281</v>
      </c>
      <c r="L1749">
        <v>4.4215</v>
      </c>
      <c r="M1749">
        <v>30.785399999999999</v>
      </c>
      <c r="N1749">
        <v>2.2742</v>
      </c>
      <c r="O1749">
        <v>0.44800000000000001</v>
      </c>
      <c r="P1749">
        <v>97.41</v>
      </c>
      <c r="S1749">
        <f t="shared" si="597"/>
        <v>753.94680000000005</v>
      </c>
      <c r="T1749">
        <f t="shared" si="598"/>
        <v>1.3874481874817485E-2</v>
      </c>
      <c r="U1749">
        <f t="shared" si="599"/>
        <v>3.7498599661668877E-3</v>
      </c>
      <c r="V1749">
        <f t="shared" si="600"/>
        <v>3.9654769142214837E-2</v>
      </c>
      <c r="W1749">
        <f t="shared" si="601"/>
        <v>1.406197487312583E-3</v>
      </c>
      <c r="X1749">
        <f t="shared" si="602"/>
        <v>0.12892018563681762</v>
      </c>
      <c r="Y1749">
        <f t="shared" si="603"/>
        <v>4.6873249577086097E-4</v>
      </c>
      <c r="Z1749">
        <f t="shared" si="604"/>
        <v>2.9061414737793379E-3</v>
      </c>
      <c r="AA1749">
        <f t="shared" si="605"/>
        <v>0.26203008981383347</v>
      </c>
      <c r="AB1749">
        <f t="shared" si="606"/>
        <v>0.12588523647320043</v>
      </c>
      <c r="AC1749">
        <f t="shared" si="607"/>
        <v>9.4897799910284575E-2</v>
      </c>
      <c r="AD1749">
        <f t="shared" si="608"/>
        <v>4.1450014601017238E-3</v>
      </c>
      <c r="AE1749">
        <f t="shared" si="609"/>
        <v>2.8860234750608525E-2</v>
      </c>
      <c r="AG1749">
        <f t="shared" si="610"/>
        <v>1.2121300593008191</v>
      </c>
      <c r="AH1749">
        <f t="shared" si="611"/>
        <v>0.21984060282748816</v>
      </c>
      <c r="AI1749">
        <f t="shared" si="612"/>
        <v>-0.62879907840263349</v>
      </c>
      <c r="AK1749" s="26" t="e">
        <f t="shared" si="613"/>
        <v>#DIV/0!</v>
      </c>
      <c r="AL1749" s="26" t="e">
        <f t="shared" si="614"/>
        <v>#DIV/0!</v>
      </c>
      <c r="AM1749" s="26" t="e">
        <f t="shared" si="615"/>
        <v>#DIV/0!</v>
      </c>
      <c r="AN1749" s="26" t="e">
        <f t="shared" si="616"/>
        <v>#DIV/0!</v>
      </c>
      <c r="AO1749" s="26" t="e">
        <f t="shared" si="617"/>
        <v>#DIV/0!</v>
      </c>
      <c r="AP1749" s="26" t="e">
        <f t="shared" si="618"/>
        <v>#DIV/0!</v>
      </c>
      <c r="AS1749" s="2">
        <v>43731</v>
      </c>
      <c r="AT1749">
        <v>12.4</v>
      </c>
      <c r="AU1749">
        <v>197.2</v>
      </c>
      <c r="AV1749">
        <v>31.6</v>
      </c>
      <c r="AW1749">
        <v>0.7</v>
      </c>
      <c r="AX1749">
        <v>82.3</v>
      </c>
      <c r="AY1749">
        <v>0.2</v>
      </c>
      <c r="AZ1749">
        <v>3.1</v>
      </c>
      <c r="BA1749">
        <v>309.1044</v>
      </c>
      <c r="BB1749">
        <v>132.7473</v>
      </c>
      <c r="BC1749">
        <v>136.05250000000001</v>
      </c>
      <c r="BD1749">
        <v>4.5599999999999996</v>
      </c>
      <c r="BE1749">
        <v>29.552499999999998</v>
      </c>
      <c r="BH1749">
        <v>95.84</v>
      </c>
    </row>
    <row r="1750" spans="1:60" x14ac:dyDescent="0.25">
      <c r="A1750" s="2">
        <v>43751</v>
      </c>
      <c r="B1750">
        <v>14.2</v>
      </c>
      <c r="C1750">
        <v>18.899999999999999</v>
      </c>
      <c r="D1750">
        <v>33.799999999999997</v>
      </c>
      <c r="E1750">
        <v>1.6</v>
      </c>
      <c r="F1750">
        <v>121.41</v>
      </c>
      <c r="G1750">
        <v>0.5</v>
      </c>
      <c r="H1750">
        <v>3</v>
      </c>
      <c r="I1750">
        <v>190.0942</v>
      </c>
      <c r="J1750">
        <v>28.8263</v>
      </c>
      <c r="K1750">
        <v>24.686</v>
      </c>
      <c r="L1750">
        <v>4.3922999999999996</v>
      </c>
      <c r="M1750">
        <v>14.7342</v>
      </c>
      <c r="P1750">
        <v>97.35</v>
      </c>
      <c r="S1750">
        <f t="shared" si="597"/>
        <v>456.14299999999992</v>
      </c>
      <c r="T1750">
        <f t="shared" si="598"/>
        <v>1.331200287989245E-2</v>
      </c>
      <c r="U1750">
        <f t="shared" si="599"/>
        <v>1.7718088340138542E-2</v>
      </c>
      <c r="V1750">
        <f t="shared" si="600"/>
        <v>3.1686316714110201E-2</v>
      </c>
      <c r="W1750">
        <f t="shared" si="601"/>
        <v>1.4999439864667552E-3</v>
      </c>
      <c r="X1750">
        <f t="shared" si="602"/>
        <v>0.11381762462308045</v>
      </c>
      <c r="Y1750">
        <f t="shared" si="603"/>
        <v>4.6873249577086097E-4</v>
      </c>
      <c r="Z1750">
        <f t="shared" si="604"/>
        <v>2.8123949746251659E-3</v>
      </c>
      <c r="AA1750">
        <f t="shared" si="605"/>
        <v>0.17820665759513038</v>
      </c>
      <c r="AB1750">
        <f t="shared" si="606"/>
        <v>2.7023647085679139E-2</v>
      </c>
      <c r="AC1750">
        <f t="shared" si="607"/>
        <v>2.3142260781198947E-2</v>
      </c>
      <c r="AD1750">
        <f t="shared" si="608"/>
        <v>4.1176274823487048E-3</v>
      </c>
      <c r="AE1750">
        <f t="shared" si="609"/>
        <v>1.3812796678374038E-2</v>
      </c>
      <c r="AG1750">
        <f t="shared" si="610"/>
        <v>1.2186769850364583</v>
      </c>
      <c r="AH1750">
        <f t="shared" si="611"/>
        <v>0.19512790069245847</v>
      </c>
      <c r="AI1750">
        <f t="shared" si="612"/>
        <v>-0.77901883695790441</v>
      </c>
      <c r="AK1750" s="26" t="e">
        <f t="shared" si="613"/>
        <v>#DIV/0!</v>
      </c>
      <c r="AL1750" s="26" t="e">
        <f t="shared" si="614"/>
        <v>#DIV/0!</v>
      </c>
      <c r="AM1750" s="26" t="e">
        <f t="shared" si="615"/>
        <v>#DIV/0!</v>
      </c>
      <c r="AN1750" s="26" t="e">
        <f t="shared" si="616"/>
        <v>#DIV/0!</v>
      </c>
      <c r="AO1750" s="26" t="e">
        <f t="shared" si="617"/>
        <v>#DIV/0!</v>
      </c>
      <c r="AP1750" s="26" t="e">
        <f t="shared" si="618"/>
        <v>#DIV/0!</v>
      </c>
      <c r="AS1750" s="2">
        <v>43730</v>
      </c>
      <c r="AT1750">
        <v>13</v>
      </c>
      <c r="AU1750">
        <v>28.6</v>
      </c>
      <c r="AV1750">
        <v>28.9</v>
      </c>
      <c r="AW1750">
        <v>1.2</v>
      </c>
      <c r="AX1750">
        <v>163.36000000000001</v>
      </c>
      <c r="AY1750">
        <v>0.2</v>
      </c>
      <c r="AZ1750">
        <v>3.2</v>
      </c>
      <c r="BA1750">
        <v>247.53479999999999</v>
      </c>
      <c r="BB1750">
        <v>51.5443</v>
      </c>
      <c r="BC1750">
        <v>68.682500000000005</v>
      </c>
      <c r="BD1750">
        <v>4.5597000000000003</v>
      </c>
      <c r="BE1750">
        <v>13.4184</v>
      </c>
      <c r="BH1750">
        <v>95.74</v>
      </c>
    </row>
    <row r="1751" spans="1:60" x14ac:dyDescent="0.25">
      <c r="A1751" s="2">
        <v>43750</v>
      </c>
      <c r="B1751">
        <v>15</v>
      </c>
      <c r="C1751">
        <v>17.100000000000001</v>
      </c>
      <c r="D1751">
        <v>68.3</v>
      </c>
      <c r="E1751">
        <v>2.7</v>
      </c>
      <c r="F1751">
        <v>123.25</v>
      </c>
      <c r="G1751">
        <v>0.5</v>
      </c>
      <c r="H1751">
        <v>3</v>
      </c>
      <c r="I1751">
        <v>158.05000000000001</v>
      </c>
      <c r="J1751">
        <v>31.133199999999999</v>
      </c>
      <c r="K1751">
        <v>30.7971</v>
      </c>
      <c r="L1751">
        <v>4.3968999999999996</v>
      </c>
      <c r="M1751">
        <v>27.195699999999999</v>
      </c>
      <c r="P1751">
        <v>97.17</v>
      </c>
      <c r="S1751">
        <f t="shared" si="597"/>
        <v>481.42290000000003</v>
      </c>
      <c r="T1751">
        <f t="shared" si="598"/>
        <v>1.4061974873125828E-2</v>
      </c>
      <c r="U1751">
        <f t="shared" si="599"/>
        <v>1.6030651355363447E-2</v>
      </c>
      <c r="V1751">
        <f t="shared" si="600"/>
        <v>6.4028858922299606E-2</v>
      </c>
      <c r="W1751">
        <f t="shared" si="601"/>
        <v>2.5311554771626494E-3</v>
      </c>
      <c r="X1751">
        <f t="shared" si="602"/>
        <v>0.11554256020751723</v>
      </c>
      <c r="Y1751">
        <f t="shared" si="603"/>
        <v>4.6873249577086097E-4</v>
      </c>
      <c r="Z1751">
        <f t="shared" si="604"/>
        <v>2.8123949746251659E-3</v>
      </c>
      <c r="AA1751">
        <f t="shared" si="605"/>
        <v>0.14816634191316916</v>
      </c>
      <c r="AB1751">
        <f t="shared" si="606"/>
        <v>2.9186285074666734E-2</v>
      </c>
      <c r="AC1751">
        <f t="shared" si="607"/>
        <v>2.8871203091009563E-2</v>
      </c>
      <c r="AD1751">
        <f t="shared" si="608"/>
        <v>4.1219398213097969E-3</v>
      </c>
      <c r="AE1751">
        <f t="shared" si="609"/>
        <v>2.5495016670471205E-2</v>
      </c>
      <c r="AG1751">
        <f t="shared" si="610"/>
        <v>1.2092222878476864</v>
      </c>
      <c r="AH1751">
        <f t="shared" si="611"/>
        <v>0.24097134497633602</v>
      </c>
      <c r="AI1751">
        <f t="shared" si="612"/>
        <v>-0.51859970958554225</v>
      </c>
      <c r="AK1751" s="26" t="e">
        <f t="shared" si="613"/>
        <v>#DIV/0!</v>
      </c>
      <c r="AL1751" s="26" t="e">
        <f t="shared" si="614"/>
        <v>#DIV/0!</v>
      </c>
      <c r="AM1751" s="26" t="e">
        <f t="shared" si="615"/>
        <v>#DIV/0!</v>
      </c>
      <c r="AN1751" s="26" t="e">
        <f t="shared" si="616"/>
        <v>#DIV/0!</v>
      </c>
      <c r="AO1751" s="26" t="e">
        <f t="shared" si="617"/>
        <v>#DIV/0!</v>
      </c>
      <c r="AP1751" s="26" t="e">
        <f t="shared" si="618"/>
        <v>#DIV/0!</v>
      </c>
      <c r="AS1751" s="2">
        <v>43729</v>
      </c>
      <c r="AT1751">
        <v>14.2</v>
      </c>
      <c r="AU1751">
        <v>7.9</v>
      </c>
      <c r="AV1751">
        <v>10.6</v>
      </c>
      <c r="AW1751">
        <v>0.4</v>
      </c>
      <c r="AX1751">
        <v>411.82</v>
      </c>
      <c r="AY1751">
        <v>0.2</v>
      </c>
      <c r="AZ1751">
        <v>2.8</v>
      </c>
      <c r="BA1751">
        <v>268.85509999999999</v>
      </c>
      <c r="BB1751">
        <v>56.211399999999998</v>
      </c>
      <c r="BC1751">
        <v>81.026899999999998</v>
      </c>
      <c r="BD1751">
        <v>4.5389999999999997</v>
      </c>
      <c r="BE1751">
        <v>15.8835</v>
      </c>
      <c r="BH1751">
        <v>95.53</v>
      </c>
    </row>
    <row r="1752" spans="1:60" x14ac:dyDescent="0.25">
      <c r="A1752" s="2">
        <v>43749</v>
      </c>
      <c r="B1752">
        <v>17</v>
      </c>
      <c r="C1752">
        <v>4.8</v>
      </c>
      <c r="D1752">
        <v>68.900000000000006</v>
      </c>
      <c r="E1752">
        <v>4</v>
      </c>
      <c r="F1752">
        <v>88.45</v>
      </c>
      <c r="G1752">
        <v>0.1</v>
      </c>
      <c r="H1752">
        <v>3.1</v>
      </c>
      <c r="I1752">
        <v>178.99959999999999</v>
      </c>
      <c r="J1752">
        <v>50.811300000000003</v>
      </c>
      <c r="K1752">
        <v>51.372500000000002</v>
      </c>
      <c r="L1752">
        <v>4.3971999999999998</v>
      </c>
      <c r="M1752">
        <v>21.4773</v>
      </c>
      <c r="N1752">
        <v>1.8891</v>
      </c>
      <c r="O1752">
        <v>0.26100000000000001</v>
      </c>
      <c r="P1752">
        <v>97.05</v>
      </c>
      <c r="S1752">
        <f t="shared" si="597"/>
        <v>493.40790000000004</v>
      </c>
      <c r="T1752">
        <f t="shared" si="598"/>
        <v>1.5936904856209272E-2</v>
      </c>
      <c r="U1752">
        <f t="shared" si="599"/>
        <v>4.4998319594002651E-3</v>
      </c>
      <c r="V1752">
        <f t="shared" si="600"/>
        <v>6.4591337917224642E-2</v>
      </c>
      <c r="W1752">
        <f t="shared" si="601"/>
        <v>3.7498599661668877E-3</v>
      </c>
      <c r="X1752">
        <f t="shared" si="602"/>
        <v>8.2918778501865312E-2</v>
      </c>
      <c r="Y1752">
        <f t="shared" si="603"/>
        <v>9.3746499154172199E-5</v>
      </c>
      <c r="Z1752">
        <f t="shared" si="604"/>
        <v>2.9061414737793379E-3</v>
      </c>
      <c r="AA1752">
        <f t="shared" si="605"/>
        <v>0.16780585849997159</v>
      </c>
      <c r="AB1752">
        <f t="shared" si="606"/>
        <v>4.7633814924723898E-2</v>
      </c>
      <c r="AC1752">
        <f t="shared" si="607"/>
        <v>4.8159920277977109E-2</v>
      </c>
      <c r="AD1752">
        <f t="shared" si="608"/>
        <v>4.1222210608072591E-3</v>
      </c>
      <c r="AE1752">
        <f t="shared" si="609"/>
        <v>2.0134216862839022E-2</v>
      </c>
      <c r="AG1752">
        <f t="shared" si="610"/>
        <v>1.2077713655528219</v>
      </c>
      <c r="AH1752">
        <f t="shared" si="611"/>
        <v>0.19483081803663893</v>
      </c>
      <c r="AI1752">
        <f t="shared" si="612"/>
        <v>-0.79132634428113635</v>
      </c>
      <c r="AK1752" s="26" t="e">
        <f t="shared" si="613"/>
        <v>#DIV/0!</v>
      </c>
      <c r="AL1752" s="26" t="e">
        <f t="shared" si="614"/>
        <v>#DIV/0!</v>
      </c>
      <c r="AM1752" s="26" t="e">
        <f t="shared" si="615"/>
        <v>#DIV/0!</v>
      </c>
      <c r="AN1752" s="26" t="e">
        <f t="shared" si="616"/>
        <v>#DIV/0!</v>
      </c>
      <c r="AO1752" s="26" t="e">
        <f t="shared" si="617"/>
        <v>#DIV/0!</v>
      </c>
      <c r="AP1752" s="26" t="e">
        <f t="shared" si="618"/>
        <v>#DIV/0!</v>
      </c>
      <c r="AS1752" s="2">
        <v>43728</v>
      </c>
      <c r="AT1752">
        <v>14.7</v>
      </c>
      <c r="AU1752">
        <v>31.2</v>
      </c>
      <c r="AV1752">
        <v>13.1</v>
      </c>
      <c r="AW1752">
        <v>0.4</v>
      </c>
      <c r="AX1752">
        <v>175.91</v>
      </c>
      <c r="AY1752">
        <v>0.2</v>
      </c>
      <c r="AZ1752">
        <v>3.1</v>
      </c>
      <c r="BA1752">
        <v>322.8888</v>
      </c>
      <c r="BB1752">
        <v>129.6919</v>
      </c>
      <c r="BC1752">
        <v>142.53569999999999</v>
      </c>
      <c r="BD1752">
        <v>4.5514999999999999</v>
      </c>
      <c r="BE1752">
        <v>22.184100000000001</v>
      </c>
      <c r="BH1752">
        <v>95.32</v>
      </c>
    </row>
    <row r="1753" spans="1:60" x14ac:dyDescent="0.25">
      <c r="A1753" s="2">
        <v>43748</v>
      </c>
      <c r="B1753">
        <v>17.7</v>
      </c>
      <c r="C1753">
        <v>30.4</v>
      </c>
      <c r="D1753">
        <v>67.400000000000006</v>
      </c>
      <c r="E1753">
        <v>2.7</v>
      </c>
      <c r="F1753">
        <v>84.55</v>
      </c>
      <c r="H1753">
        <v>2.7</v>
      </c>
      <c r="I1753">
        <v>243.72540000000001</v>
      </c>
      <c r="J1753">
        <v>47.300199999999997</v>
      </c>
      <c r="K1753">
        <v>100.62139999999999</v>
      </c>
      <c r="L1753">
        <v>4.3783000000000003</v>
      </c>
      <c r="M1753">
        <v>23.2925</v>
      </c>
      <c r="N1753">
        <v>2.1065999999999998</v>
      </c>
      <c r="O1753">
        <v>0.48159999999999997</v>
      </c>
      <c r="P1753">
        <v>97</v>
      </c>
      <c r="S1753">
        <f t="shared" si="597"/>
        <v>624.76779999999997</v>
      </c>
      <c r="T1753">
        <f t="shared" si="598"/>
        <v>1.6593130350288476E-2</v>
      </c>
      <c r="U1753">
        <f t="shared" si="599"/>
        <v>2.8498935742868346E-2</v>
      </c>
      <c r="V1753">
        <f t="shared" si="600"/>
        <v>6.3185140429912065E-2</v>
      </c>
      <c r="W1753">
        <f t="shared" si="601"/>
        <v>2.5311554771626494E-3</v>
      </c>
      <c r="X1753">
        <f t="shared" si="602"/>
        <v>7.9262665034852589E-2</v>
      </c>
      <c r="Y1753">
        <f t="shared" si="603"/>
        <v>0</v>
      </c>
      <c r="Z1753">
        <f t="shared" si="604"/>
        <v>2.5311554771626494E-3</v>
      </c>
      <c r="AA1753">
        <f t="shared" si="605"/>
        <v>0.2284840300495028</v>
      </c>
      <c r="AB1753">
        <f t="shared" si="606"/>
        <v>4.4342281592921751E-2</v>
      </c>
      <c r="AC1753">
        <f t="shared" si="607"/>
        <v>9.4329039899916214E-2</v>
      </c>
      <c r="AD1753">
        <f t="shared" si="608"/>
        <v>4.104502972467121E-3</v>
      </c>
      <c r="AE1753">
        <f t="shared" si="609"/>
        <v>2.1835903315485558E-2</v>
      </c>
      <c r="AG1753">
        <f t="shared" si="610"/>
        <v>1.2159489294914403</v>
      </c>
      <c r="AH1753">
        <f t="shared" si="611"/>
        <v>0.21443808582773233</v>
      </c>
      <c r="AI1753">
        <f t="shared" si="612"/>
        <v>-0.68557688235473169</v>
      </c>
      <c r="AK1753" s="26" t="e">
        <f t="shared" si="613"/>
        <v>#DIV/0!</v>
      </c>
      <c r="AL1753" s="26" t="e">
        <f t="shared" si="614"/>
        <v>#DIV/0!</v>
      </c>
      <c r="AM1753" s="26" t="e">
        <f t="shared" si="615"/>
        <v>#DIV/0!</v>
      </c>
      <c r="AN1753" s="26" t="e">
        <f t="shared" si="616"/>
        <v>#DIV/0!</v>
      </c>
      <c r="AO1753" s="26" t="e">
        <f t="shared" si="617"/>
        <v>#DIV/0!</v>
      </c>
      <c r="AP1753" s="26" t="e">
        <f t="shared" si="618"/>
        <v>#DIV/0!</v>
      </c>
      <c r="AS1753" s="2">
        <v>43727</v>
      </c>
      <c r="AT1753">
        <v>14.8</v>
      </c>
      <c r="AU1753">
        <v>156.69999999999999</v>
      </c>
      <c r="AV1753">
        <v>22.3</v>
      </c>
      <c r="AW1753">
        <v>0.6</v>
      </c>
      <c r="AX1753">
        <v>180.98</v>
      </c>
      <c r="AY1753">
        <v>0.1</v>
      </c>
      <c r="AZ1753">
        <v>2.9</v>
      </c>
      <c r="BA1753">
        <v>320.07040000000001</v>
      </c>
      <c r="BB1753">
        <v>133.5574</v>
      </c>
      <c r="BC1753">
        <v>136.96180000000001</v>
      </c>
      <c r="BD1753">
        <v>4.5678999999999998</v>
      </c>
      <c r="BE1753">
        <v>20.8095</v>
      </c>
      <c r="BH1753">
        <v>95.23</v>
      </c>
    </row>
    <row r="1754" spans="1:60" x14ac:dyDescent="0.25">
      <c r="A1754" s="2">
        <v>43747</v>
      </c>
      <c r="B1754">
        <v>16.8</v>
      </c>
      <c r="C1754">
        <v>6.7</v>
      </c>
      <c r="D1754">
        <v>63.2</v>
      </c>
      <c r="E1754">
        <v>2.2000000000000002</v>
      </c>
      <c r="F1754">
        <v>57.62</v>
      </c>
      <c r="G1754">
        <v>0.1</v>
      </c>
      <c r="H1754">
        <v>2.7</v>
      </c>
      <c r="I1754">
        <v>278.89609999999999</v>
      </c>
      <c r="J1754">
        <v>82.629499999999993</v>
      </c>
      <c r="K1754">
        <v>116.5543</v>
      </c>
      <c r="L1754">
        <v>4.4621000000000004</v>
      </c>
      <c r="M1754">
        <v>20.793700000000001</v>
      </c>
      <c r="N1754">
        <v>2.8258999999999999</v>
      </c>
      <c r="O1754">
        <v>0.64870000000000005</v>
      </c>
      <c r="P1754">
        <v>97.28</v>
      </c>
      <c r="S1754">
        <f t="shared" si="597"/>
        <v>652.65570000000002</v>
      </c>
      <c r="T1754">
        <f t="shared" si="598"/>
        <v>1.5749411857900929E-2</v>
      </c>
      <c r="U1754">
        <f t="shared" si="599"/>
        <v>6.2810154433295372E-3</v>
      </c>
      <c r="V1754">
        <f t="shared" si="600"/>
        <v>5.9247787465436824E-2</v>
      </c>
      <c r="W1754">
        <f t="shared" si="601"/>
        <v>2.0624229813917885E-3</v>
      </c>
      <c r="X1754">
        <f t="shared" si="602"/>
        <v>5.4016732812634013E-2</v>
      </c>
      <c r="Y1754">
        <f t="shared" si="603"/>
        <v>9.3746499154172199E-5</v>
      </c>
      <c r="Z1754">
        <f t="shared" si="604"/>
        <v>2.5311554771626494E-3</v>
      </c>
      <c r="AA1754">
        <f t="shared" si="605"/>
        <v>0.26145533002751919</v>
      </c>
      <c r="AB1754">
        <f t="shared" si="606"/>
        <v>7.7462263518596711E-2</v>
      </c>
      <c r="AC1754">
        <f t="shared" si="607"/>
        <v>0.10926557586365132</v>
      </c>
      <c r="AD1754">
        <f t="shared" si="608"/>
        <v>4.1830625387583179E-3</v>
      </c>
      <c r="AE1754">
        <f t="shared" si="609"/>
        <v>1.9493365794621104E-2</v>
      </c>
      <c r="AG1754">
        <f t="shared" si="610"/>
        <v>1.2696606839165006</v>
      </c>
      <c r="AH1754">
        <f t="shared" si="611"/>
        <v>0.159475638331631</v>
      </c>
      <c r="AI1754">
        <f t="shared" si="612"/>
        <v>-1.0101973618969278</v>
      </c>
      <c r="AK1754" s="26" t="e">
        <f t="shared" si="613"/>
        <v>#DIV/0!</v>
      </c>
      <c r="AL1754" s="26" t="e">
        <f t="shared" si="614"/>
        <v>#DIV/0!</v>
      </c>
      <c r="AM1754" s="26" t="e">
        <f t="shared" si="615"/>
        <v>#DIV/0!</v>
      </c>
      <c r="AN1754" s="26" t="e">
        <f t="shared" si="616"/>
        <v>#DIV/0!</v>
      </c>
      <c r="AO1754" s="26" t="e">
        <f t="shared" si="617"/>
        <v>#DIV/0!</v>
      </c>
      <c r="AP1754" s="26" t="e">
        <f t="shared" si="618"/>
        <v>#DIV/0!</v>
      </c>
      <c r="AS1754" s="2">
        <v>43726</v>
      </c>
      <c r="AT1754">
        <v>15.6</v>
      </c>
      <c r="AU1754">
        <v>46.9</v>
      </c>
      <c r="AV1754">
        <v>68.7</v>
      </c>
      <c r="AW1754">
        <v>2.8</v>
      </c>
      <c r="AX1754">
        <v>175.88</v>
      </c>
      <c r="AZ1754">
        <v>2.6</v>
      </c>
      <c r="BA1754">
        <v>237.56100000000001</v>
      </c>
      <c r="BB1754">
        <v>86.384100000000004</v>
      </c>
      <c r="BC1754">
        <v>95.4191</v>
      </c>
      <c r="BD1754">
        <v>4.5494000000000003</v>
      </c>
      <c r="BE1754">
        <v>20.378299999999999</v>
      </c>
      <c r="BH1754">
        <v>95.2</v>
      </c>
    </row>
    <row r="1755" spans="1:60" x14ac:dyDescent="0.25">
      <c r="A1755" s="2">
        <v>43746</v>
      </c>
      <c r="B1755">
        <v>17</v>
      </c>
      <c r="C1755">
        <v>19.5</v>
      </c>
      <c r="D1755">
        <v>64.2</v>
      </c>
      <c r="E1755">
        <v>2</v>
      </c>
      <c r="F1755">
        <v>42</v>
      </c>
      <c r="G1755">
        <v>0.1</v>
      </c>
      <c r="H1755">
        <v>2.5</v>
      </c>
      <c r="I1755">
        <v>310.23970000000003</v>
      </c>
      <c r="J1755">
        <v>89.966999999999999</v>
      </c>
      <c r="K1755">
        <v>124.7557</v>
      </c>
      <c r="L1755">
        <v>4.4275000000000002</v>
      </c>
      <c r="M1755">
        <v>30.075199999999999</v>
      </c>
      <c r="N1755">
        <v>2.6501999999999999</v>
      </c>
      <c r="O1755">
        <v>0.56189999999999996</v>
      </c>
      <c r="P1755">
        <v>97.27</v>
      </c>
      <c r="S1755">
        <f t="shared" si="597"/>
        <v>706.76510000000007</v>
      </c>
      <c r="T1755">
        <f t="shared" si="598"/>
        <v>1.5936904856209272E-2</v>
      </c>
      <c r="U1755">
        <f t="shared" si="599"/>
        <v>1.8280567335063579E-2</v>
      </c>
      <c r="V1755">
        <f t="shared" si="600"/>
        <v>6.0185252456978547E-2</v>
      </c>
      <c r="W1755">
        <f t="shared" si="601"/>
        <v>1.8749299830834439E-3</v>
      </c>
      <c r="X1755">
        <f t="shared" si="602"/>
        <v>3.9373529644752318E-2</v>
      </c>
      <c r="Y1755">
        <f t="shared" si="603"/>
        <v>9.3746499154172199E-5</v>
      </c>
      <c r="Z1755">
        <f t="shared" si="604"/>
        <v>2.3436624788543046E-3</v>
      </c>
      <c r="AA1755">
        <f t="shared" si="605"/>
        <v>0.29083885773640639</v>
      </c>
      <c r="AB1755">
        <f t="shared" si="606"/>
        <v>8.4340912894034101E-2</v>
      </c>
      <c r="AC1755">
        <f t="shared" si="607"/>
        <v>0.11695410124528161</v>
      </c>
      <c r="AD1755">
        <f t="shared" si="608"/>
        <v>4.150626250050974E-3</v>
      </c>
      <c r="AE1755">
        <f t="shared" si="609"/>
        <v>2.8194447113615594E-2</v>
      </c>
      <c r="AG1755">
        <f t="shared" si="610"/>
        <v>1.2854186846619455</v>
      </c>
      <c r="AH1755">
        <f t="shared" si="611"/>
        <v>0.16628304036771124</v>
      </c>
      <c r="AI1755">
        <f t="shared" si="612"/>
        <v>-0.98412682695017295</v>
      </c>
      <c r="AK1755" s="26" t="e">
        <f t="shared" si="613"/>
        <v>#DIV/0!</v>
      </c>
      <c r="AL1755" s="26" t="e">
        <f t="shared" si="614"/>
        <v>#DIV/0!</v>
      </c>
      <c r="AM1755" s="26" t="e">
        <f t="shared" si="615"/>
        <v>#DIV/0!</v>
      </c>
      <c r="AN1755" s="26" t="e">
        <f t="shared" si="616"/>
        <v>#DIV/0!</v>
      </c>
      <c r="AO1755" s="26" t="e">
        <f t="shared" si="617"/>
        <v>#DIV/0!</v>
      </c>
      <c r="AP1755" s="26" t="e">
        <f t="shared" si="618"/>
        <v>#DIV/0!</v>
      </c>
      <c r="AS1755" s="2">
        <v>43725</v>
      </c>
      <c r="AT1755">
        <v>16.2</v>
      </c>
      <c r="AU1755">
        <v>64.900000000000006</v>
      </c>
      <c r="AV1755">
        <v>62.1</v>
      </c>
      <c r="AW1755">
        <v>2.6</v>
      </c>
      <c r="AX1755">
        <v>123.73</v>
      </c>
      <c r="AY1755">
        <v>0.2</v>
      </c>
      <c r="AZ1755">
        <v>2.5</v>
      </c>
      <c r="BA1755">
        <v>227.56120000000001</v>
      </c>
      <c r="BB1755">
        <v>89.554400000000001</v>
      </c>
      <c r="BC1755">
        <v>98.038700000000006</v>
      </c>
      <c r="BD1755">
        <v>4.5313999999999997</v>
      </c>
      <c r="BE1755">
        <v>18.577100000000002</v>
      </c>
      <c r="BH1755">
        <v>95.11</v>
      </c>
    </row>
    <row r="1756" spans="1:60" x14ac:dyDescent="0.25">
      <c r="A1756" s="2">
        <v>43745</v>
      </c>
      <c r="B1756">
        <v>16.8</v>
      </c>
      <c r="C1756">
        <v>18.5</v>
      </c>
      <c r="D1756">
        <v>36.1</v>
      </c>
      <c r="E1756">
        <v>0.6</v>
      </c>
      <c r="F1756">
        <v>103.58</v>
      </c>
      <c r="G1756">
        <v>0.1</v>
      </c>
      <c r="H1756">
        <v>2.2000000000000002</v>
      </c>
      <c r="I1756">
        <v>310.2</v>
      </c>
      <c r="J1756">
        <v>210.1662</v>
      </c>
      <c r="K1756">
        <v>153.3537</v>
      </c>
      <c r="L1756">
        <v>4.5003000000000002</v>
      </c>
      <c r="M1756">
        <v>31.1675</v>
      </c>
      <c r="N1756">
        <v>2.5226000000000002</v>
      </c>
      <c r="O1756">
        <v>0.39550000000000002</v>
      </c>
      <c r="P1756">
        <v>97.27</v>
      </c>
      <c r="S1756">
        <f t="shared" si="597"/>
        <v>887.26769999999999</v>
      </c>
      <c r="T1756">
        <f t="shared" si="598"/>
        <v>1.5749411857900929E-2</v>
      </c>
      <c r="U1756">
        <f t="shared" si="599"/>
        <v>1.7343102343521856E-2</v>
      </c>
      <c r="V1756">
        <f t="shared" si="600"/>
        <v>3.3842486194656164E-2</v>
      </c>
      <c r="W1756">
        <f t="shared" si="601"/>
        <v>5.6247899492503314E-4</v>
      </c>
      <c r="X1756">
        <f t="shared" si="602"/>
        <v>9.7102623823891551E-2</v>
      </c>
      <c r="Y1756">
        <f t="shared" si="603"/>
        <v>9.3746499154172199E-5</v>
      </c>
      <c r="Z1756">
        <f t="shared" si="604"/>
        <v>2.0624229813917885E-3</v>
      </c>
      <c r="AA1756">
        <f t="shared" si="605"/>
        <v>0.29080164037624212</v>
      </c>
      <c r="AB1756">
        <f t="shared" si="606"/>
        <v>0.19702345490535583</v>
      </c>
      <c r="AC1756">
        <f t="shared" si="607"/>
        <v>0.14376372507339177</v>
      </c>
      <c r="AD1756">
        <f t="shared" si="608"/>
        <v>4.2188737014352117E-3</v>
      </c>
      <c r="AE1756">
        <f t="shared" si="609"/>
        <v>2.9218440123876619E-2</v>
      </c>
      <c r="AG1756">
        <f t="shared" si="610"/>
        <v>1.3032215584725031</v>
      </c>
      <c r="AH1756">
        <f t="shared" si="611"/>
        <v>0.19597471281931811</v>
      </c>
      <c r="AI1756">
        <f t="shared" si="612"/>
        <v>-0.82504735712289623</v>
      </c>
      <c r="AK1756" s="26" t="e">
        <f t="shared" si="613"/>
        <v>#DIV/0!</v>
      </c>
      <c r="AL1756" s="26" t="e">
        <f t="shared" si="614"/>
        <v>#DIV/0!</v>
      </c>
      <c r="AM1756" s="26" t="e">
        <f t="shared" si="615"/>
        <v>#DIV/0!</v>
      </c>
      <c r="AN1756" s="26" t="e">
        <f t="shared" si="616"/>
        <v>#DIV/0!</v>
      </c>
      <c r="AO1756" s="26" t="e">
        <f t="shared" si="617"/>
        <v>#DIV/0!</v>
      </c>
      <c r="AP1756" s="26" t="e">
        <f t="shared" si="618"/>
        <v>#DIV/0!</v>
      </c>
      <c r="AS1756" s="2">
        <v>43724</v>
      </c>
      <c r="AT1756">
        <v>16.5</v>
      </c>
      <c r="AU1756">
        <v>106.1</v>
      </c>
      <c r="AV1756">
        <v>35.700000000000003</v>
      </c>
      <c r="AW1756">
        <v>0.5</v>
      </c>
      <c r="AX1756">
        <v>107.03</v>
      </c>
      <c r="AY1756">
        <v>0.1</v>
      </c>
      <c r="AZ1756">
        <v>2.7</v>
      </c>
      <c r="BA1756">
        <v>265.61309999999997</v>
      </c>
      <c r="BB1756">
        <v>136.435</v>
      </c>
      <c r="BC1756">
        <v>135.3312</v>
      </c>
      <c r="BD1756">
        <v>4.5807000000000002</v>
      </c>
      <c r="BE1756">
        <v>32.814999999999998</v>
      </c>
      <c r="BH1756">
        <v>94.97</v>
      </c>
    </row>
    <row r="1757" spans="1:60" x14ac:dyDescent="0.25">
      <c r="A1757" s="2">
        <v>43744</v>
      </c>
      <c r="B1757">
        <v>17.3</v>
      </c>
      <c r="C1757">
        <v>5.8</v>
      </c>
      <c r="D1757">
        <v>60.7</v>
      </c>
      <c r="E1757">
        <v>1.2</v>
      </c>
      <c r="F1757">
        <v>69.39</v>
      </c>
      <c r="G1757">
        <v>0.1</v>
      </c>
      <c r="H1757">
        <v>2.1</v>
      </c>
      <c r="I1757">
        <v>241.4007</v>
      </c>
      <c r="J1757">
        <v>57.454300000000003</v>
      </c>
      <c r="K1757">
        <v>93.318200000000004</v>
      </c>
      <c r="L1757">
        <v>4.4880000000000004</v>
      </c>
      <c r="M1757">
        <v>12.5283</v>
      </c>
      <c r="P1757">
        <v>97.32</v>
      </c>
      <c r="S1757">
        <f t="shared" si="597"/>
        <v>565.77949999999998</v>
      </c>
      <c r="T1757">
        <f t="shared" si="598"/>
        <v>1.621814435367179E-2</v>
      </c>
      <c r="U1757">
        <f t="shared" si="599"/>
        <v>5.4372969509419869E-3</v>
      </c>
      <c r="V1757">
        <f t="shared" si="600"/>
        <v>5.6904124986582524E-2</v>
      </c>
      <c r="W1757">
        <f t="shared" si="601"/>
        <v>1.1249579898500663E-3</v>
      </c>
      <c r="X1757">
        <f t="shared" si="602"/>
        <v>6.5050695763080077E-2</v>
      </c>
      <c r="Y1757">
        <f t="shared" si="603"/>
        <v>9.3746499154172199E-5</v>
      </c>
      <c r="Z1757">
        <f t="shared" si="604"/>
        <v>1.9686764822376161E-3</v>
      </c>
      <c r="AA1757">
        <f t="shared" si="605"/>
        <v>0.22630470518366574</v>
      </c>
      <c r="AB1757">
        <f t="shared" si="606"/>
        <v>5.3861394863535555E-2</v>
      </c>
      <c r="AC1757">
        <f t="shared" si="607"/>
        <v>8.7482545573688716E-2</v>
      </c>
      <c r="AD1757">
        <f t="shared" si="608"/>
        <v>4.2073428820392483E-3</v>
      </c>
      <c r="AE1757">
        <f t="shared" si="609"/>
        <v>1.1744842653532154E-2</v>
      </c>
      <c r="AG1757">
        <f t="shared" si="610"/>
        <v>1.32870408253646</v>
      </c>
      <c r="AH1757">
        <f t="shared" si="611"/>
        <v>0.15854248567905038</v>
      </c>
      <c r="AI1757">
        <f t="shared" si="612"/>
        <v>-1.0505670737325308</v>
      </c>
      <c r="AK1757" s="26" t="e">
        <f t="shared" si="613"/>
        <v>#DIV/0!</v>
      </c>
      <c r="AL1757" s="26" t="e">
        <f t="shared" si="614"/>
        <v>#DIV/0!</v>
      </c>
      <c r="AM1757" s="26" t="e">
        <f t="shared" si="615"/>
        <v>#DIV/0!</v>
      </c>
      <c r="AN1757" s="26" t="e">
        <f t="shared" si="616"/>
        <v>#DIV/0!</v>
      </c>
      <c r="AO1757" s="26" t="e">
        <f t="shared" si="617"/>
        <v>#DIV/0!</v>
      </c>
      <c r="AP1757" s="26" t="e">
        <f t="shared" si="618"/>
        <v>#DIV/0!</v>
      </c>
      <c r="AS1757" s="2">
        <v>43723</v>
      </c>
      <c r="AT1757">
        <v>16.5</v>
      </c>
      <c r="AU1757">
        <v>74.7</v>
      </c>
      <c r="AV1757">
        <v>65.7</v>
      </c>
      <c r="AW1757">
        <v>2.5</v>
      </c>
      <c r="AX1757">
        <v>183.08</v>
      </c>
      <c r="AY1757">
        <v>0.1</v>
      </c>
      <c r="AZ1757">
        <v>2.9</v>
      </c>
      <c r="BA1757">
        <v>164.12620000000001</v>
      </c>
      <c r="BB1757">
        <v>43.835700000000003</v>
      </c>
      <c r="BC1757">
        <v>30.355499999999999</v>
      </c>
      <c r="BD1757">
        <v>4.6174999999999997</v>
      </c>
      <c r="BE1757">
        <v>10.478899999999999</v>
      </c>
      <c r="BH1757">
        <v>94.77</v>
      </c>
    </row>
    <row r="1758" spans="1:60" x14ac:dyDescent="0.25">
      <c r="A1758" s="2">
        <v>43743</v>
      </c>
      <c r="B1758">
        <v>14.2</v>
      </c>
      <c r="C1758">
        <v>10.3</v>
      </c>
      <c r="D1758">
        <v>41.1</v>
      </c>
      <c r="E1758">
        <v>1.2</v>
      </c>
      <c r="F1758">
        <v>65.44</v>
      </c>
      <c r="G1758">
        <v>0.1</v>
      </c>
      <c r="H1758">
        <v>2.2999999999999998</v>
      </c>
      <c r="I1758">
        <v>244.63040000000001</v>
      </c>
      <c r="J1758">
        <v>80.133499999999998</v>
      </c>
      <c r="K1758">
        <v>96.287599999999998</v>
      </c>
      <c r="L1758">
        <v>4.4611000000000001</v>
      </c>
      <c r="M1758">
        <v>18.0184</v>
      </c>
      <c r="P1758">
        <v>97.17</v>
      </c>
      <c r="S1758">
        <f t="shared" si="597"/>
        <v>578.17100000000005</v>
      </c>
      <c r="T1758">
        <f t="shared" si="598"/>
        <v>1.331200287989245E-2</v>
      </c>
      <c r="U1758">
        <f t="shared" si="599"/>
        <v>9.6558894128797364E-3</v>
      </c>
      <c r="V1758">
        <f t="shared" si="600"/>
        <v>3.8529811152364771E-2</v>
      </c>
      <c r="W1758">
        <f t="shared" si="601"/>
        <v>1.1249579898500663E-3</v>
      </c>
      <c r="X1758">
        <f t="shared" si="602"/>
        <v>6.1347709046490277E-2</v>
      </c>
      <c r="Y1758">
        <f t="shared" si="603"/>
        <v>9.3746499154172199E-5</v>
      </c>
      <c r="Z1758">
        <f t="shared" si="604"/>
        <v>2.1561694805459601E-3</v>
      </c>
      <c r="AA1758">
        <f t="shared" si="605"/>
        <v>0.22933243586684807</v>
      </c>
      <c r="AB1758">
        <f t="shared" si="606"/>
        <v>7.5122350899708576E-2</v>
      </c>
      <c r="AC1758">
        <f t="shared" si="607"/>
        <v>9.0266254119572703E-2</v>
      </c>
      <c r="AD1758">
        <f t="shared" si="608"/>
        <v>4.1821250737667758E-3</v>
      </c>
      <c r="AE1758">
        <f t="shared" si="609"/>
        <v>1.6891619203595363E-2</v>
      </c>
      <c r="AG1758">
        <f t="shared" si="610"/>
        <v>1.3274893733939583</v>
      </c>
      <c r="AH1758">
        <f t="shared" si="611"/>
        <v>0.14311190566477278</v>
      </c>
      <c r="AI1758">
        <f t="shared" si="612"/>
        <v>-1.1548531995579785</v>
      </c>
      <c r="AK1758" s="26" t="e">
        <f t="shared" si="613"/>
        <v>#DIV/0!</v>
      </c>
      <c r="AL1758" s="26" t="e">
        <f t="shared" si="614"/>
        <v>#DIV/0!</v>
      </c>
      <c r="AM1758" s="26" t="e">
        <f t="shared" si="615"/>
        <v>#DIV/0!</v>
      </c>
      <c r="AN1758" s="26" t="e">
        <f t="shared" si="616"/>
        <v>#DIV/0!</v>
      </c>
      <c r="AO1758" s="26" t="e">
        <f t="shared" si="617"/>
        <v>#DIV/0!</v>
      </c>
      <c r="AP1758" s="26" t="e">
        <f t="shared" si="618"/>
        <v>#DIV/0!</v>
      </c>
      <c r="AS1758" s="2">
        <v>43722</v>
      </c>
      <c r="AT1758">
        <v>18</v>
      </c>
      <c r="AU1758">
        <v>243.9</v>
      </c>
      <c r="AV1758">
        <v>24.2</v>
      </c>
      <c r="AW1758">
        <v>0.1</v>
      </c>
      <c r="AX1758">
        <v>188.29</v>
      </c>
      <c r="AY1758">
        <v>0.1</v>
      </c>
      <c r="AZ1758">
        <v>3</v>
      </c>
      <c r="BA1758">
        <v>232.73580000000001</v>
      </c>
      <c r="BB1758">
        <v>65.438000000000002</v>
      </c>
      <c r="BC1758">
        <v>84.510199999999998</v>
      </c>
      <c r="BD1758">
        <v>4.6048999999999998</v>
      </c>
      <c r="BE1758">
        <v>17.988199999999999</v>
      </c>
      <c r="BH1758">
        <v>94.52</v>
      </c>
    </row>
    <row r="1759" spans="1:60" x14ac:dyDescent="0.25">
      <c r="A1759" s="2">
        <v>43742</v>
      </c>
      <c r="B1759">
        <v>14</v>
      </c>
      <c r="C1759">
        <v>83.4</v>
      </c>
      <c r="D1759">
        <v>29.6</v>
      </c>
      <c r="E1759">
        <v>0.7</v>
      </c>
      <c r="F1759">
        <v>50.31</v>
      </c>
      <c r="G1759">
        <v>0.1</v>
      </c>
      <c r="H1759">
        <v>2.4</v>
      </c>
      <c r="I1759">
        <v>254.12100000000001</v>
      </c>
      <c r="J1759">
        <v>115.10509999999999</v>
      </c>
      <c r="K1759">
        <v>137.87029999999999</v>
      </c>
      <c r="L1759">
        <v>4.4882999999999997</v>
      </c>
      <c r="M1759">
        <v>23.201499999999999</v>
      </c>
      <c r="N1759">
        <v>3.2894000000000001</v>
      </c>
      <c r="O1759">
        <v>2.2644000000000002</v>
      </c>
      <c r="P1759">
        <v>97.06</v>
      </c>
      <c r="S1759">
        <f t="shared" si="597"/>
        <v>715.29619999999989</v>
      </c>
      <c r="T1759">
        <f t="shared" si="598"/>
        <v>1.3124509881584107E-2</v>
      </c>
      <c r="U1759">
        <f t="shared" si="599"/>
        <v>7.8184580294579614E-2</v>
      </c>
      <c r="V1759">
        <f t="shared" si="600"/>
        <v>2.774896374963497E-2</v>
      </c>
      <c r="W1759">
        <f t="shared" si="601"/>
        <v>6.5622549407920526E-4</v>
      </c>
      <c r="X1759">
        <f t="shared" si="602"/>
        <v>4.7163863724464031E-2</v>
      </c>
      <c r="Y1759">
        <f t="shared" si="603"/>
        <v>9.3746499154172199E-5</v>
      </c>
      <c r="Z1759">
        <f t="shared" si="604"/>
        <v>2.2499159797001326E-3</v>
      </c>
      <c r="AA1759">
        <f t="shared" si="605"/>
        <v>0.23822954111557393</v>
      </c>
      <c r="AB1759">
        <f t="shared" si="606"/>
        <v>0.10790700159790904</v>
      </c>
      <c r="AC1759">
        <f t="shared" si="607"/>
        <v>0.12924857962335465</v>
      </c>
      <c r="AD1759">
        <f t="shared" si="608"/>
        <v>4.2076241215367105E-3</v>
      </c>
      <c r="AE1759">
        <f t="shared" si="609"/>
        <v>2.1750594001255261E-2</v>
      </c>
      <c r="AG1759">
        <f t="shared" si="610"/>
        <v>1.3319362384607623</v>
      </c>
      <c r="AH1759">
        <f t="shared" si="611"/>
        <v>0.19097239962445148</v>
      </c>
      <c r="AI1759">
        <f t="shared" si="612"/>
        <v>-0.89612542915431626</v>
      </c>
      <c r="AK1759" s="26" t="e">
        <f t="shared" si="613"/>
        <v>#DIV/0!</v>
      </c>
      <c r="AL1759" s="26" t="e">
        <f t="shared" si="614"/>
        <v>#DIV/0!</v>
      </c>
      <c r="AM1759" s="26" t="e">
        <f t="shared" si="615"/>
        <v>#DIV/0!</v>
      </c>
      <c r="AN1759" s="26" t="e">
        <f t="shared" si="616"/>
        <v>#DIV/0!</v>
      </c>
      <c r="AO1759" s="26" t="e">
        <f t="shared" si="617"/>
        <v>#DIV/0!</v>
      </c>
      <c r="AP1759" s="26" t="e">
        <f t="shared" si="618"/>
        <v>#DIV/0!</v>
      </c>
      <c r="AS1759" s="2">
        <v>43721</v>
      </c>
      <c r="AT1759">
        <v>18.7</v>
      </c>
      <c r="AU1759">
        <v>96.6</v>
      </c>
      <c r="AV1759">
        <v>58.3</v>
      </c>
      <c r="AW1759">
        <v>1.7</v>
      </c>
      <c r="AX1759">
        <v>134.03</v>
      </c>
      <c r="AY1759">
        <v>0.1</v>
      </c>
      <c r="AZ1759">
        <v>2.7</v>
      </c>
      <c r="BA1759">
        <v>257.87610000000001</v>
      </c>
      <c r="BB1759">
        <v>72.78</v>
      </c>
      <c r="BC1759">
        <v>113.88460000000001</v>
      </c>
      <c r="BD1759">
        <v>4.6060999999999996</v>
      </c>
      <c r="BE1759">
        <v>24.122</v>
      </c>
      <c r="BH1759">
        <v>94.29</v>
      </c>
    </row>
    <row r="1760" spans="1:60" x14ac:dyDescent="0.25">
      <c r="A1760" s="2">
        <v>43741</v>
      </c>
      <c r="B1760">
        <v>15.6</v>
      </c>
      <c r="C1760">
        <v>38.5</v>
      </c>
      <c r="D1760">
        <v>12.6</v>
      </c>
      <c r="E1760">
        <v>1.5</v>
      </c>
      <c r="F1760">
        <v>88.34</v>
      </c>
      <c r="H1760">
        <v>2.4</v>
      </c>
      <c r="I1760">
        <v>225.16659999999999</v>
      </c>
      <c r="J1760">
        <v>89.795699999999997</v>
      </c>
      <c r="K1760">
        <v>116.24590000000001</v>
      </c>
      <c r="L1760">
        <v>4.4823000000000004</v>
      </c>
      <c r="M1760">
        <v>25.703800000000001</v>
      </c>
      <c r="N1760">
        <v>2.3207</v>
      </c>
      <c r="O1760">
        <v>1.8147</v>
      </c>
      <c r="P1760">
        <v>97.05</v>
      </c>
      <c r="S1760">
        <f t="shared" si="597"/>
        <v>620.3343000000001</v>
      </c>
      <c r="T1760">
        <f t="shared" si="598"/>
        <v>1.4624453868050861E-2</v>
      </c>
      <c r="U1760">
        <f t="shared" si="599"/>
        <v>3.6092402174356296E-2</v>
      </c>
      <c r="V1760">
        <f t="shared" si="600"/>
        <v>1.1812058893425697E-2</v>
      </c>
      <c r="W1760">
        <f t="shared" si="601"/>
        <v>1.406197487312583E-3</v>
      </c>
      <c r="X1760">
        <f t="shared" si="602"/>
        <v>8.281565735279571E-2</v>
      </c>
      <c r="Y1760">
        <f t="shared" si="603"/>
        <v>0</v>
      </c>
      <c r="Z1760">
        <f t="shared" si="604"/>
        <v>2.2499159797001326E-3</v>
      </c>
      <c r="AA1760">
        <f t="shared" si="605"/>
        <v>0.21108580476447827</v>
      </c>
      <c r="AB1760">
        <f t="shared" si="606"/>
        <v>8.4180325140982989E-2</v>
      </c>
      <c r="AC1760">
        <f t="shared" si="607"/>
        <v>0.10897646166025986</v>
      </c>
      <c r="AD1760">
        <f t="shared" si="608"/>
        <v>4.2019993315874603E-3</v>
      </c>
      <c r="AE1760">
        <f t="shared" si="609"/>
        <v>2.4096412649590112E-2</v>
      </c>
      <c r="AG1760">
        <f t="shared" si="610"/>
        <v>1.3506979742567222</v>
      </c>
      <c r="AH1760">
        <f t="shared" si="611"/>
        <v>0.17309709840523141</v>
      </c>
      <c r="AI1760">
        <f t="shared" si="612"/>
        <v>-1.0108625166702632</v>
      </c>
      <c r="AK1760" s="26" t="e">
        <f t="shared" si="613"/>
        <v>#DIV/0!</v>
      </c>
      <c r="AL1760" s="26" t="e">
        <f t="shared" si="614"/>
        <v>#DIV/0!</v>
      </c>
      <c r="AM1760" s="26" t="e">
        <f t="shared" si="615"/>
        <v>#DIV/0!</v>
      </c>
      <c r="AN1760" s="26" t="e">
        <f t="shared" si="616"/>
        <v>#DIV/0!</v>
      </c>
      <c r="AO1760" s="26" t="e">
        <f t="shared" si="617"/>
        <v>#DIV/0!</v>
      </c>
      <c r="AP1760" s="26" t="e">
        <f t="shared" si="618"/>
        <v>#DIV/0!</v>
      </c>
      <c r="AS1760" s="2">
        <v>43720</v>
      </c>
      <c r="AT1760">
        <v>18.100000000000001</v>
      </c>
      <c r="AU1760">
        <v>213.4</v>
      </c>
      <c r="AV1760">
        <v>50.8</v>
      </c>
      <c r="AW1760">
        <v>0.6</v>
      </c>
      <c r="AX1760">
        <v>139.38</v>
      </c>
      <c r="AY1760">
        <v>0.1</v>
      </c>
      <c r="AZ1760">
        <v>2.1</v>
      </c>
      <c r="BA1760">
        <v>278.56319999999999</v>
      </c>
      <c r="BB1760">
        <v>76.974699999999999</v>
      </c>
      <c r="BC1760">
        <v>114.157</v>
      </c>
      <c r="BD1760">
        <v>4.6208</v>
      </c>
      <c r="BE1760">
        <v>27.1524</v>
      </c>
      <c r="BH1760">
        <v>94.13</v>
      </c>
    </row>
    <row r="1761" spans="1:60" x14ac:dyDescent="0.25">
      <c r="A1761" s="2">
        <v>43740</v>
      </c>
      <c r="B1761">
        <v>12.7</v>
      </c>
      <c r="C1761">
        <v>0</v>
      </c>
      <c r="D1761">
        <v>63.7</v>
      </c>
      <c r="E1761">
        <v>1.3</v>
      </c>
      <c r="F1761">
        <v>84.46</v>
      </c>
      <c r="G1761">
        <v>0.1</v>
      </c>
      <c r="H1761">
        <v>2.6</v>
      </c>
      <c r="I1761">
        <v>216.68780000000001</v>
      </c>
      <c r="J1761">
        <v>98.799099999999996</v>
      </c>
      <c r="K1761">
        <v>136.78620000000001</v>
      </c>
      <c r="L1761">
        <v>4.5589000000000004</v>
      </c>
      <c r="M1761">
        <v>25.960599999999999</v>
      </c>
      <c r="N1761">
        <v>2.5101</v>
      </c>
      <c r="O1761">
        <v>1.2636000000000001</v>
      </c>
      <c r="P1761">
        <v>97.04</v>
      </c>
      <c r="S1761">
        <f t="shared" si="597"/>
        <v>647.65260000000001</v>
      </c>
      <c r="T1761">
        <f t="shared" si="598"/>
        <v>1.1905805392579868E-2</v>
      </c>
      <c r="U1761">
        <f t="shared" si="599"/>
        <v>0</v>
      </c>
      <c r="V1761">
        <f t="shared" si="600"/>
        <v>5.9716519961207686E-2</v>
      </c>
      <c r="W1761">
        <f t="shared" si="601"/>
        <v>1.2187044890042385E-3</v>
      </c>
      <c r="X1761">
        <f t="shared" si="602"/>
        <v>7.9178293185613827E-2</v>
      </c>
      <c r="Y1761">
        <f t="shared" si="603"/>
        <v>9.3746499154172199E-5</v>
      </c>
      <c r="Z1761">
        <f t="shared" si="604"/>
        <v>2.437408978008477E-3</v>
      </c>
      <c r="AA1761">
        <f t="shared" si="605"/>
        <v>0.20313722659419434</v>
      </c>
      <c r="AB1761">
        <f t="shared" si="606"/>
        <v>9.2620697445829736E-2</v>
      </c>
      <c r="AC1761">
        <f t="shared" si="607"/>
        <v>0.12823227382602428</v>
      </c>
      <c r="AD1761">
        <f t="shared" si="608"/>
        <v>4.2738091499395564E-3</v>
      </c>
      <c r="AE1761">
        <f t="shared" si="609"/>
        <v>2.4337153659418024E-2</v>
      </c>
      <c r="AG1761">
        <f t="shared" si="610"/>
        <v>1.3703497319920093</v>
      </c>
      <c r="AH1761">
        <f t="shared" si="611"/>
        <v>0.17888763216498629</v>
      </c>
      <c r="AI1761">
        <f t="shared" si="612"/>
        <v>-0.99183623051166325</v>
      </c>
      <c r="AK1761" s="26" t="e">
        <f t="shared" si="613"/>
        <v>#DIV/0!</v>
      </c>
      <c r="AL1761" s="26" t="e">
        <f t="shared" si="614"/>
        <v>#DIV/0!</v>
      </c>
      <c r="AM1761" s="26" t="e">
        <f t="shared" si="615"/>
        <v>#DIV/0!</v>
      </c>
      <c r="AN1761" s="26" t="e">
        <f t="shared" si="616"/>
        <v>#DIV/0!</v>
      </c>
      <c r="AO1761" s="26" t="e">
        <f t="shared" si="617"/>
        <v>#DIV/0!</v>
      </c>
      <c r="AP1761" s="26" t="e">
        <f t="shared" si="618"/>
        <v>#DIV/0!</v>
      </c>
      <c r="AS1761" s="2">
        <v>43719</v>
      </c>
      <c r="AT1761">
        <v>19.8</v>
      </c>
      <c r="AU1761">
        <v>30.2</v>
      </c>
      <c r="AV1761">
        <v>62.8</v>
      </c>
      <c r="AW1761">
        <v>1.4</v>
      </c>
      <c r="AX1761">
        <v>172.09</v>
      </c>
      <c r="AY1761">
        <v>0.1</v>
      </c>
      <c r="AZ1761">
        <v>1.5</v>
      </c>
      <c r="BA1761">
        <v>270.22179999999997</v>
      </c>
      <c r="BB1761">
        <v>73.008099999999999</v>
      </c>
      <c r="BC1761">
        <v>84.519900000000007</v>
      </c>
      <c r="BD1761">
        <v>4.6384999999999996</v>
      </c>
      <c r="BE1761">
        <v>21.606100000000001</v>
      </c>
      <c r="BH1761">
        <v>93.95</v>
      </c>
    </row>
    <row r="1762" spans="1:60" x14ac:dyDescent="0.25">
      <c r="A1762" s="2">
        <v>43739</v>
      </c>
      <c r="B1762">
        <v>11.8</v>
      </c>
      <c r="C1762">
        <v>222.7</v>
      </c>
      <c r="D1762">
        <v>21.5</v>
      </c>
      <c r="E1762">
        <v>1.8</v>
      </c>
      <c r="F1762">
        <v>84.45</v>
      </c>
      <c r="G1762">
        <v>0.1</v>
      </c>
      <c r="H1762">
        <v>2.5</v>
      </c>
      <c r="I1762">
        <v>204.9682</v>
      </c>
      <c r="J1762">
        <v>86.605699999999999</v>
      </c>
      <c r="K1762">
        <v>136.2724</v>
      </c>
      <c r="L1762">
        <v>4.4629000000000003</v>
      </c>
      <c r="M1762">
        <v>27.731200000000001</v>
      </c>
      <c r="N1762">
        <v>1.1545000000000001</v>
      </c>
      <c r="O1762">
        <v>0.71109999999999995</v>
      </c>
      <c r="P1762">
        <v>96.92</v>
      </c>
      <c r="S1762">
        <f t="shared" si="597"/>
        <v>804.8904</v>
      </c>
      <c r="T1762">
        <f t="shared" si="598"/>
        <v>1.1062086900192319E-2</v>
      </c>
      <c r="U1762">
        <f t="shared" si="599"/>
        <v>0.20877345361634145</v>
      </c>
      <c r="V1762">
        <f t="shared" si="600"/>
        <v>2.0155497318147021E-2</v>
      </c>
      <c r="W1762">
        <f t="shared" si="601"/>
        <v>1.6874369847750994E-3</v>
      </c>
      <c r="X1762">
        <f t="shared" si="602"/>
        <v>7.9168918535698421E-2</v>
      </c>
      <c r="Y1762">
        <f t="shared" si="603"/>
        <v>9.3746499154172199E-5</v>
      </c>
      <c r="Z1762">
        <f t="shared" si="604"/>
        <v>2.3436624788543046E-3</v>
      </c>
      <c r="AA1762">
        <f t="shared" si="605"/>
        <v>0.19215051187932197</v>
      </c>
      <c r="AB1762">
        <f t="shared" si="606"/>
        <v>8.1189811817964905E-2</v>
      </c>
      <c r="AC1762">
        <f t="shared" si="607"/>
        <v>0.12775060431337015</v>
      </c>
      <c r="AD1762">
        <f t="shared" si="608"/>
        <v>4.1838125107515507E-3</v>
      </c>
      <c r="AE1762">
        <f t="shared" si="609"/>
        <v>2.59970291734418E-2</v>
      </c>
      <c r="AG1762">
        <f t="shared" si="610"/>
        <v>1.3754009183284113</v>
      </c>
      <c r="AH1762">
        <f t="shared" si="611"/>
        <v>0.34928183150660463</v>
      </c>
      <c r="AI1762">
        <f t="shared" si="612"/>
        <v>-1.9363208390317556E-2</v>
      </c>
      <c r="AK1762" s="26" t="e">
        <f t="shared" si="613"/>
        <v>#DIV/0!</v>
      </c>
      <c r="AL1762" s="26" t="e">
        <f t="shared" si="614"/>
        <v>#DIV/0!</v>
      </c>
      <c r="AM1762" s="26" t="e">
        <f t="shared" si="615"/>
        <v>#DIV/0!</v>
      </c>
      <c r="AN1762" s="26" t="e">
        <f t="shared" si="616"/>
        <v>#DIV/0!</v>
      </c>
      <c r="AO1762" s="26" t="e">
        <f t="shared" si="617"/>
        <v>#DIV/0!</v>
      </c>
      <c r="AP1762" s="26" t="e">
        <f t="shared" si="618"/>
        <v>#DIV/0!</v>
      </c>
      <c r="AS1762" s="2">
        <v>43718</v>
      </c>
      <c r="AT1762">
        <v>21.4</v>
      </c>
      <c r="AU1762">
        <v>102.4</v>
      </c>
      <c r="AV1762">
        <v>36.200000000000003</v>
      </c>
      <c r="AW1762">
        <v>2.6</v>
      </c>
      <c r="AX1762">
        <v>175.1</v>
      </c>
      <c r="AY1762">
        <v>0.5</v>
      </c>
      <c r="AZ1762">
        <v>1.6</v>
      </c>
      <c r="BA1762">
        <v>285.1909</v>
      </c>
      <c r="BB1762">
        <v>69.152699999999996</v>
      </c>
      <c r="BC1762">
        <v>94.355999999999995</v>
      </c>
      <c r="BD1762">
        <v>4.5514999999999999</v>
      </c>
      <c r="BE1762">
        <v>21.896000000000001</v>
      </c>
      <c r="BH1762">
        <v>93.8</v>
      </c>
    </row>
    <row r="1763" spans="1:60" x14ac:dyDescent="0.25">
      <c r="A1763" s="2">
        <v>43738</v>
      </c>
      <c r="B1763">
        <v>11.8</v>
      </c>
      <c r="C1763">
        <v>39.5</v>
      </c>
      <c r="D1763">
        <v>63.6</v>
      </c>
      <c r="E1763">
        <v>5</v>
      </c>
      <c r="F1763">
        <v>99.54</v>
      </c>
      <c r="G1763">
        <v>0.1</v>
      </c>
      <c r="H1763">
        <v>2.4</v>
      </c>
      <c r="I1763">
        <v>141.45609999999999</v>
      </c>
      <c r="J1763">
        <v>40.888399999999997</v>
      </c>
      <c r="K1763">
        <v>57.070799999999998</v>
      </c>
      <c r="L1763">
        <v>4.4400000000000004</v>
      </c>
      <c r="M1763">
        <v>25.5198</v>
      </c>
      <c r="N1763">
        <v>7.5829000000000004</v>
      </c>
      <c r="O1763">
        <v>-3.8730000000000002</v>
      </c>
      <c r="P1763">
        <v>96.68</v>
      </c>
      <c r="S1763">
        <f t="shared" si="597"/>
        <v>491.31509999999997</v>
      </c>
      <c r="T1763">
        <f t="shared" si="598"/>
        <v>1.1062086900192319E-2</v>
      </c>
      <c r="U1763">
        <f t="shared" si="599"/>
        <v>3.7029867165898019E-2</v>
      </c>
      <c r="V1763">
        <f t="shared" si="600"/>
        <v>5.9622773462053517E-2</v>
      </c>
      <c r="W1763">
        <f t="shared" si="601"/>
        <v>4.6873249577086091E-3</v>
      </c>
      <c r="X1763">
        <f t="shared" si="602"/>
        <v>9.331526525806301E-2</v>
      </c>
      <c r="Y1763">
        <f t="shared" si="603"/>
        <v>9.3746499154172199E-5</v>
      </c>
      <c r="Z1763">
        <f t="shared" si="604"/>
        <v>2.2499159797001326E-3</v>
      </c>
      <c r="AA1763">
        <f t="shared" si="605"/>
        <v>0.13261014159002496</v>
      </c>
      <c r="AB1763">
        <f t="shared" si="606"/>
        <v>3.8331443560154541E-2</v>
      </c>
      <c r="AC1763">
        <f t="shared" si="607"/>
        <v>5.3501877039279298E-2</v>
      </c>
      <c r="AD1763">
        <f t="shared" si="608"/>
        <v>4.1623445624452459E-3</v>
      </c>
      <c r="AE1763">
        <f t="shared" si="609"/>
        <v>2.3923919091146436E-2</v>
      </c>
      <c r="AG1763">
        <f t="shared" si="610"/>
        <v>1.363743628623882</v>
      </c>
      <c r="AH1763">
        <f t="shared" si="611"/>
        <v>0.23198489931391622</v>
      </c>
      <c r="AI1763">
        <f t="shared" si="612"/>
        <v>-0.69374258406184586</v>
      </c>
      <c r="AK1763" s="26" t="e">
        <f t="shared" si="613"/>
        <v>#DIV/0!</v>
      </c>
      <c r="AL1763" s="26" t="e">
        <f t="shared" si="614"/>
        <v>#DIV/0!</v>
      </c>
      <c r="AM1763" s="26" t="e">
        <f t="shared" si="615"/>
        <v>#DIV/0!</v>
      </c>
      <c r="AN1763" s="26" t="e">
        <f t="shared" si="616"/>
        <v>#DIV/0!</v>
      </c>
      <c r="AO1763" s="26" t="e">
        <f t="shared" si="617"/>
        <v>#DIV/0!</v>
      </c>
      <c r="AP1763" s="26" t="e">
        <f t="shared" si="618"/>
        <v>#DIV/0!</v>
      </c>
      <c r="AS1763" s="2">
        <v>43717</v>
      </c>
      <c r="AT1763">
        <v>21.6</v>
      </c>
      <c r="AU1763">
        <v>244</v>
      </c>
      <c r="AV1763">
        <v>5</v>
      </c>
      <c r="AW1763">
        <v>0.8</v>
      </c>
      <c r="AX1763">
        <v>74.239999999999995</v>
      </c>
      <c r="AY1763">
        <v>0.5</v>
      </c>
      <c r="AZ1763">
        <v>1.7</v>
      </c>
      <c r="BA1763">
        <v>301.47359999999998</v>
      </c>
      <c r="BB1763">
        <v>139.92490000000001</v>
      </c>
      <c r="BC1763">
        <v>113.0017</v>
      </c>
      <c r="BD1763">
        <v>4.6346999999999996</v>
      </c>
      <c r="BE1763">
        <v>25.393899999999999</v>
      </c>
      <c r="BH1763">
        <v>93.67</v>
      </c>
    </row>
    <row r="1764" spans="1:60" x14ac:dyDescent="0.25">
      <c r="A1764" s="2">
        <v>43737</v>
      </c>
      <c r="B1764">
        <v>12.7</v>
      </c>
      <c r="C1764">
        <v>35.200000000000003</v>
      </c>
      <c r="D1764">
        <v>61.3</v>
      </c>
      <c r="E1764">
        <v>2.9</v>
      </c>
      <c r="F1764">
        <v>100.16</v>
      </c>
      <c r="G1764">
        <v>0.1</v>
      </c>
      <c r="H1764">
        <v>1.8</v>
      </c>
      <c r="I1764">
        <v>101.0819</v>
      </c>
      <c r="J1764">
        <v>22.242999999999999</v>
      </c>
      <c r="K1764">
        <v>21.957999999999998</v>
      </c>
      <c r="L1764">
        <v>4.4400000000000004</v>
      </c>
      <c r="M1764">
        <v>17.667999999999999</v>
      </c>
      <c r="P1764">
        <v>96.69</v>
      </c>
      <c r="S1764">
        <f t="shared" si="597"/>
        <v>381.55090000000001</v>
      </c>
      <c r="T1764">
        <f t="shared" si="598"/>
        <v>1.1905805392579868E-2</v>
      </c>
      <c r="U1764">
        <f t="shared" si="599"/>
        <v>3.2998767702268617E-2</v>
      </c>
      <c r="V1764">
        <f t="shared" si="600"/>
        <v>5.7466603981507554E-2</v>
      </c>
      <c r="W1764">
        <f t="shared" si="601"/>
        <v>2.7186484754709935E-3</v>
      </c>
      <c r="X1764">
        <f t="shared" si="602"/>
        <v>9.3896493552818858E-2</v>
      </c>
      <c r="Y1764">
        <f t="shared" si="603"/>
        <v>9.3746499154172199E-5</v>
      </c>
      <c r="Z1764">
        <f t="shared" si="604"/>
        <v>1.6874369847750994E-3</v>
      </c>
      <c r="AA1764">
        <f t="shared" si="605"/>
        <v>9.476074252852118E-2</v>
      </c>
      <c r="AB1764">
        <f t="shared" si="606"/>
        <v>2.085203380686252E-2</v>
      </c>
      <c r="AC1764">
        <f t="shared" si="607"/>
        <v>2.0584856284273128E-2</v>
      </c>
      <c r="AD1764">
        <f t="shared" si="608"/>
        <v>4.1623445624452459E-3</v>
      </c>
      <c r="AE1764">
        <f t="shared" si="609"/>
        <v>1.6563131470559142E-2</v>
      </c>
      <c r="AG1764">
        <f t="shared" si="610"/>
        <v>1.3874486730648905</v>
      </c>
      <c r="AH1764">
        <f t="shared" si="611"/>
        <v>0.21733063405913433</v>
      </c>
      <c r="AI1764">
        <f t="shared" si="612"/>
        <v>-0.78518741689871574</v>
      </c>
      <c r="AK1764" s="26" t="e">
        <f t="shared" si="613"/>
        <v>#DIV/0!</v>
      </c>
      <c r="AL1764" s="26" t="e">
        <f t="shared" si="614"/>
        <v>#DIV/0!</v>
      </c>
      <c r="AM1764" s="26" t="e">
        <f t="shared" si="615"/>
        <v>#DIV/0!</v>
      </c>
      <c r="AN1764" s="26" t="e">
        <f t="shared" si="616"/>
        <v>#DIV/0!</v>
      </c>
      <c r="AO1764" s="26" t="e">
        <f t="shared" si="617"/>
        <v>#DIV/0!</v>
      </c>
      <c r="AP1764" s="26" t="e">
        <f t="shared" si="618"/>
        <v>#DIV/0!</v>
      </c>
      <c r="AS1764" s="2">
        <v>43716</v>
      </c>
      <c r="AT1764">
        <v>19.3</v>
      </c>
      <c r="AU1764">
        <v>120.4</v>
      </c>
      <c r="AV1764">
        <v>8.5</v>
      </c>
      <c r="AW1764">
        <v>0.1</v>
      </c>
      <c r="AX1764">
        <v>95.79</v>
      </c>
      <c r="AY1764">
        <v>0.5</v>
      </c>
      <c r="AZ1764">
        <v>1.7</v>
      </c>
      <c r="BA1764">
        <v>260.85019999999997</v>
      </c>
      <c r="BB1764">
        <v>60.957999999999998</v>
      </c>
      <c r="BC1764">
        <v>79.615799999999993</v>
      </c>
      <c r="BD1764">
        <v>4.6524999999999999</v>
      </c>
      <c r="BE1764">
        <v>18.6831</v>
      </c>
      <c r="BH1764">
        <v>93.55</v>
      </c>
    </row>
    <row r="1765" spans="1:60" x14ac:dyDescent="0.25">
      <c r="A1765" s="2">
        <v>43736</v>
      </c>
      <c r="B1765">
        <v>13.6</v>
      </c>
      <c r="C1765">
        <v>11.3</v>
      </c>
      <c r="D1765">
        <v>69.3</v>
      </c>
      <c r="E1765">
        <v>2.2999999999999998</v>
      </c>
      <c r="F1765">
        <v>105.73</v>
      </c>
      <c r="G1765">
        <v>0.1</v>
      </c>
      <c r="H1765">
        <v>2.5</v>
      </c>
      <c r="I1765">
        <v>127.0586</v>
      </c>
      <c r="J1765">
        <v>24.103400000000001</v>
      </c>
      <c r="K1765">
        <v>29.535</v>
      </c>
      <c r="L1765">
        <v>4.4249999999999998</v>
      </c>
      <c r="M1765">
        <v>21.782800000000002</v>
      </c>
      <c r="P1765">
        <v>96.47</v>
      </c>
      <c r="S1765">
        <f t="shared" si="597"/>
        <v>411.73480000000006</v>
      </c>
      <c r="T1765">
        <f t="shared" si="598"/>
        <v>1.2749523884967418E-2</v>
      </c>
      <c r="U1765">
        <f t="shared" si="599"/>
        <v>1.0593354404421457E-2</v>
      </c>
      <c r="V1765">
        <f t="shared" si="600"/>
        <v>6.4966323913841328E-2</v>
      </c>
      <c r="W1765">
        <f t="shared" si="601"/>
        <v>2.1561694805459601E-3</v>
      </c>
      <c r="X1765">
        <f t="shared" si="602"/>
        <v>9.9118173555706263E-2</v>
      </c>
      <c r="Y1765">
        <f t="shared" si="603"/>
        <v>9.3746499154172199E-5</v>
      </c>
      <c r="Z1765">
        <f t="shared" si="604"/>
        <v>2.3436624788543046E-3</v>
      </c>
      <c r="AA1765">
        <f t="shared" si="605"/>
        <v>0.11911298937430302</v>
      </c>
      <c r="AB1765">
        <f t="shared" si="606"/>
        <v>2.2596093677126741E-2</v>
      </c>
      <c r="AC1765">
        <f t="shared" si="607"/>
        <v>2.7688028525184757E-2</v>
      </c>
      <c r="AD1765">
        <f t="shared" si="608"/>
        <v>4.1482825875721191E-3</v>
      </c>
      <c r="AE1765">
        <f t="shared" si="609"/>
        <v>2.0420612417755023E-2</v>
      </c>
      <c r="AG1765">
        <f t="shared" si="610"/>
        <v>1.3793018142812778</v>
      </c>
      <c r="AH1765">
        <f t="shared" si="611"/>
        <v>0.21244156663524594</v>
      </c>
      <c r="AI1765">
        <f t="shared" si="612"/>
        <v>-0.82257401399288421</v>
      </c>
      <c r="AK1765" s="26" t="e">
        <f t="shared" si="613"/>
        <v>#DIV/0!</v>
      </c>
      <c r="AL1765" s="26" t="e">
        <f t="shared" si="614"/>
        <v>#DIV/0!</v>
      </c>
      <c r="AM1765" s="26" t="e">
        <f t="shared" si="615"/>
        <v>#DIV/0!</v>
      </c>
      <c r="AN1765" s="26" t="e">
        <f t="shared" si="616"/>
        <v>#DIV/0!</v>
      </c>
      <c r="AO1765" s="26" t="e">
        <f t="shared" si="617"/>
        <v>#DIV/0!</v>
      </c>
      <c r="AP1765" s="26" t="e">
        <f t="shared" si="618"/>
        <v>#DIV/0!</v>
      </c>
      <c r="AS1765" s="2">
        <v>43715</v>
      </c>
      <c r="AT1765">
        <v>18.7</v>
      </c>
      <c r="AU1765">
        <v>104.1</v>
      </c>
      <c r="AV1765">
        <v>17.8</v>
      </c>
      <c r="AW1765">
        <v>0.5</v>
      </c>
      <c r="AX1765">
        <v>95.4</v>
      </c>
      <c r="AY1765">
        <v>0.5</v>
      </c>
      <c r="AZ1765">
        <v>1.6</v>
      </c>
      <c r="BA1765">
        <v>245.09809999999999</v>
      </c>
      <c r="BB1765">
        <v>47.912199999999999</v>
      </c>
      <c r="BC1765">
        <v>81.019099999999995</v>
      </c>
      <c r="BD1765">
        <v>4.6327999999999996</v>
      </c>
      <c r="BE1765">
        <v>16.115300000000001</v>
      </c>
      <c r="BH1765">
        <v>93.4</v>
      </c>
    </row>
    <row r="1766" spans="1:60" x14ac:dyDescent="0.25">
      <c r="A1766" s="2">
        <v>43735</v>
      </c>
      <c r="B1766">
        <v>14.6</v>
      </c>
      <c r="C1766">
        <v>95.1</v>
      </c>
      <c r="D1766">
        <v>48.4</v>
      </c>
      <c r="E1766">
        <v>1</v>
      </c>
      <c r="F1766">
        <v>76.64</v>
      </c>
      <c r="G1766">
        <v>0.2</v>
      </c>
      <c r="H1766">
        <v>3</v>
      </c>
      <c r="I1766">
        <v>290.7878</v>
      </c>
      <c r="J1766">
        <v>82.197900000000004</v>
      </c>
      <c r="K1766">
        <v>135.38810000000001</v>
      </c>
      <c r="L1766">
        <v>4.5444000000000004</v>
      </c>
      <c r="M1766">
        <v>24.836400000000001</v>
      </c>
      <c r="N1766">
        <v>4.3650000000000002</v>
      </c>
      <c r="O1766">
        <v>-5.7149999999999999</v>
      </c>
      <c r="P1766">
        <v>96.26</v>
      </c>
      <c r="S1766">
        <f t="shared" si="597"/>
        <v>776.69460000000004</v>
      </c>
      <c r="T1766">
        <f t="shared" si="598"/>
        <v>1.368698887650914E-2</v>
      </c>
      <c r="U1766">
        <f t="shared" si="599"/>
        <v>8.9152920695617754E-2</v>
      </c>
      <c r="V1766">
        <f t="shared" si="600"/>
        <v>4.5373305590619341E-2</v>
      </c>
      <c r="W1766">
        <f t="shared" si="601"/>
        <v>9.3746499154172193E-4</v>
      </c>
      <c r="X1766">
        <f t="shared" si="602"/>
        <v>7.184731695175757E-2</v>
      </c>
      <c r="Y1766">
        <f t="shared" si="603"/>
        <v>1.874929983083444E-4</v>
      </c>
      <c r="Z1766">
        <f t="shared" si="604"/>
        <v>2.8123949746251659E-3</v>
      </c>
      <c r="AA1766">
        <f t="shared" si="605"/>
        <v>0.27260338246743593</v>
      </c>
      <c r="AB1766">
        <f t="shared" si="606"/>
        <v>7.7057653628247305E-2</v>
      </c>
      <c r="AC1766">
        <f t="shared" si="607"/>
        <v>0.1269216040213498</v>
      </c>
      <c r="AD1766">
        <f t="shared" si="608"/>
        <v>4.2602159075622011E-3</v>
      </c>
      <c r="AE1766">
        <f t="shared" si="609"/>
        <v>2.3283255515926825E-2</v>
      </c>
      <c r="AG1766">
        <f t="shared" si="610"/>
        <v>1.3723755912247677</v>
      </c>
      <c r="AH1766">
        <f t="shared" si="611"/>
        <v>0.24728114059490583</v>
      </c>
      <c r="AI1766">
        <f t="shared" si="612"/>
        <v>-0.63457078913118148</v>
      </c>
      <c r="AK1766" s="26" t="e">
        <f t="shared" si="613"/>
        <v>#DIV/0!</v>
      </c>
      <c r="AL1766" s="26" t="e">
        <f t="shared" si="614"/>
        <v>#DIV/0!</v>
      </c>
      <c r="AM1766" s="26" t="e">
        <f t="shared" si="615"/>
        <v>#DIV/0!</v>
      </c>
      <c r="AN1766" s="26" t="e">
        <f t="shared" si="616"/>
        <v>#DIV/0!</v>
      </c>
      <c r="AO1766" s="26" t="e">
        <f t="shared" si="617"/>
        <v>#DIV/0!</v>
      </c>
      <c r="AP1766" s="26" t="e">
        <f t="shared" si="618"/>
        <v>#DIV/0!</v>
      </c>
      <c r="AS1766" s="2">
        <v>43714</v>
      </c>
      <c r="AT1766">
        <v>19</v>
      </c>
      <c r="AU1766">
        <v>267.60000000000002</v>
      </c>
      <c r="AV1766">
        <v>58.8</v>
      </c>
      <c r="AW1766">
        <v>1.3</v>
      </c>
      <c r="AX1766">
        <v>157.28</v>
      </c>
      <c r="AY1766">
        <v>0.5</v>
      </c>
      <c r="AZ1766">
        <v>1.9</v>
      </c>
      <c r="BA1766">
        <v>229.5127</v>
      </c>
      <c r="BB1766">
        <v>52.106499999999997</v>
      </c>
      <c r="BC1766">
        <v>112.00920000000001</v>
      </c>
      <c r="BD1766">
        <v>4.5848000000000004</v>
      </c>
      <c r="BE1766">
        <v>26.049700000000001</v>
      </c>
      <c r="BH1766">
        <v>93.27</v>
      </c>
    </row>
    <row r="1767" spans="1:60" x14ac:dyDescent="0.25">
      <c r="A1767" s="2">
        <v>43734</v>
      </c>
      <c r="B1767">
        <v>15.4</v>
      </c>
      <c r="C1767">
        <v>113</v>
      </c>
      <c r="D1767">
        <v>44.1</v>
      </c>
      <c r="E1767">
        <v>0.6</v>
      </c>
      <c r="F1767">
        <v>71.680000000000007</v>
      </c>
      <c r="G1767">
        <v>0.2</v>
      </c>
      <c r="H1767">
        <v>2.9</v>
      </c>
      <c r="I1767">
        <v>339.7183</v>
      </c>
      <c r="J1767">
        <v>121.425</v>
      </c>
      <c r="K1767">
        <v>144.9435</v>
      </c>
      <c r="L1767">
        <v>4.5606</v>
      </c>
      <c r="M1767">
        <v>24.535499999999999</v>
      </c>
      <c r="N1767">
        <v>4.4809000000000001</v>
      </c>
      <c r="O1767">
        <v>-5.3128000000000002</v>
      </c>
      <c r="P1767">
        <v>96.12</v>
      </c>
      <c r="S1767">
        <f t="shared" si="597"/>
        <v>883.0628999999999</v>
      </c>
      <c r="T1767">
        <f t="shared" si="598"/>
        <v>1.4436960869742518E-2</v>
      </c>
      <c r="U1767">
        <f t="shared" si="599"/>
        <v>0.10593354404421458</v>
      </c>
      <c r="V1767">
        <f t="shared" si="600"/>
        <v>4.1342206126989939E-2</v>
      </c>
      <c r="W1767">
        <f t="shared" si="601"/>
        <v>5.6247899492503314E-4</v>
      </c>
      <c r="X1767">
        <f t="shared" si="602"/>
        <v>6.7197490593710635E-2</v>
      </c>
      <c r="Y1767">
        <f t="shared" si="603"/>
        <v>1.874929983083444E-4</v>
      </c>
      <c r="Z1767">
        <f t="shared" si="604"/>
        <v>2.7186484754709935E-3</v>
      </c>
      <c r="AA1767">
        <f t="shared" si="605"/>
        <v>0.31847401323606817</v>
      </c>
      <c r="AB1767">
        <f t="shared" si="606"/>
        <v>0.11383168659795358</v>
      </c>
      <c r="AC1767">
        <f t="shared" si="607"/>
        <v>0.13587945700152756</v>
      </c>
      <c r="AD1767">
        <f t="shared" si="608"/>
        <v>4.2754028404251767E-3</v>
      </c>
      <c r="AE1767">
        <f t="shared" si="609"/>
        <v>2.3001172299971916E-2</v>
      </c>
      <c r="AG1767">
        <f t="shared" si="610"/>
        <v>1.3754519112997059</v>
      </c>
      <c r="AH1767">
        <f t="shared" si="611"/>
        <v>0.25537999440333392</v>
      </c>
      <c r="AI1767">
        <f t="shared" si="612"/>
        <v>-0.59545499019454451</v>
      </c>
      <c r="AK1767" s="26" t="e">
        <f t="shared" si="613"/>
        <v>#DIV/0!</v>
      </c>
      <c r="AL1767" s="26" t="e">
        <f t="shared" si="614"/>
        <v>#DIV/0!</v>
      </c>
      <c r="AM1767" s="26" t="e">
        <f t="shared" si="615"/>
        <v>#DIV/0!</v>
      </c>
      <c r="AN1767" s="26" t="e">
        <f t="shared" si="616"/>
        <v>#DIV/0!</v>
      </c>
      <c r="AO1767" s="26" t="e">
        <f t="shared" si="617"/>
        <v>#DIV/0!</v>
      </c>
      <c r="AP1767" s="26" t="e">
        <f t="shared" si="618"/>
        <v>#DIV/0!</v>
      </c>
      <c r="AS1767" s="2">
        <v>43713</v>
      </c>
      <c r="AT1767">
        <v>18.399999999999999</v>
      </c>
      <c r="AU1767">
        <v>20.6</v>
      </c>
      <c r="AV1767">
        <v>55.9</v>
      </c>
      <c r="AW1767">
        <v>2.2000000000000002</v>
      </c>
      <c r="AX1767">
        <v>127.02</v>
      </c>
      <c r="AY1767">
        <v>0.1</v>
      </c>
      <c r="AZ1767">
        <v>2.7</v>
      </c>
      <c r="BA1767">
        <v>227.38460000000001</v>
      </c>
      <c r="BB1767">
        <v>58.2821</v>
      </c>
      <c r="BC1767">
        <v>103.2672</v>
      </c>
      <c r="BD1767">
        <v>4.6273999999999997</v>
      </c>
      <c r="BE1767">
        <v>16.393699999999999</v>
      </c>
      <c r="BH1767">
        <v>93.14</v>
      </c>
    </row>
    <row r="1768" spans="1:60" x14ac:dyDescent="0.25">
      <c r="A1768" s="2">
        <v>43733</v>
      </c>
      <c r="B1768">
        <v>15.4</v>
      </c>
      <c r="C1768">
        <v>121.7</v>
      </c>
      <c r="D1768">
        <v>15.1</v>
      </c>
      <c r="E1768">
        <v>0.2</v>
      </c>
      <c r="F1768">
        <v>82</v>
      </c>
      <c r="G1768">
        <v>0.2</v>
      </c>
      <c r="H1768">
        <v>3.1</v>
      </c>
      <c r="I1768">
        <v>327.93439999999998</v>
      </c>
      <c r="J1768">
        <v>164.85810000000001</v>
      </c>
      <c r="K1768">
        <v>151.4341</v>
      </c>
      <c r="L1768">
        <v>5.8434999999999997</v>
      </c>
      <c r="M1768">
        <v>28.134799999999998</v>
      </c>
      <c r="N1768">
        <v>4.3699000000000003</v>
      </c>
      <c r="O1768">
        <v>-4.9669999999999996</v>
      </c>
      <c r="P1768">
        <v>96.01</v>
      </c>
      <c r="S1768">
        <f t="shared" si="597"/>
        <v>915.9049</v>
      </c>
      <c r="T1768">
        <f t="shared" si="598"/>
        <v>1.4436960869742518E-2</v>
      </c>
      <c r="U1768">
        <f t="shared" si="599"/>
        <v>0.11408948947062755</v>
      </c>
      <c r="V1768">
        <f t="shared" si="600"/>
        <v>1.415572137228E-2</v>
      </c>
      <c r="W1768">
        <f t="shared" si="601"/>
        <v>1.874929983083444E-4</v>
      </c>
      <c r="X1768">
        <f t="shared" si="602"/>
        <v>7.6872129306421191E-2</v>
      </c>
      <c r="Y1768">
        <f t="shared" si="603"/>
        <v>1.874929983083444E-4</v>
      </c>
      <c r="Z1768">
        <f t="shared" si="604"/>
        <v>2.9061414737793379E-3</v>
      </c>
      <c r="AA1768">
        <f t="shared" si="605"/>
        <v>0.30742701952223961</v>
      </c>
      <c r="AB1768">
        <f t="shared" si="606"/>
        <v>0.15454869732208434</v>
      </c>
      <c r="AC1768">
        <f t="shared" si="607"/>
        <v>0.14196416727562827</v>
      </c>
      <c r="AD1768">
        <f t="shared" si="608"/>
        <v>5.4780766780740519E-3</v>
      </c>
      <c r="AE1768">
        <f t="shared" si="609"/>
        <v>2.6375390044028037E-2</v>
      </c>
      <c r="AG1768">
        <f t="shared" si="610"/>
        <v>1.3832034729744365</v>
      </c>
      <c r="AH1768">
        <f t="shared" si="611"/>
        <v>0.2492108185334953</v>
      </c>
      <c r="AI1768">
        <f t="shared" si="612"/>
        <v>-0.63651590156008953</v>
      </c>
      <c r="AK1768" s="26" t="e">
        <f t="shared" si="613"/>
        <v>#DIV/0!</v>
      </c>
      <c r="AL1768" s="26" t="e">
        <f t="shared" si="614"/>
        <v>#DIV/0!</v>
      </c>
      <c r="AM1768" s="26" t="e">
        <f t="shared" si="615"/>
        <v>#DIV/0!</v>
      </c>
      <c r="AN1768" s="26" t="e">
        <f t="shared" si="616"/>
        <v>#DIV/0!</v>
      </c>
      <c r="AO1768" s="26" t="e">
        <f t="shared" si="617"/>
        <v>#DIV/0!</v>
      </c>
      <c r="AP1768" s="26" t="e">
        <f t="shared" si="618"/>
        <v>#DIV/0!</v>
      </c>
      <c r="AS1768" s="2">
        <v>43712</v>
      </c>
      <c r="AT1768">
        <v>19.8</v>
      </c>
      <c r="AU1768">
        <v>33.299999999999997</v>
      </c>
      <c r="AV1768">
        <v>42</v>
      </c>
      <c r="AW1768">
        <v>0.9</v>
      </c>
      <c r="AX1768">
        <v>197.61</v>
      </c>
      <c r="AY1768">
        <v>0.1</v>
      </c>
      <c r="AZ1768">
        <v>3.2</v>
      </c>
      <c r="BA1768">
        <v>245.1234</v>
      </c>
      <c r="BB1768">
        <v>76.8416</v>
      </c>
      <c r="BC1768">
        <v>118.21469999999999</v>
      </c>
      <c r="BD1768">
        <v>4.5408999999999997</v>
      </c>
      <c r="BE1768">
        <v>26.991800000000001</v>
      </c>
      <c r="BH1768">
        <v>92.97</v>
      </c>
    </row>
    <row r="1769" spans="1:60" x14ac:dyDescent="0.25">
      <c r="A1769" s="2">
        <v>43732</v>
      </c>
      <c r="B1769">
        <v>15.7</v>
      </c>
      <c r="C1769">
        <v>34</v>
      </c>
      <c r="D1769">
        <v>25.6</v>
      </c>
      <c r="E1769">
        <v>0.3</v>
      </c>
      <c r="F1769">
        <v>101.99</v>
      </c>
      <c r="G1769">
        <v>0.1</v>
      </c>
      <c r="H1769">
        <v>3</v>
      </c>
      <c r="I1769">
        <v>326.82830000000001</v>
      </c>
      <c r="J1769">
        <v>167.50239999999999</v>
      </c>
      <c r="K1769">
        <v>148.35230000000001</v>
      </c>
      <c r="L1769">
        <v>4.5683999999999996</v>
      </c>
      <c r="M1769">
        <v>26.19</v>
      </c>
      <c r="N1769">
        <v>4.6222000000000003</v>
      </c>
      <c r="O1769">
        <v>-4.5613000000000001</v>
      </c>
      <c r="P1769">
        <v>95.96</v>
      </c>
      <c r="S1769">
        <f t="shared" si="597"/>
        <v>854.1314000000001</v>
      </c>
      <c r="T1769">
        <f t="shared" si="598"/>
        <v>1.4718200367205033E-2</v>
      </c>
      <c r="U1769">
        <f t="shared" si="599"/>
        <v>3.1873809712418544E-2</v>
      </c>
      <c r="V1769">
        <f t="shared" si="600"/>
        <v>2.3999103783468083E-2</v>
      </c>
      <c r="W1769">
        <f t="shared" si="601"/>
        <v>2.8123949746251657E-4</v>
      </c>
      <c r="X1769">
        <f t="shared" si="602"/>
        <v>9.5612054487340212E-2</v>
      </c>
      <c r="Y1769">
        <f t="shared" si="603"/>
        <v>9.3746499154172199E-5</v>
      </c>
      <c r="Z1769">
        <f t="shared" si="604"/>
        <v>2.8123949746251659E-3</v>
      </c>
      <c r="AA1769">
        <f t="shared" si="605"/>
        <v>0.30639008949509539</v>
      </c>
      <c r="AB1769">
        <f t="shared" si="606"/>
        <v>0.15702763599921812</v>
      </c>
      <c r="AC1769">
        <f t="shared" si="607"/>
        <v>0.13907508766469501</v>
      </c>
      <c r="AD1769">
        <f t="shared" si="608"/>
        <v>4.2827150673592019E-3</v>
      </c>
      <c r="AE1769">
        <f t="shared" si="609"/>
        <v>2.45522081284777E-2</v>
      </c>
      <c r="AG1769">
        <f t="shared" si="610"/>
        <v>1.4002862266705836</v>
      </c>
      <c r="AH1769">
        <f t="shared" si="611"/>
        <v>0.19394275745015141</v>
      </c>
      <c r="AI1769">
        <f t="shared" si="612"/>
        <v>-0.95391252889104283</v>
      </c>
      <c r="AK1769" s="26" t="e">
        <f t="shared" si="613"/>
        <v>#DIV/0!</v>
      </c>
      <c r="AL1769" s="26" t="e">
        <f t="shared" si="614"/>
        <v>#DIV/0!</v>
      </c>
      <c r="AM1769" s="26" t="e">
        <f t="shared" si="615"/>
        <v>#DIV/0!</v>
      </c>
      <c r="AN1769" s="26" t="e">
        <f t="shared" si="616"/>
        <v>#DIV/0!</v>
      </c>
      <c r="AO1769" s="26" t="e">
        <f t="shared" si="617"/>
        <v>#DIV/0!</v>
      </c>
      <c r="AP1769" s="26" t="e">
        <f t="shared" si="618"/>
        <v>#DIV/0!</v>
      </c>
      <c r="AS1769" s="2">
        <v>43711</v>
      </c>
      <c r="AT1769">
        <v>21.7</v>
      </c>
      <c r="AU1769">
        <v>67.2</v>
      </c>
      <c r="AV1769">
        <v>64.099999999999994</v>
      </c>
      <c r="AW1769">
        <v>1.1000000000000001</v>
      </c>
      <c r="AX1769">
        <v>171.87</v>
      </c>
      <c r="AY1769">
        <v>0.1</v>
      </c>
      <c r="AZ1769">
        <v>2.7</v>
      </c>
      <c r="BA1769">
        <v>264.0718</v>
      </c>
      <c r="BB1769">
        <v>88.233699999999999</v>
      </c>
      <c r="BC1769">
        <v>114.0972</v>
      </c>
      <c r="BD1769">
        <v>4.3693</v>
      </c>
      <c r="BE1769">
        <v>23.005199999999999</v>
      </c>
      <c r="BH1769">
        <v>92.78</v>
      </c>
    </row>
    <row r="1770" spans="1:60" x14ac:dyDescent="0.25">
      <c r="A1770" s="2">
        <v>43731</v>
      </c>
      <c r="B1770">
        <v>12.4</v>
      </c>
      <c r="C1770">
        <v>197.2</v>
      </c>
      <c r="D1770">
        <v>31.6</v>
      </c>
      <c r="E1770">
        <v>0.7</v>
      </c>
      <c r="F1770">
        <v>82.3</v>
      </c>
      <c r="G1770">
        <v>0.2</v>
      </c>
      <c r="H1770">
        <v>3.1</v>
      </c>
      <c r="I1770">
        <v>309.1044</v>
      </c>
      <c r="J1770">
        <v>132.7473</v>
      </c>
      <c r="K1770">
        <v>136.05250000000001</v>
      </c>
      <c r="L1770">
        <v>4.5599999999999996</v>
      </c>
      <c r="M1770">
        <v>29.552499999999998</v>
      </c>
      <c r="N1770">
        <v>4.6691000000000003</v>
      </c>
      <c r="O1770">
        <v>-5.5487000000000002</v>
      </c>
      <c r="P1770">
        <v>95.84</v>
      </c>
      <c r="S1770">
        <f t="shared" si="597"/>
        <v>939.5166999999999</v>
      </c>
      <c r="T1770">
        <f t="shared" si="598"/>
        <v>1.1624565895117352E-2</v>
      </c>
      <c r="U1770">
        <f t="shared" si="599"/>
        <v>0.18486809633202755</v>
      </c>
      <c r="V1770">
        <f t="shared" si="600"/>
        <v>2.9623893732718412E-2</v>
      </c>
      <c r="W1770">
        <f t="shared" si="601"/>
        <v>6.5622549407920526E-4</v>
      </c>
      <c r="X1770">
        <f t="shared" si="602"/>
        <v>7.715336880388371E-2</v>
      </c>
      <c r="Y1770">
        <f t="shared" si="603"/>
        <v>1.874929983083444E-4</v>
      </c>
      <c r="Z1770">
        <f t="shared" si="604"/>
        <v>2.9061414737793379E-3</v>
      </c>
      <c r="AA1770">
        <f t="shared" si="605"/>
        <v>0.28977455373150901</v>
      </c>
      <c r="AB1770">
        <f t="shared" si="606"/>
        <v>0.12444594647168641</v>
      </c>
      <c r="AC1770">
        <f t="shared" si="607"/>
        <v>0.12754445576173012</v>
      </c>
      <c r="AD1770">
        <f t="shared" si="608"/>
        <v>4.2748403614302514E-3</v>
      </c>
      <c r="AE1770">
        <f t="shared" si="609"/>
        <v>2.7704434162536734E-2</v>
      </c>
      <c r="AG1770">
        <f t="shared" si="610"/>
        <v>1.4080094957580727</v>
      </c>
      <c r="AH1770">
        <f t="shared" si="611"/>
        <v>0.33472421889245063</v>
      </c>
      <c r="AI1770">
        <f t="shared" si="612"/>
        <v>-0.17867507431413621</v>
      </c>
      <c r="AK1770" s="26" t="e">
        <f t="shared" si="613"/>
        <v>#DIV/0!</v>
      </c>
      <c r="AL1770" s="26" t="e">
        <f t="shared" si="614"/>
        <v>#DIV/0!</v>
      </c>
      <c r="AM1770" s="26" t="e">
        <f t="shared" si="615"/>
        <v>#DIV/0!</v>
      </c>
      <c r="AN1770" s="26" t="e">
        <f t="shared" si="616"/>
        <v>#DIV/0!</v>
      </c>
      <c r="AO1770" s="26" t="e">
        <f t="shared" si="617"/>
        <v>#DIV/0!</v>
      </c>
      <c r="AP1770" s="26" t="e">
        <f t="shared" si="618"/>
        <v>#DIV/0!</v>
      </c>
      <c r="AS1770" s="2">
        <v>43710</v>
      </c>
      <c r="AU1770">
        <v>4.9000000000000004</v>
      </c>
      <c r="AX1770">
        <v>160.08000000000001</v>
      </c>
      <c r="BC1770">
        <v>85.657600000000002</v>
      </c>
      <c r="BH1770">
        <v>92.62</v>
      </c>
    </row>
    <row r="1771" spans="1:60" x14ac:dyDescent="0.25">
      <c r="A1771" s="2">
        <v>43730</v>
      </c>
      <c r="B1771">
        <v>13</v>
      </c>
      <c r="C1771">
        <v>28.6</v>
      </c>
      <c r="D1771">
        <v>28.9</v>
      </c>
      <c r="E1771">
        <v>1.2</v>
      </c>
      <c r="F1771">
        <v>163.36000000000001</v>
      </c>
      <c r="G1771">
        <v>0.2</v>
      </c>
      <c r="H1771">
        <v>3.2</v>
      </c>
      <c r="I1771">
        <v>247.53479999999999</v>
      </c>
      <c r="J1771">
        <v>51.5443</v>
      </c>
      <c r="K1771">
        <v>68.682500000000005</v>
      </c>
      <c r="L1771">
        <v>4.5597000000000003</v>
      </c>
      <c r="M1771">
        <v>13.4184</v>
      </c>
      <c r="P1771">
        <v>95.74</v>
      </c>
      <c r="S1771">
        <f t="shared" si="597"/>
        <v>624.19970000000001</v>
      </c>
      <c r="T1771">
        <f t="shared" si="598"/>
        <v>1.2187044890042385E-2</v>
      </c>
      <c r="U1771">
        <f t="shared" si="599"/>
        <v>2.6811498758093247E-2</v>
      </c>
      <c r="V1771">
        <f t="shared" si="600"/>
        <v>2.7092738255555762E-2</v>
      </c>
      <c r="W1771">
        <f t="shared" si="601"/>
        <v>1.1249579898500663E-3</v>
      </c>
      <c r="X1771">
        <f t="shared" si="602"/>
        <v>0.1531442810182557</v>
      </c>
      <c r="Y1771">
        <f t="shared" si="603"/>
        <v>1.874929983083444E-4</v>
      </c>
      <c r="Z1771">
        <f t="shared" si="604"/>
        <v>2.9998879729335104E-3</v>
      </c>
      <c r="AA1771">
        <f t="shared" si="605"/>
        <v>0.23205520918828182</v>
      </c>
      <c r="AB1771">
        <f t="shared" si="606"/>
        <v>4.8320976763523975E-2</v>
      </c>
      <c r="AC1771">
        <f t="shared" si="607"/>
        <v>6.4387439281564318E-2</v>
      </c>
      <c r="AD1771">
        <f t="shared" si="608"/>
        <v>4.2745591219327901E-3</v>
      </c>
      <c r="AE1771">
        <f t="shared" si="609"/>
        <v>1.2579280242503441E-2</v>
      </c>
      <c r="AG1771">
        <f t="shared" si="610"/>
        <v>1.4192507713371523</v>
      </c>
      <c r="AH1771">
        <f t="shared" si="611"/>
        <v>0.23612718212554246</v>
      </c>
      <c r="AI1771">
        <f t="shared" si="612"/>
        <v>-0.72904747393028801</v>
      </c>
      <c r="AK1771" s="26" t="e">
        <f t="shared" si="613"/>
        <v>#DIV/0!</v>
      </c>
      <c r="AL1771" s="26" t="e">
        <f t="shared" si="614"/>
        <v>#DIV/0!</v>
      </c>
      <c r="AM1771" s="26" t="e">
        <f t="shared" si="615"/>
        <v>#DIV/0!</v>
      </c>
      <c r="AN1771" s="26" t="e">
        <f t="shared" si="616"/>
        <v>#DIV/0!</v>
      </c>
      <c r="AO1771" s="26" t="e">
        <f t="shared" si="617"/>
        <v>#DIV/0!</v>
      </c>
      <c r="AP1771" s="26" t="e">
        <f t="shared" si="618"/>
        <v>#DIV/0!</v>
      </c>
      <c r="AS1771" s="2">
        <v>43709</v>
      </c>
      <c r="AT1771">
        <v>18.5</v>
      </c>
      <c r="AU1771">
        <v>39.1</v>
      </c>
      <c r="AV1771">
        <v>31.7</v>
      </c>
      <c r="AW1771">
        <v>0.1</v>
      </c>
      <c r="AX1771">
        <v>142.09</v>
      </c>
      <c r="AY1771">
        <v>0.1</v>
      </c>
      <c r="AZ1771">
        <v>3.1</v>
      </c>
      <c r="BA1771">
        <v>217.90170000000001</v>
      </c>
      <c r="BB1771">
        <v>55.508499999999998</v>
      </c>
      <c r="BC1771">
        <v>43.0959</v>
      </c>
      <c r="BD1771">
        <v>4.5659999999999998</v>
      </c>
      <c r="BE1771">
        <v>7.2934999999999999</v>
      </c>
      <c r="BH1771">
        <v>92.41</v>
      </c>
    </row>
    <row r="1772" spans="1:60" x14ac:dyDescent="0.25">
      <c r="A1772" s="2">
        <v>43729</v>
      </c>
      <c r="B1772">
        <v>14.2</v>
      </c>
      <c r="C1772">
        <v>7.9</v>
      </c>
      <c r="D1772">
        <v>10.6</v>
      </c>
      <c r="E1772">
        <v>0.4</v>
      </c>
      <c r="F1772">
        <v>411.82</v>
      </c>
      <c r="G1772">
        <v>0.2</v>
      </c>
      <c r="H1772">
        <v>2.8</v>
      </c>
      <c r="I1772">
        <v>268.85509999999999</v>
      </c>
      <c r="J1772">
        <v>56.211399999999998</v>
      </c>
      <c r="K1772">
        <v>81.026899999999998</v>
      </c>
      <c r="L1772">
        <v>4.5389999999999997</v>
      </c>
      <c r="M1772">
        <v>15.8835</v>
      </c>
      <c r="P1772">
        <v>95.53</v>
      </c>
      <c r="S1772">
        <f t="shared" si="597"/>
        <v>874.43590000000006</v>
      </c>
      <c r="T1772">
        <f t="shared" si="598"/>
        <v>1.331200287989245E-2</v>
      </c>
      <c r="U1772">
        <f t="shared" si="599"/>
        <v>7.405973433179603E-3</v>
      </c>
      <c r="V1772">
        <f t="shared" si="600"/>
        <v>9.9371289103422512E-3</v>
      </c>
      <c r="W1772">
        <f t="shared" si="601"/>
        <v>3.7498599661668879E-4</v>
      </c>
      <c r="X1772">
        <f t="shared" si="602"/>
        <v>0.38606683281671189</v>
      </c>
      <c r="Y1772">
        <f t="shared" si="603"/>
        <v>1.874929983083444E-4</v>
      </c>
      <c r="Z1772">
        <f t="shared" si="604"/>
        <v>2.624901976316821E-3</v>
      </c>
      <c r="AA1772">
        <f t="shared" si="605"/>
        <v>0.25204224404744879</v>
      </c>
      <c r="AB1772">
        <f t="shared" si="606"/>
        <v>5.2696219625548345E-2</v>
      </c>
      <c r="AC1772">
        <f t="shared" si="607"/>
        <v>7.5959882123151939E-2</v>
      </c>
      <c r="AD1772">
        <f t="shared" si="608"/>
        <v>4.2551535966078753E-3</v>
      </c>
      <c r="AE1772">
        <f t="shared" si="609"/>
        <v>1.489022519315294E-2</v>
      </c>
      <c r="AG1772">
        <f t="shared" si="610"/>
        <v>1.4147657909084741</v>
      </c>
      <c r="AH1772">
        <f t="shared" si="611"/>
        <v>0.43479954420452094</v>
      </c>
      <c r="AI1772">
        <f t="shared" si="612"/>
        <v>0.36339879019723353</v>
      </c>
      <c r="AK1772" s="26" t="e">
        <f t="shared" si="613"/>
        <v>#DIV/0!</v>
      </c>
      <c r="AL1772" s="26" t="e">
        <f t="shared" si="614"/>
        <v>#DIV/0!</v>
      </c>
      <c r="AM1772" s="26" t="e">
        <f t="shared" si="615"/>
        <v>#DIV/0!</v>
      </c>
      <c r="AN1772" s="26" t="e">
        <f t="shared" si="616"/>
        <v>#DIV/0!</v>
      </c>
      <c r="AO1772" s="26" t="e">
        <f t="shared" si="617"/>
        <v>#DIV/0!</v>
      </c>
      <c r="AP1772" s="26" t="e">
        <f t="shared" si="618"/>
        <v>#DIV/0!</v>
      </c>
      <c r="AS1772" s="2">
        <v>43708</v>
      </c>
      <c r="AT1772">
        <v>19.2</v>
      </c>
      <c r="AU1772">
        <v>26.7</v>
      </c>
      <c r="AV1772">
        <v>14.4</v>
      </c>
      <c r="AW1772">
        <v>0.1</v>
      </c>
      <c r="AX1772">
        <v>211.18</v>
      </c>
      <c r="AY1772">
        <v>0.1</v>
      </c>
      <c r="AZ1772">
        <v>3.5</v>
      </c>
      <c r="BA1772">
        <v>266.14179999999999</v>
      </c>
      <c r="BB1772">
        <v>58.034300000000002</v>
      </c>
      <c r="BC1772">
        <v>56.157800000000002</v>
      </c>
      <c r="BD1772">
        <v>4.5176999999999996</v>
      </c>
      <c r="BE1772">
        <v>13.162699999999999</v>
      </c>
      <c r="BH1772">
        <v>91.83</v>
      </c>
    </row>
    <row r="1773" spans="1:60" x14ac:dyDescent="0.25">
      <c r="A1773" s="2">
        <v>43728</v>
      </c>
      <c r="B1773">
        <v>14.7</v>
      </c>
      <c r="C1773">
        <v>31.2</v>
      </c>
      <c r="D1773">
        <v>13.1</v>
      </c>
      <c r="E1773">
        <v>0.4</v>
      </c>
      <c r="F1773">
        <v>175.91</v>
      </c>
      <c r="G1773">
        <v>0.2</v>
      </c>
      <c r="H1773">
        <v>3.1</v>
      </c>
      <c r="I1773">
        <v>322.8888</v>
      </c>
      <c r="J1773">
        <v>129.6919</v>
      </c>
      <c r="K1773">
        <v>142.53569999999999</v>
      </c>
      <c r="L1773">
        <v>4.5514999999999999</v>
      </c>
      <c r="M1773">
        <v>22.184100000000001</v>
      </c>
      <c r="N1773">
        <v>4.4295</v>
      </c>
      <c r="O1773">
        <v>-5.4466000000000001</v>
      </c>
      <c r="P1773">
        <v>95.32</v>
      </c>
      <c r="S1773">
        <f t="shared" si="597"/>
        <v>860.46199999999999</v>
      </c>
      <c r="T1773">
        <f t="shared" si="598"/>
        <v>1.3780735375663312E-2</v>
      </c>
      <c r="U1773">
        <f t="shared" si="599"/>
        <v>2.9248907736101722E-2</v>
      </c>
      <c r="V1773">
        <f t="shared" si="600"/>
        <v>1.2280791389196556E-2</v>
      </c>
      <c r="W1773">
        <f t="shared" si="601"/>
        <v>3.7498599661668879E-4</v>
      </c>
      <c r="X1773">
        <f t="shared" si="602"/>
        <v>0.16490946666210429</v>
      </c>
      <c r="Y1773">
        <f t="shared" si="603"/>
        <v>1.874929983083444E-4</v>
      </c>
      <c r="Z1773">
        <f t="shared" si="604"/>
        <v>2.9061414737793379E-3</v>
      </c>
      <c r="AA1773">
        <f t="shared" si="605"/>
        <v>0.30269694616091675</v>
      </c>
      <c r="AB1773">
        <f t="shared" si="606"/>
        <v>0.12158161593652984</v>
      </c>
      <c r="AC1773">
        <f t="shared" si="607"/>
        <v>0.13362222879489341</v>
      </c>
      <c r="AD1773">
        <f t="shared" si="608"/>
        <v>4.2668719090021472E-3</v>
      </c>
      <c r="AE1773">
        <f t="shared" si="609"/>
        <v>2.0796817118860715E-2</v>
      </c>
      <c r="AG1773">
        <f t="shared" si="610"/>
        <v>1.4102131817277821</v>
      </c>
      <c r="AH1773">
        <f t="shared" si="611"/>
        <v>0.24448533875063097</v>
      </c>
      <c r="AI1773">
        <f t="shared" si="612"/>
        <v>-0.68075727738854541</v>
      </c>
      <c r="AK1773" s="26" t="e">
        <f t="shared" si="613"/>
        <v>#DIV/0!</v>
      </c>
      <c r="AL1773" s="26" t="e">
        <f t="shared" si="614"/>
        <v>#DIV/0!</v>
      </c>
      <c r="AM1773" s="26" t="e">
        <f t="shared" si="615"/>
        <v>#DIV/0!</v>
      </c>
      <c r="AN1773" s="26" t="e">
        <f t="shared" si="616"/>
        <v>#DIV/0!</v>
      </c>
      <c r="AO1773" s="26" t="e">
        <f t="shared" si="617"/>
        <v>#DIV/0!</v>
      </c>
      <c r="AP1773" s="26" t="e">
        <f t="shared" si="618"/>
        <v>#DIV/0!</v>
      </c>
      <c r="AS1773" s="2">
        <v>43707</v>
      </c>
      <c r="AT1773">
        <v>20.7</v>
      </c>
      <c r="AU1773">
        <v>86.8</v>
      </c>
      <c r="AV1773">
        <v>18.5</v>
      </c>
      <c r="AW1773">
        <v>0.1</v>
      </c>
      <c r="AX1773">
        <v>194.69</v>
      </c>
      <c r="AY1773">
        <v>0.1</v>
      </c>
      <c r="AZ1773">
        <v>3.8</v>
      </c>
      <c r="BA1773">
        <v>345.9889</v>
      </c>
      <c r="BB1773">
        <v>159.07079999999999</v>
      </c>
      <c r="BC1773">
        <v>120.3867</v>
      </c>
      <c r="BD1773">
        <v>1.45</v>
      </c>
      <c r="BE1773">
        <v>23.905000000000001</v>
      </c>
      <c r="BH1773">
        <v>91.62</v>
      </c>
    </row>
    <row r="1774" spans="1:60" x14ac:dyDescent="0.25">
      <c r="A1774" s="2">
        <v>43727</v>
      </c>
      <c r="B1774">
        <v>14.8</v>
      </c>
      <c r="C1774">
        <v>156.69999999999999</v>
      </c>
      <c r="D1774">
        <v>22.3</v>
      </c>
      <c r="E1774">
        <v>0.6</v>
      </c>
      <c r="F1774">
        <v>180.98</v>
      </c>
      <c r="G1774">
        <v>0.1</v>
      </c>
      <c r="H1774">
        <v>2.9</v>
      </c>
      <c r="I1774">
        <v>320.07040000000001</v>
      </c>
      <c r="J1774">
        <v>133.5574</v>
      </c>
      <c r="K1774">
        <v>136.96180000000001</v>
      </c>
      <c r="L1774">
        <v>4.5678999999999998</v>
      </c>
      <c r="M1774">
        <v>20.8095</v>
      </c>
      <c r="N1774">
        <v>5.915</v>
      </c>
      <c r="O1774">
        <v>-4.4511000000000003</v>
      </c>
      <c r="P1774">
        <v>95.23</v>
      </c>
      <c r="S1774">
        <f t="shared" si="597"/>
        <v>994.34699999999998</v>
      </c>
      <c r="T1774">
        <f t="shared" si="598"/>
        <v>1.3874481874817485E-2</v>
      </c>
      <c r="U1774">
        <f t="shared" si="599"/>
        <v>0.14690076417458781</v>
      </c>
      <c r="V1774">
        <f t="shared" si="600"/>
        <v>2.09054693113804E-2</v>
      </c>
      <c r="W1774">
        <f t="shared" si="601"/>
        <v>5.6247899492503314E-4</v>
      </c>
      <c r="X1774">
        <f t="shared" si="602"/>
        <v>0.16966241416922082</v>
      </c>
      <c r="Y1774">
        <f t="shared" si="603"/>
        <v>9.3746499154172199E-5</v>
      </c>
      <c r="Z1774">
        <f t="shared" si="604"/>
        <v>2.7186484754709935E-3</v>
      </c>
      <c r="AA1774">
        <f t="shared" si="605"/>
        <v>0.30005479482875558</v>
      </c>
      <c r="AB1774">
        <f t="shared" si="606"/>
        <v>0.12520538686133437</v>
      </c>
      <c r="AC1774">
        <f t="shared" si="607"/>
        <v>0.12839689267853902</v>
      </c>
      <c r="AD1774">
        <f t="shared" si="608"/>
        <v>4.2822463348634312E-3</v>
      </c>
      <c r="AE1774">
        <f t="shared" si="609"/>
        <v>1.9508177741487463E-2</v>
      </c>
      <c r="AG1774">
        <f t="shared" si="610"/>
        <v>1.4237894423839765</v>
      </c>
      <c r="AH1774">
        <f t="shared" si="611"/>
        <v>0.37422618124104418</v>
      </c>
      <c r="AI1774">
        <f t="shared" si="612"/>
        <v>2.1566495996027987E-2</v>
      </c>
      <c r="AK1774" s="26" t="e">
        <f t="shared" si="613"/>
        <v>#DIV/0!</v>
      </c>
      <c r="AL1774" s="26" t="e">
        <f t="shared" si="614"/>
        <v>#DIV/0!</v>
      </c>
      <c r="AM1774" s="26" t="e">
        <f t="shared" si="615"/>
        <v>#DIV/0!</v>
      </c>
      <c r="AN1774" s="26" t="e">
        <f t="shared" si="616"/>
        <v>#DIV/0!</v>
      </c>
      <c r="AO1774" s="26" t="e">
        <f t="shared" si="617"/>
        <v>#DIV/0!</v>
      </c>
      <c r="AP1774" s="26" t="e">
        <f t="shared" si="618"/>
        <v>#DIV/0!</v>
      </c>
      <c r="AS1774" s="2">
        <v>43706</v>
      </c>
      <c r="AT1774">
        <v>20.9</v>
      </c>
      <c r="AU1774">
        <v>452</v>
      </c>
      <c r="AV1774">
        <v>12.3</v>
      </c>
      <c r="AW1774">
        <v>0.4</v>
      </c>
      <c r="AX1774">
        <v>151.03</v>
      </c>
      <c r="AY1774">
        <v>0.1</v>
      </c>
      <c r="AZ1774">
        <v>3.6</v>
      </c>
      <c r="BA1774">
        <v>319.00850000000003</v>
      </c>
      <c r="BB1774">
        <v>204.17519999999999</v>
      </c>
      <c r="BC1774">
        <v>124.9141</v>
      </c>
      <c r="BD1774">
        <v>4.1999999999999997E-3</v>
      </c>
      <c r="BE1774">
        <v>27.1875</v>
      </c>
      <c r="BH1774">
        <v>91.4</v>
      </c>
    </row>
    <row r="1775" spans="1:60" x14ac:dyDescent="0.25">
      <c r="A1775" s="2">
        <v>43726</v>
      </c>
      <c r="B1775">
        <v>15.6</v>
      </c>
      <c r="C1775">
        <v>46.9</v>
      </c>
      <c r="D1775">
        <v>68.7</v>
      </c>
      <c r="E1775">
        <v>2.8</v>
      </c>
      <c r="F1775">
        <v>175.88</v>
      </c>
      <c r="H1775">
        <v>2.6</v>
      </c>
      <c r="I1775">
        <v>237.56100000000001</v>
      </c>
      <c r="J1775">
        <v>86.384100000000004</v>
      </c>
      <c r="K1775">
        <v>95.4191</v>
      </c>
      <c r="L1775">
        <v>4.5494000000000003</v>
      </c>
      <c r="M1775">
        <v>20.378299999999999</v>
      </c>
      <c r="N1775">
        <v>5.6852999999999998</v>
      </c>
      <c r="O1775">
        <v>-3.9843000000000002</v>
      </c>
      <c r="P1775">
        <v>95.2</v>
      </c>
      <c r="S1775">
        <f t="shared" si="597"/>
        <v>756.77189999999996</v>
      </c>
      <c r="T1775">
        <f t="shared" si="598"/>
        <v>1.4624453868050861E-2</v>
      </c>
      <c r="U1775">
        <f t="shared" si="599"/>
        <v>4.3967108103306757E-2</v>
      </c>
      <c r="V1775">
        <f t="shared" si="600"/>
        <v>6.4403844918916292E-2</v>
      </c>
      <c r="W1775">
        <f t="shared" si="601"/>
        <v>2.624901976316821E-3</v>
      </c>
      <c r="X1775">
        <f t="shared" si="602"/>
        <v>0.16488134271235805</v>
      </c>
      <c r="Y1775">
        <f t="shared" si="603"/>
        <v>0</v>
      </c>
      <c r="Z1775">
        <f t="shared" si="604"/>
        <v>2.437408978008477E-3</v>
      </c>
      <c r="AA1775">
        <f t="shared" si="605"/>
        <v>0.22270512085564301</v>
      </c>
      <c r="AB1775">
        <f t="shared" si="606"/>
        <v>8.0982069575839269E-2</v>
      </c>
      <c r="AC1775">
        <f t="shared" si="607"/>
        <v>8.9452065774418721E-2</v>
      </c>
      <c r="AD1775">
        <f t="shared" si="608"/>
        <v>4.26490323251991E-3</v>
      </c>
      <c r="AE1775">
        <f t="shared" si="609"/>
        <v>1.9103942837134669E-2</v>
      </c>
      <c r="AG1775">
        <f t="shared" si="610"/>
        <v>1.4474267137973444</v>
      </c>
      <c r="AH1775">
        <f t="shared" si="611"/>
        <v>0.31204300339409197</v>
      </c>
      <c r="AI1775">
        <f t="shared" si="612"/>
        <v>-0.31596014479974033</v>
      </c>
      <c r="AK1775" s="26" t="e">
        <f t="shared" si="613"/>
        <v>#DIV/0!</v>
      </c>
      <c r="AL1775" s="26" t="e">
        <f t="shared" si="614"/>
        <v>#DIV/0!</v>
      </c>
      <c r="AM1775" s="26" t="e">
        <f t="shared" si="615"/>
        <v>#DIV/0!</v>
      </c>
      <c r="AN1775" s="26" t="e">
        <f t="shared" si="616"/>
        <v>#DIV/0!</v>
      </c>
      <c r="AO1775" s="26" t="e">
        <f t="shared" si="617"/>
        <v>#DIV/0!</v>
      </c>
      <c r="AP1775" s="26" t="e">
        <f t="shared" si="618"/>
        <v>#DIV/0!</v>
      </c>
      <c r="AS1775" s="2">
        <v>43705</v>
      </c>
      <c r="AT1775">
        <v>21.3</v>
      </c>
      <c r="AU1775">
        <v>323.2</v>
      </c>
      <c r="AV1775">
        <v>9.1</v>
      </c>
      <c r="AW1775">
        <v>0.6</v>
      </c>
      <c r="AX1775">
        <v>176.58</v>
      </c>
      <c r="AZ1775">
        <v>3.7</v>
      </c>
      <c r="BA1775">
        <v>304.63209999999998</v>
      </c>
      <c r="BB1775">
        <v>201.06829999999999</v>
      </c>
      <c r="BC1775">
        <v>131.6713</v>
      </c>
      <c r="BD1775">
        <v>2.0406</v>
      </c>
      <c r="BE1775">
        <v>27.5535</v>
      </c>
      <c r="BH1775">
        <v>91.24</v>
      </c>
    </row>
    <row r="1776" spans="1:60" x14ac:dyDescent="0.25">
      <c r="A1776" s="2">
        <v>43725</v>
      </c>
      <c r="B1776">
        <v>16.2</v>
      </c>
      <c r="C1776">
        <v>64.900000000000006</v>
      </c>
      <c r="D1776">
        <v>62.1</v>
      </c>
      <c r="E1776">
        <v>2.6</v>
      </c>
      <c r="F1776">
        <v>123.73</v>
      </c>
      <c r="G1776">
        <v>0.2</v>
      </c>
      <c r="H1776">
        <v>2.5</v>
      </c>
      <c r="I1776">
        <v>227.56120000000001</v>
      </c>
      <c r="J1776">
        <v>89.554400000000001</v>
      </c>
      <c r="K1776">
        <v>98.038700000000006</v>
      </c>
      <c r="L1776">
        <v>4.5313999999999997</v>
      </c>
      <c r="M1776">
        <v>18.577100000000002</v>
      </c>
      <c r="N1776">
        <v>5.2435</v>
      </c>
      <c r="O1776">
        <v>-3.2054</v>
      </c>
      <c r="P1776">
        <v>95.11</v>
      </c>
      <c r="S1776">
        <f t="shared" si="597"/>
        <v>710.49279999999987</v>
      </c>
      <c r="T1776">
        <f t="shared" si="598"/>
        <v>1.5186932862975894E-2</v>
      </c>
      <c r="U1776">
        <f t="shared" si="599"/>
        <v>6.0841477951057758E-2</v>
      </c>
      <c r="V1776">
        <f t="shared" si="600"/>
        <v>5.8216575974740933E-2</v>
      </c>
      <c r="W1776">
        <f t="shared" si="601"/>
        <v>2.437408978008477E-3</v>
      </c>
      <c r="X1776">
        <f t="shared" si="602"/>
        <v>0.11599254340345726</v>
      </c>
      <c r="Y1776">
        <f t="shared" si="603"/>
        <v>1.874929983083444E-4</v>
      </c>
      <c r="Z1776">
        <f t="shared" si="604"/>
        <v>2.3436624788543046E-3</v>
      </c>
      <c r="AA1776">
        <f t="shared" si="605"/>
        <v>0.2133306584332241</v>
      </c>
      <c r="AB1776">
        <f t="shared" si="606"/>
        <v>8.3954114838523983E-2</v>
      </c>
      <c r="AC1776">
        <f t="shared" si="607"/>
        <v>9.1907849066261413E-2</v>
      </c>
      <c r="AD1776">
        <f t="shared" si="608"/>
        <v>4.2480288626721586E-3</v>
      </c>
      <c r="AE1776">
        <f t="shared" si="609"/>
        <v>1.7415380894369722E-2</v>
      </c>
      <c r="AG1776">
        <f t="shared" si="610"/>
        <v>1.4633271618845733</v>
      </c>
      <c r="AH1776">
        <f t="shared" si="611"/>
        <v>0.27262147554177268</v>
      </c>
      <c r="AI1776">
        <f t="shared" si="612"/>
        <v>-0.53137513394094382</v>
      </c>
      <c r="AK1776" s="26" t="e">
        <f t="shared" si="613"/>
        <v>#DIV/0!</v>
      </c>
      <c r="AL1776" s="26" t="e">
        <f t="shared" si="614"/>
        <v>#DIV/0!</v>
      </c>
      <c r="AM1776" s="26" t="e">
        <f t="shared" si="615"/>
        <v>#DIV/0!</v>
      </c>
      <c r="AN1776" s="26" t="e">
        <f t="shared" si="616"/>
        <v>#DIV/0!</v>
      </c>
      <c r="AO1776" s="26" t="e">
        <f t="shared" si="617"/>
        <v>#DIV/0!</v>
      </c>
      <c r="AP1776" s="26" t="e">
        <f t="shared" si="618"/>
        <v>#DIV/0!</v>
      </c>
      <c r="AS1776" s="2">
        <v>43704</v>
      </c>
      <c r="AT1776">
        <v>22.2</v>
      </c>
      <c r="AU1776">
        <v>444.8</v>
      </c>
      <c r="AV1776">
        <v>11.5</v>
      </c>
      <c r="AW1776">
        <v>0.5</v>
      </c>
      <c r="AX1776">
        <v>195.63</v>
      </c>
      <c r="AY1776">
        <v>0.1</v>
      </c>
      <c r="AZ1776">
        <v>3.7</v>
      </c>
      <c r="BA1776">
        <v>296.1499</v>
      </c>
      <c r="BB1776">
        <v>203.4914</v>
      </c>
      <c r="BC1776">
        <v>122.1812</v>
      </c>
      <c r="BD1776">
        <v>4.7039999999999997</v>
      </c>
      <c r="BE1776">
        <v>38.264400000000002</v>
      </c>
      <c r="BH1776">
        <v>91.08</v>
      </c>
    </row>
    <row r="1777" spans="1:60" x14ac:dyDescent="0.25">
      <c r="A1777" s="2">
        <v>43724</v>
      </c>
      <c r="B1777">
        <v>16.5</v>
      </c>
      <c r="C1777">
        <v>106.1</v>
      </c>
      <c r="D1777">
        <v>35.700000000000003</v>
      </c>
      <c r="E1777">
        <v>0.5</v>
      </c>
      <c r="F1777">
        <v>107.03</v>
      </c>
      <c r="G1777">
        <v>0.1</v>
      </c>
      <c r="H1777">
        <v>2.7</v>
      </c>
      <c r="I1777">
        <v>265.61309999999997</v>
      </c>
      <c r="J1777">
        <v>136.435</v>
      </c>
      <c r="K1777">
        <v>135.3312</v>
      </c>
      <c r="L1777">
        <v>4.5807000000000002</v>
      </c>
      <c r="M1777">
        <v>32.814999999999998</v>
      </c>
      <c r="N1777">
        <v>2.5186999999999999</v>
      </c>
      <c r="O1777">
        <v>-3.2019000000000002</v>
      </c>
      <c r="P1777">
        <v>94.97</v>
      </c>
      <c r="S1777">
        <f t="shared" si="597"/>
        <v>843.40499999999997</v>
      </c>
      <c r="T1777">
        <f t="shared" si="598"/>
        <v>1.5468172360438412E-2</v>
      </c>
      <c r="U1777">
        <f t="shared" si="599"/>
        <v>9.946503560257669E-2</v>
      </c>
      <c r="V1777">
        <f t="shared" si="600"/>
        <v>3.3467500198039478E-2</v>
      </c>
      <c r="W1777">
        <f t="shared" si="601"/>
        <v>4.6873249577086097E-4</v>
      </c>
      <c r="X1777">
        <f t="shared" si="602"/>
        <v>0.1003368780447105</v>
      </c>
      <c r="Y1777">
        <f t="shared" si="603"/>
        <v>9.3746499154172199E-5</v>
      </c>
      <c r="Z1777">
        <f t="shared" si="604"/>
        <v>2.5311554771626494E-3</v>
      </c>
      <c r="AA1777">
        <f t="shared" si="605"/>
        <v>0.24900298254487052</v>
      </c>
      <c r="AB1777">
        <f t="shared" si="606"/>
        <v>0.12790303612099482</v>
      </c>
      <c r="AC1777">
        <f t="shared" si="607"/>
        <v>0.12686826226333106</v>
      </c>
      <c r="AD1777">
        <f t="shared" si="608"/>
        <v>4.2942458867551662E-3</v>
      </c>
      <c r="AE1777">
        <f t="shared" si="609"/>
        <v>3.0762913697441604E-2</v>
      </c>
      <c r="AG1777">
        <f t="shared" si="610"/>
        <v>1.4725723681247891</v>
      </c>
      <c r="AH1777">
        <f t="shared" si="611"/>
        <v>0.28259413437529435</v>
      </c>
      <c r="AI1777">
        <f t="shared" si="612"/>
        <v>-0.48412932796789593</v>
      </c>
      <c r="AK1777" s="26" t="e">
        <f t="shared" si="613"/>
        <v>#DIV/0!</v>
      </c>
      <c r="AL1777" s="26" t="e">
        <f t="shared" si="614"/>
        <v>#DIV/0!</v>
      </c>
      <c r="AM1777" s="26" t="e">
        <f t="shared" si="615"/>
        <v>#DIV/0!</v>
      </c>
      <c r="AN1777" s="26" t="e">
        <f t="shared" si="616"/>
        <v>#DIV/0!</v>
      </c>
      <c r="AO1777" s="26" t="e">
        <f t="shared" si="617"/>
        <v>#DIV/0!</v>
      </c>
      <c r="AP1777" s="26" t="e">
        <f t="shared" si="618"/>
        <v>#DIV/0!</v>
      </c>
      <c r="AS1777" s="2">
        <v>43703</v>
      </c>
      <c r="AT1777">
        <v>21.7</v>
      </c>
      <c r="AU1777">
        <v>266.10000000000002</v>
      </c>
      <c r="AV1777">
        <v>4</v>
      </c>
      <c r="AW1777">
        <v>0.2</v>
      </c>
      <c r="AX1777">
        <v>199.27</v>
      </c>
      <c r="AY1777">
        <v>0.1</v>
      </c>
      <c r="AZ1777">
        <v>3.8</v>
      </c>
      <c r="BA1777">
        <v>288.62110000000001</v>
      </c>
      <c r="BB1777">
        <v>155.98589999999999</v>
      </c>
      <c r="BC1777">
        <v>103.2732</v>
      </c>
      <c r="BD1777">
        <v>4.9016000000000002</v>
      </c>
      <c r="BE1777">
        <v>38.924900000000001</v>
      </c>
      <c r="BH1777">
        <v>90.91</v>
      </c>
    </row>
    <row r="1778" spans="1:60" x14ac:dyDescent="0.25">
      <c r="A1778" s="2">
        <v>43723</v>
      </c>
      <c r="B1778">
        <v>16.5</v>
      </c>
      <c r="C1778">
        <v>74.7</v>
      </c>
      <c r="D1778">
        <v>65.7</v>
      </c>
      <c r="E1778">
        <v>2.5</v>
      </c>
      <c r="F1778">
        <v>183.08</v>
      </c>
      <c r="G1778">
        <v>0.1</v>
      </c>
      <c r="H1778">
        <v>2.9</v>
      </c>
      <c r="I1778">
        <v>164.12620000000001</v>
      </c>
      <c r="J1778">
        <v>43.835700000000003</v>
      </c>
      <c r="K1778">
        <v>30.355499999999999</v>
      </c>
      <c r="L1778">
        <v>4.6174999999999997</v>
      </c>
      <c r="M1778">
        <v>10.478899999999999</v>
      </c>
      <c r="P1778">
        <v>94.77</v>
      </c>
      <c r="S1778">
        <f t="shared" si="597"/>
        <v>598.89379999999994</v>
      </c>
      <c r="T1778">
        <f t="shared" si="598"/>
        <v>1.5468172360438412E-2</v>
      </c>
      <c r="U1778">
        <f t="shared" si="599"/>
        <v>7.0028634868166628E-2</v>
      </c>
      <c r="V1778">
        <f t="shared" si="600"/>
        <v>6.1591449944291131E-2</v>
      </c>
      <c r="W1778">
        <f t="shared" si="601"/>
        <v>2.3436624788543046E-3</v>
      </c>
      <c r="X1778">
        <f t="shared" si="602"/>
        <v>0.17163109065145846</v>
      </c>
      <c r="Y1778">
        <f t="shared" si="603"/>
        <v>9.3746499154172199E-5</v>
      </c>
      <c r="Z1778">
        <f t="shared" si="604"/>
        <v>2.7186484754709935E-3</v>
      </c>
      <c r="AA1778">
        <f t="shared" si="605"/>
        <v>0.15386256669477497</v>
      </c>
      <c r="AB1778">
        <f t="shared" si="606"/>
        <v>4.1094434129725459E-2</v>
      </c>
      <c r="AC1778">
        <f t="shared" si="607"/>
        <v>2.8457218550744737E-2</v>
      </c>
      <c r="AD1778">
        <f t="shared" si="608"/>
        <v>4.328744598443901E-3</v>
      </c>
      <c r="AE1778">
        <f t="shared" si="609"/>
        <v>9.8236018998665488E-3</v>
      </c>
      <c r="AG1778">
        <f t="shared" si="610"/>
        <v>1.4731662726357149</v>
      </c>
      <c r="AH1778">
        <f t="shared" si="611"/>
        <v>0.33369900717770062</v>
      </c>
      <c r="AI1778">
        <f t="shared" si="612"/>
        <v>-0.21802592674418586</v>
      </c>
      <c r="AK1778" s="26" t="e">
        <f t="shared" si="613"/>
        <v>#DIV/0!</v>
      </c>
      <c r="AL1778" s="26" t="e">
        <f t="shared" si="614"/>
        <v>#DIV/0!</v>
      </c>
      <c r="AM1778" s="26" t="e">
        <f t="shared" si="615"/>
        <v>#DIV/0!</v>
      </c>
      <c r="AN1778" s="26" t="e">
        <f t="shared" si="616"/>
        <v>#DIV/0!</v>
      </c>
      <c r="AO1778" s="26" t="e">
        <f t="shared" si="617"/>
        <v>#DIV/0!</v>
      </c>
      <c r="AP1778" s="26" t="e">
        <f t="shared" si="618"/>
        <v>#DIV/0!</v>
      </c>
      <c r="AS1778" s="2">
        <v>43702</v>
      </c>
      <c r="AT1778">
        <v>21.2</v>
      </c>
      <c r="AU1778">
        <v>340.9</v>
      </c>
      <c r="AV1778">
        <v>14</v>
      </c>
      <c r="AW1778">
        <v>0.4</v>
      </c>
      <c r="AX1778">
        <v>203.83</v>
      </c>
      <c r="AY1778">
        <v>0.1</v>
      </c>
      <c r="AZ1778">
        <v>3.8</v>
      </c>
      <c r="BA1778">
        <v>214.3288</v>
      </c>
      <c r="BB1778">
        <v>58.5563</v>
      </c>
      <c r="BC1778">
        <v>42.921599999999998</v>
      </c>
      <c r="BD1778">
        <v>4.5548000000000002</v>
      </c>
      <c r="BE1778">
        <v>19.873699999999999</v>
      </c>
      <c r="BH1778">
        <v>90.84</v>
      </c>
    </row>
    <row r="1779" spans="1:60" x14ac:dyDescent="0.25">
      <c r="A1779" s="2">
        <v>43722</v>
      </c>
      <c r="B1779">
        <v>18</v>
      </c>
      <c r="C1779">
        <v>243.9</v>
      </c>
      <c r="D1779">
        <v>24.2</v>
      </c>
      <c r="E1779">
        <v>0.1</v>
      </c>
      <c r="F1779">
        <v>188.29</v>
      </c>
      <c r="G1779">
        <v>0.1</v>
      </c>
      <c r="H1779">
        <v>3</v>
      </c>
      <c r="I1779">
        <v>232.73580000000001</v>
      </c>
      <c r="J1779">
        <v>65.438000000000002</v>
      </c>
      <c r="K1779">
        <v>84.510199999999998</v>
      </c>
      <c r="L1779">
        <v>4.6048999999999998</v>
      </c>
      <c r="M1779">
        <v>17.988199999999999</v>
      </c>
      <c r="P1779">
        <v>94.52</v>
      </c>
      <c r="S1779">
        <f t="shared" si="597"/>
        <v>882.86710000000016</v>
      </c>
      <c r="T1779">
        <f t="shared" si="598"/>
        <v>1.6874369847750995E-2</v>
      </c>
      <c r="U1779">
        <f t="shared" si="599"/>
        <v>0.22864771143702597</v>
      </c>
      <c r="V1779">
        <f t="shared" si="600"/>
        <v>2.268665279530967E-2</v>
      </c>
      <c r="W1779">
        <f t="shared" si="601"/>
        <v>9.3746499154172199E-5</v>
      </c>
      <c r="X1779">
        <f t="shared" si="602"/>
        <v>0.1765152832573908</v>
      </c>
      <c r="Y1779">
        <f t="shared" si="603"/>
        <v>9.3746499154172199E-5</v>
      </c>
      <c r="Z1779">
        <f t="shared" si="604"/>
        <v>2.8123949746251659E-3</v>
      </c>
      <c r="AA1779">
        <f t="shared" si="605"/>
        <v>0.21818166477845588</v>
      </c>
      <c r="AB1779">
        <f t="shared" si="606"/>
        <v>6.1345834116507202E-2</v>
      </c>
      <c r="AC1779">
        <f t="shared" si="607"/>
        <v>7.9225353928189218E-2</v>
      </c>
      <c r="AD1779">
        <f t="shared" si="608"/>
        <v>4.3169325395504754E-3</v>
      </c>
      <c r="AE1779">
        <f t="shared" si="609"/>
        <v>1.68633077608508E-2</v>
      </c>
      <c r="AG1779">
        <f t="shared" si="610"/>
        <v>1.4660924792090346</v>
      </c>
      <c r="AH1779">
        <f t="shared" si="611"/>
        <v>0.46458721307126177</v>
      </c>
      <c r="AI1779">
        <f t="shared" si="612"/>
        <v>0.4691117102415589</v>
      </c>
      <c r="AK1779" s="26" t="e">
        <f t="shared" si="613"/>
        <v>#DIV/0!</v>
      </c>
      <c r="AL1779" s="26" t="e">
        <f t="shared" si="614"/>
        <v>#DIV/0!</v>
      </c>
      <c r="AM1779" s="26" t="e">
        <f t="shared" si="615"/>
        <v>#DIV/0!</v>
      </c>
      <c r="AN1779" s="26" t="e">
        <f t="shared" si="616"/>
        <v>#DIV/0!</v>
      </c>
      <c r="AO1779" s="26" t="e">
        <f t="shared" si="617"/>
        <v>#DIV/0!</v>
      </c>
      <c r="AP1779" s="26" t="e">
        <f t="shared" si="618"/>
        <v>#DIV/0!</v>
      </c>
      <c r="AS1779" s="2">
        <v>43701</v>
      </c>
      <c r="AT1779">
        <v>22.7</v>
      </c>
      <c r="AU1779">
        <v>137.30000000000001</v>
      </c>
      <c r="AV1779">
        <v>16.399999999999999</v>
      </c>
      <c r="AW1779">
        <v>0.7</v>
      </c>
      <c r="AX1779">
        <v>213.7</v>
      </c>
      <c r="AY1779">
        <v>0.1</v>
      </c>
      <c r="AZ1779">
        <v>3</v>
      </c>
      <c r="BA1779">
        <v>232.28149999999999</v>
      </c>
      <c r="BB1779">
        <v>47.631999999999998</v>
      </c>
      <c r="BC1779">
        <v>39.251600000000003</v>
      </c>
      <c r="BD1779">
        <v>4.5233999999999996</v>
      </c>
      <c r="BE1779">
        <v>20.754799999999999</v>
      </c>
      <c r="BH1779">
        <v>90.53</v>
      </c>
    </row>
    <row r="1780" spans="1:60" x14ac:dyDescent="0.25">
      <c r="A1780" s="2">
        <v>43721</v>
      </c>
      <c r="B1780">
        <v>18.7</v>
      </c>
      <c r="C1780">
        <v>96.6</v>
      </c>
      <c r="D1780">
        <v>58.3</v>
      </c>
      <c r="E1780">
        <v>1.7</v>
      </c>
      <c r="F1780">
        <v>134.03</v>
      </c>
      <c r="G1780">
        <v>0.1</v>
      </c>
      <c r="H1780">
        <v>2.7</v>
      </c>
      <c r="I1780">
        <v>257.87610000000001</v>
      </c>
      <c r="J1780">
        <v>72.78</v>
      </c>
      <c r="K1780">
        <v>113.88460000000001</v>
      </c>
      <c r="L1780">
        <v>4.6060999999999996</v>
      </c>
      <c r="M1780">
        <v>24.122</v>
      </c>
      <c r="N1780">
        <v>2.8283999999999998</v>
      </c>
      <c r="O1780">
        <v>-2.4792000000000001</v>
      </c>
      <c r="P1780">
        <v>94.29</v>
      </c>
      <c r="S1780">
        <f t="shared" si="597"/>
        <v>785.39879999999994</v>
      </c>
      <c r="T1780">
        <f t="shared" si="598"/>
        <v>1.7530595341830199E-2</v>
      </c>
      <c r="U1780">
        <f t="shared" si="599"/>
        <v>9.0559118182930332E-2</v>
      </c>
      <c r="V1780">
        <f t="shared" si="600"/>
        <v>5.4654209006882386E-2</v>
      </c>
      <c r="W1780">
        <f t="shared" si="601"/>
        <v>1.5936904856209272E-3</v>
      </c>
      <c r="X1780">
        <f t="shared" si="602"/>
        <v>0.125648432816337</v>
      </c>
      <c r="Y1780">
        <f t="shared" si="603"/>
        <v>9.3746499154172199E-5</v>
      </c>
      <c r="Z1780">
        <f t="shared" si="604"/>
        <v>2.5311554771626494E-3</v>
      </c>
      <c r="AA1780">
        <f t="shared" si="605"/>
        <v>0.24174981590531225</v>
      </c>
      <c r="AB1780">
        <f t="shared" si="606"/>
        <v>6.8228702084406526E-2</v>
      </c>
      <c r="AC1780">
        <f t="shared" si="607"/>
        <v>0.10676282557573238</v>
      </c>
      <c r="AD1780">
        <f t="shared" si="608"/>
        <v>4.3180574975403251E-3</v>
      </c>
      <c r="AE1780">
        <f t="shared" si="609"/>
        <v>2.2613530525969417E-2</v>
      </c>
      <c r="AG1780">
        <f t="shared" si="610"/>
        <v>1.4619439196942967</v>
      </c>
      <c r="AH1780">
        <f t="shared" si="611"/>
        <v>0.31522447833588713</v>
      </c>
      <c r="AI1780">
        <f t="shared" si="612"/>
        <v>-0.3060796022483262</v>
      </c>
      <c r="AK1780" s="26" t="e">
        <f t="shared" si="613"/>
        <v>#DIV/0!</v>
      </c>
      <c r="AL1780" s="26" t="e">
        <f t="shared" si="614"/>
        <v>#DIV/0!</v>
      </c>
      <c r="AM1780" s="26" t="e">
        <f t="shared" si="615"/>
        <v>#DIV/0!</v>
      </c>
      <c r="AN1780" s="26" t="e">
        <f t="shared" si="616"/>
        <v>#DIV/0!</v>
      </c>
      <c r="AO1780" s="26" t="e">
        <f t="shared" si="617"/>
        <v>#DIV/0!</v>
      </c>
      <c r="AP1780" s="26" t="e">
        <f t="shared" si="618"/>
        <v>#DIV/0!</v>
      </c>
      <c r="AS1780" s="2">
        <v>43700</v>
      </c>
      <c r="AT1780">
        <v>23.5</v>
      </c>
      <c r="AU1780">
        <v>179.5</v>
      </c>
      <c r="AV1780">
        <v>19</v>
      </c>
      <c r="AW1780">
        <v>0.1</v>
      </c>
      <c r="AX1780">
        <v>215.91</v>
      </c>
      <c r="AY1780">
        <v>0.1</v>
      </c>
      <c r="AZ1780">
        <v>3.5</v>
      </c>
      <c r="BA1780">
        <v>288.54640000000001</v>
      </c>
      <c r="BB1780">
        <v>81.171999999999997</v>
      </c>
      <c r="BC1780">
        <v>85.341300000000004</v>
      </c>
      <c r="BD1780">
        <v>4.7519999999999998</v>
      </c>
      <c r="BE1780">
        <v>28.145600000000002</v>
      </c>
      <c r="BH1780">
        <v>90.23</v>
      </c>
    </row>
    <row r="1781" spans="1:60" x14ac:dyDescent="0.25">
      <c r="A1781" s="2">
        <v>43720</v>
      </c>
      <c r="B1781">
        <v>18.100000000000001</v>
      </c>
      <c r="C1781">
        <v>213.4</v>
      </c>
      <c r="D1781">
        <v>50.8</v>
      </c>
      <c r="E1781">
        <v>0.6</v>
      </c>
      <c r="F1781">
        <v>139.38</v>
      </c>
      <c r="G1781">
        <v>0.1</v>
      </c>
      <c r="H1781">
        <v>2.1</v>
      </c>
      <c r="I1781">
        <v>278.56319999999999</v>
      </c>
      <c r="J1781">
        <v>76.974699999999999</v>
      </c>
      <c r="K1781">
        <v>114.157</v>
      </c>
      <c r="L1781">
        <v>4.6208</v>
      </c>
      <c r="M1781">
        <v>27.1524</v>
      </c>
      <c r="N1781">
        <v>2.6503999999999999</v>
      </c>
      <c r="O1781">
        <v>-3.4861</v>
      </c>
      <c r="P1781">
        <v>94.13</v>
      </c>
      <c r="S1781">
        <f t="shared" si="597"/>
        <v>925.94810000000007</v>
      </c>
      <c r="T1781">
        <f t="shared" si="598"/>
        <v>1.696811634690517E-2</v>
      </c>
      <c r="U1781">
        <f t="shared" si="599"/>
        <v>0.20005502919500345</v>
      </c>
      <c r="V1781">
        <f t="shared" si="600"/>
        <v>4.7623221570319473E-2</v>
      </c>
      <c r="W1781">
        <f t="shared" si="601"/>
        <v>5.6247899492503314E-4</v>
      </c>
      <c r="X1781">
        <f t="shared" si="602"/>
        <v>0.13066387052108519</v>
      </c>
      <c r="Y1781">
        <f t="shared" si="603"/>
        <v>9.3746499154172199E-5</v>
      </c>
      <c r="Z1781">
        <f t="shared" si="604"/>
        <v>1.9686764822376161E-3</v>
      </c>
      <c r="AA1781">
        <f t="shared" si="605"/>
        <v>0.26114324793183497</v>
      </c>
      <c r="AB1781">
        <f t="shared" si="606"/>
        <v>7.2161086484426581E-2</v>
      </c>
      <c r="AC1781">
        <f t="shared" si="607"/>
        <v>0.10701819103942835</v>
      </c>
      <c r="AD1781">
        <f t="shared" si="608"/>
        <v>4.3318382329159888E-3</v>
      </c>
      <c r="AE1781">
        <f t="shared" si="609"/>
        <v>2.5454424436337449E-2</v>
      </c>
      <c r="AG1781">
        <f t="shared" si="610"/>
        <v>1.4689443366675741</v>
      </c>
      <c r="AH1781">
        <f t="shared" si="611"/>
        <v>0.42338956404596756</v>
      </c>
      <c r="AI1781">
        <f t="shared" si="612"/>
        <v>0.25096447004538763</v>
      </c>
      <c r="AK1781" s="26" t="e">
        <f t="shared" si="613"/>
        <v>#DIV/0!</v>
      </c>
      <c r="AL1781" s="26" t="e">
        <f t="shared" si="614"/>
        <v>#DIV/0!</v>
      </c>
      <c r="AM1781" s="26" t="e">
        <f t="shared" si="615"/>
        <v>#DIV/0!</v>
      </c>
      <c r="AN1781" s="26" t="e">
        <f t="shared" si="616"/>
        <v>#DIV/0!</v>
      </c>
      <c r="AO1781" s="26" t="e">
        <f t="shared" si="617"/>
        <v>#DIV/0!</v>
      </c>
      <c r="AP1781" s="26" t="e">
        <f t="shared" si="618"/>
        <v>#DIV/0!</v>
      </c>
      <c r="AS1781" s="2">
        <v>43699</v>
      </c>
      <c r="AT1781">
        <v>24</v>
      </c>
      <c r="AU1781">
        <v>292.2</v>
      </c>
      <c r="AV1781">
        <v>29.3</v>
      </c>
      <c r="AW1781">
        <v>0.3</v>
      </c>
      <c r="AX1781">
        <v>221.44</v>
      </c>
      <c r="AY1781">
        <v>0.1</v>
      </c>
      <c r="AZ1781">
        <v>3.3</v>
      </c>
      <c r="BA1781">
        <v>267.29539999999997</v>
      </c>
      <c r="BB1781">
        <v>72.614599999999996</v>
      </c>
      <c r="BC1781">
        <v>90.142200000000003</v>
      </c>
      <c r="BD1781">
        <v>4.7519999999999998</v>
      </c>
      <c r="BE1781">
        <v>27.082999999999998</v>
      </c>
      <c r="BH1781">
        <v>90.13</v>
      </c>
    </row>
    <row r="1782" spans="1:60" x14ac:dyDescent="0.25">
      <c r="A1782" s="2">
        <v>43719</v>
      </c>
      <c r="B1782">
        <v>19.8</v>
      </c>
      <c r="C1782">
        <v>30.2</v>
      </c>
      <c r="D1782">
        <v>62.8</v>
      </c>
      <c r="E1782">
        <v>1.4</v>
      </c>
      <c r="F1782">
        <v>172.09</v>
      </c>
      <c r="G1782">
        <v>0.1</v>
      </c>
      <c r="H1782">
        <v>1.5</v>
      </c>
      <c r="I1782">
        <v>270.22179999999997</v>
      </c>
      <c r="J1782">
        <v>73.008099999999999</v>
      </c>
      <c r="K1782">
        <v>84.519900000000007</v>
      </c>
      <c r="L1782">
        <v>4.6384999999999996</v>
      </c>
      <c r="M1782">
        <v>21.606100000000001</v>
      </c>
      <c r="N1782">
        <v>4.0484999999999998</v>
      </c>
      <c r="O1782">
        <v>-2.1486000000000001</v>
      </c>
      <c r="P1782">
        <v>93.95</v>
      </c>
      <c r="S1782">
        <f t="shared" si="597"/>
        <v>741.88440000000003</v>
      </c>
      <c r="T1782">
        <f t="shared" si="598"/>
        <v>1.8561806832526093E-2</v>
      </c>
      <c r="U1782">
        <f t="shared" si="599"/>
        <v>2.831144274456E-2</v>
      </c>
      <c r="V1782">
        <f t="shared" si="600"/>
        <v>5.8872801468820131E-2</v>
      </c>
      <c r="W1782">
        <f t="shared" si="601"/>
        <v>1.3124509881584105E-3</v>
      </c>
      <c r="X1782">
        <f t="shared" si="602"/>
        <v>0.16132835039441493</v>
      </c>
      <c r="Y1782">
        <f t="shared" si="603"/>
        <v>9.3746499154172199E-5</v>
      </c>
      <c r="Z1782">
        <f t="shared" si="604"/>
        <v>1.406197487312583E-3</v>
      </c>
      <c r="AA1782">
        <f t="shared" si="605"/>
        <v>0.25332347745138883</v>
      </c>
      <c r="AB1782">
        <f t="shared" si="606"/>
        <v>6.8442537848977192E-2</v>
      </c>
      <c r="AC1782">
        <f t="shared" si="607"/>
        <v>7.9234447338607183E-2</v>
      </c>
      <c r="AD1782">
        <f t="shared" si="608"/>
        <v>4.3484313632662771E-3</v>
      </c>
      <c r="AE1782">
        <f t="shared" si="609"/>
        <v>2.02549623537496E-2</v>
      </c>
      <c r="AG1782">
        <f t="shared" si="610"/>
        <v>1.4733490795664448</v>
      </c>
      <c r="AH1782">
        <f t="shared" si="611"/>
        <v>0.29014175876869597</v>
      </c>
      <c r="AI1782">
        <f t="shared" si="612"/>
        <v>-0.43010988454693466</v>
      </c>
      <c r="AK1782" s="26" t="e">
        <f t="shared" si="613"/>
        <v>#DIV/0!</v>
      </c>
      <c r="AL1782" s="26" t="e">
        <f t="shared" si="614"/>
        <v>#DIV/0!</v>
      </c>
      <c r="AM1782" s="26" t="e">
        <f t="shared" si="615"/>
        <v>#DIV/0!</v>
      </c>
      <c r="AN1782" s="26" t="e">
        <f t="shared" si="616"/>
        <v>#DIV/0!</v>
      </c>
      <c r="AO1782" s="26" t="e">
        <f t="shared" si="617"/>
        <v>#DIV/0!</v>
      </c>
      <c r="AP1782" s="26" t="e">
        <f t="shared" si="618"/>
        <v>#DIV/0!</v>
      </c>
      <c r="AS1782" s="2">
        <v>43698</v>
      </c>
      <c r="AT1782">
        <v>22.2</v>
      </c>
      <c r="AU1782">
        <v>464.2</v>
      </c>
      <c r="AV1782">
        <v>13.8</v>
      </c>
      <c r="AW1782">
        <v>0.2</v>
      </c>
      <c r="AX1782">
        <v>202.46</v>
      </c>
      <c r="AY1782">
        <v>0.1</v>
      </c>
      <c r="AZ1782">
        <v>3.3</v>
      </c>
      <c r="BA1782">
        <v>286.91460000000001</v>
      </c>
      <c r="BB1782">
        <v>75.060699999999997</v>
      </c>
      <c r="BC1782">
        <v>106.67230000000001</v>
      </c>
      <c r="BD1782">
        <v>4.7519999999999998</v>
      </c>
      <c r="BE1782">
        <v>33.896599999999999</v>
      </c>
      <c r="BH1782">
        <v>89.8</v>
      </c>
    </row>
    <row r="1783" spans="1:60" x14ac:dyDescent="0.25">
      <c r="A1783" s="2">
        <v>43718</v>
      </c>
      <c r="B1783">
        <v>21.4</v>
      </c>
      <c r="C1783">
        <v>102.4</v>
      </c>
      <c r="D1783">
        <v>36.200000000000003</v>
      </c>
      <c r="E1783">
        <v>2.6</v>
      </c>
      <c r="F1783">
        <v>175.1</v>
      </c>
      <c r="G1783">
        <v>0.5</v>
      </c>
      <c r="H1783">
        <v>1.6</v>
      </c>
      <c r="I1783">
        <v>285.1909</v>
      </c>
      <c r="J1783">
        <v>69.152699999999996</v>
      </c>
      <c r="K1783">
        <v>94.355999999999995</v>
      </c>
      <c r="L1783">
        <v>4.5514999999999999</v>
      </c>
      <c r="M1783">
        <v>21.896000000000001</v>
      </c>
      <c r="N1783">
        <v>2.8900999999999999</v>
      </c>
      <c r="O1783">
        <v>-3.6053999999999999</v>
      </c>
      <c r="P1783">
        <v>93.8</v>
      </c>
      <c r="S1783">
        <f t="shared" si="597"/>
        <v>814.94709999999998</v>
      </c>
      <c r="T1783">
        <f t="shared" si="598"/>
        <v>2.0061750818992849E-2</v>
      </c>
      <c r="U1783">
        <f t="shared" si="599"/>
        <v>9.5996415133872331E-2</v>
      </c>
      <c r="V1783">
        <f t="shared" si="600"/>
        <v>3.3936232693810339E-2</v>
      </c>
      <c r="W1783">
        <f t="shared" si="601"/>
        <v>2.437408978008477E-3</v>
      </c>
      <c r="X1783">
        <f t="shared" si="602"/>
        <v>0.16415012001895551</v>
      </c>
      <c r="Y1783">
        <f t="shared" si="603"/>
        <v>4.6873249577086097E-4</v>
      </c>
      <c r="Z1783">
        <f t="shared" si="604"/>
        <v>1.4999439864667552E-3</v>
      </c>
      <c r="AA1783">
        <f t="shared" si="605"/>
        <v>0.26735648465627604</v>
      </c>
      <c r="AB1783">
        <f t="shared" si="606"/>
        <v>6.4828235320587235E-2</v>
      </c>
      <c r="AC1783">
        <f t="shared" si="607"/>
        <v>8.8455446741910707E-2</v>
      </c>
      <c r="AD1783">
        <f t="shared" si="608"/>
        <v>4.2668719090021472E-3</v>
      </c>
      <c r="AE1783">
        <f t="shared" si="609"/>
        <v>2.0526733454797545E-2</v>
      </c>
      <c r="AG1783">
        <f t="shared" si="610"/>
        <v>1.4831273465722599</v>
      </c>
      <c r="AH1783">
        <f t="shared" si="611"/>
        <v>0.33907733758067465</v>
      </c>
      <c r="AI1783">
        <f t="shared" si="612"/>
        <v>-0.1862359374963293</v>
      </c>
      <c r="AK1783" s="26" t="e">
        <f t="shared" si="613"/>
        <v>#DIV/0!</v>
      </c>
      <c r="AL1783" s="26" t="e">
        <f t="shared" si="614"/>
        <v>#DIV/0!</v>
      </c>
      <c r="AM1783" s="26" t="e">
        <f t="shared" si="615"/>
        <v>#DIV/0!</v>
      </c>
      <c r="AN1783" s="26" t="e">
        <f t="shared" si="616"/>
        <v>#DIV/0!</v>
      </c>
      <c r="AO1783" s="26" t="e">
        <f t="shared" si="617"/>
        <v>#DIV/0!</v>
      </c>
      <c r="AP1783" s="26" t="e">
        <f t="shared" si="618"/>
        <v>#DIV/0!</v>
      </c>
      <c r="AS1783" s="2">
        <v>43697</v>
      </c>
      <c r="AT1783">
        <v>22</v>
      </c>
      <c r="AU1783">
        <v>161.80000000000001</v>
      </c>
      <c r="AV1783">
        <v>23.1</v>
      </c>
      <c r="AW1783">
        <v>0.5</v>
      </c>
      <c r="AX1783">
        <v>113.61</v>
      </c>
      <c r="AZ1783">
        <v>3.6</v>
      </c>
      <c r="BA1783">
        <v>275.3476</v>
      </c>
      <c r="BB1783">
        <v>79.467200000000005</v>
      </c>
      <c r="BC1783">
        <v>121.32129999999999</v>
      </c>
      <c r="BD1783">
        <v>4.7519999999999998</v>
      </c>
      <c r="BE1783">
        <v>34.068899999999999</v>
      </c>
      <c r="BH1783">
        <v>89.54</v>
      </c>
    </row>
    <row r="1784" spans="1:60" x14ac:dyDescent="0.25">
      <c r="A1784" s="2">
        <v>43717</v>
      </c>
      <c r="B1784">
        <v>21.6</v>
      </c>
      <c r="C1784">
        <v>244</v>
      </c>
      <c r="D1784">
        <v>5</v>
      </c>
      <c r="E1784">
        <v>0.8</v>
      </c>
      <c r="F1784">
        <v>74.239999999999995</v>
      </c>
      <c r="G1784">
        <v>0.5</v>
      </c>
      <c r="H1784">
        <v>1.7</v>
      </c>
      <c r="I1784">
        <v>301.47359999999998</v>
      </c>
      <c r="J1784">
        <v>139.92490000000001</v>
      </c>
      <c r="K1784">
        <v>113.0017</v>
      </c>
      <c r="L1784">
        <v>4.6346999999999996</v>
      </c>
      <c r="M1784">
        <v>25.393899999999999</v>
      </c>
      <c r="N1784">
        <v>5.3879999999999999</v>
      </c>
      <c r="O1784">
        <v>-3.4622999999999999</v>
      </c>
      <c r="P1784">
        <v>93.67</v>
      </c>
      <c r="S1784">
        <f t="shared" si="597"/>
        <v>932.26879999999994</v>
      </c>
      <c r="T1784">
        <f t="shared" si="598"/>
        <v>2.0249243817301196E-2</v>
      </c>
      <c r="U1784">
        <f t="shared" si="599"/>
        <v>0.22874145793618014</v>
      </c>
      <c r="V1784">
        <f t="shared" si="600"/>
        <v>4.6873249577086091E-3</v>
      </c>
      <c r="W1784">
        <f t="shared" si="601"/>
        <v>7.4997199323337759E-4</v>
      </c>
      <c r="X1784">
        <f t="shared" si="602"/>
        <v>6.9597400972057424E-2</v>
      </c>
      <c r="Y1784">
        <f t="shared" si="603"/>
        <v>4.6873249577086097E-4</v>
      </c>
      <c r="Z1784">
        <f t="shared" si="604"/>
        <v>1.5936904856209272E-3</v>
      </c>
      <c r="AA1784">
        <f t="shared" si="605"/>
        <v>0.28262094587405245</v>
      </c>
      <c r="AB1784">
        <f t="shared" si="606"/>
        <v>0.13117469519497629</v>
      </c>
      <c r="AC1784">
        <f t="shared" si="607"/>
        <v>0.1059351377347002</v>
      </c>
      <c r="AD1784">
        <f t="shared" si="608"/>
        <v>4.3448689962984179E-3</v>
      </c>
      <c r="AE1784">
        <f t="shared" si="609"/>
        <v>2.3805892248711331E-2</v>
      </c>
      <c r="AG1784">
        <f t="shared" si="610"/>
        <v>1.4970451718200644</v>
      </c>
      <c r="AH1784">
        <f t="shared" si="611"/>
        <v>0.34989371490658383</v>
      </c>
      <c r="AI1784">
        <f t="shared" si="612"/>
        <v>-0.13371582505213606</v>
      </c>
      <c r="AK1784" s="26" t="e">
        <f t="shared" si="613"/>
        <v>#DIV/0!</v>
      </c>
      <c r="AL1784" s="26" t="e">
        <f t="shared" si="614"/>
        <v>#DIV/0!</v>
      </c>
      <c r="AM1784" s="26" t="e">
        <f t="shared" si="615"/>
        <v>#DIV/0!</v>
      </c>
      <c r="AN1784" s="26" t="e">
        <f t="shared" si="616"/>
        <v>#DIV/0!</v>
      </c>
      <c r="AO1784" s="26" t="e">
        <f t="shared" si="617"/>
        <v>#DIV/0!</v>
      </c>
      <c r="AP1784" s="26" t="e">
        <f t="shared" si="618"/>
        <v>#DIV/0!</v>
      </c>
      <c r="AS1784" s="2">
        <v>43696</v>
      </c>
      <c r="AT1784">
        <v>19.899999999999999</v>
      </c>
      <c r="AU1784">
        <v>151</v>
      </c>
      <c r="AV1784">
        <v>54.9</v>
      </c>
      <c r="AW1784">
        <v>1.1000000000000001</v>
      </c>
      <c r="AX1784">
        <v>164.72</v>
      </c>
      <c r="AY1784">
        <v>0.1</v>
      </c>
      <c r="AZ1784">
        <v>3.4</v>
      </c>
      <c r="BA1784">
        <v>206.53020000000001</v>
      </c>
      <c r="BB1784">
        <v>41.475000000000001</v>
      </c>
      <c r="BC1784">
        <v>71.139700000000005</v>
      </c>
      <c r="BD1784">
        <v>4.7519999999999998</v>
      </c>
      <c r="BE1784">
        <v>24.202400000000001</v>
      </c>
      <c r="BH1784">
        <v>89.25</v>
      </c>
    </row>
    <row r="1785" spans="1:60" x14ac:dyDescent="0.25">
      <c r="A1785" s="2">
        <v>43716</v>
      </c>
      <c r="B1785">
        <v>19.3</v>
      </c>
      <c r="C1785">
        <v>120.4</v>
      </c>
      <c r="D1785">
        <v>8.5</v>
      </c>
      <c r="E1785">
        <v>0.1</v>
      </c>
      <c r="F1785">
        <v>95.79</v>
      </c>
      <c r="G1785">
        <v>0.5</v>
      </c>
      <c r="H1785">
        <v>1.7</v>
      </c>
      <c r="I1785">
        <v>260.85019999999997</v>
      </c>
      <c r="J1785">
        <v>60.957999999999998</v>
      </c>
      <c r="K1785">
        <v>79.615799999999993</v>
      </c>
      <c r="L1785">
        <v>4.6524999999999999</v>
      </c>
      <c r="M1785">
        <v>18.6831</v>
      </c>
      <c r="P1785">
        <v>93.55</v>
      </c>
      <c r="S1785">
        <f t="shared" si="597"/>
        <v>671.04960000000005</v>
      </c>
      <c r="T1785">
        <f t="shared" si="598"/>
        <v>1.8093074336755232E-2</v>
      </c>
      <c r="U1785">
        <f t="shared" si="599"/>
        <v>0.11287078498162333</v>
      </c>
      <c r="V1785">
        <f t="shared" si="600"/>
        <v>7.9684524281046359E-3</v>
      </c>
      <c r="W1785">
        <f t="shared" si="601"/>
        <v>9.3746499154172199E-5</v>
      </c>
      <c r="X1785">
        <f t="shared" si="602"/>
        <v>8.9799771539781553E-2</v>
      </c>
      <c r="Y1785">
        <f t="shared" si="603"/>
        <v>4.6873249577086097E-4</v>
      </c>
      <c r="Z1785">
        <f t="shared" si="604"/>
        <v>1.5936904856209272E-3</v>
      </c>
      <c r="AA1785">
        <f t="shared" si="605"/>
        <v>0.24453793053665646</v>
      </c>
      <c r="AB1785">
        <f t="shared" si="606"/>
        <v>5.7145990954400282E-2</v>
      </c>
      <c r="AC1785">
        <f t="shared" si="607"/>
        <v>7.4637025273587412E-2</v>
      </c>
      <c r="AD1785">
        <f t="shared" si="608"/>
        <v>4.3615558731478609E-3</v>
      </c>
      <c r="AE1785">
        <f t="shared" si="609"/>
        <v>1.7514752183473144E-2</v>
      </c>
      <c r="AG1785">
        <f t="shared" si="610"/>
        <v>1.513778576973795</v>
      </c>
      <c r="AH1785">
        <f t="shared" si="611"/>
        <v>0.24840300495028383</v>
      </c>
      <c r="AI1785">
        <f t="shared" si="612"/>
        <v>-0.640933924469822</v>
      </c>
      <c r="AK1785" s="26" t="e">
        <f t="shared" si="613"/>
        <v>#DIV/0!</v>
      </c>
      <c r="AL1785" s="26" t="e">
        <f t="shared" si="614"/>
        <v>#DIV/0!</v>
      </c>
      <c r="AM1785" s="26" t="e">
        <f t="shared" si="615"/>
        <v>#DIV/0!</v>
      </c>
      <c r="AN1785" s="26" t="e">
        <f t="shared" si="616"/>
        <v>#DIV/0!</v>
      </c>
      <c r="AO1785" s="26" t="e">
        <f t="shared" si="617"/>
        <v>#DIV/0!</v>
      </c>
      <c r="AP1785" s="26" t="e">
        <f t="shared" si="618"/>
        <v>#DIV/0!</v>
      </c>
      <c r="AS1785" s="2">
        <v>43695</v>
      </c>
      <c r="AT1785">
        <v>19.8</v>
      </c>
      <c r="AU1785">
        <v>11.8</v>
      </c>
      <c r="AV1785">
        <v>30</v>
      </c>
      <c r="AW1785">
        <v>0.6</v>
      </c>
      <c r="AX1785">
        <v>161.22</v>
      </c>
      <c r="AY1785">
        <v>0.1</v>
      </c>
      <c r="AZ1785">
        <v>3.1</v>
      </c>
      <c r="BA1785">
        <v>160.42259999999999</v>
      </c>
      <c r="BB1785">
        <v>16.604700000000001</v>
      </c>
      <c r="BC1785">
        <v>18.930399999999999</v>
      </c>
      <c r="BD1785">
        <v>4.7039999999999997</v>
      </c>
      <c r="BE1785">
        <v>11.83</v>
      </c>
      <c r="BH1785">
        <v>88.78</v>
      </c>
    </row>
    <row r="1786" spans="1:60" x14ac:dyDescent="0.25">
      <c r="A1786" s="2">
        <v>43715</v>
      </c>
      <c r="B1786">
        <v>18.7</v>
      </c>
      <c r="C1786">
        <v>104.1</v>
      </c>
      <c r="D1786">
        <v>17.8</v>
      </c>
      <c r="E1786">
        <v>0.5</v>
      </c>
      <c r="F1786">
        <v>95.4</v>
      </c>
      <c r="G1786">
        <v>0.5</v>
      </c>
      <c r="H1786">
        <v>1.6</v>
      </c>
      <c r="I1786">
        <v>245.09809999999999</v>
      </c>
      <c r="J1786">
        <v>47.912199999999999</v>
      </c>
      <c r="K1786">
        <v>81.019099999999995</v>
      </c>
      <c r="L1786">
        <v>4.6327999999999996</v>
      </c>
      <c r="M1786">
        <v>16.115300000000001</v>
      </c>
      <c r="P1786">
        <v>93.4</v>
      </c>
      <c r="S1786">
        <f t="shared" si="597"/>
        <v>633.37749999999994</v>
      </c>
      <c r="T1786">
        <f t="shared" si="598"/>
        <v>1.7530595341830199E-2</v>
      </c>
      <c r="U1786">
        <f t="shared" si="599"/>
        <v>9.7590105619493245E-2</v>
      </c>
      <c r="V1786">
        <f t="shared" si="600"/>
        <v>1.6686876849442651E-2</v>
      </c>
      <c r="W1786">
        <f t="shared" si="601"/>
        <v>4.6873249577086097E-4</v>
      </c>
      <c r="X1786">
        <f t="shared" si="602"/>
        <v>8.9434160193080273E-2</v>
      </c>
      <c r="Y1786">
        <f t="shared" si="603"/>
        <v>4.6873249577086097E-4</v>
      </c>
      <c r="Z1786">
        <f t="shared" si="604"/>
        <v>1.4999439864667552E-3</v>
      </c>
      <c r="AA1786">
        <f t="shared" si="605"/>
        <v>0.22977088824339209</v>
      </c>
      <c r="AB1786">
        <f t="shared" si="606"/>
        <v>4.4916010167745289E-2</v>
      </c>
      <c r="AC1786">
        <f t="shared" si="607"/>
        <v>7.5952569896217917E-2</v>
      </c>
      <c r="AD1786">
        <f t="shared" si="608"/>
        <v>4.3430878128144891E-3</v>
      </c>
      <c r="AE1786">
        <f t="shared" si="609"/>
        <v>1.5107529578192311E-2</v>
      </c>
      <c r="AG1786">
        <f t="shared" si="610"/>
        <v>1.5268664242685774</v>
      </c>
      <c r="AH1786">
        <f t="shared" si="611"/>
        <v>0.23878667656004715</v>
      </c>
      <c r="AI1786">
        <f t="shared" si="612"/>
        <v>-0.69830505244858132</v>
      </c>
      <c r="AK1786" s="26" t="e">
        <f t="shared" si="613"/>
        <v>#DIV/0!</v>
      </c>
      <c r="AL1786" s="26" t="e">
        <f t="shared" si="614"/>
        <v>#DIV/0!</v>
      </c>
      <c r="AM1786" s="26" t="e">
        <f t="shared" si="615"/>
        <v>#DIV/0!</v>
      </c>
      <c r="AN1786" s="26" t="e">
        <f t="shared" si="616"/>
        <v>#DIV/0!</v>
      </c>
      <c r="AO1786" s="26" t="e">
        <f t="shared" si="617"/>
        <v>#DIV/0!</v>
      </c>
      <c r="AP1786" s="26" t="e">
        <f t="shared" si="618"/>
        <v>#DIV/0!</v>
      </c>
      <c r="AS1786" s="2">
        <v>43694</v>
      </c>
      <c r="AT1786">
        <v>21.3</v>
      </c>
      <c r="AU1786">
        <v>165.9</v>
      </c>
      <c r="AV1786">
        <v>53.2</v>
      </c>
      <c r="AW1786">
        <v>1.4</v>
      </c>
      <c r="AX1786">
        <v>103.32</v>
      </c>
      <c r="AY1786">
        <v>0.1</v>
      </c>
      <c r="AZ1786">
        <v>3.3</v>
      </c>
      <c r="BA1786">
        <v>154.65090000000001</v>
      </c>
      <c r="BB1786">
        <v>16.129799999999999</v>
      </c>
      <c r="BC1786">
        <v>19.171399999999998</v>
      </c>
      <c r="BD1786">
        <v>4.7039999999999997</v>
      </c>
      <c r="BE1786">
        <v>21.740600000000001</v>
      </c>
      <c r="BH1786">
        <v>88.38</v>
      </c>
    </row>
    <row r="1787" spans="1:60" x14ac:dyDescent="0.25">
      <c r="A1787" s="2">
        <v>43714</v>
      </c>
      <c r="B1787">
        <v>19</v>
      </c>
      <c r="C1787">
        <v>267.60000000000002</v>
      </c>
      <c r="D1787">
        <v>58.8</v>
      </c>
      <c r="E1787">
        <v>1.3</v>
      </c>
      <c r="F1787">
        <v>157.28</v>
      </c>
      <c r="G1787">
        <v>0.5</v>
      </c>
      <c r="H1787">
        <v>1.9</v>
      </c>
      <c r="I1787">
        <v>229.5127</v>
      </c>
      <c r="J1787">
        <v>52.106499999999997</v>
      </c>
      <c r="K1787">
        <v>112.00920000000001</v>
      </c>
      <c r="L1787">
        <v>4.5848000000000004</v>
      </c>
      <c r="M1787">
        <v>26.049700000000001</v>
      </c>
      <c r="N1787">
        <v>4.6818999999999997</v>
      </c>
      <c r="O1787">
        <v>-3.7256</v>
      </c>
      <c r="P1787">
        <v>93.27</v>
      </c>
      <c r="S1787">
        <f t="shared" si="597"/>
        <v>930.64289999999994</v>
      </c>
      <c r="T1787">
        <f t="shared" si="598"/>
        <v>1.7811834839292717E-2</v>
      </c>
      <c r="U1787">
        <f t="shared" si="599"/>
        <v>0.25086563173656479</v>
      </c>
      <c r="V1787">
        <f t="shared" si="600"/>
        <v>5.5122941502653247E-2</v>
      </c>
      <c r="W1787">
        <f t="shared" si="601"/>
        <v>1.2187044890042385E-3</v>
      </c>
      <c r="X1787">
        <f t="shared" si="602"/>
        <v>0.14744449386968203</v>
      </c>
      <c r="Y1787">
        <f t="shared" si="603"/>
        <v>4.6873249577086097E-4</v>
      </c>
      <c r="Z1787">
        <f t="shared" si="604"/>
        <v>1.7811834839292716E-3</v>
      </c>
      <c r="AA1787">
        <f t="shared" si="605"/>
        <v>0.21516012136421775</v>
      </c>
      <c r="AB1787">
        <f t="shared" si="606"/>
        <v>4.884801958176873E-2</v>
      </c>
      <c r="AC1787">
        <f t="shared" si="607"/>
        <v>0.10500470373059505</v>
      </c>
      <c r="AD1787">
        <f t="shared" si="608"/>
        <v>4.2980894932204868E-3</v>
      </c>
      <c r="AE1787">
        <f t="shared" si="609"/>
        <v>2.4420681790164395E-2</v>
      </c>
      <c r="AG1787">
        <f t="shared" si="610"/>
        <v>1.54450756893174</v>
      </c>
      <c r="AH1787">
        <f t="shared" si="611"/>
        <v>0.49913420420706145</v>
      </c>
      <c r="AI1787">
        <f t="shared" si="612"/>
        <v>0.57215470568245264</v>
      </c>
      <c r="AK1787" s="26" t="e">
        <f t="shared" si="613"/>
        <v>#DIV/0!</v>
      </c>
      <c r="AL1787" s="26" t="e">
        <f t="shared" si="614"/>
        <v>#DIV/0!</v>
      </c>
      <c r="AM1787" s="26" t="e">
        <f t="shared" si="615"/>
        <v>#DIV/0!</v>
      </c>
      <c r="AN1787" s="26" t="e">
        <f t="shared" si="616"/>
        <v>#DIV/0!</v>
      </c>
      <c r="AO1787" s="26" t="e">
        <f t="shared" si="617"/>
        <v>#DIV/0!</v>
      </c>
      <c r="AP1787" s="26" t="e">
        <f t="shared" si="618"/>
        <v>#DIV/0!</v>
      </c>
      <c r="AS1787" s="2">
        <v>43693</v>
      </c>
      <c r="AT1787">
        <v>21.5</v>
      </c>
      <c r="AU1787">
        <v>370.8</v>
      </c>
      <c r="AV1787">
        <v>32.1</v>
      </c>
      <c r="AW1787">
        <v>0.8</v>
      </c>
      <c r="AX1787">
        <v>188.32</v>
      </c>
      <c r="AY1787">
        <v>0.1</v>
      </c>
      <c r="AZ1787">
        <v>3.3</v>
      </c>
      <c r="BA1787">
        <v>216.20240000000001</v>
      </c>
      <c r="BB1787">
        <v>33.751100000000001</v>
      </c>
      <c r="BC1787">
        <v>75.139300000000006</v>
      </c>
      <c r="BD1787">
        <v>4.7037000000000004</v>
      </c>
      <c r="BE1787">
        <v>26.065200000000001</v>
      </c>
      <c r="BH1787">
        <v>88.02</v>
      </c>
    </row>
    <row r="1788" spans="1:60" x14ac:dyDescent="0.25">
      <c r="A1788" s="2">
        <v>43713</v>
      </c>
      <c r="B1788">
        <v>18.399999999999999</v>
      </c>
      <c r="C1788">
        <v>20.6</v>
      </c>
      <c r="D1788">
        <v>55.9</v>
      </c>
      <c r="E1788">
        <v>2.2000000000000002</v>
      </c>
      <c r="F1788">
        <v>127.02</v>
      </c>
      <c r="G1788">
        <v>0.1</v>
      </c>
      <c r="H1788">
        <v>2.7</v>
      </c>
      <c r="I1788">
        <v>227.38460000000001</v>
      </c>
      <c r="J1788">
        <v>58.2821</v>
      </c>
      <c r="K1788">
        <v>103.2672</v>
      </c>
      <c r="L1788">
        <v>4.6273999999999997</v>
      </c>
      <c r="M1788">
        <v>16.393699999999999</v>
      </c>
      <c r="N1788">
        <v>4.5423</v>
      </c>
      <c r="O1788">
        <v>-4.0442999999999998</v>
      </c>
      <c r="P1788">
        <v>93.14</v>
      </c>
      <c r="S1788">
        <f t="shared" si="597"/>
        <v>636.87499999999989</v>
      </c>
      <c r="T1788">
        <f t="shared" si="598"/>
        <v>1.7249355844367681E-2</v>
      </c>
      <c r="U1788">
        <f t="shared" si="599"/>
        <v>1.9311778825759473E-2</v>
      </c>
      <c r="V1788">
        <f t="shared" si="600"/>
        <v>5.2404293027182254E-2</v>
      </c>
      <c r="W1788">
        <f t="shared" si="601"/>
        <v>2.0624229813917885E-3</v>
      </c>
      <c r="X1788">
        <f t="shared" si="602"/>
        <v>0.11907680322562951</v>
      </c>
      <c r="Y1788">
        <f t="shared" si="603"/>
        <v>9.3746499154172199E-5</v>
      </c>
      <c r="Z1788">
        <f t="shared" si="604"/>
        <v>2.5311554771626494E-3</v>
      </c>
      <c r="AA1788">
        <f t="shared" si="605"/>
        <v>0.21316510211571782</v>
      </c>
      <c r="AB1788">
        <f t="shared" si="606"/>
        <v>5.463742838353379E-2</v>
      </c>
      <c r="AC1788">
        <f t="shared" si="607"/>
        <v>9.6809384774537308E-2</v>
      </c>
      <c r="AD1788">
        <f t="shared" si="608"/>
        <v>4.3380255018601634E-3</v>
      </c>
      <c r="AE1788">
        <f t="shared" si="609"/>
        <v>1.5368519831837525E-2</v>
      </c>
      <c r="AG1788">
        <f t="shared" si="610"/>
        <v>1.5636916160811982</v>
      </c>
      <c r="AH1788">
        <f t="shared" si="611"/>
        <v>0.22809807571248503</v>
      </c>
      <c r="AI1788">
        <f t="shared" si="612"/>
        <v>-0.74368575423712158</v>
      </c>
      <c r="AK1788" s="26" t="e">
        <f t="shared" si="613"/>
        <v>#DIV/0!</v>
      </c>
      <c r="AL1788" s="26" t="e">
        <f t="shared" si="614"/>
        <v>#DIV/0!</v>
      </c>
      <c r="AM1788" s="26" t="e">
        <f t="shared" si="615"/>
        <v>#DIV/0!</v>
      </c>
      <c r="AN1788" s="26" t="e">
        <f t="shared" si="616"/>
        <v>#DIV/0!</v>
      </c>
      <c r="AO1788" s="26" t="e">
        <f t="shared" si="617"/>
        <v>#DIV/0!</v>
      </c>
      <c r="AP1788" s="26" t="e">
        <f t="shared" si="618"/>
        <v>#DIV/0!</v>
      </c>
      <c r="AS1788" s="2">
        <v>43692</v>
      </c>
      <c r="AT1788">
        <v>21.8</v>
      </c>
      <c r="AU1788">
        <v>115.5</v>
      </c>
      <c r="AV1788">
        <v>46.2</v>
      </c>
      <c r="AW1788">
        <v>1.3</v>
      </c>
      <c r="AX1788">
        <v>117.12</v>
      </c>
      <c r="AY1788">
        <v>0.1</v>
      </c>
      <c r="AZ1788">
        <v>3.2</v>
      </c>
      <c r="BA1788">
        <v>183.72739999999999</v>
      </c>
      <c r="BB1788">
        <v>47.5916</v>
      </c>
      <c r="BC1788">
        <v>55.328099999999999</v>
      </c>
      <c r="BD1788">
        <v>4.7039999999999997</v>
      </c>
      <c r="BE1788">
        <v>13.444800000000001</v>
      </c>
      <c r="BH1788">
        <v>87.71</v>
      </c>
    </row>
    <row r="1789" spans="1:60" x14ac:dyDescent="0.25">
      <c r="A1789" s="2">
        <v>43712</v>
      </c>
      <c r="B1789">
        <v>19.8</v>
      </c>
      <c r="C1789">
        <v>33.299999999999997</v>
      </c>
      <c r="D1789">
        <v>42</v>
      </c>
      <c r="E1789">
        <v>0.9</v>
      </c>
      <c r="F1789">
        <v>197.61</v>
      </c>
      <c r="G1789">
        <v>0.1</v>
      </c>
      <c r="H1789">
        <v>3.2</v>
      </c>
      <c r="I1789">
        <v>245.1234</v>
      </c>
      <c r="J1789">
        <v>76.8416</v>
      </c>
      <c r="K1789">
        <v>118.21469999999999</v>
      </c>
      <c r="L1789">
        <v>4.5408999999999997</v>
      </c>
      <c r="M1789">
        <v>26.991800000000001</v>
      </c>
      <c r="N1789">
        <v>5.0518999999999998</v>
      </c>
      <c r="O1789">
        <v>-3.8344</v>
      </c>
      <c r="P1789">
        <v>92.97</v>
      </c>
      <c r="S1789">
        <f t="shared" si="597"/>
        <v>768.62239999999997</v>
      </c>
      <c r="T1789">
        <f t="shared" si="598"/>
        <v>1.8561806832526093E-2</v>
      </c>
      <c r="U1789">
        <f t="shared" si="599"/>
        <v>3.1217584218339336E-2</v>
      </c>
      <c r="V1789">
        <f t="shared" si="600"/>
        <v>3.9373529644752318E-2</v>
      </c>
      <c r="W1789">
        <f t="shared" si="601"/>
        <v>8.4371849238754971E-4</v>
      </c>
      <c r="X1789">
        <f t="shared" si="602"/>
        <v>0.18525245697855969</v>
      </c>
      <c r="Y1789">
        <f t="shared" si="603"/>
        <v>9.3746499154172199E-5</v>
      </c>
      <c r="Z1789">
        <f t="shared" si="604"/>
        <v>2.9998879729335104E-3</v>
      </c>
      <c r="AA1789">
        <f t="shared" si="605"/>
        <v>0.22979460610767813</v>
      </c>
      <c r="AB1789">
        <f t="shared" si="606"/>
        <v>7.203630989405238E-2</v>
      </c>
      <c r="AC1789">
        <f t="shared" si="607"/>
        <v>0.11082214273560718</v>
      </c>
      <c r="AD1789">
        <f t="shared" si="608"/>
        <v>4.2569347800918049E-3</v>
      </c>
      <c r="AE1789">
        <f t="shared" si="609"/>
        <v>2.5303867558695851E-2</v>
      </c>
      <c r="AG1789">
        <f t="shared" si="610"/>
        <v>1.577648247395889</v>
      </c>
      <c r="AH1789">
        <f t="shared" si="611"/>
        <v>0.30364659819734852</v>
      </c>
      <c r="AI1789">
        <f t="shared" si="612"/>
        <v>-0.38981719227022632</v>
      </c>
      <c r="AK1789" s="26" t="e">
        <f t="shared" si="613"/>
        <v>#DIV/0!</v>
      </c>
      <c r="AL1789" s="26" t="e">
        <f t="shared" si="614"/>
        <v>#DIV/0!</v>
      </c>
      <c r="AM1789" s="26" t="e">
        <f t="shared" si="615"/>
        <v>#DIV/0!</v>
      </c>
      <c r="AN1789" s="26" t="e">
        <f t="shared" si="616"/>
        <v>#DIV/0!</v>
      </c>
      <c r="AO1789" s="26" t="e">
        <f t="shared" si="617"/>
        <v>#DIV/0!</v>
      </c>
      <c r="AP1789" s="26" t="e">
        <f t="shared" si="618"/>
        <v>#DIV/0!</v>
      </c>
      <c r="AS1789" s="2">
        <v>43691</v>
      </c>
      <c r="AT1789">
        <v>22.3</v>
      </c>
      <c r="AU1789">
        <v>245.8</v>
      </c>
      <c r="AV1789">
        <v>29</v>
      </c>
      <c r="AW1789">
        <v>0.7</v>
      </c>
      <c r="AX1789">
        <v>205.22</v>
      </c>
      <c r="AY1789">
        <v>0.1</v>
      </c>
      <c r="AZ1789">
        <v>3.6</v>
      </c>
      <c r="BA1789">
        <v>203.86240000000001</v>
      </c>
      <c r="BB1789">
        <v>72.474199999999996</v>
      </c>
      <c r="BC1789">
        <v>99.673199999999994</v>
      </c>
      <c r="BD1789">
        <v>4.71</v>
      </c>
      <c r="BE1789">
        <v>25.343</v>
      </c>
      <c r="BH1789">
        <v>87.36</v>
      </c>
    </row>
    <row r="1790" spans="1:60" x14ac:dyDescent="0.25">
      <c r="A1790" s="2">
        <v>43711</v>
      </c>
      <c r="B1790">
        <v>21.7</v>
      </c>
      <c r="C1790">
        <v>67.2</v>
      </c>
      <c r="D1790">
        <v>64.099999999999994</v>
      </c>
      <c r="E1790">
        <v>1.1000000000000001</v>
      </c>
      <c r="F1790">
        <v>171.87</v>
      </c>
      <c r="G1790">
        <v>0.1</v>
      </c>
      <c r="H1790">
        <v>2.7</v>
      </c>
      <c r="I1790">
        <v>264.0718</v>
      </c>
      <c r="J1790">
        <v>88.233699999999999</v>
      </c>
      <c r="K1790">
        <v>114.0972</v>
      </c>
      <c r="L1790">
        <v>4.3693</v>
      </c>
      <c r="M1790">
        <v>23.005199999999999</v>
      </c>
      <c r="N1790">
        <v>3.7835999999999999</v>
      </c>
      <c r="O1790">
        <v>-4.8696999999999999</v>
      </c>
      <c r="P1790">
        <v>92.78</v>
      </c>
      <c r="S1790">
        <f t="shared" si="597"/>
        <v>822.54719999999998</v>
      </c>
      <c r="T1790">
        <f t="shared" si="598"/>
        <v>2.0342990316455364E-2</v>
      </c>
      <c r="U1790">
        <f t="shared" si="599"/>
        <v>6.2997647431603715E-2</v>
      </c>
      <c r="V1790">
        <f t="shared" si="600"/>
        <v>6.0091505957824372E-2</v>
      </c>
      <c r="W1790">
        <f t="shared" si="601"/>
        <v>1.0312114906958943E-3</v>
      </c>
      <c r="X1790">
        <f t="shared" si="602"/>
        <v>0.16112210809627575</v>
      </c>
      <c r="Y1790">
        <f t="shared" si="603"/>
        <v>9.3746499154172199E-5</v>
      </c>
      <c r="Z1790">
        <f t="shared" si="604"/>
        <v>2.5311554771626494E-3</v>
      </c>
      <c r="AA1790">
        <f t="shared" si="605"/>
        <v>0.24755806775340727</v>
      </c>
      <c r="AB1790">
        <f t="shared" si="606"/>
        <v>8.2716004824194833E-2</v>
      </c>
      <c r="AC1790">
        <f t="shared" si="607"/>
        <v>0.10696213063293415</v>
      </c>
      <c r="AD1790">
        <f t="shared" si="608"/>
        <v>4.0960657875432453E-3</v>
      </c>
      <c r="AE1790">
        <f t="shared" si="609"/>
        <v>2.1566569623415618E-2</v>
      </c>
      <c r="AG1790">
        <f t="shared" si="610"/>
        <v>1.589423838908427</v>
      </c>
      <c r="AH1790">
        <f t="shared" si="611"/>
        <v>0.32977693489258753</v>
      </c>
      <c r="AI1790">
        <f t="shared" si="612"/>
        <v>-0.26931283460014949</v>
      </c>
      <c r="AK1790" s="26" t="e">
        <f t="shared" si="613"/>
        <v>#DIV/0!</v>
      </c>
      <c r="AL1790" s="26" t="e">
        <f t="shared" si="614"/>
        <v>#DIV/0!</v>
      </c>
      <c r="AM1790" s="26" t="e">
        <f t="shared" si="615"/>
        <v>#DIV/0!</v>
      </c>
      <c r="AN1790" s="26" t="e">
        <f t="shared" si="616"/>
        <v>#DIV/0!</v>
      </c>
      <c r="AO1790" s="26" t="e">
        <f t="shared" si="617"/>
        <v>#DIV/0!</v>
      </c>
      <c r="AP1790" s="26" t="e">
        <f t="shared" si="618"/>
        <v>#DIV/0!</v>
      </c>
      <c r="AS1790" s="2">
        <v>43690</v>
      </c>
      <c r="AT1790">
        <v>22.3</v>
      </c>
      <c r="AU1790">
        <v>257.60000000000002</v>
      </c>
      <c r="AV1790">
        <v>19.7</v>
      </c>
      <c r="AW1790">
        <v>1.3</v>
      </c>
      <c r="AX1790">
        <v>166.26</v>
      </c>
      <c r="AY1790">
        <v>0.1</v>
      </c>
      <c r="AZ1790">
        <v>3.6</v>
      </c>
      <c r="BA1790">
        <v>214.71430000000001</v>
      </c>
      <c r="BB1790">
        <v>73.253900000000002</v>
      </c>
      <c r="BC1790">
        <v>108.43219999999999</v>
      </c>
      <c r="BD1790">
        <v>4.7198000000000002</v>
      </c>
      <c r="BE1790">
        <v>19.294</v>
      </c>
      <c r="BH1790">
        <v>87.03</v>
      </c>
    </row>
    <row r="1791" spans="1:60" x14ac:dyDescent="0.25">
      <c r="A1791" s="2">
        <v>43710</v>
      </c>
      <c r="C1791">
        <v>4.9000000000000004</v>
      </c>
      <c r="F1791">
        <v>160.08000000000001</v>
      </c>
      <c r="K1791">
        <v>85.657600000000002</v>
      </c>
      <c r="N1791">
        <v>4.2239000000000004</v>
      </c>
      <c r="O1791">
        <v>-4.1132</v>
      </c>
      <c r="P1791">
        <v>92.62</v>
      </c>
      <c r="S1791">
        <f t="shared" si="597"/>
        <v>250.63760000000002</v>
      </c>
      <c r="T1791">
        <f t="shared" si="598"/>
        <v>0</v>
      </c>
      <c r="U1791">
        <f t="shared" si="599"/>
        <v>4.5935784585544375E-3</v>
      </c>
      <c r="V1791">
        <f t="shared" si="600"/>
        <v>0</v>
      </c>
      <c r="W1791">
        <f t="shared" si="601"/>
        <v>0</v>
      </c>
      <c r="X1791">
        <f t="shared" si="602"/>
        <v>0.15006939584599885</v>
      </c>
      <c r="Y1791">
        <f t="shared" si="603"/>
        <v>0</v>
      </c>
      <c r="Z1791">
        <f t="shared" si="604"/>
        <v>0</v>
      </c>
      <c r="AA1791">
        <f t="shared" si="605"/>
        <v>0</v>
      </c>
      <c r="AB1791">
        <f t="shared" si="606"/>
        <v>0</v>
      </c>
      <c r="AC1791">
        <f t="shared" si="607"/>
        <v>8.0301001259484195E-2</v>
      </c>
      <c r="AD1791">
        <f t="shared" si="608"/>
        <v>0</v>
      </c>
      <c r="AE1791">
        <f t="shared" si="609"/>
        <v>0</v>
      </c>
      <c r="AG1791">
        <f t="shared" si="610"/>
        <v>1.6077222404731888</v>
      </c>
      <c r="AH1791">
        <f t="shared" si="611"/>
        <v>0.15466297430455328</v>
      </c>
      <c r="AI1791">
        <f t="shared" si="612"/>
        <v>-1.1058013933004693</v>
      </c>
      <c r="AK1791" s="26" t="e">
        <f t="shared" si="613"/>
        <v>#DIV/0!</v>
      </c>
      <c r="AL1791" s="26" t="e">
        <f t="shared" si="614"/>
        <v>#DIV/0!</v>
      </c>
      <c r="AM1791" s="26" t="e">
        <f t="shared" si="615"/>
        <v>#DIV/0!</v>
      </c>
      <c r="AN1791" s="26" t="e">
        <f t="shared" si="616"/>
        <v>#DIV/0!</v>
      </c>
      <c r="AO1791" s="26" t="e">
        <f t="shared" si="617"/>
        <v>#DIV/0!</v>
      </c>
      <c r="AP1791" s="26" t="e">
        <f t="shared" si="618"/>
        <v>#DIV/0!</v>
      </c>
      <c r="AS1791" s="2">
        <v>43689</v>
      </c>
      <c r="AT1791">
        <v>19.899999999999999</v>
      </c>
      <c r="AU1791">
        <v>378.6</v>
      </c>
      <c r="AV1791">
        <v>51.5</v>
      </c>
      <c r="AW1791">
        <v>0.9</v>
      </c>
      <c r="AX1791">
        <v>138.22999999999999</v>
      </c>
      <c r="AY1791">
        <v>0.1</v>
      </c>
      <c r="AZ1791">
        <v>3.4</v>
      </c>
      <c r="BA1791">
        <v>222.3588</v>
      </c>
      <c r="BB1791">
        <v>74.436599999999999</v>
      </c>
      <c r="BC1791">
        <v>105.4734</v>
      </c>
      <c r="BD1791">
        <v>4.7621000000000002</v>
      </c>
      <c r="BE1791">
        <v>20.872199999999999</v>
      </c>
      <c r="BH1791">
        <v>86.79</v>
      </c>
    </row>
    <row r="1792" spans="1:60" x14ac:dyDescent="0.25">
      <c r="A1792" s="2">
        <v>43709</v>
      </c>
      <c r="B1792">
        <v>18.5</v>
      </c>
      <c r="C1792">
        <v>39.1</v>
      </c>
      <c r="D1792">
        <v>31.7</v>
      </c>
      <c r="E1792">
        <v>0.1</v>
      </c>
      <c r="F1792">
        <v>142.09</v>
      </c>
      <c r="G1792">
        <v>0.1</v>
      </c>
      <c r="H1792">
        <v>3.1</v>
      </c>
      <c r="I1792">
        <v>217.90170000000001</v>
      </c>
      <c r="J1792">
        <v>55.508499999999998</v>
      </c>
      <c r="K1792">
        <v>43.0959</v>
      </c>
      <c r="L1792">
        <v>4.5659999999999998</v>
      </c>
      <c r="M1792">
        <v>7.2934999999999999</v>
      </c>
      <c r="P1792">
        <v>92.41</v>
      </c>
      <c r="S1792">
        <f t="shared" si="597"/>
        <v>563.05560000000003</v>
      </c>
      <c r="T1792">
        <f t="shared" si="598"/>
        <v>1.7343102343521856E-2</v>
      </c>
      <c r="U1792">
        <f t="shared" si="599"/>
        <v>3.6654881169281325E-2</v>
      </c>
      <c r="V1792">
        <f t="shared" si="600"/>
        <v>2.9717640231872584E-2</v>
      </c>
      <c r="W1792">
        <f t="shared" si="601"/>
        <v>9.3746499154172199E-5</v>
      </c>
      <c r="X1792">
        <f t="shared" si="602"/>
        <v>0.13320440064816327</v>
      </c>
      <c r="Y1792">
        <f t="shared" si="603"/>
        <v>9.3746499154172199E-5</v>
      </c>
      <c r="Z1792">
        <f t="shared" si="604"/>
        <v>2.9061414737793379E-3</v>
      </c>
      <c r="AA1792">
        <f t="shared" si="605"/>
        <v>0.20427521534742682</v>
      </c>
      <c r="AB1792">
        <f t="shared" si="606"/>
        <v>5.2037275482993667E-2</v>
      </c>
      <c r="AC1792">
        <f t="shared" si="607"/>
        <v>4.040089752898289E-2</v>
      </c>
      <c r="AD1792">
        <f t="shared" si="608"/>
        <v>4.2804651513795025E-3</v>
      </c>
      <c r="AE1792">
        <f t="shared" si="609"/>
        <v>6.8374009158095484E-3</v>
      </c>
      <c r="AG1792">
        <f t="shared" si="610"/>
        <v>1.6187856255003497</v>
      </c>
      <c r="AH1792">
        <f t="shared" si="611"/>
        <v>0.22685105978073627</v>
      </c>
      <c r="AI1792">
        <f t="shared" si="612"/>
        <v>-0.79260971619848597</v>
      </c>
      <c r="AK1792" s="26" t="e">
        <f t="shared" si="613"/>
        <v>#DIV/0!</v>
      </c>
      <c r="AL1792" s="26" t="e">
        <f t="shared" si="614"/>
        <v>#DIV/0!</v>
      </c>
      <c r="AM1792" s="26" t="e">
        <f t="shared" si="615"/>
        <v>#DIV/0!</v>
      </c>
      <c r="AN1792" s="26" t="e">
        <f t="shared" si="616"/>
        <v>#DIV/0!</v>
      </c>
      <c r="AO1792" s="26" t="e">
        <f t="shared" si="617"/>
        <v>#DIV/0!</v>
      </c>
      <c r="AP1792" s="26" t="e">
        <f t="shared" si="618"/>
        <v>#DIV/0!</v>
      </c>
      <c r="AS1792" s="2">
        <v>43688</v>
      </c>
      <c r="AT1792">
        <v>19.5</v>
      </c>
      <c r="AU1792">
        <v>329.2</v>
      </c>
      <c r="AV1792">
        <v>74.099999999999994</v>
      </c>
      <c r="AW1792">
        <v>1.6</v>
      </c>
      <c r="AX1792">
        <v>194.32</v>
      </c>
      <c r="AY1792">
        <v>0.1</v>
      </c>
      <c r="AZ1792">
        <v>3.4</v>
      </c>
      <c r="BA1792">
        <v>115.3158</v>
      </c>
      <c r="BB1792">
        <v>36.089500000000001</v>
      </c>
      <c r="BC1792">
        <v>22.6524</v>
      </c>
      <c r="BD1792">
        <v>4.8079000000000001</v>
      </c>
      <c r="BE1792">
        <v>17.075399999999998</v>
      </c>
      <c r="BH1792">
        <v>86.49</v>
      </c>
    </row>
    <row r="1793" spans="1:60" x14ac:dyDescent="0.25">
      <c r="A1793" s="2">
        <v>43708</v>
      </c>
      <c r="B1793">
        <v>19.2</v>
      </c>
      <c r="C1793">
        <v>26.7</v>
      </c>
      <c r="D1793">
        <v>14.4</v>
      </c>
      <c r="E1793">
        <v>0.1</v>
      </c>
      <c r="F1793">
        <v>211.18</v>
      </c>
      <c r="G1793">
        <v>0.1</v>
      </c>
      <c r="H1793">
        <v>3.5</v>
      </c>
      <c r="I1793">
        <v>266.14179999999999</v>
      </c>
      <c r="J1793">
        <v>58.034300000000002</v>
      </c>
      <c r="K1793">
        <v>56.157800000000002</v>
      </c>
      <c r="L1793">
        <v>4.5176999999999996</v>
      </c>
      <c r="M1793">
        <v>13.162699999999999</v>
      </c>
      <c r="P1793">
        <v>91.83</v>
      </c>
      <c r="S1793">
        <f t="shared" si="597"/>
        <v>673.19429999999988</v>
      </c>
      <c r="T1793">
        <f t="shared" si="598"/>
        <v>1.799932783760106E-2</v>
      </c>
      <c r="U1793">
        <f t="shared" si="599"/>
        <v>2.5030315274163974E-2</v>
      </c>
      <c r="V1793">
        <f t="shared" si="600"/>
        <v>1.3499495878200795E-2</v>
      </c>
      <c r="W1793">
        <f t="shared" si="601"/>
        <v>9.3746499154172199E-5</v>
      </c>
      <c r="X1793">
        <f t="shared" si="602"/>
        <v>0.19797385691378083</v>
      </c>
      <c r="Y1793">
        <f t="shared" si="603"/>
        <v>9.3746499154172199E-5</v>
      </c>
      <c r="Z1793">
        <f t="shared" si="604"/>
        <v>3.2811274703960268E-3</v>
      </c>
      <c r="AA1793">
        <f t="shared" si="605"/>
        <v>0.24949862028589864</v>
      </c>
      <c r="AB1793">
        <f t="shared" si="606"/>
        <v>5.4405124558629753E-2</v>
      </c>
      <c r="AC1793">
        <f t="shared" si="607"/>
        <v>5.2645971502001711E-2</v>
      </c>
      <c r="AD1793">
        <f t="shared" si="608"/>
        <v>4.235185592288037E-3</v>
      </c>
      <c r="AE1793">
        <f t="shared" si="609"/>
        <v>1.2339570444166222E-2</v>
      </c>
      <c r="AG1793">
        <f t="shared" si="610"/>
        <v>1.5632626015125115</v>
      </c>
      <c r="AH1793">
        <f t="shared" si="611"/>
        <v>0.27031118681661731</v>
      </c>
      <c r="AI1793">
        <f t="shared" si="612"/>
        <v>-0.60269433027343733</v>
      </c>
      <c r="AK1793" s="26" t="e">
        <f t="shared" si="613"/>
        <v>#DIV/0!</v>
      </c>
      <c r="AL1793" s="26" t="e">
        <f t="shared" si="614"/>
        <v>#DIV/0!</v>
      </c>
      <c r="AM1793" s="26" t="e">
        <f t="shared" si="615"/>
        <v>#DIV/0!</v>
      </c>
      <c r="AN1793" s="26" t="e">
        <f t="shared" si="616"/>
        <v>#DIV/0!</v>
      </c>
      <c r="AO1793" s="26" t="e">
        <f t="shared" si="617"/>
        <v>#DIV/0!</v>
      </c>
      <c r="AP1793" s="26" t="e">
        <f t="shared" si="618"/>
        <v>#DIV/0!</v>
      </c>
      <c r="AS1793" s="2">
        <v>43687</v>
      </c>
      <c r="AT1793">
        <v>20.399999999999999</v>
      </c>
      <c r="AU1793">
        <v>195</v>
      </c>
      <c r="AV1793">
        <v>57.1</v>
      </c>
      <c r="AW1793">
        <v>2.4</v>
      </c>
      <c r="AX1793">
        <v>136.59</v>
      </c>
      <c r="AZ1793">
        <v>3.5</v>
      </c>
      <c r="BA1793">
        <v>119.0474</v>
      </c>
      <c r="BB1793">
        <v>38.3414</v>
      </c>
      <c r="BC1793">
        <v>22.226099999999999</v>
      </c>
      <c r="BD1793">
        <v>4.8003</v>
      </c>
      <c r="BE1793">
        <v>17.627400000000002</v>
      </c>
      <c r="BH1793">
        <v>86.1</v>
      </c>
    </row>
    <row r="1794" spans="1:60" x14ac:dyDescent="0.25">
      <c r="A1794" s="2">
        <v>43707</v>
      </c>
      <c r="B1794">
        <v>20.7</v>
      </c>
      <c r="C1794">
        <v>86.8</v>
      </c>
      <c r="D1794">
        <v>18.5</v>
      </c>
      <c r="E1794">
        <v>0.1</v>
      </c>
      <c r="F1794">
        <v>194.69</v>
      </c>
      <c r="G1794">
        <v>0.1</v>
      </c>
      <c r="H1794">
        <v>3.8</v>
      </c>
      <c r="I1794">
        <v>345.9889</v>
      </c>
      <c r="J1794">
        <v>159.07079999999999</v>
      </c>
      <c r="K1794">
        <v>120.3867</v>
      </c>
      <c r="L1794">
        <v>1.45</v>
      </c>
      <c r="M1794">
        <v>23.905000000000001</v>
      </c>
      <c r="N1794">
        <v>6.1932</v>
      </c>
      <c r="O1794">
        <v>-5.3390000000000004</v>
      </c>
      <c r="P1794">
        <v>91.62</v>
      </c>
      <c r="S1794">
        <f t="shared" ref="S1794:S1825" si="619">SUM(B1794:M1794)</f>
        <v>975.4914</v>
      </c>
      <c r="T1794">
        <f t="shared" si="598"/>
        <v>1.9405525324913644E-2</v>
      </c>
      <c r="U1794">
        <f t="shared" si="599"/>
        <v>8.1371961265821455E-2</v>
      </c>
      <c r="V1794">
        <f t="shared" si="600"/>
        <v>1.7343102343521856E-2</v>
      </c>
      <c r="W1794">
        <f t="shared" si="601"/>
        <v>9.3746499154172199E-5</v>
      </c>
      <c r="X1794">
        <f t="shared" si="602"/>
        <v>0.18251505920325783</v>
      </c>
      <c r="Y1794">
        <f t="shared" si="603"/>
        <v>9.3746499154172199E-5</v>
      </c>
      <c r="Z1794">
        <f t="shared" si="604"/>
        <v>3.5623669678585433E-3</v>
      </c>
      <c r="AA1794">
        <f t="shared" si="605"/>
        <v>0.32435248121202964</v>
      </c>
      <c r="AB1794">
        <f t="shared" si="606"/>
        <v>0.14912330617653494</v>
      </c>
      <c r="AC1794">
        <f t="shared" si="607"/>
        <v>0.11285831669723581</v>
      </c>
      <c r="AD1794">
        <f t="shared" si="608"/>
        <v>1.3593242377354967E-3</v>
      </c>
      <c r="AE1794">
        <f t="shared" si="609"/>
        <v>2.2410100622804862E-2</v>
      </c>
      <c r="AG1794">
        <f t="shared" si="610"/>
        <v>1.5715531074679632</v>
      </c>
      <c r="AH1794">
        <f t="shared" si="611"/>
        <v>0.3267956087264865</v>
      </c>
      <c r="AI1794">
        <f t="shared" si="612"/>
        <v>-0.34728969981635999</v>
      </c>
      <c r="AK1794" s="26" t="e">
        <f t="shared" si="613"/>
        <v>#DIV/0!</v>
      </c>
      <c r="AL1794" s="26" t="e">
        <f t="shared" si="614"/>
        <v>#DIV/0!</v>
      </c>
      <c r="AM1794" s="26" t="e">
        <f t="shared" si="615"/>
        <v>#DIV/0!</v>
      </c>
      <c r="AN1794" s="26" t="e">
        <f t="shared" si="616"/>
        <v>#DIV/0!</v>
      </c>
      <c r="AO1794" s="26" t="e">
        <f t="shared" si="617"/>
        <v>#DIV/0!</v>
      </c>
      <c r="AP1794" s="26" t="e">
        <f t="shared" si="618"/>
        <v>#DIV/0!</v>
      </c>
      <c r="AS1794" s="2">
        <v>43686</v>
      </c>
      <c r="AT1794">
        <v>20.5</v>
      </c>
      <c r="AU1794">
        <v>70.400000000000006</v>
      </c>
      <c r="AV1794">
        <v>28.4</v>
      </c>
      <c r="AW1794">
        <v>0.3</v>
      </c>
      <c r="AX1794">
        <v>176.93</v>
      </c>
      <c r="AY1794">
        <v>0.2</v>
      </c>
      <c r="AZ1794">
        <v>3.7</v>
      </c>
      <c r="BA1794">
        <v>272.37959999999998</v>
      </c>
      <c r="BB1794">
        <v>88.414699999999996</v>
      </c>
      <c r="BC1794">
        <v>124.7375</v>
      </c>
      <c r="BD1794">
        <v>4.7526000000000002</v>
      </c>
      <c r="BE1794">
        <v>27.152999999999999</v>
      </c>
      <c r="BH1794">
        <v>85.72</v>
      </c>
    </row>
    <row r="1795" spans="1:60" x14ac:dyDescent="0.25">
      <c r="A1795" s="2">
        <v>43706</v>
      </c>
      <c r="B1795">
        <v>20.9</v>
      </c>
      <c r="C1795">
        <v>452</v>
      </c>
      <c r="D1795">
        <v>12.3</v>
      </c>
      <c r="E1795">
        <v>0.4</v>
      </c>
      <c r="F1795">
        <v>151.03</v>
      </c>
      <c r="G1795">
        <v>0.1</v>
      </c>
      <c r="H1795">
        <v>3.6</v>
      </c>
      <c r="I1795">
        <v>319.00850000000003</v>
      </c>
      <c r="J1795">
        <v>204.17519999999999</v>
      </c>
      <c r="K1795">
        <v>124.9141</v>
      </c>
      <c r="L1795">
        <v>4.1999999999999997E-3</v>
      </c>
      <c r="M1795">
        <v>27.1875</v>
      </c>
      <c r="N1795">
        <v>4.7925000000000004</v>
      </c>
      <c r="O1795">
        <v>-5.9809999999999999</v>
      </c>
      <c r="P1795">
        <v>91.4</v>
      </c>
      <c r="S1795">
        <f t="shared" si="619"/>
        <v>1315.6195</v>
      </c>
      <c r="T1795">
        <f t="shared" si="598"/>
        <v>1.9593018323221988E-2</v>
      </c>
      <c r="U1795">
        <f t="shared" si="599"/>
        <v>0.42373417617685832</v>
      </c>
      <c r="V1795">
        <f t="shared" si="600"/>
        <v>1.153081939596318E-2</v>
      </c>
      <c r="W1795">
        <f t="shared" si="601"/>
        <v>3.7498599661668879E-4</v>
      </c>
      <c r="X1795">
        <f t="shared" si="602"/>
        <v>0.14158533767254627</v>
      </c>
      <c r="Y1795">
        <f t="shared" si="603"/>
        <v>9.3746499154172199E-5</v>
      </c>
      <c r="Z1795">
        <f t="shared" si="604"/>
        <v>3.3748739695501988E-3</v>
      </c>
      <c r="AA1795">
        <f t="shared" si="605"/>
        <v>0.29905930075423742</v>
      </c>
      <c r="AB1795">
        <f t="shared" si="606"/>
        <v>0.19140710214102938</v>
      </c>
      <c r="AC1795">
        <f t="shared" si="607"/>
        <v>0.1171025956999418</v>
      </c>
      <c r="AD1795">
        <f t="shared" si="608"/>
        <v>3.9373529644752319E-6</v>
      </c>
      <c r="AE1795">
        <f t="shared" si="609"/>
        <v>2.5487329457540564E-2</v>
      </c>
      <c r="AG1795">
        <f t="shared" si="610"/>
        <v>1.5789214987427693</v>
      </c>
      <c r="AH1795">
        <f t="shared" si="611"/>
        <v>0.62577428749145136</v>
      </c>
      <c r="AI1795">
        <f t="shared" si="612"/>
        <v>1.0391900937735028</v>
      </c>
      <c r="AK1795" s="26" t="e">
        <f t="shared" si="613"/>
        <v>#DIV/0!</v>
      </c>
      <c r="AL1795" s="26" t="e">
        <f t="shared" si="614"/>
        <v>#DIV/0!</v>
      </c>
      <c r="AM1795" s="26" t="e">
        <f t="shared" si="615"/>
        <v>#DIV/0!</v>
      </c>
      <c r="AN1795" s="26" t="e">
        <f t="shared" si="616"/>
        <v>#DIV/0!</v>
      </c>
      <c r="AO1795" s="26" t="e">
        <f t="shared" si="617"/>
        <v>#DIV/0!</v>
      </c>
      <c r="AP1795" s="26" t="e">
        <f t="shared" si="618"/>
        <v>#DIV/0!</v>
      </c>
      <c r="AS1795" s="2">
        <v>43685</v>
      </c>
      <c r="AT1795">
        <v>20.7</v>
      </c>
      <c r="AU1795">
        <v>442.6</v>
      </c>
      <c r="AV1795">
        <v>41.2</v>
      </c>
      <c r="AW1795">
        <v>1.5</v>
      </c>
      <c r="AX1795">
        <v>203.25</v>
      </c>
      <c r="AY1795">
        <v>0.4</v>
      </c>
      <c r="AZ1795">
        <v>3.4</v>
      </c>
      <c r="BA1795">
        <v>229.80449999999999</v>
      </c>
      <c r="BB1795">
        <v>59.237299999999998</v>
      </c>
      <c r="BC1795">
        <v>91.359300000000005</v>
      </c>
      <c r="BD1795">
        <v>4.7220000000000004</v>
      </c>
      <c r="BE1795">
        <v>17.793299999999999</v>
      </c>
      <c r="BH1795">
        <v>85.34</v>
      </c>
    </row>
    <row r="1796" spans="1:60" x14ac:dyDescent="0.25">
      <c r="A1796" s="2">
        <v>43705</v>
      </c>
      <c r="B1796">
        <v>21.3</v>
      </c>
      <c r="C1796">
        <v>323.2</v>
      </c>
      <c r="D1796">
        <v>9.1</v>
      </c>
      <c r="E1796">
        <v>0.6</v>
      </c>
      <c r="F1796">
        <v>176.58</v>
      </c>
      <c r="H1796">
        <v>3.7</v>
      </c>
      <c r="I1796">
        <v>304.63209999999998</v>
      </c>
      <c r="J1796">
        <v>201.06829999999999</v>
      </c>
      <c r="K1796">
        <v>131.6713</v>
      </c>
      <c r="L1796">
        <v>2.0406</v>
      </c>
      <c r="M1796">
        <v>27.5535</v>
      </c>
      <c r="N1796">
        <v>6.4145000000000003</v>
      </c>
      <c r="O1796">
        <v>-4.4801000000000002</v>
      </c>
      <c r="P1796">
        <v>91.24</v>
      </c>
      <c r="S1796">
        <f t="shared" si="619"/>
        <v>1201.4458</v>
      </c>
      <c r="T1796">
        <f t="shared" si="598"/>
        <v>1.9968004319838677E-2</v>
      </c>
      <c r="U1796">
        <f t="shared" si="599"/>
        <v>0.30298868526628453</v>
      </c>
      <c r="V1796">
        <f t="shared" si="600"/>
        <v>8.5309314230296689E-3</v>
      </c>
      <c r="W1796">
        <f t="shared" si="601"/>
        <v>5.6247899492503314E-4</v>
      </c>
      <c r="X1796">
        <f t="shared" si="602"/>
        <v>0.16553756820643728</v>
      </c>
      <c r="Y1796">
        <f t="shared" si="603"/>
        <v>0</v>
      </c>
      <c r="Z1796">
        <f t="shared" si="604"/>
        <v>3.4686204687043713E-3</v>
      </c>
      <c r="AA1796">
        <f t="shared" si="605"/>
        <v>0.28558192904983698</v>
      </c>
      <c r="AB1796">
        <f t="shared" si="606"/>
        <v>0.1884944921588084</v>
      </c>
      <c r="AC1796">
        <f t="shared" si="607"/>
        <v>0.12343723414078753</v>
      </c>
      <c r="AD1796">
        <f t="shared" si="608"/>
        <v>1.9129910617400377E-3</v>
      </c>
      <c r="AE1796">
        <f t="shared" si="609"/>
        <v>2.5830441644444833E-2</v>
      </c>
      <c r="AG1796">
        <f t="shared" si="610"/>
        <v>1.598623661232808</v>
      </c>
      <c r="AH1796">
        <f t="shared" si="611"/>
        <v>0.5268867303236644</v>
      </c>
      <c r="AI1796">
        <f t="shared" si="612"/>
        <v>0.60873856373673807</v>
      </c>
      <c r="AK1796" s="26" t="e">
        <f t="shared" si="613"/>
        <v>#DIV/0!</v>
      </c>
      <c r="AL1796" s="26" t="e">
        <f t="shared" si="614"/>
        <v>#DIV/0!</v>
      </c>
      <c r="AM1796" s="26" t="e">
        <f t="shared" si="615"/>
        <v>#DIV/0!</v>
      </c>
      <c r="AN1796" s="26" t="e">
        <f t="shared" si="616"/>
        <v>#DIV/0!</v>
      </c>
      <c r="AO1796" s="26" t="e">
        <f t="shared" si="617"/>
        <v>#DIV/0!</v>
      </c>
      <c r="AP1796" s="26" t="e">
        <f t="shared" si="618"/>
        <v>#DIV/0!</v>
      </c>
      <c r="AS1796" s="2">
        <v>43684</v>
      </c>
      <c r="AT1796">
        <v>21</v>
      </c>
      <c r="AU1796">
        <v>251.4</v>
      </c>
      <c r="AV1796">
        <v>25.1</v>
      </c>
      <c r="AW1796">
        <v>0.6</v>
      </c>
      <c r="AX1796">
        <v>112.18</v>
      </c>
      <c r="AY1796">
        <v>0.4</v>
      </c>
      <c r="AZ1796">
        <v>2.9</v>
      </c>
      <c r="BA1796">
        <v>332.61059999999998</v>
      </c>
      <c r="BB1796">
        <v>110.8717</v>
      </c>
      <c r="BC1796">
        <v>129.72659999999999</v>
      </c>
      <c r="BD1796">
        <v>4.7523</v>
      </c>
      <c r="BE1796">
        <v>17.422499999999999</v>
      </c>
      <c r="BH1796">
        <v>84.67</v>
      </c>
    </row>
    <row r="1797" spans="1:60" x14ac:dyDescent="0.25">
      <c r="A1797" s="2">
        <v>43704</v>
      </c>
      <c r="B1797">
        <v>22.2</v>
      </c>
      <c r="C1797">
        <v>444.8</v>
      </c>
      <c r="D1797">
        <v>11.5</v>
      </c>
      <c r="E1797">
        <v>0.5</v>
      </c>
      <c r="F1797">
        <v>195.63</v>
      </c>
      <c r="G1797">
        <v>0.1</v>
      </c>
      <c r="H1797">
        <v>3.7</v>
      </c>
      <c r="I1797">
        <v>296.1499</v>
      </c>
      <c r="J1797">
        <v>203.4914</v>
      </c>
      <c r="K1797">
        <v>122.1812</v>
      </c>
      <c r="L1797">
        <v>4.7039999999999997</v>
      </c>
      <c r="M1797">
        <v>38.264400000000002</v>
      </c>
      <c r="N1797">
        <v>7.0065</v>
      </c>
      <c r="O1797">
        <v>-4.1425999999999998</v>
      </c>
      <c r="P1797">
        <v>91.08</v>
      </c>
      <c r="S1797">
        <f t="shared" si="619"/>
        <v>1343.2209</v>
      </c>
      <c r="T1797">
        <f t="shared" ref="T1797:T1825" si="620">B1797/$S$4</f>
        <v>2.0811722812226225E-2</v>
      </c>
      <c r="U1797">
        <f t="shared" ref="U1797:U1825" si="621">C1797/$S$4</f>
        <v>0.41698442823775794</v>
      </c>
      <c r="V1797">
        <f t="shared" ref="V1797:V1825" si="622">D1797/$S$4</f>
        <v>1.0780847402729802E-2</v>
      </c>
      <c r="W1797">
        <f t="shared" ref="W1797:W1825" si="623">E1797/$S$4</f>
        <v>4.6873249577086097E-4</v>
      </c>
      <c r="X1797">
        <f t="shared" ref="X1797:X1825" si="624">F1797/$S$4</f>
        <v>0.18339627629530705</v>
      </c>
      <c r="Y1797">
        <f t="shared" ref="Y1797:Y1825" si="625">G1797/$S$4</f>
        <v>9.3746499154172199E-5</v>
      </c>
      <c r="Z1797">
        <f t="shared" ref="Z1797:Z1825" si="626">H1797/$S$4</f>
        <v>3.4686204687043713E-3</v>
      </c>
      <c r="AA1797">
        <f t="shared" ref="AA1797:AA1825" si="627">I1797/$S$4</f>
        <v>0.27763016349858177</v>
      </c>
      <c r="AB1797">
        <f t="shared" ref="AB1797:AB1825" si="628">J1797/$S$4</f>
        <v>0.19076606357981316</v>
      </c>
      <c r="AC1797">
        <f t="shared" ref="AC1797:AC1825" si="629">K1797/$S$4</f>
        <v>0.11454059762455744</v>
      </c>
      <c r="AD1797">
        <f t="shared" ref="AD1797:AD1825" si="630">L1797/$S$4</f>
        <v>4.4098353202122595E-3</v>
      </c>
      <c r="AE1797">
        <f t="shared" ref="AE1797:AE1825" si="631">M1797/$S$4</f>
        <v>3.5871535422349068E-2</v>
      </c>
      <c r="AG1797">
        <f t="shared" ref="AG1797:AG1831" si="632">(P1797-AVERAGE(P1797:P2161)) / _xlfn.STDEV.S(P1797:P3624)</f>
        <v>1.6204260597001476</v>
      </c>
      <c r="AH1797">
        <f t="shared" ref="AH1797:AH1831" si="633">SUM(T1797:Y1797,Z1797,AE1797)</f>
        <v>0.67187590963399946</v>
      </c>
      <c r="AI1797">
        <f t="shared" ref="AI1797:AI1831" si="634">(AH1797-AVERAGE(AH1797:AH2161))/_xlfn.STDEV.S(AH1797:AH2161)</f>
        <v>1.2903586181098601</v>
      </c>
      <c r="AK1797" s="26" t="e">
        <f t="shared" ref="AK1797:AK1825" si="635">AVERAGEA(AH1797:AH1817)-AVERAGE(AH2163:AH2183, AH2528:AH2548, AH2893:AH2913)</f>
        <v>#DIV/0!</v>
      </c>
      <c r="AL1797" s="26" t="e">
        <f t="shared" ref="AL1797:AL1825" si="636">AVERAGEA(AH1797:AH1852)-AVERAGE(AH2163:AH2218, AH2528:AH2582, AH2893:AH2947)</f>
        <v>#DIV/0!</v>
      </c>
      <c r="AM1797" s="26" t="e">
        <f t="shared" ref="AM1797:AM1825" si="637">AVERAGEA(AH1797:AH1909)-AVERAGE(AH2163:AH2275,AH2528:AH2639,AH2893:AH3004)</f>
        <v>#DIV/0!</v>
      </c>
      <c r="AN1797" s="26" t="e">
        <f t="shared" ref="AN1797:AN1825" si="638">AVERAGEA(P1797:P1817)-AVERAGE(P2163:P2183, P2528:P2548, P2893:P2913)</f>
        <v>#DIV/0!</v>
      </c>
      <c r="AO1797" s="26" t="e">
        <f t="shared" ref="AO1797:AO1825" si="639">AVERAGEA(P1797:P1852)-AVERAGE(P2163:P2218, P2528:P2582, P2893:P2947)</f>
        <v>#DIV/0!</v>
      </c>
      <c r="AP1797" s="26" t="e">
        <f t="shared" ref="AP1797:AP1825" si="640">AVERAGEA(P1797:P1909)-AVERAGE(P2163:P2275,P2528:P2639,P2893:P3004)</f>
        <v>#DIV/0!</v>
      </c>
      <c r="AS1797" s="2">
        <v>43683</v>
      </c>
      <c r="AT1797">
        <v>20.2</v>
      </c>
      <c r="AU1797">
        <v>222.2</v>
      </c>
      <c r="AV1797">
        <v>16.8</v>
      </c>
      <c r="AW1797">
        <v>0.7</v>
      </c>
      <c r="AX1797">
        <v>171.13</v>
      </c>
      <c r="AY1797">
        <v>0.4</v>
      </c>
      <c r="AZ1797">
        <v>2.5</v>
      </c>
      <c r="BA1797">
        <v>327.61009999999999</v>
      </c>
      <c r="BB1797">
        <v>106.29649999999999</v>
      </c>
      <c r="BC1797">
        <v>123.28919999999999</v>
      </c>
      <c r="BD1797">
        <v>4.7873999999999999</v>
      </c>
      <c r="BE1797">
        <v>19.450900000000001</v>
      </c>
      <c r="BH1797">
        <v>84.34</v>
      </c>
    </row>
    <row r="1798" spans="1:60" x14ac:dyDescent="0.25">
      <c r="A1798" s="2">
        <v>43703</v>
      </c>
      <c r="B1798">
        <v>21.7</v>
      </c>
      <c r="C1798">
        <v>266.10000000000002</v>
      </c>
      <c r="D1798">
        <v>4</v>
      </c>
      <c r="E1798">
        <v>0.2</v>
      </c>
      <c r="F1798">
        <v>199.27</v>
      </c>
      <c r="G1798">
        <v>0.1</v>
      </c>
      <c r="H1798">
        <v>3.8</v>
      </c>
      <c r="I1798">
        <v>288.62110000000001</v>
      </c>
      <c r="J1798">
        <v>155.98589999999999</v>
      </c>
      <c r="K1798">
        <v>103.2732</v>
      </c>
      <c r="L1798">
        <v>4.9016000000000002</v>
      </c>
      <c r="M1798">
        <v>38.924900000000001</v>
      </c>
      <c r="N1798">
        <v>7.0416999999999996</v>
      </c>
      <c r="O1798">
        <v>-4.5208000000000004</v>
      </c>
      <c r="P1798">
        <v>90.91</v>
      </c>
      <c r="S1798">
        <f t="shared" si="619"/>
        <v>1086.8767</v>
      </c>
      <c r="T1798">
        <f t="shared" si="620"/>
        <v>2.0342990316455364E-2</v>
      </c>
      <c r="U1798">
        <f t="shared" si="621"/>
        <v>0.24945943424925221</v>
      </c>
      <c r="V1798">
        <f t="shared" si="622"/>
        <v>3.7498599661668877E-3</v>
      </c>
      <c r="W1798">
        <f t="shared" si="623"/>
        <v>1.874929983083444E-4</v>
      </c>
      <c r="X1798">
        <f t="shared" si="624"/>
        <v>0.18680864886451892</v>
      </c>
      <c r="Y1798">
        <f t="shared" si="625"/>
        <v>9.3746499154172199E-5</v>
      </c>
      <c r="Z1798">
        <f t="shared" si="626"/>
        <v>3.5623669678585433E-3</v>
      </c>
      <c r="AA1798">
        <f t="shared" si="627"/>
        <v>0.27057217707026249</v>
      </c>
      <c r="AB1798">
        <f t="shared" si="628"/>
        <v>0.14623132042412787</v>
      </c>
      <c r="AC1798">
        <f t="shared" si="629"/>
        <v>9.6815009564486562E-2</v>
      </c>
      <c r="AD1798">
        <f t="shared" si="630"/>
        <v>4.5950784025409041E-3</v>
      </c>
      <c r="AE1798">
        <f t="shared" si="631"/>
        <v>3.649073104926237E-2</v>
      </c>
      <c r="AG1798">
        <f t="shared" si="632"/>
        <v>1.6426466956713823</v>
      </c>
      <c r="AH1798">
        <f t="shared" si="633"/>
        <v>0.50069527091097688</v>
      </c>
      <c r="AI1798">
        <f t="shared" si="634"/>
        <v>0.54336716674263497</v>
      </c>
      <c r="AK1798" s="26" t="e">
        <f t="shared" si="635"/>
        <v>#DIV/0!</v>
      </c>
      <c r="AL1798" s="26" t="e">
        <f t="shared" si="636"/>
        <v>#DIV/0!</v>
      </c>
      <c r="AM1798" s="26" t="e">
        <f t="shared" si="637"/>
        <v>#DIV/0!</v>
      </c>
      <c r="AN1798" s="26" t="e">
        <f t="shared" si="638"/>
        <v>#DIV/0!</v>
      </c>
      <c r="AO1798" s="26" t="e">
        <f t="shared" si="639"/>
        <v>#DIV/0!</v>
      </c>
      <c r="AP1798" s="26" t="e">
        <f t="shared" si="640"/>
        <v>#DIV/0!</v>
      </c>
      <c r="AS1798" s="2">
        <v>43682</v>
      </c>
      <c r="AT1798">
        <v>19.5</v>
      </c>
      <c r="AU1798">
        <v>232.3</v>
      </c>
      <c r="AV1798">
        <v>7.2</v>
      </c>
      <c r="AW1798">
        <v>0.2</v>
      </c>
      <c r="AX1798">
        <v>149.28</v>
      </c>
      <c r="AY1798">
        <v>0.4</v>
      </c>
      <c r="AZ1798">
        <v>3.1</v>
      </c>
      <c r="BA1798">
        <v>309.52120000000002</v>
      </c>
      <c r="BB1798">
        <v>112.084</v>
      </c>
      <c r="BC1798">
        <v>120.4149</v>
      </c>
      <c r="BD1798">
        <v>4.8449999999999998</v>
      </c>
      <c r="BE1798">
        <v>23.6068</v>
      </c>
      <c r="BH1798">
        <v>84.04</v>
      </c>
    </row>
    <row r="1799" spans="1:60" x14ac:dyDescent="0.25">
      <c r="A1799" s="2">
        <v>43702</v>
      </c>
      <c r="B1799">
        <v>21.2</v>
      </c>
      <c r="C1799">
        <v>340.9</v>
      </c>
      <c r="D1799">
        <v>14</v>
      </c>
      <c r="E1799">
        <v>0.4</v>
      </c>
      <c r="F1799">
        <v>203.83</v>
      </c>
      <c r="G1799">
        <v>0.1</v>
      </c>
      <c r="H1799">
        <v>3.8</v>
      </c>
      <c r="I1799">
        <v>214.3288</v>
      </c>
      <c r="J1799">
        <v>58.5563</v>
      </c>
      <c r="K1799">
        <v>42.921599999999998</v>
      </c>
      <c r="L1799">
        <v>4.5548000000000002</v>
      </c>
      <c r="M1799">
        <v>19.873699999999999</v>
      </c>
      <c r="P1799">
        <v>90.84</v>
      </c>
      <c r="S1799">
        <f t="shared" si="619"/>
        <v>924.46519999999987</v>
      </c>
      <c r="T1799">
        <f t="shared" si="620"/>
        <v>1.9874257820684502E-2</v>
      </c>
      <c r="U1799">
        <f t="shared" si="621"/>
        <v>0.31958181561657295</v>
      </c>
      <c r="V1799">
        <f t="shared" si="622"/>
        <v>1.3124509881584107E-2</v>
      </c>
      <c r="W1799">
        <f t="shared" si="623"/>
        <v>3.7498599661668879E-4</v>
      </c>
      <c r="X1799">
        <f t="shared" si="624"/>
        <v>0.1910834892259492</v>
      </c>
      <c r="Y1799">
        <f t="shared" si="625"/>
        <v>9.3746499154172199E-5</v>
      </c>
      <c r="Z1799">
        <f t="shared" si="626"/>
        <v>3.5623669678585433E-3</v>
      </c>
      <c r="AA1799">
        <f t="shared" si="627"/>
        <v>0.20092574667914742</v>
      </c>
      <c r="AB1799">
        <f t="shared" si="628"/>
        <v>5.4894481284214529E-2</v>
      </c>
      <c r="AC1799">
        <f t="shared" si="629"/>
        <v>4.0237497380957173E-2</v>
      </c>
      <c r="AD1799">
        <f t="shared" si="630"/>
        <v>4.2699655434742349E-3</v>
      </c>
      <c r="AE1799">
        <f t="shared" si="631"/>
        <v>1.8630898002402717E-2</v>
      </c>
      <c r="AG1799">
        <f t="shared" si="632"/>
        <v>1.6873689900562674</v>
      </c>
      <c r="AH1799">
        <f t="shared" si="633"/>
        <v>0.5663260700108228</v>
      </c>
      <c r="AI1799">
        <f t="shared" si="634"/>
        <v>0.85711277548351039</v>
      </c>
      <c r="AK1799" s="26" t="e">
        <f t="shared" si="635"/>
        <v>#DIV/0!</v>
      </c>
      <c r="AL1799" s="26" t="e">
        <f t="shared" si="636"/>
        <v>#DIV/0!</v>
      </c>
      <c r="AM1799" s="26" t="e">
        <f t="shared" si="637"/>
        <v>#DIV/0!</v>
      </c>
      <c r="AN1799" s="26" t="e">
        <f t="shared" si="638"/>
        <v>#DIV/0!</v>
      </c>
      <c r="AO1799" s="26" t="e">
        <f t="shared" si="639"/>
        <v>#DIV/0!</v>
      </c>
      <c r="AP1799" s="26" t="e">
        <f t="shared" si="640"/>
        <v>#DIV/0!</v>
      </c>
      <c r="AS1799" s="2">
        <v>43681</v>
      </c>
      <c r="AT1799">
        <v>20.100000000000001</v>
      </c>
      <c r="AU1799">
        <v>193.3</v>
      </c>
      <c r="AV1799">
        <v>6.7</v>
      </c>
      <c r="AW1799">
        <v>0</v>
      </c>
      <c r="AX1799">
        <v>213.2</v>
      </c>
      <c r="AY1799">
        <v>0.4</v>
      </c>
      <c r="AZ1799">
        <v>2.5</v>
      </c>
      <c r="BA1799">
        <v>228.62289999999999</v>
      </c>
      <c r="BB1799">
        <v>57.393700000000003</v>
      </c>
      <c r="BC1799">
        <v>55.328299999999999</v>
      </c>
      <c r="BD1799">
        <v>4.7801</v>
      </c>
      <c r="BE1799">
        <v>12.4133</v>
      </c>
      <c r="BH1799">
        <v>83.75</v>
      </c>
    </row>
    <row r="1800" spans="1:60" x14ac:dyDescent="0.25">
      <c r="A1800" s="2">
        <v>43701</v>
      </c>
      <c r="B1800">
        <v>22.7</v>
      </c>
      <c r="C1800">
        <v>137.30000000000001</v>
      </c>
      <c r="D1800">
        <v>16.399999999999999</v>
      </c>
      <c r="E1800">
        <v>0.7</v>
      </c>
      <c r="F1800">
        <v>213.7</v>
      </c>
      <c r="G1800">
        <v>0.1</v>
      </c>
      <c r="H1800">
        <v>3</v>
      </c>
      <c r="I1800">
        <v>232.28149999999999</v>
      </c>
      <c r="J1800">
        <v>47.631999999999998</v>
      </c>
      <c r="K1800">
        <v>39.251600000000003</v>
      </c>
      <c r="L1800">
        <v>4.5233999999999996</v>
      </c>
      <c r="M1800">
        <v>20.754799999999999</v>
      </c>
      <c r="P1800">
        <v>90.53</v>
      </c>
      <c r="S1800">
        <f t="shared" si="619"/>
        <v>738.3433</v>
      </c>
      <c r="T1800">
        <f t="shared" si="620"/>
        <v>2.1280455307997086E-2</v>
      </c>
      <c r="U1800">
        <f t="shared" si="621"/>
        <v>0.12871394333867842</v>
      </c>
      <c r="V1800">
        <f t="shared" si="622"/>
        <v>1.5374425861284237E-2</v>
      </c>
      <c r="W1800">
        <f t="shared" si="623"/>
        <v>6.5622549407920526E-4</v>
      </c>
      <c r="X1800">
        <f t="shared" si="624"/>
        <v>0.20033626869246596</v>
      </c>
      <c r="Y1800">
        <f t="shared" si="625"/>
        <v>9.3746499154172199E-5</v>
      </c>
      <c r="Z1800">
        <f t="shared" si="626"/>
        <v>2.8123949746251659E-3</v>
      </c>
      <c r="AA1800">
        <f t="shared" si="627"/>
        <v>0.21775577443279848</v>
      </c>
      <c r="AB1800">
        <f t="shared" si="628"/>
        <v>4.4653332477115296E-2</v>
      </c>
      <c r="AC1800">
        <f t="shared" si="629"/>
        <v>3.6797000861999052E-2</v>
      </c>
      <c r="AD1800">
        <f t="shared" si="630"/>
        <v>4.2405291427398241E-3</v>
      </c>
      <c r="AE1800">
        <f t="shared" si="631"/>
        <v>1.9456898406450131E-2</v>
      </c>
      <c r="AG1800">
        <f t="shared" si="632"/>
        <v>1.6883854763079018</v>
      </c>
      <c r="AH1800">
        <f t="shared" si="633"/>
        <v>0.38872435857473436</v>
      </c>
      <c r="AI1800">
        <f t="shared" si="634"/>
        <v>6.2984040754719181E-2</v>
      </c>
      <c r="AK1800" s="26" t="e">
        <f t="shared" si="635"/>
        <v>#DIV/0!</v>
      </c>
      <c r="AL1800" s="26" t="e">
        <f t="shared" si="636"/>
        <v>#DIV/0!</v>
      </c>
      <c r="AM1800" s="26" t="e">
        <f t="shared" si="637"/>
        <v>#DIV/0!</v>
      </c>
      <c r="AN1800" s="26" t="e">
        <f t="shared" si="638"/>
        <v>#DIV/0!</v>
      </c>
      <c r="AO1800" s="26" t="e">
        <f t="shared" si="639"/>
        <v>#DIV/0!</v>
      </c>
      <c r="AP1800" s="26" t="e">
        <f t="shared" si="640"/>
        <v>#DIV/0!</v>
      </c>
      <c r="AS1800" s="2">
        <v>43680</v>
      </c>
      <c r="AT1800">
        <v>21.2</v>
      </c>
      <c r="AU1800">
        <v>201.5</v>
      </c>
      <c r="AV1800">
        <v>11.6</v>
      </c>
      <c r="AW1800">
        <v>0.3</v>
      </c>
      <c r="AX1800">
        <v>151.44999999999999</v>
      </c>
      <c r="AY1800">
        <v>0.4</v>
      </c>
      <c r="AZ1800">
        <v>2.6</v>
      </c>
      <c r="BA1800">
        <v>274.52269999999999</v>
      </c>
      <c r="BB1800">
        <v>59.569600000000001</v>
      </c>
      <c r="BC1800">
        <v>84.898600000000002</v>
      </c>
      <c r="BD1800">
        <v>4.7766000000000002</v>
      </c>
      <c r="BE1800">
        <v>7.8623000000000003</v>
      </c>
      <c r="BH1800">
        <v>83.47</v>
      </c>
    </row>
    <row r="1801" spans="1:60" x14ac:dyDescent="0.25">
      <c r="A1801" s="2">
        <v>43700</v>
      </c>
      <c r="B1801">
        <v>23.5</v>
      </c>
      <c r="C1801">
        <v>179.5</v>
      </c>
      <c r="D1801">
        <v>19</v>
      </c>
      <c r="E1801">
        <v>0.1</v>
      </c>
      <c r="F1801">
        <v>215.91</v>
      </c>
      <c r="G1801">
        <v>0.1</v>
      </c>
      <c r="H1801">
        <v>3.5</v>
      </c>
      <c r="I1801">
        <v>288.54640000000001</v>
      </c>
      <c r="J1801">
        <v>81.171999999999997</v>
      </c>
      <c r="K1801">
        <v>85.341300000000004</v>
      </c>
      <c r="L1801">
        <v>4.7519999999999998</v>
      </c>
      <c r="M1801">
        <v>28.145600000000002</v>
      </c>
      <c r="N1801">
        <v>6.5583999999999998</v>
      </c>
      <c r="O1801">
        <v>-4.0256999999999996</v>
      </c>
      <c r="P1801">
        <v>90.23</v>
      </c>
      <c r="S1801">
        <f t="shared" si="619"/>
        <v>929.56730000000016</v>
      </c>
      <c r="T1801">
        <f t="shared" si="620"/>
        <v>2.2030427301230466E-2</v>
      </c>
      <c r="U1801">
        <f t="shared" si="621"/>
        <v>0.16827496598173908</v>
      </c>
      <c r="V1801">
        <f t="shared" si="622"/>
        <v>1.7811834839292717E-2</v>
      </c>
      <c r="W1801">
        <f t="shared" si="623"/>
        <v>9.3746499154172199E-5</v>
      </c>
      <c r="X1801">
        <f t="shared" si="624"/>
        <v>0.20240806632377317</v>
      </c>
      <c r="Y1801">
        <f t="shared" si="625"/>
        <v>9.3746499154172199E-5</v>
      </c>
      <c r="Z1801">
        <f t="shared" si="626"/>
        <v>3.2811274703960268E-3</v>
      </c>
      <c r="AA1801">
        <f t="shared" si="627"/>
        <v>0.27050214843539433</v>
      </c>
      <c r="AB1801">
        <f t="shared" si="628"/>
        <v>7.6095908293424649E-2</v>
      </c>
      <c r="AC1801">
        <f t="shared" si="629"/>
        <v>8.0004481082659562E-2</v>
      </c>
      <c r="AD1801">
        <f t="shared" si="630"/>
        <v>4.4548336398062627E-3</v>
      </c>
      <c r="AE1801">
        <f t="shared" si="631"/>
        <v>2.638551466593669E-2</v>
      </c>
      <c r="AG1801">
        <f t="shared" si="632"/>
        <v>1.6916604072121406</v>
      </c>
      <c r="AH1801">
        <f t="shared" si="633"/>
        <v>0.44037942958067655</v>
      </c>
      <c r="AI1801">
        <f t="shared" si="634"/>
        <v>0.29787358340595554</v>
      </c>
      <c r="AK1801" s="26" t="e">
        <f t="shared" si="635"/>
        <v>#DIV/0!</v>
      </c>
      <c r="AL1801" s="26" t="e">
        <f t="shared" si="636"/>
        <v>#DIV/0!</v>
      </c>
      <c r="AM1801" s="26" t="e">
        <f t="shared" si="637"/>
        <v>#DIV/0!</v>
      </c>
      <c r="AN1801" s="26" t="e">
        <f t="shared" si="638"/>
        <v>#DIV/0!</v>
      </c>
      <c r="AO1801" s="26" t="e">
        <f t="shared" si="639"/>
        <v>#DIV/0!</v>
      </c>
      <c r="AP1801" s="26" t="e">
        <f t="shared" si="640"/>
        <v>#DIV/0!</v>
      </c>
      <c r="AS1801" s="2">
        <v>43679</v>
      </c>
      <c r="AT1801">
        <v>20.9</v>
      </c>
      <c r="AU1801">
        <v>195</v>
      </c>
      <c r="AV1801">
        <v>7</v>
      </c>
      <c r="AW1801">
        <v>0.1</v>
      </c>
      <c r="AX1801">
        <v>167.97</v>
      </c>
      <c r="AY1801">
        <v>0.4</v>
      </c>
      <c r="AZ1801">
        <v>2.7</v>
      </c>
      <c r="BA1801">
        <v>322.68430000000001</v>
      </c>
      <c r="BB1801">
        <v>120.4842</v>
      </c>
      <c r="BC1801">
        <v>132.80500000000001</v>
      </c>
      <c r="BD1801">
        <v>4.7942999999999998</v>
      </c>
      <c r="BE1801">
        <v>20.474299999999999</v>
      </c>
      <c r="BH1801">
        <v>83.13</v>
      </c>
    </row>
    <row r="1802" spans="1:60" x14ac:dyDescent="0.25">
      <c r="A1802" s="2">
        <v>43699</v>
      </c>
      <c r="B1802">
        <v>24</v>
      </c>
      <c r="C1802">
        <v>292.2</v>
      </c>
      <c r="D1802">
        <v>29.3</v>
      </c>
      <c r="E1802">
        <v>0.3</v>
      </c>
      <c r="F1802">
        <v>221.44</v>
      </c>
      <c r="G1802">
        <v>0.1</v>
      </c>
      <c r="H1802">
        <v>3.3</v>
      </c>
      <c r="I1802">
        <v>267.29539999999997</v>
      </c>
      <c r="J1802">
        <v>72.614599999999996</v>
      </c>
      <c r="K1802">
        <v>90.142200000000003</v>
      </c>
      <c r="L1802">
        <v>4.7519999999999998</v>
      </c>
      <c r="M1802">
        <v>27.082999999999998</v>
      </c>
      <c r="N1802">
        <v>6.4703999999999997</v>
      </c>
      <c r="O1802">
        <v>-3.9091999999999998</v>
      </c>
      <c r="P1802">
        <v>90.13</v>
      </c>
      <c r="S1802">
        <f t="shared" si="619"/>
        <v>1032.5272</v>
      </c>
      <c r="T1802">
        <f t="shared" si="620"/>
        <v>2.2499159797001327E-2</v>
      </c>
      <c r="U1802">
        <f t="shared" si="621"/>
        <v>0.27392727052849114</v>
      </c>
      <c r="V1802">
        <f t="shared" si="622"/>
        <v>2.7467724252172452E-2</v>
      </c>
      <c r="W1802">
        <f t="shared" si="623"/>
        <v>2.8123949746251657E-4</v>
      </c>
      <c r="X1802">
        <f t="shared" si="624"/>
        <v>0.20759224772699889</v>
      </c>
      <c r="Y1802">
        <f t="shared" si="625"/>
        <v>9.3746499154172199E-5</v>
      </c>
      <c r="Z1802">
        <f t="shared" si="626"/>
        <v>3.0936344720876819E-3</v>
      </c>
      <c r="AA1802">
        <f t="shared" si="627"/>
        <v>0.25058007990014114</v>
      </c>
      <c r="AB1802">
        <f t="shared" si="628"/>
        <v>6.8073645374805522E-2</v>
      </c>
      <c r="AC1802">
        <f t="shared" si="629"/>
        <v>8.4505156760552202E-2</v>
      </c>
      <c r="AD1802">
        <f t="shared" si="630"/>
        <v>4.4548336398062627E-3</v>
      </c>
      <c r="AE1802">
        <f t="shared" si="631"/>
        <v>2.5389364365924452E-2</v>
      </c>
      <c r="AG1802">
        <f t="shared" si="632"/>
        <v>1.7377255830025842</v>
      </c>
      <c r="AH1802">
        <f t="shared" si="633"/>
        <v>0.56034438713929258</v>
      </c>
      <c r="AI1802">
        <f t="shared" si="634"/>
        <v>0.83802000595124293</v>
      </c>
      <c r="AK1802" s="26" t="e">
        <f t="shared" si="635"/>
        <v>#DIV/0!</v>
      </c>
      <c r="AL1802" s="26" t="e">
        <f t="shared" si="636"/>
        <v>#DIV/0!</v>
      </c>
      <c r="AM1802" s="26" t="e">
        <f t="shared" si="637"/>
        <v>#DIV/0!</v>
      </c>
      <c r="AN1802" s="26" t="e">
        <f t="shared" si="638"/>
        <v>#DIV/0!</v>
      </c>
      <c r="AO1802" s="26" t="e">
        <f t="shared" si="639"/>
        <v>#DIV/0!</v>
      </c>
      <c r="AP1802" s="26" t="e">
        <f t="shared" si="640"/>
        <v>#DIV/0!</v>
      </c>
      <c r="AS1802" s="2">
        <v>43678</v>
      </c>
      <c r="AT1802">
        <v>21.5</v>
      </c>
      <c r="AU1802">
        <v>414.3</v>
      </c>
      <c r="AV1802">
        <v>12.7</v>
      </c>
      <c r="AW1802">
        <v>0.2</v>
      </c>
      <c r="AX1802">
        <v>199.6</v>
      </c>
      <c r="AY1802">
        <v>0.4</v>
      </c>
      <c r="AZ1802">
        <v>2.7</v>
      </c>
      <c r="BA1802">
        <v>313.64789999999999</v>
      </c>
      <c r="BB1802">
        <v>116.53879999999999</v>
      </c>
      <c r="BC1802">
        <v>137.1446</v>
      </c>
      <c r="BD1802">
        <v>4.7028999999999996</v>
      </c>
      <c r="BE1802">
        <v>20.928100000000001</v>
      </c>
      <c r="BH1802">
        <v>82.83</v>
      </c>
    </row>
    <row r="1803" spans="1:60" x14ac:dyDescent="0.25">
      <c r="A1803" s="2">
        <v>43698</v>
      </c>
      <c r="B1803">
        <v>22.2</v>
      </c>
      <c r="C1803">
        <v>464.2</v>
      </c>
      <c r="D1803">
        <v>13.8</v>
      </c>
      <c r="E1803">
        <v>0.2</v>
      </c>
      <c r="F1803">
        <v>202.46</v>
      </c>
      <c r="G1803">
        <v>0.1</v>
      </c>
      <c r="H1803">
        <v>3.3</v>
      </c>
      <c r="I1803">
        <v>286.91460000000001</v>
      </c>
      <c r="J1803">
        <v>75.060699999999997</v>
      </c>
      <c r="K1803">
        <v>106.67230000000001</v>
      </c>
      <c r="L1803">
        <v>4.7519999999999998</v>
      </c>
      <c r="M1803">
        <v>33.896599999999999</v>
      </c>
      <c r="N1803">
        <v>5.7610000000000001</v>
      </c>
      <c r="O1803">
        <v>-3.9064000000000001</v>
      </c>
      <c r="P1803">
        <v>89.8</v>
      </c>
      <c r="S1803">
        <f t="shared" si="619"/>
        <v>1213.5562</v>
      </c>
      <c r="T1803">
        <f t="shared" si="620"/>
        <v>2.0811722812226225E-2</v>
      </c>
      <c r="U1803">
        <f t="shared" si="621"/>
        <v>0.43517124907366728</v>
      </c>
      <c r="V1803">
        <f t="shared" si="622"/>
        <v>1.2937016883275762E-2</v>
      </c>
      <c r="W1803">
        <f t="shared" si="623"/>
        <v>1.874929983083444E-4</v>
      </c>
      <c r="X1803">
        <f t="shared" si="624"/>
        <v>0.18979916218753703</v>
      </c>
      <c r="Y1803">
        <f t="shared" si="625"/>
        <v>9.3746499154172199E-5</v>
      </c>
      <c r="Z1803">
        <f t="shared" si="626"/>
        <v>3.0936344720876819E-3</v>
      </c>
      <c r="AA1803">
        <f t="shared" si="627"/>
        <v>0.26897239306219656</v>
      </c>
      <c r="AB1803">
        <f t="shared" si="628"/>
        <v>7.036677849061572E-2</v>
      </c>
      <c r="AC1803">
        <f t="shared" si="629"/>
        <v>0.10000154681723603</v>
      </c>
      <c r="AD1803">
        <f t="shared" si="630"/>
        <v>4.4548336398062627E-3</v>
      </c>
      <c r="AE1803">
        <f t="shared" si="631"/>
        <v>3.1776875832293133E-2</v>
      </c>
      <c r="AG1803">
        <f t="shared" si="632"/>
        <v>1.7399608380794829</v>
      </c>
      <c r="AH1803">
        <f t="shared" si="633"/>
        <v>0.69387090075854962</v>
      </c>
      <c r="AI1803">
        <f t="shared" si="634"/>
        <v>1.4552258408334513</v>
      </c>
      <c r="AK1803" s="26" t="e">
        <f t="shared" si="635"/>
        <v>#DIV/0!</v>
      </c>
      <c r="AL1803" s="26" t="e">
        <f t="shared" si="636"/>
        <v>#DIV/0!</v>
      </c>
      <c r="AM1803" s="26" t="e">
        <f t="shared" si="637"/>
        <v>#DIV/0!</v>
      </c>
      <c r="AN1803" s="26" t="e">
        <f t="shared" si="638"/>
        <v>#DIV/0!</v>
      </c>
      <c r="AO1803" s="26" t="e">
        <f t="shared" si="639"/>
        <v>#DIV/0!</v>
      </c>
      <c r="AP1803" s="26" t="e">
        <f t="shared" si="640"/>
        <v>#DIV/0!</v>
      </c>
      <c r="AS1803" s="2">
        <v>43677</v>
      </c>
      <c r="AT1803">
        <v>21.9</v>
      </c>
      <c r="AU1803">
        <v>540.79999999999995</v>
      </c>
      <c r="AV1803">
        <v>22.4</v>
      </c>
      <c r="AW1803">
        <v>0.4</v>
      </c>
      <c r="AX1803">
        <v>140.94</v>
      </c>
      <c r="AY1803">
        <v>0.4</v>
      </c>
      <c r="AZ1803">
        <v>2.2999999999999998</v>
      </c>
      <c r="BA1803">
        <v>287.18150000000003</v>
      </c>
      <c r="BB1803">
        <v>123.9442</v>
      </c>
      <c r="BC1803">
        <v>134.58709999999999</v>
      </c>
      <c r="BD1803">
        <v>4.5971000000000002</v>
      </c>
      <c r="BE1803">
        <v>17.109500000000001</v>
      </c>
      <c r="BH1803">
        <v>82.65</v>
      </c>
    </row>
    <row r="1804" spans="1:60" x14ac:dyDescent="0.25">
      <c r="A1804" s="2">
        <v>43697</v>
      </c>
      <c r="B1804">
        <v>22</v>
      </c>
      <c r="C1804">
        <v>161.80000000000001</v>
      </c>
      <c r="D1804">
        <v>23.1</v>
      </c>
      <c r="E1804">
        <v>0.5</v>
      </c>
      <c r="F1804">
        <v>113.61</v>
      </c>
      <c r="H1804">
        <v>3.6</v>
      </c>
      <c r="I1804">
        <v>275.3476</v>
      </c>
      <c r="J1804">
        <v>79.467200000000005</v>
      </c>
      <c r="K1804">
        <v>121.32129999999999</v>
      </c>
      <c r="L1804">
        <v>4.7519999999999998</v>
      </c>
      <c r="M1804">
        <v>34.068899999999999</v>
      </c>
      <c r="N1804">
        <v>6.6525999999999996</v>
      </c>
      <c r="O1804">
        <v>-3.6324000000000001</v>
      </c>
      <c r="P1804">
        <v>89.54</v>
      </c>
      <c r="S1804">
        <f t="shared" si="619"/>
        <v>839.56699999999989</v>
      </c>
      <c r="T1804">
        <f t="shared" si="620"/>
        <v>2.0624229813917882E-2</v>
      </c>
      <c r="U1804">
        <f t="shared" si="621"/>
        <v>0.15168183563145063</v>
      </c>
      <c r="V1804">
        <f t="shared" si="622"/>
        <v>2.1655441304613776E-2</v>
      </c>
      <c r="W1804">
        <f t="shared" si="623"/>
        <v>4.6873249577086097E-4</v>
      </c>
      <c r="X1804">
        <f t="shared" si="624"/>
        <v>0.10650539768905502</v>
      </c>
      <c r="Y1804">
        <f t="shared" si="625"/>
        <v>0</v>
      </c>
      <c r="Z1804">
        <f t="shared" si="626"/>
        <v>3.3748739695501988E-3</v>
      </c>
      <c r="AA1804">
        <f t="shared" si="627"/>
        <v>0.2581287355050334</v>
      </c>
      <c r="AB1804">
        <f t="shared" si="628"/>
        <v>7.4497717975844327E-2</v>
      </c>
      <c r="AC1804">
        <f t="shared" si="629"/>
        <v>0.1137344714783307</v>
      </c>
      <c r="AD1804">
        <f t="shared" si="630"/>
        <v>4.4548336398062627E-3</v>
      </c>
      <c r="AE1804">
        <f t="shared" si="631"/>
        <v>3.1938401050335768E-2</v>
      </c>
      <c r="AG1804">
        <f t="shared" si="632"/>
        <v>1.7579125096010153</v>
      </c>
      <c r="AH1804">
        <f t="shared" si="633"/>
        <v>0.3362489119546942</v>
      </c>
      <c r="AI1804">
        <f t="shared" si="634"/>
        <v>-8.1539430894097667E-2</v>
      </c>
      <c r="AK1804" s="26" t="e">
        <f t="shared" si="635"/>
        <v>#DIV/0!</v>
      </c>
      <c r="AL1804" s="26" t="e">
        <f t="shared" si="636"/>
        <v>#DIV/0!</v>
      </c>
      <c r="AM1804" s="26" t="e">
        <f t="shared" si="637"/>
        <v>#DIV/0!</v>
      </c>
      <c r="AN1804" s="26" t="e">
        <f t="shared" si="638"/>
        <v>#DIV/0!</v>
      </c>
      <c r="AO1804" s="26" t="e">
        <f t="shared" si="639"/>
        <v>#DIV/0!</v>
      </c>
      <c r="AP1804" s="26" t="e">
        <f t="shared" si="640"/>
        <v>#DIV/0!</v>
      </c>
      <c r="AS1804" s="2">
        <v>43676</v>
      </c>
      <c r="AT1804">
        <v>21</v>
      </c>
      <c r="AU1804">
        <v>234.9</v>
      </c>
      <c r="AV1804">
        <v>6.6</v>
      </c>
      <c r="AW1804">
        <v>0.3</v>
      </c>
      <c r="AX1804">
        <v>181.15</v>
      </c>
      <c r="AY1804">
        <v>0.4</v>
      </c>
      <c r="AZ1804">
        <v>2.4</v>
      </c>
      <c r="BA1804">
        <v>289.10219999999998</v>
      </c>
      <c r="BB1804">
        <v>129.11150000000001</v>
      </c>
      <c r="BC1804">
        <v>136.05179999999999</v>
      </c>
      <c r="BD1804">
        <v>4.6357999999999997</v>
      </c>
      <c r="BE1804">
        <v>19.79</v>
      </c>
      <c r="BH1804">
        <v>82.3</v>
      </c>
    </row>
    <row r="1805" spans="1:60" x14ac:dyDescent="0.25">
      <c r="A1805" s="2">
        <v>43696</v>
      </c>
      <c r="B1805">
        <v>19.899999999999999</v>
      </c>
      <c r="C1805">
        <v>151</v>
      </c>
      <c r="D1805">
        <v>54.9</v>
      </c>
      <c r="E1805">
        <v>1.1000000000000001</v>
      </c>
      <c r="F1805">
        <v>164.72</v>
      </c>
      <c r="G1805">
        <v>0.1</v>
      </c>
      <c r="H1805">
        <v>3.4</v>
      </c>
      <c r="I1805">
        <v>206.53020000000001</v>
      </c>
      <c r="J1805">
        <v>41.475000000000001</v>
      </c>
      <c r="K1805">
        <v>71.139700000000005</v>
      </c>
      <c r="L1805">
        <v>4.7519999999999998</v>
      </c>
      <c r="M1805">
        <v>24.202400000000001</v>
      </c>
      <c r="N1805">
        <v>6.7332999999999998</v>
      </c>
      <c r="O1805">
        <v>-4.8784999999999998</v>
      </c>
      <c r="P1805">
        <v>89.25</v>
      </c>
      <c r="S1805">
        <f t="shared" si="619"/>
        <v>743.21930000000009</v>
      </c>
      <c r="T1805">
        <f t="shared" si="620"/>
        <v>1.8655553331680265E-2</v>
      </c>
      <c r="U1805">
        <f t="shared" si="621"/>
        <v>0.1415572137228</v>
      </c>
      <c r="V1805">
        <f t="shared" si="622"/>
        <v>5.1466828035640531E-2</v>
      </c>
      <c r="W1805">
        <f t="shared" si="623"/>
        <v>1.0312114906958943E-3</v>
      </c>
      <c r="X1805">
        <f t="shared" si="624"/>
        <v>0.15441923340675243</v>
      </c>
      <c r="Y1805">
        <f t="shared" si="625"/>
        <v>9.3746499154172199E-5</v>
      </c>
      <c r="Z1805">
        <f t="shared" si="626"/>
        <v>3.1873809712418544E-3</v>
      </c>
      <c r="AA1805">
        <f t="shared" si="627"/>
        <v>0.19361483219611014</v>
      </c>
      <c r="AB1805">
        <f t="shared" si="628"/>
        <v>3.8881360524192915E-2</v>
      </c>
      <c r="AC1805">
        <f t="shared" si="629"/>
        <v>6.6690978258780634E-2</v>
      </c>
      <c r="AD1805">
        <f t="shared" si="630"/>
        <v>4.4548336398062627E-3</v>
      </c>
      <c r="AE1805">
        <f t="shared" si="631"/>
        <v>2.2688902711289372E-2</v>
      </c>
      <c r="AG1805">
        <f t="shared" si="632"/>
        <v>1.7714756382395955</v>
      </c>
      <c r="AH1805">
        <f t="shared" si="633"/>
        <v>0.39310007016925447</v>
      </c>
      <c r="AI1805">
        <f t="shared" si="634"/>
        <v>0.17025801609820215</v>
      </c>
      <c r="AK1805" s="26" t="e">
        <f t="shared" si="635"/>
        <v>#DIV/0!</v>
      </c>
      <c r="AL1805" s="26" t="e">
        <f t="shared" si="636"/>
        <v>#DIV/0!</v>
      </c>
      <c r="AM1805" s="26" t="e">
        <f t="shared" si="637"/>
        <v>#DIV/0!</v>
      </c>
      <c r="AN1805" s="26" t="e">
        <f t="shared" si="638"/>
        <v>#DIV/0!</v>
      </c>
      <c r="AO1805" s="26" t="e">
        <f t="shared" si="639"/>
        <v>#DIV/0!</v>
      </c>
      <c r="AP1805" s="26" t="e">
        <f t="shared" si="640"/>
        <v>#DIV/0!</v>
      </c>
      <c r="AS1805" s="2">
        <v>43675</v>
      </c>
      <c r="AT1805">
        <v>20.3</v>
      </c>
      <c r="AU1805">
        <v>408.1</v>
      </c>
      <c r="AV1805">
        <v>6.8</v>
      </c>
      <c r="AW1805">
        <v>0.3</v>
      </c>
      <c r="AX1805">
        <v>141.29</v>
      </c>
      <c r="AY1805">
        <v>0.4</v>
      </c>
      <c r="AZ1805">
        <v>2.4</v>
      </c>
      <c r="BA1805">
        <v>273.15379999999999</v>
      </c>
      <c r="BB1805">
        <v>117.22239999999999</v>
      </c>
      <c r="BC1805">
        <v>133.5934</v>
      </c>
      <c r="BD1805">
        <v>4.6645000000000003</v>
      </c>
      <c r="BE1805">
        <v>26.947600000000001</v>
      </c>
      <c r="BH1805">
        <v>81.99</v>
      </c>
    </row>
    <row r="1806" spans="1:60" x14ac:dyDescent="0.25">
      <c r="A1806" s="2">
        <v>43695</v>
      </c>
      <c r="B1806">
        <v>19.8</v>
      </c>
      <c r="C1806">
        <v>11.8</v>
      </c>
      <c r="D1806">
        <v>30</v>
      </c>
      <c r="E1806">
        <v>0.6</v>
      </c>
      <c r="F1806">
        <v>161.22</v>
      </c>
      <c r="G1806">
        <v>0.1</v>
      </c>
      <c r="H1806">
        <v>3.1</v>
      </c>
      <c r="I1806">
        <v>160.42259999999999</v>
      </c>
      <c r="J1806">
        <v>16.604700000000001</v>
      </c>
      <c r="K1806">
        <v>18.930399999999999</v>
      </c>
      <c r="L1806">
        <v>4.7039999999999997</v>
      </c>
      <c r="M1806">
        <v>11.83</v>
      </c>
      <c r="P1806">
        <v>88.78</v>
      </c>
      <c r="S1806">
        <f t="shared" si="619"/>
        <v>439.11169999999998</v>
      </c>
      <c r="T1806">
        <f t="shared" si="620"/>
        <v>1.8561806832526093E-2</v>
      </c>
      <c r="U1806">
        <f t="shared" si="621"/>
        <v>1.1062086900192319E-2</v>
      </c>
      <c r="V1806">
        <f t="shared" si="622"/>
        <v>2.8123949746251656E-2</v>
      </c>
      <c r="W1806">
        <f t="shared" si="623"/>
        <v>5.6247899492503314E-4</v>
      </c>
      <c r="X1806">
        <f t="shared" si="624"/>
        <v>0.1511381059363564</v>
      </c>
      <c r="Y1806">
        <f t="shared" si="625"/>
        <v>9.3746499154172199E-5</v>
      </c>
      <c r="Z1806">
        <f t="shared" si="626"/>
        <v>2.9061414737793379E-3</v>
      </c>
      <c r="AA1806">
        <f t="shared" si="627"/>
        <v>0.15039057135210102</v>
      </c>
      <c r="AB1806">
        <f t="shared" si="628"/>
        <v>1.5566324945052831E-2</v>
      </c>
      <c r="AC1806">
        <f t="shared" si="629"/>
        <v>1.7746587275881413E-2</v>
      </c>
      <c r="AD1806">
        <f t="shared" si="630"/>
        <v>4.4098353202122595E-3</v>
      </c>
      <c r="AE1806">
        <f t="shared" si="631"/>
        <v>1.1090210849938571E-2</v>
      </c>
      <c r="AG1806">
        <f t="shared" si="632"/>
        <v>1.745081653443703</v>
      </c>
      <c r="AH1806">
        <f t="shared" si="633"/>
        <v>0.22353852723312362</v>
      </c>
      <c r="AI1806">
        <f t="shared" si="634"/>
        <v>-0.567611248954764</v>
      </c>
      <c r="AK1806" s="26" t="e">
        <f t="shared" si="635"/>
        <v>#DIV/0!</v>
      </c>
      <c r="AL1806" s="26" t="e">
        <f t="shared" si="636"/>
        <v>#DIV/0!</v>
      </c>
      <c r="AM1806" s="26" t="e">
        <f t="shared" si="637"/>
        <v>#DIV/0!</v>
      </c>
      <c r="AN1806" s="26" t="e">
        <f t="shared" si="638"/>
        <v>#DIV/0!</v>
      </c>
      <c r="AO1806" s="26" t="e">
        <f t="shared" si="639"/>
        <v>#DIV/0!</v>
      </c>
      <c r="AP1806" s="26" t="e">
        <f t="shared" si="640"/>
        <v>#DIV/0!</v>
      </c>
      <c r="AS1806" s="2">
        <v>43674</v>
      </c>
      <c r="AT1806">
        <v>20.2</v>
      </c>
      <c r="AU1806">
        <v>198.9</v>
      </c>
      <c r="AV1806">
        <v>47</v>
      </c>
      <c r="AW1806">
        <v>0.9</v>
      </c>
      <c r="AX1806">
        <v>142.68</v>
      </c>
      <c r="AY1806">
        <v>0.4</v>
      </c>
      <c r="AZ1806">
        <v>2.5</v>
      </c>
      <c r="BA1806">
        <v>214.96090000000001</v>
      </c>
      <c r="BB1806">
        <v>27.9815</v>
      </c>
      <c r="BC1806">
        <v>50.8369</v>
      </c>
      <c r="BD1806">
        <v>4.6287000000000003</v>
      </c>
      <c r="BE1806">
        <v>12.4261</v>
      </c>
      <c r="BH1806">
        <v>82.05</v>
      </c>
    </row>
    <row r="1807" spans="1:60" x14ac:dyDescent="0.25">
      <c r="A1807" s="2">
        <v>43694</v>
      </c>
      <c r="B1807">
        <v>21.3</v>
      </c>
      <c r="C1807">
        <v>165.9</v>
      </c>
      <c r="D1807">
        <v>53.2</v>
      </c>
      <c r="E1807">
        <v>1.4</v>
      </c>
      <c r="F1807">
        <v>103.32</v>
      </c>
      <c r="G1807">
        <v>0.1</v>
      </c>
      <c r="H1807">
        <v>3.3</v>
      </c>
      <c r="I1807">
        <v>154.65090000000001</v>
      </c>
      <c r="J1807">
        <v>16.129799999999999</v>
      </c>
      <c r="K1807">
        <v>19.171399999999998</v>
      </c>
      <c r="L1807">
        <v>4.7039999999999997</v>
      </c>
      <c r="M1807">
        <v>21.740600000000001</v>
      </c>
      <c r="P1807">
        <v>88.38</v>
      </c>
      <c r="S1807">
        <f t="shared" si="619"/>
        <v>564.91669999999999</v>
      </c>
      <c r="T1807">
        <f t="shared" si="620"/>
        <v>1.9968004319838677E-2</v>
      </c>
      <c r="U1807">
        <f t="shared" si="621"/>
        <v>0.15552544209677166</v>
      </c>
      <c r="V1807">
        <f t="shared" si="622"/>
        <v>4.9873137550019611E-2</v>
      </c>
      <c r="W1807">
        <f t="shared" si="623"/>
        <v>1.3124509881584105E-3</v>
      </c>
      <c r="X1807">
        <f t="shared" si="624"/>
        <v>9.6858882926090697E-2</v>
      </c>
      <c r="Y1807">
        <f t="shared" si="625"/>
        <v>9.3746499154172199E-5</v>
      </c>
      <c r="Z1807">
        <f t="shared" si="626"/>
        <v>3.0936344720876819E-3</v>
      </c>
      <c r="AA1807">
        <f t="shared" si="627"/>
        <v>0.14497980466041968</v>
      </c>
      <c r="AB1807">
        <f t="shared" si="628"/>
        <v>1.5121122820569665E-2</v>
      </c>
      <c r="AC1807">
        <f t="shared" si="629"/>
        <v>1.7972516338842965E-2</v>
      </c>
      <c r="AD1807">
        <f t="shared" si="630"/>
        <v>4.4098353202122595E-3</v>
      </c>
      <c r="AE1807">
        <f t="shared" si="631"/>
        <v>2.0381051395111961E-2</v>
      </c>
      <c r="AG1807">
        <f t="shared" si="632"/>
        <v>1.7313012048128582</v>
      </c>
      <c r="AH1807">
        <f t="shared" si="633"/>
        <v>0.34710635024723285</v>
      </c>
      <c r="AI1807">
        <f t="shared" si="634"/>
        <v>-4.9568954664957775E-2</v>
      </c>
      <c r="AK1807" s="26" t="e">
        <f t="shared" si="635"/>
        <v>#DIV/0!</v>
      </c>
      <c r="AL1807" s="26" t="e">
        <f t="shared" si="636"/>
        <v>#DIV/0!</v>
      </c>
      <c r="AM1807" s="26" t="e">
        <f t="shared" si="637"/>
        <v>#DIV/0!</v>
      </c>
      <c r="AN1807" s="26" t="e">
        <f t="shared" si="638"/>
        <v>#DIV/0!</v>
      </c>
      <c r="AO1807" s="26" t="e">
        <f t="shared" si="639"/>
        <v>#DIV/0!</v>
      </c>
      <c r="AP1807" s="26" t="e">
        <f t="shared" si="640"/>
        <v>#DIV/0!</v>
      </c>
      <c r="AS1807" s="2">
        <v>43673</v>
      </c>
      <c r="AT1807">
        <v>20.100000000000001</v>
      </c>
      <c r="AU1807">
        <v>117.6</v>
      </c>
      <c r="AV1807">
        <v>66.599999999999994</v>
      </c>
      <c r="AW1807">
        <v>2.2000000000000002</v>
      </c>
      <c r="AX1807">
        <v>183.05</v>
      </c>
      <c r="AY1807">
        <v>0.3</v>
      </c>
      <c r="AZ1807">
        <v>2.6</v>
      </c>
      <c r="BA1807">
        <v>220.60839999999999</v>
      </c>
      <c r="BB1807">
        <v>32.6389</v>
      </c>
      <c r="BC1807">
        <v>67.073300000000003</v>
      </c>
      <c r="BD1807">
        <v>4.6422999999999996</v>
      </c>
      <c r="BE1807">
        <v>12.969099999999999</v>
      </c>
      <c r="BH1807">
        <v>81.650000000000006</v>
      </c>
    </row>
    <row r="1808" spans="1:60" x14ac:dyDescent="0.25">
      <c r="A1808" s="2">
        <v>43693</v>
      </c>
      <c r="B1808">
        <v>21.5</v>
      </c>
      <c r="C1808">
        <v>370.8</v>
      </c>
      <c r="D1808">
        <v>32.1</v>
      </c>
      <c r="E1808">
        <v>0.8</v>
      </c>
      <c r="F1808">
        <v>188.32</v>
      </c>
      <c r="G1808">
        <v>0.1</v>
      </c>
      <c r="H1808">
        <v>3.3</v>
      </c>
      <c r="I1808">
        <v>216.20240000000001</v>
      </c>
      <c r="J1808">
        <v>33.751100000000001</v>
      </c>
      <c r="K1808">
        <v>75.139300000000006</v>
      </c>
      <c r="L1808">
        <v>4.7037000000000004</v>
      </c>
      <c r="M1808">
        <v>26.065200000000001</v>
      </c>
      <c r="N1808">
        <v>6.8079000000000001</v>
      </c>
      <c r="O1808">
        <v>-4.2615999999999996</v>
      </c>
      <c r="P1808">
        <v>88.02</v>
      </c>
      <c r="S1808">
        <f t="shared" si="619"/>
        <v>972.7817</v>
      </c>
      <c r="T1808">
        <f t="shared" si="620"/>
        <v>2.0155497318147021E-2</v>
      </c>
      <c r="U1808">
        <f t="shared" si="621"/>
        <v>0.34761201886367049</v>
      </c>
      <c r="V1808">
        <f t="shared" si="622"/>
        <v>3.0092626228489273E-2</v>
      </c>
      <c r="W1808">
        <f t="shared" si="623"/>
        <v>7.4997199323337759E-4</v>
      </c>
      <c r="X1808">
        <f t="shared" si="624"/>
        <v>0.17654340720713707</v>
      </c>
      <c r="Y1808">
        <f t="shared" si="625"/>
        <v>9.3746499154172199E-5</v>
      </c>
      <c r="Z1808">
        <f t="shared" si="626"/>
        <v>3.0936344720876819E-3</v>
      </c>
      <c r="AA1808">
        <f t="shared" si="627"/>
        <v>0.20268218108729999</v>
      </c>
      <c r="AB1808">
        <f t="shared" si="628"/>
        <v>3.1640474676023808E-2</v>
      </c>
      <c r="AC1808">
        <f t="shared" si="629"/>
        <v>7.0440463238950909E-2</v>
      </c>
      <c r="AD1808">
        <f t="shared" si="630"/>
        <v>4.4095540807147981E-3</v>
      </c>
      <c r="AE1808">
        <f t="shared" si="631"/>
        <v>2.443521249753329E-2</v>
      </c>
      <c r="AG1808">
        <f t="shared" si="632"/>
        <v>1.7251505164967664</v>
      </c>
      <c r="AH1808">
        <f t="shared" si="633"/>
        <v>0.6027761150794525</v>
      </c>
      <c r="AI1808">
        <f t="shared" si="634"/>
        <v>1.028563217603085</v>
      </c>
      <c r="AK1808" s="26" t="e">
        <f t="shared" si="635"/>
        <v>#DIV/0!</v>
      </c>
      <c r="AL1808" s="26" t="e">
        <f t="shared" si="636"/>
        <v>#DIV/0!</v>
      </c>
      <c r="AM1808" s="26" t="e">
        <f t="shared" si="637"/>
        <v>#DIV/0!</v>
      </c>
      <c r="AN1808" s="26" t="e">
        <f t="shared" si="638"/>
        <v>#DIV/0!</v>
      </c>
      <c r="AO1808" s="26" t="e">
        <f t="shared" si="639"/>
        <v>#DIV/0!</v>
      </c>
      <c r="AP1808" s="26" t="e">
        <f t="shared" si="640"/>
        <v>#DIV/0!</v>
      </c>
      <c r="AS1808" s="2">
        <v>43672</v>
      </c>
      <c r="AT1808">
        <v>20.100000000000001</v>
      </c>
      <c r="AU1808">
        <v>70.099999999999994</v>
      </c>
      <c r="AV1808">
        <v>54.7</v>
      </c>
      <c r="AW1808">
        <v>1.6</v>
      </c>
      <c r="AX1808">
        <v>234.84</v>
      </c>
      <c r="AY1808">
        <v>0.1</v>
      </c>
      <c r="AZ1808">
        <v>2.6</v>
      </c>
      <c r="BA1808">
        <v>300.30459999999999</v>
      </c>
      <c r="BB1808">
        <v>136.768</v>
      </c>
      <c r="BC1808">
        <v>113.6885</v>
      </c>
      <c r="BD1808">
        <v>4.9859999999999998</v>
      </c>
      <c r="BE1808">
        <v>25.173300000000001</v>
      </c>
      <c r="BH1808">
        <v>81.3</v>
      </c>
    </row>
    <row r="1809" spans="1:60" x14ac:dyDescent="0.25">
      <c r="A1809" s="2">
        <v>43692</v>
      </c>
      <c r="B1809">
        <v>21.8</v>
      </c>
      <c r="C1809">
        <v>115.5</v>
      </c>
      <c r="D1809">
        <v>46.2</v>
      </c>
      <c r="E1809">
        <v>1.3</v>
      </c>
      <c r="F1809">
        <v>117.12</v>
      </c>
      <c r="G1809">
        <v>0.1</v>
      </c>
      <c r="H1809">
        <v>3.2</v>
      </c>
      <c r="I1809">
        <v>183.72739999999999</v>
      </c>
      <c r="J1809">
        <v>47.5916</v>
      </c>
      <c r="K1809">
        <v>55.328099999999999</v>
      </c>
      <c r="L1809">
        <v>4.7039999999999997</v>
      </c>
      <c r="M1809">
        <v>13.444800000000001</v>
      </c>
      <c r="N1809">
        <v>6.5082000000000004</v>
      </c>
      <c r="O1809">
        <v>-4.1482999999999999</v>
      </c>
      <c r="P1809">
        <v>87.71</v>
      </c>
      <c r="S1809">
        <f t="shared" si="619"/>
        <v>610.01589999999987</v>
      </c>
      <c r="T1809">
        <f t="shared" si="620"/>
        <v>2.0436736815609539E-2</v>
      </c>
      <c r="U1809">
        <f t="shared" si="621"/>
        <v>0.10827720652306888</v>
      </c>
      <c r="V1809">
        <f t="shared" si="622"/>
        <v>4.3310882609227552E-2</v>
      </c>
      <c r="W1809">
        <f t="shared" si="623"/>
        <v>1.2187044890042385E-3</v>
      </c>
      <c r="X1809">
        <f t="shared" si="624"/>
        <v>0.10979589980936648</v>
      </c>
      <c r="Y1809">
        <f t="shared" si="625"/>
        <v>9.3746499154172199E-5</v>
      </c>
      <c r="Z1809">
        <f t="shared" si="626"/>
        <v>2.9998879729335104E-3</v>
      </c>
      <c r="AA1809">
        <f t="shared" si="627"/>
        <v>0.17223800548698254</v>
      </c>
      <c r="AB1809">
        <f t="shared" si="628"/>
        <v>4.4615458891457009E-2</v>
      </c>
      <c r="AC1809">
        <f t="shared" si="629"/>
        <v>5.1868156798519541E-2</v>
      </c>
      <c r="AD1809">
        <f t="shared" si="630"/>
        <v>4.4098353202122595E-3</v>
      </c>
      <c r="AE1809">
        <f t="shared" si="631"/>
        <v>1.2604029318280143E-2</v>
      </c>
      <c r="AG1809">
        <f t="shared" si="632"/>
        <v>1.7305050610464932</v>
      </c>
      <c r="AH1809">
        <f t="shared" si="633"/>
        <v>0.2987370940366445</v>
      </c>
      <c r="AI1809">
        <f t="shared" si="634"/>
        <v>-0.21048110175773882</v>
      </c>
      <c r="AK1809" s="26" t="e">
        <f t="shared" si="635"/>
        <v>#DIV/0!</v>
      </c>
      <c r="AL1809" s="26" t="e">
        <f t="shared" si="636"/>
        <v>#DIV/0!</v>
      </c>
      <c r="AM1809" s="26" t="e">
        <f t="shared" si="637"/>
        <v>#DIV/0!</v>
      </c>
      <c r="AN1809" s="26" t="e">
        <f t="shared" si="638"/>
        <v>#DIV/0!</v>
      </c>
      <c r="AO1809" s="26" t="e">
        <f t="shared" si="639"/>
        <v>#DIV/0!</v>
      </c>
      <c r="AP1809" s="26" t="e">
        <f t="shared" si="640"/>
        <v>#DIV/0!</v>
      </c>
      <c r="AS1809" s="2">
        <v>43671</v>
      </c>
      <c r="AT1809">
        <v>19.3</v>
      </c>
      <c r="AU1809">
        <v>53.8</v>
      </c>
      <c r="AV1809">
        <v>11.1</v>
      </c>
      <c r="AW1809">
        <v>0.8</v>
      </c>
      <c r="AX1809">
        <v>241.45</v>
      </c>
      <c r="AZ1809">
        <v>2.2999999999999998</v>
      </c>
      <c r="BA1809">
        <v>307.52280000000002</v>
      </c>
      <c r="BB1809">
        <v>214.34520000000001</v>
      </c>
      <c r="BC1809">
        <v>123.09439999999999</v>
      </c>
      <c r="BD1809">
        <v>5.0679999999999996</v>
      </c>
      <c r="BE1809">
        <v>25.443200000000001</v>
      </c>
      <c r="BH1809">
        <v>80.91</v>
      </c>
    </row>
    <row r="1810" spans="1:60" x14ac:dyDescent="0.25">
      <c r="A1810" s="2">
        <v>43691</v>
      </c>
      <c r="B1810">
        <v>22.3</v>
      </c>
      <c r="C1810">
        <v>245.8</v>
      </c>
      <c r="D1810">
        <v>29</v>
      </c>
      <c r="E1810">
        <v>0.7</v>
      </c>
      <c r="F1810">
        <v>205.22</v>
      </c>
      <c r="G1810">
        <v>0.1</v>
      </c>
      <c r="H1810">
        <v>3.6</v>
      </c>
      <c r="I1810">
        <v>203.86240000000001</v>
      </c>
      <c r="J1810">
        <v>72.474199999999996</v>
      </c>
      <c r="K1810">
        <v>99.673199999999994</v>
      </c>
      <c r="L1810">
        <v>4.71</v>
      </c>
      <c r="M1810">
        <v>25.343</v>
      </c>
      <c r="N1810">
        <v>6.7831000000000001</v>
      </c>
      <c r="O1810">
        <v>-4.6817000000000002</v>
      </c>
      <c r="P1810">
        <v>87.36</v>
      </c>
      <c r="S1810">
        <f t="shared" si="619"/>
        <v>912.78279999999995</v>
      </c>
      <c r="T1810">
        <f t="shared" si="620"/>
        <v>2.09054693113804E-2</v>
      </c>
      <c r="U1810">
        <f t="shared" si="621"/>
        <v>0.23042889492095525</v>
      </c>
      <c r="V1810">
        <f t="shared" si="622"/>
        <v>2.7186484754709934E-2</v>
      </c>
      <c r="W1810">
        <f t="shared" si="623"/>
        <v>6.5622549407920526E-4</v>
      </c>
      <c r="X1810">
        <f t="shared" si="624"/>
        <v>0.19238656556419217</v>
      </c>
      <c r="Y1810">
        <f t="shared" si="625"/>
        <v>9.3746499154172199E-5</v>
      </c>
      <c r="Z1810">
        <f t="shared" si="626"/>
        <v>3.3748739695501988E-3</v>
      </c>
      <c r="AA1810">
        <f t="shared" si="627"/>
        <v>0.19111386309167513</v>
      </c>
      <c r="AB1810">
        <f t="shared" si="628"/>
        <v>6.794202528999306E-2</v>
      </c>
      <c r="AC1810">
        <f t="shared" si="629"/>
        <v>9.3440135594936358E-2</v>
      </c>
      <c r="AD1810">
        <f t="shared" si="630"/>
        <v>4.4154601101615105E-3</v>
      </c>
      <c r="AE1810">
        <f t="shared" si="631"/>
        <v>2.375817528064186E-2</v>
      </c>
      <c r="AG1810">
        <f t="shared" si="632"/>
        <v>1.7263906868897791</v>
      </c>
      <c r="AH1810">
        <f t="shared" si="633"/>
        <v>0.49879043579466315</v>
      </c>
      <c r="AI1810">
        <f t="shared" si="634"/>
        <v>0.61256943434190347</v>
      </c>
      <c r="AK1810" s="26" t="e">
        <f t="shared" si="635"/>
        <v>#DIV/0!</v>
      </c>
      <c r="AL1810" s="26" t="e">
        <f t="shared" si="636"/>
        <v>#DIV/0!</v>
      </c>
      <c r="AM1810" s="26" t="e">
        <f t="shared" si="637"/>
        <v>#DIV/0!</v>
      </c>
      <c r="AN1810" s="26" t="e">
        <f t="shared" si="638"/>
        <v>#DIV/0!</v>
      </c>
      <c r="AO1810" s="26" t="e">
        <f t="shared" si="639"/>
        <v>#DIV/0!</v>
      </c>
      <c r="AP1810" s="26" t="e">
        <f t="shared" si="640"/>
        <v>#DIV/0!</v>
      </c>
      <c r="AS1810" s="2">
        <v>43670</v>
      </c>
      <c r="AT1810">
        <v>19.100000000000001</v>
      </c>
      <c r="AU1810">
        <v>407.4</v>
      </c>
      <c r="AV1810">
        <v>26.5</v>
      </c>
      <c r="AW1810">
        <v>0.5</v>
      </c>
      <c r="AX1810">
        <v>250.59</v>
      </c>
      <c r="AY1810">
        <v>0</v>
      </c>
      <c r="AZ1810">
        <v>2.2999999999999998</v>
      </c>
      <c r="BA1810">
        <v>314.02769999999998</v>
      </c>
      <c r="BB1810">
        <v>199.65280000000001</v>
      </c>
      <c r="BC1810">
        <v>136.858</v>
      </c>
      <c r="BD1810">
        <v>5.1360000000000001</v>
      </c>
      <c r="BE1810">
        <v>29.914100000000001</v>
      </c>
      <c r="BH1810">
        <v>80.63</v>
      </c>
    </row>
    <row r="1811" spans="1:60" x14ac:dyDescent="0.25">
      <c r="A1811" s="2">
        <v>43690</v>
      </c>
      <c r="B1811">
        <v>22.3</v>
      </c>
      <c r="C1811">
        <v>257.60000000000002</v>
      </c>
      <c r="D1811">
        <v>19.7</v>
      </c>
      <c r="E1811">
        <v>1.3</v>
      </c>
      <c r="F1811">
        <v>166.26</v>
      </c>
      <c r="G1811">
        <v>0.1</v>
      </c>
      <c r="H1811">
        <v>3.6</v>
      </c>
      <c r="I1811">
        <v>214.71430000000001</v>
      </c>
      <c r="J1811">
        <v>73.253900000000002</v>
      </c>
      <c r="K1811">
        <v>108.43219999999999</v>
      </c>
      <c r="L1811">
        <v>4.7198000000000002</v>
      </c>
      <c r="M1811">
        <v>19.294</v>
      </c>
      <c r="N1811">
        <v>5.5766</v>
      </c>
      <c r="O1811">
        <v>-4.5270999999999999</v>
      </c>
      <c r="P1811">
        <v>87.03</v>
      </c>
      <c r="S1811">
        <f t="shared" si="619"/>
        <v>891.27420000000006</v>
      </c>
      <c r="T1811">
        <f t="shared" si="620"/>
        <v>2.09054693113804E-2</v>
      </c>
      <c r="U1811">
        <f t="shared" si="621"/>
        <v>0.24149098182114759</v>
      </c>
      <c r="V1811">
        <f t="shared" si="622"/>
        <v>1.8468060333371922E-2</v>
      </c>
      <c r="W1811">
        <f t="shared" si="623"/>
        <v>1.2187044890042385E-3</v>
      </c>
      <c r="X1811">
        <f t="shared" si="624"/>
        <v>0.15586292949372668</v>
      </c>
      <c r="Y1811">
        <f t="shared" si="625"/>
        <v>9.3746499154172199E-5</v>
      </c>
      <c r="Z1811">
        <f t="shared" si="626"/>
        <v>3.3748739695501988E-3</v>
      </c>
      <c r="AA1811">
        <f t="shared" si="627"/>
        <v>0.20128713943338675</v>
      </c>
      <c r="AB1811">
        <f t="shared" si="628"/>
        <v>6.8672966743898139E-2</v>
      </c>
      <c r="AC1811">
        <f t="shared" si="629"/>
        <v>0.1016513914558503</v>
      </c>
      <c r="AD1811">
        <f t="shared" si="630"/>
        <v>4.4246472670786191E-3</v>
      </c>
      <c r="AE1811">
        <f t="shared" si="631"/>
        <v>1.8087449546805984E-2</v>
      </c>
      <c r="AG1811">
        <f t="shared" si="632"/>
        <v>1.7268188187930409</v>
      </c>
      <c r="AH1811">
        <f t="shared" si="633"/>
        <v>0.45950221546414111</v>
      </c>
      <c r="AI1811">
        <f t="shared" si="634"/>
        <v>0.47206298339531716</v>
      </c>
      <c r="AK1811" s="26" t="e">
        <f t="shared" si="635"/>
        <v>#DIV/0!</v>
      </c>
      <c r="AL1811" s="26" t="e">
        <f t="shared" si="636"/>
        <v>#DIV/0!</v>
      </c>
      <c r="AM1811" s="26" t="e">
        <f t="shared" si="637"/>
        <v>#DIV/0!</v>
      </c>
      <c r="AN1811" s="26" t="e">
        <f t="shared" si="638"/>
        <v>#DIV/0!</v>
      </c>
      <c r="AO1811" s="26" t="e">
        <f t="shared" si="639"/>
        <v>#DIV/0!</v>
      </c>
      <c r="AP1811" s="26" t="e">
        <f t="shared" si="640"/>
        <v>#DIV/0!</v>
      </c>
      <c r="AS1811" s="2">
        <v>43669</v>
      </c>
      <c r="AT1811">
        <v>19.3</v>
      </c>
      <c r="AU1811">
        <v>428.9</v>
      </c>
      <c r="AV1811">
        <v>9</v>
      </c>
      <c r="AW1811">
        <v>0.3</v>
      </c>
      <c r="AX1811">
        <v>254.34</v>
      </c>
      <c r="AY1811">
        <v>0.4</v>
      </c>
      <c r="AZ1811">
        <v>2.5</v>
      </c>
      <c r="BA1811">
        <v>320.45299999999997</v>
      </c>
      <c r="BB1811">
        <v>193.0652</v>
      </c>
      <c r="BC1811">
        <v>127.37609999999999</v>
      </c>
      <c r="BD1811">
        <v>5.181</v>
      </c>
      <c r="BE1811">
        <v>26.945799999999998</v>
      </c>
      <c r="BH1811">
        <v>80.31</v>
      </c>
    </row>
    <row r="1812" spans="1:60" x14ac:dyDescent="0.25">
      <c r="A1812" s="2">
        <v>43689</v>
      </c>
      <c r="B1812">
        <v>19.899999999999999</v>
      </c>
      <c r="C1812">
        <v>378.6</v>
      </c>
      <c r="D1812">
        <v>51.5</v>
      </c>
      <c r="E1812">
        <v>0.9</v>
      </c>
      <c r="F1812">
        <v>138.22999999999999</v>
      </c>
      <c r="G1812">
        <v>0.1</v>
      </c>
      <c r="H1812">
        <v>3.4</v>
      </c>
      <c r="I1812">
        <v>222.3588</v>
      </c>
      <c r="J1812">
        <v>74.436599999999999</v>
      </c>
      <c r="K1812">
        <v>105.4734</v>
      </c>
      <c r="L1812">
        <v>4.7621000000000002</v>
      </c>
      <c r="M1812">
        <v>20.872199999999999</v>
      </c>
      <c r="N1812">
        <v>7.0377999999999998</v>
      </c>
      <c r="O1812">
        <v>-3.3344999999999998</v>
      </c>
      <c r="P1812">
        <v>86.79</v>
      </c>
      <c r="S1812">
        <f t="shared" si="619"/>
        <v>1020.5331</v>
      </c>
      <c r="T1812">
        <f t="shared" si="620"/>
        <v>1.8655553331680265E-2</v>
      </c>
      <c r="U1812">
        <f t="shared" si="621"/>
        <v>0.35492424579769594</v>
      </c>
      <c r="V1812">
        <f t="shared" si="622"/>
        <v>4.8279447064398677E-2</v>
      </c>
      <c r="W1812">
        <f t="shared" si="623"/>
        <v>8.4371849238754971E-4</v>
      </c>
      <c r="X1812">
        <f t="shared" si="624"/>
        <v>0.1295857857808122</v>
      </c>
      <c r="Y1812">
        <f t="shared" si="625"/>
        <v>9.3746499154172199E-5</v>
      </c>
      <c r="Z1812">
        <f t="shared" si="626"/>
        <v>3.1873809712418544E-3</v>
      </c>
      <c r="AA1812">
        <f t="shared" si="627"/>
        <v>0.20845359056122745</v>
      </c>
      <c r="AB1812">
        <f t="shared" si="628"/>
        <v>6.9781706589394532E-2</v>
      </c>
      <c r="AC1812">
        <f t="shared" si="629"/>
        <v>9.8877620038876651E-2</v>
      </c>
      <c r="AD1812">
        <f t="shared" si="630"/>
        <v>4.4643020362208343E-3</v>
      </c>
      <c r="AE1812">
        <f t="shared" si="631"/>
        <v>1.9566956796457126E-2</v>
      </c>
      <c r="AG1812">
        <f t="shared" si="632"/>
        <v>1.7515130571693778</v>
      </c>
      <c r="AH1812">
        <f t="shared" si="633"/>
        <v>0.57513683473382782</v>
      </c>
      <c r="AI1812">
        <f t="shared" si="634"/>
        <v>0.94811967509557538</v>
      </c>
      <c r="AK1812" s="26" t="e">
        <f t="shared" si="635"/>
        <v>#DIV/0!</v>
      </c>
      <c r="AL1812" s="26" t="e">
        <f t="shared" si="636"/>
        <v>#DIV/0!</v>
      </c>
      <c r="AM1812" s="26" t="e">
        <f t="shared" si="637"/>
        <v>#DIV/0!</v>
      </c>
      <c r="AN1812" s="26" t="e">
        <f t="shared" si="638"/>
        <v>#DIV/0!</v>
      </c>
      <c r="AO1812" s="26" t="e">
        <f t="shared" si="639"/>
        <v>#DIV/0!</v>
      </c>
      <c r="AP1812" s="26" t="e">
        <f t="shared" si="640"/>
        <v>#DIV/0!</v>
      </c>
      <c r="AS1812" s="2">
        <v>43668</v>
      </c>
      <c r="AT1812">
        <v>17.899999999999999</v>
      </c>
      <c r="AU1812">
        <v>528.20000000000005</v>
      </c>
      <c r="AV1812">
        <v>47.3</v>
      </c>
      <c r="AW1812">
        <v>0.4</v>
      </c>
      <c r="AX1812">
        <v>204.14</v>
      </c>
      <c r="AY1812">
        <v>0.4</v>
      </c>
      <c r="AZ1812">
        <v>2.5</v>
      </c>
      <c r="BA1812">
        <v>298.4846</v>
      </c>
      <c r="BB1812">
        <v>115.2578</v>
      </c>
      <c r="BC1812">
        <v>124.7192</v>
      </c>
      <c r="BD1812">
        <v>4.9341999999999997</v>
      </c>
      <c r="BE1812">
        <v>19.665500000000002</v>
      </c>
      <c r="BH1812">
        <v>80.040000000000006</v>
      </c>
    </row>
    <row r="1813" spans="1:60" x14ac:dyDescent="0.25">
      <c r="A1813" s="2">
        <v>43688</v>
      </c>
      <c r="B1813">
        <v>19.5</v>
      </c>
      <c r="C1813">
        <v>329.2</v>
      </c>
      <c r="D1813">
        <v>74.099999999999994</v>
      </c>
      <c r="E1813">
        <v>1.6</v>
      </c>
      <c r="F1813">
        <v>194.32</v>
      </c>
      <c r="G1813">
        <v>0.1</v>
      </c>
      <c r="H1813">
        <v>3.4</v>
      </c>
      <c r="I1813">
        <v>115.3158</v>
      </c>
      <c r="J1813">
        <v>36.089500000000001</v>
      </c>
      <c r="K1813">
        <v>22.6524</v>
      </c>
      <c r="L1813">
        <v>4.8079000000000001</v>
      </c>
      <c r="M1813">
        <v>17.075399999999998</v>
      </c>
      <c r="P1813">
        <v>86.49</v>
      </c>
      <c r="S1813">
        <f t="shared" si="619"/>
        <v>818.16100000000006</v>
      </c>
      <c r="T1813">
        <f t="shared" si="620"/>
        <v>1.8280567335063579E-2</v>
      </c>
      <c r="U1813">
        <f t="shared" si="621"/>
        <v>0.30861347521553484</v>
      </c>
      <c r="V1813">
        <f t="shared" si="622"/>
        <v>6.9466155873241592E-2</v>
      </c>
      <c r="W1813">
        <f t="shared" si="623"/>
        <v>1.4999439864667552E-3</v>
      </c>
      <c r="X1813">
        <f t="shared" si="624"/>
        <v>0.18216819715638741</v>
      </c>
      <c r="Y1813">
        <f t="shared" si="625"/>
        <v>9.3746499154172199E-5</v>
      </c>
      <c r="Z1813">
        <f t="shared" si="626"/>
        <v>3.1873809712418544E-3</v>
      </c>
      <c r="AA1813">
        <f t="shared" si="627"/>
        <v>0.1081045254716269</v>
      </c>
      <c r="AB1813">
        <f t="shared" si="628"/>
        <v>3.3832642812244976E-2</v>
      </c>
      <c r="AC1813">
        <f t="shared" si="629"/>
        <v>2.12358319743997E-2</v>
      </c>
      <c r="AD1813">
        <f t="shared" si="630"/>
        <v>4.5072379328334449E-3</v>
      </c>
      <c r="AE1813">
        <f t="shared" si="631"/>
        <v>1.6007589716571517E-2</v>
      </c>
      <c r="AG1813">
        <f t="shared" si="632"/>
        <v>1.763620277138525</v>
      </c>
      <c r="AH1813">
        <f t="shared" si="633"/>
        <v>0.59931705675366165</v>
      </c>
      <c r="AI1813">
        <f t="shared" si="634"/>
        <v>1.0930300429264188</v>
      </c>
      <c r="AK1813" s="26" t="e">
        <f t="shared" si="635"/>
        <v>#DIV/0!</v>
      </c>
      <c r="AL1813" s="26" t="e">
        <f t="shared" si="636"/>
        <v>#DIV/0!</v>
      </c>
      <c r="AM1813" s="26" t="e">
        <f t="shared" si="637"/>
        <v>#DIV/0!</v>
      </c>
      <c r="AN1813" s="26" t="e">
        <f t="shared" si="638"/>
        <v>#DIV/0!</v>
      </c>
      <c r="AO1813" s="26" t="e">
        <f t="shared" si="639"/>
        <v>#DIV/0!</v>
      </c>
      <c r="AP1813" s="26" t="e">
        <f t="shared" si="640"/>
        <v>#DIV/0!</v>
      </c>
      <c r="AS1813" s="2">
        <v>43667</v>
      </c>
      <c r="AT1813">
        <v>18.3</v>
      </c>
      <c r="AU1813">
        <v>488.9</v>
      </c>
      <c r="AV1813">
        <v>41.5</v>
      </c>
      <c r="AW1813">
        <v>1.1000000000000001</v>
      </c>
      <c r="AX1813">
        <v>201.64</v>
      </c>
      <c r="AY1813">
        <v>0.4</v>
      </c>
      <c r="AZ1813">
        <v>2.7</v>
      </c>
      <c r="BA1813">
        <v>222.233</v>
      </c>
      <c r="BB1813">
        <v>52.7057</v>
      </c>
      <c r="BC1813">
        <v>38.932600000000001</v>
      </c>
      <c r="BD1813">
        <v>4.3986000000000001</v>
      </c>
      <c r="BE1813">
        <v>10.6668</v>
      </c>
      <c r="BH1813">
        <v>79.78</v>
      </c>
    </row>
    <row r="1814" spans="1:60" x14ac:dyDescent="0.25">
      <c r="A1814" s="2">
        <v>43687</v>
      </c>
      <c r="B1814">
        <v>20.399999999999999</v>
      </c>
      <c r="C1814">
        <v>195</v>
      </c>
      <c r="D1814">
        <v>57.1</v>
      </c>
      <c r="E1814">
        <v>2.4</v>
      </c>
      <c r="F1814">
        <v>136.59</v>
      </c>
      <c r="H1814">
        <v>3.5</v>
      </c>
      <c r="I1814">
        <v>119.0474</v>
      </c>
      <c r="J1814">
        <v>38.3414</v>
      </c>
      <c r="K1814">
        <v>22.226099999999999</v>
      </c>
      <c r="L1814">
        <v>4.8003</v>
      </c>
      <c r="M1814">
        <v>17.627400000000002</v>
      </c>
      <c r="P1814">
        <v>86.1</v>
      </c>
      <c r="S1814">
        <f t="shared" si="619"/>
        <v>617.0326</v>
      </c>
      <c r="T1814">
        <f t="shared" si="620"/>
        <v>1.9124285827451126E-2</v>
      </c>
      <c r="U1814">
        <f t="shared" si="621"/>
        <v>0.18280567335063577</v>
      </c>
      <c r="V1814">
        <f t="shared" si="622"/>
        <v>5.352925101703232E-2</v>
      </c>
      <c r="W1814">
        <f t="shared" si="623"/>
        <v>2.2499159797001326E-3</v>
      </c>
      <c r="X1814">
        <f t="shared" si="624"/>
        <v>0.12804834319468381</v>
      </c>
      <c r="Y1814">
        <f t="shared" si="625"/>
        <v>0</v>
      </c>
      <c r="Z1814">
        <f t="shared" si="626"/>
        <v>3.2811274703960268E-3</v>
      </c>
      <c r="AA1814">
        <f t="shared" si="627"/>
        <v>0.11160276983406398</v>
      </c>
      <c r="AB1814">
        <f t="shared" si="628"/>
        <v>3.5943720226697777E-2</v>
      </c>
      <c r="AC1814">
        <f t="shared" si="629"/>
        <v>2.0836190648505466E-2</v>
      </c>
      <c r="AD1814">
        <f t="shared" si="630"/>
        <v>4.5001131988977273E-3</v>
      </c>
      <c r="AE1814">
        <f t="shared" si="631"/>
        <v>1.6525070391902551E-2</v>
      </c>
      <c r="AG1814">
        <f t="shared" si="632"/>
        <v>1.7519516093347385</v>
      </c>
      <c r="AH1814">
        <f t="shared" si="633"/>
        <v>0.40556366723180176</v>
      </c>
      <c r="AI1814">
        <f t="shared" si="634"/>
        <v>0.38349629749250658</v>
      </c>
      <c r="AK1814" s="26" t="e">
        <f t="shared" si="635"/>
        <v>#DIV/0!</v>
      </c>
      <c r="AL1814" s="26" t="e">
        <f t="shared" si="636"/>
        <v>#DIV/0!</v>
      </c>
      <c r="AM1814" s="26" t="e">
        <f t="shared" si="637"/>
        <v>#DIV/0!</v>
      </c>
      <c r="AN1814" s="26" t="e">
        <f t="shared" si="638"/>
        <v>#DIV/0!</v>
      </c>
      <c r="AO1814" s="26" t="e">
        <f t="shared" si="639"/>
        <v>#DIV/0!</v>
      </c>
      <c r="AP1814" s="26" t="e">
        <f t="shared" si="640"/>
        <v>#DIV/0!</v>
      </c>
      <c r="AS1814" s="2">
        <v>43666</v>
      </c>
      <c r="AT1814">
        <v>19</v>
      </c>
      <c r="AU1814">
        <v>44.4</v>
      </c>
      <c r="AV1814">
        <v>42.6</v>
      </c>
      <c r="AW1814">
        <v>1</v>
      </c>
      <c r="AX1814">
        <v>210.35</v>
      </c>
      <c r="AY1814">
        <v>0.3</v>
      </c>
      <c r="AZ1814">
        <v>2.8</v>
      </c>
      <c r="BA1814">
        <v>259.68520000000001</v>
      </c>
      <c r="BB1814">
        <v>64.625</v>
      </c>
      <c r="BC1814">
        <v>72.174700000000001</v>
      </c>
      <c r="BD1814">
        <v>4.3783000000000003</v>
      </c>
      <c r="BE1814">
        <v>13.5047</v>
      </c>
      <c r="BH1814">
        <v>79.400000000000006</v>
      </c>
    </row>
    <row r="1815" spans="1:60" x14ac:dyDescent="0.25">
      <c r="A1815" s="2">
        <v>43686</v>
      </c>
      <c r="B1815">
        <v>20.5</v>
      </c>
      <c r="C1815">
        <v>70.400000000000006</v>
      </c>
      <c r="D1815">
        <v>28.4</v>
      </c>
      <c r="E1815">
        <v>0.3</v>
      </c>
      <c r="F1815">
        <v>176.93</v>
      </c>
      <c r="G1815">
        <v>0.2</v>
      </c>
      <c r="H1815">
        <v>3.7</v>
      </c>
      <c r="I1815">
        <v>272.37959999999998</v>
      </c>
      <c r="J1815">
        <v>88.414699999999996</v>
      </c>
      <c r="K1815">
        <v>124.7375</v>
      </c>
      <c r="L1815">
        <v>4.7526000000000002</v>
      </c>
      <c r="M1815">
        <v>27.152999999999999</v>
      </c>
      <c r="N1815">
        <v>5.8354999999999997</v>
      </c>
      <c r="O1815">
        <v>-3.9649000000000001</v>
      </c>
      <c r="P1815">
        <v>85.72</v>
      </c>
      <c r="S1815">
        <f t="shared" si="619"/>
        <v>817.86740000000009</v>
      </c>
      <c r="T1815">
        <f t="shared" si="620"/>
        <v>1.9218032326605298E-2</v>
      </c>
      <c r="U1815">
        <f t="shared" si="621"/>
        <v>6.5997535404537233E-2</v>
      </c>
      <c r="V1815">
        <f t="shared" si="622"/>
        <v>2.6624005759784901E-2</v>
      </c>
      <c r="W1815">
        <f t="shared" si="623"/>
        <v>2.8123949746251657E-4</v>
      </c>
      <c r="X1815">
        <f t="shared" si="624"/>
        <v>0.16586568095347687</v>
      </c>
      <c r="Y1815">
        <f t="shared" si="625"/>
        <v>1.874929983083444E-4</v>
      </c>
      <c r="Z1815">
        <f t="shared" si="626"/>
        <v>3.4686204687043713E-3</v>
      </c>
      <c r="AA1815">
        <f t="shared" si="627"/>
        <v>0.25534633941013757</v>
      </c>
      <c r="AB1815">
        <f t="shared" si="628"/>
        <v>8.2885685987663882E-2</v>
      </c>
      <c r="AC1815">
        <f t="shared" si="629"/>
        <v>0.11693703938243553</v>
      </c>
      <c r="AD1815">
        <f t="shared" si="630"/>
        <v>4.455396118801188E-3</v>
      </c>
      <c r="AE1815">
        <f t="shared" si="631"/>
        <v>2.5454986915332375E-2</v>
      </c>
      <c r="AG1815">
        <f t="shared" si="632"/>
        <v>1.7408676848849132</v>
      </c>
      <c r="AH1815">
        <f t="shared" si="633"/>
        <v>0.30709759432421191</v>
      </c>
      <c r="AI1815">
        <f t="shared" si="634"/>
        <v>9.797337834691687E-3</v>
      </c>
      <c r="AK1815" s="26" t="e">
        <f t="shared" si="635"/>
        <v>#DIV/0!</v>
      </c>
      <c r="AL1815" s="26" t="e">
        <f t="shared" si="636"/>
        <v>#DIV/0!</v>
      </c>
      <c r="AM1815" s="26" t="e">
        <f t="shared" si="637"/>
        <v>#DIV/0!</v>
      </c>
      <c r="AN1815" s="26" t="e">
        <f t="shared" si="638"/>
        <v>#DIV/0!</v>
      </c>
      <c r="AO1815" s="26" t="e">
        <f t="shared" si="639"/>
        <v>#DIV/0!</v>
      </c>
      <c r="AP1815" s="26" t="e">
        <f t="shared" si="640"/>
        <v>#DIV/0!</v>
      </c>
      <c r="AS1815" s="2">
        <v>43665</v>
      </c>
      <c r="AT1815">
        <v>19.3</v>
      </c>
      <c r="AU1815">
        <v>143.9</v>
      </c>
      <c r="AV1815">
        <v>6.4</v>
      </c>
      <c r="AW1815">
        <v>0.3</v>
      </c>
      <c r="AX1815">
        <v>163.99</v>
      </c>
      <c r="AZ1815">
        <v>2.7</v>
      </c>
      <c r="BA1815">
        <v>315.20269999999999</v>
      </c>
      <c r="BB1815">
        <v>135.7756</v>
      </c>
      <c r="BC1815">
        <v>141.34639999999999</v>
      </c>
      <c r="BD1815">
        <v>4.6883999999999997</v>
      </c>
      <c r="BE1815">
        <v>26.406700000000001</v>
      </c>
      <c r="BH1815">
        <v>79.040000000000006</v>
      </c>
    </row>
    <row r="1816" spans="1:60" x14ac:dyDescent="0.25">
      <c r="A1816" s="2">
        <v>43685</v>
      </c>
      <c r="B1816">
        <v>20.7</v>
      </c>
      <c r="C1816">
        <v>442.6</v>
      </c>
      <c r="D1816">
        <v>41.2</v>
      </c>
      <c r="E1816">
        <v>1.5</v>
      </c>
      <c r="F1816">
        <v>203.25</v>
      </c>
      <c r="G1816">
        <v>0.4</v>
      </c>
      <c r="H1816">
        <v>3.4</v>
      </c>
      <c r="I1816">
        <v>229.80449999999999</v>
      </c>
      <c r="J1816">
        <v>59.237299999999998</v>
      </c>
      <c r="K1816">
        <v>91.359300000000005</v>
      </c>
      <c r="L1816">
        <v>4.7220000000000004</v>
      </c>
      <c r="M1816">
        <v>17.793299999999999</v>
      </c>
      <c r="N1816">
        <v>5.234</v>
      </c>
      <c r="O1816">
        <v>-4.7895000000000003</v>
      </c>
      <c r="P1816">
        <v>85.34</v>
      </c>
      <c r="S1816">
        <f t="shared" si="619"/>
        <v>1115.9664</v>
      </c>
      <c r="T1816">
        <f t="shared" si="620"/>
        <v>1.9405525324913644E-2</v>
      </c>
      <c r="U1816">
        <f t="shared" si="621"/>
        <v>0.41492200525636613</v>
      </c>
      <c r="V1816">
        <f t="shared" si="622"/>
        <v>3.8623557651518946E-2</v>
      </c>
      <c r="W1816">
        <f t="shared" si="623"/>
        <v>1.406197487312583E-3</v>
      </c>
      <c r="X1816">
        <f t="shared" si="624"/>
        <v>0.19053975953085497</v>
      </c>
      <c r="Y1816">
        <f t="shared" si="625"/>
        <v>3.7498599661668879E-4</v>
      </c>
      <c r="Z1816">
        <f t="shared" si="626"/>
        <v>3.1873809712418544E-3</v>
      </c>
      <c r="AA1816">
        <f t="shared" si="627"/>
        <v>0.21543367364874963</v>
      </c>
      <c r="AB1816">
        <f t="shared" si="628"/>
        <v>5.5532894943454439E-2</v>
      </c>
      <c r="AC1816">
        <f t="shared" si="629"/>
        <v>8.5646145401757634E-2</v>
      </c>
      <c r="AD1816">
        <f t="shared" si="630"/>
        <v>4.4267096900600109E-3</v>
      </c>
      <c r="AE1816">
        <f t="shared" si="631"/>
        <v>1.668059583399932E-2</v>
      </c>
      <c r="AG1816">
        <f t="shared" si="632"/>
        <v>1.7275474135954645</v>
      </c>
      <c r="AH1816">
        <f t="shared" si="633"/>
        <v>0.68514000805282405</v>
      </c>
      <c r="AI1816">
        <f t="shared" si="634"/>
        <v>1.4448168869326463</v>
      </c>
      <c r="AK1816" s="26" t="e">
        <f t="shared" si="635"/>
        <v>#DIV/0!</v>
      </c>
      <c r="AL1816" s="26" t="e">
        <f t="shared" si="636"/>
        <v>#DIV/0!</v>
      </c>
      <c r="AM1816" s="26" t="e">
        <f t="shared" si="637"/>
        <v>#DIV/0!</v>
      </c>
      <c r="AN1816" s="26" t="e">
        <f t="shared" si="638"/>
        <v>#DIV/0!</v>
      </c>
      <c r="AO1816" s="26" t="e">
        <f t="shared" si="639"/>
        <v>#DIV/0!</v>
      </c>
      <c r="AP1816" s="26" t="e">
        <f t="shared" si="640"/>
        <v>#DIV/0!</v>
      </c>
      <c r="AS1816" s="2">
        <v>43664</v>
      </c>
      <c r="AT1816">
        <v>19.8</v>
      </c>
      <c r="AU1816">
        <v>399.2</v>
      </c>
      <c r="AV1816">
        <v>12</v>
      </c>
      <c r="AW1816">
        <v>0.2</v>
      </c>
      <c r="AX1816">
        <v>221.45</v>
      </c>
      <c r="AY1816">
        <v>0.4</v>
      </c>
      <c r="AZ1816">
        <v>2.5</v>
      </c>
      <c r="BA1816">
        <v>310.7593</v>
      </c>
      <c r="BB1816">
        <v>131.2132</v>
      </c>
      <c r="BC1816">
        <v>136.49529999999999</v>
      </c>
      <c r="BD1816">
        <v>3.1894999999999998</v>
      </c>
      <c r="BE1816">
        <v>24.8841</v>
      </c>
      <c r="BH1816">
        <v>78.790000000000006</v>
      </c>
    </row>
    <row r="1817" spans="1:60" x14ac:dyDescent="0.25">
      <c r="A1817" s="2">
        <v>43684</v>
      </c>
      <c r="B1817">
        <v>21</v>
      </c>
      <c r="C1817">
        <v>251.4</v>
      </c>
      <c r="D1817">
        <v>25.1</v>
      </c>
      <c r="E1817">
        <v>0.6</v>
      </c>
      <c r="F1817">
        <v>112.18</v>
      </c>
      <c r="G1817">
        <v>0.4</v>
      </c>
      <c r="H1817">
        <v>2.9</v>
      </c>
      <c r="I1817">
        <v>332.61059999999998</v>
      </c>
      <c r="J1817">
        <v>110.8717</v>
      </c>
      <c r="K1817">
        <v>129.72659999999999</v>
      </c>
      <c r="L1817">
        <v>4.7523</v>
      </c>
      <c r="M1817">
        <v>17.422499999999999</v>
      </c>
      <c r="N1817">
        <v>5.7637</v>
      </c>
      <c r="O1817">
        <v>-4.9737</v>
      </c>
      <c r="P1817">
        <v>84.67</v>
      </c>
      <c r="S1817">
        <f t="shared" si="619"/>
        <v>1008.9636999999999</v>
      </c>
      <c r="T1817">
        <f t="shared" si="620"/>
        <v>1.9686764822376159E-2</v>
      </c>
      <c r="U1817">
        <f t="shared" si="621"/>
        <v>0.23567869887358889</v>
      </c>
      <c r="V1817">
        <f t="shared" si="622"/>
        <v>2.3530371287697222E-2</v>
      </c>
      <c r="W1817">
        <f t="shared" si="623"/>
        <v>5.6247899492503314E-4</v>
      </c>
      <c r="X1817">
        <f t="shared" si="624"/>
        <v>0.10516482275115037</v>
      </c>
      <c r="Y1817">
        <f t="shared" si="625"/>
        <v>3.7498599661668879E-4</v>
      </c>
      <c r="Z1817">
        <f t="shared" si="626"/>
        <v>2.7186484754709935E-3</v>
      </c>
      <c r="AA1817">
        <f t="shared" si="627"/>
        <v>0.31181079331568701</v>
      </c>
      <c r="AB1817">
        <f t="shared" si="628"/>
        <v>0.10393833730271633</v>
      </c>
      <c r="AC1817">
        <f t="shared" si="629"/>
        <v>0.12161414597173634</v>
      </c>
      <c r="AD1817">
        <f t="shared" si="630"/>
        <v>4.4551148793037249E-3</v>
      </c>
      <c r="AE1817">
        <f t="shared" si="631"/>
        <v>1.6332983815135649E-2</v>
      </c>
      <c r="AG1817">
        <f t="shared" si="632"/>
        <v>1.6209174494572234</v>
      </c>
      <c r="AH1817">
        <f t="shared" si="633"/>
        <v>0.40404975501696089</v>
      </c>
      <c r="AI1817">
        <f t="shared" si="634"/>
        <v>0.49660547789538917</v>
      </c>
      <c r="AK1817" s="26" t="e">
        <f t="shared" si="635"/>
        <v>#DIV/0!</v>
      </c>
      <c r="AL1817" s="26" t="e">
        <f t="shared" si="636"/>
        <v>#DIV/0!</v>
      </c>
      <c r="AM1817" s="26" t="e">
        <f t="shared" si="637"/>
        <v>#DIV/0!</v>
      </c>
      <c r="AN1817" s="26" t="e">
        <f t="shared" si="638"/>
        <v>#DIV/0!</v>
      </c>
      <c r="AO1817" s="26" t="e">
        <f t="shared" si="639"/>
        <v>#DIV/0!</v>
      </c>
      <c r="AP1817" s="26" t="e">
        <f t="shared" si="640"/>
        <v>#DIV/0!</v>
      </c>
      <c r="AS1817" s="2">
        <v>43663</v>
      </c>
      <c r="AT1817">
        <v>19.600000000000001</v>
      </c>
      <c r="AU1817">
        <v>283.7</v>
      </c>
      <c r="AV1817">
        <v>2.9</v>
      </c>
      <c r="AW1817">
        <v>0.2</v>
      </c>
      <c r="AX1817">
        <v>212.48</v>
      </c>
      <c r="AY1817">
        <v>0.2</v>
      </c>
      <c r="AZ1817">
        <v>2.2000000000000002</v>
      </c>
      <c r="BA1817">
        <v>325.0582</v>
      </c>
      <c r="BB1817">
        <v>134.60429999999999</v>
      </c>
      <c r="BC1817">
        <v>133.92859999999999</v>
      </c>
      <c r="BD1817">
        <v>3.2561</v>
      </c>
      <c r="BE1817">
        <v>22.453499999999998</v>
      </c>
      <c r="BH1817">
        <v>78.540000000000006</v>
      </c>
    </row>
    <row r="1818" spans="1:60" x14ac:dyDescent="0.25">
      <c r="A1818" s="2">
        <v>43683</v>
      </c>
      <c r="B1818">
        <v>20.2</v>
      </c>
      <c r="C1818">
        <v>222.2</v>
      </c>
      <c r="D1818">
        <v>16.8</v>
      </c>
      <c r="E1818">
        <v>0.7</v>
      </c>
      <c r="F1818">
        <v>171.13</v>
      </c>
      <c r="G1818">
        <v>0.4</v>
      </c>
      <c r="H1818">
        <v>2.5</v>
      </c>
      <c r="I1818">
        <v>327.61009999999999</v>
      </c>
      <c r="J1818">
        <v>106.29649999999999</v>
      </c>
      <c r="K1818">
        <v>123.28919999999999</v>
      </c>
      <c r="L1818">
        <v>4.7873999999999999</v>
      </c>
      <c r="M1818">
        <v>19.450900000000001</v>
      </c>
      <c r="N1818">
        <v>6.8162000000000003</v>
      </c>
      <c r="O1818">
        <v>-4.9377000000000004</v>
      </c>
      <c r="P1818">
        <v>84.34</v>
      </c>
      <c r="S1818">
        <f t="shared" si="619"/>
        <v>1015.3641000000001</v>
      </c>
      <c r="T1818">
        <f t="shared" si="620"/>
        <v>1.8936792829142783E-2</v>
      </c>
      <c r="U1818">
        <f t="shared" si="621"/>
        <v>0.20830472112057061</v>
      </c>
      <c r="V1818">
        <f t="shared" si="622"/>
        <v>1.5749411857900929E-2</v>
      </c>
      <c r="W1818">
        <f t="shared" si="623"/>
        <v>6.5622549407920526E-4</v>
      </c>
      <c r="X1818">
        <f t="shared" si="624"/>
        <v>0.16042838400253487</v>
      </c>
      <c r="Y1818">
        <f t="shared" si="625"/>
        <v>3.7498599661668879E-4</v>
      </c>
      <c r="Z1818">
        <f t="shared" si="626"/>
        <v>2.3436624788543046E-3</v>
      </c>
      <c r="AA1818">
        <f t="shared" si="627"/>
        <v>0.30712299962548267</v>
      </c>
      <c r="AB1818">
        <f t="shared" si="628"/>
        <v>9.9649247473414637E-2</v>
      </c>
      <c r="AC1818">
        <f t="shared" si="629"/>
        <v>0.11557930883518565</v>
      </c>
      <c r="AD1818">
        <f t="shared" si="630"/>
        <v>4.4880199005068394E-3</v>
      </c>
      <c r="AE1818">
        <f t="shared" si="631"/>
        <v>1.8234537803978879E-2</v>
      </c>
      <c r="AG1818">
        <f t="shared" si="632"/>
        <v>1.604735685027243</v>
      </c>
      <c r="AH1818">
        <f t="shared" si="633"/>
        <v>0.42502872158367827</v>
      </c>
      <c r="AI1818">
        <f t="shared" si="634"/>
        <v>0.59872168294028028</v>
      </c>
      <c r="AK1818" s="26" t="e">
        <f t="shared" si="635"/>
        <v>#DIV/0!</v>
      </c>
      <c r="AL1818" s="26" t="e">
        <f t="shared" si="636"/>
        <v>#DIV/0!</v>
      </c>
      <c r="AM1818" s="26" t="e">
        <f t="shared" si="637"/>
        <v>#DIV/0!</v>
      </c>
      <c r="AN1818" s="26" t="e">
        <f t="shared" si="638"/>
        <v>#DIV/0!</v>
      </c>
      <c r="AO1818" s="26" t="e">
        <f t="shared" si="639"/>
        <v>#DIV/0!</v>
      </c>
      <c r="AP1818" s="26" t="e">
        <f t="shared" si="640"/>
        <v>#DIV/0!</v>
      </c>
      <c r="AS1818" s="2">
        <v>43662</v>
      </c>
      <c r="AT1818">
        <v>20.5</v>
      </c>
      <c r="AU1818">
        <v>173.3</v>
      </c>
      <c r="AV1818">
        <v>35.299999999999997</v>
      </c>
      <c r="AW1818">
        <v>1.3</v>
      </c>
      <c r="AX1818">
        <v>190.11</v>
      </c>
      <c r="AZ1818">
        <v>2.5</v>
      </c>
      <c r="BA1818">
        <v>308.39440000000002</v>
      </c>
      <c r="BB1818">
        <v>117.3344</v>
      </c>
      <c r="BC1818">
        <v>114.1275</v>
      </c>
      <c r="BD1818">
        <v>4.4602000000000004</v>
      </c>
      <c r="BE1818">
        <v>18.7669</v>
      </c>
      <c r="BH1818">
        <v>78.31</v>
      </c>
    </row>
    <row r="1819" spans="1:60" x14ac:dyDescent="0.25">
      <c r="A1819" s="2">
        <v>43682</v>
      </c>
      <c r="B1819">
        <v>19.5</v>
      </c>
      <c r="C1819">
        <v>232.3</v>
      </c>
      <c r="D1819">
        <v>7.2</v>
      </c>
      <c r="E1819">
        <v>0.2</v>
      </c>
      <c r="F1819">
        <v>149.28</v>
      </c>
      <c r="G1819">
        <v>0.4</v>
      </c>
      <c r="H1819">
        <v>3.1</v>
      </c>
      <c r="I1819">
        <v>309.52120000000002</v>
      </c>
      <c r="J1819">
        <v>112.084</v>
      </c>
      <c r="K1819">
        <v>120.4149</v>
      </c>
      <c r="L1819">
        <v>4.8449999999999998</v>
      </c>
      <c r="M1819">
        <v>23.6068</v>
      </c>
      <c r="N1819">
        <v>6.7511000000000001</v>
      </c>
      <c r="O1819">
        <v>-4.5255999999999998</v>
      </c>
      <c r="P1819">
        <v>84.04</v>
      </c>
      <c r="S1819">
        <f t="shared" si="619"/>
        <v>982.45190000000002</v>
      </c>
      <c r="T1819">
        <f t="shared" si="620"/>
        <v>1.8280567335063579E-2</v>
      </c>
      <c r="U1819">
        <f t="shared" si="621"/>
        <v>0.217773117535142</v>
      </c>
      <c r="V1819">
        <f t="shared" si="622"/>
        <v>6.7497479391003977E-3</v>
      </c>
      <c r="W1819">
        <f t="shared" si="623"/>
        <v>1.874929983083444E-4</v>
      </c>
      <c r="X1819">
        <f t="shared" si="624"/>
        <v>0.13994477393734825</v>
      </c>
      <c r="Y1819">
        <f t="shared" si="625"/>
        <v>3.7498599661668879E-4</v>
      </c>
      <c r="Z1819">
        <f t="shared" si="626"/>
        <v>2.9061414737793379E-3</v>
      </c>
      <c r="AA1819">
        <f t="shared" si="627"/>
        <v>0.29016528913998363</v>
      </c>
      <c r="AB1819">
        <f t="shared" si="628"/>
        <v>0.10507482611196237</v>
      </c>
      <c r="AC1819">
        <f t="shared" si="629"/>
        <v>0.11288475320999729</v>
      </c>
      <c r="AD1819">
        <f t="shared" si="630"/>
        <v>4.5420178840196428E-3</v>
      </c>
      <c r="AE1819">
        <f t="shared" si="631"/>
        <v>2.2130548562327122E-2</v>
      </c>
      <c r="AG1819">
        <f t="shared" si="632"/>
        <v>1.5961257116423047</v>
      </c>
      <c r="AH1819">
        <f t="shared" si="633"/>
        <v>0.40834737577768565</v>
      </c>
      <c r="AI1819">
        <f t="shared" si="634"/>
        <v>0.56599937778546028</v>
      </c>
      <c r="AK1819" s="26" t="e">
        <f t="shared" si="635"/>
        <v>#DIV/0!</v>
      </c>
      <c r="AL1819" s="26" t="e">
        <f t="shared" si="636"/>
        <v>#DIV/0!</v>
      </c>
      <c r="AM1819" s="26" t="e">
        <f t="shared" si="637"/>
        <v>#DIV/0!</v>
      </c>
      <c r="AN1819" s="26" t="e">
        <f t="shared" si="638"/>
        <v>#DIV/0!</v>
      </c>
      <c r="AO1819" s="26" t="e">
        <f t="shared" si="639"/>
        <v>#DIV/0!</v>
      </c>
      <c r="AP1819" s="26" t="e">
        <f t="shared" si="640"/>
        <v>#DIV/0!</v>
      </c>
      <c r="AS1819" s="2">
        <v>43661</v>
      </c>
      <c r="AT1819">
        <v>21.1</v>
      </c>
      <c r="AU1819">
        <v>131.9</v>
      </c>
      <c r="AV1819">
        <v>38.4</v>
      </c>
      <c r="AW1819">
        <v>0.7</v>
      </c>
      <c r="AX1819">
        <v>154.66999999999999</v>
      </c>
      <c r="AY1819">
        <v>0.4</v>
      </c>
      <c r="AZ1819">
        <v>2.7</v>
      </c>
      <c r="BA1819">
        <v>296.22879999999998</v>
      </c>
      <c r="BB1819">
        <v>96.001800000000003</v>
      </c>
      <c r="BC1819">
        <v>114.8348</v>
      </c>
      <c r="BD1819">
        <v>4.6017000000000001</v>
      </c>
      <c r="BE1819">
        <v>20.5488</v>
      </c>
      <c r="BH1819">
        <v>78.069999999999993</v>
      </c>
    </row>
    <row r="1820" spans="1:60" x14ac:dyDescent="0.25">
      <c r="A1820" s="2">
        <v>43681</v>
      </c>
      <c r="B1820">
        <v>20.100000000000001</v>
      </c>
      <c r="C1820">
        <v>193.3</v>
      </c>
      <c r="D1820">
        <v>6.7</v>
      </c>
      <c r="E1820">
        <v>0</v>
      </c>
      <c r="F1820">
        <v>213.2</v>
      </c>
      <c r="G1820">
        <v>0.4</v>
      </c>
      <c r="H1820">
        <v>2.5</v>
      </c>
      <c r="I1820">
        <v>228.62289999999999</v>
      </c>
      <c r="J1820">
        <v>57.393700000000003</v>
      </c>
      <c r="K1820">
        <v>55.328299999999999</v>
      </c>
      <c r="L1820">
        <v>4.7801</v>
      </c>
      <c r="M1820">
        <v>12.4133</v>
      </c>
      <c r="P1820">
        <v>83.75</v>
      </c>
      <c r="S1820">
        <f t="shared" si="619"/>
        <v>794.73829999999987</v>
      </c>
      <c r="T1820">
        <f t="shared" si="620"/>
        <v>1.8843046329988612E-2</v>
      </c>
      <c r="U1820">
        <f t="shared" si="621"/>
        <v>0.18121198286501486</v>
      </c>
      <c r="V1820">
        <f t="shared" si="622"/>
        <v>6.2810154433295372E-3</v>
      </c>
      <c r="W1820">
        <f t="shared" si="623"/>
        <v>0</v>
      </c>
      <c r="X1820">
        <f t="shared" si="624"/>
        <v>0.19986753619669509</v>
      </c>
      <c r="Y1820">
        <f t="shared" si="625"/>
        <v>3.7498599661668879E-4</v>
      </c>
      <c r="Z1820">
        <f t="shared" si="626"/>
        <v>2.3436624788543046E-3</v>
      </c>
      <c r="AA1820">
        <f t="shared" si="627"/>
        <v>0.21432596501474394</v>
      </c>
      <c r="AB1820">
        <f t="shared" si="628"/>
        <v>5.3804584485048129E-2</v>
      </c>
      <c r="AC1820">
        <f t="shared" si="629"/>
        <v>5.1868344291517848E-2</v>
      </c>
      <c r="AD1820">
        <f t="shared" si="630"/>
        <v>4.4811764060685849E-3</v>
      </c>
      <c r="AE1820">
        <f t="shared" si="631"/>
        <v>1.1637034179504856E-2</v>
      </c>
      <c r="AG1820">
        <f t="shared" si="632"/>
        <v>1.589927905794311</v>
      </c>
      <c r="AH1820">
        <f t="shared" si="633"/>
        <v>0.42055926349000394</v>
      </c>
      <c r="AI1820">
        <f t="shared" si="634"/>
        <v>0.64047130665157503</v>
      </c>
      <c r="AK1820" s="26" t="e">
        <f t="shared" si="635"/>
        <v>#DIV/0!</v>
      </c>
      <c r="AL1820" s="26" t="e">
        <f t="shared" si="636"/>
        <v>#DIV/0!</v>
      </c>
      <c r="AM1820" s="26" t="e">
        <f t="shared" si="637"/>
        <v>#DIV/0!</v>
      </c>
      <c r="AN1820" s="26" t="e">
        <f t="shared" si="638"/>
        <v>#DIV/0!</v>
      </c>
      <c r="AO1820" s="26" t="e">
        <f t="shared" si="639"/>
        <v>#DIV/0!</v>
      </c>
      <c r="AP1820" s="26" t="e">
        <f t="shared" si="640"/>
        <v>#DIV/0!</v>
      </c>
      <c r="AS1820" s="2">
        <v>43660</v>
      </c>
      <c r="AT1820">
        <v>21.7</v>
      </c>
      <c r="AU1820">
        <v>163.4</v>
      </c>
      <c r="AV1820">
        <v>32.5</v>
      </c>
      <c r="AW1820">
        <v>0.6</v>
      </c>
      <c r="AX1820">
        <v>136.97999999999999</v>
      </c>
      <c r="AY1820">
        <v>0.4</v>
      </c>
      <c r="AZ1820">
        <v>2.8</v>
      </c>
      <c r="BA1820">
        <v>258.32760000000002</v>
      </c>
      <c r="BB1820">
        <v>53.31</v>
      </c>
      <c r="BC1820">
        <v>34.338799999999999</v>
      </c>
      <c r="BD1820">
        <v>4.6346999999999996</v>
      </c>
      <c r="BE1820">
        <v>9.2271999999999998</v>
      </c>
      <c r="BH1820">
        <v>77.75</v>
      </c>
    </row>
    <row r="1821" spans="1:60" x14ac:dyDescent="0.25">
      <c r="A1821" s="2">
        <v>43680</v>
      </c>
      <c r="B1821">
        <v>21.2</v>
      </c>
      <c r="C1821">
        <v>201.5</v>
      </c>
      <c r="D1821">
        <v>11.6</v>
      </c>
      <c r="E1821">
        <v>0.3</v>
      </c>
      <c r="F1821">
        <v>151.44999999999999</v>
      </c>
      <c r="G1821">
        <v>0.4</v>
      </c>
      <c r="H1821">
        <v>2.6</v>
      </c>
      <c r="I1821">
        <v>274.52269999999999</v>
      </c>
      <c r="J1821">
        <v>59.569600000000001</v>
      </c>
      <c r="K1821">
        <v>84.898600000000002</v>
      </c>
      <c r="L1821">
        <v>4.7766000000000002</v>
      </c>
      <c r="M1821">
        <v>7.8623000000000003</v>
      </c>
      <c r="P1821">
        <v>83.47</v>
      </c>
      <c r="S1821">
        <f t="shared" si="619"/>
        <v>820.6798</v>
      </c>
      <c r="T1821">
        <f t="shared" si="620"/>
        <v>1.9874257820684502E-2</v>
      </c>
      <c r="U1821">
        <f t="shared" si="621"/>
        <v>0.18889919579565698</v>
      </c>
      <c r="V1821">
        <f t="shared" si="622"/>
        <v>1.0874593901883974E-2</v>
      </c>
      <c r="W1821">
        <f t="shared" si="623"/>
        <v>2.8123949746251657E-4</v>
      </c>
      <c r="X1821">
        <f t="shared" si="624"/>
        <v>0.14197907296899379</v>
      </c>
      <c r="Y1821">
        <f t="shared" si="625"/>
        <v>3.7498599661668879E-4</v>
      </c>
      <c r="Z1821">
        <f t="shared" si="626"/>
        <v>2.437408978008477E-3</v>
      </c>
      <c r="AA1821">
        <f t="shared" si="627"/>
        <v>0.25735542063351063</v>
      </c>
      <c r="AB1821">
        <f t="shared" si="628"/>
        <v>5.584441456014376E-2</v>
      </c>
      <c r="AC1821">
        <f t="shared" si="629"/>
        <v>7.9589465330904038E-2</v>
      </c>
      <c r="AD1821">
        <f t="shared" si="630"/>
        <v>4.4778952785981888E-3</v>
      </c>
      <c r="AE1821">
        <f t="shared" si="631"/>
        <v>7.3706310029984807E-3</v>
      </c>
      <c r="AG1821">
        <f t="shared" si="632"/>
        <v>1.5866856476940139</v>
      </c>
      <c r="AH1821">
        <f t="shared" si="633"/>
        <v>0.3720913859623054</v>
      </c>
      <c r="AI1821">
        <f t="shared" si="634"/>
        <v>0.5073331913062773</v>
      </c>
      <c r="AK1821" s="26" t="e">
        <f t="shared" si="635"/>
        <v>#DIV/0!</v>
      </c>
      <c r="AL1821" s="26" t="e">
        <f t="shared" si="636"/>
        <v>#DIV/0!</v>
      </c>
      <c r="AM1821" s="26" t="e">
        <f t="shared" si="637"/>
        <v>#DIV/0!</v>
      </c>
      <c r="AN1821" s="26" t="e">
        <f t="shared" si="638"/>
        <v>#DIV/0!</v>
      </c>
      <c r="AO1821" s="26" t="e">
        <f t="shared" si="639"/>
        <v>#DIV/0!</v>
      </c>
      <c r="AP1821" s="26" t="e">
        <f t="shared" si="640"/>
        <v>#DIV/0!</v>
      </c>
      <c r="AS1821" s="2">
        <v>43659</v>
      </c>
      <c r="AT1821">
        <v>21.8</v>
      </c>
      <c r="AU1821">
        <v>132.4</v>
      </c>
      <c r="AV1821">
        <v>27.1</v>
      </c>
      <c r="AW1821">
        <v>0.8</v>
      </c>
      <c r="AX1821">
        <v>141.19</v>
      </c>
      <c r="AY1821">
        <v>0.4</v>
      </c>
      <c r="AZ1821">
        <v>2.8</v>
      </c>
      <c r="BA1821">
        <v>256.62130000000002</v>
      </c>
      <c r="BB1821">
        <v>64.777000000000001</v>
      </c>
      <c r="BC1821">
        <v>42.882100000000001</v>
      </c>
      <c r="BD1821">
        <v>4.6368999999999998</v>
      </c>
      <c r="BE1821">
        <v>10.9208</v>
      </c>
      <c r="BH1821">
        <v>77.31</v>
      </c>
    </row>
    <row r="1822" spans="1:60" x14ac:dyDescent="0.25">
      <c r="A1822" s="2">
        <v>43679</v>
      </c>
      <c r="B1822">
        <v>20.9</v>
      </c>
      <c r="C1822">
        <v>195</v>
      </c>
      <c r="D1822">
        <v>7</v>
      </c>
      <c r="E1822">
        <v>0.1</v>
      </c>
      <c r="F1822">
        <v>167.97</v>
      </c>
      <c r="G1822">
        <v>0.4</v>
      </c>
      <c r="H1822">
        <v>2.7</v>
      </c>
      <c r="I1822">
        <v>322.68430000000001</v>
      </c>
      <c r="J1822">
        <v>120.4842</v>
      </c>
      <c r="K1822">
        <v>132.80500000000001</v>
      </c>
      <c r="L1822">
        <v>4.7942999999999998</v>
      </c>
      <c r="M1822">
        <v>20.474299999999999</v>
      </c>
      <c r="N1822">
        <v>6.9324000000000003</v>
      </c>
      <c r="O1822">
        <v>-4.1691000000000003</v>
      </c>
      <c r="P1822">
        <v>83.13</v>
      </c>
      <c r="S1822">
        <f t="shared" si="619"/>
        <v>995.31209999999999</v>
      </c>
      <c r="T1822">
        <f t="shared" si="620"/>
        <v>1.9593018323221988E-2</v>
      </c>
      <c r="U1822">
        <f t="shared" si="621"/>
        <v>0.18280567335063577</v>
      </c>
      <c r="V1822">
        <f t="shared" si="622"/>
        <v>6.5622549407920536E-3</v>
      </c>
      <c r="W1822">
        <f t="shared" si="623"/>
        <v>9.3746499154172199E-5</v>
      </c>
      <c r="X1822">
        <f t="shared" si="624"/>
        <v>0.15746599462926303</v>
      </c>
      <c r="Y1822">
        <f t="shared" si="625"/>
        <v>3.7498599661668879E-4</v>
      </c>
      <c r="Z1822">
        <f t="shared" si="626"/>
        <v>2.5311554771626494E-3</v>
      </c>
      <c r="AA1822">
        <f t="shared" si="627"/>
        <v>0.30250523457014644</v>
      </c>
      <c r="AB1822">
        <f t="shared" si="628"/>
        <v>0.11294971953391113</v>
      </c>
      <c r="AC1822">
        <f t="shared" si="629"/>
        <v>0.12450003820169839</v>
      </c>
      <c r="AD1822">
        <f t="shared" si="630"/>
        <v>4.4944884089484771E-3</v>
      </c>
      <c r="AE1822">
        <f t="shared" si="631"/>
        <v>1.9193939476322676E-2</v>
      </c>
      <c r="AG1822">
        <f t="shared" si="632"/>
        <v>1.5620971926106537</v>
      </c>
      <c r="AH1822">
        <f t="shared" si="633"/>
        <v>0.38862076869316903</v>
      </c>
      <c r="AI1822">
        <f t="shared" si="634"/>
        <v>0.59381041910375287</v>
      </c>
      <c r="AK1822" s="26" t="e">
        <f t="shared" si="635"/>
        <v>#DIV/0!</v>
      </c>
      <c r="AL1822" s="26" t="e">
        <f t="shared" si="636"/>
        <v>#DIV/0!</v>
      </c>
      <c r="AM1822" s="26" t="e">
        <f t="shared" si="637"/>
        <v>#DIV/0!</v>
      </c>
      <c r="AN1822" s="26" t="e">
        <f t="shared" si="638"/>
        <v>#DIV/0!</v>
      </c>
      <c r="AO1822" s="26" t="e">
        <f t="shared" si="639"/>
        <v>#DIV/0!</v>
      </c>
      <c r="AP1822" s="26" t="e">
        <f t="shared" si="640"/>
        <v>#DIV/0!</v>
      </c>
      <c r="AS1822" s="2">
        <v>43658</v>
      </c>
      <c r="AT1822">
        <v>20.3</v>
      </c>
      <c r="AU1822">
        <v>180.2</v>
      </c>
      <c r="AV1822">
        <v>5.0999999999999996</v>
      </c>
      <c r="AW1822">
        <v>0.2</v>
      </c>
      <c r="AX1822">
        <v>147.09</v>
      </c>
      <c r="AY1822">
        <v>0.4</v>
      </c>
      <c r="AZ1822">
        <v>2.8</v>
      </c>
      <c r="BA1822">
        <v>302.6003</v>
      </c>
      <c r="BB1822">
        <v>151.67740000000001</v>
      </c>
      <c r="BC1822">
        <v>138.99799999999999</v>
      </c>
      <c r="BD1822">
        <v>4.6619999999999999</v>
      </c>
      <c r="BE1822">
        <v>27.206399999999999</v>
      </c>
      <c r="BH1822">
        <v>76.89</v>
      </c>
    </row>
    <row r="1823" spans="1:60" x14ac:dyDescent="0.25">
      <c r="A1823" s="2">
        <v>43678</v>
      </c>
      <c r="B1823">
        <v>21.5</v>
      </c>
      <c r="C1823">
        <v>414.3</v>
      </c>
      <c r="D1823">
        <v>12.7</v>
      </c>
      <c r="E1823">
        <v>0.2</v>
      </c>
      <c r="F1823">
        <v>199.6</v>
      </c>
      <c r="G1823">
        <v>0.4</v>
      </c>
      <c r="H1823">
        <v>2.7</v>
      </c>
      <c r="I1823">
        <v>313.64789999999999</v>
      </c>
      <c r="J1823">
        <v>116.53879999999999</v>
      </c>
      <c r="K1823">
        <v>137.1446</v>
      </c>
      <c r="L1823">
        <v>4.7028999999999996</v>
      </c>
      <c r="M1823">
        <v>20.928100000000001</v>
      </c>
      <c r="N1823">
        <v>5.2342000000000004</v>
      </c>
      <c r="O1823">
        <v>-5.5728</v>
      </c>
      <c r="P1823">
        <v>82.83</v>
      </c>
      <c r="S1823">
        <f t="shared" si="619"/>
        <v>1244.3623000000002</v>
      </c>
      <c r="T1823">
        <f t="shared" si="620"/>
        <v>2.0155497318147021E-2</v>
      </c>
      <c r="U1823">
        <f t="shared" si="621"/>
        <v>0.38839174599573539</v>
      </c>
      <c r="V1823">
        <f t="shared" si="622"/>
        <v>1.1905805392579868E-2</v>
      </c>
      <c r="W1823">
        <f t="shared" si="623"/>
        <v>1.874929983083444E-4</v>
      </c>
      <c r="X1823">
        <f t="shared" si="624"/>
        <v>0.1871180123117277</v>
      </c>
      <c r="Y1823">
        <f t="shared" si="625"/>
        <v>3.7498599661668879E-4</v>
      </c>
      <c r="Z1823">
        <f t="shared" si="626"/>
        <v>2.5311554771626494E-3</v>
      </c>
      <c r="AA1823">
        <f t="shared" si="627"/>
        <v>0.29403392592057881</v>
      </c>
      <c r="AB1823">
        <f t="shared" si="628"/>
        <v>0.10925104515628242</v>
      </c>
      <c r="AC1823">
        <f t="shared" si="629"/>
        <v>0.12856826127899282</v>
      </c>
      <c r="AD1823">
        <f t="shared" si="630"/>
        <v>4.4088041087215635E-3</v>
      </c>
      <c r="AE1823">
        <f t="shared" si="631"/>
        <v>1.9619361089484311E-2</v>
      </c>
      <c r="AG1823">
        <f t="shared" si="632"/>
        <v>1.5483543238099517</v>
      </c>
      <c r="AH1823">
        <f t="shared" si="633"/>
        <v>0.63028405657976183</v>
      </c>
      <c r="AI1823">
        <f t="shared" si="634"/>
        <v>1.4355415489459558</v>
      </c>
      <c r="AK1823" s="26" t="e">
        <f t="shared" si="635"/>
        <v>#DIV/0!</v>
      </c>
      <c r="AL1823" s="26" t="e">
        <f t="shared" si="636"/>
        <v>#DIV/0!</v>
      </c>
      <c r="AM1823" s="26" t="e">
        <f t="shared" si="637"/>
        <v>#DIV/0!</v>
      </c>
      <c r="AN1823" s="26" t="e">
        <f t="shared" si="638"/>
        <v>#DIV/0!</v>
      </c>
      <c r="AO1823" s="26" t="e">
        <f t="shared" si="639"/>
        <v>#DIV/0!</v>
      </c>
      <c r="AP1823" s="26" t="e">
        <f t="shared" si="640"/>
        <v>#DIV/0!</v>
      </c>
      <c r="AS1823" s="2">
        <v>43657</v>
      </c>
      <c r="AT1823">
        <v>21</v>
      </c>
      <c r="AU1823">
        <v>590.79999999999995</v>
      </c>
      <c r="AV1823">
        <v>6.8</v>
      </c>
      <c r="AW1823">
        <v>0.2</v>
      </c>
      <c r="AX1823">
        <v>127.83</v>
      </c>
      <c r="AY1823">
        <v>0.4</v>
      </c>
      <c r="AZ1823">
        <v>2.9</v>
      </c>
      <c r="BA1823">
        <v>301.38389999999998</v>
      </c>
      <c r="BB1823">
        <v>161.6824</v>
      </c>
      <c r="BC1823">
        <v>141.59630000000001</v>
      </c>
      <c r="BD1823">
        <v>4.6696</v>
      </c>
      <c r="BE1823">
        <v>37.935699999999997</v>
      </c>
      <c r="BH1823">
        <v>76.540000000000006</v>
      </c>
    </row>
    <row r="1824" spans="1:60" x14ac:dyDescent="0.25">
      <c r="A1824" s="2">
        <v>43677</v>
      </c>
      <c r="B1824">
        <v>21.9</v>
      </c>
      <c r="C1824">
        <v>540.79999999999995</v>
      </c>
      <c r="D1824">
        <v>22.4</v>
      </c>
      <c r="E1824">
        <v>0.4</v>
      </c>
      <c r="F1824">
        <v>140.94</v>
      </c>
      <c r="G1824">
        <v>0.4</v>
      </c>
      <c r="H1824">
        <v>2.2999999999999998</v>
      </c>
      <c r="I1824">
        <v>287.18150000000003</v>
      </c>
      <c r="J1824">
        <v>123.9442</v>
      </c>
      <c r="K1824">
        <v>134.58709999999999</v>
      </c>
      <c r="L1824">
        <v>4.5971000000000002</v>
      </c>
      <c r="M1824">
        <v>17.109500000000001</v>
      </c>
      <c r="N1824">
        <v>6.9001999999999999</v>
      </c>
      <c r="O1824">
        <v>-6.7328999999999999</v>
      </c>
      <c r="P1824">
        <v>82.65</v>
      </c>
      <c r="S1824">
        <f t="shared" si="619"/>
        <v>1296.5593999999996</v>
      </c>
      <c r="T1824">
        <f t="shared" si="620"/>
        <v>2.0530483314763707E-2</v>
      </c>
      <c r="U1824">
        <f t="shared" si="621"/>
        <v>0.50698106742576321</v>
      </c>
      <c r="V1824">
        <f t="shared" si="622"/>
        <v>2.0999215810534568E-2</v>
      </c>
      <c r="W1824">
        <f t="shared" si="623"/>
        <v>3.7498599661668879E-4</v>
      </c>
      <c r="X1824">
        <f t="shared" si="624"/>
        <v>0.13212631590789028</v>
      </c>
      <c r="Y1824">
        <f t="shared" si="625"/>
        <v>3.7498599661668879E-4</v>
      </c>
      <c r="Z1824">
        <f t="shared" si="626"/>
        <v>2.1561694805459601E-3</v>
      </c>
      <c r="AA1824">
        <f t="shared" si="627"/>
        <v>0.26922260246843904</v>
      </c>
      <c r="AB1824">
        <f t="shared" si="628"/>
        <v>0.11619334840464549</v>
      </c>
      <c r="AC1824">
        <f t="shared" si="629"/>
        <v>0.12617069456312488</v>
      </c>
      <c r="AD1824">
        <f t="shared" si="630"/>
        <v>4.3096203126164502E-3</v>
      </c>
      <c r="AE1824">
        <f t="shared" si="631"/>
        <v>1.6039557272783091E-2</v>
      </c>
      <c r="AG1824">
        <f t="shared" si="632"/>
        <v>1.5780811180233634</v>
      </c>
      <c r="AH1824">
        <f t="shared" si="633"/>
        <v>0.69958278120551409</v>
      </c>
      <c r="AI1824">
        <f t="shared" si="634"/>
        <v>2.0470620633130978</v>
      </c>
      <c r="AK1824" s="26" t="e">
        <f t="shared" si="635"/>
        <v>#DIV/0!</v>
      </c>
      <c r="AL1824" s="26" t="e">
        <f t="shared" si="636"/>
        <v>#DIV/0!</v>
      </c>
      <c r="AM1824" s="26" t="e">
        <f t="shared" si="637"/>
        <v>#DIV/0!</v>
      </c>
      <c r="AN1824" s="26" t="e">
        <f t="shared" si="638"/>
        <v>#DIV/0!</v>
      </c>
      <c r="AO1824" s="26" t="e">
        <f t="shared" si="639"/>
        <v>#DIV/0!</v>
      </c>
      <c r="AP1824" s="26" t="e">
        <f t="shared" si="640"/>
        <v>#DIV/0!</v>
      </c>
      <c r="AS1824" s="2">
        <v>43656</v>
      </c>
      <c r="AT1824">
        <v>22.5</v>
      </c>
      <c r="AU1824">
        <v>269.60000000000002</v>
      </c>
      <c r="AV1824">
        <v>19.899999999999999</v>
      </c>
      <c r="AW1824">
        <v>0.8</v>
      </c>
      <c r="AX1824">
        <v>239.84</v>
      </c>
      <c r="AY1824">
        <v>0.4</v>
      </c>
      <c r="AZ1824">
        <v>2.6</v>
      </c>
      <c r="BA1824">
        <v>281.70209999999997</v>
      </c>
      <c r="BB1824">
        <v>100.1476</v>
      </c>
      <c r="BC1824">
        <v>118.0574</v>
      </c>
      <c r="BD1824">
        <v>4.7107999999999999</v>
      </c>
      <c r="BE1824">
        <v>20.177399999999999</v>
      </c>
      <c r="BH1824">
        <v>76.23</v>
      </c>
    </row>
    <row r="1825" spans="1:60" x14ac:dyDescent="0.25">
      <c r="A1825" s="2">
        <v>43676</v>
      </c>
      <c r="B1825">
        <v>21</v>
      </c>
      <c r="C1825">
        <v>234.9</v>
      </c>
      <c r="D1825">
        <v>6.6</v>
      </c>
      <c r="E1825">
        <v>0.3</v>
      </c>
      <c r="F1825">
        <v>181.15</v>
      </c>
      <c r="G1825">
        <v>0.4</v>
      </c>
      <c r="H1825">
        <v>2.4</v>
      </c>
      <c r="I1825">
        <v>289.10219999999998</v>
      </c>
      <c r="J1825">
        <v>129.11150000000001</v>
      </c>
      <c r="K1825">
        <v>136.05179999999999</v>
      </c>
      <c r="L1825">
        <v>4.6357999999999997</v>
      </c>
      <c r="M1825">
        <v>19.79</v>
      </c>
      <c r="N1825">
        <v>7.7617000000000003</v>
      </c>
      <c r="O1825">
        <v>-6.6055999999999999</v>
      </c>
      <c r="P1825">
        <v>82.3</v>
      </c>
      <c r="S1825">
        <f t="shared" si="619"/>
        <v>1025.4413</v>
      </c>
      <c r="T1825">
        <f t="shared" si="620"/>
        <v>1.9686764822376159E-2</v>
      </c>
      <c r="U1825">
        <f t="shared" si="621"/>
        <v>0.22021052651315048</v>
      </c>
      <c r="V1825">
        <f t="shared" si="622"/>
        <v>6.1872689441753639E-3</v>
      </c>
      <c r="W1825">
        <f t="shared" si="623"/>
        <v>2.8123949746251657E-4</v>
      </c>
      <c r="X1825">
        <f t="shared" si="624"/>
        <v>0.16982178321778293</v>
      </c>
      <c r="Y1825">
        <f t="shared" si="625"/>
        <v>3.7498599661668879E-4</v>
      </c>
      <c r="Z1825">
        <f t="shared" si="626"/>
        <v>2.2499159797001326E-3</v>
      </c>
      <c r="AA1825">
        <f t="shared" si="627"/>
        <v>0.27102319147769316</v>
      </c>
      <c r="AB1825">
        <f t="shared" si="628"/>
        <v>0.12103751125543903</v>
      </c>
      <c r="AC1825">
        <f t="shared" si="629"/>
        <v>0.12754379953623604</v>
      </c>
      <c r="AD1825">
        <f t="shared" si="630"/>
        <v>4.3459002077891138E-3</v>
      </c>
      <c r="AE1825">
        <f t="shared" si="631"/>
        <v>1.8552432182610677E-2</v>
      </c>
      <c r="AG1825">
        <f t="shared" si="632"/>
        <v>1.5486711964414555</v>
      </c>
      <c r="AH1825">
        <f t="shared" si="633"/>
        <v>0.43736491715387493</v>
      </c>
      <c r="AI1825">
        <f t="shared" si="634"/>
        <v>2.2677868380553639</v>
      </c>
      <c r="AK1825" s="26" t="e">
        <f t="shared" si="635"/>
        <v>#DIV/0!</v>
      </c>
      <c r="AL1825" s="26" t="e">
        <f t="shared" si="636"/>
        <v>#DIV/0!</v>
      </c>
      <c r="AM1825" s="26" t="e">
        <f t="shared" si="637"/>
        <v>#DIV/0!</v>
      </c>
      <c r="AN1825" s="26" t="e">
        <f t="shared" si="638"/>
        <v>#DIV/0!</v>
      </c>
      <c r="AO1825" s="26" t="e">
        <f t="shared" si="639"/>
        <v>#DIV/0!</v>
      </c>
      <c r="AP1825" s="26" t="e">
        <f t="shared" si="640"/>
        <v>#DIV/0!</v>
      </c>
      <c r="AS1825" s="2">
        <v>43655</v>
      </c>
      <c r="AT1825">
        <v>22.3</v>
      </c>
      <c r="AU1825">
        <v>443.6</v>
      </c>
      <c r="AV1825">
        <v>42.7</v>
      </c>
      <c r="AW1825">
        <v>1.1000000000000001</v>
      </c>
      <c r="AX1825">
        <v>182.24</v>
      </c>
      <c r="AY1825">
        <v>0.4</v>
      </c>
      <c r="AZ1825">
        <v>2.6</v>
      </c>
      <c r="BA1825">
        <v>233.29089999999999</v>
      </c>
      <c r="BB1825">
        <v>76.530799999999999</v>
      </c>
      <c r="BC1825">
        <v>116.7565</v>
      </c>
      <c r="BD1825">
        <v>4.6978</v>
      </c>
      <c r="BE1825">
        <v>21.706900000000001</v>
      </c>
      <c r="BH1825">
        <v>75.959999999999994</v>
      </c>
    </row>
    <row r="1826" spans="1:60" x14ac:dyDescent="0.25">
      <c r="A1826" s="2">
        <v>43675</v>
      </c>
      <c r="B1826">
        <v>20.3</v>
      </c>
      <c r="C1826">
        <v>408.1</v>
      </c>
      <c r="D1826">
        <v>6.8</v>
      </c>
      <c r="E1826">
        <v>0.3</v>
      </c>
      <c r="F1826">
        <v>141.29</v>
      </c>
      <c r="G1826">
        <v>0.4</v>
      </c>
      <c r="H1826">
        <v>2.4</v>
      </c>
      <c r="I1826">
        <v>273.15379999999999</v>
      </c>
      <c r="J1826">
        <v>117.22239999999999</v>
      </c>
      <c r="K1826">
        <v>133.5934</v>
      </c>
      <c r="L1826">
        <v>4.6645000000000003</v>
      </c>
      <c r="M1826">
        <v>26.947600000000001</v>
      </c>
      <c r="N1826">
        <v>7.5805999999999996</v>
      </c>
      <c r="O1826">
        <v>-7.0749000000000004</v>
      </c>
      <c r="P1826">
        <v>81.99</v>
      </c>
      <c r="AG1826">
        <f t="shared" si="632"/>
        <v>1.5301789934914976</v>
      </c>
      <c r="AH1826">
        <f t="shared" si="633"/>
        <v>0</v>
      </c>
      <c r="AI1826" t="e">
        <f t="shared" si="634"/>
        <v>#DIV/0!</v>
      </c>
      <c r="AS1826" s="2">
        <v>43654</v>
      </c>
      <c r="AT1826">
        <v>22.6</v>
      </c>
      <c r="AU1826">
        <v>436.9</v>
      </c>
      <c r="AV1826">
        <v>39.6</v>
      </c>
      <c r="AW1826">
        <v>1</v>
      </c>
      <c r="AX1826">
        <v>166.24</v>
      </c>
      <c r="AY1826">
        <v>0.4</v>
      </c>
      <c r="AZ1826">
        <v>2.8</v>
      </c>
      <c r="BA1826">
        <v>235.80930000000001</v>
      </c>
      <c r="BB1826">
        <v>82.246899999999997</v>
      </c>
      <c r="BC1826">
        <v>98.266400000000004</v>
      </c>
      <c r="BD1826">
        <v>4.6215999999999999</v>
      </c>
      <c r="BE1826">
        <v>20.709499999999998</v>
      </c>
      <c r="BH1826">
        <v>75.73</v>
      </c>
    </row>
    <row r="1827" spans="1:60" x14ac:dyDescent="0.25">
      <c r="A1827" s="2">
        <v>43674</v>
      </c>
      <c r="B1827">
        <v>20.2</v>
      </c>
      <c r="C1827">
        <v>198.9</v>
      </c>
      <c r="D1827">
        <v>47</v>
      </c>
      <c r="E1827">
        <v>0.9</v>
      </c>
      <c r="F1827">
        <v>142.68</v>
      </c>
      <c r="G1827">
        <v>0.4</v>
      </c>
      <c r="H1827">
        <v>2.5</v>
      </c>
      <c r="I1827">
        <v>214.96090000000001</v>
      </c>
      <c r="J1827">
        <v>27.9815</v>
      </c>
      <c r="K1827">
        <v>50.8369</v>
      </c>
      <c r="L1827">
        <v>4.6287000000000003</v>
      </c>
      <c r="M1827">
        <v>12.4261</v>
      </c>
      <c r="P1827">
        <v>82.05</v>
      </c>
      <c r="AG1827">
        <f t="shared" si="632"/>
        <v>1.6612667596277104</v>
      </c>
      <c r="AH1827">
        <f t="shared" si="633"/>
        <v>0</v>
      </c>
      <c r="AI1827" t="e">
        <f t="shared" si="634"/>
        <v>#DIV/0!</v>
      </c>
      <c r="AS1827" s="2">
        <v>43653</v>
      </c>
      <c r="AT1827">
        <v>23</v>
      </c>
      <c r="AU1827">
        <v>599.1</v>
      </c>
      <c r="AV1827">
        <v>62.4</v>
      </c>
      <c r="AW1827">
        <v>0.5</v>
      </c>
      <c r="AX1827">
        <v>153.76</v>
      </c>
      <c r="AY1827">
        <v>0.4</v>
      </c>
      <c r="AZ1827">
        <v>2.9</v>
      </c>
      <c r="BA1827">
        <v>140.15029999999999</v>
      </c>
      <c r="BB1827">
        <v>32.456499999999998</v>
      </c>
      <c r="BC1827">
        <v>22.378900000000002</v>
      </c>
      <c r="BD1827">
        <v>4.3982999999999999</v>
      </c>
      <c r="BE1827">
        <v>11.306800000000001</v>
      </c>
      <c r="BH1827">
        <v>75.430000000000007</v>
      </c>
    </row>
    <row r="1828" spans="1:60" x14ac:dyDescent="0.25">
      <c r="A1828" s="2">
        <v>43673</v>
      </c>
      <c r="B1828">
        <v>20.100000000000001</v>
      </c>
      <c r="C1828">
        <v>117.6</v>
      </c>
      <c r="D1828">
        <v>66.599999999999994</v>
      </c>
      <c r="E1828">
        <v>2.2000000000000002</v>
      </c>
      <c r="F1828">
        <v>183.05</v>
      </c>
      <c r="G1828">
        <v>0.3</v>
      </c>
      <c r="H1828">
        <v>2.6</v>
      </c>
      <c r="I1828">
        <v>220.60839999999999</v>
      </c>
      <c r="J1828">
        <v>32.6389</v>
      </c>
      <c r="K1828">
        <v>67.073300000000003</v>
      </c>
      <c r="L1828">
        <v>4.6422999999999996</v>
      </c>
      <c r="M1828">
        <v>12.969099999999999</v>
      </c>
      <c r="P1828">
        <v>81.650000000000006</v>
      </c>
      <c r="AG1828">
        <f t="shared" si="632"/>
        <v>1.6278366689718577</v>
      </c>
      <c r="AH1828">
        <f t="shared" si="633"/>
        <v>0</v>
      </c>
      <c r="AI1828" t="e">
        <f t="shared" si="634"/>
        <v>#DIV/0!</v>
      </c>
      <c r="AS1828" s="2">
        <v>43652</v>
      </c>
      <c r="AT1828">
        <v>22.9</v>
      </c>
      <c r="AU1828">
        <v>167.3</v>
      </c>
      <c r="AV1828">
        <v>54.2</v>
      </c>
      <c r="AW1828">
        <v>1.1000000000000001</v>
      </c>
      <c r="AX1828">
        <v>191.59</v>
      </c>
      <c r="AY1828">
        <v>0.4</v>
      </c>
      <c r="AZ1828">
        <v>2.9</v>
      </c>
      <c r="BA1828">
        <v>193.04499999999999</v>
      </c>
      <c r="BB1828">
        <v>39.7393</v>
      </c>
      <c r="BC1828">
        <v>42.894799999999996</v>
      </c>
      <c r="BD1828">
        <v>4.3628999999999998</v>
      </c>
      <c r="BE1828">
        <v>16.997800000000002</v>
      </c>
      <c r="BH1828">
        <v>74.989999999999995</v>
      </c>
    </row>
    <row r="1829" spans="1:60" x14ac:dyDescent="0.25">
      <c r="A1829" s="2">
        <v>43672</v>
      </c>
      <c r="B1829">
        <v>20.100000000000001</v>
      </c>
      <c r="C1829">
        <v>70.099999999999994</v>
      </c>
      <c r="D1829">
        <v>54.7</v>
      </c>
      <c r="E1829">
        <v>1.6</v>
      </c>
      <c r="F1829">
        <v>234.84</v>
      </c>
      <c r="G1829">
        <v>0.1</v>
      </c>
      <c r="H1829">
        <v>2.6</v>
      </c>
      <c r="I1829">
        <v>300.30459999999999</v>
      </c>
      <c r="J1829">
        <v>136.768</v>
      </c>
      <c r="K1829">
        <v>113.6885</v>
      </c>
      <c r="L1829">
        <v>4.9859999999999998</v>
      </c>
      <c r="M1829">
        <v>25.173300000000001</v>
      </c>
      <c r="N1829">
        <v>7.7571000000000003</v>
      </c>
      <c r="O1829">
        <v>-7.1398000000000001</v>
      </c>
      <c r="P1829">
        <v>81.3</v>
      </c>
      <c r="AG1829">
        <f t="shared" si="632"/>
        <v>1.6084587276566398</v>
      </c>
      <c r="AH1829">
        <f t="shared" si="633"/>
        <v>0</v>
      </c>
      <c r="AI1829" t="e">
        <f t="shared" si="634"/>
        <v>#DIV/0!</v>
      </c>
      <c r="AS1829" s="2">
        <v>43651</v>
      </c>
      <c r="AT1829">
        <v>22.8</v>
      </c>
      <c r="AU1829">
        <v>522.29999999999995</v>
      </c>
      <c r="AV1829">
        <v>43.1</v>
      </c>
      <c r="AW1829">
        <v>1.7</v>
      </c>
      <c r="AX1829">
        <v>197.45</v>
      </c>
      <c r="AY1829">
        <v>0.4</v>
      </c>
      <c r="AZ1829">
        <v>2.7</v>
      </c>
      <c r="BA1829">
        <v>211.1808</v>
      </c>
      <c r="BB1829">
        <v>79.529799999999994</v>
      </c>
      <c r="BC1829">
        <v>103.78619999999999</v>
      </c>
      <c r="BD1829">
        <v>4.5521000000000003</v>
      </c>
      <c r="BE1829">
        <v>26.580500000000001</v>
      </c>
      <c r="BH1829">
        <v>74.55</v>
      </c>
    </row>
    <row r="1830" spans="1:60" x14ac:dyDescent="0.25">
      <c r="A1830" s="2">
        <v>43671</v>
      </c>
      <c r="B1830">
        <v>19.3</v>
      </c>
      <c r="C1830">
        <v>53.8</v>
      </c>
      <c r="D1830">
        <v>11.1</v>
      </c>
      <c r="E1830">
        <v>0.8</v>
      </c>
      <c r="F1830">
        <v>241.45</v>
      </c>
      <c r="H1830">
        <v>2.2999999999999998</v>
      </c>
      <c r="I1830">
        <v>307.52280000000002</v>
      </c>
      <c r="J1830">
        <v>214.34520000000001</v>
      </c>
      <c r="K1830">
        <v>123.09439999999999</v>
      </c>
      <c r="L1830">
        <v>5.0679999999999996</v>
      </c>
      <c r="M1830">
        <v>25.443200000000001</v>
      </c>
      <c r="N1830">
        <v>8.4674999999999994</v>
      </c>
      <c r="O1830">
        <v>-7.1940999999999997</v>
      </c>
      <c r="P1830">
        <v>80.91</v>
      </c>
      <c r="AG1830">
        <f t="shared" si="632"/>
        <v>1.5661989496045483</v>
      </c>
      <c r="AH1830">
        <f t="shared" si="633"/>
        <v>0</v>
      </c>
      <c r="AI1830" t="e">
        <f t="shared" si="634"/>
        <v>#DIV/0!</v>
      </c>
      <c r="AS1830" s="2">
        <v>43650</v>
      </c>
      <c r="AT1830">
        <v>22.6</v>
      </c>
      <c r="AU1830">
        <v>592.79999999999995</v>
      </c>
      <c r="AV1830">
        <v>62.1</v>
      </c>
      <c r="AW1830">
        <v>1.1000000000000001</v>
      </c>
      <c r="AX1830">
        <v>256.2</v>
      </c>
      <c r="AY1830">
        <v>0.3</v>
      </c>
      <c r="AZ1830">
        <v>2.5</v>
      </c>
      <c r="BA1830">
        <v>220.96039999999999</v>
      </c>
      <c r="BB1830">
        <v>78.980500000000006</v>
      </c>
      <c r="BC1830">
        <v>83.337500000000006</v>
      </c>
      <c r="BD1830">
        <v>4.5221</v>
      </c>
      <c r="BE1830">
        <v>26.042200000000001</v>
      </c>
      <c r="BH1830">
        <v>74.22</v>
      </c>
    </row>
    <row r="1831" spans="1:60" x14ac:dyDescent="0.25">
      <c r="A1831" s="2">
        <v>43670</v>
      </c>
      <c r="B1831">
        <v>19.100000000000001</v>
      </c>
      <c r="C1831">
        <v>407.4</v>
      </c>
      <c r="D1831">
        <v>26.5</v>
      </c>
      <c r="E1831">
        <v>0.5</v>
      </c>
      <c r="F1831">
        <v>250.59</v>
      </c>
      <c r="G1831">
        <v>0</v>
      </c>
      <c r="H1831">
        <v>2.2999999999999998</v>
      </c>
      <c r="I1831">
        <v>314.02769999999998</v>
      </c>
      <c r="J1831">
        <v>199.65280000000001</v>
      </c>
      <c r="K1831">
        <v>136.858</v>
      </c>
      <c r="L1831">
        <v>5.1360000000000001</v>
      </c>
      <c r="M1831">
        <v>29.914100000000001</v>
      </c>
      <c r="N1831">
        <v>8.6806000000000001</v>
      </c>
      <c r="O1831">
        <v>-6.9770000000000003</v>
      </c>
      <c r="P1831">
        <v>80.63</v>
      </c>
      <c r="AG1831">
        <f t="shared" si="632"/>
        <v>1.5669074775747867</v>
      </c>
      <c r="AH1831">
        <f t="shared" si="633"/>
        <v>0</v>
      </c>
      <c r="AI1831" t="e">
        <f t="shared" si="634"/>
        <v>#DIV/0!</v>
      </c>
      <c r="AS1831" s="2">
        <v>43649</v>
      </c>
      <c r="AT1831">
        <v>21.6</v>
      </c>
      <c r="AU1831">
        <v>428.6</v>
      </c>
      <c r="AV1831">
        <v>51.1</v>
      </c>
      <c r="AW1831">
        <v>1</v>
      </c>
      <c r="AX1831">
        <v>235.49</v>
      </c>
      <c r="AZ1831">
        <v>2.4</v>
      </c>
      <c r="BA1831">
        <v>214.36609999999999</v>
      </c>
      <c r="BB1831">
        <v>71.676000000000002</v>
      </c>
      <c r="BC1831">
        <v>107.7364</v>
      </c>
      <c r="BD1831">
        <v>4.5561999999999996</v>
      </c>
      <c r="BE1831">
        <v>21.3127</v>
      </c>
      <c r="BH1831">
        <v>73.91</v>
      </c>
    </row>
    <row r="1832" spans="1:60" x14ac:dyDescent="0.25">
      <c r="A1832" s="2">
        <v>43669</v>
      </c>
      <c r="B1832">
        <v>19.3</v>
      </c>
      <c r="C1832">
        <v>428.9</v>
      </c>
      <c r="D1832">
        <v>9</v>
      </c>
      <c r="E1832">
        <v>0.3</v>
      </c>
      <c r="F1832">
        <v>254.34</v>
      </c>
      <c r="G1832">
        <v>0.4</v>
      </c>
      <c r="H1832">
        <v>2.5</v>
      </c>
      <c r="I1832">
        <v>320.45299999999997</v>
      </c>
      <c r="J1832">
        <v>193.0652</v>
      </c>
      <c r="K1832">
        <v>127.37609999999999</v>
      </c>
      <c r="L1832">
        <v>5.181</v>
      </c>
      <c r="M1832">
        <v>26.945799999999998</v>
      </c>
      <c r="N1832">
        <v>7.6729000000000003</v>
      </c>
      <c r="O1832">
        <v>-7.3738000000000001</v>
      </c>
      <c r="P1832">
        <v>80.31</v>
      </c>
    </row>
    <row r="1833" spans="1:60" x14ac:dyDescent="0.25">
      <c r="A1833" s="2">
        <v>43668</v>
      </c>
      <c r="B1833">
        <v>17.899999999999999</v>
      </c>
      <c r="C1833">
        <v>528.20000000000005</v>
      </c>
      <c r="D1833">
        <v>47.3</v>
      </c>
      <c r="E1833">
        <v>0.4</v>
      </c>
      <c r="F1833">
        <v>204.14</v>
      </c>
      <c r="G1833">
        <v>0.4</v>
      </c>
      <c r="H1833">
        <v>2.5</v>
      </c>
      <c r="I1833">
        <v>298.4846</v>
      </c>
      <c r="J1833">
        <v>115.2578</v>
      </c>
      <c r="K1833">
        <v>124.7192</v>
      </c>
      <c r="L1833">
        <v>4.9341999999999997</v>
      </c>
      <c r="M1833">
        <v>19.665500000000002</v>
      </c>
      <c r="N1833">
        <v>8.7020999999999997</v>
      </c>
      <c r="O1833">
        <v>-6.6204999999999998</v>
      </c>
      <c r="P1833">
        <v>80.040000000000006</v>
      </c>
    </row>
    <row r="1834" spans="1:60" x14ac:dyDescent="0.25">
      <c r="A1834" s="2">
        <v>43667</v>
      </c>
      <c r="B1834">
        <v>18.3</v>
      </c>
      <c r="C1834">
        <v>488.9</v>
      </c>
      <c r="D1834">
        <v>41.5</v>
      </c>
      <c r="E1834">
        <v>1.1000000000000001</v>
      </c>
      <c r="F1834">
        <v>201.64</v>
      </c>
      <c r="G1834">
        <v>0.4</v>
      </c>
      <c r="H1834">
        <v>2.7</v>
      </c>
      <c r="I1834">
        <v>222.233</v>
      </c>
      <c r="J1834">
        <v>52.7057</v>
      </c>
      <c r="K1834">
        <v>38.932600000000001</v>
      </c>
      <c r="L1834">
        <v>4.3986000000000001</v>
      </c>
      <c r="M1834">
        <v>10.6668</v>
      </c>
      <c r="P1834">
        <v>79.78</v>
      </c>
    </row>
    <row r="1835" spans="1:60" x14ac:dyDescent="0.25">
      <c r="A1835" s="2">
        <v>43666</v>
      </c>
      <c r="B1835">
        <v>19</v>
      </c>
      <c r="C1835">
        <v>44.4</v>
      </c>
      <c r="D1835">
        <v>42.6</v>
      </c>
      <c r="E1835">
        <v>1</v>
      </c>
      <c r="F1835">
        <v>210.35</v>
      </c>
      <c r="G1835">
        <v>0.3</v>
      </c>
      <c r="H1835">
        <v>2.8</v>
      </c>
      <c r="I1835">
        <v>259.68520000000001</v>
      </c>
      <c r="J1835">
        <v>64.625</v>
      </c>
      <c r="K1835">
        <v>72.174700000000001</v>
      </c>
      <c r="L1835">
        <v>4.3783000000000003</v>
      </c>
      <c r="M1835">
        <v>13.5047</v>
      </c>
      <c r="P1835">
        <v>79.400000000000006</v>
      </c>
    </row>
    <row r="1836" spans="1:60" x14ac:dyDescent="0.25">
      <c r="A1836" s="2">
        <v>43665</v>
      </c>
      <c r="B1836">
        <v>19.3</v>
      </c>
      <c r="C1836">
        <v>143.9</v>
      </c>
      <c r="D1836">
        <v>6.4</v>
      </c>
      <c r="E1836">
        <v>0.3</v>
      </c>
      <c r="F1836">
        <v>163.99</v>
      </c>
      <c r="H1836">
        <v>2.7</v>
      </c>
      <c r="I1836">
        <v>315.20269999999999</v>
      </c>
      <c r="J1836">
        <v>135.7756</v>
      </c>
      <c r="K1836">
        <v>141.34639999999999</v>
      </c>
      <c r="L1836">
        <v>4.6883999999999997</v>
      </c>
      <c r="M1836">
        <v>26.406700000000001</v>
      </c>
      <c r="N1836">
        <v>7.5446999999999997</v>
      </c>
      <c r="O1836">
        <v>-6.6365999999999996</v>
      </c>
      <c r="P1836">
        <v>79.040000000000006</v>
      </c>
    </row>
    <row r="1837" spans="1:60" x14ac:dyDescent="0.25">
      <c r="A1837" s="2">
        <v>43664</v>
      </c>
      <c r="B1837">
        <v>19.8</v>
      </c>
      <c r="C1837">
        <v>399.2</v>
      </c>
      <c r="D1837">
        <v>12</v>
      </c>
      <c r="E1837">
        <v>0.2</v>
      </c>
      <c r="F1837">
        <v>221.45</v>
      </c>
      <c r="G1837">
        <v>0.4</v>
      </c>
      <c r="H1837">
        <v>2.5</v>
      </c>
      <c r="I1837">
        <v>310.7593</v>
      </c>
      <c r="J1837">
        <v>131.2132</v>
      </c>
      <c r="K1837">
        <v>136.49529999999999</v>
      </c>
      <c r="L1837">
        <v>3.1894999999999998</v>
      </c>
      <c r="M1837">
        <v>24.8841</v>
      </c>
      <c r="N1837">
        <v>8.3696000000000002</v>
      </c>
      <c r="O1837">
        <v>-4.6021000000000001</v>
      </c>
      <c r="P1837">
        <v>78.790000000000006</v>
      </c>
    </row>
    <row r="1838" spans="1:60" x14ac:dyDescent="0.25">
      <c r="A1838" s="2">
        <v>43663</v>
      </c>
      <c r="B1838">
        <v>19.600000000000001</v>
      </c>
      <c r="C1838">
        <v>283.7</v>
      </c>
      <c r="D1838">
        <v>2.9</v>
      </c>
      <c r="E1838">
        <v>0.2</v>
      </c>
      <c r="F1838">
        <v>212.48</v>
      </c>
      <c r="G1838">
        <v>0.2</v>
      </c>
      <c r="H1838">
        <v>2.2000000000000002</v>
      </c>
      <c r="I1838">
        <v>325.0582</v>
      </c>
      <c r="J1838">
        <v>134.60429999999999</v>
      </c>
      <c r="K1838">
        <v>133.92859999999999</v>
      </c>
      <c r="L1838">
        <v>3.2561</v>
      </c>
      <c r="M1838">
        <v>22.453499999999998</v>
      </c>
      <c r="N1838">
        <v>8.8547999999999991</v>
      </c>
      <c r="O1838">
        <v>-3.9098999999999999</v>
      </c>
      <c r="P1838">
        <v>78.540000000000006</v>
      </c>
    </row>
    <row r="1839" spans="1:60" x14ac:dyDescent="0.25">
      <c r="A1839" s="2">
        <v>43662</v>
      </c>
      <c r="B1839">
        <v>20.5</v>
      </c>
      <c r="C1839">
        <v>173.3</v>
      </c>
      <c r="D1839">
        <v>35.299999999999997</v>
      </c>
      <c r="E1839">
        <v>1.3</v>
      </c>
      <c r="F1839">
        <v>190.11</v>
      </c>
      <c r="H1839">
        <v>2.5</v>
      </c>
      <c r="I1839">
        <v>308.39440000000002</v>
      </c>
      <c r="J1839">
        <v>117.3344</v>
      </c>
      <c r="K1839">
        <v>114.1275</v>
      </c>
      <c r="L1839">
        <v>4.4602000000000004</v>
      </c>
      <c r="M1839">
        <v>18.7669</v>
      </c>
      <c r="N1839">
        <v>7.6660000000000004</v>
      </c>
      <c r="O1839">
        <v>-3.9253999999999998</v>
      </c>
      <c r="P1839">
        <v>78.31</v>
      </c>
    </row>
    <row r="1840" spans="1:60" x14ac:dyDescent="0.25">
      <c r="A1840" s="2">
        <v>43661</v>
      </c>
      <c r="B1840">
        <v>21.1</v>
      </c>
      <c r="C1840">
        <v>131.9</v>
      </c>
      <c r="D1840">
        <v>38.4</v>
      </c>
      <c r="E1840">
        <v>0.7</v>
      </c>
      <c r="F1840">
        <v>154.66999999999999</v>
      </c>
      <c r="G1840">
        <v>0.4</v>
      </c>
      <c r="H1840">
        <v>2.7</v>
      </c>
      <c r="I1840">
        <v>296.22879999999998</v>
      </c>
      <c r="J1840">
        <v>96.001800000000003</v>
      </c>
      <c r="K1840">
        <v>114.8348</v>
      </c>
      <c r="L1840">
        <v>4.6017000000000001</v>
      </c>
      <c r="M1840">
        <v>20.5488</v>
      </c>
      <c r="N1840">
        <v>6.4329999999999998</v>
      </c>
      <c r="O1840">
        <v>-2.7810000000000001</v>
      </c>
      <c r="P1840">
        <v>78.069999999999993</v>
      </c>
    </row>
    <row r="1841" spans="1:16" x14ac:dyDescent="0.25">
      <c r="A1841" s="2">
        <v>43660</v>
      </c>
      <c r="B1841">
        <v>21.7</v>
      </c>
      <c r="C1841">
        <v>163.4</v>
      </c>
      <c r="D1841">
        <v>32.5</v>
      </c>
      <c r="E1841">
        <v>0.6</v>
      </c>
      <c r="F1841">
        <v>136.97999999999999</v>
      </c>
      <c r="G1841">
        <v>0.4</v>
      </c>
      <c r="H1841">
        <v>2.8</v>
      </c>
      <c r="I1841">
        <v>258.32760000000002</v>
      </c>
      <c r="J1841">
        <v>53.31</v>
      </c>
      <c r="K1841">
        <v>34.338799999999999</v>
      </c>
      <c r="L1841">
        <v>4.6346999999999996</v>
      </c>
      <c r="M1841">
        <v>9.2271999999999998</v>
      </c>
      <c r="P1841">
        <v>77.75</v>
      </c>
    </row>
    <row r="1842" spans="1:16" x14ac:dyDescent="0.25">
      <c r="A1842" s="2">
        <v>43659</v>
      </c>
      <c r="B1842">
        <v>21.8</v>
      </c>
      <c r="C1842">
        <v>132.4</v>
      </c>
      <c r="D1842">
        <v>27.1</v>
      </c>
      <c r="E1842">
        <v>0.8</v>
      </c>
      <c r="F1842">
        <v>141.19</v>
      </c>
      <c r="G1842">
        <v>0.4</v>
      </c>
      <c r="H1842">
        <v>2.8</v>
      </c>
      <c r="I1842">
        <v>256.62130000000002</v>
      </c>
      <c r="J1842">
        <v>64.777000000000001</v>
      </c>
      <c r="K1842">
        <v>42.882100000000001</v>
      </c>
      <c r="L1842">
        <v>4.6368999999999998</v>
      </c>
      <c r="M1842">
        <v>10.9208</v>
      </c>
      <c r="P1842">
        <v>77.31</v>
      </c>
    </row>
    <row r="1843" spans="1:16" x14ac:dyDescent="0.25">
      <c r="A1843" s="2">
        <v>43658</v>
      </c>
      <c r="B1843">
        <v>20.3</v>
      </c>
      <c r="C1843">
        <v>180.2</v>
      </c>
      <c r="D1843">
        <v>5.0999999999999996</v>
      </c>
      <c r="E1843">
        <v>0.2</v>
      </c>
      <c r="F1843">
        <v>147.09</v>
      </c>
      <c r="G1843">
        <v>0.4</v>
      </c>
      <c r="H1843">
        <v>2.8</v>
      </c>
      <c r="I1843">
        <v>302.6003</v>
      </c>
      <c r="J1843">
        <v>151.67740000000001</v>
      </c>
      <c r="K1843">
        <v>138.99799999999999</v>
      </c>
      <c r="L1843">
        <v>4.6619999999999999</v>
      </c>
      <c r="M1843">
        <v>27.206399999999999</v>
      </c>
      <c r="N1843">
        <v>3.9981</v>
      </c>
      <c r="O1843">
        <v>-4.3741000000000003</v>
      </c>
      <c r="P1843">
        <v>76.89</v>
      </c>
    </row>
    <row r="1844" spans="1:16" x14ac:dyDescent="0.25">
      <c r="A1844" s="2">
        <v>43657</v>
      </c>
      <c r="B1844">
        <v>21</v>
      </c>
      <c r="C1844">
        <v>590.79999999999995</v>
      </c>
      <c r="D1844">
        <v>6.8</v>
      </c>
      <c r="E1844">
        <v>0.2</v>
      </c>
      <c r="F1844">
        <v>127.83</v>
      </c>
      <c r="G1844">
        <v>0.4</v>
      </c>
      <c r="H1844">
        <v>2.9</v>
      </c>
      <c r="I1844">
        <v>301.38389999999998</v>
      </c>
      <c r="J1844">
        <v>161.6824</v>
      </c>
      <c r="K1844">
        <v>141.59630000000001</v>
      </c>
      <c r="L1844">
        <v>4.6696</v>
      </c>
      <c r="M1844">
        <v>37.935699999999997</v>
      </c>
      <c r="N1844">
        <v>4.2104999999999997</v>
      </c>
      <c r="O1844">
        <v>-4.3932000000000002</v>
      </c>
      <c r="P1844">
        <v>76.540000000000006</v>
      </c>
    </row>
    <row r="1845" spans="1:16" x14ac:dyDescent="0.25">
      <c r="A1845" s="2">
        <v>43656</v>
      </c>
      <c r="B1845">
        <v>22.5</v>
      </c>
      <c r="C1845">
        <v>269.60000000000002</v>
      </c>
      <c r="D1845">
        <v>19.899999999999999</v>
      </c>
      <c r="E1845">
        <v>0.8</v>
      </c>
      <c r="F1845">
        <v>239.84</v>
      </c>
      <c r="G1845">
        <v>0.4</v>
      </c>
      <c r="H1845">
        <v>2.6</v>
      </c>
      <c r="I1845">
        <v>281.70209999999997</v>
      </c>
      <c r="J1845">
        <v>100.1476</v>
      </c>
      <c r="K1845">
        <v>118.0574</v>
      </c>
      <c r="L1845">
        <v>4.7107999999999999</v>
      </c>
      <c r="M1845">
        <v>20.177399999999999</v>
      </c>
      <c r="N1845">
        <v>4.8512000000000004</v>
      </c>
      <c r="O1845">
        <v>-5.4785000000000004</v>
      </c>
      <c r="P1845">
        <v>76.23</v>
      </c>
    </row>
    <row r="1846" spans="1:16" x14ac:dyDescent="0.25">
      <c r="A1846" s="2">
        <v>43655</v>
      </c>
      <c r="B1846">
        <v>22.3</v>
      </c>
      <c r="C1846">
        <v>443.6</v>
      </c>
      <c r="D1846">
        <v>42.7</v>
      </c>
      <c r="E1846">
        <v>1.1000000000000001</v>
      </c>
      <c r="F1846">
        <v>182.24</v>
      </c>
      <c r="G1846">
        <v>0.4</v>
      </c>
      <c r="H1846">
        <v>2.6</v>
      </c>
      <c r="I1846">
        <v>233.29089999999999</v>
      </c>
      <c r="J1846">
        <v>76.530799999999999</v>
      </c>
      <c r="K1846">
        <v>116.7565</v>
      </c>
      <c r="L1846">
        <v>4.6978</v>
      </c>
      <c r="M1846">
        <v>21.706900000000001</v>
      </c>
      <c r="N1846">
        <v>6.1833999999999998</v>
      </c>
      <c r="O1846">
        <v>-3.4184000000000001</v>
      </c>
      <c r="P1846">
        <v>75.959999999999994</v>
      </c>
    </row>
    <row r="1847" spans="1:16" x14ac:dyDescent="0.25">
      <c r="A1847" s="2">
        <v>43654</v>
      </c>
      <c r="B1847">
        <v>22.6</v>
      </c>
      <c r="C1847">
        <v>436.9</v>
      </c>
      <c r="D1847">
        <v>39.6</v>
      </c>
      <c r="E1847">
        <v>1</v>
      </c>
      <c r="F1847">
        <v>166.24</v>
      </c>
      <c r="G1847">
        <v>0.4</v>
      </c>
      <c r="H1847">
        <v>2.8</v>
      </c>
      <c r="I1847">
        <v>235.80930000000001</v>
      </c>
      <c r="J1847">
        <v>82.246899999999997</v>
      </c>
      <c r="K1847">
        <v>98.266400000000004</v>
      </c>
      <c r="L1847">
        <v>4.6215999999999999</v>
      </c>
      <c r="M1847">
        <v>20.709499999999998</v>
      </c>
      <c r="N1847">
        <v>5.4717000000000002</v>
      </c>
      <c r="O1847">
        <v>-4.5143000000000004</v>
      </c>
      <c r="P1847">
        <v>75.73</v>
      </c>
    </row>
    <row r="1848" spans="1:16" x14ac:dyDescent="0.25">
      <c r="A1848" s="2">
        <v>43653</v>
      </c>
      <c r="B1848">
        <v>23</v>
      </c>
      <c r="C1848">
        <v>599.1</v>
      </c>
      <c r="D1848">
        <v>62.4</v>
      </c>
      <c r="E1848">
        <v>0.5</v>
      </c>
      <c r="F1848">
        <v>153.76</v>
      </c>
      <c r="G1848">
        <v>0.4</v>
      </c>
      <c r="H1848">
        <v>2.9</v>
      </c>
      <c r="I1848">
        <v>140.15029999999999</v>
      </c>
      <c r="J1848">
        <v>32.456499999999998</v>
      </c>
      <c r="K1848">
        <v>22.378900000000002</v>
      </c>
      <c r="L1848">
        <v>4.3982999999999999</v>
      </c>
      <c r="M1848">
        <v>11.306800000000001</v>
      </c>
      <c r="P1848">
        <v>75.430000000000007</v>
      </c>
    </row>
    <row r="1849" spans="1:16" x14ac:dyDescent="0.25">
      <c r="A1849" s="2">
        <v>43652</v>
      </c>
      <c r="B1849">
        <v>22.9</v>
      </c>
      <c r="C1849">
        <v>167.3</v>
      </c>
      <c r="D1849">
        <v>54.2</v>
      </c>
      <c r="E1849">
        <v>1.1000000000000001</v>
      </c>
      <c r="F1849">
        <v>191.59</v>
      </c>
      <c r="G1849">
        <v>0.4</v>
      </c>
      <c r="H1849">
        <v>2.9</v>
      </c>
      <c r="I1849">
        <v>193.04499999999999</v>
      </c>
      <c r="J1849">
        <v>39.7393</v>
      </c>
      <c r="K1849">
        <v>42.894799999999996</v>
      </c>
      <c r="L1849">
        <v>4.3628999999999998</v>
      </c>
      <c r="M1849">
        <v>16.997800000000002</v>
      </c>
      <c r="P1849">
        <v>74.989999999999995</v>
      </c>
    </row>
    <row r="1850" spans="1:16" x14ac:dyDescent="0.25">
      <c r="A1850" s="2">
        <v>43651</v>
      </c>
      <c r="B1850">
        <v>22.8</v>
      </c>
      <c r="C1850">
        <v>522.29999999999995</v>
      </c>
      <c r="D1850">
        <v>43.1</v>
      </c>
      <c r="E1850">
        <v>1.7</v>
      </c>
      <c r="F1850">
        <v>197.45</v>
      </c>
      <c r="G1850">
        <v>0.4</v>
      </c>
      <c r="H1850">
        <v>2.7</v>
      </c>
      <c r="I1850">
        <v>211.1808</v>
      </c>
      <c r="J1850">
        <v>79.529799999999994</v>
      </c>
      <c r="K1850">
        <v>103.78619999999999</v>
      </c>
      <c r="L1850">
        <v>4.5521000000000003</v>
      </c>
      <c r="M1850">
        <v>26.580500000000001</v>
      </c>
      <c r="N1850">
        <v>5.0148999999999999</v>
      </c>
      <c r="O1850">
        <v>-5.6016000000000004</v>
      </c>
      <c r="P1850">
        <v>74.55</v>
      </c>
    </row>
    <row r="1851" spans="1:16" x14ac:dyDescent="0.25">
      <c r="A1851" s="2">
        <v>43650</v>
      </c>
      <c r="B1851">
        <v>22.6</v>
      </c>
      <c r="C1851">
        <v>592.79999999999995</v>
      </c>
      <c r="D1851">
        <v>62.1</v>
      </c>
      <c r="E1851">
        <v>1.1000000000000001</v>
      </c>
      <c r="F1851">
        <v>256.2</v>
      </c>
      <c r="G1851">
        <v>0.3</v>
      </c>
      <c r="H1851">
        <v>2.5</v>
      </c>
      <c r="I1851">
        <v>220.96039999999999</v>
      </c>
      <c r="J1851">
        <v>78.980500000000006</v>
      </c>
      <c r="K1851">
        <v>83.337500000000006</v>
      </c>
      <c r="L1851">
        <v>4.5221</v>
      </c>
      <c r="M1851">
        <v>26.042200000000001</v>
      </c>
      <c r="N1851">
        <v>5.4782999999999999</v>
      </c>
      <c r="O1851">
        <v>-5.7511999999999999</v>
      </c>
      <c r="P1851">
        <v>74.22</v>
      </c>
    </row>
    <row r="1852" spans="1:16" x14ac:dyDescent="0.25">
      <c r="A1852" s="2">
        <v>43649</v>
      </c>
      <c r="B1852">
        <v>21.6</v>
      </c>
      <c r="C1852">
        <v>428.6</v>
      </c>
      <c r="D1852">
        <v>51.1</v>
      </c>
      <c r="E1852">
        <v>1</v>
      </c>
      <c r="F1852">
        <v>235.49</v>
      </c>
      <c r="H1852">
        <v>2.4</v>
      </c>
      <c r="I1852">
        <v>214.36609999999999</v>
      </c>
      <c r="J1852">
        <v>71.676000000000002</v>
      </c>
      <c r="K1852">
        <v>107.7364</v>
      </c>
      <c r="L1852">
        <v>4.5561999999999996</v>
      </c>
      <c r="M1852">
        <v>21.3127</v>
      </c>
      <c r="N1852">
        <v>5.7229999999999999</v>
      </c>
      <c r="O1852">
        <v>-5.3090000000000002</v>
      </c>
      <c r="P1852">
        <v>73.91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343E-5FE5-4BB2-B0C7-D82467D77A55}">
  <dimension ref="A1:S410"/>
  <sheetViews>
    <sheetView workbookViewId="0">
      <selection activeCell="B1" sqref="B1"/>
    </sheetView>
  </sheetViews>
  <sheetFormatPr defaultRowHeight="15" x14ac:dyDescent="0.25"/>
  <cols>
    <col min="1" max="1" width="12.7109375" customWidth="1"/>
    <col min="2" max="2" width="11.28515625" style="103" bestFit="1" customWidth="1"/>
    <col min="3" max="4" width="18.7109375" customWidth="1"/>
    <col min="5" max="5" width="20.7109375" customWidth="1"/>
    <col min="6" max="6" width="17.85546875" customWidth="1"/>
    <col min="7" max="7" width="26.7109375" customWidth="1"/>
    <col min="8" max="9" width="17.28515625" customWidth="1"/>
    <col min="11" max="11" width="16" bestFit="1" customWidth="1"/>
    <col min="12" max="12" width="10.7109375" style="103" bestFit="1" customWidth="1"/>
    <col min="13" max="13" width="8.85546875" bestFit="1" customWidth="1"/>
    <col min="14" max="14" width="7.7109375" bestFit="1" customWidth="1"/>
    <col min="15" max="16" width="8.85546875" bestFit="1" customWidth="1"/>
    <col min="17" max="17" width="11.7109375" bestFit="1" customWidth="1"/>
  </cols>
  <sheetData>
    <row r="1" spans="1:19" x14ac:dyDescent="0.25">
      <c r="A1" t="s">
        <v>131</v>
      </c>
      <c r="B1" s="103" t="s">
        <v>66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K1" t="s">
        <v>139</v>
      </c>
      <c r="L1" s="103" t="s">
        <v>66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</row>
    <row r="2" spans="1:19" x14ac:dyDescent="0.25">
      <c r="B2" s="103" t="s">
        <v>140</v>
      </c>
      <c r="C2">
        <v>34.128999999999998</v>
      </c>
      <c r="D2">
        <v>28.736000000000001</v>
      </c>
      <c r="E2">
        <v>34.011000000000003</v>
      </c>
      <c r="F2">
        <v>36.729999999999997</v>
      </c>
      <c r="G2">
        <v>5.3929999999999998</v>
      </c>
      <c r="H2">
        <v>-2.7189999999999999</v>
      </c>
      <c r="I2">
        <f t="shared" ref="I2:I65" si="0">IFERROR(AVERAGE(E2,F2)-C2,"")</f>
        <v>1.241500000000002</v>
      </c>
      <c r="L2" s="103" t="s">
        <v>140</v>
      </c>
      <c r="M2">
        <v>30.099</v>
      </c>
      <c r="N2">
        <v>28.736000000000001</v>
      </c>
      <c r="O2">
        <v>29.693000000000001</v>
      </c>
      <c r="P2">
        <v>32.101999999999997</v>
      </c>
      <c r="Q2">
        <v>1.363</v>
      </c>
      <c r="R2">
        <v>-2.4089999999999998</v>
      </c>
      <c r="S2">
        <f t="shared" ref="S2:S65" si="1">IFERROR(AVERAGE(O2,P2)-M2,"")</f>
        <v>0.79850000000000065</v>
      </c>
    </row>
    <row r="3" spans="1:19" x14ac:dyDescent="0.25">
      <c r="B3" s="103" t="s">
        <v>141</v>
      </c>
      <c r="C3">
        <v>33.969000000000001</v>
      </c>
      <c r="D3">
        <v>28.364000000000001</v>
      </c>
      <c r="E3">
        <v>33.89</v>
      </c>
      <c r="F3">
        <v>36.548000000000002</v>
      </c>
      <c r="G3">
        <v>5.6050000000000004</v>
      </c>
      <c r="H3">
        <v>-2.6579999999999999</v>
      </c>
      <c r="I3">
        <f t="shared" si="0"/>
        <v>1.25</v>
      </c>
      <c r="L3" s="103" t="s">
        <v>141</v>
      </c>
      <c r="M3">
        <v>30.437999999999999</v>
      </c>
      <c r="N3">
        <v>28.364000000000001</v>
      </c>
      <c r="O3">
        <v>30.181999999999999</v>
      </c>
      <c r="P3">
        <v>32.552</v>
      </c>
      <c r="Q3">
        <v>2.0739999999999998</v>
      </c>
      <c r="R3">
        <v>-2.37</v>
      </c>
      <c r="S3">
        <f t="shared" si="1"/>
        <v>0.92899999999999849</v>
      </c>
    </row>
    <row r="4" spans="1:19" x14ac:dyDescent="0.25">
      <c r="B4" s="103" t="s">
        <v>142</v>
      </c>
      <c r="C4">
        <v>34.281999999999996</v>
      </c>
      <c r="D4">
        <v>30.581</v>
      </c>
      <c r="E4">
        <v>34.189</v>
      </c>
      <c r="F4">
        <v>36.918999999999997</v>
      </c>
      <c r="G4">
        <v>3.7010000000000001</v>
      </c>
      <c r="H4">
        <v>-2.73</v>
      </c>
      <c r="I4">
        <f t="shared" si="0"/>
        <v>1.2720000000000056</v>
      </c>
      <c r="L4" s="103" t="s">
        <v>142</v>
      </c>
      <c r="M4">
        <v>30.885000000000002</v>
      </c>
      <c r="N4">
        <v>30.581</v>
      </c>
      <c r="O4">
        <v>30.338999999999999</v>
      </c>
      <c r="P4">
        <v>33.194000000000003</v>
      </c>
      <c r="Q4">
        <v>0.30399999999999999</v>
      </c>
      <c r="R4">
        <v>-2.855</v>
      </c>
      <c r="S4">
        <f t="shared" si="1"/>
        <v>0.88149999999999906</v>
      </c>
    </row>
    <row r="5" spans="1:19" x14ac:dyDescent="0.25">
      <c r="B5" s="103" t="s">
        <v>143</v>
      </c>
      <c r="C5">
        <v>34.436999999999998</v>
      </c>
      <c r="D5">
        <v>30.454000000000001</v>
      </c>
      <c r="E5">
        <v>34.259</v>
      </c>
      <c r="F5">
        <v>37.008000000000003</v>
      </c>
      <c r="G5">
        <v>3.9830000000000001</v>
      </c>
      <c r="H5">
        <v>-2.7490000000000001</v>
      </c>
      <c r="I5">
        <f t="shared" si="0"/>
        <v>1.1965000000000003</v>
      </c>
      <c r="L5" s="103" t="s">
        <v>143</v>
      </c>
      <c r="M5">
        <v>31.507000000000001</v>
      </c>
      <c r="N5">
        <v>30.454000000000001</v>
      </c>
      <c r="O5">
        <v>30.864000000000001</v>
      </c>
      <c r="P5">
        <v>34.140999999999998</v>
      </c>
      <c r="Q5">
        <v>1.0529999999999999</v>
      </c>
      <c r="R5">
        <v>-3.2770000000000001</v>
      </c>
      <c r="S5">
        <f t="shared" si="1"/>
        <v>0.99549999999999628</v>
      </c>
    </row>
    <row r="6" spans="1:19" x14ac:dyDescent="0.25">
      <c r="B6" s="103" t="s">
        <v>144</v>
      </c>
      <c r="C6">
        <v>33.704999999999998</v>
      </c>
      <c r="D6">
        <v>31.55</v>
      </c>
      <c r="E6">
        <v>33.549999999999997</v>
      </c>
      <c r="F6">
        <v>36.216000000000001</v>
      </c>
      <c r="G6">
        <v>2.1549999999999998</v>
      </c>
      <c r="H6">
        <v>-2.6659999999999999</v>
      </c>
      <c r="I6">
        <f t="shared" si="0"/>
        <v>1.1779999999999973</v>
      </c>
      <c r="L6" s="103" t="s">
        <v>144</v>
      </c>
      <c r="M6">
        <v>30.015000000000001</v>
      </c>
      <c r="N6">
        <v>31.55</v>
      </c>
      <c r="O6">
        <v>29.577000000000002</v>
      </c>
      <c r="P6">
        <v>32.110999999999997</v>
      </c>
      <c r="Q6">
        <v>-1.5349999999999999</v>
      </c>
      <c r="R6">
        <v>-2.5339999999999998</v>
      </c>
      <c r="S6">
        <f t="shared" si="1"/>
        <v>0.82900000000000063</v>
      </c>
    </row>
    <row r="7" spans="1:19" x14ac:dyDescent="0.25">
      <c r="B7" s="103" t="s">
        <v>145</v>
      </c>
      <c r="C7">
        <v>33.701000000000001</v>
      </c>
      <c r="D7">
        <v>31.878</v>
      </c>
      <c r="E7">
        <v>33.552</v>
      </c>
      <c r="F7">
        <v>36.209000000000003</v>
      </c>
      <c r="G7">
        <v>1.823</v>
      </c>
      <c r="H7">
        <v>-2.657</v>
      </c>
      <c r="I7">
        <f t="shared" si="0"/>
        <v>1.1794999999999973</v>
      </c>
      <c r="L7" s="103" t="s">
        <v>145</v>
      </c>
      <c r="M7">
        <v>30.074999999999999</v>
      </c>
      <c r="N7">
        <v>31.878</v>
      </c>
      <c r="O7">
        <v>29.567</v>
      </c>
      <c r="P7">
        <v>32.093000000000004</v>
      </c>
      <c r="Q7">
        <v>-1.8029999999999999</v>
      </c>
      <c r="R7">
        <v>-2.5259999999999998</v>
      </c>
      <c r="S7">
        <f t="shared" si="1"/>
        <v>0.75500000000000256</v>
      </c>
    </row>
    <row r="8" spans="1:19" x14ac:dyDescent="0.25">
      <c r="B8" s="103" t="s">
        <v>146</v>
      </c>
      <c r="C8">
        <v>33.671999999999997</v>
      </c>
      <c r="D8">
        <v>32.198</v>
      </c>
      <c r="E8">
        <v>33.524000000000001</v>
      </c>
      <c r="F8">
        <v>36.180999999999997</v>
      </c>
      <c r="G8">
        <v>1.474</v>
      </c>
      <c r="H8">
        <v>-2.657</v>
      </c>
      <c r="I8">
        <f t="shared" si="0"/>
        <v>1.1805000000000021</v>
      </c>
      <c r="L8" s="103" t="s">
        <v>146</v>
      </c>
      <c r="M8" s="2">
        <v>30.061</v>
      </c>
      <c r="N8">
        <v>32.198</v>
      </c>
      <c r="O8">
        <v>29.513999999999999</v>
      </c>
      <c r="P8">
        <v>32.161000000000001</v>
      </c>
      <c r="Q8">
        <v>-2.137</v>
      </c>
      <c r="R8">
        <v>-2.6469999999999998</v>
      </c>
      <c r="S8">
        <f t="shared" si="1"/>
        <v>0.77649999999999864</v>
      </c>
    </row>
    <row r="9" spans="1:19" x14ac:dyDescent="0.25">
      <c r="B9" s="103" t="s">
        <v>147</v>
      </c>
      <c r="C9">
        <v>33.944000000000003</v>
      </c>
      <c r="D9">
        <v>32.427999999999997</v>
      </c>
      <c r="E9">
        <v>33.835999999999999</v>
      </c>
      <c r="F9">
        <v>36.439</v>
      </c>
      <c r="G9">
        <v>1.516</v>
      </c>
      <c r="H9">
        <v>-2.6030000000000002</v>
      </c>
      <c r="I9">
        <f t="shared" si="0"/>
        <v>1.1935000000000002</v>
      </c>
      <c r="L9" s="103" t="s">
        <v>147</v>
      </c>
      <c r="M9" s="2">
        <v>29.829000000000001</v>
      </c>
      <c r="N9">
        <v>32.427999999999997</v>
      </c>
      <c r="O9">
        <v>29.561</v>
      </c>
      <c r="P9">
        <v>31.484999999999999</v>
      </c>
      <c r="Q9">
        <v>-2.5990000000000002</v>
      </c>
      <c r="R9">
        <v>-1.9239999999999999</v>
      </c>
      <c r="S9">
        <f t="shared" si="1"/>
        <v>0.69399999999999906</v>
      </c>
    </row>
    <row r="10" spans="1:19" x14ac:dyDescent="0.25">
      <c r="B10" s="103" t="s">
        <v>148</v>
      </c>
      <c r="C10">
        <v>34.427</v>
      </c>
      <c r="D10">
        <v>32.503</v>
      </c>
      <c r="E10">
        <v>34.325000000000003</v>
      </c>
      <c r="F10">
        <v>36.948</v>
      </c>
      <c r="G10">
        <v>1.9239999999999999</v>
      </c>
      <c r="H10">
        <v>-2.6230000000000002</v>
      </c>
      <c r="I10">
        <f t="shared" si="0"/>
        <v>1.2094999999999985</v>
      </c>
      <c r="L10" s="103" t="s">
        <v>148</v>
      </c>
      <c r="M10" s="2">
        <v>30.277000000000001</v>
      </c>
      <c r="N10">
        <v>32.503</v>
      </c>
      <c r="O10">
        <v>29.914999999999999</v>
      </c>
      <c r="P10">
        <v>32.170999999999999</v>
      </c>
      <c r="Q10">
        <v>-2.226</v>
      </c>
      <c r="R10">
        <v>-2.2559999999999998</v>
      </c>
      <c r="S10">
        <f t="shared" si="1"/>
        <v>0.76599999999999824</v>
      </c>
    </row>
    <row r="11" spans="1:19" x14ac:dyDescent="0.25">
      <c r="B11" s="103">
        <v>45633</v>
      </c>
      <c r="C11">
        <v>34.225999999999999</v>
      </c>
      <c r="D11">
        <v>32.206000000000003</v>
      </c>
      <c r="E11">
        <v>34.130000000000003</v>
      </c>
      <c r="F11">
        <v>36.762999999999998</v>
      </c>
      <c r="G11">
        <v>2.02</v>
      </c>
      <c r="H11">
        <v>-2.633</v>
      </c>
      <c r="I11">
        <f t="shared" si="0"/>
        <v>1.2205000000000013</v>
      </c>
      <c r="L11" s="103">
        <v>45633</v>
      </c>
      <c r="M11" s="2">
        <v>29.628</v>
      </c>
      <c r="N11">
        <v>32.206000000000003</v>
      </c>
      <c r="O11">
        <v>29.545000000000002</v>
      </c>
      <c r="P11">
        <v>31.041</v>
      </c>
      <c r="Q11">
        <v>-2.5779999999999998</v>
      </c>
      <c r="R11">
        <v>-1.496</v>
      </c>
      <c r="S11">
        <f t="shared" si="1"/>
        <v>0.66499999999999915</v>
      </c>
    </row>
    <row r="12" spans="1:19" x14ac:dyDescent="0.25">
      <c r="B12" s="103">
        <v>45603</v>
      </c>
      <c r="C12">
        <v>34.262</v>
      </c>
      <c r="D12">
        <v>33.054000000000002</v>
      </c>
      <c r="E12">
        <v>34.152000000000001</v>
      </c>
      <c r="F12">
        <v>36.811</v>
      </c>
      <c r="G12">
        <v>1.208</v>
      </c>
      <c r="H12">
        <v>-2.6589999999999998</v>
      </c>
      <c r="I12">
        <f t="shared" si="0"/>
        <v>1.2194999999999965</v>
      </c>
      <c r="L12" s="103">
        <v>45603</v>
      </c>
      <c r="M12" s="2">
        <v>29.7</v>
      </c>
      <c r="N12">
        <v>33.054000000000002</v>
      </c>
      <c r="O12">
        <v>29.736999999999998</v>
      </c>
      <c r="P12">
        <v>31.309000000000001</v>
      </c>
      <c r="Q12">
        <v>-3.3540000000000001</v>
      </c>
      <c r="R12">
        <v>-1.5720000000000001</v>
      </c>
      <c r="S12">
        <f t="shared" si="1"/>
        <v>0.8230000000000004</v>
      </c>
    </row>
    <row r="13" spans="1:19" x14ac:dyDescent="0.25">
      <c r="B13" s="103">
        <v>45572</v>
      </c>
      <c r="C13">
        <v>34.368000000000002</v>
      </c>
      <c r="D13">
        <v>34.005000000000003</v>
      </c>
      <c r="E13">
        <v>34.274000000000001</v>
      </c>
      <c r="F13">
        <v>36.899000000000001</v>
      </c>
      <c r="G13">
        <v>0.36299999999999999</v>
      </c>
      <c r="H13">
        <v>-2.625</v>
      </c>
      <c r="I13">
        <f t="shared" si="0"/>
        <v>1.2184999999999988</v>
      </c>
      <c r="L13" s="103">
        <v>45572</v>
      </c>
      <c r="M13" s="2">
        <v>30.495000000000001</v>
      </c>
      <c r="N13">
        <v>34.005000000000003</v>
      </c>
      <c r="O13">
        <v>30.509</v>
      </c>
      <c r="P13">
        <v>31.863</v>
      </c>
      <c r="Q13">
        <v>-3.51</v>
      </c>
      <c r="R13">
        <v>-1.3540000000000001</v>
      </c>
      <c r="S13">
        <f t="shared" si="1"/>
        <v>0.69099999999999895</v>
      </c>
    </row>
    <row r="14" spans="1:19" x14ac:dyDescent="0.25">
      <c r="B14" s="103">
        <v>45542</v>
      </c>
      <c r="C14">
        <v>34.341000000000001</v>
      </c>
      <c r="D14">
        <v>34.293999999999997</v>
      </c>
      <c r="E14">
        <v>34.247999999999998</v>
      </c>
      <c r="F14">
        <v>36.884</v>
      </c>
      <c r="G14">
        <v>4.7E-2</v>
      </c>
      <c r="H14">
        <v>-2.6360000000000001</v>
      </c>
      <c r="I14">
        <f t="shared" si="0"/>
        <v>1.2250000000000014</v>
      </c>
      <c r="L14" s="103">
        <v>45542</v>
      </c>
      <c r="M14" s="2">
        <v>30.527000000000001</v>
      </c>
      <c r="N14">
        <v>34.293999999999997</v>
      </c>
      <c r="O14">
        <v>30.753</v>
      </c>
      <c r="P14">
        <v>31.777999999999999</v>
      </c>
      <c r="Q14">
        <v>-3.7669999999999999</v>
      </c>
      <c r="R14">
        <v>-1.0249999999999999</v>
      </c>
      <c r="S14">
        <f t="shared" si="1"/>
        <v>0.73849999999999838</v>
      </c>
    </row>
    <row r="15" spans="1:19" x14ac:dyDescent="0.25">
      <c r="B15" s="103">
        <v>45511</v>
      </c>
      <c r="C15">
        <v>34.307000000000002</v>
      </c>
      <c r="D15">
        <v>35.871000000000002</v>
      </c>
      <c r="E15">
        <v>34.213999999999999</v>
      </c>
      <c r="F15">
        <v>36.856000000000002</v>
      </c>
      <c r="G15">
        <v>-1.5640000000000001</v>
      </c>
      <c r="H15">
        <v>-2.6419999999999999</v>
      </c>
      <c r="I15">
        <f t="shared" si="0"/>
        <v>1.2279999999999944</v>
      </c>
      <c r="L15" s="103">
        <v>45511</v>
      </c>
      <c r="M15" s="2">
        <v>30.483000000000001</v>
      </c>
      <c r="N15" s="2">
        <v>35.871000000000002</v>
      </c>
      <c r="O15">
        <v>30.731000000000002</v>
      </c>
      <c r="P15">
        <v>31.501999999999999</v>
      </c>
      <c r="Q15">
        <v>-5.3879999999999999</v>
      </c>
      <c r="R15">
        <v>-0.77100000000000002</v>
      </c>
      <c r="S15">
        <f t="shared" si="1"/>
        <v>0.63350000000000151</v>
      </c>
    </row>
    <row r="16" spans="1:19" x14ac:dyDescent="0.25">
      <c r="B16" s="103">
        <v>45419</v>
      </c>
      <c r="C16">
        <v>34.103999999999999</v>
      </c>
      <c r="D16">
        <v>36.795999999999999</v>
      </c>
      <c r="E16">
        <v>34.011000000000003</v>
      </c>
      <c r="F16">
        <v>36.668999999999997</v>
      </c>
      <c r="G16">
        <v>-2.6920000000000002</v>
      </c>
      <c r="H16">
        <v>-2.6579999999999999</v>
      </c>
      <c r="I16">
        <f t="shared" si="0"/>
        <v>1.2360000000000042</v>
      </c>
      <c r="L16" s="103">
        <v>45419</v>
      </c>
      <c r="M16">
        <v>30.516999999999999</v>
      </c>
      <c r="N16" s="2">
        <v>36.795999999999999</v>
      </c>
      <c r="O16">
        <v>30.802</v>
      </c>
      <c r="P16">
        <v>31.402000000000001</v>
      </c>
      <c r="Q16">
        <v>-6.2789999999999999</v>
      </c>
      <c r="R16">
        <v>-0.6</v>
      </c>
      <c r="S16">
        <f t="shared" si="1"/>
        <v>0.58500000000000085</v>
      </c>
    </row>
    <row r="17" spans="2:19" x14ac:dyDescent="0.25">
      <c r="B17" s="103">
        <v>45389</v>
      </c>
      <c r="C17">
        <v>34.116999999999997</v>
      </c>
      <c r="D17">
        <v>36.901000000000003</v>
      </c>
      <c r="E17">
        <v>33.872999999999998</v>
      </c>
      <c r="F17">
        <v>36.536999999999999</v>
      </c>
      <c r="G17">
        <v>-2.7839999999999998</v>
      </c>
      <c r="H17">
        <v>-2.6640000000000001</v>
      </c>
      <c r="I17">
        <f t="shared" si="0"/>
        <v>1.088000000000001</v>
      </c>
      <c r="L17" s="103">
        <v>45389</v>
      </c>
      <c r="M17">
        <v>30.651</v>
      </c>
      <c r="N17" s="2">
        <v>36.901000000000003</v>
      </c>
      <c r="O17">
        <v>30.93</v>
      </c>
      <c r="P17">
        <v>31.553999999999998</v>
      </c>
      <c r="Q17">
        <v>-6.25</v>
      </c>
      <c r="R17">
        <v>-0.624</v>
      </c>
      <c r="S17">
        <f t="shared" si="1"/>
        <v>0.59099999999999753</v>
      </c>
    </row>
    <row r="18" spans="2:19" x14ac:dyDescent="0.25">
      <c r="B18" s="103">
        <v>45358</v>
      </c>
      <c r="C18">
        <v>34.15</v>
      </c>
      <c r="D18">
        <v>38.348999999999997</v>
      </c>
      <c r="E18">
        <v>33.918999999999997</v>
      </c>
      <c r="F18">
        <v>36.588999999999999</v>
      </c>
      <c r="G18">
        <v>-4.1989999999999998</v>
      </c>
      <c r="H18">
        <v>-2.67</v>
      </c>
      <c r="I18">
        <f t="shared" si="0"/>
        <v>1.1039999999999992</v>
      </c>
      <c r="L18" s="103">
        <v>45358</v>
      </c>
      <c r="M18">
        <v>31.193000000000001</v>
      </c>
      <c r="N18" s="2">
        <v>38.348999999999997</v>
      </c>
      <c r="O18">
        <v>31.484000000000002</v>
      </c>
      <c r="P18">
        <v>32.212000000000003</v>
      </c>
      <c r="Q18">
        <v>-7.1559999999999997</v>
      </c>
      <c r="R18">
        <v>-0.72799999999999998</v>
      </c>
      <c r="S18">
        <f t="shared" si="1"/>
        <v>0.65500000000000114</v>
      </c>
    </row>
    <row r="19" spans="2:19" x14ac:dyDescent="0.25">
      <c r="B19" s="103">
        <v>45329</v>
      </c>
      <c r="C19">
        <v>34.584000000000003</v>
      </c>
      <c r="D19">
        <v>41.716999999999999</v>
      </c>
      <c r="E19">
        <v>34.341000000000001</v>
      </c>
      <c r="F19">
        <v>37.048999999999999</v>
      </c>
      <c r="G19">
        <v>-7.133</v>
      </c>
      <c r="H19">
        <v>-2.7080000000000002</v>
      </c>
      <c r="I19">
        <f t="shared" si="0"/>
        <v>1.1109999999999971</v>
      </c>
      <c r="L19" s="103">
        <v>45329</v>
      </c>
      <c r="M19">
        <v>32.222999999999999</v>
      </c>
      <c r="N19" s="2">
        <v>41.716999999999999</v>
      </c>
      <c r="O19">
        <v>32.478999999999999</v>
      </c>
      <c r="P19">
        <v>32.993000000000002</v>
      </c>
      <c r="Q19">
        <v>-9.4939999999999998</v>
      </c>
      <c r="R19">
        <v>-0.51400000000000001</v>
      </c>
      <c r="S19">
        <f t="shared" si="1"/>
        <v>0.51300000000000523</v>
      </c>
    </row>
    <row r="20" spans="2:19" x14ac:dyDescent="0.25">
      <c r="B20" s="103">
        <v>45298</v>
      </c>
      <c r="C20">
        <v>34.869</v>
      </c>
      <c r="D20">
        <v>41.23</v>
      </c>
      <c r="E20">
        <v>34.619999999999997</v>
      </c>
      <c r="F20">
        <v>37.36</v>
      </c>
      <c r="G20">
        <v>-6.3609999999999998</v>
      </c>
      <c r="H20">
        <v>-2.74</v>
      </c>
      <c r="I20">
        <f t="shared" si="0"/>
        <v>1.1209999999999951</v>
      </c>
      <c r="L20" s="103">
        <v>45298</v>
      </c>
      <c r="M20">
        <v>32.783000000000001</v>
      </c>
      <c r="N20" s="2">
        <v>41.23</v>
      </c>
      <c r="O20">
        <v>32.804000000000002</v>
      </c>
      <c r="P20">
        <v>34.381999999999998</v>
      </c>
      <c r="Q20">
        <v>-8.4469999999999992</v>
      </c>
      <c r="R20">
        <v>-1.5780000000000001</v>
      </c>
      <c r="S20">
        <f t="shared" si="1"/>
        <v>0.81000000000000227</v>
      </c>
    </row>
    <row r="21" spans="2:19" x14ac:dyDescent="0.25">
      <c r="B21" s="103" t="s">
        <v>149</v>
      </c>
      <c r="C21">
        <v>34.841000000000001</v>
      </c>
      <c r="D21">
        <v>41.231999999999999</v>
      </c>
      <c r="E21">
        <v>34.570999999999998</v>
      </c>
      <c r="F21">
        <v>37.345999999999997</v>
      </c>
      <c r="G21">
        <v>-6.391</v>
      </c>
      <c r="H21">
        <v>-2.7749999999999999</v>
      </c>
      <c r="I21">
        <f t="shared" si="0"/>
        <v>1.1174999999999997</v>
      </c>
      <c r="L21" s="103" t="s">
        <v>149</v>
      </c>
      <c r="M21">
        <v>33.54</v>
      </c>
      <c r="N21" s="2">
        <v>41.231999999999999</v>
      </c>
      <c r="O21">
        <v>33.167999999999999</v>
      </c>
      <c r="P21">
        <v>35.625</v>
      </c>
      <c r="Q21">
        <v>-7.6920000000000002</v>
      </c>
      <c r="R21">
        <v>-2.4569999999999999</v>
      </c>
      <c r="S21">
        <f t="shared" si="1"/>
        <v>0.85650000000000404</v>
      </c>
    </row>
    <row r="22" spans="2:19" x14ac:dyDescent="0.25">
      <c r="B22" s="103" t="s">
        <v>150</v>
      </c>
      <c r="C22">
        <v>34.973999999999997</v>
      </c>
      <c r="D22">
        <v>42.302999999999997</v>
      </c>
      <c r="E22">
        <v>34.700000000000003</v>
      </c>
      <c r="F22">
        <v>37.491</v>
      </c>
      <c r="G22">
        <v>-7.3289999999999997</v>
      </c>
      <c r="H22">
        <v>-2.7909999999999999</v>
      </c>
      <c r="I22">
        <f t="shared" si="0"/>
        <v>1.1215000000000046</v>
      </c>
      <c r="L22" s="103" t="s">
        <v>150</v>
      </c>
      <c r="M22">
        <v>33.441000000000003</v>
      </c>
      <c r="N22" s="2">
        <v>42.302999999999997</v>
      </c>
      <c r="O22">
        <v>32.978000000000002</v>
      </c>
      <c r="P22">
        <v>35.822000000000003</v>
      </c>
      <c r="Q22">
        <v>-8.8620000000000001</v>
      </c>
      <c r="R22">
        <v>-2.8439999999999999</v>
      </c>
      <c r="S22">
        <f t="shared" si="1"/>
        <v>0.95900000000000318</v>
      </c>
    </row>
    <row r="23" spans="2:19" x14ac:dyDescent="0.25">
      <c r="B23" s="103" t="s">
        <v>151</v>
      </c>
      <c r="C23">
        <v>34.948999999999998</v>
      </c>
      <c r="D23">
        <v>42.857999999999997</v>
      </c>
      <c r="E23">
        <v>34.676000000000002</v>
      </c>
      <c r="F23">
        <v>37.475999999999999</v>
      </c>
      <c r="G23">
        <v>-7.9089999999999998</v>
      </c>
      <c r="H23">
        <v>-2.8</v>
      </c>
      <c r="I23">
        <f t="shared" si="0"/>
        <v>1.1270000000000024</v>
      </c>
      <c r="L23" s="103" t="s">
        <v>151</v>
      </c>
      <c r="M23">
        <v>34.292000000000002</v>
      </c>
      <c r="N23" s="2">
        <v>42.857999999999997</v>
      </c>
      <c r="O23">
        <v>33.817</v>
      </c>
      <c r="P23">
        <v>37.591000000000001</v>
      </c>
      <c r="Q23">
        <v>-8.5660000000000007</v>
      </c>
      <c r="R23">
        <v>-3.774</v>
      </c>
      <c r="S23">
        <f t="shared" si="1"/>
        <v>1.411999999999999</v>
      </c>
    </row>
    <row r="24" spans="2:19" x14ac:dyDescent="0.25">
      <c r="B24" s="103" t="s">
        <v>152</v>
      </c>
      <c r="C24">
        <v>35.350999999999999</v>
      </c>
      <c r="D24">
        <v>42.84</v>
      </c>
      <c r="E24">
        <v>35.088000000000001</v>
      </c>
      <c r="F24">
        <v>37.901000000000003</v>
      </c>
      <c r="G24">
        <v>-7.4889999999999999</v>
      </c>
      <c r="H24">
        <v>-2.8130000000000002</v>
      </c>
      <c r="I24">
        <f t="shared" si="0"/>
        <v>1.1435000000000031</v>
      </c>
      <c r="L24" s="103" t="s">
        <v>152</v>
      </c>
      <c r="M24">
        <v>35.466000000000001</v>
      </c>
      <c r="N24">
        <v>42.84</v>
      </c>
      <c r="O24">
        <v>34.99</v>
      </c>
      <c r="P24">
        <v>38.262</v>
      </c>
      <c r="Q24">
        <v>-7.3739999999999997</v>
      </c>
      <c r="R24">
        <v>-3.2719999999999998</v>
      </c>
      <c r="S24">
        <f t="shared" si="1"/>
        <v>1.1600000000000037</v>
      </c>
    </row>
    <row r="25" spans="2:19" x14ac:dyDescent="0.25">
      <c r="B25" s="103" t="s">
        <v>153</v>
      </c>
      <c r="C25">
        <v>36.427999999999997</v>
      </c>
      <c r="D25">
        <v>43.152000000000001</v>
      </c>
      <c r="E25">
        <v>36.17</v>
      </c>
      <c r="F25">
        <v>38.965000000000003</v>
      </c>
      <c r="G25">
        <v>-6.7240000000000002</v>
      </c>
      <c r="H25">
        <v>-2.7949999999999999</v>
      </c>
      <c r="I25">
        <f t="shared" si="0"/>
        <v>1.1395000000000053</v>
      </c>
      <c r="L25" s="103" t="s">
        <v>153</v>
      </c>
      <c r="M25">
        <v>36.601999999999997</v>
      </c>
      <c r="N25">
        <v>43.152000000000001</v>
      </c>
      <c r="O25">
        <v>36.159999999999997</v>
      </c>
      <c r="P25">
        <v>39.137999999999998</v>
      </c>
      <c r="Q25">
        <v>-6.55</v>
      </c>
      <c r="R25">
        <v>-2.9780000000000002</v>
      </c>
      <c r="S25">
        <f t="shared" si="1"/>
        <v>1.0470000000000041</v>
      </c>
    </row>
    <row r="26" spans="2:19" x14ac:dyDescent="0.25">
      <c r="B26" s="103" t="s">
        <v>154</v>
      </c>
      <c r="C26">
        <v>36.747999999999998</v>
      </c>
      <c r="D26">
        <v>44.500999999999998</v>
      </c>
      <c r="E26">
        <v>36.506</v>
      </c>
      <c r="F26">
        <v>39.302</v>
      </c>
      <c r="G26">
        <v>-7.7530000000000001</v>
      </c>
      <c r="H26">
        <v>-2.7959999999999998</v>
      </c>
      <c r="I26">
        <f t="shared" si="0"/>
        <v>1.1559999999999988</v>
      </c>
      <c r="L26" s="103" t="s">
        <v>154</v>
      </c>
      <c r="M26">
        <v>37.207000000000001</v>
      </c>
      <c r="N26">
        <v>44.500999999999998</v>
      </c>
      <c r="O26">
        <v>36.950000000000003</v>
      </c>
      <c r="P26">
        <v>39.656999999999996</v>
      </c>
      <c r="Q26">
        <v>-7.2939999999999996</v>
      </c>
      <c r="R26">
        <v>-2.7069999999999999</v>
      </c>
      <c r="S26">
        <f t="shared" si="1"/>
        <v>1.0964999999999989</v>
      </c>
    </row>
    <row r="27" spans="2:19" x14ac:dyDescent="0.25">
      <c r="B27" s="103" t="s">
        <v>155</v>
      </c>
      <c r="C27">
        <v>36.686</v>
      </c>
      <c r="D27">
        <v>44.415999999999997</v>
      </c>
      <c r="E27">
        <v>36.453000000000003</v>
      </c>
      <c r="F27">
        <v>39.226999999999997</v>
      </c>
      <c r="G27">
        <v>-7.73</v>
      </c>
      <c r="H27">
        <v>-2.774</v>
      </c>
      <c r="I27">
        <f t="shared" si="0"/>
        <v>1.1540000000000035</v>
      </c>
      <c r="L27" s="103" t="s">
        <v>155</v>
      </c>
      <c r="M27">
        <v>37.194000000000003</v>
      </c>
      <c r="N27">
        <v>44.415999999999997</v>
      </c>
      <c r="O27">
        <v>37.121000000000002</v>
      </c>
      <c r="P27">
        <v>39.411000000000001</v>
      </c>
      <c r="Q27">
        <v>-7.2220000000000004</v>
      </c>
      <c r="R27">
        <v>-2.29</v>
      </c>
      <c r="S27">
        <f t="shared" si="1"/>
        <v>1.0720000000000027</v>
      </c>
    </row>
    <row r="28" spans="2:19" x14ac:dyDescent="0.25">
      <c r="B28" s="103" t="s">
        <v>156</v>
      </c>
      <c r="C28">
        <v>36.566000000000003</v>
      </c>
      <c r="D28">
        <v>44.256</v>
      </c>
      <c r="E28">
        <v>36.337000000000003</v>
      </c>
      <c r="F28">
        <v>39.100999999999999</v>
      </c>
      <c r="G28">
        <v>-7.69</v>
      </c>
      <c r="H28">
        <v>-2.7639999999999998</v>
      </c>
      <c r="I28">
        <f t="shared" si="0"/>
        <v>1.1529999999999987</v>
      </c>
      <c r="L28" s="103" t="s">
        <v>156</v>
      </c>
      <c r="M28">
        <v>37.973999999999997</v>
      </c>
      <c r="N28">
        <v>44.256</v>
      </c>
      <c r="O28">
        <v>37.658000000000001</v>
      </c>
      <c r="P28">
        <v>40.118000000000002</v>
      </c>
      <c r="Q28">
        <v>-6.282</v>
      </c>
      <c r="R28">
        <v>-2.46</v>
      </c>
      <c r="S28">
        <f t="shared" si="1"/>
        <v>0.91400000000000858</v>
      </c>
    </row>
    <row r="29" spans="2:19" x14ac:dyDescent="0.25">
      <c r="B29" s="103" t="s">
        <v>157</v>
      </c>
      <c r="C29">
        <v>36.307000000000002</v>
      </c>
      <c r="D29">
        <v>44.927999999999997</v>
      </c>
      <c r="E29">
        <v>36.045000000000002</v>
      </c>
      <c r="F29">
        <v>38.701000000000001</v>
      </c>
      <c r="G29">
        <v>-8.6210000000000004</v>
      </c>
      <c r="H29">
        <v>-2.6560000000000001</v>
      </c>
      <c r="I29">
        <f t="shared" si="0"/>
        <v>1.0660000000000025</v>
      </c>
      <c r="L29" s="103" t="s">
        <v>157</v>
      </c>
      <c r="M29">
        <v>38.481999999999999</v>
      </c>
      <c r="N29">
        <v>44.927999999999997</v>
      </c>
      <c r="O29">
        <v>37.895000000000003</v>
      </c>
      <c r="P29">
        <v>41.439</v>
      </c>
      <c r="Q29">
        <v>-6.4459999999999997</v>
      </c>
      <c r="R29">
        <v>-3.544</v>
      </c>
      <c r="S29">
        <f t="shared" si="1"/>
        <v>1.1850000000000023</v>
      </c>
    </row>
    <row r="30" spans="2:19" x14ac:dyDescent="0.25">
      <c r="B30" s="103" t="s">
        <v>158</v>
      </c>
      <c r="C30">
        <v>36.372999999999998</v>
      </c>
      <c r="D30">
        <v>46.335999999999999</v>
      </c>
      <c r="E30">
        <v>36.103999999999999</v>
      </c>
      <c r="F30">
        <v>38.759</v>
      </c>
      <c r="G30">
        <v>-9.9629999999999992</v>
      </c>
      <c r="H30">
        <v>-2.6549999999999998</v>
      </c>
      <c r="I30">
        <f t="shared" si="0"/>
        <v>1.0585000000000022</v>
      </c>
      <c r="L30" s="103" t="s">
        <v>158</v>
      </c>
      <c r="M30">
        <v>43.972999999999999</v>
      </c>
      <c r="N30">
        <v>46.335999999999999</v>
      </c>
      <c r="O30">
        <v>44.523000000000003</v>
      </c>
      <c r="P30">
        <v>45.826000000000001</v>
      </c>
      <c r="Q30">
        <v>-2.363</v>
      </c>
      <c r="R30">
        <v>-1.3029999999999999</v>
      </c>
      <c r="S30">
        <f t="shared" si="1"/>
        <v>1.2015000000000029</v>
      </c>
    </row>
    <row r="31" spans="2:19" x14ac:dyDescent="0.25">
      <c r="B31" s="103" t="s">
        <v>159</v>
      </c>
      <c r="C31">
        <v>36.32</v>
      </c>
      <c r="D31">
        <v>47.024000000000001</v>
      </c>
      <c r="E31">
        <v>36.06</v>
      </c>
      <c r="F31">
        <v>38.704999999999998</v>
      </c>
      <c r="G31">
        <v>-10.704000000000001</v>
      </c>
      <c r="H31">
        <v>-2.645</v>
      </c>
      <c r="I31">
        <f t="shared" si="0"/>
        <v>1.0625</v>
      </c>
      <c r="L31" s="103" t="s">
        <v>159</v>
      </c>
      <c r="M31">
        <v>36.322000000000003</v>
      </c>
      <c r="N31">
        <v>47.024000000000001</v>
      </c>
      <c r="O31">
        <v>35.668999999999997</v>
      </c>
      <c r="P31">
        <v>39.554000000000002</v>
      </c>
      <c r="Q31">
        <v>-10.702</v>
      </c>
      <c r="R31">
        <v>-3.8849999999999998</v>
      </c>
      <c r="S31">
        <f t="shared" si="1"/>
        <v>1.2894999999999968</v>
      </c>
    </row>
    <row r="32" spans="2:19" x14ac:dyDescent="0.25">
      <c r="B32" s="103" t="s">
        <v>160</v>
      </c>
      <c r="C32">
        <v>36.106000000000002</v>
      </c>
      <c r="D32">
        <v>46.738</v>
      </c>
      <c r="E32">
        <v>36.048000000000002</v>
      </c>
      <c r="F32">
        <v>38.152000000000001</v>
      </c>
      <c r="G32">
        <v>-10.632</v>
      </c>
      <c r="H32">
        <v>-2.1040000000000001</v>
      </c>
      <c r="I32">
        <f t="shared" si="0"/>
        <v>0.99399999999999977</v>
      </c>
      <c r="L32" s="103" t="s">
        <v>160</v>
      </c>
      <c r="M32">
        <v>33.055999999999997</v>
      </c>
      <c r="N32">
        <v>46.738</v>
      </c>
      <c r="O32">
        <v>34.146999999999998</v>
      </c>
      <c r="P32">
        <v>34.058999999999997</v>
      </c>
      <c r="Q32">
        <v>-13.682</v>
      </c>
      <c r="R32">
        <v>8.7999999999999995E-2</v>
      </c>
      <c r="S32">
        <f t="shared" si="1"/>
        <v>1.046999999999997</v>
      </c>
    </row>
    <row r="33" spans="2:19" x14ac:dyDescent="0.25">
      <c r="B33" s="103">
        <v>45632</v>
      </c>
      <c r="C33">
        <v>35.606999999999999</v>
      </c>
      <c r="D33">
        <v>46.753</v>
      </c>
      <c r="E33">
        <v>35.555999999999997</v>
      </c>
      <c r="F33">
        <v>37.616</v>
      </c>
      <c r="G33">
        <v>-11.146000000000001</v>
      </c>
      <c r="H33">
        <v>-2.06</v>
      </c>
      <c r="I33">
        <f t="shared" si="0"/>
        <v>0.9789999999999992</v>
      </c>
      <c r="L33" s="103">
        <v>45632</v>
      </c>
      <c r="M33">
        <v>31.63</v>
      </c>
      <c r="N33">
        <v>46.753</v>
      </c>
      <c r="O33">
        <v>32.715000000000003</v>
      </c>
      <c r="P33">
        <v>32.698999999999998</v>
      </c>
      <c r="Q33">
        <v>-15.122999999999999</v>
      </c>
      <c r="R33">
        <v>1.6E-2</v>
      </c>
      <c r="S33">
        <f t="shared" si="1"/>
        <v>1.0770000000000017</v>
      </c>
    </row>
    <row r="34" spans="2:19" x14ac:dyDescent="0.25">
      <c r="B34" s="103">
        <v>45602</v>
      </c>
      <c r="C34">
        <v>36.658000000000001</v>
      </c>
      <c r="D34">
        <v>46.822000000000003</v>
      </c>
      <c r="E34">
        <v>36.613999999999997</v>
      </c>
      <c r="F34">
        <v>38.683</v>
      </c>
      <c r="G34">
        <v>-10.164</v>
      </c>
      <c r="H34">
        <v>-2.069</v>
      </c>
      <c r="I34">
        <f t="shared" si="0"/>
        <v>0.99049999999999727</v>
      </c>
      <c r="L34" s="103">
        <v>45602</v>
      </c>
      <c r="M34">
        <v>34.567</v>
      </c>
      <c r="N34">
        <v>46.822000000000003</v>
      </c>
      <c r="O34">
        <v>34.96</v>
      </c>
      <c r="P34">
        <v>36.65</v>
      </c>
      <c r="Q34">
        <v>-12.255000000000001</v>
      </c>
      <c r="R34">
        <v>-1.69</v>
      </c>
      <c r="S34">
        <f t="shared" si="1"/>
        <v>1.2379999999999995</v>
      </c>
    </row>
    <row r="35" spans="2:19" x14ac:dyDescent="0.25">
      <c r="B35" s="103">
        <v>45571</v>
      </c>
      <c r="C35">
        <v>36.701000000000001</v>
      </c>
      <c r="D35">
        <v>47.271000000000001</v>
      </c>
      <c r="E35">
        <v>36.661000000000001</v>
      </c>
      <c r="F35">
        <v>38.719000000000001</v>
      </c>
      <c r="G35">
        <v>-10.57</v>
      </c>
      <c r="H35">
        <v>-2.0579999999999998</v>
      </c>
      <c r="I35">
        <f t="shared" si="0"/>
        <v>0.98899999999999721</v>
      </c>
      <c r="L35" s="103">
        <v>45571</v>
      </c>
      <c r="M35">
        <v>32.639000000000003</v>
      </c>
      <c r="N35">
        <v>47.271000000000001</v>
      </c>
      <c r="O35">
        <v>32.899000000000001</v>
      </c>
      <c r="P35">
        <v>34.935000000000002</v>
      </c>
      <c r="Q35">
        <v>-14.632</v>
      </c>
      <c r="R35">
        <v>-2.036</v>
      </c>
      <c r="S35">
        <f t="shared" si="1"/>
        <v>1.2779999999999987</v>
      </c>
    </row>
    <row r="36" spans="2:19" x14ac:dyDescent="0.25">
      <c r="B36" s="103">
        <v>45479</v>
      </c>
      <c r="C36">
        <v>37.509</v>
      </c>
      <c r="D36">
        <v>47.286000000000001</v>
      </c>
      <c r="E36">
        <v>37.493000000000002</v>
      </c>
      <c r="F36">
        <v>39.518000000000001</v>
      </c>
      <c r="G36">
        <v>-9.7769999999999992</v>
      </c>
      <c r="H36">
        <v>-2.0249999999999999</v>
      </c>
      <c r="I36">
        <f t="shared" si="0"/>
        <v>0.9964999999999975</v>
      </c>
      <c r="L36" s="103">
        <v>45479</v>
      </c>
      <c r="M36">
        <v>32.314</v>
      </c>
      <c r="N36">
        <v>47.286000000000001</v>
      </c>
      <c r="O36">
        <v>32.545000000000002</v>
      </c>
      <c r="P36">
        <v>33.360999999999997</v>
      </c>
      <c r="Q36">
        <v>-14.972</v>
      </c>
      <c r="R36">
        <v>-0.81599999999999995</v>
      </c>
      <c r="S36">
        <f t="shared" si="1"/>
        <v>0.6390000000000029</v>
      </c>
    </row>
    <row r="37" spans="2:19" x14ac:dyDescent="0.25">
      <c r="B37" s="103">
        <v>45449</v>
      </c>
      <c r="C37">
        <v>38.267000000000003</v>
      </c>
      <c r="D37">
        <v>47.887</v>
      </c>
      <c r="E37">
        <v>38.273000000000003</v>
      </c>
      <c r="F37">
        <v>40.293999999999997</v>
      </c>
      <c r="G37">
        <v>-9.6199999999999992</v>
      </c>
      <c r="H37">
        <v>-2.0209999999999999</v>
      </c>
      <c r="I37">
        <f t="shared" si="0"/>
        <v>1.0165000000000006</v>
      </c>
      <c r="L37" s="103">
        <v>45449</v>
      </c>
      <c r="M37">
        <v>35.817</v>
      </c>
      <c r="N37">
        <v>47.887</v>
      </c>
      <c r="O37">
        <v>36.115000000000002</v>
      </c>
      <c r="P37">
        <v>37.008000000000003</v>
      </c>
      <c r="Q37">
        <v>-12.07</v>
      </c>
      <c r="R37">
        <v>-0.89300000000000002</v>
      </c>
      <c r="S37">
        <f t="shared" si="1"/>
        <v>0.74450000000000216</v>
      </c>
    </row>
    <row r="38" spans="2:19" x14ac:dyDescent="0.25">
      <c r="B38" s="103">
        <v>45418</v>
      </c>
      <c r="C38">
        <v>38.81</v>
      </c>
      <c r="D38">
        <v>47.96</v>
      </c>
      <c r="E38">
        <v>38.819000000000003</v>
      </c>
      <c r="F38">
        <v>40.856999999999999</v>
      </c>
      <c r="G38">
        <v>-9.15</v>
      </c>
      <c r="H38">
        <v>-2.0379999999999998</v>
      </c>
      <c r="I38">
        <f t="shared" si="0"/>
        <v>1.0279999999999987</v>
      </c>
      <c r="L38" s="103">
        <v>45418</v>
      </c>
      <c r="M38">
        <v>36.334000000000003</v>
      </c>
      <c r="N38">
        <v>47.96</v>
      </c>
      <c r="O38">
        <v>36.344000000000001</v>
      </c>
      <c r="P38">
        <v>37.811</v>
      </c>
      <c r="Q38">
        <v>-11.625999999999999</v>
      </c>
      <c r="R38">
        <v>-1.4670000000000001</v>
      </c>
      <c r="S38">
        <f t="shared" si="1"/>
        <v>0.74349999999999739</v>
      </c>
    </row>
    <row r="39" spans="2:19" x14ac:dyDescent="0.25">
      <c r="B39" s="103">
        <v>45388</v>
      </c>
      <c r="C39">
        <v>41.076000000000001</v>
      </c>
      <c r="D39">
        <v>47.902000000000001</v>
      </c>
      <c r="E39">
        <v>41.258000000000003</v>
      </c>
      <c r="F39">
        <v>43.006999999999998</v>
      </c>
      <c r="G39">
        <v>-6.8259999999999996</v>
      </c>
      <c r="H39">
        <v>-1.7490000000000001</v>
      </c>
      <c r="I39">
        <f t="shared" si="0"/>
        <v>1.0564999999999998</v>
      </c>
      <c r="L39" s="103">
        <v>45388</v>
      </c>
      <c r="M39">
        <v>39.475999999999999</v>
      </c>
      <c r="N39">
        <v>47.902000000000001</v>
      </c>
      <c r="O39">
        <v>40.787999999999997</v>
      </c>
      <c r="P39">
        <v>40.198999999999998</v>
      </c>
      <c r="Q39">
        <v>-8.4260000000000002</v>
      </c>
      <c r="R39">
        <v>0.58899999999999997</v>
      </c>
      <c r="S39">
        <f t="shared" si="1"/>
        <v>1.0174999999999983</v>
      </c>
    </row>
    <row r="40" spans="2:19" x14ac:dyDescent="0.25">
      <c r="B40" s="103">
        <v>45357</v>
      </c>
      <c r="C40">
        <v>39.686999999999998</v>
      </c>
      <c r="D40">
        <v>48.173000000000002</v>
      </c>
      <c r="E40">
        <v>39.6</v>
      </c>
      <c r="F40">
        <v>41.408000000000001</v>
      </c>
      <c r="G40">
        <v>-8.4860000000000007</v>
      </c>
      <c r="H40">
        <v>-1.8080000000000001</v>
      </c>
      <c r="I40">
        <f t="shared" si="0"/>
        <v>0.81700000000000728</v>
      </c>
      <c r="L40" s="103">
        <v>45357</v>
      </c>
      <c r="M40" s="2">
        <v>39.561999999999998</v>
      </c>
      <c r="N40">
        <v>48.173000000000002</v>
      </c>
      <c r="O40">
        <v>41.334000000000003</v>
      </c>
      <c r="P40">
        <v>39.9</v>
      </c>
      <c r="Q40">
        <v>-8.6110000000000007</v>
      </c>
      <c r="R40">
        <v>1.4339999999999999</v>
      </c>
      <c r="S40">
        <f t="shared" si="1"/>
        <v>1.0550000000000068</v>
      </c>
    </row>
    <row r="41" spans="2:19" x14ac:dyDescent="0.25">
      <c r="B41" s="103" t="s">
        <v>161</v>
      </c>
      <c r="C41">
        <v>39.683999999999997</v>
      </c>
      <c r="D41">
        <v>48.305999999999997</v>
      </c>
      <c r="E41">
        <v>39.630000000000003</v>
      </c>
      <c r="F41">
        <v>41.417000000000002</v>
      </c>
      <c r="G41">
        <v>-8.6219999999999999</v>
      </c>
      <c r="H41">
        <v>-1.7869999999999999</v>
      </c>
      <c r="I41">
        <f t="shared" si="0"/>
        <v>0.83950000000000102</v>
      </c>
      <c r="L41" s="103" t="s">
        <v>161</v>
      </c>
      <c r="M41" s="2">
        <v>37.682000000000002</v>
      </c>
      <c r="N41">
        <v>48.305999999999997</v>
      </c>
      <c r="O41">
        <v>39.497</v>
      </c>
      <c r="P41">
        <v>37.895000000000003</v>
      </c>
      <c r="Q41">
        <v>-10.624000000000001</v>
      </c>
      <c r="R41">
        <v>1.6020000000000001</v>
      </c>
      <c r="S41">
        <f t="shared" si="1"/>
        <v>1.0139999999999958</v>
      </c>
    </row>
    <row r="42" spans="2:19" x14ac:dyDescent="0.25">
      <c r="B42" s="103" t="s">
        <v>162</v>
      </c>
      <c r="C42">
        <v>40.085000000000001</v>
      </c>
      <c r="D42">
        <v>48.085000000000001</v>
      </c>
      <c r="E42">
        <v>40.005000000000003</v>
      </c>
      <c r="F42">
        <v>41.747999999999998</v>
      </c>
      <c r="G42">
        <v>-8</v>
      </c>
      <c r="H42">
        <v>-1.7430000000000001</v>
      </c>
      <c r="I42">
        <f t="shared" si="0"/>
        <v>0.7914999999999992</v>
      </c>
      <c r="L42" s="103" t="s">
        <v>162</v>
      </c>
      <c r="M42" s="2">
        <v>36.72</v>
      </c>
      <c r="N42">
        <v>48.085000000000001</v>
      </c>
      <c r="O42">
        <v>38.033999999999999</v>
      </c>
      <c r="P42">
        <v>37.14</v>
      </c>
      <c r="Q42">
        <v>-11.365</v>
      </c>
      <c r="R42">
        <v>0.89400000000000002</v>
      </c>
      <c r="S42">
        <f t="shared" si="1"/>
        <v>0.86700000000000443</v>
      </c>
    </row>
    <row r="43" spans="2:19" x14ac:dyDescent="0.25">
      <c r="B43" s="103" t="s">
        <v>163</v>
      </c>
      <c r="C43">
        <v>40.58</v>
      </c>
      <c r="D43">
        <v>48.24</v>
      </c>
      <c r="E43">
        <v>40.465000000000003</v>
      </c>
      <c r="F43">
        <v>42.411000000000001</v>
      </c>
      <c r="G43">
        <v>-7.66</v>
      </c>
      <c r="H43">
        <v>-1.946</v>
      </c>
      <c r="I43">
        <f t="shared" si="0"/>
        <v>0.85800000000000409</v>
      </c>
      <c r="L43" s="103" t="s">
        <v>163</v>
      </c>
      <c r="M43" s="2">
        <v>41.290999999999997</v>
      </c>
      <c r="N43">
        <v>48.24</v>
      </c>
      <c r="O43">
        <v>41.578000000000003</v>
      </c>
      <c r="P43">
        <v>41.978999999999999</v>
      </c>
      <c r="Q43">
        <v>-6.9489999999999998</v>
      </c>
      <c r="R43">
        <v>-0.40100000000000002</v>
      </c>
      <c r="S43">
        <f t="shared" si="1"/>
        <v>0.48750000000000426</v>
      </c>
    </row>
    <row r="44" spans="2:19" x14ac:dyDescent="0.25">
      <c r="B44" s="103" t="s">
        <v>164</v>
      </c>
      <c r="C44">
        <v>40.723999999999997</v>
      </c>
      <c r="D44">
        <v>49.58</v>
      </c>
      <c r="E44">
        <v>40.652999999999999</v>
      </c>
      <c r="F44">
        <v>42.344999999999999</v>
      </c>
      <c r="G44">
        <v>-8.8559999999999999</v>
      </c>
      <c r="H44">
        <v>-1.6919999999999999</v>
      </c>
      <c r="I44">
        <f t="shared" si="0"/>
        <v>0.77499999999999858</v>
      </c>
      <c r="L44" s="103" t="s">
        <v>164</v>
      </c>
      <c r="M44" s="2">
        <v>42.604999999999997</v>
      </c>
      <c r="N44">
        <v>49.58</v>
      </c>
      <c r="O44">
        <v>43.067999999999998</v>
      </c>
      <c r="P44">
        <v>43.296999999999997</v>
      </c>
      <c r="Q44">
        <v>-6.9749999999999996</v>
      </c>
      <c r="R44">
        <v>-0.22900000000000001</v>
      </c>
      <c r="S44">
        <f t="shared" si="1"/>
        <v>0.57750000000000057</v>
      </c>
    </row>
    <row r="45" spans="2:19" x14ac:dyDescent="0.25">
      <c r="B45" s="103" t="s">
        <v>165</v>
      </c>
      <c r="C45">
        <v>41.039000000000001</v>
      </c>
      <c r="D45">
        <v>49.271000000000001</v>
      </c>
      <c r="E45">
        <v>40.921999999999997</v>
      </c>
      <c r="F45">
        <v>42.668999999999997</v>
      </c>
      <c r="G45">
        <v>-8.2319999999999993</v>
      </c>
      <c r="H45">
        <v>-1.7470000000000001</v>
      </c>
      <c r="I45">
        <f t="shared" si="0"/>
        <v>0.75649999999999551</v>
      </c>
      <c r="L45" s="103" t="s">
        <v>165</v>
      </c>
      <c r="M45" s="2">
        <v>43.906999999999996</v>
      </c>
      <c r="N45">
        <v>49.271000000000001</v>
      </c>
      <c r="O45">
        <v>44.396000000000001</v>
      </c>
      <c r="P45">
        <v>44.359000000000002</v>
      </c>
      <c r="Q45">
        <v>-5.3639999999999999</v>
      </c>
      <c r="R45">
        <v>3.6999999999999998E-2</v>
      </c>
      <c r="S45">
        <f t="shared" si="1"/>
        <v>0.47050000000000125</v>
      </c>
    </row>
    <row r="46" spans="2:19" x14ac:dyDescent="0.25">
      <c r="B46" s="103" t="s">
        <v>166</v>
      </c>
      <c r="C46">
        <v>40.98</v>
      </c>
      <c r="D46">
        <v>49.267000000000003</v>
      </c>
      <c r="E46">
        <v>40.908000000000001</v>
      </c>
      <c r="F46">
        <v>42.594000000000001</v>
      </c>
      <c r="G46">
        <v>-8.2870000000000008</v>
      </c>
      <c r="H46">
        <v>-1.6859999999999999</v>
      </c>
      <c r="I46">
        <f t="shared" si="0"/>
        <v>0.7710000000000079</v>
      </c>
      <c r="L46" s="103" t="s">
        <v>166</v>
      </c>
      <c r="M46" s="2">
        <v>42.203000000000003</v>
      </c>
      <c r="N46">
        <v>49.267000000000003</v>
      </c>
      <c r="O46">
        <v>42.631</v>
      </c>
      <c r="P46">
        <v>42.567999999999998</v>
      </c>
      <c r="Q46">
        <v>-7.0640000000000001</v>
      </c>
      <c r="R46">
        <v>6.3E-2</v>
      </c>
      <c r="S46">
        <f t="shared" si="1"/>
        <v>0.39649999999999608</v>
      </c>
    </row>
    <row r="47" spans="2:19" x14ac:dyDescent="0.25">
      <c r="B47" s="103" t="s">
        <v>167</v>
      </c>
      <c r="C47">
        <v>40.981000000000002</v>
      </c>
      <c r="D47">
        <v>49.866</v>
      </c>
      <c r="E47">
        <v>40.904000000000003</v>
      </c>
      <c r="F47">
        <v>42.593000000000004</v>
      </c>
      <c r="G47">
        <v>-8.8849999999999998</v>
      </c>
      <c r="H47">
        <v>-1.6890000000000001</v>
      </c>
      <c r="I47">
        <f t="shared" si="0"/>
        <v>0.7675000000000054</v>
      </c>
      <c r="L47" s="103" t="s">
        <v>167</v>
      </c>
      <c r="M47" s="2">
        <v>42.627000000000002</v>
      </c>
      <c r="N47">
        <v>49.866</v>
      </c>
      <c r="O47">
        <v>42.854999999999997</v>
      </c>
      <c r="P47">
        <v>43.232999999999997</v>
      </c>
      <c r="Q47">
        <v>-7.2389999999999999</v>
      </c>
      <c r="R47">
        <v>-0.378</v>
      </c>
      <c r="S47">
        <f t="shared" si="1"/>
        <v>0.41699999999999449</v>
      </c>
    </row>
    <row r="48" spans="2:19" x14ac:dyDescent="0.25">
      <c r="B48" s="103" t="s">
        <v>168</v>
      </c>
      <c r="C48">
        <v>40.985999999999997</v>
      </c>
      <c r="D48">
        <v>50.31</v>
      </c>
      <c r="E48">
        <v>40.895000000000003</v>
      </c>
      <c r="F48">
        <v>42.603000000000002</v>
      </c>
      <c r="G48">
        <v>-9.3239999999999998</v>
      </c>
      <c r="H48">
        <v>-1.708</v>
      </c>
      <c r="I48">
        <f t="shared" si="0"/>
        <v>0.76300000000000523</v>
      </c>
      <c r="L48" s="103" t="s">
        <v>168</v>
      </c>
      <c r="M48" s="2">
        <v>42.892000000000003</v>
      </c>
      <c r="N48">
        <v>50.31</v>
      </c>
      <c r="O48">
        <v>43.302</v>
      </c>
      <c r="P48">
        <v>43.392000000000003</v>
      </c>
      <c r="Q48">
        <v>-7.4180000000000001</v>
      </c>
      <c r="R48">
        <v>-0.09</v>
      </c>
      <c r="S48">
        <f t="shared" si="1"/>
        <v>0.45499999999999829</v>
      </c>
    </row>
    <row r="49" spans="2:19" x14ac:dyDescent="0.25">
      <c r="B49" s="103" t="s">
        <v>169</v>
      </c>
      <c r="C49">
        <v>41.064</v>
      </c>
      <c r="D49">
        <v>50.584000000000003</v>
      </c>
      <c r="E49">
        <v>41.039000000000001</v>
      </c>
      <c r="F49">
        <v>42.576000000000001</v>
      </c>
      <c r="G49">
        <v>-9.52</v>
      </c>
      <c r="H49">
        <v>-1.5369999999999999</v>
      </c>
      <c r="I49">
        <f t="shared" si="0"/>
        <v>0.74350000000000449</v>
      </c>
      <c r="L49" s="103" t="s">
        <v>169</v>
      </c>
      <c r="M49">
        <v>43.262999999999998</v>
      </c>
      <c r="N49">
        <v>50.584000000000003</v>
      </c>
      <c r="O49">
        <v>43.695</v>
      </c>
      <c r="P49">
        <v>43.698999999999998</v>
      </c>
      <c r="Q49">
        <v>-7.3209999999999997</v>
      </c>
      <c r="R49">
        <v>-4.0000000000000001E-3</v>
      </c>
      <c r="S49">
        <f t="shared" si="1"/>
        <v>0.4340000000000046</v>
      </c>
    </row>
    <row r="50" spans="2:19" x14ac:dyDescent="0.25">
      <c r="B50" s="103" t="s">
        <v>170</v>
      </c>
      <c r="C50">
        <v>41.116999999999997</v>
      </c>
      <c r="D50">
        <v>50.712000000000003</v>
      </c>
      <c r="E50">
        <v>41.066000000000003</v>
      </c>
      <c r="F50">
        <v>42.86</v>
      </c>
      <c r="G50">
        <v>-9.5950000000000006</v>
      </c>
      <c r="H50">
        <v>-1.794</v>
      </c>
      <c r="I50">
        <f t="shared" si="0"/>
        <v>0.84600000000000364</v>
      </c>
      <c r="L50" s="103" t="s">
        <v>170</v>
      </c>
      <c r="M50">
        <v>43.381</v>
      </c>
      <c r="N50">
        <v>50.712000000000003</v>
      </c>
      <c r="O50">
        <v>43.515999999999998</v>
      </c>
      <c r="P50">
        <v>44.381</v>
      </c>
      <c r="Q50">
        <v>-7.3310000000000004</v>
      </c>
      <c r="R50">
        <v>-0.86499999999999999</v>
      </c>
      <c r="S50">
        <f t="shared" si="1"/>
        <v>0.56749999999999545</v>
      </c>
    </row>
    <row r="51" spans="2:19" x14ac:dyDescent="0.25">
      <c r="B51" s="103" t="s">
        <v>171</v>
      </c>
      <c r="C51">
        <v>41.152000000000001</v>
      </c>
      <c r="D51">
        <v>49.999000000000002</v>
      </c>
      <c r="E51">
        <v>41.078000000000003</v>
      </c>
      <c r="F51">
        <v>43.451000000000001</v>
      </c>
      <c r="G51">
        <v>-8.8469999999999995</v>
      </c>
      <c r="H51">
        <v>-2.3730000000000002</v>
      </c>
      <c r="I51">
        <f t="shared" si="0"/>
        <v>1.1124999999999972</v>
      </c>
      <c r="L51" s="103" t="s">
        <v>171</v>
      </c>
      <c r="M51">
        <v>42.017000000000003</v>
      </c>
      <c r="N51">
        <v>49.999000000000002</v>
      </c>
      <c r="O51">
        <v>41.728999999999999</v>
      </c>
      <c r="P51">
        <v>43.86</v>
      </c>
      <c r="Q51">
        <v>-7.9820000000000002</v>
      </c>
      <c r="R51">
        <v>-2.1309999999999998</v>
      </c>
      <c r="S51">
        <f t="shared" si="1"/>
        <v>0.77749999999999631</v>
      </c>
    </row>
    <row r="52" spans="2:19" x14ac:dyDescent="0.25">
      <c r="B52" s="103" t="s">
        <v>172</v>
      </c>
      <c r="C52">
        <v>41.243000000000002</v>
      </c>
      <c r="D52">
        <v>50.61</v>
      </c>
      <c r="E52">
        <v>41.165999999999997</v>
      </c>
      <c r="F52">
        <v>44.091000000000001</v>
      </c>
      <c r="G52">
        <v>-9.3670000000000009</v>
      </c>
      <c r="H52">
        <v>-2.9249999999999998</v>
      </c>
      <c r="I52">
        <f t="shared" si="0"/>
        <v>1.3855000000000004</v>
      </c>
      <c r="L52" s="103" t="s">
        <v>172</v>
      </c>
      <c r="M52">
        <v>43.817</v>
      </c>
      <c r="N52">
        <v>50.61</v>
      </c>
      <c r="O52">
        <v>43.768000000000001</v>
      </c>
      <c r="P52">
        <v>45.524999999999999</v>
      </c>
      <c r="Q52">
        <v>-6.7930000000000001</v>
      </c>
      <c r="R52">
        <v>-1.7569999999999999</v>
      </c>
      <c r="S52">
        <f t="shared" si="1"/>
        <v>0.82950000000000301</v>
      </c>
    </row>
    <row r="53" spans="2:19" x14ac:dyDescent="0.25">
      <c r="B53" s="103" t="s">
        <v>173</v>
      </c>
      <c r="C53">
        <v>42.363999999999997</v>
      </c>
      <c r="D53">
        <v>50.598999999999997</v>
      </c>
      <c r="E53">
        <v>42.073999999999998</v>
      </c>
      <c r="F53">
        <v>44.896000000000001</v>
      </c>
      <c r="G53">
        <v>-8.2349999999999994</v>
      </c>
      <c r="H53">
        <v>-2.8220000000000001</v>
      </c>
      <c r="I53">
        <f t="shared" si="0"/>
        <v>1.1210000000000022</v>
      </c>
      <c r="L53" s="103" t="s">
        <v>173</v>
      </c>
      <c r="M53">
        <v>45.503999999999998</v>
      </c>
      <c r="N53">
        <v>50.598999999999997</v>
      </c>
      <c r="O53">
        <v>45.594999999999999</v>
      </c>
      <c r="P53">
        <v>47.734999999999999</v>
      </c>
      <c r="Q53">
        <v>-5.0949999999999998</v>
      </c>
      <c r="R53">
        <v>-2.14</v>
      </c>
      <c r="S53">
        <f t="shared" si="1"/>
        <v>1.1610000000000014</v>
      </c>
    </row>
    <row r="54" spans="2:19" x14ac:dyDescent="0.25">
      <c r="B54" s="103" t="s">
        <v>174</v>
      </c>
      <c r="C54">
        <v>41.107999999999997</v>
      </c>
      <c r="D54">
        <v>50.539000000000001</v>
      </c>
      <c r="E54">
        <v>41.744</v>
      </c>
      <c r="F54">
        <v>47.384</v>
      </c>
      <c r="G54">
        <v>-9.4309999999999992</v>
      </c>
      <c r="H54">
        <v>-5.64</v>
      </c>
      <c r="I54">
        <f t="shared" si="0"/>
        <v>3.4560000000000031</v>
      </c>
      <c r="L54" s="103" t="s">
        <v>174</v>
      </c>
      <c r="M54">
        <v>45.509</v>
      </c>
      <c r="N54">
        <v>50.539000000000001</v>
      </c>
      <c r="O54">
        <v>45.713000000000001</v>
      </c>
      <c r="P54">
        <v>47.277000000000001</v>
      </c>
      <c r="Q54">
        <v>-5.03</v>
      </c>
      <c r="R54">
        <v>-1.5640000000000001</v>
      </c>
      <c r="S54">
        <f t="shared" si="1"/>
        <v>0.98600000000000421</v>
      </c>
    </row>
    <row r="55" spans="2:19" x14ac:dyDescent="0.25">
      <c r="B55" s="103" t="s">
        <v>175</v>
      </c>
      <c r="C55">
        <v>41.113999999999997</v>
      </c>
      <c r="D55">
        <v>52.640999999999998</v>
      </c>
      <c r="E55">
        <v>41.65</v>
      </c>
      <c r="F55">
        <v>47.545000000000002</v>
      </c>
      <c r="G55">
        <v>-11.526999999999999</v>
      </c>
      <c r="H55">
        <v>-5.8949999999999996</v>
      </c>
      <c r="I55">
        <f t="shared" si="0"/>
        <v>3.4834999999999994</v>
      </c>
      <c r="L55" s="103" t="s">
        <v>175</v>
      </c>
      <c r="M55">
        <v>45.828000000000003</v>
      </c>
      <c r="N55">
        <v>52.640999999999998</v>
      </c>
      <c r="O55">
        <v>45.956000000000003</v>
      </c>
      <c r="P55">
        <v>47.957999999999998</v>
      </c>
      <c r="Q55">
        <v>-6.8129999999999997</v>
      </c>
      <c r="R55">
        <v>-2.0019999999999998</v>
      </c>
      <c r="S55">
        <f t="shared" si="1"/>
        <v>1.1289999999999978</v>
      </c>
    </row>
    <row r="56" spans="2:19" x14ac:dyDescent="0.25">
      <c r="B56" s="103">
        <v>45570</v>
      </c>
      <c r="C56">
        <v>41.048999999999999</v>
      </c>
      <c r="D56">
        <v>52.286000000000001</v>
      </c>
      <c r="E56">
        <v>41.728000000000002</v>
      </c>
      <c r="F56">
        <v>46.98</v>
      </c>
      <c r="G56">
        <v>-11.237</v>
      </c>
      <c r="H56">
        <v>-5.2519999999999998</v>
      </c>
      <c r="I56">
        <f t="shared" si="0"/>
        <v>3.3049999999999997</v>
      </c>
      <c r="L56" s="103">
        <v>45570</v>
      </c>
      <c r="M56">
        <v>44.887</v>
      </c>
      <c r="N56">
        <v>52.286000000000001</v>
      </c>
      <c r="O56">
        <v>45.063000000000002</v>
      </c>
      <c r="P56">
        <v>46.564999999999998</v>
      </c>
      <c r="Q56">
        <v>-7.399</v>
      </c>
      <c r="R56">
        <v>-1.502</v>
      </c>
      <c r="S56">
        <f t="shared" si="1"/>
        <v>0.9269999999999996</v>
      </c>
    </row>
    <row r="57" spans="2:19" x14ac:dyDescent="0.25">
      <c r="B57" s="103">
        <v>45540</v>
      </c>
      <c r="C57">
        <v>41.067999999999998</v>
      </c>
      <c r="D57">
        <v>52.210999999999999</v>
      </c>
      <c r="E57">
        <v>41.695999999999998</v>
      </c>
      <c r="F57">
        <v>46.140999999999998</v>
      </c>
      <c r="G57">
        <v>-11.143000000000001</v>
      </c>
      <c r="H57">
        <v>-4.4450000000000003</v>
      </c>
      <c r="I57">
        <f t="shared" si="0"/>
        <v>2.8504999999999967</v>
      </c>
      <c r="L57" s="103">
        <v>45540</v>
      </c>
      <c r="M57">
        <v>46.036000000000001</v>
      </c>
      <c r="N57">
        <v>52.210999999999999</v>
      </c>
      <c r="O57">
        <v>46.338000000000001</v>
      </c>
      <c r="P57">
        <v>47.384</v>
      </c>
      <c r="Q57">
        <v>-6.1749999999999998</v>
      </c>
      <c r="R57">
        <v>-1.046</v>
      </c>
      <c r="S57">
        <f t="shared" si="1"/>
        <v>0.82500000000000284</v>
      </c>
    </row>
    <row r="58" spans="2:19" x14ac:dyDescent="0.25">
      <c r="B58" s="103">
        <v>45509</v>
      </c>
      <c r="C58">
        <v>41.084000000000003</v>
      </c>
      <c r="D58">
        <v>52.08</v>
      </c>
      <c r="E58">
        <v>41.822000000000003</v>
      </c>
      <c r="F58">
        <v>47.268000000000001</v>
      </c>
      <c r="G58">
        <v>-10.996</v>
      </c>
      <c r="H58">
        <v>-5.4459999999999997</v>
      </c>
      <c r="I58">
        <f t="shared" si="0"/>
        <v>3.4609999999999985</v>
      </c>
      <c r="L58" s="103">
        <v>45509</v>
      </c>
      <c r="M58">
        <v>46.265999999999998</v>
      </c>
      <c r="N58">
        <v>52.08</v>
      </c>
      <c r="O58">
        <v>46.22</v>
      </c>
      <c r="P58">
        <v>48.459000000000003</v>
      </c>
      <c r="Q58">
        <v>-5.8140000000000001</v>
      </c>
      <c r="R58">
        <v>-2.2389999999999999</v>
      </c>
      <c r="S58">
        <f t="shared" si="1"/>
        <v>1.0735000000000028</v>
      </c>
    </row>
    <row r="59" spans="2:19" x14ac:dyDescent="0.25">
      <c r="B59" s="103">
        <v>45478</v>
      </c>
      <c r="C59">
        <v>41.21</v>
      </c>
      <c r="D59">
        <v>52.127000000000002</v>
      </c>
      <c r="E59">
        <v>41.881999999999998</v>
      </c>
      <c r="F59">
        <v>47.332000000000001</v>
      </c>
      <c r="G59">
        <v>-10.917</v>
      </c>
      <c r="H59">
        <v>-5.45</v>
      </c>
      <c r="I59">
        <f t="shared" si="0"/>
        <v>3.3969999999999985</v>
      </c>
      <c r="L59" s="103">
        <v>45478</v>
      </c>
      <c r="M59">
        <v>47.100999999999999</v>
      </c>
      <c r="N59">
        <v>52.127000000000002</v>
      </c>
      <c r="O59">
        <v>47.026000000000003</v>
      </c>
      <c r="P59">
        <v>49.496000000000002</v>
      </c>
      <c r="Q59">
        <v>-5.0259999999999998</v>
      </c>
      <c r="R59">
        <v>-2.4700000000000002</v>
      </c>
      <c r="S59">
        <f t="shared" si="1"/>
        <v>1.1600000000000037</v>
      </c>
    </row>
    <row r="60" spans="2:19" x14ac:dyDescent="0.25">
      <c r="B60" s="103">
        <v>45448</v>
      </c>
      <c r="C60">
        <v>41.317</v>
      </c>
      <c r="D60">
        <v>52.19</v>
      </c>
      <c r="E60">
        <v>42.005000000000003</v>
      </c>
      <c r="F60">
        <v>46.723999999999997</v>
      </c>
      <c r="G60">
        <v>-10.872999999999999</v>
      </c>
      <c r="H60">
        <v>-4.7190000000000003</v>
      </c>
      <c r="I60">
        <f t="shared" si="0"/>
        <v>3.0474999999999994</v>
      </c>
      <c r="L60" s="103">
        <v>45448</v>
      </c>
      <c r="M60">
        <v>47.031999999999996</v>
      </c>
      <c r="N60">
        <v>52.19</v>
      </c>
      <c r="O60">
        <v>47.426000000000002</v>
      </c>
      <c r="P60">
        <v>48.676000000000002</v>
      </c>
      <c r="Q60">
        <v>-5.1580000000000004</v>
      </c>
      <c r="R60">
        <v>-1.25</v>
      </c>
      <c r="S60">
        <f t="shared" si="1"/>
        <v>1.0190000000000055</v>
      </c>
    </row>
    <row r="61" spans="2:19" x14ac:dyDescent="0.25">
      <c r="B61" s="103">
        <v>45356</v>
      </c>
      <c r="C61">
        <v>40.887999999999998</v>
      </c>
      <c r="D61">
        <v>52.688000000000002</v>
      </c>
      <c r="E61">
        <v>41.765999999999998</v>
      </c>
      <c r="F61">
        <v>46.713999999999999</v>
      </c>
      <c r="G61">
        <v>-11.8</v>
      </c>
      <c r="H61">
        <v>-4.9480000000000004</v>
      </c>
      <c r="I61">
        <f t="shared" si="0"/>
        <v>3.3519999999999968</v>
      </c>
      <c r="L61" s="103">
        <v>45356</v>
      </c>
      <c r="M61" s="2">
        <v>46.305999999999997</v>
      </c>
      <c r="N61">
        <v>52.688000000000002</v>
      </c>
      <c r="O61">
        <v>46.496000000000002</v>
      </c>
      <c r="P61">
        <v>48.436999999999998</v>
      </c>
      <c r="Q61">
        <v>-6.3819999999999997</v>
      </c>
      <c r="R61">
        <v>-1.9410000000000001</v>
      </c>
      <c r="S61">
        <f t="shared" si="1"/>
        <v>1.160499999999999</v>
      </c>
    </row>
    <row r="62" spans="2:19" x14ac:dyDescent="0.25">
      <c r="B62" s="103">
        <v>45327</v>
      </c>
      <c r="C62">
        <v>41.256999999999998</v>
      </c>
      <c r="D62">
        <v>53.01</v>
      </c>
      <c r="E62">
        <v>42.11</v>
      </c>
      <c r="F62">
        <v>46.853999999999999</v>
      </c>
      <c r="G62">
        <v>-11.753</v>
      </c>
      <c r="H62">
        <v>-4.7439999999999998</v>
      </c>
      <c r="I62">
        <f t="shared" si="0"/>
        <v>3.2250000000000014</v>
      </c>
      <c r="L62" s="103">
        <v>45327</v>
      </c>
      <c r="M62" s="2">
        <v>46.420999999999999</v>
      </c>
      <c r="N62">
        <v>53.01</v>
      </c>
      <c r="O62">
        <v>46.664999999999999</v>
      </c>
      <c r="P62">
        <v>48.536999999999999</v>
      </c>
      <c r="Q62">
        <v>-6.5890000000000004</v>
      </c>
      <c r="R62">
        <v>-1.8720000000000001</v>
      </c>
      <c r="S62">
        <f t="shared" si="1"/>
        <v>1.1799999999999997</v>
      </c>
    </row>
    <row r="63" spans="2:19" x14ac:dyDescent="0.25">
      <c r="B63" s="103">
        <v>45296</v>
      </c>
      <c r="C63">
        <v>40.841000000000001</v>
      </c>
      <c r="D63">
        <v>51.371000000000002</v>
      </c>
      <c r="E63">
        <v>41.46</v>
      </c>
      <c r="F63">
        <v>47.174999999999997</v>
      </c>
      <c r="G63">
        <v>-10.53</v>
      </c>
      <c r="H63">
        <v>-5.7149999999999999</v>
      </c>
      <c r="I63">
        <f t="shared" si="0"/>
        <v>3.4764999999999944</v>
      </c>
      <c r="L63" s="103">
        <v>45296</v>
      </c>
      <c r="M63" s="2">
        <v>46.67</v>
      </c>
      <c r="N63">
        <v>51.371000000000002</v>
      </c>
      <c r="O63">
        <v>46.137</v>
      </c>
      <c r="P63">
        <v>50.203000000000003</v>
      </c>
      <c r="Q63">
        <v>-4.7009999999999996</v>
      </c>
      <c r="R63">
        <v>-4.0659999999999998</v>
      </c>
      <c r="S63">
        <f t="shared" si="1"/>
        <v>1.5</v>
      </c>
    </row>
    <row r="64" spans="2:19" x14ac:dyDescent="0.25">
      <c r="B64" s="103" t="s">
        <v>176</v>
      </c>
      <c r="C64">
        <v>40.393999999999998</v>
      </c>
      <c r="D64">
        <v>51.387999999999998</v>
      </c>
      <c r="E64">
        <v>41.088000000000001</v>
      </c>
      <c r="F64">
        <v>46.389000000000003</v>
      </c>
      <c r="G64">
        <v>-10.994</v>
      </c>
      <c r="H64">
        <v>-5.3010000000000002</v>
      </c>
      <c r="I64">
        <f t="shared" si="0"/>
        <v>3.3445000000000036</v>
      </c>
      <c r="L64" s="103" t="s">
        <v>176</v>
      </c>
      <c r="M64" s="2">
        <v>46.197000000000003</v>
      </c>
      <c r="N64">
        <v>51.387999999999998</v>
      </c>
      <c r="O64">
        <v>45.844000000000001</v>
      </c>
      <c r="P64">
        <v>49.186</v>
      </c>
      <c r="Q64">
        <v>-5.1909999999999998</v>
      </c>
      <c r="R64">
        <v>-3.3420000000000001</v>
      </c>
      <c r="S64">
        <f t="shared" si="1"/>
        <v>1.3179999999999978</v>
      </c>
    </row>
    <row r="65" spans="2:19" x14ac:dyDescent="0.25">
      <c r="B65" s="103" t="s">
        <v>177</v>
      </c>
      <c r="C65">
        <v>40.607999999999997</v>
      </c>
      <c r="D65">
        <v>50.598999999999997</v>
      </c>
      <c r="E65">
        <v>40.826000000000001</v>
      </c>
      <c r="F65">
        <v>46.670999999999999</v>
      </c>
      <c r="G65">
        <v>-9.9909999999999997</v>
      </c>
      <c r="H65">
        <v>-5.8449999999999998</v>
      </c>
      <c r="I65">
        <f t="shared" si="0"/>
        <v>3.140500000000003</v>
      </c>
      <c r="L65" s="103" t="s">
        <v>177</v>
      </c>
      <c r="M65" s="2">
        <v>46.929000000000002</v>
      </c>
      <c r="N65">
        <v>50.598999999999997</v>
      </c>
      <c r="O65">
        <v>45.752000000000002</v>
      </c>
      <c r="P65">
        <v>51.396000000000001</v>
      </c>
      <c r="Q65">
        <v>-3.67</v>
      </c>
      <c r="R65">
        <v>-5.6440000000000001</v>
      </c>
      <c r="S65">
        <f t="shared" si="1"/>
        <v>1.644999999999996</v>
      </c>
    </row>
    <row r="66" spans="2:19" x14ac:dyDescent="0.25">
      <c r="B66" s="103" t="s">
        <v>178</v>
      </c>
      <c r="C66">
        <v>40.487000000000002</v>
      </c>
      <c r="D66">
        <v>50.524000000000001</v>
      </c>
      <c r="E66">
        <v>40.841999999999999</v>
      </c>
      <c r="F66">
        <v>46.807000000000002</v>
      </c>
      <c r="G66">
        <v>-10.037000000000001</v>
      </c>
      <c r="H66">
        <v>-5.9649999999999999</v>
      </c>
      <c r="I66">
        <f t="shared" ref="I66:I129" si="2">IFERROR(AVERAGE(E66,F66)-C66,"")</f>
        <v>3.3374999999999986</v>
      </c>
      <c r="L66" s="103" t="s">
        <v>178</v>
      </c>
      <c r="M66" s="2">
        <v>46.402000000000001</v>
      </c>
      <c r="N66">
        <v>50.524000000000001</v>
      </c>
      <c r="O66">
        <v>45.128</v>
      </c>
      <c r="P66">
        <v>50.863</v>
      </c>
      <c r="Q66">
        <v>-4.1219999999999999</v>
      </c>
      <c r="R66">
        <v>-5.7350000000000003</v>
      </c>
      <c r="S66">
        <f t="shared" ref="S66:S129" si="3">IFERROR(AVERAGE(O66,P66)-M66,"")</f>
        <v>1.5934999999999988</v>
      </c>
    </row>
    <row r="67" spans="2:19" x14ac:dyDescent="0.25">
      <c r="B67" s="103" t="s">
        <v>179</v>
      </c>
      <c r="C67">
        <v>40.453000000000003</v>
      </c>
      <c r="D67">
        <v>50.756</v>
      </c>
      <c r="E67">
        <v>40.984999999999999</v>
      </c>
      <c r="F67">
        <v>46.787999999999997</v>
      </c>
      <c r="G67">
        <v>-10.303000000000001</v>
      </c>
      <c r="H67">
        <v>-5.8029999999999999</v>
      </c>
      <c r="I67">
        <f t="shared" si="2"/>
        <v>3.4334999999999951</v>
      </c>
      <c r="L67" s="103" t="s">
        <v>179</v>
      </c>
      <c r="M67" s="2">
        <v>46.182000000000002</v>
      </c>
      <c r="N67">
        <v>50.756</v>
      </c>
      <c r="O67">
        <v>45.329000000000001</v>
      </c>
      <c r="P67">
        <v>49.868000000000002</v>
      </c>
      <c r="Q67">
        <v>-4.5739999999999998</v>
      </c>
      <c r="R67">
        <v>-4.5389999999999997</v>
      </c>
      <c r="S67">
        <f t="shared" si="3"/>
        <v>1.4164999999999992</v>
      </c>
    </row>
    <row r="68" spans="2:19" x14ac:dyDescent="0.25">
      <c r="B68" s="103" t="s">
        <v>180</v>
      </c>
      <c r="C68">
        <v>40.314999999999998</v>
      </c>
      <c r="D68">
        <v>50.457000000000001</v>
      </c>
      <c r="E68">
        <v>40.585999999999999</v>
      </c>
      <c r="F68">
        <v>46.600999999999999</v>
      </c>
      <c r="G68">
        <v>-10.141999999999999</v>
      </c>
      <c r="H68">
        <v>-6.0149999999999997</v>
      </c>
      <c r="I68">
        <f t="shared" si="2"/>
        <v>3.2785000000000011</v>
      </c>
      <c r="L68" s="103" t="s">
        <v>180</v>
      </c>
      <c r="M68" s="2">
        <v>46.287999999999997</v>
      </c>
      <c r="N68">
        <v>50.457000000000001</v>
      </c>
      <c r="O68">
        <v>44.984000000000002</v>
      </c>
      <c r="P68">
        <v>51.067</v>
      </c>
      <c r="Q68">
        <v>-4.1689999999999996</v>
      </c>
      <c r="R68">
        <v>-6.0830000000000002</v>
      </c>
      <c r="S68">
        <f t="shared" si="3"/>
        <v>1.7375000000000043</v>
      </c>
    </row>
    <row r="69" spans="2:19" x14ac:dyDescent="0.25">
      <c r="B69" s="103" t="s">
        <v>181</v>
      </c>
      <c r="C69">
        <v>40.445</v>
      </c>
      <c r="D69">
        <v>50.718000000000004</v>
      </c>
      <c r="E69">
        <v>40.515999999999998</v>
      </c>
      <c r="F69">
        <v>46.567</v>
      </c>
      <c r="G69">
        <v>-10.273</v>
      </c>
      <c r="H69">
        <v>-6.0510000000000002</v>
      </c>
      <c r="I69">
        <f t="shared" si="2"/>
        <v>3.0964999999999989</v>
      </c>
      <c r="L69" s="103" t="s">
        <v>181</v>
      </c>
      <c r="M69" s="2">
        <v>46.761000000000003</v>
      </c>
      <c r="N69">
        <v>50.718000000000004</v>
      </c>
      <c r="O69">
        <v>45.14</v>
      </c>
      <c r="P69">
        <v>52.115000000000002</v>
      </c>
      <c r="Q69">
        <v>-3.9569999999999999</v>
      </c>
      <c r="R69">
        <v>-6.9749999999999996</v>
      </c>
      <c r="S69">
        <f t="shared" si="3"/>
        <v>1.8664999999999949</v>
      </c>
    </row>
    <row r="70" spans="2:19" x14ac:dyDescent="0.25">
      <c r="B70" s="103" t="s">
        <v>182</v>
      </c>
      <c r="C70">
        <v>40.420999999999999</v>
      </c>
      <c r="D70">
        <v>51.052</v>
      </c>
      <c r="E70">
        <v>40.631999999999998</v>
      </c>
      <c r="F70">
        <v>46.646000000000001</v>
      </c>
      <c r="G70">
        <v>-10.631</v>
      </c>
      <c r="H70">
        <v>-6.0140000000000002</v>
      </c>
      <c r="I70">
        <f t="shared" si="2"/>
        <v>3.2179999999999964</v>
      </c>
      <c r="L70" s="103" t="s">
        <v>182</v>
      </c>
      <c r="M70" s="2">
        <v>47.014000000000003</v>
      </c>
      <c r="N70">
        <v>51.052</v>
      </c>
      <c r="O70">
        <v>45.22</v>
      </c>
      <c r="P70">
        <v>52.353999999999999</v>
      </c>
      <c r="Q70">
        <v>-4.0380000000000003</v>
      </c>
      <c r="R70">
        <v>-7.1340000000000003</v>
      </c>
      <c r="S70">
        <f t="shared" si="3"/>
        <v>1.7729999999999961</v>
      </c>
    </row>
    <row r="71" spans="2:19" x14ac:dyDescent="0.25">
      <c r="B71" s="103" t="s">
        <v>183</v>
      </c>
      <c r="C71">
        <v>40.247</v>
      </c>
      <c r="D71">
        <v>50.430999999999997</v>
      </c>
      <c r="E71">
        <v>40.677</v>
      </c>
      <c r="F71">
        <v>46.235999999999997</v>
      </c>
      <c r="G71">
        <v>-10.183999999999999</v>
      </c>
      <c r="H71">
        <v>-5.5590000000000002</v>
      </c>
      <c r="I71">
        <f t="shared" si="2"/>
        <v>3.2094999999999985</v>
      </c>
      <c r="L71" s="103" t="s">
        <v>183</v>
      </c>
      <c r="M71" s="2">
        <v>45.566000000000003</v>
      </c>
      <c r="N71">
        <v>50.430999999999997</v>
      </c>
      <c r="O71">
        <v>44.533999999999999</v>
      </c>
      <c r="P71">
        <v>49.945999999999998</v>
      </c>
      <c r="Q71">
        <v>-4.8650000000000002</v>
      </c>
      <c r="R71">
        <v>-5.4119999999999999</v>
      </c>
      <c r="S71">
        <f t="shared" si="3"/>
        <v>1.6739999999999924</v>
      </c>
    </row>
    <row r="72" spans="2:19" x14ac:dyDescent="0.25">
      <c r="B72" s="103" t="s">
        <v>184</v>
      </c>
      <c r="C72">
        <v>39.959000000000003</v>
      </c>
      <c r="D72">
        <v>50.493000000000002</v>
      </c>
      <c r="E72">
        <v>40.524999999999999</v>
      </c>
      <c r="F72">
        <v>45.554000000000002</v>
      </c>
      <c r="G72">
        <v>-10.534000000000001</v>
      </c>
      <c r="H72">
        <v>-5.0289999999999999</v>
      </c>
      <c r="I72">
        <f t="shared" si="2"/>
        <v>3.0805000000000007</v>
      </c>
      <c r="L72" s="103" t="s">
        <v>184</v>
      </c>
      <c r="M72">
        <v>44.652000000000001</v>
      </c>
      <c r="N72">
        <v>50.493000000000002</v>
      </c>
      <c r="O72">
        <v>44.25</v>
      </c>
      <c r="P72">
        <v>47.789000000000001</v>
      </c>
      <c r="Q72">
        <v>-5.8410000000000002</v>
      </c>
      <c r="R72">
        <v>-3.5390000000000001</v>
      </c>
      <c r="S72">
        <f t="shared" si="3"/>
        <v>1.3674999999999997</v>
      </c>
    </row>
    <row r="73" spans="2:19" x14ac:dyDescent="0.25">
      <c r="B73" s="103" t="s">
        <v>185</v>
      </c>
      <c r="C73">
        <v>39.99</v>
      </c>
      <c r="D73">
        <v>51.067</v>
      </c>
      <c r="E73">
        <v>40.536999999999999</v>
      </c>
      <c r="F73">
        <v>45.911999999999999</v>
      </c>
      <c r="G73">
        <v>-11.077</v>
      </c>
      <c r="H73">
        <v>-5.375</v>
      </c>
      <c r="I73">
        <f t="shared" si="2"/>
        <v>3.234499999999997</v>
      </c>
      <c r="L73" s="103" t="s">
        <v>185</v>
      </c>
      <c r="M73">
        <v>45.02</v>
      </c>
      <c r="N73">
        <v>51.067</v>
      </c>
      <c r="O73">
        <v>44.331000000000003</v>
      </c>
      <c r="P73">
        <v>48.768999999999998</v>
      </c>
      <c r="Q73">
        <v>-6.0469999999999997</v>
      </c>
      <c r="R73">
        <v>-4.4379999999999997</v>
      </c>
      <c r="S73">
        <f t="shared" si="3"/>
        <v>1.529999999999994</v>
      </c>
    </row>
    <row r="74" spans="2:19" x14ac:dyDescent="0.25">
      <c r="B74" s="103" t="s">
        <v>186</v>
      </c>
      <c r="C74">
        <v>39.979999999999997</v>
      </c>
      <c r="D74">
        <v>49.902999999999999</v>
      </c>
      <c r="E74">
        <v>40.590000000000003</v>
      </c>
      <c r="F74">
        <v>44.686999999999998</v>
      </c>
      <c r="G74">
        <v>-9.923</v>
      </c>
      <c r="H74">
        <v>-4.0970000000000004</v>
      </c>
      <c r="I74">
        <f t="shared" si="2"/>
        <v>2.6585000000000036</v>
      </c>
      <c r="L74" s="103" t="s">
        <v>186</v>
      </c>
      <c r="M74">
        <v>44.661000000000001</v>
      </c>
      <c r="N74">
        <v>49.902999999999999</v>
      </c>
      <c r="O74">
        <v>44.694000000000003</v>
      </c>
      <c r="P74">
        <v>46.978000000000002</v>
      </c>
      <c r="Q74">
        <v>-5.242</v>
      </c>
      <c r="R74">
        <v>-2.2839999999999998</v>
      </c>
      <c r="S74">
        <f t="shared" si="3"/>
        <v>1.1749999999999972</v>
      </c>
    </row>
    <row r="75" spans="2:19" x14ac:dyDescent="0.25">
      <c r="B75" s="103" t="s">
        <v>187</v>
      </c>
      <c r="C75">
        <v>39.822000000000003</v>
      </c>
      <c r="D75">
        <v>49.524000000000001</v>
      </c>
      <c r="E75">
        <v>40.470999999999997</v>
      </c>
      <c r="F75">
        <v>45.204999999999998</v>
      </c>
      <c r="G75">
        <v>-9.702</v>
      </c>
      <c r="H75">
        <v>-4.734</v>
      </c>
      <c r="I75">
        <f t="shared" si="2"/>
        <v>3.0159999999999911</v>
      </c>
      <c r="L75" s="103" t="s">
        <v>187</v>
      </c>
      <c r="M75">
        <v>43.277000000000001</v>
      </c>
      <c r="N75">
        <v>49.524000000000001</v>
      </c>
      <c r="O75">
        <v>43.243000000000002</v>
      </c>
      <c r="P75">
        <v>45.43</v>
      </c>
      <c r="Q75">
        <v>-6.2469999999999999</v>
      </c>
      <c r="R75">
        <v>-2.1869999999999998</v>
      </c>
      <c r="S75">
        <f t="shared" si="3"/>
        <v>1.0594999999999999</v>
      </c>
    </row>
    <row r="76" spans="2:19" x14ac:dyDescent="0.25">
      <c r="B76" s="103">
        <v>45630</v>
      </c>
      <c r="C76">
        <v>39.723999999999997</v>
      </c>
      <c r="D76">
        <v>49.438000000000002</v>
      </c>
      <c r="E76">
        <v>40.405000000000001</v>
      </c>
      <c r="F76">
        <v>44.841000000000001</v>
      </c>
      <c r="G76">
        <v>-9.7140000000000004</v>
      </c>
      <c r="H76">
        <v>-4.4359999999999999</v>
      </c>
      <c r="I76">
        <f t="shared" si="2"/>
        <v>2.899000000000008</v>
      </c>
      <c r="L76" s="103">
        <v>45630</v>
      </c>
      <c r="M76">
        <v>42.625</v>
      </c>
      <c r="N76">
        <v>49.438000000000002</v>
      </c>
      <c r="O76">
        <v>42.872</v>
      </c>
      <c r="P76">
        <v>44.500999999999998</v>
      </c>
      <c r="Q76">
        <v>-6.8129999999999997</v>
      </c>
      <c r="R76">
        <v>-1.629</v>
      </c>
      <c r="S76">
        <f t="shared" si="3"/>
        <v>1.0614999999999952</v>
      </c>
    </row>
    <row r="77" spans="2:19" x14ac:dyDescent="0.25">
      <c r="B77" s="103">
        <v>45600</v>
      </c>
      <c r="C77">
        <v>39.645000000000003</v>
      </c>
      <c r="D77">
        <v>48.356000000000002</v>
      </c>
      <c r="E77">
        <v>39.982999999999997</v>
      </c>
      <c r="F77">
        <v>45.237000000000002</v>
      </c>
      <c r="G77">
        <v>-8.7110000000000003</v>
      </c>
      <c r="H77">
        <v>-5.2539999999999996</v>
      </c>
      <c r="I77">
        <f t="shared" si="2"/>
        <v>2.9649999999999963</v>
      </c>
      <c r="L77" s="103">
        <v>45600</v>
      </c>
      <c r="M77">
        <v>41.435000000000002</v>
      </c>
      <c r="N77">
        <v>48.356000000000002</v>
      </c>
      <c r="O77">
        <v>41.393000000000001</v>
      </c>
      <c r="P77">
        <v>43.564</v>
      </c>
      <c r="Q77">
        <v>-6.9210000000000003</v>
      </c>
      <c r="R77">
        <v>-2.1709999999999998</v>
      </c>
      <c r="S77">
        <f t="shared" si="3"/>
        <v>1.0434999999999945</v>
      </c>
    </row>
    <row r="78" spans="2:19" x14ac:dyDescent="0.25">
      <c r="B78" s="103">
        <v>45569</v>
      </c>
      <c r="C78">
        <v>39.502000000000002</v>
      </c>
      <c r="D78">
        <v>46.116</v>
      </c>
      <c r="E78">
        <v>39.558999999999997</v>
      </c>
      <c r="F78">
        <v>44.948999999999998</v>
      </c>
      <c r="G78">
        <v>-6.6139999999999999</v>
      </c>
      <c r="H78">
        <v>-5.39</v>
      </c>
      <c r="I78">
        <f t="shared" si="2"/>
        <v>2.7519999999999953</v>
      </c>
      <c r="L78" s="103">
        <v>45569</v>
      </c>
      <c r="M78">
        <v>41.311999999999998</v>
      </c>
      <c r="N78">
        <v>46.116</v>
      </c>
      <c r="O78">
        <v>40.819000000000003</v>
      </c>
      <c r="P78">
        <v>44.762999999999998</v>
      </c>
      <c r="Q78">
        <v>-4.8040000000000003</v>
      </c>
      <c r="R78">
        <v>-3.944</v>
      </c>
      <c r="S78">
        <f t="shared" si="3"/>
        <v>1.4789999999999992</v>
      </c>
    </row>
    <row r="79" spans="2:19" x14ac:dyDescent="0.25">
      <c r="B79" s="103">
        <v>45539</v>
      </c>
      <c r="C79">
        <v>39.491</v>
      </c>
      <c r="D79">
        <v>46.241</v>
      </c>
      <c r="E79">
        <v>39.883000000000003</v>
      </c>
      <c r="F79">
        <v>44.709000000000003</v>
      </c>
      <c r="G79">
        <v>-6.75</v>
      </c>
      <c r="H79">
        <v>-4.8259999999999996</v>
      </c>
      <c r="I79">
        <f t="shared" si="2"/>
        <v>2.8050000000000068</v>
      </c>
      <c r="L79" s="103">
        <v>45539</v>
      </c>
      <c r="M79">
        <v>41.281999999999996</v>
      </c>
      <c r="N79">
        <v>46.241</v>
      </c>
      <c r="O79">
        <v>40.731000000000002</v>
      </c>
      <c r="P79">
        <v>44.317</v>
      </c>
      <c r="Q79">
        <v>-4.9589999999999996</v>
      </c>
      <c r="R79">
        <v>-3.5859999999999999</v>
      </c>
      <c r="S79">
        <f t="shared" si="3"/>
        <v>1.2420000000000044</v>
      </c>
    </row>
    <row r="80" spans="2:19" x14ac:dyDescent="0.25">
      <c r="B80" s="103">
        <v>45508</v>
      </c>
      <c r="C80">
        <v>39.512999999999998</v>
      </c>
      <c r="D80">
        <v>46.439</v>
      </c>
      <c r="E80">
        <v>39.994999999999997</v>
      </c>
      <c r="F80">
        <v>44.646999999999998</v>
      </c>
      <c r="G80">
        <v>-6.9260000000000002</v>
      </c>
      <c r="H80">
        <v>-4.6520000000000001</v>
      </c>
      <c r="I80">
        <f t="shared" si="2"/>
        <v>2.8079999999999998</v>
      </c>
      <c r="L80" s="103">
        <v>45508</v>
      </c>
      <c r="M80">
        <v>41.438000000000002</v>
      </c>
      <c r="N80">
        <v>46.439</v>
      </c>
      <c r="O80">
        <v>40.770000000000003</v>
      </c>
      <c r="P80">
        <v>44.831000000000003</v>
      </c>
      <c r="Q80">
        <v>-5.0010000000000003</v>
      </c>
      <c r="R80">
        <v>-4.0609999999999999</v>
      </c>
      <c r="S80">
        <f t="shared" si="3"/>
        <v>1.3624999999999972</v>
      </c>
    </row>
    <row r="81" spans="2:19" x14ac:dyDescent="0.25">
      <c r="B81" s="103">
        <v>45416</v>
      </c>
      <c r="C81">
        <v>39.722000000000001</v>
      </c>
      <c r="D81">
        <v>45.741</v>
      </c>
      <c r="E81">
        <v>39.451000000000001</v>
      </c>
      <c r="F81">
        <v>45.453000000000003</v>
      </c>
      <c r="G81">
        <v>-6.0190000000000001</v>
      </c>
      <c r="H81">
        <v>-6.0019999999999998</v>
      </c>
      <c r="I81">
        <f t="shared" si="2"/>
        <v>2.7299999999999969</v>
      </c>
      <c r="L81" s="103">
        <v>45416</v>
      </c>
      <c r="M81">
        <v>41.465000000000003</v>
      </c>
      <c r="N81">
        <v>45.741</v>
      </c>
      <c r="O81">
        <v>40.561</v>
      </c>
      <c r="P81">
        <v>45.82</v>
      </c>
      <c r="Q81">
        <v>-4.2759999999999998</v>
      </c>
      <c r="R81">
        <v>-5.2590000000000003</v>
      </c>
      <c r="S81">
        <f t="shared" si="3"/>
        <v>1.7254999999999967</v>
      </c>
    </row>
    <row r="82" spans="2:19" x14ac:dyDescent="0.25">
      <c r="B82" s="103">
        <v>45386</v>
      </c>
      <c r="C82">
        <v>40.002000000000002</v>
      </c>
      <c r="D82">
        <v>45.424999999999997</v>
      </c>
      <c r="E82">
        <v>39.386000000000003</v>
      </c>
      <c r="F82">
        <v>45.975000000000001</v>
      </c>
      <c r="G82">
        <v>-5.423</v>
      </c>
      <c r="H82">
        <v>-6.5890000000000004</v>
      </c>
      <c r="I82">
        <f t="shared" si="2"/>
        <v>2.6784999999999997</v>
      </c>
      <c r="L82" s="103">
        <v>45386</v>
      </c>
      <c r="M82" s="2">
        <v>42.323999999999998</v>
      </c>
      <c r="N82">
        <v>45.424999999999997</v>
      </c>
      <c r="O82">
        <v>40.691000000000003</v>
      </c>
      <c r="P82">
        <v>47.329000000000001</v>
      </c>
      <c r="Q82">
        <v>-3.101</v>
      </c>
      <c r="R82">
        <v>-6.6379999999999999</v>
      </c>
      <c r="S82">
        <f t="shared" si="3"/>
        <v>1.686000000000007</v>
      </c>
    </row>
    <row r="83" spans="2:19" x14ac:dyDescent="0.25">
      <c r="B83" s="103">
        <v>45355</v>
      </c>
      <c r="C83">
        <v>40.027999999999999</v>
      </c>
      <c r="D83">
        <v>45.466000000000001</v>
      </c>
      <c r="E83">
        <v>39.406999999999996</v>
      </c>
      <c r="F83">
        <v>45.786000000000001</v>
      </c>
      <c r="G83">
        <v>-5.4379999999999997</v>
      </c>
      <c r="H83">
        <v>-6.3789999999999996</v>
      </c>
      <c r="I83">
        <f t="shared" si="2"/>
        <v>2.5685000000000002</v>
      </c>
      <c r="L83" s="103">
        <v>45355</v>
      </c>
      <c r="M83" s="2">
        <v>42.503999999999998</v>
      </c>
      <c r="N83">
        <v>45.466000000000001</v>
      </c>
      <c r="O83">
        <v>40.865000000000002</v>
      </c>
      <c r="P83">
        <v>47.435000000000002</v>
      </c>
      <c r="Q83">
        <v>-2.9620000000000002</v>
      </c>
      <c r="R83">
        <v>-6.57</v>
      </c>
      <c r="S83">
        <f t="shared" si="3"/>
        <v>1.6460000000000079</v>
      </c>
    </row>
    <row r="84" spans="2:19" x14ac:dyDescent="0.25">
      <c r="B84" s="103">
        <v>45326</v>
      </c>
      <c r="C84">
        <v>40.036999999999999</v>
      </c>
      <c r="D84">
        <v>45.295000000000002</v>
      </c>
      <c r="E84">
        <v>39.442999999999998</v>
      </c>
      <c r="F84">
        <v>45.823</v>
      </c>
      <c r="G84">
        <v>-5.258</v>
      </c>
      <c r="H84">
        <v>-6.38</v>
      </c>
      <c r="I84">
        <f t="shared" si="2"/>
        <v>2.5959999999999965</v>
      </c>
      <c r="L84" s="103">
        <v>45326</v>
      </c>
      <c r="M84" s="2">
        <v>41.451999999999998</v>
      </c>
      <c r="N84">
        <v>45.295000000000002</v>
      </c>
      <c r="O84">
        <v>39.914000000000001</v>
      </c>
      <c r="P84">
        <v>46.223999999999997</v>
      </c>
      <c r="Q84">
        <v>-3.843</v>
      </c>
      <c r="R84">
        <v>-6.31</v>
      </c>
      <c r="S84">
        <f t="shared" si="3"/>
        <v>1.6170000000000044</v>
      </c>
    </row>
    <row r="85" spans="2:19" x14ac:dyDescent="0.25">
      <c r="B85" s="103" t="s">
        <v>188</v>
      </c>
      <c r="C85">
        <v>39.759</v>
      </c>
      <c r="D85">
        <v>45.377000000000002</v>
      </c>
      <c r="E85">
        <v>39.609000000000002</v>
      </c>
      <c r="F85">
        <v>44.938000000000002</v>
      </c>
      <c r="G85">
        <v>-5.6180000000000003</v>
      </c>
      <c r="H85">
        <v>-5.3289999999999997</v>
      </c>
      <c r="I85">
        <f t="shared" si="2"/>
        <v>2.5144999999999982</v>
      </c>
      <c r="L85" s="103">
        <v>45295</v>
      </c>
      <c r="M85" s="2" t="s">
        <v>189</v>
      </c>
      <c r="N85" t="s">
        <v>189</v>
      </c>
      <c r="O85" t="s">
        <v>189</v>
      </c>
      <c r="P85" t="s">
        <v>189</v>
      </c>
      <c r="Q85" t="s">
        <v>189</v>
      </c>
      <c r="R85">
        <v>-3.99</v>
      </c>
      <c r="S85" t="str">
        <f t="shared" si="3"/>
        <v/>
      </c>
    </row>
    <row r="86" spans="2:19" x14ac:dyDescent="0.25">
      <c r="B86" s="103" t="s">
        <v>190</v>
      </c>
      <c r="C86">
        <v>39.67</v>
      </c>
      <c r="D86">
        <v>45.408000000000001</v>
      </c>
      <c r="E86">
        <v>39.493000000000002</v>
      </c>
      <c r="F86">
        <v>44.896000000000001</v>
      </c>
      <c r="G86">
        <v>-5.7380000000000004</v>
      </c>
      <c r="H86">
        <v>-5.4029999999999996</v>
      </c>
      <c r="I86">
        <f t="shared" si="2"/>
        <v>2.5245000000000033</v>
      </c>
      <c r="L86" s="103" t="s">
        <v>191</v>
      </c>
      <c r="M86" s="2" t="s">
        <v>189</v>
      </c>
      <c r="N86" t="s">
        <v>189</v>
      </c>
      <c r="O86" t="s">
        <v>189</v>
      </c>
      <c r="P86" t="s">
        <v>189</v>
      </c>
      <c r="Q86" t="s">
        <v>189</v>
      </c>
      <c r="R86">
        <v>-3.99</v>
      </c>
      <c r="S86" t="str">
        <f t="shared" si="3"/>
        <v/>
      </c>
    </row>
    <row r="87" spans="2:19" x14ac:dyDescent="0.25">
      <c r="B87" s="103" t="s">
        <v>192</v>
      </c>
      <c r="C87">
        <v>40.276000000000003</v>
      </c>
      <c r="D87">
        <v>45.524999999999999</v>
      </c>
      <c r="E87">
        <v>40.082000000000001</v>
      </c>
      <c r="F87">
        <v>45.618000000000002</v>
      </c>
      <c r="G87">
        <v>-5.2489999999999997</v>
      </c>
      <c r="H87">
        <v>-5.5359999999999996</v>
      </c>
      <c r="I87">
        <f t="shared" si="2"/>
        <v>2.5739999999999981</v>
      </c>
      <c r="L87" s="103" t="s">
        <v>188</v>
      </c>
      <c r="M87" s="2">
        <v>40.338000000000001</v>
      </c>
      <c r="N87">
        <v>45.377000000000002</v>
      </c>
      <c r="O87">
        <v>39.640999999999998</v>
      </c>
      <c r="P87">
        <v>43.631</v>
      </c>
      <c r="Q87">
        <v>-5.0389999999999997</v>
      </c>
      <c r="R87">
        <v>-3.99</v>
      </c>
      <c r="S87">
        <f t="shared" si="3"/>
        <v>1.2979999999999947</v>
      </c>
    </row>
    <row r="88" spans="2:19" x14ac:dyDescent="0.25">
      <c r="B88" s="103" t="s">
        <v>193</v>
      </c>
      <c r="C88">
        <v>40.048000000000002</v>
      </c>
      <c r="D88">
        <v>44.973999999999997</v>
      </c>
      <c r="E88">
        <v>40.332999999999998</v>
      </c>
      <c r="F88">
        <v>45.179000000000002</v>
      </c>
      <c r="G88">
        <v>-4.9260000000000002</v>
      </c>
      <c r="H88">
        <v>-4.8460000000000001</v>
      </c>
      <c r="I88">
        <f t="shared" si="2"/>
        <v>2.7079999999999984</v>
      </c>
      <c r="L88" s="103" t="s">
        <v>190</v>
      </c>
      <c r="M88" s="2">
        <v>40.174999999999997</v>
      </c>
      <c r="N88">
        <v>45.408000000000001</v>
      </c>
      <c r="O88">
        <v>39.393999999999998</v>
      </c>
      <c r="P88">
        <v>43.179000000000002</v>
      </c>
      <c r="Q88">
        <v>-5.2329999999999997</v>
      </c>
      <c r="R88">
        <v>-3.7850000000000001</v>
      </c>
      <c r="S88">
        <f t="shared" si="3"/>
        <v>1.1115000000000066</v>
      </c>
    </row>
    <row r="89" spans="2:19" x14ac:dyDescent="0.25">
      <c r="B89" s="103" t="s">
        <v>194</v>
      </c>
      <c r="C89">
        <v>40.017000000000003</v>
      </c>
      <c r="D89">
        <v>44.643000000000001</v>
      </c>
      <c r="E89">
        <v>40.012</v>
      </c>
      <c r="F89">
        <v>45.234999999999999</v>
      </c>
      <c r="G89">
        <v>-4.6260000000000003</v>
      </c>
      <c r="H89">
        <v>-5.2229999999999999</v>
      </c>
      <c r="I89">
        <f t="shared" si="2"/>
        <v>2.6064999999999969</v>
      </c>
      <c r="L89" s="103" t="s">
        <v>192</v>
      </c>
      <c r="M89" s="2">
        <v>40.834000000000003</v>
      </c>
      <c r="N89">
        <v>45.524999999999999</v>
      </c>
      <c r="O89">
        <v>40.317</v>
      </c>
      <c r="P89">
        <v>43.732999999999997</v>
      </c>
      <c r="Q89">
        <v>-4.6909999999999998</v>
      </c>
      <c r="R89">
        <v>-3.4159999999999999</v>
      </c>
      <c r="S89">
        <f t="shared" si="3"/>
        <v>1.1909999999999954</v>
      </c>
    </row>
    <row r="90" spans="2:19" x14ac:dyDescent="0.25">
      <c r="B90" s="103" t="s">
        <v>195</v>
      </c>
      <c r="C90">
        <v>40.286000000000001</v>
      </c>
      <c r="D90">
        <v>43.622999999999998</v>
      </c>
      <c r="E90">
        <v>40.055999999999997</v>
      </c>
      <c r="F90">
        <v>46.094000000000001</v>
      </c>
      <c r="G90">
        <v>-3.3370000000000002</v>
      </c>
      <c r="H90">
        <v>-6.0380000000000003</v>
      </c>
      <c r="I90">
        <f t="shared" si="2"/>
        <v>2.7890000000000015</v>
      </c>
      <c r="L90" s="103" t="s">
        <v>193</v>
      </c>
      <c r="M90" s="2">
        <v>40.539000000000001</v>
      </c>
      <c r="N90">
        <v>44.973999999999997</v>
      </c>
      <c r="O90">
        <v>40.679000000000002</v>
      </c>
      <c r="P90">
        <v>42.427999999999997</v>
      </c>
      <c r="Q90">
        <v>-4.4349999999999996</v>
      </c>
      <c r="R90">
        <v>-1.7490000000000001</v>
      </c>
      <c r="S90">
        <f t="shared" si="3"/>
        <v>1.0144999999999982</v>
      </c>
    </row>
    <row r="91" spans="2:19" x14ac:dyDescent="0.25">
      <c r="B91" s="103" t="s">
        <v>196</v>
      </c>
      <c r="C91">
        <v>40.127000000000002</v>
      </c>
      <c r="D91">
        <v>43.427</v>
      </c>
      <c r="E91">
        <v>40.11</v>
      </c>
      <c r="F91">
        <v>45.433999999999997</v>
      </c>
      <c r="G91">
        <v>-3.3</v>
      </c>
      <c r="H91">
        <v>-5.3239999999999998</v>
      </c>
      <c r="I91">
        <f t="shared" si="2"/>
        <v>2.644999999999996</v>
      </c>
      <c r="L91" s="103" t="s">
        <v>194</v>
      </c>
      <c r="M91">
        <v>40.020000000000003</v>
      </c>
      <c r="N91">
        <v>44.643000000000001</v>
      </c>
      <c r="O91">
        <v>39.768000000000001</v>
      </c>
      <c r="P91">
        <v>42.665999999999997</v>
      </c>
      <c r="Q91">
        <v>-4.6230000000000002</v>
      </c>
      <c r="R91">
        <v>-2.8980000000000001</v>
      </c>
      <c r="S91">
        <f t="shared" si="3"/>
        <v>1.1969999999999956</v>
      </c>
    </row>
    <row r="92" spans="2:19" x14ac:dyDescent="0.25">
      <c r="B92" s="103" t="s">
        <v>197</v>
      </c>
      <c r="C92">
        <v>40.143000000000001</v>
      </c>
      <c r="D92">
        <v>43.597999999999999</v>
      </c>
      <c r="E92">
        <v>40.125</v>
      </c>
      <c r="F92">
        <v>45.55</v>
      </c>
      <c r="G92">
        <v>-3.4550000000000001</v>
      </c>
      <c r="H92">
        <v>-5.4249999999999998</v>
      </c>
      <c r="I92">
        <f t="shared" si="2"/>
        <v>2.6944999999999979</v>
      </c>
      <c r="L92" s="103" t="s">
        <v>195</v>
      </c>
      <c r="M92">
        <v>40.252000000000002</v>
      </c>
      <c r="N92">
        <v>43.622999999999998</v>
      </c>
      <c r="O92">
        <v>39.436</v>
      </c>
      <c r="P92">
        <v>44.042999999999999</v>
      </c>
      <c r="Q92">
        <v>-3.371</v>
      </c>
      <c r="R92">
        <v>-4.6070000000000002</v>
      </c>
      <c r="S92">
        <f t="shared" si="3"/>
        <v>1.4874999999999972</v>
      </c>
    </row>
    <row r="93" spans="2:19" x14ac:dyDescent="0.25">
      <c r="B93" s="103" t="s">
        <v>198</v>
      </c>
      <c r="C93">
        <v>40.152000000000001</v>
      </c>
      <c r="D93">
        <v>43.734999999999999</v>
      </c>
      <c r="E93">
        <v>40.277000000000001</v>
      </c>
      <c r="F93">
        <v>45.716000000000001</v>
      </c>
      <c r="G93">
        <v>-3.5830000000000002</v>
      </c>
      <c r="H93">
        <v>-5.4390000000000001</v>
      </c>
      <c r="I93">
        <f t="shared" si="2"/>
        <v>2.8444999999999965</v>
      </c>
      <c r="L93" s="103" t="s">
        <v>196</v>
      </c>
      <c r="M93">
        <v>40.587000000000003</v>
      </c>
      <c r="N93">
        <v>43.427</v>
      </c>
      <c r="O93">
        <v>39.963999999999999</v>
      </c>
      <c r="P93">
        <v>43.804000000000002</v>
      </c>
      <c r="Q93">
        <v>-2.84</v>
      </c>
      <c r="R93">
        <v>-3.84</v>
      </c>
      <c r="S93">
        <f t="shared" si="3"/>
        <v>1.296999999999997</v>
      </c>
    </row>
    <row r="94" spans="2:19" x14ac:dyDescent="0.25">
      <c r="B94" s="103" t="s">
        <v>199</v>
      </c>
      <c r="C94">
        <v>40.247</v>
      </c>
      <c r="D94">
        <v>43.619</v>
      </c>
      <c r="E94">
        <v>40.04</v>
      </c>
      <c r="F94">
        <v>45.481999999999999</v>
      </c>
      <c r="G94">
        <v>-3.3719999999999999</v>
      </c>
      <c r="H94">
        <v>-5.4420000000000002</v>
      </c>
      <c r="I94">
        <f t="shared" si="2"/>
        <v>2.5139999999999958</v>
      </c>
      <c r="L94" s="103" t="s">
        <v>197</v>
      </c>
      <c r="M94">
        <v>41.241999999999997</v>
      </c>
      <c r="N94">
        <v>43.597999999999999</v>
      </c>
      <c r="O94">
        <v>40.840000000000003</v>
      </c>
      <c r="P94">
        <v>44.573</v>
      </c>
      <c r="Q94">
        <v>-2.3559999999999999</v>
      </c>
      <c r="R94">
        <v>-3.7330000000000001</v>
      </c>
      <c r="S94">
        <f t="shared" si="3"/>
        <v>1.4645000000000081</v>
      </c>
    </row>
    <row r="95" spans="2:19" x14ac:dyDescent="0.25">
      <c r="B95" s="103" t="s">
        <v>200</v>
      </c>
      <c r="C95">
        <v>40.703000000000003</v>
      </c>
      <c r="D95">
        <v>44.973999999999997</v>
      </c>
      <c r="E95">
        <v>40.463000000000001</v>
      </c>
      <c r="F95">
        <v>46.222999999999999</v>
      </c>
      <c r="G95">
        <v>-4.2709999999999999</v>
      </c>
      <c r="H95">
        <v>-5.76</v>
      </c>
      <c r="I95">
        <f t="shared" si="2"/>
        <v>2.6400000000000006</v>
      </c>
      <c r="L95" s="103" t="s">
        <v>198</v>
      </c>
      <c r="M95">
        <v>41.710999999999999</v>
      </c>
      <c r="N95">
        <v>43.734999999999999</v>
      </c>
      <c r="O95">
        <v>41.344000000000001</v>
      </c>
      <c r="P95">
        <v>44.616</v>
      </c>
      <c r="Q95">
        <v>-2.024</v>
      </c>
      <c r="R95">
        <v>-3.2719999999999998</v>
      </c>
      <c r="S95">
        <f t="shared" si="3"/>
        <v>1.2690000000000055</v>
      </c>
    </row>
    <row r="96" spans="2:19" x14ac:dyDescent="0.25">
      <c r="B96" s="103" t="s">
        <v>201</v>
      </c>
      <c r="C96">
        <v>41.37</v>
      </c>
      <c r="D96">
        <v>43.908999999999999</v>
      </c>
      <c r="E96">
        <v>40.503999999999998</v>
      </c>
      <c r="F96">
        <v>47.613999999999997</v>
      </c>
      <c r="G96">
        <v>-2.5390000000000001</v>
      </c>
      <c r="H96">
        <v>-7.11</v>
      </c>
      <c r="I96">
        <f t="shared" si="2"/>
        <v>2.6890000000000001</v>
      </c>
      <c r="L96" s="103" t="s">
        <v>199</v>
      </c>
      <c r="M96">
        <v>42.021000000000001</v>
      </c>
      <c r="N96">
        <v>43.619</v>
      </c>
      <c r="O96">
        <v>41.518000000000001</v>
      </c>
      <c r="P96">
        <v>45.357999999999997</v>
      </c>
      <c r="Q96">
        <v>-1.5980000000000001</v>
      </c>
      <c r="R96">
        <v>-3.84</v>
      </c>
      <c r="S96">
        <f t="shared" si="3"/>
        <v>1.4170000000000016</v>
      </c>
    </row>
    <row r="97" spans="2:19" x14ac:dyDescent="0.25">
      <c r="B97" s="103">
        <v>45629</v>
      </c>
      <c r="C97">
        <v>41.798999999999999</v>
      </c>
      <c r="D97">
        <v>44.841999999999999</v>
      </c>
      <c r="E97">
        <v>41.246000000000002</v>
      </c>
      <c r="F97">
        <v>47.555999999999997</v>
      </c>
      <c r="G97">
        <v>-3.0430000000000001</v>
      </c>
      <c r="H97">
        <v>-6.31</v>
      </c>
      <c r="I97">
        <f t="shared" si="2"/>
        <v>2.6019999999999968</v>
      </c>
      <c r="L97" s="103" t="s">
        <v>200</v>
      </c>
      <c r="M97">
        <v>42.792000000000002</v>
      </c>
      <c r="N97">
        <v>44.973999999999997</v>
      </c>
      <c r="O97">
        <v>42.039000000000001</v>
      </c>
      <c r="P97">
        <v>46.575000000000003</v>
      </c>
      <c r="Q97">
        <v>-2.1819999999999999</v>
      </c>
      <c r="R97">
        <v>-4.5359999999999996</v>
      </c>
      <c r="S97">
        <f t="shared" si="3"/>
        <v>1.5150000000000006</v>
      </c>
    </row>
    <row r="98" spans="2:19" x14ac:dyDescent="0.25">
      <c r="B98" s="103">
        <v>45599</v>
      </c>
      <c r="C98">
        <v>41.898000000000003</v>
      </c>
      <c r="D98">
        <v>44.805999999999997</v>
      </c>
      <c r="E98">
        <v>41.258000000000003</v>
      </c>
      <c r="F98">
        <v>47.654000000000003</v>
      </c>
      <c r="G98">
        <v>-2.9079999999999999</v>
      </c>
      <c r="H98">
        <v>-6.3959999999999999</v>
      </c>
      <c r="I98">
        <f t="shared" si="2"/>
        <v>2.5579999999999998</v>
      </c>
      <c r="L98" s="103" t="s">
        <v>201</v>
      </c>
      <c r="M98">
        <v>44.49</v>
      </c>
      <c r="N98">
        <v>43.908999999999999</v>
      </c>
      <c r="O98">
        <v>43.280999999999999</v>
      </c>
      <c r="P98">
        <v>49.274000000000001</v>
      </c>
      <c r="Q98">
        <v>0.58099999999999996</v>
      </c>
      <c r="R98">
        <v>-5.9930000000000003</v>
      </c>
      <c r="S98">
        <f t="shared" si="3"/>
        <v>1.7875000000000014</v>
      </c>
    </row>
    <row r="99" spans="2:19" x14ac:dyDescent="0.25">
      <c r="B99" s="103">
        <v>45507</v>
      </c>
      <c r="C99">
        <v>41.65</v>
      </c>
      <c r="D99">
        <v>44.65</v>
      </c>
      <c r="E99">
        <v>41.302999999999997</v>
      </c>
      <c r="F99">
        <v>46.976999999999997</v>
      </c>
      <c r="G99">
        <v>-3</v>
      </c>
      <c r="H99">
        <v>-5.6740000000000004</v>
      </c>
      <c r="I99">
        <f t="shared" si="2"/>
        <v>2.490000000000002</v>
      </c>
      <c r="L99" s="103">
        <v>45629</v>
      </c>
      <c r="M99">
        <v>45.030999999999999</v>
      </c>
      <c r="N99">
        <v>44.841999999999999</v>
      </c>
      <c r="O99">
        <v>43.395000000000003</v>
      </c>
      <c r="P99">
        <v>50.329000000000001</v>
      </c>
      <c r="Q99">
        <v>0.189</v>
      </c>
      <c r="R99">
        <v>-6.9340000000000002</v>
      </c>
      <c r="S99">
        <f t="shared" si="3"/>
        <v>1.8310000000000031</v>
      </c>
    </row>
    <row r="100" spans="2:19" x14ac:dyDescent="0.25">
      <c r="B100" s="103">
        <v>45476</v>
      </c>
      <c r="C100">
        <v>41.52</v>
      </c>
      <c r="D100">
        <v>44.71</v>
      </c>
      <c r="E100">
        <v>41.35</v>
      </c>
      <c r="F100">
        <v>47.198999999999998</v>
      </c>
      <c r="G100">
        <v>-3.19</v>
      </c>
      <c r="H100">
        <v>-5.8490000000000002</v>
      </c>
      <c r="I100">
        <f t="shared" si="2"/>
        <v>2.7545000000000002</v>
      </c>
      <c r="L100" s="103">
        <v>45599</v>
      </c>
      <c r="M100">
        <v>69.923000000000002</v>
      </c>
      <c r="N100">
        <v>44.805999999999997</v>
      </c>
      <c r="O100">
        <v>69.584000000000003</v>
      </c>
      <c r="P100">
        <v>74.403999999999996</v>
      </c>
      <c r="Q100">
        <v>25.117000000000001</v>
      </c>
      <c r="R100">
        <v>-4.82</v>
      </c>
      <c r="S100">
        <f t="shared" si="3"/>
        <v>2.070999999999998</v>
      </c>
    </row>
    <row r="101" spans="2:19" x14ac:dyDescent="0.25">
      <c r="B101" s="103">
        <v>45446</v>
      </c>
      <c r="C101">
        <v>41.579000000000001</v>
      </c>
      <c r="D101">
        <v>44.835000000000001</v>
      </c>
      <c r="E101">
        <v>41.415999999999997</v>
      </c>
      <c r="F101">
        <v>47.177</v>
      </c>
      <c r="G101">
        <v>-3.2559999999999998</v>
      </c>
      <c r="H101">
        <v>-5.7610000000000001</v>
      </c>
      <c r="I101">
        <f t="shared" si="2"/>
        <v>2.717499999999994</v>
      </c>
      <c r="L101" s="103">
        <v>45507</v>
      </c>
      <c r="M101">
        <v>52.871000000000002</v>
      </c>
      <c r="N101">
        <v>44.65</v>
      </c>
      <c r="O101">
        <v>52.341999999999999</v>
      </c>
      <c r="P101">
        <v>56.756</v>
      </c>
      <c r="Q101">
        <v>8.2210000000000001</v>
      </c>
      <c r="R101">
        <v>-4.4139999999999997</v>
      </c>
      <c r="S101">
        <f t="shared" si="3"/>
        <v>1.6779999999999973</v>
      </c>
    </row>
    <row r="102" spans="2:19" x14ac:dyDescent="0.25">
      <c r="B102" s="103">
        <v>45415</v>
      </c>
      <c r="C102">
        <v>41.131</v>
      </c>
      <c r="D102">
        <v>44.801000000000002</v>
      </c>
      <c r="E102">
        <v>41.07</v>
      </c>
      <c r="F102">
        <v>46.058999999999997</v>
      </c>
      <c r="G102">
        <v>-3.67</v>
      </c>
      <c r="H102">
        <v>-4.9889999999999999</v>
      </c>
      <c r="I102">
        <f t="shared" si="2"/>
        <v>2.4334999999999951</v>
      </c>
      <c r="L102" s="103">
        <v>45476</v>
      </c>
      <c r="M102">
        <v>52.453000000000003</v>
      </c>
      <c r="N102">
        <v>44.71</v>
      </c>
      <c r="O102">
        <v>53.042000000000002</v>
      </c>
      <c r="P102">
        <v>55.597000000000001</v>
      </c>
      <c r="Q102">
        <v>7.7430000000000003</v>
      </c>
      <c r="R102">
        <v>-2.5550000000000002</v>
      </c>
      <c r="S102">
        <f t="shared" si="3"/>
        <v>1.866500000000002</v>
      </c>
    </row>
    <row r="103" spans="2:19" x14ac:dyDescent="0.25">
      <c r="B103" s="103">
        <v>45385</v>
      </c>
      <c r="C103">
        <v>41.816000000000003</v>
      </c>
      <c r="D103">
        <v>42.81</v>
      </c>
      <c r="E103">
        <v>40.837000000000003</v>
      </c>
      <c r="F103">
        <v>47.496000000000002</v>
      </c>
      <c r="G103">
        <v>-0.99399999999999999</v>
      </c>
      <c r="H103">
        <v>-6.6589999999999998</v>
      </c>
      <c r="I103">
        <f t="shared" si="2"/>
        <v>2.3504999999999967</v>
      </c>
      <c r="L103" s="103">
        <v>45446</v>
      </c>
      <c r="M103">
        <v>53.51</v>
      </c>
      <c r="N103">
        <v>44.835000000000001</v>
      </c>
      <c r="O103">
        <v>53.31</v>
      </c>
      <c r="P103">
        <v>56.53</v>
      </c>
      <c r="Q103">
        <v>8.6750000000000007</v>
      </c>
      <c r="R103">
        <v>-3.22</v>
      </c>
      <c r="S103">
        <f t="shared" si="3"/>
        <v>1.4100000000000037</v>
      </c>
    </row>
    <row r="104" spans="2:19" x14ac:dyDescent="0.25">
      <c r="B104" s="103">
        <v>45294</v>
      </c>
      <c r="C104">
        <v>41.692</v>
      </c>
      <c r="D104">
        <v>42.828000000000003</v>
      </c>
      <c r="E104">
        <v>40.823999999999998</v>
      </c>
      <c r="F104">
        <v>47.396999999999998</v>
      </c>
      <c r="G104">
        <v>-1.1359999999999999</v>
      </c>
      <c r="H104">
        <v>-6.5730000000000004</v>
      </c>
      <c r="I104">
        <f t="shared" si="2"/>
        <v>2.4185000000000016</v>
      </c>
      <c r="L104" s="103">
        <v>45415</v>
      </c>
      <c r="M104">
        <v>53.122</v>
      </c>
      <c r="N104">
        <v>44.801000000000002</v>
      </c>
      <c r="O104">
        <v>53.570999999999998</v>
      </c>
      <c r="P104">
        <v>55.491</v>
      </c>
      <c r="Q104">
        <v>8.3209999999999997</v>
      </c>
      <c r="R104">
        <v>-1.92</v>
      </c>
      <c r="S104">
        <f t="shared" si="3"/>
        <v>1.4089999999999989</v>
      </c>
    </row>
    <row r="105" spans="2:19" x14ac:dyDescent="0.25">
      <c r="B105" s="103" t="s">
        <v>202</v>
      </c>
      <c r="C105">
        <v>42.475999999999999</v>
      </c>
      <c r="D105">
        <v>42.790999999999997</v>
      </c>
      <c r="E105">
        <v>41.031999999999996</v>
      </c>
      <c r="F105">
        <v>48.226999999999997</v>
      </c>
      <c r="G105">
        <v>-0.315</v>
      </c>
      <c r="H105">
        <v>-7.1950000000000003</v>
      </c>
      <c r="I105">
        <f t="shared" si="2"/>
        <v>2.153499999999994</v>
      </c>
      <c r="L105" s="103">
        <v>45385</v>
      </c>
      <c r="M105">
        <v>51.503999999999998</v>
      </c>
      <c r="N105">
        <v>42.81</v>
      </c>
      <c r="O105">
        <v>50.710999999999999</v>
      </c>
      <c r="P105">
        <v>55.323</v>
      </c>
      <c r="Q105">
        <v>8.6940000000000008</v>
      </c>
      <c r="R105">
        <v>-4.6120000000000001</v>
      </c>
      <c r="S105">
        <f t="shared" si="3"/>
        <v>1.5129999999999981</v>
      </c>
    </row>
    <row r="106" spans="2:19" x14ac:dyDescent="0.25">
      <c r="B106" s="103" t="s">
        <v>203</v>
      </c>
      <c r="C106">
        <v>42.826999999999998</v>
      </c>
      <c r="D106">
        <v>42.622999999999998</v>
      </c>
      <c r="E106">
        <v>42.578000000000003</v>
      </c>
      <c r="F106">
        <v>48.503999999999998</v>
      </c>
      <c r="G106">
        <v>0.20399999999999999</v>
      </c>
      <c r="H106">
        <v>-5.9260000000000002</v>
      </c>
      <c r="I106">
        <f t="shared" si="2"/>
        <v>2.7139999999999986</v>
      </c>
      <c r="L106" s="103">
        <v>45294</v>
      </c>
      <c r="M106">
        <v>50.276000000000003</v>
      </c>
      <c r="N106">
        <v>42.828000000000003</v>
      </c>
      <c r="O106">
        <v>48.505000000000003</v>
      </c>
      <c r="P106">
        <v>54.838999999999999</v>
      </c>
      <c r="Q106">
        <v>7.4480000000000004</v>
      </c>
      <c r="R106">
        <v>-6.3339999999999996</v>
      </c>
      <c r="S106">
        <f t="shared" si="3"/>
        <v>1.3959999999999937</v>
      </c>
    </row>
    <row r="107" spans="2:19" x14ac:dyDescent="0.25">
      <c r="B107" s="103" t="s">
        <v>204</v>
      </c>
      <c r="C107">
        <v>43.106999999999999</v>
      </c>
      <c r="D107">
        <v>42.003</v>
      </c>
      <c r="E107">
        <v>42.012999999999998</v>
      </c>
      <c r="F107">
        <v>49.207999999999998</v>
      </c>
      <c r="G107">
        <v>1.1040000000000001</v>
      </c>
      <c r="H107">
        <v>-7.1950000000000003</v>
      </c>
      <c r="I107">
        <f t="shared" si="2"/>
        <v>2.5035000000000025</v>
      </c>
      <c r="L107" s="103" t="s">
        <v>202</v>
      </c>
      <c r="M107">
        <v>51.756999999999998</v>
      </c>
      <c r="N107">
        <v>42.790999999999997</v>
      </c>
      <c r="O107">
        <v>50.18</v>
      </c>
      <c r="P107">
        <v>57.6</v>
      </c>
      <c r="Q107">
        <v>8.9659999999999993</v>
      </c>
      <c r="R107">
        <v>-7.42</v>
      </c>
      <c r="S107">
        <f t="shared" si="3"/>
        <v>2.1330000000000027</v>
      </c>
    </row>
    <row r="108" spans="2:19" x14ac:dyDescent="0.25">
      <c r="B108" s="103" t="s">
        <v>205</v>
      </c>
      <c r="C108">
        <v>43.622999999999998</v>
      </c>
      <c r="D108">
        <v>41.707000000000001</v>
      </c>
      <c r="E108">
        <v>42.499000000000002</v>
      </c>
      <c r="F108">
        <v>49.963999999999999</v>
      </c>
      <c r="G108">
        <v>1.9159999999999999</v>
      </c>
      <c r="H108">
        <v>-7.4649999999999999</v>
      </c>
      <c r="I108">
        <f t="shared" si="2"/>
        <v>2.6084999999999994</v>
      </c>
      <c r="L108" s="103" t="s">
        <v>203</v>
      </c>
      <c r="M108">
        <v>51.648000000000003</v>
      </c>
      <c r="N108">
        <v>42.622999999999998</v>
      </c>
      <c r="O108">
        <v>52.396999999999998</v>
      </c>
      <c r="P108">
        <v>54.793999999999997</v>
      </c>
      <c r="Q108">
        <v>9.0250000000000004</v>
      </c>
      <c r="R108">
        <v>-2.3969999999999998</v>
      </c>
      <c r="S108">
        <f t="shared" si="3"/>
        <v>1.947499999999998</v>
      </c>
    </row>
    <row r="109" spans="2:19" x14ac:dyDescent="0.25">
      <c r="B109" s="103" t="s">
        <v>206</v>
      </c>
      <c r="C109">
        <v>44.697000000000003</v>
      </c>
      <c r="D109">
        <v>40.896999999999998</v>
      </c>
      <c r="E109">
        <v>43.216000000000001</v>
      </c>
      <c r="F109">
        <v>51.116</v>
      </c>
      <c r="G109">
        <v>3.8</v>
      </c>
      <c r="H109">
        <v>-7.9</v>
      </c>
      <c r="I109">
        <f t="shared" si="2"/>
        <v>2.4689999999999941</v>
      </c>
      <c r="L109" s="103" t="s">
        <v>204</v>
      </c>
      <c r="M109">
        <v>53.16</v>
      </c>
      <c r="N109">
        <v>42.003</v>
      </c>
      <c r="O109">
        <v>51.628999999999998</v>
      </c>
      <c r="P109">
        <v>57.808999999999997</v>
      </c>
      <c r="Q109">
        <v>11.157</v>
      </c>
      <c r="R109">
        <v>-6.18</v>
      </c>
      <c r="S109">
        <f t="shared" si="3"/>
        <v>1.5589999999999975</v>
      </c>
    </row>
    <row r="110" spans="2:19" x14ac:dyDescent="0.25">
      <c r="B110" s="103" t="s">
        <v>207</v>
      </c>
      <c r="C110">
        <v>43.661999999999999</v>
      </c>
      <c r="D110">
        <v>41.128999999999998</v>
      </c>
      <c r="E110">
        <v>42.106999999999999</v>
      </c>
      <c r="F110">
        <v>49.542999999999999</v>
      </c>
      <c r="G110">
        <v>2.5329999999999999</v>
      </c>
      <c r="H110">
        <v>-7.4359999999999999</v>
      </c>
      <c r="I110">
        <f t="shared" si="2"/>
        <v>2.1630000000000038</v>
      </c>
      <c r="L110" s="103" t="s">
        <v>205</v>
      </c>
      <c r="M110">
        <v>54.648000000000003</v>
      </c>
      <c r="N110">
        <v>41.707000000000001</v>
      </c>
      <c r="O110">
        <v>52.063000000000002</v>
      </c>
      <c r="P110">
        <v>60.058999999999997</v>
      </c>
      <c r="Q110">
        <v>12.941000000000001</v>
      </c>
      <c r="R110">
        <v>-7.9960000000000004</v>
      </c>
      <c r="S110">
        <f t="shared" si="3"/>
        <v>1.4129999999999967</v>
      </c>
    </row>
    <row r="111" spans="2:19" x14ac:dyDescent="0.25">
      <c r="B111" s="103" t="s">
        <v>208</v>
      </c>
      <c r="C111">
        <v>43.031999999999996</v>
      </c>
      <c r="D111">
        <v>40.749000000000002</v>
      </c>
      <c r="E111">
        <v>42.164000000000001</v>
      </c>
      <c r="F111">
        <v>48.994999999999997</v>
      </c>
      <c r="G111">
        <v>2.2829999999999999</v>
      </c>
      <c r="H111">
        <v>-6.8310000000000004</v>
      </c>
      <c r="I111">
        <f t="shared" si="2"/>
        <v>2.5474999999999994</v>
      </c>
      <c r="L111" s="103" t="s">
        <v>206</v>
      </c>
      <c r="M111">
        <v>48.527000000000001</v>
      </c>
      <c r="N111">
        <v>40.896999999999998</v>
      </c>
      <c r="O111">
        <v>45.494</v>
      </c>
      <c r="P111">
        <v>55.918999999999997</v>
      </c>
      <c r="Q111">
        <v>7.63</v>
      </c>
      <c r="R111">
        <v>-10.425000000000001</v>
      </c>
      <c r="S111">
        <f t="shared" si="3"/>
        <v>2.1794999999999973</v>
      </c>
    </row>
    <row r="112" spans="2:19" x14ac:dyDescent="0.25">
      <c r="B112" s="103" t="s">
        <v>209</v>
      </c>
      <c r="C112">
        <v>43.195</v>
      </c>
      <c r="D112">
        <v>41.283000000000001</v>
      </c>
      <c r="E112">
        <v>42.11</v>
      </c>
      <c r="F112">
        <v>49.177999999999997</v>
      </c>
      <c r="G112">
        <v>1.9119999999999999</v>
      </c>
      <c r="H112">
        <v>-7.0679999999999996</v>
      </c>
      <c r="I112">
        <f t="shared" si="2"/>
        <v>2.4489999999999981</v>
      </c>
      <c r="L112" s="103" t="s">
        <v>207</v>
      </c>
      <c r="M112">
        <v>46.436</v>
      </c>
      <c r="N112">
        <v>41.128999999999998</v>
      </c>
      <c r="O112">
        <v>43.606999999999999</v>
      </c>
      <c r="P112">
        <v>53.393999999999998</v>
      </c>
      <c r="Q112">
        <v>5.3070000000000004</v>
      </c>
      <c r="R112">
        <v>-9.7870000000000008</v>
      </c>
      <c r="S112">
        <f t="shared" si="3"/>
        <v>2.0645000000000024</v>
      </c>
    </row>
    <row r="113" spans="2:19" x14ac:dyDescent="0.25">
      <c r="B113" s="103" t="s">
        <v>210</v>
      </c>
      <c r="C113">
        <v>42.113</v>
      </c>
      <c r="D113">
        <v>41.069000000000003</v>
      </c>
      <c r="E113">
        <v>40.143000000000001</v>
      </c>
      <c r="F113">
        <v>47.844000000000001</v>
      </c>
      <c r="G113">
        <v>1.044</v>
      </c>
      <c r="H113">
        <v>-7.7009999999999996</v>
      </c>
      <c r="I113">
        <f t="shared" si="2"/>
        <v>1.8804999999999978</v>
      </c>
      <c r="L113" s="103" t="s">
        <v>208</v>
      </c>
      <c r="M113">
        <v>46.265000000000001</v>
      </c>
      <c r="N113">
        <v>40.749000000000002</v>
      </c>
      <c r="O113">
        <v>43.975999999999999</v>
      </c>
      <c r="P113">
        <v>52.442</v>
      </c>
      <c r="Q113">
        <v>5.516</v>
      </c>
      <c r="R113">
        <v>-8.4659999999999993</v>
      </c>
      <c r="S113">
        <f t="shared" si="3"/>
        <v>1.9440000000000026</v>
      </c>
    </row>
    <row r="114" spans="2:19" x14ac:dyDescent="0.25">
      <c r="B114" s="103" t="s">
        <v>211</v>
      </c>
      <c r="C114">
        <v>40.548000000000002</v>
      </c>
      <c r="D114">
        <v>39.427</v>
      </c>
      <c r="E114">
        <v>39.231999999999999</v>
      </c>
      <c r="F114">
        <v>45.667999999999999</v>
      </c>
      <c r="G114">
        <v>1.121</v>
      </c>
      <c r="H114">
        <v>-6.4359999999999999</v>
      </c>
      <c r="I114">
        <f t="shared" si="2"/>
        <v>1.902000000000001</v>
      </c>
      <c r="L114" s="103" t="s">
        <v>209</v>
      </c>
      <c r="M114">
        <v>47.1</v>
      </c>
      <c r="N114">
        <v>41.283000000000001</v>
      </c>
      <c r="O114">
        <v>44.683</v>
      </c>
      <c r="P114">
        <v>53.204000000000001</v>
      </c>
      <c r="Q114">
        <v>5.8170000000000002</v>
      </c>
      <c r="R114">
        <v>-8.5210000000000008</v>
      </c>
      <c r="S114">
        <f t="shared" si="3"/>
        <v>1.8434999999999988</v>
      </c>
    </row>
    <row r="115" spans="2:19" x14ac:dyDescent="0.25">
      <c r="B115" s="103" t="s">
        <v>212</v>
      </c>
      <c r="C115">
        <v>39.451999999999998</v>
      </c>
      <c r="D115">
        <v>39.4</v>
      </c>
      <c r="E115">
        <v>38.667999999999999</v>
      </c>
      <c r="F115">
        <v>44.65</v>
      </c>
      <c r="G115">
        <v>5.1999999999999998E-2</v>
      </c>
      <c r="H115">
        <v>-5.9820000000000002</v>
      </c>
      <c r="I115">
        <f t="shared" si="2"/>
        <v>2.2070000000000007</v>
      </c>
      <c r="L115" s="103" t="s">
        <v>210</v>
      </c>
      <c r="M115">
        <v>45.805</v>
      </c>
      <c r="N115">
        <v>41.069000000000003</v>
      </c>
      <c r="O115">
        <v>43.235999999999997</v>
      </c>
      <c r="P115">
        <v>52.304000000000002</v>
      </c>
      <c r="Q115">
        <v>4.7359999999999998</v>
      </c>
      <c r="R115">
        <v>-9.0679999999999996</v>
      </c>
      <c r="S115">
        <f t="shared" si="3"/>
        <v>1.9649999999999963</v>
      </c>
    </row>
    <row r="116" spans="2:19" x14ac:dyDescent="0.25">
      <c r="B116" s="103" t="s">
        <v>213</v>
      </c>
      <c r="C116">
        <v>39.244</v>
      </c>
      <c r="D116">
        <v>39.020000000000003</v>
      </c>
      <c r="E116">
        <v>38.109000000000002</v>
      </c>
      <c r="F116">
        <v>44.45</v>
      </c>
      <c r="G116">
        <v>0.224</v>
      </c>
      <c r="H116">
        <v>-6.3410000000000002</v>
      </c>
      <c r="I116">
        <f t="shared" si="2"/>
        <v>2.035499999999999</v>
      </c>
      <c r="L116" s="103" t="s">
        <v>211</v>
      </c>
      <c r="M116">
        <v>45.411000000000001</v>
      </c>
      <c r="N116">
        <v>39.427</v>
      </c>
      <c r="O116">
        <v>44.25</v>
      </c>
      <c r="P116">
        <v>48.518000000000001</v>
      </c>
      <c r="Q116">
        <v>5.984</v>
      </c>
      <c r="R116">
        <v>-4.2679999999999998</v>
      </c>
      <c r="S116">
        <f t="shared" si="3"/>
        <v>0.97299999999999898</v>
      </c>
    </row>
    <row r="117" spans="2:19" x14ac:dyDescent="0.25">
      <c r="B117" s="103" t="s">
        <v>214</v>
      </c>
      <c r="C117">
        <v>38.372999999999998</v>
      </c>
      <c r="D117">
        <v>38.991999999999997</v>
      </c>
      <c r="E117">
        <v>37.287999999999997</v>
      </c>
      <c r="F117">
        <v>44.206000000000003</v>
      </c>
      <c r="G117">
        <v>-0.61899999999999999</v>
      </c>
      <c r="H117">
        <v>-6.9180000000000001</v>
      </c>
      <c r="I117">
        <f t="shared" si="2"/>
        <v>2.3740000000000023</v>
      </c>
      <c r="L117" s="103" t="s">
        <v>212</v>
      </c>
      <c r="M117">
        <v>45.503999999999998</v>
      </c>
      <c r="N117">
        <v>39.4</v>
      </c>
      <c r="O117">
        <v>44.465000000000003</v>
      </c>
      <c r="P117">
        <v>48.362000000000002</v>
      </c>
      <c r="Q117">
        <v>6.1040000000000001</v>
      </c>
      <c r="R117">
        <v>-3.8969999999999998</v>
      </c>
      <c r="S117">
        <f t="shared" si="3"/>
        <v>0.90950000000000131</v>
      </c>
    </row>
    <row r="118" spans="2:19" x14ac:dyDescent="0.25">
      <c r="B118" s="103">
        <v>45628</v>
      </c>
      <c r="C118">
        <v>38.090000000000003</v>
      </c>
      <c r="D118">
        <v>38.99</v>
      </c>
      <c r="E118">
        <v>36.945999999999998</v>
      </c>
      <c r="F118">
        <v>43.716000000000001</v>
      </c>
      <c r="G118">
        <v>-0.9</v>
      </c>
      <c r="H118">
        <v>-6.77</v>
      </c>
      <c r="I118">
        <f t="shared" si="2"/>
        <v>2.2409999999999997</v>
      </c>
      <c r="L118" s="103" t="s">
        <v>213</v>
      </c>
      <c r="M118">
        <v>44.948</v>
      </c>
      <c r="N118">
        <v>39.020000000000003</v>
      </c>
      <c r="O118">
        <v>42.695999999999998</v>
      </c>
      <c r="P118">
        <v>48.99</v>
      </c>
      <c r="Q118">
        <v>5.9279999999999999</v>
      </c>
      <c r="R118">
        <v>-6.2939999999999996</v>
      </c>
      <c r="S118">
        <f t="shared" si="3"/>
        <v>0.89500000000000313</v>
      </c>
    </row>
    <row r="119" spans="2:19" x14ac:dyDescent="0.25">
      <c r="B119" s="103">
        <v>45537</v>
      </c>
      <c r="C119">
        <v>37.44</v>
      </c>
      <c r="D119">
        <v>39.036999999999999</v>
      </c>
      <c r="E119">
        <v>36.484000000000002</v>
      </c>
      <c r="F119">
        <v>42.956000000000003</v>
      </c>
      <c r="G119">
        <v>-1.597</v>
      </c>
      <c r="H119">
        <v>-6.4720000000000004</v>
      </c>
      <c r="I119">
        <f t="shared" si="2"/>
        <v>2.2800000000000011</v>
      </c>
      <c r="L119" s="103" t="s">
        <v>214</v>
      </c>
      <c r="M119">
        <v>43.905999999999999</v>
      </c>
      <c r="N119">
        <v>38.991999999999997</v>
      </c>
      <c r="O119">
        <v>41.476999999999997</v>
      </c>
      <c r="P119">
        <v>50.043999999999997</v>
      </c>
      <c r="Q119">
        <v>4.9139999999999997</v>
      </c>
      <c r="R119">
        <v>-8.5670000000000002</v>
      </c>
      <c r="S119">
        <f t="shared" si="3"/>
        <v>1.8544999999999945</v>
      </c>
    </row>
    <row r="120" spans="2:19" x14ac:dyDescent="0.25">
      <c r="B120" s="103">
        <v>45506</v>
      </c>
      <c r="C120">
        <v>37.26</v>
      </c>
      <c r="D120">
        <v>38.817</v>
      </c>
      <c r="E120">
        <v>36.566000000000003</v>
      </c>
      <c r="F120">
        <v>42.276000000000003</v>
      </c>
      <c r="G120">
        <v>-1.5569999999999999</v>
      </c>
      <c r="H120">
        <v>-5.71</v>
      </c>
      <c r="I120">
        <f t="shared" si="2"/>
        <v>2.1610000000000085</v>
      </c>
      <c r="L120" s="103">
        <v>45628</v>
      </c>
      <c r="M120">
        <v>44.448999999999998</v>
      </c>
      <c r="N120">
        <v>38.99</v>
      </c>
      <c r="O120">
        <v>42.034999999999997</v>
      </c>
      <c r="P120">
        <v>49.408999999999999</v>
      </c>
      <c r="Q120">
        <v>5.4589999999999996</v>
      </c>
      <c r="R120">
        <v>-7.3739999999999997</v>
      </c>
      <c r="S120">
        <f t="shared" si="3"/>
        <v>1.2729999999999961</v>
      </c>
    </row>
    <row r="121" spans="2:19" x14ac:dyDescent="0.25">
      <c r="B121" s="103">
        <v>45475</v>
      </c>
      <c r="C121">
        <v>37.067999999999998</v>
      </c>
      <c r="D121">
        <v>38.770000000000003</v>
      </c>
      <c r="E121">
        <v>36.652000000000001</v>
      </c>
      <c r="F121">
        <v>41.680999999999997</v>
      </c>
      <c r="G121">
        <v>-1.702</v>
      </c>
      <c r="H121">
        <v>-5.0289999999999999</v>
      </c>
      <c r="I121">
        <f t="shared" si="2"/>
        <v>2.0985000000000014</v>
      </c>
      <c r="L121" s="103">
        <v>45537</v>
      </c>
      <c r="M121">
        <v>43.06</v>
      </c>
      <c r="N121">
        <v>39.036999999999999</v>
      </c>
      <c r="O121">
        <v>40.777999999999999</v>
      </c>
      <c r="P121">
        <v>48.162999999999997</v>
      </c>
      <c r="Q121">
        <v>4.0229999999999997</v>
      </c>
      <c r="R121">
        <v>-7.3849999999999998</v>
      </c>
      <c r="S121">
        <f t="shared" si="3"/>
        <v>1.410499999999999</v>
      </c>
    </row>
    <row r="122" spans="2:19" x14ac:dyDescent="0.25">
      <c r="B122" s="103">
        <v>45445</v>
      </c>
      <c r="C122">
        <v>37.024999999999999</v>
      </c>
      <c r="D122">
        <v>38.734000000000002</v>
      </c>
      <c r="E122">
        <v>36.758000000000003</v>
      </c>
      <c r="F122">
        <v>41.384</v>
      </c>
      <c r="G122">
        <v>-1.7090000000000001</v>
      </c>
      <c r="H122">
        <v>-4.6260000000000003</v>
      </c>
      <c r="I122">
        <f t="shared" si="2"/>
        <v>2.0459999999999994</v>
      </c>
      <c r="L122" s="103">
        <v>45506</v>
      </c>
      <c r="M122">
        <v>41.677999999999997</v>
      </c>
      <c r="N122">
        <v>38.817</v>
      </c>
      <c r="O122">
        <v>40.128</v>
      </c>
      <c r="P122">
        <v>45.792999999999999</v>
      </c>
      <c r="Q122">
        <v>2.8610000000000002</v>
      </c>
      <c r="R122">
        <v>-5.665</v>
      </c>
      <c r="S122">
        <f t="shared" si="3"/>
        <v>1.2824999999999989</v>
      </c>
    </row>
    <row r="123" spans="2:19" x14ac:dyDescent="0.25">
      <c r="B123" s="103">
        <v>45414</v>
      </c>
      <c r="C123">
        <v>37.137999999999998</v>
      </c>
      <c r="D123">
        <v>38.776000000000003</v>
      </c>
      <c r="E123">
        <v>36.716999999999999</v>
      </c>
      <c r="F123">
        <v>41.64</v>
      </c>
      <c r="G123">
        <v>-1.6379999999999999</v>
      </c>
      <c r="H123">
        <v>-4.923</v>
      </c>
      <c r="I123">
        <f t="shared" si="2"/>
        <v>2.0405000000000015</v>
      </c>
      <c r="L123" s="103">
        <v>45475</v>
      </c>
      <c r="M123">
        <v>41.209000000000003</v>
      </c>
      <c r="N123">
        <v>38.770000000000003</v>
      </c>
      <c r="O123">
        <v>40.112000000000002</v>
      </c>
      <c r="P123">
        <v>44.627000000000002</v>
      </c>
      <c r="Q123">
        <v>2.4390000000000001</v>
      </c>
      <c r="R123">
        <v>-4.5149999999999997</v>
      </c>
      <c r="S123">
        <f t="shared" si="3"/>
        <v>1.160499999999999</v>
      </c>
    </row>
    <row r="124" spans="2:19" x14ac:dyDescent="0.25">
      <c r="B124" s="103">
        <v>45324</v>
      </c>
      <c r="C124">
        <v>36.947000000000003</v>
      </c>
      <c r="D124">
        <v>39.110999999999997</v>
      </c>
      <c r="E124">
        <v>36.667999999999999</v>
      </c>
      <c r="F124">
        <v>41.420999999999999</v>
      </c>
      <c r="G124">
        <v>-2.1640000000000001</v>
      </c>
      <c r="H124">
        <v>-4.7530000000000001</v>
      </c>
      <c r="I124">
        <f t="shared" si="2"/>
        <v>2.0974999999999966</v>
      </c>
      <c r="L124" s="103">
        <v>45445</v>
      </c>
      <c r="M124">
        <v>40.959000000000003</v>
      </c>
      <c r="N124">
        <v>38.734000000000002</v>
      </c>
      <c r="O124">
        <v>40.293999999999997</v>
      </c>
      <c r="P124">
        <v>43.82</v>
      </c>
      <c r="Q124">
        <v>2.2250000000000001</v>
      </c>
      <c r="R124">
        <v>-3.5259999999999998</v>
      </c>
      <c r="S124">
        <f t="shared" si="3"/>
        <v>1.097999999999999</v>
      </c>
    </row>
    <row r="125" spans="2:19" x14ac:dyDescent="0.25">
      <c r="B125" s="103">
        <v>45293</v>
      </c>
      <c r="C125">
        <v>37.112000000000002</v>
      </c>
      <c r="D125">
        <v>38.854999999999997</v>
      </c>
      <c r="E125">
        <v>36.643000000000001</v>
      </c>
      <c r="F125">
        <v>41.624000000000002</v>
      </c>
      <c r="G125">
        <v>-1.7430000000000001</v>
      </c>
      <c r="H125">
        <v>-4.9809999999999999</v>
      </c>
      <c r="I125">
        <f t="shared" si="2"/>
        <v>2.0214999999999961</v>
      </c>
      <c r="L125" s="103">
        <v>45414</v>
      </c>
      <c r="M125">
        <v>41.506</v>
      </c>
      <c r="N125">
        <v>38.776000000000003</v>
      </c>
      <c r="O125">
        <v>40.356000000000002</v>
      </c>
      <c r="P125">
        <v>44.792999999999999</v>
      </c>
      <c r="Q125">
        <v>2.73</v>
      </c>
      <c r="R125">
        <v>-4.4370000000000003</v>
      </c>
      <c r="S125">
        <f t="shared" si="3"/>
        <v>1.0685000000000002</v>
      </c>
    </row>
    <row r="126" spans="2:19" x14ac:dyDescent="0.25">
      <c r="B126" s="103" t="s">
        <v>215</v>
      </c>
      <c r="C126">
        <v>36.97</v>
      </c>
      <c r="D126">
        <v>38.430999999999997</v>
      </c>
      <c r="E126">
        <v>36.74</v>
      </c>
      <c r="F126">
        <v>41.012</v>
      </c>
      <c r="G126">
        <v>-1.4610000000000001</v>
      </c>
      <c r="H126">
        <v>-4.2720000000000002</v>
      </c>
      <c r="I126">
        <f t="shared" si="2"/>
        <v>1.9060000000000059</v>
      </c>
      <c r="L126" s="103">
        <v>45324</v>
      </c>
      <c r="M126">
        <v>40.222999999999999</v>
      </c>
      <c r="N126">
        <v>39.110999999999997</v>
      </c>
      <c r="O126">
        <v>39.646000000000001</v>
      </c>
      <c r="P126">
        <v>43.344000000000001</v>
      </c>
      <c r="Q126">
        <v>1.1120000000000001</v>
      </c>
      <c r="R126">
        <v>-3.698</v>
      </c>
      <c r="S126">
        <f t="shared" si="3"/>
        <v>1.2720000000000056</v>
      </c>
    </row>
    <row r="127" spans="2:19" x14ac:dyDescent="0.25">
      <c r="B127" s="103" t="s">
        <v>216</v>
      </c>
      <c r="C127">
        <v>37.183</v>
      </c>
      <c r="D127">
        <v>38.542000000000002</v>
      </c>
      <c r="E127">
        <v>36.68</v>
      </c>
      <c r="F127">
        <v>41.42</v>
      </c>
      <c r="G127">
        <v>-1.359</v>
      </c>
      <c r="H127">
        <v>-4.74</v>
      </c>
      <c r="I127">
        <f t="shared" si="2"/>
        <v>1.8669999999999973</v>
      </c>
      <c r="L127" s="103">
        <v>45293</v>
      </c>
      <c r="M127">
        <v>40.875999999999998</v>
      </c>
      <c r="N127">
        <v>38.854999999999997</v>
      </c>
      <c r="O127">
        <v>39.704999999999998</v>
      </c>
      <c r="P127">
        <v>44.344000000000001</v>
      </c>
      <c r="Q127">
        <v>2.0209999999999999</v>
      </c>
      <c r="R127">
        <v>-4.6390000000000002</v>
      </c>
      <c r="S127">
        <f t="shared" si="3"/>
        <v>1.1485000000000056</v>
      </c>
    </row>
    <row r="128" spans="2:19" x14ac:dyDescent="0.25">
      <c r="B128" s="103" t="s">
        <v>217</v>
      </c>
      <c r="C128">
        <v>37.433</v>
      </c>
      <c r="D128">
        <v>37.968000000000004</v>
      </c>
      <c r="E128">
        <v>36.610999999999997</v>
      </c>
      <c r="F128">
        <v>42.234000000000002</v>
      </c>
      <c r="G128">
        <v>-0.53500000000000003</v>
      </c>
      <c r="H128">
        <v>-5.6230000000000002</v>
      </c>
      <c r="I128">
        <f t="shared" si="2"/>
        <v>1.9894999999999996</v>
      </c>
      <c r="L128" s="103" t="s">
        <v>215</v>
      </c>
      <c r="M128">
        <v>40.447000000000003</v>
      </c>
      <c r="N128">
        <v>38.430999999999997</v>
      </c>
      <c r="O128">
        <v>39.902999999999999</v>
      </c>
      <c r="P128">
        <v>43.043999999999997</v>
      </c>
      <c r="Q128">
        <v>2.016</v>
      </c>
      <c r="R128">
        <v>-3.141</v>
      </c>
      <c r="S128">
        <f t="shared" si="3"/>
        <v>1.0264999999999986</v>
      </c>
    </row>
    <row r="129" spans="2:19" x14ac:dyDescent="0.25">
      <c r="B129" s="103" t="s">
        <v>218</v>
      </c>
      <c r="C129">
        <v>37.036999999999999</v>
      </c>
      <c r="D129">
        <v>37.640999999999998</v>
      </c>
      <c r="E129">
        <v>36.658000000000001</v>
      </c>
      <c r="F129">
        <v>41.265999999999998</v>
      </c>
      <c r="G129">
        <v>-0.60399999999999998</v>
      </c>
      <c r="H129">
        <v>-4.6079999999999997</v>
      </c>
      <c r="I129">
        <f t="shared" si="2"/>
        <v>1.9250000000000043</v>
      </c>
      <c r="L129" s="103" t="s">
        <v>216</v>
      </c>
      <c r="M129">
        <v>40.796999999999997</v>
      </c>
      <c r="N129">
        <v>38.542000000000002</v>
      </c>
      <c r="O129">
        <v>40.090000000000003</v>
      </c>
      <c r="P129">
        <v>43.776000000000003</v>
      </c>
      <c r="Q129">
        <v>2.2549999999999999</v>
      </c>
      <c r="R129">
        <v>-3.6859999999999999</v>
      </c>
      <c r="S129">
        <f t="shared" si="3"/>
        <v>1.1360000000000099</v>
      </c>
    </row>
    <row r="130" spans="2:19" x14ac:dyDescent="0.25">
      <c r="B130" s="103" t="s">
        <v>219</v>
      </c>
      <c r="C130">
        <v>37.048000000000002</v>
      </c>
      <c r="D130">
        <v>37.579000000000001</v>
      </c>
      <c r="E130">
        <v>36.625999999999998</v>
      </c>
      <c r="F130">
        <v>41.564999999999998</v>
      </c>
      <c r="G130">
        <v>-0.53100000000000003</v>
      </c>
      <c r="H130">
        <v>-4.9390000000000001</v>
      </c>
      <c r="I130">
        <f t="shared" ref="I130:I193" si="4">IFERROR(AVERAGE(E130,F130)-C130,"")</f>
        <v>2.0474999999999994</v>
      </c>
      <c r="L130" s="103" t="s">
        <v>217</v>
      </c>
      <c r="M130">
        <v>41.652000000000001</v>
      </c>
      <c r="N130">
        <v>37.968000000000004</v>
      </c>
      <c r="O130">
        <v>41.93</v>
      </c>
      <c r="P130">
        <v>45.177</v>
      </c>
      <c r="Q130">
        <v>3.6840000000000002</v>
      </c>
      <c r="R130">
        <v>-3.2469999999999999</v>
      </c>
      <c r="S130">
        <f t="shared" ref="S130:S193" si="5">IFERROR(AVERAGE(O130,P130)-M130,"")</f>
        <v>1.9014999999999986</v>
      </c>
    </row>
    <row r="131" spans="2:19" x14ac:dyDescent="0.25">
      <c r="B131" s="103" t="s">
        <v>220</v>
      </c>
      <c r="C131">
        <v>36.679000000000002</v>
      </c>
      <c r="D131">
        <v>36.825000000000003</v>
      </c>
      <c r="E131">
        <v>36.612000000000002</v>
      </c>
      <c r="F131">
        <v>40.237000000000002</v>
      </c>
      <c r="G131">
        <v>-0.14599999999999999</v>
      </c>
      <c r="H131">
        <v>-3.625</v>
      </c>
      <c r="I131">
        <f t="shared" si="4"/>
        <v>1.7454999999999998</v>
      </c>
      <c r="L131" s="103" t="s">
        <v>218</v>
      </c>
      <c r="M131">
        <v>40.133000000000003</v>
      </c>
      <c r="N131">
        <v>37.640999999999998</v>
      </c>
      <c r="O131">
        <v>39.673999999999999</v>
      </c>
      <c r="P131">
        <v>43.101999999999997</v>
      </c>
      <c r="Q131">
        <v>2.492</v>
      </c>
      <c r="R131">
        <v>-3.4279999999999999</v>
      </c>
      <c r="S131">
        <f t="shared" si="5"/>
        <v>1.2549999999999955</v>
      </c>
    </row>
    <row r="132" spans="2:19" x14ac:dyDescent="0.25">
      <c r="B132" s="103" t="s">
        <v>221</v>
      </c>
      <c r="C132">
        <v>36.920999999999999</v>
      </c>
      <c r="D132">
        <v>35.445</v>
      </c>
      <c r="E132">
        <v>36.499000000000002</v>
      </c>
      <c r="F132">
        <v>40.923000000000002</v>
      </c>
      <c r="G132">
        <v>1.476</v>
      </c>
      <c r="H132">
        <v>-4.4240000000000004</v>
      </c>
      <c r="I132">
        <f t="shared" si="4"/>
        <v>1.7899999999999991</v>
      </c>
      <c r="L132" s="103" t="s">
        <v>219</v>
      </c>
      <c r="M132">
        <v>40.518999999999998</v>
      </c>
      <c r="N132">
        <v>37.579000000000001</v>
      </c>
      <c r="O132">
        <v>40.070999999999998</v>
      </c>
      <c r="P132">
        <v>43.368000000000002</v>
      </c>
      <c r="Q132">
        <v>2.94</v>
      </c>
      <c r="R132">
        <v>-3.2970000000000002</v>
      </c>
      <c r="S132">
        <f t="shared" si="5"/>
        <v>1.2004999999999981</v>
      </c>
    </row>
    <row r="133" spans="2:19" x14ac:dyDescent="0.25">
      <c r="B133" s="103" t="s">
        <v>222</v>
      </c>
      <c r="C133">
        <v>37.073</v>
      </c>
      <c r="D133">
        <v>35.164999999999999</v>
      </c>
      <c r="E133">
        <v>36.482999999999997</v>
      </c>
      <c r="F133">
        <v>41.335000000000001</v>
      </c>
      <c r="G133">
        <v>1.9079999999999999</v>
      </c>
      <c r="H133">
        <v>-4.8520000000000003</v>
      </c>
      <c r="I133">
        <f t="shared" si="4"/>
        <v>1.8359999999999985</v>
      </c>
      <c r="L133" s="103" t="s">
        <v>220</v>
      </c>
      <c r="M133">
        <v>39.401000000000003</v>
      </c>
      <c r="N133">
        <v>36.825000000000003</v>
      </c>
      <c r="O133">
        <v>39.442</v>
      </c>
      <c r="P133">
        <v>41.317</v>
      </c>
      <c r="Q133">
        <v>2.5760000000000001</v>
      </c>
      <c r="R133">
        <v>-1.875</v>
      </c>
      <c r="S133">
        <f t="shared" si="5"/>
        <v>0.97849999999999682</v>
      </c>
    </row>
    <row r="134" spans="2:19" x14ac:dyDescent="0.25">
      <c r="B134" s="103" t="s">
        <v>223</v>
      </c>
      <c r="C134">
        <v>36.909999999999997</v>
      </c>
      <c r="D134">
        <v>34.892000000000003</v>
      </c>
      <c r="E134">
        <v>36.4</v>
      </c>
      <c r="F134">
        <v>40.963000000000001</v>
      </c>
      <c r="G134">
        <v>2.0179999999999998</v>
      </c>
      <c r="H134">
        <v>-4.5629999999999997</v>
      </c>
      <c r="I134">
        <f t="shared" si="4"/>
        <v>1.7715000000000032</v>
      </c>
      <c r="L134" s="103" t="s">
        <v>221</v>
      </c>
      <c r="M134">
        <v>39.771999999999998</v>
      </c>
      <c r="N134">
        <v>35.445</v>
      </c>
      <c r="O134">
        <v>39.058</v>
      </c>
      <c r="P134">
        <v>42.59</v>
      </c>
      <c r="Q134">
        <v>4.327</v>
      </c>
      <c r="R134">
        <v>-3.532</v>
      </c>
      <c r="S134">
        <f t="shared" si="5"/>
        <v>1.0519999999999996</v>
      </c>
    </row>
    <row r="135" spans="2:19" x14ac:dyDescent="0.25">
      <c r="B135" s="103" t="s">
        <v>224</v>
      </c>
      <c r="C135">
        <v>36.966000000000001</v>
      </c>
      <c r="D135">
        <v>34.756</v>
      </c>
      <c r="E135">
        <v>36.396999999999998</v>
      </c>
      <c r="F135">
        <v>41.183</v>
      </c>
      <c r="G135">
        <v>2.21</v>
      </c>
      <c r="H135">
        <v>-4.7859999999999996</v>
      </c>
      <c r="I135">
        <f t="shared" si="4"/>
        <v>1.8239999999999981</v>
      </c>
      <c r="L135" s="103" t="s">
        <v>222</v>
      </c>
      <c r="M135">
        <v>40.39</v>
      </c>
      <c r="N135">
        <v>35.164999999999999</v>
      </c>
      <c r="O135">
        <v>39.415999999999997</v>
      </c>
      <c r="P135">
        <v>43.722000000000001</v>
      </c>
      <c r="Q135">
        <v>5.2249999999999996</v>
      </c>
      <c r="R135">
        <v>-4.306</v>
      </c>
      <c r="S135">
        <f t="shared" si="5"/>
        <v>1.179000000000002</v>
      </c>
    </row>
    <row r="136" spans="2:19" x14ac:dyDescent="0.25">
      <c r="B136" s="103" t="s">
        <v>225</v>
      </c>
      <c r="C136">
        <v>37.046999999999997</v>
      </c>
      <c r="D136">
        <v>34.774000000000001</v>
      </c>
      <c r="E136">
        <v>36.417999999999999</v>
      </c>
      <c r="F136">
        <v>41.337000000000003</v>
      </c>
      <c r="G136">
        <v>2.2730000000000001</v>
      </c>
      <c r="H136">
        <v>-4.9189999999999996</v>
      </c>
      <c r="I136">
        <f t="shared" si="4"/>
        <v>1.8305000000000007</v>
      </c>
      <c r="L136" s="103" t="s">
        <v>223</v>
      </c>
      <c r="M136">
        <v>39.548999999999999</v>
      </c>
      <c r="N136">
        <v>34.892000000000003</v>
      </c>
      <c r="O136">
        <v>38.706000000000003</v>
      </c>
      <c r="P136">
        <v>42.63</v>
      </c>
      <c r="Q136">
        <v>4.657</v>
      </c>
      <c r="R136">
        <v>-3.9239999999999999</v>
      </c>
      <c r="S136">
        <f t="shared" si="5"/>
        <v>1.1190000000000069</v>
      </c>
    </row>
    <row r="137" spans="2:19" x14ac:dyDescent="0.25">
      <c r="B137" s="103" t="s">
        <v>226</v>
      </c>
      <c r="C137">
        <v>37.348999999999997</v>
      </c>
      <c r="D137">
        <v>34.084000000000003</v>
      </c>
      <c r="E137">
        <v>37.01</v>
      </c>
      <c r="F137">
        <v>41.191000000000003</v>
      </c>
      <c r="G137">
        <v>3.2650000000000001</v>
      </c>
      <c r="H137">
        <v>-4.181</v>
      </c>
      <c r="I137">
        <f t="shared" si="4"/>
        <v>1.7515000000000001</v>
      </c>
      <c r="L137" s="103" t="s">
        <v>224</v>
      </c>
      <c r="M137">
        <v>39.856000000000002</v>
      </c>
      <c r="N137">
        <v>34.756</v>
      </c>
      <c r="O137">
        <v>38.658000000000001</v>
      </c>
      <c r="P137">
        <v>42.828000000000003</v>
      </c>
      <c r="Q137">
        <v>5.0999999999999996</v>
      </c>
      <c r="R137">
        <v>-4.17</v>
      </c>
      <c r="S137">
        <f t="shared" si="5"/>
        <v>0.88700000000000045</v>
      </c>
    </row>
    <row r="138" spans="2:19" x14ac:dyDescent="0.25">
      <c r="B138" s="103" t="s">
        <v>227</v>
      </c>
      <c r="C138">
        <v>38.337000000000003</v>
      </c>
      <c r="D138">
        <v>33.802</v>
      </c>
      <c r="E138">
        <v>38.067</v>
      </c>
      <c r="F138">
        <v>42.234000000000002</v>
      </c>
      <c r="G138">
        <v>4.5350000000000001</v>
      </c>
      <c r="H138">
        <v>-4.1669999999999998</v>
      </c>
      <c r="I138">
        <f t="shared" si="4"/>
        <v>1.8134999999999977</v>
      </c>
      <c r="L138" s="103" t="s">
        <v>225</v>
      </c>
      <c r="M138">
        <v>40.625999999999998</v>
      </c>
      <c r="N138">
        <v>34.774000000000001</v>
      </c>
      <c r="O138">
        <v>39.213000000000001</v>
      </c>
      <c r="P138">
        <v>44.219000000000001</v>
      </c>
      <c r="Q138">
        <v>5.8520000000000003</v>
      </c>
      <c r="R138">
        <v>-5.0060000000000002</v>
      </c>
      <c r="S138">
        <f t="shared" si="5"/>
        <v>1.0900000000000034</v>
      </c>
    </row>
    <row r="139" spans="2:19" x14ac:dyDescent="0.25">
      <c r="B139" s="103">
        <v>45627</v>
      </c>
      <c r="C139">
        <v>38.357999999999997</v>
      </c>
      <c r="D139">
        <v>33.357999999999997</v>
      </c>
      <c r="E139">
        <v>37.918999999999997</v>
      </c>
      <c r="F139">
        <v>42.502000000000002</v>
      </c>
      <c r="G139">
        <v>5</v>
      </c>
      <c r="H139">
        <v>-4.5830000000000002</v>
      </c>
      <c r="I139">
        <f t="shared" si="4"/>
        <v>1.8524999999999991</v>
      </c>
      <c r="L139" s="103" t="s">
        <v>226</v>
      </c>
      <c r="M139">
        <v>40.673000000000002</v>
      </c>
      <c r="N139">
        <v>34.084000000000003</v>
      </c>
      <c r="O139">
        <v>39.497</v>
      </c>
      <c r="P139">
        <v>44.543999999999997</v>
      </c>
      <c r="Q139">
        <v>6.5890000000000004</v>
      </c>
      <c r="R139">
        <v>-5.0469999999999997</v>
      </c>
      <c r="S139">
        <f t="shared" si="5"/>
        <v>1.3474999999999966</v>
      </c>
    </row>
    <row r="140" spans="2:19" x14ac:dyDescent="0.25">
      <c r="B140" s="103">
        <v>45597</v>
      </c>
      <c r="C140">
        <v>38.250999999999998</v>
      </c>
      <c r="D140">
        <v>32.865000000000002</v>
      </c>
      <c r="E140">
        <v>38.048999999999999</v>
      </c>
      <c r="F140">
        <v>42.244</v>
      </c>
      <c r="G140">
        <v>5.3860000000000001</v>
      </c>
      <c r="H140">
        <v>-4.1950000000000003</v>
      </c>
      <c r="I140">
        <f t="shared" si="4"/>
        <v>1.8955000000000055</v>
      </c>
      <c r="L140" s="103" t="s">
        <v>227</v>
      </c>
      <c r="M140">
        <v>41.887999999999998</v>
      </c>
      <c r="N140">
        <v>33.802</v>
      </c>
      <c r="O140">
        <v>40.966999999999999</v>
      </c>
      <c r="P140">
        <v>45.863999999999997</v>
      </c>
      <c r="Q140">
        <v>8.0860000000000003</v>
      </c>
      <c r="R140">
        <v>-4.8970000000000002</v>
      </c>
      <c r="S140">
        <f t="shared" si="5"/>
        <v>1.5274999999999963</v>
      </c>
    </row>
    <row r="141" spans="2:19" x14ac:dyDescent="0.25">
      <c r="B141" s="103">
        <v>45566</v>
      </c>
      <c r="C141">
        <v>38.371000000000002</v>
      </c>
      <c r="D141">
        <v>32.417000000000002</v>
      </c>
      <c r="E141">
        <v>38.104999999999997</v>
      </c>
      <c r="F141">
        <v>42.292999999999999</v>
      </c>
      <c r="G141">
        <v>5.9539999999999997</v>
      </c>
      <c r="H141">
        <v>-4.1879999999999997</v>
      </c>
      <c r="I141">
        <f t="shared" si="4"/>
        <v>1.8279999999999959</v>
      </c>
      <c r="L141" s="103">
        <v>45627</v>
      </c>
      <c r="M141">
        <v>41.948</v>
      </c>
      <c r="N141">
        <v>33.357999999999997</v>
      </c>
      <c r="O141">
        <v>40.625</v>
      </c>
      <c r="P141">
        <v>46.256</v>
      </c>
      <c r="Q141">
        <v>8.59</v>
      </c>
      <c r="R141">
        <v>-5.6310000000000002</v>
      </c>
      <c r="S141">
        <f t="shared" si="5"/>
        <v>1.4924999999999997</v>
      </c>
    </row>
    <row r="142" spans="2:19" x14ac:dyDescent="0.25">
      <c r="B142" s="103">
        <v>45536</v>
      </c>
      <c r="C142">
        <v>38.829000000000001</v>
      </c>
      <c r="D142">
        <v>32.506</v>
      </c>
      <c r="E142">
        <v>38.65</v>
      </c>
      <c r="F142">
        <v>42.445</v>
      </c>
      <c r="G142">
        <v>6.3230000000000004</v>
      </c>
      <c r="H142">
        <v>-3.7949999999999999</v>
      </c>
      <c r="I142">
        <f t="shared" si="4"/>
        <v>1.7184999999999988</v>
      </c>
      <c r="L142" s="103">
        <v>45597</v>
      </c>
      <c r="M142">
        <v>40.948999999999998</v>
      </c>
      <c r="N142">
        <v>32.865000000000002</v>
      </c>
      <c r="O142">
        <v>39.792000000000002</v>
      </c>
      <c r="P142">
        <v>44.816000000000003</v>
      </c>
      <c r="Q142">
        <v>8.0839999999999996</v>
      </c>
      <c r="R142">
        <v>-5.024</v>
      </c>
      <c r="S142">
        <f t="shared" si="5"/>
        <v>1.355000000000004</v>
      </c>
    </row>
    <row r="143" spans="2:19" x14ac:dyDescent="0.25">
      <c r="B143" s="103">
        <v>45505</v>
      </c>
      <c r="C143">
        <v>39.698</v>
      </c>
      <c r="D143">
        <v>32.6</v>
      </c>
      <c r="E143">
        <v>39.648000000000003</v>
      </c>
      <c r="F143">
        <v>43.47</v>
      </c>
      <c r="G143">
        <v>7.0979999999999999</v>
      </c>
      <c r="H143">
        <v>-3.8220000000000001</v>
      </c>
      <c r="I143">
        <f t="shared" si="4"/>
        <v>1.8609999999999971</v>
      </c>
      <c r="L143" s="103">
        <v>45566</v>
      </c>
      <c r="M143">
        <v>40.926000000000002</v>
      </c>
      <c r="N143">
        <v>32.417000000000002</v>
      </c>
      <c r="O143">
        <v>39.878999999999998</v>
      </c>
      <c r="P143">
        <v>44.457999999999998</v>
      </c>
      <c r="Q143">
        <v>8.5090000000000003</v>
      </c>
      <c r="R143">
        <v>-4.5789999999999997</v>
      </c>
      <c r="S143">
        <f t="shared" si="5"/>
        <v>1.2424999999999926</v>
      </c>
    </row>
    <row r="144" spans="2:19" x14ac:dyDescent="0.25">
      <c r="B144" s="103">
        <v>45413</v>
      </c>
      <c r="C144">
        <v>39.99</v>
      </c>
      <c r="D144">
        <v>31.024999999999999</v>
      </c>
      <c r="E144">
        <v>39.973999999999997</v>
      </c>
      <c r="F144">
        <v>43.411999999999999</v>
      </c>
      <c r="G144">
        <v>8.9649999999999999</v>
      </c>
      <c r="H144">
        <v>-3.4380000000000002</v>
      </c>
      <c r="I144">
        <f t="shared" si="4"/>
        <v>1.7029999999999959</v>
      </c>
      <c r="L144" s="103">
        <v>45536</v>
      </c>
      <c r="M144">
        <v>41.387999999999998</v>
      </c>
      <c r="N144">
        <v>32.506</v>
      </c>
      <c r="O144">
        <v>40.548000000000002</v>
      </c>
      <c r="P144">
        <v>44.996000000000002</v>
      </c>
      <c r="Q144">
        <v>8.8819999999999997</v>
      </c>
      <c r="R144">
        <v>-4.4480000000000004</v>
      </c>
      <c r="S144">
        <f t="shared" si="5"/>
        <v>1.3840000000000074</v>
      </c>
    </row>
    <row r="145" spans="2:19" x14ac:dyDescent="0.25">
      <c r="B145" s="103">
        <v>45383</v>
      </c>
      <c r="C145">
        <v>40.546999999999997</v>
      </c>
      <c r="D145">
        <v>30.98</v>
      </c>
      <c r="E145">
        <v>40.631</v>
      </c>
      <c r="F145">
        <v>44.103999999999999</v>
      </c>
      <c r="G145">
        <v>9.5670000000000002</v>
      </c>
      <c r="H145">
        <v>-3.4729999999999999</v>
      </c>
      <c r="I145">
        <f t="shared" si="4"/>
        <v>1.8205000000000027</v>
      </c>
      <c r="L145" s="103">
        <v>45505</v>
      </c>
      <c r="M145">
        <v>42.45</v>
      </c>
      <c r="N145">
        <v>32.6</v>
      </c>
      <c r="O145">
        <v>41.607999999999997</v>
      </c>
      <c r="P145">
        <v>46.41</v>
      </c>
      <c r="Q145">
        <v>9.85</v>
      </c>
      <c r="R145">
        <v>-4.8019999999999996</v>
      </c>
      <c r="S145">
        <f t="shared" si="5"/>
        <v>1.5589999999999975</v>
      </c>
    </row>
    <row r="146" spans="2:19" x14ac:dyDescent="0.25">
      <c r="B146" s="103">
        <v>45352</v>
      </c>
      <c r="C146">
        <v>40.488</v>
      </c>
      <c r="D146">
        <v>31.771000000000001</v>
      </c>
      <c r="E146">
        <v>40.692</v>
      </c>
      <c r="F146">
        <v>43.77</v>
      </c>
      <c r="G146">
        <v>8.7170000000000005</v>
      </c>
      <c r="H146">
        <v>-3.0779999999999998</v>
      </c>
      <c r="I146">
        <f t="shared" si="4"/>
        <v>1.7430000000000021</v>
      </c>
      <c r="L146" s="103">
        <v>45413</v>
      </c>
      <c r="M146">
        <v>42.006999999999998</v>
      </c>
      <c r="N146">
        <v>31.024999999999999</v>
      </c>
      <c r="O146">
        <v>41.753999999999998</v>
      </c>
      <c r="P146">
        <v>45.143000000000001</v>
      </c>
      <c r="Q146">
        <v>10.981999999999999</v>
      </c>
      <c r="R146">
        <v>-3.3889999999999998</v>
      </c>
      <c r="S146">
        <f t="shared" si="5"/>
        <v>1.4414999999999978</v>
      </c>
    </row>
    <row r="147" spans="2:19" x14ac:dyDescent="0.25">
      <c r="B147" s="103">
        <v>45323</v>
      </c>
      <c r="C147">
        <v>40.585000000000001</v>
      </c>
      <c r="D147">
        <v>31.702000000000002</v>
      </c>
      <c r="E147">
        <v>40.686</v>
      </c>
      <c r="F147">
        <v>44.057000000000002</v>
      </c>
      <c r="G147">
        <v>8.8829999999999991</v>
      </c>
      <c r="H147">
        <v>-3.371</v>
      </c>
      <c r="I147">
        <f t="shared" si="4"/>
        <v>1.7864999999999966</v>
      </c>
      <c r="L147" s="103">
        <v>45383</v>
      </c>
      <c r="M147">
        <v>42.762999999999998</v>
      </c>
      <c r="N147">
        <v>30.98</v>
      </c>
      <c r="O147">
        <v>42.34</v>
      </c>
      <c r="P147">
        <v>45.755000000000003</v>
      </c>
      <c r="Q147">
        <v>11.782999999999999</v>
      </c>
      <c r="R147">
        <v>-3.415</v>
      </c>
      <c r="S147">
        <f t="shared" si="5"/>
        <v>1.2845000000000013</v>
      </c>
    </row>
    <row r="148" spans="2:19" x14ac:dyDescent="0.25">
      <c r="B148" s="103" t="s">
        <v>228</v>
      </c>
      <c r="C148">
        <v>40.417999999999999</v>
      </c>
      <c r="D148">
        <v>29.478000000000002</v>
      </c>
      <c r="E148">
        <v>40.722000000000001</v>
      </c>
      <c r="F148">
        <v>42.956000000000003</v>
      </c>
      <c r="G148">
        <v>10.94</v>
      </c>
      <c r="H148">
        <v>-2.234</v>
      </c>
      <c r="I148">
        <f t="shared" si="4"/>
        <v>1.4209999999999994</v>
      </c>
      <c r="L148" s="103">
        <v>45352</v>
      </c>
      <c r="M148">
        <v>42.68</v>
      </c>
      <c r="N148">
        <v>31.771000000000001</v>
      </c>
      <c r="O148">
        <v>42.502000000000002</v>
      </c>
      <c r="P148">
        <v>45.67</v>
      </c>
      <c r="Q148">
        <v>10.909000000000001</v>
      </c>
      <c r="R148">
        <v>-3.1680000000000001</v>
      </c>
      <c r="S148">
        <f t="shared" si="5"/>
        <v>1.4059999999999988</v>
      </c>
    </row>
    <row r="149" spans="2:19" x14ac:dyDescent="0.25">
      <c r="B149" s="103" t="s">
        <v>229</v>
      </c>
      <c r="C149">
        <v>40.432000000000002</v>
      </c>
      <c r="D149">
        <v>29.603000000000002</v>
      </c>
      <c r="E149">
        <v>40.709000000000003</v>
      </c>
      <c r="F149">
        <v>43.119</v>
      </c>
      <c r="G149">
        <v>10.829000000000001</v>
      </c>
      <c r="H149">
        <v>-2.41</v>
      </c>
      <c r="I149">
        <f t="shared" si="4"/>
        <v>1.4819999999999993</v>
      </c>
      <c r="L149" s="103">
        <v>45323</v>
      </c>
      <c r="M149">
        <v>42.831000000000003</v>
      </c>
      <c r="N149">
        <v>31.702000000000002</v>
      </c>
      <c r="O149">
        <v>42.555</v>
      </c>
      <c r="P149">
        <v>46.223999999999997</v>
      </c>
      <c r="Q149">
        <v>11.129</v>
      </c>
      <c r="R149">
        <v>-3.669</v>
      </c>
      <c r="S149">
        <f t="shared" si="5"/>
        <v>1.5584999999999951</v>
      </c>
    </row>
    <row r="150" spans="2:19" x14ac:dyDescent="0.25">
      <c r="B150" s="103" t="s">
        <v>230</v>
      </c>
      <c r="C150">
        <v>40.454999999999998</v>
      </c>
      <c r="D150">
        <v>30.085999999999999</v>
      </c>
      <c r="E150">
        <v>40.762</v>
      </c>
      <c r="F150">
        <v>43.082999999999998</v>
      </c>
      <c r="G150">
        <v>10.369</v>
      </c>
      <c r="H150">
        <v>-2.3210000000000002</v>
      </c>
      <c r="I150">
        <f t="shared" si="4"/>
        <v>1.4675000000000011</v>
      </c>
      <c r="L150" s="103">
        <v>45292</v>
      </c>
      <c r="M150" t="s">
        <v>189</v>
      </c>
      <c r="N150" t="s">
        <v>189</v>
      </c>
      <c r="O150" t="s">
        <v>189</v>
      </c>
      <c r="P150" t="s">
        <v>189</v>
      </c>
      <c r="Q150" t="s">
        <v>189</v>
      </c>
      <c r="R150">
        <v>-1.478</v>
      </c>
      <c r="S150" t="str">
        <f t="shared" si="5"/>
        <v/>
      </c>
    </row>
    <row r="151" spans="2:19" x14ac:dyDescent="0.25">
      <c r="B151" s="103" t="s">
        <v>231</v>
      </c>
      <c r="C151">
        <v>40.494</v>
      </c>
      <c r="D151">
        <v>30.055</v>
      </c>
      <c r="E151">
        <v>40.634999999999998</v>
      </c>
      <c r="F151">
        <v>43.018999999999998</v>
      </c>
      <c r="G151">
        <v>10.439</v>
      </c>
      <c r="H151">
        <v>-2.3839999999999999</v>
      </c>
      <c r="I151">
        <f t="shared" si="4"/>
        <v>1.3329999999999984</v>
      </c>
      <c r="L151" s="103" t="s">
        <v>228</v>
      </c>
      <c r="M151">
        <v>42.107999999999997</v>
      </c>
      <c r="N151">
        <v>29.478000000000002</v>
      </c>
      <c r="O151">
        <v>42.488</v>
      </c>
      <c r="P151">
        <v>43.966000000000001</v>
      </c>
      <c r="Q151">
        <v>12.63</v>
      </c>
      <c r="R151">
        <v>-1.478</v>
      </c>
      <c r="S151">
        <f t="shared" si="5"/>
        <v>1.1190000000000069</v>
      </c>
    </row>
    <row r="152" spans="2:19" x14ac:dyDescent="0.25">
      <c r="B152" s="103" t="s">
        <v>232</v>
      </c>
      <c r="C152">
        <v>40.545000000000002</v>
      </c>
      <c r="D152">
        <v>29.962</v>
      </c>
      <c r="E152">
        <v>40.520000000000003</v>
      </c>
      <c r="F152">
        <v>43.393999999999998</v>
      </c>
      <c r="G152">
        <v>10.583</v>
      </c>
      <c r="H152">
        <v>-2.8740000000000001</v>
      </c>
      <c r="I152">
        <f t="shared" si="4"/>
        <v>1.411999999999999</v>
      </c>
      <c r="L152" s="103" t="s">
        <v>229</v>
      </c>
      <c r="M152">
        <v>42.241</v>
      </c>
      <c r="N152">
        <v>29.603000000000002</v>
      </c>
      <c r="O152">
        <v>42.588999999999999</v>
      </c>
      <c r="P152">
        <v>44.194000000000003</v>
      </c>
      <c r="Q152">
        <v>12.638</v>
      </c>
      <c r="R152">
        <v>-1.605</v>
      </c>
      <c r="S152">
        <f t="shared" si="5"/>
        <v>1.150500000000001</v>
      </c>
    </row>
    <row r="153" spans="2:19" x14ac:dyDescent="0.25">
      <c r="B153" s="103" t="s">
        <v>233</v>
      </c>
      <c r="C153">
        <v>40.625</v>
      </c>
      <c r="D153">
        <v>29.233000000000001</v>
      </c>
      <c r="E153">
        <v>40.545000000000002</v>
      </c>
      <c r="F153">
        <v>43.470999999999997</v>
      </c>
      <c r="G153">
        <v>11.391999999999999</v>
      </c>
      <c r="H153">
        <v>-2.9260000000000002</v>
      </c>
      <c r="I153">
        <f t="shared" si="4"/>
        <v>1.3829999999999956</v>
      </c>
      <c r="L153" s="103" t="s">
        <v>230</v>
      </c>
      <c r="M153">
        <v>42.325000000000003</v>
      </c>
      <c r="N153">
        <v>30.085999999999999</v>
      </c>
      <c r="O153">
        <v>42.662999999999997</v>
      </c>
      <c r="P153">
        <v>44.362000000000002</v>
      </c>
      <c r="Q153">
        <v>12.239000000000001</v>
      </c>
      <c r="R153">
        <v>-1.6990000000000001</v>
      </c>
      <c r="S153">
        <f t="shared" si="5"/>
        <v>1.1875</v>
      </c>
    </row>
    <row r="154" spans="2:19" x14ac:dyDescent="0.25">
      <c r="B154" s="103" t="s">
        <v>234</v>
      </c>
      <c r="C154">
        <v>40.825000000000003</v>
      </c>
      <c r="D154">
        <v>26.920999999999999</v>
      </c>
      <c r="E154">
        <v>40.563000000000002</v>
      </c>
      <c r="F154">
        <v>44.302</v>
      </c>
      <c r="G154">
        <v>13.904</v>
      </c>
      <c r="H154">
        <v>-3.7389999999999999</v>
      </c>
      <c r="I154">
        <f t="shared" si="4"/>
        <v>1.6075000000000017</v>
      </c>
      <c r="L154" s="103" t="s">
        <v>235</v>
      </c>
      <c r="M154" t="s">
        <v>189</v>
      </c>
      <c r="N154" t="s">
        <v>189</v>
      </c>
      <c r="O154" t="s">
        <v>189</v>
      </c>
      <c r="P154" t="s">
        <v>189</v>
      </c>
      <c r="Q154" t="s">
        <v>189</v>
      </c>
      <c r="R154">
        <v>-2.3050000000000002</v>
      </c>
      <c r="S154" t="str">
        <f t="shared" si="5"/>
        <v/>
      </c>
    </row>
    <row r="155" spans="2:19" x14ac:dyDescent="0.25">
      <c r="B155" s="103" t="s">
        <v>236</v>
      </c>
      <c r="C155">
        <v>40.878</v>
      </c>
      <c r="D155">
        <v>26.937999999999999</v>
      </c>
      <c r="E155">
        <v>40.542999999999999</v>
      </c>
      <c r="F155">
        <v>44.244</v>
      </c>
      <c r="G155">
        <v>13.94</v>
      </c>
      <c r="H155">
        <v>-3.7010000000000001</v>
      </c>
      <c r="I155">
        <f t="shared" si="4"/>
        <v>1.515500000000003</v>
      </c>
      <c r="L155" s="103" t="s">
        <v>237</v>
      </c>
      <c r="M155" t="s">
        <v>189</v>
      </c>
      <c r="N155" t="s">
        <v>189</v>
      </c>
      <c r="O155" t="s">
        <v>189</v>
      </c>
      <c r="P155" t="s">
        <v>189</v>
      </c>
      <c r="Q155" t="s">
        <v>189</v>
      </c>
      <c r="R155">
        <v>-2.3050000000000002</v>
      </c>
      <c r="S155" t="str">
        <f t="shared" si="5"/>
        <v/>
      </c>
    </row>
    <row r="156" spans="2:19" x14ac:dyDescent="0.25">
      <c r="B156" s="103" t="s">
        <v>238</v>
      </c>
      <c r="C156">
        <v>41.008000000000003</v>
      </c>
      <c r="D156">
        <v>25.829000000000001</v>
      </c>
      <c r="E156">
        <v>40.466999999999999</v>
      </c>
      <c r="F156">
        <v>44.72</v>
      </c>
      <c r="G156">
        <v>15.179</v>
      </c>
      <c r="H156">
        <v>-4.2530000000000001</v>
      </c>
      <c r="I156">
        <f t="shared" si="4"/>
        <v>1.5854999999999961</v>
      </c>
      <c r="L156" s="103" t="s">
        <v>231</v>
      </c>
      <c r="M156">
        <v>42.286000000000001</v>
      </c>
      <c r="N156">
        <v>30.055</v>
      </c>
      <c r="O156">
        <v>42.387</v>
      </c>
      <c r="P156">
        <v>44.692</v>
      </c>
      <c r="Q156">
        <v>12.231</v>
      </c>
      <c r="R156">
        <v>-2.3050000000000002</v>
      </c>
      <c r="S156">
        <f t="shared" si="5"/>
        <v>1.2535000000000025</v>
      </c>
    </row>
    <row r="157" spans="2:19" x14ac:dyDescent="0.25">
      <c r="B157" s="103" t="s">
        <v>239</v>
      </c>
      <c r="C157">
        <v>40.067999999999998</v>
      </c>
      <c r="D157">
        <v>25.83</v>
      </c>
      <c r="E157">
        <v>39.512999999999998</v>
      </c>
      <c r="F157">
        <v>43.588999999999999</v>
      </c>
      <c r="G157">
        <v>14.238</v>
      </c>
      <c r="H157">
        <v>-4.0759999999999996</v>
      </c>
      <c r="I157">
        <f t="shared" si="4"/>
        <v>1.4830000000000041</v>
      </c>
      <c r="L157" s="103" t="s">
        <v>232</v>
      </c>
      <c r="M157">
        <v>42.743000000000002</v>
      </c>
      <c r="N157">
        <v>29.962</v>
      </c>
      <c r="O157">
        <v>42.35</v>
      </c>
      <c r="P157">
        <v>45.136000000000003</v>
      </c>
      <c r="Q157">
        <v>12.781000000000001</v>
      </c>
      <c r="R157">
        <v>-2.786</v>
      </c>
      <c r="S157">
        <f t="shared" si="5"/>
        <v>1</v>
      </c>
    </row>
    <row r="158" spans="2:19" x14ac:dyDescent="0.25">
      <c r="B158" s="103" t="s">
        <v>240</v>
      </c>
      <c r="C158">
        <v>40.454000000000001</v>
      </c>
      <c r="D158">
        <v>25.396000000000001</v>
      </c>
      <c r="E158">
        <v>39.970999999999997</v>
      </c>
      <c r="F158">
        <v>43.828000000000003</v>
      </c>
      <c r="G158">
        <v>15.058</v>
      </c>
      <c r="H158">
        <v>-3.8570000000000002</v>
      </c>
      <c r="I158">
        <f t="shared" si="4"/>
        <v>1.4455000000000027</v>
      </c>
      <c r="L158" s="103" t="s">
        <v>233</v>
      </c>
      <c r="M158">
        <v>42.631</v>
      </c>
      <c r="N158">
        <v>29.233000000000001</v>
      </c>
      <c r="O158">
        <v>42.527000000000001</v>
      </c>
      <c r="P158">
        <v>45.421999999999997</v>
      </c>
      <c r="Q158">
        <v>13.398</v>
      </c>
      <c r="R158">
        <v>-2.895</v>
      </c>
      <c r="S158">
        <f t="shared" si="5"/>
        <v>1.3434999999999988</v>
      </c>
    </row>
    <row r="159" spans="2:19" x14ac:dyDescent="0.25">
      <c r="B159" s="103">
        <v>45272</v>
      </c>
      <c r="C159">
        <v>47.222000000000001</v>
      </c>
      <c r="D159">
        <v>25.859000000000002</v>
      </c>
      <c r="E159">
        <v>46.496000000000002</v>
      </c>
      <c r="F159">
        <v>48.195</v>
      </c>
      <c r="G159">
        <v>21.363</v>
      </c>
      <c r="H159">
        <v>-1.6990000000000001</v>
      </c>
      <c r="I159">
        <f t="shared" si="4"/>
        <v>0.12349999999999994</v>
      </c>
      <c r="L159" s="103" t="s">
        <v>234</v>
      </c>
      <c r="M159">
        <v>43.215000000000003</v>
      </c>
      <c r="N159">
        <v>26.920999999999999</v>
      </c>
      <c r="O159">
        <v>42.445</v>
      </c>
      <c r="P159">
        <v>46.84</v>
      </c>
      <c r="Q159">
        <v>16.294</v>
      </c>
      <c r="R159">
        <v>-4.3949999999999996</v>
      </c>
      <c r="S159">
        <f t="shared" si="5"/>
        <v>1.4274999999999949</v>
      </c>
    </row>
    <row r="160" spans="2:19" x14ac:dyDescent="0.25">
      <c r="B160" s="103">
        <v>45242</v>
      </c>
      <c r="C160">
        <v>63.24</v>
      </c>
      <c r="D160">
        <v>26.047999999999998</v>
      </c>
      <c r="E160">
        <v>61.906999999999996</v>
      </c>
      <c r="F160">
        <v>67.222999999999999</v>
      </c>
      <c r="G160">
        <v>37.192</v>
      </c>
      <c r="H160">
        <v>-5.3159999999999998</v>
      </c>
      <c r="I160">
        <f t="shared" si="4"/>
        <v>1.3249999999999957</v>
      </c>
      <c r="L160" s="103" t="s">
        <v>236</v>
      </c>
      <c r="M160">
        <v>43.956000000000003</v>
      </c>
      <c r="N160">
        <v>26.937999999999999</v>
      </c>
      <c r="O160">
        <v>42.563000000000002</v>
      </c>
      <c r="P160">
        <v>48.216000000000001</v>
      </c>
      <c r="Q160">
        <v>17.018000000000001</v>
      </c>
      <c r="R160">
        <v>-5.6529999999999996</v>
      </c>
      <c r="S160">
        <f t="shared" si="5"/>
        <v>1.4334999999999951</v>
      </c>
    </row>
    <row r="161" spans="2:19" x14ac:dyDescent="0.25">
      <c r="B161" s="103">
        <v>45150</v>
      </c>
      <c r="C161">
        <v>44.406999999999996</v>
      </c>
      <c r="D161">
        <v>25.855</v>
      </c>
      <c r="E161">
        <v>44.012999999999998</v>
      </c>
      <c r="F161">
        <v>46.945999999999998</v>
      </c>
      <c r="G161">
        <v>18.552</v>
      </c>
      <c r="H161">
        <v>-2.9329999999999998</v>
      </c>
      <c r="I161">
        <f t="shared" si="4"/>
        <v>1.0725000000000051</v>
      </c>
      <c r="L161" s="103" t="s">
        <v>238</v>
      </c>
      <c r="M161">
        <v>44.616999999999997</v>
      </c>
      <c r="N161">
        <v>25.829000000000001</v>
      </c>
      <c r="O161">
        <v>43.094000000000001</v>
      </c>
      <c r="P161">
        <v>49.335000000000001</v>
      </c>
      <c r="Q161">
        <v>18.788</v>
      </c>
      <c r="R161">
        <v>-6.2409999999999997</v>
      </c>
      <c r="S161">
        <f t="shared" si="5"/>
        <v>1.5975000000000037</v>
      </c>
    </row>
    <row r="162" spans="2:19" x14ac:dyDescent="0.25">
      <c r="B162" s="103">
        <v>45119</v>
      </c>
      <c r="C162">
        <v>44.646999999999998</v>
      </c>
      <c r="D162">
        <v>25.931000000000001</v>
      </c>
      <c r="E162">
        <v>45.261000000000003</v>
      </c>
      <c r="F162">
        <v>46.914999999999999</v>
      </c>
      <c r="G162">
        <v>18.716000000000001</v>
      </c>
      <c r="H162">
        <v>-1.6539999999999999</v>
      </c>
      <c r="I162">
        <f t="shared" si="4"/>
        <v>1.4410000000000025</v>
      </c>
      <c r="L162" s="103" t="s">
        <v>239</v>
      </c>
      <c r="M162">
        <v>43.646999999999998</v>
      </c>
      <c r="N162">
        <v>25.83</v>
      </c>
      <c r="O162">
        <v>42.155000000000001</v>
      </c>
      <c r="P162">
        <v>48.231999999999999</v>
      </c>
      <c r="Q162">
        <v>17.817</v>
      </c>
      <c r="R162">
        <v>-6.077</v>
      </c>
      <c r="S162">
        <f t="shared" si="5"/>
        <v>1.5465000000000018</v>
      </c>
    </row>
    <row r="163" spans="2:19" x14ac:dyDescent="0.25">
      <c r="B163" s="103">
        <v>45089</v>
      </c>
      <c r="C163">
        <v>44.378</v>
      </c>
      <c r="D163">
        <v>25.776</v>
      </c>
      <c r="E163">
        <v>44.128999999999998</v>
      </c>
      <c r="F163">
        <v>47.161000000000001</v>
      </c>
      <c r="G163">
        <v>18.602</v>
      </c>
      <c r="H163">
        <v>-3.032</v>
      </c>
      <c r="I163">
        <f t="shared" si="4"/>
        <v>1.2669999999999959</v>
      </c>
      <c r="L163" s="103" t="s">
        <v>240</v>
      </c>
      <c r="M163">
        <v>44.491999999999997</v>
      </c>
      <c r="N163">
        <v>25.396000000000001</v>
      </c>
      <c r="O163">
        <v>43.308999999999997</v>
      </c>
      <c r="P163">
        <v>48.155000000000001</v>
      </c>
      <c r="Q163">
        <v>19.096</v>
      </c>
      <c r="R163">
        <v>-4.8460000000000001</v>
      </c>
      <c r="S163">
        <f t="shared" si="5"/>
        <v>1.240000000000002</v>
      </c>
    </row>
    <row r="164" spans="2:19" x14ac:dyDescent="0.25">
      <c r="B164" s="103">
        <v>45058</v>
      </c>
      <c r="C164">
        <v>44.933999999999997</v>
      </c>
      <c r="D164">
        <v>25.763999999999999</v>
      </c>
      <c r="E164">
        <v>45.063000000000002</v>
      </c>
      <c r="F164">
        <v>47.423000000000002</v>
      </c>
      <c r="G164">
        <v>19.170000000000002</v>
      </c>
      <c r="H164">
        <v>-2.36</v>
      </c>
      <c r="I164">
        <f t="shared" si="4"/>
        <v>1.3090000000000046</v>
      </c>
      <c r="L164" s="103">
        <v>45272</v>
      </c>
      <c r="M164">
        <v>47.222000000000001</v>
      </c>
      <c r="N164">
        <v>25.859000000000002</v>
      </c>
      <c r="O164">
        <v>46.496000000000002</v>
      </c>
      <c r="P164">
        <v>48.195</v>
      </c>
      <c r="Q164">
        <v>21.363</v>
      </c>
      <c r="R164">
        <v>-1.6990000000000001</v>
      </c>
      <c r="S164">
        <f t="shared" si="5"/>
        <v>0.12349999999999994</v>
      </c>
    </row>
    <row r="165" spans="2:19" x14ac:dyDescent="0.25">
      <c r="B165" s="103">
        <v>45028</v>
      </c>
      <c r="C165">
        <v>44.896000000000001</v>
      </c>
      <c r="D165">
        <v>25.943000000000001</v>
      </c>
      <c r="E165">
        <v>45.112000000000002</v>
      </c>
      <c r="F165">
        <v>47.341000000000001</v>
      </c>
      <c r="G165">
        <v>18.952999999999999</v>
      </c>
      <c r="H165">
        <v>-2.2290000000000001</v>
      </c>
      <c r="I165">
        <f t="shared" si="4"/>
        <v>1.3305000000000007</v>
      </c>
      <c r="L165" s="103">
        <v>45242</v>
      </c>
      <c r="M165">
        <v>63.24</v>
      </c>
      <c r="N165">
        <v>26.047999999999998</v>
      </c>
      <c r="O165">
        <v>61.906999999999996</v>
      </c>
      <c r="P165">
        <v>67.222999999999999</v>
      </c>
      <c r="Q165">
        <v>37.192</v>
      </c>
      <c r="R165">
        <v>-5.3159999999999998</v>
      </c>
      <c r="S165">
        <f t="shared" si="5"/>
        <v>1.3249999999999957</v>
      </c>
    </row>
    <row r="166" spans="2:19" x14ac:dyDescent="0.25">
      <c r="B166" s="103">
        <v>44938</v>
      </c>
      <c r="C166">
        <v>41.716999999999999</v>
      </c>
      <c r="D166">
        <v>25.303000000000001</v>
      </c>
      <c r="E166">
        <v>41.908999999999999</v>
      </c>
      <c r="F166">
        <v>44.290999999999997</v>
      </c>
      <c r="G166">
        <v>16.414000000000001</v>
      </c>
      <c r="H166">
        <v>-2.3820000000000001</v>
      </c>
      <c r="I166">
        <f t="shared" si="4"/>
        <v>1.3829999999999956</v>
      </c>
      <c r="L166" s="103">
        <v>45150</v>
      </c>
      <c r="M166">
        <v>44.406999999999996</v>
      </c>
      <c r="N166">
        <v>25.855</v>
      </c>
      <c r="O166">
        <v>44.012999999999998</v>
      </c>
      <c r="P166">
        <v>46.945999999999998</v>
      </c>
      <c r="Q166">
        <v>18.552</v>
      </c>
      <c r="R166">
        <v>-2.9329999999999998</v>
      </c>
      <c r="S166">
        <f t="shared" si="5"/>
        <v>1.0725000000000051</v>
      </c>
    </row>
    <row r="167" spans="2:19" x14ac:dyDescent="0.25">
      <c r="B167" s="103" t="s">
        <v>241</v>
      </c>
      <c r="C167">
        <v>42.762</v>
      </c>
      <c r="D167">
        <v>24.725999999999999</v>
      </c>
      <c r="E167">
        <v>41.64</v>
      </c>
      <c r="F167">
        <v>47.155999999999999</v>
      </c>
      <c r="G167">
        <v>18.036000000000001</v>
      </c>
      <c r="H167">
        <v>-5.516</v>
      </c>
      <c r="I167">
        <f t="shared" si="4"/>
        <v>1.6359999999999957</v>
      </c>
      <c r="L167" s="103">
        <v>45119</v>
      </c>
      <c r="M167">
        <v>44.646999999999998</v>
      </c>
      <c r="N167">
        <v>25.931000000000001</v>
      </c>
      <c r="O167">
        <v>45.261000000000003</v>
      </c>
      <c r="P167">
        <v>46.914999999999999</v>
      </c>
      <c r="Q167">
        <v>18.716000000000001</v>
      </c>
      <c r="R167">
        <v>-1.6539999999999999</v>
      </c>
      <c r="S167">
        <f t="shared" si="5"/>
        <v>1.4410000000000025</v>
      </c>
    </row>
    <row r="168" spans="2:19" x14ac:dyDescent="0.25">
      <c r="B168" s="103" t="s">
        <v>242</v>
      </c>
      <c r="C168">
        <v>41.468000000000004</v>
      </c>
      <c r="D168">
        <v>24.92</v>
      </c>
      <c r="E168">
        <v>40.203000000000003</v>
      </c>
      <c r="F168">
        <v>46.338999999999999</v>
      </c>
      <c r="G168">
        <v>16.547999999999998</v>
      </c>
      <c r="H168">
        <v>-6.1360000000000001</v>
      </c>
      <c r="I168">
        <f t="shared" si="4"/>
        <v>1.8029999999999973</v>
      </c>
      <c r="L168" s="103">
        <v>45089</v>
      </c>
      <c r="M168">
        <v>44.378</v>
      </c>
      <c r="N168">
        <v>25.776</v>
      </c>
      <c r="O168">
        <v>44.128999999999998</v>
      </c>
      <c r="P168">
        <v>47.161000000000001</v>
      </c>
      <c r="Q168">
        <v>18.602</v>
      </c>
      <c r="R168">
        <v>-3.032</v>
      </c>
      <c r="S168">
        <f t="shared" si="5"/>
        <v>1.2669999999999959</v>
      </c>
    </row>
    <row r="169" spans="2:19" x14ac:dyDescent="0.25">
      <c r="B169" s="103" t="s">
        <v>243</v>
      </c>
      <c r="C169">
        <v>40.081000000000003</v>
      </c>
      <c r="D169">
        <v>24.413</v>
      </c>
      <c r="E169">
        <v>39.555</v>
      </c>
      <c r="F169">
        <v>43.216999999999999</v>
      </c>
      <c r="G169">
        <v>15.667999999999999</v>
      </c>
      <c r="H169">
        <v>-3.6619999999999999</v>
      </c>
      <c r="I169">
        <f t="shared" si="4"/>
        <v>1.3049999999999926</v>
      </c>
      <c r="L169" s="103">
        <v>45058</v>
      </c>
      <c r="M169">
        <v>44.933999999999997</v>
      </c>
      <c r="N169">
        <v>25.763999999999999</v>
      </c>
      <c r="O169">
        <v>45.063000000000002</v>
      </c>
      <c r="P169">
        <v>47.423000000000002</v>
      </c>
      <c r="Q169">
        <v>19.170000000000002</v>
      </c>
      <c r="R169">
        <v>-2.36</v>
      </c>
      <c r="S169">
        <f t="shared" si="5"/>
        <v>1.3090000000000046</v>
      </c>
    </row>
    <row r="170" spans="2:19" x14ac:dyDescent="0.25">
      <c r="B170" s="103" t="s">
        <v>244</v>
      </c>
      <c r="C170">
        <v>38.988999999999997</v>
      </c>
      <c r="D170">
        <v>24.369</v>
      </c>
      <c r="E170">
        <v>38.851999999999997</v>
      </c>
      <c r="F170">
        <v>42.518000000000001</v>
      </c>
      <c r="G170">
        <v>14.62</v>
      </c>
      <c r="H170">
        <v>-3.6659999999999999</v>
      </c>
      <c r="I170">
        <f t="shared" si="4"/>
        <v>1.6960000000000051</v>
      </c>
      <c r="L170" s="103">
        <v>45028</v>
      </c>
      <c r="M170">
        <v>44.896000000000001</v>
      </c>
      <c r="N170">
        <v>25.943000000000001</v>
      </c>
      <c r="O170">
        <v>45.112000000000002</v>
      </c>
      <c r="P170">
        <v>47.341000000000001</v>
      </c>
      <c r="Q170">
        <v>18.952999999999999</v>
      </c>
      <c r="R170">
        <v>-2.2290000000000001</v>
      </c>
      <c r="S170">
        <f t="shared" si="5"/>
        <v>1.3305000000000007</v>
      </c>
    </row>
    <row r="171" spans="2:19" x14ac:dyDescent="0.25">
      <c r="B171" s="103" t="s">
        <v>245</v>
      </c>
      <c r="C171">
        <v>37.220999999999997</v>
      </c>
      <c r="D171">
        <v>23.032</v>
      </c>
      <c r="E171">
        <v>37.694000000000003</v>
      </c>
      <c r="F171">
        <v>39.284999999999997</v>
      </c>
      <c r="G171">
        <v>14.189</v>
      </c>
      <c r="H171">
        <v>-1.591</v>
      </c>
      <c r="I171">
        <f t="shared" si="4"/>
        <v>1.2685000000000031</v>
      </c>
      <c r="L171" s="103">
        <v>44938</v>
      </c>
      <c r="M171">
        <v>41.716999999999999</v>
      </c>
      <c r="N171">
        <v>25.303000000000001</v>
      </c>
      <c r="O171">
        <v>41.908999999999999</v>
      </c>
      <c r="P171">
        <v>44.290999999999997</v>
      </c>
      <c r="Q171">
        <v>16.414000000000001</v>
      </c>
      <c r="R171">
        <v>-2.3820000000000001</v>
      </c>
      <c r="S171">
        <f t="shared" si="5"/>
        <v>1.3829999999999956</v>
      </c>
    </row>
    <row r="172" spans="2:19" x14ac:dyDescent="0.25">
      <c r="B172" s="103" t="s">
        <v>246</v>
      </c>
      <c r="C172">
        <v>37.634999999999998</v>
      </c>
      <c r="D172">
        <v>23.155000000000001</v>
      </c>
      <c r="E172">
        <v>37.567999999999998</v>
      </c>
      <c r="F172">
        <v>39.738</v>
      </c>
      <c r="G172">
        <v>14.48</v>
      </c>
      <c r="H172">
        <v>-2.17</v>
      </c>
      <c r="I172">
        <f t="shared" si="4"/>
        <v>1.0180000000000007</v>
      </c>
      <c r="L172" s="103" t="s">
        <v>241</v>
      </c>
      <c r="M172" s="2">
        <v>42.762</v>
      </c>
      <c r="N172">
        <v>24.725999999999999</v>
      </c>
      <c r="O172">
        <v>41.64</v>
      </c>
      <c r="P172">
        <v>47.155999999999999</v>
      </c>
      <c r="Q172">
        <v>18.036000000000001</v>
      </c>
      <c r="R172">
        <v>-5.516</v>
      </c>
      <c r="S172">
        <f t="shared" si="5"/>
        <v>1.6359999999999957</v>
      </c>
    </row>
    <row r="173" spans="2:19" x14ac:dyDescent="0.25">
      <c r="B173" s="103" t="s">
        <v>247</v>
      </c>
      <c r="C173">
        <v>38.023000000000003</v>
      </c>
      <c r="D173">
        <v>22.759</v>
      </c>
      <c r="E173">
        <v>37.529000000000003</v>
      </c>
      <c r="F173">
        <v>40.712000000000003</v>
      </c>
      <c r="G173">
        <v>15.263999999999999</v>
      </c>
      <c r="H173">
        <v>-3.1829999999999998</v>
      </c>
      <c r="I173">
        <f t="shared" si="4"/>
        <v>1.0975000000000037</v>
      </c>
      <c r="L173" s="103" t="s">
        <v>242</v>
      </c>
      <c r="M173" s="2">
        <v>41.468000000000004</v>
      </c>
      <c r="N173">
        <v>24.92</v>
      </c>
      <c r="O173">
        <v>40.203000000000003</v>
      </c>
      <c r="P173">
        <v>46.338999999999999</v>
      </c>
      <c r="Q173">
        <v>16.547999999999998</v>
      </c>
      <c r="R173">
        <v>-6.1360000000000001</v>
      </c>
      <c r="S173">
        <f t="shared" si="5"/>
        <v>1.8029999999999973</v>
      </c>
    </row>
    <row r="174" spans="2:19" x14ac:dyDescent="0.25">
      <c r="B174" s="103" t="s">
        <v>248</v>
      </c>
      <c r="C174">
        <v>38.698999999999998</v>
      </c>
      <c r="D174">
        <v>22.77</v>
      </c>
      <c r="E174">
        <v>38.145000000000003</v>
      </c>
      <c r="F174">
        <v>41.405000000000001</v>
      </c>
      <c r="G174">
        <v>15.929</v>
      </c>
      <c r="H174">
        <v>-3.26</v>
      </c>
      <c r="I174">
        <f t="shared" si="4"/>
        <v>1.0760000000000076</v>
      </c>
      <c r="L174" s="103" t="s">
        <v>243</v>
      </c>
      <c r="M174" s="2">
        <v>40.081000000000003</v>
      </c>
      <c r="N174">
        <v>24.413</v>
      </c>
      <c r="O174">
        <v>39.555</v>
      </c>
      <c r="P174">
        <v>43.216999999999999</v>
      </c>
      <c r="Q174">
        <v>15.667999999999999</v>
      </c>
      <c r="R174">
        <v>-3.6619999999999999</v>
      </c>
      <c r="S174">
        <f t="shared" si="5"/>
        <v>1.3049999999999926</v>
      </c>
    </row>
    <row r="175" spans="2:19" x14ac:dyDescent="0.25">
      <c r="B175" s="103" t="s">
        <v>249</v>
      </c>
      <c r="C175">
        <v>38.054000000000002</v>
      </c>
      <c r="D175">
        <v>22.93</v>
      </c>
      <c r="E175">
        <v>38.667999999999999</v>
      </c>
      <c r="F175">
        <v>40.606999999999999</v>
      </c>
      <c r="G175">
        <v>15.124000000000001</v>
      </c>
      <c r="H175">
        <v>-1.9390000000000001</v>
      </c>
      <c r="I175">
        <f t="shared" si="4"/>
        <v>1.5835000000000008</v>
      </c>
      <c r="L175" s="103" t="s">
        <v>244</v>
      </c>
      <c r="M175" s="2">
        <v>38.988999999999997</v>
      </c>
      <c r="N175">
        <v>24.369</v>
      </c>
      <c r="O175">
        <v>38.851999999999997</v>
      </c>
      <c r="P175">
        <v>42.518000000000001</v>
      </c>
      <c r="Q175">
        <v>14.62</v>
      </c>
      <c r="R175">
        <v>-3.6659999999999999</v>
      </c>
      <c r="S175">
        <f t="shared" si="5"/>
        <v>1.6960000000000051</v>
      </c>
    </row>
    <row r="176" spans="2:19" x14ac:dyDescent="0.25">
      <c r="B176" s="103" t="s">
        <v>250</v>
      </c>
      <c r="C176">
        <v>38.408999999999999</v>
      </c>
      <c r="D176">
        <v>23</v>
      </c>
      <c r="E176">
        <v>37.563000000000002</v>
      </c>
      <c r="F176">
        <v>42.26</v>
      </c>
      <c r="G176">
        <v>15.409000000000001</v>
      </c>
      <c r="H176">
        <v>-4.6970000000000001</v>
      </c>
      <c r="I176">
        <f t="shared" si="4"/>
        <v>1.5025000000000048</v>
      </c>
      <c r="L176" s="103" t="s">
        <v>245</v>
      </c>
      <c r="M176" s="2">
        <v>37.220999999999997</v>
      </c>
      <c r="N176">
        <v>23.032</v>
      </c>
      <c r="O176">
        <v>37.694000000000003</v>
      </c>
      <c r="P176">
        <v>39.284999999999997</v>
      </c>
      <c r="Q176">
        <v>14.189</v>
      </c>
      <c r="R176">
        <v>-1.591</v>
      </c>
      <c r="S176">
        <f t="shared" si="5"/>
        <v>1.2685000000000031</v>
      </c>
    </row>
    <row r="177" spans="2:19" x14ac:dyDescent="0.25">
      <c r="B177" s="103" t="s">
        <v>251</v>
      </c>
      <c r="C177">
        <v>39.628</v>
      </c>
      <c r="D177">
        <v>23.01</v>
      </c>
      <c r="E177">
        <v>39.033000000000001</v>
      </c>
      <c r="F177">
        <v>42.774000000000001</v>
      </c>
      <c r="G177">
        <v>16.617999999999999</v>
      </c>
      <c r="H177">
        <v>-3.7410000000000001</v>
      </c>
      <c r="I177">
        <f t="shared" si="4"/>
        <v>1.275500000000001</v>
      </c>
      <c r="L177" s="103" t="s">
        <v>246</v>
      </c>
      <c r="M177" s="2">
        <v>37.634999999999998</v>
      </c>
      <c r="N177">
        <v>23.155000000000001</v>
      </c>
      <c r="O177">
        <v>37.567999999999998</v>
      </c>
      <c r="P177">
        <v>39.738</v>
      </c>
      <c r="Q177">
        <v>14.48</v>
      </c>
      <c r="R177">
        <v>-2.17</v>
      </c>
      <c r="S177">
        <f t="shared" si="5"/>
        <v>1.0180000000000007</v>
      </c>
    </row>
    <row r="178" spans="2:19" x14ac:dyDescent="0.25">
      <c r="B178" s="103" t="s">
        <v>252</v>
      </c>
      <c r="C178">
        <v>37.582999999999998</v>
      </c>
      <c r="D178">
        <v>21.914999999999999</v>
      </c>
      <c r="E178">
        <v>38.008000000000003</v>
      </c>
      <c r="F178">
        <v>39.387999999999998</v>
      </c>
      <c r="G178">
        <v>15.667999999999999</v>
      </c>
      <c r="H178">
        <v>-1.38</v>
      </c>
      <c r="I178">
        <f t="shared" si="4"/>
        <v>1.115000000000002</v>
      </c>
      <c r="L178" s="103" t="s">
        <v>247</v>
      </c>
      <c r="M178" s="2">
        <v>38.023000000000003</v>
      </c>
      <c r="N178">
        <v>22.759</v>
      </c>
      <c r="O178">
        <v>37.529000000000003</v>
      </c>
      <c r="P178">
        <v>40.712000000000003</v>
      </c>
      <c r="Q178">
        <v>15.263999999999999</v>
      </c>
      <c r="R178">
        <v>-3.1829999999999998</v>
      </c>
      <c r="S178">
        <f t="shared" si="5"/>
        <v>1.0975000000000037</v>
      </c>
    </row>
    <row r="179" spans="2:19" x14ac:dyDescent="0.25">
      <c r="B179" s="103" t="s">
        <v>253</v>
      </c>
      <c r="C179">
        <v>38.207000000000001</v>
      </c>
      <c r="D179">
        <v>22.338999999999999</v>
      </c>
      <c r="E179">
        <v>38.151000000000003</v>
      </c>
      <c r="F179">
        <v>40.957999999999998</v>
      </c>
      <c r="G179">
        <v>15.868</v>
      </c>
      <c r="H179">
        <v>-2.8069999999999999</v>
      </c>
      <c r="I179">
        <f t="shared" si="4"/>
        <v>1.3475000000000037</v>
      </c>
      <c r="L179" s="103" t="s">
        <v>248</v>
      </c>
      <c r="M179" s="2">
        <v>38.698999999999998</v>
      </c>
      <c r="N179">
        <v>22.77</v>
      </c>
      <c r="O179">
        <v>38.145000000000003</v>
      </c>
      <c r="P179">
        <v>41.405000000000001</v>
      </c>
      <c r="Q179">
        <v>15.929</v>
      </c>
      <c r="R179">
        <v>-3.26</v>
      </c>
      <c r="S179">
        <f t="shared" si="5"/>
        <v>1.0760000000000076</v>
      </c>
    </row>
    <row r="180" spans="2:19" x14ac:dyDescent="0.25">
      <c r="B180" s="103" t="s">
        <v>254</v>
      </c>
      <c r="C180">
        <v>38.676000000000002</v>
      </c>
      <c r="D180">
        <v>22.317</v>
      </c>
      <c r="E180">
        <v>38.463999999999999</v>
      </c>
      <c r="F180">
        <v>42.125999999999998</v>
      </c>
      <c r="G180">
        <v>16.359000000000002</v>
      </c>
      <c r="H180">
        <v>-3.6619999999999999</v>
      </c>
      <c r="I180">
        <f t="shared" si="4"/>
        <v>1.6189999999999998</v>
      </c>
      <c r="L180" s="103" t="s">
        <v>249</v>
      </c>
      <c r="M180">
        <v>38.054000000000002</v>
      </c>
      <c r="N180">
        <v>22.93</v>
      </c>
      <c r="O180">
        <v>38.667999999999999</v>
      </c>
      <c r="P180">
        <v>40.606999999999999</v>
      </c>
      <c r="Q180">
        <v>15.124000000000001</v>
      </c>
      <c r="R180">
        <v>-1.9390000000000001</v>
      </c>
      <c r="S180">
        <f t="shared" si="5"/>
        <v>1.5835000000000008</v>
      </c>
    </row>
    <row r="181" spans="2:19" x14ac:dyDescent="0.25">
      <c r="B181" s="103">
        <v>45210</v>
      </c>
      <c r="C181">
        <v>36.94</v>
      </c>
      <c r="D181">
        <v>22.739000000000001</v>
      </c>
      <c r="E181">
        <v>36.875</v>
      </c>
      <c r="F181">
        <v>39.460999999999999</v>
      </c>
      <c r="G181">
        <v>14.201000000000001</v>
      </c>
      <c r="H181">
        <v>-2.5859999999999999</v>
      </c>
      <c r="I181">
        <f t="shared" si="4"/>
        <v>1.2280000000000015</v>
      </c>
      <c r="L181" s="103" t="s">
        <v>250</v>
      </c>
      <c r="M181">
        <v>38.408999999999999</v>
      </c>
      <c r="N181">
        <v>23</v>
      </c>
      <c r="O181">
        <v>37.563000000000002</v>
      </c>
      <c r="P181">
        <v>42.26</v>
      </c>
      <c r="Q181">
        <v>15.409000000000001</v>
      </c>
      <c r="R181">
        <v>-4.6970000000000001</v>
      </c>
      <c r="S181">
        <f t="shared" si="5"/>
        <v>1.5025000000000048</v>
      </c>
    </row>
    <row r="182" spans="2:19" x14ac:dyDescent="0.25">
      <c r="B182" s="103">
        <v>45180</v>
      </c>
      <c r="C182">
        <v>37.597999999999999</v>
      </c>
      <c r="D182">
        <v>22.382999999999999</v>
      </c>
      <c r="E182">
        <v>37.036000000000001</v>
      </c>
      <c r="F182">
        <v>40.677999999999997</v>
      </c>
      <c r="G182">
        <v>15.215</v>
      </c>
      <c r="H182">
        <v>-3.6419999999999999</v>
      </c>
      <c r="I182">
        <f t="shared" si="4"/>
        <v>1.2590000000000003</v>
      </c>
      <c r="L182" s="103" t="s">
        <v>251</v>
      </c>
      <c r="M182">
        <v>39.628</v>
      </c>
      <c r="N182">
        <v>23.01</v>
      </c>
      <c r="O182">
        <v>39.033000000000001</v>
      </c>
      <c r="P182">
        <v>42.774000000000001</v>
      </c>
      <c r="Q182">
        <v>16.617999999999999</v>
      </c>
      <c r="R182">
        <v>-3.7410000000000001</v>
      </c>
      <c r="S182">
        <f t="shared" si="5"/>
        <v>1.275500000000001</v>
      </c>
    </row>
    <row r="183" spans="2:19" x14ac:dyDescent="0.25">
      <c r="B183" s="103">
        <v>45149</v>
      </c>
      <c r="C183">
        <v>37.798999999999999</v>
      </c>
      <c r="D183">
        <v>21.827999999999999</v>
      </c>
      <c r="E183">
        <v>36.716000000000001</v>
      </c>
      <c r="F183">
        <v>41.732999999999997</v>
      </c>
      <c r="G183">
        <v>15.971</v>
      </c>
      <c r="H183">
        <v>-5.0170000000000003</v>
      </c>
      <c r="I183">
        <f t="shared" si="4"/>
        <v>1.4254999999999995</v>
      </c>
      <c r="L183" s="103" t="s">
        <v>252</v>
      </c>
      <c r="M183">
        <v>37.582999999999998</v>
      </c>
      <c r="N183">
        <v>21.914999999999999</v>
      </c>
      <c r="O183">
        <v>38.008000000000003</v>
      </c>
      <c r="P183">
        <v>39.387999999999998</v>
      </c>
      <c r="Q183">
        <v>15.667999999999999</v>
      </c>
      <c r="R183">
        <v>-1.38</v>
      </c>
      <c r="S183">
        <f t="shared" si="5"/>
        <v>1.115000000000002</v>
      </c>
    </row>
    <row r="184" spans="2:19" x14ac:dyDescent="0.25">
      <c r="B184" s="103">
        <v>45118</v>
      </c>
      <c r="C184">
        <v>36.484999999999999</v>
      </c>
      <c r="D184">
        <v>21.800999999999998</v>
      </c>
      <c r="E184">
        <v>35.329000000000001</v>
      </c>
      <c r="F184">
        <v>40.643999999999998</v>
      </c>
      <c r="G184">
        <v>14.683999999999999</v>
      </c>
      <c r="H184">
        <v>-5.3150000000000004</v>
      </c>
      <c r="I184">
        <f t="shared" si="4"/>
        <v>1.5015000000000001</v>
      </c>
      <c r="L184" s="103" t="s">
        <v>253</v>
      </c>
      <c r="M184">
        <v>38.207000000000001</v>
      </c>
      <c r="N184">
        <v>22.338999999999999</v>
      </c>
      <c r="O184">
        <v>38.151000000000003</v>
      </c>
      <c r="P184">
        <v>40.957999999999998</v>
      </c>
      <c r="Q184">
        <v>15.868</v>
      </c>
      <c r="R184">
        <v>-2.8069999999999999</v>
      </c>
      <c r="S184">
        <f t="shared" si="5"/>
        <v>1.3475000000000037</v>
      </c>
    </row>
    <row r="185" spans="2:19" x14ac:dyDescent="0.25">
      <c r="B185" s="103">
        <v>45088</v>
      </c>
      <c r="C185">
        <v>34.942999999999998</v>
      </c>
      <c r="D185">
        <v>22.093</v>
      </c>
      <c r="E185">
        <v>34.091999999999999</v>
      </c>
      <c r="F185">
        <v>38.691000000000003</v>
      </c>
      <c r="G185">
        <v>12.85</v>
      </c>
      <c r="H185">
        <v>-4.5990000000000002</v>
      </c>
      <c r="I185">
        <f t="shared" si="4"/>
        <v>1.4485000000000028</v>
      </c>
      <c r="L185" s="103" t="s">
        <v>254</v>
      </c>
      <c r="M185">
        <v>38.676000000000002</v>
      </c>
      <c r="N185">
        <v>22.317</v>
      </c>
      <c r="O185">
        <v>38.463999999999999</v>
      </c>
      <c r="P185">
        <v>42.125999999999998</v>
      </c>
      <c r="Q185">
        <v>16.359000000000002</v>
      </c>
      <c r="R185">
        <v>-3.6619999999999999</v>
      </c>
      <c r="S185">
        <f t="shared" si="5"/>
        <v>1.6189999999999998</v>
      </c>
    </row>
    <row r="186" spans="2:19" x14ac:dyDescent="0.25">
      <c r="B186" s="103">
        <v>44996</v>
      </c>
      <c r="C186">
        <v>32.445</v>
      </c>
      <c r="D186">
        <v>21.652000000000001</v>
      </c>
      <c r="E186">
        <v>32.353999999999999</v>
      </c>
      <c r="F186">
        <v>35.430999999999997</v>
      </c>
      <c r="G186">
        <v>10.792999999999999</v>
      </c>
      <c r="H186">
        <v>-3.077</v>
      </c>
      <c r="I186">
        <f t="shared" si="4"/>
        <v>1.447499999999998</v>
      </c>
      <c r="L186" s="103">
        <v>45210</v>
      </c>
      <c r="M186">
        <v>36.94</v>
      </c>
      <c r="N186">
        <v>22.739000000000001</v>
      </c>
      <c r="O186">
        <v>36.875</v>
      </c>
      <c r="P186">
        <v>39.460999999999999</v>
      </c>
      <c r="Q186">
        <v>14.201000000000001</v>
      </c>
      <c r="R186">
        <v>-2.5859999999999999</v>
      </c>
      <c r="S186">
        <f t="shared" si="5"/>
        <v>1.2280000000000015</v>
      </c>
    </row>
    <row r="187" spans="2:19" x14ac:dyDescent="0.25">
      <c r="B187" s="103">
        <v>44968</v>
      </c>
      <c r="C187">
        <v>32.475999999999999</v>
      </c>
      <c r="D187">
        <v>21.721</v>
      </c>
      <c r="E187">
        <v>32.628</v>
      </c>
      <c r="F187">
        <v>34.857999999999997</v>
      </c>
      <c r="G187">
        <v>10.755000000000001</v>
      </c>
      <c r="H187">
        <v>-2.23</v>
      </c>
      <c r="I187">
        <f t="shared" si="4"/>
        <v>1.2669999999999959</v>
      </c>
      <c r="L187" s="103">
        <v>45180</v>
      </c>
      <c r="M187">
        <v>37.597999999999999</v>
      </c>
      <c r="N187">
        <v>22.382999999999999</v>
      </c>
      <c r="O187">
        <v>37.036000000000001</v>
      </c>
      <c r="P187">
        <v>40.677999999999997</v>
      </c>
      <c r="Q187">
        <v>15.215</v>
      </c>
      <c r="R187">
        <v>-3.6419999999999999</v>
      </c>
      <c r="S187">
        <f t="shared" si="5"/>
        <v>1.2590000000000003</v>
      </c>
    </row>
    <row r="188" spans="2:19" x14ac:dyDescent="0.25">
      <c r="B188" s="103">
        <v>44937</v>
      </c>
      <c r="C188">
        <v>31.652999999999999</v>
      </c>
      <c r="D188">
        <v>22.245999999999999</v>
      </c>
      <c r="E188">
        <v>31.074999999999999</v>
      </c>
      <c r="F188">
        <v>34.243000000000002</v>
      </c>
      <c r="G188">
        <v>9.407</v>
      </c>
      <c r="H188">
        <v>-3.1680000000000001</v>
      </c>
      <c r="I188">
        <f t="shared" si="4"/>
        <v>1.0060000000000002</v>
      </c>
      <c r="L188" s="103">
        <v>45149</v>
      </c>
      <c r="M188">
        <v>37.798999999999999</v>
      </c>
      <c r="N188">
        <v>21.827999999999999</v>
      </c>
      <c r="O188">
        <v>36.716000000000001</v>
      </c>
      <c r="P188">
        <v>41.732999999999997</v>
      </c>
      <c r="Q188">
        <v>15.971</v>
      </c>
      <c r="R188">
        <v>-5.0170000000000003</v>
      </c>
      <c r="S188">
        <f t="shared" si="5"/>
        <v>1.4254999999999995</v>
      </c>
    </row>
    <row r="189" spans="2:19" x14ac:dyDescent="0.25">
      <c r="B189" s="103" t="s">
        <v>255</v>
      </c>
      <c r="C189">
        <v>31.617000000000001</v>
      </c>
      <c r="D189">
        <v>22.373000000000001</v>
      </c>
      <c r="E189">
        <v>31.087</v>
      </c>
      <c r="F189">
        <v>34.384</v>
      </c>
      <c r="G189">
        <v>9.2439999999999998</v>
      </c>
      <c r="H189">
        <v>-3.2970000000000002</v>
      </c>
      <c r="I189">
        <f t="shared" si="4"/>
        <v>1.1185000000000009</v>
      </c>
      <c r="L189" s="103">
        <v>45118</v>
      </c>
      <c r="M189">
        <v>36.484999999999999</v>
      </c>
      <c r="N189">
        <v>21.800999999999998</v>
      </c>
      <c r="O189">
        <v>35.329000000000001</v>
      </c>
      <c r="P189">
        <v>40.643999999999998</v>
      </c>
      <c r="Q189">
        <v>14.683999999999999</v>
      </c>
      <c r="R189">
        <v>-5.3150000000000004</v>
      </c>
      <c r="S189">
        <f t="shared" si="5"/>
        <v>1.5015000000000001</v>
      </c>
    </row>
    <row r="190" spans="2:19" x14ac:dyDescent="0.25">
      <c r="B190" s="103" t="s">
        <v>256</v>
      </c>
      <c r="C190">
        <v>32.597000000000001</v>
      </c>
      <c r="D190">
        <v>22.358000000000001</v>
      </c>
      <c r="E190">
        <v>31.698</v>
      </c>
      <c r="F190">
        <v>35.957999999999998</v>
      </c>
      <c r="G190">
        <v>10.239000000000001</v>
      </c>
      <c r="H190">
        <v>-4.26</v>
      </c>
      <c r="I190">
        <f t="shared" si="4"/>
        <v>1.2310000000000016</v>
      </c>
      <c r="L190" s="103">
        <v>45088</v>
      </c>
      <c r="M190">
        <v>34.942999999999998</v>
      </c>
      <c r="N190">
        <v>22.093</v>
      </c>
      <c r="O190">
        <v>34.091999999999999</v>
      </c>
      <c r="P190">
        <v>38.691000000000003</v>
      </c>
      <c r="Q190">
        <v>12.85</v>
      </c>
      <c r="R190">
        <v>-4.5990000000000002</v>
      </c>
      <c r="S190">
        <f t="shared" si="5"/>
        <v>1.4485000000000028</v>
      </c>
    </row>
    <row r="191" spans="2:19" x14ac:dyDescent="0.25">
      <c r="B191" s="103" t="s">
        <v>257</v>
      </c>
      <c r="C191">
        <v>32.24</v>
      </c>
      <c r="D191">
        <v>22.739000000000001</v>
      </c>
      <c r="E191">
        <v>31.257000000000001</v>
      </c>
      <c r="F191">
        <v>35.64</v>
      </c>
      <c r="G191">
        <v>9.5009999999999994</v>
      </c>
      <c r="H191">
        <v>-4.383</v>
      </c>
      <c r="I191">
        <f t="shared" si="4"/>
        <v>1.2085000000000008</v>
      </c>
      <c r="L191" s="103">
        <v>44996</v>
      </c>
      <c r="M191">
        <v>32.445</v>
      </c>
      <c r="N191">
        <v>21.652000000000001</v>
      </c>
      <c r="O191">
        <v>32.353999999999999</v>
      </c>
      <c r="P191">
        <v>35.430999999999997</v>
      </c>
      <c r="Q191">
        <v>10.792999999999999</v>
      </c>
      <c r="R191">
        <v>-3.077</v>
      </c>
      <c r="S191">
        <f t="shared" si="5"/>
        <v>1.447499999999998</v>
      </c>
    </row>
    <row r="192" spans="2:19" x14ac:dyDescent="0.25">
      <c r="B192" s="103" t="s">
        <v>258</v>
      </c>
      <c r="C192">
        <v>32.411000000000001</v>
      </c>
      <c r="D192">
        <v>22.847000000000001</v>
      </c>
      <c r="E192">
        <v>31.207000000000001</v>
      </c>
      <c r="F192">
        <v>36.319000000000003</v>
      </c>
      <c r="G192">
        <v>9.5640000000000001</v>
      </c>
      <c r="H192">
        <v>-5.1120000000000001</v>
      </c>
      <c r="I192">
        <f t="shared" si="4"/>
        <v>1.3520000000000039</v>
      </c>
      <c r="L192" s="103">
        <v>44968</v>
      </c>
      <c r="M192">
        <v>32.475999999999999</v>
      </c>
      <c r="N192">
        <v>21.721</v>
      </c>
      <c r="O192">
        <v>32.628</v>
      </c>
      <c r="P192">
        <v>34.857999999999997</v>
      </c>
      <c r="Q192">
        <v>10.755000000000001</v>
      </c>
      <c r="R192">
        <v>-2.23</v>
      </c>
      <c r="S192">
        <f t="shared" si="5"/>
        <v>1.2669999999999959</v>
      </c>
    </row>
    <row r="193" spans="2:19" x14ac:dyDescent="0.25">
      <c r="B193" s="103" t="s">
        <v>259</v>
      </c>
      <c r="C193">
        <v>32.959000000000003</v>
      </c>
      <c r="D193">
        <v>22.991</v>
      </c>
      <c r="E193">
        <v>31.812000000000001</v>
      </c>
      <c r="F193">
        <v>36.834000000000003</v>
      </c>
      <c r="G193">
        <v>9.968</v>
      </c>
      <c r="H193">
        <v>-5.0220000000000002</v>
      </c>
      <c r="I193">
        <f t="shared" si="4"/>
        <v>1.3639999999999972</v>
      </c>
      <c r="L193" s="103">
        <v>44937</v>
      </c>
      <c r="M193">
        <v>31.652999999999999</v>
      </c>
      <c r="N193">
        <v>22.245999999999999</v>
      </c>
      <c r="O193">
        <v>31.074999999999999</v>
      </c>
      <c r="P193">
        <v>34.243000000000002</v>
      </c>
      <c r="Q193">
        <v>9.407</v>
      </c>
      <c r="R193">
        <v>-3.1680000000000001</v>
      </c>
      <c r="S193">
        <f t="shared" si="5"/>
        <v>1.0060000000000002</v>
      </c>
    </row>
    <row r="194" spans="2:19" x14ac:dyDescent="0.25">
      <c r="B194" s="103" t="s">
        <v>260</v>
      </c>
      <c r="C194">
        <v>33.177999999999997</v>
      </c>
      <c r="D194">
        <v>23.201000000000001</v>
      </c>
      <c r="E194">
        <v>32.01</v>
      </c>
      <c r="F194">
        <v>37.039000000000001</v>
      </c>
      <c r="G194">
        <v>9.9770000000000003</v>
      </c>
      <c r="H194">
        <v>-5.0289999999999999</v>
      </c>
      <c r="I194">
        <f t="shared" ref="I194:I257" si="6">IFERROR(AVERAGE(E194,F194)-C194,"")</f>
        <v>1.346500000000006</v>
      </c>
      <c r="L194" s="103" t="s">
        <v>255</v>
      </c>
      <c r="M194" s="2">
        <v>31.617000000000001</v>
      </c>
      <c r="N194">
        <v>22.373000000000001</v>
      </c>
      <c r="O194">
        <v>31.087</v>
      </c>
      <c r="P194">
        <v>34.384</v>
      </c>
      <c r="Q194">
        <v>9.2439999999999998</v>
      </c>
      <c r="R194">
        <v>-3.2970000000000002</v>
      </c>
      <c r="S194">
        <f t="shared" ref="S194:S257" si="7">IFERROR(AVERAGE(O194,P194)-M194,"")</f>
        <v>1.1185000000000009</v>
      </c>
    </row>
    <row r="195" spans="2:19" x14ac:dyDescent="0.25">
      <c r="B195" s="103" t="s">
        <v>261</v>
      </c>
      <c r="C195">
        <v>33.268999999999998</v>
      </c>
      <c r="D195">
        <v>23.538</v>
      </c>
      <c r="E195">
        <v>32.195999999999998</v>
      </c>
      <c r="F195">
        <v>37.162999999999997</v>
      </c>
      <c r="G195">
        <v>9.7309999999999999</v>
      </c>
      <c r="H195">
        <v>-4.9669999999999996</v>
      </c>
      <c r="I195">
        <f t="shared" si="6"/>
        <v>1.410499999999999</v>
      </c>
      <c r="L195" s="103" t="s">
        <v>256</v>
      </c>
      <c r="M195" s="2">
        <v>32.597000000000001</v>
      </c>
      <c r="N195">
        <v>22.358000000000001</v>
      </c>
      <c r="O195">
        <v>31.698</v>
      </c>
      <c r="P195">
        <v>35.957999999999998</v>
      </c>
      <c r="Q195">
        <v>10.239000000000001</v>
      </c>
      <c r="R195">
        <v>-4.26</v>
      </c>
      <c r="S195">
        <f t="shared" si="7"/>
        <v>1.2310000000000016</v>
      </c>
    </row>
    <row r="196" spans="2:19" x14ac:dyDescent="0.25">
      <c r="B196" s="103" t="s">
        <v>262</v>
      </c>
      <c r="C196">
        <v>33.037999999999997</v>
      </c>
      <c r="D196">
        <v>23.721</v>
      </c>
      <c r="E196">
        <v>32.094000000000001</v>
      </c>
      <c r="F196">
        <v>36.520000000000003</v>
      </c>
      <c r="G196">
        <v>9.3170000000000002</v>
      </c>
      <c r="H196">
        <v>-4.4260000000000002</v>
      </c>
      <c r="I196">
        <f t="shared" si="6"/>
        <v>1.2690000000000055</v>
      </c>
      <c r="L196" s="103" t="s">
        <v>257</v>
      </c>
      <c r="M196" s="2">
        <v>32.24</v>
      </c>
      <c r="N196">
        <v>22.739000000000001</v>
      </c>
      <c r="O196">
        <v>31.257000000000001</v>
      </c>
      <c r="P196">
        <v>35.64</v>
      </c>
      <c r="Q196">
        <v>9.5009999999999994</v>
      </c>
      <c r="R196">
        <v>-4.383</v>
      </c>
      <c r="S196">
        <f t="shared" si="7"/>
        <v>1.2085000000000008</v>
      </c>
    </row>
    <row r="197" spans="2:19" x14ac:dyDescent="0.25">
      <c r="B197" s="103" t="s">
        <v>263</v>
      </c>
      <c r="C197">
        <v>33.023000000000003</v>
      </c>
      <c r="D197">
        <v>24.154</v>
      </c>
      <c r="E197">
        <v>32.277000000000001</v>
      </c>
      <c r="F197">
        <v>36.301000000000002</v>
      </c>
      <c r="G197">
        <v>8.8689999999999998</v>
      </c>
      <c r="H197">
        <v>-4.024</v>
      </c>
      <c r="I197">
        <f t="shared" si="6"/>
        <v>1.2659999999999982</v>
      </c>
      <c r="L197" s="103" t="s">
        <v>258</v>
      </c>
      <c r="M197" s="2">
        <v>32.411000000000001</v>
      </c>
      <c r="N197">
        <v>22.847000000000001</v>
      </c>
      <c r="O197">
        <v>31.207000000000001</v>
      </c>
      <c r="P197">
        <v>36.319000000000003</v>
      </c>
      <c r="Q197">
        <v>9.5640000000000001</v>
      </c>
      <c r="R197">
        <v>-5.1120000000000001</v>
      </c>
      <c r="S197">
        <f t="shared" si="7"/>
        <v>1.3520000000000039</v>
      </c>
    </row>
    <row r="198" spans="2:19" x14ac:dyDescent="0.25">
      <c r="B198" s="103" t="s">
        <v>264</v>
      </c>
      <c r="C198">
        <v>33.064</v>
      </c>
      <c r="D198">
        <v>24.722000000000001</v>
      </c>
      <c r="E198">
        <v>32.387</v>
      </c>
      <c r="F198">
        <v>36.362000000000002</v>
      </c>
      <c r="G198">
        <v>8.3420000000000005</v>
      </c>
      <c r="H198">
        <v>-3.9750000000000001</v>
      </c>
      <c r="I198">
        <f t="shared" si="6"/>
        <v>1.3104999999999976</v>
      </c>
      <c r="L198" s="103" t="s">
        <v>259</v>
      </c>
      <c r="M198" s="2">
        <v>32.959000000000003</v>
      </c>
      <c r="N198">
        <v>22.991</v>
      </c>
      <c r="O198">
        <v>31.812000000000001</v>
      </c>
      <c r="P198">
        <v>36.834000000000003</v>
      </c>
      <c r="Q198">
        <v>9.968</v>
      </c>
      <c r="R198">
        <v>-5.0220000000000002</v>
      </c>
      <c r="S198">
        <f t="shared" si="7"/>
        <v>1.3639999999999972</v>
      </c>
    </row>
    <row r="199" spans="2:19" x14ac:dyDescent="0.25">
      <c r="B199" s="103" t="s">
        <v>265</v>
      </c>
      <c r="C199">
        <v>33.081000000000003</v>
      </c>
      <c r="D199">
        <v>24.696999999999999</v>
      </c>
      <c r="E199">
        <v>32.485999999999997</v>
      </c>
      <c r="F199">
        <v>36.198</v>
      </c>
      <c r="G199">
        <v>8.3840000000000003</v>
      </c>
      <c r="H199">
        <v>-3.7120000000000002</v>
      </c>
      <c r="I199">
        <f t="shared" si="6"/>
        <v>1.2609999999999957</v>
      </c>
      <c r="L199" s="103" t="s">
        <v>260</v>
      </c>
      <c r="M199" s="2">
        <v>33.177999999999997</v>
      </c>
      <c r="N199">
        <v>23.201000000000001</v>
      </c>
      <c r="O199">
        <v>32.01</v>
      </c>
      <c r="P199">
        <v>37.039000000000001</v>
      </c>
      <c r="Q199">
        <v>9.9770000000000003</v>
      </c>
      <c r="R199">
        <v>-5.0289999999999999</v>
      </c>
      <c r="S199">
        <f t="shared" si="7"/>
        <v>1.346500000000006</v>
      </c>
    </row>
    <row r="200" spans="2:19" x14ac:dyDescent="0.25">
      <c r="B200" s="103" t="s">
        <v>266</v>
      </c>
      <c r="C200">
        <v>33.067</v>
      </c>
      <c r="D200">
        <v>24.734999999999999</v>
      </c>
      <c r="E200">
        <v>32.722000000000001</v>
      </c>
      <c r="F200">
        <v>35.978999999999999</v>
      </c>
      <c r="G200">
        <v>8.3320000000000007</v>
      </c>
      <c r="H200">
        <v>-3.2570000000000001</v>
      </c>
      <c r="I200">
        <f t="shared" si="6"/>
        <v>1.2834999999999965</v>
      </c>
      <c r="L200" s="103" t="s">
        <v>261</v>
      </c>
      <c r="M200" s="2">
        <v>33.268999999999998</v>
      </c>
      <c r="N200">
        <v>23.538</v>
      </c>
      <c r="O200">
        <v>32.195999999999998</v>
      </c>
      <c r="P200">
        <v>37.162999999999997</v>
      </c>
      <c r="Q200">
        <v>9.7309999999999999</v>
      </c>
      <c r="R200">
        <v>-4.9669999999999996</v>
      </c>
      <c r="S200">
        <f t="shared" si="7"/>
        <v>1.410499999999999</v>
      </c>
    </row>
    <row r="201" spans="2:19" x14ac:dyDescent="0.25">
      <c r="B201" s="103" t="s">
        <v>267</v>
      </c>
      <c r="C201">
        <v>32.241999999999997</v>
      </c>
      <c r="D201">
        <v>24.038</v>
      </c>
      <c r="E201">
        <v>32.414999999999999</v>
      </c>
      <c r="F201">
        <v>34.097999999999999</v>
      </c>
      <c r="G201">
        <v>8.2040000000000006</v>
      </c>
      <c r="H201">
        <v>-1.6830000000000001</v>
      </c>
      <c r="I201">
        <f t="shared" si="6"/>
        <v>1.0145000000000053</v>
      </c>
      <c r="L201" s="103" t="s">
        <v>262</v>
      </c>
      <c r="M201" s="2">
        <v>33.037999999999997</v>
      </c>
      <c r="N201">
        <v>23.721</v>
      </c>
      <c r="O201">
        <v>32.094000000000001</v>
      </c>
      <c r="P201">
        <v>36.520000000000003</v>
      </c>
      <c r="Q201">
        <v>9.3170000000000002</v>
      </c>
      <c r="R201">
        <v>-4.4260000000000002</v>
      </c>
      <c r="S201">
        <f t="shared" si="7"/>
        <v>1.2690000000000055</v>
      </c>
    </row>
    <row r="202" spans="2:19" x14ac:dyDescent="0.25">
      <c r="B202" s="103">
        <v>45270</v>
      </c>
      <c r="C202">
        <v>31.821999999999999</v>
      </c>
      <c r="D202">
        <v>23.959</v>
      </c>
      <c r="E202">
        <v>32.084000000000003</v>
      </c>
      <c r="F202">
        <v>33.645000000000003</v>
      </c>
      <c r="G202">
        <v>7.8630000000000004</v>
      </c>
      <c r="H202">
        <v>-1.5609999999999999</v>
      </c>
      <c r="I202">
        <f t="shared" si="6"/>
        <v>1.0425000000000075</v>
      </c>
      <c r="L202" s="103" t="s">
        <v>263</v>
      </c>
      <c r="M202" s="2">
        <v>33.023000000000003</v>
      </c>
      <c r="N202">
        <v>24.154</v>
      </c>
      <c r="O202">
        <v>32.277000000000001</v>
      </c>
      <c r="P202">
        <v>36.301000000000002</v>
      </c>
      <c r="Q202">
        <v>8.8689999999999998</v>
      </c>
      <c r="R202">
        <v>-4.024</v>
      </c>
      <c r="S202">
        <f t="shared" si="7"/>
        <v>1.2659999999999982</v>
      </c>
    </row>
    <row r="203" spans="2:19" x14ac:dyDescent="0.25">
      <c r="B203" s="103">
        <v>45240</v>
      </c>
      <c r="C203">
        <v>31.914999999999999</v>
      </c>
      <c r="D203">
        <v>23.885000000000002</v>
      </c>
      <c r="E203">
        <v>32.203000000000003</v>
      </c>
      <c r="F203">
        <v>33.417999999999999</v>
      </c>
      <c r="G203">
        <v>8.0299999999999994</v>
      </c>
      <c r="H203">
        <v>-1.2150000000000001</v>
      </c>
      <c r="I203">
        <f t="shared" si="6"/>
        <v>0.89550000000000551</v>
      </c>
      <c r="L203" s="103" t="s">
        <v>264</v>
      </c>
      <c r="M203">
        <v>33.064</v>
      </c>
      <c r="N203">
        <v>24.722000000000001</v>
      </c>
      <c r="O203">
        <v>32.387</v>
      </c>
      <c r="P203">
        <v>36.362000000000002</v>
      </c>
      <c r="Q203">
        <v>8.3420000000000005</v>
      </c>
      <c r="R203">
        <v>-3.9750000000000001</v>
      </c>
      <c r="S203">
        <f t="shared" si="7"/>
        <v>1.3104999999999976</v>
      </c>
    </row>
    <row r="204" spans="2:19" x14ac:dyDescent="0.25">
      <c r="B204" s="103">
        <v>45209</v>
      </c>
      <c r="C204">
        <v>32.055</v>
      </c>
      <c r="D204">
        <v>24.074000000000002</v>
      </c>
      <c r="E204">
        <v>32.133000000000003</v>
      </c>
      <c r="F204">
        <v>33.558</v>
      </c>
      <c r="G204">
        <v>7.9809999999999999</v>
      </c>
      <c r="H204">
        <v>-1.425</v>
      </c>
      <c r="I204">
        <f t="shared" si="6"/>
        <v>0.79050000000000153</v>
      </c>
      <c r="L204" s="103" t="s">
        <v>265</v>
      </c>
      <c r="M204">
        <v>33.081000000000003</v>
      </c>
      <c r="N204">
        <v>24.696999999999999</v>
      </c>
      <c r="O204">
        <v>32.485999999999997</v>
      </c>
      <c r="P204">
        <v>36.198</v>
      </c>
      <c r="Q204">
        <v>8.3840000000000003</v>
      </c>
      <c r="R204">
        <v>-3.7120000000000002</v>
      </c>
      <c r="S204">
        <f t="shared" si="7"/>
        <v>1.2609999999999957</v>
      </c>
    </row>
    <row r="205" spans="2:19" x14ac:dyDescent="0.25">
      <c r="B205" s="103">
        <v>45179</v>
      </c>
      <c r="C205">
        <v>32.378999999999998</v>
      </c>
      <c r="D205">
        <v>23.161999999999999</v>
      </c>
      <c r="E205">
        <v>32.081000000000003</v>
      </c>
      <c r="F205">
        <v>34.933</v>
      </c>
      <c r="G205">
        <v>9.2170000000000005</v>
      </c>
      <c r="H205">
        <v>-2.8519999999999999</v>
      </c>
      <c r="I205">
        <f t="shared" si="6"/>
        <v>1.1280000000000072</v>
      </c>
      <c r="L205" s="103" t="s">
        <v>266</v>
      </c>
      <c r="M205">
        <v>33.067</v>
      </c>
      <c r="N205">
        <v>24.734999999999999</v>
      </c>
      <c r="O205">
        <v>32.722000000000001</v>
      </c>
      <c r="P205">
        <v>35.978999999999999</v>
      </c>
      <c r="Q205">
        <v>8.3320000000000007</v>
      </c>
      <c r="R205">
        <v>-3.2570000000000001</v>
      </c>
      <c r="S205">
        <f t="shared" si="7"/>
        <v>1.2834999999999965</v>
      </c>
    </row>
    <row r="206" spans="2:19" x14ac:dyDescent="0.25">
      <c r="B206" s="103">
        <v>45087</v>
      </c>
      <c r="C206">
        <v>32.526000000000003</v>
      </c>
      <c r="D206">
        <v>22.998000000000001</v>
      </c>
      <c r="E206">
        <v>32.006</v>
      </c>
      <c r="F206">
        <v>35.546999999999997</v>
      </c>
      <c r="G206">
        <v>9.5280000000000005</v>
      </c>
      <c r="H206">
        <v>-3.5409999999999999</v>
      </c>
      <c r="I206">
        <f t="shared" si="6"/>
        <v>1.2504999999999953</v>
      </c>
      <c r="L206" s="103" t="s">
        <v>267</v>
      </c>
      <c r="M206">
        <v>32.241999999999997</v>
      </c>
      <c r="N206">
        <v>24.038</v>
      </c>
      <c r="O206">
        <v>32.414999999999999</v>
      </c>
      <c r="P206">
        <v>34.097999999999999</v>
      </c>
      <c r="Q206">
        <v>8.2040000000000006</v>
      </c>
      <c r="R206">
        <v>-1.6830000000000001</v>
      </c>
      <c r="S206">
        <f t="shared" si="7"/>
        <v>1.0145000000000053</v>
      </c>
    </row>
    <row r="207" spans="2:19" x14ac:dyDescent="0.25">
      <c r="B207" s="103">
        <v>45056</v>
      </c>
      <c r="C207">
        <v>32.570999999999998</v>
      </c>
      <c r="D207">
        <v>23.036999999999999</v>
      </c>
      <c r="E207">
        <v>31.965</v>
      </c>
      <c r="F207">
        <v>35.378</v>
      </c>
      <c r="G207">
        <v>9.5340000000000007</v>
      </c>
      <c r="H207">
        <v>-3.4129999999999998</v>
      </c>
      <c r="I207">
        <f t="shared" si="6"/>
        <v>1.1005000000000038</v>
      </c>
      <c r="L207" s="103">
        <v>45270</v>
      </c>
      <c r="M207">
        <v>31.821999999999999</v>
      </c>
      <c r="N207">
        <v>23.959</v>
      </c>
      <c r="O207">
        <v>32.084000000000003</v>
      </c>
      <c r="P207">
        <v>33.645000000000003</v>
      </c>
      <c r="Q207">
        <v>7.8630000000000004</v>
      </c>
      <c r="R207">
        <v>-1.5609999999999999</v>
      </c>
      <c r="S207">
        <f t="shared" si="7"/>
        <v>1.0425000000000075</v>
      </c>
    </row>
    <row r="208" spans="2:19" x14ac:dyDescent="0.25">
      <c r="B208" s="103">
        <v>45026</v>
      </c>
      <c r="C208">
        <v>33.01</v>
      </c>
      <c r="D208">
        <v>22.875</v>
      </c>
      <c r="E208">
        <v>32.65</v>
      </c>
      <c r="F208">
        <v>36.027000000000001</v>
      </c>
      <c r="G208">
        <v>10.135</v>
      </c>
      <c r="H208">
        <v>-3.3769999999999998</v>
      </c>
      <c r="I208">
        <f t="shared" si="6"/>
        <v>1.3284999999999982</v>
      </c>
      <c r="L208" s="103">
        <v>45240</v>
      </c>
      <c r="M208">
        <v>31.914999999999999</v>
      </c>
      <c r="N208">
        <v>23.885000000000002</v>
      </c>
      <c r="O208">
        <v>32.203000000000003</v>
      </c>
      <c r="P208">
        <v>33.417999999999999</v>
      </c>
      <c r="Q208">
        <v>8.0299999999999994</v>
      </c>
      <c r="R208">
        <v>-1.2150000000000001</v>
      </c>
      <c r="S208">
        <f t="shared" si="7"/>
        <v>0.89550000000000551</v>
      </c>
    </row>
    <row r="209" spans="2:19" x14ac:dyDescent="0.25">
      <c r="B209" s="103">
        <v>44995</v>
      </c>
      <c r="C209">
        <v>33.597999999999999</v>
      </c>
      <c r="D209">
        <v>22.199000000000002</v>
      </c>
      <c r="E209">
        <v>32.78</v>
      </c>
      <c r="F209">
        <v>37.090000000000003</v>
      </c>
      <c r="G209">
        <v>11.398999999999999</v>
      </c>
      <c r="H209">
        <v>-4.3099999999999996</v>
      </c>
      <c r="I209">
        <f t="shared" si="6"/>
        <v>1.3370000000000033</v>
      </c>
      <c r="L209" s="103">
        <v>45209</v>
      </c>
      <c r="M209">
        <v>32.055</v>
      </c>
      <c r="N209">
        <v>24.074000000000002</v>
      </c>
      <c r="O209">
        <v>32.133000000000003</v>
      </c>
      <c r="P209">
        <v>33.558</v>
      </c>
      <c r="Q209">
        <v>7.9809999999999999</v>
      </c>
      <c r="R209">
        <v>-1.425</v>
      </c>
      <c r="S209">
        <f t="shared" si="7"/>
        <v>0.79050000000000153</v>
      </c>
    </row>
    <row r="210" spans="2:19" x14ac:dyDescent="0.25">
      <c r="B210" s="103">
        <v>44967</v>
      </c>
      <c r="C210">
        <v>33.238999999999997</v>
      </c>
      <c r="D210">
        <v>22.117999999999999</v>
      </c>
      <c r="E210">
        <v>32.676000000000002</v>
      </c>
      <c r="F210">
        <v>36.942</v>
      </c>
      <c r="G210">
        <v>11.121</v>
      </c>
      <c r="H210">
        <v>-4.266</v>
      </c>
      <c r="I210">
        <f t="shared" si="6"/>
        <v>1.5700000000000003</v>
      </c>
      <c r="L210" s="103">
        <v>45179</v>
      </c>
      <c r="M210">
        <v>32.378999999999998</v>
      </c>
      <c r="N210">
        <v>23.161999999999999</v>
      </c>
      <c r="O210">
        <v>32.081000000000003</v>
      </c>
      <c r="P210">
        <v>34.933</v>
      </c>
      <c r="Q210">
        <v>9.2170000000000005</v>
      </c>
      <c r="R210">
        <v>-2.8519999999999999</v>
      </c>
      <c r="S210">
        <f t="shared" si="7"/>
        <v>1.1280000000000072</v>
      </c>
    </row>
    <row r="211" spans="2:19" x14ac:dyDescent="0.25">
      <c r="B211" s="103" t="s">
        <v>268</v>
      </c>
      <c r="C211">
        <v>33.354999999999997</v>
      </c>
      <c r="D211">
        <v>22.062000000000001</v>
      </c>
      <c r="E211">
        <v>33.173000000000002</v>
      </c>
      <c r="F211">
        <v>36.523000000000003</v>
      </c>
      <c r="G211">
        <v>11.292999999999999</v>
      </c>
      <c r="H211">
        <v>-3.35</v>
      </c>
      <c r="I211">
        <f t="shared" si="6"/>
        <v>1.4930000000000021</v>
      </c>
      <c r="L211" s="103">
        <v>45087</v>
      </c>
      <c r="M211">
        <v>32.526000000000003</v>
      </c>
      <c r="N211">
        <v>22.998000000000001</v>
      </c>
      <c r="O211">
        <v>32.006</v>
      </c>
      <c r="P211">
        <v>35.546999999999997</v>
      </c>
      <c r="Q211">
        <v>9.5280000000000005</v>
      </c>
      <c r="R211">
        <v>-3.5409999999999999</v>
      </c>
      <c r="S211">
        <f t="shared" si="7"/>
        <v>1.2504999999999953</v>
      </c>
    </row>
    <row r="212" spans="2:19" x14ac:dyDescent="0.25">
      <c r="B212" s="103" t="s">
        <v>269</v>
      </c>
      <c r="C212">
        <v>33.926000000000002</v>
      </c>
      <c r="D212">
        <v>21.925000000000001</v>
      </c>
      <c r="E212">
        <v>33.463000000000001</v>
      </c>
      <c r="F212">
        <v>37.008000000000003</v>
      </c>
      <c r="G212">
        <v>12.000999999999999</v>
      </c>
      <c r="H212">
        <v>-3.5449999999999999</v>
      </c>
      <c r="I212">
        <f t="shared" si="6"/>
        <v>1.3094999999999999</v>
      </c>
      <c r="L212" s="103">
        <v>45056</v>
      </c>
      <c r="M212">
        <v>32.570999999999998</v>
      </c>
      <c r="N212">
        <v>23.036999999999999</v>
      </c>
      <c r="O212">
        <v>31.965</v>
      </c>
      <c r="P212">
        <v>35.378</v>
      </c>
      <c r="Q212">
        <v>9.5340000000000007</v>
      </c>
      <c r="R212">
        <v>-3.4129999999999998</v>
      </c>
      <c r="S212">
        <f t="shared" si="7"/>
        <v>1.1005000000000038</v>
      </c>
    </row>
    <row r="213" spans="2:19" x14ac:dyDescent="0.25">
      <c r="B213" s="103" t="s">
        <v>270</v>
      </c>
      <c r="C213">
        <v>34.302</v>
      </c>
      <c r="D213">
        <v>21.9</v>
      </c>
      <c r="E213">
        <v>33.804000000000002</v>
      </c>
      <c r="F213">
        <v>37.493000000000002</v>
      </c>
      <c r="G213">
        <v>12.401999999999999</v>
      </c>
      <c r="H213">
        <v>-3.6890000000000001</v>
      </c>
      <c r="I213">
        <f t="shared" si="6"/>
        <v>1.3464999999999989</v>
      </c>
      <c r="L213" s="103">
        <v>45026</v>
      </c>
      <c r="M213">
        <v>33.01</v>
      </c>
      <c r="N213">
        <v>22.875</v>
      </c>
      <c r="O213">
        <v>32.65</v>
      </c>
      <c r="P213">
        <v>36.027000000000001</v>
      </c>
      <c r="Q213">
        <v>10.135</v>
      </c>
      <c r="R213">
        <v>-3.3769999999999998</v>
      </c>
      <c r="S213">
        <f t="shared" si="7"/>
        <v>1.3284999999999982</v>
      </c>
    </row>
    <row r="214" spans="2:19" x14ac:dyDescent="0.25">
      <c r="B214" s="103" t="s">
        <v>271</v>
      </c>
      <c r="C214">
        <v>34.366</v>
      </c>
      <c r="D214">
        <v>21.856000000000002</v>
      </c>
      <c r="E214">
        <v>33.79</v>
      </c>
      <c r="F214">
        <v>37.969000000000001</v>
      </c>
      <c r="G214">
        <v>12.51</v>
      </c>
      <c r="H214">
        <v>-4.1790000000000003</v>
      </c>
      <c r="I214">
        <f t="shared" si="6"/>
        <v>1.5135000000000005</v>
      </c>
      <c r="L214" s="103">
        <v>44995</v>
      </c>
      <c r="M214">
        <v>33.597999999999999</v>
      </c>
      <c r="N214">
        <v>22.199000000000002</v>
      </c>
      <c r="O214">
        <v>32.78</v>
      </c>
      <c r="P214">
        <v>37.090000000000003</v>
      </c>
      <c r="Q214">
        <v>11.398999999999999</v>
      </c>
      <c r="R214">
        <v>-4.3099999999999996</v>
      </c>
      <c r="S214">
        <f t="shared" si="7"/>
        <v>1.3370000000000033</v>
      </c>
    </row>
    <row r="215" spans="2:19" x14ac:dyDescent="0.25">
      <c r="B215" s="103" t="s">
        <v>272</v>
      </c>
      <c r="C215">
        <v>34.128</v>
      </c>
      <c r="D215">
        <v>21.344000000000001</v>
      </c>
      <c r="E215">
        <v>33.966999999999999</v>
      </c>
      <c r="F215">
        <v>36.795999999999999</v>
      </c>
      <c r="G215">
        <v>12.784000000000001</v>
      </c>
      <c r="H215">
        <v>-2.8290000000000002</v>
      </c>
      <c r="I215">
        <f t="shared" si="6"/>
        <v>1.2535000000000025</v>
      </c>
      <c r="L215" s="103">
        <v>44967</v>
      </c>
      <c r="M215">
        <v>33.238999999999997</v>
      </c>
      <c r="N215">
        <v>22.117999999999999</v>
      </c>
      <c r="O215">
        <v>32.676000000000002</v>
      </c>
      <c r="P215">
        <v>36.942</v>
      </c>
      <c r="Q215">
        <v>11.121</v>
      </c>
      <c r="R215">
        <v>-4.266</v>
      </c>
      <c r="S215">
        <f t="shared" si="7"/>
        <v>1.5700000000000003</v>
      </c>
    </row>
    <row r="216" spans="2:19" x14ac:dyDescent="0.25">
      <c r="B216" s="103" t="s">
        <v>273</v>
      </c>
      <c r="C216">
        <v>34.094999999999999</v>
      </c>
      <c r="D216">
        <v>21.34</v>
      </c>
      <c r="E216">
        <v>33.933999999999997</v>
      </c>
      <c r="F216">
        <v>36.506</v>
      </c>
      <c r="G216">
        <v>12.755000000000001</v>
      </c>
      <c r="H216">
        <v>-2.5720000000000001</v>
      </c>
      <c r="I216">
        <f t="shared" si="6"/>
        <v>1.125</v>
      </c>
      <c r="L216" s="103" t="s">
        <v>268</v>
      </c>
      <c r="M216" s="2">
        <v>33.354999999999997</v>
      </c>
      <c r="N216">
        <v>22.062000000000001</v>
      </c>
      <c r="O216">
        <v>33.173000000000002</v>
      </c>
      <c r="P216">
        <v>36.523000000000003</v>
      </c>
      <c r="Q216">
        <v>11.292999999999999</v>
      </c>
      <c r="R216">
        <v>-3.35</v>
      </c>
      <c r="S216">
        <f t="shared" si="7"/>
        <v>1.4930000000000021</v>
      </c>
    </row>
    <row r="217" spans="2:19" x14ac:dyDescent="0.25">
      <c r="B217" s="103" t="s">
        <v>274</v>
      </c>
      <c r="C217">
        <v>33.646999999999998</v>
      </c>
      <c r="D217">
        <v>21.446000000000002</v>
      </c>
      <c r="E217">
        <v>33.457999999999998</v>
      </c>
      <c r="F217">
        <v>36.780999999999999</v>
      </c>
      <c r="G217">
        <v>12.201000000000001</v>
      </c>
      <c r="H217">
        <v>-3.323</v>
      </c>
      <c r="I217">
        <f t="shared" si="6"/>
        <v>1.4725000000000037</v>
      </c>
      <c r="L217" s="103" t="s">
        <v>269</v>
      </c>
      <c r="M217" s="2">
        <v>33.926000000000002</v>
      </c>
      <c r="N217">
        <v>21.925000000000001</v>
      </c>
      <c r="O217">
        <v>33.463000000000001</v>
      </c>
      <c r="P217">
        <v>37.008000000000003</v>
      </c>
      <c r="Q217">
        <v>12.000999999999999</v>
      </c>
      <c r="R217">
        <v>-3.5449999999999999</v>
      </c>
      <c r="S217">
        <f t="shared" si="7"/>
        <v>1.3094999999999999</v>
      </c>
    </row>
    <row r="218" spans="2:19" x14ac:dyDescent="0.25">
      <c r="B218" s="103" t="s">
        <v>275</v>
      </c>
      <c r="C218">
        <v>34.088000000000001</v>
      </c>
      <c r="D218">
        <v>21.364000000000001</v>
      </c>
      <c r="E218">
        <v>33.665999999999997</v>
      </c>
      <c r="F218">
        <v>36.500999999999998</v>
      </c>
      <c r="G218">
        <v>12.724</v>
      </c>
      <c r="H218">
        <v>-2.835</v>
      </c>
      <c r="I218">
        <f t="shared" si="6"/>
        <v>0.99549999999999983</v>
      </c>
      <c r="L218" s="103" t="s">
        <v>270</v>
      </c>
      <c r="M218" s="2">
        <v>34.302</v>
      </c>
      <c r="N218">
        <v>21.9</v>
      </c>
      <c r="O218">
        <v>33.804000000000002</v>
      </c>
      <c r="P218">
        <v>37.493000000000002</v>
      </c>
      <c r="Q218">
        <v>12.401999999999999</v>
      </c>
      <c r="R218">
        <v>-3.6890000000000001</v>
      </c>
      <c r="S218">
        <f t="shared" si="7"/>
        <v>1.3464999999999989</v>
      </c>
    </row>
    <row r="219" spans="2:19" x14ac:dyDescent="0.25">
      <c r="B219" s="103" t="s">
        <v>276</v>
      </c>
      <c r="C219">
        <v>34.844000000000001</v>
      </c>
      <c r="D219">
        <v>20.933</v>
      </c>
      <c r="E219">
        <v>33.716000000000001</v>
      </c>
      <c r="F219">
        <v>38.603000000000002</v>
      </c>
      <c r="G219">
        <v>13.911</v>
      </c>
      <c r="H219">
        <v>-4.8869999999999996</v>
      </c>
      <c r="I219">
        <f t="shared" si="6"/>
        <v>1.3155000000000001</v>
      </c>
      <c r="L219" s="103" t="s">
        <v>271</v>
      </c>
      <c r="M219" s="2">
        <v>34.366</v>
      </c>
      <c r="N219">
        <v>21.856000000000002</v>
      </c>
      <c r="O219">
        <v>33.79</v>
      </c>
      <c r="P219">
        <v>37.969000000000001</v>
      </c>
      <c r="Q219">
        <v>12.51</v>
      </c>
      <c r="R219">
        <v>-4.1790000000000003</v>
      </c>
      <c r="S219">
        <f t="shared" si="7"/>
        <v>1.5135000000000005</v>
      </c>
    </row>
    <row r="220" spans="2:19" x14ac:dyDescent="0.25">
      <c r="B220" s="103" t="s">
        <v>277</v>
      </c>
      <c r="C220">
        <v>35.521999999999998</v>
      </c>
      <c r="D220">
        <v>21.027999999999999</v>
      </c>
      <c r="E220">
        <v>34.118000000000002</v>
      </c>
      <c r="F220">
        <v>39.290999999999997</v>
      </c>
      <c r="G220">
        <v>14.494</v>
      </c>
      <c r="H220">
        <v>-5.173</v>
      </c>
      <c r="I220">
        <f t="shared" si="6"/>
        <v>1.1824999999999974</v>
      </c>
      <c r="L220" s="103" t="s">
        <v>272</v>
      </c>
      <c r="M220" s="2">
        <v>34.128</v>
      </c>
      <c r="N220">
        <v>21.344000000000001</v>
      </c>
      <c r="O220">
        <v>33.966999999999999</v>
      </c>
      <c r="P220">
        <v>36.795999999999999</v>
      </c>
      <c r="Q220">
        <v>12.784000000000001</v>
      </c>
      <c r="R220">
        <v>-2.8290000000000002</v>
      </c>
      <c r="S220">
        <f t="shared" si="7"/>
        <v>1.2535000000000025</v>
      </c>
    </row>
    <row r="221" spans="2:19" x14ac:dyDescent="0.25">
      <c r="B221" s="103" t="s">
        <v>278</v>
      </c>
      <c r="C221">
        <v>34.735999999999997</v>
      </c>
      <c r="D221">
        <v>21.731999999999999</v>
      </c>
      <c r="E221">
        <v>33.720999999999997</v>
      </c>
      <c r="F221">
        <v>38.158000000000001</v>
      </c>
      <c r="G221">
        <v>13.004</v>
      </c>
      <c r="H221">
        <v>-4.4370000000000003</v>
      </c>
      <c r="I221">
        <f t="shared" si="6"/>
        <v>1.2034999999999982</v>
      </c>
      <c r="L221" s="103" t="s">
        <v>273</v>
      </c>
      <c r="M221" s="2">
        <v>34.094999999999999</v>
      </c>
      <c r="N221">
        <v>21.34</v>
      </c>
      <c r="O221">
        <v>33.933999999999997</v>
      </c>
      <c r="P221">
        <v>36.506</v>
      </c>
      <c r="Q221">
        <v>12.755000000000001</v>
      </c>
      <c r="R221">
        <v>-2.5720000000000001</v>
      </c>
      <c r="S221">
        <f t="shared" si="7"/>
        <v>1.125</v>
      </c>
    </row>
    <row r="222" spans="2:19" x14ac:dyDescent="0.25">
      <c r="B222" s="103" t="s">
        <v>279</v>
      </c>
      <c r="C222">
        <v>34.988</v>
      </c>
      <c r="D222">
        <v>21.977</v>
      </c>
      <c r="E222">
        <v>34.085999999999999</v>
      </c>
      <c r="F222">
        <v>38.183999999999997</v>
      </c>
      <c r="G222">
        <v>13.010999999999999</v>
      </c>
      <c r="H222">
        <v>-4.0979999999999999</v>
      </c>
      <c r="I222">
        <f t="shared" si="6"/>
        <v>1.1469999999999985</v>
      </c>
      <c r="L222" s="103" t="s">
        <v>274</v>
      </c>
      <c r="M222" s="2">
        <v>33.646999999999998</v>
      </c>
      <c r="N222">
        <v>21.446000000000002</v>
      </c>
      <c r="O222">
        <v>33.457999999999998</v>
      </c>
      <c r="P222">
        <v>36.780999999999999</v>
      </c>
      <c r="Q222">
        <v>12.201000000000001</v>
      </c>
      <c r="R222">
        <v>-3.323</v>
      </c>
      <c r="S222">
        <f t="shared" si="7"/>
        <v>1.4725000000000037</v>
      </c>
    </row>
    <row r="223" spans="2:19" x14ac:dyDescent="0.25">
      <c r="B223" s="103" t="s">
        <v>280</v>
      </c>
      <c r="C223">
        <v>36.003</v>
      </c>
      <c r="D223">
        <v>22.567</v>
      </c>
      <c r="E223">
        <v>35.415999999999997</v>
      </c>
      <c r="F223">
        <v>39.756999999999998</v>
      </c>
      <c r="G223">
        <v>13.436</v>
      </c>
      <c r="H223">
        <v>-4.3410000000000002</v>
      </c>
      <c r="I223">
        <f t="shared" si="6"/>
        <v>1.5835000000000008</v>
      </c>
      <c r="L223" s="103" t="s">
        <v>275</v>
      </c>
      <c r="M223" s="2">
        <v>34.088000000000001</v>
      </c>
      <c r="N223">
        <v>21.364000000000001</v>
      </c>
      <c r="O223">
        <v>33.665999999999997</v>
      </c>
      <c r="P223">
        <v>36.500999999999998</v>
      </c>
      <c r="Q223">
        <v>12.724</v>
      </c>
      <c r="R223">
        <v>-2.835</v>
      </c>
      <c r="S223">
        <f t="shared" si="7"/>
        <v>0.99549999999999983</v>
      </c>
    </row>
    <row r="224" spans="2:19" x14ac:dyDescent="0.25">
      <c r="B224" s="103">
        <v>45269</v>
      </c>
      <c r="C224">
        <v>36.936</v>
      </c>
      <c r="D224">
        <v>21.937000000000001</v>
      </c>
      <c r="E224">
        <v>35.411000000000001</v>
      </c>
      <c r="F224">
        <v>40.871000000000002</v>
      </c>
      <c r="G224">
        <v>14.999000000000001</v>
      </c>
      <c r="H224">
        <v>-5.46</v>
      </c>
      <c r="I224">
        <f t="shared" si="6"/>
        <v>1.2050000000000054</v>
      </c>
      <c r="L224" s="103" t="s">
        <v>276</v>
      </c>
      <c r="M224">
        <v>35.369</v>
      </c>
      <c r="N224">
        <v>20.933</v>
      </c>
      <c r="O224">
        <v>33.984999999999999</v>
      </c>
      <c r="P224">
        <v>39.658000000000001</v>
      </c>
      <c r="Q224">
        <v>14.436</v>
      </c>
      <c r="R224">
        <v>-5.673</v>
      </c>
      <c r="S224">
        <f t="shared" si="7"/>
        <v>1.4525000000000006</v>
      </c>
    </row>
    <row r="225" spans="2:19" x14ac:dyDescent="0.25">
      <c r="B225" s="103">
        <v>45239</v>
      </c>
      <c r="C225">
        <v>36.543999999999997</v>
      </c>
      <c r="D225">
        <v>23.827000000000002</v>
      </c>
      <c r="E225">
        <v>35.500999999999998</v>
      </c>
      <c r="F225">
        <v>40.359000000000002</v>
      </c>
      <c r="G225">
        <v>12.717000000000001</v>
      </c>
      <c r="H225">
        <v>-4.8579999999999997</v>
      </c>
      <c r="I225">
        <f t="shared" si="6"/>
        <v>1.3860000000000028</v>
      </c>
      <c r="L225" s="103" t="s">
        <v>277</v>
      </c>
      <c r="M225">
        <v>34.152999999999999</v>
      </c>
      <c r="N225">
        <v>21.027999999999999</v>
      </c>
      <c r="O225">
        <v>32.143000000000001</v>
      </c>
      <c r="P225">
        <v>37.994</v>
      </c>
      <c r="Q225">
        <v>13.125</v>
      </c>
      <c r="R225">
        <v>-5.851</v>
      </c>
      <c r="S225">
        <f t="shared" si="7"/>
        <v>0.91550000000000153</v>
      </c>
    </row>
    <row r="226" spans="2:19" x14ac:dyDescent="0.25">
      <c r="B226" s="103">
        <v>45147</v>
      </c>
      <c r="C226">
        <v>36.305</v>
      </c>
      <c r="D226">
        <v>24.712</v>
      </c>
      <c r="E226">
        <v>35.450000000000003</v>
      </c>
      <c r="F226">
        <v>39.808</v>
      </c>
      <c r="G226">
        <v>11.593</v>
      </c>
      <c r="H226">
        <v>-4.3579999999999997</v>
      </c>
      <c r="I226">
        <f t="shared" si="6"/>
        <v>1.3240000000000052</v>
      </c>
      <c r="L226" s="103" t="s">
        <v>278</v>
      </c>
      <c r="M226">
        <v>30.692</v>
      </c>
      <c r="N226">
        <v>21.731999999999999</v>
      </c>
      <c r="O226">
        <v>29.594000000000001</v>
      </c>
      <c r="P226">
        <v>33.478000000000002</v>
      </c>
      <c r="Q226">
        <v>8.9600000000000009</v>
      </c>
      <c r="R226">
        <v>-3.8839999999999999</v>
      </c>
      <c r="S226">
        <f t="shared" si="7"/>
        <v>0.84400000000000119</v>
      </c>
    </row>
    <row r="227" spans="2:19" x14ac:dyDescent="0.25">
      <c r="B227" s="103">
        <v>45116</v>
      </c>
      <c r="C227">
        <v>35.31</v>
      </c>
      <c r="D227">
        <v>24.501000000000001</v>
      </c>
      <c r="E227">
        <v>34.21</v>
      </c>
      <c r="F227">
        <v>38.869999999999997</v>
      </c>
      <c r="G227">
        <v>10.808999999999999</v>
      </c>
      <c r="H227">
        <v>-4.66</v>
      </c>
      <c r="I227">
        <f t="shared" si="6"/>
        <v>1.2299999999999969</v>
      </c>
      <c r="L227" s="103" t="s">
        <v>279</v>
      </c>
      <c r="M227">
        <v>31.187000000000001</v>
      </c>
      <c r="N227">
        <v>21.977</v>
      </c>
      <c r="O227">
        <v>30.664000000000001</v>
      </c>
      <c r="P227">
        <v>33.472000000000001</v>
      </c>
      <c r="Q227">
        <v>9.2100000000000009</v>
      </c>
      <c r="R227">
        <v>-2.8079999999999998</v>
      </c>
      <c r="S227">
        <f t="shared" si="7"/>
        <v>0.88099999999999667</v>
      </c>
    </row>
    <row r="228" spans="2:19" x14ac:dyDescent="0.25">
      <c r="B228" s="103">
        <v>45086</v>
      </c>
      <c r="C228">
        <v>36.045000000000002</v>
      </c>
      <c r="D228">
        <v>24.513999999999999</v>
      </c>
      <c r="E228">
        <v>35.329000000000001</v>
      </c>
      <c r="F228">
        <v>39.564</v>
      </c>
      <c r="G228">
        <v>11.531000000000001</v>
      </c>
      <c r="H228">
        <v>-4.2350000000000003</v>
      </c>
      <c r="I228">
        <f t="shared" si="6"/>
        <v>1.4014999999999986</v>
      </c>
      <c r="L228" s="103" t="s">
        <v>280</v>
      </c>
      <c r="M228">
        <v>34.383000000000003</v>
      </c>
      <c r="N228">
        <v>22.567</v>
      </c>
      <c r="O228">
        <v>33.295999999999999</v>
      </c>
      <c r="P228">
        <v>38.494999999999997</v>
      </c>
      <c r="Q228">
        <v>11.816000000000001</v>
      </c>
      <c r="R228">
        <v>-5.1989999999999998</v>
      </c>
      <c r="S228">
        <f t="shared" si="7"/>
        <v>1.5124999999999957</v>
      </c>
    </row>
    <row r="229" spans="2:19" x14ac:dyDescent="0.25">
      <c r="B229" s="103">
        <v>45055</v>
      </c>
      <c r="C229">
        <v>37.744</v>
      </c>
      <c r="D229">
        <v>24.515000000000001</v>
      </c>
      <c r="E229">
        <v>36.957999999999998</v>
      </c>
      <c r="F229">
        <v>41.738</v>
      </c>
      <c r="G229">
        <v>13.228999999999999</v>
      </c>
      <c r="H229">
        <v>-4.78</v>
      </c>
      <c r="I229">
        <f t="shared" si="6"/>
        <v>1.6039999999999992</v>
      </c>
      <c r="L229" s="103">
        <v>45269</v>
      </c>
      <c r="M229">
        <v>42.167000000000002</v>
      </c>
      <c r="N229">
        <v>21.937000000000001</v>
      </c>
      <c r="O229">
        <v>39.951999999999998</v>
      </c>
      <c r="P229">
        <v>46.426000000000002</v>
      </c>
      <c r="Q229">
        <v>20.23</v>
      </c>
      <c r="R229">
        <v>-6.4740000000000002</v>
      </c>
      <c r="S229">
        <f t="shared" si="7"/>
        <v>1.0219999999999985</v>
      </c>
    </row>
    <row r="230" spans="2:19" x14ac:dyDescent="0.25">
      <c r="B230" s="103">
        <v>45025</v>
      </c>
      <c r="C230">
        <v>38.387</v>
      </c>
      <c r="D230">
        <v>25.850999999999999</v>
      </c>
      <c r="E230">
        <v>37.484999999999999</v>
      </c>
      <c r="F230">
        <v>42.377000000000002</v>
      </c>
      <c r="G230">
        <v>12.536</v>
      </c>
      <c r="H230">
        <v>-4.8920000000000003</v>
      </c>
      <c r="I230">
        <f t="shared" si="6"/>
        <v>1.5439999999999969</v>
      </c>
      <c r="L230" s="103">
        <v>45239</v>
      </c>
      <c r="M230">
        <v>39.765000000000001</v>
      </c>
      <c r="N230">
        <v>23.827000000000002</v>
      </c>
      <c r="O230">
        <v>38.491</v>
      </c>
      <c r="P230">
        <v>43.383000000000003</v>
      </c>
      <c r="Q230">
        <v>15.938000000000001</v>
      </c>
      <c r="R230">
        <v>-4.8920000000000003</v>
      </c>
      <c r="S230">
        <f t="shared" si="7"/>
        <v>1.171999999999997</v>
      </c>
    </row>
    <row r="231" spans="2:19" x14ac:dyDescent="0.25">
      <c r="B231" s="103">
        <v>44935</v>
      </c>
      <c r="C231">
        <v>38.585999999999999</v>
      </c>
      <c r="D231">
        <v>26.225000000000001</v>
      </c>
      <c r="E231">
        <v>37.76</v>
      </c>
      <c r="F231">
        <v>42.57</v>
      </c>
      <c r="G231">
        <v>12.361000000000001</v>
      </c>
      <c r="H231">
        <v>-4.8099999999999996</v>
      </c>
      <c r="I231">
        <f t="shared" si="6"/>
        <v>1.5790000000000006</v>
      </c>
      <c r="L231" s="103">
        <v>45147</v>
      </c>
      <c r="M231">
        <v>38.526000000000003</v>
      </c>
      <c r="N231">
        <v>24.712</v>
      </c>
      <c r="O231">
        <v>36.850999999999999</v>
      </c>
      <c r="P231">
        <v>42.793999999999997</v>
      </c>
      <c r="Q231">
        <v>13.814</v>
      </c>
      <c r="R231">
        <v>-5.9429999999999996</v>
      </c>
      <c r="S231">
        <f t="shared" si="7"/>
        <v>1.2964999999999947</v>
      </c>
    </row>
    <row r="232" spans="2:19" x14ac:dyDescent="0.25">
      <c r="B232" s="103" t="s">
        <v>281</v>
      </c>
      <c r="C232">
        <v>38.606000000000002</v>
      </c>
      <c r="D232">
        <v>26.327000000000002</v>
      </c>
      <c r="E232">
        <v>37.869999999999997</v>
      </c>
      <c r="F232">
        <v>42.335999999999999</v>
      </c>
      <c r="G232">
        <v>12.279</v>
      </c>
      <c r="H232">
        <v>-4.4660000000000002</v>
      </c>
      <c r="I232">
        <f t="shared" si="6"/>
        <v>1.4969999999999928</v>
      </c>
      <c r="L232" s="103">
        <v>45116</v>
      </c>
      <c r="M232">
        <v>37.380000000000003</v>
      </c>
      <c r="N232">
        <v>24.501000000000001</v>
      </c>
      <c r="O232">
        <v>36.128999999999998</v>
      </c>
      <c r="P232">
        <v>40.668999999999997</v>
      </c>
      <c r="Q232">
        <v>12.879</v>
      </c>
      <c r="R232">
        <v>-4.54</v>
      </c>
      <c r="S232">
        <f t="shared" si="7"/>
        <v>1.0189999999999984</v>
      </c>
    </row>
    <row r="233" spans="2:19" x14ac:dyDescent="0.25">
      <c r="B233" s="103" t="s">
        <v>282</v>
      </c>
      <c r="C233">
        <v>38.6</v>
      </c>
      <c r="D233">
        <v>27.193000000000001</v>
      </c>
      <c r="E233">
        <v>37.884999999999998</v>
      </c>
      <c r="F233">
        <v>42.228000000000002</v>
      </c>
      <c r="G233">
        <v>11.407</v>
      </c>
      <c r="H233">
        <v>-4.343</v>
      </c>
      <c r="I233">
        <f t="shared" si="6"/>
        <v>1.4564999999999984</v>
      </c>
      <c r="L233" s="103">
        <v>45086</v>
      </c>
      <c r="M233">
        <v>38.762</v>
      </c>
      <c r="N233">
        <v>24.513999999999999</v>
      </c>
      <c r="O233">
        <v>37.558999999999997</v>
      </c>
      <c r="P233">
        <v>43.048999999999999</v>
      </c>
      <c r="Q233">
        <v>14.247999999999999</v>
      </c>
      <c r="R233">
        <v>-5.49</v>
      </c>
      <c r="S233">
        <f t="shared" si="7"/>
        <v>1.5420000000000016</v>
      </c>
    </row>
    <row r="234" spans="2:19" x14ac:dyDescent="0.25">
      <c r="B234" s="103" t="s">
        <v>283</v>
      </c>
      <c r="C234">
        <v>38.948999999999998</v>
      </c>
      <c r="D234">
        <v>26.98</v>
      </c>
      <c r="E234">
        <v>37.975999999999999</v>
      </c>
      <c r="F234">
        <v>43.02</v>
      </c>
      <c r="G234">
        <v>11.968999999999999</v>
      </c>
      <c r="H234">
        <v>-5.0439999999999996</v>
      </c>
      <c r="I234">
        <f t="shared" si="6"/>
        <v>1.5490000000000066</v>
      </c>
      <c r="L234" s="103">
        <v>45055</v>
      </c>
      <c r="M234">
        <v>39.466000000000001</v>
      </c>
      <c r="N234">
        <v>24.515000000000001</v>
      </c>
      <c r="O234">
        <v>38.484999999999999</v>
      </c>
      <c r="P234">
        <v>43.521999999999998</v>
      </c>
      <c r="Q234">
        <v>14.951000000000001</v>
      </c>
      <c r="R234">
        <v>-5.0369999999999999</v>
      </c>
      <c r="S234">
        <f t="shared" si="7"/>
        <v>1.5375000000000014</v>
      </c>
    </row>
    <row r="235" spans="2:19" x14ac:dyDescent="0.25">
      <c r="B235" s="103" t="s">
        <v>284</v>
      </c>
      <c r="C235">
        <v>38.856000000000002</v>
      </c>
      <c r="D235">
        <v>27.28</v>
      </c>
      <c r="E235">
        <v>38.030999999999999</v>
      </c>
      <c r="F235">
        <v>42.576000000000001</v>
      </c>
      <c r="G235">
        <v>11.576000000000001</v>
      </c>
      <c r="H235">
        <v>-4.5449999999999999</v>
      </c>
      <c r="I235">
        <f t="shared" si="6"/>
        <v>1.447499999999998</v>
      </c>
      <c r="L235" s="103">
        <v>45025</v>
      </c>
      <c r="M235">
        <v>40.273000000000003</v>
      </c>
      <c r="N235">
        <v>25.850999999999999</v>
      </c>
      <c r="O235">
        <v>38.886000000000003</v>
      </c>
      <c r="P235">
        <v>45.078000000000003</v>
      </c>
      <c r="Q235">
        <v>14.422000000000001</v>
      </c>
      <c r="R235">
        <v>-6.1920000000000002</v>
      </c>
      <c r="S235">
        <f t="shared" si="7"/>
        <v>1.7089999999999961</v>
      </c>
    </row>
    <row r="236" spans="2:19" x14ac:dyDescent="0.25">
      <c r="B236" s="103" t="s">
        <v>285</v>
      </c>
      <c r="C236">
        <v>38.6</v>
      </c>
      <c r="D236">
        <v>27.364999999999998</v>
      </c>
      <c r="E236">
        <v>37.715000000000003</v>
      </c>
      <c r="F236">
        <v>42.447000000000003</v>
      </c>
      <c r="G236">
        <v>11.234999999999999</v>
      </c>
      <c r="H236">
        <v>-4.7320000000000002</v>
      </c>
      <c r="I236">
        <f t="shared" si="6"/>
        <v>1.4810000000000016</v>
      </c>
      <c r="L236" s="103">
        <v>44935</v>
      </c>
      <c r="M236">
        <v>38.823</v>
      </c>
      <c r="N236">
        <v>26.225000000000001</v>
      </c>
      <c r="O236">
        <v>37.186999999999998</v>
      </c>
      <c r="P236">
        <v>43.585999999999999</v>
      </c>
      <c r="Q236">
        <v>12.598000000000001</v>
      </c>
      <c r="R236">
        <v>-6.399</v>
      </c>
      <c r="S236">
        <f t="shared" si="7"/>
        <v>1.5634999999999977</v>
      </c>
    </row>
    <row r="237" spans="2:19" x14ac:dyDescent="0.25">
      <c r="B237" s="103" t="s">
        <v>286</v>
      </c>
      <c r="C237">
        <v>38.735999999999997</v>
      </c>
      <c r="D237">
        <v>28.759</v>
      </c>
      <c r="E237">
        <v>37.781999999999996</v>
      </c>
      <c r="F237">
        <v>42.689</v>
      </c>
      <c r="G237">
        <v>9.9770000000000003</v>
      </c>
      <c r="H237">
        <v>-4.907</v>
      </c>
      <c r="I237">
        <f t="shared" si="6"/>
        <v>1.4995000000000047</v>
      </c>
      <c r="L237" s="103" t="s">
        <v>281</v>
      </c>
      <c r="M237">
        <v>39.75</v>
      </c>
      <c r="N237">
        <v>26.327000000000002</v>
      </c>
      <c r="O237">
        <v>38.451000000000001</v>
      </c>
      <c r="P237">
        <v>43.981999999999999</v>
      </c>
      <c r="Q237">
        <v>13.423</v>
      </c>
      <c r="R237">
        <v>-5.5309999999999997</v>
      </c>
      <c r="S237">
        <f t="shared" si="7"/>
        <v>1.4664999999999964</v>
      </c>
    </row>
    <row r="238" spans="2:19" x14ac:dyDescent="0.25">
      <c r="B238" s="103" t="s">
        <v>287</v>
      </c>
      <c r="C238">
        <v>38.927</v>
      </c>
      <c r="D238">
        <v>28.097000000000001</v>
      </c>
      <c r="E238">
        <v>38.457999999999998</v>
      </c>
      <c r="F238">
        <v>42.332000000000001</v>
      </c>
      <c r="G238">
        <v>10.83</v>
      </c>
      <c r="H238">
        <v>-3.8740000000000001</v>
      </c>
      <c r="I238">
        <f t="shared" si="6"/>
        <v>1.4679999999999964</v>
      </c>
      <c r="L238" s="103" t="s">
        <v>282</v>
      </c>
      <c r="M238">
        <v>40.429000000000002</v>
      </c>
      <c r="N238">
        <v>27.193000000000001</v>
      </c>
      <c r="O238">
        <v>39.329000000000001</v>
      </c>
      <c r="P238">
        <v>44.466000000000001</v>
      </c>
      <c r="Q238">
        <v>13.236000000000001</v>
      </c>
      <c r="R238">
        <v>-5.1369999999999996</v>
      </c>
      <c r="S238">
        <f t="shared" si="7"/>
        <v>1.4684999999999988</v>
      </c>
    </row>
    <row r="239" spans="2:19" x14ac:dyDescent="0.25">
      <c r="B239" s="103" t="s">
        <v>288</v>
      </c>
      <c r="C239">
        <v>38.399000000000001</v>
      </c>
      <c r="D239">
        <v>28.512</v>
      </c>
      <c r="E239">
        <v>38.063000000000002</v>
      </c>
      <c r="F239">
        <v>41.220999999999997</v>
      </c>
      <c r="G239">
        <v>9.8870000000000005</v>
      </c>
      <c r="H239">
        <v>-3.1579999999999999</v>
      </c>
      <c r="I239">
        <f t="shared" si="6"/>
        <v>1.242999999999995</v>
      </c>
      <c r="L239" s="103" t="s">
        <v>283</v>
      </c>
      <c r="M239">
        <v>41.378999999999998</v>
      </c>
      <c r="N239">
        <v>26.98</v>
      </c>
      <c r="O239">
        <v>39.698999999999998</v>
      </c>
      <c r="P239">
        <v>46.351999999999997</v>
      </c>
      <c r="Q239">
        <v>14.398999999999999</v>
      </c>
      <c r="R239">
        <v>-6.6529999999999996</v>
      </c>
      <c r="S239">
        <f t="shared" si="7"/>
        <v>1.6464999999999961</v>
      </c>
    </row>
    <row r="240" spans="2:19" x14ac:dyDescent="0.25">
      <c r="B240" s="103" t="s">
        <v>289</v>
      </c>
      <c r="C240">
        <v>38.012</v>
      </c>
      <c r="D240">
        <v>28.187999999999999</v>
      </c>
      <c r="E240">
        <v>37.595999999999997</v>
      </c>
      <c r="F240">
        <v>41.084000000000003</v>
      </c>
      <c r="G240">
        <v>9.8239999999999998</v>
      </c>
      <c r="H240">
        <v>-3.488</v>
      </c>
      <c r="I240">
        <f t="shared" si="6"/>
        <v>1.328000000000003</v>
      </c>
      <c r="L240" s="103" t="s">
        <v>284</v>
      </c>
      <c r="M240">
        <v>39.508000000000003</v>
      </c>
      <c r="N240">
        <v>27.28</v>
      </c>
      <c r="O240">
        <v>38.276000000000003</v>
      </c>
      <c r="P240">
        <v>43.637999999999998</v>
      </c>
      <c r="Q240">
        <v>12.228</v>
      </c>
      <c r="R240">
        <v>-5.3620000000000001</v>
      </c>
      <c r="S240">
        <f t="shared" si="7"/>
        <v>1.4489999999999981</v>
      </c>
    </row>
    <row r="241" spans="2:19" x14ac:dyDescent="0.25">
      <c r="B241" s="103" t="s">
        <v>290</v>
      </c>
      <c r="C241">
        <v>37.679000000000002</v>
      </c>
      <c r="D241">
        <v>28.884</v>
      </c>
      <c r="E241">
        <v>37.412999999999997</v>
      </c>
      <c r="F241">
        <v>40.728000000000002</v>
      </c>
      <c r="G241">
        <v>8.7949999999999999</v>
      </c>
      <c r="H241">
        <v>-3.3149999999999999</v>
      </c>
      <c r="I241">
        <f t="shared" si="6"/>
        <v>1.3914999999999935</v>
      </c>
      <c r="L241" s="103" t="s">
        <v>285</v>
      </c>
      <c r="M241">
        <v>38.758000000000003</v>
      </c>
      <c r="N241">
        <v>27.364999999999998</v>
      </c>
      <c r="O241">
        <v>37.463000000000001</v>
      </c>
      <c r="P241">
        <v>43.228999999999999</v>
      </c>
      <c r="Q241">
        <v>11.393000000000001</v>
      </c>
      <c r="R241">
        <v>-5.766</v>
      </c>
      <c r="S241">
        <f t="shared" si="7"/>
        <v>1.588000000000001</v>
      </c>
    </row>
    <row r="242" spans="2:19" x14ac:dyDescent="0.25">
      <c r="B242" s="103" t="s">
        <v>291</v>
      </c>
      <c r="C242">
        <v>37.765999999999998</v>
      </c>
      <c r="D242">
        <v>28.821999999999999</v>
      </c>
      <c r="E242">
        <v>37.436999999999998</v>
      </c>
      <c r="F242">
        <v>40.408000000000001</v>
      </c>
      <c r="G242">
        <v>8.9440000000000008</v>
      </c>
      <c r="H242">
        <v>-2.9710000000000001</v>
      </c>
      <c r="I242">
        <f t="shared" si="6"/>
        <v>1.1565000000000012</v>
      </c>
      <c r="L242" s="103" t="s">
        <v>286</v>
      </c>
      <c r="M242">
        <v>39.276000000000003</v>
      </c>
      <c r="N242">
        <v>28.759</v>
      </c>
      <c r="O242">
        <v>37.762999999999998</v>
      </c>
      <c r="P242">
        <v>43.856000000000002</v>
      </c>
      <c r="Q242">
        <v>10.516999999999999</v>
      </c>
      <c r="R242">
        <v>-6.093</v>
      </c>
      <c r="S242">
        <f t="shared" si="7"/>
        <v>1.5334999999999965</v>
      </c>
    </row>
    <row r="243" spans="2:19" x14ac:dyDescent="0.25">
      <c r="B243" s="103" t="s">
        <v>292</v>
      </c>
      <c r="C243">
        <v>37.798999999999999</v>
      </c>
      <c r="D243">
        <v>28.885000000000002</v>
      </c>
      <c r="E243">
        <v>37.338999999999999</v>
      </c>
      <c r="F243">
        <v>40.734999999999999</v>
      </c>
      <c r="G243">
        <v>8.9139999999999997</v>
      </c>
      <c r="H243">
        <v>-3.3959999999999999</v>
      </c>
      <c r="I243">
        <f t="shared" si="6"/>
        <v>1.2379999999999995</v>
      </c>
      <c r="L243" s="103" t="s">
        <v>287</v>
      </c>
      <c r="M243">
        <v>38.802999999999997</v>
      </c>
      <c r="N243">
        <v>28.097000000000001</v>
      </c>
      <c r="O243">
        <v>37.963999999999999</v>
      </c>
      <c r="P243">
        <v>43.503999999999998</v>
      </c>
      <c r="Q243">
        <v>10.706</v>
      </c>
      <c r="R243">
        <v>-5.54</v>
      </c>
      <c r="S243">
        <f t="shared" si="7"/>
        <v>1.9309999999999974</v>
      </c>
    </row>
    <row r="244" spans="2:19" x14ac:dyDescent="0.25">
      <c r="B244" s="103" t="s">
        <v>293</v>
      </c>
      <c r="C244">
        <v>37.984999999999999</v>
      </c>
      <c r="D244">
        <v>29.263999999999999</v>
      </c>
      <c r="E244">
        <v>37.5</v>
      </c>
      <c r="F244">
        <v>40.731000000000002</v>
      </c>
      <c r="G244">
        <v>8.7210000000000001</v>
      </c>
      <c r="H244">
        <v>-3.2309999999999999</v>
      </c>
      <c r="I244">
        <f t="shared" si="6"/>
        <v>1.1304999999999978</v>
      </c>
      <c r="L244" s="103" t="s">
        <v>288</v>
      </c>
      <c r="M244">
        <v>37.972000000000001</v>
      </c>
      <c r="N244">
        <v>28.512</v>
      </c>
      <c r="O244">
        <v>37.845999999999997</v>
      </c>
      <c r="P244">
        <v>40.368000000000002</v>
      </c>
      <c r="Q244">
        <v>9.4600000000000009</v>
      </c>
      <c r="R244">
        <v>-2.5219999999999998</v>
      </c>
      <c r="S244">
        <f t="shared" si="7"/>
        <v>1.134999999999998</v>
      </c>
    </row>
    <row r="245" spans="2:19" x14ac:dyDescent="0.25">
      <c r="B245" s="103" t="s">
        <v>294</v>
      </c>
      <c r="C245">
        <v>38.003</v>
      </c>
      <c r="D245">
        <v>29.239000000000001</v>
      </c>
      <c r="E245">
        <v>37.475999999999999</v>
      </c>
      <c r="F245">
        <v>40.716000000000001</v>
      </c>
      <c r="G245">
        <v>8.7639999999999993</v>
      </c>
      <c r="H245">
        <v>-3.24</v>
      </c>
      <c r="I245">
        <f t="shared" si="6"/>
        <v>1.0930000000000035</v>
      </c>
      <c r="L245" s="103" t="s">
        <v>289</v>
      </c>
      <c r="M245">
        <v>37.905999999999999</v>
      </c>
      <c r="N245">
        <v>28.187999999999999</v>
      </c>
      <c r="O245">
        <v>37.384999999999998</v>
      </c>
      <c r="P245">
        <v>40.969000000000001</v>
      </c>
      <c r="Q245">
        <v>9.718</v>
      </c>
      <c r="R245">
        <v>-3.5840000000000001</v>
      </c>
      <c r="S245">
        <f t="shared" si="7"/>
        <v>1.2710000000000008</v>
      </c>
    </row>
    <row r="246" spans="2:19" x14ac:dyDescent="0.25">
      <c r="B246" s="103">
        <v>45238</v>
      </c>
      <c r="C246">
        <v>38.283999999999999</v>
      </c>
      <c r="D246">
        <v>29.663</v>
      </c>
      <c r="E246">
        <v>37.838000000000001</v>
      </c>
      <c r="F246">
        <v>41.417999999999999</v>
      </c>
      <c r="G246">
        <v>8.6210000000000004</v>
      </c>
      <c r="H246">
        <v>-3.58</v>
      </c>
      <c r="I246">
        <f t="shared" si="6"/>
        <v>1.3440000000000012</v>
      </c>
      <c r="L246" s="103" t="s">
        <v>290</v>
      </c>
      <c r="M246">
        <v>36.468000000000004</v>
      </c>
      <c r="N246">
        <v>28.884</v>
      </c>
      <c r="O246">
        <v>36.298000000000002</v>
      </c>
      <c r="P246">
        <v>39.765999999999998</v>
      </c>
      <c r="Q246">
        <v>7.5839999999999996</v>
      </c>
      <c r="R246">
        <v>-3.468</v>
      </c>
      <c r="S246">
        <f t="shared" si="7"/>
        <v>1.563999999999993</v>
      </c>
    </row>
    <row r="247" spans="2:19" x14ac:dyDescent="0.25">
      <c r="B247" s="103">
        <v>45207</v>
      </c>
      <c r="C247">
        <v>38.662999999999997</v>
      </c>
      <c r="D247">
        <v>29.71</v>
      </c>
      <c r="E247">
        <v>37.774999999999999</v>
      </c>
      <c r="F247">
        <v>42.500999999999998</v>
      </c>
      <c r="G247">
        <v>8.9529999999999994</v>
      </c>
      <c r="H247">
        <v>-4.726</v>
      </c>
      <c r="I247">
        <f t="shared" si="6"/>
        <v>1.4750000000000014</v>
      </c>
      <c r="L247" s="103" t="s">
        <v>291</v>
      </c>
      <c r="M247">
        <v>36.938000000000002</v>
      </c>
      <c r="N247">
        <v>28.821999999999999</v>
      </c>
      <c r="O247">
        <v>36.755000000000003</v>
      </c>
      <c r="P247">
        <v>39.198999999999998</v>
      </c>
      <c r="Q247">
        <v>8.1159999999999997</v>
      </c>
      <c r="R247">
        <v>-2.444</v>
      </c>
      <c r="S247">
        <f t="shared" si="7"/>
        <v>1.0390000000000015</v>
      </c>
    </row>
    <row r="248" spans="2:19" x14ac:dyDescent="0.25">
      <c r="B248" s="103">
        <v>45177</v>
      </c>
      <c r="C248">
        <v>38.832999999999998</v>
      </c>
      <c r="D248">
        <v>29.597000000000001</v>
      </c>
      <c r="E248">
        <v>37.869</v>
      </c>
      <c r="F248">
        <v>42.845999999999997</v>
      </c>
      <c r="G248">
        <v>9.2360000000000007</v>
      </c>
      <c r="H248">
        <v>-4.9770000000000003</v>
      </c>
      <c r="I248">
        <f t="shared" si="6"/>
        <v>1.5245000000000033</v>
      </c>
      <c r="L248" s="103" t="s">
        <v>292</v>
      </c>
      <c r="M248">
        <v>37.087000000000003</v>
      </c>
      <c r="N248">
        <v>28.885000000000002</v>
      </c>
      <c r="O248">
        <v>36.972999999999999</v>
      </c>
      <c r="P248">
        <v>39.590000000000003</v>
      </c>
      <c r="Q248">
        <v>8.202</v>
      </c>
      <c r="R248">
        <v>-2.617</v>
      </c>
      <c r="S248">
        <f t="shared" si="7"/>
        <v>1.1944999999999979</v>
      </c>
    </row>
    <row r="249" spans="2:19" x14ac:dyDescent="0.25">
      <c r="B249" s="103">
        <v>45146</v>
      </c>
      <c r="C249">
        <v>38.872</v>
      </c>
      <c r="D249">
        <v>29.89</v>
      </c>
      <c r="E249">
        <v>37.94</v>
      </c>
      <c r="F249">
        <v>42.771999999999998</v>
      </c>
      <c r="G249">
        <v>8.9819999999999993</v>
      </c>
      <c r="H249">
        <v>-4.8319999999999999</v>
      </c>
      <c r="I249">
        <f t="shared" si="6"/>
        <v>1.4839999999999947</v>
      </c>
      <c r="L249" s="103" t="s">
        <v>293</v>
      </c>
      <c r="M249">
        <v>37.26</v>
      </c>
      <c r="N249">
        <v>29.263999999999999</v>
      </c>
      <c r="O249">
        <v>37.097000000000001</v>
      </c>
      <c r="P249">
        <v>39.57</v>
      </c>
      <c r="Q249">
        <v>7.9960000000000004</v>
      </c>
      <c r="R249">
        <v>-2.4729999999999999</v>
      </c>
      <c r="S249">
        <f t="shared" si="7"/>
        <v>1.0735000000000028</v>
      </c>
    </row>
    <row r="250" spans="2:19" x14ac:dyDescent="0.25">
      <c r="B250" s="103">
        <v>45115</v>
      </c>
      <c r="C250">
        <v>39.134</v>
      </c>
      <c r="D250">
        <v>29.574999999999999</v>
      </c>
      <c r="E250">
        <v>37.920999999999999</v>
      </c>
      <c r="F250">
        <v>43.387</v>
      </c>
      <c r="G250">
        <v>9.5589999999999993</v>
      </c>
      <c r="H250">
        <v>-5.4660000000000002</v>
      </c>
      <c r="I250">
        <f t="shared" si="6"/>
        <v>1.519999999999996</v>
      </c>
      <c r="L250" s="103" t="s">
        <v>294</v>
      </c>
      <c r="M250">
        <v>37.298999999999999</v>
      </c>
      <c r="N250">
        <v>29.239000000000001</v>
      </c>
      <c r="O250">
        <v>37.194000000000003</v>
      </c>
      <c r="P250">
        <v>39.412999999999997</v>
      </c>
      <c r="Q250">
        <v>8.06</v>
      </c>
      <c r="R250">
        <v>-2.2189999999999999</v>
      </c>
      <c r="S250">
        <f t="shared" si="7"/>
        <v>1.0045000000000002</v>
      </c>
    </row>
    <row r="251" spans="2:19" x14ac:dyDescent="0.25">
      <c r="B251" s="103">
        <v>45024</v>
      </c>
      <c r="C251">
        <v>39.265999999999998</v>
      </c>
      <c r="D251">
        <v>29.771000000000001</v>
      </c>
      <c r="E251">
        <v>37.819000000000003</v>
      </c>
      <c r="F251">
        <v>43.404000000000003</v>
      </c>
      <c r="G251">
        <v>9.4949999999999992</v>
      </c>
      <c r="H251">
        <v>-5.585</v>
      </c>
      <c r="I251">
        <f t="shared" si="6"/>
        <v>1.3455000000000084</v>
      </c>
      <c r="L251" s="103">
        <v>45238</v>
      </c>
      <c r="M251">
        <v>37.177</v>
      </c>
      <c r="N251">
        <v>29.663</v>
      </c>
      <c r="O251">
        <v>36.956000000000003</v>
      </c>
      <c r="P251">
        <v>40.066000000000003</v>
      </c>
      <c r="Q251">
        <v>7.5140000000000002</v>
      </c>
      <c r="R251">
        <v>-3.11</v>
      </c>
      <c r="S251">
        <f t="shared" si="7"/>
        <v>1.3340000000000032</v>
      </c>
    </row>
    <row r="252" spans="2:19" x14ac:dyDescent="0.25">
      <c r="B252" s="103">
        <v>44993</v>
      </c>
      <c r="C252">
        <v>39.256999999999998</v>
      </c>
      <c r="D252">
        <v>29.856999999999999</v>
      </c>
      <c r="E252">
        <v>38.109000000000002</v>
      </c>
      <c r="F252">
        <v>43.219000000000001</v>
      </c>
      <c r="G252">
        <v>9.4</v>
      </c>
      <c r="H252">
        <v>-5.1100000000000003</v>
      </c>
      <c r="I252">
        <f t="shared" si="6"/>
        <v>1.4070000000000036</v>
      </c>
      <c r="L252" s="103">
        <v>45207</v>
      </c>
      <c r="M252">
        <v>37.686999999999998</v>
      </c>
      <c r="N252">
        <v>29.71</v>
      </c>
      <c r="O252">
        <v>36.993000000000002</v>
      </c>
      <c r="P252">
        <v>41.158999999999999</v>
      </c>
      <c r="Q252">
        <v>7.9770000000000003</v>
      </c>
      <c r="R252">
        <v>-4.1660000000000004</v>
      </c>
      <c r="S252">
        <f t="shared" si="7"/>
        <v>1.3890000000000029</v>
      </c>
    </row>
    <row r="253" spans="2:19" x14ac:dyDescent="0.25">
      <c r="B253" s="103">
        <v>44965</v>
      </c>
      <c r="C253">
        <v>39.042999999999999</v>
      </c>
      <c r="D253">
        <v>29.654</v>
      </c>
      <c r="E253">
        <v>37.790999999999997</v>
      </c>
      <c r="F253">
        <v>43.252000000000002</v>
      </c>
      <c r="G253">
        <v>9.3889999999999993</v>
      </c>
      <c r="H253">
        <v>-5.4610000000000003</v>
      </c>
      <c r="I253">
        <f t="shared" si="6"/>
        <v>1.4785000000000039</v>
      </c>
      <c r="L253" s="103">
        <v>45177</v>
      </c>
      <c r="M253">
        <v>38.023000000000003</v>
      </c>
      <c r="N253">
        <v>29.597000000000001</v>
      </c>
      <c r="O253">
        <v>37.084000000000003</v>
      </c>
      <c r="P253">
        <v>41.975000000000001</v>
      </c>
      <c r="Q253">
        <v>8.4260000000000002</v>
      </c>
      <c r="R253">
        <v>-4.891</v>
      </c>
      <c r="S253">
        <f t="shared" si="7"/>
        <v>1.5064999999999955</v>
      </c>
    </row>
    <row r="254" spans="2:19" x14ac:dyDescent="0.25">
      <c r="B254" s="103">
        <v>44934</v>
      </c>
      <c r="C254">
        <v>38.840000000000003</v>
      </c>
      <c r="D254">
        <v>29.491</v>
      </c>
      <c r="E254">
        <v>37.847000000000001</v>
      </c>
      <c r="F254">
        <v>42.706000000000003</v>
      </c>
      <c r="G254">
        <v>9.3490000000000002</v>
      </c>
      <c r="H254">
        <v>-4.859</v>
      </c>
      <c r="I254">
        <f t="shared" si="6"/>
        <v>1.4364999999999952</v>
      </c>
      <c r="L254" s="103">
        <v>45146</v>
      </c>
      <c r="M254">
        <v>38.101999999999997</v>
      </c>
      <c r="N254">
        <v>29.89</v>
      </c>
      <c r="O254">
        <v>37.332999999999998</v>
      </c>
      <c r="P254">
        <v>41.923999999999999</v>
      </c>
      <c r="Q254">
        <v>8.2119999999999997</v>
      </c>
      <c r="R254">
        <v>-4.5910000000000002</v>
      </c>
      <c r="S254">
        <f t="shared" si="7"/>
        <v>1.5265000000000057</v>
      </c>
    </row>
    <row r="255" spans="2:19" x14ac:dyDescent="0.25">
      <c r="B255" s="103" t="s">
        <v>295</v>
      </c>
      <c r="C255">
        <v>39.087000000000003</v>
      </c>
      <c r="D255">
        <v>29.989000000000001</v>
      </c>
      <c r="E255">
        <v>37.713999999999999</v>
      </c>
      <c r="F255">
        <v>43.823</v>
      </c>
      <c r="G255">
        <v>9.0980000000000008</v>
      </c>
      <c r="H255">
        <v>-6.109</v>
      </c>
      <c r="I255">
        <f t="shared" si="6"/>
        <v>1.6814999999999998</v>
      </c>
      <c r="L255" s="103">
        <v>45115</v>
      </c>
      <c r="M255">
        <v>38.841000000000001</v>
      </c>
      <c r="N255">
        <v>29.574999999999999</v>
      </c>
      <c r="O255">
        <v>37.411999999999999</v>
      </c>
      <c r="P255">
        <v>43.286999999999999</v>
      </c>
      <c r="Q255">
        <v>9.266</v>
      </c>
      <c r="R255">
        <v>-5.875</v>
      </c>
      <c r="S255">
        <f t="shared" si="7"/>
        <v>1.508499999999998</v>
      </c>
    </row>
    <row r="256" spans="2:19" x14ac:dyDescent="0.25">
      <c r="B256" s="103" t="s">
        <v>296</v>
      </c>
      <c r="C256">
        <v>39.055</v>
      </c>
      <c r="D256">
        <v>29.763999999999999</v>
      </c>
      <c r="E256">
        <v>37.750999999999998</v>
      </c>
      <c r="F256">
        <v>43.186999999999998</v>
      </c>
      <c r="G256">
        <v>9.2910000000000004</v>
      </c>
      <c r="H256">
        <v>-5.4359999999999999</v>
      </c>
      <c r="I256">
        <f t="shared" si="6"/>
        <v>1.4139999999999944</v>
      </c>
      <c r="L256" s="103">
        <v>45024</v>
      </c>
      <c r="M256">
        <v>38.341000000000001</v>
      </c>
      <c r="N256">
        <v>29.771000000000001</v>
      </c>
      <c r="O256">
        <v>36.765999999999998</v>
      </c>
      <c r="P256">
        <v>43.222999999999999</v>
      </c>
      <c r="Q256">
        <v>8.57</v>
      </c>
      <c r="R256">
        <v>-6.4569999999999999</v>
      </c>
      <c r="S256">
        <f t="shared" si="7"/>
        <v>1.6535000000000011</v>
      </c>
    </row>
    <row r="257" spans="2:19" x14ac:dyDescent="0.25">
      <c r="B257" s="103" t="s">
        <v>297</v>
      </c>
      <c r="C257">
        <v>38.618000000000002</v>
      </c>
      <c r="D257">
        <v>29.209</v>
      </c>
      <c r="E257">
        <v>37.728999999999999</v>
      </c>
      <c r="F257">
        <v>42.171999999999997</v>
      </c>
      <c r="G257">
        <v>9.4090000000000007</v>
      </c>
      <c r="H257">
        <v>-4.4429999999999996</v>
      </c>
      <c r="I257">
        <f t="shared" si="6"/>
        <v>1.332499999999996</v>
      </c>
      <c r="L257" s="103">
        <v>44993</v>
      </c>
      <c r="M257">
        <v>38.645000000000003</v>
      </c>
      <c r="N257">
        <v>29.856999999999999</v>
      </c>
      <c r="O257">
        <v>37.472999999999999</v>
      </c>
      <c r="P257">
        <v>43.082000000000001</v>
      </c>
      <c r="Q257">
        <v>8.7880000000000003</v>
      </c>
      <c r="R257">
        <v>-5.609</v>
      </c>
      <c r="S257">
        <f t="shared" si="7"/>
        <v>1.6325000000000003</v>
      </c>
    </row>
    <row r="258" spans="2:19" x14ac:dyDescent="0.25">
      <c r="B258" s="103" t="s">
        <v>298</v>
      </c>
      <c r="C258">
        <v>39.155000000000001</v>
      </c>
      <c r="D258">
        <v>29.210999999999999</v>
      </c>
      <c r="E258">
        <v>38.259</v>
      </c>
      <c r="F258">
        <v>42.808999999999997</v>
      </c>
      <c r="G258">
        <v>9.9440000000000008</v>
      </c>
      <c r="H258">
        <v>-4.55</v>
      </c>
      <c r="I258">
        <f t="shared" ref="I258:I321" si="8">IFERROR(AVERAGE(E258,F258)-C258,"")</f>
        <v>1.3789999999999978</v>
      </c>
      <c r="L258" s="103">
        <v>44965</v>
      </c>
      <c r="M258">
        <v>38.759</v>
      </c>
      <c r="N258">
        <v>29.654</v>
      </c>
      <c r="O258">
        <v>37.323999999999998</v>
      </c>
      <c r="P258">
        <v>43.58</v>
      </c>
      <c r="Q258">
        <v>9.1050000000000004</v>
      </c>
      <c r="R258">
        <v>-6.2560000000000002</v>
      </c>
      <c r="S258">
        <f t="shared" ref="S258:S321" si="9">IFERROR(AVERAGE(O258,P258)-M258,"")</f>
        <v>1.6929999999999978</v>
      </c>
    </row>
    <row r="259" spans="2:19" x14ac:dyDescent="0.25">
      <c r="B259" s="103" t="s">
        <v>299</v>
      </c>
      <c r="C259">
        <v>37.593000000000004</v>
      </c>
      <c r="D259">
        <v>29.097999999999999</v>
      </c>
      <c r="E259">
        <v>36.918999999999997</v>
      </c>
      <c r="F259">
        <v>40.83</v>
      </c>
      <c r="G259">
        <v>8.4949999999999992</v>
      </c>
      <c r="H259">
        <v>-3.911</v>
      </c>
      <c r="I259">
        <f t="shared" si="8"/>
        <v>1.2814999999999941</v>
      </c>
      <c r="L259" s="103">
        <v>44934</v>
      </c>
      <c r="M259">
        <v>38.31</v>
      </c>
      <c r="N259">
        <v>29.491</v>
      </c>
      <c r="O259">
        <v>37.21</v>
      </c>
      <c r="P259">
        <v>42.503</v>
      </c>
      <c r="Q259">
        <v>8.8190000000000008</v>
      </c>
      <c r="R259">
        <v>-5.2930000000000001</v>
      </c>
      <c r="S259">
        <f t="shared" si="9"/>
        <v>1.5464999999999947</v>
      </c>
    </row>
    <row r="260" spans="2:19" x14ac:dyDescent="0.25">
      <c r="B260" s="103" t="s">
        <v>300</v>
      </c>
      <c r="C260">
        <v>36.591000000000001</v>
      </c>
      <c r="D260">
        <v>30.273</v>
      </c>
      <c r="E260">
        <v>36.058</v>
      </c>
      <c r="F260">
        <v>39.216000000000001</v>
      </c>
      <c r="G260">
        <v>6.3179999999999996</v>
      </c>
      <c r="H260">
        <v>-3.1579999999999999</v>
      </c>
      <c r="I260">
        <f t="shared" si="8"/>
        <v>1.0459999999999994</v>
      </c>
      <c r="L260" s="103" t="s">
        <v>295</v>
      </c>
      <c r="M260">
        <v>38.805</v>
      </c>
      <c r="N260">
        <v>29.989000000000001</v>
      </c>
      <c r="O260">
        <v>37.360999999999997</v>
      </c>
      <c r="P260">
        <v>43.621000000000002</v>
      </c>
      <c r="Q260">
        <v>8.8160000000000007</v>
      </c>
      <c r="R260">
        <v>-6.26</v>
      </c>
      <c r="S260">
        <f t="shared" si="9"/>
        <v>1.6859999999999999</v>
      </c>
    </row>
    <row r="261" spans="2:19" x14ac:dyDescent="0.25">
      <c r="B261" s="103" t="s">
        <v>301</v>
      </c>
      <c r="C261">
        <v>36.316000000000003</v>
      </c>
      <c r="D261">
        <v>30.83</v>
      </c>
      <c r="E261">
        <v>35.811999999999998</v>
      </c>
      <c r="F261">
        <v>38.392000000000003</v>
      </c>
      <c r="G261">
        <v>5.4859999999999998</v>
      </c>
      <c r="H261">
        <v>-2.58</v>
      </c>
      <c r="I261">
        <f t="shared" si="8"/>
        <v>0.78600000000000136</v>
      </c>
      <c r="L261" s="103" t="s">
        <v>296</v>
      </c>
      <c r="M261">
        <v>37.847000000000001</v>
      </c>
      <c r="N261">
        <v>29.763999999999999</v>
      </c>
      <c r="O261">
        <v>36.575000000000003</v>
      </c>
      <c r="P261">
        <v>42.250999999999998</v>
      </c>
      <c r="Q261">
        <v>8.0830000000000002</v>
      </c>
      <c r="R261">
        <v>-5.6760000000000002</v>
      </c>
      <c r="S261">
        <f t="shared" si="9"/>
        <v>1.5659999999999954</v>
      </c>
    </row>
    <row r="262" spans="2:19" x14ac:dyDescent="0.25">
      <c r="B262" s="103" t="s">
        <v>302</v>
      </c>
      <c r="C262">
        <v>36.307000000000002</v>
      </c>
      <c r="D262">
        <v>30.986999999999998</v>
      </c>
      <c r="E262">
        <v>35.847000000000001</v>
      </c>
      <c r="F262">
        <v>38.588999999999999</v>
      </c>
      <c r="G262">
        <v>5.32</v>
      </c>
      <c r="H262">
        <v>-2.742</v>
      </c>
      <c r="I262">
        <f t="shared" si="8"/>
        <v>0.91100000000000136</v>
      </c>
      <c r="L262" s="103" t="s">
        <v>297</v>
      </c>
      <c r="M262">
        <v>37.716000000000001</v>
      </c>
      <c r="N262">
        <v>29.209</v>
      </c>
      <c r="O262">
        <v>36.939</v>
      </c>
      <c r="P262">
        <v>40.982999999999997</v>
      </c>
      <c r="Q262">
        <v>8.5069999999999997</v>
      </c>
      <c r="R262">
        <v>-4.0439999999999996</v>
      </c>
      <c r="S262">
        <f t="shared" si="9"/>
        <v>1.2449999999999974</v>
      </c>
    </row>
    <row r="263" spans="2:19" x14ac:dyDescent="0.25">
      <c r="B263" s="103" t="s">
        <v>303</v>
      </c>
      <c r="C263">
        <v>35.323</v>
      </c>
      <c r="D263">
        <v>30.986999999999998</v>
      </c>
      <c r="E263">
        <v>34.957000000000001</v>
      </c>
      <c r="F263">
        <v>37.130000000000003</v>
      </c>
      <c r="G263">
        <v>4.3360000000000003</v>
      </c>
      <c r="H263">
        <v>-2.173</v>
      </c>
      <c r="I263">
        <f t="shared" si="8"/>
        <v>0.72050000000000125</v>
      </c>
      <c r="L263" s="103" t="s">
        <v>298</v>
      </c>
      <c r="M263">
        <v>37.893999999999998</v>
      </c>
      <c r="N263">
        <v>29.210999999999999</v>
      </c>
      <c r="O263">
        <v>37.093000000000004</v>
      </c>
      <c r="P263">
        <v>41.628</v>
      </c>
      <c r="Q263">
        <v>8.6829999999999998</v>
      </c>
      <c r="R263">
        <v>-4.5350000000000001</v>
      </c>
      <c r="S263">
        <f t="shared" si="9"/>
        <v>1.4665000000000035</v>
      </c>
    </row>
    <row r="264" spans="2:19" x14ac:dyDescent="0.25">
      <c r="B264" s="103" t="s">
        <v>304</v>
      </c>
      <c r="C264">
        <v>35.340000000000003</v>
      </c>
      <c r="D264">
        <v>30.702000000000002</v>
      </c>
      <c r="E264">
        <v>34.843000000000004</v>
      </c>
      <c r="F264">
        <v>37.746000000000002</v>
      </c>
      <c r="G264">
        <v>4.6379999999999999</v>
      </c>
      <c r="H264">
        <v>-2.903</v>
      </c>
      <c r="I264">
        <f t="shared" si="8"/>
        <v>0.95449999999999591</v>
      </c>
      <c r="L264" s="103" t="s">
        <v>299</v>
      </c>
      <c r="M264">
        <v>36.737000000000002</v>
      </c>
      <c r="N264">
        <v>29.097999999999999</v>
      </c>
      <c r="O264">
        <v>36.292999999999999</v>
      </c>
      <c r="P264">
        <v>40.075000000000003</v>
      </c>
      <c r="Q264">
        <v>7.6390000000000002</v>
      </c>
      <c r="R264">
        <v>-3.782</v>
      </c>
      <c r="S264">
        <f t="shared" si="9"/>
        <v>1.4469999999999956</v>
      </c>
    </row>
    <row r="265" spans="2:19" x14ac:dyDescent="0.25">
      <c r="B265" s="103" t="s">
        <v>305</v>
      </c>
      <c r="C265">
        <v>35.454000000000001</v>
      </c>
      <c r="D265">
        <v>30.812999999999999</v>
      </c>
      <c r="E265">
        <v>35.008000000000003</v>
      </c>
      <c r="F265">
        <v>37.935000000000002</v>
      </c>
      <c r="G265">
        <v>4.641</v>
      </c>
      <c r="H265">
        <v>-2.927</v>
      </c>
      <c r="I265">
        <f t="shared" si="8"/>
        <v>1.0175000000000054</v>
      </c>
      <c r="L265" s="103" t="s">
        <v>300</v>
      </c>
      <c r="M265">
        <v>35.667000000000002</v>
      </c>
      <c r="N265">
        <v>30.273</v>
      </c>
      <c r="O265">
        <v>35.298000000000002</v>
      </c>
      <c r="P265">
        <v>38.165999999999997</v>
      </c>
      <c r="Q265">
        <v>5.3940000000000001</v>
      </c>
      <c r="R265">
        <v>-2.8679999999999999</v>
      </c>
      <c r="S265">
        <f t="shared" si="9"/>
        <v>1.0649999999999977</v>
      </c>
    </row>
    <row r="266" spans="2:19" x14ac:dyDescent="0.25">
      <c r="B266" s="103" t="s">
        <v>306</v>
      </c>
      <c r="C266">
        <v>35.418999999999997</v>
      </c>
      <c r="D266">
        <v>30.97</v>
      </c>
      <c r="E266">
        <v>34.822000000000003</v>
      </c>
      <c r="F266">
        <v>37.9</v>
      </c>
      <c r="G266">
        <v>4.4489999999999998</v>
      </c>
      <c r="H266">
        <v>-3.0779999999999998</v>
      </c>
      <c r="I266">
        <f t="shared" si="8"/>
        <v>0.94200000000000728</v>
      </c>
      <c r="L266" s="103" t="s">
        <v>301</v>
      </c>
      <c r="M266">
        <v>35.036000000000001</v>
      </c>
      <c r="N266">
        <v>30.83</v>
      </c>
      <c r="O266">
        <v>34.887</v>
      </c>
      <c r="P266">
        <v>36.909999999999997</v>
      </c>
      <c r="Q266">
        <v>4.2060000000000004</v>
      </c>
      <c r="R266">
        <v>-2.0230000000000001</v>
      </c>
      <c r="S266">
        <f t="shared" si="9"/>
        <v>0.86249999999999716</v>
      </c>
    </row>
    <row r="267" spans="2:19" x14ac:dyDescent="0.25">
      <c r="B267" s="103" t="s">
        <v>307</v>
      </c>
      <c r="C267">
        <v>35.578000000000003</v>
      </c>
      <c r="D267">
        <v>31.111999999999998</v>
      </c>
      <c r="E267">
        <v>34.999000000000002</v>
      </c>
      <c r="F267">
        <v>37.981000000000002</v>
      </c>
      <c r="G267">
        <v>4.4660000000000002</v>
      </c>
      <c r="H267">
        <v>-2.9820000000000002</v>
      </c>
      <c r="I267">
        <f t="shared" si="8"/>
        <v>0.91199999999999903</v>
      </c>
      <c r="L267" s="103" t="s">
        <v>302</v>
      </c>
      <c r="M267">
        <v>35.232999999999997</v>
      </c>
      <c r="N267">
        <v>30.986999999999998</v>
      </c>
      <c r="O267">
        <v>34.951999999999998</v>
      </c>
      <c r="P267">
        <v>37.307000000000002</v>
      </c>
      <c r="Q267">
        <v>4.2460000000000004</v>
      </c>
      <c r="R267">
        <v>-2.355</v>
      </c>
      <c r="S267">
        <f t="shared" si="9"/>
        <v>0.89650000000000318</v>
      </c>
    </row>
    <row r="268" spans="2:19" x14ac:dyDescent="0.25">
      <c r="B268" s="103">
        <v>45267</v>
      </c>
      <c r="C268">
        <v>35.545000000000002</v>
      </c>
      <c r="D268">
        <v>31.513000000000002</v>
      </c>
      <c r="E268">
        <v>34.966999999999999</v>
      </c>
      <c r="F268">
        <v>38</v>
      </c>
      <c r="G268">
        <v>4.032</v>
      </c>
      <c r="H268">
        <v>-3.0329999999999999</v>
      </c>
      <c r="I268">
        <f t="shared" si="8"/>
        <v>0.93849999999999767</v>
      </c>
      <c r="L268" s="103" t="s">
        <v>303</v>
      </c>
      <c r="M268">
        <v>34.228000000000002</v>
      </c>
      <c r="N268">
        <v>30.986999999999998</v>
      </c>
      <c r="O268">
        <v>34.176000000000002</v>
      </c>
      <c r="P268">
        <v>35.777000000000001</v>
      </c>
      <c r="Q268">
        <v>3.2410000000000001</v>
      </c>
      <c r="R268">
        <v>-1.601</v>
      </c>
      <c r="S268">
        <f t="shared" si="9"/>
        <v>0.74849999999999994</v>
      </c>
    </row>
    <row r="269" spans="2:19" x14ac:dyDescent="0.25">
      <c r="B269" s="103">
        <v>45237</v>
      </c>
      <c r="C269">
        <v>35.966000000000001</v>
      </c>
      <c r="D269">
        <v>31.905000000000001</v>
      </c>
      <c r="E269">
        <v>35.292999999999999</v>
      </c>
      <c r="F269">
        <v>38.188000000000002</v>
      </c>
      <c r="G269">
        <v>4.0609999999999999</v>
      </c>
      <c r="H269">
        <v>-2.895</v>
      </c>
      <c r="I269">
        <f t="shared" si="8"/>
        <v>0.77449999999999619</v>
      </c>
      <c r="L269" s="103" t="s">
        <v>304</v>
      </c>
      <c r="M269">
        <v>34.466000000000001</v>
      </c>
      <c r="N269">
        <v>30.702000000000002</v>
      </c>
      <c r="O269">
        <v>34.094000000000001</v>
      </c>
      <c r="P269">
        <v>36.570999999999998</v>
      </c>
      <c r="Q269">
        <v>3.7639999999999998</v>
      </c>
      <c r="R269">
        <v>-2.4769999999999999</v>
      </c>
      <c r="S269">
        <f t="shared" si="9"/>
        <v>0.86649999999999494</v>
      </c>
    </row>
    <row r="270" spans="2:19" x14ac:dyDescent="0.25">
      <c r="B270" s="103">
        <v>45206</v>
      </c>
      <c r="C270">
        <v>36.956000000000003</v>
      </c>
      <c r="D270">
        <v>31.914000000000001</v>
      </c>
      <c r="E270">
        <v>36.249000000000002</v>
      </c>
      <c r="F270">
        <v>39.579000000000001</v>
      </c>
      <c r="G270">
        <v>5.0419999999999998</v>
      </c>
      <c r="H270">
        <v>-3.33</v>
      </c>
      <c r="I270">
        <f t="shared" si="8"/>
        <v>0.95799999999999841</v>
      </c>
      <c r="L270" s="103" t="s">
        <v>305</v>
      </c>
      <c r="M270">
        <v>34.664999999999999</v>
      </c>
      <c r="N270">
        <v>30.812999999999999</v>
      </c>
      <c r="O270">
        <v>34.216999999999999</v>
      </c>
      <c r="P270">
        <v>37.136000000000003</v>
      </c>
      <c r="Q270">
        <v>3.8519999999999999</v>
      </c>
      <c r="R270">
        <v>-2.919</v>
      </c>
      <c r="S270">
        <f t="shared" si="9"/>
        <v>1.0115000000000052</v>
      </c>
    </row>
    <row r="271" spans="2:19" x14ac:dyDescent="0.25">
      <c r="B271" s="103">
        <v>45114</v>
      </c>
      <c r="C271">
        <v>36.569000000000003</v>
      </c>
      <c r="D271">
        <v>32.363999999999997</v>
      </c>
      <c r="E271">
        <v>36.003999999999998</v>
      </c>
      <c r="F271">
        <v>39.164000000000001</v>
      </c>
      <c r="G271">
        <v>4.2050000000000001</v>
      </c>
      <c r="H271">
        <v>-3.16</v>
      </c>
      <c r="I271">
        <f t="shared" si="8"/>
        <v>1.0150000000000006</v>
      </c>
      <c r="L271" s="103" t="s">
        <v>306</v>
      </c>
      <c r="M271">
        <v>34.356999999999999</v>
      </c>
      <c r="N271">
        <v>30.97</v>
      </c>
      <c r="O271">
        <v>33.764000000000003</v>
      </c>
      <c r="P271">
        <v>36.984999999999999</v>
      </c>
      <c r="Q271">
        <v>3.387</v>
      </c>
      <c r="R271">
        <v>-3.2210000000000001</v>
      </c>
      <c r="S271">
        <f t="shared" si="9"/>
        <v>1.0174999999999983</v>
      </c>
    </row>
    <row r="272" spans="2:19" x14ac:dyDescent="0.25">
      <c r="B272" s="103">
        <v>45084</v>
      </c>
      <c r="C272">
        <v>37.130000000000003</v>
      </c>
      <c r="D272">
        <v>32.39</v>
      </c>
      <c r="E272">
        <v>36.295000000000002</v>
      </c>
      <c r="F272">
        <v>39.984000000000002</v>
      </c>
      <c r="G272">
        <v>4.74</v>
      </c>
      <c r="H272">
        <v>-3.6890000000000001</v>
      </c>
      <c r="I272">
        <f t="shared" si="8"/>
        <v>1.0094999999999956</v>
      </c>
      <c r="L272" s="103" t="s">
        <v>307</v>
      </c>
      <c r="M272">
        <v>34.448999999999998</v>
      </c>
      <c r="N272">
        <v>31.111999999999998</v>
      </c>
      <c r="O272">
        <v>33.854999999999997</v>
      </c>
      <c r="P272">
        <v>37.116999999999997</v>
      </c>
      <c r="Q272">
        <v>3.3370000000000002</v>
      </c>
      <c r="R272">
        <v>-3.262</v>
      </c>
      <c r="S272">
        <f t="shared" si="9"/>
        <v>1.036999999999999</v>
      </c>
    </row>
    <row r="273" spans="2:19" x14ac:dyDescent="0.25">
      <c r="B273" s="103">
        <v>45053</v>
      </c>
      <c r="C273">
        <v>37.290999999999997</v>
      </c>
      <c r="D273">
        <v>32.399000000000001</v>
      </c>
      <c r="E273">
        <v>36.393000000000001</v>
      </c>
      <c r="F273">
        <v>40.311</v>
      </c>
      <c r="G273">
        <v>4.8920000000000003</v>
      </c>
      <c r="H273">
        <v>-3.9180000000000001</v>
      </c>
      <c r="I273">
        <f t="shared" si="8"/>
        <v>1.061000000000007</v>
      </c>
      <c r="L273" s="103">
        <v>45267</v>
      </c>
      <c r="M273">
        <v>34.524000000000001</v>
      </c>
      <c r="N273">
        <v>31.513000000000002</v>
      </c>
      <c r="O273">
        <v>34.018000000000001</v>
      </c>
      <c r="P273">
        <v>37.015999999999998</v>
      </c>
      <c r="Q273">
        <v>3.0110000000000001</v>
      </c>
      <c r="R273">
        <v>-2.9980000000000002</v>
      </c>
      <c r="S273">
        <f t="shared" si="9"/>
        <v>0.992999999999995</v>
      </c>
    </row>
    <row r="274" spans="2:19" x14ac:dyDescent="0.25">
      <c r="B274" s="103">
        <v>45023</v>
      </c>
      <c r="C274">
        <v>37.179000000000002</v>
      </c>
      <c r="D274">
        <v>32.375</v>
      </c>
      <c r="E274">
        <v>36.457999999999998</v>
      </c>
      <c r="F274">
        <v>39.972000000000001</v>
      </c>
      <c r="G274">
        <v>4.8040000000000003</v>
      </c>
      <c r="H274">
        <v>-3.5139999999999998</v>
      </c>
      <c r="I274">
        <f t="shared" si="8"/>
        <v>1.0360000000000014</v>
      </c>
      <c r="L274" s="103">
        <v>45237</v>
      </c>
      <c r="M274">
        <v>34.502000000000002</v>
      </c>
      <c r="N274">
        <v>31.905000000000001</v>
      </c>
      <c r="O274">
        <v>34.058</v>
      </c>
      <c r="P274">
        <v>36.887999999999998</v>
      </c>
      <c r="Q274">
        <v>2.597</v>
      </c>
      <c r="R274">
        <v>-2.83</v>
      </c>
      <c r="S274">
        <f t="shared" si="9"/>
        <v>0.97099999999999653</v>
      </c>
    </row>
    <row r="275" spans="2:19" x14ac:dyDescent="0.25">
      <c r="B275" s="103">
        <v>44992</v>
      </c>
      <c r="C275">
        <v>37.335000000000001</v>
      </c>
      <c r="D275">
        <v>32.51</v>
      </c>
      <c r="E275">
        <v>36.853000000000002</v>
      </c>
      <c r="F275">
        <v>39.826000000000001</v>
      </c>
      <c r="G275">
        <v>4.8250000000000002</v>
      </c>
      <c r="H275">
        <v>-2.9729999999999999</v>
      </c>
      <c r="I275">
        <f t="shared" si="8"/>
        <v>1.0045000000000002</v>
      </c>
      <c r="L275" s="103">
        <v>45206</v>
      </c>
      <c r="M275">
        <v>35.264000000000003</v>
      </c>
      <c r="N275">
        <v>31.914000000000001</v>
      </c>
      <c r="O275">
        <v>34.625999999999998</v>
      </c>
      <c r="P275">
        <v>38.03</v>
      </c>
      <c r="Q275">
        <v>3.35</v>
      </c>
      <c r="R275">
        <v>-3.4039999999999999</v>
      </c>
      <c r="S275">
        <f t="shared" si="9"/>
        <v>1.0640000000000001</v>
      </c>
    </row>
    <row r="276" spans="2:19" x14ac:dyDescent="0.25">
      <c r="B276" s="103" t="s">
        <v>308</v>
      </c>
      <c r="C276">
        <v>37.366999999999997</v>
      </c>
      <c r="D276">
        <v>32.341999999999999</v>
      </c>
      <c r="E276">
        <v>36.902999999999999</v>
      </c>
      <c r="F276">
        <v>39.853999999999999</v>
      </c>
      <c r="G276">
        <v>5.0250000000000004</v>
      </c>
      <c r="H276">
        <v>-2.9510000000000001</v>
      </c>
      <c r="I276">
        <f t="shared" si="8"/>
        <v>1.0115000000000052</v>
      </c>
      <c r="L276" s="103">
        <v>45114</v>
      </c>
      <c r="M276">
        <v>35.015000000000001</v>
      </c>
      <c r="N276">
        <v>32.363999999999997</v>
      </c>
      <c r="O276">
        <v>34.350999999999999</v>
      </c>
      <c r="P276">
        <v>37.814</v>
      </c>
      <c r="Q276">
        <v>2.6509999999999998</v>
      </c>
      <c r="R276">
        <v>-3.4630000000000001</v>
      </c>
      <c r="S276">
        <f t="shared" si="9"/>
        <v>1.0674999999999955</v>
      </c>
    </row>
    <row r="277" spans="2:19" x14ac:dyDescent="0.25">
      <c r="B277" s="103" t="s">
        <v>309</v>
      </c>
      <c r="C277">
        <v>37.625</v>
      </c>
      <c r="D277">
        <v>32.189</v>
      </c>
      <c r="E277">
        <v>36.970999999999997</v>
      </c>
      <c r="F277">
        <v>40.195</v>
      </c>
      <c r="G277">
        <v>5.4359999999999999</v>
      </c>
      <c r="H277">
        <v>-3.2240000000000002</v>
      </c>
      <c r="I277">
        <f t="shared" si="8"/>
        <v>0.95799999999999841</v>
      </c>
      <c r="L277" s="103">
        <v>45084</v>
      </c>
      <c r="M277">
        <v>35.036999999999999</v>
      </c>
      <c r="N277">
        <v>32.39</v>
      </c>
      <c r="O277">
        <v>34.421999999999997</v>
      </c>
      <c r="P277">
        <v>38.027999999999999</v>
      </c>
      <c r="Q277">
        <v>2.6469999999999998</v>
      </c>
      <c r="R277">
        <v>-3.6059999999999999</v>
      </c>
      <c r="S277">
        <f t="shared" si="9"/>
        <v>1.1879999999999953</v>
      </c>
    </row>
    <row r="278" spans="2:19" x14ac:dyDescent="0.25">
      <c r="B278" s="103" t="s">
        <v>310</v>
      </c>
      <c r="C278">
        <v>38.121000000000002</v>
      </c>
      <c r="D278">
        <v>32.182000000000002</v>
      </c>
      <c r="E278">
        <v>37.393000000000001</v>
      </c>
      <c r="F278">
        <v>40.813000000000002</v>
      </c>
      <c r="G278">
        <v>5.9390000000000001</v>
      </c>
      <c r="H278">
        <v>-3.42</v>
      </c>
      <c r="I278">
        <f t="shared" si="8"/>
        <v>0.98199999999999932</v>
      </c>
      <c r="L278" s="103">
        <v>45053</v>
      </c>
      <c r="M278">
        <v>35.865000000000002</v>
      </c>
      <c r="N278">
        <v>32.399000000000001</v>
      </c>
      <c r="O278">
        <v>34.924999999999997</v>
      </c>
      <c r="P278">
        <v>39.235999999999997</v>
      </c>
      <c r="Q278">
        <v>3.4660000000000002</v>
      </c>
      <c r="R278">
        <v>-4.3109999999999999</v>
      </c>
      <c r="S278">
        <f t="shared" si="9"/>
        <v>1.2154999999999987</v>
      </c>
    </row>
    <row r="279" spans="2:19" x14ac:dyDescent="0.25">
      <c r="B279" s="103" t="s">
        <v>311</v>
      </c>
      <c r="C279">
        <v>38.582999999999998</v>
      </c>
      <c r="D279">
        <v>32.338000000000001</v>
      </c>
      <c r="E279">
        <v>38.042000000000002</v>
      </c>
      <c r="F279">
        <v>41.124000000000002</v>
      </c>
      <c r="G279">
        <v>6.2450000000000001</v>
      </c>
      <c r="H279">
        <v>-3.0819999999999999</v>
      </c>
      <c r="I279">
        <f t="shared" si="8"/>
        <v>1</v>
      </c>
      <c r="L279" s="103">
        <v>45023</v>
      </c>
      <c r="M279">
        <v>35.750999999999998</v>
      </c>
      <c r="N279">
        <v>32.375</v>
      </c>
      <c r="O279">
        <v>35.131</v>
      </c>
      <c r="P279">
        <v>38.729999999999997</v>
      </c>
      <c r="Q279">
        <v>3.3759999999999999</v>
      </c>
      <c r="R279">
        <v>-3.5990000000000002</v>
      </c>
      <c r="S279">
        <f t="shared" si="9"/>
        <v>1.1794999999999973</v>
      </c>
    </row>
    <row r="280" spans="2:19" x14ac:dyDescent="0.25">
      <c r="B280" s="103" t="s">
        <v>312</v>
      </c>
      <c r="C280">
        <v>38.963000000000001</v>
      </c>
      <c r="D280">
        <v>31.690999999999999</v>
      </c>
      <c r="E280">
        <v>38.338999999999999</v>
      </c>
      <c r="F280">
        <v>42.002000000000002</v>
      </c>
      <c r="G280">
        <v>7.2720000000000002</v>
      </c>
      <c r="H280">
        <v>-3.6629999999999998</v>
      </c>
      <c r="I280">
        <f t="shared" si="8"/>
        <v>1.2075000000000031</v>
      </c>
      <c r="L280" s="103">
        <v>44992</v>
      </c>
      <c r="M280">
        <v>35.786999999999999</v>
      </c>
      <c r="N280">
        <v>32.51</v>
      </c>
      <c r="O280">
        <v>35.412999999999997</v>
      </c>
      <c r="P280">
        <v>38.712000000000003</v>
      </c>
      <c r="Q280">
        <v>3.2770000000000001</v>
      </c>
      <c r="R280">
        <v>-3.2989999999999999</v>
      </c>
      <c r="S280">
        <f t="shared" si="9"/>
        <v>1.275500000000001</v>
      </c>
    </row>
    <row r="281" spans="2:19" x14ac:dyDescent="0.25">
      <c r="B281" s="103" t="s">
        <v>313</v>
      </c>
      <c r="C281">
        <v>39.161000000000001</v>
      </c>
      <c r="D281">
        <v>32.706000000000003</v>
      </c>
      <c r="E281">
        <v>38.351999999999997</v>
      </c>
      <c r="F281">
        <v>42.11</v>
      </c>
      <c r="G281">
        <v>6.4550000000000001</v>
      </c>
      <c r="H281">
        <v>-3.758</v>
      </c>
      <c r="I281">
        <f t="shared" si="8"/>
        <v>1.0699999999999932</v>
      </c>
      <c r="L281" s="103" t="s">
        <v>308</v>
      </c>
      <c r="M281">
        <v>35.74</v>
      </c>
      <c r="N281">
        <v>32.341999999999999</v>
      </c>
      <c r="O281">
        <v>35.444000000000003</v>
      </c>
      <c r="P281">
        <v>38.116999999999997</v>
      </c>
      <c r="Q281">
        <v>3.3980000000000001</v>
      </c>
      <c r="R281">
        <v>-2.673</v>
      </c>
      <c r="S281">
        <f t="shared" si="9"/>
        <v>1.0405000000000015</v>
      </c>
    </row>
    <row r="282" spans="2:19" x14ac:dyDescent="0.25">
      <c r="B282" s="103" t="s">
        <v>314</v>
      </c>
      <c r="C282">
        <v>39.566000000000003</v>
      </c>
      <c r="D282">
        <v>32.357999999999997</v>
      </c>
      <c r="E282">
        <v>38.85</v>
      </c>
      <c r="F282">
        <v>42.353000000000002</v>
      </c>
      <c r="G282">
        <v>7.2080000000000002</v>
      </c>
      <c r="H282">
        <v>-3.5030000000000001</v>
      </c>
      <c r="I282">
        <f t="shared" si="8"/>
        <v>1.035499999999999</v>
      </c>
      <c r="L282" s="103" t="s">
        <v>309</v>
      </c>
      <c r="M282">
        <v>35.954999999999998</v>
      </c>
      <c r="N282">
        <v>32.189</v>
      </c>
      <c r="O282">
        <v>35.433999999999997</v>
      </c>
      <c r="P282">
        <v>38.718000000000004</v>
      </c>
      <c r="Q282">
        <v>3.766</v>
      </c>
      <c r="R282">
        <v>-3.2839999999999998</v>
      </c>
      <c r="S282">
        <f t="shared" si="9"/>
        <v>1.1210000000000022</v>
      </c>
    </row>
    <row r="283" spans="2:19" x14ac:dyDescent="0.25">
      <c r="B283" s="103" t="s">
        <v>315</v>
      </c>
      <c r="C283">
        <v>39.542000000000002</v>
      </c>
      <c r="D283">
        <v>32.383000000000003</v>
      </c>
      <c r="E283">
        <v>38.966000000000001</v>
      </c>
      <c r="F283">
        <v>42.274999999999999</v>
      </c>
      <c r="G283">
        <v>7.1589999999999998</v>
      </c>
      <c r="H283">
        <v>-3.3090000000000002</v>
      </c>
      <c r="I283">
        <f t="shared" si="8"/>
        <v>1.0784999999999982</v>
      </c>
      <c r="L283" s="103" t="s">
        <v>310</v>
      </c>
      <c r="M283">
        <v>36.561</v>
      </c>
      <c r="N283">
        <v>32.182000000000002</v>
      </c>
      <c r="O283">
        <v>35.984000000000002</v>
      </c>
      <c r="P283">
        <v>39.451000000000001</v>
      </c>
      <c r="Q283">
        <v>4.3789999999999996</v>
      </c>
      <c r="R283">
        <v>-3.4670000000000001</v>
      </c>
      <c r="S283">
        <f t="shared" si="9"/>
        <v>1.1565000000000012</v>
      </c>
    </row>
    <row r="284" spans="2:19" x14ac:dyDescent="0.25">
      <c r="B284" s="103" t="s">
        <v>316</v>
      </c>
      <c r="C284">
        <v>39.36</v>
      </c>
      <c r="D284">
        <v>30.898</v>
      </c>
      <c r="E284">
        <v>38.994</v>
      </c>
      <c r="F284">
        <v>41.405000000000001</v>
      </c>
      <c r="G284">
        <v>8.4619999999999997</v>
      </c>
      <c r="H284">
        <v>-2.411</v>
      </c>
      <c r="I284">
        <f t="shared" si="8"/>
        <v>0.83950000000000102</v>
      </c>
      <c r="L284" s="103" t="s">
        <v>311</v>
      </c>
      <c r="M284">
        <v>36.512</v>
      </c>
      <c r="N284">
        <v>32.338000000000001</v>
      </c>
      <c r="O284">
        <v>36.042000000000002</v>
      </c>
      <c r="P284">
        <v>39.008000000000003</v>
      </c>
      <c r="Q284">
        <v>4.1740000000000004</v>
      </c>
      <c r="R284">
        <v>-2.9660000000000002</v>
      </c>
      <c r="S284">
        <f t="shared" si="9"/>
        <v>1.0130000000000052</v>
      </c>
    </row>
    <row r="285" spans="2:19" x14ac:dyDescent="0.25">
      <c r="B285" s="103" t="s">
        <v>317</v>
      </c>
      <c r="C285">
        <v>39.588999999999999</v>
      </c>
      <c r="D285">
        <v>30.640999999999998</v>
      </c>
      <c r="E285">
        <v>39.067</v>
      </c>
      <c r="F285">
        <v>41.749000000000002</v>
      </c>
      <c r="G285">
        <v>8.9480000000000004</v>
      </c>
      <c r="H285">
        <v>-2.6819999999999999</v>
      </c>
      <c r="I285">
        <f t="shared" si="8"/>
        <v>0.81900000000000261</v>
      </c>
      <c r="L285" s="103" t="s">
        <v>312</v>
      </c>
      <c r="M285">
        <v>36.924999999999997</v>
      </c>
      <c r="N285">
        <v>31.690999999999999</v>
      </c>
      <c r="O285">
        <v>36.271000000000001</v>
      </c>
      <c r="P285">
        <v>40.222999999999999</v>
      </c>
      <c r="Q285">
        <v>5.234</v>
      </c>
      <c r="R285">
        <v>-3.952</v>
      </c>
      <c r="S285">
        <f t="shared" si="9"/>
        <v>1.3220000000000027</v>
      </c>
    </row>
    <row r="286" spans="2:19" x14ac:dyDescent="0.25">
      <c r="B286" s="103" t="s">
        <v>318</v>
      </c>
      <c r="C286">
        <v>39.356999999999999</v>
      </c>
      <c r="D286">
        <v>30.643999999999998</v>
      </c>
      <c r="E286">
        <v>38.670999999999999</v>
      </c>
      <c r="F286">
        <v>41.654000000000003</v>
      </c>
      <c r="G286">
        <v>8.7129999999999992</v>
      </c>
      <c r="H286">
        <v>-2.9830000000000001</v>
      </c>
      <c r="I286">
        <f t="shared" si="8"/>
        <v>0.8055000000000021</v>
      </c>
      <c r="L286" s="103" t="s">
        <v>313</v>
      </c>
      <c r="M286">
        <v>37.567</v>
      </c>
      <c r="N286">
        <v>32.706000000000003</v>
      </c>
      <c r="O286">
        <v>36.793999999999997</v>
      </c>
      <c r="P286">
        <v>40.722000000000001</v>
      </c>
      <c r="Q286">
        <v>4.8609999999999998</v>
      </c>
      <c r="R286">
        <v>-3.9279999999999999</v>
      </c>
      <c r="S286">
        <f t="shared" si="9"/>
        <v>1.1909999999999954</v>
      </c>
    </row>
    <row r="287" spans="2:19" x14ac:dyDescent="0.25">
      <c r="B287" s="103" t="s">
        <v>319</v>
      </c>
      <c r="C287">
        <v>39.417000000000002</v>
      </c>
      <c r="D287">
        <v>32.725999999999999</v>
      </c>
      <c r="E287">
        <v>38.956000000000003</v>
      </c>
      <c r="F287">
        <v>41.405999999999999</v>
      </c>
      <c r="G287">
        <v>6.6909999999999998</v>
      </c>
      <c r="H287">
        <v>-2.4500000000000002</v>
      </c>
      <c r="I287">
        <f t="shared" si="8"/>
        <v>0.76399999999999579</v>
      </c>
      <c r="L287" s="103" t="s">
        <v>314</v>
      </c>
      <c r="M287">
        <v>37.993000000000002</v>
      </c>
      <c r="N287">
        <v>32.357999999999997</v>
      </c>
      <c r="O287">
        <v>37.417999999999999</v>
      </c>
      <c r="P287">
        <v>40.792000000000002</v>
      </c>
      <c r="Q287">
        <v>5.6349999999999998</v>
      </c>
      <c r="R287">
        <v>-3.3740000000000001</v>
      </c>
      <c r="S287">
        <f t="shared" si="9"/>
        <v>1.1120000000000019</v>
      </c>
    </row>
    <row r="288" spans="2:19" x14ac:dyDescent="0.25">
      <c r="B288" s="103" t="s">
        <v>320</v>
      </c>
      <c r="C288">
        <v>39.372</v>
      </c>
      <c r="D288">
        <v>33.399000000000001</v>
      </c>
      <c r="E288">
        <v>39.052999999999997</v>
      </c>
      <c r="F288">
        <v>41.13</v>
      </c>
      <c r="G288">
        <v>5.9729999999999999</v>
      </c>
      <c r="H288">
        <v>-2.077</v>
      </c>
      <c r="I288">
        <f t="shared" si="8"/>
        <v>0.71949999999999648</v>
      </c>
      <c r="L288" s="103" t="s">
        <v>315</v>
      </c>
      <c r="M288">
        <v>37.972999999999999</v>
      </c>
      <c r="N288">
        <v>32.383000000000003</v>
      </c>
      <c r="O288">
        <v>37.463000000000001</v>
      </c>
      <c r="P288">
        <v>40.683999999999997</v>
      </c>
      <c r="Q288">
        <v>5.59</v>
      </c>
      <c r="R288">
        <v>-3.2210000000000001</v>
      </c>
      <c r="S288">
        <f t="shared" si="9"/>
        <v>1.1004999999999967</v>
      </c>
    </row>
    <row r="289" spans="2:19" x14ac:dyDescent="0.25">
      <c r="B289" s="103" t="s">
        <v>321</v>
      </c>
      <c r="C289">
        <v>38.570999999999998</v>
      </c>
      <c r="D289">
        <v>32.469000000000001</v>
      </c>
      <c r="E289">
        <v>38.085000000000001</v>
      </c>
      <c r="F289">
        <v>40.712000000000003</v>
      </c>
      <c r="G289">
        <v>6.1020000000000003</v>
      </c>
      <c r="H289">
        <v>-2.6269999999999998</v>
      </c>
      <c r="I289">
        <f t="shared" si="8"/>
        <v>0.82750000000000057</v>
      </c>
      <c r="L289" s="103" t="s">
        <v>316</v>
      </c>
      <c r="M289">
        <v>40.325000000000003</v>
      </c>
      <c r="N289">
        <v>30.898</v>
      </c>
      <c r="O289">
        <v>39.786999999999999</v>
      </c>
      <c r="P289">
        <v>43.374000000000002</v>
      </c>
      <c r="Q289">
        <v>9.4269999999999996</v>
      </c>
      <c r="R289">
        <v>-3.5870000000000002</v>
      </c>
      <c r="S289">
        <f t="shared" si="9"/>
        <v>1.2554999999999978</v>
      </c>
    </row>
    <row r="290" spans="2:19" x14ac:dyDescent="0.25">
      <c r="B290" s="103">
        <v>45266</v>
      </c>
      <c r="C290">
        <v>38.360999999999997</v>
      </c>
      <c r="D290">
        <v>32.406999999999996</v>
      </c>
      <c r="E290">
        <v>37.841999999999999</v>
      </c>
      <c r="F290">
        <v>40.237000000000002</v>
      </c>
      <c r="G290">
        <v>5.9539999999999997</v>
      </c>
      <c r="H290">
        <v>-2.395</v>
      </c>
      <c r="I290">
        <f t="shared" si="8"/>
        <v>0.67850000000000676</v>
      </c>
      <c r="L290" s="103" t="s">
        <v>317</v>
      </c>
      <c r="M290">
        <v>55.8</v>
      </c>
      <c r="N290">
        <v>30.640999999999998</v>
      </c>
      <c r="O290">
        <v>56.6</v>
      </c>
      <c r="P290">
        <v>57.941000000000003</v>
      </c>
      <c r="Q290">
        <v>25.158999999999999</v>
      </c>
      <c r="R290">
        <v>-1.341</v>
      </c>
      <c r="S290">
        <f t="shared" si="9"/>
        <v>1.4705000000000013</v>
      </c>
    </row>
    <row r="291" spans="2:19" x14ac:dyDescent="0.25">
      <c r="B291" s="103">
        <v>45175</v>
      </c>
      <c r="C291">
        <v>38.183999999999997</v>
      </c>
      <c r="D291">
        <v>32.337000000000003</v>
      </c>
      <c r="E291">
        <v>37.515000000000001</v>
      </c>
      <c r="F291">
        <v>40.24</v>
      </c>
      <c r="G291">
        <v>5.8470000000000004</v>
      </c>
      <c r="H291">
        <v>-2.7250000000000001</v>
      </c>
      <c r="I291">
        <f t="shared" si="8"/>
        <v>0.69350000000000023</v>
      </c>
      <c r="L291" s="103" t="s">
        <v>318</v>
      </c>
      <c r="M291">
        <v>41.378</v>
      </c>
      <c r="N291">
        <v>30.643999999999998</v>
      </c>
      <c r="O291">
        <v>42.100999999999999</v>
      </c>
      <c r="P291">
        <v>43.521999999999998</v>
      </c>
      <c r="Q291">
        <v>10.734</v>
      </c>
      <c r="R291">
        <v>-1.421</v>
      </c>
      <c r="S291">
        <f t="shared" si="9"/>
        <v>1.4334999999999951</v>
      </c>
    </row>
    <row r="292" spans="2:19" x14ac:dyDescent="0.25">
      <c r="B292" s="103">
        <v>45144</v>
      </c>
      <c r="C292">
        <v>38.755000000000003</v>
      </c>
      <c r="D292">
        <v>31.571999999999999</v>
      </c>
      <c r="E292">
        <v>37.729999999999997</v>
      </c>
      <c r="F292">
        <v>41.662999999999997</v>
      </c>
      <c r="G292">
        <v>7.1829999999999998</v>
      </c>
      <c r="H292">
        <v>-3.9329999999999998</v>
      </c>
      <c r="I292">
        <f t="shared" si="8"/>
        <v>0.94149999999999778</v>
      </c>
      <c r="L292" s="103" t="s">
        <v>319</v>
      </c>
      <c r="M292">
        <v>42.073999999999998</v>
      </c>
      <c r="N292">
        <v>32.725999999999999</v>
      </c>
      <c r="O292">
        <v>42.988999999999997</v>
      </c>
      <c r="P292">
        <v>43.991999999999997</v>
      </c>
      <c r="Q292">
        <v>9.3480000000000008</v>
      </c>
      <c r="R292">
        <v>-1.0029999999999999</v>
      </c>
      <c r="S292">
        <f t="shared" si="9"/>
        <v>1.4164999999999992</v>
      </c>
    </row>
    <row r="293" spans="2:19" x14ac:dyDescent="0.25">
      <c r="B293" s="103">
        <v>45113</v>
      </c>
      <c r="C293">
        <v>39.042999999999999</v>
      </c>
      <c r="D293">
        <v>31.928000000000001</v>
      </c>
      <c r="E293">
        <v>37.725000000000001</v>
      </c>
      <c r="F293">
        <v>41.8</v>
      </c>
      <c r="G293">
        <v>7.1150000000000002</v>
      </c>
      <c r="H293">
        <v>-4.0750000000000002</v>
      </c>
      <c r="I293">
        <f t="shared" si="8"/>
        <v>0.71950000000000358</v>
      </c>
      <c r="L293" s="103" t="s">
        <v>320</v>
      </c>
      <c r="M293">
        <v>41.933999999999997</v>
      </c>
      <c r="N293">
        <v>33.399000000000001</v>
      </c>
      <c r="O293">
        <v>43.173000000000002</v>
      </c>
      <c r="P293">
        <v>42.304000000000002</v>
      </c>
      <c r="Q293">
        <v>8.5350000000000001</v>
      </c>
      <c r="R293">
        <v>0.86899999999999999</v>
      </c>
      <c r="S293">
        <f t="shared" si="9"/>
        <v>0.80450000000000443</v>
      </c>
    </row>
    <row r="294" spans="2:19" x14ac:dyDescent="0.25">
      <c r="B294" s="103">
        <v>45083</v>
      </c>
      <c r="C294">
        <v>39.124000000000002</v>
      </c>
      <c r="D294">
        <v>32.453000000000003</v>
      </c>
      <c r="E294">
        <v>37.828000000000003</v>
      </c>
      <c r="F294">
        <v>42.856000000000002</v>
      </c>
      <c r="G294">
        <v>6.6710000000000003</v>
      </c>
      <c r="H294">
        <v>-5.0279999999999996</v>
      </c>
      <c r="I294">
        <f t="shared" si="8"/>
        <v>1.2179999999999964</v>
      </c>
      <c r="L294" s="103" t="s">
        <v>321</v>
      </c>
      <c r="M294">
        <v>39.445</v>
      </c>
      <c r="N294">
        <v>32.469000000000001</v>
      </c>
      <c r="O294">
        <v>40.594999999999999</v>
      </c>
      <c r="P294">
        <v>39.915999999999997</v>
      </c>
      <c r="Q294">
        <v>6.976</v>
      </c>
      <c r="R294">
        <v>0.67900000000000005</v>
      </c>
      <c r="S294">
        <f t="shared" si="9"/>
        <v>0.81049999999999756</v>
      </c>
    </row>
    <row r="295" spans="2:19" x14ac:dyDescent="0.25">
      <c r="B295" s="103">
        <v>45052</v>
      </c>
      <c r="C295">
        <v>39.139000000000003</v>
      </c>
      <c r="D295">
        <v>33.753</v>
      </c>
      <c r="E295">
        <v>38.090000000000003</v>
      </c>
      <c r="F295">
        <v>42.85</v>
      </c>
      <c r="G295">
        <v>5.3860000000000001</v>
      </c>
      <c r="H295">
        <v>-4.76</v>
      </c>
      <c r="I295">
        <f t="shared" si="8"/>
        <v>1.330999999999996</v>
      </c>
      <c r="L295" s="103">
        <v>45266</v>
      </c>
      <c r="M295">
        <v>38.536999999999999</v>
      </c>
      <c r="N295">
        <v>32.406999999999996</v>
      </c>
      <c r="O295">
        <v>40.247999999999998</v>
      </c>
      <c r="P295">
        <v>38.686999999999998</v>
      </c>
      <c r="Q295">
        <v>6.13</v>
      </c>
      <c r="R295">
        <v>1.5609999999999999</v>
      </c>
      <c r="S295">
        <f t="shared" si="9"/>
        <v>0.9305000000000021</v>
      </c>
    </row>
    <row r="296" spans="2:19" x14ac:dyDescent="0.25">
      <c r="B296" s="103">
        <v>44963</v>
      </c>
      <c r="C296">
        <v>39.426000000000002</v>
      </c>
      <c r="D296">
        <v>32.667999999999999</v>
      </c>
      <c r="E296">
        <v>37.777000000000001</v>
      </c>
      <c r="F296">
        <v>43.62</v>
      </c>
      <c r="G296">
        <v>6.758</v>
      </c>
      <c r="H296">
        <v>-5.843</v>
      </c>
      <c r="I296">
        <f t="shared" si="8"/>
        <v>1.2724999999999937</v>
      </c>
      <c r="L296" s="103">
        <v>45175</v>
      </c>
      <c r="M296">
        <v>35.642000000000003</v>
      </c>
      <c r="N296">
        <v>32.337000000000003</v>
      </c>
      <c r="O296">
        <v>37.591000000000001</v>
      </c>
      <c r="P296">
        <v>36.18</v>
      </c>
      <c r="Q296">
        <v>3.3050000000000002</v>
      </c>
      <c r="R296">
        <v>1.411</v>
      </c>
      <c r="S296">
        <f t="shared" si="9"/>
        <v>1.2434999999999974</v>
      </c>
    </row>
    <row r="297" spans="2:19" x14ac:dyDescent="0.25">
      <c r="B297" s="103">
        <v>44932</v>
      </c>
      <c r="C297">
        <v>39.460999999999999</v>
      </c>
      <c r="D297">
        <v>32.847999999999999</v>
      </c>
      <c r="E297">
        <v>37.844000000000001</v>
      </c>
      <c r="F297">
        <v>43.863999999999997</v>
      </c>
      <c r="G297">
        <v>6.6130000000000004</v>
      </c>
      <c r="H297">
        <v>-6.02</v>
      </c>
      <c r="I297">
        <f t="shared" si="8"/>
        <v>1.3930000000000007</v>
      </c>
      <c r="L297" s="103">
        <v>45144</v>
      </c>
      <c r="M297">
        <v>36.508000000000003</v>
      </c>
      <c r="N297">
        <v>31.571999999999999</v>
      </c>
      <c r="O297">
        <v>37.353000000000002</v>
      </c>
      <c r="P297">
        <v>38.651000000000003</v>
      </c>
      <c r="Q297">
        <v>4.9359999999999999</v>
      </c>
      <c r="R297">
        <v>-1.298</v>
      </c>
      <c r="S297">
        <f t="shared" si="9"/>
        <v>1.4939999999999998</v>
      </c>
    </row>
    <row r="298" spans="2:19" x14ac:dyDescent="0.25">
      <c r="B298" s="103" t="s">
        <v>322</v>
      </c>
      <c r="C298">
        <v>38.716999999999999</v>
      </c>
      <c r="D298">
        <v>32.468000000000004</v>
      </c>
      <c r="E298">
        <v>37.536999999999999</v>
      </c>
      <c r="F298">
        <v>42.686</v>
      </c>
      <c r="G298">
        <v>6.2489999999999997</v>
      </c>
      <c r="H298">
        <v>-5.149</v>
      </c>
      <c r="I298">
        <f t="shared" si="8"/>
        <v>1.3945000000000007</v>
      </c>
      <c r="L298" s="103">
        <v>45113</v>
      </c>
      <c r="M298">
        <v>36.948999999999998</v>
      </c>
      <c r="N298">
        <v>31.928000000000001</v>
      </c>
      <c r="O298">
        <v>37.280999999999999</v>
      </c>
      <c r="P298">
        <v>39.588000000000001</v>
      </c>
      <c r="Q298">
        <v>5.0209999999999999</v>
      </c>
      <c r="R298">
        <v>-2.3069999999999999</v>
      </c>
      <c r="S298">
        <f t="shared" si="9"/>
        <v>1.4855000000000018</v>
      </c>
    </row>
    <row r="299" spans="2:19" x14ac:dyDescent="0.25">
      <c r="B299" s="103" t="s">
        <v>323</v>
      </c>
      <c r="C299">
        <v>38.887999999999998</v>
      </c>
      <c r="D299">
        <v>32.851999999999997</v>
      </c>
      <c r="E299">
        <v>37.652999999999999</v>
      </c>
      <c r="F299">
        <v>42.898000000000003</v>
      </c>
      <c r="G299">
        <v>6.0359999999999996</v>
      </c>
      <c r="H299">
        <v>-5.2450000000000001</v>
      </c>
      <c r="I299">
        <f t="shared" si="8"/>
        <v>1.3875000000000028</v>
      </c>
      <c r="L299" s="103">
        <v>45083</v>
      </c>
      <c r="M299">
        <v>37.927999999999997</v>
      </c>
      <c r="N299">
        <v>32.453000000000003</v>
      </c>
      <c r="O299">
        <v>36.884</v>
      </c>
      <c r="P299">
        <v>41.582000000000001</v>
      </c>
      <c r="Q299">
        <v>5.4749999999999996</v>
      </c>
      <c r="R299">
        <v>-4.6980000000000004</v>
      </c>
      <c r="S299">
        <f t="shared" si="9"/>
        <v>1.3050000000000068</v>
      </c>
    </row>
    <row r="300" spans="2:19" x14ac:dyDescent="0.25">
      <c r="B300" s="103" t="s">
        <v>324</v>
      </c>
      <c r="C300">
        <v>38.902999999999999</v>
      </c>
      <c r="D300">
        <v>33.045000000000002</v>
      </c>
      <c r="E300">
        <v>37.652999999999999</v>
      </c>
      <c r="F300">
        <v>42.186</v>
      </c>
      <c r="G300">
        <v>5.8579999999999997</v>
      </c>
      <c r="H300">
        <v>-4.5330000000000004</v>
      </c>
      <c r="I300">
        <f t="shared" si="8"/>
        <v>1.0165000000000006</v>
      </c>
      <c r="L300" s="103">
        <v>45052</v>
      </c>
      <c r="M300">
        <v>37.902999999999999</v>
      </c>
      <c r="N300">
        <v>33.753</v>
      </c>
      <c r="O300">
        <v>37.156999999999996</v>
      </c>
      <c r="P300">
        <v>41.762999999999998</v>
      </c>
      <c r="Q300">
        <v>4.1500000000000004</v>
      </c>
      <c r="R300">
        <v>-4.6059999999999999</v>
      </c>
      <c r="S300">
        <f t="shared" si="9"/>
        <v>1.5569999999999951</v>
      </c>
    </row>
    <row r="301" spans="2:19" x14ac:dyDescent="0.25">
      <c r="B301" s="103" t="s">
        <v>325</v>
      </c>
      <c r="C301">
        <v>38.584000000000003</v>
      </c>
      <c r="D301">
        <v>33.07</v>
      </c>
      <c r="E301">
        <v>37.292999999999999</v>
      </c>
      <c r="F301">
        <v>42.536000000000001</v>
      </c>
      <c r="G301">
        <v>5.5140000000000002</v>
      </c>
      <c r="H301">
        <v>-5.2430000000000003</v>
      </c>
      <c r="I301">
        <f t="shared" si="8"/>
        <v>1.3305000000000007</v>
      </c>
      <c r="L301" s="103">
        <v>44963</v>
      </c>
      <c r="M301">
        <v>38.731000000000002</v>
      </c>
      <c r="N301">
        <v>32.667999999999999</v>
      </c>
      <c r="O301">
        <v>36.252000000000002</v>
      </c>
      <c r="P301">
        <v>44.145000000000003</v>
      </c>
      <c r="Q301">
        <v>6.0629999999999997</v>
      </c>
      <c r="R301">
        <v>-7.8929999999999998</v>
      </c>
      <c r="S301">
        <f t="shared" si="9"/>
        <v>1.4675000000000011</v>
      </c>
    </row>
    <row r="302" spans="2:19" x14ac:dyDescent="0.25">
      <c r="B302" s="103" t="s">
        <v>326</v>
      </c>
      <c r="C302">
        <v>38.651000000000003</v>
      </c>
      <c r="D302">
        <v>33.124000000000002</v>
      </c>
      <c r="E302">
        <v>37.343000000000004</v>
      </c>
      <c r="F302">
        <v>42.335000000000001</v>
      </c>
      <c r="G302">
        <v>5.5270000000000001</v>
      </c>
      <c r="H302">
        <v>-4.992</v>
      </c>
      <c r="I302">
        <f t="shared" si="8"/>
        <v>1.1879999999999953</v>
      </c>
      <c r="L302" s="103">
        <v>44932</v>
      </c>
      <c r="M302">
        <v>38.920999999999999</v>
      </c>
      <c r="N302">
        <v>32.847999999999999</v>
      </c>
      <c r="O302">
        <v>36.322000000000003</v>
      </c>
      <c r="P302">
        <v>44.408999999999999</v>
      </c>
      <c r="Q302">
        <v>6.0730000000000004</v>
      </c>
      <c r="R302">
        <v>-8.0869999999999997</v>
      </c>
      <c r="S302">
        <f t="shared" si="9"/>
        <v>1.4444999999999979</v>
      </c>
    </row>
    <row r="303" spans="2:19" x14ac:dyDescent="0.25">
      <c r="B303" s="103" t="s">
        <v>327</v>
      </c>
      <c r="C303">
        <v>38.448999999999998</v>
      </c>
      <c r="D303">
        <v>33.578000000000003</v>
      </c>
      <c r="E303">
        <v>37.253999999999998</v>
      </c>
      <c r="F303">
        <v>41.515000000000001</v>
      </c>
      <c r="G303">
        <v>4.8710000000000004</v>
      </c>
      <c r="H303">
        <v>-4.2610000000000001</v>
      </c>
      <c r="I303">
        <f t="shared" si="8"/>
        <v>0.93550000000000466</v>
      </c>
      <c r="L303" s="103" t="s">
        <v>322</v>
      </c>
      <c r="M303">
        <v>37.491999999999997</v>
      </c>
      <c r="N303">
        <v>32.468000000000004</v>
      </c>
      <c r="O303">
        <v>35.158999999999999</v>
      </c>
      <c r="P303">
        <v>42.463999999999999</v>
      </c>
      <c r="Q303">
        <v>5.024</v>
      </c>
      <c r="R303">
        <v>-7.3049999999999997</v>
      </c>
      <c r="S303">
        <f t="shared" si="9"/>
        <v>1.3194999999999979</v>
      </c>
    </row>
    <row r="304" spans="2:19" x14ac:dyDescent="0.25">
      <c r="B304" s="103" t="s">
        <v>328</v>
      </c>
      <c r="C304">
        <v>38.348999999999997</v>
      </c>
      <c r="D304">
        <v>34.055</v>
      </c>
      <c r="E304">
        <v>37.393999999999998</v>
      </c>
      <c r="F304">
        <v>41.610999999999997</v>
      </c>
      <c r="G304">
        <v>4.2939999999999996</v>
      </c>
      <c r="H304">
        <v>-4.2169999999999996</v>
      </c>
      <c r="I304">
        <f t="shared" si="8"/>
        <v>1.1535000000000011</v>
      </c>
      <c r="L304" s="103" t="s">
        <v>323</v>
      </c>
      <c r="M304">
        <v>36.863999999999997</v>
      </c>
      <c r="N304">
        <v>32.851999999999997</v>
      </c>
      <c r="O304">
        <v>34.353000000000002</v>
      </c>
      <c r="P304">
        <v>42.003999999999998</v>
      </c>
      <c r="Q304">
        <v>4.0119999999999996</v>
      </c>
      <c r="R304">
        <v>-7.6509999999999998</v>
      </c>
      <c r="S304">
        <f t="shared" si="9"/>
        <v>1.3145000000000024</v>
      </c>
    </row>
    <row r="305" spans="2:19" x14ac:dyDescent="0.25">
      <c r="B305" s="103" t="s">
        <v>329</v>
      </c>
      <c r="C305">
        <v>38.237000000000002</v>
      </c>
      <c r="D305">
        <v>33.686999999999998</v>
      </c>
      <c r="E305">
        <v>37.44</v>
      </c>
      <c r="F305">
        <v>41.167999999999999</v>
      </c>
      <c r="G305">
        <v>4.55</v>
      </c>
      <c r="H305">
        <v>-3.7280000000000002</v>
      </c>
      <c r="I305">
        <f t="shared" si="8"/>
        <v>1.0670000000000002</v>
      </c>
      <c r="L305" s="103" t="s">
        <v>324</v>
      </c>
      <c r="M305">
        <v>36.142000000000003</v>
      </c>
      <c r="N305">
        <v>33.045000000000002</v>
      </c>
      <c r="O305">
        <v>34.392000000000003</v>
      </c>
      <c r="P305">
        <v>40.750999999999998</v>
      </c>
      <c r="Q305">
        <v>3.097</v>
      </c>
      <c r="R305">
        <v>-6.359</v>
      </c>
      <c r="S305">
        <f t="shared" si="9"/>
        <v>1.4294999999999973</v>
      </c>
    </row>
    <row r="306" spans="2:19" x14ac:dyDescent="0.25">
      <c r="B306" s="103" t="s">
        <v>330</v>
      </c>
      <c r="C306">
        <v>37.886000000000003</v>
      </c>
      <c r="D306">
        <v>33.982999999999997</v>
      </c>
      <c r="E306">
        <v>37.274999999999999</v>
      </c>
      <c r="F306">
        <v>40.347000000000001</v>
      </c>
      <c r="G306">
        <v>3.903</v>
      </c>
      <c r="H306">
        <v>-3.0720000000000001</v>
      </c>
      <c r="I306">
        <f t="shared" si="8"/>
        <v>0.92499999999999716</v>
      </c>
      <c r="L306" s="103" t="s">
        <v>325</v>
      </c>
      <c r="M306">
        <v>35.238999999999997</v>
      </c>
      <c r="N306">
        <v>33.07</v>
      </c>
      <c r="O306">
        <v>33.448</v>
      </c>
      <c r="P306">
        <v>39.719000000000001</v>
      </c>
      <c r="Q306">
        <v>2.169</v>
      </c>
      <c r="R306">
        <v>-6.2709999999999999</v>
      </c>
      <c r="S306">
        <f t="shared" si="9"/>
        <v>1.3445000000000036</v>
      </c>
    </row>
    <row r="307" spans="2:19" x14ac:dyDescent="0.25">
      <c r="B307" s="103" t="s">
        <v>331</v>
      </c>
      <c r="C307">
        <v>37.987000000000002</v>
      </c>
      <c r="D307">
        <v>33.981000000000002</v>
      </c>
      <c r="E307">
        <v>37.390999999999998</v>
      </c>
      <c r="F307">
        <v>40.353999999999999</v>
      </c>
      <c r="G307">
        <v>4.0060000000000002</v>
      </c>
      <c r="H307">
        <v>-2.9630000000000001</v>
      </c>
      <c r="I307">
        <f t="shared" si="8"/>
        <v>0.8855000000000004</v>
      </c>
      <c r="L307" s="103" t="s">
        <v>326</v>
      </c>
      <c r="M307">
        <v>34.698999999999998</v>
      </c>
      <c r="N307">
        <v>33.124000000000002</v>
      </c>
      <c r="O307">
        <v>33.267000000000003</v>
      </c>
      <c r="P307">
        <v>38.317</v>
      </c>
      <c r="Q307">
        <v>1.575</v>
      </c>
      <c r="R307">
        <v>-5.05</v>
      </c>
      <c r="S307">
        <f t="shared" si="9"/>
        <v>1.0930000000000035</v>
      </c>
    </row>
    <row r="308" spans="2:19" x14ac:dyDescent="0.25">
      <c r="B308" s="103" t="s">
        <v>332</v>
      </c>
      <c r="C308">
        <v>38.201999999999998</v>
      </c>
      <c r="D308">
        <v>33.764000000000003</v>
      </c>
      <c r="E308">
        <v>37.426000000000002</v>
      </c>
      <c r="F308">
        <v>40.960999999999999</v>
      </c>
      <c r="G308">
        <v>4.4379999999999997</v>
      </c>
      <c r="H308">
        <v>-3.5350000000000001</v>
      </c>
      <c r="I308">
        <f t="shared" si="8"/>
        <v>0.99150000000000205</v>
      </c>
      <c r="L308" s="103" t="s">
        <v>327</v>
      </c>
      <c r="M308">
        <v>34.134</v>
      </c>
      <c r="N308">
        <v>33.578000000000003</v>
      </c>
      <c r="O308">
        <v>33.14</v>
      </c>
      <c r="P308">
        <v>36.777999999999999</v>
      </c>
      <c r="Q308">
        <v>0.55600000000000005</v>
      </c>
      <c r="R308">
        <v>-3.6379999999999999</v>
      </c>
      <c r="S308">
        <f t="shared" si="9"/>
        <v>0.82500000000000284</v>
      </c>
    </row>
    <row r="309" spans="2:19" x14ac:dyDescent="0.25">
      <c r="B309" s="103" t="s">
        <v>333</v>
      </c>
      <c r="C309">
        <v>38.137999999999998</v>
      </c>
      <c r="D309">
        <v>34.533999999999999</v>
      </c>
      <c r="E309">
        <v>37.518999999999998</v>
      </c>
      <c r="F309">
        <v>40.99</v>
      </c>
      <c r="G309">
        <v>3.6040000000000001</v>
      </c>
      <c r="H309">
        <v>-3.4710000000000001</v>
      </c>
      <c r="I309">
        <f t="shared" si="8"/>
        <v>1.116500000000002</v>
      </c>
      <c r="L309" s="103" t="s">
        <v>328</v>
      </c>
      <c r="M309">
        <v>34.162999999999997</v>
      </c>
      <c r="N309">
        <v>34.055</v>
      </c>
      <c r="O309">
        <v>33.128999999999998</v>
      </c>
      <c r="P309">
        <v>36.884</v>
      </c>
      <c r="Q309">
        <v>0.108</v>
      </c>
      <c r="R309">
        <v>-3.7549999999999999</v>
      </c>
      <c r="S309">
        <f t="shared" si="9"/>
        <v>0.84350000000000591</v>
      </c>
    </row>
    <row r="310" spans="2:19" x14ac:dyDescent="0.25">
      <c r="B310" s="103" t="s">
        <v>334</v>
      </c>
      <c r="C310">
        <v>38.76</v>
      </c>
      <c r="D310">
        <v>34.576999999999998</v>
      </c>
      <c r="E310">
        <v>37.962000000000003</v>
      </c>
      <c r="F310">
        <v>41.723999999999997</v>
      </c>
      <c r="G310">
        <v>4.1829999999999998</v>
      </c>
      <c r="H310">
        <v>-3.762</v>
      </c>
      <c r="I310">
        <f t="shared" si="8"/>
        <v>1.0830000000000055</v>
      </c>
      <c r="L310" s="103" t="s">
        <v>329</v>
      </c>
      <c r="M310">
        <v>33.786999999999999</v>
      </c>
      <c r="N310">
        <v>33.686999999999998</v>
      </c>
      <c r="O310">
        <v>33.402999999999999</v>
      </c>
      <c r="P310">
        <v>35.557000000000002</v>
      </c>
      <c r="Q310">
        <v>0.1</v>
      </c>
      <c r="R310">
        <v>-2.1539999999999999</v>
      </c>
      <c r="S310">
        <f t="shared" si="9"/>
        <v>0.69300000000000495</v>
      </c>
    </row>
    <row r="311" spans="2:19" x14ac:dyDescent="0.25">
      <c r="B311" s="103">
        <v>45265</v>
      </c>
      <c r="C311">
        <v>38.088999999999999</v>
      </c>
      <c r="D311">
        <v>34.774999999999999</v>
      </c>
      <c r="E311">
        <v>37.118000000000002</v>
      </c>
      <c r="F311">
        <v>40.834000000000003</v>
      </c>
      <c r="G311">
        <v>3.3140000000000001</v>
      </c>
      <c r="H311">
        <v>-3.7160000000000002</v>
      </c>
      <c r="I311">
        <f t="shared" si="8"/>
        <v>0.88700000000000045</v>
      </c>
      <c r="L311" s="103" t="s">
        <v>330</v>
      </c>
      <c r="M311">
        <v>33.881</v>
      </c>
      <c r="N311">
        <v>33.982999999999997</v>
      </c>
      <c r="O311">
        <v>33.875</v>
      </c>
      <c r="P311">
        <v>35.545999999999999</v>
      </c>
      <c r="Q311">
        <v>-0.10199999999999999</v>
      </c>
      <c r="R311">
        <v>-1.671</v>
      </c>
      <c r="S311">
        <f t="shared" si="9"/>
        <v>0.82949999999999591</v>
      </c>
    </row>
    <row r="312" spans="2:19" x14ac:dyDescent="0.25">
      <c r="B312" s="103">
        <v>45235</v>
      </c>
      <c r="C312">
        <v>39.103999999999999</v>
      </c>
      <c r="D312">
        <v>34.859000000000002</v>
      </c>
      <c r="E312">
        <v>38.430999999999997</v>
      </c>
      <c r="F312">
        <v>41.939</v>
      </c>
      <c r="G312">
        <v>4.2450000000000001</v>
      </c>
      <c r="H312">
        <v>-3.508</v>
      </c>
      <c r="I312">
        <f t="shared" si="8"/>
        <v>1.0810000000000031</v>
      </c>
      <c r="L312" s="103" t="s">
        <v>331</v>
      </c>
      <c r="M312">
        <v>34.503</v>
      </c>
      <c r="N312">
        <v>33.981000000000002</v>
      </c>
      <c r="O312">
        <v>34.363999999999997</v>
      </c>
      <c r="P312">
        <v>36.369</v>
      </c>
      <c r="Q312">
        <v>0.52200000000000002</v>
      </c>
      <c r="R312">
        <v>-2.0049999999999999</v>
      </c>
      <c r="S312">
        <f t="shared" si="9"/>
        <v>0.86350000000000193</v>
      </c>
    </row>
    <row r="313" spans="2:19" x14ac:dyDescent="0.25">
      <c r="B313" s="103">
        <v>45204</v>
      </c>
      <c r="C313">
        <v>39.581000000000003</v>
      </c>
      <c r="D313">
        <v>35.53</v>
      </c>
      <c r="E313">
        <v>38.884999999999998</v>
      </c>
      <c r="F313">
        <v>42.037999999999997</v>
      </c>
      <c r="G313">
        <v>4.0510000000000002</v>
      </c>
      <c r="H313">
        <v>-3.153</v>
      </c>
      <c r="I313">
        <f t="shared" si="8"/>
        <v>0.88049999999999784</v>
      </c>
      <c r="L313" s="103" t="s">
        <v>332</v>
      </c>
      <c r="M313">
        <v>34.902999999999999</v>
      </c>
      <c r="N313">
        <v>33.764000000000003</v>
      </c>
      <c r="O313">
        <v>34.447000000000003</v>
      </c>
      <c r="P313">
        <v>37.130000000000003</v>
      </c>
      <c r="Q313">
        <v>1.139</v>
      </c>
      <c r="R313">
        <v>-2.6829999999999998</v>
      </c>
      <c r="S313">
        <f t="shared" si="9"/>
        <v>0.8855000000000004</v>
      </c>
    </row>
    <row r="314" spans="2:19" x14ac:dyDescent="0.25">
      <c r="B314" s="103">
        <v>45174</v>
      </c>
      <c r="C314">
        <v>39.777000000000001</v>
      </c>
      <c r="D314">
        <v>35.311999999999998</v>
      </c>
      <c r="E314">
        <v>38.962000000000003</v>
      </c>
      <c r="F314">
        <v>42.914000000000001</v>
      </c>
      <c r="G314">
        <v>4.4649999999999999</v>
      </c>
      <c r="H314">
        <v>-3.952</v>
      </c>
      <c r="I314">
        <f t="shared" si="8"/>
        <v>1.1610000000000014</v>
      </c>
      <c r="L314" s="103" t="s">
        <v>333</v>
      </c>
      <c r="M314">
        <v>34.822000000000003</v>
      </c>
      <c r="N314">
        <v>34.533999999999999</v>
      </c>
      <c r="O314">
        <v>34.402000000000001</v>
      </c>
      <c r="P314">
        <v>37.064</v>
      </c>
      <c r="Q314">
        <v>0.28799999999999998</v>
      </c>
      <c r="R314">
        <v>-2.6619999999999999</v>
      </c>
      <c r="S314">
        <f t="shared" si="9"/>
        <v>0.91100000000000136</v>
      </c>
    </row>
    <row r="315" spans="2:19" x14ac:dyDescent="0.25">
      <c r="B315" s="103">
        <v>45143</v>
      </c>
      <c r="C315">
        <v>40.439</v>
      </c>
      <c r="D315">
        <v>35.128999999999998</v>
      </c>
      <c r="E315">
        <v>39.427999999999997</v>
      </c>
      <c r="F315">
        <v>43.725999999999999</v>
      </c>
      <c r="G315">
        <v>5.31</v>
      </c>
      <c r="H315">
        <v>-4.298</v>
      </c>
      <c r="I315">
        <f t="shared" si="8"/>
        <v>1.1379999999999981</v>
      </c>
      <c r="L315" s="103" t="s">
        <v>334</v>
      </c>
      <c r="M315">
        <v>36.390999999999998</v>
      </c>
      <c r="N315">
        <v>34.576999999999998</v>
      </c>
      <c r="O315">
        <v>35.491999999999997</v>
      </c>
      <c r="P315">
        <v>39.639000000000003</v>
      </c>
      <c r="Q315">
        <v>1.8140000000000001</v>
      </c>
      <c r="R315">
        <v>-4.1470000000000002</v>
      </c>
      <c r="S315">
        <f t="shared" si="9"/>
        <v>1.1745000000000019</v>
      </c>
    </row>
    <row r="316" spans="2:19" x14ac:dyDescent="0.25">
      <c r="B316" s="103">
        <v>45051</v>
      </c>
      <c r="C316">
        <v>40.277999999999999</v>
      </c>
      <c r="D316">
        <v>35.134999999999998</v>
      </c>
      <c r="E316">
        <v>39.247999999999998</v>
      </c>
      <c r="F316">
        <v>43.734999999999999</v>
      </c>
      <c r="G316">
        <v>5.1429999999999998</v>
      </c>
      <c r="H316">
        <v>-4.4870000000000001</v>
      </c>
      <c r="I316">
        <f t="shared" si="8"/>
        <v>1.2135000000000034</v>
      </c>
      <c r="L316" s="103">
        <v>45265</v>
      </c>
      <c r="M316">
        <v>35.921999999999997</v>
      </c>
      <c r="N316">
        <v>34.774999999999999</v>
      </c>
      <c r="O316">
        <v>35.279000000000003</v>
      </c>
      <c r="P316">
        <v>38.258000000000003</v>
      </c>
      <c r="Q316">
        <v>1.147</v>
      </c>
      <c r="R316">
        <v>-2.9790000000000001</v>
      </c>
      <c r="S316">
        <f t="shared" si="9"/>
        <v>0.84650000000000603</v>
      </c>
    </row>
    <row r="317" spans="2:19" x14ac:dyDescent="0.25">
      <c r="B317" s="103">
        <v>45021</v>
      </c>
      <c r="C317">
        <v>40.994</v>
      </c>
      <c r="D317">
        <v>35.481999999999999</v>
      </c>
      <c r="E317">
        <v>39.94</v>
      </c>
      <c r="F317">
        <v>44.594999999999999</v>
      </c>
      <c r="G317">
        <v>5.5119999999999996</v>
      </c>
      <c r="H317">
        <v>-4.6550000000000002</v>
      </c>
      <c r="I317">
        <f t="shared" si="8"/>
        <v>1.2734999999999985</v>
      </c>
      <c r="L317" s="103">
        <v>45235</v>
      </c>
      <c r="M317">
        <v>36.917000000000002</v>
      </c>
      <c r="N317">
        <v>34.859000000000002</v>
      </c>
      <c r="O317">
        <v>36.46</v>
      </c>
      <c r="P317">
        <v>39.341000000000001</v>
      </c>
      <c r="Q317">
        <v>2.0579999999999998</v>
      </c>
      <c r="R317">
        <v>-2.8809999999999998</v>
      </c>
      <c r="S317">
        <f t="shared" si="9"/>
        <v>0.98349999999999937</v>
      </c>
    </row>
    <row r="318" spans="2:19" x14ac:dyDescent="0.25">
      <c r="B318" s="103">
        <v>44990</v>
      </c>
      <c r="C318">
        <v>40.953000000000003</v>
      </c>
      <c r="D318">
        <v>35.524000000000001</v>
      </c>
      <c r="E318">
        <v>39.997999999999998</v>
      </c>
      <c r="F318">
        <v>44.4</v>
      </c>
      <c r="G318">
        <v>5.4290000000000003</v>
      </c>
      <c r="H318">
        <v>-4.4020000000000001</v>
      </c>
      <c r="I318">
        <f t="shared" si="8"/>
        <v>1.2459999999999951</v>
      </c>
      <c r="L318" s="103">
        <v>45204</v>
      </c>
      <c r="M318">
        <v>37.648000000000003</v>
      </c>
      <c r="N318">
        <v>35.53</v>
      </c>
      <c r="O318">
        <v>37.220999999999997</v>
      </c>
      <c r="P318">
        <v>40.067</v>
      </c>
      <c r="Q318">
        <v>2.1179999999999999</v>
      </c>
      <c r="R318">
        <v>-2.8460000000000001</v>
      </c>
      <c r="S318">
        <f t="shared" si="9"/>
        <v>0.99599999999999511</v>
      </c>
    </row>
    <row r="319" spans="2:19" x14ac:dyDescent="0.25">
      <c r="B319" s="103">
        <v>44962</v>
      </c>
      <c r="C319">
        <v>40.698</v>
      </c>
      <c r="D319">
        <v>34.569000000000003</v>
      </c>
      <c r="E319">
        <v>40.03</v>
      </c>
      <c r="F319">
        <v>43.784999999999997</v>
      </c>
      <c r="G319">
        <v>6.1289999999999996</v>
      </c>
      <c r="H319">
        <v>-3.7549999999999999</v>
      </c>
      <c r="I319">
        <f t="shared" si="8"/>
        <v>1.2094999999999985</v>
      </c>
      <c r="L319" s="103">
        <v>45174</v>
      </c>
      <c r="M319">
        <v>37.789000000000001</v>
      </c>
      <c r="N319">
        <v>35.311999999999998</v>
      </c>
      <c r="O319">
        <v>37.302999999999997</v>
      </c>
      <c r="P319">
        <v>41.246000000000002</v>
      </c>
      <c r="Q319">
        <v>2.4769999999999999</v>
      </c>
      <c r="R319">
        <v>-3.9430000000000001</v>
      </c>
      <c r="S319">
        <f t="shared" si="9"/>
        <v>1.4855000000000018</v>
      </c>
    </row>
    <row r="320" spans="2:19" x14ac:dyDescent="0.25">
      <c r="B320" s="103">
        <v>44931</v>
      </c>
      <c r="C320">
        <v>42.040999999999997</v>
      </c>
      <c r="D320">
        <v>34.029000000000003</v>
      </c>
      <c r="E320">
        <v>40.915999999999997</v>
      </c>
      <c r="F320">
        <v>45.609000000000002</v>
      </c>
      <c r="G320">
        <v>8.0120000000000005</v>
      </c>
      <c r="H320">
        <v>-4.6929999999999996</v>
      </c>
      <c r="I320">
        <f t="shared" si="8"/>
        <v>1.221500000000006</v>
      </c>
      <c r="L320" s="103">
        <v>45143</v>
      </c>
      <c r="M320">
        <v>38.997999999999998</v>
      </c>
      <c r="N320">
        <v>35.128999999999998</v>
      </c>
      <c r="O320">
        <v>37.792999999999999</v>
      </c>
      <c r="P320">
        <v>42.787999999999997</v>
      </c>
      <c r="Q320">
        <v>3.8690000000000002</v>
      </c>
      <c r="R320">
        <v>-4.9950000000000001</v>
      </c>
      <c r="S320">
        <f t="shared" si="9"/>
        <v>1.2924999999999969</v>
      </c>
    </row>
    <row r="321" spans="2:19" x14ac:dyDescent="0.25">
      <c r="B321" s="103" t="s">
        <v>335</v>
      </c>
      <c r="C321">
        <v>41.448999999999998</v>
      </c>
      <c r="D321">
        <v>34.286999999999999</v>
      </c>
      <c r="E321">
        <v>40.527999999999999</v>
      </c>
      <c r="F321">
        <v>44.831000000000003</v>
      </c>
      <c r="G321">
        <v>7.1619999999999999</v>
      </c>
      <c r="H321">
        <v>-4.3029999999999999</v>
      </c>
      <c r="I321">
        <f t="shared" si="8"/>
        <v>1.2305000000000064</v>
      </c>
      <c r="L321" s="103">
        <v>45051</v>
      </c>
      <c r="M321">
        <v>38.18</v>
      </c>
      <c r="N321">
        <v>35.134999999999998</v>
      </c>
      <c r="O321">
        <v>37.192</v>
      </c>
      <c r="P321">
        <v>41.246000000000002</v>
      </c>
      <c r="Q321">
        <v>3.0449999999999999</v>
      </c>
      <c r="R321">
        <v>-4.0540000000000003</v>
      </c>
      <c r="S321">
        <f t="shared" si="9"/>
        <v>1.0390000000000015</v>
      </c>
    </row>
    <row r="322" spans="2:19" x14ac:dyDescent="0.25">
      <c r="B322" s="103" t="s">
        <v>336</v>
      </c>
      <c r="C322">
        <v>42.287999999999997</v>
      </c>
      <c r="D322">
        <v>34.128999999999998</v>
      </c>
      <c r="E322">
        <v>41.429000000000002</v>
      </c>
      <c r="F322">
        <v>45.539000000000001</v>
      </c>
      <c r="G322">
        <v>8.1590000000000007</v>
      </c>
      <c r="H322">
        <v>-4.1100000000000003</v>
      </c>
      <c r="I322">
        <f t="shared" ref="I322:I385" si="10">IFERROR(AVERAGE(E322,F322)-C322,"")</f>
        <v>1.1960000000000051</v>
      </c>
      <c r="L322" s="103">
        <v>45021</v>
      </c>
      <c r="M322">
        <v>40.011000000000003</v>
      </c>
      <c r="N322">
        <v>35.481999999999999</v>
      </c>
      <c r="O322">
        <v>38.817</v>
      </c>
      <c r="P322">
        <v>44.201999999999998</v>
      </c>
      <c r="Q322">
        <v>4.5289999999999999</v>
      </c>
      <c r="R322">
        <v>-5.3849999999999998</v>
      </c>
      <c r="S322">
        <f t="shared" ref="S322:S385" si="11">IFERROR(AVERAGE(O322,P322)-M322,"")</f>
        <v>1.4984999999999999</v>
      </c>
    </row>
    <row r="323" spans="2:19" x14ac:dyDescent="0.25">
      <c r="B323" s="103" t="s">
        <v>337</v>
      </c>
      <c r="C323">
        <v>42.570999999999998</v>
      </c>
      <c r="D323">
        <v>34.488999999999997</v>
      </c>
      <c r="E323">
        <v>41.77</v>
      </c>
      <c r="F323">
        <v>46.17</v>
      </c>
      <c r="G323">
        <v>8.0820000000000007</v>
      </c>
      <c r="H323">
        <v>-4.4000000000000004</v>
      </c>
      <c r="I323">
        <f t="shared" si="10"/>
        <v>1.3990000000000009</v>
      </c>
      <c r="L323" s="103">
        <v>44990</v>
      </c>
      <c r="M323">
        <v>39.866999999999997</v>
      </c>
      <c r="N323">
        <v>35.524000000000001</v>
      </c>
      <c r="O323">
        <v>38.722000000000001</v>
      </c>
      <c r="P323">
        <v>43.628</v>
      </c>
      <c r="Q323">
        <v>4.343</v>
      </c>
      <c r="R323">
        <v>-4.9059999999999997</v>
      </c>
      <c r="S323">
        <f t="shared" si="11"/>
        <v>1.3079999999999998</v>
      </c>
    </row>
    <row r="324" spans="2:19" x14ac:dyDescent="0.25">
      <c r="B324" s="103" t="s">
        <v>338</v>
      </c>
      <c r="C324">
        <v>42.628</v>
      </c>
      <c r="D324">
        <v>34.844000000000001</v>
      </c>
      <c r="E324">
        <v>41.834000000000003</v>
      </c>
      <c r="F324">
        <v>46.003999999999998</v>
      </c>
      <c r="G324">
        <v>7.7839999999999998</v>
      </c>
      <c r="H324">
        <v>-4.17</v>
      </c>
      <c r="I324">
        <f t="shared" si="10"/>
        <v>1.2909999999999968</v>
      </c>
      <c r="L324" s="103">
        <v>44962</v>
      </c>
      <c r="M324">
        <v>39.415999999999997</v>
      </c>
      <c r="N324">
        <v>34.569000000000003</v>
      </c>
      <c r="O324">
        <v>38.734000000000002</v>
      </c>
      <c r="P324">
        <v>42.768000000000001</v>
      </c>
      <c r="Q324">
        <v>4.8470000000000004</v>
      </c>
      <c r="R324">
        <v>-4.0339999999999998</v>
      </c>
      <c r="S324">
        <f t="shared" si="11"/>
        <v>1.335000000000008</v>
      </c>
    </row>
    <row r="325" spans="2:19" x14ac:dyDescent="0.25">
      <c r="B325" s="103" t="s">
        <v>339</v>
      </c>
      <c r="C325">
        <v>43.021999999999998</v>
      </c>
      <c r="D325">
        <v>35.61</v>
      </c>
      <c r="E325">
        <v>42.262999999999998</v>
      </c>
      <c r="F325">
        <v>46.575000000000003</v>
      </c>
      <c r="G325">
        <v>7.4119999999999999</v>
      </c>
      <c r="H325">
        <v>-4.3120000000000003</v>
      </c>
      <c r="I325">
        <f t="shared" si="10"/>
        <v>1.3969999999999985</v>
      </c>
      <c r="L325" s="103">
        <v>44931</v>
      </c>
      <c r="M325">
        <v>40.96</v>
      </c>
      <c r="N325">
        <v>34.029000000000003</v>
      </c>
      <c r="O325">
        <v>39.76</v>
      </c>
      <c r="P325">
        <v>45.536999999999999</v>
      </c>
      <c r="Q325">
        <v>6.931</v>
      </c>
      <c r="R325">
        <v>-5.7770000000000001</v>
      </c>
      <c r="S325">
        <f t="shared" si="11"/>
        <v>1.6884999999999977</v>
      </c>
    </row>
    <row r="326" spans="2:19" x14ac:dyDescent="0.25">
      <c r="B326" s="103" t="s">
        <v>340</v>
      </c>
      <c r="C326">
        <v>43.317999999999998</v>
      </c>
      <c r="D326">
        <v>35.482999999999997</v>
      </c>
      <c r="E326">
        <v>42.564</v>
      </c>
      <c r="F326">
        <v>46.790999999999997</v>
      </c>
      <c r="G326">
        <v>7.835</v>
      </c>
      <c r="H326">
        <v>-4.2270000000000003</v>
      </c>
      <c r="I326">
        <f t="shared" si="10"/>
        <v>1.359499999999997</v>
      </c>
      <c r="L326" s="103" t="s">
        <v>335</v>
      </c>
      <c r="M326">
        <v>39.637999999999998</v>
      </c>
      <c r="N326">
        <v>34.286999999999999</v>
      </c>
      <c r="O326">
        <v>38.17</v>
      </c>
      <c r="P326">
        <v>43.959000000000003</v>
      </c>
      <c r="Q326">
        <v>5.351</v>
      </c>
      <c r="R326">
        <v>-5.7889999999999997</v>
      </c>
      <c r="S326">
        <f t="shared" si="11"/>
        <v>1.4265000000000043</v>
      </c>
    </row>
    <row r="327" spans="2:19" x14ac:dyDescent="0.25">
      <c r="B327" s="103" t="s">
        <v>341</v>
      </c>
      <c r="C327">
        <v>43.719000000000001</v>
      </c>
      <c r="D327">
        <v>35.088999999999999</v>
      </c>
      <c r="E327">
        <v>43.250999999999998</v>
      </c>
      <c r="F327">
        <v>46.878</v>
      </c>
      <c r="G327">
        <v>8.6300000000000008</v>
      </c>
      <c r="H327">
        <v>-3.6269999999999998</v>
      </c>
      <c r="I327">
        <f t="shared" si="10"/>
        <v>1.3454999999999941</v>
      </c>
      <c r="L327" s="103" t="s">
        <v>336</v>
      </c>
      <c r="M327">
        <v>40.706000000000003</v>
      </c>
      <c r="N327">
        <v>34.128999999999998</v>
      </c>
      <c r="O327">
        <v>39.466999999999999</v>
      </c>
      <c r="P327">
        <v>44.747999999999998</v>
      </c>
      <c r="Q327">
        <v>6.577</v>
      </c>
      <c r="R327">
        <v>-5.2809999999999997</v>
      </c>
      <c r="S327">
        <f t="shared" si="11"/>
        <v>1.4014999999999986</v>
      </c>
    </row>
    <row r="328" spans="2:19" x14ac:dyDescent="0.25">
      <c r="B328" s="103" t="s">
        <v>342</v>
      </c>
      <c r="C328">
        <v>43.593000000000004</v>
      </c>
      <c r="D328">
        <v>36.671999999999997</v>
      </c>
      <c r="E328">
        <v>43.207999999999998</v>
      </c>
      <c r="F328">
        <v>46.567</v>
      </c>
      <c r="G328">
        <v>6.9210000000000003</v>
      </c>
      <c r="H328">
        <v>-3.359</v>
      </c>
      <c r="I328">
        <f t="shared" si="10"/>
        <v>1.2944999999999993</v>
      </c>
      <c r="L328" s="103" t="s">
        <v>337</v>
      </c>
      <c r="M328">
        <v>41.014000000000003</v>
      </c>
      <c r="N328">
        <v>34.488999999999997</v>
      </c>
      <c r="O328">
        <v>39.466000000000001</v>
      </c>
      <c r="P328">
        <v>45.429000000000002</v>
      </c>
      <c r="Q328">
        <v>6.5250000000000004</v>
      </c>
      <c r="R328">
        <v>-5.9630000000000001</v>
      </c>
      <c r="S328">
        <f t="shared" si="11"/>
        <v>1.4335000000000022</v>
      </c>
    </row>
    <row r="329" spans="2:19" x14ac:dyDescent="0.25">
      <c r="B329" s="103" t="s">
        <v>343</v>
      </c>
      <c r="C329">
        <v>43.618000000000002</v>
      </c>
      <c r="D329">
        <v>37.101999999999997</v>
      </c>
      <c r="E329">
        <v>43.268000000000001</v>
      </c>
      <c r="F329">
        <v>46.262999999999998</v>
      </c>
      <c r="G329">
        <v>6.516</v>
      </c>
      <c r="H329">
        <v>-2.9950000000000001</v>
      </c>
      <c r="I329">
        <f t="shared" si="10"/>
        <v>1.1475000000000009</v>
      </c>
      <c r="L329" s="103" t="s">
        <v>338</v>
      </c>
      <c r="M329">
        <v>40.76</v>
      </c>
      <c r="N329">
        <v>34.844000000000001</v>
      </c>
      <c r="O329">
        <v>39.451000000000001</v>
      </c>
      <c r="P329">
        <v>44.978000000000002</v>
      </c>
      <c r="Q329">
        <v>5.9160000000000004</v>
      </c>
      <c r="R329">
        <v>-5.5270000000000001</v>
      </c>
      <c r="S329">
        <f t="shared" si="11"/>
        <v>1.454500000000003</v>
      </c>
    </row>
    <row r="330" spans="2:19" x14ac:dyDescent="0.25">
      <c r="B330" s="103" t="s">
        <v>344</v>
      </c>
      <c r="C330">
        <v>43.680999999999997</v>
      </c>
      <c r="D330">
        <v>37.981000000000002</v>
      </c>
      <c r="E330">
        <v>43.267000000000003</v>
      </c>
      <c r="F330">
        <v>46.317999999999998</v>
      </c>
      <c r="G330">
        <v>5.7</v>
      </c>
      <c r="H330">
        <v>-3.0510000000000002</v>
      </c>
      <c r="I330">
        <f t="shared" si="10"/>
        <v>1.1115000000000066</v>
      </c>
      <c r="L330" s="103" t="s">
        <v>339</v>
      </c>
      <c r="M330">
        <v>41.192</v>
      </c>
      <c r="N330">
        <v>35.61</v>
      </c>
      <c r="O330">
        <v>39.773000000000003</v>
      </c>
      <c r="P330">
        <v>45.531999999999996</v>
      </c>
      <c r="Q330">
        <v>5.5819999999999999</v>
      </c>
      <c r="R330">
        <v>-5.7590000000000003</v>
      </c>
      <c r="S330">
        <f t="shared" si="11"/>
        <v>1.4605000000000032</v>
      </c>
    </row>
    <row r="331" spans="2:19" x14ac:dyDescent="0.25">
      <c r="B331" s="103" t="s">
        <v>345</v>
      </c>
      <c r="C331">
        <v>43.210999999999999</v>
      </c>
      <c r="D331">
        <v>37.920999999999999</v>
      </c>
      <c r="E331">
        <v>42.872</v>
      </c>
      <c r="F331">
        <v>46.063000000000002</v>
      </c>
      <c r="G331">
        <v>5.29</v>
      </c>
      <c r="H331">
        <v>-3.1909999999999998</v>
      </c>
      <c r="I331">
        <f t="shared" si="10"/>
        <v>1.2565000000000026</v>
      </c>
      <c r="L331" s="103" t="s">
        <v>340</v>
      </c>
      <c r="M331">
        <v>40.933</v>
      </c>
      <c r="N331">
        <v>35.482999999999997</v>
      </c>
      <c r="O331">
        <v>39.835999999999999</v>
      </c>
      <c r="P331">
        <v>44.459000000000003</v>
      </c>
      <c r="Q331">
        <v>5.45</v>
      </c>
      <c r="R331">
        <v>-4.6230000000000002</v>
      </c>
      <c r="S331">
        <f t="shared" si="11"/>
        <v>1.214500000000001</v>
      </c>
    </row>
    <row r="332" spans="2:19" x14ac:dyDescent="0.25">
      <c r="B332" s="103" t="s">
        <v>346</v>
      </c>
      <c r="C332">
        <v>43.585000000000001</v>
      </c>
      <c r="D332">
        <v>37.966999999999999</v>
      </c>
      <c r="E332">
        <v>43.377000000000002</v>
      </c>
      <c r="F332">
        <v>46.143999999999998</v>
      </c>
      <c r="G332">
        <v>5.6180000000000003</v>
      </c>
      <c r="H332">
        <v>-2.7669999999999999</v>
      </c>
      <c r="I332">
        <f t="shared" si="10"/>
        <v>1.1754999999999995</v>
      </c>
      <c r="L332" s="103" t="s">
        <v>341</v>
      </c>
      <c r="M332">
        <v>41.103999999999999</v>
      </c>
      <c r="N332">
        <v>35.088999999999999</v>
      </c>
      <c r="O332">
        <v>40.533999999999999</v>
      </c>
      <c r="P332">
        <v>44.526000000000003</v>
      </c>
      <c r="Q332">
        <v>6.0149999999999997</v>
      </c>
      <c r="R332">
        <v>-3.992</v>
      </c>
      <c r="S332">
        <f t="shared" si="11"/>
        <v>1.4260000000000019</v>
      </c>
    </row>
    <row r="333" spans="2:19" x14ac:dyDescent="0.25">
      <c r="B333" s="103">
        <v>45264</v>
      </c>
      <c r="C333">
        <v>43.658999999999999</v>
      </c>
      <c r="D333">
        <v>37.799999999999997</v>
      </c>
      <c r="E333">
        <v>43.826999999999998</v>
      </c>
      <c r="F333">
        <v>46.094999999999999</v>
      </c>
      <c r="G333">
        <v>5.859</v>
      </c>
      <c r="H333">
        <v>-2.2679999999999998</v>
      </c>
      <c r="I333">
        <f t="shared" si="10"/>
        <v>1.3019999999999996</v>
      </c>
      <c r="L333" s="103" t="s">
        <v>342</v>
      </c>
      <c r="M333">
        <v>40.936999999999998</v>
      </c>
      <c r="N333">
        <v>36.671999999999997</v>
      </c>
      <c r="O333">
        <v>40.847999999999999</v>
      </c>
      <c r="P333">
        <v>43.186999999999998</v>
      </c>
      <c r="Q333">
        <v>4.2649999999999997</v>
      </c>
      <c r="R333">
        <v>-2.339</v>
      </c>
      <c r="S333">
        <f t="shared" si="11"/>
        <v>1.0805000000000007</v>
      </c>
    </row>
    <row r="334" spans="2:19" x14ac:dyDescent="0.25">
      <c r="B334" s="103">
        <v>45234</v>
      </c>
      <c r="C334">
        <v>43.692</v>
      </c>
      <c r="D334">
        <v>38.656999999999996</v>
      </c>
      <c r="E334">
        <v>43.868000000000002</v>
      </c>
      <c r="F334">
        <v>45.707999999999998</v>
      </c>
      <c r="G334">
        <v>5.0350000000000001</v>
      </c>
      <c r="H334">
        <v>-1.84</v>
      </c>
      <c r="I334">
        <f t="shared" si="10"/>
        <v>1.0959999999999965</v>
      </c>
      <c r="L334" s="103" t="s">
        <v>343</v>
      </c>
      <c r="M334">
        <v>41.497999999999998</v>
      </c>
      <c r="N334">
        <v>37.101999999999997</v>
      </c>
      <c r="O334">
        <v>41.408000000000001</v>
      </c>
      <c r="P334">
        <v>43.905999999999999</v>
      </c>
      <c r="Q334">
        <v>4.3959999999999999</v>
      </c>
      <c r="R334">
        <v>-2.4980000000000002</v>
      </c>
      <c r="S334">
        <f t="shared" si="11"/>
        <v>1.1589999999999989</v>
      </c>
    </row>
    <row r="335" spans="2:19" x14ac:dyDescent="0.25">
      <c r="B335" s="103">
        <v>45203</v>
      </c>
      <c r="C335" t="s">
        <v>189</v>
      </c>
      <c r="D335">
        <v>38.918999999999997</v>
      </c>
      <c r="E335" t="s">
        <v>189</v>
      </c>
      <c r="F335" t="s">
        <v>189</v>
      </c>
      <c r="G335">
        <v>4.4329999999999998</v>
      </c>
      <c r="H335">
        <v>-2.1389999999999998</v>
      </c>
      <c r="I335" t="str">
        <f t="shared" si="10"/>
        <v/>
      </c>
      <c r="L335" s="103" t="s">
        <v>344</v>
      </c>
      <c r="M335">
        <v>42.012</v>
      </c>
      <c r="N335">
        <v>37.981000000000002</v>
      </c>
      <c r="O335">
        <v>41.540999999999997</v>
      </c>
      <c r="P335">
        <v>44.654000000000003</v>
      </c>
      <c r="Q335">
        <v>4.0309999999999997</v>
      </c>
      <c r="R335">
        <v>-3.113</v>
      </c>
      <c r="S335">
        <f t="shared" si="11"/>
        <v>1.0854999999999961</v>
      </c>
    </row>
    <row r="336" spans="2:19" x14ac:dyDescent="0.25">
      <c r="B336" s="103">
        <v>45111</v>
      </c>
      <c r="C336" t="s">
        <v>189</v>
      </c>
      <c r="D336" t="s">
        <v>189</v>
      </c>
      <c r="E336" t="s">
        <v>189</v>
      </c>
      <c r="F336" t="s">
        <v>189</v>
      </c>
      <c r="G336" t="s">
        <v>189</v>
      </c>
      <c r="H336">
        <v>-2.1389999999999998</v>
      </c>
      <c r="I336" t="str">
        <f t="shared" si="10"/>
        <v/>
      </c>
      <c r="L336" s="103" t="s">
        <v>345</v>
      </c>
      <c r="M336">
        <v>41.508000000000003</v>
      </c>
      <c r="N336">
        <v>37.920999999999999</v>
      </c>
      <c r="O336">
        <v>41.098999999999997</v>
      </c>
      <c r="P336">
        <v>44.366999999999997</v>
      </c>
      <c r="Q336">
        <v>3.5870000000000002</v>
      </c>
      <c r="R336">
        <v>-3.2679999999999998</v>
      </c>
      <c r="S336">
        <f t="shared" si="11"/>
        <v>1.2249999999999943</v>
      </c>
    </row>
    <row r="337" spans="2:19" x14ac:dyDescent="0.25">
      <c r="B337" s="103">
        <v>45081</v>
      </c>
      <c r="C337">
        <v>43.351999999999997</v>
      </c>
      <c r="D337">
        <v>39.518999999999998</v>
      </c>
      <c r="E337">
        <v>43.415999999999997</v>
      </c>
      <c r="F337">
        <v>45.555</v>
      </c>
      <c r="G337">
        <v>3.8330000000000002</v>
      </c>
      <c r="H337">
        <v>-2.1389999999999998</v>
      </c>
      <c r="I337">
        <f t="shared" si="10"/>
        <v>1.1335000000000051</v>
      </c>
      <c r="L337" s="103" t="s">
        <v>346</v>
      </c>
      <c r="M337">
        <v>41.822000000000003</v>
      </c>
      <c r="N337">
        <v>37.966999999999999</v>
      </c>
      <c r="O337">
        <v>41.576000000000001</v>
      </c>
      <c r="P337">
        <v>44.375</v>
      </c>
      <c r="Q337">
        <v>3.855</v>
      </c>
      <c r="R337">
        <v>-2.7989999999999999</v>
      </c>
      <c r="S337">
        <f t="shared" si="11"/>
        <v>1.153499999999994</v>
      </c>
    </row>
    <row r="338" spans="2:19" x14ac:dyDescent="0.25">
      <c r="B338" s="103">
        <v>45050</v>
      </c>
      <c r="C338">
        <v>43.258000000000003</v>
      </c>
      <c r="D338">
        <v>39.549999999999997</v>
      </c>
      <c r="E338">
        <v>43.427999999999997</v>
      </c>
      <c r="F338">
        <v>45.381</v>
      </c>
      <c r="G338">
        <v>3.7080000000000002</v>
      </c>
      <c r="H338">
        <v>-1.9530000000000001</v>
      </c>
      <c r="I338">
        <f t="shared" si="10"/>
        <v>1.1464999999999961</v>
      </c>
      <c r="L338" s="103">
        <v>45264</v>
      </c>
      <c r="M338">
        <v>42.11</v>
      </c>
      <c r="N338">
        <v>37.799999999999997</v>
      </c>
      <c r="O338">
        <v>41.908000000000001</v>
      </c>
      <c r="P338">
        <v>44.588999999999999</v>
      </c>
      <c r="Q338">
        <v>4.3099999999999996</v>
      </c>
      <c r="R338">
        <v>-2.681</v>
      </c>
      <c r="S338">
        <f t="shared" si="11"/>
        <v>1.1385000000000005</v>
      </c>
    </row>
    <row r="339" spans="2:19" x14ac:dyDescent="0.25">
      <c r="B339" s="103">
        <v>45020</v>
      </c>
      <c r="C339">
        <v>43.639000000000003</v>
      </c>
      <c r="D339">
        <v>39.521999999999998</v>
      </c>
      <c r="E339">
        <v>43.713000000000001</v>
      </c>
      <c r="F339">
        <v>46.103000000000002</v>
      </c>
      <c r="G339">
        <v>4.117</v>
      </c>
      <c r="H339">
        <v>-2.39</v>
      </c>
      <c r="I339">
        <f t="shared" si="10"/>
        <v>1.2689999999999984</v>
      </c>
      <c r="L339" s="103">
        <v>45234</v>
      </c>
      <c r="M339">
        <v>41.357999999999997</v>
      </c>
      <c r="N339">
        <v>38.656999999999996</v>
      </c>
      <c r="O339">
        <v>41.500999999999998</v>
      </c>
      <c r="P339">
        <v>42.829000000000001</v>
      </c>
      <c r="Q339">
        <v>2.7010000000000001</v>
      </c>
      <c r="R339">
        <v>-1.3280000000000001</v>
      </c>
      <c r="S339">
        <f t="shared" si="11"/>
        <v>0.80700000000000216</v>
      </c>
    </row>
    <row r="340" spans="2:19" x14ac:dyDescent="0.25">
      <c r="B340" s="103">
        <v>44989</v>
      </c>
      <c r="C340">
        <v>43.636000000000003</v>
      </c>
      <c r="D340">
        <v>39.731000000000002</v>
      </c>
      <c r="E340">
        <v>43.564</v>
      </c>
      <c r="F340">
        <v>45.904000000000003</v>
      </c>
      <c r="G340">
        <v>3.9049999999999998</v>
      </c>
      <c r="H340">
        <v>-2.34</v>
      </c>
      <c r="I340">
        <f t="shared" si="10"/>
        <v>1.097999999999999</v>
      </c>
      <c r="L340" s="103">
        <v>45203</v>
      </c>
      <c r="M340" t="s">
        <v>189</v>
      </c>
      <c r="N340">
        <v>38.918999999999997</v>
      </c>
      <c r="O340" t="s">
        <v>189</v>
      </c>
      <c r="P340" t="s">
        <v>189</v>
      </c>
      <c r="Q340">
        <v>2.1890000000000001</v>
      </c>
      <c r="R340">
        <v>-1.6759999999999999</v>
      </c>
      <c r="S340" t="str">
        <f t="shared" si="11"/>
        <v/>
      </c>
    </row>
    <row r="341" spans="2:19" x14ac:dyDescent="0.25">
      <c r="B341" s="103" t="s">
        <v>347</v>
      </c>
      <c r="C341">
        <v>44.084000000000003</v>
      </c>
      <c r="D341">
        <v>39.006999999999998</v>
      </c>
      <c r="E341">
        <v>43.548000000000002</v>
      </c>
      <c r="F341">
        <v>46.83</v>
      </c>
      <c r="G341">
        <v>5.077</v>
      </c>
      <c r="H341">
        <v>-3.282</v>
      </c>
      <c r="I341">
        <f t="shared" si="10"/>
        <v>1.1049999999999969</v>
      </c>
      <c r="L341" s="103">
        <v>45111</v>
      </c>
      <c r="M341" t="s">
        <v>189</v>
      </c>
      <c r="N341" t="s">
        <v>189</v>
      </c>
      <c r="O341" t="s">
        <v>189</v>
      </c>
      <c r="P341" t="s">
        <v>189</v>
      </c>
      <c r="Q341" t="s">
        <v>189</v>
      </c>
      <c r="R341">
        <v>-1.6759999999999999</v>
      </c>
      <c r="S341" t="str">
        <f t="shared" si="11"/>
        <v/>
      </c>
    </row>
    <row r="342" spans="2:19" x14ac:dyDescent="0.25">
      <c r="B342" s="103" t="s">
        <v>348</v>
      </c>
      <c r="C342">
        <v>43.807000000000002</v>
      </c>
      <c r="D342">
        <v>40.311</v>
      </c>
      <c r="E342">
        <v>43.497999999999998</v>
      </c>
      <c r="F342">
        <v>46.822000000000003</v>
      </c>
      <c r="G342">
        <v>3.496</v>
      </c>
      <c r="H342">
        <v>-3.3239999999999998</v>
      </c>
      <c r="I342">
        <f t="shared" si="10"/>
        <v>1.3529999999999944</v>
      </c>
      <c r="L342" s="103">
        <v>45081</v>
      </c>
      <c r="M342">
        <v>41.107999999999997</v>
      </c>
      <c r="N342">
        <v>39.518999999999998</v>
      </c>
      <c r="O342">
        <v>41.177999999999997</v>
      </c>
      <c r="P342">
        <v>42.853999999999999</v>
      </c>
      <c r="Q342">
        <v>1.589</v>
      </c>
      <c r="R342">
        <v>-1.6759999999999999</v>
      </c>
      <c r="S342">
        <f t="shared" si="11"/>
        <v>0.90800000000000125</v>
      </c>
    </row>
    <row r="343" spans="2:19" x14ac:dyDescent="0.25">
      <c r="B343" s="103" t="s">
        <v>349</v>
      </c>
      <c r="C343">
        <v>44.231000000000002</v>
      </c>
      <c r="D343">
        <v>40.542000000000002</v>
      </c>
      <c r="E343">
        <v>43.500999999999998</v>
      </c>
      <c r="F343">
        <v>47.395000000000003</v>
      </c>
      <c r="G343">
        <v>3.6890000000000001</v>
      </c>
      <c r="H343">
        <v>-3.8940000000000001</v>
      </c>
      <c r="I343">
        <f t="shared" si="10"/>
        <v>1.2169999999999987</v>
      </c>
      <c r="L343" s="103">
        <v>45050</v>
      </c>
      <c r="M343">
        <v>41.152999999999999</v>
      </c>
      <c r="N343">
        <v>39.549999999999997</v>
      </c>
      <c r="O343">
        <v>41.22</v>
      </c>
      <c r="P343">
        <v>42.921999999999997</v>
      </c>
      <c r="Q343">
        <v>1.603</v>
      </c>
      <c r="R343">
        <v>-1.702</v>
      </c>
      <c r="S343">
        <f t="shared" si="11"/>
        <v>0.91799999999999926</v>
      </c>
    </row>
    <row r="344" spans="2:19" x14ac:dyDescent="0.25">
      <c r="B344" s="103" t="s">
        <v>350</v>
      </c>
      <c r="C344">
        <v>44.33</v>
      </c>
      <c r="D344">
        <v>40.57</v>
      </c>
      <c r="E344">
        <v>43.591999999999999</v>
      </c>
      <c r="F344">
        <v>47.552</v>
      </c>
      <c r="G344">
        <v>3.76</v>
      </c>
      <c r="H344">
        <v>-3.96</v>
      </c>
      <c r="I344">
        <f t="shared" si="10"/>
        <v>1.2420000000000044</v>
      </c>
      <c r="L344" s="103">
        <v>45020</v>
      </c>
      <c r="M344">
        <v>41.273000000000003</v>
      </c>
      <c r="N344">
        <v>39.521999999999998</v>
      </c>
      <c r="O344">
        <v>41.051000000000002</v>
      </c>
      <c r="P344">
        <v>43.508000000000003</v>
      </c>
      <c r="Q344">
        <v>1.7509999999999999</v>
      </c>
      <c r="R344">
        <v>-2.4569999999999999</v>
      </c>
      <c r="S344">
        <f t="shared" si="11"/>
        <v>1.0064999999999955</v>
      </c>
    </row>
    <row r="345" spans="2:19" x14ac:dyDescent="0.25">
      <c r="B345" s="103" t="s">
        <v>351</v>
      </c>
      <c r="C345">
        <v>44.96</v>
      </c>
      <c r="D345">
        <v>43.232999999999997</v>
      </c>
      <c r="E345">
        <v>44.204000000000001</v>
      </c>
      <c r="F345">
        <v>48.375999999999998</v>
      </c>
      <c r="G345">
        <v>1.7270000000000001</v>
      </c>
      <c r="H345">
        <v>-4.1719999999999997</v>
      </c>
      <c r="I345">
        <f t="shared" si="10"/>
        <v>1.3299999999999983</v>
      </c>
      <c r="L345" s="103">
        <v>44989</v>
      </c>
      <c r="M345">
        <v>41.832000000000001</v>
      </c>
      <c r="N345">
        <v>39.731000000000002</v>
      </c>
      <c r="O345">
        <v>41.908000000000001</v>
      </c>
      <c r="P345">
        <v>43.808</v>
      </c>
      <c r="Q345">
        <v>2.101</v>
      </c>
      <c r="R345">
        <v>-1.9</v>
      </c>
      <c r="S345">
        <f t="shared" si="11"/>
        <v>1.0260000000000034</v>
      </c>
    </row>
    <row r="346" spans="2:19" x14ac:dyDescent="0.25">
      <c r="B346" s="103" t="s">
        <v>352</v>
      </c>
      <c r="C346">
        <v>44.779000000000003</v>
      </c>
      <c r="D346">
        <v>43.768999999999998</v>
      </c>
      <c r="E346">
        <v>44.152999999999999</v>
      </c>
      <c r="F346">
        <v>48.194000000000003</v>
      </c>
      <c r="G346">
        <v>1.01</v>
      </c>
      <c r="H346">
        <v>-4.0410000000000004</v>
      </c>
      <c r="I346">
        <f t="shared" si="10"/>
        <v>1.3945000000000007</v>
      </c>
      <c r="L346" s="103" t="s">
        <v>347</v>
      </c>
      <c r="M346">
        <v>42.418999999999997</v>
      </c>
      <c r="N346">
        <v>39.006999999999998</v>
      </c>
      <c r="O346">
        <v>42.136000000000003</v>
      </c>
      <c r="P346">
        <v>45.478000000000002</v>
      </c>
      <c r="Q346">
        <v>3.4119999999999999</v>
      </c>
      <c r="R346">
        <v>-3.3420000000000001</v>
      </c>
      <c r="S346">
        <f t="shared" si="11"/>
        <v>1.3880000000000052</v>
      </c>
    </row>
    <row r="347" spans="2:19" x14ac:dyDescent="0.25">
      <c r="B347" s="103" t="s">
        <v>353</v>
      </c>
      <c r="C347">
        <v>44.563000000000002</v>
      </c>
      <c r="D347">
        <v>42.514000000000003</v>
      </c>
      <c r="E347">
        <v>44.125</v>
      </c>
      <c r="F347">
        <v>47.348999999999997</v>
      </c>
      <c r="G347">
        <v>2.0489999999999999</v>
      </c>
      <c r="H347">
        <v>-3.2240000000000002</v>
      </c>
      <c r="I347">
        <f t="shared" si="10"/>
        <v>1.1739999999999924</v>
      </c>
      <c r="L347" s="103" t="s">
        <v>348</v>
      </c>
      <c r="M347">
        <v>42.923000000000002</v>
      </c>
      <c r="N347">
        <v>40.311</v>
      </c>
      <c r="O347">
        <v>42.558</v>
      </c>
      <c r="P347">
        <v>46.085999999999999</v>
      </c>
      <c r="Q347">
        <v>2.6120000000000001</v>
      </c>
      <c r="R347">
        <v>-3.528</v>
      </c>
      <c r="S347">
        <f t="shared" si="11"/>
        <v>1.3990000000000009</v>
      </c>
    </row>
    <row r="348" spans="2:19" x14ac:dyDescent="0.25">
      <c r="B348" s="103" t="s">
        <v>354</v>
      </c>
      <c r="C348">
        <v>44.719000000000001</v>
      </c>
      <c r="D348">
        <v>42.04</v>
      </c>
      <c r="E348">
        <v>44.103999999999999</v>
      </c>
      <c r="F348">
        <v>48</v>
      </c>
      <c r="G348">
        <v>2.6789999999999998</v>
      </c>
      <c r="H348">
        <v>-3.8959999999999999</v>
      </c>
      <c r="I348">
        <f t="shared" si="10"/>
        <v>1.3329999999999984</v>
      </c>
      <c r="L348" s="103" t="s">
        <v>349</v>
      </c>
      <c r="M348">
        <v>43.756</v>
      </c>
      <c r="N348">
        <v>40.542000000000002</v>
      </c>
      <c r="O348">
        <v>43.082999999999998</v>
      </c>
      <c r="P348">
        <v>47.137</v>
      </c>
      <c r="Q348">
        <v>3.214</v>
      </c>
      <c r="R348">
        <v>-4.0540000000000003</v>
      </c>
      <c r="S348">
        <f t="shared" si="11"/>
        <v>1.3539999999999992</v>
      </c>
    </row>
    <row r="349" spans="2:19" x14ac:dyDescent="0.25">
      <c r="B349" s="103" t="s">
        <v>355</v>
      </c>
      <c r="C349">
        <v>45.232999999999997</v>
      </c>
      <c r="D349">
        <v>42.256</v>
      </c>
      <c r="E349">
        <v>44.575000000000003</v>
      </c>
      <c r="F349">
        <v>48.581000000000003</v>
      </c>
      <c r="G349">
        <v>2.9769999999999999</v>
      </c>
      <c r="H349">
        <v>-4.0060000000000002</v>
      </c>
      <c r="I349">
        <f t="shared" si="10"/>
        <v>1.345000000000006</v>
      </c>
      <c r="L349" s="103" t="s">
        <v>350</v>
      </c>
      <c r="M349">
        <v>44.381</v>
      </c>
      <c r="N349">
        <v>40.57</v>
      </c>
      <c r="O349">
        <v>43.64</v>
      </c>
      <c r="P349">
        <v>48.161000000000001</v>
      </c>
      <c r="Q349">
        <v>3.8109999999999999</v>
      </c>
      <c r="R349">
        <v>-4.5209999999999999</v>
      </c>
      <c r="S349">
        <f t="shared" si="11"/>
        <v>1.5195000000000007</v>
      </c>
    </row>
    <row r="350" spans="2:19" x14ac:dyDescent="0.25">
      <c r="B350" s="103" t="s">
        <v>356</v>
      </c>
      <c r="C350">
        <v>45.448</v>
      </c>
      <c r="D350">
        <v>42.381999999999998</v>
      </c>
      <c r="E350">
        <v>44.566000000000003</v>
      </c>
      <c r="F350">
        <v>49.16</v>
      </c>
      <c r="G350">
        <v>3.0659999999999998</v>
      </c>
      <c r="H350">
        <v>-4.5940000000000003</v>
      </c>
      <c r="I350">
        <f t="shared" si="10"/>
        <v>1.4149999999999991</v>
      </c>
      <c r="L350" s="103" t="s">
        <v>351</v>
      </c>
      <c r="M350">
        <v>45.066000000000003</v>
      </c>
      <c r="N350">
        <v>43.232999999999997</v>
      </c>
      <c r="O350">
        <v>44.118000000000002</v>
      </c>
      <c r="P350">
        <v>49.374000000000002</v>
      </c>
      <c r="Q350">
        <v>1.833</v>
      </c>
      <c r="R350">
        <v>-5.2560000000000002</v>
      </c>
      <c r="S350">
        <f t="shared" si="11"/>
        <v>1.6799999999999997</v>
      </c>
    </row>
    <row r="351" spans="2:19" x14ac:dyDescent="0.25">
      <c r="B351" s="103" t="s">
        <v>357</v>
      </c>
      <c r="C351">
        <v>45.869</v>
      </c>
      <c r="D351">
        <v>42.433999999999997</v>
      </c>
      <c r="E351">
        <v>45.171999999999997</v>
      </c>
      <c r="F351">
        <v>49.575000000000003</v>
      </c>
      <c r="G351">
        <v>3.4350000000000001</v>
      </c>
      <c r="H351">
        <v>-4.4029999999999996</v>
      </c>
      <c r="I351">
        <f t="shared" si="10"/>
        <v>1.5045000000000002</v>
      </c>
      <c r="L351" s="103" t="s">
        <v>352</v>
      </c>
      <c r="M351">
        <v>44.774000000000001</v>
      </c>
      <c r="N351">
        <v>43.768999999999998</v>
      </c>
      <c r="O351">
        <v>43.845999999999997</v>
      </c>
      <c r="P351">
        <v>48.832999999999998</v>
      </c>
      <c r="Q351">
        <v>1.0049999999999999</v>
      </c>
      <c r="R351">
        <v>-4.9870000000000001</v>
      </c>
      <c r="S351">
        <f t="shared" si="11"/>
        <v>1.5655000000000001</v>
      </c>
    </row>
    <row r="352" spans="2:19" x14ac:dyDescent="0.25">
      <c r="B352" s="103" t="s">
        <v>358</v>
      </c>
      <c r="C352">
        <v>46.009</v>
      </c>
      <c r="D352">
        <v>42.430999999999997</v>
      </c>
      <c r="E352">
        <v>45.381</v>
      </c>
      <c r="F352">
        <v>49.454000000000001</v>
      </c>
      <c r="G352">
        <v>3.5779999999999998</v>
      </c>
      <c r="H352">
        <v>-4.0730000000000004</v>
      </c>
      <c r="I352">
        <f t="shared" si="10"/>
        <v>1.4085000000000036</v>
      </c>
      <c r="L352" s="103" t="s">
        <v>353</v>
      </c>
      <c r="M352">
        <v>44.31</v>
      </c>
      <c r="N352">
        <v>42.514000000000003</v>
      </c>
      <c r="O352">
        <v>43.98</v>
      </c>
      <c r="P352">
        <v>47.204999999999998</v>
      </c>
      <c r="Q352">
        <v>1.796</v>
      </c>
      <c r="R352">
        <v>-3.2250000000000001</v>
      </c>
      <c r="S352">
        <f t="shared" si="11"/>
        <v>1.2824999999999989</v>
      </c>
    </row>
    <row r="353" spans="2:19" x14ac:dyDescent="0.25">
      <c r="B353" s="103" t="s">
        <v>359</v>
      </c>
      <c r="C353">
        <v>46.22</v>
      </c>
      <c r="D353">
        <v>42.252000000000002</v>
      </c>
      <c r="E353">
        <v>45.929000000000002</v>
      </c>
      <c r="F353">
        <v>49.360999999999997</v>
      </c>
      <c r="G353">
        <v>3.968</v>
      </c>
      <c r="H353">
        <v>-3.4319999999999999</v>
      </c>
      <c r="I353">
        <f t="shared" si="10"/>
        <v>1.4249999999999972</v>
      </c>
      <c r="L353" s="103" t="s">
        <v>354</v>
      </c>
      <c r="M353">
        <v>44.680999999999997</v>
      </c>
      <c r="N353">
        <v>42.04</v>
      </c>
      <c r="O353">
        <v>43.933999999999997</v>
      </c>
      <c r="P353">
        <v>48.378</v>
      </c>
      <c r="Q353">
        <v>2.641</v>
      </c>
      <c r="R353">
        <v>-4.444</v>
      </c>
      <c r="S353">
        <f t="shared" si="11"/>
        <v>1.4750000000000014</v>
      </c>
    </row>
    <row r="354" spans="2:19" x14ac:dyDescent="0.25">
      <c r="B354" s="103" t="s">
        <v>360</v>
      </c>
      <c r="C354">
        <v>45.341000000000001</v>
      </c>
      <c r="D354">
        <v>41.828000000000003</v>
      </c>
      <c r="E354">
        <v>45.005000000000003</v>
      </c>
      <c r="F354">
        <v>48.42</v>
      </c>
      <c r="G354">
        <v>3.5129999999999999</v>
      </c>
      <c r="H354">
        <v>-3.415</v>
      </c>
      <c r="I354">
        <f t="shared" si="10"/>
        <v>1.3715000000000046</v>
      </c>
      <c r="L354" s="103" t="s">
        <v>355</v>
      </c>
      <c r="M354">
        <v>45.914999999999999</v>
      </c>
      <c r="N354">
        <v>42.256</v>
      </c>
      <c r="O354">
        <v>44.750999999999998</v>
      </c>
      <c r="P354">
        <v>50.512999999999998</v>
      </c>
      <c r="Q354">
        <v>3.6589999999999998</v>
      </c>
      <c r="R354">
        <v>-5.7619999999999996</v>
      </c>
      <c r="S354">
        <f t="shared" si="11"/>
        <v>1.7169999999999987</v>
      </c>
    </row>
    <row r="355" spans="2:19" x14ac:dyDescent="0.25">
      <c r="B355" s="103" t="s">
        <v>361</v>
      </c>
      <c r="C355">
        <v>45.101999999999997</v>
      </c>
      <c r="D355">
        <v>41.115000000000002</v>
      </c>
      <c r="E355">
        <v>44.832999999999998</v>
      </c>
      <c r="F355">
        <v>47.5</v>
      </c>
      <c r="G355">
        <v>3.9870000000000001</v>
      </c>
      <c r="H355">
        <v>-2.6669999999999998</v>
      </c>
      <c r="I355">
        <f t="shared" si="10"/>
        <v>1.0645000000000024</v>
      </c>
      <c r="L355" s="103" t="s">
        <v>356</v>
      </c>
      <c r="M355">
        <v>68.516000000000005</v>
      </c>
      <c r="N355">
        <v>42.381999999999998</v>
      </c>
      <c r="O355">
        <v>65.820999999999998</v>
      </c>
      <c r="P355">
        <v>77.271000000000001</v>
      </c>
      <c r="Q355">
        <v>26.134</v>
      </c>
      <c r="R355">
        <v>-11.45</v>
      </c>
      <c r="S355">
        <f t="shared" si="11"/>
        <v>3.0299999999999869</v>
      </c>
    </row>
    <row r="356" spans="2:19" x14ac:dyDescent="0.25">
      <c r="B356" s="103">
        <v>45202</v>
      </c>
      <c r="C356">
        <v>45.012999999999998</v>
      </c>
      <c r="D356">
        <v>40.654000000000003</v>
      </c>
      <c r="E356">
        <v>44.814</v>
      </c>
      <c r="F356">
        <v>47.012999999999998</v>
      </c>
      <c r="G356">
        <v>4.359</v>
      </c>
      <c r="H356">
        <v>-2.1989999999999998</v>
      </c>
      <c r="I356">
        <f t="shared" si="10"/>
        <v>0.90050000000000097</v>
      </c>
      <c r="L356" s="103" t="s">
        <v>357</v>
      </c>
      <c r="M356">
        <v>54.5</v>
      </c>
      <c r="N356">
        <v>42.433999999999997</v>
      </c>
      <c r="O356">
        <v>52.646000000000001</v>
      </c>
      <c r="P356">
        <v>60.728999999999999</v>
      </c>
      <c r="Q356">
        <v>12.066000000000001</v>
      </c>
      <c r="R356">
        <v>-8.0830000000000002</v>
      </c>
      <c r="S356">
        <f t="shared" si="11"/>
        <v>2.1875</v>
      </c>
    </row>
    <row r="357" spans="2:19" x14ac:dyDescent="0.25">
      <c r="B357" s="103">
        <v>45172</v>
      </c>
      <c r="C357">
        <v>45.094999999999999</v>
      </c>
      <c r="D357">
        <v>40.829000000000001</v>
      </c>
      <c r="E357">
        <v>44.701999999999998</v>
      </c>
      <c r="F357">
        <v>47.301000000000002</v>
      </c>
      <c r="G357">
        <v>4.266</v>
      </c>
      <c r="H357">
        <v>-2.5990000000000002</v>
      </c>
      <c r="I357">
        <f t="shared" si="10"/>
        <v>0.90650000000000119</v>
      </c>
      <c r="L357" s="103" t="s">
        <v>358</v>
      </c>
      <c r="M357">
        <v>58.222000000000001</v>
      </c>
      <c r="N357">
        <v>42.430999999999997</v>
      </c>
      <c r="O357">
        <v>55.683</v>
      </c>
      <c r="P357">
        <v>65.162999999999997</v>
      </c>
      <c r="Q357">
        <v>15.791</v>
      </c>
      <c r="R357">
        <v>-9.48</v>
      </c>
      <c r="S357">
        <f t="shared" si="11"/>
        <v>2.2010000000000005</v>
      </c>
    </row>
    <row r="358" spans="2:19" x14ac:dyDescent="0.25">
      <c r="B358" s="103">
        <v>45141</v>
      </c>
      <c r="C358">
        <v>44.914000000000001</v>
      </c>
      <c r="D358">
        <v>40.912999999999997</v>
      </c>
      <c r="E358">
        <v>44.329000000000001</v>
      </c>
      <c r="F358">
        <v>47.537999999999997</v>
      </c>
      <c r="G358">
        <v>4.0010000000000003</v>
      </c>
      <c r="H358">
        <v>-3.2090000000000001</v>
      </c>
      <c r="I358">
        <f t="shared" si="10"/>
        <v>1.0194999999999936</v>
      </c>
      <c r="L358" s="103" t="s">
        <v>359</v>
      </c>
      <c r="M358">
        <v>53.081000000000003</v>
      </c>
      <c r="N358">
        <v>42.252000000000002</v>
      </c>
      <c r="O358">
        <v>51.210999999999999</v>
      </c>
      <c r="P358">
        <v>59.231000000000002</v>
      </c>
      <c r="Q358">
        <v>10.829000000000001</v>
      </c>
      <c r="R358">
        <v>-8.02</v>
      </c>
      <c r="S358">
        <f t="shared" si="11"/>
        <v>2.1400000000000006</v>
      </c>
    </row>
    <row r="359" spans="2:19" x14ac:dyDescent="0.25">
      <c r="B359" s="103">
        <v>45110</v>
      </c>
      <c r="C359">
        <v>44.780999999999999</v>
      </c>
      <c r="D359">
        <v>40.975000000000001</v>
      </c>
      <c r="E359">
        <v>44.36</v>
      </c>
      <c r="F359">
        <v>47.795999999999999</v>
      </c>
      <c r="G359">
        <v>3.806</v>
      </c>
      <c r="H359">
        <v>-3.4359999999999999</v>
      </c>
      <c r="I359">
        <f t="shared" si="10"/>
        <v>1.2970000000000041</v>
      </c>
      <c r="L359" s="103" t="s">
        <v>360</v>
      </c>
      <c r="M359">
        <v>49.551000000000002</v>
      </c>
      <c r="N359">
        <v>41.828000000000003</v>
      </c>
      <c r="O359">
        <v>46.387</v>
      </c>
      <c r="P359">
        <v>57.295999999999999</v>
      </c>
      <c r="Q359">
        <v>7.7229999999999999</v>
      </c>
      <c r="R359">
        <v>-10.909000000000001</v>
      </c>
      <c r="S359">
        <f t="shared" si="11"/>
        <v>2.2904999999999944</v>
      </c>
    </row>
    <row r="360" spans="2:19" x14ac:dyDescent="0.25">
      <c r="B360" s="103">
        <v>45080</v>
      </c>
      <c r="C360">
        <v>45.841000000000001</v>
      </c>
      <c r="D360">
        <v>40.68</v>
      </c>
      <c r="E360">
        <v>45.094999999999999</v>
      </c>
      <c r="F360">
        <v>48.978999999999999</v>
      </c>
      <c r="G360">
        <v>5.1609999999999996</v>
      </c>
      <c r="H360">
        <v>-3.8839999999999999</v>
      </c>
      <c r="I360">
        <f t="shared" si="10"/>
        <v>1.195999999999998</v>
      </c>
      <c r="L360" s="103" t="s">
        <v>361</v>
      </c>
      <c r="M360">
        <v>42.767000000000003</v>
      </c>
      <c r="N360">
        <v>41.115000000000002</v>
      </c>
      <c r="O360">
        <v>42.076999999999998</v>
      </c>
      <c r="P360">
        <v>47.008000000000003</v>
      </c>
      <c r="Q360">
        <v>1.6519999999999999</v>
      </c>
      <c r="R360">
        <v>-4.931</v>
      </c>
      <c r="S360">
        <f t="shared" si="11"/>
        <v>1.775500000000001</v>
      </c>
    </row>
    <row r="361" spans="2:19" x14ac:dyDescent="0.25">
      <c r="B361" s="103">
        <v>44988</v>
      </c>
      <c r="C361">
        <v>45.826999999999998</v>
      </c>
      <c r="D361">
        <v>40.99</v>
      </c>
      <c r="E361">
        <v>45.575000000000003</v>
      </c>
      <c r="F361">
        <v>49.064</v>
      </c>
      <c r="G361">
        <v>4.8369999999999997</v>
      </c>
      <c r="H361">
        <v>-3.4889999999999999</v>
      </c>
      <c r="I361">
        <f t="shared" si="10"/>
        <v>1.4925000000000068</v>
      </c>
      <c r="L361" s="103">
        <v>45202</v>
      </c>
      <c r="M361">
        <v>40.927999999999997</v>
      </c>
      <c r="N361">
        <v>40.654000000000003</v>
      </c>
      <c r="O361">
        <v>42.46</v>
      </c>
      <c r="P361">
        <v>41.798000000000002</v>
      </c>
      <c r="Q361">
        <v>0.27400000000000002</v>
      </c>
      <c r="R361">
        <v>0.66200000000000003</v>
      </c>
      <c r="S361">
        <f t="shared" si="11"/>
        <v>1.2010000000000076</v>
      </c>
    </row>
    <row r="362" spans="2:19" x14ac:dyDescent="0.25">
      <c r="B362" s="103">
        <v>44960</v>
      </c>
      <c r="C362">
        <v>45.811999999999998</v>
      </c>
      <c r="D362">
        <v>40.942999999999998</v>
      </c>
      <c r="E362">
        <v>45.453000000000003</v>
      </c>
      <c r="F362">
        <v>49.055999999999997</v>
      </c>
      <c r="G362">
        <v>4.8689999999999998</v>
      </c>
      <c r="H362">
        <v>-3.6030000000000002</v>
      </c>
      <c r="I362">
        <f t="shared" si="10"/>
        <v>1.4425000000000026</v>
      </c>
      <c r="L362" s="103">
        <v>45172</v>
      </c>
      <c r="M362">
        <v>43.31</v>
      </c>
      <c r="N362">
        <v>40.829000000000001</v>
      </c>
      <c r="O362">
        <v>43.628</v>
      </c>
      <c r="P362">
        <v>44.896000000000001</v>
      </c>
      <c r="Q362">
        <v>2.4809999999999999</v>
      </c>
      <c r="R362">
        <v>-1.268</v>
      </c>
      <c r="S362">
        <f t="shared" si="11"/>
        <v>0.95199999999999818</v>
      </c>
    </row>
    <row r="363" spans="2:19" x14ac:dyDescent="0.25">
      <c r="B363" s="103">
        <v>44929</v>
      </c>
      <c r="C363">
        <v>45.301000000000002</v>
      </c>
      <c r="D363">
        <v>40.171999999999997</v>
      </c>
      <c r="E363">
        <v>45.417999999999999</v>
      </c>
      <c r="F363">
        <v>47.567999999999998</v>
      </c>
      <c r="G363">
        <v>5.1289999999999996</v>
      </c>
      <c r="H363">
        <v>-2.15</v>
      </c>
      <c r="I363">
        <f t="shared" si="10"/>
        <v>1.1919999999999931</v>
      </c>
      <c r="L363" s="103">
        <v>45141</v>
      </c>
      <c r="M363">
        <v>42.838000000000001</v>
      </c>
      <c r="N363">
        <v>40.912999999999997</v>
      </c>
      <c r="O363">
        <v>43.006</v>
      </c>
      <c r="P363">
        <v>44.948</v>
      </c>
      <c r="Q363">
        <v>1.925</v>
      </c>
      <c r="R363">
        <v>-1.9419999999999999</v>
      </c>
      <c r="S363">
        <f t="shared" si="11"/>
        <v>1.1390000000000029</v>
      </c>
    </row>
    <row r="364" spans="2:19" x14ac:dyDescent="0.25">
      <c r="B364" s="103" t="s">
        <v>362</v>
      </c>
      <c r="C364">
        <v>45.262999999999998</v>
      </c>
      <c r="D364">
        <v>39.655000000000001</v>
      </c>
      <c r="E364">
        <v>45.451999999999998</v>
      </c>
      <c r="F364">
        <v>47.093000000000004</v>
      </c>
      <c r="G364">
        <v>5.6079999999999997</v>
      </c>
      <c r="H364">
        <v>-1.641</v>
      </c>
      <c r="I364">
        <f t="shared" si="10"/>
        <v>1.0095000000000027</v>
      </c>
      <c r="L364" s="103">
        <v>45110</v>
      </c>
      <c r="M364">
        <v>43.539000000000001</v>
      </c>
      <c r="N364">
        <v>40.975000000000001</v>
      </c>
      <c r="O364">
        <v>43.048999999999999</v>
      </c>
      <c r="P364">
        <v>46.350999999999999</v>
      </c>
      <c r="Q364">
        <v>2.5640000000000001</v>
      </c>
      <c r="R364">
        <v>-3.302</v>
      </c>
      <c r="S364">
        <f t="shared" si="11"/>
        <v>1.1610000000000014</v>
      </c>
    </row>
    <row r="365" spans="2:19" x14ac:dyDescent="0.25">
      <c r="B365" s="103" t="s">
        <v>363</v>
      </c>
      <c r="C365">
        <v>45.170999999999999</v>
      </c>
      <c r="D365">
        <v>39.642000000000003</v>
      </c>
      <c r="E365">
        <v>45.451000000000001</v>
      </c>
      <c r="F365">
        <v>47.116</v>
      </c>
      <c r="G365">
        <v>5.5289999999999999</v>
      </c>
      <c r="H365">
        <v>-1.665</v>
      </c>
      <c r="I365">
        <f t="shared" si="10"/>
        <v>1.1125000000000043</v>
      </c>
      <c r="L365" s="103">
        <v>45080</v>
      </c>
      <c r="M365">
        <v>46.298999999999999</v>
      </c>
      <c r="N365">
        <v>40.68</v>
      </c>
      <c r="O365">
        <v>45.743000000000002</v>
      </c>
      <c r="P365">
        <v>50.491</v>
      </c>
      <c r="Q365">
        <v>5.6189999999999998</v>
      </c>
      <c r="R365">
        <v>-4.7480000000000002</v>
      </c>
      <c r="S365">
        <f t="shared" si="11"/>
        <v>1.8180000000000049</v>
      </c>
    </row>
    <row r="366" spans="2:19" x14ac:dyDescent="0.25">
      <c r="B366" s="103" t="s">
        <v>364</v>
      </c>
      <c r="C366">
        <v>45.124000000000002</v>
      </c>
      <c r="D366">
        <v>39.228999999999999</v>
      </c>
      <c r="E366">
        <v>44.676000000000002</v>
      </c>
      <c r="F366">
        <v>47.357999999999997</v>
      </c>
      <c r="G366">
        <v>5.8949999999999996</v>
      </c>
      <c r="H366">
        <v>-2.6819999999999999</v>
      </c>
      <c r="I366">
        <f t="shared" si="10"/>
        <v>0.89299999999999358</v>
      </c>
      <c r="L366" s="103">
        <v>44988</v>
      </c>
      <c r="M366">
        <v>45.997999999999998</v>
      </c>
      <c r="N366">
        <v>40.99</v>
      </c>
      <c r="O366">
        <v>45.808999999999997</v>
      </c>
      <c r="P366">
        <v>50.124000000000002</v>
      </c>
      <c r="Q366">
        <v>5.008</v>
      </c>
      <c r="R366">
        <v>-4.3150000000000004</v>
      </c>
      <c r="S366">
        <f t="shared" si="11"/>
        <v>1.9684999999999988</v>
      </c>
    </row>
    <row r="367" spans="2:19" x14ac:dyDescent="0.25">
      <c r="B367" s="103" t="s">
        <v>365</v>
      </c>
      <c r="C367">
        <v>45.082000000000001</v>
      </c>
      <c r="D367">
        <v>39.6</v>
      </c>
      <c r="E367">
        <v>44.683</v>
      </c>
      <c r="F367">
        <v>47.362000000000002</v>
      </c>
      <c r="G367">
        <v>5.4820000000000002</v>
      </c>
      <c r="H367">
        <v>-2.6789999999999998</v>
      </c>
      <c r="I367">
        <f t="shared" si="10"/>
        <v>0.94050000000000011</v>
      </c>
      <c r="L367" s="103">
        <v>44960</v>
      </c>
      <c r="M367">
        <v>45.942</v>
      </c>
      <c r="N367">
        <v>40.942999999999998</v>
      </c>
      <c r="O367">
        <v>45.811</v>
      </c>
      <c r="P367">
        <v>49.445999999999998</v>
      </c>
      <c r="Q367">
        <v>4.9989999999999997</v>
      </c>
      <c r="R367">
        <v>-3.6349999999999998</v>
      </c>
      <c r="S367">
        <f t="shared" si="11"/>
        <v>1.6865000000000023</v>
      </c>
    </row>
    <row r="368" spans="2:19" x14ac:dyDescent="0.25">
      <c r="B368" s="103" t="s">
        <v>366</v>
      </c>
      <c r="C368">
        <v>45.625</v>
      </c>
      <c r="D368">
        <v>39.585000000000001</v>
      </c>
      <c r="E368">
        <v>45.194000000000003</v>
      </c>
      <c r="F368">
        <v>48.121000000000002</v>
      </c>
      <c r="G368">
        <v>6.04</v>
      </c>
      <c r="H368">
        <v>-2.927</v>
      </c>
      <c r="I368">
        <f t="shared" si="10"/>
        <v>1.0324999999999989</v>
      </c>
      <c r="L368" s="103">
        <v>44929</v>
      </c>
      <c r="M368">
        <v>44.792000000000002</v>
      </c>
      <c r="N368">
        <v>40.171999999999997</v>
      </c>
      <c r="O368">
        <v>45.206000000000003</v>
      </c>
      <c r="P368">
        <v>46.786000000000001</v>
      </c>
      <c r="Q368">
        <v>4.62</v>
      </c>
      <c r="R368">
        <v>-1.58</v>
      </c>
      <c r="S368">
        <f t="shared" si="11"/>
        <v>1.2040000000000006</v>
      </c>
    </row>
    <row r="369" spans="2:19" x14ac:dyDescent="0.25">
      <c r="B369" s="103" t="s">
        <v>367</v>
      </c>
      <c r="C369">
        <v>45.076999999999998</v>
      </c>
      <c r="D369">
        <v>39.692</v>
      </c>
      <c r="E369">
        <v>44.901000000000003</v>
      </c>
      <c r="F369">
        <v>47.052999999999997</v>
      </c>
      <c r="G369">
        <v>5.3849999999999998</v>
      </c>
      <c r="H369">
        <v>-2.1520000000000001</v>
      </c>
      <c r="I369">
        <f t="shared" si="10"/>
        <v>0.90000000000000568</v>
      </c>
      <c r="L369" s="103" t="s">
        <v>362</v>
      </c>
      <c r="M369">
        <v>44.421999999999997</v>
      </c>
      <c r="N369">
        <v>39.655000000000001</v>
      </c>
      <c r="O369">
        <v>45.292000000000002</v>
      </c>
      <c r="P369">
        <v>45.954999999999998</v>
      </c>
      <c r="Q369">
        <v>4.7670000000000003</v>
      </c>
      <c r="R369">
        <v>-0.66300000000000003</v>
      </c>
      <c r="S369">
        <f t="shared" si="11"/>
        <v>1.2015000000000029</v>
      </c>
    </row>
    <row r="370" spans="2:19" x14ac:dyDescent="0.25">
      <c r="B370" s="103" t="s">
        <v>368</v>
      </c>
      <c r="C370">
        <v>44.563000000000002</v>
      </c>
      <c r="D370">
        <v>39.921999999999997</v>
      </c>
      <c r="E370">
        <v>44.365000000000002</v>
      </c>
      <c r="F370">
        <v>46.62</v>
      </c>
      <c r="G370">
        <v>4.641</v>
      </c>
      <c r="H370">
        <v>-2.2549999999999999</v>
      </c>
      <c r="I370">
        <f t="shared" si="10"/>
        <v>0.92949999999999733</v>
      </c>
      <c r="L370" s="103" t="s">
        <v>363</v>
      </c>
      <c r="M370">
        <v>45.014000000000003</v>
      </c>
      <c r="N370">
        <v>39.642000000000003</v>
      </c>
      <c r="O370">
        <v>45.963000000000001</v>
      </c>
      <c r="P370">
        <v>45.975999999999999</v>
      </c>
      <c r="Q370">
        <v>5.3719999999999999</v>
      </c>
      <c r="R370">
        <v>-1.2999999999999999E-2</v>
      </c>
      <c r="S370">
        <f t="shared" si="11"/>
        <v>0.95549999999999358</v>
      </c>
    </row>
    <row r="371" spans="2:19" x14ac:dyDescent="0.25">
      <c r="B371" s="103" t="s">
        <v>369</v>
      </c>
      <c r="C371">
        <v>44.554000000000002</v>
      </c>
      <c r="D371">
        <v>39.728999999999999</v>
      </c>
      <c r="E371">
        <v>44.353999999999999</v>
      </c>
      <c r="F371">
        <v>46.616999999999997</v>
      </c>
      <c r="G371">
        <v>4.8250000000000002</v>
      </c>
      <c r="H371">
        <v>-2.2629999999999999</v>
      </c>
      <c r="I371">
        <f t="shared" si="10"/>
        <v>0.93149999999999977</v>
      </c>
      <c r="L371" s="103" t="s">
        <v>364</v>
      </c>
      <c r="M371">
        <v>43.902999999999999</v>
      </c>
      <c r="N371">
        <v>39.228999999999999</v>
      </c>
      <c r="O371">
        <v>44.466999999999999</v>
      </c>
      <c r="P371">
        <v>45.58</v>
      </c>
      <c r="Q371">
        <v>4.6740000000000004</v>
      </c>
      <c r="R371">
        <v>-1.113</v>
      </c>
      <c r="S371">
        <f t="shared" si="11"/>
        <v>1.1204999999999998</v>
      </c>
    </row>
    <row r="372" spans="2:19" x14ac:dyDescent="0.25">
      <c r="B372" s="103" t="s">
        <v>370</v>
      </c>
      <c r="C372">
        <v>44.460999999999999</v>
      </c>
      <c r="D372">
        <v>39.593000000000004</v>
      </c>
      <c r="E372">
        <v>44.207000000000001</v>
      </c>
      <c r="F372">
        <v>46.457000000000001</v>
      </c>
      <c r="G372">
        <v>4.8680000000000003</v>
      </c>
      <c r="H372">
        <v>-2.25</v>
      </c>
      <c r="I372">
        <f t="shared" si="10"/>
        <v>0.87100000000000222</v>
      </c>
      <c r="L372" s="103" t="s">
        <v>365</v>
      </c>
      <c r="M372">
        <v>44.414999999999999</v>
      </c>
      <c r="N372">
        <v>39.6</v>
      </c>
      <c r="O372">
        <v>44.801000000000002</v>
      </c>
      <c r="P372">
        <v>45.86</v>
      </c>
      <c r="Q372">
        <v>4.8150000000000004</v>
      </c>
      <c r="R372">
        <v>-1.0589999999999999</v>
      </c>
      <c r="S372">
        <f t="shared" si="11"/>
        <v>0.91550000000000153</v>
      </c>
    </row>
    <row r="373" spans="2:19" x14ac:dyDescent="0.25">
      <c r="B373" s="103" t="s">
        <v>371</v>
      </c>
      <c r="C373">
        <v>44.539000000000001</v>
      </c>
      <c r="D373">
        <v>39.493000000000002</v>
      </c>
      <c r="E373">
        <v>44.149000000000001</v>
      </c>
      <c r="F373">
        <v>46.569000000000003</v>
      </c>
      <c r="G373">
        <v>5.0460000000000003</v>
      </c>
      <c r="H373">
        <v>-2.42</v>
      </c>
      <c r="I373">
        <f t="shared" si="10"/>
        <v>0.82000000000000028</v>
      </c>
      <c r="L373" s="103" t="s">
        <v>366</v>
      </c>
      <c r="M373">
        <v>46.018000000000001</v>
      </c>
      <c r="N373">
        <v>39.585000000000001</v>
      </c>
      <c r="O373">
        <v>46.664000000000001</v>
      </c>
      <c r="P373">
        <v>48.043999999999997</v>
      </c>
      <c r="Q373">
        <v>6.4329999999999998</v>
      </c>
      <c r="R373">
        <v>-1.38</v>
      </c>
      <c r="S373">
        <f t="shared" si="11"/>
        <v>1.3359999999999985</v>
      </c>
    </row>
    <row r="374" spans="2:19" x14ac:dyDescent="0.25">
      <c r="B374" s="103" t="s">
        <v>372</v>
      </c>
      <c r="C374">
        <v>44.637999999999998</v>
      </c>
      <c r="D374">
        <v>39.499000000000002</v>
      </c>
      <c r="E374">
        <v>44.246000000000002</v>
      </c>
      <c r="F374">
        <v>46.68</v>
      </c>
      <c r="G374">
        <v>5.1390000000000002</v>
      </c>
      <c r="H374">
        <v>-2.4340000000000002</v>
      </c>
      <c r="I374">
        <f t="shared" si="10"/>
        <v>0.82500000000000284</v>
      </c>
      <c r="L374" s="103" t="s">
        <v>367</v>
      </c>
      <c r="M374">
        <v>45.93</v>
      </c>
      <c r="N374">
        <v>39.692</v>
      </c>
      <c r="O374">
        <v>46.634</v>
      </c>
      <c r="P374">
        <v>47.170999999999999</v>
      </c>
      <c r="Q374">
        <v>6.2380000000000004</v>
      </c>
      <c r="R374">
        <v>-0.53700000000000003</v>
      </c>
      <c r="S374">
        <f t="shared" si="11"/>
        <v>0.97250000000000369</v>
      </c>
    </row>
    <row r="375" spans="2:19" x14ac:dyDescent="0.25">
      <c r="B375" s="103" t="s">
        <v>373</v>
      </c>
      <c r="C375">
        <v>44.677999999999997</v>
      </c>
      <c r="D375">
        <v>39.573</v>
      </c>
      <c r="E375">
        <v>44.316000000000003</v>
      </c>
      <c r="F375">
        <v>46.72</v>
      </c>
      <c r="G375">
        <v>5.1050000000000004</v>
      </c>
      <c r="H375">
        <v>-2.4039999999999999</v>
      </c>
      <c r="I375">
        <f t="shared" si="10"/>
        <v>0.84000000000000341</v>
      </c>
      <c r="L375" s="103" t="s">
        <v>368</v>
      </c>
      <c r="M375">
        <v>45.612000000000002</v>
      </c>
      <c r="N375">
        <v>39.921999999999997</v>
      </c>
      <c r="O375">
        <v>46.082000000000001</v>
      </c>
      <c r="P375">
        <v>46.2</v>
      </c>
      <c r="Q375">
        <v>5.69</v>
      </c>
      <c r="R375">
        <v>-0.11799999999999999</v>
      </c>
      <c r="S375">
        <f t="shared" si="11"/>
        <v>0.52900000000000347</v>
      </c>
    </row>
    <row r="376" spans="2:19" x14ac:dyDescent="0.25">
      <c r="B376" s="103">
        <v>45201</v>
      </c>
      <c r="C376">
        <v>44.368000000000002</v>
      </c>
      <c r="D376">
        <v>39.841000000000001</v>
      </c>
      <c r="E376">
        <v>43.917000000000002</v>
      </c>
      <c r="F376">
        <v>46.655999999999999</v>
      </c>
      <c r="G376">
        <v>4.5270000000000001</v>
      </c>
      <c r="H376">
        <v>-2.7389999999999999</v>
      </c>
      <c r="I376">
        <f t="shared" si="10"/>
        <v>0.91850000000000165</v>
      </c>
      <c r="L376" s="103" t="s">
        <v>369</v>
      </c>
      <c r="M376">
        <v>44.390999999999998</v>
      </c>
      <c r="N376">
        <v>39.728999999999999</v>
      </c>
      <c r="O376">
        <v>44.66</v>
      </c>
      <c r="P376">
        <v>45.762</v>
      </c>
      <c r="Q376">
        <v>4.6619999999999999</v>
      </c>
      <c r="R376">
        <v>-1.1020000000000001</v>
      </c>
      <c r="S376">
        <f t="shared" si="11"/>
        <v>0.82000000000000028</v>
      </c>
    </row>
    <row r="377" spans="2:19" x14ac:dyDescent="0.25">
      <c r="B377" s="103">
        <v>45171</v>
      </c>
      <c r="C377">
        <v>44.582000000000001</v>
      </c>
      <c r="D377">
        <v>39.637999999999998</v>
      </c>
      <c r="E377">
        <v>44.215000000000003</v>
      </c>
      <c r="F377">
        <v>46.954000000000001</v>
      </c>
      <c r="G377">
        <v>4.944</v>
      </c>
      <c r="H377">
        <v>-2.7389999999999999</v>
      </c>
      <c r="I377">
        <f t="shared" si="10"/>
        <v>1.0025000000000048</v>
      </c>
      <c r="L377" s="103" t="s">
        <v>370</v>
      </c>
      <c r="M377">
        <v>43.838999999999999</v>
      </c>
      <c r="N377">
        <v>39.593000000000004</v>
      </c>
      <c r="O377">
        <v>44.481000000000002</v>
      </c>
      <c r="P377">
        <v>44.622999999999998</v>
      </c>
      <c r="Q377">
        <v>4.2460000000000004</v>
      </c>
      <c r="R377">
        <v>-0.14199999999999999</v>
      </c>
      <c r="S377">
        <f t="shared" si="11"/>
        <v>0.71300000000000097</v>
      </c>
    </row>
    <row r="378" spans="2:19" x14ac:dyDescent="0.25">
      <c r="B378" s="103">
        <v>45140</v>
      </c>
      <c r="C378">
        <v>45.308</v>
      </c>
      <c r="D378">
        <v>39.78</v>
      </c>
      <c r="E378">
        <v>44.865000000000002</v>
      </c>
      <c r="F378">
        <v>48.097000000000001</v>
      </c>
      <c r="G378">
        <v>5.5279999999999996</v>
      </c>
      <c r="H378">
        <v>-3.2320000000000002</v>
      </c>
      <c r="I378">
        <f t="shared" si="10"/>
        <v>1.1730000000000018</v>
      </c>
      <c r="L378" s="103" t="s">
        <v>371</v>
      </c>
      <c r="M378">
        <v>43.38</v>
      </c>
      <c r="N378">
        <v>39.493000000000002</v>
      </c>
      <c r="O378">
        <v>43.408999999999999</v>
      </c>
      <c r="P378">
        <v>44.338999999999999</v>
      </c>
      <c r="Q378">
        <v>3.887</v>
      </c>
      <c r="R378">
        <v>-0.93</v>
      </c>
      <c r="S378">
        <f t="shared" si="11"/>
        <v>0.49399999999999267</v>
      </c>
    </row>
    <row r="379" spans="2:19" x14ac:dyDescent="0.25">
      <c r="B379" s="103">
        <v>45109</v>
      </c>
      <c r="C379">
        <v>47.515999999999998</v>
      </c>
      <c r="D379">
        <v>40.853000000000002</v>
      </c>
      <c r="E379">
        <v>46.887999999999998</v>
      </c>
      <c r="F379">
        <v>50.66</v>
      </c>
      <c r="G379">
        <v>6.6630000000000003</v>
      </c>
      <c r="H379">
        <v>-3.7719999999999998</v>
      </c>
      <c r="I379">
        <f t="shared" si="10"/>
        <v>1.2580000000000027</v>
      </c>
      <c r="L379" s="103" t="s">
        <v>372</v>
      </c>
      <c r="M379">
        <v>44.341999999999999</v>
      </c>
      <c r="N379">
        <v>39.499000000000002</v>
      </c>
      <c r="O379">
        <v>44.485999999999997</v>
      </c>
      <c r="P379">
        <v>45.499000000000002</v>
      </c>
      <c r="Q379">
        <v>4.843</v>
      </c>
      <c r="R379">
        <v>-1.0129999999999999</v>
      </c>
      <c r="S379">
        <f t="shared" si="11"/>
        <v>0.65050000000000097</v>
      </c>
    </row>
    <row r="380" spans="2:19" x14ac:dyDescent="0.25">
      <c r="B380" s="103">
        <v>45079</v>
      </c>
      <c r="C380">
        <v>48.213000000000001</v>
      </c>
      <c r="D380">
        <v>40.954000000000001</v>
      </c>
      <c r="E380">
        <v>47.81</v>
      </c>
      <c r="F380">
        <v>50.866</v>
      </c>
      <c r="G380">
        <v>7.2590000000000003</v>
      </c>
      <c r="H380">
        <v>-3.056</v>
      </c>
      <c r="I380">
        <f t="shared" si="10"/>
        <v>1.125</v>
      </c>
      <c r="L380" s="103" t="s">
        <v>373</v>
      </c>
      <c r="M380">
        <v>44.768999999999998</v>
      </c>
      <c r="N380">
        <v>39.573</v>
      </c>
      <c r="O380">
        <v>45.002000000000002</v>
      </c>
      <c r="P380">
        <v>45.982999999999997</v>
      </c>
      <c r="Q380">
        <v>5.1959999999999997</v>
      </c>
      <c r="R380">
        <v>-0.98099999999999998</v>
      </c>
      <c r="S380">
        <f t="shared" si="11"/>
        <v>0.72350000000000136</v>
      </c>
    </row>
    <row r="381" spans="2:19" x14ac:dyDescent="0.25">
      <c r="B381" s="103">
        <v>44987</v>
      </c>
      <c r="C381">
        <v>48.595999999999997</v>
      </c>
      <c r="D381">
        <v>40.549999999999997</v>
      </c>
      <c r="E381">
        <v>48.238999999999997</v>
      </c>
      <c r="F381">
        <v>50.575000000000003</v>
      </c>
      <c r="G381">
        <v>8.0459999999999994</v>
      </c>
      <c r="H381">
        <v>-2.3359999999999999</v>
      </c>
      <c r="I381">
        <f t="shared" si="10"/>
        <v>0.81099999999999994</v>
      </c>
      <c r="L381" s="103">
        <v>45201</v>
      </c>
      <c r="M381">
        <v>44.505000000000003</v>
      </c>
      <c r="N381">
        <v>39.841000000000001</v>
      </c>
      <c r="O381">
        <v>44.49</v>
      </c>
      <c r="P381">
        <v>46.012</v>
      </c>
      <c r="Q381">
        <v>4.6639999999999997</v>
      </c>
      <c r="R381">
        <v>-1.522</v>
      </c>
      <c r="S381">
        <f t="shared" si="11"/>
        <v>0.74600000000000222</v>
      </c>
    </row>
    <row r="382" spans="2:19" x14ac:dyDescent="0.25">
      <c r="B382" s="103">
        <v>44959</v>
      </c>
      <c r="C382">
        <v>48.618000000000002</v>
      </c>
      <c r="D382">
        <v>41.125</v>
      </c>
      <c r="E382">
        <v>48.447000000000003</v>
      </c>
      <c r="F382">
        <v>50.918999999999997</v>
      </c>
      <c r="G382">
        <v>7.4930000000000003</v>
      </c>
      <c r="H382">
        <v>-2.472</v>
      </c>
      <c r="I382">
        <f t="shared" si="10"/>
        <v>1.0649999999999977</v>
      </c>
      <c r="L382" s="103">
        <v>45171</v>
      </c>
      <c r="M382">
        <v>45.704000000000001</v>
      </c>
      <c r="N382">
        <v>39.637999999999998</v>
      </c>
      <c r="O382">
        <v>45.945999999999998</v>
      </c>
      <c r="P382">
        <v>47.427</v>
      </c>
      <c r="Q382">
        <v>6.0659999999999998</v>
      </c>
      <c r="R382">
        <v>-1.4810000000000001</v>
      </c>
      <c r="S382">
        <f t="shared" si="11"/>
        <v>0.9824999999999946</v>
      </c>
    </row>
    <row r="383" spans="2:19" x14ac:dyDescent="0.25">
      <c r="B383" s="103">
        <v>44928</v>
      </c>
      <c r="C383">
        <v>48.383000000000003</v>
      </c>
      <c r="D383">
        <v>40.646999999999998</v>
      </c>
      <c r="E383">
        <v>48.399000000000001</v>
      </c>
      <c r="F383">
        <v>50.325000000000003</v>
      </c>
      <c r="G383">
        <v>7.7359999999999998</v>
      </c>
      <c r="H383">
        <v>-1.9259999999999999</v>
      </c>
      <c r="I383">
        <f t="shared" si="10"/>
        <v>0.9789999999999992</v>
      </c>
      <c r="L383" s="103">
        <v>45140</v>
      </c>
      <c r="M383">
        <v>46.77</v>
      </c>
      <c r="N383">
        <v>39.78</v>
      </c>
      <c r="O383">
        <v>46.305</v>
      </c>
      <c r="P383">
        <v>49.161000000000001</v>
      </c>
      <c r="Q383">
        <v>6.99</v>
      </c>
      <c r="R383">
        <v>-2.8559999999999999</v>
      </c>
      <c r="S383">
        <f t="shared" si="11"/>
        <v>0.96300000000000097</v>
      </c>
    </row>
    <row r="384" spans="2:19" x14ac:dyDescent="0.25">
      <c r="B384" s="103" t="s">
        <v>374</v>
      </c>
      <c r="C384">
        <v>47.561999999999998</v>
      </c>
      <c r="D384">
        <v>41.584000000000003</v>
      </c>
      <c r="E384">
        <v>47.445</v>
      </c>
      <c r="F384">
        <v>49.58</v>
      </c>
      <c r="G384">
        <v>5.9779999999999998</v>
      </c>
      <c r="H384">
        <v>-2.1349999999999998</v>
      </c>
      <c r="I384">
        <f t="shared" si="10"/>
        <v>0.95050000000000523</v>
      </c>
      <c r="L384" s="103">
        <v>45109</v>
      </c>
      <c r="M384">
        <v>49.698</v>
      </c>
      <c r="N384">
        <v>40.853000000000002</v>
      </c>
      <c r="O384">
        <v>49.676000000000002</v>
      </c>
      <c r="P384">
        <v>51.963000000000001</v>
      </c>
      <c r="Q384">
        <v>8.8450000000000006</v>
      </c>
      <c r="R384">
        <v>-2.2869999999999999</v>
      </c>
      <c r="S384">
        <f t="shared" si="11"/>
        <v>1.1215000000000046</v>
      </c>
    </row>
    <row r="385" spans="2:19" x14ac:dyDescent="0.25">
      <c r="B385" s="103" t="s">
        <v>375</v>
      </c>
      <c r="C385">
        <v>47.570999999999998</v>
      </c>
      <c r="D385">
        <v>41.149000000000001</v>
      </c>
      <c r="E385">
        <v>47.209000000000003</v>
      </c>
      <c r="F385">
        <v>49.728999999999999</v>
      </c>
      <c r="G385">
        <v>6.4219999999999997</v>
      </c>
      <c r="H385">
        <v>-2.52</v>
      </c>
      <c r="I385">
        <f t="shared" si="10"/>
        <v>0.89800000000000324</v>
      </c>
      <c r="L385" s="103">
        <v>45079</v>
      </c>
      <c r="M385">
        <v>50.283000000000001</v>
      </c>
      <c r="N385">
        <v>40.954000000000001</v>
      </c>
      <c r="O385">
        <v>50.268999999999998</v>
      </c>
      <c r="P385">
        <v>52.948</v>
      </c>
      <c r="Q385">
        <v>9.3290000000000006</v>
      </c>
      <c r="R385">
        <v>-2.6789999999999998</v>
      </c>
      <c r="S385">
        <f t="shared" si="11"/>
        <v>1.3254999999999981</v>
      </c>
    </row>
    <row r="386" spans="2:19" x14ac:dyDescent="0.25">
      <c r="B386" s="103" t="s">
        <v>376</v>
      </c>
      <c r="C386">
        <v>47.481000000000002</v>
      </c>
      <c r="D386">
        <v>41.241</v>
      </c>
      <c r="E386">
        <v>47.286999999999999</v>
      </c>
      <c r="F386">
        <v>49.664999999999999</v>
      </c>
      <c r="G386">
        <v>6.24</v>
      </c>
      <c r="H386">
        <v>-2.3780000000000001</v>
      </c>
      <c r="I386">
        <f t="shared" ref="I386:I405" si="12">IFERROR(AVERAGE(E386,F386)-C386,"")</f>
        <v>0.99499999999999744</v>
      </c>
      <c r="L386" s="103">
        <v>44987</v>
      </c>
      <c r="M386">
        <v>50.027999999999999</v>
      </c>
      <c r="N386">
        <v>40.549999999999997</v>
      </c>
      <c r="O386">
        <v>50.015999999999998</v>
      </c>
      <c r="P386">
        <v>51.750999999999998</v>
      </c>
      <c r="Q386">
        <v>9.4779999999999998</v>
      </c>
      <c r="R386">
        <v>-1.7350000000000001</v>
      </c>
      <c r="S386">
        <f t="shared" ref="S386:S410" si="13">IFERROR(AVERAGE(O386,P386)-M386,"")</f>
        <v>0.85549999999999926</v>
      </c>
    </row>
    <row r="387" spans="2:19" x14ac:dyDescent="0.25">
      <c r="B387" s="103" t="s">
        <v>377</v>
      </c>
      <c r="C387">
        <v>47.698999999999998</v>
      </c>
      <c r="D387">
        <v>41.234999999999999</v>
      </c>
      <c r="E387">
        <v>47.978000000000002</v>
      </c>
      <c r="F387">
        <v>49.634</v>
      </c>
      <c r="G387">
        <v>6.4640000000000004</v>
      </c>
      <c r="H387">
        <v>-1.6559999999999999</v>
      </c>
      <c r="I387">
        <f t="shared" si="12"/>
        <v>1.1069999999999993</v>
      </c>
      <c r="L387" s="103">
        <v>44959</v>
      </c>
      <c r="M387">
        <v>49.988999999999997</v>
      </c>
      <c r="N387">
        <v>41.125</v>
      </c>
      <c r="O387">
        <v>50.353999999999999</v>
      </c>
      <c r="P387">
        <v>51.119</v>
      </c>
      <c r="Q387">
        <v>8.8640000000000008</v>
      </c>
      <c r="R387">
        <v>-0.76500000000000001</v>
      </c>
      <c r="S387">
        <f t="shared" si="13"/>
        <v>0.74750000000000227</v>
      </c>
    </row>
    <row r="388" spans="2:19" x14ac:dyDescent="0.25">
      <c r="B388" s="103" t="s">
        <v>378</v>
      </c>
      <c r="C388">
        <v>46.661000000000001</v>
      </c>
      <c r="D388">
        <v>39.430999999999997</v>
      </c>
      <c r="E388">
        <v>46.223999999999997</v>
      </c>
      <c r="F388">
        <v>49.665999999999997</v>
      </c>
      <c r="G388">
        <v>7.23</v>
      </c>
      <c r="H388">
        <v>-3.4420000000000002</v>
      </c>
      <c r="I388">
        <f t="shared" si="12"/>
        <v>1.2839999999999918</v>
      </c>
      <c r="L388" s="103">
        <v>44928</v>
      </c>
      <c r="M388">
        <v>48.975999999999999</v>
      </c>
      <c r="N388">
        <v>40.646999999999998</v>
      </c>
      <c r="O388">
        <v>49.747</v>
      </c>
      <c r="P388">
        <v>49.609000000000002</v>
      </c>
      <c r="Q388">
        <v>8.3290000000000006</v>
      </c>
      <c r="R388">
        <v>0.13800000000000001</v>
      </c>
      <c r="S388">
        <f t="shared" si="13"/>
        <v>0.70199999999999818</v>
      </c>
    </row>
    <row r="389" spans="2:19" x14ac:dyDescent="0.25">
      <c r="B389" s="103" t="s">
        <v>379</v>
      </c>
      <c r="C389">
        <v>47.142000000000003</v>
      </c>
      <c r="D389">
        <v>38.896999999999998</v>
      </c>
      <c r="E389">
        <v>46.710999999999999</v>
      </c>
      <c r="F389">
        <v>50.02</v>
      </c>
      <c r="G389">
        <v>8.2449999999999992</v>
      </c>
      <c r="H389">
        <v>-3.3090000000000002</v>
      </c>
      <c r="I389">
        <f t="shared" si="12"/>
        <v>1.2234999999999943</v>
      </c>
      <c r="L389" s="103" t="s">
        <v>374</v>
      </c>
      <c r="M389">
        <v>46.981000000000002</v>
      </c>
      <c r="N389">
        <v>41.584000000000003</v>
      </c>
      <c r="O389">
        <v>47.634</v>
      </c>
      <c r="P389">
        <v>47.704000000000001</v>
      </c>
      <c r="Q389">
        <v>5.3970000000000002</v>
      </c>
      <c r="R389">
        <v>-7.0000000000000007E-2</v>
      </c>
      <c r="S389">
        <f t="shared" si="13"/>
        <v>0.68799999999999528</v>
      </c>
    </row>
    <row r="390" spans="2:19" x14ac:dyDescent="0.25">
      <c r="B390" s="103" t="s">
        <v>380</v>
      </c>
      <c r="C390">
        <v>47.145000000000003</v>
      </c>
      <c r="D390">
        <v>38.795999999999999</v>
      </c>
      <c r="E390">
        <v>46.79</v>
      </c>
      <c r="F390">
        <v>50.128999999999998</v>
      </c>
      <c r="G390">
        <v>8.3490000000000002</v>
      </c>
      <c r="H390">
        <v>-3.339</v>
      </c>
      <c r="I390">
        <f t="shared" si="12"/>
        <v>1.3144999999999953</v>
      </c>
      <c r="L390" s="103" t="s">
        <v>375</v>
      </c>
      <c r="M390">
        <v>46.777999999999999</v>
      </c>
      <c r="N390">
        <v>41.149000000000001</v>
      </c>
      <c r="O390">
        <v>47.155000000000001</v>
      </c>
      <c r="P390">
        <v>48.021999999999998</v>
      </c>
      <c r="Q390">
        <v>5.6289999999999996</v>
      </c>
      <c r="R390">
        <v>-0.86699999999999999</v>
      </c>
      <c r="S390">
        <f t="shared" si="13"/>
        <v>0.81049999999999756</v>
      </c>
    </row>
    <row r="391" spans="2:19" x14ac:dyDescent="0.25">
      <c r="B391" s="103" t="s">
        <v>381</v>
      </c>
      <c r="C391">
        <v>47.052</v>
      </c>
      <c r="D391">
        <v>38.92</v>
      </c>
      <c r="E391">
        <v>46.703000000000003</v>
      </c>
      <c r="F391">
        <v>50.024000000000001</v>
      </c>
      <c r="G391">
        <v>8.1319999999999997</v>
      </c>
      <c r="H391">
        <v>-3.3210000000000002</v>
      </c>
      <c r="I391">
        <f t="shared" si="12"/>
        <v>1.3115000000000023</v>
      </c>
      <c r="L391" s="103" t="s">
        <v>376</v>
      </c>
      <c r="M391">
        <v>46.292000000000002</v>
      </c>
      <c r="N391">
        <v>41.241</v>
      </c>
      <c r="O391">
        <v>46.481999999999999</v>
      </c>
      <c r="P391">
        <v>47.932000000000002</v>
      </c>
      <c r="Q391">
        <v>5.0510000000000002</v>
      </c>
      <c r="R391">
        <v>-1.45</v>
      </c>
      <c r="S391">
        <f t="shared" si="13"/>
        <v>0.91499999999999915</v>
      </c>
    </row>
    <row r="392" spans="2:19" x14ac:dyDescent="0.25">
      <c r="B392" s="103" t="s">
        <v>382</v>
      </c>
      <c r="C392">
        <v>47.14</v>
      </c>
      <c r="D392">
        <v>38.896999999999998</v>
      </c>
      <c r="E392">
        <v>46.289000000000001</v>
      </c>
      <c r="F392">
        <v>50.2</v>
      </c>
      <c r="G392">
        <v>8.2430000000000003</v>
      </c>
      <c r="H392">
        <v>-3.911</v>
      </c>
      <c r="I392">
        <f t="shared" si="12"/>
        <v>1.1045000000000016</v>
      </c>
      <c r="L392" s="103" t="s">
        <v>377</v>
      </c>
      <c r="M392">
        <v>46.354999999999997</v>
      </c>
      <c r="N392">
        <v>41.234999999999999</v>
      </c>
      <c r="O392">
        <v>46.917000000000002</v>
      </c>
      <c r="P392">
        <v>47.892000000000003</v>
      </c>
      <c r="Q392">
        <v>5.12</v>
      </c>
      <c r="R392">
        <v>-0.97499999999999998</v>
      </c>
      <c r="S392">
        <f t="shared" si="13"/>
        <v>1.0495000000000019</v>
      </c>
    </row>
    <row r="393" spans="2:19" x14ac:dyDescent="0.25">
      <c r="B393" s="103" t="s">
        <v>383</v>
      </c>
      <c r="C393">
        <v>47.027999999999999</v>
      </c>
      <c r="D393">
        <v>40.572000000000003</v>
      </c>
      <c r="E393">
        <v>46.127000000000002</v>
      </c>
      <c r="F393">
        <v>50.042000000000002</v>
      </c>
      <c r="G393">
        <v>6.4560000000000004</v>
      </c>
      <c r="H393">
        <v>-3.915</v>
      </c>
      <c r="I393">
        <f t="shared" si="12"/>
        <v>1.0565000000000069</v>
      </c>
      <c r="L393" s="103" t="s">
        <v>378</v>
      </c>
      <c r="M393">
        <v>45.442999999999998</v>
      </c>
      <c r="N393">
        <v>39.430999999999997</v>
      </c>
      <c r="O393">
        <v>45.027000000000001</v>
      </c>
      <c r="P393">
        <v>47.887</v>
      </c>
      <c r="Q393">
        <v>6.0119999999999996</v>
      </c>
      <c r="R393">
        <v>-2.86</v>
      </c>
      <c r="S393">
        <f t="shared" si="13"/>
        <v>1.0140000000000029</v>
      </c>
    </row>
    <row r="394" spans="2:19" x14ac:dyDescent="0.25">
      <c r="B394" s="103" t="s">
        <v>384</v>
      </c>
      <c r="C394">
        <v>47.325000000000003</v>
      </c>
      <c r="D394">
        <v>39.603000000000002</v>
      </c>
      <c r="E394">
        <v>46.695</v>
      </c>
      <c r="F394">
        <v>51.073</v>
      </c>
      <c r="G394">
        <v>7.7220000000000004</v>
      </c>
      <c r="H394">
        <v>-4.3780000000000001</v>
      </c>
      <c r="I394">
        <f t="shared" si="12"/>
        <v>1.5589999999999975</v>
      </c>
      <c r="L394" s="103" t="s">
        <v>379</v>
      </c>
      <c r="M394">
        <v>45.857999999999997</v>
      </c>
      <c r="N394">
        <v>38.896999999999998</v>
      </c>
      <c r="O394">
        <v>45.439</v>
      </c>
      <c r="P394">
        <v>49.341000000000001</v>
      </c>
      <c r="Q394">
        <v>6.9610000000000003</v>
      </c>
      <c r="R394">
        <v>-3.9020000000000001</v>
      </c>
      <c r="S394">
        <f t="shared" si="13"/>
        <v>1.5320000000000036</v>
      </c>
    </row>
    <row r="395" spans="2:19" x14ac:dyDescent="0.25">
      <c r="B395" s="103" t="s">
        <v>385</v>
      </c>
      <c r="C395">
        <v>47.435000000000002</v>
      </c>
      <c r="D395">
        <v>41.334000000000003</v>
      </c>
      <c r="E395">
        <v>46.746000000000002</v>
      </c>
      <c r="F395">
        <v>51.628999999999998</v>
      </c>
      <c r="G395">
        <v>6.101</v>
      </c>
      <c r="H395">
        <v>-4.883</v>
      </c>
      <c r="I395">
        <f t="shared" si="12"/>
        <v>1.7524999999999977</v>
      </c>
      <c r="L395" s="103" t="s">
        <v>380</v>
      </c>
      <c r="M395">
        <v>46.65</v>
      </c>
      <c r="N395">
        <v>38.795999999999999</v>
      </c>
      <c r="O395">
        <v>46.673999999999999</v>
      </c>
      <c r="P395">
        <v>48.98</v>
      </c>
      <c r="Q395">
        <v>7.8540000000000001</v>
      </c>
      <c r="R395">
        <v>-2.306</v>
      </c>
      <c r="S395">
        <f t="shared" si="13"/>
        <v>1.1769999999999996</v>
      </c>
    </row>
    <row r="396" spans="2:19" x14ac:dyDescent="0.25">
      <c r="B396" s="103" t="s">
        <v>386</v>
      </c>
      <c r="C396">
        <v>47.180999999999997</v>
      </c>
      <c r="D396">
        <v>42.072000000000003</v>
      </c>
      <c r="E396">
        <v>46.628</v>
      </c>
      <c r="F396">
        <v>51.125999999999998</v>
      </c>
      <c r="G396">
        <v>5.109</v>
      </c>
      <c r="H396">
        <v>-4.4980000000000002</v>
      </c>
      <c r="I396">
        <f t="shared" si="12"/>
        <v>1.695999999999998</v>
      </c>
      <c r="L396" s="103" t="s">
        <v>381</v>
      </c>
      <c r="M396">
        <v>45.874000000000002</v>
      </c>
      <c r="N396">
        <v>38.92</v>
      </c>
      <c r="O396">
        <v>45.844000000000001</v>
      </c>
      <c r="P396">
        <v>48.517000000000003</v>
      </c>
      <c r="Q396">
        <v>6.9539999999999997</v>
      </c>
      <c r="R396">
        <v>-2.673</v>
      </c>
      <c r="S396">
        <f t="shared" si="13"/>
        <v>1.3064999999999998</v>
      </c>
    </row>
    <row r="397" spans="2:19" x14ac:dyDescent="0.25">
      <c r="B397" s="103">
        <v>45261</v>
      </c>
      <c r="C397">
        <v>48.034999999999997</v>
      </c>
      <c r="D397">
        <v>42.362000000000002</v>
      </c>
      <c r="E397">
        <v>46.991</v>
      </c>
      <c r="F397">
        <v>52.146999999999998</v>
      </c>
      <c r="G397">
        <v>5.673</v>
      </c>
      <c r="H397">
        <v>-5.1559999999999997</v>
      </c>
      <c r="I397">
        <f t="shared" si="12"/>
        <v>1.534000000000006</v>
      </c>
      <c r="L397" s="103" t="s">
        <v>382</v>
      </c>
      <c r="M397">
        <v>46.252000000000002</v>
      </c>
      <c r="N397">
        <v>38.896999999999998</v>
      </c>
      <c r="O397">
        <v>46.179000000000002</v>
      </c>
      <c r="P397">
        <v>49.433</v>
      </c>
      <c r="Q397">
        <v>7.3550000000000004</v>
      </c>
      <c r="R397">
        <v>-3.254</v>
      </c>
      <c r="S397">
        <f t="shared" si="13"/>
        <v>1.5539999999999949</v>
      </c>
    </row>
    <row r="398" spans="2:19" x14ac:dyDescent="0.25">
      <c r="B398" s="103">
        <v>45231</v>
      </c>
      <c r="C398">
        <v>50.276000000000003</v>
      </c>
      <c r="D398">
        <v>42.295999999999999</v>
      </c>
      <c r="E398">
        <v>49.667999999999999</v>
      </c>
      <c r="F398">
        <v>54.735999999999997</v>
      </c>
      <c r="G398">
        <v>7.98</v>
      </c>
      <c r="H398">
        <v>-5.0679999999999996</v>
      </c>
      <c r="I398">
        <f t="shared" si="12"/>
        <v>1.9259999999999948</v>
      </c>
      <c r="L398" s="103" t="s">
        <v>383</v>
      </c>
      <c r="M398">
        <v>46.234000000000002</v>
      </c>
      <c r="N398">
        <v>40.572000000000003</v>
      </c>
      <c r="O398">
        <v>46.418999999999997</v>
      </c>
      <c r="P398">
        <v>49.341000000000001</v>
      </c>
      <c r="Q398">
        <v>5.6619999999999999</v>
      </c>
      <c r="R398">
        <v>-2.9220000000000002</v>
      </c>
      <c r="S398">
        <f t="shared" si="13"/>
        <v>1.6459999999999937</v>
      </c>
    </row>
    <row r="399" spans="2:19" x14ac:dyDescent="0.25">
      <c r="B399" s="103">
        <v>45200</v>
      </c>
      <c r="C399">
        <v>50.862000000000002</v>
      </c>
      <c r="D399">
        <v>42.081000000000003</v>
      </c>
      <c r="E399">
        <v>50.241</v>
      </c>
      <c r="F399">
        <v>55.206000000000003</v>
      </c>
      <c r="G399">
        <v>8.7810000000000006</v>
      </c>
      <c r="H399">
        <v>-4.9649999999999999</v>
      </c>
      <c r="I399">
        <f t="shared" si="12"/>
        <v>1.8614999999999995</v>
      </c>
      <c r="L399" s="103" t="s">
        <v>384</v>
      </c>
      <c r="M399">
        <v>47.017000000000003</v>
      </c>
      <c r="N399">
        <v>39.603000000000002</v>
      </c>
      <c r="O399">
        <v>46.776000000000003</v>
      </c>
      <c r="P399">
        <v>50.914999999999999</v>
      </c>
      <c r="Q399">
        <v>7.4139999999999997</v>
      </c>
      <c r="R399">
        <v>-4.1390000000000002</v>
      </c>
      <c r="S399">
        <f t="shared" si="13"/>
        <v>1.8284999999999982</v>
      </c>
    </row>
    <row r="400" spans="2:19" x14ac:dyDescent="0.25">
      <c r="B400" s="103">
        <v>45170</v>
      </c>
      <c r="C400">
        <v>51.392000000000003</v>
      </c>
      <c r="D400">
        <v>41.984999999999999</v>
      </c>
      <c r="E400">
        <v>50.783000000000001</v>
      </c>
      <c r="F400">
        <v>55.406999999999996</v>
      </c>
      <c r="G400">
        <v>9.407</v>
      </c>
      <c r="H400">
        <v>-4.6239999999999997</v>
      </c>
      <c r="I400">
        <f t="shared" si="12"/>
        <v>1.7029999999999959</v>
      </c>
      <c r="L400" s="103" t="s">
        <v>385</v>
      </c>
      <c r="M400">
        <v>47.256</v>
      </c>
      <c r="N400">
        <v>41.334000000000003</v>
      </c>
      <c r="O400">
        <v>46.38</v>
      </c>
      <c r="P400">
        <v>51.826000000000001</v>
      </c>
      <c r="Q400">
        <v>5.9219999999999997</v>
      </c>
      <c r="R400">
        <v>-5.4459999999999997</v>
      </c>
      <c r="S400">
        <f t="shared" si="13"/>
        <v>1.8470000000000013</v>
      </c>
    </row>
    <row r="401" spans="2:19" x14ac:dyDescent="0.25">
      <c r="B401" s="103">
        <v>45078</v>
      </c>
      <c r="C401">
        <v>51.997999999999998</v>
      </c>
      <c r="D401">
        <v>40.723999999999997</v>
      </c>
      <c r="E401">
        <v>50.982999999999997</v>
      </c>
      <c r="F401">
        <v>56.978999999999999</v>
      </c>
      <c r="G401">
        <v>11.273999999999999</v>
      </c>
      <c r="H401">
        <v>-5.9960000000000004</v>
      </c>
      <c r="I401">
        <f t="shared" si="12"/>
        <v>1.982999999999997</v>
      </c>
      <c r="L401" s="103" t="s">
        <v>386</v>
      </c>
      <c r="M401">
        <v>46.255000000000003</v>
      </c>
      <c r="N401">
        <v>42.072000000000003</v>
      </c>
      <c r="O401">
        <v>45.314</v>
      </c>
      <c r="P401">
        <v>50.326000000000001</v>
      </c>
      <c r="Q401">
        <v>4.1829999999999998</v>
      </c>
      <c r="R401">
        <v>-5.0119999999999996</v>
      </c>
      <c r="S401">
        <f t="shared" si="13"/>
        <v>1.5649999999999977</v>
      </c>
    </row>
    <row r="402" spans="2:19" x14ac:dyDescent="0.25">
      <c r="B402" s="103">
        <v>45047</v>
      </c>
      <c r="C402">
        <v>52.491999999999997</v>
      </c>
      <c r="D402">
        <v>40.594000000000001</v>
      </c>
      <c r="E402">
        <v>51.381999999999998</v>
      </c>
      <c r="F402">
        <v>57.354999999999997</v>
      </c>
      <c r="G402">
        <v>11.898</v>
      </c>
      <c r="H402">
        <v>-5.9729999999999999</v>
      </c>
      <c r="I402">
        <f t="shared" si="12"/>
        <v>1.8765000000000001</v>
      </c>
      <c r="L402" s="103">
        <v>45261</v>
      </c>
      <c r="M402">
        <v>47.094999999999999</v>
      </c>
      <c r="N402">
        <v>42.362000000000002</v>
      </c>
      <c r="O402">
        <v>46.201999999999998</v>
      </c>
      <c r="P402">
        <v>50.957000000000001</v>
      </c>
      <c r="Q402">
        <v>4.7329999999999997</v>
      </c>
      <c r="R402">
        <v>-4.7549999999999999</v>
      </c>
      <c r="S402">
        <f t="shared" si="13"/>
        <v>1.484499999999997</v>
      </c>
    </row>
    <row r="403" spans="2:19" x14ac:dyDescent="0.25">
      <c r="B403" s="103">
        <v>45017</v>
      </c>
      <c r="C403">
        <v>53.567</v>
      </c>
      <c r="D403">
        <v>40.956000000000003</v>
      </c>
      <c r="E403">
        <v>52.634999999999998</v>
      </c>
      <c r="F403">
        <v>59.042999999999999</v>
      </c>
      <c r="G403">
        <v>12.611000000000001</v>
      </c>
      <c r="H403">
        <v>-6.4080000000000004</v>
      </c>
      <c r="I403">
        <f t="shared" si="12"/>
        <v>2.2719999999999985</v>
      </c>
      <c r="L403" s="103">
        <v>45231</v>
      </c>
      <c r="M403">
        <v>49.216000000000001</v>
      </c>
      <c r="N403">
        <v>42.295999999999999</v>
      </c>
      <c r="O403">
        <v>47.883000000000003</v>
      </c>
      <c r="P403">
        <v>53.360999999999997</v>
      </c>
      <c r="Q403">
        <v>6.92</v>
      </c>
      <c r="R403">
        <v>-5.4779999999999998</v>
      </c>
      <c r="S403">
        <f t="shared" si="13"/>
        <v>1.4059999999999988</v>
      </c>
    </row>
    <row r="404" spans="2:19" x14ac:dyDescent="0.25">
      <c r="B404" s="103">
        <v>44986</v>
      </c>
      <c r="C404">
        <v>53.488</v>
      </c>
      <c r="D404">
        <v>37.807000000000002</v>
      </c>
      <c r="E404">
        <v>52.860999999999997</v>
      </c>
      <c r="F404">
        <v>58.231999999999999</v>
      </c>
      <c r="G404">
        <v>15.680999999999999</v>
      </c>
      <c r="H404">
        <v>-5.3710000000000004</v>
      </c>
      <c r="I404">
        <f t="shared" si="12"/>
        <v>2.0584999999999951</v>
      </c>
      <c r="L404" s="103">
        <v>45200</v>
      </c>
      <c r="M404">
        <v>49.326999999999998</v>
      </c>
      <c r="N404">
        <v>42.081000000000003</v>
      </c>
      <c r="O404">
        <v>48.634</v>
      </c>
      <c r="P404">
        <v>53.902000000000001</v>
      </c>
      <c r="Q404">
        <v>7.2460000000000004</v>
      </c>
      <c r="R404">
        <v>-5.2679999999999998</v>
      </c>
      <c r="S404">
        <f t="shared" si="13"/>
        <v>1.9410000000000025</v>
      </c>
    </row>
    <row r="405" spans="2:19" x14ac:dyDescent="0.25">
      <c r="B405" s="103">
        <v>44958</v>
      </c>
      <c r="C405">
        <v>53.311999999999998</v>
      </c>
      <c r="D405">
        <v>37.116999999999997</v>
      </c>
      <c r="E405">
        <v>52.866999999999997</v>
      </c>
      <c r="F405">
        <v>57.558</v>
      </c>
      <c r="G405">
        <v>16.195</v>
      </c>
      <c r="H405">
        <v>-4.6909999999999998</v>
      </c>
      <c r="I405">
        <f t="shared" si="12"/>
        <v>1.900500000000001</v>
      </c>
      <c r="L405" s="103">
        <v>45170</v>
      </c>
      <c r="M405">
        <v>50.491</v>
      </c>
      <c r="N405">
        <v>41.984999999999999</v>
      </c>
      <c r="O405">
        <v>49.652999999999999</v>
      </c>
      <c r="P405">
        <v>55.16</v>
      </c>
      <c r="Q405">
        <v>8.5060000000000002</v>
      </c>
      <c r="R405">
        <v>-5.5069999999999997</v>
      </c>
      <c r="S405">
        <f t="shared" si="13"/>
        <v>1.9154999999999944</v>
      </c>
    </row>
    <row r="406" spans="2:19" x14ac:dyDescent="0.25">
      <c r="L406" s="103">
        <v>45078</v>
      </c>
      <c r="M406">
        <v>51.793999999999997</v>
      </c>
      <c r="N406">
        <v>40.723999999999997</v>
      </c>
      <c r="O406">
        <v>50.302</v>
      </c>
      <c r="P406">
        <v>57.969000000000001</v>
      </c>
      <c r="Q406">
        <v>11.07</v>
      </c>
      <c r="R406">
        <v>-7.6669999999999998</v>
      </c>
      <c r="S406">
        <f t="shared" si="13"/>
        <v>2.3415000000000035</v>
      </c>
    </row>
    <row r="407" spans="2:19" x14ac:dyDescent="0.25">
      <c r="L407" s="103">
        <v>45047</v>
      </c>
      <c r="M407">
        <v>52.624000000000002</v>
      </c>
      <c r="N407">
        <v>40.594000000000001</v>
      </c>
      <c r="O407">
        <v>51.113999999999997</v>
      </c>
      <c r="P407">
        <v>58.505000000000003</v>
      </c>
      <c r="Q407">
        <v>12.03</v>
      </c>
      <c r="R407">
        <v>-7.391</v>
      </c>
      <c r="S407">
        <f t="shared" si="13"/>
        <v>2.1854999999999976</v>
      </c>
    </row>
    <row r="408" spans="2:19" x14ac:dyDescent="0.25">
      <c r="L408" s="103">
        <v>45017</v>
      </c>
      <c r="M408">
        <v>54.206000000000003</v>
      </c>
      <c r="N408">
        <v>40.956000000000003</v>
      </c>
      <c r="O408">
        <v>52.487000000000002</v>
      </c>
      <c r="P408">
        <v>61.462000000000003</v>
      </c>
      <c r="Q408">
        <v>13.25</v>
      </c>
      <c r="R408">
        <v>-8.9749999999999996</v>
      </c>
      <c r="S408">
        <f t="shared" si="13"/>
        <v>2.7685000000000031</v>
      </c>
    </row>
    <row r="409" spans="2:19" x14ac:dyDescent="0.25">
      <c r="L409" s="103">
        <v>44986</v>
      </c>
      <c r="M409">
        <v>52.581000000000003</v>
      </c>
      <c r="N409">
        <v>37.807000000000002</v>
      </c>
      <c r="O409">
        <v>51.999000000000002</v>
      </c>
      <c r="P409">
        <v>58.712000000000003</v>
      </c>
      <c r="Q409">
        <v>14.773999999999999</v>
      </c>
      <c r="R409">
        <v>-6.7130000000000001</v>
      </c>
      <c r="S409">
        <f t="shared" si="13"/>
        <v>2.7745000000000033</v>
      </c>
    </row>
    <row r="410" spans="2:19" x14ac:dyDescent="0.25">
      <c r="L410" s="103">
        <v>44958</v>
      </c>
      <c r="M410">
        <v>52.325000000000003</v>
      </c>
      <c r="N410">
        <v>37.116999999999997</v>
      </c>
      <c r="O410">
        <v>51.939</v>
      </c>
      <c r="P410">
        <v>57.209000000000003</v>
      </c>
      <c r="Q410">
        <v>15.208</v>
      </c>
      <c r="R410">
        <v>-5.27</v>
      </c>
      <c r="S410">
        <f t="shared" si="13"/>
        <v>2.2489999999999952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2E218-8632-4F34-98C8-36CFFD0A6A9C}">
  <dimension ref="A1:Z1309"/>
  <sheetViews>
    <sheetView workbookViewId="0">
      <selection activeCell="Y34" sqref="Y34"/>
    </sheetView>
  </sheetViews>
  <sheetFormatPr defaultColWidth="12.7109375" defaultRowHeight="15" x14ac:dyDescent="0.25"/>
  <cols>
    <col min="1" max="1" width="12.7109375" style="26"/>
    <col min="3" max="3" width="15.28515625" customWidth="1"/>
    <col min="4" max="4" width="19.7109375" style="2" customWidth="1"/>
    <col min="5" max="5" width="17.28515625" bestFit="1" customWidth="1"/>
    <col min="6" max="6" width="21.28515625" customWidth="1"/>
    <col min="7" max="7" width="25.5703125" customWidth="1"/>
    <col min="8" max="8" width="17.28515625" style="5" customWidth="1"/>
    <col min="9" max="9" width="15.42578125" style="3" customWidth="1"/>
    <col min="10" max="10" width="13.7109375" style="37" customWidth="1"/>
  </cols>
  <sheetData>
    <row r="1" spans="1:26" x14ac:dyDescent="0.25">
      <c r="A1" s="36" t="s">
        <v>387</v>
      </c>
      <c r="B1" s="8" t="s">
        <v>388</v>
      </c>
      <c r="C1" s="8" t="s">
        <v>389</v>
      </c>
      <c r="D1" s="35" t="s">
        <v>390</v>
      </c>
      <c r="E1" s="36" t="s">
        <v>391</v>
      </c>
      <c r="F1" s="36" t="s">
        <v>392</v>
      </c>
      <c r="G1" s="36" t="s">
        <v>393</v>
      </c>
      <c r="H1" s="5" t="s">
        <v>394</v>
      </c>
      <c r="I1" t="s">
        <v>395</v>
      </c>
      <c r="J1" s="37" t="s">
        <v>396</v>
      </c>
      <c r="K1" t="s">
        <v>397</v>
      </c>
      <c r="L1" s="3" t="s">
        <v>398</v>
      </c>
      <c r="N1" t="s">
        <v>77</v>
      </c>
      <c r="O1" t="s">
        <v>78</v>
      </c>
      <c r="P1" t="s">
        <v>79</v>
      </c>
      <c r="Q1" t="s">
        <v>77</v>
      </c>
      <c r="R1" t="s">
        <v>78</v>
      </c>
      <c r="S1" t="s">
        <v>79</v>
      </c>
      <c r="T1" t="s">
        <v>77</v>
      </c>
      <c r="U1" t="s">
        <v>78</v>
      </c>
      <c r="V1" t="s">
        <v>79</v>
      </c>
      <c r="X1" t="s">
        <v>80</v>
      </c>
      <c r="Y1" t="s">
        <v>399</v>
      </c>
      <c r="Z1" t="s">
        <v>82</v>
      </c>
    </row>
    <row r="2" spans="1:26" x14ac:dyDescent="0.25">
      <c r="A2" s="26">
        <v>66.709999999999994</v>
      </c>
      <c r="B2">
        <v>66.47</v>
      </c>
      <c r="C2">
        <v>1.68</v>
      </c>
      <c r="D2" s="2">
        <v>45498</v>
      </c>
      <c r="E2">
        <v>66.570000000000007</v>
      </c>
      <c r="F2">
        <v>0.13999999999998636</v>
      </c>
      <c r="G2">
        <v>-0.10000000000000853</v>
      </c>
      <c r="H2" s="5">
        <f>IFERROR(F2/E2,"")</f>
        <v>2.1030494216612038E-3</v>
      </c>
      <c r="I2" s="3">
        <f>IFERROR((H2-AVERAGEA(H2:H218))/_xlfn.STDEV.S(H2:H218), " ")</f>
        <v>0.65327515008182091</v>
      </c>
      <c r="J2" s="5">
        <f>IFERROR(G2/E2,"")</f>
        <v>-1.5021781583297057E-3</v>
      </c>
      <c r="K2" s="3">
        <f>IFERROR((J2-AVERAGEA(J2:J218))/_xlfn.STDEV.S(J2:J218), " ")</f>
        <v>2.2388231847112712</v>
      </c>
      <c r="L2" s="3">
        <f>(C2-AVERAGEA(C2:C218))/_xlfn.STDEV.S(C2:C218)</f>
        <v>-0.29963767454251367</v>
      </c>
      <c r="N2" s="12">
        <f>AVERAGEA(H2:H22)-AVERAGE(H23:H43)</f>
        <v>-2.3536996737512621E-4</v>
      </c>
      <c r="O2" s="12">
        <f>AVERAGEA(H2:H22)-AVERAGE(H23:H78)</f>
        <v>-3.7547142981760842E-4</v>
      </c>
      <c r="P2" s="12">
        <f>AVERAGEA(H2:H22)-AVERAGE(H23:H135)</f>
        <v>-7.0428384857753028E-4</v>
      </c>
      <c r="Q2" s="12">
        <f>AVERAGEA(J2:J22)-AVERAGE(J23:J43)</f>
        <v>2.0670908653807126E-3</v>
      </c>
      <c r="R2" s="12">
        <f>AVERAGEA(J2:J22)-AVERAGE(J23:J78)</f>
        <v>2.4619784471081297E-3</v>
      </c>
      <c r="S2" s="12">
        <f>AVERAGEA(J2:J22)-AVERAGE(J23:J135)</f>
        <v>2.522773515301635E-3</v>
      </c>
      <c r="T2" s="12">
        <f>AVERAGEA(C2:C22)-AVERAGE(C23:C43)</f>
        <v>-4.0000000000000258E-2</v>
      </c>
      <c r="U2" s="12">
        <f>AVERAGEA(C2:C22)-AVERAGE(C23:C78)</f>
        <v>-5.875000000000008E-2</v>
      </c>
      <c r="V2" s="12">
        <f>AVERAGEA(C2:C22)-AVERAGE(C23:C135)</f>
        <v>-5.8659924146649445E-2</v>
      </c>
      <c r="X2" cm="1">
        <f t="array" ref="X2:X59">_xlfn.SORTBY(H2:H59,D2:D59)</f>
        <v>1.8396443354284837E-3</v>
      </c>
      <c r="Y2" cm="1">
        <f t="array" ref="Y2:Y22">_xlfn.SORTBY(H2:H22,D2:D22)</f>
        <v>-3.7770055899682734E-3</v>
      </c>
      <c r="Z2" cm="1">
        <f t="array" ref="Z2:Z22">_xlfn.SORTBY(L2:L22,D2:D22)</f>
        <v>-0.97283047921320398</v>
      </c>
    </row>
    <row r="3" spans="1:26" x14ac:dyDescent="0.25">
      <c r="A3" s="26">
        <v>63.67</v>
      </c>
      <c r="B3">
        <v>63.54</v>
      </c>
      <c r="C3">
        <v>1.6</v>
      </c>
      <c r="D3" s="2">
        <v>45496</v>
      </c>
      <c r="E3">
        <v>63.720000000000006</v>
      </c>
      <c r="F3">
        <v>-5.0000000000004263E-2</v>
      </c>
      <c r="G3">
        <v>-0.18000000000000682</v>
      </c>
      <c r="H3" s="5">
        <f>IFERROR(F3/E3,"")</f>
        <v>-7.8468298807288543E-4</v>
      </c>
      <c r="I3" s="3">
        <f t="shared" ref="I3:I66" si="0">IFERROR((H3-AVERAGEA(H3:H219))/_xlfn.STDEV.S(H3:H219), " ")</f>
        <v>2.392330848779467E-2</v>
      </c>
      <c r="J3" s="5">
        <f>IFERROR(G3/E3,"")</f>
        <v>-2.8248587570622536E-3</v>
      </c>
      <c r="K3" s="3">
        <f t="shared" ref="K3:K66" si="1">IFERROR((J3-AVERAGEA(J3:J219))/_xlfn.STDEV.S(J3:J219), " ")</f>
        <v>1.4149537423418814</v>
      </c>
      <c r="L3" s="3">
        <f t="shared" ref="L3:L66" si="2">(C3-AVERAGEA(C3:C219))/_xlfn.STDEV.S(C3:C219)</f>
        <v>-0.4914022966837755</v>
      </c>
      <c r="N3" s="12">
        <f t="shared" ref="N3:N66" si="3">AVERAGEA(H3:H23)-AVERAGE(H24:H44)</f>
        <v>-5.395043044416235E-4</v>
      </c>
      <c r="O3" s="12">
        <f t="shared" ref="O3:O66" si="4">AVERAGEA(H3:H23)-AVERAGE(H24:H79)</f>
        <v>-4.7530402516769471E-4</v>
      </c>
      <c r="P3" s="12">
        <f t="shared" ref="P3:P66" si="5">AVERAGEA(H3:H23)-AVERAGE(H24:H136)</f>
        <v>-8.1492926861310153E-4</v>
      </c>
      <c r="Q3" s="12">
        <f t="shared" ref="Q3:Q66" si="6">AVERAGEA(J3:J23)-AVERAGE(J24:J44)</f>
        <v>2.0533797697274304E-3</v>
      </c>
      <c r="R3" s="12">
        <f t="shared" ref="R3:R66" si="7">AVERAGEA(J3:J23)-AVERAGE(J24:J79)</f>
        <v>2.4162708985188321E-3</v>
      </c>
      <c r="S3" s="12">
        <f t="shared" ref="S3:S66" si="8">AVERAGEA(J3:J23)-AVERAGE(J24:J136)</f>
        <v>2.4356932426239956E-3</v>
      </c>
      <c r="T3" s="12">
        <f t="shared" ref="T3:T66" si="9">AVERAGEA(C3:C23)-AVERAGE(C24:C44)</f>
        <v>-4.5238095238095299E-2</v>
      </c>
      <c r="U3" s="12">
        <f t="shared" ref="U3:U66" si="10">AVERAGEA(C3:C23)-AVERAGE(C24:C79)</f>
        <v>-6.6488095238095291E-2</v>
      </c>
      <c r="V3" s="12">
        <f t="shared" ref="V3:V66" si="11">AVERAGEA(C3:C23)-AVERAGE(C24:C136)</f>
        <v>-6.5946059839864901E-2</v>
      </c>
      <c r="X3">
        <v>-1.9935592700506058E-3</v>
      </c>
      <c r="Y3">
        <v>-6.0413834768161911E-4</v>
      </c>
      <c r="Z3">
        <v>-0.73159789390901697</v>
      </c>
    </row>
    <row r="4" spans="1:26" x14ac:dyDescent="0.25">
      <c r="A4" s="26">
        <v>64.37</v>
      </c>
      <c r="B4">
        <v>64.02</v>
      </c>
      <c r="C4">
        <v>1.68</v>
      </c>
      <c r="D4" s="2">
        <v>45495</v>
      </c>
      <c r="E4">
        <v>64.25</v>
      </c>
      <c r="F4">
        <v>0.12000000000000455</v>
      </c>
      <c r="G4">
        <v>-0.23000000000000398</v>
      </c>
      <c r="H4" s="5">
        <f t="shared" ref="H4:H67" si="12">IFERROR(F4/E4,"")</f>
        <v>1.8677042801557128E-3</v>
      </c>
      <c r="I4" s="3">
        <f t="shared" si="0"/>
        <v>0.60055891278152418</v>
      </c>
      <c r="J4" s="5">
        <f t="shared" ref="J4:J67" si="13">IFERROR(G4/E4,"")</f>
        <v>-3.5797665369650426E-3</v>
      </c>
      <c r="K4" s="3">
        <f t="shared" si="1"/>
        <v>0.93031526500787409</v>
      </c>
      <c r="L4" s="3">
        <f t="shared" si="2"/>
        <v>-0.30626914692901908</v>
      </c>
      <c r="N4" s="12">
        <f t="shared" si="3"/>
        <v>-5.9884935055009593E-4</v>
      </c>
      <c r="O4" s="12">
        <f t="shared" si="4"/>
        <v>-4.6174319429227056E-4</v>
      </c>
      <c r="P4" s="12">
        <f t="shared" si="5"/>
        <v>-8.7120244873084552E-4</v>
      </c>
      <c r="Q4" s="12">
        <f t="shared" si="6"/>
        <v>2.1071342285781292E-3</v>
      </c>
      <c r="R4" s="12">
        <f t="shared" si="7"/>
        <v>2.4182439997504595E-3</v>
      </c>
      <c r="S4" s="12">
        <f t="shared" si="8"/>
        <v>2.38736881015702E-3</v>
      </c>
      <c r="T4" s="12">
        <f t="shared" si="9"/>
        <v>-1.3333333333332975E-2</v>
      </c>
      <c r="U4" s="12">
        <f t="shared" si="10"/>
        <v>-5.0833333333332842E-2</v>
      </c>
      <c r="V4" s="12">
        <f t="shared" si="11"/>
        <v>-5.4230931310576658E-2</v>
      </c>
      <c r="X4">
        <v>-1.824262693827911E-3</v>
      </c>
      <c r="Y4">
        <v>-2.3020257826887663E-3</v>
      </c>
      <c r="Z4">
        <v>-0.44101805799476029</v>
      </c>
    </row>
    <row r="5" spans="1:26" x14ac:dyDescent="0.25">
      <c r="A5" s="26">
        <v>64.73</v>
      </c>
      <c r="B5">
        <v>64.48</v>
      </c>
      <c r="C5">
        <v>2.2400000000000002</v>
      </c>
      <c r="D5" s="2">
        <v>45492</v>
      </c>
      <c r="E5">
        <v>64.720000000000013</v>
      </c>
      <c r="F5">
        <v>9.9999999999909051E-3</v>
      </c>
      <c r="G5">
        <v>-0.24000000000000909</v>
      </c>
      <c r="H5" s="5">
        <f t="shared" si="12"/>
        <v>1.5451174289231927E-4</v>
      </c>
      <c r="I5" s="3">
        <f t="shared" si="0"/>
        <v>0.2255851732358688</v>
      </c>
      <c r="J5" s="5">
        <f t="shared" si="13"/>
        <v>-3.7082818294191756E-3</v>
      </c>
      <c r="K5" s="3">
        <f t="shared" si="1"/>
        <v>0.8521886172186548</v>
      </c>
      <c r="L5" s="3">
        <f t="shared" si="2"/>
        <v>1.016906732204494</v>
      </c>
      <c r="N5" s="12">
        <f t="shared" si="3"/>
        <v>-1.1643442006970153E-3</v>
      </c>
      <c r="O5" s="12">
        <f t="shared" si="4"/>
        <v>-6.7652542605407839E-4</v>
      </c>
      <c r="P5" s="12">
        <f t="shared" si="5"/>
        <v>-1.068934351931638E-3</v>
      </c>
      <c r="Q5" s="12">
        <f t="shared" si="6"/>
        <v>2.1583479632688815E-3</v>
      </c>
      <c r="R5" s="12">
        <f t="shared" si="7"/>
        <v>2.4070466502825179E-3</v>
      </c>
      <c r="S5" s="12">
        <f t="shared" si="8"/>
        <v>2.3341758907460268E-3</v>
      </c>
      <c r="T5" s="12">
        <f t="shared" si="9"/>
        <v>-4.3809523809523965E-2</v>
      </c>
      <c r="U5" s="12">
        <f t="shared" si="10"/>
        <v>-6.2678571428571583E-2</v>
      </c>
      <c r="V5" s="12">
        <f t="shared" si="11"/>
        <v>-6.3388116308470188E-2</v>
      </c>
      <c r="X5">
        <v>-9.4369298521547657E-4</v>
      </c>
      <c r="Y5">
        <v>-1.9128899352560333E-3</v>
      </c>
      <c r="Z5">
        <v>-1.0077737310644597</v>
      </c>
    </row>
    <row r="6" spans="1:26" x14ac:dyDescent="0.25">
      <c r="A6" s="26">
        <v>64.959999999999994</v>
      </c>
      <c r="B6">
        <v>64.92</v>
      </c>
      <c r="C6">
        <v>1.53</v>
      </c>
      <c r="D6" s="2">
        <v>45491</v>
      </c>
      <c r="E6">
        <v>65.049999999999983</v>
      </c>
      <c r="F6">
        <v>-8.99999999999892E-2</v>
      </c>
      <c r="G6">
        <v>-0.12999999999998124</v>
      </c>
      <c r="H6" s="5">
        <f t="shared" si="12"/>
        <v>-1.3835511145271211E-3</v>
      </c>
      <c r="I6" s="3">
        <f t="shared" si="0"/>
        <v>-0.10821062255906187</v>
      </c>
      <c r="J6" s="5">
        <f t="shared" si="13"/>
        <v>-1.9984627209835709E-3</v>
      </c>
      <c r="K6" s="3">
        <f t="shared" si="1"/>
        <v>1.9747820493442274</v>
      </c>
      <c r="L6" s="3">
        <f t="shared" si="2"/>
        <v>-0.66015241964989335</v>
      </c>
      <c r="N6" s="12">
        <f t="shared" si="3"/>
        <v>-1.5149473075136964E-3</v>
      </c>
      <c r="O6" s="12">
        <f t="shared" si="4"/>
        <v>-1.1758138873342568E-3</v>
      </c>
      <c r="P6" s="12">
        <f t="shared" si="5"/>
        <v>-1.3122471969849504E-3</v>
      </c>
      <c r="Q6" s="12">
        <f t="shared" si="6"/>
        <v>2.1238895729119708E-3</v>
      </c>
      <c r="R6" s="12">
        <f t="shared" si="7"/>
        <v>2.4133378471505621E-3</v>
      </c>
      <c r="S6" s="12">
        <f t="shared" si="8"/>
        <v>2.2806432215200876E-3</v>
      </c>
      <c r="T6" s="12">
        <f t="shared" si="9"/>
        <v>-6.8571428571429172E-2</v>
      </c>
      <c r="U6" s="12">
        <f t="shared" si="10"/>
        <v>-0.10470238095238082</v>
      </c>
      <c r="V6" s="12">
        <f t="shared" si="11"/>
        <v>-9.4062368310155575E-2</v>
      </c>
      <c r="X6">
        <v>-5.9405940594059407E-3</v>
      </c>
      <c r="Y6">
        <v>-3.8823353740480814E-3</v>
      </c>
      <c r="Z6">
        <v>-1.1195622449933855</v>
      </c>
    </row>
    <row r="7" spans="1:26" x14ac:dyDescent="0.25">
      <c r="A7" s="26">
        <v>66.66</v>
      </c>
      <c r="B7">
        <v>66.290000000000006</v>
      </c>
      <c r="C7">
        <v>1.81</v>
      </c>
      <c r="D7" s="2">
        <v>45490</v>
      </c>
      <c r="E7">
        <v>66.47</v>
      </c>
      <c r="F7">
        <v>0.18999999999999773</v>
      </c>
      <c r="G7">
        <v>-0.17999999999999261</v>
      </c>
      <c r="H7" s="5">
        <f t="shared" si="12"/>
        <v>2.8584323755077136E-3</v>
      </c>
      <c r="I7" s="3">
        <f t="shared" si="0"/>
        <v>0.8113175505949114</v>
      </c>
      <c r="J7" s="5">
        <f t="shared" si="13"/>
        <v>-2.7079885662703866E-3</v>
      </c>
      <c r="K7" s="3">
        <f t="shared" si="1"/>
        <v>1.5350205182778554</v>
      </c>
      <c r="L7" s="3">
        <f t="shared" si="2"/>
        <v>-4.363419633995164E-3</v>
      </c>
      <c r="N7" s="12">
        <f t="shared" si="3"/>
        <v>-1.5773497260010338E-3</v>
      </c>
      <c r="O7" s="12">
        <f t="shared" si="4"/>
        <v>-1.2796786189969937E-3</v>
      </c>
      <c r="P7" s="12">
        <f t="shared" si="5"/>
        <v>-1.3382633927543422E-3</v>
      </c>
      <c r="Q7" s="12">
        <f t="shared" si="6"/>
        <v>2.0962993939582504E-3</v>
      </c>
      <c r="R7" s="12">
        <f t="shared" si="7"/>
        <v>2.4062925404541619E-3</v>
      </c>
      <c r="S7" s="12">
        <f t="shared" si="8"/>
        <v>2.2088401275242452E-3</v>
      </c>
      <c r="T7" s="12">
        <f t="shared" si="9"/>
        <v>-6.9047619047619246E-2</v>
      </c>
      <c r="U7" s="12">
        <f t="shared" si="10"/>
        <v>-0.11101190476190448</v>
      </c>
      <c r="V7" s="12">
        <f t="shared" si="11"/>
        <v>-9.4483775811208925E-2</v>
      </c>
      <c r="X7">
        <v>-4.4033465433729639E-4</v>
      </c>
      <c r="Y7">
        <v>-2.4634110998406028E-3</v>
      </c>
      <c r="Z7">
        <v>-0.27869705789886734</v>
      </c>
    </row>
    <row r="8" spans="1:26" x14ac:dyDescent="0.25">
      <c r="A8" s="26">
        <v>66.16</v>
      </c>
      <c r="B8">
        <v>66</v>
      </c>
      <c r="C8">
        <v>1.55</v>
      </c>
      <c r="D8" s="2">
        <v>45489</v>
      </c>
      <c r="E8">
        <v>66.09</v>
      </c>
      <c r="F8">
        <v>0.12</v>
      </c>
      <c r="G8">
        <v>-9.0000000000003411E-2</v>
      </c>
      <c r="H8" s="5">
        <f t="shared" si="12"/>
        <v>1.8157058556513843E-3</v>
      </c>
      <c r="I8" s="3">
        <f t="shared" si="0"/>
        <v>0.59159453758084535</v>
      </c>
      <c r="J8" s="5">
        <f t="shared" si="13"/>
        <v>-1.3617793917385899E-3</v>
      </c>
      <c r="K8" s="3">
        <f t="shared" si="1"/>
        <v>2.4389964784282627</v>
      </c>
      <c r="L8" s="3">
        <f t="shared" si="2"/>
        <v>-0.61865007670933825</v>
      </c>
      <c r="N8" s="12">
        <f t="shared" si="3"/>
        <v>-1.9377933711237875E-3</v>
      </c>
      <c r="O8" s="12">
        <f t="shared" si="4"/>
        <v>-1.4582638334702514E-3</v>
      </c>
      <c r="P8" s="12">
        <f t="shared" si="5"/>
        <v>-1.4651449688161283E-3</v>
      </c>
      <c r="Q8" s="12">
        <f t="shared" si="6"/>
        <v>1.9852956370685895E-3</v>
      </c>
      <c r="R8" s="12">
        <f t="shared" si="7"/>
        <v>2.3708587111765629E-3</v>
      </c>
      <c r="S8" s="12">
        <f t="shared" si="8"/>
        <v>2.1253356273696761E-3</v>
      </c>
      <c r="T8" s="12">
        <f t="shared" si="9"/>
        <v>-9.0952380952381118E-2</v>
      </c>
      <c r="U8" s="12">
        <f t="shared" si="10"/>
        <v>-0.13369047619047603</v>
      </c>
      <c r="V8" s="12">
        <f t="shared" si="11"/>
        <v>-0.10850400337125943</v>
      </c>
      <c r="X8">
        <v>-2.9415884577671941E-3</v>
      </c>
      <c r="Y8">
        <v>-4.9239681390296896E-3</v>
      </c>
      <c r="Z8">
        <v>-1.4366349735336041</v>
      </c>
    </row>
    <row r="9" spans="1:26" x14ac:dyDescent="0.25">
      <c r="A9" s="26">
        <v>66.430000000000007</v>
      </c>
      <c r="B9">
        <v>66.430000000000007</v>
      </c>
      <c r="C9">
        <v>1.59</v>
      </c>
      <c r="D9" s="2">
        <v>45488</v>
      </c>
      <c r="E9">
        <v>66.510000000000005</v>
      </c>
      <c r="F9">
        <v>0.12</v>
      </c>
      <c r="G9">
        <v>-7.9999999999998295E-2</v>
      </c>
      <c r="H9" s="5">
        <f t="shared" si="12"/>
        <v>1.8042399639152005E-3</v>
      </c>
      <c r="I9" s="3">
        <f t="shared" si="0"/>
        <v>0.59325620418464275</v>
      </c>
      <c r="J9" s="5">
        <f t="shared" si="13"/>
        <v>-1.2028266426101081E-3</v>
      </c>
      <c r="K9" s="3">
        <f t="shared" si="1"/>
        <v>2.5899566600870783</v>
      </c>
      <c r="L9" s="3">
        <f t="shared" si="2"/>
        <v>-0.52919866668903015</v>
      </c>
      <c r="N9" s="12">
        <f t="shared" si="3"/>
        <v>-1.9268516299877215E-3</v>
      </c>
      <c r="O9" s="12">
        <f t="shared" si="4"/>
        <v>-1.6303609014914997E-3</v>
      </c>
      <c r="P9" s="12">
        <f t="shared" si="5"/>
        <v>-1.4812769804232674E-3</v>
      </c>
      <c r="Q9" s="12">
        <f t="shared" si="6"/>
        <v>1.9709073186842947E-3</v>
      </c>
      <c r="R9" s="12">
        <f t="shared" si="7"/>
        <v>2.2755758987225076E-3</v>
      </c>
      <c r="S9" s="12">
        <f t="shared" si="8"/>
        <v>2.0332336896048092E-3</v>
      </c>
      <c r="T9" s="12">
        <f t="shared" si="9"/>
        <v>-7.3333333333333472E-2</v>
      </c>
      <c r="U9" s="12">
        <f t="shared" si="10"/>
        <v>-0.11494047619047554</v>
      </c>
      <c r="V9" s="12">
        <f t="shared" si="11"/>
        <v>-9.0577328276442381E-2</v>
      </c>
      <c r="X9">
        <v>8.5421412300683373E-4</v>
      </c>
      <c r="Y9">
        <v>-2.0342923568730025E-3</v>
      </c>
      <c r="Z9">
        <v>-7.6179766375790353E-2</v>
      </c>
    </row>
    <row r="10" spans="1:26" x14ac:dyDescent="0.25">
      <c r="A10" s="26">
        <v>67.010000000000005</v>
      </c>
      <c r="B10">
        <v>67.010000000000005</v>
      </c>
      <c r="C10">
        <v>1.73</v>
      </c>
      <c r="D10" s="2">
        <v>45485</v>
      </c>
      <c r="E10">
        <v>67.23</v>
      </c>
      <c r="F10">
        <v>-0.17</v>
      </c>
      <c r="G10">
        <v>-0.21999999999999886</v>
      </c>
      <c r="H10" s="5">
        <f t="shared" si="12"/>
        <v>-2.5286330507214043E-3</v>
      </c>
      <c r="I10" s="3">
        <f t="shared" si="0"/>
        <v>-0.35222096525379731</v>
      </c>
      <c r="J10" s="5">
        <f t="shared" si="13"/>
        <v>-3.2723486538747413E-3</v>
      </c>
      <c r="K10" s="3">
        <f t="shared" si="1"/>
        <v>1.2358948449601586</v>
      </c>
      <c r="L10" s="3">
        <f t="shared" si="2"/>
        <v>-0.2012075807786117</v>
      </c>
      <c r="N10" s="12">
        <f t="shared" si="3"/>
        <v>-1.4655128556469812E-3</v>
      </c>
      <c r="O10" s="12">
        <f t="shared" si="4"/>
        <v>-1.4552222060268117E-3</v>
      </c>
      <c r="P10" s="12">
        <f t="shared" si="5"/>
        <v>-1.431507940104215E-3</v>
      </c>
      <c r="Q10" s="12">
        <f t="shared" si="6"/>
        <v>1.8912619532396014E-3</v>
      </c>
      <c r="R10" s="12">
        <f t="shared" si="7"/>
        <v>2.113367762556839E-3</v>
      </c>
      <c r="S10" s="12">
        <f t="shared" si="8"/>
        <v>1.876825091662641E-3</v>
      </c>
      <c r="T10" s="12">
        <f t="shared" si="9"/>
        <v>-4.7619047619047894E-2</v>
      </c>
      <c r="U10" s="12">
        <f t="shared" si="10"/>
        <v>-9.7499999999999476E-2</v>
      </c>
      <c r="V10" s="12">
        <f t="shared" si="11"/>
        <v>-7.9671302149177503E-2</v>
      </c>
      <c r="X10">
        <v>-6.607296753806377E-3</v>
      </c>
      <c r="Y10">
        <v>-1.5689630580516332E-3</v>
      </c>
      <c r="Z10">
        <v>-0.47773981574583152</v>
      </c>
    </row>
    <row r="11" spans="1:26" x14ac:dyDescent="0.25">
      <c r="A11" s="26">
        <v>66.64</v>
      </c>
      <c r="B11">
        <v>66.64</v>
      </c>
      <c r="C11">
        <v>1.44</v>
      </c>
      <c r="D11" s="2">
        <v>45484</v>
      </c>
      <c r="E11">
        <v>66.83</v>
      </c>
      <c r="F11">
        <v>-0.11</v>
      </c>
      <c r="G11">
        <v>-0.18999999999999773</v>
      </c>
      <c r="H11" s="5">
        <f t="shared" si="12"/>
        <v>-1.645967379919198E-3</v>
      </c>
      <c r="I11" s="3">
        <f t="shared" si="0"/>
        <v>-0.16628598776231115</v>
      </c>
      <c r="J11" s="5">
        <f t="shared" si="13"/>
        <v>-2.8430345653149445E-3</v>
      </c>
      <c r="K11" s="3">
        <f t="shared" si="1"/>
        <v>1.5353660391948474</v>
      </c>
      <c r="L11" s="3">
        <f t="shared" si="2"/>
        <v>-0.89178590908266964</v>
      </c>
      <c r="N11" s="12">
        <f t="shared" si="3"/>
        <v>-1.6289742110472071E-3</v>
      </c>
      <c r="O11" s="12">
        <f t="shared" si="4"/>
        <v>-1.411773341762945E-3</v>
      </c>
      <c r="P11" s="12">
        <f t="shared" si="5"/>
        <v>-1.3899439957166166E-3</v>
      </c>
      <c r="Q11" s="12">
        <f t="shared" si="6"/>
        <v>1.7846119988872665E-3</v>
      </c>
      <c r="R11" s="12">
        <f t="shared" si="7"/>
        <v>2.0158836887720988E-3</v>
      </c>
      <c r="S11" s="12">
        <f t="shared" si="8"/>
        <v>1.7695397296260702E-3</v>
      </c>
      <c r="T11" s="12">
        <f t="shared" si="9"/>
        <v>-7.5714285714285401E-2</v>
      </c>
      <c r="U11" s="12">
        <f t="shared" si="10"/>
        <v>-0.11821428571428494</v>
      </c>
      <c r="V11" s="12">
        <f t="shared" si="11"/>
        <v>-9.3072060682679369E-2</v>
      </c>
      <c r="X11">
        <v>-2.8981307056948264E-4</v>
      </c>
      <c r="Y11">
        <v>-7.2743467933491686E-3</v>
      </c>
      <c r="Z11">
        <v>-1.4179076334448184</v>
      </c>
    </row>
    <row r="12" spans="1:26" x14ac:dyDescent="0.25">
      <c r="A12" s="26">
        <v>67.290000000000006</v>
      </c>
      <c r="B12">
        <v>67.290000000000006</v>
      </c>
      <c r="C12">
        <v>2.2599999999999998</v>
      </c>
      <c r="D12" s="2">
        <v>45483</v>
      </c>
      <c r="E12">
        <v>67.64</v>
      </c>
      <c r="F12">
        <v>-0.22</v>
      </c>
      <c r="G12">
        <v>-0.34999999999999432</v>
      </c>
      <c r="H12" s="5">
        <f t="shared" si="12"/>
        <v>-3.2525133057362508E-3</v>
      </c>
      <c r="I12" s="3">
        <f t="shared" si="0"/>
        <v>-0.51333466946620132</v>
      </c>
      <c r="J12" s="5">
        <f t="shared" si="13"/>
        <v>-5.1744529863984963E-3</v>
      </c>
      <c r="K12" s="3">
        <f t="shared" si="1"/>
        <v>-4.1171811549581779E-2</v>
      </c>
      <c r="L12" s="3">
        <f t="shared" si="2"/>
        <v>1.0454295530917821</v>
      </c>
      <c r="N12" s="12">
        <f t="shared" si="3"/>
        <v>-1.6765864861880812E-3</v>
      </c>
      <c r="O12" s="12">
        <f t="shared" si="4"/>
        <v>-1.3516330273659325E-3</v>
      </c>
      <c r="P12" s="12">
        <f t="shared" si="5"/>
        <v>-1.4716202082098364E-3</v>
      </c>
      <c r="Q12" s="12">
        <f t="shared" si="6"/>
        <v>1.8387057863142168E-3</v>
      </c>
      <c r="R12" s="12">
        <f t="shared" si="7"/>
        <v>2.0761799943078362E-3</v>
      </c>
      <c r="S12" s="12">
        <f t="shared" si="8"/>
        <v>1.7601882458067428E-3</v>
      </c>
      <c r="T12" s="12">
        <f t="shared" si="9"/>
        <v>-9.333333333333349E-2</v>
      </c>
      <c r="U12" s="12">
        <f t="shared" si="10"/>
        <v>-0.11619047619047573</v>
      </c>
      <c r="V12" s="12">
        <f t="shared" si="11"/>
        <v>-9.2385166455962286E-2</v>
      </c>
      <c r="X12">
        <v>3.8111990618586926E-3</v>
      </c>
      <c r="Y12">
        <v>-3.2525133057362508E-3</v>
      </c>
      <c r="Z12">
        <v>1.0454295530917821</v>
      </c>
    </row>
    <row r="13" spans="1:26" x14ac:dyDescent="0.25">
      <c r="A13" s="26">
        <v>66.87</v>
      </c>
      <c r="B13">
        <v>67.25</v>
      </c>
      <c r="C13">
        <v>1.22</v>
      </c>
      <c r="D13" s="2">
        <v>45482</v>
      </c>
      <c r="E13">
        <v>67.36</v>
      </c>
      <c r="F13">
        <v>-0.49</v>
      </c>
      <c r="G13">
        <v>-0.10999999999999943</v>
      </c>
      <c r="H13" s="5">
        <f t="shared" si="12"/>
        <v>-7.2743467933491686E-3</v>
      </c>
      <c r="I13" s="3">
        <f t="shared" si="0"/>
        <v>-1.3913716442939053</v>
      </c>
      <c r="J13" s="5">
        <f t="shared" si="13"/>
        <v>-1.6330166270783764E-3</v>
      </c>
      <c r="K13" s="3">
        <f t="shared" si="1"/>
        <v>2.3756407568430098</v>
      </c>
      <c r="L13" s="3">
        <f t="shared" si="2"/>
        <v>-1.4179076334448184</v>
      </c>
      <c r="N13" s="12">
        <f t="shared" si="3"/>
        <v>-1.8266154378632625E-3</v>
      </c>
      <c r="O13" s="12">
        <f t="shared" si="4"/>
        <v>-1.734184167538179E-3</v>
      </c>
      <c r="P13" s="12">
        <f t="shared" si="5"/>
        <v>-1.5576684740850064E-3</v>
      </c>
      <c r="Q13" s="12">
        <f t="shared" si="6"/>
        <v>1.8005861266858487E-3</v>
      </c>
      <c r="R13" s="12">
        <f t="shared" si="7"/>
        <v>2.0905128655556962E-3</v>
      </c>
      <c r="S13" s="12">
        <f t="shared" si="8"/>
        <v>1.7136483402645998E-3</v>
      </c>
      <c r="T13" s="12">
        <f t="shared" si="9"/>
        <v>-9.6190476190475716E-2</v>
      </c>
      <c r="U13" s="12">
        <f t="shared" si="10"/>
        <v>-0.13029761904761838</v>
      </c>
      <c r="V13" s="12">
        <f t="shared" si="11"/>
        <v>-0.10730299199325688</v>
      </c>
      <c r="X13">
        <v>-1.1808118081180813E-3</v>
      </c>
      <c r="Y13">
        <v>-1.645967379919198E-3</v>
      </c>
      <c r="Z13">
        <v>-0.89178590908266964</v>
      </c>
    </row>
    <row r="14" spans="1:26" x14ac:dyDescent="0.25">
      <c r="A14" s="26">
        <v>70</v>
      </c>
      <c r="B14">
        <v>69.78</v>
      </c>
      <c r="C14">
        <v>1.62</v>
      </c>
      <c r="D14" s="2">
        <v>45481</v>
      </c>
      <c r="E14">
        <v>70.11</v>
      </c>
      <c r="F14">
        <v>-0.11</v>
      </c>
      <c r="G14">
        <v>-0.32999999999999829</v>
      </c>
      <c r="H14" s="5">
        <f t="shared" si="12"/>
        <v>-1.5689630580516332E-3</v>
      </c>
      <c r="I14" s="3">
        <f t="shared" si="0"/>
        <v>-0.16303463934324269</v>
      </c>
      <c r="J14" s="5">
        <f t="shared" si="13"/>
        <v>-4.7068891741548751E-3</v>
      </c>
      <c r="K14" s="3">
        <f t="shared" si="1"/>
        <v>0.28920780841814325</v>
      </c>
      <c r="L14" s="3">
        <f t="shared" si="2"/>
        <v>-0.47773981574583152</v>
      </c>
      <c r="N14" s="12">
        <f t="shared" si="3"/>
        <v>-1.5714440253356155E-3</v>
      </c>
      <c r="O14" s="12">
        <f t="shared" si="4"/>
        <v>-1.4809104649772878E-3</v>
      </c>
      <c r="P14" s="12">
        <f t="shared" si="5"/>
        <v>-1.4494752240201275E-3</v>
      </c>
      <c r="Q14" s="12">
        <f t="shared" si="6"/>
        <v>1.1858721681404704E-3</v>
      </c>
      <c r="R14" s="12">
        <f t="shared" si="7"/>
        <v>1.5797530687836452E-3</v>
      </c>
      <c r="S14" s="12">
        <f t="shared" si="8"/>
        <v>1.2470412288697911E-3</v>
      </c>
      <c r="T14" s="12">
        <f t="shared" si="9"/>
        <v>-7.1428571428571397E-2</v>
      </c>
      <c r="U14" s="12">
        <f t="shared" si="10"/>
        <v>-0.10851190476190431</v>
      </c>
      <c r="V14" s="12">
        <f t="shared" si="11"/>
        <v>-8.9452170248629947E-2</v>
      </c>
      <c r="X14">
        <v>-1.6088927892350445E-3</v>
      </c>
      <c r="Y14">
        <v>-2.5286330507214043E-3</v>
      </c>
      <c r="Z14">
        <v>-0.2012075807786117</v>
      </c>
    </row>
    <row r="15" spans="1:26" x14ac:dyDescent="0.25">
      <c r="A15" s="26">
        <v>68.680000000000007</v>
      </c>
      <c r="B15">
        <v>68.599999999999994</v>
      </c>
      <c r="C15">
        <v>1.79</v>
      </c>
      <c r="D15" s="2">
        <v>45478</v>
      </c>
      <c r="E15">
        <v>68.819999999999993</v>
      </c>
      <c r="F15">
        <v>-0.14000000000000001</v>
      </c>
      <c r="G15">
        <v>-0.21999999999999886</v>
      </c>
      <c r="H15" s="5">
        <f t="shared" si="12"/>
        <v>-2.0342923568730025E-3</v>
      </c>
      <c r="I15" s="3">
        <f t="shared" si="0"/>
        <v>-0.2684623231975819</v>
      </c>
      <c r="J15" s="5">
        <f t="shared" si="13"/>
        <v>-3.1967451322289868E-3</v>
      </c>
      <c r="K15" s="3">
        <f t="shared" si="1"/>
        <v>1.3300218403397104</v>
      </c>
      <c r="L15" s="3">
        <f t="shared" si="2"/>
        <v>-7.6179766375790353E-2</v>
      </c>
      <c r="N15" s="12">
        <f t="shared" si="3"/>
        <v>-1.4246912631050734E-3</v>
      </c>
      <c r="O15" s="12">
        <f t="shared" si="4"/>
        <v>-1.3244890038935746E-3</v>
      </c>
      <c r="P15" s="12">
        <f t="shared" si="5"/>
        <v>-1.3575063436903803E-3</v>
      </c>
      <c r="Q15" s="12">
        <f t="shared" si="6"/>
        <v>1.1803676428150667E-3</v>
      </c>
      <c r="R15" s="12">
        <f t="shared" si="7"/>
        <v>1.6857802414891711E-3</v>
      </c>
      <c r="S15" s="12">
        <f t="shared" si="8"/>
        <v>1.2545115011702856E-3</v>
      </c>
      <c r="T15" s="12">
        <f t="shared" si="9"/>
        <v>-4.8571428571428488E-2</v>
      </c>
      <c r="U15" s="12">
        <f t="shared" si="10"/>
        <v>-0.10029761904761836</v>
      </c>
      <c r="V15" s="12">
        <f t="shared" si="11"/>
        <v>-7.8137378845342775E-2</v>
      </c>
      <c r="X15">
        <v>5.0643901027347706E-3</v>
      </c>
      <c r="Y15">
        <v>1.8042399639152005E-3</v>
      </c>
      <c r="Z15">
        <v>-0.52919866668903015</v>
      </c>
    </row>
    <row r="16" spans="1:26" x14ac:dyDescent="0.25">
      <c r="A16" s="26">
        <v>68.709999999999994</v>
      </c>
      <c r="B16">
        <v>68.84</v>
      </c>
      <c r="C16">
        <v>1.22</v>
      </c>
      <c r="D16" s="2">
        <v>45477</v>
      </c>
      <c r="E16">
        <v>69.05</v>
      </c>
      <c r="F16">
        <v>-0.34</v>
      </c>
      <c r="G16">
        <v>-0.20999999999999375</v>
      </c>
      <c r="H16" s="5">
        <f t="shared" si="12"/>
        <v>-4.9239681390296896E-3</v>
      </c>
      <c r="I16" s="3">
        <f t="shared" si="0"/>
        <v>-0.88518593383039201</v>
      </c>
      <c r="J16" s="5">
        <f t="shared" si="13"/>
        <v>-3.0412744388123641E-3</v>
      </c>
      <c r="K16" s="3">
        <f t="shared" si="1"/>
        <v>1.4511961826039481</v>
      </c>
      <c r="L16" s="3">
        <f t="shared" si="2"/>
        <v>-1.4366349735336041</v>
      </c>
      <c r="N16" s="12">
        <f t="shared" si="3"/>
        <v>-1.6388813064527818E-3</v>
      </c>
      <c r="O16" s="12">
        <f t="shared" si="4"/>
        <v>-1.4202472730910883E-3</v>
      </c>
      <c r="P16" s="12">
        <f t="shared" si="5"/>
        <v>-1.4511463901628527E-3</v>
      </c>
      <c r="Q16" s="12">
        <f t="shared" si="6"/>
        <v>1.0566029900291032E-3</v>
      </c>
      <c r="R16" s="12">
        <f t="shared" si="7"/>
        <v>1.5612547666719895E-3</v>
      </c>
      <c r="S16" s="12">
        <f t="shared" si="8"/>
        <v>1.1285496828735081E-3</v>
      </c>
      <c r="T16" s="12">
        <f t="shared" si="9"/>
        <v>-8.0476190476190368E-2</v>
      </c>
      <c r="U16" s="12">
        <f t="shared" si="10"/>
        <v>-0.11172619047618992</v>
      </c>
      <c r="V16" s="12">
        <f t="shared" si="11"/>
        <v>-8.9490096923724671E-2</v>
      </c>
      <c r="X16">
        <v>-1.8214936247723133E-3</v>
      </c>
      <c r="Y16">
        <v>1.8157058556513843E-3</v>
      </c>
      <c r="Z16">
        <v>-0.61865007670933825</v>
      </c>
    </row>
    <row r="17" spans="1:26" x14ac:dyDescent="0.25">
      <c r="A17" s="26">
        <v>68.84</v>
      </c>
      <c r="B17">
        <v>68.709999999999994</v>
      </c>
      <c r="C17">
        <v>1.71</v>
      </c>
      <c r="D17" s="2">
        <v>45476</v>
      </c>
      <c r="E17">
        <v>69.010000000000005</v>
      </c>
      <c r="F17">
        <v>-0.17</v>
      </c>
      <c r="G17">
        <v>-0.30000000000001137</v>
      </c>
      <c r="H17" s="5">
        <f t="shared" si="12"/>
        <v>-2.4634110998406028E-3</v>
      </c>
      <c r="I17" s="3">
        <f t="shared" si="0"/>
        <v>-0.36180975530685949</v>
      </c>
      <c r="J17" s="5">
        <f t="shared" si="13"/>
        <v>-4.3471960585424047E-3</v>
      </c>
      <c r="K17" s="3">
        <f t="shared" si="1"/>
        <v>0.5571963463569376</v>
      </c>
      <c r="L17" s="3">
        <f t="shared" si="2"/>
        <v>-0.27869705789886734</v>
      </c>
      <c r="N17" s="12">
        <f t="shared" si="3"/>
        <v>-7.5007379889501099E-4</v>
      </c>
      <c r="O17" s="12">
        <f t="shared" si="4"/>
        <v>-1.1019429471713668E-3</v>
      </c>
      <c r="P17" s="12">
        <f t="shared" si="5"/>
        <v>-8.4097509297959819E-4</v>
      </c>
      <c r="Q17" s="12">
        <f t="shared" si="6"/>
        <v>8.4134273309809538E-4</v>
      </c>
      <c r="R17" s="12">
        <f t="shared" si="7"/>
        <v>1.3703268119706607E-3</v>
      </c>
      <c r="S17" s="12">
        <f t="shared" si="8"/>
        <v>9.3643374251019349E-4</v>
      </c>
      <c r="T17" s="12">
        <f t="shared" si="9"/>
        <v>-4.9047619047618785E-2</v>
      </c>
      <c r="U17" s="12">
        <f t="shared" si="10"/>
        <v>-9.0059523809523423E-2</v>
      </c>
      <c r="V17" s="12">
        <f t="shared" si="11"/>
        <v>-5.848714707121716E-2</v>
      </c>
      <c r="X17">
        <v>3.073484213467449E-3</v>
      </c>
      <c r="Y17">
        <v>2.8584323755077136E-3</v>
      </c>
      <c r="Z17">
        <v>-4.363419633995164E-3</v>
      </c>
    </row>
    <row r="18" spans="1:26" x14ac:dyDescent="0.25">
      <c r="A18" s="26">
        <v>66.709999999999994</v>
      </c>
      <c r="B18">
        <v>66.849999999999994</v>
      </c>
      <c r="C18">
        <v>1.36</v>
      </c>
      <c r="D18" s="2">
        <v>45475</v>
      </c>
      <c r="E18">
        <v>66.97</v>
      </c>
      <c r="F18">
        <v>-0.26</v>
      </c>
      <c r="G18">
        <v>-0.12000000000000455</v>
      </c>
      <c r="H18" s="5">
        <f t="shared" si="12"/>
        <v>-3.8823353740480814E-3</v>
      </c>
      <c r="I18" s="3">
        <f t="shared" si="0"/>
        <v>-0.67293827283957086</v>
      </c>
      <c r="J18" s="5">
        <f t="shared" si="13"/>
        <v>-1.791847095714567E-3</v>
      </c>
      <c r="K18" s="3">
        <f t="shared" si="1"/>
        <v>2.3394507993839788</v>
      </c>
      <c r="L18" s="3">
        <f t="shared" si="2"/>
        <v>-1.1195622449933855</v>
      </c>
      <c r="N18" s="12">
        <f t="shared" si="3"/>
        <v>9.1977065171807435E-5</v>
      </c>
      <c r="O18" s="12">
        <f t="shared" si="4"/>
        <v>-3.461653155651021E-4</v>
      </c>
      <c r="P18" s="12">
        <f t="shared" si="5"/>
        <v>-2.0377557948943192E-4</v>
      </c>
      <c r="Q18" s="12">
        <f t="shared" si="6"/>
        <v>6.7373819401691983E-4</v>
      </c>
      <c r="R18" s="12">
        <f t="shared" si="7"/>
        <v>1.245372007502305E-3</v>
      </c>
      <c r="S18" s="12">
        <f t="shared" si="8"/>
        <v>8.0503503697217614E-4</v>
      </c>
      <c r="T18" s="12">
        <f t="shared" si="9"/>
        <v>-1.7142857142857126E-2</v>
      </c>
      <c r="U18" s="12">
        <f t="shared" si="10"/>
        <v>-5.470238095238078E-2</v>
      </c>
      <c r="V18" s="12">
        <f t="shared" si="11"/>
        <v>-3.0231774125579314E-2</v>
      </c>
      <c r="X18">
        <v>-7.8771695594125491E-3</v>
      </c>
      <c r="Y18">
        <v>-1.3835511145271211E-3</v>
      </c>
      <c r="Z18">
        <v>-0.66015241964989335</v>
      </c>
    </row>
    <row r="19" spans="1:26" x14ac:dyDescent="0.25">
      <c r="A19" s="26">
        <v>67.83</v>
      </c>
      <c r="B19">
        <v>67.73</v>
      </c>
      <c r="C19">
        <v>1.41</v>
      </c>
      <c r="D19" s="2">
        <v>45474</v>
      </c>
      <c r="E19">
        <v>67.959999999999994</v>
      </c>
      <c r="F19">
        <v>-0.13</v>
      </c>
      <c r="G19">
        <v>-0.22999999999998977</v>
      </c>
      <c r="H19" s="5">
        <f t="shared" si="12"/>
        <v>-1.9128899352560333E-3</v>
      </c>
      <c r="I19" s="3">
        <f t="shared" si="0"/>
        <v>-0.24522764452794624</v>
      </c>
      <c r="J19" s="5">
        <f t="shared" si="13"/>
        <v>-3.3843437316066773E-3</v>
      </c>
      <c r="K19" s="3">
        <f t="shared" si="1"/>
        <v>1.2611653656285922</v>
      </c>
      <c r="L19" s="3">
        <f t="shared" si="2"/>
        <v>-1.0077737310644597</v>
      </c>
      <c r="N19" s="12">
        <f t="shared" si="3"/>
        <v>6.1835494049591422E-4</v>
      </c>
      <c r="O19" s="12">
        <f t="shared" si="4"/>
        <v>-1.5517774755365802E-4</v>
      </c>
      <c r="P19" s="12">
        <f t="shared" si="5"/>
        <v>-5.3697721177740584E-5</v>
      </c>
      <c r="Q19" s="12">
        <f t="shared" si="6"/>
        <v>7.0217389009790635E-4</v>
      </c>
      <c r="R19" s="12">
        <f t="shared" si="7"/>
        <v>1.1863304827993311E-3</v>
      </c>
      <c r="S19" s="12">
        <f t="shared" si="8"/>
        <v>6.8030114020864278E-4</v>
      </c>
      <c r="T19" s="12">
        <f t="shared" si="9"/>
        <v>2.3809523809523725E-3</v>
      </c>
      <c r="U19" s="12">
        <f t="shared" si="10"/>
        <v>-3.9226190476190359E-2</v>
      </c>
      <c r="V19" s="12">
        <f t="shared" si="11"/>
        <v>-1.5735356089337849E-2</v>
      </c>
      <c r="X19">
        <v>-5.5762081784386623E-3</v>
      </c>
      <c r="Y19">
        <v>1.5451174289231927E-4</v>
      </c>
      <c r="Z19">
        <v>1.016906732204494</v>
      </c>
    </row>
    <row r="20" spans="1:26" x14ac:dyDescent="0.25">
      <c r="A20" s="26">
        <v>65.010000000000005</v>
      </c>
      <c r="B20">
        <v>64.89</v>
      </c>
      <c r="C20">
        <v>1.65</v>
      </c>
      <c r="D20" s="2">
        <v>45471</v>
      </c>
      <c r="E20">
        <v>65.16</v>
      </c>
      <c r="F20">
        <v>-0.15</v>
      </c>
      <c r="G20">
        <v>-0.26999999999999602</v>
      </c>
      <c r="H20" s="5">
        <f t="shared" si="12"/>
        <v>-2.3020257826887663E-3</v>
      </c>
      <c r="I20" s="3">
        <f t="shared" si="0"/>
        <v>-0.33711123950024524</v>
      </c>
      <c r="J20" s="5">
        <f t="shared" si="13"/>
        <v>-4.1436464088397181E-3</v>
      </c>
      <c r="K20" s="3">
        <f t="shared" si="1"/>
        <v>0.73257374248163887</v>
      </c>
      <c r="L20" s="3">
        <f t="shared" si="2"/>
        <v>-0.44101805799476029</v>
      </c>
      <c r="N20" s="12">
        <f t="shared" si="3"/>
        <v>4.6427345248877048E-4</v>
      </c>
      <c r="O20" s="12">
        <f t="shared" si="4"/>
        <v>-1.391988712584599E-4</v>
      </c>
      <c r="P20" s="12">
        <f t="shared" si="5"/>
        <v>-4.6563334465884684E-5</v>
      </c>
      <c r="Q20" s="12">
        <f t="shared" si="6"/>
        <v>7.8884082223269932E-4</v>
      </c>
      <c r="R20" s="12">
        <f t="shared" si="7"/>
        <v>1.2222004461380697E-3</v>
      </c>
      <c r="S20" s="12">
        <f t="shared" si="8"/>
        <v>7.0545752583886599E-4</v>
      </c>
      <c r="T20" s="12">
        <f t="shared" si="9"/>
        <v>3.8095238095237072E-3</v>
      </c>
      <c r="U20" s="12">
        <f t="shared" si="10"/>
        <v>-3.9047619047618776E-2</v>
      </c>
      <c r="V20" s="12">
        <f t="shared" si="11"/>
        <v>-9.6797302991991074E-3</v>
      </c>
      <c r="X20">
        <v>1.1001100110011001E-3</v>
      </c>
      <c r="Y20">
        <v>1.8677042801557128E-3</v>
      </c>
      <c r="Z20">
        <v>-0.30626914692901908</v>
      </c>
    </row>
    <row r="21" spans="1:26" x14ac:dyDescent="0.25">
      <c r="A21" s="26">
        <v>66.17</v>
      </c>
      <c r="B21">
        <v>65.959999999999994</v>
      </c>
      <c r="C21">
        <v>1.53</v>
      </c>
      <c r="D21" s="2">
        <v>45470</v>
      </c>
      <c r="E21">
        <v>66.209999999999994</v>
      </c>
      <c r="F21">
        <v>-0.04</v>
      </c>
      <c r="G21">
        <v>-0.25</v>
      </c>
      <c r="H21" s="5">
        <f t="shared" si="12"/>
        <v>-6.0413834768161911E-4</v>
      </c>
      <c r="I21" s="3">
        <f t="shared" si="0"/>
        <v>2.2862259927697057E-2</v>
      </c>
      <c r="J21" s="5">
        <f t="shared" si="13"/>
        <v>-3.7758646730101197E-3</v>
      </c>
      <c r="K21" s="3">
        <f t="shared" si="1"/>
        <v>0.9966606676273797</v>
      </c>
      <c r="L21" s="3">
        <f t="shared" si="2"/>
        <v>-0.73159789390901697</v>
      </c>
      <c r="N21" s="12">
        <f t="shared" si="3"/>
        <v>7.6983659866908954E-4</v>
      </c>
      <c r="O21" s="12">
        <f t="shared" si="4"/>
        <v>2.1643937971264687E-5</v>
      </c>
      <c r="P21" s="12">
        <f t="shared" si="5"/>
        <v>1.5502721998469785E-4</v>
      </c>
      <c r="Q21" s="12">
        <f t="shared" si="6"/>
        <v>7.3394751173685296E-4</v>
      </c>
      <c r="R21" s="12">
        <f t="shared" si="7"/>
        <v>1.1952843448097324E-3</v>
      </c>
      <c r="S21" s="12">
        <f t="shared" si="8"/>
        <v>6.4970519435433079E-4</v>
      </c>
      <c r="T21" s="12">
        <f t="shared" si="9"/>
        <v>2.5714285714285356E-2</v>
      </c>
      <c r="U21" s="12">
        <f t="shared" si="10"/>
        <v>-1.2678571428571317E-2</v>
      </c>
      <c r="V21" s="12">
        <f t="shared" si="11"/>
        <v>1.405815423514567E-2</v>
      </c>
      <c r="X21">
        <v>-2.1899808376676703E-3</v>
      </c>
      <c r="Y21">
        <v>-7.8468298807288543E-4</v>
      </c>
      <c r="Z21">
        <v>-0.4914022966837755</v>
      </c>
    </row>
    <row r="22" spans="1:26" x14ac:dyDescent="0.25">
      <c r="A22" s="26">
        <v>65.94</v>
      </c>
      <c r="B22">
        <v>65.92</v>
      </c>
      <c r="C22">
        <v>1.43</v>
      </c>
      <c r="D22" s="2">
        <v>45468</v>
      </c>
      <c r="E22">
        <v>66.19</v>
      </c>
      <c r="F22">
        <v>-0.25</v>
      </c>
      <c r="G22">
        <v>-0.26999999999999602</v>
      </c>
      <c r="H22" s="5">
        <f t="shared" si="12"/>
        <v>-3.7770055899682734E-3</v>
      </c>
      <c r="I22" s="3">
        <f t="shared" si="0"/>
        <v>-0.63369791505072137</v>
      </c>
      <c r="J22" s="5">
        <f t="shared" si="13"/>
        <v>-4.0791660371656754E-3</v>
      </c>
      <c r="K22" s="3">
        <f t="shared" si="1"/>
        <v>0.7736955026903849</v>
      </c>
      <c r="L22" s="3">
        <f t="shared" si="2"/>
        <v>-0.97283047921320398</v>
      </c>
      <c r="N22" s="12">
        <f t="shared" si="3"/>
        <v>5.2848325632192327E-4</v>
      </c>
      <c r="O22" s="12">
        <f t="shared" si="4"/>
        <v>-3.4923636626528205E-4</v>
      </c>
      <c r="P22" s="12">
        <f t="shared" si="5"/>
        <v>-1.2329096109400361E-4</v>
      </c>
      <c r="Q22" s="12">
        <f t="shared" si="6"/>
        <v>6.4534040310697954E-4</v>
      </c>
      <c r="R22" s="12">
        <f t="shared" si="7"/>
        <v>1.0890718728146223E-3</v>
      </c>
      <c r="S22" s="12">
        <f t="shared" si="8"/>
        <v>5.0527444332193645E-4</v>
      </c>
      <c r="T22" s="12">
        <f t="shared" si="9"/>
        <v>7.1428571428573395E-3</v>
      </c>
      <c r="U22" s="12">
        <f t="shared" si="10"/>
        <v>-3.0476190476190324E-2</v>
      </c>
      <c r="V22" s="12">
        <f t="shared" si="11"/>
        <v>-5.7732827644318974E-4</v>
      </c>
      <c r="X22">
        <v>4.1684035014589413E-4</v>
      </c>
      <c r="Y22">
        <v>2.1030494216612038E-3</v>
      </c>
      <c r="Z22">
        <v>-0.29963767454251367</v>
      </c>
    </row>
    <row r="23" spans="1:26" x14ac:dyDescent="0.25">
      <c r="A23" s="26">
        <v>66.06</v>
      </c>
      <c r="B23">
        <v>65.87</v>
      </c>
      <c r="C23">
        <v>1.54</v>
      </c>
      <c r="D23" s="2">
        <v>45467</v>
      </c>
      <c r="E23">
        <v>66.099999999999994</v>
      </c>
      <c r="F23">
        <v>-0.04</v>
      </c>
      <c r="G23">
        <v>-0.22999999999998977</v>
      </c>
      <c r="H23" s="5">
        <f t="shared" si="12"/>
        <v>-6.0514372163388811E-4</v>
      </c>
      <c r="I23" s="3">
        <f t="shared" si="0"/>
        <v>2.4864051955681372E-2</v>
      </c>
      <c r="J23" s="5">
        <f t="shared" si="13"/>
        <v>-3.4795763993947016E-3</v>
      </c>
      <c r="K23" s="3">
        <f t="shared" si="1"/>
        <v>1.2002578944772671</v>
      </c>
      <c r="L23" s="3">
        <f t="shared" si="2"/>
        <v>-0.71677058635369173</v>
      </c>
      <c r="N23" s="12">
        <f t="shared" si="3"/>
        <v>3.3946105868479324E-4</v>
      </c>
      <c r="O23" s="12">
        <f t="shared" si="4"/>
        <v>-6.1467053716965771E-4</v>
      </c>
      <c r="P23" s="12">
        <f t="shared" si="5"/>
        <v>-4.296359930751997E-4</v>
      </c>
      <c r="Q23" s="12">
        <f t="shared" si="6"/>
        <v>4.1652268786787627E-4</v>
      </c>
      <c r="R23" s="12">
        <f t="shared" si="7"/>
        <v>8.803278588952303E-4</v>
      </c>
      <c r="S23" s="12">
        <f t="shared" si="8"/>
        <v>2.9356877477842557E-4</v>
      </c>
      <c r="T23" s="12">
        <f t="shared" si="9"/>
        <v>1.1904761904762307E-2</v>
      </c>
      <c r="U23" s="12">
        <f t="shared" si="10"/>
        <v>-2.6428571428571024E-2</v>
      </c>
      <c r="V23" s="12">
        <f t="shared" si="11"/>
        <v>1.3400758533503865E-3</v>
      </c>
      <c r="X23">
        <v>8.529650690495532E-3</v>
      </c>
    </row>
    <row r="24" spans="1:26" x14ac:dyDescent="0.25">
      <c r="A24" s="26">
        <v>67.36</v>
      </c>
      <c r="B24">
        <v>67.22</v>
      </c>
      <c r="C24">
        <v>1.82</v>
      </c>
      <c r="D24" s="2">
        <v>45464</v>
      </c>
      <c r="E24">
        <v>67.489999999999995</v>
      </c>
      <c r="F24">
        <v>-0.13</v>
      </c>
      <c r="G24">
        <v>-0.26999999999999602</v>
      </c>
      <c r="H24" s="5">
        <f t="shared" si="12"/>
        <v>-1.926211290561565E-3</v>
      </c>
      <c r="I24" s="3">
        <f t="shared" si="0"/>
        <v>-0.25588826601920839</v>
      </c>
      <c r="J24" s="5">
        <f t="shared" si="13"/>
        <v>-4.0005926803970372E-3</v>
      </c>
      <c r="K24" s="3">
        <f t="shared" si="1"/>
        <v>0.82453424715831802</v>
      </c>
      <c r="L24" s="3">
        <f t="shared" si="2"/>
        <v>-4.8378069619972396E-2</v>
      </c>
      <c r="N24" s="12">
        <f t="shared" si="3"/>
        <v>6.4002496898395156E-4</v>
      </c>
      <c r="O24" s="12">
        <f t="shared" si="4"/>
        <v>-3.3292920301144808E-4</v>
      </c>
      <c r="P24" s="12">
        <f t="shared" si="5"/>
        <v>-2.5171362040312816E-4</v>
      </c>
      <c r="Q24" s="12">
        <f t="shared" si="6"/>
        <v>2.9259110602735793E-4</v>
      </c>
      <c r="R24" s="12">
        <f t="shared" si="7"/>
        <v>7.9479113583162501E-4</v>
      </c>
      <c r="S24" s="12">
        <f t="shared" si="8"/>
        <v>1.9182367965696768E-4</v>
      </c>
      <c r="T24" s="12">
        <f t="shared" si="9"/>
        <v>1.4285714285711126E-3</v>
      </c>
      <c r="U24" s="12">
        <f t="shared" si="10"/>
        <v>-3.3035714285714057E-2</v>
      </c>
      <c r="V24" s="12">
        <f t="shared" si="11"/>
        <v>-1.0619469026551531E-3</v>
      </c>
      <c r="X24">
        <v>5.8737151248164469E-3</v>
      </c>
    </row>
    <row r="25" spans="1:26" x14ac:dyDescent="0.25">
      <c r="A25" s="26">
        <v>68.61</v>
      </c>
      <c r="B25">
        <v>68.459999999999994</v>
      </c>
      <c r="C25">
        <v>1.51</v>
      </c>
      <c r="D25" s="2">
        <v>45463</v>
      </c>
      <c r="E25">
        <v>68.78</v>
      </c>
      <c r="F25">
        <v>-0.17</v>
      </c>
      <c r="G25">
        <v>-0.32000000000000739</v>
      </c>
      <c r="H25" s="5">
        <f t="shared" si="12"/>
        <v>-2.4716487350974121E-3</v>
      </c>
      <c r="I25" s="3">
        <f t="shared" si="0"/>
        <v>-0.37102964835652175</v>
      </c>
      <c r="J25" s="5">
        <f t="shared" si="13"/>
        <v>-4.6525152660658242E-3</v>
      </c>
      <c r="K25" s="3">
        <f t="shared" si="1"/>
        <v>0.37207981950730784</v>
      </c>
      <c r="L25" s="3">
        <f t="shared" si="2"/>
        <v>-0.79674951272582129</v>
      </c>
      <c r="N25" s="12">
        <f t="shared" si="3"/>
        <v>8.0208102755615837E-4</v>
      </c>
      <c r="O25" s="12">
        <f t="shared" si="4"/>
        <v>-4.192421428150468E-4</v>
      </c>
      <c r="P25" s="12">
        <f t="shared" si="5"/>
        <v>-2.9044958892067863E-4</v>
      </c>
      <c r="Q25" s="12">
        <f t="shared" si="6"/>
        <v>2.9359255526968144E-4</v>
      </c>
      <c r="R25" s="12">
        <f t="shared" si="7"/>
        <v>6.6714657047716504E-4</v>
      </c>
      <c r="S25" s="12">
        <f t="shared" si="8"/>
        <v>5.3887035824287839E-5</v>
      </c>
      <c r="T25" s="12">
        <f t="shared" si="9"/>
        <v>-4.6190476190476115E-2</v>
      </c>
      <c r="U25" s="12">
        <f t="shared" si="10"/>
        <v>-6.2321428571428639E-2</v>
      </c>
      <c r="V25" s="12">
        <f t="shared" si="11"/>
        <v>-2.5145385587863611E-2</v>
      </c>
      <c r="X25">
        <v>-4.178272980501393E-3</v>
      </c>
    </row>
    <row r="26" spans="1:26" x14ac:dyDescent="0.25">
      <c r="A26" s="26">
        <v>67.75</v>
      </c>
      <c r="B26">
        <v>67.73</v>
      </c>
      <c r="C26">
        <v>1.62</v>
      </c>
      <c r="D26" s="2">
        <v>45462</v>
      </c>
      <c r="E26">
        <v>68.05</v>
      </c>
      <c r="F26">
        <v>-0.3</v>
      </c>
      <c r="G26">
        <v>-0.31999999999999318</v>
      </c>
      <c r="H26" s="5">
        <f t="shared" si="12"/>
        <v>-4.40852314474651E-3</v>
      </c>
      <c r="I26" s="3">
        <f t="shared" si="0"/>
        <v>-0.77990873822009188</v>
      </c>
      <c r="J26" s="5">
        <f t="shared" si="13"/>
        <v>-4.7024246877295107E-3</v>
      </c>
      <c r="K26" s="3">
        <f t="shared" si="1"/>
        <v>0.33603426759074173</v>
      </c>
      <c r="L26" s="3">
        <f t="shared" si="2"/>
        <v>-0.53832640383297914</v>
      </c>
      <c r="N26" s="12">
        <f t="shared" si="3"/>
        <v>1.4021014532974419E-3</v>
      </c>
      <c r="O26" s="12">
        <f t="shared" si="4"/>
        <v>-1.6304000898742857E-5</v>
      </c>
      <c r="P26" s="12">
        <f t="shared" si="5"/>
        <v>1.0325006164765057E-4</v>
      </c>
      <c r="Q26" s="12">
        <f t="shared" si="6"/>
        <v>2.5789334723503015E-4</v>
      </c>
      <c r="R26" s="12">
        <f t="shared" si="7"/>
        <v>5.6260969574716425E-4</v>
      </c>
      <c r="S26" s="12">
        <f t="shared" si="8"/>
        <v>-7.7554211373959646E-5</v>
      </c>
      <c r="T26" s="12">
        <f t="shared" si="9"/>
        <v>-1.1904761904761862E-2</v>
      </c>
      <c r="U26" s="12">
        <f t="shared" si="10"/>
        <v>-4.1904761904761889E-2</v>
      </c>
      <c r="V26" s="12">
        <f t="shared" si="11"/>
        <v>-1.0956595027433735E-4</v>
      </c>
      <c r="X26">
        <v>2.8457598178713718E-4</v>
      </c>
    </row>
    <row r="27" spans="1:26" x14ac:dyDescent="0.25">
      <c r="A27" s="26">
        <v>66.97</v>
      </c>
      <c r="B27">
        <v>66.86</v>
      </c>
      <c r="C27">
        <v>1.51</v>
      </c>
      <c r="D27" s="2">
        <v>45461</v>
      </c>
      <c r="E27">
        <v>67.099999999999994</v>
      </c>
      <c r="F27">
        <v>-0.13</v>
      </c>
      <c r="G27">
        <v>-0.23999999999999488</v>
      </c>
      <c r="H27" s="5">
        <f t="shared" si="12"/>
        <v>-1.9374068554396425E-3</v>
      </c>
      <c r="I27" s="3">
        <f t="shared" si="0"/>
        <v>-0.2712214417170648</v>
      </c>
      <c r="J27" s="5">
        <f t="shared" si="13"/>
        <v>-3.5767511177346484E-3</v>
      </c>
      <c r="K27" s="3">
        <f t="shared" si="1"/>
        <v>1.1198433678383544</v>
      </c>
      <c r="L27" s="3">
        <f t="shared" si="2"/>
        <v>-0.80818842175302141</v>
      </c>
      <c r="N27" s="12">
        <f t="shared" si="3"/>
        <v>1.0086311848814459E-3</v>
      </c>
      <c r="O27" s="12">
        <f t="shared" si="4"/>
        <v>5.1993201285021923E-5</v>
      </c>
      <c r="P27" s="12">
        <f t="shared" si="5"/>
        <v>2.0047434630564244E-4</v>
      </c>
      <c r="Q27" s="12">
        <f t="shared" si="6"/>
        <v>3.2103630023847408E-4</v>
      </c>
      <c r="R27" s="12">
        <f t="shared" si="7"/>
        <v>5.2030628152505403E-4</v>
      </c>
      <c r="S27" s="12">
        <f t="shared" si="8"/>
        <v>-9.1830045965590051E-5</v>
      </c>
      <c r="T27" s="12">
        <f t="shared" si="9"/>
        <v>-4.85714285714276E-2</v>
      </c>
      <c r="U27" s="12">
        <f t="shared" si="10"/>
        <v>-4.9345238095237498E-2</v>
      </c>
      <c r="V27" s="12">
        <f t="shared" si="11"/>
        <v>-7.5263379688152998E-3</v>
      </c>
      <c r="X27">
        <v>-3.9281705948372618E-3</v>
      </c>
    </row>
    <row r="28" spans="1:26" x14ac:dyDescent="0.25">
      <c r="A28" s="26">
        <v>66.66</v>
      </c>
      <c r="B28">
        <v>66.39</v>
      </c>
      <c r="C28">
        <v>1.51</v>
      </c>
      <c r="D28" s="2">
        <v>45460</v>
      </c>
      <c r="E28">
        <v>66.69</v>
      </c>
      <c r="F28">
        <v>-0.03</v>
      </c>
      <c r="G28">
        <v>-0.29999999999999716</v>
      </c>
      <c r="H28" s="5">
        <f t="shared" si="12"/>
        <v>-4.4984255510571302E-4</v>
      </c>
      <c r="I28" s="3">
        <f t="shared" si="0"/>
        <v>3.9299633166519084E-2</v>
      </c>
      <c r="J28" s="5">
        <f t="shared" si="13"/>
        <v>-4.4984255510570875E-3</v>
      </c>
      <c r="K28" s="3">
        <f t="shared" si="1"/>
        <v>0.49306243666845107</v>
      </c>
      <c r="L28" s="3">
        <f t="shared" si="2"/>
        <v>-0.81476286678141163</v>
      </c>
      <c r="N28" s="12">
        <f t="shared" si="3"/>
        <v>1.0814666243628293E-3</v>
      </c>
      <c r="O28" s="12">
        <f t="shared" si="4"/>
        <v>1.3701358940377591E-4</v>
      </c>
      <c r="P28" s="12">
        <f t="shared" si="5"/>
        <v>3.223509130289381E-4</v>
      </c>
      <c r="Q28" s="12">
        <f t="shared" si="6"/>
        <v>3.9671486695942466E-4</v>
      </c>
      <c r="R28" s="12">
        <f t="shared" si="7"/>
        <v>4.6110988789753102E-4</v>
      </c>
      <c r="S28" s="12">
        <f t="shared" si="8"/>
        <v>-1.4487148196314602E-4</v>
      </c>
      <c r="T28" s="12">
        <f t="shared" si="9"/>
        <v>-5.9523809523808868E-2</v>
      </c>
      <c r="U28" s="12">
        <f t="shared" si="10"/>
        <v>-4.9642857142856656E-2</v>
      </c>
      <c r="V28" s="12">
        <f t="shared" si="11"/>
        <v>-8.1795195954483813E-3</v>
      </c>
      <c r="X28">
        <v>-3.4217279726261761E-3</v>
      </c>
    </row>
    <row r="29" spans="1:26" x14ac:dyDescent="0.25">
      <c r="A29" s="26">
        <v>68.41</v>
      </c>
      <c r="B29">
        <v>68.099999999999994</v>
      </c>
      <c r="C29">
        <v>1.88</v>
      </c>
      <c r="D29" s="2">
        <v>45457</v>
      </c>
      <c r="E29">
        <v>68.349999999999994</v>
      </c>
      <c r="F29">
        <v>0.06</v>
      </c>
      <c r="G29">
        <v>-0.25</v>
      </c>
      <c r="H29" s="5">
        <f t="shared" si="12"/>
        <v>8.7783467446964157E-4</v>
      </c>
      <c r="I29" s="3">
        <f t="shared" si="0"/>
        <v>0.3120217472296869</v>
      </c>
      <c r="J29" s="5">
        <f t="shared" si="13"/>
        <v>-3.6576444769568402E-3</v>
      </c>
      <c r="K29" s="3">
        <f t="shared" si="1"/>
        <v>1.0784093456271622</v>
      </c>
      <c r="L29" s="3">
        <f t="shared" si="2"/>
        <v>7.0723391522483081E-2</v>
      </c>
      <c r="N29" s="12">
        <f t="shared" si="3"/>
        <v>1.4250613614757537E-3</v>
      </c>
      <c r="O29" s="12">
        <f t="shared" si="4"/>
        <v>5.0416710792600464E-4</v>
      </c>
      <c r="P29" s="12">
        <f t="shared" si="5"/>
        <v>5.8598519650057842E-4</v>
      </c>
      <c r="Q29" s="12">
        <f t="shared" si="6"/>
        <v>5.1957756528785582E-4</v>
      </c>
      <c r="R29" s="12">
        <f t="shared" si="7"/>
        <v>5.1236968162449419E-4</v>
      </c>
      <c r="S29" s="12">
        <f t="shared" si="8"/>
        <v>-1.2607114404381784E-4</v>
      </c>
      <c r="T29" s="12">
        <f t="shared" si="9"/>
        <v>-5.6666666666666421E-2</v>
      </c>
      <c r="U29" s="12">
        <f t="shared" si="10"/>
        <v>-4.4166666666666243E-2</v>
      </c>
      <c r="V29" s="12">
        <f t="shared" si="11"/>
        <v>-1.4454277286131134E-3</v>
      </c>
      <c r="X29">
        <v>-2.7937068078223788E-3</v>
      </c>
    </row>
    <row r="30" spans="1:26" x14ac:dyDescent="0.25">
      <c r="A30" s="26">
        <v>69.77</v>
      </c>
      <c r="B30">
        <v>69.28</v>
      </c>
      <c r="C30">
        <v>1.78</v>
      </c>
      <c r="D30" s="2">
        <v>45456</v>
      </c>
      <c r="E30">
        <v>69.599999999999994</v>
      </c>
      <c r="F30">
        <v>0.17</v>
      </c>
      <c r="G30">
        <v>-0.31999999999999318</v>
      </c>
      <c r="H30" s="5">
        <f t="shared" si="12"/>
        <v>2.4425287356321843E-3</v>
      </c>
      <c r="I30" s="3">
        <f t="shared" si="0"/>
        <v>0.64254167384020056</v>
      </c>
      <c r="J30" s="5">
        <f t="shared" si="13"/>
        <v>-4.5977011494251901E-3</v>
      </c>
      <c r="K30" s="3">
        <f t="shared" si="1"/>
        <v>0.42776161185046119</v>
      </c>
      <c r="L30" s="3">
        <f t="shared" si="2"/>
        <v>-0.16968781460312446</v>
      </c>
      <c r="N30" s="12">
        <f t="shared" si="3"/>
        <v>1.1549106799934004E-3</v>
      </c>
      <c r="O30" s="12">
        <f t="shared" si="4"/>
        <v>4.7020212776221343E-4</v>
      </c>
      <c r="P30" s="12">
        <f t="shared" si="5"/>
        <v>5.1932127075782317E-4</v>
      </c>
      <c r="Q30" s="12">
        <f t="shared" si="6"/>
        <v>4.3155504295871745E-4</v>
      </c>
      <c r="R30" s="12">
        <f t="shared" si="7"/>
        <v>3.9695162026743506E-4</v>
      </c>
      <c r="S30" s="12">
        <f t="shared" si="8"/>
        <v>-2.4553092034107753E-4</v>
      </c>
      <c r="T30" s="12">
        <f t="shared" si="9"/>
        <v>-7.7142857142856736E-2</v>
      </c>
      <c r="U30" s="12">
        <f t="shared" si="10"/>
        <v>-4.1249999999999343E-2</v>
      </c>
      <c r="V30" s="12">
        <f t="shared" si="11"/>
        <v>-3.7041719342600921E-3</v>
      </c>
      <c r="X30">
        <v>-2.5535536955596538E-3</v>
      </c>
    </row>
    <row r="31" spans="1:26" x14ac:dyDescent="0.25">
      <c r="A31" s="26">
        <v>70.31</v>
      </c>
      <c r="B31">
        <v>70.09</v>
      </c>
      <c r="C31">
        <v>1.43</v>
      </c>
      <c r="D31" s="2">
        <v>45454</v>
      </c>
      <c r="E31">
        <v>70.489999999999995</v>
      </c>
      <c r="F31">
        <v>-0.18</v>
      </c>
      <c r="G31">
        <v>-0.39999999999999147</v>
      </c>
      <c r="H31" s="5">
        <f t="shared" si="12"/>
        <v>-2.5535536955596538E-3</v>
      </c>
      <c r="I31" s="3">
        <f t="shared" si="0"/>
        <v>-0.38593393209241655</v>
      </c>
      <c r="J31" s="5">
        <f t="shared" si="13"/>
        <v>-5.6745637679102212E-3</v>
      </c>
      <c r="K31" s="3">
        <f t="shared" si="1"/>
        <v>-0.31598223899091171</v>
      </c>
      <c r="L31" s="3">
        <f t="shared" si="2"/>
        <v>-1.0152986318468509</v>
      </c>
      <c r="N31" s="12">
        <f t="shared" si="3"/>
        <v>3.50126799172382E-4</v>
      </c>
      <c r="O31" s="12">
        <f t="shared" si="4"/>
        <v>-5.5050097468664063E-5</v>
      </c>
      <c r="P31" s="12">
        <f t="shared" si="5"/>
        <v>4.4524285233269291E-5</v>
      </c>
      <c r="Q31" s="12">
        <f t="shared" si="6"/>
        <v>2.76954676681547E-4</v>
      </c>
      <c r="R31" s="12">
        <f t="shared" si="7"/>
        <v>2.9975580353714445E-4</v>
      </c>
      <c r="S31" s="12">
        <f t="shared" si="8"/>
        <v>-3.4379622065898105E-4</v>
      </c>
      <c r="T31" s="12">
        <f t="shared" si="9"/>
        <v>-0.11285714285714232</v>
      </c>
      <c r="U31" s="12">
        <f t="shared" si="10"/>
        <v>-6.2738095238094482E-2</v>
      </c>
      <c r="V31" s="12">
        <f t="shared" si="11"/>
        <v>-2.6565528866413279E-2</v>
      </c>
      <c r="X31">
        <v>2.4425287356321843E-3</v>
      </c>
    </row>
    <row r="32" spans="1:26" x14ac:dyDescent="0.25">
      <c r="A32" s="26">
        <v>67.819999999999993</v>
      </c>
      <c r="B32">
        <v>67.790000000000006</v>
      </c>
      <c r="C32">
        <v>1.46</v>
      </c>
      <c r="D32" s="2">
        <v>45453</v>
      </c>
      <c r="E32">
        <v>68.010000000000005</v>
      </c>
      <c r="F32">
        <v>-0.19</v>
      </c>
      <c r="G32">
        <v>-0.21999999999999886</v>
      </c>
      <c r="H32" s="5">
        <f t="shared" si="12"/>
        <v>-2.7937068078223788E-3</v>
      </c>
      <c r="I32" s="3">
        <f t="shared" si="0"/>
        <v>-0.42444614782232631</v>
      </c>
      <c r="J32" s="5">
        <f t="shared" si="13"/>
        <v>-3.2348184090574745E-3</v>
      </c>
      <c r="K32" s="3">
        <f t="shared" si="1"/>
        <v>1.3661665988081293</v>
      </c>
      <c r="L32" s="3">
        <f t="shared" si="2"/>
        <v>-0.94788477986673758</v>
      </c>
      <c r="N32" s="12">
        <f t="shared" si="3"/>
        <v>1.0566778182513311E-3</v>
      </c>
      <c r="O32" s="12">
        <f t="shared" si="4"/>
        <v>1.4892470403110288E-4</v>
      </c>
      <c r="P32" s="12">
        <f t="shared" si="5"/>
        <v>2.2284409205038742E-4</v>
      </c>
      <c r="Q32" s="12">
        <f t="shared" si="6"/>
        <v>9.8579354483214164E-5</v>
      </c>
      <c r="R32" s="12">
        <f t="shared" si="7"/>
        <v>2.935653799353748E-4</v>
      </c>
      <c r="S32" s="12">
        <f t="shared" si="8"/>
        <v>-3.6394696905384799E-4</v>
      </c>
      <c r="T32" s="12">
        <f t="shared" si="9"/>
        <v>-6.9523809523809543E-2</v>
      </c>
      <c r="U32" s="12">
        <f t="shared" si="10"/>
        <v>-4.7678571428571459E-2</v>
      </c>
      <c r="V32" s="12">
        <f t="shared" si="11"/>
        <v>-1.310998735777491E-2</v>
      </c>
      <c r="X32">
        <v>8.7783467446964157E-4</v>
      </c>
    </row>
    <row r="33" spans="1:24" x14ac:dyDescent="0.25">
      <c r="A33" s="26">
        <v>69.900000000000006</v>
      </c>
      <c r="B33">
        <v>69.739999999999995</v>
      </c>
      <c r="C33">
        <v>1.93</v>
      </c>
      <c r="D33" s="2">
        <v>45450</v>
      </c>
      <c r="E33">
        <v>70.14</v>
      </c>
      <c r="F33">
        <v>-0.24</v>
      </c>
      <c r="G33">
        <v>-0.40000000000000568</v>
      </c>
      <c r="H33" s="5">
        <f t="shared" si="12"/>
        <v>-3.4217279726261761E-3</v>
      </c>
      <c r="I33" s="3">
        <f t="shared" si="0"/>
        <v>-0.55833236628562499</v>
      </c>
      <c r="J33" s="5">
        <f t="shared" si="13"/>
        <v>-5.702879954377041E-3</v>
      </c>
      <c r="K33" s="3">
        <f t="shared" si="1"/>
        <v>-0.32088523590306295</v>
      </c>
      <c r="L33" s="3">
        <f t="shared" si="2"/>
        <v>0.1832122557245825</v>
      </c>
      <c r="N33" s="12">
        <f t="shared" si="3"/>
        <v>9.6518064015054623E-4</v>
      </c>
      <c r="O33" s="12">
        <f t="shared" si="4"/>
        <v>1.3613141591264206E-4</v>
      </c>
      <c r="P33" s="12">
        <f t="shared" si="5"/>
        <v>2.955251029596479E-4</v>
      </c>
      <c r="Q33" s="12">
        <f t="shared" si="6"/>
        <v>1.357606703939352E-5</v>
      </c>
      <c r="R33" s="12">
        <f t="shared" si="7"/>
        <v>2.1178201755794532E-4</v>
      </c>
      <c r="S33" s="12">
        <f t="shared" si="8"/>
        <v>-4.3125414526374879E-4</v>
      </c>
      <c r="T33" s="12">
        <f t="shared" si="9"/>
        <v>-3.2380952380951955E-2</v>
      </c>
      <c r="U33" s="12">
        <f t="shared" si="10"/>
        <v>-2.9107142857142554E-2</v>
      </c>
      <c r="V33" s="12">
        <f t="shared" si="11"/>
        <v>8.6472819216183439E-3</v>
      </c>
      <c r="X33">
        <v>-4.4984255510571302E-4</v>
      </c>
    </row>
    <row r="34" spans="1:24" x14ac:dyDescent="0.25">
      <c r="A34" s="26">
        <v>71</v>
      </c>
      <c r="B34">
        <v>70.55</v>
      </c>
      <c r="C34">
        <v>1.58</v>
      </c>
      <c r="D34" s="2">
        <v>45449</v>
      </c>
      <c r="E34">
        <v>71.28</v>
      </c>
      <c r="F34">
        <v>-0.28000000000000003</v>
      </c>
      <c r="G34">
        <v>-0.73000000000000398</v>
      </c>
      <c r="H34" s="5">
        <f t="shared" si="12"/>
        <v>-3.9281705948372618E-3</v>
      </c>
      <c r="I34" s="3">
        <f t="shared" si="0"/>
        <v>-0.6675448195700312</v>
      </c>
      <c r="J34" s="5">
        <f t="shared" si="13"/>
        <v>-1.024130190796863E-2</v>
      </c>
      <c r="K34" s="3">
        <f t="shared" si="1"/>
        <v>-3.4393727537869161</v>
      </c>
      <c r="L34" s="3">
        <f t="shared" si="2"/>
        <v>-0.66713527122813798</v>
      </c>
      <c r="N34" s="12">
        <f t="shared" si="3"/>
        <v>5.1322697836265379E-4</v>
      </c>
      <c r="O34" s="12">
        <f t="shared" si="4"/>
        <v>4.5537745103362389E-4</v>
      </c>
      <c r="P34" s="12">
        <f t="shared" si="5"/>
        <v>4.4008422240957484E-4</v>
      </c>
      <c r="Q34" s="12">
        <f t="shared" si="6"/>
        <v>-5.7006675708572499E-5</v>
      </c>
      <c r="R34" s="12">
        <f t="shared" si="7"/>
        <v>1.9429400709850518E-4</v>
      </c>
      <c r="S34" s="12">
        <f t="shared" si="8"/>
        <v>-4.2961073562412105E-4</v>
      </c>
      <c r="T34" s="12">
        <f t="shared" si="9"/>
        <v>-5.0476190476190785E-2</v>
      </c>
      <c r="U34" s="12">
        <f t="shared" si="10"/>
        <v>-3.4642857142857197E-2</v>
      </c>
      <c r="V34" s="12">
        <f t="shared" si="11"/>
        <v>-1.6434892541090651E-3</v>
      </c>
      <c r="X34">
        <v>-1.9374068554396425E-3</v>
      </c>
    </row>
    <row r="35" spans="1:24" x14ac:dyDescent="0.25">
      <c r="A35" s="26">
        <v>70.3</v>
      </c>
      <c r="B35">
        <v>70</v>
      </c>
      <c r="C35">
        <v>1.8</v>
      </c>
      <c r="D35" s="2">
        <v>45448</v>
      </c>
      <c r="E35">
        <v>70.28</v>
      </c>
      <c r="F35">
        <v>0.02</v>
      </c>
      <c r="G35">
        <v>-0.28000000000000114</v>
      </c>
      <c r="H35" s="5">
        <f t="shared" si="12"/>
        <v>2.8457598178713718E-4</v>
      </c>
      <c r="I35" s="3">
        <f t="shared" si="0"/>
        <v>0.18762878333701885</v>
      </c>
      <c r="J35" s="5">
        <f t="shared" si="13"/>
        <v>-3.9840637450199367E-3</v>
      </c>
      <c r="K35" s="3">
        <f t="shared" si="1"/>
        <v>0.87088911251028822</v>
      </c>
      <c r="L35" s="3">
        <f t="shared" si="2"/>
        <v>-0.14214997918153768</v>
      </c>
      <c r="N35" s="12">
        <f t="shared" si="3"/>
        <v>3.5930673285024305E-4</v>
      </c>
      <c r="O35" s="12">
        <f t="shared" si="4"/>
        <v>2.3336926244702471E-4</v>
      </c>
      <c r="P35" s="12">
        <f t="shared" si="5"/>
        <v>2.7404332331945841E-4</v>
      </c>
      <c r="Q35" s="12">
        <f t="shared" si="6"/>
        <v>1.5713684180737857E-4</v>
      </c>
      <c r="R35" s="12">
        <f t="shared" si="7"/>
        <v>4.1358636029476589E-4</v>
      </c>
      <c r="S35" s="12">
        <f t="shared" si="8"/>
        <v>-2.4982490660580437E-4</v>
      </c>
      <c r="T35" s="12">
        <f t="shared" si="9"/>
        <v>-6.2857142857142945E-2</v>
      </c>
      <c r="U35" s="12">
        <f t="shared" si="10"/>
        <v>-5.0119047619047397E-2</v>
      </c>
      <c r="V35" s="12">
        <f t="shared" si="11"/>
        <v>-1.2625368731563391E-2</v>
      </c>
      <c r="X35">
        <v>-4.40852314474651E-3</v>
      </c>
    </row>
    <row r="36" spans="1:24" x14ac:dyDescent="0.25">
      <c r="A36" s="26">
        <v>71.5</v>
      </c>
      <c r="B36">
        <v>71.39</v>
      </c>
      <c r="C36">
        <v>1.52</v>
      </c>
      <c r="D36" s="2">
        <v>45447</v>
      </c>
      <c r="E36">
        <v>71.8</v>
      </c>
      <c r="F36">
        <v>-0.3</v>
      </c>
      <c r="G36">
        <v>-0.40999999999999659</v>
      </c>
      <c r="H36" s="5">
        <f t="shared" si="12"/>
        <v>-4.178272980501393E-3</v>
      </c>
      <c r="I36" s="3">
        <f t="shared" si="0"/>
        <v>-0.72708511598071623</v>
      </c>
      <c r="J36" s="5">
        <f t="shared" si="13"/>
        <v>-5.7103064066851891E-3</v>
      </c>
      <c r="K36" s="3">
        <f t="shared" si="1"/>
        <v>-0.34861474516502389</v>
      </c>
      <c r="L36" s="3">
        <f t="shared" si="2"/>
        <v>-0.82038444206541761</v>
      </c>
      <c r="N36" s="12">
        <f t="shared" si="3"/>
        <v>3.2480429431624796E-4</v>
      </c>
      <c r="O36" s="12">
        <f t="shared" si="4"/>
        <v>1.7890020149759016E-4</v>
      </c>
      <c r="P36" s="12">
        <f t="shared" si="5"/>
        <v>2.3478896203525971E-4</v>
      </c>
      <c r="Q36" s="12">
        <f t="shared" si="6"/>
        <v>5.2973933599529191E-4</v>
      </c>
      <c r="R36" s="12">
        <f t="shared" si="7"/>
        <v>4.7784367752055825E-4</v>
      </c>
      <c r="S36" s="12">
        <f t="shared" si="8"/>
        <v>-1.9801397433590658E-4</v>
      </c>
      <c r="T36" s="12">
        <f t="shared" si="9"/>
        <v>-8.9047619047619264E-2</v>
      </c>
      <c r="U36" s="12">
        <f t="shared" si="10"/>
        <v>-6.5654761904761605E-2</v>
      </c>
      <c r="V36" s="12">
        <f t="shared" si="11"/>
        <v>-3.1866835229667378E-2</v>
      </c>
      <c r="X36">
        <v>-2.4716487350974121E-3</v>
      </c>
    </row>
    <row r="37" spans="1:24" x14ac:dyDescent="0.25">
      <c r="A37" s="26">
        <v>75.349999999999994</v>
      </c>
      <c r="B37">
        <v>74.42</v>
      </c>
      <c r="C37">
        <v>1.78</v>
      </c>
      <c r="D37" s="2">
        <v>45446</v>
      </c>
      <c r="E37">
        <v>74.91</v>
      </c>
      <c r="F37">
        <v>0.44</v>
      </c>
      <c r="G37">
        <v>-0.48999999999999488</v>
      </c>
      <c r="H37" s="5">
        <f t="shared" si="12"/>
        <v>5.8737151248164469E-3</v>
      </c>
      <c r="I37" s="3">
        <f t="shared" si="0"/>
        <v>1.321583661661325</v>
      </c>
      <c r="J37" s="5">
        <f t="shared" si="13"/>
        <v>-6.5411827526364293E-3</v>
      </c>
      <c r="K37" s="3">
        <f t="shared" si="1"/>
        <v>-0.94099998215952085</v>
      </c>
      <c r="L37" s="3">
        <f t="shared" si="2"/>
        <v>-0.20134264332122795</v>
      </c>
      <c r="N37" s="12">
        <f t="shared" si="3"/>
        <v>5.7908608796939276E-4</v>
      </c>
      <c r="O37" s="12">
        <f t="shared" si="4"/>
        <v>3.6351334314636916E-4</v>
      </c>
      <c r="P37" s="12">
        <f t="shared" si="5"/>
        <v>3.3513588408430172E-4</v>
      </c>
      <c r="Q37" s="12">
        <f t="shared" si="6"/>
        <v>6.0136551617939651E-4</v>
      </c>
      <c r="R37" s="12">
        <f t="shared" si="7"/>
        <v>4.8072690467904338E-4</v>
      </c>
      <c r="S37" s="12">
        <f t="shared" si="8"/>
        <v>-1.9647234359095479E-4</v>
      </c>
      <c r="T37" s="12">
        <f t="shared" si="9"/>
        <v>-6.761904761904769E-2</v>
      </c>
      <c r="U37" s="12">
        <f t="shared" si="10"/>
        <v>-3.7499999999999867E-2</v>
      </c>
      <c r="V37" s="12">
        <f t="shared" si="11"/>
        <v>-1.2642225031606058E-2</v>
      </c>
      <c r="X37">
        <v>-1.926211290561565E-3</v>
      </c>
    </row>
    <row r="38" spans="1:24" x14ac:dyDescent="0.25">
      <c r="A38" s="26">
        <v>74.489999999999995</v>
      </c>
      <c r="B38">
        <v>73.36</v>
      </c>
      <c r="C38">
        <v>2.19</v>
      </c>
      <c r="D38" s="2">
        <v>45443</v>
      </c>
      <c r="E38">
        <v>73.86</v>
      </c>
      <c r="F38">
        <v>0.63</v>
      </c>
      <c r="G38">
        <v>-0.5</v>
      </c>
      <c r="H38" s="5">
        <f t="shared" si="12"/>
        <v>8.529650690495532E-3</v>
      </c>
      <c r="I38" s="3">
        <f t="shared" si="0"/>
        <v>1.8796953758406365</v>
      </c>
      <c r="J38" s="5">
        <f t="shared" si="13"/>
        <v>-6.769564040075819E-3</v>
      </c>
      <c r="K38" s="3">
        <f t="shared" si="1"/>
        <v>-1.1070092978255623</v>
      </c>
      <c r="L38" s="3">
        <f t="shared" si="2"/>
        <v>0.78574393295041289</v>
      </c>
      <c r="N38" s="12">
        <f t="shared" si="3"/>
        <v>2.1601623555185252E-4</v>
      </c>
      <c r="O38" s="12">
        <f t="shared" si="4"/>
        <v>-3.0106831020363929E-4</v>
      </c>
      <c r="P38" s="12">
        <f t="shared" si="5"/>
        <v>-4.2559175196460052E-5</v>
      </c>
      <c r="Q38" s="12">
        <f t="shared" si="6"/>
        <v>6.8198204310249318E-4</v>
      </c>
      <c r="R38" s="12">
        <f t="shared" si="7"/>
        <v>5.3599064587693448E-4</v>
      </c>
      <c r="S38" s="12">
        <f t="shared" si="8"/>
        <v>-1.529919651672533E-4</v>
      </c>
      <c r="T38" s="12">
        <f t="shared" si="9"/>
        <v>-6.8571428571428727E-2</v>
      </c>
      <c r="U38" s="12">
        <f t="shared" si="10"/>
        <v>-4.9226190476190146E-2</v>
      </c>
      <c r="V38" s="12">
        <f t="shared" si="11"/>
        <v>-2.2094395280236379E-2</v>
      </c>
      <c r="X38">
        <v>-6.0514372163388811E-4</v>
      </c>
    </row>
    <row r="39" spans="1:24" x14ac:dyDescent="0.25">
      <c r="A39" s="26">
        <v>72</v>
      </c>
      <c r="B39">
        <v>71.66</v>
      </c>
      <c r="C39">
        <v>1.67</v>
      </c>
      <c r="D39" s="2">
        <v>45442</v>
      </c>
      <c r="E39">
        <v>71.97</v>
      </c>
      <c r="F39">
        <v>0.03</v>
      </c>
      <c r="G39">
        <v>-0.31000000000000227</v>
      </c>
      <c r="H39" s="5">
        <f t="shared" si="12"/>
        <v>4.1684035014589413E-4</v>
      </c>
      <c r="I39" s="3">
        <f t="shared" si="0"/>
        <v>0.22980235737851976</v>
      </c>
      <c r="J39" s="5">
        <f t="shared" si="13"/>
        <v>-4.3073502848409379E-3</v>
      </c>
      <c r="K39" s="3">
        <f t="shared" si="1"/>
        <v>0.60464831519533335</v>
      </c>
      <c r="L39" s="3">
        <f t="shared" si="2"/>
        <v>-0.46267761985925249</v>
      </c>
      <c r="N39" s="12">
        <f t="shared" si="3"/>
        <v>2.5788915332565629E-4</v>
      </c>
      <c r="O39" s="12">
        <f t="shared" si="4"/>
        <v>-5.6375891874737259E-4</v>
      </c>
      <c r="P39" s="12">
        <f t="shared" si="5"/>
        <v>-2.5522669206801195E-4</v>
      </c>
      <c r="Q39" s="12">
        <f t="shared" si="6"/>
        <v>8.0919477881016052E-4</v>
      </c>
      <c r="R39" s="12">
        <f t="shared" si="7"/>
        <v>5.7619692002222351E-4</v>
      </c>
      <c r="S39" s="12">
        <f t="shared" si="8"/>
        <v>-1.1995387068674136E-4</v>
      </c>
      <c r="T39" s="12">
        <f t="shared" si="9"/>
        <v>-5.5238095238095086E-2</v>
      </c>
      <c r="U39" s="12">
        <f t="shared" si="10"/>
        <v>-5.041666666666611E-2</v>
      </c>
      <c r="V39" s="12">
        <f t="shared" si="11"/>
        <v>-2.715971344289958E-2</v>
      </c>
      <c r="X39">
        <v>-3.7770055899682734E-3</v>
      </c>
    </row>
    <row r="40" spans="1:24" x14ac:dyDescent="0.25">
      <c r="A40" s="26">
        <v>72.900000000000006</v>
      </c>
      <c r="B40">
        <v>72.84</v>
      </c>
      <c r="C40">
        <v>1.5</v>
      </c>
      <c r="D40" s="2">
        <v>45440</v>
      </c>
      <c r="E40">
        <v>73.06</v>
      </c>
      <c r="F40">
        <v>-0.16</v>
      </c>
      <c r="G40">
        <v>-0.21999999999999886</v>
      </c>
      <c r="H40" s="5">
        <f t="shared" si="12"/>
        <v>-2.1899808376676703E-3</v>
      </c>
      <c r="I40" s="3">
        <f t="shared" si="0"/>
        <v>-0.30441839113507452</v>
      </c>
      <c r="J40" s="5">
        <f t="shared" si="13"/>
        <v>-3.0112236517930309E-3</v>
      </c>
      <c r="K40" s="3">
        <f t="shared" si="1"/>
        <v>1.4875841634875417</v>
      </c>
      <c r="L40" s="3">
        <f t="shared" si="2"/>
        <v>-0.87551942429967655</v>
      </c>
      <c r="N40" s="12">
        <f t="shared" si="3"/>
        <v>-2.6959785467279467E-4</v>
      </c>
      <c r="O40" s="12">
        <f t="shared" si="4"/>
        <v>-9.6914833144581619E-4</v>
      </c>
      <c r="P40" s="12">
        <f t="shared" si="5"/>
        <v>-6.6698957172820893E-4</v>
      </c>
      <c r="Q40" s="12">
        <f t="shared" si="6"/>
        <v>6.3555054428482936E-4</v>
      </c>
      <c r="R40" s="12">
        <f t="shared" si="7"/>
        <v>4.1324706091635729E-4</v>
      </c>
      <c r="S40" s="12">
        <f t="shared" si="8"/>
        <v>-3.0420896217283125E-4</v>
      </c>
      <c r="T40" s="12">
        <f t="shared" si="9"/>
        <v>-6.7142857142857393E-2</v>
      </c>
      <c r="U40" s="12">
        <f t="shared" si="10"/>
        <v>-5.6428571428571495E-2</v>
      </c>
      <c r="V40" s="12">
        <f t="shared" si="11"/>
        <v>-3.3691529709229506E-2</v>
      </c>
      <c r="X40">
        <v>-6.0413834768161911E-4</v>
      </c>
    </row>
    <row r="41" spans="1:24" x14ac:dyDescent="0.25">
      <c r="A41" s="26">
        <v>72.8</v>
      </c>
      <c r="B41">
        <v>72.34</v>
      </c>
      <c r="C41">
        <v>2.0499999999999998</v>
      </c>
      <c r="D41" s="2">
        <v>45436</v>
      </c>
      <c r="E41">
        <v>72.72</v>
      </c>
      <c r="F41">
        <v>0.08</v>
      </c>
      <c r="G41">
        <v>-0.37999999999999545</v>
      </c>
      <c r="H41" s="5">
        <f t="shared" si="12"/>
        <v>1.1001100110011001E-3</v>
      </c>
      <c r="I41" s="3">
        <f t="shared" si="0"/>
        <v>0.36995864627841318</v>
      </c>
      <c r="J41" s="5">
        <f t="shared" si="13"/>
        <v>-5.2255225522551633E-3</v>
      </c>
      <c r="K41" s="3">
        <f t="shared" si="1"/>
        <v>-4.3460432194981566E-2</v>
      </c>
      <c r="L41" s="3">
        <f t="shared" si="2"/>
        <v>0.44395975913863878</v>
      </c>
      <c r="N41" s="12">
        <f t="shared" si="3"/>
        <v>-6.3418251178854834E-4</v>
      </c>
      <c r="O41" s="12">
        <f t="shared" si="4"/>
        <v>-8.1154729965814685E-4</v>
      </c>
      <c r="P41" s="12">
        <f t="shared" si="5"/>
        <v>-5.3232599784007711E-4</v>
      </c>
      <c r="Q41" s="12">
        <f t="shared" si="6"/>
        <v>7.2130219631692284E-4</v>
      </c>
      <c r="R41" s="12">
        <f t="shared" si="7"/>
        <v>3.723298133387707E-4</v>
      </c>
      <c r="S41" s="12">
        <f t="shared" si="8"/>
        <v>-3.7022857125012815E-4</v>
      </c>
      <c r="T41" s="12">
        <f t="shared" si="9"/>
        <v>-0.10047619047619039</v>
      </c>
      <c r="U41" s="12">
        <f t="shared" si="10"/>
        <v>-5.4642857142856993E-2</v>
      </c>
      <c r="V41" s="12">
        <f t="shared" si="11"/>
        <v>-3.5613147914032917E-2</v>
      </c>
      <c r="X41">
        <v>-2.3020257826887663E-3</v>
      </c>
    </row>
    <row r="42" spans="1:24" x14ac:dyDescent="0.25">
      <c r="A42" s="26">
        <v>74.900000000000006</v>
      </c>
      <c r="B42">
        <v>74.84</v>
      </c>
      <c r="C42">
        <v>1.31</v>
      </c>
      <c r="D42" s="2">
        <v>45435</v>
      </c>
      <c r="E42">
        <v>75.319999999999993</v>
      </c>
      <c r="F42">
        <v>-0.42</v>
      </c>
      <c r="G42">
        <v>-0.47999999999998977</v>
      </c>
      <c r="H42" s="5">
        <f t="shared" si="12"/>
        <v>-5.5762081784386623E-3</v>
      </c>
      <c r="I42" s="3">
        <f t="shared" si="0"/>
        <v>-1.0022931901900196</v>
      </c>
      <c r="J42" s="5">
        <f t="shared" si="13"/>
        <v>-6.3728093467869066E-3</v>
      </c>
      <c r="K42" s="3">
        <f t="shared" si="1"/>
        <v>-0.83979481634227293</v>
      </c>
      <c r="L42" s="3">
        <f t="shared" si="2"/>
        <v>-1.3403550096936381</v>
      </c>
      <c r="N42" s="12">
        <f t="shared" si="3"/>
        <v>-9.8329394114248956E-4</v>
      </c>
      <c r="O42" s="12">
        <f t="shared" si="4"/>
        <v>-1.2704616374430888E-3</v>
      </c>
      <c r="P42" s="12">
        <f t="shared" si="5"/>
        <v>-7.2536100378988474E-4</v>
      </c>
      <c r="Q42" s="12">
        <f t="shared" si="6"/>
        <v>8.311701583397094E-4</v>
      </c>
      <c r="R42" s="12">
        <f t="shared" si="7"/>
        <v>4.0666940115496875E-4</v>
      </c>
      <c r="S42" s="12">
        <f t="shared" si="8"/>
        <v>-3.7668079648884786E-4</v>
      </c>
      <c r="T42" s="12">
        <f t="shared" si="9"/>
        <v>-9.4761904761904825E-2</v>
      </c>
      <c r="U42" s="12">
        <f t="shared" si="10"/>
        <v>-6.0357142857142554E-2</v>
      </c>
      <c r="V42" s="12">
        <f t="shared" si="11"/>
        <v>-3.6434892541087338E-2</v>
      </c>
      <c r="X42">
        <v>-1.9128899352560333E-3</v>
      </c>
    </row>
    <row r="43" spans="1:24" x14ac:dyDescent="0.25">
      <c r="A43" s="26">
        <v>74.31</v>
      </c>
      <c r="B43">
        <v>74.319999999999993</v>
      </c>
      <c r="C43">
        <v>1.5</v>
      </c>
      <c r="D43" s="2">
        <v>45434</v>
      </c>
      <c r="E43">
        <v>74.900000000000006</v>
      </c>
      <c r="F43">
        <v>-0.59</v>
      </c>
      <c r="G43">
        <v>-0.58000000000001251</v>
      </c>
      <c r="H43" s="5">
        <f t="shared" si="12"/>
        <v>-7.8771695594125491E-3</v>
      </c>
      <c r="I43" s="3">
        <f t="shared" si="0"/>
        <v>-1.4730452826539033</v>
      </c>
      <c r="J43" s="5">
        <f t="shared" si="13"/>
        <v>-7.7436582109480971E-3</v>
      </c>
      <c r="K43" s="3">
        <f t="shared" si="1"/>
        <v>-1.7945753854229927</v>
      </c>
      <c r="L43" s="3">
        <f t="shared" si="2"/>
        <v>-0.88982916613154217</v>
      </c>
      <c r="N43" s="12">
        <f t="shared" si="3"/>
        <v>-1.2743591999583323E-3</v>
      </c>
      <c r="O43" s="12">
        <f t="shared" si="4"/>
        <v>-1.3404463261160312E-3</v>
      </c>
      <c r="P43" s="12">
        <f t="shared" si="5"/>
        <v>-7.9544610413418207E-4</v>
      </c>
      <c r="Q43" s="12">
        <f t="shared" si="6"/>
        <v>8.0466680623131337E-4</v>
      </c>
      <c r="R43" s="12">
        <f t="shared" si="7"/>
        <v>3.9599768362612656E-4</v>
      </c>
      <c r="S43" s="12">
        <f t="shared" si="8"/>
        <v>-4.3974407208925616E-4</v>
      </c>
      <c r="T43" s="12">
        <f t="shared" si="9"/>
        <v>-0.11047619047619084</v>
      </c>
      <c r="U43" s="12">
        <f t="shared" si="10"/>
        <v>-5.5833333333333846E-2</v>
      </c>
      <c r="V43" s="12">
        <f t="shared" si="11"/>
        <v>-3.2852928782132862E-2</v>
      </c>
      <c r="X43">
        <v>-3.8823353740480814E-3</v>
      </c>
    </row>
    <row r="44" spans="1:24" x14ac:dyDescent="0.25">
      <c r="A44" s="26">
        <v>71.8</v>
      </c>
      <c r="B44">
        <v>71.209999999999994</v>
      </c>
      <c r="C44">
        <v>1.51</v>
      </c>
      <c r="D44" s="2">
        <v>45433</v>
      </c>
      <c r="E44">
        <v>71.58</v>
      </c>
      <c r="F44">
        <v>0.22</v>
      </c>
      <c r="G44">
        <v>-0.37000000000000455</v>
      </c>
      <c r="H44" s="5">
        <f t="shared" si="12"/>
        <v>3.073484213467449E-3</v>
      </c>
      <c r="I44" s="3">
        <f t="shared" si="0"/>
        <v>0.77099641899186355</v>
      </c>
      <c r="J44" s="5">
        <f t="shared" si="13"/>
        <v>-5.1690416317407735E-3</v>
      </c>
      <c r="K44" s="3">
        <f t="shared" si="1"/>
        <v>-3.0831214163849544E-2</v>
      </c>
      <c r="L44" s="3">
        <f t="shared" si="2"/>
        <v>-0.87245569577155369</v>
      </c>
      <c r="N44" s="12">
        <f t="shared" si="3"/>
        <v>-2.0435423363734072E-3</v>
      </c>
      <c r="O44" s="12">
        <f t="shared" si="4"/>
        <v>-1.492504382028349E-3</v>
      </c>
      <c r="P44" s="12">
        <f t="shared" si="5"/>
        <v>-8.1388718045843282E-4</v>
      </c>
      <c r="Q44" s="12">
        <f t="shared" si="6"/>
        <v>7.5618182313485788E-4</v>
      </c>
      <c r="R44" s="12">
        <f t="shared" si="7"/>
        <v>4.1467027963869047E-4</v>
      </c>
      <c r="S44" s="12">
        <f t="shared" si="8"/>
        <v>-4.022721522781679E-4</v>
      </c>
      <c r="T44" s="12">
        <f t="shared" si="9"/>
        <v>-0.12333333333333396</v>
      </c>
      <c r="U44" s="12">
        <f t="shared" si="10"/>
        <v>-6.529761904761977E-2</v>
      </c>
      <c r="V44" s="12">
        <f t="shared" si="11"/>
        <v>-3.6759376316899406E-2</v>
      </c>
      <c r="X44">
        <v>-2.4634110998406028E-3</v>
      </c>
    </row>
    <row r="45" spans="1:24" x14ac:dyDescent="0.25">
      <c r="A45" s="26">
        <v>71.239999999999995</v>
      </c>
      <c r="B45">
        <v>70.92</v>
      </c>
      <c r="C45">
        <v>1.37</v>
      </c>
      <c r="D45" s="2">
        <v>45432</v>
      </c>
      <c r="E45">
        <v>71.37</v>
      </c>
      <c r="F45">
        <v>-0.13</v>
      </c>
      <c r="G45">
        <v>-0.45000000000000284</v>
      </c>
      <c r="H45" s="5">
        <f t="shared" si="12"/>
        <v>-1.8214936247723133E-3</v>
      </c>
      <c r="I45" s="3">
        <f t="shared" si="0"/>
        <v>-0.23075212314316326</v>
      </c>
      <c r="J45" s="5">
        <f t="shared" si="13"/>
        <v>-6.3051702395965081E-3</v>
      </c>
      <c r="K45" s="3">
        <f t="shared" si="1"/>
        <v>-0.81755802405423228</v>
      </c>
      <c r="L45" s="3">
        <f t="shared" si="2"/>
        <v>-1.2152862192831433</v>
      </c>
      <c r="N45" s="12">
        <f t="shared" si="3"/>
        <v>-1.8782951615995717E-3</v>
      </c>
      <c r="O45" s="12">
        <f t="shared" si="4"/>
        <v>-1.6667229110545274E-3</v>
      </c>
      <c r="P45" s="12">
        <f t="shared" si="5"/>
        <v>-9.1224328915566412E-4</v>
      </c>
      <c r="Q45" s="12">
        <f t="shared" si="6"/>
        <v>8.1447699217565735E-4</v>
      </c>
      <c r="R45" s="12">
        <f t="shared" si="7"/>
        <v>4.7002062318651956E-4</v>
      </c>
      <c r="S45" s="12">
        <f t="shared" si="8"/>
        <v>-3.712121344578408E-4</v>
      </c>
      <c r="T45" s="12">
        <f t="shared" si="9"/>
        <v>-9.5714285714285641E-2</v>
      </c>
      <c r="U45" s="12">
        <f t="shared" si="10"/>
        <v>-5.5892857142857189E-2</v>
      </c>
      <c r="V45" s="12">
        <f t="shared" si="11"/>
        <v>-2.7711757269279769E-2</v>
      </c>
      <c r="X45">
        <v>-4.9239681390296896E-3</v>
      </c>
    </row>
    <row r="46" spans="1:24" x14ac:dyDescent="0.25">
      <c r="A46" s="26">
        <v>69.459999999999994</v>
      </c>
      <c r="B46">
        <v>68.64</v>
      </c>
      <c r="C46">
        <v>1.98</v>
      </c>
      <c r="D46" s="2">
        <v>45429</v>
      </c>
      <c r="E46">
        <v>69.11</v>
      </c>
      <c r="F46">
        <v>0.35</v>
      </c>
      <c r="G46">
        <v>-0.46999999999999886</v>
      </c>
      <c r="H46" s="5">
        <f t="shared" si="12"/>
        <v>5.0643901027347706E-3</v>
      </c>
      <c r="I46" s="3">
        <f t="shared" si="0"/>
        <v>1.1836223639066419</v>
      </c>
      <c r="J46" s="5">
        <f t="shared" si="13"/>
        <v>-6.8007524236723899E-3</v>
      </c>
      <c r="K46" s="3">
        <f t="shared" si="1"/>
        <v>-1.1682910109362961</v>
      </c>
      <c r="L46" s="3">
        <f t="shared" si="2"/>
        <v>0.24536010122305535</v>
      </c>
      <c r="N46" s="12">
        <f t="shared" si="3"/>
        <v>-2.0385459999799679E-3</v>
      </c>
      <c r="O46" s="12">
        <f t="shared" si="4"/>
        <v>-1.9208462185839081E-3</v>
      </c>
      <c r="P46" s="12">
        <f t="shared" si="5"/>
        <v>-1.1452690157596702E-3</v>
      </c>
      <c r="Q46" s="12">
        <f t="shared" si="6"/>
        <v>6.0804729601151263E-4</v>
      </c>
      <c r="R46" s="12">
        <f t="shared" si="7"/>
        <v>3.514341383185739E-4</v>
      </c>
      <c r="S46" s="12">
        <f t="shared" si="8"/>
        <v>-5.139487703855446E-4</v>
      </c>
      <c r="T46" s="12">
        <f t="shared" si="9"/>
        <v>-6.3333333333333686E-2</v>
      </c>
      <c r="U46" s="12">
        <f t="shared" si="10"/>
        <v>-2.6130952380952976E-2</v>
      </c>
      <c r="V46" s="12">
        <f t="shared" si="11"/>
        <v>-4.3531394858840056E-3</v>
      </c>
      <c r="X46">
        <v>-2.0342923568730025E-3</v>
      </c>
    </row>
    <row r="47" spans="1:24" x14ac:dyDescent="0.25">
      <c r="A47" s="26">
        <v>68.260000000000005</v>
      </c>
      <c r="B47">
        <v>68.03</v>
      </c>
      <c r="C47">
        <v>1.52</v>
      </c>
      <c r="D47" s="2">
        <v>45428</v>
      </c>
      <c r="E47">
        <v>68.37</v>
      </c>
      <c r="F47">
        <v>-0.11</v>
      </c>
      <c r="G47">
        <v>-0.34000000000000341</v>
      </c>
      <c r="H47" s="5">
        <f t="shared" si="12"/>
        <v>-1.6088927892350445E-3</v>
      </c>
      <c r="I47" s="3">
        <f t="shared" si="0"/>
        <v>-0.18670974484203881</v>
      </c>
      <c r="J47" s="5">
        <f t="shared" si="13"/>
        <v>-4.9729413485447328E-3</v>
      </c>
      <c r="K47" s="3">
        <f t="shared" si="1"/>
        <v>0.10038765633922267</v>
      </c>
      <c r="L47" s="3">
        <f t="shared" si="2"/>
        <v>-0.86536087244218196</v>
      </c>
      <c r="N47" s="12">
        <f t="shared" si="3"/>
        <v>-1.8405549149452644E-3</v>
      </c>
      <c r="O47" s="12">
        <f t="shared" si="4"/>
        <v>-2.0977829512275337E-3</v>
      </c>
      <c r="P47" s="12">
        <f t="shared" si="5"/>
        <v>-1.429927905709463E-3</v>
      </c>
      <c r="Q47" s="12">
        <f t="shared" si="6"/>
        <v>5.1558579288176615E-4</v>
      </c>
      <c r="R47" s="12">
        <f t="shared" si="7"/>
        <v>2.2137706170691392E-4</v>
      </c>
      <c r="S47" s="12">
        <f t="shared" si="8"/>
        <v>-6.0199729045412598E-4</v>
      </c>
      <c r="T47" s="12">
        <f t="shared" si="9"/>
        <v>-5.9523809523809978E-2</v>
      </c>
      <c r="U47" s="12">
        <f t="shared" si="10"/>
        <v>-3.3750000000000391E-2</v>
      </c>
      <c r="V47" s="12">
        <f t="shared" si="11"/>
        <v>-1.8558786346397849E-2</v>
      </c>
      <c r="X47">
        <v>-1.5689630580516332E-3</v>
      </c>
    </row>
    <row r="48" spans="1:24" x14ac:dyDescent="0.25">
      <c r="A48" s="26">
        <v>67.67</v>
      </c>
      <c r="B48">
        <v>67.44</v>
      </c>
      <c r="C48">
        <v>1.5</v>
      </c>
      <c r="D48" s="2">
        <v>45426</v>
      </c>
      <c r="E48">
        <v>67.75</v>
      </c>
      <c r="F48">
        <v>-0.08</v>
      </c>
      <c r="G48">
        <v>-0.31000000000000227</v>
      </c>
      <c r="H48" s="5">
        <f t="shared" si="12"/>
        <v>-1.1808118081180813E-3</v>
      </c>
      <c r="I48" s="3">
        <f t="shared" si="0"/>
        <v>-0.10347288535095027</v>
      </c>
      <c r="J48" s="5">
        <f t="shared" si="13"/>
        <v>-4.5756457564575985E-3</v>
      </c>
      <c r="K48" s="3">
        <f t="shared" si="1"/>
        <v>0.36836515799741171</v>
      </c>
      <c r="L48" s="3">
        <f t="shared" si="2"/>
        <v>-0.92149109784294958</v>
      </c>
      <c r="N48" s="12">
        <f t="shared" si="3"/>
        <v>-1.6993062278049514E-3</v>
      </c>
      <c r="O48" s="12">
        <f t="shared" si="4"/>
        <v>-1.3221055563154959E-3</v>
      </c>
      <c r="P48" s="12">
        <f t="shared" si="5"/>
        <v>-7.7517844567783737E-4</v>
      </c>
      <c r="Q48" s="12">
        <f t="shared" si="6"/>
        <v>5.0361820379669995E-4</v>
      </c>
      <c r="R48" s="12">
        <f t="shared" si="7"/>
        <v>1.1612513801423797E-4</v>
      </c>
      <c r="S48" s="12">
        <f t="shared" si="8"/>
        <v>-7.0293142864185851E-4</v>
      </c>
      <c r="T48" s="12">
        <f t="shared" si="9"/>
        <v>-1.0952380952381491E-2</v>
      </c>
      <c r="U48" s="12">
        <f t="shared" si="10"/>
        <v>8.5119047619039989E-3</v>
      </c>
      <c r="V48" s="12">
        <f t="shared" si="11"/>
        <v>1.7062789717655846E-2</v>
      </c>
      <c r="X48">
        <v>-7.2743467933491686E-3</v>
      </c>
    </row>
    <row r="49" spans="1:24" x14ac:dyDescent="0.25">
      <c r="A49" s="26">
        <v>68.48</v>
      </c>
      <c r="B49">
        <v>67.95</v>
      </c>
      <c r="C49">
        <v>1.67</v>
      </c>
      <c r="D49" s="2">
        <v>45425</v>
      </c>
      <c r="E49">
        <v>68.22</v>
      </c>
      <c r="F49">
        <v>0.26</v>
      </c>
      <c r="G49">
        <v>-0.26999999999999602</v>
      </c>
      <c r="H49" s="5">
        <f t="shared" si="12"/>
        <v>3.8111990618586926E-3</v>
      </c>
      <c r="I49" s="3">
        <f t="shared" si="0"/>
        <v>0.92312301060556823</v>
      </c>
      <c r="J49" s="5">
        <f t="shared" si="13"/>
        <v>-3.9577836411608912E-3</v>
      </c>
      <c r="K49" s="3">
        <f t="shared" si="1"/>
        <v>0.79627895152984307</v>
      </c>
      <c r="L49" s="3">
        <f t="shared" si="2"/>
        <v>-0.52009551758280392</v>
      </c>
      <c r="N49" s="12">
        <f t="shared" si="3"/>
        <v>-1.3916085498435692E-3</v>
      </c>
      <c r="O49" s="12">
        <f t="shared" si="4"/>
        <v>-1.2849004216693048E-3</v>
      </c>
      <c r="P49" s="12">
        <f t="shared" si="5"/>
        <v>-7.8102509425182073E-4</v>
      </c>
      <c r="Q49" s="12">
        <f t="shared" si="6"/>
        <v>2.580108641899231E-4</v>
      </c>
      <c r="R49" s="12">
        <f t="shared" si="7"/>
        <v>-2.6143839148189477E-5</v>
      </c>
      <c r="S49" s="12">
        <f t="shared" si="8"/>
        <v>-8.5119180045506535E-4</v>
      </c>
      <c r="T49" s="12">
        <f t="shared" si="9"/>
        <v>1.8571428571428017E-2</v>
      </c>
      <c r="U49" s="12">
        <f t="shared" si="10"/>
        <v>2.5238095238094616E-2</v>
      </c>
      <c r="V49" s="12">
        <f t="shared" si="11"/>
        <v>2.815844922039501E-2</v>
      </c>
      <c r="X49">
        <v>-3.2525133057362508E-3</v>
      </c>
    </row>
    <row r="50" spans="1:24" x14ac:dyDescent="0.25">
      <c r="A50" s="26">
        <v>68.989999999999995</v>
      </c>
      <c r="B50">
        <v>68.62</v>
      </c>
      <c r="C50">
        <v>1.84</v>
      </c>
      <c r="D50" s="2">
        <v>45420</v>
      </c>
      <c r="E50">
        <v>69.010000000000005</v>
      </c>
      <c r="F50">
        <v>-0.02</v>
      </c>
      <c r="G50">
        <v>-0.39000000000000057</v>
      </c>
      <c r="H50" s="5">
        <f t="shared" si="12"/>
        <v>-2.8981307056948264E-4</v>
      </c>
      <c r="I50" s="3">
        <f t="shared" si="0"/>
        <v>7.585236769896507E-2</v>
      </c>
      <c r="J50" s="5">
        <f t="shared" si="13"/>
        <v>-5.6513548761049203E-3</v>
      </c>
      <c r="K50" s="3">
        <f t="shared" si="1"/>
        <v>-0.35488264900503264</v>
      </c>
      <c r="L50" s="3">
        <f t="shared" si="2"/>
        <v>-0.11864890145501253</v>
      </c>
      <c r="N50" s="12">
        <f t="shared" si="3"/>
        <v>-1.3232962449368038E-3</v>
      </c>
      <c r="O50" s="12">
        <f t="shared" si="4"/>
        <v>-1.3277036639133064E-3</v>
      </c>
      <c r="P50" s="12">
        <f t="shared" si="5"/>
        <v>-9.1735705981615381E-4</v>
      </c>
      <c r="Q50" s="12">
        <f t="shared" si="6"/>
        <v>2.5597837788866439E-4</v>
      </c>
      <c r="R50" s="12">
        <f t="shared" si="7"/>
        <v>-1.584261712867718E-4</v>
      </c>
      <c r="S50" s="12">
        <f t="shared" si="8"/>
        <v>-9.6267263542625017E-4</v>
      </c>
      <c r="T50" s="12">
        <f t="shared" si="9"/>
        <v>2.0952380952380834E-2</v>
      </c>
      <c r="U50" s="12">
        <f t="shared" si="10"/>
        <v>3.6785714285714199E-2</v>
      </c>
      <c r="V50" s="12">
        <f t="shared" si="11"/>
        <v>2.7522123893804817E-2</v>
      </c>
      <c r="X50">
        <v>-1.645967379919198E-3</v>
      </c>
    </row>
    <row r="51" spans="1:24" x14ac:dyDescent="0.25">
      <c r="A51" s="26">
        <v>69.16</v>
      </c>
      <c r="B51">
        <v>69.180000000000007</v>
      </c>
      <c r="C51">
        <v>1.43</v>
      </c>
      <c r="D51" s="2">
        <v>45419</v>
      </c>
      <c r="E51">
        <v>69.62</v>
      </c>
      <c r="F51">
        <v>-0.46</v>
      </c>
      <c r="G51">
        <v>-0.43999999999999773</v>
      </c>
      <c r="H51" s="5">
        <f t="shared" si="12"/>
        <v>-6.607296753806377E-3</v>
      </c>
      <c r="I51" s="3">
        <f t="shared" si="0"/>
        <v>-1.2200126513314367</v>
      </c>
      <c r="J51" s="5">
        <f t="shared" si="13"/>
        <v>-6.3200229819017194E-3</v>
      </c>
      <c r="K51" s="3">
        <f t="shared" si="1"/>
        <v>-0.81560351518119878</v>
      </c>
      <c r="L51" s="3">
        <f t="shared" si="2"/>
        <v>-1.1038458729052483</v>
      </c>
      <c r="N51" s="12">
        <f t="shared" si="3"/>
        <v>-6.9213854826724239E-4</v>
      </c>
      <c r="O51" s="12">
        <f t="shared" si="4"/>
        <v>-1.0457773926548896E-3</v>
      </c>
      <c r="P51" s="12">
        <f t="shared" si="5"/>
        <v>-6.5900645323762989E-4</v>
      </c>
      <c r="Q51" s="12">
        <f t="shared" si="6"/>
        <v>2.3206790862972688E-4</v>
      </c>
      <c r="R51" s="12">
        <f t="shared" si="7"/>
        <v>-1.9246143956154222E-4</v>
      </c>
      <c r="S51" s="12">
        <f t="shared" si="8"/>
        <v>-9.8516299608702312E-4</v>
      </c>
      <c r="T51" s="12">
        <f t="shared" si="9"/>
        <v>7.7142857142857402E-2</v>
      </c>
      <c r="U51" s="12">
        <f t="shared" si="10"/>
        <v>6.7142857142857171E-2</v>
      </c>
      <c r="V51" s="12">
        <f t="shared" si="11"/>
        <v>4.9102402022755731E-2</v>
      </c>
      <c r="X51">
        <v>-2.5286330507214043E-3</v>
      </c>
    </row>
    <row r="52" spans="1:24" x14ac:dyDescent="0.25">
      <c r="A52" s="26">
        <v>70.3</v>
      </c>
      <c r="B52">
        <v>69.83</v>
      </c>
      <c r="C52">
        <v>1.72</v>
      </c>
      <c r="D52" s="2">
        <v>45418</v>
      </c>
      <c r="E52">
        <v>70.239999999999995</v>
      </c>
      <c r="F52">
        <v>0.06</v>
      </c>
      <c r="G52">
        <v>-0.40999999999999659</v>
      </c>
      <c r="H52" s="5">
        <f t="shared" si="12"/>
        <v>8.5421412300683373E-4</v>
      </c>
      <c r="I52" s="3">
        <f t="shared" si="0"/>
        <v>0.31073350356658541</v>
      </c>
      <c r="J52" s="5">
        <f t="shared" si="13"/>
        <v>-5.8371298405466487E-3</v>
      </c>
      <c r="K52" s="3">
        <f t="shared" si="1"/>
        <v>-0.49039804003101162</v>
      </c>
      <c r="L52" s="3">
        <f t="shared" si="2"/>
        <v>-0.41617676346173521</v>
      </c>
      <c r="N52" s="12">
        <f t="shared" si="3"/>
        <v>-1.061115674383232E-3</v>
      </c>
      <c r="O52" s="12">
        <f t="shared" si="4"/>
        <v>-6.5229232690689224E-4</v>
      </c>
      <c r="P52" s="12">
        <f t="shared" si="5"/>
        <v>-2.8186560586571411E-4</v>
      </c>
      <c r="Q52" s="12">
        <f t="shared" si="6"/>
        <v>3.2306099734461316E-4</v>
      </c>
      <c r="R52" s="12">
        <f t="shared" si="7"/>
        <v>-1.2368317511494888E-4</v>
      </c>
      <c r="S52" s="12">
        <f t="shared" si="8"/>
        <v>-9.2090940556327841E-4</v>
      </c>
      <c r="T52" s="12">
        <f t="shared" si="9"/>
        <v>8.5238095238095113E-2</v>
      </c>
      <c r="U52" s="12">
        <f t="shared" si="10"/>
        <v>8.3511904761904399E-2</v>
      </c>
      <c r="V52" s="12">
        <f t="shared" si="11"/>
        <v>6.8238516645595881E-2</v>
      </c>
      <c r="X52">
        <v>1.8042399639152005E-3</v>
      </c>
    </row>
    <row r="53" spans="1:24" x14ac:dyDescent="0.25">
      <c r="A53" s="26">
        <v>71.180000000000007</v>
      </c>
      <c r="B53">
        <v>71.05</v>
      </c>
      <c r="C53">
        <v>1.85</v>
      </c>
      <c r="D53" s="2">
        <v>45415</v>
      </c>
      <c r="E53">
        <v>71.39</v>
      </c>
      <c r="F53">
        <v>-0.21</v>
      </c>
      <c r="G53">
        <v>-0.34000000000000341</v>
      </c>
      <c r="H53" s="5">
        <f t="shared" si="12"/>
        <v>-2.9415884577671941E-3</v>
      </c>
      <c r="I53" s="3">
        <f t="shared" si="0"/>
        <v>-0.47483231837991036</v>
      </c>
      <c r="J53" s="5">
        <f t="shared" si="13"/>
        <v>-4.7625717887659815E-3</v>
      </c>
      <c r="K53" s="3">
        <f t="shared" si="1"/>
        <v>0.22860473192239317</v>
      </c>
      <c r="L53" s="3">
        <f t="shared" si="2"/>
        <v>-0.10878508953516099</v>
      </c>
      <c r="N53" s="12">
        <f t="shared" si="3"/>
        <v>-1.8957027126030956E-3</v>
      </c>
      <c r="O53" s="12">
        <f t="shared" si="4"/>
        <v>-1.3984130731943543E-3</v>
      </c>
      <c r="P53" s="12">
        <f t="shared" si="5"/>
        <v>-9.2632392180128E-4</v>
      </c>
      <c r="Q53" s="12">
        <f t="shared" si="6"/>
        <v>6.8312025863576532E-4</v>
      </c>
      <c r="R53" s="12">
        <f t="shared" si="7"/>
        <v>6.9078176969893795E-5</v>
      </c>
      <c r="S53" s="12">
        <f t="shared" si="8"/>
        <v>-7.2517068735105522E-4</v>
      </c>
      <c r="T53" s="12">
        <f t="shared" si="9"/>
        <v>3.7142857142856922E-2</v>
      </c>
      <c r="U53" s="12">
        <f t="shared" si="10"/>
        <v>4.3452380952380576E-2</v>
      </c>
      <c r="V53" s="12">
        <f t="shared" si="11"/>
        <v>2.9953645174883858E-2</v>
      </c>
      <c r="X53">
        <v>1.8157058556513843E-3</v>
      </c>
    </row>
    <row r="54" spans="1:24" x14ac:dyDescent="0.25">
      <c r="A54" s="26">
        <v>68.099999999999994</v>
      </c>
      <c r="B54">
        <v>67.760000000000005</v>
      </c>
      <c r="C54">
        <v>1.66</v>
      </c>
      <c r="D54" s="2">
        <v>45414</v>
      </c>
      <c r="E54">
        <v>68.13</v>
      </c>
      <c r="F54">
        <v>-0.03</v>
      </c>
      <c r="G54">
        <v>-0.36999999999999034</v>
      </c>
      <c r="H54" s="5">
        <f t="shared" si="12"/>
        <v>-4.4033465433729639E-4</v>
      </c>
      <c r="I54" s="3">
        <f t="shared" si="0"/>
        <v>3.6170549457733028E-2</v>
      </c>
      <c r="J54" s="5">
        <f t="shared" si="13"/>
        <v>-5.4307940701598468E-3</v>
      </c>
      <c r="K54" s="3">
        <f t="shared" si="1"/>
        <v>-0.22972211409479387</v>
      </c>
      <c r="L54" s="3">
        <f t="shared" si="2"/>
        <v>-0.56609669487285674</v>
      </c>
      <c r="N54" s="12">
        <f t="shared" si="3"/>
        <v>-1.9233443991164038E-3</v>
      </c>
      <c r="O54" s="12">
        <f t="shared" si="4"/>
        <v>-1.3088641682036492E-3</v>
      </c>
      <c r="P54" s="12">
        <f t="shared" si="5"/>
        <v>-8.0005958375053466E-4</v>
      </c>
      <c r="Q54" s="12">
        <f t="shared" si="6"/>
        <v>8.4793420769619082E-4</v>
      </c>
      <c r="R54" s="12">
        <f t="shared" si="7"/>
        <v>7.3544158112848375E-5</v>
      </c>
      <c r="S54" s="12">
        <f t="shared" si="8"/>
        <v>-7.0064139778240175E-4</v>
      </c>
      <c r="T54" s="12">
        <f t="shared" si="9"/>
        <v>1.0476190476190084E-2</v>
      </c>
      <c r="U54" s="12">
        <f t="shared" si="10"/>
        <v>2.2380952380951946E-2</v>
      </c>
      <c r="V54" s="12">
        <f t="shared" si="11"/>
        <v>8.1078803202689897E-3</v>
      </c>
      <c r="X54">
        <v>2.8584323755077136E-3</v>
      </c>
    </row>
    <row r="55" spans="1:24" x14ac:dyDescent="0.25">
      <c r="A55" s="26">
        <v>65.260000000000005</v>
      </c>
      <c r="B55">
        <v>65.260000000000005</v>
      </c>
      <c r="C55">
        <v>1.42</v>
      </c>
      <c r="D55" s="2">
        <v>45412</v>
      </c>
      <c r="E55">
        <v>65.650000000000006</v>
      </c>
      <c r="F55">
        <v>-0.39</v>
      </c>
      <c r="G55">
        <v>-0.39000000000000057</v>
      </c>
      <c r="H55" s="5">
        <f t="shared" si="12"/>
        <v>-5.9405940594059407E-3</v>
      </c>
      <c r="I55" s="3">
        <f t="shared" si="0"/>
        <v>-1.0886003517035276</v>
      </c>
      <c r="J55" s="5">
        <f t="shared" si="13"/>
        <v>-5.9405940594059485E-3</v>
      </c>
      <c r="K55" s="3">
        <f t="shared" si="1"/>
        <v>-0.57514640841044284</v>
      </c>
      <c r="L55" s="3">
        <f t="shared" si="2"/>
        <v>-1.1462202191824324</v>
      </c>
      <c r="N55" s="12">
        <f t="shared" si="3"/>
        <v>-5.7438188670552801E-4</v>
      </c>
      <c r="O55" s="12">
        <f t="shared" si="4"/>
        <v>-5.0008072528002416E-4</v>
      </c>
      <c r="P55" s="12">
        <f t="shared" si="5"/>
        <v>-7.2787227824541723E-5</v>
      </c>
      <c r="Q55" s="12">
        <f t="shared" si="6"/>
        <v>9.4806790355087597E-4</v>
      </c>
      <c r="R55" s="12">
        <f t="shared" si="7"/>
        <v>1.5526233285640626E-4</v>
      </c>
      <c r="S55" s="12">
        <f t="shared" si="8"/>
        <v>-6.1417030770475039E-4</v>
      </c>
      <c r="T55" s="12">
        <f t="shared" si="9"/>
        <v>1.7619047619047867E-2</v>
      </c>
      <c r="U55" s="12">
        <f t="shared" si="10"/>
        <v>3.190476190476188E-2</v>
      </c>
      <c r="V55" s="12">
        <f t="shared" si="11"/>
        <v>1.0868099452169711E-2</v>
      </c>
      <c r="X55">
        <v>-1.3835511145271211E-3</v>
      </c>
    </row>
    <row r="56" spans="1:24" x14ac:dyDescent="0.25">
      <c r="A56" s="26">
        <v>63.52</v>
      </c>
      <c r="B56">
        <v>63.38</v>
      </c>
      <c r="C56">
        <v>1.5</v>
      </c>
      <c r="D56" s="2">
        <v>45411</v>
      </c>
      <c r="E56">
        <v>63.58</v>
      </c>
      <c r="F56">
        <v>-0.06</v>
      </c>
      <c r="G56">
        <v>-0.19999999999999574</v>
      </c>
      <c r="H56" s="5">
        <f t="shared" si="12"/>
        <v>-9.4369298521547657E-4</v>
      </c>
      <c r="I56" s="3">
        <f t="shared" si="0"/>
        <v>-6.3996023000612787E-2</v>
      </c>
      <c r="J56" s="5">
        <f t="shared" si="13"/>
        <v>-3.1456432840515215E-3</v>
      </c>
      <c r="K56" s="3">
        <f t="shared" si="1"/>
        <v>1.2744792555293278</v>
      </c>
      <c r="L56" s="3">
        <f t="shared" si="2"/>
        <v>-0.96156194071352974</v>
      </c>
      <c r="N56" s="12">
        <f t="shared" si="3"/>
        <v>-7.9657548135623763E-4</v>
      </c>
      <c r="O56" s="12">
        <f t="shared" si="4"/>
        <v>-5.3129585813000541E-4</v>
      </c>
      <c r="P56" s="12">
        <f t="shared" si="5"/>
        <v>-8.5211951169633475E-5</v>
      </c>
      <c r="Q56" s="12">
        <f t="shared" si="6"/>
        <v>9.6092589540924117E-4</v>
      </c>
      <c r="R56" s="12">
        <f t="shared" si="7"/>
        <v>1.2646393402434859E-4</v>
      </c>
      <c r="S56" s="12">
        <f t="shared" si="8"/>
        <v>-6.5440990396933418E-4</v>
      </c>
      <c r="T56" s="12">
        <f t="shared" si="9"/>
        <v>1.6666666666667052E-2</v>
      </c>
      <c r="U56" s="12">
        <f t="shared" si="10"/>
        <v>3.1309523809524009E-2</v>
      </c>
      <c r="V56" s="12">
        <f t="shared" si="11"/>
        <v>1.5364517488410945E-2</v>
      </c>
      <c r="X56">
        <v>1.5451174289231927E-4</v>
      </c>
    </row>
    <row r="57" spans="1:24" x14ac:dyDescent="0.25">
      <c r="A57" s="26">
        <v>65.66</v>
      </c>
      <c r="B57">
        <v>65.41</v>
      </c>
      <c r="C57">
        <v>1.92</v>
      </c>
      <c r="D57" s="2">
        <v>45408</v>
      </c>
      <c r="E57">
        <v>65.78</v>
      </c>
      <c r="F57">
        <v>-0.12</v>
      </c>
      <c r="G57">
        <v>-0.37000000000000455</v>
      </c>
      <c r="H57" s="5">
        <f t="shared" si="12"/>
        <v>-1.824262693827911E-3</v>
      </c>
      <c r="I57" s="3">
        <f t="shared" si="0"/>
        <v>-0.24237069777776366</v>
      </c>
      <c r="J57" s="5">
        <f t="shared" si="13"/>
        <v>-5.6248099726361285E-3</v>
      </c>
      <c r="K57" s="3">
        <f t="shared" si="1"/>
        <v>-0.36844502936820706</v>
      </c>
      <c r="L57" s="3">
        <f t="shared" si="2"/>
        <v>4.4533051109759178E-2</v>
      </c>
      <c r="N57" s="12">
        <f t="shared" si="3"/>
        <v>-9.8159283743157405E-4</v>
      </c>
      <c r="O57" s="12">
        <f t="shared" si="4"/>
        <v>-6.1367851363780274E-4</v>
      </c>
      <c r="P57" s="12">
        <f t="shared" si="5"/>
        <v>-1.0400979115433525E-4</v>
      </c>
      <c r="Q57" s="12">
        <f t="shared" si="6"/>
        <v>4.9578254273266106E-4</v>
      </c>
      <c r="R57" s="12">
        <f t="shared" si="7"/>
        <v>-3.1202594563966256E-4</v>
      </c>
      <c r="S57" s="12">
        <f t="shared" si="8"/>
        <v>-1.0386375253247579E-3</v>
      </c>
      <c r="T57" s="12">
        <f t="shared" si="9"/>
        <v>3.0000000000000471E-2</v>
      </c>
      <c r="U57" s="12">
        <f t="shared" si="10"/>
        <v>4.0892857142857508E-2</v>
      </c>
      <c r="V57" s="12">
        <f t="shared" si="11"/>
        <v>2.3729456384323555E-2</v>
      </c>
      <c r="X57">
        <v>1.8677042801557128E-3</v>
      </c>
    </row>
    <row r="58" spans="1:24" x14ac:dyDescent="0.25">
      <c r="A58" s="26">
        <v>65.08</v>
      </c>
      <c r="B58">
        <v>64.849999999999994</v>
      </c>
      <c r="C58">
        <v>1.68</v>
      </c>
      <c r="D58" s="2">
        <v>45407</v>
      </c>
      <c r="E58">
        <v>65.209999999999994</v>
      </c>
      <c r="F58">
        <v>-0.13</v>
      </c>
      <c r="G58">
        <v>-0.35999999999999943</v>
      </c>
      <c r="H58" s="5">
        <f t="shared" si="12"/>
        <v>-1.9935592700506058E-3</v>
      </c>
      <c r="I58" s="3">
        <f t="shared" si="0"/>
        <v>-0.27508951835192569</v>
      </c>
      <c r="J58" s="5">
        <f t="shared" si="13"/>
        <v>-5.5206256709093614E-3</v>
      </c>
      <c r="K58" s="3">
        <f t="shared" si="1"/>
        <v>-0.30055063863933579</v>
      </c>
      <c r="L58" s="3">
        <f t="shared" si="2"/>
        <v>-0.53657792332555776</v>
      </c>
      <c r="N58" s="12">
        <f t="shared" si="3"/>
        <v>-1.1649000221916103E-3</v>
      </c>
      <c r="O58" s="12">
        <f t="shared" si="4"/>
        <v>-7.4891136086675824E-4</v>
      </c>
      <c r="P58" s="12">
        <f t="shared" si="5"/>
        <v>-2.583168042033959E-4</v>
      </c>
      <c r="Q58" s="12">
        <f t="shared" si="6"/>
        <v>3.7025187079352956E-4</v>
      </c>
      <c r="R58" s="12">
        <f t="shared" si="7"/>
        <v>-3.9243240133484455E-4</v>
      </c>
      <c r="S58" s="12">
        <f t="shared" si="8"/>
        <v>-1.1317776864354047E-3</v>
      </c>
      <c r="T58" s="12">
        <f t="shared" si="9"/>
        <v>4.7142857142857153E-2</v>
      </c>
      <c r="U58" s="12">
        <f t="shared" si="10"/>
        <v>4.4761904761905003E-2</v>
      </c>
      <c r="V58" s="12">
        <f t="shared" si="11"/>
        <v>1.9844079224609734E-2</v>
      </c>
      <c r="X58">
        <v>-7.8468298807288543E-4</v>
      </c>
    </row>
    <row r="59" spans="1:24" x14ac:dyDescent="0.25">
      <c r="A59" s="26">
        <v>65.349999999999994</v>
      </c>
      <c r="B59">
        <v>64.86</v>
      </c>
      <c r="C59">
        <v>2</v>
      </c>
      <c r="D59" s="2">
        <v>45406</v>
      </c>
      <c r="E59">
        <v>65.23</v>
      </c>
      <c r="F59">
        <v>0.12</v>
      </c>
      <c r="G59">
        <v>-0.37000000000000455</v>
      </c>
      <c r="H59" s="5">
        <f t="shared" si="12"/>
        <v>1.8396443354284837E-3</v>
      </c>
      <c r="I59" s="3">
        <f t="shared" si="0"/>
        <v>0.50800260145865417</v>
      </c>
      <c r="J59" s="5">
        <f t="shared" si="13"/>
        <v>-5.6722367009045616E-3</v>
      </c>
      <c r="K59" s="3">
        <f t="shared" si="1"/>
        <v>-0.41764706395232792</v>
      </c>
      <c r="L59" s="3">
        <f t="shared" si="2"/>
        <v>0.23273744821752762</v>
      </c>
      <c r="N59" s="12">
        <f t="shared" si="3"/>
        <v>-1.1451294627849112E-3</v>
      </c>
      <c r="O59" s="12">
        <f t="shared" si="4"/>
        <v>-7.3589773670868918E-4</v>
      </c>
      <c r="P59" s="12">
        <f t="shared" si="5"/>
        <v>-2.6799248041549687E-4</v>
      </c>
      <c r="Q59" s="12">
        <f t="shared" si="6"/>
        <v>2.7590997181939532E-4</v>
      </c>
      <c r="R59" s="12">
        <f t="shared" si="7"/>
        <v>-4.5067999019201676E-4</v>
      </c>
      <c r="S59" s="12">
        <f t="shared" si="8"/>
        <v>-1.1556338984217802E-3</v>
      </c>
      <c r="T59" s="12">
        <f t="shared" si="9"/>
        <v>3.3809523809523956E-2</v>
      </c>
      <c r="U59" s="12">
        <f t="shared" si="10"/>
        <v>4.3809523809524187E-2</v>
      </c>
      <c r="V59" s="12">
        <f t="shared" si="11"/>
        <v>6.0345554150862402E-3</v>
      </c>
      <c r="X59">
        <v>2.1030494216612038E-3</v>
      </c>
    </row>
    <row r="60" spans="1:24" x14ac:dyDescent="0.25">
      <c r="A60" s="26">
        <v>64.28</v>
      </c>
      <c r="B60">
        <v>64.209999999999994</v>
      </c>
      <c r="C60">
        <v>1.57</v>
      </c>
      <c r="D60" s="2">
        <v>45405</v>
      </c>
      <c r="E60">
        <v>64.69</v>
      </c>
      <c r="F60">
        <v>-0.41</v>
      </c>
      <c r="G60">
        <v>-0.48000000000000398</v>
      </c>
      <c r="H60" s="5">
        <f t="shared" si="12"/>
        <v>-6.3379193074663779E-3</v>
      </c>
      <c r="I60" s="3">
        <f t="shared" si="0"/>
        <v>-1.1618960891370125</v>
      </c>
      <c r="J60" s="5">
        <f t="shared" si="13"/>
        <v>-7.4200030916680166E-3</v>
      </c>
      <c r="K60" s="3">
        <f t="shared" si="1"/>
        <v>-1.558770154815172</v>
      </c>
      <c r="L60" s="3">
        <f t="shared" si="2"/>
        <v>-0.80784376299237692</v>
      </c>
      <c r="N60" s="12">
        <f t="shared" si="3"/>
        <v>-1.9351441786994786E-3</v>
      </c>
      <c r="O60" s="12">
        <f t="shared" si="4"/>
        <v>-1.1508928087615446E-3</v>
      </c>
      <c r="P60" s="12">
        <f t="shared" si="5"/>
        <v>-7.0748615830312344E-4</v>
      </c>
      <c r="Q60" s="12">
        <f t="shared" si="6"/>
        <v>1.0839082016834457E-4</v>
      </c>
      <c r="R60" s="12">
        <f t="shared" si="7"/>
        <v>-5.7861378328599201E-4</v>
      </c>
      <c r="S60" s="12">
        <f t="shared" si="8"/>
        <v>-1.2390823922273156E-3</v>
      </c>
      <c r="T60" s="12">
        <f t="shared" si="9"/>
        <v>-1.9047619047618536E-3</v>
      </c>
      <c r="U60" s="12">
        <f t="shared" si="10"/>
        <v>2.0000000000000018E-2</v>
      </c>
      <c r="V60" s="12">
        <f t="shared" si="11"/>
        <v>-3.006321112515864E-2</v>
      </c>
    </row>
    <row r="61" spans="1:24" x14ac:dyDescent="0.25">
      <c r="A61" s="26">
        <v>65.099999999999994</v>
      </c>
      <c r="B61">
        <v>64.760000000000005</v>
      </c>
      <c r="C61">
        <v>1.56</v>
      </c>
      <c r="D61" s="2">
        <v>45404</v>
      </c>
      <c r="E61">
        <v>65.05</v>
      </c>
      <c r="F61">
        <v>0.05</v>
      </c>
      <c r="G61">
        <v>-0.28999999999999204</v>
      </c>
      <c r="H61" s="5">
        <f t="shared" si="12"/>
        <v>7.6863950807071495E-4</v>
      </c>
      <c r="I61" s="3">
        <f t="shared" si="0"/>
        <v>0.27071451208000397</v>
      </c>
      <c r="J61" s="5">
        <f t="shared" si="13"/>
        <v>-4.4581091468100242E-3</v>
      </c>
      <c r="K61" s="3">
        <f t="shared" si="1"/>
        <v>0.355618322917022</v>
      </c>
      <c r="L61" s="3">
        <f t="shared" si="2"/>
        <v>-0.83971798164342382</v>
      </c>
      <c r="N61" s="12">
        <f t="shared" si="3"/>
        <v>-1.948903322019965E-3</v>
      </c>
      <c r="O61" s="12">
        <f t="shared" si="4"/>
        <v>-9.5051817295868537E-4</v>
      </c>
      <c r="P61" s="12">
        <f t="shared" si="5"/>
        <v>-5.2053590488861079E-4</v>
      </c>
      <c r="Q61" s="12">
        <f t="shared" si="6"/>
        <v>1.2377505844540521E-4</v>
      </c>
      <c r="R61" s="12">
        <f t="shared" si="7"/>
        <v>-5.8925587719944363E-4</v>
      </c>
      <c r="S61" s="12">
        <f t="shared" si="8"/>
        <v>-1.222315087624444E-3</v>
      </c>
      <c r="T61" s="12">
        <f t="shared" si="9"/>
        <v>-1.2380952380952381E-2</v>
      </c>
      <c r="U61" s="12">
        <f t="shared" si="10"/>
        <v>2.7857142857143247E-2</v>
      </c>
      <c r="V61" s="12">
        <f t="shared" si="11"/>
        <v>-3.3805309734513456E-2</v>
      </c>
    </row>
    <row r="62" spans="1:24" x14ac:dyDescent="0.25">
      <c r="A62" s="26">
        <v>67.77</v>
      </c>
      <c r="B62">
        <v>67.55</v>
      </c>
      <c r="C62">
        <v>1.99</v>
      </c>
      <c r="D62" s="2">
        <v>45401</v>
      </c>
      <c r="E62">
        <v>67.900000000000006</v>
      </c>
      <c r="F62">
        <v>-0.13</v>
      </c>
      <c r="G62">
        <v>-0.35000000000000853</v>
      </c>
      <c r="H62" s="5">
        <f t="shared" si="12"/>
        <v>-1.9145802650957289E-3</v>
      </c>
      <c r="I62" s="3">
        <f t="shared" si="0"/>
        <v>-0.26726523576505856</v>
      </c>
      <c r="J62" s="5">
        <f t="shared" si="13"/>
        <v>-5.1546391752578568E-3</v>
      </c>
      <c r="K62" s="3">
        <f t="shared" si="1"/>
        <v>-9.4195901386032913E-2</v>
      </c>
      <c r="L62" s="3">
        <f t="shared" si="2"/>
        <v>0.19211889486335373</v>
      </c>
      <c r="N62" s="12">
        <f t="shared" si="3"/>
        <v>-9.9812756192927776E-4</v>
      </c>
      <c r="O62" s="12">
        <f t="shared" si="4"/>
        <v>-1.7966588153633587E-4</v>
      </c>
      <c r="P62" s="12">
        <f t="shared" si="5"/>
        <v>-8.3741984291635201E-7</v>
      </c>
      <c r="Q62" s="12">
        <f t="shared" si="6"/>
        <v>-2.394688276456192E-4</v>
      </c>
      <c r="R62" s="12">
        <f t="shared" si="7"/>
        <v>-8.0268637662268306E-4</v>
      </c>
      <c r="S62" s="12">
        <f t="shared" si="8"/>
        <v>-1.3997926713174118E-3</v>
      </c>
      <c r="T62" s="12">
        <f t="shared" si="9"/>
        <v>5.4761904761905011E-2</v>
      </c>
      <c r="U62" s="12">
        <f t="shared" si="10"/>
        <v>7.6369047619048169E-2</v>
      </c>
      <c r="V62" s="12">
        <f t="shared" si="11"/>
        <v>-5.4909397387277181E-3</v>
      </c>
    </row>
    <row r="63" spans="1:24" x14ac:dyDescent="0.25">
      <c r="A63" s="26">
        <v>67.150000000000006</v>
      </c>
      <c r="B63">
        <v>67.040000000000006</v>
      </c>
      <c r="C63">
        <v>1.48</v>
      </c>
      <c r="D63" s="2">
        <v>45400</v>
      </c>
      <c r="E63">
        <v>67.52</v>
      </c>
      <c r="F63">
        <v>-0.37</v>
      </c>
      <c r="G63">
        <v>-0.47999999999998977</v>
      </c>
      <c r="H63" s="5">
        <f t="shared" si="12"/>
        <v>-5.4798578199052135E-3</v>
      </c>
      <c r="I63" s="3">
        <f t="shared" si="0"/>
        <v>-0.98715160121922196</v>
      </c>
      <c r="J63" s="5">
        <f t="shared" si="13"/>
        <v>-7.1090047393363416E-3</v>
      </c>
      <c r="K63" s="3">
        <f t="shared" si="1"/>
        <v>-1.3660346744833785</v>
      </c>
      <c r="L63" s="3">
        <f t="shared" si="2"/>
        <v>-1.0360844587882028</v>
      </c>
      <c r="N63" s="12">
        <f t="shared" si="3"/>
        <v>-4.9131394452513752E-4</v>
      </c>
      <c r="O63" s="12">
        <f t="shared" si="4"/>
        <v>9.4990913931530265E-5</v>
      </c>
      <c r="P63" s="12">
        <f t="shared" si="5"/>
        <v>1.2442399850715188E-4</v>
      </c>
      <c r="Q63" s="12">
        <f t="shared" si="6"/>
        <v>-5.1103835508892713E-4</v>
      </c>
      <c r="R63" s="12">
        <f t="shared" si="7"/>
        <v>-9.6968455679634791E-4</v>
      </c>
      <c r="S63" s="12">
        <f t="shared" si="8"/>
        <v>-1.5277218080406284E-3</v>
      </c>
      <c r="T63" s="12">
        <f t="shared" si="9"/>
        <v>6.1428571428572054E-2</v>
      </c>
      <c r="U63" s="12">
        <f t="shared" si="10"/>
        <v>6.8869047619048551E-2</v>
      </c>
      <c r="V63" s="12">
        <f t="shared" si="11"/>
        <v>-2.6363253265907716E-2</v>
      </c>
    </row>
    <row r="64" spans="1:24" x14ac:dyDescent="0.25">
      <c r="A64" s="26">
        <v>70.61</v>
      </c>
      <c r="B64">
        <v>70.709999999999994</v>
      </c>
      <c r="C64">
        <v>1.47</v>
      </c>
      <c r="D64" s="2">
        <v>45398</v>
      </c>
      <c r="E64">
        <v>71.180000000000007</v>
      </c>
      <c r="F64">
        <v>-0.56999999999999995</v>
      </c>
      <c r="G64">
        <v>-0.47000000000001307</v>
      </c>
      <c r="H64" s="5">
        <f t="shared" si="12"/>
        <v>-8.0078673784770987E-3</v>
      </c>
      <c r="I64" s="3">
        <f t="shared" si="0"/>
        <v>-1.5081145322446912</v>
      </c>
      <c r="J64" s="5">
        <f t="shared" si="13"/>
        <v>-6.602978364709371E-3</v>
      </c>
      <c r="K64" s="3">
        <f t="shared" si="1"/>
        <v>-1.0509344014419064</v>
      </c>
      <c r="L64" s="3">
        <f t="shared" si="2"/>
        <v>-1.0690899563044092</v>
      </c>
      <c r="N64" s="12">
        <f t="shared" si="3"/>
        <v>9.5552917264137797E-5</v>
      </c>
      <c r="O64" s="12">
        <f t="shared" si="4"/>
        <v>4.3897841139825332E-4</v>
      </c>
      <c r="P64" s="12">
        <f t="shared" si="5"/>
        <v>3.8598087455860448E-4</v>
      </c>
      <c r="Q64" s="12">
        <f t="shared" si="6"/>
        <v>-6.1016380298106829E-4</v>
      </c>
      <c r="R64" s="12">
        <f t="shared" si="7"/>
        <v>-1.0377547984119339E-3</v>
      </c>
      <c r="S64" s="12">
        <f t="shared" si="8"/>
        <v>-1.5633488876112041E-3</v>
      </c>
      <c r="T64" s="12">
        <f t="shared" si="9"/>
        <v>9.4285714285714528E-2</v>
      </c>
      <c r="U64" s="12">
        <f t="shared" si="10"/>
        <v>0.10214285714285776</v>
      </c>
      <c r="V64" s="12">
        <f t="shared" si="11"/>
        <v>-1.934260429835577E-3</v>
      </c>
    </row>
    <row r="65" spans="1:22" x14ac:dyDescent="0.25">
      <c r="A65" s="26">
        <v>68.17</v>
      </c>
      <c r="B65">
        <v>67.849999999999994</v>
      </c>
      <c r="C65">
        <v>1.7</v>
      </c>
      <c r="D65" s="2">
        <v>45397</v>
      </c>
      <c r="E65">
        <v>68.14</v>
      </c>
      <c r="F65">
        <v>0.03</v>
      </c>
      <c r="G65">
        <v>-0.29000000000000625</v>
      </c>
      <c r="H65" s="5">
        <f t="shared" si="12"/>
        <v>4.40270032286469E-4</v>
      </c>
      <c r="I65" s="3">
        <f t="shared" si="0"/>
        <v>0.19014789115184536</v>
      </c>
      <c r="J65" s="5">
        <f t="shared" si="13"/>
        <v>-4.2559436454359589E-3</v>
      </c>
      <c r="K65" s="3">
        <f t="shared" si="1"/>
        <v>0.45064611818098727</v>
      </c>
      <c r="L65" s="3">
        <f t="shared" si="2"/>
        <v>-0.52203362589728441</v>
      </c>
      <c r="N65" s="12">
        <f t="shared" si="3"/>
        <v>1.3116448322321589E-3</v>
      </c>
      <c r="O65" s="12">
        <f t="shared" si="4"/>
        <v>1.4149409670012329E-3</v>
      </c>
      <c r="P65" s="12">
        <f t="shared" si="5"/>
        <v>1.2299240315637335E-3</v>
      </c>
      <c r="Q65" s="12">
        <f t="shared" si="6"/>
        <v>-5.0448498763232263E-4</v>
      </c>
      <c r="R65" s="12">
        <f t="shared" si="7"/>
        <v>-9.3044173960687114E-4</v>
      </c>
      <c r="S65" s="12">
        <f t="shared" si="8"/>
        <v>-1.4525880820197706E-3</v>
      </c>
      <c r="T65" s="12">
        <f t="shared" si="9"/>
        <v>0.11238095238095247</v>
      </c>
      <c r="U65" s="12">
        <f t="shared" si="10"/>
        <v>0.11767857142857174</v>
      </c>
      <c r="V65" s="12">
        <f t="shared" si="11"/>
        <v>-1.5170670037933931E-4</v>
      </c>
    </row>
    <row r="66" spans="1:22" x14ac:dyDescent="0.25">
      <c r="A66" s="26">
        <v>68.010000000000005</v>
      </c>
      <c r="B66">
        <v>67.77</v>
      </c>
      <c r="C66">
        <v>1.92</v>
      </c>
      <c r="D66" s="2">
        <v>45394</v>
      </c>
      <c r="E66">
        <v>68.36</v>
      </c>
      <c r="F66">
        <v>-0.35</v>
      </c>
      <c r="G66">
        <v>-0.59000000000000341</v>
      </c>
      <c r="H66" s="5">
        <f t="shared" si="12"/>
        <v>-5.1199531889994142E-3</v>
      </c>
      <c r="I66" s="3">
        <f t="shared" si="0"/>
        <v>-0.93941690620662655</v>
      </c>
      <c r="J66" s="5">
        <f t="shared" si="13"/>
        <v>-8.6307782328847778E-3</v>
      </c>
      <c r="K66" s="3">
        <f t="shared" si="1"/>
        <v>-2.3639856157767012</v>
      </c>
      <c r="L66" s="3">
        <f t="shared" si="2"/>
        <v>6.6979837616494868E-3</v>
      </c>
      <c r="N66" s="12">
        <f t="shared" si="3"/>
        <v>8.1447818661962751E-4</v>
      </c>
      <c r="O66" s="12">
        <f t="shared" si="4"/>
        <v>1.0650660936030371E-3</v>
      </c>
      <c r="P66" s="12">
        <f t="shared" si="5"/>
        <v>9.0047420989568033E-4</v>
      </c>
      <c r="Q66" s="12">
        <f t="shared" si="6"/>
        <v>-4.7630543085123381E-4</v>
      </c>
      <c r="R66" s="12">
        <f t="shared" si="7"/>
        <v>-9.2673780220714919E-4</v>
      </c>
      <c r="S66" s="12">
        <f t="shared" si="8"/>
        <v>-1.461572043479107E-3</v>
      </c>
      <c r="T66" s="12">
        <f t="shared" si="9"/>
        <v>7.5238095238095548E-2</v>
      </c>
      <c r="U66" s="12">
        <f t="shared" si="10"/>
        <v>9.3392857142857721E-2</v>
      </c>
      <c r="V66" s="12">
        <f t="shared" si="11"/>
        <v>-3.182048040455121E-2</v>
      </c>
    </row>
    <row r="67" spans="1:22" x14ac:dyDescent="0.25">
      <c r="A67" s="26">
        <v>63.42</v>
      </c>
      <c r="B67">
        <v>62.9</v>
      </c>
      <c r="C67">
        <v>1.73</v>
      </c>
      <c r="D67" s="2">
        <v>45393</v>
      </c>
      <c r="E67">
        <v>63.42</v>
      </c>
      <c r="F67">
        <v>0</v>
      </c>
      <c r="G67">
        <v>-0.52000000000000313</v>
      </c>
      <c r="H67" s="5">
        <f t="shared" si="12"/>
        <v>0</v>
      </c>
      <c r="I67" s="3">
        <f t="shared" ref="I67:I130" si="14">IFERROR((H67-AVERAGEA(H67:H283))/_xlfn.STDEV.S(H67:H283), " ")</f>
        <v>8.5699733416514295E-2</v>
      </c>
      <c r="J67" s="5">
        <f t="shared" si="13"/>
        <v>-8.1993062125512942E-3</v>
      </c>
      <c r="K67" s="3">
        <f t="shared" ref="K67:K130" si="15">IFERROR((J67-AVERAGEA(J67:J283))/_xlfn.STDEV.S(J67:J283), " ")</f>
        <v>-2.0915022705880082</v>
      </c>
      <c r="L67" s="3">
        <f t="shared" ref="L67:L130" si="16">(C67-AVERAGEA(C67:C283))/_xlfn.STDEV.S(C67:C283)</f>
        <v>-0.45536892689778208</v>
      </c>
      <c r="N67" s="12">
        <f t="shared" ref="N67:N130" si="17">AVERAGEA(H67:H87)-AVERAGE(H88:H108)</f>
        <v>6.4755708214307966E-4</v>
      </c>
      <c r="O67" s="12">
        <f t="shared" ref="O67:O130" si="18">AVERAGEA(H67:H87)-AVERAGE(H88:H143)</f>
        <v>9.7349075369780103E-4</v>
      </c>
      <c r="P67" s="12">
        <f t="shared" ref="P67:P130" si="19">AVERAGEA(H67:H87)-AVERAGE(H88:H200)</f>
        <v>8.6097886698984589E-4</v>
      </c>
      <c r="Q67" s="12">
        <f t="shared" ref="Q67:Q130" si="20">AVERAGEA(J67:J87)-AVERAGE(J88:J108)</f>
        <v>-4.1382787536024205E-4</v>
      </c>
      <c r="R67" s="12">
        <f t="shared" ref="R67:R130" si="21">AVERAGEA(J67:J87)-AVERAGE(J88:J143)</f>
        <v>-8.5659018246657739E-4</v>
      </c>
      <c r="S67" s="12">
        <f t="shared" ref="S67:S130" si="22">AVERAGEA(J67:J87)-AVERAGE(J88:J200)</f>
        <v>-1.3754876242657709E-3</v>
      </c>
      <c r="T67" s="12">
        <f t="shared" ref="T67:T130" si="23">AVERAGEA(C67:C87)-AVERAGE(C88:C108)</f>
        <v>7.5714285714285845E-2</v>
      </c>
      <c r="U67" s="12">
        <f t="shared" ref="U67:U130" si="24">AVERAGEA(C67:C87)-AVERAGE(C88:C143)</f>
        <v>9.1130952380953145E-2</v>
      </c>
      <c r="V67" s="12">
        <f t="shared" ref="V67:V130" si="25">AVERAGEA(C67:C87)-AVERAGE(C88:C200)</f>
        <v>-3.9957859249894589E-2</v>
      </c>
    </row>
    <row r="68" spans="1:22" x14ac:dyDescent="0.25">
      <c r="A68" s="26">
        <v>63</v>
      </c>
      <c r="B68">
        <v>62</v>
      </c>
      <c r="C68">
        <v>2.19</v>
      </c>
      <c r="D68" s="2">
        <v>45392</v>
      </c>
      <c r="E68">
        <v>62.41</v>
      </c>
      <c r="F68">
        <v>0.59</v>
      </c>
      <c r="G68">
        <v>-0.40999999999999659</v>
      </c>
      <c r="H68" s="5">
        <f t="shared" ref="H68:H131" si="26">IFERROR(F68/E68,"")</f>
        <v>9.4536132030123374E-3</v>
      </c>
      <c r="I68" s="3">
        <f t="shared" si="14"/>
        <v>1.990837237035374</v>
      </c>
      <c r="J68" s="5">
        <f t="shared" ref="J68:J131" si="27">IFERROR(G68/E68,"")</f>
        <v>-6.569460022432248E-3</v>
      </c>
      <c r="K68" s="3">
        <f t="shared" si="15"/>
        <v>-1.0725235232160912</v>
      </c>
      <c r="L68" s="3">
        <f t="shared" si="16"/>
        <v>0.6505841562376633</v>
      </c>
      <c r="N68" s="12">
        <f t="shared" si="17"/>
        <v>-1.0600912677473818E-4</v>
      </c>
      <c r="O68" s="12">
        <f t="shared" si="18"/>
        <v>5.015199017365374E-4</v>
      </c>
      <c r="P68" s="12">
        <f t="shared" si="19"/>
        <v>3.9490334831192265E-4</v>
      </c>
      <c r="Q68" s="12">
        <f t="shared" si="20"/>
        <v>-5.4984302539232838E-4</v>
      </c>
      <c r="R68" s="12">
        <f t="shared" si="21"/>
        <v>-8.5177371881616469E-4</v>
      </c>
      <c r="S68" s="12">
        <f t="shared" si="22"/>
        <v>-1.3707903443351691E-3</v>
      </c>
      <c r="T68" s="12">
        <f t="shared" si="23"/>
        <v>3.8571428571428701E-2</v>
      </c>
      <c r="U68" s="12">
        <f t="shared" si="24"/>
        <v>7.6666666666667327E-2</v>
      </c>
      <c r="V68" s="12">
        <f t="shared" si="25"/>
        <v>-6.4344711335861504E-2</v>
      </c>
    </row>
    <row r="69" spans="1:22" x14ac:dyDescent="0.25">
      <c r="A69" s="26">
        <v>61.3</v>
      </c>
      <c r="B69">
        <v>60.98</v>
      </c>
      <c r="C69">
        <v>1.72</v>
      </c>
      <c r="D69" s="2">
        <v>45391</v>
      </c>
      <c r="E69">
        <v>61.42</v>
      </c>
      <c r="F69">
        <v>-0.12</v>
      </c>
      <c r="G69">
        <v>-0.44000000000000483</v>
      </c>
      <c r="H69" s="5">
        <f t="shared" si="26"/>
        <v>-1.9537609899055682E-3</v>
      </c>
      <c r="I69" s="3">
        <f t="shared" si="14"/>
        <v>-0.30538986236871885</v>
      </c>
      <c r="J69" s="5">
        <f t="shared" si="27"/>
        <v>-7.1637902963204957E-3</v>
      </c>
      <c r="K69" s="3">
        <f t="shared" si="15"/>
        <v>-1.4558617346435043</v>
      </c>
      <c r="L69" s="3">
        <f t="shared" si="16"/>
        <v>-0.48253220193057378</v>
      </c>
      <c r="N69" s="12">
        <f t="shared" si="17"/>
        <v>1.6089390049691921E-3</v>
      </c>
      <c r="O69" s="12">
        <f t="shared" si="18"/>
        <v>1.1958094065250913E-3</v>
      </c>
      <c r="P69" s="12">
        <f t="shared" si="19"/>
        <v>9.4793755590696861E-4</v>
      </c>
      <c r="Q69" s="12">
        <f t="shared" si="20"/>
        <v>-8.1336471596927563E-4</v>
      </c>
      <c r="R69" s="12">
        <f t="shared" si="21"/>
        <v>-9.8062347815291474E-4</v>
      </c>
      <c r="S69" s="12">
        <f t="shared" si="22"/>
        <v>-1.4419169704177649E-3</v>
      </c>
      <c r="T69" s="12">
        <f t="shared" si="23"/>
        <v>5.0000000000000266E-2</v>
      </c>
      <c r="U69" s="12">
        <f t="shared" si="24"/>
        <v>6.6250000000000808E-2</v>
      </c>
      <c r="V69" s="12">
        <f t="shared" si="25"/>
        <v>-8.9329962073324776E-2</v>
      </c>
    </row>
    <row r="70" spans="1:22" x14ac:dyDescent="0.25">
      <c r="A70" s="26">
        <v>58.41</v>
      </c>
      <c r="B70">
        <v>58.01</v>
      </c>
      <c r="C70">
        <v>1.77</v>
      </c>
      <c r="D70" s="2">
        <v>45390</v>
      </c>
      <c r="E70">
        <v>58.36</v>
      </c>
      <c r="F70">
        <v>0.05</v>
      </c>
      <c r="G70">
        <v>-0.35000000000000142</v>
      </c>
      <c r="H70" s="5">
        <f t="shared" si="26"/>
        <v>8.5675119945167924E-4</v>
      </c>
      <c r="I70" s="3">
        <f t="shared" si="14"/>
        <v>0.26763885838530715</v>
      </c>
      <c r="J70" s="5">
        <f t="shared" si="27"/>
        <v>-5.9972583961617788E-3</v>
      </c>
      <c r="K70" s="3">
        <f t="shared" si="15"/>
        <v>-0.72999904677492478</v>
      </c>
      <c r="L70" s="3">
        <f t="shared" si="16"/>
        <v>-0.36294766070317436</v>
      </c>
      <c r="N70" s="12">
        <f t="shared" si="17"/>
        <v>7.7330263558257075E-4</v>
      </c>
      <c r="O70" s="12">
        <f t="shared" si="18"/>
        <v>5.909554922501972E-4</v>
      </c>
      <c r="P70" s="12">
        <f t="shared" si="19"/>
        <v>5.2518055976326209E-4</v>
      </c>
      <c r="Q70" s="12">
        <f t="shared" si="20"/>
        <v>-5.8822945582636798E-4</v>
      </c>
      <c r="R70" s="12">
        <f t="shared" si="21"/>
        <v>-8.8159807600667744E-4</v>
      </c>
      <c r="S70" s="12">
        <f t="shared" si="22"/>
        <v>-1.3071586207164428E-3</v>
      </c>
      <c r="T70" s="12">
        <f t="shared" si="23"/>
        <v>5.2380952380954859E-3</v>
      </c>
      <c r="U70" s="12">
        <f t="shared" si="24"/>
        <v>3.7916666666667487E-2</v>
      </c>
      <c r="V70" s="12">
        <f t="shared" si="25"/>
        <v>-0.1212979351032446</v>
      </c>
    </row>
    <row r="71" spans="1:22" x14ac:dyDescent="0.25">
      <c r="A71" s="26">
        <v>57.17</v>
      </c>
      <c r="B71">
        <v>56.6</v>
      </c>
      <c r="C71">
        <v>2.23</v>
      </c>
      <c r="D71" s="2">
        <v>45387</v>
      </c>
      <c r="E71">
        <v>56.93</v>
      </c>
      <c r="F71">
        <v>0.24</v>
      </c>
      <c r="G71">
        <v>-0.32999999999999829</v>
      </c>
      <c r="H71" s="5">
        <f t="shared" si="26"/>
        <v>4.2157034955208148E-3</v>
      </c>
      <c r="I71" s="3">
        <f t="shared" si="14"/>
        <v>0.95497520117845502</v>
      </c>
      <c r="J71" s="5">
        <f t="shared" si="27"/>
        <v>-5.7965923063410911E-3</v>
      </c>
      <c r="K71" s="3">
        <f t="shared" si="15"/>
        <v>-0.60569227502096268</v>
      </c>
      <c r="L71" s="3">
        <f t="shared" si="16"/>
        <v>0.75018168908651761</v>
      </c>
      <c r="N71" s="12">
        <f t="shared" si="17"/>
        <v>4.5175730951626733E-4</v>
      </c>
      <c r="O71" s="12">
        <f t="shared" si="18"/>
        <v>2.8581480110445047E-4</v>
      </c>
      <c r="P71" s="12">
        <f t="shared" si="19"/>
        <v>2.7037984057438208E-4</v>
      </c>
      <c r="Q71" s="12">
        <f t="shared" si="20"/>
        <v>-8.4930461433734439E-4</v>
      </c>
      <c r="R71" s="12">
        <f t="shared" si="21"/>
        <v>-1.0509437823308845E-3</v>
      </c>
      <c r="S71" s="12">
        <f t="shared" si="22"/>
        <v>-1.4241698118733067E-3</v>
      </c>
      <c r="T71" s="12">
        <f t="shared" si="23"/>
        <v>1.9523809523809721E-2</v>
      </c>
      <c r="U71" s="12">
        <f t="shared" si="24"/>
        <v>4.601190476190542E-2</v>
      </c>
      <c r="V71" s="12">
        <f t="shared" si="25"/>
        <v>-0.12776654024441614</v>
      </c>
    </row>
    <row r="72" spans="1:22" x14ac:dyDescent="0.25">
      <c r="A72" s="26">
        <v>56.37</v>
      </c>
      <c r="B72">
        <v>56.03</v>
      </c>
      <c r="C72">
        <v>1.83</v>
      </c>
      <c r="D72" s="2">
        <v>45386</v>
      </c>
      <c r="E72">
        <v>56.3</v>
      </c>
      <c r="F72">
        <v>7.0000000000000007E-2</v>
      </c>
      <c r="G72">
        <v>-0.26999999999999602</v>
      </c>
      <c r="H72" s="5">
        <f t="shared" si="26"/>
        <v>1.2433392539964478E-3</v>
      </c>
      <c r="I72" s="3">
        <f t="shared" si="14"/>
        <v>0.36206215885139176</v>
      </c>
      <c r="J72" s="5">
        <f t="shared" si="27"/>
        <v>-4.7957371225576563E-3</v>
      </c>
      <c r="K72" s="3">
        <f t="shared" si="15"/>
        <v>2.7596977008951005E-2</v>
      </c>
      <c r="L72" s="3">
        <f t="shared" si="16"/>
        <v>-0.21304617007837062</v>
      </c>
      <c r="N72" s="12">
        <f t="shared" si="17"/>
        <v>9.9535939481825873E-5</v>
      </c>
      <c r="O72" s="12">
        <f t="shared" si="18"/>
        <v>-2.0934786948790748E-4</v>
      </c>
      <c r="P72" s="12">
        <f t="shared" si="19"/>
        <v>-1.8634530277416824E-4</v>
      </c>
      <c r="Q72" s="12">
        <f t="shared" si="20"/>
        <v>-8.2666400744326081E-4</v>
      </c>
      <c r="R72" s="12">
        <f t="shared" si="21"/>
        <v>-1.1143242844120077E-3</v>
      </c>
      <c r="S72" s="12">
        <f t="shared" si="22"/>
        <v>-1.3869983745949145E-3</v>
      </c>
      <c r="T72" s="12">
        <f t="shared" si="23"/>
        <v>-1.6666666666666829E-2</v>
      </c>
      <c r="U72" s="12">
        <f t="shared" si="24"/>
        <v>7.5000000000002842E-3</v>
      </c>
      <c r="V72" s="12">
        <f t="shared" si="25"/>
        <v>-0.18078381795195986</v>
      </c>
    </row>
    <row r="73" spans="1:22" x14ac:dyDescent="0.25">
      <c r="A73" s="26">
        <v>57.07</v>
      </c>
      <c r="B73">
        <v>57.55</v>
      </c>
      <c r="C73">
        <v>1.1000000000000001</v>
      </c>
      <c r="D73" s="2">
        <v>45384</v>
      </c>
      <c r="E73">
        <v>57.68</v>
      </c>
      <c r="F73">
        <v>-0.61</v>
      </c>
      <c r="G73">
        <v>-0.13000000000000256</v>
      </c>
      <c r="H73" s="5">
        <f t="shared" si="26"/>
        <v>-1.0575589459084605E-2</v>
      </c>
      <c r="I73" s="3">
        <f t="shared" si="14"/>
        <v>-2.0249175820651173</v>
      </c>
      <c r="J73" s="5">
        <f t="shared" si="27"/>
        <v>-2.253814147018075E-3</v>
      </c>
      <c r="K73" s="3">
        <f t="shared" si="15"/>
        <v>1.6283211585201058</v>
      </c>
      <c r="L73" s="3">
        <f t="shared" si="16"/>
        <v>-1.9838367827278791</v>
      </c>
      <c r="N73" s="12">
        <f t="shared" si="17"/>
        <v>9.6610906496925159E-4</v>
      </c>
      <c r="O73" s="12">
        <f t="shared" si="18"/>
        <v>9.258994286801697E-4</v>
      </c>
      <c r="P73" s="12">
        <f t="shared" si="19"/>
        <v>6.8934979385533641E-4</v>
      </c>
      <c r="Q73" s="12">
        <f t="shared" si="20"/>
        <v>-8.1118617426114998E-4</v>
      </c>
      <c r="R73" s="12">
        <f t="shared" si="21"/>
        <v>-1.135952540466857E-3</v>
      </c>
      <c r="S73" s="12">
        <f t="shared" si="22"/>
        <v>-1.4103023557212584E-3</v>
      </c>
      <c r="T73" s="12">
        <f t="shared" si="23"/>
        <v>-6.1904761904758576E-3</v>
      </c>
      <c r="U73" s="12">
        <f t="shared" si="24"/>
        <v>3.1130952380953092E-2</v>
      </c>
      <c r="V73" s="12">
        <f t="shared" si="25"/>
        <v>-0.17664559629161403</v>
      </c>
    </row>
    <row r="74" spans="1:22" x14ac:dyDescent="0.25">
      <c r="A74" s="26">
        <v>59.86</v>
      </c>
      <c r="B74">
        <v>59.66</v>
      </c>
      <c r="C74">
        <v>1.46</v>
      </c>
      <c r="D74" s="2">
        <v>45379</v>
      </c>
      <c r="E74">
        <v>59.93</v>
      </c>
      <c r="F74">
        <v>-7.0000000000000007E-2</v>
      </c>
      <c r="G74">
        <v>-0.27000000000000313</v>
      </c>
      <c r="H74" s="5">
        <f t="shared" si="26"/>
        <v>-1.1680293675955281E-3</v>
      </c>
      <c r="I74" s="3">
        <f t="shared" si="14"/>
        <v>-0.13234462076425102</v>
      </c>
      <c r="J74" s="5">
        <f t="shared" si="27"/>
        <v>-4.505256132154232E-3</v>
      </c>
      <c r="K74" s="3">
        <f t="shared" si="15"/>
        <v>0.20796840527128399</v>
      </c>
      <c r="L74" s="3">
        <f t="shared" si="16"/>
        <v>-1.1313373501744775</v>
      </c>
      <c r="N74" s="12">
        <f t="shared" si="17"/>
        <v>1.1045451371089995E-3</v>
      </c>
      <c r="O74" s="12">
        <f t="shared" si="18"/>
        <v>1.2250450478296655E-3</v>
      </c>
      <c r="P74" s="12">
        <f t="shared" si="19"/>
        <v>9.5953424384889068E-4</v>
      </c>
      <c r="Q74" s="12">
        <f t="shared" si="20"/>
        <v>-1.0593809323058466E-3</v>
      </c>
      <c r="R74" s="12">
        <f t="shared" si="21"/>
        <v>-1.371213818875134E-3</v>
      </c>
      <c r="S74" s="12">
        <f t="shared" si="22"/>
        <v>-1.6180206138626209E-3</v>
      </c>
      <c r="T74" s="12">
        <f t="shared" si="23"/>
        <v>9.0476190476191931E-3</v>
      </c>
      <c r="U74" s="12">
        <f t="shared" si="24"/>
        <v>5.3273809523810112E-2</v>
      </c>
      <c r="V74" s="12">
        <f t="shared" si="25"/>
        <v>-0.16798567214496396</v>
      </c>
    </row>
    <row r="75" spans="1:22" x14ac:dyDescent="0.25">
      <c r="A75" s="26">
        <v>60.56</v>
      </c>
      <c r="B75">
        <v>59.62</v>
      </c>
      <c r="C75">
        <v>1.77</v>
      </c>
      <c r="D75" s="2">
        <v>45378</v>
      </c>
      <c r="E75">
        <v>59.84</v>
      </c>
      <c r="F75">
        <v>0.72</v>
      </c>
      <c r="G75">
        <v>-0.22000000000000597</v>
      </c>
      <c r="H75" s="5">
        <f t="shared" si="26"/>
        <v>1.2032085561497326E-2</v>
      </c>
      <c r="I75" s="3">
        <f t="shared" si="14"/>
        <v>2.5542691025640809</v>
      </c>
      <c r="J75" s="5">
        <f t="shared" si="27"/>
        <v>-3.6764705882353938E-3</v>
      </c>
      <c r="K75" s="3">
        <f t="shared" si="15"/>
        <v>0.72765428175353752</v>
      </c>
      <c r="L75" s="3">
        <f t="shared" si="16"/>
        <v>-0.38310684331585154</v>
      </c>
      <c r="N75" s="12">
        <f t="shared" si="17"/>
        <v>1.3516329591546979E-3</v>
      </c>
      <c r="O75" s="12">
        <f t="shared" si="18"/>
        <v>1.4354768837306056E-3</v>
      </c>
      <c r="P75" s="12">
        <f t="shared" si="19"/>
        <v>1.11641074592025E-3</v>
      </c>
      <c r="Q75" s="12">
        <f t="shared" si="20"/>
        <v>-1.2649805614895109E-3</v>
      </c>
      <c r="R75" s="12">
        <f t="shared" si="21"/>
        <v>-1.5729331473901768E-3</v>
      </c>
      <c r="S75" s="12">
        <f t="shared" si="22"/>
        <v>-1.7863055958511854E-3</v>
      </c>
      <c r="T75" s="12">
        <f t="shared" si="23"/>
        <v>1.6666666666667052E-2</v>
      </c>
      <c r="U75" s="12">
        <f t="shared" si="24"/>
        <v>6.226190476190574E-2</v>
      </c>
      <c r="V75" s="12">
        <f t="shared" si="25"/>
        <v>-0.16785503581963712</v>
      </c>
    </row>
    <row r="76" spans="1:22" x14ac:dyDescent="0.25">
      <c r="A76" s="26">
        <v>63.25</v>
      </c>
      <c r="B76">
        <v>63.16</v>
      </c>
      <c r="C76">
        <v>1.52</v>
      </c>
      <c r="D76" s="2">
        <v>45377</v>
      </c>
      <c r="E76">
        <v>63.55</v>
      </c>
      <c r="F76">
        <v>-0.3</v>
      </c>
      <c r="G76">
        <v>-0.39000000000000057</v>
      </c>
      <c r="H76" s="5">
        <f t="shared" si="26"/>
        <v>-4.7206923682140047E-3</v>
      </c>
      <c r="I76" s="3">
        <f t="shared" si="14"/>
        <v>-0.8572943128018673</v>
      </c>
      <c r="J76" s="5">
        <f t="shared" si="27"/>
        <v>-6.1369000786782157E-3</v>
      </c>
      <c r="K76" s="3">
        <f t="shared" si="15"/>
        <v>-0.82878447365037389</v>
      </c>
      <c r="L76" s="3">
        <f t="shared" si="16"/>
        <v>-0.99747158497411204</v>
      </c>
      <c r="N76" s="12">
        <f t="shared" si="17"/>
        <v>4.2248364909023086E-4</v>
      </c>
      <c r="O76" s="12">
        <f t="shared" si="18"/>
        <v>4.9444969361919821E-4</v>
      </c>
      <c r="P76" s="12">
        <f t="shared" si="19"/>
        <v>3.5294943914195953E-4</v>
      </c>
      <c r="Q76" s="12">
        <f t="shared" si="20"/>
        <v>-1.1863298113834533E-3</v>
      </c>
      <c r="R76" s="12">
        <f t="shared" si="21"/>
        <v>-1.5944692707819362E-3</v>
      </c>
      <c r="S76" s="12">
        <f t="shared" si="22"/>
        <v>-1.7781595942701952E-3</v>
      </c>
      <c r="T76" s="12">
        <f t="shared" si="23"/>
        <v>2.000000000000024E-2</v>
      </c>
      <c r="U76" s="12">
        <f t="shared" si="24"/>
        <v>6.0892857142857304E-2</v>
      </c>
      <c r="V76" s="12">
        <f t="shared" si="25"/>
        <v>-0.18790139064475353</v>
      </c>
    </row>
    <row r="77" spans="1:22" x14ac:dyDescent="0.25">
      <c r="A77" s="26">
        <v>62.09</v>
      </c>
      <c r="B77">
        <v>61.55</v>
      </c>
      <c r="C77">
        <v>1.75</v>
      </c>
      <c r="D77" s="2">
        <v>45376</v>
      </c>
      <c r="E77">
        <v>62.18</v>
      </c>
      <c r="F77">
        <v>-0.09</v>
      </c>
      <c r="G77">
        <v>-0.63000000000000256</v>
      </c>
      <c r="H77" s="5">
        <f t="shared" si="26"/>
        <v>-1.4474107430041813E-3</v>
      </c>
      <c r="I77" s="3">
        <f t="shared" si="14"/>
        <v>-0.18516127019396139</v>
      </c>
      <c r="J77" s="5">
        <f t="shared" si="27"/>
        <v>-1.0131875201029312E-2</v>
      </c>
      <c r="K77" s="3">
        <f t="shared" si="15"/>
        <v>-3.370338190937888</v>
      </c>
      <c r="L77" s="3">
        <f t="shared" si="16"/>
        <v>-0.44428731714633662</v>
      </c>
      <c r="N77" s="12">
        <f t="shared" si="17"/>
        <v>8.4738113869076387E-6</v>
      </c>
      <c r="O77" s="12">
        <f t="shared" si="18"/>
        <v>8.7567052888301816E-4</v>
      </c>
      <c r="P77" s="12">
        <f t="shared" si="19"/>
        <v>6.6468660151641865E-4</v>
      </c>
      <c r="Q77" s="12">
        <f t="shared" si="20"/>
        <v>-1.1949447647629161E-3</v>
      </c>
      <c r="R77" s="12">
        <f t="shared" si="21"/>
        <v>-1.6659085626203329E-3</v>
      </c>
      <c r="S77" s="12">
        <f t="shared" si="22"/>
        <v>-1.7985496948582308E-3</v>
      </c>
      <c r="T77" s="12">
        <f t="shared" si="23"/>
        <v>1.4285714285715567E-3</v>
      </c>
      <c r="U77" s="12">
        <f t="shared" si="24"/>
        <v>7.2678571428571592E-2</v>
      </c>
      <c r="V77" s="12">
        <f t="shared" si="25"/>
        <v>-0.19519595448798999</v>
      </c>
    </row>
    <row r="78" spans="1:22" x14ac:dyDescent="0.25">
      <c r="A78" s="26">
        <v>57.93</v>
      </c>
      <c r="B78">
        <v>57.8</v>
      </c>
      <c r="C78">
        <v>1.87</v>
      </c>
      <c r="D78" s="2">
        <v>45373</v>
      </c>
      <c r="E78">
        <v>58.21</v>
      </c>
      <c r="F78">
        <v>-0.28000000000000003</v>
      </c>
      <c r="G78">
        <v>-0.41000000000000369</v>
      </c>
      <c r="H78" s="5">
        <f t="shared" si="26"/>
        <v>-4.8101700738704695E-3</v>
      </c>
      <c r="I78" s="3">
        <f t="shared" si="14"/>
        <v>-0.80004611772198075</v>
      </c>
      <c r="J78" s="5">
        <f t="shared" si="27"/>
        <v>-7.0434633224532505E-3</v>
      </c>
      <c r="K78" s="3">
        <f t="shared" si="15"/>
        <v>-1.4626944164702431</v>
      </c>
      <c r="L78" s="3">
        <f t="shared" si="16"/>
        <v>-0.15114391188443363</v>
      </c>
      <c r="N78" s="12">
        <f t="shared" si="17"/>
        <v>3.2369589050026178E-4</v>
      </c>
      <c r="O78" s="12">
        <f t="shared" si="18"/>
        <v>1.1314714664801735E-3</v>
      </c>
      <c r="P78" s="12">
        <f t="shared" si="19"/>
        <v>8.4499559434297856E-4</v>
      </c>
      <c r="Q78" s="12">
        <f t="shared" si="20"/>
        <v>-1.0089324767334909E-3</v>
      </c>
      <c r="R78" s="12">
        <f t="shared" si="21"/>
        <v>-1.5799261989811906E-3</v>
      </c>
      <c r="S78" s="12">
        <f t="shared" si="22"/>
        <v>-1.6933105342687438E-3</v>
      </c>
      <c r="T78" s="12">
        <f t="shared" si="23"/>
        <v>1.9047619047618536E-3</v>
      </c>
      <c r="U78" s="12">
        <f t="shared" si="24"/>
        <v>7.4821428571428816E-2</v>
      </c>
      <c r="V78" s="12">
        <f t="shared" si="25"/>
        <v>-0.20759797724399531</v>
      </c>
    </row>
    <row r="79" spans="1:22" x14ac:dyDescent="0.25">
      <c r="A79" s="26">
        <v>58</v>
      </c>
      <c r="B79">
        <v>57.77</v>
      </c>
      <c r="C79">
        <v>1.6</v>
      </c>
      <c r="D79" s="2">
        <v>45372</v>
      </c>
      <c r="E79">
        <v>58.13</v>
      </c>
      <c r="F79">
        <v>-0.13</v>
      </c>
      <c r="G79">
        <v>-0.35999999999999943</v>
      </c>
      <c r="H79" s="5">
        <f t="shared" si="26"/>
        <v>-2.2363667641493203E-3</v>
      </c>
      <c r="I79" s="3">
        <f t="shared" si="14"/>
        <v>-0.30227348821203587</v>
      </c>
      <c r="J79" s="5">
        <f t="shared" si="27"/>
        <v>-6.1930156545673392E-3</v>
      </c>
      <c r="K79" s="3">
        <f t="shared" si="15"/>
        <v>-0.9213259086646618</v>
      </c>
      <c r="L79" s="3">
        <f t="shared" si="16"/>
        <v>-0.81173768921542311</v>
      </c>
      <c r="N79" s="12">
        <f t="shared" si="17"/>
        <v>1.6931782816020037E-4</v>
      </c>
      <c r="O79" s="12">
        <f t="shared" si="18"/>
        <v>1.1178443379643752E-3</v>
      </c>
      <c r="P79" s="12">
        <f t="shared" si="19"/>
        <v>8.2183557097421391E-4</v>
      </c>
      <c r="Q79" s="12">
        <f t="shared" si="20"/>
        <v>-1.0090110949494101E-3</v>
      </c>
      <c r="R79" s="12">
        <f t="shared" si="21"/>
        <v>-1.5540897780308791E-3</v>
      </c>
      <c r="S79" s="12">
        <f t="shared" si="22"/>
        <v>-1.6533432133089832E-3</v>
      </c>
      <c r="T79" s="12">
        <f t="shared" si="23"/>
        <v>-3.9523809523809295E-2</v>
      </c>
      <c r="U79" s="12">
        <f t="shared" si="24"/>
        <v>4.9583333333333757E-2</v>
      </c>
      <c r="V79" s="12">
        <f t="shared" si="25"/>
        <v>-0.23853771597134443</v>
      </c>
    </row>
    <row r="80" spans="1:22" x14ac:dyDescent="0.25">
      <c r="A80" s="26">
        <v>59</v>
      </c>
      <c r="B80">
        <v>58.91</v>
      </c>
      <c r="C80">
        <v>1.53</v>
      </c>
      <c r="D80" s="2">
        <v>45370</v>
      </c>
      <c r="E80">
        <v>59.34</v>
      </c>
      <c r="F80">
        <v>-0.34</v>
      </c>
      <c r="G80">
        <v>-0.43000000000000682</v>
      </c>
      <c r="H80" s="5">
        <f t="shared" si="26"/>
        <v>-5.7296932928884393E-3</v>
      </c>
      <c r="I80" s="3">
        <f t="shared" si="14"/>
        <v>-0.97063854936701288</v>
      </c>
      <c r="J80" s="5">
        <f t="shared" si="27"/>
        <v>-7.2463768115943175E-3</v>
      </c>
      <c r="K80" s="3">
        <f t="shared" si="15"/>
        <v>-1.6150582352959315</v>
      </c>
      <c r="L80" s="3">
        <f t="shared" si="16"/>
        <v>-0.97137711434622143</v>
      </c>
      <c r="N80" s="12">
        <f t="shared" si="17"/>
        <v>-1.5101304907938416E-4</v>
      </c>
      <c r="O80" s="12">
        <f t="shared" si="18"/>
        <v>9.5130816003080371E-4</v>
      </c>
      <c r="P80" s="12">
        <f t="shared" si="19"/>
        <v>7.9440786290507336E-4</v>
      </c>
      <c r="Q80" s="12">
        <f t="shared" si="20"/>
        <v>-9.4495399706058612E-4</v>
      </c>
      <c r="R80" s="12">
        <f t="shared" si="21"/>
        <v>-1.515781631970357E-3</v>
      </c>
      <c r="S80" s="12">
        <f t="shared" si="22"/>
        <v>-1.5843663885808596E-3</v>
      </c>
      <c r="T80" s="12">
        <f t="shared" si="23"/>
        <v>-2.4285714285714244E-2</v>
      </c>
      <c r="U80" s="12">
        <f t="shared" si="24"/>
        <v>6.1607142857143193E-2</v>
      </c>
      <c r="V80" s="12">
        <f t="shared" si="25"/>
        <v>-0.23246523388116302</v>
      </c>
    </row>
    <row r="81" spans="1:22" x14ac:dyDescent="0.25">
      <c r="A81" s="26">
        <v>59.42</v>
      </c>
      <c r="B81">
        <v>59.13</v>
      </c>
      <c r="C81">
        <v>1.72</v>
      </c>
      <c r="D81" s="2">
        <v>45369</v>
      </c>
      <c r="E81">
        <v>59.54</v>
      </c>
      <c r="F81">
        <v>-0.12</v>
      </c>
      <c r="G81">
        <v>-0.40999999999999659</v>
      </c>
      <c r="H81" s="5">
        <f t="shared" si="26"/>
        <v>-2.0154517971111858E-3</v>
      </c>
      <c r="I81" s="3">
        <f t="shared" si="14"/>
        <v>-0.25333818627796439</v>
      </c>
      <c r="J81" s="5">
        <f t="shared" si="27"/>
        <v>-6.886126973463161E-3</v>
      </c>
      <c r="K81" s="3">
        <f t="shared" si="15"/>
        <v>-1.397864879950647</v>
      </c>
      <c r="L81" s="3">
        <f t="shared" si="16"/>
        <v>-0.51397638086259723</v>
      </c>
      <c r="N81" s="12">
        <f t="shared" si="17"/>
        <v>4.2028169651660963E-4</v>
      </c>
      <c r="O81" s="12">
        <f t="shared" si="18"/>
        <v>1.3903157317181776E-3</v>
      </c>
      <c r="P81" s="12">
        <f t="shared" si="19"/>
        <v>1.299473990497727E-3</v>
      </c>
      <c r="Q81" s="12">
        <f t="shared" si="20"/>
        <v>-7.1482524791366062E-4</v>
      </c>
      <c r="R81" s="12">
        <f t="shared" si="21"/>
        <v>-1.468575763389067E-3</v>
      </c>
      <c r="S81" s="12">
        <f t="shared" si="22"/>
        <v>-1.4923623782947034E-3</v>
      </c>
      <c r="T81" s="12">
        <f t="shared" si="23"/>
        <v>-6.6666666666665986E-3</v>
      </c>
      <c r="U81" s="12">
        <f t="shared" si="24"/>
        <v>7.8333333333333588E-2</v>
      </c>
      <c r="V81" s="12">
        <f t="shared" si="25"/>
        <v>-0.22028234302570615</v>
      </c>
    </row>
    <row r="82" spans="1:22" x14ac:dyDescent="0.25">
      <c r="A82" s="26">
        <v>57.75</v>
      </c>
      <c r="B82">
        <v>56.66</v>
      </c>
      <c r="C82">
        <v>2.3199999999999998</v>
      </c>
      <c r="D82" s="2">
        <v>45366</v>
      </c>
      <c r="E82">
        <v>57.1</v>
      </c>
      <c r="F82">
        <v>0.65</v>
      </c>
      <c r="G82">
        <v>-0.44000000000000483</v>
      </c>
      <c r="H82" s="5">
        <f t="shared" si="26"/>
        <v>1.138353765323993E-2</v>
      </c>
      <c r="I82" s="3">
        <f t="shared" si="14"/>
        <v>2.3278140558384472</v>
      </c>
      <c r="J82" s="5">
        <f t="shared" si="27"/>
        <v>-7.7057793345009602E-3</v>
      </c>
      <c r="K82" s="3">
        <f t="shared" si="15"/>
        <v>-1.949284540781365</v>
      </c>
      <c r="L82" s="3">
        <f t="shared" si="16"/>
        <v>0.94053997690218816</v>
      </c>
      <c r="N82" s="12">
        <f t="shared" si="17"/>
        <v>9.3475552932499139E-4</v>
      </c>
      <c r="O82" s="12">
        <f t="shared" si="18"/>
        <v>1.6005639136068923E-3</v>
      </c>
      <c r="P82" s="12">
        <f t="shared" si="19"/>
        <v>1.5840643897946027E-3</v>
      </c>
      <c r="Q82" s="12">
        <f t="shared" si="20"/>
        <v>-8.0144077420165813E-4</v>
      </c>
      <c r="R82" s="12">
        <f t="shared" si="21"/>
        <v>-1.522040334161894E-3</v>
      </c>
      <c r="S82" s="12">
        <f t="shared" si="22"/>
        <v>-1.5073762059302854E-3</v>
      </c>
      <c r="T82" s="12">
        <f t="shared" si="23"/>
        <v>3.9523809523809961E-2</v>
      </c>
      <c r="U82" s="12">
        <f t="shared" si="24"/>
        <v>0.10345238095238152</v>
      </c>
      <c r="V82" s="12">
        <f t="shared" si="25"/>
        <v>-0.19983143699957884</v>
      </c>
    </row>
    <row r="83" spans="1:22" x14ac:dyDescent="0.25">
      <c r="A83" s="26">
        <v>54.25</v>
      </c>
      <c r="B83">
        <v>53.72</v>
      </c>
      <c r="C83">
        <v>1.81</v>
      </c>
      <c r="D83" s="2">
        <v>45365</v>
      </c>
      <c r="E83">
        <v>54.12</v>
      </c>
      <c r="F83">
        <v>0.13</v>
      </c>
      <c r="G83">
        <v>-0.39999999999999858</v>
      </c>
      <c r="H83" s="5">
        <f t="shared" si="26"/>
        <v>2.4020694752402072E-3</v>
      </c>
      <c r="I83" s="3">
        <f t="shared" si="14"/>
        <v>0.61855739906316876</v>
      </c>
      <c r="J83" s="5">
        <f t="shared" si="27"/>
        <v>-7.3909830007390723E-3</v>
      </c>
      <c r="K83" s="3">
        <f t="shared" si="15"/>
        <v>-1.7687737190525983</v>
      </c>
      <c r="L83" s="3">
        <f t="shared" si="16"/>
        <v>-0.28738604863531758</v>
      </c>
      <c r="N83" s="12">
        <f t="shared" si="17"/>
        <v>7.9975824134903507E-4</v>
      </c>
      <c r="O83" s="12">
        <f t="shared" si="18"/>
        <v>1.1714157280589372E-3</v>
      </c>
      <c r="P83" s="12">
        <f t="shared" si="19"/>
        <v>1.1449611615537568E-3</v>
      </c>
      <c r="Q83" s="12">
        <f t="shared" si="20"/>
        <v>-5.1630463458502557E-4</v>
      </c>
      <c r="R83" s="12">
        <f t="shared" si="21"/>
        <v>-1.3101951696740648E-3</v>
      </c>
      <c r="S83" s="12">
        <f t="shared" si="22"/>
        <v>-1.2761720681424681E-3</v>
      </c>
      <c r="T83" s="12">
        <f t="shared" si="23"/>
        <v>1.1428571428571122E-2</v>
      </c>
      <c r="U83" s="12">
        <f t="shared" si="24"/>
        <v>7.2321428571428648E-2</v>
      </c>
      <c r="V83" s="12">
        <f t="shared" si="25"/>
        <v>-0.23202275600505717</v>
      </c>
    </row>
    <row r="84" spans="1:22" x14ac:dyDescent="0.25">
      <c r="A84" s="26">
        <v>54.92</v>
      </c>
      <c r="B84">
        <v>54.48</v>
      </c>
      <c r="C84">
        <v>1.98</v>
      </c>
      <c r="D84" s="2">
        <v>45364</v>
      </c>
      <c r="E84">
        <v>54.88</v>
      </c>
      <c r="F84">
        <v>0.04</v>
      </c>
      <c r="G84">
        <v>-0.40000000000000568</v>
      </c>
      <c r="H84" s="5">
        <f t="shared" si="26"/>
        <v>7.2886297376093293E-4</v>
      </c>
      <c r="I84" s="3">
        <f t="shared" si="14"/>
        <v>0.29744198076443001</v>
      </c>
      <c r="J84" s="5">
        <f t="shared" si="27"/>
        <v>-7.2886297376094323E-3</v>
      </c>
      <c r="K84" s="3">
        <f t="shared" si="15"/>
        <v>-1.7219240699462905</v>
      </c>
      <c r="L84" s="3">
        <f t="shared" si="16"/>
        <v>0.12208356397318652</v>
      </c>
      <c r="N84" s="12">
        <f t="shared" si="17"/>
        <v>6.0202697340286469E-4</v>
      </c>
      <c r="O84" s="12">
        <f t="shared" si="18"/>
        <v>7.5598172766605564E-4</v>
      </c>
      <c r="P84" s="12">
        <f t="shared" si="19"/>
        <v>8.3438068293784345E-4</v>
      </c>
      <c r="Q84" s="12">
        <f t="shared" si="20"/>
        <v>-2.4770007034170382E-4</v>
      </c>
      <c r="R84" s="12">
        <f t="shared" si="21"/>
        <v>-1.1292067310653287E-3</v>
      </c>
      <c r="S84" s="12">
        <f t="shared" si="22"/>
        <v>-1.0911006008692764E-3</v>
      </c>
      <c r="T84" s="12">
        <f t="shared" si="23"/>
        <v>1.9047619047618536E-3</v>
      </c>
      <c r="U84" s="12">
        <f t="shared" si="24"/>
        <v>5.1190476190476231E-2</v>
      </c>
      <c r="V84" s="12">
        <f t="shared" si="25"/>
        <v>-0.24982722292456838</v>
      </c>
    </row>
    <row r="85" spans="1:22" x14ac:dyDescent="0.25">
      <c r="A85" s="26">
        <v>54.21</v>
      </c>
      <c r="B85">
        <v>53.54</v>
      </c>
      <c r="C85">
        <v>1.71</v>
      </c>
      <c r="D85" s="2">
        <v>45363</v>
      </c>
      <c r="E85">
        <v>53.779000000000003</v>
      </c>
      <c r="F85">
        <v>0.43099999999999999</v>
      </c>
      <c r="G85">
        <v>-0.23900000000000432</v>
      </c>
      <c r="H85" s="5">
        <f t="shared" si="26"/>
        <v>8.0142806671749181E-3</v>
      </c>
      <c r="I85" s="3">
        <f t="shared" si="14"/>
        <v>1.7141933120244861</v>
      </c>
      <c r="J85" s="5">
        <f t="shared" si="27"/>
        <v>-4.4441138734451048E-3</v>
      </c>
      <c r="K85" s="3">
        <f t="shared" si="15"/>
        <v>0.13749871996393756</v>
      </c>
      <c r="L85" s="3">
        <f t="shared" si="16"/>
        <v>-0.53322348921236662</v>
      </c>
      <c r="N85" s="12">
        <f t="shared" si="17"/>
        <v>2.7453607977968538E-4</v>
      </c>
      <c r="O85" s="12">
        <f t="shared" si="18"/>
        <v>5.6289397979661631E-4</v>
      </c>
      <c r="P85" s="12">
        <f t="shared" si="19"/>
        <v>5.3002418281263204E-4</v>
      </c>
      <c r="Q85" s="12">
        <f t="shared" si="20"/>
        <v>-2.218221550853031E-4</v>
      </c>
      <c r="R85" s="12">
        <f t="shared" si="21"/>
        <v>-1.0641643608919745E-3</v>
      </c>
      <c r="S85" s="12">
        <f t="shared" si="22"/>
        <v>-9.8802370173027565E-4</v>
      </c>
      <c r="T85" s="12">
        <f t="shared" si="23"/>
        <v>1.1904761904761862E-2</v>
      </c>
      <c r="U85" s="12">
        <f t="shared" si="24"/>
        <v>4.6964285714285792E-2</v>
      </c>
      <c r="V85" s="12">
        <f t="shared" si="25"/>
        <v>-0.26152970922882446</v>
      </c>
    </row>
    <row r="86" spans="1:22" x14ac:dyDescent="0.25">
      <c r="A86" s="26">
        <v>54.43</v>
      </c>
      <c r="B86">
        <v>54.49</v>
      </c>
      <c r="C86">
        <v>1.31</v>
      </c>
      <c r="D86" s="2">
        <v>45362</v>
      </c>
      <c r="E86">
        <v>54.74</v>
      </c>
      <c r="F86">
        <v>-0.31</v>
      </c>
      <c r="G86">
        <v>-0.25</v>
      </c>
      <c r="H86" s="5">
        <f t="shared" si="26"/>
        <v>-5.6631348191450489E-3</v>
      </c>
      <c r="I86" s="3">
        <f t="shared" si="14"/>
        <v>-0.94688759868605665</v>
      </c>
      <c r="J86" s="5">
        <f t="shared" si="27"/>
        <v>-4.5670442089879425E-3</v>
      </c>
      <c r="K86" s="3">
        <f t="shared" si="15"/>
        <v>3.8685525503669486E-2</v>
      </c>
      <c r="L86" s="3">
        <f t="shared" si="16"/>
        <v>-1.5074990353719702</v>
      </c>
      <c r="N86" s="12">
        <f t="shared" si="17"/>
        <v>-2.7116995917911681E-4</v>
      </c>
      <c r="O86" s="12">
        <f t="shared" si="18"/>
        <v>1.3743134262381087E-4</v>
      </c>
      <c r="P86" s="12">
        <f t="shared" si="19"/>
        <v>9.4753874068095835E-5</v>
      </c>
      <c r="Q86" s="12">
        <f t="shared" si="20"/>
        <v>-2.354877759732435E-4</v>
      </c>
      <c r="R86" s="12">
        <f t="shared" si="21"/>
        <v>-1.0908160168488111E-3</v>
      </c>
      <c r="S86" s="12">
        <f t="shared" si="22"/>
        <v>-9.684627190172275E-4</v>
      </c>
      <c r="T86" s="12">
        <f t="shared" si="23"/>
        <v>5.2380952380954859E-3</v>
      </c>
      <c r="U86" s="12">
        <f t="shared" si="24"/>
        <v>3.6726190476190856E-2</v>
      </c>
      <c r="V86" s="12">
        <f t="shared" si="25"/>
        <v>-0.27120522545301307</v>
      </c>
    </row>
    <row r="87" spans="1:22" x14ac:dyDescent="0.25">
      <c r="A87" s="26">
        <v>57.1</v>
      </c>
      <c r="B87">
        <v>57.01</v>
      </c>
      <c r="C87">
        <v>1.79</v>
      </c>
      <c r="D87" s="2">
        <v>45359</v>
      </c>
      <c r="E87">
        <v>57.39</v>
      </c>
      <c r="F87">
        <v>-0.28999999999999998</v>
      </c>
      <c r="G87">
        <v>-0.38000000000000256</v>
      </c>
      <c r="H87" s="5">
        <f t="shared" si="26"/>
        <v>-5.0531451472381941E-3</v>
      </c>
      <c r="I87" s="3">
        <f t="shared" si="14"/>
        <v>-0.83284645157155213</v>
      </c>
      <c r="J87" s="5">
        <f t="shared" si="27"/>
        <v>-6.6213626067259546E-3</v>
      </c>
      <c r="K87" s="3">
        <f t="shared" si="15"/>
        <v>-1.2425417542280315</v>
      </c>
      <c r="L87" s="3">
        <f t="shared" si="16"/>
        <v>-0.35502621138469198</v>
      </c>
      <c r="N87" s="12">
        <f t="shared" si="17"/>
        <v>-1.3460568929965163E-4</v>
      </c>
      <c r="O87" s="12">
        <f t="shared" si="18"/>
        <v>3.0313477381174595E-4</v>
      </c>
      <c r="P87" s="12">
        <f t="shared" si="19"/>
        <v>2.5235997010818146E-4</v>
      </c>
      <c r="Q87" s="12">
        <f t="shared" si="20"/>
        <v>-3.20736779826334E-4</v>
      </c>
      <c r="R87" s="12">
        <f t="shared" si="21"/>
        <v>-1.180050146737192E-3</v>
      </c>
      <c r="S87" s="12">
        <f t="shared" si="22"/>
        <v>-1.0278404752618328E-3</v>
      </c>
      <c r="T87" s="12">
        <f t="shared" si="23"/>
        <v>1.047619047619075E-2</v>
      </c>
      <c r="U87" s="12">
        <f t="shared" si="24"/>
        <v>5.2083333333333481E-2</v>
      </c>
      <c r="V87" s="12">
        <f t="shared" si="25"/>
        <v>-0.2550231774125582</v>
      </c>
    </row>
    <row r="88" spans="1:22" x14ac:dyDescent="0.25">
      <c r="A88" s="26">
        <v>56.94</v>
      </c>
      <c r="B88">
        <v>57.03</v>
      </c>
      <c r="C88">
        <v>1.4</v>
      </c>
      <c r="D88" s="2">
        <v>45358</v>
      </c>
      <c r="E88">
        <v>57.47</v>
      </c>
      <c r="F88">
        <v>-0.53</v>
      </c>
      <c r="G88">
        <v>-0.43999999999999773</v>
      </c>
      <c r="H88" s="5">
        <f t="shared" si="26"/>
        <v>-9.2222028884635463E-3</v>
      </c>
      <c r="I88" s="3">
        <f t="shared" si="14"/>
        <v>-1.6557301289982838</v>
      </c>
      <c r="J88" s="5">
        <f t="shared" si="27"/>
        <v>-7.6561684357055459E-3</v>
      </c>
      <c r="K88" s="3">
        <f t="shared" si="15"/>
        <v>-1.8943734230327784</v>
      </c>
      <c r="L88" s="3">
        <f t="shared" si="16"/>
        <v>-1.3046427812167463</v>
      </c>
      <c r="N88" s="12">
        <f t="shared" si="17"/>
        <v>-6.9678965004580143E-5</v>
      </c>
      <c r="O88" s="12">
        <f t="shared" si="18"/>
        <v>4.762894188363338E-4</v>
      </c>
      <c r="P88" s="12">
        <f t="shared" si="19"/>
        <v>3.9892047013245904E-4</v>
      </c>
      <c r="Q88" s="12">
        <f t="shared" si="20"/>
        <v>-4.0329141493761732E-4</v>
      </c>
      <c r="R88" s="12">
        <f t="shared" si="21"/>
        <v>-1.1725590980301804E-3</v>
      </c>
      <c r="S88" s="12">
        <f t="shared" si="22"/>
        <v>-1.0042693598466173E-3</v>
      </c>
      <c r="T88" s="12">
        <f t="shared" si="23"/>
        <v>1.9047619047622977E-3</v>
      </c>
      <c r="U88" s="12">
        <f t="shared" si="24"/>
        <v>3.6845238095238209E-2</v>
      </c>
      <c r="V88" s="12">
        <f t="shared" si="25"/>
        <v>-0.26354825115887115</v>
      </c>
    </row>
    <row r="89" spans="1:22" x14ac:dyDescent="0.25">
      <c r="A89" s="26">
        <v>59.14</v>
      </c>
      <c r="B89">
        <v>57.66</v>
      </c>
      <c r="C89">
        <v>1.84</v>
      </c>
      <c r="D89" s="2">
        <v>45356</v>
      </c>
      <c r="E89">
        <v>58.12</v>
      </c>
      <c r="F89">
        <v>1.02</v>
      </c>
      <c r="G89">
        <v>-0.46000000000000085</v>
      </c>
      <c r="H89" s="5">
        <f t="shared" si="26"/>
        <v>1.7549896765313145E-2</v>
      </c>
      <c r="I89" s="3">
        <f t="shared" si="14"/>
        <v>3.6142820588101632</v>
      </c>
      <c r="J89" s="5">
        <f t="shared" si="27"/>
        <v>-7.9146593255333946E-3</v>
      </c>
      <c r="K89" s="3">
        <f t="shared" si="15"/>
        <v>-2.0670537275587653</v>
      </c>
      <c r="L89" s="3">
        <f t="shared" si="16"/>
        <v>-0.2406273968858075</v>
      </c>
      <c r="N89" s="12">
        <f t="shared" si="17"/>
        <v>1.8919957066724371E-4</v>
      </c>
      <c r="O89" s="12">
        <f t="shared" si="18"/>
        <v>7.6104904319564386E-4</v>
      </c>
      <c r="P89" s="12">
        <f t="shared" si="19"/>
        <v>7.2034166479415895E-4</v>
      </c>
      <c r="Q89" s="12">
        <f t="shared" si="20"/>
        <v>-2.5034287154736528E-4</v>
      </c>
      <c r="R89" s="12">
        <f t="shared" si="21"/>
        <v>-1.007499118278847E-3</v>
      </c>
      <c r="S89" s="12">
        <f t="shared" si="22"/>
        <v>-8.2801043117401284E-4</v>
      </c>
      <c r="T89" s="12">
        <f t="shared" si="23"/>
        <v>3.5238095238095068E-2</v>
      </c>
      <c r="U89" s="12">
        <f t="shared" si="24"/>
        <v>5.9880952380952257E-2</v>
      </c>
      <c r="V89" s="12">
        <f t="shared" si="25"/>
        <v>-0.24176569742941489</v>
      </c>
    </row>
    <row r="90" spans="1:22" x14ac:dyDescent="0.25">
      <c r="A90" s="26">
        <v>51.76</v>
      </c>
      <c r="B90">
        <v>52</v>
      </c>
      <c r="C90">
        <v>1.32</v>
      </c>
      <c r="D90" s="2">
        <v>45355</v>
      </c>
      <c r="E90">
        <v>52.24</v>
      </c>
      <c r="F90">
        <v>-0.48</v>
      </c>
      <c r="G90">
        <v>-0.24000000000000199</v>
      </c>
      <c r="H90" s="5">
        <f t="shared" si="26"/>
        <v>-9.1883614088820818E-3</v>
      </c>
      <c r="I90" s="3">
        <f t="shared" si="14"/>
        <v>-1.6970939184199132</v>
      </c>
      <c r="J90" s="5">
        <f t="shared" si="27"/>
        <v>-4.594180704441079E-3</v>
      </c>
      <c r="K90" s="3">
        <f t="shared" si="15"/>
        <v>-2.7625207606392092E-2</v>
      </c>
      <c r="L90" s="3">
        <f t="shared" si="16"/>
        <v>-1.5145964142190804</v>
      </c>
      <c r="N90" s="12">
        <f t="shared" si="17"/>
        <v>-1.6339126980627714E-3</v>
      </c>
      <c r="O90" s="12">
        <f t="shared" si="18"/>
        <v>-5.4010184091715088E-4</v>
      </c>
      <c r="P90" s="12">
        <f t="shared" si="19"/>
        <v>-7.4972881243731302E-4</v>
      </c>
      <c r="Q90" s="12">
        <f t="shared" si="20"/>
        <v>-5.8088324186784598E-5</v>
      </c>
      <c r="R90" s="12">
        <f t="shared" si="21"/>
        <v>-7.7853943136304508E-4</v>
      </c>
      <c r="S90" s="12">
        <f t="shared" si="22"/>
        <v>-5.9908036207341822E-4</v>
      </c>
      <c r="T90" s="12">
        <f t="shared" si="23"/>
        <v>-6.1904761904763017E-3</v>
      </c>
      <c r="U90" s="12">
        <f t="shared" si="24"/>
        <v>2.7499999999999858E-2</v>
      </c>
      <c r="V90" s="12">
        <f t="shared" si="25"/>
        <v>-0.27915297092288327</v>
      </c>
    </row>
    <row r="91" spans="1:22" x14ac:dyDescent="0.25">
      <c r="A91" s="26">
        <v>53.6</v>
      </c>
      <c r="B91">
        <v>53.36</v>
      </c>
      <c r="C91">
        <v>1.82</v>
      </c>
      <c r="D91" s="2">
        <v>45352</v>
      </c>
      <c r="E91">
        <v>53.79</v>
      </c>
      <c r="F91">
        <v>-0.19</v>
      </c>
      <c r="G91">
        <v>-0.42999999999999972</v>
      </c>
      <c r="H91" s="5">
        <f t="shared" si="26"/>
        <v>-3.5322550659973974E-3</v>
      </c>
      <c r="I91" s="3">
        <f t="shared" si="14"/>
        <v>-0.56141522102171681</v>
      </c>
      <c r="J91" s="5">
        <f t="shared" si="27"/>
        <v>-7.9940509388362092E-3</v>
      </c>
      <c r="K91" s="3">
        <f t="shared" si="15"/>
        <v>-2.1465793213316515</v>
      </c>
      <c r="L91" s="3">
        <f t="shared" si="16"/>
        <v>-0.30644544666641127</v>
      </c>
      <c r="N91" s="12">
        <f t="shared" si="17"/>
        <v>-1.1025441733243818E-3</v>
      </c>
      <c r="O91" s="12">
        <f t="shared" si="18"/>
        <v>-1.5788438978743308E-5</v>
      </c>
      <c r="P91" s="12">
        <f t="shared" si="19"/>
        <v>-2.0058223807212759E-4</v>
      </c>
      <c r="Q91" s="12">
        <f t="shared" si="20"/>
        <v>-2.4203927583163823E-4</v>
      </c>
      <c r="R91" s="12">
        <f t="shared" si="21"/>
        <v>-9.2774078360622226E-4</v>
      </c>
      <c r="S91" s="12">
        <f t="shared" si="22"/>
        <v>-7.1250874897694962E-4</v>
      </c>
      <c r="T91" s="12">
        <f t="shared" si="23"/>
        <v>2.1428571428571352E-2</v>
      </c>
      <c r="U91" s="12">
        <f t="shared" si="24"/>
        <v>6.1964285714285472E-2</v>
      </c>
      <c r="V91" s="12">
        <f t="shared" si="25"/>
        <v>-0.25211125158027881</v>
      </c>
    </row>
    <row r="92" spans="1:22" x14ac:dyDescent="0.25">
      <c r="A92" s="26">
        <v>54.9</v>
      </c>
      <c r="B92">
        <v>54.85</v>
      </c>
      <c r="C92">
        <v>1.44</v>
      </c>
      <c r="D92" s="2">
        <v>45351</v>
      </c>
      <c r="E92">
        <v>55.15</v>
      </c>
      <c r="F92">
        <v>-0.25</v>
      </c>
      <c r="G92">
        <v>-0.29999999999999716</v>
      </c>
      <c r="H92" s="5">
        <f t="shared" si="26"/>
        <v>-4.5330915684496827E-3</v>
      </c>
      <c r="I92" s="3">
        <f t="shared" si="14"/>
        <v>-0.76286523036429654</v>
      </c>
      <c r="J92" s="5">
        <f t="shared" si="27"/>
        <v>-5.439709882139568E-3</v>
      </c>
      <c r="K92" s="3">
        <f t="shared" si="15"/>
        <v>-0.57491773208542429</v>
      </c>
      <c r="L92" s="3">
        <f t="shared" si="16"/>
        <v>-1.2392890614254874</v>
      </c>
      <c r="N92" s="12">
        <f t="shared" si="17"/>
        <v>-1.1324553406310495E-3</v>
      </c>
      <c r="O92" s="12">
        <f t="shared" si="18"/>
        <v>4.0290835363627781E-5</v>
      </c>
      <c r="P92" s="12">
        <f t="shared" si="19"/>
        <v>-8.1480093699549732E-5</v>
      </c>
      <c r="Q92" s="12">
        <f t="shared" si="20"/>
        <v>-9.0424306701737331E-5</v>
      </c>
      <c r="R92" s="12">
        <f t="shared" si="21"/>
        <v>-7.8663985126679881E-4</v>
      </c>
      <c r="S92" s="12">
        <f t="shared" si="22"/>
        <v>-5.4416369287912849E-4</v>
      </c>
      <c r="T92" s="12">
        <f t="shared" si="23"/>
        <v>-5.2380952380954859E-3</v>
      </c>
      <c r="U92" s="12">
        <f t="shared" si="24"/>
        <v>4.5952380952380967E-2</v>
      </c>
      <c r="V92" s="12">
        <f t="shared" si="25"/>
        <v>-0.26790981879477482</v>
      </c>
    </row>
    <row r="93" spans="1:22" x14ac:dyDescent="0.25">
      <c r="A93" s="26">
        <v>54.94</v>
      </c>
      <c r="B93">
        <v>53.75</v>
      </c>
      <c r="C93">
        <v>2.06</v>
      </c>
      <c r="D93" s="2">
        <v>45350</v>
      </c>
      <c r="E93">
        <v>54.03</v>
      </c>
      <c r="F93">
        <v>0.91</v>
      </c>
      <c r="G93">
        <v>-0.28000000000000114</v>
      </c>
      <c r="H93" s="5">
        <f t="shared" si="26"/>
        <v>1.6842494910235054E-2</v>
      </c>
      <c r="I93" s="3">
        <f t="shared" si="14"/>
        <v>3.5903195889013353</v>
      </c>
      <c r="J93" s="5">
        <f t="shared" si="27"/>
        <v>-5.1823061262261912E-3</v>
      </c>
      <c r="K93" s="3">
        <f t="shared" si="15"/>
        <v>-0.41707445640773538</v>
      </c>
      <c r="L93" s="3">
        <f t="shared" si="16"/>
        <v>0.271478149917522</v>
      </c>
      <c r="N93" s="12">
        <f t="shared" si="17"/>
        <v>-1.2294950475730346E-3</v>
      </c>
      <c r="O93" s="12">
        <f t="shared" si="18"/>
        <v>-7.3526206204453225E-5</v>
      </c>
      <c r="P93" s="12">
        <f t="shared" si="19"/>
        <v>-2.1046091919464747E-4</v>
      </c>
      <c r="Q93" s="12">
        <f t="shared" si="20"/>
        <v>-5.9618264809003715E-5</v>
      </c>
      <c r="R93" s="12">
        <f t="shared" si="21"/>
        <v>-8.1138430964862451E-4</v>
      </c>
      <c r="S93" s="12">
        <f t="shared" si="22"/>
        <v>-5.5937955902694847E-4</v>
      </c>
      <c r="T93" s="12">
        <f t="shared" si="23"/>
        <v>-1.1904761904762529E-2</v>
      </c>
      <c r="U93" s="12">
        <f t="shared" si="24"/>
        <v>3.2916666666666261E-2</v>
      </c>
      <c r="V93" s="12">
        <f t="shared" si="25"/>
        <v>-0.2736746734091875</v>
      </c>
    </row>
    <row r="94" spans="1:22" x14ac:dyDescent="0.25">
      <c r="A94" s="26">
        <v>51.12</v>
      </c>
      <c r="B94">
        <v>51.03</v>
      </c>
      <c r="C94">
        <v>1.49</v>
      </c>
      <c r="D94" s="2">
        <v>45349</v>
      </c>
      <c r="E94">
        <v>51.35</v>
      </c>
      <c r="F94">
        <v>-0.23</v>
      </c>
      <c r="G94">
        <v>-0.32000000000000028</v>
      </c>
      <c r="H94" s="5">
        <f t="shared" si="26"/>
        <v>-4.4790652385589096E-3</v>
      </c>
      <c r="I94" s="3">
        <f t="shared" si="14"/>
        <v>-0.7681656504816643</v>
      </c>
      <c r="J94" s="5">
        <f t="shared" si="27"/>
        <v>-6.2317429406037054E-3</v>
      </c>
      <c r="K94" s="3">
        <f t="shared" si="15"/>
        <v>-1.0783680362760835</v>
      </c>
      <c r="L94" s="3">
        <f t="shared" si="16"/>
        <v>-1.1279405955435726</v>
      </c>
      <c r="N94" s="12">
        <f t="shared" si="17"/>
        <v>-5.0295450851725034E-4</v>
      </c>
      <c r="O94" s="12">
        <f t="shared" si="18"/>
        <v>6.5936578600649109E-5</v>
      </c>
      <c r="P94" s="12">
        <f t="shared" si="19"/>
        <v>-2.5009851364593116E-4</v>
      </c>
      <c r="Q94" s="12">
        <f t="shared" si="20"/>
        <v>-1.492050501530548E-4</v>
      </c>
      <c r="R94" s="12">
        <f t="shared" si="21"/>
        <v>-8.5517996955773463E-4</v>
      </c>
      <c r="S94" s="12">
        <f t="shared" si="22"/>
        <v>-6.0663766973987135E-4</v>
      </c>
      <c r="T94" s="12">
        <f t="shared" si="23"/>
        <v>1.8571428571427795E-2</v>
      </c>
      <c r="U94" s="12">
        <f t="shared" si="24"/>
        <v>3.6428571428570811E-2</v>
      </c>
      <c r="V94" s="12">
        <f t="shared" si="25"/>
        <v>-0.27452591656131564</v>
      </c>
    </row>
    <row r="95" spans="1:22" x14ac:dyDescent="0.25">
      <c r="A95" s="26">
        <v>50.65</v>
      </c>
      <c r="B95">
        <v>50.2</v>
      </c>
      <c r="C95">
        <v>1.63</v>
      </c>
      <c r="D95" s="2">
        <v>45348</v>
      </c>
      <c r="E95">
        <v>50.59</v>
      </c>
      <c r="F95">
        <v>0.06</v>
      </c>
      <c r="G95">
        <v>-0.39000000000000057</v>
      </c>
      <c r="H95" s="5">
        <f t="shared" si="26"/>
        <v>1.1860051393556038E-3</v>
      </c>
      <c r="I95" s="3">
        <f t="shared" si="14"/>
        <v>0.42067873651181076</v>
      </c>
      <c r="J95" s="5">
        <f t="shared" si="27"/>
        <v>-7.7090334058114362E-3</v>
      </c>
      <c r="K95" s="3">
        <f t="shared" si="15"/>
        <v>-2.0102930582385046</v>
      </c>
      <c r="L95" s="3">
        <f t="shared" si="16"/>
        <v>-0.79091231501618087</v>
      </c>
      <c r="N95" s="12">
        <f t="shared" si="17"/>
        <v>-2.8511937648248518E-4</v>
      </c>
      <c r="O95" s="12">
        <f t="shared" si="18"/>
        <v>2.2419953943275965E-4</v>
      </c>
      <c r="P95" s="12">
        <f t="shared" si="19"/>
        <v>-7.6124052727940725E-5</v>
      </c>
      <c r="Q95" s="12">
        <f t="shared" si="20"/>
        <v>-1.2461597061622694E-4</v>
      </c>
      <c r="R95" s="12">
        <f t="shared" si="21"/>
        <v>-7.9739686432569405E-4</v>
      </c>
      <c r="S95" s="12">
        <f t="shared" si="22"/>
        <v>-5.3658837965306957E-4</v>
      </c>
      <c r="T95" s="12">
        <f t="shared" si="23"/>
        <v>1.9523809523809499E-2</v>
      </c>
      <c r="U95" s="12">
        <f t="shared" si="24"/>
        <v>2.815476190476196E-2</v>
      </c>
      <c r="V95" s="12">
        <f t="shared" si="25"/>
        <v>-0.27287399915718491</v>
      </c>
    </row>
    <row r="96" spans="1:22" x14ac:dyDescent="0.25">
      <c r="A96" s="26">
        <v>49.5</v>
      </c>
      <c r="B96">
        <v>49.49</v>
      </c>
      <c r="C96">
        <v>1.73</v>
      </c>
      <c r="D96" s="2">
        <v>45345</v>
      </c>
      <c r="E96">
        <v>49.69</v>
      </c>
      <c r="F96">
        <v>-0.19</v>
      </c>
      <c r="G96">
        <v>-0.19999999999999574</v>
      </c>
      <c r="H96" s="5">
        <f t="shared" si="26"/>
        <v>-3.8237069832964383E-3</v>
      </c>
      <c r="I96" s="3">
        <f t="shared" si="14"/>
        <v>-0.61897367735044895</v>
      </c>
      <c r="J96" s="5">
        <f t="shared" si="27"/>
        <v>-4.024954719259323E-3</v>
      </c>
      <c r="K96" s="3">
        <f t="shared" si="15"/>
        <v>0.28408667908950391</v>
      </c>
      <c r="L96" s="3">
        <f t="shared" si="16"/>
        <v>-0.54557411156235469</v>
      </c>
      <c r="N96" s="12">
        <f t="shared" si="17"/>
        <v>-4.1720332877791429E-4</v>
      </c>
      <c r="O96" s="12">
        <f t="shared" si="18"/>
        <v>2.4061444271183778E-4</v>
      </c>
      <c r="P96" s="12">
        <f t="shared" si="19"/>
        <v>-2.7394980247207816E-4</v>
      </c>
      <c r="Q96" s="12">
        <f t="shared" si="20"/>
        <v>-1.5389708783757668E-4</v>
      </c>
      <c r="R96" s="12">
        <f t="shared" si="21"/>
        <v>-7.9961418712225837E-4</v>
      </c>
      <c r="S96" s="12">
        <f t="shared" si="22"/>
        <v>-5.0310968920905686E-4</v>
      </c>
      <c r="T96" s="12">
        <f t="shared" si="23"/>
        <v>1.8095238095237498E-2</v>
      </c>
      <c r="U96" s="12">
        <f t="shared" si="24"/>
        <v>3.0238095238094953E-2</v>
      </c>
      <c r="V96" s="12">
        <f t="shared" si="25"/>
        <v>-0.27540665823851707</v>
      </c>
    </row>
    <row r="97" spans="1:22" x14ac:dyDescent="0.25">
      <c r="A97" s="26">
        <v>51.55</v>
      </c>
      <c r="B97">
        <v>51.15</v>
      </c>
      <c r="C97">
        <v>1.64</v>
      </c>
      <c r="D97" s="2">
        <v>45344</v>
      </c>
      <c r="E97">
        <v>51.49</v>
      </c>
      <c r="F97">
        <v>0.06</v>
      </c>
      <c r="G97">
        <v>-0.34000000000000341</v>
      </c>
      <c r="H97" s="5">
        <f t="shared" si="26"/>
        <v>1.1652748106428432E-3</v>
      </c>
      <c r="I97" s="3">
        <f t="shared" si="14"/>
        <v>0.42081278499658303</v>
      </c>
      <c r="J97" s="5">
        <f t="shared" si="27"/>
        <v>-6.6032239269761782E-3</v>
      </c>
      <c r="K97" s="3">
        <f t="shared" si="15"/>
        <v>-1.3116310125245265</v>
      </c>
      <c r="L97" s="3">
        <f t="shared" si="16"/>
        <v>-0.76796460873146544</v>
      </c>
      <c r="N97" s="12">
        <f t="shared" si="17"/>
        <v>-8.5452159137404285E-5</v>
      </c>
      <c r="O97" s="12">
        <f t="shared" si="18"/>
        <v>3.4309011882512964E-4</v>
      </c>
      <c r="P97" s="12">
        <f t="shared" si="19"/>
        <v>-9.8197058864119263E-5</v>
      </c>
      <c r="Q97" s="12">
        <f t="shared" si="20"/>
        <v>-3.2585562522422125E-4</v>
      </c>
      <c r="R97" s="12">
        <f t="shared" si="21"/>
        <v>-9.4266103245795908E-4</v>
      </c>
      <c r="S97" s="12">
        <f t="shared" si="22"/>
        <v>-6.10044147968101E-4</v>
      </c>
      <c r="T97" s="12">
        <f t="shared" si="23"/>
        <v>1.2380952380951715E-2</v>
      </c>
      <c r="U97" s="12">
        <f t="shared" si="24"/>
        <v>2.2321428571428159E-2</v>
      </c>
      <c r="V97" s="12">
        <f t="shared" si="25"/>
        <v>-0.28285714285714358</v>
      </c>
    </row>
    <row r="98" spans="1:22" x14ac:dyDescent="0.25">
      <c r="A98" s="26">
        <v>51.8</v>
      </c>
      <c r="B98">
        <v>51.32</v>
      </c>
      <c r="C98">
        <v>1.72</v>
      </c>
      <c r="D98" s="2">
        <v>45342</v>
      </c>
      <c r="E98">
        <v>51.7</v>
      </c>
      <c r="F98">
        <v>0.1</v>
      </c>
      <c r="G98">
        <v>-0.38000000000000256</v>
      </c>
      <c r="H98" s="5">
        <f t="shared" si="26"/>
        <v>1.9342359767891683E-3</v>
      </c>
      <c r="I98" s="3">
        <f t="shared" si="14"/>
        <v>0.57898666978224811</v>
      </c>
      <c r="J98" s="5">
        <f t="shared" si="27"/>
        <v>-7.3500967117988885E-3</v>
      </c>
      <c r="K98" s="3">
        <f t="shared" si="15"/>
        <v>-1.7796440082701632</v>
      </c>
      <c r="L98" s="3">
        <f t="shared" si="16"/>
        <v>-0.57676144475558089</v>
      </c>
      <c r="N98" s="12">
        <f t="shared" si="17"/>
        <v>1.428512957463894E-3</v>
      </c>
      <c r="O98" s="12">
        <f t="shared" si="18"/>
        <v>1.292269781631562E-3</v>
      </c>
      <c r="P98" s="12">
        <f t="shared" si="19"/>
        <v>7.0894455268145971E-4</v>
      </c>
      <c r="Q98" s="12">
        <f t="shared" si="20"/>
        <v>-4.7687348884347357E-4</v>
      </c>
      <c r="R98" s="12">
        <f t="shared" si="21"/>
        <v>-9.9384337811386607E-4</v>
      </c>
      <c r="S98" s="12">
        <f t="shared" si="22"/>
        <v>-6.4995224371659603E-4</v>
      </c>
      <c r="T98" s="12">
        <f t="shared" si="23"/>
        <v>5.5714285714285383E-2</v>
      </c>
      <c r="U98" s="12">
        <f t="shared" si="24"/>
        <v>4.750000000000032E-2</v>
      </c>
      <c r="V98" s="12">
        <f t="shared" si="25"/>
        <v>-0.25697850821744672</v>
      </c>
    </row>
    <row r="99" spans="1:22" x14ac:dyDescent="0.25">
      <c r="A99" s="26">
        <v>53</v>
      </c>
      <c r="B99">
        <v>52.9</v>
      </c>
      <c r="C99">
        <v>1.46</v>
      </c>
      <c r="D99" s="2">
        <v>45341</v>
      </c>
      <c r="E99">
        <v>53.21</v>
      </c>
      <c r="F99">
        <v>-0.21</v>
      </c>
      <c r="G99">
        <v>-0.31000000000000227</v>
      </c>
      <c r="H99" s="5">
        <f t="shared" si="26"/>
        <v>-3.9466265739522641E-3</v>
      </c>
      <c r="I99" s="3">
        <f t="shared" si="14"/>
        <v>-0.6425564091635354</v>
      </c>
      <c r="J99" s="5">
        <f t="shared" si="27"/>
        <v>-5.825972561548624E-3</v>
      </c>
      <c r="K99" s="3">
        <f t="shared" si="15"/>
        <v>-0.86706528398487082</v>
      </c>
      <c r="L99" s="3">
        <f t="shared" si="16"/>
        <v>-1.2178347448562454</v>
      </c>
      <c r="N99" s="12">
        <f t="shared" si="17"/>
        <v>1.3064201096010756E-3</v>
      </c>
      <c r="O99" s="12">
        <f t="shared" si="18"/>
        <v>1.049145435251822E-3</v>
      </c>
      <c r="P99" s="12">
        <f t="shared" si="19"/>
        <v>6.1523829250465976E-4</v>
      </c>
      <c r="Q99" s="12">
        <f t="shared" si="20"/>
        <v>-7.4560489970262964E-4</v>
      </c>
      <c r="R99" s="12">
        <f t="shared" si="21"/>
        <v>-1.1265053563726916E-3</v>
      </c>
      <c r="S99" s="12">
        <f t="shared" si="22"/>
        <v>-7.2396350970052072E-4</v>
      </c>
      <c r="T99" s="12">
        <f t="shared" si="23"/>
        <v>6.4761904761904354E-2</v>
      </c>
      <c r="U99" s="12">
        <f t="shared" si="24"/>
        <v>4.4166666666666687E-2</v>
      </c>
      <c r="V99" s="12">
        <f t="shared" si="25"/>
        <v>-0.26047619047619097</v>
      </c>
    </row>
    <row r="100" spans="1:22" x14ac:dyDescent="0.25">
      <c r="A100" s="26">
        <v>55.12</v>
      </c>
      <c r="B100">
        <v>55.01</v>
      </c>
      <c r="C100">
        <v>1.8</v>
      </c>
      <c r="D100" s="2">
        <v>45338</v>
      </c>
      <c r="E100">
        <v>55.28</v>
      </c>
      <c r="F100">
        <v>-0.16</v>
      </c>
      <c r="G100">
        <v>-0.27000000000000313</v>
      </c>
      <c r="H100" s="5">
        <f t="shared" si="26"/>
        <v>-2.8943560057887118E-3</v>
      </c>
      <c r="I100" s="3">
        <f t="shared" si="14"/>
        <v>-0.42456777689055936</v>
      </c>
      <c r="J100" s="5">
        <f t="shared" si="27"/>
        <v>-4.8842257597685084E-3</v>
      </c>
      <c r="K100" s="3">
        <f t="shared" si="15"/>
        <v>-0.29586644248655042</v>
      </c>
      <c r="L100" s="3">
        <f t="shared" si="16"/>
        <v>-0.38739861457495522</v>
      </c>
      <c r="N100" s="12">
        <f t="shared" si="17"/>
        <v>1.6958597938401209E-3</v>
      </c>
      <c r="O100" s="12">
        <f t="shared" si="18"/>
        <v>1.1946560635097267E-3</v>
      </c>
      <c r="P100" s="12">
        <f t="shared" si="19"/>
        <v>7.8240893205602032E-4</v>
      </c>
      <c r="Q100" s="12">
        <f t="shared" si="20"/>
        <v>-6.8327232279057851E-4</v>
      </c>
      <c r="R100" s="12">
        <f t="shared" si="21"/>
        <v>-1.0802821281952635E-3</v>
      </c>
      <c r="S100" s="12">
        <f t="shared" si="22"/>
        <v>-6.5541143593531373E-4</v>
      </c>
      <c r="T100" s="12">
        <f t="shared" si="23"/>
        <v>0.1076190476190475</v>
      </c>
      <c r="U100" s="12">
        <f t="shared" si="24"/>
        <v>6.4821428571428807E-2</v>
      </c>
      <c r="V100" s="12">
        <f t="shared" si="25"/>
        <v>-0.24034134007585406</v>
      </c>
    </row>
    <row r="101" spans="1:22" x14ac:dyDescent="0.25">
      <c r="A101" s="26">
        <v>54.87</v>
      </c>
      <c r="B101">
        <v>54.4</v>
      </c>
      <c r="C101">
        <v>1.81</v>
      </c>
      <c r="D101" s="2">
        <v>45337</v>
      </c>
      <c r="E101">
        <v>54.69</v>
      </c>
      <c r="F101">
        <v>0.18</v>
      </c>
      <c r="G101">
        <v>-0.28999999999999915</v>
      </c>
      <c r="H101" s="5">
        <f t="shared" si="26"/>
        <v>3.2912781130005485E-3</v>
      </c>
      <c r="I101" s="3">
        <f t="shared" si="14"/>
        <v>0.8653653126191776</v>
      </c>
      <c r="J101" s="5">
        <f t="shared" si="27"/>
        <v>-5.3026147376119799E-3</v>
      </c>
      <c r="K101" s="3">
        <f t="shared" si="15"/>
        <v>-0.54512505809355716</v>
      </c>
      <c r="L101" s="3">
        <f t="shared" si="16"/>
        <v>-0.36912037537252168</v>
      </c>
      <c r="N101" s="12">
        <f t="shared" si="17"/>
        <v>2.2477383907127486E-3</v>
      </c>
      <c r="O101" s="12">
        <f t="shared" si="18"/>
        <v>1.6586881852388745E-3</v>
      </c>
      <c r="P101" s="12">
        <f t="shared" si="19"/>
        <v>1.0735032966331091E-3</v>
      </c>
      <c r="Q101" s="12">
        <f t="shared" si="20"/>
        <v>-6.5246174542504549E-4</v>
      </c>
      <c r="R101" s="12">
        <f t="shared" si="21"/>
        <v>-1.0859672111852483E-3</v>
      </c>
      <c r="S101" s="12">
        <f t="shared" si="22"/>
        <v>-6.414162901947091E-4</v>
      </c>
      <c r="T101" s="12">
        <f t="shared" si="23"/>
        <v>0.10428571428571454</v>
      </c>
      <c r="U101" s="12">
        <f t="shared" si="24"/>
        <v>5.7857142857143051E-2</v>
      </c>
      <c r="V101" s="12">
        <f t="shared" si="25"/>
        <v>-0.24879898862199812</v>
      </c>
    </row>
    <row r="102" spans="1:22" x14ac:dyDescent="0.25">
      <c r="A102" s="26">
        <v>54.07</v>
      </c>
      <c r="B102">
        <v>53.57</v>
      </c>
      <c r="C102">
        <v>2.09</v>
      </c>
      <c r="D102" s="2">
        <v>45336</v>
      </c>
      <c r="E102">
        <v>53.93</v>
      </c>
      <c r="F102">
        <v>0.14000000000000001</v>
      </c>
      <c r="G102">
        <v>-0.35999999999999943</v>
      </c>
      <c r="H102" s="5">
        <f t="shared" si="26"/>
        <v>2.5959577229742259E-3</v>
      </c>
      <c r="I102" s="3">
        <f t="shared" si="14"/>
        <v>0.72787712094570922</v>
      </c>
      <c r="J102" s="5">
        <f t="shared" si="27"/>
        <v>-6.6753198590765702E-3</v>
      </c>
      <c r="K102" s="3">
        <f t="shared" si="15"/>
        <v>-1.385443681783014</v>
      </c>
      <c r="L102" s="3">
        <f t="shared" si="16"/>
        <v>0.31899465753868927</v>
      </c>
      <c r="N102" s="12">
        <f t="shared" si="17"/>
        <v>2.1089580547252172E-3</v>
      </c>
      <c r="O102" s="12">
        <f t="shared" si="18"/>
        <v>1.5692804648771792E-3</v>
      </c>
      <c r="P102" s="12">
        <f t="shared" si="19"/>
        <v>9.8876441823855777E-4</v>
      </c>
      <c r="Q102" s="12">
        <f t="shared" si="20"/>
        <v>-9.3290509834775912E-4</v>
      </c>
      <c r="R102" s="12">
        <f t="shared" si="21"/>
        <v>-1.3188781387145371E-3</v>
      </c>
      <c r="S102" s="12">
        <f t="shared" si="22"/>
        <v>-8.0034672228111031E-4</v>
      </c>
      <c r="T102" s="12">
        <f t="shared" si="23"/>
        <v>0.10714285714285721</v>
      </c>
      <c r="U102" s="12">
        <f t="shared" si="24"/>
        <v>5.3928571428571326E-2</v>
      </c>
      <c r="V102" s="12">
        <f t="shared" si="25"/>
        <v>-0.25388116308470354</v>
      </c>
    </row>
    <row r="103" spans="1:22" x14ac:dyDescent="0.25">
      <c r="A103" s="26">
        <v>54.24</v>
      </c>
      <c r="B103">
        <v>53.95</v>
      </c>
      <c r="C103">
        <v>1.67</v>
      </c>
      <c r="D103" s="2">
        <v>45335</v>
      </c>
      <c r="E103">
        <v>54.13</v>
      </c>
      <c r="F103">
        <v>0.11</v>
      </c>
      <c r="G103">
        <v>-0.17999999999999972</v>
      </c>
      <c r="H103" s="5">
        <f t="shared" si="26"/>
        <v>2.0321448365047106E-3</v>
      </c>
      <c r="I103" s="3">
        <f t="shared" si="14"/>
        <v>0.61781381128687463</v>
      </c>
      <c r="J103" s="5">
        <f t="shared" si="27"/>
        <v>-3.3253279142804308E-3</v>
      </c>
      <c r="K103" s="3">
        <f t="shared" si="15"/>
        <v>0.6380838664826578</v>
      </c>
      <c r="L103" s="3">
        <f t="shared" si="16"/>
        <v>-0.7129149742230354</v>
      </c>
      <c r="N103" s="12">
        <f t="shared" si="17"/>
        <v>1.9944462451884832E-3</v>
      </c>
      <c r="O103" s="12">
        <f t="shared" si="18"/>
        <v>1.1483317880686972E-3</v>
      </c>
      <c r="P103" s="12">
        <f t="shared" si="19"/>
        <v>5.4198752031769807E-4</v>
      </c>
      <c r="Q103" s="12">
        <f t="shared" si="20"/>
        <v>-7.4901607601446547E-4</v>
      </c>
      <c r="R103" s="12">
        <f t="shared" si="21"/>
        <v>-1.215618150746371E-3</v>
      </c>
      <c r="S103" s="12">
        <f t="shared" si="22"/>
        <v>-7.0545484486568902E-4</v>
      </c>
      <c r="T103" s="12">
        <f t="shared" si="23"/>
        <v>8.6190476190476151E-2</v>
      </c>
      <c r="U103" s="12">
        <f t="shared" si="24"/>
        <v>1.196428571428565E-2</v>
      </c>
      <c r="V103" s="12">
        <f t="shared" si="25"/>
        <v>-0.28935524652338929</v>
      </c>
    </row>
    <row r="104" spans="1:22" x14ac:dyDescent="0.25">
      <c r="A104" s="26">
        <v>55.84</v>
      </c>
      <c r="B104">
        <v>55.84</v>
      </c>
      <c r="C104">
        <v>1.49</v>
      </c>
      <c r="D104" s="2">
        <v>45334</v>
      </c>
      <c r="E104">
        <v>56.06</v>
      </c>
      <c r="F104">
        <v>-0.22</v>
      </c>
      <c r="G104">
        <v>-0.21999999999999886</v>
      </c>
      <c r="H104" s="5">
        <f t="shared" si="26"/>
        <v>-3.92436674991081E-3</v>
      </c>
      <c r="I104" s="3">
        <f t="shared" si="14"/>
        <v>-0.62386444041176203</v>
      </c>
      <c r="J104" s="5">
        <f t="shared" si="27"/>
        <v>-3.9243667499107892E-3</v>
      </c>
      <c r="K104" s="3">
        <f t="shared" si="15"/>
        <v>0.26585831351345196</v>
      </c>
      <c r="L104" s="3">
        <f t="shared" si="16"/>
        <v>-1.1633395638159454</v>
      </c>
      <c r="N104" s="12">
        <f t="shared" si="17"/>
        <v>1.458230592874269E-3</v>
      </c>
      <c r="O104" s="12">
        <f t="shared" si="18"/>
        <v>6.7017612913441147E-4</v>
      </c>
      <c r="P104" s="12">
        <f t="shared" si="19"/>
        <v>2.314400160987434E-4</v>
      </c>
      <c r="Q104" s="12">
        <f t="shared" si="20"/>
        <v>-8.5634331379824766E-4</v>
      </c>
      <c r="R104" s="12">
        <f t="shared" si="21"/>
        <v>-1.2771142341807705E-3</v>
      </c>
      <c r="S104" s="12">
        <f t="shared" si="22"/>
        <v>-7.8013857549001989E-4</v>
      </c>
      <c r="T104" s="12">
        <f t="shared" si="23"/>
        <v>8.9047619047619264E-2</v>
      </c>
      <c r="U104" s="12">
        <f t="shared" si="24"/>
        <v>2.3214285714290295E-3</v>
      </c>
      <c r="V104" s="12">
        <f t="shared" si="25"/>
        <v>-0.29433628318584115</v>
      </c>
    </row>
    <row r="105" spans="1:22" x14ac:dyDescent="0.25">
      <c r="A105" s="26">
        <v>57.24</v>
      </c>
      <c r="B105">
        <v>57.24</v>
      </c>
      <c r="C105">
        <v>1.79</v>
      </c>
      <c r="D105" s="2">
        <v>45331</v>
      </c>
      <c r="E105">
        <v>57.55</v>
      </c>
      <c r="F105">
        <v>-0.31</v>
      </c>
      <c r="G105">
        <v>-0.30999999999999517</v>
      </c>
      <c r="H105" s="5">
        <f t="shared" si="26"/>
        <v>-5.3866203301476982E-3</v>
      </c>
      <c r="I105" s="3">
        <f t="shared" si="14"/>
        <v>-0.93384968553431691</v>
      </c>
      <c r="J105" s="5">
        <f t="shared" si="27"/>
        <v>-5.3866203301476141E-3</v>
      </c>
      <c r="K105" s="3">
        <f t="shared" si="15"/>
        <v>-0.61884441510407373</v>
      </c>
      <c r="L105" s="3">
        <f t="shared" si="16"/>
        <v>-0.43158259341958571</v>
      </c>
      <c r="N105" s="12">
        <f t="shared" si="17"/>
        <v>8.075774522529215E-4</v>
      </c>
      <c r="O105" s="12">
        <f t="shared" si="18"/>
        <v>5.4714516268206234E-4</v>
      </c>
      <c r="P105" s="12">
        <f t="shared" si="19"/>
        <v>1.487261218019449E-4</v>
      </c>
      <c r="Q105" s="12">
        <f t="shared" si="20"/>
        <v>-1.0937345026961103E-3</v>
      </c>
      <c r="R105" s="12">
        <f t="shared" si="21"/>
        <v>-1.4224945659111468E-3</v>
      </c>
      <c r="S105" s="12">
        <f t="shared" si="22"/>
        <v>-9.1529716976428924E-4</v>
      </c>
      <c r="T105" s="12">
        <f t="shared" si="23"/>
        <v>6.0952380952380647E-2</v>
      </c>
      <c r="U105" s="12">
        <f t="shared" si="24"/>
        <v>-1.0535714285714315E-2</v>
      </c>
      <c r="V105" s="12">
        <f t="shared" si="25"/>
        <v>-0.30199747155499468</v>
      </c>
    </row>
    <row r="106" spans="1:22" x14ac:dyDescent="0.25">
      <c r="A106" s="26">
        <v>59.85</v>
      </c>
      <c r="B106">
        <v>59.67</v>
      </c>
      <c r="C106">
        <v>1.57</v>
      </c>
      <c r="D106" s="2">
        <v>45330</v>
      </c>
      <c r="E106">
        <v>59.94</v>
      </c>
      <c r="F106">
        <v>-0.09</v>
      </c>
      <c r="G106">
        <v>-0.26999999999999602</v>
      </c>
      <c r="H106" s="5">
        <f t="shared" si="26"/>
        <v>-1.5015015015015015E-3</v>
      </c>
      <c r="I106" s="3">
        <f t="shared" si="14"/>
        <v>-0.1303864617813599</v>
      </c>
      <c r="J106" s="5">
        <f t="shared" si="27"/>
        <v>-4.5045045045044385E-3</v>
      </c>
      <c r="K106" s="3">
        <f t="shared" si="15"/>
        <v>-0.10566546552393698</v>
      </c>
      <c r="L106" s="3">
        <f t="shared" si="16"/>
        <v>-0.97642828684226957</v>
      </c>
      <c r="N106" s="12">
        <f t="shared" si="17"/>
        <v>5.3545476958189006E-4</v>
      </c>
      <c r="O106" s="12">
        <f t="shared" si="18"/>
        <v>5.981993080209694E-4</v>
      </c>
      <c r="P106" s="12">
        <f t="shared" si="19"/>
        <v>1.2955279269599913E-4</v>
      </c>
      <c r="Q106" s="12">
        <f t="shared" si="20"/>
        <v>-1.0382108101967607E-3</v>
      </c>
      <c r="R106" s="12">
        <f t="shared" si="21"/>
        <v>-1.3522826820792063E-3</v>
      </c>
      <c r="S106" s="12">
        <f t="shared" si="22"/>
        <v>-8.1944226163774281E-4</v>
      </c>
      <c r="T106" s="12">
        <f t="shared" si="23"/>
        <v>3.6666666666666847E-2</v>
      </c>
      <c r="U106" s="12">
        <f t="shared" si="24"/>
        <v>-3.4226190476190244E-2</v>
      </c>
      <c r="V106" s="12">
        <f t="shared" si="25"/>
        <v>-0.32715128529287929</v>
      </c>
    </row>
    <row r="107" spans="1:22" x14ac:dyDescent="0.25">
      <c r="A107" s="26">
        <v>60.25</v>
      </c>
      <c r="B107">
        <v>60</v>
      </c>
      <c r="C107">
        <v>1.7</v>
      </c>
      <c r="D107" s="2">
        <v>45328</v>
      </c>
      <c r="E107">
        <v>60.33</v>
      </c>
      <c r="F107">
        <v>-0.08</v>
      </c>
      <c r="G107">
        <v>-0.32999999999999829</v>
      </c>
      <c r="H107" s="5">
        <f t="shared" si="26"/>
        <v>-1.3260401127134097E-3</v>
      </c>
      <c r="I107" s="3">
        <f t="shared" si="14"/>
        <v>-9.838216495155222E-2</v>
      </c>
      <c r="J107" s="5">
        <f t="shared" si="27"/>
        <v>-5.4699154649427862E-3</v>
      </c>
      <c r="K107" s="3">
        <f t="shared" si="15"/>
        <v>-0.67522018542175222</v>
      </c>
      <c r="L107" s="3">
        <f t="shared" si="16"/>
        <v>-0.66032537123315638</v>
      </c>
      <c r="N107" s="12">
        <f t="shared" si="17"/>
        <v>6.554876259286035E-4</v>
      </c>
      <c r="O107" s="12">
        <f t="shared" si="18"/>
        <v>6.9216613238841081E-4</v>
      </c>
      <c r="P107" s="12">
        <f t="shared" si="19"/>
        <v>1.8660612762872657E-4</v>
      </c>
      <c r="Q107" s="12">
        <f t="shared" si="20"/>
        <v>-1.1864305429715397E-3</v>
      </c>
      <c r="R107" s="12">
        <f t="shared" si="21"/>
        <v>-1.3397727432718004E-3</v>
      </c>
      <c r="S107" s="12">
        <f t="shared" si="22"/>
        <v>-8.2876361962874213E-4</v>
      </c>
      <c r="T107" s="12">
        <f t="shared" si="23"/>
        <v>4.0476190476190554E-2</v>
      </c>
      <c r="U107" s="12">
        <f t="shared" si="24"/>
        <v>-4.8690476190476062E-2</v>
      </c>
      <c r="V107" s="12">
        <f t="shared" si="25"/>
        <v>-0.33104509060261367</v>
      </c>
    </row>
    <row r="108" spans="1:22" x14ac:dyDescent="0.25">
      <c r="A108" s="26">
        <v>60.68</v>
      </c>
      <c r="B108">
        <v>60.41</v>
      </c>
      <c r="C108">
        <v>1.65</v>
      </c>
      <c r="D108" s="2">
        <v>45327</v>
      </c>
      <c r="E108">
        <v>60.77</v>
      </c>
      <c r="F108">
        <v>-0.09</v>
      </c>
      <c r="G108">
        <v>-0.36000000000000654</v>
      </c>
      <c r="H108" s="5">
        <f t="shared" si="26"/>
        <v>-1.4809939114694749E-3</v>
      </c>
      <c r="I108" s="3">
        <f t="shared" si="14"/>
        <v>-0.13341773028640708</v>
      </c>
      <c r="J108" s="5">
        <f t="shared" si="27"/>
        <v>-5.9239756458780079E-3</v>
      </c>
      <c r="K108" s="3">
        <f t="shared" si="15"/>
        <v>-0.94773803512466837</v>
      </c>
      <c r="L108" s="3">
        <f t="shared" si="16"/>
        <v>-0.7908044182218984</v>
      </c>
      <c r="N108" s="12">
        <f t="shared" si="17"/>
        <v>9.7672835620257184E-4</v>
      </c>
      <c r="O108" s="12">
        <f t="shared" si="18"/>
        <v>7.7779357258386729E-4</v>
      </c>
      <c r="P108" s="12">
        <f t="shared" si="19"/>
        <v>2.637794362804702E-4</v>
      </c>
      <c r="Q108" s="12">
        <f t="shared" si="20"/>
        <v>-1.12420317875338E-3</v>
      </c>
      <c r="R108" s="12">
        <f t="shared" si="21"/>
        <v>-1.307265115754826E-3</v>
      </c>
      <c r="S108" s="12">
        <f t="shared" si="22"/>
        <v>-7.9240066536099673E-4</v>
      </c>
      <c r="T108" s="12">
        <f t="shared" si="23"/>
        <v>8.3809523809523778E-2</v>
      </c>
      <c r="U108" s="12">
        <f t="shared" si="24"/>
        <v>-3.3750000000000169E-2</v>
      </c>
      <c r="V108" s="12">
        <f t="shared" si="25"/>
        <v>-0.31815423514538677</v>
      </c>
    </row>
    <row r="109" spans="1:22" x14ac:dyDescent="0.25">
      <c r="A109" s="26">
        <v>60.92</v>
      </c>
      <c r="B109">
        <v>60.82</v>
      </c>
      <c r="C109">
        <v>1.85</v>
      </c>
      <c r="D109" s="2">
        <v>45324</v>
      </c>
      <c r="E109">
        <v>61.08</v>
      </c>
      <c r="F109">
        <v>-0.16</v>
      </c>
      <c r="G109">
        <v>-0.25999999999999801</v>
      </c>
      <c r="H109" s="5">
        <f t="shared" si="26"/>
        <v>-2.6195153896529143E-3</v>
      </c>
      <c r="I109" s="3">
        <f t="shared" si="14"/>
        <v>-0.37440595845666835</v>
      </c>
      <c r="J109" s="5">
        <f t="shared" si="27"/>
        <v>-4.2567125081859536E-3</v>
      </c>
      <c r="K109" s="3">
        <f t="shared" si="15"/>
        <v>1.4890247178516449E-2</v>
      </c>
      <c r="L109" s="3">
        <f t="shared" si="16"/>
        <v>-0.3045644305711217</v>
      </c>
      <c r="N109" s="12">
        <f t="shared" si="17"/>
        <v>1.3534049337837039E-3</v>
      </c>
      <c r="O109" s="12">
        <f t="shared" si="18"/>
        <v>8.8042239692580067E-4</v>
      </c>
      <c r="P109" s="12">
        <f t="shared" si="19"/>
        <v>3.4925292146584735E-4</v>
      </c>
      <c r="Q109" s="12">
        <f t="shared" si="20"/>
        <v>-1.0002501113028864E-3</v>
      </c>
      <c r="R109" s="12">
        <f t="shared" si="21"/>
        <v>-1.1850490441753384E-3</v>
      </c>
      <c r="S109" s="12">
        <f t="shared" si="22"/>
        <v>-6.6978741870781476E-4</v>
      </c>
      <c r="T109" s="12">
        <f t="shared" si="23"/>
        <v>0.10476190476190461</v>
      </c>
      <c r="U109" s="12">
        <f t="shared" si="24"/>
        <v>-3.4166666666666456E-2</v>
      </c>
      <c r="V109" s="12">
        <f t="shared" si="25"/>
        <v>-0.31925832279814714</v>
      </c>
    </row>
    <row r="110" spans="1:22" x14ac:dyDescent="0.25">
      <c r="A110" s="26">
        <v>61.09</v>
      </c>
      <c r="B110">
        <v>61.5</v>
      </c>
      <c r="C110">
        <v>1.25</v>
      </c>
      <c r="D110" s="2">
        <v>45323</v>
      </c>
      <c r="E110">
        <v>61.73</v>
      </c>
      <c r="F110">
        <v>-0.64</v>
      </c>
      <c r="G110">
        <v>-0.22999999999999687</v>
      </c>
      <c r="H110" s="5">
        <f t="shared" si="26"/>
        <v>-1.0367730439008587E-2</v>
      </c>
      <c r="I110" s="3">
        <f t="shared" si="14"/>
        <v>-1.9727060080362111</v>
      </c>
      <c r="J110" s="5">
        <f t="shared" si="27"/>
        <v>-3.7259031265186602E-3</v>
      </c>
      <c r="K110" s="3">
        <f t="shared" si="15"/>
        <v>0.32922717139318591</v>
      </c>
      <c r="L110" s="3">
        <f t="shared" si="16"/>
        <v>-1.7860517328573091</v>
      </c>
      <c r="N110" s="12">
        <f t="shared" si="17"/>
        <v>1.5454865256398502E-3</v>
      </c>
      <c r="O110" s="12">
        <f t="shared" si="18"/>
        <v>8.9670311269653114E-4</v>
      </c>
      <c r="P110" s="12">
        <f t="shared" si="19"/>
        <v>3.6934657802859439E-4</v>
      </c>
      <c r="Q110" s="12">
        <f t="shared" si="20"/>
        <v>-9.4908260670681366E-4</v>
      </c>
      <c r="R110" s="12">
        <f t="shared" si="21"/>
        <v>-1.1578783374395184E-3</v>
      </c>
      <c r="S110" s="12">
        <f t="shared" si="22"/>
        <v>-6.3733674108313286E-4</v>
      </c>
      <c r="T110" s="12">
        <f t="shared" si="23"/>
        <v>9.3809523809524009E-2</v>
      </c>
      <c r="U110" s="12">
        <f t="shared" si="24"/>
        <v>-5.482142857142791E-2</v>
      </c>
      <c r="V110" s="12">
        <f t="shared" si="25"/>
        <v>-0.33514538558786411</v>
      </c>
    </row>
    <row r="111" spans="1:22" x14ac:dyDescent="0.25">
      <c r="A111" s="26">
        <v>62.27</v>
      </c>
      <c r="B111">
        <v>61.78</v>
      </c>
      <c r="C111">
        <v>1.86</v>
      </c>
      <c r="D111" s="2">
        <v>45322</v>
      </c>
      <c r="E111">
        <v>62.2</v>
      </c>
      <c r="F111">
        <v>7.0000000000000007E-2</v>
      </c>
      <c r="G111">
        <v>-0.42000000000000171</v>
      </c>
      <c r="H111" s="5">
        <f t="shared" si="26"/>
        <v>1.1254019292604503E-3</v>
      </c>
      <c r="I111" s="3">
        <f t="shared" si="14"/>
        <v>0.40238111097441215</v>
      </c>
      <c r="J111" s="5">
        <f t="shared" si="27"/>
        <v>-6.7524115755627284E-3</v>
      </c>
      <c r="K111" s="3">
        <f t="shared" si="15"/>
        <v>-1.4234274857088685</v>
      </c>
      <c r="L111" s="3">
        <f t="shared" si="16"/>
        <v>-0.29108172020123829</v>
      </c>
      <c r="N111" s="12">
        <f t="shared" si="17"/>
        <v>1.725297393680308E-3</v>
      </c>
      <c r="O111" s="12">
        <f t="shared" si="18"/>
        <v>1.4956271078572525E-3</v>
      </c>
      <c r="P111" s="12">
        <f t="shared" si="19"/>
        <v>8.8103923509621346E-4</v>
      </c>
      <c r="Q111" s="12">
        <f t="shared" si="20"/>
        <v>-9.3359969681390455E-4</v>
      </c>
      <c r="R111" s="12">
        <f t="shared" si="21"/>
        <v>-1.1092759800333035E-3</v>
      </c>
      <c r="S111" s="12">
        <f t="shared" si="22"/>
        <v>-6.0143592309344716E-4</v>
      </c>
      <c r="T111" s="12">
        <f t="shared" si="23"/>
        <v>9.9047619047618829E-2</v>
      </c>
      <c r="U111" s="12">
        <f t="shared" si="24"/>
        <v>-4.6845238095237773E-2</v>
      </c>
      <c r="V111" s="12">
        <f t="shared" si="25"/>
        <v>-0.32614833544037203</v>
      </c>
    </row>
    <row r="112" spans="1:22" x14ac:dyDescent="0.25">
      <c r="A112" s="26">
        <v>59.82</v>
      </c>
      <c r="B112">
        <v>59.62</v>
      </c>
      <c r="C112">
        <v>1.57</v>
      </c>
      <c r="D112" s="2">
        <v>45321</v>
      </c>
      <c r="E112">
        <v>59.89</v>
      </c>
      <c r="F112">
        <v>-7.0000000000000007E-2</v>
      </c>
      <c r="G112">
        <v>-0.27000000000000313</v>
      </c>
      <c r="H112" s="5">
        <f t="shared" si="26"/>
        <v>-1.1688094840540994E-3</v>
      </c>
      <c r="I112" s="3">
        <f t="shared" si="14"/>
        <v>-7.0966401745035504E-2</v>
      </c>
      <c r="J112" s="5">
        <f t="shared" si="27"/>
        <v>-4.5082651527801488E-3</v>
      </c>
      <c r="K112" s="3">
        <f t="shared" si="15"/>
        <v>-0.13941793640666353</v>
      </c>
      <c r="L112" s="3">
        <f t="shared" si="16"/>
        <v>-1.0128293336319159</v>
      </c>
      <c r="N112" s="12">
        <f t="shared" si="17"/>
        <v>1.9120893009999577E-3</v>
      </c>
      <c r="O112" s="12">
        <f t="shared" si="18"/>
        <v>1.5146154858173661E-3</v>
      </c>
      <c r="P112" s="12">
        <f t="shared" si="19"/>
        <v>8.1229660389492311E-4</v>
      </c>
      <c r="Q112" s="12">
        <f t="shared" si="20"/>
        <v>-9.0963681598382664E-4</v>
      </c>
      <c r="R112" s="12">
        <f t="shared" si="21"/>
        <v>-1.0466675665160505E-3</v>
      </c>
      <c r="S112" s="12">
        <f t="shared" si="22"/>
        <v>-5.1470667292711613E-4</v>
      </c>
      <c r="T112" s="12">
        <f t="shared" si="23"/>
        <v>0.12190476190476196</v>
      </c>
      <c r="U112" s="12">
        <f t="shared" si="24"/>
        <v>-5.2857142857142492E-2</v>
      </c>
      <c r="V112" s="12">
        <f t="shared" si="25"/>
        <v>-0.33088495575221355</v>
      </c>
    </row>
    <row r="113" spans="1:22" x14ac:dyDescent="0.25">
      <c r="A113" s="26">
        <v>60.81</v>
      </c>
      <c r="B113">
        <v>60.83</v>
      </c>
      <c r="C113">
        <v>1.41</v>
      </c>
      <c r="D113" s="2">
        <v>45320</v>
      </c>
      <c r="E113">
        <v>61.17</v>
      </c>
      <c r="F113">
        <v>-0.36</v>
      </c>
      <c r="G113">
        <v>-0.34000000000000341</v>
      </c>
      <c r="H113" s="5">
        <f t="shared" si="26"/>
        <v>-5.8852378616969098E-3</v>
      </c>
      <c r="I113" s="3">
        <f t="shared" si="14"/>
        <v>-1.0535197695610272</v>
      </c>
      <c r="J113" s="5">
        <f t="shared" si="27"/>
        <v>-5.5582802027138046E-3</v>
      </c>
      <c r="K113" s="3">
        <f t="shared" si="15"/>
        <v>-0.74602311438950586</v>
      </c>
      <c r="L113" s="3">
        <f t="shared" si="16"/>
        <v>-1.4130060111610312</v>
      </c>
      <c r="N113" s="12">
        <f t="shared" si="17"/>
        <v>2.3019579985832173E-3</v>
      </c>
      <c r="O113" s="12">
        <f t="shared" si="18"/>
        <v>1.631629472474918E-3</v>
      </c>
      <c r="P113" s="12">
        <f t="shared" si="19"/>
        <v>1.0151582967181652E-3</v>
      </c>
      <c r="Q113" s="12">
        <f t="shared" si="20"/>
        <v>-8.6951725311783159E-4</v>
      </c>
      <c r="R113" s="12">
        <f t="shared" si="21"/>
        <v>-1.0601544269505424E-3</v>
      </c>
      <c r="S113" s="12">
        <f t="shared" si="22"/>
        <v>-5.0624025495458417E-4</v>
      </c>
      <c r="T113" s="12">
        <f t="shared" si="23"/>
        <v>0.15380952380952406</v>
      </c>
      <c r="U113" s="12">
        <f t="shared" si="24"/>
        <v>-3.2202380952380372E-2</v>
      </c>
      <c r="V113" s="12">
        <f t="shared" si="25"/>
        <v>-0.31541508638853877</v>
      </c>
    </row>
    <row r="114" spans="1:22" x14ac:dyDescent="0.25">
      <c r="A114" s="26">
        <v>61.95</v>
      </c>
      <c r="B114">
        <v>60.72</v>
      </c>
      <c r="C114">
        <v>2.0699999999999998</v>
      </c>
      <c r="D114" s="2">
        <v>45317</v>
      </c>
      <c r="E114">
        <v>61.08</v>
      </c>
      <c r="F114">
        <v>0.87</v>
      </c>
      <c r="G114">
        <v>-0.35999999999999943</v>
      </c>
      <c r="H114" s="5">
        <f t="shared" si="26"/>
        <v>1.4243614931237721E-2</v>
      </c>
      <c r="I114" s="3">
        <f t="shared" si="14"/>
        <v>3.1310862453916215</v>
      </c>
      <c r="J114" s="5">
        <f t="shared" si="27"/>
        <v>-5.8939096267190474E-3</v>
      </c>
      <c r="K114" s="3">
        <f t="shared" si="15"/>
        <v>-0.94246569190828888</v>
      </c>
      <c r="L114" s="3">
        <f t="shared" si="16"/>
        <v>0.22076937024203841</v>
      </c>
      <c r="N114" s="12">
        <f t="shared" si="17"/>
        <v>2.1289514249637426E-3</v>
      </c>
      <c r="O114" s="12">
        <f t="shared" si="18"/>
        <v>1.6077488639706955E-3</v>
      </c>
      <c r="P114" s="12">
        <f t="shared" si="19"/>
        <v>1.0657934192739925E-3</v>
      </c>
      <c r="Q114" s="12">
        <f t="shared" si="20"/>
        <v>-1.0153793720544995E-3</v>
      </c>
      <c r="R114" s="12">
        <f t="shared" si="21"/>
        <v>-1.1326252843638718E-3</v>
      </c>
      <c r="S114" s="12">
        <f t="shared" si="22"/>
        <v>-5.5599043188087754E-4</v>
      </c>
      <c r="T114" s="12">
        <f t="shared" si="23"/>
        <v>0.14666666666666717</v>
      </c>
      <c r="U114" s="12">
        <f t="shared" si="24"/>
        <v>-3.8214285714284868E-2</v>
      </c>
      <c r="V114" s="12">
        <f t="shared" si="25"/>
        <v>-0.31327433628318646</v>
      </c>
    </row>
    <row r="115" spans="1:22" x14ac:dyDescent="0.25">
      <c r="A115" s="26">
        <v>61.95</v>
      </c>
      <c r="B115">
        <v>61.72</v>
      </c>
      <c r="C115">
        <v>1.56</v>
      </c>
      <c r="D115" s="2">
        <v>45316</v>
      </c>
      <c r="E115">
        <v>62.03</v>
      </c>
      <c r="F115">
        <v>-0.08</v>
      </c>
      <c r="G115">
        <v>-0.31000000000000227</v>
      </c>
      <c r="H115" s="5">
        <f t="shared" si="26"/>
        <v>-1.2896985329679189E-3</v>
      </c>
      <c r="I115" s="3">
        <f t="shared" si="14"/>
        <v>-9.3408759956282991E-2</v>
      </c>
      <c r="J115" s="5">
        <f t="shared" si="27"/>
        <v>-4.997581815250722E-3</v>
      </c>
      <c r="K115" s="3">
        <f t="shared" si="15"/>
        <v>-0.44261506261441275</v>
      </c>
      <c r="L115" s="3">
        <f t="shared" si="16"/>
        <v>-1.0529035088641883</v>
      </c>
      <c r="N115" s="12">
        <f t="shared" si="17"/>
        <v>8.8390953696916509E-4</v>
      </c>
      <c r="O115" s="12">
        <f t="shared" si="18"/>
        <v>7.5437868289132616E-4</v>
      </c>
      <c r="P115" s="12">
        <f t="shared" si="19"/>
        <v>2.7540190714348814E-4</v>
      </c>
      <c r="Q115" s="12">
        <f t="shared" si="20"/>
        <v>-1.0160982334938909E-3</v>
      </c>
      <c r="R115" s="12">
        <f t="shared" si="21"/>
        <v>-1.0871361549526729E-3</v>
      </c>
      <c r="S115" s="12">
        <f t="shared" si="22"/>
        <v>-4.6990880997519607E-4</v>
      </c>
      <c r="T115" s="12">
        <f t="shared" si="23"/>
        <v>0.10619047619047639</v>
      </c>
      <c r="U115" s="12">
        <f t="shared" si="24"/>
        <v>-7.8928571428571015E-2</v>
      </c>
      <c r="V115" s="12">
        <f t="shared" si="25"/>
        <v>-0.34557522123893869</v>
      </c>
    </row>
    <row r="116" spans="1:22" x14ac:dyDescent="0.25">
      <c r="A116" s="26">
        <v>60.55</v>
      </c>
      <c r="B116">
        <v>60.25</v>
      </c>
      <c r="C116">
        <v>1.64</v>
      </c>
      <c r="D116" s="2">
        <v>45314</v>
      </c>
      <c r="E116">
        <v>60.65</v>
      </c>
      <c r="F116">
        <v>-0.1</v>
      </c>
      <c r="G116">
        <v>-0.39999999999999858</v>
      </c>
      <c r="H116" s="5">
        <f t="shared" si="26"/>
        <v>-1.6488046166529267E-3</v>
      </c>
      <c r="I116" s="3">
        <f t="shared" si="14"/>
        <v>-0.17075609575420597</v>
      </c>
      <c r="J116" s="5">
        <f t="shared" si="27"/>
        <v>-6.5952184666116832E-3</v>
      </c>
      <c r="K116" s="3">
        <f t="shared" si="15"/>
        <v>-1.3481225858601178</v>
      </c>
      <c r="L116" s="3">
        <f t="shared" si="16"/>
        <v>-0.86240789180090893</v>
      </c>
      <c r="N116" s="12">
        <f t="shared" si="17"/>
        <v>5.5901341721721447E-4</v>
      </c>
      <c r="O116" s="12">
        <f t="shared" si="18"/>
        <v>6.8439460794824736E-4</v>
      </c>
      <c r="P116" s="12">
        <f t="shared" si="19"/>
        <v>1.6091483363614293E-4</v>
      </c>
      <c r="Q116" s="12">
        <f t="shared" si="20"/>
        <v>-1.0541564743294434E-3</v>
      </c>
      <c r="R116" s="12">
        <f t="shared" si="21"/>
        <v>-1.0023204638162286E-3</v>
      </c>
      <c r="S116" s="12">
        <f t="shared" si="22"/>
        <v>-4.3067097665719454E-4</v>
      </c>
      <c r="T116" s="12">
        <f t="shared" si="23"/>
        <v>0.10809523809523824</v>
      </c>
      <c r="U116" s="12">
        <f t="shared" si="24"/>
        <v>-9.6547619047618882E-2</v>
      </c>
      <c r="V116" s="12">
        <f t="shared" si="25"/>
        <v>-0.3464686051411725</v>
      </c>
    </row>
    <row r="117" spans="1:22" x14ac:dyDescent="0.25">
      <c r="A117" s="26">
        <v>59.74</v>
      </c>
      <c r="B117">
        <v>59.39</v>
      </c>
      <c r="C117">
        <v>1.62</v>
      </c>
      <c r="D117" s="2">
        <v>45313</v>
      </c>
      <c r="E117">
        <v>59.75</v>
      </c>
      <c r="F117">
        <v>-0.01</v>
      </c>
      <c r="G117">
        <v>-0.35999999999999943</v>
      </c>
      <c r="H117" s="5">
        <f t="shared" si="26"/>
        <v>-1.6736401673640169E-4</v>
      </c>
      <c r="I117" s="3">
        <f t="shared" si="14"/>
        <v>0.1453330659182627</v>
      </c>
      <c r="J117" s="5">
        <f t="shared" si="27"/>
        <v>-6.0251046025104511E-3</v>
      </c>
      <c r="K117" s="3">
        <f t="shared" si="15"/>
        <v>-1.0364159658118113</v>
      </c>
      <c r="L117" s="3">
        <f t="shared" si="16"/>
        <v>-0.91635051168764536</v>
      </c>
      <c r="N117" s="12">
        <f t="shared" si="17"/>
        <v>3.2615390659677241E-4</v>
      </c>
      <c r="O117" s="12">
        <f t="shared" si="18"/>
        <v>5.937608632394654E-4</v>
      </c>
      <c r="P117" s="12">
        <f t="shared" si="19"/>
        <v>1.2359633532917037E-4</v>
      </c>
      <c r="Q117" s="12">
        <f t="shared" si="20"/>
        <v>-1.0550436207174517E-3</v>
      </c>
      <c r="R117" s="12">
        <f t="shared" si="21"/>
        <v>-8.9463321992392601E-4</v>
      </c>
      <c r="S117" s="12">
        <f t="shared" si="22"/>
        <v>-3.3697954719525205E-4</v>
      </c>
      <c r="T117" s="12">
        <f t="shared" si="23"/>
        <v>0.11047619047619084</v>
      </c>
      <c r="U117" s="12">
        <f t="shared" si="24"/>
        <v>-0.11964285714285672</v>
      </c>
      <c r="V117" s="12">
        <f t="shared" si="25"/>
        <v>-0.3500505689001272</v>
      </c>
    </row>
    <row r="118" spans="1:22" x14ac:dyDescent="0.25">
      <c r="A118" s="26">
        <v>61.93</v>
      </c>
      <c r="B118">
        <v>60.55</v>
      </c>
      <c r="C118">
        <v>2.15</v>
      </c>
      <c r="D118" s="2">
        <v>45310</v>
      </c>
      <c r="E118">
        <v>60.97</v>
      </c>
      <c r="F118">
        <v>0.96</v>
      </c>
      <c r="G118">
        <v>-0.42000000000000171</v>
      </c>
      <c r="H118" s="5">
        <f t="shared" si="26"/>
        <v>1.5745448581269476E-2</v>
      </c>
      <c r="I118" s="3">
        <f t="shared" si="14"/>
        <v>3.5406622023547354</v>
      </c>
      <c r="J118" s="5">
        <f t="shared" si="27"/>
        <v>-6.8886337543054245E-3</v>
      </c>
      <c r="K118" s="3">
        <f t="shared" si="15"/>
        <v>-1.5264990441052559</v>
      </c>
      <c r="L118" s="3">
        <f t="shared" si="16"/>
        <v>0.40652347437339048</v>
      </c>
      <c r="N118" s="12">
        <f t="shared" si="17"/>
        <v>-5.0780518375323838E-5</v>
      </c>
      <c r="O118" s="12">
        <f t="shared" si="18"/>
        <v>3.7190774520102143E-4</v>
      </c>
      <c r="P118" s="12">
        <f t="shared" si="19"/>
        <v>-1.1462586158994959E-4</v>
      </c>
      <c r="Q118" s="12">
        <f t="shared" si="20"/>
        <v>-1.0215051664521956E-3</v>
      </c>
      <c r="R118" s="12">
        <f t="shared" si="21"/>
        <v>-7.9124232179523819E-4</v>
      </c>
      <c r="S118" s="12">
        <f t="shared" si="22"/>
        <v>-2.529194918441894E-4</v>
      </c>
      <c r="T118" s="12">
        <f t="shared" si="23"/>
        <v>0.10857142857142899</v>
      </c>
      <c r="U118" s="12">
        <f t="shared" si="24"/>
        <v>-0.14273809523809478</v>
      </c>
      <c r="V118" s="12">
        <f t="shared" si="25"/>
        <v>-0.35444163506110482</v>
      </c>
    </row>
    <row r="119" spans="1:22" x14ac:dyDescent="0.25">
      <c r="A119" s="26">
        <v>61.28</v>
      </c>
      <c r="B119">
        <v>60.84</v>
      </c>
      <c r="C119">
        <v>1.68</v>
      </c>
      <c r="D119" s="2">
        <v>45309</v>
      </c>
      <c r="E119">
        <v>61.36</v>
      </c>
      <c r="F119">
        <v>-0.08</v>
      </c>
      <c r="G119">
        <v>-0.51999999999999602</v>
      </c>
      <c r="H119" s="5">
        <f t="shared" si="26"/>
        <v>-1.3037809647979139E-3</v>
      </c>
      <c r="I119" s="3">
        <f t="shared" si="14"/>
        <v>-8.1035457091698432E-2</v>
      </c>
      <c r="J119" s="5">
        <f t="shared" si="27"/>
        <v>-8.4745762711863765E-3</v>
      </c>
      <c r="K119" s="3">
        <f t="shared" si="15"/>
        <v>-2.4390349329238119</v>
      </c>
      <c r="L119" s="3">
        <f t="shared" si="16"/>
        <v>-0.77339828333454874</v>
      </c>
      <c r="N119" s="12">
        <f t="shared" si="17"/>
        <v>-1.0579319205857832E-3</v>
      </c>
      <c r="O119" s="12">
        <f t="shared" si="18"/>
        <v>-6.4854044281608401E-4</v>
      </c>
      <c r="P119" s="12">
        <f t="shared" si="19"/>
        <v>-9.6506635262497305E-4</v>
      </c>
      <c r="Q119" s="12">
        <f t="shared" si="20"/>
        <v>-8.4537630107905243E-4</v>
      </c>
      <c r="R119" s="12">
        <f t="shared" si="21"/>
        <v>-6.3374928518150631E-4</v>
      </c>
      <c r="S119" s="12">
        <f t="shared" si="22"/>
        <v>-1.1090637097247238E-4</v>
      </c>
      <c r="T119" s="12">
        <f t="shared" si="23"/>
        <v>8.6190476190476373E-2</v>
      </c>
      <c r="U119" s="12">
        <f t="shared" si="24"/>
        <v>-0.1878571428571425</v>
      </c>
      <c r="V119" s="12">
        <f t="shared" si="25"/>
        <v>-0.37552465233881271</v>
      </c>
    </row>
    <row r="120" spans="1:22" x14ac:dyDescent="0.25">
      <c r="A120" s="26">
        <v>62.96</v>
      </c>
      <c r="B120">
        <v>62.66</v>
      </c>
      <c r="C120">
        <v>1.92</v>
      </c>
      <c r="D120" s="2">
        <v>45308</v>
      </c>
      <c r="E120">
        <v>62.95</v>
      </c>
      <c r="F120">
        <v>0.01</v>
      </c>
      <c r="G120">
        <v>-0.29000000000000625</v>
      </c>
      <c r="H120" s="5">
        <f t="shared" si="26"/>
        <v>1.5885623510722796E-4</v>
      </c>
      <c r="I120" s="3">
        <f t="shared" si="14"/>
        <v>0.24438290276663491</v>
      </c>
      <c r="J120" s="5">
        <f t="shared" si="27"/>
        <v>-4.6068308181097103E-3</v>
      </c>
      <c r="K120" s="3">
        <f t="shared" si="15"/>
        <v>-0.25830701999013661</v>
      </c>
      <c r="L120" s="3">
        <f t="shared" si="16"/>
        <v>-0.174832213934695</v>
      </c>
      <c r="N120" s="12">
        <f t="shared" si="17"/>
        <v>-6.6603922111839963E-4</v>
      </c>
      <c r="O120" s="12">
        <f t="shared" si="18"/>
        <v>-9.2087216361716971E-4</v>
      </c>
      <c r="P120" s="12">
        <f t="shared" si="19"/>
        <v>-1.0453232697735409E-3</v>
      </c>
      <c r="Q120" s="12">
        <f t="shared" si="20"/>
        <v>-6.3013097539268547E-4</v>
      </c>
      <c r="R120" s="12">
        <f t="shared" si="21"/>
        <v>-4.0047605606398275E-4</v>
      </c>
      <c r="S120" s="12">
        <f t="shared" si="22"/>
        <v>1.064966492686694E-4</v>
      </c>
      <c r="T120" s="12">
        <f t="shared" si="23"/>
        <v>7.1904761904762138E-2</v>
      </c>
      <c r="U120" s="12">
        <f t="shared" si="24"/>
        <v>-0.23005952380952355</v>
      </c>
      <c r="V120" s="12">
        <f t="shared" si="25"/>
        <v>-0.39444163506110508</v>
      </c>
    </row>
    <row r="121" spans="1:22" x14ac:dyDescent="0.25">
      <c r="A121" s="26">
        <v>63.2</v>
      </c>
      <c r="B121">
        <v>62.69</v>
      </c>
      <c r="C121">
        <v>1.68</v>
      </c>
      <c r="D121" s="2">
        <v>45307</v>
      </c>
      <c r="E121">
        <v>63</v>
      </c>
      <c r="F121">
        <v>0.2</v>
      </c>
      <c r="G121">
        <v>-0.31000000000000227</v>
      </c>
      <c r="H121" s="5">
        <f t="shared" si="26"/>
        <v>3.1746031746031746E-3</v>
      </c>
      <c r="I121" s="3">
        <f t="shared" si="14"/>
        <v>0.9029610632640912</v>
      </c>
      <c r="J121" s="5">
        <f t="shared" si="27"/>
        <v>-4.9206349206349564E-3</v>
      </c>
      <c r="K121" s="3">
        <f t="shared" si="15"/>
        <v>-0.44458123583521564</v>
      </c>
      <c r="L121" s="3">
        <f t="shared" si="16"/>
        <v>-0.7811465675011493</v>
      </c>
      <c r="N121" s="12">
        <f t="shared" si="17"/>
        <v>-9.0106931390501093E-4</v>
      </c>
      <c r="O121" s="12">
        <f t="shared" si="18"/>
        <v>-1.2665209029393307E-3</v>
      </c>
      <c r="P121" s="12">
        <f t="shared" si="19"/>
        <v>-1.2434592671867637E-3</v>
      </c>
      <c r="Q121" s="12">
        <f t="shared" si="20"/>
        <v>-7.0696250433513637E-4</v>
      </c>
      <c r="R121" s="12">
        <f t="shared" si="21"/>
        <v>-4.1309979784001031E-4</v>
      </c>
      <c r="S121" s="12">
        <f t="shared" si="22"/>
        <v>7.9136838424797087E-5</v>
      </c>
      <c r="T121" s="12">
        <f t="shared" si="23"/>
        <v>3.7142857142857144E-2</v>
      </c>
      <c r="U121" s="12">
        <f t="shared" si="24"/>
        <v>-0.25869047619047625</v>
      </c>
      <c r="V121" s="12">
        <f t="shared" si="25"/>
        <v>-0.41928782132322051</v>
      </c>
    </row>
    <row r="122" spans="1:22" x14ac:dyDescent="0.25">
      <c r="A122" s="26">
        <v>63.5</v>
      </c>
      <c r="B122">
        <v>62.96</v>
      </c>
      <c r="C122">
        <v>1.72</v>
      </c>
      <c r="D122" s="2">
        <v>45306</v>
      </c>
      <c r="E122">
        <v>63.48</v>
      </c>
      <c r="F122">
        <v>0.02</v>
      </c>
      <c r="G122">
        <v>-0.51999999999999602</v>
      </c>
      <c r="H122" s="5">
        <f t="shared" si="26"/>
        <v>3.15059861373661E-4</v>
      </c>
      <c r="I122" s="3">
        <f t="shared" si="14"/>
        <v>0.2893009434446448</v>
      </c>
      <c r="J122" s="5">
        <f t="shared" si="27"/>
        <v>-8.191556395715123E-3</v>
      </c>
      <c r="K122" s="3">
        <f t="shared" si="15"/>
        <v>-2.26982148139194</v>
      </c>
      <c r="L122" s="3">
        <f t="shared" si="16"/>
        <v>-0.67164891161552132</v>
      </c>
      <c r="N122" s="12">
        <f t="shared" si="17"/>
        <v>-1.3213804166594561E-3</v>
      </c>
      <c r="O122" s="12">
        <f t="shared" si="18"/>
        <v>-1.5509908682304677E-3</v>
      </c>
      <c r="P122" s="12">
        <f t="shared" si="19"/>
        <v>-1.4783244613482882E-3</v>
      </c>
      <c r="Q122" s="12">
        <f t="shared" si="20"/>
        <v>-8.69202343286587E-4</v>
      </c>
      <c r="R122" s="12">
        <f t="shared" si="21"/>
        <v>-4.5030000772280226E-4</v>
      </c>
      <c r="S122" s="12">
        <f t="shared" si="22"/>
        <v>2.2447029880706508E-5</v>
      </c>
      <c r="T122" s="12">
        <f t="shared" si="23"/>
        <v>2.2857142857142687E-2</v>
      </c>
      <c r="U122" s="12">
        <f t="shared" si="24"/>
        <v>-0.28196428571428589</v>
      </c>
      <c r="V122" s="12">
        <f t="shared" si="25"/>
        <v>-0.42193426042983662</v>
      </c>
    </row>
    <row r="123" spans="1:22" x14ac:dyDescent="0.25">
      <c r="A123" s="26">
        <v>66.489999999999995</v>
      </c>
      <c r="B123">
        <v>66.42</v>
      </c>
      <c r="C123">
        <v>1.49</v>
      </c>
      <c r="D123" s="2">
        <v>45278</v>
      </c>
      <c r="E123">
        <v>66.73</v>
      </c>
      <c r="F123">
        <v>-0.24</v>
      </c>
      <c r="G123">
        <v>-0.31000000000000227</v>
      </c>
      <c r="H123" s="5">
        <f t="shared" si="26"/>
        <v>-3.5965832459163793E-3</v>
      </c>
      <c r="I123" s="3">
        <f t="shared" si="14"/>
        <v>-0.54233588204582484</v>
      </c>
      <c r="J123" s="5">
        <f t="shared" si="27"/>
        <v>-4.6455866926420238E-3</v>
      </c>
      <c r="K123" s="3">
        <f t="shared" si="15"/>
        <v>-0.31001431569187615</v>
      </c>
      <c r="L123" s="3">
        <f t="shared" si="16"/>
        <v>-1.2514283179147621</v>
      </c>
      <c r="N123" s="12">
        <f t="shared" si="17"/>
        <v>-1.2336035179105987E-3</v>
      </c>
      <c r="O123" s="12">
        <f t="shared" si="18"/>
        <v>-1.5266019161888585E-3</v>
      </c>
      <c r="P123" s="12">
        <f t="shared" si="19"/>
        <v>-1.4486960650201774E-3</v>
      </c>
      <c r="Q123" s="12">
        <f t="shared" si="20"/>
        <v>-7.60013918427446E-4</v>
      </c>
      <c r="R123" s="12">
        <f t="shared" si="21"/>
        <v>-3.0680590804662341E-4</v>
      </c>
      <c r="S123" s="12">
        <f t="shared" si="22"/>
        <v>1.3716271583371666E-4</v>
      </c>
      <c r="T123" s="12">
        <f t="shared" si="23"/>
        <v>-1.0952380952381269E-2</v>
      </c>
      <c r="U123" s="12">
        <f t="shared" si="24"/>
        <v>-0.31089285714285753</v>
      </c>
      <c r="V123" s="12">
        <f t="shared" si="25"/>
        <v>-0.43164348925410989</v>
      </c>
    </row>
    <row r="124" spans="1:22" x14ac:dyDescent="0.25">
      <c r="A124" s="26">
        <v>66.599999999999994</v>
      </c>
      <c r="B124">
        <v>66.569999999999993</v>
      </c>
      <c r="C124">
        <v>1.61</v>
      </c>
      <c r="D124" s="2">
        <v>45275</v>
      </c>
      <c r="E124">
        <v>66.900000000000006</v>
      </c>
      <c r="F124">
        <v>-0.3</v>
      </c>
      <c r="G124">
        <v>-0.33000000000001251</v>
      </c>
      <c r="H124" s="5">
        <f t="shared" si="26"/>
        <v>-4.4843049327354251E-3</v>
      </c>
      <c r="I124" s="3">
        <f t="shared" si="14"/>
        <v>-0.73447150582158072</v>
      </c>
      <c r="J124" s="5">
        <f t="shared" si="27"/>
        <v>-4.9327354260091548E-3</v>
      </c>
      <c r="K124" s="3">
        <f t="shared" si="15"/>
        <v>-0.47641192382388886</v>
      </c>
      <c r="L124" s="3">
        <f t="shared" si="16"/>
        <v>-0.95780207197695788</v>
      </c>
      <c r="N124" s="12">
        <f t="shared" si="17"/>
        <v>-1.7199502556665739E-3</v>
      </c>
      <c r="O124" s="12">
        <f t="shared" si="18"/>
        <v>-1.8347175761297446E-3</v>
      </c>
      <c r="P124" s="12">
        <f t="shared" si="19"/>
        <v>-1.7131514518672691E-3</v>
      </c>
      <c r="Q124" s="12">
        <f t="shared" si="20"/>
        <v>-9.4451885796218663E-4</v>
      </c>
      <c r="R124" s="12">
        <f t="shared" si="21"/>
        <v>-4.1084794891772108E-4</v>
      </c>
      <c r="S124" s="12">
        <f t="shared" si="22"/>
        <v>2.0708188001545245E-5</v>
      </c>
      <c r="T124" s="12">
        <f t="shared" si="23"/>
        <v>-3.9047619047618998E-2</v>
      </c>
      <c r="U124" s="12">
        <f t="shared" si="24"/>
        <v>-0.33065476190476217</v>
      </c>
      <c r="V124" s="12">
        <f t="shared" si="25"/>
        <v>-0.44749262536873258</v>
      </c>
    </row>
    <row r="125" spans="1:22" x14ac:dyDescent="0.25">
      <c r="A125" s="26">
        <v>68.45</v>
      </c>
      <c r="B125">
        <v>68.45</v>
      </c>
      <c r="C125">
        <v>1.37</v>
      </c>
      <c r="D125" s="2">
        <v>45274</v>
      </c>
      <c r="E125">
        <v>68.87</v>
      </c>
      <c r="F125">
        <v>-0.42</v>
      </c>
      <c r="G125">
        <v>-0.42000000000000171</v>
      </c>
      <c r="H125" s="5">
        <f t="shared" si="26"/>
        <v>-6.0984463481922454E-3</v>
      </c>
      <c r="I125" s="3">
        <f t="shared" si="14"/>
        <v>-1.081381792161328</v>
      </c>
      <c r="J125" s="5">
        <f t="shared" si="27"/>
        <v>-6.0984463481922706E-3</v>
      </c>
      <c r="K125" s="3">
        <f t="shared" si="15"/>
        <v>-1.133080649398778</v>
      </c>
      <c r="L125" s="3">
        <f t="shared" si="16"/>
        <v>-1.5653569433771093</v>
      </c>
      <c r="N125" s="12">
        <f t="shared" si="17"/>
        <v>-9.1261026838730425E-4</v>
      </c>
      <c r="O125" s="12">
        <f t="shared" si="18"/>
        <v>-1.4938148080986622E-3</v>
      </c>
      <c r="P125" s="12">
        <f t="shared" si="19"/>
        <v>-1.4579731760731639E-3</v>
      </c>
      <c r="Q125" s="12">
        <f t="shared" si="20"/>
        <v>-8.6176540079314868E-4</v>
      </c>
      <c r="R125" s="12">
        <f t="shared" si="21"/>
        <v>-3.625980043695607E-4</v>
      </c>
      <c r="S125" s="12">
        <f t="shared" si="22"/>
        <v>5.1942232958005451E-5</v>
      </c>
      <c r="T125" s="12">
        <f t="shared" si="23"/>
        <v>-4.4761904761904558E-2</v>
      </c>
      <c r="U125" s="12">
        <f t="shared" si="24"/>
        <v>-0.35226190476190489</v>
      </c>
      <c r="V125" s="12">
        <f t="shared" si="25"/>
        <v>-0.45612726506531898</v>
      </c>
    </row>
    <row r="126" spans="1:22" x14ac:dyDescent="0.25">
      <c r="A126" s="26">
        <v>66.72</v>
      </c>
      <c r="B126">
        <v>66.760000000000005</v>
      </c>
      <c r="C126">
        <v>1.39</v>
      </c>
      <c r="D126" s="2">
        <v>45272</v>
      </c>
      <c r="E126">
        <v>67.03</v>
      </c>
      <c r="F126">
        <v>-0.31</v>
      </c>
      <c r="G126">
        <v>-0.26999999999999602</v>
      </c>
      <c r="H126" s="5">
        <f t="shared" si="26"/>
        <v>-4.6247948679695658E-3</v>
      </c>
      <c r="I126" s="3">
        <f t="shared" si="14"/>
        <v>-0.77440851830855129</v>
      </c>
      <c r="J126" s="5">
        <f t="shared" si="27"/>
        <v>-4.0280471430702075E-3</v>
      </c>
      <c r="K126" s="3">
        <f t="shared" si="15"/>
        <v>1.8710108584642587E-2</v>
      </c>
      <c r="L126" s="3">
        <f t="shared" si="16"/>
        <v>-1.5326924785121996</v>
      </c>
      <c r="N126" s="12">
        <f t="shared" si="17"/>
        <v>-7.386712367690295E-5</v>
      </c>
      <c r="O126" s="12">
        <f t="shared" si="18"/>
        <v>-8.2582422475130813E-4</v>
      </c>
      <c r="P126" s="12">
        <f t="shared" si="19"/>
        <v>-8.0161151752962184E-4</v>
      </c>
      <c r="Q126" s="12">
        <f t="shared" si="20"/>
        <v>-6.8670623117930013E-4</v>
      </c>
      <c r="R126" s="12">
        <f t="shared" si="21"/>
        <v>-1.6036846911381304E-4</v>
      </c>
      <c r="S126" s="12">
        <f t="shared" si="22"/>
        <v>1.8747781021269481E-4</v>
      </c>
      <c r="T126" s="12">
        <f t="shared" si="23"/>
        <v>0</v>
      </c>
      <c r="U126" s="12">
        <f t="shared" si="24"/>
        <v>-0.34666666666666668</v>
      </c>
      <c r="V126" s="12">
        <f t="shared" si="25"/>
        <v>-0.43286135693215377</v>
      </c>
    </row>
    <row r="127" spans="1:22" x14ac:dyDescent="0.25">
      <c r="A127" s="26">
        <v>67.819999999999993</v>
      </c>
      <c r="B127">
        <v>67.5</v>
      </c>
      <c r="C127">
        <v>1.57</v>
      </c>
      <c r="D127" s="2">
        <v>45271</v>
      </c>
      <c r="E127">
        <v>67.790000000000006</v>
      </c>
      <c r="F127">
        <v>0.03</v>
      </c>
      <c r="G127">
        <v>-0.29000000000000625</v>
      </c>
      <c r="H127" s="5">
        <f t="shared" si="26"/>
        <v>4.4254314795692573E-4</v>
      </c>
      <c r="I127" s="3">
        <f t="shared" si="14"/>
        <v>0.31417277276423394</v>
      </c>
      <c r="J127" s="5">
        <f t="shared" si="27"/>
        <v>-4.2779170969170412E-3</v>
      </c>
      <c r="K127" s="3">
        <f t="shared" si="15"/>
        <v>-0.12146919211728394</v>
      </c>
      <c r="L127" s="3">
        <f t="shared" si="16"/>
        <v>-1.0946563510606935</v>
      </c>
      <c r="N127" s="12">
        <f t="shared" si="17"/>
        <v>2.2778697270157879E-4</v>
      </c>
      <c r="O127" s="12">
        <f t="shared" si="18"/>
        <v>-4.7818363689308794E-4</v>
      </c>
      <c r="P127" s="12">
        <f t="shared" si="19"/>
        <v>-5.1579681110207646E-4</v>
      </c>
      <c r="Q127" s="12">
        <f t="shared" si="20"/>
        <v>-7.118684813181733E-4</v>
      </c>
      <c r="R127" s="12">
        <f t="shared" si="21"/>
        <v>-1.1263648834751103E-4</v>
      </c>
      <c r="S127" s="12">
        <f t="shared" si="22"/>
        <v>1.9142153426794477E-4</v>
      </c>
      <c r="T127" s="12">
        <f t="shared" si="23"/>
        <v>-9.0476190476189711E-3</v>
      </c>
      <c r="U127" s="12">
        <f t="shared" si="24"/>
        <v>-0.36428571428571455</v>
      </c>
      <c r="V127" s="12">
        <f t="shared" si="25"/>
        <v>-0.43824273072060782</v>
      </c>
    </row>
    <row r="128" spans="1:22" x14ac:dyDescent="0.25">
      <c r="A128" s="26">
        <v>69.84</v>
      </c>
      <c r="B128">
        <v>69.510000000000005</v>
      </c>
      <c r="C128">
        <v>1.98</v>
      </c>
      <c r="D128" s="2">
        <v>45268</v>
      </c>
      <c r="E128">
        <v>69.83</v>
      </c>
      <c r="F128">
        <v>0.01</v>
      </c>
      <c r="G128">
        <v>-0.31999999999999318</v>
      </c>
      <c r="H128" s="5">
        <f t="shared" si="26"/>
        <v>1.43204926249463E-4</v>
      </c>
      <c r="I128" s="3">
        <f t="shared" si="14"/>
        <v>0.2477132970647381</v>
      </c>
      <c r="J128" s="5">
        <f t="shared" si="27"/>
        <v>-4.582557639982718E-3</v>
      </c>
      <c r="K128" s="3">
        <f t="shared" si="15"/>
        <v>-0.29696667201105076</v>
      </c>
      <c r="L128" s="3">
        <f t="shared" si="16"/>
        <v>-6.2734035203296679E-2</v>
      </c>
      <c r="N128" s="12">
        <f t="shared" si="17"/>
        <v>3.4238028045660042E-4</v>
      </c>
      <c r="O128" s="12">
        <f t="shared" si="18"/>
        <v>-5.3738034339883851E-4</v>
      </c>
      <c r="P128" s="12">
        <f t="shared" si="19"/>
        <v>-4.9675549203129308E-4</v>
      </c>
      <c r="Q128" s="12">
        <f t="shared" si="20"/>
        <v>-3.8380826466763527E-4</v>
      </c>
      <c r="R128" s="12">
        <f t="shared" si="21"/>
        <v>1.2811806069017943E-4</v>
      </c>
      <c r="S128" s="12">
        <f t="shared" si="22"/>
        <v>3.8981129422992374E-4</v>
      </c>
      <c r="T128" s="12">
        <f t="shared" si="23"/>
        <v>-4.0000000000000036E-2</v>
      </c>
      <c r="U128" s="12">
        <f t="shared" si="24"/>
        <v>-0.39184523809523863</v>
      </c>
      <c r="V128" s="12">
        <f t="shared" si="25"/>
        <v>-0.44523809523809632</v>
      </c>
    </row>
    <row r="129" spans="1:22" x14ac:dyDescent="0.25">
      <c r="A129" s="26">
        <v>68.760000000000005</v>
      </c>
      <c r="B129">
        <v>68.47</v>
      </c>
      <c r="C129">
        <v>1.69</v>
      </c>
      <c r="D129" s="2">
        <v>45267</v>
      </c>
      <c r="E129">
        <v>68.709999999999994</v>
      </c>
      <c r="F129">
        <v>0.05</v>
      </c>
      <c r="G129">
        <v>-0.23999999999999488</v>
      </c>
      <c r="H129" s="5">
        <f t="shared" si="26"/>
        <v>7.276961141027508E-4</v>
      </c>
      <c r="I129" s="3">
        <f t="shared" si="14"/>
        <v>0.38052491520770709</v>
      </c>
      <c r="J129" s="5">
        <f t="shared" si="27"/>
        <v>-3.4929413476931293E-3</v>
      </c>
      <c r="K129" s="3">
        <f t="shared" si="15"/>
        <v>0.3117648415820386</v>
      </c>
      <c r="L129" s="3">
        <f t="shared" si="16"/>
        <v>-0.78103820078353303</v>
      </c>
      <c r="N129" s="12">
        <f t="shared" si="17"/>
        <v>-1.2970391186834678E-4</v>
      </c>
      <c r="O129" s="12">
        <f t="shared" si="18"/>
        <v>-8.8032854867233076E-4</v>
      </c>
      <c r="P129" s="12">
        <f t="shared" si="19"/>
        <v>-8.1619853044467481E-4</v>
      </c>
      <c r="Q129" s="12">
        <f t="shared" si="20"/>
        <v>-3.8773346851376806E-4</v>
      </c>
      <c r="R129" s="12">
        <f t="shared" si="21"/>
        <v>1.5667691136476026E-4</v>
      </c>
      <c r="S129" s="12">
        <f t="shared" si="22"/>
        <v>3.5554427770968181E-4</v>
      </c>
      <c r="T129" s="12">
        <f t="shared" si="23"/>
        <v>-9.6190476190476382E-2</v>
      </c>
      <c r="U129" s="12">
        <f t="shared" si="24"/>
        <v>-0.45452380952381022</v>
      </c>
      <c r="V129" s="12">
        <f t="shared" si="25"/>
        <v>-0.48355667930889279</v>
      </c>
    </row>
    <row r="130" spans="1:22" x14ac:dyDescent="0.25">
      <c r="A130" s="26">
        <v>68.709999999999994</v>
      </c>
      <c r="B130">
        <v>68.53</v>
      </c>
      <c r="C130">
        <v>1.6</v>
      </c>
      <c r="D130" s="2">
        <v>45266</v>
      </c>
      <c r="E130">
        <v>68.81</v>
      </c>
      <c r="F130">
        <v>-0.1</v>
      </c>
      <c r="G130">
        <v>-0.28000000000000114</v>
      </c>
      <c r="H130" s="5">
        <f t="shared" si="26"/>
        <v>-1.4532771399505887E-3</v>
      </c>
      <c r="I130" s="3">
        <f t="shared" si="14"/>
        <v>-7.7967317228156724E-2</v>
      </c>
      <c r="J130" s="5">
        <f t="shared" si="27"/>
        <v>-4.0691759918616644E-3</v>
      </c>
      <c r="K130" s="3">
        <f t="shared" si="15"/>
        <v>-1.5515538012756678E-2</v>
      </c>
      <c r="L130" s="3">
        <f t="shared" si="16"/>
        <v>-1.0138591315447956</v>
      </c>
      <c r="N130" s="12">
        <f t="shared" si="17"/>
        <v>-5.5960360878121499E-4</v>
      </c>
      <c r="O130" s="12">
        <f t="shared" si="18"/>
        <v>-1.2732773527127693E-3</v>
      </c>
      <c r="P130" s="12">
        <f t="shared" si="19"/>
        <v>-1.1317155163235075E-3</v>
      </c>
      <c r="Q130" s="12">
        <f t="shared" si="20"/>
        <v>-3.3509357376489655E-4</v>
      </c>
      <c r="R130" s="12">
        <f t="shared" si="21"/>
        <v>1.6570424252438081E-4</v>
      </c>
      <c r="S130" s="12">
        <f t="shared" si="22"/>
        <v>3.8880886486315162E-4</v>
      </c>
      <c r="T130" s="12">
        <f t="shared" si="23"/>
        <v>-0.15904761904761933</v>
      </c>
      <c r="U130" s="12">
        <f t="shared" si="24"/>
        <v>-0.5010714285714295</v>
      </c>
      <c r="V130" s="12">
        <f t="shared" si="25"/>
        <v>-0.50924146649810442</v>
      </c>
    </row>
    <row r="131" spans="1:22" x14ac:dyDescent="0.25">
      <c r="A131" s="26">
        <v>69.94</v>
      </c>
      <c r="B131">
        <v>69.69</v>
      </c>
      <c r="C131">
        <v>1.53</v>
      </c>
      <c r="D131" s="2">
        <v>45265</v>
      </c>
      <c r="E131">
        <v>69.94</v>
      </c>
      <c r="F131">
        <v>0</v>
      </c>
      <c r="G131">
        <v>-0.25</v>
      </c>
      <c r="H131" s="5">
        <f t="shared" si="26"/>
        <v>0</v>
      </c>
      <c r="I131" s="3">
        <f t="shared" ref="I131:I194" si="28">IFERROR((H131-AVERAGEA(H131:H347))/_xlfn.STDEV.S(H131:H347), " ")</f>
        <v>0.22875614215740972</v>
      </c>
      <c r="J131" s="5">
        <f t="shared" si="27"/>
        <v>-3.5744924220760654E-3</v>
      </c>
      <c r="K131" s="3">
        <f t="shared" ref="K131:K194" si="29">IFERROR((J131-AVERAGEA(J131:J347))/_xlfn.STDEV.S(J131:J347), " ")</f>
        <v>0.25935429066519877</v>
      </c>
      <c r="L131" s="3">
        <f t="shared" ref="L131:L194" si="30">(C131-AVERAGEA(C131:C347))/_xlfn.STDEV.S(C131:C347)</f>
        <v>-1.1982246853983312</v>
      </c>
      <c r="N131" s="12">
        <f t="shared" ref="N131:N194" si="31">AVERAGEA(H131:H151)-AVERAGE(H152:H172)</f>
        <v>-4.1963673333042257E-4</v>
      </c>
      <c r="O131" s="12">
        <f t="shared" ref="O131:O194" si="32">AVERAGEA(H131:H151)-AVERAGE(H152:H207)</f>
        <v>-1.4476086246670511E-3</v>
      </c>
      <c r="P131" s="12">
        <f t="shared" ref="P131:P194" si="33">AVERAGEA(H131:H151)-AVERAGE(H152:H264)</f>
        <v>-1.3429034129594276E-3</v>
      </c>
      <c r="Q131" s="12">
        <f t="shared" ref="Q131:Q194" si="34">AVERAGEA(J131:J151)-AVERAGE(J152:J172)</f>
        <v>-4.4662990392886973E-4</v>
      </c>
      <c r="R131" s="12">
        <f t="shared" ref="R131:R194" si="35">AVERAGEA(J131:J151)-AVERAGE(J152:J207)</f>
        <v>1.09332550223727E-4</v>
      </c>
      <c r="S131" s="12">
        <f t="shared" ref="S131:S194" si="36">AVERAGEA(J131:J151)-AVERAGE(J152:J264)</f>
        <v>3.3590440622126381E-4</v>
      </c>
      <c r="T131" s="12">
        <f t="shared" ref="T131:T194" si="37">AVERAGEA(C131:C151)-AVERAGE(C152:C172)</f>
        <v>-0.15857142857142836</v>
      </c>
      <c r="U131" s="12">
        <f t="shared" ref="U131:U194" si="38">AVERAGEA(C131:C151)-AVERAGE(C152:C207)</f>
        <v>-0.52041666666666719</v>
      </c>
      <c r="V131" s="12">
        <f t="shared" ref="V131:V194" si="39">AVERAGEA(C131:C151)-AVERAGE(C152:C264)</f>
        <v>-0.51559207753898084</v>
      </c>
    </row>
    <row r="132" spans="1:22" x14ac:dyDescent="0.25">
      <c r="A132" s="26">
        <v>71.34</v>
      </c>
      <c r="B132">
        <v>70.959999999999994</v>
      </c>
      <c r="C132">
        <v>1.82</v>
      </c>
      <c r="D132" s="2">
        <v>45264</v>
      </c>
      <c r="E132">
        <v>71.319999999999993</v>
      </c>
      <c r="F132">
        <v>0.02</v>
      </c>
      <c r="G132">
        <v>-0.35999999999999943</v>
      </c>
      <c r="H132" s="5">
        <f t="shared" ref="H132:H195" si="40">IFERROR(F132/E132,"")</f>
        <v>2.804262478968032E-4</v>
      </c>
      <c r="I132" s="3">
        <f t="shared" si="28"/>
        <v>0.2915581871939662</v>
      </c>
      <c r="J132" s="5">
        <f t="shared" ref="J132:J195" si="41">IFERROR(G132/E132,"")</f>
        <v>-5.0476724621424489E-3</v>
      </c>
      <c r="K132" s="3">
        <f t="shared" si="29"/>
        <v>-0.56149148255567749</v>
      </c>
      <c r="L132" s="3">
        <f t="shared" si="30"/>
        <v>-0.4776919437206813</v>
      </c>
      <c r="N132" s="12">
        <f t="shared" si="31"/>
        <v>2.5085094696811801E-5</v>
      </c>
      <c r="O132" s="12">
        <f t="shared" si="32"/>
        <v>-9.4682886073369139E-4</v>
      </c>
      <c r="P132" s="12">
        <f t="shared" si="33"/>
        <v>-9.8223075985834699E-4</v>
      </c>
      <c r="Q132" s="12">
        <f t="shared" si="34"/>
        <v>-4.7395080597548416E-4</v>
      </c>
      <c r="R132" s="12">
        <f t="shared" si="35"/>
        <v>1.4005932681223406E-4</v>
      </c>
      <c r="S132" s="12">
        <f t="shared" si="36"/>
        <v>3.56419870605338E-4</v>
      </c>
      <c r="T132" s="12">
        <f t="shared" si="37"/>
        <v>-0.15380952380952362</v>
      </c>
      <c r="U132" s="12">
        <f t="shared" si="38"/>
        <v>-0.52714285714285758</v>
      </c>
      <c r="V132" s="12">
        <f t="shared" si="39"/>
        <v>-0.51333754740834436</v>
      </c>
    </row>
    <row r="133" spans="1:22" x14ac:dyDescent="0.25">
      <c r="A133" s="26">
        <v>71.45</v>
      </c>
      <c r="B133">
        <v>71.02</v>
      </c>
      <c r="C133">
        <v>1.88</v>
      </c>
      <c r="D133" s="2">
        <v>45261</v>
      </c>
      <c r="E133">
        <v>71.319999999999993</v>
      </c>
      <c r="F133">
        <v>0.13</v>
      </c>
      <c r="G133">
        <v>-0.29999999999999716</v>
      </c>
      <c r="H133" s="5">
        <f t="shared" si="40"/>
        <v>1.8227706113292206E-3</v>
      </c>
      <c r="I133" s="3">
        <f t="shared" si="28"/>
        <v>0.62030922229598817</v>
      </c>
      <c r="J133" s="5">
        <f t="shared" si="41"/>
        <v>-4.2063937184520081E-3</v>
      </c>
      <c r="K133" s="3">
        <f t="shared" si="29"/>
        <v>-9.6917393546330985E-2</v>
      </c>
      <c r="L133" s="3">
        <f t="shared" si="30"/>
        <v>-0.32886938061846055</v>
      </c>
      <c r="N133" s="12">
        <f t="shared" si="31"/>
        <v>-4.8570709933665125E-4</v>
      </c>
      <c r="O133" s="12">
        <f t="shared" si="32"/>
        <v>-1.202702982476041E-3</v>
      </c>
      <c r="P133" s="12">
        <f t="shared" si="33"/>
        <v>-1.2998411245345298E-3</v>
      </c>
      <c r="Q133" s="12">
        <f t="shared" si="34"/>
        <v>-3.7209937548560602E-4</v>
      </c>
      <c r="R133" s="12">
        <f t="shared" si="35"/>
        <v>2.5039013411493147E-4</v>
      </c>
      <c r="S133" s="12">
        <f t="shared" si="36"/>
        <v>4.2830548569944109E-4</v>
      </c>
      <c r="T133" s="12">
        <f t="shared" si="37"/>
        <v>-0.21666666666666701</v>
      </c>
      <c r="U133" s="12">
        <f t="shared" si="38"/>
        <v>-0.5961904761904766</v>
      </c>
      <c r="V133" s="12">
        <f t="shared" si="39"/>
        <v>-0.54854193004635543</v>
      </c>
    </row>
    <row r="134" spans="1:22" x14ac:dyDescent="0.25">
      <c r="A134" s="26">
        <v>70.790000000000006</v>
      </c>
      <c r="B134">
        <v>70.709999999999994</v>
      </c>
      <c r="C134">
        <v>1.52</v>
      </c>
      <c r="D134" s="2">
        <v>45260</v>
      </c>
      <c r="E134">
        <v>71.16</v>
      </c>
      <c r="F134">
        <v>-0.37</v>
      </c>
      <c r="G134">
        <v>-0.45000000000000284</v>
      </c>
      <c r="H134" s="5">
        <f t="shared" si="40"/>
        <v>-5.1995503091624507E-3</v>
      </c>
      <c r="I134" s="3">
        <f t="shared" si="28"/>
        <v>-0.85645507653771125</v>
      </c>
      <c r="J134" s="5">
        <f t="shared" si="41"/>
        <v>-6.3237774030354531E-3</v>
      </c>
      <c r="K134" s="3">
        <f t="shared" si="29"/>
        <v>-1.2772860708405642</v>
      </c>
      <c r="L134" s="3">
        <f t="shared" si="30"/>
        <v>-1.2415170748073028</v>
      </c>
      <c r="N134" s="12">
        <f t="shared" si="31"/>
        <v>-1.0688035319383823E-3</v>
      </c>
      <c r="O134" s="12">
        <f t="shared" si="32"/>
        <v>-1.4676864941507303E-3</v>
      </c>
      <c r="P134" s="12">
        <f t="shared" si="33"/>
        <v>-1.5484903192365784E-3</v>
      </c>
      <c r="Q134" s="12">
        <f t="shared" si="34"/>
        <v>-4.31316272776496E-4</v>
      </c>
      <c r="R134" s="12">
        <f t="shared" si="35"/>
        <v>2.6145568499097004E-4</v>
      </c>
      <c r="S134" s="12">
        <f t="shared" si="36"/>
        <v>3.9870082268931607E-4</v>
      </c>
      <c r="T134" s="12">
        <f t="shared" si="37"/>
        <v>-0.24523809523809526</v>
      </c>
      <c r="U134" s="12">
        <f t="shared" si="38"/>
        <v>-0.64172619047619106</v>
      </c>
      <c r="V134" s="12">
        <f t="shared" si="39"/>
        <v>-0.56887062789717735</v>
      </c>
    </row>
    <row r="135" spans="1:22" x14ac:dyDescent="0.25">
      <c r="A135" s="26">
        <v>71.709999999999994</v>
      </c>
      <c r="B135">
        <v>71.63</v>
      </c>
      <c r="C135">
        <v>1.44</v>
      </c>
      <c r="D135" s="2">
        <v>45258</v>
      </c>
      <c r="E135">
        <v>71.97</v>
      </c>
      <c r="F135">
        <v>-0.26</v>
      </c>
      <c r="G135">
        <v>-0.34000000000000341</v>
      </c>
      <c r="H135" s="5">
        <f t="shared" si="40"/>
        <v>-3.6126163679310827E-3</v>
      </c>
      <c r="I135" s="3">
        <f t="shared" si="28"/>
        <v>-0.52991658853538404</v>
      </c>
      <c r="J135" s="5">
        <f t="shared" si="41"/>
        <v>-4.7241906349868475E-3</v>
      </c>
      <c r="K135" s="3">
        <f t="shared" si="29"/>
        <v>-0.40273778949457273</v>
      </c>
      <c r="L135" s="3">
        <f t="shared" si="30"/>
        <v>-1.4544729685037936</v>
      </c>
      <c r="N135" s="12">
        <f t="shared" si="31"/>
        <v>-1.0459518329970553E-3</v>
      </c>
      <c r="O135" s="12">
        <f t="shared" si="32"/>
        <v>-1.2733946406442358E-3</v>
      </c>
      <c r="P135" s="12">
        <f t="shared" si="33"/>
        <v>-1.3296056547330798E-3</v>
      </c>
      <c r="Q135" s="12">
        <f t="shared" si="34"/>
        <v>-3.2580559951284668E-4</v>
      </c>
      <c r="R135" s="12">
        <f t="shared" si="35"/>
        <v>3.7528223786144083E-4</v>
      </c>
      <c r="S135" s="12">
        <f t="shared" si="36"/>
        <v>5.1767457235762319E-4</v>
      </c>
      <c r="T135" s="12">
        <f t="shared" si="37"/>
        <v>-0.24285714285714288</v>
      </c>
      <c r="U135" s="12">
        <f t="shared" si="38"/>
        <v>-0.65041666666666687</v>
      </c>
      <c r="V135" s="12">
        <f t="shared" si="39"/>
        <v>-0.55985250737463166</v>
      </c>
    </row>
    <row r="136" spans="1:22" x14ac:dyDescent="0.25">
      <c r="A136" s="26">
        <v>74.569999999999993</v>
      </c>
      <c r="B136">
        <v>74.45</v>
      </c>
      <c r="C136">
        <v>1.61</v>
      </c>
      <c r="D136" s="2">
        <v>45257</v>
      </c>
      <c r="E136">
        <v>74.77</v>
      </c>
      <c r="F136">
        <v>-0.2</v>
      </c>
      <c r="G136">
        <v>-0.31999999999999318</v>
      </c>
      <c r="H136" s="5">
        <f t="shared" si="40"/>
        <v>-2.6748696001069952E-3</v>
      </c>
      <c r="I136" s="3">
        <f t="shared" si="28"/>
        <v>-0.33533168026119298</v>
      </c>
      <c r="J136" s="5">
        <f t="shared" si="41"/>
        <v>-4.2797913601711011E-3</v>
      </c>
      <c r="K136" s="3">
        <f t="shared" si="29"/>
        <v>-0.15684871563667191</v>
      </c>
      <c r="L136" s="3">
        <f t="shared" si="30"/>
        <v>-1.0352391176440612</v>
      </c>
      <c r="N136" s="12">
        <f t="shared" si="31"/>
        <v>-1.1290493661510344E-4</v>
      </c>
      <c r="O136" s="12">
        <f t="shared" si="32"/>
        <v>-8.5436574078637511E-4</v>
      </c>
      <c r="P136" s="12">
        <f t="shared" si="33"/>
        <v>-9.4372861225621753E-4</v>
      </c>
      <c r="Q136" s="12">
        <f t="shared" si="34"/>
        <v>-2.141484139046761E-4</v>
      </c>
      <c r="R136" s="12">
        <f t="shared" si="35"/>
        <v>4.361956548886211E-4</v>
      </c>
      <c r="S136" s="12">
        <f t="shared" si="36"/>
        <v>5.5743094993832096E-4</v>
      </c>
      <c r="T136" s="12">
        <f t="shared" si="37"/>
        <v>-0.23666666666666658</v>
      </c>
      <c r="U136" s="12">
        <f t="shared" si="38"/>
        <v>-0.65940476190476183</v>
      </c>
      <c r="V136" s="12">
        <f t="shared" si="39"/>
        <v>-0.55433206911083044</v>
      </c>
    </row>
    <row r="137" spans="1:22" x14ac:dyDescent="0.25">
      <c r="A137" s="26">
        <v>75.900000000000006</v>
      </c>
      <c r="B137">
        <v>75.66</v>
      </c>
      <c r="C137">
        <v>1.68</v>
      </c>
      <c r="D137" s="2">
        <v>45254</v>
      </c>
      <c r="E137">
        <v>76.03</v>
      </c>
      <c r="F137">
        <v>-0.13</v>
      </c>
      <c r="G137">
        <v>-0.37000000000000455</v>
      </c>
      <c r="H137" s="5">
        <f t="shared" si="40"/>
        <v>-1.709851374457451E-3</v>
      </c>
      <c r="I137" s="3">
        <f t="shared" si="28"/>
        <v>-0.13944559034107742</v>
      </c>
      <c r="J137" s="5">
        <f t="shared" si="41"/>
        <v>-4.8665000657635744E-3</v>
      </c>
      <c r="K137" s="3">
        <f t="shared" si="29"/>
        <v>-0.48752377584256701</v>
      </c>
      <c r="L137" s="3">
        <f t="shared" si="30"/>
        <v>-0.86613341180511338</v>
      </c>
      <c r="N137" s="12">
        <f t="shared" si="31"/>
        <v>4.0210054423758931E-4</v>
      </c>
      <c r="O137" s="12">
        <f t="shared" si="32"/>
        <v>-4.8652994057745271E-4</v>
      </c>
      <c r="P137" s="12">
        <f t="shared" si="33"/>
        <v>-6.6140602987958667E-4</v>
      </c>
      <c r="Q137" s="12">
        <f t="shared" si="34"/>
        <v>-1.3764248339207235E-4</v>
      </c>
      <c r="R137" s="12">
        <f t="shared" si="35"/>
        <v>5.597431972622002E-4</v>
      </c>
      <c r="S137" s="12">
        <f t="shared" si="36"/>
        <v>6.2009353307164537E-4</v>
      </c>
      <c r="T137" s="12">
        <f t="shared" si="37"/>
        <v>-0.24000000000000044</v>
      </c>
      <c r="U137" s="12">
        <f t="shared" si="38"/>
        <v>-0.6691071428571429</v>
      </c>
      <c r="V137" s="12">
        <f t="shared" si="39"/>
        <v>-0.55633375474083469</v>
      </c>
    </row>
    <row r="138" spans="1:22" x14ac:dyDescent="0.25">
      <c r="A138" s="26">
        <v>74.5</v>
      </c>
      <c r="B138">
        <v>74.430000000000007</v>
      </c>
      <c r="C138">
        <v>1.63</v>
      </c>
      <c r="D138" s="2">
        <v>45253</v>
      </c>
      <c r="E138">
        <v>74.760000000000005</v>
      </c>
      <c r="F138">
        <v>-0.26</v>
      </c>
      <c r="G138">
        <v>-0.32999999999999829</v>
      </c>
      <c r="H138" s="5">
        <f t="shared" si="40"/>
        <v>-3.4777956126270733E-3</v>
      </c>
      <c r="I138" s="3">
        <f t="shared" si="28"/>
        <v>-0.51440770460668561</v>
      </c>
      <c r="J138" s="5">
        <f t="shared" si="41"/>
        <v>-4.4141252006420313E-3</v>
      </c>
      <c r="K138" s="3">
        <f t="shared" si="29"/>
        <v>-0.24994994577151447</v>
      </c>
      <c r="L138" s="3">
        <f t="shared" si="30"/>
        <v>-1.0016667622414637</v>
      </c>
      <c r="N138" s="12">
        <f t="shared" si="31"/>
        <v>6.1567456730148116E-4</v>
      </c>
      <c r="O138" s="12">
        <f t="shared" si="32"/>
        <v>-1.0731084108969789E-4</v>
      </c>
      <c r="P138" s="12">
        <f t="shared" si="33"/>
        <v>-3.6226901478269679E-4</v>
      </c>
      <c r="Q138" s="12">
        <f t="shared" si="34"/>
        <v>3.5868046414093586E-5</v>
      </c>
      <c r="R138" s="12">
        <f t="shared" si="35"/>
        <v>6.8081857373548244E-4</v>
      </c>
      <c r="S138" s="12">
        <f t="shared" si="36"/>
        <v>7.0064632079921019E-4</v>
      </c>
      <c r="T138" s="12">
        <f t="shared" si="37"/>
        <v>-0.26761904761904787</v>
      </c>
      <c r="U138" s="12">
        <f t="shared" si="38"/>
        <v>-0.67440476190476195</v>
      </c>
      <c r="V138" s="12">
        <f t="shared" si="39"/>
        <v>-0.55857985672144972</v>
      </c>
    </row>
    <row r="139" spans="1:22" x14ac:dyDescent="0.25">
      <c r="A139" s="26">
        <v>74.84</v>
      </c>
      <c r="B139">
        <v>74.650000000000006</v>
      </c>
      <c r="C139">
        <v>1.75</v>
      </c>
      <c r="D139" s="2">
        <v>45252</v>
      </c>
      <c r="E139">
        <v>74.95</v>
      </c>
      <c r="F139">
        <v>-0.11</v>
      </c>
      <c r="G139">
        <v>-0.29999999999999716</v>
      </c>
      <c r="H139" s="5">
        <f t="shared" si="40"/>
        <v>-1.467645096731154E-3</v>
      </c>
      <c r="I139" s="3">
        <f t="shared" si="28"/>
        <v>-0.10049211509728113</v>
      </c>
      <c r="J139" s="5">
        <f t="shared" si="41"/>
        <v>-4.0026684456303824E-3</v>
      </c>
      <c r="K139" s="3">
        <f t="shared" si="29"/>
        <v>-3.7006867323671748E-2</v>
      </c>
      <c r="L139" s="3">
        <f t="shared" si="30"/>
        <v>-0.70341005324365991</v>
      </c>
      <c r="N139" s="12">
        <f t="shared" si="31"/>
        <v>6.5459716070507233E-4</v>
      </c>
      <c r="O139" s="12">
        <f t="shared" si="32"/>
        <v>2.1691930687841893E-4</v>
      </c>
      <c r="P139" s="12">
        <f t="shared" si="33"/>
        <v>-8.77940170858079E-5</v>
      </c>
      <c r="Q139" s="12">
        <f t="shared" si="34"/>
        <v>1.8703915636235358E-4</v>
      </c>
      <c r="R139" s="12">
        <f t="shared" si="35"/>
        <v>7.3001058421094927E-4</v>
      </c>
      <c r="S139" s="12">
        <f t="shared" si="36"/>
        <v>7.4771152167228596E-4</v>
      </c>
      <c r="T139" s="12">
        <f t="shared" si="37"/>
        <v>-0.28000000000000025</v>
      </c>
      <c r="U139" s="12">
        <f t="shared" si="38"/>
        <v>-0.67363095238095227</v>
      </c>
      <c r="V139" s="12">
        <f t="shared" si="39"/>
        <v>-0.55779182469447997</v>
      </c>
    </row>
    <row r="140" spans="1:22" x14ac:dyDescent="0.25">
      <c r="A140" s="26">
        <v>75.69</v>
      </c>
      <c r="B140">
        <v>75.540000000000006</v>
      </c>
      <c r="C140">
        <v>1.45</v>
      </c>
      <c r="D140" s="2">
        <v>45251</v>
      </c>
      <c r="E140">
        <v>75.84</v>
      </c>
      <c r="F140">
        <v>-0.15</v>
      </c>
      <c r="G140">
        <v>-0.29999999999999716</v>
      </c>
      <c r="H140" s="5">
        <f t="shared" si="40"/>
        <v>-1.9778481012658225E-3</v>
      </c>
      <c r="I140" s="3">
        <f t="shared" si="28"/>
        <v>-0.20237104586186233</v>
      </c>
      <c r="J140" s="5">
        <f t="shared" si="41"/>
        <v>-3.9556962025316077E-3</v>
      </c>
      <c r="K140" s="3">
        <f t="shared" si="29"/>
        <v>-1.2121786099282268E-3</v>
      </c>
      <c r="L140" s="3">
        <f t="shared" si="30"/>
        <v>-1.475703669057264</v>
      </c>
      <c r="N140" s="12">
        <f t="shared" si="31"/>
        <v>1.1980630779614883E-3</v>
      </c>
      <c r="O140" s="12">
        <f t="shared" si="32"/>
        <v>4.2472155453646642E-4</v>
      </c>
      <c r="P140" s="12">
        <f t="shared" si="33"/>
        <v>1.5140323856909215E-4</v>
      </c>
      <c r="Q140" s="12">
        <f t="shared" si="34"/>
        <v>9.7826927445983369E-5</v>
      </c>
      <c r="R140" s="12">
        <f t="shared" si="35"/>
        <v>7.1032623964192246E-4</v>
      </c>
      <c r="S140" s="12">
        <f t="shared" si="36"/>
        <v>7.0621336567589996E-4</v>
      </c>
      <c r="T140" s="12">
        <f t="shared" si="37"/>
        <v>-0.27428571428571491</v>
      </c>
      <c r="U140" s="12">
        <f t="shared" si="38"/>
        <v>-0.67011904761904728</v>
      </c>
      <c r="V140" s="12">
        <f t="shared" si="39"/>
        <v>-0.55755583649388973</v>
      </c>
    </row>
    <row r="141" spans="1:22" x14ac:dyDescent="0.25">
      <c r="A141" s="26">
        <v>76.349999999999994</v>
      </c>
      <c r="B141">
        <v>76.290000000000006</v>
      </c>
      <c r="C141">
        <v>1.48</v>
      </c>
      <c r="D141" s="2">
        <v>45250</v>
      </c>
      <c r="E141">
        <v>76.650000000000006</v>
      </c>
      <c r="F141">
        <v>-0.3</v>
      </c>
      <c r="G141">
        <v>-0.35999999999999943</v>
      </c>
      <c r="H141" s="5">
        <f t="shared" si="40"/>
        <v>-3.9138943248532287E-3</v>
      </c>
      <c r="I141" s="3">
        <f t="shared" si="28"/>
        <v>-0.60396804188662068</v>
      </c>
      <c r="J141" s="5">
        <f t="shared" si="41"/>
        <v>-4.6966731898238669E-3</v>
      </c>
      <c r="K141" s="3">
        <f t="shared" si="29"/>
        <v>-0.39240642887504801</v>
      </c>
      <c r="L141" s="3">
        <f t="shared" si="30"/>
        <v>-1.4137920929506012</v>
      </c>
      <c r="N141" s="12">
        <f t="shared" si="31"/>
        <v>5.1553053935712097E-4</v>
      </c>
      <c r="O141" s="12">
        <f t="shared" si="32"/>
        <v>-1.4231667270736103E-4</v>
      </c>
      <c r="P141" s="12">
        <f t="shared" si="33"/>
        <v>-3.3582877354974708E-4</v>
      </c>
      <c r="Q141" s="12">
        <f t="shared" si="34"/>
        <v>1.1586554941755024E-4</v>
      </c>
      <c r="R141" s="12">
        <f t="shared" si="35"/>
        <v>7.5002956501795531E-4</v>
      </c>
      <c r="S141" s="12">
        <f t="shared" si="36"/>
        <v>7.168318521756133E-4</v>
      </c>
      <c r="T141" s="12">
        <f t="shared" si="37"/>
        <v>-0.27714285714285736</v>
      </c>
      <c r="U141" s="12">
        <f t="shared" si="38"/>
        <v>-0.67142857142857104</v>
      </c>
      <c r="V141" s="12">
        <f t="shared" si="39"/>
        <v>-0.5589127686472819</v>
      </c>
    </row>
    <row r="142" spans="1:22" x14ac:dyDescent="0.25">
      <c r="A142" s="26">
        <v>76.55</v>
      </c>
      <c r="B142">
        <v>76.3</v>
      </c>
      <c r="C142">
        <v>1.63</v>
      </c>
      <c r="D142" s="2">
        <v>45247</v>
      </c>
      <c r="E142">
        <v>76.73</v>
      </c>
      <c r="F142">
        <v>-0.18</v>
      </c>
      <c r="G142">
        <v>-0.43000000000000682</v>
      </c>
      <c r="H142" s="5">
        <f t="shared" si="40"/>
        <v>-2.3458881793301184E-3</v>
      </c>
      <c r="I142" s="3">
        <f t="shared" si="28"/>
        <v>-0.27389904732125475</v>
      </c>
      <c r="J142" s="5">
        <f t="shared" si="41"/>
        <v>-5.6040662061775945E-3</v>
      </c>
      <c r="K142" s="3">
        <f t="shared" si="29"/>
        <v>-0.87343818945052032</v>
      </c>
      <c r="L142" s="3">
        <f t="shared" si="30"/>
        <v>-1.0336569087770111</v>
      </c>
      <c r="N142" s="12">
        <f t="shared" si="31"/>
        <v>3.9397570143620921E-4</v>
      </c>
      <c r="O142" s="12">
        <f t="shared" si="32"/>
        <v>-8.6040523409123453E-5</v>
      </c>
      <c r="P142" s="12">
        <f t="shared" si="33"/>
        <v>-3.1676217548565601E-4</v>
      </c>
      <c r="Q142" s="12">
        <f t="shared" si="34"/>
        <v>2.4561825730149561E-4</v>
      </c>
      <c r="R142" s="12">
        <f t="shared" si="35"/>
        <v>8.8734421488055343E-4</v>
      </c>
      <c r="S142" s="12">
        <f t="shared" si="36"/>
        <v>8.0402306988848742E-4</v>
      </c>
      <c r="T142" s="12">
        <f t="shared" si="37"/>
        <v>-0.29238095238095263</v>
      </c>
      <c r="U142" s="12">
        <f t="shared" si="38"/>
        <v>-0.66333333333333311</v>
      </c>
      <c r="V142" s="12">
        <f t="shared" si="39"/>
        <v>-0.54722713864306805</v>
      </c>
    </row>
    <row r="143" spans="1:22" x14ac:dyDescent="0.25">
      <c r="A143" s="26">
        <v>79</v>
      </c>
      <c r="B143">
        <v>78.569999999999993</v>
      </c>
      <c r="C143">
        <v>1.57</v>
      </c>
      <c r="D143" s="2">
        <v>45246</v>
      </c>
      <c r="E143">
        <v>78.98</v>
      </c>
      <c r="F143">
        <v>0.02</v>
      </c>
      <c r="G143">
        <v>-0.4100000000000108</v>
      </c>
      <c r="H143" s="5">
        <f t="shared" si="40"/>
        <v>2.5322866548493288E-4</v>
      </c>
      <c r="I143" s="3">
        <f t="shared" si="28"/>
        <v>0.26881103905071613</v>
      </c>
      <c r="J143" s="5">
        <f t="shared" si="41"/>
        <v>-5.1911876424412607E-3</v>
      </c>
      <c r="K143" s="3">
        <f t="shared" si="29"/>
        <v>-0.66017534069930273</v>
      </c>
      <c r="L143" s="3">
        <f t="shared" si="30"/>
        <v>-1.1899980855486849</v>
      </c>
      <c r="N143" s="12">
        <f t="shared" si="31"/>
        <v>6.3207762441803907E-4</v>
      </c>
      <c r="O143" s="12">
        <f t="shared" si="32"/>
        <v>1.5139148430883974E-4</v>
      </c>
      <c r="P143" s="12">
        <f t="shared" si="33"/>
        <v>-2.343615330503906E-4</v>
      </c>
      <c r="Q143" s="12">
        <f t="shared" si="34"/>
        <v>4.3037262427313844E-4</v>
      </c>
      <c r="R143" s="12">
        <f t="shared" si="35"/>
        <v>1.0913145959607802E-3</v>
      </c>
      <c r="S143" s="12">
        <f t="shared" si="36"/>
        <v>9.0899543172564927E-4</v>
      </c>
      <c r="T143" s="12">
        <f t="shared" si="37"/>
        <v>-0.28095238095238129</v>
      </c>
      <c r="U143" s="12">
        <f t="shared" si="38"/>
        <v>-0.65196428571428555</v>
      </c>
      <c r="V143" s="12">
        <f t="shared" si="39"/>
        <v>-0.53841972187104936</v>
      </c>
    </row>
    <row r="144" spans="1:22" x14ac:dyDescent="0.25">
      <c r="A144" s="26">
        <v>76.62</v>
      </c>
      <c r="B144">
        <v>76.69</v>
      </c>
      <c r="C144">
        <v>1.33</v>
      </c>
      <c r="D144" s="2">
        <v>45244</v>
      </c>
      <c r="E144">
        <v>77.19</v>
      </c>
      <c r="F144">
        <v>-0.56999999999999995</v>
      </c>
      <c r="G144">
        <v>-0.5</v>
      </c>
      <c r="H144" s="5">
        <f t="shared" si="40"/>
        <v>-7.384376214535561E-3</v>
      </c>
      <c r="I144" s="3">
        <f t="shared" si="28"/>
        <v>-1.3090790717347658</v>
      </c>
      <c r="J144" s="5">
        <f t="shared" si="41"/>
        <v>-6.4775229952066336E-3</v>
      </c>
      <c r="K144" s="3">
        <f t="shared" si="29"/>
        <v>-1.3405140632237544</v>
      </c>
      <c r="L144" s="3">
        <f t="shared" si="30"/>
        <v>-1.8166234245160022</v>
      </c>
      <c r="N144" s="12">
        <f t="shared" si="31"/>
        <v>4.2124974380415299E-4</v>
      </c>
      <c r="O144" s="12">
        <f t="shared" si="32"/>
        <v>-4.3867052206314418E-5</v>
      </c>
      <c r="P144" s="12">
        <f t="shared" si="33"/>
        <v>-3.6894694382978699E-4</v>
      </c>
      <c r="Q144" s="12">
        <f t="shared" si="34"/>
        <v>4.3408306463856234E-4</v>
      </c>
      <c r="R144" s="12">
        <f t="shared" si="35"/>
        <v>1.1095501670762846E-3</v>
      </c>
      <c r="S144" s="12">
        <f t="shared" si="36"/>
        <v>9.3952687879085084E-4</v>
      </c>
      <c r="T144" s="12">
        <f t="shared" si="37"/>
        <v>-0.23952380952380947</v>
      </c>
      <c r="U144" s="12">
        <f t="shared" si="38"/>
        <v>-0.62244047619047604</v>
      </c>
      <c r="V144" s="12">
        <f t="shared" si="39"/>
        <v>-0.51378845343447122</v>
      </c>
    </row>
    <row r="145" spans="1:22" x14ac:dyDescent="0.25">
      <c r="A145" s="26">
        <v>77.010000000000005</v>
      </c>
      <c r="B145">
        <v>76.66</v>
      </c>
      <c r="C145">
        <v>1.49</v>
      </c>
      <c r="D145" s="2">
        <v>45243</v>
      </c>
      <c r="E145">
        <v>76.989999999999995</v>
      </c>
      <c r="F145">
        <v>0.02</v>
      </c>
      <c r="G145">
        <v>-0.32999999999999829</v>
      </c>
      <c r="H145" s="5">
        <f t="shared" si="40"/>
        <v>2.5977399662293807E-4</v>
      </c>
      <c r="I145" s="3">
        <f t="shared" si="28"/>
        <v>0.26827682464284486</v>
      </c>
      <c r="J145" s="5">
        <f t="shared" si="41"/>
        <v>-4.2862709442784558E-3</v>
      </c>
      <c r="K145" s="3">
        <f t="shared" si="29"/>
        <v>-0.19635512898700408</v>
      </c>
      <c r="L145" s="3">
        <f t="shared" si="30"/>
        <v>-1.4255127411689978</v>
      </c>
      <c r="N145" s="12">
        <f t="shared" si="31"/>
        <v>6.4608923862394599E-4</v>
      </c>
      <c r="O145" s="12">
        <f t="shared" si="32"/>
        <v>2.2392764585413706E-4</v>
      </c>
      <c r="P145" s="12">
        <f t="shared" si="33"/>
        <v>-1.760446094729634E-5</v>
      </c>
      <c r="Q145" s="12">
        <f t="shared" si="34"/>
        <v>5.6258068617789491E-4</v>
      </c>
      <c r="R145" s="12">
        <f t="shared" si="35"/>
        <v>1.2139637962419172E-3</v>
      </c>
      <c r="S145" s="12">
        <f t="shared" si="36"/>
        <v>1.0501476524915274E-3</v>
      </c>
      <c r="T145" s="12">
        <f t="shared" si="37"/>
        <v>-0.23476190476190517</v>
      </c>
      <c r="U145" s="12">
        <f t="shared" si="38"/>
        <v>-0.60375000000000001</v>
      </c>
      <c r="V145" s="12">
        <f t="shared" si="39"/>
        <v>-0.49543615676359054</v>
      </c>
    </row>
    <row r="146" spans="1:22" x14ac:dyDescent="0.25">
      <c r="A146" s="26">
        <v>76.459999999999994</v>
      </c>
      <c r="B146">
        <v>75.8</v>
      </c>
      <c r="C146">
        <v>1.84</v>
      </c>
      <c r="D146" s="2">
        <v>45240</v>
      </c>
      <c r="E146">
        <v>76.05</v>
      </c>
      <c r="F146">
        <v>0.41</v>
      </c>
      <c r="G146">
        <v>-0.25</v>
      </c>
      <c r="H146" s="5">
        <f t="shared" si="40"/>
        <v>5.3911900065746216E-3</v>
      </c>
      <c r="I146" s="3">
        <f t="shared" si="28"/>
        <v>1.3236467851423126</v>
      </c>
      <c r="J146" s="5">
        <f t="shared" si="41"/>
        <v>-3.2873109796186721E-3</v>
      </c>
      <c r="K146" s="3">
        <f t="shared" si="29"/>
        <v>0.33467824912151434</v>
      </c>
      <c r="L146" s="3">
        <f t="shared" si="30"/>
        <v>-0.52921033266278172</v>
      </c>
      <c r="N146" s="12">
        <f t="shared" si="31"/>
        <v>-2.2381004957028458E-4</v>
      </c>
      <c r="O146" s="12">
        <f t="shared" si="32"/>
        <v>-5.0998459665570976E-4</v>
      </c>
      <c r="P146" s="12">
        <f t="shared" si="33"/>
        <v>-6.7257841845436248E-4</v>
      </c>
      <c r="Q146" s="12">
        <f t="shared" si="34"/>
        <v>5.3512713267284953E-4</v>
      </c>
      <c r="R146" s="12">
        <f t="shared" si="35"/>
        <v>1.1709949319760713E-3</v>
      </c>
      <c r="S146" s="12">
        <f t="shared" si="36"/>
        <v>9.691102437265277E-4</v>
      </c>
      <c r="T146" s="12">
        <f t="shared" si="37"/>
        <v>-0.25095238095238082</v>
      </c>
      <c r="U146" s="12">
        <f t="shared" si="38"/>
        <v>-0.60946428571428535</v>
      </c>
      <c r="V146" s="12">
        <f t="shared" si="39"/>
        <v>-0.49773704171934274</v>
      </c>
    </row>
    <row r="147" spans="1:22" x14ac:dyDescent="0.25">
      <c r="A147" s="26">
        <v>75.75</v>
      </c>
      <c r="B147">
        <v>75.319999999999993</v>
      </c>
      <c r="C147">
        <v>1.5</v>
      </c>
      <c r="D147" s="2">
        <v>45239</v>
      </c>
      <c r="E147">
        <v>75.61</v>
      </c>
      <c r="F147">
        <v>0.14000000000000001</v>
      </c>
      <c r="G147">
        <v>-0.29000000000000625</v>
      </c>
      <c r="H147" s="5">
        <f t="shared" si="40"/>
        <v>1.8516069303002251E-3</v>
      </c>
      <c r="I147" s="3">
        <f t="shared" si="28"/>
        <v>0.60272181930596613</v>
      </c>
      <c r="J147" s="5">
        <f t="shared" si="41"/>
        <v>-3.83547149847912E-3</v>
      </c>
      <c r="K147" s="3">
        <f t="shared" si="29"/>
        <v>4.9784075378361395E-2</v>
      </c>
      <c r="L147" s="3">
        <f t="shared" si="30"/>
        <v>-1.4096065132301223</v>
      </c>
      <c r="N147" s="12">
        <f t="shared" si="31"/>
        <v>-4.0574138100945385E-4</v>
      </c>
      <c r="O147" s="12">
        <f t="shared" si="32"/>
        <v>-9.1338060405736824E-4</v>
      </c>
      <c r="P147" s="12">
        <f t="shared" si="33"/>
        <v>-1.0082852558858184E-3</v>
      </c>
      <c r="Q147" s="12">
        <f t="shared" si="34"/>
        <v>4.870436699935532E-4</v>
      </c>
      <c r="R147" s="12">
        <f t="shared" si="35"/>
        <v>1.1816401570496418E-3</v>
      </c>
      <c r="S147" s="12">
        <f t="shared" si="36"/>
        <v>9.1430609941626096E-4</v>
      </c>
      <c r="T147" s="12">
        <f t="shared" si="37"/>
        <v>-0.30571428571428516</v>
      </c>
      <c r="U147" s="12">
        <f t="shared" si="38"/>
        <v>-0.64845238095238078</v>
      </c>
      <c r="V147" s="12">
        <f t="shared" si="39"/>
        <v>-0.52631268436578194</v>
      </c>
    </row>
    <row r="148" spans="1:22" x14ac:dyDescent="0.25">
      <c r="A148" s="26">
        <v>74.56</v>
      </c>
      <c r="B148">
        <v>74.5</v>
      </c>
      <c r="C148">
        <v>1.49</v>
      </c>
      <c r="D148" s="2">
        <v>45238</v>
      </c>
      <c r="E148">
        <v>74.569999999999993</v>
      </c>
      <c r="F148">
        <v>-0.01</v>
      </c>
      <c r="G148">
        <v>-6.9999999999993179E-2</v>
      </c>
      <c r="H148" s="5">
        <f t="shared" si="40"/>
        <v>-1.3410218586562962E-4</v>
      </c>
      <c r="I148" s="3">
        <f t="shared" si="28"/>
        <v>0.19693039076540672</v>
      </c>
      <c r="J148" s="5">
        <f t="shared" si="41"/>
        <v>-9.3871530105931584E-4</v>
      </c>
      <c r="K148" s="3">
        <f t="shared" si="29"/>
        <v>1.5509011257428056</v>
      </c>
      <c r="L148" s="3">
        <f t="shared" si="30"/>
        <v>-1.4476457530012803</v>
      </c>
      <c r="N148" s="12">
        <f t="shared" si="31"/>
        <v>-4.5872213341826011E-4</v>
      </c>
      <c r="O148" s="12">
        <f t="shared" si="32"/>
        <v>-7.7407096680984883E-4</v>
      </c>
      <c r="P148" s="12">
        <f t="shared" si="33"/>
        <v>-1.0322929025128593E-3</v>
      </c>
      <c r="Q148" s="12">
        <f t="shared" si="34"/>
        <v>4.9907382899900361E-4</v>
      </c>
      <c r="R148" s="12">
        <f t="shared" si="35"/>
        <v>1.2594343331053348E-3</v>
      </c>
      <c r="S148" s="12">
        <f t="shared" si="36"/>
        <v>9.427261042668938E-4</v>
      </c>
      <c r="T148" s="12">
        <f t="shared" si="37"/>
        <v>-0.27952380952380906</v>
      </c>
      <c r="U148" s="12">
        <f t="shared" si="38"/>
        <v>-0.63255952380952363</v>
      </c>
      <c r="V148" s="12">
        <f t="shared" si="39"/>
        <v>-0.51592077538980186</v>
      </c>
    </row>
    <row r="149" spans="1:22" x14ac:dyDescent="0.25">
      <c r="A149" s="26">
        <v>75.58</v>
      </c>
      <c r="B149">
        <v>75.59</v>
      </c>
      <c r="C149">
        <v>1.35</v>
      </c>
      <c r="D149" s="2">
        <v>45237</v>
      </c>
      <c r="E149">
        <v>75.97</v>
      </c>
      <c r="F149">
        <v>-0.39</v>
      </c>
      <c r="G149">
        <v>-0.37999999999999545</v>
      </c>
      <c r="H149" s="5">
        <f t="shared" si="40"/>
        <v>-5.1336053705410035E-3</v>
      </c>
      <c r="I149" s="3">
        <f t="shared" si="28"/>
        <v>-0.84098567967769899</v>
      </c>
      <c r="J149" s="5">
        <f t="shared" si="41"/>
        <v>-5.0019744636039948E-3</v>
      </c>
      <c r="K149" s="3">
        <f t="shared" si="29"/>
        <v>-0.55413329647663023</v>
      </c>
      <c r="L149" s="3">
        <f t="shared" si="30"/>
        <v>-1.8284480252375577</v>
      </c>
      <c r="N149" s="12">
        <f t="shared" si="31"/>
        <v>-6.5236859467481174E-4</v>
      </c>
      <c r="O149" s="12">
        <f t="shared" si="32"/>
        <v>-9.3768506395756478E-4</v>
      </c>
      <c r="P149" s="12">
        <f t="shared" si="33"/>
        <v>-1.2460293384457964E-3</v>
      </c>
      <c r="Q149" s="12">
        <f t="shared" si="34"/>
        <v>3.2135451693933361E-4</v>
      </c>
      <c r="R149" s="12">
        <f t="shared" si="35"/>
        <v>1.095484281352835E-3</v>
      </c>
      <c r="S149" s="12">
        <f t="shared" si="36"/>
        <v>7.7268226223583831E-4</v>
      </c>
      <c r="T149" s="12">
        <f t="shared" si="37"/>
        <v>-0.25666666666666615</v>
      </c>
      <c r="U149" s="12">
        <f t="shared" si="38"/>
        <v>-0.60452380952380924</v>
      </c>
      <c r="V149" s="12">
        <f t="shared" si="39"/>
        <v>-0.4887779182469445</v>
      </c>
    </row>
    <row r="150" spans="1:22" x14ac:dyDescent="0.25">
      <c r="A150" s="26">
        <v>76.02</v>
      </c>
      <c r="B150">
        <v>76.12</v>
      </c>
      <c r="C150">
        <v>1.29</v>
      </c>
      <c r="D150" s="2">
        <v>45236</v>
      </c>
      <c r="E150">
        <v>76.400000000000006</v>
      </c>
      <c r="F150">
        <v>-0.38</v>
      </c>
      <c r="G150">
        <v>-0.28000000000000114</v>
      </c>
      <c r="H150" s="5">
        <f t="shared" si="40"/>
        <v>-4.9738219895287955E-3</v>
      </c>
      <c r="I150" s="3">
        <f t="shared" si="28"/>
        <v>-0.81577560478150524</v>
      </c>
      <c r="J150" s="5">
        <f t="shared" si="41"/>
        <v>-3.6649214659686012E-3</v>
      </c>
      <c r="K150" s="3">
        <f t="shared" si="29"/>
        <v>0.14095652276535614</v>
      </c>
      <c r="L150" s="3">
        <f t="shared" si="30"/>
        <v>-2.0103511318622567</v>
      </c>
      <c r="N150" s="12">
        <f t="shared" si="31"/>
        <v>-2.9137749282739478E-4</v>
      </c>
      <c r="O150" s="12">
        <f t="shared" si="32"/>
        <v>-7.5099198514130816E-4</v>
      </c>
      <c r="P150" s="12">
        <f t="shared" si="33"/>
        <v>-1.0846658624503356E-3</v>
      </c>
      <c r="Q150" s="12">
        <f t="shared" si="34"/>
        <v>2.4880126399103898E-4</v>
      </c>
      <c r="R150" s="12">
        <f t="shared" si="35"/>
        <v>1.0640434442591067E-3</v>
      </c>
      <c r="S150" s="12">
        <f t="shared" si="36"/>
        <v>7.0996610878762498E-4</v>
      </c>
      <c r="T150" s="12">
        <f t="shared" si="37"/>
        <v>-0.23714285714285666</v>
      </c>
      <c r="U150" s="12">
        <f t="shared" si="38"/>
        <v>-0.57833333333333314</v>
      </c>
      <c r="V150" s="12">
        <f t="shared" si="39"/>
        <v>-0.46435735356089358</v>
      </c>
    </row>
    <row r="151" spans="1:22" x14ac:dyDescent="0.25">
      <c r="A151" s="26">
        <v>78.349999999999994</v>
      </c>
      <c r="B151">
        <v>78.3</v>
      </c>
      <c r="C151">
        <v>1.58</v>
      </c>
      <c r="D151" s="2">
        <v>45233</v>
      </c>
      <c r="E151">
        <v>78.69</v>
      </c>
      <c r="F151">
        <v>-0.34</v>
      </c>
      <c r="G151">
        <v>-0.39000000000000057</v>
      </c>
      <c r="H151" s="5">
        <f t="shared" si="40"/>
        <v>-4.3207523192273483E-3</v>
      </c>
      <c r="I151" s="3">
        <f t="shared" si="28"/>
        <v>-0.68918808603930615</v>
      </c>
      <c r="J151" s="5">
        <f t="shared" si="41"/>
        <v>-4.9561570720549064E-3</v>
      </c>
      <c r="K151" s="3">
        <f t="shared" si="29"/>
        <v>-0.53610717658003615</v>
      </c>
      <c r="L151" s="3">
        <f t="shared" si="30"/>
        <v>-1.2627760093418663</v>
      </c>
      <c r="N151" s="12">
        <f t="shared" si="31"/>
        <v>-9.4783207626726769E-5</v>
      </c>
      <c r="O151" s="12">
        <f t="shared" si="32"/>
        <v>-7.0662279586734161E-4</v>
      </c>
      <c r="P151" s="12">
        <f t="shared" si="33"/>
        <v>-9.6117447398423876E-4</v>
      </c>
      <c r="Q151" s="12">
        <f t="shared" si="34"/>
        <v>2.9144911644949419E-4</v>
      </c>
      <c r="R151" s="12">
        <f t="shared" si="35"/>
        <v>9.9322309671960856E-4</v>
      </c>
      <c r="S151" s="12">
        <f t="shared" si="36"/>
        <v>6.211671368676619E-4</v>
      </c>
      <c r="T151" s="12">
        <f t="shared" si="37"/>
        <v>-0.21809523809523723</v>
      </c>
      <c r="U151" s="12">
        <f t="shared" si="38"/>
        <v>-0.53470238095238032</v>
      </c>
      <c r="V151" s="12">
        <f t="shared" si="39"/>
        <v>-0.42160977665402455</v>
      </c>
    </row>
    <row r="152" spans="1:22" x14ac:dyDescent="0.25">
      <c r="A152" s="26">
        <v>77.88</v>
      </c>
      <c r="B152">
        <v>77.08</v>
      </c>
      <c r="C152">
        <v>1.7</v>
      </c>
      <c r="D152" s="2">
        <v>45232</v>
      </c>
      <c r="E152">
        <v>77.37</v>
      </c>
      <c r="F152">
        <v>0.51</v>
      </c>
      <c r="G152">
        <v>-0.29000000000000625</v>
      </c>
      <c r="H152" s="5">
        <f t="shared" si="40"/>
        <v>6.5917022101589758E-3</v>
      </c>
      <c r="I152" s="3">
        <f t="shared" si="28"/>
        <v>1.556759659539511</v>
      </c>
      <c r="J152" s="5">
        <f t="shared" si="41"/>
        <v>-3.7482228253845964E-3</v>
      </c>
      <c r="K152" s="3">
        <f t="shared" si="29"/>
        <v>8.6618695020549905E-2</v>
      </c>
      <c r="L152" s="3">
        <f t="shared" si="30"/>
        <v>-0.94824904707329949</v>
      </c>
      <c r="N152" s="12">
        <f t="shared" si="31"/>
        <v>-1.0060764658078266E-3</v>
      </c>
      <c r="O152" s="12">
        <f t="shared" si="32"/>
        <v>-1.0963602090417297E-3</v>
      </c>
      <c r="P152" s="12">
        <f t="shared" si="33"/>
        <v>-1.335267301423803E-3</v>
      </c>
      <c r="Q152" s="12">
        <f t="shared" si="34"/>
        <v>4.9342419371535551E-4</v>
      </c>
      <c r="R152" s="12">
        <f t="shared" si="35"/>
        <v>1.1120099849155898E-3</v>
      </c>
      <c r="S152" s="12">
        <f t="shared" si="36"/>
        <v>6.7454086485764161E-4</v>
      </c>
      <c r="T152" s="12">
        <f t="shared" si="37"/>
        <v>-0.29238095238095196</v>
      </c>
      <c r="U152" s="12">
        <f t="shared" si="38"/>
        <v>-0.53970238095238088</v>
      </c>
      <c r="V152" s="12">
        <f t="shared" si="39"/>
        <v>-0.42604719764011811</v>
      </c>
    </row>
    <row r="153" spans="1:22" x14ac:dyDescent="0.25">
      <c r="A153" s="26">
        <v>77.650000000000006</v>
      </c>
      <c r="B153">
        <v>77.7</v>
      </c>
      <c r="C153">
        <v>1.3</v>
      </c>
      <c r="D153" s="2">
        <v>45230</v>
      </c>
      <c r="E153">
        <v>78</v>
      </c>
      <c r="F153">
        <v>-0.35</v>
      </c>
      <c r="G153">
        <v>-0.29999999999999716</v>
      </c>
      <c r="H153" s="5">
        <f t="shared" si="40"/>
        <v>-4.4871794871794869E-3</v>
      </c>
      <c r="I153" s="3">
        <f t="shared" si="28"/>
        <v>-0.7216307513272322</v>
      </c>
      <c r="J153" s="5">
        <f t="shared" si="41"/>
        <v>-3.8461538461538095E-3</v>
      </c>
      <c r="K153" s="3">
        <f t="shared" si="29"/>
        <v>3.1160334131549353E-2</v>
      </c>
      <c r="L153" s="3">
        <f t="shared" si="30"/>
        <v>-2.0195411481538659</v>
      </c>
      <c r="N153" s="12">
        <f t="shared" si="31"/>
        <v>-9.5947511129120303E-4</v>
      </c>
      <c r="O153" s="12">
        <f t="shared" si="32"/>
        <v>-1.255892933606883E-3</v>
      </c>
      <c r="P153" s="12">
        <f t="shared" si="33"/>
        <v>-1.4062384525662178E-3</v>
      </c>
      <c r="Q153" s="12">
        <f t="shared" si="34"/>
        <v>6.3437013077038366E-4</v>
      </c>
      <c r="R153" s="12">
        <f t="shared" si="35"/>
        <v>1.1495707079720958E-3</v>
      </c>
      <c r="S153" s="12">
        <f t="shared" si="36"/>
        <v>6.9229496673312713E-4</v>
      </c>
      <c r="T153" s="12">
        <f t="shared" si="37"/>
        <v>-0.34523809523809534</v>
      </c>
      <c r="U153" s="12">
        <f t="shared" si="38"/>
        <v>-0.54011904761904761</v>
      </c>
      <c r="V153" s="12">
        <f t="shared" si="39"/>
        <v>-0.42324483775811217</v>
      </c>
    </row>
    <row r="154" spans="1:22" x14ac:dyDescent="0.25">
      <c r="A154" s="26">
        <v>79.78</v>
      </c>
      <c r="B154">
        <v>79.67</v>
      </c>
      <c r="C154">
        <v>1.52</v>
      </c>
      <c r="D154" s="2">
        <v>45229</v>
      </c>
      <c r="E154">
        <v>80.05</v>
      </c>
      <c r="F154">
        <v>-0.27</v>
      </c>
      <c r="G154">
        <v>-0.37999999999999545</v>
      </c>
      <c r="H154" s="5">
        <f t="shared" si="40"/>
        <v>-3.3728919425359155E-3</v>
      </c>
      <c r="I154" s="3">
        <f t="shared" si="28"/>
        <v>-0.48753918527647644</v>
      </c>
      <c r="J154" s="5">
        <f t="shared" si="41"/>
        <v>-4.7470331043097495E-3</v>
      </c>
      <c r="K154" s="3">
        <f t="shared" si="29"/>
        <v>-0.43953707765241057</v>
      </c>
      <c r="L154" s="3">
        <f t="shared" si="30"/>
        <v>-1.4598576710861997</v>
      </c>
      <c r="N154" s="12">
        <f t="shared" si="31"/>
        <v>-1.0711412588539821E-3</v>
      </c>
      <c r="O154" s="12">
        <f t="shared" si="32"/>
        <v>-9.3954623579027368E-4</v>
      </c>
      <c r="P154" s="12">
        <f t="shared" si="33"/>
        <v>-1.046838700122861E-3</v>
      </c>
      <c r="Q154" s="12">
        <f t="shared" si="34"/>
        <v>6.0606033607742398E-4</v>
      </c>
      <c r="R154" s="12">
        <f t="shared" si="35"/>
        <v>1.1035184991155045E-3</v>
      </c>
      <c r="S154" s="12">
        <f t="shared" si="36"/>
        <v>6.5105152912206705E-4</v>
      </c>
      <c r="T154" s="12">
        <f t="shared" si="37"/>
        <v>-0.35999999999999988</v>
      </c>
      <c r="U154" s="12">
        <f t="shared" si="38"/>
        <v>-0.49791666666666634</v>
      </c>
      <c r="V154" s="12">
        <f t="shared" si="39"/>
        <v>-0.38249473240623688</v>
      </c>
    </row>
    <row r="155" spans="1:22" x14ac:dyDescent="0.25">
      <c r="A155" s="26">
        <v>79.41</v>
      </c>
      <c r="B155">
        <v>79.16</v>
      </c>
      <c r="C155">
        <v>1.78</v>
      </c>
      <c r="D155" s="2">
        <v>45226</v>
      </c>
      <c r="E155">
        <v>79.48</v>
      </c>
      <c r="F155">
        <v>-7.0000000000000007E-2</v>
      </c>
      <c r="G155">
        <v>-0.32000000000000739</v>
      </c>
      <c r="H155" s="5">
        <f t="shared" si="40"/>
        <v>-8.8072471061902374E-4</v>
      </c>
      <c r="I155" s="3">
        <f t="shared" si="28"/>
        <v>1.8948395649738919E-2</v>
      </c>
      <c r="J155" s="5">
        <f t="shared" si="41"/>
        <v>-4.026170105687058E-3</v>
      </c>
      <c r="K155" s="3">
        <f t="shared" si="29"/>
        <v>-7.3155087566094956E-2</v>
      </c>
      <c r="L155" s="3">
        <f t="shared" si="30"/>
        <v>-0.77260517820818564</v>
      </c>
      <c r="N155" s="12">
        <f t="shared" si="31"/>
        <v>-1.1068261531717953E-3</v>
      </c>
      <c r="O155" s="12">
        <f t="shared" si="32"/>
        <v>-5.9166938886313133E-4</v>
      </c>
      <c r="P155" s="12">
        <f t="shared" si="33"/>
        <v>-6.1691072846809002E-4</v>
      </c>
      <c r="Q155" s="12">
        <f t="shared" si="34"/>
        <v>6.8355785958023382E-4</v>
      </c>
      <c r="R155" s="12">
        <f t="shared" si="35"/>
        <v>1.1346813419175943E-3</v>
      </c>
      <c r="S155" s="12">
        <f t="shared" si="36"/>
        <v>6.9109609142496958E-4</v>
      </c>
      <c r="T155" s="12">
        <f t="shared" si="37"/>
        <v>-0.41714285714285726</v>
      </c>
      <c r="U155" s="12">
        <f t="shared" si="38"/>
        <v>-0.49023809523809536</v>
      </c>
      <c r="V155" s="12">
        <f t="shared" si="39"/>
        <v>-0.37106616097766576</v>
      </c>
    </row>
    <row r="156" spans="1:22" x14ac:dyDescent="0.25">
      <c r="A156" s="26">
        <v>79.48</v>
      </c>
      <c r="B156">
        <v>78.83</v>
      </c>
      <c r="C156">
        <v>1.66</v>
      </c>
      <c r="D156" s="2">
        <v>45225</v>
      </c>
      <c r="E156">
        <v>79.11</v>
      </c>
      <c r="F156">
        <v>0.37</v>
      </c>
      <c r="G156">
        <v>-0.28000000000000114</v>
      </c>
      <c r="H156" s="5">
        <f t="shared" si="40"/>
        <v>4.6770319807862473E-3</v>
      </c>
      <c r="I156" s="3">
        <f t="shared" si="28"/>
        <v>1.1622512431181735</v>
      </c>
      <c r="J156" s="5">
        <f t="shared" si="41"/>
        <v>-3.5393755530274446E-3</v>
      </c>
      <c r="K156" s="3">
        <f t="shared" si="29"/>
        <v>0.17485228968297467</v>
      </c>
      <c r="L156" s="3">
        <f t="shared" si="30"/>
        <v>-1.1021461972027367</v>
      </c>
      <c r="N156" s="12">
        <f t="shared" si="31"/>
        <v>-1.0013314763318495E-3</v>
      </c>
      <c r="O156" s="12">
        <f t="shared" si="32"/>
        <v>-2.1070551621239168E-4</v>
      </c>
      <c r="P156" s="12">
        <f t="shared" si="33"/>
        <v>-3.7738741994246635E-4</v>
      </c>
      <c r="Q156" s="12">
        <f t="shared" si="34"/>
        <v>7.0103021768533422E-4</v>
      </c>
      <c r="R156" s="12">
        <f t="shared" si="35"/>
        <v>1.178183883358855E-3</v>
      </c>
      <c r="S156" s="12">
        <f t="shared" si="36"/>
        <v>6.8099124860227043E-4</v>
      </c>
      <c r="T156" s="12">
        <f t="shared" si="37"/>
        <v>-0.40333333333333354</v>
      </c>
      <c r="U156" s="12">
        <f t="shared" si="38"/>
        <v>-0.47791666666666699</v>
      </c>
      <c r="V156" s="12">
        <f t="shared" si="39"/>
        <v>-0.36124315212810809</v>
      </c>
    </row>
    <row r="157" spans="1:22" x14ac:dyDescent="0.25">
      <c r="A157" s="26">
        <v>79.849999999999994</v>
      </c>
      <c r="B157">
        <v>79.41</v>
      </c>
      <c r="C157">
        <v>1.62</v>
      </c>
      <c r="D157" s="2">
        <v>45224</v>
      </c>
      <c r="E157">
        <v>79.63</v>
      </c>
      <c r="F157">
        <v>0.22</v>
      </c>
      <c r="G157">
        <v>-0.21999999999999886</v>
      </c>
      <c r="H157" s="5">
        <f t="shared" si="40"/>
        <v>2.7627778475448955E-3</v>
      </c>
      <c r="I157" s="3">
        <f t="shared" si="28"/>
        <v>0.77701341856742079</v>
      </c>
      <c r="J157" s="5">
        <f t="shared" si="41"/>
        <v>-2.7627778475448812E-3</v>
      </c>
      <c r="K157" s="3">
        <f t="shared" si="29"/>
        <v>0.57755484032149051</v>
      </c>
      <c r="L157" s="3">
        <f t="shared" si="30"/>
        <v>-1.2169945965347573</v>
      </c>
      <c r="N157" s="12">
        <f t="shared" si="31"/>
        <v>-1.8010819796480005E-3</v>
      </c>
      <c r="O157" s="12">
        <f t="shared" si="32"/>
        <v>-9.273516452153399E-4</v>
      </c>
      <c r="P157" s="12">
        <f t="shared" si="33"/>
        <v>-9.7081732345732897E-4</v>
      </c>
      <c r="Q157" s="12">
        <f t="shared" si="34"/>
        <v>6.7645834607595913E-4</v>
      </c>
      <c r="R157" s="12">
        <f t="shared" si="35"/>
        <v>1.1424770013736783E-3</v>
      </c>
      <c r="S157" s="12">
        <f t="shared" si="36"/>
        <v>6.1311565862983124E-4</v>
      </c>
      <c r="T157" s="12">
        <f t="shared" si="37"/>
        <v>-0.44904761904761892</v>
      </c>
      <c r="U157" s="12">
        <f t="shared" si="38"/>
        <v>-0.48023809523809535</v>
      </c>
      <c r="V157" s="12">
        <f t="shared" si="39"/>
        <v>-0.35863885377159721</v>
      </c>
    </row>
    <row r="158" spans="1:22" x14ac:dyDescent="0.25">
      <c r="A158" s="26">
        <v>80.400000000000006</v>
      </c>
      <c r="B158">
        <v>79.900000000000006</v>
      </c>
      <c r="C158">
        <v>1.67</v>
      </c>
      <c r="D158" s="2">
        <v>45223</v>
      </c>
      <c r="E158">
        <v>80.150000000000006</v>
      </c>
      <c r="F158">
        <v>0.25</v>
      </c>
      <c r="G158">
        <v>-0.25</v>
      </c>
      <c r="H158" s="5">
        <f t="shared" si="40"/>
        <v>3.1191515907673111E-3</v>
      </c>
      <c r="I158" s="3">
        <f t="shared" si="28"/>
        <v>0.84630242019034951</v>
      </c>
      <c r="J158" s="5">
        <f t="shared" si="41"/>
        <v>-3.1191515907673111E-3</v>
      </c>
      <c r="K158" s="3">
        <f t="shared" si="29"/>
        <v>0.39045915053003483</v>
      </c>
      <c r="L158" s="3">
        <f t="shared" si="30"/>
        <v>-1.0927254669358977</v>
      </c>
      <c r="N158" s="12">
        <f t="shared" si="31"/>
        <v>-2.1208306279852695E-3</v>
      </c>
      <c r="O158" s="12">
        <f t="shared" si="32"/>
        <v>-1.282571714246534E-3</v>
      </c>
      <c r="P158" s="12">
        <f t="shared" si="33"/>
        <v>-1.2862391085880073E-3</v>
      </c>
      <c r="Q158" s="12">
        <f t="shared" si="34"/>
        <v>7.8521424981033497E-4</v>
      </c>
      <c r="R158" s="12">
        <f t="shared" si="35"/>
        <v>1.2068814787449342E-3</v>
      </c>
      <c r="S158" s="12">
        <f t="shared" si="36"/>
        <v>6.101283593169084E-4</v>
      </c>
      <c r="T158" s="12">
        <f t="shared" si="37"/>
        <v>-0.49714285714285711</v>
      </c>
      <c r="U158" s="12">
        <f t="shared" si="38"/>
        <v>-0.48160714285714268</v>
      </c>
      <c r="V158" s="12">
        <f t="shared" si="39"/>
        <v>-0.36013906447534727</v>
      </c>
    </row>
    <row r="159" spans="1:22" x14ac:dyDescent="0.25">
      <c r="A159" s="26">
        <v>79.92</v>
      </c>
      <c r="B159">
        <v>79.55</v>
      </c>
      <c r="C159">
        <v>1.68</v>
      </c>
      <c r="D159" s="2">
        <v>45222</v>
      </c>
      <c r="E159">
        <v>79.83</v>
      </c>
      <c r="F159">
        <v>0.09</v>
      </c>
      <c r="G159">
        <v>-0.28000000000000114</v>
      </c>
      <c r="H159" s="5">
        <f t="shared" si="40"/>
        <v>1.1273957158962795E-3</v>
      </c>
      <c r="I159" s="3">
        <f t="shared" si="28"/>
        <v>0.43441483167910394</v>
      </c>
      <c r="J159" s="5">
        <f t="shared" si="41"/>
        <v>-3.5074533383439954E-3</v>
      </c>
      <c r="K159" s="3">
        <f t="shared" si="29"/>
        <v>0.18592240010009745</v>
      </c>
      <c r="L159" s="3">
        <f t="shared" si="30"/>
        <v>-1.0750618067354651</v>
      </c>
      <c r="N159" s="12">
        <f t="shared" si="31"/>
        <v>-1.9285578156028652E-3</v>
      </c>
      <c r="O159" s="12">
        <f t="shared" si="32"/>
        <v>-1.0949890073172583E-3</v>
      </c>
      <c r="P159" s="12">
        <f t="shared" si="33"/>
        <v>-1.1969105878438615E-3</v>
      </c>
      <c r="Q159" s="12">
        <f t="shared" si="34"/>
        <v>7.1971116825305433E-4</v>
      </c>
      <c r="R159" s="12">
        <f t="shared" si="35"/>
        <v>1.1301878552812195E-3</v>
      </c>
      <c r="S159" s="12">
        <f t="shared" si="36"/>
        <v>5.149175603848255E-4</v>
      </c>
      <c r="T159" s="12">
        <f t="shared" si="37"/>
        <v>-0.45904761904761782</v>
      </c>
      <c r="U159" s="12">
        <f t="shared" si="38"/>
        <v>-0.44678571428571368</v>
      </c>
      <c r="V159" s="12">
        <f t="shared" si="39"/>
        <v>-0.33042983565107398</v>
      </c>
    </row>
    <row r="160" spans="1:22" x14ac:dyDescent="0.25">
      <c r="A160" s="26">
        <v>81.19</v>
      </c>
      <c r="B160">
        <v>80.599999999999994</v>
      </c>
      <c r="C160">
        <v>1.82</v>
      </c>
      <c r="D160" s="2">
        <v>45219</v>
      </c>
      <c r="E160">
        <v>80.989999999999995</v>
      </c>
      <c r="F160">
        <v>0.2</v>
      </c>
      <c r="G160">
        <v>-0.39000000000000057</v>
      </c>
      <c r="H160" s="5">
        <f t="shared" si="40"/>
        <v>2.4694406716878631E-3</v>
      </c>
      <c r="I160" s="3">
        <f t="shared" si="28"/>
        <v>0.70456030809238324</v>
      </c>
      <c r="J160" s="5">
        <f t="shared" si="41"/>
        <v>-4.8154093097913398E-3</v>
      </c>
      <c r="K160" s="3">
        <f t="shared" si="29"/>
        <v>-0.48816797619814528</v>
      </c>
      <c r="L160" s="3">
        <f t="shared" si="30"/>
        <v>-0.70802208010173884</v>
      </c>
      <c r="N160" s="12">
        <f t="shared" si="31"/>
        <v>-1.2198467052145698E-3</v>
      </c>
      <c r="O160" s="12">
        <f t="shared" si="32"/>
        <v>-1.0691208035084193E-3</v>
      </c>
      <c r="P160" s="12">
        <f t="shared" si="33"/>
        <v>-9.6955698867590796E-4</v>
      </c>
      <c r="Q160" s="12">
        <f t="shared" si="34"/>
        <v>5.8738099314759387E-4</v>
      </c>
      <c r="R160" s="12">
        <f t="shared" si="35"/>
        <v>9.9846117700788575E-4</v>
      </c>
      <c r="S160" s="12">
        <f t="shared" si="36"/>
        <v>3.9766117858915789E-4</v>
      </c>
      <c r="T160" s="12">
        <f t="shared" si="37"/>
        <v>-0.46285714285714241</v>
      </c>
      <c r="U160" s="12">
        <f t="shared" si="38"/>
        <v>-0.43702380952380948</v>
      </c>
      <c r="V160" s="12">
        <f t="shared" si="39"/>
        <v>-0.32009270965023151</v>
      </c>
    </row>
    <row r="161" spans="1:22" x14ac:dyDescent="0.25">
      <c r="A161" s="26">
        <v>79.989999999999995</v>
      </c>
      <c r="B161">
        <v>80.55</v>
      </c>
      <c r="C161">
        <v>1.52</v>
      </c>
      <c r="D161" s="2">
        <v>45218</v>
      </c>
      <c r="E161">
        <v>80.87</v>
      </c>
      <c r="F161">
        <v>-0.88</v>
      </c>
      <c r="G161">
        <v>-0.32000000000000739</v>
      </c>
      <c r="H161" s="5">
        <f t="shared" si="40"/>
        <v>-1.0881661926548781E-2</v>
      </c>
      <c r="I161" s="3">
        <f t="shared" si="28"/>
        <v>-2.0320192343962589</v>
      </c>
      <c r="J161" s="5">
        <f t="shared" si="41"/>
        <v>-3.9569679732905571E-3</v>
      </c>
      <c r="K161" s="3">
        <f t="shared" si="29"/>
        <v>-4.9294435421630402E-2</v>
      </c>
      <c r="L161" s="3">
        <f t="shared" si="30"/>
        <v>-1.5190327073984797</v>
      </c>
      <c r="N161" s="12">
        <f t="shared" si="31"/>
        <v>-1.7486421306786011E-3</v>
      </c>
      <c r="O161" s="12">
        <f t="shared" si="32"/>
        <v>-1.4349120704556259E-3</v>
      </c>
      <c r="P161" s="12">
        <f t="shared" si="33"/>
        <v>-1.1230945002540537E-3</v>
      </c>
      <c r="Q161" s="12">
        <f t="shared" si="34"/>
        <v>7.979441620738735E-4</v>
      </c>
      <c r="R161" s="12">
        <f t="shared" si="35"/>
        <v>1.073760098871627E-3</v>
      </c>
      <c r="S161" s="12">
        <f t="shared" si="36"/>
        <v>4.6157403295727078E-4</v>
      </c>
      <c r="T161" s="12">
        <f t="shared" si="37"/>
        <v>-0.51333333333333253</v>
      </c>
      <c r="U161" s="12">
        <f t="shared" si="38"/>
        <v>-0.4408333333333323</v>
      </c>
      <c r="V161" s="12">
        <f t="shared" si="39"/>
        <v>-0.32238516645596182</v>
      </c>
    </row>
    <row r="162" spans="1:22" x14ac:dyDescent="0.25">
      <c r="A162" s="26">
        <v>81.69</v>
      </c>
      <c r="B162">
        <v>81.680000000000007</v>
      </c>
      <c r="C162">
        <v>1.77</v>
      </c>
      <c r="D162" s="2">
        <v>45216</v>
      </c>
      <c r="E162">
        <v>81.94</v>
      </c>
      <c r="F162">
        <v>-0.25</v>
      </c>
      <c r="G162">
        <v>-0.25999999999999091</v>
      </c>
      <c r="H162" s="5">
        <f t="shared" si="40"/>
        <v>-3.0510129362948499E-3</v>
      </c>
      <c r="I162" s="3">
        <f t="shared" si="28"/>
        <v>-0.43621255953226001</v>
      </c>
      <c r="J162" s="5">
        <f t="shared" si="41"/>
        <v>-3.1730534537465329E-3</v>
      </c>
      <c r="K162" s="3">
        <f t="shared" si="29"/>
        <v>0.35558830041228268</v>
      </c>
      <c r="L162" s="3">
        <f t="shared" si="30"/>
        <v>-0.86278943802041164</v>
      </c>
      <c r="N162" s="12">
        <f t="shared" si="31"/>
        <v>-1.7332641193146619E-3</v>
      </c>
      <c r="O162" s="12">
        <f t="shared" si="32"/>
        <v>-1.1228331192052123E-3</v>
      </c>
      <c r="P162" s="12">
        <f t="shared" si="33"/>
        <v>-8.7092343767570591E-4</v>
      </c>
      <c r="Q162" s="12">
        <f t="shared" si="34"/>
        <v>8.5879148262315436E-4</v>
      </c>
      <c r="R162" s="12">
        <f t="shared" si="35"/>
        <v>1.0232875803252344E-3</v>
      </c>
      <c r="S162" s="12">
        <f t="shared" si="36"/>
        <v>4.2639858960177596E-4</v>
      </c>
      <c r="T162" s="12">
        <f t="shared" si="37"/>
        <v>-0.5609523809523802</v>
      </c>
      <c r="U162" s="12">
        <f t="shared" si="38"/>
        <v>-0.43357142857142783</v>
      </c>
      <c r="V162" s="12">
        <f t="shared" si="39"/>
        <v>-0.31867256637168051</v>
      </c>
    </row>
    <row r="163" spans="1:22" x14ac:dyDescent="0.25">
      <c r="A163" s="26">
        <v>83.4</v>
      </c>
      <c r="B163">
        <v>83.08</v>
      </c>
      <c r="C163">
        <v>1.88</v>
      </c>
      <c r="D163" s="2">
        <v>45215</v>
      </c>
      <c r="E163">
        <v>83.32</v>
      </c>
      <c r="F163">
        <v>0.08</v>
      </c>
      <c r="G163">
        <v>-0.23999999999999488</v>
      </c>
      <c r="H163" s="5">
        <f t="shared" si="40"/>
        <v>9.6015362457993285E-4</v>
      </c>
      <c r="I163" s="3">
        <f t="shared" si="28"/>
        <v>0.38792739876550614</v>
      </c>
      <c r="J163" s="5">
        <f t="shared" si="41"/>
        <v>-2.8804608737397373E-3</v>
      </c>
      <c r="K163" s="3">
        <f t="shared" si="29"/>
        <v>0.49923490749062949</v>
      </c>
      <c r="L163" s="3">
        <f t="shared" si="30"/>
        <v>-0.57390769397602059</v>
      </c>
      <c r="N163" s="12">
        <f t="shared" si="31"/>
        <v>-1.6315088552557432E-3</v>
      </c>
      <c r="O163" s="12">
        <f t="shared" si="32"/>
        <v>-9.829854379061133E-4</v>
      </c>
      <c r="P163" s="12">
        <f t="shared" si="33"/>
        <v>-6.4261366184827995E-4</v>
      </c>
      <c r="Q163" s="12">
        <f t="shared" si="34"/>
        <v>8.5598215939291719E-4</v>
      </c>
      <c r="R163" s="12">
        <f t="shared" si="35"/>
        <v>1.0227845066432236E-3</v>
      </c>
      <c r="S163" s="12">
        <f t="shared" si="36"/>
        <v>3.560679295513472E-4</v>
      </c>
      <c r="T163" s="12">
        <f t="shared" si="37"/>
        <v>-0.55285714285714271</v>
      </c>
      <c r="U163" s="12">
        <f t="shared" si="38"/>
        <v>-0.39916666666666623</v>
      </c>
      <c r="V163" s="12">
        <f t="shared" si="39"/>
        <v>-0.27882848714707076</v>
      </c>
    </row>
    <row r="164" spans="1:22" x14ac:dyDescent="0.25">
      <c r="A164" s="26">
        <v>84.61</v>
      </c>
      <c r="B164">
        <v>84.37</v>
      </c>
      <c r="C164">
        <v>2.13</v>
      </c>
      <c r="D164" s="2">
        <v>45212</v>
      </c>
      <c r="E164">
        <v>84.75</v>
      </c>
      <c r="F164">
        <v>-0.14000000000000001</v>
      </c>
      <c r="G164">
        <v>-0.37999999999999545</v>
      </c>
      <c r="H164" s="5">
        <f t="shared" si="40"/>
        <v>-1.6519174041297936E-3</v>
      </c>
      <c r="I164" s="3">
        <f t="shared" si="28"/>
        <v>-0.15078695898704145</v>
      </c>
      <c r="J164" s="5">
        <f t="shared" si="41"/>
        <v>-4.4837758112093859E-3</v>
      </c>
      <c r="K164" s="3">
        <f t="shared" si="29"/>
        <v>-0.32017609494729798</v>
      </c>
      <c r="L164" s="3">
        <f t="shared" si="30"/>
        <v>8.0997400928215973E-2</v>
      </c>
      <c r="N164" s="12">
        <f t="shared" si="31"/>
        <v>-1.7471299758670203E-3</v>
      </c>
      <c r="O164" s="12">
        <f t="shared" si="32"/>
        <v>-1.1563402441517774E-3</v>
      </c>
      <c r="P164" s="12">
        <f t="shared" si="33"/>
        <v>-6.6968772674688075E-4</v>
      </c>
      <c r="Q164" s="12">
        <f t="shared" si="34"/>
        <v>9.7630508047375289E-4</v>
      </c>
      <c r="R164" s="12">
        <f t="shared" si="35"/>
        <v>9.3145153072593957E-4</v>
      </c>
      <c r="S164" s="12">
        <f t="shared" si="36"/>
        <v>2.9410245323475449E-4</v>
      </c>
      <c r="T164" s="12">
        <f t="shared" si="37"/>
        <v>-0.61380952380952358</v>
      </c>
      <c r="U164" s="12">
        <f t="shared" si="38"/>
        <v>-0.40083333333333293</v>
      </c>
      <c r="V164" s="12">
        <f t="shared" si="39"/>
        <v>-0.27746734091866765</v>
      </c>
    </row>
    <row r="165" spans="1:22" x14ac:dyDescent="0.25">
      <c r="A165" s="26">
        <v>83.35</v>
      </c>
      <c r="B165">
        <v>83.06</v>
      </c>
      <c r="C165">
        <v>1.76</v>
      </c>
      <c r="D165" s="2">
        <v>45211</v>
      </c>
      <c r="E165">
        <v>83.43</v>
      </c>
      <c r="F165">
        <v>-0.08</v>
      </c>
      <c r="G165">
        <v>-0.37000000000000455</v>
      </c>
      <c r="H165" s="5">
        <f t="shared" si="40"/>
        <v>-9.5888769027927597E-4</v>
      </c>
      <c r="I165" s="3">
        <f t="shared" si="28"/>
        <v>-9.3517843365127171E-3</v>
      </c>
      <c r="J165" s="5">
        <f t="shared" si="41"/>
        <v>-4.434855567541706E-3</v>
      </c>
      <c r="K165" s="3">
        <f t="shared" si="29"/>
        <v>-0.30192145329134829</v>
      </c>
      <c r="L165" s="3">
        <f t="shared" si="30"/>
        <v>-0.89910703750302923</v>
      </c>
      <c r="N165" s="12">
        <f t="shared" si="31"/>
        <v>-1.6725919433889717E-3</v>
      </c>
      <c r="O165" s="12">
        <f t="shared" si="32"/>
        <v>-1.0087021160207074E-3</v>
      </c>
      <c r="P165" s="12">
        <f t="shared" si="33"/>
        <v>-5.2027993555472181E-4</v>
      </c>
      <c r="Q165" s="12">
        <f t="shared" si="34"/>
        <v>1.0431753193093987E-3</v>
      </c>
      <c r="R165" s="12">
        <f t="shared" si="35"/>
        <v>9.6254269024556149E-4</v>
      </c>
      <c r="S165" s="12">
        <f t="shared" si="36"/>
        <v>3.2242872955666035E-4</v>
      </c>
      <c r="T165" s="12">
        <f t="shared" si="37"/>
        <v>-0.67666666666666675</v>
      </c>
      <c r="U165" s="12">
        <f t="shared" si="38"/>
        <v>-0.41934523809523805</v>
      </c>
      <c r="V165" s="12">
        <f t="shared" si="39"/>
        <v>-0.29523809523809463</v>
      </c>
    </row>
    <row r="166" spans="1:22" x14ac:dyDescent="0.25">
      <c r="A166" s="26">
        <v>82.68</v>
      </c>
      <c r="B166">
        <v>83.23</v>
      </c>
      <c r="C166">
        <v>1.49</v>
      </c>
      <c r="D166" s="2">
        <v>45210</v>
      </c>
      <c r="E166">
        <v>83.68</v>
      </c>
      <c r="F166">
        <v>-1</v>
      </c>
      <c r="G166">
        <v>-0.45000000000000284</v>
      </c>
      <c r="H166" s="5">
        <f t="shared" si="40"/>
        <v>-1.1950286806883365E-2</v>
      </c>
      <c r="I166" s="3">
        <f t="shared" si="28"/>
        <v>-2.2705596717988277</v>
      </c>
      <c r="J166" s="5">
        <f t="shared" si="41"/>
        <v>-5.3776290630975481E-3</v>
      </c>
      <c r="K166" s="3">
        <f t="shared" si="29"/>
        <v>-0.78457049193602957</v>
      </c>
      <c r="L166" s="3">
        <f t="shared" si="30"/>
        <v>-1.6168601156297597</v>
      </c>
      <c r="N166" s="12">
        <f t="shared" si="31"/>
        <v>-1.4509904127384531E-3</v>
      </c>
      <c r="O166" s="12">
        <f t="shared" si="32"/>
        <v>-9.6701376499405342E-4</v>
      </c>
      <c r="P166" s="12">
        <f t="shared" si="33"/>
        <v>-4.0172336912140064E-4</v>
      </c>
      <c r="Q166" s="12">
        <f t="shared" si="34"/>
        <v>9.6785171773176425E-4</v>
      </c>
      <c r="R166" s="12">
        <f t="shared" si="35"/>
        <v>9.1660637893381091E-4</v>
      </c>
      <c r="S166" s="12">
        <f t="shared" si="36"/>
        <v>2.7931491681123383E-4</v>
      </c>
      <c r="T166" s="12">
        <f t="shared" si="37"/>
        <v>-0.68571428571428572</v>
      </c>
      <c r="U166" s="12">
        <f t="shared" si="38"/>
        <v>-0.40255952380952364</v>
      </c>
      <c r="V166" s="12">
        <f t="shared" si="39"/>
        <v>-0.27244416350610989</v>
      </c>
    </row>
    <row r="167" spans="1:22" x14ac:dyDescent="0.25">
      <c r="A167" s="26">
        <v>81.819999999999993</v>
      </c>
      <c r="B167">
        <v>81.540000000000006</v>
      </c>
      <c r="C167">
        <v>1.37</v>
      </c>
      <c r="D167" s="2">
        <v>45209</v>
      </c>
      <c r="E167">
        <v>81.88</v>
      </c>
      <c r="F167">
        <v>-0.06</v>
      </c>
      <c r="G167">
        <v>-0.3399999999999892</v>
      </c>
      <c r="H167" s="5">
        <f t="shared" si="40"/>
        <v>-7.3277967757694185E-4</v>
      </c>
      <c r="I167" s="3">
        <f t="shared" si="28"/>
        <v>1.7351848392267694E-2</v>
      </c>
      <c r="J167" s="5">
        <f t="shared" si="41"/>
        <v>-4.152418172935872E-3</v>
      </c>
      <c r="K167" s="3">
        <f t="shared" si="29"/>
        <v>-0.16456402493185476</v>
      </c>
      <c r="L167" s="3">
        <f t="shared" si="30"/>
        <v>-1.950615621811564</v>
      </c>
      <c r="N167" s="12">
        <f t="shared" si="31"/>
        <v>-1.2586354746457415E-3</v>
      </c>
      <c r="O167" s="12">
        <f t="shared" si="32"/>
        <v>-8.2933299208458626E-4</v>
      </c>
      <c r="P167" s="12">
        <f t="shared" si="33"/>
        <v>-1.3767644810111501E-4</v>
      </c>
      <c r="Q167" s="12">
        <f t="shared" si="34"/>
        <v>9.4522825755588829E-4</v>
      </c>
      <c r="R167" s="12">
        <f t="shared" si="35"/>
        <v>9.0699255072918678E-4</v>
      </c>
      <c r="S167" s="12">
        <f t="shared" si="36"/>
        <v>2.2940605393608447E-4</v>
      </c>
      <c r="T167" s="12">
        <f t="shared" si="37"/>
        <v>-0.70285714285714329</v>
      </c>
      <c r="U167" s="12">
        <f t="shared" si="38"/>
        <v>-0.39029761904761973</v>
      </c>
      <c r="V167" s="12">
        <f t="shared" si="39"/>
        <v>-0.25811209439528016</v>
      </c>
    </row>
    <row r="168" spans="1:22" x14ac:dyDescent="0.25">
      <c r="A168" s="26">
        <v>80.430000000000007</v>
      </c>
      <c r="B168">
        <v>80.02</v>
      </c>
      <c r="C168">
        <v>1.8</v>
      </c>
      <c r="D168" s="2">
        <v>45208</v>
      </c>
      <c r="E168">
        <v>80.27</v>
      </c>
      <c r="F168">
        <v>0.16</v>
      </c>
      <c r="G168">
        <v>-0.25</v>
      </c>
      <c r="H168" s="5">
        <f t="shared" si="40"/>
        <v>1.9932727046219011E-3</v>
      </c>
      <c r="I168" s="3">
        <f t="shared" si="28"/>
        <v>0.5852646552178945</v>
      </c>
      <c r="J168" s="5">
        <f t="shared" si="41"/>
        <v>-3.1144886009717206E-3</v>
      </c>
      <c r="K168" s="3">
        <f t="shared" si="29"/>
        <v>0.35979227301204331</v>
      </c>
      <c r="L168" s="3">
        <f t="shared" si="30"/>
        <v>-0.82328637988172348</v>
      </c>
      <c r="N168" s="12">
        <f t="shared" si="31"/>
        <v>-1.3761478157071837E-3</v>
      </c>
      <c r="O168" s="12">
        <f t="shared" si="32"/>
        <v>-9.5693328150479016E-4</v>
      </c>
      <c r="P168" s="12">
        <f t="shared" si="33"/>
        <v>-3.0301308166459423E-4</v>
      </c>
      <c r="Q168" s="12">
        <f t="shared" si="34"/>
        <v>1.0860616997191595E-3</v>
      </c>
      <c r="R168" s="12">
        <f t="shared" si="35"/>
        <v>9.6403719017345429E-4</v>
      </c>
      <c r="S168" s="12">
        <f t="shared" si="36"/>
        <v>1.9460511177262375E-4</v>
      </c>
      <c r="T168" s="12">
        <f t="shared" si="37"/>
        <v>-0.75285714285714378</v>
      </c>
      <c r="U168" s="12">
        <f t="shared" si="38"/>
        <v>-0.35738095238095346</v>
      </c>
      <c r="V168" s="12">
        <f t="shared" si="39"/>
        <v>-0.22590813316477054</v>
      </c>
    </row>
    <row r="169" spans="1:22" x14ac:dyDescent="0.25">
      <c r="A169" s="26">
        <v>79.95</v>
      </c>
      <c r="B169">
        <v>79.84</v>
      </c>
      <c r="C169">
        <v>2.06</v>
      </c>
      <c r="D169" s="2">
        <v>45205</v>
      </c>
      <c r="E169">
        <v>80.2</v>
      </c>
      <c r="F169">
        <v>-0.25</v>
      </c>
      <c r="G169">
        <v>-0.35999999999999943</v>
      </c>
      <c r="H169" s="5">
        <f t="shared" si="40"/>
        <v>-3.1172069825436406E-3</v>
      </c>
      <c r="I169" s="3">
        <f t="shared" si="28"/>
        <v>-0.4721555539379742</v>
      </c>
      <c r="J169" s="5">
        <f t="shared" si="41"/>
        <v>-4.4887780548628353E-3</v>
      </c>
      <c r="K169" s="3">
        <f t="shared" si="29"/>
        <v>-0.33352876828521905</v>
      </c>
      <c r="L169" s="3">
        <f t="shared" si="30"/>
        <v>-0.13641811267348644</v>
      </c>
      <c r="N169" s="12">
        <f t="shared" si="31"/>
        <v>-1.048018706810574E-3</v>
      </c>
      <c r="O169" s="12">
        <f t="shared" si="32"/>
        <v>-9.0174288608602668E-4</v>
      </c>
      <c r="P169" s="12">
        <f t="shared" si="33"/>
        <v>-1.8922713804634934E-4</v>
      </c>
      <c r="Q169" s="12">
        <f t="shared" si="34"/>
        <v>1.3065673901065944E-3</v>
      </c>
      <c r="R169" s="12">
        <f t="shared" si="35"/>
        <v>1.0404255982593858E-3</v>
      </c>
      <c r="S169" s="12">
        <f t="shared" si="36"/>
        <v>1.8024828295375075E-4</v>
      </c>
      <c r="T169" s="12">
        <f t="shared" si="37"/>
        <v>-0.83904761904761949</v>
      </c>
      <c r="U169" s="12">
        <f t="shared" si="38"/>
        <v>-0.37982142857142942</v>
      </c>
      <c r="V169" s="12">
        <f t="shared" si="39"/>
        <v>-0.24338811630847057</v>
      </c>
    </row>
    <row r="170" spans="1:22" x14ac:dyDescent="0.25">
      <c r="A170" s="26">
        <v>80.5</v>
      </c>
      <c r="B170">
        <v>80.11</v>
      </c>
      <c r="C170">
        <v>1.9</v>
      </c>
      <c r="D170" s="2">
        <v>45204</v>
      </c>
      <c r="E170">
        <v>80.540000000000006</v>
      </c>
      <c r="F170">
        <v>-0.04</v>
      </c>
      <c r="G170">
        <v>-0.43000000000000682</v>
      </c>
      <c r="H170" s="5">
        <f t="shared" si="40"/>
        <v>-4.966476285075738E-4</v>
      </c>
      <c r="I170" s="3">
        <f t="shared" si="28"/>
        <v>7.210130712063112E-2</v>
      </c>
      <c r="J170" s="5">
        <f t="shared" si="41"/>
        <v>-5.3389620064565038E-3</v>
      </c>
      <c r="K170" s="3">
        <f t="shared" si="29"/>
        <v>-0.75525876601979658</v>
      </c>
      <c r="L170" s="3">
        <f t="shared" si="30"/>
        <v>-0.5514721863633486</v>
      </c>
      <c r="N170" s="12">
        <f t="shared" si="31"/>
        <v>-1.081640847711729E-3</v>
      </c>
      <c r="O170" s="12">
        <f t="shared" si="32"/>
        <v>-7.9712556012722941E-4</v>
      </c>
      <c r="P170" s="12">
        <f t="shared" si="33"/>
        <v>-1.4336163464209674E-4</v>
      </c>
      <c r="Q170" s="12">
        <f t="shared" si="34"/>
        <v>1.3136536671323369E-3</v>
      </c>
      <c r="R170" s="12">
        <f t="shared" si="35"/>
        <v>1.0353801580066015E-3</v>
      </c>
      <c r="S170" s="12">
        <f t="shared" si="36"/>
        <v>1.5811323094372561E-4</v>
      </c>
      <c r="T170" s="12">
        <f t="shared" si="37"/>
        <v>-0.87333333333333374</v>
      </c>
      <c r="U170" s="12">
        <f t="shared" si="38"/>
        <v>-0.36928571428571488</v>
      </c>
      <c r="V170" s="12">
        <f t="shared" si="39"/>
        <v>-0.23857142857142866</v>
      </c>
    </row>
    <row r="171" spans="1:22" x14ac:dyDescent="0.25">
      <c r="A171" s="26">
        <v>78.78</v>
      </c>
      <c r="B171">
        <v>78.52</v>
      </c>
      <c r="C171">
        <v>2.21</v>
      </c>
      <c r="D171" s="2">
        <v>45203</v>
      </c>
      <c r="E171">
        <v>78.91</v>
      </c>
      <c r="F171">
        <v>-0.13</v>
      </c>
      <c r="G171">
        <v>-0.39000000000000057</v>
      </c>
      <c r="H171" s="5">
        <f t="shared" si="40"/>
        <v>-1.6474464579901153E-3</v>
      </c>
      <c r="I171" s="3">
        <f t="shared" si="28"/>
        <v>-0.16069378066227408</v>
      </c>
      <c r="J171" s="5">
        <f t="shared" si="41"/>
        <v>-4.9423393739703534E-3</v>
      </c>
      <c r="K171" s="3">
        <f t="shared" si="29"/>
        <v>-0.56071237126805973</v>
      </c>
      <c r="L171" s="3">
        <f t="shared" si="30"/>
        <v>0.2714535927593496</v>
      </c>
      <c r="N171" s="12">
        <f t="shared" si="31"/>
        <v>-1.5436170829827363E-3</v>
      </c>
      <c r="O171" s="12">
        <f t="shared" si="32"/>
        <v>-8.6960979215815084E-4</v>
      </c>
      <c r="P171" s="12">
        <f t="shared" si="33"/>
        <v>-2.8641732946717096E-4</v>
      </c>
      <c r="Q171" s="12">
        <f t="shared" si="34"/>
        <v>1.3529545982271596E-3</v>
      </c>
      <c r="R171" s="12">
        <f t="shared" si="35"/>
        <v>1.1038288878842898E-3</v>
      </c>
      <c r="S171" s="12">
        <f t="shared" si="36"/>
        <v>2.0260707725118423E-4</v>
      </c>
      <c r="T171" s="12">
        <f t="shared" si="37"/>
        <v>-0.9004761904761911</v>
      </c>
      <c r="U171" s="12">
        <f t="shared" si="38"/>
        <v>-0.35958333333333403</v>
      </c>
      <c r="V171" s="12">
        <f t="shared" si="39"/>
        <v>-0.22969237252423103</v>
      </c>
    </row>
    <row r="172" spans="1:22" x14ac:dyDescent="0.25">
      <c r="A172" s="26">
        <v>79.17</v>
      </c>
      <c r="B172">
        <v>79.7</v>
      </c>
      <c r="C172">
        <v>1.55</v>
      </c>
      <c r="D172" s="2">
        <v>45202</v>
      </c>
      <c r="E172">
        <v>79.98</v>
      </c>
      <c r="F172">
        <v>-0.81</v>
      </c>
      <c r="G172">
        <v>-0.28000000000000114</v>
      </c>
      <c r="H172" s="5">
        <f t="shared" si="40"/>
        <v>-1.0127531882970742E-2</v>
      </c>
      <c r="I172" s="3">
        <f t="shared" si="28"/>
        <v>-1.9015230960267819</v>
      </c>
      <c r="J172" s="5">
        <f t="shared" si="41"/>
        <v>-3.5008752188047153E-3</v>
      </c>
      <c r="K172" s="3">
        <f t="shared" si="29"/>
        <v>0.15798311701494683</v>
      </c>
      <c r="L172" s="3">
        <f t="shared" si="30"/>
        <v>-1.4636592039638909</v>
      </c>
      <c r="N172" s="12">
        <f t="shared" si="31"/>
        <v>-1.5396181116934236E-3</v>
      </c>
      <c r="O172" s="12">
        <f t="shared" si="32"/>
        <v>-7.6615604778047482E-4</v>
      </c>
      <c r="P172" s="12">
        <f t="shared" si="33"/>
        <v>-3.8371329763394238E-4</v>
      </c>
      <c r="Q172" s="12">
        <f t="shared" si="34"/>
        <v>1.1790348772858792E-3</v>
      </c>
      <c r="R172" s="12">
        <f t="shared" si="35"/>
        <v>1.0189560671838901E-3</v>
      </c>
      <c r="S172" s="12">
        <f t="shared" si="36"/>
        <v>4.4907162976452926E-5</v>
      </c>
      <c r="T172" s="12">
        <f t="shared" si="37"/>
        <v>-0.85000000000000075</v>
      </c>
      <c r="U172" s="12">
        <f t="shared" si="38"/>
        <v>-0.31642857142857239</v>
      </c>
      <c r="V172" s="12">
        <f t="shared" si="39"/>
        <v>-0.19820480404551222</v>
      </c>
    </row>
    <row r="173" spans="1:22" x14ac:dyDescent="0.25">
      <c r="A173" s="26">
        <v>80.95</v>
      </c>
      <c r="B173">
        <v>80.37</v>
      </c>
      <c r="C173">
        <v>1.77</v>
      </c>
      <c r="D173" s="2">
        <v>45201</v>
      </c>
      <c r="E173">
        <v>80.64</v>
      </c>
      <c r="F173">
        <v>0.31</v>
      </c>
      <c r="G173">
        <v>-0.26999999999999602</v>
      </c>
      <c r="H173" s="5">
        <f t="shared" si="40"/>
        <v>3.8442460317460315E-3</v>
      </c>
      <c r="I173" s="3">
        <f t="shared" si="28"/>
        <v>0.97120943982934238</v>
      </c>
      <c r="J173" s="5">
        <f t="shared" si="41"/>
        <v>-3.3482142857142365E-3</v>
      </c>
      <c r="K173" s="3">
        <f t="shared" si="29"/>
        <v>0.2353034405439475</v>
      </c>
      <c r="L173" s="3">
        <f t="shared" si="30"/>
        <v>-0.8873748637851212</v>
      </c>
      <c r="N173" s="12">
        <f t="shared" si="31"/>
        <v>-5.0280846535550531E-4</v>
      </c>
      <c r="O173" s="12">
        <f t="shared" si="32"/>
        <v>-1.2433651607618543E-4</v>
      </c>
      <c r="P173" s="12">
        <f t="shared" si="33"/>
        <v>3.2635127797401751E-4</v>
      </c>
      <c r="Q173" s="12">
        <f t="shared" si="34"/>
        <v>9.9648782883241319E-4</v>
      </c>
      <c r="R173" s="12">
        <f t="shared" si="35"/>
        <v>8.606408450492686E-4</v>
      </c>
      <c r="S173" s="12">
        <f t="shared" si="36"/>
        <v>-1.0001681681131441E-4</v>
      </c>
      <c r="T173" s="12">
        <f t="shared" si="37"/>
        <v>-0.72285714285714331</v>
      </c>
      <c r="U173" s="12">
        <f t="shared" si="38"/>
        <v>-0.22392857142857236</v>
      </c>
      <c r="V173" s="12">
        <f t="shared" si="39"/>
        <v>-0.11720606826801516</v>
      </c>
    </row>
    <row r="174" spans="1:22" x14ac:dyDescent="0.25">
      <c r="A174" s="26">
        <v>81.650000000000006</v>
      </c>
      <c r="B174">
        <v>81.14</v>
      </c>
      <c r="C174">
        <v>2.1</v>
      </c>
      <c r="D174" s="2">
        <v>45198</v>
      </c>
      <c r="E174">
        <v>81.53</v>
      </c>
      <c r="F174">
        <v>0.12</v>
      </c>
      <c r="G174">
        <v>-0.39000000000000057</v>
      </c>
      <c r="H174" s="5">
        <f t="shared" si="40"/>
        <v>1.471850852446952E-3</v>
      </c>
      <c r="I174" s="3">
        <f t="shared" si="28"/>
        <v>0.48905615316365408</v>
      </c>
      <c r="J174" s="5">
        <f t="shared" si="41"/>
        <v>-4.7835152704526008E-3</v>
      </c>
      <c r="K174" s="3">
        <f t="shared" si="29"/>
        <v>-0.47664480920675123</v>
      </c>
      <c r="L174" s="3">
        <f t="shared" si="30"/>
        <v>-1.1288131718636097E-2</v>
      </c>
      <c r="N174" s="12">
        <f t="shared" si="31"/>
        <v>-4.484723155390955E-4</v>
      </c>
      <c r="O174" s="12">
        <f t="shared" si="32"/>
        <v>-3.385635427015585E-4</v>
      </c>
      <c r="P174" s="12">
        <f t="shared" si="33"/>
        <v>1.0126046792429712E-4</v>
      </c>
      <c r="Q174" s="12">
        <f t="shared" si="34"/>
        <v>7.7632057785578627E-4</v>
      </c>
      <c r="R174" s="12">
        <f t="shared" si="35"/>
        <v>7.4308953683075319E-4</v>
      </c>
      <c r="S174" s="12">
        <f t="shared" si="36"/>
        <v>-2.381304408169329E-4</v>
      </c>
      <c r="T174" s="12">
        <f t="shared" si="37"/>
        <v>-0.61047619047619062</v>
      </c>
      <c r="U174" s="12">
        <f t="shared" si="38"/>
        <v>-0.15613095238095243</v>
      </c>
      <c r="V174" s="12">
        <f t="shared" si="39"/>
        <v>-5.6856300042140262E-2</v>
      </c>
    </row>
    <row r="175" spans="1:22" x14ac:dyDescent="0.25">
      <c r="A175" s="26">
        <v>81.900000000000006</v>
      </c>
      <c r="B175">
        <v>81.27</v>
      </c>
      <c r="C175">
        <v>1.76</v>
      </c>
      <c r="D175" s="2">
        <v>45197</v>
      </c>
      <c r="E175">
        <v>81.599999999999994</v>
      </c>
      <c r="F175">
        <v>0.3</v>
      </c>
      <c r="G175">
        <v>-0.32999999999999829</v>
      </c>
      <c r="H175" s="5">
        <f t="shared" si="40"/>
        <v>3.6764705882352941E-3</v>
      </c>
      <c r="I175" s="3">
        <f t="shared" si="28"/>
        <v>0.9475413531899165</v>
      </c>
      <c r="J175" s="5">
        <f t="shared" si="41"/>
        <v>-4.0441176470588031E-3</v>
      </c>
      <c r="K175" s="3">
        <f t="shared" si="29"/>
        <v>-0.1109832707009248</v>
      </c>
      <c r="L175" s="3">
        <f t="shared" si="30"/>
        <v>-0.90413791942360988</v>
      </c>
      <c r="N175" s="12">
        <f t="shared" si="31"/>
        <v>3.4907432941560081E-4</v>
      </c>
      <c r="O175" s="12">
        <f t="shared" si="32"/>
        <v>1.3093439060913665E-4</v>
      </c>
      <c r="P175" s="12">
        <f t="shared" si="33"/>
        <v>6.3253559003850811E-4</v>
      </c>
      <c r="Q175" s="12">
        <f t="shared" si="34"/>
        <v>7.9590001800225116E-4</v>
      </c>
      <c r="R175" s="12">
        <f t="shared" si="35"/>
        <v>7.2886909109812388E-4</v>
      </c>
      <c r="S175" s="12">
        <f t="shared" si="36"/>
        <v>-2.7356709513097488E-4</v>
      </c>
      <c r="T175" s="12">
        <f t="shared" si="37"/>
        <v>-0.49095238095238125</v>
      </c>
      <c r="U175" s="12">
        <f t="shared" si="38"/>
        <v>-8.4880952380952834E-2</v>
      </c>
      <c r="V175" s="12">
        <f t="shared" si="39"/>
        <v>5.6468605141177797E-3</v>
      </c>
    </row>
    <row r="176" spans="1:22" x14ac:dyDescent="0.25">
      <c r="A176" s="26">
        <v>81.37</v>
      </c>
      <c r="B176">
        <v>80.81</v>
      </c>
      <c r="C176">
        <v>1.99</v>
      </c>
      <c r="D176" s="2">
        <v>45196</v>
      </c>
      <c r="E176">
        <v>81.13</v>
      </c>
      <c r="F176">
        <v>0.24</v>
      </c>
      <c r="G176">
        <v>-0.31999999999999318</v>
      </c>
      <c r="H176" s="5">
        <f t="shared" si="40"/>
        <v>2.958215210156539E-3</v>
      </c>
      <c r="I176" s="3">
        <f t="shared" si="28"/>
        <v>0.79351466451556907</v>
      </c>
      <c r="J176" s="5">
        <f t="shared" si="41"/>
        <v>-3.9442869468753012E-3</v>
      </c>
      <c r="K176" s="3">
        <f t="shared" si="29"/>
        <v>-6.5301300979631993E-2</v>
      </c>
      <c r="L176" s="3">
        <f t="shared" si="30"/>
        <v>-0.2994296239028158</v>
      </c>
      <c r="N176" s="12">
        <f t="shared" si="31"/>
        <v>1.4035974697064681E-3</v>
      </c>
      <c r="O176" s="12">
        <f t="shared" si="32"/>
        <v>6.7133755281453052E-4</v>
      </c>
      <c r="P176" s="12">
        <f t="shared" si="33"/>
        <v>1.0885345809746681E-3</v>
      </c>
      <c r="Q176" s="12">
        <f t="shared" si="34"/>
        <v>8.0973634482910638E-4</v>
      </c>
      <c r="R176" s="12">
        <f t="shared" si="35"/>
        <v>6.7684835761392878E-4</v>
      </c>
      <c r="S176" s="12">
        <f t="shared" si="36"/>
        <v>-3.2442462683287144E-4</v>
      </c>
      <c r="T176" s="12">
        <f t="shared" si="37"/>
        <v>-0.35476190476190483</v>
      </c>
      <c r="U176" s="12">
        <f t="shared" si="38"/>
        <v>5.4761904761901903E-3</v>
      </c>
      <c r="V176" s="12">
        <f t="shared" si="39"/>
        <v>8.4483775811210027E-2</v>
      </c>
    </row>
    <row r="177" spans="1:22" x14ac:dyDescent="0.25">
      <c r="A177" s="26">
        <v>82.44</v>
      </c>
      <c r="B177">
        <v>82.6</v>
      </c>
      <c r="C177">
        <v>1.75</v>
      </c>
      <c r="D177" s="2">
        <v>45195</v>
      </c>
      <c r="E177">
        <v>82.99</v>
      </c>
      <c r="F177">
        <v>-0.55000000000000004</v>
      </c>
      <c r="G177">
        <v>-0.39000000000000057</v>
      </c>
      <c r="H177" s="5">
        <f t="shared" si="40"/>
        <v>-6.6273044945174128E-3</v>
      </c>
      <c r="I177" s="3">
        <f t="shared" si="28"/>
        <v>-1.1639802334034728</v>
      </c>
      <c r="J177" s="5">
        <f t="shared" si="41"/>
        <v>-4.6993613688396264E-3</v>
      </c>
      <c r="K177" s="3">
        <f t="shared" si="29"/>
        <v>-0.44508600773521662</v>
      </c>
      <c r="L177" s="3">
        <f t="shared" si="30"/>
        <v>-0.92298936049950853</v>
      </c>
      <c r="N177" s="12">
        <f t="shared" si="31"/>
        <v>1.8848726547193446E-3</v>
      </c>
      <c r="O177" s="12">
        <f t="shared" si="32"/>
        <v>7.6860858429132956E-4</v>
      </c>
      <c r="P177" s="12">
        <f t="shared" si="33"/>
        <v>1.1675276575087315E-3</v>
      </c>
      <c r="Q177" s="12">
        <f t="shared" si="34"/>
        <v>9.1856149785353967E-4</v>
      </c>
      <c r="R177" s="12">
        <f t="shared" si="35"/>
        <v>6.6286512106255007E-4</v>
      </c>
      <c r="S177" s="12">
        <f t="shared" si="36"/>
        <v>-3.633216008046029E-4</v>
      </c>
      <c r="T177" s="12">
        <f t="shared" si="37"/>
        <v>-0.36714285714285699</v>
      </c>
      <c r="U177" s="12">
        <f t="shared" si="38"/>
        <v>-6.1904761904760797E-3</v>
      </c>
      <c r="V177" s="12">
        <f t="shared" si="39"/>
        <v>7.8992836072482753E-2</v>
      </c>
    </row>
    <row r="178" spans="1:22" x14ac:dyDescent="0.25">
      <c r="A178" s="26">
        <v>83.92</v>
      </c>
      <c r="B178">
        <v>83.9</v>
      </c>
      <c r="C178">
        <v>1.7</v>
      </c>
      <c r="D178" s="2">
        <v>45194</v>
      </c>
      <c r="E178">
        <v>84.14</v>
      </c>
      <c r="F178">
        <v>-0.22</v>
      </c>
      <c r="G178">
        <v>-0.23999999999999488</v>
      </c>
      <c r="H178" s="5">
        <f t="shared" si="40"/>
        <v>-2.6146898027097692E-3</v>
      </c>
      <c r="I178" s="3">
        <f t="shared" si="28"/>
        <v>-0.34819276119776843</v>
      </c>
      <c r="J178" s="5">
        <f t="shared" si="41"/>
        <v>-2.852388875683324E-3</v>
      </c>
      <c r="K178" s="3">
        <f t="shared" si="29"/>
        <v>0.47398536909793459</v>
      </c>
      <c r="L178" s="3">
        <f t="shared" si="30"/>
        <v>-1.0524007964131723</v>
      </c>
      <c r="N178" s="12">
        <f t="shared" si="31"/>
        <v>2.2597998463710659E-3</v>
      </c>
      <c r="O178" s="12">
        <f t="shared" si="32"/>
        <v>1.071180976395786E-3</v>
      </c>
      <c r="P178" s="12">
        <f t="shared" si="33"/>
        <v>1.4624491033612096E-3</v>
      </c>
      <c r="Q178" s="12">
        <f t="shared" si="34"/>
        <v>9.6868246300566962E-4</v>
      </c>
      <c r="R178" s="12">
        <f t="shared" si="35"/>
        <v>5.7407661229272409E-4</v>
      </c>
      <c r="S178" s="12">
        <f t="shared" si="36"/>
        <v>-4.1040047703261046E-4</v>
      </c>
      <c r="T178" s="12">
        <f t="shared" si="37"/>
        <v>-0.27476190476190476</v>
      </c>
      <c r="U178" s="12">
        <f t="shared" si="38"/>
        <v>5.9523809523809312E-2</v>
      </c>
      <c r="V178" s="12">
        <f t="shared" si="39"/>
        <v>0.13722292456805762</v>
      </c>
    </row>
    <row r="179" spans="1:22" x14ac:dyDescent="0.25">
      <c r="A179" s="26">
        <v>84.03</v>
      </c>
      <c r="B179">
        <v>83.32</v>
      </c>
      <c r="C179">
        <v>2.2400000000000002</v>
      </c>
      <c r="D179" s="2">
        <v>45191</v>
      </c>
      <c r="E179">
        <v>83.74</v>
      </c>
      <c r="F179">
        <v>0.28999999999999998</v>
      </c>
      <c r="G179">
        <v>-0.42000000000000171</v>
      </c>
      <c r="H179" s="5">
        <f t="shared" si="40"/>
        <v>3.4631000716503465E-3</v>
      </c>
      <c r="I179" s="3">
        <f t="shared" si="28"/>
        <v>0.90098087865441479</v>
      </c>
      <c r="J179" s="5">
        <f t="shared" si="41"/>
        <v>-5.0155242417005219E-3</v>
      </c>
      <c r="K179" s="3">
        <f t="shared" si="29"/>
        <v>-0.58582850071540116</v>
      </c>
      <c r="L179" s="3">
        <f t="shared" si="30"/>
        <v>0.34526919568092607</v>
      </c>
      <c r="N179" s="12">
        <f t="shared" si="31"/>
        <v>2.0625449418567787E-3</v>
      </c>
      <c r="O179" s="12">
        <f t="shared" si="32"/>
        <v>1.2104702097715915E-3</v>
      </c>
      <c r="P179" s="12">
        <f t="shared" si="33"/>
        <v>1.5824785536570553E-3</v>
      </c>
      <c r="Q179" s="12">
        <f t="shared" si="34"/>
        <v>7.7911947990671332E-4</v>
      </c>
      <c r="R179" s="12">
        <f t="shared" si="35"/>
        <v>4.1908485891382994E-4</v>
      </c>
      <c r="S179" s="12">
        <f t="shared" si="36"/>
        <v>-5.2618466939862232E-4</v>
      </c>
      <c r="T179" s="12">
        <f t="shared" si="37"/>
        <v>-0.18380952380952342</v>
      </c>
      <c r="U179" s="12">
        <f t="shared" si="38"/>
        <v>0.13160714285714281</v>
      </c>
      <c r="V179" s="12">
        <f t="shared" si="39"/>
        <v>0.19895069532237741</v>
      </c>
    </row>
    <row r="180" spans="1:22" x14ac:dyDescent="0.25">
      <c r="A180" s="26">
        <v>81.78</v>
      </c>
      <c r="B180">
        <v>80.91</v>
      </c>
      <c r="C180">
        <v>1.99</v>
      </c>
      <c r="D180" s="2">
        <v>45190</v>
      </c>
      <c r="E180">
        <v>81.38</v>
      </c>
      <c r="F180">
        <v>0.4</v>
      </c>
      <c r="G180">
        <v>-0.46999999999999886</v>
      </c>
      <c r="H180" s="5">
        <f t="shared" si="40"/>
        <v>4.9152125829442133E-3</v>
      </c>
      <c r="I180" s="3">
        <f t="shared" si="28"/>
        <v>1.2060084137799056</v>
      </c>
      <c r="J180" s="5">
        <f t="shared" si="41"/>
        <v>-5.7753747849594358E-3</v>
      </c>
      <c r="K180" s="3">
        <f t="shared" si="29"/>
        <v>-0.9540470812411519</v>
      </c>
      <c r="L180" s="3">
        <f t="shared" si="30"/>
        <v>-0.30318291941486736</v>
      </c>
      <c r="N180" s="12">
        <f t="shared" si="31"/>
        <v>1.8195113052061384E-3</v>
      </c>
      <c r="O180" s="12">
        <f t="shared" si="32"/>
        <v>1.0916617952793748E-3</v>
      </c>
      <c r="P180" s="12">
        <f t="shared" si="33"/>
        <v>1.4146880208969212E-3</v>
      </c>
      <c r="Q180" s="12">
        <f t="shared" si="34"/>
        <v>7.2091783905986386E-4</v>
      </c>
      <c r="R180" s="12">
        <f t="shared" si="35"/>
        <v>3.3130031284101056E-4</v>
      </c>
      <c r="S180" s="12">
        <f t="shared" si="36"/>
        <v>-6.1566172661185487E-4</v>
      </c>
      <c r="T180" s="12">
        <f t="shared" si="37"/>
        <v>-0.18761904761904846</v>
      </c>
      <c r="U180" s="12">
        <f t="shared" si="38"/>
        <v>0.12333333333333218</v>
      </c>
      <c r="V180" s="12">
        <f t="shared" si="39"/>
        <v>0.19003371260008395</v>
      </c>
    </row>
    <row r="181" spans="1:22" x14ac:dyDescent="0.25">
      <c r="A181" s="26">
        <v>79.5</v>
      </c>
      <c r="B181">
        <v>79.599999999999994</v>
      </c>
      <c r="C181">
        <v>1.77</v>
      </c>
      <c r="D181" s="2">
        <v>45188</v>
      </c>
      <c r="E181">
        <v>79.900000000000006</v>
      </c>
      <c r="F181">
        <v>-0.4</v>
      </c>
      <c r="G181">
        <v>-0.30000000000001137</v>
      </c>
      <c r="H181" s="5">
        <f t="shared" si="40"/>
        <v>-5.0062578222778474E-3</v>
      </c>
      <c r="I181" s="3">
        <f t="shared" si="28"/>
        <v>-0.82745978914207163</v>
      </c>
      <c r="J181" s="5">
        <f t="shared" si="41"/>
        <v>-3.7546933667085276E-3</v>
      </c>
      <c r="K181" s="3">
        <f t="shared" si="29"/>
        <v>4.7905597290898251E-2</v>
      </c>
      <c r="L181" s="3">
        <f t="shared" si="30"/>
        <v>-0.8794488508593149</v>
      </c>
      <c r="N181" s="12">
        <f t="shared" si="31"/>
        <v>1.1593371647179052E-3</v>
      </c>
      <c r="O181" s="12">
        <f t="shared" si="32"/>
        <v>4.1516125997130636E-4</v>
      </c>
      <c r="P181" s="12">
        <f t="shared" si="33"/>
        <v>8.032945335353206E-4</v>
      </c>
      <c r="Q181" s="12">
        <f t="shared" si="34"/>
        <v>7.7464691797891547E-4</v>
      </c>
      <c r="R181" s="12">
        <f t="shared" si="35"/>
        <v>3.1833710009899867E-4</v>
      </c>
      <c r="S181" s="12">
        <f t="shared" si="36"/>
        <v>-6.1443656599390398E-4</v>
      </c>
      <c r="T181" s="12">
        <f t="shared" si="37"/>
        <v>-0.1419047619047622</v>
      </c>
      <c r="U181" s="12">
        <f t="shared" si="38"/>
        <v>0.14404761904761854</v>
      </c>
      <c r="V181" s="12">
        <f t="shared" si="39"/>
        <v>0.21108301727770762</v>
      </c>
    </row>
    <row r="182" spans="1:22" x14ac:dyDescent="0.25">
      <c r="A182" s="26">
        <v>80.260000000000005</v>
      </c>
      <c r="B182">
        <v>80.349999999999994</v>
      </c>
      <c r="C182">
        <v>1.65</v>
      </c>
      <c r="D182" s="2">
        <v>45187</v>
      </c>
      <c r="E182">
        <v>80.7</v>
      </c>
      <c r="F182">
        <v>-0.44</v>
      </c>
      <c r="G182">
        <v>-0.35000000000000853</v>
      </c>
      <c r="H182" s="5">
        <f t="shared" si="40"/>
        <v>-5.4522924411400248E-3</v>
      </c>
      <c r="I182" s="3">
        <f t="shared" si="28"/>
        <v>-0.92332981969173011</v>
      </c>
      <c r="J182" s="5">
        <f t="shared" si="41"/>
        <v>-4.3370508054523978E-3</v>
      </c>
      <c r="K182" s="3">
        <f t="shared" si="29"/>
        <v>-0.22944419874734157</v>
      </c>
      <c r="L182" s="3">
        <f t="shared" si="30"/>
        <v>-1.1882207072000934</v>
      </c>
      <c r="N182" s="12">
        <f t="shared" si="31"/>
        <v>1.0033820288497277E-3</v>
      </c>
      <c r="O182" s="12">
        <f t="shared" si="32"/>
        <v>6.1780061387009825E-4</v>
      </c>
      <c r="P182" s="12">
        <f t="shared" si="33"/>
        <v>1.0028230264086699E-3</v>
      </c>
      <c r="Q182" s="12">
        <f t="shared" si="34"/>
        <v>6.1172257117518558E-4</v>
      </c>
      <c r="R182" s="12">
        <f t="shared" si="35"/>
        <v>1.086649188393584E-4</v>
      </c>
      <c r="S182" s="12">
        <f t="shared" si="36"/>
        <v>-8.220170133826938E-4</v>
      </c>
      <c r="T182" s="12">
        <f t="shared" si="37"/>
        <v>-7.0952380952381322E-2</v>
      </c>
      <c r="U182" s="12">
        <f t="shared" si="38"/>
        <v>0.20928571428571408</v>
      </c>
      <c r="V182" s="12">
        <f t="shared" si="39"/>
        <v>0.2685587863463974</v>
      </c>
    </row>
    <row r="183" spans="1:22" x14ac:dyDescent="0.25">
      <c r="A183" s="26">
        <v>82.33</v>
      </c>
      <c r="B183">
        <v>81.94</v>
      </c>
      <c r="C183">
        <v>2.38</v>
      </c>
      <c r="D183" s="2">
        <v>45184</v>
      </c>
      <c r="E183">
        <v>82.3</v>
      </c>
      <c r="F183">
        <v>0.03</v>
      </c>
      <c r="G183">
        <v>-0.35999999999999943</v>
      </c>
      <c r="H183" s="5">
        <f t="shared" si="40"/>
        <v>3.6452004860267317E-4</v>
      </c>
      <c r="I183" s="3">
        <f t="shared" si="28"/>
        <v>0.2750056569977124</v>
      </c>
      <c r="J183" s="5">
        <f t="shared" si="41"/>
        <v>-4.3742405832320709E-3</v>
      </c>
      <c r="K183" s="3">
        <f t="shared" si="29"/>
        <v>-0.24217785780492049</v>
      </c>
      <c r="L183" s="3">
        <f t="shared" si="30"/>
        <v>0.70371625330730014</v>
      </c>
      <c r="N183" s="12">
        <f t="shared" si="31"/>
        <v>1.4886611543468748E-3</v>
      </c>
      <c r="O183" s="12">
        <f t="shared" si="32"/>
        <v>9.7893954434131189E-4</v>
      </c>
      <c r="P183" s="12">
        <f t="shared" si="33"/>
        <v>1.2657335937784151E-3</v>
      </c>
      <c r="Q183" s="12">
        <f t="shared" si="34"/>
        <v>5.1151006961446845E-4</v>
      </c>
      <c r="R183" s="12">
        <f t="shared" si="35"/>
        <v>-1.5258043380538509E-5</v>
      </c>
      <c r="S183" s="12">
        <f t="shared" si="36"/>
        <v>-9.1279055434096302E-4</v>
      </c>
      <c r="T183" s="12">
        <f t="shared" si="37"/>
        <v>3.3809523809523512E-2</v>
      </c>
      <c r="U183" s="12">
        <f t="shared" si="38"/>
        <v>0.28166666666666629</v>
      </c>
      <c r="V183" s="12">
        <f t="shared" si="39"/>
        <v>0.32891698272229242</v>
      </c>
    </row>
    <row r="184" spans="1:22" x14ac:dyDescent="0.25">
      <c r="A184" s="26">
        <v>81.69</v>
      </c>
      <c r="B184">
        <v>81.42</v>
      </c>
      <c r="C184">
        <v>1.89</v>
      </c>
      <c r="D184" s="2">
        <v>45183</v>
      </c>
      <c r="E184">
        <v>81.75</v>
      </c>
      <c r="F184">
        <v>-0.06</v>
      </c>
      <c r="G184">
        <v>-0.32999999999999829</v>
      </c>
      <c r="H184" s="5">
        <f t="shared" si="40"/>
        <v>-7.3394495412844036E-4</v>
      </c>
      <c r="I184" s="3">
        <f t="shared" si="28"/>
        <v>4.9797939050374621E-2</v>
      </c>
      <c r="J184" s="5">
        <f t="shared" si="41"/>
        <v>-4.0366972477064011E-3</v>
      </c>
      <c r="K184" s="3">
        <f t="shared" si="29"/>
        <v>-8.3720806701168105E-2</v>
      </c>
      <c r="L184" s="3">
        <f t="shared" si="30"/>
        <v>-0.55513720663766197</v>
      </c>
      <c r="N184" s="12">
        <f t="shared" si="31"/>
        <v>1.7187387064739883E-3</v>
      </c>
      <c r="O184" s="12">
        <f t="shared" si="32"/>
        <v>9.9053295291807075E-4</v>
      </c>
      <c r="P184" s="12">
        <f t="shared" si="33"/>
        <v>1.3464014131071532E-3</v>
      </c>
      <c r="Q184" s="12">
        <f t="shared" si="34"/>
        <v>4.2178558867792069E-4</v>
      </c>
      <c r="R184" s="12">
        <f t="shared" si="35"/>
        <v>-1.1021167836573319E-4</v>
      </c>
      <c r="S184" s="12">
        <f t="shared" si="36"/>
        <v>-9.5821132272452467E-4</v>
      </c>
      <c r="T184" s="12">
        <f t="shared" si="37"/>
        <v>9.3333333333333712E-2</v>
      </c>
      <c r="U184" s="12">
        <f t="shared" si="38"/>
        <v>0.30476190476190546</v>
      </c>
      <c r="V184" s="12">
        <f t="shared" si="39"/>
        <v>0.35287821323219637</v>
      </c>
    </row>
    <row r="185" spans="1:22" x14ac:dyDescent="0.25">
      <c r="A185" s="26">
        <v>80.5</v>
      </c>
      <c r="B185">
        <v>80.12</v>
      </c>
      <c r="C185">
        <v>1.82</v>
      </c>
      <c r="D185" s="2">
        <v>45182</v>
      </c>
      <c r="E185">
        <v>80.430000000000007</v>
      </c>
      <c r="F185">
        <v>7.0000000000000007E-2</v>
      </c>
      <c r="G185">
        <v>-0.31000000000000227</v>
      </c>
      <c r="H185" s="5">
        <f t="shared" si="40"/>
        <v>8.703220191470844E-4</v>
      </c>
      <c r="I185" s="3">
        <f t="shared" si="28"/>
        <v>0.38518756460633408</v>
      </c>
      <c r="J185" s="5">
        <f t="shared" si="41"/>
        <v>-3.8542832276514017E-3</v>
      </c>
      <c r="K185" s="3">
        <f t="shared" si="29"/>
        <v>2.7773068231338937E-3</v>
      </c>
      <c r="L185" s="3">
        <f t="shared" si="30"/>
        <v>-0.73635352259080677</v>
      </c>
      <c r="N185" s="12">
        <f t="shared" si="31"/>
        <v>1.6863665327084608E-3</v>
      </c>
      <c r="O185" s="12">
        <f t="shared" si="32"/>
        <v>1.1217090041181464E-3</v>
      </c>
      <c r="P185" s="12">
        <f t="shared" si="33"/>
        <v>1.420961488572554E-3</v>
      </c>
      <c r="Q185" s="12">
        <f t="shared" si="34"/>
        <v>9.1984440857895144E-5</v>
      </c>
      <c r="R185" s="12">
        <f t="shared" si="35"/>
        <v>-3.2721923585287728E-4</v>
      </c>
      <c r="S185" s="12">
        <f t="shared" si="36"/>
        <v>-1.1822061627904147E-3</v>
      </c>
      <c r="T185" s="12">
        <f t="shared" si="37"/>
        <v>0.21571428571428619</v>
      </c>
      <c r="U185" s="12">
        <f t="shared" si="38"/>
        <v>0.38994047619047656</v>
      </c>
      <c r="V185" s="12">
        <f t="shared" si="39"/>
        <v>0.42466076696165267</v>
      </c>
    </row>
    <row r="186" spans="1:22" x14ac:dyDescent="0.25">
      <c r="A186" s="26">
        <v>80.599999999999994</v>
      </c>
      <c r="B186">
        <v>80.13</v>
      </c>
      <c r="C186">
        <v>2.09</v>
      </c>
      <c r="D186" s="2">
        <v>45181</v>
      </c>
      <c r="E186">
        <v>80.540000000000006</v>
      </c>
      <c r="F186">
        <v>0.06</v>
      </c>
      <c r="G186">
        <v>-0.4100000000000108</v>
      </c>
      <c r="H186" s="5">
        <f t="shared" si="40"/>
        <v>7.4497144276136076E-4</v>
      </c>
      <c r="I186" s="3">
        <f t="shared" si="28"/>
        <v>0.35271181415935532</v>
      </c>
      <c r="J186" s="5">
        <f t="shared" si="41"/>
        <v>-5.0906381922027656E-3</v>
      </c>
      <c r="K186" s="3">
        <f t="shared" si="29"/>
        <v>-0.59488569802556235</v>
      </c>
      <c r="L186" s="3">
        <f t="shared" si="30"/>
        <v>-4.2416277948915143E-2</v>
      </c>
      <c r="N186" s="12">
        <f t="shared" si="31"/>
        <v>1.5933184283363289E-3</v>
      </c>
      <c r="O186" s="12">
        <f t="shared" si="32"/>
        <v>1.1540288558538026E-3</v>
      </c>
      <c r="P186" s="12">
        <f t="shared" si="33"/>
        <v>1.5504271213038277E-3</v>
      </c>
      <c r="Q186" s="12">
        <f t="shared" si="34"/>
        <v>4.3365372991098147E-5</v>
      </c>
      <c r="R186" s="12">
        <f t="shared" si="35"/>
        <v>-3.8629938928960977E-4</v>
      </c>
      <c r="S186" s="12">
        <f t="shared" si="36"/>
        <v>-1.2382259342976036E-3</v>
      </c>
      <c r="T186" s="12">
        <f t="shared" si="37"/>
        <v>0.29285714285714315</v>
      </c>
      <c r="U186" s="12">
        <f t="shared" si="38"/>
        <v>0.44767857142857181</v>
      </c>
      <c r="V186" s="12">
        <f t="shared" si="39"/>
        <v>0.48213653603034201</v>
      </c>
    </row>
    <row r="187" spans="1:22" x14ac:dyDescent="0.25">
      <c r="A187" s="26">
        <v>80.98</v>
      </c>
      <c r="B187">
        <v>80.98</v>
      </c>
      <c r="C187">
        <v>1.83</v>
      </c>
      <c r="D187" s="2">
        <v>45180</v>
      </c>
      <c r="E187">
        <v>81.459999999999994</v>
      </c>
      <c r="F187">
        <v>-0.48</v>
      </c>
      <c r="G187">
        <v>-0.47999999999998977</v>
      </c>
      <c r="H187" s="5">
        <f t="shared" si="40"/>
        <v>-5.8924625583108275E-3</v>
      </c>
      <c r="I187" s="3">
        <f t="shared" si="28"/>
        <v>-0.99889433716068055</v>
      </c>
      <c r="J187" s="5">
        <f t="shared" si="41"/>
        <v>-5.8924625583107026E-3</v>
      </c>
      <c r="K187" s="3">
        <f t="shared" si="29"/>
        <v>-0.98113268451491575</v>
      </c>
      <c r="L187" s="3">
        <f t="shared" si="30"/>
        <v>-0.71614557582216121</v>
      </c>
      <c r="N187" s="12">
        <f t="shared" si="31"/>
        <v>1.5281949840525936E-3</v>
      </c>
      <c r="O187" s="12">
        <f t="shared" si="32"/>
        <v>9.7419201782678651E-4</v>
      </c>
      <c r="P187" s="12">
        <f t="shared" si="33"/>
        <v>1.3607925616045085E-3</v>
      </c>
      <c r="Q187" s="12">
        <f t="shared" si="34"/>
        <v>1.8782142888863155E-4</v>
      </c>
      <c r="R187" s="12">
        <f t="shared" si="35"/>
        <v>-2.6747832714545637E-4</v>
      </c>
      <c r="S187" s="12">
        <f t="shared" si="36"/>
        <v>-1.2205036318601618E-3</v>
      </c>
      <c r="T187" s="12">
        <f t="shared" si="37"/>
        <v>0.35857142857142899</v>
      </c>
      <c r="U187" s="12">
        <f t="shared" si="38"/>
        <v>0.4826190476190475</v>
      </c>
      <c r="V187" s="12">
        <f t="shared" si="39"/>
        <v>0.50955330804888366</v>
      </c>
    </row>
    <row r="188" spans="1:22" x14ac:dyDescent="0.25">
      <c r="A188" s="26">
        <v>82.09</v>
      </c>
      <c r="B188">
        <v>82.01</v>
      </c>
      <c r="C188">
        <v>2.0499999999999998</v>
      </c>
      <c r="D188" s="2">
        <v>45177</v>
      </c>
      <c r="E188">
        <v>82.34</v>
      </c>
      <c r="F188">
        <v>-0.25</v>
      </c>
      <c r="G188">
        <v>-0.32999999999999829</v>
      </c>
      <c r="H188" s="5">
        <f t="shared" si="40"/>
        <v>-3.0361914015059506E-3</v>
      </c>
      <c r="I188" s="3">
        <f t="shared" si="28"/>
        <v>-0.41775804594663557</v>
      </c>
      <c r="J188" s="5">
        <f t="shared" si="41"/>
        <v>-4.0077726499878341E-3</v>
      </c>
      <c r="K188" s="3">
        <f t="shared" si="29"/>
        <v>-8.5672701950765581E-2</v>
      </c>
      <c r="L188" s="3">
        <f t="shared" si="30"/>
        <v>-0.15272001264499424</v>
      </c>
      <c r="N188" s="12">
        <f t="shared" si="31"/>
        <v>1.1802306859881619E-3</v>
      </c>
      <c r="O188" s="12">
        <f t="shared" si="32"/>
        <v>9.2766517578992671E-4</v>
      </c>
      <c r="P188" s="12">
        <f t="shared" si="33"/>
        <v>1.4070103084104558E-3</v>
      </c>
      <c r="Q188" s="12">
        <f t="shared" si="34"/>
        <v>1.1224910109851067E-4</v>
      </c>
      <c r="R188" s="12">
        <f t="shared" si="35"/>
        <v>-3.0832516178300618E-4</v>
      </c>
      <c r="S188" s="12">
        <f t="shared" si="36"/>
        <v>-1.2657965108332564E-3</v>
      </c>
      <c r="T188" s="12">
        <f t="shared" si="37"/>
        <v>0.41809523809523874</v>
      </c>
      <c r="U188" s="12">
        <f t="shared" si="38"/>
        <v>0.52202380952380967</v>
      </c>
      <c r="V188" s="12">
        <f t="shared" si="39"/>
        <v>0.54731142014327894</v>
      </c>
    </row>
    <row r="189" spans="1:22" x14ac:dyDescent="0.25">
      <c r="A189" s="26">
        <v>83.41</v>
      </c>
      <c r="B189">
        <v>82.92</v>
      </c>
      <c r="C189">
        <v>1.55</v>
      </c>
      <c r="D189" s="2">
        <v>45174</v>
      </c>
      <c r="E189">
        <v>83.14</v>
      </c>
      <c r="F189">
        <v>0.27</v>
      </c>
      <c r="G189">
        <v>-0.21999999999999886</v>
      </c>
      <c r="H189" s="5">
        <f t="shared" si="40"/>
        <v>3.2475342795285065E-3</v>
      </c>
      <c r="I189" s="3">
        <f t="shared" si="28"/>
        <v>0.87052364037708474</v>
      </c>
      <c r="J189" s="5">
        <f t="shared" si="41"/>
        <v>-2.6461390425787691E-3</v>
      </c>
      <c r="K189" s="3">
        <f t="shared" si="29"/>
        <v>0.56182235194078967</v>
      </c>
      <c r="L189" s="3">
        <f t="shared" si="30"/>
        <v>-1.4472728717558641</v>
      </c>
      <c r="N189" s="12">
        <f t="shared" si="31"/>
        <v>1.0681030730435247E-3</v>
      </c>
      <c r="O189" s="12">
        <f t="shared" si="32"/>
        <v>8.6089888579822158E-4</v>
      </c>
      <c r="P189" s="12">
        <f t="shared" si="33"/>
        <v>1.3891949129472012E-3</v>
      </c>
      <c r="Q189" s="12">
        <f t="shared" si="34"/>
        <v>-1.2247776250476784E-4</v>
      </c>
      <c r="R189" s="12">
        <f t="shared" si="35"/>
        <v>-4.3904436626464489E-4</v>
      </c>
      <c r="S189" s="12">
        <f t="shared" si="36"/>
        <v>-1.4654977839644997E-3</v>
      </c>
      <c r="T189" s="12">
        <f t="shared" si="37"/>
        <v>0.59142857142857208</v>
      </c>
      <c r="U189" s="12">
        <f t="shared" si="38"/>
        <v>0.62976190476190474</v>
      </c>
      <c r="V189" s="12">
        <f t="shared" si="39"/>
        <v>0.64668352296670939</v>
      </c>
    </row>
    <row r="190" spans="1:22" x14ac:dyDescent="0.25">
      <c r="A190" s="26">
        <v>83.42</v>
      </c>
      <c r="B190">
        <v>83.23</v>
      </c>
      <c r="C190">
        <v>2.15</v>
      </c>
      <c r="D190" s="2">
        <v>45173</v>
      </c>
      <c r="E190">
        <v>83.59</v>
      </c>
      <c r="F190">
        <v>-0.17</v>
      </c>
      <c r="G190">
        <v>-0.35999999999999943</v>
      </c>
      <c r="H190" s="5">
        <f t="shared" si="40"/>
        <v>-2.0337360928340711E-3</v>
      </c>
      <c r="I190" s="3">
        <f t="shared" si="28"/>
        <v>-0.20222626633291996</v>
      </c>
      <c r="J190" s="5">
        <f t="shared" si="41"/>
        <v>-4.3067352554133197E-3</v>
      </c>
      <c r="K190" s="3">
        <f t="shared" si="29"/>
        <v>-0.23006471492658875</v>
      </c>
      <c r="L190" s="3">
        <f t="shared" si="30"/>
        <v>0.10473261904489398</v>
      </c>
      <c r="N190" s="12">
        <f t="shared" si="31"/>
        <v>5.4338724510601078E-4</v>
      </c>
      <c r="O190" s="12">
        <f t="shared" si="32"/>
        <v>4.4718495209915488E-4</v>
      </c>
      <c r="P190" s="12">
        <f t="shared" si="33"/>
        <v>1.0684537814640836E-3</v>
      </c>
      <c r="Q190" s="12">
        <f t="shared" si="34"/>
        <v>-4.5847220523929488E-4</v>
      </c>
      <c r="R190" s="12">
        <f t="shared" si="35"/>
        <v>-6.6054225187141095E-4</v>
      </c>
      <c r="S190" s="12">
        <f t="shared" si="36"/>
        <v>-1.6965822343856449E-3</v>
      </c>
      <c r="T190" s="12">
        <f t="shared" si="37"/>
        <v>0.7200000000000002</v>
      </c>
      <c r="U190" s="12">
        <f t="shared" si="38"/>
        <v>0.71529761904761857</v>
      </c>
      <c r="V190" s="12">
        <f t="shared" si="39"/>
        <v>0.73158870627897166</v>
      </c>
    </row>
    <row r="191" spans="1:22" x14ac:dyDescent="0.25">
      <c r="A191" s="26">
        <v>84</v>
      </c>
      <c r="B191">
        <v>83.94</v>
      </c>
      <c r="C191">
        <v>2.04</v>
      </c>
      <c r="D191" s="2">
        <v>45170</v>
      </c>
      <c r="E191">
        <v>84.29</v>
      </c>
      <c r="F191">
        <v>-0.28999999999999998</v>
      </c>
      <c r="G191">
        <v>-0.35000000000000853</v>
      </c>
      <c r="H191" s="5">
        <f t="shared" si="40"/>
        <v>-3.4405030252699009E-3</v>
      </c>
      <c r="I191" s="3">
        <f t="shared" si="28"/>
        <v>-0.48808267767731556</v>
      </c>
      <c r="J191" s="5">
        <f t="shared" si="41"/>
        <v>-4.15233123739481E-3</v>
      </c>
      <c r="K191" s="3">
        <f t="shared" si="29"/>
        <v>-0.15831904872070429</v>
      </c>
      <c r="L191" s="3">
        <f t="shared" si="30"/>
        <v>-0.17584264993838439</v>
      </c>
      <c r="N191" s="12">
        <f t="shared" si="31"/>
        <v>1.004526489898882E-3</v>
      </c>
      <c r="O191" s="12">
        <f t="shared" si="32"/>
        <v>5.8577497144213339E-4</v>
      </c>
      <c r="P191" s="12">
        <f t="shared" si="33"/>
        <v>1.1367939058805204E-3</v>
      </c>
      <c r="Q191" s="12">
        <f t="shared" si="34"/>
        <v>-3.6695787734282882E-4</v>
      </c>
      <c r="R191" s="12">
        <f t="shared" si="35"/>
        <v>-6.5829274021093984E-4</v>
      </c>
      <c r="S191" s="12">
        <f t="shared" si="36"/>
        <v>-1.714261868907426E-3</v>
      </c>
      <c r="T191" s="12">
        <f t="shared" si="37"/>
        <v>0.81095238095238131</v>
      </c>
      <c r="U191" s="12">
        <f t="shared" si="38"/>
        <v>0.7731547619047614</v>
      </c>
      <c r="V191" s="12">
        <f t="shared" si="39"/>
        <v>0.77555836493889618</v>
      </c>
    </row>
    <row r="192" spans="1:22" x14ac:dyDescent="0.25">
      <c r="A192" s="26">
        <v>85.52</v>
      </c>
      <c r="B192">
        <v>85.12</v>
      </c>
      <c r="C192">
        <v>2.73</v>
      </c>
      <c r="D192" s="2">
        <v>45169</v>
      </c>
      <c r="E192">
        <v>85.73</v>
      </c>
      <c r="F192">
        <v>-0.21</v>
      </c>
      <c r="G192">
        <v>-0.60999999999999943</v>
      </c>
      <c r="H192" s="5">
        <f t="shared" si="40"/>
        <v>-2.449550915665461E-3</v>
      </c>
      <c r="I192" s="3">
        <f t="shared" si="28"/>
        <v>-0.28516020028866551</v>
      </c>
      <c r="J192" s="5">
        <f t="shared" si="41"/>
        <v>-7.1153621835996668E-3</v>
      </c>
      <c r="K192" s="3">
        <f t="shared" si="29"/>
        <v>-1.5771059885737444</v>
      </c>
      <c r="L192" s="3">
        <f t="shared" si="30"/>
        <v>1.5961816001870028</v>
      </c>
      <c r="N192" s="12">
        <f t="shared" si="31"/>
        <v>1.3242791851568114E-3</v>
      </c>
      <c r="O192" s="12">
        <f t="shared" si="32"/>
        <v>1.0092183205120708E-3</v>
      </c>
      <c r="P192" s="12">
        <f t="shared" si="33"/>
        <v>1.4572054983964812E-3</v>
      </c>
      <c r="Q192" s="12">
        <f t="shared" si="34"/>
        <v>-2.5441679728339418E-4</v>
      </c>
      <c r="R192" s="12">
        <f t="shared" si="35"/>
        <v>-6.1758979528400183E-4</v>
      </c>
      <c r="S192" s="12">
        <f t="shared" si="36"/>
        <v>-1.7174723275334412E-3</v>
      </c>
      <c r="T192" s="12">
        <f t="shared" si="37"/>
        <v>0.8747619047619053</v>
      </c>
      <c r="U192" s="12">
        <f t="shared" si="38"/>
        <v>0.81749999999999989</v>
      </c>
      <c r="V192" s="12">
        <f t="shared" si="39"/>
        <v>0.81175726927939351</v>
      </c>
    </row>
    <row r="193" spans="1:22" x14ac:dyDescent="0.25">
      <c r="A193" s="26">
        <v>84.57</v>
      </c>
      <c r="B193">
        <v>83.77</v>
      </c>
      <c r="C193">
        <v>3.08</v>
      </c>
      <c r="D193" s="2">
        <v>45168</v>
      </c>
      <c r="E193">
        <v>84.3</v>
      </c>
      <c r="F193">
        <v>0.27</v>
      </c>
      <c r="G193">
        <v>-0.53000000000000114</v>
      </c>
      <c r="H193" s="5">
        <f t="shared" si="40"/>
        <v>3.2028469750889684E-3</v>
      </c>
      <c r="I193" s="3">
        <f t="shared" si="28"/>
        <v>0.87157257586681003</v>
      </c>
      <c r="J193" s="5">
        <f t="shared" si="41"/>
        <v>-6.2870699881376179E-3</v>
      </c>
      <c r="K193" s="3">
        <f t="shared" si="29"/>
        <v>-1.1860971139773882</v>
      </c>
      <c r="L193" s="3">
        <f t="shared" si="30"/>
        <v>2.5128328853357593</v>
      </c>
      <c r="N193" s="12">
        <f t="shared" si="31"/>
        <v>9.8335361590957439E-4</v>
      </c>
      <c r="O193" s="12">
        <f t="shared" si="32"/>
        <v>8.0604598866787784E-4</v>
      </c>
      <c r="P193" s="12">
        <f t="shared" si="33"/>
        <v>1.4478666483303433E-3</v>
      </c>
      <c r="Q193" s="12">
        <f t="shared" si="34"/>
        <v>-1.3340618648093397E-4</v>
      </c>
      <c r="R193" s="12">
        <f t="shared" si="35"/>
        <v>-6.1821267545733496E-4</v>
      </c>
      <c r="S193" s="12">
        <f t="shared" si="36"/>
        <v>-1.6357755897529985E-3</v>
      </c>
      <c r="T193" s="12">
        <f t="shared" si="37"/>
        <v>0.85857142857142854</v>
      </c>
      <c r="U193" s="12">
        <f t="shared" si="38"/>
        <v>0.79124999999999934</v>
      </c>
      <c r="V193" s="12">
        <f t="shared" si="39"/>
        <v>0.78922882427307206</v>
      </c>
    </row>
    <row r="194" spans="1:22" x14ac:dyDescent="0.25">
      <c r="A194" s="26">
        <v>84.64</v>
      </c>
      <c r="B194">
        <v>84.13</v>
      </c>
      <c r="C194">
        <v>2.95</v>
      </c>
      <c r="D194" s="2">
        <v>45167</v>
      </c>
      <c r="E194">
        <v>84.63</v>
      </c>
      <c r="F194">
        <v>0.01</v>
      </c>
      <c r="G194">
        <v>-0.5</v>
      </c>
      <c r="H194" s="5">
        <f t="shared" si="40"/>
        <v>1.1816140848398914E-4</v>
      </c>
      <c r="I194" s="3">
        <f t="shared" si="28"/>
        <v>0.25432415889222976</v>
      </c>
      <c r="J194" s="5">
        <f t="shared" si="41"/>
        <v>-5.9080704241994565E-3</v>
      </c>
      <c r="K194" s="3">
        <f t="shared" si="29"/>
        <v>-0.99860723428836684</v>
      </c>
      <c r="L194" s="3">
        <f t="shared" si="30"/>
        <v>2.1931862348512503</v>
      </c>
      <c r="N194" s="12">
        <f t="shared" si="31"/>
        <v>6.2344576411831314E-4</v>
      </c>
      <c r="O194" s="12">
        <f t="shared" si="32"/>
        <v>3.0830513153836303E-4</v>
      </c>
      <c r="P194" s="12">
        <f t="shared" si="33"/>
        <v>1.0221756832517084E-3</v>
      </c>
      <c r="Q194" s="12">
        <f t="shared" si="34"/>
        <v>-5.7920873538236904E-5</v>
      </c>
      <c r="R194" s="12">
        <f t="shared" si="35"/>
        <v>-6.3189700538353322E-4</v>
      </c>
      <c r="S194" s="12">
        <f t="shared" si="36"/>
        <v>-1.6095657470589445E-3</v>
      </c>
      <c r="T194" s="12">
        <f t="shared" si="37"/>
        <v>0.81047619047619035</v>
      </c>
      <c r="U194" s="12">
        <f t="shared" si="38"/>
        <v>0.73767857142857096</v>
      </c>
      <c r="V194" s="12">
        <f t="shared" si="39"/>
        <v>0.73379266750948169</v>
      </c>
    </row>
    <row r="195" spans="1:22" x14ac:dyDescent="0.25">
      <c r="A195" s="26">
        <v>84.7</v>
      </c>
      <c r="B195">
        <v>83.45</v>
      </c>
      <c r="C195">
        <v>3.21</v>
      </c>
      <c r="D195" s="2">
        <v>45166</v>
      </c>
      <c r="E195">
        <v>83.88</v>
      </c>
      <c r="F195">
        <v>0.82</v>
      </c>
      <c r="G195">
        <v>-0.42999999999999261</v>
      </c>
      <c r="H195" s="5">
        <f t="shared" si="40"/>
        <v>9.7758702908917507E-3</v>
      </c>
      <c r="I195" s="3">
        <f t="shared" ref="I195:I258" si="42">IFERROR((H195-AVERAGEA(H195:H411))/_xlfn.STDEV.S(H195:H411), " ")</f>
        <v>2.2055405825512504</v>
      </c>
      <c r="J195" s="5">
        <f t="shared" si="41"/>
        <v>-5.1263710061992445E-3</v>
      </c>
      <c r="K195" s="3">
        <f t="shared" ref="K195:K258" si="43">IFERROR((J195-AVERAGEA(J195:J411))/_xlfn.STDEV.S(J195:J411), " ")</f>
        <v>-0.62980669750107399</v>
      </c>
      <c r="L195" s="3">
        <f t="shared" ref="L195:L258" si="44">(C195-AVERAGEA(C195:C411))/_xlfn.STDEV.S(C195:C411)</f>
        <v>2.9141101558038112</v>
      </c>
      <c r="N195" s="12">
        <f t="shared" ref="N195:N258" si="45">AVERAGEA(H195:H215)-AVERAGE(H216:H236)</f>
        <v>-4.8053348725183166E-4</v>
      </c>
      <c r="O195" s="12">
        <f t="shared" ref="O195:O258" si="46">AVERAGEA(H195:H215)-AVERAGE(H216:H271)</f>
        <v>7.5638411880421178E-5</v>
      </c>
      <c r="P195" s="12">
        <f t="shared" ref="P195:P258" si="47">AVERAGEA(H195:H215)-AVERAGE(H216:H328)</f>
        <v>7.9051712020984264E-4</v>
      </c>
      <c r="Q195" s="12">
        <f t="shared" ref="Q195:Q258" si="48">AVERAGEA(J195:J215)-AVERAGE(J216:J236)</f>
        <v>6.9017848643142948E-5</v>
      </c>
      <c r="R195" s="12">
        <f t="shared" ref="R195:R258" si="49">AVERAGEA(J195:J215)-AVERAGE(J216:J271)</f>
        <v>-5.5193474835402764E-4</v>
      </c>
      <c r="S195" s="12">
        <f t="shared" ref="S195:S258" si="50">AVERAGEA(J195:J215)-AVERAGE(J216:J328)</f>
        <v>-1.5281807899788381E-3</v>
      </c>
      <c r="T195" s="12">
        <f t="shared" ref="T195:T258" si="51">AVERAGEA(C195:C215)-AVERAGE(C216:C236)</f>
        <v>0.7304761904761905</v>
      </c>
      <c r="U195" s="12">
        <f t="shared" ref="U195:U258" si="52">AVERAGEA(C195:C215)-AVERAGE(C216:C271)</f>
        <v>0.679702380952381</v>
      </c>
      <c r="V195" s="12">
        <f t="shared" ref="V195:V258" si="53">AVERAGEA(C195:C215)-AVERAGE(C216:C328)</f>
        <v>0.67662873999157247</v>
      </c>
    </row>
    <row r="196" spans="1:22" x14ac:dyDescent="0.25">
      <c r="A196" s="26">
        <v>85.5</v>
      </c>
      <c r="B196">
        <v>84.11</v>
      </c>
      <c r="C196">
        <v>3.2</v>
      </c>
      <c r="D196" s="2">
        <v>45163</v>
      </c>
      <c r="E196">
        <v>84.53</v>
      </c>
      <c r="F196">
        <v>0.97</v>
      </c>
      <c r="G196">
        <v>-0.42000000000000171</v>
      </c>
      <c r="H196" s="5">
        <f t="shared" ref="H196:H259" si="54">IFERROR(F196/E196,"")</f>
        <v>1.1475215899680586E-2</v>
      </c>
      <c r="I196" s="3">
        <f t="shared" si="42"/>
        <v>2.5512101159463434</v>
      </c>
      <c r="J196" s="5">
        <f t="shared" ref="J196:J259" si="55">IFERROR(G196/E196,"")</f>
        <v>-4.9686501833668718E-3</v>
      </c>
      <c r="K196" s="3">
        <f t="shared" si="43"/>
        <v>-0.55742026893014918</v>
      </c>
      <c r="L196" s="3">
        <f t="shared" si="44"/>
        <v>2.8795462842070045</v>
      </c>
      <c r="N196" s="12">
        <f t="shared" si="45"/>
        <v>-6.0700525216483402E-4</v>
      </c>
      <c r="O196" s="12">
        <f t="shared" si="46"/>
        <v>-2.1148991519866976E-4</v>
      </c>
      <c r="P196" s="12">
        <f t="shared" si="47"/>
        <v>4.2008240077039507E-4</v>
      </c>
      <c r="Q196" s="12">
        <f t="shared" si="48"/>
        <v>-2.0089047371857349E-6</v>
      </c>
      <c r="R196" s="12">
        <f t="shared" si="49"/>
        <v>-6.223644389681017E-4</v>
      </c>
      <c r="S196" s="12">
        <f t="shared" si="50"/>
        <v>-1.6231884995530584E-3</v>
      </c>
      <c r="T196" s="12">
        <f t="shared" si="51"/>
        <v>0.66190476190476222</v>
      </c>
      <c r="U196" s="12">
        <f t="shared" si="52"/>
        <v>0.61214285714285754</v>
      </c>
      <c r="V196" s="12">
        <f t="shared" si="53"/>
        <v>0.61137800252844565</v>
      </c>
    </row>
    <row r="197" spans="1:22" x14ac:dyDescent="0.25">
      <c r="A197" s="26">
        <v>85.51</v>
      </c>
      <c r="B197">
        <v>84.76</v>
      </c>
      <c r="C197">
        <v>1.91</v>
      </c>
      <c r="D197" s="2">
        <v>45162</v>
      </c>
      <c r="E197">
        <v>85.12</v>
      </c>
      <c r="F197">
        <v>0.39</v>
      </c>
      <c r="G197">
        <v>-0.35999999999999943</v>
      </c>
      <c r="H197" s="5">
        <f t="shared" si="54"/>
        <v>4.5817669172932328E-3</v>
      </c>
      <c r="I197" s="3">
        <f t="shared" si="42"/>
        <v>1.1870734913220933</v>
      </c>
      <c r="J197" s="5">
        <f t="shared" si="55"/>
        <v>-4.2293233082706695E-3</v>
      </c>
      <c r="K197" s="3">
        <f t="shared" si="43"/>
        <v>-0.20545630879168864</v>
      </c>
      <c r="L197" s="3">
        <f t="shared" si="44"/>
        <v>-0.51016265841995134</v>
      </c>
      <c r="N197" s="12">
        <f t="shared" si="45"/>
        <v>-1.024475265795251E-3</v>
      </c>
      <c r="O197" s="12">
        <f t="shared" si="46"/>
        <v>-8.8565220537168755E-4</v>
      </c>
      <c r="P197" s="12">
        <f t="shared" si="47"/>
        <v>-3.3354028731308999E-4</v>
      </c>
      <c r="Q197" s="12">
        <f t="shared" si="48"/>
        <v>-2.3413733315424783E-4</v>
      </c>
      <c r="R197" s="12">
        <f t="shared" si="49"/>
        <v>-7.1030305346561021E-4</v>
      </c>
      <c r="S197" s="12">
        <f t="shared" si="50"/>
        <v>-1.7045501881883807E-3</v>
      </c>
      <c r="T197" s="12">
        <f t="shared" si="51"/>
        <v>0.60333333333333283</v>
      </c>
      <c r="U197" s="12">
        <f t="shared" si="52"/>
        <v>0.53755952380952365</v>
      </c>
      <c r="V197" s="12">
        <f t="shared" si="53"/>
        <v>0.53906868942267216</v>
      </c>
    </row>
    <row r="198" spans="1:22" x14ac:dyDescent="0.25">
      <c r="A198" s="26">
        <v>87.86</v>
      </c>
      <c r="B198">
        <v>87.49</v>
      </c>
      <c r="C198">
        <v>2.8</v>
      </c>
      <c r="D198" s="2">
        <v>45160</v>
      </c>
      <c r="E198">
        <v>87.96</v>
      </c>
      <c r="F198">
        <v>-0.1</v>
      </c>
      <c r="G198">
        <v>-0.46999999999999886</v>
      </c>
      <c r="H198" s="5">
        <f t="shared" si="54"/>
        <v>-1.1368804001819009E-3</v>
      </c>
      <c r="I198" s="3">
        <f t="shared" si="42"/>
        <v>1.6803598816667598E-2</v>
      </c>
      <c r="J198" s="5">
        <f t="shared" si="55"/>
        <v>-5.3433378808549212E-3</v>
      </c>
      <c r="K198" s="3">
        <f t="shared" si="43"/>
        <v>-0.74134175898802279</v>
      </c>
      <c r="L198" s="3">
        <f t="shared" si="44"/>
        <v>1.8137669083078036</v>
      </c>
      <c r="N198" s="12">
        <f t="shared" si="45"/>
        <v>-1.6923717083930636E-3</v>
      </c>
      <c r="O198" s="12">
        <f t="shared" si="46"/>
        <v>-1.2925800025627122E-3</v>
      </c>
      <c r="P198" s="12">
        <f t="shared" si="47"/>
        <v>-7.6648698864757877E-4</v>
      </c>
      <c r="Q198" s="12">
        <f t="shared" si="48"/>
        <v>-3.2084296755520349E-4</v>
      </c>
      <c r="R198" s="12">
        <f t="shared" si="49"/>
        <v>-8.619154307980539E-4</v>
      </c>
      <c r="S198" s="12">
        <f t="shared" si="50"/>
        <v>-1.8665965289761531E-3</v>
      </c>
      <c r="T198" s="12">
        <f t="shared" si="51"/>
        <v>0.61238095238095203</v>
      </c>
      <c r="U198" s="12">
        <f t="shared" si="52"/>
        <v>0.546845238095238</v>
      </c>
      <c r="V198" s="12">
        <f t="shared" si="53"/>
        <v>0.54799410029498574</v>
      </c>
    </row>
    <row r="199" spans="1:22" x14ac:dyDescent="0.25">
      <c r="A199" s="26">
        <v>86</v>
      </c>
      <c r="B199">
        <v>85.66</v>
      </c>
      <c r="C199">
        <v>2.79</v>
      </c>
      <c r="D199" s="2">
        <v>45159</v>
      </c>
      <c r="E199">
        <v>86.11</v>
      </c>
      <c r="F199">
        <v>-0.11</v>
      </c>
      <c r="G199">
        <v>-0.45000000000000284</v>
      </c>
      <c r="H199" s="5">
        <f t="shared" si="54"/>
        <v>-1.2774358378817791E-3</v>
      </c>
      <c r="I199" s="3">
        <f t="shared" si="42"/>
        <v>-2.0151071787420208E-2</v>
      </c>
      <c r="J199" s="5">
        <f t="shared" si="55"/>
        <v>-5.2258738822436746E-3</v>
      </c>
      <c r="K199" s="3">
        <f t="shared" si="43"/>
        <v>-0.68552420041810258</v>
      </c>
      <c r="L199" s="3">
        <f t="shared" si="44"/>
        <v>1.7827437916198621</v>
      </c>
      <c r="N199" s="12">
        <f t="shared" si="45"/>
        <v>-2.185671815375107E-3</v>
      </c>
      <c r="O199" s="12">
        <f t="shared" si="46"/>
        <v>-1.4640263210414063E-3</v>
      </c>
      <c r="P199" s="12">
        <f t="shared" si="47"/>
        <v>-9.0663650568736942E-4</v>
      </c>
      <c r="Q199" s="12">
        <f t="shared" si="48"/>
        <v>-6.413679126833936E-4</v>
      </c>
      <c r="R199" s="12">
        <f t="shared" si="49"/>
        <v>-9.8444812590987602E-4</v>
      </c>
      <c r="S199" s="12">
        <f t="shared" si="50"/>
        <v>-1.9638597871194097E-3</v>
      </c>
      <c r="T199" s="12">
        <f t="shared" si="51"/>
        <v>0.5652380952380951</v>
      </c>
      <c r="U199" s="12">
        <f t="shared" si="52"/>
        <v>0.50267857142857153</v>
      </c>
      <c r="V199" s="12">
        <f t="shared" si="53"/>
        <v>0.50251580278129016</v>
      </c>
    </row>
    <row r="200" spans="1:22" x14ac:dyDescent="0.25">
      <c r="A200" s="26">
        <v>86.68</v>
      </c>
      <c r="B200">
        <v>86.22</v>
      </c>
      <c r="C200">
        <v>2.0099999999999998</v>
      </c>
      <c r="D200" s="2">
        <v>45156</v>
      </c>
      <c r="E200">
        <v>86.7</v>
      </c>
      <c r="F200">
        <v>-0.02</v>
      </c>
      <c r="G200">
        <v>-0.48000000000000398</v>
      </c>
      <c r="H200" s="5">
        <f t="shared" si="54"/>
        <v>-2.306805074971165E-4</v>
      </c>
      <c r="I200" s="3">
        <f t="shared" si="42"/>
        <v>0.19347062438182333</v>
      </c>
      <c r="J200" s="5">
        <f t="shared" si="55"/>
        <v>-5.5363321799308416E-3</v>
      </c>
      <c r="K200" s="3">
        <f t="shared" si="43"/>
        <v>-0.82454787809375629</v>
      </c>
      <c r="L200" s="3">
        <f t="shared" si="44"/>
        <v>-0.25804571586342134</v>
      </c>
      <c r="N200" s="12">
        <f t="shared" si="45"/>
        <v>-1.6926613657483418E-3</v>
      </c>
      <c r="O200" s="12">
        <f t="shared" si="46"/>
        <v>-1.2969350836475957E-3</v>
      </c>
      <c r="P200" s="12">
        <f t="shared" si="47"/>
        <v>-5.9274431937911265E-4</v>
      </c>
      <c r="Q200" s="12">
        <f t="shared" si="48"/>
        <v>-5.5062778572844036E-4</v>
      </c>
      <c r="R200" s="12">
        <f t="shared" si="49"/>
        <v>-9.7167307382612506E-4</v>
      </c>
      <c r="S200" s="12">
        <f t="shared" si="50"/>
        <v>-1.8863747340162914E-3</v>
      </c>
      <c r="T200" s="12">
        <f t="shared" si="51"/>
        <v>0.52333333333333365</v>
      </c>
      <c r="U200" s="12">
        <f t="shared" si="52"/>
        <v>0.45898809523809536</v>
      </c>
      <c r="V200" s="12">
        <f t="shared" si="53"/>
        <v>0.46444163506110447</v>
      </c>
    </row>
    <row r="201" spans="1:22" x14ac:dyDescent="0.25">
      <c r="A201" s="26">
        <v>86.84</v>
      </c>
      <c r="B201">
        <v>86.92</v>
      </c>
      <c r="C201">
        <v>2.38</v>
      </c>
      <c r="D201" s="2">
        <v>45155</v>
      </c>
      <c r="E201">
        <v>87.38</v>
      </c>
      <c r="F201">
        <v>-0.54</v>
      </c>
      <c r="G201">
        <v>-0.45999999999999375</v>
      </c>
      <c r="H201" s="5">
        <f t="shared" si="54"/>
        <v>-6.1799038681620514E-3</v>
      </c>
      <c r="I201" s="3">
        <f t="shared" si="42"/>
        <v>-1.0127102080458557</v>
      </c>
      <c r="J201" s="5">
        <f t="shared" si="55"/>
        <v>-5.2643625543601939E-3</v>
      </c>
      <c r="K201" s="3">
        <f t="shared" si="43"/>
        <v>-0.68882105515085645</v>
      </c>
      <c r="L201" s="3">
        <f t="shared" si="44"/>
        <v>0.67411388925726612</v>
      </c>
      <c r="N201" s="12">
        <f t="shared" si="45"/>
        <v>-1.7100364641535277E-3</v>
      </c>
      <c r="O201" s="12">
        <f t="shared" si="46"/>
        <v>-1.2676434745114828E-3</v>
      </c>
      <c r="P201" s="12">
        <f t="shared" si="47"/>
        <v>-4.8480178225925182E-4</v>
      </c>
      <c r="Q201" s="12">
        <f t="shared" si="48"/>
        <v>-5.4427162936254193E-4</v>
      </c>
      <c r="R201" s="12">
        <f t="shared" si="49"/>
        <v>-9.5108037240421769E-4</v>
      </c>
      <c r="S201" s="12">
        <f t="shared" si="50"/>
        <v>-1.8402513707581687E-3</v>
      </c>
      <c r="T201" s="12">
        <f t="shared" si="51"/>
        <v>0.50809523809523838</v>
      </c>
      <c r="U201" s="12">
        <f t="shared" si="52"/>
        <v>0.44291666666666663</v>
      </c>
      <c r="V201" s="12">
        <f t="shared" si="53"/>
        <v>0.45508638853771632</v>
      </c>
    </row>
    <row r="202" spans="1:22" x14ac:dyDescent="0.25">
      <c r="A202" s="26">
        <v>87.01</v>
      </c>
      <c r="B202">
        <v>86.51</v>
      </c>
      <c r="C202">
        <v>2.78</v>
      </c>
      <c r="D202" s="2">
        <v>45154</v>
      </c>
      <c r="E202">
        <v>87.13</v>
      </c>
      <c r="F202">
        <v>-0.12</v>
      </c>
      <c r="G202">
        <v>-0.61999999999999034</v>
      </c>
      <c r="H202" s="5">
        <f t="shared" si="54"/>
        <v>-1.3772523814989098E-3</v>
      </c>
      <c r="I202" s="3">
        <f t="shared" si="42"/>
        <v>-3.8944679819226106E-2</v>
      </c>
      <c r="J202" s="5">
        <f t="shared" si="55"/>
        <v>-7.1158039710775894E-3</v>
      </c>
      <c r="K202" s="3">
        <f t="shared" si="43"/>
        <v>-1.5583687048489157</v>
      </c>
      <c r="L202" s="3">
        <f t="shared" si="44"/>
        <v>1.6569813241964297</v>
      </c>
      <c r="N202" s="12">
        <f t="shared" si="45"/>
        <v>-1.8621524177164432E-3</v>
      </c>
      <c r="O202" s="12">
        <f t="shared" si="46"/>
        <v>-1.0880152985612492E-3</v>
      </c>
      <c r="P202" s="12">
        <f t="shared" si="47"/>
        <v>-3.8575087637894427E-4</v>
      </c>
      <c r="Q202" s="12">
        <f t="shared" si="48"/>
        <v>-5.3341362499786764E-4</v>
      </c>
      <c r="R202" s="12">
        <f t="shared" si="49"/>
        <v>-9.7959380903359962E-4</v>
      </c>
      <c r="S202" s="12">
        <f t="shared" si="50"/>
        <v>-1.9128583462234387E-3</v>
      </c>
      <c r="T202" s="12">
        <f t="shared" si="51"/>
        <v>0.46952380952380968</v>
      </c>
      <c r="U202" s="12">
        <f t="shared" si="52"/>
        <v>0.41238095238095207</v>
      </c>
      <c r="V202" s="12">
        <f t="shared" si="53"/>
        <v>0.42449220396123089</v>
      </c>
    </row>
    <row r="203" spans="1:22" x14ac:dyDescent="0.25">
      <c r="A203" s="26">
        <v>86.71</v>
      </c>
      <c r="B203">
        <v>86.22</v>
      </c>
      <c r="C203">
        <v>2.78</v>
      </c>
      <c r="D203" s="2">
        <v>45153</v>
      </c>
      <c r="E203">
        <v>86.74</v>
      </c>
      <c r="F203">
        <v>-0.03</v>
      </c>
      <c r="G203">
        <v>-0.51999999999999602</v>
      </c>
      <c r="H203" s="5">
        <f t="shared" si="54"/>
        <v>-3.4586119437399123E-4</v>
      </c>
      <c r="I203" s="3">
        <f t="shared" si="42"/>
        <v>0.16896911282763613</v>
      </c>
      <c r="J203" s="5">
        <f t="shared" si="55"/>
        <v>-5.9949273691491363E-3</v>
      </c>
      <c r="K203" s="3">
        <f t="shared" si="43"/>
        <v>-1.0406567202228889</v>
      </c>
      <c r="L203" s="3">
        <f t="shared" si="44"/>
        <v>1.6574124391001597</v>
      </c>
      <c r="N203" s="12">
        <f t="shared" si="45"/>
        <v>-1.1733961956065554E-3</v>
      </c>
      <c r="O203" s="12">
        <f t="shared" si="46"/>
        <v>-5.9124422045391553E-4</v>
      </c>
      <c r="P203" s="12">
        <f t="shared" si="47"/>
        <v>4.6548383354712221E-5</v>
      </c>
      <c r="Q203" s="12">
        <f t="shared" si="48"/>
        <v>-5.4192084165121269E-4</v>
      </c>
      <c r="R203" s="12">
        <f t="shared" si="49"/>
        <v>-1.0664221186512763E-3</v>
      </c>
      <c r="S203" s="12">
        <f t="shared" si="50"/>
        <v>-1.9379861532882836E-3</v>
      </c>
      <c r="T203" s="12">
        <f t="shared" si="51"/>
        <v>0.45999999999999996</v>
      </c>
      <c r="U203" s="12">
        <f t="shared" si="52"/>
        <v>0.39934523809523803</v>
      </c>
      <c r="V203" s="12">
        <f t="shared" si="53"/>
        <v>0.40455541508638904</v>
      </c>
    </row>
    <row r="204" spans="1:22" x14ac:dyDescent="0.25">
      <c r="A204" s="26">
        <v>85.34</v>
      </c>
      <c r="B204">
        <v>84.73</v>
      </c>
      <c r="C204">
        <v>2.82</v>
      </c>
      <c r="D204" s="2">
        <v>45152</v>
      </c>
      <c r="E204">
        <v>85.2</v>
      </c>
      <c r="F204">
        <v>0.14000000000000001</v>
      </c>
      <c r="G204">
        <v>-0.46999999999999886</v>
      </c>
      <c r="H204" s="5">
        <f t="shared" si="54"/>
        <v>1.6431924882629109E-3</v>
      </c>
      <c r="I204" s="3">
        <f t="shared" si="42"/>
        <v>0.57342714790016258</v>
      </c>
      <c r="J204" s="5">
        <f t="shared" si="55"/>
        <v>-5.5164319248826154E-3</v>
      </c>
      <c r="K204" s="3">
        <f t="shared" si="43"/>
        <v>-0.81863743209797224</v>
      </c>
      <c r="L204" s="3">
        <f t="shared" si="44"/>
        <v>1.7276962960381885</v>
      </c>
      <c r="N204" s="12">
        <f t="shared" si="45"/>
        <v>-1.8408386546962764E-3</v>
      </c>
      <c r="O204" s="12">
        <f t="shared" si="46"/>
        <v>-1.0085509723203874E-3</v>
      </c>
      <c r="P204" s="12">
        <f t="shared" si="47"/>
        <v>-2.5830929560244733E-4</v>
      </c>
      <c r="Q204" s="12">
        <f t="shared" si="48"/>
        <v>-5.1462549361864628E-4</v>
      </c>
      <c r="R204" s="12">
        <f t="shared" si="49"/>
        <v>-1.0982485266484597E-3</v>
      </c>
      <c r="S204" s="12">
        <f t="shared" si="50"/>
        <v>-1.978139917166328E-3</v>
      </c>
      <c r="T204" s="12">
        <f t="shared" si="51"/>
        <v>0.38857142857142857</v>
      </c>
      <c r="U204" s="12">
        <f t="shared" si="52"/>
        <v>0.34196428571428594</v>
      </c>
      <c r="V204" s="12">
        <f t="shared" si="53"/>
        <v>0.34847029077117631</v>
      </c>
    </row>
    <row r="205" spans="1:22" x14ac:dyDescent="0.25">
      <c r="A205" s="26">
        <v>84.2</v>
      </c>
      <c r="B205">
        <v>83.55</v>
      </c>
      <c r="C205">
        <v>3.18</v>
      </c>
      <c r="D205" s="2">
        <v>45149</v>
      </c>
      <c r="E205">
        <v>84.2</v>
      </c>
      <c r="F205">
        <v>0</v>
      </c>
      <c r="G205">
        <v>-0.65000000000000568</v>
      </c>
      <c r="H205" s="5">
        <f t="shared" si="54"/>
        <v>0</v>
      </c>
      <c r="I205" s="3">
        <f t="shared" si="42"/>
        <v>0.24064373475364223</v>
      </c>
      <c r="J205" s="5">
        <f t="shared" si="55"/>
        <v>-7.7197149643706137E-3</v>
      </c>
      <c r="K205" s="3">
        <f t="shared" si="43"/>
        <v>-1.8744626782695357</v>
      </c>
      <c r="L205" s="3">
        <f t="shared" si="44"/>
        <v>2.5716370303204621</v>
      </c>
      <c r="N205" s="12">
        <f t="shared" si="45"/>
        <v>-1.8627276633210788E-3</v>
      </c>
      <c r="O205" s="12">
        <f t="shared" si="46"/>
        <v>-1.3113292441083199E-3</v>
      </c>
      <c r="P205" s="12">
        <f t="shared" si="47"/>
        <v>-3.2617198093475627E-4</v>
      </c>
      <c r="Q205" s="12">
        <f t="shared" si="48"/>
        <v>-5.3813231613245895E-4</v>
      </c>
      <c r="R205" s="12">
        <f t="shared" si="49"/>
        <v>-1.1051345121938991E-3</v>
      </c>
      <c r="S205" s="12">
        <f t="shared" si="50"/>
        <v>-1.9864817389183696E-3</v>
      </c>
      <c r="T205" s="12">
        <f t="shared" si="51"/>
        <v>0.35999999999999988</v>
      </c>
      <c r="U205" s="12">
        <f t="shared" si="52"/>
        <v>0.29928571428571438</v>
      </c>
      <c r="V205" s="12">
        <f t="shared" si="53"/>
        <v>0.31653603034134026</v>
      </c>
    </row>
    <row r="206" spans="1:22" x14ac:dyDescent="0.25">
      <c r="A206" s="26">
        <v>82.24</v>
      </c>
      <c r="B206">
        <v>81.709999999999994</v>
      </c>
      <c r="C206">
        <v>2.83</v>
      </c>
      <c r="D206" s="2">
        <v>45148</v>
      </c>
      <c r="E206">
        <v>82.09</v>
      </c>
      <c r="F206">
        <v>0.15</v>
      </c>
      <c r="G206">
        <v>-0.38000000000000966</v>
      </c>
      <c r="H206" s="5">
        <f t="shared" si="54"/>
        <v>1.8272627603849432E-3</v>
      </c>
      <c r="I206" s="3">
        <f t="shared" si="42"/>
        <v>0.60770961446361027</v>
      </c>
      <c r="J206" s="5">
        <f t="shared" si="55"/>
        <v>-4.6290656596419738E-3</v>
      </c>
      <c r="K206" s="3">
        <f t="shared" si="43"/>
        <v>-0.41145291298454567</v>
      </c>
      <c r="L206" s="3">
        <f t="shared" si="44"/>
        <v>1.6949889015027986</v>
      </c>
      <c r="N206" s="12">
        <f t="shared" si="45"/>
        <v>-1.3837186968458305E-3</v>
      </c>
      <c r="O206" s="12">
        <f t="shared" si="46"/>
        <v>-1.307600419527689E-3</v>
      </c>
      <c r="P206" s="12">
        <f t="shared" si="47"/>
        <v>-1.6876275488863471E-4</v>
      </c>
      <c r="Q206" s="12">
        <f t="shared" si="48"/>
        <v>-3.673223540472479E-4</v>
      </c>
      <c r="R206" s="12">
        <f t="shared" si="49"/>
        <v>-9.5252193875357619E-4</v>
      </c>
      <c r="S206" s="12">
        <f t="shared" si="50"/>
        <v>-1.825343895803141E-3</v>
      </c>
      <c r="T206" s="12">
        <f t="shared" si="51"/>
        <v>0.30047619047619034</v>
      </c>
      <c r="U206" s="12">
        <f t="shared" si="52"/>
        <v>0.23547619047619017</v>
      </c>
      <c r="V206" s="12">
        <f t="shared" si="53"/>
        <v>0.25195533080488852</v>
      </c>
    </row>
    <row r="207" spans="1:22" x14ac:dyDescent="0.25">
      <c r="A207" s="26">
        <v>81.459999999999994</v>
      </c>
      <c r="B207">
        <v>81.3</v>
      </c>
      <c r="C207">
        <v>2.61</v>
      </c>
      <c r="D207" s="2">
        <v>45146</v>
      </c>
      <c r="E207">
        <v>81.64</v>
      </c>
      <c r="F207">
        <v>-0.18</v>
      </c>
      <c r="G207">
        <v>-0.34000000000000341</v>
      </c>
      <c r="H207" s="5">
        <f t="shared" si="54"/>
        <v>-2.2048015678588924E-3</v>
      </c>
      <c r="I207" s="3">
        <f t="shared" si="42"/>
        <v>-0.21106940340542862</v>
      </c>
      <c r="J207" s="5">
        <f t="shared" si="55"/>
        <v>-4.1646251837335058E-3</v>
      </c>
      <c r="K207" s="3">
        <f t="shared" si="43"/>
        <v>-0.19213903302715632</v>
      </c>
      <c r="L207" s="3">
        <f t="shared" si="44"/>
        <v>1.1323306421899713</v>
      </c>
      <c r="N207" s="12">
        <f t="shared" si="45"/>
        <v>-5.2509629457092046E-4</v>
      </c>
      <c r="O207" s="12">
        <f t="shared" si="46"/>
        <v>-1.1948540840191844E-3</v>
      </c>
      <c r="P207" s="12">
        <f t="shared" si="47"/>
        <v>3.1805394751207184E-5</v>
      </c>
      <c r="Q207" s="12">
        <f t="shared" si="48"/>
        <v>-1.7586606626131436E-4</v>
      </c>
      <c r="R207" s="12">
        <f t="shared" si="49"/>
        <v>-1.018448689700322E-3</v>
      </c>
      <c r="S207" s="12">
        <f t="shared" si="50"/>
        <v>-1.8320718409242827E-3</v>
      </c>
      <c r="T207" s="12">
        <f t="shared" si="51"/>
        <v>0.29619047619047612</v>
      </c>
      <c r="U207" s="12">
        <f t="shared" si="52"/>
        <v>0.20857142857142863</v>
      </c>
      <c r="V207" s="12">
        <f t="shared" si="53"/>
        <v>0.22715549936788904</v>
      </c>
    </row>
    <row r="208" spans="1:22" x14ac:dyDescent="0.25">
      <c r="A208" s="26">
        <v>82.28</v>
      </c>
      <c r="B208">
        <v>82.11</v>
      </c>
      <c r="C208">
        <v>2.5299999999999998</v>
      </c>
      <c r="D208" s="2">
        <v>45145</v>
      </c>
      <c r="E208">
        <v>82.6</v>
      </c>
      <c r="F208">
        <v>-0.32</v>
      </c>
      <c r="G208">
        <v>-0.48999999999999488</v>
      </c>
      <c r="H208" s="5">
        <f t="shared" si="54"/>
        <v>-3.8740920096852305E-3</v>
      </c>
      <c r="I208" s="3">
        <f t="shared" si="42"/>
        <v>-0.54798579872165976</v>
      </c>
      <c r="J208" s="5">
        <f t="shared" si="55"/>
        <v>-5.932203389830447E-3</v>
      </c>
      <c r="K208" s="3">
        <f t="shared" si="43"/>
        <v>-1.0281655197999713</v>
      </c>
      <c r="L208" s="3">
        <f t="shared" si="44"/>
        <v>0.94767715706266742</v>
      </c>
      <c r="N208" s="12">
        <f t="shared" si="45"/>
        <v>-9.1451501284031016E-4</v>
      </c>
      <c r="O208" s="12">
        <f t="shared" si="46"/>
        <v>-1.3801809263547817E-3</v>
      </c>
      <c r="P208" s="12">
        <f t="shared" si="47"/>
        <v>-4.0387914711306934E-5</v>
      </c>
      <c r="Q208" s="12">
        <f t="shared" si="48"/>
        <v>-3.4388907805519859E-4</v>
      </c>
      <c r="R208" s="12">
        <f t="shared" si="49"/>
        <v>-1.1999441484305201E-3</v>
      </c>
      <c r="S208" s="12">
        <f t="shared" si="50"/>
        <v>-1.9524717057901879E-3</v>
      </c>
      <c r="T208" s="12">
        <f t="shared" si="51"/>
        <v>0.24428571428571422</v>
      </c>
      <c r="U208" s="12">
        <f t="shared" si="52"/>
        <v>0.1572619047619046</v>
      </c>
      <c r="V208" s="12">
        <f t="shared" si="53"/>
        <v>0.1840792246101981</v>
      </c>
    </row>
    <row r="209" spans="1:22" x14ac:dyDescent="0.25">
      <c r="A209" s="26">
        <v>83.33</v>
      </c>
      <c r="B209">
        <v>83</v>
      </c>
      <c r="C209">
        <v>3.78</v>
      </c>
      <c r="D209" s="2">
        <v>45142</v>
      </c>
      <c r="E209">
        <v>83.57</v>
      </c>
      <c r="F209">
        <v>-0.24</v>
      </c>
      <c r="G209">
        <v>-0.56999999999999318</v>
      </c>
      <c r="H209" s="5">
        <f t="shared" si="54"/>
        <v>-2.8718439631446693E-3</v>
      </c>
      <c r="I209" s="3">
        <f t="shared" si="42"/>
        <v>-0.34307130982155304</v>
      </c>
      <c r="J209" s="5">
        <f t="shared" si="55"/>
        <v>-6.8206294124685081E-3</v>
      </c>
      <c r="K209" s="3">
        <f t="shared" si="43"/>
        <v>-1.4592983146574241</v>
      </c>
      <c r="L209" s="3">
        <f t="shared" si="44"/>
        <v>3.8359812363414325</v>
      </c>
      <c r="N209" s="12">
        <f t="shared" si="45"/>
        <v>-3.1458642384986579E-4</v>
      </c>
      <c r="O209" s="12">
        <f t="shared" si="46"/>
        <v>-8.5155547202856699E-4</v>
      </c>
      <c r="P209" s="12">
        <f t="shared" si="47"/>
        <v>4.3606341204333184E-4</v>
      </c>
      <c r="Q209" s="12">
        <f t="shared" si="48"/>
        <v>-1.8608751071051699E-4</v>
      </c>
      <c r="R209" s="12">
        <f t="shared" si="49"/>
        <v>-1.1747678012145896E-3</v>
      </c>
      <c r="S209" s="12">
        <f t="shared" si="50"/>
        <v>-1.8977954421650471E-3</v>
      </c>
      <c r="T209" s="12">
        <f t="shared" si="51"/>
        <v>0.2028571428571424</v>
      </c>
      <c r="U209" s="12">
        <f t="shared" si="52"/>
        <v>0.13267857142857098</v>
      </c>
      <c r="V209" s="12">
        <f t="shared" si="53"/>
        <v>0.15594184576485448</v>
      </c>
    </row>
    <row r="210" spans="1:22" x14ac:dyDescent="0.25">
      <c r="A210" s="26">
        <v>83.52</v>
      </c>
      <c r="B210">
        <v>83.15</v>
      </c>
      <c r="C210">
        <v>3.11</v>
      </c>
      <c r="D210" s="2">
        <v>45141</v>
      </c>
      <c r="E210">
        <v>83.72</v>
      </c>
      <c r="F210">
        <v>-0.2</v>
      </c>
      <c r="G210">
        <v>-0.56999999999999318</v>
      </c>
      <c r="H210" s="5">
        <f t="shared" si="54"/>
        <v>-2.3889154323936935E-3</v>
      </c>
      <c r="I210" s="3">
        <f t="shared" si="42"/>
        <v>-0.25119898724886214</v>
      </c>
      <c r="J210" s="5">
        <f t="shared" si="55"/>
        <v>-6.8084089823219444E-3</v>
      </c>
      <c r="K210" s="3">
        <f t="shared" si="43"/>
        <v>-1.4659182109734141</v>
      </c>
      <c r="L210" s="3">
        <f t="shared" si="44"/>
        <v>2.2942660646615205</v>
      </c>
      <c r="N210" s="12">
        <f t="shared" si="45"/>
        <v>-4.794353383304837E-4</v>
      </c>
      <c r="O210" s="12">
        <f t="shared" si="46"/>
        <v>-6.8601509958035633E-4</v>
      </c>
      <c r="P210" s="12">
        <f t="shared" si="47"/>
        <v>5.8411744883473293E-4</v>
      </c>
      <c r="Q210" s="12">
        <f t="shared" si="48"/>
        <v>-5.9587827802376828E-5</v>
      </c>
      <c r="R210" s="12">
        <f t="shared" si="49"/>
        <v>-1.1012760835795053E-3</v>
      </c>
      <c r="S210" s="12">
        <f t="shared" si="50"/>
        <v>-1.8027252132556005E-3</v>
      </c>
      <c r="T210" s="12">
        <f t="shared" si="51"/>
        <v>9.7142857142856753E-2</v>
      </c>
      <c r="U210" s="12">
        <f t="shared" si="52"/>
        <v>4.2440476190475529E-2</v>
      </c>
      <c r="V210" s="12">
        <f t="shared" si="53"/>
        <v>6.1184155077960156E-2</v>
      </c>
    </row>
    <row r="211" spans="1:22" x14ac:dyDescent="0.25">
      <c r="A211" s="26">
        <v>81.88</v>
      </c>
      <c r="B211">
        <v>81.55</v>
      </c>
      <c r="C211">
        <v>2.96</v>
      </c>
      <c r="D211" s="2">
        <v>45140</v>
      </c>
      <c r="E211">
        <v>81.900000000000006</v>
      </c>
      <c r="F211">
        <v>-0.02</v>
      </c>
      <c r="G211">
        <v>-0.35000000000000853</v>
      </c>
      <c r="H211" s="5">
        <f t="shared" si="54"/>
        <v>-2.442002442002442E-4</v>
      </c>
      <c r="I211" s="3">
        <f t="shared" si="42"/>
        <v>0.18064362870023434</v>
      </c>
      <c r="J211" s="5">
        <f t="shared" si="55"/>
        <v>-4.2735042735043772E-3</v>
      </c>
      <c r="K211" s="3">
        <f t="shared" si="43"/>
        <v>-0.25230258806676281</v>
      </c>
      <c r="L211" s="3">
        <f t="shared" si="44"/>
        <v>1.9199247129285886</v>
      </c>
      <c r="N211" s="12">
        <f t="shared" si="45"/>
        <v>-1.7624691275406232E-4</v>
      </c>
      <c r="O211" s="12">
        <f t="shared" si="46"/>
        <v>-2.4800902944256686E-4</v>
      </c>
      <c r="P211" s="12">
        <f t="shared" si="47"/>
        <v>8.468007804017057E-4</v>
      </c>
      <c r="Q211" s="12">
        <f t="shared" si="48"/>
        <v>1.0706583591739861E-4</v>
      </c>
      <c r="R211" s="12">
        <f t="shared" si="49"/>
        <v>-9.4078105198225695E-4</v>
      </c>
      <c r="S211" s="12">
        <f t="shared" si="50"/>
        <v>-1.6795283324048502E-3</v>
      </c>
      <c r="T211" s="12">
        <f t="shared" si="51"/>
        <v>4.2380952380951964E-2</v>
      </c>
      <c r="U211" s="12">
        <f t="shared" si="52"/>
        <v>-8.8095238095240447E-3</v>
      </c>
      <c r="V211" s="12">
        <f t="shared" si="53"/>
        <v>7.0754319426886703E-3</v>
      </c>
    </row>
    <row r="212" spans="1:22" x14ac:dyDescent="0.25">
      <c r="A212" s="26">
        <v>84.69</v>
      </c>
      <c r="B212">
        <v>84.09</v>
      </c>
      <c r="C212">
        <v>2.75</v>
      </c>
      <c r="D212" s="2">
        <v>45139</v>
      </c>
      <c r="E212">
        <v>84.41</v>
      </c>
      <c r="F212">
        <v>0.28000000000000003</v>
      </c>
      <c r="G212">
        <v>-0.31999999999999318</v>
      </c>
      <c r="H212" s="5">
        <f t="shared" si="54"/>
        <v>3.3171425186589269E-3</v>
      </c>
      <c r="I212" s="3">
        <f t="shared" si="42"/>
        <v>0.88660014259410413</v>
      </c>
      <c r="J212" s="5">
        <f t="shared" si="55"/>
        <v>-3.7910200213244071E-3</v>
      </c>
      <c r="K212" s="3">
        <f t="shared" si="43"/>
        <v>-2.3211699074221312E-2</v>
      </c>
      <c r="L212" s="3">
        <f t="shared" si="44"/>
        <v>1.3907804031363329</v>
      </c>
      <c r="N212" s="12">
        <f t="shared" si="45"/>
        <v>-1.1046772556996263E-3</v>
      </c>
      <c r="O212" s="12">
        <f t="shared" si="46"/>
        <v>-6.4683639895663902E-4</v>
      </c>
      <c r="P212" s="12">
        <f t="shared" si="47"/>
        <v>5.326505947628572E-4</v>
      </c>
      <c r="Q212" s="12">
        <f t="shared" si="48"/>
        <v>-7.5995357236106724E-5</v>
      </c>
      <c r="R212" s="12">
        <f t="shared" si="49"/>
        <v>-1.0558374610980283E-3</v>
      </c>
      <c r="S212" s="12">
        <f t="shared" si="50"/>
        <v>-1.7891000584970237E-3</v>
      </c>
      <c r="T212" s="12">
        <f t="shared" si="51"/>
        <v>-3.3333333333333881E-2</v>
      </c>
      <c r="U212" s="12">
        <f t="shared" si="52"/>
        <v>-5.9404761904762404E-2</v>
      </c>
      <c r="V212" s="12">
        <f t="shared" si="53"/>
        <v>-3.93763168984409E-2</v>
      </c>
    </row>
    <row r="213" spans="1:22" x14ac:dyDescent="0.25">
      <c r="A213" s="26">
        <v>86.65</v>
      </c>
      <c r="B213">
        <v>86.45</v>
      </c>
      <c r="C213">
        <v>2.19</v>
      </c>
      <c r="D213" s="2">
        <v>45138</v>
      </c>
      <c r="E213">
        <v>86.94</v>
      </c>
      <c r="F213">
        <v>-0.28999999999999998</v>
      </c>
      <c r="G213">
        <v>-0.48999999999999488</v>
      </c>
      <c r="H213" s="5">
        <f t="shared" si="54"/>
        <v>-3.3356337704163789E-3</v>
      </c>
      <c r="I213" s="3">
        <f t="shared" si="42"/>
        <v>-0.44424609788340119</v>
      </c>
      <c r="J213" s="5">
        <f t="shared" si="55"/>
        <v>-5.6360708534620987E-3</v>
      </c>
      <c r="K213" s="3">
        <f t="shared" si="43"/>
        <v>-0.91603884118827617</v>
      </c>
      <c r="L213" s="3">
        <f t="shared" si="44"/>
        <v>0.12929392563058825</v>
      </c>
      <c r="N213" s="12">
        <f t="shared" si="45"/>
        <v>-7.7883802496215031E-4</v>
      </c>
      <c r="O213" s="12">
        <f t="shared" si="46"/>
        <v>-5.2199589357924503E-4</v>
      </c>
      <c r="P213" s="12">
        <f t="shared" si="47"/>
        <v>5.6572270307085214E-4</v>
      </c>
      <c r="Q213" s="12">
        <f t="shared" si="48"/>
        <v>-3.4774158881838158E-4</v>
      </c>
      <c r="R213" s="12">
        <f t="shared" si="49"/>
        <v>-1.2133048290831712E-3</v>
      </c>
      <c r="S213" s="12">
        <f t="shared" si="50"/>
        <v>-1.9206748331122513E-3</v>
      </c>
      <c r="T213" s="12">
        <f t="shared" si="51"/>
        <v>-5.380952380952464E-2</v>
      </c>
      <c r="U213" s="12">
        <f t="shared" si="52"/>
        <v>-8.744047619047679E-2</v>
      </c>
      <c r="V213" s="12">
        <f t="shared" si="53"/>
        <v>-7.0261272650653517E-2</v>
      </c>
    </row>
    <row r="214" spans="1:22" x14ac:dyDescent="0.25">
      <c r="A214" s="26">
        <v>87.33</v>
      </c>
      <c r="B214">
        <v>87.33</v>
      </c>
      <c r="C214">
        <v>1.94</v>
      </c>
      <c r="D214" s="2">
        <v>45135</v>
      </c>
      <c r="E214">
        <v>87.79</v>
      </c>
      <c r="F214">
        <v>-0.46</v>
      </c>
      <c r="G214">
        <v>-0.46000000000000796</v>
      </c>
      <c r="H214" s="5">
        <f t="shared" si="54"/>
        <v>-5.2397767399476021E-3</v>
      </c>
      <c r="I214" s="3">
        <f t="shared" si="42"/>
        <v>-0.83193426568431739</v>
      </c>
      <c r="J214" s="5">
        <f t="shared" si="55"/>
        <v>-5.2397767399476923E-3</v>
      </c>
      <c r="K214" s="3">
        <f t="shared" si="43"/>
        <v>-0.73029396845327221</v>
      </c>
      <c r="L214" s="3">
        <f t="shared" si="44"/>
        <v>-0.43996137253343909</v>
      </c>
      <c r="N214" s="12">
        <f t="shared" si="45"/>
        <v>-7.7757226747008506E-5</v>
      </c>
      <c r="O214" s="12">
        <f t="shared" si="46"/>
        <v>-1.616161975353525E-4</v>
      </c>
      <c r="P214" s="12">
        <f t="shared" si="47"/>
        <v>9.0939949572614294E-4</v>
      </c>
      <c r="Q214" s="12">
        <f t="shared" si="48"/>
        <v>-5.8032753182014288E-4</v>
      </c>
      <c r="R214" s="12">
        <f t="shared" si="49"/>
        <v>-1.3259478326949096E-3</v>
      </c>
      <c r="S214" s="12">
        <f t="shared" si="50"/>
        <v>-1.9988134821842954E-3</v>
      </c>
      <c r="T214" s="12">
        <f t="shared" si="51"/>
        <v>-4.7619047619047672E-2</v>
      </c>
      <c r="U214" s="12">
        <f t="shared" si="52"/>
        <v>-9.6071428571428363E-2</v>
      </c>
      <c r="V214" s="12">
        <f t="shared" si="53"/>
        <v>-8.0758533501896324E-2</v>
      </c>
    </row>
    <row r="215" spans="1:22" x14ac:dyDescent="0.25">
      <c r="A215" s="26">
        <v>88.02</v>
      </c>
      <c r="B215">
        <v>88.1</v>
      </c>
      <c r="C215">
        <v>1.77</v>
      </c>
      <c r="D215" s="2">
        <v>45134</v>
      </c>
      <c r="E215">
        <v>88.44</v>
      </c>
      <c r="F215">
        <v>-0.42</v>
      </c>
      <c r="G215">
        <v>-0.34000000000000341</v>
      </c>
      <c r="H215" s="5">
        <f t="shared" si="54"/>
        <v>-4.7489823609226595E-3</v>
      </c>
      <c r="I215" s="3">
        <f t="shared" si="42"/>
        <v>-0.73994718305468166</v>
      </c>
      <c r="J215" s="5">
        <f t="shared" si="55"/>
        <v>-3.8444142921755251E-3</v>
      </c>
      <c r="K215" s="3">
        <f t="shared" si="43"/>
        <v>-6.1008415479206046E-2</v>
      </c>
      <c r="L215" s="3">
        <f t="shared" si="44"/>
        <v>-0.83054456168750479</v>
      </c>
      <c r="N215" s="12">
        <f t="shared" si="45"/>
        <v>-2.483002531499407E-4</v>
      </c>
      <c r="O215" s="12">
        <f t="shared" si="46"/>
        <v>-3.8841183248319237E-4</v>
      </c>
      <c r="P215" s="12">
        <f t="shared" si="47"/>
        <v>8.4912015590693577E-4</v>
      </c>
      <c r="Q215" s="12">
        <f t="shared" si="48"/>
        <v>-7.853920374722408E-4</v>
      </c>
      <c r="R215" s="12">
        <f t="shared" si="49"/>
        <v>-1.4021427336266424E-3</v>
      </c>
      <c r="S215" s="12">
        <f t="shared" si="50"/>
        <v>-2.0394899958950095E-3</v>
      </c>
      <c r="T215" s="12">
        <f t="shared" si="51"/>
        <v>-5.6190476190476346E-2</v>
      </c>
      <c r="U215" s="12">
        <f t="shared" si="52"/>
        <v>-0.11101190476190492</v>
      </c>
      <c r="V215" s="12">
        <f t="shared" si="53"/>
        <v>-9.1019806152549343E-2</v>
      </c>
    </row>
    <row r="216" spans="1:22" x14ac:dyDescent="0.25">
      <c r="A216" s="26">
        <v>90.25</v>
      </c>
      <c r="B216">
        <v>89.6</v>
      </c>
      <c r="C216">
        <v>1.81</v>
      </c>
      <c r="D216" s="2">
        <v>45132</v>
      </c>
      <c r="E216">
        <v>90.13</v>
      </c>
      <c r="F216">
        <v>0.12</v>
      </c>
      <c r="G216">
        <v>-0.53000000000000114</v>
      </c>
      <c r="H216" s="5">
        <f t="shared" si="54"/>
        <v>1.3314101852879175E-3</v>
      </c>
      <c r="I216" s="3">
        <f t="shared" si="42"/>
        <v>0.47288011286429871</v>
      </c>
      <c r="J216" s="5">
        <f t="shared" si="55"/>
        <v>-5.8803949850216482E-3</v>
      </c>
      <c r="K216" s="3">
        <f t="shared" si="43"/>
        <v>-1.0481132523406764</v>
      </c>
      <c r="L216" s="3">
        <f t="shared" si="44"/>
        <v>-0.74800396070268416</v>
      </c>
      <c r="N216" s="12">
        <f t="shared" si="45"/>
        <v>1.1691621159772209E-3</v>
      </c>
      <c r="O216" s="12">
        <f t="shared" si="46"/>
        <v>8.1606667709182472E-4</v>
      </c>
      <c r="P216" s="12">
        <f t="shared" si="47"/>
        <v>1.8847791105298742E-3</v>
      </c>
      <c r="Q216" s="12">
        <f t="shared" si="48"/>
        <v>-8.7457322797395744E-4</v>
      </c>
      <c r="R216" s="12">
        <f t="shared" si="49"/>
        <v>-1.4304588269698259E-3</v>
      </c>
      <c r="S216" s="12">
        <f t="shared" si="50"/>
        <v>-2.0799969283127702E-3</v>
      </c>
      <c r="T216" s="12">
        <f t="shared" si="51"/>
        <v>-3.1904761904761658E-2</v>
      </c>
      <c r="U216" s="12">
        <f t="shared" si="52"/>
        <v>-8.1488095238095193E-2</v>
      </c>
      <c r="V216" s="12">
        <f t="shared" si="53"/>
        <v>-6.5086388537715534E-2</v>
      </c>
    </row>
    <row r="217" spans="1:22" x14ac:dyDescent="0.25">
      <c r="A217" s="26">
        <v>90.3</v>
      </c>
      <c r="B217">
        <v>90</v>
      </c>
      <c r="C217">
        <v>1.78</v>
      </c>
      <c r="D217" s="2">
        <v>45131</v>
      </c>
      <c r="E217">
        <v>90.56</v>
      </c>
      <c r="F217">
        <v>-0.26</v>
      </c>
      <c r="G217">
        <v>-0.56000000000000227</v>
      </c>
      <c r="H217" s="5">
        <f t="shared" si="54"/>
        <v>-2.8710247349823322E-3</v>
      </c>
      <c r="I217" s="3">
        <f t="shared" si="42"/>
        <v>-0.36635368297396537</v>
      </c>
      <c r="J217" s="5">
        <f t="shared" si="55"/>
        <v>-6.1837455830388941E-3</v>
      </c>
      <c r="K217" s="3">
        <f t="shared" si="43"/>
        <v>-1.204587977993572</v>
      </c>
      <c r="L217" s="3">
        <f t="shared" si="44"/>
        <v>-0.82124613820398706</v>
      </c>
      <c r="N217" s="12">
        <f t="shared" si="45"/>
        <v>8.2640080446200399E-4</v>
      </c>
      <c r="O217" s="12">
        <f t="shared" si="46"/>
        <v>4.6568597973956229E-4</v>
      </c>
      <c r="P217" s="12">
        <f t="shared" si="47"/>
        <v>1.5295440997792169E-3</v>
      </c>
      <c r="Q217" s="12">
        <f t="shared" si="48"/>
        <v>-8.7782065028367724E-4</v>
      </c>
      <c r="R217" s="12">
        <f t="shared" si="49"/>
        <v>-1.4026946331683419E-3</v>
      </c>
      <c r="S217" s="12">
        <f t="shared" si="50"/>
        <v>-2.085109630402769E-3</v>
      </c>
      <c r="T217" s="12">
        <f t="shared" si="51"/>
        <v>-2.8571428571428248E-2</v>
      </c>
      <c r="U217" s="12">
        <f t="shared" si="52"/>
        <v>-9.1011904761904461E-2</v>
      </c>
      <c r="V217" s="12">
        <f t="shared" si="53"/>
        <v>-6.6632954066582428E-2</v>
      </c>
    </row>
    <row r="218" spans="1:22" x14ac:dyDescent="0.25">
      <c r="A218" s="26">
        <v>89.36</v>
      </c>
      <c r="B218">
        <v>89.1</v>
      </c>
      <c r="C218">
        <v>2.09</v>
      </c>
      <c r="D218" s="2">
        <v>45128</v>
      </c>
      <c r="E218">
        <v>89.71</v>
      </c>
      <c r="F218">
        <v>-0.35</v>
      </c>
      <c r="G218">
        <v>-0.60999999999999943</v>
      </c>
      <c r="H218" s="5">
        <f t="shared" si="54"/>
        <v>-3.9014602608404862E-3</v>
      </c>
      <c r="I218" s="3">
        <f t="shared" si="42"/>
        <v>-0.5759470509328124</v>
      </c>
      <c r="J218" s="5">
        <f t="shared" si="55"/>
        <v>-6.7996878831791266E-3</v>
      </c>
      <c r="K218" s="3">
        <f t="shared" si="43"/>
        <v>-1.5151189419784967</v>
      </c>
      <c r="L218" s="3">
        <f t="shared" si="44"/>
        <v>-0.11904014008466146</v>
      </c>
      <c r="N218" s="12">
        <f t="shared" si="45"/>
        <v>4.8938775101225172E-4</v>
      </c>
      <c r="O218" s="12">
        <f t="shared" si="46"/>
        <v>5.4963901215976179E-4</v>
      </c>
      <c r="P218" s="12">
        <f t="shared" si="47"/>
        <v>1.1838057050153582E-3</v>
      </c>
      <c r="Q218" s="12">
        <f t="shared" si="48"/>
        <v>-6.5821573286336654E-4</v>
      </c>
      <c r="R218" s="12">
        <f t="shared" si="49"/>
        <v>-1.1787617563855327E-3</v>
      </c>
      <c r="S218" s="12">
        <f t="shared" si="50"/>
        <v>-1.9126612739564924E-3</v>
      </c>
      <c r="T218" s="12">
        <f t="shared" si="51"/>
        <v>-4.4761904761904114E-2</v>
      </c>
      <c r="U218" s="12">
        <f t="shared" si="52"/>
        <v>-0.10309523809523768</v>
      </c>
      <c r="V218" s="12">
        <f t="shared" si="53"/>
        <v>-7.9485882848714384E-2</v>
      </c>
    </row>
    <row r="219" spans="1:22" x14ac:dyDescent="0.25">
      <c r="A219" s="26">
        <v>87.76</v>
      </c>
      <c r="B219">
        <v>87.45</v>
      </c>
      <c r="C219">
        <v>1.91</v>
      </c>
      <c r="D219" s="2">
        <v>45127</v>
      </c>
      <c r="E219">
        <v>88.07</v>
      </c>
      <c r="F219">
        <v>-0.31</v>
      </c>
      <c r="G219">
        <v>-0.61999999999999034</v>
      </c>
      <c r="H219" s="5">
        <f t="shared" si="54"/>
        <v>-3.519927330532531E-3</v>
      </c>
      <c r="I219" s="3">
        <f t="shared" si="42"/>
        <v>-0.49715321807848689</v>
      </c>
      <c r="J219" s="5">
        <f t="shared" si="55"/>
        <v>-7.0398546610649527E-3</v>
      </c>
      <c r="K219" s="3">
        <f t="shared" si="43"/>
        <v>-1.6488434278886992</v>
      </c>
      <c r="L219" s="3">
        <f t="shared" si="44"/>
        <v>-0.52198446962514033</v>
      </c>
      <c r="N219" s="12">
        <f t="shared" si="45"/>
        <v>6.2176780775551467E-4</v>
      </c>
      <c r="O219" s="12">
        <f t="shared" si="46"/>
        <v>9.2957138398030753E-4</v>
      </c>
      <c r="P219" s="12">
        <f t="shared" si="47"/>
        <v>1.4747506270711356E-3</v>
      </c>
      <c r="Q219" s="12">
        <f t="shared" si="48"/>
        <v>-8.9887803975428893E-4</v>
      </c>
      <c r="R219" s="12">
        <f t="shared" si="49"/>
        <v>-1.3076312450360774E-3</v>
      </c>
      <c r="S219" s="12">
        <f t="shared" si="50"/>
        <v>-1.9753112991699818E-3</v>
      </c>
      <c r="T219" s="12">
        <f t="shared" si="51"/>
        <v>-7.4761904761904363E-2</v>
      </c>
      <c r="U219" s="12">
        <f t="shared" si="52"/>
        <v>-0.10089285714285645</v>
      </c>
      <c r="V219" s="12">
        <f t="shared" si="53"/>
        <v>-7.9077117572692535E-2</v>
      </c>
    </row>
    <row r="220" spans="1:22" x14ac:dyDescent="0.25">
      <c r="A220" s="26">
        <v>86.03</v>
      </c>
      <c r="B220">
        <v>85.36</v>
      </c>
      <c r="C220">
        <v>1.97</v>
      </c>
      <c r="D220" s="2">
        <v>45126</v>
      </c>
      <c r="E220">
        <v>85.67</v>
      </c>
      <c r="F220">
        <v>0.36</v>
      </c>
      <c r="G220">
        <v>-0.31000000000000227</v>
      </c>
      <c r="H220" s="5">
        <f t="shared" si="54"/>
        <v>4.2021711217462357E-3</v>
      </c>
      <c r="I220" s="3">
        <f t="shared" si="42"/>
        <v>1.0498502782245729</v>
      </c>
      <c r="J220" s="5">
        <f t="shared" si="55"/>
        <v>-3.6185362437259516E-3</v>
      </c>
      <c r="K220" s="3">
        <f t="shared" si="43"/>
        <v>1.0196204495967063E-2</v>
      </c>
      <c r="L220" s="3">
        <f t="shared" si="44"/>
        <v>-0.3900069109313834</v>
      </c>
      <c r="N220" s="12">
        <f t="shared" si="45"/>
        <v>1.4703990279875982E-3</v>
      </c>
      <c r="O220" s="12">
        <f t="shared" si="46"/>
        <v>1.5175081004412914E-3</v>
      </c>
      <c r="P220" s="12">
        <f t="shared" si="47"/>
        <v>1.8498702992484116E-3</v>
      </c>
      <c r="Q220" s="12">
        <f t="shared" si="48"/>
        <v>-4.9802890657520745E-4</v>
      </c>
      <c r="R220" s="12">
        <f t="shared" si="49"/>
        <v>-1.051562078319271E-3</v>
      </c>
      <c r="S220" s="12">
        <f t="shared" si="50"/>
        <v>-1.7452821101409501E-3</v>
      </c>
      <c r="T220" s="12">
        <f t="shared" si="51"/>
        <v>-6.238095238095287E-2</v>
      </c>
      <c r="U220" s="12">
        <f t="shared" si="52"/>
        <v>-8.0952380952380665E-2</v>
      </c>
      <c r="V220" s="12">
        <f t="shared" si="53"/>
        <v>-7.6616097766540214E-2</v>
      </c>
    </row>
    <row r="221" spans="1:22" x14ac:dyDescent="0.25">
      <c r="A221" s="26">
        <v>84.9</v>
      </c>
      <c r="B221">
        <v>84.39</v>
      </c>
      <c r="C221">
        <v>1.86</v>
      </c>
      <c r="D221" s="2">
        <v>45125</v>
      </c>
      <c r="E221">
        <v>84.8</v>
      </c>
      <c r="F221">
        <v>0.1</v>
      </c>
      <c r="G221">
        <v>-0.40999999999999659</v>
      </c>
      <c r="H221" s="5">
        <f t="shared" si="54"/>
        <v>1.1792452830188681E-3</v>
      </c>
      <c r="I221" s="3">
        <f t="shared" si="42"/>
        <v>0.4516551263552242</v>
      </c>
      <c r="J221" s="5">
        <f t="shared" si="55"/>
        <v>-4.8349056603773184E-3</v>
      </c>
      <c r="K221" s="3">
        <f t="shared" si="43"/>
        <v>-0.58783182080899732</v>
      </c>
      <c r="L221" s="3">
        <f t="shared" si="44"/>
        <v>-0.63905247529868481</v>
      </c>
      <c r="N221" s="12">
        <f t="shared" si="45"/>
        <v>1.0840063192664377E-3</v>
      </c>
      <c r="O221" s="12">
        <f t="shared" si="46"/>
        <v>1.3957113290946324E-3</v>
      </c>
      <c r="P221" s="12">
        <f t="shared" si="47"/>
        <v>1.5645445619643127E-3</v>
      </c>
      <c r="Q221" s="12">
        <f t="shared" si="48"/>
        <v>-5.3747094211355727E-4</v>
      </c>
      <c r="R221" s="12">
        <f t="shared" si="49"/>
        <v>-1.0776456518444043E-3</v>
      </c>
      <c r="S221" s="12">
        <f t="shared" si="50"/>
        <v>-1.8198976831214041E-3</v>
      </c>
      <c r="T221" s="12">
        <f t="shared" si="51"/>
        <v>-7.1904761904762582E-2</v>
      </c>
      <c r="U221" s="12">
        <f t="shared" si="52"/>
        <v>-7.3809523809524213E-2</v>
      </c>
      <c r="V221" s="12">
        <f t="shared" si="53"/>
        <v>-7.7210282343026071E-2</v>
      </c>
    </row>
    <row r="222" spans="1:22" x14ac:dyDescent="0.25">
      <c r="A222" s="26">
        <v>84.72</v>
      </c>
      <c r="B222">
        <v>84.51</v>
      </c>
      <c r="C222">
        <v>1.81</v>
      </c>
      <c r="D222" s="2">
        <v>45124</v>
      </c>
      <c r="E222">
        <v>85.01</v>
      </c>
      <c r="F222">
        <v>-0.28999999999999998</v>
      </c>
      <c r="G222">
        <v>-0.5</v>
      </c>
      <c r="H222" s="5">
        <f t="shared" si="54"/>
        <v>-3.4113633690154095E-3</v>
      </c>
      <c r="I222" s="3">
        <f t="shared" si="42"/>
        <v>-0.47096451941560663</v>
      </c>
      <c r="J222" s="5">
        <f t="shared" si="55"/>
        <v>-5.8816609810610513E-3</v>
      </c>
      <c r="K222" s="3">
        <f t="shared" si="43"/>
        <v>-1.106715525343049</v>
      </c>
      <c r="L222" s="3">
        <f t="shared" si="44"/>
        <v>-0.74316977444422816</v>
      </c>
      <c r="N222" s="12">
        <f t="shared" si="45"/>
        <v>1.3091897000792308E-3</v>
      </c>
      <c r="O222" s="12">
        <f t="shared" si="46"/>
        <v>1.5777794807415129E-3</v>
      </c>
      <c r="P222" s="12">
        <f t="shared" si="47"/>
        <v>1.6559662828791292E-3</v>
      </c>
      <c r="Q222" s="12">
        <f t="shared" si="48"/>
        <v>-3.1603163484768097E-4</v>
      </c>
      <c r="R222" s="12">
        <f t="shared" si="49"/>
        <v>-1.061462836788582E-3</v>
      </c>
      <c r="S222" s="12">
        <f t="shared" si="50"/>
        <v>-1.8163493217248131E-3</v>
      </c>
      <c r="T222" s="12">
        <f t="shared" si="51"/>
        <v>-6.4285714285715168E-2</v>
      </c>
      <c r="U222" s="12">
        <f t="shared" si="52"/>
        <v>-6.8035714285714866E-2</v>
      </c>
      <c r="V222" s="12">
        <f t="shared" si="53"/>
        <v>-7.0088495575221677E-2</v>
      </c>
    </row>
    <row r="223" spans="1:22" x14ac:dyDescent="0.25">
      <c r="A223" s="26">
        <v>85.51</v>
      </c>
      <c r="B223">
        <v>84.44</v>
      </c>
      <c r="C223">
        <v>2.2999999999999998</v>
      </c>
      <c r="D223" s="2">
        <v>45121</v>
      </c>
      <c r="E223">
        <v>85.04</v>
      </c>
      <c r="F223">
        <v>0.47</v>
      </c>
      <c r="G223">
        <v>-0.60000000000000853</v>
      </c>
      <c r="H223" s="5">
        <f t="shared" si="54"/>
        <v>5.5268109125117581E-3</v>
      </c>
      <c r="I223" s="3">
        <f t="shared" si="42"/>
        <v>1.3258273195918622</v>
      </c>
      <c r="J223" s="5">
        <f t="shared" si="55"/>
        <v>-7.0555032925683032E-3</v>
      </c>
      <c r="K223" s="3">
        <f t="shared" si="43"/>
        <v>-1.6923794514015271</v>
      </c>
      <c r="L223" s="3">
        <f t="shared" si="44"/>
        <v>0.35236919283507112</v>
      </c>
      <c r="N223" s="12">
        <f t="shared" si="45"/>
        <v>1.518754227295411E-3</v>
      </c>
      <c r="O223" s="12">
        <f t="shared" si="46"/>
        <v>1.9707802860444261E-3</v>
      </c>
      <c r="P223" s="12">
        <f t="shared" si="47"/>
        <v>2.0135265320155079E-3</v>
      </c>
      <c r="Q223" s="12">
        <f t="shared" si="48"/>
        <v>-4.9800962613016225E-4</v>
      </c>
      <c r="R223" s="12">
        <f t="shared" si="49"/>
        <v>-1.1556719862054771E-3</v>
      </c>
      <c r="S223" s="12">
        <f t="shared" si="50"/>
        <v>-1.8416347763628802E-3</v>
      </c>
      <c r="T223" s="12">
        <f t="shared" si="51"/>
        <v>-5.9523809523809534E-2</v>
      </c>
      <c r="U223" s="12">
        <f t="shared" si="52"/>
        <v>-4.303571428571451E-2</v>
      </c>
      <c r="V223" s="12">
        <f t="shared" si="53"/>
        <v>-5.9898862199747382E-2</v>
      </c>
    </row>
    <row r="224" spans="1:22" x14ac:dyDescent="0.25">
      <c r="A224" s="26">
        <v>84.25</v>
      </c>
      <c r="B224">
        <v>84.24</v>
      </c>
      <c r="C224">
        <v>1.71</v>
      </c>
      <c r="D224" s="2">
        <v>45120</v>
      </c>
      <c r="E224">
        <v>84.71</v>
      </c>
      <c r="F224">
        <v>-0.46</v>
      </c>
      <c r="G224">
        <v>-0.46999999999999886</v>
      </c>
      <c r="H224" s="5">
        <f t="shared" si="54"/>
        <v>-5.4302915830480468E-3</v>
      </c>
      <c r="I224" s="3">
        <f t="shared" si="42"/>
        <v>-0.86910758089529505</v>
      </c>
      <c r="J224" s="5">
        <f t="shared" si="55"/>
        <v>-5.5483414000708168E-3</v>
      </c>
      <c r="K224" s="3">
        <f t="shared" si="43"/>
        <v>-0.96635963497152744</v>
      </c>
      <c r="L224" s="3">
        <f t="shared" si="44"/>
        <v>-0.97187524734682407</v>
      </c>
      <c r="N224" s="12">
        <f t="shared" si="45"/>
        <v>9.997946111000263E-4</v>
      </c>
      <c r="O224" s="12">
        <f t="shared" si="46"/>
        <v>1.6312310783771471E-3</v>
      </c>
      <c r="P224" s="12">
        <f t="shared" si="47"/>
        <v>1.6624994222122023E-3</v>
      </c>
      <c r="Q224" s="12">
        <f t="shared" si="48"/>
        <v>-4.7783312651098874E-4</v>
      </c>
      <c r="R224" s="12">
        <f t="shared" si="49"/>
        <v>-1.212804263341795E-3</v>
      </c>
      <c r="S224" s="12">
        <f t="shared" si="50"/>
        <v>-1.8640021249853428E-3</v>
      </c>
      <c r="T224" s="12">
        <f t="shared" si="51"/>
        <v>-8.9047619047618376E-2</v>
      </c>
      <c r="U224" s="12">
        <f t="shared" si="52"/>
        <v>-5.6726190476189764E-2</v>
      </c>
      <c r="V224" s="12">
        <f t="shared" si="53"/>
        <v>-7.7568478718920808E-2</v>
      </c>
    </row>
    <row r="225" spans="1:22" x14ac:dyDescent="0.25">
      <c r="A225" s="26">
        <v>83.62</v>
      </c>
      <c r="B225">
        <v>83.38</v>
      </c>
      <c r="C225">
        <v>2.0099999999999998</v>
      </c>
      <c r="D225" s="2">
        <v>45118</v>
      </c>
      <c r="E225">
        <v>83.78</v>
      </c>
      <c r="F225">
        <v>-0.16</v>
      </c>
      <c r="G225">
        <v>-0.40000000000000568</v>
      </c>
      <c r="H225" s="5">
        <f t="shared" si="54"/>
        <v>-1.9097636667462401E-3</v>
      </c>
      <c r="I225" s="3">
        <f t="shared" si="42"/>
        <v>-0.16708886034910295</v>
      </c>
      <c r="J225" s="5">
        <f t="shared" si="55"/>
        <v>-4.7744091668656683E-3</v>
      </c>
      <c r="K225" s="3">
        <f t="shared" si="43"/>
        <v>-0.58941851811861035</v>
      </c>
      <c r="L225" s="3">
        <f t="shared" si="44"/>
        <v>-0.30476377657294162</v>
      </c>
      <c r="N225" s="12">
        <f t="shared" si="45"/>
        <v>1.3181231173735473E-3</v>
      </c>
      <c r="O225" s="12">
        <f t="shared" si="46"/>
        <v>2.0621018162943136E-3</v>
      </c>
      <c r="P225" s="12">
        <f t="shared" si="47"/>
        <v>2.1831766051384396E-3</v>
      </c>
      <c r="Q225" s="12">
        <f t="shared" si="48"/>
        <v>-4.920074210327547E-4</v>
      </c>
      <c r="R225" s="12">
        <f t="shared" si="49"/>
        <v>-1.3340396746841336E-3</v>
      </c>
      <c r="S225" s="12">
        <f t="shared" si="50"/>
        <v>-1.9049814241278223E-3</v>
      </c>
      <c r="T225" s="12">
        <f t="shared" si="51"/>
        <v>-8.4761904761904594E-2</v>
      </c>
      <c r="U225" s="12">
        <f t="shared" si="52"/>
        <v>-3.499999999999992E-2</v>
      </c>
      <c r="V225" s="12">
        <f t="shared" si="53"/>
        <v>-5.249051833122631E-2</v>
      </c>
    </row>
    <row r="226" spans="1:22" x14ac:dyDescent="0.25">
      <c r="A226" s="26">
        <v>85</v>
      </c>
      <c r="B226">
        <v>84.5</v>
      </c>
      <c r="C226">
        <v>1.9</v>
      </c>
      <c r="D226" s="2">
        <v>45117</v>
      </c>
      <c r="E226">
        <v>84.88</v>
      </c>
      <c r="F226">
        <v>0.12</v>
      </c>
      <c r="G226">
        <v>-0.37999999999999545</v>
      </c>
      <c r="H226" s="5">
        <f t="shared" si="54"/>
        <v>1.4137606032045241E-3</v>
      </c>
      <c r="I226" s="3">
        <f t="shared" si="42"/>
        <v>0.50630376798038934</v>
      </c>
      <c r="J226" s="5">
        <f t="shared" si="55"/>
        <v>-4.4769085768142725E-3</v>
      </c>
      <c r="K226" s="3">
        <f t="shared" si="43"/>
        <v>-0.44316568307969417</v>
      </c>
      <c r="L226" s="3">
        <f t="shared" si="44"/>
        <v>-0.5563246268854094</v>
      </c>
      <c r="N226" s="12">
        <f t="shared" si="45"/>
        <v>1.086542551493897E-3</v>
      </c>
      <c r="O226" s="12">
        <f t="shared" si="46"/>
        <v>1.8748759947473808E-3</v>
      </c>
      <c r="P226" s="12">
        <f t="shared" si="47"/>
        <v>2.056266938130674E-3</v>
      </c>
      <c r="Q226" s="12">
        <f t="shared" si="48"/>
        <v>-3.9639866534313829E-4</v>
      </c>
      <c r="R226" s="12">
        <f t="shared" si="49"/>
        <v>-1.3660790393513985E-3</v>
      </c>
      <c r="S226" s="12">
        <f t="shared" si="50"/>
        <v>-1.8351515040151184E-3</v>
      </c>
      <c r="T226" s="12">
        <f t="shared" si="51"/>
        <v>-9.8571428571428754E-2</v>
      </c>
      <c r="U226" s="12">
        <f t="shared" si="52"/>
        <v>-5.1785714285714324E-2</v>
      </c>
      <c r="V226" s="12">
        <f t="shared" si="53"/>
        <v>-6.1871049304677683E-2</v>
      </c>
    </row>
    <row r="227" spans="1:22" x14ac:dyDescent="0.25">
      <c r="A227" s="26">
        <v>84.82</v>
      </c>
      <c r="B227">
        <v>84.05</v>
      </c>
      <c r="C227">
        <v>2.2200000000000002</v>
      </c>
      <c r="D227" s="2">
        <v>45114</v>
      </c>
      <c r="E227">
        <v>84.42</v>
      </c>
      <c r="F227">
        <v>0.4</v>
      </c>
      <c r="G227">
        <v>-0.37000000000000455</v>
      </c>
      <c r="H227" s="5">
        <f t="shared" si="54"/>
        <v>4.7382136934375745E-3</v>
      </c>
      <c r="I227" s="3">
        <f t="shared" si="42"/>
        <v>1.169497135761512</v>
      </c>
      <c r="J227" s="5">
        <f t="shared" si="55"/>
        <v>-4.3828476664298094E-3</v>
      </c>
      <c r="K227" s="3">
        <f t="shared" si="43"/>
        <v>-0.40265468660932857</v>
      </c>
      <c r="L227" s="3">
        <f t="shared" si="44"/>
        <v>0.15839347000206619</v>
      </c>
      <c r="N227" s="12">
        <f t="shared" si="45"/>
        <v>4.43599795768523E-4</v>
      </c>
      <c r="O227" s="12">
        <f t="shared" si="46"/>
        <v>1.3570161248990583E-3</v>
      </c>
      <c r="P227" s="12">
        <f t="shared" si="47"/>
        <v>1.5788184276818815E-3</v>
      </c>
      <c r="Q227" s="12">
        <f t="shared" si="48"/>
        <v>-3.9918084859243835E-4</v>
      </c>
      <c r="R227" s="12">
        <f t="shared" si="49"/>
        <v>-1.4545495931601133E-3</v>
      </c>
      <c r="S227" s="12">
        <f t="shared" si="50"/>
        <v>-1.8719203470006773E-3</v>
      </c>
      <c r="T227" s="12">
        <f t="shared" si="51"/>
        <v>-0.11380952380952336</v>
      </c>
      <c r="U227" s="12">
        <f t="shared" si="52"/>
        <v>-5.7142857142857162E-2</v>
      </c>
      <c r="V227" s="12">
        <f t="shared" si="53"/>
        <v>-6.409608091024066E-2</v>
      </c>
    </row>
    <row r="228" spans="1:22" x14ac:dyDescent="0.25">
      <c r="A228" s="26">
        <v>84.18</v>
      </c>
      <c r="B228">
        <v>83.97</v>
      </c>
      <c r="C228">
        <v>1.75</v>
      </c>
      <c r="D228" s="2">
        <v>45113</v>
      </c>
      <c r="E228">
        <v>84.5</v>
      </c>
      <c r="F228">
        <v>-0.32</v>
      </c>
      <c r="G228">
        <v>-0.53000000000000114</v>
      </c>
      <c r="H228" s="5">
        <f t="shared" si="54"/>
        <v>-3.78698224852071E-3</v>
      </c>
      <c r="I228" s="3">
        <f t="shared" si="42"/>
        <v>-0.53639046244098421</v>
      </c>
      <c r="J228" s="5">
        <f t="shared" si="55"/>
        <v>-6.2721893491124395E-3</v>
      </c>
      <c r="K228" s="3">
        <f t="shared" si="43"/>
        <v>-1.3395844194443176</v>
      </c>
      <c r="L228" s="3">
        <f t="shared" si="44"/>
        <v>-0.89784829507084873</v>
      </c>
      <c r="N228" s="12">
        <f t="shared" si="45"/>
        <v>-1.0412170869073193E-3</v>
      </c>
      <c r="O228" s="12">
        <f t="shared" si="46"/>
        <v>5.0495446098815472E-4</v>
      </c>
      <c r="P228" s="12">
        <f t="shared" si="47"/>
        <v>8.0611753669723859E-4</v>
      </c>
      <c r="Q228" s="12">
        <f t="shared" si="48"/>
        <v>-8.8847432876511083E-4</v>
      </c>
      <c r="R228" s="12">
        <f t="shared" si="49"/>
        <v>-1.7315587987460231E-3</v>
      </c>
      <c r="S228" s="12">
        <f t="shared" si="50"/>
        <v>-2.0796352961668092E-3</v>
      </c>
      <c r="T228" s="12">
        <f t="shared" si="51"/>
        <v>-0.16333333333333355</v>
      </c>
      <c r="U228" s="12">
        <f t="shared" si="52"/>
        <v>-8.3511904761905065E-2</v>
      </c>
      <c r="V228" s="12">
        <f t="shared" si="53"/>
        <v>-9.4256215760640583E-2</v>
      </c>
    </row>
    <row r="229" spans="1:22" x14ac:dyDescent="0.25">
      <c r="A229" s="26">
        <v>84.84</v>
      </c>
      <c r="B229">
        <v>84.01</v>
      </c>
      <c r="C229">
        <v>1.98</v>
      </c>
      <c r="D229" s="2">
        <v>45112</v>
      </c>
      <c r="E229">
        <v>84.38</v>
      </c>
      <c r="F229">
        <v>0.46</v>
      </c>
      <c r="G229">
        <v>-0.36999999999999034</v>
      </c>
      <c r="H229" s="5">
        <f t="shared" si="54"/>
        <v>5.4515287982934346E-3</v>
      </c>
      <c r="I229" s="3">
        <f t="shared" si="42"/>
        <v>1.3102271662130422</v>
      </c>
      <c r="J229" s="5">
        <f t="shared" si="55"/>
        <v>-4.3849253377576478E-3</v>
      </c>
      <c r="K229" s="3">
        <f t="shared" si="43"/>
        <v>-0.41819409978146405</v>
      </c>
      <c r="L229" s="3">
        <f t="shared" si="44"/>
        <v>-0.38787745369366106</v>
      </c>
      <c r="N229" s="12">
        <f t="shared" si="45"/>
        <v>-5.9911258508530307E-4</v>
      </c>
      <c r="O229" s="12">
        <f t="shared" si="46"/>
        <v>7.9428438892675216E-4</v>
      </c>
      <c r="P229" s="12">
        <f t="shared" si="47"/>
        <v>1.1051992429092221E-3</v>
      </c>
      <c r="Q229" s="12">
        <f t="shared" si="48"/>
        <v>-9.7179237236604422E-4</v>
      </c>
      <c r="R229" s="12">
        <f t="shared" si="49"/>
        <v>-1.7331476852544309E-3</v>
      </c>
      <c r="S229" s="12">
        <f t="shared" si="50"/>
        <v>-1.9801521523827199E-3</v>
      </c>
      <c r="T229" s="12">
        <f t="shared" si="51"/>
        <v>-0.14857142857142858</v>
      </c>
      <c r="U229" s="12">
        <f t="shared" si="52"/>
        <v>-7.2380952380952657E-2</v>
      </c>
      <c r="V229" s="12">
        <f t="shared" si="53"/>
        <v>-8.5604719764011961E-2</v>
      </c>
    </row>
    <row r="230" spans="1:22" x14ac:dyDescent="0.25">
      <c r="A230" s="26">
        <v>85</v>
      </c>
      <c r="B230">
        <v>84.63</v>
      </c>
      <c r="C230">
        <v>1.87</v>
      </c>
      <c r="D230" s="2">
        <v>45111</v>
      </c>
      <c r="E230">
        <v>85.03</v>
      </c>
      <c r="F230">
        <v>-0.03</v>
      </c>
      <c r="G230">
        <v>-0.40000000000000568</v>
      </c>
      <c r="H230" s="5">
        <f t="shared" si="54"/>
        <v>-3.5281665294601902E-4</v>
      </c>
      <c r="I230" s="3">
        <f t="shared" si="42"/>
        <v>0.15751707462346748</v>
      </c>
      <c r="J230" s="5">
        <f t="shared" si="55"/>
        <v>-4.7042220392803204E-3</v>
      </c>
      <c r="K230" s="3">
        <f t="shared" si="43"/>
        <v>-0.56952353579641934</v>
      </c>
      <c r="L230" s="3">
        <f t="shared" si="44"/>
        <v>-0.63755404426123052</v>
      </c>
      <c r="N230" s="12">
        <f t="shared" si="45"/>
        <v>-4.2747135706239507E-4</v>
      </c>
      <c r="O230" s="12">
        <f t="shared" si="46"/>
        <v>7.7311808710178037E-4</v>
      </c>
      <c r="P230" s="12">
        <f t="shared" si="47"/>
        <v>9.971484815786242E-4</v>
      </c>
      <c r="Q230" s="12">
        <f t="shared" si="48"/>
        <v>-1.214593200698966E-3</v>
      </c>
      <c r="R230" s="12">
        <f t="shared" si="49"/>
        <v>-1.8397455364770675E-3</v>
      </c>
      <c r="S230" s="12">
        <f t="shared" si="50"/>
        <v>-2.0908493218493446E-3</v>
      </c>
      <c r="T230" s="12">
        <f t="shared" si="51"/>
        <v>-0.11285714285714255</v>
      </c>
      <c r="U230" s="12">
        <f t="shared" si="52"/>
        <v>-5.4642857142857437E-2</v>
      </c>
      <c r="V230" s="12">
        <f t="shared" si="53"/>
        <v>-6.4614412136536625E-2</v>
      </c>
    </row>
    <row r="231" spans="1:22" x14ac:dyDescent="0.25">
      <c r="A231" s="26">
        <v>87.11</v>
      </c>
      <c r="B231">
        <v>86.51</v>
      </c>
      <c r="C231">
        <v>1.97</v>
      </c>
      <c r="D231" s="2">
        <v>45110</v>
      </c>
      <c r="E231">
        <v>86.85</v>
      </c>
      <c r="F231">
        <v>0.26</v>
      </c>
      <c r="G231">
        <v>-0.3399999999999892</v>
      </c>
      <c r="H231" s="5">
        <f t="shared" si="54"/>
        <v>2.9936672423719057E-3</v>
      </c>
      <c r="I231" s="3">
        <f t="shared" si="42"/>
        <v>0.8327971070019542</v>
      </c>
      <c r="J231" s="5">
        <f t="shared" si="55"/>
        <v>-3.9147956246400597E-3</v>
      </c>
      <c r="K231" s="3">
        <f t="shared" si="43"/>
        <v>-0.18672823040923583</v>
      </c>
      <c r="L231" s="3">
        <f t="shared" si="44"/>
        <v>-0.414958918754816</v>
      </c>
      <c r="N231" s="12">
        <f t="shared" si="45"/>
        <v>3.6856941224857817E-4</v>
      </c>
      <c r="O231" s="12">
        <f t="shared" si="46"/>
        <v>1.0610508112269233E-3</v>
      </c>
      <c r="P231" s="12">
        <f t="shared" si="47"/>
        <v>1.3719567100148066E-3</v>
      </c>
      <c r="Q231" s="12">
        <f t="shared" si="48"/>
        <v>-1.3020851556617887E-3</v>
      </c>
      <c r="R231" s="12">
        <f t="shared" si="49"/>
        <v>-1.8864165958940885E-3</v>
      </c>
      <c r="S231" s="12">
        <f t="shared" si="50"/>
        <v>-2.1364985924722615E-3</v>
      </c>
      <c r="T231" s="12">
        <f t="shared" si="51"/>
        <v>-8.2857142857142962E-2</v>
      </c>
      <c r="U231" s="12">
        <f t="shared" si="52"/>
        <v>-4.5238095238095744E-2</v>
      </c>
      <c r="V231" s="12">
        <f t="shared" si="53"/>
        <v>-4.7905604719764794E-2</v>
      </c>
    </row>
    <row r="232" spans="1:22" x14ac:dyDescent="0.25">
      <c r="A232" s="26">
        <v>85.31</v>
      </c>
      <c r="B232">
        <v>85.48</v>
      </c>
      <c r="C232">
        <v>1.86</v>
      </c>
      <c r="D232" s="2">
        <v>45107</v>
      </c>
      <c r="E232">
        <v>86.01</v>
      </c>
      <c r="F232">
        <v>-0.7</v>
      </c>
      <c r="G232">
        <v>-0.53000000000000114</v>
      </c>
      <c r="H232" s="5">
        <f t="shared" si="54"/>
        <v>-8.1385885362167173E-3</v>
      </c>
      <c r="I232" s="3">
        <f t="shared" si="42"/>
        <v>-1.3915093589900203</v>
      </c>
      <c r="J232" s="5">
        <f t="shared" si="55"/>
        <v>-6.1620741774212427E-3</v>
      </c>
      <c r="K232" s="3">
        <f t="shared" si="43"/>
        <v>-1.2966268742650038</v>
      </c>
      <c r="L232" s="3">
        <f t="shared" si="44"/>
        <v>-0.66814976451113817</v>
      </c>
      <c r="N232" s="12">
        <f t="shared" si="45"/>
        <v>5.7806926441149157E-4</v>
      </c>
      <c r="O232" s="12">
        <f t="shared" si="46"/>
        <v>1.1495964407941157E-3</v>
      </c>
      <c r="P232" s="12">
        <f t="shared" si="47"/>
        <v>1.3208637031006376E-3</v>
      </c>
      <c r="Q232" s="12">
        <f t="shared" si="48"/>
        <v>-1.3319701659095544E-3</v>
      </c>
      <c r="R232" s="12">
        <f t="shared" si="49"/>
        <v>-1.9431860483990217E-3</v>
      </c>
      <c r="S232" s="12">
        <f t="shared" si="50"/>
        <v>-2.1730722771993415E-3</v>
      </c>
      <c r="T232" s="12">
        <f t="shared" si="51"/>
        <v>-9.1428571428571637E-2</v>
      </c>
      <c r="U232" s="12">
        <f t="shared" si="52"/>
        <v>-4.7261904761905171E-2</v>
      </c>
      <c r="V232" s="12">
        <f t="shared" si="53"/>
        <v>-5.1942688579857066E-2</v>
      </c>
    </row>
    <row r="233" spans="1:22" x14ac:dyDescent="0.25">
      <c r="A233" s="26">
        <v>86.6</v>
      </c>
      <c r="B233">
        <v>85.81</v>
      </c>
      <c r="C233">
        <v>2.12</v>
      </c>
      <c r="D233" s="2">
        <v>45106</v>
      </c>
      <c r="E233">
        <v>86.31</v>
      </c>
      <c r="F233">
        <v>0.28999999999999998</v>
      </c>
      <c r="G233">
        <v>-0.5</v>
      </c>
      <c r="H233" s="5">
        <f t="shared" si="54"/>
        <v>3.3599814621712428E-3</v>
      </c>
      <c r="I233" s="3">
        <f t="shared" si="42"/>
        <v>0.89806456792847766</v>
      </c>
      <c r="J233" s="5">
        <f t="shared" si="55"/>
        <v>-5.7930714865021436E-3</v>
      </c>
      <c r="K233" s="3">
        <f t="shared" si="43"/>
        <v>-1.1202463427385998</v>
      </c>
      <c r="L233" s="3">
        <f t="shared" si="44"/>
        <v>-9.0253299512392485E-2</v>
      </c>
      <c r="N233" s="12">
        <f t="shared" si="45"/>
        <v>1.4734098379018262E-3</v>
      </c>
      <c r="O233" s="12">
        <f t="shared" si="46"/>
        <v>1.7287839523040729E-3</v>
      </c>
      <c r="P233" s="12">
        <f t="shared" si="47"/>
        <v>1.8479573417424871E-3</v>
      </c>
      <c r="Q233" s="12">
        <f t="shared" si="48"/>
        <v>-1.1932531938693754E-3</v>
      </c>
      <c r="R233" s="12">
        <f t="shared" si="49"/>
        <v>-1.850109704499614E-3</v>
      </c>
      <c r="S233" s="12">
        <f t="shared" si="50"/>
        <v>-2.0830043146412539E-3</v>
      </c>
      <c r="T233" s="12">
        <f t="shared" si="51"/>
        <v>-5.380952380952353E-2</v>
      </c>
      <c r="U233" s="12">
        <f t="shared" si="52"/>
        <v>-1.8392857142857988E-2</v>
      </c>
      <c r="V233" s="12">
        <f t="shared" si="53"/>
        <v>-2.8520859671302912E-2</v>
      </c>
    </row>
    <row r="234" spans="1:22" x14ac:dyDescent="0.25">
      <c r="A234" s="26">
        <v>85.35</v>
      </c>
      <c r="B234">
        <v>84.53</v>
      </c>
      <c r="C234">
        <v>1.99</v>
      </c>
      <c r="D234" s="2">
        <v>45104</v>
      </c>
      <c r="E234">
        <v>85.1</v>
      </c>
      <c r="F234">
        <v>0.25</v>
      </c>
      <c r="G234">
        <v>-0.56999999999999318</v>
      </c>
      <c r="H234" s="5">
        <f t="shared" si="54"/>
        <v>2.9377203290246769E-3</v>
      </c>
      <c r="I234" s="3">
        <f t="shared" si="42"/>
        <v>0.81457026808894029</v>
      </c>
      <c r="J234" s="5">
        <f t="shared" si="55"/>
        <v>-6.6980023501761838E-3</v>
      </c>
      <c r="K234" s="3">
        <f t="shared" si="43"/>
        <v>-1.5777445679492359</v>
      </c>
      <c r="L234" s="3">
        <f t="shared" si="44"/>
        <v>-0.38606517590944894</v>
      </c>
      <c r="N234" s="12">
        <f t="shared" si="45"/>
        <v>1.0353252542029795E-3</v>
      </c>
      <c r="O234" s="12">
        <f t="shared" si="46"/>
        <v>1.2625612490150425E-3</v>
      </c>
      <c r="P234" s="12">
        <f t="shared" si="47"/>
        <v>1.4465948337821974E-3</v>
      </c>
      <c r="Q234" s="12">
        <f t="shared" si="48"/>
        <v>-9.2180805323691974E-4</v>
      </c>
      <c r="R234" s="12">
        <f t="shared" si="49"/>
        <v>-1.6863428194747562E-3</v>
      </c>
      <c r="S234" s="12">
        <f t="shared" si="50"/>
        <v>-1.9076717496864493E-3</v>
      </c>
      <c r="T234" s="12">
        <f t="shared" si="51"/>
        <v>-6.7619047619046802E-2</v>
      </c>
      <c r="U234" s="12">
        <f t="shared" si="52"/>
        <v>-3.1130952380952648E-2</v>
      </c>
      <c r="V234" s="12">
        <f t="shared" si="53"/>
        <v>-3.6628739991572568E-2</v>
      </c>
    </row>
    <row r="235" spans="1:22" x14ac:dyDescent="0.25">
      <c r="A235" s="26">
        <v>86.01</v>
      </c>
      <c r="B235">
        <v>86.04</v>
      </c>
      <c r="C235">
        <v>1.81</v>
      </c>
      <c r="D235" s="2">
        <v>45103</v>
      </c>
      <c r="E235">
        <v>86.54</v>
      </c>
      <c r="F235">
        <v>-0.53</v>
      </c>
      <c r="G235">
        <v>-0.5</v>
      </c>
      <c r="H235" s="5">
        <f t="shared" si="54"/>
        <v>-6.1243355673676909E-3</v>
      </c>
      <c r="I235" s="3">
        <f t="shared" si="42"/>
        <v>-0.99405938071022082</v>
      </c>
      <c r="J235" s="5">
        <f t="shared" si="55"/>
        <v>-5.7776750635544251E-3</v>
      </c>
      <c r="K235" s="3">
        <f t="shared" si="43"/>
        <v>-1.1381454069939534</v>
      </c>
      <c r="L235" s="3">
        <f t="shared" si="44"/>
        <v>-0.79370020091187177</v>
      </c>
      <c r="N235" s="12">
        <f t="shared" si="45"/>
        <v>-1.1078074442320141E-4</v>
      </c>
      <c r="O235" s="12">
        <f t="shared" si="46"/>
        <v>8.488333832132617E-4</v>
      </c>
      <c r="P235" s="12">
        <f t="shared" si="47"/>
        <v>1.0289145050883372E-3</v>
      </c>
      <c r="Q235" s="12">
        <f t="shared" si="48"/>
        <v>-8.779982142796787E-4</v>
      </c>
      <c r="R235" s="12">
        <f t="shared" si="49"/>
        <v>-1.4928811139490131E-3</v>
      </c>
      <c r="S235" s="12">
        <f t="shared" si="50"/>
        <v>-1.731001091139554E-3</v>
      </c>
      <c r="T235" s="12">
        <f t="shared" si="51"/>
        <v>-0.11047619047618995</v>
      </c>
      <c r="U235" s="12">
        <f t="shared" si="52"/>
        <v>-5.0595238095238804E-2</v>
      </c>
      <c r="V235" s="12">
        <f t="shared" si="53"/>
        <v>-5.3050990307628387E-2</v>
      </c>
    </row>
    <row r="236" spans="1:22" x14ac:dyDescent="0.25">
      <c r="A236" s="26">
        <v>88.9</v>
      </c>
      <c r="B236">
        <v>87.32</v>
      </c>
      <c r="C236">
        <v>2.27</v>
      </c>
      <c r="D236" s="2">
        <v>45100</v>
      </c>
      <c r="E236">
        <v>87.71</v>
      </c>
      <c r="F236">
        <v>1.19</v>
      </c>
      <c r="G236">
        <v>-0.39000000000000057</v>
      </c>
      <c r="H236" s="5">
        <f t="shared" si="54"/>
        <v>1.3567438148443736E-2</v>
      </c>
      <c r="I236" s="3">
        <f t="shared" si="42"/>
        <v>2.9533242328590408</v>
      </c>
      <c r="J236" s="5">
        <f t="shared" si="55"/>
        <v>-4.4464713259605585E-3</v>
      </c>
      <c r="K236" s="3">
        <f t="shared" si="43"/>
        <v>-0.48457837745117321</v>
      </c>
      <c r="L236" s="3">
        <f t="shared" si="44"/>
        <v>0.23965994473777294</v>
      </c>
      <c r="N236" s="12">
        <f t="shared" si="45"/>
        <v>-3.1677758722221472E-4</v>
      </c>
      <c r="O236" s="12">
        <f t="shared" si="46"/>
        <v>1.0529131476903551E-3</v>
      </c>
      <c r="P236" s="12">
        <f t="shared" si="47"/>
        <v>1.1301357425723012E-3</v>
      </c>
      <c r="Q236" s="12">
        <f t="shared" si="48"/>
        <v>-5.9248711380653889E-4</v>
      </c>
      <c r="R236" s="12">
        <f t="shared" si="49"/>
        <v>-1.2605687729022506E-3</v>
      </c>
      <c r="S236" s="12">
        <f t="shared" si="50"/>
        <v>-1.5524769606912502E-3</v>
      </c>
      <c r="T236" s="12">
        <f t="shared" si="51"/>
        <v>-0.13190476190476152</v>
      </c>
      <c r="U236" s="12">
        <f t="shared" si="52"/>
        <v>-4.5000000000000817E-2</v>
      </c>
      <c r="V236" s="12">
        <f t="shared" si="53"/>
        <v>-5.6333754740835129E-2</v>
      </c>
    </row>
    <row r="237" spans="1:22" x14ac:dyDescent="0.25">
      <c r="A237" s="26">
        <v>87.11</v>
      </c>
      <c r="B237">
        <v>87.05</v>
      </c>
      <c r="C237">
        <v>1.85</v>
      </c>
      <c r="D237" s="2">
        <v>45099</v>
      </c>
      <c r="E237">
        <v>87.5</v>
      </c>
      <c r="F237">
        <v>-0.39</v>
      </c>
      <c r="G237">
        <v>-0.45000000000000284</v>
      </c>
      <c r="H237" s="5">
        <f t="shared" si="54"/>
        <v>-4.4571428571428574E-3</v>
      </c>
      <c r="I237" s="3">
        <f t="shared" si="42"/>
        <v>-0.64552703106025067</v>
      </c>
      <c r="J237" s="5">
        <f t="shared" si="55"/>
        <v>-5.1428571428571756E-3</v>
      </c>
      <c r="K237" s="3">
        <f t="shared" si="43"/>
        <v>-0.83479635772287619</v>
      </c>
      <c r="L237" s="3">
        <f t="shared" si="44"/>
        <v>-0.69737926774152836</v>
      </c>
      <c r="N237" s="12">
        <f t="shared" si="45"/>
        <v>-4.5417332840880248E-4</v>
      </c>
      <c r="O237" s="12">
        <f t="shared" si="46"/>
        <v>5.6685133052354478E-4</v>
      </c>
      <c r="P237" s="12">
        <f t="shared" si="47"/>
        <v>6.6527247854904464E-4</v>
      </c>
      <c r="Q237" s="12">
        <f t="shared" si="48"/>
        <v>-3.9425367676960282E-4</v>
      </c>
      <c r="R237" s="12">
        <f t="shared" si="49"/>
        <v>-1.2888420422332244E-3</v>
      </c>
      <c r="S237" s="12">
        <f t="shared" si="50"/>
        <v>-1.5005566325715096E-3</v>
      </c>
      <c r="T237" s="12">
        <f t="shared" si="51"/>
        <v>-0.11999999999999922</v>
      </c>
      <c r="U237" s="12">
        <f t="shared" si="52"/>
        <v>-3.6904761904762662E-2</v>
      </c>
      <c r="V237" s="12">
        <f t="shared" si="53"/>
        <v>-5.7960387694901527E-2</v>
      </c>
    </row>
    <row r="238" spans="1:22" x14ac:dyDescent="0.25">
      <c r="A238" s="26">
        <v>90.35</v>
      </c>
      <c r="B238">
        <v>90.89</v>
      </c>
      <c r="C238">
        <v>1.59</v>
      </c>
      <c r="D238" s="2">
        <v>45098</v>
      </c>
      <c r="E238">
        <v>91.12</v>
      </c>
      <c r="F238">
        <v>-0.77</v>
      </c>
      <c r="G238">
        <v>-0.23000000000000398</v>
      </c>
      <c r="H238" s="5">
        <f t="shared" si="54"/>
        <v>-8.4503950834064964E-3</v>
      </c>
      <c r="I238" s="3">
        <f t="shared" si="42"/>
        <v>-1.4607758744219252</v>
      </c>
      <c r="J238" s="5">
        <f t="shared" si="55"/>
        <v>-2.5241439859526337E-3</v>
      </c>
      <c r="K238" s="3">
        <f t="shared" si="43"/>
        <v>0.46748268591195413</v>
      </c>
      <c r="L238" s="3">
        <f t="shared" si="44"/>
        <v>-1.2855110150602764</v>
      </c>
      <c r="N238" s="12">
        <f t="shared" si="45"/>
        <v>-3.53766425181239E-4</v>
      </c>
      <c r="O238" s="12">
        <f t="shared" si="46"/>
        <v>5.2178688328057324E-4</v>
      </c>
      <c r="P238" s="12">
        <f t="shared" si="47"/>
        <v>6.5744280583536464E-4</v>
      </c>
      <c r="Q238" s="12">
        <f t="shared" si="48"/>
        <v>-4.6664078068645986E-4</v>
      </c>
      <c r="R238" s="12">
        <f t="shared" si="49"/>
        <v>-1.2806727057841473E-3</v>
      </c>
      <c r="S238" s="12">
        <f t="shared" si="50"/>
        <v>-1.485777531789482E-3</v>
      </c>
      <c r="T238" s="12">
        <f t="shared" si="51"/>
        <v>-0.11809523809523781</v>
      </c>
      <c r="U238" s="12">
        <f t="shared" si="52"/>
        <v>-4.3333333333334112E-2</v>
      </c>
      <c r="V238" s="12">
        <f t="shared" si="53"/>
        <v>-6.0450906026128015E-2</v>
      </c>
    </row>
    <row r="239" spans="1:22" x14ac:dyDescent="0.25">
      <c r="A239" s="26">
        <v>91.55</v>
      </c>
      <c r="B239">
        <v>90.71</v>
      </c>
      <c r="C239">
        <v>2.08</v>
      </c>
      <c r="D239" s="2">
        <v>45097</v>
      </c>
      <c r="E239">
        <v>91.4</v>
      </c>
      <c r="F239">
        <v>0.15</v>
      </c>
      <c r="G239">
        <v>-0.69000000000001194</v>
      </c>
      <c r="H239" s="5">
        <f t="shared" si="54"/>
        <v>1.6411378555798686E-3</v>
      </c>
      <c r="I239" s="3">
        <f t="shared" si="42"/>
        <v>0.58229832153155336</v>
      </c>
      <c r="J239" s="5">
        <f t="shared" si="55"/>
        <v>-7.549234135667526E-3</v>
      </c>
      <c r="K239" s="3">
        <f t="shared" si="43"/>
        <v>-2.0333039913630633</v>
      </c>
      <c r="L239" s="3">
        <f t="shared" si="44"/>
        <v>-0.19095904866221003</v>
      </c>
      <c r="N239" s="12">
        <f t="shared" si="45"/>
        <v>-8.4032296280358069E-4</v>
      </c>
      <c r="O239" s="12">
        <f t="shared" si="46"/>
        <v>5.4615666332939131E-4</v>
      </c>
      <c r="P239" s="12">
        <f t="shared" si="47"/>
        <v>6.6669574171683045E-4</v>
      </c>
      <c r="Q239" s="12">
        <f t="shared" si="48"/>
        <v>-5.5437828606246659E-4</v>
      </c>
      <c r="R239" s="12">
        <f t="shared" si="49"/>
        <v>-1.3566204908107586E-3</v>
      </c>
      <c r="S239" s="12">
        <f t="shared" si="50"/>
        <v>-1.5388139946517403E-3</v>
      </c>
      <c r="T239" s="12">
        <f t="shared" si="51"/>
        <v>-0.12666666666666648</v>
      </c>
      <c r="U239" s="12">
        <f t="shared" si="52"/>
        <v>-3.583333333333405E-2</v>
      </c>
      <c r="V239" s="12">
        <f t="shared" si="53"/>
        <v>-6.0564686051412409E-2</v>
      </c>
    </row>
    <row r="240" spans="1:22" x14ac:dyDescent="0.25">
      <c r="A240" s="26">
        <v>90.16</v>
      </c>
      <c r="B240">
        <v>89.58</v>
      </c>
      <c r="C240">
        <v>2.0099999999999998</v>
      </c>
      <c r="D240" s="2">
        <v>45096</v>
      </c>
      <c r="E240">
        <v>89.76</v>
      </c>
      <c r="F240">
        <v>0.4</v>
      </c>
      <c r="G240">
        <v>-0.18000000000000682</v>
      </c>
      <c r="H240" s="5">
        <f t="shared" si="54"/>
        <v>4.4563279857397506E-3</v>
      </c>
      <c r="I240" s="3">
        <f t="shared" si="42"/>
        <v>1.1483598000695687</v>
      </c>
      <c r="J240" s="5">
        <f t="shared" si="55"/>
        <v>-2.0053475935829634E-3</v>
      </c>
      <c r="K240" s="3">
        <f t="shared" si="43"/>
        <v>0.72763848921125907</v>
      </c>
      <c r="L240" s="3">
        <f t="shared" si="44"/>
        <v>-0.35260694343345622</v>
      </c>
      <c r="N240" s="12">
        <f t="shared" si="45"/>
        <v>-7.6046603304983154E-4</v>
      </c>
      <c r="O240" s="12">
        <f t="shared" si="46"/>
        <v>8.0427893272382847E-4</v>
      </c>
      <c r="P240" s="12">
        <f t="shared" si="47"/>
        <v>8.5678747928753221E-4</v>
      </c>
      <c r="Q240" s="12">
        <f t="shared" si="48"/>
        <v>-3.8903790382364186E-4</v>
      </c>
      <c r="R240" s="12">
        <f t="shared" si="49"/>
        <v>-1.1257340048262607E-3</v>
      </c>
      <c r="S240" s="12">
        <f t="shared" si="50"/>
        <v>-1.3243778142458524E-3</v>
      </c>
      <c r="T240" s="12">
        <f t="shared" si="51"/>
        <v>-7.5238095238095326E-2</v>
      </c>
      <c r="U240" s="12">
        <f t="shared" si="52"/>
        <v>5.4761904761897462E-3</v>
      </c>
      <c r="V240" s="12">
        <f t="shared" si="53"/>
        <v>-2.4846186262116099E-2</v>
      </c>
    </row>
    <row r="241" spans="1:22" x14ac:dyDescent="0.25">
      <c r="A241" s="26">
        <v>89.3</v>
      </c>
      <c r="B241">
        <v>89.01</v>
      </c>
      <c r="C241">
        <v>2.0299999999999998</v>
      </c>
      <c r="D241" s="2">
        <v>45093</v>
      </c>
      <c r="E241">
        <v>89.36</v>
      </c>
      <c r="F241">
        <v>-0.06</v>
      </c>
      <c r="G241">
        <v>-0.34999999999999432</v>
      </c>
      <c r="H241" s="5">
        <f t="shared" si="54"/>
        <v>-6.7144136078782447E-4</v>
      </c>
      <c r="I241" s="3">
        <f t="shared" si="42"/>
        <v>0.10901241445775185</v>
      </c>
      <c r="J241" s="5">
        <f t="shared" si="55"/>
        <v>-3.9167412712622458E-3</v>
      </c>
      <c r="K241" s="3">
        <f t="shared" si="43"/>
        <v>-0.2323279686993234</v>
      </c>
      <c r="L241" s="3">
        <f t="shared" si="44"/>
        <v>-0.31027411221476431</v>
      </c>
      <c r="N241" s="12">
        <f t="shared" si="45"/>
        <v>-1.7442782673475475E-3</v>
      </c>
      <c r="O241" s="12">
        <f t="shared" si="46"/>
        <v>2.4789384165244078E-4</v>
      </c>
      <c r="P241" s="12">
        <f t="shared" si="47"/>
        <v>2.9368480390942124E-4</v>
      </c>
      <c r="Q241" s="12">
        <f t="shared" si="48"/>
        <v>-6.0070543297743948E-4</v>
      </c>
      <c r="R241" s="12">
        <f t="shared" si="49"/>
        <v>-1.2662570571562739E-3</v>
      </c>
      <c r="S241" s="12">
        <f t="shared" si="50"/>
        <v>-1.517768521562734E-3</v>
      </c>
      <c r="T241" s="12">
        <f t="shared" si="51"/>
        <v>-9.2857142857142527E-2</v>
      </c>
      <c r="U241" s="12">
        <f t="shared" si="52"/>
        <v>-1.3392857142857206E-2</v>
      </c>
      <c r="V241" s="12">
        <f t="shared" si="53"/>
        <v>-3.5120101137800397E-2</v>
      </c>
    </row>
    <row r="242" spans="1:22" x14ac:dyDescent="0.25">
      <c r="A242" s="26">
        <v>91.67</v>
      </c>
      <c r="B242">
        <v>91.01</v>
      </c>
      <c r="C242">
        <v>2.0299999999999998</v>
      </c>
      <c r="D242" s="2">
        <v>45092</v>
      </c>
      <c r="E242">
        <v>91.4</v>
      </c>
      <c r="F242">
        <v>0.27</v>
      </c>
      <c r="G242">
        <v>-0.39000000000000057</v>
      </c>
      <c r="H242" s="5">
        <f t="shared" si="54"/>
        <v>2.9540481400437638E-3</v>
      </c>
      <c r="I242" s="3">
        <f t="shared" si="42"/>
        <v>0.84075495057278016</v>
      </c>
      <c r="J242" s="5">
        <f t="shared" si="55"/>
        <v>-4.2669584245076646E-3</v>
      </c>
      <c r="K242" s="3">
        <f t="shared" si="43"/>
        <v>-0.41162871560719033</v>
      </c>
      <c r="L242" s="3">
        <f t="shared" si="44"/>
        <v>-0.31481386273538958</v>
      </c>
      <c r="N242" s="12">
        <f t="shared" si="45"/>
        <v>-1.7695569090601241E-3</v>
      </c>
      <c r="O242" s="12">
        <f t="shared" si="46"/>
        <v>5.295833728230703E-4</v>
      </c>
      <c r="P242" s="12">
        <f t="shared" si="47"/>
        <v>4.3264257349969241E-4</v>
      </c>
      <c r="Q242" s="12">
        <f t="shared" si="48"/>
        <v>-7.3919582869674772E-4</v>
      </c>
      <c r="R242" s="12">
        <f t="shared" si="49"/>
        <v>-1.2612263432055029E-3</v>
      </c>
      <c r="S242" s="12">
        <f t="shared" si="50"/>
        <v>-1.5095588005127605E-3</v>
      </c>
      <c r="T242" s="12">
        <f t="shared" si="51"/>
        <v>-7.1428571428571619E-2</v>
      </c>
      <c r="U242" s="12">
        <f t="shared" si="52"/>
        <v>3.9880952380944024E-3</v>
      </c>
      <c r="V242" s="12">
        <f t="shared" si="53"/>
        <v>-2.5836493889591416E-2</v>
      </c>
    </row>
    <row r="243" spans="1:22" x14ac:dyDescent="0.25">
      <c r="A243" s="26">
        <v>86.44</v>
      </c>
      <c r="B243">
        <v>85.64</v>
      </c>
      <c r="C243">
        <v>2.0499999999999998</v>
      </c>
      <c r="D243" s="2">
        <v>45090</v>
      </c>
      <c r="E243">
        <v>86.22</v>
      </c>
      <c r="F243">
        <v>0.22</v>
      </c>
      <c r="G243">
        <v>-0.57999999999999829</v>
      </c>
      <c r="H243" s="5">
        <f t="shared" si="54"/>
        <v>2.5516121549524471E-3</v>
      </c>
      <c r="I243" s="3">
        <f t="shared" si="42"/>
        <v>0.7555311803450071</v>
      </c>
      <c r="J243" s="5">
        <f t="shared" si="55"/>
        <v>-6.7269774994200681E-3</v>
      </c>
      <c r="K243" s="3">
        <f t="shared" si="43"/>
        <v>-1.6551238324938262</v>
      </c>
      <c r="L243" s="3">
        <f t="shared" si="44"/>
        <v>-0.27420411392683591</v>
      </c>
      <c r="N243" s="12">
        <f t="shared" si="45"/>
        <v>-2.0233352448771609E-3</v>
      </c>
      <c r="O243" s="12">
        <f t="shared" si="46"/>
        <v>5.265363074506244E-4</v>
      </c>
      <c r="P243" s="12">
        <f t="shared" si="47"/>
        <v>2.4644017683615586E-4</v>
      </c>
      <c r="Q243" s="12">
        <f t="shared" si="48"/>
        <v>-1.2605643601398451E-3</v>
      </c>
      <c r="R243" s="12">
        <f t="shared" si="49"/>
        <v>-1.5622062243608147E-3</v>
      </c>
      <c r="S243" s="12">
        <f t="shared" si="50"/>
        <v>-1.7597506944869719E-3</v>
      </c>
      <c r="T243" s="12">
        <f t="shared" si="51"/>
        <v>-8.4761904761904816E-2</v>
      </c>
      <c r="U243" s="12">
        <f t="shared" si="52"/>
        <v>9.2857142857138975E-3</v>
      </c>
      <c r="V243" s="12">
        <f t="shared" si="53"/>
        <v>-2.9077117572692934E-2</v>
      </c>
    </row>
    <row r="244" spans="1:22" x14ac:dyDescent="0.25">
      <c r="A244" s="26">
        <v>83.45</v>
      </c>
      <c r="B244">
        <v>83.05</v>
      </c>
      <c r="C244">
        <v>2.02</v>
      </c>
      <c r="D244" s="2">
        <v>45089</v>
      </c>
      <c r="E244">
        <v>83.62</v>
      </c>
      <c r="F244">
        <v>-0.17</v>
      </c>
      <c r="G244">
        <v>-0.57000000000000739</v>
      </c>
      <c r="H244" s="5">
        <f t="shared" si="54"/>
        <v>-2.033006457785219E-3</v>
      </c>
      <c r="I244" s="3">
        <f t="shared" si="42"/>
        <v>-0.16746315460840297</v>
      </c>
      <c r="J244" s="5">
        <f t="shared" si="55"/>
        <v>-6.8165510643387632E-3</v>
      </c>
      <c r="K244" s="3">
        <f t="shared" si="43"/>
        <v>-1.7169528461278074</v>
      </c>
      <c r="L244" s="3">
        <f t="shared" si="44"/>
        <v>-0.34469265483469375</v>
      </c>
      <c r="N244" s="12">
        <f t="shared" si="45"/>
        <v>-1.783330615478728E-3</v>
      </c>
      <c r="O244" s="12">
        <f t="shared" si="46"/>
        <v>6.1567910861100609E-4</v>
      </c>
      <c r="P244" s="12">
        <f t="shared" si="47"/>
        <v>3.1477861691948288E-4</v>
      </c>
      <c r="Q244" s="12">
        <f t="shared" si="48"/>
        <v>-1.2205158696232221E-3</v>
      </c>
      <c r="R244" s="12">
        <f t="shared" si="49"/>
        <v>-1.4666626586063202E-3</v>
      </c>
      <c r="S244" s="12">
        <f t="shared" si="50"/>
        <v>-1.6127471996781064E-3</v>
      </c>
      <c r="T244" s="12">
        <f t="shared" si="51"/>
        <v>-6.3809523809524205E-2</v>
      </c>
      <c r="U244" s="12">
        <f t="shared" si="52"/>
        <v>1.380952380952305E-2</v>
      </c>
      <c r="V244" s="12">
        <f t="shared" si="53"/>
        <v>-2.6923725242309793E-2</v>
      </c>
    </row>
    <row r="245" spans="1:22" x14ac:dyDescent="0.25">
      <c r="A245" s="26">
        <v>83.11</v>
      </c>
      <c r="B245">
        <v>82.35</v>
      </c>
      <c r="C245">
        <v>2.14</v>
      </c>
      <c r="D245" s="2">
        <v>45086</v>
      </c>
      <c r="E245">
        <v>82.82</v>
      </c>
      <c r="F245">
        <v>0.28999999999999998</v>
      </c>
      <c r="G245">
        <v>-0.46999999999999886</v>
      </c>
      <c r="H245" s="5">
        <f t="shared" si="54"/>
        <v>3.5015696691620382E-3</v>
      </c>
      <c r="I245" s="3">
        <f t="shared" si="42"/>
        <v>0.94908156861147064</v>
      </c>
      <c r="J245" s="5">
        <f t="shared" si="55"/>
        <v>-5.6749577396763935E-3</v>
      </c>
      <c r="K245" s="3">
        <f t="shared" si="43"/>
        <v>-1.1545718067389326</v>
      </c>
      <c r="L245" s="3">
        <f t="shared" si="44"/>
        <v>-7.9316257065813411E-2</v>
      </c>
      <c r="N245" s="12">
        <f t="shared" si="45"/>
        <v>-1.4160916641044797E-3</v>
      </c>
      <c r="O245" s="12">
        <f t="shared" si="46"/>
        <v>7.6721405487653453E-4</v>
      </c>
      <c r="P245" s="12">
        <f t="shared" si="47"/>
        <v>5.4297941521354678E-4</v>
      </c>
      <c r="Q245" s="12">
        <f t="shared" si="48"/>
        <v>-1.4192142172369205E-3</v>
      </c>
      <c r="R245" s="12">
        <f t="shared" si="49"/>
        <v>-1.583277813087652E-3</v>
      </c>
      <c r="S245" s="12">
        <f t="shared" si="50"/>
        <v>-1.6358520316924943E-3</v>
      </c>
      <c r="T245" s="12">
        <f t="shared" si="51"/>
        <v>-2.2380952380952834E-2</v>
      </c>
      <c r="U245" s="12">
        <f t="shared" si="52"/>
        <v>3.5892857142855839E-2</v>
      </c>
      <c r="V245" s="12">
        <f t="shared" si="53"/>
        <v>-1.0113780025285291E-2</v>
      </c>
    </row>
    <row r="246" spans="1:22" x14ac:dyDescent="0.25">
      <c r="A246" s="26">
        <v>81.540000000000006</v>
      </c>
      <c r="B246">
        <v>81.66</v>
      </c>
      <c r="C246">
        <v>1.8</v>
      </c>
      <c r="D246" s="2">
        <v>45085</v>
      </c>
      <c r="E246">
        <v>81.95</v>
      </c>
      <c r="F246">
        <v>-0.41</v>
      </c>
      <c r="G246">
        <v>-0.29000000000000625</v>
      </c>
      <c r="H246" s="5">
        <f t="shared" si="54"/>
        <v>-5.0030506406345326E-3</v>
      </c>
      <c r="I246" s="3">
        <f t="shared" si="42"/>
        <v>-0.77148003826354916</v>
      </c>
      <c r="J246" s="5">
        <f t="shared" si="55"/>
        <v>-3.5387431360586483E-3</v>
      </c>
      <c r="K246" s="3">
        <f t="shared" si="43"/>
        <v>-7.4664938971328851E-2</v>
      </c>
      <c r="L246" s="3">
        <f t="shared" si="44"/>
        <v>-0.84328856182698553</v>
      </c>
      <c r="N246" s="12">
        <f t="shared" si="45"/>
        <v>-6.7169551577413796E-4</v>
      </c>
      <c r="O246" s="12">
        <f t="shared" si="46"/>
        <v>9.7873104380106243E-4</v>
      </c>
      <c r="P246" s="12">
        <f t="shared" si="47"/>
        <v>7.0394072467092105E-4</v>
      </c>
      <c r="Q246" s="12">
        <f t="shared" si="48"/>
        <v>-1.4280894075560466E-3</v>
      </c>
      <c r="R246" s="12">
        <f t="shared" si="49"/>
        <v>-1.6850951287859205E-3</v>
      </c>
      <c r="S246" s="12">
        <f t="shared" si="50"/>
        <v>-1.6649830877679211E-3</v>
      </c>
      <c r="T246" s="12">
        <f t="shared" si="51"/>
        <v>2.6190476190476097E-2</v>
      </c>
      <c r="U246" s="12">
        <f t="shared" si="52"/>
        <v>6.3154761904760992E-2</v>
      </c>
      <c r="V246" s="12">
        <f t="shared" si="53"/>
        <v>-1.1799410029533774E-4</v>
      </c>
    </row>
    <row r="247" spans="1:22" x14ac:dyDescent="0.25">
      <c r="A247" s="26">
        <v>78.25</v>
      </c>
      <c r="B247">
        <v>78.44</v>
      </c>
      <c r="C247">
        <v>1.87</v>
      </c>
      <c r="D247" s="2">
        <v>45084</v>
      </c>
      <c r="E247">
        <v>78.819999999999993</v>
      </c>
      <c r="F247">
        <v>-0.56999999999999995</v>
      </c>
      <c r="G247">
        <v>-0.37999999999999545</v>
      </c>
      <c r="H247" s="5">
        <f t="shared" si="54"/>
        <v>-7.2316670895711749E-3</v>
      </c>
      <c r="I247" s="3">
        <f t="shared" si="42"/>
        <v>-1.2301039615030485</v>
      </c>
      <c r="J247" s="5">
        <f t="shared" si="55"/>
        <v>-4.8211113930473927E-3</v>
      </c>
      <c r="K247" s="3">
        <f t="shared" si="43"/>
        <v>-0.73145826479573428</v>
      </c>
      <c r="L247" s="3">
        <f t="shared" si="44"/>
        <v>-0.69323257091978341</v>
      </c>
      <c r="N247" s="12">
        <f t="shared" si="45"/>
        <v>-4.0512851250666817E-4</v>
      </c>
      <c r="O247" s="12">
        <f t="shared" si="46"/>
        <v>9.4108183188967441E-4</v>
      </c>
      <c r="P247" s="12">
        <f t="shared" si="47"/>
        <v>7.4862469425487389E-4</v>
      </c>
      <c r="Q247" s="12">
        <f t="shared" si="48"/>
        <v>-1.4413886631044928E-3</v>
      </c>
      <c r="R247" s="12">
        <f t="shared" si="49"/>
        <v>-1.7434105981426842E-3</v>
      </c>
      <c r="S247" s="12">
        <f t="shared" si="50"/>
        <v>-1.7214632070477304E-3</v>
      </c>
      <c r="T247" s="12">
        <f t="shared" si="51"/>
        <v>3.5714285714286031E-2</v>
      </c>
      <c r="U247" s="12">
        <f t="shared" si="52"/>
        <v>6.6428571428571281E-2</v>
      </c>
      <c r="V247" s="12">
        <f t="shared" si="53"/>
        <v>-8.2174462705397744E-4</v>
      </c>
    </row>
    <row r="248" spans="1:22" x14ac:dyDescent="0.25">
      <c r="A248" s="26">
        <v>80.069999999999993</v>
      </c>
      <c r="B248">
        <v>80.25</v>
      </c>
      <c r="C248">
        <v>1.7</v>
      </c>
      <c r="D248" s="2">
        <v>45083</v>
      </c>
      <c r="E248">
        <v>80.91</v>
      </c>
      <c r="F248">
        <v>-0.84</v>
      </c>
      <c r="G248">
        <v>-0.65999999999999659</v>
      </c>
      <c r="H248" s="5">
        <f t="shared" si="54"/>
        <v>-1.0381905821282907E-2</v>
      </c>
      <c r="I248" s="3">
        <f t="shared" si="42"/>
        <v>-1.8809303546470921</v>
      </c>
      <c r="J248" s="5">
        <f t="shared" si="55"/>
        <v>-8.1572117167222416E-3</v>
      </c>
      <c r="K248" s="3">
        <f t="shared" si="43"/>
        <v>-2.4407282937649728</v>
      </c>
      <c r="L248" s="3">
        <f t="shared" si="44"/>
        <v>-1.0795113887429624</v>
      </c>
      <c r="N248" s="12">
        <f t="shared" si="45"/>
        <v>-1.229351803474643E-4</v>
      </c>
      <c r="O248" s="12">
        <f t="shared" si="46"/>
        <v>1.0992249377896101E-3</v>
      </c>
      <c r="P248" s="12">
        <f t="shared" si="47"/>
        <v>9.6002995353742517E-4</v>
      </c>
      <c r="Q248" s="12">
        <f t="shared" si="48"/>
        <v>-1.5915497896840771E-3</v>
      </c>
      <c r="R248" s="12">
        <f t="shared" si="49"/>
        <v>-1.8113960262355565E-3</v>
      </c>
      <c r="S248" s="12">
        <f t="shared" si="50"/>
        <v>-1.7711660387719798E-3</v>
      </c>
      <c r="T248" s="12">
        <f t="shared" si="51"/>
        <v>5.6666666666666199E-2</v>
      </c>
      <c r="U248" s="12">
        <f t="shared" si="52"/>
        <v>7.6845238095237356E-2</v>
      </c>
      <c r="V248" s="12">
        <f t="shared" si="53"/>
        <v>1.0244416350610575E-2</v>
      </c>
    </row>
    <row r="249" spans="1:22" x14ac:dyDescent="0.25">
      <c r="A249" s="26">
        <v>78.55</v>
      </c>
      <c r="B249">
        <v>77.95</v>
      </c>
      <c r="C249">
        <v>1.98</v>
      </c>
      <c r="D249" s="2">
        <v>45082</v>
      </c>
      <c r="E249">
        <v>78.33</v>
      </c>
      <c r="F249">
        <v>0.22</v>
      </c>
      <c r="G249">
        <v>-0.37999999999999545</v>
      </c>
      <c r="H249" s="5">
        <f t="shared" si="54"/>
        <v>2.8086301544746587E-3</v>
      </c>
      <c r="I249" s="3">
        <f t="shared" si="42"/>
        <v>0.80181830087119055</v>
      </c>
      <c r="J249" s="5">
        <f t="shared" si="55"/>
        <v>-4.8512702668198071E-3</v>
      </c>
      <c r="K249" s="3">
        <f t="shared" si="43"/>
        <v>-0.77647759386078419</v>
      </c>
      <c r="L249" s="3">
        <f t="shared" si="44"/>
        <v>-0.45856406499707836</v>
      </c>
      <c r="N249" s="12">
        <f t="shared" si="45"/>
        <v>9.4847996295096193E-4</v>
      </c>
      <c r="O249" s="12">
        <f t="shared" si="46"/>
        <v>1.9041690167252122E-3</v>
      </c>
      <c r="P249" s="12">
        <f t="shared" si="47"/>
        <v>1.7200233984228761E-3</v>
      </c>
      <c r="Q249" s="12">
        <f t="shared" si="48"/>
        <v>-1.2006142496437649E-3</v>
      </c>
      <c r="R249" s="12">
        <f t="shared" si="49"/>
        <v>-1.5045970253336227E-3</v>
      </c>
      <c r="S249" s="12">
        <f t="shared" si="50"/>
        <v>-1.4628510772130197E-3</v>
      </c>
      <c r="T249" s="12">
        <f t="shared" si="51"/>
        <v>9.4761904761905491E-2</v>
      </c>
      <c r="U249" s="12">
        <f t="shared" si="52"/>
        <v>9.6964285714285836E-2</v>
      </c>
      <c r="V249" s="12">
        <f t="shared" si="53"/>
        <v>3.6953223767383303E-2</v>
      </c>
    </row>
    <row r="250" spans="1:22" x14ac:dyDescent="0.25">
      <c r="A250" s="26">
        <v>78.2</v>
      </c>
      <c r="B250">
        <v>77.55</v>
      </c>
      <c r="C250">
        <v>2.2999999999999998</v>
      </c>
      <c r="D250" s="2">
        <v>45079</v>
      </c>
      <c r="E250">
        <v>78.03</v>
      </c>
      <c r="F250">
        <v>0.17</v>
      </c>
      <c r="G250">
        <v>-0.48000000000000398</v>
      </c>
      <c r="H250" s="5">
        <f t="shared" si="54"/>
        <v>2.1786492374727671E-3</v>
      </c>
      <c r="I250" s="3">
        <f t="shared" si="42"/>
        <v>0.6798019299918534</v>
      </c>
      <c r="J250" s="5">
        <f t="shared" si="55"/>
        <v>-6.151480199923157E-3</v>
      </c>
      <c r="K250" s="3">
        <f t="shared" si="43"/>
        <v>-1.4549190722418728</v>
      </c>
      <c r="L250" s="3">
        <f t="shared" si="44"/>
        <v>0.26039901148618355</v>
      </c>
      <c r="N250" s="12">
        <f t="shared" si="45"/>
        <v>6.2481850998927853E-4</v>
      </c>
      <c r="O250" s="12">
        <f t="shared" si="46"/>
        <v>1.905877765226484E-3</v>
      </c>
      <c r="P250" s="12">
        <f t="shared" si="47"/>
        <v>1.5757123572932119E-3</v>
      </c>
      <c r="Q250" s="12">
        <f t="shared" si="48"/>
        <v>-9.8388016424364984E-4</v>
      </c>
      <c r="R250" s="12">
        <f t="shared" si="49"/>
        <v>-1.2587819963769042E-3</v>
      </c>
      <c r="S250" s="12">
        <f t="shared" si="50"/>
        <v>-1.2774807167605616E-3</v>
      </c>
      <c r="T250" s="12">
        <f t="shared" si="51"/>
        <v>7.190476190476236E-2</v>
      </c>
      <c r="U250" s="12">
        <f t="shared" si="52"/>
        <v>9.4404761904761436E-2</v>
      </c>
      <c r="V250" s="12">
        <f t="shared" si="53"/>
        <v>3.2701222081753301E-2</v>
      </c>
    </row>
    <row r="251" spans="1:22" x14ac:dyDescent="0.25">
      <c r="A251" s="26">
        <v>78.62</v>
      </c>
      <c r="B251">
        <v>77.77</v>
      </c>
      <c r="C251">
        <v>2.1800000000000002</v>
      </c>
      <c r="D251" s="2">
        <v>45078</v>
      </c>
      <c r="E251">
        <v>78.180000000000007</v>
      </c>
      <c r="F251">
        <v>0.44</v>
      </c>
      <c r="G251">
        <v>-0.4100000000000108</v>
      </c>
      <c r="H251" s="5">
        <f t="shared" si="54"/>
        <v>5.6280378613456118E-3</v>
      </c>
      <c r="I251" s="3">
        <f t="shared" si="42"/>
        <v>1.3944811854427603</v>
      </c>
      <c r="J251" s="5">
        <f t="shared" si="55"/>
        <v>-5.2443080071630952E-3</v>
      </c>
      <c r="K251" s="3">
        <f t="shared" si="43"/>
        <v>-0.98935453225841818</v>
      </c>
      <c r="L251" s="3">
        <f t="shared" si="44"/>
        <v>-7.6863332013425538E-3</v>
      </c>
      <c r="N251" s="12">
        <f t="shared" si="45"/>
        <v>2.9775618639935405E-4</v>
      </c>
      <c r="O251" s="12">
        <f t="shared" si="46"/>
        <v>1.5400400208092047E-3</v>
      </c>
      <c r="P251" s="12">
        <f t="shared" si="47"/>
        <v>1.2392041126856276E-3</v>
      </c>
      <c r="Q251" s="12">
        <f t="shared" si="48"/>
        <v>-7.4286676772116443E-4</v>
      </c>
      <c r="R251" s="12">
        <f t="shared" si="49"/>
        <v>-1.1042756015245871E-3</v>
      </c>
      <c r="S251" s="12">
        <f t="shared" si="50"/>
        <v>-1.1084011371207377E-3</v>
      </c>
      <c r="T251" s="12">
        <f t="shared" si="51"/>
        <v>4.761904761904745E-2</v>
      </c>
      <c r="U251" s="12">
        <f t="shared" si="52"/>
        <v>7.0357142857142119E-2</v>
      </c>
      <c r="V251" s="12">
        <f t="shared" si="53"/>
        <v>1.0897597977243656E-2</v>
      </c>
    </row>
    <row r="252" spans="1:22" x14ac:dyDescent="0.25">
      <c r="A252" s="26">
        <v>79.790000000000006</v>
      </c>
      <c r="B252">
        <v>79.27</v>
      </c>
      <c r="C252">
        <v>1.98</v>
      </c>
      <c r="D252" s="2">
        <v>45076</v>
      </c>
      <c r="E252">
        <v>79.63</v>
      </c>
      <c r="F252">
        <v>0.16</v>
      </c>
      <c r="G252">
        <v>-0.35999999999999943</v>
      </c>
      <c r="H252" s="5">
        <f t="shared" si="54"/>
        <v>2.0092929800326511E-3</v>
      </c>
      <c r="I252" s="3">
        <f t="shared" si="42"/>
        <v>0.66362958761357049</v>
      </c>
      <c r="J252" s="5">
        <f t="shared" si="55"/>
        <v>-4.5209092050734583E-3</v>
      </c>
      <c r="K252" s="3">
        <f t="shared" si="43"/>
        <v>-0.62048384612910301</v>
      </c>
      <c r="L252" s="3">
        <f t="shared" si="44"/>
        <v>-0.45956091739126342</v>
      </c>
      <c r="N252" s="12">
        <f t="shared" si="45"/>
        <v>-4.5154514767375037E-4</v>
      </c>
      <c r="O252" s="12">
        <f t="shared" si="46"/>
        <v>1.0224992951231103E-3</v>
      </c>
      <c r="P252" s="12">
        <f t="shared" si="47"/>
        <v>6.8643051583023185E-4</v>
      </c>
      <c r="Q252" s="12">
        <f t="shared" si="48"/>
        <v>-6.4153428459964162E-4</v>
      </c>
      <c r="R252" s="12">
        <f t="shared" si="49"/>
        <v>-1.0787511073145741E-3</v>
      </c>
      <c r="S252" s="12">
        <f t="shared" si="50"/>
        <v>-1.0479408948003981E-3</v>
      </c>
      <c r="T252" s="12">
        <f t="shared" si="51"/>
        <v>2.3809523809523725E-3</v>
      </c>
      <c r="U252" s="12">
        <f t="shared" si="52"/>
        <v>5.4761904761904567E-2</v>
      </c>
      <c r="V252" s="12">
        <f t="shared" si="53"/>
        <v>-1.1331647703328951E-2</v>
      </c>
    </row>
    <row r="253" spans="1:22" x14ac:dyDescent="0.25">
      <c r="A253" s="26">
        <v>81.11</v>
      </c>
      <c r="B253">
        <v>80.489999999999995</v>
      </c>
      <c r="C253">
        <v>2.35</v>
      </c>
      <c r="D253" s="2">
        <v>45072</v>
      </c>
      <c r="E253">
        <v>80.83</v>
      </c>
      <c r="F253">
        <v>0.28000000000000003</v>
      </c>
      <c r="G253">
        <v>-0.34000000000000341</v>
      </c>
      <c r="H253" s="5">
        <f t="shared" si="54"/>
        <v>3.4640603736236552E-3</v>
      </c>
      <c r="I253" s="3">
        <f t="shared" si="42"/>
        <v>0.9690186406665946</v>
      </c>
      <c r="J253" s="5">
        <f t="shared" si="55"/>
        <v>-4.2063590251144797E-3</v>
      </c>
      <c r="K253" s="3">
        <f t="shared" si="43"/>
        <v>-0.46112393770252674</v>
      </c>
      <c r="L253" s="3">
        <f t="shared" si="44"/>
        <v>0.36258954224578782</v>
      </c>
      <c r="N253" s="12">
        <f t="shared" si="45"/>
        <v>5.0737355107078306E-4</v>
      </c>
      <c r="O253" s="12">
        <f t="shared" si="46"/>
        <v>7.4507799850483689E-4</v>
      </c>
      <c r="P253" s="12">
        <f t="shared" si="47"/>
        <v>4.3353202335139898E-4</v>
      </c>
      <c r="Q253" s="12">
        <f t="shared" si="48"/>
        <v>-6.0269463634149987E-4</v>
      </c>
      <c r="R253" s="12">
        <f t="shared" si="49"/>
        <v>-1.1729731001016287E-3</v>
      </c>
      <c r="S253" s="12">
        <f t="shared" si="50"/>
        <v>-1.0279445688657035E-3</v>
      </c>
      <c r="T253" s="12">
        <f t="shared" si="51"/>
        <v>3.0952380952380842E-2</v>
      </c>
      <c r="U253" s="12">
        <f t="shared" si="52"/>
        <v>7.3095238095237658E-2</v>
      </c>
      <c r="V253" s="12">
        <f t="shared" si="53"/>
        <v>4.4416350611040656E-3</v>
      </c>
    </row>
    <row r="254" spans="1:22" x14ac:dyDescent="0.25">
      <c r="A254" s="26">
        <v>81.12</v>
      </c>
      <c r="B254">
        <v>81.23</v>
      </c>
      <c r="C254">
        <v>1.92</v>
      </c>
      <c r="D254" s="2">
        <v>45071</v>
      </c>
      <c r="E254">
        <v>81.400000000000006</v>
      </c>
      <c r="F254">
        <v>-0.28000000000000003</v>
      </c>
      <c r="G254">
        <v>-0.17000000000000171</v>
      </c>
      <c r="H254" s="5">
        <f t="shared" si="54"/>
        <v>-3.4398034398034397E-3</v>
      </c>
      <c r="I254" s="3">
        <f t="shared" si="42"/>
        <v>-0.44502510927564504</v>
      </c>
      <c r="J254" s="5">
        <f t="shared" si="55"/>
        <v>-2.0884520884521091E-3</v>
      </c>
      <c r="K254" s="3">
        <f t="shared" si="43"/>
        <v>0.64343270345598924</v>
      </c>
      <c r="L254" s="3">
        <f t="shared" si="44"/>
        <v>-0.60191297595951476</v>
      </c>
      <c r="N254" s="12">
        <f t="shared" si="45"/>
        <v>2.1470864025365725E-4</v>
      </c>
      <c r="O254" s="12">
        <f t="shared" si="46"/>
        <v>2.4302859404415279E-4</v>
      </c>
      <c r="P254" s="12">
        <f t="shared" si="47"/>
        <v>1.1241851781664219E-4</v>
      </c>
      <c r="Q254" s="12">
        <f t="shared" si="48"/>
        <v>-7.8524185030559752E-4</v>
      </c>
      <c r="R254" s="12">
        <f t="shared" si="49"/>
        <v>-1.2478690524751453E-3</v>
      </c>
      <c r="S254" s="12">
        <f t="shared" si="50"/>
        <v>-1.0893470352949493E-3</v>
      </c>
      <c r="T254" s="12">
        <f t="shared" si="51"/>
        <v>2.238095238095239E-2</v>
      </c>
      <c r="U254" s="12">
        <f t="shared" si="52"/>
        <v>5.4166666666666252E-2</v>
      </c>
      <c r="V254" s="12">
        <f t="shared" si="53"/>
        <v>-7.3662031184160703E-3</v>
      </c>
    </row>
    <row r="255" spans="1:22" x14ac:dyDescent="0.25">
      <c r="A255" s="26">
        <v>83</v>
      </c>
      <c r="B255">
        <v>83.22</v>
      </c>
      <c r="C255">
        <v>1.66</v>
      </c>
      <c r="D255" s="2">
        <v>45070</v>
      </c>
      <c r="E255">
        <v>83.46</v>
      </c>
      <c r="F255">
        <v>-0.46</v>
      </c>
      <c r="G255">
        <v>-0.23999999999999488</v>
      </c>
      <c r="H255" s="5">
        <f t="shared" si="54"/>
        <v>-5.5116223340522415E-3</v>
      </c>
      <c r="I255" s="3">
        <f t="shared" si="42"/>
        <v>-0.87506981718379728</v>
      </c>
      <c r="J255" s="5">
        <f t="shared" si="55"/>
        <v>-2.8756290438532819E-3</v>
      </c>
      <c r="K255" s="3">
        <f t="shared" si="43"/>
        <v>0.23863098599810767</v>
      </c>
      <c r="L255" s="3">
        <f t="shared" si="44"/>
        <v>-1.1868339507508991</v>
      </c>
      <c r="N255" s="12">
        <f t="shared" si="45"/>
        <v>6.4618465632082663E-4</v>
      </c>
      <c r="O255" s="12">
        <f t="shared" si="46"/>
        <v>3.9358200809357742E-4</v>
      </c>
      <c r="P255" s="12">
        <f t="shared" si="47"/>
        <v>3.2938532665023742E-4</v>
      </c>
      <c r="Q255" s="12">
        <f t="shared" si="48"/>
        <v>-7.0009489778080636E-4</v>
      </c>
      <c r="R255" s="12">
        <f t="shared" si="49"/>
        <v>-1.1552433836853164E-3</v>
      </c>
      <c r="S255" s="12">
        <f t="shared" si="50"/>
        <v>-1.0011073985723186E-3</v>
      </c>
      <c r="T255" s="12">
        <f t="shared" si="51"/>
        <v>6.7142857142856505E-2</v>
      </c>
      <c r="U255" s="12">
        <f t="shared" si="52"/>
        <v>5.7738095238094811E-2</v>
      </c>
      <c r="V255" s="12">
        <f t="shared" si="53"/>
        <v>2.8234302570506742E-4</v>
      </c>
    </row>
    <row r="256" spans="1:22" x14ac:dyDescent="0.25">
      <c r="A256" s="26">
        <v>84.32</v>
      </c>
      <c r="B256">
        <v>84.44</v>
      </c>
      <c r="C256">
        <v>1.86</v>
      </c>
      <c r="D256" s="2">
        <v>45069</v>
      </c>
      <c r="E256">
        <v>84.61</v>
      </c>
      <c r="F256">
        <v>-0.28999999999999998</v>
      </c>
      <c r="G256">
        <v>-0.17000000000000171</v>
      </c>
      <c r="H256" s="5">
        <f t="shared" si="54"/>
        <v>-3.4274908403262023E-3</v>
      </c>
      <c r="I256" s="3">
        <f t="shared" si="42"/>
        <v>-0.44833085585623206</v>
      </c>
      <c r="J256" s="5">
        <f t="shared" si="55"/>
        <v>-2.0092187684671043E-3</v>
      </c>
      <c r="K256" s="3">
        <f t="shared" si="43"/>
        <v>0.69124453194396041</v>
      </c>
      <c r="L256" s="3">
        <f t="shared" si="44"/>
        <v>-0.74728171933158449</v>
      </c>
      <c r="N256" s="12">
        <f t="shared" si="45"/>
        <v>2.1212072130517667E-3</v>
      </c>
      <c r="O256" s="12">
        <f t="shared" si="46"/>
        <v>1.278640488512892E-3</v>
      </c>
      <c r="P256" s="12">
        <f t="shared" si="47"/>
        <v>1.0958987943380978E-3</v>
      </c>
      <c r="Q256" s="12">
        <f t="shared" si="48"/>
        <v>-4.183879286257298E-4</v>
      </c>
      <c r="R256" s="12">
        <f t="shared" si="49"/>
        <v>-9.3284911668285991E-4</v>
      </c>
      <c r="S256" s="12">
        <f t="shared" si="50"/>
        <v>-8.375488752885912E-4</v>
      </c>
      <c r="T256" s="12">
        <f t="shared" si="51"/>
        <v>0.11523809523809447</v>
      </c>
      <c r="U256" s="12">
        <f t="shared" si="52"/>
        <v>8.4345238095237196E-2</v>
      </c>
      <c r="V256" s="12">
        <f t="shared" si="53"/>
        <v>3.2026970080066608E-2</v>
      </c>
    </row>
    <row r="257" spans="1:22" x14ac:dyDescent="0.25">
      <c r="A257" s="26">
        <v>85.2</v>
      </c>
      <c r="B257">
        <v>84.75</v>
      </c>
      <c r="C257">
        <v>2.2599999999999998</v>
      </c>
      <c r="D257" s="2">
        <v>45068</v>
      </c>
      <c r="E257">
        <v>85.02</v>
      </c>
      <c r="F257">
        <v>0.18</v>
      </c>
      <c r="G257">
        <v>-0.26999999999999602</v>
      </c>
      <c r="H257" s="5">
        <f t="shared" si="54"/>
        <v>2.1171489061397319E-3</v>
      </c>
      <c r="I257" s="3">
        <f t="shared" si="42"/>
        <v>0.69706066754468177</v>
      </c>
      <c r="J257" s="5">
        <f t="shared" si="55"/>
        <v>-3.1757233592095511E-3</v>
      </c>
      <c r="K257" s="3">
        <f t="shared" si="43"/>
        <v>8.8015282932562208E-2</v>
      </c>
      <c r="L257" s="3">
        <f t="shared" si="44"/>
        <v>0.14739864714036027</v>
      </c>
      <c r="N257" s="12">
        <f t="shared" si="45"/>
        <v>2.7098089737339409E-3</v>
      </c>
      <c r="O257" s="12">
        <f t="shared" si="46"/>
        <v>1.6862419279193689E-3</v>
      </c>
      <c r="P257" s="12">
        <f t="shared" si="47"/>
        <v>1.5191763526205715E-3</v>
      </c>
      <c r="Q257" s="12">
        <f t="shared" si="48"/>
        <v>-5.4134594767436687E-4</v>
      </c>
      <c r="R257" s="12">
        <f t="shared" si="49"/>
        <v>-1.0411101172984336E-3</v>
      </c>
      <c r="S257" s="12">
        <f t="shared" si="50"/>
        <v>-9.1545479035292678E-4</v>
      </c>
      <c r="T257" s="12">
        <f t="shared" si="51"/>
        <v>0.14857142857142858</v>
      </c>
      <c r="U257" s="12">
        <f t="shared" si="52"/>
        <v>0.11708333333333298</v>
      </c>
      <c r="V257" s="12">
        <f t="shared" si="53"/>
        <v>6.3447113358617635E-2</v>
      </c>
    </row>
    <row r="258" spans="1:22" x14ac:dyDescent="0.25">
      <c r="A258" s="26">
        <v>85.05</v>
      </c>
      <c r="B258">
        <v>84.94</v>
      </c>
      <c r="C258">
        <v>1.82</v>
      </c>
      <c r="D258" s="2">
        <v>45062</v>
      </c>
      <c r="E258">
        <v>85.31</v>
      </c>
      <c r="F258">
        <v>-0.26</v>
      </c>
      <c r="G258">
        <v>-0.37000000000000455</v>
      </c>
      <c r="H258" s="5">
        <f t="shared" si="54"/>
        <v>-3.0477083577540734E-3</v>
      </c>
      <c r="I258" s="3">
        <f t="shared" si="42"/>
        <v>-0.35710619289568635</v>
      </c>
      <c r="J258" s="5">
        <f t="shared" si="55"/>
        <v>-4.3371234321885419E-3</v>
      </c>
      <c r="K258" s="3">
        <f t="shared" si="43"/>
        <v>-0.5132195893935535</v>
      </c>
      <c r="L258" s="3">
        <f t="shared" si="44"/>
        <v>-0.84105138527360235</v>
      </c>
      <c r="N258" s="12">
        <f t="shared" si="45"/>
        <v>2.1978575020471826E-3</v>
      </c>
      <c r="O258" s="12">
        <f t="shared" si="46"/>
        <v>1.2504993246132854E-3</v>
      </c>
      <c r="P258" s="12">
        <f t="shared" si="47"/>
        <v>1.085126941186033E-3</v>
      </c>
      <c r="Q258" s="12">
        <f t="shared" si="48"/>
        <v>-7.7587880609462489E-4</v>
      </c>
      <c r="R258" s="12">
        <f t="shared" si="49"/>
        <v>-1.1663874134641137E-3</v>
      </c>
      <c r="S258" s="12">
        <f t="shared" si="50"/>
        <v>-1.0742832180820117E-3</v>
      </c>
      <c r="T258" s="12">
        <f t="shared" si="51"/>
        <v>0.16999999999999948</v>
      </c>
      <c r="U258" s="12">
        <f t="shared" si="52"/>
        <v>0.1027380952380943</v>
      </c>
      <c r="V258" s="12">
        <f t="shared" si="53"/>
        <v>5.1774125579434394E-2</v>
      </c>
    </row>
    <row r="259" spans="1:22" x14ac:dyDescent="0.25">
      <c r="A259" s="26">
        <v>85.7</v>
      </c>
      <c r="B259">
        <v>86</v>
      </c>
      <c r="C259">
        <v>1.74</v>
      </c>
      <c r="D259" s="2">
        <v>45061</v>
      </c>
      <c r="E259">
        <v>86.3</v>
      </c>
      <c r="F259">
        <v>-0.6</v>
      </c>
      <c r="G259">
        <v>-0.29999999999999716</v>
      </c>
      <c r="H259" s="5">
        <f t="shared" si="54"/>
        <v>-6.9524913093858632E-3</v>
      </c>
      <c r="I259" s="3">
        <f t="shared" ref="I259:I322" si="56">IFERROR((H259-AVERAGEA(H259:H475))/_xlfn.STDEV.S(H259:H475), " ")</f>
        <v>-1.1634798044128818</v>
      </c>
      <c r="J259" s="5">
        <f t="shared" si="55"/>
        <v>-3.4762456546928986E-3</v>
      </c>
      <c r="K259" s="3">
        <f t="shared" ref="K259:K322" si="57">IFERROR((J259-AVERAGEA(J259:J475))/_xlfn.STDEV.S(J259:J475), " ")</f>
        <v>-6.7035283858014924E-2</v>
      </c>
      <c r="L259" s="3">
        <f t="shared" ref="L259:L322" si="58">(C259-AVERAGEA(C259:C475))/_xlfn.STDEV.S(C259:C475)</f>
        <v>-1.0283652756182204</v>
      </c>
      <c r="N259" s="12">
        <f t="shared" ref="N259:N322" si="59">AVERAGEA(H259:H279)-AVERAGE(H280:H300)</f>
        <v>2.1396658056201481E-3</v>
      </c>
      <c r="O259" s="12">
        <f t="shared" ref="O259:O322" si="60">AVERAGEA(H259:H279)-AVERAGE(H280:H335)</f>
        <v>1.147829128139883E-3</v>
      </c>
      <c r="P259" s="12">
        <f t="shared" ref="P259:P322" si="61">AVERAGEA(H259:H279)-AVERAGE(H280:H392)</f>
        <v>9.6254155833884079E-4</v>
      </c>
      <c r="Q259" s="12">
        <f t="shared" ref="Q259:Q322" si="62">AVERAGEA(J259:J279)-AVERAGE(J280:J300)</f>
        <v>-6.2628165564794112E-4</v>
      </c>
      <c r="R259" s="12">
        <f t="shared" ref="R259:R322" si="63">AVERAGEA(J259:J279)-AVERAGE(J280:J335)</f>
        <v>-1.0801932086708936E-3</v>
      </c>
      <c r="S259" s="12">
        <f t="shared" ref="S259:S322" si="64">AVERAGEA(J259:J279)-AVERAGE(J280:J392)</f>
        <v>-9.6869167939909887E-4</v>
      </c>
      <c r="T259" s="12">
        <f t="shared" ref="T259:T322" si="65">AVERAGEA(C259:C279)-AVERAGE(C280:C300)</f>
        <v>0.15285714285714214</v>
      </c>
      <c r="U259" s="12">
        <f t="shared" ref="U259:U322" si="66">AVERAGEA(C259:C279)-AVERAGE(C280:C335)</f>
        <v>9.1369047619047183E-2</v>
      </c>
      <c r="V259" s="12">
        <f t="shared" ref="V259:V322" si="67">AVERAGEA(C259:C279)-AVERAGE(C280:C392)</f>
        <v>4.7909818794773962E-2</v>
      </c>
    </row>
    <row r="260" spans="1:22" x14ac:dyDescent="0.25">
      <c r="A260" s="26">
        <v>86.67</v>
      </c>
      <c r="B260">
        <v>86.01</v>
      </c>
      <c r="C260">
        <v>2.7</v>
      </c>
      <c r="D260" s="2">
        <v>45058</v>
      </c>
      <c r="E260">
        <v>86.29</v>
      </c>
      <c r="F260">
        <v>0.38</v>
      </c>
      <c r="G260">
        <v>-0.28000000000000114</v>
      </c>
      <c r="H260" s="5">
        <f t="shared" ref="H260:H323" si="68">IFERROR(F260/E260,"")</f>
        <v>4.403754780391702E-3</v>
      </c>
      <c r="I260" s="3">
        <f t="shared" si="56"/>
        <v>1.166836859362409</v>
      </c>
      <c r="J260" s="5">
        <f t="shared" ref="J260:J323" si="69">IFERROR(G260/E260,"")</f>
        <v>-3.2448719434465304E-3</v>
      </c>
      <c r="K260" s="3">
        <f t="shared" si="57"/>
        <v>4.8661739835877647E-2</v>
      </c>
      <c r="L260" s="3">
        <f t="shared" si="58"/>
        <v>1.132377934883821</v>
      </c>
      <c r="N260" s="12">
        <f t="shared" si="59"/>
        <v>2.7190120537762923E-3</v>
      </c>
      <c r="O260" s="12">
        <f t="shared" si="60"/>
        <v>1.8626171961708643E-3</v>
      </c>
      <c r="P260" s="12">
        <f t="shared" si="61"/>
        <v>1.6141208693698625E-3</v>
      </c>
      <c r="Q260" s="12">
        <f t="shared" si="62"/>
        <v>-7.4255061227198726E-4</v>
      </c>
      <c r="R260" s="12">
        <f t="shared" si="63"/>
        <v>-1.0167534965757172E-3</v>
      </c>
      <c r="S260" s="12">
        <f t="shared" si="64"/>
        <v>-9.2691610152931822E-4</v>
      </c>
      <c r="T260" s="12">
        <f t="shared" si="65"/>
        <v>0.16857142857142837</v>
      </c>
      <c r="U260" s="12">
        <f t="shared" si="66"/>
        <v>0.10886904761904725</v>
      </c>
      <c r="V260" s="12">
        <f t="shared" si="67"/>
        <v>6.78718921196797E-2</v>
      </c>
    </row>
    <row r="261" spans="1:22" x14ac:dyDescent="0.25">
      <c r="A261" s="26">
        <v>86.75</v>
      </c>
      <c r="B261">
        <v>86.75</v>
      </c>
      <c r="C261">
        <v>1.85</v>
      </c>
      <c r="D261" s="2">
        <v>45057</v>
      </c>
      <c r="E261">
        <v>87.22</v>
      </c>
      <c r="F261">
        <v>-0.47</v>
      </c>
      <c r="G261">
        <v>-0.46999999999999886</v>
      </c>
      <c r="H261" s="5">
        <f t="shared" si="68"/>
        <v>-5.3886723228617284E-3</v>
      </c>
      <c r="I261" s="3">
        <f t="shared" si="56"/>
        <v>-0.83778797615546652</v>
      </c>
      <c r="J261" s="5">
        <f t="shared" si="69"/>
        <v>-5.3886723228617163E-3</v>
      </c>
      <c r="K261" s="3">
        <f t="shared" si="57"/>
        <v>-1.052291021161704</v>
      </c>
      <c r="L261" s="3">
        <f t="shared" si="58"/>
        <v>-0.78497463579855564</v>
      </c>
      <c r="N261" s="12">
        <f t="shared" si="59"/>
        <v>3.1608549778534443E-3</v>
      </c>
      <c r="O261" s="12">
        <f t="shared" si="60"/>
        <v>1.9804387542110432E-3</v>
      </c>
      <c r="P261" s="12">
        <f t="shared" si="61"/>
        <v>1.7178039012046465E-3</v>
      </c>
      <c r="Q261" s="12">
        <f t="shared" si="62"/>
        <v>-8.910930980588279E-4</v>
      </c>
      <c r="R261" s="12">
        <f t="shared" si="63"/>
        <v>-1.0465641970919372E-3</v>
      </c>
      <c r="S261" s="12">
        <f t="shared" si="64"/>
        <v>-8.8303488179382718E-4</v>
      </c>
      <c r="T261" s="12">
        <f t="shared" si="65"/>
        <v>0.14952380952380939</v>
      </c>
      <c r="U261" s="12">
        <f t="shared" si="66"/>
        <v>8.6071428571428577E-2</v>
      </c>
      <c r="V261" s="12">
        <f t="shared" si="67"/>
        <v>5.0922882427307137E-2</v>
      </c>
    </row>
    <row r="262" spans="1:22" x14ac:dyDescent="0.25">
      <c r="A262" s="26">
        <v>85.85</v>
      </c>
      <c r="B262">
        <v>85.34</v>
      </c>
      <c r="C262">
        <v>2.29</v>
      </c>
      <c r="D262" s="2">
        <v>45056</v>
      </c>
      <c r="E262">
        <v>85.63</v>
      </c>
      <c r="F262">
        <v>0.22</v>
      </c>
      <c r="G262">
        <v>-0.28999999999999204</v>
      </c>
      <c r="H262" s="5">
        <f t="shared" si="68"/>
        <v>2.5691930398224921E-3</v>
      </c>
      <c r="I262" s="3">
        <f t="shared" si="56"/>
        <v>0.7998729183870773</v>
      </c>
      <c r="J262" s="5">
        <f t="shared" si="69"/>
        <v>-3.3866635524931925E-3</v>
      </c>
      <c r="K262" s="3">
        <f t="shared" si="57"/>
        <v>-1.9864034704571997E-2</v>
      </c>
      <c r="L262" s="3">
        <f t="shared" si="58"/>
        <v>0.20438919150632509</v>
      </c>
      <c r="N262" s="12">
        <f t="shared" si="59"/>
        <v>3.9515024336239006E-3</v>
      </c>
      <c r="O262" s="12">
        <f t="shared" si="60"/>
        <v>2.7953750834644872E-3</v>
      </c>
      <c r="P262" s="12">
        <f t="shared" si="61"/>
        <v>2.2680599180410444E-3</v>
      </c>
      <c r="Q262" s="12">
        <f t="shared" si="62"/>
        <v>-1.0106018938962529E-3</v>
      </c>
      <c r="R262" s="12">
        <f t="shared" si="63"/>
        <v>-1.0786802899362194E-3</v>
      </c>
      <c r="S262" s="12">
        <f t="shared" si="64"/>
        <v>-7.9707585305750957E-4</v>
      </c>
      <c r="T262" s="12">
        <f t="shared" si="65"/>
        <v>0.15809523809523807</v>
      </c>
      <c r="U262" s="12">
        <f t="shared" si="66"/>
        <v>0.1103571428571426</v>
      </c>
      <c r="V262" s="12">
        <f t="shared" si="67"/>
        <v>5.3223767383059339E-2</v>
      </c>
    </row>
    <row r="263" spans="1:22" x14ac:dyDescent="0.25">
      <c r="A263" s="26">
        <v>83.84</v>
      </c>
      <c r="B263">
        <v>83.14</v>
      </c>
      <c r="C263">
        <v>2.04</v>
      </c>
      <c r="D263" s="2">
        <v>45055</v>
      </c>
      <c r="E263">
        <v>83.84</v>
      </c>
      <c r="F263">
        <v>0</v>
      </c>
      <c r="G263">
        <v>-0.70000000000000284</v>
      </c>
      <c r="H263" s="5">
        <f t="shared" si="68"/>
        <v>0</v>
      </c>
      <c r="I263" s="3">
        <f t="shared" si="56"/>
        <v>0.27183585234324475</v>
      </c>
      <c r="J263" s="5">
        <f t="shared" si="69"/>
        <v>-8.349236641221407E-3</v>
      </c>
      <c r="K263" s="3">
        <f t="shared" si="57"/>
        <v>-2.5825238383614062</v>
      </c>
      <c r="L263" s="3">
        <f t="shared" si="58"/>
        <v>-0.36131351695018604</v>
      </c>
      <c r="N263" s="12">
        <f t="shared" si="59"/>
        <v>4.5644454328046796E-3</v>
      </c>
      <c r="O263" s="12">
        <f t="shared" si="60"/>
        <v>3.2313657503176673E-3</v>
      </c>
      <c r="P263" s="12">
        <f t="shared" si="61"/>
        <v>2.5011631853809292E-3</v>
      </c>
      <c r="Q263" s="12">
        <f t="shared" si="62"/>
        <v>-7.2633671721110534E-4</v>
      </c>
      <c r="R263" s="12">
        <f t="shared" si="63"/>
        <v>-8.3136344251933877E-4</v>
      </c>
      <c r="S263" s="12">
        <f t="shared" si="64"/>
        <v>-5.8434077959046123E-4</v>
      </c>
      <c r="T263" s="12">
        <f t="shared" si="65"/>
        <v>0.16380952380952452</v>
      </c>
      <c r="U263" s="12">
        <f t="shared" si="66"/>
        <v>9.7559523809524373E-2</v>
      </c>
      <c r="V263" s="12">
        <f t="shared" si="67"/>
        <v>4.4087652760219864E-2</v>
      </c>
    </row>
    <row r="264" spans="1:22" x14ac:dyDescent="0.25">
      <c r="A264" s="26">
        <v>82.99</v>
      </c>
      <c r="B264">
        <v>82.34</v>
      </c>
      <c r="C264">
        <v>2.19</v>
      </c>
      <c r="D264" s="2">
        <v>45054</v>
      </c>
      <c r="E264">
        <v>82.65</v>
      </c>
      <c r="F264">
        <v>0.34</v>
      </c>
      <c r="G264">
        <v>-0.31000000000000227</v>
      </c>
      <c r="H264" s="5">
        <f t="shared" si="68"/>
        <v>4.1137326073805202E-3</v>
      </c>
      <c r="I264" s="3">
        <f t="shared" si="56"/>
        <v>1.1109822135164458</v>
      </c>
      <c r="J264" s="5">
        <f t="shared" si="69"/>
        <v>-3.7507562008469724E-3</v>
      </c>
      <c r="K264" s="3">
        <f t="shared" si="57"/>
        <v>-0.22204511784446784</v>
      </c>
      <c r="L264" s="3">
        <f t="shared" si="58"/>
        <v>-3.0416466350019527E-2</v>
      </c>
      <c r="N264" s="12">
        <f t="shared" si="59"/>
        <v>4.5813343848339939E-3</v>
      </c>
      <c r="O264" s="12">
        <f t="shared" si="60"/>
        <v>3.4187770905477E-3</v>
      </c>
      <c r="P264" s="12">
        <f t="shared" si="61"/>
        <v>2.6882406896774598E-3</v>
      </c>
      <c r="Q264" s="12">
        <f t="shared" si="62"/>
        <v>-4.5147179558318543E-4</v>
      </c>
      <c r="R264" s="12">
        <f t="shared" si="63"/>
        <v>-5.1091636891271953E-4</v>
      </c>
      <c r="S264" s="12">
        <f t="shared" si="64"/>
        <v>-2.0118589209564604E-4</v>
      </c>
      <c r="T264" s="12">
        <f t="shared" si="65"/>
        <v>0.19476190476190558</v>
      </c>
      <c r="U264" s="12">
        <f t="shared" si="66"/>
        <v>0.12190476190476263</v>
      </c>
      <c r="V264" s="12">
        <f t="shared" si="67"/>
        <v>5.6481247366203746E-2</v>
      </c>
    </row>
    <row r="265" spans="1:22" x14ac:dyDescent="0.25">
      <c r="A265" s="26">
        <v>84.38</v>
      </c>
      <c r="B265">
        <v>83.68</v>
      </c>
      <c r="C265">
        <v>2.36</v>
      </c>
      <c r="D265" s="2">
        <v>45051</v>
      </c>
      <c r="E265">
        <v>84.27</v>
      </c>
      <c r="F265">
        <v>0.11</v>
      </c>
      <c r="G265">
        <v>-0.5899999999999892</v>
      </c>
      <c r="H265" s="5">
        <f t="shared" si="68"/>
        <v>1.3053281120208853E-3</v>
      </c>
      <c r="I265" s="3">
        <f t="shared" si="56"/>
        <v>0.54355951699713856</v>
      </c>
      <c r="J265" s="5">
        <f t="shared" si="69"/>
        <v>-7.0013053281118929E-3</v>
      </c>
      <c r="K265" s="3">
        <f t="shared" si="57"/>
        <v>-1.9196004173457824</v>
      </c>
      <c r="L265" s="3">
        <f t="shared" si="58"/>
        <v>0.34831545719680884</v>
      </c>
      <c r="N265" s="12">
        <f t="shared" si="59"/>
        <v>4.7107651726067748E-3</v>
      </c>
      <c r="O265" s="12">
        <f t="shared" si="60"/>
        <v>3.3492779025573556E-3</v>
      </c>
      <c r="P265" s="12">
        <f t="shared" si="61"/>
        <v>2.5574989451831323E-3</v>
      </c>
      <c r="Q265" s="12">
        <f t="shared" si="62"/>
        <v>-2.0234861384505051E-4</v>
      </c>
      <c r="R265" s="12">
        <f t="shared" si="63"/>
        <v>-3.7282253078531075E-4</v>
      </c>
      <c r="S265" s="12">
        <f t="shared" si="64"/>
        <v>-7.2290676992859369E-5</v>
      </c>
      <c r="T265" s="12">
        <f t="shared" si="65"/>
        <v>0.167619047619048</v>
      </c>
      <c r="U265" s="12">
        <f t="shared" si="66"/>
        <v>0.10583333333333389</v>
      </c>
      <c r="V265" s="12">
        <f t="shared" si="67"/>
        <v>4.4142435735356589E-2</v>
      </c>
    </row>
    <row r="266" spans="1:22" x14ac:dyDescent="0.25">
      <c r="A266" s="26">
        <v>82.23</v>
      </c>
      <c r="B266">
        <v>81.31</v>
      </c>
      <c r="C266">
        <v>2.48</v>
      </c>
      <c r="D266" s="2">
        <v>45050</v>
      </c>
      <c r="E266">
        <v>81.760000000000005</v>
      </c>
      <c r="F266">
        <v>0.47</v>
      </c>
      <c r="G266">
        <v>-0.45000000000000284</v>
      </c>
      <c r="H266" s="5">
        <f t="shared" si="68"/>
        <v>5.7485322896281797E-3</v>
      </c>
      <c r="I266" s="3">
        <f t="shared" si="56"/>
        <v>1.4621755731068333</v>
      </c>
      <c r="J266" s="5">
        <f t="shared" si="69"/>
        <v>-5.5039138943248876E-3</v>
      </c>
      <c r="K266" s="3">
        <f t="shared" si="57"/>
        <v>-1.143923609317933</v>
      </c>
      <c r="L266" s="3">
        <f t="shared" si="58"/>
        <v>0.61349967949419926</v>
      </c>
      <c r="N266" s="12">
        <f t="shared" si="59"/>
        <v>4.1164138278914821E-3</v>
      </c>
      <c r="O266" s="12">
        <f t="shared" si="60"/>
        <v>3.0672515354578786E-3</v>
      </c>
      <c r="P266" s="12">
        <f t="shared" si="61"/>
        <v>2.3575073846862052E-3</v>
      </c>
      <c r="Q266" s="12">
        <f t="shared" si="62"/>
        <v>2.0824067133522282E-5</v>
      </c>
      <c r="R266" s="12">
        <f t="shared" si="63"/>
        <v>-2.08871629652821E-4</v>
      </c>
      <c r="S266" s="12">
        <f t="shared" si="64"/>
        <v>1.3628428001882624E-4</v>
      </c>
      <c r="T266" s="12">
        <f t="shared" si="65"/>
        <v>0.11142857142857165</v>
      </c>
      <c r="U266" s="12">
        <f t="shared" si="66"/>
        <v>7.3988095238095575E-2</v>
      </c>
      <c r="V266" s="12">
        <f t="shared" si="67"/>
        <v>2.26211546565529E-2</v>
      </c>
    </row>
    <row r="267" spans="1:22" x14ac:dyDescent="0.25">
      <c r="A267" s="26">
        <v>83.24</v>
      </c>
      <c r="B267">
        <v>83.15</v>
      </c>
      <c r="C267">
        <v>1.88</v>
      </c>
      <c r="D267" s="2">
        <v>45048</v>
      </c>
      <c r="E267">
        <v>83.51</v>
      </c>
      <c r="F267">
        <v>-0.27</v>
      </c>
      <c r="G267">
        <v>-0.35999999999999943</v>
      </c>
      <c r="H267" s="5">
        <f t="shared" si="68"/>
        <v>-3.2331457310501737E-3</v>
      </c>
      <c r="I267" s="3">
        <f t="shared" si="56"/>
        <v>-0.38393223241728358</v>
      </c>
      <c r="J267" s="5">
        <f t="shared" si="69"/>
        <v>-4.3108609747335574E-3</v>
      </c>
      <c r="K267" s="3">
        <f t="shared" si="57"/>
        <v>-0.52483509510739312</v>
      </c>
      <c r="L267" s="3">
        <f t="shared" si="58"/>
        <v>-0.72561450999864907</v>
      </c>
      <c r="N267" s="12">
        <f t="shared" si="59"/>
        <v>3.4350545360579917E-3</v>
      </c>
      <c r="O267" s="12">
        <f t="shared" si="60"/>
        <v>2.3977171425927772E-3</v>
      </c>
      <c r="P267" s="12">
        <f t="shared" si="61"/>
        <v>1.7027516577755126E-3</v>
      </c>
      <c r="Q267" s="12">
        <f t="shared" si="62"/>
        <v>-6.6655877337033417E-5</v>
      </c>
      <c r="R267" s="12">
        <f t="shared" si="63"/>
        <v>-2.1228571803782363E-4</v>
      </c>
      <c r="S267" s="12">
        <f t="shared" si="64"/>
        <v>1.3008745271753368E-4</v>
      </c>
      <c r="T267" s="12">
        <f t="shared" si="65"/>
        <v>6.3809523809524427E-2</v>
      </c>
      <c r="U267" s="12">
        <f t="shared" si="66"/>
        <v>3.2678571428571779E-2</v>
      </c>
      <c r="V267" s="12">
        <f t="shared" si="67"/>
        <v>-1.0467762326169083E-2</v>
      </c>
    </row>
    <row r="268" spans="1:22" x14ac:dyDescent="0.25">
      <c r="A268" s="26">
        <v>84</v>
      </c>
      <c r="B268">
        <v>83.77</v>
      </c>
      <c r="C268">
        <v>2.16</v>
      </c>
      <c r="D268" s="2">
        <v>45044</v>
      </c>
      <c r="E268">
        <v>84.2</v>
      </c>
      <c r="F268">
        <v>-0.2</v>
      </c>
      <c r="G268">
        <v>-0.43000000000000682</v>
      </c>
      <c r="H268" s="5">
        <f t="shared" si="68"/>
        <v>-2.3752969121140144E-3</v>
      </c>
      <c r="I268" s="3">
        <f t="shared" si="56"/>
        <v>-0.20084506955281275</v>
      </c>
      <c r="J268" s="5">
        <f t="shared" si="69"/>
        <v>-5.1068883610452115E-3</v>
      </c>
      <c r="K268" s="3">
        <f t="shared" si="57"/>
        <v>-0.94552157979949691</v>
      </c>
      <c r="L268" s="3">
        <f t="shared" si="58"/>
        <v>-9.6637091028155153E-2</v>
      </c>
      <c r="N268" s="12">
        <f t="shared" si="59"/>
        <v>2.8388061714170153E-3</v>
      </c>
      <c r="O268" s="12">
        <f t="shared" si="60"/>
        <v>2.0605561778826234E-3</v>
      </c>
      <c r="P268" s="12">
        <f t="shared" si="61"/>
        <v>1.5157286390589282E-3</v>
      </c>
      <c r="Q268" s="12">
        <f t="shared" si="62"/>
        <v>-1.1647228550337946E-4</v>
      </c>
      <c r="R268" s="12">
        <f t="shared" si="63"/>
        <v>-2.7927902241105989E-4</v>
      </c>
      <c r="S268" s="12">
        <f t="shared" si="64"/>
        <v>9.6655820026611897E-5</v>
      </c>
      <c r="T268" s="12">
        <f t="shared" si="65"/>
        <v>4.4761904761904781E-2</v>
      </c>
      <c r="U268" s="12">
        <f t="shared" si="66"/>
        <v>2.3571428571428577E-2</v>
      </c>
      <c r="V268" s="12">
        <f t="shared" si="67"/>
        <v>-1.7597977243994478E-2</v>
      </c>
    </row>
    <row r="269" spans="1:22" x14ac:dyDescent="0.25">
      <c r="A269" s="26">
        <v>85</v>
      </c>
      <c r="B269">
        <v>84.38</v>
      </c>
      <c r="C269">
        <v>2.2200000000000002</v>
      </c>
      <c r="D269" s="2">
        <v>45043</v>
      </c>
      <c r="E269">
        <v>84.52</v>
      </c>
      <c r="F269">
        <v>0.48</v>
      </c>
      <c r="G269">
        <v>-0.14000000000000057</v>
      </c>
      <c r="H269" s="5">
        <f t="shared" si="68"/>
        <v>5.6791292001893041E-3</v>
      </c>
      <c r="I269" s="3">
        <f t="shared" si="56"/>
        <v>1.4521969283399891</v>
      </c>
      <c r="J269" s="5">
        <f t="shared" si="69"/>
        <v>-1.656412683388554E-3</v>
      </c>
      <c r="K269" s="3">
        <f t="shared" si="57"/>
        <v>0.86701356119251793</v>
      </c>
      <c r="L269" s="3">
        <f t="shared" si="58"/>
        <v>3.9218615940382014E-2</v>
      </c>
      <c r="N269" s="12">
        <f t="shared" si="59"/>
        <v>2.419459215579851E-3</v>
      </c>
      <c r="O269" s="12">
        <f t="shared" si="60"/>
        <v>2.220314220125634E-3</v>
      </c>
      <c r="P269" s="12">
        <f t="shared" si="61"/>
        <v>1.3831871577867708E-3</v>
      </c>
      <c r="Q269" s="12">
        <f t="shared" si="62"/>
        <v>-3.3221058307369294E-5</v>
      </c>
      <c r="R269" s="12">
        <f t="shared" si="63"/>
        <v>-1.2089705906651906E-4</v>
      </c>
      <c r="S269" s="12">
        <f t="shared" si="64"/>
        <v>2.0703076812195881E-4</v>
      </c>
      <c r="T269" s="12">
        <f t="shared" si="65"/>
        <v>3.3333333333333659E-2</v>
      </c>
      <c r="U269" s="12">
        <f t="shared" si="66"/>
        <v>3.1071428571428417E-2</v>
      </c>
      <c r="V269" s="12">
        <f t="shared" si="67"/>
        <v>-2.5448798988621846E-2</v>
      </c>
    </row>
    <row r="270" spans="1:22" x14ac:dyDescent="0.25">
      <c r="A270" s="26">
        <v>83.31</v>
      </c>
      <c r="B270">
        <v>83.16</v>
      </c>
      <c r="C270">
        <v>1.9</v>
      </c>
      <c r="D270" s="2">
        <v>45042</v>
      </c>
      <c r="E270">
        <v>83.3</v>
      </c>
      <c r="F270">
        <v>0.01</v>
      </c>
      <c r="G270">
        <v>-0.14000000000000057</v>
      </c>
      <c r="H270" s="5">
        <f t="shared" si="68"/>
        <v>1.2004801920768308E-4</v>
      </c>
      <c r="I270" s="3">
        <f t="shared" si="56"/>
        <v>0.32443942824026989</v>
      </c>
      <c r="J270" s="5">
        <f t="shared" si="69"/>
        <v>-1.6806722689075698E-3</v>
      </c>
      <c r="K270" s="3">
        <f t="shared" si="57"/>
        <v>0.86190598286856834</v>
      </c>
      <c r="L270" s="3">
        <f t="shared" si="58"/>
        <v>-0.67373547821539059</v>
      </c>
      <c r="N270" s="12">
        <f t="shared" si="59"/>
        <v>2.3385445311704567E-3</v>
      </c>
      <c r="O270" s="12">
        <f t="shared" si="60"/>
        <v>1.9222867148482449E-3</v>
      </c>
      <c r="P270" s="12">
        <f t="shared" si="61"/>
        <v>1.1545129699910956E-3</v>
      </c>
      <c r="Q270" s="12">
        <f t="shared" si="62"/>
        <v>-1.0018842950075069E-4</v>
      </c>
      <c r="R270" s="12">
        <f t="shared" si="63"/>
        <v>-2.2606690613058032E-4</v>
      </c>
      <c r="S270" s="12">
        <f t="shared" si="64"/>
        <v>1.327933143200951E-4</v>
      </c>
      <c r="T270" s="12">
        <f t="shared" si="65"/>
        <v>2.3333333333333428E-2</v>
      </c>
      <c r="U270" s="12">
        <f t="shared" si="66"/>
        <v>1.2738095238094882E-2</v>
      </c>
      <c r="V270" s="12">
        <f t="shared" si="67"/>
        <v>-4.13485040033712E-2</v>
      </c>
    </row>
    <row r="271" spans="1:22" x14ac:dyDescent="0.25">
      <c r="A271" s="26">
        <v>84.73</v>
      </c>
      <c r="B271">
        <v>84.89</v>
      </c>
      <c r="C271">
        <v>1.87</v>
      </c>
      <c r="D271" s="2">
        <v>45041</v>
      </c>
      <c r="E271">
        <v>85.13</v>
      </c>
      <c r="F271">
        <v>-0.4</v>
      </c>
      <c r="G271">
        <v>-0.23999999999999488</v>
      </c>
      <c r="H271" s="5">
        <f t="shared" si="68"/>
        <v>-4.6986961118289676E-3</v>
      </c>
      <c r="I271" s="3">
        <f t="shared" si="56"/>
        <v>-0.6672658570931258</v>
      </c>
      <c r="J271" s="5">
        <f t="shared" si="69"/>
        <v>-2.8192176670973207E-3</v>
      </c>
      <c r="K271" s="3">
        <f t="shared" si="57"/>
        <v>0.26378561176480586</v>
      </c>
      <c r="L271" s="3">
        <f t="shared" si="58"/>
        <v>-0.74783970076538309</v>
      </c>
      <c r="N271" s="12">
        <f t="shared" si="59"/>
        <v>3.0782640756400878E-3</v>
      </c>
      <c r="O271" s="12">
        <f t="shared" si="60"/>
        <v>2.2180494583202716E-3</v>
      </c>
      <c r="P271" s="12">
        <f t="shared" si="61"/>
        <v>1.4050735909574919E-3</v>
      </c>
      <c r="Q271" s="12">
        <f t="shared" si="62"/>
        <v>-7.1339399227844484E-5</v>
      </c>
      <c r="R271" s="12">
        <f t="shared" si="63"/>
        <v>-2.7771810931774641E-4</v>
      </c>
      <c r="S271" s="12">
        <f t="shared" si="64"/>
        <v>8.0905859090802442E-5</v>
      </c>
      <c r="T271" s="12">
        <f t="shared" si="65"/>
        <v>7.1904761904761472E-2</v>
      </c>
      <c r="U271" s="12">
        <f t="shared" si="66"/>
        <v>3.5357142857142421E-2</v>
      </c>
      <c r="V271" s="12">
        <f t="shared" si="67"/>
        <v>-2.1946902654867539E-2</v>
      </c>
    </row>
    <row r="272" spans="1:22" x14ac:dyDescent="0.25">
      <c r="A272" s="26">
        <v>85.7</v>
      </c>
      <c r="B272">
        <v>85.8</v>
      </c>
      <c r="C272">
        <v>1.86</v>
      </c>
      <c r="D272" s="2">
        <v>45040</v>
      </c>
      <c r="E272">
        <v>86.14</v>
      </c>
      <c r="F272">
        <v>-0.44</v>
      </c>
      <c r="G272">
        <v>-0.34000000000000341</v>
      </c>
      <c r="H272" s="5">
        <f t="shared" si="68"/>
        <v>-5.107963779893197E-3</v>
      </c>
      <c r="I272" s="3">
        <f t="shared" si="56"/>
        <v>-0.75370080821057539</v>
      </c>
      <c r="J272" s="5">
        <f t="shared" si="69"/>
        <v>-3.947062920826601E-3</v>
      </c>
      <c r="K272" s="3">
        <f t="shared" si="57"/>
        <v>-0.3317150346738138</v>
      </c>
      <c r="L272" s="3">
        <f t="shared" si="58"/>
        <v>-0.77305598396245134</v>
      </c>
      <c r="N272" s="12">
        <f t="shared" si="59"/>
        <v>2.9079019485770009E-3</v>
      </c>
      <c r="O272" s="12">
        <f t="shared" si="60"/>
        <v>2.2066288200228881E-3</v>
      </c>
      <c r="P272" s="12">
        <f t="shared" si="61"/>
        <v>1.3929033807566324E-3</v>
      </c>
      <c r="Q272" s="12">
        <f t="shared" si="62"/>
        <v>-4.4372238444344292E-4</v>
      </c>
      <c r="R272" s="12">
        <f t="shared" si="63"/>
        <v>-3.6283176088983691E-4</v>
      </c>
      <c r="S272" s="12">
        <f t="shared" si="64"/>
        <v>-1.430711348168745E-5</v>
      </c>
      <c r="T272" s="12">
        <f t="shared" si="65"/>
        <v>8.3809523809523778E-2</v>
      </c>
      <c r="U272" s="12">
        <f t="shared" si="66"/>
        <v>3.3452380952380789E-2</v>
      </c>
      <c r="V272" s="12">
        <f t="shared" si="67"/>
        <v>-1.9730299199325785E-2</v>
      </c>
    </row>
    <row r="273" spans="1:22" x14ac:dyDescent="0.25">
      <c r="A273" s="26">
        <v>88.6</v>
      </c>
      <c r="B273">
        <v>88.5</v>
      </c>
      <c r="C273">
        <v>2.17</v>
      </c>
      <c r="D273" s="2">
        <v>45037</v>
      </c>
      <c r="E273">
        <v>88.9</v>
      </c>
      <c r="F273">
        <v>-0.3</v>
      </c>
      <c r="G273">
        <v>-0.40000000000000568</v>
      </c>
      <c r="H273" s="5">
        <f t="shared" si="68"/>
        <v>-3.3745781777277835E-3</v>
      </c>
      <c r="I273" s="3">
        <f t="shared" si="56"/>
        <v>-0.4006358854533813</v>
      </c>
      <c r="J273" s="5">
        <f t="shared" si="69"/>
        <v>-4.4994375703037758E-3</v>
      </c>
      <c r="K273" s="3">
        <f t="shared" si="57"/>
        <v>-0.6234588170543407</v>
      </c>
      <c r="L273" s="3">
        <f t="shared" si="58"/>
        <v>-8.3095676635501728E-2</v>
      </c>
      <c r="N273" s="12">
        <f t="shared" si="59"/>
        <v>2.969442440810377E-3</v>
      </c>
      <c r="O273" s="12">
        <f t="shared" si="60"/>
        <v>2.5117857853098275E-3</v>
      </c>
      <c r="P273" s="12">
        <f t="shared" si="61"/>
        <v>1.6759776288005745E-3</v>
      </c>
      <c r="Q273" s="12">
        <f t="shared" si="62"/>
        <v>-5.7959082462055679E-4</v>
      </c>
      <c r="R273" s="12">
        <f t="shared" si="63"/>
        <v>-4.2939218472541228E-4</v>
      </c>
      <c r="S273" s="12">
        <f t="shared" si="64"/>
        <v>-6.3645288715819242E-5</v>
      </c>
      <c r="T273" s="12">
        <f t="shared" si="65"/>
        <v>0.13238095238095249</v>
      </c>
      <c r="U273" s="12">
        <f t="shared" si="66"/>
        <v>7.1666666666666767E-2</v>
      </c>
      <c r="V273" s="12">
        <f t="shared" si="67"/>
        <v>1.8322798145807173E-2</v>
      </c>
    </row>
    <row r="274" spans="1:22" x14ac:dyDescent="0.25">
      <c r="A274" s="26">
        <v>90.68</v>
      </c>
      <c r="B274">
        <v>90.55</v>
      </c>
      <c r="C274">
        <v>2.0499999999999998</v>
      </c>
      <c r="D274" s="2">
        <v>45036</v>
      </c>
      <c r="E274">
        <v>91.02</v>
      </c>
      <c r="F274">
        <v>-0.34</v>
      </c>
      <c r="G274">
        <v>-0.46999999999999886</v>
      </c>
      <c r="H274" s="5">
        <f t="shared" si="68"/>
        <v>-3.7354427598330041E-3</v>
      </c>
      <c r="I274" s="3">
        <f t="shared" si="56"/>
        <v>-0.48045551692835869</v>
      </c>
      <c r="J274" s="5">
        <f t="shared" si="69"/>
        <v>-5.1637002856514931E-3</v>
      </c>
      <c r="K274" s="3">
        <f t="shared" si="57"/>
        <v>-0.97869767098087801</v>
      </c>
      <c r="L274" s="3">
        <f t="shared" si="58"/>
        <v>-0.35387101346521654</v>
      </c>
      <c r="N274" s="12">
        <f t="shared" si="59"/>
        <v>7.0198668320095364E-4</v>
      </c>
      <c r="O274" s="12">
        <f t="shared" si="60"/>
        <v>7.804822474119285E-4</v>
      </c>
      <c r="P274" s="12">
        <f t="shared" si="61"/>
        <v>3.0793605305186583E-4</v>
      </c>
      <c r="Q274" s="12">
        <f t="shared" si="62"/>
        <v>-7.8051501804210326E-4</v>
      </c>
      <c r="R274" s="12">
        <f t="shared" si="63"/>
        <v>-5.478921629416037E-4</v>
      </c>
      <c r="S274" s="12">
        <f t="shared" si="64"/>
        <v>-1.1641119653635866E-4</v>
      </c>
      <c r="T274" s="12">
        <f t="shared" si="65"/>
        <v>0.11476190476190484</v>
      </c>
      <c r="U274" s="12">
        <f t="shared" si="66"/>
        <v>4.3571428571429038E-2</v>
      </c>
      <c r="V274" s="12">
        <f t="shared" si="67"/>
        <v>-1.7319848293295692E-3</v>
      </c>
    </row>
    <row r="275" spans="1:22" x14ac:dyDescent="0.25">
      <c r="A275" s="26">
        <v>90.55</v>
      </c>
      <c r="B275">
        <v>90.24</v>
      </c>
      <c r="C275">
        <v>2.0099999999999998</v>
      </c>
      <c r="D275" s="2">
        <v>45034</v>
      </c>
      <c r="G275">
        <v>90.24</v>
      </c>
      <c r="H275" s="5" t="str">
        <f t="shared" si="68"/>
        <v/>
      </c>
      <c r="I275" s="3" t="str">
        <f t="shared" si="56"/>
        <v xml:space="preserve"> </v>
      </c>
      <c r="J275" s="5" t="str">
        <f t="shared" si="69"/>
        <v/>
      </c>
      <c r="K275" s="3" t="str">
        <f t="shared" si="57"/>
        <v xml:space="preserve"> </v>
      </c>
      <c r="L275" s="3">
        <f t="shared" si="58"/>
        <v>-0.44258381231373833</v>
      </c>
      <c r="N275" s="12">
        <f t="shared" si="59"/>
        <v>5.5033711787062355E-4</v>
      </c>
      <c r="O275" s="12">
        <f t="shared" si="60"/>
        <v>6.3887270053452467E-4</v>
      </c>
      <c r="P275" s="12">
        <f t="shared" si="61"/>
        <v>2.5060329101175816E-4</v>
      </c>
      <c r="Q275" s="12">
        <f t="shared" si="62"/>
        <v>-5.4313500701716174E-4</v>
      </c>
      <c r="R275" s="12">
        <f t="shared" si="63"/>
        <v>-4.1931209752808308E-4</v>
      </c>
      <c r="S275" s="12">
        <f t="shared" si="64"/>
        <v>1.8253877104053642E-5</v>
      </c>
      <c r="T275" s="12">
        <f t="shared" si="65"/>
        <v>0.10380952380952335</v>
      </c>
      <c r="U275" s="12">
        <f t="shared" si="66"/>
        <v>3.6249999999999893E-2</v>
      </c>
      <c r="V275" s="12">
        <f t="shared" si="67"/>
        <v>-1.3198482932996747E-2</v>
      </c>
    </row>
    <row r="276" spans="1:22" x14ac:dyDescent="0.25">
      <c r="A276" s="26">
        <v>90.55</v>
      </c>
      <c r="B276">
        <v>89.7</v>
      </c>
      <c r="C276">
        <v>2.23</v>
      </c>
      <c r="D276" s="2">
        <v>45033</v>
      </c>
      <c r="E276">
        <v>89.71</v>
      </c>
      <c r="F276">
        <v>0.84</v>
      </c>
      <c r="G276">
        <v>-9.9999999999909051E-3</v>
      </c>
      <c r="H276" s="5">
        <f t="shared" si="68"/>
        <v>9.3635046260171668E-3</v>
      </c>
      <c r="I276" s="3">
        <f t="shared" si="56"/>
        <v>2.2021688279979257</v>
      </c>
      <c r="J276" s="5">
        <f t="shared" si="69"/>
        <v>-1.1147029316676966E-4</v>
      </c>
      <c r="K276" s="3">
        <f t="shared" si="57"/>
        <v>1.7099137359967433</v>
      </c>
      <c r="L276" s="3">
        <f t="shared" si="58"/>
        <v>4.4912896974605501E-2</v>
      </c>
      <c r="N276" s="12">
        <f t="shared" si="59"/>
        <v>-8.8138163916515752E-5</v>
      </c>
      <c r="O276" s="12">
        <f t="shared" si="60"/>
        <v>2.059115232161009E-4</v>
      </c>
      <c r="P276" s="12">
        <f t="shared" si="61"/>
        <v>-5.8663934549468225E-5</v>
      </c>
      <c r="Q276" s="12">
        <f t="shared" si="62"/>
        <v>-5.0913895979274107E-4</v>
      </c>
      <c r="R276" s="12">
        <f t="shared" si="63"/>
        <v>-5.2853164626711887E-4</v>
      </c>
      <c r="S276" s="12">
        <f t="shared" si="64"/>
        <v>-9.0112018338156345E-5</v>
      </c>
      <c r="T276" s="12">
        <f t="shared" si="65"/>
        <v>4.7619047619074095E-4</v>
      </c>
      <c r="U276" s="12">
        <f t="shared" si="66"/>
        <v>-1.8869047619047175E-2</v>
      </c>
      <c r="V276" s="12">
        <f t="shared" si="67"/>
        <v>-6.4825115887062745E-2</v>
      </c>
    </row>
    <row r="277" spans="1:22" x14ac:dyDescent="0.25">
      <c r="A277" s="26">
        <v>92.3</v>
      </c>
      <c r="B277">
        <v>91.62</v>
      </c>
      <c r="C277">
        <v>2.36</v>
      </c>
      <c r="D277" s="2">
        <v>45030</v>
      </c>
      <c r="E277">
        <v>92</v>
      </c>
      <c r="F277">
        <v>0.3</v>
      </c>
      <c r="G277">
        <v>-0.37999999999999545</v>
      </c>
      <c r="H277" s="5">
        <f t="shared" si="68"/>
        <v>3.2608695652173911E-3</v>
      </c>
      <c r="I277" s="3">
        <f t="shared" si="56"/>
        <v>0.96251518092546273</v>
      </c>
      <c r="J277" s="5">
        <f t="shared" si="69"/>
        <v>-4.130434782608646E-3</v>
      </c>
      <c r="K277" s="3">
        <f t="shared" si="57"/>
        <v>-0.41379442099344099</v>
      </c>
      <c r="L277" s="3">
        <f t="shared" si="58"/>
        <v>0.33519040063092692</v>
      </c>
      <c r="N277" s="12">
        <f t="shared" si="59"/>
        <v>-9.6436832930240149E-4</v>
      </c>
      <c r="O277" s="12">
        <f t="shared" si="60"/>
        <v>-7.7005371090320299E-4</v>
      </c>
      <c r="P277" s="12">
        <f t="shared" si="61"/>
        <v>-8.2164805914854079E-4</v>
      </c>
      <c r="Q277" s="12">
        <f t="shared" si="62"/>
        <v>-7.0627188663910639E-4</v>
      </c>
      <c r="R277" s="12">
        <f t="shared" si="63"/>
        <v>-7.2049139199318766E-4</v>
      </c>
      <c r="S277" s="12">
        <f t="shared" si="64"/>
        <v>-2.0377409885171663E-4</v>
      </c>
      <c r="T277" s="12">
        <f t="shared" si="65"/>
        <v>-3.0952380952380398E-2</v>
      </c>
      <c r="U277" s="12">
        <f t="shared" si="66"/>
        <v>-4.8392857142856904E-2</v>
      </c>
      <c r="V277" s="12">
        <f t="shared" si="67"/>
        <v>-9.506953223767356E-2</v>
      </c>
    </row>
    <row r="278" spans="1:22" x14ac:dyDescent="0.25">
      <c r="A278" s="26">
        <v>90.51</v>
      </c>
      <c r="B278">
        <v>90.52</v>
      </c>
      <c r="C278">
        <v>2</v>
      </c>
      <c r="D278" s="2">
        <v>45029</v>
      </c>
      <c r="E278">
        <v>91.06</v>
      </c>
      <c r="F278">
        <v>-0.55000000000000004</v>
      </c>
      <c r="G278">
        <v>-0.54000000000000625</v>
      </c>
      <c r="H278" s="5">
        <f t="shared" si="68"/>
        <v>-6.0399736437513731E-3</v>
      </c>
      <c r="I278" s="3">
        <f t="shared" si="56"/>
        <v>-0.95110237191865432</v>
      </c>
      <c r="J278" s="5">
        <f t="shared" si="69"/>
        <v>-5.93015594113778E-3</v>
      </c>
      <c r="K278" s="3">
        <f t="shared" si="57"/>
        <v>-1.3698288804289507</v>
      </c>
      <c r="L278" s="3">
        <f t="shared" si="58"/>
        <v>-0.47231436935408344</v>
      </c>
      <c r="N278" s="12">
        <f t="shared" si="59"/>
        <v>-9.8886734930705034E-4</v>
      </c>
      <c r="O278" s="12">
        <f t="shared" si="60"/>
        <v>-1.1777308387930804E-3</v>
      </c>
      <c r="P278" s="12">
        <f t="shared" si="61"/>
        <v>-1.1428394314542496E-3</v>
      </c>
      <c r="Q278" s="12">
        <f t="shared" si="62"/>
        <v>-7.406340670865182E-4</v>
      </c>
      <c r="R278" s="12">
        <f t="shared" si="63"/>
        <v>-8.1495988229207412E-4</v>
      </c>
      <c r="S278" s="12">
        <f t="shared" si="64"/>
        <v>-1.7464266517336216E-4</v>
      </c>
      <c r="T278" s="12">
        <f t="shared" si="65"/>
        <v>-2.1904761904762093E-2</v>
      </c>
      <c r="U278" s="12">
        <f t="shared" si="66"/>
        <v>-6.2559523809523565E-2</v>
      </c>
      <c r="V278" s="12">
        <f t="shared" si="67"/>
        <v>-0.1030004214075011</v>
      </c>
    </row>
    <row r="279" spans="1:22" x14ac:dyDescent="0.25">
      <c r="A279" s="26">
        <v>93.9</v>
      </c>
      <c r="B279">
        <v>94.05</v>
      </c>
      <c r="C279">
        <v>1.75</v>
      </c>
      <c r="D279" s="2">
        <v>45028</v>
      </c>
      <c r="E279">
        <v>94.25</v>
      </c>
      <c r="F279">
        <v>-0.35</v>
      </c>
      <c r="G279">
        <v>-0.20000000000000284</v>
      </c>
      <c r="H279" s="5">
        <f t="shared" si="68"/>
        <v>-3.7135278514588855E-3</v>
      </c>
      <c r="I279" s="3">
        <f t="shared" si="56"/>
        <v>-0.48047268297717072</v>
      </c>
      <c r="J279" s="5">
        <f t="shared" si="69"/>
        <v>-2.1220159151193936E-3</v>
      </c>
      <c r="K279" s="3">
        <f t="shared" si="57"/>
        <v>0.651780184669708</v>
      </c>
      <c r="L279" s="3">
        <f t="shared" si="58"/>
        <v>-1.0336922036735623</v>
      </c>
      <c r="N279" s="12">
        <f t="shared" si="59"/>
        <v>-1.1866960792045066E-3</v>
      </c>
      <c r="O279" s="12">
        <f t="shared" si="60"/>
        <v>-1.1546878085881181E-3</v>
      </c>
      <c r="P279" s="12">
        <f t="shared" si="61"/>
        <v>-1.1338527439563363E-3</v>
      </c>
      <c r="Q279" s="12">
        <f t="shared" si="62"/>
        <v>-7.5862711660013276E-4</v>
      </c>
      <c r="R279" s="12">
        <f t="shared" si="63"/>
        <v>-7.4952040015327211E-4</v>
      </c>
      <c r="S279" s="12">
        <f t="shared" si="64"/>
        <v>-6.9528200618054412E-5</v>
      </c>
      <c r="T279" s="12">
        <f t="shared" si="65"/>
        <v>-0.10428571428571498</v>
      </c>
      <c r="U279" s="12">
        <f t="shared" si="66"/>
        <v>-0.11154761904761923</v>
      </c>
      <c r="V279" s="12">
        <f t="shared" si="67"/>
        <v>-0.1544205646860517</v>
      </c>
    </row>
    <row r="280" spans="1:22" x14ac:dyDescent="0.25">
      <c r="A280" s="26">
        <v>95.52</v>
      </c>
      <c r="B280">
        <v>94.87</v>
      </c>
      <c r="C280">
        <v>2.0699999999999998</v>
      </c>
      <c r="D280" s="2">
        <v>45027</v>
      </c>
      <c r="E280">
        <v>95.12</v>
      </c>
      <c r="F280">
        <v>0.4</v>
      </c>
      <c r="G280">
        <v>-0.25</v>
      </c>
      <c r="H280" s="5">
        <f t="shared" si="68"/>
        <v>4.2052144659377629E-3</v>
      </c>
      <c r="I280" s="3">
        <f t="shared" si="56"/>
        <v>1.1361231974944579</v>
      </c>
      <c r="J280" s="5">
        <f t="shared" si="69"/>
        <v>-2.6282590412111018E-3</v>
      </c>
      <c r="K280" s="3">
        <f t="shared" si="57"/>
        <v>0.38421532943864073</v>
      </c>
      <c r="L280" s="3">
        <f t="shared" si="58"/>
        <v>-0.3310176559120363</v>
      </c>
      <c r="N280" s="12">
        <f t="shared" si="59"/>
        <v>-1.3921855488704545E-3</v>
      </c>
      <c r="O280" s="12">
        <f t="shared" si="60"/>
        <v>-1.0829289826893354E-3</v>
      </c>
      <c r="P280" s="12">
        <f t="shared" si="61"/>
        <v>-1.0830109081415849E-3</v>
      </c>
      <c r="Q280" s="12">
        <f t="shared" si="62"/>
        <v>-8.9689040962200517E-4</v>
      </c>
      <c r="R280" s="12">
        <f t="shared" si="63"/>
        <v>-6.9801279763641397E-4</v>
      </c>
      <c r="S280" s="12">
        <f t="shared" si="64"/>
        <v>-1.0448917558617075E-4</v>
      </c>
      <c r="T280" s="12">
        <f t="shared" si="65"/>
        <v>-9.0000000000000302E-2</v>
      </c>
      <c r="U280" s="12">
        <f t="shared" si="66"/>
        <v>-0.10041666666666638</v>
      </c>
      <c r="V280" s="12">
        <f t="shared" si="67"/>
        <v>-0.14698272229245601</v>
      </c>
    </row>
    <row r="281" spans="1:22" x14ac:dyDescent="0.25">
      <c r="A281" s="26">
        <v>94.3</v>
      </c>
      <c r="B281">
        <v>93.56</v>
      </c>
      <c r="C281">
        <v>2.2400000000000002</v>
      </c>
      <c r="D281" s="2">
        <v>45022</v>
      </c>
      <c r="E281">
        <v>93.79</v>
      </c>
      <c r="F281">
        <v>0.51</v>
      </c>
      <c r="G281">
        <v>-0.23000000000000398</v>
      </c>
      <c r="H281" s="5">
        <f t="shared" si="68"/>
        <v>5.4376799232327541E-3</v>
      </c>
      <c r="I281" s="3">
        <f t="shared" si="56"/>
        <v>1.3942457511707693</v>
      </c>
      <c r="J281" s="5">
        <f t="shared" si="69"/>
        <v>-2.4522870242030489E-3</v>
      </c>
      <c r="K281" s="3">
        <f t="shared" si="57"/>
        <v>0.47784840410324758</v>
      </c>
      <c r="L281" s="3">
        <f t="shared" si="58"/>
        <v>4.1019289977615392E-2</v>
      </c>
      <c r="N281" s="12">
        <f t="shared" si="59"/>
        <v>-1.2879910920120278E-3</v>
      </c>
      <c r="O281" s="12">
        <f t="shared" si="60"/>
        <v>-1.0196408159839757E-3</v>
      </c>
      <c r="P281" s="12">
        <f t="shared" si="61"/>
        <v>-1.1127442972268843E-3</v>
      </c>
      <c r="Q281" s="12">
        <f t="shared" si="62"/>
        <v>-7.3465231824286405E-4</v>
      </c>
      <c r="R281" s="12">
        <f t="shared" si="63"/>
        <v>-4.7532117258273663E-4</v>
      </c>
      <c r="S281" s="12">
        <f t="shared" si="64"/>
        <v>8.7090484928248335E-5</v>
      </c>
      <c r="T281" s="12">
        <f t="shared" si="65"/>
        <v>-8.0000000000000293E-2</v>
      </c>
      <c r="U281" s="12">
        <f t="shared" si="66"/>
        <v>-0.10827380952380961</v>
      </c>
      <c r="V281" s="12">
        <f t="shared" si="67"/>
        <v>-0.15618626211546549</v>
      </c>
    </row>
    <row r="282" spans="1:22" x14ac:dyDescent="0.25">
      <c r="A282" s="26">
        <v>94.12</v>
      </c>
      <c r="B282">
        <v>93.25</v>
      </c>
      <c r="C282">
        <v>2.06</v>
      </c>
      <c r="D282" s="2">
        <v>45020</v>
      </c>
      <c r="E282">
        <v>93.66</v>
      </c>
      <c r="F282">
        <v>0.46</v>
      </c>
      <c r="G282">
        <v>-0.40999999999999659</v>
      </c>
      <c r="H282" s="5">
        <f t="shared" si="68"/>
        <v>4.9113815929959434E-3</v>
      </c>
      <c r="I282" s="3">
        <f t="shared" si="56"/>
        <v>1.2794539593791237</v>
      </c>
      <c r="J282" s="5">
        <f t="shared" si="69"/>
        <v>-4.3775357676702608E-3</v>
      </c>
      <c r="K282" s="3">
        <f t="shared" si="57"/>
        <v>-0.55057010876209</v>
      </c>
      <c r="L282" s="3">
        <f t="shared" si="58"/>
        <v>-0.35647410257182705</v>
      </c>
      <c r="N282" s="12">
        <f t="shared" si="59"/>
        <v>-1.9796529380019931E-3</v>
      </c>
      <c r="O282" s="12">
        <f t="shared" si="60"/>
        <v>-1.3342030463441177E-3</v>
      </c>
      <c r="P282" s="12">
        <f t="shared" si="61"/>
        <v>-1.5964623886706784E-3</v>
      </c>
      <c r="Q282" s="12">
        <f t="shared" si="62"/>
        <v>-3.3001466279293382E-4</v>
      </c>
      <c r="R282" s="12">
        <f t="shared" si="63"/>
        <v>-2.3153202141205313E-4</v>
      </c>
      <c r="S282" s="12">
        <f t="shared" si="64"/>
        <v>3.3231226109734077E-4</v>
      </c>
      <c r="T282" s="12">
        <f t="shared" si="65"/>
        <v>-7.0000000000000062E-2</v>
      </c>
      <c r="U282" s="12">
        <f t="shared" si="66"/>
        <v>-0.10113095238095204</v>
      </c>
      <c r="V282" s="12">
        <f t="shared" si="67"/>
        <v>-0.16532659081331569</v>
      </c>
    </row>
    <row r="283" spans="1:22" x14ac:dyDescent="0.25">
      <c r="A283" s="26">
        <v>89.82</v>
      </c>
      <c r="B283">
        <v>89.26</v>
      </c>
      <c r="C283">
        <v>2.1</v>
      </c>
      <c r="D283" s="2">
        <v>45019</v>
      </c>
      <c r="E283">
        <v>89.27</v>
      </c>
      <c r="F283">
        <v>0.55000000000000004</v>
      </c>
      <c r="G283">
        <v>-9.9999999999909051E-3</v>
      </c>
      <c r="H283" s="5">
        <f t="shared" si="68"/>
        <v>6.1610843508457499E-3</v>
      </c>
      <c r="I283" s="3">
        <f t="shared" si="56"/>
        <v>1.533685235947817</v>
      </c>
      <c r="J283" s="5">
        <f t="shared" si="69"/>
        <v>-1.1201971546982083E-4</v>
      </c>
      <c r="K283" s="3">
        <f t="shared" si="57"/>
        <v>1.7048307621607643</v>
      </c>
      <c r="L283" s="3">
        <f t="shared" si="58"/>
        <v>-0.27061350629428355</v>
      </c>
      <c r="N283" s="12">
        <f t="shared" si="59"/>
        <v>-2.4244910680743959E-3</v>
      </c>
      <c r="O283" s="12">
        <f t="shared" si="60"/>
        <v>-1.5291121477729634E-3</v>
      </c>
      <c r="P283" s="12">
        <f t="shared" si="61"/>
        <v>-1.899546677748597E-3</v>
      </c>
      <c r="Q283" s="12">
        <f t="shared" si="62"/>
        <v>-1.023832308198391E-4</v>
      </c>
      <c r="R283" s="12">
        <f t="shared" si="63"/>
        <v>5.9968638002811693E-6</v>
      </c>
      <c r="S283" s="12">
        <f t="shared" si="64"/>
        <v>5.582197998286252E-4</v>
      </c>
      <c r="T283" s="12">
        <f t="shared" si="65"/>
        <v>-8.0952380952380665E-2</v>
      </c>
      <c r="U283" s="12">
        <f t="shared" si="66"/>
        <v>-9.3273809523809259E-2</v>
      </c>
      <c r="V283" s="12">
        <f t="shared" si="67"/>
        <v>-0.17664138221660242</v>
      </c>
    </row>
    <row r="284" spans="1:22" x14ac:dyDescent="0.25">
      <c r="A284" s="26">
        <v>88.61</v>
      </c>
      <c r="B284">
        <v>88.25</v>
      </c>
      <c r="C284">
        <v>2.33</v>
      </c>
      <c r="D284" s="2">
        <v>45016</v>
      </c>
      <c r="E284">
        <v>88.41</v>
      </c>
      <c r="F284">
        <v>0.2</v>
      </c>
      <c r="G284">
        <v>-0.15999999999999659</v>
      </c>
      <c r="H284" s="5">
        <f t="shared" si="68"/>
        <v>2.2621875353466803E-3</v>
      </c>
      <c r="I284" s="3">
        <f t="shared" si="56"/>
        <v>0.76293271346729585</v>
      </c>
      <c r="J284" s="5">
        <f t="shared" si="69"/>
        <v>-1.8097500282773058E-3</v>
      </c>
      <c r="K284" s="3">
        <f t="shared" si="57"/>
        <v>0.81168139548464735</v>
      </c>
      <c r="L284" s="3">
        <f t="shared" si="58"/>
        <v>0.24179886828880379</v>
      </c>
      <c r="N284" s="12">
        <f t="shared" si="59"/>
        <v>-3.1802319911152939E-3</v>
      </c>
      <c r="O284" s="12">
        <f t="shared" si="60"/>
        <v>-2.0290920911934188E-3</v>
      </c>
      <c r="P284" s="12">
        <f t="shared" si="61"/>
        <v>-2.3092468543333602E-3</v>
      </c>
      <c r="Q284" s="12">
        <f t="shared" si="62"/>
        <v>-2.9273627650384026E-4</v>
      </c>
      <c r="R284" s="12">
        <f t="shared" si="63"/>
        <v>-1.2712209309077502E-4</v>
      </c>
      <c r="S284" s="12">
        <f t="shared" si="64"/>
        <v>4.6765360145488389E-4</v>
      </c>
      <c r="T284" s="12">
        <f t="shared" si="65"/>
        <v>-0.12857142857142834</v>
      </c>
      <c r="U284" s="12">
        <f t="shared" si="66"/>
        <v>-0.11107142857142827</v>
      </c>
      <c r="V284" s="12">
        <f t="shared" si="67"/>
        <v>-0.19954487989886149</v>
      </c>
    </row>
    <row r="285" spans="1:22" x14ac:dyDescent="0.25">
      <c r="A285" s="26">
        <v>87.42</v>
      </c>
      <c r="B285">
        <v>87.2</v>
      </c>
      <c r="C285">
        <v>1.89</v>
      </c>
      <c r="D285" s="2">
        <v>45015</v>
      </c>
      <c r="E285">
        <v>87.35</v>
      </c>
      <c r="F285">
        <v>7.0000000000000007E-2</v>
      </c>
      <c r="G285">
        <v>-0.14999999999999147</v>
      </c>
      <c r="H285" s="5">
        <f t="shared" si="68"/>
        <v>8.0137378362907859E-4</v>
      </c>
      <c r="I285" s="3">
        <f t="shared" si="56"/>
        <v>0.47176497603955042</v>
      </c>
      <c r="J285" s="5">
        <f t="shared" si="69"/>
        <v>-1.7172295363479277E-3</v>
      </c>
      <c r="K285" s="3">
        <f t="shared" si="57"/>
        <v>0.8601398255144902</v>
      </c>
      <c r="L285" s="3">
        <f t="shared" si="58"/>
        <v>-0.73321981926501456</v>
      </c>
      <c r="N285" s="12">
        <f t="shared" si="59"/>
        <v>-2.5567708287745298E-3</v>
      </c>
      <c r="O285" s="12">
        <f t="shared" si="60"/>
        <v>-1.7837979965230704E-3</v>
      </c>
      <c r="P285" s="12">
        <f t="shared" si="61"/>
        <v>-2.1678648294402494E-3</v>
      </c>
      <c r="Q285" s="12">
        <f t="shared" si="62"/>
        <v>2.2570781275976608E-5</v>
      </c>
      <c r="R285" s="12">
        <f t="shared" si="63"/>
        <v>-1.9499814540007137E-5</v>
      </c>
      <c r="S285" s="12">
        <f t="shared" si="64"/>
        <v>5.5540759541998757E-4</v>
      </c>
      <c r="T285" s="12">
        <f t="shared" si="65"/>
        <v>-0.13904761904761864</v>
      </c>
      <c r="U285" s="12">
        <f t="shared" si="66"/>
        <v>-0.13428571428571434</v>
      </c>
      <c r="V285" s="12">
        <f t="shared" si="67"/>
        <v>-0.22695322376738236</v>
      </c>
    </row>
    <row r="286" spans="1:22" x14ac:dyDescent="0.25">
      <c r="A286" s="26">
        <v>87.16</v>
      </c>
      <c r="B286">
        <v>87.13</v>
      </c>
      <c r="C286">
        <v>1.83</v>
      </c>
      <c r="D286" s="2">
        <v>45014</v>
      </c>
      <c r="E286">
        <v>87.41</v>
      </c>
      <c r="F286">
        <v>-0.25</v>
      </c>
      <c r="G286">
        <v>-0.28000000000000114</v>
      </c>
      <c r="H286" s="5">
        <f t="shared" si="68"/>
        <v>-2.8600846585058919E-3</v>
      </c>
      <c r="I286" s="3">
        <f t="shared" si="56"/>
        <v>-0.27238012604145362</v>
      </c>
      <c r="J286" s="5">
        <f t="shared" si="69"/>
        <v>-3.2032948175266117E-3</v>
      </c>
      <c r="K286" s="3">
        <f t="shared" si="57"/>
        <v>6.8628682943403935E-2</v>
      </c>
      <c r="L286" s="3">
        <f t="shared" si="58"/>
        <v>-0.87274784659295745</v>
      </c>
      <c r="N286" s="12">
        <f t="shared" si="59"/>
        <v>-2.9696147249171512E-3</v>
      </c>
      <c r="O286" s="12">
        <f t="shared" si="60"/>
        <v>-2.2444799805112518E-3</v>
      </c>
      <c r="P286" s="12">
        <f t="shared" si="61"/>
        <v>-2.5131828642550348E-3</v>
      </c>
      <c r="Q286" s="12">
        <f t="shared" si="62"/>
        <v>-2.4045944296287314E-4</v>
      </c>
      <c r="R286" s="12">
        <f t="shared" si="63"/>
        <v>-1.0929093647948484E-4</v>
      </c>
      <c r="S286" s="12">
        <f t="shared" si="64"/>
        <v>3.9625475891163402E-4</v>
      </c>
      <c r="T286" s="12">
        <f t="shared" si="65"/>
        <v>-0.12190476190476129</v>
      </c>
      <c r="U286" s="12">
        <f t="shared" si="66"/>
        <v>-0.12285714285714233</v>
      </c>
      <c r="V286" s="12">
        <f t="shared" si="67"/>
        <v>-0.21949431099873484</v>
      </c>
    </row>
    <row r="287" spans="1:22" x14ac:dyDescent="0.25">
      <c r="A287" s="26">
        <v>86.54</v>
      </c>
      <c r="B287">
        <v>86.7</v>
      </c>
      <c r="C287">
        <v>1.8</v>
      </c>
      <c r="D287" s="2">
        <v>45013</v>
      </c>
      <c r="E287">
        <v>87.15</v>
      </c>
      <c r="F287">
        <v>-0.61</v>
      </c>
      <c r="G287">
        <v>-0.45000000000000284</v>
      </c>
      <c r="H287" s="5">
        <f t="shared" si="68"/>
        <v>-6.9994262765347096E-3</v>
      </c>
      <c r="I287" s="3">
        <f t="shared" si="56"/>
        <v>-1.1088585101193726</v>
      </c>
      <c r="J287" s="5">
        <f t="shared" si="69"/>
        <v>-5.1635111876076056E-3</v>
      </c>
      <c r="K287" s="3">
        <f t="shared" si="57"/>
        <v>-0.97215437649479386</v>
      </c>
      <c r="L287" s="3">
        <f t="shared" si="58"/>
        <v>-0.94730265422443216</v>
      </c>
      <c r="N287" s="12">
        <f t="shared" si="59"/>
        <v>-2.0870828352876928E-3</v>
      </c>
      <c r="O287" s="12">
        <f t="shared" si="60"/>
        <v>-1.6943583398472538E-3</v>
      </c>
      <c r="P287" s="12">
        <f t="shared" si="61"/>
        <v>-2.0770193759657579E-3</v>
      </c>
      <c r="Q287" s="12">
        <f t="shared" si="62"/>
        <v>-3.8461005961857014E-4</v>
      </c>
      <c r="R287" s="12">
        <f t="shared" si="63"/>
        <v>-1.6797896438758156E-4</v>
      </c>
      <c r="S287" s="12">
        <f t="shared" si="64"/>
        <v>3.5628386546987219E-4</v>
      </c>
      <c r="T287" s="12">
        <f t="shared" si="65"/>
        <v>-6.2380952380952426E-2</v>
      </c>
      <c r="U287" s="12">
        <f t="shared" si="66"/>
        <v>-7.7083333333332948E-2</v>
      </c>
      <c r="V287" s="12">
        <f t="shared" si="67"/>
        <v>-0.19579856721449618</v>
      </c>
    </row>
    <row r="288" spans="1:22" x14ac:dyDescent="0.25">
      <c r="A288" s="26">
        <v>85.18</v>
      </c>
      <c r="B288">
        <v>85.36</v>
      </c>
      <c r="C288">
        <v>1.76</v>
      </c>
      <c r="D288" s="2">
        <v>45012</v>
      </c>
      <c r="E288">
        <v>85.77</v>
      </c>
      <c r="F288">
        <v>-0.59</v>
      </c>
      <c r="G288">
        <v>-0.40999999999999659</v>
      </c>
      <c r="H288" s="5">
        <f t="shared" si="68"/>
        <v>-6.8788620729858928E-3</v>
      </c>
      <c r="I288" s="3">
        <f t="shared" si="56"/>
        <v>-1.0949295257745923</v>
      </c>
      <c r="J288" s="5">
        <f t="shared" si="69"/>
        <v>-4.7802261863121908E-3</v>
      </c>
      <c r="K288" s="3">
        <f t="shared" si="57"/>
        <v>-0.77713832324750243</v>
      </c>
      <c r="L288" s="3">
        <f t="shared" si="58"/>
        <v>-1.0379568931791228</v>
      </c>
      <c r="N288" s="12">
        <f t="shared" si="59"/>
        <v>-2.1661890901038604E-3</v>
      </c>
      <c r="O288" s="12">
        <f t="shared" si="60"/>
        <v>-1.6376562428353804E-3</v>
      </c>
      <c r="P288" s="12">
        <f t="shared" si="61"/>
        <v>-2.04469224019279E-3</v>
      </c>
      <c r="Q288" s="12">
        <f t="shared" si="62"/>
        <v>-4.5830317263354696E-4</v>
      </c>
      <c r="R288" s="12">
        <f t="shared" si="63"/>
        <v>-6.3824750327586173E-5</v>
      </c>
      <c r="S288" s="12">
        <f t="shared" si="64"/>
        <v>4.7041731062692858E-4</v>
      </c>
      <c r="T288" s="12">
        <f t="shared" si="65"/>
        <v>-2.4761904761905207E-2</v>
      </c>
      <c r="U288" s="12">
        <f t="shared" si="66"/>
        <v>-5.8988095238095672E-2</v>
      </c>
      <c r="V288" s="12">
        <f t="shared" si="67"/>
        <v>-0.19162241887905673</v>
      </c>
    </row>
    <row r="289" spans="1:22" x14ac:dyDescent="0.25">
      <c r="A289" s="26">
        <v>88.09</v>
      </c>
      <c r="B289">
        <v>88.18</v>
      </c>
      <c r="C289">
        <v>2.0099999999999998</v>
      </c>
      <c r="D289" s="2">
        <v>45009</v>
      </c>
      <c r="E289">
        <v>88.39</v>
      </c>
      <c r="F289">
        <v>-0.3</v>
      </c>
      <c r="G289">
        <v>-0.20999999999999375</v>
      </c>
      <c r="H289" s="5">
        <f t="shared" si="68"/>
        <v>-3.3940491005769883E-3</v>
      </c>
      <c r="I289" s="3">
        <f t="shared" si="56"/>
        <v>-0.40037222183439991</v>
      </c>
      <c r="J289" s="5">
        <f t="shared" si="69"/>
        <v>-2.3758343704038212E-3</v>
      </c>
      <c r="K289" s="3">
        <f t="shared" si="57"/>
        <v>0.49609690252468075</v>
      </c>
      <c r="L289" s="3">
        <f t="shared" si="58"/>
        <v>-0.48598414362226594</v>
      </c>
      <c r="N289" s="12">
        <f t="shared" si="59"/>
        <v>-1.8875841561722133E-3</v>
      </c>
      <c r="O289" s="12">
        <f t="shared" si="60"/>
        <v>-1.2236754976807124E-3</v>
      </c>
      <c r="P289" s="12">
        <f t="shared" si="61"/>
        <v>-1.6435046417018007E-3</v>
      </c>
      <c r="Q289" s="12">
        <f t="shared" si="62"/>
        <v>-4.6187089703113521E-4</v>
      </c>
      <c r="R289" s="12">
        <f t="shared" si="63"/>
        <v>-4.6112362030084793E-5</v>
      </c>
      <c r="S289" s="12">
        <f t="shared" si="64"/>
        <v>4.9346440529641523E-4</v>
      </c>
      <c r="T289" s="12">
        <f t="shared" si="65"/>
        <v>-2.428571428571491E-2</v>
      </c>
      <c r="U289" s="12">
        <f t="shared" si="66"/>
        <v>-5.3690476190475955E-2</v>
      </c>
      <c r="V289" s="12">
        <f t="shared" si="67"/>
        <v>-0.19165191740412979</v>
      </c>
    </row>
    <row r="290" spans="1:22" x14ac:dyDescent="0.25">
      <c r="A290" s="26">
        <v>88.27</v>
      </c>
      <c r="B290">
        <v>88.02</v>
      </c>
      <c r="C290">
        <v>1.94</v>
      </c>
      <c r="D290" s="2">
        <v>45008</v>
      </c>
      <c r="E290">
        <v>88.31</v>
      </c>
      <c r="F290">
        <v>-0.04</v>
      </c>
      <c r="G290">
        <v>-0.29000000000000625</v>
      </c>
      <c r="H290" s="5">
        <f t="shared" si="68"/>
        <v>-4.529498358056845E-4</v>
      </c>
      <c r="I290" s="3">
        <f t="shared" si="56"/>
        <v>0.18387195817847829</v>
      </c>
      <c r="J290" s="5">
        <f t="shared" si="69"/>
        <v>-3.2838863095912833E-3</v>
      </c>
      <c r="K290" s="3">
        <f t="shared" si="57"/>
        <v>7.3573963884937697E-3</v>
      </c>
      <c r="L290" s="3">
        <f t="shared" si="58"/>
        <v>-0.64498225021158073</v>
      </c>
      <c r="N290" s="12">
        <f t="shared" si="59"/>
        <v>-1.2763305055809974E-3</v>
      </c>
      <c r="O290" s="12">
        <f t="shared" si="60"/>
        <v>-8.8707059096103488E-4</v>
      </c>
      <c r="P290" s="12">
        <f t="shared" si="61"/>
        <v>-1.2306522699807229E-3</v>
      </c>
      <c r="Q290" s="12">
        <f t="shared" si="62"/>
        <v>-3.6906942799429894E-4</v>
      </c>
      <c r="R290" s="12">
        <f t="shared" si="63"/>
        <v>4.4801491312286123E-5</v>
      </c>
      <c r="S290" s="12">
        <f t="shared" si="64"/>
        <v>5.5198598976150459E-4</v>
      </c>
      <c r="T290" s="12">
        <f t="shared" si="65"/>
        <v>-1.7619047619048533E-2</v>
      </c>
      <c r="U290" s="12">
        <f t="shared" si="66"/>
        <v>-5.3690476190476399E-2</v>
      </c>
      <c r="V290" s="12">
        <f t="shared" si="67"/>
        <v>-0.20072903497682315</v>
      </c>
    </row>
    <row r="291" spans="1:22" x14ac:dyDescent="0.25">
      <c r="A291" s="26">
        <v>87.14</v>
      </c>
      <c r="B291">
        <v>86.53</v>
      </c>
      <c r="C291">
        <v>2.2999999999999998</v>
      </c>
      <c r="D291" s="2">
        <v>45006</v>
      </c>
      <c r="E291">
        <v>86.79</v>
      </c>
      <c r="F291">
        <v>0.35</v>
      </c>
      <c r="G291">
        <v>-0.26000000000000512</v>
      </c>
      <c r="H291" s="5">
        <f t="shared" si="68"/>
        <v>4.0327226639013704E-3</v>
      </c>
      <c r="I291" s="3">
        <f t="shared" si="56"/>
        <v>1.0864649456725914</v>
      </c>
      <c r="J291" s="5">
        <f t="shared" si="69"/>
        <v>-2.9957368360410772E-3</v>
      </c>
      <c r="K291" s="3">
        <f t="shared" si="57"/>
        <v>0.15423415331137413</v>
      </c>
      <c r="L291" s="3">
        <f t="shared" si="58"/>
        <v>0.15477084082008161</v>
      </c>
      <c r="N291" s="12">
        <f t="shared" si="59"/>
        <v>-1.6947079394852092E-3</v>
      </c>
      <c r="O291" s="12">
        <f t="shared" si="60"/>
        <v>-1.2791078572017727E-3</v>
      </c>
      <c r="P291" s="12">
        <f t="shared" si="61"/>
        <v>-1.4422473527970136E-3</v>
      </c>
      <c r="Q291" s="12">
        <f t="shared" si="62"/>
        <v>-2.9915251029911287E-4</v>
      </c>
      <c r="R291" s="12">
        <f t="shared" si="63"/>
        <v>6.8180487529825688E-6</v>
      </c>
      <c r="S291" s="12">
        <f t="shared" si="64"/>
        <v>5.7609687909959684E-4</v>
      </c>
      <c r="T291" s="12">
        <f t="shared" si="65"/>
        <v>-3.9523809523810183E-2</v>
      </c>
      <c r="U291" s="12">
        <f t="shared" si="66"/>
        <v>-5.5059523809524613E-2</v>
      </c>
      <c r="V291" s="12">
        <f t="shared" si="67"/>
        <v>-0.20919511167298843</v>
      </c>
    </row>
    <row r="292" spans="1:22" x14ac:dyDescent="0.25">
      <c r="A292" s="26">
        <v>82.46</v>
      </c>
      <c r="B292">
        <v>82.48</v>
      </c>
      <c r="C292">
        <v>1.95</v>
      </c>
      <c r="D292" s="2">
        <v>45005</v>
      </c>
      <c r="E292">
        <v>82.85</v>
      </c>
      <c r="F292">
        <v>-0.39</v>
      </c>
      <c r="G292">
        <v>-0.36999999999999034</v>
      </c>
      <c r="H292" s="5">
        <f t="shared" si="68"/>
        <v>-4.7073023536511769E-3</v>
      </c>
      <c r="I292" s="3">
        <f t="shared" si="56"/>
        <v>-0.66886043091312386</v>
      </c>
      <c r="J292" s="5">
        <f t="shared" si="69"/>
        <v>-4.4659022329510004E-3</v>
      </c>
      <c r="K292" s="3">
        <f t="shared" si="57"/>
        <v>-0.61561616528122864</v>
      </c>
      <c r="L292" s="3">
        <f t="shared" si="58"/>
        <v>-0.62728792911640574</v>
      </c>
      <c r="N292" s="12">
        <f t="shared" si="59"/>
        <v>-2.5271348738188605E-3</v>
      </c>
      <c r="O292" s="12">
        <f t="shared" si="60"/>
        <v>-1.9002618245761757E-3</v>
      </c>
      <c r="P292" s="12">
        <f t="shared" si="61"/>
        <v>-2.0207701494111153E-3</v>
      </c>
      <c r="Q292" s="12">
        <f t="shared" si="62"/>
        <v>-4.4739681772400881E-4</v>
      </c>
      <c r="R292" s="12">
        <f t="shared" si="63"/>
        <v>-1.3179380385107973E-4</v>
      </c>
      <c r="S292" s="12">
        <f t="shared" si="64"/>
        <v>4.7999870376988019E-4</v>
      </c>
      <c r="T292" s="12">
        <f t="shared" si="65"/>
        <v>-7.7619047619047699E-2</v>
      </c>
      <c r="U292" s="12">
        <f t="shared" si="66"/>
        <v>-8.5654761904761845E-2</v>
      </c>
      <c r="V292" s="12">
        <f t="shared" si="67"/>
        <v>-0.25199325747998325</v>
      </c>
    </row>
    <row r="293" spans="1:22" x14ac:dyDescent="0.25">
      <c r="A293" s="26">
        <v>86.5</v>
      </c>
      <c r="B293">
        <v>86.12</v>
      </c>
      <c r="C293">
        <v>2.4900000000000002</v>
      </c>
      <c r="D293" s="2">
        <v>45002</v>
      </c>
      <c r="E293">
        <v>86.53</v>
      </c>
      <c r="F293">
        <v>-0.03</v>
      </c>
      <c r="G293">
        <v>-0.40999999999999659</v>
      </c>
      <c r="H293" s="5">
        <f t="shared" si="68"/>
        <v>-3.4670056627759157E-4</v>
      </c>
      <c r="I293" s="3">
        <f t="shared" si="56"/>
        <v>0.20545330230429179</v>
      </c>
      <c r="J293" s="5">
        <f t="shared" si="69"/>
        <v>-4.7382410724603787E-3</v>
      </c>
      <c r="K293" s="3">
        <f t="shared" si="57"/>
        <v>-0.76072638986572072</v>
      </c>
      <c r="L293" s="3">
        <f t="shared" si="58"/>
        <v>0.57234565001701743</v>
      </c>
      <c r="N293" s="12">
        <f t="shared" si="59"/>
        <v>-2.2499249139296051E-3</v>
      </c>
      <c r="O293" s="12">
        <f t="shared" si="60"/>
        <v>-1.7438310608053292E-3</v>
      </c>
      <c r="P293" s="12">
        <f t="shared" si="61"/>
        <v>-1.9024435499548776E-3</v>
      </c>
      <c r="Q293" s="12">
        <f t="shared" si="62"/>
        <v>2.2596484523146982E-4</v>
      </c>
      <c r="R293" s="12">
        <f t="shared" si="63"/>
        <v>2.2669248231674223E-4</v>
      </c>
      <c r="S293" s="12">
        <f t="shared" si="64"/>
        <v>8.2743426318589251E-4</v>
      </c>
      <c r="T293" s="12">
        <f t="shared" si="65"/>
        <v>-0.10142857142857142</v>
      </c>
      <c r="U293" s="12">
        <f t="shared" si="66"/>
        <v>-0.1066071428571429</v>
      </c>
      <c r="V293" s="12">
        <f t="shared" si="67"/>
        <v>-0.2763716814159296</v>
      </c>
    </row>
    <row r="294" spans="1:22" x14ac:dyDescent="0.25">
      <c r="A294" s="26">
        <v>83.25</v>
      </c>
      <c r="B294">
        <v>85.17</v>
      </c>
      <c r="C294">
        <v>1.76</v>
      </c>
      <c r="D294" s="2">
        <v>45001</v>
      </c>
      <c r="E294">
        <v>85.62</v>
      </c>
      <c r="F294">
        <v>-2.37</v>
      </c>
      <c r="G294">
        <v>-0.45000000000000284</v>
      </c>
      <c r="H294" s="5">
        <f t="shared" si="68"/>
        <v>-2.7680448493342676E-2</v>
      </c>
      <c r="I294" s="3">
        <f t="shared" si="56"/>
        <v>-5.2584932037934191</v>
      </c>
      <c r="J294" s="5">
        <f t="shared" si="69"/>
        <v>-5.2557813594954778E-3</v>
      </c>
      <c r="K294" s="3">
        <f t="shared" si="57"/>
        <v>-1.0330719312682162</v>
      </c>
      <c r="L294" s="3">
        <f t="shared" si="58"/>
        <v>-1.0435578511021213</v>
      </c>
      <c r="N294" s="12">
        <f t="shared" si="59"/>
        <v>-1.9484658336448603E-3</v>
      </c>
      <c r="O294" s="12">
        <f t="shared" si="60"/>
        <v>-1.3999199632359271E-3</v>
      </c>
      <c r="P294" s="12">
        <f t="shared" si="61"/>
        <v>-1.7162270679550546E-3</v>
      </c>
      <c r="Q294" s="12">
        <f t="shared" si="62"/>
        <v>2.4633699363144817E-4</v>
      </c>
      <c r="R294" s="12">
        <f t="shared" si="63"/>
        <v>3.1662319453939656E-4</v>
      </c>
      <c r="S294" s="12">
        <f t="shared" si="64"/>
        <v>9.4264479146192928E-4</v>
      </c>
      <c r="T294" s="12">
        <f t="shared" si="65"/>
        <v>-0.12476190476190463</v>
      </c>
      <c r="U294" s="12">
        <f t="shared" si="66"/>
        <v>-0.13035714285714284</v>
      </c>
      <c r="V294" s="12">
        <f t="shared" si="67"/>
        <v>-0.30697850821744654</v>
      </c>
    </row>
    <row r="295" spans="1:22" x14ac:dyDescent="0.25">
      <c r="A295" s="26">
        <v>90.31</v>
      </c>
      <c r="B295">
        <v>90.52</v>
      </c>
      <c r="C295">
        <v>1.93</v>
      </c>
      <c r="D295" s="2">
        <v>45000</v>
      </c>
      <c r="E295">
        <v>90.74</v>
      </c>
      <c r="F295">
        <v>-0.43</v>
      </c>
      <c r="G295">
        <v>-0.21999999999999886</v>
      </c>
      <c r="H295" s="5">
        <f t="shared" si="68"/>
        <v>-4.7388141944015869E-3</v>
      </c>
      <c r="I295" s="3">
        <f t="shared" si="56"/>
        <v>-0.74318032240262921</v>
      </c>
      <c r="J295" s="5">
        <f t="shared" si="69"/>
        <v>-2.4245095878333576E-3</v>
      </c>
      <c r="K295" s="3">
        <f t="shared" si="57"/>
        <v>0.45536556850301196</v>
      </c>
      <c r="L295" s="3">
        <f t="shared" si="58"/>
        <v>-0.67315154834728208</v>
      </c>
      <c r="N295" s="12">
        <f t="shared" si="59"/>
        <v>-7.5751402548815188E-4</v>
      </c>
      <c r="O295" s="12">
        <f t="shared" si="60"/>
        <v>-4.6338565307384215E-4</v>
      </c>
      <c r="P295" s="12">
        <f t="shared" si="61"/>
        <v>-7.200791062851675E-4</v>
      </c>
      <c r="Q295" s="12">
        <f t="shared" si="62"/>
        <v>5.1252425403218926E-4</v>
      </c>
      <c r="R295" s="12">
        <f t="shared" si="63"/>
        <v>4.7978850233351212E-4</v>
      </c>
      <c r="S295" s="12">
        <f t="shared" si="64"/>
        <v>1.1130175061644866E-3</v>
      </c>
      <c r="T295" s="12">
        <f t="shared" si="65"/>
        <v>-0.13857142857142812</v>
      </c>
      <c r="U295" s="12">
        <f t="shared" si="66"/>
        <v>-0.13619047619047575</v>
      </c>
      <c r="V295" s="12">
        <f t="shared" si="67"/>
        <v>-0.32702486304256229</v>
      </c>
    </row>
    <row r="296" spans="1:22" x14ac:dyDescent="0.25">
      <c r="A296" s="26">
        <v>92.34</v>
      </c>
      <c r="B296">
        <v>92.72</v>
      </c>
      <c r="C296">
        <v>1.1599999999999999</v>
      </c>
      <c r="D296" s="2">
        <v>44999</v>
      </c>
      <c r="E296">
        <v>92.99</v>
      </c>
      <c r="F296">
        <v>-0.65</v>
      </c>
      <c r="G296">
        <v>-0.26999999999999602</v>
      </c>
      <c r="H296" s="5">
        <f t="shared" si="68"/>
        <v>-6.9899989246155507E-3</v>
      </c>
      <c r="I296" s="3">
        <f t="shared" si="56"/>
        <v>-1.2197739606204132</v>
      </c>
      <c r="J296" s="5">
        <f t="shared" si="69"/>
        <v>-2.9035380148402629E-3</v>
      </c>
      <c r="K296" s="3">
        <f t="shared" si="57"/>
        <v>0.19717794513536463</v>
      </c>
      <c r="L296" s="3">
        <f t="shared" si="58"/>
        <v>-2.3822588718848046</v>
      </c>
      <c r="N296" s="12">
        <f t="shared" si="59"/>
        <v>-8.5147029724483986E-4</v>
      </c>
      <c r="O296" s="12">
        <f t="shared" si="60"/>
        <v>-4.0518612195570495E-4</v>
      </c>
      <c r="P296" s="12">
        <f t="shared" si="61"/>
        <v>-6.0604519032930412E-4</v>
      </c>
      <c r="Q296" s="12">
        <f t="shared" si="62"/>
        <v>1.1982136619413317E-4</v>
      </c>
      <c r="R296" s="12">
        <f t="shared" si="63"/>
        <v>3.3612718392840319E-4</v>
      </c>
      <c r="S296" s="12">
        <f t="shared" si="64"/>
        <v>9.8962561180514046E-4</v>
      </c>
      <c r="T296" s="12">
        <f t="shared" si="65"/>
        <v>-0.14523809523809517</v>
      </c>
      <c r="U296" s="12">
        <f t="shared" si="66"/>
        <v>-0.14023809523809527</v>
      </c>
      <c r="V296" s="12">
        <f t="shared" si="67"/>
        <v>-0.32453013063632552</v>
      </c>
    </row>
    <row r="297" spans="1:22" x14ac:dyDescent="0.25">
      <c r="A297" s="26">
        <v>94.36</v>
      </c>
      <c r="B297">
        <v>94.69</v>
      </c>
      <c r="C297">
        <v>1.79</v>
      </c>
      <c r="D297" s="2">
        <v>44998</v>
      </c>
      <c r="E297">
        <v>95</v>
      </c>
      <c r="F297">
        <v>-0.64</v>
      </c>
      <c r="G297">
        <v>-0.31000000000000227</v>
      </c>
      <c r="H297" s="5">
        <f t="shared" si="68"/>
        <v>-6.7368421052631583E-3</v>
      </c>
      <c r="I297" s="3">
        <f t="shared" si="56"/>
        <v>-1.1782932317965247</v>
      </c>
      <c r="J297" s="5">
        <f t="shared" si="69"/>
        <v>-3.2631578947368662E-3</v>
      </c>
      <c r="K297" s="3">
        <f t="shared" si="57"/>
        <v>1.4698930622146137E-2</v>
      </c>
      <c r="L297" s="3">
        <f t="shared" si="58"/>
        <v>-1.0163163554013297</v>
      </c>
      <c r="N297" s="12">
        <f t="shared" si="59"/>
        <v>5.8253867713396659E-5</v>
      </c>
      <c r="O297" s="12">
        <f t="shared" si="60"/>
        <v>-7.134389675449832E-5</v>
      </c>
      <c r="P297" s="12">
        <f t="shared" si="61"/>
        <v>-3.2389691288989926E-4</v>
      </c>
      <c r="Q297" s="12">
        <f t="shared" si="62"/>
        <v>-3.685489960312551E-4</v>
      </c>
      <c r="R297" s="12">
        <f t="shared" si="63"/>
        <v>1.2429836401517359E-4</v>
      </c>
      <c r="S297" s="12">
        <f t="shared" si="64"/>
        <v>7.9302211316920144E-4</v>
      </c>
      <c r="T297" s="12">
        <f t="shared" si="65"/>
        <v>-2.4285714285714244E-2</v>
      </c>
      <c r="U297" s="12">
        <f t="shared" si="66"/>
        <v>-6.8809523809523876E-2</v>
      </c>
      <c r="V297" s="12">
        <f t="shared" si="67"/>
        <v>-0.26087652760219204</v>
      </c>
    </row>
    <row r="298" spans="1:22" x14ac:dyDescent="0.25">
      <c r="A298" s="26">
        <v>95.16</v>
      </c>
      <c r="B298">
        <v>95.03</v>
      </c>
      <c r="C298">
        <v>2.16</v>
      </c>
      <c r="D298" s="2">
        <v>44995</v>
      </c>
      <c r="E298">
        <v>95.38</v>
      </c>
      <c r="F298">
        <v>-0.23</v>
      </c>
      <c r="G298">
        <v>-0.34999999999999432</v>
      </c>
      <c r="H298" s="5">
        <f t="shared" si="68"/>
        <v>-2.4114070035646889E-3</v>
      </c>
      <c r="I298" s="3">
        <f t="shared" si="56"/>
        <v>-0.27023499678578067</v>
      </c>
      <c r="J298" s="5">
        <f t="shared" si="69"/>
        <v>-3.6695323967288144E-3</v>
      </c>
      <c r="K298" s="3">
        <f t="shared" si="57"/>
        <v>-0.19345010606924049</v>
      </c>
      <c r="L298" s="3">
        <f t="shared" si="58"/>
        <v>-0.19381398991840307</v>
      </c>
      <c r="N298" s="12">
        <f t="shared" si="59"/>
        <v>3.6968946494769913E-4</v>
      </c>
      <c r="O298" s="12">
        <f t="shared" si="60"/>
        <v>-1.3337752280550945E-4</v>
      </c>
      <c r="P298" s="12">
        <f t="shared" si="61"/>
        <v>-2.6287262227022985E-4</v>
      </c>
      <c r="Q298" s="12">
        <f t="shared" si="62"/>
        <v>-1.8081426102697961E-4</v>
      </c>
      <c r="R298" s="12">
        <f t="shared" si="63"/>
        <v>1.6239124364970546E-4</v>
      </c>
      <c r="S298" s="12">
        <f t="shared" si="64"/>
        <v>8.4425660866994457E-4</v>
      </c>
      <c r="T298" s="12">
        <f t="shared" si="65"/>
        <v>-2.8095238095238173E-2</v>
      </c>
      <c r="U298" s="12">
        <f t="shared" si="66"/>
        <v>-6.0833333333333961E-2</v>
      </c>
      <c r="V298" s="12">
        <f t="shared" si="67"/>
        <v>-0.25491361146228497</v>
      </c>
    </row>
    <row r="299" spans="1:22" x14ac:dyDescent="0.25">
      <c r="A299" s="26">
        <v>95.43</v>
      </c>
      <c r="B299">
        <v>95.4</v>
      </c>
      <c r="C299">
        <v>1.29</v>
      </c>
      <c r="D299" s="2">
        <v>44994</v>
      </c>
      <c r="E299">
        <v>95.76</v>
      </c>
      <c r="F299">
        <v>-0.33</v>
      </c>
      <c r="G299">
        <v>-0.35999999999999943</v>
      </c>
      <c r="H299" s="5">
        <f t="shared" si="68"/>
        <v>-3.4461152882205512E-3</v>
      </c>
      <c r="I299" s="3">
        <f t="shared" si="56"/>
        <v>-0.48343583539347651</v>
      </c>
      <c r="J299" s="5">
        <f t="shared" si="69"/>
        <v>-3.7593984962405952E-3</v>
      </c>
      <c r="K299" s="3">
        <f t="shared" si="57"/>
        <v>-0.20822472697622507</v>
      </c>
      <c r="L299" s="3">
        <f t="shared" si="58"/>
        <v>-2.1463024338234864</v>
      </c>
      <c r="N299" s="12">
        <f t="shared" si="59"/>
        <v>-1.3157976732164432E-4</v>
      </c>
      <c r="O299" s="12">
        <f t="shared" si="60"/>
        <v>-5.9074602633601156E-4</v>
      </c>
      <c r="P299" s="12">
        <f t="shared" si="61"/>
        <v>-6.2693743720684033E-4</v>
      </c>
      <c r="Q299" s="12">
        <f t="shared" si="62"/>
        <v>-1.3264096882606392E-4</v>
      </c>
      <c r="R299" s="12">
        <f t="shared" si="63"/>
        <v>2.0070199464857158E-4</v>
      </c>
      <c r="S299" s="12">
        <f t="shared" si="64"/>
        <v>9.0429311755262781E-4</v>
      </c>
      <c r="T299" s="12">
        <f t="shared" si="65"/>
        <v>-4.5238095238095077E-2</v>
      </c>
      <c r="U299" s="12">
        <f t="shared" si="66"/>
        <v>-9.494047619047663E-2</v>
      </c>
      <c r="V299" s="12">
        <f t="shared" si="67"/>
        <v>-0.28268857985672202</v>
      </c>
    </row>
    <row r="300" spans="1:22" x14ac:dyDescent="0.25">
      <c r="A300" s="26">
        <v>91.56</v>
      </c>
      <c r="B300">
        <v>91.57</v>
      </c>
      <c r="C300">
        <v>2.04</v>
      </c>
      <c r="D300" s="2">
        <v>44992</v>
      </c>
      <c r="E300">
        <v>91.85</v>
      </c>
      <c r="F300">
        <v>-0.28999999999999998</v>
      </c>
      <c r="G300">
        <v>-0.28000000000000114</v>
      </c>
      <c r="H300" s="5">
        <f t="shared" si="68"/>
        <v>-3.1573217201959717E-3</v>
      </c>
      <c r="I300" s="3">
        <f t="shared" si="56"/>
        <v>-0.42376994253225603</v>
      </c>
      <c r="J300" s="5">
        <f t="shared" si="69"/>
        <v>-3.0484485574306061E-3</v>
      </c>
      <c r="K300" s="3">
        <f t="shared" si="57"/>
        <v>0.1512819138043256</v>
      </c>
      <c r="L300" s="3">
        <f t="shared" si="58"/>
        <v>-0.48264411995817963</v>
      </c>
      <c r="N300" s="12">
        <f t="shared" si="59"/>
        <v>5.4413626271564478E-4</v>
      </c>
      <c r="O300" s="12">
        <f t="shared" si="60"/>
        <v>-3.0150020720362048E-4</v>
      </c>
      <c r="P300" s="12">
        <f t="shared" si="61"/>
        <v>-2.4811742420699479E-4</v>
      </c>
      <c r="Q300" s="12">
        <f t="shared" si="62"/>
        <v>1.2286242034588489E-4</v>
      </c>
      <c r="R300" s="12">
        <f t="shared" si="63"/>
        <v>3.3794137475893745E-4</v>
      </c>
      <c r="S300" s="12">
        <f t="shared" si="64"/>
        <v>1.0352818524380666E-3</v>
      </c>
      <c r="T300" s="12">
        <f t="shared" si="65"/>
        <v>1.8571428571428683E-2</v>
      </c>
      <c r="U300" s="12">
        <f t="shared" si="66"/>
        <v>-4.9047619047618785E-2</v>
      </c>
      <c r="V300" s="12">
        <f t="shared" si="67"/>
        <v>-0.23358617783396562</v>
      </c>
    </row>
    <row r="301" spans="1:22" x14ac:dyDescent="0.25">
      <c r="A301" s="26">
        <v>91.01</v>
      </c>
      <c r="B301">
        <v>90.78</v>
      </c>
      <c r="C301">
        <v>2.0699999999999998</v>
      </c>
      <c r="D301" s="2">
        <v>44991</v>
      </c>
      <c r="E301">
        <v>90.72</v>
      </c>
      <c r="F301">
        <v>0.28999999999999998</v>
      </c>
      <c r="G301">
        <v>6.0000000000002274E-2</v>
      </c>
      <c r="H301" s="5">
        <f t="shared" si="68"/>
        <v>3.1966490299823631E-3</v>
      </c>
      <c r="I301" s="3">
        <f t="shared" si="56"/>
        <v>0.89363524123695526</v>
      </c>
      <c r="J301" s="5">
        <f t="shared" si="69"/>
        <v>6.6137566137568649E-4</v>
      </c>
      <c r="K301" s="3">
        <f t="shared" si="57"/>
        <v>1.6912242497110777</v>
      </c>
      <c r="L301" s="3">
        <f t="shared" si="58"/>
        <v>-0.41724463289490832</v>
      </c>
      <c r="N301" s="12">
        <f t="shared" si="59"/>
        <v>7.7080406068260904E-4</v>
      </c>
      <c r="O301" s="12">
        <f t="shared" si="60"/>
        <v>-1.2447067992299421E-4</v>
      </c>
      <c r="P301" s="12">
        <f t="shared" si="61"/>
        <v>-9.7236179439730112E-7</v>
      </c>
      <c r="Q301" s="12">
        <f t="shared" si="62"/>
        <v>2.7344631165941713E-4</v>
      </c>
      <c r="R301" s="12">
        <f t="shared" si="63"/>
        <v>4.9049267256541127E-4</v>
      </c>
      <c r="S301" s="12">
        <f t="shared" si="64"/>
        <v>1.1393352310419334E-3</v>
      </c>
      <c r="T301" s="12">
        <f t="shared" si="65"/>
        <v>1.0000000000000231E-2</v>
      </c>
      <c r="U301" s="12">
        <f t="shared" si="66"/>
        <v>-6.1488095238094953E-2</v>
      </c>
      <c r="V301" s="12">
        <f t="shared" si="67"/>
        <v>-0.23052254530130645</v>
      </c>
    </row>
    <row r="302" spans="1:22" x14ac:dyDescent="0.25">
      <c r="A302" s="26">
        <v>88.81</v>
      </c>
      <c r="B302">
        <v>89.19</v>
      </c>
      <c r="C302">
        <v>2.1800000000000002</v>
      </c>
      <c r="D302" s="2">
        <v>44988</v>
      </c>
      <c r="E302">
        <v>89.06</v>
      </c>
      <c r="F302">
        <v>-0.25</v>
      </c>
      <c r="G302">
        <v>0.12999999999999545</v>
      </c>
      <c r="H302" s="5">
        <f t="shared" si="68"/>
        <v>-2.807096339546373E-3</v>
      </c>
      <c r="I302" s="3">
        <f t="shared" si="56"/>
        <v>-0.31785984348192486</v>
      </c>
      <c r="J302" s="5">
        <f t="shared" si="69"/>
        <v>1.459690096564063E-3</v>
      </c>
      <c r="K302" s="3">
        <f t="shared" si="57"/>
        <v>2.0372821291806318</v>
      </c>
      <c r="L302" s="3">
        <f t="shared" si="58"/>
        <v>-0.16056823236677817</v>
      </c>
      <c r="N302" s="12">
        <f t="shared" si="59"/>
        <v>7.8525203318456464E-4</v>
      </c>
      <c r="O302" s="12">
        <f t="shared" si="60"/>
        <v>-1.6153652198259939E-4</v>
      </c>
      <c r="P302" s="12">
        <f t="shared" si="61"/>
        <v>-1.0335539378057007E-4</v>
      </c>
      <c r="Q302" s="12">
        <f t="shared" si="62"/>
        <v>4.8731426001307095E-4</v>
      </c>
      <c r="R302" s="12">
        <f t="shared" si="63"/>
        <v>5.9102761454083406E-4</v>
      </c>
      <c r="S302" s="12">
        <f t="shared" si="64"/>
        <v>1.1613129533374462E-3</v>
      </c>
      <c r="T302" s="12">
        <f t="shared" si="65"/>
        <v>-2.0952380952381056E-2</v>
      </c>
      <c r="U302" s="12">
        <f t="shared" si="66"/>
        <v>-7.9166666666666607E-2</v>
      </c>
      <c r="V302" s="12">
        <f t="shared" si="67"/>
        <v>-0.24034555415086434</v>
      </c>
    </row>
    <row r="303" spans="1:22" x14ac:dyDescent="0.25">
      <c r="A303" s="26">
        <v>93.25</v>
      </c>
      <c r="B303">
        <v>93.3</v>
      </c>
      <c r="C303">
        <v>2.09</v>
      </c>
      <c r="D303" s="2">
        <v>44987</v>
      </c>
      <c r="E303">
        <v>93.38</v>
      </c>
      <c r="F303">
        <v>-0.13</v>
      </c>
      <c r="G303">
        <v>-7.9999999999998295E-2</v>
      </c>
      <c r="H303" s="5">
        <f t="shared" si="68"/>
        <v>-1.3921610623259799E-3</v>
      </c>
      <c r="I303" s="3">
        <f t="shared" si="56"/>
        <v>-2.9372513347300181E-2</v>
      </c>
      <c r="J303" s="5">
        <f t="shared" si="69"/>
        <v>-8.5671449989289244E-4</v>
      </c>
      <c r="K303" s="3">
        <f t="shared" si="57"/>
        <v>1.0978329730932455</v>
      </c>
      <c r="L303" s="3">
        <f t="shared" si="58"/>
        <v>-0.34969517995602767</v>
      </c>
      <c r="N303" s="12">
        <f t="shared" si="59"/>
        <v>1.1411047456061408E-3</v>
      </c>
      <c r="O303" s="12">
        <f t="shared" si="60"/>
        <v>2.0480907144482512E-4</v>
      </c>
      <c r="P303" s="12">
        <f t="shared" si="61"/>
        <v>2.3911579534406993E-4</v>
      </c>
      <c r="Q303" s="12">
        <f t="shared" si="62"/>
        <v>2.2870018929030487E-4</v>
      </c>
      <c r="R303" s="12">
        <f t="shared" si="63"/>
        <v>3.405902664765717E-4</v>
      </c>
      <c r="S303" s="12">
        <f t="shared" si="64"/>
        <v>9.3855080397418954E-4</v>
      </c>
      <c r="T303" s="12">
        <f t="shared" si="65"/>
        <v>-3.5714285714286031E-2</v>
      </c>
      <c r="U303" s="12">
        <f t="shared" si="66"/>
        <v>-0.11470238095238106</v>
      </c>
      <c r="V303" s="12">
        <f t="shared" si="67"/>
        <v>-0.2557690686894234</v>
      </c>
    </row>
    <row r="304" spans="1:22" x14ac:dyDescent="0.25">
      <c r="A304" s="26">
        <v>95.89</v>
      </c>
      <c r="B304">
        <v>95.92</v>
      </c>
      <c r="C304">
        <v>1.79</v>
      </c>
      <c r="D304" s="2">
        <v>44986</v>
      </c>
      <c r="E304">
        <v>96.19</v>
      </c>
      <c r="F304">
        <v>-0.3</v>
      </c>
      <c r="G304">
        <v>-0.26999999999999602</v>
      </c>
      <c r="H304" s="5">
        <f t="shared" si="68"/>
        <v>-3.1188273209273314E-3</v>
      </c>
      <c r="I304" s="3">
        <f t="shared" si="56"/>
        <v>-0.37279248521460528</v>
      </c>
      <c r="J304" s="5">
        <f t="shared" si="69"/>
        <v>-2.8069445888345571E-3</v>
      </c>
      <c r="K304" s="3">
        <f t="shared" si="57"/>
        <v>0.28601317837522194</v>
      </c>
      <c r="L304" s="3">
        <f t="shared" si="58"/>
        <v>-1.0024167946130105</v>
      </c>
      <c r="N304" s="12">
        <f t="shared" si="59"/>
        <v>2.0811584150739809E-3</v>
      </c>
      <c r="O304" s="12">
        <f t="shared" si="60"/>
        <v>3.5740983377348541E-4</v>
      </c>
      <c r="P304" s="12">
        <f t="shared" si="61"/>
        <v>4.3220434483215713E-4</v>
      </c>
      <c r="Q304" s="12">
        <f t="shared" si="62"/>
        <v>2.5664407351790389E-4</v>
      </c>
      <c r="R304" s="12">
        <f t="shared" si="63"/>
        <v>2.8038299222104233E-4</v>
      </c>
      <c r="S304" s="12">
        <f t="shared" si="64"/>
        <v>8.8629867674632585E-4</v>
      </c>
      <c r="T304" s="12">
        <f t="shared" si="65"/>
        <v>3.190476190476188E-2</v>
      </c>
      <c r="U304" s="12">
        <f t="shared" si="66"/>
        <v>-0.10303571428571479</v>
      </c>
      <c r="V304" s="12">
        <f t="shared" si="67"/>
        <v>-0.24073324905183346</v>
      </c>
    </row>
    <row r="305" spans="1:22" x14ac:dyDescent="0.25">
      <c r="A305" s="26">
        <v>96.33</v>
      </c>
      <c r="B305">
        <v>95.83</v>
      </c>
      <c r="C305">
        <v>1.97</v>
      </c>
      <c r="D305" s="2">
        <v>44985</v>
      </c>
      <c r="E305">
        <v>95.93</v>
      </c>
      <c r="F305">
        <v>0.4</v>
      </c>
      <c r="G305">
        <v>-0.10000000000000853</v>
      </c>
      <c r="H305" s="5">
        <f t="shared" si="68"/>
        <v>4.1697070780777647E-3</v>
      </c>
      <c r="I305" s="3">
        <f t="shared" si="56"/>
        <v>1.0852835537230905</v>
      </c>
      <c r="J305" s="5">
        <f t="shared" si="69"/>
        <v>-1.0424267695195301E-3</v>
      </c>
      <c r="K305" s="3">
        <f t="shared" si="57"/>
        <v>1.0288953168679633</v>
      </c>
      <c r="L305" s="3">
        <f t="shared" si="58"/>
        <v>-0.59591741650135277</v>
      </c>
      <c r="N305" s="12">
        <f t="shared" si="59"/>
        <v>2.5658292915582376E-3</v>
      </c>
      <c r="O305" s="12">
        <f t="shared" si="60"/>
        <v>7.3596208309566506E-4</v>
      </c>
      <c r="P305" s="12">
        <f t="shared" si="61"/>
        <v>7.6724402937242424E-4</v>
      </c>
      <c r="Q305" s="12">
        <f t="shared" si="62"/>
        <v>3.2961255575799124E-4</v>
      </c>
      <c r="R305" s="12">
        <f t="shared" si="63"/>
        <v>3.345466308593832E-4</v>
      </c>
      <c r="S305" s="12">
        <f t="shared" si="64"/>
        <v>9.4664957066171789E-4</v>
      </c>
      <c r="T305" s="12">
        <f t="shared" si="65"/>
        <v>7.7142857142856958E-2</v>
      </c>
      <c r="U305" s="12">
        <f t="shared" si="66"/>
        <v>-7.0000000000000728E-2</v>
      </c>
      <c r="V305" s="12">
        <f t="shared" si="67"/>
        <v>-0.19840707964601867</v>
      </c>
    </row>
    <row r="306" spans="1:22" x14ac:dyDescent="0.25">
      <c r="A306" s="26">
        <v>95.12</v>
      </c>
      <c r="B306">
        <v>95.15</v>
      </c>
      <c r="C306">
        <v>2.16</v>
      </c>
      <c r="D306" s="2">
        <v>44984</v>
      </c>
      <c r="E306">
        <v>95.62</v>
      </c>
      <c r="F306">
        <v>-0.5</v>
      </c>
      <c r="G306">
        <v>-0.46999999999999886</v>
      </c>
      <c r="H306" s="5">
        <f t="shared" si="68"/>
        <v>-5.229031583350763E-3</v>
      </c>
      <c r="I306" s="3">
        <f t="shared" si="56"/>
        <v>-0.76752221085760308</v>
      </c>
      <c r="J306" s="5">
        <f t="shared" si="69"/>
        <v>-4.9152896883497051E-3</v>
      </c>
      <c r="K306" s="3">
        <f t="shared" si="57"/>
        <v>-0.58713665512829438</v>
      </c>
      <c r="L306" s="3">
        <f t="shared" si="58"/>
        <v>-0.18132773417421591</v>
      </c>
      <c r="N306" s="12">
        <f t="shared" si="59"/>
        <v>1.7989516374269721E-3</v>
      </c>
      <c r="O306" s="12">
        <f t="shared" si="60"/>
        <v>-3.2989361898699788E-5</v>
      </c>
      <c r="P306" s="12">
        <f t="shared" si="61"/>
        <v>2.2130885261464222E-4</v>
      </c>
      <c r="Q306" s="12">
        <f t="shared" si="62"/>
        <v>-1.0565260498044586E-4</v>
      </c>
      <c r="R306" s="12">
        <f t="shared" si="63"/>
        <v>-4.0288929906827191E-5</v>
      </c>
      <c r="S306" s="12">
        <f t="shared" si="64"/>
        <v>6.2911732354921455E-4</v>
      </c>
      <c r="T306" s="12">
        <f t="shared" si="65"/>
        <v>5.7619047619047237E-2</v>
      </c>
      <c r="U306" s="12">
        <f t="shared" si="66"/>
        <v>-7.9702380952381802E-2</v>
      </c>
      <c r="V306" s="12">
        <f t="shared" si="67"/>
        <v>-0.20852507374631379</v>
      </c>
    </row>
    <row r="307" spans="1:22" x14ac:dyDescent="0.25">
      <c r="A307" s="26">
        <v>95.83</v>
      </c>
      <c r="B307">
        <v>94.92</v>
      </c>
      <c r="C307">
        <v>2.48</v>
      </c>
      <c r="D307" s="2">
        <v>44981</v>
      </c>
      <c r="E307">
        <v>95.31</v>
      </c>
      <c r="F307">
        <v>0.52</v>
      </c>
      <c r="G307">
        <v>-0.39000000000000057</v>
      </c>
      <c r="H307" s="5">
        <f t="shared" si="68"/>
        <v>5.4558808099884589E-3</v>
      </c>
      <c r="I307" s="3">
        <f t="shared" si="56"/>
        <v>1.3388021580352967</v>
      </c>
      <c r="J307" s="5">
        <f t="shared" si="69"/>
        <v>-4.0919106074913496E-3</v>
      </c>
      <c r="K307" s="3">
        <f t="shared" si="57"/>
        <v>-0.24856139276770486</v>
      </c>
      <c r="L307" s="3">
        <f t="shared" si="58"/>
        <v>0.52403146412677304</v>
      </c>
      <c r="N307" s="12">
        <f t="shared" si="59"/>
        <v>1.9961086806588738E-3</v>
      </c>
      <c r="O307" s="12">
        <f t="shared" si="60"/>
        <v>1.1737105417945369E-5</v>
      </c>
      <c r="P307" s="12">
        <f t="shared" si="61"/>
        <v>3.5036690064466612E-4</v>
      </c>
      <c r="Q307" s="12">
        <f t="shared" si="62"/>
        <v>7.656434801330686E-5</v>
      </c>
      <c r="R307" s="12">
        <f t="shared" si="63"/>
        <v>1.2299881422566218E-4</v>
      </c>
      <c r="S307" s="12">
        <f t="shared" si="64"/>
        <v>7.5270117362764887E-4</v>
      </c>
      <c r="T307" s="12">
        <f t="shared" si="65"/>
        <v>4.3809523809523299E-2</v>
      </c>
      <c r="U307" s="12">
        <f t="shared" si="66"/>
        <v>-8.1845238095238582E-2</v>
      </c>
      <c r="V307" s="12">
        <f t="shared" si="67"/>
        <v>-0.21369574378424039</v>
      </c>
    </row>
    <row r="308" spans="1:22" x14ac:dyDescent="0.25">
      <c r="A308" s="26">
        <v>93.26</v>
      </c>
      <c r="B308">
        <v>93.49</v>
      </c>
      <c r="C308">
        <v>2.12</v>
      </c>
      <c r="D308" s="2">
        <v>44980</v>
      </c>
      <c r="E308">
        <v>93.77</v>
      </c>
      <c r="F308">
        <v>-0.51</v>
      </c>
      <c r="G308">
        <v>-0.28000000000000114</v>
      </c>
      <c r="H308" s="5">
        <f t="shared" si="68"/>
        <v>-5.4388397141943053E-3</v>
      </c>
      <c r="I308" s="3">
        <f t="shared" si="56"/>
        <v>-0.81575779074344557</v>
      </c>
      <c r="J308" s="5">
        <f t="shared" si="69"/>
        <v>-2.9860296470086505E-3</v>
      </c>
      <c r="K308" s="3">
        <f t="shared" si="57"/>
        <v>0.20814459347010855</v>
      </c>
      <c r="L308" s="3">
        <f t="shared" si="58"/>
        <v>-0.25075095134047914</v>
      </c>
      <c r="N308" s="12">
        <f t="shared" si="59"/>
        <v>1.5085020664641674E-3</v>
      </c>
      <c r="O308" s="12">
        <f t="shared" si="60"/>
        <v>-4.9394599092035898E-4</v>
      </c>
      <c r="P308" s="12">
        <f t="shared" si="61"/>
        <v>-1.9957521349779649E-4</v>
      </c>
      <c r="Q308" s="12">
        <f t="shared" si="62"/>
        <v>2.3398575059156192E-4</v>
      </c>
      <c r="R308" s="12">
        <f t="shared" si="63"/>
        <v>2.610968985735161E-4</v>
      </c>
      <c r="S308" s="12">
        <f t="shared" si="64"/>
        <v>8.7128711017453887E-4</v>
      </c>
      <c r="T308" s="12">
        <f t="shared" si="65"/>
        <v>8.0952380952381553E-3</v>
      </c>
      <c r="U308" s="12">
        <f t="shared" si="66"/>
        <v>-0.112916666666667</v>
      </c>
      <c r="V308" s="12">
        <f t="shared" si="67"/>
        <v>-0.24624947324062374</v>
      </c>
    </row>
    <row r="309" spans="1:22" x14ac:dyDescent="0.25">
      <c r="A309" s="26">
        <v>95.35</v>
      </c>
      <c r="B309">
        <v>94.76</v>
      </c>
      <c r="C309">
        <v>2.04</v>
      </c>
      <c r="D309" s="2">
        <v>44978</v>
      </c>
      <c r="E309">
        <v>95.16</v>
      </c>
      <c r="F309">
        <v>0.19</v>
      </c>
      <c r="G309">
        <v>-0.39999999999999147</v>
      </c>
      <c r="H309" s="5">
        <f t="shared" si="68"/>
        <v>1.9966372425388821E-3</v>
      </c>
      <c r="I309" s="3">
        <f t="shared" si="56"/>
        <v>0.65252909804167036</v>
      </c>
      <c r="J309" s="5">
        <f t="shared" si="69"/>
        <v>-4.2034468263975567E-3</v>
      </c>
      <c r="K309" s="3">
        <f t="shared" si="57"/>
        <v>-0.30431072590547703</v>
      </c>
      <c r="L309" s="3">
        <f t="shared" si="58"/>
        <v>-0.41794932479638613</v>
      </c>
      <c r="N309" s="12">
        <f t="shared" si="59"/>
        <v>1.3441163835498302E-3</v>
      </c>
      <c r="O309" s="12">
        <f t="shared" si="60"/>
        <v>-3.7197297329069276E-4</v>
      </c>
      <c r="P309" s="12">
        <f t="shared" si="61"/>
        <v>1.1866062494692714E-6</v>
      </c>
      <c r="Q309" s="12">
        <f t="shared" si="62"/>
        <v>4.768782997051301E-4</v>
      </c>
      <c r="R309" s="12">
        <f t="shared" si="63"/>
        <v>5.1953276710180098E-4</v>
      </c>
      <c r="S309" s="12">
        <f t="shared" si="64"/>
        <v>1.0945363505225694E-3</v>
      </c>
      <c r="T309" s="12">
        <f t="shared" si="65"/>
        <v>-4.2380952380953074E-2</v>
      </c>
      <c r="U309" s="12">
        <f t="shared" si="66"/>
        <v>-0.1531547619047624</v>
      </c>
      <c r="V309" s="12">
        <f t="shared" si="67"/>
        <v>-0.2755330804888334</v>
      </c>
    </row>
    <row r="310" spans="1:22" x14ac:dyDescent="0.25">
      <c r="A310" s="26">
        <v>93.73</v>
      </c>
      <c r="B310">
        <v>93.19</v>
      </c>
      <c r="C310">
        <v>2.1</v>
      </c>
      <c r="D310" s="2">
        <v>44977</v>
      </c>
      <c r="E310">
        <v>93.32</v>
      </c>
      <c r="F310">
        <v>0.41</v>
      </c>
      <c r="G310">
        <v>-0.12999999999999545</v>
      </c>
      <c r="H310" s="5">
        <f t="shared" si="68"/>
        <v>4.3934847835405055E-3</v>
      </c>
      <c r="I310" s="3">
        <f t="shared" si="56"/>
        <v>1.1320069670953332</v>
      </c>
      <c r="J310" s="5">
        <f t="shared" si="69"/>
        <v>-1.3930561508786483E-3</v>
      </c>
      <c r="K310" s="3">
        <f t="shared" si="57"/>
        <v>0.86108931180794102</v>
      </c>
      <c r="L310" s="3">
        <f t="shared" si="58"/>
        <v>-0.28069322735434249</v>
      </c>
      <c r="N310" s="12">
        <f t="shared" si="59"/>
        <v>1.7027147348153456E-3</v>
      </c>
      <c r="O310" s="12">
        <f t="shared" si="60"/>
        <v>-7.1053663501160656E-5</v>
      </c>
      <c r="P310" s="12">
        <f t="shared" si="61"/>
        <v>1.5448968169317267E-4</v>
      </c>
      <c r="Q310" s="12">
        <f t="shared" si="62"/>
        <v>4.4928025406731475E-4</v>
      </c>
      <c r="R310" s="12">
        <f t="shared" si="63"/>
        <v>6.0543698665159332E-4</v>
      </c>
      <c r="S310" s="12">
        <f t="shared" si="64"/>
        <v>1.1069283029290968E-3</v>
      </c>
      <c r="T310" s="12">
        <f t="shared" si="65"/>
        <v>-1.5714285714286014E-2</v>
      </c>
      <c r="U310" s="12">
        <f t="shared" si="66"/>
        <v>-0.12422619047619055</v>
      </c>
      <c r="V310" s="12">
        <f t="shared" si="67"/>
        <v>-0.26338390223346009</v>
      </c>
    </row>
    <row r="311" spans="1:22" x14ac:dyDescent="0.25">
      <c r="A311" s="26">
        <v>93.69</v>
      </c>
      <c r="B311">
        <v>93.82</v>
      </c>
      <c r="C311">
        <v>1.87</v>
      </c>
      <c r="D311" s="2">
        <v>44974</v>
      </c>
      <c r="E311">
        <v>94.15</v>
      </c>
      <c r="F311">
        <v>-0.46</v>
      </c>
      <c r="G311">
        <v>-0.33000000000001251</v>
      </c>
      <c r="H311" s="5">
        <f t="shared" si="68"/>
        <v>-4.885820499203399E-3</v>
      </c>
      <c r="I311" s="3">
        <f t="shared" si="56"/>
        <v>-0.70302276657082008</v>
      </c>
      <c r="J311" s="5">
        <f t="shared" si="69"/>
        <v>-3.5050451407330056E-3</v>
      </c>
      <c r="K311" s="3">
        <f t="shared" si="57"/>
        <v>-1.6285864278373984E-2</v>
      </c>
      <c r="L311" s="3">
        <f t="shared" si="58"/>
        <v>-0.75602489542733353</v>
      </c>
      <c r="N311" s="12">
        <f t="shared" si="59"/>
        <v>1.4970037516742216E-3</v>
      </c>
      <c r="O311" s="12">
        <f t="shared" si="60"/>
        <v>-2.1303000668883841E-4</v>
      </c>
      <c r="P311" s="12">
        <f t="shared" si="61"/>
        <v>-8.6376516052816136E-5</v>
      </c>
      <c r="Q311" s="12">
        <f t="shared" si="62"/>
        <v>5.0665405947935768E-4</v>
      </c>
      <c r="R311" s="12">
        <f t="shared" si="63"/>
        <v>5.778868968894014E-4</v>
      </c>
      <c r="S311" s="12">
        <f t="shared" si="64"/>
        <v>1.06145549497448E-3</v>
      </c>
      <c r="T311" s="12">
        <f t="shared" si="65"/>
        <v>-1.4761904761904532E-2</v>
      </c>
      <c r="U311" s="12">
        <f t="shared" si="66"/>
        <v>-0.12160714285714258</v>
      </c>
      <c r="V311" s="12">
        <f t="shared" si="67"/>
        <v>-0.26638432364096021</v>
      </c>
    </row>
    <row r="312" spans="1:22" x14ac:dyDescent="0.25">
      <c r="A312" s="26">
        <v>92.85</v>
      </c>
      <c r="B312">
        <v>93.1</v>
      </c>
      <c r="C312">
        <v>1.68</v>
      </c>
      <c r="D312" s="2">
        <v>44973</v>
      </c>
      <c r="E312">
        <v>93.56</v>
      </c>
      <c r="F312">
        <v>-0.71</v>
      </c>
      <c r="G312">
        <v>-0.46000000000000796</v>
      </c>
      <c r="H312" s="5">
        <f t="shared" si="68"/>
        <v>-7.5887131252672076E-3</v>
      </c>
      <c r="I312" s="3">
        <f t="shared" si="56"/>
        <v>-1.2430630460336851</v>
      </c>
      <c r="J312" s="5">
        <f t="shared" si="69"/>
        <v>-4.9166310389056004E-3</v>
      </c>
      <c r="K312" s="3">
        <f t="shared" si="57"/>
        <v>-0.60611336892493728</v>
      </c>
      <c r="L312" s="3">
        <f t="shared" si="58"/>
        <v>-1.1429132381570266</v>
      </c>
      <c r="N312" s="12">
        <f t="shared" si="59"/>
        <v>1.4416388632285577E-3</v>
      </c>
      <c r="O312" s="12">
        <f t="shared" si="60"/>
        <v>1.1464373626910991E-4</v>
      </c>
      <c r="P312" s="12">
        <f t="shared" si="61"/>
        <v>7.3538354477992044E-5</v>
      </c>
      <c r="Q312" s="12">
        <f t="shared" si="62"/>
        <v>2.2256068132299293E-4</v>
      </c>
      <c r="R312" s="12">
        <f t="shared" si="63"/>
        <v>4.3384141670421792E-4</v>
      </c>
      <c r="S312" s="12">
        <f t="shared" si="64"/>
        <v>9.5636791309774332E-4</v>
      </c>
      <c r="T312" s="12">
        <f t="shared" si="65"/>
        <v>3.3333333333329662E-3</v>
      </c>
      <c r="U312" s="12">
        <f t="shared" si="66"/>
        <v>-9.1785714285714359E-2</v>
      </c>
      <c r="V312" s="12">
        <f t="shared" si="67"/>
        <v>-0.2493173198482932</v>
      </c>
    </row>
    <row r="313" spans="1:22" x14ac:dyDescent="0.25">
      <c r="A313" s="26">
        <v>87.75</v>
      </c>
      <c r="B313">
        <v>88</v>
      </c>
      <c r="C313">
        <v>1.78</v>
      </c>
      <c r="D313" s="2">
        <v>44972</v>
      </c>
      <c r="E313">
        <v>87.85</v>
      </c>
      <c r="F313">
        <v>-0.1</v>
      </c>
      <c r="G313">
        <v>0.15000000000000568</v>
      </c>
      <c r="H313" s="5">
        <f t="shared" si="68"/>
        <v>-1.1383039271485487E-3</v>
      </c>
      <c r="I313" s="3">
        <f t="shared" si="56"/>
        <v>3.7429113370420659E-2</v>
      </c>
      <c r="J313" s="5">
        <f t="shared" si="69"/>
        <v>1.7074558907228879E-3</v>
      </c>
      <c r="K313" s="3">
        <f t="shared" si="57"/>
        <v>2.151231971097654</v>
      </c>
      <c r="L313" s="3">
        <f t="shared" si="58"/>
        <v>-0.92077060274416178</v>
      </c>
      <c r="N313" s="12">
        <f t="shared" si="59"/>
        <v>1.3863010170488469E-3</v>
      </c>
      <c r="O313" s="12">
        <f t="shared" si="60"/>
        <v>3.1297225379462975E-4</v>
      </c>
      <c r="P313" s="12">
        <f t="shared" si="61"/>
        <v>3.9873804608344635E-4</v>
      </c>
      <c r="Q313" s="12">
        <f t="shared" si="62"/>
        <v>-3.3721919715613141E-5</v>
      </c>
      <c r="R313" s="12">
        <f t="shared" si="63"/>
        <v>4.9053210781789449E-4</v>
      </c>
      <c r="S313" s="12">
        <f t="shared" si="64"/>
        <v>1.0364488780641623E-3</v>
      </c>
      <c r="T313" s="12">
        <f t="shared" si="65"/>
        <v>-1.476190476190542E-2</v>
      </c>
      <c r="U313" s="12">
        <f t="shared" si="66"/>
        <v>-8.0535714285714377E-2</v>
      </c>
      <c r="V313" s="12">
        <f t="shared" si="67"/>
        <v>-0.2433122629582809</v>
      </c>
    </row>
    <row r="314" spans="1:22" x14ac:dyDescent="0.25">
      <c r="A314" s="26">
        <v>89.96</v>
      </c>
      <c r="B314">
        <v>89.44</v>
      </c>
      <c r="C314">
        <v>2.1</v>
      </c>
      <c r="D314" s="2">
        <v>44971</v>
      </c>
      <c r="E314">
        <v>89.68</v>
      </c>
      <c r="F314">
        <v>0.28000000000000003</v>
      </c>
      <c r="G314">
        <v>-0.24000000000000909</v>
      </c>
      <c r="H314" s="5">
        <f t="shared" si="68"/>
        <v>3.1222123104371097E-3</v>
      </c>
      <c r="I314" s="3">
        <f t="shared" si="56"/>
        <v>0.88604908962562301</v>
      </c>
      <c r="J314" s="5">
        <f t="shared" si="69"/>
        <v>-2.6761819803747667E-3</v>
      </c>
      <c r="K314" s="3">
        <f t="shared" si="57"/>
        <v>0.33294051616178011</v>
      </c>
      <c r="L314" s="3">
        <f t="shared" si="58"/>
        <v>-0.24966258246444298</v>
      </c>
      <c r="N314" s="12">
        <f t="shared" si="59"/>
        <v>1.0137507301658728E-3</v>
      </c>
      <c r="O314" s="12">
        <f t="shared" si="60"/>
        <v>2.9837586802760252E-4</v>
      </c>
      <c r="P314" s="12">
        <f t="shared" si="61"/>
        <v>3.3508774323954779E-4</v>
      </c>
      <c r="Q314" s="12">
        <f t="shared" si="62"/>
        <v>-6.3332643065712544E-4</v>
      </c>
      <c r="R314" s="12">
        <f t="shared" si="63"/>
        <v>1.1973716208164278E-4</v>
      </c>
      <c r="S314" s="12">
        <f t="shared" si="64"/>
        <v>6.1658204931685189E-4</v>
      </c>
      <c r="T314" s="12">
        <f t="shared" si="65"/>
        <v>-4.7619047619118504E-4</v>
      </c>
      <c r="U314" s="12">
        <f t="shared" si="66"/>
        <v>-5.3928571428571992E-2</v>
      </c>
      <c r="V314" s="12">
        <f t="shared" si="67"/>
        <v>-0.22742098609355299</v>
      </c>
    </row>
    <row r="315" spans="1:22" x14ac:dyDescent="0.25">
      <c r="A315" s="26">
        <v>88.86</v>
      </c>
      <c r="B315">
        <v>89.09</v>
      </c>
      <c r="C315">
        <v>1.72</v>
      </c>
      <c r="D315" s="2">
        <v>44970</v>
      </c>
      <c r="E315">
        <v>89.25</v>
      </c>
      <c r="F315">
        <v>-0.39</v>
      </c>
      <c r="G315">
        <v>-0.15999999999999659</v>
      </c>
      <c r="H315" s="5">
        <f t="shared" si="68"/>
        <v>-4.3697478991596636E-3</v>
      </c>
      <c r="I315" s="3">
        <f t="shared" si="56"/>
        <v>-0.60539919264744835</v>
      </c>
      <c r="J315" s="5">
        <f t="shared" si="69"/>
        <v>-1.7927170868346958E-3</v>
      </c>
      <c r="K315" s="3">
        <f t="shared" si="57"/>
        <v>0.69704942099122413</v>
      </c>
      <c r="L315" s="3">
        <f t="shared" si="58"/>
        <v>-1.0226911990715626</v>
      </c>
      <c r="N315" s="12">
        <f t="shared" si="59"/>
        <v>1.1609581736135206E-3</v>
      </c>
      <c r="O315" s="12">
        <f t="shared" si="60"/>
        <v>1.8256673412292011E-4</v>
      </c>
      <c r="P315" s="12">
        <f t="shared" si="61"/>
        <v>1.9004689115438935E-4</v>
      </c>
      <c r="Q315" s="12">
        <f t="shared" si="62"/>
        <v>-2.0496132039354246E-4</v>
      </c>
      <c r="R315" s="12">
        <f t="shared" si="63"/>
        <v>2.2902394954815806E-4</v>
      </c>
      <c r="S315" s="12">
        <f t="shared" si="64"/>
        <v>7.0229573900702563E-4</v>
      </c>
      <c r="T315" s="12">
        <f t="shared" si="65"/>
        <v>4.7619047619043009E-3</v>
      </c>
      <c r="U315" s="12">
        <f t="shared" si="66"/>
        <v>-4.4166666666666909E-2</v>
      </c>
      <c r="V315" s="12">
        <f t="shared" si="67"/>
        <v>-0.22602191319005538</v>
      </c>
    </row>
    <row r="316" spans="1:22" x14ac:dyDescent="0.25">
      <c r="A316" s="26">
        <v>89.7</v>
      </c>
      <c r="B316">
        <v>89.51</v>
      </c>
      <c r="C316">
        <v>2.04</v>
      </c>
      <c r="D316" s="2">
        <v>44967</v>
      </c>
      <c r="E316">
        <v>89.93</v>
      </c>
      <c r="F316">
        <v>-0.23</v>
      </c>
      <c r="G316">
        <v>-0.42000000000000171</v>
      </c>
      <c r="H316" s="5">
        <f t="shared" si="68"/>
        <v>-2.5575447570332479E-3</v>
      </c>
      <c r="I316" s="3">
        <f t="shared" si="56"/>
        <v>-0.24707268387894557</v>
      </c>
      <c r="J316" s="5">
        <f t="shared" si="69"/>
        <v>-4.6702991215389934E-3</v>
      </c>
      <c r="K316" s="3">
        <f t="shared" si="57"/>
        <v>-0.5085264761739221</v>
      </c>
      <c r="L316" s="3">
        <f t="shared" si="58"/>
        <v>-0.36031731259368927</v>
      </c>
      <c r="N316" s="12">
        <f t="shared" si="59"/>
        <v>9.3565691082098546E-4</v>
      </c>
      <c r="O316" s="12">
        <f t="shared" si="60"/>
        <v>-1.237965819882766E-4</v>
      </c>
      <c r="P316" s="12">
        <f t="shared" si="61"/>
        <v>1.4406175763169871E-5</v>
      </c>
      <c r="Q316" s="12">
        <f t="shared" si="62"/>
        <v>-3.4826881294649928E-4</v>
      </c>
      <c r="R316" s="12">
        <f t="shared" si="63"/>
        <v>9.5867483720435149E-5</v>
      </c>
      <c r="S316" s="12">
        <f t="shared" si="64"/>
        <v>6.115502610643136E-4</v>
      </c>
      <c r="T316" s="12">
        <f t="shared" si="65"/>
        <v>-9.0476190476196372E-3</v>
      </c>
      <c r="U316" s="12">
        <f t="shared" si="66"/>
        <v>-2.9404761904762378E-2</v>
      </c>
      <c r="V316" s="12">
        <f t="shared" si="67"/>
        <v>-0.21942688579856817</v>
      </c>
    </row>
    <row r="317" spans="1:22" x14ac:dyDescent="0.25">
      <c r="A317" s="26">
        <v>87.36</v>
      </c>
      <c r="B317">
        <v>86.84</v>
      </c>
      <c r="C317">
        <v>2.48</v>
      </c>
      <c r="D317" s="2">
        <v>44966</v>
      </c>
      <c r="E317">
        <v>87.41</v>
      </c>
      <c r="F317">
        <v>-0.05</v>
      </c>
      <c r="G317">
        <v>-0.56999999999999318</v>
      </c>
      <c r="H317" s="5">
        <f t="shared" si="68"/>
        <v>-5.720169317011784E-4</v>
      </c>
      <c r="I317" s="3">
        <f t="shared" si="56"/>
        <v>0.15003450505062968</v>
      </c>
      <c r="J317" s="5">
        <f t="shared" si="69"/>
        <v>-6.5209930213933551E-3</v>
      </c>
      <c r="K317" s="3">
        <f t="shared" si="57"/>
        <v>-1.288227038413297</v>
      </c>
      <c r="L317" s="3">
        <f t="shared" si="58"/>
        <v>0.54820802866703089</v>
      </c>
      <c r="N317" s="12">
        <f t="shared" si="59"/>
        <v>1.5513159110562456E-3</v>
      </c>
      <c r="O317" s="12">
        <f t="shared" si="60"/>
        <v>2.7011842387106104E-4</v>
      </c>
      <c r="P317" s="12">
        <f t="shared" si="61"/>
        <v>2.0284729349994844E-4</v>
      </c>
      <c r="Q317" s="12">
        <f t="shared" si="62"/>
        <v>8.469340041206792E-5</v>
      </c>
      <c r="R317" s="12">
        <f t="shared" si="63"/>
        <v>4.5513865107882183E-4</v>
      </c>
      <c r="S317" s="12">
        <f t="shared" si="64"/>
        <v>9.2832714072466028E-4</v>
      </c>
      <c r="T317" s="12">
        <f t="shared" si="65"/>
        <v>3.476190476190455E-2</v>
      </c>
      <c r="U317" s="12">
        <f t="shared" si="66"/>
        <v>-5.0000000000003375E-3</v>
      </c>
      <c r="V317" s="12">
        <f t="shared" si="67"/>
        <v>-0.20946902654867339</v>
      </c>
    </row>
    <row r="318" spans="1:22" x14ac:dyDescent="0.25">
      <c r="A318" s="26">
        <v>87.52</v>
      </c>
      <c r="B318">
        <v>87.71</v>
      </c>
      <c r="C318">
        <v>2.0099999999999998</v>
      </c>
      <c r="D318" s="2">
        <v>44964</v>
      </c>
      <c r="E318">
        <v>87.91</v>
      </c>
      <c r="F318">
        <v>-0.39</v>
      </c>
      <c r="G318">
        <v>-0.20000000000000284</v>
      </c>
      <c r="H318" s="5">
        <f t="shared" si="68"/>
        <v>-4.4363553634398818E-3</v>
      </c>
      <c r="I318" s="3">
        <f t="shared" si="56"/>
        <v>-0.62470693517317666</v>
      </c>
      <c r="J318" s="5">
        <f t="shared" si="69"/>
        <v>-2.2750540325333049E-3</v>
      </c>
      <c r="K318" s="3">
        <f t="shared" si="57"/>
        <v>0.48320717157260079</v>
      </c>
      <c r="L318" s="3">
        <f t="shared" si="58"/>
        <v>-0.40729090318392736</v>
      </c>
      <c r="N318" s="12">
        <f t="shared" si="59"/>
        <v>6.6285070101104022E-4</v>
      </c>
      <c r="O318" s="12">
        <f t="shared" si="60"/>
        <v>-5.5797400966105769E-4</v>
      </c>
      <c r="P318" s="12">
        <f t="shared" si="61"/>
        <v>-4.718663341435835E-4</v>
      </c>
      <c r="Q318" s="12">
        <f t="shared" si="62"/>
        <v>6.335089973967061E-4</v>
      </c>
      <c r="R318" s="12">
        <f t="shared" si="63"/>
        <v>8.2952304974436052E-4</v>
      </c>
      <c r="S318" s="12">
        <f t="shared" si="64"/>
        <v>1.2698988805248217E-3</v>
      </c>
      <c r="T318" s="12">
        <f t="shared" si="65"/>
        <v>-4.5714285714285374E-2</v>
      </c>
      <c r="U318" s="12">
        <f t="shared" si="66"/>
        <v>-7.0595238095238599E-2</v>
      </c>
      <c r="V318" s="12">
        <f t="shared" si="67"/>
        <v>-0.27694479561736252</v>
      </c>
    </row>
    <row r="319" spans="1:22" x14ac:dyDescent="0.25">
      <c r="A319" s="26">
        <v>91.78</v>
      </c>
      <c r="B319">
        <v>92.25</v>
      </c>
      <c r="C319">
        <v>1.77</v>
      </c>
      <c r="D319" s="2">
        <v>44963</v>
      </c>
      <c r="E319">
        <v>92.48</v>
      </c>
      <c r="F319">
        <v>-0.7</v>
      </c>
      <c r="G319">
        <v>-0.23000000000000398</v>
      </c>
      <c r="H319" s="5">
        <f t="shared" si="68"/>
        <v>-7.5692041522491338E-3</v>
      </c>
      <c r="I319" s="3">
        <f t="shared" si="56"/>
        <v>-1.2535671310652778</v>
      </c>
      <c r="J319" s="5">
        <f t="shared" si="69"/>
        <v>-2.4870242214533301E-3</v>
      </c>
      <c r="K319" s="3">
        <f t="shared" si="57"/>
        <v>0.3850428114562276</v>
      </c>
      <c r="L319" s="3">
        <f t="shared" si="58"/>
        <v>-0.8809823996294901</v>
      </c>
      <c r="N319" s="12">
        <f t="shared" si="59"/>
        <v>4.1455684367042991E-5</v>
      </c>
      <c r="O319" s="12">
        <f t="shared" si="60"/>
        <v>-8.8187275305542142E-4</v>
      </c>
      <c r="P319" s="12">
        <f t="shared" si="61"/>
        <v>-7.0060380410703351E-4</v>
      </c>
      <c r="Q319" s="12">
        <f t="shared" si="62"/>
        <v>3.6470157613967356E-4</v>
      </c>
      <c r="R319" s="12">
        <f t="shared" si="63"/>
        <v>7.4992389309494305E-4</v>
      </c>
      <c r="S319" s="12">
        <f t="shared" si="64"/>
        <v>1.1089894723296328E-3</v>
      </c>
      <c r="T319" s="12">
        <f t="shared" si="65"/>
        <v>-1.4761904761904532E-2</v>
      </c>
      <c r="U319" s="12">
        <f t="shared" si="66"/>
        <v>-6.7380952380953207E-2</v>
      </c>
      <c r="V319" s="12">
        <f t="shared" si="67"/>
        <v>-0.25779182469447992</v>
      </c>
    </row>
    <row r="320" spans="1:22" x14ac:dyDescent="0.25">
      <c r="A320" s="26">
        <v>91.15</v>
      </c>
      <c r="B320">
        <v>90.74</v>
      </c>
      <c r="C320">
        <v>2.31</v>
      </c>
      <c r="D320" s="2">
        <v>44960</v>
      </c>
      <c r="E320">
        <v>90.85</v>
      </c>
      <c r="F320">
        <v>0.3</v>
      </c>
      <c r="G320">
        <v>-0.10999999999999943</v>
      </c>
      <c r="H320" s="5">
        <f t="shared" si="68"/>
        <v>3.3021463951568518E-3</v>
      </c>
      <c r="I320" s="3">
        <f t="shared" si="56"/>
        <v>0.92164503027971634</v>
      </c>
      <c r="J320" s="5">
        <f t="shared" si="69"/>
        <v>-1.2107870115575061E-3</v>
      </c>
      <c r="K320" s="3">
        <f t="shared" si="57"/>
        <v>0.91774418922961332</v>
      </c>
      <c r="L320" s="3">
        <f t="shared" si="58"/>
        <v>0.2159010992810341</v>
      </c>
      <c r="N320" s="12">
        <f t="shared" si="59"/>
        <v>4.056724819165628E-4</v>
      </c>
      <c r="O320" s="12">
        <f t="shared" si="60"/>
        <v>-6.5029431358454455E-4</v>
      </c>
      <c r="P320" s="12">
        <f t="shared" si="61"/>
        <v>-3.6746925314563384E-4</v>
      </c>
      <c r="Q320" s="12">
        <f t="shared" si="62"/>
        <v>5.0173933177463919E-4</v>
      </c>
      <c r="R320" s="12">
        <f t="shared" si="63"/>
        <v>8.3331453691751472E-4</v>
      </c>
      <c r="S320" s="12">
        <f t="shared" si="64"/>
        <v>1.1250809252748642E-3</v>
      </c>
      <c r="T320" s="12">
        <f t="shared" si="65"/>
        <v>-4.3333333333333446E-2</v>
      </c>
      <c r="U320" s="12">
        <f t="shared" si="66"/>
        <v>-7.5416666666667354E-2</v>
      </c>
      <c r="V320" s="12">
        <f t="shared" si="67"/>
        <v>-0.25983986514959989</v>
      </c>
    </row>
    <row r="321" spans="1:22" x14ac:dyDescent="0.25">
      <c r="A321" s="26">
        <v>93.5</v>
      </c>
      <c r="B321">
        <v>93.24</v>
      </c>
      <c r="C321">
        <v>2.0299999999999998</v>
      </c>
      <c r="D321" s="2">
        <v>44959</v>
      </c>
      <c r="E321">
        <v>93.34</v>
      </c>
      <c r="F321">
        <v>0.16</v>
      </c>
      <c r="G321">
        <v>-0.10000000000000853</v>
      </c>
      <c r="H321" s="5">
        <f t="shared" si="68"/>
        <v>1.7141632740518534E-3</v>
      </c>
      <c r="I321" s="3">
        <f t="shared" si="56"/>
        <v>0.6105234582026926</v>
      </c>
      <c r="J321" s="5">
        <f t="shared" si="69"/>
        <v>-1.0713520462824998E-3</v>
      </c>
      <c r="K321" s="3">
        <f t="shared" si="57"/>
        <v>0.97866973214343311</v>
      </c>
      <c r="L321" s="3">
        <f t="shared" si="58"/>
        <v>-0.33221025056587683</v>
      </c>
      <c r="N321" s="12">
        <f t="shared" si="59"/>
        <v>-3.5954094860862632E-4</v>
      </c>
      <c r="O321" s="12">
        <f t="shared" si="60"/>
        <v>-9.5885707607836325E-4</v>
      </c>
      <c r="P321" s="12">
        <f t="shared" si="61"/>
        <v>-7.5532368737519823E-4</v>
      </c>
      <c r="Q321" s="12">
        <f t="shared" si="62"/>
        <v>5.7652223071101441E-4</v>
      </c>
      <c r="R321" s="12">
        <f t="shared" si="63"/>
        <v>8.0434930574675451E-4</v>
      </c>
      <c r="S321" s="12">
        <f t="shared" si="64"/>
        <v>9.8574314108001862E-4</v>
      </c>
      <c r="T321" s="12">
        <f t="shared" si="65"/>
        <v>-7.0476190476190137E-2</v>
      </c>
      <c r="U321" s="12">
        <f t="shared" si="66"/>
        <v>-9.9583333333333357E-2</v>
      </c>
      <c r="V321" s="12">
        <f t="shared" si="67"/>
        <v>-0.27720185419300458</v>
      </c>
    </row>
    <row r="322" spans="1:22" x14ac:dyDescent="0.25">
      <c r="A322" s="26">
        <v>91.91</v>
      </c>
      <c r="B322">
        <v>91.96</v>
      </c>
      <c r="C322">
        <v>1.86</v>
      </c>
      <c r="D322" s="2">
        <v>44958</v>
      </c>
      <c r="E322">
        <v>91.91</v>
      </c>
      <c r="F322">
        <v>0</v>
      </c>
      <c r="G322">
        <v>4.9999999999997158E-2</v>
      </c>
      <c r="H322" s="5">
        <f t="shared" si="68"/>
        <v>0</v>
      </c>
      <c r="I322" s="3">
        <f t="shared" si="56"/>
        <v>0.26911954608122429</v>
      </c>
      <c r="J322" s="5">
        <f t="shared" si="69"/>
        <v>5.4401044500051315E-4</v>
      </c>
      <c r="K322" s="3">
        <f t="shared" si="57"/>
        <v>1.6499876464757937</v>
      </c>
      <c r="L322" s="3">
        <f t="shared" si="58"/>
        <v>-0.65867531390932577</v>
      </c>
      <c r="N322" s="12">
        <f t="shared" si="59"/>
        <v>-1.1610719150646049E-4</v>
      </c>
      <c r="O322" s="12">
        <f t="shared" si="60"/>
        <v>-8.8079799279413315E-4</v>
      </c>
      <c r="P322" s="12">
        <f t="shared" si="61"/>
        <v>-7.4128416573978717E-4</v>
      </c>
      <c r="Q322" s="12">
        <f t="shared" si="62"/>
        <v>5.6382416842796525E-4</v>
      </c>
      <c r="R322" s="12">
        <f t="shared" si="63"/>
        <v>8.0297646454464359E-4</v>
      </c>
      <c r="S322" s="12">
        <f t="shared" si="64"/>
        <v>9.5494286542713216E-4</v>
      </c>
      <c r="T322" s="12">
        <f t="shared" si="65"/>
        <v>-3.6190476190475884E-2</v>
      </c>
      <c r="U322" s="12">
        <f t="shared" si="66"/>
        <v>-8.2023809523809721E-2</v>
      </c>
      <c r="V322" s="12">
        <f t="shared" si="67"/>
        <v>-0.26742520016856286</v>
      </c>
    </row>
    <row r="323" spans="1:22" x14ac:dyDescent="0.25">
      <c r="A323" s="26">
        <v>86.68</v>
      </c>
      <c r="B323">
        <v>86.11</v>
      </c>
      <c r="C323">
        <v>1.91</v>
      </c>
      <c r="D323" s="2">
        <v>44957</v>
      </c>
      <c r="E323">
        <v>86.38</v>
      </c>
      <c r="F323">
        <v>0.3</v>
      </c>
      <c r="G323">
        <v>-0.26999999999999602</v>
      </c>
      <c r="H323" s="5">
        <f t="shared" si="68"/>
        <v>3.4730261634637648E-3</v>
      </c>
      <c r="I323" s="3">
        <f t="shared" ref="I323:I386" si="70">IFERROR((H323-AVERAGEA(H323:H539))/_xlfn.STDEV.S(H323:H539), " ")</f>
        <v>0.96884898793467933</v>
      </c>
      <c r="J323" s="5">
        <f t="shared" si="69"/>
        <v>-3.1257235471173423E-3</v>
      </c>
      <c r="K323" s="3">
        <f t="shared" ref="K323:K386" si="71">IFERROR((J323-AVERAGEA(J323:J539))/_xlfn.STDEV.S(J323:J539), " ")</f>
        <v>0.12532688674394316</v>
      </c>
      <c r="L323" s="3">
        <f t="shared" ref="L323:L386" si="72">(C323-AVERAGEA(C323:C539))/_xlfn.STDEV.S(C323:C539)</f>
        <v>-0.55188214431175753</v>
      </c>
      <c r="N323" s="12">
        <f t="shared" ref="N323:N386" si="73">AVERAGEA(H323:H343)-AVERAGE(H344:H364)</f>
        <v>-2.3741766409830453E-4</v>
      </c>
      <c r="O323" s="12">
        <f t="shared" ref="O323:O386" si="74">AVERAGEA(H323:H343)-AVERAGE(H344:H399)</f>
        <v>-1.0622018184789654E-3</v>
      </c>
      <c r="P323" s="12">
        <f t="shared" ref="P323:P386" si="75">AVERAGEA(H323:H343)-AVERAGE(H344:H456)</f>
        <v>-9.8932480626073372E-4</v>
      </c>
      <c r="Q323" s="12">
        <f t="shared" ref="Q323:Q386" si="76">AVERAGEA(J323:J343)-AVERAGE(J344:J364)</f>
        <v>2.9424675767405215E-4</v>
      </c>
      <c r="R323" s="12">
        <f t="shared" ref="R323:R386" si="77">AVERAGEA(J323:J343)-AVERAGE(J344:J399)</f>
        <v>6.2406915302841426E-4</v>
      </c>
      <c r="S323" s="12">
        <f t="shared" ref="S323:S386" si="78">AVERAGEA(J323:J343)-AVERAGE(J344:J456)</f>
        <v>7.241788733123181E-4</v>
      </c>
      <c r="T323" s="12">
        <f t="shared" ref="T323:T386" si="79">AVERAGEA(C323:C343)-AVERAGE(C344:C364)</f>
        <v>9.5238095238103782E-4</v>
      </c>
      <c r="U323" s="12">
        <f t="shared" ref="U323:U386" si="80">AVERAGEA(C323:C343)-AVERAGE(C344:C399)</f>
        <v>-4.5178571428571512E-2</v>
      </c>
      <c r="V323" s="12">
        <f t="shared" ref="V323:V386" si="81">AVERAGEA(C323:C343)-AVERAGE(C344:C456)</f>
        <v>-0.24833122629582816</v>
      </c>
    </row>
    <row r="324" spans="1:22" x14ac:dyDescent="0.25">
      <c r="A324" s="26">
        <v>85.2</v>
      </c>
      <c r="B324">
        <v>84.88</v>
      </c>
      <c r="C324">
        <v>2.35</v>
      </c>
      <c r="D324" s="2">
        <v>44956</v>
      </c>
      <c r="E324">
        <v>85.06</v>
      </c>
      <c r="F324">
        <v>0.14000000000000001</v>
      </c>
      <c r="G324">
        <v>-0.18000000000000682</v>
      </c>
      <c r="H324" s="5">
        <f t="shared" ref="H324:H387" si="82">IFERROR(F324/E324,"")</f>
        <v>1.6458970138725606E-3</v>
      </c>
      <c r="I324" s="3">
        <f t="shared" si="70"/>
        <v>0.60759088313992093</v>
      </c>
      <c r="J324" s="5">
        <f t="shared" ref="J324:J387" si="83">IFERROR(G324/E324,"")</f>
        <v>-2.116153303550515E-3</v>
      </c>
      <c r="K324" s="3">
        <f t="shared" si="71"/>
        <v>0.54775901834643825</v>
      </c>
      <c r="L324" s="3">
        <f t="shared" si="72"/>
        <v>0.31351634977009624</v>
      </c>
      <c r="N324" s="12">
        <f t="shared" si="73"/>
        <v>-3.0381082794746672E-4</v>
      </c>
      <c r="O324" s="12">
        <f t="shared" si="74"/>
        <v>-1.0495648490883257E-3</v>
      </c>
      <c r="P324" s="12">
        <f t="shared" si="75"/>
        <v>-1.0424495310021773E-3</v>
      </c>
      <c r="Q324" s="12">
        <f t="shared" si="76"/>
        <v>4.0008020595157495E-4</v>
      </c>
      <c r="R324" s="12">
        <f t="shared" si="77"/>
        <v>6.7060407241661089E-4</v>
      </c>
      <c r="S324" s="12">
        <f t="shared" si="78"/>
        <v>7.7211228727814846E-4</v>
      </c>
      <c r="T324" s="12">
        <f t="shared" si="79"/>
        <v>-2.2857142857142687E-2</v>
      </c>
      <c r="U324" s="12">
        <f t="shared" si="80"/>
        <v>-4.2023809523809241E-2</v>
      </c>
      <c r="V324" s="12">
        <f t="shared" si="81"/>
        <v>-0.24916982722292413</v>
      </c>
    </row>
    <row r="325" spans="1:22" x14ac:dyDescent="0.25">
      <c r="A325" s="26">
        <v>86.71</v>
      </c>
      <c r="B325">
        <v>86.28</v>
      </c>
      <c r="C325">
        <v>2.48</v>
      </c>
      <c r="D325" s="2">
        <v>44953</v>
      </c>
      <c r="E325">
        <v>86.41</v>
      </c>
      <c r="F325">
        <v>0.3</v>
      </c>
      <c r="G325">
        <v>-0.12999999999999545</v>
      </c>
      <c r="H325" s="5">
        <f t="shared" si="82"/>
        <v>3.4718203911584308E-3</v>
      </c>
      <c r="I325" s="3">
        <f t="shared" si="70"/>
        <v>0.97818038552137088</v>
      </c>
      <c r="J325" s="5">
        <f t="shared" si="83"/>
        <v>-1.5044555028352674E-3</v>
      </c>
      <c r="K325" s="3">
        <f t="shared" si="71"/>
        <v>0.80461722221968246</v>
      </c>
      <c r="L325" s="3">
        <f t="shared" si="72"/>
        <v>0.57320763015064879</v>
      </c>
      <c r="N325" s="12">
        <f t="shared" si="73"/>
        <v>-2.1166969223727749E-3</v>
      </c>
      <c r="O325" s="12">
        <f t="shared" si="74"/>
        <v>-2.0180648895763362E-3</v>
      </c>
      <c r="P325" s="12">
        <f t="shared" si="75"/>
        <v>-2.0067058391613699E-3</v>
      </c>
      <c r="Q325" s="12">
        <f t="shared" si="76"/>
        <v>3.074523950417035E-4</v>
      </c>
      <c r="R325" s="12">
        <f t="shared" si="77"/>
        <v>5.7493101662848232E-4</v>
      </c>
      <c r="S325" s="12">
        <f t="shared" si="78"/>
        <v>6.728780265559892E-4</v>
      </c>
      <c r="T325" s="12">
        <f t="shared" si="79"/>
        <v>-0.13285714285714345</v>
      </c>
      <c r="U325" s="12">
        <f t="shared" si="80"/>
        <v>-0.11029761904761903</v>
      </c>
      <c r="V325" s="12">
        <f t="shared" si="81"/>
        <v>-0.31600084281500207</v>
      </c>
    </row>
    <row r="326" spans="1:22" x14ac:dyDescent="0.25">
      <c r="A326" s="26">
        <v>83.51</v>
      </c>
      <c r="B326">
        <v>83.52</v>
      </c>
      <c r="C326">
        <v>1.83</v>
      </c>
      <c r="D326" s="2">
        <v>44952</v>
      </c>
      <c r="E326">
        <v>84.1</v>
      </c>
      <c r="F326">
        <v>-0.59</v>
      </c>
      <c r="G326">
        <v>-0.57999999999999829</v>
      </c>
      <c r="H326" s="5">
        <f t="shared" si="82"/>
        <v>-7.0154577883472062E-3</v>
      </c>
      <c r="I326" s="3">
        <f t="shared" si="70"/>
        <v>-1.1355088826442656</v>
      </c>
      <c r="J326" s="5">
        <f t="shared" si="83"/>
        <v>-6.896551724137911E-3</v>
      </c>
      <c r="K326" s="3">
        <f t="shared" si="71"/>
        <v>-1.4574507200906464</v>
      </c>
      <c r="L326" s="3">
        <f t="shared" si="72"/>
        <v>-0.68351337508534071</v>
      </c>
      <c r="N326" s="12">
        <f t="shared" si="73"/>
        <v>-2.542903540066086E-3</v>
      </c>
      <c r="O326" s="12">
        <f t="shared" si="74"/>
        <v>-2.2999114983182655E-3</v>
      </c>
      <c r="P326" s="12">
        <f t="shared" si="75"/>
        <v>-2.2229738783157444E-3</v>
      </c>
      <c r="Q326" s="12">
        <f t="shared" si="76"/>
        <v>3.0762266435295244E-4</v>
      </c>
      <c r="R326" s="12">
        <f t="shared" si="77"/>
        <v>5.3573988648090119E-4</v>
      </c>
      <c r="S326" s="12">
        <f t="shared" si="78"/>
        <v>6.6990253553365344E-4</v>
      </c>
      <c r="T326" s="12">
        <f t="shared" si="79"/>
        <v>-0.12333333333333352</v>
      </c>
      <c r="U326" s="12">
        <f t="shared" si="80"/>
        <v>-0.12035714285714327</v>
      </c>
      <c r="V326" s="12">
        <f t="shared" si="81"/>
        <v>-0.33059418457648615</v>
      </c>
    </row>
    <row r="327" spans="1:22" x14ac:dyDescent="0.25">
      <c r="A327" s="26">
        <v>80.88</v>
      </c>
      <c r="B327">
        <v>80.88</v>
      </c>
      <c r="C327">
        <v>2.0699999999999998</v>
      </c>
      <c r="D327" s="2">
        <v>44950</v>
      </c>
      <c r="E327">
        <v>81.09</v>
      </c>
      <c r="F327">
        <v>-0.21</v>
      </c>
      <c r="G327">
        <v>-0.21000000000000796</v>
      </c>
      <c r="H327" s="5">
        <f t="shared" si="82"/>
        <v>-2.5897151313355529E-3</v>
      </c>
      <c r="I327" s="3">
        <f t="shared" si="70"/>
        <v>-0.25061353893211064</v>
      </c>
      <c r="J327" s="5">
        <f t="shared" si="83"/>
        <v>-2.5897151313356509E-3</v>
      </c>
      <c r="K327" s="3">
        <f t="shared" si="71"/>
        <v>0.34008573014864441</v>
      </c>
      <c r="L327" s="3">
        <f t="shared" si="72"/>
        <v>-0.21764053717336795</v>
      </c>
      <c r="N327" s="12">
        <f t="shared" si="73"/>
        <v>-2.2277768570946824E-3</v>
      </c>
      <c r="O327" s="12">
        <f t="shared" si="74"/>
        <v>-1.9672143142702571E-3</v>
      </c>
      <c r="P327" s="12">
        <f t="shared" si="75"/>
        <v>-1.9690723942230662E-3</v>
      </c>
      <c r="Q327" s="12">
        <f t="shared" si="76"/>
        <v>4.006268049096119E-4</v>
      </c>
      <c r="R327" s="12">
        <f t="shared" si="77"/>
        <v>6.9299261742651608E-4</v>
      </c>
      <c r="S327" s="12">
        <f t="shared" si="78"/>
        <v>8.3047015955699808E-4</v>
      </c>
      <c r="T327" s="12">
        <f t="shared" si="79"/>
        <v>-9.3333333333333712E-2</v>
      </c>
      <c r="U327" s="12">
        <f t="shared" si="80"/>
        <v>-0.10982142857142918</v>
      </c>
      <c r="V327" s="12">
        <f t="shared" si="81"/>
        <v>-0.32003792667509545</v>
      </c>
    </row>
    <row r="328" spans="1:22" x14ac:dyDescent="0.25">
      <c r="A328" s="26">
        <v>81.52</v>
      </c>
      <c r="B328">
        <v>81.75</v>
      </c>
      <c r="C328">
        <v>1.88</v>
      </c>
      <c r="D328" s="2">
        <v>44949</v>
      </c>
      <c r="E328">
        <v>81.91</v>
      </c>
      <c r="F328">
        <v>-0.39</v>
      </c>
      <c r="G328">
        <v>-0.15999999999999659</v>
      </c>
      <c r="H328" s="5">
        <f t="shared" si="82"/>
        <v>-4.7613234037358083E-3</v>
      </c>
      <c r="I328" s="3">
        <f t="shared" si="70"/>
        <v>-0.69264364074472073</v>
      </c>
      <c r="J328" s="5">
        <f t="shared" si="83"/>
        <v>-1.9533634476864435E-3</v>
      </c>
      <c r="K328" s="3">
        <f t="shared" si="71"/>
        <v>0.6027876560418115</v>
      </c>
      <c r="L328" s="3">
        <f t="shared" si="72"/>
        <v>-0.5796743501013929</v>
      </c>
      <c r="N328" s="12">
        <f t="shared" si="73"/>
        <v>-2.4758997371932246E-3</v>
      </c>
      <c r="O328" s="12">
        <f t="shared" si="74"/>
        <v>-2.0541179257480774E-3</v>
      </c>
      <c r="P328" s="12">
        <f t="shared" si="75"/>
        <v>-2.1010878820001563E-3</v>
      </c>
      <c r="Q328" s="12">
        <f t="shared" si="76"/>
        <v>2.2509393642546928E-4</v>
      </c>
      <c r="R328" s="12">
        <f t="shared" si="77"/>
        <v>6.2362548181850138E-4</v>
      </c>
      <c r="S328" s="12">
        <f t="shared" si="78"/>
        <v>7.5045232192865168E-4</v>
      </c>
      <c r="T328" s="12">
        <f t="shared" si="79"/>
        <v>-9.4761904761904603E-2</v>
      </c>
      <c r="U328" s="12">
        <f t="shared" si="80"/>
        <v>-0.10011904761904811</v>
      </c>
      <c r="V328" s="12">
        <f t="shared" si="81"/>
        <v>-0.31175305520438323</v>
      </c>
    </row>
    <row r="329" spans="1:22" x14ac:dyDescent="0.25">
      <c r="A329" s="26">
        <v>81.010000000000005</v>
      </c>
      <c r="B329">
        <v>81.25</v>
      </c>
      <c r="C329">
        <v>1.65</v>
      </c>
      <c r="D329" s="2">
        <v>44946</v>
      </c>
      <c r="E329">
        <v>81.19</v>
      </c>
      <c r="F329">
        <v>-0.18</v>
      </c>
      <c r="G329">
        <v>6.0000000000002274E-2</v>
      </c>
      <c r="H329" s="5">
        <f t="shared" si="82"/>
        <v>-2.2170218007143737E-3</v>
      </c>
      <c r="I329" s="3">
        <f t="shared" si="70"/>
        <v>-0.18093685318385014</v>
      </c>
      <c r="J329" s="5">
        <f t="shared" si="83"/>
        <v>7.3900726690481928E-4</v>
      </c>
      <c r="K329" s="3">
        <f t="shared" si="71"/>
        <v>1.7280802534926072</v>
      </c>
      <c r="L329" s="3">
        <f t="shared" si="72"/>
        <v>-1.018861698556442</v>
      </c>
      <c r="N329" s="12">
        <f t="shared" si="73"/>
        <v>-2.3725606524057554E-3</v>
      </c>
      <c r="O329" s="12">
        <f t="shared" si="74"/>
        <v>-2.0773378873436854E-3</v>
      </c>
      <c r="P329" s="12">
        <f t="shared" si="75"/>
        <v>-2.143069766125836E-3</v>
      </c>
      <c r="Q329" s="12">
        <f t="shared" si="76"/>
        <v>1.2630867846920128E-4</v>
      </c>
      <c r="R329" s="12">
        <f t="shared" si="77"/>
        <v>5.5816290516326429E-4</v>
      </c>
      <c r="S329" s="12">
        <f t="shared" si="78"/>
        <v>6.7731901618358703E-4</v>
      </c>
      <c r="T329" s="12">
        <f t="shared" si="79"/>
        <v>-0.10476190476190528</v>
      </c>
      <c r="U329" s="12">
        <f t="shared" si="80"/>
        <v>-9.4761904761905047E-2</v>
      </c>
      <c r="V329" s="12">
        <f t="shared" si="81"/>
        <v>-0.30646860514117202</v>
      </c>
    </row>
    <row r="330" spans="1:22" x14ac:dyDescent="0.25">
      <c r="A330" s="26">
        <v>82.06</v>
      </c>
      <c r="B330">
        <v>81.36</v>
      </c>
      <c r="C330">
        <v>2.31</v>
      </c>
      <c r="D330" s="2">
        <v>44945</v>
      </c>
      <c r="E330">
        <v>81.650000000000006</v>
      </c>
      <c r="F330">
        <v>0.41</v>
      </c>
      <c r="G330">
        <v>-0.29000000000000625</v>
      </c>
      <c r="H330" s="5">
        <f t="shared" si="82"/>
        <v>5.0214329454990811E-3</v>
      </c>
      <c r="I330" s="3">
        <f t="shared" si="70"/>
        <v>1.2849627182888947</v>
      </c>
      <c r="J330" s="5">
        <f t="shared" si="83"/>
        <v>-3.5517452541335729E-3</v>
      </c>
      <c r="K330" s="3">
        <f t="shared" si="71"/>
        <v>-6.5572888213270189E-2</v>
      </c>
      <c r="L330" s="3">
        <f t="shared" si="72"/>
        <v>0.25695316000251944</v>
      </c>
      <c r="N330" s="12">
        <f t="shared" si="73"/>
        <v>-2.0971028559424497E-3</v>
      </c>
      <c r="O330" s="12">
        <f t="shared" si="74"/>
        <v>-1.5600527426523785E-3</v>
      </c>
      <c r="P330" s="12">
        <f t="shared" si="75"/>
        <v>-1.789073753142714E-3</v>
      </c>
      <c r="Q330" s="12">
        <f t="shared" si="76"/>
        <v>1.1120059727102788E-4</v>
      </c>
      <c r="R330" s="12">
        <f t="shared" si="77"/>
        <v>5.4236056407941076E-4</v>
      </c>
      <c r="S330" s="12">
        <f t="shared" si="78"/>
        <v>6.2784882481648624E-4</v>
      </c>
      <c r="T330" s="12">
        <f t="shared" si="79"/>
        <v>-6.2380952380951982E-2</v>
      </c>
      <c r="U330" s="12">
        <f t="shared" si="80"/>
        <v>-5.4880952380952142E-2</v>
      </c>
      <c r="V330" s="12">
        <f t="shared" si="81"/>
        <v>-0.27987779182469463</v>
      </c>
    </row>
    <row r="331" spans="1:22" x14ac:dyDescent="0.25">
      <c r="A331" s="26">
        <v>76.25</v>
      </c>
      <c r="B331">
        <v>76.12</v>
      </c>
      <c r="C331">
        <v>2.0499999999999998</v>
      </c>
      <c r="D331" s="2">
        <v>44944</v>
      </c>
      <c r="E331">
        <v>76.3</v>
      </c>
      <c r="F331">
        <v>-0.05</v>
      </c>
      <c r="G331">
        <v>-0.17999999999999261</v>
      </c>
      <c r="H331" s="5">
        <f t="shared" si="82"/>
        <v>-6.5530799475753616E-4</v>
      </c>
      <c r="I331" s="3">
        <f t="shared" si="70"/>
        <v>0.14627750202546635</v>
      </c>
      <c r="J331" s="5">
        <f t="shared" si="83"/>
        <v>-2.3591087811270328E-3</v>
      </c>
      <c r="K331" s="3">
        <f t="shared" si="71"/>
        <v>0.43963990810463816</v>
      </c>
      <c r="L331" s="3">
        <f t="shared" si="72"/>
        <v>-0.23224410338812515</v>
      </c>
      <c r="N331" s="12">
        <f t="shared" si="73"/>
        <v>-2.2871079226916007E-3</v>
      </c>
      <c r="O331" s="12">
        <f t="shared" si="74"/>
        <v>-1.696110623808782E-3</v>
      </c>
      <c r="P331" s="12">
        <f t="shared" si="75"/>
        <v>-1.9779577180509635E-3</v>
      </c>
      <c r="Q331" s="12">
        <f t="shared" si="76"/>
        <v>1.8381074907661017E-4</v>
      </c>
      <c r="R331" s="12">
        <f t="shared" si="77"/>
        <v>6.1960985659114277E-4</v>
      </c>
      <c r="S331" s="12">
        <f t="shared" si="78"/>
        <v>6.912807403619825E-4</v>
      </c>
      <c r="T331" s="12">
        <f t="shared" si="79"/>
        <v>-0.10190476190476128</v>
      </c>
      <c r="U331" s="12">
        <f t="shared" si="80"/>
        <v>-6.5119047619047077E-2</v>
      </c>
      <c r="V331" s="12">
        <f t="shared" si="81"/>
        <v>-0.29510324483775818</v>
      </c>
    </row>
    <row r="332" spans="1:22" x14ac:dyDescent="0.25">
      <c r="A332" s="26">
        <v>75.040000000000006</v>
      </c>
      <c r="B332">
        <v>74.69</v>
      </c>
      <c r="C332">
        <v>2.2599999999999998</v>
      </c>
      <c r="D332" s="2">
        <v>44943</v>
      </c>
      <c r="E332">
        <v>75.08</v>
      </c>
      <c r="F332">
        <v>-0.04</v>
      </c>
      <c r="G332">
        <v>-0.39000000000000057</v>
      </c>
      <c r="H332" s="5">
        <f t="shared" si="82"/>
        <v>-5.3276505061267989E-4</v>
      </c>
      <c r="I332" s="3">
        <f t="shared" si="70"/>
        <v>0.17385034859181844</v>
      </c>
      <c r="J332" s="5">
        <f t="shared" si="83"/>
        <v>-5.1944592434736356E-3</v>
      </c>
      <c r="K332" s="3">
        <f t="shared" si="71"/>
        <v>-0.75440645776518922</v>
      </c>
      <c r="L332" s="3">
        <f t="shared" si="72"/>
        <v>0.17473384513351944</v>
      </c>
      <c r="N332" s="12">
        <f t="shared" si="73"/>
        <v>-2.2852255114644265E-3</v>
      </c>
      <c r="O332" s="12">
        <f t="shared" si="74"/>
        <v>-1.6901909182068715E-3</v>
      </c>
      <c r="P332" s="12">
        <f t="shared" si="75"/>
        <v>-2.04291454968262E-3</v>
      </c>
      <c r="Q332" s="12">
        <f t="shared" si="76"/>
        <v>6.9725602479682111E-5</v>
      </c>
      <c r="R332" s="12">
        <f t="shared" si="77"/>
        <v>4.8716563206366217E-4</v>
      </c>
      <c r="S332" s="12">
        <f t="shared" si="78"/>
        <v>5.6687446365183761E-4</v>
      </c>
      <c r="T332" s="12">
        <f t="shared" si="79"/>
        <v>-0.10619047619047617</v>
      </c>
      <c r="U332" s="12">
        <f t="shared" si="80"/>
        <v>-7.9166666666666607E-2</v>
      </c>
      <c r="V332" s="12">
        <f t="shared" si="81"/>
        <v>-0.30268436578171132</v>
      </c>
    </row>
    <row r="333" spans="1:22" x14ac:dyDescent="0.25">
      <c r="A333" s="26">
        <v>75.05</v>
      </c>
      <c r="B333">
        <v>74.900000000000006</v>
      </c>
      <c r="C333">
        <v>1.86</v>
      </c>
      <c r="D333" s="2">
        <v>44942</v>
      </c>
      <c r="E333">
        <v>75.180000000000007</v>
      </c>
      <c r="F333">
        <v>-0.13</v>
      </c>
      <c r="G333">
        <v>-0.28000000000000114</v>
      </c>
      <c r="H333" s="5">
        <f t="shared" si="82"/>
        <v>-1.7291832934291033E-3</v>
      </c>
      <c r="I333" s="3">
        <f t="shared" si="70"/>
        <v>-7.0224024439918029E-2</v>
      </c>
      <c r="J333" s="5">
        <f t="shared" si="83"/>
        <v>-3.7243947858473145E-3</v>
      </c>
      <c r="K333" s="3">
        <f t="shared" si="71"/>
        <v>-0.14126504516797619</v>
      </c>
      <c r="L333" s="3">
        <f t="shared" si="72"/>
        <v>-0.57775425509871126</v>
      </c>
      <c r="N333" s="12">
        <f t="shared" si="73"/>
        <v>-2.0315820755434162E-3</v>
      </c>
      <c r="O333" s="12">
        <f t="shared" si="74"/>
        <v>-1.166133981355721E-3</v>
      </c>
      <c r="P333" s="12">
        <f t="shared" si="75"/>
        <v>-1.693460498679791E-3</v>
      </c>
      <c r="Q333" s="12">
        <f t="shared" si="76"/>
        <v>3.1410398786714186E-4</v>
      </c>
      <c r="R333" s="12">
        <f t="shared" si="77"/>
        <v>7.8659784852548164E-4</v>
      </c>
      <c r="S333" s="12">
        <f t="shared" si="78"/>
        <v>7.9196065592165377E-4</v>
      </c>
      <c r="T333" s="12">
        <f t="shared" si="79"/>
        <v>-9.9999999999999645E-2</v>
      </c>
      <c r="U333" s="12">
        <f t="shared" si="80"/>
        <v>-8.1369047619047397E-2</v>
      </c>
      <c r="V333" s="12">
        <f t="shared" si="81"/>
        <v>-0.30141171512852871</v>
      </c>
    </row>
    <row r="334" spans="1:22" x14ac:dyDescent="0.25">
      <c r="A334" s="26">
        <v>76.42</v>
      </c>
      <c r="B334">
        <v>76.2</v>
      </c>
      <c r="C334">
        <v>2.11</v>
      </c>
      <c r="D334" s="2">
        <v>44939</v>
      </c>
      <c r="E334">
        <v>76.680000000000007</v>
      </c>
      <c r="F334">
        <v>-0.26</v>
      </c>
      <c r="G334">
        <v>-0.48000000000000398</v>
      </c>
      <c r="H334" s="5">
        <f t="shared" si="82"/>
        <v>-3.3907146583202919E-3</v>
      </c>
      <c r="I334" s="3">
        <f t="shared" si="70"/>
        <v>-0.40400939986283402</v>
      </c>
      <c r="J334" s="5">
        <f t="shared" si="83"/>
        <v>-6.2597809076682829E-3</v>
      </c>
      <c r="K334" s="3">
        <f t="shared" si="71"/>
        <v>-1.212464956311142</v>
      </c>
      <c r="L334" s="3">
        <f t="shared" si="72"/>
        <v>-9.8494854195539092E-2</v>
      </c>
      <c r="N334" s="12">
        <f t="shared" si="73"/>
        <v>-1.6494506662976458E-3</v>
      </c>
      <c r="O334" s="12">
        <f t="shared" si="74"/>
        <v>-6.0949811202432687E-4</v>
      </c>
      <c r="P334" s="12">
        <f t="shared" si="75"/>
        <v>-1.2720567026924207E-3</v>
      </c>
      <c r="Q334" s="12">
        <f t="shared" si="76"/>
        <v>8.3329532630583691E-4</v>
      </c>
      <c r="R334" s="12">
        <f t="shared" si="77"/>
        <v>1.28230002928257E-3</v>
      </c>
      <c r="S334" s="12">
        <f t="shared" si="78"/>
        <v>1.1771414512121532E-3</v>
      </c>
      <c r="T334" s="12">
        <f t="shared" si="79"/>
        <v>-8.3809523809523334E-2</v>
      </c>
      <c r="U334" s="12">
        <f t="shared" si="80"/>
        <v>-6.2202380952380398E-2</v>
      </c>
      <c r="V334" s="12">
        <f t="shared" si="81"/>
        <v>-0.27164770332911914</v>
      </c>
    </row>
    <row r="335" spans="1:22" x14ac:dyDescent="0.25">
      <c r="A335" s="26">
        <v>76.8</v>
      </c>
      <c r="B335">
        <v>76.7</v>
      </c>
      <c r="C335">
        <v>2.2000000000000002</v>
      </c>
      <c r="D335" s="2">
        <v>44938</v>
      </c>
      <c r="E335">
        <v>76.78</v>
      </c>
      <c r="F335">
        <v>0.02</v>
      </c>
      <c r="G335">
        <v>-7.9999999999998295E-2</v>
      </c>
      <c r="H335" s="5">
        <f t="shared" si="82"/>
        <v>2.6048450117218026E-4</v>
      </c>
      <c r="I335" s="3">
        <f t="shared" si="70"/>
        <v>0.3311384135415199</v>
      </c>
      <c r="J335" s="5">
        <f t="shared" si="83"/>
        <v>-1.0419380046886987E-3</v>
      </c>
      <c r="K335" s="3">
        <f t="shared" si="71"/>
        <v>0.97406104040563568</v>
      </c>
      <c r="L335" s="3">
        <f t="shared" si="72"/>
        <v>7.8219867278825808E-2</v>
      </c>
      <c r="N335" s="12">
        <f t="shared" si="73"/>
        <v>-1.5231730036466093E-3</v>
      </c>
      <c r="O335" s="12">
        <f t="shared" si="74"/>
        <v>-3.6528650264456165E-4</v>
      </c>
      <c r="P335" s="12">
        <f t="shared" si="75"/>
        <v>-9.4064516767427479E-4</v>
      </c>
      <c r="Q335" s="12">
        <f t="shared" si="76"/>
        <v>1.075630086322154E-3</v>
      </c>
      <c r="R335" s="12">
        <f t="shared" si="77"/>
        <v>1.5533331623615605E-3</v>
      </c>
      <c r="S335" s="12">
        <f t="shared" si="78"/>
        <v>1.4085230460669875E-3</v>
      </c>
      <c r="T335" s="12">
        <f t="shared" si="79"/>
        <v>-9.7619047619047272E-2</v>
      </c>
      <c r="U335" s="12">
        <f t="shared" si="80"/>
        <v>-5.7916666666666394E-2</v>
      </c>
      <c r="V335" s="12">
        <f t="shared" si="81"/>
        <v>-0.27154656552886669</v>
      </c>
    </row>
    <row r="336" spans="1:22" x14ac:dyDescent="0.25">
      <c r="A336" s="26">
        <v>78.61</v>
      </c>
      <c r="B336">
        <v>78.78</v>
      </c>
      <c r="C336">
        <v>1.97</v>
      </c>
      <c r="D336" s="2">
        <v>44936</v>
      </c>
      <c r="E336">
        <v>79.09</v>
      </c>
      <c r="F336">
        <v>-0.48</v>
      </c>
      <c r="G336">
        <v>-0.31000000000000227</v>
      </c>
      <c r="H336" s="5">
        <f t="shared" si="82"/>
        <v>-6.0690352762675431E-3</v>
      </c>
      <c r="I336" s="3">
        <f t="shared" si="70"/>
        <v>-0.93848269854819455</v>
      </c>
      <c r="J336" s="5">
        <f t="shared" si="83"/>
        <v>-3.9195852825894837E-3</v>
      </c>
      <c r="K336" s="3">
        <f t="shared" si="71"/>
        <v>-0.14136474612910374</v>
      </c>
      <c r="L336" s="3">
        <f t="shared" si="72"/>
        <v>-0.34376496661029604</v>
      </c>
      <c r="N336" s="12">
        <f t="shared" si="73"/>
        <v>-2.3058787245905715E-3</v>
      </c>
      <c r="O336" s="12">
        <f t="shared" si="74"/>
        <v>-9.1998842996890971E-4</v>
      </c>
      <c r="P336" s="12">
        <f t="shared" si="75"/>
        <v>-1.2429899293217958E-3</v>
      </c>
      <c r="Q336" s="12">
        <f t="shared" si="76"/>
        <v>5.3168640422674145E-4</v>
      </c>
      <c r="R336" s="12">
        <f t="shared" si="77"/>
        <v>1.1233825724555799E-3</v>
      </c>
      <c r="S336" s="12">
        <f t="shared" si="78"/>
        <v>1.0086056587853228E-3</v>
      </c>
      <c r="T336" s="12">
        <f t="shared" si="79"/>
        <v>-0.12238095238095248</v>
      </c>
      <c r="U336" s="12">
        <f t="shared" si="80"/>
        <v>-7.7857142857142847E-2</v>
      </c>
      <c r="V336" s="12">
        <f t="shared" si="81"/>
        <v>-0.27839443742098657</v>
      </c>
    </row>
    <row r="337" spans="1:22" x14ac:dyDescent="0.25">
      <c r="A337" s="26">
        <v>75.27</v>
      </c>
      <c r="B337">
        <v>75.25</v>
      </c>
      <c r="C337">
        <v>2.29</v>
      </c>
      <c r="D337" s="2">
        <v>44935</v>
      </c>
      <c r="E337">
        <v>75.150000000000006</v>
      </c>
      <c r="F337">
        <v>0.12</v>
      </c>
      <c r="G337">
        <v>9.9999999999994316E-2</v>
      </c>
      <c r="H337" s="5">
        <f t="shared" si="82"/>
        <v>1.5968063872255488E-3</v>
      </c>
      <c r="I337" s="3">
        <f t="shared" si="70"/>
        <v>0.60415813615787561</v>
      </c>
      <c r="J337" s="5">
        <f t="shared" si="83"/>
        <v>1.3306719893545484E-3</v>
      </c>
      <c r="K337" s="3">
        <f t="shared" si="71"/>
        <v>0.58849324296689431</v>
      </c>
      <c r="L337" s="3">
        <f t="shared" si="72"/>
        <v>0.25624202249195277</v>
      </c>
      <c r="N337" s="12">
        <f t="shared" si="73"/>
        <v>-1.9990333310309725E-3</v>
      </c>
      <c r="O337" s="12">
        <f t="shared" si="74"/>
        <v>-7.243103578801213E-4</v>
      </c>
      <c r="P337" s="12">
        <f t="shared" si="75"/>
        <v>-1.0752198371871903E-3</v>
      </c>
      <c r="Q337" s="12">
        <f t="shared" si="76"/>
        <v>6.8618703418303357E-4</v>
      </c>
      <c r="R337" s="12">
        <f t="shared" si="77"/>
        <v>1.1840883446821971E-3</v>
      </c>
      <c r="S337" s="12">
        <f t="shared" si="78"/>
        <v>1.068673824650276E-3</v>
      </c>
      <c r="T337" s="12">
        <f t="shared" si="79"/>
        <v>-8.6190476190476151E-2</v>
      </c>
      <c r="U337" s="12">
        <f t="shared" si="80"/>
        <v>-5.6607142857143078E-2</v>
      </c>
      <c r="V337" s="12">
        <f t="shared" si="81"/>
        <v>-0.25232616940581654</v>
      </c>
    </row>
    <row r="338" spans="1:22" x14ac:dyDescent="0.25">
      <c r="A338" s="26">
        <v>84.1</v>
      </c>
      <c r="B338">
        <v>85.24</v>
      </c>
      <c r="C338">
        <v>1.26</v>
      </c>
      <c r="D338" s="2">
        <v>44914</v>
      </c>
      <c r="E338">
        <v>85.23</v>
      </c>
      <c r="F338">
        <v>-1.1299999999999999</v>
      </c>
      <c r="G338">
        <v>9.9999999999909051E-3</v>
      </c>
      <c r="H338" s="5">
        <f t="shared" si="82"/>
        <v>-1.3258242402909771E-2</v>
      </c>
      <c r="I338" s="3">
        <f t="shared" si="70"/>
        <v>-2.3765769855278576</v>
      </c>
      <c r="J338" s="5">
        <f t="shared" si="83"/>
        <v>1.1732957878670544E-4</v>
      </c>
      <c r="K338" s="3">
        <f t="shared" si="71"/>
        <v>0.42366239568286251</v>
      </c>
      <c r="L338" s="3">
        <f t="shared" si="72"/>
        <v>-1.6279369023749131</v>
      </c>
      <c r="N338" s="12">
        <f t="shared" si="73"/>
        <v>-2.7445969313655513E-3</v>
      </c>
      <c r="O338" s="12">
        <f t="shared" si="74"/>
        <v>-1.2904852718315133E-3</v>
      </c>
      <c r="P338" s="12">
        <f t="shared" si="75"/>
        <v>-1.550697647600867E-3</v>
      </c>
      <c r="Q338" s="12">
        <f t="shared" si="76"/>
        <v>5.1843479713942599E-4</v>
      </c>
      <c r="R338" s="12">
        <f t="shared" si="77"/>
        <v>1.0641222838267263E-3</v>
      </c>
      <c r="S338" s="12">
        <f t="shared" si="78"/>
        <v>9.4113743306700011E-4</v>
      </c>
      <c r="T338" s="12">
        <f t="shared" si="79"/>
        <v>-0.19238095238095232</v>
      </c>
      <c r="U338" s="12">
        <f t="shared" si="80"/>
        <v>-0.11511904761904779</v>
      </c>
      <c r="V338" s="12">
        <f t="shared" si="81"/>
        <v>-0.28839022334597608</v>
      </c>
    </row>
    <row r="339" spans="1:22" x14ac:dyDescent="0.25">
      <c r="A339" s="26">
        <v>83.41</v>
      </c>
      <c r="B339">
        <v>83.7</v>
      </c>
      <c r="C339">
        <v>2.31</v>
      </c>
      <c r="D339" s="2">
        <v>44911</v>
      </c>
      <c r="E339">
        <v>84.14</v>
      </c>
      <c r="F339">
        <v>-0.73</v>
      </c>
      <c r="G339">
        <v>-0.43999999999999773</v>
      </c>
      <c r="H339" s="5">
        <f t="shared" si="82"/>
        <v>-8.6760161635369617E-3</v>
      </c>
      <c r="I339" s="3">
        <f t="shared" si="70"/>
        <v>-1.4744828738322389</v>
      </c>
      <c r="J339" s="5">
        <f t="shared" si="83"/>
        <v>-5.2293796054195115E-3</v>
      </c>
      <c r="K339" s="3">
        <f t="shared" si="71"/>
        <v>-0.31921816831991023</v>
      </c>
      <c r="L339" s="3">
        <f t="shared" si="72"/>
        <v>0.3010014117359876</v>
      </c>
      <c r="N339" s="12">
        <f t="shared" si="73"/>
        <v>-2.8644491718461222E-3</v>
      </c>
      <c r="O339" s="12">
        <f t="shared" si="74"/>
        <v>-1.2699652865191633E-3</v>
      </c>
      <c r="P339" s="12">
        <f t="shared" si="75"/>
        <v>-1.3039996077507676E-3</v>
      </c>
      <c r="Q339" s="12">
        <f t="shared" si="76"/>
        <v>1.5875713654195942E-4</v>
      </c>
      <c r="R339" s="12">
        <f t="shared" si="77"/>
        <v>8.3910894132583486E-4</v>
      </c>
      <c r="S339" s="12">
        <f t="shared" si="78"/>
        <v>6.9702130868980628E-4</v>
      </c>
      <c r="T339" s="12">
        <f t="shared" si="79"/>
        <v>-0.20142857142857196</v>
      </c>
      <c r="U339" s="12">
        <f t="shared" si="80"/>
        <v>-0.11345238095238219</v>
      </c>
      <c r="V339" s="12">
        <f t="shared" si="81"/>
        <v>-0.27078803202697133</v>
      </c>
    </row>
    <row r="340" spans="1:22" x14ac:dyDescent="0.25">
      <c r="A340" s="26">
        <v>86.16</v>
      </c>
      <c r="B340">
        <v>86.15</v>
      </c>
      <c r="C340">
        <v>1.74</v>
      </c>
      <c r="D340" s="2">
        <v>44910</v>
      </c>
      <c r="E340">
        <v>86.35</v>
      </c>
      <c r="F340">
        <v>-0.19</v>
      </c>
      <c r="G340">
        <v>-0.19999999999998863</v>
      </c>
      <c r="H340" s="5">
        <f t="shared" si="82"/>
        <v>-2.2003474232773598E-3</v>
      </c>
      <c r="I340" s="3">
        <f t="shared" si="70"/>
        <v>-0.16902187960514456</v>
      </c>
      <c r="J340" s="5">
        <f t="shared" si="83"/>
        <v>-2.316155182397089E-3</v>
      </c>
      <c r="K340" s="3">
        <f t="shared" si="71"/>
        <v>8.4119767865387524E-2</v>
      </c>
      <c r="L340" s="3">
        <f t="shared" si="72"/>
        <v>-0.73555526034288488</v>
      </c>
      <c r="N340" s="12">
        <f t="shared" si="73"/>
        <v>-2.43133974610144E-3</v>
      </c>
      <c r="O340" s="12">
        <f t="shared" si="74"/>
        <v>-8.2909606436787678E-4</v>
      </c>
      <c r="P340" s="12">
        <f t="shared" si="75"/>
        <v>-8.4755896162002037E-4</v>
      </c>
      <c r="Q340" s="12">
        <f t="shared" si="76"/>
        <v>2.1667123077311924E-4</v>
      </c>
      <c r="R340" s="12">
        <f t="shared" si="77"/>
        <v>1.0547367899608837E-3</v>
      </c>
      <c r="S340" s="12">
        <f t="shared" si="78"/>
        <v>8.3545221236705968E-4</v>
      </c>
      <c r="T340" s="12">
        <f t="shared" si="79"/>
        <v>-0.24238095238095259</v>
      </c>
      <c r="U340" s="12">
        <f t="shared" si="80"/>
        <v>-0.15815476190476296</v>
      </c>
      <c r="V340" s="12">
        <f t="shared" si="81"/>
        <v>-0.29072903497682345</v>
      </c>
    </row>
    <row r="341" spans="1:22" x14ac:dyDescent="0.25">
      <c r="A341" s="26">
        <v>89.01</v>
      </c>
      <c r="B341">
        <v>89.02</v>
      </c>
      <c r="C341">
        <v>1.99</v>
      </c>
      <c r="D341" s="2">
        <v>44908</v>
      </c>
      <c r="E341">
        <v>89.38</v>
      </c>
      <c r="F341">
        <v>-0.37</v>
      </c>
      <c r="G341">
        <v>-0.35999999999999943</v>
      </c>
      <c r="H341" s="5">
        <f t="shared" si="82"/>
        <v>-4.139628552248825E-3</v>
      </c>
      <c r="I341" s="3">
        <f t="shared" si="70"/>
        <v>-0.56341267815594742</v>
      </c>
      <c r="J341" s="5">
        <f t="shared" si="83"/>
        <v>-4.0277466994853373E-3</v>
      </c>
      <c r="K341" s="3">
        <f t="shared" si="71"/>
        <v>-0.1536752956318469</v>
      </c>
      <c r="L341" s="3">
        <f t="shared" si="72"/>
        <v>-0.27315359794711791</v>
      </c>
      <c r="N341" s="12">
        <f t="shared" si="73"/>
        <v>-3.0493614738768817E-3</v>
      </c>
      <c r="O341" s="12">
        <f t="shared" si="74"/>
        <v>-8.9698468322959549E-4</v>
      </c>
      <c r="P341" s="12">
        <f t="shared" si="75"/>
        <v>-9.1708165063644526E-4</v>
      </c>
      <c r="Q341" s="12">
        <f t="shared" si="76"/>
        <v>-7.9197466405009267E-5</v>
      </c>
      <c r="R341" s="12">
        <f t="shared" si="77"/>
        <v>9.6246329049668681E-4</v>
      </c>
      <c r="S341" s="12">
        <f t="shared" si="78"/>
        <v>7.0345683719603242E-4</v>
      </c>
      <c r="T341" s="12">
        <f t="shared" si="79"/>
        <v>-0.20047619047619047</v>
      </c>
      <c r="U341" s="12">
        <f t="shared" si="80"/>
        <v>-0.1381547619047625</v>
      </c>
      <c r="V341" s="12">
        <f t="shared" si="81"/>
        <v>-0.26155077960387718</v>
      </c>
    </row>
    <row r="342" spans="1:22" x14ac:dyDescent="0.25">
      <c r="A342" s="26">
        <v>88.35</v>
      </c>
      <c r="B342">
        <v>87.99</v>
      </c>
      <c r="C342">
        <v>2.2000000000000002</v>
      </c>
      <c r="D342" s="2">
        <v>44907</v>
      </c>
      <c r="E342">
        <v>88.188999999999993</v>
      </c>
      <c r="F342">
        <v>0.161</v>
      </c>
      <c r="G342">
        <v>-0.19899999999999807</v>
      </c>
      <c r="H342" s="5">
        <f t="shared" si="82"/>
        <v>1.8256245109934347E-3</v>
      </c>
      <c r="I342" s="3">
        <f t="shared" si="70"/>
        <v>0.65340244153959792</v>
      </c>
      <c r="J342" s="5">
        <f t="shared" si="83"/>
        <v>-2.2565172527185713E-3</v>
      </c>
      <c r="K342" s="3">
        <f t="shared" si="71"/>
        <v>9.246755379639375E-2</v>
      </c>
      <c r="L342" s="3">
        <f t="shared" si="72"/>
        <v>0.11382711436292987</v>
      </c>
      <c r="N342" s="12">
        <f t="shared" si="73"/>
        <v>-2.5173612009868071E-3</v>
      </c>
      <c r="O342" s="12">
        <f t="shared" si="74"/>
        <v>-3.7845812309789855E-4</v>
      </c>
      <c r="P342" s="12">
        <f t="shared" si="75"/>
        <v>-4.8545367848949164E-4</v>
      </c>
      <c r="Q342" s="12">
        <f t="shared" si="76"/>
        <v>-4.2539990354554299E-4</v>
      </c>
      <c r="R342" s="12">
        <f t="shared" si="77"/>
        <v>7.2522786308148145E-4</v>
      </c>
      <c r="S342" s="12">
        <f t="shared" si="78"/>
        <v>4.5095291791241894E-4</v>
      </c>
      <c r="T342" s="12">
        <f t="shared" si="79"/>
        <v>-0.17476190476190512</v>
      </c>
      <c r="U342" s="12">
        <f t="shared" si="80"/>
        <v>-0.14214285714285735</v>
      </c>
      <c r="V342" s="12">
        <f t="shared" si="81"/>
        <v>-0.25115044247787655</v>
      </c>
    </row>
    <row r="343" spans="1:22" x14ac:dyDescent="0.25">
      <c r="A343" s="26">
        <v>88.26</v>
      </c>
      <c r="B343">
        <v>88.21</v>
      </c>
      <c r="C343">
        <v>2.2999999999999998</v>
      </c>
      <c r="D343" s="2">
        <v>44904</v>
      </c>
      <c r="E343">
        <v>88.57</v>
      </c>
      <c r="F343">
        <v>-0.31</v>
      </c>
      <c r="G343">
        <v>-0.35999999999999943</v>
      </c>
      <c r="H343" s="5">
        <f t="shared" si="82"/>
        <v>-3.5000564525234281E-3</v>
      </c>
      <c r="I343" s="3">
        <f t="shared" si="70"/>
        <v>-0.42505090342622431</v>
      </c>
      <c r="J343" s="5">
        <f t="shared" si="83"/>
        <v>-4.0645816868013938E-3</v>
      </c>
      <c r="K343" s="3">
        <f t="shared" si="71"/>
        <v>-0.15711805395881256</v>
      </c>
      <c r="L343" s="3">
        <f t="shared" si="72"/>
        <v>0.30074066245565584</v>
      </c>
      <c r="N343" s="12">
        <f t="shared" si="73"/>
        <v>-2.7310146724800885E-3</v>
      </c>
      <c r="O343" s="12">
        <f t="shared" si="74"/>
        <v>-6.9725572697139923E-4</v>
      </c>
      <c r="P343" s="12">
        <f t="shared" si="75"/>
        <v>-7.3839735292720136E-4</v>
      </c>
      <c r="Q343" s="12">
        <f t="shared" si="76"/>
        <v>-4.3061253710186508E-4</v>
      </c>
      <c r="R343" s="12">
        <f t="shared" si="77"/>
        <v>6.9871458340992282E-4</v>
      </c>
      <c r="S343" s="12">
        <f t="shared" si="78"/>
        <v>3.9239694650860689E-4</v>
      </c>
      <c r="T343" s="12">
        <f t="shared" si="79"/>
        <v>-0.21857142857142886</v>
      </c>
      <c r="U343" s="12">
        <f t="shared" si="80"/>
        <v>-0.18833333333333391</v>
      </c>
      <c r="V343" s="12">
        <f t="shared" si="81"/>
        <v>-0.28247366203118451</v>
      </c>
    </row>
    <row r="344" spans="1:22" x14ac:dyDescent="0.25">
      <c r="A344" s="26">
        <v>87.91</v>
      </c>
      <c r="B344">
        <v>87.51</v>
      </c>
      <c r="C344">
        <v>1.95</v>
      </c>
      <c r="D344" s="2">
        <v>44903</v>
      </c>
      <c r="E344">
        <v>87.71</v>
      </c>
      <c r="F344">
        <v>0.2</v>
      </c>
      <c r="G344">
        <v>-0.19999999999998863</v>
      </c>
      <c r="H344" s="5">
        <f t="shared" si="82"/>
        <v>2.2802417056207963E-3</v>
      </c>
      <c r="I344" s="3">
        <f t="shared" si="70"/>
        <v>0.75046626022671592</v>
      </c>
      <c r="J344" s="5">
        <f t="shared" si="83"/>
        <v>-2.2802417056206662E-3</v>
      </c>
      <c r="K344" s="3">
        <f t="shared" si="71"/>
        <v>9.0517799663388285E-2</v>
      </c>
      <c r="L344" s="3">
        <f t="shared" si="72"/>
        <v>-0.32504902700572075</v>
      </c>
      <c r="N344" s="12">
        <f t="shared" si="73"/>
        <v>-2.9666876799412148E-3</v>
      </c>
      <c r="O344" s="12">
        <f t="shared" si="74"/>
        <v>-8.3850414143181559E-4</v>
      </c>
      <c r="P344" s="12">
        <f t="shared" si="75"/>
        <v>-7.5397686948765717E-4</v>
      </c>
      <c r="Q344" s="12">
        <f t="shared" si="76"/>
        <v>-3.4297182750651651E-4</v>
      </c>
      <c r="R344" s="12">
        <f t="shared" si="77"/>
        <v>7.7284863145714615E-4</v>
      </c>
      <c r="S344" s="12">
        <f t="shared" si="78"/>
        <v>4.7237785758228639E-4</v>
      </c>
      <c r="T344" s="12">
        <f t="shared" si="79"/>
        <v>-0.26761904761904765</v>
      </c>
      <c r="U344" s="12">
        <f t="shared" si="80"/>
        <v>-0.22845238095238063</v>
      </c>
      <c r="V344" s="12">
        <f t="shared" si="81"/>
        <v>-0.3010535187526342</v>
      </c>
    </row>
    <row r="345" spans="1:22" x14ac:dyDescent="0.25">
      <c r="A345" s="26">
        <v>87</v>
      </c>
      <c r="B345">
        <v>87.98</v>
      </c>
      <c r="C345">
        <v>1.19</v>
      </c>
      <c r="D345" s="2">
        <v>44902</v>
      </c>
      <c r="E345">
        <v>88.33</v>
      </c>
      <c r="F345">
        <v>-1.33</v>
      </c>
      <c r="G345">
        <v>-0.34999999999999432</v>
      </c>
      <c r="H345" s="5">
        <f t="shared" si="82"/>
        <v>-1.5057171968753539E-2</v>
      </c>
      <c r="I345" s="3">
        <f t="shared" si="70"/>
        <v>-2.7831063816587251</v>
      </c>
      <c r="J345" s="5">
        <f t="shared" si="83"/>
        <v>-3.9624136759877091E-3</v>
      </c>
      <c r="K345" s="3">
        <f t="shared" si="71"/>
        <v>-0.14390782952846864</v>
      </c>
      <c r="L345" s="3">
        <f t="shared" si="72"/>
        <v>-1.6929689941606956</v>
      </c>
      <c r="N345" s="12">
        <f t="shared" si="73"/>
        <v>-2.6596823370957931E-3</v>
      </c>
      <c r="O345" s="12">
        <f t="shared" si="74"/>
        <v>-7.7219456307204551E-4</v>
      </c>
      <c r="P345" s="12">
        <f t="shared" si="75"/>
        <v>-6.7104887682985811E-4</v>
      </c>
      <c r="Q345" s="12">
        <f t="shared" si="76"/>
        <v>-2.6724669230327553E-4</v>
      </c>
      <c r="R345" s="12">
        <f t="shared" si="77"/>
        <v>7.1636411952657499E-4</v>
      </c>
      <c r="S345" s="12">
        <f t="shared" si="78"/>
        <v>4.1321163282483867E-4</v>
      </c>
      <c r="T345" s="12">
        <f t="shared" si="79"/>
        <v>-0.19047619047619024</v>
      </c>
      <c r="U345" s="12">
        <f t="shared" si="80"/>
        <v>-0.21845238095238084</v>
      </c>
      <c r="V345" s="12">
        <f t="shared" si="81"/>
        <v>-0.27595870206489703</v>
      </c>
    </row>
    <row r="346" spans="1:22" x14ac:dyDescent="0.25">
      <c r="A346" s="26">
        <v>86.48</v>
      </c>
      <c r="B346">
        <v>86.34</v>
      </c>
      <c r="C346">
        <v>2.2200000000000002</v>
      </c>
      <c r="D346" s="2">
        <v>44901</v>
      </c>
      <c r="E346">
        <v>86.49</v>
      </c>
      <c r="F346">
        <v>-0.01</v>
      </c>
      <c r="G346">
        <v>-0.14999999999999147</v>
      </c>
      <c r="H346" s="5">
        <f t="shared" si="82"/>
        <v>-1.1562030292519367E-4</v>
      </c>
      <c r="I346" s="3">
        <f t="shared" si="70"/>
        <v>0.24560868438677486</v>
      </c>
      <c r="J346" s="5">
        <f t="shared" si="83"/>
        <v>-1.7343045438778064E-3</v>
      </c>
      <c r="K346" s="3">
        <f t="shared" si="71"/>
        <v>0.16417758350144396</v>
      </c>
      <c r="L346" s="3">
        <f t="shared" si="72"/>
        <v>0.15798063365796094</v>
      </c>
      <c r="N346" s="12">
        <f t="shared" si="73"/>
        <v>-1.0479687077196206E-3</v>
      </c>
      <c r="O346" s="12">
        <f t="shared" si="74"/>
        <v>2.7904460202250541E-4</v>
      </c>
      <c r="P346" s="12">
        <f t="shared" si="75"/>
        <v>3.8310488146565567E-4</v>
      </c>
      <c r="Q346" s="12">
        <f t="shared" si="76"/>
        <v>-2.8496679996395076E-4</v>
      </c>
      <c r="R346" s="12">
        <f t="shared" si="77"/>
        <v>7.1822934546411296E-4</v>
      </c>
      <c r="S346" s="12">
        <f t="shared" si="78"/>
        <v>4.2716675652839384E-4</v>
      </c>
      <c r="T346" s="12">
        <f t="shared" si="79"/>
        <v>-0.1085714285714281</v>
      </c>
      <c r="U346" s="12">
        <f t="shared" si="80"/>
        <v>-0.18529761904761877</v>
      </c>
      <c r="V346" s="12">
        <f t="shared" si="81"/>
        <v>-0.2202233459755587</v>
      </c>
    </row>
    <row r="347" spans="1:22" x14ac:dyDescent="0.25">
      <c r="A347" s="26">
        <v>85.69</v>
      </c>
      <c r="B347">
        <v>85.56</v>
      </c>
      <c r="C347">
        <v>2.1</v>
      </c>
      <c r="D347" s="2">
        <v>44900</v>
      </c>
      <c r="E347">
        <v>85.87</v>
      </c>
      <c r="F347">
        <v>-0.18</v>
      </c>
      <c r="G347">
        <v>-0.31000000000000227</v>
      </c>
      <c r="H347" s="5">
        <f t="shared" si="82"/>
        <v>-2.0961919180156048E-3</v>
      </c>
      <c r="I347" s="3">
        <f t="shared" si="70"/>
        <v>-0.16322182174633693</v>
      </c>
      <c r="J347" s="5">
        <f t="shared" si="83"/>
        <v>-3.6101083032491236E-3</v>
      </c>
      <c r="K347" s="3">
        <f t="shared" si="71"/>
        <v>-9.6602406387329989E-2</v>
      </c>
      <c r="L347" s="3">
        <f t="shared" si="72"/>
        <v>-5.330453116553862E-2</v>
      </c>
      <c r="N347" s="12">
        <f t="shared" si="73"/>
        <v>-1.9632475317791728E-4</v>
      </c>
      <c r="O347" s="12">
        <f t="shared" si="74"/>
        <v>6.3445217833092856E-4</v>
      </c>
      <c r="P347" s="12">
        <f t="shared" si="75"/>
        <v>6.4694067208444055E-4</v>
      </c>
      <c r="Q347" s="12">
        <f t="shared" si="76"/>
        <v>-3.1202095758095039E-4</v>
      </c>
      <c r="R347" s="12">
        <f t="shared" si="77"/>
        <v>7.2050644005575018E-4</v>
      </c>
      <c r="S347" s="12">
        <f t="shared" si="78"/>
        <v>4.1973576507561101E-4</v>
      </c>
      <c r="T347" s="12">
        <f t="shared" si="79"/>
        <v>-0.124285714285715</v>
      </c>
      <c r="U347" s="12">
        <f t="shared" si="80"/>
        <v>-0.24023809523809536</v>
      </c>
      <c r="V347" s="12">
        <f t="shared" si="81"/>
        <v>-0.25230509903076381</v>
      </c>
    </row>
    <row r="348" spans="1:22" x14ac:dyDescent="0.25">
      <c r="A348" s="26">
        <v>85.21</v>
      </c>
      <c r="B348">
        <v>85.21</v>
      </c>
      <c r="C348">
        <v>2.27</v>
      </c>
      <c r="D348" s="2">
        <v>44897</v>
      </c>
      <c r="E348">
        <v>85.56</v>
      </c>
      <c r="F348">
        <v>-0.35</v>
      </c>
      <c r="G348">
        <v>-0.35000000000000853</v>
      </c>
      <c r="H348" s="5">
        <f t="shared" si="82"/>
        <v>-4.0906965871902751E-3</v>
      </c>
      <c r="I348" s="3">
        <f t="shared" si="70"/>
        <v>-0.57586538991685299</v>
      </c>
      <c r="J348" s="5">
        <f t="shared" si="83"/>
        <v>-4.0906965871903758E-3</v>
      </c>
      <c r="K348" s="3">
        <f t="shared" si="71"/>
        <v>-0.16346125235661452</v>
      </c>
      <c r="L348" s="3">
        <f t="shared" si="72"/>
        <v>0.25725075777542955</v>
      </c>
      <c r="N348" s="12">
        <f t="shared" si="73"/>
        <v>-5.9074444233004849E-4</v>
      </c>
      <c r="O348" s="12">
        <f t="shared" si="74"/>
        <v>5.7204153147429688E-4</v>
      </c>
      <c r="P348" s="12">
        <f t="shared" si="75"/>
        <v>5.6653746570966494E-4</v>
      </c>
      <c r="Q348" s="12">
        <f t="shared" si="76"/>
        <v>-1.7981231717428825E-4</v>
      </c>
      <c r="R348" s="12">
        <f t="shared" si="77"/>
        <v>8.7583655062869852E-4</v>
      </c>
      <c r="S348" s="12">
        <f t="shared" si="78"/>
        <v>5.1096789998534252E-4</v>
      </c>
      <c r="T348" s="12">
        <f t="shared" si="79"/>
        <v>-0.14000000000000012</v>
      </c>
      <c r="U348" s="12">
        <f t="shared" si="80"/>
        <v>-0.27005952380952403</v>
      </c>
      <c r="V348" s="12">
        <f t="shared" si="81"/>
        <v>-0.27661609776654084</v>
      </c>
    </row>
    <row r="349" spans="1:22" x14ac:dyDescent="0.25">
      <c r="A349" s="26">
        <v>86.11</v>
      </c>
      <c r="B349">
        <v>86.25</v>
      </c>
      <c r="C349">
        <v>2.0299999999999998</v>
      </c>
      <c r="D349" s="2">
        <v>44896</v>
      </c>
      <c r="E349">
        <v>86.52</v>
      </c>
      <c r="F349">
        <v>-0.41</v>
      </c>
      <c r="G349">
        <v>-0.26999999999999602</v>
      </c>
      <c r="H349" s="5">
        <f t="shared" si="82"/>
        <v>-4.7387887193712439E-3</v>
      </c>
      <c r="I349" s="3">
        <f t="shared" si="70"/>
        <v>-0.7130426642370884</v>
      </c>
      <c r="J349" s="5">
        <f t="shared" si="83"/>
        <v>-3.1206657420249193E-3</v>
      </c>
      <c r="K349" s="3">
        <f t="shared" si="71"/>
        <v>-2.9956395379282033E-2</v>
      </c>
      <c r="L349" s="3">
        <f t="shared" si="72"/>
        <v>-0.16819886007502216</v>
      </c>
      <c r="N349" s="12">
        <f t="shared" si="73"/>
        <v>-2.3685054850820677E-5</v>
      </c>
      <c r="O349" s="12">
        <f t="shared" si="74"/>
        <v>8.267057492710062E-4</v>
      </c>
      <c r="P349" s="12">
        <f t="shared" si="75"/>
        <v>7.7173730428503184E-4</v>
      </c>
      <c r="Q349" s="12">
        <f t="shared" si="76"/>
        <v>1.5451862185343092E-4</v>
      </c>
      <c r="R349" s="12">
        <f t="shared" si="77"/>
        <v>1.0243278555524538E-3</v>
      </c>
      <c r="S349" s="12">
        <f t="shared" si="78"/>
        <v>6.4924243420825135E-4</v>
      </c>
      <c r="T349" s="12">
        <f t="shared" si="79"/>
        <v>-8.142857142857185E-2</v>
      </c>
      <c r="U349" s="12">
        <f t="shared" si="80"/>
        <v>-0.27125000000000066</v>
      </c>
      <c r="V349" s="12">
        <f t="shared" si="81"/>
        <v>-0.26725663716814241</v>
      </c>
    </row>
    <row r="350" spans="1:22" x14ac:dyDescent="0.25">
      <c r="A350" s="26">
        <v>78.88</v>
      </c>
      <c r="B350">
        <v>78.48</v>
      </c>
      <c r="C350">
        <v>2.2400000000000002</v>
      </c>
      <c r="D350" s="2">
        <v>44894</v>
      </c>
      <c r="E350">
        <v>78.53</v>
      </c>
      <c r="F350">
        <v>0.35</v>
      </c>
      <c r="G350">
        <v>-4.9999999999997158E-2</v>
      </c>
      <c r="H350" s="5">
        <f t="shared" si="82"/>
        <v>4.4568954539666366E-3</v>
      </c>
      <c r="I350" s="3">
        <f t="shared" si="70"/>
        <v>1.1863974188605333</v>
      </c>
      <c r="J350" s="5">
        <f t="shared" si="83"/>
        <v>-6.3669935056662619E-4</v>
      </c>
      <c r="K350" s="3">
        <f t="shared" si="71"/>
        <v>0.31478463220517278</v>
      </c>
      <c r="L350" s="3">
        <f t="shared" si="72"/>
        <v>0.21424635070655262</v>
      </c>
      <c r="N350" s="12">
        <f t="shared" si="73"/>
        <v>-4.117080431132204E-4</v>
      </c>
      <c r="O350" s="12">
        <f t="shared" si="74"/>
        <v>5.1762232093164576E-4</v>
      </c>
      <c r="P350" s="12">
        <f t="shared" si="75"/>
        <v>5.787668438196013E-4</v>
      </c>
      <c r="Q350" s="12">
        <f t="shared" si="76"/>
        <v>2.2583884428734134E-4</v>
      </c>
      <c r="R350" s="12">
        <f t="shared" si="77"/>
        <v>1.1053976222893331E-3</v>
      </c>
      <c r="S350" s="12">
        <f t="shared" si="78"/>
        <v>6.9490030135826173E-4</v>
      </c>
      <c r="T350" s="12">
        <f t="shared" si="79"/>
        <v>-4.1904761904761667E-2</v>
      </c>
      <c r="U350" s="12">
        <f t="shared" si="80"/>
        <v>-0.27607142857142852</v>
      </c>
      <c r="V350" s="12">
        <f t="shared" si="81"/>
        <v>-0.24506953223767391</v>
      </c>
    </row>
    <row r="351" spans="1:22" x14ac:dyDescent="0.25">
      <c r="A351" s="26">
        <v>77.61</v>
      </c>
      <c r="B351">
        <v>77.39</v>
      </c>
      <c r="C351">
        <v>2.02</v>
      </c>
      <c r="D351" s="2">
        <v>44893</v>
      </c>
      <c r="E351">
        <v>77.569999999999993</v>
      </c>
      <c r="F351">
        <v>0.04</v>
      </c>
      <c r="G351">
        <v>-0.17999999999999261</v>
      </c>
      <c r="H351" s="5">
        <f t="shared" si="82"/>
        <v>5.1566327188346016E-4</v>
      </c>
      <c r="I351" s="3">
        <f t="shared" si="70"/>
        <v>0.3789616663087304</v>
      </c>
      <c r="J351" s="5">
        <f t="shared" si="83"/>
        <v>-2.3204847234754755E-3</v>
      </c>
      <c r="K351" s="3">
        <f t="shared" si="71"/>
        <v>8.2888435275586592E-2</v>
      </c>
      <c r="L351" s="3">
        <f t="shared" si="72"/>
        <v>-0.17497002163039563</v>
      </c>
      <c r="N351" s="12">
        <f t="shared" si="73"/>
        <v>-4.2696399113553545E-4</v>
      </c>
      <c r="O351" s="12">
        <f t="shared" si="74"/>
        <v>6.4212000329577092E-4</v>
      </c>
      <c r="P351" s="12">
        <f t="shared" si="75"/>
        <v>7.4519760068888575E-4</v>
      </c>
      <c r="Q351" s="12">
        <f t="shared" si="76"/>
        <v>1.9635782252845841E-4</v>
      </c>
      <c r="R351" s="12">
        <f t="shared" si="77"/>
        <v>1.1068528936936501E-3</v>
      </c>
      <c r="S351" s="12">
        <f t="shared" si="78"/>
        <v>6.6568960424342712E-4</v>
      </c>
      <c r="T351" s="12">
        <f t="shared" si="79"/>
        <v>-5.0000000000000266E-2</v>
      </c>
      <c r="U351" s="12">
        <f t="shared" si="80"/>
        <v>-0.31750000000000034</v>
      </c>
      <c r="V351" s="12">
        <f t="shared" si="81"/>
        <v>-0.25793931731984809</v>
      </c>
    </row>
    <row r="352" spans="1:22" x14ac:dyDescent="0.25">
      <c r="A352" s="26">
        <v>79.36</v>
      </c>
      <c r="B352">
        <v>79.11</v>
      </c>
      <c r="C352">
        <v>1.98</v>
      </c>
      <c r="D352" s="2">
        <v>44890</v>
      </c>
      <c r="E352">
        <v>79.47</v>
      </c>
      <c r="F352">
        <v>-0.11</v>
      </c>
      <c r="G352">
        <v>-0.35999999999999943</v>
      </c>
      <c r="H352" s="5">
        <f t="shared" si="82"/>
        <v>-1.3841701270919844E-3</v>
      </c>
      <c r="I352" s="3">
        <f t="shared" si="70"/>
        <v>-1.124157120328287E-2</v>
      </c>
      <c r="J352" s="5">
        <f t="shared" si="83"/>
        <v>-4.5300113250283051E-3</v>
      </c>
      <c r="K352" s="3">
        <f t="shared" si="71"/>
        <v>-0.2250783427200527</v>
      </c>
      <c r="L352" s="3">
        <f t="shared" si="72"/>
        <v>-0.23860049714730036</v>
      </c>
      <c r="N352" s="12">
        <f t="shared" si="73"/>
        <v>-4.6544220407525923E-6</v>
      </c>
      <c r="O352" s="12">
        <f t="shared" si="74"/>
        <v>4.6579135410941249E-4</v>
      </c>
      <c r="P352" s="12">
        <f t="shared" si="75"/>
        <v>7.4075002703845988E-4</v>
      </c>
      <c r="Q352" s="12">
        <f t="shared" si="76"/>
        <v>1.9056418994140836E-4</v>
      </c>
      <c r="R352" s="12">
        <f t="shared" si="77"/>
        <v>1.0892351336597144E-3</v>
      </c>
      <c r="S352" s="12">
        <f t="shared" si="78"/>
        <v>6.4339412071728278E-4</v>
      </c>
      <c r="T352" s="12">
        <f t="shared" si="79"/>
        <v>2.1904761904761649E-2</v>
      </c>
      <c r="U352" s="12">
        <f t="shared" si="80"/>
        <v>-0.31339285714285747</v>
      </c>
      <c r="V352" s="12">
        <f t="shared" si="81"/>
        <v>-0.22744627054361555</v>
      </c>
    </row>
    <row r="353" spans="1:22" x14ac:dyDescent="0.25">
      <c r="A353" s="26">
        <v>76.64</v>
      </c>
      <c r="B353">
        <v>76.19</v>
      </c>
      <c r="C353">
        <v>2.27</v>
      </c>
      <c r="D353" s="2">
        <v>44889</v>
      </c>
      <c r="E353">
        <v>76.260000000000005</v>
      </c>
      <c r="F353">
        <v>0.38</v>
      </c>
      <c r="G353">
        <v>-7.000000000000739E-2</v>
      </c>
      <c r="H353" s="5">
        <f t="shared" si="82"/>
        <v>4.982953055337005E-3</v>
      </c>
      <c r="I353" s="3">
        <f t="shared" si="70"/>
        <v>1.3111752694954579</v>
      </c>
      <c r="J353" s="5">
        <f t="shared" si="83"/>
        <v>-9.1791240493059774E-4</v>
      </c>
      <c r="K353" s="3">
        <f t="shared" si="71"/>
        <v>0.27530357398581884</v>
      </c>
      <c r="L353" s="3">
        <f t="shared" si="72"/>
        <v>0.28174176113544214</v>
      </c>
      <c r="N353" s="12">
        <f t="shared" si="73"/>
        <v>-1.0969989576939496E-4</v>
      </c>
      <c r="O353" s="12">
        <f t="shared" si="74"/>
        <v>4.5694242572957757E-4</v>
      </c>
      <c r="P353" s="12">
        <f t="shared" si="75"/>
        <v>7.5671730420284072E-4</v>
      </c>
      <c r="Q353" s="12">
        <f t="shared" si="76"/>
        <v>1.4607670852442986E-4</v>
      </c>
      <c r="R353" s="12">
        <f t="shared" si="77"/>
        <v>1.0732721080539036E-3</v>
      </c>
      <c r="S353" s="12">
        <f t="shared" si="78"/>
        <v>6.5589962434147667E-4</v>
      </c>
      <c r="T353" s="12">
        <f t="shared" si="79"/>
        <v>3.809523809523796E-2</v>
      </c>
      <c r="U353" s="12">
        <f t="shared" si="80"/>
        <v>-0.31869047619047652</v>
      </c>
      <c r="V353" s="12">
        <f t="shared" si="81"/>
        <v>-0.2257859249894647</v>
      </c>
    </row>
    <row r="354" spans="1:22" x14ac:dyDescent="0.25">
      <c r="A354" s="26">
        <v>74.08</v>
      </c>
      <c r="B354">
        <v>73.900000000000006</v>
      </c>
      <c r="C354">
        <v>2.42</v>
      </c>
      <c r="D354" s="2">
        <v>44888</v>
      </c>
      <c r="E354">
        <v>73.69</v>
      </c>
      <c r="F354">
        <v>0.39</v>
      </c>
      <c r="G354">
        <v>0.21000000000000796</v>
      </c>
      <c r="H354" s="5">
        <f t="shared" si="82"/>
        <v>5.292441308182929E-3</v>
      </c>
      <c r="I354" s="3">
        <f t="shared" si="70"/>
        <v>1.3871161926324382</v>
      </c>
      <c r="J354" s="5">
        <f t="shared" si="83"/>
        <v>2.849776089021685E-3</v>
      </c>
      <c r="K354" s="3">
        <f t="shared" si="71"/>
        <v>0.80027932585614359</v>
      </c>
      <c r="L354" s="3">
        <f t="shared" si="72"/>
        <v>0.55166013584428952</v>
      </c>
      <c r="N354" s="12">
        <f t="shared" si="73"/>
        <v>2.3338646735435447E-4</v>
      </c>
      <c r="O354" s="12">
        <f t="shared" si="74"/>
        <v>5.2116787229933694E-4</v>
      </c>
      <c r="P354" s="12">
        <f t="shared" si="75"/>
        <v>7.667214600846783E-4</v>
      </c>
      <c r="Q354" s="12">
        <f t="shared" si="76"/>
        <v>4.3280611074494706E-4</v>
      </c>
      <c r="R354" s="12">
        <f t="shared" si="77"/>
        <v>1.068196652118041E-3</v>
      </c>
      <c r="S354" s="12">
        <f t="shared" si="78"/>
        <v>6.2491476318576964E-4</v>
      </c>
      <c r="T354" s="12">
        <f t="shared" si="79"/>
        <v>-4.761904761904745E-3</v>
      </c>
      <c r="U354" s="12">
        <f t="shared" si="80"/>
        <v>-0.32869047619047631</v>
      </c>
      <c r="V354" s="12">
        <f t="shared" si="81"/>
        <v>-0.23689844079224542</v>
      </c>
    </row>
    <row r="355" spans="1:22" x14ac:dyDescent="0.25">
      <c r="A355" s="26">
        <v>73.540000000000006</v>
      </c>
      <c r="B355">
        <v>73.260000000000005</v>
      </c>
      <c r="C355">
        <v>2.14</v>
      </c>
      <c r="D355" s="2">
        <v>44887</v>
      </c>
      <c r="E355">
        <v>73.38</v>
      </c>
      <c r="F355">
        <v>0.16</v>
      </c>
      <c r="G355">
        <v>-0.11999999999999034</v>
      </c>
      <c r="H355" s="5">
        <f t="shared" si="82"/>
        <v>2.1804306350504225E-3</v>
      </c>
      <c r="I355" s="3">
        <f t="shared" si="70"/>
        <v>0.74819201753749809</v>
      </c>
      <c r="J355" s="5">
        <f t="shared" si="83"/>
        <v>-1.6353229762876853E-3</v>
      </c>
      <c r="K355" s="3">
        <f t="shared" si="71"/>
        <v>0.17936613843047391</v>
      </c>
      <c r="L355" s="3">
        <f t="shared" si="72"/>
        <v>6.5400792422329712E-2</v>
      </c>
      <c r="N355" s="12">
        <f t="shared" si="73"/>
        <v>4.304321854245001E-4</v>
      </c>
      <c r="O355" s="12">
        <f t="shared" si="74"/>
        <v>5.3130305554103846E-4</v>
      </c>
      <c r="P355" s="12">
        <f t="shared" si="75"/>
        <v>7.795184485861965E-4</v>
      </c>
      <c r="Q355" s="12">
        <f t="shared" si="76"/>
        <v>4.6720906741061063E-4</v>
      </c>
      <c r="R355" s="12">
        <f t="shared" si="77"/>
        <v>8.8471358839053906E-4</v>
      </c>
      <c r="S355" s="12">
        <f t="shared" si="78"/>
        <v>4.3549000538495525E-4</v>
      </c>
      <c r="T355" s="12">
        <f t="shared" si="79"/>
        <v>3.0952380952380842E-2</v>
      </c>
      <c r="U355" s="12">
        <f t="shared" si="80"/>
        <v>-0.31607142857142856</v>
      </c>
      <c r="V355" s="12">
        <f t="shared" si="81"/>
        <v>-0.22137800252844464</v>
      </c>
    </row>
    <row r="356" spans="1:22" x14ac:dyDescent="0.25">
      <c r="A356" s="26">
        <v>73.36</v>
      </c>
      <c r="B356">
        <v>73.16</v>
      </c>
      <c r="C356">
        <v>2.19</v>
      </c>
      <c r="D356" s="2">
        <v>44886</v>
      </c>
      <c r="E356">
        <v>73.78</v>
      </c>
      <c r="F356">
        <v>-0.42</v>
      </c>
      <c r="G356">
        <v>-0.62000000000000455</v>
      </c>
      <c r="H356" s="5">
        <f t="shared" si="82"/>
        <v>-5.6925996204933585E-3</v>
      </c>
      <c r="I356" s="3">
        <f t="shared" si="70"/>
        <v>-0.89636785771406047</v>
      </c>
      <c r="J356" s="5">
        <f t="shared" si="83"/>
        <v>-8.4033613445378772E-3</v>
      </c>
      <c r="K356" s="3">
        <f t="shared" si="71"/>
        <v>-0.76368832494699812</v>
      </c>
      <c r="L356" s="3">
        <f t="shared" si="72"/>
        <v>0.15742588058616386</v>
      </c>
      <c r="N356" s="12">
        <f t="shared" si="73"/>
        <v>1.1315705871447416E-3</v>
      </c>
      <c r="O356" s="12">
        <f t="shared" si="74"/>
        <v>6.5752313170845049E-4</v>
      </c>
      <c r="P356" s="12">
        <f t="shared" si="75"/>
        <v>9.9476174848952951E-4</v>
      </c>
      <c r="Q356" s="12">
        <f t="shared" si="76"/>
        <v>8.1735760173688981E-4</v>
      </c>
      <c r="R356" s="12">
        <f t="shared" si="77"/>
        <v>8.7702387044060696E-4</v>
      </c>
      <c r="S356" s="12">
        <f t="shared" si="78"/>
        <v>4.3143541507029409E-4</v>
      </c>
      <c r="T356" s="12">
        <f t="shared" si="79"/>
        <v>4.4761904761904781E-2</v>
      </c>
      <c r="U356" s="12">
        <f t="shared" si="80"/>
        <v>-0.30708333333333293</v>
      </c>
      <c r="V356" s="12">
        <f t="shared" si="81"/>
        <v>-0.20304256215760619</v>
      </c>
    </row>
    <row r="357" spans="1:22" x14ac:dyDescent="0.25">
      <c r="A357" s="26">
        <v>72.22</v>
      </c>
      <c r="B357">
        <v>72.22</v>
      </c>
      <c r="C357">
        <v>2.5099999999999998</v>
      </c>
      <c r="D357" s="2">
        <v>44883</v>
      </c>
      <c r="E357">
        <v>72.44</v>
      </c>
      <c r="F357">
        <v>-0.22</v>
      </c>
      <c r="G357">
        <v>-0.21999999999999886</v>
      </c>
      <c r="H357" s="5">
        <f t="shared" si="82"/>
        <v>-3.0369961347321921E-3</v>
      </c>
      <c r="I357" s="3">
        <f t="shared" si="70"/>
        <v>-0.34722182244519839</v>
      </c>
      <c r="J357" s="5">
        <f t="shared" si="83"/>
        <v>-3.0369961347321765E-3</v>
      </c>
      <c r="K357" s="3">
        <f t="shared" si="71"/>
        <v>-2.0241188736412234E-2</v>
      </c>
      <c r="L357" s="3">
        <f t="shared" si="72"/>
        <v>0.7229909257278091</v>
      </c>
      <c r="N357" s="12">
        <f t="shared" si="73"/>
        <v>1.9660147111241664E-3</v>
      </c>
      <c r="O357" s="12">
        <f t="shared" si="74"/>
        <v>1.2993125260081736E-3</v>
      </c>
      <c r="P357" s="12">
        <f t="shared" si="75"/>
        <v>1.4991705260076096E-3</v>
      </c>
      <c r="Q357" s="12">
        <f t="shared" si="76"/>
        <v>1.0582864264829664E-3</v>
      </c>
      <c r="R357" s="12">
        <f t="shared" si="77"/>
        <v>1.0339341135539243E-3</v>
      </c>
      <c r="S357" s="12">
        <f t="shared" si="78"/>
        <v>6.1573248086513105E-4</v>
      </c>
      <c r="T357" s="12">
        <f t="shared" si="79"/>
        <v>0.11809523809523848</v>
      </c>
      <c r="U357" s="12">
        <f t="shared" si="80"/>
        <v>-0.27476190476190476</v>
      </c>
      <c r="V357" s="12">
        <f t="shared" si="81"/>
        <v>-0.17619047619047601</v>
      </c>
    </row>
    <row r="358" spans="1:22" x14ac:dyDescent="0.25">
      <c r="A358" s="26">
        <v>73.31</v>
      </c>
      <c r="B358">
        <v>73.709999999999994</v>
      </c>
      <c r="C358">
        <v>1.62</v>
      </c>
      <c r="D358" s="2">
        <v>44882</v>
      </c>
      <c r="E358">
        <v>73.84</v>
      </c>
      <c r="F358">
        <v>-0.53</v>
      </c>
      <c r="G358">
        <v>-0.13000000000000966</v>
      </c>
      <c r="H358" s="5">
        <f t="shared" si="82"/>
        <v>-7.1776814734561215E-3</v>
      </c>
      <c r="I358" s="3">
        <f t="shared" si="70"/>
        <v>-1.2147486432684416</v>
      </c>
      <c r="J358" s="5">
        <f t="shared" si="83"/>
        <v>-1.7605633802818209E-3</v>
      </c>
      <c r="K358" s="3">
        <f t="shared" si="71"/>
        <v>0.15787342625815526</v>
      </c>
      <c r="L358" s="3">
        <f t="shared" si="72"/>
        <v>-0.82429254339273883</v>
      </c>
      <c r="N358" s="12">
        <f t="shared" si="73"/>
        <v>1.6238481257148335E-3</v>
      </c>
      <c r="O358" s="12">
        <f t="shared" si="74"/>
        <v>1.0216944083916559E-3</v>
      </c>
      <c r="P358" s="12">
        <f t="shared" si="75"/>
        <v>1.2933617334311466E-3</v>
      </c>
      <c r="Q358" s="12">
        <f t="shared" si="76"/>
        <v>9.9040580566626003E-4</v>
      </c>
      <c r="R358" s="12">
        <f t="shared" si="77"/>
        <v>8.6417227814192168E-4</v>
      </c>
      <c r="S358" s="12">
        <f t="shared" si="78"/>
        <v>4.863563890144789E-4</v>
      </c>
      <c r="T358" s="12">
        <f t="shared" si="79"/>
        <v>0.14952380952380961</v>
      </c>
      <c r="U358" s="12">
        <f t="shared" si="80"/>
        <v>-0.273452380952381</v>
      </c>
      <c r="V358" s="12">
        <f t="shared" si="81"/>
        <v>-0.18401179941002965</v>
      </c>
    </row>
    <row r="359" spans="1:22" x14ac:dyDescent="0.25">
      <c r="A359" s="26">
        <v>74.930000000000007</v>
      </c>
      <c r="B359">
        <v>75.12</v>
      </c>
      <c r="C359">
        <v>1.73</v>
      </c>
      <c r="D359" s="2">
        <v>44880</v>
      </c>
      <c r="E359">
        <v>75.48</v>
      </c>
      <c r="F359">
        <v>-0.55000000000000004</v>
      </c>
      <c r="G359">
        <v>-0.35999999999999943</v>
      </c>
      <c r="H359" s="5">
        <f t="shared" si="82"/>
        <v>-7.286698463169052E-3</v>
      </c>
      <c r="I359" s="3">
        <f t="shared" si="70"/>
        <v>-1.2489329017230675</v>
      </c>
      <c r="J359" s="5">
        <f t="shared" si="83"/>
        <v>-4.7694753577106437E-3</v>
      </c>
      <c r="K359" s="3">
        <f t="shared" si="71"/>
        <v>-0.26124312346074274</v>
      </c>
      <c r="L359" s="3">
        <f t="shared" si="72"/>
        <v>-0.63262902271461086</v>
      </c>
      <c r="N359" s="12">
        <f t="shared" si="73"/>
        <v>2.0140957997022515E-3</v>
      </c>
      <c r="O359" s="12">
        <f t="shared" si="74"/>
        <v>1.4447181082307423E-3</v>
      </c>
      <c r="P359" s="12">
        <f t="shared" si="75"/>
        <v>1.628762545740404E-3</v>
      </c>
      <c r="Q359" s="12">
        <f t="shared" si="76"/>
        <v>1.0729838429827123E-3</v>
      </c>
      <c r="R359" s="12">
        <f t="shared" si="77"/>
        <v>9.0690152811150537E-4</v>
      </c>
      <c r="S359" s="12">
        <f t="shared" si="78"/>
        <v>5.3170956212235127E-4</v>
      </c>
      <c r="T359" s="12">
        <f t="shared" si="79"/>
        <v>0.28571428571428581</v>
      </c>
      <c r="U359" s="12">
        <f t="shared" si="80"/>
        <v>-0.17523809523809453</v>
      </c>
      <c r="V359" s="12">
        <f t="shared" si="81"/>
        <v>-0.10308891698272227</v>
      </c>
    </row>
    <row r="360" spans="1:22" x14ac:dyDescent="0.25">
      <c r="A360" s="26">
        <v>74.849999999999994</v>
      </c>
      <c r="B360">
        <v>74.650000000000006</v>
      </c>
      <c r="C360">
        <v>1.96</v>
      </c>
      <c r="D360" s="2">
        <v>44879</v>
      </c>
      <c r="E360">
        <v>74.84</v>
      </c>
      <c r="F360">
        <v>0.01</v>
      </c>
      <c r="G360">
        <v>-0.18999999999999773</v>
      </c>
      <c r="H360" s="5">
        <f t="shared" si="82"/>
        <v>1.3361838588989844E-4</v>
      </c>
      <c r="I360" s="3">
        <f t="shared" si="70"/>
        <v>0.30497784539795492</v>
      </c>
      <c r="J360" s="5">
        <f t="shared" si="83"/>
        <v>-2.53874933190804E-3</v>
      </c>
      <c r="K360" s="3">
        <f t="shared" si="71"/>
        <v>4.8969255914019121E-2</v>
      </c>
      <c r="L360" s="3">
        <f t="shared" si="72"/>
        <v>-0.23011029042235351</v>
      </c>
      <c r="N360" s="12">
        <f t="shared" si="73"/>
        <v>2.7308991570795973E-3</v>
      </c>
      <c r="O360" s="12">
        <f t="shared" si="74"/>
        <v>1.8959817374913325E-3</v>
      </c>
      <c r="P360" s="12">
        <f t="shared" si="75"/>
        <v>1.999715645978283E-3</v>
      </c>
      <c r="Q360" s="12">
        <f t="shared" si="76"/>
        <v>1.267815274383027E-3</v>
      </c>
      <c r="R360" s="12">
        <f t="shared" si="77"/>
        <v>1.0432392580012519E-3</v>
      </c>
      <c r="S360" s="12">
        <f t="shared" si="78"/>
        <v>6.9296818068391658E-4</v>
      </c>
      <c r="T360" s="12">
        <f t="shared" si="79"/>
        <v>0.33952380952380934</v>
      </c>
      <c r="U360" s="12">
        <f t="shared" si="80"/>
        <v>-0.14041666666666641</v>
      </c>
      <c r="V360" s="12">
        <f t="shared" si="81"/>
        <v>-7.0509903076275027E-2</v>
      </c>
    </row>
    <row r="361" spans="1:22" x14ac:dyDescent="0.25">
      <c r="A361" s="26">
        <v>73.33</v>
      </c>
      <c r="B361">
        <v>73.290000000000006</v>
      </c>
      <c r="C361">
        <v>2.31</v>
      </c>
      <c r="D361" s="2">
        <v>44876</v>
      </c>
      <c r="E361">
        <v>73.66</v>
      </c>
      <c r="F361">
        <v>-0.33</v>
      </c>
      <c r="G361">
        <v>-0.36999999999999034</v>
      </c>
      <c r="H361" s="5">
        <f t="shared" si="82"/>
        <v>-4.4800434428455072E-3</v>
      </c>
      <c r="I361" s="3">
        <f t="shared" si="70"/>
        <v>-0.66748450308039453</v>
      </c>
      <c r="J361" s="5">
        <f t="shared" si="83"/>
        <v>-5.0230790116751337E-3</v>
      </c>
      <c r="K361" s="3">
        <f t="shared" si="71"/>
        <v>-0.29705483032145946</v>
      </c>
      <c r="L361" s="3">
        <f t="shared" si="72"/>
        <v>0.3827282623652235</v>
      </c>
      <c r="N361" s="12">
        <f t="shared" si="73"/>
        <v>2.4195186968129518E-3</v>
      </c>
      <c r="O361" s="12">
        <f t="shared" si="74"/>
        <v>1.9479754730473504E-3</v>
      </c>
      <c r="P361" s="12">
        <f t="shared" si="75"/>
        <v>2.0286800476851459E-3</v>
      </c>
      <c r="Q361" s="12">
        <f t="shared" si="76"/>
        <v>1.294608192913166E-3</v>
      </c>
      <c r="R361" s="12">
        <f t="shared" si="77"/>
        <v>1.1478134170103331E-3</v>
      </c>
      <c r="S361" s="12">
        <f t="shared" si="78"/>
        <v>7.9657574800114962E-4</v>
      </c>
      <c r="T361" s="12">
        <f t="shared" si="79"/>
        <v>0.38190476190476152</v>
      </c>
      <c r="U361" s="12">
        <f t="shared" si="80"/>
        <v>-0.10863095238095255</v>
      </c>
      <c r="V361" s="12">
        <f t="shared" si="81"/>
        <v>-4.923303834808257E-2</v>
      </c>
    </row>
    <row r="362" spans="1:22" x14ac:dyDescent="0.25">
      <c r="A362" s="26">
        <v>71.62</v>
      </c>
      <c r="B362">
        <v>70.7</v>
      </c>
      <c r="C362">
        <v>2.2400000000000002</v>
      </c>
      <c r="D362" s="2">
        <v>44875</v>
      </c>
      <c r="E362">
        <v>71.3</v>
      </c>
      <c r="F362">
        <v>0.32</v>
      </c>
      <c r="G362">
        <v>-0.59999999999999432</v>
      </c>
      <c r="H362" s="5">
        <f t="shared" si="82"/>
        <v>4.4880785413744743E-3</v>
      </c>
      <c r="I362" s="3">
        <f t="shared" si="70"/>
        <v>1.2223661010173426</v>
      </c>
      <c r="J362" s="5">
        <f t="shared" si="83"/>
        <v>-8.4151472650770588E-3</v>
      </c>
      <c r="K362" s="3">
        <f t="shared" si="71"/>
        <v>-0.77232744754693639</v>
      </c>
      <c r="L362" s="3">
        <f t="shared" si="72"/>
        <v>0.26592058665352958</v>
      </c>
      <c r="N362" s="12">
        <f t="shared" si="73"/>
        <v>3.5874553153085022E-3</v>
      </c>
      <c r="O362" s="12">
        <f t="shared" si="74"/>
        <v>2.5492691633028108E-3</v>
      </c>
      <c r="P362" s="12">
        <f t="shared" si="75"/>
        <v>2.5109585853348329E-3</v>
      </c>
      <c r="Q362" s="12">
        <f t="shared" si="76"/>
        <v>1.5632734655361955E-3</v>
      </c>
      <c r="R362" s="12">
        <f t="shared" si="77"/>
        <v>1.3111865967214659E-3</v>
      </c>
      <c r="S362" s="12">
        <f t="shared" si="78"/>
        <v>9.7212295594831634E-4</v>
      </c>
      <c r="T362" s="12">
        <f t="shared" si="79"/>
        <v>0.35619047619047617</v>
      </c>
      <c r="U362" s="12">
        <f t="shared" si="80"/>
        <v>-0.1128571428571421</v>
      </c>
      <c r="V362" s="12">
        <f t="shared" si="81"/>
        <v>-7.098609355246488E-2</v>
      </c>
    </row>
    <row r="363" spans="1:22" x14ac:dyDescent="0.25">
      <c r="A363" s="26">
        <v>75.349999999999994</v>
      </c>
      <c r="B363">
        <v>75.349999999999994</v>
      </c>
      <c r="C363">
        <v>1.65</v>
      </c>
      <c r="D363" s="2">
        <v>44874</v>
      </c>
      <c r="E363">
        <v>75.59</v>
      </c>
      <c r="F363">
        <v>-0.24</v>
      </c>
      <c r="G363">
        <v>-0.24000000000000909</v>
      </c>
      <c r="H363" s="5">
        <f t="shared" si="82"/>
        <v>-3.1750231512104772E-3</v>
      </c>
      <c r="I363" s="3">
        <f t="shared" si="70"/>
        <v>-0.38615554062081314</v>
      </c>
      <c r="J363" s="5">
        <f t="shared" si="83"/>
        <v>-3.1750231512105978E-3</v>
      </c>
      <c r="K363" s="3">
        <f t="shared" si="71"/>
        <v>-4.3577155289763948E-2</v>
      </c>
      <c r="L363" s="3">
        <f t="shared" si="72"/>
        <v>-0.75293228727731409</v>
      </c>
      <c r="N363" s="12">
        <f t="shared" si="73"/>
        <v>3.7125121166076856E-3</v>
      </c>
      <c r="O363" s="12">
        <f t="shared" si="74"/>
        <v>2.561244268175009E-3</v>
      </c>
      <c r="P363" s="12">
        <f t="shared" si="75"/>
        <v>2.3934249521230201E-3</v>
      </c>
      <c r="Q363" s="12">
        <f t="shared" si="76"/>
        <v>1.6375262356502964E-3</v>
      </c>
      <c r="R363" s="12">
        <f t="shared" si="77"/>
        <v>1.3946058895955024E-3</v>
      </c>
      <c r="S363" s="12">
        <f t="shared" si="78"/>
        <v>1.0887309861289736E-3</v>
      </c>
      <c r="T363" s="12">
        <f t="shared" si="79"/>
        <v>0.32761904761904814</v>
      </c>
      <c r="U363" s="12">
        <f t="shared" si="80"/>
        <v>-0.13148809523809435</v>
      </c>
      <c r="V363" s="12">
        <f t="shared" si="81"/>
        <v>-8.8954909397387372E-2</v>
      </c>
    </row>
    <row r="364" spans="1:22" x14ac:dyDescent="0.25">
      <c r="A364" s="26">
        <v>76.02</v>
      </c>
      <c r="B364">
        <v>76.13</v>
      </c>
      <c r="C364">
        <v>1.96</v>
      </c>
      <c r="D364" s="2">
        <v>44873</v>
      </c>
      <c r="E364">
        <v>76.36</v>
      </c>
      <c r="F364">
        <v>-0.34</v>
      </c>
      <c r="G364">
        <v>-0.23000000000000398</v>
      </c>
      <c r="H364" s="5">
        <f t="shared" si="82"/>
        <v>-4.4525929806181249E-3</v>
      </c>
      <c r="I364" s="3">
        <f t="shared" si="70"/>
        <v>-0.65795894026162405</v>
      </c>
      <c r="J364" s="5">
        <f t="shared" si="83"/>
        <v>-3.0120481927711365E-3</v>
      </c>
      <c r="K364" s="3">
        <f t="shared" si="71"/>
        <v>-2.1231103045177124E-2</v>
      </c>
      <c r="L364" s="3">
        <f t="shared" si="72"/>
        <v>-0.21040002610057471</v>
      </c>
      <c r="N364" s="12">
        <f t="shared" si="73"/>
        <v>3.6732504835352044E-3</v>
      </c>
      <c r="O364" s="12">
        <f t="shared" si="74"/>
        <v>2.5239554194463427E-3</v>
      </c>
      <c r="P364" s="12">
        <f t="shared" si="75"/>
        <v>2.3237282720533397E-3</v>
      </c>
      <c r="Q364" s="12">
        <f t="shared" si="76"/>
        <v>1.5315482941616488E-3</v>
      </c>
      <c r="R364" s="12">
        <f t="shared" si="77"/>
        <v>1.357094798739078E-3</v>
      </c>
      <c r="S364" s="12">
        <f t="shared" si="78"/>
        <v>1.0366745693436551E-3</v>
      </c>
      <c r="T364" s="12">
        <f t="shared" si="79"/>
        <v>0.3400000000000003</v>
      </c>
      <c r="U364" s="12">
        <f t="shared" si="80"/>
        <v>-0.11654761904761823</v>
      </c>
      <c r="V364" s="12">
        <f t="shared" si="81"/>
        <v>-7.6911083017277004E-2</v>
      </c>
    </row>
    <row r="365" spans="1:22" x14ac:dyDescent="0.25">
      <c r="A365" s="26">
        <v>76.75</v>
      </c>
      <c r="B365">
        <v>76.28</v>
      </c>
      <c r="C365">
        <v>2.4900000000000002</v>
      </c>
      <c r="D365" s="2">
        <v>44872</v>
      </c>
      <c r="E365">
        <v>76.56</v>
      </c>
      <c r="F365">
        <v>0.19</v>
      </c>
      <c r="G365">
        <v>-0.28000000000000114</v>
      </c>
      <c r="H365" s="5">
        <f t="shared" si="82"/>
        <v>2.4817136886102404E-3</v>
      </c>
      <c r="I365" s="3">
        <f t="shared" si="70"/>
        <v>0.80712477004733796</v>
      </c>
      <c r="J365" s="5">
        <f t="shared" si="83"/>
        <v>-3.657262277951948E-3</v>
      </c>
      <c r="K365" s="3">
        <f t="shared" si="71"/>
        <v>-0.1124099901611128</v>
      </c>
      <c r="L365" s="3">
        <f t="shared" si="72"/>
        <v>0.7092000962338838</v>
      </c>
      <c r="N365" s="12">
        <f t="shared" si="73"/>
        <v>4.1615628762093435E-3</v>
      </c>
      <c r="O365" s="12">
        <f t="shared" si="74"/>
        <v>2.6632009284408994E-3</v>
      </c>
      <c r="P365" s="12">
        <f t="shared" si="75"/>
        <v>2.671515633002438E-3</v>
      </c>
      <c r="Q365" s="12">
        <f t="shared" si="76"/>
        <v>1.475949638070195E-3</v>
      </c>
      <c r="R365" s="12">
        <f t="shared" si="77"/>
        <v>1.3203994503935769E-3</v>
      </c>
      <c r="S365" s="12">
        <f t="shared" si="78"/>
        <v>9.9337276340380389E-4</v>
      </c>
      <c r="T365" s="12">
        <f t="shared" si="79"/>
        <v>0.42380952380952408</v>
      </c>
      <c r="U365" s="12">
        <f t="shared" si="80"/>
        <v>-7.7976190476189977E-2</v>
      </c>
      <c r="V365" s="12">
        <f t="shared" si="81"/>
        <v>-3.8744205646860319E-2</v>
      </c>
    </row>
    <row r="366" spans="1:22" x14ac:dyDescent="0.25">
      <c r="A366" s="26">
        <v>78.14</v>
      </c>
      <c r="B366">
        <v>77.349999999999994</v>
      </c>
      <c r="C366">
        <v>2.34</v>
      </c>
      <c r="D366" s="2">
        <v>44869</v>
      </c>
      <c r="E366">
        <v>77.650000000000006</v>
      </c>
      <c r="F366">
        <v>0.49</v>
      </c>
      <c r="G366">
        <v>-0.30000000000001137</v>
      </c>
      <c r="H366" s="5">
        <f t="shared" si="82"/>
        <v>6.3103670315518348E-3</v>
      </c>
      <c r="I366" s="3">
        <f t="shared" si="70"/>
        <v>1.623798942785607</v>
      </c>
      <c r="J366" s="5">
        <f t="shared" si="83"/>
        <v>-3.8634900193175964E-3</v>
      </c>
      <c r="K366" s="3">
        <f t="shared" si="71"/>
        <v>-0.14117252583994538</v>
      </c>
      <c r="L366" s="3">
        <f t="shared" si="72"/>
        <v>0.45686116412682448</v>
      </c>
      <c r="N366" s="12">
        <f t="shared" si="73"/>
        <v>3.869701658816377E-3</v>
      </c>
      <c r="O366" s="12">
        <f t="shared" si="74"/>
        <v>2.433695420466397E-3</v>
      </c>
      <c r="P366" s="12">
        <f t="shared" si="75"/>
        <v>2.309417673975413E-3</v>
      </c>
      <c r="Q366" s="12">
        <f t="shared" si="76"/>
        <v>1.1793460470175053E-3</v>
      </c>
      <c r="R366" s="12">
        <f t="shared" si="77"/>
        <v>1.1401626204093191E-3</v>
      </c>
      <c r="S366" s="12">
        <f t="shared" si="78"/>
        <v>7.8896874076069684E-4</v>
      </c>
      <c r="T366" s="12">
        <f t="shared" si="79"/>
        <v>0.35285714285714276</v>
      </c>
      <c r="U366" s="12">
        <f t="shared" si="80"/>
        <v>-0.14761904761904754</v>
      </c>
      <c r="V366" s="12">
        <f t="shared" si="81"/>
        <v>-9.8402865571006526E-2</v>
      </c>
    </row>
    <row r="367" spans="1:22" x14ac:dyDescent="0.25">
      <c r="A367" s="26">
        <v>76.63</v>
      </c>
      <c r="B367">
        <v>76.08</v>
      </c>
      <c r="C367">
        <v>1.76</v>
      </c>
      <c r="D367" s="2">
        <v>44868</v>
      </c>
      <c r="E367">
        <v>76.23</v>
      </c>
      <c r="F367">
        <v>0.4</v>
      </c>
      <c r="G367">
        <v>-0.15000000000000568</v>
      </c>
      <c r="H367" s="5">
        <f t="shared" si="82"/>
        <v>5.2472779745507021E-3</v>
      </c>
      <c r="I367" s="3">
        <f t="shared" si="70"/>
        <v>1.4142832358723429</v>
      </c>
      <c r="J367" s="5">
        <f t="shared" si="83"/>
        <v>-1.9677292404565875E-3</v>
      </c>
      <c r="K367" s="3">
        <f t="shared" si="71"/>
        <v>0.12277298767931413</v>
      </c>
      <c r="L367" s="3">
        <f t="shared" si="72"/>
        <v>-0.53756087963699761</v>
      </c>
      <c r="N367" s="12">
        <f t="shared" si="73"/>
        <v>3.1560244489141961E-3</v>
      </c>
      <c r="O367" s="12">
        <f t="shared" si="74"/>
        <v>1.6583667331558167E-3</v>
      </c>
      <c r="P367" s="12">
        <f t="shared" si="75"/>
        <v>1.6891791358220973E-3</v>
      </c>
      <c r="Q367" s="12">
        <f t="shared" si="76"/>
        <v>1.1784322383348281E-3</v>
      </c>
      <c r="R367" s="12">
        <f t="shared" si="77"/>
        <v>1.1278222470903604E-3</v>
      </c>
      <c r="S367" s="12">
        <f t="shared" si="78"/>
        <v>7.9508571646251481E-4</v>
      </c>
      <c r="T367" s="12">
        <f t="shared" si="79"/>
        <v>0.28714285714285737</v>
      </c>
      <c r="U367" s="12">
        <f t="shared" si="80"/>
        <v>-0.18583333333333263</v>
      </c>
      <c r="V367" s="12">
        <f t="shared" si="81"/>
        <v>-0.12651917404129698</v>
      </c>
    </row>
    <row r="368" spans="1:22" x14ac:dyDescent="0.25">
      <c r="A368" s="26">
        <v>78.760000000000005</v>
      </c>
      <c r="B368">
        <v>78.88</v>
      </c>
      <c r="C368">
        <v>1.74</v>
      </c>
      <c r="D368" s="2">
        <v>44866</v>
      </c>
      <c r="E368">
        <v>79.06</v>
      </c>
      <c r="F368">
        <v>-0.3</v>
      </c>
      <c r="G368">
        <v>-0.18000000000000682</v>
      </c>
      <c r="H368" s="5">
        <f t="shared" si="82"/>
        <v>-3.7945863900834807E-3</v>
      </c>
      <c r="I368" s="3">
        <f t="shared" si="70"/>
        <v>-0.50916816237321727</v>
      </c>
      <c r="J368" s="5">
        <f t="shared" si="83"/>
        <v>-2.2767518340501749E-3</v>
      </c>
      <c r="K368" s="3">
        <f t="shared" si="71"/>
        <v>7.9265574047817783E-2</v>
      </c>
      <c r="L368" s="3">
        <f t="shared" si="72"/>
        <v>-0.56739666059883564</v>
      </c>
      <c r="N368" s="12">
        <f t="shared" si="73"/>
        <v>2.6731521742100334E-3</v>
      </c>
      <c r="O368" s="12">
        <f t="shared" si="74"/>
        <v>9.4299878666230671E-4</v>
      </c>
      <c r="P368" s="12">
        <f t="shared" si="75"/>
        <v>1.0395147771871383E-3</v>
      </c>
      <c r="Q368" s="12">
        <f t="shared" si="76"/>
        <v>1.4157506959686815E-3</v>
      </c>
      <c r="R368" s="12">
        <f t="shared" si="77"/>
        <v>1.1577957296804659E-3</v>
      </c>
      <c r="S368" s="12">
        <f t="shared" si="78"/>
        <v>8.1084464695262365E-4</v>
      </c>
      <c r="T368" s="12">
        <f t="shared" si="79"/>
        <v>0.24333333333333407</v>
      </c>
      <c r="U368" s="12">
        <f t="shared" si="80"/>
        <v>-0.2007738095238083</v>
      </c>
      <c r="V368" s="12">
        <f t="shared" si="81"/>
        <v>-0.13855035819637473</v>
      </c>
    </row>
    <row r="369" spans="1:22" x14ac:dyDescent="0.25">
      <c r="A369" s="26">
        <v>78.69</v>
      </c>
      <c r="B369">
        <v>78.569999999999993</v>
      </c>
      <c r="C369">
        <v>2.5</v>
      </c>
      <c r="D369" s="2">
        <v>44865</v>
      </c>
      <c r="E369">
        <v>78.72</v>
      </c>
      <c r="F369">
        <v>-0.03</v>
      </c>
      <c r="G369">
        <v>-0.15000000000000568</v>
      </c>
      <c r="H369" s="5">
        <f t="shared" si="82"/>
        <v>-3.8109756097560977E-4</v>
      </c>
      <c r="I369" s="3">
        <f t="shared" si="70"/>
        <v>0.21923249560495769</v>
      </c>
      <c r="J369" s="5">
        <f t="shared" si="83"/>
        <v>-1.9054878048781209E-3</v>
      </c>
      <c r="K369" s="3">
        <f t="shared" si="71"/>
        <v>0.13114935566895339</v>
      </c>
      <c r="L369" s="3">
        <f t="shared" si="72"/>
        <v>0.73944773533478247</v>
      </c>
      <c r="N369" s="12">
        <f t="shared" si="73"/>
        <v>3.4602515415233666E-3</v>
      </c>
      <c r="O369" s="12">
        <f t="shared" si="74"/>
        <v>1.2202817262539204E-3</v>
      </c>
      <c r="P369" s="12">
        <f t="shared" si="75"/>
        <v>1.3237261050460733E-3</v>
      </c>
      <c r="Q369" s="12">
        <f t="shared" si="76"/>
        <v>1.5212565010953088E-3</v>
      </c>
      <c r="R369" s="12">
        <f t="shared" si="77"/>
        <v>1.0656952994124664E-3</v>
      </c>
      <c r="S369" s="12">
        <f t="shared" si="78"/>
        <v>7.2464542664107132E-4</v>
      </c>
      <c r="T369" s="12">
        <f t="shared" si="79"/>
        <v>0.18809523809523832</v>
      </c>
      <c r="U369" s="12">
        <f t="shared" si="80"/>
        <v>-0.21505952380952298</v>
      </c>
      <c r="V369" s="12">
        <f t="shared" si="81"/>
        <v>-0.14688158449220312</v>
      </c>
    </row>
    <row r="370" spans="1:22" x14ac:dyDescent="0.25">
      <c r="A370" s="26">
        <v>80.760000000000005</v>
      </c>
      <c r="B370">
        <v>81.14</v>
      </c>
      <c r="C370">
        <v>2.39</v>
      </c>
      <c r="D370" s="2">
        <v>44862</v>
      </c>
      <c r="E370">
        <v>81.319999999999993</v>
      </c>
      <c r="F370">
        <v>-0.56000000000000005</v>
      </c>
      <c r="G370">
        <v>-0.17999999999999261</v>
      </c>
      <c r="H370" s="5">
        <f t="shared" si="82"/>
        <v>-6.8863748155435327E-3</v>
      </c>
      <c r="I370" s="3">
        <f t="shared" si="70"/>
        <v>-1.1753739077013874</v>
      </c>
      <c r="J370" s="5">
        <f t="shared" si="83"/>
        <v>-2.2134776192817588E-3</v>
      </c>
      <c r="K370" s="3">
        <f t="shared" si="71"/>
        <v>8.7827307486357351E-2</v>
      </c>
      <c r="L370" s="3">
        <f t="shared" si="72"/>
        <v>0.55749402531108772</v>
      </c>
      <c r="N370" s="12">
        <f t="shared" si="73"/>
        <v>2.5012343157402245E-3</v>
      </c>
      <c r="O370" s="12">
        <f t="shared" si="74"/>
        <v>8.0071190740032975E-4</v>
      </c>
      <c r="P370" s="12">
        <f t="shared" si="75"/>
        <v>8.404449809398429E-4</v>
      </c>
      <c r="Q370" s="12">
        <f t="shared" si="76"/>
        <v>1.183367021679994E-3</v>
      </c>
      <c r="R370" s="12">
        <f t="shared" si="77"/>
        <v>8.285817175249675E-4</v>
      </c>
      <c r="S370" s="12">
        <f t="shared" si="78"/>
        <v>4.7311783178574521E-4</v>
      </c>
      <c r="T370" s="12">
        <f t="shared" si="79"/>
        <v>0.11761904761904773</v>
      </c>
      <c r="U370" s="12">
        <f t="shared" si="80"/>
        <v>-0.27428571428571402</v>
      </c>
      <c r="V370" s="12">
        <f t="shared" si="81"/>
        <v>-0.20414664981036612</v>
      </c>
    </row>
    <row r="371" spans="1:22" x14ac:dyDescent="0.25">
      <c r="A371" s="26">
        <v>77.099999999999994</v>
      </c>
      <c r="B371">
        <v>76.56</v>
      </c>
      <c r="C371">
        <v>1.94</v>
      </c>
      <c r="D371" s="2">
        <v>44861</v>
      </c>
      <c r="E371">
        <v>76.69</v>
      </c>
      <c r="F371">
        <v>0.41</v>
      </c>
      <c r="G371">
        <v>-0.12999999999999545</v>
      </c>
      <c r="H371" s="5">
        <f t="shared" si="82"/>
        <v>5.3461989829182424E-3</v>
      </c>
      <c r="I371" s="3">
        <f t="shared" si="70"/>
        <v>1.4308616716391851</v>
      </c>
      <c r="J371" s="5">
        <f t="shared" si="83"/>
        <v>-1.6951362628764566E-3</v>
      </c>
      <c r="K371" s="3">
        <f t="shared" si="71"/>
        <v>0.15915262075024869</v>
      </c>
      <c r="L371" s="3">
        <f t="shared" si="72"/>
        <v>-0.21305243728188844</v>
      </c>
      <c r="N371" s="12">
        <f t="shared" si="73"/>
        <v>2.2926438957673969E-3</v>
      </c>
      <c r="O371" s="12">
        <f t="shared" si="74"/>
        <v>1.2191986618962324E-3</v>
      </c>
      <c r="P371" s="12">
        <f t="shared" si="75"/>
        <v>1.0845355071892073E-3</v>
      </c>
      <c r="Q371" s="12">
        <f t="shared" si="76"/>
        <v>1.2101308232695725E-3</v>
      </c>
      <c r="R371" s="12">
        <f t="shared" si="77"/>
        <v>7.8049908864107499E-4</v>
      </c>
      <c r="S371" s="12">
        <f t="shared" si="78"/>
        <v>4.3301496747509939E-4</v>
      </c>
      <c r="T371" s="12">
        <f t="shared" si="79"/>
        <v>3.0476190476190546E-2</v>
      </c>
      <c r="U371" s="12">
        <f t="shared" si="80"/>
        <v>-0.29970238095238066</v>
      </c>
      <c r="V371" s="12">
        <f t="shared" si="81"/>
        <v>-0.22635061104087573</v>
      </c>
    </row>
    <row r="372" spans="1:22" x14ac:dyDescent="0.25">
      <c r="A372" s="26">
        <v>76.510000000000005</v>
      </c>
      <c r="B372">
        <v>76.31</v>
      </c>
      <c r="C372">
        <v>2.56</v>
      </c>
      <c r="D372" s="2">
        <v>44860</v>
      </c>
      <c r="E372">
        <v>76.510000000000005</v>
      </c>
      <c r="F372">
        <v>0</v>
      </c>
      <c r="G372">
        <v>-0.20000000000000284</v>
      </c>
      <c r="H372" s="5">
        <f t="shared" si="82"/>
        <v>0</v>
      </c>
      <c r="I372" s="3">
        <f t="shared" si="70"/>
        <v>0.29232886703310029</v>
      </c>
      <c r="J372" s="5">
        <f t="shared" si="83"/>
        <v>-2.6140373807345815E-3</v>
      </c>
      <c r="K372" s="3">
        <f t="shared" si="71"/>
        <v>3.1058770815853447E-2</v>
      </c>
      <c r="L372" s="3">
        <f t="shared" si="72"/>
        <v>0.85327003668485635</v>
      </c>
      <c r="N372" s="12">
        <f t="shared" si="73"/>
        <v>2.943838482372257E-3</v>
      </c>
      <c r="O372" s="12">
        <f t="shared" si="74"/>
        <v>1.371527355983716E-3</v>
      </c>
      <c r="P372" s="12">
        <f t="shared" si="75"/>
        <v>1.211336598933215E-3</v>
      </c>
      <c r="Q372" s="12">
        <f t="shared" si="76"/>
        <v>1.2819946873099015E-3</v>
      </c>
      <c r="R372" s="12">
        <f t="shared" si="77"/>
        <v>7.5599485641026851E-4</v>
      </c>
      <c r="S372" s="12">
        <f t="shared" si="78"/>
        <v>4.1109428891811543E-4</v>
      </c>
      <c r="T372" s="12">
        <f t="shared" si="79"/>
        <v>-2.0952380952380167E-2</v>
      </c>
      <c r="U372" s="12">
        <f t="shared" si="80"/>
        <v>-0.31964285714285756</v>
      </c>
      <c r="V372" s="12">
        <f t="shared" si="81"/>
        <v>-0.23404551201011348</v>
      </c>
    </row>
    <row r="373" spans="1:22" x14ac:dyDescent="0.25">
      <c r="A373" s="26">
        <v>74.17</v>
      </c>
      <c r="B373">
        <v>74.010000000000005</v>
      </c>
      <c r="C373">
        <v>2</v>
      </c>
      <c r="D373" s="2">
        <v>44859</v>
      </c>
      <c r="E373">
        <v>74.33</v>
      </c>
      <c r="F373">
        <v>-0.16</v>
      </c>
      <c r="G373">
        <v>-0.31999999999999318</v>
      </c>
      <c r="H373" s="5">
        <f t="shared" si="82"/>
        <v>-2.1525628951970942E-3</v>
      </c>
      <c r="I373" s="3">
        <f t="shared" si="70"/>
        <v>-0.17035951165142704</v>
      </c>
      <c r="J373" s="5">
        <f t="shared" si="83"/>
        <v>-4.3051257903940965E-3</v>
      </c>
      <c r="K373" s="3">
        <f t="shared" si="71"/>
        <v>-0.20555772436863015</v>
      </c>
      <c r="L373" s="3">
        <f t="shared" si="72"/>
        <v>-0.10264232279476243</v>
      </c>
      <c r="N373" s="12">
        <f t="shared" si="73"/>
        <v>1.9963238224475661E-3</v>
      </c>
      <c r="O373" s="12">
        <f t="shared" si="74"/>
        <v>6.7432765498894823E-4</v>
      </c>
      <c r="P373" s="12">
        <f t="shared" si="75"/>
        <v>6.3336782573247081E-4</v>
      </c>
      <c r="Q373" s="12">
        <f t="shared" si="76"/>
        <v>1.2976112665865221E-3</v>
      </c>
      <c r="R373" s="12">
        <f t="shared" si="77"/>
        <v>7.8930977323466963E-4</v>
      </c>
      <c r="S373" s="12">
        <f t="shared" si="78"/>
        <v>3.8054351241676842E-4</v>
      </c>
      <c r="T373" s="12">
        <f t="shared" si="79"/>
        <v>-0.13952380952380938</v>
      </c>
      <c r="U373" s="12">
        <f t="shared" si="80"/>
        <v>-0.38333333333333375</v>
      </c>
      <c r="V373" s="12">
        <f t="shared" si="81"/>
        <v>-0.28651917404129756</v>
      </c>
    </row>
    <row r="374" spans="1:22" x14ac:dyDescent="0.25">
      <c r="A374" s="26">
        <v>68.02</v>
      </c>
      <c r="B374">
        <v>67.55</v>
      </c>
      <c r="C374">
        <v>2.15</v>
      </c>
      <c r="D374" s="2">
        <v>44858</v>
      </c>
      <c r="E374">
        <v>67.67</v>
      </c>
      <c r="F374">
        <v>0.35</v>
      </c>
      <c r="G374">
        <v>-0.12000000000000455</v>
      </c>
      <c r="H374" s="5">
        <f t="shared" si="82"/>
        <v>5.1721590069454702E-3</v>
      </c>
      <c r="I374" s="3">
        <f t="shared" si="70"/>
        <v>1.3992274181137956</v>
      </c>
      <c r="J374" s="5">
        <f t="shared" si="83"/>
        <v>-1.7733116595242285E-3</v>
      </c>
      <c r="K374" s="3">
        <f t="shared" si="71"/>
        <v>0.14662551382362965</v>
      </c>
      <c r="L374" s="3">
        <f t="shared" si="72"/>
        <v>0.15829673190251972</v>
      </c>
      <c r="N374" s="12">
        <f t="shared" si="73"/>
        <v>1.6741458192672987E-3</v>
      </c>
      <c r="O374" s="12">
        <f t="shared" si="74"/>
        <v>6.8256288120695674E-4</v>
      </c>
      <c r="P374" s="12">
        <f t="shared" si="75"/>
        <v>7.1333532960010844E-4</v>
      </c>
      <c r="Q374" s="12">
        <f t="shared" si="76"/>
        <v>1.4506268621440337E-3</v>
      </c>
      <c r="R374" s="12">
        <f t="shared" si="77"/>
        <v>8.2715202676051985E-4</v>
      </c>
      <c r="S374" s="12">
        <f t="shared" si="78"/>
        <v>4.1793386908496122E-4</v>
      </c>
      <c r="T374" s="12">
        <f t="shared" si="79"/>
        <v>-0.21238095238095189</v>
      </c>
      <c r="U374" s="12">
        <f t="shared" si="80"/>
        <v>-0.41339285714285712</v>
      </c>
      <c r="V374" s="12">
        <f t="shared" si="81"/>
        <v>-0.30538558786346348</v>
      </c>
    </row>
    <row r="375" spans="1:22" x14ac:dyDescent="0.25">
      <c r="A375" s="26">
        <v>67.900000000000006</v>
      </c>
      <c r="B375">
        <v>67.510000000000005</v>
      </c>
      <c r="C375">
        <v>2.64</v>
      </c>
      <c r="D375" s="2">
        <v>44855</v>
      </c>
      <c r="E375">
        <v>67.61</v>
      </c>
      <c r="F375">
        <v>0.28999999999999998</v>
      </c>
      <c r="G375">
        <v>-9.9999999999994316E-2</v>
      </c>
      <c r="H375" s="5">
        <f t="shared" si="82"/>
        <v>4.2893063156337818E-3</v>
      </c>
      <c r="I375" s="3">
        <f t="shared" si="70"/>
        <v>1.2221813261354977</v>
      </c>
      <c r="J375" s="5">
        <f t="shared" si="83"/>
        <v>-1.4790711433219097E-3</v>
      </c>
      <c r="K375" s="3">
        <f t="shared" si="71"/>
        <v>0.1878109116060051</v>
      </c>
      <c r="L375" s="3">
        <f t="shared" si="72"/>
        <v>1.002959103666603</v>
      </c>
      <c r="N375" s="12">
        <f t="shared" si="73"/>
        <v>1.3028907199851769E-3</v>
      </c>
      <c r="O375" s="12">
        <f t="shared" si="74"/>
        <v>4.0984577113738077E-4</v>
      </c>
      <c r="P375" s="12">
        <f t="shared" si="75"/>
        <v>3.3986027013297978E-4</v>
      </c>
      <c r="Q375" s="12">
        <f t="shared" si="76"/>
        <v>1.0654911350392875E-3</v>
      </c>
      <c r="R375" s="12">
        <f t="shared" si="77"/>
        <v>3.945063062899593E-4</v>
      </c>
      <c r="S375" s="12">
        <f t="shared" si="78"/>
        <v>5.8937602642434878E-5</v>
      </c>
      <c r="T375" s="12">
        <f t="shared" si="79"/>
        <v>-0.20380952380952388</v>
      </c>
      <c r="U375" s="12">
        <f t="shared" si="80"/>
        <v>-0.36535714285714294</v>
      </c>
      <c r="V375" s="12">
        <f t="shared" si="81"/>
        <v>-0.26620733249051742</v>
      </c>
    </row>
    <row r="376" spans="1:22" x14ac:dyDescent="0.25">
      <c r="A376" s="26">
        <v>67.010000000000005</v>
      </c>
      <c r="B376">
        <v>66.53</v>
      </c>
      <c r="C376">
        <v>2.46</v>
      </c>
      <c r="D376" s="2">
        <v>44854</v>
      </c>
      <c r="E376">
        <v>66.67</v>
      </c>
      <c r="F376">
        <v>0.34</v>
      </c>
      <c r="G376">
        <v>-0.14000000000000057</v>
      </c>
      <c r="H376" s="5">
        <f t="shared" si="82"/>
        <v>5.0997450127493625E-3</v>
      </c>
      <c r="I376" s="3">
        <f t="shared" si="70"/>
        <v>1.3931542325197905</v>
      </c>
      <c r="J376" s="5">
        <f t="shared" si="83"/>
        <v>-2.099895005249746E-3</v>
      </c>
      <c r="K376" s="3">
        <f t="shared" si="71"/>
        <v>0.1015067610246838</v>
      </c>
      <c r="L376" s="3">
        <f t="shared" si="72"/>
        <v>0.70157362308458149</v>
      </c>
      <c r="N376" s="12">
        <f t="shared" si="73"/>
        <v>1.3392995934944007E-3</v>
      </c>
      <c r="O376" s="12">
        <f t="shared" si="74"/>
        <v>2.5057290183855383E-4</v>
      </c>
      <c r="P376" s="12">
        <f t="shared" si="75"/>
        <v>1.0042561325113121E-4</v>
      </c>
      <c r="Q376" s="12">
        <f t="shared" si="76"/>
        <v>8.5085003020379368E-4</v>
      </c>
      <c r="R376" s="12">
        <f t="shared" si="77"/>
        <v>8.9919932118340349E-5</v>
      </c>
      <c r="S376" s="12">
        <f t="shared" si="78"/>
        <v>-2.0416278382462362E-4</v>
      </c>
      <c r="T376" s="12">
        <f t="shared" si="79"/>
        <v>-0.25761904761904786</v>
      </c>
      <c r="U376" s="12">
        <f t="shared" si="80"/>
        <v>-0.38434523809523791</v>
      </c>
      <c r="V376" s="12">
        <f t="shared" si="81"/>
        <v>-0.29011799410029404</v>
      </c>
    </row>
    <row r="377" spans="1:22" x14ac:dyDescent="0.25">
      <c r="A377" s="26">
        <v>67.11</v>
      </c>
      <c r="B377">
        <v>66.5</v>
      </c>
      <c r="C377">
        <v>2.7</v>
      </c>
      <c r="D377" s="2">
        <v>44852</v>
      </c>
      <c r="E377">
        <v>66.790000000000006</v>
      </c>
      <c r="F377">
        <v>0.32</v>
      </c>
      <c r="G377">
        <v>-0.29000000000000625</v>
      </c>
      <c r="H377" s="5">
        <f t="shared" si="82"/>
        <v>4.7911363976643204E-3</v>
      </c>
      <c r="I377" s="3">
        <f t="shared" si="70"/>
        <v>1.3295943456703749</v>
      </c>
      <c r="J377" s="5">
        <f t="shared" si="83"/>
        <v>-4.3419673603833841E-3</v>
      </c>
      <c r="K377" s="3">
        <f t="shared" si="71"/>
        <v>-0.21177306998463472</v>
      </c>
      <c r="L377" s="3">
        <f t="shared" si="72"/>
        <v>1.1199519450081057</v>
      </c>
      <c r="N377" s="12">
        <f t="shared" si="73"/>
        <v>5.3133534614053591E-4</v>
      </c>
      <c r="O377" s="12">
        <f t="shared" si="74"/>
        <v>-2.3565513241710851E-4</v>
      </c>
      <c r="P377" s="12">
        <f t="shared" si="75"/>
        <v>-4.3749162517283009E-4</v>
      </c>
      <c r="Q377" s="12">
        <f t="shared" si="76"/>
        <v>3.3153672860978655E-4</v>
      </c>
      <c r="R377" s="12">
        <f t="shared" si="77"/>
        <v>-4.0203920571320806E-4</v>
      </c>
      <c r="S377" s="12">
        <f t="shared" si="78"/>
        <v>-6.2126919112805113E-4</v>
      </c>
      <c r="T377" s="12">
        <f t="shared" si="79"/>
        <v>-0.28666666666666707</v>
      </c>
      <c r="U377" s="12">
        <f t="shared" si="80"/>
        <v>-0.37077380952380956</v>
      </c>
      <c r="V377" s="12">
        <f t="shared" si="81"/>
        <v>-0.28373367045933406</v>
      </c>
    </row>
    <row r="378" spans="1:22" x14ac:dyDescent="0.25">
      <c r="A378" s="26">
        <v>66.25</v>
      </c>
      <c r="B378">
        <v>66.319999999999993</v>
      </c>
      <c r="C378">
        <v>2.29</v>
      </c>
      <c r="D378" s="2">
        <v>44851</v>
      </c>
      <c r="E378">
        <v>66.680000000000007</v>
      </c>
      <c r="F378">
        <v>-0.43</v>
      </c>
      <c r="G378">
        <v>-0.36000000000001364</v>
      </c>
      <c r="H378" s="5">
        <f t="shared" si="82"/>
        <v>-6.4487102579484099E-3</v>
      </c>
      <c r="I378" s="3">
        <f t="shared" si="70"/>
        <v>-1.0887663858802061</v>
      </c>
      <c r="J378" s="5">
        <f t="shared" si="83"/>
        <v>-5.3989202159570125E-3</v>
      </c>
      <c r="K378" s="3">
        <f t="shared" si="71"/>
        <v>-0.35944015596960593</v>
      </c>
      <c r="L378" s="3">
        <f t="shared" si="72"/>
        <v>0.42395325739706069</v>
      </c>
      <c r="N378" s="12">
        <f t="shared" si="73"/>
        <v>2.511501250634712E-5</v>
      </c>
      <c r="O378" s="12">
        <f t="shared" si="74"/>
        <v>-6.0466909032384991E-4</v>
      </c>
      <c r="P378" s="12">
        <f t="shared" si="75"/>
        <v>-8.3787432803394198E-4</v>
      </c>
      <c r="Q378" s="12">
        <f t="shared" si="76"/>
        <v>2.2684332484021984E-4</v>
      </c>
      <c r="R378" s="12">
        <f t="shared" si="77"/>
        <v>-4.8348931104645046E-4</v>
      </c>
      <c r="S378" s="12">
        <f t="shared" si="78"/>
        <v>-6.8776421163150052E-4</v>
      </c>
      <c r="T378" s="12">
        <f t="shared" si="79"/>
        <v>-0.38809523809523849</v>
      </c>
      <c r="U378" s="12">
        <f t="shared" si="80"/>
        <v>-0.42982142857142858</v>
      </c>
      <c r="V378" s="12">
        <f t="shared" si="81"/>
        <v>-0.33835651074589101</v>
      </c>
    </row>
    <row r="379" spans="1:22" x14ac:dyDescent="0.25">
      <c r="A379" s="26">
        <v>67.7</v>
      </c>
      <c r="B379">
        <v>67.63</v>
      </c>
      <c r="C379">
        <v>3.18</v>
      </c>
      <c r="D379" s="2">
        <v>44848</v>
      </c>
      <c r="E379">
        <v>67.72</v>
      </c>
      <c r="F379">
        <v>-0.02</v>
      </c>
      <c r="G379">
        <v>-9.0000000000003411E-2</v>
      </c>
      <c r="H379" s="5">
        <f t="shared" si="82"/>
        <v>-2.9533372711163615E-4</v>
      </c>
      <c r="I379" s="3">
        <f t="shared" si="70"/>
        <v>0.23627234897468358</v>
      </c>
      <c r="J379" s="5">
        <f t="shared" si="83"/>
        <v>-1.329001772002413E-3</v>
      </c>
      <c r="K379" s="3">
        <f t="shared" si="71"/>
        <v>0.20691122851596919</v>
      </c>
      <c r="L379" s="3">
        <f t="shared" si="72"/>
        <v>1.9611789944056544</v>
      </c>
      <c r="N379" s="12">
        <f t="shared" si="73"/>
        <v>3.3764405930085915E-5</v>
      </c>
      <c r="O379" s="12">
        <f t="shared" si="74"/>
        <v>-4.8771244403312142E-4</v>
      </c>
      <c r="P379" s="12">
        <f t="shared" si="75"/>
        <v>-7.871941074633677E-4</v>
      </c>
      <c r="Q379" s="12">
        <f t="shared" si="76"/>
        <v>8.803459127974117E-5</v>
      </c>
      <c r="R379" s="12">
        <f t="shared" si="77"/>
        <v>-5.4918747296713857E-4</v>
      </c>
      <c r="S379" s="12">
        <f t="shared" si="78"/>
        <v>-7.8256833955064279E-4</v>
      </c>
      <c r="T379" s="12">
        <f t="shared" si="79"/>
        <v>-0.52</v>
      </c>
      <c r="U379" s="12">
        <f t="shared" si="80"/>
        <v>-0.48244047619047548</v>
      </c>
      <c r="V379" s="12">
        <f t="shared" si="81"/>
        <v>-0.39512852928782038</v>
      </c>
    </row>
    <row r="380" spans="1:22" x14ac:dyDescent="0.25">
      <c r="A380" s="26">
        <v>66.650000000000006</v>
      </c>
      <c r="B380">
        <v>66.430000000000007</v>
      </c>
      <c r="C380">
        <v>2.39</v>
      </c>
      <c r="D380" s="2">
        <v>44847</v>
      </c>
      <c r="E380">
        <v>66.569999999999993</v>
      </c>
      <c r="F380">
        <v>0.08</v>
      </c>
      <c r="G380">
        <v>-0.13999999999998636</v>
      </c>
      <c r="H380" s="5">
        <f t="shared" si="82"/>
        <v>1.2017425266636626E-3</v>
      </c>
      <c r="I380" s="3">
        <f t="shared" si="70"/>
        <v>0.56057885322842438</v>
      </c>
      <c r="J380" s="5">
        <f t="shared" si="83"/>
        <v>-2.1030494216612043E-3</v>
      </c>
      <c r="K380" s="3">
        <f t="shared" si="71"/>
        <v>9.8489025246736375E-2</v>
      </c>
      <c r="L380" s="3">
        <f t="shared" si="72"/>
        <v>0.6180521530687817</v>
      </c>
      <c r="N380" s="12">
        <f t="shared" si="73"/>
        <v>-7.2267806625272643E-5</v>
      </c>
      <c r="O380" s="12">
        <f t="shared" si="74"/>
        <v>-6.8064152222745817E-4</v>
      </c>
      <c r="P380" s="12">
        <f t="shared" si="75"/>
        <v>-8.8801449094995811E-4</v>
      </c>
      <c r="Q380" s="12">
        <f t="shared" si="76"/>
        <v>9.9083560168097481E-5</v>
      </c>
      <c r="R380" s="12">
        <f t="shared" si="77"/>
        <v>-6.0844198545629679E-4</v>
      </c>
      <c r="S380" s="12">
        <f t="shared" si="78"/>
        <v>-8.1720663860258835E-4</v>
      </c>
      <c r="T380" s="12">
        <f t="shared" si="79"/>
        <v>-0.6528571428571428</v>
      </c>
      <c r="U380" s="12">
        <f t="shared" si="80"/>
        <v>-0.55559523809523781</v>
      </c>
      <c r="V380" s="12">
        <f t="shared" si="81"/>
        <v>-0.46367045933417539</v>
      </c>
    </row>
    <row r="381" spans="1:22" x14ac:dyDescent="0.25">
      <c r="A381" s="26">
        <v>65.760000000000005</v>
      </c>
      <c r="B381">
        <v>65.7</v>
      </c>
      <c r="C381">
        <v>2.4700000000000002</v>
      </c>
      <c r="D381" s="2">
        <v>44846</v>
      </c>
      <c r="E381">
        <v>65.77</v>
      </c>
      <c r="F381">
        <v>-0.01</v>
      </c>
      <c r="G381">
        <v>-6.9999999999993179E-2</v>
      </c>
      <c r="H381" s="5">
        <f t="shared" si="82"/>
        <v>-1.520450053215752E-4</v>
      </c>
      <c r="I381" s="3">
        <f t="shared" si="70"/>
        <v>0.26651671073707889</v>
      </c>
      <c r="J381" s="5">
        <f t="shared" si="83"/>
        <v>-1.0643150372509228E-3</v>
      </c>
      <c r="K381" s="3">
        <f t="shared" si="71"/>
        <v>0.2435088504874629</v>
      </c>
      <c r="L381" s="3">
        <f t="shared" si="72"/>
        <v>0.76001428814547856</v>
      </c>
      <c r="N381" s="12">
        <f t="shared" si="73"/>
        <v>-8.5075324903435725E-4</v>
      </c>
      <c r="O381" s="12">
        <f t="shared" si="74"/>
        <v>-1.1222995864241761E-3</v>
      </c>
      <c r="P381" s="12">
        <f t="shared" si="75"/>
        <v>-1.2026304664732482E-3</v>
      </c>
      <c r="Q381" s="12">
        <f t="shared" si="76"/>
        <v>3.9608730913681146E-5</v>
      </c>
      <c r="R381" s="12">
        <f t="shared" si="77"/>
        <v>-6.8310188875864587E-4</v>
      </c>
      <c r="S381" s="12">
        <f t="shared" si="78"/>
        <v>-8.7085407153102579E-4</v>
      </c>
      <c r="T381" s="12">
        <f t="shared" si="79"/>
        <v>-0.75285714285714245</v>
      </c>
      <c r="U381" s="12">
        <f t="shared" si="80"/>
        <v>-0.58404761904761826</v>
      </c>
      <c r="V381" s="12">
        <f t="shared" si="81"/>
        <v>-0.48879477454698672</v>
      </c>
    </row>
    <row r="382" spans="1:22" x14ac:dyDescent="0.25">
      <c r="A382" s="26">
        <v>66.34</v>
      </c>
      <c r="B382">
        <v>65.83</v>
      </c>
      <c r="C382">
        <v>2</v>
      </c>
      <c r="D382" s="2">
        <v>44845</v>
      </c>
      <c r="E382">
        <v>65.930000000000007</v>
      </c>
      <c r="F382">
        <v>0.41</v>
      </c>
      <c r="G382">
        <v>-0.10000000000000853</v>
      </c>
      <c r="H382" s="5">
        <f t="shared" si="82"/>
        <v>6.2187168208706197E-3</v>
      </c>
      <c r="I382" s="3">
        <f t="shared" si="70"/>
        <v>1.6488475506826881</v>
      </c>
      <c r="J382" s="5">
        <f t="shared" si="83"/>
        <v>-1.5167602002124755E-3</v>
      </c>
      <c r="K382" s="3">
        <f t="shared" si="71"/>
        <v>0.18033306299244919</v>
      </c>
      <c r="L382" s="3">
        <f t="shared" si="72"/>
        <v>-4.9055215681558552E-2</v>
      </c>
      <c r="N382" s="12">
        <f t="shared" si="73"/>
        <v>-2.4555840289594956E-4</v>
      </c>
      <c r="O382" s="12">
        <f t="shared" si="74"/>
        <v>-7.8745233715977222E-4</v>
      </c>
      <c r="P382" s="12">
        <f t="shared" si="75"/>
        <v>-7.9618561305435645E-4</v>
      </c>
      <c r="Q382" s="12">
        <f t="shared" si="76"/>
        <v>2.0517841514839947E-4</v>
      </c>
      <c r="R382" s="12">
        <f t="shared" si="77"/>
        <v>-5.9448634094354941E-4</v>
      </c>
      <c r="S382" s="12">
        <f t="shared" si="78"/>
        <v>-7.17919413801922E-4</v>
      </c>
      <c r="T382" s="12">
        <f t="shared" si="79"/>
        <v>-0.84333333333333327</v>
      </c>
      <c r="U382" s="12">
        <f t="shared" si="80"/>
        <v>-0.60946428571428513</v>
      </c>
      <c r="V382" s="12">
        <f t="shared" si="81"/>
        <v>-0.50954487989886221</v>
      </c>
    </row>
    <row r="383" spans="1:22" x14ac:dyDescent="0.25">
      <c r="A383" s="26">
        <v>67.010000000000005</v>
      </c>
      <c r="B383">
        <v>66.510000000000005</v>
      </c>
      <c r="C383">
        <v>1.95</v>
      </c>
      <c r="D383" s="2">
        <v>44844</v>
      </c>
      <c r="E383">
        <v>66.88</v>
      </c>
      <c r="F383">
        <v>0.13</v>
      </c>
      <c r="G383">
        <v>-0.36999999999999034</v>
      </c>
      <c r="H383" s="5">
        <f t="shared" si="82"/>
        <v>1.9437799043062203E-3</v>
      </c>
      <c r="I383" s="3">
        <f t="shared" si="70"/>
        <v>0.73594107171319156</v>
      </c>
      <c r="J383" s="5">
        <f t="shared" si="83"/>
        <v>-5.5322966507175596E-3</v>
      </c>
      <c r="K383" s="3">
        <f t="shared" si="71"/>
        <v>-0.38074567102020246</v>
      </c>
      <c r="L383" s="3">
        <f t="shared" si="72"/>
        <v>-0.13117696420527511</v>
      </c>
      <c r="N383" s="12">
        <f t="shared" si="73"/>
        <v>-1.0364373808427981E-3</v>
      </c>
      <c r="O383" s="12">
        <f t="shared" si="74"/>
        <v>-1.6714244040673676E-3</v>
      </c>
      <c r="P383" s="12">
        <f t="shared" si="75"/>
        <v>-1.4996712839330047E-3</v>
      </c>
      <c r="Q383" s="12">
        <f t="shared" si="76"/>
        <v>2.828715936000056E-4</v>
      </c>
      <c r="R383" s="12">
        <f t="shared" si="77"/>
        <v>-7.1435425309494078E-4</v>
      </c>
      <c r="S383" s="12">
        <f t="shared" si="78"/>
        <v>-7.9153281908302554E-4</v>
      </c>
      <c r="T383" s="12">
        <f t="shared" si="79"/>
        <v>-0.84285714285714297</v>
      </c>
      <c r="U383" s="12">
        <f t="shared" si="80"/>
        <v>-0.60279761904761875</v>
      </c>
      <c r="V383" s="12">
        <f t="shared" si="81"/>
        <v>-0.50115887062789666</v>
      </c>
    </row>
    <row r="384" spans="1:22" x14ac:dyDescent="0.25">
      <c r="A384" s="26">
        <v>67.52</v>
      </c>
      <c r="B384">
        <v>67.5</v>
      </c>
      <c r="C384">
        <v>2.02</v>
      </c>
      <c r="D384" s="2">
        <v>44841</v>
      </c>
      <c r="E384">
        <v>67.77</v>
      </c>
      <c r="F384">
        <v>-0.25</v>
      </c>
      <c r="G384">
        <v>-0.26999999999999602</v>
      </c>
      <c r="H384" s="5">
        <f t="shared" si="82"/>
        <v>-3.6889479120554821E-3</v>
      </c>
      <c r="I384" s="3">
        <f t="shared" si="70"/>
        <v>-0.48831908798262208</v>
      </c>
      <c r="J384" s="5">
        <f t="shared" si="83"/>
        <v>-3.9840637450198621E-3</v>
      </c>
      <c r="K384" s="3">
        <f t="shared" si="71"/>
        <v>-0.16681051512443759</v>
      </c>
      <c r="L384" s="3">
        <f t="shared" si="72"/>
        <v>-6.6161742966089889E-3</v>
      </c>
      <c r="N384" s="12">
        <f t="shared" si="73"/>
        <v>-1.2101123016385346E-3</v>
      </c>
      <c r="O384" s="12">
        <f t="shared" si="74"/>
        <v>-1.8981737714838835E-3</v>
      </c>
      <c r="P384" s="12">
        <f t="shared" si="75"/>
        <v>-1.5846227506257228E-3</v>
      </c>
      <c r="Q384" s="12">
        <f t="shared" si="76"/>
        <v>3.5470805523420655E-4</v>
      </c>
      <c r="R384" s="12">
        <f t="shared" si="77"/>
        <v>-6.538052071924697E-4</v>
      </c>
      <c r="S384" s="12">
        <f t="shared" si="78"/>
        <v>-5.610209959793183E-4</v>
      </c>
      <c r="T384" s="12">
        <f t="shared" si="79"/>
        <v>-0.87190476190476218</v>
      </c>
      <c r="U384" s="12">
        <f t="shared" si="80"/>
        <v>-0.58982142857142872</v>
      </c>
      <c r="V384" s="12">
        <f t="shared" si="81"/>
        <v>-0.48639696586599213</v>
      </c>
    </row>
    <row r="385" spans="1:22" x14ac:dyDescent="0.25">
      <c r="A385" s="26">
        <v>65.760000000000005</v>
      </c>
      <c r="B385">
        <v>65.540000000000006</v>
      </c>
      <c r="C385">
        <v>2.65</v>
      </c>
      <c r="D385" s="2">
        <v>44840</v>
      </c>
      <c r="E385">
        <v>65.790000000000006</v>
      </c>
      <c r="F385">
        <v>-0.03</v>
      </c>
      <c r="G385">
        <v>-0.25</v>
      </c>
      <c r="H385" s="5">
        <f t="shared" si="82"/>
        <v>-4.5599635202918371E-4</v>
      </c>
      <c r="I385" s="3">
        <f t="shared" si="70"/>
        <v>0.21650171884670066</v>
      </c>
      <c r="J385" s="5">
        <f t="shared" si="83"/>
        <v>-3.7999696002431979E-3</v>
      </c>
      <c r="K385" s="3">
        <f t="shared" si="71"/>
        <v>-0.14223122840048241</v>
      </c>
      <c r="L385" s="3">
        <f t="shared" si="72"/>
        <v>1.0851444059236033</v>
      </c>
      <c r="N385" s="12">
        <f t="shared" si="73"/>
        <v>-1.5797889568624618E-3</v>
      </c>
      <c r="O385" s="12">
        <f t="shared" si="74"/>
        <v>-1.9928262134162678E-3</v>
      </c>
      <c r="P385" s="12">
        <f t="shared" si="75"/>
        <v>-1.6097028356454187E-3</v>
      </c>
      <c r="Q385" s="12">
        <f t="shared" si="76"/>
        <v>5.0628638090642868E-4</v>
      </c>
      <c r="R385" s="12">
        <f t="shared" si="77"/>
        <v>-5.7639188136854877E-4</v>
      </c>
      <c r="S385" s="12">
        <f t="shared" si="78"/>
        <v>-4.9745471583271649E-4</v>
      </c>
      <c r="T385" s="12">
        <f t="shared" si="79"/>
        <v>-0.93761904761904757</v>
      </c>
      <c r="U385" s="12">
        <f t="shared" si="80"/>
        <v>-0.58958333333333357</v>
      </c>
      <c r="V385" s="12">
        <f t="shared" si="81"/>
        <v>-0.47522966708807424</v>
      </c>
    </row>
    <row r="386" spans="1:22" x14ac:dyDescent="0.25">
      <c r="A386" s="26">
        <v>66.17</v>
      </c>
      <c r="B386">
        <v>65.98</v>
      </c>
      <c r="C386">
        <v>1.41</v>
      </c>
      <c r="D386" s="2">
        <v>44838</v>
      </c>
      <c r="E386">
        <v>66.42</v>
      </c>
      <c r="F386">
        <v>-0.25</v>
      </c>
      <c r="G386">
        <v>-0.43999999999999773</v>
      </c>
      <c r="H386" s="5">
        <f t="shared" si="82"/>
        <v>-3.7639265281541705E-3</v>
      </c>
      <c r="I386" s="3">
        <f t="shared" si="70"/>
        <v>-0.5064769674561943</v>
      </c>
      <c r="J386" s="5">
        <f t="shared" si="83"/>
        <v>-6.6245106895513059E-3</v>
      </c>
      <c r="K386" s="3">
        <f t="shared" si="71"/>
        <v>-0.53778870485298524</v>
      </c>
      <c r="L386" s="3">
        <f t="shared" si="72"/>
        <v>-1.0537389939392994</v>
      </c>
      <c r="N386" s="12">
        <f t="shared" si="73"/>
        <v>-2.2330141204289691E-3</v>
      </c>
      <c r="O386" s="12">
        <f t="shared" si="74"/>
        <v>-2.4129741634179554E-3</v>
      </c>
      <c r="P386" s="12">
        <f t="shared" si="75"/>
        <v>-1.9214218888299799E-3</v>
      </c>
      <c r="Q386" s="12">
        <f t="shared" si="76"/>
        <v>5.8049881114443421E-4</v>
      </c>
      <c r="R386" s="12">
        <f t="shared" si="77"/>
        <v>-5.9907255974511655E-4</v>
      </c>
      <c r="S386" s="12">
        <f t="shared" si="78"/>
        <v>-4.8026921685770906E-4</v>
      </c>
      <c r="T386" s="12">
        <f t="shared" si="79"/>
        <v>-1.078095238095238</v>
      </c>
      <c r="U386" s="12">
        <f t="shared" si="80"/>
        <v>-0.65232142857142872</v>
      </c>
      <c r="V386" s="12">
        <f t="shared" si="81"/>
        <v>-0.5234386852085966</v>
      </c>
    </row>
    <row r="387" spans="1:22" x14ac:dyDescent="0.25">
      <c r="A387" s="26">
        <v>64.45</v>
      </c>
      <c r="B387">
        <v>64.63</v>
      </c>
      <c r="C387">
        <v>1.77</v>
      </c>
      <c r="D387" s="2">
        <v>44837</v>
      </c>
      <c r="E387">
        <v>64.849999999999994</v>
      </c>
      <c r="F387">
        <v>-0.4</v>
      </c>
      <c r="G387">
        <v>-0.21999999999999886</v>
      </c>
      <c r="H387" s="5">
        <f t="shared" si="82"/>
        <v>-6.1680801850424061E-3</v>
      </c>
      <c r="I387" s="3">
        <f t="shared" ref="I387:I450" si="84">IFERROR((H387-AVERAGEA(H387:H603))/_xlfn.STDEV.S(H387:H603), " ")</f>
        <v>-1.0356240293391867</v>
      </c>
      <c r="J387" s="5">
        <f t="shared" si="83"/>
        <v>-3.392444101773306E-3</v>
      </c>
      <c r="K387" s="3">
        <f t="shared" ref="K387:K450" si="85">IFERROR((J387-AVERAGEA(J387:J603))/_xlfn.STDEV.S(J387:J603), " ")</f>
        <v>-8.9094238792917946E-2</v>
      </c>
      <c r="L387" s="3">
        <f t="shared" ref="L387:L450" si="86">(C387-AVERAGEA(C387:C603))/_xlfn.STDEV.S(C387:C603)</f>
        <v>-0.43368223514166515</v>
      </c>
      <c r="N387" s="12">
        <f t="shared" ref="N387:N439" si="87">AVERAGEA(H387:H407)-AVERAGE(H408:H428)</f>
        <v>-2.8280778407746153E-3</v>
      </c>
      <c r="O387" s="12">
        <f t="shared" ref="O387:O439" si="88">AVERAGEA(H387:H407)-AVERAGE(H408:H463)</f>
        <v>-2.4943789939970177E-3</v>
      </c>
      <c r="P387" s="12">
        <f t="shared" ref="P387:P439" si="89">AVERAGEA(H387:H407)-AVERAGE(H408:H520)</f>
        <v>-1.9054954884732561E-3</v>
      </c>
      <c r="Q387" s="12">
        <f t="shared" ref="Q387:Q439" si="90">AVERAGEA(J387:J407)-AVERAGE(J408:J428)</f>
        <v>6.9043182144545596E-4</v>
      </c>
      <c r="R387" s="12">
        <f t="shared" ref="R387:R439" si="91">AVERAGEA(J387:J407)-AVERAGE(J408:J463)</f>
        <v>-4.600862293195093E-4</v>
      </c>
      <c r="S387" s="12">
        <f t="shared" ref="S387:S439" si="92">AVERAGEA(J387:J407)-AVERAGE(J408:J520)</f>
        <v>-3.3341296397831855E-4</v>
      </c>
      <c r="T387" s="12">
        <f t="shared" ref="T387:T439" si="93">AVERAGEA(C387:C407)-AVERAGE(C408:C428)</f>
        <v>-1.1514285714285708</v>
      </c>
      <c r="U387" s="12">
        <f t="shared" ref="U387:U439" si="94">AVERAGEA(C387:C407)-AVERAGE(C408:C463)</f>
        <v>-0.64333333333333353</v>
      </c>
      <c r="V387" s="12">
        <f t="shared" ref="V387:V439" si="95">AVERAGEA(C387:C407)-AVERAGE(C408:C520)</f>
        <v>-0.50028655710071623</v>
      </c>
    </row>
    <row r="388" spans="1:22" x14ac:dyDescent="0.25">
      <c r="A388" s="26">
        <v>66.87</v>
      </c>
      <c r="B388">
        <v>67.25</v>
      </c>
      <c r="C388">
        <v>1.63</v>
      </c>
      <c r="D388" s="2">
        <v>44834</v>
      </c>
      <c r="E388">
        <v>67.36</v>
      </c>
      <c r="F388">
        <v>-0.49</v>
      </c>
      <c r="G388">
        <v>-0.10999999999999943</v>
      </c>
      <c r="H388" s="5">
        <f t="shared" ref="H388:H451" si="96">IFERROR(F388/E388,"")</f>
        <v>-7.2743467933491686E-3</v>
      </c>
      <c r="I388" s="3">
        <f t="shared" si="84"/>
        <v>-1.2871191086197815</v>
      </c>
      <c r="J388" s="5">
        <f t="shared" ref="J388:J451" si="97">IFERROR(G388/E388,"")</f>
        <v>-1.6330166270783764E-3</v>
      </c>
      <c r="K388" s="3">
        <f t="shared" si="85"/>
        <v>0.15641331528676977</v>
      </c>
      <c r="L388" s="3">
        <f t="shared" si="86"/>
        <v>-0.6736731564718561</v>
      </c>
      <c r="N388" s="12">
        <f t="shared" si="87"/>
        <v>-2.7063855319555369E-3</v>
      </c>
      <c r="O388" s="12">
        <f t="shared" si="88"/>
        <v>-2.397655078580422E-3</v>
      </c>
      <c r="P388" s="12">
        <f t="shared" si="89"/>
        <v>-1.6700966831560253E-3</v>
      </c>
      <c r="Q388" s="12">
        <f t="shared" si="90"/>
        <v>7.0945702598982675E-4</v>
      </c>
      <c r="R388" s="12">
        <f t="shared" si="91"/>
        <v>-4.3744293597627534E-4</v>
      </c>
      <c r="S388" s="12">
        <f t="shared" si="92"/>
        <v>-2.9323422853990561E-4</v>
      </c>
      <c r="T388" s="12">
        <f t="shared" si="93"/>
        <v>-1.1019047619047617</v>
      </c>
      <c r="U388" s="12">
        <f t="shared" si="94"/>
        <v>-0.59761904761904905</v>
      </c>
      <c r="V388" s="12">
        <f t="shared" si="95"/>
        <v>-0.45056468605141253</v>
      </c>
    </row>
    <row r="389" spans="1:22" x14ac:dyDescent="0.25">
      <c r="A389" s="26">
        <v>64.7</v>
      </c>
      <c r="B389">
        <v>64.28</v>
      </c>
      <c r="C389">
        <v>1.71</v>
      </c>
      <c r="D389" s="2">
        <v>44833</v>
      </c>
      <c r="E389">
        <v>64.52</v>
      </c>
      <c r="F389">
        <v>0.18</v>
      </c>
      <c r="G389">
        <v>-0.23999999999999488</v>
      </c>
      <c r="H389" s="5">
        <f t="shared" si="96"/>
        <v>2.7898326100433976E-3</v>
      </c>
      <c r="I389" s="3">
        <f t="shared" si="84"/>
        <v>0.91328180637451972</v>
      </c>
      <c r="J389" s="5">
        <f t="shared" si="97"/>
        <v>-3.7197768133911176E-3</v>
      </c>
      <c r="K389" s="3">
        <f t="shared" si="85"/>
        <v>-0.13475718538558806</v>
      </c>
      <c r="L389" s="3">
        <f t="shared" si="86"/>
        <v>-0.53341450342300401</v>
      </c>
      <c r="N389" s="12">
        <f t="shared" si="87"/>
        <v>-3.3786257221889745E-3</v>
      </c>
      <c r="O389" s="12">
        <f t="shared" si="88"/>
        <v>-2.719794100205581E-3</v>
      </c>
      <c r="P389" s="12">
        <f t="shared" si="89"/>
        <v>-1.878486966436366E-3</v>
      </c>
      <c r="Q389" s="12">
        <f t="shared" si="90"/>
        <v>3.6846579670832963E-4</v>
      </c>
      <c r="R389" s="12">
        <f t="shared" si="91"/>
        <v>-7.3254352549940354E-4</v>
      </c>
      <c r="S389" s="12">
        <f t="shared" si="92"/>
        <v>-5.2724781943110349E-4</v>
      </c>
      <c r="T389" s="12">
        <f t="shared" si="93"/>
        <v>-1.0628571428571427</v>
      </c>
      <c r="U389" s="12">
        <f t="shared" si="94"/>
        <v>-0.56071428571428683</v>
      </c>
      <c r="V389" s="12">
        <f t="shared" si="95"/>
        <v>-0.41046776232616944</v>
      </c>
    </row>
    <row r="390" spans="1:22" x14ac:dyDescent="0.25">
      <c r="A390" s="26">
        <v>64.709999999999994</v>
      </c>
      <c r="B390">
        <v>64.83</v>
      </c>
      <c r="C390">
        <v>1.5</v>
      </c>
      <c r="D390" s="2">
        <v>44832</v>
      </c>
      <c r="E390">
        <v>65.27</v>
      </c>
      <c r="F390">
        <v>-0.56000000000000005</v>
      </c>
      <c r="G390">
        <v>-0.43999999999999773</v>
      </c>
      <c r="H390" s="5">
        <f t="shared" si="96"/>
        <v>-8.5797456718247293E-3</v>
      </c>
      <c r="I390" s="3">
        <f t="shared" si="84"/>
        <v>-1.5811573712628491</v>
      </c>
      <c r="J390" s="5">
        <f t="shared" si="97"/>
        <v>-6.7412287421479665E-3</v>
      </c>
      <c r="K390" s="3">
        <f t="shared" si="85"/>
        <v>-0.55841749723915879</v>
      </c>
      <c r="L390" s="3">
        <f t="shared" si="86"/>
        <v>-0.89404353769865375</v>
      </c>
      <c r="N390" s="12">
        <f t="shared" si="87"/>
        <v>-4.2427310661967673E-3</v>
      </c>
      <c r="O390" s="12">
        <f t="shared" si="88"/>
        <v>-3.2349442925777377E-3</v>
      </c>
      <c r="P390" s="12">
        <f t="shared" si="89"/>
        <v>-2.4324108672106907E-3</v>
      </c>
      <c r="Q390" s="12">
        <f t="shared" si="90"/>
        <v>-2.6270317254845771E-5</v>
      </c>
      <c r="R390" s="12">
        <f t="shared" si="91"/>
        <v>-9.7886599265567184E-4</v>
      </c>
      <c r="S390" s="12">
        <f t="shared" si="92"/>
        <v>-7.5673478439256241E-4</v>
      </c>
      <c r="T390" s="12">
        <f t="shared" si="93"/>
        <v>-0.99380952380952392</v>
      </c>
      <c r="U390" s="12">
        <f t="shared" si="94"/>
        <v>-0.49511904761904857</v>
      </c>
      <c r="V390" s="12">
        <f t="shared" si="95"/>
        <v>-0.34488832701222094</v>
      </c>
    </row>
    <row r="391" spans="1:22" x14ac:dyDescent="0.25">
      <c r="A391" s="26">
        <v>67.7</v>
      </c>
      <c r="B391">
        <v>67.569999999999993</v>
      </c>
      <c r="C391">
        <v>1.92</v>
      </c>
      <c r="D391" s="2">
        <v>44831</v>
      </c>
      <c r="E391">
        <v>67.760000000000005</v>
      </c>
      <c r="F391">
        <v>-0.06</v>
      </c>
      <c r="G391">
        <v>-0.19000000000001194</v>
      </c>
      <c r="H391" s="5">
        <f t="shared" si="96"/>
        <v>-8.8547815820543083E-4</v>
      </c>
      <c r="I391" s="3">
        <f t="shared" si="84"/>
        <v>0.10564947755063625</v>
      </c>
      <c r="J391" s="5">
        <f t="shared" si="97"/>
        <v>-2.8040141676507072E-3</v>
      </c>
      <c r="K391" s="3">
        <f t="shared" si="85"/>
        <v>-9.9654454056060781E-3</v>
      </c>
      <c r="L391" s="3">
        <f t="shared" si="86"/>
        <v>-0.16999245510112959</v>
      </c>
      <c r="N391" s="12">
        <f t="shared" si="87"/>
        <v>-3.7910442804127598E-3</v>
      </c>
      <c r="O391" s="12">
        <f t="shared" si="88"/>
        <v>-2.5251937391154358E-3</v>
      </c>
      <c r="P391" s="12">
        <f t="shared" si="89"/>
        <v>-1.8653507304142566E-3</v>
      </c>
      <c r="Q391" s="12">
        <f t="shared" si="90"/>
        <v>6.4333523979130669E-6</v>
      </c>
      <c r="R391" s="12">
        <f t="shared" si="91"/>
        <v>-8.5662377075569054E-4</v>
      </c>
      <c r="S391" s="12">
        <f t="shared" si="92"/>
        <v>-6.8070170818647835E-4</v>
      </c>
      <c r="T391" s="12">
        <f t="shared" si="93"/>
        <v>-1.0104761904761905</v>
      </c>
      <c r="U391" s="12">
        <f t="shared" si="94"/>
        <v>-0.4738690476190488</v>
      </c>
      <c r="V391" s="12">
        <f t="shared" si="95"/>
        <v>-0.31840286557100717</v>
      </c>
    </row>
    <row r="392" spans="1:22" x14ac:dyDescent="0.25">
      <c r="A392" s="26">
        <v>66.02</v>
      </c>
      <c r="B392">
        <v>65.45</v>
      </c>
      <c r="C392">
        <v>1.81</v>
      </c>
      <c r="D392" s="2">
        <v>44830</v>
      </c>
      <c r="E392">
        <v>65.59</v>
      </c>
      <c r="F392">
        <v>0.43</v>
      </c>
      <c r="G392">
        <v>-0.14000000000000057</v>
      </c>
      <c r="H392" s="5">
        <f t="shared" si="96"/>
        <v>6.5558774203384662E-3</v>
      </c>
      <c r="I392" s="3">
        <f t="shared" si="84"/>
        <v>1.7540494424836157</v>
      </c>
      <c r="J392" s="5">
        <f t="shared" si="97"/>
        <v>-2.1344717182497416E-3</v>
      </c>
      <c r="K392" s="3">
        <f t="shared" si="85"/>
        <v>8.3674165934477851E-2</v>
      </c>
      <c r="L392" s="3">
        <f t="shared" si="86"/>
        <v>-0.35671496815831483</v>
      </c>
      <c r="N392" s="12">
        <f t="shared" si="87"/>
        <v>-2.6924941329510496E-3</v>
      </c>
      <c r="O392" s="12">
        <f t="shared" si="88"/>
        <v>-1.7667959317175669E-3</v>
      </c>
      <c r="P392" s="12">
        <f t="shared" si="89"/>
        <v>-1.2960657098311751E-3</v>
      </c>
      <c r="Q392" s="12">
        <f t="shared" si="90"/>
        <v>-1.2740521494337444E-4</v>
      </c>
      <c r="R392" s="12">
        <f t="shared" si="91"/>
        <v>-9.3042149020200341E-4</v>
      </c>
      <c r="S392" s="12">
        <f t="shared" si="92"/>
        <v>-7.6554694864498004E-4</v>
      </c>
      <c r="T392" s="12">
        <f t="shared" si="93"/>
        <v>-0.89666666666666739</v>
      </c>
      <c r="U392" s="12">
        <f t="shared" si="94"/>
        <v>-0.39142857142857235</v>
      </c>
      <c r="V392" s="12">
        <f t="shared" si="95"/>
        <v>-0.23903919089759817</v>
      </c>
    </row>
    <row r="393" spans="1:22" x14ac:dyDescent="0.25">
      <c r="A393" s="26">
        <v>67.56</v>
      </c>
      <c r="B393">
        <v>68.010000000000005</v>
      </c>
      <c r="C393">
        <v>1.59</v>
      </c>
      <c r="D393" s="2">
        <v>44827</v>
      </c>
      <c r="E393">
        <v>68.2</v>
      </c>
      <c r="F393">
        <v>-0.64</v>
      </c>
      <c r="G393">
        <v>-0.18999999999999773</v>
      </c>
      <c r="H393" s="5">
        <f t="shared" si="96"/>
        <v>-9.3841642228739003E-3</v>
      </c>
      <c r="I393" s="3">
        <f t="shared" si="84"/>
        <v>-1.7420937730481554</v>
      </c>
      <c r="J393" s="5">
        <f t="shared" si="97"/>
        <v>-2.7859237536656555E-3</v>
      </c>
      <c r="K393" s="3">
        <f t="shared" si="85"/>
        <v>-6.674996959432581E-3</v>
      </c>
      <c r="L393" s="3">
        <f t="shared" si="86"/>
        <v>-0.72710506508916661</v>
      </c>
      <c r="N393" s="12">
        <f t="shared" si="87"/>
        <v>-3.567491196866536E-3</v>
      </c>
      <c r="O393" s="12">
        <f t="shared" si="88"/>
        <v>-2.4023265462095704E-3</v>
      </c>
      <c r="P393" s="12">
        <f t="shared" si="89"/>
        <v>-1.9318510564493518E-3</v>
      </c>
      <c r="Q393" s="12">
        <f t="shared" si="90"/>
        <v>-3.1029584681031321E-4</v>
      </c>
      <c r="R393" s="12">
        <f t="shared" si="91"/>
        <v>-1.0456843632303515E-3</v>
      </c>
      <c r="S393" s="12">
        <f t="shared" si="92"/>
        <v>-8.783002592767492E-4</v>
      </c>
      <c r="T393" s="12">
        <f t="shared" si="93"/>
        <v>-0.79761904761904878</v>
      </c>
      <c r="U393" s="12">
        <f t="shared" si="94"/>
        <v>-0.3488690476190488</v>
      </c>
      <c r="V393" s="12">
        <f t="shared" si="95"/>
        <v>-0.18229667088074253</v>
      </c>
    </row>
    <row r="394" spans="1:22" x14ac:dyDescent="0.25">
      <c r="A394" s="26">
        <v>69.88</v>
      </c>
      <c r="B394">
        <v>69.709999999999994</v>
      </c>
      <c r="C394">
        <v>1.68</v>
      </c>
      <c r="D394" s="2">
        <v>44826</v>
      </c>
      <c r="E394">
        <v>69.930000000000007</v>
      </c>
      <c r="F394">
        <v>-0.05</v>
      </c>
      <c r="G394">
        <v>-0.22000000000001307</v>
      </c>
      <c r="H394" s="5">
        <f t="shared" si="96"/>
        <v>-7.1500071500071492E-4</v>
      </c>
      <c r="I394" s="3">
        <f t="shared" si="84"/>
        <v>0.15915099803779567</v>
      </c>
      <c r="J394" s="5">
        <f t="shared" si="97"/>
        <v>-3.1460031460033328E-3</v>
      </c>
      <c r="K394" s="3">
        <f t="shared" si="85"/>
        <v>-5.7319637835438413E-2</v>
      </c>
      <c r="L394" s="3">
        <f t="shared" si="86"/>
        <v>-0.56784963704968694</v>
      </c>
      <c r="N394" s="12">
        <f t="shared" si="87"/>
        <v>-2.744878975784132E-3</v>
      </c>
      <c r="O394" s="12">
        <f t="shared" si="88"/>
        <v>-1.780083318549807E-3</v>
      </c>
      <c r="P394" s="12">
        <f t="shared" si="89"/>
        <v>-1.3752134632641973E-3</v>
      </c>
      <c r="Q394" s="12">
        <f t="shared" si="90"/>
        <v>-3.6813318082261955E-4</v>
      </c>
      <c r="R394" s="12">
        <f t="shared" si="91"/>
        <v>-1.0375258220007028E-3</v>
      </c>
      <c r="S394" s="12">
        <f t="shared" si="92"/>
        <v>-9.1118267040333654E-4</v>
      </c>
      <c r="T394" s="12">
        <f t="shared" si="93"/>
        <v>-0.66476190476190533</v>
      </c>
      <c r="U394" s="12">
        <f t="shared" si="94"/>
        <v>-0.26505952380952458</v>
      </c>
      <c r="V394" s="12">
        <f t="shared" si="95"/>
        <v>-9.2393594605984397E-2</v>
      </c>
    </row>
    <row r="395" spans="1:22" x14ac:dyDescent="0.25">
      <c r="A395" s="26">
        <v>70.39</v>
      </c>
      <c r="B395">
        <v>69.91</v>
      </c>
      <c r="C395">
        <v>2.93</v>
      </c>
      <c r="D395" s="2">
        <v>44825</v>
      </c>
      <c r="E395">
        <v>70.52</v>
      </c>
      <c r="F395">
        <v>-0.13</v>
      </c>
      <c r="G395">
        <v>-0.60999999999999943</v>
      </c>
      <c r="H395" s="5">
        <f t="shared" si="96"/>
        <v>-1.8434486670448101E-3</v>
      </c>
      <c r="I395" s="3">
        <f t="shared" si="84"/>
        <v>-8.4187488801606675E-2</v>
      </c>
      <c r="J395" s="5">
        <f t="shared" si="97"/>
        <v>-8.6500283607487162E-3</v>
      </c>
      <c r="K395" s="3">
        <f t="shared" si="85"/>
        <v>-0.82801359788986251</v>
      </c>
      <c r="L395" s="3">
        <f t="shared" si="86"/>
        <v>1.5719638148126418</v>
      </c>
      <c r="N395" s="12">
        <f t="shared" si="87"/>
        <v>-1.9294133638156187E-3</v>
      </c>
      <c r="O395" s="12">
        <f t="shared" si="88"/>
        <v>-1.2438769417721274E-3</v>
      </c>
      <c r="P395" s="12">
        <f t="shared" si="89"/>
        <v>-8.890249729234293E-4</v>
      </c>
      <c r="Q395" s="12">
        <f t="shared" si="90"/>
        <v>-5.8846269215351993E-4</v>
      </c>
      <c r="R395" s="12">
        <f t="shared" si="91"/>
        <v>-1.1570855753482911E-3</v>
      </c>
      <c r="S395" s="12">
        <f t="shared" si="92"/>
        <v>-1.0325681168149212E-3</v>
      </c>
      <c r="T395" s="12">
        <f t="shared" si="93"/>
        <v>-0.57428571428571562</v>
      </c>
      <c r="U395" s="12">
        <f t="shared" si="94"/>
        <v>-0.19315476190476311</v>
      </c>
      <c r="V395" s="12">
        <f t="shared" si="95"/>
        <v>-2.0084281500211354E-2</v>
      </c>
    </row>
    <row r="396" spans="1:22" x14ac:dyDescent="0.25">
      <c r="A396" s="26">
        <v>70.38</v>
      </c>
      <c r="B396">
        <v>69.98</v>
      </c>
      <c r="C396">
        <v>2.11</v>
      </c>
      <c r="D396" s="2">
        <v>44824</v>
      </c>
      <c r="E396">
        <v>70.44</v>
      </c>
      <c r="F396">
        <v>-0.06</v>
      </c>
      <c r="G396">
        <v>-0.45999999999999375</v>
      </c>
      <c r="H396" s="5">
        <f t="shared" si="96"/>
        <v>-8.5178875638841568E-4</v>
      </c>
      <c r="I396" s="3">
        <f t="shared" si="84"/>
        <v>0.13373152951448522</v>
      </c>
      <c r="J396" s="5">
        <f t="shared" si="97"/>
        <v>-6.5303804656444316E-3</v>
      </c>
      <c r="K396" s="3">
        <f t="shared" si="85"/>
        <v>-0.53513515928540656</v>
      </c>
      <c r="L396" s="3">
        <f t="shared" si="86"/>
        <v>0.18242150945312294</v>
      </c>
      <c r="N396" s="12">
        <f t="shared" si="87"/>
        <v>-1.760674630743574E-3</v>
      </c>
      <c r="O396" s="12">
        <f t="shared" si="88"/>
        <v>-1.1715504675084084E-3</v>
      </c>
      <c r="P396" s="12">
        <f t="shared" si="89"/>
        <v>-8.2918019122578076E-4</v>
      </c>
      <c r="Q396" s="12">
        <f t="shared" si="90"/>
        <v>-7.4270640971500421E-4</v>
      </c>
      <c r="R396" s="12">
        <f t="shared" si="91"/>
        <v>-1.1701067774338267E-3</v>
      </c>
      <c r="S396" s="12">
        <f t="shared" si="92"/>
        <v>-1.013514551003803E-3</v>
      </c>
      <c r="T396" s="12">
        <f t="shared" si="93"/>
        <v>-0.47523809523809568</v>
      </c>
      <c r="U396" s="12">
        <f t="shared" si="94"/>
        <v>-0.14208333333333423</v>
      </c>
      <c r="V396" s="12">
        <f t="shared" si="95"/>
        <v>2.9106616097766214E-2</v>
      </c>
    </row>
    <row r="397" spans="1:22" x14ac:dyDescent="0.25">
      <c r="A397" s="26">
        <v>71.11</v>
      </c>
      <c r="B397">
        <v>70.88</v>
      </c>
      <c r="C397">
        <v>2.4900000000000002</v>
      </c>
      <c r="D397" s="2">
        <v>44823</v>
      </c>
      <c r="E397">
        <v>71.59</v>
      </c>
      <c r="F397">
        <v>-0.48</v>
      </c>
      <c r="G397">
        <v>-0.71000000000000796</v>
      </c>
      <c r="H397" s="5">
        <f t="shared" si="96"/>
        <v>-6.7048470456767695E-3</v>
      </c>
      <c r="I397" s="3">
        <f t="shared" si="84"/>
        <v>-1.1596462851790434</v>
      </c>
      <c r="J397" s="5">
        <f t="shared" si="97"/>
        <v>-9.9175862550636672E-3</v>
      </c>
      <c r="K397" s="3">
        <f t="shared" si="85"/>
        <v>-1.0140252261379361</v>
      </c>
      <c r="L397" s="3">
        <f t="shared" si="86"/>
        <v>0.83775599760595898</v>
      </c>
      <c r="N397" s="12">
        <f t="shared" si="87"/>
        <v>-2.4149341128528474E-3</v>
      </c>
      <c r="O397" s="12">
        <f t="shared" si="88"/>
        <v>-1.5013005268748548E-3</v>
      </c>
      <c r="P397" s="12">
        <f t="shared" si="89"/>
        <v>-1.1770936158386916E-3</v>
      </c>
      <c r="Q397" s="12">
        <f t="shared" si="90"/>
        <v>-1.0428301211624566E-3</v>
      </c>
      <c r="R397" s="12">
        <f t="shared" si="91"/>
        <v>-1.2561995423904407E-3</v>
      </c>
      <c r="S397" s="12">
        <f t="shared" si="92"/>
        <v>-1.0892202707392887E-3</v>
      </c>
      <c r="T397" s="12">
        <f t="shared" si="93"/>
        <v>-0.38476190476190508</v>
      </c>
      <c r="U397" s="12">
        <f t="shared" si="94"/>
        <v>-0.10672619047619136</v>
      </c>
      <c r="V397" s="12">
        <f t="shared" si="95"/>
        <v>6.7943531394858425E-2</v>
      </c>
    </row>
    <row r="398" spans="1:22" x14ac:dyDescent="0.25">
      <c r="A398" s="26">
        <v>71</v>
      </c>
      <c r="B398">
        <v>70.78</v>
      </c>
      <c r="C398">
        <v>1.67</v>
      </c>
      <c r="D398" s="2">
        <v>44820</v>
      </c>
      <c r="E398">
        <v>71.16</v>
      </c>
      <c r="F398">
        <v>-0.16</v>
      </c>
      <c r="G398">
        <v>-0.37999999999999545</v>
      </c>
      <c r="H398" s="5">
        <f t="shared" si="96"/>
        <v>-2.2484541877459247E-3</v>
      </c>
      <c r="I398" s="3">
        <f t="shared" si="84"/>
        <v>-0.18182246853016135</v>
      </c>
      <c r="J398" s="5">
        <f t="shared" si="97"/>
        <v>-5.3400786958965078E-3</v>
      </c>
      <c r="K398" s="3">
        <f t="shared" si="85"/>
        <v>-0.37775806774971393</v>
      </c>
      <c r="L398" s="3">
        <f t="shared" si="86"/>
        <v>-0.56273165251595281</v>
      </c>
      <c r="N398" s="12">
        <f t="shared" si="87"/>
        <v>-1.9800727052154406E-3</v>
      </c>
      <c r="O398" s="12">
        <f t="shared" si="88"/>
        <v>-1.1242324716128178E-3</v>
      </c>
      <c r="P398" s="12">
        <f t="shared" si="89"/>
        <v>-9.2443571366292924E-4</v>
      </c>
      <c r="Q398" s="12">
        <f t="shared" si="90"/>
        <v>-1.1011936770849158E-3</v>
      </c>
      <c r="R398" s="12">
        <f t="shared" si="91"/>
        <v>-1.147662044296692E-3</v>
      </c>
      <c r="S398" s="12">
        <f t="shared" si="92"/>
        <v>-1.0006687607733628E-3</v>
      </c>
      <c r="T398" s="12">
        <f t="shared" si="93"/>
        <v>-0.31095238095238109</v>
      </c>
      <c r="U398" s="12">
        <f t="shared" si="94"/>
        <v>-5.7500000000000995E-2</v>
      </c>
      <c r="V398" s="12">
        <f t="shared" si="95"/>
        <v>0.11532237673830581</v>
      </c>
    </row>
    <row r="399" spans="1:22" x14ac:dyDescent="0.25">
      <c r="A399" s="26">
        <v>70.84</v>
      </c>
      <c r="B399">
        <v>70.58</v>
      </c>
      <c r="C399">
        <v>1.41</v>
      </c>
      <c r="D399" s="2">
        <v>44819</v>
      </c>
      <c r="E399">
        <v>71.03</v>
      </c>
      <c r="F399">
        <v>-0.19</v>
      </c>
      <c r="G399">
        <v>-0.45000000000000284</v>
      </c>
      <c r="H399" s="5">
        <f t="shared" si="96"/>
        <v>-2.6749260875686331E-3</v>
      </c>
      <c r="I399" s="3">
        <f t="shared" si="84"/>
        <v>-0.27952786593918155</v>
      </c>
      <c r="J399" s="5">
        <f t="shared" si="97"/>
        <v>-6.3353512600310127E-3</v>
      </c>
      <c r="K399" s="3">
        <f t="shared" si="85"/>
        <v>-0.51913971004811976</v>
      </c>
      <c r="L399" s="3">
        <f t="shared" si="86"/>
        <v>-1.0129768556568732</v>
      </c>
      <c r="N399" s="12">
        <f t="shared" si="87"/>
        <v>-1.6036509401564079E-3</v>
      </c>
      <c r="O399" s="12">
        <f t="shared" si="88"/>
        <v>-9.6745960305528946E-4</v>
      </c>
      <c r="P399" s="12">
        <f t="shared" si="89"/>
        <v>-7.3973798516289665E-4</v>
      </c>
      <c r="Q399" s="12">
        <f t="shared" si="90"/>
        <v>-1.0487314946110798E-3</v>
      </c>
      <c r="R399" s="12">
        <f t="shared" si="91"/>
        <v>-1.1020875847171691E-3</v>
      </c>
      <c r="S399" s="12">
        <f t="shared" si="92"/>
        <v>-9.6289836224185913E-4</v>
      </c>
      <c r="T399" s="12">
        <f t="shared" si="93"/>
        <v>-0.22999999999999998</v>
      </c>
      <c r="U399" s="12">
        <f t="shared" si="94"/>
        <v>1.3095238095228723E-3</v>
      </c>
      <c r="V399" s="12">
        <f t="shared" si="95"/>
        <v>0.17849978929624966</v>
      </c>
    </row>
    <row r="400" spans="1:22" x14ac:dyDescent="0.25">
      <c r="A400" s="26">
        <v>68.290000000000006</v>
      </c>
      <c r="B400">
        <v>68.22</v>
      </c>
      <c r="C400">
        <v>1.88</v>
      </c>
      <c r="D400" s="2">
        <v>44818</v>
      </c>
      <c r="E400">
        <v>68.400000000000006</v>
      </c>
      <c r="F400">
        <v>-0.11</v>
      </c>
      <c r="G400">
        <v>-0.18000000000000682</v>
      </c>
      <c r="H400" s="5">
        <f t="shared" si="96"/>
        <v>-1.6081871345029238E-3</v>
      </c>
      <c r="I400" s="3">
        <f t="shared" si="84"/>
        <v>-4.4518580304330493E-2</v>
      </c>
      <c r="J400" s="5">
        <f t="shared" si="97"/>
        <v>-2.6315789473685207E-3</v>
      </c>
      <c r="K400" s="3">
        <f t="shared" si="85"/>
        <v>-1.0159360377924743E-3</v>
      </c>
      <c r="L400" s="3">
        <f t="shared" si="86"/>
        <v>-0.20794427878405264</v>
      </c>
      <c r="N400" s="12">
        <f t="shared" si="87"/>
        <v>-1.5033880079874679E-3</v>
      </c>
      <c r="O400" s="12">
        <f t="shared" si="88"/>
        <v>-7.5322899363531237E-4</v>
      </c>
      <c r="P400" s="12">
        <f t="shared" si="89"/>
        <v>-5.3979276285129286E-4</v>
      </c>
      <c r="Q400" s="12">
        <f t="shared" si="90"/>
        <v>-9.78831146634173E-4</v>
      </c>
      <c r="R400" s="12">
        <f t="shared" si="91"/>
        <v>-1.0588737344818617E-3</v>
      </c>
      <c r="S400" s="12">
        <f t="shared" si="92"/>
        <v>-8.8174244160647971E-4</v>
      </c>
      <c r="T400" s="12">
        <f t="shared" si="93"/>
        <v>-9.3809523809524009E-2</v>
      </c>
      <c r="U400" s="12">
        <f t="shared" si="94"/>
        <v>0.11041666666666616</v>
      </c>
      <c r="V400" s="12">
        <f t="shared" si="95"/>
        <v>0.28557943531394869</v>
      </c>
    </row>
    <row r="401" spans="1:22" x14ac:dyDescent="0.25">
      <c r="A401" s="26">
        <v>70.48</v>
      </c>
      <c r="B401">
        <v>70.61</v>
      </c>
      <c r="C401">
        <v>1.92</v>
      </c>
      <c r="D401" s="2">
        <v>44817</v>
      </c>
      <c r="E401">
        <v>70.86</v>
      </c>
      <c r="F401">
        <v>-0.38</v>
      </c>
      <c r="G401">
        <v>-0.25</v>
      </c>
      <c r="H401" s="5">
        <f t="shared" si="96"/>
        <v>-5.3626869884278857E-3</v>
      </c>
      <c r="I401" s="3">
        <f t="shared" si="84"/>
        <v>-0.87467518321501037</v>
      </c>
      <c r="J401" s="5">
        <f t="shared" si="97"/>
        <v>-3.528083545018346E-3</v>
      </c>
      <c r="K401" s="3">
        <f t="shared" si="85"/>
        <v>-0.12754848720735798</v>
      </c>
      <c r="L401" s="3">
        <f t="shared" si="86"/>
        <v>-0.13512504312929746</v>
      </c>
      <c r="N401" s="12">
        <f t="shared" si="87"/>
        <v>-1.1326205014322291E-3</v>
      </c>
      <c r="O401" s="12">
        <f t="shared" si="88"/>
        <v>-5.8251187375602345E-4</v>
      </c>
      <c r="P401" s="12">
        <f t="shared" si="89"/>
        <v>-5.1553126245626512E-4</v>
      </c>
      <c r="Q401" s="12">
        <f t="shared" si="90"/>
        <v>-1.0386825442554697E-3</v>
      </c>
      <c r="R401" s="12">
        <f t="shared" si="91"/>
        <v>-1.0923060081976656E-3</v>
      </c>
      <c r="S401" s="12">
        <f t="shared" si="92"/>
        <v>-9.7951507778792045E-4</v>
      </c>
      <c r="T401" s="12">
        <f t="shared" si="93"/>
        <v>2.1904761904762093E-2</v>
      </c>
      <c r="U401" s="12">
        <f t="shared" si="94"/>
        <v>0.20172619047619067</v>
      </c>
      <c r="V401" s="12">
        <f t="shared" si="95"/>
        <v>0.36962916139907342</v>
      </c>
    </row>
    <row r="402" spans="1:22" x14ac:dyDescent="0.25">
      <c r="A402" s="26">
        <v>65.959999999999994</v>
      </c>
      <c r="B402">
        <v>65.55</v>
      </c>
      <c r="C402">
        <v>2.09</v>
      </c>
      <c r="D402" s="2">
        <v>44816</v>
      </c>
      <c r="E402">
        <v>65.56</v>
      </c>
      <c r="F402">
        <v>0.4</v>
      </c>
      <c r="G402">
        <v>-1.0000000000005116E-2</v>
      </c>
      <c r="H402" s="5">
        <f t="shared" si="96"/>
        <v>6.1012812690665044E-3</v>
      </c>
      <c r="I402" s="3">
        <f t="shared" si="84"/>
        <v>1.6539525552730034</v>
      </c>
      <c r="J402" s="5">
        <f t="shared" si="97"/>
        <v>-1.5253203172674063E-4</v>
      </c>
      <c r="K402" s="3">
        <f t="shared" si="85"/>
        <v>0.34655963382809013</v>
      </c>
      <c r="L402" s="3">
        <f t="shared" si="86"/>
        <v>0.15926659354550093</v>
      </c>
      <c r="N402" s="12">
        <f t="shared" si="87"/>
        <v>-6.4545976321928608E-4</v>
      </c>
      <c r="O402" s="12">
        <f t="shared" si="88"/>
        <v>6.5990903450430499E-5</v>
      </c>
      <c r="P402" s="12">
        <f t="shared" si="89"/>
        <v>1.4251544721329739E-5</v>
      </c>
      <c r="Q402" s="12">
        <f t="shared" si="90"/>
        <v>-1.1546324592040559E-3</v>
      </c>
      <c r="R402" s="12">
        <f t="shared" si="91"/>
        <v>-1.0886003975501221E-3</v>
      </c>
      <c r="S402" s="12">
        <f t="shared" si="92"/>
        <v>-1.0292514554377467E-3</v>
      </c>
      <c r="T402" s="12">
        <f t="shared" si="93"/>
        <v>0.15476190476190466</v>
      </c>
      <c r="U402" s="12">
        <f t="shared" si="94"/>
        <v>0.29702380952380958</v>
      </c>
      <c r="V402" s="12">
        <f t="shared" si="95"/>
        <v>0.4683986514959968</v>
      </c>
    </row>
    <row r="403" spans="1:22" x14ac:dyDescent="0.25">
      <c r="A403" s="26">
        <v>65.209999999999994</v>
      </c>
      <c r="B403">
        <v>65.47</v>
      </c>
      <c r="C403">
        <v>2.23</v>
      </c>
      <c r="D403" s="2">
        <v>44813</v>
      </c>
      <c r="E403">
        <v>65.709999999999994</v>
      </c>
      <c r="F403">
        <v>-0.5</v>
      </c>
      <c r="G403">
        <v>-0.23999999999999488</v>
      </c>
      <c r="H403" s="5">
        <f t="shared" si="96"/>
        <v>-7.6091919038198154E-3</v>
      </c>
      <c r="I403" s="3">
        <f t="shared" si="84"/>
        <v>-1.3814554721785</v>
      </c>
      <c r="J403" s="5">
        <f t="shared" si="97"/>
        <v>-3.6524121138334334E-3</v>
      </c>
      <c r="K403" s="3">
        <f t="shared" si="85"/>
        <v>-0.14467817207684272</v>
      </c>
      <c r="L403" s="3">
        <f t="shared" si="86"/>
        <v>0.40163084831101781</v>
      </c>
      <c r="N403" s="12">
        <f t="shared" si="87"/>
        <v>-9.4096017032364496E-4</v>
      </c>
      <c r="O403" s="12">
        <f t="shared" si="88"/>
        <v>-2.8648340155753541E-4</v>
      </c>
      <c r="P403" s="12">
        <f t="shared" si="89"/>
        <v>-2.5400190722902694E-4</v>
      </c>
      <c r="Q403" s="12">
        <f t="shared" si="90"/>
        <v>-1.2910099866050499E-3</v>
      </c>
      <c r="R403" s="12">
        <f t="shared" si="91"/>
        <v>-1.1716375020551862E-3</v>
      </c>
      <c r="S403" s="12">
        <f t="shared" si="92"/>
        <v>-1.1523801910683792E-3</v>
      </c>
      <c r="T403" s="12">
        <f t="shared" si="93"/>
        <v>0.29809523809523819</v>
      </c>
      <c r="U403" s="12">
        <f t="shared" si="94"/>
        <v>0.39404761904761942</v>
      </c>
      <c r="V403" s="12">
        <f t="shared" si="95"/>
        <v>0.56272650653181655</v>
      </c>
    </row>
    <row r="404" spans="1:22" x14ac:dyDescent="0.25">
      <c r="A404" s="26">
        <v>71.05</v>
      </c>
      <c r="B404">
        <v>70.98</v>
      </c>
      <c r="C404">
        <v>2.2599999999999998</v>
      </c>
      <c r="D404" s="2">
        <v>44810</v>
      </c>
      <c r="E404">
        <v>71.28</v>
      </c>
      <c r="F404">
        <v>-0.23</v>
      </c>
      <c r="G404">
        <v>-0.29999999999999716</v>
      </c>
      <c r="H404" s="5">
        <f t="shared" si="96"/>
        <v>-3.2267115600448934E-3</v>
      </c>
      <c r="I404" s="3">
        <f t="shared" si="84"/>
        <v>-0.4132815106838611</v>
      </c>
      <c r="J404" s="5">
        <f t="shared" si="97"/>
        <v>-4.2087542087541688E-3</v>
      </c>
      <c r="K404" s="3">
        <f t="shared" si="85"/>
        <v>-0.22465975077438863</v>
      </c>
      <c r="L404" s="3">
        <f t="shared" si="86"/>
        <v>0.45814749765923801</v>
      </c>
      <c r="N404" s="12">
        <f t="shared" si="87"/>
        <v>-1.2680330721975069E-3</v>
      </c>
      <c r="O404" s="12">
        <f t="shared" si="88"/>
        <v>-3.1693298159434662E-4</v>
      </c>
      <c r="P404" s="12">
        <f t="shared" si="89"/>
        <v>-1.3027780470029494E-4</v>
      </c>
      <c r="Q404" s="12">
        <f t="shared" si="90"/>
        <v>-1.7089438011804658E-3</v>
      </c>
      <c r="R404" s="12">
        <f t="shared" si="91"/>
        <v>-1.4409488619616701E-3</v>
      </c>
      <c r="S404" s="12">
        <f t="shared" si="92"/>
        <v>-1.3794058622369695E-3</v>
      </c>
      <c r="T404" s="12">
        <f t="shared" si="93"/>
        <v>0.30952380952380976</v>
      </c>
      <c r="U404" s="12">
        <f t="shared" si="94"/>
        <v>0.39630952380952378</v>
      </c>
      <c r="V404" s="12">
        <f t="shared" si="95"/>
        <v>0.58435313948588297</v>
      </c>
    </row>
    <row r="405" spans="1:22" x14ac:dyDescent="0.25">
      <c r="A405" s="26">
        <v>73.75</v>
      </c>
      <c r="B405">
        <v>73.81</v>
      </c>
      <c r="C405">
        <v>2.13</v>
      </c>
      <c r="D405" s="2">
        <v>44809</v>
      </c>
      <c r="E405">
        <v>74</v>
      </c>
      <c r="F405">
        <v>-0.25</v>
      </c>
      <c r="G405">
        <v>-0.18999999999999773</v>
      </c>
      <c r="H405" s="5">
        <f t="shared" si="96"/>
        <v>-3.3783783783783786E-3</v>
      </c>
      <c r="I405" s="3">
        <f t="shared" si="84"/>
        <v>-0.44970638484338987</v>
      </c>
      <c r="J405" s="5">
        <f t="shared" si="97"/>
        <v>-2.567567567567537E-3</v>
      </c>
      <c r="K405" s="3">
        <f t="shared" si="85"/>
        <v>4.6993505872414852E-3</v>
      </c>
      <c r="L405" s="3">
        <f t="shared" si="86"/>
        <v>0.24212392481012665</v>
      </c>
      <c r="N405" s="12">
        <f t="shared" si="87"/>
        <v>-1.2359592803104366E-3</v>
      </c>
      <c r="O405" s="12">
        <f t="shared" si="88"/>
        <v>-4.0557954433345514E-4</v>
      </c>
      <c r="P405" s="12">
        <f t="shared" si="89"/>
        <v>-2.3395883271313026E-4</v>
      </c>
      <c r="Q405" s="12">
        <f t="shared" si="90"/>
        <v>-1.624211581702509E-3</v>
      </c>
      <c r="R405" s="12">
        <f t="shared" si="91"/>
        <v>-1.4315902439164287E-3</v>
      </c>
      <c r="S405" s="12">
        <f t="shared" si="92"/>
        <v>-1.4231381737196311E-3</v>
      </c>
      <c r="T405" s="12">
        <f t="shared" si="93"/>
        <v>0.40238095238095273</v>
      </c>
      <c r="U405" s="12">
        <f t="shared" si="94"/>
        <v>0.45136904761904706</v>
      </c>
      <c r="V405" s="12">
        <f t="shared" si="95"/>
        <v>0.64479983143699959</v>
      </c>
    </row>
    <row r="406" spans="1:22" x14ac:dyDescent="0.25">
      <c r="A406" s="26">
        <v>78.41</v>
      </c>
      <c r="B406">
        <v>78.67</v>
      </c>
      <c r="C406">
        <v>1.58</v>
      </c>
      <c r="D406" s="2">
        <v>44806</v>
      </c>
      <c r="E406">
        <v>78.94</v>
      </c>
      <c r="F406">
        <v>-0.53</v>
      </c>
      <c r="G406">
        <v>-0.26999999999999602</v>
      </c>
      <c r="H406" s="5">
        <f t="shared" si="96"/>
        <v>-6.7139599695971632E-3</v>
      </c>
      <c r="I406" s="3">
        <f t="shared" si="84"/>
        <v>-1.2005793710252564</v>
      </c>
      <c r="J406" s="5">
        <f t="shared" si="97"/>
        <v>-3.4203192297947303E-3</v>
      </c>
      <c r="K406" s="3">
        <f t="shared" si="85"/>
        <v>-0.11653304703243558</v>
      </c>
      <c r="L406" s="3">
        <f t="shared" si="86"/>
        <v>-0.69463925672352411</v>
      </c>
      <c r="N406" s="12">
        <f t="shared" si="87"/>
        <v>-2.3179139782844636E-4</v>
      </c>
      <c r="O406" s="12">
        <f t="shared" si="88"/>
        <v>1.2715228849125341E-4</v>
      </c>
      <c r="P406" s="12">
        <f t="shared" si="89"/>
        <v>2.0404086805706628E-4</v>
      </c>
      <c r="Q406" s="12">
        <f t="shared" si="90"/>
        <v>-1.8344360489291568E-3</v>
      </c>
      <c r="R406" s="12">
        <f t="shared" si="91"/>
        <v>-1.4900415573985315E-3</v>
      </c>
      <c r="S406" s="12">
        <f t="shared" si="92"/>
        <v>-1.5256505302222345E-3</v>
      </c>
      <c r="T406" s="12">
        <f t="shared" si="93"/>
        <v>0.54619047619047656</v>
      </c>
      <c r="U406" s="12">
        <f t="shared" si="94"/>
        <v>0.53910714285714256</v>
      </c>
      <c r="V406" s="12">
        <f t="shared" si="95"/>
        <v>0.73610619469026561</v>
      </c>
    </row>
    <row r="407" spans="1:22" x14ac:dyDescent="0.25">
      <c r="A407" s="26">
        <v>77.010000000000005</v>
      </c>
      <c r="B407">
        <v>77.05</v>
      </c>
      <c r="C407">
        <v>1.82</v>
      </c>
      <c r="D407" s="2">
        <v>44805</v>
      </c>
      <c r="E407">
        <v>77.31</v>
      </c>
      <c r="F407">
        <v>-0.3</v>
      </c>
      <c r="G407">
        <v>-0.26000000000000512</v>
      </c>
      <c r="H407" s="5">
        <f t="shared" si="96"/>
        <v>-3.8804811796662782E-3</v>
      </c>
      <c r="I407" s="3">
        <f t="shared" si="84"/>
        <v>-0.57365745418676162</v>
      </c>
      <c r="J407" s="5">
        <f t="shared" si="97"/>
        <v>-3.3630836890441744E-3</v>
      </c>
      <c r="K407" s="3">
        <f t="shared" si="85"/>
        <v>-0.10818169467849496</v>
      </c>
      <c r="L407" s="3">
        <f t="shared" si="86"/>
        <v>-0.28530999320327988</v>
      </c>
      <c r="N407" s="12">
        <f t="shared" si="87"/>
        <v>9.9365266322357093E-5</v>
      </c>
      <c r="O407" s="12">
        <f t="shared" si="88"/>
        <v>4.3563947291487938E-4</v>
      </c>
      <c r="P407" s="12">
        <f t="shared" si="89"/>
        <v>5.8155294973972864E-4</v>
      </c>
      <c r="Q407" s="12">
        <f t="shared" si="90"/>
        <v>-2.0174905551787149E-3</v>
      </c>
      <c r="R407" s="12">
        <f t="shared" si="91"/>
        <v>-1.5838155659989557E-3</v>
      </c>
      <c r="S407" s="12">
        <f t="shared" si="92"/>
        <v>-1.5994797599549527E-3</v>
      </c>
      <c r="T407" s="12">
        <f t="shared" si="93"/>
        <v>0.67761904761904779</v>
      </c>
      <c r="U407" s="12">
        <f t="shared" si="94"/>
        <v>0.65791666666666693</v>
      </c>
      <c r="V407" s="12">
        <f t="shared" si="95"/>
        <v>0.84244416350611084</v>
      </c>
    </row>
    <row r="408" spans="1:22" x14ac:dyDescent="0.25">
      <c r="A408" s="26">
        <v>78.959999999999994</v>
      </c>
      <c r="B408">
        <v>79.02</v>
      </c>
      <c r="C408">
        <v>2.58</v>
      </c>
      <c r="D408" s="2">
        <v>44804</v>
      </c>
      <c r="E408">
        <v>79.25</v>
      </c>
      <c r="F408">
        <v>-0.28999999999999998</v>
      </c>
      <c r="G408">
        <v>-0.23000000000000398</v>
      </c>
      <c r="H408" s="5">
        <f t="shared" si="96"/>
        <v>-3.6593059936908517E-3</v>
      </c>
      <c r="I408" s="3">
        <f t="shared" si="84"/>
        <v>-0.52826850274149906</v>
      </c>
      <c r="J408" s="5">
        <f t="shared" si="97"/>
        <v>-2.9022082018927949E-3</v>
      </c>
      <c r="K408" s="3">
        <f t="shared" si="85"/>
        <v>-4.4309803384168622E-2</v>
      </c>
      <c r="L408" s="3">
        <f t="shared" si="86"/>
        <v>1.0124164006744085</v>
      </c>
      <c r="N408" s="12">
        <f t="shared" si="87"/>
        <v>8.729131075917516E-4</v>
      </c>
      <c r="O408" s="12">
        <f t="shared" si="88"/>
        <v>1.3318400949365481E-3</v>
      </c>
      <c r="P408" s="12">
        <f t="shared" si="89"/>
        <v>1.2493764854725102E-3</v>
      </c>
      <c r="Q408" s="12">
        <f t="shared" si="90"/>
        <v>-1.8435616677354386E-3</v>
      </c>
      <c r="R408" s="12">
        <f t="shared" si="91"/>
        <v>-1.5084518820956548E-3</v>
      </c>
      <c r="S408" s="12">
        <f t="shared" si="92"/>
        <v>-1.5558348764245214E-3</v>
      </c>
      <c r="T408" s="12">
        <f t="shared" si="93"/>
        <v>0.8276190476190477</v>
      </c>
      <c r="U408" s="12">
        <f t="shared" si="94"/>
        <v>0.7863095238095239</v>
      </c>
      <c r="V408" s="12">
        <f t="shared" si="95"/>
        <v>0.955389801938475</v>
      </c>
    </row>
    <row r="409" spans="1:22" x14ac:dyDescent="0.25">
      <c r="A409" s="26">
        <v>85.13</v>
      </c>
      <c r="B409">
        <v>85.42</v>
      </c>
      <c r="C409">
        <v>2.42</v>
      </c>
      <c r="D409" s="2">
        <v>44803</v>
      </c>
      <c r="E409">
        <v>85.96</v>
      </c>
      <c r="F409">
        <v>-0.83</v>
      </c>
      <c r="G409">
        <v>-0.53999999999999204</v>
      </c>
      <c r="H409" s="5">
        <f t="shared" si="96"/>
        <v>-9.6556537924616104E-3</v>
      </c>
      <c r="I409" s="3">
        <f t="shared" si="84"/>
        <v>-1.875176006462298</v>
      </c>
      <c r="J409" s="5">
        <f t="shared" si="97"/>
        <v>-6.2819916240110761E-3</v>
      </c>
      <c r="K409" s="3">
        <f t="shared" si="85"/>
        <v>-0.52077273833711579</v>
      </c>
      <c r="L409" s="3">
        <f t="shared" si="86"/>
        <v>0.74838772630140415</v>
      </c>
      <c r="N409" s="12">
        <f t="shared" si="87"/>
        <v>5.6766737685983869E-4</v>
      </c>
      <c r="O409" s="12">
        <f t="shared" si="88"/>
        <v>1.304008105953966E-3</v>
      </c>
      <c r="P409" s="12">
        <f t="shared" si="89"/>
        <v>1.221718394530866E-3</v>
      </c>
      <c r="Q409" s="12">
        <f t="shared" si="90"/>
        <v>-1.8695911614459038E-3</v>
      </c>
      <c r="R409" s="12">
        <f t="shared" si="91"/>
        <v>-1.5244407518567342E-3</v>
      </c>
      <c r="S409" s="12">
        <f t="shared" si="92"/>
        <v>-1.5595598025388508E-3</v>
      </c>
      <c r="T409" s="12">
        <f t="shared" si="93"/>
        <v>0.80904761904761946</v>
      </c>
      <c r="U409" s="12">
        <f t="shared" si="94"/>
        <v>0.78125000000000044</v>
      </c>
      <c r="V409" s="12">
        <f t="shared" si="95"/>
        <v>0.95125158027812917</v>
      </c>
    </row>
    <row r="410" spans="1:22" x14ac:dyDescent="0.25">
      <c r="A410" s="26">
        <v>88.81</v>
      </c>
      <c r="B410">
        <v>88.79</v>
      </c>
      <c r="C410">
        <v>2.84</v>
      </c>
      <c r="D410" s="2">
        <v>44802</v>
      </c>
      <c r="E410">
        <v>89.45</v>
      </c>
      <c r="F410">
        <v>-0.64</v>
      </c>
      <c r="G410">
        <v>-0.65999999999999659</v>
      </c>
      <c r="H410" s="5">
        <f t="shared" si="96"/>
        <v>-7.1548351034097261E-3</v>
      </c>
      <c r="I410" s="3">
        <f t="shared" si="84"/>
        <v>-1.334353228042481</v>
      </c>
      <c r="J410" s="5">
        <f t="shared" si="97"/>
        <v>-7.3784237003912418E-3</v>
      </c>
      <c r="K410" s="3">
        <f t="shared" si="85"/>
        <v>-0.677492763118409</v>
      </c>
      <c r="L410" s="3">
        <f t="shared" si="86"/>
        <v>1.4711163903465569</v>
      </c>
      <c r="N410" s="12">
        <f t="shared" si="87"/>
        <v>1.4769720355697039E-3</v>
      </c>
      <c r="O410" s="12">
        <f t="shared" si="88"/>
        <v>2.0444890339643474E-3</v>
      </c>
      <c r="P410" s="12">
        <f t="shared" si="89"/>
        <v>1.7715047910929409E-3</v>
      </c>
      <c r="Q410" s="12">
        <f t="shared" si="90"/>
        <v>-1.7980926267026163E-3</v>
      </c>
      <c r="R410" s="12">
        <f t="shared" si="91"/>
        <v>-1.391650738961366E-3</v>
      </c>
      <c r="S410" s="12">
        <f t="shared" si="92"/>
        <v>-1.4634247276733825E-3</v>
      </c>
      <c r="T410" s="12">
        <f t="shared" si="93"/>
        <v>0.81095238095238065</v>
      </c>
      <c r="U410" s="12">
        <f t="shared" si="94"/>
        <v>0.78821428571428598</v>
      </c>
      <c r="V410" s="12">
        <f t="shared" si="95"/>
        <v>0.95424778761061946</v>
      </c>
    </row>
    <row r="411" spans="1:22" x14ac:dyDescent="0.25">
      <c r="A411" s="26">
        <v>89.56</v>
      </c>
      <c r="B411">
        <v>88.86</v>
      </c>
      <c r="C411">
        <v>1.98</v>
      </c>
      <c r="D411" s="2">
        <v>44799</v>
      </c>
      <c r="E411">
        <v>89.26</v>
      </c>
      <c r="F411">
        <v>0.3</v>
      </c>
      <c r="G411">
        <v>-0.40000000000000568</v>
      </c>
      <c r="H411" s="5">
        <f t="shared" si="96"/>
        <v>3.3609679587721262E-3</v>
      </c>
      <c r="I411" s="3">
        <f t="shared" si="84"/>
        <v>1.0377474630921826</v>
      </c>
      <c r="J411" s="5">
        <f t="shared" si="97"/>
        <v>-4.4812906116962316E-3</v>
      </c>
      <c r="K411" s="3">
        <f t="shared" si="85"/>
        <v>-0.27388255956937257</v>
      </c>
      <c r="L411" s="3">
        <f t="shared" si="86"/>
        <v>7.843903418722608E-3</v>
      </c>
      <c r="N411" s="12">
        <f t="shared" si="87"/>
        <v>2.1860362666359561E-3</v>
      </c>
      <c r="O411" s="12">
        <f t="shared" si="88"/>
        <v>2.3633764832697015E-3</v>
      </c>
      <c r="P411" s="12">
        <f t="shared" si="89"/>
        <v>2.1691237022383636E-3</v>
      </c>
      <c r="Q411" s="12">
        <f t="shared" si="90"/>
        <v>-1.568240197323773E-3</v>
      </c>
      <c r="R411" s="12">
        <f t="shared" si="91"/>
        <v>-1.1688631765737604E-3</v>
      </c>
      <c r="S411" s="12">
        <f t="shared" si="92"/>
        <v>-1.2606438184982038E-3</v>
      </c>
      <c r="T411" s="12">
        <f t="shared" si="93"/>
        <v>0.83190476190476259</v>
      </c>
      <c r="U411" s="12">
        <f t="shared" si="94"/>
        <v>0.7686904761904767</v>
      </c>
      <c r="V411" s="12">
        <f t="shared" si="95"/>
        <v>0.9480362410450911</v>
      </c>
    </row>
    <row r="412" spans="1:22" x14ac:dyDescent="0.25">
      <c r="A412" s="26">
        <v>89.3</v>
      </c>
      <c r="B412">
        <v>88.11</v>
      </c>
      <c r="C412">
        <v>3.28</v>
      </c>
      <c r="D412" s="2">
        <v>44798</v>
      </c>
      <c r="E412">
        <v>88.46</v>
      </c>
      <c r="F412">
        <v>0.84</v>
      </c>
      <c r="G412">
        <v>-0.34999999999999432</v>
      </c>
      <c r="H412" s="5">
        <f t="shared" si="96"/>
        <v>9.4958173185620623E-3</v>
      </c>
      <c r="I412" s="3">
        <f t="shared" si="84"/>
        <v>2.4336183718174764</v>
      </c>
      <c r="J412" s="5">
        <f t="shared" si="97"/>
        <v>-3.9565905494007951E-3</v>
      </c>
      <c r="K412" s="3">
        <f t="shared" si="85"/>
        <v>-0.20144688939137601</v>
      </c>
      <c r="L412" s="3">
        <f t="shared" si="86"/>
        <v>2.2424214484373928</v>
      </c>
      <c r="N412" s="12">
        <f t="shared" si="87"/>
        <v>3.1015857666454893E-3</v>
      </c>
      <c r="O412" s="12">
        <f t="shared" si="88"/>
        <v>2.6297742888150063E-3</v>
      </c>
      <c r="P412" s="12">
        <f t="shared" si="89"/>
        <v>2.3520119767010692E-3</v>
      </c>
      <c r="Q412" s="12">
        <f t="shared" si="90"/>
        <v>-1.4787124484447805E-3</v>
      </c>
      <c r="R412" s="12">
        <f t="shared" si="91"/>
        <v>-1.0857495878204373E-3</v>
      </c>
      <c r="S412" s="12">
        <f t="shared" si="92"/>
        <v>-1.2036602533566855E-3</v>
      </c>
      <c r="T412" s="12">
        <f t="shared" si="93"/>
        <v>0.91904761904761934</v>
      </c>
      <c r="U412" s="12">
        <f t="shared" si="94"/>
        <v>0.82142857142857162</v>
      </c>
      <c r="V412" s="12">
        <f t="shared" si="95"/>
        <v>0.99897597977244024</v>
      </c>
    </row>
    <row r="413" spans="1:22" x14ac:dyDescent="0.25">
      <c r="A413" s="26">
        <v>92.52</v>
      </c>
      <c r="B413">
        <v>92.69</v>
      </c>
      <c r="C413">
        <v>2.76</v>
      </c>
      <c r="D413" s="2">
        <v>44796</v>
      </c>
      <c r="E413">
        <v>93.07</v>
      </c>
      <c r="F413">
        <v>-0.55000000000000004</v>
      </c>
      <c r="G413">
        <v>-0.37999999999999545</v>
      </c>
      <c r="H413" s="5">
        <f t="shared" si="96"/>
        <v>-5.9095304609433769E-3</v>
      </c>
      <c r="I413" s="3">
        <f t="shared" si="84"/>
        <v>-1.0676540388454869</v>
      </c>
      <c r="J413" s="5">
        <f t="shared" si="97"/>
        <v>-4.08294831846992E-3</v>
      </c>
      <c r="K413" s="3">
        <f t="shared" si="85"/>
        <v>-0.22035199839994643</v>
      </c>
      <c r="L413" s="3">
        <f t="shared" si="86"/>
        <v>1.3755332728308287</v>
      </c>
      <c r="N413" s="12">
        <f t="shared" si="87"/>
        <v>2.362310346872518E-3</v>
      </c>
      <c r="O413" s="12">
        <f t="shared" si="88"/>
        <v>2.0313146865005558E-3</v>
      </c>
      <c r="P413" s="12">
        <f t="shared" si="89"/>
        <v>1.7349768151853988E-3</v>
      </c>
      <c r="Q413" s="12">
        <f t="shared" si="90"/>
        <v>-1.3453800893636829E-3</v>
      </c>
      <c r="R413" s="12">
        <f t="shared" si="91"/>
        <v>-9.7388473065636002E-4</v>
      </c>
      <c r="S413" s="12">
        <f t="shared" si="92"/>
        <v>-1.12852684561937E-3</v>
      </c>
      <c r="T413" s="12">
        <f t="shared" si="93"/>
        <v>0.87095238095238203</v>
      </c>
      <c r="U413" s="12">
        <f t="shared" si="94"/>
        <v>0.77488095238095323</v>
      </c>
      <c r="V413" s="12">
        <f t="shared" si="95"/>
        <v>0.9572734934681848</v>
      </c>
    </row>
    <row r="414" spans="1:22" x14ac:dyDescent="0.25">
      <c r="A414" s="26">
        <v>97.5</v>
      </c>
      <c r="B414">
        <v>97.07</v>
      </c>
      <c r="C414">
        <v>3.11</v>
      </c>
      <c r="D414" s="2">
        <v>44795</v>
      </c>
      <c r="E414">
        <v>97.39</v>
      </c>
      <c r="F414">
        <v>0.11</v>
      </c>
      <c r="G414">
        <v>-0.32000000000000739</v>
      </c>
      <c r="H414" s="5">
        <f t="shared" si="96"/>
        <v>1.1294794126707054E-3</v>
      </c>
      <c r="I414" s="3">
        <f t="shared" si="84"/>
        <v>0.55260759585133534</v>
      </c>
      <c r="J414" s="5">
        <f t="shared" si="97"/>
        <v>-3.2857582914057643E-3</v>
      </c>
      <c r="K414" s="3">
        <f t="shared" si="85"/>
        <v>-0.10830413953146492</v>
      </c>
      <c r="L414" s="3">
        <f t="shared" si="86"/>
        <v>2.0000773423188352</v>
      </c>
      <c r="N414" s="12">
        <f t="shared" si="87"/>
        <v>2.6037676938461718E-3</v>
      </c>
      <c r="O414" s="12">
        <f t="shared" si="88"/>
        <v>2.2376239555995906E-3</v>
      </c>
      <c r="P414" s="12">
        <f t="shared" si="89"/>
        <v>2.0778308018543075E-3</v>
      </c>
      <c r="Q414" s="12">
        <f t="shared" si="90"/>
        <v>-1.1141939625618929E-3</v>
      </c>
      <c r="R414" s="12">
        <f t="shared" si="91"/>
        <v>-8.6373143957323021E-4</v>
      </c>
      <c r="S414" s="12">
        <f t="shared" si="92"/>
        <v>-1.0136084548050899E-3</v>
      </c>
      <c r="T414" s="12">
        <f t="shared" si="93"/>
        <v>0.79904761904761967</v>
      </c>
      <c r="U414" s="12">
        <f t="shared" si="94"/>
        <v>0.70714285714285774</v>
      </c>
      <c r="V414" s="12">
        <f t="shared" si="95"/>
        <v>0.90718078381795264</v>
      </c>
    </row>
    <row r="415" spans="1:22" x14ac:dyDescent="0.25">
      <c r="A415" s="26">
        <v>96.87</v>
      </c>
      <c r="B415">
        <v>95.65</v>
      </c>
      <c r="C415">
        <v>2.89</v>
      </c>
      <c r="D415" s="2">
        <v>44792</v>
      </c>
      <c r="E415">
        <v>96.15</v>
      </c>
      <c r="F415">
        <v>0.72</v>
      </c>
      <c r="G415">
        <v>-0.5</v>
      </c>
      <c r="H415" s="5">
        <f t="shared" si="96"/>
        <v>7.4882995319812788E-3</v>
      </c>
      <c r="I415" s="3">
        <f t="shared" si="84"/>
        <v>2.0242866333329834</v>
      </c>
      <c r="J415" s="5">
        <f t="shared" si="97"/>
        <v>-5.2002080083203327E-3</v>
      </c>
      <c r="K415" s="3">
        <f t="shared" si="85"/>
        <v>-0.37855241047271943</v>
      </c>
      <c r="L415" s="3">
        <f t="shared" si="86"/>
        <v>1.641374670156976</v>
      </c>
      <c r="N415" s="12">
        <f t="shared" si="87"/>
        <v>1.7424417211618442E-3</v>
      </c>
      <c r="O415" s="12">
        <f t="shared" si="88"/>
        <v>1.8427838303182761E-3</v>
      </c>
      <c r="P415" s="12">
        <f t="shared" si="89"/>
        <v>1.738376431989979E-3</v>
      </c>
      <c r="Q415" s="12">
        <f t="shared" si="90"/>
        <v>-1.0698793890420765E-3</v>
      </c>
      <c r="R415" s="12">
        <f t="shared" si="91"/>
        <v>-8.1330621395733337E-4</v>
      </c>
      <c r="S415" s="12">
        <f t="shared" si="92"/>
        <v>-9.8001712158132847E-4</v>
      </c>
      <c r="T415" s="12">
        <f t="shared" si="93"/>
        <v>0.70666666666666789</v>
      </c>
      <c r="U415" s="12">
        <f t="shared" si="94"/>
        <v>0.6439880952380963</v>
      </c>
      <c r="V415" s="12">
        <f t="shared" si="95"/>
        <v>0.85166034555415182</v>
      </c>
    </row>
    <row r="416" spans="1:22" x14ac:dyDescent="0.25">
      <c r="A416" s="26">
        <v>94</v>
      </c>
      <c r="B416">
        <v>93.4</v>
      </c>
      <c r="C416">
        <v>3.53</v>
      </c>
      <c r="D416" s="2">
        <v>44791</v>
      </c>
      <c r="E416">
        <v>94.1</v>
      </c>
      <c r="F416">
        <v>-0.1</v>
      </c>
      <c r="G416">
        <v>-0.69999999999998863</v>
      </c>
      <c r="H416" s="5">
        <f t="shared" si="96"/>
        <v>-1.0626992561105209E-3</v>
      </c>
      <c r="I416" s="3">
        <f t="shared" si="84"/>
        <v>6.1682000574396524E-2</v>
      </c>
      <c r="J416" s="5">
        <f t="shared" si="97"/>
        <v>-7.4388947927735245E-3</v>
      </c>
      <c r="K416" s="3">
        <f t="shared" si="85"/>
        <v>-0.69639664224504061</v>
      </c>
      <c r="L416" s="3">
        <f t="shared" si="86"/>
        <v>2.7819529082044983</v>
      </c>
      <c r="N416" s="12">
        <f t="shared" si="87"/>
        <v>1.1605524397455063E-3</v>
      </c>
      <c r="O416" s="12">
        <f t="shared" si="88"/>
        <v>1.4131098126128519E-3</v>
      </c>
      <c r="P416" s="12">
        <f t="shared" si="89"/>
        <v>1.2900426433467671E-3</v>
      </c>
      <c r="Q416" s="12">
        <f t="shared" si="90"/>
        <v>-9.2262026053496066E-4</v>
      </c>
      <c r="R416" s="12">
        <f t="shared" si="91"/>
        <v>-6.6393518291108129E-4</v>
      </c>
      <c r="S416" s="12">
        <f t="shared" si="92"/>
        <v>-8.6236754006224162E-4</v>
      </c>
      <c r="T416" s="12">
        <f t="shared" si="93"/>
        <v>0.67095238095238274</v>
      </c>
      <c r="U416" s="12">
        <f t="shared" si="94"/>
        <v>0.60702380952381052</v>
      </c>
      <c r="V416" s="12">
        <f t="shared" si="95"/>
        <v>0.82393594605984122</v>
      </c>
    </row>
    <row r="417" spans="1:22" x14ac:dyDescent="0.25">
      <c r="A417" s="26">
        <v>94.07</v>
      </c>
      <c r="B417">
        <v>94.04</v>
      </c>
      <c r="C417">
        <v>2.71</v>
      </c>
      <c r="D417" s="2">
        <v>44790</v>
      </c>
      <c r="E417">
        <v>94.71</v>
      </c>
      <c r="F417">
        <v>-0.64</v>
      </c>
      <c r="G417">
        <v>-0.66999999999998749</v>
      </c>
      <c r="H417" s="5">
        <f t="shared" si="96"/>
        <v>-6.7574701721043193E-3</v>
      </c>
      <c r="I417" s="3">
        <f t="shared" si="84"/>
        <v>-1.2610200758589707</v>
      </c>
      <c r="J417" s="5">
        <f t="shared" si="97"/>
        <v>-7.0742265864215765E-3</v>
      </c>
      <c r="K417" s="3">
        <f t="shared" si="85"/>
        <v>-0.64788108711248371</v>
      </c>
      <c r="L417" s="3">
        <f t="shared" si="86"/>
        <v>1.3719784425445225</v>
      </c>
      <c r="N417" s="12">
        <f t="shared" si="87"/>
        <v>6.5514295092506368E-4</v>
      </c>
      <c r="O417" s="12">
        <f t="shared" si="88"/>
        <v>1.1246674408777967E-3</v>
      </c>
      <c r="P417" s="12">
        <f t="shared" si="89"/>
        <v>1.1629800751998928E-3</v>
      </c>
      <c r="Q417" s="12">
        <f t="shared" si="90"/>
        <v>-7.2523026805558846E-4</v>
      </c>
      <c r="R417" s="12">
        <f t="shared" si="91"/>
        <v>-3.9864845305508144E-4</v>
      </c>
      <c r="S417" s="12">
        <f t="shared" si="92"/>
        <v>-6.5985395229395264E-4</v>
      </c>
      <c r="T417" s="12">
        <f t="shared" si="93"/>
        <v>0.57904761904761992</v>
      </c>
      <c r="U417" s="12">
        <f t="shared" si="94"/>
        <v>0.53279761904761935</v>
      </c>
      <c r="V417" s="12">
        <f t="shared" si="95"/>
        <v>0.7603624104509068</v>
      </c>
    </row>
    <row r="418" spans="1:22" x14ac:dyDescent="0.25">
      <c r="A418" s="26">
        <v>90.64</v>
      </c>
      <c r="B418">
        <v>90.16</v>
      </c>
      <c r="C418">
        <v>3.13</v>
      </c>
      <c r="D418" s="2">
        <v>44789</v>
      </c>
      <c r="E418">
        <v>90.78</v>
      </c>
      <c r="F418">
        <v>-0.14000000000000001</v>
      </c>
      <c r="G418">
        <v>-0.62000000000000455</v>
      </c>
      <c r="H418" s="5">
        <f t="shared" si="96"/>
        <v>-1.542189909671734E-3</v>
      </c>
      <c r="I418" s="3">
        <f t="shared" si="84"/>
        <v>-5.0106163077573942E-2</v>
      </c>
      <c r="J418" s="5">
        <f t="shared" si="97"/>
        <v>-6.829698171403443E-3</v>
      </c>
      <c r="K418" s="3">
        <f t="shared" si="85"/>
        <v>-0.61631737979321888</v>
      </c>
      <c r="L418" s="3">
        <f t="shared" si="86"/>
        <v>2.1435156495178478</v>
      </c>
      <c r="N418" s="12">
        <f t="shared" si="87"/>
        <v>8.4044031606263507E-4</v>
      </c>
      <c r="O418" s="12">
        <f t="shared" si="88"/>
        <v>1.6055336598534906E-3</v>
      </c>
      <c r="P418" s="12">
        <f t="shared" si="89"/>
        <v>1.5590508397695184E-3</v>
      </c>
      <c r="Q418" s="12">
        <f t="shared" si="90"/>
        <v>-3.8817513206375331E-4</v>
      </c>
      <c r="R418" s="12">
        <f t="shared" si="91"/>
        <v>-6.1517985771367828E-5</v>
      </c>
      <c r="S418" s="12">
        <f t="shared" si="92"/>
        <v>-3.6880058996383502E-4</v>
      </c>
      <c r="T418" s="12">
        <f t="shared" si="93"/>
        <v>0.46666666666666812</v>
      </c>
      <c r="U418" s="12">
        <f t="shared" si="94"/>
        <v>0.4458928571428582</v>
      </c>
      <c r="V418" s="12">
        <f t="shared" si="95"/>
        <v>0.70022756005056985</v>
      </c>
    </row>
    <row r="419" spans="1:22" x14ac:dyDescent="0.25">
      <c r="A419" s="26">
        <v>89.5</v>
      </c>
      <c r="B419">
        <v>89.01</v>
      </c>
      <c r="C419">
        <v>2.77</v>
      </c>
      <c r="D419" s="2">
        <v>44788</v>
      </c>
      <c r="E419">
        <v>89.38</v>
      </c>
      <c r="F419">
        <v>0.12</v>
      </c>
      <c r="G419">
        <v>-0.36999999999999034</v>
      </c>
      <c r="H419" s="5">
        <f t="shared" si="96"/>
        <v>1.3425822331617813E-3</v>
      </c>
      <c r="I419" s="3">
        <f t="shared" si="84"/>
        <v>0.62249904986329796</v>
      </c>
      <c r="J419" s="5">
        <f t="shared" si="97"/>
        <v>-4.1396285522487175E-3</v>
      </c>
      <c r="K419" s="3">
        <f t="shared" si="85"/>
        <v>-0.2379237425749928</v>
      </c>
      <c r="L419" s="3">
        <f t="shared" si="86"/>
        <v>1.5154723954092166</v>
      </c>
      <c r="N419" s="12">
        <f t="shared" si="87"/>
        <v>5.9451981437486806E-4</v>
      </c>
      <c r="O419" s="12">
        <f t="shared" si="88"/>
        <v>1.1521847840236406E-3</v>
      </c>
      <c r="P419" s="12">
        <f t="shared" si="89"/>
        <v>1.3814689272507389E-3</v>
      </c>
      <c r="Q419" s="12">
        <f t="shared" si="90"/>
        <v>-1.087750552994449E-4</v>
      </c>
      <c r="R419" s="12">
        <f t="shared" si="91"/>
        <v>1.4335365856263686E-4</v>
      </c>
      <c r="S419" s="12">
        <f t="shared" si="92"/>
        <v>-1.0468469726849353E-3</v>
      </c>
      <c r="T419" s="12">
        <f t="shared" si="93"/>
        <v>0.41666666666666785</v>
      </c>
      <c r="U419" s="12">
        <f t="shared" si="94"/>
        <v>0.39238095238095339</v>
      </c>
      <c r="V419" s="12">
        <f t="shared" si="95"/>
        <v>0.66379688158449301</v>
      </c>
    </row>
    <row r="420" spans="1:22" x14ac:dyDescent="0.25">
      <c r="A420" s="26">
        <v>87.3</v>
      </c>
      <c r="B420">
        <v>86.84</v>
      </c>
      <c r="C420">
        <v>3.3</v>
      </c>
      <c r="D420" s="2">
        <v>44785</v>
      </c>
      <c r="E420">
        <v>87.22</v>
      </c>
      <c r="F420">
        <v>0.08</v>
      </c>
      <c r="G420">
        <v>-0.37999999999999545</v>
      </c>
      <c r="H420" s="5">
        <f t="shared" si="96"/>
        <v>9.172208209126348E-4</v>
      </c>
      <c r="I420" s="3">
        <f t="shared" si="84"/>
        <v>0.52834519048966022</v>
      </c>
      <c r="J420" s="5">
        <f t="shared" si="97"/>
        <v>-4.3567988993349627E-3</v>
      </c>
      <c r="K420" s="3">
        <f t="shared" si="85"/>
        <v>-0.26904651264906104</v>
      </c>
      <c r="L420" s="3">
        <f t="shared" si="86"/>
        <v>2.5032175246662769</v>
      </c>
      <c r="N420" s="12">
        <f t="shared" si="87"/>
        <v>1.1664348816171156E-4</v>
      </c>
      <c r="O420" s="12">
        <f t="shared" si="88"/>
        <v>8.6630816292881615E-4</v>
      </c>
      <c r="P420" s="12">
        <f t="shared" si="89"/>
        <v>1.1738545425113735E-3</v>
      </c>
      <c r="Q420" s="12">
        <f t="shared" si="90"/>
        <v>-1.476678769670673E-4</v>
      </c>
      <c r="R420" s="12">
        <f t="shared" si="91"/>
        <v>1.3297787477403646E-4</v>
      </c>
      <c r="S420" s="12">
        <f t="shared" si="92"/>
        <v>-1.0461468111273753E-3</v>
      </c>
      <c r="T420" s="12">
        <f t="shared" si="93"/>
        <v>0.37666666666666737</v>
      </c>
      <c r="U420" s="12">
        <f t="shared" si="94"/>
        <v>0.359345238095238</v>
      </c>
      <c r="V420" s="12">
        <f t="shared" si="95"/>
        <v>0.64283607248209007</v>
      </c>
    </row>
    <row r="421" spans="1:22" x14ac:dyDescent="0.25">
      <c r="A421" s="26">
        <v>86.35</v>
      </c>
      <c r="B421">
        <v>86.05</v>
      </c>
      <c r="C421">
        <v>3.37</v>
      </c>
      <c r="D421" s="2">
        <v>44784</v>
      </c>
      <c r="E421">
        <v>86.41</v>
      </c>
      <c r="F421">
        <v>-0.06</v>
      </c>
      <c r="G421">
        <v>-0.35999999999999943</v>
      </c>
      <c r="H421" s="5">
        <f t="shared" si="96"/>
        <v>-6.9436407823168615E-4</v>
      </c>
      <c r="I421" s="3">
        <f t="shared" si="84"/>
        <v>0.14658872181836946</v>
      </c>
      <c r="J421" s="5">
        <f t="shared" si="97"/>
        <v>-4.1661844693901108E-3</v>
      </c>
      <c r="K421" s="3">
        <f t="shared" si="85"/>
        <v>-0.24347434137864196</v>
      </c>
      <c r="L421" s="3">
        <f t="shared" si="86"/>
        <v>2.6772000789475054</v>
      </c>
      <c r="N421" s="12">
        <f t="shared" si="87"/>
        <v>2.9588392799331261E-4</v>
      </c>
      <c r="O421" s="12">
        <f t="shared" si="88"/>
        <v>9.5464402194101383E-4</v>
      </c>
      <c r="P421" s="12">
        <f t="shared" si="89"/>
        <v>1.3409233299306207E-3</v>
      </c>
      <c r="Q421" s="12">
        <f t="shared" si="90"/>
        <v>-2.5232066459223617E-4</v>
      </c>
      <c r="R421" s="12">
        <f t="shared" si="91"/>
        <v>1.3245401501485931E-4</v>
      </c>
      <c r="S421" s="12">
        <f t="shared" si="92"/>
        <v>-1.0182056280871117E-3</v>
      </c>
      <c r="T421" s="12">
        <f t="shared" si="93"/>
        <v>0.33476190476190526</v>
      </c>
      <c r="U421" s="12">
        <f t="shared" si="94"/>
        <v>0.30744047619047654</v>
      </c>
      <c r="V421" s="12">
        <f t="shared" si="95"/>
        <v>0.60726506531816282</v>
      </c>
    </row>
    <row r="422" spans="1:22" x14ac:dyDescent="0.25">
      <c r="A422" s="26">
        <v>84.06</v>
      </c>
      <c r="B422">
        <v>83.38</v>
      </c>
      <c r="C422">
        <v>3.55</v>
      </c>
      <c r="D422" s="2">
        <v>44782</v>
      </c>
      <c r="E422">
        <v>83.69</v>
      </c>
      <c r="F422">
        <v>0.37</v>
      </c>
      <c r="G422">
        <v>-0.31000000000000227</v>
      </c>
      <c r="H422" s="5">
        <f t="shared" si="96"/>
        <v>4.421077787071335E-3</v>
      </c>
      <c r="I422" s="3">
        <f t="shared" si="84"/>
        <v>1.3366545626206632</v>
      </c>
      <c r="J422" s="5">
        <f t="shared" si="97"/>
        <v>-3.7041462540327672E-3</v>
      </c>
      <c r="K422" s="3">
        <f t="shared" si="85"/>
        <v>-0.17899903586729643</v>
      </c>
      <c r="L422" s="3">
        <f t="shared" si="86"/>
        <v>3.0734540158901202</v>
      </c>
      <c r="N422" s="12">
        <f t="shared" si="87"/>
        <v>-4.0917941342278848E-4</v>
      </c>
      <c r="O422" s="12">
        <f t="shared" si="88"/>
        <v>8.1817428000604045E-4</v>
      </c>
      <c r="P422" s="12">
        <f t="shared" si="89"/>
        <v>1.0136853101660867E-3</v>
      </c>
      <c r="Q422" s="12">
        <f t="shared" si="90"/>
        <v>-3.6053291642459788E-4</v>
      </c>
      <c r="R422" s="12">
        <f t="shared" si="91"/>
        <v>9.6063288871124468E-5</v>
      </c>
      <c r="S422" s="12">
        <f t="shared" si="92"/>
        <v>-1.0544920094109657E-3</v>
      </c>
      <c r="T422" s="12">
        <f t="shared" si="93"/>
        <v>0.29095238095238107</v>
      </c>
      <c r="U422" s="12">
        <f t="shared" si="94"/>
        <v>0.26946428571428527</v>
      </c>
      <c r="V422" s="12">
        <f t="shared" si="95"/>
        <v>0.57338811630847042</v>
      </c>
    </row>
    <row r="423" spans="1:22" x14ac:dyDescent="0.25">
      <c r="A423" s="26">
        <v>84.6</v>
      </c>
      <c r="B423">
        <v>84.4</v>
      </c>
      <c r="C423">
        <v>3.61</v>
      </c>
      <c r="D423" s="2">
        <v>44781</v>
      </c>
      <c r="E423">
        <v>84.63</v>
      </c>
      <c r="F423">
        <v>-0.03</v>
      </c>
      <c r="G423">
        <v>-0.22999999999998977</v>
      </c>
      <c r="H423" s="5">
        <f t="shared" si="96"/>
        <v>-3.5448422545196739E-4</v>
      </c>
      <c r="I423" s="3">
        <f t="shared" si="84"/>
        <v>0.23518707153795781</v>
      </c>
      <c r="J423" s="5">
        <f t="shared" si="97"/>
        <v>-2.7177123951316294E-3</v>
      </c>
      <c r="K423" s="3">
        <f t="shared" si="85"/>
        <v>-3.9379405436809595E-2</v>
      </c>
      <c r="L423" s="3">
        <f t="shared" si="86"/>
        <v>3.2734739243829991</v>
      </c>
      <c r="N423" s="12">
        <f t="shared" si="87"/>
        <v>-1.2757764771442867E-4</v>
      </c>
      <c r="O423" s="12">
        <f t="shared" si="88"/>
        <v>8.0456454562346873E-4</v>
      </c>
      <c r="P423" s="12">
        <f t="shared" si="89"/>
        <v>1.0205454441971256E-3</v>
      </c>
      <c r="Q423" s="12">
        <f t="shared" si="90"/>
        <v>-1.8545855204944468E-4</v>
      </c>
      <c r="R423" s="12">
        <f t="shared" si="91"/>
        <v>1.6877601149210743E-4</v>
      </c>
      <c r="S423" s="12">
        <f t="shared" si="92"/>
        <v>-9.4406085782406659E-4</v>
      </c>
      <c r="T423" s="12">
        <f t="shared" si="93"/>
        <v>0.24571428571428511</v>
      </c>
      <c r="U423" s="12">
        <f t="shared" si="94"/>
        <v>0.21511904761904699</v>
      </c>
      <c r="V423" s="12">
        <f t="shared" si="95"/>
        <v>0.52629161399072899</v>
      </c>
    </row>
    <row r="424" spans="1:22" x14ac:dyDescent="0.25">
      <c r="A424" s="26">
        <v>84.5</v>
      </c>
      <c r="B424">
        <v>84.28</v>
      </c>
      <c r="C424">
        <v>2.4500000000000002</v>
      </c>
      <c r="D424" s="2">
        <v>44778</v>
      </c>
      <c r="E424">
        <v>84.91</v>
      </c>
      <c r="F424">
        <v>-0.41</v>
      </c>
      <c r="G424">
        <v>-0.62999999999999545</v>
      </c>
      <c r="H424" s="5">
        <f t="shared" si="96"/>
        <v>-4.828642091626428E-3</v>
      </c>
      <c r="I424" s="3">
        <f t="shared" si="84"/>
        <v>-0.80897253910570677</v>
      </c>
      <c r="J424" s="5">
        <f t="shared" si="97"/>
        <v>-7.4196207749381163E-3</v>
      </c>
      <c r="K424" s="3">
        <f t="shared" si="85"/>
        <v>-0.70538553747533828</v>
      </c>
      <c r="L424" s="3">
        <f t="shared" si="86"/>
        <v>1.0603870451560784</v>
      </c>
      <c r="N424" s="12">
        <f t="shared" si="87"/>
        <v>-2.6514800662013997E-4</v>
      </c>
      <c r="O424" s="12">
        <f t="shared" si="88"/>
        <v>8.3947459222088083E-4</v>
      </c>
      <c r="P424" s="12">
        <f t="shared" si="89"/>
        <v>1.0333252802477034E-3</v>
      </c>
      <c r="Q424" s="12">
        <f t="shared" si="90"/>
        <v>-1.8386768071118782E-4</v>
      </c>
      <c r="R424" s="12">
        <f t="shared" si="91"/>
        <v>1.6746677197052116E-4</v>
      </c>
      <c r="S424" s="12">
        <f t="shared" si="92"/>
        <v>-9.2356572323163072E-4</v>
      </c>
      <c r="T424" s="12">
        <f t="shared" si="93"/>
        <v>0.15857142857142836</v>
      </c>
      <c r="U424" s="12">
        <f t="shared" si="94"/>
        <v>0.14845238095238056</v>
      </c>
      <c r="V424" s="12">
        <f t="shared" si="95"/>
        <v>0.46277286135693196</v>
      </c>
    </row>
    <row r="425" spans="1:22" x14ac:dyDescent="0.25">
      <c r="A425" s="26">
        <v>83.81</v>
      </c>
      <c r="B425">
        <v>83.84</v>
      </c>
      <c r="C425">
        <v>3.18</v>
      </c>
      <c r="D425" s="2">
        <v>44777</v>
      </c>
      <c r="E425">
        <v>84.21</v>
      </c>
      <c r="F425">
        <v>-0.4</v>
      </c>
      <c r="G425">
        <v>-0.36999999999999034</v>
      </c>
      <c r="H425" s="5">
        <f t="shared" si="96"/>
        <v>-4.7500296876855485E-3</v>
      </c>
      <c r="I425" s="3">
        <f t="shared" si="84"/>
        <v>-0.79230884763178244</v>
      </c>
      <c r="J425" s="5">
        <f t="shared" si="97"/>
        <v>-4.3937774611090179E-3</v>
      </c>
      <c r="K425" s="3">
        <f t="shared" si="85"/>
        <v>-0.27966874632933469</v>
      </c>
      <c r="L425" s="3">
        <f t="shared" si="86"/>
        <v>2.5106641064543673</v>
      </c>
      <c r="N425" s="12">
        <f t="shared" si="87"/>
        <v>6.5366426216905771E-4</v>
      </c>
      <c r="O425" s="12">
        <f t="shared" si="88"/>
        <v>1.4071864054326403E-3</v>
      </c>
      <c r="P425" s="12">
        <f t="shared" si="89"/>
        <v>1.5745738030656616E-3</v>
      </c>
      <c r="Q425" s="12">
        <f t="shared" si="90"/>
        <v>9.8986574209158646E-5</v>
      </c>
      <c r="R425" s="12">
        <f t="shared" si="91"/>
        <v>3.917683373613561E-4</v>
      </c>
      <c r="S425" s="12">
        <f t="shared" si="92"/>
        <v>-6.7723428916241892E-4</v>
      </c>
      <c r="T425" s="12">
        <f t="shared" si="93"/>
        <v>0.16952380952380963</v>
      </c>
      <c r="U425" s="12">
        <f t="shared" si="94"/>
        <v>0.14999999999999902</v>
      </c>
      <c r="V425" s="12">
        <f t="shared" si="95"/>
        <v>0.47102402022755974</v>
      </c>
    </row>
    <row r="426" spans="1:22" x14ac:dyDescent="0.25">
      <c r="A426" s="26">
        <v>83.45</v>
      </c>
      <c r="B426">
        <v>82.7</v>
      </c>
      <c r="C426">
        <v>3.62</v>
      </c>
      <c r="D426" s="2">
        <v>44776</v>
      </c>
      <c r="E426">
        <v>83.06</v>
      </c>
      <c r="F426">
        <v>0.39</v>
      </c>
      <c r="G426">
        <v>-0.35999999999999943</v>
      </c>
      <c r="H426" s="5">
        <f t="shared" si="96"/>
        <v>4.6954009150012039E-3</v>
      </c>
      <c r="I426" s="3">
        <f t="shared" si="84"/>
        <v>1.4133033326365545</v>
      </c>
      <c r="J426" s="5">
        <f t="shared" si="97"/>
        <v>-4.3342162292318732E-3</v>
      </c>
      <c r="K426" s="3">
        <f t="shared" si="85"/>
        <v>-0.27195301914783349</v>
      </c>
      <c r="L426" s="3">
        <f t="shared" si="86"/>
        <v>3.4345955507546693</v>
      </c>
      <c r="N426" s="12">
        <f t="shared" si="87"/>
        <v>4.345878249294403E-4</v>
      </c>
      <c r="O426" s="12">
        <f t="shared" si="88"/>
        <v>1.0695148139640053E-3</v>
      </c>
      <c r="P426" s="12">
        <f t="shared" si="89"/>
        <v>1.4607129153438795E-3</v>
      </c>
      <c r="Q426" s="12">
        <f t="shared" si="90"/>
        <v>-4.4928846124289191E-5</v>
      </c>
      <c r="R426" s="12">
        <f t="shared" si="91"/>
        <v>2.1583149206965465E-4</v>
      </c>
      <c r="S426" s="12">
        <f t="shared" si="92"/>
        <v>-7.7781371660817951E-4</v>
      </c>
      <c r="T426" s="12">
        <f t="shared" si="93"/>
        <v>0.12428571428571367</v>
      </c>
      <c r="U426" s="12">
        <f t="shared" si="94"/>
        <v>9.4880952380951289E-2</v>
      </c>
      <c r="V426" s="12">
        <f t="shared" si="95"/>
        <v>0.42879056047197595</v>
      </c>
    </row>
    <row r="427" spans="1:22" x14ac:dyDescent="0.25">
      <c r="A427" s="26">
        <v>80.510000000000005</v>
      </c>
      <c r="B427">
        <v>80.08</v>
      </c>
      <c r="C427">
        <v>3.46</v>
      </c>
      <c r="D427" s="2">
        <v>44775</v>
      </c>
      <c r="E427">
        <v>80.45</v>
      </c>
      <c r="F427">
        <v>0.06</v>
      </c>
      <c r="G427">
        <v>-0.37000000000000455</v>
      </c>
      <c r="H427" s="5">
        <f t="shared" si="96"/>
        <v>7.4580484773151018E-4</v>
      </c>
      <c r="I427" s="3">
        <f t="shared" si="84"/>
        <v>0.49847603643063687</v>
      </c>
      <c r="J427" s="5">
        <f t="shared" si="97"/>
        <v>-4.5991298943443698E-3</v>
      </c>
      <c r="K427" s="3">
        <f t="shared" si="85"/>
        <v>-0.3107863090717965</v>
      </c>
      <c r="L427" s="3">
        <f t="shared" si="86"/>
        <v>3.2152614312096914</v>
      </c>
      <c r="N427" s="12">
        <f t="shared" si="87"/>
        <v>-3.2927342609331855E-4</v>
      </c>
      <c r="O427" s="12">
        <f t="shared" si="88"/>
        <v>2.6708347634670936E-4</v>
      </c>
      <c r="P427" s="12">
        <f t="shared" si="89"/>
        <v>7.7427534098886274E-4</v>
      </c>
      <c r="Q427" s="12">
        <f t="shared" si="90"/>
        <v>1.3885064670267257E-4</v>
      </c>
      <c r="R427" s="12">
        <f t="shared" si="91"/>
        <v>3.8931110316521404E-4</v>
      </c>
      <c r="S427" s="12">
        <f t="shared" si="92"/>
        <v>-6.4093406374410257E-4</v>
      </c>
      <c r="T427" s="12">
        <f t="shared" si="93"/>
        <v>4.1904761904761223E-2</v>
      </c>
      <c r="U427" s="12">
        <f t="shared" si="94"/>
        <v>1.3095238095237161E-2</v>
      </c>
      <c r="V427" s="12">
        <f t="shared" si="95"/>
        <v>0.36009270965023132</v>
      </c>
    </row>
    <row r="428" spans="1:22" x14ac:dyDescent="0.25">
      <c r="A428" s="26">
        <v>79.5</v>
      </c>
      <c r="B428">
        <v>78.64</v>
      </c>
      <c r="C428">
        <v>3.77</v>
      </c>
      <c r="D428" s="2">
        <v>44774</v>
      </c>
      <c r="E428">
        <v>78.83</v>
      </c>
      <c r="F428">
        <v>0.67</v>
      </c>
      <c r="G428">
        <v>-0.18999999999999773</v>
      </c>
      <c r="H428" s="5">
        <f t="shared" si="96"/>
        <v>8.4993022960801728E-3</v>
      </c>
      <c r="I428" s="3">
        <f t="shared" si="84"/>
        <v>2.3243379604234295</v>
      </c>
      <c r="J428" s="5">
        <f t="shared" si="97"/>
        <v>-2.4102499048585277E-3</v>
      </c>
      <c r="K428" s="3">
        <f t="shared" si="85"/>
        <v>-9.2620759477796968E-4</v>
      </c>
      <c r="L428" s="3">
        <f t="shared" si="86"/>
        <v>3.9355757035553007</v>
      </c>
      <c r="N428" s="12">
        <f t="shared" si="87"/>
        <v>-7.6051601290245941E-5</v>
      </c>
      <c r="O428" s="12">
        <f t="shared" si="88"/>
        <v>2.4523314015425157E-4</v>
      </c>
      <c r="P428" s="12">
        <f t="shared" si="89"/>
        <v>7.8714034123822992E-4</v>
      </c>
      <c r="Q428" s="12">
        <f t="shared" si="90"/>
        <v>3.0816984044111867E-4</v>
      </c>
      <c r="R428" s="12">
        <f t="shared" si="91"/>
        <v>5.0759326144002217E-4</v>
      </c>
      <c r="S428" s="12">
        <f t="shared" si="92"/>
        <v>-5.1449640473083492E-4</v>
      </c>
      <c r="T428" s="12">
        <f t="shared" si="93"/>
        <v>-1.571428571428557E-2</v>
      </c>
      <c r="U428" s="12">
        <f t="shared" si="94"/>
        <v>-1.6666666666667496E-2</v>
      </c>
      <c r="V428" s="12">
        <f t="shared" si="95"/>
        <v>0.32500210703750509</v>
      </c>
    </row>
    <row r="429" spans="1:22" x14ac:dyDescent="0.25">
      <c r="A429" s="26">
        <v>77.959999999999994</v>
      </c>
      <c r="B429">
        <v>78.03</v>
      </c>
      <c r="C429">
        <v>2.35</v>
      </c>
      <c r="D429" s="2">
        <v>44771</v>
      </c>
      <c r="E429">
        <v>78.25</v>
      </c>
      <c r="F429">
        <v>-0.28999999999999998</v>
      </c>
      <c r="G429">
        <v>-0.21999999999999886</v>
      </c>
      <c r="H429" s="5">
        <f t="shared" si="96"/>
        <v>-3.706070287539936E-3</v>
      </c>
      <c r="I429" s="3">
        <f t="shared" si="84"/>
        <v>-0.54195403382925122</v>
      </c>
      <c r="J429" s="5">
        <f t="shared" si="97"/>
        <v>-2.8115015974440748E-3</v>
      </c>
      <c r="K429" s="3">
        <f t="shared" si="85"/>
        <v>-5.719999525866995E-2</v>
      </c>
      <c r="L429" s="3">
        <f t="shared" si="86"/>
        <v>1.0068923371794394</v>
      </c>
      <c r="N429" s="12">
        <f t="shared" si="87"/>
        <v>2.3107307596764064E-4</v>
      </c>
      <c r="O429" s="12">
        <f t="shared" si="88"/>
        <v>1.6652031529922388E-4</v>
      </c>
      <c r="P429" s="12">
        <f t="shared" si="89"/>
        <v>5.931791109809576E-4</v>
      </c>
      <c r="Q429" s="12">
        <f t="shared" si="90"/>
        <v>1.7797617814595572E-4</v>
      </c>
      <c r="R429" s="12">
        <f t="shared" si="91"/>
        <v>3.238866157845746E-4</v>
      </c>
      <c r="S429" s="12">
        <f t="shared" si="92"/>
        <v>-6.8183562165920154E-4</v>
      </c>
      <c r="T429" s="12">
        <f t="shared" si="93"/>
        <v>-6.8095238095238653E-2</v>
      </c>
      <c r="U429" s="12">
        <f t="shared" si="94"/>
        <v>-6.3273809523810343E-2</v>
      </c>
      <c r="V429" s="12">
        <f t="shared" si="95"/>
        <v>0.27396544458491312</v>
      </c>
    </row>
    <row r="430" spans="1:22" x14ac:dyDescent="0.25">
      <c r="A430" s="26">
        <v>77.08</v>
      </c>
      <c r="B430">
        <v>76.63</v>
      </c>
      <c r="C430">
        <v>2.39</v>
      </c>
      <c r="D430" s="2">
        <v>44770</v>
      </c>
      <c r="E430">
        <v>76.92</v>
      </c>
      <c r="F430">
        <v>0.16</v>
      </c>
      <c r="G430">
        <v>-0.29000000000000625</v>
      </c>
      <c r="H430" s="5">
        <f t="shared" si="96"/>
        <v>2.0800832033281329E-3</v>
      </c>
      <c r="I430" s="3">
        <f t="shared" si="84"/>
        <v>0.83211091795663239</v>
      </c>
      <c r="J430" s="5">
        <f t="shared" si="97"/>
        <v>-3.7701508060323224E-3</v>
      </c>
      <c r="K430" s="3">
        <f t="shared" si="85"/>
        <v>-0.19316302828633328</v>
      </c>
      <c r="L430" s="3">
        <f t="shared" si="86"/>
        <v>1.0934720925668602</v>
      </c>
      <c r="N430" s="12">
        <f t="shared" si="87"/>
        <v>6.9224031681457761E-4</v>
      </c>
      <c r="O430" s="12">
        <f t="shared" si="88"/>
        <v>4.2001702192211599E-4</v>
      </c>
      <c r="P430" s="12">
        <f t="shared" si="89"/>
        <v>9.2339689449228118E-4</v>
      </c>
      <c r="Q430" s="12">
        <f t="shared" si="90"/>
        <v>2.9444721628850553E-4</v>
      </c>
      <c r="R430" s="12">
        <f t="shared" si="91"/>
        <v>3.2002873539047592E-4</v>
      </c>
      <c r="S430" s="12">
        <f t="shared" si="92"/>
        <v>-6.5121984240531844E-4</v>
      </c>
      <c r="T430" s="12">
        <f t="shared" si="93"/>
        <v>-4.0476190476191221E-2</v>
      </c>
      <c r="U430" s="12">
        <f t="shared" si="94"/>
        <v>-5.1904761904762786E-2</v>
      </c>
      <c r="V430" s="12">
        <f t="shared" si="95"/>
        <v>0.290611040876527</v>
      </c>
    </row>
    <row r="431" spans="1:22" x14ac:dyDescent="0.25">
      <c r="A431" s="26">
        <v>76.510000000000005</v>
      </c>
      <c r="B431">
        <v>76.22</v>
      </c>
      <c r="C431">
        <v>2.52</v>
      </c>
      <c r="D431" s="2">
        <v>44768</v>
      </c>
      <c r="E431">
        <v>76.430000000000007</v>
      </c>
      <c r="F431">
        <v>0.08</v>
      </c>
      <c r="G431">
        <v>-0.21000000000000796</v>
      </c>
      <c r="H431" s="5">
        <f t="shared" si="96"/>
        <v>1.046709407300798E-3</v>
      </c>
      <c r="I431" s="3">
        <f t="shared" si="84"/>
        <v>0.5767020149264469</v>
      </c>
      <c r="J431" s="5">
        <f t="shared" si="97"/>
        <v>-2.747612194164699E-3</v>
      </c>
      <c r="K431" s="3">
        <f t="shared" si="85"/>
        <v>-4.7902152692212506E-2</v>
      </c>
      <c r="L431" s="3">
        <f t="shared" si="86"/>
        <v>1.325230746801153</v>
      </c>
      <c r="N431" s="12">
        <f t="shared" si="87"/>
        <v>2.3470436037714812E-4</v>
      </c>
      <c r="O431" s="12">
        <f t="shared" si="88"/>
        <v>1.127657816580533E-5</v>
      </c>
      <c r="P431" s="12">
        <f t="shared" si="89"/>
        <v>5.386379157850034E-4</v>
      </c>
      <c r="Q431" s="12">
        <f t="shared" si="90"/>
        <v>3.7685723210232128E-4</v>
      </c>
      <c r="R431" s="12">
        <f t="shared" si="91"/>
        <v>3.3910864100384665E-4</v>
      </c>
      <c r="S431" s="12">
        <f t="shared" si="92"/>
        <v>-5.9506378451596939E-4</v>
      </c>
      <c r="T431" s="12">
        <f t="shared" si="93"/>
        <v>-4.1428571428571814E-2</v>
      </c>
      <c r="U431" s="12">
        <f t="shared" si="94"/>
        <v>-5.1130952380952888E-2</v>
      </c>
      <c r="V431" s="12">
        <f t="shared" si="95"/>
        <v>0.29320691108301755</v>
      </c>
    </row>
    <row r="432" spans="1:22" x14ac:dyDescent="0.25">
      <c r="A432" s="26">
        <v>76.09</v>
      </c>
      <c r="B432">
        <v>75.430000000000007</v>
      </c>
      <c r="C432">
        <v>2.81</v>
      </c>
      <c r="D432" s="2">
        <v>44767</v>
      </c>
      <c r="E432">
        <v>75.650000000000006</v>
      </c>
      <c r="F432">
        <v>0.44</v>
      </c>
      <c r="G432">
        <v>-0.21999999999999886</v>
      </c>
      <c r="H432" s="5">
        <f t="shared" si="96"/>
        <v>5.8162590879048248E-3</v>
      </c>
      <c r="I432" s="3">
        <f t="shared" si="84"/>
        <v>1.7043563828405832</v>
      </c>
      <c r="J432" s="5">
        <f t="shared" si="97"/>
        <v>-2.9081295439523972E-3</v>
      </c>
      <c r="K432" s="3">
        <f t="shared" si="85"/>
        <v>-7.1244949170940639E-2</v>
      </c>
      <c r="L432" s="3">
        <f t="shared" si="86"/>
        <v>1.9032679140840794</v>
      </c>
      <c r="N432" s="12">
        <f t="shared" si="87"/>
        <v>-1.6010271834833033E-4</v>
      </c>
      <c r="O432" s="12">
        <f t="shared" si="88"/>
        <v>-4.5457143518688042E-4</v>
      </c>
      <c r="P432" s="12">
        <f t="shared" si="89"/>
        <v>1.8047473399987165E-4</v>
      </c>
      <c r="Q432" s="12">
        <f t="shared" si="90"/>
        <v>4.0369041568806161E-4</v>
      </c>
      <c r="R432" s="12">
        <f t="shared" si="91"/>
        <v>3.6803950336980994E-4</v>
      </c>
      <c r="S432" s="12">
        <f t="shared" si="92"/>
        <v>-6.1518964698427814E-4</v>
      </c>
      <c r="T432" s="12">
        <f t="shared" si="93"/>
        <v>-0.10476190476190528</v>
      </c>
      <c r="U432" s="12">
        <f t="shared" si="94"/>
        <v>-0.10410714285714384</v>
      </c>
      <c r="V432" s="12">
        <f t="shared" si="95"/>
        <v>0.2599367888748414</v>
      </c>
    </row>
    <row r="433" spans="1:22" x14ac:dyDescent="0.25">
      <c r="A433" s="26">
        <v>78.06</v>
      </c>
      <c r="B433">
        <v>78.13</v>
      </c>
      <c r="C433">
        <v>2.25</v>
      </c>
      <c r="D433" s="2">
        <v>44764</v>
      </c>
      <c r="E433">
        <v>78.31</v>
      </c>
      <c r="F433">
        <v>-0.25</v>
      </c>
      <c r="G433">
        <v>-0.18000000000000682</v>
      </c>
      <c r="H433" s="5">
        <f t="shared" si="96"/>
        <v>-3.1924403013663645E-3</v>
      </c>
      <c r="I433" s="3">
        <f t="shared" si="84"/>
        <v>-0.41939022618508276</v>
      </c>
      <c r="J433" s="5">
        <f t="shared" si="97"/>
        <v>-2.2985570169838693E-3</v>
      </c>
      <c r="K433" s="3">
        <f t="shared" si="85"/>
        <v>1.5894677906706674E-2</v>
      </c>
      <c r="L433" s="3">
        <f t="shared" si="86"/>
        <v>0.75290325144193948</v>
      </c>
      <c r="N433" s="12">
        <f t="shared" si="87"/>
        <v>-1.0570228300577475E-3</v>
      </c>
      <c r="O433" s="12">
        <f t="shared" si="88"/>
        <v>-1.4227617561768098E-3</v>
      </c>
      <c r="P433" s="12">
        <f t="shared" si="89"/>
        <v>-7.016062318368915E-4</v>
      </c>
      <c r="Q433" s="12">
        <f t="shared" si="90"/>
        <v>4.5852170045839564E-4</v>
      </c>
      <c r="R433" s="12">
        <f t="shared" si="91"/>
        <v>3.6709990980738835E-4</v>
      </c>
      <c r="S433" s="12">
        <f t="shared" si="92"/>
        <v>-6.441484650855497E-4</v>
      </c>
      <c r="T433" s="12">
        <f t="shared" si="93"/>
        <v>-0.16523809523809518</v>
      </c>
      <c r="U433" s="12">
        <f t="shared" si="94"/>
        <v>-0.15440476190476282</v>
      </c>
      <c r="V433" s="12">
        <f t="shared" si="95"/>
        <v>0.21665402444163484</v>
      </c>
    </row>
    <row r="434" spans="1:22" x14ac:dyDescent="0.25">
      <c r="A434" s="26">
        <v>77.599999999999994</v>
      </c>
      <c r="B434">
        <v>77.430000000000007</v>
      </c>
      <c r="C434">
        <v>1.63</v>
      </c>
      <c r="D434" s="2">
        <v>44763</v>
      </c>
      <c r="E434">
        <v>77.599999999999994</v>
      </c>
      <c r="F434">
        <v>0</v>
      </c>
      <c r="G434">
        <v>-0.16999999999998749</v>
      </c>
      <c r="H434" s="5">
        <f t="shared" si="96"/>
        <v>0</v>
      </c>
      <c r="I434" s="3">
        <f t="shared" si="84"/>
        <v>0.34033803524208067</v>
      </c>
      <c r="J434" s="5">
        <f t="shared" si="97"/>
        <v>-2.1907216494843752E-3</v>
      </c>
      <c r="K434" s="3">
        <f t="shared" si="85"/>
        <v>3.1766826317049586E-2</v>
      </c>
      <c r="L434" s="3">
        <f t="shared" si="86"/>
        <v>-0.54229663108050941</v>
      </c>
      <c r="N434" s="12">
        <f t="shared" si="87"/>
        <v>-1.0407745742062808E-3</v>
      </c>
      <c r="O434" s="12">
        <f t="shared" si="88"/>
        <v>-1.1254706384123409E-3</v>
      </c>
      <c r="P434" s="12">
        <f t="shared" si="89"/>
        <v>-5.4249387785712489E-4</v>
      </c>
      <c r="Q434" s="12">
        <f t="shared" si="90"/>
        <v>4.0652878960530971E-4</v>
      </c>
      <c r="R434" s="12">
        <f t="shared" si="91"/>
        <v>3.3791230611656059E-4</v>
      </c>
      <c r="S434" s="12">
        <f t="shared" si="92"/>
        <v>-6.8965655794373665E-4</v>
      </c>
      <c r="T434" s="12">
        <f t="shared" si="93"/>
        <v>-0.17476190476190556</v>
      </c>
      <c r="U434" s="12">
        <f t="shared" si="94"/>
        <v>-0.1500000000000008</v>
      </c>
      <c r="V434" s="12">
        <f t="shared" si="95"/>
        <v>0.22021491782553704</v>
      </c>
    </row>
    <row r="435" spans="1:22" x14ac:dyDescent="0.25">
      <c r="A435" s="26">
        <v>81.22</v>
      </c>
      <c r="B435">
        <v>81.47</v>
      </c>
      <c r="C435">
        <v>1.84</v>
      </c>
      <c r="D435" s="2">
        <v>44762</v>
      </c>
      <c r="E435">
        <v>81.680000000000007</v>
      </c>
      <c r="F435">
        <v>-0.46</v>
      </c>
      <c r="G435">
        <v>-0.21000000000000796</v>
      </c>
      <c r="H435" s="5">
        <f t="shared" si="96"/>
        <v>-5.6317335945151809E-3</v>
      </c>
      <c r="I435" s="3">
        <f t="shared" si="84"/>
        <v>-0.99874121645578184</v>
      </c>
      <c r="J435" s="5">
        <f t="shared" si="97"/>
        <v>-2.5710088148874627E-3</v>
      </c>
      <c r="K435" s="3">
        <f t="shared" si="85"/>
        <v>-2.2360526473064881E-2</v>
      </c>
      <c r="L435" s="3">
        <f t="shared" si="86"/>
        <v>-9.9369906546405623E-2</v>
      </c>
      <c r="N435" s="12">
        <f t="shared" si="87"/>
        <v>-8.8941803930234447E-4</v>
      </c>
      <c r="O435" s="12">
        <f t="shared" si="88"/>
        <v>-1.1618818325952957E-3</v>
      </c>
      <c r="P435" s="12">
        <f t="shared" si="89"/>
        <v>-4.6053851563723769E-4</v>
      </c>
      <c r="Q435" s="12">
        <f t="shared" si="90"/>
        <v>9.1507325167253586E-5</v>
      </c>
      <c r="R435" s="12">
        <f t="shared" si="91"/>
        <v>1.618951987239943E-4</v>
      </c>
      <c r="S435" s="12">
        <f t="shared" si="92"/>
        <v>-8.6195657777798701E-4</v>
      </c>
      <c r="T435" s="12">
        <f t="shared" si="93"/>
        <v>-0.16714285714285726</v>
      </c>
      <c r="U435" s="12">
        <f t="shared" si="94"/>
        <v>-0.13708333333333433</v>
      </c>
      <c r="V435" s="12">
        <f t="shared" si="95"/>
        <v>0.24521281078803203</v>
      </c>
    </row>
    <row r="436" spans="1:22" x14ac:dyDescent="0.25">
      <c r="A436" s="26">
        <v>83.61</v>
      </c>
      <c r="B436">
        <v>83.51</v>
      </c>
      <c r="C436">
        <v>2.2000000000000002</v>
      </c>
      <c r="D436" s="2">
        <v>44761</v>
      </c>
      <c r="E436">
        <v>83.73</v>
      </c>
      <c r="F436">
        <v>-0.12</v>
      </c>
      <c r="G436">
        <v>-0.21999999999999886</v>
      </c>
      <c r="H436" s="5">
        <f t="shared" si="96"/>
        <v>-1.4331780723754925E-3</v>
      </c>
      <c r="I436" s="3">
        <f t="shared" si="84"/>
        <v>-5.196332614805E-3</v>
      </c>
      <c r="J436" s="5">
        <f t="shared" si="97"/>
        <v>-2.6274931326883896E-3</v>
      </c>
      <c r="K436" s="3">
        <f t="shared" si="85"/>
        <v>-3.0457509517289396E-2</v>
      </c>
      <c r="L436" s="3">
        <f t="shared" si="86"/>
        <v>0.65660077109595394</v>
      </c>
      <c r="N436" s="12">
        <f t="shared" si="87"/>
        <v>2.9340065364702374E-4</v>
      </c>
      <c r="O436" s="12">
        <f t="shared" si="88"/>
        <v>-7.3340879620717849E-4</v>
      </c>
      <c r="P436" s="12">
        <f t="shared" si="89"/>
        <v>1.5401124772417398E-4</v>
      </c>
      <c r="Q436" s="12">
        <f t="shared" si="90"/>
        <v>2.5262811486628182E-4</v>
      </c>
      <c r="R436" s="12">
        <f t="shared" si="91"/>
        <v>1.1366114097452126E-4</v>
      </c>
      <c r="S436" s="12">
        <f t="shared" si="92"/>
        <v>-8.8943218733757417E-4</v>
      </c>
      <c r="T436" s="12">
        <f t="shared" si="93"/>
        <v>-0.12190476190476218</v>
      </c>
      <c r="U436" s="12">
        <f t="shared" si="94"/>
        <v>-0.11553571428571541</v>
      </c>
      <c r="V436" s="12">
        <f t="shared" si="95"/>
        <v>0.289064475347661</v>
      </c>
    </row>
    <row r="437" spans="1:22" x14ac:dyDescent="0.25">
      <c r="A437" s="26">
        <v>83.33</v>
      </c>
      <c r="B437">
        <v>83.4</v>
      </c>
      <c r="C437">
        <v>2.0499999999999998</v>
      </c>
      <c r="D437" s="2">
        <v>44760</v>
      </c>
      <c r="E437">
        <v>83.65</v>
      </c>
      <c r="F437">
        <v>-0.32</v>
      </c>
      <c r="G437">
        <v>-0.25</v>
      </c>
      <c r="H437" s="5">
        <f t="shared" si="96"/>
        <v>-3.8254632396891811E-3</v>
      </c>
      <c r="I437" s="3">
        <f t="shared" si="84"/>
        <v>-0.57217304722568663</v>
      </c>
      <c r="J437" s="5">
        <f t="shared" si="97"/>
        <v>-2.9886431560071725E-3</v>
      </c>
      <c r="K437" s="3">
        <f t="shared" si="85"/>
        <v>-8.1886365729416766E-2</v>
      </c>
      <c r="L437" s="3">
        <f t="shared" si="86"/>
        <v>0.35012496463030862</v>
      </c>
      <c r="N437" s="12">
        <f t="shared" si="87"/>
        <v>8.1569850476873713E-4</v>
      </c>
      <c r="O437" s="12">
        <f t="shared" si="88"/>
        <v>-5.916213405601032E-4</v>
      </c>
      <c r="P437" s="12">
        <f t="shared" si="89"/>
        <v>3.4047896710119206E-4</v>
      </c>
      <c r="Q437" s="12">
        <f t="shared" si="90"/>
        <v>2.8663831624454409E-4</v>
      </c>
      <c r="R437" s="12">
        <f t="shared" si="91"/>
        <v>1.3497183306808956E-4</v>
      </c>
      <c r="S437" s="12">
        <f t="shared" si="92"/>
        <v>-9.2697076497102885E-4</v>
      </c>
      <c r="T437" s="12">
        <f t="shared" si="93"/>
        <v>-0.13333333333333375</v>
      </c>
      <c r="U437" s="12">
        <f t="shared" si="94"/>
        <v>-0.11928571428571555</v>
      </c>
      <c r="V437" s="12">
        <f t="shared" si="95"/>
        <v>0.29900126422250262</v>
      </c>
    </row>
    <row r="438" spans="1:22" x14ac:dyDescent="0.25">
      <c r="A438" s="26">
        <v>83.71</v>
      </c>
      <c r="B438">
        <v>83.51</v>
      </c>
      <c r="C438">
        <v>1.41</v>
      </c>
      <c r="D438" s="2">
        <v>44757</v>
      </c>
      <c r="E438">
        <v>83.62</v>
      </c>
      <c r="F438">
        <v>0.09</v>
      </c>
      <c r="G438">
        <v>-0.10999999999999943</v>
      </c>
      <c r="H438" s="5">
        <f t="shared" si="96"/>
        <v>1.0762975364745275E-3</v>
      </c>
      <c r="I438" s="3">
        <f t="shared" si="84"/>
        <v>0.59361771106337469</v>
      </c>
      <c r="J438" s="5">
        <f t="shared" si="97"/>
        <v>-1.3154747668021936E-3</v>
      </c>
      <c r="K438" s="3">
        <f t="shared" si="85"/>
        <v>0.15496217644701801</v>
      </c>
      <c r="L438" s="3">
        <f t="shared" si="86"/>
        <v>-0.9836932236672602</v>
      </c>
      <c r="N438" s="12">
        <f t="shared" si="87"/>
        <v>1.2779606533719378E-3</v>
      </c>
      <c r="O438" s="12">
        <f t="shared" si="88"/>
        <v>-5.4212462414533627E-5</v>
      </c>
      <c r="P438" s="12">
        <f t="shared" si="89"/>
        <v>7.5922709290379459E-4</v>
      </c>
      <c r="Q438" s="12">
        <f t="shared" si="90"/>
        <v>4.0709526602167269E-4</v>
      </c>
      <c r="R438" s="12">
        <f t="shared" si="91"/>
        <v>1.9325542487189746E-4</v>
      </c>
      <c r="S438" s="12">
        <f t="shared" si="92"/>
        <v>-9.184885509649879E-4</v>
      </c>
      <c r="T438" s="12">
        <f t="shared" si="93"/>
        <v>-9.9047619047619051E-2</v>
      </c>
      <c r="U438" s="12">
        <f t="shared" si="94"/>
        <v>-9.3035714285714999E-2</v>
      </c>
      <c r="V438" s="12">
        <f t="shared" si="95"/>
        <v>0.32865992414664968</v>
      </c>
    </row>
    <row r="439" spans="1:22" x14ac:dyDescent="0.25">
      <c r="A439" s="26">
        <v>83</v>
      </c>
      <c r="B439">
        <v>83.25</v>
      </c>
      <c r="C439">
        <v>2.2200000000000002</v>
      </c>
      <c r="D439" s="2">
        <v>44756</v>
      </c>
      <c r="E439">
        <v>83.46</v>
      </c>
      <c r="F439">
        <v>-0.46</v>
      </c>
      <c r="G439">
        <v>-0.20999999999999375</v>
      </c>
      <c r="H439" s="5">
        <f t="shared" si="96"/>
        <v>-5.5116223340522415E-3</v>
      </c>
      <c r="I439" s="3">
        <f t="shared" si="84"/>
        <v>-0.97374911062797587</v>
      </c>
      <c r="J439" s="5">
        <f t="shared" si="97"/>
        <v>-2.5161754133716002E-3</v>
      </c>
      <c r="K439" s="3">
        <f t="shared" si="85"/>
        <v>-1.4273037702108866E-2</v>
      </c>
      <c r="L439" s="3">
        <f t="shared" si="86"/>
        <v>0.70922347919120188</v>
      </c>
      <c r="N439" s="12">
        <f t="shared" si="87"/>
        <v>1.5003420690022644E-3</v>
      </c>
      <c r="O439" s="12">
        <f t="shared" si="88"/>
        <v>3.3347238784555279E-4</v>
      </c>
      <c r="P439" s="12">
        <f t="shared" si="89"/>
        <v>1.0110863775939344E-3</v>
      </c>
      <c r="Q439" s="12">
        <f t="shared" si="90"/>
        <v>3.3232324430263523E-4</v>
      </c>
      <c r="R439" s="12">
        <f t="shared" si="91"/>
        <v>3.0708739846223602E-4</v>
      </c>
      <c r="S439" s="12">
        <f t="shared" si="92"/>
        <v>-9.8424665740388028E-4</v>
      </c>
      <c r="T439" s="12">
        <f t="shared" si="93"/>
        <v>-6.9523809523809987E-2</v>
      </c>
      <c r="U439" s="12">
        <f t="shared" si="94"/>
        <v>-4.1130952380953101E-2</v>
      </c>
      <c r="V439" s="12">
        <f t="shared" si="95"/>
        <v>0.38683522966708761</v>
      </c>
    </row>
    <row r="440" spans="1:22" x14ac:dyDescent="0.25">
      <c r="A440" s="26">
        <v>83.89</v>
      </c>
      <c r="B440">
        <v>83.8</v>
      </c>
      <c r="C440">
        <v>2.17</v>
      </c>
      <c r="D440" s="2">
        <v>44754</v>
      </c>
      <c r="E440">
        <v>84.14</v>
      </c>
      <c r="F440">
        <v>-0.25</v>
      </c>
      <c r="G440">
        <v>-0.34000000000000341</v>
      </c>
      <c r="H440" s="5">
        <f t="shared" si="96"/>
        <v>-2.9712384121701927E-3</v>
      </c>
      <c r="I440" s="3">
        <f t="shared" si="84"/>
        <v>-0.3715653372172143</v>
      </c>
      <c r="J440" s="5">
        <f t="shared" si="97"/>
        <v>-4.0408842405515021E-3</v>
      </c>
      <c r="K440" s="3">
        <f t="shared" si="85"/>
        <v>-0.23065428998565154</v>
      </c>
      <c r="L440" s="3">
        <f t="shared" si="86"/>
        <v>0.61207143399323305</v>
      </c>
    </row>
    <row r="441" spans="1:22" x14ac:dyDescent="0.25">
      <c r="A441" s="26">
        <v>83.4</v>
      </c>
      <c r="B441">
        <v>82.88</v>
      </c>
      <c r="C441">
        <v>2.33</v>
      </c>
      <c r="D441" s="2">
        <v>44753</v>
      </c>
      <c r="E441">
        <v>83.2</v>
      </c>
      <c r="F441">
        <v>0.2</v>
      </c>
      <c r="G441">
        <v>-0.32000000000000739</v>
      </c>
      <c r="H441" s="5">
        <f t="shared" si="96"/>
        <v>2.403846153846154E-3</v>
      </c>
      <c r="I441" s="3">
        <f t="shared" si="84"/>
        <v>0.91026569129985024</v>
      </c>
      <c r="J441" s="5">
        <f t="shared" si="97"/>
        <v>-3.8461538461539348E-3</v>
      </c>
      <c r="K441" s="3">
        <f t="shared" si="85"/>
        <v>-0.20381758396873426</v>
      </c>
      <c r="L441" s="3">
        <f t="shared" si="86"/>
        <v>0.95184369103080679</v>
      </c>
    </row>
    <row r="442" spans="1:22" x14ac:dyDescent="0.25">
      <c r="A442" s="26">
        <v>82.63</v>
      </c>
      <c r="B442">
        <v>82.89</v>
      </c>
      <c r="C442">
        <v>2.4300000000000002</v>
      </c>
      <c r="D442" s="2">
        <v>44750</v>
      </c>
      <c r="E442">
        <v>83.26</v>
      </c>
      <c r="F442">
        <v>-0.63</v>
      </c>
      <c r="G442">
        <v>-0.37000000000000455</v>
      </c>
      <c r="H442" s="5">
        <f t="shared" si="96"/>
        <v>-7.5666586596204654E-3</v>
      </c>
      <c r="I442" s="3">
        <f t="shared" si="84"/>
        <v>-1.4656462545196716</v>
      </c>
      <c r="J442" s="5">
        <f t="shared" si="97"/>
        <v>-4.4439106413644552E-3</v>
      </c>
      <c r="K442" s="3">
        <f t="shared" si="85"/>
        <v>-0.29044440895156548</v>
      </c>
      <c r="L442" s="3">
        <f t="shared" si="86"/>
        <v>1.1675396446767812</v>
      </c>
    </row>
    <row r="443" spans="1:22" x14ac:dyDescent="0.25">
      <c r="A443" s="26">
        <v>83.36</v>
      </c>
      <c r="B443">
        <v>82.91</v>
      </c>
      <c r="C443">
        <v>2.39</v>
      </c>
      <c r="D443" s="2">
        <v>44749</v>
      </c>
      <c r="E443">
        <v>83.03</v>
      </c>
      <c r="F443">
        <v>0.33</v>
      </c>
      <c r="G443">
        <v>-0.12000000000000455</v>
      </c>
      <c r="H443" s="5">
        <f t="shared" si="96"/>
        <v>3.9744670600987599E-3</v>
      </c>
      <c r="I443" s="3">
        <f t="shared" si="84"/>
        <v>1.2826199944042913</v>
      </c>
      <c r="J443" s="5">
        <f t="shared" si="97"/>
        <v>-1.4452607491268763E-3</v>
      </c>
      <c r="K443" s="3">
        <f t="shared" si="85"/>
        <v>0.1326404838681898</v>
      </c>
      <c r="L443" s="3">
        <f t="shared" si="86"/>
        <v>1.0954268044876048</v>
      </c>
    </row>
    <row r="444" spans="1:22" x14ac:dyDescent="0.25">
      <c r="A444" s="26">
        <v>82.63</v>
      </c>
      <c r="B444">
        <v>82.48</v>
      </c>
      <c r="C444">
        <v>2.12</v>
      </c>
      <c r="D444" s="2">
        <v>44748</v>
      </c>
      <c r="E444">
        <v>82.68</v>
      </c>
      <c r="F444">
        <v>-0.05</v>
      </c>
      <c r="G444">
        <v>-0.20000000000000284</v>
      </c>
      <c r="H444" s="5">
        <f t="shared" si="96"/>
        <v>-6.0474117077890664E-4</v>
      </c>
      <c r="I444" s="3">
        <f t="shared" si="84"/>
        <v>0.19430525035800397</v>
      </c>
      <c r="J444" s="5">
        <f t="shared" si="97"/>
        <v>-2.4189646831156608E-3</v>
      </c>
      <c r="K444" s="3">
        <f t="shared" si="85"/>
        <v>-4.7743969930481482E-3</v>
      </c>
      <c r="L444" s="3">
        <f t="shared" si="86"/>
        <v>0.54357591869061717</v>
      </c>
    </row>
    <row r="445" spans="1:22" x14ac:dyDescent="0.25">
      <c r="A445" s="26">
        <v>83.38</v>
      </c>
      <c r="B445">
        <v>82.78</v>
      </c>
      <c r="C445">
        <v>2.4300000000000002</v>
      </c>
      <c r="D445" s="2">
        <v>44747</v>
      </c>
      <c r="E445">
        <v>82.98</v>
      </c>
      <c r="F445">
        <v>0.4</v>
      </c>
      <c r="G445">
        <v>-0.20000000000000284</v>
      </c>
      <c r="H445" s="5">
        <f t="shared" si="96"/>
        <v>4.8204386599180523E-3</v>
      </c>
      <c r="I445" s="3">
        <f t="shared" si="84"/>
        <v>1.4982373889506078</v>
      </c>
      <c r="J445" s="5">
        <f t="shared" si="97"/>
        <v>-2.4102193299590604E-3</v>
      </c>
      <c r="K445" s="3">
        <f t="shared" si="85"/>
        <v>-3.7414305021916576E-3</v>
      </c>
      <c r="L445" s="3">
        <f t="shared" si="86"/>
        <v>1.1942000409051148</v>
      </c>
    </row>
    <row r="446" spans="1:22" x14ac:dyDescent="0.25">
      <c r="A446" s="26">
        <v>84.34</v>
      </c>
      <c r="B446">
        <v>84.39</v>
      </c>
      <c r="C446">
        <v>2.15</v>
      </c>
      <c r="D446" s="2">
        <v>44746</v>
      </c>
      <c r="E446">
        <v>84.93</v>
      </c>
      <c r="F446">
        <v>-0.59</v>
      </c>
      <c r="G446">
        <v>-0.54000000000000625</v>
      </c>
      <c r="H446" s="5">
        <f t="shared" si="96"/>
        <v>-6.9468974449546673E-3</v>
      </c>
      <c r="I446" s="3">
        <f t="shared" si="84"/>
        <v>-1.3298888894117626</v>
      </c>
      <c r="J446" s="5">
        <f t="shared" si="97"/>
        <v>-6.3581773225009561E-3</v>
      </c>
      <c r="K446" s="3">
        <f t="shared" si="85"/>
        <v>-0.56384797880066206</v>
      </c>
      <c r="L446" s="3">
        <f t="shared" si="86"/>
        <v>0.62170065394789609</v>
      </c>
    </row>
    <row r="447" spans="1:22" x14ac:dyDescent="0.25">
      <c r="A447" s="26">
        <v>88.22</v>
      </c>
      <c r="B447">
        <v>88.81</v>
      </c>
      <c r="C447">
        <v>2.09</v>
      </c>
      <c r="D447" s="2">
        <v>44743</v>
      </c>
      <c r="E447">
        <v>88.96</v>
      </c>
      <c r="F447">
        <v>-0.74</v>
      </c>
      <c r="G447">
        <v>-0.14999999999999147</v>
      </c>
      <c r="H447" s="5">
        <f t="shared" si="96"/>
        <v>-8.3183453237410075E-3</v>
      </c>
      <c r="I447" s="3">
        <f t="shared" si="84"/>
        <v>-1.675209440280911</v>
      </c>
      <c r="J447" s="5">
        <f t="shared" si="97"/>
        <v>-1.6861510791365949E-3</v>
      </c>
      <c r="K447" s="3">
        <f t="shared" si="85"/>
        <v>9.5895901212904533E-2</v>
      </c>
      <c r="L447" s="3">
        <f t="shared" si="86"/>
        <v>0.50230676567392762</v>
      </c>
    </row>
    <row r="448" spans="1:22" x14ac:dyDescent="0.25">
      <c r="A448" s="26">
        <v>88.02</v>
      </c>
      <c r="B448">
        <v>87.74</v>
      </c>
      <c r="C448">
        <v>2.58</v>
      </c>
      <c r="D448" s="2">
        <v>44742</v>
      </c>
      <c r="E448">
        <v>87.91</v>
      </c>
      <c r="F448">
        <v>0.11</v>
      </c>
      <c r="G448">
        <v>-0.17000000000000171</v>
      </c>
      <c r="H448" s="5">
        <f t="shared" si="96"/>
        <v>1.2512797178933E-3</v>
      </c>
      <c r="I448" s="3">
        <f t="shared" si="84"/>
        <v>0.64062161806013262</v>
      </c>
      <c r="J448" s="5">
        <f t="shared" si="97"/>
        <v>-1.9337959276533013E-3</v>
      </c>
      <c r="K448" s="3">
        <f t="shared" si="85"/>
        <v>6.1883110595804001E-2</v>
      </c>
      <c r="L448" s="3">
        <f t="shared" si="86"/>
        <v>1.5261338590012037</v>
      </c>
    </row>
    <row r="449" spans="1:12" x14ac:dyDescent="0.25">
      <c r="A449" s="26">
        <v>84.54</v>
      </c>
      <c r="B449">
        <v>83.72</v>
      </c>
      <c r="C449">
        <v>2.57</v>
      </c>
      <c r="D449" s="2">
        <v>44740</v>
      </c>
      <c r="E449">
        <v>84.15</v>
      </c>
      <c r="F449">
        <v>0.39</v>
      </c>
      <c r="G449">
        <v>-0.43000000000000682</v>
      </c>
      <c r="H449" s="5">
        <f t="shared" si="96"/>
        <v>4.6345811051693407E-3</v>
      </c>
      <c r="I449" s="3">
        <f t="shared" si="84"/>
        <v>1.4435020171955752</v>
      </c>
      <c r="J449" s="5">
        <f t="shared" si="97"/>
        <v>-5.1099227569816616E-3</v>
      </c>
      <c r="K449" s="3">
        <f t="shared" si="85"/>
        <v>-0.38951432488106158</v>
      </c>
      <c r="L449" s="3">
        <f t="shared" si="86"/>
        <v>1.5220896580717893</v>
      </c>
    </row>
    <row r="450" spans="1:12" x14ac:dyDescent="0.25">
      <c r="A450" s="26">
        <v>83.01</v>
      </c>
      <c r="B450">
        <v>82.61</v>
      </c>
      <c r="C450">
        <v>2.5099999999999998</v>
      </c>
      <c r="D450" s="2">
        <v>44739</v>
      </c>
      <c r="E450">
        <v>82.79</v>
      </c>
      <c r="F450">
        <v>0.22</v>
      </c>
      <c r="G450">
        <v>-0.18000000000000682</v>
      </c>
      <c r="H450" s="5">
        <f t="shared" si="96"/>
        <v>2.6573257639811569E-3</v>
      </c>
      <c r="I450" s="3">
        <f t="shared" si="84"/>
        <v>0.97788714099170027</v>
      </c>
      <c r="J450" s="5">
        <f t="shared" si="97"/>
        <v>-2.1741756250755746E-3</v>
      </c>
      <c r="K450" s="3">
        <f t="shared" si="85"/>
        <v>2.5198940873398031E-2</v>
      </c>
      <c r="L450" s="3">
        <f t="shared" si="86"/>
        <v>1.4126262352860108</v>
      </c>
    </row>
    <row r="451" spans="1:12" x14ac:dyDescent="0.25">
      <c r="A451" s="26">
        <v>82.9</v>
      </c>
      <c r="B451">
        <v>83.11</v>
      </c>
      <c r="C451">
        <v>2.3199999999999998</v>
      </c>
      <c r="D451" s="2">
        <v>44736</v>
      </c>
      <c r="E451">
        <v>83.34</v>
      </c>
      <c r="F451">
        <v>-0.44</v>
      </c>
      <c r="G451">
        <v>-0.23000000000000398</v>
      </c>
      <c r="H451" s="5">
        <f t="shared" si="96"/>
        <v>-5.2795776337892968E-3</v>
      </c>
      <c r="I451" s="3">
        <f t="shared" ref="I451:I514" si="98">IFERROR((H451-AVERAGEA(H451:H667))/_xlfn.STDEV.S(H451:H667), " ")</f>
        <v>-0.94366190024178453</v>
      </c>
      <c r="J451" s="5">
        <f t="shared" si="97"/>
        <v>-2.7597792176626344E-3</v>
      </c>
      <c r="K451" s="3">
        <f t="shared" ref="K451:K514" si="99">IFERROR((J451-AVERAGEA(J451:J667))/_xlfn.STDEV.S(J451:J667), " ")</f>
        <v>-5.8363694975515509E-2</v>
      </c>
      <c r="L451" s="3">
        <f t="shared" ref="L451:L514" si="100">(C451-AVERAGEA(C451:C667))/_xlfn.STDEV.S(C451:C667)</f>
        <v>1.0256010943318352</v>
      </c>
    </row>
    <row r="452" spans="1:12" x14ac:dyDescent="0.25">
      <c r="A452" s="26">
        <v>81.069999999999993</v>
      </c>
      <c r="B452">
        <v>81.290000000000006</v>
      </c>
      <c r="C452">
        <v>1.76</v>
      </c>
      <c r="D452" s="2">
        <v>44735</v>
      </c>
      <c r="E452">
        <v>81.53</v>
      </c>
      <c r="F452">
        <v>-0.46</v>
      </c>
      <c r="G452">
        <v>-0.23999999999999488</v>
      </c>
      <c r="H452" s="5">
        <f t="shared" ref="H452:H515" si="101">IFERROR(F452/E452,"")</f>
        <v>-5.6420949343799834E-3</v>
      </c>
      <c r="I452" s="3">
        <f t="shared" si="98"/>
        <v>-1.0388528782746171</v>
      </c>
      <c r="J452" s="5">
        <f t="shared" ref="J452:J515" si="102">IFERROR(G452/E452,"")</f>
        <v>-2.9437017048938412E-3</v>
      </c>
      <c r="K452" s="3">
        <f t="shared" si="99"/>
        <v>-8.5578701763356455E-2</v>
      </c>
      <c r="L452" s="3">
        <f t="shared" si="100"/>
        <v>-0.14976048814214177</v>
      </c>
    </row>
    <row r="453" spans="1:12" x14ac:dyDescent="0.25">
      <c r="A453" s="26">
        <v>83.06</v>
      </c>
      <c r="B453">
        <v>83.71</v>
      </c>
      <c r="C453">
        <v>1.81</v>
      </c>
      <c r="D453" s="2">
        <v>44734</v>
      </c>
      <c r="E453">
        <v>83.98</v>
      </c>
      <c r="F453">
        <v>-0.92</v>
      </c>
      <c r="G453">
        <v>-0.27000000000001023</v>
      </c>
      <c r="H453" s="5">
        <f t="shared" si="101"/>
        <v>-1.0954989283162658E-2</v>
      </c>
      <c r="I453" s="3">
        <f t="shared" si="98"/>
        <v>-2.3408147221580551</v>
      </c>
      <c r="J453" s="5">
        <f t="shared" si="102"/>
        <v>-3.2150512026674232E-3</v>
      </c>
      <c r="K453" s="3">
        <f t="shared" si="99"/>
        <v>-0.12499504124711124</v>
      </c>
      <c r="L453" s="3">
        <f t="shared" si="100"/>
        <v>-3.9476765056697186E-2</v>
      </c>
    </row>
    <row r="454" spans="1:12" x14ac:dyDescent="0.25">
      <c r="A454" s="26">
        <v>84.26</v>
      </c>
      <c r="B454">
        <v>84</v>
      </c>
      <c r="C454">
        <v>2.23</v>
      </c>
      <c r="D454" s="2">
        <v>44733</v>
      </c>
      <c r="E454">
        <v>84.29</v>
      </c>
      <c r="F454">
        <v>-0.03</v>
      </c>
      <c r="G454">
        <v>-0.29000000000000625</v>
      </c>
      <c r="H454" s="5">
        <f t="shared" si="101"/>
        <v>-3.5591410606240358E-4</v>
      </c>
      <c r="I454" s="3">
        <f t="shared" si="98"/>
        <v>0.23491269959455116</v>
      </c>
      <c r="J454" s="5">
        <f t="shared" si="102"/>
        <v>-3.4405030252699755E-3</v>
      </c>
      <c r="K454" s="3">
        <f t="shared" si="99"/>
        <v>-0.15839809016641432</v>
      </c>
      <c r="L454" s="3">
        <f t="shared" si="100"/>
        <v>0.8490747173901948</v>
      </c>
    </row>
    <row r="455" spans="1:12" x14ac:dyDescent="0.25">
      <c r="A455" s="26">
        <v>83.51</v>
      </c>
      <c r="B455">
        <v>83.01</v>
      </c>
      <c r="C455">
        <v>2.0099999999999998</v>
      </c>
      <c r="D455" s="2">
        <v>44732</v>
      </c>
      <c r="E455">
        <v>83.44</v>
      </c>
      <c r="F455">
        <v>7.0000000000000007E-2</v>
      </c>
      <c r="G455">
        <v>-0.42999999999999261</v>
      </c>
      <c r="H455" s="5">
        <f t="shared" si="101"/>
        <v>8.3892617449664439E-4</v>
      </c>
      <c r="I455" s="3">
        <f t="shared" si="98"/>
        <v>0.52526494837298932</v>
      </c>
      <c r="J455" s="5">
        <f t="shared" si="102"/>
        <v>-5.1534036433364405E-3</v>
      </c>
      <c r="K455" s="3">
        <f t="shared" si="99"/>
        <v>-0.4032335626326608</v>
      </c>
      <c r="L455" s="3">
        <f t="shared" si="100"/>
        <v>0.39344486963193803</v>
      </c>
    </row>
    <row r="456" spans="1:12" x14ac:dyDescent="0.25">
      <c r="A456" s="26">
        <v>83</v>
      </c>
      <c r="B456">
        <v>82.3</v>
      </c>
      <c r="C456">
        <v>2.5099999999999998</v>
      </c>
      <c r="D456" s="2">
        <v>44729</v>
      </c>
      <c r="E456">
        <v>82.53</v>
      </c>
      <c r="F456">
        <v>0.47</v>
      </c>
      <c r="G456">
        <v>-0.23000000000000398</v>
      </c>
      <c r="H456" s="5">
        <f t="shared" si="101"/>
        <v>5.6948988246698163E-3</v>
      </c>
      <c r="I456" s="3">
        <f t="shared" si="98"/>
        <v>1.7266981299495476</v>
      </c>
      <c r="J456" s="5">
        <f t="shared" si="102"/>
        <v>-2.786865382285278E-3</v>
      </c>
      <c r="K456" s="3">
        <f t="shared" si="99"/>
        <v>-6.930999853573272E-2</v>
      </c>
      <c r="L456" s="3">
        <f t="shared" si="100"/>
        <v>1.4498288095160863</v>
      </c>
    </row>
    <row r="457" spans="1:12" x14ac:dyDescent="0.25">
      <c r="A457" s="26">
        <v>85.95</v>
      </c>
      <c r="B457">
        <v>85.52</v>
      </c>
      <c r="C457">
        <v>2.2599999999999998</v>
      </c>
      <c r="D457" s="2">
        <v>44728</v>
      </c>
      <c r="E457">
        <v>85.79</v>
      </c>
      <c r="F457">
        <v>0.16</v>
      </c>
      <c r="G457">
        <v>-0.27000000000001023</v>
      </c>
      <c r="H457" s="5">
        <f t="shared" si="101"/>
        <v>1.8650192330108403E-3</v>
      </c>
      <c r="I457" s="3">
        <f t="shared" si="98"/>
        <v>0.79610556335896843</v>
      </c>
      <c r="J457" s="5">
        <f t="shared" si="102"/>
        <v>-3.1472199557059121E-3</v>
      </c>
      <c r="K457" s="3">
        <f t="shared" si="99"/>
        <v>-0.12168421284701865</v>
      </c>
      <c r="L457" s="3">
        <f t="shared" si="100"/>
        <v>0.93846030963221472</v>
      </c>
    </row>
    <row r="458" spans="1:12" x14ac:dyDescent="0.25">
      <c r="A458" s="26">
        <v>82.31</v>
      </c>
      <c r="B458">
        <v>81.760000000000005</v>
      </c>
      <c r="C458">
        <v>2.5</v>
      </c>
      <c r="D458" s="2">
        <v>44726</v>
      </c>
      <c r="E458">
        <v>81.98</v>
      </c>
      <c r="F458">
        <v>0.33</v>
      </c>
      <c r="G458">
        <v>-0.21999999999999886</v>
      </c>
      <c r="H458" s="5">
        <f t="shared" si="101"/>
        <v>4.0253720419614544E-3</v>
      </c>
      <c r="I458" s="3">
        <f t="shared" si="98"/>
        <v>1.3381031323346722</v>
      </c>
      <c r="J458" s="5">
        <f t="shared" si="102"/>
        <v>-2.6835813613076218E-3</v>
      </c>
      <c r="K458" s="3">
        <f t="shared" si="99"/>
        <v>-5.6751502105441685E-2</v>
      </c>
      <c r="L458" s="3">
        <f t="shared" si="100"/>
        <v>1.452004798156036</v>
      </c>
    </row>
    <row r="459" spans="1:12" x14ac:dyDescent="0.25">
      <c r="A459" s="26">
        <v>80.099999999999994</v>
      </c>
      <c r="B459">
        <v>79.489999999999995</v>
      </c>
      <c r="C459">
        <v>2.4700000000000002</v>
      </c>
      <c r="D459" s="2">
        <v>44725</v>
      </c>
      <c r="E459">
        <v>79.7</v>
      </c>
      <c r="F459">
        <v>0.4</v>
      </c>
      <c r="G459">
        <v>-0.21000000000000796</v>
      </c>
      <c r="H459" s="5">
        <f t="shared" si="101"/>
        <v>5.0188205771643669E-3</v>
      </c>
      <c r="I459" s="3">
        <f t="shared" si="98"/>
        <v>1.5858121514401069</v>
      </c>
      <c r="J459" s="5">
        <f t="shared" si="102"/>
        <v>-2.6348808030113922E-3</v>
      </c>
      <c r="K459" s="3">
        <f t="shared" si="99"/>
        <v>-4.9707533296833042E-2</v>
      </c>
      <c r="L459" s="3">
        <f t="shared" si="100"/>
        <v>1.4013526575408102</v>
      </c>
    </row>
    <row r="460" spans="1:12" x14ac:dyDescent="0.25">
      <c r="A460" s="26">
        <v>80.73</v>
      </c>
      <c r="B460">
        <v>80.75</v>
      </c>
      <c r="C460">
        <v>2.36</v>
      </c>
      <c r="D460" s="2">
        <v>44722</v>
      </c>
      <c r="E460">
        <v>81.08</v>
      </c>
      <c r="F460">
        <v>-0.35</v>
      </c>
      <c r="G460">
        <v>-0.32999999999999829</v>
      </c>
      <c r="H460" s="5">
        <f t="shared" si="101"/>
        <v>-4.3167242229896399E-3</v>
      </c>
      <c r="I460" s="3">
        <f t="shared" si="98"/>
        <v>-0.73406897659660886</v>
      </c>
      <c r="J460" s="5">
        <f t="shared" si="102"/>
        <v>-4.0700542673902107E-3</v>
      </c>
      <c r="K460" s="3">
        <f t="shared" si="99"/>
        <v>-0.25346401388654421</v>
      </c>
      <c r="L460" s="3">
        <f t="shared" si="100"/>
        <v>1.1825298355842015</v>
      </c>
    </row>
    <row r="461" spans="1:12" x14ac:dyDescent="0.25">
      <c r="A461" s="26">
        <v>80.209999999999994</v>
      </c>
      <c r="B461">
        <v>79.739999999999995</v>
      </c>
      <c r="C461">
        <v>2.41</v>
      </c>
      <c r="D461" s="2">
        <v>44721</v>
      </c>
      <c r="E461">
        <v>79.989999999999995</v>
      </c>
      <c r="F461">
        <v>0.22</v>
      </c>
      <c r="G461">
        <v>-0.25</v>
      </c>
      <c r="H461" s="5">
        <f t="shared" si="101"/>
        <v>2.7503437929741218E-3</v>
      </c>
      <c r="I461" s="3">
        <f t="shared" si="98"/>
        <v>1.0307225375500819</v>
      </c>
      <c r="J461" s="5">
        <f t="shared" si="102"/>
        <v>-3.1253906738342293E-3</v>
      </c>
      <c r="K461" s="3">
        <f t="shared" si="99"/>
        <v>-0.11998956365457196</v>
      </c>
      <c r="L461" s="3">
        <f t="shared" si="100"/>
        <v>1.3000051716447563</v>
      </c>
    </row>
    <row r="462" spans="1:12" x14ac:dyDescent="0.25">
      <c r="A462" s="26">
        <v>79.11</v>
      </c>
      <c r="B462">
        <v>79.010000000000005</v>
      </c>
      <c r="C462">
        <v>2.2400000000000002</v>
      </c>
      <c r="D462" s="2">
        <v>44720</v>
      </c>
      <c r="E462">
        <v>79.099999999999994</v>
      </c>
      <c r="F462">
        <v>0.01</v>
      </c>
      <c r="G462">
        <v>-8.99999999999892E-2</v>
      </c>
      <c r="H462" s="5">
        <f t="shared" si="101"/>
        <v>1.2642225031605565E-4</v>
      </c>
      <c r="I462" s="3">
        <f t="shared" si="98"/>
        <v>0.38183757642443322</v>
      </c>
      <c r="J462" s="5">
        <f t="shared" si="102"/>
        <v>-1.1378002528443642E-3</v>
      </c>
      <c r="K462" s="3">
        <f t="shared" si="99"/>
        <v>0.16196152973891995</v>
      </c>
      <c r="L462" s="3">
        <f t="shared" si="100"/>
        <v>0.95105339812324063</v>
      </c>
    </row>
    <row r="463" spans="1:12" x14ac:dyDescent="0.25">
      <c r="A463" s="26">
        <v>81.69</v>
      </c>
      <c r="B463">
        <v>81.459999999999994</v>
      </c>
      <c r="C463">
        <v>2.41</v>
      </c>
      <c r="D463" s="2">
        <v>44719</v>
      </c>
      <c r="E463">
        <v>81.66</v>
      </c>
      <c r="F463">
        <v>0.03</v>
      </c>
      <c r="G463">
        <v>-0.20000000000000284</v>
      </c>
      <c r="H463" s="5">
        <f t="shared" si="101"/>
        <v>3.6737692872887586E-4</v>
      </c>
      <c r="I463" s="3">
        <f t="shared" si="98"/>
        <v>0.4352287413937862</v>
      </c>
      <c r="J463" s="5">
        <f t="shared" si="102"/>
        <v>-2.449179524859207E-3</v>
      </c>
      <c r="K463" s="3">
        <f t="shared" si="99"/>
        <v>-2.5560578827921707E-2</v>
      </c>
      <c r="L463" s="3">
        <f t="shared" si="100"/>
        <v>1.3216957838227836</v>
      </c>
    </row>
    <row r="464" spans="1:12" x14ac:dyDescent="0.25">
      <c r="A464" s="26">
        <v>83.63</v>
      </c>
      <c r="B464">
        <v>83.59</v>
      </c>
      <c r="C464">
        <v>2.1800000000000002</v>
      </c>
      <c r="D464" s="2">
        <v>44712</v>
      </c>
      <c r="E464">
        <v>83.83</v>
      </c>
      <c r="F464">
        <v>-0.2</v>
      </c>
      <c r="G464">
        <v>-0.23999999999999488</v>
      </c>
      <c r="H464" s="5">
        <f t="shared" si="101"/>
        <v>-2.3857807467493738E-3</v>
      </c>
      <c r="I464" s="3">
        <f t="shared" si="98"/>
        <v>-0.25145708863407545</v>
      </c>
      <c r="J464" s="5">
        <f t="shared" si="102"/>
        <v>-2.8629368960991874E-3</v>
      </c>
      <c r="K464" s="3">
        <f t="shared" si="99"/>
        <v>-8.4220955956360991E-2</v>
      </c>
      <c r="L464" s="3">
        <f t="shared" si="100"/>
        <v>0.84378506657989316</v>
      </c>
    </row>
    <row r="465" spans="1:12" x14ac:dyDescent="0.25">
      <c r="A465" s="26">
        <v>83.75</v>
      </c>
      <c r="B465">
        <v>83.4</v>
      </c>
      <c r="C465">
        <v>2.46</v>
      </c>
      <c r="D465" s="2">
        <v>44711</v>
      </c>
      <c r="E465">
        <v>83.58</v>
      </c>
      <c r="F465">
        <v>0.17</v>
      </c>
      <c r="G465">
        <v>-0.17999999999999261</v>
      </c>
      <c r="H465" s="5">
        <f t="shared" si="101"/>
        <v>2.0339794209140944E-3</v>
      </c>
      <c r="I465" s="3">
        <f t="shared" si="98"/>
        <v>0.85147134983165873</v>
      </c>
      <c r="J465" s="5">
        <f t="shared" si="102"/>
        <v>-2.1536252692030701E-3</v>
      </c>
      <c r="K465" s="3">
        <f t="shared" si="99"/>
        <v>1.7626885562380682E-2</v>
      </c>
      <c r="L465" s="3">
        <f t="shared" si="100"/>
        <v>1.4495352886380668</v>
      </c>
    </row>
    <row r="466" spans="1:12" x14ac:dyDescent="0.25">
      <c r="A466" s="26">
        <v>80.430000000000007</v>
      </c>
      <c r="B466">
        <v>80.55</v>
      </c>
      <c r="C466">
        <v>2.1800000000000002</v>
      </c>
      <c r="D466" s="2">
        <v>44706</v>
      </c>
      <c r="E466">
        <v>80.819999999999993</v>
      </c>
      <c r="F466">
        <v>-0.39</v>
      </c>
      <c r="G466">
        <v>-0.26999999999999602</v>
      </c>
      <c r="H466" s="5">
        <f t="shared" si="101"/>
        <v>-4.8255382331106166E-3</v>
      </c>
      <c r="I466" s="3">
        <f t="shared" si="98"/>
        <v>-0.85485351955655209</v>
      </c>
      <c r="J466" s="5">
        <f t="shared" si="102"/>
        <v>-3.3407572383073007E-3</v>
      </c>
      <c r="K466" s="3">
        <f t="shared" si="99"/>
        <v>-0.1503874383406372</v>
      </c>
      <c r="L466" s="3">
        <f t="shared" si="100"/>
        <v>0.86494749932682957</v>
      </c>
    </row>
    <row r="467" spans="1:12" x14ac:dyDescent="0.25">
      <c r="A467" s="26">
        <v>78.88</v>
      </c>
      <c r="B467">
        <v>78.819999999999993</v>
      </c>
      <c r="C467">
        <v>2.0699999999999998</v>
      </c>
      <c r="D467" s="2">
        <v>44705</v>
      </c>
      <c r="E467">
        <v>79.239999999999995</v>
      </c>
      <c r="F467">
        <v>-0.36</v>
      </c>
      <c r="G467">
        <v>-0.42000000000000171</v>
      </c>
      <c r="H467" s="5">
        <f t="shared" si="101"/>
        <v>-4.5431600201918223E-3</v>
      </c>
      <c r="I467" s="3">
        <f t="shared" si="98"/>
        <v>-0.78760544411056366</v>
      </c>
      <c r="J467" s="5">
        <f t="shared" si="102"/>
        <v>-5.3003533568904814E-3</v>
      </c>
      <c r="K467" s="3">
        <f t="shared" si="99"/>
        <v>-0.42852326299933863</v>
      </c>
      <c r="L467" s="3">
        <f t="shared" si="100"/>
        <v>0.63740256860985611</v>
      </c>
    </row>
    <row r="468" spans="1:12" x14ac:dyDescent="0.25">
      <c r="A468" s="26">
        <v>78.959999999999994</v>
      </c>
      <c r="B468">
        <v>79.150000000000006</v>
      </c>
      <c r="C468">
        <v>2.29</v>
      </c>
      <c r="D468" s="2">
        <v>44704</v>
      </c>
      <c r="E468">
        <v>79.38</v>
      </c>
      <c r="F468">
        <v>-0.42</v>
      </c>
      <c r="G468">
        <v>-0.22999999999998977</v>
      </c>
      <c r="H468" s="5">
        <f t="shared" si="101"/>
        <v>-5.2910052910052907E-3</v>
      </c>
      <c r="I468" s="3">
        <f t="shared" si="98"/>
        <v>-0.9803387531369222</v>
      </c>
      <c r="J468" s="5">
        <f t="shared" si="102"/>
        <v>-2.8974552784075307E-3</v>
      </c>
      <c r="K468" s="3">
        <f t="shared" si="99"/>
        <v>-8.9446589730244247E-2</v>
      </c>
      <c r="L468" s="3">
        <f t="shared" si="100"/>
        <v>1.1131443668652408</v>
      </c>
    </row>
    <row r="469" spans="1:12" x14ac:dyDescent="0.25">
      <c r="A469" s="26">
        <v>81.150000000000006</v>
      </c>
      <c r="B469">
        <v>81.209999999999994</v>
      </c>
      <c r="C469">
        <v>2.91</v>
      </c>
      <c r="D469" s="2">
        <v>44701</v>
      </c>
      <c r="E469">
        <v>81.44</v>
      </c>
      <c r="F469">
        <v>-0.28999999999999998</v>
      </c>
      <c r="G469">
        <v>-0.23000000000000398</v>
      </c>
      <c r="H469" s="5">
        <f t="shared" si="101"/>
        <v>-3.5609037328094301E-3</v>
      </c>
      <c r="I469" s="3">
        <f t="shared" si="98"/>
        <v>-0.5505156620522702</v>
      </c>
      <c r="J469" s="5">
        <f t="shared" si="102"/>
        <v>-2.8241650294695969E-3</v>
      </c>
      <c r="K469" s="3">
        <f t="shared" si="99"/>
        <v>-7.9223082954567009E-2</v>
      </c>
      <c r="L469" s="3">
        <f t="shared" si="100"/>
        <v>2.4556258370056323</v>
      </c>
    </row>
    <row r="470" spans="1:12" x14ac:dyDescent="0.25">
      <c r="A470" s="26">
        <v>82.28</v>
      </c>
      <c r="B470">
        <v>82.33</v>
      </c>
      <c r="C470">
        <v>2.4700000000000002</v>
      </c>
      <c r="D470" s="2">
        <v>44700</v>
      </c>
      <c r="E470">
        <v>82.75</v>
      </c>
      <c r="F470">
        <v>-0.47</v>
      </c>
      <c r="G470">
        <v>-0.42000000000000171</v>
      </c>
      <c r="H470" s="5">
        <f t="shared" si="101"/>
        <v>-5.6797583081570997E-3</v>
      </c>
      <c r="I470" s="3">
        <f t="shared" si="98"/>
        <v>-1.0868429635020453</v>
      </c>
      <c r="J470" s="5">
        <f t="shared" si="102"/>
        <v>-5.0755287009063652E-3</v>
      </c>
      <c r="K470" s="3">
        <f t="shared" si="99"/>
        <v>-0.39899446114273457</v>
      </c>
      <c r="L470" s="3">
        <f t="shared" si="100"/>
        <v>1.5444000229096457</v>
      </c>
    </row>
    <row r="471" spans="1:12" x14ac:dyDescent="0.25">
      <c r="A471" s="26">
        <v>90.33</v>
      </c>
      <c r="B471">
        <v>90.03</v>
      </c>
      <c r="C471">
        <v>2.09</v>
      </c>
      <c r="D471" s="2">
        <v>44698</v>
      </c>
      <c r="E471">
        <v>90.39</v>
      </c>
      <c r="F471">
        <v>-0.06</v>
      </c>
      <c r="G471">
        <v>-0.35999999999999943</v>
      </c>
      <c r="H471" s="5">
        <f t="shared" si="101"/>
        <v>-6.6379024228343836E-4</v>
      </c>
      <c r="I471" s="3">
        <f t="shared" si="98"/>
        <v>0.15822336838492251</v>
      </c>
      <c r="J471" s="5">
        <f t="shared" si="102"/>
        <v>-3.9827414537006245E-3</v>
      </c>
      <c r="K471" s="3">
        <f t="shared" si="99"/>
        <v>-0.24584424753684572</v>
      </c>
      <c r="L471" s="3">
        <f t="shared" si="100"/>
        <v>0.72879940771891882</v>
      </c>
    </row>
    <row r="472" spans="1:12" x14ac:dyDescent="0.25">
      <c r="A472" s="26">
        <v>88.81</v>
      </c>
      <c r="B472">
        <v>88.77</v>
      </c>
      <c r="C472">
        <v>2.27</v>
      </c>
      <c r="D472" s="2">
        <v>44697</v>
      </c>
      <c r="E472">
        <v>89.08</v>
      </c>
      <c r="F472">
        <v>-0.27</v>
      </c>
      <c r="G472">
        <v>-0.31000000000000227</v>
      </c>
      <c r="H472" s="5">
        <f t="shared" si="101"/>
        <v>-3.0309833857207007E-3</v>
      </c>
      <c r="I472" s="3">
        <f t="shared" si="98"/>
        <v>-0.42368417108693485</v>
      </c>
      <c r="J472" s="5">
        <f t="shared" si="102"/>
        <v>-3.4800179613830519E-3</v>
      </c>
      <c r="K472" s="3">
        <f t="shared" si="99"/>
        <v>-0.17484187638496376</v>
      </c>
      <c r="L472" s="3">
        <f t="shared" si="100"/>
        <v>1.1297503709296912</v>
      </c>
    </row>
    <row r="473" spans="1:12" x14ac:dyDescent="0.25">
      <c r="A473" s="26">
        <v>88.75</v>
      </c>
      <c r="B473">
        <v>88.78</v>
      </c>
      <c r="C473">
        <v>2.33</v>
      </c>
      <c r="D473" s="2">
        <v>44694</v>
      </c>
      <c r="E473">
        <v>89.11</v>
      </c>
      <c r="F473">
        <v>-0.36</v>
      </c>
      <c r="G473">
        <v>-0.32999999999999829</v>
      </c>
      <c r="H473" s="5">
        <f t="shared" si="101"/>
        <v>-4.0399506228257212E-3</v>
      </c>
      <c r="I473" s="3">
        <f t="shared" si="98"/>
        <v>-0.63452811578799595</v>
      </c>
      <c r="J473" s="5">
        <f t="shared" si="102"/>
        <v>-3.7032880709235586E-3</v>
      </c>
      <c r="K473" s="3">
        <f t="shared" si="99"/>
        <v>-0.2064332478735032</v>
      </c>
      <c r="L473" s="3">
        <f t="shared" si="100"/>
        <v>1.2705486259026171</v>
      </c>
    </row>
    <row r="474" spans="1:12" x14ac:dyDescent="0.25">
      <c r="A474" s="26">
        <v>86.95</v>
      </c>
      <c r="B474">
        <v>87.32</v>
      </c>
      <c r="C474">
        <v>2.08</v>
      </c>
      <c r="D474" s="2">
        <v>44693</v>
      </c>
      <c r="E474">
        <v>87.73</v>
      </c>
      <c r="F474">
        <v>-0.78</v>
      </c>
      <c r="G474">
        <v>-0.4100000000000108</v>
      </c>
      <c r="H474" s="5">
        <f t="shared" si="101"/>
        <v>-8.8909153083323832E-3</v>
      </c>
      <c r="I474" s="3">
        <f t="shared" si="98"/>
        <v>-1.8023611510211051</v>
      </c>
      <c r="J474" s="5">
        <f t="shared" si="102"/>
        <v>-4.673429841559453E-3</v>
      </c>
      <c r="K474" s="3">
        <f t="shared" si="99"/>
        <v>-0.34544387838172069</v>
      </c>
      <c r="L474" s="3">
        <f t="shared" si="100"/>
        <v>0.7313503914313001</v>
      </c>
    </row>
    <row r="475" spans="1:12" x14ac:dyDescent="0.25">
      <c r="A475" s="26">
        <v>89</v>
      </c>
      <c r="B475">
        <v>88.5</v>
      </c>
      <c r="C475">
        <v>2.41</v>
      </c>
      <c r="D475" s="2">
        <v>44692</v>
      </c>
      <c r="E475">
        <v>88.81</v>
      </c>
      <c r="F475">
        <v>0.19</v>
      </c>
      <c r="G475">
        <v>-0.31000000000000227</v>
      </c>
      <c r="H475" s="5">
        <f t="shared" si="101"/>
        <v>2.13939871636077E-3</v>
      </c>
      <c r="I475" s="3">
        <f t="shared" si="98"/>
        <v>0.84053540782565028</v>
      </c>
      <c r="J475" s="5">
        <f t="shared" si="102"/>
        <v>-3.4905979056412823E-3</v>
      </c>
      <c r="K475" s="3">
        <f t="shared" si="99"/>
        <v>-0.1794570487494207</v>
      </c>
      <c r="L475" s="3">
        <f t="shared" si="100"/>
        <v>1.4631010999710798</v>
      </c>
    </row>
    <row r="476" spans="1:12" x14ac:dyDescent="0.25">
      <c r="A476" s="26">
        <v>86.5</v>
      </c>
      <c r="B476">
        <v>86.5</v>
      </c>
      <c r="C476">
        <v>2.23</v>
      </c>
      <c r="D476" s="2">
        <v>44691</v>
      </c>
      <c r="E476">
        <v>86.63</v>
      </c>
      <c r="F476">
        <v>-0.13</v>
      </c>
      <c r="G476">
        <v>-0.12999999999999545</v>
      </c>
      <c r="H476" s="5">
        <f t="shared" si="101"/>
        <v>-1.5006348839893802E-3</v>
      </c>
      <c r="I476" s="3">
        <f t="shared" si="98"/>
        <v>-3.810734640527292E-2</v>
      </c>
      <c r="J476" s="5">
        <f t="shared" si="102"/>
        <v>-1.5006348839893277E-3</v>
      </c>
      <c r="K476" s="3">
        <f t="shared" si="99"/>
        <v>0.10179290496995023</v>
      </c>
      <c r="L476" s="3">
        <f t="shared" si="100"/>
        <v>1.0800676288007471</v>
      </c>
    </row>
    <row r="477" spans="1:12" x14ac:dyDescent="0.25">
      <c r="A477" s="26">
        <v>90.11</v>
      </c>
      <c r="B477">
        <v>90.24</v>
      </c>
      <c r="C477">
        <v>2.23</v>
      </c>
      <c r="D477" s="2">
        <v>44690</v>
      </c>
      <c r="E477">
        <v>90.82</v>
      </c>
      <c r="F477">
        <v>-0.71</v>
      </c>
      <c r="G477">
        <v>-0.57999999999999829</v>
      </c>
      <c r="H477" s="5">
        <f t="shared" si="101"/>
        <v>-7.8176613080819211E-3</v>
      </c>
      <c r="I477" s="3">
        <f t="shared" si="98"/>
        <v>-1.5568145531773052</v>
      </c>
      <c r="J477" s="5">
        <f t="shared" si="102"/>
        <v>-6.3862585333626775E-3</v>
      </c>
      <c r="K477" s="3">
        <f t="shared" si="99"/>
        <v>-0.59141307216629813</v>
      </c>
      <c r="L477" s="3">
        <f t="shared" si="100"/>
        <v>1.0900856858432604</v>
      </c>
    </row>
    <row r="478" spans="1:12" x14ac:dyDescent="0.25">
      <c r="A478" s="26">
        <v>90.77</v>
      </c>
      <c r="B478">
        <v>90.9</v>
      </c>
      <c r="C478">
        <v>2.56</v>
      </c>
      <c r="D478" s="2">
        <v>44687</v>
      </c>
      <c r="E478">
        <v>91.3</v>
      </c>
      <c r="F478">
        <v>-0.53</v>
      </c>
      <c r="G478">
        <v>-0.39999999999999147</v>
      </c>
      <c r="H478" s="5">
        <f t="shared" si="101"/>
        <v>-5.8050383351588176E-3</v>
      </c>
      <c r="I478" s="3">
        <f t="shared" si="98"/>
        <v>-1.0825043151482781</v>
      </c>
      <c r="J478" s="5">
        <f t="shared" si="102"/>
        <v>-4.3811610076669389E-3</v>
      </c>
      <c r="K478" s="3">
        <f t="shared" si="99"/>
        <v>-0.30871459747911711</v>
      </c>
      <c r="L478" s="3">
        <f t="shared" si="100"/>
        <v>1.8318874929726128</v>
      </c>
    </row>
    <row r="479" spans="1:12" x14ac:dyDescent="0.25">
      <c r="A479" s="26">
        <v>87.8</v>
      </c>
      <c r="B479">
        <v>87.18</v>
      </c>
      <c r="C479">
        <v>2.23</v>
      </c>
      <c r="D479" s="2">
        <v>44686</v>
      </c>
      <c r="E479">
        <v>87.61</v>
      </c>
      <c r="F479">
        <v>0.19</v>
      </c>
      <c r="G479">
        <v>-0.42999999999999261</v>
      </c>
      <c r="H479" s="5">
        <f t="shared" si="101"/>
        <v>2.1687022029448695E-3</v>
      </c>
      <c r="I479" s="3">
        <f t="shared" si="98"/>
        <v>0.84994578291828748</v>
      </c>
      <c r="J479" s="5">
        <f t="shared" si="102"/>
        <v>-4.9081155119277782E-3</v>
      </c>
      <c r="K479" s="3">
        <f t="shared" si="99"/>
        <v>-0.38531825169888861</v>
      </c>
      <c r="L479" s="3">
        <f t="shared" si="100"/>
        <v>1.1181530576836562</v>
      </c>
    </row>
    <row r="480" spans="1:12" x14ac:dyDescent="0.25">
      <c r="A480" s="26">
        <v>84.25</v>
      </c>
      <c r="B480">
        <v>83.69</v>
      </c>
      <c r="C480">
        <v>2.91</v>
      </c>
      <c r="D480" s="2">
        <v>44684</v>
      </c>
      <c r="E480">
        <v>83.89</v>
      </c>
      <c r="F480">
        <v>0.36</v>
      </c>
      <c r="G480">
        <v>-0.20000000000000284</v>
      </c>
      <c r="H480" s="5">
        <f t="shared" si="101"/>
        <v>4.2913338896173559E-3</v>
      </c>
      <c r="I480" s="3">
        <f t="shared" si="98"/>
        <v>1.3722232855248602</v>
      </c>
      <c r="J480" s="5">
        <f t="shared" si="102"/>
        <v>-2.3840743831207872E-3</v>
      </c>
      <c r="K480" s="3">
        <f t="shared" si="99"/>
        <v>-2.7505543503998909E-2</v>
      </c>
      <c r="L480" s="3">
        <f t="shared" si="100"/>
        <v>2.6509757362657451</v>
      </c>
    </row>
    <row r="481" spans="1:12" x14ac:dyDescent="0.25">
      <c r="A481" s="26">
        <v>82.84</v>
      </c>
      <c r="B481">
        <v>82.71</v>
      </c>
      <c r="C481">
        <v>2.5499999999999998</v>
      </c>
      <c r="D481" s="2">
        <v>44683</v>
      </c>
      <c r="E481">
        <v>83.16</v>
      </c>
      <c r="F481">
        <v>-0.32</v>
      </c>
      <c r="G481">
        <v>-0.45000000000000284</v>
      </c>
      <c r="H481" s="5">
        <f t="shared" si="101"/>
        <v>-3.8480038480038481E-3</v>
      </c>
      <c r="I481" s="3">
        <f t="shared" si="98"/>
        <v>-0.5964171624835678</v>
      </c>
      <c r="J481" s="5">
        <f t="shared" si="102"/>
        <v>-5.4112554112554457E-3</v>
      </c>
      <c r="K481" s="3">
        <f t="shared" si="99"/>
        <v>-0.45786459516694311</v>
      </c>
      <c r="L481" s="3">
        <f t="shared" si="100"/>
        <v>1.8867736324510187</v>
      </c>
    </row>
    <row r="482" spans="1:12" x14ac:dyDescent="0.25">
      <c r="A482" s="26">
        <v>82.86</v>
      </c>
      <c r="B482">
        <v>82.68</v>
      </c>
      <c r="C482">
        <v>2.68</v>
      </c>
      <c r="D482" s="2">
        <v>44680</v>
      </c>
      <c r="E482">
        <v>83.16</v>
      </c>
      <c r="F482">
        <v>-0.3</v>
      </c>
      <c r="G482">
        <v>-0.47999999999998977</v>
      </c>
      <c r="H482" s="5">
        <f t="shared" si="101"/>
        <v>-3.6075036075036075E-3</v>
      </c>
      <c r="I482" s="3">
        <f t="shared" si="98"/>
        <v>-0.5393110661746644</v>
      </c>
      <c r="J482" s="5">
        <f t="shared" si="102"/>
        <v>-5.7720057720056488E-3</v>
      </c>
      <c r="K482" s="3">
        <f t="shared" si="99"/>
        <v>-0.51056079550441091</v>
      </c>
      <c r="L482" s="3">
        <f t="shared" si="100"/>
        <v>2.2099269614946762</v>
      </c>
    </row>
    <row r="483" spans="1:12" x14ac:dyDescent="0.25">
      <c r="A483" s="26">
        <v>80.55</v>
      </c>
      <c r="B483">
        <v>80.08</v>
      </c>
      <c r="C483">
        <v>1.82</v>
      </c>
      <c r="D483" s="2">
        <v>44679</v>
      </c>
      <c r="E483">
        <v>80.28</v>
      </c>
      <c r="F483">
        <v>0.27</v>
      </c>
      <c r="G483">
        <v>-0.20000000000000284</v>
      </c>
      <c r="H483" s="5">
        <f t="shared" si="101"/>
        <v>3.3632286995515697E-3</v>
      </c>
      <c r="I483" s="3">
        <f t="shared" si="98"/>
        <v>1.1583466631684511</v>
      </c>
      <c r="J483" s="5">
        <f t="shared" si="102"/>
        <v>-2.4912805181863834E-3</v>
      </c>
      <c r="K483" s="3">
        <f t="shared" si="99"/>
        <v>-4.6079366489802737E-2</v>
      </c>
      <c r="L483" s="3">
        <f t="shared" si="100"/>
        <v>0.25484672512413054</v>
      </c>
    </row>
    <row r="484" spans="1:12" x14ac:dyDescent="0.25">
      <c r="A484" s="26">
        <v>79.989999999999995</v>
      </c>
      <c r="B484">
        <v>80.36</v>
      </c>
      <c r="C484">
        <v>1.78</v>
      </c>
      <c r="D484" s="2">
        <v>44678</v>
      </c>
      <c r="E484">
        <v>80.69</v>
      </c>
      <c r="F484">
        <v>-0.7</v>
      </c>
      <c r="G484">
        <v>-0.32999999999999829</v>
      </c>
      <c r="H484" s="5">
        <f t="shared" si="101"/>
        <v>-8.6751766018093937E-3</v>
      </c>
      <c r="I484" s="3">
        <f t="shared" si="98"/>
        <v>-1.7664636995117353</v>
      </c>
      <c r="J484" s="5">
        <f t="shared" si="102"/>
        <v>-4.0897261122815505E-3</v>
      </c>
      <c r="K484" s="3">
        <f t="shared" si="99"/>
        <v>-0.27311870010948236</v>
      </c>
      <c r="L484" s="3">
        <f t="shared" si="100"/>
        <v>0.16429162347703766</v>
      </c>
    </row>
    <row r="485" spans="1:12" x14ac:dyDescent="0.25">
      <c r="A485" s="26">
        <v>83.43</v>
      </c>
      <c r="B485">
        <v>83.48</v>
      </c>
      <c r="C485">
        <v>2.02</v>
      </c>
      <c r="D485" s="2">
        <v>44677</v>
      </c>
      <c r="E485">
        <v>83.62</v>
      </c>
      <c r="F485">
        <v>-0.19</v>
      </c>
      <c r="G485">
        <v>-0.14000000000000057</v>
      </c>
      <c r="H485" s="5">
        <f t="shared" si="101"/>
        <v>-2.2721836881128914E-3</v>
      </c>
      <c r="I485" s="3">
        <f t="shared" si="98"/>
        <v>-0.21293988930383634</v>
      </c>
      <c r="J485" s="5">
        <f t="shared" si="102"/>
        <v>-1.6742406122937164E-3</v>
      </c>
      <c r="K485" s="3">
        <f t="shared" si="99"/>
        <v>7.0172521004401633E-2</v>
      </c>
      <c r="L485" s="3">
        <f t="shared" si="100"/>
        <v>0.72274017313527883</v>
      </c>
    </row>
    <row r="486" spans="1:12" x14ac:dyDescent="0.25">
      <c r="A486" s="26">
        <v>85.81</v>
      </c>
      <c r="B486">
        <v>86.12</v>
      </c>
      <c r="C486">
        <v>1.92</v>
      </c>
      <c r="D486" s="2">
        <v>44676</v>
      </c>
      <c r="E486">
        <v>86.51</v>
      </c>
      <c r="F486">
        <v>-0.7</v>
      </c>
      <c r="G486">
        <v>-0.39000000000000057</v>
      </c>
      <c r="H486" s="5">
        <f t="shared" si="101"/>
        <v>-8.0915501098138935E-3</v>
      </c>
      <c r="I486" s="3">
        <f t="shared" si="98"/>
        <v>-1.640516912188551</v>
      </c>
      <c r="J486" s="5">
        <f t="shared" si="102"/>
        <v>-4.5081493468963185E-3</v>
      </c>
      <c r="K486" s="3">
        <f t="shared" si="99"/>
        <v>-0.33297432322387061</v>
      </c>
      <c r="L486" s="3">
        <f t="shared" si="100"/>
        <v>0.49735479473847743</v>
      </c>
    </row>
    <row r="487" spans="1:12" x14ac:dyDescent="0.25">
      <c r="A487" s="26">
        <v>87.4</v>
      </c>
      <c r="B487">
        <v>86.71</v>
      </c>
      <c r="C487">
        <v>2.76</v>
      </c>
      <c r="D487" s="2">
        <v>44673</v>
      </c>
      <c r="E487">
        <v>86.96</v>
      </c>
      <c r="F487">
        <v>0.44</v>
      </c>
      <c r="G487">
        <v>-0.25</v>
      </c>
      <c r="H487" s="5">
        <f t="shared" si="101"/>
        <v>5.0597976080956767E-3</v>
      </c>
      <c r="I487" s="3">
        <f t="shared" si="98"/>
        <v>1.5786345219654785</v>
      </c>
      <c r="J487" s="5">
        <f t="shared" si="102"/>
        <v>-2.8748850045998164E-3</v>
      </c>
      <c r="K487" s="3">
        <f t="shared" si="99"/>
        <v>-0.10208875328254706</v>
      </c>
      <c r="L487" s="3">
        <f t="shared" si="100"/>
        <v>2.4407080741431328</v>
      </c>
    </row>
    <row r="488" spans="1:12" x14ac:dyDescent="0.25">
      <c r="A488" s="26">
        <v>85.9</v>
      </c>
      <c r="B488">
        <v>85.83</v>
      </c>
      <c r="C488">
        <v>2.0699999999999998</v>
      </c>
      <c r="D488" s="2">
        <v>44672</v>
      </c>
      <c r="E488">
        <v>86.12</v>
      </c>
      <c r="F488">
        <v>-0.22</v>
      </c>
      <c r="G488">
        <v>-0.29000000000000625</v>
      </c>
      <c r="H488" s="5">
        <f t="shared" si="101"/>
        <v>-2.5545750116117046E-3</v>
      </c>
      <c r="I488" s="3">
        <f t="shared" si="98"/>
        <v>-0.28966508764127186</v>
      </c>
      <c r="J488" s="5">
        <f t="shared" si="102"/>
        <v>-3.3673943334882285E-3</v>
      </c>
      <c r="K488" s="3">
        <f t="shared" si="99"/>
        <v>-0.17259137430781882</v>
      </c>
      <c r="L488" s="3">
        <f t="shared" si="100"/>
        <v>0.86852266620282892</v>
      </c>
    </row>
    <row r="489" spans="1:12" x14ac:dyDescent="0.25">
      <c r="A489" s="26">
        <v>79.400000000000006</v>
      </c>
      <c r="B489">
        <v>79.349999999999994</v>
      </c>
      <c r="C489">
        <v>2.11</v>
      </c>
      <c r="D489" s="2">
        <v>44670</v>
      </c>
      <c r="E489">
        <v>79.680000000000007</v>
      </c>
      <c r="F489">
        <v>-0.28000000000000003</v>
      </c>
      <c r="G489">
        <v>-0.33000000000001251</v>
      </c>
      <c r="H489" s="5">
        <f t="shared" si="101"/>
        <v>-3.5140562248995983E-3</v>
      </c>
      <c r="I489" s="3">
        <f t="shared" si="98"/>
        <v>-0.53160145832011696</v>
      </c>
      <c r="J489" s="5">
        <f t="shared" si="102"/>
        <v>-4.1415662650603974E-3</v>
      </c>
      <c r="K489" s="3">
        <f t="shared" si="99"/>
        <v>-0.28235659069892355</v>
      </c>
      <c r="L489" s="3">
        <f t="shared" si="100"/>
        <v>0.96726074150849062</v>
      </c>
    </row>
    <row r="490" spans="1:12" x14ac:dyDescent="0.25">
      <c r="A490" s="26">
        <v>78.8</v>
      </c>
      <c r="B490">
        <v>78.209999999999994</v>
      </c>
      <c r="C490">
        <v>2.41</v>
      </c>
      <c r="D490" s="2">
        <v>44665</v>
      </c>
      <c r="E490">
        <v>78.47</v>
      </c>
      <c r="F490">
        <v>0.33</v>
      </c>
      <c r="G490">
        <v>-0.26000000000000512</v>
      </c>
      <c r="H490" s="5">
        <f t="shared" si="101"/>
        <v>4.2054288263030457E-3</v>
      </c>
      <c r="I490" s="3">
        <f t="shared" si="98"/>
        <v>1.3719948395023884</v>
      </c>
      <c r="J490" s="5">
        <f t="shared" si="102"/>
        <v>-3.3133681661782224E-3</v>
      </c>
      <c r="K490" s="3">
        <f t="shared" si="99"/>
        <v>-0.16584598086655081</v>
      </c>
      <c r="L490" s="3">
        <f t="shared" si="100"/>
        <v>1.675738724680242</v>
      </c>
    </row>
    <row r="491" spans="1:12" x14ac:dyDescent="0.25">
      <c r="A491" s="26">
        <v>77.27</v>
      </c>
      <c r="B491">
        <v>77.12</v>
      </c>
      <c r="C491">
        <v>1.99</v>
      </c>
      <c r="D491" s="2">
        <v>44664</v>
      </c>
      <c r="E491">
        <v>77.39</v>
      </c>
      <c r="F491">
        <v>-0.12</v>
      </c>
      <c r="G491">
        <v>-0.26999999999999602</v>
      </c>
      <c r="H491" s="5">
        <f t="shared" si="101"/>
        <v>-1.5505879312572683E-3</v>
      </c>
      <c r="I491" s="3">
        <f t="shared" si="98"/>
        <v>-4.762017026954888E-2</v>
      </c>
      <c r="J491" s="5">
        <f t="shared" si="102"/>
        <v>-3.4888228453288025E-3</v>
      </c>
      <c r="K491" s="3">
        <f t="shared" si="99"/>
        <v>-0.191955679351378</v>
      </c>
      <c r="L491" s="3">
        <f t="shared" si="100"/>
        <v>0.70079265001695257</v>
      </c>
    </row>
    <row r="492" spans="1:12" x14ac:dyDescent="0.25">
      <c r="A492" s="26">
        <v>77.36</v>
      </c>
      <c r="B492">
        <v>77.13</v>
      </c>
      <c r="C492">
        <v>2.4300000000000002</v>
      </c>
      <c r="D492" s="2">
        <v>44663</v>
      </c>
      <c r="E492">
        <v>77.45</v>
      </c>
      <c r="F492">
        <v>-0.09</v>
      </c>
      <c r="G492">
        <v>-0.32000000000000739</v>
      </c>
      <c r="H492" s="5">
        <f t="shared" si="101"/>
        <v>-1.1620400258231117E-3</v>
      </c>
      <c r="I492" s="3">
        <f t="shared" si="98"/>
        <v>4.8426205677906252E-2</v>
      </c>
      <c r="J492" s="5">
        <f t="shared" si="102"/>
        <v>-4.131697869593381E-3</v>
      </c>
      <c r="K492" s="3">
        <f t="shared" si="99"/>
        <v>-0.28407648966818033</v>
      </c>
      <c r="L492" s="3">
        <f t="shared" si="100"/>
        <v>1.7491615883554417</v>
      </c>
    </row>
    <row r="493" spans="1:12" x14ac:dyDescent="0.25">
      <c r="A493" s="26">
        <v>79.02</v>
      </c>
      <c r="B493">
        <v>78.16</v>
      </c>
      <c r="C493">
        <v>2.2599999999999998</v>
      </c>
      <c r="D493" s="2">
        <v>44662</v>
      </c>
      <c r="E493">
        <v>78.63</v>
      </c>
      <c r="F493">
        <v>0.39</v>
      </c>
      <c r="G493">
        <v>-0.46999999999999886</v>
      </c>
      <c r="H493" s="5">
        <f t="shared" si="101"/>
        <v>4.9599389545974823E-3</v>
      </c>
      <c r="I493" s="3">
        <f t="shared" si="98"/>
        <v>1.5670075839062743</v>
      </c>
      <c r="J493" s="5">
        <f t="shared" si="102"/>
        <v>-5.9773623298995156E-3</v>
      </c>
      <c r="K493" s="3">
        <f t="shared" si="99"/>
        <v>-0.54896420454770867</v>
      </c>
      <c r="L493" s="3">
        <f t="shared" si="100"/>
        <v>1.3656725234149731</v>
      </c>
    </row>
    <row r="494" spans="1:12" x14ac:dyDescent="0.25">
      <c r="A494" s="26">
        <v>80.209999999999994</v>
      </c>
      <c r="B494">
        <v>80.22</v>
      </c>
      <c r="C494">
        <v>2.81</v>
      </c>
      <c r="D494" s="2">
        <v>44659</v>
      </c>
      <c r="E494">
        <v>80.61</v>
      </c>
      <c r="F494">
        <v>-0.4</v>
      </c>
      <c r="G494">
        <v>-0.39000000000000057</v>
      </c>
      <c r="H494" s="5">
        <f t="shared" si="101"/>
        <v>-4.9621635032874338E-3</v>
      </c>
      <c r="I494" s="3">
        <f t="shared" si="98"/>
        <v>-0.87563763887266821</v>
      </c>
      <c r="J494" s="5">
        <f t="shared" si="102"/>
        <v>-4.8381094157052542E-3</v>
      </c>
      <c r="K494" s="3">
        <f t="shared" si="99"/>
        <v>-0.38836030799756455</v>
      </c>
      <c r="L494" s="3">
        <f t="shared" si="100"/>
        <v>2.6957885416743745</v>
      </c>
    </row>
    <row r="495" spans="1:12" x14ac:dyDescent="0.25">
      <c r="A495" s="26">
        <v>77.13</v>
      </c>
      <c r="B495">
        <v>76.23</v>
      </c>
      <c r="C495">
        <v>2.79</v>
      </c>
      <c r="D495" s="2">
        <v>44658</v>
      </c>
      <c r="E495">
        <v>76.42</v>
      </c>
      <c r="F495">
        <v>0.71</v>
      </c>
      <c r="G495">
        <v>-0.18999999999999773</v>
      </c>
      <c r="H495" s="5">
        <f t="shared" si="101"/>
        <v>9.2907615807380252E-3</v>
      </c>
      <c r="I495" s="3">
        <f t="shared" si="98"/>
        <v>2.6475903853429568</v>
      </c>
      <c r="J495" s="5">
        <f t="shared" si="102"/>
        <v>-2.4862601413242306E-3</v>
      </c>
      <c r="K495" s="3">
        <f t="shared" si="99"/>
        <v>-5.4233743086695006E-2</v>
      </c>
      <c r="L495" s="3">
        <f t="shared" si="100"/>
        <v>2.7071969091912726</v>
      </c>
    </row>
    <row r="496" spans="1:12" x14ac:dyDescent="0.25">
      <c r="A496" s="26">
        <v>78.33</v>
      </c>
      <c r="B496">
        <v>77.959999999999994</v>
      </c>
      <c r="C496">
        <v>2.42</v>
      </c>
      <c r="D496" s="2">
        <v>44656</v>
      </c>
      <c r="E496">
        <v>78.209999999999994</v>
      </c>
      <c r="F496">
        <v>0.12</v>
      </c>
      <c r="G496">
        <v>-0.25</v>
      </c>
      <c r="H496" s="5">
        <f t="shared" si="101"/>
        <v>1.534330648254699E-3</v>
      </c>
      <c r="I496" s="3">
        <f t="shared" si="98"/>
        <v>0.75291877369915017</v>
      </c>
      <c r="J496" s="5">
        <f t="shared" si="102"/>
        <v>-3.1965221838639564E-3</v>
      </c>
      <c r="K496" s="3">
        <f t="shared" si="99"/>
        <v>-0.15508620534319814</v>
      </c>
      <c r="L496" s="3">
        <f t="shared" si="100"/>
        <v>1.8510839363730793</v>
      </c>
    </row>
    <row r="497" spans="1:12" x14ac:dyDescent="0.25">
      <c r="A497" s="26">
        <v>77.5</v>
      </c>
      <c r="B497">
        <v>77.2</v>
      </c>
      <c r="C497">
        <v>2.65</v>
      </c>
      <c r="D497" s="2">
        <v>44655</v>
      </c>
      <c r="E497">
        <v>77.39</v>
      </c>
      <c r="F497">
        <v>0.11</v>
      </c>
      <c r="G497">
        <v>-0.18999999999999773</v>
      </c>
      <c r="H497" s="5">
        <f t="shared" si="101"/>
        <v>1.4213722703191626E-3</v>
      </c>
      <c r="I497" s="3">
        <f t="shared" si="98"/>
        <v>0.72790681478695329</v>
      </c>
      <c r="J497" s="5">
        <f t="shared" si="102"/>
        <v>-2.4550975578239787E-3</v>
      </c>
      <c r="K497" s="3">
        <f t="shared" si="99"/>
        <v>-4.9643775681480762E-2</v>
      </c>
      <c r="L497" s="3">
        <f t="shared" si="100"/>
        <v>2.4501597153189842</v>
      </c>
    </row>
    <row r="498" spans="1:12" x14ac:dyDescent="0.25">
      <c r="A498" s="26">
        <v>78</v>
      </c>
      <c r="B498">
        <v>79.2</v>
      </c>
      <c r="C498">
        <v>2.0499999999999998</v>
      </c>
      <c r="D498" s="2">
        <v>44652</v>
      </c>
      <c r="E498">
        <v>79.45</v>
      </c>
      <c r="F498">
        <v>-1.45</v>
      </c>
      <c r="G498">
        <v>-0.25</v>
      </c>
      <c r="H498" s="5">
        <f t="shared" si="101"/>
        <v>-1.8250471994965385E-2</v>
      </c>
      <c r="I498" s="3">
        <f t="shared" si="98"/>
        <v>-4.2304348888644592</v>
      </c>
      <c r="J498" s="5">
        <f t="shared" si="102"/>
        <v>-3.1466331025802388E-3</v>
      </c>
      <c r="K498" s="3">
        <f t="shared" si="99"/>
        <v>-0.14847091671883414</v>
      </c>
      <c r="L498" s="3">
        <f t="shared" si="100"/>
        <v>0.97897985821491085</v>
      </c>
    </row>
    <row r="499" spans="1:12" x14ac:dyDescent="0.25">
      <c r="A499" s="26">
        <v>79.25</v>
      </c>
      <c r="B499">
        <v>79.010000000000005</v>
      </c>
      <c r="C499">
        <v>2.34</v>
      </c>
      <c r="D499" s="2">
        <v>44651</v>
      </c>
      <c r="E499">
        <v>78.97</v>
      </c>
      <c r="F499">
        <v>0.28000000000000003</v>
      </c>
      <c r="G499">
        <v>4.0000000000006253E-2</v>
      </c>
      <c r="H499" s="5">
        <f t="shared" si="101"/>
        <v>3.5456502469292141E-3</v>
      </c>
      <c r="I499" s="3">
        <f t="shared" si="98"/>
        <v>1.3068230009747093</v>
      </c>
      <c r="J499" s="5">
        <f t="shared" si="102"/>
        <v>5.0652146384710971E-4</v>
      </c>
      <c r="K499" s="3">
        <f t="shared" si="99"/>
        <v>0.37297172165951215</v>
      </c>
      <c r="L499" s="3">
        <f t="shared" si="100"/>
        <v>1.7223700958118082</v>
      </c>
    </row>
    <row r="500" spans="1:12" x14ac:dyDescent="0.25">
      <c r="A500" s="26">
        <v>77.22</v>
      </c>
      <c r="B500">
        <v>77.349999999999994</v>
      </c>
      <c r="C500">
        <v>1.88</v>
      </c>
      <c r="D500" s="2">
        <v>44650</v>
      </c>
      <c r="E500">
        <v>77.47</v>
      </c>
      <c r="F500">
        <v>-0.25</v>
      </c>
      <c r="G500">
        <v>-0.12000000000000455</v>
      </c>
      <c r="H500" s="5">
        <f t="shared" si="101"/>
        <v>-3.2270556344391379E-3</v>
      </c>
      <c r="I500" s="3">
        <f t="shared" si="98"/>
        <v>-0.47669466503297558</v>
      </c>
      <c r="J500" s="5">
        <f t="shared" si="102"/>
        <v>-1.5489867045308449E-3</v>
      </c>
      <c r="K500" s="3">
        <f t="shared" si="99"/>
        <v>8.1702659957899881E-2</v>
      </c>
      <c r="L500" s="3">
        <f t="shared" si="100"/>
        <v>0.56847982286736887</v>
      </c>
    </row>
    <row r="501" spans="1:12" x14ac:dyDescent="0.25">
      <c r="A501" s="26">
        <v>80.510000000000005</v>
      </c>
      <c r="B501">
        <v>80.48</v>
      </c>
      <c r="C501">
        <v>2.29</v>
      </c>
      <c r="D501" s="2">
        <v>44649</v>
      </c>
      <c r="E501">
        <v>80.61</v>
      </c>
      <c r="F501">
        <v>-0.1</v>
      </c>
      <c r="G501">
        <v>-0.12999999999999545</v>
      </c>
      <c r="H501" s="5">
        <f t="shared" si="101"/>
        <v>-1.2405408758218584E-3</v>
      </c>
      <c r="I501" s="3">
        <f t="shared" si="98"/>
        <v>4.5926164897314763E-2</v>
      </c>
      <c r="J501" s="5">
        <f t="shared" si="102"/>
        <v>-1.6127031385683595E-3</v>
      </c>
      <c r="K501" s="3">
        <f t="shared" si="99"/>
        <v>7.3061208681755696E-2</v>
      </c>
      <c r="L501" s="3">
        <f t="shared" si="100"/>
        <v>1.6198188531982016</v>
      </c>
    </row>
    <row r="502" spans="1:12" x14ac:dyDescent="0.25">
      <c r="A502" s="26">
        <v>80.760000000000005</v>
      </c>
      <c r="B502">
        <v>80.13</v>
      </c>
      <c r="C502">
        <v>2.4900000000000002</v>
      </c>
      <c r="D502" s="2">
        <v>44648</v>
      </c>
      <c r="E502">
        <v>80.27</v>
      </c>
      <c r="F502">
        <v>0.49</v>
      </c>
      <c r="G502">
        <v>-0.14000000000000057</v>
      </c>
      <c r="H502" s="5">
        <f t="shared" si="101"/>
        <v>6.1043976579045721E-3</v>
      </c>
      <c r="I502" s="3">
        <f t="shared" si="98"/>
        <v>1.9684921611640067</v>
      </c>
      <c r="J502" s="5">
        <f t="shared" si="102"/>
        <v>-1.7441136165441706E-3</v>
      </c>
      <c r="K502" s="3">
        <f t="shared" si="99"/>
        <v>5.5051411364329582E-2</v>
      </c>
      <c r="L502" s="3">
        <f t="shared" si="100"/>
        <v>2.1501130068624987</v>
      </c>
    </row>
    <row r="503" spans="1:12" x14ac:dyDescent="0.25">
      <c r="A503" s="26">
        <v>78.5</v>
      </c>
      <c r="B503">
        <v>78.010000000000005</v>
      </c>
      <c r="C503">
        <v>2.59</v>
      </c>
      <c r="D503" s="2">
        <v>44645</v>
      </c>
      <c r="E503">
        <v>78.349999999999994</v>
      </c>
      <c r="F503">
        <v>0.15</v>
      </c>
      <c r="G503">
        <v>-0.3399999999999892</v>
      </c>
      <c r="H503" s="5">
        <f t="shared" si="101"/>
        <v>1.9144862795149968E-3</v>
      </c>
      <c r="I503" s="3">
        <f t="shared" si="98"/>
        <v>0.88520285568469215</v>
      </c>
      <c r="J503" s="5">
        <f t="shared" si="102"/>
        <v>-4.3395022335671884E-3</v>
      </c>
      <c r="K503" s="3">
        <f t="shared" si="99"/>
        <v>-0.31446523204153931</v>
      </c>
      <c r="L503" s="3">
        <f t="shared" si="100"/>
        <v>2.4441173095581474</v>
      </c>
    </row>
    <row r="504" spans="1:12" x14ac:dyDescent="0.25">
      <c r="A504" s="26">
        <v>76.150000000000006</v>
      </c>
      <c r="B504">
        <v>75.75</v>
      </c>
      <c r="C504">
        <v>1.9</v>
      </c>
      <c r="D504" s="2">
        <v>44644</v>
      </c>
      <c r="E504">
        <v>75.86</v>
      </c>
      <c r="F504">
        <v>0.28999999999999998</v>
      </c>
      <c r="G504">
        <v>-0.10999999999999943</v>
      </c>
      <c r="H504" s="5">
        <f t="shared" si="101"/>
        <v>3.8228315317690481E-3</v>
      </c>
      <c r="I504" s="3">
        <f t="shared" si="98"/>
        <v>1.3972397038112403</v>
      </c>
      <c r="J504" s="5">
        <f t="shared" si="102"/>
        <v>-1.4500395465330798E-3</v>
      </c>
      <c r="K504" s="3">
        <f t="shared" si="99"/>
        <v>9.6837721672436899E-2</v>
      </c>
      <c r="L504" s="3">
        <f t="shared" si="100"/>
        <v>0.67373062246894022</v>
      </c>
    </row>
    <row r="505" spans="1:12" x14ac:dyDescent="0.25">
      <c r="A505" s="26">
        <v>79.05</v>
      </c>
      <c r="B505">
        <v>78.989999999999995</v>
      </c>
      <c r="C505">
        <v>1.98</v>
      </c>
      <c r="D505" s="2">
        <v>44642</v>
      </c>
      <c r="E505">
        <v>79.150000000000006</v>
      </c>
      <c r="F505">
        <v>-0.1</v>
      </c>
      <c r="G505">
        <v>-0.1600000000000108</v>
      </c>
      <c r="H505" s="5">
        <f t="shared" si="101"/>
        <v>-1.2634238787113076E-3</v>
      </c>
      <c r="I505" s="3">
        <f t="shared" si="98"/>
        <v>5.5251014128302064E-2</v>
      </c>
      <c r="J505" s="5">
        <f t="shared" si="102"/>
        <v>-2.0214782059382284E-3</v>
      </c>
      <c r="K505" s="3">
        <f t="shared" si="99"/>
        <v>1.6461134010105183E-2</v>
      </c>
      <c r="L505" s="3">
        <f t="shared" si="100"/>
        <v>0.88892745034052256</v>
      </c>
    </row>
    <row r="506" spans="1:12" x14ac:dyDescent="0.25">
      <c r="A506" s="26">
        <v>77.760000000000005</v>
      </c>
      <c r="B506">
        <v>77.319999999999993</v>
      </c>
      <c r="C506">
        <v>2.2999999999999998</v>
      </c>
      <c r="D506" s="2">
        <v>44641</v>
      </c>
      <c r="E506">
        <v>77.34</v>
      </c>
      <c r="F506">
        <v>0.42</v>
      </c>
      <c r="G506">
        <v>-2.0000000000010232E-2</v>
      </c>
      <c r="H506" s="5">
        <f t="shared" si="101"/>
        <v>5.4305663304887505E-3</v>
      </c>
      <c r="I506" s="3">
        <f t="shared" si="98"/>
        <v>1.8408479564185556</v>
      </c>
      <c r="J506" s="5">
        <f t="shared" si="102"/>
        <v>-2.5859839669007279E-4</v>
      </c>
      <c r="K506" s="3">
        <f t="shared" si="99"/>
        <v>0.26865783994726072</v>
      </c>
      <c r="L506" s="3">
        <f t="shared" si="100"/>
        <v>1.7343199093157644</v>
      </c>
    </row>
    <row r="507" spans="1:12" x14ac:dyDescent="0.25">
      <c r="A507" s="26">
        <v>79.209999999999994</v>
      </c>
      <c r="B507">
        <v>79.28</v>
      </c>
      <c r="C507">
        <v>2.09</v>
      </c>
      <c r="D507" s="2">
        <v>44638</v>
      </c>
      <c r="E507">
        <v>79.37</v>
      </c>
      <c r="F507">
        <v>-0.16</v>
      </c>
      <c r="G507">
        <v>-9.0000000000003411E-2</v>
      </c>
      <c r="H507" s="5">
        <f t="shared" si="101"/>
        <v>-2.0158750157490235E-3</v>
      </c>
      <c r="I507" s="3">
        <f t="shared" si="98"/>
        <v>-0.13934954277475034</v>
      </c>
      <c r="J507" s="5">
        <f t="shared" si="102"/>
        <v>-1.1339296963588687E-3</v>
      </c>
      <c r="K507" s="3">
        <f t="shared" si="99"/>
        <v>0.1451575604457806</v>
      </c>
      <c r="L507" s="3">
        <f t="shared" si="100"/>
        <v>1.1984027701082054</v>
      </c>
    </row>
    <row r="508" spans="1:12" x14ac:dyDescent="0.25">
      <c r="A508" s="26">
        <v>76.87</v>
      </c>
      <c r="B508">
        <v>76.28</v>
      </c>
      <c r="C508">
        <v>2.7</v>
      </c>
      <c r="D508" s="2">
        <v>44637</v>
      </c>
      <c r="E508">
        <v>76.67</v>
      </c>
      <c r="F508">
        <v>0.2</v>
      </c>
      <c r="G508">
        <v>-0.39000000000000057</v>
      </c>
      <c r="H508" s="5">
        <f t="shared" si="101"/>
        <v>2.608582235554976E-3</v>
      </c>
      <c r="I508" s="3">
        <f t="shared" si="98"/>
        <v>1.0911787164789641</v>
      </c>
      <c r="J508" s="5">
        <f t="shared" si="102"/>
        <v>-5.08673535933221E-3</v>
      </c>
      <c r="K508" s="3">
        <f t="shared" si="99"/>
        <v>-0.41797610515405609</v>
      </c>
      <c r="L508" s="3">
        <f t="shared" si="100"/>
        <v>2.8270707153767964</v>
      </c>
    </row>
    <row r="509" spans="1:12" x14ac:dyDescent="0.25">
      <c r="A509" s="26">
        <v>75.25</v>
      </c>
      <c r="B509">
        <v>75.06</v>
      </c>
      <c r="C509">
        <v>1.96</v>
      </c>
      <c r="D509" s="2">
        <v>44636</v>
      </c>
      <c r="E509">
        <v>75.36</v>
      </c>
      <c r="F509">
        <v>-0.11</v>
      </c>
      <c r="G509">
        <v>-0.29999999999999716</v>
      </c>
      <c r="H509" s="5">
        <f t="shared" si="101"/>
        <v>-1.4596602972399152E-3</v>
      </c>
      <c r="I509" s="3">
        <f t="shared" si="98"/>
        <v>7.4117665604630477E-3</v>
      </c>
      <c r="J509" s="5">
        <f t="shared" si="102"/>
        <v>-3.9808917197451856E-3</v>
      </c>
      <c r="K509" s="3">
        <f t="shared" si="99"/>
        <v>-0.26152461670059224</v>
      </c>
      <c r="L509" s="3">
        <f t="shared" si="100"/>
        <v>0.88899757821467662</v>
      </c>
    </row>
    <row r="510" spans="1:12" x14ac:dyDescent="0.25">
      <c r="A510" s="26">
        <v>75.55</v>
      </c>
      <c r="B510">
        <v>75.900000000000006</v>
      </c>
      <c r="C510">
        <v>1.93</v>
      </c>
      <c r="D510" s="2">
        <v>44635</v>
      </c>
      <c r="E510">
        <v>76.27</v>
      </c>
      <c r="F510">
        <v>-0.72</v>
      </c>
      <c r="G510">
        <v>-0.36999999999999034</v>
      </c>
      <c r="H510" s="5">
        <f t="shared" si="101"/>
        <v>-9.440146846728727E-3</v>
      </c>
      <c r="I510" s="3">
        <f t="shared" si="98"/>
        <v>-2.1328646102880948</v>
      </c>
      <c r="J510" s="5">
        <f t="shared" si="102"/>
        <v>-4.851186574013247E-3</v>
      </c>
      <c r="K510" s="3">
        <f t="shared" si="99"/>
        <v>-0.38625716307751279</v>
      </c>
      <c r="L510" s="3">
        <f t="shared" si="100"/>
        <v>0.80987123036738862</v>
      </c>
    </row>
    <row r="511" spans="1:12" x14ac:dyDescent="0.25">
      <c r="A511" s="26">
        <v>78.599999999999994</v>
      </c>
      <c r="B511">
        <v>77.95</v>
      </c>
      <c r="C511">
        <v>2.2999999999999998</v>
      </c>
      <c r="D511" s="2">
        <v>44634</v>
      </c>
      <c r="E511">
        <v>78.2</v>
      </c>
      <c r="F511">
        <v>0.4</v>
      </c>
      <c r="G511">
        <v>-0.25</v>
      </c>
      <c r="H511" s="5">
        <f t="shared" si="101"/>
        <v>5.1150895140664966E-3</v>
      </c>
      <c r="I511" s="3">
        <f t="shared" si="98"/>
        <v>1.7723932679006007</v>
      </c>
      <c r="J511" s="5">
        <f t="shared" si="102"/>
        <v>-3.19693094629156E-3</v>
      </c>
      <c r="K511" s="3">
        <f t="shared" si="99"/>
        <v>-0.15189594434158868</v>
      </c>
      <c r="L511" s="3">
        <f t="shared" si="100"/>
        <v>1.8179140357393433</v>
      </c>
    </row>
    <row r="512" spans="1:12" x14ac:dyDescent="0.25">
      <c r="A512" s="26">
        <v>76.5</v>
      </c>
      <c r="B512">
        <v>75.55</v>
      </c>
      <c r="C512">
        <v>3.09</v>
      </c>
      <c r="D512" s="2">
        <v>44631</v>
      </c>
      <c r="E512">
        <v>75.599999999999994</v>
      </c>
      <c r="F512">
        <v>0.9</v>
      </c>
      <c r="G512">
        <v>-4.9999999999997158E-2</v>
      </c>
      <c r="H512" s="5">
        <f t="shared" si="101"/>
        <v>1.1904761904761906E-2</v>
      </c>
      <c r="I512" s="3">
        <f t="shared" si="98"/>
        <v>3.6088581761681588</v>
      </c>
      <c r="J512" s="5">
        <f t="shared" si="102"/>
        <v>-6.6137566137562383E-4</v>
      </c>
      <c r="K512" s="3">
        <f t="shared" si="99"/>
        <v>0.20970610477198137</v>
      </c>
      <c r="L512" s="3">
        <f t="shared" si="100"/>
        <v>3.9959629049361776</v>
      </c>
    </row>
    <row r="513" spans="1:12" x14ac:dyDescent="0.25">
      <c r="A513" s="26">
        <v>70.040000000000006</v>
      </c>
      <c r="B513">
        <v>69.45</v>
      </c>
      <c r="C513">
        <v>2.63</v>
      </c>
      <c r="D513" s="2">
        <v>44630</v>
      </c>
      <c r="E513">
        <v>69.849999999999994</v>
      </c>
      <c r="F513">
        <v>0.19</v>
      </c>
      <c r="G513">
        <v>-0.39999999999999147</v>
      </c>
      <c r="H513" s="5">
        <f t="shared" si="101"/>
        <v>2.7201145311381535E-3</v>
      </c>
      <c r="I513" s="3">
        <f t="shared" si="98"/>
        <v>1.1785555704744393</v>
      </c>
      <c r="J513" s="5">
        <f t="shared" si="102"/>
        <v>-5.7265569076591482E-3</v>
      </c>
      <c r="K513" s="3">
        <f t="shared" si="99"/>
        <v>-0.51303118062766517</v>
      </c>
      <c r="L513" s="3">
        <f t="shared" si="100"/>
        <v>2.8654805288858314</v>
      </c>
    </row>
    <row r="514" spans="1:12" x14ac:dyDescent="0.25">
      <c r="A514" s="26">
        <v>62.01</v>
      </c>
      <c r="B514">
        <v>62.01</v>
      </c>
      <c r="C514">
        <v>2.23</v>
      </c>
      <c r="D514" s="2">
        <v>44628</v>
      </c>
      <c r="E514">
        <v>62.33</v>
      </c>
      <c r="F514">
        <v>-0.32</v>
      </c>
      <c r="G514">
        <v>-0.32000000000000028</v>
      </c>
      <c r="H514" s="5">
        <f t="shared" si="101"/>
        <v>-5.1339643831220926E-3</v>
      </c>
      <c r="I514" s="3">
        <f t="shared" si="98"/>
        <v>-1.011136284095761</v>
      </c>
      <c r="J514" s="5">
        <f t="shared" si="102"/>
        <v>-5.133964383122097E-3</v>
      </c>
      <c r="K514" s="3">
        <f t="shared" si="99"/>
        <v>-0.43194012075186394</v>
      </c>
      <c r="L514" s="3">
        <f t="shared" si="100"/>
        <v>1.7776656237331392</v>
      </c>
    </row>
    <row r="515" spans="1:12" x14ac:dyDescent="0.25">
      <c r="A515" s="26">
        <v>57.91</v>
      </c>
      <c r="B515">
        <v>57.54</v>
      </c>
      <c r="C515">
        <v>2.39</v>
      </c>
      <c r="D515" s="2">
        <v>44627</v>
      </c>
      <c r="E515">
        <v>58.27</v>
      </c>
      <c r="F515">
        <v>-0.36</v>
      </c>
      <c r="G515">
        <v>-0.73000000000000398</v>
      </c>
      <c r="H515" s="5">
        <f t="shared" si="101"/>
        <v>-6.1781362622275607E-3</v>
      </c>
      <c r="I515" s="3">
        <f t="shared" ref="I515:I578" si="103">IFERROR((H515-AVERAGEA(H515:H731))/_xlfn.STDEV.S(H515:H731), " ")</f>
        <v>-1.3127230865136446</v>
      </c>
      <c r="J515" s="5">
        <f t="shared" si="102"/>
        <v>-1.2527887420628178E-2</v>
      </c>
      <c r="K515" s="3">
        <f t="shared" ref="K515:K578" si="104">IFERROR((J515-AVERAGEA(J515:J731))/_xlfn.STDEV.S(J515:J731), " ")</f>
        <v>-1.4916824539961195</v>
      </c>
      <c r="L515" s="3">
        <f t="shared" ref="L515:L578" si="105">(C515-AVERAGEA(C515:C731))/_xlfn.STDEV.S(C515:C731)</f>
        <v>2.2656978412384019</v>
      </c>
    </row>
    <row r="516" spans="1:12" x14ac:dyDescent="0.25">
      <c r="A516" s="26">
        <v>67.22</v>
      </c>
      <c r="B516">
        <v>66.930000000000007</v>
      </c>
      <c r="C516">
        <v>2.52</v>
      </c>
      <c r="D516" s="2">
        <v>44624</v>
      </c>
      <c r="E516">
        <v>67.39</v>
      </c>
      <c r="F516">
        <v>-0.17</v>
      </c>
      <c r="G516">
        <v>-0.45999999999999375</v>
      </c>
      <c r="H516" s="5">
        <f t="shared" ref="H516:H579" si="106">IFERROR(F516/E516,"")</f>
        <v>-2.5226294702478114E-3</v>
      </c>
      <c r="I516" s="3">
        <f t="shared" si="103"/>
        <v>-0.29647294901920779</v>
      </c>
      <c r="J516" s="5">
        <f t="shared" ref="J516:J579" si="107">IFERROR(G516/E516,"")</f>
        <v>-6.8259385665528083E-3</v>
      </c>
      <c r="K516" s="3">
        <f t="shared" si="104"/>
        <v>-0.68683781960719947</v>
      </c>
      <c r="L516" s="3">
        <f t="shared" si="105"/>
        <v>2.6878998926391735</v>
      </c>
    </row>
    <row r="517" spans="1:12" x14ac:dyDescent="0.25">
      <c r="A517" s="26">
        <v>63.87</v>
      </c>
      <c r="B517">
        <v>63.76</v>
      </c>
      <c r="C517">
        <v>2.2599999999999998</v>
      </c>
      <c r="D517" s="2">
        <v>44623</v>
      </c>
      <c r="E517">
        <v>65.27</v>
      </c>
      <c r="F517">
        <v>-1.4</v>
      </c>
      <c r="G517">
        <v>-1.509999999999998</v>
      </c>
      <c r="H517" s="5">
        <f t="shared" si="106"/>
        <v>-2.1449364179561819E-2</v>
      </c>
      <c r="I517" s="3">
        <f t="shared" si="103"/>
        <v>-5.5975302547498744</v>
      </c>
      <c r="J517" s="5">
        <f t="shared" si="107"/>
        <v>-2.313467136509879E-2</v>
      </c>
      <c r="K517" s="3">
        <f t="shared" si="104"/>
        <v>-3.0338485224466503</v>
      </c>
      <c r="L517" s="3">
        <f t="shared" si="105"/>
        <v>1.966322236689102</v>
      </c>
    </row>
    <row r="518" spans="1:12" x14ac:dyDescent="0.25">
      <c r="A518" s="26">
        <v>79.959999999999994</v>
      </c>
      <c r="B518">
        <v>79.7</v>
      </c>
      <c r="C518">
        <v>1.46</v>
      </c>
      <c r="D518" s="2">
        <v>44621</v>
      </c>
      <c r="E518">
        <v>79.87</v>
      </c>
      <c r="F518">
        <v>0.09</v>
      </c>
      <c r="G518">
        <v>-0.17000000000000171</v>
      </c>
      <c r="H518" s="5">
        <f t="shared" si="106"/>
        <v>1.1268311005383747E-3</v>
      </c>
      <c r="I518" s="3">
        <f t="shared" si="103"/>
        <v>0.75882708965284329</v>
      </c>
      <c r="J518" s="5">
        <f t="shared" si="107"/>
        <v>-2.1284587454613959E-3</v>
      </c>
      <c r="K518" s="3">
        <f t="shared" si="104"/>
        <v>-2.8613741109785509E-2</v>
      </c>
      <c r="L518" s="3">
        <f t="shared" si="105"/>
        <v>-0.42843384124607209</v>
      </c>
    </row>
    <row r="519" spans="1:12" x14ac:dyDescent="0.25">
      <c r="A519" s="26">
        <v>80.92</v>
      </c>
      <c r="B519">
        <v>81.069999999999993</v>
      </c>
      <c r="C519">
        <v>1.27</v>
      </c>
      <c r="D519" s="2">
        <v>44620</v>
      </c>
      <c r="E519">
        <v>81.34</v>
      </c>
      <c r="F519">
        <v>-0.42</v>
      </c>
      <c r="G519">
        <v>-0.27000000000001023</v>
      </c>
      <c r="H519" s="5">
        <f t="shared" si="106"/>
        <v>-5.1635111876075727E-3</v>
      </c>
      <c r="I519" s="3">
        <f t="shared" si="103"/>
        <v>-1.1463839911626919</v>
      </c>
      <c r="J519" s="5">
        <f t="shared" si="107"/>
        <v>-3.3194000491764226E-3</v>
      </c>
      <c r="K519" s="3">
        <f t="shared" si="104"/>
        <v>-0.20342937649429979</v>
      </c>
      <c r="L519" s="3">
        <f t="shared" si="105"/>
        <v>-1.0083305048201945</v>
      </c>
    </row>
    <row r="520" spans="1:12" x14ac:dyDescent="0.25">
      <c r="A520" s="26">
        <v>86.9</v>
      </c>
      <c r="B520">
        <v>86.99</v>
      </c>
      <c r="C520">
        <v>1.41</v>
      </c>
      <c r="D520" s="2">
        <v>44617</v>
      </c>
      <c r="E520">
        <v>87.2</v>
      </c>
      <c r="F520">
        <v>-0.55000000000000004</v>
      </c>
      <c r="G520">
        <v>-0.21000000000000796</v>
      </c>
      <c r="H520" s="5">
        <f t="shared" si="106"/>
        <v>-6.3073394495412848E-3</v>
      </c>
      <c r="I520" s="3">
        <f t="shared" si="103"/>
        <v>-1.5048269866283461</v>
      </c>
      <c r="J520" s="5">
        <f t="shared" si="107"/>
        <v>-2.4082568807340362E-3</v>
      </c>
      <c r="K520" s="3">
        <f t="shared" si="104"/>
        <v>-7.1285142047824879E-2</v>
      </c>
      <c r="L520" s="3">
        <f t="shared" si="105"/>
        <v>-0.59213295563214863</v>
      </c>
    </row>
    <row r="521" spans="1:12" x14ac:dyDescent="0.25">
      <c r="A521" s="26">
        <v>88</v>
      </c>
      <c r="B521">
        <v>89.07</v>
      </c>
      <c r="C521">
        <v>1.32</v>
      </c>
      <c r="D521" s="2">
        <v>44616</v>
      </c>
      <c r="E521">
        <v>89.5</v>
      </c>
      <c r="F521">
        <v>-1.5</v>
      </c>
      <c r="G521">
        <v>-0.43000000000000682</v>
      </c>
      <c r="H521" s="5">
        <f t="shared" si="106"/>
        <v>-1.6759776536312849E-2</v>
      </c>
      <c r="I521" s="3">
        <f t="shared" si="103"/>
        <v>-4.7146150112435912</v>
      </c>
      <c r="J521" s="5">
        <f t="shared" si="107"/>
        <v>-4.8044692737430929E-3</v>
      </c>
      <c r="K521" s="3">
        <f t="shared" si="104"/>
        <v>-0.42395468971172001</v>
      </c>
      <c r="L521" s="3">
        <f t="shared" si="105"/>
        <v>-0.8692796345327658</v>
      </c>
    </row>
    <row r="522" spans="1:12" x14ac:dyDescent="0.25">
      <c r="A522" s="26">
        <v>92.8</v>
      </c>
      <c r="B522">
        <v>92.25</v>
      </c>
      <c r="C522">
        <v>2.14</v>
      </c>
      <c r="D522" s="2">
        <v>44615</v>
      </c>
      <c r="E522">
        <v>92.7</v>
      </c>
      <c r="F522">
        <v>0.1</v>
      </c>
      <c r="G522">
        <v>-0.45000000000000284</v>
      </c>
      <c r="H522" s="5">
        <f t="shared" si="106"/>
        <v>1.0787486515641857E-3</v>
      </c>
      <c r="I522" s="3">
        <f t="shared" si="103"/>
        <v>0.75671670727671569</v>
      </c>
      <c r="J522" s="5">
        <f t="shared" si="107"/>
        <v>-4.8543689320388658E-3</v>
      </c>
      <c r="K522" s="3">
        <f t="shared" si="104"/>
        <v>-0.43260137265420157</v>
      </c>
      <c r="L522" s="3">
        <f t="shared" si="105"/>
        <v>1.6157310886620522</v>
      </c>
    </row>
    <row r="523" spans="1:12" x14ac:dyDescent="0.25">
      <c r="A523" s="26">
        <v>88.4</v>
      </c>
      <c r="B523">
        <v>88.13</v>
      </c>
      <c r="C523">
        <v>1.51</v>
      </c>
      <c r="D523" s="2">
        <v>44614</v>
      </c>
      <c r="E523">
        <v>88.23</v>
      </c>
      <c r="F523">
        <v>0.17</v>
      </c>
      <c r="G523">
        <v>-0.10000000000000853</v>
      </c>
      <c r="H523" s="5">
        <f t="shared" si="106"/>
        <v>1.9267822736030828E-3</v>
      </c>
      <c r="I523" s="3">
        <f t="shared" si="103"/>
        <v>1.0183497277729809</v>
      </c>
      <c r="J523" s="5">
        <f t="shared" si="107"/>
        <v>-1.1334013374136747E-3</v>
      </c>
      <c r="K523" s="3">
        <f t="shared" si="104"/>
        <v>0.11168346619582076</v>
      </c>
      <c r="L523" s="3">
        <f t="shared" si="105"/>
        <v>-0.29363984297415929</v>
      </c>
    </row>
    <row r="524" spans="1:12" x14ac:dyDescent="0.25">
      <c r="A524" s="26">
        <v>87.99</v>
      </c>
      <c r="B524">
        <v>87.6</v>
      </c>
      <c r="C524">
        <v>1.57</v>
      </c>
      <c r="D524" s="2">
        <v>44613</v>
      </c>
      <c r="E524">
        <v>87.68</v>
      </c>
      <c r="F524">
        <v>0.31</v>
      </c>
      <c r="G524">
        <v>-8.0000000000012506E-2</v>
      </c>
      <c r="H524" s="5">
        <f t="shared" si="106"/>
        <v>3.535583941605839E-3</v>
      </c>
      <c r="I524" s="3">
        <f t="shared" si="103"/>
        <v>1.5422674623114514</v>
      </c>
      <c r="J524" s="5">
        <f t="shared" si="107"/>
        <v>-9.1240875912423013E-4</v>
      </c>
      <c r="K524" s="3">
        <f t="shared" si="104"/>
        <v>0.14552327678931395</v>
      </c>
      <c r="L524" s="3">
        <f t="shared" si="105"/>
        <v>-0.11355554804636134</v>
      </c>
    </row>
    <row r="525" spans="1:12" x14ac:dyDescent="0.25">
      <c r="A525" s="26">
        <v>87.65</v>
      </c>
      <c r="B525">
        <v>87.51</v>
      </c>
      <c r="C525">
        <v>1.63</v>
      </c>
      <c r="D525" s="2">
        <v>44610</v>
      </c>
      <c r="E525">
        <v>87.56</v>
      </c>
      <c r="F525">
        <v>0.09</v>
      </c>
      <c r="G525">
        <v>-4.9999999999997158E-2</v>
      </c>
      <c r="H525" s="5">
        <f t="shared" si="106"/>
        <v>1.0278666057560528E-3</v>
      </c>
      <c r="I525" s="3">
        <f t="shared" si="103"/>
        <v>0.75104509979771006</v>
      </c>
      <c r="J525" s="5">
        <f t="shared" si="107"/>
        <v>-5.7103700319777477E-4</v>
      </c>
      <c r="K525" s="3">
        <f t="shared" si="104"/>
        <v>0.19624977937106386</v>
      </c>
      <c r="L525" s="3">
        <f t="shared" si="105"/>
        <v>6.7365043017287032E-2</v>
      </c>
    </row>
    <row r="526" spans="1:12" x14ac:dyDescent="0.25">
      <c r="A526" s="26">
        <v>87.5</v>
      </c>
      <c r="B526">
        <v>87.44</v>
      </c>
      <c r="C526">
        <v>1.46</v>
      </c>
      <c r="D526" s="2">
        <v>44609</v>
      </c>
      <c r="E526">
        <v>87.6</v>
      </c>
      <c r="F526">
        <v>-0.1</v>
      </c>
      <c r="G526">
        <v>-0.15999999999999659</v>
      </c>
      <c r="H526" s="5">
        <f t="shared" si="106"/>
        <v>-1.1415525114155253E-3</v>
      </c>
      <c r="I526" s="3">
        <f t="shared" si="103"/>
        <v>5.4925101988342745E-2</v>
      </c>
      <c r="J526" s="5">
        <f t="shared" si="107"/>
        <v>-1.8264840182648013E-3</v>
      </c>
      <c r="K526" s="3">
        <f t="shared" si="104"/>
        <v>1.2484392861017837E-2</v>
      </c>
      <c r="L526" s="3">
        <f t="shared" si="105"/>
        <v>-0.45076289951965187</v>
      </c>
    </row>
    <row r="527" spans="1:12" x14ac:dyDescent="0.25">
      <c r="A527" s="26">
        <v>88.05</v>
      </c>
      <c r="B527">
        <v>88.31</v>
      </c>
      <c r="C527">
        <v>1.1299999999999999</v>
      </c>
      <c r="D527" s="2">
        <v>44608</v>
      </c>
      <c r="E527">
        <v>88.51</v>
      </c>
      <c r="F527">
        <v>-0.46</v>
      </c>
      <c r="G527">
        <v>-0.20000000000000284</v>
      </c>
      <c r="H527" s="5">
        <f t="shared" si="106"/>
        <v>-5.197152864083154E-3</v>
      </c>
      <c r="I527" s="3">
        <f t="shared" si="103"/>
        <v>-1.2483395482139337</v>
      </c>
      <c r="J527" s="5">
        <f t="shared" si="107"/>
        <v>-2.259631680036186E-3</v>
      </c>
      <c r="K527" s="3">
        <f t="shared" si="104"/>
        <v>-4.9518932840846429E-2</v>
      </c>
      <c r="L527" s="3">
        <f t="shared" si="105"/>
        <v>-1.4587565166837866</v>
      </c>
    </row>
    <row r="528" spans="1:12" x14ac:dyDescent="0.25">
      <c r="A528" s="26">
        <v>90.35</v>
      </c>
      <c r="B528">
        <v>90.42</v>
      </c>
      <c r="C528">
        <v>1.23</v>
      </c>
      <c r="D528" s="2">
        <v>44607</v>
      </c>
      <c r="E528">
        <v>90.65</v>
      </c>
      <c r="F528">
        <v>-0.3</v>
      </c>
      <c r="G528">
        <v>-0.23000000000000398</v>
      </c>
      <c r="H528" s="5">
        <f t="shared" si="106"/>
        <v>-3.3094318808604521E-3</v>
      </c>
      <c r="I528" s="3">
        <f t="shared" si="103"/>
        <v>-0.64463981451690555</v>
      </c>
      <c r="J528" s="5">
        <f t="shared" si="107"/>
        <v>-2.5372311086597236E-3</v>
      </c>
      <c r="K528" s="3">
        <f t="shared" si="104"/>
        <v>-8.9382356718378103E-2</v>
      </c>
      <c r="L528" s="3">
        <f t="shared" si="105"/>
        <v>-1.1685536951020925</v>
      </c>
    </row>
    <row r="529" spans="1:12" x14ac:dyDescent="0.25">
      <c r="A529" s="26">
        <v>90.73</v>
      </c>
      <c r="B529">
        <v>90.78</v>
      </c>
      <c r="C529">
        <v>1.2</v>
      </c>
      <c r="D529" s="2">
        <v>44606</v>
      </c>
      <c r="E529">
        <v>91.06</v>
      </c>
      <c r="F529">
        <v>-0.33</v>
      </c>
      <c r="G529">
        <v>-0.28000000000000114</v>
      </c>
      <c r="H529" s="5">
        <f t="shared" si="106"/>
        <v>-3.6239841862508236E-3</v>
      </c>
      <c r="I529" s="3">
        <f t="shared" si="103"/>
        <v>-0.75059645415005061</v>
      </c>
      <c r="J529" s="5">
        <f t="shared" si="107"/>
        <v>-3.0748956731825295E-3</v>
      </c>
      <c r="K529" s="3">
        <f t="shared" si="104"/>
        <v>-0.16833353081595856</v>
      </c>
      <c r="L529" s="3">
        <f t="shared" si="105"/>
        <v>-1.2707125444205492</v>
      </c>
    </row>
    <row r="530" spans="1:12" x14ac:dyDescent="0.25">
      <c r="A530" s="26">
        <v>89.98</v>
      </c>
      <c r="B530">
        <v>89.78</v>
      </c>
      <c r="C530">
        <v>1.55</v>
      </c>
      <c r="D530" s="2">
        <v>44603</v>
      </c>
      <c r="E530">
        <v>89.91</v>
      </c>
      <c r="F530">
        <v>7.0000000000000007E-2</v>
      </c>
      <c r="G530">
        <v>-0.12999999999999545</v>
      </c>
      <c r="H530" s="5">
        <f t="shared" si="106"/>
        <v>7.7855633411188976E-4</v>
      </c>
      <c r="I530" s="3">
        <f t="shared" si="103"/>
        <v>0.66139353024929437</v>
      </c>
      <c r="J530" s="5">
        <f t="shared" si="107"/>
        <v>-1.4458903347791732E-3</v>
      </c>
      <c r="K530" s="3">
        <f t="shared" si="104"/>
        <v>7.0640463766735689E-2</v>
      </c>
      <c r="L530" s="3">
        <f t="shared" si="105"/>
        <v>-0.21487189535698636</v>
      </c>
    </row>
    <row r="531" spans="1:12" x14ac:dyDescent="0.25">
      <c r="A531" s="26">
        <v>90.6</v>
      </c>
      <c r="B531">
        <v>90.79</v>
      </c>
      <c r="C531">
        <v>1.22</v>
      </c>
      <c r="D531" s="2">
        <v>44602</v>
      </c>
      <c r="E531">
        <v>90.81</v>
      </c>
      <c r="F531">
        <v>-0.21</v>
      </c>
      <c r="G531">
        <v>-1.9999999999996021E-2</v>
      </c>
      <c r="H531" s="5">
        <f t="shared" si="106"/>
        <v>-2.312520647505781E-3</v>
      </c>
      <c r="I531" s="3">
        <f t="shared" si="103"/>
        <v>-0.32945752174703546</v>
      </c>
      <c r="J531" s="5">
        <f t="shared" si="107"/>
        <v>-2.2024006166717345E-4</v>
      </c>
      <c r="K531" s="3">
        <f t="shared" si="104"/>
        <v>0.25229970099490523</v>
      </c>
      <c r="L531" s="3">
        <f t="shared" si="105"/>
        <v>-1.2220480681196699</v>
      </c>
    </row>
    <row r="532" spans="1:12" x14ac:dyDescent="0.25">
      <c r="A532" s="26">
        <v>97.51</v>
      </c>
      <c r="B532">
        <v>97.34</v>
      </c>
      <c r="C532">
        <v>1.55</v>
      </c>
      <c r="D532" s="2">
        <v>44600</v>
      </c>
      <c r="E532">
        <v>97.53</v>
      </c>
      <c r="F532">
        <v>-0.02</v>
      </c>
      <c r="G532">
        <v>-0.18999999999999773</v>
      </c>
      <c r="H532" s="5">
        <f t="shared" si="106"/>
        <v>-2.0506510817184457E-4</v>
      </c>
      <c r="I532" s="3">
        <f t="shared" si="103"/>
        <v>0.35255169721591118</v>
      </c>
      <c r="J532" s="5">
        <f t="shared" si="107"/>
        <v>-1.9481185276325E-3</v>
      </c>
      <c r="K532" s="3">
        <f t="shared" si="104"/>
        <v>2.5541984655542337E-4</v>
      </c>
      <c r="L532" s="3">
        <f t="shared" si="105"/>
        <v>-0.22069532179188819</v>
      </c>
    </row>
    <row r="533" spans="1:12" x14ac:dyDescent="0.25">
      <c r="A533" s="26">
        <v>93.5</v>
      </c>
      <c r="B533">
        <v>93.45</v>
      </c>
      <c r="C533">
        <v>1.37</v>
      </c>
      <c r="D533" s="2">
        <v>44599</v>
      </c>
      <c r="E533">
        <v>93.72</v>
      </c>
      <c r="F533">
        <v>-0.22</v>
      </c>
      <c r="G533">
        <v>-0.26999999999999602</v>
      </c>
      <c r="H533" s="5">
        <f t="shared" si="106"/>
        <v>-2.3474178403755869E-3</v>
      </c>
      <c r="I533" s="3">
        <f t="shared" si="103"/>
        <v>-0.3330619319870059</v>
      </c>
      <c r="J533" s="5">
        <f t="shared" si="107"/>
        <v>-2.8809218950063597E-3</v>
      </c>
      <c r="K533" s="3">
        <f t="shared" si="104"/>
        <v>-0.13543316933254709</v>
      </c>
      <c r="L533" s="3">
        <f t="shared" si="105"/>
        <v>-0.77495678620847674</v>
      </c>
    </row>
    <row r="534" spans="1:12" x14ac:dyDescent="0.25">
      <c r="A534" s="26">
        <v>94.65</v>
      </c>
      <c r="B534">
        <v>94.38</v>
      </c>
      <c r="C534">
        <v>1.89</v>
      </c>
      <c r="D534" s="2">
        <v>44596</v>
      </c>
      <c r="E534">
        <v>94.51</v>
      </c>
      <c r="F534">
        <v>0.14000000000000001</v>
      </c>
      <c r="G534">
        <v>-0.13000000000000966</v>
      </c>
      <c r="H534" s="5">
        <f t="shared" si="106"/>
        <v>1.4813247275420592E-3</v>
      </c>
      <c r="I534" s="3">
        <f t="shared" si="103"/>
        <v>0.8994724035430669</v>
      </c>
      <c r="J534" s="5">
        <f t="shared" si="107"/>
        <v>-1.3755158184320141E-3</v>
      </c>
      <c r="K534" s="3">
        <f t="shared" si="104"/>
        <v>8.6229832551940971E-2</v>
      </c>
      <c r="L534" s="3">
        <f t="shared" si="105"/>
        <v>0.81032469517343342</v>
      </c>
    </row>
    <row r="535" spans="1:12" x14ac:dyDescent="0.25">
      <c r="A535" s="26">
        <v>92.65</v>
      </c>
      <c r="B535">
        <v>93</v>
      </c>
      <c r="C535">
        <v>1.1599999999999999</v>
      </c>
      <c r="D535" s="2">
        <v>44595</v>
      </c>
      <c r="E535">
        <v>92.91</v>
      </c>
      <c r="F535">
        <v>-0.26</v>
      </c>
      <c r="G535">
        <v>9.0000000000003411E-2</v>
      </c>
      <c r="H535" s="5">
        <f t="shared" si="106"/>
        <v>-2.798407060596276E-3</v>
      </c>
      <c r="I535" s="3">
        <f t="shared" si="103"/>
        <v>-0.4680259575103462</v>
      </c>
      <c r="J535" s="5">
        <f t="shared" si="107"/>
        <v>9.6867936712951685E-4</v>
      </c>
      <c r="K535" s="3">
        <f t="shared" si="104"/>
        <v>0.43279638230453554</v>
      </c>
      <c r="L535" s="3">
        <f t="shared" si="105"/>
        <v>-1.4221962772164112</v>
      </c>
    </row>
    <row r="536" spans="1:12" x14ac:dyDescent="0.25">
      <c r="A536" s="26">
        <v>91.61</v>
      </c>
      <c r="B536">
        <v>91.81</v>
      </c>
      <c r="C536">
        <v>1.1299999999999999</v>
      </c>
      <c r="D536" s="2">
        <v>44594</v>
      </c>
      <c r="E536">
        <v>92.05</v>
      </c>
      <c r="F536">
        <v>-0.44</v>
      </c>
      <c r="G536">
        <v>-0.23999999999999488</v>
      </c>
      <c r="H536" s="5">
        <f t="shared" si="106"/>
        <v>-4.7800108636610536E-3</v>
      </c>
      <c r="I536" s="3">
        <f t="shared" si="103"/>
        <v>-1.1085340495495901</v>
      </c>
      <c r="J536" s="5">
        <f t="shared" si="107"/>
        <v>-2.6072786529059738E-3</v>
      </c>
      <c r="K536" s="3">
        <f t="shared" si="104"/>
        <v>-8.8943456087015468E-2</v>
      </c>
      <c r="L536" s="3">
        <f t="shared" si="105"/>
        <v>-1.52942135988848</v>
      </c>
    </row>
    <row r="537" spans="1:12" x14ac:dyDescent="0.25">
      <c r="A537" s="26">
        <v>88.03</v>
      </c>
      <c r="B537">
        <v>88.19</v>
      </c>
      <c r="C537">
        <v>1.19</v>
      </c>
      <c r="D537" s="2">
        <v>44592</v>
      </c>
      <c r="E537">
        <v>88.37</v>
      </c>
      <c r="F537">
        <v>-0.34</v>
      </c>
      <c r="G537">
        <v>-0.18000000000000682</v>
      </c>
      <c r="H537" s="5">
        <f t="shared" si="106"/>
        <v>-3.8474595450944892E-3</v>
      </c>
      <c r="I537" s="3">
        <f t="shared" si="103"/>
        <v>-0.81424685586628331</v>
      </c>
      <c r="J537" s="5">
        <f t="shared" si="107"/>
        <v>-2.0368903474030421E-3</v>
      </c>
      <c r="K537" s="3">
        <f t="shared" si="104"/>
        <v>-4.1853794002748084E-3</v>
      </c>
      <c r="L537" s="3">
        <f t="shared" si="105"/>
        <v>-1.3609837870563286</v>
      </c>
    </row>
    <row r="538" spans="1:12" x14ac:dyDescent="0.25">
      <c r="A538" s="26">
        <v>89.25</v>
      </c>
      <c r="B538">
        <v>89.32</v>
      </c>
      <c r="C538">
        <v>1.3</v>
      </c>
      <c r="D538" s="2">
        <v>44589</v>
      </c>
      <c r="E538">
        <v>89.36</v>
      </c>
      <c r="F538">
        <v>-0.11</v>
      </c>
      <c r="G538">
        <v>-4.0000000000006253E-2</v>
      </c>
      <c r="H538" s="5">
        <f t="shared" si="106"/>
        <v>-1.2309758281110117E-3</v>
      </c>
      <c r="I538" s="3">
        <f t="shared" si="103"/>
        <v>2.261468348148719E-2</v>
      </c>
      <c r="J538" s="5">
        <f t="shared" si="107"/>
        <v>-4.4762757385861967E-4</v>
      </c>
      <c r="K538" s="3">
        <f t="shared" si="104"/>
        <v>0.23018921652311453</v>
      </c>
      <c r="L538" s="3">
        <f t="shared" si="105"/>
        <v>-1.0339387369454232</v>
      </c>
    </row>
    <row r="539" spans="1:12" x14ac:dyDescent="0.25">
      <c r="A539" s="26">
        <v>88.51</v>
      </c>
      <c r="B539">
        <v>88.43</v>
      </c>
      <c r="C539">
        <v>1.32</v>
      </c>
      <c r="D539" s="2">
        <v>44588</v>
      </c>
      <c r="E539">
        <v>88.63</v>
      </c>
      <c r="F539">
        <v>-0.12</v>
      </c>
      <c r="G539">
        <v>-0.19999999999998863</v>
      </c>
      <c r="H539" s="5">
        <f t="shared" si="106"/>
        <v>-1.3539433600361051E-3</v>
      </c>
      <c r="I539" s="3">
        <f t="shared" si="103"/>
        <v>-1.6954928875370867E-2</v>
      </c>
      <c r="J539" s="5">
        <f t="shared" si="107"/>
        <v>-2.2565722667267137E-3</v>
      </c>
      <c r="K539" s="3">
        <f t="shared" si="104"/>
        <v>-3.3234890972723571E-2</v>
      </c>
      <c r="L539" s="3">
        <f t="shared" si="105"/>
        <v>-0.98161894374471714</v>
      </c>
    </row>
    <row r="540" spans="1:12" x14ac:dyDescent="0.25">
      <c r="A540" s="26">
        <v>84.48</v>
      </c>
      <c r="B540">
        <v>84.41</v>
      </c>
      <c r="C540">
        <v>1.56</v>
      </c>
      <c r="D540" s="2">
        <v>44586</v>
      </c>
      <c r="E540">
        <v>84.63</v>
      </c>
      <c r="F540">
        <v>-0.15</v>
      </c>
      <c r="G540">
        <v>-0.21999999999999886</v>
      </c>
      <c r="H540" s="5">
        <f t="shared" si="106"/>
        <v>-1.7724211272598369E-3</v>
      </c>
      <c r="I540" s="3">
        <f t="shared" si="103"/>
        <v>-0.15119611838003677</v>
      </c>
      <c r="J540" s="5">
        <f t="shared" si="107"/>
        <v>-2.5995509866477474E-3</v>
      </c>
      <c r="K540" s="3">
        <f t="shared" si="104"/>
        <v>-8.224590408565248E-2</v>
      </c>
      <c r="L540" s="3">
        <f t="shared" si="105"/>
        <v>-0.2467606402908428</v>
      </c>
    </row>
    <row r="541" spans="1:12" x14ac:dyDescent="0.25">
      <c r="A541" s="26">
        <v>85.75</v>
      </c>
      <c r="B541">
        <v>85.59</v>
      </c>
      <c r="C541">
        <v>1.5</v>
      </c>
      <c r="D541" s="2">
        <v>44585</v>
      </c>
      <c r="E541">
        <v>85.78</v>
      </c>
      <c r="F541">
        <v>-0.03</v>
      </c>
      <c r="G541">
        <v>-0.18999999999999773</v>
      </c>
      <c r="H541" s="5">
        <f t="shared" si="106"/>
        <v>-3.497318722312893E-4</v>
      </c>
      <c r="I541" s="3">
        <f t="shared" si="103"/>
        <v>0.31191132455339365</v>
      </c>
      <c r="J541" s="5">
        <f t="shared" si="107"/>
        <v>-2.2149685241314725E-3</v>
      </c>
      <c r="K541" s="3">
        <f t="shared" si="104"/>
        <v>-2.4037761895190888E-2</v>
      </c>
      <c r="L541" s="3">
        <f t="shared" si="105"/>
        <v>-0.43444768578297022</v>
      </c>
    </row>
    <row r="542" spans="1:12" x14ac:dyDescent="0.25">
      <c r="A542" s="26">
        <v>84.03</v>
      </c>
      <c r="B542">
        <v>83.94</v>
      </c>
      <c r="C542">
        <v>1.58</v>
      </c>
      <c r="D542" s="2">
        <v>44582</v>
      </c>
      <c r="E542">
        <v>84.1</v>
      </c>
      <c r="F542">
        <v>-7.0000000000000007E-2</v>
      </c>
      <c r="G542">
        <v>-0.15999999999999659</v>
      </c>
      <c r="H542" s="5">
        <f t="shared" si="106"/>
        <v>-8.3234244946492288E-4</v>
      </c>
      <c r="I542" s="3">
        <f t="shared" si="103"/>
        <v>0.15789676999636637</v>
      </c>
      <c r="J542" s="5">
        <f t="shared" si="107"/>
        <v>-1.9024970273483544E-3</v>
      </c>
      <c r="K542" s="3">
        <f t="shared" si="104"/>
        <v>2.2097722759052179E-2</v>
      </c>
      <c r="L542" s="3">
        <f t="shared" si="105"/>
        <v>-0.1920299157648023</v>
      </c>
    </row>
    <row r="543" spans="1:12" x14ac:dyDescent="0.25">
      <c r="A543" s="26">
        <v>80.8</v>
      </c>
      <c r="B543">
        <v>80.459999999999994</v>
      </c>
      <c r="C543">
        <v>1.89</v>
      </c>
      <c r="D543" s="2">
        <v>44581</v>
      </c>
      <c r="E543">
        <v>80.55</v>
      </c>
      <c r="F543">
        <v>0.25</v>
      </c>
      <c r="G543">
        <v>-9.0000000000003411E-2</v>
      </c>
      <c r="H543" s="5">
        <f t="shared" si="106"/>
        <v>3.1036623215394167E-3</v>
      </c>
      <c r="I543" s="3">
        <f t="shared" si="103"/>
        <v>1.4243068581801643</v>
      </c>
      <c r="J543" s="5">
        <f t="shared" si="107"/>
        <v>-1.1173184357542324E-3</v>
      </c>
      <c r="K543" s="3">
        <f t="shared" si="104"/>
        <v>0.13921593229822865</v>
      </c>
      <c r="L543" s="3">
        <f t="shared" si="105"/>
        <v>0.76731176779467181</v>
      </c>
    </row>
    <row r="544" spans="1:12" x14ac:dyDescent="0.25">
      <c r="A544" s="26">
        <v>80.7</v>
      </c>
      <c r="B544">
        <v>80.62</v>
      </c>
      <c r="C544">
        <v>1.5</v>
      </c>
      <c r="D544" s="2">
        <v>44580</v>
      </c>
      <c r="E544">
        <v>80.680000000000007</v>
      </c>
      <c r="F544">
        <v>0.02</v>
      </c>
      <c r="G544">
        <v>-6.0000000000002274E-2</v>
      </c>
      <c r="H544" s="5">
        <f t="shared" si="106"/>
        <v>2.4789291026276647E-4</v>
      </c>
      <c r="I544" s="3">
        <f t="shared" si="103"/>
        <v>0.5217848568763942</v>
      </c>
      <c r="J544" s="5">
        <f t="shared" si="107"/>
        <v>-7.4367873078832753E-4</v>
      </c>
      <c r="K544" s="3">
        <f t="shared" si="104"/>
        <v>0.19589992985481539</v>
      </c>
      <c r="L544" s="3">
        <f t="shared" si="105"/>
        <v>-0.43955472886903191</v>
      </c>
    </row>
    <row r="545" spans="1:12" x14ac:dyDescent="0.25">
      <c r="A545" s="26">
        <v>79.22</v>
      </c>
      <c r="B545">
        <v>79.28</v>
      </c>
      <c r="C545">
        <v>1.52</v>
      </c>
      <c r="D545" s="2">
        <v>44579</v>
      </c>
      <c r="E545">
        <v>79.349999999999994</v>
      </c>
      <c r="F545">
        <v>-0.13</v>
      </c>
      <c r="G545">
        <v>-6.9999999999993179E-2</v>
      </c>
      <c r="H545" s="5">
        <f t="shared" si="106"/>
        <v>-1.6383112791430374E-3</v>
      </c>
      <c r="I545" s="3">
        <f t="shared" si="103"/>
        <v>-8.2439976965122286E-2</v>
      </c>
      <c r="J545" s="5">
        <f t="shared" si="107"/>
        <v>-8.8216761184616488E-4</v>
      </c>
      <c r="K545" s="3">
        <f t="shared" si="104"/>
        <v>0.1786886024448503</v>
      </c>
      <c r="L545" s="3">
        <f t="shared" si="105"/>
        <v>-0.38207127972480626</v>
      </c>
    </row>
    <row r="546" spans="1:12" x14ac:dyDescent="0.25">
      <c r="A546" s="26">
        <v>80.209999999999994</v>
      </c>
      <c r="B546">
        <v>80.2</v>
      </c>
      <c r="C546">
        <v>1.42</v>
      </c>
      <c r="D546" s="2">
        <v>44578</v>
      </c>
      <c r="E546">
        <v>80.349999999999994</v>
      </c>
      <c r="F546">
        <v>-0.14000000000000001</v>
      </c>
      <c r="G546">
        <v>-0.14999999999999147</v>
      </c>
      <c r="H546" s="5">
        <f t="shared" si="106"/>
        <v>-1.7423771001866836E-3</v>
      </c>
      <c r="I546" s="3">
        <f t="shared" si="103"/>
        <v>-0.11862016159384703</v>
      </c>
      <c r="J546" s="5">
        <f t="shared" si="107"/>
        <v>-1.8668326073427689E-3</v>
      </c>
      <c r="K546" s="3">
        <f t="shared" si="104"/>
        <v>3.7225879020177842E-2</v>
      </c>
      <c r="L546" s="3">
        <f t="shared" si="105"/>
        <v>-0.69684570534913648</v>
      </c>
    </row>
    <row r="547" spans="1:12" x14ac:dyDescent="0.25">
      <c r="A547" s="26">
        <v>81.52</v>
      </c>
      <c r="B547">
        <v>81.680000000000007</v>
      </c>
      <c r="C547">
        <v>1.21</v>
      </c>
      <c r="D547" s="2">
        <v>44575</v>
      </c>
      <c r="E547">
        <v>82.09</v>
      </c>
      <c r="F547">
        <v>-0.56999999999999995</v>
      </c>
      <c r="G547">
        <v>-0.40999999999999659</v>
      </c>
      <c r="H547" s="5">
        <f t="shared" si="106"/>
        <v>-6.9435984894627841E-3</v>
      </c>
      <c r="I547" s="3">
        <f t="shared" si="103"/>
        <v>-1.78836546114717</v>
      </c>
      <c r="J547" s="5">
        <f t="shared" si="107"/>
        <v>-4.9945182117188038E-3</v>
      </c>
      <c r="K547" s="3">
        <f t="shared" si="104"/>
        <v>-0.41723480260243523</v>
      </c>
      <c r="L547" s="3">
        <f t="shared" si="105"/>
        <v>-1.3510664846136196</v>
      </c>
    </row>
    <row r="548" spans="1:12" x14ac:dyDescent="0.25">
      <c r="A548" s="26">
        <v>79.05</v>
      </c>
      <c r="B548">
        <v>79.14</v>
      </c>
      <c r="C548">
        <v>1.28</v>
      </c>
      <c r="D548" s="2">
        <v>44574</v>
      </c>
      <c r="E548">
        <v>79.34</v>
      </c>
      <c r="F548">
        <v>-0.28999999999999998</v>
      </c>
      <c r="G548">
        <v>-0.20000000000000284</v>
      </c>
      <c r="H548" s="5">
        <f t="shared" si="106"/>
        <v>-3.6551550289891602E-3</v>
      </c>
      <c r="I548" s="3">
        <f t="shared" si="103"/>
        <v>-0.74706184982921231</v>
      </c>
      <c r="J548" s="5">
        <f t="shared" si="107"/>
        <v>-2.5207965717166983E-3</v>
      </c>
      <c r="K548" s="3">
        <f t="shared" si="104"/>
        <v>-5.6030743679561623E-2</v>
      </c>
      <c r="L548" s="3">
        <f t="shared" si="105"/>
        <v>-1.1485187253129083</v>
      </c>
    </row>
    <row r="549" spans="1:12" x14ac:dyDescent="0.25">
      <c r="A549" s="26">
        <v>81.900000000000006</v>
      </c>
      <c r="B549">
        <v>81.63</v>
      </c>
      <c r="C549">
        <v>1.62</v>
      </c>
      <c r="D549" s="2">
        <v>44572</v>
      </c>
      <c r="E549">
        <v>81.8</v>
      </c>
      <c r="F549">
        <v>0.1</v>
      </c>
      <c r="G549">
        <v>-0.17000000000000171</v>
      </c>
      <c r="H549" s="5">
        <f t="shared" si="106"/>
        <v>1.2224938875305626E-3</v>
      </c>
      <c r="I549" s="3">
        <f t="shared" si="103"/>
        <v>0.83020445248868824</v>
      </c>
      <c r="J549" s="5">
        <f t="shared" si="107"/>
        <v>-2.0782396088019771E-3</v>
      </c>
      <c r="K549" s="3">
        <f t="shared" si="104"/>
        <v>1.0477371038662633E-2</v>
      </c>
      <c r="L549" s="3">
        <f t="shared" si="105"/>
        <v>-0.10550703492112155</v>
      </c>
    </row>
    <row r="550" spans="1:12" x14ac:dyDescent="0.25">
      <c r="A550" s="26">
        <v>82.71</v>
      </c>
      <c r="B550">
        <v>82.91</v>
      </c>
      <c r="C550">
        <v>1.27</v>
      </c>
      <c r="D550" s="2">
        <v>44571</v>
      </c>
      <c r="E550">
        <v>83.07</v>
      </c>
      <c r="F550">
        <v>-0.36</v>
      </c>
      <c r="G550">
        <v>-0.15999999999999659</v>
      </c>
      <c r="H550" s="5">
        <f t="shared" si="106"/>
        <v>-4.3336944745395447E-3</v>
      </c>
      <c r="I550" s="3">
        <f t="shared" si="103"/>
        <v>-0.95091026996051586</v>
      </c>
      <c r="J550" s="5">
        <f t="shared" si="107"/>
        <v>-1.9260864331286458E-3</v>
      </c>
      <c r="K550" s="3">
        <f t="shared" si="104"/>
        <v>3.5598926283195852E-2</v>
      </c>
      <c r="L550" s="3">
        <f t="shared" si="105"/>
        <v>-1.1858455835511532</v>
      </c>
    </row>
    <row r="551" spans="1:12" x14ac:dyDescent="0.25">
      <c r="A551" s="26">
        <v>74.569999999999993</v>
      </c>
      <c r="B551">
        <v>74.92</v>
      </c>
      <c r="C551">
        <v>1.21</v>
      </c>
      <c r="D551" s="2">
        <v>44550</v>
      </c>
      <c r="G551">
        <v>74.92</v>
      </c>
      <c r="H551" s="5" t="str">
        <f t="shared" si="106"/>
        <v/>
      </c>
      <c r="I551" s="3" t="str">
        <f t="shared" si="103"/>
        <v xml:space="preserve"> </v>
      </c>
      <c r="J551" s="5" t="str">
        <f t="shared" si="107"/>
        <v/>
      </c>
      <c r="K551" s="3" t="str">
        <f t="shared" si="104"/>
        <v xml:space="preserve"> </v>
      </c>
      <c r="L551" s="3">
        <f t="shared" si="105"/>
        <v>-1.3806671038797727</v>
      </c>
    </row>
    <row r="552" spans="1:12" x14ac:dyDescent="0.25">
      <c r="A552" s="26">
        <v>82.25</v>
      </c>
      <c r="B552">
        <v>82.32</v>
      </c>
      <c r="C552">
        <v>1.44</v>
      </c>
      <c r="D552" s="2">
        <v>44547</v>
      </c>
      <c r="E552">
        <v>75.08</v>
      </c>
      <c r="F552">
        <v>-0.51</v>
      </c>
      <c r="G552">
        <v>7.2399999999999949</v>
      </c>
      <c r="H552" s="5">
        <f t="shared" si="106"/>
        <v>-6.7927543953116678E-3</v>
      </c>
      <c r="I552" s="3">
        <f t="shared" si="103"/>
        <v>-1.6951968212955895</v>
      </c>
      <c r="J552" s="5">
        <f t="shared" si="107"/>
        <v>9.643047416089498E-2</v>
      </c>
      <c r="K552" s="3">
        <f t="shared" si="104"/>
        <v>14.427759259310475</v>
      </c>
      <c r="L552" s="3">
        <f t="shared" si="105"/>
        <v>-0.67643945807020855</v>
      </c>
    </row>
    <row r="553" spans="1:12" x14ac:dyDescent="0.25">
      <c r="A553" s="26">
        <v>80.5</v>
      </c>
      <c r="B553">
        <v>80.430000000000007</v>
      </c>
      <c r="C553">
        <v>1.31</v>
      </c>
      <c r="D553" s="2">
        <v>44546</v>
      </c>
      <c r="E553">
        <v>80.72</v>
      </c>
      <c r="F553">
        <v>-0.22</v>
      </c>
      <c r="G553">
        <v>-0.28999999999999204</v>
      </c>
      <c r="H553" s="5">
        <f t="shared" si="106"/>
        <v>-2.7254707631318136E-3</v>
      </c>
      <c r="I553" s="3">
        <f t="shared" si="103"/>
        <v>-0.3716932477703887</v>
      </c>
      <c r="J553" s="5">
        <f t="shared" si="107"/>
        <v>-3.5926660059463831E-3</v>
      </c>
      <c r="K553" s="3">
        <f t="shared" si="104"/>
        <v>-0.72055494945548537</v>
      </c>
      <c r="L553" s="3">
        <f t="shared" si="105"/>
        <v>-1.0802611109908593</v>
      </c>
    </row>
    <row r="554" spans="1:12" x14ac:dyDescent="0.25">
      <c r="A554" s="26">
        <v>79.290000000000006</v>
      </c>
      <c r="B554">
        <v>79.62</v>
      </c>
      <c r="C554">
        <v>1.1299999999999999</v>
      </c>
      <c r="D554" s="2">
        <v>44545</v>
      </c>
      <c r="E554">
        <v>79.959999999999994</v>
      </c>
      <c r="F554">
        <v>-0.67</v>
      </c>
      <c r="G554">
        <v>-0.3399999999999892</v>
      </c>
      <c r="H554" s="5">
        <f t="shared" si="106"/>
        <v>-8.3791895947973993E-3</v>
      </c>
      <c r="I554" s="3">
        <f t="shared" si="103"/>
        <v>-1.6250895855669103</v>
      </c>
      <c r="J554" s="5">
        <f t="shared" si="107"/>
        <v>-4.2521260630313806E-3</v>
      </c>
      <c r="K554" s="3">
        <f t="shared" si="104"/>
        <v>-1.1103508272292635</v>
      </c>
      <c r="L554" s="3">
        <f t="shared" si="105"/>
        <v>-1.6519738573357381</v>
      </c>
    </row>
    <row r="555" spans="1:12" x14ac:dyDescent="0.25">
      <c r="A555" s="26">
        <v>79.989999999999995</v>
      </c>
      <c r="B555">
        <v>80.45</v>
      </c>
      <c r="C555">
        <v>1.2</v>
      </c>
      <c r="D555" s="2">
        <v>44544</v>
      </c>
      <c r="E555">
        <v>80.599999999999994</v>
      </c>
      <c r="F555">
        <v>-0.61</v>
      </c>
      <c r="G555">
        <v>-0.14999999999999147</v>
      </c>
      <c r="H555" s="5">
        <f t="shared" si="106"/>
        <v>-7.5682382133995044E-3</v>
      </c>
      <c r="I555" s="3">
        <f t="shared" si="103"/>
        <v>-1.457299799752084</v>
      </c>
      <c r="J555" s="5">
        <f t="shared" si="107"/>
        <v>-1.8610421836227232E-3</v>
      </c>
      <c r="K555" s="3">
        <f t="shared" si="104"/>
        <v>0.63937272136167866</v>
      </c>
      <c r="L555" s="3">
        <f t="shared" si="105"/>
        <v>-1.4492142872420741</v>
      </c>
    </row>
    <row r="556" spans="1:12" x14ac:dyDescent="0.25">
      <c r="A556" s="26">
        <v>85</v>
      </c>
      <c r="B556">
        <v>84.78</v>
      </c>
      <c r="C556">
        <v>1.47</v>
      </c>
      <c r="D556" s="2">
        <v>44543</v>
      </c>
      <c r="E556">
        <v>84.93</v>
      </c>
      <c r="F556">
        <v>7.0000000000000007E-2</v>
      </c>
      <c r="G556">
        <v>-0.15000000000000568</v>
      </c>
      <c r="H556" s="5">
        <f t="shared" si="106"/>
        <v>8.2420817143529965E-4</v>
      </c>
      <c r="I556" s="3">
        <f t="shared" si="103"/>
        <v>0.47208957517128536</v>
      </c>
      <c r="J556" s="5">
        <f t="shared" si="107"/>
        <v>-1.7661603673614231E-3</v>
      </c>
      <c r="K556" s="3">
        <f t="shared" si="104"/>
        <v>0.71411210721122209</v>
      </c>
      <c r="L556" s="3">
        <f t="shared" si="105"/>
        <v>-0.60734997475040897</v>
      </c>
    </row>
    <row r="557" spans="1:12" x14ac:dyDescent="0.25">
      <c r="A557" s="26">
        <v>79.83</v>
      </c>
      <c r="B557">
        <v>79.849999999999994</v>
      </c>
      <c r="C557">
        <v>1.28</v>
      </c>
      <c r="D557" s="2">
        <v>44540</v>
      </c>
      <c r="E557">
        <v>80.099999999999994</v>
      </c>
      <c r="F557">
        <v>-0.27</v>
      </c>
      <c r="G557">
        <v>-0.25</v>
      </c>
      <c r="H557" s="5">
        <f t="shared" si="106"/>
        <v>-3.3707865168539331E-3</v>
      </c>
      <c r="I557" s="3">
        <f t="shared" si="103"/>
        <v>-0.48706857007880755</v>
      </c>
      <c r="J557" s="5">
        <f t="shared" si="107"/>
        <v>-3.1210986267166045E-3</v>
      </c>
      <c r="K557" s="3">
        <f t="shared" si="104"/>
        <v>-0.22984520927243396</v>
      </c>
      <c r="L557" s="3">
        <f t="shared" si="105"/>
        <v>-1.2089053621818489</v>
      </c>
    </row>
    <row r="558" spans="1:12" x14ac:dyDescent="0.25">
      <c r="A558" s="26">
        <v>84.93</v>
      </c>
      <c r="B558">
        <v>85.02</v>
      </c>
      <c r="C558">
        <v>1.39</v>
      </c>
      <c r="D558" s="2">
        <v>44539</v>
      </c>
      <c r="E558">
        <v>85.3</v>
      </c>
      <c r="F558">
        <v>-0.37</v>
      </c>
      <c r="G558">
        <v>-0.28000000000000114</v>
      </c>
      <c r="H558" s="5">
        <f t="shared" si="106"/>
        <v>-4.3376318874560373E-3</v>
      </c>
      <c r="I558" s="3">
        <f t="shared" si="103"/>
        <v>-0.71328705525017055</v>
      </c>
      <c r="J558" s="5">
        <f t="shared" si="107"/>
        <v>-3.2825322391559337E-3</v>
      </c>
      <c r="K558" s="3">
        <f t="shared" si="104"/>
        <v>-0.34681658904494034</v>
      </c>
      <c r="L558" s="3">
        <f t="shared" si="105"/>
        <v>-0.87206736135008012</v>
      </c>
    </row>
    <row r="559" spans="1:12" x14ac:dyDescent="0.25">
      <c r="A559" s="26">
        <v>87.45</v>
      </c>
      <c r="B559">
        <v>87.48</v>
      </c>
      <c r="C559">
        <v>1.38</v>
      </c>
      <c r="D559" s="2">
        <v>44538</v>
      </c>
      <c r="E559">
        <v>87.97</v>
      </c>
      <c r="F559">
        <v>-0.52</v>
      </c>
      <c r="G559">
        <v>-0.48999999999999488</v>
      </c>
      <c r="H559" s="5">
        <f t="shared" si="106"/>
        <v>-5.9111060588837106E-3</v>
      </c>
      <c r="I559" s="3">
        <f t="shared" si="103"/>
        <v>-1.0823614186835624</v>
      </c>
      <c r="J559" s="5">
        <f t="shared" si="107"/>
        <v>-5.5700807093326688E-3</v>
      </c>
      <c r="K559" s="3">
        <f t="shared" si="104"/>
        <v>-1.8825502803154821</v>
      </c>
      <c r="L559" s="3">
        <f t="shared" si="105"/>
        <v>-0.91063625990993935</v>
      </c>
    </row>
    <row r="560" spans="1:12" x14ac:dyDescent="0.25">
      <c r="A560" s="26">
        <v>82.87</v>
      </c>
      <c r="B560">
        <v>82.7</v>
      </c>
      <c r="C560">
        <v>1.62</v>
      </c>
      <c r="D560" s="2">
        <v>44537</v>
      </c>
      <c r="E560">
        <v>82.94</v>
      </c>
      <c r="F560">
        <v>-7.0000000000000007E-2</v>
      </c>
      <c r="G560">
        <v>-0.23999999999999488</v>
      </c>
      <c r="H560" s="5">
        <f t="shared" si="106"/>
        <v>-8.4398360260429239E-4</v>
      </c>
      <c r="I560" s="3">
        <f t="shared" si="103"/>
        <v>8.1379992896841016E-2</v>
      </c>
      <c r="J560" s="5">
        <f t="shared" si="107"/>
        <v>-2.8936580660717977E-3</v>
      </c>
      <c r="K560" s="3">
        <f t="shared" si="104"/>
        <v>-8.9400069456292142E-2</v>
      </c>
      <c r="L560" s="3">
        <f t="shared" si="105"/>
        <v>-0.1519048451006271</v>
      </c>
    </row>
    <row r="561" spans="1:12" x14ac:dyDescent="0.25">
      <c r="A561" s="26">
        <v>80</v>
      </c>
      <c r="B561">
        <v>79.650000000000006</v>
      </c>
      <c r="C561">
        <v>1.81</v>
      </c>
      <c r="D561" s="2">
        <v>44536</v>
      </c>
      <c r="E561">
        <v>79.8</v>
      </c>
      <c r="F561">
        <v>0.2</v>
      </c>
      <c r="G561">
        <v>-0.14999999999999147</v>
      </c>
      <c r="H561" s="5">
        <f t="shared" si="106"/>
        <v>2.5062656641604013E-3</v>
      </c>
      <c r="I561" s="3">
        <f t="shared" si="103"/>
        <v>0.85601943166268601</v>
      </c>
      <c r="J561" s="5">
        <f t="shared" si="107"/>
        <v>-1.879699248120194E-3</v>
      </c>
      <c r="K561" s="3">
        <f t="shared" si="104"/>
        <v>0.59323078441123156</v>
      </c>
      <c r="L561" s="3">
        <f t="shared" si="105"/>
        <v>0.44942385236723137</v>
      </c>
    </row>
    <row r="562" spans="1:12" x14ac:dyDescent="0.25">
      <c r="A562" s="26">
        <v>78.760000000000005</v>
      </c>
      <c r="B562">
        <v>78.25</v>
      </c>
      <c r="C562">
        <v>1.88</v>
      </c>
      <c r="D562" s="2">
        <v>44533</v>
      </c>
      <c r="E562">
        <v>78.31</v>
      </c>
      <c r="F562">
        <v>0.45</v>
      </c>
      <c r="G562">
        <v>-6.0000000000002274E-2</v>
      </c>
      <c r="H562" s="5">
        <f t="shared" si="106"/>
        <v>5.7463925424594562E-3</v>
      </c>
      <c r="I562" s="3">
        <f t="shared" si="103"/>
        <v>1.6127666224490647</v>
      </c>
      <c r="J562" s="5">
        <f t="shared" si="107"/>
        <v>-7.661856723279565E-4</v>
      </c>
      <c r="K562" s="3">
        <f t="shared" si="104"/>
        <v>1.3532299780015078</v>
      </c>
      <c r="L562" s="3">
        <f t="shared" si="105"/>
        <v>0.67617984448373669</v>
      </c>
    </row>
    <row r="563" spans="1:12" x14ac:dyDescent="0.25">
      <c r="A563" s="26">
        <v>77.099999999999994</v>
      </c>
      <c r="B563">
        <v>76.959999999999994</v>
      </c>
      <c r="C563">
        <v>1.49</v>
      </c>
      <c r="D563" s="2">
        <v>44532</v>
      </c>
      <c r="E563">
        <v>77.13</v>
      </c>
      <c r="F563">
        <v>-0.03</v>
      </c>
      <c r="G563">
        <v>-0.17000000000000171</v>
      </c>
      <c r="H563" s="5">
        <f t="shared" si="106"/>
        <v>-3.8895371450797355E-4</v>
      </c>
      <c r="I563" s="3">
        <f t="shared" si="103"/>
        <v>0.19634000304165861</v>
      </c>
      <c r="J563" s="5">
        <f t="shared" si="107"/>
        <v>-2.204071048878539E-3</v>
      </c>
      <c r="K563" s="3">
        <f t="shared" si="104"/>
        <v>0.38581854473685662</v>
      </c>
      <c r="L563" s="3">
        <f t="shared" si="105"/>
        <v>-0.55719162280422063</v>
      </c>
    </row>
    <row r="564" spans="1:12" x14ac:dyDescent="0.25">
      <c r="A564" s="26">
        <v>76.38</v>
      </c>
      <c r="B564">
        <v>76.209999999999994</v>
      </c>
      <c r="C564">
        <v>1.65</v>
      </c>
      <c r="D564" s="2">
        <v>44531</v>
      </c>
      <c r="E564">
        <v>76.489999999999995</v>
      </c>
      <c r="F564">
        <v>-0.11</v>
      </c>
      <c r="G564">
        <v>-0.28000000000000114</v>
      </c>
      <c r="H564" s="5">
        <f t="shared" si="106"/>
        <v>-1.4380964832004185E-3</v>
      </c>
      <c r="I564" s="3">
        <f t="shared" si="103"/>
        <v>-4.6773215128294555E-2</v>
      </c>
      <c r="J564" s="5">
        <f t="shared" si="107"/>
        <v>-3.6606092299647165E-3</v>
      </c>
      <c r="K564" s="3">
        <f t="shared" si="104"/>
        <v>-0.60557163832844385</v>
      </c>
      <c r="L564" s="3">
        <f t="shared" si="105"/>
        <v>-4.7784316999740839E-2</v>
      </c>
    </row>
    <row r="565" spans="1:12" x14ac:dyDescent="0.25">
      <c r="A565" s="26">
        <v>74.819999999999993</v>
      </c>
      <c r="B565">
        <v>74.78</v>
      </c>
      <c r="C565">
        <v>1.43</v>
      </c>
      <c r="D565" s="2">
        <v>44530</v>
      </c>
      <c r="E565">
        <v>74.91</v>
      </c>
      <c r="F565">
        <v>-0.09</v>
      </c>
      <c r="G565">
        <v>-0.12999999999999545</v>
      </c>
      <c r="H565" s="5">
        <f t="shared" si="106"/>
        <v>-1.2014417300760913E-3</v>
      </c>
      <c r="I565" s="3">
        <f t="shared" si="103"/>
        <v>2.7315632095160116E-4</v>
      </c>
      <c r="J565" s="5">
        <f t="shared" si="107"/>
        <v>-1.7354158323320712E-3</v>
      </c>
      <c r="K565" s="3">
        <f t="shared" si="104"/>
        <v>0.70105641268885366</v>
      </c>
      <c r="L565" s="3">
        <f t="shared" si="105"/>
        <v>-0.7412462637528332</v>
      </c>
    </row>
    <row r="566" spans="1:12" x14ac:dyDescent="0.25">
      <c r="A566" s="26">
        <v>74.48</v>
      </c>
      <c r="B566">
        <v>74.48</v>
      </c>
      <c r="C566">
        <v>1.32</v>
      </c>
      <c r="D566" s="2">
        <v>44529</v>
      </c>
      <c r="E566">
        <v>74.599999999999994</v>
      </c>
      <c r="F566">
        <v>-0.12</v>
      </c>
      <c r="G566">
        <v>-0.11999999999999034</v>
      </c>
      <c r="H566" s="5">
        <f t="shared" si="106"/>
        <v>-1.60857908847185E-3</v>
      </c>
      <c r="I566" s="3">
        <f t="shared" si="103"/>
        <v>-8.8119992296231783E-2</v>
      </c>
      <c r="J566" s="5">
        <f t="shared" si="107"/>
        <v>-1.6085790884717204E-3</v>
      </c>
      <c r="K566" s="3">
        <f t="shared" si="104"/>
        <v>0.79387963867809552</v>
      </c>
      <c r="L566" s="3">
        <f t="shared" si="105"/>
        <v>-1.0876412437444376</v>
      </c>
    </row>
    <row r="567" spans="1:12" x14ac:dyDescent="0.25">
      <c r="A567" s="26">
        <v>71.95</v>
      </c>
      <c r="B567">
        <v>71.849999999999994</v>
      </c>
      <c r="C567">
        <v>1.72</v>
      </c>
      <c r="D567" s="2">
        <v>44526</v>
      </c>
      <c r="E567">
        <v>72.17</v>
      </c>
      <c r="F567">
        <v>-0.22</v>
      </c>
      <c r="G567">
        <v>-0.32000000000000739</v>
      </c>
      <c r="H567" s="5">
        <f t="shared" si="106"/>
        <v>-3.0483580435083828E-3</v>
      </c>
      <c r="I567" s="3">
        <f t="shared" si="103"/>
        <v>-0.41692237402717358</v>
      </c>
      <c r="J567" s="5">
        <f t="shared" si="107"/>
        <v>-4.4339753360122958E-3</v>
      </c>
      <c r="K567" s="3">
        <f t="shared" si="104"/>
        <v>-1.1179504270365046</v>
      </c>
      <c r="L567" s="3">
        <f t="shared" si="105"/>
        <v>0.17456223219723818</v>
      </c>
    </row>
    <row r="568" spans="1:12" x14ac:dyDescent="0.25">
      <c r="A568" s="26">
        <v>72.150000000000006</v>
      </c>
      <c r="B568">
        <v>72.31</v>
      </c>
      <c r="C568">
        <v>1.23</v>
      </c>
      <c r="D568" s="2">
        <v>44525</v>
      </c>
      <c r="E568">
        <v>72.430000000000007</v>
      </c>
      <c r="F568">
        <v>-0.28000000000000003</v>
      </c>
      <c r="G568">
        <v>-0.12000000000000455</v>
      </c>
      <c r="H568" s="5">
        <f t="shared" si="106"/>
        <v>-3.8658014634819827E-3</v>
      </c>
      <c r="I568" s="3">
        <f t="shared" si="103"/>
        <v>-0.60306944629561443</v>
      </c>
      <c r="J568" s="5">
        <f t="shared" si="107"/>
        <v>-1.6567720557780551E-3</v>
      </c>
      <c r="K568" s="3">
        <f t="shared" si="104"/>
        <v>0.7683336637402306</v>
      </c>
      <c r="L568" s="3">
        <f t="shared" si="105"/>
        <v>-1.3790447098032075</v>
      </c>
    </row>
    <row r="569" spans="1:12" x14ac:dyDescent="0.25">
      <c r="A569" s="26">
        <v>69.510000000000005</v>
      </c>
      <c r="B569">
        <v>69.64</v>
      </c>
      <c r="C569">
        <v>1.1599999999999999</v>
      </c>
      <c r="D569" s="2">
        <v>44524</v>
      </c>
      <c r="E569">
        <v>69.7</v>
      </c>
      <c r="F569">
        <v>-0.19</v>
      </c>
      <c r="G569">
        <v>-6.0000000000002274E-2</v>
      </c>
      <c r="H569" s="5">
        <f t="shared" si="106"/>
        <v>-2.7259684361549499E-3</v>
      </c>
      <c r="I569" s="3">
        <f t="shared" si="103"/>
        <v>-0.34696632184379245</v>
      </c>
      <c r="J569" s="5">
        <f t="shared" si="107"/>
        <v>-8.6083213773317465E-4</v>
      </c>
      <c r="K569" s="3">
        <f t="shared" si="104"/>
        <v>1.3156032288998043</v>
      </c>
      <c r="L569" s="3">
        <f t="shared" si="105"/>
        <v>-1.6122123990988064</v>
      </c>
    </row>
    <row r="570" spans="1:12" x14ac:dyDescent="0.25">
      <c r="A570" s="26">
        <v>69.88</v>
      </c>
      <c r="B570">
        <v>69.86</v>
      </c>
      <c r="C570">
        <v>1.46</v>
      </c>
      <c r="D570" s="2">
        <v>44523</v>
      </c>
      <c r="E570">
        <v>69.98</v>
      </c>
      <c r="F570">
        <v>-0.1</v>
      </c>
      <c r="G570">
        <v>-0.12000000000000455</v>
      </c>
      <c r="H570" s="5">
        <f t="shared" si="106"/>
        <v>-1.4289797084881394E-3</v>
      </c>
      <c r="I570" s="3">
        <f t="shared" si="103"/>
        <v>-4.8128395291045456E-2</v>
      </c>
      <c r="J570" s="5">
        <f t="shared" si="107"/>
        <v>-1.7147756501858322E-3</v>
      </c>
      <c r="K570" s="3">
        <f t="shared" si="104"/>
        <v>0.74580871930879789</v>
      </c>
      <c r="L570" s="3">
        <f t="shared" si="105"/>
        <v>-0.66509199896061999</v>
      </c>
    </row>
    <row r="571" spans="1:12" x14ac:dyDescent="0.25">
      <c r="A571" s="26">
        <v>69.7</v>
      </c>
      <c r="B571">
        <v>69.63</v>
      </c>
      <c r="C571">
        <v>1.57</v>
      </c>
      <c r="D571" s="2">
        <v>44522</v>
      </c>
      <c r="E571">
        <v>69.77</v>
      </c>
      <c r="F571">
        <v>-7.0000000000000007E-2</v>
      </c>
      <c r="G571">
        <v>-0.14000000000000057</v>
      </c>
      <c r="H571" s="5">
        <f t="shared" si="106"/>
        <v>-1.003296545793321E-3</v>
      </c>
      <c r="I571" s="3">
        <f t="shared" si="103"/>
        <v>4.9986895890141027E-2</v>
      </c>
      <c r="J571" s="5">
        <f t="shared" si="107"/>
        <v>-2.0065930915866502E-3</v>
      </c>
      <c r="K571" s="3">
        <f t="shared" si="104"/>
        <v>0.54723639021410231</v>
      </c>
      <c r="L571" s="3">
        <f t="shared" si="105"/>
        <v>-0.31414861729930943</v>
      </c>
    </row>
    <row r="572" spans="1:12" x14ac:dyDescent="0.25">
      <c r="A572" s="26">
        <v>69.209999999999994</v>
      </c>
      <c r="B572">
        <v>69.2</v>
      </c>
      <c r="C572">
        <v>1.6</v>
      </c>
      <c r="D572" s="2">
        <v>44519</v>
      </c>
      <c r="E572">
        <v>69.36</v>
      </c>
      <c r="F572">
        <v>-0.15</v>
      </c>
      <c r="G572">
        <v>-0.15999999999999659</v>
      </c>
      <c r="H572" s="5">
        <f t="shared" si="106"/>
        <v>-2.1626297577854669E-3</v>
      </c>
      <c r="I572" s="3">
        <f t="shared" si="103"/>
        <v>-0.22301761804365361</v>
      </c>
      <c r="J572" s="5">
        <f t="shared" si="107"/>
        <v>-2.3068050749711156E-3</v>
      </c>
      <c r="K572" s="3">
        <f t="shared" si="104"/>
        <v>0.34941288858397906</v>
      </c>
      <c r="L572" s="3">
        <f t="shared" si="105"/>
        <v>-0.22915058112910411</v>
      </c>
    </row>
    <row r="573" spans="1:12" x14ac:dyDescent="0.25">
      <c r="A573" s="26">
        <v>66.510000000000005</v>
      </c>
      <c r="B573">
        <v>66.33</v>
      </c>
      <c r="C573">
        <v>1.48</v>
      </c>
      <c r="D573" s="2">
        <v>44518</v>
      </c>
      <c r="E573">
        <v>66.41</v>
      </c>
      <c r="F573">
        <v>0.1</v>
      </c>
      <c r="G573">
        <v>-7.9999999999998295E-2</v>
      </c>
      <c r="H573" s="5">
        <f t="shared" si="106"/>
        <v>1.5057973196807711E-3</v>
      </c>
      <c r="I573" s="3">
        <f t="shared" si="103"/>
        <v>0.61337410851662988</v>
      </c>
      <c r="J573" s="5">
        <f t="shared" si="107"/>
        <v>-1.2046378557445912E-3</v>
      </c>
      <c r="K573" s="3">
        <f t="shared" si="104"/>
        <v>1.1037383798723557</v>
      </c>
      <c r="L573" s="3">
        <f t="shared" si="105"/>
        <v>-0.60015180985500771</v>
      </c>
    </row>
    <row r="574" spans="1:12" x14ac:dyDescent="0.25">
      <c r="A574" s="26">
        <v>67.14</v>
      </c>
      <c r="B574">
        <v>67.19</v>
      </c>
      <c r="C574">
        <v>1.39</v>
      </c>
      <c r="D574" s="2">
        <v>44517</v>
      </c>
      <c r="E574">
        <v>67.39</v>
      </c>
      <c r="F574">
        <v>-0.25</v>
      </c>
      <c r="G574">
        <v>-0.20000000000000284</v>
      </c>
      <c r="H574" s="5">
        <f t="shared" si="106"/>
        <v>-3.7097492209526638E-3</v>
      </c>
      <c r="I574" s="3">
        <f t="shared" si="103"/>
        <v>-0.56020280039492476</v>
      </c>
      <c r="J574" s="5">
        <f t="shared" si="107"/>
        <v>-2.9677993767621732E-3</v>
      </c>
      <c r="K574" s="3">
        <f t="shared" si="104"/>
        <v>-8.5009585935689094E-2</v>
      </c>
      <c r="L574" s="3">
        <f t="shared" si="105"/>
        <v>-0.87763796736635635</v>
      </c>
    </row>
    <row r="575" spans="1:12" x14ac:dyDescent="0.25">
      <c r="A575" s="26">
        <v>67.5</v>
      </c>
      <c r="B575">
        <v>67.25</v>
      </c>
      <c r="C575">
        <v>1.66</v>
      </c>
      <c r="D575" s="2">
        <v>44516</v>
      </c>
      <c r="E575">
        <v>67.459999999999994</v>
      </c>
      <c r="F575">
        <v>0.04</v>
      </c>
      <c r="G575">
        <v>-0.20999999999999375</v>
      </c>
      <c r="H575" s="5">
        <f t="shared" si="106"/>
        <v>5.9294396679513794E-4</v>
      </c>
      <c r="I575" s="3">
        <f t="shared" si="103"/>
        <v>0.41159379928547113</v>
      </c>
      <c r="J575" s="5">
        <f t="shared" si="107"/>
        <v>-3.1129558256743814E-3</v>
      </c>
      <c r="K575" s="3">
        <f t="shared" si="104"/>
        <v>-0.17587366008279331</v>
      </c>
      <c r="L575" s="3">
        <f t="shared" si="105"/>
        <v>-3.8354127788327634E-2</v>
      </c>
    </row>
    <row r="576" spans="1:12" x14ac:dyDescent="0.25">
      <c r="A576" s="26">
        <v>64.400000000000006</v>
      </c>
      <c r="B576">
        <v>64.16</v>
      </c>
      <c r="C576">
        <v>1.66</v>
      </c>
      <c r="D576" s="2">
        <v>44515</v>
      </c>
      <c r="E576">
        <v>64.349999999999994</v>
      </c>
      <c r="F576">
        <v>0.05</v>
      </c>
      <c r="G576">
        <v>-0.18999999999999773</v>
      </c>
      <c r="H576" s="5">
        <f t="shared" si="106"/>
        <v>7.7700077700077711E-4</v>
      </c>
      <c r="I576" s="3">
        <f t="shared" si="103"/>
        <v>0.4544312860594853</v>
      </c>
      <c r="J576" s="5">
        <f t="shared" si="107"/>
        <v>-2.9526029526029175E-3</v>
      </c>
      <c r="K576" s="3">
        <f t="shared" si="104"/>
        <v>-6.5409921094288642E-2</v>
      </c>
      <c r="L576" s="3">
        <f t="shared" si="105"/>
        <v>-3.5592312572238757E-2</v>
      </c>
    </row>
    <row r="577" spans="1:12" x14ac:dyDescent="0.25">
      <c r="A577" s="26">
        <v>63.53</v>
      </c>
      <c r="B577">
        <v>63.36</v>
      </c>
      <c r="C577">
        <v>1.73</v>
      </c>
      <c r="D577" s="2">
        <v>44512</v>
      </c>
      <c r="E577">
        <v>63.6</v>
      </c>
      <c r="F577">
        <v>-7.0000000000000007E-2</v>
      </c>
      <c r="G577">
        <v>-0.24000000000000199</v>
      </c>
      <c r="H577" s="5">
        <f t="shared" si="106"/>
        <v>-1.10062893081761E-3</v>
      </c>
      <c r="I577" s="3">
        <f t="shared" si="103"/>
        <v>3.3007351098653721E-2</v>
      </c>
      <c r="J577" s="5">
        <f t="shared" si="107"/>
        <v>-3.7735849056604086E-3</v>
      </c>
      <c r="K577" s="3">
        <f t="shared" si="104"/>
        <v>-0.6012044659928526</v>
      </c>
      <c r="L577" s="3">
        <f t="shared" si="105"/>
        <v>0.1828346620317122</v>
      </c>
    </row>
    <row r="578" spans="1:12" x14ac:dyDescent="0.25">
      <c r="A578" s="26">
        <v>62.31</v>
      </c>
      <c r="B578">
        <v>62.17</v>
      </c>
      <c r="C578">
        <v>1.6</v>
      </c>
      <c r="D578" s="2">
        <v>44511</v>
      </c>
      <c r="E578">
        <v>62.33</v>
      </c>
      <c r="F578">
        <v>-0.02</v>
      </c>
      <c r="G578">
        <v>-0.15999999999999659</v>
      </c>
      <c r="H578" s="5">
        <f t="shared" si="106"/>
        <v>-3.2087277394513079E-4</v>
      </c>
      <c r="I578" s="3">
        <f t="shared" si="103"/>
        <v>0.2062745417797778</v>
      </c>
      <c r="J578" s="5">
        <f t="shared" si="107"/>
        <v>-2.5669821915609912E-3</v>
      </c>
      <c r="K578" s="3">
        <f t="shared" si="104"/>
        <v>0.20546628885286844</v>
      </c>
      <c r="L578" s="3">
        <f t="shared" si="105"/>
        <v>-0.21937556184017856</v>
      </c>
    </row>
    <row r="579" spans="1:12" x14ac:dyDescent="0.25">
      <c r="A579" s="26">
        <v>60.25</v>
      </c>
      <c r="B579">
        <v>60.4</v>
      </c>
      <c r="C579">
        <v>1.38</v>
      </c>
      <c r="D579" s="2">
        <v>44510</v>
      </c>
      <c r="E579">
        <v>60.64</v>
      </c>
      <c r="F579">
        <v>-0.39</v>
      </c>
      <c r="G579">
        <v>-0.24000000000000199</v>
      </c>
      <c r="H579" s="5">
        <f t="shared" si="106"/>
        <v>-6.431398416886544E-3</v>
      </c>
      <c r="I579" s="3">
        <f t="shared" ref="I579:I642" si="108">IFERROR((H579-AVERAGEA(H579:H795))/_xlfn.STDEV.S(H579:H795), " ")</f>
        <v>-1.1765932531236287</v>
      </c>
      <c r="J579" s="5">
        <f t="shared" si="107"/>
        <v>-3.9577836411609823E-3</v>
      </c>
      <c r="K579" s="3">
        <f t="shared" ref="K579:K642" si="109">IFERROR((J579-AVERAGEA(J579:J795))/_xlfn.STDEV.S(J579:J795), " ")</f>
        <v>-0.71829775507601223</v>
      </c>
      <c r="L579" s="3">
        <f t="shared" ref="L579:L642" si="110">(C579-AVERAGEA(C579:C795))/_xlfn.STDEV.S(C579:C795)</f>
        <v>-0.90433235204620155</v>
      </c>
    </row>
    <row r="580" spans="1:12" x14ac:dyDescent="0.25">
      <c r="A580" s="26">
        <v>60.11</v>
      </c>
      <c r="B580">
        <v>60.06</v>
      </c>
      <c r="C580">
        <v>1.24</v>
      </c>
      <c r="D580" s="2">
        <v>44509</v>
      </c>
      <c r="E580">
        <v>60.21</v>
      </c>
      <c r="F580">
        <v>-0.1</v>
      </c>
      <c r="G580">
        <v>-0.14999999999999858</v>
      </c>
      <c r="H580" s="5">
        <f t="shared" ref="H580:H643" si="111">IFERROR(F580/E580,"")</f>
        <v>-1.6608536787908986E-3</v>
      </c>
      <c r="I580" s="3">
        <f t="shared" si="108"/>
        <v>-9.8908883744248582E-2</v>
      </c>
      <c r="J580" s="5">
        <f t="shared" ref="J580:J643" si="112">IFERROR(G580/E580,"")</f>
        <v>-2.4912805181863239E-3</v>
      </c>
      <c r="K580" s="3">
        <f t="shared" si="109"/>
        <v>0.25712935602953296</v>
      </c>
      <c r="L580" s="3">
        <f t="shared" si="110"/>
        <v>-1.3395658458255058</v>
      </c>
    </row>
    <row r="581" spans="1:12" x14ac:dyDescent="0.25">
      <c r="A581" s="26">
        <v>60.06</v>
      </c>
      <c r="B581">
        <v>60.1</v>
      </c>
      <c r="C581">
        <v>1.36</v>
      </c>
      <c r="D581" s="2">
        <v>44508</v>
      </c>
      <c r="E581">
        <v>60.19</v>
      </c>
      <c r="F581">
        <v>-0.13</v>
      </c>
      <c r="G581">
        <v>-8.9999999999996305E-2</v>
      </c>
      <c r="H581" s="5">
        <f t="shared" si="111"/>
        <v>-2.1598272138228943E-3</v>
      </c>
      <c r="I581" s="3">
        <f t="shared" si="108"/>
        <v>-0.21334623150968438</v>
      </c>
      <c r="J581" s="5">
        <f t="shared" si="112"/>
        <v>-1.4952649941850193E-3</v>
      </c>
      <c r="K581" s="3">
        <f t="shared" si="109"/>
        <v>0.92048949673589331</v>
      </c>
      <c r="L581" s="3">
        <f t="shared" si="110"/>
        <v>-0.9745524192646815</v>
      </c>
    </row>
    <row r="582" spans="1:12" x14ac:dyDescent="0.25">
      <c r="A582" s="26">
        <v>61.05</v>
      </c>
      <c r="B582">
        <v>60.9</v>
      </c>
      <c r="C582">
        <v>1.7</v>
      </c>
      <c r="D582" s="2">
        <v>44505</v>
      </c>
      <c r="E582">
        <v>61.13</v>
      </c>
      <c r="F582">
        <v>-0.08</v>
      </c>
      <c r="G582">
        <v>-0.23000000000000398</v>
      </c>
      <c r="H582" s="5">
        <f t="shared" si="111"/>
        <v>-1.3086864060199573E-3</v>
      </c>
      <c r="I582" s="3">
        <f t="shared" si="108"/>
        <v>-2.903363024050571E-2</v>
      </c>
      <c r="J582" s="5">
        <f t="shared" si="112"/>
        <v>-3.7624734173074426E-3</v>
      </c>
      <c r="K582" s="3">
        <f t="shared" si="109"/>
        <v>-0.56906924194797559</v>
      </c>
      <c r="L582" s="3">
        <f t="shared" si="110"/>
        <v>6.763940966405646E-2</v>
      </c>
    </row>
    <row r="583" spans="1:12" x14ac:dyDescent="0.25">
      <c r="A583" s="26">
        <v>59.81</v>
      </c>
      <c r="B583">
        <v>59.74</v>
      </c>
      <c r="C583">
        <v>1.63</v>
      </c>
      <c r="D583" s="2">
        <v>44504</v>
      </c>
      <c r="E583">
        <v>59.87</v>
      </c>
      <c r="F583">
        <v>-0.06</v>
      </c>
      <c r="G583">
        <v>-0.12999999999999545</v>
      </c>
      <c r="H583" s="5">
        <f t="shared" si="111"/>
        <v>-1.0021713713044931E-3</v>
      </c>
      <c r="I583" s="3">
        <f t="shared" si="108"/>
        <v>3.7761166667505008E-2</v>
      </c>
      <c r="J583" s="5">
        <f t="shared" si="112"/>
        <v>-2.1713713044929925E-3</v>
      </c>
      <c r="K583" s="3">
        <f t="shared" si="109"/>
        <v>0.47447613823522028</v>
      </c>
      <c r="L583" s="3">
        <f t="shared" si="110"/>
        <v>-0.14571632563408457</v>
      </c>
    </row>
    <row r="584" spans="1:12" x14ac:dyDescent="0.25">
      <c r="A584" s="26">
        <v>59.78</v>
      </c>
      <c r="B584">
        <v>59.85</v>
      </c>
      <c r="C584">
        <v>1.37</v>
      </c>
      <c r="D584" s="2">
        <v>44503</v>
      </c>
      <c r="E584">
        <v>59.94</v>
      </c>
      <c r="F584">
        <v>-0.16</v>
      </c>
      <c r="G584">
        <v>-8.9999999999996305E-2</v>
      </c>
      <c r="H584" s="5">
        <f t="shared" si="111"/>
        <v>-2.6693360026693361E-3</v>
      </c>
      <c r="I584" s="3">
        <f t="shared" si="108"/>
        <v>-0.33815339907394781</v>
      </c>
      <c r="J584" s="5">
        <f t="shared" si="112"/>
        <v>-1.5015015015014399E-3</v>
      </c>
      <c r="K584" s="3">
        <f t="shared" si="109"/>
        <v>0.91846577661513884</v>
      </c>
      <c r="L584" s="3">
        <f t="shared" si="110"/>
        <v>-0.94889492510862639</v>
      </c>
    </row>
    <row r="585" spans="1:12" x14ac:dyDescent="0.25">
      <c r="A585" s="26">
        <v>57.8</v>
      </c>
      <c r="B585">
        <v>57.7</v>
      </c>
      <c r="C585">
        <v>1.62</v>
      </c>
      <c r="D585" s="2">
        <v>44502</v>
      </c>
      <c r="E585">
        <v>57.83</v>
      </c>
      <c r="F585">
        <v>-0.03</v>
      </c>
      <c r="G585">
        <v>-0.12999999999999545</v>
      </c>
      <c r="H585" s="5">
        <f t="shared" si="111"/>
        <v>-5.1876188829327343E-4</v>
      </c>
      <c r="I585" s="3">
        <f t="shared" si="108"/>
        <v>0.1427406084427994</v>
      </c>
      <c r="J585" s="5">
        <f t="shared" si="112"/>
        <v>-2.2479681826041062E-3</v>
      </c>
      <c r="K585" s="3">
        <f t="shared" si="109"/>
        <v>0.44152990311721446</v>
      </c>
      <c r="L585" s="3">
        <f t="shared" si="110"/>
        <v>-0.18210225701362856</v>
      </c>
    </row>
    <row r="586" spans="1:12" x14ac:dyDescent="0.25">
      <c r="A586" s="26">
        <v>59.98</v>
      </c>
      <c r="B586">
        <v>59.93</v>
      </c>
      <c r="C586">
        <v>1.6</v>
      </c>
      <c r="D586" s="2">
        <v>44501</v>
      </c>
      <c r="E586">
        <v>60.02</v>
      </c>
      <c r="F586">
        <v>-0.04</v>
      </c>
      <c r="G586">
        <v>-9.0000000000003411E-2</v>
      </c>
      <c r="H586" s="5">
        <f t="shared" si="111"/>
        <v>-6.6644451849383541E-4</v>
      </c>
      <c r="I586" s="3">
        <f t="shared" si="108"/>
        <v>0.11519411138911527</v>
      </c>
      <c r="J586" s="5">
        <f t="shared" si="112"/>
        <v>-1.4995001666111864E-3</v>
      </c>
      <c r="K586" s="3">
        <f t="shared" si="109"/>
        <v>0.92864484813049386</v>
      </c>
      <c r="L586" s="3">
        <f t="shared" si="110"/>
        <v>-0.24244862420613936</v>
      </c>
    </row>
    <row r="587" spans="1:12" x14ac:dyDescent="0.25">
      <c r="A587" s="26">
        <v>59.4</v>
      </c>
      <c r="B587">
        <v>59.01</v>
      </c>
      <c r="C587">
        <v>2.08</v>
      </c>
      <c r="D587" s="2">
        <v>44498</v>
      </c>
      <c r="E587">
        <v>59.04</v>
      </c>
      <c r="F587">
        <v>0.36</v>
      </c>
      <c r="G587">
        <v>-3.0000000000001137E-2</v>
      </c>
      <c r="H587" s="5">
        <f t="shared" si="111"/>
        <v>6.0975609756097563E-3</v>
      </c>
      <c r="I587" s="3">
        <f t="shared" si="108"/>
        <v>1.6327903627031042</v>
      </c>
      <c r="J587" s="5">
        <f t="shared" si="112"/>
        <v>-5.0813008130083225E-4</v>
      </c>
      <c r="K587" s="3">
        <f t="shared" si="109"/>
        <v>1.5688377374106024</v>
      </c>
      <c r="L587" s="3">
        <f t="shared" si="110"/>
        <v>1.2424486085434394</v>
      </c>
    </row>
    <row r="588" spans="1:12" x14ac:dyDescent="0.25">
      <c r="A588" s="26">
        <v>58.93</v>
      </c>
      <c r="B588">
        <v>58.7</v>
      </c>
      <c r="C588">
        <v>1.81</v>
      </c>
      <c r="D588" s="2">
        <v>44497</v>
      </c>
      <c r="E588">
        <v>58.83</v>
      </c>
      <c r="F588">
        <v>0.1</v>
      </c>
      <c r="G588">
        <v>-0.12999999999999545</v>
      </c>
      <c r="H588" s="5">
        <f t="shared" si="111"/>
        <v>1.6998130205677377E-3</v>
      </c>
      <c r="I588" s="3">
        <f t="shared" si="108"/>
        <v>0.66103387628904653</v>
      </c>
      <c r="J588" s="5">
        <f t="shared" si="112"/>
        <v>-2.2097569267379817E-3</v>
      </c>
      <c r="K588" s="3">
        <f t="shared" si="109"/>
        <v>0.49630614876537893</v>
      </c>
      <c r="L588" s="3">
        <f t="shared" si="110"/>
        <v>0.41765646142337742</v>
      </c>
    </row>
    <row r="589" spans="1:12" x14ac:dyDescent="0.25">
      <c r="A589" s="26">
        <v>58.92</v>
      </c>
      <c r="B589">
        <v>58.75</v>
      </c>
      <c r="C589">
        <v>1.76</v>
      </c>
      <c r="D589" s="2">
        <v>44496</v>
      </c>
      <c r="E589">
        <v>58.88</v>
      </c>
      <c r="F589">
        <v>0.04</v>
      </c>
      <c r="G589">
        <v>-0.13000000000000256</v>
      </c>
      <c r="H589" s="5">
        <f t="shared" si="111"/>
        <v>6.793478260869565E-4</v>
      </c>
      <c r="I589" s="3">
        <f t="shared" si="108"/>
        <v>0.43728617944315867</v>
      </c>
      <c r="J589" s="5">
        <f t="shared" si="112"/>
        <v>-2.2078804347826519E-3</v>
      </c>
      <c r="K589" s="3">
        <f t="shared" si="109"/>
        <v>0.5040153127496807</v>
      </c>
      <c r="L589" s="3">
        <f t="shared" si="110"/>
        <v>0.26588605179944114</v>
      </c>
    </row>
    <row r="590" spans="1:12" x14ac:dyDescent="0.25">
      <c r="A590" s="26">
        <v>58.96</v>
      </c>
      <c r="B590">
        <v>58.86</v>
      </c>
      <c r="C590">
        <v>1.6</v>
      </c>
      <c r="D590" s="2">
        <v>44495</v>
      </c>
      <c r="E590">
        <v>58.96</v>
      </c>
      <c r="F590">
        <v>0</v>
      </c>
      <c r="G590">
        <v>-0.10000000000000142</v>
      </c>
      <c r="H590" s="5">
        <f t="shared" si="111"/>
        <v>0</v>
      </c>
      <c r="I590" s="3">
        <f t="shared" si="108"/>
        <v>0.29379627455160917</v>
      </c>
      <c r="J590" s="5">
        <f t="shared" si="112"/>
        <v>-1.696065128900974E-3</v>
      </c>
      <c r="K590" s="3">
        <f t="shared" si="109"/>
        <v>0.82559123416172286</v>
      </c>
      <c r="L590" s="3">
        <f t="shared" si="110"/>
        <v>-0.2222193320517738</v>
      </c>
    </row>
    <row r="591" spans="1:12" x14ac:dyDescent="0.25">
      <c r="A591" s="26">
        <v>58.94</v>
      </c>
      <c r="B591">
        <v>58.93</v>
      </c>
      <c r="C591">
        <v>1.52</v>
      </c>
      <c r="D591" s="2">
        <v>44494</v>
      </c>
      <c r="E591">
        <v>59.04</v>
      </c>
      <c r="F591">
        <v>-0.1</v>
      </c>
      <c r="G591">
        <v>-0.10999999999999943</v>
      </c>
      <c r="H591" s="5">
        <f t="shared" si="111"/>
        <v>-1.6937669376693768E-3</v>
      </c>
      <c r="I591" s="3">
        <f t="shared" si="108"/>
        <v>-8.1169537214488607E-2</v>
      </c>
      <c r="J591" s="5">
        <f t="shared" si="112"/>
        <v>-1.8631436314363048E-3</v>
      </c>
      <c r="K591" s="3">
        <f t="shared" si="109"/>
        <v>0.7200762936843097</v>
      </c>
      <c r="L591" s="3">
        <f t="shared" si="110"/>
        <v>-0.4705434224300124</v>
      </c>
    </row>
    <row r="592" spans="1:12" x14ac:dyDescent="0.25">
      <c r="A592" s="26">
        <v>59.5</v>
      </c>
      <c r="B592">
        <v>59.04</v>
      </c>
      <c r="C592">
        <v>1.93</v>
      </c>
      <c r="D592" s="2">
        <v>44491</v>
      </c>
      <c r="E592">
        <v>59.17</v>
      </c>
      <c r="F592">
        <v>0.33</v>
      </c>
      <c r="G592">
        <v>-0.13000000000000256</v>
      </c>
      <c r="H592" s="5">
        <f t="shared" si="111"/>
        <v>5.5771505830657427E-3</v>
      </c>
      <c r="I592" s="3">
        <f t="shared" si="108"/>
        <v>1.535222811102362</v>
      </c>
      <c r="J592" s="5">
        <f t="shared" si="112"/>
        <v>-2.1970593206016996E-3</v>
      </c>
      <c r="K592" s="3">
        <f t="shared" si="109"/>
        <v>0.52414560163823887</v>
      </c>
      <c r="L592" s="3">
        <f t="shared" si="110"/>
        <v>0.79727260166142433</v>
      </c>
    </row>
    <row r="593" spans="1:12" x14ac:dyDescent="0.25">
      <c r="A593" s="26">
        <v>57.1</v>
      </c>
      <c r="B593">
        <v>56.74</v>
      </c>
      <c r="C593">
        <v>1.8</v>
      </c>
      <c r="D593" s="2">
        <v>44490</v>
      </c>
      <c r="E593">
        <v>56.87</v>
      </c>
      <c r="F593">
        <v>0.23</v>
      </c>
      <c r="G593">
        <v>-0.12999999999999545</v>
      </c>
      <c r="H593" s="5">
        <f t="shared" si="111"/>
        <v>4.0443115878318978E-3</v>
      </c>
      <c r="I593" s="3">
        <f t="shared" si="108"/>
        <v>1.210667327138288</v>
      </c>
      <c r="J593" s="5">
        <f t="shared" si="112"/>
        <v>-2.2859152452962099E-3</v>
      </c>
      <c r="K593" s="3">
        <f t="shared" si="109"/>
        <v>0.47281450671016956</v>
      </c>
      <c r="L593" s="3">
        <f t="shared" si="110"/>
        <v>0.40388187833236056</v>
      </c>
    </row>
    <row r="594" spans="1:12" x14ac:dyDescent="0.25">
      <c r="A594" s="26">
        <v>56</v>
      </c>
      <c r="B594">
        <v>55.92</v>
      </c>
      <c r="C594">
        <v>1.68</v>
      </c>
      <c r="D594" s="2">
        <v>44489</v>
      </c>
      <c r="E594">
        <v>56.17</v>
      </c>
      <c r="F594">
        <v>-0.17</v>
      </c>
      <c r="G594">
        <v>-0.25</v>
      </c>
      <c r="H594" s="5">
        <f t="shared" si="111"/>
        <v>-3.0265266156311197E-3</v>
      </c>
      <c r="I594" s="3">
        <f t="shared" si="108"/>
        <v>-0.36013618428037247</v>
      </c>
      <c r="J594" s="5">
        <f t="shared" si="112"/>
        <v>-4.4507744347516464E-3</v>
      </c>
      <c r="K594" s="3">
        <f t="shared" si="109"/>
        <v>-0.81896040713956764</v>
      </c>
      <c r="L594" s="3">
        <f t="shared" si="110"/>
        <v>3.8323281515252619E-2</v>
      </c>
    </row>
    <row r="595" spans="1:12" x14ac:dyDescent="0.25">
      <c r="A595" s="26">
        <v>57.58</v>
      </c>
      <c r="B595">
        <v>57.49</v>
      </c>
      <c r="C595">
        <v>1.7</v>
      </c>
      <c r="D595" s="2">
        <v>44488</v>
      </c>
      <c r="E595">
        <v>57.57</v>
      </c>
      <c r="F595">
        <v>0.01</v>
      </c>
      <c r="G595">
        <v>-7.9999999999998295E-2</v>
      </c>
      <c r="H595" s="5">
        <f t="shared" si="111"/>
        <v>1.7370158068438424E-4</v>
      </c>
      <c r="I595" s="3">
        <f t="shared" si="108"/>
        <v>0.3409045178769895</v>
      </c>
      <c r="J595" s="5">
        <f t="shared" si="112"/>
        <v>-1.3896126454750442E-3</v>
      </c>
      <c r="K595" s="3">
        <f t="shared" si="109"/>
        <v>1.0041532245226326</v>
      </c>
      <c r="L595" s="3">
        <f t="shared" si="110"/>
        <v>9.4997495798523887E-2</v>
      </c>
    </row>
    <row r="596" spans="1:12" x14ac:dyDescent="0.25">
      <c r="A596" s="26">
        <v>58.85</v>
      </c>
      <c r="B596">
        <v>58.79</v>
      </c>
      <c r="C596">
        <v>1.58</v>
      </c>
      <c r="D596" s="2">
        <v>44487</v>
      </c>
      <c r="E596">
        <v>58.85</v>
      </c>
      <c r="F596">
        <v>0</v>
      </c>
      <c r="G596">
        <v>-6.0000000000002274E-2</v>
      </c>
      <c r="H596" s="5">
        <f t="shared" si="111"/>
        <v>0</v>
      </c>
      <c r="I596" s="3">
        <f t="shared" si="108"/>
        <v>0.30306678063201609</v>
      </c>
      <c r="J596" s="5">
        <f t="shared" si="112"/>
        <v>-1.019541206457133E-3</v>
      </c>
      <c r="K596" s="3">
        <f t="shared" si="109"/>
        <v>1.2301419798992366</v>
      </c>
      <c r="L596" s="3">
        <f t="shared" si="110"/>
        <v>-0.27511048380037095</v>
      </c>
    </row>
    <row r="597" spans="1:12" x14ac:dyDescent="0.25">
      <c r="A597" s="26">
        <v>61.01</v>
      </c>
      <c r="B597">
        <v>60.8</v>
      </c>
      <c r="C597">
        <v>2.08</v>
      </c>
      <c r="D597" s="2">
        <v>44484</v>
      </c>
      <c r="E597">
        <v>60.91</v>
      </c>
      <c r="F597">
        <v>0.1</v>
      </c>
      <c r="G597">
        <v>-0.10999999999999943</v>
      </c>
      <c r="H597" s="5">
        <f t="shared" si="111"/>
        <v>1.6417665407978987E-3</v>
      </c>
      <c r="I597" s="3">
        <f t="shared" si="108"/>
        <v>0.67155785490143671</v>
      </c>
      <c r="J597" s="5">
        <f t="shared" si="112"/>
        <v>-1.8059431948776791E-3</v>
      </c>
      <c r="K597" s="3">
        <f t="shared" si="109"/>
        <v>0.77723110957138086</v>
      </c>
      <c r="L597" s="3">
        <f t="shared" si="110"/>
        <v>1.2594437944829904</v>
      </c>
    </row>
    <row r="598" spans="1:12" x14ac:dyDescent="0.25">
      <c r="A598" s="26">
        <v>59.43</v>
      </c>
      <c r="B598">
        <v>59.43</v>
      </c>
      <c r="C598">
        <v>1.57</v>
      </c>
      <c r="D598" s="2">
        <v>44483</v>
      </c>
      <c r="E598">
        <v>59.5</v>
      </c>
      <c r="F598">
        <v>-7.0000000000000007E-2</v>
      </c>
      <c r="G598">
        <v>-7.0000000000000284E-2</v>
      </c>
      <c r="H598" s="5">
        <f t="shared" si="111"/>
        <v>-1.1764705882352942E-3</v>
      </c>
      <c r="I598" s="3">
        <f t="shared" si="108"/>
        <v>5.2850390625891773E-2</v>
      </c>
      <c r="J598" s="5">
        <f t="shared" si="112"/>
        <v>-1.176470588235299E-3</v>
      </c>
      <c r="K598" s="3">
        <f t="shared" si="109"/>
        <v>1.1293257331254454</v>
      </c>
      <c r="L598" s="3">
        <f t="shared" si="110"/>
        <v>-0.30500288967480393</v>
      </c>
    </row>
    <row r="599" spans="1:12" x14ac:dyDescent="0.25">
      <c r="A599" s="26">
        <v>59.63</v>
      </c>
      <c r="B599">
        <v>59.71</v>
      </c>
      <c r="C599">
        <v>1.45</v>
      </c>
      <c r="D599" s="2">
        <v>44482</v>
      </c>
      <c r="E599">
        <v>59.83</v>
      </c>
      <c r="F599">
        <v>-0.2</v>
      </c>
      <c r="G599">
        <v>-0.11999999999999744</v>
      </c>
      <c r="H599" s="5">
        <f t="shared" si="111"/>
        <v>-3.3428046130703662E-3</v>
      </c>
      <c r="I599" s="3">
        <f t="shared" si="108"/>
        <v>-0.42402737145573133</v>
      </c>
      <c r="J599" s="5">
        <f t="shared" si="112"/>
        <v>-2.0056827678421769E-3</v>
      </c>
      <c r="K599" s="3">
        <f t="shared" si="109"/>
        <v>0.67411310182922246</v>
      </c>
      <c r="L599" s="3">
        <f t="shared" si="110"/>
        <v>-0.67944795901705179</v>
      </c>
    </row>
    <row r="600" spans="1:12" x14ac:dyDescent="0.25">
      <c r="A600" s="26">
        <v>58.86</v>
      </c>
      <c r="B600">
        <v>58.93</v>
      </c>
      <c r="C600">
        <v>1.54</v>
      </c>
      <c r="D600" s="2">
        <v>44481</v>
      </c>
      <c r="E600">
        <v>59.03</v>
      </c>
      <c r="F600">
        <v>-0.17</v>
      </c>
      <c r="G600">
        <v>-0.10000000000000142</v>
      </c>
      <c r="H600" s="5">
        <f t="shared" si="111"/>
        <v>-2.8798915805522615E-3</v>
      </c>
      <c r="I600" s="3">
        <f t="shared" si="108"/>
        <v>-0.31982823540138544</v>
      </c>
      <c r="J600" s="5">
        <f t="shared" si="112"/>
        <v>-1.694053870913119E-3</v>
      </c>
      <c r="K600" s="3">
        <f t="shared" si="109"/>
        <v>0.85233060190502552</v>
      </c>
      <c r="L600" s="3">
        <f t="shared" si="110"/>
        <v>-0.40829576942834278</v>
      </c>
    </row>
    <row r="601" spans="1:12" x14ac:dyDescent="0.25">
      <c r="A601" s="26">
        <v>59.33</v>
      </c>
      <c r="B601">
        <v>59.35</v>
      </c>
      <c r="C601">
        <v>1.6</v>
      </c>
      <c r="D601" s="2">
        <v>44480</v>
      </c>
      <c r="E601">
        <v>59.48</v>
      </c>
      <c r="F601">
        <v>-0.15</v>
      </c>
      <c r="G601">
        <v>-0.12999999999999545</v>
      </c>
      <c r="H601" s="5">
        <f t="shared" si="111"/>
        <v>-2.5218560860793544E-3</v>
      </c>
      <c r="I601" s="3">
        <f t="shared" si="108"/>
        <v>-0.23951824486096301</v>
      </c>
      <c r="J601" s="5">
        <f t="shared" si="112"/>
        <v>-2.1856086079353643E-3</v>
      </c>
      <c r="K601" s="3">
        <f t="shared" si="109"/>
        <v>0.58869467041592161</v>
      </c>
      <c r="L601" s="3">
        <f t="shared" si="110"/>
        <v>-0.22302348427326549</v>
      </c>
    </row>
    <row r="602" spans="1:12" x14ac:dyDescent="0.25">
      <c r="A602" s="26">
        <v>59.92</v>
      </c>
      <c r="B602">
        <v>59.74</v>
      </c>
      <c r="C602">
        <v>1.88</v>
      </c>
      <c r="D602" s="2">
        <v>44477</v>
      </c>
      <c r="E602">
        <v>59.92</v>
      </c>
      <c r="F602">
        <v>0</v>
      </c>
      <c r="G602">
        <v>-0.17999999999999972</v>
      </c>
      <c r="H602" s="5">
        <f t="shared" si="111"/>
        <v>0</v>
      </c>
      <c r="I602" s="3">
        <f t="shared" si="108"/>
        <v>0.31358294994857777</v>
      </c>
      <c r="J602" s="5">
        <f t="shared" si="112"/>
        <v>-3.0040053404539338E-3</v>
      </c>
      <c r="K602" s="3">
        <f t="shared" si="109"/>
        <v>0.14390387125508966</v>
      </c>
      <c r="L602" s="3">
        <f t="shared" si="110"/>
        <v>0.63382646542359633</v>
      </c>
    </row>
    <row r="603" spans="1:12" x14ac:dyDescent="0.25">
      <c r="A603" s="26">
        <v>58.99</v>
      </c>
      <c r="B603">
        <v>58.91</v>
      </c>
      <c r="C603">
        <v>1.74</v>
      </c>
      <c r="D603" s="2">
        <v>44476</v>
      </c>
      <c r="E603">
        <v>59</v>
      </c>
      <c r="F603">
        <v>-0.01</v>
      </c>
      <c r="G603">
        <v>-9.0000000000003411E-2</v>
      </c>
      <c r="H603" s="5">
        <f t="shared" si="111"/>
        <v>-1.6949152542372882E-4</v>
      </c>
      <c r="I603" s="3">
        <f t="shared" si="108"/>
        <v>0.27850755965883051</v>
      </c>
      <c r="J603" s="5">
        <f t="shared" si="112"/>
        <v>-1.525423728813617E-3</v>
      </c>
      <c r="K603" s="3">
        <f t="shared" si="109"/>
        <v>0.96244444324457168</v>
      </c>
      <c r="L603" s="3">
        <f t="shared" si="110"/>
        <v>0.20674938765943024</v>
      </c>
    </row>
    <row r="604" spans="1:12" x14ac:dyDescent="0.25">
      <c r="A604" s="26">
        <v>61.36</v>
      </c>
      <c r="B604">
        <v>61.11</v>
      </c>
      <c r="C604">
        <v>1.51</v>
      </c>
      <c r="D604" s="2">
        <v>44475</v>
      </c>
      <c r="E604">
        <v>61.25</v>
      </c>
      <c r="F604">
        <v>0.11</v>
      </c>
      <c r="G604">
        <v>-0.14000000000000057</v>
      </c>
      <c r="H604" s="5">
        <f t="shared" si="111"/>
        <v>1.7959183673469388E-3</v>
      </c>
      <c r="I604" s="3">
        <f t="shared" si="108"/>
        <v>0.71194351055877281</v>
      </c>
      <c r="J604" s="5">
        <f t="shared" si="112"/>
        <v>-2.285714285714295E-3</v>
      </c>
      <c r="K604" s="3">
        <f t="shared" si="109"/>
        <v>0.55347031998751328</v>
      </c>
      <c r="L604" s="3">
        <f t="shared" si="110"/>
        <v>-0.50359405459227347</v>
      </c>
    </row>
    <row r="605" spans="1:12" x14ac:dyDescent="0.25">
      <c r="A605" s="26">
        <v>63.66</v>
      </c>
      <c r="B605">
        <v>63.61</v>
      </c>
      <c r="C605">
        <v>1.49</v>
      </c>
      <c r="D605" s="2">
        <v>44474</v>
      </c>
      <c r="E605">
        <v>63.8</v>
      </c>
      <c r="F605">
        <v>-0.14000000000000001</v>
      </c>
      <c r="G605">
        <v>-0.18999999999999773</v>
      </c>
      <c r="H605" s="5">
        <f t="shared" si="111"/>
        <v>-2.1943573667711604E-3</v>
      </c>
      <c r="I605" s="3">
        <f t="shared" si="108"/>
        <v>-0.16201346259616711</v>
      </c>
      <c r="J605" s="5">
        <f t="shared" si="112"/>
        <v>-2.9780564263322527E-3</v>
      </c>
      <c r="K605" s="3">
        <f t="shared" si="109"/>
        <v>0.17937258306015941</v>
      </c>
      <c r="L605" s="3">
        <f t="shared" si="110"/>
        <v>-0.56603159540234493</v>
      </c>
    </row>
    <row r="606" spans="1:12" x14ac:dyDescent="0.25">
      <c r="A606" s="26">
        <v>63.56</v>
      </c>
      <c r="B606">
        <v>63.57</v>
      </c>
      <c r="C606">
        <v>1.48</v>
      </c>
      <c r="D606" s="2">
        <v>44473</v>
      </c>
      <c r="E606">
        <v>63.73</v>
      </c>
      <c r="F606">
        <v>-0.17</v>
      </c>
      <c r="G606">
        <v>-0.15999999999999659</v>
      </c>
      <c r="H606" s="5">
        <f t="shared" si="111"/>
        <v>-2.6675035305193787E-3</v>
      </c>
      <c r="I606" s="3">
        <f t="shared" si="108"/>
        <v>-0.26859824221261575</v>
      </c>
      <c r="J606" s="5">
        <f t="shared" si="112"/>
        <v>-2.5105915581358322E-3</v>
      </c>
      <c r="K606" s="3">
        <f t="shared" si="109"/>
        <v>0.43490372650293357</v>
      </c>
      <c r="L606" s="3">
        <f t="shared" si="110"/>
        <v>-0.59817221998407311</v>
      </c>
    </row>
    <row r="607" spans="1:12" x14ac:dyDescent="0.25">
      <c r="A607" s="26">
        <v>62.04</v>
      </c>
      <c r="B607">
        <v>61.99</v>
      </c>
      <c r="C607">
        <v>1.76</v>
      </c>
      <c r="D607" s="2">
        <v>44470</v>
      </c>
      <c r="E607">
        <v>62.16</v>
      </c>
      <c r="F607">
        <v>-0.12</v>
      </c>
      <c r="G607">
        <v>-0.1699999999999946</v>
      </c>
      <c r="H607" s="5">
        <f t="shared" si="111"/>
        <v>-1.9305019305019305E-3</v>
      </c>
      <c r="I607" s="3">
        <f t="shared" si="108"/>
        <v>-0.10521960266986569</v>
      </c>
      <c r="J607" s="5">
        <f t="shared" si="112"/>
        <v>-2.734877734877648E-3</v>
      </c>
      <c r="K607" s="3">
        <f t="shared" si="109"/>
        <v>0.31512748555137188</v>
      </c>
      <c r="L607" s="3">
        <f t="shared" si="110"/>
        <v>0.25699773555823274</v>
      </c>
    </row>
    <row r="608" spans="1:12" x14ac:dyDescent="0.25">
      <c r="A608" s="26">
        <v>61.37</v>
      </c>
      <c r="B608">
        <v>61.53</v>
      </c>
      <c r="C608">
        <v>1.52</v>
      </c>
      <c r="D608" s="2">
        <v>44469</v>
      </c>
      <c r="E608">
        <v>61.69</v>
      </c>
      <c r="F608">
        <v>-0.32</v>
      </c>
      <c r="G608">
        <v>-0.15999999999999659</v>
      </c>
      <c r="H608" s="5">
        <f t="shared" si="111"/>
        <v>-5.1872264548549199E-3</v>
      </c>
      <c r="I608" s="3">
        <f t="shared" si="108"/>
        <v>-0.82165191664133141</v>
      </c>
      <c r="J608" s="5">
        <f t="shared" si="112"/>
        <v>-2.5936132274274049E-3</v>
      </c>
      <c r="K608" s="3">
        <f t="shared" si="109"/>
        <v>0.39821090569169276</v>
      </c>
      <c r="L608" s="3">
        <f t="shared" si="110"/>
        <v>-0.47877280118033538</v>
      </c>
    </row>
    <row r="609" spans="1:12" x14ac:dyDescent="0.25">
      <c r="A609" s="26">
        <v>61.83</v>
      </c>
      <c r="B609">
        <v>62.33</v>
      </c>
      <c r="C609">
        <v>1.08</v>
      </c>
      <c r="D609" s="2">
        <v>44468</v>
      </c>
      <c r="E609">
        <v>62.55</v>
      </c>
      <c r="F609">
        <v>-0.72</v>
      </c>
      <c r="G609">
        <v>-0.21999999999999886</v>
      </c>
      <c r="H609" s="5">
        <f t="shared" si="111"/>
        <v>-1.1510791366906475E-2</v>
      </c>
      <c r="I609" s="3">
        <f t="shared" si="108"/>
        <v>-2.2076142585291096</v>
      </c>
      <c r="J609" s="5">
        <f t="shared" si="112"/>
        <v>-3.5171862509991826E-3</v>
      </c>
      <c r="K609" s="3">
        <f t="shared" si="109"/>
        <v>-9.8380950380331664E-2</v>
      </c>
      <c r="L609" s="3">
        <f t="shared" si="110"/>
        <v>-1.8223542978925453</v>
      </c>
    </row>
    <row r="610" spans="1:12" x14ac:dyDescent="0.25">
      <c r="A610" s="26">
        <v>65</v>
      </c>
      <c r="B610">
        <v>64.989999999999995</v>
      </c>
      <c r="C610">
        <v>1.23</v>
      </c>
      <c r="D610" s="2">
        <v>44467</v>
      </c>
      <c r="E610">
        <v>65.150000000000006</v>
      </c>
      <c r="F610">
        <v>-0.15</v>
      </c>
      <c r="G610">
        <v>-0.1600000000000108</v>
      </c>
      <c r="H610" s="5">
        <f t="shared" si="111"/>
        <v>-2.3023791250959321E-3</v>
      </c>
      <c r="I610" s="3">
        <f t="shared" si="108"/>
        <v>-0.18756070619067242</v>
      </c>
      <c r="J610" s="5">
        <f t="shared" si="112"/>
        <v>-2.4558710667691602E-3</v>
      </c>
      <c r="K610" s="3">
        <f t="shared" si="109"/>
        <v>0.48114391547233698</v>
      </c>
      <c r="L610" s="3">
        <f t="shared" si="110"/>
        <v>-1.3795077189624074</v>
      </c>
    </row>
    <row r="611" spans="1:12" x14ac:dyDescent="0.25">
      <c r="A611" s="26">
        <v>64</v>
      </c>
      <c r="B611">
        <v>64.23</v>
      </c>
      <c r="C611">
        <v>1.1299999999999999</v>
      </c>
      <c r="D611" s="2">
        <v>44466</v>
      </c>
      <c r="E611">
        <v>64.45</v>
      </c>
      <c r="F611">
        <v>-0.45</v>
      </c>
      <c r="G611">
        <v>-0.21999999999999886</v>
      </c>
      <c r="H611" s="5">
        <f t="shared" si="111"/>
        <v>-6.9821567106283936E-3</v>
      </c>
      <c r="I611" s="3">
        <f t="shared" si="108"/>
        <v>-1.2259229930108524</v>
      </c>
      <c r="J611" s="5">
        <f t="shared" si="112"/>
        <v>-3.4134988363071972E-3</v>
      </c>
      <c r="K611" s="3">
        <f t="shared" si="109"/>
        <v>-4.2070950106963094E-2</v>
      </c>
      <c r="L611" s="3">
        <f t="shared" si="110"/>
        <v>-1.701005184448644</v>
      </c>
    </row>
    <row r="612" spans="1:12" x14ac:dyDescent="0.25">
      <c r="A612" s="26">
        <v>61.24</v>
      </c>
      <c r="B612">
        <v>61.06</v>
      </c>
      <c r="C612">
        <v>1.83</v>
      </c>
      <c r="D612" s="2">
        <v>44463</v>
      </c>
      <c r="E612">
        <v>61.29</v>
      </c>
      <c r="F612">
        <v>-0.05</v>
      </c>
      <c r="G612">
        <v>-0.22999999999999687</v>
      </c>
      <c r="H612" s="5">
        <f t="shared" si="111"/>
        <v>-8.1579376733561756E-4</v>
      </c>
      <c r="I612" s="3">
        <f t="shared" si="108"/>
        <v>0.13361379759833986</v>
      </c>
      <c r="J612" s="5">
        <f t="shared" si="112"/>
        <v>-3.7526513297437896E-3</v>
      </c>
      <c r="K612" s="3">
        <f t="shared" si="109"/>
        <v>-0.22698295597151125</v>
      </c>
      <c r="L612" s="3">
        <f t="shared" si="110"/>
        <v>0.459493507340828</v>
      </c>
    </row>
    <row r="613" spans="1:12" x14ac:dyDescent="0.25">
      <c r="A613" s="26">
        <v>59.45</v>
      </c>
      <c r="B613">
        <v>59.31</v>
      </c>
      <c r="C613">
        <v>1.56</v>
      </c>
      <c r="D613" s="2">
        <v>44462</v>
      </c>
      <c r="E613">
        <v>59.41</v>
      </c>
      <c r="F613">
        <v>0.04</v>
      </c>
      <c r="G613">
        <v>-9.9999999999994316E-2</v>
      </c>
      <c r="H613" s="5">
        <f t="shared" si="111"/>
        <v>6.7328732536610001E-4</v>
      </c>
      <c r="I613" s="3">
        <f t="shared" si="108"/>
        <v>0.46759273875740753</v>
      </c>
      <c r="J613" s="5">
        <f t="shared" si="112"/>
        <v>-1.6832183134151543E-3</v>
      </c>
      <c r="K613" s="3">
        <f t="shared" si="109"/>
        <v>0.90116291994083475</v>
      </c>
      <c r="L613" s="3">
        <f t="shared" si="110"/>
        <v>-0.37488291981644145</v>
      </c>
    </row>
    <row r="614" spans="1:12" x14ac:dyDescent="0.25">
      <c r="A614" s="26">
        <v>60.02</v>
      </c>
      <c r="B614">
        <v>60.02</v>
      </c>
      <c r="C614">
        <v>1.79</v>
      </c>
      <c r="D614" s="2">
        <v>44461</v>
      </c>
      <c r="E614">
        <v>60.12</v>
      </c>
      <c r="F614">
        <v>-0.1</v>
      </c>
      <c r="G614">
        <v>-9.9999999999994316E-2</v>
      </c>
      <c r="H614" s="5">
        <f t="shared" si="111"/>
        <v>-1.6633399866932803E-3</v>
      </c>
      <c r="I614" s="3">
        <f t="shared" si="108"/>
        <v>-4.1673674829603158E-2</v>
      </c>
      <c r="J614" s="5">
        <f t="shared" si="112"/>
        <v>-1.6633399866931857E-3</v>
      </c>
      <c r="K614" s="3">
        <f t="shared" si="109"/>
        <v>0.92035329196568594</v>
      </c>
      <c r="L614" s="3">
        <f t="shared" si="110"/>
        <v>0.33858451192981864</v>
      </c>
    </row>
    <row r="615" spans="1:12" x14ac:dyDescent="0.25">
      <c r="A615" s="26">
        <v>60.31</v>
      </c>
      <c r="B615">
        <v>60.03</v>
      </c>
      <c r="C615">
        <v>2.1</v>
      </c>
      <c r="D615" s="2">
        <v>44460</v>
      </c>
      <c r="E615">
        <v>60.24</v>
      </c>
      <c r="F615">
        <v>7.0000000000000007E-2</v>
      </c>
      <c r="G615">
        <v>-0.21000000000000085</v>
      </c>
      <c r="H615" s="5">
        <f t="shared" si="111"/>
        <v>1.1620185922974768E-3</v>
      </c>
      <c r="I615" s="3">
        <f t="shared" si="108"/>
        <v>0.58268008690350548</v>
      </c>
      <c r="J615" s="5">
        <f t="shared" si="112"/>
        <v>-3.4860557768924445E-3</v>
      </c>
      <c r="K615" s="3">
        <f t="shared" si="109"/>
        <v>-6.0008474838586019E-2</v>
      </c>
      <c r="L615" s="3">
        <f t="shared" si="110"/>
        <v>1.3041147044822112</v>
      </c>
    </row>
    <row r="616" spans="1:12" x14ac:dyDescent="0.25">
      <c r="A616" s="26">
        <v>58.56</v>
      </c>
      <c r="B616">
        <v>58.57</v>
      </c>
      <c r="C616">
        <v>1.63</v>
      </c>
      <c r="D616" s="2">
        <v>44459</v>
      </c>
      <c r="E616">
        <v>58.66</v>
      </c>
      <c r="F616">
        <v>-0.1</v>
      </c>
      <c r="G616">
        <v>-8.9999999999996305E-2</v>
      </c>
      <c r="H616" s="5">
        <f t="shared" si="111"/>
        <v>-1.7047391749062395E-3</v>
      </c>
      <c r="I616" s="3">
        <f t="shared" si="108"/>
        <v>-5.0961807247911259E-2</v>
      </c>
      <c r="J616" s="5">
        <f t="shared" si="112"/>
        <v>-1.5342652574155526E-3</v>
      </c>
      <c r="K616" s="3">
        <f t="shared" si="109"/>
        <v>0.99547325811095222</v>
      </c>
      <c r="L616" s="3">
        <f t="shared" si="110"/>
        <v>-0.14881401852066331</v>
      </c>
    </row>
    <row r="617" spans="1:12" x14ac:dyDescent="0.25">
      <c r="A617" s="26">
        <v>59.6</v>
      </c>
      <c r="B617">
        <v>59.6</v>
      </c>
      <c r="C617">
        <v>1.41</v>
      </c>
      <c r="D617" s="2">
        <v>44456</v>
      </c>
      <c r="E617">
        <v>59.73</v>
      </c>
      <c r="F617">
        <v>-0.13</v>
      </c>
      <c r="G617">
        <v>-0.12999999999999545</v>
      </c>
      <c r="H617" s="5">
        <f t="shared" si="111"/>
        <v>-2.1764607399966519E-3</v>
      </c>
      <c r="I617" s="3">
        <f t="shared" si="108"/>
        <v>-0.15626719809466033</v>
      </c>
      <c r="J617" s="5">
        <f t="shared" si="112"/>
        <v>-2.1764607399965756E-3</v>
      </c>
      <c r="K617" s="3">
        <f t="shared" si="109"/>
        <v>0.64690420563549789</v>
      </c>
      <c r="L617" s="3">
        <f t="shared" si="110"/>
        <v>-0.8351365081230645</v>
      </c>
    </row>
    <row r="618" spans="1:12" x14ac:dyDescent="0.25">
      <c r="A618" s="26">
        <v>59.89</v>
      </c>
      <c r="B618">
        <v>59.64</v>
      </c>
      <c r="C618">
        <v>1.55</v>
      </c>
      <c r="D618" s="2">
        <v>44455</v>
      </c>
      <c r="E618">
        <v>59.74</v>
      </c>
      <c r="F618">
        <v>0.15</v>
      </c>
      <c r="G618">
        <v>-0.10000000000000142</v>
      </c>
      <c r="H618" s="5">
        <f t="shared" si="111"/>
        <v>2.5108804820890523E-3</v>
      </c>
      <c r="I618" s="3">
        <f t="shared" si="108"/>
        <v>0.86203704846473195</v>
      </c>
      <c r="J618" s="5">
        <f t="shared" si="112"/>
        <v>-1.6739203213927253E-3</v>
      </c>
      <c r="K618" s="3">
        <f t="shared" si="109"/>
        <v>0.92562462475745344</v>
      </c>
      <c r="L618" s="3">
        <f t="shared" si="110"/>
        <v>-0.40709693191752078</v>
      </c>
    </row>
    <row r="619" spans="1:12" x14ac:dyDescent="0.25">
      <c r="A619" s="26">
        <v>60.32</v>
      </c>
      <c r="B619">
        <v>60.22</v>
      </c>
      <c r="C619">
        <v>1.76</v>
      </c>
      <c r="D619" s="2">
        <v>44454</v>
      </c>
      <c r="E619">
        <v>60.38</v>
      </c>
      <c r="F619">
        <v>-0.06</v>
      </c>
      <c r="G619">
        <v>-0.16000000000000369</v>
      </c>
      <c r="H619" s="5">
        <f t="shared" si="111"/>
        <v>-9.9370652533951626E-4</v>
      </c>
      <c r="I619" s="3">
        <f t="shared" si="108"/>
        <v>9.2837199015918428E-2</v>
      </c>
      <c r="J619" s="5">
        <f t="shared" si="112"/>
        <v>-2.6498840675721049E-3</v>
      </c>
      <c r="K619" s="3">
        <f t="shared" si="109"/>
        <v>0.40295269800115424</v>
      </c>
      <c r="L619" s="3">
        <f t="shared" si="110"/>
        <v>0.24262750176963549</v>
      </c>
    </row>
    <row r="620" spans="1:12" x14ac:dyDescent="0.25">
      <c r="A620" s="26">
        <v>61.51</v>
      </c>
      <c r="B620">
        <v>61.55</v>
      </c>
      <c r="C620">
        <v>1.51</v>
      </c>
      <c r="D620" s="2">
        <v>44453</v>
      </c>
      <c r="E620">
        <v>61.62</v>
      </c>
      <c r="F620">
        <v>-0.11</v>
      </c>
      <c r="G620">
        <v>-7.0000000000000284E-2</v>
      </c>
      <c r="H620" s="5">
        <f t="shared" si="111"/>
        <v>-1.7851346965271017E-3</v>
      </c>
      <c r="I620" s="3">
        <f t="shared" si="108"/>
        <v>-7.7231765383868722E-2</v>
      </c>
      <c r="J620" s="5">
        <f t="shared" si="112"/>
        <v>-1.1359948068808874E-3</v>
      </c>
      <c r="K620" s="3">
        <f t="shared" si="109"/>
        <v>1.2269226851060622</v>
      </c>
      <c r="L620" s="3">
        <f t="shared" si="110"/>
        <v>-0.53125384944957288</v>
      </c>
    </row>
    <row r="621" spans="1:12" x14ac:dyDescent="0.25">
      <c r="A621" s="26">
        <v>61.91</v>
      </c>
      <c r="B621">
        <v>61.88</v>
      </c>
      <c r="C621">
        <v>1.39</v>
      </c>
      <c r="D621" s="2">
        <v>44452</v>
      </c>
      <c r="E621">
        <v>61.97</v>
      </c>
      <c r="F621">
        <v>-0.06</v>
      </c>
      <c r="G621">
        <v>-8.9999999999996305E-2</v>
      </c>
      <c r="H621" s="5">
        <f t="shared" si="111"/>
        <v>-9.6821042439890269E-4</v>
      </c>
      <c r="I621" s="3">
        <f t="shared" si="108"/>
        <v>0.1045282618243344</v>
      </c>
      <c r="J621" s="5">
        <f t="shared" si="112"/>
        <v>-1.4523156365982945E-3</v>
      </c>
      <c r="K621" s="3">
        <f t="shared" si="109"/>
        <v>1.066702221888769</v>
      </c>
      <c r="L621" s="3">
        <f t="shared" si="110"/>
        <v>-0.90505515051781726</v>
      </c>
    </row>
    <row r="622" spans="1:12" x14ac:dyDescent="0.25">
      <c r="A622" s="26">
        <v>61.85</v>
      </c>
      <c r="B622">
        <v>61.6</v>
      </c>
      <c r="C622">
        <v>1.83</v>
      </c>
      <c r="D622" s="2">
        <v>44449</v>
      </c>
      <c r="E622">
        <v>61.65</v>
      </c>
      <c r="F622">
        <v>0.2</v>
      </c>
      <c r="G622">
        <v>-4.9999999999997158E-2</v>
      </c>
      <c r="H622" s="5">
        <f t="shared" si="111"/>
        <v>3.2441200324412004E-3</v>
      </c>
      <c r="I622" s="3">
        <f t="shared" si="108"/>
        <v>1.0164074852426235</v>
      </c>
      <c r="J622" s="5">
        <f t="shared" si="112"/>
        <v>-8.1103000811025402E-4</v>
      </c>
      <c r="K622" s="3">
        <f t="shared" si="109"/>
        <v>1.4221537124135157</v>
      </c>
      <c r="L622" s="3">
        <f t="shared" si="110"/>
        <v>0.45567786979775488</v>
      </c>
    </row>
    <row r="623" spans="1:12" x14ac:dyDescent="0.25">
      <c r="A623" s="26">
        <v>61.98</v>
      </c>
      <c r="B623">
        <v>61.91</v>
      </c>
      <c r="C623">
        <v>1.63</v>
      </c>
      <c r="D623" s="2">
        <v>44448</v>
      </c>
      <c r="E623">
        <v>62.15</v>
      </c>
      <c r="F623">
        <v>-0.17</v>
      </c>
      <c r="G623">
        <v>-0.24000000000000199</v>
      </c>
      <c r="H623" s="5">
        <f t="shared" si="111"/>
        <v>-2.7353177795655676E-3</v>
      </c>
      <c r="I623" s="3">
        <f t="shared" si="108"/>
        <v>-0.27396286687920107</v>
      </c>
      <c r="J623" s="5">
        <f t="shared" si="112"/>
        <v>-3.8616251005631859E-3</v>
      </c>
      <c r="K623" s="3">
        <f t="shared" si="109"/>
        <v>-0.22226951484535401</v>
      </c>
      <c r="L623" s="3">
        <f t="shared" si="110"/>
        <v>-0.16634707901842344</v>
      </c>
    </row>
    <row r="624" spans="1:12" x14ac:dyDescent="0.25">
      <c r="A624" s="26">
        <v>61.93</v>
      </c>
      <c r="B624">
        <v>61.83</v>
      </c>
      <c r="C624">
        <v>1.87</v>
      </c>
      <c r="D624" s="2">
        <v>44447</v>
      </c>
      <c r="E624">
        <v>61.94</v>
      </c>
      <c r="F624">
        <v>-0.01</v>
      </c>
      <c r="G624">
        <v>-0.10999999999999943</v>
      </c>
      <c r="H624" s="5">
        <f t="shared" si="111"/>
        <v>-1.6144656118824671E-4</v>
      </c>
      <c r="I624" s="3">
        <f t="shared" si="108"/>
        <v>0.28593602744249519</v>
      </c>
      <c r="J624" s="5">
        <f t="shared" si="112"/>
        <v>-1.7759121730707044E-3</v>
      </c>
      <c r="K624" s="3">
        <f t="shared" si="109"/>
        <v>0.91327439278181421</v>
      </c>
      <c r="L624" s="3">
        <f t="shared" si="110"/>
        <v>0.57482031949321677</v>
      </c>
    </row>
    <row r="625" spans="1:12" x14ac:dyDescent="0.25">
      <c r="A625" s="26">
        <v>61.71</v>
      </c>
      <c r="B625">
        <v>61.71</v>
      </c>
      <c r="C625">
        <v>1.44</v>
      </c>
      <c r="D625" s="2">
        <v>44446</v>
      </c>
      <c r="E625">
        <v>61.84</v>
      </c>
      <c r="F625">
        <v>-0.13</v>
      </c>
      <c r="G625">
        <v>-0.13000000000000256</v>
      </c>
      <c r="H625" s="5">
        <f t="shared" si="111"/>
        <v>-2.1021992238033633E-3</v>
      </c>
      <c r="I625" s="3">
        <f t="shared" si="108"/>
        <v>-0.13488821021102873</v>
      </c>
      <c r="J625" s="5">
        <f t="shared" si="112"/>
        <v>-2.102199223803405E-3</v>
      </c>
      <c r="K625" s="3">
        <f t="shared" si="109"/>
        <v>0.73618752744004123</v>
      </c>
      <c r="L625" s="3">
        <f t="shared" si="110"/>
        <v>-0.76193250076845609</v>
      </c>
    </row>
    <row r="626" spans="1:12" x14ac:dyDescent="0.25">
      <c r="A626" s="26">
        <v>62.87</v>
      </c>
      <c r="B626">
        <v>62.71</v>
      </c>
      <c r="C626">
        <v>2.02</v>
      </c>
      <c r="D626" s="2">
        <v>44445</v>
      </c>
      <c r="E626">
        <v>62.92</v>
      </c>
      <c r="F626">
        <v>-0.05</v>
      </c>
      <c r="G626">
        <v>-0.21000000000000085</v>
      </c>
      <c r="H626" s="5">
        <f t="shared" si="111"/>
        <v>-7.9465988556897652E-4</v>
      </c>
      <c r="I626" s="3">
        <f t="shared" si="108"/>
        <v>0.14971174812080801</v>
      </c>
      <c r="J626" s="5">
        <f t="shared" si="112"/>
        <v>-3.3375715193897145E-3</v>
      </c>
      <c r="K626" s="3">
        <f t="shared" si="109"/>
        <v>6.9200392449932258E-2</v>
      </c>
      <c r="L626" s="3">
        <f t="shared" si="110"/>
        <v>1.0308348848335074</v>
      </c>
    </row>
    <row r="627" spans="1:12" x14ac:dyDescent="0.25">
      <c r="A627" s="26">
        <v>61.25</v>
      </c>
      <c r="B627">
        <v>61.1</v>
      </c>
      <c r="C627">
        <v>1.81</v>
      </c>
      <c r="D627" s="2">
        <v>44442</v>
      </c>
      <c r="E627">
        <v>61.14</v>
      </c>
      <c r="F627">
        <v>0.11</v>
      </c>
      <c r="G627">
        <v>-3.9999999999999147E-2</v>
      </c>
      <c r="H627" s="5">
        <f t="shared" si="111"/>
        <v>1.799149492966961E-3</v>
      </c>
      <c r="I627" s="3">
        <f t="shared" si="108"/>
        <v>0.71678769426515643</v>
      </c>
      <c r="J627" s="5">
        <f t="shared" si="112"/>
        <v>-6.5423617926069916E-4</v>
      </c>
      <c r="K627" s="3">
        <f t="shared" si="109"/>
        <v>1.5283470498804232</v>
      </c>
      <c r="L627" s="3">
        <f t="shared" si="110"/>
        <v>0.38658142869240752</v>
      </c>
    </row>
    <row r="628" spans="1:12" x14ac:dyDescent="0.25">
      <c r="A628" s="26">
        <v>61.29</v>
      </c>
      <c r="B628">
        <v>61.03</v>
      </c>
      <c r="C628">
        <v>2.04</v>
      </c>
      <c r="D628" s="2">
        <v>44440</v>
      </c>
      <c r="E628">
        <v>61.16</v>
      </c>
      <c r="F628">
        <v>0.13</v>
      </c>
      <c r="G628">
        <v>-0.12999999999999545</v>
      </c>
      <c r="H628" s="5">
        <f t="shared" si="111"/>
        <v>2.1255722694571619E-3</v>
      </c>
      <c r="I628" s="3">
        <f t="shared" si="108"/>
        <v>0.79160681811367173</v>
      </c>
      <c r="J628" s="5">
        <f t="shared" si="112"/>
        <v>-2.1255722694570873E-3</v>
      </c>
      <c r="K628" s="3">
        <f t="shared" si="109"/>
        <v>0.74263295238515858</v>
      </c>
      <c r="L628" s="3">
        <f t="shared" si="110"/>
        <v>1.0991692943370865</v>
      </c>
    </row>
    <row r="629" spans="1:12" x14ac:dyDescent="0.25">
      <c r="A629" s="26">
        <v>60.11</v>
      </c>
      <c r="B629">
        <v>60.11</v>
      </c>
      <c r="C629">
        <v>1.89</v>
      </c>
      <c r="D629" s="2">
        <v>44439</v>
      </c>
      <c r="E629">
        <v>60.25</v>
      </c>
      <c r="F629">
        <v>-0.14000000000000001</v>
      </c>
      <c r="G629">
        <v>-0.14000000000000057</v>
      </c>
      <c r="H629" s="5">
        <f t="shared" si="111"/>
        <v>-2.3236514522821578E-3</v>
      </c>
      <c r="I629" s="3">
        <f t="shared" si="108"/>
        <v>-0.16124190505019317</v>
      </c>
      <c r="J629" s="5">
        <f t="shared" si="112"/>
        <v>-2.3236514522821669E-3</v>
      </c>
      <c r="K629" s="3">
        <f t="shared" si="109"/>
        <v>0.64243818114830076</v>
      </c>
      <c r="L629" s="3">
        <f t="shared" si="110"/>
        <v>0.61473490225769789</v>
      </c>
    </row>
    <row r="630" spans="1:12" x14ac:dyDescent="0.25">
      <c r="A630" s="26">
        <v>57.51</v>
      </c>
      <c r="B630">
        <v>57.56</v>
      </c>
      <c r="C630">
        <v>1.46</v>
      </c>
      <c r="D630" s="2">
        <v>44435</v>
      </c>
      <c r="E630">
        <v>57.76</v>
      </c>
      <c r="F630">
        <v>-0.25</v>
      </c>
      <c r="G630">
        <v>-0.19999999999999574</v>
      </c>
      <c r="H630" s="5">
        <f t="shared" si="111"/>
        <v>-4.3282548476454297E-3</v>
      </c>
      <c r="I630" s="3">
        <f t="shared" si="108"/>
        <v>-0.59265768474123259</v>
      </c>
      <c r="J630" s="5">
        <f t="shared" si="112"/>
        <v>-3.4626038781162697E-3</v>
      </c>
      <c r="K630" s="3">
        <f t="shared" si="109"/>
        <v>3.249214325596269E-2</v>
      </c>
      <c r="L630" s="3">
        <f t="shared" si="110"/>
        <v>-0.70039161297828623</v>
      </c>
    </row>
    <row r="631" spans="1:12" x14ac:dyDescent="0.25">
      <c r="A631" s="26">
        <v>55.61</v>
      </c>
      <c r="B631">
        <v>55.59</v>
      </c>
      <c r="C631">
        <v>1.9</v>
      </c>
      <c r="D631" s="2">
        <v>44434</v>
      </c>
      <c r="E631">
        <v>55.76</v>
      </c>
      <c r="F631">
        <v>-0.15</v>
      </c>
      <c r="G631">
        <v>-0.1699999999999946</v>
      </c>
      <c r="H631" s="5">
        <f t="shared" si="111"/>
        <v>-2.6901004304160691E-3</v>
      </c>
      <c r="I631" s="3">
        <f t="shared" si="108"/>
        <v>-0.243199666472357</v>
      </c>
      <c r="J631" s="5">
        <f t="shared" si="112"/>
        <v>-3.0487804878047814E-3</v>
      </c>
      <c r="K631" s="3">
        <f t="shared" si="109"/>
        <v>0.26141194915651977</v>
      </c>
      <c r="L631" s="3">
        <f t="shared" si="110"/>
        <v>0.62173405001266291</v>
      </c>
    </row>
    <row r="632" spans="1:12" x14ac:dyDescent="0.25">
      <c r="A632" s="26">
        <v>56.63</v>
      </c>
      <c r="B632">
        <v>56.6</v>
      </c>
      <c r="C632">
        <v>2.5299999999999998</v>
      </c>
      <c r="D632" s="2">
        <v>44433</v>
      </c>
      <c r="E632">
        <v>56.74</v>
      </c>
      <c r="F632">
        <v>-0.11</v>
      </c>
      <c r="G632">
        <v>-0.14000000000000057</v>
      </c>
      <c r="H632" s="5">
        <f t="shared" si="111"/>
        <v>-1.9386676066267183E-3</v>
      </c>
      <c r="I632" s="3">
        <f t="shared" si="108"/>
        <v>-7.925459911646264E-2</v>
      </c>
      <c r="J632" s="5">
        <f t="shared" si="112"/>
        <v>-2.4673951357067425E-3</v>
      </c>
      <c r="K632" s="3">
        <f t="shared" si="109"/>
        <v>0.57815737993817096</v>
      </c>
      <c r="L632" s="3">
        <f t="shared" si="110"/>
        <v>2.5195117709526733</v>
      </c>
    </row>
    <row r="633" spans="1:12" x14ac:dyDescent="0.25">
      <c r="A633" s="26">
        <v>55.72</v>
      </c>
      <c r="B633">
        <v>55.72</v>
      </c>
      <c r="C633">
        <v>1.61</v>
      </c>
      <c r="D633" s="2">
        <v>44432</v>
      </c>
      <c r="E633">
        <v>55.94</v>
      </c>
      <c r="F633">
        <v>-0.22</v>
      </c>
      <c r="G633">
        <v>-0.21999999999999886</v>
      </c>
      <c r="H633" s="5">
        <f t="shared" si="111"/>
        <v>-3.9327851269217017E-3</v>
      </c>
      <c r="I633" s="3">
        <f t="shared" si="108"/>
        <v>-0.50827412826123974</v>
      </c>
      <c r="J633" s="5">
        <f t="shared" si="112"/>
        <v>-3.9327851269216818E-3</v>
      </c>
      <c r="K633" s="3">
        <f t="shared" si="109"/>
        <v>-0.21089324056179892</v>
      </c>
      <c r="L633" s="3">
        <f t="shared" si="110"/>
        <v>-0.25013830320285341</v>
      </c>
    </row>
    <row r="634" spans="1:12" x14ac:dyDescent="0.25">
      <c r="A634" s="26">
        <v>55.95</v>
      </c>
      <c r="B634">
        <v>55.98</v>
      </c>
      <c r="C634">
        <v>1.9</v>
      </c>
      <c r="D634" s="2">
        <v>44431</v>
      </c>
      <c r="E634">
        <v>56.17</v>
      </c>
      <c r="F634">
        <v>-0.22</v>
      </c>
      <c r="G634">
        <v>-0.19000000000000483</v>
      </c>
      <c r="H634" s="5">
        <f t="shared" si="111"/>
        <v>-3.9166815025814487E-3</v>
      </c>
      <c r="I634" s="3">
        <f t="shared" si="108"/>
        <v>-0.51070786219944231</v>
      </c>
      <c r="J634" s="5">
        <f t="shared" si="112"/>
        <v>-3.3825885704113373E-3</v>
      </c>
      <c r="K634" s="3">
        <f t="shared" si="109"/>
        <v>8.785099091325857E-2</v>
      </c>
      <c r="L634" s="3">
        <f t="shared" si="110"/>
        <v>0.62444668432461459</v>
      </c>
    </row>
    <row r="635" spans="1:12" x14ac:dyDescent="0.25">
      <c r="A635" s="26">
        <v>54.4</v>
      </c>
      <c r="B635">
        <v>54.22</v>
      </c>
      <c r="C635">
        <v>2.2599999999999998</v>
      </c>
      <c r="D635" s="2">
        <v>44428</v>
      </c>
      <c r="E635">
        <v>54.44</v>
      </c>
      <c r="F635">
        <v>-0.04</v>
      </c>
      <c r="G635">
        <v>-0.21999999999999886</v>
      </c>
      <c r="H635" s="5">
        <f t="shared" si="111"/>
        <v>-7.3475385745775171E-4</v>
      </c>
      <c r="I635" s="3">
        <f t="shared" si="108"/>
        <v>0.17779701860494829</v>
      </c>
      <c r="J635" s="5">
        <f t="shared" si="112"/>
        <v>-4.0411462160176133E-3</v>
      </c>
      <c r="K635" s="3">
        <f t="shared" si="109"/>
        <v>-0.26047064350323096</v>
      </c>
      <c r="L635" s="3">
        <f t="shared" si="110"/>
        <v>1.7230041961597886</v>
      </c>
    </row>
    <row r="636" spans="1:12" x14ac:dyDescent="0.25">
      <c r="A636" s="26">
        <v>55.81</v>
      </c>
      <c r="B636">
        <v>55.79</v>
      </c>
      <c r="C636">
        <v>1.91</v>
      </c>
      <c r="D636" s="2">
        <v>44427</v>
      </c>
      <c r="E636">
        <v>55.99</v>
      </c>
      <c r="F636">
        <v>-0.18</v>
      </c>
      <c r="G636">
        <v>-0.20000000000000284</v>
      </c>
      <c r="H636" s="5">
        <f t="shared" si="111"/>
        <v>-3.2148597963922126E-3</v>
      </c>
      <c r="I636" s="3">
        <f t="shared" si="108"/>
        <v>-0.35185180599863142</v>
      </c>
      <c r="J636" s="5">
        <f t="shared" si="112"/>
        <v>-3.5720664404358428E-3</v>
      </c>
      <c r="K636" s="3">
        <f t="shared" si="109"/>
        <v>-1.2723249224228914E-2</v>
      </c>
      <c r="L636" s="3">
        <f t="shared" si="110"/>
        <v>0.67030983867974092</v>
      </c>
    </row>
    <row r="637" spans="1:12" x14ac:dyDescent="0.25">
      <c r="A637" s="26">
        <v>57.7</v>
      </c>
      <c r="B637">
        <v>57.27</v>
      </c>
      <c r="C637">
        <v>2.27</v>
      </c>
      <c r="D637" s="2">
        <v>44426</v>
      </c>
      <c r="E637">
        <v>57.4</v>
      </c>
      <c r="F637">
        <v>0.3</v>
      </c>
      <c r="G637">
        <v>-0.12999999999999545</v>
      </c>
      <c r="H637" s="5">
        <f t="shared" si="111"/>
        <v>5.2264808362369334E-3</v>
      </c>
      <c r="I637" s="3">
        <f t="shared" si="108"/>
        <v>1.4550243907943372</v>
      </c>
      <c r="J637" s="5">
        <f t="shared" si="112"/>
        <v>-2.2648083623692588E-3</v>
      </c>
      <c r="K637" s="3">
        <f t="shared" si="109"/>
        <v>0.69058125253646185</v>
      </c>
      <c r="L637" s="3">
        <f t="shared" si="110"/>
        <v>1.7579982814118025</v>
      </c>
    </row>
    <row r="638" spans="1:12" x14ac:dyDescent="0.25">
      <c r="A638" s="26">
        <v>57.4</v>
      </c>
      <c r="B638">
        <v>57.33</v>
      </c>
      <c r="C638">
        <v>2.12</v>
      </c>
      <c r="D638" s="2">
        <v>44425</v>
      </c>
      <c r="E638">
        <v>57.49</v>
      </c>
      <c r="F638">
        <v>-0.09</v>
      </c>
      <c r="G638">
        <v>-0.16000000000000369</v>
      </c>
      <c r="H638" s="5">
        <f t="shared" si="111"/>
        <v>-1.565489650373978E-3</v>
      </c>
      <c r="I638" s="3">
        <f t="shared" si="108"/>
        <v>8.8585941144782368E-3</v>
      </c>
      <c r="J638" s="5">
        <f t="shared" si="112"/>
        <v>-2.7830927117760253E-3</v>
      </c>
      <c r="K638" s="3">
        <f t="shared" si="109"/>
        <v>0.42138916716349267</v>
      </c>
      <c r="L638" s="3">
        <f t="shared" si="110"/>
        <v>1.3033414763026412</v>
      </c>
    </row>
    <row r="639" spans="1:12" x14ac:dyDescent="0.25">
      <c r="A639" s="26">
        <v>57.18</v>
      </c>
      <c r="B639">
        <v>57.13</v>
      </c>
      <c r="C639">
        <v>1.56</v>
      </c>
      <c r="D639" s="2">
        <v>44424</v>
      </c>
      <c r="E639">
        <v>57.34</v>
      </c>
      <c r="F639">
        <v>-0.16</v>
      </c>
      <c r="G639">
        <v>-0.21000000000000085</v>
      </c>
      <c r="H639" s="5">
        <f t="shared" si="111"/>
        <v>-2.7903732124171608E-3</v>
      </c>
      <c r="I639" s="3">
        <f t="shared" si="108"/>
        <v>-0.2499106677981458</v>
      </c>
      <c r="J639" s="5">
        <f t="shared" si="112"/>
        <v>-3.6623648412975381E-3</v>
      </c>
      <c r="K639" s="3">
        <f t="shared" si="109"/>
        <v>-3.649788593845555E-2</v>
      </c>
      <c r="L639" s="3">
        <f t="shared" si="110"/>
        <v>-0.40477466856764965</v>
      </c>
    </row>
    <row r="640" spans="1:12" x14ac:dyDescent="0.25">
      <c r="A640" s="26">
        <v>55.6</v>
      </c>
      <c r="B640">
        <v>55.5</v>
      </c>
      <c r="C640">
        <v>2.73</v>
      </c>
      <c r="D640" s="2">
        <v>44421</v>
      </c>
      <c r="E640">
        <v>55.62</v>
      </c>
      <c r="F640">
        <v>-0.02</v>
      </c>
      <c r="G640">
        <v>-0.11999999999999744</v>
      </c>
      <c r="H640" s="5">
        <f t="shared" si="111"/>
        <v>-3.5958288385472856E-4</v>
      </c>
      <c r="I640" s="3">
        <f t="shared" si="108"/>
        <v>0.27303521231641659</v>
      </c>
      <c r="J640" s="5">
        <f t="shared" si="112"/>
        <v>-2.1574973031283254E-3</v>
      </c>
      <c r="K640" s="3">
        <f t="shared" si="109"/>
        <v>0.76077354420950982</v>
      </c>
      <c r="L640" s="3">
        <f t="shared" si="110"/>
        <v>3.1511454456837851</v>
      </c>
    </row>
    <row r="641" spans="1:12" x14ac:dyDescent="0.25">
      <c r="A641" s="26">
        <v>57.36</v>
      </c>
      <c r="B641">
        <v>57.36</v>
      </c>
      <c r="C641">
        <v>1.84</v>
      </c>
      <c r="D641" s="2">
        <v>44420</v>
      </c>
      <c r="E641">
        <v>57.58</v>
      </c>
      <c r="F641">
        <v>-0.22</v>
      </c>
      <c r="G641">
        <v>-0.21999999999999886</v>
      </c>
      <c r="H641" s="5">
        <f t="shared" si="111"/>
        <v>-3.820771101076763E-3</v>
      </c>
      <c r="I641" s="3">
        <f t="shared" si="108"/>
        <v>-0.45850847930942201</v>
      </c>
      <c r="J641" s="5">
        <f t="shared" si="112"/>
        <v>-3.820771101076743E-3</v>
      </c>
      <c r="K641" s="3">
        <f t="shared" si="109"/>
        <v>-0.1057786310886859</v>
      </c>
      <c r="L641" s="3">
        <f t="shared" si="110"/>
        <v>0.46714385153708021</v>
      </c>
    </row>
    <row r="642" spans="1:12" x14ac:dyDescent="0.25">
      <c r="A642" s="26">
        <v>56.69</v>
      </c>
      <c r="B642">
        <v>56.66</v>
      </c>
      <c r="C642">
        <v>2.27</v>
      </c>
      <c r="D642" s="2">
        <v>44419</v>
      </c>
      <c r="E642">
        <v>56.85</v>
      </c>
      <c r="F642">
        <v>-0.16</v>
      </c>
      <c r="G642">
        <v>-0.19000000000000483</v>
      </c>
      <c r="H642" s="5">
        <f t="shared" si="111"/>
        <v>-2.8144239226033422E-3</v>
      </c>
      <c r="I642" s="3">
        <f t="shared" si="108"/>
        <v>-0.24788930715287202</v>
      </c>
      <c r="J642" s="5">
        <f t="shared" si="112"/>
        <v>-3.3421284080915538E-3</v>
      </c>
      <c r="K642" s="3">
        <f t="shared" si="109"/>
        <v>0.15274252920313622</v>
      </c>
      <c r="L642" s="3">
        <f t="shared" si="110"/>
        <v>1.7975201869537449</v>
      </c>
    </row>
    <row r="643" spans="1:12" x14ac:dyDescent="0.25">
      <c r="A643" s="26">
        <v>57.1</v>
      </c>
      <c r="B643">
        <v>57.03</v>
      </c>
      <c r="C643">
        <v>2.15</v>
      </c>
      <c r="D643" s="2">
        <v>44418</v>
      </c>
      <c r="E643">
        <v>57.17</v>
      </c>
      <c r="F643">
        <v>-7.0000000000000007E-2</v>
      </c>
      <c r="G643">
        <v>-0.14000000000000057</v>
      </c>
      <c r="H643" s="5">
        <f t="shared" si="111"/>
        <v>-1.2244184012594019E-3</v>
      </c>
      <c r="I643" s="3">
        <f t="shared" ref="I643:I706" si="113">IFERROR((H643-AVERAGEA(H643:H859))/_xlfn.STDEV.S(H643:H859), " ")</f>
        <v>9.7313591456489962E-2</v>
      </c>
      <c r="J643" s="5">
        <f t="shared" si="112"/>
        <v>-2.4488368025188134E-3</v>
      </c>
      <c r="K643" s="3">
        <f t="shared" ref="K643:K706" si="114">IFERROR((J643-AVERAGEA(J643:J859))/_xlfn.STDEV.S(J643:J859), " ")</f>
        <v>0.6226109722708062</v>
      </c>
      <c r="L643" s="3">
        <f t="shared" ref="L643:L706" si="115">(C643-AVERAGEA(C643:C859))/_xlfn.STDEV.S(C643:C859)</f>
        <v>1.4454511045503617</v>
      </c>
    </row>
    <row r="644" spans="1:12" x14ac:dyDescent="0.25">
      <c r="A644" s="26">
        <v>56</v>
      </c>
      <c r="B644">
        <v>55.9</v>
      </c>
      <c r="C644">
        <v>2.63</v>
      </c>
      <c r="D644" s="2">
        <v>44417</v>
      </c>
      <c r="E644">
        <v>56.12</v>
      </c>
      <c r="F644">
        <v>-0.12</v>
      </c>
      <c r="G644">
        <v>-0.21999999999999886</v>
      </c>
      <c r="H644" s="5">
        <f t="shared" ref="H644:H707" si="116">IFERROR(F644/E644,"")</f>
        <v>-2.1382751247327157E-3</v>
      </c>
      <c r="I644" s="3">
        <f t="shared" si="113"/>
        <v>-0.10436265326813059</v>
      </c>
      <c r="J644" s="5">
        <f t="shared" ref="J644:J707" si="117">IFERROR(G644/E644,"")</f>
        <v>-3.9201710620099589E-3</v>
      </c>
      <c r="K644" s="3">
        <f t="shared" si="114"/>
        <v>-0.12921739934879292</v>
      </c>
      <c r="L644" s="3">
        <f t="shared" si="115"/>
        <v>2.9667792805270792</v>
      </c>
    </row>
    <row r="645" spans="1:12" x14ac:dyDescent="0.25">
      <c r="A645" s="26">
        <v>56.72</v>
      </c>
      <c r="B645">
        <v>56.54</v>
      </c>
      <c r="C645">
        <v>2.23</v>
      </c>
      <c r="D645" s="2">
        <v>44414</v>
      </c>
      <c r="E645">
        <v>56.73</v>
      </c>
      <c r="F645">
        <v>-0.01</v>
      </c>
      <c r="G645">
        <v>-0.18999999999999773</v>
      </c>
      <c r="H645" s="5">
        <f t="shared" si="116"/>
        <v>-1.7627357659086903E-4</v>
      </c>
      <c r="I645" s="3">
        <f t="shared" si="113"/>
        <v>0.30996906058835633</v>
      </c>
      <c r="J645" s="5">
        <f t="shared" si="117"/>
        <v>-3.3491979552264716E-3</v>
      </c>
      <c r="K645" s="3">
        <f t="shared" si="114"/>
        <v>0.16872663407889327</v>
      </c>
      <c r="L645" s="3">
        <f t="shared" si="115"/>
        <v>1.7630495321327313</v>
      </c>
    </row>
    <row r="646" spans="1:12" x14ac:dyDescent="0.25">
      <c r="A646" s="26">
        <v>54.84</v>
      </c>
      <c r="B646">
        <v>54.71</v>
      </c>
      <c r="C646">
        <v>2.37</v>
      </c>
      <c r="D646" s="2">
        <v>44413</v>
      </c>
      <c r="E646">
        <v>54.86</v>
      </c>
      <c r="F646">
        <v>-0.02</v>
      </c>
      <c r="G646">
        <v>-0.14999999999999858</v>
      </c>
      <c r="H646" s="5">
        <f t="shared" si="116"/>
        <v>-3.6456434560699967E-4</v>
      </c>
      <c r="I646" s="3">
        <f t="shared" si="113"/>
        <v>0.27575587053031925</v>
      </c>
      <c r="J646" s="5">
        <f t="shared" si="117"/>
        <v>-2.7342325920524714E-3</v>
      </c>
      <c r="K646" s="3">
        <f t="shared" si="114"/>
        <v>0.48863586067683218</v>
      </c>
      <c r="L646" s="3">
        <f t="shared" si="115"/>
        <v>2.2363715698972251</v>
      </c>
    </row>
    <row r="647" spans="1:12" x14ac:dyDescent="0.25">
      <c r="A647" s="26">
        <v>55</v>
      </c>
      <c r="B647">
        <v>54.4</v>
      </c>
      <c r="C647">
        <v>3.61</v>
      </c>
      <c r="D647" s="2">
        <v>44412</v>
      </c>
      <c r="E647">
        <v>54.63</v>
      </c>
      <c r="F647">
        <v>0.37</v>
      </c>
      <c r="G647">
        <v>-0.23000000000000398</v>
      </c>
      <c r="H647" s="5">
        <f t="shared" si="116"/>
        <v>6.7728354384038068E-3</v>
      </c>
      <c r="I647" s="3">
        <f t="shared" si="113"/>
        <v>1.7737925987175747</v>
      </c>
      <c r="J647" s="5">
        <f t="shared" si="117"/>
        <v>-4.2101409481970341E-3</v>
      </c>
      <c r="K647" s="3">
        <f t="shared" si="114"/>
        <v>-0.25506981925518152</v>
      </c>
      <c r="L647" s="3">
        <f t="shared" si="115"/>
        <v>6.3158471331412551</v>
      </c>
    </row>
    <row r="648" spans="1:12" x14ac:dyDescent="0.25">
      <c r="A648" s="26">
        <v>54.17</v>
      </c>
      <c r="B648">
        <v>54.01</v>
      </c>
      <c r="C648">
        <v>3.24</v>
      </c>
      <c r="D648" s="2">
        <v>44411</v>
      </c>
      <c r="E648">
        <v>54.11</v>
      </c>
      <c r="F648">
        <v>0.06</v>
      </c>
      <c r="G648">
        <v>-0.10000000000000142</v>
      </c>
      <c r="H648" s="5">
        <f t="shared" si="116"/>
        <v>1.1088523378303455E-3</v>
      </c>
      <c r="I648" s="3">
        <f t="shared" si="113"/>
        <v>0.57881951844948565</v>
      </c>
      <c r="J648" s="5">
        <f t="shared" si="117"/>
        <v>-1.8480872297172689E-3</v>
      </c>
      <c r="K648" s="3">
        <f t="shared" si="114"/>
        <v>0.94791989803311294</v>
      </c>
      <c r="L648" s="3">
        <f t="shared" si="115"/>
        <v>5.6624514554697472</v>
      </c>
    </row>
    <row r="649" spans="1:12" x14ac:dyDescent="0.25">
      <c r="A649" s="26">
        <v>54.6</v>
      </c>
      <c r="B649">
        <v>54.52</v>
      </c>
      <c r="C649">
        <v>1.81</v>
      </c>
      <c r="D649" s="2">
        <v>44410</v>
      </c>
      <c r="E649">
        <v>54.74</v>
      </c>
      <c r="F649">
        <v>-0.14000000000000001</v>
      </c>
      <c r="G649">
        <v>-0.21999999999999886</v>
      </c>
      <c r="H649" s="5">
        <f t="shared" si="116"/>
        <v>-2.5575447570332483E-3</v>
      </c>
      <c r="I649" s="3">
        <f t="shared" si="113"/>
        <v>-0.17665024648500685</v>
      </c>
      <c r="J649" s="5">
        <f t="shared" si="117"/>
        <v>-4.0189989039093686E-3</v>
      </c>
      <c r="K649" s="3">
        <f t="shared" si="114"/>
        <v>-0.14715827261996267</v>
      </c>
      <c r="L649" s="3">
        <f t="shared" si="115"/>
        <v>0.59607102699250036</v>
      </c>
    </row>
    <row r="650" spans="1:12" x14ac:dyDescent="0.25">
      <c r="A650" s="26">
        <v>53</v>
      </c>
      <c r="B650">
        <v>52.99</v>
      </c>
      <c r="C650">
        <v>1.53</v>
      </c>
      <c r="D650" s="2">
        <v>44407</v>
      </c>
      <c r="E650">
        <v>53.16</v>
      </c>
      <c r="F650">
        <v>-0.16</v>
      </c>
      <c r="G650">
        <v>-0.1699999999999946</v>
      </c>
      <c r="H650" s="5">
        <f t="shared" si="116"/>
        <v>-3.0097817908201659E-3</v>
      </c>
      <c r="I650" s="3">
        <f t="shared" si="113"/>
        <v>-0.26904792261449456</v>
      </c>
      <c r="J650" s="5">
        <f t="shared" si="117"/>
        <v>-3.1978931527463245E-3</v>
      </c>
      <c r="K650" s="3">
        <f t="shared" si="114"/>
        <v>0.27339215203863398</v>
      </c>
      <c r="L650" s="3">
        <f t="shared" si="115"/>
        <v>-0.48600779541526129</v>
      </c>
    </row>
    <row r="651" spans="1:12" x14ac:dyDescent="0.25">
      <c r="A651" s="26">
        <v>54.02</v>
      </c>
      <c r="B651">
        <v>54.01</v>
      </c>
      <c r="C651">
        <v>1.45</v>
      </c>
      <c r="D651" s="2">
        <v>44406</v>
      </c>
      <c r="E651">
        <v>54.11</v>
      </c>
      <c r="F651">
        <v>-0.09</v>
      </c>
      <c r="G651">
        <v>-0.10000000000000142</v>
      </c>
      <c r="H651" s="5">
        <f t="shared" si="116"/>
        <v>-1.6632785067455184E-3</v>
      </c>
      <c r="I651" s="3">
        <f t="shared" si="113"/>
        <v>-1.564851074457505E-3</v>
      </c>
      <c r="J651" s="5">
        <f t="shared" si="117"/>
        <v>-1.8480872297172689E-3</v>
      </c>
      <c r="K651" s="3">
        <f t="shared" si="114"/>
        <v>0.9549910811146739</v>
      </c>
      <c r="L651" s="3">
        <f t="shared" si="115"/>
        <v>-0.7982961485192881</v>
      </c>
    </row>
    <row r="652" spans="1:12" x14ac:dyDescent="0.25">
      <c r="A652" s="26">
        <v>53.45</v>
      </c>
      <c r="B652">
        <v>53.32</v>
      </c>
      <c r="C652">
        <v>1.74</v>
      </c>
      <c r="D652" s="2">
        <v>44405</v>
      </c>
      <c r="E652">
        <v>53.45</v>
      </c>
      <c r="F652">
        <v>0</v>
      </c>
      <c r="G652">
        <v>-0.13000000000000256</v>
      </c>
      <c r="H652" s="5">
        <f t="shared" si="116"/>
        <v>0</v>
      </c>
      <c r="I652" s="3">
        <f t="shared" si="113"/>
        <v>0.34564586980985906</v>
      </c>
      <c r="J652" s="5">
        <f t="shared" si="117"/>
        <v>-2.4321796071094959E-3</v>
      </c>
      <c r="K652" s="3">
        <f t="shared" si="114"/>
        <v>0.67320235523221039</v>
      </c>
      <c r="L652" s="3">
        <f t="shared" si="115"/>
        <v>0.3116848758420519</v>
      </c>
    </row>
    <row r="653" spans="1:12" x14ac:dyDescent="0.25">
      <c r="A653" s="26">
        <v>52.8</v>
      </c>
      <c r="B653">
        <v>52.91</v>
      </c>
      <c r="C653">
        <v>1.25</v>
      </c>
      <c r="D653" s="2">
        <v>44404</v>
      </c>
      <c r="E653">
        <v>53.03</v>
      </c>
      <c r="F653">
        <v>-0.23</v>
      </c>
      <c r="G653">
        <v>-0.12000000000000455</v>
      </c>
      <c r="H653" s="5">
        <f t="shared" si="116"/>
        <v>-4.3371676409579485E-3</v>
      </c>
      <c r="I653" s="3">
        <f t="shared" si="113"/>
        <v>-0.49975916412626648</v>
      </c>
      <c r="J653" s="5">
        <f t="shared" si="117"/>
        <v>-2.262870073543363E-3</v>
      </c>
      <c r="K653" s="3">
        <f t="shared" si="114"/>
        <v>0.76266061772844984</v>
      </c>
      <c r="L653" s="3">
        <f t="shared" si="115"/>
        <v>-1.5298812992258815</v>
      </c>
    </row>
    <row r="654" spans="1:12" x14ac:dyDescent="0.25">
      <c r="A654" s="26">
        <v>51.79</v>
      </c>
      <c r="B654">
        <v>51.72</v>
      </c>
      <c r="C654">
        <v>1.64</v>
      </c>
      <c r="D654" s="2">
        <v>44403</v>
      </c>
      <c r="E654">
        <v>51.85</v>
      </c>
      <c r="F654">
        <v>-0.06</v>
      </c>
      <c r="G654">
        <v>-0.13000000000000256</v>
      </c>
      <c r="H654" s="5">
        <f t="shared" si="116"/>
        <v>-1.1571841851494694E-3</v>
      </c>
      <c r="I654" s="3">
        <f t="shared" si="113"/>
        <v>0.11909539931925782</v>
      </c>
      <c r="J654" s="5">
        <f t="shared" si="117"/>
        <v>-2.5072324011572336E-3</v>
      </c>
      <c r="K654" s="3">
        <f t="shared" si="114"/>
        <v>0.64868495317382313</v>
      </c>
      <c r="L654" s="3">
        <f t="shared" si="115"/>
        <v>-6.5573916952372344E-2</v>
      </c>
    </row>
    <row r="655" spans="1:12" x14ac:dyDescent="0.25">
      <c r="A655" s="26">
        <v>50.13</v>
      </c>
      <c r="B655">
        <v>50.14</v>
      </c>
      <c r="C655">
        <v>1.43</v>
      </c>
      <c r="D655" s="2">
        <v>44400</v>
      </c>
      <c r="E655">
        <v>50.28</v>
      </c>
      <c r="F655">
        <v>-0.15</v>
      </c>
      <c r="G655">
        <v>-0.14000000000000057</v>
      </c>
      <c r="H655" s="5">
        <f t="shared" si="116"/>
        <v>-2.9832935560859188E-3</v>
      </c>
      <c r="I655" s="3">
        <f t="shared" si="113"/>
        <v>-0.22747124447200406</v>
      </c>
      <c r="J655" s="5">
        <f t="shared" si="117"/>
        <v>-2.7844073190135357E-3</v>
      </c>
      <c r="K655" s="3">
        <f t="shared" si="114"/>
        <v>0.5165481763667642</v>
      </c>
      <c r="L655" s="3">
        <f t="shared" si="115"/>
        <v>-0.8553751884499543</v>
      </c>
    </row>
    <row r="656" spans="1:12" x14ac:dyDescent="0.25">
      <c r="A656" s="26">
        <v>51.44</v>
      </c>
      <c r="B656">
        <v>51.46</v>
      </c>
      <c r="C656">
        <v>1.35</v>
      </c>
      <c r="D656" s="2">
        <v>44399</v>
      </c>
      <c r="E656">
        <v>51.57</v>
      </c>
      <c r="F656">
        <v>-0.13</v>
      </c>
      <c r="G656">
        <v>-0.10999999999999943</v>
      </c>
      <c r="H656" s="5">
        <f t="shared" si="116"/>
        <v>-2.5208454527826255E-3</v>
      </c>
      <c r="I656" s="3">
        <f t="shared" si="113"/>
        <v>-0.13304553886652679</v>
      </c>
      <c r="J656" s="5">
        <f t="shared" si="117"/>
        <v>-2.1330230754314414E-3</v>
      </c>
      <c r="K656" s="3">
        <f t="shared" si="114"/>
        <v>0.83664216554703841</v>
      </c>
      <c r="L656" s="3">
        <f t="shared" si="115"/>
        <v>-1.1511256105743692</v>
      </c>
    </row>
    <row r="657" spans="1:12" x14ac:dyDescent="0.25">
      <c r="A657" s="26">
        <v>51.7</v>
      </c>
      <c r="B657">
        <v>51.54</v>
      </c>
      <c r="C657">
        <v>1.53</v>
      </c>
      <c r="D657" s="2">
        <v>44398</v>
      </c>
      <c r="E657">
        <v>51.69</v>
      </c>
      <c r="F657">
        <v>0.01</v>
      </c>
      <c r="G657">
        <v>-0.14999999999999858</v>
      </c>
      <c r="H657" s="5">
        <f t="shared" si="116"/>
        <v>1.9346101760495262E-4</v>
      </c>
      <c r="I657" s="3">
        <f t="shared" si="113"/>
        <v>0.39673581137800712</v>
      </c>
      <c r="J657" s="5">
        <f t="shared" si="117"/>
        <v>-2.9019152640742617E-3</v>
      </c>
      <c r="K657" s="3">
        <f t="shared" si="114"/>
        <v>0.47296923077470715</v>
      </c>
      <c r="L657" s="3">
        <f t="shared" si="115"/>
        <v>-0.46766412486791981</v>
      </c>
    </row>
    <row r="658" spans="1:12" x14ac:dyDescent="0.25">
      <c r="A658" s="26">
        <v>51.74</v>
      </c>
      <c r="B658">
        <v>51.96</v>
      </c>
      <c r="C658">
        <v>1.07</v>
      </c>
      <c r="D658" s="2">
        <v>44397</v>
      </c>
      <c r="E658">
        <v>52.01</v>
      </c>
      <c r="F658">
        <v>-0.27</v>
      </c>
      <c r="G658">
        <v>-4.9999999999997158E-2</v>
      </c>
      <c r="H658" s="5">
        <f t="shared" si="116"/>
        <v>-5.1913093635839267E-3</v>
      </c>
      <c r="I658" s="3">
        <f t="shared" si="113"/>
        <v>-0.6443399627370674</v>
      </c>
      <c r="J658" s="5">
        <f t="shared" si="117"/>
        <v>-9.613535858488206E-4</v>
      </c>
      <c r="K658" s="3">
        <f t="shared" si="114"/>
        <v>1.4134696704645557</v>
      </c>
      <c r="L658" s="3">
        <f t="shared" si="115"/>
        <v>-2.1958048839583348</v>
      </c>
    </row>
    <row r="659" spans="1:12" x14ac:dyDescent="0.25">
      <c r="A659" s="26">
        <v>53.55</v>
      </c>
      <c r="B659">
        <v>53.26</v>
      </c>
      <c r="C659">
        <v>1.43</v>
      </c>
      <c r="D659" s="2">
        <v>44396</v>
      </c>
      <c r="E659">
        <v>53.33</v>
      </c>
      <c r="F659">
        <v>0.22</v>
      </c>
      <c r="G659">
        <v>-7.0000000000000284E-2</v>
      </c>
      <c r="H659" s="5">
        <f t="shared" si="116"/>
        <v>4.1252578286142885E-3</v>
      </c>
      <c r="I659" s="3">
        <f t="shared" si="113"/>
        <v>1.1599410610114778</v>
      </c>
      <c r="J659" s="5">
        <f t="shared" si="117"/>
        <v>-1.3125820363772789E-3</v>
      </c>
      <c r="K659" s="3">
        <f t="shared" si="114"/>
        <v>1.2578358251059136</v>
      </c>
      <c r="L659" s="3">
        <f t="shared" si="115"/>
        <v>-0.86898543006309292</v>
      </c>
    </row>
    <row r="660" spans="1:12" x14ac:dyDescent="0.25">
      <c r="A660" s="26">
        <v>53.33</v>
      </c>
      <c r="B660">
        <v>53.33</v>
      </c>
      <c r="C660">
        <v>1.42</v>
      </c>
      <c r="D660" s="2">
        <v>44393</v>
      </c>
      <c r="E660">
        <v>53.46</v>
      </c>
      <c r="F660">
        <v>-0.13</v>
      </c>
      <c r="G660">
        <v>-0.13000000000000256</v>
      </c>
      <c r="H660" s="5">
        <f t="shared" si="116"/>
        <v>-2.4317246539468764E-3</v>
      </c>
      <c r="I660" s="3">
        <f t="shared" si="113"/>
        <v>-0.10718276176937586</v>
      </c>
      <c r="J660" s="5">
        <f t="shared" si="117"/>
        <v>-2.4317246539469241E-3</v>
      </c>
      <c r="K660" s="3">
        <f t="shared" si="114"/>
        <v>0.72607813818635747</v>
      </c>
      <c r="L660" s="3">
        <f t="shared" si="115"/>
        <v>-0.91474064251299492</v>
      </c>
    </row>
    <row r="661" spans="1:12" x14ac:dyDescent="0.25">
      <c r="A661" s="26">
        <v>52.28</v>
      </c>
      <c r="B661">
        <v>52.22</v>
      </c>
      <c r="C661">
        <v>1.43</v>
      </c>
      <c r="D661" s="2">
        <v>44392</v>
      </c>
      <c r="E661">
        <v>52.33</v>
      </c>
      <c r="F661">
        <v>-0.05</v>
      </c>
      <c r="G661">
        <v>-0.10999999999999943</v>
      </c>
      <c r="H661" s="5">
        <f t="shared" si="116"/>
        <v>-9.5547487101089253E-4</v>
      </c>
      <c r="I661" s="3">
        <f t="shared" si="113"/>
        <v>0.17916227293610176</v>
      </c>
      <c r="J661" s="5">
        <f t="shared" si="117"/>
        <v>-2.1020447162239525E-3</v>
      </c>
      <c r="K661" s="3">
        <f t="shared" si="114"/>
        <v>0.89161305759608622</v>
      </c>
      <c r="L661" s="3">
        <f t="shared" si="115"/>
        <v>-0.88525646633428934</v>
      </c>
    </row>
    <row r="662" spans="1:12" x14ac:dyDescent="0.25">
      <c r="A662" s="26">
        <v>52</v>
      </c>
      <c r="B662">
        <v>51.94</v>
      </c>
      <c r="C662">
        <v>1.58</v>
      </c>
      <c r="D662" s="2">
        <v>44391</v>
      </c>
      <c r="E662">
        <v>52.04</v>
      </c>
      <c r="F662">
        <v>-0.04</v>
      </c>
      <c r="G662">
        <v>-0.10000000000000142</v>
      </c>
      <c r="H662" s="5">
        <f t="shared" si="116"/>
        <v>-7.6863950807071484E-4</v>
      </c>
      <c r="I662" s="3">
        <f t="shared" si="113"/>
        <v>0.20798757541792212</v>
      </c>
      <c r="J662" s="5">
        <f t="shared" si="117"/>
        <v>-1.9215987701768145E-3</v>
      </c>
      <c r="K662" s="3">
        <f t="shared" si="114"/>
        <v>0.9839547535843397</v>
      </c>
      <c r="L662" s="3">
        <f t="shared" si="115"/>
        <v>-0.32648293401752199</v>
      </c>
    </row>
    <row r="663" spans="1:12" x14ac:dyDescent="0.25">
      <c r="A663" s="26">
        <v>52.44</v>
      </c>
      <c r="B663">
        <v>52.21</v>
      </c>
      <c r="C663">
        <v>1.56</v>
      </c>
      <c r="D663" s="2">
        <v>44390</v>
      </c>
      <c r="E663">
        <v>52.32</v>
      </c>
      <c r="F663">
        <v>0.12</v>
      </c>
      <c r="G663">
        <v>-0.10999999999999943</v>
      </c>
      <c r="H663" s="5">
        <f t="shared" si="116"/>
        <v>2.2935779816513758E-3</v>
      </c>
      <c r="I663" s="3">
        <f t="shared" si="113"/>
        <v>0.79970027770120011</v>
      </c>
      <c r="J663" s="5">
        <f t="shared" si="117"/>
        <v>-2.1024464831804171E-3</v>
      </c>
      <c r="K663" s="3">
        <f t="shared" si="114"/>
        <v>0.90503735780937011</v>
      </c>
      <c r="L663" s="3">
        <f t="shared" si="115"/>
        <v>-0.40371991989885808</v>
      </c>
    </row>
    <row r="664" spans="1:12" x14ac:dyDescent="0.25">
      <c r="A664" s="26">
        <v>52.5</v>
      </c>
      <c r="B664">
        <v>52.57</v>
      </c>
      <c r="C664">
        <v>1.94</v>
      </c>
      <c r="D664" s="2">
        <v>44389</v>
      </c>
      <c r="E664">
        <v>52.75</v>
      </c>
      <c r="F664">
        <v>-0.25</v>
      </c>
      <c r="G664">
        <v>-0.17999999999999972</v>
      </c>
      <c r="H664" s="5">
        <f t="shared" si="116"/>
        <v>-4.7393364928909956E-3</v>
      </c>
      <c r="I664" s="3">
        <f t="shared" si="113"/>
        <v>-0.55022787505982118</v>
      </c>
      <c r="J664" s="5">
        <f t="shared" si="117"/>
        <v>-3.4123222748815114E-3</v>
      </c>
      <c r="K664" s="3">
        <f t="shared" si="114"/>
        <v>0.26812387197896881</v>
      </c>
      <c r="L664" s="3">
        <f t="shared" si="115"/>
        <v>1.0293134239610329</v>
      </c>
    </row>
    <row r="665" spans="1:12" x14ac:dyDescent="0.25">
      <c r="A665" s="26">
        <v>53.85</v>
      </c>
      <c r="B665">
        <v>53.42</v>
      </c>
      <c r="C665">
        <v>1.57</v>
      </c>
      <c r="D665" s="2">
        <v>44386</v>
      </c>
      <c r="E665">
        <v>53.46</v>
      </c>
      <c r="F665">
        <v>0.39</v>
      </c>
      <c r="G665">
        <v>-3.9999999999999147E-2</v>
      </c>
      <c r="H665" s="5">
        <f t="shared" si="116"/>
        <v>7.2951739618406283E-3</v>
      </c>
      <c r="I665" s="3">
        <f t="shared" si="113"/>
        <v>1.7389148359377387</v>
      </c>
      <c r="J665" s="5">
        <f t="shared" si="117"/>
        <v>-7.4822297044517668E-4</v>
      </c>
      <c r="K665" s="3">
        <f t="shared" si="114"/>
        <v>1.5426997202073405</v>
      </c>
      <c r="L665" s="3">
        <f t="shared" si="115"/>
        <v>-0.35359627695233459</v>
      </c>
    </row>
    <row r="666" spans="1:12" x14ac:dyDescent="0.25">
      <c r="A666" s="26">
        <v>51.09</v>
      </c>
      <c r="B666">
        <v>51.02</v>
      </c>
      <c r="C666">
        <v>1.54</v>
      </c>
      <c r="D666" s="2">
        <v>44385</v>
      </c>
      <c r="E666">
        <v>51.14</v>
      </c>
      <c r="F666">
        <v>-0.05</v>
      </c>
      <c r="G666">
        <v>-0.11999999999999744</v>
      </c>
      <c r="H666" s="5">
        <f t="shared" si="116"/>
        <v>-9.7770825185764573E-4</v>
      </c>
      <c r="I666" s="3">
        <f t="shared" si="113"/>
        <v>0.18595623168741648</v>
      </c>
      <c r="J666" s="5">
        <f t="shared" si="117"/>
        <v>-2.3464998044582996E-3</v>
      </c>
      <c r="K666" s="3">
        <f t="shared" si="114"/>
        <v>0.7866730792882467</v>
      </c>
      <c r="L666" s="3">
        <f t="shared" si="115"/>
        <v>-0.47203520931956972</v>
      </c>
    </row>
    <row r="667" spans="1:12" x14ac:dyDescent="0.25">
      <c r="A667" s="26">
        <v>53.98</v>
      </c>
      <c r="B667">
        <v>53.89</v>
      </c>
      <c r="C667">
        <v>1.61</v>
      </c>
      <c r="D667" s="2">
        <v>44384</v>
      </c>
      <c r="E667">
        <v>53.97</v>
      </c>
      <c r="F667">
        <v>0.01</v>
      </c>
      <c r="G667">
        <v>-7.9999999999998295E-2</v>
      </c>
      <c r="H667" s="5">
        <f t="shared" si="116"/>
        <v>1.8528812303131371E-4</v>
      </c>
      <c r="I667" s="3">
        <f t="shared" si="113"/>
        <v>0.4119217310425986</v>
      </c>
      <c r="J667" s="5">
        <f t="shared" si="117"/>
        <v>-1.482304984250478E-3</v>
      </c>
      <c r="K667" s="3">
        <f t="shared" si="114"/>
        <v>1.2090349229497908</v>
      </c>
      <c r="L667" s="3">
        <f t="shared" si="115"/>
        <v>-0.20327742976686217</v>
      </c>
    </row>
    <row r="668" spans="1:12" x14ac:dyDescent="0.25">
      <c r="A668" s="26">
        <v>57.15</v>
      </c>
      <c r="B668">
        <v>57.13</v>
      </c>
      <c r="C668">
        <v>1.44</v>
      </c>
      <c r="D668" s="2">
        <v>44383</v>
      </c>
      <c r="E668">
        <v>57.19</v>
      </c>
      <c r="F668">
        <v>-0.04</v>
      </c>
      <c r="G668">
        <v>-5.9999999999995168E-2</v>
      </c>
      <c r="H668" s="5">
        <f t="shared" si="116"/>
        <v>-6.9942297604476313E-4</v>
      </c>
      <c r="I668" s="3">
        <f t="shared" si="113"/>
        <v>0.24248156272863577</v>
      </c>
      <c r="J668" s="5">
        <f t="shared" si="117"/>
        <v>-1.0491344640670601E-3</v>
      </c>
      <c r="K668" s="3">
        <f t="shared" si="114"/>
        <v>1.4278438722414968</v>
      </c>
      <c r="L668" s="3">
        <f t="shared" si="115"/>
        <v>-0.837906992322341</v>
      </c>
    </row>
    <row r="669" spans="1:12" x14ac:dyDescent="0.25">
      <c r="A669" s="26">
        <v>57.91</v>
      </c>
      <c r="B669">
        <v>57.93</v>
      </c>
      <c r="C669">
        <v>1.31</v>
      </c>
      <c r="D669" s="2">
        <v>44382</v>
      </c>
      <c r="E669">
        <v>58.02</v>
      </c>
      <c r="F669">
        <v>-0.11</v>
      </c>
      <c r="G669">
        <v>-9.0000000000003411E-2</v>
      </c>
      <c r="H669" s="5">
        <f t="shared" si="116"/>
        <v>-1.8958979662185452E-3</v>
      </c>
      <c r="I669" s="3">
        <f t="shared" si="113"/>
        <v>2.38370878856368E-2</v>
      </c>
      <c r="J669" s="5">
        <f t="shared" si="117"/>
        <v>-1.5511892450879594E-3</v>
      </c>
      <c r="K669" s="3">
        <f t="shared" si="114"/>
        <v>1.2000002624967308</v>
      </c>
      <c r="L669" s="3">
        <f t="shared" si="115"/>
        <v>-1.3265367553762162</v>
      </c>
    </row>
    <row r="670" spans="1:12" x14ac:dyDescent="0.25">
      <c r="A670" s="26">
        <v>57.11</v>
      </c>
      <c r="B670">
        <v>57.11</v>
      </c>
      <c r="C670">
        <v>1.41</v>
      </c>
      <c r="D670" s="2">
        <v>44379</v>
      </c>
      <c r="E670">
        <v>57.17</v>
      </c>
      <c r="F670">
        <v>-0.06</v>
      </c>
      <c r="G670">
        <v>-6.0000000000002274E-2</v>
      </c>
      <c r="H670" s="5">
        <f t="shared" si="116"/>
        <v>-1.0495014867937728E-3</v>
      </c>
      <c r="I670" s="3">
        <f t="shared" si="113"/>
        <v>0.16632157157948727</v>
      </c>
      <c r="J670" s="5">
        <f t="shared" si="117"/>
        <v>-1.0495014867938127E-3</v>
      </c>
      <c r="K670" s="3">
        <f t="shared" si="114"/>
        <v>1.4499588332013087</v>
      </c>
      <c r="L670" s="3">
        <f t="shared" si="115"/>
        <v>-0.9637301112934934</v>
      </c>
    </row>
    <row r="671" spans="1:12" x14ac:dyDescent="0.25">
      <c r="A671" s="26">
        <v>58.01</v>
      </c>
      <c r="B671">
        <v>57.81</v>
      </c>
      <c r="C671">
        <v>1.44</v>
      </c>
      <c r="D671" s="2">
        <v>44378</v>
      </c>
      <c r="E671">
        <v>57.85</v>
      </c>
      <c r="F671">
        <v>0.16</v>
      </c>
      <c r="G671">
        <v>-3.9999999999999147E-2</v>
      </c>
      <c r="H671" s="5">
        <f t="shared" si="116"/>
        <v>2.7657735522904061E-3</v>
      </c>
      <c r="I671" s="3">
        <f t="shared" si="113"/>
        <v>0.87153939097852628</v>
      </c>
      <c r="J671" s="5">
        <f t="shared" si="117"/>
        <v>-6.9144338807258679E-4</v>
      </c>
      <c r="K671" s="3">
        <f t="shared" si="114"/>
        <v>1.6352680913749389</v>
      </c>
      <c r="L671" s="3">
        <f t="shared" si="115"/>
        <v>-0.85036619902588606</v>
      </c>
    </row>
    <row r="672" spans="1:12" x14ac:dyDescent="0.25">
      <c r="A672" s="26">
        <v>55.57</v>
      </c>
      <c r="B672">
        <v>55.64</v>
      </c>
      <c r="C672">
        <v>1.26</v>
      </c>
      <c r="D672" s="2">
        <v>44377</v>
      </c>
      <c r="E672">
        <v>55.77</v>
      </c>
      <c r="F672">
        <v>-0.2</v>
      </c>
      <c r="G672">
        <v>-0.13000000000000256</v>
      </c>
      <c r="H672" s="5">
        <f t="shared" si="116"/>
        <v>-3.5861574323112783E-3</v>
      </c>
      <c r="I672" s="3">
        <f t="shared" si="113"/>
        <v>-0.29806128994114539</v>
      </c>
      <c r="J672" s="5">
        <f t="shared" si="117"/>
        <v>-2.3310023310023765E-3</v>
      </c>
      <c r="K672" s="3">
        <f t="shared" si="114"/>
        <v>0.84507541399603037</v>
      </c>
      <c r="L672" s="3">
        <f t="shared" si="115"/>
        <v>-1.5313917015276677</v>
      </c>
    </row>
    <row r="673" spans="1:12" x14ac:dyDescent="0.25">
      <c r="A673" s="26">
        <v>55.39</v>
      </c>
      <c r="B673">
        <v>55.39</v>
      </c>
      <c r="C673">
        <v>1.32</v>
      </c>
      <c r="D673" s="2">
        <v>44376</v>
      </c>
      <c r="E673">
        <v>55.44</v>
      </c>
      <c r="F673">
        <v>-0.05</v>
      </c>
      <c r="G673">
        <v>-4.9999999999997158E-2</v>
      </c>
      <c r="H673" s="5">
        <f t="shared" si="116"/>
        <v>-9.0187590187590198E-4</v>
      </c>
      <c r="I673" s="3">
        <f t="shared" si="113"/>
        <v>0.19294204470848111</v>
      </c>
      <c r="J673" s="5">
        <f t="shared" si="117"/>
        <v>-9.018759018758507E-4</v>
      </c>
      <c r="K673" s="3">
        <f t="shared" si="114"/>
        <v>1.5392521551598686</v>
      </c>
      <c r="L673" s="3">
        <f t="shared" si="115"/>
        <v>-1.3217730083911605</v>
      </c>
    </row>
    <row r="674" spans="1:12" x14ac:dyDescent="0.25">
      <c r="A674" s="26">
        <v>55.06</v>
      </c>
      <c r="B674">
        <v>55.05</v>
      </c>
      <c r="C674">
        <v>1.27</v>
      </c>
      <c r="D674" s="2">
        <v>44375</v>
      </c>
      <c r="E674">
        <v>55.15</v>
      </c>
      <c r="F674">
        <v>-0.09</v>
      </c>
      <c r="G674">
        <v>-0.10000000000000142</v>
      </c>
      <c r="H674" s="5">
        <f t="shared" si="116"/>
        <v>-1.6319129646418858E-3</v>
      </c>
      <c r="I674" s="3">
        <f t="shared" si="113"/>
        <v>5.3698256715510713E-2</v>
      </c>
      <c r="J674" s="5">
        <f t="shared" si="117"/>
        <v>-1.8132366273798989E-3</v>
      </c>
      <c r="K674" s="3">
        <f t="shared" si="114"/>
        <v>1.0911115322336129</v>
      </c>
      <c r="L674" s="3">
        <f t="shared" si="115"/>
        <v>-1.5201188740673617</v>
      </c>
    </row>
    <row r="675" spans="1:12" x14ac:dyDescent="0.25">
      <c r="A675" s="26">
        <v>55.69</v>
      </c>
      <c r="B675">
        <v>55.32</v>
      </c>
      <c r="C675">
        <v>1.91</v>
      </c>
      <c r="D675" s="2">
        <v>44372</v>
      </c>
      <c r="E675">
        <v>55.48</v>
      </c>
      <c r="F675">
        <v>0.21</v>
      </c>
      <c r="G675">
        <v>-0.15999999999999659</v>
      </c>
      <c r="H675" s="5">
        <f t="shared" si="116"/>
        <v>3.785147801009373E-3</v>
      </c>
      <c r="I675" s="3">
        <f t="shared" si="113"/>
        <v>1.0273904896767907</v>
      </c>
      <c r="J675" s="5">
        <f t="shared" si="117"/>
        <v>-2.8839221341023179E-3</v>
      </c>
      <c r="K675" s="3">
        <f t="shared" si="114"/>
        <v>0.53152840740387042</v>
      </c>
      <c r="L675" s="3">
        <f t="shared" si="115"/>
        <v>0.87674632430013899</v>
      </c>
    </row>
    <row r="676" spans="1:12" x14ac:dyDescent="0.25">
      <c r="A676" s="26">
        <v>54.85</v>
      </c>
      <c r="B676">
        <v>54.64</v>
      </c>
      <c r="C676">
        <v>1.52</v>
      </c>
      <c r="D676" s="2">
        <v>44371</v>
      </c>
      <c r="E676">
        <v>54.78</v>
      </c>
      <c r="F676">
        <v>7.0000000000000007E-2</v>
      </c>
      <c r="G676">
        <v>-0.14000000000000057</v>
      </c>
      <c r="H676" s="5">
        <f t="shared" si="116"/>
        <v>1.2778386272362177E-3</v>
      </c>
      <c r="I676" s="3">
        <f t="shared" si="113"/>
        <v>0.57781928848738162</v>
      </c>
      <c r="J676" s="5">
        <f t="shared" si="117"/>
        <v>-2.5556772544724454E-3</v>
      </c>
      <c r="K676" s="3">
        <f t="shared" si="114"/>
        <v>0.67994550090015571</v>
      </c>
      <c r="L676" s="3">
        <f t="shared" si="115"/>
        <v>-0.58985503662481142</v>
      </c>
    </row>
    <row r="677" spans="1:12" x14ac:dyDescent="0.25">
      <c r="A677" s="26">
        <v>53.62</v>
      </c>
      <c r="B677">
        <v>53.62</v>
      </c>
      <c r="C677">
        <v>1.36</v>
      </c>
      <c r="D677" s="2">
        <v>44370</v>
      </c>
      <c r="E677">
        <v>53.79</v>
      </c>
      <c r="F677">
        <v>-0.17</v>
      </c>
      <c r="G677">
        <v>-0.17000000000000171</v>
      </c>
      <c r="H677" s="5">
        <f t="shared" si="116"/>
        <v>-3.1604387432608294E-3</v>
      </c>
      <c r="I677" s="3">
        <f t="shared" si="113"/>
        <v>-0.22689447108210267</v>
      </c>
      <c r="J677" s="5">
        <f t="shared" si="117"/>
        <v>-3.1604387432608611E-3</v>
      </c>
      <c r="K677" s="3">
        <f t="shared" si="114"/>
        <v>0.39650472444315882</v>
      </c>
      <c r="L677" s="3">
        <f t="shared" si="115"/>
        <v>-1.1879902415915786</v>
      </c>
    </row>
    <row r="678" spans="1:12" x14ac:dyDescent="0.25">
      <c r="A678" s="26">
        <v>52.97</v>
      </c>
      <c r="B678">
        <v>52.96</v>
      </c>
      <c r="C678">
        <v>1.33</v>
      </c>
      <c r="D678" s="2">
        <v>44369</v>
      </c>
      <c r="E678">
        <v>53.11</v>
      </c>
      <c r="F678">
        <v>-0.14000000000000001</v>
      </c>
      <c r="G678">
        <v>-0.14999999999999858</v>
      </c>
      <c r="H678" s="5">
        <f t="shared" si="116"/>
        <v>-2.6360384108454153E-3</v>
      </c>
      <c r="I678" s="3">
        <f t="shared" si="113"/>
        <v>-0.13547981642381354</v>
      </c>
      <c r="J678" s="5">
        <f t="shared" si="117"/>
        <v>-2.8243268687629182E-3</v>
      </c>
      <c r="K678" s="3">
        <f t="shared" si="114"/>
        <v>0.5591741573120651</v>
      </c>
      <c r="L678" s="3">
        <f t="shared" si="115"/>
        <v>-1.3125380290877577</v>
      </c>
    </row>
    <row r="679" spans="1:12" x14ac:dyDescent="0.25">
      <c r="A679" s="26">
        <v>52.09</v>
      </c>
      <c r="B679">
        <v>51.91</v>
      </c>
      <c r="C679">
        <v>1.47</v>
      </c>
      <c r="D679" s="2">
        <v>44368</v>
      </c>
      <c r="E679">
        <v>51.86</v>
      </c>
      <c r="F679">
        <v>0.23</v>
      </c>
      <c r="G679">
        <v>4.9999999999997158E-2</v>
      </c>
      <c r="H679" s="5">
        <f t="shared" si="116"/>
        <v>4.4350173544157349E-3</v>
      </c>
      <c r="I679" s="3">
        <f t="shared" si="113"/>
        <v>1.147712793898646</v>
      </c>
      <c r="J679" s="5">
        <f t="shared" si="117"/>
        <v>9.6413420748162667E-4</v>
      </c>
      <c r="K679" s="3">
        <f t="shared" si="114"/>
        <v>2.3083481304715274</v>
      </c>
      <c r="L679" s="3">
        <f t="shared" si="115"/>
        <v>-0.79088705899110046</v>
      </c>
    </row>
    <row r="680" spans="1:12" x14ac:dyDescent="0.25">
      <c r="A680" s="26">
        <v>51.51</v>
      </c>
      <c r="B680">
        <v>51.36</v>
      </c>
      <c r="C680">
        <v>1.41</v>
      </c>
      <c r="D680" s="2">
        <v>44365</v>
      </c>
      <c r="E680">
        <v>51.49</v>
      </c>
      <c r="F680">
        <v>0.02</v>
      </c>
      <c r="G680">
        <v>-0.13000000000000256</v>
      </c>
      <c r="H680" s="5">
        <f t="shared" si="116"/>
        <v>3.8842493688094777E-4</v>
      </c>
      <c r="I680" s="3">
        <f t="shared" si="113"/>
        <v>0.41700568062037696</v>
      </c>
      <c r="J680" s="5">
        <f t="shared" si="117"/>
        <v>-2.5247620897262098E-3</v>
      </c>
      <c r="K680" s="3">
        <f t="shared" si="114"/>
        <v>0.70094618396501818</v>
      </c>
      <c r="L680" s="3">
        <f t="shared" si="115"/>
        <v>-1.0149442622264619</v>
      </c>
    </row>
    <row r="681" spans="1:12" x14ac:dyDescent="0.25">
      <c r="A681" s="26">
        <v>50.84</v>
      </c>
      <c r="B681">
        <v>50.76</v>
      </c>
      <c r="C681">
        <v>1.38</v>
      </c>
      <c r="D681" s="2">
        <v>44364</v>
      </c>
      <c r="E681">
        <v>51</v>
      </c>
      <c r="F681">
        <v>-0.16</v>
      </c>
      <c r="G681">
        <v>-0.24000000000000199</v>
      </c>
      <c r="H681" s="5">
        <f t="shared" si="116"/>
        <v>-3.1372549019607842E-3</v>
      </c>
      <c r="I681" s="3">
        <f t="shared" si="113"/>
        <v>-0.22644842481629909</v>
      </c>
      <c r="J681" s="5">
        <f t="shared" si="117"/>
        <v>-4.7058823529412151E-3</v>
      </c>
      <c r="K681" s="3">
        <f t="shared" si="114"/>
        <v>-0.31911631202028418</v>
      </c>
      <c r="L681" s="3">
        <f t="shared" si="115"/>
        <v>-1.137765933892978</v>
      </c>
    </row>
    <row r="682" spans="1:12" x14ac:dyDescent="0.25">
      <c r="A682" s="26">
        <v>50.83</v>
      </c>
      <c r="B682">
        <v>50.82</v>
      </c>
      <c r="C682">
        <v>1.41</v>
      </c>
      <c r="D682" s="2">
        <v>44363</v>
      </c>
      <c r="E682">
        <v>50.96</v>
      </c>
      <c r="F682">
        <v>-0.13</v>
      </c>
      <c r="G682">
        <v>-0.14000000000000057</v>
      </c>
      <c r="H682" s="5">
        <f t="shared" si="116"/>
        <v>-2.5510204081632655E-3</v>
      </c>
      <c r="I682" s="3">
        <f t="shared" si="113"/>
        <v>-0.12576103785245926</v>
      </c>
      <c r="J682" s="5">
        <f t="shared" si="117"/>
        <v>-2.7472527472527583E-3</v>
      </c>
      <c r="K682" s="3">
        <f t="shared" si="114"/>
        <v>0.59128870838399616</v>
      </c>
      <c r="L682" s="3">
        <f t="shared" si="115"/>
        <v>-1.0344508639100236</v>
      </c>
    </row>
    <row r="683" spans="1:12" x14ac:dyDescent="0.25">
      <c r="A683" s="26">
        <v>51.18</v>
      </c>
      <c r="B683">
        <v>51.17</v>
      </c>
      <c r="C683">
        <v>1.33</v>
      </c>
      <c r="D683" s="2">
        <v>44362</v>
      </c>
      <c r="E683">
        <v>51.33</v>
      </c>
      <c r="F683">
        <v>-0.15</v>
      </c>
      <c r="G683">
        <v>-0.15999999999999659</v>
      </c>
      <c r="H683" s="5">
        <f t="shared" si="116"/>
        <v>-2.9222676797194622E-3</v>
      </c>
      <c r="I683" s="3">
        <f t="shared" si="113"/>
        <v>-0.19773542993422116</v>
      </c>
      <c r="J683" s="5">
        <f t="shared" si="117"/>
        <v>-3.1170855250340266E-3</v>
      </c>
      <c r="K683" s="3">
        <f t="shared" si="114"/>
        <v>0.42574835823353452</v>
      </c>
      <c r="L683" s="3">
        <f t="shared" si="115"/>
        <v>-1.3468731146131263</v>
      </c>
    </row>
    <row r="684" spans="1:12" x14ac:dyDescent="0.25">
      <c r="A684" s="26">
        <v>53.6</v>
      </c>
      <c r="B684">
        <v>53.5</v>
      </c>
      <c r="C684">
        <v>1.72</v>
      </c>
      <c r="D684" s="2">
        <v>44361</v>
      </c>
      <c r="E684">
        <v>53.64</v>
      </c>
      <c r="F684">
        <v>-0.04</v>
      </c>
      <c r="G684">
        <v>-0.14000000000000057</v>
      </c>
      <c r="H684" s="5">
        <f t="shared" si="116"/>
        <v>-7.4571215510812832E-4</v>
      </c>
      <c r="I684" s="3">
        <f t="shared" si="113"/>
        <v>0.19127815098244483</v>
      </c>
      <c r="J684" s="5">
        <f t="shared" si="117"/>
        <v>-2.6099925428784594E-3</v>
      </c>
      <c r="K684" s="3">
        <f t="shared" si="114"/>
        <v>0.65411399896323064</v>
      </c>
      <c r="L684" s="3">
        <f t="shared" si="115"/>
        <v>0.12303104312691662</v>
      </c>
    </row>
    <row r="685" spans="1:12" x14ac:dyDescent="0.25">
      <c r="A685" s="26">
        <v>53.12</v>
      </c>
      <c r="B685">
        <v>53.15</v>
      </c>
      <c r="C685">
        <v>1.61</v>
      </c>
      <c r="D685" s="2">
        <v>44358</v>
      </c>
      <c r="E685">
        <v>53.29</v>
      </c>
      <c r="F685">
        <v>-0.17</v>
      </c>
      <c r="G685">
        <v>-0.14000000000000057</v>
      </c>
      <c r="H685" s="5">
        <f t="shared" si="116"/>
        <v>-3.190091949709139E-3</v>
      </c>
      <c r="I685" s="3">
        <f t="shared" si="113"/>
        <v>-0.24955610753467558</v>
      </c>
      <c r="J685" s="5">
        <f t="shared" si="117"/>
        <v>-2.6271345468193014E-3</v>
      </c>
      <c r="K685" s="3">
        <f t="shared" si="114"/>
        <v>0.65155983365994785</v>
      </c>
      <c r="L685" s="3">
        <f t="shared" si="115"/>
        <v>-0.28959801966543325</v>
      </c>
    </row>
    <row r="686" spans="1:12" x14ac:dyDescent="0.25">
      <c r="A686" s="26">
        <v>53.3</v>
      </c>
      <c r="B686">
        <v>53.15</v>
      </c>
      <c r="C686">
        <v>1.45</v>
      </c>
      <c r="D686" s="2">
        <v>44357</v>
      </c>
      <c r="E686">
        <v>53.28</v>
      </c>
      <c r="F686">
        <v>0.02</v>
      </c>
      <c r="G686">
        <v>-0.13000000000000256</v>
      </c>
      <c r="H686" s="5">
        <f t="shared" si="116"/>
        <v>3.7537537537537537E-4</v>
      </c>
      <c r="I686" s="3">
        <f t="shared" si="113"/>
        <v>0.39379551048887912</v>
      </c>
      <c r="J686" s="5">
        <f t="shared" si="117"/>
        <v>-2.4399399399399877E-3</v>
      </c>
      <c r="K686" s="3">
        <f t="shared" si="114"/>
        <v>0.74078389087782148</v>
      </c>
      <c r="L686" s="3">
        <f t="shared" si="115"/>
        <v>-0.90055545697082284</v>
      </c>
    </row>
    <row r="687" spans="1:12" x14ac:dyDescent="0.25">
      <c r="A687" s="26">
        <v>53.7</v>
      </c>
      <c r="B687">
        <v>53.29</v>
      </c>
      <c r="C687">
        <v>1.66</v>
      </c>
      <c r="D687" s="2">
        <v>44356</v>
      </c>
      <c r="E687">
        <v>53.41</v>
      </c>
      <c r="F687">
        <v>0.28999999999999998</v>
      </c>
      <c r="G687">
        <v>-0.11999999999999744</v>
      </c>
      <c r="H687" s="5">
        <f t="shared" si="116"/>
        <v>5.429694813705299E-3</v>
      </c>
      <c r="I687" s="3">
        <f t="shared" si="113"/>
        <v>1.3116265456139571</v>
      </c>
      <c r="J687" s="5">
        <f t="shared" si="117"/>
        <v>-2.2467702677400757E-3</v>
      </c>
      <c r="K687" s="3">
        <f t="shared" si="114"/>
        <v>0.83762850719550441</v>
      </c>
      <c r="L687" s="3">
        <f t="shared" si="115"/>
        <v>-0.10904069551373813</v>
      </c>
    </row>
    <row r="688" spans="1:12" x14ac:dyDescent="0.25">
      <c r="A688" s="26">
        <v>52.03</v>
      </c>
      <c r="B688">
        <v>52.23</v>
      </c>
      <c r="C688">
        <v>1.27</v>
      </c>
      <c r="D688" s="2">
        <v>44355</v>
      </c>
      <c r="E688">
        <v>52.41</v>
      </c>
      <c r="F688">
        <v>-0.38</v>
      </c>
      <c r="G688">
        <v>-0.17999999999999972</v>
      </c>
      <c r="H688" s="5">
        <f t="shared" si="116"/>
        <v>-7.2505247090249962E-3</v>
      </c>
      <c r="I688" s="3">
        <f t="shared" si="113"/>
        <v>-0.97769594212822408</v>
      </c>
      <c r="J688" s="5">
        <f t="shared" si="117"/>
        <v>-3.4344590726960453E-3</v>
      </c>
      <c r="K688" s="3">
        <f t="shared" si="114"/>
        <v>0.29553254960639586</v>
      </c>
      <c r="L688" s="3">
        <f t="shared" si="115"/>
        <v>-1.5844769697375016</v>
      </c>
    </row>
    <row r="689" spans="1:12" x14ac:dyDescent="0.25">
      <c r="A689" s="26">
        <v>48.56</v>
      </c>
      <c r="B689">
        <v>49.25</v>
      </c>
      <c r="C689">
        <v>1.69</v>
      </c>
      <c r="D689" s="2">
        <v>44354</v>
      </c>
      <c r="E689">
        <v>49.43</v>
      </c>
      <c r="F689">
        <v>-0.87</v>
      </c>
      <c r="G689">
        <v>-0.17999999999999972</v>
      </c>
      <c r="H689" s="5">
        <f t="shared" si="116"/>
        <v>-1.7600647380133522E-2</v>
      </c>
      <c r="I689" s="3">
        <f t="shared" si="113"/>
        <v>-2.8686207500305207</v>
      </c>
      <c r="J689" s="5">
        <f t="shared" si="117"/>
        <v>-3.6415132510621024E-3</v>
      </c>
      <c r="K689" s="3">
        <f t="shared" si="114"/>
        <v>0.20480360329785349</v>
      </c>
      <c r="L689" s="3">
        <f t="shared" si="115"/>
        <v>1.0546847897519849E-3</v>
      </c>
    </row>
    <row r="690" spans="1:12" x14ac:dyDescent="0.25">
      <c r="A690" s="26">
        <v>49.55</v>
      </c>
      <c r="B690">
        <v>49.54</v>
      </c>
      <c r="C690">
        <v>1.69</v>
      </c>
      <c r="D690" s="2">
        <v>44351</v>
      </c>
      <c r="E690">
        <v>49.63</v>
      </c>
      <c r="F690">
        <v>-0.08</v>
      </c>
      <c r="G690">
        <v>-9.0000000000003411E-2</v>
      </c>
      <c r="H690" s="5">
        <f t="shared" si="116"/>
        <v>-1.611928269192021E-3</v>
      </c>
      <c r="I690" s="3">
        <f t="shared" si="113"/>
        <v>2.8164837763028527E-2</v>
      </c>
      <c r="J690" s="5">
        <f t="shared" si="117"/>
        <v>-1.8134193028410922E-3</v>
      </c>
      <c r="K690" s="3">
        <f t="shared" si="114"/>
        <v>1.0519583332513198</v>
      </c>
      <c r="L690" s="3">
        <f t="shared" si="115"/>
        <v>3.5133172929375654E-3</v>
      </c>
    </row>
    <row r="691" spans="1:12" x14ac:dyDescent="0.25">
      <c r="A691" s="26">
        <v>51.9</v>
      </c>
      <c r="B691">
        <v>51.76</v>
      </c>
      <c r="C691">
        <v>1.75</v>
      </c>
      <c r="D691" s="2">
        <v>44350</v>
      </c>
      <c r="E691">
        <v>51.85</v>
      </c>
      <c r="F691">
        <v>0.05</v>
      </c>
      <c r="G691">
        <v>-9.0000000000003411E-2</v>
      </c>
      <c r="H691" s="5">
        <f t="shared" si="116"/>
        <v>9.6432015429122472E-4</v>
      </c>
      <c r="I691" s="3">
        <f t="shared" si="113"/>
        <v>0.51047815066598223</v>
      </c>
      <c r="J691" s="5">
        <f t="shared" si="117"/>
        <v>-1.7357762777242701E-3</v>
      </c>
      <c r="K691" s="3">
        <f t="shared" si="114"/>
        <v>1.0967232791600905</v>
      </c>
      <c r="L691" s="3">
        <f t="shared" si="115"/>
        <v>0.23729124038732399</v>
      </c>
    </row>
    <row r="692" spans="1:12" x14ac:dyDescent="0.25">
      <c r="A692" s="26">
        <v>51.5</v>
      </c>
      <c r="B692">
        <v>51.38</v>
      </c>
      <c r="C692">
        <v>1.53</v>
      </c>
      <c r="D692" s="2">
        <v>44349</v>
      </c>
      <c r="E692">
        <v>51.45</v>
      </c>
      <c r="F692">
        <v>0.05</v>
      </c>
      <c r="G692">
        <v>-7.0000000000000284E-2</v>
      </c>
      <c r="H692" s="5">
        <f t="shared" si="116"/>
        <v>9.7181729834791054E-4</v>
      </c>
      <c r="I692" s="3">
        <f t="shared" si="113"/>
        <v>0.50662865387033362</v>
      </c>
      <c r="J692" s="5">
        <f t="shared" si="117"/>
        <v>-1.3605442176870804E-3</v>
      </c>
      <c r="K692" s="3">
        <f t="shared" si="114"/>
        <v>1.2777187431395767</v>
      </c>
      <c r="L692" s="3">
        <f t="shared" si="115"/>
        <v>-0.60080188138331758</v>
      </c>
    </row>
    <row r="693" spans="1:12" x14ac:dyDescent="0.25">
      <c r="A693" s="26">
        <v>52.58</v>
      </c>
      <c r="B693">
        <v>52.76</v>
      </c>
      <c r="C693">
        <v>1.26</v>
      </c>
      <c r="D693" s="2">
        <v>44348</v>
      </c>
      <c r="E693">
        <v>52.9</v>
      </c>
      <c r="F693">
        <v>-0.32</v>
      </c>
      <c r="G693">
        <v>-0.14000000000000057</v>
      </c>
      <c r="H693" s="5">
        <f t="shared" si="116"/>
        <v>-6.0491493383742915E-3</v>
      </c>
      <c r="I693" s="3">
        <f t="shared" si="113"/>
        <v>-0.78483351813822899</v>
      </c>
      <c r="J693" s="5">
        <f t="shared" si="117"/>
        <v>-2.646502835538763E-3</v>
      </c>
      <c r="K693" s="3">
        <f t="shared" si="114"/>
        <v>0.69910016156762123</v>
      </c>
      <c r="L693" s="3">
        <f t="shared" si="115"/>
        <v>-1.6244273853248965</v>
      </c>
    </row>
    <row r="694" spans="1:12" x14ac:dyDescent="0.25">
      <c r="A694" s="26">
        <v>51.08</v>
      </c>
      <c r="B694">
        <v>51.05</v>
      </c>
      <c r="C694">
        <v>1.63</v>
      </c>
      <c r="D694" s="2">
        <v>44344</v>
      </c>
      <c r="E694">
        <v>51.23</v>
      </c>
      <c r="F694">
        <v>-0.15</v>
      </c>
      <c r="G694">
        <v>-0.17999999999999972</v>
      </c>
      <c r="H694" s="5">
        <f t="shared" si="116"/>
        <v>-2.9279718914698421E-3</v>
      </c>
      <c r="I694" s="3">
        <f t="shared" si="113"/>
        <v>-0.22065028231563347</v>
      </c>
      <c r="J694" s="5">
        <f t="shared" si="117"/>
        <v>-3.5135662697638051E-3</v>
      </c>
      <c r="K694" s="3">
        <f t="shared" si="114"/>
        <v>0.30575842534428277</v>
      </c>
      <c r="L694" s="3">
        <f t="shared" si="115"/>
        <v>-0.2321493225640491</v>
      </c>
    </row>
    <row r="695" spans="1:12" x14ac:dyDescent="0.25">
      <c r="A695" s="26">
        <v>52.11</v>
      </c>
      <c r="B695">
        <v>52.15</v>
      </c>
      <c r="C695">
        <v>1.47</v>
      </c>
      <c r="D695" s="2">
        <v>44343</v>
      </c>
      <c r="E695">
        <v>52.25</v>
      </c>
      <c r="F695">
        <v>-0.14000000000000001</v>
      </c>
      <c r="G695">
        <v>-0.10000000000000142</v>
      </c>
      <c r="H695" s="5">
        <f t="shared" si="116"/>
        <v>-2.6794258373205745E-3</v>
      </c>
      <c r="I695" s="3">
        <f t="shared" si="113"/>
        <v>-0.15281809066252403</v>
      </c>
      <c r="J695" s="5">
        <f t="shared" si="117"/>
        <v>-1.9138755980861516E-3</v>
      </c>
      <c r="K695" s="3">
        <f t="shared" si="114"/>
        <v>1.0445531897096847</v>
      </c>
      <c r="L695" s="3">
        <f t="shared" si="115"/>
        <v>-0.81802325510889606</v>
      </c>
    </row>
    <row r="696" spans="1:12" x14ac:dyDescent="0.25">
      <c r="A696" s="26">
        <v>54.07</v>
      </c>
      <c r="B696">
        <v>53.96</v>
      </c>
      <c r="C696">
        <v>1.79</v>
      </c>
      <c r="D696" s="2">
        <v>44342</v>
      </c>
      <c r="E696">
        <v>54.14</v>
      </c>
      <c r="F696">
        <v>-7.0000000000000007E-2</v>
      </c>
      <c r="G696">
        <v>-0.17999999999999972</v>
      </c>
      <c r="H696" s="5">
        <f t="shared" si="116"/>
        <v>-1.2929442186922794E-3</v>
      </c>
      <c r="I696" s="3">
        <f t="shared" si="113"/>
        <v>9.3519804938565113E-2</v>
      </c>
      <c r="J696" s="5">
        <f t="shared" si="117"/>
        <v>-3.324713705208713E-3</v>
      </c>
      <c r="K696" s="3">
        <f t="shared" si="114"/>
        <v>0.40835345446576854</v>
      </c>
      <c r="L696" s="3">
        <f t="shared" si="115"/>
        <v>0.37765031530052179</v>
      </c>
    </row>
    <row r="697" spans="1:12" x14ac:dyDescent="0.25">
      <c r="A697" s="26">
        <v>53.09</v>
      </c>
      <c r="B697">
        <v>53.35</v>
      </c>
      <c r="C697">
        <v>1.24</v>
      </c>
      <c r="D697" s="2">
        <v>44341</v>
      </c>
      <c r="E697">
        <v>53.49</v>
      </c>
      <c r="F697">
        <v>-0.4</v>
      </c>
      <c r="G697">
        <v>-0.14000000000000057</v>
      </c>
      <c r="H697" s="5">
        <f t="shared" si="116"/>
        <v>-7.4780332772480841E-3</v>
      </c>
      <c r="I697" s="3">
        <f t="shared" si="113"/>
        <v>-1.0020809412509388</v>
      </c>
      <c r="J697" s="5">
        <f t="shared" si="117"/>
        <v>-2.6173116470368397E-3</v>
      </c>
      <c r="K697" s="3">
        <f t="shared" si="114"/>
        <v>0.7370148975120534</v>
      </c>
      <c r="L697" s="3">
        <f t="shared" si="115"/>
        <v>-1.6849677984556051</v>
      </c>
    </row>
    <row r="698" spans="1:12" x14ac:dyDescent="0.25">
      <c r="A698" s="26">
        <v>52.71</v>
      </c>
      <c r="B698">
        <v>52.67</v>
      </c>
      <c r="C698">
        <v>1.67</v>
      </c>
      <c r="D698" s="2">
        <v>44337</v>
      </c>
      <c r="E698">
        <v>52.86</v>
      </c>
      <c r="F698">
        <v>-0.15</v>
      </c>
      <c r="G698">
        <v>-0.18999999999999773</v>
      </c>
      <c r="H698" s="5">
        <f t="shared" si="116"/>
        <v>-2.8376844494892167E-3</v>
      </c>
      <c r="I698" s="3">
        <f t="shared" si="113"/>
        <v>-0.18942277901409102</v>
      </c>
      <c r="J698" s="5">
        <f t="shared" si="117"/>
        <v>-3.5944003026862981E-3</v>
      </c>
      <c r="K698" s="3">
        <f t="shared" si="114"/>
        <v>0.28849612978835021</v>
      </c>
      <c r="L698" s="3">
        <f t="shared" si="115"/>
        <v>-9.0326147517300739E-2</v>
      </c>
    </row>
    <row r="699" spans="1:12" x14ac:dyDescent="0.25">
      <c r="A699" s="26">
        <v>50.84</v>
      </c>
      <c r="B699">
        <v>50.98</v>
      </c>
      <c r="C699">
        <v>1.31</v>
      </c>
      <c r="D699" s="2">
        <v>44336</v>
      </c>
      <c r="E699">
        <v>51.1</v>
      </c>
      <c r="F699">
        <v>-0.26</v>
      </c>
      <c r="G699">
        <v>-0.12000000000000455</v>
      </c>
      <c r="H699" s="5">
        <f t="shared" si="116"/>
        <v>-5.0880626223091981E-3</v>
      </c>
      <c r="I699" s="3">
        <f t="shared" si="113"/>
        <v>-0.59086082345126334</v>
      </c>
      <c r="J699" s="5">
        <f t="shared" si="117"/>
        <v>-2.3483365949120262E-3</v>
      </c>
      <c r="K699" s="3">
        <f t="shared" si="114"/>
        <v>0.85836384176472258</v>
      </c>
      <c r="L699" s="3">
        <f t="shared" si="115"/>
        <v>-1.4439840232566556</v>
      </c>
    </row>
    <row r="700" spans="1:12" x14ac:dyDescent="0.25">
      <c r="A700" s="26">
        <v>52.12</v>
      </c>
      <c r="B700">
        <v>52.13</v>
      </c>
      <c r="C700">
        <v>1.63</v>
      </c>
      <c r="D700" s="2">
        <v>44335</v>
      </c>
      <c r="E700">
        <v>52.3</v>
      </c>
      <c r="F700">
        <v>-0.18</v>
      </c>
      <c r="G700">
        <v>-0.1699999999999946</v>
      </c>
      <c r="H700" s="5">
        <f t="shared" si="116"/>
        <v>-3.4416826003824093E-3</v>
      </c>
      <c r="I700" s="3">
        <f t="shared" si="113"/>
        <v>-0.30360011139195803</v>
      </c>
      <c r="J700" s="5">
        <f t="shared" si="117"/>
        <v>-3.2504780114721724E-3</v>
      </c>
      <c r="K700" s="3">
        <f t="shared" si="114"/>
        <v>0.45042228793499373</v>
      </c>
      <c r="L700" s="3">
        <f t="shared" si="115"/>
        <v>-0.25307556286182753</v>
      </c>
    </row>
    <row r="701" spans="1:12" x14ac:dyDescent="0.25">
      <c r="A701" s="26">
        <v>55.53</v>
      </c>
      <c r="B701">
        <v>55.52</v>
      </c>
      <c r="C701">
        <v>1.47</v>
      </c>
      <c r="D701" s="2">
        <v>44334</v>
      </c>
      <c r="E701">
        <v>55.7</v>
      </c>
      <c r="F701">
        <v>-0.17</v>
      </c>
      <c r="G701">
        <v>-0.17999999999999972</v>
      </c>
      <c r="H701" s="5">
        <f t="shared" si="116"/>
        <v>-3.0520646319569119E-3</v>
      </c>
      <c r="I701" s="3">
        <f t="shared" si="113"/>
        <v>-0.23272861892688149</v>
      </c>
      <c r="J701" s="5">
        <f t="shared" si="117"/>
        <v>-3.231597845601431E-3</v>
      </c>
      <c r="K701" s="3">
        <f t="shared" si="114"/>
        <v>0.46551974569963317</v>
      </c>
      <c r="L701" s="3">
        <f t="shared" si="115"/>
        <v>-0.8557150717507882</v>
      </c>
    </row>
    <row r="702" spans="1:12" x14ac:dyDescent="0.25">
      <c r="A702" s="26">
        <v>55.57</v>
      </c>
      <c r="B702">
        <v>55.62</v>
      </c>
      <c r="C702">
        <v>1.49</v>
      </c>
      <c r="D702" s="2">
        <v>44333</v>
      </c>
      <c r="E702">
        <v>55.74</v>
      </c>
      <c r="F702">
        <v>-0.17</v>
      </c>
      <c r="G702">
        <v>-0.12000000000000455</v>
      </c>
      <c r="H702" s="5">
        <f t="shared" si="116"/>
        <v>-3.0498744169357734E-3</v>
      </c>
      <c r="I702" s="3">
        <f t="shared" si="113"/>
        <v>-0.23751822109472401</v>
      </c>
      <c r="J702" s="5">
        <f t="shared" si="117"/>
        <v>-2.1528525296018036E-3</v>
      </c>
      <c r="K702" s="3">
        <f t="shared" si="114"/>
        <v>0.96242442290545305</v>
      </c>
      <c r="L702" s="3">
        <f t="shared" si="115"/>
        <v>-0.78833853510587215</v>
      </c>
    </row>
    <row r="703" spans="1:12" x14ac:dyDescent="0.25">
      <c r="A703" s="26">
        <v>53.95</v>
      </c>
      <c r="B703">
        <v>53.64</v>
      </c>
      <c r="C703">
        <v>1.97</v>
      </c>
      <c r="D703" s="2">
        <v>44328</v>
      </c>
      <c r="E703">
        <v>53.75</v>
      </c>
      <c r="F703">
        <v>0.2</v>
      </c>
      <c r="G703">
        <v>-0.10999999999999943</v>
      </c>
      <c r="H703" s="5">
        <f t="shared" si="116"/>
        <v>3.7209302325581397E-3</v>
      </c>
      <c r="I703" s="3">
        <f t="shared" si="113"/>
        <v>0.95429385795057786</v>
      </c>
      <c r="J703" s="5">
        <f t="shared" si="117"/>
        <v>-2.046511627906966E-3</v>
      </c>
      <c r="K703" s="3">
        <f t="shared" si="114"/>
        <v>1.0162313974370396</v>
      </c>
      <c r="L703" s="3">
        <f t="shared" si="115"/>
        <v>1.0087998891005399</v>
      </c>
    </row>
    <row r="704" spans="1:12" x14ac:dyDescent="0.25">
      <c r="A704" s="26">
        <v>51.59</v>
      </c>
      <c r="B704">
        <v>51.55</v>
      </c>
      <c r="C704">
        <v>1.56</v>
      </c>
      <c r="D704" s="2">
        <v>44327</v>
      </c>
      <c r="E704">
        <v>51.67</v>
      </c>
      <c r="F704">
        <v>-0.08</v>
      </c>
      <c r="G704">
        <v>-0.12000000000000455</v>
      </c>
      <c r="H704" s="5">
        <f t="shared" si="116"/>
        <v>-1.5482872072769499E-3</v>
      </c>
      <c r="I704" s="3">
        <f t="shared" si="113"/>
        <v>2.3877753555775816E-2</v>
      </c>
      <c r="J704" s="5">
        <f t="shared" si="117"/>
        <v>-2.3224308109155126E-3</v>
      </c>
      <c r="K704" s="3">
        <f t="shared" si="114"/>
        <v>0.89992062991476163</v>
      </c>
      <c r="L704" s="3">
        <f t="shared" si="115"/>
        <v>-0.53141241559654806</v>
      </c>
    </row>
    <row r="705" spans="1:12" x14ac:dyDescent="0.25">
      <c r="A705" s="26">
        <v>51.81</v>
      </c>
      <c r="B705">
        <v>51.5</v>
      </c>
      <c r="C705">
        <v>1.77</v>
      </c>
      <c r="D705" s="2">
        <v>44326</v>
      </c>
      <c r="E705">
        <v>51.71</v>
      </c>
      <c r="F705">
        <v>0.1</v>
      </c>
      <c r="G705">
        <v>-0.21000000000000085</v>
      </c>
      <c r="H705" s="5">
        <f t="shared" si="116"/>
        <v>1.9338619222587507E-3</v>
      </c>
      <c r="I705" s="3">
        <f t="shared" si="113"/>
        <v>0.63593117160586055</v>
      </c>
      <c r="J705" s="5">
        <f t="shared" si="117"/>
        <v>-4.0611100367433928E-3</v>
      </c>
      <c r="K705" s="3">
        <f t="shared" si="114"/>
        <v>0.11699812284088508</v>
      </c>
      <c r="L705" s="3">
        <f t="shared" si="115"/>
        <v>0.25281576238026582</v>
      </c>
    </row>
    <row r="706" spans="1:12" x14ac:dyDescent="0.25">
      <c r="A706" s="26">
        <v>49.46</v>
      </c>
      <c r="B706">
        <v>49.32</v>
      </c>
      <c r="C706">
        <v>1.98</v>
      </c>
      <c r="D706" s="2">
        <v>44323</v>
      </c>
      <c r="E706">
        <v>49.42</v>
      </c>
      <c r="F706">
        <v>0.04</v>
      </c>
      <c r="G706">
        <v>-0.10000000000000142</v>
      </c>
      <c r="H706" s="5">
        <f t="shared" si="116"/>
        <v>8.0938891137191421E-4</v>
      </c>
      <c r="I706" s="3">
        <f t="shared" si="113"/>
        <v>0.44528852889799819</v>
      </c>
      <c r="J706" s="5">
        <f t="shared" si="117"/>
        <v>-2.023472278429814E-3</v>
      </c>
      <c r="K706" s="3">
        <f t="shared" si="114"/>
        <v>1.0471452020557361</v>
      </c>
      <c r="L706" s="3">
        <f t="shared" si="115"/>
        <v>1.0453117969905219</v>
      </c>
    </row>
    <row r="707" spans="1:12" x14ac:dyDescent="0.25">
      <c r="A707" s="26">
        <v>49.45</v>
      </c>
      <c r="B707">
        <v>49.32</v>
      </c>
      <c r="C707">
        <v>1.59</v>
      </c>
      <c r="D707" s="2">
        <v>44322</v>
      </c>
      <c r="E707">
        <v>49.4</v>
      </c>
      <c r="F707">
        <v>0.05</v>
      </c>
      <c r="G707">
        <v>-7.9999999999998295E-2</v>
      </c>
      <c r="H707" s="5">
        <f t="shared" si="116"/>
        <v>1.0121457489878543E-3</v>
      </c>
      <c r="I707" s="3">
        <f t="shared" ref="I707:I770" si="118">IFERROR((H707-AVERAGEA(H707:H923))/_xlfn.STDEV.S(H707:H923), " ")</f>
        <v>0.48403198204291953</v>
      </c>
      <c r="J707" s="5">
        <f t="shared" si="117"/>
        <v>-1.6194331983805323E-3</v>
      </c>
      <c r="K707" s="3">
        <f t="shared" ref="K707:K770" si="119">IFERROR((J707-AVERAGEA(J707:J923))/_xlfn.STDEV.S(J707:J923), " ")</f>
        <v>1.2405303970833748</v>
      </c>
      <c r="L707" s="3">
        <f t="shared" ref="L707:L770" si="120">(C707-AVERAGEA(C707:C923))/_xlfn.STDEV.S(C707:C923)</f>
        <v>-0.41058752932573228</v>
      </c>
    </row>
    <row r="708" spans="1:12" x14ac:dyDescent="0.25">
      <c r="A708" s="26">
        <v>48.62</v>
      </c>
      <c r="B708">
        <v>48.55</v>
      </c>
      <c r="C708">
        <v>1.56</v>
      </c>
      <c r="D708" s="2">
        <v>44321</v>
      </c>
      <c r="E708">
        <v>48.68</v>
      </c>
      <c r="F708">
        <v>-0.06</v>
      </c>
      <c r="G708">
        <v>-0.13000000000000256</v>
      </c>
      <c r="H708" s="5">
        <f t="shared" ref="H708:H771" si="121">IFERROR(F708/E708,"")</f>
        <v>-1.2325390304026294E-3</v>
      </c>
      <c r="I708" s="3">
        <f t="shared" si="118"/>
        <v>8.9344607459492117E-2</v>
      </c>
      <c r="J708" s="5">
        <f t="shared" ref="J708:J771" si="122">IFERROR(G708/E708,"")</f>
        <v>-2.6705012325390831E-3</v>
      </c>
      <c r="K708" s="3">
        <f t="shared" si="119"/>
        <v>0.77298466984733305</v>
      </c>
      <c r="L708" s="3">
        <f t="shared" si="120"/>
        <v>-0.52152976503804505</v>
      </c>
    </row>
    <row r="709" spans="1:12" x14ac:dyDescent="0.25">
      <c r="A709" s="26">
        <v>49.33</v>
      </c>
      <c r="B709">
        <v>49.31</v>
      </c>
      <c r="C709">
        <v>1.42</v>
      </c>
      <c r="D709" s="2">
        <v>44320</v>
      </c>
      <c r="E709">
        <v>49.37</v>
      </c>
      <c r="F709">
        <v>-0.04</v>
      </c>
      <c r="G709">
        <v>-5.9999999999995168E-2</v>
      </c>
      <c r="H709" s="5">
        <f t="shared" si="121"/>
        <v>-8.1020862872189592E-4</v>
      </c>
      <c r="I709" s="3">
        <f t="shared" si="118"/>
        <v>0.15781921102042135</v>
      </c>
      <c r="J709" s="5">
        <f t="shared" si="122"/>
        <v>-1.2153129430827461E-3</v>
      </c>
      <c r="K709" s="3">
        <f t="shared" si="119"/>
        <v>1.438960086184522</v>
      </c>
      <c r="L709" s="3">
        <f t="shared" si="120"/>
        <v>-1.0513042890031918</v>
      </c>
    </row>
    <row r="710" spans="1:12" x14ac:dyDescent="0.25">
      <c r="A710" s="26">
        <v>47.68</v>
      </c>
      <c r="B710">
        <v>47.95</v>
      </c>
      <c r="C710">
        <v>1.67</v>
      </c>
      <c r="D710" s="2">
        <v>44316</v>
      </c>
      <c r="E710">
        <v>48.13</v>
      </c>
      <c r="F710">
        <v>-0.45</v>
      </c>
      <c r="G710">
        <v>-0.17999999999999972</v>
      </c>
      <c r="H710" s="5">
        <f t="shared" si="121"/>
        <v>-9.3496779555370876E-3</v>
      </c>
      <c r="I710" s="3">
        <f t="shared" si="118"/>
        <v>-1.332816716649841</v>
      </c>
      <c r="J710" s="5">
        <f t="shared" si="122"/>
        <v>-3.7398711822148288E-3</v>
      </c>
      <c r="K710" s="3">
        <f t="shared" si="119"/>
        <v>0.30745179747715745</v>
      </c>
      <c r="L710" s="3">
        <f t="shared" si="120"/>
        <v>-0.12050289947824973</v>
      </c>
    </row>
    <row r="711" spans="1:12" x14ac:dyDescent="0.25">
      <c r="A711" s="26">
        <v>47.25</v>
      </c>
      <c r="B711">
        <v>47.1</v>
      </c>
      <c r="C711">
        <v>1.59</v>
      </c>
      <c r="D711" s="2">
        <v>44315</v>
      </c>
      <c r="E711">
        <v>47.25</v>
      </c>
      <c r="F711">
        <v>0</v>
      </c>
      <c r="G711">
        <v>-0.14999999999999858</v>
      </c>
      <c r="H711" s="5">
        <f t="shared" si="121"/>
        <v>0</v>
      </c>
      <c r="I711" s="3">
        <f t="shared" si="118"/>
        <v>0.29769645439192122</v>
      </c>
      <c r="J711" s="5">
        <f t="shared" si="122"/>
        <v>-3.1746031746031447E-3</v>
      </c>
      <c r="K711" s="3">
        <f t="shared" si="119"/>
        <v>0.56581548403905269</v>
      </c>
      <c r="L711" s="3">
        <f t="shared" si="120"/>
        <v>-0.4208158298562491</v>
      </c>
    </row>
    <row r="712" spans="1:12" x14ac:dyDescent="0.25">
      <c r="A712" s="26">
        <v>48</v>
      </c>
      <c r="B712">
        <v>48.01</v>
      </c>
      <c r="C712">
        <v>1.47</v>
      </c>
      <c r="D712" s="2">
        <v>44314</v>
      </c>
      <c r="E712">
        <v>48.16</v>
      </c>
      <c r="F712">
        <v>-0.16</v>
      </c>
      <c r="G712">
        <v>-0.14999999999999858</v>
      </c>
      <c r="H712" s="5">
        <f t="shared" si="121"/>
        <v>-3.3222591362126251E-3</v>
      </c>
      <c r="I712" s="3">
        <f t="shared" si="118"/>
        <v>-0.29025639365168554</v>
      </c>
      <c r="J712" s="5">
        <f t="shared" si="122"/>
        <v>-3.1146179401993061E-3</v>
      </c>
      <c r="K712" s="3">
        <f t="shared" si="119"/>
        <v>0.59990957530168709</v>
      </c>
      <c r="L712" s="3">
        <f t="shared" si="120"/>
        <v>-0.87465353616399788</v>
      </c>
    </row>
    <row r="713" spans="1:12" x14ac:dyDescent="0.25">
      <c r="A713" s="26">
        <v>46.55</v>
      </c>
      <c r="B713">
        <v>46.45</v>
      </c>
      <c r="C713">
        <v>1.52</v>
      </c>
      <c r="D713" s="2">
        <v>44313</v>
      </c>
      <c r="E713">
        <v>46.58</v>
      </c>
      <c r="F713">
        <v>-0.03</v>
      </c>
      <c r="G713">
        <v>-0.12999999999999545</v>
      </c>
      <c r="H713" s="5">
        <f t="shared" si="121"/>
        <v>-6.440532417346501E-4</v>
      </c>
      <c r="I713" s="3">
        <f t="shared" si="118"/>
        <v>0.17006985603617164</v>
      </c>
      <c r="J713" s="5">
        <f t="shared" si="122"/>
        <v>-2.790897380850053E-3</v>
      </c>
      <c r="K713" s="3">
        <f t="shared" si="119"/>
        <v>0.75224835225920184</v>
      </c>
      <c r="L713" s="3">
        <f t="shared" si="120"/>
        <v>-0.69282185525946238</v>
      </c>
    </row>
    <row r="714" spans="1:12" x14ac:dyDescent="0.25">
      <c r="A714" s="26">
        <v>47.24</v>
      </c>
      <c r="B714">
        <v>47.25</v>
      </c>
      <c r="C714">
        <v>1.38</v>
      </c>
      <c r="D714" s="2">
        <v>44312</v>
      </c>
      <c r="E714">
        <v>47.35</v>
      </c>
      <c r="F714">
        <v>-0.11</v>
      </c>
      <c r="G714">
        <v>-0.10000000000000142</v>
      </c>
      <c r="H714" s="5">
        <f t="shared" si="121"/>
        <v>-2.3231256599788807E-3</v>
      </c>
      <c r="I714" s="3">
        <f t="shared" si="118"/>
        <v>-0.12737459760437869</v>
      </c>
      <c r="J714" s="5">
        <f t="shared" si="122"/>
        <v>-2.1119324181626486E-3</v>
      </c>
      <c r="K714" s="3">
        <f t="shared" si="119"/>
        <v>1.0644211903467413</v>
      </c>
      <c r="L714" s="3">
        <f t="shared" si="120"/>
        <v>-1.2216545862369226</v>
      </c>
    </row>
    <row r="715" spans="1:12" x14ac:dyDescent="0.25">
      <c r="A715" s="26">
        <v>46.41</v>
      </c>
      <c r="B715">
        <v>46.38</v>
      </c>
      <c r="C715">
        <v>1.44</v>
      </c>
      <c r="D715" s="2">
        <v>44309</v>
      </c>
      <c r="E715">
        <v>46.57</v>
      </c>
      <c r="F715">
        <v>-0.16</v>
      </c>
      <c r="G715">
        <v>-0.18999999999999773</v>
      </c>
      <c r="H715" s="5">
        <f t="shared" si="121"/>
        <v>-3.4356882112948251E-3</v>
      </c>
      <c r="I715" s="3">
        <f t="shared" si="118"/>
        <v>-0.32455287510025199</v>
      </c>
      <c r="J715" s="5">
        <f t="shared" si="122"/>
        <v>-4.0798797509125559E-3</v>
      </c>
      <c r="K715" s="3">
        <f t="shared" si="119"/>
        <v>0.19280956126087848</v>
      </c>
      <c r="L715" s="3">
        <f t="shared" si="120"/>
        <v>-1.007079245942446</v>
      </c>
    </row>
    <row r="716" spans="1:12" x14ac:dyDescent="0.25">
      <c r="A716" s="26">
        <v>46.6</v>
      </c>
      <c r="B716">
        <v>46.37</v>
      </c>
      <c r="C716">
        <v>1.68</v>
      </c>
      <c r="D716" s="2">
        <v>44308</v>
      </c>
      <c r="E716">
        <v>46.47</v>
      </c>
      <c r="F716">
        <v>0.13</v>
      </c>
      <c r="G716">
        <v>-0.10000000000000142</v>
      </c>
      <c r="H716" s="5">
        <f t="shared" si="121"/>
        <v>2.7975037658704541E-3</v>
      </c>
      <c r="I716" s="3">
        <f t="shared" si="118"/>
        <v>0.75646180758693171</v>
      </c>
      <c r="J716" s="5">
        <f t="shared" si="122"/>
        <v>-2.1519259737465338E-3</v>
      </c>
      <c r="K716" s="3">
        <f t="shared" si="119"/>
        <v>1.057940410291641</v>
      </c>
      <c r="L716" s="3">
        <f t="shared" si="120"/>
        <v>-0.11523291984095663</v>
      </c>
    </row>
    <row r="717" spans="1:12" x14ac:dyDescent="0.25">
      <c r="A717" s="26">
        <v>44.85</v>
      </c>
      <c r="B717">
        <v>44.85</v>
      </c>
      <c r="C717">
        <v>1.43</v>
      </c>
      <c r="D717" s="2">
        <v>44307</v>
      </c>
      <c r="E717">
        <v>44.95</v>
      </c>
      <c r="F717">
        <v>-0.1</v>
      </c>
      <c r="G717">
        <v>-0.10000000000000142</v>
      </c>
      <c r="H717" s="5">
        <f t="shared" si="121"/>
        <v>-2.2246941045606229E-3</v>
      </c>
      <c r="I717" s="3">
        <f t="shared" si="118"/>
        <v>-0.10259348528897874</v>
      </c>
      <c r="J717" s="5">
        <f t="shared" si="122"/>
        <v>-2.2246941045606546E-3</v>
      </c>
      <c r="K717" s="3">
        <f t="shared" si="119"/>
        <v>1.0285946785462237</v>
      </c>
      <c r="L717" s="3">
        <f t="shared" si="120"/>
        <v>-1.0301891239941365</v>
      </c>
    </row>
    <row r="718" spans="1:12" x14ac:dyDescent="0.25">
      <c r="A718" s="26">
        <v>44.2</v>
      </c>
      <c r="B718">
        <v>43.91</v>
      </c>
      <c r="C718">
        <v>1.7</v>
      </c>
      <c r="D718" s="2">
        <v>44306</v>
      </c>
      <c r="E718">
        <v>44.03</v>
      </c>
      <c r="F718">
        <v>0.17</v>
      </c>
      <c r="G718">
        <v>-0.12000000000000455</v>
      </c>
      <c r="H718" s="5">
        <f t="shared" si="121"/>
        <v>3.8610038610038611E-3</v>
      </c>
      <c r="I718" s="3">
        <f t="shared" si="118"/>
        <v>0.94082388969058006</v>
      </c>
      <c r="J718" s="5">
        <f t="shared" si="122"/>
        <v>-2.7254144901204757E-3</v>
      </c>
      <c r="K718" s="3">
        <f t="shared" si="119"/>
        <v>0.80627539406052962</v>
      </c>
      <c r="L718" s="3">
        <f t="shared" si="120"/>
        <v>-3.641242350372529E-2</v>
      </c>
    </row>
    <row r="719" spans="1:12" x14ac:dyDescent="0.25">
      <c r="A719" s="26">
        <v>44.66</v>
      </c>
      <c r="B719">
        <v>44.6</v>
      </c>
      <c r="C719">
        <v>1.49</v>
      </c>
      <c r="D719" s="2">
        <v>44305</v>
      </c>
      <c r="E719">
        <v>44.72</v>
      </c>
      <c r="F719">
        <v>-0.06</v>
      </c>
      <c r="G719">
        <v>-0.11999999999999744</v>
      </c>
      <c r="H719" s="5">
        <f t="shared" si="121"/>
        <v>-1.3416815742397137E-3</v>
      </c>
      <c r="I719" s="3">
        <f t="shared" si="118"/>
        <v>4.6990903821280634E-2</v>
      </c>
      <c r="J719" s="5">
        <f t="shared" si="122"/>
        <v>-2.6833631484793705E-3</v>
      </c>
      <c r="K719" s="3">
        <f t="shared" si="119"/>
        <v>0.8327559211959602</v>
      </c>
      <c r="L719" s="3">
        <f t="shared" si="120"/>
        <v>-0.81791760111102818</v>
      </c>
    </row>
    <row r="720" spans="1:12" x14ac:dyDescent="0.25">
      <c r="A720" s="26">
        <v>44.5</v>
      </c>
      <c r="B720">
        <v>44.41</v>
      </c>
      <c r="C720">
        <v>1.74</v>
      </c>
      <c r="D720" s="2">
        <v>44302</v>
      </c>
      <c r="E720">
        <v>44.55</v>
      </c>
      <c r="F720">
        <v>-0.05</v>
      </c>
      <c r="G720">
        <v>-0.14000000000000057</v>
      </c>
      <c r="H720" s="5">
        <f t="shared" si="121"/>
        <v>-1.1223344556677891E-3</v>
      </c>
      <c r="I720" s="3">
        <f t="shared" si="118"/>
        <v>8.9777210014751682E-2</v>
      </c>
      <c r="J720" s="5">
        <f t="shared" si="122"/>
        <v>-3.1425364758698223E-3</v>
      </c>
      <c r="K720" s="3">
        <f t="shared" si="119"/>
        <v>0.63697953946833452</v>
      </c>
      <c r="L720" s="3">
        <f t="shared" si="120"/>
        <v>0.1016553646120455</v>
      </c>
    </row>
    <row r="721" spans="1:12" x14ac:dyDescent="0.25">
      <c r="A721" s="26">
        <v>43.99</v>
      </c>
      <c r="B721">
        <v>43.98</v>
      </c>
      <c r="C721">
        <v>1.58</v>
      </c>
      <c r="D721" s="2">
        <v>44301</v>
      </c>
      <c r="E721">
        <v>44.12</v>
      </c>
      <c r="F721">
        <v>-0.13</v>
      </c>
      <c r="G721">
        <v>-0.14000000000000057</v>
      </c>
      <c r="H721" s="5">
        <f t="shared" si="121"/>
        <v>-2.9465095194922942E-3</v>
      </c>
      <c r="I721" s="3">
        <f t="shared" si="118"/>
        <v>-0.20105388038719008</v>
      </c>
      <c r="J721" s="5">
        <f t="shared" si="122"/>
        <v>-3.1731640979147909E-3</v>
      </c>
      <c r="K721" s="3">
        <f t="shared" si="119"/>
        <v>0.62999487276889687</v>
      </c>
      <c r="L721" s="3">
        <f t="shared" si="120"/>
        <v>-0.49136975453361648</v>
      </c>
    </row>
    <row r="722" spans="1:12" x14ac:dyDescent="0.25">
      <c r="A722" s="26">
        <v>43.9</v>
      </c>
      <c r="B722">
        <v>43.84</v>
      </c>
      <c r="C722">
        <v>1.88</v>
      </c>
      <c r="D722" s="2">
        <v>44300</v>
      </c>
      <c r="E722">
        <v>43.98</v>
      </c>
      <c r="F722">
        <v>-0.08</v>
      </c>
      <c r="G722">
        <v>-0.13999999999999346</v>
      </c>
      <c r="H722" s="5">
        <f t="shared" si="121"/>
        <v>-1.8190086402910415E-3</v>
      </c>
      <c r="I722" s="3">
        <f t="shared" si="118"/>
        <v>-1.9742931944671256E-2</v>
      </c>
      <c r="J722" s="5">
        <f t="shared" si="122"/>
        <v>-3.183265120509174E-3</v>
      </c>
      <c r="K722" s="3">
        <f t="shared" si="119"/>
        <v>0.63170392792363328</v>
      </c>
      <c r="L722" s="3">
        <f t="shared" si="120"/>
        <v>0.5995725357971039</v>
      </c>
    </row>
    <row r="723" spans="1:12" x14ac:dyDescent="0.25">
      <c r="A723" s="26">
        <v>44.1</v>
      </c>
      <c r="B723">
        <v>43.99</v>
      </c>
      <c r="C723">
        <v>1.53</v>
      </c>
      <c r="D723" s="2">
        <v>44299</v>
      </c>
      <c r="E723">
        <v>44.09</v>
      </c>
      <c r="F723">
        <v>0.01</v>
      </c>
      <c r="G723">
        <v>-0.10000000000000142</v>
      </c>
      <c r="H723" s="5">
        <f t="shared" si="121"/>
        <v>2.2680880018144704E-4</v>
      </c>
      <c r="I723" s="3">
        <f t="shared" si="118"/>
        <v>0.320282921713198</v>
      </c>
      <c r="J723" s="5">
        <f t="shared" si="122"/>
        <v>-2.2680880018145022E-3</v>
      </c>
      <c r="K723" s="3">
        <f t="shared" si="119"/>
        <v>1.0402103271442587</v>
      </c>
      <c r="L723" s="3">
        <f t="shared" si="120"/>
        <v>-0.68178829854671352</v>
      </c>
    </row>
    <row r="724" spans="1:12" x14ac:dyDescent="0.25">
      <c r="A724" s="26">
        <v>43.86</v>
      </c>
      <c r="B724">
        <v>43.6</v>
      </c>
      <c r="C724">
        <v>1.86</v>
      </c>
      <c r="D724" s="2">
        <v>44298</v>
      </c>
      <c r="E724">
        <v>43.7</v>
      </c>
      <c r="F724">
        <v>0.16</v>
      </c>
      <c r="G724">
        <v>-0.10000000000000142</v>
      </c>
      <c r="H724" s="5">
        <f t="shared" si="121"/>
        <v>3.6613272311212812E-3</v>
      </c>
      <c r="I724" s="3">
        <f t="shared" si="118"/>
        <v>0.88730728965890426</v>
      </c>
      <c r="J724" s="5">
        <f t="shared" si="122"/>
        <v>-2.2883295194508334E-3</v>
      </c>
      <c r="K724" s="3">
        <f t="shared" si="119"/>
        <v>1.0343688569371272</v>
      </c>
      <c r="L724" s="3">
        <f t="shared" si="120"/>
        <v>0.46025197671055751</v>
      </c>
    </row>
    <row r="725" spans="1:12" x14ac:dyDescent="0.25">
      <c r="A725" s="26">
        <v>43.18</v>
      </c>
      <c r="B725">
        <v>43.08</v>
      </c>
      <c r="C725">
        <v>1.56</v>
      </c>
      <c r="D725" s="2">
        <v>44295</v>
      </c>
      <c r="E725">
        <v>43.22</v>
      </c>
      <c r="F725">
        <v>-0.04</v>
      </c>
      <c r="G725">
        <v>-0.14000000000000057</v>
      </c>
      <c r="H725" s="5">
        <f t="shared" si="121"/>
        <v>-9.254974548819991E-4</v>
      </c>
      <c r="I725" s="3">
        <f t="shared" si="118"/>
        <v>0.13075111268374537</v>
      </c>
      <c r="J725" s="5">
        <f t="shared" si="122"/>
        <v>-3.2392410920870098E-3</v>
      </c>
      <c r="K725" s="3">
        <f t="shared" si="119"/>
        <v>0.61687802375273981</v>
      </c>
      <c r="L725" s="3">
        <f t="shared" si="120"/>
        <v>-0.56838204500223932</v>
      </c>
    </row>
    <row r="726" spans="1:12" x14ac:dyDescent="0.25">
      <c r="A726" s="26">
        <v>43.45</v>
      </c>
      <c r="B726">
        <v>43.22</v>
      </c>
      <c r="C726">
        <v>1.85</v>
      </c>
      <c r="D726" s="2">
        <v>44294</v>
      </c>
      <c r="E726">
        <v>43.36</v>
      </c>
      <c r="F726">
        <v>0.09</v>
      </c>
      <c r="G726">
        <v>-0.14000000000000057</v>
      </c>
      <c r="H726" s="5">
        <f t="shared" si="121"/>
        <v>2.0756457564575647E-3</v>
      </c>
      <c r="I726" s="3">
        <f t="shared" si="118"/>
        <v>0.62889933833207445</v>
      </c>
      <c r="J726" s="5">
        <f t="shared" si="122"/>
        <v>-3.2287822878228913E-3</v>
      </c>
      <c r="K726" s="3">
        <f t="shared" si="119"/>
        <v>0.62493510722304924</v>
      </c>
      <c r="L726" s="3">
        <f t="shared" si="120"/>
        <v>0.41098384828295936</v>
      </c>
    </row>
    <row r="727" spans="1:12" x14ac:dyDescent="0.25">
      <c r="A727" s="26">
        <v>43.63</v>
      </c>
      <c r="B727">
        <v>43.62</v>
      </c>
      <c r="C727">
        <v>1.78</v>
      </c>
      <c r="D727" s="2">
        <v>44293</v>
      </c>
      <c r="E727">
        <v>43.72</v>
      </c>
      <c r="F727">
        <v>-0.09</v>
      </c>
      <c r="G727">
        <v>-0.10000000000000142</v>
      </c>
      <c r="H727" s="5">
        <f t="shared" si="121"/>
        <v>-2.0585544373284536E-3</v>
      </c>
      <c r="I727" s="3">
        <f t="shared" si="118"/>
        <v>-5.6569951506216971E-2</v>
      </c>
      <c r="J727" s="5">
        <f t="shared" si="122"/>
        <v>-2.2872827081427591E-3</v>
      </c>
      <c r="K727" s="3">
        <f t="shared" si="119"/>
        <v>1.0482200978220988</v>
      </c>
      <c r="L727" s="3">
        <f t="shared" si="120"/>
        <v>0.16916921081953107</v>
      </c>
    </row>
    <row r="728" spans="1:12" x14ac:dyDescent="0.25">
      <c r="A728" s="26">
        <v>43.05</v>
      </c>
      <c r="B728">
        <v>42.72</v>
      </c>
      <c r="C728">
        <v>1.88</v>
      </c>
      <c r="D728" s="2">
        <v>44292</v>
      </c>
      <c r="E728">
        <v>42.83</v>
      </c>
      <c r="F728">
        <v>0.22</v>
      </c>
      <c r="G728">
        <v>-0.10999999999999943</v>
      </c>
      <c r="H728" s="5">
        <f t="shared" si="121"/>
        <v>5.1365865047863649E-3</v>
      </c>
      <c r="I728" s="3">
        <f t="shared" si="118"/>
        <v>1.1416682061443433</v>
      </c>
      <c r="J728" s="5">
        <f t="shared" si="122"/>
        <v>-2.568293252393169E-3</v>
      </c>
      <c r="K728" s="3">
        <f t="shared" si="119"/>
        <v>0.92708248504116808</v>
      </c>
      <c r="L728" s="3">
        <f t="shared" si="120"/>
        <v>0.50215882977888759</v>
      </c>
    </row>
    <row r="729" spans="1:12" x14ac:dyDescent="0.25">
      <c r="A729" s="26">
        <v>42.04</v>
      </c>
      <c r="B729">
        <v>42.08</v>
      </c>
      <c r="C729">
        <v>1.45</v>
      </c>
      <c r="D729" s="2">
        <v>44287</v>
      </c>
      <c r="E729">
        <v>42.14</v>
      </c>
      <c r="F729">
        <v>-0.1</v>
      </c>
      <c r="G729">
        <v>-6.0000000000002274E-2</v>
      </c>
      <c r="H729" s="5">
        <f t="shared" si="121"/>
        <v>-2.3730422401518746E-3</v>
      </c>
      <c r="I729" s="3">
        <f t="shared" si="118"/>
        <v>-0.10426637874904854</v>
      </c>
      <c r="J729" s="5">
        <f t="shared" si="122"/>
        <v>-1.4238253440911788E-3</v>
      </c>
      <c r="K729" s="3">
        <f t="shared" si="119"/>
        <v>1.4330152186291099</v>
      </c>
      <c r="L729" s="3">
        <f t="shared" si="120"/>
        <v>-0.95210685633742498</v>
      </c>
    </row>
    <row r="730" spans="1:12" x14ac:dyDescent="0.25">
      <c r="A730" s="26">
        <v>42.26</v>
      </c>
      <c r="B730">
        <v>42.3</v>
      </c>
      <c r="C730">
        <v>1.34</v>
      </c>
      <c r="D730" s="2">
        <v>44286</v>
      </c>
      <c r="E730">
        <v>42.33</v>
      </c>
      <c r="F730">
        <v>-7.0000000000000007E-2</v>
      </c>
      <c r="G730">
        <v>-3.0000000000001137E-2</v>
      </c>
      <c r="H730" s="5">
        <f t="shared" si="121"/>
        <v>-1.6536735175998111E-3</v>
      </c>
      <c r="I730" s="3">
        <f t="shared" si="118"/>
        <v>1.8286705473406377E-2</v>
      </c>
      <c r="J730" s="5">
        <f t="shared" si="122"/>
        <v>-7.0871722182851734E-4</v>
      </c>
      <c r="K730" s="3">
        <f t="shared" si="119"/>
        <v>1.7677820359644161</v>
      </c>
      <c r="L730" s="3">
        <f t="shared" si="120"/>
        <v>-1.3328754192813745</v>
      </c>
    </row>
    <row r="731" spans="1:12" x14ac:dyDescent="0.25">
      <c r="A731" s="26">
        <v>42.25</v>
      </c>
      <c r="B731">
        <v>42.12</v>
      </c>
      <c r="C731">
        <v>1.59</v>
      </c>
      <c r="D731" s="2">
        <v>44285</v>
      </c>
      <c r="E731">
        <v>42.15</v>
      </c>
      <c r="F731">
        <v>0.1</v>
      </c>
      <c r="G731">
        <v>-3.0000000000001137E-2</v>
      </c>
      <c r="H731" s="5">
        <f t="shared" si="121"/>
        <v>2.3724792408066431E-3</v>
      </c>
      <c r="I731" s="3">
        <f t="shared" si="118"/>
        <v>0.6920574865314113</v>
      </c>
      <c r="J731" s="5">
        <f t="shared" si="122"/>
        <v>-7.1174377224201993E-4</v>
      </c>
      <c r="K731" s="3">
        <f t="shared" si="119"/>
        <v>1.7887126904319415</v>
      </c>
      <c r="L731" s="3">
        <f t="shared" si="120"/>
        <v>-0.49672788223223519</v>
      </c>
    </row>
    <row r="732" spans="1:12" x14ac:dyDescent="0.25">
      <c r="A732" s="26">
        <v>40.71</v>
      </c>
      <c r="B732">
        <v>40.67</v>
      </c>
      <c r="C732">
        <v>1.55</v>
      </c>
      <c r="D732" s="2">
        <v>44284</v>
      </c>
      <c r="E732">
        <v>40.78</v>
      </c>
      <c r="F732">
        <v>-7.0000000000000007E-2</v>
      </c>
      <c r="G732">
        <v>-0.10999999999999943</v>
      </c>
      <c r="H732" s="5">
        <f t="shared" si="121"/>
        <v>-1.716527709661599E-3</v>
      </c>
      <c r="I732" s="3">
        <f t="shared" si="118"/>
        <v>7.877012890697456E-3</v>
      </c>
      <c r="J732" s="5">
        <f t="shared" si="122"/>
        <v>-2.6974006866110701E-3</v>
      </c>
      <c r="K732" s="3">
        <f t="shared" si="119"/>
        <v>0.90828435638456639</v>
      </c>
      <c r="L732" s="3">
        <f t="shared" si="120"/>
        <v>-0.63554973505238621</v>
      </c>
    </row>
    <row r="733" spans="1:12" x14ac:dyDescent="0.25">
      <c r="A733" s="26">
        <v>40.86</v>
      </c>
      <c r="B733">
        <v>40.9</v>
      </c>
      <c r="C733">
        <v>1.64</v>
      </c>
      <c r="D733" s="2">
        <v>44281</v>
      </c>
      <c r="E733">
        <v>41.08</v>
      </c>
      <c r="F733">
        <v>-0.22</v>
      </c>
      <c r="G733">
        <v>-0.17999999999999972</v>
      </c>
      <c r="H733" s="5">
        <f t="shared" si="121"/>
        <v>-5.3554040895813053E-3</v>
      </c>
      <c r="I733" s="3">
        <f t="shared" si="118"/>
        <v>-0.60039130603316859</v>
      </c>
      <c r="J733" s="5">
        <f t="shared" si="122"/>
        <v>-4.38169425511197E-3</v>
      </c>
      <c r="K733" s="3">
        <f t="shared" si="119"/>
        <v>0.14633365734647363</v>
      </c>
      <c r="L733" s="3">
        <f t="shared" si="120"/>
        <v>-0.34557735932609296</v>
      </c>
    </row>
    <row r="734" spans="1:12" x14ac:dyDescent="0.25">
      <c r="A734" s="26">
        <v>40.69</v>
      </c>
      <c r="B734">
        <v>40.590000000000003</v>
      </c>
      <c r="C734">
        <v>1.6</v>
      </c>
      <c r="D734" s="2">
        <v>44280</v>
      </c>
      <c r="E734">
        <v>40.65</v>
      </c>
      <c r="F734">
        <v>0.04</v>
      </c>
      <c r="G734">
        <v>-5.9999999999995168E-2</v>
      </c>
      <c r="H734" s="5">
        <f t="shared" si="121"/>
        <v>9.840098400984011E-4</v>
      </c>
      <c r="I734" s="3">
        <f t="shared" si="118"/>
        <v>0.44534969089503162</v>
      </c>
      <c r="J734" s="5">
        <f t="shared" si="122"/>
        <v>-1.4760147601474826E-3</v>
      </c>
      <c r="K734" s="3">
        <f t="shared" si="119"/>
        <v>1.4638020250864303</v>
      </c>
      <c r="L734" s="3">
        <f t="shared" si="120"/>
        <v>-0.48308184719503061</v>
      </c>
    </row>
    <row r="735" spans="1:12" x14ac:dyDescent="0.25">
      <c r="A735" s="26">
        <v>40.94</v>
      </c>
      <c r="B735">
        <v>40.86</v>
      </c>
      <c r="C735">
        <v>1.94</v>
      </c>
      <c r="D735" s="2">
        <v>44279</v>
      </c>
      <c r="E735">
        <v>40.96</v>
      </c>
      <c r="F735">
        <v>-0.02</v>
      </c>
      <c r="G735">
        <v>-0.10000000000000142</v>
      </c>
      <c r="H735" s="5">
        <f t="shared" si="121"/>
        <v>-4.8828125E-4</v>
      </c>
      <c r="I735" s="3">
        <f t="shared" si="118"/>
        <v>0.20286962683739879</v>
      </c>
      <c r="J735" s="5">
        <f t="shared" si="122"/>
        <v>-2.4414062500000347E-3</v>
      </c>
      <c r="K735" s="3">
        <f t="shared" si="119"/>
        <v>1.0332778823410584</v>
      </c>
      <c r="L735" s="3">
        <f t="shared" si="120"/>
        <v>0.62536977361514146</v>
      </c>
    </row>
    <row r="736" spans="1:12" x14ac:dyDescent="0.25">
      <c r="A736" s="26">
        <v>41.77</v>
      </c>
      <c r="B736">
        <v>41.71</v>
      </c>
      <c r="C736">
        <v>1.66</v>
      </c>
      <c r="D736" s="2">
        <v>44278</v>
      </c>
      <c r="E736">
        <v>41.74</v>
      </c>
      <c r="F736">
        <v>0.03</v>
      </c>
      <c r="G736">
        <v>-3.0000000000001137E-2</v>
      </c>
      <c r="H736" s="5">
        <f t="shared" si="121"/>
        <v>7.1873502635361761E-4</v>
      </c>
      <c r="I736" s="3">
        <f t="shared" si="118"/>
        <v>0.40556665662968222</v>
      </c>
      <c r="J736" s="5">
        <f t="shared" si="122"/>
        <v>-7.1873502635364482E-4</v>
      </c>
      <c r="K736" s="3">
        <f t="shared" si="119"/>
        <v>1.8248828839783842</v>
      </c>
      <c r="L736" s="3">
        <f t="shared" si="120"/>
        <v>-0.29486758909915856</v>
      </c>
    </row>
    <row r="737" spans="1:12" x14ac:dyDescent="0.25">
      <c r="A737" s="26">
        <v>41.8</v>
      </c>
      <c r="B737">
        <v>41.73</v>
      </c>
      <c r="C737">
        <v>1.7</v>
      </c>
      <c r="D737" s="2">
        <v>44277</v>
      </c>
      <c r="E737">
        <v>41.8</v>
      </c>
      <c r="F737">
        <v>0</v>
      </c>
      <c r="G737">
        <v>-7.0000000000000284E-2</v>
      </c>
      <c r="H737" s="5">
        <f t="shared" si="121"/>
        <v>0</v>
      </c>
      <c r="I737" s="3">
        <f t="shared" si="118"/>
        <v>0.29091421296105763</v>
      </c>
      <c r="J737" s="5">
        <f t="shared" si="122"/>
        <v>-1.6746411483253658E-3</v>
      </c>
      <c r="K737" s="3">
        <f t="shared" si="119"/>
        <v>1.4090204250944089</v>
      </c>
      <c r="L737" s="3">
        <f t="shared" si="120"/>
        <v>-0.16968041353231617</v>
      </c>
    </row>
    <row r="738" spans="1:12" x14ac:dyDescent="0.25">
      <c r="A738" s="26">
        <v>41.91</v>
      </c>
      <c r="B738">
        <v>41.96</v>
      </c>
      <c r="C738">
        <v>1.44</v>
      </c>
      <c r="D738" s="2">
        <v>44274</v>
      </c>
      <c r="E738">
        <v>42.09</v>
      </c>
      <c r="F738">
        <v>-0.18</v>
      </c>
      <c r="G738">
        <v>-0.13000000000000256</v>
      </c>
      <c r="H738" s="5">
        <f t="shared" si="121"/>
        <v>-4.2765502494654306E-3</v>
      </c>
      <c r="I738" s="3">
        <f t="shared" si="118"/>
        <v>-0.41817283584334197</v>
      </c>
      <c r="J738" s="5">
        <f t="shared" si="122"/>
        <v>-3.0886196246139833E-3</v>
      </c>
      <c r="K738" s="3">
        <f t="shared" si="119"/>
        <v>0.76482479503597056</v>
      </c>
      <c r="L738" s="3">
        <f t="shared" si="120"/>
        <v>-1.0206613473931307</v>
      </c>
    </row>
    <row r="739" spans="1:12" x14ac:dyDescent="0.25">
      <c r="A739" s="26">
        <v>43.35</v>
      </c>
      <c r="B739">
        <v>43.13</v>
      </c>
      <c r="C739">
        <v>1.92</v>
      </c>
      <c r="D739" s="2">
        <v>44273</v>
      </c>
      <c r="E739">
        <v>43.16</v>
      </c>
      <c r="F739">
        <v>0.19</v>
      </c>
      <c r="G739">
        <v>-2.9999999999994031E-2</v>
      </c>
      <c r="H739" s="5">
        <f t="shared" si="121"/>
        <v>4.4022242817423549E-3</v>
      </c>
      <c r="I739" s="3">
        <f t="shared" si="118"/>
        <v>1.0198686183235244</v>
      </c>
      <c r="J739" s="5">
        <f t="shared" si="122"/>
        <v>-6.9508804448549662E-4</v>
      </c>
      <c r="K739" s="3">
        <f t="shared" si="119"/>
        <v>1.8738634660582956</v>
      </c>
      <c r="L739" s="3">
        <f t="shared" si="120"/>
        <v>0.54041236113880031</v>
      </c>
    </row>
    <row r="740" spans="1:12" x14ac:dyDescent="0.25">
      <c r="A740" s="26">
        <v>41.52</v>
      </c>
      <c r="B740">
        <v>41.59</v>
      </c>
      <c r="C740">
        <v>1.7</v>
      </c>
      <c r="D740" s="2">
        <v>44272</v>
      </c>
      <c r="E740">
        <v>41.72</v>
      </c>
      <c r="F740">
        <v>-0.2</v>
      </c>
      <c r="G740">
        <v>-0.12999999999999545</v>
      </c>
      <c r="H740" s="5">
        <f t="shared" si="121"/>
        <v>-4.7938638542665392E-3</v>
      </c>
      <c r="I740" s="3">
        <f t="shared" si="118"/>
        <v>-0.50249499604573289</v>
      </c>
      <c r="J740" s="5">
        <f t="shared" si="122"/>
        <v>-3.1160115052731412E-3</v>
      </c>
      <c r="K740" s="3">
        <f t="shared" si="119"/>
        <v>0.7683605459210533</v>
      </c>
      <c r="L740" s="3">
        <f t="shared" si="120"/>
        <v>-0.17930261239371839</v>
      </c>
    </row>
    <row r="741" spans="1:12" x14ac:dyDescent="0.25">
      <c r="A741" s="26">
        <v>41.92</v>
      </c>
      <c r="B741">
        <v>41.89</v>
      </c>
      <c r="C741">
        <v>1.7</v>
      </c>
      <c r="D741" s="2">
        <v>44271</v>
      </c>
      <c r="E741">
        <v>41.96</v>
      </c>
      <c r="F741">
        <v>-0.04</v>
      </c>
      <c r="G741">
        <v>-7.0000000000000284E-2</v>
      </c>
      <c r="H741" s="5">
        <f t="shared" si="121"/>
        <v>-9.5328884652049568E-4</v>
      </c>
      <c r="I741" s="3">
        <f t="shared" si="118"/>
        <v>0.13277219458268549</v>
      </c>
      <c r="J741" s="5">
        <f t="shared" si="122"/>
        <v>-1.6682554814108743E-3</v>
      </c>
      <c r="K741" s="3">
        <f t="shared" si="119"/>
        <v>1.4444366452092163</v>
      </c>
      <c r="L741" s="3">
        <f t="shared" si="120"/>
        <v>-0.18803817672418299</v>
      </c>
    </row>
    <row r="742" spans="1:12" x14ac:dyDescent="0.25">
      <c r="A742" s="26">
        <v>42.84</v>
      </c>
      <c r="B742">
        <v>42.76</v>
      </c>
      <c r="C742">
        <v>1.66</v>
      </c>
      <c r="D742" s="2">
        <v>44270</v>
      </c>
      <c r="E742">
        <v>42.84</v>
      </c>
      <c r="F742">
        <v>0</v>
      </c>
      <c r="G742">
        <v>-8.00000000000054E-2</v>
      </c>
      <c r="H742" s="5">
        <f t="shared" si="121"/>
        <v>0</v>
      </c>
      <c r="I742" s="3">
        <f t="shared" si="118"/>
        <v>0.29382892441382874</v>
      </c>
      <c r="J742" s="5">
        <f t="shared" si="122"/>
        <v>-1.8674136321196403E-3</v>
      </c>
      <c r="K742" s="3">
        <f t="shared" si="119"/>
        <v>1.3655978116358591</v>
      </c>
      <c r="L742" s="3">
        <f t="shared" si="120"/>
        <v>-0.32517555520935743</v>
      </c>
    </row>
    <row r="743" spans="1:12" x14ac:dyDescent="0.25">
      <c r="A743" s="26">
        <v>41.52</v>
      </c>
      <c r="B743">
        <v>41.44</v>
      </c>
      <c r="C743">
        <v>2.04</v>
      </c>
      <c r="D743" s="2">
        <v>44267</v>
      </c>
      <c r="E743">
        <v>41.62</v>
      </c>
      <c r="F743">
        <v>-0.1</v>
      </c>
      <c r="G743">
        <v>-0.17999999999999972</v>
      </c>
      <c r="H743" s="5">
        <f t="shared" si="121"/>
        <v>-2.4026910139356081E-3</v>
      </c>
      <c r="I743" s="3">
        <f t="shared" si="118"/>
        <v>-0.10923695952219549</v>
      </c>
      <c r="J743" s="5">
        <f t="shared" si="122"/>
        <v>-4.3248438250840879E-3</v>
      </c>
      <c r="K743" s="3">
        <f t="shared" si="119"/>
        <v>0.21875384187376773</v>
      </c>
      <c r="L743" s="3">
        <f t="shared" si="120"/>
        <v>0.86837664588554253</v>
      </c>
    </row>
    <row r="744" spans="1:12" x14ac:dyDescent="0.25">
      <c r="A744" s="26">
        <v>40.92</v>
      </c>
      <c r="B744">
        <v>40.92</v>
      </c>
      <c r="C744">
        <v>1.67</v>
      </c>
      <c r="D744" s="2">
        <v>44266</v>
      </c>
      <c r="E744">
        <v>41.07</v>
      </c>
      <c r="F744">
        <v>-0.15</v>
      </c>
      <c r="G744">
        <v>-0.14999999999999858</v>
      </c>
      <c r="H744" s="5">
        <f t="shared" si="121"/>
        <v>-3.6523009495982466E-3</v>
      </c>
      <c r="I744" s="3">
        <f t="shared" si="118"/>
        <v>-0.3161117419982481</v>
      </c>
      <c r="J744" s="5">
        <f t="shared" si="122"/>
        <v>-3.6523009495982124E-3</v>
      </c>
      <c r="K744" s="3">
        <f t="shared" si="119"/>
        <v>0.53198632396717249</v>
      </c>
      <c r="L744" s="3">
        <f t="shared" si="120"/>
        <v>-0.30339864265795008</v>
      </c>
    </row>
    <row r="745" spans="1:12" x14ac:dyDescent="0.25">
      <c r="A745" s="26">
        <v>41</v>
      </c>
      <c r="B745">
        <v>40.92</v>
      </c>
      <c r="C745">
        <v>2.02</v>
      </c>
      <c r="D745" s="2">
        <v>44265</v>
      </c>
      <c r="E745">
        <v>41.03</v>
      </c>
      <c r="F745">
        <v>-0.03</v>
      </c>
      <c r="G745">
        <v>-0.10999999999999943</v>
      </c>
      <c r="H745" s="5">
        <f t="shared" si="121"/>
        <v>-7.3117231294174986E-4</v>
      </c>
      <c r="I745" s="3">
        <f t="shared" si="118"/>
        <v>0.16750779654677753</v>
      </c>
      <c r="J745" s="5">
        <f t="shared" si="122"/>
        <v>-2.6809651474530693E-3</v>
      </c>
      <c r="K745" s="3">
        <f t="shared" si="119"/>
        <v>0.9868114724674768</v>
      </c>
      <c r="L745" s="3">
        <f t="shared" si="120"/>
        <v>0.76348306707916114</v>
      </c>
    </row>
    <row r="746" spans="1:12" x14ac:dyDescent="0.25">
      <c r="A746" s="26">
        <v>39.4</v>
      </c>
      <c r="B746">
        <v>39.229999999999997</v>
      </c>
      <c r="C746">
        <v>1.98</v>
      </c>
      <c r="D746" s="2">
        <v>44264</v>
      </c>
      <c r="E746">
        <v>39.32</v>
      </c>
      <c r="F746">
        <v>0.08</v>
      </c>
      <c r="G746">
        <v>-9.0000000000003411E-2</v>
      </c>
      <c r="H746" s="5">
        <f t="shared" si="121"/>
        <v>2.0345879959308239E-3</v>
      </c>
      <c r="I746" s="3">
        <f t="shared" si="118"/>
        <v>0.62733824043268471</v>
      </c>
      <c r="J746" s="5">
        <f t="shared" si="122"/>
        <v>-2.2889114954222638E-3</v>
      </c>
      <c r="K746" s="3">
        <f t="shared" si="119"/>
        <v>1.1701278613585704</v>
      </c>
      <c r="L746" s="3">
        <f t="shared" si="120"/>
        <v>0.63468689659082766</v>
      </c>
    </row>
    <row r="747" spans="1:12" x14ac:dyDescent="0.25">
      <c r="A747" s="26">
        <v>38.409999999999997</v>
      </c>
      <c r="B747">
        <v>38.39</v>
      </c>
      <c r="C747">
        <v>1.56</v>
      </c>
      <c r="D747" s="2">
        <v>44263</v>
      </c>
      <c r="E747">
        <v>38.53</v>
      </c>
      <c r="F747">
        <v>-0.12</v>
      </c>
      <c r="G747">
        <v>-0.14000000000000057</v>
      </c>
      <c r="H747" s="5">
        <f t="shared" si="121"/>
        <v>-3.1144562678432387E-3</v>
      </c>
      <c r="I747" s="3">
        <f t="shared" si="118"/>
        <v>-0.2249666185146813</v>
      </c>
      <c r="J747" s="5">
        <f t="shared" si="122"/>
        <v>-3.6335323124837937E-3</v>
      </c>
      <c r="K747" s="3">
        <f t="shared" si="119"/>
        <v>0.54232737515604024</v>
      </c>
      <c r="L747" s="3">
        <f t="shared" si="120"/>
        <v>-0.65164462335622175</v>
      </c>
    </row>
    <row r="748" spans="1:12" x14ac:dyDescent="0.25">
      <c r="A748" s="26">
        <v>38.08</v>
      </c>
      <c r="B748">
        <v>38.130000000000003</v>
      </c>
      <c r="C748">
        <v>1.57</v>
      </c>
      <c r="D748" s="2">
        <v>44260</v>
      </c>
      <c r="E748">
        <v>38.25</v>
      </c>
      <c r="F748">
        <v>-0.17</v>
      </c>
      <c r="G748">
        <v>-0.11999999999999744</v>
      </c>
      <c r="H748" s="5">
        <f t="shared" si="121"/>
        <v>-4.4444444444444444E-3</v>
      </c>
      <c r="I748" s="3">
        <f t="shared" si="118"/>
        <v>-0.44907572807544649</v>
      </c>
      <c r="J748" s="5">
        <f t="shared" si="122"/>
        <v>-3.1372549019607174E-3</v>
      </c>
      <c r="K748" s="3">
        <f t="shared" si="119"/>
        <v>0.77813933663021151</v>
      </c>
      <c r="L748" s="3">
        <f t="shared" si="120"/>
        <v>-0.62825644966566696</v>
      </c>
    </row>
    <row r="749" spans="1:12" x14ac:dyDescent="0.25">
      <c r="A749" s="26">
        <v>36.9</v>
      </c>
      <c r="B749">
        <v>36.85</v>
      </c>
      <c r="C749">
        <v>1.8</v>
      </c>
      <c r="D749" s="2">
        <v>44259</v>
      </c>
      <c r="E749">
        <v>37</v>
      </c>
      <c r="F749">
        <v>-0.1</v>
      </c>
      <c r="G749">
        <v>-0.14999999999999858</v>
      </c>
      <c r="H749" s="5">
        <f t="shared" si="121"/>
        <v>-2.7027027027027029E-3</v>
      </c>
      <c r="I749" s="3">
        <f t="shared" si="118"/>
        <v>-0.16234395756803283</v>
      </c>
      <c r="J749" s="5">
        <f t="shared" si="122"/>
        <v>-4.0540540540540152E-3</v>
      </c>
      <c r="K749" s="3">
        <f t="shared" si="119"/>
        <v>0.34466795973024283</v>
      </c>
      <c r="L749" s="3">
        <f t="shared" si="120"/>
        <v>6.440835517462816E-2</v>
      </c>
    </row>
    <row r="750" spans="1:12" x14ac:dyDescent="0.25">
      <c r="A750" s="26">
        <v>37.56</v>
      </c>
      <c r="B750">
        <v>37.549999999999997</v>
      </c>
      <c r="C750">
        <v>1.83</v>
      </c>
      <c r="D750" s="2">
        <v>44258</v>
      </c>
      <c r="E750">
        <v>37.68</v>
      </c>
      <c r="F750">
        <v>-0.12</v>
      </c>
      <c r="G750">
        <v>-0.13000000000000256</v>
      </c>
      <c r="H750" s="5">
        <f t="shared" si="121"/>
        <v>-3.1847133757961781E-3</v>
      </c>
      <c r="I750" s="3">
        <f t="shared" si="118"/>
        <v>-0.24220336418458335</v>
      </c>
      <c r="J750" s="5">
        <f t="shared" si="122"/>
        <v>-3.4501061571125943E-3</v>
      </c>
      <c r="K750" s="3">
        <f t="shared" si="119"/>
        <v>0.62147879643560289</v>
      </c>
      <c r="L750" s="3">
        <f t="shared" si="120"/>
        <v>0.15290958650471745</v>
      </c>
    </row>
    <row r="751" spans="1:12" x14ac:dyDescent="0.25">
      <c r="A751" s="26">
        <v>37.25</v>
      </c>
      <c r="B751">
        <v>37.24</v>
      </c>
      <c r="C751">
        <v>1.56</v>
      </c>
      <c r="D751" s="2">
        <v>44257</v>
      </c>
      <c r="E751">
        <v>37.409999999999997</v>
      </c>
      <c r="F751">
        <v>-0.16</v>
      </c>
      <c r="G751">
        <v>-0.1699999999999946</v>
      </c>
      <c r="H751" s="5">
        <f t="shared" si="121"/>
        <v>-4.2769313017909658E-3</v>
      </c>
      <c r="I751" s="3">
        <f t="shared" si="118"/>
        <v>-0.42660716668706378</v>
      </c>
      <c r="J751" s="5">
        <f t="shared" si="122"/>
        <v>-4.5442395081527562E-3</v>
      </c>
      <c r="K751" s="3">
        <f t="shared" si="119"/>
        <v>0.10823747334240982</v>
      </c>
      <c r="L751" s="3">
        <f t="shared" si="120"/>
        <v>-0.66895386130460111</v>
      </c>
    </row>
    <row r="752" spans="1:12" x14ac:dyDescent="0.25">
      <c r="A752" s="26">
        <v>37.659999999999997</v>
      </c>
      <c r="B752">
        <v>37.520000000000003</v>
      </c>
      <c r="C752">
        <v>1.88</v>
      </c>
      <c r="D752" s="2">
        <v>44256</v>
      </c>
      <c r="E752">
        <v>37.69</v>
      </c>
      <c r="F752">
        <v>-0.03</v>
      </c>
      <c r="G752">
        <v>-0.1699999999999946</v>
      </c>
      <c r="H752" s="5">
        <f t="shared" si="121"/>
        <v>-7.9596710002653227E-4</v>
      </c>
      <c r="I752" s="3">
        <f t="shared" si="118"/>
        <v>0.1551886884940982</v>
      </c>
      <c r="J752" s="5">
        <f t="shared" si="122"/>
        <v>-4.5104802334835397E-3</v>
      </c>
      <c r="K752" s="3">
        <f t="shared" si="119"/>
        <v>0.11718468630945125</v>
      </c>
      <c r="L752" s="3">
        <f t="shared" si="120"/>
        <v>0.3039921900510073</v>
      </c>
    </row>
    <row r="753" spans="1:12" x14ac:dyDescent="0.25">
      <c r="A753" s="26">
        <v>37.51</v>
      </c>
      <c r="B753">
        <v>37.450000000000003</v>
      </c>
      <c r="C753">
        <v>1.83</v>
      </c>
      <c r="D753" s="2">
        <v>44253</v>
      </c>
      <c r="E753">
        <v>37.6</v>
      </c>
      <c r="F753">
        <v>-0.09</v>
      </c>
      <c r="G753">
        <v>-0.14999999999999858</v>
      </c>
      <c r="H753" s="5">
        <f t="shared" si="121"/>
        <v>-2.3936170212765957E-3</v>
      </c>
      <c r="I753" s="3">
        <f t="shared" si="118"/>
        <v>-0.11205595517418158</v>
      </c>
      <c r="J753" s="5">
        <f t="shared" si="122"/>
        <v>-3.989361702127622E-3</v>
      </c>
      <c r="K753" s="3">
        <f t="shared" si="119"/>
        <v>0.35704440844167273</v>
      </c>
      <c r="L753" s="3">
        <f t="shared" si="120"/>
        <v>0.15082474317006933</v>
      </c>
    </row>
    <row r="754" spans="1:12" x14ac:dyDescent="0.25">
      <c r="A754" s="26">
        <v>38.880000000000003</v>
      </c>
      <c r="B754">
        <v>38.72</v>
      </c>
      <c r="C754">
        <v>2</v>
      </c>
      <c r="D754" s="2">
        <v>44252</v>
      </c>
      <c r="E754">
        <v>38.85</v>
      </c>
      <c r="F754">
        <v>0.03</v>
      </c>
      <c r="G754">
        <v>-0.13000000000000256</v>
      </c>
      <c r="H754" s="5">
        <f t="shared" si="121"/>
        <v>7.722007722007722E-4</v>
      </c>
      <c r="I754" s="3">
        <f t="shared" si="118"/>
        <v>0.40901599922000809</v>
      </c>
      <c r="J754" s="5">
        <f t="shared" si="122"/>
        <v>-3.3462033462034117E-3</v>
      </c>
      <c r="K754" s="3">
        <f t="shared" si="119"/>
        <v>0.65346546258582783</v>
      </c>
      <c r="L754" s="3">
        <f t="shared" si="120"/>
        <v>0.65819744464631835</v>
      </c>
    </row>
    <row r="755" spans="1:12" x14ac:dyDescent="0.25">
      <c r="A755" s="26">
        <v>38.42</v>
      </c>
      <c r="B755">
        <v>38.32</v>
      </c>
      <c r="C755">
        <v>1.96</v>
      </c>
      <c r="D755" s="2">
        <v>44251</v>
      </c>
      <c r="E755">
        <v>38.47</v>
      </c>
      <c r="F755">
        <v>-0.05</v>
      </c>
      <c r="G755">
        <v>-0.14999999999999858</v>
      </c>
      <c r="H755" s="5">
        <f t="shared" si="121"/>
        <v>-1.2997140629061607E-3</v>
      </c>
      <c r="I755" s="3">
        <f t="shared" si="118"/>
        <v>7.1095531801440806E-2</v>
      </c>
      <c r="J755" s="5">
        <f t="shared" si="122"/>
        <v>-3.8991421887184449E-3</v>
      </c>
      <c r="K755" s="3">
        <f t="shared" si="119"/>
        <v>0.40242450327241619</v>
      </c>
      <c r="L755" s="3">
        <f t="shared" si="120"/>
        <v>0.53841793529580118</v>
      </c>
    </row>
    <row r="756" spans="1:12" x14ac:dyDescent="0.25">
      <c r="A756" s="26">
        <v>37.5</v>
      </c>
      <c r="B756">
        <v>37.409999999999997</v>
      </c>
      <c r="C756">
        <v>1.86</v>
      </c>
      <c r="D756" s="2">
        <v>44250</v>
      </c>
      <c r="E756">
        <v>37.57</v>
      </c>
      <c r="F756">
        <v>-7.0000000000000007E-2</v>
      </c>
      <c r="G756">
        <v>-0.16000000000000369</v>
      </c>
      <c r="H756" s="5">
        <f t="shared" si="121"/>
        <v>-1.8631887143997872E-3</v>
      </c>
      <c r="I756" s="3">
        <f t="shared" si="118"/>
        <v>-2.3850886196601431E-2</v>
      </c>
      <c r="J756" s="5">
        <f t="shared" si="122"/>
        <v>-4.2587170614853259E-3</v>
      </c>
      <c r="K756" s="3">
        <f t="shared" si="119"/>
        <v>0.2330757704791846</v>
      </c>
      <c r="L756" s="3">
        <f t="shared" si="120"/>
        <v>0.23950335836460998</v>
      </c>
    </row>
    <row r="757" spans="1:12" x14ac:dyDescent="0.25">
      <c r="A757" s="26">
        <v>36.840000000000003</v>
      </c>
      <c r="B757">
        <v>36.85</v>
      </c>
      <c r="C757">
        <v>1.68</v>
      </c>
      <c r="D757" s="2">
        <v>44249</v>
      </c>
      <c r="E757">
        <v>37.04</v>
      </c>
      <c r="F757">
        <v>-0.2</v>
      </c>
      <c r="G757">
        <v>-0.18999999999999773</v>
      </c>
      <c r="H757" s="5">
        <f t="shared" si="121"/>
        <v>-5.399568034557236E-3</v>
      </c>
      <c r="I757" s="3">
        <f t="shared" si="118"/>
        <v>-0.60639873091759644</v>
      </c>
      <c r="J757" s="5">
        <f t="shared" si="122"/>
        <v>-5.1295896328293128E-3</v>
      </c>
      <c r="K757" s="3">
        <f t="shared" si="119"/>
        <v>-0.17231202644955973</v>
      </c>
      <c r="L757" s="3">
        <f t="shared" si="120"/>
        <v>-0.30063073356270992</v>
      </c>
    </row>
    <row r="758" spans="1:12" x14ac:dyDescent="0.25">
      <c r="A758" s="26">
        <v>38.36</v>
      </c>
      <c r="B758">
        <v>38.299999999999997</v>
      </c>
      <c r="C758">
        <v>1.9</v>
      </c>
      <c r="D758" s="2">
        <v>44246</v>
      </c>
      <c r="E758">
        <v>38.4</v>
      </c>
      <c r="F758">
        <v>-0.04</v>
      </c>
      <c r="G758">
        <v>-0.10000000000000142</v>
      </c>
      <c r="H758" s="5">
        <f t="shared" si="121"/>
        <v>-1.0416666666666667E-3</v>
      </c>
      <c r="I758" s="3">
        <f t="shared" si="118"/>
        <v>0.1127415326537811</v>
      </c>
      <c r="J758" s="5">
        <f t="shared" si="122"/>
        <v>-2.6041666666667038E-3</v>
      </c>
      <c r="K758" s="3">
        <f t="shared" si="119"/>
        <v>0.98873498385152347</v>
      </c>
      <c r="L758" s="3">
        <f t="shared" si="120"/>
        <v>0.3619155459535916</v>
      </c>
    </row>
    <row r="759" spans="1:12" x14ac:dyDescent="0.25">
      <c r="A759" s="26">
        <v>38.01</v>
      </c>
      <c r="B759">
        <v>38.03</v>
      </c>
      <c r="C759">
        <v>1.61</v>
      </c>
      <c r="D759" s="2">
        <v>44245</v>
      </c>
      <c r="E759">
        <v>38.21</v>
      </c>
      <c r="F759">
        <v>-0.2</v>
      </c>
      <c r="G759">
        <v>-0.17999999999999972</v>
      </c>
      <c r="H759" s="5">
        <f t="shared" si="121"/>
        <v>-5.2342318764721282E-3</v>
      </c>
      <c r="I759" s="3">
        <f t="shared" si="118"/>
        <v>-0.58173502737672877</v>
      </c>
      <c r="J759" s="5">
        <f t="shared" si="122"/>
        <v>-4.7108086888249072E-3</v>
      </c>
      <c r="K759" s="3">
        <f t="shared" si="119"/>
        <v>1.9264653127020449E-2</v>
      </c>
      <c r="L759" s="3">
        <f t="shared" si="120"/>
        <v>-0.51233196331744069</v>
      </c>
    </row>
    <row r="760" spans="1:12" x14ac:dyDescent="0.25">
      <c r="A760" s="26">
        <v>38.42</v>
      </c>
      <c r="B760">
        <v>38.42</v>
      </c>
      <c r="C760">
        <v>1.83</v>
      </c>
      <c r="D760" s="2">
        <v>44244</v>
      </c>
      <c r="E760">
        <v>38.57</v>
      </c>
      <c r="F760">
        <v>-0.15</v>
      </c>
      <c r="G760">
        <v>-0.14999999999999858</v>
      </c>
      <c r="H760" s="5">
        <f t="shared" si="121"/>
        <v>-3.8890329271454496E-3</v>
      </c>
      <c r="I760" s="3">
        <f t="shared" si="118"/>
        <v>-0.3661531153637656</v>
      </c>
      <c r="J760" s="5">
        <f t="shared" si="122"/>
        <v>-3.8890329271454131E-3</v>
      </c>
      <c r="K760" s="3">
        <f t="shared" si="119"/>
        <v>0.39345818058246612</v>
      </c>
      <c r="L760" s="3">
        <f t="shared" si="120"/>
        <v>0.13539219466673527</v>
      </c>
    </row>
    <row r="761" spans="1:12" x14ac:dyDescent="0.25">
      <c r="A761" s="26">
        <v>40.19</v>
      </c>
      <c r="B761">
        <v>40.01</v>
      </c>
      <c r="C761">
        <v>1.82</v>
      </c>
      <c r="D761" s="2">
        <v>44243</v>
      </c>
      <c r="E761">
        <v>40.229999999999997</v>
      </c>
      <c r="F761">
        <v>-0.04</v>
      </c>
      <c r="G761">
        <v>-0.21999999999999886</v>
      </c>
      <c r="H761" s="5">
        <f t="shared" si="121"/>
        <v>-9.942828734775045E-4</v>
      </c>
      <c r="I761" s="3">
        <f t="shared" si="118"/>
        <v>0.10367791941158447</v>
      </c>
      <c r="J761" s="5">
        <f t="shared" si="122"/>
        <v>-5.4685558041262464E-3</v>
      </c>
      <c r="K761" s="3">
        <f t="shared" si="119"/>
        <v>-0.33748136033258058</v>
      </c>
      <c r="L761" s="3">
        <f t="shared" si="120"/>
        <v>0.10664687422275464</v>
      </c>
    </row>
    <row r="762" spans="1:12" x14ac:dyDescent="0.25">
      <c r="A762" s="26">
        <v>39.82</v>
      </c>
      <c r="B762">
        <v>39.6</v>
      </c>
      <c r="C762">
        <v>1.98</v>
      </c>
      <c r="D762" s="2">
        <v>44242</v>
      </c>
      <c r="E762">
        <v>39.81</v>
      </c>
      <c r="F762">
        <v>0.01</v>
      </c>
      <c r="G762">
        <v>-0.21000000000000085</v>
      </c>
      <c r="H762" s="5">
        <f t="shared" si="121"/>
        <v>2.5119316754584274E-4</v>
      </c>
      <c r="I762" s="3">
        <f t="shared" si="118"/>
        <v>0.30845538734548694</v>
      </c>
      <c r="J762" s="5">
        <f t="shared" si="122"/>
        <v>-5.2750565184627191E-3</v>
      </c>
      <c r="K762" s="3">
        <f t="shared" si="119"/>
        <v>-0.24934888245988701</v>
      </c>
      <c r="L762" s="3">
        <f t="shared" si="120"/>
        <v>0.57970495943341926</v>
      </c>
    </row>
    <row r="763" spans="1:12" x14ac:dyDescent="0.25">
      <c r="A763" s="26">
        <v>37.799999999999997</v>
      </c>
      <c r="B763">
        <v>37.619999999999997</v>
      </c>
      <c r="C763">
        <v>2.09</v>
      </c>
      <c r="D763" s="2">
        <v>44239</v>
      </c>
      <c r="E763">
        <v>37.89</v>
      </c>
      <c r="F763">
        <v>-0.09</v>
      </c>
      <c r="G763">
        <v>-0.27000000000000313</v>
      </c>
      <c r="H763" s="5">
        <f t="shared" si="121"/>
        <v>-2.3752969121140139E-3</v>
      </c>
      <c r="I763" s="3">
        <f t="shared" si="118"/>
        <v>-0.11927703521588787</v>
      </c>
      <c r="J763" s="5">
        <f t="shared" si="122"/>
        <v>-7.1258907363421255E-3</v>
      </c>
      <c r="K763" s="3">
        <f t="shared" si="119"/>
        <v>-1.0806196317672827</v>
      </c>
      <c r="L763" s="3">
        <f t="shared" si="120"/>
        <v>0.90023932714348909</v>
      </c>
    </row>
    <row r="764" spans="1:12" x14ac:dyDescent="0.25">
      <c r="A764" s="26">
        <v>39.619999999999997</v>
      </c>
      <c r="B764">
        <v>39.5</v>
      </c>
      <c r="C764">
        <v>1.89</v>
      </c>
      <c r="D764" s="2">
        <v>44238</v>
      </c>
      <c r="E764">
        <v>39.64</v>
      </c>
      <c r="F764">
        <v>-0.02</v>
      </c>
      <c r="G764">
        <v>-0.14000000000000057</v>
      </c>
      <c r="H764" s="5">
        <f t="shared" si="121"/>
        <v>-5.0454086781029264E-4</v>
      </c>
      <c r="I764" s="3">
        <f t="shared" si="118"/>
        <v>0.18854828765321568</v>
      </c>
      <c r="J764" s="5">
        <f t="shared" si="122"/>
        <v>-3.5317860746720627E-3</v>
      </c>
      <c r="K764" s="3">
        <f t="shared" si="119"/>
        <v>0.5501534123235825</v>
      </c>
      <c r="L764" s="3">
        <f t="shared" si="120"/>
        <v>0.31224331212482676</v>
      </c>
    </row>
    <row r="765" spans="1:12" x14ac:dyDescent="0.25">
      <c r="A765" s="26">
        <v>37.700000000000003</v>
      </c>
      <c r="B765">
        <v>37.6</v>
      </c>
      <c r="C765">
        <v>1.79</v>
      </c>
      <c r="D765" s="2">
        <v>44237</v>
      </c>
      <c r="E765">
        <v>37.79</v>
      </c>
      <c r="F765">
        <v>-0.09</v>
      </c>
      <c r="G765">
        <v>-0.18999999999999773</v>
      </c>
      <c r="H765" s="5">
        <f t="shared" si="121"/>
        <v>-2.3815824292140776E-3</v>
      </c>
      <c r="I765" s="3">
        <f t="shared" si="118"/>
        <v>-0.11812676019561999</v>
      </c>
      <c r="J765" s="5">
        <f t="shared" si="122"/>
        <v>-5.0277851283407711E-3</v>
      </c>
      <c r="K765" s="3">
        <f t="shared" si="119"/>
        <v>-0.13459316903348215</v>
      </c>
      <c r="L765" s="3">
        <f t="shared" si="120"/>
        <v>1.5989192008186631E-2</v>
      </c>
    </row>
    <row r="766" spans="1:12" x14ac:dyDescent="0.25">
      <c r="A766" s="26">
        <v>37.58</v>
      </c>
      <c r="B766">
        <v>37.61</v>
      </c>
      <c r="C766">
        <v>1.43</v>
      </c>
      <c r="D766" s="2">
        <v>44236</v>
      </c>
      <c r="E766">
        <v>37.85</v>
      </c>
      <c r="F766">
        <v>-0.27</v>
      </c>
      <c r="G766">
        <v>-0.24000000000000199</v>
      </c>
      <c r="H766" s="5">
        <f t="shared" si="121"/>
        <v>-7.1334214002642012E-3</v>
      </c>
      <c r="I766" s="3">
        <f t="shared" si="118"/>
        <v>-0.89325075280735622</v>
      </c>
      <c r="J766" s="5">
        <f t="shared" si="122"/>
        <v>-6.3408190224571196E-3</v>
      </c>
      <c r="K766" s="3">
        <f t="shared" si="119"/>
        <v>-0.73578353919467476</v>
      </c>
      <c r="L766" s="3">
        <f t="shared" si="120"/>
        <v>-1.0464243422787551</v>
      </c>
    </row>
    <row r="767" spans="1:12" x14ac:dyDescent="0.25">
      <c r="A767" s="26">
        <v>38.619999999999997</v>
      </c>
      <c r="B767">
        <v>38.630000000000003</v>
      </c>
      <c r="C767">
        <v>1.6</v>
      </c>
      <c r="D767" s="2">
        <v>44235</v>
      </c>
      <c r="E767">
        <v>38.89</v>
      </c>
      <c r="F767">
        <v>-0.27</v>
      </c>
      <c r="G767">
        <v>-0.25999999999999801</v>
      </c>
      <c r="H767" s="5">
        <f t="shared" si="121"/>
        <v>-6.9426587811776807E-3</v>
      </c>
      <c r="I767" s="3">
        <f t="shared" si="118"/>
        <v>-0.87015891281723357</v>
      </c>
      <c r="J767" s="5">
        <f t="shared" si="122"/>
        <v>-6.6855232707636412E-3</v>
      </c>
      <c r="K767" s="3">
        <f t="shared" si="119"/>
        <v>-0.89932880160921658</v>
      </c>
      <c r="L767" s="3">
        <f t="shared" si="120"/>
        <v>-0.549037042835127</v>
      </c>
    </row>
    <row r="768" spans="1:12" x14ac:dyDescent="0.25">
      <c r="A768" s="26">
        <v>37.61</v>
      </c>
      <c r="B768">
        <v>37.659999999999997</v>
      </c>
      <c r="C768">
        <v>1.69</v>
      </c>
      <c r="D768" s="2">
        <v>44232</v>
      </c>
      <c r="E768">
        <v>37.96</v>
      </c>
      <c r="F768">
        <v>-0.35</v>
      </c>
      <c r="G768">
        <v>-0.30000000000000426</v>
      </c>
      <c r="H768" s="5">
        <f t="shared" si="121"/>
        <v>-9.2202318229715474E-3</v>
      </c>
      <c r="I768" s="3">
        <f t="shared" si="118"/>
        <v>-1.2488389565328155</v>
      </c>
      <c r="J768" s="5">
        <f t="shared" si="122"/>
        <v>-7.9030558482614394E-3</v>
      </c>
      <c r="K768" s="3">
        <f t="shared" si="119"/>
        <v>-1.4605942780394596</v>
      </c>
      <c r="L768" s="3">
        <f t="shared" si="120"/>
        <v>-0.28336258043924495</v>
      </c>
    </row>
    <row r="769" spans="1:12" x14ac:dyDescent="0.25">
      <c r="A769" s="26">
        <v>36.51</v>
      </c>
      <c r="B769">
        <v>36.96</v>
      </c>
      <c r="C769">
        <v>1.38</v>
      </c>
      <c r="D769" s="2">
        <v>44231</v>
      </c>
      <c r="E769">
        <v>37.18</v>
      </c>
      <c r="F769">
        <v>-0.67</v>
      </c>
      <c r="G769">
        <v>-0.21999999999999886</v>
      </c>
      <c r="H769" s="5">
        <f t="shared" si="121"/>
        <v>-1.8020441097364174E-2</v>
      </c>
      <c r="I769" s="3">
        <f t="shared" si="118"/>
        <v>-2.7090439904917338</v>
      </c>
      <c r="J769" s="5">
        <f t="shared" si="122"/>
        <v>-5.917159763313579E-3</v>
      </c>
      <c r="K769" s="3">
        <f t="shared" si="119"/>
        <v>-0.56459950548542526</v>
      </c>
      <c r="L769" s="3">
        <f t="shared" si="120"/>
        <v>-1.2066490393911133</v>
      </c>
    </row>
    <row r="770" spans="1:12" x14ac:dyDescent="0.25">
      <c r="A770" s="26">
        <v>38</v>
      </c>
      <c r="B770">
        <v>36.130000000000003</v>
      </c>
      <c r="C770">
        <v>1.91</v>
      </c>
      <c r="D770" s="2">
        <v>44230</v>
      </c>
      <c r="E770">
        <v>36.54</v>
      </c>
      <c r="F770">
        <v>1.46</v>
      </c>
      <c r="G770">
        <v>-0.40999999999999659</v>
      </c>
      <c r="H770" s="5">
        <f t="shared" si="121"/>
        <v>3.9956212370005476E-2</v>
      </c>
      <c r="I770" s="3">
        <f t="shared" si="118"/>
        <v>6.9377241934898635</v>
      </c>
      <c r="J770" s="5">
        <f t="shared" si="122"/>
        <v>-1.1220580186097335E-2</v>
      </c>
      <c r="K770" s="3">
        <f t="shared" si="119"/>
        <v>-2.9982013905074556</v>
      </c>
      <c r="L770" s="3">
        <f t="shared" si="120"/>
        <v>0.35519254904276365</v>
      </c>
    </row>
    <row r="771" spans="1:12" x14ac:dyDescent="0.25">
      <c r="A771" s="26">
        <v>33.200000000000003</v>
      </c>
      <c r="B771">
        <v>32.99</v>
      </c>
      <c r="C771">
        <v>1.59</v>
      </c>
      <c r="D771" s="2">
        <v>44229</v>
      </c>
      <c r="E771">
        <v>33.14</v>
      </c>
      <c r="F771">
        <v>0.06</v>
      </c>
      <c r="G771">
        <v>-0.14999999999999858</v>
      </c>
      <c r="H771" s="5">
        <f t="shared" si="121"/>
        <v>1.8105009052504525E-3</v>
      </c>
      <c r="I771" s="3">
        <f t="shared" ref="I771:I834" si="123">IFERROR((H771-AVERAGEA(H771:H987))/_xlfn.STDEV.S(H771:H987), " ")</f>
        <v>0.66324289802548719</v>
      </c>
      <c r="J771" s="5">
        <f t="shared" si="122"/>
        <v>-4.5262522631260883E-3</v>
      </c>
      <c r="K771" s="3">
        <f t="shared" ref="K771:K834" si="124">IFERROR((J771-AVERAGEA(J771:J987))/_xlfn.STDEV.S(J771:J987), " ")</f>
        <v>5.2469262297424449E-2</v>
      </c>
      <c r="L771" s="3">
        <f t="shared" ref="L771:L834" si="125">(C771-AVERAGEA(C771:C987))/_xlfn.STDEV.S(C771:C987)</f>
        <v>-0.59310761455520844</v>
      </c>
    </row>
    <row r="772" spans="1:12" x14ac:dyDescent="0.25">
      <c r="A772" s="26">
        <v>32.659999999999997</v>
      </c>
      <c r="B772">
        <v>32.61</v>
      </c>
      <c r="C772">
        <v>1.45</v>
      </c>
      <c r="D772" s="2">
        <v>44228</v>
      </c>
      <c r="E772">
        <v>32.72</v>
      </c>
      <c r="F772">
        <v>-0.06</v>
      </c>
      <c r="G772">
        <v>-0.10999999999999943</v>
      </c>
      <c r="H772" s="5">
        <f t="shared" ref="H772:H835" si="126">IFERROR(F772/E772,"")</f>
        <v>-1.8337408312958435E-3</v>
      </c>
      <c r="I772" s="3">
        <f t="shared" si="123"/>
        <v>-2.4081157697580305E-2</v>
      </c>
      <c r="J772" s="5">
        <f t="shared" ref="J772:J835" si="127">IFERROR(G772/E772,"")</f>
        <v>-3.361858190709029E-3</v>
      </c>
      <c r="K772" s="3">
        <f t="shared" si="124"/>
        <v>0.59897559056100336</v>
      </c>
      <c r="L772" s="3">
        <f t="shared" si="125"/>
        <v>-1.0107324557669426</v>
      </c>
    </row>
    <row r="773" spans="1:12" x14ac:dyDescent="0.25">
      <c r="A773" s="26">
        <v>33.51</v>
      </c>
      <c r="B773">
        <v>33.42</v>
      </c>
      <c r="C773">
        <v>1.59</v>
      </c>
      <c r="D773" s="2">
        <v>44225</v>
      </c>
      <c r="E773">
        <v>33.78</v>
      </c>
      <c r="F773">
        <v>-0.27</v>
      </c>
      <c r="G773">
        <v>-0.35999999999999943</v>
      </c>
      <c r="H773" s="5">
        <f t="shared" si="126"/>
        <v>-7.9928952042628773E-3</v>
      </c>
      <c r="I773" s="3">
        <f t="shared" si="123"/>
        <v>-1.1961041845931759</v>
      </c>
      <c r="J773" s="5">
        <f t="shared" si="127"/>
        <v>-1.065719360568382E-2</v>
      </c>
      <c r="K773" s="3">
        <f t="shared" si="124"/>
        <v>-2.8099870582496163</v>
      </c>
      <c r="L773" s="3">
        <f t="shared" si="125"/>
        <v>-0.60296898655762654</v>
      </c>
    </row>
    <row r="774" spans="1:12" x14ac:dyDescent="0.25">
      <c r="A774" s="26">
        <v>30.92</v>
      </c>
      <c r="B774">
        <v>30.93</v>
      </c>
      <c r="C774">
        <v>1.8</v>
      </c>
      <c r="D774" s="2">
        <v>44179</v>
      </c>
      <c r="E774">
        <v>30.93</v>
      </c>
      <c r="F774">
        <v>-0.01</v>
      </c>
      <c r="G774">
        <v>0</v>
      </c>
      <c r="H774" s="5">
        <f t="shared" si="126"/>
        <v>-3.2331070158422246E-4</v>
      </c>
      <c r="I774" s="3">
        <f t="shared" si="123"/>
        <v>0.25263239389329656</v>
      </c>
      <c r="J774" s="5">
        <f t="shared" si="127"/>
        <v>0</v>
      </c>
      <c r="K774" s="3">
        <f t="shared" si="124"/>
        <v>2.1959629858088858</v>
      </c>
      <c r="L774" s="3">
        <f t="shared" si="125"/>
        <v>1.5484716841991543E-2</v>
      </c>
    </row>
    <row r="775" spans="1:12" x14ac:dyDescent="0.25">
      <c r="A775" s="26">
        <v>30.45</v>
      </c>
      <c r="B775">
        <v>30.26</v>
      </c>
      <c r="C775">
        <v>1.77</v>
      </c>
      <c r="D775" s="2">
        <v>44176</v>
      </c>
      <c r="E775">
        <v>30.4</v>
      </c>
      <c r="F775">
        <v>0.05</v>
      </c>
      <c r="G775">
        <v>-0.13999999999999702</v>
      </c>
      <c r="H775" s="5">
        <f t="shared" si="126"/>
        <v>1.6447368421052633E-3</v>
      </c>
      <c r="I775" s="3">
        <f t="shared" si="123"/>
        <v>0.62956731375755515</v>
      </c>
      <c r="J775" s="5">
        <f t="shared" si="127"/>
        <v>-4.6052631578946393E-3</v>
      </c>
      <c r="K775" s="3">
        <f t="shared" si="124"/>
        <v>1.3813454860171064E-2</v>
      </c>
      <c r="L775" s="3">
        <f t="shared" si="125"/>
        <v>-7.331172199010394E-2</v>
      </c>
    </row>
    <row r="776" spans="1:12" x14ac:dyDescent="0.25">
      <c r="A776" s="26">
        <v>30.04</v>
      </c>
      <c r="B776">
        <v>30.02</v>
      </c>
      <c r="C776">
        <v>1.49</v>
      </c>
      <c r="D776" s="2">
        <v>44175</v>
      </c>
      <c r="E776">
        <v>30.1</v>
      </c>
      <c r="F776">
        <v>-0.06</v>
      </c>
      <c r="G776">
        <v>-8.0000000000001847E-2</v>
      </c>
      <c r="H776" s="5">
        <f t="shared" si="126"/>
        <v>-1.9933554817275745E-3</v>
      </c>
      <c r="I776" s="3">
        <f t="shared" si="123"/>
        <v>-5.8134513146139627E-2</v>
      </c>
      <c r="J776" s="5">
        <f t="shared" si="127"/>
        <v>-2.657807308970161E-3</v>
      </c>
      <c r="K776" s="3">
        <f t="shared" si="124"/>
        <v>0.94997273407345773</v>
      </c>
      <c r="L776" s="3">
        <f t="shared" si="125"/>
        <v>-0.90225606383260826</v>
      </c>
    </row>
    <row r="777" spans="1:12" x14ac:dyDescent="0.25">
      <c r="A777" s="26">
        <v>29.69</v>
      </c>
      <c r="B777">
        <v>29.69</v>
      </c>
      <c r="C777">
        <v>1.72</v>
      </c>
      <c r="D777" s="2">
        <v>44173</v>
      </c>
      <c r="E777">
        <v>29.73</v>
      </c>
      <c r="F777">
        <v>-0.04</v>
      </c>
      <c r="G777">
        <v>-3.9999999999999147E-2</v>
      </c>
      <c r="H777" s="5">
        <f t="shared" si="126"/>
        <v>-1.3454423141607804E-3</v>
      </c>
      <c r="I777" s="3">
        <f t="shared" si="123"/>
        <v>6.35153303224993E-2</v>
      </c>
      <c r="J777" s="5">
        <f t="shared" si="127"/>
        <v>-1.3454423141607517E-3</v>
      </c>
      <c r="K777" s="3">
        <f t="shared" si="124"/>
        <v>1.5844325173540763</v>
      </c>
      <c r="L777" s="3">
        <f t="shared" si="125"/>
        <v>-0.22242768720557174</v>
      </c>
    </row>
    <row r="778" spans="1:12" x14ac:dyDescent="0.25">
      <c r="A778" s="26">
        <v>29.49</v>
      </c>
      <c r="B778">
        <v>29.49</v>
      </c>
      <c r="C778">
        <v>1.47</v>
      </c>
      <c r="D778" s="2">
        <v>44172</v>
      </c>
      <c r="E778">
        <v>29.59</v>
      </c>
      <c r="F778">
        <v>-0.1</v>
      </c>
      <c r="G778">
        <v>-0.10000000000000142</v>
      </c>
      <c r="H778" s="5">
        <f t="shared" si="126"/>
        <v>-3.3795201081446439E-3</v>
      </c>
      <c r="I778" s="3">
        <f t="shared" si="123"/>
        <v>-0.32014370726930397</v>
      </c>
      <c r="J778" s="5">
        <f t="shared" si="127"/>
        <v>-3.3795201081446916E-3</v>
      </c>
      <c r="K778" s="3">
        <f t="shared" si="124"/>
        <v>0.61258086542608503</v>
      </c>
      <c r="L778" s="3">
        <f t="shared" si="125"/>
        <v>-0.95426361929327252</v>
      </c>
    </row>
    <row r="779" spans="1:12" x14ac:dyDescent="0.25">
      <c r="A779" s="26">
        <v>30</v>
      </c>
      <c r="B779">
        <v>29.81</v>
      </c>
      <c r="C779">
        <v>1.61</v>
      </c>
      <c r="D779" s="2">
        <v>44169</v>
      </c>
      <c r="E779">
        <v>29.89</v>
      </c>
      <c r="F779">
        <v>0.11</v>
      </c>
      <c r="G779">
        <v>-8.0000000000001847E-2</v>
      </c>
      <c r="H779" s="5">
        <f t="shared" si="126"/>
        <v>3.680160588825694E-3</v>
      </c>
      <c r="I779" s="3">
        <f t="shared" si="123"/>
        <v>1.023603680999511</v>
      </c>
      <c r="J779" s="5">
        <f t="shared" si="127"/>
        <v>-2.6764804282369305E-3</v>
      </c>
      <c r="K779" s="3">
        <f t="shared" si="124"/>
        <v>0.95805538824313075</v>
      </c>
      <c r="L779" s="3">
        <f t="shared" si="125"/>
        <v>-0.54226040351704741</v>
      </c>
    </row>
    <row r="780" spans="1:12" x14ac:dyDescent="0.25">
      <c r="A780" s="26">
        <v>29.1</v>
      </c>
      <c r="B780">
        <v>29.05</v>
      </c>
      <c r="C780">
        <v>1.39</v>
      </c>
      <c r="D780" s="2">
        <v>44168</v>
      </c>
      <c r="E780">
        <v>29.12</v>
      </c>
      <c r="F780">
        <v>-0.02</v>
      </c>
      <c r="G780">
        <v>-7.0000000000000284E-2</v>
      </c>
      <c r="H780" s="5">
        <f t="shared" si="126"/>
        <v>-6.8681318681318676E-4</v>
      </c>
      <c r="I780" s="3">
        <f t="shared" si="123"/>
        <v>0.20020114646211756</v>
      </c>
      <c r="J780" s="5">
        <f t="shared" si="127"/>
        <v>-2.4038461538461635E-3</v>
      </c>
      <c r="K780" s="3">
        <f t="shared" si="124"/>
        <v>1.0974243155491819</v>
      </c>
      <c r="L780" s="3">
        <f t="shared" si="125"/>
        <v>-1.1931491263287737</v>
      </c>
    </row>
    <row r="781" spans="1:12" x14ac:dyDescent="0.25">
      <c r="A781" s="26">
        <v>28.9</v>
      </c>
      <c r="B781">
        <v>28.67</v>
      </c>
      <c r="C781">
        <v>1.43</v>
      </c>
      <c r="D781" s="2">
        <v>44167</v>
      </c>
      <c r="E781">
        <v>28.73</v>
      </c>
      <c r="F781">
        <v>0.17</v>
      </c>
      <c r="G781">
        <v>-5.9999999999998721E-2</v>
      </c>
      <c r="H781" s="5">
        <f t="shared" si="126"/>
        <v>5.9171597633136102E-3</v>
      </c>
      <c r="I781" s="3">
        <f t="shared" si="123"/>
        <v>1.4605633321448259</v>
      </c>
      <c r="J781" s="5">
        <f t="shared" si="127"/>
        <v>-2.0884093282282881E-3</v>
      </c>
      <c r="K781" s="3">
        <f t="shared" si="124"/>
        <v>1.2588533171021852</v>
      </c>
      <c r="L781" s="3">
        <f t="shared" si="125"/>
        <v>-1.0767895486354051</v>
      </c>
    </row>
    <row r="782" spans="1:12" x14ac:dyDescent="0.25">
      <c r="A782" s="26">
        <v>29.24</v>
      </c>
      <c r="B782">
        <v>29.31</v>
      </c>
      <c r="C782">
        <v>1.36</v>
      </c>
      <c r="D782" s="2">
        <v>44166</v>
      </c>
      <c r="E782">
        <v>29.42</v>
      </c>
      <c r="F782">
        <v>-0.18</v>
      </c>
      <c r="G782">
        <v>-0.11000000000000298</v>
      </c>
      <c r="H782" s="5">
        <f t="shared" si="126"/>
        <v>-6.1182868796736912E-3</v>
      </c>
      <c r="I782" s="3">
        <f t="shared" si="123"/>
        <v>-0.82898137115907133</v>
      </c>
      <c r="J782" s="5">
        <f t="shared" si="127"/>
        <v>-3.7389530931340237E-3</v>
      </c>
      <c r="K782" s="3">
        <f t="shared" si="124"/>
        <v>0.45770120989491425</v>
      </c>
      <c r="L782" s="3">
        <f t="shared" si="125"/>
        <v>-1.2867273566320301</v>
      </c>
    </row>
    <row r="783" spans="1:12" x14ac:dyDescent="0.25">
      <c r="A783" s="26">
        <v>28.82</v>
      </c>
      <c r="B783">
        <v>28.78</v>
      </c>
      <c r="C783">
        <v>1.59</v>
      </c>
      <c r="D783" s="2">
        <v>44165</v>
      </c>
      <c r="E783">
        <v>28.92</v>
      </c>
      <c r="F783">
        <v>-0.1</v>
      </c>
      <c r="G783">
        <v>-0.14000000000000057</v>
      </c>
      <c r="H783" s="5">
        <f t="shared" si="126"/>
        <v>-3.4578146611341631E-3</v>
      </c>
      <c r="I783" s="3">
        <f t="shared" si="123"/>
        <v>-0.3264274361465494</v>
      </c>
      <c r="J783" s="5">
        <f t="shared" si="127"/>
        <v>-4.8409405255878477E-3</v>
      </c>
      <c r="K783" s="3">
        <f t="shared" si="124"/>
        <v>-7.9825668162914989E-2</v>
      </c>
      <c r="L783" s="3">
        <f t="shared" si="125"/>
        <v>-0.61235828570161899</v>
      </c>
    </row>
    <row r="784" spans="1:12" x14ac:dyDescent="0.25">
      <c r="A784" s="26">
        <v>28.23</v>
      </c>
      <c r="B784">
        <v>28.24</v>
      </c>
      <c r="C784">
        <v>1.65</v>
      </c>
      <c r="D784" s="2">
        <v>44162</v>
      </c>
      <c r="E784">
        <v>28.35</v>
      </c>
      <c r="F784">
        <v>-0.12</v>
      </c>
      <c r="G784">
        <v>-0.11000000000000298</v>
      </c>
      <c r="H784" s="5">
        <f t="shared" si="126"/>
        <v>-4.2328042328042322E-3</v>
      </c>
      <c r="I784" s="3">
        <f t="shared" si="123"/>
        <v>-0.4795941842880832</v>
      </c>
      <c r="J784" s="5">
        <f t="shared" si="127"/>
        <v>-3.8800705467373184E-3</v>
      </c>
      <c r="K784" s="3">
        <f t="shared" si="124"/>
        <v>0.38877235113846531</v>
      </c>
      <c r="L784" s="3">
        <f t="shared" si="125"/>
        <v>-0.43817530847732078</v>
      </c>
    </row>
    <row r="785" spans="1:12" x14ac:dyDescent="0.25">
      <c r="A785" s="26">
        <v>27.77</v>
      </c>
      <c r="B785">
        <v>27.65</v>
      </c>
      <c r="C785">
        <v>1.54</v>
      </c>
      <c r="D785" s="2">
        <v>44161</v>
      </c>
      <c r="E785">
        <v>27.73</v>
      </c>
      <c r="F785">
        <v>0.04</v>
      </c>
      <c r="G785">
        <v>-8.0000000000001847E-2</v>
      </c>
      <c r="H785" s="5">
        <f t="shared" si="126"/>
        <v>1.44248106743599E-3</v>
      </c>
      <c r="I785" s="3">
        <f t="shared" si="123"/>
        <v>0.60238595876002676</v>
      </c>
      <c r="J785" s="5">
        <f t="shared" si="127"/>
        <v>-2.8849621348720463E-3</v>
      </c>
      <c r="K785" s="3">
        <f t="shared" si="124"/>
        <v>0.87297662096290241</v>
      </c>
      <c r="L785" s="3">
        <f t="shared" si="125"/>
        <v>-0.77099467285764933</v>
      </c>
    </row>
    <row r="786" spans="1:12" x14ac:dyDescent="0.25">
      <c r="A786" s="26">
        <v>26.97</v>
      </c>
      <c r="B786">
        <v>26.95</v>
      </c>
      <c r="C786">
        <v>1.5</v>
      </c>
      <c r="D786" s="2">
        <v>44159</v>
      </c>
      <c r="E786">
        <v>27.07</v>
      </c>
      <c r="F786">
        <v>-0.1</v>
      </c>
      <c r="G786">
        <v>-0.12000000000000099</v>
      </c>
      <c r="H786" s="5">
        <f t="shared" si="126"/>
        <v>-3.6941263391207981E-3</v>
      </c>
      <c r="I786" s="3">
        <f t="shared" si="123"/>
        <v>-0.37704661454017974</v>
      </c>
      <c r="J786" s="5">
        <f t="shared" si="127"/>
        <v>-4.4329516069449943E-3</v>
      </c>
      <c r="K786" s="3">
        <f t="shared" si="124"/>
        <v>0.12111217252489406</v>
      </c>
      <c r="L786" s="3">
        <f t="shared" si="125"/>
        <v>-0.89242720112425844</v>
      </c>
    </row>
    <row r="787" spans="1:12" x14ac:dyDescent="0.25">
      <c r="A787" s="26">
        <v>27.25</v>
      </c>
      <c r="B787">
        <v>27.25</v>
      </c>
      <c r="C787">
        <v>1.54</v>
      </c>
      <c r="D787" s="2">
        <v>44158</v>
      </c>
      <c r="E787">
        <v>27.3</v>
      </c>
      <c r="F787">
        <v>-0.05</v>
      </c>
      <c r="G787">
        <v>-5.0000000000000711E-2</v>
      </c>
      <c r="H787" s="5">
        <f t="shared" si="126"/>
        <v>-1.8315018315018315E-3</v>
      </c>
      <c r="I787" s="3">
        <f t="shared" si="123"/>
        <v>-2.2132215324709274E-2</v>
      </c>
      <c r="J787" s="5">
        <f t="shared" si="127"/>
        <v>-1.8315018315018575E-3</v>
      </c>
      <c r="K787" s="3">
        <f t="shared" si="124"/>
        <v>1.3913831910597467</v>
      </c>
      <c r="L787" s="3">
        <f t="shared" si="125"/>
        <v>-0.78048831861458778</v>
      </c>
    </row>
    <row r="788" spans="1:12" x14ac:dyDescent="0.25">
      <c r="A788" s="26">
        <v>26.8</v>
      </c>
      <c r="B788">
        <v>26.48</v>
      </c>
      <c r="C788">
        <v>2.73</v>
      </c>
      <c r="D788" s="2">
        <v>44155</v>
      </c>
      <c r="E788">
        <v>26.6</v>
      </c>
      <c r="F788">
        <v>0.2</v>
      </c>
      <c r="G788">
        <v>-0.12000000000000099</v>
      </c>
      <c r="H788" s="5">
        <f t="shared" si="126"/>
        <v>7.5187969924812026E-3</v>
      </c>
      <c r="I788" s="3">
        <f t="shared" si="123"/>
        <v>1.7696648153867947</v>
      </c>
      <c r="J788" s="5">
        <f t="shared" si="127"/>
        <v>-4.5112781954887594E-3</v>
      </c>
      <c r="K788" s="3">
        <f t="shared" si="124"/>
        <v>8.8276156301785397E-2</v>
      </c>
      <c r="L788" s="3">
        <f t="shared" si="125"/>
        <v>2.7720625030168975</v>
      </c>
    </row>
    <row r="789" spans="1:12" x14ac:dyDescent="0.25">
      <c r="A789" s="26">
        <v>26.72</v>
      </c>
      <c r="B789">
        <v>26.76</v>
      </c>
      <c r="C789">
        <v>1.4</v>
      </c>
      <c r="D789" s="2">
        <v>44154</v>
      </c>
      <c r="E789">
        <v>26.87</v>
      </c>
      <c r="F789">
        <v>-0.15</v>
      </c>
      <c r="G789">
        <v>-0.10999999999999943</v>
      </c>
      <c r="H789" s="5">
        <f t="shared" si="126"/>
        <v>-5.5824339411983618E-3</v>
      </c>
      <c r="I789" s="3">
        <f t="shared" si="123"/>
        <v>-0.73821917384322377</v>
      </c>
      <c r="J789" s="5">
        <f t="shared" si="127"/>
        <v>-4.0937848902121111E-3</v>
      </c>
      <c r="K789" s="3">
        <f t="shared" si="124"/>
        <v>0.28749686275615105</v>
      </c>
      <c r="L789" s="3">
        <f t="shared" si="125"/>
        <v>-1.2096752606296861</v>
      </c>
    </row>
    <row r="790" spans="1:12" x14ac:dyDescent="0.25">
      <c r="A790" s="26">
        <v>27.42</v>
      </c>
      <c r="B790">
        <v>27.48</v>
      </c>
      <c r="C790">
        <v>1.35</v>
      </c>
      <c r="D790" s="2">
        <v>44153</v>
      </c>
      <c r="E790">
        <v>27.6</v>
      </c>
      <c r="F790">
        <v>-0.18</v>
      </c>
      <c r="G790">
        <v>-0.12000000000000099</v>
      </c>
      <c r="H790" s="5">
        <f t="shared" si="126"/>
        <v>-6.5217391304347823E-3</v>
      </c>
      <c r="I790" s="3">
        <f t="shared" si="123"/>
        <v>-0.9251133421033616</v>
      </c>
      <c r="J790" s="5">
        <f t="shared" si="127"/>
        <v>-4.3478260869565574E-3</v>
      </c>
      <c r="K790" s="3">
        <f t="shared" si="124"/>
        <v>0.16112852828150453</v>
      </c>
      <c r="L790" s="3">
        <f t="shared" si="125"/>
        <v>-1.3727693052361005</v>
      </c>
    </row>
    <row r="791" spans="1:12" x14ac:dyDescent="0.25">
      <c r="A791" s="26">
        <v>27.12</v>
      </c>
      <c r="B791">
        <v>27.02</v>
      </c>
      <c r="C791">
        <v>1.49</v>
      </c>
      <c r="D791" s="2">
        <v>44152</v>
      </c>
      <c r="E791">
        <v>27.16</v>
      </c>
      <c r="F791">
        <v>-0.04</v>
      </c>
      <c r="G791">
        <v>-0.14000000000000057</v>
      </c>
      <c r="H791" s="5">
        <f t="shared" si="126"/>
        <v>-1.4727540500736377E-3</v>
      </c>
      <c r="I791" s="3">
        <f t="shared" si="123"/>
        <v>4.6357133803160172E-2</v>
      </c>
      <c r="J791" s="5">
        <f t="shared" si="127"/>
        <v>-5.1546391752577527E-3</v>
      </c>
      <c r="K791" s="3">
        <f t="shared" si="124"/>
        <v>-0.23631796422282342</v>
      </c>
      <c r="L791" s="3">
        <f t="shared" si="125"/>
        <v>-0.95795662946811178</v>
      </c>
    </row>
    <row r="792" spans="1:12" x14ac:dyDescent="0.25">
      <c r="A792" s="26">
        <v>26.67</v>
      </c>
      <c r="B792">
        <v>26.58</v>
      </c>
      <c r="C792">
        <v>1.47</v>
      </c>
      <c r="D792" s="2">
        <v>44151</v>
      </c>
      <c r="E792">
        <v>26.68</v>
      </c>
      <c r="F792">
        <v>-0.01</v>
      </c>
      <c r="G792">
        <v>-0.10000000000000142</v>
      </c>
      <c r="H792" s="5">
        <f t="shared" si="126"/>
        <v>-3.7481259370314841E-4</v>
      </c>
      <c r="I792" s="3">
        <f t="shared" si="123"/>
        <v>0.25863322274486678</v>
      </c>
      <c r="J792" s="5">
        <f t="shared" si="127"/>
        <v>-3.7481259370315376E-3</v>
      </c>
      <c r="K792" s="3">
        <f t="shared" si="124"/>
        <v>0.44257304706402301</v>
      </c>
      <c r="L792" s="3">
        <f t="shared" si="125"/>
        <v>-1.0246572361116171</v>
      </c>
    </row>
    <row r="793" spans="1:12" x14ac:dyDescent="0.25">
      <c r="A793" s="26">
        <v>26.31</v>
      </c>
      <c r="B793">
        <v>26.22</v>
      </c>
      <c r="C793">
        <v>1.63</v>
      </c>
      <c r="D793" s="2">
        <v>44148</v>
      </c>
      <c r="E793">
        <v>26.39</v>
      </c>
      <c r="F793">
        <v>-0.08</v>
      </c>
      <c r="G793">
        <v>-0.17000000000000171</v>
      </c>
      <c r="H793" s="5">
        <f t="shared" si="126"/>
        <v>-3.0314513073133762E-3</v>
      </c>
      <c r="I793" s="3">
        <f t="shared" si="123"/>
        <v>-0.25493685333324212</v>
      </c>
      <c r="J793" s="5">
        <f t="shared" si="127"/>
        <v>-6.4418340280409893E-3</v>
      </c>
      <c r="K793" s="3">
        <f t="shared" si="124"/>
        <v>-0.86896853169659627</v>
      </c>
      <c r="L793" s="3">
        <f t="shared" si="125"/>
        <v>-0.53817588241829839</v>
      </c>
    </row>
    <row r="794" spans="1:12" x14ac:dyDescent="0.25">
      <c r="A794" s="26">
        <v>25.9</v>
      </c>
      <c r="B794">
        <v>25.73</v>
      </c>
      <c r="C794">
        <v>1.55</v>
      </c>
      <c r="D794" s="2">
        <v>44147</v>
      </c>
      <c r="E794">
        <v>25.85</v>
      </c>
      <c r="F794">
        <v>0.05</v>
      </c>
      <c r="G794">
        <v>-0.12000000000000099</v>
      </c>
      <c r="H794" s="5">
        <f t="shared" si="126"/>
        <v>1.9342359767891683E-3</v>
      </c>
      <c r="I794" s="3">
        <f t="shared" si="123"/>
        <v>0.70444983659148985</v>
      </c>
      <c r="J794" s="5">
        <f t="shared" si="127"/>
        <v>-4.6421663442940417E-3</v>
      </c>
      <c r="K794" s="3">
        <f t="shared" si="124"/>
        <v>-4.7869289066646533E-3</v>
      </c>
      <c r="L794" s="3">
        <f t="shared" si="125"/>
        <v>-0.78562713024793407</v>
      </c>
    </row>
    <row r="795" spans="1:12" x14ac:dyDescent="0.25">
      <c r="A795" s="26">
        <v>26.47</v>
      </c>
      <c r="B795">
        <v>26.4</v>
      </c>
      <c r="C795">
        <v>1.6</v>
      </c>
      <c r="D795" s="2">
        <v>44145</v>
      </c>
      <c r="E795">
        <v>26.48</v>
      </c>
      <c r="F795">
        <v>-0.01</v>
      </c>
      <c r="G795">
        <v>-8.0000000000001847E-2</v>
      </c>
      <c r="H795" s="5">
        <f t="shared" si="126"/>
        <v>-3.7764350453172205E-4</v>
      </c>
      <c r="I795" s="3">
        <f t="shared" si="123"/>
        <v>0.25513404777351517</v>
      </c>
      <c r="J795" s="5">
        <f t="shared" si="127"/>
        <v>-3.0211480362538463E-3</v>
      </c>
      <c r="K795" s="3">
        <f t="shared" si="124"/>
        <v>0.76388381485474943</v>
      </c>
      <c r="L795" s="3">
        <f t="shared" si="125"/>
        <v>-0.63682442733487199</v>
      </c>
    </row>
    <row r="796" spans="1:12" x14ac:dyDescent="0.25">
      <c r="A796" s="26">
        <v>25.41</v>
      </c>
      <c r="B796">
        <v>25.43</v>
      </c>
      <c r="C796">
        <v>1.36</v>
      </c>
      <c r="D796" s="2">
        <v>44144</v>
      </c>
      <c r="E796">
        <v>25.53</v>
      </c>
      <c r="F796">
        <v>-0.12</v>
      </c>
      <c r="G796">
        <v>-0.10000000000000142</v>
      </c>
      <c r="H796" s="5">
        <f t="shared" si="126"/>
        <v>-4.7003525264394828E-3</v>
      </c>
      <c r="I796" s="3">
        <f t="shared" si="123"/>
        <v>-0.57754050914519517</v>
      </c>
      <c r="J796" s="5">
        <f t="shared" si="127"/>
        <v>-3.916960438699625E-3</v>
      </c>
      <c r="K796" s="3">
        <f t="shared" si="124"/>
        <v>0.33608263096560825</v>
      </c>
      <c r="L796" s="3">
        <f t="shared" si="125"/>
        <v>-1.3736263474024444</v>
      </c>
    </row>
    <row r="797" spans="1:12" x14ac:dyDescent="0.25">
      <c r="A797" s="26">
        <v>25.2</v>
      </c>
      <c r="B797">
        <v>25.05</v>
      </c>
      <c r="C797">
        <v>2.44</v>
      </c>
      <c r="D797" s="2">
        <v>44141</v>
      </c>
      <c r="E797">
        <v>25.21</v>
      </c>
      <c r="F797">
        <v>-0.01</v>
      </c>
      <c r="G797">
        <v>-0.16000000000000014</v>
      </c>
      <c r="H797" s="5">
        <f t="shared" si="126"/>
        <v>-3.9666798889329631E-4</v>
      </c>
      <c r="I797" s="3">
        <f t="shared" si="123"/>
        <v>0.24884820763876561</v>
      </c>
      <c r="J797" s="5">
        <f t="shared" si="127"/>
        <v>-6.3466878222927462E-3</v>
      </c>
      <c r="K797" s="3">
        <f t="shared" si="124"/>
        <v>-0.82636004060470669</v>
      </c>
      <c r="L797" s="3">
        <f t="shared" si="125"/>
        <v>1.9441335172872207</v>
      </c>
    </row>
    <row r="798" spans="1:12" x14ac:dyDescent="0.25">
      <c r="A798" s="26">
        <v>25.55</v>
      </c>
      <c r="B798">
        <v>25.34</v>
      </c>
      <c r="C798">
        <v>1.84</v>
      </c>
      <c r="D798" s="2">
        <v>44140</v>
      </c>
      <c r="E798">
        <v>25.39</v>
      </c>
      <c r="F798">
        <v>0.16</v>
      </c>
      <c r="G798">
        <v>-5.0000000000000711E-2</v>
      </c>
      <c r="H798" s="5">
        <f t="shared" si="126"/>
        <v>6.301693580149665E-3</v>
      </c>
      <c r="I798" s="3">
        <f t="shared" si="123"/>
        <v>1.5445503566765626</v>
      </c>
      <c r="J798" s="5">
        <f t="shared" si="127"/>
        <v>-1.9692792437967983E-3</v>
      </c>
      <c r="K798" s="3">
        <f t="shared" si="124"/>
        <v>1.2721985912030862</v>
      </c>
      <c r="L798" s="3">
        <f t="shared" si="125"/>
        <v>0.10669725700210339</v>
      </c>
    </row>
    <row r="799" spans="1:12" x14ac:dyDescent="0.25">
      <c r="A799" s="26">
        <v>23.99</v>
      </c>
      <c r="B799">
        <v>23.91</v>
      </c>
      <c r="C799">
        <v>1.5</v>
      </c>
      <c r="D799" s="2">
        <v>44139</v>
      </c>
      <c r="E799">
        <v>23.97</v>
      </c>
      <c r="F799">
        <v>0.02</v>
      </c>
      <c r="G799">
        <v>-5.9999999999998721E-2</v>
      </c>
      <c r="H799" s="5">
        <f t="shared" si="126"/>
        <v>8.3437630371297465E-4</v>
      </c>
      <c r="I799" s="3">
        <f t="shared" si="123"/>
        <v>0.50054705700007529</v>
      </c>
      <c r="J799" s="5">
        <f t="shared" si="127"/>
        <v>-2.5031289111388704E-3</v>
      </c>
      <c r="K799" s="3">
        <f t="shared" si="124"/>
        <v>1.023642995175817</v>
      </c>
      <c r="L799" s="3">
        <f t="shared" si="125"/>
        <v>-0.9420468069096416</v>
      </c>
    </row>
    <row r="800" spans="1:12" x14ac:dyDescent="0.25">
      <c r="A800" s="26">
        <v>24.4</v>
      </c>
      <c r="B800">
        <v>24.26</v>
      </c>
      <c r="C800">
        <v>1.65</v>
      </c>
      <c r="D800" s="2">
        <v>44138</v>
      </c>
      <c r="E800">
        <v>24.41</v>
      </c>
      <c r="F800">
        <v>-0.01</v>
      </c>
      <c r="G800">
        <v>-0.14999999999999858</v>
      </c>
      <c r="H800" s="5">
        <f t="shared" si="126"/>
        <v>-4.0966816878328555E-4</v>
      </c>
      <c r="I800" s="3">
        <f t="shared" si="123"/>
        <v>0.26143327597035376</v>
      </c>
      <c r="J800" s="5">
        <f t="shared" si="127"/>
        <v>-6.1450225317492245E-3</v>
      </c>
      <c r="K800" s="3">
        <f t="shared" si="124"/>
        <v>-0.73197449982856289</v>
      </c>
      <c r="L800" s="3">
        <f t="shared" si="125"/>
        <v>-0.47790714435710102</v>
      </c>
    </row>
    <row r="801" spans="1:12" x14ac:dyDescent="0.25">
      <c r="A801" s="26">
        <v>23.02</v>
      </c>
      <c r="B801">
        <v>22.89</v>
      </c>
      <c r="C801">
        <v>1.71</v>
      </c>
      <c r="D801" s="2">
        <v>44137</v>
      </c>
      <c r="E801">
        <v>23.01</v>
      </c>
      <c r="F801">
        <v>0.01</v>
      </c>
      <c r="G801">
        <v>-0.12000000000000099</v>
      </c>
      <c r="H801" s="5">
        <f t="shared" si="126"/>
        <v>4.3459365493263795E-4</v>
      </c>
      <c r="I801" s="3">
        <f t="shared" si="123"/>
        <v>0.42456778129816897</v>
      </c>
      <c r="J801" s="5">
        <f t="shared" si="127"/>
        <v>-5.215123859191699E-3</v>
      </c>
      <c r="K801" s="3">
        <f t="shared" si="124"/>
        <v>-0.28954110144091405</v>
      </c>
      <c r="L801" s="3">
        <f t="shared" si="125"/>
        <v>-0.29150363981137861</v>
      </c>
    </row>
    <row r="802" spans="1:12" x14ac:dyDescent="0.25">
      <c r="A802" s="26">
        <v>23.45</v>
      </c>
      <c r="B802">
        <v>23.44</v>
      </c>
      <c r="C802">
        <v>1.52</v>
      </c>
      <c r="D802" s="2">
        <v>44134</v>
      </c>
      <c r="E802">
        <v>23.6</v>
      </c>
      <c r="F802">
        <v>-0.15</v>
      </c>
      <c r="G802">
        <v>-0.16000000000000014</v>
      </c>
      <c r="H802" s="5">
        <f t="shared" si="126"/>
        <v>-6.3559322033898301E-3</v>
      </c>
      <c r="I802" s="3">
        <f t="shared" si="123"/>
        <v>-0.8942487292572957</v>
      </c>
      <c r="J802" s="5">
        <f t="shared" si="127"/>
        <v>-6.7796610169491584E-3</v>
      </c>
      <c r="K802" s="3">
        <f t="shared" si="124"/>
        <v>-1.0486534932431815</v>
      </c>
      <c r="L802" s="3">
        <f t="shared" si="125"/>
        <v>-0.88446102689954909</v>
      </c>
    </row>
    <row r="803" spans="1:12" x14ac:dyDescent="0.25">
      <c r="A803" s="26">
        <v>23.07</v>
      </c>
      <c r="B803">
        <v>22.95</v>
      </c>
      <c r="C803">
        <v>1.57</v>
      </c>
      <c r="D803" s="2">
        <v>44133</v>
      </c>
      <c r="E803">
        <v>23.08</v>
      </c>
      <c r="F803">
        <v>-0.01</v>
      </c>
      <c r="G803">
        <v>-0.12999999999999901</v>
      </c>
      <c r="H803" s="5">
        <f t="shared" si="126"/>
        <v>-4.3327556325823227E-4</v>
      </c>
      <c r="I803" s="3">
        <f t="shared" si="123"/>
        <v>0.25434105344090757</v>
      </c>
      <c r="J803" s="5">
        <f t="shared" si="127"/>
        <v>-5.6325823223569767E-3</v>
      </c>
      <c r="K803" s="3">
        <f t="shared" si="124"/>
        <v>-0.5011625967304747</v>
      </c>
      <c r="L803" s="3">
        <f t="shared" si="125"/>
        <v>-0.72746124838702264</v>
      </c>
    </row>
    <row r="804" spans="1:12" x14ac:dyDescent="0.25">
      <c r="A804" s="26">
        <v>23.55</v>
      </c>
      <c r="B804">
        <v>23.62</v>
      </c>
      <c r="C804">
        <v>1.43</v>
      </c>
      <c r="D804" s="2">
        <v>44131</v>
      </c>
      <c r="E804">
        <v>23.72</v>
      </c>
      <c r="F804">
        <v>-0.17</v>
      </c>
      <c r="G804">
        <v>-9.9999999999997868E-2</v>
      </c>
      <c r="H804" s="5">
        <f t="shared" si="126"/>
        <v>-7.1669477234401358E-3</v>
      </c>
      <c r="I804" s="3">
        <f t="shared" si="123"/>
        <v>-1.0500063917226286</v>
      </c>
      <c r="J804" s="5">
        <f t="shared" si="127"/>
        <v>-4.2158516020235192E-3</v>
      </c>
      <c r="K804" s="3">
        <f t="shared" si="124"/>
        <v>0.18051527536435871</v>
      </c>
      <c r="L804" s="3">
        <f t="shared" si="125"/>
        <v>-1.1575137274856326</v>
      </c>
    </row>
    <row r="805" spans="1:12" x14ac:dyDescent="0.25">
      <c r="A805" s="26">
        <v>24.33</v>
      </c>
      <c r="B805">
        <v>24.3</v>
      </c>
      <c r="C805">
        <v>1.59</v>
      </c>
      <c r="D805" s="2">
        <v>44130</v>
      </c>
      <c r="E805">
        <v>24.42</v>
      </c>
      <c r="F805">
        <v>-0.09</v>
      </c>
      <c r="G805">
        <v>-0.12000000000000099</v>
      </c>
      <c r="H805" s="5">
        <f t="shared" si="126"/>
        <v>-3.6855036855036852E-3</v>
      </c>
      <c r="I805" s="3">
        <f t="shared" si="123"/>
        <v>-0.38283222397977079</v>
      </c>
      <c r="J805" s="5">
        <f t="shared" si="127"/>
        <v>-4.9140049140049546E-3</v>
      </c>
      <c r="K805" s="3">
        <f t="shared" si="124"/>
        <v>-0.15411823152540055</v>
      </c>
      <c r="L805" s="3">
        <f t="shared" si="125"/>
        <v>-0.67575912401967742</v>
      </c>
    </row>
    <row r="806" spans="1:12" x14ac:dyDescent="0.25">
      <c r="A806" s="26">
        <v>24.92</v>
      </c>
      <c r="B806">
        <v>25</v>
      </c>
      <c r="C806">
        <v>1.26</v>
      </c>
      <c r="D806" s="2">
        <v>44127</v>
      </c>
      <c r="E806">
        <v>25.22</v>
      </c>
      <c r="F806">
        <v>-0.3</v>
      </c>
      <c r="G806">
        <v>-0.21999999999999886</v>
      </c>
      <c r="H806" s="5">
        <f t="shared" si="126"/>
        <v>-1.1895321173671689E-2</v>
      </c>
      <c r="I806" s="3">
        <f t="shared" si="123"/>
        <v>-1.9811287925355401</v>
      </c>
      <c r="J806" s="5">
        <f t="shared" si="127"/>
        <v>-8.7232355273591938E-3</v>
      </c>
      <c r="K806" s="3">
        <f t="shared" si="124"/>
        <v>-2.0002967405964527</v>
      </c>
      <c r="L806" s="3">
        <f t="shared" si="125"/>
        <v>-1.6889155748915792</v>
      </c>
    </row>
    <row r="807" spans="1:12" x14ac:dyDescent="0.25">
      <c r="A807" s="26">
        <v>23.6</v>
      </c>
      <c r="B807">
        <v>23.41</v>
      </c>
      <c r="C807">
        <v>1.68</v>
      </c>
      <c r="D807" s="2">
        <v>44126</v>
      </c>
      <c r="E807">
        <v>23.63</v>
      </c>
      <c r="F807">
        <v>-0.03</v>
      </c>
      <c r="G807">
        <v>-0.21999999999999886</v>
      </c>
      <c r="H807" s="5">
        <f t="shared" si="126"/>
        <v>-1.2695725772323319E-3</v>
      </c>
      <c r="I807" s="3">
        <f t="shared" si="123"/>
        <v>7.5828995606711747E-2</v>
      </c>
      <c r="J807" s="5">
        <f t="shared" si="127"/>
        <v>-9.3101988997037182E-3</v>
      </c>
      <c r="K807" s="3">
        <f t="shared" si="124"/>
        <v>-2.3159906441290552</v>
      </c>
      <c r="L807" s="3">
        <f t="shared" si="125"/>
        <v>-0.4110762660664517</v>
      </c>
    </row>
    <row r="808" spans="1:12" x14ac:dyDescent="0.25">
      <c r="A808" s="26">
        <v>23.96</v>
      </c>
      <c r="B808">
        <v>24.01</v>
      </c>
      <c r="C808">
        <v>1.25</v>
      </c>
      <c r="D808" s="2">
        <v>44125</v>
      </c>
      <c r="E808">
        <v>24.09</v>
      </c>
      <c r="F808">
        <v>-0.13</v>
      </c>
      <c r="G808">
        <v>-7.9999999999998295E-2</v>
      </c>
      <c r="H808" s="5">
        <f t="shared" si="126"/>
        <v>-5.3964300539643007E-3</v>
      </c>
      <c r="I808" s="3">
        <f t="shared" si="123"/>
        <v>-0.73373210016276347</v>
      </c>
      <c r="J808" s="5">
        <f t="shared" si="127"/>
        <v>-3.3208800332087296E-3</v>
      </c>
      <c r="K808" s="3">
        <f t="shared" si="124"/>
        <v>0.59859825889576423</v>
      </c>
      <c r="L808" s="3">
        <f t="shared" si="125"/>
        <v>-1.7362783453524699</v>
      </c>
    </row>
    <row r="809" spans="1:12" x14ac:dyDescent="0.25">
      <c r="A809" s="26">
        <v>24.44</v>
      </c>
      <c r="B809">
        <v>24.46</v>
      </c>
      <c r="C809">
        <v>1.46</v>
      </c>
      <c r="D809" s="2">
        <v>44124</v>
      </c>
      <c r="E809">
        <v>24.53</v>
      </c>
      <c r="F809">
        <v>-0.09</v>
      </c>
      <c r="G809">
        <v>-7.0000000000000284E-2</v>
      </c>
      <c r="H809" s="5">
        <f t="shared" si="126"/>
        <v>-3.6689767631471666E-3</v>
      </c>
      <c r="I809" s="3">
        <f t="shared" si="123"/>
        <v>-0.40032450505763445</v>
      </c>
      <c r="J809" s="5">
        <f t="shared" si="127"/>
        <v>-2.8536485935589189E-3</v>
      </c>
      <c r="K809" s="3">
        <f t="shared" si="124"/>
        <v>0.8332008125883098</v>
      </c>
      <c r="L809" s="3">
        <f t="shared" si="125"/>
        <v>-1.1061780467120257</v>
      </c>
    </row>
    <row r="810" spans="1:12" x14ac:dyDescent="0.25">
      <c r="A810" s="26">
        <v>24.85</v>
      </c>
      <c r="B810">
        <v>24.77</v>
      </c>
      <c r="C810">
        <v>1.51</v>
      </c>
      <c r="D810" s="2">
        <v>44123</v>
      </c>
      <c r="E810">
        <v>24.9</v>
      </c>
      <c r="F810">
        <v>-0.05</v>
      </c>
      <c r="G810">
        <v>-0.12999999999999901</v>
      </c>
      <c r="H810" s="5">
        <f t="shared" si="126"/>
        <v>-2.0080321285140565E-3</v>
      </c>
      <c r="I810" s="3">
        <f t="shared" si="123"/>
        <v>-8.0871155552725144E-2</v>
      </c>
      <c r="J810" s="5">
        <f t="shared" si="127"/>
        <v>-5.2208835341365067E-3</v>
      </c>
      <c r="K810" s="3">
        <f t="shared" si="124"/>
        <v>-0.33519325309981229</v>
      </c>
      <c r="L810" s="3">
        <f t="shared" si="125"/>
        <v>-0.95763542553657388</v>
      </c>
    </row>
    <row r="811" spans="1:12" x14ac:dyDescent="0.25">
      <c r="A811" s="26">
        <v>25.46</v>
      </c>
      <c r="B811">
        <v>25.04</v>
      </c>
      <c r="C811">
        <v>2.0099999999999998</v>
      </c>
      <c r="D811" s="2">
        <v>44120</v>
      </c>
      <c r="E811">
        <v>25.26</v>
      </c>
      <c r="F811">
        <v>0.2</v>
      </c>
      <c r="G811">
        <v>-0.22000000000000242</v>
      </c>
      <c r="H811" s="5">
        <f t="shared" si="126"/>
        <v>7.91765637371338E-3</v>
      </c>
      <c r="I811" s="3">
        <f t="shared" si="123"/>
        <v>1.8596583666667117</v>
      </c>
      <c r="J811" s="5">
        <f t="shared" si="127"/>
        <v>-8.7094220110848133E-3</v>
      </c>
      <c r="K811" s="3">
        <f t="shared" si="124"/>
        <v>-2.061365409391295</v>
      </c>
      <c r="L811" s="3">
        <f t="shared" si="125"/>
        <v>0.59085411099693219</v>
      </c>
    </row>
    <row r="812" spans="1:12" x14ac:dyDescent="0.25">
      <c r="A812" s="26">
        <v>25.15</v>
      </c>
      <c r="B812">
        <v>25.04</v>
      </c>
      <c r="C812">
        <v>1.81</v>
      </c>
      <c r="D812" s="2">
        <v>44119</v>
      </c>
      <c r="E812">
        <v>25.16</v>
      </c>
      <c r="F812">
        <v>-0.01</v>
      </c>
      <c r="G812">
        <v>-0.12000000000000099</v>
      </c>
      <c r="H812" s="5">
        <f t="shared" si="126"/>
        <v>-3.9745627980922101E-4</v>
      </c>
      <c r="I812" s="3">
        <f t="shared" si="123"/>
        <v>0.24339481078834374</v>
      </c>
      <c r="J812" s="5">
        <f t="shared" si="127"/>
        <v>-4.7694753577106914E-3</v>
      </c>
      <c r="K812" s="3">
        <f t="shared" si="124"/>
        <v>-0.12641630638441945</v>
      </c>
      <c r="L812" s="3">
        <f t="shared" si="125"/>
        <v>-2.8147969117344778E-2</v>
      </c>
    </row>
    <row r="813" spans="1:12" x14ac:dyDescent="0.25">
      <c r="A813" s="26">
        <v>25.3</v>
      </c>
      <c r="B813">
        <v>25.27</v>
      </c>
      <c r="C813">
        <v>1.66</v>
      </c>
      <c r="D813" s="2">
        <v>44117</v>
      </c>
      <c r="E813">
        <v>25.47</v>
      </c>
      <c r="F813">
        <v>-0.17</v>
      </c>
      <c r="G813">
        <v>-0.19999999999999929</v>
      </c>
      <c r="H813" s="5">
        <f t="shared" si="126"/>
        <v>-6.674519042010209E-3</v>
      </c>
      <c r="I813" s="3">
        <f t="shared" si="123"/>
        <v>-0.99305015350083536</v>
      </c>
      <c r="J813" s="5">
        <f t="shared" si="127"/>
        <v>-7.8523753435413932E-3</v>
      </c>
      <c r="K813" s="3">
        <f t="shared" si="124"/>
        <v>-1.6651376867425236</v>
      </c>
      <c r="L813" s="3">
        <f t="shared" si="125"/>
        <v>-0.48939076494241851</v>
      </c>
    </row>
    <row r="814" spans="1:12" x14ac:dyDescent="0.25">
      <c r="A814" s="26">
        <v>25.54</v>
      </c>
      <c r="B814">
        <v>25.35</v>
      </c>
      <c r="C814">
        <v>1.88</v>
      </c>
      <c r="D814" s="2">
        <v>44116</v>
      </c>
      <c r="E814">
        <v>25.59</v>
      </c>
      <c r="F814">
        <v>-0.05</v>
      </c>
      <c r="G814">
        <v>-0.23999999999999844</v>
      </c>
      <c r="H814" s="5">
        <f t="shared" si="126"/>
        <v>-1.95388823759281E-3</v>
      </c>
      <c r="I814" s="3">
        <f t="shared" si="123"/>
        <v>-6.651383389656193E-2</v>
      </c>
      <c r="J814" s="5">
        <f t="shared" si="127"/>
        <v>-9.3786635404454251E-3</v>
      </c>
      <c r="K814" s="3">
        <f t="shared" si="124"/>
        <v>-2.3890463630439411</v>
      </c>
      <c r="L814" s="3">
        <f t="shared" si="125"/>
        <v>0.18134014204316409</v>
      </c>
    </row>
    <row r="815" spans="1:12" x14ac:dyDescent="0.25">
      <c r="A815" s="26">
        <v>26</v>
      </c>
      <c r="B815">
        <v>25.92</v>
      </c>
      <c r="C815">
        <v>2.0699999999999998</v>
      </c>
      <c r="D815" s="2">
        <v>44113</v>
      </c>
      <c r="E815">
        <v>26.08</v>
      </c>
      <c r="F815">
        <v>-0.08</v>
      </c>
      <c r="G815">
        <v>-0.15999999999999659</v>
      </c>
      <c r="H815" s="5">
        <f t="shared" si="126"/>
        <v>-3.0674846625766872E-3</v>
      </c>
      <c r="I815" s="3">
        <f t="shared" si="123"/>
        <v>-0.28469437229699707</v>
      </c>
      <c r="J815" s="5">
        <f t="shared" si="127"/>
        <v>-6.1349693251532443E-3</v>
      </c>
      <c r="K815" s="3">
        <f t="shared" si="124"/>
        <v>-0.81570406411827978</v>
      </c>
      <c r="L815" s="3">
        <f t="shared" si="125"/>
        <v>0.77067503453429576</v>
      </c>
    </row>
    <row r="816" spans="1:12" x14ac:dyDescent="0.25">
      <c r="A816" s="26">
        <v>26.4</v>
      </c>
      <c r="B816">
        <v>26.33</v>
      </c>
      <c r="C816">
        <v>1.79</v>
      </c>
      <c r="D816" s="2">
        <v>44112</v>
      </c>
      <c r="E816">
        <v>26.53</v>
      </c>
      <c r="F816">
        <v>-0.13</v>
      </c>
      <c r="G816">
        <v>-0.20000000000000284</v>
      </c>
      <c r="H816" s="5">
        <f t="shared" si="126"/>
        <v>-4.9001130795326047E-3</v>
      </c>
      <c r="I816" s="3">
        <f t="shared" si="123"/>
        <v>-0.64642791249401899</v>
      </c>
      <c r="J816" s="5">
        <f t="shared" si="127"/>
        <v>-7.5386355069733445E-3</v>
      </c>
      <c r="K816" s="3">
        <f t="shared" si="124"/>
        <v>-1.5227856806167162</v>
      </c>
      <c r="L816" s="3">
        <f t="shared" si="125"/>
        <v>-8.2550615882213574E-2</v>
      </c>
    </row>
    <row r="817" spans="1:12" x14ac:dyDescent="0.25">
      <c r="A817" s="26">
        <v>27.43</v>
      </c>
      <c r="B817">
        <v>27.4</v>
      </c>
      <c r="C817">
        <v>1.48</v>
      </c>
      <c r="D817" s="2">
        <v>44111</v>
      </c>
      <c r="E817">
        <v>27.54</v>
      </c>
      <c r="F817">
        <v>-0.11</v>
      </c>
      <c r="G817">
        <v>-0.14000000000000057</v>
      </c>
      <c r="H817" s="5">
        <f t="shared" si="126"/>
        <v>-3.9941902687000725E-3</v>
      </c>
      <c r="I817" s="3">
        <f t="shared" si="123"/>
        <v>-0.46930655783461761</v>
      </c>
      <c r="J817" s="5">
        <f t="shared" si="127"/>
        <v>-5.0835148874364766E-3</v>
      </c>
      <c r="K817" s="3">
        <f t="shared" si="124"/>
        <v>-0.3038451856832598</v>
      </c>
      <c r="L817" s="3">
        <f t="shared" si="125"/>
        <v>-1.0333065862535027</v>
      </c>
    </row>
    <row r="818" spans="1:12" x14ac:dyDescent="0.25">
      <c r="A818" s="26">
        <v>26.68</v>
      </c>
      <c r="B818">
        <v>26.52</v>
      </c>
      <c r="C818">
        <v>1.8</v>
      </c>
      <c r="D818" s="2">
        <v>44110</v>
      </c>
      <c r="E818">
        <v>26.66</v>
      </c>
      <c r="F818">
        <v>0.02</v>
      </c>
      <c r="G818">
        <v>-0.14000000000000057</v>
      </c>
      <c r="H818" s="5">
        <f t="shared" si="126"/>
        <v>7.501875468867217E-4</v>
      </c>
      <c r="I818" s="3">
        <f t="shared" si="123"/>
        <v>0.465695796287108</v>
      </c>
      <c r="J818" s="5">
        <f t="shared" si="127"/>
        <v>-5.2513128282070734E-3</v>
      </c>
      <c r="K818" s="3">
        <f t="shared" si="124"/>
        <v>-0.39219452719129416</v>
      </c>
      <c r="L818" s="3">
        <f t="shared" si="125"/>
        <v>-5.4055384307210727E-2</v>
      </c>
    </row>
    <row r="819" spans="1:12" x14ac:dyDescent="0.25">
      <c r="A819" s="26">
        <v>26.79</v>
      </c>
      <c r="B819">
        <v>26.7</v>
      </c>
      <c r="C819">
        <v>1.7</v>
      </c>
      <c r="D819" s="2">
        <v>44109</v>
      </c>
      <c r="E819">
        <v>26.85</v>
      </c>
      <c r="F819">
        <v>-0.06</v>
      </c>
      <c r="G819">
        <v>-0.15000000000000213</v>
      </c>
      <c r="H819" s="5">
        <f t="shared" si="126"/>
        <v>-2.2346368715083797E-3</v>
      </c>
      <c r="I819" s="3">
        <f t="shared" si="123"/>
        <v>-0.12391434635579733</v>
      </c>
      <c r="J819" s="5">
        <f t="shared" si="127"/>
        <v>-5.5865921787710288E-3</v>
      </c>
      <c r="K819" s="3">
        <f t="shared" si="124"/>
        <v>-0.56260956346577395</v>
      </c>
      <c r="L819" s="3">
        <f t="shared" si="125"/>
        <v>-0.35958352535620958</v>
      </c>
    </row>
    <row r="820" spans="1:12" x14ac:dyDescent="0.25">
      <c r="A820" s="26">
        <v>26.11</v>
      </c>
      <c r="B820">
        <v>25.98</v>
      </c>
      <c r="C820">
        <v>2.2200000000000002</v>
      </c>
      <c r="D820" s="2">
        <v>44106</v>
      </c>
      <c r="E820">
        <v>26.11</v>
      </c>
      <c r="F820">
        <v>0</v>
      </c>
      <c r="G820">
        <v>-0.12999999999999901</v>
      </c>
      <c r="H820" s="5">
        <f t="shared" si="126"/>
        <v>0</v>
      </c>
      <c r="I820" s="3">
        <f t="shared" si="123"/>
        <v>0.31816802313563608</v>
      </c>
      <c r="J820" s="5">
        <f t="shared" si="127"/>
        <v>-4.9789352738414021E-3</v>
      </c>
      <c r="K820" s="3">
        <f t="shared" si="124"/>
        <v>-0.2625583733796707</v>
      </c>
      <c r="L820" s="3">
        <f t="shared" si="125"/>
        <v>1.2395936229835229</v>
      </c>
    </row>
    <row r="821" spans="1:12" x14ac:dyDescent="0.25">
      <c r="A821" s="26">
        <v>26.41</v>
      </c>
      <c r="B821">
        <v>26.4</v>
      </c>
      <c r="C821">
        <v>1.59</v>
      </c>
      <c r="D821" s="2">
        <v>44105</v>
      </c>
      <c r="E821">
        <v>26.53</v>
      </c>
      <c r="F821">
        <v>-0.12</v>
      </c>
      <c r="G821">
        <v>-0.13000000000000256</v>
      </c>
      <c r="H821" s="5">
        <f t="shared" si="126"/>
        <v>-4.5231813041839422E-3</v>
      </c>
      <c r="I821" s="3">
        <f t="shared" si="123"/>
        <v>-0.57399670562916916</v>
      </c>
      <c r="J821" s="5">
        <f t="shared" si="127"/>
        <v>-4.9001130795327009E-3</v>
      </c>
      <c r="K821" s="3">
        <f t="shared" si="124"/>
        <v>-0.22561296395036767</v>
      </c>
      <c r="L821" s="3">
        <f t="shared" si="125"/>
        <v>-0.69334593849544524</v>
      </c>
    </row>
    <row r="822" spans="1:12" x14ac:dyDescent="0.25">
      <c r="A822" s="26">
        <v>27.09</v>
      </c>
      <c r="B822">
        <v>27.02</v>
      </c>
      <c r="C822">
        <v>1.58</v>
      </c>
      <c r="D822" s="2">
        <v>44103</v>
      </c>
      <c r="E822">
        <v>27.09</v>
      </c>
      <c r="F822">
        <v>0</v>
      </c>
      <c r="G822">
        <v>-7.0000000000000284E-2</v>
      </c>
      <c r="H822" s="5">
        <f t="shared" si="126"/>
        <v>0</v>
      </c>
      <c r="I822" s="3">
        <f t="shared" si="123"/>
        <v>0.32104608732484424</v>
      </c>
      <c r="J822" s="5">
        <f t="shared" si="127"/>
        <v>-2.5839793281653852E-3</v>
      </c>
      <c r="K822" s="3">
        <f t="shared" si="124"/>
        <v>0.93410659355659942</v>
      </c>
      <c r="L822" s="3">
        <f t="shared" si="125"/>
        <v>-0.71903861996450502</v>
      </c>
    </row>
    <row r="823" spans="1:12" x14ac:dyDescent="0.25">
      <c r="A823" s="26">
        <v>26.28</v>
      </c>
      <c r="B823">
        <v>26.27</v>
      </c>
      <c r="C823">
        <v>1.53</v>
      </c>
      <c r="D823" s="2">
        <v>44102</v>
      </c>
      <c r="E823">
        <v>26.37</v>
      </c>
      <c r="F823">
        <v>-0.09</v>
      </c>
      <c r="G823">
        <v>-0.10000000000000142</v>
      </c>
      <c r="H823" s="5">
        <f t="shared" si="126"/>
        <v>-3.4129692832764501E-3</v>
      </c>
      <c r="I823" s="3">
        <f t="shared" si="123"/>
        <v>-0.35327286174470368</v>
      </c>
      <c r="J823" s="5">
        <f t="shared" si="127"/>
        <v>-3.792188092529443E-3</v>
      </c>
      <c r="K823" s="3">
        <f t="shared" si="124"/>
        <v>0.33750248984970349</v>
      </c>
      <c r="L823" s="3">
        <f t="shared" si="125"/>
        <v>-0.87991096501441446</v>
      </c>
    </row>
    <row r="824" spans="1:12" x14ac:dyDescent="0.25">
      <c r="A824" s="26">
        <v>26.2</v>
      </c>
      <c r="B824">
        <v>26.15</v>
      </c>
      <c r="C824">
        <v>1.95</v>
      </c>
      <c r="D824" s="2">
        <v>44099</v>
      </c>
      <c r="E824">
        <v>26.29</v>
      </c>
      <c r="F824">
        <v>-0.09</v>
      </c>
      <c r="G824">
        <v>-0.14000000000000057</v>
      </c>
      <c r="H824" s="5">
        <f t="shared" si="126"/>
        <v>-3.4233548877900342E-3</v>
      </c>
      <c r="I824" s="3">
        <f t="shared" si="123"/>
        <v>-0.36103193564102704</v>
      </c>
      <c r="J824" s="5">
        <f t="shared" si="127"/>
        <v>-5.3252187143400754E-3</v>
      </c>
      <c r="K824" s="3">
        <f t="shared" si="124"/>
        <v>-0.43114011972818683</v>
      </c>
      <c r="L824" s="3">
        <f t="shared" si="125"/>
        <v>0.40280550983497299</v>
      </c>
    </row>
    <row r="825" spans="1:12" x14ac:dyDescent="0.25">
      <c r="A825" s="26">
        <v>26.28</v>
      </c>
      <c r="B825">
        <v>26.32</v>
      </c>
      <c r="C825">
        <v>1.53</v>
      </c>
      <c r="D825" s="2">
        <v>44098</v>
      </c>
      <c r="E825">
        <v>26.48</v>
      </c>
      <c r="F825">
        <v>-0.2</v>
      </c>
      <c r="G825">
        <v>-0.16000000000000014</v>
      </c>
      <c r="H825" s="5">
        <f t="shared" si="126"/>
        <v>-7.5528700906344415E-3</v>
      </c>
      <c r="I825" s="3">
        <f t="shared" si="123"/>
        <v>-1.1769151510860361</v>
      </c>
      <c r="J825" s="5">
        <f t="shared" si="127"/>
        <v>-6.0422960725075581E-3</v>
      </c>
      <c r="K825" s="3">
        <f t="shared" si="124"/>
        <v>-0.78786668284320416</v>
      </c>
      <c r="L825" s="3">
        <f t="shared" si="125"/>
        <v>-0.88418294096258987</v>
      </c>
    </row>
    <row r="826" spans="1:12" x14ac:dyDescent="0.25">
      <c r="A826" s="26">
        <v>27.31</v>
      </c>
      <c r="B826">
        <v>27.42</v>
      </c>
      <c r="C826">
        <v>1.48</v>
      </c>
      <c r="D826" s="2">
        <v>44097</v>
      </c>
      <c r="E826">
        <v>27.53</v>
      </c>
      <c r="F826">
        <v>-0.22</v>
      </c>
      <c r="G826">
        <v>-0.10999999999999943</v>
      </c>
      <c r="H826" s="5">
        <f t="shared" si="126"/>
        <v>-7.9912822375590269E-3</v>
      </c>
      <c r="I826" s="3">
        <f t="shared" si="123"/>
        <v>-1.2715631575148587</v>
      </c>
      <c r="J826" s="5">
        <f t="shared" si="127"/>
        <v>-3.9956411187794926E-3</v>
      </c>
      <c r="K826" s="3">
        <f t="shared" si="124"/>
        <v>0.22175140949139202</v>
      </c>
      <c r="L826" s="3">
        <f t="shared" si="125"/>
        <v>-1.0435639031561117</v>
      </c>
    </row>
    <row r="827" spans="1:12" x14ac:dyDescent="0.25">
      <c r="A827" s="26">
        <v>26.75</v>
      </c>
      <c r="B827">
        <v>26.6</v>
      </c>
      <c r="C827">
        <v>1.69</v>
      </c>
      <c r="D827" s="2">
        <v>44096</v>
      </c>
      <c r="E827">
        <v>26.65</v>
      </c>
      <c r="F827">
        <v>0.1</v>
      </c>
      <c r="G827">
        <v>-4.9999999999997158E-2</v>
      </c>
      <c r="H827" s="5">
        <f t="shared" si="126"/>
        <v>3.7523452157598503E-3</v>
      </c>
      <c r="I827" s="3">
        <f t="shared" si="123"/>
        <v>1.0432330050659977</v>
      </c>
      <c r="J827" s="5">
        <f t="shared" si="127"/>
        <v>-1.8761726078798185E-3</v>
      </c>
      <c r="K827" s="3">
        <f t="shared" si="124"/>
        <v>1.2802943963408437</v>
      </c>
      <c r="L827" s="3">
        <f t="shared" si="125"/>
        <v>-0.40325876522286103</v>
      </c>
    </row>
    <row r="828" spans="1:12" x14ac:dyDescent="0.25">
      <c r="A828" s="26">
        <v>27.12</v>
      </c>
      <c r="B828">
        <v>27.18</v>
      </c>
      <c r="C828">
        <v>1.35</v>
      </c>
      <c r="D828" s="2">
        <v>44095</v>
      </c>
      <c r="E828">
        <v>27.27</v>
      </c>
      <c r="F828">
        <v>-0.15</v>
      </c>
      <c r="G828">
        <v>-8.9999999999999858E-2</v>
      </c>
      <c r="H828" s="5">
        <f t="shared" si="126"/>
        <v>-5.5005500550055E-3</v>
      </c>
      <c r="I828" s="3">
        <f t="shared" si="123"/>
        <v>-0.78696066700140299</v>
      </c>
      <c r="J828" s="5">
        <f t="shared" si="127"/>
        <v>-3.3003300330032952E-3</v>
      </c>
      <c r="K828" s="3">
        <f t="shared" si="124"/>
        <v>0.57391639301979536</v>
      </c>
      <c r="L828" s="3">
        <f t="shared" si="125"/>
        <v>-1.4396264923819799</v>
      </c>
    </row>
    <row r="829" spans="1:12" x14ac:dyDescent="0.25">
      <c r="A829" s="26">
        <v>28.36</v>
      </c>
      <c r="B829">
        <v>28.41</v>
      </c>
      <c r="C829">
        <v>1.61</v>
      </c>
      <c r="D829" s="2">
        <v>44092</v>
      </c>
      <c r="E829">
        <v>28.57</v>
      </c>
      <c r="F829">
        <v>-0.21</v>
      </c>
      <c r="G829">
        <v>-0.16000000000000014</v>
      </c>
      <c r="H829" s="5">
        <f t="shared" si="126"/>
        <v>-7.3503675183759186E-3</v>
      </c>
      <c r="I829" s="3">
        <f t="shared" si="123"/>
        <v>-1.1585167575988151</v>
      </c>
      <c r="J829" s="5">
        <f t="shared" si="127"/>
        <v>-5.6002800140007051E-3</v>
      </c>
      <c r="K829" s="3">
        <f t="shared" si="124"/>
        <v>-0.5771643457299821</v>
      </c>
      <c r="L829" s="3">
        <f t="shared" si="125"/>
        <v>-0.65115474768134129</v>
      </c>
    </row>
    <row r="830" spans="1:12" x14ac:dyDescent="0.25">
      <c r="A830" s="26">
        <v>29.1</v>
      </c>
      <c r="B830">
        <v>29.07</v>
      </c>
      <c r="C830">
        <v>1.57</v>
      </c>
      <c r="D830" s="2">
        <v>44091</v>
      </c>
      <c r="E830">
        <v>29.23</v>
      </c>
      <c r="F830">
        <v>-0.13</v>
      </c>
      <c r="G830">
        <v>-0.16000000000000014</v>
      </c>
      <c r="H830" s="5">
        <f t="shared" si="126"/>
        <v>-4.4474854601436881E-3</v>
      </c>
      <c r="I830" s="3">
        <f t="shared" si="123"/>
        <v>-0.58815152552774441</v>
      </c>
      <c r="J830" s="5">
        <f t="shared" si="127"/>
        <v>-5.4738282586383902E-3</v>
      </c>
      <c r="K830" s="3">
        <f t="shared" si="124"/>
        <v>-0.51852613230228028</v>
      </c>
      <c r="L830" s="3">
        <f t="shared" si="125"/>
        <v>-0.78025060928871837</v>
      </c>
    </row>
    <row r="831" spans="1:12" x14ac:dyDescent="0.25">
      <c r="A831" s="26">
        <v>29.99</v>
      </c>
      <c r="B831">
        <v>30</v>
      </c>
      <c r="C831">
        <v>1.44</v>
      </c>
      <c r="D831" s="2">
        <v>44089</v>
      </c>
      <c r="E831">
        <v>30.14</v>
      </c>
      <c r="F831">
        <v>-0.15</v>
      </c>
      <c r="G831">
        <v>-0.14000000000000057</v>
      </c>
      <c r="H831" s="5">
        <f t="shared" si="126"/>
        <v>-4.9767750497677499E-3</v>
      </c>
      <c r="I831" s="3">
        <f t="shared" si="123"/>
        <v>-0.69767341725966348</v>
      </c>
      <c r="J831" s="5">
        <f t="shared" si="127"/>
        <v>-4.6449900464499193E-3</v>
      </c>
      <c r="K831" s="3">
        <f t="shared" si="124"/>
        <v>-0.10348166330046034</v>
      </c>
      <c r="L831" s="3">
        <f t="shared" si="125"/>
        <v>-1.1744720006576226</v>
      </c>
    </row>
    <row r="832" spans="1:12" x14ac:dyDescent="0.25">
      <c r="A832" s="26">
        <v>28.66</v>
      </c>
      <c r="B832">
        <v>28.45</v>
      </c>
      <c r="C832">
        <v>1.79</v>
      </c>
      <c r="D832" s="2">
        <v>44088</v>
      </c>
      <c r="E832">
        <v>28.52</v>
      </c>
      <c r="F832">
        <v>0.14000000000000001</v>
      </c>
      <c r="G832">
        <v>-7.0000000000000284E-2</v>
      </c>
      <c r="H832" s="5">
        <f t="shared" si="126"/>
        <v>4.9088359046283317E-3</v>
      </c>
      <c r="I832" s="3">
        <f t="shared" si="123"/>
        <v>1.2726648764619062</v>
      </c>
      <c r="J832" s="5">
        <f t="shared" si="127"/>
        <v>-2.4544179523141754E-3</v>
      </c>
      <c r="K832" s="3">
        <f t="shared" si="124"/>
        <v>0.9957556523943647</v>
      </c>
      <c r="L832" s="3">
        <f t="shared" si="125"/>
        <v>-0.12547271428258563</v>
      </c>
    </row>
    <row r="833" spans="1:12" x14ac:dyDescent="0.25">
      <c r="A833" s="26">
        <v>28.05</v>
      </c>
      <c r="B833">
        <v>28</v>
      </c>
      <c r="C833">
        <v>1.77</v>
      </c>
      <c r="D833" s="2">
        <v>44085</v>
      </c>
      <c r="E833">
        <v>28.04</v>
      </c>
      <c r="F833">
        <v>0.01</v>
      </c>
      <c r="G833">
        <v>-3.9999999999999147E-2</v>
      </c>
      <c r="H833" s="5">
        <f t="shared" si="126"/>
        <v>3.566333808844508E-4</v>
      </c>
      <c r="I833" s="3">
        <f t="shared" si="123"/>
        <v>0.36981639205580169</v>
      </c>
      <c r="J833" s="5">
        <f t="shared" si="127"/>
        <v>-1.4265335235377728E-3</v>
      </c>
      <c r="K833" s="3">
        <f t="shared" si="124"/>
        <v>1.5196913714068299</v>
      </c>
      <c r="L833" s="3">
        <f t="shared" si="125"/>
        <v>-0.18517470028087285</v>
      </c>
    </row>
    <row r="834" spans="1:12" x14ac:dyDescent="0.25">
      <c r="A834" s="26">
        <v>27.46</v>
      </c>
      <c r="B834">
        <v>27.22</v>
      </c>
      <c r="C834">
        <v>1.92</v>
      </c>
      <c r="D834" s="2">
        <v>44084</v>
      </c>
      <c r="E834">
        <v>27.37</v>
      </c>
      <c r="F834">
        <v>0.09</v>
      </c>
      <c r="G834">
        <v>-0.15000000000000213</v>
      </c>
      <c r="H834" s="5">
        <f t="shared" si="126"/>
        <v>3.2882718304713186E-3</v>
      </c>
      <c r="I834" s="3">
        <f t="shared" si="123"/>
        <v>0.95589561774417553</v>
      </c>
      <c r="J834" s="5">
        <f t="shared" si="127"/>
        <v>-5.4804530507856089E-3</v>
      </c>
      <c r="K834" s="3">
        <f t="shared" si="124"/>
        <v>-0.51826267907245793</v>
      </c>
      <c r="L834" s="3">
        <f t="shared" si="125"/>
        <v>0.26266676319566917</v>
      </c>
    </row>
    <row r="835" spans="1:12" x14ac:dyDescent="0.25">
      <c r="A835" s="26">
        <v>26.45</v>
      </c>
      <c r="B835">
        <v>26.2</v>
      </c>
      <c r="C835">
        <v>1.81</v>
      </c>
      <c r="D835" s="2">
        <v>44083</v>
      </c>
      <c r="E835">
        <v>26.29</v>
      </c>
      <c r="F835">
        <v>0.16</v>
      </c>
      <c r="G835">
        <v>-8.9999999999999858E-2</v>
      </c>
      <c r="H835" s="5">
        <f t="shared" si="126"/>
        <v>6.085964244960061E-3</v>
      </c>
      <c r="I835" s="3">
        <f t="shared" ref="I835:I898" si="128">IFERROR((H835-AVERAGEA(H835:H1051))/_xlfn.STDEV.S(H835:H1051), " ")</f>
        <v>1.5241450500483273</v>
      </c>
      <c r="J835" s="5">
        <f t="shared" si="127"/>
        <v>-3.423354887790029E-3</v>
      </c>
      <c r="K835" s="3">
        <f t="shared" ref="K835:K898" si="129">IFERROR((J835-AVERAGEA(J835:J1051))/_xlfn.STDEV.S(J835:J1051), " ")</f>
        <v>0.51923642161493444</v>
      </c>
      <c r="L835" s="3">
        <f t="shared" ref="L835:L898" si="130">(C835-AVERAGEA(C835:C1051))/_xlfn.STDEV.S(C835:C1051)</f>
        <v>-7.1349215990068285E-2</v>
      </c>
    </row>
    <row r="836" spans="1:12" x14ac:dyDescent="0.25">
      <c r="A836" s="26">
        <v>27.25</v>
      </c>
      <c r="B836">
        <v>27.22</v>
      </c>
      <c r="C836">
        <v>1.5</v>
      </c>
      <c r="D836" s="2">
        <v>44082</v>
      </c>
      <c r="E836">
        <v>27.33</v>
      </c>
      <c r="F836">
        <v>-0.08</v>
      </c>
      <c r="G836">
        <v>-0.10999999999999943</v>
      </c>
      <c r="H836" s="5">
        <f t="shared" ref="H836:H899" si="131">IFERROR(F836/E836,"")</f>
        <v>-2.9271862422246618E-3</v>
      </c>
      <c r="I836" s="3">
        <f t="shared" si="128"/>
        <v>-0.28287980522438155</v>
      </c>
      <c r="J836" s="5">
        <f t="shared" ref="J836:J899" si="132">IFERROR(G836/E836,"")</f>
        <v>-4.0248810830588889E-3</v>
      </c>
      <c r="K836" s="3">
        <f t="shared" si="129"/>
        <v>0.21953529199719163</v>
      </c>
      <c r="L836" s="3">
        <f t="shared" si="130"/>
        <v>-1.0091540079316192</v>
      </c>
    </row>
    <row r="837" spans="1:12" x14ac:dyDescent="0.25">
      <c r="A837" s="26">
        <v>26.9</v>
      </c>
      <c r="B837">
        <v>26.95</v>
      </c>
      <c r="C837">
        <v>1.54</v>
      </c>
      <c r="D837" s="2">
        <v>44081</v>
      </c>
      <c r="E837">
        <v>27.07</v>
      </c>
      <c r="F837">
        <v>-0.17</v>
      </c>
      <c r="G837">
        <v>-0.12000000000000099</v>
      </c>
      <c r="H837" s="5">
        <f t="shared" si="131"/>
        <v>-6.280014776505357E-3</v>
      </c>
      <c r="I837" s="3">
        <f t="shared" si="128"/>
        <v>-0.96237988680159436</v>
      </c>
      <c r="J837" s="5">
        <f t="shared" si="132"/>
        <v>-4.4329516069449943E-3</v>
      </c>
      <c r="K837" s="3">
        <f t="shared" si="129"/>
        <v>1.1047153554424134E-2</v>
      </c>
      <c r="L837" s="3">
        <f t="shared" si="130"/>
        <v>-0.89736679495218141</v>
      </c>
    </row>
    <row r="838" spans="1:12" x14ac:dyDescent="0.25">
      <c r="A838" s="26">
        <v>28.8</v>
      </c>
      <c r="B838">
        <v>28.61</v>
      </c>
      <c r="C838">
        <v>1.95</v>
      </c>
      <c r="D838" s="2">
        <v>44078</v>
      </c>
      <c r="E838">
        <v>28.8</v>
      </c>
      <c r="F838">
        <v>0</v>
      </c>
      <c r="G838">
        <v>-0.19000000000000128</v>
      </c>
      <c r="H838" s="5">
        <f t="shared" si="131"/>
        <v>0</v>
      </c>
      <c r="I838" s="3">
        <f t="shared" si="128"/>
        <v>0.3038980052678219</v>
      </c>
      <c r="J838" s="5">
        <f t="shared" si="132"/>
        <v>-6.5972222222222664E-3</v>
      </c>
      <c r="K838" s="3">
        <f t="shared" si="129"/>
        <v>-1.0849234263722816</v>
      </c>
      <c r="L838" s="3">
        <f t="shared" si="130"/>
        <v>0.3374756859016616</v>
      </c>
    </row>
    <row r="839" spans="1:12" x14ac:dyDescent="0.25">
      <c r="A839" s="26">
        <v>28.28</v>
      </c>
      <c r="B839">
        <v>28.25</v>
      </c>
      <c r="C839">
        <v>1.81</v>
      </c>
      <c r="D839" s="2">
        <v>44075</v>
      </c>
      <c r="E839">
        <v>28.36</v>
      </c>
      <c r="F839">
        <v>-0.08</v>
      </c>
      <c r="G839">
        <v>-0.10999999999999943</v>
      </c>
      <c r="H839" s="5">
        <f t="shared" si="131"/>
        <v>-2.8208744710860366E-3</v>
      </c>
      <c r="I839" s="3">
        <f t="shared" si="128"/>
        <v>-0.26430149262428282</v>
      </c>
      <c r="J839" s="5">
        <f t="shared" si="132"/>
        <v>-3.8787023977432805E-3</v>
      </c>
      <c r="K839" s="3">
        <f t="shared" si="129"/>
        <v>0.28415382431682196</v>
      </c>
      <c r="L839" s="3">
        <f t="shared" si="130"/>
        <v>-9.6979002483517845E-2</v>
      </c>
    </row>
    <row r="840" spans="1:12" x14ac:dyDescent="0.25">
      <c r="A840" s="26">
        <v>29.5</v>
      </c>
      <c r="B840">
        <v>29.46</v>
      </c>
      <c r="C840">
        <v>1.96</v>
      </c>
      <c r="D840" s="2">
        <v>44071</v>
      </c>
      <c r="E840">
        <v>29.61</v>
      </c>
      <c r="F840">
        <v>-0.11</v>
      </c>
      <c r="G840">
        <v>-0.14999999999999858</v>
      </c>
      <c r="H840" s="5">
        <f t="shared" si="131"/>
        <v>-3.7149611617696724E-3</v>
      </c>
      <c r="I840" s="3">
        <f t="shared" si="128"/>
        <v>-0.44838131310498086</v>
      </c>
      <c r="J840" s="5">
        <f t="shared" si="132"/>
        <v>-5.0658561296858693E-3</v>
      </c>
      <c r="K840" s="3">
        <f t="shared" si="129"/>
        <v>-0.31285996156905499</v>
      </c>
      <c r="L840" s="3">
        <f t="shared" si="130"/>
        <v>0.33513066123486951</v>
      </c>
    </row>
    <row r="841" spans="1:12" x14ac:dyDescent="0.25">
      <c r="A841" s="26">
        <v>28.03</v>
      </c>
      <c r="B841">
        <v>28</v>
      </c>
      <c r="C841">
        <v>2.0299999999999998</v>
      </c>
      <c r="D841" s="2">
        <v>44070</v>
      </c>
      <c r="E841">
        <v>28.05</v>
      </c>
      <c r="F841">
        <v>-0.02</v>
      </c>
      <c r="G841">
        <v>-5.0000000000000711E-2</v>
      </c>
      <c r="H841" s="5">
        <f t="shared" si="131"/>
        <v>-7.1301247771836005E-4</v>
      </c>
      <c r="I841" s="3">
        <f t="shared" si="128"/>
        <v>0.15060897284281066</v>
      </c>
      <c r="J841" s="5">
        <f t="shared" si="132"/>
        <v>-1.7825311942959254E-3</v>
      </c>
      <c r="K841" s="3">
        <f t="shared" si="129"/>
        <v>1.3365982336590676</v>
      </c>
      <c r="L841" s="3">
        <f t="shared" si="130"/>
        <v>0.51574087379956735</v>
      </c>
    </row>
    <row r="842" spans="1:12" x14ac:dyDescent="0.25">
      <c r="A842" s="26">
        <v>28.42</v>
      </c>
      <c r="B842">
        <v>28.4</v>
      </c>
      <c r="C842">
        <v>1.88</v>
      </c>
      <c r="D842" s="2">
        <v>44069</v>
      </c>
      <c r="E842">
        <v>28.5</v>
      </c>
      <c r="F842">
        <v>-0.08</v>
      </c>
      <c r="G842">
        <v>-0.10000000000000142</v>
      </c>
      <c r="H842" s="5">
        <f t="shared" si="131"/>
        <v>-2.8070175438596493E-3</v>
      </c>
      <c r="I842" s="3">
        <f t="shared" si="128"/>
        <v>-0.26981026418743242</v>
      </c>
      <c r="J842" s="5">
        <f t="shared" si="132"/>
        <v>-3.5087719298246113E-3</v>
      </c>
      <c r="K842" s="3">
        <f t="shared" si="129"/>
        <v>0.47686893662291024</v>
      </c>
      <c r="L842" s="3">
        <f t="shared" si="130"/>
        <v>7.3008519213046741E-2</v>
      </c>
    </row>
    <row r="843" spans="1:12" x14ac:dyDescent="0.25">
      <c r="A843" s="26">
        <v>27.33</v>
      </c>
      <c r="B843">
        <v>27.44</v>
      </c>
      <c r="C843">
        <v>1.57</v>
      </c>
      <c r="D843" s="2">
        <v>44068</v>
      </c>
      <c r="E843">
        <v>27.54</v>
      </c>
      <c r="F843">
        <v>-0.21</v>
      </c>
      <c r="G843">
        <v>-9.9999999999997868E-2</v>
      </c>
      <c r="H843" s="5">
        <f t="shared" si="131"/>
        <v>-7.6252723311546842E-3</v>
      </c>
      <c r="I843" s="3">
        <f t="shared" si="128"/>
        <v>-1.2388733419133684</v>
      </c>
      <c r="J843" s="5">
        <f t="shared" si="132"/>
        <v>-3.6310820624545341E-3</v>
      </c>
      <c r="K843" s="3">
        <f t="shared" si="129"/>
        <v>0.41987766604983329</v>
      </c>
      <c r="L843" s="3">
        <f t="shared" si="130"/>
        <v>-0.80230911801731919</v>
      </c>
    </row>
    <row r="844" spans="1:12" x14ac:dyDescent="0.25">
      <c r="A844" s="26">
        <v>26.6</v>
      </c>
      <c r="B844">
        <v>26.5</v>
      </c>
      <c r="C844">
        <v>1.92</v>
      </c>
      <c r="D844" s="2">
        <v>44067</v>
      </c>
      <c r="E844">
        <v>26.64</v>
      </c>
      <c r="F844">
        <v>-0.04</v>
      </c>
      <c r="G844">
        <v>-0.14000000000000057</v>
      </c>
      <c r="H844" s="5">
        <f t="shared" si="131"/>
        <v>-1.5015015015015015E-3</v>
      </c>
      <c r="I844" s="3">
        <f t="shared" si="128"/>
        <v>-1.0382960055986516E-2</v>
      </c>
      <c r="J844" s="5">
        <f t="shared" si="132"/>
        <v>-5.2552552552552765E-3</v>
      </c>
      <c r="K844" s="3">
        <f t="shared" si="129"/>
        <v>-0.40153869238766238</v>
      </c>
      <c r="L844" s="3">
        <f t="shared" si="130"/>
        <v>0.18260139060647559</v>
      </c>
    </row>
    <row r="845" spans="1:12" x14ac:dyDescent="0.25">
      <c r="A845" s="26">
        <v>25.36</v>
      </c>
      <c r="B845">
        <v>25.39</v>
      </c>
      <c r="C845">
        <v>2.62</v>
      </c>
      <c r="D845" s="2">
        <v>44064</v>
      </c>
      <c r="E845">
        <v>25.56</v>
      </c>
      <c r="F845">
        <v>-0.2</v>
      </c>
      <c r="G845">
        <v>-0.16999999999999815</v>
      </c>
      <c r="H845" s="5">
        <f t="shared" si="131"/>
        <v>-7.8247261345852897E-3</v>
      </c>
      <c r="I845" s="3">
        <f t="shared" si="128"/>
        <v>-1.2867920097162397</v>
      </c>
      <c r="J845" s="5">
        <f t="shared" si="132"/>
        <v>-6.6510172143974238E-3</v>
      </c>
      <c r="K845" s="3">
        <f t="shared" si="129"/>
        <v>-1.1097846857082849</v>
      </c>
      <c r="L845" s="3">
        <f t="shared" si="130"/>
        <v>2.1078242535684293</v>
      </c>
    </row>
    <row r="846" spans="1:12" x14ac:dyDescent="0.25">
      <c r="A846" s="26">
        <v>25.7</v>
      </c>
      <c r="B846">
        <v>25.65</v>
      </c>
      <c r="C846">
        <v>2.1</v>
      </c>
      <c r="D846" s="2">
        <v>44063</v>
      </c>
      <c r="E846">
        <v>25.79</v>
      </c>
      <c r="F846">
        <v>-0.09</v>
      </c>
      <c r="G846">
        <v>-0.14000000000000057</v>
      </c>
      <c r="H846" s="5">
        <f t="shared" si="131"/>
        <v>-3.4897246994959287E-3</v>
      </c>
      <c r="I846" s="3">
        <f t="shared" si="128"/>
        <v>-0.42148937699101197</v>
      </c>
      <c r="J846" s="5">
        <f t="shared" si="132"/>
        <v>-5.4284606436603555E-3</v>
      </c>
      <c r="K846" s="3">
        <f t="shared" si="129"/>
        <v>-0.49526567023204016</v>
      </c>
      <c r="L846" s="3">
        <f t="shared" si="130"/>
        <v>0.65416863699884031</v>
      </c>
    </row>
    <row r="847" spans="1:12" x14ac:dyDescent="0.25">
      <c r="A847" s="26">
        <v>26.05</v>
      </c>
      <c r="B847">
        <v>25.91</v>
      </c>
      <c r="C847">
        <v>2.39</v>
      </c>
      <c r="D847" s="2">
        <v>44061</v>
      </c>
      <c r="E847">
        <v>26.06</v>
      </c>
      <c r="F847">
        <v>-0.01</v>
      </c>
      <c r="G847">
        <v>-0.14999999999999858</v>
      </c>
      <c r="H847" s="5">
        <f t="shared" si="131"/>
        <v>-3.8372985418265546E-4</v>
      </c>
      <c r="I847" s="3">
        <f t="shared" si="128"/>
        <v>0.20394123586211346</v>
      </c>
      <c r="J847" s="5">
        <f t="shared" si="132"/>
        <v>-5.7559478127397765E-3</v>
      </c>
      <c r="K847" s="3">
        <f t="shared" si="129"/>
        <v>-0.66186715506604821</v>
      </c>
      <c r="L847" s="3">
        <f t="shared" si="130"/>
        <v>1.4421777398734441</v>
      </c>
    </row>
    <row r="848" spans="1:12" x14ac:dyDescent="0.25">
      <c r="A848" s="26">
        <v>25.42</v>
      </c>
      <c r="B848">
        <v>25.42</v>
      </c>
      <c r="C848">
        <v>2.0099999999999998</v>
      </c>
      <c r="D848" s="2">
        <v>44060</v>
      </c>
      <c r="E848">
        <v>25.53</v>
      </c>
      <c r="F848">
        <v>-0.11</v>
      </c>
      <c r="G848">
        <v>-0.10999999999999943</v>
      </c>
      <c r="H848" s="5">
        <f t="shared" si="131"/>
        <v>-4.3086564825695261E-3</v>
      </c>
      <c r="I848" s="3">
        <f t="shared" si="128"/>
        <v>-0.58601291007035683</v>
      </c>
      <c r="J848" s="5">
        <f t="shared" si="132"/>
        <v>-4.3086564825695036E-3</v>
      </c>
      <c r="K848" s="3">
        <f t="shared" si="129"/>
        <v>6.8710944483466402E-2</v>
      </c>
      <c r="L848" s="3">
        <f t="shared" si="130"/>
        <v>0.39143652605096413</v>
      </c>
    </row>
    <row r="849" spans="1:12" x14ac:dyDescent="0.25">
      <c r="A849" s="26">
        <v>25.25</v>
      </c>
      <c r="B849">
        <v>25.25</v>
      </c>
      <c r="C849">
        <v>1.92</v>
      </c>
      <c r="D849" s="2">
        <v>44057</v>
      </c>
      <c r="E849">
        <v>25.33</v>
      </c>
      <c r="F849">
        <v>-0.08</v>
      </c>
      <c r="G849">
        <v>-7.9999999999998295E-2</v>
      </c>
      <c r="H849" s="5">
        <f t="shared" si="131"/>
        <v>-3.1583103039873671E-3</v>
      </c>
      <c r="I849" s="3">
        <f t="shared" si="128"/>
        <v>-0.36026932955339702</v>
      </c>
      <c r="J849" s="5">
        <f t="shared" si="132"/>
        <v>-3.1583103039872999E-3</v>
      </c>
      <c r="K849" s="3">
        <f t="shared" si="129"/>
        <v>0.6561763016854647</v>
      </c>
      <c r="L849" s="3">
        <f t="shared" si="130"/>
        <v>0.1239330240459823</v>
      </c>
    </row>
    <row r="850" spans="1:12" x14ac:dyDescent="0.25">
      <c r="A850" s="26">
        <v>25.94</v>
      </c>
      <c r="B850">
        <v>25.75</v>
      </c>
      <c r="C850">
        <v>2.2200000000000002</v>
      </c>
      <c r="D850" s="2">
        <v>44056</v>
      </c>
      <c r="E850">
        <v>25.87</v>
      </c>
      <c r="F850">
        <v>7.0000000000000007E-2</v>
      </c>
      <c r="G850">
        <v>-0.12000000000000099</v>
      </c>
      <c r="H850" s="5">
        <f t="shared" si="131"/>
        <v>2.7058368766911482E-3</v>
      </c>
      <c r="I850" s="3">
        <f t="shared" si="128"/>
        <v>0.81331042176937152</v>
      </c>
      <c r="J850" s="5">
        <f t="shared" si="132"/>
        <v>-4.638577502899149E-3</v>
      </c>
      <c r="K850" s="3">
        <f t="shared" si="129"/>
        <v>-9.1630252926343303E-2</v>
      </c>
      <c r="L850" s="3">
        <f t="shared" si="130"/>
        <v>0.87983482163318216</v>
      </c>
    </row>
    <row r="851" spans="1:12" x14ac:dyDescent="0.25">
      <c r="A851" s="26">
        <v>25.55</v>
      </c>
      <c r="B851">
        <v>25.59</v>
      </c>
      <c r="C851">
        <v>1.72</v>
      </c>
      <c r="D851" s="2">
        <v>44055</v>
      </c>
      <c r="E851">
        <v>25.74</v>
      </c>
      <c r="F851">
        <v>-0.19</v>
      </c>
      <c r="G851">
        <v>-0.14999999999999858</v>
      </c>
      <c r="H851" s="5">
        <f t="shared" si="131"/>
        <v>-7.3815073815073819E-3</v>
      </c>
      <c r="I851" s="3">
        <f t="shared" si="128"/>
        <v>-1.2094520127180841</v>
      </c>
      <c r="J851" s="5">
        <f t="shared" si="132"/>
        <v>-5.8275058275057724E-3</v>
      </c>
      <c r="K851" s="3">
        <f t="shared" si="129"/>
        <v>-0.69648674767668328</v>
      </c>
      <c r="L851" s="3">
        <f t="shared" si="130"/>
        <v>-0.39767255429952297</v>
      </c>
    </row>
    <row r="852" spans="1:12" x14ac:dyDescent="0.25">
      <c r="A852" s="26">
        <v>26.71</v>
      </c>
      <c r="B852">
        <v>26.75</v>
      </c>
      <c r="C852">
        <v>1.71</v>
      </c>
      <c r="D852" s="2">
        <v>44054</v>
      </c>
      <c r="E852">
        <v>26.81</v>
      </c>
      <c r="F852">
        <v>-0.1</v>
      </c>
      <c r="G852">
        <v>-5.9999999999998721E-2</v>
      </c>
      <c r="H852" s="5">
        <f t="shared" si="131"/>
        <v>-3.7299515106303622E-3</v>
      </c>
      <c r="I852" s="3">
        <f t="shared" si="128"/>
        <v>-0.48561533031433757</v>
      </c>
      <c r="J852" s="5">
        <f t="shared" si="132"/>
        <v>-2.2379709063781693E-3</v>
      </c>
      <c r="K852" s="3">
        <f t="shared" si="129"/>
        <v>1.122513670451609</v>
      </c>
      <c r="L852" s="3">
        <f t="shared" si="130"/>
        <v>-0.4285081344449686</v>
      </c>
    </row>
    <row r="853" spans="1:12" x14ac:dyDescent="0.25">
      <c r="A853" s="26">
        <v>26.92</v>
      </c>
      <c r="B853">
        <v>26.77</v>
      </c>
      <c r="C853">
        <v>2.2599999999999998</v>
      </c>
      <c r="D853" s="2">
        <v>44053</v>
      </c>
      <c r="E853">
        <v>26.88</v>
      </c>
      <c r="F853">
        <v>0.04</v>
      </c>
      <c r="G853">
        <v>-0.10999999999999943</v>
      </c>
      <c r="H853" s="5">
        <f t="shared" si="131"/>
        <v>1.4880952380952382E-3</v>
      </c>
      <c r="I853" s="3">
        <f t="shared" si="128"/>
        <v>0.5628497552353563</v>
      </c>
      <c r="J853" s="5">
        <f t="shared" si="132"/>
        <v>-4.0922619047618842E-3</v>
      </c>
      <c r="K853" s="3">
        <f t="shared" si="129"/>
        <v>0.18395391105118114</v>
      </c>
      <c r="L853" s="3">
        <f t="shared" si="130"/>
        <v>0.91154240468362102</v>
      </c>
    </row>
    <row r="854" spans="1:12" x14ac:dyDescent="0.25">
      <c r="A854" s="26">
        <v>26.16</v>
      </c>
      <c r="B854">
        <v>26.1</v>
      </c>
      <c r="C854">
        <v>2.2200000000000002</v>
      </c>
      <c r="D854" s="2">
        <v>44050</v>
      </c>
      <c r="E854">
        <v>26.32</v>
      </c>
      <c r="F854">
        <v>-0.16</v>
      </c>
      <c r="G854">
        <v>-0.21999999999999886</v>
      </c>
      <c r="H854" s="5">
        <f t="shared" si="131"/>
        <v>-6.0790273556231003E-3</v>
      </c>
      <c r="I854" s="3">
        <f t="shared" si="128"/>
        <v>-0.96005713014254712</v>
      </c>
      <c r="J854" s="5">
        <f t="shared" si="132"/>
        <v>-8.358662613981719E-3</v>
      </c>
      <c r="K854" s="3">
        <f t="shared" si="129"/>
        <v>-1.985742771800689</v>
      </c>
      <c r="L854" s="3">
        <f t="shared" si="130"/>
        <v>0.81639515235277615</v>
      </c>
    </row>
    <row r="855" spans="1:12" x14ac:dyDescent="0.25">
      <c r="A855" s="26">
        <v>26.95</v>
      </c>
      <c r="B855">
        <v>26.95</v>
      </c>
      <c r="C855">
        <v>2.17</v>
      </c>
      <c r="D855" s="2">
        <v>44049</v>
      </c>
      <c r="E855">
        <v>27.11</v>
      </c>
      <c r="F855">
        <v>-0.16</v>
      </c>
      <c r="G855">
        <v>-0.16000000000000014</v>
      </c>
      <c r="H855" s="5">
        <f t="shared" si="131"/>
        <v>-5.9018812246403544E-3</v>
      </c>
      <c r="I855" s="3">
        <f t="shared" si="128"/>
        <v>-0.93207006974405493</v>
      </c>
      <c r="J855" s="5">
        <f t="shared" si="132"/>
        <v>-5.9018812246403596E-3</v>
      </c>
      <c r="K855" s="3">
        <f t="shared" si="129"/>
        <v>-0.75482109216486681</v>
      </c>
      <c r="L855" s="3">
        <f t="shared" si="130"/>
        <v>0.69872025577040009</v>
      </c>
    </row>
    <row r="856" spans="1:12" x14ac:dyDescent="0.25">
      <c r="A856" s="26">
        <v>25.95</v>
      </c>
      <c r="B856">
        <v>25.9</v>
      </c>
      <c r="C856">
        <v>1.95</v>
      </c>
      <c r="D856" s="2">
        <v>44047</v>
      </c>
      <c r="E856">
        <v>26.05</v>
      </c>
      <c r="F856">
        <v>-0.1</v>
      </c>
      <c r="G856">
        <v>-0.15000000000000213</v>
      </c>
      <c r="H856" s="5">
        <f t="shared" si="131"/>
        <v>-3.8387715930902114E-3</v>
      </c>
      <c r="I856" s="3">
        <f t="shared" si="128"/>
        <v>-0.52046793850995354</v>
      </c>
      <c r="J856" s="5">
        <f t="shared" si="132"/>
        <v>-5.7581573896353985E-3</v>
      </c>
      <c r="K856" s="3">
        <f t="shared" si="129"/>
        <v>-0.68675048824855811</v>
      </c>
      <c r="L856" s="3">
        <f t="shared" si="130"/>
        <v>0.16510949544631839</v>
      </c>
    </row>
    <row r="857" spans="1:12" x14ac:dyDescent="0.25">
      <c r="A857" s="26">
        <v>25.81</v>
      </c>
      <c r="B857">
        <v>25.9</v>
      </c>
      <c r="C857">
        <v>1.74</v>
      </c>
      <c r="D857" s="2">
        <v>44046</v>
      </c>
      <c r="E857">
        <v>26.05</v>
      </c>
      <c r="F857">
        <v>-0.24</v>
      </c>
      <c r="G857">
        <v>-0.15000000000000213</v>
      </c>
      <c r="H857" s="5">
        <f t="shared" si="131"/>
        <v>-9.2130518234165067E-3</v>
      </c>
      <c r="I857" s="3">
        <f t="shared" si="128"/>
        <v>-1.6054762567879119</v>
      </c>
      <c r="J857" s="5">
        <f t="shared" si="132"/>
        <v>-5.7581573896353985E-3</v>
      </c>
      <c r="K857" s="3">
        <f t="shared" si="129"/>
        <v>-0.68289561073064142</v>
      </c>
      <c r="L857" s="3">
        <f t="shared" si="130"/>
        <v>-0.35320062286562759</v>
      </c>
    </row>
    <row r="858" spans="1:12" x14ac:dyDescent="0.25">
      <c r="A858" s="26">
        <v>26.3</v>
      </c>
      <c r="B858">
        <v>26.1</v>
      </c>
      <c r="C858">
        <v>2.1</v>
      </c>
      <c r="D858" s="2">
        <v>44043</v>
      </c>
      <c r="E858">
        <v>26.29</v>
      </c>
      <c r="F858">
        <v>0.01</v>
      </c>
      <c r="G858">
        <v>-0.18999999999999773</v>
      </c>
      <c r="H858" s="5">
        <f t="shared" si="131"/>
        <v>3.8037276531000382E-4</v>
      </c>
      <c r="I858" s="3">
        <f t="shared" si="128"/>
        <v>0.32596461664695847</v>
      </c>
      <c r="J858" s="5">
        <f t="shared" si="132"/>
        <v>-7.2270825408899857E-3</v>
      </c>
      <c r="K858" s="3">
        <f t="shared" si="129"/>
        <v>-1.4409426988387823</v>
      </c>
      <c r="L858" s="3">
        <f t="shared" si="130"/>
        <v>0.51232569014585982</v>
      </c>
    </row>
    <row r="859" spans="1:12" x14ac:dyDescent="0.25">
      <c r="A859" s="26">
        <v>25.34</v>
      </c>
      <c r="B859">
        <v>25.39</v>
      </c>
      <c r="C859">
        <v>1.4</v>
      </c>
      <c r="D859" s="2">
        <v>44042</v>
      </c>
      <c r="E859">
        <v>25.58</v>
      </c>
      <c r="F859">
        <v>-0.24</v>
      </c>
      <c r="G859">
        <v>-0.18999999999999773</v>
      </c>
      <c r="H859" s="5">
        <f t="shared" si="131"/>
        <v>-9.3823299452697427E-3</v>
      </c>
      <c r="I859" s="3">
        <f t="shared" si="128"/>
        <v>-1.6520307196365211</v>
      </c>
      <c r="J859" s="5">
        <f t="shared" si="132"/>
        <v>-7.4276778733384577E-3</v>
      </c>
      <c r="K859" s="3">
        <f t="shared" si="129"/>
        <v>-1.5590576905402642</v>
      </c>
      <c r="L859" s="3">
        <f t="shared" si="130"/>
        <v>-1.1718884608531417</v>
      </c>
    </row>
    <row r="860" spans="1:12" x14ac:dyDescent="0.25">
      <c r="A860" s="26">
        <v>25.96</v>
      </c>
      <c r="B860">
        <v>25.61</v>
      </c>
      <c r="C860">
        <v>1.56</v>
      </c>
      <c r="D860" s="2">
        <v>44041</v>
      </c>
      <c r="E860">
        <v>25.76</v>
      </c>
      <c r="F860">
        <v>0.2</v>
      </c>
      <c r="G860">
        <v>-0.15000000000000213</v>
      </c>
      <c r="H860" s="5">
        <f t="shared" si="131"/>
        <v>7.763975155279503E-3</v>
      </c>
      <c r="I860" s="3">
        <f t="shared" si="128"/>
        <v>1.832069691029832</v>
      </c>
      <c r="J860" s="5">
        <f t="shared" si="132"/>
        <v>-5.8229813664597094E-3</v>
      </c>
      <c r="K860" s="3">
        <f t="shared" si="129"/>
        <v>-0.74453444735872176</v>
      </c>
      <c r="L860" s="3">
        <f t="shared" si="130"/>
        <v>-0.7945489841487825</v>
      </c>
    </row>
    <row r="861" spans="1:12" x14ac:dyDescent="0.25">
      <c r="A861" s="26">
        <v>25.03</v>
      </c>
      <c r="B861">
        <v>25</v>
      </c>
      <c r="C861">
        <v>1.52</v>
      </c>
      <c r="D861" s="2">
        <v>44040</v>
      </c>
      <c r="E861">
        <v>25.14</v>
      </c>
      <c r="F861">
        <v>-0.11</v>
      </c>
      <c r="G861">
        <v>-0.14000000000000057</v>
      </c>
      <c r="H861" s="5">
        <f t="shared" si="131"/>
        <v>-4.3754972155926808E-3</v>
      </c>
      <c r="I861" s="3">
        <f t="shared" si="128"/>
        <v>-0.64244882772393364</v>
      </c>
      <c r="J861" s="5">
        <f t="shared" si="132"/>
        <v>-5.5688146380270713E-3</v>
      </c>
      <c r="K861" s="3">
        <f t="shared" si="129"/>
        <v>-0.61685439242149853</v>
      </c>
      <c r="L861" s="3">
        <f t="shared" si="130"/>
        <v>-0.89239285261962276</v>
      </c>
    </row>
    <row r="862" spans="1:12" x14ac:dyDescent="0.25">
      <c r="A862" s="26">
        <v>25.53</v>
      </c>
      <c r="B862">
        <v>25.56</v>
      </c>
      <c r="C862">
        <v>1.45</v>
      </c>
      <c r="D862" s="2">
        <v>44039</v>
      </c>
      <c r="E862">
        <v>25.69</v>
      </c>
      <c r="F862">
        <v>-0.16</v>
      </c>
      <c r="G862">
        <v>-0.13000000000000256</v>
      </c>
      <c r="H862" s="5">
        <f t="shared" si="131"/>
        <v>-6.2281043207473722E-3</v>
      </c>
      <c r="I862" s="3">
        <f t="shared" si="128"/>
        <v>-1.0202127785054211</v>
      </c>
      <c r="J862" s="5">
        <f t="shared" si="132"/>
        <v>-5.0603347606073398E-3</v>
      </c>
      <c r="K862" s="3">
        <f t="shared" si="129"/>
        <v>-0.35731033173709964</v>
      </c>
      <c r="L862" s="3">
        <f t="shared" si="130"/>
        <v>-1.057690725304028</v>
      </c>
    </row>
    <row r="863" spans="1:12" x14ac:dyDescent="0.25">
      <c r="A863" s="26">
        <v>26.57</v>
      </c>
      <c r="B863">
        <v>26.41</v>
      </c>
      <c r="C863">
        <v>1.65</v>
      </c>
      <c r="D863" s="2">
        <v>44036</v>
      </c>
      <c r="E863">
        <v>26.62</v>
      </c>
      <c r="F863">
        <v>-0.05</v>
      </c>
      <c r="G863">
        <v>-0.21000000000000085</v>
      </c>
      <c r="H863" s="5">
        <f t="shared" si="131"/>
        <v>-1.8782870022539444E-3</v>
      </c>
      <c r="I863" s="3">
        <f t="shared" si="128"/>
        <v>-0.12780597439776281</v>
      </c>
      <c r="J863" s="5">
        <f t="shared" si="132"/>
        <v>-7.8888054094665983E-3</v>
      </c>
      <c r="K863" s="3">
        <f t="shared" si="129"/>
        <v>-1.8239972959537842</v>
      </c>
      <c r="L863" s="3">
        <f t="shared" si="130"/>
        <v>-0.57398390256224918</v>
      </c>
    </row>
    <row r="864" spans="1:12" x14ac:dyDescent="0.25">
      <c r="A864" s="26">
        <v>26.76</v>
      </c>
      <c r="B864">
        <v>26.35</v>
      </c>
      <c r="C864">
        <v>2.0499999999999998</v>
      </c>
      <c r="D864" s="2">
        <v>44035</v>
      </c>
      <c r="E864">
        <v>26.49</v>
      </c>
      <c r="F864">
        <v>0.27</v>
      </c>
      <c r="G864">
        <v>-0.13999999999999702</v>
      </c>
      <c r="H864" s="5">
        <f t="shared" si="131"/>
        <v>1.0192525481313705E-2</v>
      </c>
      <c r="I864" s="3">
        <f t="shared" si="128"/>
        <v>2.3478266542129376</v>
      </c>
      <c r="J864" s="5">
        <f t="shared" si="132"/>
        <v>-5.2850132125329191E-3</v>
      </c>
      <c r="K864" s="3">
        <f t="shared" si="129"/>
        <v>-0.48871710716129307</v>
      </c>
      <c r="L864" s="3">
        <f t="shared" si="130"/>
        <v>0.3912758774214356</v>
      </c>
    </row>
    <row r="865" spans="1:12" x14ac:dyDescent="0.25">
      <c r="A865" s="26">
        <v>26.34</v>
      </c>
      <c r="B865">
        <v>26.38</v>
      </c>
      <c r="C865">
        <v>1.31</v>
      </c>
      <c r="D865" s="2">
        <v>44033</v>
      </c>
      <c r="E865">
        <v>26.52</v>
      </c>
      <c r="F865">
        <v>-0.18</v>
      </c>
      <c r="G865">
        <v>-0.14000000000000057</v>
      </c>
      <c r="H865" s="5">
        <f t="shared" si="131"/>
        <v>-6.7873303167420816E-3</v>
      </c>
      <c r="I865" s="3">
        <f t="shared" si="128"/>
        <v>-1.1457485328789856</v>
      </c>
      <c r="J865" s="5">
        <f t="shared" si="132"/>
        <v>-5.2790346907994178E-3</v>
      </c>
      <c r="K865" s="3">
        <f t="shared" si="129"/>
        <v>-0.48747971469069867</v>
      </c>
      <c r="L865" s="3">
        <f t="shared" si="130"/>
        <v>-1.3981380169718796</v>
      </c>
    </row>
    <row r="866" spans="1:12" x14ac:dyDescent="0.25">
      <c r="A866" s="26">
        <v>26.85</v>
      </c>
      <c r="B866">
        <v>26.81</v>
      </c>
      <c r="C866">
        <v>1.53</v>
      </c>
      <c r="D866" s="2">
        <v>44032</v>
      </c>
      <c r="E866">
        <v>26.96</v>
      </c>
      <c r="F866">
        <v>-0.11</v>
      </c>
      <c r="G866">
        <v>-0.15000000000000213</v>
      </c>
      <c r="H866" s="5">
        <f t="shared" si="131"/>
        <v>-4.0801186943620173E-3</v>
      </c>
      <c r="I866" s="3">
        <f t="shared" si="128"/>
        <v>-0.58936634022824841</v>
      </c>
      <c r="J866" s="5">
        <f t="shared" si="132"/>
        <v>-5.5637982195846482E-3</v>
      </c>
      <c r="K866" s="3">
        <f t="shared" si="129"/>
        <v>-0.64765078068714999</v>
      </c>
      <c r="L866" s="3">
        <f t="shared" si="130"/>
        <v>-0.87428480195149527</v>
      </c>
    </row>
    <row r="867" spans="1:12" x14ac:dyDescent="0.25">
      <c r="A867" s="26">
        <v>26.85</v>
      </c>
      <c r="B867">
        <v>26.34</v>
      </c>
      <c r="C867">
        <v>2.36</v>
      </c>
      <c r="D867" s="2">
        <v>44029</v>
      </c>
      <c r="E867">
        <v>26.59</v>
      </c>
      <c r="F867">
        <v>0.26</v>
      </c>
      <c r="G867">
        <v>-0.25</v>
      </c>
      <c r="H867" s="5">
        <f t="shared" si="131"/>
        <v>9.7781120722075978E-3</v>
      </c>
      <c r="I867" s="3">
        <f t="shared" si="128"/>
        <v>2.294557368330941</v>
      </c>
      <c r="J867" s="5">
        <f t="shared" si="132"/>
        <v>-9.4020308386611514E-3</v>
      </c>
      <c r="K867" s="3">
        <f t="shared" si="129"/>
        <v>-2.6511709894819462</v>
      </c>
      <c r="L867" s="3">
        <f t="shared" si="130"/>
        <v>1.0747848768847215</v>
      </c>
    </row>
    <row r="868" spans="1:12" x14ac:dyDescent="0.25">
      <c r="A868" s="26">
        <v>28.13</v>
      </c>
      <c r="B868">
        <v>28.51</v>
      </c>
      <c r="C868">
        <v>1.25</v>
      </c>
      <c r="D868" s="2">
        <v>44028</v>
      </c>
      <c r="E868">
        <v>28.72</v>
      </c>
      <c r="F868">
        <v>-0.59</v>
      </c>
      <c r="G868">
        <v>-0.2099999999999973</v>
      </c>
      <c r="H868" s="5">
        <f t="shared" si="131"/>
        <v>-2.054317548746518E-2</v>
      </c>
      <c r="I868" s="3">
        <f t="shared" si="128"/>
        <v>-4.0642554979669825</v>
      </c>
      <c r="J868" s="5">
        <f t="shared" si="132"/>
        <v>-7.3119777158773434E-3</v>
      </c>
      <c r="K868" s="3">
        <f t="shared" si="129"/>
        <v>-1.6001809446625554</v>
      </c>
      <c r="L868" s="3">
        <f t="shared" si="130"/>
        <v>-1.5416037587588156</v>
      </c>
    </row>
    <row r="869" spans="1:12" x14ac:dyDescent="0.25">
      <c r="A869" s="26">
        <v>29.81</v>
      </c>
      <c r="B869">
        <v>30.02</v>
      </c>
      <c r="C869">
        <v>1.1599999999999999</v>
      </c>
      <c r="D869" s="2">
        <v>44027</v>
      </c>
      <c r="E869">
        <v>30.16</v>
      </c>
      <c r="F869">
        <v>-0.35</v>
      </c>
      <c r="G869">
        <v>-0.14000000000000057</v>
      </c>
      <c r="H869" s="5">
        <f t="shared" si="131"/>
        <v>-1.1604774535809017E-2</v>
      </c>
      <c r="I869" s="3">
        <f t="shared" si="128"/>
        <v>-2.2831168427557702</v>
      </c>
      <c r="J869" s="5">
        <f t="shared" si="132"/>
        <v>-4.6419098143236264E-3</v>
      </c>
      <c r="K869" s="3">
        <f t="shared" si="129"/>
        <v>-0.20337478599492045</v>
      </c>
      <c r="L869" s="3">
        <f t="shared" si="130"/>
        <v>-1.7720744438607694</v>
      </c>
    </row>
    <row r="870" spans="1:12" x14ac:dyDescent="0.25">
      <c r="A870" s="26">
        <v>29.2</v>
      </c>
      <c r="B870">
        <v>28.96</v>
      </c>
      <c r="C870">
        <v>1.66</v>
      </c>
      <c r="D870" s="2">
        <v>44026</v>
      </c>
      <c r="E870">
        <v>29.12</v>
      </c>
      <c r="F870">
        <v>0.08</v>
      </c>
      <c r="G870">
        <v>-0.16000000000000014</v>
      </c>
      <c r="H870" s="5">
        <f t="shared" si="131"/>
        <v>2.747252747252747E-3</v>
      </c>
      <c r="I870" s="3">
        <f t="shared" si="128"/>
        <v>0.86503689077271773</v>
      </c>
      <c r="J870" s="5">
        <f t="shared" si="132"/>
        <v>-5.4945054945054993E-3</v>
      </c>
      <c r="K870" s="3">
        <f t="shared" si="129"/>
        <v>-0.65963111589806622</v>
      </c>
      <c r="L870" s="3">
        <f t="shared" si="130"/>
        <v>-0.60000163690596053</v>
      </c>
    </row>
    <row r="871" spans="1:12" x14ac:dyDescent="0.25">
      <c r="A871" s="26">
        <v>30.04</v>
      </c>
      <c r="B871">
        <v>30.08</v>
      </c>
      <c r="C871">
        <v>1.37</v>
      </c>
      <c r="D871" s="2">
        <v>44025</v>
      </c>
      <c r="E871">
        <v>30.41</v>
      </c>
      <c r="F871">
        <v>-0.37</v>
      </c>
      <c r="G871">
        <v>-0.33000000000000185</v>
      </c>
      <c r="H871" s="5">
        <f t="shared" si="131"/>
        <v>-1.2167050312397237E-2</v>
      </c>
      <c r="I871" s="3">
        <f t="shared" si="128"/>
        <v>-2.4135986549254218</v>
      </c>
      <c r="J871" s="5">
        <f t="shared" si="132"/>
        <v>-1.0851693521867867E-2</v>
      </c>
      <c r="K871" s="3">
        <f t="shared" si="129"/>
        <v>-3.5146621497410178</v>
      </c>
      <c r="L871" s="3">
        <f t="shared" si="130"/>
        <v>-1.2947612078131105</v>
      </c>
    </row>
    <row r="872" spans="1:12" x14ac:dyDescent="0.25">
      <c r="A872" s="26">
        <v>27.66</v>
      </c>
      <c r="B872">
        <v>27.71</v>
      </c>
      <c r="C872">
        <v>1.26</v>
      </c>
      <c r="D872" s="2">
        <v>44022</v>
      </c>
      <c r="E872">
        <v>27.87</v>
      </c>
      <c r="F872">
        <v>-0.21</v>
      </c>
      <c r="G872">
        <v>-0.16000000000000014</v>
      </c>
      <c r="H872" s="5">
        <f t="shared" si="131"/>
        <v>-7.5349838536060273E-3</v>
      </c>
      <c r="I872" s="3">
        <f t="shared" si="128"/>
        <v>-1.4244364988438183</v>
      </c>
      <c r="J872" s="5">
        <f t="shared" si="132"/>
        <v>-5.7409400789379308E-3</v>
      </c>
      <c r="K872" s="3">
        <f t="shared" si="129"/>
        <v>-0.83841096863658571</v>
      </c>
      <c r="L872" s="3">
        <f t="shared" si="130"/>
        <v>-1.569783806328078</v>
      </c>
    </row>
    <row r="873" spans="1:12" x14ac:dyDescent="0.25">
      <c r="A873" s="26">
        <v>28.48</v>
      </c>
      <c r="B873">
        <v>28.53</v>
      </c>
      <c r="C873">
        <v>1.19</v>
      </c>
      <c r="D873" s="2">
        <v>44021</v>
      </c>
      <c r="E873">
        <v>28.68</v>
      </c>
      <c r="F873">
        <v>-0.2</v>
      </c>
      <c r="G873">
        <v>-0.14999999999999858</v>
      </c>
      <c r="H873" s="5">
        <f t="shared" si="131"/>
        <v>-6.9735006973500706E-3</v>
      </c>
      <c r="I873" s="3">
        <f t="shared" si="128"/>
        <v>-1.307876965729353</v>
      </c>
      <c r="J873" s="5">
        <f t="shared" si="132"/>
        <v>-5.2301255230125026E-3</v>
      </c>
      <c r="K873" s="3">
        <f t="shared" si="129"/>
        <v>-0.56374397711877988</v>
      </c>
      <c r="L873" s="3">
        <f t="shared" si="130"/>
        <v>-1.7556886610125197</v>
      </c>
    </row>
    <row r="874" spans="1:12" x14ac:dyDescent="0.25">
      <c r="A874" s="26">
        <v>29.34</v>
      </c>
      <c r="B874">
        <v>29.26</v>
      </c>
      <c r="C874">
        <v>2.0099999999999998</v>
      </c>
      <c r="D874" s="2">
        <v>44019</v>
      </c>
      <c r="E874">
        <v>29.39</v>
      </c>
      <c r="F874">
        <v>-0.05</v>
      </c>
      <c r="G874">
        <v>-0.12999999999999901</v>
      </c>
      <c r="H874" s="5">
        <f t="shared" si="131"/>
        <v>-1.701258931609391E-3</v>
      </c>
      <c r="I874" s="3">
        <f t="shared" si="128"/>
        <v>-0.13690755188578935</v>
      </c>
      <c r="J874" s="5">
        <f t="shared" si="132"/>
        <v>-4.4232732221843821E-3</v>
      </c>
      <c r="K874" s="3">
        <f t="shared" si="129"/>
        <v>-0.12505210161817831</v>
      </c>
      <c r="L874" s="3">
        <f t="shared" si="130"/>
        <v>0.20425992644745702</v>
      </c>
    </row>
    <row r="875" spans="1:12" x14ac:dyDescent="0.25">
      <c r="A875" s="26">
        <v>28.86</v>
      </c>
      <c r="B875">
        <v>28.91</v>
      </c>
      <c r="C875">
        <v>1.69</v>
      </c>
      <c r="D875" s="2">
        <v>44018</v>
      </c>
      <c r="E875">
        <v>29.09</v>
      </c>
      <c r="F875">
        <v>-0.23</v>
      </c>
      <c r="G875">
        <v>-0.17999999999999972</v>
      </c>
      <c r="H875" s="5">
        <f t="shared" si="131"/>
        <v>-7.9064970780336891E-3</v>
      </c>
      <c r="I875" s="3">
        <f t="shared" si="128"/>
        <v>-1.5301958873141583</v>
      </c>
      <c r="J875" s="5">
        <f t="shared" si="132"/>
        <v>-6.1876933654176599E-3</v>
      </c>
      <c r="K875" s="3">
        <f t="shared" si="129"/>
        <v>-1.0951404565698446</v>
      </c>
      <c r="L875" s="3">
        <f t="shared" si="130"/>
        <v>-0.57143098362233835</v>
      </c>
    </row>
    <row r="876" spans="1:12" x14ac:dyDescent="0.25">
      <c r="A876" s="26">
        <v>27</v>
      </c>
      <c r="B876">
        <v>26.77</v>
      </c>
      <c r="C876">
        <v>2.04</v>
      </c>
      <c r="D876" s="2">
        <v>44015</v>
      </c>
      <c r="E876">
        <v>26.89</v>
      </c>
      <c r="F876">
        <v>0.11</v>
      </c>
      <c r="G876">
        <v>-0.12000000000000099</v>
      </c>
      <c r="H876" s="5">
        <f t="shared" si="131"/>
        <v>4.0907400520639641E-3</v>
      </c>
      <c r="I876" s="3">
        <f t="shared" si="128"/>
        <v>1.1603679634550388</v>
      </c>
      <c r="J876" s="5">
        <f t="shared" si="132"/>
        <v>-4.4626255113425434E-3</v>
      </c>
      <c r="K876" s="3">
        <f t="shared" si="129"/>
        <v>-0.15553482639420327</v>
      </c>
      <c r="L876" s="3">
        <f t="shared" si="130"/>
        <v>0.27340433556694765</v>
      </c>
    </row>
    <row r="877" spans="1:12" x14ac:dyDescent="0.25">
      <c r="A877" s="26">
        <v>27.25</v>
      </c>
      <c r="B877">
        <v>27.13</v>
      </c>
      <c r="C877">
        <v>1.86</v>
      </c>
      <c r="D877" s="2">
        <v>44014</v>
      </c>
      <c r="E877">
        <v>27.35</v>
      </c>
      <c r="F877">
        <v>-0.1</v>
      </c>
      <c r="G877">
        <v>-0.22000000000000242</v>
      </c>
      <c r="H877" s="5">
        <f t="shared" si="131"/>
        <v>-3.6563071297989031E-3</v>
      </c>
      <c r="I877" s="3">
        <f t="shared" si="128"/>
        <v>-0.58419022380472607</v>
      </c>
      <c r="J877" s="5">
        <f t="shared" si="132"/>
        <v>-8.0438756855576755E-3</v>
      </c>
      <c r="K877" s="3">
        <f t="shared" si="129"/>
        <v>-2.1257757080806892</v>
      </c>
      <c r="L877" s="3">
        <f t="shared" si="130"/>
        <v>-0.15643298031963238</v>
      </c>
    </row>
    <row r="878" spans="1:12" x14ac:dyDescent="0.25">
      <c r="A878" s="26">
        <v>26.88</v>
      </c>
      <c r="B878">
        <v>26.62</v>
      </c>
      <c r="C878">
        <v>1.86</v>
      </c>
      <c r="D878" s="2">
        <v>44013</v>
      </c>
      <c r="E878">
        <v>26.72</v>
      </c>
      <c r="F878">
        <v>0.16</v>
      </c>
      <c r="G878">
        <v>-9.9999999999997868E-2</v>
      </c>
      <c r="H878" s="5">
        <f t="shared" si="131"/>
        <v>5.9880239520958087E-3</v>
      </c>
      <c r="I878" s="3">
        <f t="shared" si="128"/>
        <v>1.5970824410056745</v>
      </c>
      <c r="J878" s="5">
        <f t="shared" si="132"/>
        <v>-3.7425149700598005E-3</v>
      </c>
      <c r="K878" s="3">
        <f t="shared" si="129"/>
        <v>0.23115548030719782</v>
      </c>
      <c r="L878" s="3">
        <f t="shared" si="130"/>
        <v>-0.15721904871191597</v>
      </c>
    </row>
    <row r="879" spans="1:12" x14ac:dyDescent="0.25">
      <c r="A879" s="26">
        <v>25.99</v>
      </c>
      <c r="B879">
        <v>25.99</v>
      </c>
      <c r="C879">
        <v>1.67</v>
      </c>
      <c r="D879" s="2">
        <v>44012</v>
      </c>
      <c r="E879">
        <v>26.12</v>
      </c>
      <c r="F879">
        <v>-0.13</v>
      </c>
      <c r="G879">
        <v>-0.13000000000000256</v>
      </c>
      <c r="H879" s="5">
        <f t="shared" si="131"/>
        <v>-4.9770290964777945E-3</v>
      </c>
      <c r="I879" s="3">
        <f t="shared" si="128"/>
        <v>-0.88481946834041647</v>
      </c>
      <c r="J879" s="5">
        <f t="shared" si="132"/>
        <v>-4.9770290964778925E-3</v>
      </c>
      <c r="K879" s="3">
        <f t="shared" si="129"/>
        <v>-0.45682026536533726</v>
      </c>
      <c r="L879" s="3">
        <f t="shared" si="130"/>
        <v>-0.6120795793049334</v>
      </c>
    </row>
    <row r="880" spans="1:12" x14ac:dyDescent="0.25">
      <c r="A880" s="26">
        <v>24.74</v>
      </c>
      <c r="B880">
        <v>24.7</v>
      </c>
      <c r="C880">
        <v>1.75</v>
      </c>
      <c r="D880" s="2">
        <v>44011</v>
      </c>
      <c r="E880">
        <v>24.72</v>
      </c>
      <c r="F880">
        <v>0.02</v>
      </c>
      <c r="G880">
        <v>-1.9999999999999574E-2</v>
      </c>
      <c r="H880" s="5">
        <f t="shared" si="131"/>
        <v>8.090614886731392E-4</v>
      </c>
      <c r="I880" s="3">
        <f t="shared" si="128"/>
        <v>0.4261254621808459</v>
      </c>
      <c r="J880" s="5">
        <f t="shared" si="132"/>
        <v>-8.0906148867312196E-4</v>
      </c>
      <c r="K880" s="3">
        <f t="shared" si="129"/>
        <v>1.8432917422345154</v>
      </c>
      <c r="L880" s="3">
        <f t="shared" si="130"/>
        <v>-0.42361542208472436</v>
      </c>
    </row>
    <row r="881" spans="1:12" x14ac:dyDescent="0.25">
      <c r="A881" s="26">
        <v>24.9</v>
      </c>
      <c r="B881">
        <v>25.31</v>
      </c>
      <c r="C881">
        <v>1.1599999999999999</v>
      </c>
      <c r="D881" s="2">
        <v>44008</v>
      </c>
      <c r="E881">
        <v>25.35</v>
      </c>
      <c r="F881">
        <v>-0.45</v>
      </c>
      <c r="G881">
        <v>-4.00000000000027E-2</v>
      </c>
      <c r="H881" s="5">
        <f t="shared" si="131"/>
        <v>-1.7751479289940829E-2</v>
      </c>
      <c r="I881" s="3">
        <f t="shared" si="128"/>
        <v>-3.8035220022786604</v>
      </c>
      <c r="J881" s="5">
        <f t="shared" si="132"/>
        <v>-1.5779092702170689E-3</v>
      </c>
      <c r="K881" s="3">
        <f t="shared" si="129"/>
        <v>1.4332434401466709</v>
      </c>
      <c r="L881" s="3">
        <f t="shared" si="130"/>
        <v>-1.8390313421011462</v>
      </c>
    </row>
    <row r="882" spans="1:12" x14ac:dyDescent="0.25">
      <c r="A882" s="26">
        <v>25.15</v>
      </c>
      <c r="B882">
        <v>24.99</v>
      </c>
      <c r="C882">
        <v>1.98</v>
      </c>
      <c r="D882" s="2">
        <v>44007</v>
      </c>
      <c r="E882">
        <v>25.09</v>
      </c>
      <c r="F882">
        <v>0.06</v>
      </c>
      <c r="G882">
        <v>-0.10000000000000142</v>
      </c>
      <c r="H882" s="5">
        <f t="shared" si="131"/>
        <v>2.3913909924272616E-3</v>
      </c>
      <c r="I882" s="3">
        <f t="shared" si="128"/>
        <v>0.80078066548952309</v>
      </c>
      <c r="J882" s="5">
        <f t="shared" si="132"/>
        <v>-3.9856516540454929E-3</v>
      </c>
      <c r="K882" s="3">
        <f t="shared" si="129"/>
        <v>9.3996112126053161E-2</v>
      </c>
      <c r="L882" s="3">
        <f t="shared" si="130"/>
        <v>0.12988193217381785</v>
      </c>
    </row>
    <row r="883" spans="1:12" x14ac:dyDescent="0.25">
      <c r="A883" s="26">
        <v>24.85</v>
      </c>
      <c r="B883">
        <v>24.91</v>
      </c>
      <c r="C883">
        <v>1.23</v>
      </c>
      <c r="D883" s="2">
        <v>44005</v>
      </c>
      <c r="E883">
        <v>25.1</v>
      </c>
      <c r="F883">
        <v>-0.25</v>
      </c>
      <c r="G883">
        <v>-0.19000000000000128</v>
      </c>
      <c r="H883" s="5">
        <f t="shared" si="131"/>
        <v>-9.9601593625498006E-3</v>
      </c>
      <c r="I883" s="3">
        <f t="shared" si="128"/>
        <v>-2.1167382458873911</v>
      </c>
      <c r="J883" s="5">
        <f t="shared" si="132"/>
        <v>-7.5697211155378993E-3</v>
      </c>
      <c r="K883" s="3">
        <f t="shared" si="129"/>
        <v>-1.9014205146608676</v>
      </c>
      <c r="L883" s="3">
        <f t="shared" si="130"/>
        <v>-1.6796171748559208</v>
      </c>
    </row>
    <row r="884" spans="1:12" x14ac:dyDescent="0.25">
      <c r="A884" s="26">
        <v>24.15</v>
      </c>
      <c r="B884">
        <v>23.98</v>
      </c>
      <c r="C884">
        <v>1.68</v>
      </c>
      <c r="D884" s="2">
        <v>44004</v>
      </c>
      <c r="E884">
        <v>24.08</v>
      </c>
      <c r="F884">
        <v>7.0000000000000007E-2</v>
      </c>
      <c r="G884">
        <v>-9.9999999999997868E-2</v>
      </c>
      <c r="H884" s="5">
        <f t="shared" si="131"/>
        <v>2.9069767441860469E-3</v>
      </c>
      <c r="I884" s="3">
        <f t="shared" si="128"/>
        <v>0.91816664584809049</v>
      </c>
      <c r="J884" s="5">
        <f t="shared" si="132"/>
        <v>-4.1528239202656926E-3</v>
      </c>
      <c r="K884" s="3">
        <f t="shared" si="129"/>
        <v>-1.5606161081377863E-2</v>
      </c>
      <c r="L884" s="3">
        <f t="shared" si="130"/>
        <v>-0.60389115018572948</v>
      </c>
    </row>
    <row r="885" spans="1:12" x14ac:dyDescent="0.25">
      <c r="A885" s="26">
        <v>24.18</v>
      </c>
      <c r="B885">
        <v>24.25</v>
      </c>
      <c r="C885">
        <v>1.58</v>
      </c>
      <c r="D885" s="2">
        <v>44001</v>
      </c>
      <c r="E885">
        <v>24.38</v>
      </c>
      <c r="F885">
        <v>-0.2</v>
      </c>
      <c r="G885">
        <v>-0.12999999999999901</v>
      </c>
      <c r="H885" s="5">
        <f t="shared" si="131"/>
        <v>-8.2034454470877784E-3</v>
      </c>
      <c r="I885" s="3">
        <f t="shared" si="128"/>
        <v>-1.7313069277218034</v>
      </c>
      <c r="J885" s="5">
        <f t="shared" si="132"/>
        <v>-5.3322395406070148E-3</v>
      </c>
      <c r="K885" s="3">
        <f t="shared" si="129"/>
        <v>-0.67638974781203232</v>
      </c>
      <c r="L885" s="3">
        <f t="shared" si="130"/>
        <v>-0.84727494631585154</v>
      </c>
    </row>
    <row r="886" spans="1:12" x14ac:dyDescent="0.25">
      <c r="A886" s="26">
        <v>23.63</v>
      </c>
      <c r="B886">
        <v>23.25</v>
      </c>
      <c r="C886">
        <v>1.68</v>
      </c>
      <c r="D886" s="2">
        <v>44000</v>
      </c>
      <c r="E886">
        <v>23.32</v>
      </c>
      <c r="F886">
        <v>0.31</v>
      </c>
      <c r="G886">
        <v>-7.0000000000000284E-2</v>
      </c>
      <c r="H886" s="5">
        <f t="shared" si="131"/>
        <v>1.3293310463121783E-2</v>
      </c>
      <c r="I886" s="3">
        <f t="shared" si="128"/>
        <v>3.4067716438017372</v>
      </c>
      <c r="J886" s="5">
        <f t="shared" si="132"/>
        <v>-3.0017152658662213E-3</v>
      </c>
      <c r="K886" s="3">
        <f t="shared" si="129"/>
        <v>0.62077447449345513</v>
      </c>
      <c r="L886" s="3">
        <f t="shared" si="130"/>
        <v>-0.60828052476804795</v>
      </c>
    </row>
    <row r="887" spans="1:12" x14ac:dyDescent="0.25">
      <c r="A887" s="26">
        <v>22.81</v>
      </c>
      <c r="B887">
        <v>22.86</v>
      </c>
      <c r="C887">
        <v>1.38</v>
      </c>
      <c r="D887" s="2">
        <v>43999</v>
      </c>
      <c r="E887">
        <v>22.93</v>
      </c>
      <c r="F887">
        <v>-0.12</v>
      </c>
      <c r="G887">
        <v>-7.0000000000000284E-2</v>
      </c>
      <c r="H887" s="5">
        <f t="shared" si="131"/>
        <v>-5.233318796336677E-3</v>
      </c>
      <c r="I887" s="3">
        <f t="shared" si="128"/>
        <v>-1.0556364644769394</v>
      </c>
      <c r="J887" s="5">
        <f t="shared" si="132"/>
        <v>-3.0527692978630739E-3</v>
      </c>
      <c r="K887" s="3">
        <f t="shared" si="129"/>
        <v>0.58656449525666954</v>
      </c>
      <c r="L887" s="3">
        <f t="shared" si="130"/>
        <v>-1.3371763509130246</v>
      </c>
    </row>
    <row r="888" spans="1:12" x14ac:dyDescent="0.25">
      <c r="A888" s="26">
        <v>22.87</v>
      </c>
      <c r="B888">
        <v>22.7</v>
      </c>
      <c r="C888">
        <v>1.7</v>
      </c>
      <c r="D888" s="2">
        <v>43998</v>
      </c>
      <c r="E888">
        <v>22.76</v>
      </c>
      <c r="F888">
        <v>0.11</v>
      </c>
      <c r="G888">
        <v>-6.0000000000002274E-2</v>
      </c>
      <c r="H888" s="5">
        <f t="shared" si="131"/>
        <v>4.8330404217926184E-3</v>
      </c>
      <c r="I888" s="3">
        <f t="shared" si="128"/>
        <v>1.4167941246195896</v>
      </c>
      <c r="J888" s="5">
        <f t="shared" si="132"/>
        <v>-2.6362038664324372E-3</v>
      </c>
      <c r="K888" s="3">
        <f t="shared" si="129"/>
        <v>0.8044673322503515</v>
      </c>
      <c r="L888" s="3">
        <f t="shared" si="130"/>
        <v>-0.56210079415031844</v>
      </c>
    </row>
    <row r="889" spans="1:12" x14ac:dyDescent="0.25">
      <c r="A889" s="26">
        <v>21.8</v>
      </c>
      <c r="B889">
        <v>21.8</v>
      </c>
      <c r="C889">
        <v>1.75</v>
      </c>
      <c r="D889" s="2">
        <v>43997</v>
      </c>
      <c r="E889">
        <v>21.83</v>
      </c>
      <c r="F889">
        <v>-0.03</v>
      </c>
      <c r="G889">
        <v>-2.9999999999997584E-2</v>
      </c>
      <c r="H889" s="5">
        <f t="shared" si="131"/>
        <v>-1.3742556115437473E-3</v>
      </c>
      <c r="I889" s="3">
        <f t="shared" si="128"/>
        <v>-0.10135422545234775</v>
      </c>
      <c r="J889" s="5">
        <f t="shared" si="132"/>
        <v>-1.3742556115436365E-3</v>
      </c>
      <c r="K889" s="3">
        <f t="shared" si="129"/>
        <v>1.5074805686895587</v>
      </c>
      <c r="L889" s="3">
        <f t="shared" si="130"/>
        <v>-0.43828130829308415</v>
      </c>
    </row>
    <row r="890" spans="1:12" x14ac:dyDescent="0.25">
      <c r="A890" s="26">
        <v>22.15</v>
      </c>
      <c r="B890">
        <v>22.03</v>
      </c>
      <c r="C890">
        <v>2.13</v>
      </c>
      <c r="D890" s="2">
        <v>43994</v>
      </c>
      <c r="E890">
        <v>22.04</v>
      </c>
      <c r="F890">
        <v>0.11</v>
      </c>
      <c r="G890">
        <v>-9.9999999999980105E-3</v>
      </c>
      <c r="H890" s="5">
        <f t="shared" si="131"/>
        <v>4.9909255898366606E-3</v>
      </c>
      <c r="I890" s="3">
        <f t="shared" si="128"/>
        <v>1.4671088091605078</v>
      </c>
      <c r="J890" s="5">
        <f t="shared" si="132"/>
        <v>-4.5372050816687887E-4</v>
      </c>
      <c r="K890" s="3">
        <f t="shared" si="129"/>
        <v>2.0360346623335754</v>
      </c>
      <c r="L890" s="3">
        <f t="shared" si="130"/>
        <v>0.48476237676546691</v>
      </c>
    </row>
    <row r="891" spans="1:12" x14ac:dyDescent="0.25">
      <c r="A891" s="26">
        <v>22.2</v>
      </c>
      <c r="B891">
        <v>22.12</v>
      </c>
      <c r="C891">
        <v>1.96</v>
      </c>
      <c r="D891" s="2">
        <v>43993</v>
      </c>
      <c r="E891">
        <v>22.01</v>
      </c>
      <c r="F891">
        <v>0.19</v>
      </c>
      <c r="G891">
        <v>0.10999999999999943</v>
      </c>
      <c r="H891" s="5">
        <f t="shared" si="131"/>
        <v>8.6324398000908673E-3</v>
      </c>
      <c r="I891" s="3">
        <f t="shared" si="128"/>
        <v>2.3828938598700287</v>
      </c>
      <c r="J891" s="5">
        <f t="shared" si="132"/>
        <v>4.9977283053157396E-3</v>
      </c>
      <c r="K891" s="3">
        <f t="shared" si="129"/>
        <v>5.1272587976599047</v>
      </c>
      <c r="L891" s="3">
        <f t="shared" si="130"/>
        <v>7.5489823184002339E-2</v>
      </c>
    </row>
    <row r="892" spans="1:12" x14ac:dyDescent="0.25">
      <c r="A892" s="26">
        <v>22.3</v>
      </c>
      <c r="B892">
        <v>22.29</v>
      </c>
      <c r="C892">
        <v>1.63</v>
      </c>
      <c r="D892" s="2">
        <v>43991</v>
      </c>
      <c r="E892">
        <v>22.32</v>
      </c>
      <c r="F892">
        <v>-0.02</v>
      </c>
      <c r="G892">
        <v>-3.0000000000001137E-2</v>
      </c>
      <c r="H892" s="5">
        <f t="shared" si="131"/>
        <v>-8.960573476702509E-4</v>
      </c>
      <c r="I892" s="3">
        <f t="shared" si="128"/>
        <v>4.1692938722728161E-2</v>
      </c>
      <c r="J892" s="5">
        <f t="shared" si="132"/>
        <v>-1.3440860215054272E-3</v>
      </c>
      <c r="K892" s="3">
        <f t="shared" si="129"/>
        <v>1.6996945245329156</v>
      </c>
      <c r="L892" s="3">
        <f t="shared" si="130"/>
        <v>-0.72726747948010617</v>
      </c>
    </row>
    <row r="893" spans="1:12" x14ac:dyDescent="0.25">
      <c r="A893" s="26">
        <v>22.66</v>
      </c>
      <c r="B893">
        <v>22.65</v>
      </c>
      <c r="C893">
        <v>1.35</v>
      </c>
      <c r="D893" s="2">
        <v>43990</v>
      </c>
      <c r="E893">
        <v>22.7</v>
      </c>
      <c r="F893">
        <v>-0.04</v>
      </c>
      <c r="G893">
        <v>-5.0000000000000711E-2</v>
      </c>
      <c r="H893" s="5">
        <f t="shared" si="131"/>
        <v>-1.762114537444934E-3</v>
      </c>
      <c r="I893" s="3">
        <f t="shared" si="128"/>
        <v>-0.17776956314267878</v>
      </c>
      <c r="J893" s="5">
        <f t="shared" si="132"/>
        <v>-2.2026431718061988E-3</v>
      </c>
      <c r="K893" s="3">
        <f t="shared" si="129"/>
        <v>1.2017463585052552</v>
      </c>
      <c r="L893" s="3">
        <f t="shared" si="130"/>
        <v>-1.4161792377390758</v>
      </c>
    </row>
    <row r="894" spans="1:12" x14ac:dyDescent="0.25">
      <c r="A894" s="26">
        <v>22.5</v>
      </c>
      <c r="B894">
        <v>22.31</v>
      </c>
      <c r="C894">
        <v>1.9</v>
      </c>
      <c r="D894" s="2">
        <v>43987</v>
      </c>
      <c r="E894">
        <v>22.46</v>
      </c>
      <c r="F894">
        <v>0.04</v>
      </c>
      <c r="G894">
        <v>-0.15000000000000213</v>
      </c>
      <c r="H894" s="5">
        <f t="shared" si="131"/>
        <v>1.7809439002671415E-3</v>
      </c>
      <c r="I894" s="3">
        <f t="shared" si="128"/>
        <v>0.70296737382577834</v>
      </c>
      <c r="J894" s="5">
        <f t="shared" si="132"/>
        <v>-6.6785396260018752E-3</v>
      </c>
      <c r="K894" s="3">
        <f t="shared" si="129"/>
        <v>-1.4992339407987978</v>
      </c>
      <c r="L894" s="3">
        <f t="shared" si="130"/>
        <v>-8.3752693591908275E-2</v>
      </c>
    </row>
    <row r="895" spans="1:12" x14ac:dyDescent="0.25">
      <c r="A895" s="26">
        <v>21.77</v>
      </c>
      <c r="B895">
        <v>21.75</v>
      </c>
      <c r="C895">
        <v>1.55</v>
      </c>
      <c r="D895" s="2">
        <v>43986</v>
      </c>
      <c r="E895">
        <v>21.77</v>
      </c>
      <c r="F895">
        <v>0</v>
      </c>
      <c r="G895">
        <v>-1.9999999999999574E-2</v>
      </c>
      <c r="H895" s="5">
        <f t="shared" si="131"/>
        <v>0</v>
      </c>
      <c r="I895" s="3">
        <f t="shared" si="128"/>
        <v>0.25788022292220636</v>
      </c>
      <c r="J895" s="5">
        <f t="shared" si="132"/>
        <v>-9.1869545245749072E-4</v>
      </c>
      <c r="K895" s="3">
        <f t="shared" si="129"/>
        <v>1.9650983036576026</v>
      </c>
      <c r="L895" s="3">
        <f t="shared" si="130"/>
        <v>-0.94379340597568362</v>
      </c>
    </row>
    <row r="896" spans="1:12" x14ac:dyDescent="0.25">
      <c r="A896" s="26">
        <v>21.98</v>
      </c>
      <c r="B896">
        <v>21.96</v>
      </c>
      <c r="C896">
        <v>1.38</v>
      </c>
      <c r="D896" s="2">
        <v>43985</v>
      </c>
      <c r="E896">
        <v>21.98</v>
      </c>
      <c r="F896">
        <v>0</v>
      </c>
      <c r="G896">
        <v>-1.9999999999999574E-2</v>
      </c>
      <c r="H896" s="5">
        <f t="shared" si="131"/>
        <v>0</v>
      </c>
      <c r="I896" s="3">
        <f t="shared" si="128"/>
        <v>0.26180355931472382</v>
      </c>
      <c r="J896" s="5">
        <f t="shared" si="132"/>
        <v>-9.0991810737031729E-4</v>
      </c>
      <c r="K896" s="3">
        <f t="shared" si="129"/>
        <v>1.9989616744777932</v>
      </c>
      <c r="L896" s="3">
        <f t="shared" si="130"/>
        <v>-1.3621173525098171</v>
      </c>
    </row>
    <row r="897" spans="1:12" x14ac:dyDescent="0.25">
      <c r="A897" s="26">
        <v>21.15</v>
      </c>
      <c r="B897">
        <v>21.09</v>
      </c>
      <c r="C897">
        <v>1.88</v>
      </c>
      <c r="D897" s="2">
        <v>43984</v>
      </c>
      <c r="E897">
        <v>21.12</v>
      </c>
      <c r="F897">
        <v>0.03</v>
      </c>
      <c r="G897">
        <v>-3.0000000000001137E-2</v>
      </c>
      <c r="H897" s="5">
        <f t="shared" si="131"/>
        <v>1.4204545454545453E-3</v>
      </c>
      <c r="I897" s="3">
        <f t="shared" si="128"/>
        <v>0.61977844236833157</v>
      </c>
      <c r="J897" s="5">
        <f t="shared" si="132"/>
        <v>-1.4204545454545993E-3</v>
      </c>
      <c r="K897" s="3">
        <f t="shared" si="129"/>
        <v>1.7107792636728689</v>
      </c>
      <c r="L897" s="3">
        <f t="shared" si="130"/>
        <v>-0.14355615905509658</v>
      </c>
    </row>
    <row r="898" spans="1:12" x14ac:dyDescent="0.25">
      <c r="A898" s="26">
        <v>21.7</v>
      </c>
      <c r="B898">
        <v>21.52</v>
      </c>
      <c r="C898">
        <v>1.83</v>
      </c>
      <c r="D898" s="2">
        <v>43980</v>
      </c>
      <c r="E898">
        <v>21.6</v>
      </c>
      <c r="F898">
        <v>0.1</v>
      </c>
      <c r="G898">
        <v>-8.0000000000001847E-2</v>
      </c>
      <c r="H898" s="5">
        <f t="shared" si="131"/>
        <v>4.6296296296296294E-3</v>
      </c>
      <c r="I898" s="3">
        <f t="shared" si="128"/>
        <v>1.4219326923071134</v>
      </c>
      <c r="J898" s="5">
        <f t="shared" si="132"/>
        <v>-3.7037037037037888E-3</v>
      </c>
      <c r="K898" s="3">
        <f t="shared" si="129"/>
        <v>0.31856240200540065</v>
      </c>
      <c r="L898" s="3">
        <f t="shared" si="130"/>
        <v>-0.26633719695752761</v>
      </c>
    </row>
    <row r="899" spans="1:12" x14ac:dyDescent="0.25">
      <c r="A899" s="26">
        <v>20.95</v>
      </c>
      <c r="B899">
        <v>20.75</v>
      </c>
      <c r="C899">
        <v>2.02</v>
      </c>
      <c r="D899" s="2">
        <v>43979</v>
      </c>
      <c r="E899">
        <v>20.88</v>
      </c>
      <c r="F899">
        <v>7.0000000000000007E-2</v>
      </c>
      <c r="G899">
        <v>-0.12999999999999901</v>
      </c>
      <c r="H899" s="5">
        <f t="shared" si="131"/>
        <v>3.3524904214559392E-3</v>
      </c>
      <c r="I899" s="3">
        <f t="shared" ref="I899:I962" si="133">IFERROR((H899-AVERAGEA(H899:H1115))/_xlfn.STDEV.S(H899:H1115), " ")</f>
        <v>1.1172976257004532</v>
      </c>
      <c r="J899" s="5">
        <f t="shared" si="132"/>
        <v>-6.2260536398466961E-3</v>
      </c>
      <c r="K899" s="3">
        <f t="shared" ref="K899:K962" si="134">IFERROR((J899-AVERAGEA(J899:J1115))/_xlfn.STDEV.S(J899:J1115), " ")</f>
        <v>-1.2289983774418329</v>
      </c>
      <c r="L899" s="3">
        <f t="shared" ref="L899:L962" si="135">(C899-AVERAGEA(C899:C1115))/_xlfn.STDEV.S(C899:C1115)</f>
        <v>0.19998904873598633</v>
      </c>
    </row>
    <row r="900" spans="1:12" x14ac:dyDescent="0.25">
      <c r="A900" s="26">
        <v>21.45</v>
      </c>
      <c r="B900">
        <v>21.36</v>
      </c>
      <c r="C900">
        <v>1.79</v>
      </c>
      <c r="D900" s="2">
        <v>43977</v>
      </c>
      <c r="E900">
        <v>21.38</v>
      </c>
      <c r="F900">
        <v>7.0000000000000007E-2</v>
      </c>
      <c r="G900">
        <v>-1.9999999999999574E-2</v>
      </c>
      <c r="H900" s="5">
        <f t="shared" ref="H900:H963" si="136">IFERROR(F900/E900,"")</f>
        <v>3.2740879326473345E-3</v>
      </c>
      <c r="I900" s="3">
        <f t="shared" si="133"/>
        <v>1.1075184684544339</v>
      </c>
      <c r="J900" s="5">
        <f t="shared" ref="J900:J963" si="137">IFERROR(G900/E900,"")</f>
        <v>-9.3545369504207548E-4</v>
      </c>
      <c r="K900" s="3">
        <f t="shared" si="134"/>
        <v>2.0334936183731163</v>
      </c>
      <c r="L900" s="3">
        <f t="shared" si="135"/>
        <v>-0.35877511018847325</v>
      </c>
    </row>
    <row r="901" spans="1:12" x14ac:dyDescent="0.25">
      <c r="A901" s="26">
        <v>20.11</v>
      </c>
      <c r="B901">
        <v>20.059999999999999</v>
      </c>
      <c r="C901">
        <v>1.43</v>
      </c>
      <c r="D901" s="2">
        <v>43971</v>
      </c>
      <c r="E901">
        <v>20.16</v>
      </c>
      <c r="F901">
        <v>-0.05</v>
      </c>
      <c r="G901">
        <v>-0.10000000000000142</v>
      </c>
      <c r="H901" s="5">
        <f t="shared" si="136"/>
        <v>-2.4801587301587305E-3</v>
      </c>
      <c r="I901" s="3">
        <f t="shared" si="133"/>
        <v>-0.32913402128771135</v>
      </c>
      <c r="J901" s="5">
        <f t="shared" si="137"/>
        <v>-4.9603174603175312E-3</v>
      </c>
      <c r="K901" s="3">
        <f t="shared" si="134"/>
        <v>-0.44973400038401889</v>
      </c>
      <c r="L901" s="3">
        <f t="shared" si="135"/>
        <v>-1.242039987526866</v>
      </c>
    </row>
    <row r="902" spans="1:12" x14ac:dyDescent="0.25">
      <c r="A902" s="26">
        <v>20.02</v>
      </c>
      <c r="B902">
        <v>19.97</v>
      </c>
      <c r="C902">
        <v>1.88</v>
      </c>
      <c r="D902" s="2">
        <v>43970</v>
      </c>
      <c r="E902">
        <v>20.04</v>
      </c>
      <c r="F902">
        <v>-0.02</v>
      </c>
      <c r="G902">
        <v>-7.0000000000000284E-2</v>
      </c>
      <c r="H902" s="5">
        <f t="shared" si="136"/>
        <v>-9.980039920159682E-4</v>
      </c>
      <c r="I902" s="3">
        <f t="shared" si="133"/>
        <v>4.2042608662789631E-2</v>
      </c>
      <c r="J902" s="5">
        <f t="shared" si="137"/>
        <v>-3.4930139720559025E-3</v>
      </c>
      <c r="K902" s="3">
        <f t="shared" si="134"/>
        <v>0.46499599962218691</v>
      </c>
      <c r="L902" s="3">
        <f t="shared" si="135"/>
        <v>-0.14849437779212818</v>
      </c>
    </row>
    <row r="903" spans="1:12" x14ac:dyDescent="0.25">
      <c r="A903" s="26">
        <v>19.3</v>
      </c>
      <c r="B903">
        <v>19.23</v>
      </c>
      <c r="C903">
        <v>1.7</v>
      </c>
      <c r="D903" s="2">
        <v>43969</v>
      </c>
      <c r="E903">
        <v>19.36</v>
      </c>
      <c r="F903">
        <v>-0.06</v>
      </c>
      <c r="G903">
        <v>-0.12999999999999901</v>
      </c>
      <c r="H903" s="5">
        <f t="shared" si="136"/>
        <v>-3.0991735537190084E-3</v>
      </c>
      <c r="I903" s="3">
        <f t="shared" si="133"/>
        <v>-0.4866831871938313</v>
      </c>
      <c r="J903" s="5">
        <f t="shared" si="137"/>
        <v>-6.7148760330578003E-3</v>
      </c>
      <c r="K903" s="3">
        <f t="shared" si="134"/>
        <v>-1.5417928160678223</v>
      </c>
      <c r="L903" s="3">
        <f t="shared" si="135"/>
        <v>-0.58794818404803062</v>
      </c>
    </row>
    <row r="904" spans="1:12" x14ac:dyDescent="0.25">
      <c r="A904" s="26">
        <v>19.02</v>
      </c>
      <c r="B904">
        <v>19.010000000000002</v>
      </c>
      <c r="C904">
        <v>1.47</v>
      </c>
      <c r="D904" s="2">
        <v>43966</v>
      </c>
      <c r="E904">
        <v>19.12</v>
      </c>
      <c r="F904">
        <v>-0.1</v>
      </c>
      <c r="G904">
        <v>-0.10999999999999943</v>
      </c>
      <c r="H904" s="5">
        <f t="shared" si="136"/>
        <v>-5.2301255230125521E-3</v>
      </c>
      <c r="I904" s="3">
        <f t="shared" si="133"/>
        <v>-1.0180499388226298</v>
      </c>
      <c r="J904" s="5">
        <f t="shared" si="137"/>
        <v>-5.7531380753137774E-3</v>
      </c>
      <c r="K904" s="3">
        <f t="shared" si="134"/>
        <v>-0.95112427989571324</v>
      </c>
      <c r="L904" s="3">
        <f t="shared" si="135"/>
        <v>-1.1541157470861154</v>
      </c>
    </row>
    <row r="905" spans="1:12" x14ac:dyDescent="0.25">
      <c r="A905" s="26">
        <v>18.37</v>
      </c>
      <c r="B905">
        <v>18.27</v>
      </c>
      <c r="C905">
        <v>1.68</v>
      </c>
      <c r="D905" s="2">
        <v>43965</v>
      </c>
      <c r="E905">
        <v>18.38</v>
      </c>
      <c r="F905">
        <v>-0.01</v>
      </c>
      <c r="G905">
        <v>-0.10999999999999943</v>
      </c>
      <c r="H905" s="5">
        <f t="shared" si="136"/>
        <v>-5.4406964091403701E-4</v>
      </c>
      <c r="I905" s="3">
        <f t="shared" si="133"/>
        <v>0.15815110345380193</v>
      </c>
      <c r="J905" s="5">
        <f t="shared" si="137"/>
        <v>-5.9847660500543763E-3</v>
      </c>
      <c r="K905" s="3">
        <f t="shared" si="134"/>
        <v>-1.102678013680336</v>
      </c>
      <c r="L905" s="3">
        <f t="shared" si="135"/>
        <v>-0.64615265967965507</v>
      </c>
    </row>
    <row r="906" spans="1:12" x14ac:dyDescent="0.25">
      <c r="A906" s="26">
        <v>18.72</v>
      </c>
      <c r="B906">
        <v>18.670000000000002</v>
      </c>
      <c r="C906">
        <v>1.55</v>
      </c>
      <c r="D906" s="2">
        <v>43963</v>
      </c>
      <c r="E906">
        <v>18.760000000000002</v>
      </c>
      <c r="F906">
        <v>-0.04</v>
      </c>
      <c r="G906">
        <v>-8.9999999999999858E-2</v>
      </c>
      <c r="H906" s="5">
        <f t="shared" si="136"/>
        <v>-2.1321961620469083E-3</v>
      </c>
      <c r="I906" s="3">
        <f t="shared" si="133"/>
        <v>-0.24268978957539225</v>
      </c>
      <c r="J906" s="5">
        <f t="shared" si="137"/>
        <v>-4.7974413646055354E-3</v>
      </c>
      <c r="K906" s="3">
        <f t="shared" si="134"/>
        <v>-0.36299261406617306</v>
      </c>
      <c r="L906" s="3">
        <f t="shared" si="135"/>
        <v>-0.97263427601704788</v>
      </c>
    </row>
    <row r="907" spans="1:12" x14ac:dyDescent="0.25">
      <c r="A907" s="26">
        <v>18.809999999999999</v>
      </c>
      <c r="B907">
        <v>18.850000000000001</v>
      </c>
      <c r="C907">
        <v>1.35</v>
      </c>
      <c r="D907" s="2">
        <v>43962</v>
      </c>
      <c r="E907">
        <v>18.989999999999998</v>
      </c>
      <c r="F907">
        <v>-0.18</v>
      </c>
      <c r="G907">
        <v>-0.13999999999999702</v>
      </c>
      <c r="H907" s="5">
        <f t="shared" si="136"/>
        <v>-9.4786729857819912E-3</v>
      </c>
      <c r="I907" s="3">
        <f t="shared" si="133"/>
        <v>-2.0598385863563387</v>
      </c>
      <c r="J907" s="5">
        <f t="shared" si="137"/>
        <v>-7.3723012111636139E-3</v>
      </c>
      <c r="K907" s="3">
        <f t="shared" si="134"/>
        <v>-1.9830389143574958</v>
      </c>
      <c r="L907" s="3">
        <f t="shared" si="135"/>
        <v>-1.4537810634697619</v>
      </c>
    </row>
    <row r="908" spans="1:12" x14ac:dyDescent="0.25">
      <c r="A908" s="26">
        <v>19.38</v>
      </c>
      <c r="B908">
        <v>19.13</v>
      </c>
      <c r="C908">
        <v>2.04</v>
      </c>
      <c r="D908" s="2">
        <v>43959</v>
      </c>
      <c r="E908">
        <v>19.28</v>
      </c>
      <c r="F908">
        <v>0.1</v>
      </c>
      <c r="G908">
        <v>-0.15000000000000213</v>
      </c>
      <c r="H908" s="5">
        <f t="shared" si="136"/>
        <v>5.1867219917012446E-3</v>
      </c>
      <c r="I908" s="3">
        <f t="shared" si="133"/>
        <v>1.5915881862143739</v>
      </c>
      <c r="J908" s="5">
        <f t="shared" si="137"/>
        <v>-7.7800829875519775E-3</v>
      </c>
      <c r="K908" s="3">
        <f t="shared" si="134"/>
        <v>-2.2449590457772932</v>
      </c>
      <c r="L908" s="3">
        <f t="shared" si="135"/>
        <v>0.23488881613754856</v>
      </c>
    </row>
    <row r="909" spans="1:12" x14ac:dyDescent="0.25">
      <c r="A909" s="26">
        <v>19</v>
      </c>
      <c r="B909">
        <v>18.88</v>
      </c>
      <c r="C909">
        <v>1.61</v>
      </c>
      <c r="D909" s="2">
        <v>43958</v>
      </c>
      <c r="E909">
        <v>19.010000000000002</v>
      </c>
      <c r="F909">
        <v>-0.01</v>
      </c>
      <c r="G909">
        <v>-0.13000000000000256</v>
      </c>
      <c r="H909" s="5">
        <f t="shared" si="136"/>
        <v>-5.2603892688058915E-4</v>
      </c>
      <c r="I909" s="3">
        <f t="shared" si="133"/>
        <v>0.16943191616196257</v>
      </c>
      <c r="J909" s="5">
        <f t="shared" si="137"/>
        <v>-6.8385060494477934E-3</v>
      </c>
      <c r="K909" s="3">
        <f t="shared" si="134"/>
        <v>-1.6810199694200654</v>
      </c>
      <c r="L909" s="3">
        <f t="shared" si="135"/>
        <v>-0.81804618164592358</v>
      </c>
    </row>
    <row r="910" spans="1:12" x14ac:dyDescent="0.25">
      <c r="A910" s="26">
        <v>18.850000000000001</v>
      </c>
      <c r="B910">
        <v>18.61</v>
      </c>
      <c r="C910">
        <v>1.64</v>
      </c>
      <c r="D910" s="2">
        <v>43957</v>
      </c>
      <c r="E910">
        <v>18.7</v>
      </c>
      <c r="F910">
        <v>0.15</v>
      </c>
      <c r="G910">
        <v>-8.9999999999999858E-2</v>
      </c>
      <c r="H910" s="5">
        <f t="shared" si="136"/>
        <v>8.0213903743315516E-3</v>
      </c>
      <c r="I910" s="3">
        <f t="shared" si="133"/>
        <v>2.2999013903875611</v>
      </c>
      <c r="J910" s="5">
        <f t="shared" si="137"/>
        <v>-4.812834224598923E-3</v>
      </c>
      <c r="K910" s="3">
        <f t="shared" si="134"/>
        <v>-0.39500814149065155</v>
      </c>
      <c r="L910" s="3">
        <f t="shared" si="135"/>
        <v>-0.74202593537196504</v>
      </c>
    </row>
    <row r="911" spans="1:12" x14ac:dyDescent="0.25">
      <c r="A911" s="26">
        <v>19.010000000000002</v>
      </c>
      <c r="B911">
        <v>19.32</v>
      </c>
      <c r="C911">
        <v>1.01</v>
      </c>
      <c r="D911" s="2">
        <v>43956</v>
      </c>
      <c r="E911">
        <v>19.46</v>
      </c>
      <c r="F911">
        <v>-0.45</v>
      </c>
      <c r="G911">
        <v>-0.14000000000000057</v>
      </c>
      <c r="H911" s="5">
        <f t="shared" si="136"/>
        <v>-2.3124357656731757E-2</v>
      </c>
      <c r="I911" s="3">
        <f t="shared" si="133"/>
        <v>-5.4774588355960834</v>
      </c>
      <c r="J911" s="5">
        <f t="shared" si="137"/>
        <v>-7.1942446043165758E-3</v>
      </c>
      <c r="K911" s="3">
        <f t="shared" si="134"/>
        <v>-1.9240996618507058</v>
      </c>
      <c r="L911" s="3">
        <f t="shared" si="135"/>
        <v>-2.2881852871906316</v>
      </c>
    </row>
    <row r="912" spans="1:12" x14ac:dyDescent="0.25">
      <c r="A912" s="26">
        <v>19.97</v>
      </c>
      <c r="B912">
        <v>19.920000000000002</v>
      </c>
      <c r="C912">
        <v>1.76</v>
      </c>
      <c r="D912" s="2">
        <v>43951</v>
      </c>
      <c r="E912">
        <v>20.05</v>
      </c>
      <c r="F912">
        <v>-0.08</v>
      </c>
      <c r="G912">
        <v>-0.12999999999999901</v>
      </c>
      <c r="H912" s="5">
        <f t="shared" si="136"/>
        <v>-3.9900249376558601E-3</v>
      </c>
      <c r="I912" s="3">
        <f t="shared" si="133"/>
        <v>-0.76668488794065026</v>
      </c>
      <c r="J912" s="5">
        <f t="shared" si="137"/>
        <v>-6.4837905236907233E-3</v>
      </c>
      <c r="K912" s="3">
        <f t="shared" si="134"/>
        <v>-1.4869146826827151</v>
      </c>
      <c r="L912" s="3">
        <f t="shared" si="135"/>
        <v>-0.46786032953668089</v>
      </c>
    </row>
    <row r="913" spans="1:12" x14ac:dyDescent="0.25">
      <c r="A913" s="26">
        <v>19.989999999999998</v>
      </c>
      <c r="B913">
        <v>19.829999999999998</v>
      </c>
      <c r="C913">
        <v>2.09</v>
      </c>
      <c r="D913" s="2">
        <v>43949</v>
      </c>
      <c r="E913">
        <v>19.95</v>
      </c>
      <c r="F913">
        <v>0.04</v>
      </c>
      <c r="G913">
        <v>-0.12000000000000099</v>
      </c>
      <c r="H913" s="5">
        <f t="shared" si="136"/>
        <v>2.0050125313283208E-3</v>
      </c>
      <c r="I913" s="3">
        <f t="shared" si="133"/>
        <v>0.83938218044624535</v>
      </c>
      <c r="J913" s="5">
        <f t="shared" si="137"/>
        <v>-6.0150375939850122E-3</v>
      </c>
      <c r="K913" s="3">
        <f t="shared" si="134"/>
        <v>-1.1937574455989985</v>
      </c>
      <c r="L913" s="3">
        <f t="shared" si="135"/>
        <v>0.34169885497762403</v>
      </c>
    </row>
    <row r="914" spans="1:12" x14ac:dyDescent="0.25">
      <c r="A914" s="26">
        <v>20.399999999999999</v>
      </c>
      <c r="B914">
        <v>20.34</v>
      </c>
      <c r="C914">
        <v>1.94</v>
      </c>
      <c r="D914" s="2">
        <v>43948</v>
      </c>
      <c r="E914">
        <v>20.38</v>
      </c>
      <c r="F914">
        <v>0.02</v>
      </c>
      <c r="G914">
        <v>-3.9999999999999147E-2</v>
      </c>
      <c r="H914" s="5">
        <f t="shared" si="136"/>
        <v>9.8135426889106982E-4</v>
      </c>
      <c r="I914" s="3">
        <f t="shared" si="133"/>
        <v>0.5432072504588018</v>
      </c>
      <c r="J914" s="5">
        <f t="shared" si="137"/>
        <v>-1.9627085377820976E-3</v>
      </c>
      <c r="K914" s="3">
        <f t="shared" si="134"/>
        <v>1.4404993500439958</v>
      </c>
      <c r="L914" s="3">
        <f t="shared" si="135"/>
        <v>-3.1071673835949155E-2</v>
      </c>
    </row>
    <row r="915" spans="1:12" x14ac:dyDescent="0.25">
      <c r="A915" s="26">
        <v>20.49</v>
      </c>
      <c r="B915">
        <v>20.38</v>
      </c>
      <c r="C915">
        <v>1.82</v>
      </c>
      <c r="D915" s="2">
        <v>43945</v>
      </c>
      <c r="E915">
        <v>20.46</v>
      </c>
      <c r="F915">
        <v>0.03</v>
      </c>
      <c r="G915">
        <v>-8.0000000000001847E-2</v>
      </c>
      <c r="H915" s="5">
        <f t="shared" si="136"/>
        <v>1.4662756598240467E-3</v>
      </c>
      <c r="I915" s="3">
        <f t="shared" si="133"/>
        <v>0.67611247037267463</v>
      </c>
      <c r="J915" s="5">
        <f t="shared" si="137"/>
        <v>-3.9100684261975487E-3</v>
      </c>
      <c r="K915" s="3">
        <f t="shared" si="134"/>
        <v>0.18630416640193745</v>
      </c>
      <c r="L915" s="3">
        <f t="shared" si="135"/>
        <v>-0.31993191673489163</v>
      </c>
    </row>
    <row r="916" spans="1:12" x14ac:dyDescent="0.25">
      <c r="A916" s="26">
        <v>20.239999999999998</v>
      </c>
      <c r="B916">
        <v>20.170000000000002</v>
      </c>
      <c r="C916">
        <v>1.83</v>
      </c>
      <c r="D916" s="2">
        <v>43944</v>
      </c>
      <c r="E916">
        <v>20.25</v>
      </c>
      <c r="F916">
        <v>-0.01</v>
      </c>
      <c r="G916">
        <v>-7.9999999999998295E-2</v>
      </c>
      <c r="H916" s="5">
        <f t="shared" si="136"/>
        <v>-4.9382716049382717E-4</v>
      </c>
      <c r="I916" s="3">
        <f t="shared" si="133"/>
        <v>0.17176257969385889</v>
      </c>
      <c r="J916" s="5">
        <f t="shared" si="137"/>
        <v>-3.9506172839505332E-3</v>
      </c>
      <c r="K916" s="3">
        <f t="shared" si="134"/>
        <v>0.17170634675127439</v>
      </c>
      <c r="L916" s="3">
        <f t="shared" si="135"/>
        <v>-0.29582903618459966</v>
      </c>
    </row>
    <row r="917" spans="1:12" x14ac:dyDescent="0.25">
      <c r="A917" s="26">
        <v>19.75</v>
      </c>
      <c r="B917">
        <v>19.72</v>
      </c>
      <c r="C917">
        <v>1.61</v>
      </c>
      <c r="D917" s="2">
        <v>43943</v>
      </c>
      <c r="E917">
        <v>19.86</v>
      </c>
      <c r="F917">
        <v>-0.11</v>
      </c>
      <c r="G917">
        <v>-0.14000000000000057</v>
      </c>
      <c r="H917" s="5">
        <f t="shared" si="136"/>
        <v>-5.5387713997985906E-3</v>
      </c>
      <c r="I917" s="3">
        <f t="shared" si="133"/>
        <v>-1.1167647749626202</v>
      </c>
      <c r="J917" s="5">
        <f t="shared" si="137"/>
        <v>-7.049345417925507E-3</v>
      </c>
      <c r="K917" s="3">
        <f t="shared" si="134"/>
        <v>-1.7732068271890515</v>
      </c>
      <c r="L917" s="3">
        <f t="shared" si="135"/>
        <v>-0.83267643899068522</v>
      </c>
    </row>
    <row r="918" spans="1:12" x14ac:dyDescent="0.25">
      <c r="A918" s="26">
        <v>20.399999999999999</v>
      </c>
      <c r="B918">
        <v>20.18</v>
      </c>
      <c r="C918">
        <v>2.13</v>
      </c>
      <c r="D918" s="2">
        <v>43942</v>
      </c>
      <c r="E918">
        <v>20.32</v>
      </c>
      <c r="F918">
        <v>0.08</v>
      </c>
      <c r="G918">
        <v>-0.14000000000000057</v>
      </c>
      <c r="H918" s="5">
        <f t="shared" si="136"/>
        <v>3.937007874015748E-3</v>
      </c>
      <c r="I918" s="3">
        <f t="shared" si="133"/>
        <v>1.3023438902563662</v>
      </c>
      <c r="J918" s="5">
        <f t="shared" si="137"/>
        <v>-6.8897637795275867E-3</v>
      </c>
      <c r="K918" s="3">
        <f t="shared" si="134"/>
        <v>-1.6925482562000984</v>
      </c>
      <c r="L918" s="3">
        <f t="shared" si="135"/>
        <v>0.43032110402219254</v>
      </c>
    </row>
    <row r="919" spans="1:12" x14ac:dyDescent="0.25">
      <c r="A919" s="26">
        <v>21.24</v>
      </c>
      <c r="B919">
        <v>21.15</v>
      </c>
      <c r="C919">
        <v>1.79</v>
      </c>
      <c r="D919" s="2">
        <v>43941</v>
      </c>
      <c r="E919">
        <v>21.23</v>
      </c>
      <c r="F919">
        <v>0.01</v>
      </c>
      <c r="G919">
        <v>-8.0000000000001847E-2</v>
      </c>
      <c r="H919" s="5">
        <f t="shared" si="136"/>
        <v>4.7103155911446069E-4</v>
      </c>
      <c r="I919" s="3">
        <f t="shared" si="133"/>
        <v>0.41547977042097511</v>
      </c>
      <c r="J919" s="5">
        <f t="shared" si="137"/>
        <v>-3.7682524729157722E-3</v>
      </c>
      <c r="K919" s="3">
        <f t="shared" si="134"/>
        <v>0.27556721555620545</v>
      </c>
      <c r="L919" s="3">
        <f t="shared" si="135"/>
        <v>-0.3996931435554133</v>
      </c>
    </row>
    <row r="920" spans="1:12" x14ac:dyDescent="0.25">
      <c r="A920" s="26">
        <v>21.87</v>
      </c>
      <c r="B920">
        <v>21.62</v>
      </c>
      <c r="C920">
        <v>1.96</v>
      </c>
      <c r="D920" s="2">
        <v>43938</v>
      </c>
      <c r="E920">
        <v>21.77</v>
      </c>
      <c r="F920">
        <v>0.1</v>
      </c>
      <c r="G920">
        <v>-0.14999999999999858</v>
      </c>
      <c r="H920" s="5">
        <f t="shared" si="136"/>
        <v>4.5934772622875522E-3</v>
      </c>
      <c r="I920" s="3">
        <f t="shared" si="133"/>
        <v>1.4718312481615747</v>
      </c>
      <c r="J920" s="5">
        <f t="shared" si="137"/>
        <v>-6.890215893431262E-3</v>
      </c>
      <c r="K920" s="3">
        <f t="shared" si="134"/>
        <v>-1.7057934843347513</v>
      </c>
      <c r="L920" s="3">
        <f t="shared" si="135"/>
        <v>1.8103878231366326E-2</v>
      </c>
    </row>
    <row r="921" spans="1:12" x14ac:dyDescent="0.25">
      <c r="A921" s="26">
        <v>20.100000000000001</v>
      </c>
      <c r="B921">
        <v>19.96</v>
      </c>
      <c r="C921">
        <v>1.84</v>
      </c>
      <c r="D921" s="2">
        <v>43937</v>
      </c>
      <c r="E921">
        <v>20.09</v>
      </c>
      <c r="F921">
        <v>0.01</v>
      </c>
      <c r="G921">
        <v>-0.12999999999999901</v>
      </c>
      <c r="H921" s="5">
        <f t="shared" si="136"/>
        <v>4.9776007964161273E-4</v>
      </c>
      <c r="I921" s="3">
        <f t="shared" si="133"/>
        <v>0.4262264357838797</v>
      </c>
      <c r="J921" s="5">
        <f t="shared" si="137"/>
        <v>-6.4708810353409163E-3</v>
      </c>
      <c r="K921" s="3">
        <f t="shared" si="134"/>
        <v>-1.4568805884459604</v>
      </c>
      <c r="L921" s="3">
        <f t="shared" si="135"/>
        <v>-0.27033642833552768</v>
      </c>
    </row>
    <row r="922" spans="1:12" x14ac:dyDescent="0.25">
      <c r="A922" s="26">
        <v>20.170000000000002</v>
      </c>
      <c r="B922">
        <v>20.22</v>
      </c>
      <c r="C922">
        <v>1.51</v>
      </c>
      <c r="D922" s="2">
        <v>43935</v>
      </c>
      <c r="E922">
        <v>20.350000000000001</v>
      </c>
      <c r="F922">
        <v>-0.18</v>
      </c>
      <c r="G922">
        <v>-0.13000000000000256</v>
      </c>
      <c r="H922" s="5">
        <f t="shared" si="136"/>
        <v>-8.8452088452088441E-3</v>
      </c>
      <c r="I922" s="3">
        <f t="shared" si="133"/>
        <v>-1.9771632655305078</v>
      </c>
      <c r="J922" s="5">
        <f t="shared" si="137"/>
        <v>-6.3882063882065134E-3</v>
      </c>
      <c r="K922" s="3">
        <f t="shared" si="134"/>
        <v>-1.4079359082634677</v>
      </c>
      <c r="L922" s="3">
        <f t="shared" si="135"/>
        <v>-1.0762013757076587</v>
      </c>
    </row>
    <row r="923" spans="1:12" x14ac:dyDescent="0.25">
      <c r="A923" s="26">
        <v>21.4</v>
      </c>
      <c r="B923">
        <v>21.33</v>
      </c>
      <c r="C923">
        <v>1.49</v>
      </c>
      <c r="D923" s="2">
        <v>43930</v>
      </c>
      <c r="E923">
        <v>21.46</v>
      </c>
      <c r="F923">
        <v>-0.06</v>
      </c>
      <c r="G923">
        <v>-0.13000000000000256</v>
      </c>
      <c r="H923" s="5">
        <f t="shared" si="136"/>
        <v>-2.7958993476234852E-3</v>
      </c>
      <c r="I923" s="3">
        <f t="shared" si="133"/>
        <v>-0.42334775731117791</v>
      </c>
      <c r="J923" s="5">
        <f t="shared" si="137"/>
        <v>-6.0577819198510043E-3</v>
      </c>
      <c r="K923" s="3">
        <f t="shared" si="134"/>
        <v>-1.1833906115961956</v>
      </c>
      <c r="L923" s="3">
        <f t="shared" si="135"/>
        <v>-1.1300057715940786</v>
      </c>
    </row>
    <row r="924" spans="1:12" x14ac:dyDescent="0.25">
      <c r="A924" s="26">
        <v>20.07</v>
      </c>
      <c r="B924">
        <v>19.940000000000001</v>
      </c>
      <c r="C924">
        <v>1.51</v>
      </c>
      <c r="D924" s="2">
        <v>43929</v>
      </c>
      <c r="E924">
        <v>20.05</v>
      </c>
      <c r="F924">
        <v>0.02</v>
      </c>
      <c r="G924">
        <v>-0.10999999999999943</v>
      </c>
      <c r="H924" s="5">
        <f t="shared" si="136"/>
        <v>9.9750623441396502E-4</v>
      </c>
      <c r="I924" s="3">
        <f t="shared" si="133"/>
        <v>0.55625092534237253</v>
      </c>
      <c r="J924" s="5">
        <f t="shared" si="137"/>
        <v>-5.4862842892767797E-3</v>
      </c>
      <c r="K924" s="3">
        <f t="shared" si="134"/>
        <v>-0.82563696630317307</v>
      </c>
      <c r="L924" s="3">
        <f t="shared" si="135"/>
        <v>-1.0882998485929503</v>
      </c>
    </row>
    <row r="925" spans="1:12" x14ac:dyDescent="0.25">
      <c r="A925" s="26">
        <v>21.11</v>
      </c>
      <c r="B925">
        <v>20.82</v>
      </c>
      <c r="C925">
        <v>2.14</v>
      </c>
      <c r="D925" s="2">
        <v>43928</v>
      </c>
      <c r="E925">
        <v>21</v>
      </c>
      <c r="F925">
        <v>0.11</v>
      </c>
      <c r="G925">
        <v>-0.17999999999999972</v>
      </c>
      <c r="H925" s="5">
        <f t="shared" si="136"/>
        <v>5.2380952380952379E-3</v>
      </c>
      <c r="I925" s="3">
        <f t="shared" si="133"/>
        <v>1.6540612017698866</v>
      </c>
      <c r="J925" s="5">
        <f t="shared" si="137"/>
        <v>-8.571428571428558E-3</v>
      </c>
      <c r="K925" s="3">
        <f t="shared" si="134"/>
        <v>-2.7648475599658013</v>
      </c>
      <c r="L925" s="3">
        <f t="shared" si="135"/>
        <v>0.44292617262993506</v>
      </c>
    </row>
    <row r="926" spans="1:12" x14ac:dyDescent="0.25">
      <c r="A926" s="26">
        <v>18.36</v>
      </c>
      <c r="B926">
        <v>18.350000000000001</v>
      </c>
      <c r="C926">
        <v>1.56</v>
      </c>
      <c r="D926" s="2">
        <v>43927</v>
      </c>
      <c r="E926">
        <v>18.47</v>
      </c>
      <c r="F926">
        <v>-0.11</v>
      </c>
      <c r="G926">
        <v>-0.11999999999999744</v>
      </c>
      <c r="H926" s="5">
        <f t="shared" si="136"/>
        <v>-5.9556036816459127E-3</v>
      </c>
      <c r="I926" s="3">
        <f t="shared" si="133"/>
        <v>-1.2253241249183093</v>
      </c>
      <c r="J926" s="5">
        <f t="shared" si="137"/>
        <v>-6.4970221981590385E-3</v>
      </c>
      <c r="K926" s="3">
        <f t="shared" si="134"/>
        <v>-1.5025062225671917</v>
      </c>
      <c r="L926" s="3">
        <f t="shared" si="135"/>
        <v>-0.96180256937771524</v>
      </c>
    </row>
    <row r="927" spans="1:12" x14ac:dyDescent="0.25">
      <c r="A927" s="26">
        <v>17.899999999999999</v>
      </c>
      <c r="B927">
        <v>17.829999999999998</v>
      </c>
      <c r="C927">
        <v>1.73</v>
      </c>
      <c r="D927" s="2">
        <v>43924</v>
      </c>
      <c r="E927">
        <v>17.91</v>
      </c>
      <c r="F927">
        <v>-0.01</v>
      </c>
      <c r="G927">
        <v>-8.0000000000001847E-2</v>
      </c>
      <c r="H927" s="5">
        <f t="shared" si="136"/>
        <v>-5.5834729201563373E-4</v>
      </c>
      <c r="I927" s="3">
        <f t="shared" si="133"/>
        <v>0.15863883999464984</v>
      </c>
      <c r="J927" s="5">
        <f t="shared" si="137"/>
        <v>-4.4667783361251731E-3</v>
      </c>
      <c r="K927" s="3">
        <f t="shared" si="134"/>
        <v>-0.20949205659529863</v>
      </c>
      <c r="L927" s="3">
        <f t="shared" si="135"/>
        <v>-0.55660647551472964</v>
      </c>
    </row>
    <row r="928" spans="1:12" x14ac:dyDescent="0.25">
      <c r="A928" s="26">
        <v>17.52</v>
      </c>
      <c r="B928">
        <v>17.25</v>
      </c>
      <c r="C928">
        <v>1.98</v>
      </c>
      <c r="D928" s="2">
        <v>43923</v>
      </c>
      <c r="E928">
        <v>17.399999999999999</v>
      </c>
      <c r="F928">
        <v>0.12</v>
      </c>
      <c r="G928">
        <v>-0.14999999999999858</v>
      </c>
      <c r="H928" s="5">
        <f t="shared" si="136"/>
        <v>6.8965517241379309E-3</v>
      </c>
      <c r="I928" s="3">
        <f t="shared" si="133"/>
        <v>2.0700444688162727</v>
      </c>
      <c r="J928" s="5">
        <f t="shared" si="137"/>
        <v>-8.6206896551723321E-3</v>
      </c>
      <c r="K928" s="3">
        <f t="shared" si="134"/>
        <v>-2.8690836086091687</v>
      </c>
      <c r="L928" s="3">
        <f t="shared" si="135"/>
        <v>4.0780813011560023E-2</v>
      </c>
    </row>
    <row r="929" spans="1:12" x14ac:dyDescent="0.25">
      <c r="A929" s="26">
        <v>17.399999999999999</v>
      </c>
      <c r="B929">
        <v>17.18</v>
      </c>
      <c r="C929">
        <v>1.68</v>
      </c>
      <c r="D929" s="2">
        <v>43921</v>
      </c>
      <c r="E929">
        <v>17.3</v>
      </c>
      <c r="F929">
        <v>0.1</v>
      </c>
      <c r="G929">
        <v>-0.12000000000000099</v>
      </c>
      <c r="H929" s="5">
        <f t="shared" si="136"/>
        <v>5.7803468208092483E-3</v>
      </c>
      <c r="I929" s="3">
        <f t="shared" si="133"/>
        <v>1.8100297578304874</v>
      </c>
      <c r="J929" s="5">
        <f t="shared" si="137"/>
        <v>-6.9364161849711555E-3</v>
      </c>
      <c r="K929" s="3">
        <f t="shared" si="134"/>
        <v>-1.8349469347053458</v>
      </c>
      <c r="L929" s="3">
        <f t="shared" si="135"/>
        <v>-0.68130160042489307</v>
      </c>
    </row>
    <row r="930" spans="1:12" x14ac:dyDescent="0.25">
      <c r="A930" s="26">
        <v>16.32</v>
      </c>
      <c r="B930">
        <v>16.100000000000001</v>
      </c>
      <c r="C930">
        <v>1.75</v>
      </c>
      <c r="D930" s="2">
        <v>43920</v>
      </c>
      <c r="E930">
        <v>16.22</v>
      </c>
      <c r="F930">
        <v>0.1</v>
      </c>
      <c r="G930">
        <v>-0.11999999999999744</v>
      </c>
      <c r="H930" s="5">
        <f t="shared" si="136"/>
        <v>6.1652281134401982E-3</v>
      </c>
      <c r="I930" s="3">
        <f t="shared" si="133"/>
        <v>1.9341573170198318</v>
      </c>
      <c r="J930" s="5">
        <f t="shared" si="137"/>
        <v>-7.3982737361280798E-3</v>
      </c>
      <c r="K930" s="3">
        <f t="shared" si="134"/>
        <v>-2.1560100489227456</v>
      </c>
      <c r="L930" s="3">
        <f t="shared" si="135"/>
        <v>-0.51617725511973822</v>
      </c>
    </row>
    <row r="931" spans="1:12" x14ac:dyDescent="0.25">
      <c r="A931" s="26">
        <v>16.55</v>
      </c>
      <c r="B931">
        <v>16.36</v>
      </c>
      <c r="C931">
        <v>2.1800000000000002</v>
      </c>
      <c r="D931" s="2">
        <v>43917</v>
      </c>
      <c r="E931">
        <v>16.489999999999998</v>
      </c>
      <c r="F931">
        <v>0.06</v>
      </c>
      <c r="G931">
        <v>-0.12999999999999901</v>
      </c>
      <c r="H931" s="5">
        <f t="shared" si="136"/>
        <v>3.6385688295936932E-3</v>
      </c>
      <c r="I931" s="3">
        <f t="shared" si="133"/>
        <v>1.2845812013650624</v>
      </c>
      <c r="J931" s="5">
        <f t="shared" si="137"/>
        <v>-7.8835657974529426E-3</v>
      </c>
      <c r="K931" s="3">
        <f t="shared" si="134"/>
        <v>-2.5005572615263292</v>
      </c>
      <c r="L931" s="3">
        <f t="shared" si="135"/>
        <v>0.52279174607524737</v>
      </c>
    </row>
    <row r="932" spans="1:12" x14ac:dyDescent="0.25">
      <c r="A932" s="26">
        <v>16.3</v>
      </c>
      <c r="B932">
        <v>16.3</v>
      </c>
      <c r="C932">
        <v>1.62</v>
      </c>
      <c r="D932" s="2">
        <v>43916</v>
      </c>
      <c r="E932">
        <v>16.43</v>
      </c>
      <c r="F932">
        <v>-0.13</v>
      </c>
      <c r="G932">
        <v>-0.12999999999999901</v>
      </c>
      <c r="H932" s="5">
        <f t="shared" si="136"/>
        <v>-7.9123554473524045E-3</v>
      </c>
      <c r="I932" s="3">
        <f t="shared" si="133"/>
        <v>-1.7601177208549874</v>
      </c>
      <c r="J932" s="5">
        <f t="shared" si="137"/>
        <v>-7.9123554473523438E-3</v>
      </c>
      <c r="K932" s="3">
        <f t="shared" si="134"/>
        <v>-2.5656397148786394</v>
      </c>
      <c r="L932" s="3">
        <f t="shared" si="135"/>
        <v>-0.82933646523693538</v>
      </c>
    </row>
    <row r="933" spans="1:12" x14ac:dyDescent="0.25">
      <c r="A933" s="26">
        <v>16.95</v>
      </c>
      <c r="B933">
        <v>17.03</v>
      </c>
      <c r="C933">
        <v>1.1499999999999999</v>
      </c>
      <c r="D933" s="2">
        <v>43915</v>
      </c>
      <c r="E933">
        <v>17.079999999999998</v>
      </c>
      <c r="F933">
        <v>-0.13</v>
      </c>
      <c r="G933">
        <v>-4.9999999999997158E-2</v>
      </c>
      <c r="H933" s="5">
        <f t="shared" si="136"/>
        <v>-7.6112412177985955E-3</v>
      </c>
      <c r="I933" s="3">
        <f t="shared" si="133"/>
        <v>-1.7022991918746913</v>
      </c>
      <c r="J933" s="5">
        <f t="shared" si="137"/>
        <v>-2.9274004683839086E-3</v>
      </c>
      <c r="K933" s="3">
        <f t="shared" si="134"/>
        <v>0.77041512743803831</v>
      </c>
      <c r="L933" s="3">
        <f t="shared" si="135"/>
        <v>-1.9650998597612888</v>
      </c>
    </row>
    <row r="934" spans="1:12" x14ac:dyDescent="0.25">
      <c r="A934" s="26">
        <v>16.25</v>
      </c>
      <c r="B934">
        <v>16.149999999999999</v>
      </c>
      <c r="C934">
        <v>1.74</v>
      </c>
      <c r="D934" s="2">
        <v>43914</v>
      </c>
      <c r="E934">
        <v>16.190000000000001</v>
      </c>
      <c r="F934">
        <v>0.06</v>
      </c>
      <c r="G934">
        <v>-4.00000000000027E-2</v>
      </c>
      <c r="H934" s="5">
        <f t="shared" si="136"/>
        <v>3.7059913526868433E-3</v>
      </c>
      <c r="I934" s="3">
        <f t="shared" si="133"/>
        <v>1.3111435688133029</v>
      </c>
      <c r="J934" s="5">
        <f t="shared" si="137"/>
        <v>-2.4706609017913959E-3</v>
      </c>
      <c r="K934" s="3">
        <f t="shared" si="134"/>
        <v>1.0846850487263384</v>
      </c>
      <c r="L934" s="3">
        <f t="shared" si="135"/>
        <v>-0.54817882574850096</v>
      </c>
    </row>
    <row r="935" spans="1:12" x14ac:dyDescent="0.25">
      <c r="A935" s="26">
        <v>14.6</v>
      </c>
      <c r="B935">
        <v>14.47</v>
      </c>
      <c r="C935">
        <v>1.9</v>
      </c>
      <c r="D935" s="2">
        <v>43913</v>
      </c>
      <c r="E935">
        <v>14.58</v>
      </c>
      <c r="F935">
        <v>0.02</v>
      </c>
      <c r="G935">
        <v>-0.10999999999999943</v>
      </c>
      <c r="H935" s="5">
        <f t="shared" si="136"/>
        <v>1.3717421124828533E-3</v>
      </c>
      <c r="I935" s="3">
        <f t="shared" si="133"/>
        <v>0.70047069590913147</v>
      </c>
      <c r="J935" s="5">
        <f t="shared" si="137"/>
        <v>-7.5445816186556535E-3</v>
      </c>
      <c r="K935" s="3">
        <f t="shared" si="134"/>
        <v>-2.2819219135754705</v>
      </c>
      <c r="L935" s="3">
        <f t="shared" si="135"/>
        <v>-0.16193612359141218</v>
      </c>
    </row>
    <row r="936" spans="1:12" x14ac:dyDescent="0.25">
      <c r="A936" s="26">
        <v>16.350000000000001</v>
      </c>
      <c r="B936">
        <v>16.350000000000001</v>
      </c>
      <c r="C936">
        <v>1.89</v>
      </c>
      <c r="D936" s="2">
        <v>43910</v>
      </c>
      <c r="E936">
        <v>16.48</v>
      </c>
      <c r="F936">
        <v>-0.13</v>
      </c>
      <c r="G936">
        <v>-0.12999999999999901</v>
      </c>
      <c r="H936" s="5">
        <f t="shared" si="136"/>
        <v>-7.8883495145631068E-3</v>
      </c>
      <c r="I936" s="3">
        <f t="shared" si="133"/>
        <v>-1.763391844085848</v>
      </c>
      <c r="J936" s="5">
        <f t="shared" si="137"/>
        <v>-7.888349514563046E-3</v>
      </c>
      <c r="K936" s="3">
        <f t="shared" si="134"/>
        <v>-2.5514874066468471</v>
      </c>
      <c r="L936" s="3">
        <f t="shared" si="135"/>
        <v>-0.18302940976882587</v>
      </c>
    </row>
    <row r="937" spans="1:12" x14ac:dyDescent="0.25">
      <c r="A937" s="26">
        <v>16.03</v>
      </c>
      <c r="B937">
        <v>16.29</v>
      </c>
      <c r="C937">
        <v>1.73</v>
      </c>
      <c r="D937" s="2">
        <v>43909</v>
      </c>
      <c r="E937">
        <v>16.399999999999999</v>
      </c>
      <c r="F937">
        <v>-0.37</v>
      </c>
      <c r="G937">
        <v>-0.10999999999999943</v>
      </c>
      <c r="H937" s="5">
        <f t="shared" si="136"/>
        <v>-2.25609756097561E-2</v>
      </c>
      <c r="I937" s="3">
        <f t="shared" si="133"/>
        <v>-5.7082957455502186</v>
      </c>
      <c r="J937" s="5">
        <f t="shared" si="137"/>
        <v>-6.7073170731706978E-3</v>
      </c>
      <c r="K937" s="3">
        <f t="shared" si="134"/>
        <v>-1.7864985780495444</v>
      </c>
      <c r="L937" s="3">
        <f t="shared" si="135"/>
        <v>-0.57114825725911533</v>
      </c>
    </row>
    <row r="938" spans="1:12" x14ac:dyDescent="0.25">
      <c r="A938" s="26">
        <v>20.64</v>
      </c>
      <c r="B938">
        <v>20.38</v>
      </c>
      <c r="C938">
        <v>2.37</v>
      </c>
      <c r="D938" s="2">
        <v>43906</v>
      </c>
      <c r="E938">
        <v>20.51</v>
      </c>
      <c r="F938">
        <v>0.13</v>
      </c>
      <c r="G938">
        <v>-0.13000000000000256</v>
      </c>
      <c r="H938" s="5">
        <f t="shared" si="136"/>
        <v>6.338371526084836E-3</v>
      </c>
      <c r="I938" s="3">
        <f t="shared" si="133"/>
        <v>2.1756820468010321</v>
      </c>
      <c r="J938" s="5">
        <f t="shared" si="137"/>
        <v>-6.3383715260849609E-3</v>
      </c>
      <c r="K938" s="3">
        <f t="shared" si="134"/>
        <v>-1.5140290314092024</v>
      </c>
      <c r="L938" s="3">
        <f t="shared" si="135"/>
        <v>0.98690716975014592</v>
      </c>
    </row>
    <row r="939" spans="1:12" x14ac:dyDescent="0.25">
      <c r="A939" s="26">
        <v>22.78</v>
      </c>
      <c r="B939">
        <v>22.71</v>
      </c>
      <c r="C939">
        <v>2.31</v>
      </c>
      <c r="D939" s="2">
        <v>43903</v>
      </c>
      <c r="E939">
        <v>22.81</v>
      </c>
      <c r="F939">
        <v>-0.03</v>
      </c>
      <c r="G939">
        <v>-9.9999999999997868E-2</v>
      </c>
      <c r="H939" s="5">
        <f t="shared" si="136"/>
        <v>-1.31521262604121E-3</v>
      </c>
      <c r="I939" s="3">
        <f t="shared" si="133"/>
        <v>-2.085072585470327E-2</v>
      </c>
      <c r="J939" s="5">
        <f t="shared" si="137"/>
        <v>-4.3840420868039402E-3</v>
      </c>
      <c r="K939" s="3">
        <f t="shared" si="134"/>
        <v>-0.20950044963380052</v>
      </c>
      <c r="L939" s="3">
        <f t="shared" si="135"/>
        <v>0.84990780455725823</v>
      </c>
    </row>
    <row r="940" spans="1:12" x14ac:dyDescent="0.25">
      <c r="A940" s="26">
        <v>22.85</v>
      </c>
      <c r="B940">
        <v>22.69</v>
      </c>
      <c r="C940">
        <v>3.14</v>
      </c>
      <c r="D940" s="2">
        <v>43902</v>
      </c>
      <c r="E940">
        <v>22.76</v>
      </c>
      <c r="F940">
        <v>0.09</v>
      </c>
      <c r="G940">
        <v>-7.0000000000000284E-2</v>
      </c>
      <c r="H940" s="5">
        <f t="shared" si="136"/>
        <v>3.9543057996485054E-3</v>
      </c>
      <c r="I940" s="3">
        <f t="shared" si="133"/>
        <v>1.5172124497486752</v>
      </c>
      <c r="J940" s="5">
        <f t="shared" si="137"/>
        <v>-3.0755711775044057E-3</v>
      </c>
      <c r="K940" s="3">
        <f t="shared" si="134"/>
        <v>0.67654898617334425</v>
      </c>
      <c r="L940" s="3">
        <f t="shared" si="135"/>
        <v>2.8804400400033856</v>
      </c>
    </row>
    <row r="941" spans="1:12" x14ac:dyDescent="0.25">
      <c r="A941" s="26">
        <v>23.63</v>
      </c>
      <c r="B941">
        <v>23.61</v>
      </c>
      <c r="C941">
        <v>2.02</v>
      </c>
      <c r="D941" s="2">
        <v>43901</v>
      </c>
      <c r="E941">
        <v>23.7</v>
      </c>
      <c r="F941">
        <v>-7.0000000000000007E-2</v>
      </c>
      <c r="G941">
        <v>-8.9999999999999858E-2</v>
      </c>
      <c r="H941" s="5">
        <f t="shared" si="136"/>
        <v>-2.9535864978902956E-3</v>
      </c>
      <c r="I941" s="3">
        <f t="shared" si="133"/>
        <v>-0.49057703409446529</v>
      </c>
      <c r="J941" s="5">
        <f t="shared" si="137"/>
        <v>-3.797468354430374E-3</v>
      </c>
      <c r="K941" s="3">
        <f t="shared" si="134"/>
        <v>0.19399296465497842</v>
      </c>
      <c r="L941" s="3">
        <f t="shared" si="135"/>
        <v>0.16931277877544648</v>
      </c>
    </row>
    <row r="942" spans="1:12" x14ac:dyDescent="0.25">
      <c r="A942" s="26">
        <v>23.76</v>
      </c>
      <c r="B942">
        <v>23.64</v>
      </c>
      <c r="C942">
        <v>2.1800000000000002</v>
      </c>
      <c r="D942" s="2">
        <v>43900</v>
      </c>
      <c r="E942">
        <v>23.75</v>
      </c>
      <c r="F942">
        <v>0.01</v>
      </c>
      <c r="G942">
        <v>-0.10999999999999943</v>
      </c>
      <c r="H942" s="5">
        <f t="shared" si="136"/>
        <v>4.2105263157894739E-4</v>
      </c>
      <c r="I942" s="3">
        <f t="shared" si="133"/>
        <v>0.48601289067880449</v>
      </c>
      <c r="J942" s="5">
        <f t="shared" si="137"/>
        <v>-4.6315789473683972E-3</v>
      </c>
      <c r="K942" s="3">
        <f t="shared" si="134"/>
        <v>-0.36300320014205506</v>
      </c>
      <c r="L942" s="3">
        <f t="shared" si="135"/>
        <v>0.56827547187360128</v>
      </c>
    </row>
    <row r="943" spans="1:12" x14ac:dyDescent="0.25">
      <c r="A943" s="26">
        <v>22.65</v>
      </c>
      <c r="B943">
        <v>22.56</v>
      </c>
      <c r="C943">
        <v>2.06</v>
      </c>
      <c r="D943" s="2">
        <v>43899</v>
      </c>
      <c r="E943">
        <v>22.67</v>
      </c>
      <c r="F943">
        <v>-0.02</v>
      </c>
      <c r="G943">
        <v>-0.11000000000000298</v>
      </c>
      <c r="H943" s="5">
        <f t="shared" si="136"/>
        <v>-8.8222320247022495E-4</v>
      </c>
      <c r="I943" s="3">
        <f t="shared" si="133"/>
        <v>0.10197974947411001</v>
      </c>
      <c r="J943" s="5">
        <f t="shared" si="137"/>
        <v>-4.852227613586369E-3</v>
      </c>
      <c r="K943" s="3">
        <f t="shared" si="134"/>
        <v>-0.506970133537338</v>
      </c>
      <c r="L943" s="3">
        <f t="shared" si="135"/>
        <v>0.27056428559086221</v>
      </c>
    </row>
    <row r="944" spans="1:12" x14ac:dyDescent="0.25">
      <c r="A944" s="26">
        <v>23.36</v>
      </c>
      <c r="B944">
        <v>23.34</v>
      </c>
      <c r="C944">
        <v>2.08</v>
      </c>
      <c r="D944" s="2">
        <v>43896</v>
      </c>
      <c r="E944">
        <v>23.42</v>
      </c>
      <c r="F944">
        <v>-0.06</v>
      </c>
      <c r="G944">
        <v>-8.0000000000001847E-2</v>
      </c>
      <c r="H944" s="5">
        <f t="shared" si="136"/>
        <v>-2.561912894961571E-3</v>
      </c>
      <c r="I944" s="3">
        <f t="shared" si="133"/>
        <v>-0.35659598994353908</v>
      </c>
      <c r="J944" s="5">
        <f t="shared" si="137"/>
        <v>-3.4158838599488402E-3</v>
      </c>
      <c r="K944" s="3">
        <f t="shared" si="134"/>
        <v>0.4594332657600757</v>
      </c>
      <c r="L944" s="3">
        <f t="shared" si="135"/>
        <v>0.32467639551170696</v>
      </c>
    </row>
    <row r="945" spans="1:12" x14ac:dyDescent="0.25">
      <c r="A945" s="26">
        <v>23.9</v>
      </c>
      <c r="B945">
        <v>23.88</v>
      </c>
      <c r="C945">
        <v>1.88</v>
      </c>
      <c r="D945" s="2">
        <v>43895</v>
      </c>
      <c r="E945">
        <v>23.92</v>
      </c>
      <c r="F945">
        <v>-0.02</v>
      </c>
      <c r="G945">
        <v>-4.00000000000027E-2</v>
      </c>
      <c r="H945" s="5">
        <f t="shared" si="136"/>
        <v>-8.3612040133779263E-4</v>
      </c>
      <c r="I945" s="3">
        <f t="shared" si="133"/>
        <v>0.11726142849849774</v>
      </c>
      <c r="J945" s="5">
        <f t="shared" si="137"/>
        <v>-1.672240802675698E-3</v>
      </c>
      <c r="K945" s="3">
        <f t="shared" si="134"/>
        <v>1.6006863944147878</v>
      </c>
      <c r="L945" s="3">
        <f t="shared" si="135"/>
        <v>-0.1799558397740107</v>
      </c>
    </row>
    <row r="946" spans="1:12" x14ac:dyDescent="0.25">
      <c r="A946" s="26">
        <v>23.26</v>
      </c>
      <c r="B946">
        <v>23.26</v>
      </c>
      <c r="C946">
        <v>2.0299999999999998</v>
      </c>
      <c r="D946" s="2">
        <v>43893</v>
      </c>
      <c r="E946">
        <v>23.39</v>
      </c>
      <c r="F946">
        <v>-0.13</v>
      </c>
      <c r="G946">
        <v>-0.12999999999999901</v>
      </c>
      <c r="H946" s="5">
        <f t="shared" si="136"/>
        <v>-5.5579307396323215E-3</v>
      </c>
      <c r="I946" s="3">
        <f t="shared" si="133"/>
        <v>-1.2010509359471482</v>
      </c>
      <c r="J946" s="5">
        <f t="shared" si="137"/>
        <v>-5.557930739632279E-3</v>
      </c>
      <c r="K946" s="3">
        <f t="shared" si="134"/>
        <v>-0.92489538311723529</v>
      </c>
      <c r="L946" s="3">
        <f t="shared" si="135"/>
        <v>0.17910097768720709</v>
      </c>
    </row>
    <row r="947" spans="1:12" x14ac:dyDescent="0.25">
      <c r="A947" s="26">
        <v>23.96</v>
      </c>
      <c r="B947">
        <v>23.95</v>
      </c>
      <c r="C947">
        <v>1.8</v>
      </c>
      <c r="D947" s="2">
        <v>43892</v>
      </c>
      <c r="E947">
        <v>24.08</v>
      </c>
      <c r="F947">
        <v>-0.12</v>
      </c>
      <c r="G947">
        <v>-0.12999999999999901</v>
      </c>
      <c r="H947" s="5">
        <f t="shared" si="136"/>
        <v>-4.9833887043189374E-3</v>
      </c>
      <c r="I947" s="3">
        <f t="shared" si="133"/>
        <v>-1.0428419142679168</v>
      </c>
      <c r="J947" s="5">
        <f t="shared" si="137"/>
        <v>-5.398671096345474E-3</v>
      </c>
      <c r="K947" s="3">
        <f t="shared" si="134"/>
        <v>-0.81832198510356369</v>
      </c>
      <c r="L947" s="3">
        <f t="shared" si="135"/>
        <v>-0.37928675967804987</v>
      </c>
    </row>
    <row r="948" spans="1:12" x14ac:dyDescent="0.25">
      <c r="A948" s="26">
        <v>23.46</v>
      </c>
      <c r="B948">
        <v>23.23</v>
      </c>
      <c r="C948">
        <v>2.65</v>
      </c>
      <c r="D948" s="2">
        <v>43889</v>
      </c>
      <c r="E948">
        <v>23.33</v>
      </c>
      <c r="F948">
        <v>0.13</v>
      </c>
      <c r="G948">
        <v>-9.9999999999997868E-2</v>
      </c>
      <c r="H948" s="5">
        <f t="shared" si="136"/>
        <v>5.5722246035147882E-3</v>
      </c>
      <c r="I948" s="3">
        <f t="shared" si="133"/>
        <v>1.8959693477249013</v>
      </c>
      <c r="J948" s="5">
        <f t="shared" si="137"/>
        <v>-4.2863266180882074E-3</v>
      </c>
      <c r="K948" s="3">
        <f t="shared" si="134"/>
        <v>-7.6401889426890204E-2</v>
      </c>
      <c r="L948" s="3">
        <f t="shared" si="135"/>
        <v>1.6468105329330529</v>
      </c>
    </row>
    <row r="949" spans="1:12" x14ac:dyDescent="0.25">
      <c r="A949" s="26">
        <v>23.8</v>
      </c>
      <c r="B949">
        <v>23.71</v>
      </c>
      <c r="C949">
        <v>2.3199999999999998</v>
      </c>
      <c r="D949" s="2">
        <v>43888</v>
      </c>
      <c r="E949">
        <v>23.8</v>
      </c>
      <c r="F949">
        <v>0.09</v>
      </c>
      <c r="G949">
        <v>-8.9999999999999858E-2</v>
      </c>
      <c r="H949" s="5">
        <f t="shared" si="136"/>
        <v>3.7815126050420164E-3</v>
      </c>
      <c r="I949" s="3">
        <f t="shared" si="133"/>
        <v>1.4184937169979026</v>
      </c>
      <c r="J949" s="5">
        <f t="shared" si="137"/>
        <v>-3.7815126050420107E-3</v>
      </c>
      <c r="K949" s="3">
        <f t="shared" si="134"/>
        <v>0.24710480708648874</v>
      </c>
      <c r="L949" s="3">
        <f t="shared" si="135"/>
        <v>0.84341869039956519</v>
      </c>
    </row>
    <row r="950" spans="1:12" x14ac:dyDescent="0.25">
      <c r="A950" s="26">
        <v>23.85</v>
      </c>
      <c r="B950">
        <v>23.7</v>
      </c>
      <c r="C950">
        <v>2.09</v>
      </c>
      <c r="D950" s="2">
        <v>43887</v>
      </c>
      <c r="E950">
        <v>23.78</v>
      </c>
      <c r="F950">
        <v>7.0000000000000007E-2</v>
      </c>
      <c r="G950">
        <v>-8.0000000000001847E-2</v>
      </c>
      <c r="H950" s="5">
        <f t="shared" si="136"/>
        <v>2.9436501261564342E-3</v>
      </c>
      <c r="I950" s="3">
        <f t="shared" si="133"/>
        <v>1.1848860523484226</v>
      </c>
      <c r="J950" s="5">
        <f t="shared" si="137"/>
        <v>-3.3641715727502877E-3</v>
      </c>
      <c r="K950" s="3">
        <f t="shared" si="134"/>
        <v>0.5119228756434977</v>
      </c>
      <c r="L950" s="3">
        <f t="shared" si="135"/>
        <v>0.29206726737847621</v>
      </c>
    </row>
    <row r="951" spans="1:12" x14ac:dyDescent="0.25">
      <c r="A951" s="26">
        <v>24.32</v>
      </c>
      <c r="B951">
        <v>24.27</v>
      </c>
      <c r="C951">
        <v>2.14</v>
      </c>
      <c r="D951" s="2">
        <v>43886</v>
      </c>
      <c r="E951">
        <v>24.35</v>
      </c>
      <c r="F951">
        <v>-0.03</v>
      </c>
      <c r="G951">
        <v>-8.0000000000001847E-2</v>
      </c>
      <c r="H951" s="5">
        <f t="shared" si="136"/>
        <v>-1.2320328542094455E-3</v>
      </c>
      <c r="I951" s="3">
        <f t="shared" si="133"/>
        <v>1.4230614717627892E-2</v>
      </c>
      <c r="J951" s="5">
        <f t="shared" si="137"/>
        <v>-3.2854209445585974E-3</v>
      </c>
      <c r="K951" s="3">
        <f t="shared" si="134"/>
        <v>0.56436101060998101</v>
      </c>
      <c r="L951" s="3">
        <f t="shared" si="135"/>
        <v>0.41240605689176102</v>
      </c>
    </row>
    <row r="952" spans="1:12" x14ac:dyDescent="0.25">
      <c r="A952" s="26">
        <v>24.64</v>
      </c>
      <c r="B952">
        <v>24.64</v>
      </c>
      <c r="C952">
        <v>2.12</v>
      </c>
      <c r="D952" s="2">
        <v>43885</v>
      </c>
      <c r="E952">
        <v>24.73</v>
      </c>
      <c r="F952">
        <v>-0.09</v>
      </c>
      <c r="G952">
        <v>-8.9999999999999858E-2</v>
      </c>
      <c r="H952" s="5">
        <f t="shared" si="136"/>
        <v>-3.6393044884755355E-3</v>
      </c>
      <c r="I952" s="3">
        <f t="shared" si="133"/>
        <v>-0.66140027554947245</v>
      </c>
      <c r="J952" s="5">
        <f t="shared" si="137"/>
        <v>-3.6393044884755299E-3</v>
      </c>
      <c r="K952" s="3">
        <f t="shared" si="134"/>
        <v>0.34720172003914657</v>
      </c>
      <c r="L952" s="3">
        <f t="shared" si="135"/>
        <v>0.35947970499452586</v>
      </c>
    </row>
    <row r="953" spans="1:12" x14ac:dyDescent="0.25">
      <c r="A953" s="26">
        <v>25.15</v>
      </c>
      <c r="B953">
        <v>25.12</v>
      </c>
      <c r="C953">
        <v>2.06</v>
      </c>
      <c r="D953" s="2">
        <v>43882</v>
      </c>
      <c r="E953">
        <v>25.29</v>
      </c>
      <c r="F953">
        <v>-0.14000000000000001</v>
      </c>
      <c r="G953">
        <v>-0.16999999999999815</v>
      </c>
      <c r="H953" s="5">
        <f t="shared" si="136"/>
        <v>-5.5357848952155009E-3</v>
      </c>
      <c r="I953" s="3">
        <f t="shared" si="133"/>
        <v>-1.1800621928289354</v>
      </c>
      <c r="J953" s="5">
        <f t="shared" si="137"/>
        <v>-6.7220245156187491E-3</v>
      </c>
      <c r="K953" s="3">
        <f t="shared" si="134"/>
        <v>-1.6033965723308701</v>
      </c>
      <c r="L953" s="3">
        <f t="shared" si="135"/>
        <v>0.22444603138440417</v>
      </c>
    </row>
    <row r="954" spans="1:12" x14ac:dyDescent="0.25">
      <c r="A954" s="26">
        <v>25.5</v>
      </c>
      <c r="B954">
        <v>25.43</v>
      </c>
      <c r="C954">
        <v>1.87</v>
      </c>
      <c r="D954" s="2">
        <v>43881</v>
      </c>
      <c r="E954">
        <v>25.51</v>
      </c>
      <c r="F954">
        <v>-0.01</v>
      </c>
      <c r="G954">
        <v>-8.0000000000001847E-2</v>
      </c>
      <c r="H954" s="5">
        <f t="shared" si="136"/>
        <v>-3.920031360250882E-4</v>
      </c>
      <c r="I954" s="3">
        <f t="shared" si="133"/>
        <v>0.24203799983388513</v>
      </c>
      <c r="J954" s="5">
        <f t="shared" si="137"/>
        <v>-3.136025088200778E-3</v>
      </c>
      <c r="K954" s="3">
        <f t="shared" si="134"/>
        <v>0.66490011591794762</v>
      </c>
      <c r="L954" s="3">
        <f t="shared" si="135"/>
        <v>-0.22196241414768317</v>
      </c>
    </row>
    <row r="955" spans="1:12" x14ac:dyDescent="0.25">
      <c r="A955" s="26">
        <v>24.8</v>
      </c>
      <c r="B955">
        <v>24.73</v>
      </c>
      <c r="C955">
        <v>1.87</v>
      </c>
      <c r="D955" s="2">
        <v>43879</v>
      </c>
      <c r="E955">
        <v>24.84</v>
      </c>
      <c r="F955">
        <v>-0.04</v>
      </c>
      <c r="G955">
        <v>-0.10999999999999943</v>
      </c>
      <c r="H955" s="5">
        <f t="shared" si="136"/>
        <v>-1.6103059581320451E-3</v>
      </c>
      <c r="I955" s="3">
        <f t="shared" si="133"/>
        <v>-9.4396684439955303E-2</v>
      </c>
      <c r="J955" s="5">
        <f t="shared" si="137"/>
        <v>-4.4283413848631012E-3</v>
      </c>
      <c r="K955" s="3">
        <f t="shared" si="134"/>
        <v>-0.15625684745465979</v>
      </c>
      <c r="L955" s="3">
        <f t="shared" si="135"/>
        <v>-0.22127433101399757</v>
      </c>
    </row>
    <row r="956" spans="1:12" x14ac:dyDescent="0.25">
      <c r="A956" s="26">
        <v>24.11</v>
      </c>
      <c r="B956">
        <v>24.07</v>
      </c>
      <c r="C956">
        <v>1.94</v>
      </c>
      <c r="D956" s="2">
        <v>43878</v>
      </c>
      <c r="E956">
        <v>24.16</v>
      </c>
      <c r="F956">
        <v>-0.05</v>
      </c>
      <c r="G956">
        <v>-8.9999999999999858E-2</v>
      </c>
      <c r="H956" s="5">
        <f t="shared" si="136"/>
        <v>-2.0695364238410598E-3</v>
      </c>
      <c r="I956" s="3">
        <f t="shared" si="133"/>
        <v>-0.21516399866751082</v>
      </c>
      <c r="J956" s="5">
        <f t="shared" si="137"/>
        <v>-3.7251655629139016E-3</v>
      </c>
      <c r="K956" s="3">
        <f t="shared" si="134"/>
        <v>0.29327384285887798</v>
      </c>
      <c r="L956" s="3">
        <f t="shared" si="135"/>
        <v>-5.4157609091883517E-2</v>
      </c>
    </row>
    <row r="957" spans="1:12" x14ac:dyDescent="0.25">
      <c r="A957" s="26">
        <v>24.27</v>
      </c>
      <c r="B957">
        <v>24.18</v>
      </c>
      <c r="C957">
        <v>2.41</v>
      </c>
      <c r="D957" s="2">
        <v>43875</v>
      </c>
      <c r="E957">
        <v>24.27</v>
      </c>
      <c r="F957">
        <v>0</v>
      </c>
      <c r="G957">
        <v>-8.9999999999999858E-2</v>
      </c>
      <c r="H957" s="5">
        <f t="shared" si="136"/>
        <v>0</v>
      </c>
      <c r="I957" s="3">
        <f t="shared" si="133"/>
        <v>0.35263024900058437</v>
      </c>
      <c r="J957" s="5">
        <f t="shared" si="137"/>
        <v>-3.7082818294190299E-3</v>
      </c>
      <c r="K957" s="3">
        <f t="shared" si="134"/>
        <v>0.29975749656685813</v>
      </c>
      <c r="L957" s="3">
        <f t="shared" si="135"/>
        <v>1.0334783748648979</v>
      </c>
    </row>
    <row r="958" spans="1:12" x14ac:dyDescent="0.25">
      <c r="A958" s="26">
        <v>23.52</v>
      </c>
      <c r="B958">
        <v>23.5</v>
      </c>
      <c r="C958">
        <v>2.5099999999999998</v>
      </c>
      <c r="D958" s="2">
        <v>43874</v>
      </c>
      <c r="E958">
        <v>23.62</v>
      </c>
      <c r="F958">
        <v>-0.1</v>
      </c>
      <c r="G958">
        <v>-0.12000000000000099</v>
      </c>
      <c r="H958" s="5">
        <f t="shared" si="136"/>
        <v>-4.2337002540220152E-3</v>
      </c>
      <c r="I958" s="3">
        <f t="shared" si="133"/>
        <v>-0.82030412039002765</v>
      </c>
      <c r="J958" s="5">
        <f t="shared" si="137"/>
        <v>-5.0804403048264604E-3</v>
      </c>
      <c r="K958" s="3">
        <f t="shared" si="134"/>
        <v>-0.5718264102343984</v>
      </c>
      <c r="L958" s="3">
        <f t="shared" si="135"/>
        <v>1.2727651228277626</v>
      </c>
    </row>
    <row r="959" spans="1:12" x14ac:dyDescent="0.25">
      <c r="A959" s="26">
        <v>23.35</v>
      </c>
      <c r="B959">
        <v>23.17</v>
      </c>
      <c r="C959">
        <v>2.42</v>
      </c>
      <c r="D959" s="2">
        <v>43873</v>
      </c>
      <c r="E959">
        <v>23.24</v>
      </c>
      <c r="F959">
        <v>0.11</v>
      </c>
      <c r="G959">
        <v>-6.9999999999996732E-2</v>
      </c>
      <c r="H959" s="5">
        <f t="shared" si="136"/>
        <v>4.7332185886402754E-3</v>
      </c>
      <c r="I959" s="3">
        <f t="shared" si="133"/>
        <v>1.651021747980522</v>
      </c>
      <c r="J959" s="5">
        <f t="shared" si="137"/>
        <v>-3.012048192770944E-3</v>
      </c>
      <c r="K959" s="3">
        <f t="shared" si="134"/>
        <v>0.74609590957352856</v>
      </c>
      <c r="L959" s="3">
        <f t="shared" si="135"/>
        <v>1.0606163546620604</v>
      </c>
    </row>
    <row r="960" spans="1:12" x14ac:dyDescent="0.25">
      <c r="A960" s="26">
        <v>23.15</v>
      </c>
      <c r="B960">
        <v>23.14</v>
      </c>
      <c r="C960">
        <v>2.25</v>
      </c>
      <c r="D960" s="2">
        <v>43872</v>
      </c>
      <c r="E960">
        <v>23.22</v>
      </c>
      <c r="F960">
        <v>-7.0000000000000007E-2</v>
      </c>
      <c r="G960">
        <v>-7.9999999999998295E-2</v>
      </c>
      <c r="H960" s="5">
        <f t="shared" si="136"/>
        <v>-3.0146425495262709E-3</v>
      </c>
      <c r="I960" s="3">
        <f t="shared" si="133"/>
        <v>-0.4738984565302205</v>
      </c>
      <c r="J960" s="5">
        <f t="shared" si="137"/>
        <v>-3.4453057708870929E-3</v>
      </c>
      <c r="K960" s="3">
        <f t="shared" si="134"/>
        <v>0.47996041545576473</v>
      </c>
      <c r="L960" s="3">
        <f t="shared" si="135"/>
        <v>0.65509032127937394</v>
      </c>
    </row>
    <row r="961" spans="1:12" x14ac:dyDescent="0.25">
      <c r="A961" s="26">
        <v>22.91</v>
      </c>
      <c r="B961">
        <v>22.88</v>
      </c>
      <c r="C961">
        <v>2.82</v>
      </c>
      <c r="D961" s="2">
        <v>43871</v>
      </c>
      <c r="E961">
        <v>22.96</v>
      </c>
      <c r="F961">
        <v>-0.05</v>
      </c>
      <c r="G961">
        <v>-8.0000000000001847E-2</v>
      </c>
      <c r="H961" s="5">
        <f t="shared" si="136"/>
        <v>-2.1777003484320556E-3</v>
      </c>
      <c r="I961" s="3">
        <f t="shared" si="133"/>
        <v>-0.24256985941826581</v>
      </c>
      <c r="J961" s="5">
        <f t="shared" si="137"/>
        <v>-3.4843205574913694E-3</v>
      </c>
      <c r="K961" s="3">
        <f t="shared" si="134"/>
        <v>0.46079175704365416</v>
      </c>
      <c r="L961" s="3">
        <f t="shared" si="135"/>
        <v>1.970747649508243</v>
      </c>
    </row>
    <row r="962" spans="1:12" x14ac:dyDescent="0.25">
      <c r="A962" s="26">
        <v>23.17</v>
      </c>
      <c r="B962">
        <v>23.15</v>
      </c>
      <c r="C962">
        <v>2.2599999999999998</v>
      </c>
      <c r="D962" s="2">
        <v>43868</v>
      </c>
      <c r="E962">
        <v>23.21</v>
      </c>
      <c r="F962">
        <v>-0.04</v>
      </c>
      <c r="G962">
        <v>-6.0000000000002274E-2</v>
      </c>
      <c r="H962" s="5">
        <f t="shared" si="136"/>
        <v>-1.7233950883239983E-3</v>
      </c>
      <c r="I962" s="3">
        <f t="shared" si="133"/>
        <v>-0.11476725344982913</v>
      </c>
      <c r="J962" s="5">
        <f t="shared" si="137"/>
        <v>-2.5850926324860954E-3</v>
      </c>
      <c r="K962" s="3">
        <f t="shared" si="134"/>
        <v>1.0304301114634671</v>
      </c>
      <c r="L962" s="3">
        <f t="shared" si="135"/>
        <v>0.69093273293010526</v>
      </c>
    </row>
    <row r="963" spans="1:12" x14ac:dyDescent="0.25">
      <c r="A963" s="26">
        <v>23.4</v>
      </c>
      <c r="B963">
        <v>23.36</v>
      </c>
      <c r="C963">
        <v>2.02</v>
      </c>
      <c r="D963" s="2">
        <v>43867</v>
      </c>
      <c r="E963">
        <v>23.43</v>
      </c>
      <c r="F963">
        <v>-0.03</v>
      </c>
      <c r="G963">
        <v>-7.0000000000000284E-2</v>
      </c>
      <c r="H963" s="5">
        <f t="shared" si="136"/>
        <v>-1.2804097311139564E-3</v>
      </c>
      <c r="I963" s="3">
        <f t="shared" ref="I963:I1026" si="138">IFERROR((H963-AVERAGEA(H963:H1179))/_xlfn.STDEV.S(H963:H1179), " ")</f>
        <v>3.5484911121446707E-3</v>
      </c>
      <c r="J963" s="5">
        <f t="shared" si="137"/>
        <v>-2.9876227059325773E-3</v>
      </c>
      <c r="K963" s="3">
        <f t="shared" ref="K963:K1026" si="139">IFERROR((J963-AVERAGEA(J963:J1179))/_xlfn.STDEV.S(J963:J1179), " ")</f>
        <v>0.78449374329056321</v>
      </c>
      <c r="L963" s="3">
        <f t="shared" ref="L963:L1026" si="140">(C963-AVERAGEA(C963:C1179))/_xlfn.STDEV.S(C963:C1179)</f>
        <v>0.13241314380272406</v>
      </c>
    </row>
    <row r="964" spans="1:12" x14ac:dyDescent="0.25">
      <c r="A964" s="26">
        <v>23.33</v>
      </c>
      <c r="B964">
        <v>23.19</v>
      </c>
      <c r="C964">
        <v>2.38</v>
      </c>
      <c r="D964" s="2">
        <v>43865</v>
      </c>
      <c r="E964">
        <v>23.3</v>
      </c>
      <c r="F964">
        <v>0.03</v>
      </c>
      <c r="G964">
        <v>-0.10999999999999943</v>
      </c>
      <c r="H964" s="5">
        <f t="shared" ref="H964:H1027" si="141">IFERROR(F964/E964,"")</f>
        <v>1.2875536480686693E-3</v>
      </c>
      <c r="I964" s="3">
        <f t="shared" si="138"/>
        <v>0.70997338958963596</v>
      </c>
      <c r="J964" s="5">
        <f t="shared" ref="J964:J1027" si="142">IFERROR(G964/E964,"")</f>
        <v>-4.7210300429184303E-3</v>
      </c>
      <c r="K964" s="3">
        <f t="shared" si="139"/>
        <v>-0.29474351566085322</v>
      </c>
      <c r="L964" s="3">
        <f t="shared" si="140"/>
        <v>0.96844294287271193</v>
      </c>
    </row>
    <row r="965" spans="1:12" x14ac:dyDescent="0.25">
      <c r="A965" s="26">
        <v>23.2</v>
      </c>
      <c r="B965">
        <v>23.18</v>
      </c>
      <c r="C965">
        <v>2.0299999999999998</v>
      </c>
      <c r="D965" s="2">
        <v>43864</v>
      </c>
      <c r="E965">
        <v>23.23</v>
      </c>
      <c r="F965">
        <v>-0.03</v>
      </c>
      <c r="G965">
        <v>-5.0000000000000711E-2</v>
      </c>
      <c r="H965" s="5">
        <f t="shared" si="141"/>
        <v>-1.2914334911752045E-3</v>
      </c>
      <c r="I965" s="3">
        <f t="shared" si="138"/>
        <v>-6.6603274260960323E-3</v>
      </c>
      <c r="J965" s="5">
        <f t="shared" si="142"/>
        <v>-2.1523891519587045E-3</v>
      </c>
      <c r="K965" s="3">
        <f t="shared" si="139"/>
        <v>1.3157532493384407</v>
      </c>
      <c r="L965" s="3">
        <f t="shared" si="140"/>
        <v>0.15307699942518616</v>
      </c>
    </row>
    <row r="966" spans="1:12" x14ac:dyDescent="0.25">
      <c r="A966" s="26">
        <v>23.48</v>
      </c>
      <c r="B966">
        <v>23.5</v>
      </c>
      <c r="C966">
        <v>1.98</v>
      </c>
      <c r="D966" s="2">
        <v>43861</v>
      </c>
      <c r="E966">
        <v>23.55</v>
      </c>
      <c r="F966">
        <v>-7.0000000000000007E-2</v>
      </c>
      <c r="G966">
        <v>-5.0000000000000711E-2</v>
      </c>
      <c r="H966" s="5">
        <f t="shared" si="141"/>
        <v>-2.9723991507431E-3</v>
      </c>
      <c r="I966" s="3">
        <f t="shared" si="138"/>
        <v>-0.46365587243539974</v>
      </c>
      <c r="J966" s="5">
        <f t="shared" si="142"/>
        <v>-2.1231422505308159E-3</v>
      </c>
      <c r="K966" s="3">
        <f t="shared" si="139"/>
        <v>1.343799030336291</v>
      </c>
      <c r="L966" s="3">
        <f t="shared" si="140"/>
        <v>3.8401201781729413E-2</v>
      </c>
    </row>
    <row r="967" spans="1:12" x14ac:dyDescent="0.25">
      <c r="A967" s="26">
        <v>23.74</v>
      </c>
      <c r="B967">
        <v>23.66</v>
      </c>
      <c r="C967">
        <v>2.0699999999999998</v>
      </c>
      <c r="D967" s="2">
        <v>43860</v>
      </c>
      <c r="E967">
        <v>23.72</v>
      </c>
      <c r="F967">
        <v>0.02</v>
      </c>
      <c r="G967">
        <v>-5.9999999999998721E-2</v>
      </c>
      <c r="H967" s="5">
        <f t="shared" si="141"/>
        <v>8.4317032040472182E-4</v>
      </c>
      <c r="I967" s="3">
        <f t="shared" si="138"/>
        <v>0.57806112517560693</v>
      </c>
      <c r="J967" s="5">
        <f t="shared" si="142"/>
        <v>-2.5295109612141113E-3</v>
      </c>
      <c r="K967" s="3">
        <f t="shared" si="139"/>
        <v>1.1011566365487808</v>
      </c>
      <c r="L967" s="3">
        <f t="shared" si="140"/>
        <v>0.24831977082616594</v>
      </c>
    </row>
    <row r="968" spans="1:12" x14ac:dyDescent="0.25">
      <c r="A968" s="26">
        <v>24.04</v>
      </c>
      <c r="B968">
        <v>24.24</v>
      </c>
      <c r="C968">
        <v>1.2</v>
      </c>
      <c r="D968" s="2">
        <v>43859</v>
      </c>
      <c r="E968">
        <v>24.28</v>
      </c>
      <c r="F968">
        <v>-0.24</v>
      </c>
      <c r="G968">
        <v>-4.00000000000027E-2</v>
      </c>
      <c r="H968" s="5">
        <f t="shared" si="141"/>
        <v>-9.8846787479406912E-3</v>
      </c>
      <c r="I968" s="3">
        <f t="shared" si="138"/>
        <v>-2.3499037352506482</v>
      </c>
      <c r="J968" s="5">
        <f t="shared" si="142"/>
        <v>-1.6474464579902264E-3</v>
      </c>
      <c r="K968" s="3">
        <f t="shared" si="139"/>
        <v>1.668718338979567</v>
      </c>
      <c r="L968" s="3">
        <f t="shared" si="140"/>
        <v>-1.7666349995260131</v>
      </c>
    </row>
    <row r="969" spans="1:12" x14ac:dyDescent="0.25">
      <c r="A969" s="26">
        <v>24.55</v>
      </c>
      <c r="B969">
        <v>24.38</v>
      </c>
      <c r="C969">
        <v>2.0499999999999998</v>
      </c>
      <c r="D969" s="2">
        <v>43858</v>
      </c>
      <c r="E969">
        <v>24.47</v>
      </c>
      <c r="F969">
        <v>0.08</v>
      </c>
      <c r="G969">
        <v>-8.9999999999999858E-2</v>
      </c>
      <c r="H969" s="5">
        <f t="shared" si="141"/>
        <v>3.2693093583980384E-3</v>
      </c>
      <c r="I969" s="3">
        <f t="shared" si="138"/>
        <v>1.2285033702757509</v>
      </c>
      <c r="J969" s="5">
        <f t="shared" si="142"/>
        <v>-3.6779730281977876E-3</v>
      </c>
      <c r="K969" s="3">
        <f t="shared" si="139"/>
        <v>0.39357165938623551</v>
      </c>
      <c r="L969" s="3">
        <f t="shared" si="140"/>
        <v>0.17984230610819141</v>
      </c>
    </row>
    <row r="970" spans="1:12" x14ac:dyDescent="0.25">
      <c r="A970" s="26">
        <v>24.04</v>
      </c>
      <c r="B970">
        <v>23.96</v>
      </c>
      <c r="C970">
        <v>2.0499999999999998</v>
      </c>
      <c r="D970" s="2">
        <v>43857</v>
      </c>
      <c r="E970">
        <v>24.04</v>
      </c>
      <c r="F970">
        <v>0</v>
      </c>
      <c r="G970">
        <v>-7.9999999999998295E-2</v>
      </c>
      <c r="H970" s="5">
        <f t="shared" si="141"/>
        <v>0</v>
      </c>
      <c r="I970" s="3">
        <f t="shared" si="138"/>
        <v>0.33280402233359219</v>
      </c>
      <c r="J970" s="5">
        <f t="shared" si="142"/>
        <v>-3.327787021630545E-3</v>
      </c>
      <c r="K970" s="3">
        <f t="shared" si="139"/>
        <v>0.62070383226287507</v>
      </c>
      <c r="L970" s="3">
        <f t="shared" si="140"/>
        <v>0.17470956393159739</v>
      </c>
    </row>
    <row r="971" spans="1:12" x14ac:dyDescent="0.25">
      <c r="A971" s="26">
        <v>24.48</v>
      </c>
      <c r="B971">
        <v>24.46</v>
      </c>
      <c r="C971">
        <v>1.98</v>
      </c>
      <c r="D971" s="2">
        <v>43854</v>
      </c>
      <c r="E971">
        <v>24.6</v>
      </c>
      <c r="F971">
        <v>-0.12</v>
      </c>
      <c r="G971">
        <v>-0.14000000000000057</v>
      </c>
      <c r="H971" s="5">
        <f t="shared" si="141"/>
        <v>-4.878048780487804E-3</v>
      </c>
      <c r="I971" s="3">
        <f t="shared" si="138"/>
        <v>-1.0080132160566788</v>
      </c>
      <c r="J971" s="5">
        <f t="shared" si="142"/>
        <v>-5.6910569105691287E-3</v>
      </c>
      <c r="K971" s="3">
        <f t="shared" si="139"/>
        <v>-0.88626332641248051</v>
      </c>
      <c r="L971" s="3">
        <f t="shared" si="140"/>
        <v>9.8788012523458955E-3</v>
      </c>
    </row>
    <row r="972" spans="1:12" x14ac:dyDescent="0.25">
      <c r="A972" s="26">
        <v>24.65</v>
      </c>
      <c r="B972">
        <v>24.55</v>
      </c>
      <c r="C972">
        <v>1.86</v>
      </c>
      <c r="D972" s="2">
        <v>43853</v>
      </c>
      <c r="E972">
        <v>24.62</v>
      </c>
      <c r="F972">
        <v>0.03</v>
      </c>
      <c r="G972">
        <v>-7.0000000000000284E-2</v>
      </c>
      <c r="H972" s="5">
        <f t="shared" si="141"/>
        <v>1.2185215272136473E-3</v>
      </c>
      <c r="I972" s="3">
        <f t="shared" si="138"/>
        <v>0.65955436090201713</v>
      </c>
      <c r="J972" s="5">
        <f t="shared" si="142"/>
        <v>-2.8432168968318553E-3</v>
      </c>
      <c r="K972" s="3">
        <f t="shared" si="139"/>
        <v>0.932950121309995</v>
      </c>
      <c r="L972" s="3">
        <f t="shared" si="140"/>
        <v>-0.27003084799926991</v>
      </c>
    </row>
    <row r="973" spans="1:12" x14ac:dyDescent="0.25">
      <c r="A973" s="26">
        <v>25.1</v>
      </c>
      <c r="B973">
        <v>25.1</v>
      </c>
      <c r="C973">
        <v>1.79</v>
      </c>
      <c r="D973" s="2">
        <v>43851</v>
      </c>
      <c r="E973">
        <v>25.18</v>
      </c>
      <c r="F973">
        <v>-0.08</v>
      </c>
      <c r="G973">
        <v>-7.9999999999998295E-2</v>
      </c>
      <c r="H973" s="5">
        <f t="shared" si="141"/>
        <v>-3.1771247021445594E-3</v>
      </c>
      <c r="I973" s="3">
        <f t="shared" si="138"/>
        <v>-0.5390666703214424</v>
      </c>
      <c r="J973" s="5">
        <f t="shared" si="142"/>
        <v>-3.1771247021444913E-3</v>
      </c>
      <c r="K973" s="3">
        <f t="shared" si="139"/>
        <v>0.72912299573576489</v>
      </c>
      <c r="L973" s="3">
        <f t="shared" si="140"/>
        <v>-0.43216097115259727</v>
      </c>
    </row>
    <row r="974" spans="1:12" x14ac:dyDescent="0.25">
      <c r="A974" s="26">
        <v>25.6</v>
      </c>
      <c r="B974">
        <v>25.67</v>
      </c>
      <c r="C974">
        <v>1.58</v>
      </c>
      <c r="D974" s="2">
        <v>43850</v>
      </c>
      <c r="E974">
        <v>25.74</v>
      </c>
      <c r="F974">
        <v>-0.14000000000000001</v>
      </c>
      <c r="G974">
        <v>-6.9999999999996732E-2</v>
      </c>
      <c r="H974" s="5">
        <f t="shared" si="141"/>
        <v>-5.4390054390054399E-3</v>
      </c>
      <c r="I974" s="3">
        <f t="shared" si="138"/>
        <v>-1.1406328747350045</v>
      </c>
      <c r="J974" s="5">
        <f t="shared" si="142"/>
        <v>-2.7195027195025929E-3</v>
      </c>
      <c r="K974" s="3">
        <f t="shared" si="139"/>
        <v>1.0274173799037909</v>
      </c>
      <c r="L974" s="3">
        <f t="shared" si="140"/>
        <v>-0.92044437734007345</v>
      </c>
    </row>
    <row r="975" spans="1:12" x14ac:dyDescent="0.25">
      <c r="A975" s="26">
        <v>25.01</v>
      </c>
      <c r="B975">
        <v>24.81</v>
      </c>
      <c r="C975">
        <v>2.4900000000000002</v>
      </c>
      <c r="D975" s="2">
        <v>43847</v>
      </c>
      <c r="E975">
        <v>24.91</v>
      </c>
      <c r="F975">
        <v>0.1</v>
      </c>
      <c r="G975">
        <v>-0.10000000000000142</v>
      </c>
      <c r="H975" s="5">
        <f t="shared" si="141"/>
        <v>4.0144520272982738E-3</v>
      </c>
      <c r="I975" s="3">
        <f t="shared" si="138"/>
        <v>1.4252406240158666</v>
      </c>
      <c r="J975" s="5">
        <f t="shared" si="142"/>
        <v>-4.0144520272983311E-3</v>
      </c>
      <c r="K975" s="3">
        <f t="shared" si="139"/>
        <v>0.21017749803355135</v>
      </c>
      <c r="L975" s="3">
        <f t="shared" si="140"/>
        <v>1.1693370162026464</v>
      </c>
    </row>
    <row r="976" spans="1:12" x14ac:dyDescent="0.25">
      <c r="A976" s="26">
        <v>24.85</v>
      </c>
      <c r="B976">
        <v>24.72</v>
      </c>
      <c r="C976">
        <v>2.08</v>
      </c>
      <c r="D976" s="2">
        <v>43846</v>
      </c>
      <c r="E976">
        <v>24.78</v>
      </c>
      <c r="F976">
        <v>7.0000000000000007E-2</v>
      </c>
      <c r="G976">
        <v>-6.0000000000002274E-2</v>
      </c>
      <c r="H976" s="5">
        <f t="shared" si="141"/>
        <v>2.8248587570621469E-3</v>
      </c>
      <c r="I976" s="3">
        <f t="shared" si="138"/>
        <v>1.1152093968358914</v>
      </c>
      <c r="J976" s="5">
        <f t="shared" si="142"/>
        <v>-2.4213075060533604E-3</v>
      </c>
      <c r="K976" s="3">
        <f t="shared" si="139"/>
        <v>1.2207151213451228</v>
      </c>
      <c r="L976" s="3">
        <f t="shared" si="140"/>
        <v>0.23001724950604485</v>
      </c>
    </row>
    <row r="977" spans="1:12" x14ac:dyDescent="0.25">
      <c r="A977" s="26">
        <v>24.2</v>
      </c>
      <c r="B977">
        <v>24.03</v>
      </c>
      <c r="C977">
        <v>1.76</v>
      </c>
      <c r="D977" s="2">
        <v>43845</v>
      </c>
      <c r="E977">
        <v>24.09</v>
      </c>
      <c r="F977">
        <v>0.11</v>
      </c>
      <c r="G977">
        <v>-5.9999999999998721E-2</v>
      </c>
      <c r="H977" s="5">
        <f t="shared" si="141"/>
        <v>4.5662100456621002E-3</v>
      </c>
      <c r="I977" s="3">
        <f t="shared" si="138"/>
        <v>1.6025040924940819</v>
      </c>
      <c r="J977" s="5">
        <f t="shared" si="142"/>
        <v>-2.4906600249065473E-3</v>
      </c>
      <c r="K977" s="3">
        <f t="shared" si="139"/>
        <v>1.1890966321929346</v>
      </c>
      <c r="L977" s="3">
        <f t="shared" si="140"/>
        <v>-0.51163649558226965</v>
      </c>
    </row>
    <row r="978" spans="1:12" x14ac:dyDescent="0.25">
      <c r="A978" s="26">
        <v>23.74</v>
      </c>
      <c r="B978">
        <v>23.65</v>
      </c>
      <c r="C978">
        <v>1.96</v>
      </c>
      <c r="D978" s="2">
        <v>43844</v>
      </c>
      <c r="E978">
        <v>23.77</v>
      </c>
      <c r="F978">
        <v>-0.03</v>
      </c>
      <c r="G978">
        <v>-0.12000000000000099</v>
      </c>
      <c r="H978" s="5">
        <f t="shared" si="141"/>
        <v>-1.2620950778291964E-3</v>
      </c>
      <c r="I978" s="3">
        <f t="shared" si="138"/>
        <v>2.054047580406131E-2</v>
      </c>
      <c r="J978" s="5">
        <f t="shared" si="142"/>
        <v>-5.0483803113168281E-3</v>
      </c>
      <c r="K978" s="3">
        <f t="shared" si="139"/>
        <v>-0.41631810853917772</v>
      </c>
      <c r="L978" s="3">
        <f t="shared" si="140"/>
        <v>-5.033479535177561E-2</v>
      </c>
    </row>
    <row r="979" spans="1:12" x14ac:dyDescent="0.25">
      <c r="A979" s="26">
        <v>24.03</v>
      </c>
      <c r="B979">
        <v>23.91</v>
      </c>
      <c r="C979">
        <v>2.2200000000000002</v>
      </c>
      <c r="D979" s="2">
        <v>43843</v>
      </c>
      <c r="E979">
        <v>24.14</v>
      </c>
      <c r="F979">
        <v>-0.11</v>
      </c>
      <c r="G979">
        <v>-0.23000000000000043</v>
      </c>
      <c r="H979" s="5">
        <f t="shared" si="141"/>
        <v>-4.5567522783761388E-3</v>
      </c>
      <c r="I979" s="3">
        <f t="shared" si="138"/>
        <v>-0.88080299287919328</v>
      </c>
      <c r="J979" s="5">
        <f t="shared" si="142"/>
        <v>-9.5277547638774E-3</v>
      </c>
      <c r="K979" s="3">
        <f t="shared" si="139"/>
        <v>-3.1556415832163522</v>
      </c>
      <c r="L979" s="3">
        <f t="shared" si="140"/>
        <v>0.52344893019179195</v>
      </c>
    </row>
    <row r="980" spans="1:12" x14ac:dyDescent="0.25">
      <c r="A980" s="26">
        <v>24.48</v>
      </c>
      <c r="B980">
        <v>24.47</v>
      </c>
      <c r="C980">
        <v>1.84</v>
      </c>
      <c r="D980" s="2">
        <v>43840</v>
      </c>
      <c r="E980">
        <v>24.56</v>
      </c>
      <c r="F980">
        <v>-0.08</v>
      </c>
      <c r="G980">
        <v>-8.9999999999999858E-2</v>
      </c>
      <c r="H980" s="5">
        <f t="shared" si="141"/>
        <v>-3.2573289902280132E-3</v>
      </c>
      <c r="I980" s="3">
        <f t="shared" si="138"/>
        <v>-0.53062630361859386</v>
      </c>
      <c r="J980" s="5">
        <f t="shared" si="142"/>
        <v>-3.6644951140065089E-3</v>
      </c>
      <c r="K980" s="3">
        <f t="shared" si="139"/>
        <v>0.45792720573528423</v>
      </c>
      <c r="L980" s="3">
        <f t="shared" si="140"/>
        <v>-0.33239664463007124</v>
      </c>
    </row>
    <row r="981" spans="1:12" x14ac:dyDescent="0.25">
      <c r="A981" s="26">
        <v>24.01</v>
      </c>
      <c r="B981">
        <v>24.01</v>
      </c>
      <c r="C981">
        <v>1.87</v>
      </c>
      <c r="D981" s="2">
        <v>43839</v>
      </c>
      <c r="E981">
        <v>24.07</v>
      </c>
      <c r="F981">
        <v>-0.06</v>
      </c>
      <c r="G981">
        <v>-5.9999999999998721E-2</v>
      </c>
      <c r="H981" s="5">
        <f t="shared" si="141"/>
        <v>-2.4927295388450354E-3</v>
      </c>
      <c r="I981" s="3">
        <f t="shared" si="138"/>
        <v>-0.328060579273866</v>
      </c>
      <c r="J981" s="5">
        <f t="shared" si="142"/>
        <v>-2.492729538844982E-3</v>
      </c>
      <c r="K981" s="3">
        <f t="shared" si="139"/>
        <v>1.2019972671952022</v>
      </c>
      <c r="L981" s="3">
        <f t="shared" si="140"/>
        <v>-0.27136145085240432</v>
      </c>
    </row>
    <row r="982" spans="1:12" x14ac:dyDescent="0.25">
      <c r="A982" s="26">
        <v>24.06</v>
      </c>
      <c r="B982">
        <v>24.15</v>
      </c>
      <c r="C982">
        <v>1.52</v>
      </c>
      <c r="D982" s="2">
        <v>43837</v>
      </c>
      <c r="E982">
        <v>24.23</v>
      </c>
      <c r="F982">
        <v>-0.17</v>
      </c>
      <c r="G982">
        <v>-8.0000000000001847E-2</v>
      </c>
      <c r="H982" s="5">
        <f t="shared" si="141"/>
        <v>-7.0160957490713995E-3</v>
      </c>
      <c r="I982" s="3">
        <f t="shared" si="138"/>
        <v>-1.5385755766763241</v>
      </c>
      <c r="J982" s="5">
        <f t="shared" si="142"/>
        <v>-3.3016921172101463E-3</v>
      </c>
      <c r="K982" s="3">
        <f t="shared" si="139"/>
        <v>0.69894156129659335</v>
      </c>
      <c r="L982" s="3">
        <f t="shared" si="140"/>
        <v>-1.0614898981653369</v>
      </c>
    </row>
    <row r="983" spans="1:12" x14ac:dyDescent="0.25">
      <c r="A983" s="26">
        <v>24.21</v>
      </c>
      <c r="B983">
        <v>24.05</v>
      </c>
      <c r="C983">
        <v>1.77</v>
      </c>
      <c r="D983" s="2">
        <v>43815</v>
      </c>
      <c r="E983">
        <v>24.13</v>
      </c>
      <c r="F983">
        <v>0.08</v>
      </c>
      <c r="G983">
        <v>-7.9999999999998295E-2</v>
      </c>
      <c r="H983" s="5">
        <f t="shared" si="141"/>
        <v>3.3153750518027355E-3</v>
      </c>
      <c r="I983" s="3">
        <f t="shared" si="138"/>
        <v>1.2485310321388785</v>
      </c>
      <c r="J983" s="5">
        <f t="shared" si="142"/>
        <v>-3.3153750518026648E-3</v>
      </c>
      <c r="K983" s="3">
        <f t="shared" si="139"/>
        <v>0.28474086320558656</v>
      </c>
      <c r="L983" s="3">
        <f t="shared" si="140"/>
        <v>-0.5114579680813176</v>
      </c>
    </row>
    <row r="984" spans="1:12" x14ac:dyDescent="0.25">
      <c r="A984" s="26">
        <v>25.33</v>
      </c>
      <c r="B984">
        <v>25.28</v>
      </c>
      <c r="C984">
        <v>1.7</v>
      </c>
      <c r="D984" s="2">
        <v>43812</v>
      </c>
      <c r="E984">
        <v>25.4</v>
      </c>
      <c r="F984">
        <v>-7.0000000000000007E-2</v>
      </c>
      <c r="G984">
        <v>-0.11999999999999744</v>
      </c>
      <c r="H984" s="5">
        <f t="shared" si="141"/>
        <v>-2.755905511811024E-3</v>
      </c>
      <c r="I984" s="3">
        <f t="shared" si="138"/>
        <v>-0.28307345391644451</v>
      </c>
      <c r="J984" s="5">
        <f t="shared" si="142"/>
        <v>-4.724409448818797E-3</v>
      </c>
      <c r="K984" s="3">
        <f t="shared" si="139"/>
        <v>4.8901221662337848E-3</v>
      </c>
      <c r="L984" s="3">
        <f t="shared" si="140"/>
        <v>-0.67225690337091326</v>
      </c>
    </row>
    <row r="985" spans="1:12" x14ac:dyDescent="0.25">
      <c r="A985" s="26">
        <v>24.62</v>
      </c>
      <c r="B985">
        <v>24.42</v>
      </c>
      <c r="C985">
        <v>2.27</v>
      </c>
      <c r="D985" s="2">
        <v>43811</v>
      </c>
      <c r="E985">
        <v>24.53</v>
      </c>
      <c r="F985">
        <v>0.09</v>
      </c>
      <c r="G985">
        <v>-0.10999999999999943</v>
      </c>
      <c r="H985" s="5">
        <f t="shared" si="141"/>
        <v>3.6689767631471666E-3</v>
      </c>
      <c r="I985" s="3">
        <f t="shared" si="138"/>
        <v>1.1689317874161131</v>
      </c>
      <c r="J985" s="5">
        <f t="shared" si="142"/>
        <v>-4.4843049327354025E-3</v>
      </c>
      <c r="K985" s="3">
        <f t="shared" si="139"/>
        <v>4.847034661415528E-2</v>
      </c>
      <c r="L985" s="3">
        <f t="shared" si="140"/>
        <v>0.5808667269297757</v>
      </c>
    </row>
    <row r="986" spans="1:12" x14ac:dyDescent="0.25">
      <c r="A986" s="26">
        <v>24.98</v>
      </c>
      <c r="B986">
        <v>24.96</v>
      </c>
      <c r="C986">
        <v>1.86</v>
      </c>
      <c r="D986" s="2">
        <v>43809</v>
      </c>
      <c r="E986">
        <v>25.02</v>
      </c>
      <c r="F986">
        <v>-0.04</v>
      </c>
      <c r="G986">
        <v>-5.9999999999998721E-2</v>
      </c>
      <c r="H986" s="5">
        <f t="shared" si="141"/>
        <v>-1.5987210231814548E-3</v>
      </c>
      <c r="I986" s="3">
        <f t="shared" si="138"/>
        <v>-3.0545857821864513E-2</v>
      </c>
      <c r="J986" s="5">
        <f t="shared" si="142"/>
        <v>-2.3980815347721313E-3</v>
      </c>
      <c r="K986" s="3">
        <f t="shared" si="139"/>
        <v>0.45745612862397189</v>
      </c>
      <c r="L986" s="3">
        <f t="shared" si="140"/>
        <v>-0.32731118658981739</v>
      </c>
    </row>
    <row r="987" spans="1:12" x14ac:dyDescent="0.25">
      <c r="A987" s="26">
        <v>24.4</v>
      </c>
      <c r="B987">
        <v>24.37</v>
      </c>
      <c r="C987">
        <v>1.82</v>
      </c>
      <c r="D987" s="2">
        <v>43808</v>
      </c>
      <c r="E987">
        <v>24.48</v>
      </c>
      <c r="F987">
        <v>-0.08</v>
      </c>
      <c r="G987">
        <v>-0.10999999999999943</v>
      </c>
      <c r="H987" s="5">
        <f t="shared" si="141"/>
        <v>-3.2679738562091504E-3</v>
      </c>
      <c r="I987" s="3">
        <f t="shared" si="138"/>
        <v>-0.40871042750860831</v>
      </c>
      <c r="J987" s="5">
        <f t="shared" si="142"/>
        <v>-4.4934640522875588E-3</v>
      </c>
      <c r="K987" s="3">
        <f t="shared" si="139"/>
        <v>5.436929659563184E-2</v>
      </c>
      <c r="L987" s="3">
        <f t="shared" si="140"/>
        <v>-0.42028149585538299</v>
      </c>
    </row>
    <row r="988" spans="1:12" x14ac:dyDescent="0.25">
      <c r="A988" s="26">
        <v>24.7</v>
      </c>
      <c r="B988">
        <v>24.66</v>
      </c>
      <c r="C988">
        <v>1.7</v>
      </c>
      <c r="D988" s="2">
        <v>43805</v>
      </c>
      <c r="E988">
        <v>24.8</v>
      </c>
      <c r="F988">
        <v>-0.1</v>
      </c>
      <c r="G988">
        <v>-0.14000000000000057</v>
      </c>
      <c r="H988" s="5">
        <f t="shared" si="141"/>
        <v>-4.0322580645161289E-3</v>
      </c>
      <c r="I988" s="3">
        <f t="shared" si="138"/>
        <v>-0.58700266529573319</v>
      </c>
      <c r="J988" s="5">
        <f t="shared" si="142"/>
        <v>-5.6451612903226037E-3</v>
      </c>
      <c r="K988" s="3">
        <f t="shared" si="139"/>
        <v>-0.17018408831191409</v>
      </c>
      <c r="L988" s="3">
        <f t="shared" si="140"/>
        <v>-0.68424424065727274</v>
      </c>
    </row>
    <row r="989" spans="1:12" x14ac:dyDescent="0.25">
      <c r="A989" s="26">
        <v>24.5</v>
      </c>
      <c r="B989">
        <v>24.43</v>
      </c>
      <c r="C989">
        <v>1.95</v>
      </c>
      <c r="D989" s="2">
        <v>43804</v>
      </c>
      <c r="E989">
        <v>24.51</v>
      </c>
      <c r="F989">
        <v>-0.01</v>
      </c>
      <c r="G989">
        <v>-8.0000000000001847E-2</v>
      </c>
      <c r="H989" s="5">
        <f t="shared" si="141"/>
        <v>-4.0799673602611179E-4</v>
      </c>
      <c r="I989" s="3">
        <f t="shared" si="138"/>
        <v>0.22397323128668378</v>
      </c>
      <c r="J989" s="5">
        <f t="shared" si="142"/>
        <v>-3.2639738882089694E-3</v>
      </c>
      <c r="K989" s="3">
        <f t="shared" si="139"/>
        <v>0.29374690755434296</v>
      </c>
      <c r="L989" s="3">
        <f t="shared" si="140"/>
        <v>-0.13603365228939202</v>
      </c>
    </row>
    <row r="990" spans="1:12" x14ac:dyDescent="0.25">
      <c r="A990" s="26">
        <v>24.1</v>
      </c>
      <c r="B990">
        <v>23.93</v>
      </c>
      <c r="C990">
        <v>2.0499999999999998</v>
      </c>
      <c r="D990" s="2">
        <v>43803</v>
      </c>
      <c r="E990">
        <v>24.03</v>
      </c>
      <c r="F990">
        <v>7.0000000000000007E-2</v>
      </c>
      <c r="G990">
        <v>-0.10000000000000142</v>
      </c>
      <c r="H990" s="5">
        <f t="shared" si="141"/>
        <v>2.9130253849354976E-3</v>
      </c>
      <c r="I990" s="3">
        <f t="shared" si="138"/>
        <v>0.96110311707360652</v>
      </c>
      <c r="J990" s="5">
        <f t="shared" si="142"/>
        <v>-4.1614648356221983E-3</v>
      </c>
      <c r="K990" s="3">
        <f t="shared" si="139"/>
        <v>0.1253396686881339</v>
      </c>
      <c r="L990" s="3">
        <f t="shared" si="140"/>
        <v>8.6733036097885463E-2</v>
      </c>
    </row>
    <row r="991" spans="1:12" x14ac:dyDescent="0.25">
      <c r="A991" s="26">
        <v>24.41</v>
      </c>
      <c r="B991">
        <v>24.37</v>
      </c>
      <c r="C991">
        <v>1.77</v>
      </c>
      <c r="D991" s="2">
        <v>43802</v>
      </c>
      <c r="E991">
        <v>24.48</v>
      </c>
      <c r="F991">
        <v>-7.0000000000000007E-2</v>
      </c>
      <c r="G991">
        <v>-0.10999999999999943</v>
      </c>
      <c r="H991" s="5">
        <f t="shared" si="141"/>
        <v>-2.8594771241830068E-3</v>
      </c>
      <c r="I991" s="3">
        <f t="shared" si="138"/>
        <v>-0.28896986172183237</v>
      </c>
      <c r="J991" s="5">
        <f t="shared" si="142"/>
        <v>-4.4934640522875588E-3</v>
      </c>
      <c r="K991" s="3">
        <f t="shared" si="139"/>
        <v>6.331058069729803E-2</v>
      </c>
      <c r="L991" s="3">
        <f t="shared" si="140"/>
        <v>-0.51723873165143186</v>
      </c>
    </row>
    <row r="992" spans="1:12" x14ac:dyDescent="0.25">
      <c r="A992" s="26">
        <v>24.62</v>
      </c>
      <c r="B992">
        <v>24.62</v>
      </c>
      <c r="C992">
        <v>1.57</v>
      </c>
      <c r="D992" s="2">
        <v>43801</v>
      </c>
      <c r="E992">
        <v>24.72</v>
      </c>
      <c r="F992">
        <v>-0.1</v>
      </c>
      <c r="G992">
        <v>-9.9999999999997868E-2</v>
      </c>
      <c r="H992" s="5">
        <f t="shared" si="141"/>
        <v>-4.0453074433656963E-3</v>
      </c>
      <c r="I992" s="3">
        <f t="shared" si="138"/>
        <v>-0.5300224580873335</v>
      </c>
      <c r="J992" s="5">
        <f t="shared" si="142"/>
        <v>-4.0453074433656096E-3</v>
      </c>
      <c r="K992" s="3">
        <f t="shared" si="139"/>
        <v>0.15336087995998637</v>
      </c>
      <c r="L992" s="3">
        <f t="shared" si="140"/>
        <v>-0.94644244598011451</v>
      </c>
    </row>
    <row r="993" spans="1:12" x14ac:dyDescent="0.25">
      <c r="A993" s="26">
        <v>25.03</v>
      </c>
      <c r="B993">
        <v>24.95</v>
      </c>
      <c r="C993">
        <v>1.71</v>
      </c>
      <c r="D993" s="2">
        <v>43798</v>
      </c>
      <c r="E993">
        <v>25.03</v>
      </c>
      <c r="F993">
        <v>0</v>
      </c>
      <c r="G993">
        <v>-8.0000000000001847E-2</v>
      </c>
      <c r="H993" s="5">
        <f t="shared" si="141"/>
        <v>0</v>
      </c>
      <c r="I993" s="3">
        <f t="shared" si="138"/>
        <v>0.34190023148537046</v>
      </c>
      <c r="J993" s="5">
        <f t="shared" si="142"/>
        <v>-3.1961646024771012E-3</v>
      </c>
      <c r="K993" s="3">
        <f t="shared" si="139"/>
        <v>0.31632987078962083</v>
      </c>
      <c r="L993" s="3">
        <f t="shared" si="140"/>
        <v>-0.64660547510377253</v>
      </c>
    </row>
    <row r="994" spans="1:12" x14ac:dyDescent="0.25">
      <c r="A994" s="26">
        <v>24.91</v>
      </c>
      <c r="B994">
        <v>24.95</v>
      </c>
      <c r="C994">
        <v>1.25</v>
      </c>
      <c r="D994" s="2">
        <v>43797</v>
      </c>
      <c r="E994">
        <v>25.04</v>
      </c>
      <c r="F994">
        <v>-0.13</v>
      </c>
      <c r="G994">
        <v>-8.9999999999999858E-2</v>
      </c>
      <c r="H994" s="5">
        <f t="shared" si="141"/>
        <v>-5.1916932907348249E-3</v>
      </c>
      <c r="I994" s="3">
        <f t="shared" si="138"/>
        <v>-0.77103592965773204</v>
      </c>
      <c r="J994" s="5">
        <f t="shared" si="142"/>
        <v>-3.5942492012779499E-3</v>
      </c>
      <c r="K994" s="3">
        <f t="shared" si="139"/>
        <v>0.23894715355221466</v>
      </c>
      <c r="L994" s="3">
        <f t="shared" si="140"/>
        <v>-1.6480996952533413</v>
      </c>
    </row>
    <row r="995" spans="1:12" x14ac:dyDescent="0.25">
      <c r="A995" s="26">
        <v>24.29</v>
      </c>
      <c r="B995">
        <v>24.28</v>
      </c>
      <c r="C995">
        <v>1.58</v>
      </c>
      <c r="D995" s="2">
        <v>43795</v>
      </c>
      <c r="E995">
        <v>24.41</v>
      </c>
      <c r="F995">
        <v>-0.12</v>
      </c>
      <c r="G995">
        <v>-0.12999999999999901</v>
      </c>
      <c r="H995" s="5">
        <f t="shared" si="141"/>
        <v>-4.9160180253994259E-3</v>
      </c>
      <c r="I995" s="3">
        <f t="shared" si="138"/>
        <v>-0.71502011953799882</v>
      </c>
      <c r="J995" s="5">
        <f t="shared" si="142"/>
        <v>-5.3256861941826713E-3</v>
      </c>
      <c r="K995" s="3">
        <f t="shared" si="139"/>
        <v>-0.10018155879634497</v>
      </c>
      <c r="L995" s="3">
        <f t="shared" si="140"/>
        <v>-0.94519119601147616</v>
      </c>
    </row>
    <row r="996" spans="1:12" x14ac:dyDescent="0.25">
      <c r="A996" s="26">
        <v>24.52</v>
      </c>
      <c r="B996">
        <v>24.49</v>
      </c>
      <c r="C996">
        <v>1.58</v>
      </c>
      <c r="D996" s="2">
        <v>43794</v>
      </c>
      <c r="E996">
        <v>24.61</v>
      </c>
      <c r="F996">
        <v>-0.09</v>
      </c>
      <c r="G996">
        <v>-0.12000000000000099</v>
      </c>
      <c r="H996" s="5">
        <f t="shared" si="141"/>
        <v>-3.6570499796830555E-3</v>
      </c>
      <c r="I996" s="3">
        <f t="shared" si="138"/>
        <v>-0.46173995465549394</v>
      </c>
      <c r="J996" s="5">
        <f t="shared" si="142"/>
        <v>-4.8760666395774484E-3</v>
      </c>
      <c r="K996" s="3">
        <f t="shared" si="139"/>
        <v>-1.3065965522862691E-2</v>
      </c>
      <c r="L996" s="3">
        <f t="shared" si="140"/>
        <v>-0.95299715738902235</v>
      </c>
    </row>
    <row r="997" spans="1:12" x14ac:dyDescent="0.25">
      <c r="A997" s="26">
        <v>24.32</v>
      </c>
      <c r="B997">
        <v>24.29</v>
      </c>
      <c r="C997">
        <v>1.46</v>
      </c>
      <c r="D997" s="2">
        <v>43791</v>
      </c>
      <c r="E997">
        <v>24.4</v>
      </c>
      <c r="F997">
        <v>-0.08</v>
      </c>
      <c r="G997">
        <v>-0.10999999999999943</v>
      </c>
      <c r="H997" s="5">
        <f t="shared" si="141"/>
        <v>-3.2786885245901644E-3</v>
      </c>
      <c r="I997" s="3">
        <f t="shared" si="138"/>
        <v>-0.36724187509349332</v>
      </c>
      <c r="J997" s="5">
        <f t="shared" si="142"/>
        <v>-4.5081967213114523E-3</v>
      </c>
      <c r="K997" s="3">
        <f t="shared" si="139"/>
        <v>5.0893177850628607E-2</v>
      </c>
      <c r="L997" s="3">
        <f t="shared" si="140"/>
        <v>-1.2064390733578472</v>
      </c>
    </row>
    <row r="998" spans="1:12" x14ac:dyDescent="0.25">
      <c r="A998" s="26">
        <v>23.96</v>
      </c>
      <c r="B998">
        <v>23.95</v>
      </c>
      <c r="C998">
        <v>1.51</v>
      </c>
      <c r="D998" s="2">
        <v>43790</v>
      </c>
      <c r="E998">
        <v>24.02</v>
      </c>
      <c r="F998">
        <v>-0.06</v>
      </c>
      <c r="G998">
        <v>-7.0000000000000284E-2</v>
      </c>
      <c r="H998" s="5">
        <f t="shared" si="141"/>
        <v>-2.4979184013322231E-3</v>
      </c>
      <c r="I998" s="3">
        <f t="shared" si="138"/>
        <v>-0.21345399546415075</v>
      </c>
      <c r="J998" s="5">
        <f t="shared" si="142"/>
        <v>-2.9142381348876054E-3</v>
      </c>
      <c r="K998" s="3">
        <f t="shared" si="139"/>
        <v>0.35898493662767283</v>
      </c>
      <c r="L998" s="3">
        <f t="shared" si="140"/>
        <v>-1.0985963545290307</v>
      </c>
    </row>
    <row r="999" spans="1:12" x14ac:dyDescent="0.25">
      <c r="A999" s="26">
        <v>23.34</v>
      </c>
      <c r="B999">
        <v>23.22</v>
      </c>
      <c r="C999">
        <v>1.78</v>
      </c>
      <c r="D999" s="2">
        <v>43789</v>
      </c>
      <c r="E999">
        <v>23.31</v>
      </c>
      <c r="F999">
        <v>0.03</v>
      </c>
      <c r="G999">
        <v>-8.9999999999999858E-2</v>
      </c>
      <c r="H999" s="5">
        <f t="shared" si="141"/>
        <v>1.287001287001287E-3</v>
      </c>
      <c r="I999" s="3">
        <f t="shared" si="138"/>
        <v>0.54968491089571836</v>
      </c>
      <c r="J999" s="5">
        <f t="shared" si="142"/>
        <v>-3.861003861003855E-3</v>
      </c>
      <c r="K999" s="3">
        <f t="shared" si="139"/>
        <v>0.17366916882629457</v>
      </c>
      <c r="L999" s="3">
        <f t="shared" si="140"/>
        <v>-0.52431638690449445</v>
      </c>
    </row>
    <row r="1000" spans="1:12" x14ac:dyDescent="0.25">
      <c r="A1000" s="26">
        <v>23.62</v>
      </c>
      <c r="B1000">
        <v>23.45</v>
      </c>
      <c r="C1000">
        <v>1.9</v>
      </c>
      <c r="D1000" s="2">
        <v>43788</v>
      </c>
      <c r="E1000">
        <v>23.56</v>
      </c>
      <c r="F1000">
        <v>0.06</v>
      </c>
      <c r="G1000">
        <v>-0.10999999999999943</v>
      </c>
      <c r="H1000" s="5">
        <f t="shared" si="141"/>
        <v>2.5466893039049238E-3</v>
      </c>
      <c r="I1000" s="3">
        <f t="shared" si="138"/>
        <v>0.81110816831669708</v>
      </c>
      <c r="J1000" s="5">
        <f t="shared" si="142"/>
        <v>-4.6689303904923363E-3</v>
      </c>
      <c r="K1000" s="3">
        <f t="shared" si="139"/>
        <v>2.4648247636234518E-2</v>
      </c>
      <c r="L1000" s="3">
        <f t="shared" si="140"/>
        <v>-0.27711113590308228</v>
      </c>
    </row>
    <row r="1001" spans="1:12" x14ac:dyDescent="0.25">
      <c r="A1001" s="26">
        <v>23.41</v>
      </c>
      <c r="B1001">
        <v>23.32</v>
      </c>
      <c r="C1001">
        <v>2.0699999999999998</v>
      </c>
      <c r="D1001" s="2">
        <v>43787</v>
      </c>
      <c r="E1001">
        <v>23.4</v>
      </c>
      <c r="F1001">
        <v>0.01</v>
      </c>
      <c r="G1001">
        <v>-7.9999999999998295E-2</v>
      </c>
      <c r="H1001" s="5">
        <f t="shared" si="141"/>
        <v>4.273504273504274E-4</v>
      </c>
      <c r="I1001" s="3">
        <f t="shared" si="138"/>
        <v>0.39271970257927541</v>
      </c>
      <c r="J1001" s="5">
        <f t="shared" si="142"/>
        <v>-3.4188034188033459E-3</v>
      </c>
      <c r="K1001" s="3">
        <f t="shared" si="139"/>
        <v>0.26724006005421991</v>
      </c>
      <c r="L1001" s="3">
        <f t="shared" si="140"/>
        <v>8.1124657775989623E-2</v>
      </c>
    </row>
    <row r="1002" spans="1:12" x14ac:dyDescent="0.25">
      <c r="A1002" s="26">
        <v>23.41</v>
      </c>
      <c r="B1002">
        <v>23.38</v>
      </c>
      <c r="C1002">
        <v>1.65</v>
      </c>
      <c r="D1002" s="2">
        <v>43784</v>
      </c>
      <c r="E1002">
        <v>23.48</v>
      </c>
      <c r="F1002">
        <v>-7.0000000000000007E-2</v>
      </c>
      <c r="G1002">
        <v>-0.10000000000000142</v>
      </c>
      <c r="H1002" s="5">
        <f t="shared" si="141"/>
        <v>-2.981260647359455E-3</v>
      </c>
      <c r="I1002" s="3">
        <f t="shared" si="138"/>
        <v>-0.29497954225853096</v>
      </c>
      <c r="J1002" s="5">
        <f t="shared" si="142"/>
        <v>-4.2589437819421389E-3</v>
      </c>
      <c r="K1002" s="3">
        <f t="shared" si="139"/>
        <v>0.10982468665129938</v>
      </c>
      <c r="L1002" s="3">
        <f t="shared" si="140"/>
        <v>-0.78800985621387309</v>
      </c>
    </row>
    <row r="1003" spans="1:12" x14ac:dyDescent="0.25">
      <c r="A1003" s="26">
        <v>24.28</v>
      </c>
      <c r="B1003">
        <v>24.22</v>
      </c>
      <c r="C1003">
        <v>1.95</v>
      </c>
      <c r="D1003" s="2">
        <v>43783</v>
      </c>
      <c r="E1003">
        <v>24.32</v>
      </c>
      <c r="F1003">
        <v>-0.04</v>
      </c>
      <c r="G1003">
        <v>-0.10000000000000142</v>
      </c>
      <c r="H1003" s="5">
        <f t="shared" si="141"/>
        <v>-1.6447368421052631E-3</v>
      </c>
      <c r="I1003" s="3">
        <f t="shared" si="138"/>
        <v>-3.5258729892130865E-2</v>
      </c>
      <c r="J1003" s="5">
        <f t="shared" si="142"/>
        <v>-4.1118421052632166E-3</v>
      </c>
      <c r="K1003" s="3">
        <f t="shared" si="139"/>
        <v>0.14122197508171142</v>
      </c>
      <c r="L1003" s="3">
        <f t="shared" si="140"/>
        <v>-0.19777479157489913</v>
      </c>
    </row>
    <row r="1004" spans="1:12" x14ac:dyDescent="0.25">
      <c r="A1004" s="26">
        <v>24.95</v>
      </c>
      <c r="B1004">
        <v>24.9</v>
      </c>
      <c r="C1004">
        <v>1.65</v>
      </c>
      <c r="D1004" s="2">
        <v>43781</v>
      </c>
      <c r="E1004">
        <v>25.01</v>
      </c>
      <c r="F1004">
        <v>-0.06</v>
      </c>
      <c r="G1004">
        <v>-0.11000000000000298</v>
      </c>
      <c r="H1004" s="5">
        <f t="shared" si="141"/>
        <v>-2.399040383846461E-3</v>
      </c>
      <c r="I1004" s="3">
        <f t="shared" si="138"/>
        <v>-0.18405366494155889</v>
      </c>
      <c r="J1004" s="5">
        <f t="shared" si="142"/>
        <v>-4.3982407037186314E-3</v>
      </c>
      <c r="K1004" s="3">
        <f t="shared" si="139"/>
        <v>9.1363201812013226E-2</v>
      </c>
      <c r="L1004" s="3">
        <f t="shared" si="140"/>
        <v>-0.76518337246493606</v>
      </c>
    </row>
    <row r="1005" spans="1:12" x14ac:dyDescent="0.25">
      <c r="A1005" s="26">
        <v>25.21</v>
      </c>
      <c r="B1005">
        <v>25.17</v>
      </c>
      <c r="C1005">
        <v>1.78</v>
      </c>
      <c r="D1005" s="2">
        <v>43780</v>
      </c>
      <c r="E1005">
        <v>25.23</v>
      </c>
      <c r="F1005">
        <v>-0.02</v>
      </c>
      <c r="G1005">
        <v>-5.9999999999998721E-2</v>
      </c>
      <c r="H1005" s="5">
        <f t="shared" si="141"/>
        <v>-7.9270709472849786E-4</v>
      </c>
      <c r="I1005" s="3">
        <f t="shared" si="138"/>
        <v>0.13193766327264494</v>
      </c>
      <c r="J1005" s="5">
        <f t="shared" si="142"/>
        <v>-2.3781212841854429E-3</v>
      </c>
      <c r="K1005" s="3">
        <f t="shared" si="139"/>
        <v>0.48049879835206383</v>
      </c>
      <c r="L1005" s="3">
        <f t="shared" si="140"/>
        <v>-0.52756111008404249</v>
      </c>
    </row>
    <row r="1006" spans="1:12" x14ac:dyDescent="0.25">
      <c r="A1006" s="26">
        <v>24.62</v>
      </c>
      <c r="B1006">
        <v>24.55</v>
      </c>
      <c r="C1006">
        <v>2.2200000000000002</v>
      </c>
      <c r="D1006" s="2">
        <v>43777</v>
      </c>
      <c r="E1006">
        <v>24.63</v>
      </c>
      <c r="F1006">
        <v>-0.01</v>
      </c>
      <c r="G1006">
        <v>-7.9999999999998295E-2</v>
      </c>
      <c r="H1006" s="5">
        <f t="shared" si="141"/>
        <v>-4.0600893219650837E-4</v>
      </c>
      <c r="I1006" s="3">
        <f t="shared" si="138"/>
        <v>0.20652122394970329</v>
      </c>
      <c r="J1006" s="5">
        <f t="shared" si="142"/>
        <v>-3.2480714575719976E-3</v>
      </c>
      <c r="K1006" s="3">
        <f t="shared" si="139"/>
        <v>0.32018339540730145</v>
      </c>
      <c r="L1006" s="3">
        <f t="shared" si="140"/>
        <v>0.23616921685045128</v>
      </c>
    </row>
    <row r="1007" spans="1:12" x14ac:dyDescent="0.25">
      <c r="A1007" s="26">
        <v>24.86</v>
      </c>
      <c r="B1007">
        <v>24.84</v>
      </c>
      <c r="C1007">
        <v>1.83</v>
      </c>
      <c r="D1007" s="2">
        <v>43776</v>
      </c>
      <c r="E1007">
        <v>24.91</v>
      </c>
      <c r="F1007">
        <v>-0.05</v>
      </c>
      <c r="G1007">
        <v>-7.0000000000000284E-2</v>
      </c>
      <c r="H1007" s="5">
        <f t="shared" si="141"/>
        <v>-2.0072260136491369E-3</v>
      </c>
      <c r="I1007" s="3">
        <f t="shared" si="138"/>
        <v>-0.1061932569399678</v>
      </c>
      <c r="J1007" s="5">
        <f t="shared" si="142"/>
        <v>-2.8101164191088029E-3</v>
      </c>
      <c r="K1007" s="3">
        <f t="shared" si="139"/>
        <v>0.40584377033065888</v>
      </c>
      <c r="L1007" s="3">
        <f t="shared" si="140"/>
        <v>-0.44209531492334675</v>
      </c>
    </row>
    <row r="1008" spans="1:12" x14ac:dyDescent="0.25">
      <c r="A1008" s="26">
        <v>25.1</v>
      </c>
      <c r="B1008">
        <v>25.07</v>
      </c>
      <c r="C1008">
        <v>1.74</v>
      </c>
      <c r="D1008" s="2">
        <v>43775</v>
      </c>
      <c r="E1008">
        <v>25.13</v>
      </c>
      <c r="F1008">
        <v>-0.03</v>
      </c>
      <c r="G1008">
        <v>-5.9999999999998721E-2</v>
      </c>
      <c r="H1008" s="5">
        <f t="shared" si="141"/>
        <v>-1.1937922801432551E-3</v>
      </c>
      <c r="I1008" s="3">
        <f t="shared" si="138"/>
        <v>6.5071855310398191E-2</v>
      </c>
      <c r="J1008" s="5">
        <f t="shared" si="142"/>
        <v>-2.3875845602864595E-3</v>
      </c>
      <c r="K1008" s="3">
        <f t="shared" si="139"/>
        <v>0.4918737359877271</v>
      </c>
      <c r="L1008" s="3">
        <f t="shared" si="140"/>
        <v>-0.60470664953733122</v>
      </c>
    </row>
    <row r="1009" spans="1:12" x14ac:dyDescent="0.25">
      <c r="A1009" s="26">
        <v>25.8</v>
      </c>
      <c r="B1009">
        <v>25.75</v>
      </c>
      <c r="C1009">
        <v>1.63</v>
      </c>
      <c r="D1009" s="2">
        <v>43774</v>
      </c>
      <c r="E1009">
        <v>25.83</v>
      </c>
      <c r="F1009">
        <v>-0.03</v>
      </c>
      <c r="G1009">
        <v>-7.9999999999998295E-2</v>
      </c>
      <c r="H1009" s="5">
        <f t="shared" si="141"/>
        <v>-1.1614401858304297E-3</v>
      </c>
      <c r="I1009" s="3">
        <f t="shared" si="138"/>
        <v>8.4250206171458342E-2</v>
      </c>
      <c r="J1009" s="5">
        <f t="shared" si="142"/>
        <v>-3.09717382888108E-3</v>
      </c>
      <c r="K1009" s="3">
        <f t="shared" si="139"/>
        <v>0.36267344122317441</v>
      </c>
      <c r="L1009" s="3">
        <f t="shared" si="140"/>
        <v>-0.79227446578878569</v>
      </c>
    </row>
    <row r="1010" spans="1:12" x14ac:dyDescent="0.25">
      <c r="A1010" s="26">
        <v>24.93</v>
      </c>
      <c r="B1010">
        <v>24.91</v>
      </c>
      <c r="C1010">
        <v>1.75</v>
      </c>
      <c r="D1010" s="2">
        <v>43773</v>
      </c>
      <c r="E1010">
        <v>24.95</v>
      </c>
      <c r="F1010">
        <v>-0.02</v>
      </c>
      <c r="G1010">
        <v>-3.9999999999999147E-2</v>
      </c>
      <c r="H1010" s="5">
        <f t="shared" si="141"/>
        <v>-8.0160320641282565E-4</v>
      </c>
      <c r="I1010" s="3">
        <f t="shared" si="138"/>
        <v>0.15816684990626398</v>
      </c>
      <c r="J1010" s="5">
        <f t="shared" si="142"/>
        <v>-1.6032064128256173E-3</v>
      </c>
      <c r="K1010" s="3">
        <f t="shared" si="139"/>
        <v>0.64955987557931094</v>
      </c>
      <c r="L1010" s="3">
        <f t="shared" si="140"/>
        <v>-0.58652712780733707</v>
      </c>
    </row>
    <row r="1011" spans="1:12" x14ac:dyDescent="0.25">
      <c r="A1011" s="26">
        <v>25.71</v>
      </c>
      <c r="B1011">
        <v>25.61</v>
      </c>
      <c r="C1011">
        <v>1.81</v>
      </c>
      <c r="D1011" s="2">
        <v>43770</v>
      </c>
      <c r="E1011">
        <v>25.62</v>
      </c>
      <c r="F1011">
        <v>0.09</v>
      </c>
      <c r="G1011">
        <v>-1.0000000000001563E-2</v>
      </c>
      <c r="H1011" s="5">
        <f t="shared" si="141"/>
        <v>3.5128805620608895E-3</v>
      </c>
      <c r="I1011" s="3">
        <f t="shared" si="138"/>
        <v>0.98033825861559909</v>
      </c>
      <c r="J1011" s="5">
        <f t="shared" si="142"/>
        <v>-3.9032006245127098E-4</v>
      </c>
      <c r="K1011" s="3">
        <f t="shared" si="139"/>
        <v>0.88652599079163519</v>
      </c>
      <c r="L1011" s="3">
        <f t="shared" si="140"/>
        <v>-0.48902087009504974</v>
      </c>
    </row>
    <row r="1012" spans="1:12" x14ac:dyDescent="0.25">
      <c r="A1012" s="26">
        <v>25.95</v>
      </c>
      <c r="B1012">
        <v>25.95</v>
      </c>
      <c r="C1012">
        <v>1.58</v>
      </c>
      <c r="D1012" s="2">
        <v>43769</v>
      </c>
      <c r="E1012">
        <v>26.05</v>
      </c>
      <c r="F1012">
        <v>-0.1</v>
      </c>
      <c r="G1012">
        <v>-0.10000000000000142</v>
      </c>
      <c r="H1012" s="5">
        <f t="shared" si="141"/>
        <v>-3.8387715930902114E-3</v>
      </c>
      <c r="I1012" s="3">
        <f t="shared" si="138"/>
        <v>-0.41511797095565767</v>
      </c>
      <c r="J1012" s="5">
        <f t="shared" si="142"/>
        <v>-3.8387715930902656E-3</v>
      </c>
      <c r="K1012" s="3">
        <f t="shared" si="139"/>
        <v>0.23965718413523918</v>
      </c>
      <c r="L1012" s="3">
        <f t="shared" si="140"/>
        <v>-0.85616824046089635</v>
      </c>
    </row>
    <row r="1013" spans="1:12" x14ac:dyDescent="0.25">
      <c r="A1013" s="26">
        <v>25.4</v>
      </c>
      <c r="B1013">
        <v>25.21</v>
      </c>
      <c r="C1013">
        <v>1.91</v>
      </c>
      <c r="D1013" s="2">
        <v>43767</v>
      </c>
      <c r="E1013">
        <v>25.36</v>
      </c>
      <c r="F1013">
        <v>0.04</v>
      </c>
      <c r="G1013">
        <v>-0.14999999999999858</v>
      </c>
      <c r="H1013" s="5">
        <f t="shared" si="141"/>
        <v>1.577287066246057E-3</v>
      </c>
      <c r="I1013" s="3">
        <f t="shared" si="138"/>
        <v>0.60387004077047313</v>
      </c>
      <c r="J1013" s="5">
        <f t="shared" si="142"/>
        <v>-5.9148264984226571E-3</v>
      </c>
      <c r="K1013" s="3">
        <f t="shared" si="139"/>
        <v>-0.15115968266969732</v>
      </c>
      <c r="L1013" s="3">
        <f t="shared" si="140"/>
        <v>-0.33364604151750588</v>
      </c>
    </row>
    <row r="1014" spans="1:12" x14ac:dyDescent="0.25">
      <c r="A1014" s="26">
        <v>24.68</v>
      </c>
      <c r="B1014">
        <v>24.61</v>
      </c>
      <c r="C1014">
        <v>1.56</v>
      </c>
      <c r="D1014" s="2">
        <v>43766</v>
      </c>
      <c r="E1014">
        <v>24.71</v>
      </c>
      <c r="F1014">
        <v>-0.03</v>
      </c>
      <c r="G1014">
        <v>-0.10000000000000142</v>
      </c>
      <c r="H1014" s="5">
        <f t="shared" si="141"/>
        <v>-1.2140833670578712E-3</v>
      </c>
      <c r="I1014" s="3">
        <f t="shared" si="138"/>
        <v>8.5474147908727996E-2</v>
      </c>
      <c r="J1014" s="5">
        <f t="shared" si="142"/>
        <v>-4.0469445568596281E-3</v>
      </c>
      <c r="K1014" s="3">
        <f t="shared" si="139"/>
        <v>0.20509752727629935</v>
      </c>
      <c r="L1014" s="3">
        <f t="shared" si="140"/>
        <v>-0.89154888675753041</v>
      </c>
    </row>
    <row r="1015" spans="1:12" x14ac:dyDescent="0.25">
      <c r="A1015" s="26">
        <v>24.86</v>
      </c>
      <c r="B1015">
        <v>24.91</v>
      </c>
      <c r="C1015">
        <v>1.46</v>
      </c>
      <c r="D1015" s="2">
        <v>43763</v>
      </c>
      <c r="E1015">
        <v>25.01</v>
      </c>
      <c r="F1015">
        <v>-0.15</v>
      </c>
      <c r="G1015">
        <v>-0.10000000000000142</v>
      </c>
      <c r="H1015" s="5">
        <f t="shared" si="141"/>
        <v>-5.9976009596161527E-3</v>
      </c>
      <c r="I1015" s="3">
        <f t="shared" si="138"/>
        <v>-0.81444457031198603</v>
      </c>
      <c r="J1015" s="5">
        <f t="shared" si="142"/>
        <v>-3.9984006397441587E-3</v>
      </c>
      <c r="K1015" s="3">
        <f t="shared" si="139"/>
        <v>0.21391011941376475</v>
      </c>
      <c r="L1015" s="3">
        <f t="shared" si="140"/>
        <v>-1.0530718002283517</v>
      </c>
    </row>
    <row r="1016" spans="1:12" x14ac:dyDescent="0.25">
      <c r="A1016" s="26">
        <v>24.61</v>
      </c>
      <c r="B1016">
        <v>24.55</v>
      </c>
      <c r="C1016">
        <v>1.54</v>
      </c>
      <c r="D1016" s="2">
        <v>43762</v>
      </c>
      <c r="E1016">
        <v>24.65</v>
      </c>
      <c r="F1016">
        <v>-0.04</v>
      </c>
      <c r="G1016">
        <v>-9.9999999999997868E-2</v>
      </c>
      <c r="H1016" s="5">
        <f t="shared" si="141"/>
        <v>-1.6227180527383369E-3</v>
      </c>
      <c r="I1016" s="3">
        <f t="shared" si="138"/>
        <v>-1.4691296903046568E-3</v>
      </c>
      <c r="J1016" s="5">
        <f t="shared" si="142"/>
        <v>-4.0567951318457559E-3</v>
      </c>
      <c r="K1016" s="3">
        <f t="shared" si="139"/>
        <v>0.20766488845336714</v>
      </c>
      <c r="L1016" s="3">
        <f t="shared" si="140"/>
        <v>-0.93445397627643945</v>
      </c>
    </row>
    <row r="1017" spans="1:12" x14ac:dyDescent="0.25">
      <c r="A1017" s="26">
        <v>25.09</v>
      </c>
      <c r="B1017">
        <v>25.01</v>
      </c>
      <c r="C1017">
        <v>1.63</v>
      </c>
      <c r="D1017" s="2">
        <v>43761</v>
      </c>
      <c r="E1017">
        <v>25.08</v>
      </c>
      <c r="F1017">
        <v>0.01</v>
      </c>
      <c r="G1017">
        <v>-6.9999999999996732E-2</v>
      </c>
      <c r="H1017" s="5">
        <f t="shared" si="141"/>
        <v>3.9872408293460931E-4</v>
      </c>
      <c r="I1017" s="3">
        <f t="shared" si="138"/>
        <v>0.37035023312315163</v>
      </c>
      <c r="J1017" s="5">
        <f t="shared" si="142"/>
        <v>-2.7910685805421346E-3</v>
      </c>
      <c r="K1017" s="3">
        <f t="shared" si="139"/>
        <v>0.44927052848931759</v>
      </c>
      <c r="L1017" s="3">
        <f t="shared" si="140"/>
        <v>-0.79879209951486574</v>
      </c>
    </row>
    <row r="1018" spans="1:12" x14ac:dyDescent="0.25">
      <c r="A1018" s="26">
        <v>25.7</v>
      </c>
      <c r="B1018">
        <v>25.57</v>
      </c>
      <c r="C1018">
        <v>2.2999999999999998</v>
      </c>
      <c r="D1018" s="2">
        <v>43760</v>
      </c>
      <c r="E1018">
        <v>25.67</v>
      </c>
      <c r="F1018">
        <v>0.03</v>
      </c>
      <c r="G1018">
        <v>-0.10000000000000142</v>
      </c>
      <c r="H1018" s="5">
        <f t="shared" si="141"/>
        <v>1.1686793922867159E-3</v>
      </c>
      <c r="I1018" s="3">
        <f t="shared" si="138"/>
        <v>0.51206767530189501</v>
      </c>
      <c r="J1018" s="5">
        <f t="shared" si="142"/>
        <v>-3.8955979742891084E-3</v>
      </c>
      <c r="K1018" s="3">
        <f t="shared" si="139"/>
        <v>0.24380003307567508</v>
      </c>
      <c r="L1018" s="3">
        <f t="shared" si="140"/>
        <v>0.26497314922123916</v>
      </c>
    </row>
    <row r="1019" spans="1:12" x14ac:dyDescent="0.25">
      <c r="A1019" s="26">
        <v>25.9</v>
      </c>
      <c r="B1019">
        <v>25.92</v>
      </c>
      <c r="C1019">
        <v>1.41</v>
      </c>
      <c r="D1019" s="2">
        <v>43759</v>
      </c>
      <c r="E1019">
        <v>26.03</v>
      </c>
      <c r="F1019">
        <v>-0.13</v>
      </c>
      <c r="G1019">
        <v>-0.10999999999999943</v>
      </c>
      <c r="H1019" s="5">
        <f t="shared" si="141"/>
        <v>-4.9942374183634267E-3</v>
      </c>
      <c r="I1019" s="3">
        <f t="shared" si="138"/>
        <v>-0.63423048593826648</v>
      </c>
      <c r="J1019" s="5">
        <f t="shared" si="142"/>
        <v>-4.2258932001536468E-3</v>
      </c>
      <c r="K1019" s="3">
        <f t="shared" si="139"/>
        <v>0.18448067394604303</v>
      </c>
      <c r="L1019" s="3">
        <f t="shared" si="140"/>
        <v>-1.1590655034166266</v>
      </c>
    </row>
    <row r="1020" spans="1:12" x14ac:dyDescent="0.25">
      <c r="A1020" s="26">
        <v>25.64</v>
      </c>
      <c r="B1020">
        <v>25.66</v>
      </c>
      <c r="C1020">
        <v>1.53</v>
      </c>
      <c r="D1020" s="2">
        <v>43756</v>
      </c>
      <c r="E1020">
        <v>25.75</v>
      </c>
      <c r="F1020">
        <v>-0.11</v>
      </c>
      <c r="G1020">
        <v>-8.9999999999999858E-2</v>
      </c>
      <c r="H1020" s="5">
        <f t="shared" si="141"/>
        <v>-4.2718446601941748E-3</v>
      </c>
      <c r="I1020" s="3">
        <f t="shared" si="138"/>
        <v>-0.50401024984712783</v>
      </c>
      <c r="J1020" s="5">
        <f t="shared" si="142"/>
        <v>-3.4951456310679556E-3</v>
      </c>
      <c r="K1020" s="3">
        <f t="shared" si="139"/>
        <v>0.32395098001980677</v>
      </c>
      <c r="L1020" s="3">
        <f t="shared" si="140"/>
        <v>-0.97469469511696705</v>
      </c>
    </row>
    <row r="1021" spans="1:12" x14ac:dyDescent="0.25">
      <c r="A1021" s="26">
        <v>25.96</v>
      </c>
      <c r="B1021">
        <v>25.75</v>
      </c>
      <c r="C1021">
        <v>2.38</v>
      </c>
      <c r="D1021" s="2">
        <v>43755</v>
      </c>
      <c r="E1021">
        <v>25.9</v>
      </c>
      <c r="F1021">
        <v>0.06</v>
      </c>
      <c r="G1021">
        <v>-0.14999999999999858</v>
      </c>
      <c r="H1021" s="5">
        <f t="shared" si="141"/>
        <v>2.3166023166023165E-3</v>
      </c>
      <c r="I1021" s="3">
        <f t="shared" si="138"/>
        <v>0.72719301610141829</v>
      </c>
      <c r="J1021" s="5">
        <f t="shared" si="142"/>
        <v>-5.7915057915057366E-3</v>
      </c>
      <c r="K1021" s="3">
        <f t="shared" si="139"/>
        <v>-0.10702294264927255</v>
      </c>
      <c r="L1021" s="3">
        <f t="shared" si="140"/>
        <v>0.3837315499569296</v>
      </c>
    </row>
    <row r="1022" spans="1:12" x14ac:dyDescent="0.25">
      <c r="A1022" s="26">
        <v>24.48</v>
      </c>
      <c r="B1022">
        <v>24.45</v>
      </c>
      <c r="C1022">
        <v>1.64</v>
      </c>
      <c r="D1022" s="2">
        <v>43753</v>
      </c>
      <c r="E1022">
        <v>24.53</v>
      </c>
      <c r="F1022">
        <v>-0.05</v>
      </c>
      <c r="G1022">
        <v>-8.0000000000001847E-2</v>
      </c>
      <c r="H1022" s="5">
        <f t="shared" si="141"/>
        <v>-2.0383204239706482E-3</v>
      </c>
      <c r="I1022" s="3">
        <f t="shared" si="138"/>
        <v>-6.8729805802938387E-2</v>
      </c>
      <c r="J1022" s="5">
        <f t="shared" si="142"/>
        <v>-3.2613126783531121E-3</v>
      </c>
      <c r="K1022" s="3">
        <f t="shared" si="139"/>
        <v>0.37608963161893783</v>
      </c>
      <c r="L1022" s="3">
        <f t="shared" si="140"/>
        <v>-0.79960223581074685</v>
      </c>
    </row>
    <row r="1023" spans="1:12" x14ac:dyDescent="0.25">
      <c r="A1023" s="26">
        <v>23.82</v>
      </c>
      <c r="B1023">
        <v>23.75</v>
      </c>
      <c r="C1023">
        <v>1.8</v>
      </c>
      <c r="D1023" s="2">
        <v>43752</v>
      </c>
      <c r="E1023">
        <v>23.83</v>
      </c>
      <c r="F1023">
        <v>-0.01</v>
      </c>
      <c r="G1023">
        <v>-7.9999999999998295E-2</v>
      </c>
      <c r="H1023" s="5">
        <f t="shared" si="141"/>
        <v>-4.1963911036508607E-4</v>
      </c>
      <c r="I1023" s="3">
        <f t="shared" si="138"/>
        <v>0.23203243343070726</v>
      </c>
      <c r="J1023" s="5">
        <f t="shared" si="142"/>
        <v>-3.357112882920617E-3</v>
      </c>
      <c r="K1023" s="3">
        <f t="shared" si="139"/>
        <v>0.36277861910790749</v>
      </c>
      <c r="L1023" s="3">
        <f t="shared" si="140"/>
        <v>-0.54510761551203402</v>
      </c>
    </row>
    <row r="1024" spans="1:12" x14ac:dyDescent="0.25">
      <c r="A1024" s="26">
        <v>23.62</v>
      </c>
      <c r="B1024">
        <v>23.59</v>
      </c>
      <c r="C1024">
        <v>1.59</v>
      </c>
      <c r="D1024" s="2">
        <v>43749</v>
      </c>
      <c r="E1024">
        <v>23.66</v>
      </c>
      <c r="F1024">
        <v>-0.04</v>
      </c>
      <c r="G1024">
        <v>-7.0000000000000284E-2</v>
      </c>
      <c r="H1024" s="5">
        <f t="shared" si="141"/>
        <v>-1.69061707523246E-3</v>
      </c>
      <c r="I1024" s="3">
        <f t="shared" si="138"/>
        <v>6.7239887887023413E-4</v>
      </c>
      <c r="J1024" s="5">
        <f t="shared" si="142"/>
        <v>-2.9585798816568168E-3</v>
      </c>
      <c r="K1024" s="3">
        <f t="shared" si="139"/>
        <v>0.43976990282637918</v>
      </c>
      <c r="L1024" s="3">
        <f t="shared" si="140"/>
        <v>-0.88244946744725139</v>
      </c>
    </row>
    <row r="1025" spans="1:12" x14ac:dyDescent="0.25">
      <c r="A1025" s="26">
        <v>22.83</v>
      </c>
      <c r="B1025">
        <v>22.71</v>
      </c>
      <c r="C1025">
        <v>2.0699999999999998</v>
      </c>
      <c r="D1025" s="2">
        <v>43748</v>
      </c>
      <c r="E1025">
        <v>22.82</v>
      </c>
      <c r="F1025">
        <v>0.01</v>
      </c>
      <c r="G1025">
        <v>-0.10999999999999943</v>
      </c>
      <c r="H1025" s="5">
        <f t="shared" si="141"/>
        <v>4.3821209465381246E-4</v>
      </c>
      <c r="I1025" s="3">
        <f t="shared" si="138"/>
        <v>0.39382224629949691</v>
      </c>
      <c r="J1025" s="5">
        <f t="shared" si="142"/>
        <v>-4.8203330411919123E-3</v>
      </c>
      <c r="K1025" s="3">
        <f t="shared" si="139"/>
        <v>9.2151288458342542E-2</v>
      </c>
      <c r="L1025" s="3">
        <f t="shared" si="140"/>
        <v>-0.11272782767237724</v>
      </c>
    </row>
    <row r="1026" spans="1:12" x14ac:dyDescent="0.25">
      <c r="A1026" s="26">
        <v>22.16</v>
      </c>
      <c r="B1026">
        <v>22</v>
      </c>
      <c r="C1026">
        <v>1.74</v>
      </c>
      <c r="D1026" s="2">
        <v>43747</v>
      </c>
      <c r="E1026">
        <v>22.07</v>
      </c>
      <c r="F1026">
        <v>0.09</v>
      </c>
      <c r="G1026">
        <v>-7.0000000000000284E-2</v>
      </c>
      <c r="H1026" s="5">
        <f t="shared" si="141"/>
        <v>4.0779338468509285E-3</v>
      </c>
      <c r="I1026" s="3">
        <f t="shared" si="138"/>
        <v>1.0641315548798158</v>
      </c>
      <c r="J1026" s="5">
        <f t="shared" si="142"/>
        <v>-3.171726325328513E-3</v>
      </c>
      <c r="K1026" s="3">
        <f t="shared" si="139"/>
        <v>0.40537534562008043</v>
      </c>
      <c r="L1026" s="3">
        <f t="shared" si="140"/>
        <v>-0.64616763735022587</v>
      </c>
    </row>
    <row r="1027" spans="1:12" x14ac:dyDescent="0.25">
      <c r="A1027" s="26">
        <v>23.37</v>
      </c>
      <c r="B1027">
        <v>23.24</v>
      </c>
      <c r="C1027">
        <v>2.0499999999999998</v>
      </c>
      <c r="D1027" s="2">
        <v>43746</v>
      </c>
      <c r="E1027">
        <v>23.34</v>
      </c>
      <c r="F1027">
        <v>0.03</v>
      </c>
      <c r="G1027">
        <v>-0.10000000000000142</v>
      </c>
      <c r="H1027" s="5">
        <f t="shared" si="141"/>
        <v>1.2853470437017994E-3</v>
      </c>
      <c r="I1027" s="3">
        <f t="shared" ref="I1027:I1090" si="143">IFERROR((H1027-AVERAGEA(H1027:H1243))/_xlfn.STDEV.S(H1027:H1243), " ")</f>
        <v>0.54968768829836001</v>
      </c>
      <c r="J1027" s="5">
        <f t="shared" si="142"/>
        <v>-4.2844901456727258E-3</v>
      </c>
      <c r="K1027" s="3">
        <f t="shared" ref="K1027:K1090" si="144">IFERROR((J1027-AVERAGEA(J1027:J1243))/_xlfn.STDEV.S(J1027:J1243), " ")</f>
        <v>0.20275917316070008</v>
      </c>
      <c r="L1027" s="3">
        <f t="shared" ref="L1027:L1090" si="145">(C1027-AVERAGEA(C1027:C1243))/_xlfn.STDEV.S(C1027:C1243)</f>
        <v>-0.16559033634326445</v>
      </c>
    </row>
    <row r="1028" spans="1:12" x14ac:dyDescent="0.25">
      <c r="A1028" s="26">
        <v>22.77</v>
      </c>
      <c r="B1028">
        <v>22.75</v>
      </c>
      <c r="C1028">
        <v>1.74</v>
      </c>
      <c r="D1028" s="2">
        <v>43745</v>
      </c>
      <c r="E1028">
        <v>22.84</v>
      </c>
      <c r="F1028">
        <v>-7.0000000000000007E-2</v>
      </c>
      <c r="G1028">
        <v>-8.9999999999999858E-2</v>
      </c>
      <c r="H1028" s="5">
        <f t="shared" ref="H1028:H1091" si="146">IFERROR(F1028/E1028,"")</f>
        <v>-3.0647985989492124E-3</v>
      </c>
      <c r="I1028" s="3">
        <f t="shared" si="143"/>
        <v>-0.21852391716478023</v>
      </c>
      <c r="J1028" s="5">
        <f t="shared" ref="J1028:J1091" si="147">IFERROR(G1028/E1028,"")</f>
        <v>-3.9404553415061236E-3</v>
      </c>
      <c r="K1028" s="3">
        <f t="shared" si="144"/>
        <v>0.27345328806859398</v>
      </c>
      <c r="L1028" s="3">
        <f t="shared" si="145"/>
        <v>-0.65625218330485791</v>
      </c>
    </row>
    <row r="1029" spans="1:12" x14ac:dyDescent="0.25">
      <c r="A1029" s="26">
        <v>23.41</v>
      </c>
      <c r="B1029">
        <v>23.37</v>
      </c>
      <c r="C1029">
        <v>1.47</v>
      </c>
      <c r="D1029" s="2">
        <v>43742</v>
      </c>
      <c r="E1029">
        <v>23.48</v>
      </c>
      <c r="F1029">
        <v>-7.0000000000000007E-2</v>
      </c>
      <c r="G1029">
        <v>-0.10999999999999943</v>
      </c>
      <c r="H1029" s="5">
        <f t="shared" si="146"/>
        <v>-2.981260647359455E-3</v>
      </c>
      <c r="I1029" s="3">
        <f t="shared" si="143"/>
        <v>-0.19759239024427364</v>
      </c>
      <c r="J1029" s="5">
        <f t="shared" si="147"/>
        <v>-4.6848381601362621E-3</v>
      </c>
      <c r="K1029" s="3">
        <f t="shared" si="144"/>
        <v>0.13624563151776137</v>
      </c>
      <c r="L1029" s="3">
        <f t="shared" si="145"/>
        <v>-1.0805159145363961</v>
      </c>
    </row>
    <row r="1030" spans="1:12" x14ac:dyDescent="0.25">
      <c r="A1030" s="26">
        <v>24.03</v>
      </c>
      <c r="B1030">
        <v>23.81</v>
      </c>
      <c r="C1030">
        <v>2.46</v>
      </c>
      <c r="D1030" s="2">
        <v>43741</v>
      </c>
      <c r="E1030">
        <v>24.06</v>
      </c>
      <c r="F1030">
        <v>-0.03</v>
      </c>
      <c r="G1030">
        <v>-0.25</v>
      </c>
      <c r="H1030" s="5">
        <f t="shared" si="146"/>
        <v>-1.2468827930174563E-3</v>
      </c>
      <c r="I1030" s="3">
        <f t="shared" si="143"/>
        <v>0.10107946904561965</v>
      </c>
      <c r="J1030" s="5">
        <f t="shared" si="147"/>
        <v>-1.0390689941812137E-2</v>
      </c>
      <c r="K1030" s="3">
        <f t="shared" si="144"/>
        <v>-0.9329697345082788</v>
      </c>
      <c r="L1030" s="3">
        <f t="shared" si="145"/>
        <v>0.42977780838930313</v>
      </c>
    </row>
    <row r="1031" spans="1:12" x14ac:dyDescent="0.25">
      <c r="A1031" s="26">
        <v>24.4</v>
      </c>
      <c r="B1031">
        <v>24.42</v>
      </c>
      <c r="C1031">
        <v>1.45</v>
      </c>
      <c r="D1031" s="2">
        <v>43739</v>
      </c>
      <c r="E1031">
        <v>24.5</v>
      </c>
      <c r="F1031">
        <v>-0.1</v>
      </c>
      <c r="G1031">
        <v>-7.9999999999998295E-2</v>
      </c>
      <c r="H1031" s="5">
        <f t="shared" si="146"/>
        <v>-4.0816326530612249E-3</v>
      </c>
      <c r="I1031" s="3">
        <f t="shared" si="143"/>
        <v>-0.40257660725184974</v>
      </c>
      <c r="J1031" s="5">
        <f t="shared" si="147"/>
        <v>-3.2653061224489099E-3</v>
      </c>
      <c r="K1031" s="3">
        <f t="shared" si="144"/>
        <v>0.39260340948140315</v>
      </c>
      <c r="L1031" s="3">
        <f t="shared" si="145"/>
        <v>-1.1172082261808514</v>
      </c>
    </row>
    <row r="1032" spans="1:12" x14ac:dyDescent="0.25">
      <c r="A1032" s="26">
        <v>25.03</v>
      </c>
      <c r="B1032">
        <v>25.02</v>
      </c>
      <c r="C1032">
        <v>1.57</v>
      </c>
      <c r="D1032" s="2">
        <v>43738</v>
      </c>
      <c r="E1032">
        <v>25.12</v>
      </c>
      <c r="F1032">
        <v>-0.09</v>
      </c>
      <c r="G1032">
        <v>-0.10000000000000142</v>
      </c>
      <c r="H1032" s="5">
        <f t="shared" si="146"/>
        <v>-3.5828025477707003E-3</v>
      </c>
      <c r="I1032" s="3">
        <f t="shared" si="143"/>
        <v>-0.31432285708204466</v>
      </c>
      <c r="J1032" s="5">
        <f t="shared" si="147"/>
        <v>-3.9808917197452793E-3</v>
      </c>
      <c r="K1032" s="3">
        <f t="shared" si="144"/>
        <v>0.26007965047438047</v>
      </c>
      <c r="L1032" s="3">
        <f t="shared" si="145"/>
        <v>-0.93715671447286342</v>
      </c>
    </row>
    <row r="1033" spans="1:12" x14ac:dyDescent="0.25">
      <c r="A1033" s="26">
        <v>25.3</v>
      </c>
      <c r="B1033">
        <v>25.25</v>
      </c>
      <c r="C1033">
        <v>1.69</v>
      </c>
      <c r="D1033" s="2">
        <v>43735</v>
      </c>
      <c r="E1033">
        <v>25.38</v>
      </c>
      <c r="F1033">
        <v>-0.08</v>
      </c>
      <c r="G1033">
        <v>-0.12999999999999901</v>
      </c>
      <c r="H1033" s="5">
        <f t="shared" si="146"/>
        <v>-3.1520882584712374E-3</v>
      </c>
      <c r="I1033" s="3">
        <f t="shared" si="143"/>
        <v>-0.24678485634416092</v>
      </c>
      <c r="J1033" s="5">
        <f t="shared" si="147"/>
        <v>-5.1221434200157219E-3</v>
      </c>
      <c r="K1033" s="3">
        <f t="shared" si="144"/>
        <v>4.6427071706752816E-2</v>
      </c>
      <c r="L1033" s="3">
        <f t="shared" si="145"/>
        <v>-0.76164512585118427</v>
      </c>
    </row>
    <row r="1034" spans="1:12" x14ac:dyDescent="0.25">
      <c r="A1034" s="26">
        <v>25.21</v>
      </c>
      <c r="B1034">
        <v>25.13</v>
      </c>
      <c r="C1034">
        <v>1.73</v>
      </c>
      <c r="D1034" s="2">
        <v>43734</v>
      </c>
      <c r="E1034">
        <v>25.21</v>
      </c>
      <c r="F1034">
        <v>0</v>
      </c>
      <c r="G1034">
        <v>-8.0000000000001847E-2</v>
      </c>
      <c r="H1034" s="5">
        <f t="shared" si="146"/>
        <v>0</v>
      </c>
      <c r="I1034" s="3">
        <f t="shared" si="143"/>
        <v>0.29648598715625019</v>
      </c>
      <c r="J1034" s="5">
        <f t="shared" si="147"/>
        <v>-3.1733439111464438E-3</v>
      </c>
      <c r="K1034" s="3">
        <f t="shared" si="144"/>
        <v>0.41155856140045199</v>
      </c>
      <c r="L1034" s="3">
        <f t="shared" si="145"/>
        <v>-0.70627402423718166</v>
      </c>
    </row>
    <row r="1035" spans="1:12" x14ac:dyDescent="0.25">
      <c r="A1035" s="26">
        <v>25.17</v>
      </c>
      <c r="B1035">
        <v>25.07</v>
      </c>
      <c r="C1035">
        <v>1.65</v>
      </c>
      <c r="D1035" s="2">
        <v>43733</v>
      </c>
      <c r="E1035">
        <v>25.18</v>
      </c>
      <c r="F1035">
        <v>-0.01</v>
      </c>
      <c r="G1035">
        <v>-0.10999999999999943</v>
      </c>
      <c r="H1035" s="5">
        <f t="shared" si="146"/>
        <v>-3.9714058776806993E-4</v>
      </c>
      <c r="I1035" s="3">
        <f t="shared" si="143"/>
        <v>0.23353799391360749</v>
      </c>
      <c r="J1035" s="5">
        <f t="shared" si="147"/>
        <v>-4.3685464654487464E-3</v>
      </c>
      <c r="K1035" s="3">
        <f t="shared" si="144"/>
        <v>0.18840772450743151</v>
      </c>
      <c r="L1035" s="3">
        <f t="shared" si="145"/>
        <v>-0.82498922624809601</v>
      </c>
    </row>
    <row r="1036" spans="1:12" x14ac:dyDescent="0.25">
      <c r="A1036" s="26">
        <v>25.59</v>
      </c>
      <c r="B1036">
        <v>25.55</v>
      </c>
      <c r="C1036">
        <v>1.78</v>
      </c>
      <c r="D1036" s="2">
        <v>43732</v>
      </c>
      <c r="E1036">
        <v>25.64</v>
      </c>
      <c r="F1036">
        <v>-0.05</v>
      </c>
      <c r="G1036">
        <v>-8.9999999999999858E-2</v>
      </c>
      <c r="H1036" s="5">
        <f t="shared" si="146"/>
        <v>-1.9500780031201249E-3</v>
      </c>
      <c r="I1036" s="3">
        <f t="shared" si="143"/>
        <v>-2.9759277627296236E-2</v>
      </c>
      <c r="J1036" s="5">
        <f t="shared" si="147"/>
        <v>-3.5101404056162191E-3</v>
      </c>
      <c r="K1036" s="3">
        <f t="shared" si="144"/>
        <v>0.34990757009741907</v>
      </c>
      <c r="L1036" s="3">
        <f t="shared" si="145"/>
        <v>-0.63896539597823554</v>
      </c>
    </row>
    <row r="1037" spans="1:12" x14ac:dyDescent="0.25">
      <c r="A1037" s="26">
        <v>25.93</v>
      </c>
      <c r="B1037">
        <v>25.92</v>
      </c>
      <c r="C1037">
        <v>1.65</v>
      </c>
      <c r="D1037" s="2">
        <v>43731</v>
      </c>
      <c r="E1037">
        <v>26.02</v>
      </c>
      <c r="F1037">
        <v>-0.09</v>
      </c>
      <c r="G1037">
        <v>-9.9999999999997868E-2</v>
      </c>
      <c r="H1037" s="5">
        <f t="shared" si="146"/>
        <v>-3.4588777863182167E-3</v>
      </c>
      <c r="I1037" s="3">
        <f t="shared" si="143"/>
        <v>-0.2879367539529295</v>
      </c>
      <c r="J1037" s="5">
        <f t="shared" si="147"/>
        <v>-3.8431975403534924E-3</v>
      </c>
      <c r="K1037" s="3">
        <f t="shared" si="144"/>
        <v>0.28864360483036988</v>
      </c>
      <c r="L1037" s="3">
        <f t="shared" si="145"/>
        <v>-0.83816824720933236</v>
      </c>
    </row>
    <row r="1038" spans="1:12" x14ac:dyDescent="0.25">
      <c r="A1038" s="26">
        <v>26.17</v>
      </c>
      <c r="B1038">
        <v>26.18</v>
      </c>
      <c r="C1038">
        <v>1.38</v>
      </c>
      <c r="D1038" s="2">
        <v>43728</v>
      </c>
      <c r="E1038">
        <v>26.28</v>
      </c>
      <c r="F1038">
        <v>-0.11</v>
      </c>
      <c r="G1038">
        <v>-0.10000000000000142</v>
      </c>
      <c r="H1038" s="5">
        <f t="shared" si="146"/>
        <v>-4.1856925418569252E-3</v>
      </c>
      <c r="I1038" s="3">
        <f t="shared" si="143"/>
        <v>-0.41981043293827613</v>
      </c>
      <c r="J1038" s="5">
        <f t="shared" si="147"/>
        <v>-3.8051750380518044E-3</v>
      </c>
      <c r="K1038" s="3">
        <f t="shared" si="144"/>
        <v>0.29709436914816756</v>
      </c>
      <c r="L1038" s="3">
        <f t="shared" si="145"/>
        <v>-1.2433128999606815</v>
      </c>
    </row>
    <row r="1039" spans="1:12" x14ac:dyDescent="0.25">
      <c r="A1039" s="26">
        <v>25.56</v>
      </c>
      <c r="B1039">
        <v>25.42</v>
      </c>
      <c r="C1039">
        <v>2.16</v>
      </c>
      <c r="D1039" s="2">
        <v>43727</v>
      </c>
      <c r="E1039">
        <v>25.6</v>
      </c>
      <c r="F1039">
        <v>-0.04</v>
      </c>
      <c r="G1039">
        <v>-0.17999999999999972</v>
      </c>
      <c r="H1039" s="5">
        <f t="shared" si="146"/>
        <v>-1.5624999999999999E-3</v>
      </c>
      <c r="I1039" s="3">
        <f t="shared" si="143"/>
        <v>3.1691124581400998E-2</v>
      </c>
      <c r="J1039" s="5">
        <f t="shared" si="147"/>
        <v>-7.0312499999999889E-3</v>
      </c>
      <c r="K1039" s="3">
        <f t="shared" si="144"/>
        <v>-0.30639333830611942</v>
      </c>
      <c r="L1039" s="3">
        <f t="shared" si="145"/>
        <v>-9.809605913921618E-2</v>
      </c>
    </row>
    <row r="1040" spans="1:12" x14ac:dyDescent="0.25">
      <c r="A1040" s="26">
        <v>26.75</v>
      </c>
      <c r="B1040">
        <v>26.56</v>
      </c>
      <c r="C1040">
        <v>2.1</v>
      </c>
      <c r="D1040" s="2">
        <v>43725</v>
      </c>
      <c r="E1040">
        <v>26.65</v>
      </c>
      <c r="F1040">
        <v>0.1</v>
      </c>
      <c r="G1040">
        <v>-8.9999999999999858E-2</v>
      </c>
      <c r="H1040" s="5">
        <f t="shared" si="146"/>
        <v>3.7523452157598503E-3</v>
      </c>
      <c r="I1040" s="3">
        <f t="shared" si="143"/>
        <v>0.93980068468903655</v>
      </c>
      <c r="J1040" s="5">
        <f t="shared" si="147"/>
        <v>-3.3771106941838597E-3</v>
      </c>
      <c r="K1040" s="3">
        <f t="shared" si="144"/>
        <v>0.37716896317605164</v>
      </c>
      <c r="L1040" s="3">
        <f t="shared" si="145"/>
        <v>-0.19325473780442534</v>
      </c>
    </row>
    <row r="1041" spans="1:12" x14ac:dyDescent="0.25">
      <c r="A1041" s="26">
        <v>26.58</v>
      </c>
      <c r="B1041">
        <v>26.51</v>
      </c>
      <c r="C1041">
        <v>1.68</v>
      </c>
      <c r="D1041" s="2">
        <v>43724</v>
      </c>
      <c r="E1041">
        <v>26.67</v>
      </c>
      <c r="F1041">
        <v>-0.09</v>
      </c>
      <c r="G1041">
        <v>-0.16000000000000014</v>
      </c>
      <c r="H1041" s="5">
        <f t="shared" si="146"/>
        <v>-3.3745781777277835E-3</v>
      </c>
      <c r="I1041" s="3">
        <f t="shared" si="143"/>
        <v>-0.28106401537493181</v>
      </c>
      <c r="J1041" s="5">
        <f t="shared" si="147"/>
        <v>-5.9992500937382873E-3</v>
      </c>
      <c r="K1041" s="3">
        <f t="shared" si="144"/>
        <v>-0.11593482118408653</v>
      </c>
      <c r="L1041" s="3">
        <f t="shared" si="145"/>
        <v>-0.81590331096359214</v>
      </c>
    </row>
    <row r="1042" spans="1:12" x14ac:dyDescent="0.25">
      <c r="A1042" s="26">
        <v>26.22</v>
      </c>
      <c r="B1042">
        <v>26.11</v>
      </c>
      <c r="C1042">
        <v>1.8</v>
      </c>
      <c r="D1042" s="2">
        <v>43721</v>
      </c>
      <c r="G1042">
        <v>26.11</v>
      </c>
      <c r="H1042" s="5" t="str">
        <f t="shared" si="146"/>
        <v/>
      </c>
      <c r="I1042" s="3" t="str">
        <f t="shared" si="143"/>
        <v xml:space="preserve"> </v>
      </c>
      <c r="J1042" s="5" t="str">
        <f t="shared" si="147"/>
        <v/>
      </c>
      <c r="K1042" s="3" t="str">
        <f t="shared" si="144"/>
        <v xml:space="preserve"> </v>
      </c>
      <c r="L1042" s="3">
        <f t="shared" si="145"/>
        <v>-0.64823086838398314</v>
      </c>
    </row>
    <row r="1043" spans="1:12" x14ac:dyDescent="0.25">
      <c r="A1043" s="26">
        <v>26.55</v>
      </c>
      <c r="B1043">
        <v>26.38</v>
      </c>
      <c r="C1043">
        <v>1.85</v>
      </c>
      <c r="D1043" s="2">
        <v>43720</v>
      </c>
      <c r="E1043">
        <v>26.48</v>
      </c>
      <c r="F1043">
        <v>7.0000000000000007E-2</v>
      </c>
      <c r="G1043">
        <v>-0.10000000000000142</v>
      </c>
      <c r="H1043" s="5">
        <f t="shared" si="146"/>
        <v>2.6435045317220545E-3</v>
      </c>
      <c r="I1043" s="3">
        <f t="shared" si="143"/>
        <v>0.74636541888165409</v>
      </c>
      <c r="J1043" s="5">
        <f t="shared" si="147"/>
        <v>-3.7764350453172741E-3</v>
      </c>
      <c r="K1043" s="3">
        <f t="shared" si="144"/>
        <v>0.30387593803749058</v>
      </c>
      <c r="L1043" s="3">
        <f t="shared" si="145"/>
        <v>-0.58220056111464991</v>
      </c>
    </row>
    <row r="1044" spans="1:12" x14ac:dyDescent="0.25">
      <c r="A1044" s="26">
        <v>26.68</v>
      </c>
      <c r="B1044">
        <v>26.65</v>
      </c>
      <c r="C1044">
        <v>1.31</v>
      </c>
      <c r="D1044" s="2">
        <v>43719</v>
      </c>
      <c r="E1044">
        <v>26.74</v>
      </c>
      <c r="F1044">
        <v>-0.06</v>
      </c>
      <c r="G1044">
        <v>-8.9999999999999858E-2</v>
      </c>
      <c r="H1044" s="5">
        <f t="shared" si="146"/>
        <v>-2.243829468960359E-3</v>
      </c>
      <c r="I1044" s="3">
        <f t="shared" si="143"/>
        <v>-8.6949773378073872E-2</v>
      </c>
      <c r="J1044" s="5">
        <f t="shared" si="147"/>
        <v>-3.3657442034405335E-3</v>
      </c>
      <c r="K1044" s="3">
        <f t="shared" si="144"/>
        <v>0.38104393393867841</v>
      </c>
      <c r="L1044" s="3">
        <f t="shared" si="145"/>
        <v>-1.3687636309435327</v>
      </c>
    </row>
    <row r="1045" spans="1:12" x14ac:dyDescent="0.25">
      <c r="A1045" s="26">
        <v>25.5</v>
      </c>
      <c r="B1045">
        <v>25.46</v>
      </c>
      <c r="C1045">
        <v>1.82</v>
      </c>
      <c r="D1045" s="2">
        <v>43718</v>
      </c>
      <c r="E1045">
        <v>25.57</v>
      </c>
      <c r="F1045">
        <v>-7.0000000000000007E-2</v>
      </c>
      <c r="G1045">
        <v>-0.10999999999999943</v>
      </c>
      <c r="H1045" s="5">
        <f t="shared" si="146"/>
        <v>-2.7375831052014079E-3</v>
      </c>
      <c r="I1045" s="3">
        <f t="shared" si="143"/>
        <v>-0.17418038842519479</v>
      </c>
      <c r="J1045" s="5">
        <f t="shared" si="147"/>
        <v>-4.3019163081736188E-3</v>
      </c>
      <c r="K1045" s="3">
        <f t="shared" si="144"/>
        <v>0.20422831283869133</v>
      </c>
      <c r="L1045" s="3">
        <f t="shared" si="145"/>
        <v>-0.64414977829290987</v>
      </c>
    </row>
    <row r="1046" spans="1:12" x14ac:dyDescent="0.25">
      <c r="A1046" s="26">
        <v>25.01</v>
      </c>
      <c r="B1046">
        <v>24.96</v>
      </c>
      <c r="C1046">
        <v>1.99</v>
      </c>
      <c r="D1046" s="2">
        <v>43717</v>
      </c>
      <c r="E1046">
        <v>25.05</v>
      </c>
      <c r="F1046">
        <v>-0.04</v>
      </c>
      <c r="G1046">
        <v>-8.9999999999999858E-2</v>
      </c>
      <c r="H1046" s="5">
        <f t="shared" si="146"/>
        <v>-1.5968063872255488E-3</v>
      </c>
      <c r="I1046" s="3">
        <f t="shared" si="143"/>
        <v>2.0930591788814488E-2</v>
      </c>
      <c r="J1046" s="5">
        <f t="shared" si="147"/>
        <v>-3.5928143712574794E-3</v>
      </c>
      <c r="K1046" s="3">
        <f t="shared" si="144"/>
        <v>0.33686408842921495</v>
      </c>
      <c r="L1046" s="3">
        <f t="shared" si="145"/>
        <v>-0.40573515640841246</v>
      </c>
    </row>
    <row r="1047" spans="1:12" x14ac:dyDescent="0.25">
      <c r="A1047" s="26">
        <v>25.46</v>
      </c>
      <c r="B1047">
        <v>25.35</v>
      </c>
      <c r="C1047">
        <v>2.85</v>
      </c>
      <c r="D1047" s="2">
        <v>43714</v>
      </c>
      <c r="E1047">
        <v>25.48</v>
      </c>
      <c r="F1047">
        <v>-0.02</v>
      </c>
      <c r="G1047">
        <v>-0.12999999999999901</v>
      </c>
      <c r="H1047" s="5">
        <f t="shared" si="146"/>
        <v>-7.8492935635792783E-4</v>
      </c>
      <c r="I1047" s="3">
        <f t="shared" si="143"/>
        <v>0.15833110561867678</v>
      </c>
      <c r="J1047" s="5">
        <f t="shared" si="147"/>
        <v>-5.1020408163264912E-3</v>
      </c>
      <c r="K1047" s="3">
        <f t="shared" si="144"/>
        <v>5.595216244107639E-2</v>
      </c>
      <c r="L1047" s="3">
        <f t="shared" si="145"/>
        <v>0.76787181663151227</v>
      </c>
    </row>
    <row r="1048" spans="1:12" x14ac:dyDescent="0.25">
      <c r="A1048" s="26">
        <v>24.82</v>
      </c>
      <c r="B1048">
        <v>24.7</v>
      </c>
      <c r="C1048">
        <v>2.0299999999999998</v>
      </c>
      <c r="D1048" s="2">
        <v>43711</v>
      </c>
      <c r="E1048">
        <v>24.81</v>
      </c>
      <c r="F1048">
        <v>0.01</v>
      </c>
      <c r="G1048">
        <v>-0.10999999999999943</v>
      </c>
      <c r="H1048" s="5">
        <f t="shared" si="146"/>
        <v>4.0306328093510683E-4</v>
      </c>
      <c r="I1048" s="3">
        <f t="shared" si="143"/>
        <v>0.3561225061773402</v>
      </c>
      <c r="J1048" s="5">
        <f t="shared" si="147"/>
        <v>-4.4336960902861527E-3</v>
      </c>
      <c r="K1048" s="3">
        <f t="shared" si="144"/>
        <v>0.17930387699232894</v>
      </c>
      <c r="L1048" s="3">
        <f t="shared" si="145"/>
        <v>-0.36136111199111659</v>
      </c>
    </row>
    <row r="1049" spans="1:12" x14ac:dyDescent="0.25">
      <c r="A1049" s="26">
        <v>25.4</v>
      </c>
      <c r="B1049">
        <v>25.32</v>
      </c>
      <c r="C1049">
        <v>1.73</v>
      </c>
      <c r="D1049" s="2">
        <v>43710</v>
      </c>
      <c r="E1049">
        <v>25.43</v>
      </c>
      <c r="F1049">
        <v>-0.03</v>
      </c>
      <c r="G1049">
        <v>-0.10999999999999943</v>
      </c>
      <c r="H1049" s="5">
        <f t="shared" si="146"/>
        <v>-1.1797090051120724E-3</v>
      </c>
      <c r="I1049" s="3">
        <f t="shared" si="143"/>
        <v>8.1273321020434774E-2</v>
      </c>
      <c r="J1049" s="5">
        <f t="shared" si="147"/>
        <v>-4.3255996854109097E-3</v>
      </c>
      <c r="K1049" s="3">
        <f t="shared" si="144"/>
        <v>0.19814201790023461</v>
      </c>
      <c r="L1049" s="3">
        <f t="shared" si="145"/>
        <v>-0.75930393749807146</v>
      </c>
    </row>
    <row r="1050" spans="1:12" x14ac:dyDescent="0.25">
      <c r="A1050" s="26">
        <v>26.8</v>
      </c>
      <c r="B1050">
        <v>26.66</v>
      </c>
      <c r="C1050">
        <v>2.1800000000000002</v>
      </c>
      <c r="D1050" s="2">
        <v>43707</v>
      </c>
      <c r="E1050">
        <v>26.75</v>
      </c>
      <c r="F1050">
        <v>0.05</v>
      </c>
      <c r="G1050">
        <v>-8.9999999999999858E-2</v>
      </c>
      <c r="H1050" s="5">
        <f t="shared" si="146"/>
        <v>1.869158878504673E-3</v>
      </c>
      <c r="I1050" s="3">
        <f t="shared" si="143"/>
        <v>0.6006763177698754</v>
      </c>
      <c r="J1050" s="5">
        <f t="shared" si="147"/>
        <v>-3.364485981308406E-3</v>
      </c>
      <c r="K1050" s="3">
        <f t="shared" si="144"/>
        <v>0.37744527124327376</v>
      </c>
      <c r="L1050" s="3">
        <f t="shared" si="145"/>
        <v>-0.188715772196071</v>
      </c>
    </row>
    <row r="1051" spans="1:12" x14ac:dyDescent="0.25">
      <c r="A1051" s="26">
        <v>25.93</v>
      </c>
      <c r="B1051">
        <v>25.85</v>
      </c>
      <c r="C1051">
        <v>2.0499999999999998</v>
      </c>
      <c r="D1051" s="2">
        <v>43706</v>
      </c>
      <c r="E1051">
        <v>25.96</v>
      </c>
      <c r="F1051">
        <v>-0.03</v>
      </c>
      <c r="G1051">
        <v>-0.10999999999999943</v>
      </c>
      <c r="H1051" s="5">
        <f t="shared" si="146"/>
        <v>-1.1556240369799691E-3</v>
      </c>
      <c r="I1051" s="3">
        <f t="shared" si="143"/>
        <v>8.6858888311963783E-2</v>
      </c>
      <c r="J1051" s="5">
        <f t="shared" si="147"/>
        <v>-4.2372881355931986E-3</v>
      </c>
      <c r="K1051" s="3">
        <f t="shared" si="144"/>
        <v>0.2128289770182642</v>
      </c>
      <c r="L1051" s="3">
        <f t="shared" si="145"/>
        <v>-0.36011183415387471</v>
      </c>
    </row>
    <row r="1052" spans="1:12" x14ac:dyDescent="0.25">
      <c r="A1052" s="26">
        <v>26</v>
      </c>
      <c r="B1052">
        <v>25.85</v>
      </c>
      <c r="C1052">
        <v>2.02</v>
      </c>
      <c r="D1052" s="2">
        <v>43705</v>
      </c>
      <c r="E1052">
        <v>25.99</v>
      </c>
      <c r="F1052">
        <v>0.01</v>
      </c>
      <c r="G1052">
        <v>-0.13999999999999702</v>
      </c>
      <c r="H1052" s="5">
        <f t="shared" si="146"/>
        <v>3.8476337052712584E-4</v>
      </c>
      <c r="I1052" s="3">
        <f t="shared" si="143"/>
        <v>0.34669209683573143</v>
      </c>
      <c r="J1052" s="5">
        <f t="shared" si="147"/>
        <v>-5.3866871873796468E-3</v>
      </c>
      <c r="K1052" s="3">
        <f t="shared" si="144"/>
        <v>-4.1722186348444983E-3</v>
      </c>
      <c r="L1052" s="3">
        <f t="shared" si="145"/>
        <v>-0.40465484243109773</v>
      </c>
    </row>
    <row r="1053" spans="1:12" x14ac:dyDescent="0.25">
      <c r="A1053" s="26">
        <v>25.25</v>
      </c>
      <c r="B1053">
        <v>25.18</v>
      </c>
      <c r="C1053">
        <v>2.04</v>
      </c>
      <c r="D1053" s="2">
        <v>43704</v>
      </c>
      <c r="E1053">
        <v>25.26</v>
      </c>
      <c r="F1053">
        <v>-0.01</v>
      </c>
      <c r="G1053">
        <v>-8.0000000000001847E-2</v>
      </c>
      <c r="H1053" s="5">
        <f t="shared" si="146"/>
        <v>-3.9588281868566902E-4</v>
      </c>
      <c r="I1053" s="3">
        <f t="shared" si="143"/>
        <v>0.21269978296729197</v>
      </c>
      <c r="J1053" s="5">
        <f t="shared" si="147"/>
        <v>-3.1670625494854255E-3</v>
      </c>
      <c r="K1053" s="3">
        <f t="shared" si="144"/>
        <v>0.40769817600264591</v>
      </c>
      <c r="L1053" s="3">
        <f t="shared" si="145"/>
        <v>-0.38693884670970008</v>
      </c>
    </row>
    <row r="1054" spans="1:12" x14ac:dyDescent="0.25">
      <c r="A1054" s="26">
        <v>25.33</v>
      </c>
      <c r="B1054">
        <v>25.34</v>
      </c>
      <c r="C1054">
        <v>1.84</v>
      </c>
      <c r="D1054" s="2">
        <v>43700</v>
      </c>
      <c r="E1054">
        <v>25.42</v>
      </c>
      <c r="F1054">
        <v>-0.09</v>
      </c>
      <c r="G1054">
        <v>-8.0000000000001847E-2</v>
      </c>
      <c r="H1054" s="5">
        <f t="shared" si="146"/>
        <v>-3.5405192761605031E-3</v>
      </c>
      <c r="I1054" s="3">
        <f t="shared" si="143"/>
        <v>-0.32206216431678875</v>
      </c>
      <c r="J1054" s="5">
        <f t="shared" si="147"/>
        <v>-3.1471282454760756E-3</v>
      </c>
      <c r="K1054" s="3">
        <f t="shared" si="144"/>
        <v>0.41280725173551386</v>
      </c>
      <c r="L1054" s="3">
        <f t="shared" si="145"/>
        <v>-0.61470067494050373</v>
      </c>
    </row>
    <row r="1055" spans="1:12" x14ac:dyDescent="0.25">
      <c r="A1055" s="26">
        <v>25.78</v>
      </c>
      <c r="B1055">
        <v>25.73</v>
      </c>
      <c r="C1055">
        <v>2.88</v>
      </c>
      <c r="D1055" s="2">
        <v>43699</v>
      </c>
      <c r="E1055">
        <v>25.85</v>
      </c>
      <c r="F1055">
        <v>-7.0000000000000007E-2</v>
      </c>
      <c r="G1055">
        <v>-0.12000000000000099</v>
      </c>
      <c r="H1055" s="5">
        <f t="shared" si="146"/>
        <v>-2.7079303675048359E-3</v>
      </c>
      <c r="I1055" s="3">
        <f t="shared" si="143"/>
        <v>-0.18647591632665156</v>
      </c>
      <c r="J1055" s="5">
        <f t="shared" si="147"/>
        <v>-4.6421663442940417E-3</v>
      </c>
      <c r="K1055" s="3">
        <f t="shared" si="144"/>
        <v>0.13512389552022713</v>
      </c>
      <c r="L1055" s="3">
        <f t="shared" si="145"/>
        <v>0.54845806284791632</v>
      </c>
    </row>
    <row r="1056" spans="1:12" x14ac:dyDescent="0.25">
      <c r="A1056" s="26">
        <v>26.94</v>
      </c>
      <c r="B1056">
        <v>26.77</v>
      </c>
      <c r="C1056">
        <v>2.48</v>
      </c>
      <c r="D1056" s="2">
        <v>43697</v>
      </c>
      <c r="E1056">
        <v>26.92</v>
      </c>
      <c r="F1056">
        <v>0.02</v>
      </c>
      <c r="G1056">
        <v>-0.15000000000000213</v>
      </c>
      <c r="H1056" s="5">
        <f t="shared" si="146"/>
        <v>7.429420505200594E-4</v>
      </c>
      <c r="I1056" s="3">
        <f t="shared" si="143"/>
        <v>0.39921635630751973</v>
      </c>
      <c r="J1056" s="5">
        <f t="shared" si="147"/>
        <v>-5.5720653789005248E-3</v>
      </c>
      <c r="K1056" s="3">
        <f t="shared" si="144"/>
        <v>-3.8820373393637198E-2</v>
      </c>
      <c r="L1056" s="3">
        <f t="shared" si="145"/>
        <v>9.8459581508234376E-2</v>
      </c>
    </row>
    <row r="1057" spans="1:12" x14ac:dyDescent="0.25">
      <c r="A1057" s="26">
        <v>26.25</v>
      </c>
      <c r="B1057">
        <v>26.08</v>
      </c>
      <c r="C1057">
        <v>2.93</v>
      </c>
      <c r="D1057" s="2">
        <v>43696</v>
      </c>
      <c r="E1057">
        <v>26.13</v>
      </c>
      <c r="F1057">
        <v>0.12</v>
      </c>
      <c r="G1057">
        <v>-5.0000000000000711E-2</v>
      </c>
      <c r="H1057" s="5">
        <f t="shared" si="146"/>
        <v>4.5924225028702642E-3</v>
      </c>
      <c r="I1057" s="3">
        <f t="shared" si="143"/>
        <v>1.056763528634421</v>
      </c>
      <c r="J1057" s="5">
        <f t="shared" si="147"/>
        <v>-1.9135093761959707E-3</v>
      </c>
      <c r="K1057" s="3">
        <f t="shared" si="144"/>
        <v>0.64693922745289789</v>
      </c>
      <c r="L1057" s="3">
        <f t="shared" si="145"/>
        <v>0.60101263425814599</v>
      </c>
    </row>
    <row r="1058" spans="1:12" x14ac:dyDescent="0.25">
      <c r="A1058" s="26">
        <v>26.12</v>
      </c>
      <c r="B1058">
        <v>26.04</v>
      </c>
      <c r="C1058">
        <v>2.85</v>
      </c>
      <c r="D1058" s="2">
        <v>43693</v>
      </c>
      <c r="E1058">
        <v>26.19</v>
      </c>
      <c r="F1058">
        <v>-7.0000000000000007E-2</v>
      </c>
      <c r="G1058">
        <v>-0.15000000000000213</v>
      </c>
      <c r="H1058" s="5">
        <f t="shared" si="146"/>
        <v>-2.6727758686521576E-3</v>
      </c>
      <c r="I1058" s="3">
        <f t="shared" si="143"/>
        <v>-0.16704670822755843</v>
      </c>
      <c r="J1058" s="5">
        <f t="shared" si="147"/>
        <v>-5.7273768613975611E-3</v>
      </c>
      <c r="K1058" s="3">
        <f t="shared" si="144"/>
        <v>-6.3260250433372828E-2</v>
      </c>
      <c r="L1058" s="3">
        <f t="shared" si="145"/>
        <v>0.51192339172955781</v>
      </c>
    </row>
    <row r="1059" spans="1:12" x14ac:dyDescent="0.25">
      <c r="A1059" s="26">
        <v>26.41</v>
      </c>
      <c r="B1059">
        <v>26.38</v>
      </c>
      <c r="C1059">
        <v>2.02</v>
      </c>
      <c r="D1059" s="2">
        <v>43692</v>
      </c>
      <c r="E1059">
        <v>26.53</v>
      </c>
      <c r="F1059">
        <v>-0.12</v>
      </c>
      <c r="G1059">
        <v>-0.15000000000000213</v>
      </c>
      <c r="H1059" s="5">
        <f t="shared" si="146"/>
        <v>-4.5231813041839422E-3</v>
      </c>
      <c r="I1059" s="3">
        <f t="shared" si="143"/>
        <v>-0.47996881824721649</v>
      </c>
      <c r="J1059" s="5">
        <f t="shared" si="147"/>
        <v>-5.6539766302300086E-3</v>
      </c>
      <c r="K1059" s="3">
        <f t="shared" si="144"/>
        <v>-4.9035919090911914E-2</v>
      </c>
      <c r="L1059" s="3">
        <f t="shared" si="145"/>
        <v>-0.42139543944850338</v>
      </c>
    </row>
    <row r="1060" spans="1:12" x14ac:dyDescent="0.25">
      <c r="A1060" s="26">
        <v>27.15</v>
      </c>
      <c r="B1060">
        <v>27.1</v>
      </c>
      <c r="C1060">
        <v>1.68</v>
      </c>
      <c r="D1060" s="2">
        <v>43691</v>
      </c>
      <c r="E1060">
        <v>27.2</v>
      </c>
      <c r="F1060">
        <v>-0.05</v>
      </c>
      <c r="G1060">
        <v>-9.9999999999997868E-2</v>
      </c>
      <c r="H1060" s="5">
        <f t="shared" si="146"/>
        <v>-1.8382352941176473E-3</v>
      </c>
      <c r="I1060" s="3">
        <f t="shared" si="143"/>
        <v>-3.2350947681955927E-2</v>
      </c>
      <c r="J1060" s="5">
        <f t="shared" si="147"/>
        <v>-3.676470588235216E-3</v>
      </c>
      <c r="K1060" s="3">
        <f t="shared" si="144"/>
        <v>0.32145090986701713</v>
      </c>
      <c r="L1060" s="3">
        <f t="shared" si="145"/>
        <v>-0.80662558465640111</v>
      </c>
    </row>
    <row r="1061" spans="1:12" x14ac:dyDescent="0.25">
      <c r="A1061" s="26">
        <v>27.1</v>
      </c>
      <c r="B1061">
        <v>26.76</v>
      </c>
      <c r="C1061">
        <v>2.84</v>
      </c>
      <c r="D1061" s="2">
        <v>43690</v>
      </c>
      <c r="E1061">
        <v>26.88</v>
      </c>
      <c r="F1061">
        <v>0.22</v>
      </c>
      <c r="G1061">
        <v>-0.11999999999999744</v>
      </c>
      <c r="H1061" s="5">
        <f t="shared" si="146"/>
        <v>8.1845238095238099E-3</v>
      </c>
      <c r="I1061" s="3">
        <f t="shared" si="143"/>
        <v>1.6628651715672154</v>
      </c>
      <c r="J1061" s="5">
        <f t="shared" si="147"/>
        <v>-4.4642857142856195E-3</v>
      </c>
      <c r="K1061" s="3">
        <f t="shared" si="144"/>
        <v>0.17213092805858102</v>
      </c>
      <c r="L1061" s="3">
        <f t="shared" si="145"/>
        <v>0.48534185137274044</v>
      </c>
    </row>
    <row r="1062" spans="1:12" x14ac:dyDescent="0.25">
      <c r="A1062" s="26">
        <v>27.7</v>
      </c>
      <c r="B1062">
        <v>27.69</v>
      </c>
      <c r="C1062">
        <v>2.98</v>
      </c>
      <c r="D1062" s="2">
        <v>43689</v>
      </c>
      <c r="E1062">
        <v>27.84</v>
      </c>
      <c r="F1062">
        <v>-0.14000000000000001</v>
      </c>
      <c r="G1062">
        <v>-0.14999999999999858</v>
      </c>
      <c r="H1062" s="5">
        <f t="shared" si="146"/>
        <v>-5.0287356321839088E-3</v>
      </c>
      <c r="I1062" s="3">
        <f t="shared" si="143"/>
        <v>-0.56582369447167058</v>
      </c>
      <c r="J1062" s="5">
        <f t="shared" si="147"/>
        <v>-5.3879310344827078E-3</v>
      </c>
      <c r="K1062" s="3">
        <f t="shared" si="144"/>
        <v>-3.6609663741258186E-4</v>
      </c>
      <c r="L1062" s="3">
        <f t="shared" si="145"/>
        <v>0.64580849038608878</v>
      </c>
    </row>
    <row r="1063" spans="1:12" x14ac:dyDescent="0.25">
      <c r="A1063" s="26">
        <v>28.37</v>
      </c>
      <c r="B1063">
        <v>28.36</v>
      </c>
      <c r="C1063">
        <v>2.31</v>
      </c>
      <c r="D1063" s="2">
        <v>43686</v>
      </c>
      <c r="E1063">
        <v>28.51</v>
      </c>
      <c r="F1063">
        <v>-0.14000000000000001</v>
      </c>
      <c r="G1063">
        <v>-0.15000000000000213</v>
      </c>
      <c r="H1063" s="5">
        <f t="shared" si="146"/>
        <v>-4.9105576990529642E-3</v>
      </c>
      <c r="I1063" s="3">
        <f t="shared" si="143"/>
        <v>-0.54810725186683795</v>
      </c>
      <c r="J1063" s="5">
        <f t="shared" si="147"/>
        <v>-5.2613118204139645E-3</v>
      </c>
      <c r="K1063" s="3">
        <f t="shared" si="144"/>
        <v>2.5055953496303573E-2</v>
      </c>
      <c r="L1063" s="3">
        <f t="shared" si="145"/>
        <v>-0.10900030574530536</v>
      </c>
    </row>
    <row r="1064" spans="1:12" x14ac:dyDescent="0.25">
      <c r="A1064" s="26">
        <v>28.68</v>
      </c>
      <c r="B1064">
        <v>28.5</v>
      </c>
      <c r="C1064">
        <v>2.93</v>
      </c>
      <c r="D1064" s="2">
        <v>43685</v>
      </c>
      <c r="E1064">
        <v>28.62</v>
      </c>
      <c r="F1064">
        <v>0.06</v>
      </c>
      <c r="G1064">
        <v>-0.12000000000000099</v>
      </c>
      <c r="H1064" s="5">
        <f t="shared" si="146"/>
        <v>2.0964360587002093E-3</v>
      </c>
      <c r="I1064" s="3">
        <f t="shared" si="143"/>
        <v>0.64372965899035339</v>
      </c>
      <c r="J1064" s="5">
        <f t="shared" si="147"/>
        <v>-4.1928721174004542E-3</v>
      </c>
      <c r="K1064" s="3">
        <f t="shared" si="144"/>
        <v>0.2252561989706825</v>
      </c>
      <c r="L1064" s="3">
        <f t="shared" si="145"/>
        <v>0.57356995089387441</v>
      </c>
    </row>
    <row r="1065" spans="1:12" x14ac:dyDescent="0.25">
      <c r="A1065" s="26">
        <v>28.48</v>
      </c>
      <c r="B1065">
        <v>28.27</v>
      </c>
      <c r="C1065">
        <v>3.57</v>
      </c>
      <c r="D1065" s="2">
        <v>43683</v>
      </c>
      <c r="E1065">
        <v>28.45</v>
      </c>
      <c r="F1065">
        <v>0.03</v>
      </c>
      <c r="G1065">
        <v>-0.17999999999999972</v>
      </c>
      <c r="H1065" s="5">
        <f t="shared" si="146"/>
        <v>1.054481546572935E-3</v>
      </c>
      <c r="I1065" s="3">
        <f t="shared" si="143"/>
        <v>0.47064134658589957</v>
      </c>
      <c r="J1065" s="5">
        <f t="shared" si="147"/>
        <v>-6.3268892794376003E-3</v>
      </c>
      <c r="K1065" s="3">
        <f t="shared" si="144"/>
        <v>-0.17330059300721498</v>
      </c>
      <c r="L1065" s="3">
        <f t="shared" si="145"/>
        <v>1.2758522785685416</v>
      </c>
    </row>
    <row r="1066" spans="1:12" x14ac:dyDescent="0.25">
      <c r="A1066" s="26">
        <v>28.82</v>
      </c>
      <c r="B1066">
        <v>28.69</v>
      </c>
      <c r="C1066">
        <v>2.61</v>
      </c>
      <c r="D1066" s="2">
        <v>43682</v>
      </c>
      <c r="E1066">
        <v>28.81</v>
      </c>
      <c r="F1066">
        <v>0.01</v>
      </c>
      <c r="G1066">
        <v>-0.11999999999999744</v>
      </c>
      <c r="H1066" s="5">
        <f t="shared" si="146"/>
        <v>3.4710170079833391E-4</v>
      </c>
      <c r="I1066" s="3">
        <f t="shared" si="143"/>
        <v>0.35767038002747059</v>
      </c>
      <c r="J1066" s="5">
        <f t="shared" si="147"/>
        <v>-4.1652204095799185E-3</v>
      </c>
      <c r="K1066" s="3">
        <f t="shared" si="144"/>
        <v>0.23253559675542179</v>
      </c>
      <c r="L1066" s="3">
        <f t="shared" si="145"/>
        <v>0.21989994721377959</v>
      </c>
    </row>
    <row r="1067" spans="1:12" x14ac:dyDescent="0.25">
      <c r="A1067" s="26">
        <v>29.1</v>
      </c>
      <c r="B1067">
        <v>29.02</v>
      </c>
      <c r="C1067">
        <v>2.87</v>
      </c>
      <c r="D1067" s="2">
        <v>43679</v>
      </c>
      <c r="E1067">
        <v>29.13</v>
      </c>
      <c r="F1067">
        <v>-0.03</v>
      </c>
      <c r="G1067">
        <v>-0.10999999999999943</v>
      </c>
      <c r="H1067" s="5">
        <f t="shared" si="146"/>
        <v>-1.0298661174047373E-3</v>
      </c>
      <c r="I1067" s="3">
        <f t="shared" si="143"/>
        <v>0.12906369154834499</v>
      </c>
      <c r="J1067" s="5">
        <f t="shared" si="147"/>
        <v>-3.7761757638173511E-3</v>
      </c>
      <c r="K1067" s="3">
        <f t="shared" si="144"/>
        <v>0.30797866332821078</v>
      </c>
      <c r="L1067" s="3">
        <f t="shared" si="145"/>
        <v>0.50698687856348834</v>
      </c>
    </row>
    <row r="1068" spans="1:12" x14ac:dyDescent="0.25">
      <c r="A1068" s="26">
        <v>28.9</v>
      </c>
      <c r="B1068">
        <v>28.69</v>
      </c>
      <c r="C1068">
        <v>3.36</v>
      </c>
      <c r="D1068" s="2">
        <v>43678</v>
      </c>
      <c r="E1068">
        <v>28.83</v>
      </c>
      <c r="F1068">
        <v>7.0000000000000007E-2</v>
      </c>
      <c r="G1068">
        <v>-0.13999999999999702</v>
      </c>
      <c r="H1068" s="5">
        <f t="shared" si="146"/>
        <v>2.4280263614290675E-3</v>
      </c>
      <c r="I1068" s="3">
        <f t="shared" si="143"/>
        <v>0.71211946361704259</v>
      </c>
      <c r="J1068" s="5">
        <f t="shared" si="147"/>
        <v>-4.8560527228580308E-3</v>
      </c>
      <c r="K1068" s="3">
        <f t="shared" si="144"/>
        <v>0.10604666110992267</v>
      </c>
      <c r="L1068" s="3">
        <f t="shared" si="145"/>
        <v>1.0462974404696759</v>
      </c>
    </row>
    <row r="1069" spans="1:12" x14ac:dyDescent="0.25">
      <c r="A1069" s="26">
        <v>28.04</v>
      </c>
      <c r="B1069">
        <v>27.97</v>
      </c>
      <c r="C1069">
        <v>1.97</v>
      </c>
      <c r="D1069" s="2">
        <v>43677</v>
      </c>
      <c r="E1069">
        <v>28.06</v>
      </c>
      <c r="F1069">
        <v>-0.02</v>
      </c>
      <c r="G1069">
        <v>-8.9999999999999858E-2</v>
      </c>
      <c r="H1069" s="5">
        <f t="shared" si="146"/>
        <v>-7.1275837491090524E-4</v>
      </c>
      <c r="I1069" s="3">
        <f t="shared" si="143"/>
        <v>0.18493172080903408</v>
      </c>
      <c r="J1069" s="5">
        <f t="shared" si="147"/>
        <v>-3.2074126870990684E-3</v>
      </c>
      <c r="K1069" s="3">
        <f t="shared" si="144"/>
        <v>0.41548189126622492</v>
      </c>
      <c r="L1069" s="3">
        <f t="shared" si="145"/>
        <v>-0.49328842366432196</v>
      </c>
    </row>
    <row r="1070" spans="1:12" x14ac:dyDescent="0.25">
      <c r="A1070" s="26">
        <v>28.18</v>
      </c>
      <c r="B1070">
        <v>28.1</v>
      </c>
      <c r="C1070">
        <v>2.12</v>
      </c>
      <c r="D1070" s="2">
        <v>43676</v>
      </c>
      <c r="E1070">
        <v>28.22</v>
      </c>
      <c r="F1070">
        <v>-0.04</v>
      </c>
      <c r="G1070">
        <v>-0.11999999999999744</v>
      </c>
      <c r="H1070" s="5">
        <f t="shared" si="146"/>
        <v>-1.4174344436569809E-3</v>
      </c>
      <c r="I1070" s="3">
        <f t="shared" si="143"/>
        <v>6.7444241954107517E-2</v>
      </c>
      <c r="J1070" s="5">
        <f t="shared" si="147"/>
        <v>-4.2523033309708521E-3</v>
      </c>
      <c r="K1070" s="3">
        <f t="shared" si="144"/>
        <v>0.2218926091058136</v>
      </c>
      <c r="L1070" s="3">
        <f t="shared" si="145"/>
        <v>-0.33048129866192794</v>
      </c>
    </row>
    <row r="1071" spans="1:12" x14ac:dyDescent="0.25">
      <c r="A1071" s="26">
        <v>28.8</v>
      </c>
      <c r="B1071">
        <v>28.71</v>
      </c>
      <c r="C1071">
        <v>1.91</v>
      </c>
      <c r="D1071" s="2">
        <v>43675</v>
      </c>
      <c r="E1071">
        <v>28.79</v>
      </c>
      <c r="F1071">
        <v>0.01</v>
      </c>
      <c r="G1071">
        <v>-7.9999999999998295E-2</v>
      </c>
      <c r="H1071" s="5">
        <f t="shared" si="146"/>
        <v>3.4734282737061483E-4</v>
      </c>
      <c r="I1071" s="3">
        <f t="shared" si="143"/>
        <v>0.36534710535250142</v>
      </c>
      <c r="J1071" s="5">
        <f t="shared" si="147"/>
        <v>-2.7787426189648592E-3</v>
      </c>
      <c r="K1071" s="3">
        <f t="shared" si="144"/>
        <v>0.49890905706304756</v>
      </c>
      <c r="L1071" s="3">
        <f t="shared" si="145"/>
        <v>-0.56812425338601391</v>
      </c>
    </row>
    <row r="1072" spans="1:12" x14ac:dyDescent="0.25">
      <c r="A1072" s="26">
        <v>28.51</v>
      </c>
      <c r="B1072">
        <v>28.44</v>
      </c>
      <c r="C1072">
        <v>1.73</v>
      </c>
      <c r="D1072" s="2">
        <v>43672</v>
      </c>
      <c r="E1072">
        <v>28.55</v>
      </c>
      <c r="F1072">
        <v>-0.04</v>
      </c>
      <c r="G1072">
        <v>-0.10999999999999943</v>
      </c>
      <c r="H1072" s="5">
        <f t="shared" si="146"/>
        <v>-1.4010507880910684E-3</v>
      </c>
      <c r="I1072" s="3">
        <f t="shared" si="143"/>
        <v>5.8208382576221525E-2</v>
      </c>
      <c r="J1072" s="5">
        <f t="shared" si="147"/>
        <v>-3.8528896672504176E-3</v>
      </c>
      <c r="K1072" s="3">
        <f t="shared" si="144"/>
        <v>0.29850993345477644</v>
      </c>
      <c r="L1072" s="3">
        <f t="shared" si="145"/>
        <v>-0.77086612252563724</v>
      </c>
    </row>
    <row r="1073" spans="1:12" x14ac:dyDescent="0.25">
      <c r="A1073" s="26">
        <v>29.46</v>
      </c>
      <c r="B1073">
        <v>29.42</v>
      </c>
      <c r="C1073">
        <v>2.38</v>
      </c>
      <c r="D1073" s="2">
        <v>43671</v>
      </c>
      <c r="E1073">
        <v>29.62</v>
      </c>
      <c r="F1073">
        <v>-0.16</v>
      </c>
      <c r="G1073">
        <v>-0.19999999999999929</v>
      </c>
      <c r="H1073" s="5">
        <f t="shared" si="146"/>
        <v>-5.4017555705604316E-3</v>
      </c>
      <c r="I1073" s="3">
        <f t="shared" si="143"/>
        <v>-0.61289471725047606</v>
      </c>
      <c r="J1073" s="5">
        <f t="shared" si="147"/>
        <v>-6.7521944632005157E-3</v>
      </c>
      <c r="K1073" s="3">
        <f t="shared" si="144"/>
        <v>-0.24747861976062061</v>
      </c>
      <c r="L1073" s="3">
        <f t="shared" si="145"/>
        <v>-7.1564796440064235E-2</v>
      </c>
    </row>
    <row r="1074" spans="1:12" x14ac:dyDescent="0.25">
      <c r="A1074" s="26">
        <v>29.05</v>
      </c>
      <c r="B1074">
        <v>28.89</v>
      </c>
      <c r="C1074">
        <v>2.63</v>
      </c>
      <c r="D1074" s="2">
        <v>43669</v>
      </c>
      <c r="E1074">
        <v>28.99</v>
      </c>
      <c r="F1074">
        <v>0.06</v>
      </c>
      <c r="G1074">
        <v>-9.9999999999997868E-2</v>
      </c>
      <c r="H1074" s="5">
        <f t="shared" si="146"/>
        <v>2.0696791997240429E-3</v>
      </c>
      <c r="I1074" s="3">
        <f t="shared" si="143"/>
        <v>0.6225919563326604</v>
      </c>
      <c r="J1074" s="5">
        <f t="shared" si="147"/>
        <v>-3.4494653328733314E-3</v>
      </c>
      <c r="K1074" s="3">
        <f t="shared" si="144"/>
        <v>0.36706985612597254</v>
      </c>
      <c r="L1074" s="3">
        <f t="shared" si="145"/>
        <v>0.19399172973039572</v>
      </c>
    </row>
    <row r="1075" spans="1:12" x14ac:dyDescent="0.25">
      <c r="A1075" s="26">
        <v>28.96</v>
      </c>
      <c r="B1075">
        <v>29.02</v>
      </c>
      <c r="C1075">
        <v>1.32</v>
      </c>
      <c r="D1075" s="2">
        <v>43668</v>
      </c>
      <c r="E1075">
        <v>29.1</v>
      </c>
      <c r="F1075">
        <v>-0.14000000000000001</v>
      </c>
      <c r="G1075">
        <v>-8.0000000000001847E-2</v>
      </c>
      <c r="H1075" s="5">
        <f t="shared" si="146"/>
        <v>-4.8109965635738834E-3</v>
      </c>
      <c r="I1075" s="3">
        <f t="shared" si="143"/>
        <v>-0.51353022932824965</v>
      </c>
      <c r="J1075" s="5">
        <f t="shared" si="147"/>
        <v>-2.7491408934708539E-3</v>
      </c>
      <c r="K1075" s="3">
        <f t="shared" si="144"/>
        <v>0.50052597413440791</v>
      </c>
      <c r="L1075" s="3">
        <f t="shared" si="145"/>
        <v>-1.2263463546004116</v>
      </c>
    </row>
    <row r="1076" spans="1:12" x14ac:dyDescent="0.25">
      <c r="A1076" s="26">
        <v>28.15</v>
      </c>
      <c r="B1076">
        <v>28</v>
      </c>
      <c r="C1076">
        <v>2.0099999999999998</v>
      </c>
      <c r="D1076" s="2">
        <v>43665</v>
      </c>
      <c r="E1076">
        <v>28.14</v>
      </c>
      <c r="F1076">
        <v>0.01</v>
      </c>
      <c r="G1076">
        <v>-0.14000000000000057</v>
      </c>
      <c r="H1076" s="5">
        <f t="shared" si="146"/>
        <v>3.5536602700781805E-4</v>
      </c>
      <c r="I1076" s="3">
        <f t="shared" si="143"/>
        <v>0.34244725299577028</v>
      </c>
      <c r="J1076" s="5">
        <f t="shared" si="147"/>
        <v>-4.9751243781094726E-3</v>
      </c>
      <c r="K1076" s="3">
        <f t="shared" si="144"/>
        <v>8.7621317104165861E-2</v>
      </c>
      <c r="L1076" s="3">
        <f t="shared" si="145"/>
        <v>-0.48457109524855391</v>
      </c>
    </row>
    <row r="1077" spans="1:12" x14ac:dyDescent="0.25">
      <c r="A1077" s="26">
        <v>27.99</v>
      </c>
      <c r="B1077">
        <v>27.96</v>
      </c>
      <c r="C1077">
        <v>1.61</v>
      </c>
      <c r="D1077" s="2">
        <v>43664</v>
      </c>
      <c r="E1077">
        <v>28.09</v>
      </c>
      <c r="F1077">
        <v>-0.1</v>
      </c>
      <c r="G1077">
        <v>-0.12999999999999901</v>
      </c>
      <c r="H1077" s="5">
        <f t="shared" si="146"/>
        <v>-3.55998576005696E-3</v>
      </c>
      <c r="I1077" s="3">
        <f t="shared" si="143"/>
        <v>-0.30963780198896285</v>
      </c>
      <c r="J1077" s="5">
        <f t="shared" si="147"/>
        <v>-4.6279814880740124E-3</v>
      </c>
      <c r="K1077" s="3">
        <f t="shared" si="144"/>
        <v>0.15157691167829079</v>
      </c>
      <c r="L1077" s="3">
        <f t="shared" si="145"/>
        <v>-0.92190155768819937</v>
      </c>
    </row>
    <row r="1078" spans="1:12" x14ac:dyDescent="0.25">
      <c r="A1078" s="26">
        <v>27.97</v>
      </c>
      <c r="B1078">
        <v>28.03</v>
      </c>
      <c r="C1078">
        <v>1.34</v>
      </c>
      <c r="D1078" s="2">
        <v>43663</v>
      </c>
      <c r="E1078">
        <v>28.15</v>
      </c>
      <c r="F1078">
        <v>-0.18</v>
      </c>
      <c r="G1078">
        <v>-0.11999999999999744</v>
      </c>
      <c r="H1078" s="5">
        <f t="shared" si="146"/>
        <v>-6.3943161634103024E-3</v>
      </c>
      <c r="I1078" s="3">
        <f t="shared" si="143"/>
        <v>-0.78151093569693941</v>
      </c>
      <c r="J1078" s="5">
        <f t="shared" si="147"/>
        <v>-4.2628774422734444E-3</v>
      </c>
      <c r="K1078" s="3">
        <f t="shared" si="144"/>
        <v>0.21911223935433416</v>
      </c>
      <c r="L1078" s="3">
        <f t="shared" si="145"/>
        <v>-1.2242382113916312</v>
      </c>
    </row>
    <row r="1079" spans="1:12" x14ac:dyDescent="0.25">
      <c r="A1079" s="26">
        <v>29.1</v>
      </c>
      <c r="B1079">
        <v>29.12</v>
      </c>
      <c r="C1079">
        <v>1.45</v>
      </c>
      <c r="D1079" s="2">
        <v>43662</v>
      </c>
      <c r="E1079">
        <v>29.24</v>
      </c>
      <c r="F1079">
        <v>-0.14000000000000001</v>
      </c>
      <c r="G1079">
        <v>-0.11999999999999744</v>
      </c>
      <c r="H1079" s="5">
        <f t="shared" si="146"/>
        <v>-4.7879616963064303E-3</v>
      </c>
      <c r="I1079" s="3">
        <f t="shared" si="143"/>
        <v>-0.52289616666846961</v>
      </c>
      <c r="J1079" s="5">
        <f t="shared" si="147"/>
        <v>-4.1039671682625662E-3</v>
      </c>
      <c r="K1079" s="3">
        <f t="shared" si="144"/>
        <v>0.24795781586008356</v>
      </c>
      <c r="L1079" s="3">
        <f t="shared" si="145"/>
        <v>-1.1159506847451848</v>
      </c>
    </row>
    <row r="1080" spans="1:12" x14ac:dyDescent="0.25">
      <c r="A1080" s="26">
        <v>29.15</v>
      </c>
      <c r="B1080">
        <v>28.95</v>
      </c>
      <c r="C1080">
        <v>1.87</v>
      </c>
      <c r="D1080" s="2">
        <v>43661</v>
      </c>
      <c r="E1080">
        <v>29.07</v>
      </c>
      <c r="F1080">
        <v>0.08</v>
      </c>
      <c r="G1080">
        <v>-0.12000000000000099</v>
      </c>
      <c r="H1080" s="5">
        <f t="shared" si="146"/>
        <v>2.7519779841761265E-3</v>
      </c>
      <c r="I1080" s="3">
        <f t="shared" si="143"/>
        <v>0.72644762149658093</v>
      </c>
      <c r="J1080" s="5">
        <f t="shared" si="147"/>
        <v>-4.1279669762642242E-3</v>
      </c>
      <c r="K1080" s="3">
        <f t="shared" si="144"/>
        <v>0.24357634683673604</v>
      </c>
      <c r="L1080" s="3">
        <f t="shared" si="145"/>
        <v>-0.6652181990572843</v>
      </c>
    </row>
    <row r="1081" spans="1:12" x14ac:dyDescent="0.25">
      <c r="A1081" s="26">
        <v>28.25</v>
      </c>
      <c r="B1081">
        <v>28.11</v>
      </c>
      <c r="C1081">
        <v>2.5099999999999998</v>
      </c>
      <c r="D1081" s="2">
        <v>43658</v>
      </c>
      <c r="E1081">
        <v>28.24</v>
      </c>
      <c r="F1081">
        <v>0.01</v>
      </c>
      <c r="G1081">
        <v>-0.12999999999999901</v>
      </c>
      <c r="H1081" s="5">
        <f t="shared" si="146"/>
        <v>3.5410764872521248E-4</v>
      </c>
      <c r="I1081" s="3">
        <f t="shared" si="143"/>
        <v>0.32755898129690708</v>
      </c>
      <c r="J1081" s="5">
        <f t="shared" si="147"/>
        <v>-4.6033994334277271E-3</v>
      </c>
      <c r="K1081" s="3">
        <f t="shared" si="144"/>
        <v>0.15675726640180526</v>
      </c>
      <c r="L1081" s="3">
        <f t="shared" si="145"/>
        <v>2.95979454099458E-2</v>
      </c>
    </row>
    <row r="1082" spans="1:12" x14ac:dyDescent="0.25">
      <c r="A1082" s="26">
        <v>28.5</v>
      </c>
      <c r="B1082">
        <v>28.32</v>
      </c>
      <c r="C1082">
        <v>3.15</v>
      </c>
      <c r="D1082" s="2">
        <v>43657</v>
      </c>
      <c r="G1082">
        <v>28.32</v>
      </c>
      <c r="H1082" s="5" t="str">
        <f t="shared" si="146"/>
        <v/>
      </c>
      <c r="I1082" s="3" t="str">
        <f t="shared" si="143"/>
        <v xml:space="preserve"> </v>
      </c>
      <c r="J1082" s="5" t="str">
        <f t="shared" si="147"/>
        <v/>
      </c>
      <c r="K1082" s="3" t="str">
        <f t="shared" si="144"/>
        <v xml:space="preserve"> </v>
      </c>
      <c r="L1082" s="3">
        <f t="shared" si="145"/>
        <v>0.73130620553141157</v>
      </c>
    </row>
    <row r="1083" spans="1:12" x14ac:dyDescent="0.25">
      <c r="A1083" s="26">
        <v>26.68</v>
      </c>
      <c r="B1083">
        <v>26.56</v>
      </c>
      <c r="C1083">
        <v>2.64</v>
      </c>
      <c r="D1083" s="2">
        <v>43655</v>
      </c>
      <c r="E1083">
        <v>26.69</v>
      </c>
      <c r="F1083">
        <v>-0.01</v>
      </c>
      <c r="G1083">
        <v>-0.13000000000000256</v>
      </c>
      <c r="H1083" s="5">
        <f t="shared" si="146"/>
        <v>-3.7467216185837392E-4</v>
      </c>
      <c r="I1083" s="3">
        <f t="shared" si="143"/>
        <v>0.20382230672625529</v>
      </c>
      <c r="J1083" s="5">
        <f t="shared" si="147"/>
        <v>-4.870738104158957E-3</v>
      </c>
      <c r="K1083" s="3">
        <f t="shared" si="144"/>
        <v>0.11380599030239416</v>
      </c>
      <c r="L1083" s="3">
        <f t="shared" si="145"/>
        <v>0.17918192963787974</v>
      </c>
    </row>
    <row r="1084" spans="1:12" x14ac:dyDescent="0.25">
      <c r="A1084" s="26">
        <v>26.6</v>
      </c>
      <c r="B1084">
        <v>26.52</v>
      </c>
      <c r="C1084">
        <v>1.97</v>
      </c>
      <c r="D1084" s="2">
        <v>43654</v>
      </c>
      <c r="E1084">
        <v>26.63</v>
      </c>
      <c r="F1084">
        <v>-0.03</v>
      </c>
      <c r="G1084">
        <v>-0.10999999999999943</v>
      </c>
      <c r="H1084" s="5">
        <f t="shared" si="146"/>
        <v>-1.1265490048817123E-3</v>
      </c>
      <c r="I1084" s="3">
        <f t="shared" si="143"/>
        <v>8.733791545559294E-2</v>
      </c>
      <c r="J1084" s="5">
        <f t="shared" si="147"/>
        <v>-4.1306796845662578E-3</v>
      </c>
      <c r="K1084" s="3">
        <f t="shared" si="144"/>
        <v>0.25359034176342649</v>
      </c>
      <c r="L1084" s="3">
        <f t="shared" si="145"/>
        <v>-0.54848370068003161</v>
      </c>
    </row>
    <row r="1085" spans="1:12" x14ac:dyDescent="0.25">
      <c r="A1085" s="26">
        <v>25.84</v>
      </c>
      <c r="B1085">
        <v>25.73</v>
      </c>
      <c r="C1085">
        <v>2.29</v>
      </c>
      <c r="D1085" s="2">
        <v>43651</v>
      </c>
      <c r="G1085">
        <v>25.73</v>
      </c>
      <c r="H1085" s="5" t="str">
        <f t="shared" si="146"/>
        <v/>
      </c>
      <c r="I1085" s="3" t="str">
        <f t="shared" si="143"/>
        <v xml:space="preserve"> </v>
      </c>
      <c r="J1085" s="5" t="str">
        <f t="shared" si="147"/>
        <v/>
      </c>
      <c r="K1085" s="3" t="str">
        <f t="shared" si="144"/>
        <v xml:space="preserve"> </v>
      </c>
      <c r="L1085" s="3">
        <f t="shared" si="145"/>
        <v>-0.20040368393548122</v>
      </c>
    </row>
    <row r="1086" spans="1:12" x14ac:dyDescent="0.25">
      <c r="A1086" s="26">
        <v>26.22</v>
      </c>
      <c r="B1086">
        <v>26.25</v>
      </c>
      <c r="C1086">
        <v>2.0499999999999998</v>
      </c>
      <c r="D1086" s="2">
        <v>43650</v>
      </c>
      <c r="E1086">
        <v>26.34</v>
      </c>
      <c r="F1086">
        <v>-0.12</v>
      </c>
      <c r="G1086">
        <v>-8.9999999999999858E-2</v>
      </c>
      <c r="H1086" s="5">
        <f t="shared" si="146"/>
        <v>-4.5558086560364463E-3</v>
      </c>
      <c r="I1086" s="3">
        <f t="shared" si="143"/>
        <v>-0.47335147281023071</v>
      </c>
      <c r="J1086" s="5">
        <f t="shared" si="147"/>
        <v>-3.4168564920273293E-3</v>
      </c>
      <c r="K1086" s="3">
        <f t="shared" si="144"/>
        <v>0.393242870758161</v>
      </c>
      <c r="L1086" s="3">
        <f t="shared" si="145"/>
        <v>-0.45865575318306268</v>
      </c>
    </row>
    <row r="1087" spans="1:12" x14ac:dyDescent="0.25">
      <c r="A1087" s="26">
        <v>26.33</v>
      </c>
      <c r="B1087">
        <v>26.49</v>
      </c>
      <c r="C1087">
        <v>1.77</v>
      </c>
      <c r="D1087" s="2">
        <v>43649</v>
      </c>
      <c r="E1087">
        <v>26.58</v>
      </c>
      <c r="F1087">
        <v>-0.25</v>
      </c>
      <c r="G1087">
        <v>-8.9999999999999858E-2</v>
      </c>
      <c r="H1087" s="5">
        <f t="shared" si="146"/>
        <v>-9.4055680963130179E-3</v>
      </c>
      <c r="I1087" s="3">
        <f t="shared" si="143"/>
        <v>-1.2740397601193505</v>
      </c>
      <c r="J1087" s="5">
        <f t="shared" si="147"/>
        <v>-3.386004514672681E-3</v>
      </c>
      <c r="K1087" s="3">
        <f t="shared" si="144"/>
        <v>0.40168793877171943</v>
      </c>
      <c r="L1087" s="3">
        <f t="shared" si="145"/>
        <v>-0.76412174999194804</v>
      </c>
    </row>
    <row r="1088" spans="1:12" x14ac:dyDescent="0.25">
      <c r="A1088" s="26">
        <v>27.22</v>
      </c>
      <c r="B1088">
        <v>27.01</v>
      </c>
      <c r="C1088">
        <v>2.4500000000000002</v>
      </c>
      <c r="D1088" s="2">
        <v>43648</v>
      </c>
      <c r="E1088">
        <v>27.1</v>
      </c>
      <c r="F1088">
        <v>0.12</v>
      </c>
      <c r="G1088">
        <v>-8.9999999999999858E-2</v>
      </c>
      <c r="H1088" s="5">
        <f t="shared" si="146"/>
        <v>4.4280442804428043E-3</v>
      </c>
      <c r="I1088" s="3">
        <f t="shared" si="143"/>
        <v>0.99395615826685968</v>
      </c>
      <c r="J1088" s="5">
        <f t="shared" si="147"/>
        <v>-3.3210332103320978E-3</v>
      </c>
      <c r="K1088" s="3">
        <f t="shared" si="144"/>
        <v>0.41490282596124411</v>
      </c>
      <c r="L1088" s="3">
        <f t="shared" si="145"/>
        <v>-2.1978622046105276E-2</v>
      </c>
    </row>
    <row r="1089" spans="1:12" x14ac:dyDescent="0.25">
      <c r="A1089" s="26">
        <v>26.72</v>
      </c>
      <c r="B1089">
        <v>26.72</v>
      </c>
      <c r="C1089">
        <v>2.09</v>
      </c>
      <c r="D1089" s="2">
        <v>43647</v>
      </c>
      <c r="E1089">
        <v>26.83</v>
      </c>
      <c r="F1089">
        <v>-0.11</v>
      </c>
      <c r="G1089">
        <v>-0.10999999999999943</v>
      </c>
      <c r="H1089" s="5">
        <f t="shared" si="146"/>
        <v>-4.0998881848676857E-3</v>
      </c>
      <c r="I1089" s="3">
        <f t="shared" si="143"/>
        <v>-0.40434893184730114</v>
      </c>
      <c r="J1089" s="5">
        <f t="shared" si="147"/>
        <v>-4.0998881848676649E-3</v>
      </c>
      <c r="K1089" s="3">
        <f t="shared" si="144"/>
        <v>0.27078803501039861</v>
      </c>
      <c r="L1089" s="3">
        <f t="shared" si="145"/>
        <v>-0.41419890828376449</v>
      </c>
    </row>
    <row r="1090" spans="1:12" x14ac:dyDescent="0.25">
      <c r="A1090" s="26">
        <v>26.4</v>
      </c>
      <c r="B1090">
        <v>26.32</v>
      </c>
      <c r="C1090">
        <v>2.2799999999999998</v>
      </c>
      <c r="D1090" s="2">
        <v>43644</v>
      </c>
      <c r="E1090">
        <v>26.42</v>
      </c>
      <c r="F1090">
        <v>-0.02</v>
      </c>
      <c r="G1090">
        <v>-0.10000000000000142</v>
      </c>
      <c r="H1090" s="5">
        <f t="shared" si="146"/>
        <v>-7.5700227100681302E-4</v>
      </c>
      <c r="I1090" s="3">
        <f t="shared" si="143"/>
        <v>0.14341106292442013</v>
      </c>
      <c r="J1090" s="5">
        <f t="shared" si="147"/>
        <v>-3.7850113550341184E-3</v>
      </c>
      <c r="K1090" s="3">
        <f t="shared" si="144"/>
        <v>0.33005493097972533</v>
      </c>
      <c r="L1090" s="3">
        <f t="shared" si="145"/>
        <v>-0.20802256002258454</v>
      </c>
    </row>
    <row r="1091" spans="1:12" x14ac:dyDescent="0.25">
      <c r="A1091" s="26">
        <v>27.1</v>
      </c>
      <c r="B1091">
        <v>27.02</v>
      </c>
      <c r="C1091">
        <v>2.3199999999999998</v>
      </c>
      <c r="D1091" s="2">
        <v>43643</v>
      </c>
      <c r="E1091">
        <v>27.11</v>
      </c>
      <c r="F1091">
        <v>-0.01</v>
      </c>
      <c r="G1091">
        <v>-8.9999999999999858E-2</v>
      </c>
      <c r="H1091" s="5">
        <f t="shared" si="146"/>
        <v>-3.6886757654002215E-4</v>
      </c>
      <c r="I1091" s="3">
        <f t="shared" ref="I1091:I1154" si="148">IFERROR((H1091-AVERAGEA(H1091:H1307))/_xlfn.STDEV.S(H1091:H1307), " ")</f>
        <v>0.2073322761562604</v>
      </c>
      <c r="J1091" s="5">
        <f t="shared" si="147"/>
        <v>-3.319808188860194E-3</v>
      </c>
      <c r="K1091" s="3">
        <f t="shared" ref="K1091:K1154" si="149">IFERROR((J1091-AVERAGEA(J1091:J1307))/_xlfn.STDEV.S(J1091:J1307), " ")</f>
        <v>0.41729232624242207</v>
      </c>
      <c r="L1091" s="3">
        <f t="shared" ref="L1091:L1154" si="150">(C1091-AVERAGEA(C1091:C1307))/_xlfn.STDEV.S(C1091:C1307)</f>
        <v>-0.16435543013150689</v>
      </c>
    </row>
    <row r="1092" spans="1:12" x14ac:dyDescent="0.25">
      <c r="A1092" s="26">
        <v>25.64</v>
      </c>
      <c r="B1092">
        <v>25.57</v>
      </c>
      <c r="C1092">
        <v>1.62</v>
      </c>
      <c r="D1092" s="2">
        <v>43640</v>
      </c>
      <c r="E1092">
        <v>25.67</v>
      </c>
      <c r="F1092">
        <v>-0.03</v>
      </c>
      <c r="G1092">
        <v>-0.10000000000000142</v>
      </c>
      <c r="H1092" s="5">
        <f t="shared" ref="H1092:H1155" si="151">IFERROR(F1092/E1092,"")</f>
        <v>-1.1686793922867159E-3</v>
      </c>
      <c r="I1092" s="3">
        <f t="shared" si="148"/>
        <v>7.7120016172386882E-2</v>
      </c>
      <c r="J1092" s="5">
        <f t="shared" ref="J1092:J1155" si="152">IFERROR(G1092/E1092,"")</f>
        <v>-3.8955979742891084E-3</v>
      </c>
      <c r="K1092" s="3">
        <f t="shared" si="149"/>
        <v>0.31173517993993499</v>
      </c>
      <c r="L1092" s="3">
        <f t="shared" si="150"/>
        <v>-0.92626427506234765</v>
      </c>
    </row>
    <row r="1093" spans="1:12" x14ac:dyDescent="0.25">
      <c r="A1093" s="26">
        <v>24.87</v>
      </c>
      <c r="B1093">
        <v>24.8</v>
      </c>
      <c r="C1093">
        <v>1.68</v>
      </c>
      <c r="D1093" s="2">
        <v>43637</v>
      </c>
      <c r="E1093">
        <v>24.88</v>
      </c>
      <c r="F1093">
        <v>-0.01</v>
      </c>
      <c r="G1093">
        <v>-7.9999999999998295E-2</v>
      </c>
      <c r="H1093" s="5">
        <f t="shared" si="151"/>
        <v>-4.0192926045016082E-4</v>
      </c>
      <c r="I1093" s="3">
        <f t="shared" si="148"/>
        <v>0.20232324067351634</v>
      </c>
      <c r="J1093" s="5">
        <f t="shared" si="152"/>
        <v>-3.2154340836012176E-3</v>
      </c>
      <c r="K1093" s="3">
        <f t="shared" si="149"/>
        <v>0.43832321758090725</v>
      </c>
      <c r="L1093" s="3">
        <f t="shared" si="150"/>
        <v>-0.86481347105747486</v>
      </c>
    </row>
    <row r="1094" spans="1:12" x14ac:dyDescent="0.25">
      <c r="A1094" s="26">
        <v>24.86</v>
      </c>
      <c r="B1094">
        <v>24.78</v>
      </c>
      <c r="C1094">
        <v>1.93</v>
      </c>
      <c r="D1094" s="2">
        <v>43636</v>
      </c>
      <c r="E1094">
        <v>24.9</v>
      </c>
      <c r="F1094">
        <v>-0.04</v>
      </c>
      <c r="G1094">
        <v>-0.11999999999999744</v>
      </c>
      <c r="H1094" s="5">
        <f t="shared" si="151"/>
        <v>-1.606425702811245E-3</v>
      </c>
      <c r="I1094" s="3">
        <f t="shared" si="148"/>
        <v>6.8748712953544218E-3</v>
      </c>
      <c r="J1094" s="5">
        <f t="shared" si="152"/>
        <v>-4.8192771084336321E-3</v>
      </c>
      <c r="K1094" s="3">
        <f t="shared" si="149"/>
        <v>0.1435380549136874</v>
      </c>
      <c r="L1094" s="3">
        <f t="shared" si="150"/>
        <v>-0.59582139397086786</v>
      </c>
    </row>
    <row r="1095" spans="1:12" x14ac:dyDescent="0.25">
      <c r="A1095" s="26">
        <v>24.98</v>
      </c>
      <c r="B1095">
        <v>24.93</v>
      </c>
      <c r="C1095">
        <v>1.65</v>
      </c>
      <c r="D1095" s="2">
        <v>43635</v>
      </c>
      <c r="E1095">
        <v>24.98</v>
      </c>
      <c r="F1095">
        <v>0</v>
      </c>
      <c r="G1095">
        <v>-5.0000000000000711E-2</v>
      </c>
      <c r="H1095" s="5">
        <f t="shared" si="151"/>
        <v>0</v>
      </c>
      <c r="I1095" s="3">
        <f t="shared" si="148"/>
        <v>0.26759810436441789</v>
      </c>
      <c r="J1095" s="5">
        <f t="shared" si="152"/>
        <v>-2.0016012810248483E-3</v>
      </c>
      <c r="K1095" s="3">
        <f t="shared" si="149"/>
        <v>0.66273084663702042</v>
      </c>
      <c r="L1095" s="3">
        <f t="shared" si="150"/>
        <v>-0.90245519675102104</v>
      </c>
    </row>
    <row r="1096" spans="1:12" x14ac:dyDescent="0.25">
      <c r="A1096" s="26">
        <v>24.98</v>
      </c>
      <c r="B1096">
        <v>24.85</v>
      </c>
      <c r="C1096">
        <v>2.0099999999999998</v>
      </c>
      <c r="D1096" s="2">
        <v>43634</v>
      </c>
      <c r="E1096">
        <v>24.93</v>
      </c>
      <c r="F1096">
        <v>0.05</v>
      </c>
      <c r="G1096">
        <v>-7.9999999999998295E-2</v>
      </c>
      <c r="H1096" s="5">
        <f t="shared" si="151"/>
        <v>2.0056157240272766E-3</v>
      </c>
      <c r="I1096" s="3">
        <f t="shared" si="148"/>
        <v>0.59304815476865391</v>
      </c>
      <c r="J1096" s="5">
        <f t="shared" si="152"/>
        <v>-3.2089851584435739E-3</v>
      </c>
      <c r="K1096" s="3">
        <f t="shared" si="149"/>
        <v>0.44299305709998088</v>
      </c>
      <c r="L1096" s="3">
        <f t="shared" si="150"/>
        <v>-0.51464809079300688</v>
      </c>
    </row>
    <row r="1097" spans="1:12" x14ac:dyDescent="0.25">
      <c r="A1097" s="26">
        <v>24.78</v>
      </c>
      <c r="B1097">
        <v>24.75</v>
      </c>
      <c r="C1097">
        <v>1.52</v>
      </c>
      <c r="D1097" s="2">
        <v>43633</v>
      </c>
      <c r="E1097">
        <v>24.82</v>
      </c>
      <c r="F1097">
        <v>-0.04</v>
      </c>
      <c r="G1097">
        <v>-7.0000000000000284E-2</v>
      </c>
      <c r="H1097" s="5">
        <f t="shared" si="151"/>
        <v>-1.6116035455278001E-3</v>
      </c>
      <c r="I1097" s="3">
        <f t="shared" si="148"/>
        <v>1.0170063254733325E-2</v>
      </c>
      <c r="J1097" s="5">
        <f t="shared" si="152"/>
        <v>-2.8203062046736616E-3</v>
      </c>
      <c r="K1097" s="3">
        <f t="shared" si="149"/>
        <v>0.51560401973999492</v>
      </c>
      <c r="L1097" s="3">
        <f t="shared" si="150"/>
        <v>-1.0483408724178542</v>
      </c>
    </row>
    <row r="1098" spans="1:12" x14ac:dyDescent="0.25">
      <c r="A1098" s="26">
        <v>24.67</v>
      </c>
      <c r="B1098">
        <v>24.67</v>
      </c>
      <c r="C1098">
        <v>1.48</v>
      </c>
      <c r="D1098" s="2">
        <v>43630</v>
      </c>
      <c r="E1098">
        <v>24.72</v>
      </c>
      <c r="F1098">
        <v>-0.05</v>
      </c>
      <c r="G1098">
        <v>-4.9999999999997158E-2</v>
      </c>
      <c r="H1098" s="5">
        <f t="shared" si="151"/>
        <v>-2.0226537216828482E-3</v>
      </c>
      <c r="I1098" s="3">
        <f t="shared" si="148"/>
        <v>-5.6100012891443209E-2</v>
      </c>
      <c r="J1098" s="5">
        <f t="shared" si="152"/>
        <v>-2.0226537216827332E-3</v>
      </c>
      <c r="K1098" s="3">
        <f t="shared" si="149"/>
        <v>0.66331857779377457</v>
      </c>
      <c r="L1098" s="3">
        <f t="shared" si="150"/>
        <v>-1.0970233868496149</v>
      </c>
    </row>
    <row r="1099" spans="1:12" x14ac:dyDescent="0.25">
      <c r="A1099" s="26">
        <v>24.92</v>
      </c>
      <c r="B1099">
        <v>24.83</v>
      </c>
      <c r="C1099">
        <v>1.74</v>
      </c>
      <c r="D1099" s="2">
        <v>43629</v>
      </c>
      <c r="E1099">
        <v>24.87</v>
      </c>
      <c r="F1099">
        <v>0.05</v>
      </c>
      <c r="G1099">
        <v>-4.00000000000027E-2</v>
      </c>
      <c r="H1099" s="5">
        <f t="shared" si="151"/>
        <v>2.0104543626859673E-3</v>
      </c>
      <c r="I1099" s="3">
        <f t="shared" si="148"/>
        <v>0.59264412579502246</v>
      </c>
      <c r="J1099" s="5">
        <f t="shared" si="152"/>
        <v>-1.6083634901488822E-3</v>
      </c>
      <c r="K1099" s="3">
        <f t="shared" si="149"/>
        <v>0.74144192091499195</v>
      </c>
      <c r="L1099" s="3">
        <f t="shared" si="150"/>
        <v>-0.82021607349060988</v>
      </c>
    </row>
    <row r="1100" spans="1:12" x14ac:dyDescent="0.25">
      <c r="A1100" s="26">
        <v>25.12</v>
      </c>
      <c r="B1100">
        <v>24.97</v>
      </c>
      <c r="C1100">
        <v>1.91</v>
      </c>
      <c r="D1100" s="2">
        <v>43627</v>
      </c>
      <c r="E1100">
        <v>25.06</v>
      </c>
      <c r="F1100">
        <v>0.06</v>
      </c>
      <c r="G1100">
        <v>-8.9999999999999858E-2</v>
      </c>
      <c r="H1100" s="5">
        <f t="shared" si="151"/>
        <v>2.3942537909018356E-3</v>
      </c>
      <c r="I1100" s="3">
        <f t="shared" si="148"/>
        <v>0.65625309161717393</v>
      </c>
      <c r="J1100" s="5">
        <f t="shared" si="152"/>
        <v>-3.591380686352748E-3</v>
      </c>
      <c r="K1100" s="3">
        <f t="shared" si="149"/>
        <v>0.38184949170321325</v>
      </c>
      <c r="L1100" s="3">
        <f t="shared" si="150"/>
        <v>-0.63887712972039001</v>
      </c>
    </row>
    <row r="1101" spans="1:12" x14ac:dyDescent="0.25">
      <c r="A1101" s="26">
        <v>24.24</v>
      </c>
      <c r="B1101">
        <v>24.1</v>
      </c>
      <c r="C1101">
        <v>1.69</v>
      </c>
      <c r="D1101" s="2">
        <v>43623</v>
      </c>
      <c r="E1101">
        <v>24.19</v>
      </c>
      <c r="F1101">
        <v>0.05</v>
      </c>
      <c r="G1101">
        <v>-8.9999999999999858E-2</v>
      </c>
      <c r="H1101" s="5">
        <f t="shared" si="151"/>
        <v>2.0669698222405952E-3</v>
      </c>
      <c r="I1101" s="3">
        <f t="shared" si="148"/>
        <v>0.60606306205350136</v>
      </c>
      <c r="J1101" s="5">
        <f t="shared" si="152"/>
        <v>-3.7205456800330655E-3</v>
      </c>
      <c r="K1101" s="3">
        <f t="shared" si="149"/>
        <v>0.35936655216089697</v>
      </c>
      <c r="L1101" s="3">
        <f t="shared" si="150"/>
        <v>-0.87961914976300326</v>
      </c>
    </row>
    <row r="1102" spans="1:12" x14ac:dyDescent="0.25">
      <c r="A1102" s="26">
        <v>24.07</v>
      </c>
      <c r="B1102">
        <v>23.95</v>
      </c>
      <c r="C1102">
        <v>1.87</v>
      </c>
      <c r="D1102" s="2">
        <v>43622</v>
      </c>
      <c r="E1102">
        <v>24.02</v>
      </c>
      <c r="F1102">
        <v>0.05</v>
      </c>
      <c r="G1102">
        <v>-7.0000000000000284E-2</v>
      </c>
      <c r="H1102" s="5">
        <f t="shared" si="151"/>
        <v>2.081598667776853E-3</v>
      </c>
      <c r="I1102" s="3">
        <f t="shared" si="148"/>
        <v>0.61045270344667746</v>
      </c>
      <c r="J1102" s="5">
        <f t="shared" si="152"/>
        <v>-2.9142381348876054E-3</v>
      </c>
      <c r="K1102" s="3">
        <f t="shared" si="149"/>
        <v>0.5070957373820083</v>
      </c>
      <c r="L1102" s="3">
        <f t="shared" si="150"/>
        <v>-0.68829241328661872</v>
      </c>
    </row>
    <row r="1103" spans="1:12" x14ac:dyDescent="0.25">
      <c r="A1103" s="26">
        <v>24.42</v>
      </c>
      <c r="B1103">
        <v>24.32</v>
      </c>
      <c r="C1103">
        <v>1.59</v>
      </c>
      <c r="D1103" s="2">
        <v>43621</v>
      </c>
      <c r="E1103">
        <v>24.36</v>
      </c>
      <c r="F1103">
        <v>0.06</v>
      </c>
      <c r="G1103">
        <v>-3.9999999999999147E-2</v>
      </c>
      <c r="H1103" s="5">
        <f t="shared" si="151"/>
        <v>2.4630541871921183E-3</v>
      </c>
      <c r="I1103" s="3">
        <f t="shared" si="148"/>
        <v>0.67352995212440614</v>
      </c>
      <c r="J1103" s="5">
        <f t="shared" si="152"/>
        <v>-1.6420361247947105E-3</v>
      </c>
      <c r="K1103" s="3">
        <f t="shared" si="149"/>
        <v>0.7397598505318802</v>
      </c>
      <c r="L1103" s="3">
        <f t="shared" si="150"/>
        <v>-0.99385184252608572</v>
      </c>
    </row>
    <row r="1104" spans="1:12" x14ac:dyDescent="0.25">
      <c r="A1104" s="26">
        <v>23.86</v>
      </c>
      <c r="B1104">
        <v>23.78</v>
      </c>
      <c r="C1104">
        <v>1.6</v>
      </c>
      <c r="D1104" s="2">
        <v>43620</v>
      </c>
      <c r="E1104">
        <v>23.79</v>
      </c>
      <c r="F1104">
        <v>7.0000000000000007E-2</v>
      </c>
      <c r="G1104">
        <v>-9.9999999999980105E-3</v>
      </c>
      <c r="H1104" s="5">
        <f t="shared" si="151"/>
        <v>2.9424127784783527E-3</v>
      </c>
      <c r="I1104" s="3">
        <f t="shared" si="148"/>
        <v>0.75252217212702344</v>
      </c>
      <c r="J1104" s="5">
        <f t="shared" si="152"/>
        <v>-4.2034468263968101E-4</v>
      </c>
      <c r="K1104" s="3">
        <f t="shared" si="149"/>
        <v>0.96427761981962445</v>
      </c>
      <c r="L1104" s="3">
        <f t="shared" si="150"/>
        <v>-0.98785687249948995</v>
      </c>
    </row>
    <row r="1105" spans="1:12" x14ac:dyDescent="0.25">
      <c r="A1105" s="26">
        <v>23.96</v>
      </c>
      <c r="B1105">
        <v>24.01</v>
      </c>
      <c r="C1105">
        <v>1.58</v>
      </c>
      <c r="D1105" s="2">
        <v>43619</v>
      </c>
      <c r="E1105">
        <v>24.11</v>
      </c>
      <c r="F1105">
        <v>-0.15</v>
      </c>
      <c r="G1105">
        <v>-9.9999999999997868E-2</v>
      </c>
      <c r="H1105" s="5">
        <f t="shared" si="151"/>
        <v>-6.2214848610535048E-3</v>
      </c>
      <c r="I1105" s="3">
        <f t="shared" si="148"/>
        <v>-0.70629695277430538</v>
      </c>
      <c r="J1105" s="5">
        <f t="shared" si="152"/>
        <v>-4.1476565740355817E-3</v>
      </c>
      <c r="K1105" s="3">
        <f t="shared" si="149"/>
        <v>0.29280817854108387</v>
      </c>
      <c r="L1105" s="3">
        <f t="shared" si="150"/>
        <v>-1.0143005868505162</v>
      </c>
    </row>
    <row r="1106" spans="1:12" x14ac:dyDescent="0.25">
      <c r="A1106" s="26">
        <v>25.3</v>
      </c>
      <c r="B1106">
        <v>25.17</v>
      </c>
      <c r="C1106">
        <v>2.08</v>
      </c>
      <c r="D1106" s="2">
        <v>43613</v>
      </c>
      <c r="E1106">
        <v>25.29</v>
      </c>
      <c r="F1106">
        <v>0.01</v>
      </c>
      <c r="G1106">
        <v>-0.11999999999999744</v>
      </c>
      <c r="H1106" s="5">
        <f t="shared" si="151"/>
        <v>3.9541320680110717E-4</v>
      </c>
      <c r="I1106" s="3">
        <f t="shared" si="148"/>
        <v>0.3451937759618639</v>
      </c>
      <c r="J1106" s="5">
        <f t="shared" si="152"/>
        <v>-4.7449584816131847E-3</v>
      </c>
      <c r="K1106" s="3">
        <f t="shared" si="149"/>
        <v>0.18550341477591945</v>
      </c>
      <c r="L1106" s="3">
        <f t="shared" si="150"/>
        <v>-0.47812222927020037</v>
      </c>
    </row>
    <row r="1107" spans="1:12" x14ac:dyDescent="0.25">
      <c r="A1107" s="26">
        <v>25.61</v>
      </c>
      <c r="B1107">
        <v>25.65</v>
      </c>
      <c r="C1107">
        <v>1.65</v>
      </c>
      <c r="D1107" s="2">
        <v>43609</v>
      </c>
      <c r="E1107">
        <v>25.75</v>
      </c>
      <c r="F1107">
        <v>-0.14000000000000001</v>
      </c>
      <c r="G1107">
        <v>-0.10000000000000142</v>
      </c>
      <c r="H1107" s="5">
        <f t="shared" si="151"/>
        <v>-5.436893203883496E-3</v>
      </c>
      <c r="I1107" s="3">
        <f t="shared" si="148"/>
        <v>-0.58091615935754515</v>
      </c>
      <c r="J1107" s="5">
        <f t="shared" si="152"/>
        <v>-3.8834951456311233E-3</v>
      </c>
      <c r="K1107" s="3">
        <f t="shared" si="149"/>
        <v>0.34151797315016402</v>
      </c>
      <c r="L1107" s="3">
        <f t="shared" si="150"/>
        <v>-0.94416572865656201</v>
      </c>
    </row>
    <row r="1108" spans="1:12" x14ac:dyDescent="0.25">
      <c r="A1108" s="26">
        <v>26.05</v>
      </c>
      <c r="B1108">
        <v>26.05</v>
      </c>
      <c r="C1108">
        <v>1.82</v>
      </c>
      <c r="D1108" s="2">
        <v>43608</v>
      </c>
      <c r="E1108">
        <v>26.16</v>
      </c>
      <c r="F1108">
        <v>-0.11</v>
      </c>
      <c r="G1108">
        <v>-0.10999999999999943</v>
      </c>
      <c r="H1108" s="5">
        <f t="shared" si="151"/>
        <v>-4.2048929663608559E-3</v>
      </c>
      <c r="I1108" s="3">
        <f t="shared" si="148"/>
        <v>-0.38738916113533839</v>
      </c>
      <c r="J1108" s="5">
        <f t="shared" si="152"/>
        <v>-4.2048929663608342E-3</v>
      </c>
      <c r="K1108" s="3">
        <f t="shared" si="149"/>
        <v>0.28459112476049153</v>
      </c>
      <c r="L1108" s="3">
        <f t="shared" si="150"/>
        <v>-0.76498705118483212</v>
      </c>
    </row>
    <row r="1109" spans="1:12" x14ac:dyDescent="0.25">
      <c r="A1109" s="26">
        <v>25.4</v>
      </c>
      <c r="B1109">
        <v>25.24</v>
      </c>
      <c r="C1109">
        <v>2.1</v>
      </c>
      <c r="D1109" s="2">
        <v>43607</v>
      </c>
      <c r="E1109">
        <v>25.36</v>
      </c>
      <c r="F1109">
        <v>0.04</v>
      </c>
      <c r="G1109">
        <v>-0.12000000000000099</v>
      </c>
      <c r="H1109" s="5">
        <f t="shared" si="151"/>
        <v>1.577287066246057E-3</v>
      </c>
      <c r="I1109" s="3">
        <f t="shared" si="148"/>
        <v>0.52703643265551914</v>
      </c>
      <c r="J1109" s="5">
        <f t="shared" si="152"/>
        <v>-4.7318611987382094E-3</v>
      </c>
      <c r="K1109" s="3">
        <f t="shared" si="149"/>
        <v>0.19067434601312996</v>
      </c>
      <c r="L1109" s="3">
        <f t="shared" si="150"/>
        <v>-0.46588213024541963</v>
      </c>
    </row>
    <row r="1110" spans="1:12" x14ac:dyDescent="0.25">
      <c r="A1110" s="26">
        <v>25.01</v>
      </c>
      <c r="B1110">
        <v>24.94</v>
      </c>
      <c r="C1110">
        <v>2.14</v>
      </c>
      <c r="D1110" s="2">
        <v>43606</v>
      </c>
      <c r="E1110">
        <v>24.96</v>
      </c>
      <c r="F1110">
        <v>0.05</v>
      </c>
      <c r="G1110">
        <v>-1.9999999999999574E-2</v>
      </c>
      <c r="H1110" s="5">
        <f t="shared" si="151"/>
        <v>2.0032051282051285E-3</v>
      </c>
      <c r="I1110" s="3">
        <f t="shared" si="148"/>
        <v>0.59608183538843484</v>
      </c>
      <c r="J1110" s="5">
        <f t="shared" si="152"/>
        <v>-8.0128205128203412E-4</v>
      </c>
      <c r="K1110" s="3">
        <f t="shared" si="149"/>
        <v>0.89578794451083743</v>
      </c>
      <c r="L1110" s="3">
        <f t="shared" si="150"/>
        <v>-0.42422427009466096</v>
      </c>
    </row>
    <row r="1111" spans="1:12" x14ac:dyDescent="0.25">
      <c r="A1111" s="26">
        <v>24.91</v>
      </c>
      <c r="B1111">
        <v>24.75</v>
      </c>
      <c r="C1111">
        <v>2.4500000000000002</v>
      </c>
      <c r="D1111" s="2">
        <v>43605</v>
      </c>
      <c r="E1111">
        <v>24.86</v>
      </c>
      <c r="F1111">
        <v>0.05</v>
      </c>
      <c r="G1111">
        <v>-0.10999999999999943</v>
      </c>
      <c r="H1111" s="5">
        <f t="shared" si="151"/>
        <v>2.011263073209976E-3</v>
      </c>
      <c r="I1111" s="3">
        <f t="shared" si="148"/>
        <v>0.59944120674665602</v>
      </c>
      <c r="J1111" s="5">
        <f t="shared" si="152"/>
        <v>-4.4247787610619243E-3</v>
      </c>
      <c r="K1111" s="3">
        <f t="shared" si="149"/>
        <v>0.25074425357123392</v>
      </c>
      <c r="L1111" s="3">
        <f t="shared" si="150"/>
        <v>-9.2326425416865365E-2</v>
      </c>
    </row>
    <row r="1112" spans="1:12" x14ac:dyDescent="0.25">
      <c r="A1112" s="26">
        <v>25.01</v>
      </c>
      <c r="B1112">
        <v>24.99</v>
      </c>
      <c r="C1112">
        <v>1.7</v>
      </c>
      <c r="D1112" s="2">
        <v>43602</v>
      </c>
      <c r="E1112">
        <v>25.1</v>
      </c>
      <c r="F1112">
        <v>-0.09</v>
      </c>
      <c r="G1112">
        <v>-0.11000000000000298</v>
      </c>
      <c r="H1112" s="5">
        <f t="shared" si="151"/>
        <v>-3.5856573705179279E-3</v>
      </c>
      <c r="I1112" s="3">
        <f t="shared" si="148"/>
        <v>-0.28006973860292017</v>
      </c>
      <c r="J1112" s="5">
        <f t="shared" si="152"/>
        <v>-4.3824701195220306E-3</v>
      </c>
      <c r="K1112" s="3">
        <f t="shared" si="149"/>
        <v>0.25899639497028243</v>
      </c>
      <c r="L1112" s="3">
        <f t="shared" si="150"/>
        <v>-0.89655476195404349</v>
      </c>
    </row>
    <row r="1113" spans="1:12" x14ac:dyDescent="0.25">
      <c r="A1113" s="26">
        <v>25.81</v>
      </c>
      <c r="B1113">
        <v>25.81</v>
      </c>
      <c r="C1113">
        <v>1.63</v>
      </c>
      <c r="D1113" s="2">
        <v>43601</v>
      </c>
      <c r="E1113">
        <v>25.9</v>
      </c>
      <c r="F1113">
        <v>-0.09</v>
      </c>
      <c r="G1113">
        <v>-8.9999999999999858E-2</v>
      </c>
      <c r="H1113" s="5">
        <f t="shared" si="151"/>
        <v>-3.4749034749034752E-3</v>
      </c>
      <c r="I1113" s="3">
        <f t="shared" si="148"/>
        <v>-0.26345224160813258</v>
      </c>
      <c r="J1113" s="5">
        <f t="shared" si="152"/>
        <v>-3.4749034749034695E-3</v>
      </c>
      <c r="K1113" s="3">
        <f t="shared" si="149"/>
        <v>0.42153306786820272</v>
      </c>
      <c r="L1113" s="3">
        <f t="shared" si="150"/>
        <v>-0.97568797081380709</v>
      </c>
    </row>
    <row r="1114" spans="1:12" x14ac:dyDescent="0.25">
      <c r="A1114" s="26">
        <v>25.03</v>
      </c>
      <c r="B1114">
        <v>24.89</v>
      </c>
      <c r="C1114">
        <v>1.9</v>
      </c>
      <c r="D1114" s="2">
        <v>43599</v>
      </c>
      <c r="E1114">
        <v>25.02</v>
      </c>
      <c r="F1114">
        <v>0.01</v>
      </c>
      <c r="G1114">
        <v>-0.12999999999999901</v>
      </c>
      <c r="H1114" s="5">
        <f t="shared" si="151"/>
        <v>3.996802557953637E-4</v>
      </c>
      <c r="I1114" s="3">
        <f t="shared" si="148"/>
        <v>0.34316870460032667</v>
      </c>
      <c r="J1114" s="5">
        <f t="shared" si="152"/>
        <v>-5.1958433253396887E-3</v>
      </c>
      <c r="K1114" s="3">
        <f t="shared" si="149"/>
        <v>0.11665840722071227</v>
      </c>
      <c r="L1114" s="3">
        <f t="shared" si="150"/>
        <v>-0.69131941795322271</v>
      </c>
    </row>
    <row r="1115" spans="1:12" x14ac:dyDescent="0.25">
      <c r="A1115" s="26">
        <v>25.25</v>
      </c>
      <c r="B1115">
        <v>25.19</v>
      </c>
      <c r="C1115">
        <v>1.77</v>
      </c>
      <c r="D1115" s="2">
        <v>43598</v>
      </c>
      <c r="E1115">
        <v>25.36</v>
      </c>
      <c r="F1115">
        <v>-0.11</v>
      </c>
      <c r="G1115">
        <v>-0.16999999999999815</v>
      </c>
      <c r="H1115" s="5">
        <f t="shared" si="151"/>
        <v>-4.3375394321766561E-3</v>
      </c>
      <c r="I1115" s="3">
        <f t="shared" si="148"/>
        <v>-0.39666680442545077</v>
      </c>
      <c r="J1115" s="5">
        <f t="shared" si="152"/>
        <v>-6.7034700315456684E-3</v>
      </c>
      <c r="K1115" s="3">
        <f t="shared" si="149"/>
        <v>-0.15055447277580877</v>
      </c>
      <c r="L1115" s="3">
        <f t="shared" si="150"/>
        <v>-0.83303707425534734</v>
      </c>
    </row>
    <row r="1116" spans="1:12" x14ac:dyDescent="0.25">
      <c r="A1116" s="26">
        <v>26.35</v>
      </c>
      <c r="B1116">
        <v>26.3</v>
      </c>
      <c r="C1116">
        <v>1.63</v>
      </c>
      <c r="D1116" s="2">
        <v>43595</v>
      </c>
      <c r="E1116">
        <v>26.42</v>
      </c>
      <c r="F1116">
        <v>-7.0000000000000007E-2</v>
      </c>
      <c r="G1116">
        <v>-0.12000000000000099</v>
      </c>
      <c r="H1116" s="5">
        <f t="shared" si="151"/>
        <v>-2.6495079485238456E-3</v>
      </c>
      <c r="I1116" s="3">
        <f t="shared" si="148"/>
        <v>-0.13448619574823073</v>
      </c>
      <c r="J1116" s="5">
        <f t="shared" si="152"/>
        <v>-4.5420136260409154E-3</v>
      </c>
      <c r="K1116" s="3">
        <f t="shared" si="149"/>
        <v>0.2315841394860424</v>
      </c>
      <c r="L1116" s="3">
        <f t="shared" si="150"/>
        <v>-0.98636347431434201</v>
      </c>
    </row>
    <row r="1117" spans="1:12" x14ac:dyDescent="0.25">
      <c r="A1117" s="26">
        <v>26.81</v>
      </c>
      <c r="B1117">
        <v>26.79</v>
      </c>
      <c r="C1117">
        <v>1.95</v>
      </c>
      <c r="D1117" s="2">
        <v>43594</v>
      </c>
      <c r="E1117">
        <v>26.91</v>
      </c>
      <c r="F1117">
        <v>-0.1</v>
      </c>
      <c r="G1117">
        <v>-0.12000000000000099</v>
      </c>
      <c r="H1117" s="5">
        <f t="shared" si="151"/>
        <v>-3.716090672612412E-3</v>
      </c>
      <c r="I1117" s="3">
        <f t="shared" si="148"/>
        <v>-0.30083916457604482</v>
      </c>
      <c r="J1117" s="5">
        <f t="shared" si="152"/>
        <v>-4.4593088071349313E-3</v>
      </c>
      <c r="K1117" s="3">
        <f t="shared" si="149"/>
        <v>0.24683311778321887</v>
      </c>
      <c r="L1117" s="3">
        <f t="shared" si="150"/>
        <v>-0.64936301001918428</v>
      </c>
    </row>
    <row r="1118" spans="1:12" x14ac:dyDescent="0.25">
      <c r="A1118" s="26">
        <v>25.82</v>
      </c>
      <c r="B1118">
        <v>25.74</v>
      </c>
      <c r="C1118">
        <v>2.11</v>
      </c>
      <c r="D1118" s="2">
        <v>43593</v>
      </c>
      <c r="E1118">
        <v>25.85</v>
      </c>
      <c r="F1118">
        <v>-0.03</v>
      </c>
      <c r="G1118">
        <v>-0.11000000000000298</v>
      </c>
      <c r="H1118" s="5">
        <f t="shared" si="151"/>
        <v>-1.1605415860735009E-3</v>
      </c>
      <c r="I1118" s="3">
        <f t="shared" si="148"/>
        <v>9.5023080706957877E-2</v>
      </c>
      <c r="J1118" s="5">
        <f t="shared" si="152"/>
        <v>-4.2553191489362856E-3</v>
      </c>
      <c r="K1118" s="3">
        <f t="shared" si="149"/>
        <v>0.28345357648795511</v>
      </c>
      <c r="L1118" s="3">
        <f t="shared" si="150"/>
        <v>-0.4809938184135516</v>
      </c>
    </row>
    <row r="1119" spans="1:12" x14ac:dyDescent="0.25">
      <c r="A1119" s="26">
        <v>25.65</v>
      </c>
      <c r="B1119">
        <v>25.53</v>
      </c>
      <c r="C1119">
        <v>1.69</v>
      </c>
      <c r="D1119" s="2">
        <v>43592</v>
      </c>
      <c r="E1119">
        <v>25.67</v>
      </c>
      <c r="F1119">
        <v>-0.02</v>
      </c>
      <c r="G1119">
        <v>-0.14000000000000057</v>
      </c>
      <c r="H1119" s="5">
        <f t="shared" si="151"/>
        <v>-7.7911959485781068E-4</v>
      </c>
      <c r="I1119" s="3">
        <f t="shared" si="148"/>
        <v>0.15433601263245453</v>
      </c>
      <c r="J1119" s="5">
        <f t="shared" si="152"/>
        <v>-5.4538371640046965E-3</v>
      </c>
      <c r="K1119" s="3">
        <f t="shared" si="149"/>
        <v>7.3754170208948894E-2</v>
      </c>
      <c r="L1119" s="3">
        <f t="shared" si="150"/>
        <v>-0.92994094536787864</v>
      </c>
    </row>
    <row r="1120" spans="1:12" x14ac:dyDescent="0.25">
      <c r="A1120" s="26">
        <v>24.32</v>
      </c>
      <c r="B1120">
        <v>24.33</v>
      </c>
      <c r="C1120">
        <v>1.8</v>
      </c>
      <c r="D1120" s="2">
        <v>43588</v>
      </c>
      <c r="E1120">
        <v>24.45</v>
      </c>
      <c r="F1120">
        <v>-0.13</v>
      </c>
      <c r="G1120">
        <v>-0.12000000000000099</v>
      </c>
      <c r="H1120" s="5">
        <f t="shared" si="151"/>
        <v>-5.3169734151329246E-3</v>
      </c>
      <c r="I1120" s="3">
        <f t="shared" si="148"/>
        <v>-0.54596642114862781</v>
      </c>
      <c r="J1120" s="5">
        <f t="shared" si="152"/>
        <v>-4.9079754601227404E-3</v>
      </c>
      <c r="K1120" s="3">
        <f t="shared" si="149"/>
        <v>0.1695766776733259</v>
      </c>
      <c r="L1120" s="3">
        <f t="shared" si="150"/>
        <v>-0.81740263619056197</v>
      </c>
    </row>
    <row r="1121" spans="1:12" x14ac:dyDescent="0.25">
      <c r="A1121" s="26">
        <v>25.04</v>
      </c>
      <c r="B1121">
        <v>25.06</v>
      </c>
      <c r="C1121">
        <v>1.97</v>
      </c>
      <c r="D1121" s="2">
        <v>43587</v>
      </c>
      <c r="E1121">
        <v>25.17</v>
      </c>
      <c r="F1121">
        <v>-0.13</v>
      </c>
      <c r="G1121">
        <v>-0.11000000000000298</v>
      </c>
      <c r="H1121" s="5">
        <f t="shared" si="151"/>
        <v>-5.1648788239968216E-3</v>
      </c>
      <c r="I1121" s="3">
        <f t="shared" si="148"/>
        <v>-0.52445558989109176</v>
      </c>
      <c r="J1121" s="5">
        <f t="shared" si="152"/>
        <v>-4.3702820818435828E-3</v>
      </c>
      <c r="K1121" s="3">
        <f t="shared" si="149"/>
        <v>0.26399143274666198</v>
      </c>
      <c r="L1121" s="3">
        <f t="shared" si="150"/>
        <v>-0.64016355674873204</v>
      </c>
    </row>
    <row r="1122" spans="1:12" x14ac:dyDescent="0.25">
      <c r="A1122" s="26">
        <v>25.85</v>
      </c>
      <c r="B1122">
        <v>25.71</v>
      </c>
      <c r="C1122">
        <v>2.34</v>
      </c>
      <c r="D1122" s="2">
        <v>43585</v>
      </c>
      <c r="E1122">
        <v>25.81</v>
      </c>
      <c r="F1122">
        <v>0.04</v>
      </c>
      <c r="G1122">
        <v>-9.9999999999997868E-2</v>
      </c>
      <c r="H1122" s="5">
        <f t="shared" si="151"/>
        <v>1.5497869043006587E-3</v>
      </c>
      <c r="I1122" s="3">
        <f t="shared" si="148"/>
        <v>0.5065317453906889</v>
      </c>
      <c r="J1122" s="5">
        <f t="shared" si="152"/>
        <v>-3.8744672607515644E-3</v>
      </c>
      <c r="K1122" s="3">
        <f t="shared" si="149"/>
        <v>0.35116550242678768</v>
      </c>
      <c r="L1122" s="3">
        <f t="shared" si="150"/>
        <v>-0.24954197894027175</v>
      </c>
    </row>
    <row r="1123" spans="1:12" x14ac:dyDescent="0.25">
      <c r="A1123" s="26">
        <v>25.81</v>
      </c>
      <c r="B1123">
        <v>25.9</v>
      </c>
      <c r="C1123">
        <v>1.23</v>
      </c>
      <c r="D1123" s="2">
        <v>43584</v>
      </c>
      <c r="E1123">
        <v>26.04</v>
      </c>
      <c r="F1123">
        <v>-0.23</v>
      </c>
      <c r="G1123">
        <v>-0.14000000000000057</v>
      </c>
      <c r="H1123" s="5">
        <f t="shared" si="151"/>
        <v>-8.8325652841781885E-3</v>
      </c>
      <c r="I1123" s="3">
        <f t="shared" si="148"/>
        <v>-1.0853993976624023</v>
      </c>
      <c r="J1123" s="5">
        <f t="shared" si="152"/>
        <v>-5.3763440860215275E-3</v>
      </c>
      <c r="K1123" s="3">
        <f t="shared" si="149"/>
        <v>9.1160543650426182E-2</v>
      </c>
      <c r="L1123" s="3">
        <f t="shared" si="150"/>
        <v>-1.4263645885212057</v>
      </c>
    </row>
    <row r="1124" spans="1:12" x14ac:dyDescent="0.25">
      <c r="A1124" s="26">
        <v>26.79</v>
      </c>
      <c r="B1124">
        <v>26.8</v>
      </c>
      <c r="C1124">
        <v>1.39</v>
      </c>
      <c r="D1124" s="2">
        <v>43581</v>
      </c>
      <c r="E1124">
        <v>26.99</v>
      </c>
      <c r="F1124">
        <v>-0.2</v>
      </c>
      <c r="G1124">
        <v>-0.18999999999999773</v>
      </c>
      <c r="H1124" s="5">
        <f t="shared" si="151"/>
        <v>-7.4101519081141171E-3</v>
      </c>
      <c r="I1124" s="3">
        <f t="shared" si="148"/>
        <v>-0.87354067276207759</v>
      </c>
      <c r="J1124" s="5">
        <f t="shared" si="152"/>
        <v>-7.0396443127083265E-3</v>
      </c>
      <c r="K1124" s="3">
        <f t="shared" si="149"/>
        <v>-0.19693938485873366</v>
      </c>
      <c r="L1124" s="3">
        <f t="shared" si="150"/>
        <v>-1.2681527353541486</v>
      </c>
    </row>
    <row r="1125" spans="1:12" x14ac:dyDescent="0.25">
      <c r="A1125" s="26">
        <v>27.46</v>
      </c>
      <c r="B1125">
        <v>27.3</v>
      </c>
      <c r="C1125">
        <v>2.0099999999999998</v>
      </c>
      <c r="D1125" s="2">
        <v>43580</v>
      </c>
      <c r="E1125">
        <v>27.41</v>
      </c>
      <c r="F1125">
        <v>0.05</v>
      </c>
      <c r="G1125">
        <v>-0.10999999999999943</v>
      </c>
      <c r="H1125" s="5">
        <f t="shared" si="151"/>
        <v>1.8241517694272164E-3</v>
      </c>
      <c r="I1125" s="3">
        <f t="shared" si="148"/>
        <v>0.53941693661437595</v>
      </c>
      <c r="J1125" s="5">
        <f t="shared" si="152"/>
        <v>-4.0131338927398555E-3</v>
      </c>
      <c r="K1125" s="3">
        <f t="shared" si="149"/>
        <v>0.32576493253263084</v>
      </c>
      <c r="L1125" s="3">
        <f t="shared" si="150"/>
        <v>-0.61728325827187736</v>
      </c>
    </row>
    <row r="1126" spans="1:12" x14ac:dyDescent="0.25">
      <c r="A1126" s="26">
        <v>27.02</v>
      </c>
      <c r="B1126">
        <v>27.15</v>
      </c>
      <c r="C1126">
        <v>1.48</v>
      </c>
      <c r="D1126" s="2">
        <v>43579</v>
      </c>
      <c r="E1126">
        <v>27.29</v>
      </c>
      <c r="F1126">
        <v>-0.27</v>
      </c>
      <c r="G1126">
        <v>-0.14000000000000057</v>
      </c>
      <c r="H1126" s="5">
        <f t="shared" si="151"/>
        <v>-9.893733968486626E-3</v>
      </c>
      <c r="I1126" s="3">
        <f t="shared" si="148"/>
        <v>-1.2534901614555374</v>
      </c>
      <c r="J1126" s="5">
        <f t="shared" si="152"/>
        <v>-5.1300842799560488E-3</v>
      </c>
      <c r="K1126" s="3">
        <f t="shared" si="149"/>
        <v>0.1341405513961553</v>
      </c>
      <c r="L1126" s="3">
        <f t="shared" si="150"/>
        <v>-1.1827756535722278</v>
      </c>
    </row>
    <row r="1127" spans="1:12" x14ac:dyDescent="0.25">
      <c r="A1127" s="26">
        <v>27.17</v>
      </c>
      <c r="B1127">
        <v>26.95</v>
      </c>
      <c r="C1127">
        <v>1.86</v>
      </c>
      <c r="D1127" s="2">
        <v>43578</v>
      </c>
      <c r="E1127">
        <v>27.08</v>
      </c>
      <c r="F1127">
        <v>0.09</v>
      </c>
      <c r="G1127">
        <v>-0.12999999999999901</v>
      </c>
      <c r="H1127" s="5">
        <f t="shared" si="151"/>
        <v>3.3234859675036928E-3</v>
      </c>
      <c r="I1127" s="3">
        <f t="shared" si="148"/>
        <v>0.76520354436276805</v>
      </c>
      <c r="J1127" s="5">
        <f t="shared" si="152"/>
        <v>-4.8005908419497421E-3</v>
      </c>
      <c r="K1127" s="3">
        <f t="shared" si="149"/>
        <v>0.19119076877997279</v>
      </c>
      <c r="L1127" s="3">
        <f t="shared" si="150"/>
        <v>-0.78637713367647644</v>
      </c>
    </row>
    <row r="1128" spans="1:12" x14ac:dyDescent="0.25">
      <c r="A1128" s="26">
        <v>26.92</v>
      </c>
      <c r="B1128">
        <v>26.73</v>
      </c>
      <c r="C1128">
        <v>1.95</v>
      </c>
      <c r="D1128" s="2">
        <v>43573</v>
      </c>
      <c r="E1128">
        <v>26.86</v>
      </c>
      <c r="F1128">
        <v>0.06</v>
      </c>
      <c r="G1128">
        <v>-0.12999999999999901</v>
      </c>
      <c r="H1128" s="5">
        <f t="shared" si="151"/>
        <v>2.2338049143708115E-3</v>
      </c>
      <c r="I1128" s="3">
        <f t="shared" si="148"/>
        <v>0.60166012047436424</v>
      </c>
      <c r="J1128" s="5">
        <f t="shared" si="152"/>
        <v>-4.8399106478033884E-3</v>
      </c>
      <c r="K1128" s="3">
        <f t="shared" si="149"/>
        <v>0.18500630394197384</v>
      </c>
      <c r="L1128" s="3">
        <f t="shared" si="150"/>
        <v>-0.69425281687896812</v>
      </c>
    </row>
    <row r="1129" spans="1:12" x14ac:dyDescent="0.25">
      <c r="A1129" s="26">
        <v>26.8</v>
      </c>
      <c r="B1129">
        <v>26.57</v>
      </c>
      <c r="C1129">
        <v>2.4300000000000002</v>
      </c>
      <c r="D1129" s="2">
        <v>43571</v>
      </c>
      <c r="E1129">
        <v>26.7</v>
      </c>
      <c r="F1129">
        <v>0.1</v>
      </c>
      <c r="G1129">
        <v>-0.12999999999999901</v>
      </c>
      <c r="H1129" s="5">
        <f t="shared" si="151"/>
        <v>3.7453183520599256E-3</v>
      </c>
      <c r="I1129" s="3">
        <f t="shared" si="148"/>
        <v>0.83520604071312088</v>
      </c>
      <c r="J1129" s="5">
        <f t="shared" si="152"/>
        <v>-4.8689138576778652E-3</v>
      </c>
      <c r="K1129" s="3">
        <f t="shared" si="149"/>
        <v>0.18058873383448207</v>
      </c>
      <c r="L1129" s="3">
        <f t="shared" si="150"/>
        <v>-0.18776201863909964</v>
      </c>
    </row>
    <row r="1130" spans="1:12" x14ac:dyDescent="0.25">
      <c r="A1130" s="26">
        <v>27</v>
      </c>
      <c r="B1130">
        <v>26.56</v>
      </c>
      <c r="C1130">
        <v>2.2599999999999998</v>
      </c>
      <c r="D1130" s="2">
        <v>43570</v>
      </c>
      <c r="E1130">
        <v>26.73</v>
      </c>
      <c r="F1130">
        <v>0.27</v>
      </c>
      <c r="G1130">
        <v>-0.17000000000000171</v>
      </c>
      <c r="H1130" s="5">
        <f t="shared" si="151"/>
        <v>1.0101010101010102E-2</v>
      </c>
      <c r="I1130" s="3">
        <f t="shared" si="148"/>
        <v>1.8106516503703582</v>
      </c>
      <c r="J1130" s="5">
        <f t="shared" si="152"/>
        <v>-6.3598952487842015E-3</v>
      </c>
      <c r="K1130" s="3">
        <f t="shared" si="149"/>
        <v>-7.3182369736583597E-2</v>
      </c>
      <c r="L1130" s="3">
        <f t="shared" si="150"/>
        <v>-0.36820771479108982</v>
      </c>
    </row>
    <row r="1131" spans="1:12" x14ac:dyDescent="0.25">
      <c r="A1131" s="26">
        <v>26.72</v>
      </c>
      <c r="B1131">
        <v>26.86</v>
      </c>
      <c r="C1131">
        <v>1.4</v>
      </c>
      <c r="D1131" s="2">
        <v>43567</v>
      </c>
      <c r="E1131">
        <v>27</v>
      </c>
      <c r="F1131">
        <v>-0.28000000000000003</v>
      </c>
      <c r="G1131">
        <v>-0.14000000000000057</v>
      </c>
      <c r="H1131" s="5">
        <f t="shared" si="151"/>
        <v>-1.0370370370370372E-2</v>
      </c>
      <c r="I1131" s="3">
        <f t="shared" si="148"/>
        <v>-1.3164372938793389</v>
      </c>
      <c r="J1131" s="5">
        <f t="shared" si="152"/>
        <v>-5.1851851851852059E-3</v>
      </c>
      <c r="K1131" s="3">
        <f t="shared" si="149"/>
        <v>0.12638950495313636</v>
      </c>
      <c r="L1131" s="3">
        <f t="shared" si="150"/>
        <v>-1.2772778182673581</v>
      </c>
    </row>
    <row r="1132" spans="1:12" x14ac:dyDescent="0.25">
      <c r="A1132" s="26">
        <v>25.88</v>
      </c>
      <c r="B1132">
        <v>25.74</v>
      </c>
      <c r="C1132">
        <v>1.86</v>
      </c>
      <c r="D1132" s="2">
        <v>43566</v>
      </c>
      <c r="E1132">
        <v>25.98</v>
      </c>
      <c r="F1132">
        <v>-0.1</v>
      </c>
      <c r="G1132">
        <v>-0.24000000000000199</v>
      </c>
      <c r="H1132" s="5">
        <f t="shared" si="151"/>
        <v>-3.8491147036181679E-3</v>
      </c>
      <c r="I1132" s="3">
        <f t="shared" si="148"/>
        <v>-0.32139331879076311</v>
      </c>
      <c r="J1132" s="5">
        <f t="shared" si="152"/>
        <v>-9.237875288683679E-3</v>
      </c>
      <c r="K1132" s="3">
        <f t="shared" si="149"/>
        <v>-0.56050660760173598</v>
      </c>
      <c r="L1132" s="3">
        <f t="shared" si="150"/>
        <v>-0.80033025643144484</v>
      </c>
    </row>
    <row r="1133" spans="1:12" x14ac:dyDescent="0.25">
      <c r="A1133" s="26">
        <v>26.21</v>
      </c>
      <c r="B1133">
        <v>26.28</v>
      </c>
      <c r="C1133">
        <v>1.58</v>
      </c>
      <c r="D1133" s="2">
        <v>43565</v>
      </c>
      <c r="E1133">
        <v>26.48</v>
      </c>
      <c r="F1133">
        <v>-0.27</v>
      </c>
      <c r="G1133">
        <v>-0.19999999999999929</v>
      </c>
      <c r="H1133" s="5">
        <f t="shared" si="151"/>
        <v>-1.0196374622356496E-2</v>
      </c>
      <c r="I1133" s="3">
        <f t="shared" si="148"/>
        <v>-1.2986084078166138</v>
      </c>
      <c r="J1133" s="5">
        <f t="shared" si="152"/>
        <v>-7.5528700906344138E-3</v>
      </c>
      <c r="K1133" s="3">
        <f t="shared" si="149"/>
        <v>-0.27747876938178967</v>
      </c>
      <c r="L1133" s="3">
        <f t="shared" si="150"/>
        <v>-1.0998952727720483</v>
      </c>
    </row>
    <row r="1134" spans="1:12" x14ac:dyDescent="0.25">
      <c r="A1134" s="26">
        <v>25.2</v>
      </c>
      <c r="B1134">
        <v>25</v>
      </c>
      <c r="C1134">
        <v>2.64</v>
      </c>
      <c r="D1134" s="2">
        <v>43564</v>
      </c>
      <c r="E1134">
        <v>25.06</v>
      </c>
      <c r="F1134">
        <v>0.14000000000000001</v>
      </c>
      <c r="G1134">
        <v>-5.9999999999998721E-2</v>
      </c>
      <c r="H1134" s="5">
        <f t="shared" si="151"/>
        <v>5.5865921787709508E-3</v>
      </c>
      <c r="I1134" s="3">
        <f t="shared" si="148"/>
        <v>1.1234292789031926</v>
      </c>
      <c r="J1134" s="5">
        <f t="shared" si="152"/>
        <v>-2.3942537909017849E-3</v>
      </c>
      <c r="K1134" s="3">
        <f t="shared" si="149"/>
        <v>0.592332745575468</v>
      </c>
      <c r="L1134" s="3">
        <f t="shared" si="150"/>
        <v>1.3773950099146405E-2</v>
      </c>
    </row>
    <row r="1135" spans="1:12" x14ac:dyDescent="0.25">
      <c r="A1135" s="26">
        <v>24.07</v>
      </c>
      <c r="B1135">
        <v>23.9</v>
      </c>
      <c r="C1135">
        <v>2.06</v>
      </c>
      <c r="D1135" s="2">
        <v>43563</v>
      </c>
      <c r="E1135">
        <v>23.99</v>
      </c>
      <c r="F1135">
        <v>0.08</v>
      </c>
      <c r="G1135">
        <v>-8.9999999999999858E-2</v>
      </c>
      <c r="H1135" s="5">
        <f t="shared" si="151"/>
        <v>3.3347228011671531E-3</v>
      </c>
      <c r="I1135" s="3">
        <f t="shared" si="148"/>
        <v>0.78366118931426942</v>
      </c>
      <c r="J1135" s="5">
        <f t="shared" si="152"/>
        <v>-3.7515631513130414E-3</v>
      </c>
      <c r="K1135" s="3">
        <f t="shared" si="149"/>
        <v>0.36604313080913703</v>
      </c>
      <c r="L1135" s="3">
        <f t="shared" si="150"/>
        <v>-0.59760495234302802</v>
      </c>
    </row>
    <row r="1136" spans="1:12" x14ac:dyDescent="0.25">
      <c r="A1136" s="26">
        <v>24.17</v>
      </c>
      <c r="B1136">
        <v>24.12</v>
      </c>
      <c r="C1136">
        <v>1.58</v>
      </c>
      <c r="D1136" s="2">
        <v>43560</v>
      </c>
      <c r="E1136">
        <v>24.15</v>
      </c>
      <c r="F1136">
        <v>0.02</v>
      </c>
      <c r="G1136">
        <v>-2.9999999999997584E-2</v>
      </c>
      <c r="H1136" s="5">
        <f t="shared" si="151"/>
        <v>8.2815734989648043E-4</v>
      </c>
      <c r="I1136" s="3">
        <f t="shared" si="148"/>
        <v>0.40125984235405637</v>
      </c>
      <c r="J1136" s="5">
        <f t="shared" si="152"/>
        <v>-1.2422360248446206E-3</v>
      </c>
      <c r="K1136" s="3">
        <f t="shared" si="149"/>
        <v>0.78889863310843067</v>
      </c>
      <c r="L1136" s="3">
        <f t="shared" si="150"/>
        <v>-1.1050040992543095</v>
      </c>
    </row>
    <row r="1137" spans="1:12" x14ac:dyDescent="0.25">
      <c r="A1137" s="26">
        <v>23.65</v>
      </c>
      <c r="B1137">
        <v>23.56</v>
      </c>
      <c r="C1137">
        <v>1.61</v>
      </c>
      <c r="D1137" s="2">
        <v>43559</v>
      </c>
      <c r="E1137">
        <v>23.6</v>
      </c>
      <c r="F1137">
        <v>0.05</v>
      </c>
      <c r="G1137">
        <v>-4.00000000000027E-2</v>
      </c>
      <c r="H1137" s="5">
        <f t="shared" si="151"/>
        <v>2.1186440677966102E-3</v>
      </c>
      <c r="I1137" s="3">
        <f t="shared" si="148"/>
        <v>0.60096198020914748</v>
      </c>
      <c r="J1137" s="5">
        <f t="shared" si="152"/>
        <v>-1.6949152542374024E-3</v>
      </c>
      <c r="K1137" s="3">
        <f t="shared" si="149"/>
        <v>0.71675487689621398</v>
      </c>
      <c r="L1137" s="3">
        <f t="shared" si="150"/>
        <v>-1.0805832592017046</v>
      </c>
    </row>
    <row r="1138" spans="1:12" x14ac:dyDescent="0.25">
      <c r="A1138" s="26">
        <v>21.4</v>
      </c>
      <c r="B1138">
        <v>21.27</v>
      </c>
      <c r="C1138">
        <v>2.67</v>
      </c>
      <c r="D1138" s="2">
        <v>43557</v>
      </c>
      <c r="E1138">
        <v>21.4</v>
      </c>
      <c r="F1138">
        <v>0</v>
      </c>
      <c r="G1138">
        <v>-0.12999999999999901</v>
      </c>
      <c r="H1138" s="5">
        <f t="shared" si="151"/>
        <v>0</v>
      </c>
      <c r="I1138" s="3">
        <f t="shared" si="148"/>
        <v>0.27846466813360649</v>
      </c>
      <c r="J1138" s="5">
        <f t="shared" si="152"/>
        <v>-6.0747663551401409E-3</v>
      </c>
      <c r="K1138" s="3">
        <f t="shared" si="149"/>
        <v>-1.3998937671107986E-2</v>
      </c>
      <c r="L1138" s="3">
        <f t="shared" si="150"/>
        <v>2.9201017837095503E-2</v>
      </c>
    </row>
    <row r="1139" spans="1:12" x14ac:dyDescent="0.25">
      <c r="A1139" s="26">
        <v>21.06</v>
      </c>
      <c r="B1139">
        <v>21.05</v>
      </c>
      <c r="C1139">
        <v>1.77</v>
      </c>
      <c r="D1139" s="2">
        <v>43556</v>
      </c>
      <c r="E1139">
        <v>21.22</v>
      </c>
      <c r="F1139">
        <v>-0.16</v>
      </c>
      <c r="G1139">
        <v>-0.16999999999999815</v>
      </c>
      <c r="H1139" s="5">
        <f t="shared" si="151"/>
        <v>-7.5400565504241289E-3</v>
      </c>
      <c r="I1139" s="3">
        <f t="shared" si="148"/>
        <v>-0.87387747201553367</v>
      </c>
      <c r="J1139" s="5">
        <f t="shared" si="152"/>
        <v>-8.01131008482555E-3</v>
      </c>
      <c r="K1139" s="3">
        <f t="shared" si="149"/>
        <v>-0.33760116391300876</v>
      </c>
      <c r="L1139" s="3">
        <f t="shared" si="150"/>
        <v>-0.91603236838107105</v>
      </c>
    </row>
    <row r="1140" spans="1:12" x14ac:dyDescent="0.25">
      <c r="A1140" s="26">
        <v>21.83</v>
      </c>
      <c r="B1140">
        <v>21.78</v>
      </c>
      <c r="C1140">
        <v>1.83</v>
      </c>
      <c r="D1140" s="2">
        <v>43553</v>
      </c>
      <c r="E1140">
        <v>21.91</v>
      </c>
      <c r="F1140">
        <v>-0.08</v>
      </c>
      <c r="G1140">
        <v>-0.12999999999999901</v>
      </c>
      <c r="H1140" s="5">
        <f t="shared" si="151"/>
        <v>-3.6513007759014149E-3</v>
      </c>
      <c r="I1140" s="3">
        <f t="shared" si="148"/>
        <v>-0.28422198844080865</v>
      </c>
      <c r="J1140" s="5">
        <f t="shared" si="152"/>
        <v>-5.9333637608397537E-3</v>
      </c>
      <c r="K1140" s="3">
        <f t="shared" si="149"/>
        <v>7.5057752252294741E-3</v>
      </c>
      <c r="L1140" s="3">
        <f t="shared" si="150"/>
        <v>-0.85803335596096131</v>
      </c>
    </row>
    <row r="1141" spans="1:12" x14ac:dyDescent="0.25">
      <c r="A1141" s="26">
        <v>21.55</v>
      </c>
      <c r="B1141">
        <v>21.56</v>
      </c>
      <c r="C1141">
        <v>1.62</v>
      </c>
      <c r="D1141" s="2">
        <v>43552</v>
      </c>
      <c r="E1141">
        <v>21.67</v>
      </c>
      <c r="F1141">
        <v>-0.12</v>
      </c>
      <c r="G1141">
        <v>-0.11000000000000298</v>
      </c>
      <c r="H1141" s="5">
        <f t="shared" si="151"/>
        <v>-5.5376095985233036E-3</v>
      </c>
      <c r="I1141" s="3">
        <f t="shared" si="148"/>
        <v>-0.5726488020119721</v>
      </c>
      <c r="J1141" s="5">
        <f t="shared" si="152"/>
        <v>-5.0761421319798329E-3</v>
      </c>
      <c r="K1141" s="3">
        <f t="shared" si="149"/>
        <v>0.14992808281486858</v>
      </c>
      <c r="L1141" s="3">
        <f t="shared" si="150"/>
        <v>-1.0827721844033631</v>
      </c>
    </row>
    <row r="1142" spans="1:12" x14ac:dyDescent="0.25">
      <c r="A1142" s="26">
        <v>21.45</v>
      </c>
      <c r="B1142">
        <v>21.42</v>
      </c>
      <c r="C1142">
        <v>1.6</v>
      </c>
      <c r="D1142" s="2">
        <v>43551</v>
      </c>
      <c r="E1142">
        <v>21.5</v>
      </c>
      <c r="F1142">
        <v>-0.05</v>
      </c>
      <c r="G1142">
        <v>-7.9999999999998295E-2</v>
      </c>
      <c r="H1142" s="5">
        <f t="shared" si="151"/>
        <v>-2.3255813953488372E-3</v>
      </c>
      <c r="I1142" s="3">
        <f t="shared" si="148"/>
        <v>-8.6461729329370518E-2</v>
      </c>
      <c r="J1142" s="5">
        <f t="shared" si="152"/>
        <v>-3.7209302325580604E-3</v>
      </c>
      <c r="K1142" s="3">
        <f t="shared" si="149"/>
        <v>0.37484183642290025</v>
      </c>
      <c r="L1142" s="3">
        <f t="shared" si="150"/>
        <v>-1.1108373721894707</v>
      </c>
    </row>
    <row r="1143" spans="1:12" x14ac:dyDescent="0.25">
      <c r="A1143" s="26">
        <v>21.17</v>
      </c>
      <c r="B1143">
        <v>20.95</v>
      </c>
      <c r="C1143">
        <v>2.23</v>
      </c>
      <c r="D1143" s="2">
        <v>43550</v>
      </c>
      <c r="E1143">
        <v>21.06</v>
      </c>
      <c r="F1143">
        <v>0.11</v>
      </c>
      <c r="G1143">
        <v>-0.10999999999999943</v>
      </c>
      <c r="H1143" s="5">
        <f t="shared" si="151"/>
        <v>5.2231718898385565E-3</v>
      </c>
      <c r="I1143" s="3">
        <f t="shared" si="148"/>
        <v>1.0578372345472409</v>
      </c>
      <c r="J1143" s="5">
        <f t="shared" si="152"/>
        <v>-5.2231718898385297E-3</v>
      </c>
      <c r="K1143" s="3">
        <f t="shared" si="149"/>
        <v>0.12803247376946333</v>
      </c>
      <c r="L1143" s="3">
        <f t="shared" si="150"/>
        <v>-0.45660267975477714</v>
      </c>
    </row>
    <row r="1144" spans="1:12" x14ac:dyDescent="0.25">
      <c r="A1144" s="26">
        <v>20.6</v>
      </c>
      <c r="B1144">
        <v>20.41</v>
      </c>
      <c r="C1144">
        <v>2.7</v>
      </c>
      <c r="D1144" s="2">
        <v>43549</v>
      </c>
      <c r="E1144">
        <v>20.52</v>
      </c>
      <c r="F1144">
        <v>0.08</v>
      </c>
      <c r="G1144">
        <v>-0.10999999999999943</v>
      </c>
      <c r="H1144" s="5">
        <f t="shared" si="151"/>
        <v>3.8986354775828462E-3</v>
      </c>
      <c r="I1144" s="3">
        <f t="shared" si="148"/>
        <v>0.86396047058026593</v>
      </c>
      <c r="J1144" s="5">
        <f t="shared" si="152"/>
        <v>-5.3606237816763861E-3</v>
      </c>
      <c r="K1144" s="3">
        <f t="shared" si="149"/>
        <v>0.10580262915129589</v>
      </c>
      <c r="L1144" s="3">
        <f t="shared" si="150"/>
        <v>3.4230323821202613E-2</v>
      </c>
    </row>
    <row r="1145" spans="1:12" x14ac:dyDescent="0.25">
      <c r="A1145" s="26">
        <v>20.64</v>
      </c>
      <c r="B1145">
        <v>20.55</v>
      </c>
      <c r="C1145">
        <v>1.73</v>
      </c>
      <c r="D1145" s="2">
        <v>43546</v>
      </c>
      <c r="E1145">
        <v>20.65</v>
      </c>
      <c r="F1145">
        <v>-0.01</v>
      </c>
      <c r="G1145">
        <v>-9.9999999999997868E-2</v>
      </c>
      <c r="H1145" s="5">
        <f t="shared" si="151"/>
        <v>-4.8426150121065381E-4</v>
      </c>
      <c r="I1145" s="3">
        <f t="shared" si="148"/>
        <v>0.20442013943326698</v>
      </c>
      <c r="J1145" s="5">
        <f t="shared" si="152"/>
        <v>-4.8426150121064345E-3</v>
      </c>
      <c r="K1145" s="3">
        <f t="shared" si="149"/>
        <v>0.19116844815207554</v>
      </c>
      <c r="L1145" s="3">
        <f t="shared" si="150"/>
        <v>-0.97899706152408617</v>
      </c>
    </row>
    <row r="1146" spans="1:12" x14ac:dyDescent="0.25">
      <c r="A1146" s="26">
        <v>21.1</v>
      </c>
      <c r="B1146">
        <v>21.03</v>
      </c>
      <c r="C1146">
        <v>1.99</v>
      </c>
      <c r="D1146" s="2">
        <v>43545</v>
      </c>
      <c r="E1146">
        <v>21.14</v>
      </c>
      <c r="F1146">
        <v>-0.04</v>
      </c>
      <c r="G1146">
        <v>-0.10999999999999943</v>
      </c>
      <c r="H1146" s="5">
        <f t="shared" si="151"/>
        <v>-1.8921475875118259E-3</v>
      </c>
      <c r="I1146" s="3">
        <f t="shared" si="148"/>
        <v>-7.6478471899829861E-3</v>
      </c>
      <c r="J1146" s="5">
        <f t="shared" si="152"/>
        <v>-5.203405865657494E-3</v>
      </c>
      <c r="K1146" s="3">
        <f t="shared" si="149"/>
        <v>0.1327473880579457</v>
      </c>
      <c r="L1146" s="3">
        <f t="shared" si="150"/>
        <v>-0.71331010578375886</v>
      </c>
    </row>
    <row r="1147" spans="1:12" x14ac:dyDescent="0.25">
      <c r="A1147" s="26">
        <v>21.35</v>
      </c>
      <c r="B1147">
        <v>21.26</v>
      </c>
      <c r="C1147">
        <v>1.87</v>
      </c>
      <c r="D1147" s="2">
        <v>43543</v>
      </c>
      <c r="E1147">
        <v>21.29</v>
      </c>
      <c r="F1147">
        <v>0.06</v>
      </c>
      <c r="G1147">
        <v>-2.9999999999997584E-2</v>
      </c>
      <c r="H1147" s="5">
        <f t="shared" si="151"/>
        <v>2.8182245185533112E-3</v>
      </c>
      <c r="I1147" s="3">
        <f t="shared" si="148"/>
        <v>0.70181327314001019</v>
      </c>
      <c r="J1147" s="5">
        <f t="shared" si="152"/>
        <v>-1.4091122592765422E-3</v>
      </c>
      <c r="K1147" s="3">
        <f t="shared" si="149"/>
        <v>0.75216608195988444</v>
      </c>
      <c r="L1147" s="3">
        <f t="shared" si="150"/>
        <v>-0.84178508638254623</v>
      </c>
    </row>
    <row r="1148" spans="1:12" x14ac:dyDescent="0.25">
      <c r="A1148" s="26">
        <v>21.5</v>
      </c>
      <c r="B1148">
        <v>21.42</v>
      </c>
      <c r="C1148">
        <v>1.87</v>
      </c>
      <c r="D1148" s="2">
        <v>43542</v>
      </c>
      <c r="E1148">
        <v>21.52</v>
      </c>
      <c r="F1148">
        <v>-0.02</v>
      </c>
      <c r="G1148">
        <v>-9.9999999999997868E-2</v>
      </c>
      <c r="H1148" s="5">
        <f t="shared" si="151"/>
        <v>-9.2936802973977702E-4</v>
      </c>
      <c r="I1148" s="3">
        <f t="shared" si="148"/>
        <v>0.14161231207481489</v>
      </c>
      <c r="J1148" s="5">
        <f t="shared" si="152"/>
        <v>-4.6468401486987861E-3</v>
      </c>
      <c r="K1148" s="3">
        <f t="shared" si="149"/>
        <v>0.22847549332853975</v>
      </c>
      <c r="L1148" s="3">
        <f t="shared" si="150"/>
        <v>-0.84625492929202206</v>
      </c>
    </row>
    <row r="1149" spans="1:12" x14ac:dyDescent="0.25">
      <c r="A1149" s="26">
        <v>22.77</v>
      </c>
      <c r="B1149">
        <v>22.63</v>
      </c>
      <c r="C1149">
        <v>1.55</v>
      </c>
      <c r="D1149" s="2">
        <v>43539</v>
      </c>
      <c r="E1149">
        <v>22.74</v>
      </c>
      <c r="F1149">
        <v>0.03</v>
      </c>
      <c r="G1149">
        <v>-0.10999999999999943</v>
      </c>
      <c r="H1149" s="5">
        <f t="shared" si="151"/>
        <v>1.3192612137203166E-3</v>
      </c>
      <c r="I1149" s="3">
        <f t="shared" si="148"/>
        <v>0.47914729642938081</v>
      </c>
      <c r="J1149" s="5">
        <f t="shared" si="152"/>
        <v>-4.8372911169744697E-3</v>
      </c>
      <c r="K1149" s="3">
        <f t="shared" si="149"/>
        <v>0.19831377986962426</v>
      </c>
      <c r="L1149" s="3">
        <f t="shared" si="150"/>
        <v>-1.1839578887474673</v>
      </c>
    </row>
    <row r="1150" spans="1:12" x14ac:dyDescent="0.25">
      <c r="A1150" s="26">
        <v>22.23</v>
      </c>
      <c r="B1150">
        <v>22.22</v>
      </c>
      <c r="C1150">
        <v>1.7</v>
      </c>
      <c r="D1150" s="2">
        <v>43538</v>
      </c>
      <c r="E1150">
        <v>22.38</v>
      </c>
      <c r="F1150">
        <v>-0.15</v>
      </c>
      <c r="G1150">
        <v>-0.16000000000000014</v>
      </c>
      <c r="H1150" s="5">
        <f t="shared" si="151"/>
        <v>-6.7024128686327079E-3</v>
      </c>
      <c r="I1150" s="3">
        <f t="shared" si="148"/>
        <v>-0.71839836359924447</v>
      </c>
      <c r="J1150" s="5">
        <f t="shared" si="152"/>
        <v>-7.1492403932082284E-3</v>
      </c>
      <c r="K1150" s="3">
        <f t="shared" si="149"/>
        <v>-0.17533863017010581</v>
      </c>
      <c r="L1150" s="3">
        <f t="shared" si="150"/>
        <v>-1.0365826329149095</v>
      </c>
    </row>
    <row r="1151" spans="1:12" x14ac:dyDescent="0.25">
      <c r="A1151" s="26">
        <v>21.99</v>
      </c>
      <c r="B1151">
        <v>21.91</v>
      </c>
      <c r="C1151">
        <v>2.09</v>
      </c>
      <c r="D1151" s="2">
        <v>43537</v>
      </c>
      <c r="E1151">
        <v>22.09</v>
      </c>
      <c r="F1151">
        <v>-0.1</v>
      </c>
      <c r="G1151">
        <v>-0.17999999999999972</v>
      </c>
      <c r="H1151" s="5">
        <f t="shared" si="151"/>
        <v>-4.5269352648257136E-3</v>
      </c>
      <c r="I1151" s="3">
        <f t="shared" si="148"/>
        <v>-0.39717575738016453</v>
      </c>
      <c r="J1151" s="5">
        <f t="shared" si="152"/>
        <v>-8.1484834766862701E-3</v>
      </c>
      <c r="K1151" s="3">
        <f t="shared" si="149"/>
        <v>-0.33719413137206822</v>
      </c>
      <c r="L1151" s="3">
        <f t="shared" si="150"/>
        <v>-0.63673961691693415</v>
      </c>
    </row>
    <row r="1152" spans="1:12" x14ac:dyDescent="0.25">
      <c r="A1152" s="26">
        <v>22.48</v>
      </c>
      <c r="B1152">
        <v>22.51</v>
      </c>
      <c r="C1152">
        <v>1.63</v>
      </c>
      <c r="D1152" s="2">
        <v>43536</v>
      </c>
      <c r="E1152">
        <v>22.6</v>
      </c>
      <c r="F1152">
        <v>-0.12</v>
      </c>
      <c r="G1152">
        <v>-8.9999999999999858E-2</v>
      </c>
      <c r="H1152" s="5">
        <f t="shared" si="151"/>
        <v>-5.3097345132743353E-3</v>
      </c>
      <c r="I1152" s="3">
        <f t="shared" si="148"/>
        <v>-0.51521996188140984</v>
      </c>
      <c r="J1152" s="5">
        <f t="shared" si="152"/>
        <v>-3.9823008849557461E-3</v>
      </c>
      <c r="K1152" s="3">
        <f t="shared" si="149"/>
        <v>0.33200208264776404</v>
      </c>
      <c r="L1152" s="3">
        <f t="shared" si="150"/>
        <v>-1.1183419995453148</v>
      </c>
    </row>
    <row r="1153" spans="1:12" x14ac:dyDescent="0.25">
      <c r="A1153" s="26">
        <v>22.6</v>
      </c>
      <c r="B1153">
        <v>22.59</v>
      </c>
      <c r="C1153">
        <v>1.76</v>
      </c>
      <c r="D1153" s="2">
        <v>43535</v>
      </c>
      <c r="E1153">
        <v>22.72</v>
      </c>
      <c r="F1153">
        <v>-0.12</v>
      </c>
      <c r="G1153">
        <v>-0.12999999999999901</v>
      </c>
      <c r="H1153" s="5">
        <f t="shared" si="151"/>
        <v>-5.2816901408450703E-3</v>
      </c>
      <c r="I1153" s="3">
        <f t="shared" si="148"/>
        <v>-0.51320483035935671</v>
      </c>
      <c r="J1153" s="5">
        <f t="shared" si="152"/>
        <v>-5.7218309859154498E-3</v>
      </c>
      <c r="K1153" s="3">
        <f t="shared" si="149"/>
        <v>5.4114791411290435E-2</v>
      </c>
      <c r="L1153" s="3">
        <f t="shared" si="150"/>
        <v>-0.99103677629942155</v>
      </c>
    </row>
    <row r="1154" spans="1:12" x14ac:dyDescent="0.25">
      <c r="A1154" s="26">
        <v>22.88</v>
      </c>
      <c r="B1154">
        <v>22.88</v>
      </c>
      <c r="C1154">
        <v>1.83</v>
      </c>
      <c r="D1154" s="2">
        <v>43532</v>
      </c>
      <c r="E1154">
        <v>23.07</v>
      </c>
      <c r="F1154">
        <v>-0.19</v>
      </c>
      <c r="G1154">
        <v>-0.19000000000000128</v>
      </c>
      <c r="H1154" s="5">
        <f t="shared" si="151"/>
        <v>-8.2358040745556995E-3</v>
      </c>
      <c r="I1154" s="3">
        <f t="shared" si="148"/>
        <v>-0.95300589289998971</v>
      </c>
      <c r="J1154" s="5">
        <f t="shared" si="152"/>
        <v>-8.235804074555755E-3</v>
      </c>
      <c r="K1154" s="3">
        <f t="shared" si="149"/>
        <v>-0.34771891971113483</v>
      </c>
      <c r="L1154" s="3">
        <f t="shared" si="150"/>
        <v>-0.92448049494858786</v>
      </c>
    </row>
    <row r="1155" spans="1:12" x14ac:dyDescent="0.25">
      <c r="A1155" s="26">
        <v>22.03</v>
      </c>
      <c r="B1155">
        <v>22.02</v>
      </c>
      <c r="C1155">
        <v>1.5</v>
      </c>
      <c r="D1155" s="2">
        <v>43531</v>
      </c>
      <c r="E1155">
        <v>22.09</v>
      </c>
      <c r="F1155">
        <v>-0.06</v>
      </c>
      <c r="G1155">
        <v>-7.0000000000000284E-2</v>
      </c>
      <c r="H1155" s="5">
        <f t="shared" si="151"/>
        <v>-2.7161611588954276E-3</v>
      </c>
      <c r="I1155" s="3">
        <f t="shared" ref="I1155:I1218" si="153">IFERROR((H1155-AVERAGEA(H1155:H1371))/_xlfn.STDEV.S(H1155:H1371), " ")</f>
        <v>-0.14163138406156917</v>
      </c>
      <c r="J1155" s="5">
        <f t="shared" si="152"/>
        <v>-3.1688546853780122E-3</v>
      </c>
      <c r="K1155" s="3">
        <f t="shared" ref="K1155:K1218" si="154">IFERROR((J1155-AVERAGEA(J1155:J1371))/_xlfn.STDEV.S(J1155:J1371), " ")</f>
        <v>0.45885122696451647</v>
      </c>
      <c r="L1155" s="3">
        <f t="shared" ref="L1155:L1218" si="155">(C1155-AVERAGEA(C1155:C1371))/_xlfn.STDEV.S(C1155:C1371)</f>
        <v>-1.2736336835813657</v>
      </c>
    </row>
    <row r="1156" spans="1:12" x14ac:dyDescent="0.25">
      <c r="A1156" s="26">
        <v>22.86</v>
      </c>
      <c r="B1156">
        <v>22.85</v>
      </c>
      <c r="C1156">
        <v>1.76</v>
      </c>
      <c r="D1156" s="2">
        <v>43529</v>
      </c>
      <c r="E1156">
        <v>22.97</v>
      </c>
      <c r="F1156">
        <v>-0.11</v>
      </c>
      <c r="G1156">
        <v>-0.11999999999999744</v>
      </c>
      <c r="H1156" s="5">
        <f t="shared" ref="H1156:H1219" si="156">IFERROR(F1156/E1156,"")</f>
        <v>-4.7888550282977798E-3</v>
      </c>
      <c r="I1156" s="3">
        <f t="shared" si="153"/>
        <v>-0.44807619875768268</v>
      </c>
      <c r="J1156" s="5">
        <f t="shared" ref="J1156:J1219" si="157">IFERROR(G1156/E1156,"")</f>
        <v>-5.2242054854156486E-3</v>
      </c>
      <c r="K1156" s="3">
        <f t="shared" si="154"/>
        <v>0.13388992805458894</v>
      </c>
      <c r="L1156" s="3">
        <f t="shared" si="155"/>
        <v>-1.013374194253406</v>
      </c>
    </row>
    <row r="1157" spans="1:12" x14ac:dyDescent="0.25">
      <c r="A1157" s="26">
        <v>22.12</v>
      </c>
      <c r="B1157">
        <v>22.01</v>
      </c>
      <c r="C1157">
        <v>1.71</v>
      </c>
      <c r="D1157" s="2">
        <v>43528</v>
      </c>
      <c r="E1157">
        <v>22.11</v>
      </c>
      <c r="F1157">
        <v>0.01</v>
      </c>
      <c r="G1157">
        <v>-9.9999999999997868E-2</v>
      </c>
      <c r="H1157" s="5">
        <f t="shared" si="156"/>
        <v>4.5228403437358661E-4</v>
      </c>
      <c r="I1157" s="3">
        <f t="shared" si="153"/>
        <v>0.32166861960702198</v>
      </c>
      <c r="J1157" s="5">
        <f t="shared" si="157"/>
        <v>-4.5228403437357701E-3</v>
      </c>
      <c r="K1157" s="3">
        <f t="shared" si="154"/>
        <v>0.245503019415273</v>
      </c>
      <c r="L1157" s="3">
        <f t="shared" si="155"/>
        <v>-1.0723262216239011</v>
      </c>
    </row>
    <row r="1158" spans="1:12" x14ac:dyDescent="0.25">
      <c r="A1158" s="26">
        <v>21.31</v>
      </c>
      <c r="B1158">
        <v>21.12</v>
      </c>
      <c r="C1158">
        <v>1.89</v>
      </c>
      <c r="D1158" s="2">
        <v>43525</v>
      </c>
      <c r="E1158">
        <v>21.24</v>
      </c>
      <c r="F1158">
        <v>7.0000000000000007E-2</v>
      </c>
      <c r="G1158">
        <v>-0.11999999999999744</v>
      </c>
      <c r="H1158" s="5">
        <f t="shared" si="156"/>
        <v>3.2956685499058386E-3</v>
      </c>
      <c r="I1158" s="3">
        <f t="shared" si="153"/>
        <v>0.74017292142467328</v>
      </c>
      <c r="J1158" s="5">
        <f t="shared" si="157"/>
        <v>-5.6497175141241741E-3</v>
      </c>
      <c r="K1158" s="3">
        <f t="shared" si="154"/>
        <v>6.8374388728396393E-2</v>
      </c>
      <c r="L1158" s="3">
        <f t="shared" si="155"/>
        <v>-0.89207948871026577</v>
      </c>
    </row>
    <row r="1159" spans="1:12" x14ac:dyDescent="0.25">
      <c r="A1159" s="26">
        <v>20.9</v>
      </c>
      <c r="B1159">
        <v>20.71</v>
      </c>
      <c r="C1159">
        <v>2.15</v>
      </c>
      <c r="D1159" s="2">
        <v>43524</v>
      </c>
      <c r="E1159">
        <v>20.83</v>
      </c>
      <c r="F1159">
        <v>7.0000000000000007E-2</v>
      </c>
      <c r="G1159">
        <v>-0.11999999999999744</v>
      </c>
      <c r="H1159" s="5">
        <f t="shared" si="156"/>
        <v>3.3605376860297654E-3</v>
      </c>
      <c r="I1159" s="3">
        <f t="shared" si="153"/>
        <v>0.75362544680385235</v>
      </c>
      <c r="J1159" s="5">
        <f t="shared" si="157"/>
        <v>-5.7609217474794746E-3</v>
      </c>
      <c r="K1159" s="3">
        <f t="shared" si="154"/>
        <v>5.1102643405057574E-2</v>
      </c>
      <c r="L1159" s="3">
        <f t="shared" si="155"/>
        <v>-0.62617559177137883</v>
      </c>
    </row>
    <row r="1160" spans="1:12" x14ac:dyDescent="0.25">
      <c r="A1160" s="26">
        <v>20.309999999999999</v>
      </c>
      <c r="B1160">
        <v>20.399999999999999</v>
      </c>
      <c r="C1160">
        <v>1.64</v>
      </c>
      <c r="D1160" s="2">
        <v>43523</v>
      </c>
      <c r="E1160">
        <v>20.6</v>
      </c>
      <c r="F1160">
        <v>-0.28999999999999998</v>
      </c>
      <c r="G1160">
        <v>-0.20000000000000284</v>
      </c>
      <c r="H1160" s="5">
        <f t="shared" si="156"/>
        <v>-1.4077669902912619E-2</v>
      </c>
      <c r="I1160" s="3">
        <f t="shared" si="153"/>
        <v>-1.7937255748130869</v>
      </c>
      <c r="J1160" s="5">
        <f t="shared" si="157"/>
        <v>-9.7087378640778078E-3</v>
      </c>
      <c r="K1160" s="3">
        <f t="shared" si="154"/>
        <v>-0.56805944242364015</v>
      </c>
      <c r="L1160" s="3">
        <f t="shared" si="155"/>
        <v>-1.1600802502537371</v>
      </c>
    </row>
    <row r="1161" spans="1:12" x14ac:dyDescent="0.25">
      <c r="A1161" s="26">
        <v>19.600000000000001</v>
      </c>
      <c r="B1161">
        <v>19.39</v>
      </c>
      <c r="C1161">
        <v>3.09</v>
      </c>
      <c r="D1161" s="2">
        <v>43522</v>
      </c>
      <c r="E1161">
        <v>19.489999999999998</v>
      </c>
      <c r="F1161">
        <v>0.11</v>
      </c>
      <c r="G1161">
        <v>-9.9999999999997868E-2</v>
      </c>
      <c r="H1161" s="5">
        <f t="shared" si="156"/>
        <v>5.6439199589533098E-3</v>
      </c>
      <c r="I1161" s="3">
        <f t="shared" si="153"/>
        <v>1.0878869237401603</v>
      </c>
      <c r="J1161" s="5">
        <f t="shared" si="157"/>
        <v>-5.130836326321081E-3</v>
      </c>
      <c r="K1161" s="3">
        <f t="shared" si="154"/>
        <v>0.1458090035267495</v>
      </c>
      <c r="L1161" s="3">
        <f t="shared" si="155"/>
        <v>0.34216418249312275</v>
      </c>
    </row>
    <row r="1162" spans="1:12" x14ac:dyDescent="0.25">
      <c r="A1162" s="26">
        <v>18.62</v>
      </c>
      <c r="B1162">
        <v>18.5</v>
      </c>
      <c r="C1162">
        <v>2.42</v>
      </c>
      <c r="D1162" s="2">
        <v>43521</v>
      </c>
      <c r="E1162">
        <v>18.600000000000001</v>
      </c>
      <c r="F1162">
        <v>0.02</v>
      </c>
      <c r="G1162">
        <v>-0.10000000000000142</v>
      </c>
      <c r="H1162" s="5">
        <f t="shared" si="156"/>
        <v>1.0752688172043011E-3</v>
      </c>
      <c r="I1162" s="3">
        <f t="shared" si="153"/>
        <v>0.42204296316937234</v>
      </c>
      <c r="J1162" s="5">
        <f t="shared" si="157"/>
        <v>-5.3763440860215813E-3</v>
      </c>
      <c r="K1162" s="3">
        <f t="shared" si="154"/>
        <v>0.10803721975458035</v>
      </c>
      <c r="L1162" s="3">
        <f t="shared" si="155"/>
        <v>-0.35285878718609293</v>
      </c>
    </row>
    <row r="1163" spans="1:12" x14ac:dyDescent="0.25">
      <c r="A1163" s="26">
        <v>18.350000000000001</v>
      </c>
      <c r="B1163">
        <v>18.329999999999998</v>
      </c>
      <c r="C1163">
        <v>1.97</v>
      </c>
      <c r="D1163" s="2">
        <v>43518</v>
      </c>
      <c r="E1163">
        <v>18.440000000000001</v>
      </c>
      <c r="F1163">
        <v>-0.09</v>
      </c>
      <c r="G1163">
        <v>-0.11000000000000298</v>
      </c>
      <c r="H1163" s="5">
        <f t="shared" si="156"/>
        <v>-4.8806941431670274E-3</v>
      </c>
      <c r="I1163" s="3">
        <f t="shared" si="153"/>
        <v>-0.4526327484626616</v>
      </c>
      <c r="J1163" s="5">
        <f t="shared" si="157"/>
        <v>-5.9652928416487512E-3</v>
      </c>
      <c r="K1163" s="3">
        <f t="shared" si="154"/>
        <v>1.6885962671513318E-2</v>
      </c>
      <c r="L1163" s="3">
        <f t="shared" si="155"/>
        <v>-0.82047877925335833</v>
      </c>
    </row>
    <row r="1164" spans="1:12" x14ac:dyDescent="0.25">
      <c r="A1164" s="26">
        <v>19.850000000000001</v>
      </c>
      <c r="B1164">
        <v>19.809999999999999</v>
      </c>
      <c r="C1164">
        <v>3.05</v>
      </c>
      <c r="D1164" s="2">
        <v>43517</v>
      </c>
      <c r="E1164">
        <v>20</v>
      </c>
      <c r="F1164">
        <v>-0.15</v>
      </c>
      <c r="G1164">
        <v>-0.19000000000000128</v>
      </c>
      <c r="H1164" s="5">
        <f t="shared" si="156"/>
        <v>-7.4999999999999997E-3</v>
      </c>
      <c r="I1164" s="3">
        <f t="shared" si="153"/>
        <v>-0.83890895370701368</v>
      </c>
      <c r="J1164" s="5">
        <f t="shared" si="157"/>
        <v>-9.5000000000000639E-3</v>
      </c>
      <c r="K1164" s="3">
        <f t="shared" si="154"/>
        <v>-0.53045985676330754</v>
      </c>
      <c r="L1164" s="3">
        <f t="shared" si="155"/>
        <v>0.29258323788723972</v>
      </c>
    </row>
    <row r="1165" spans="1:12" x14ac:dyDescent="0.25">
      <c r="A1165" s="26">
        <v>20.260000000000002</v>
      </c>
      <c r="B1165">
        <v>20.170000000000002</v>
      </c>
      <c r="C1165">
        <v>3.09</v>
      </c>
      <c r="D1165" s="2">
        <v>43515</v>
      </c>
      <c r="E1165">
        <v>20.27</v>
      </c>
      <c r="F1165">
        <v>-0.01</v>
      </c>
      <c r="G1165">
        <v>-9.9999999999997868E-2</v>
      </c>
      <c r="H1165" s="5">
        <f t="shared" si="156"/>
        <v>-4.9333991119881603E-4</v>
      </c>
      <c r="I1165" s="3">
        <f t="shared" si="153"/>
        <v>0.18297215290563126</v>
      </c>
      <c r="J1165" s="5">
        <f t="shared" si="157"/>
        <v>-4.9333991119880549E-3</v>
      </c>
      <c r="K1165" s="3">
        <f t="shared" si="154"/>
        <v>0.17248738544145753</v>
      </c>
      <c r="L1165" s="3">
        <f t="shared" si="155"/>
        <v>0.33494650173585483</v>
      </c>
    </row>
    <row r="1166" spans="1:12" x14ac:dyDescent="0.25">
      <c r="A1166" s="26">
        <v>20.14</v>
      </c>
      <c r="B1166">
        <v>20</v>
      </c>
      <c r="C1166">
        <v>2.76</v>
      </c>
      <c r="D1166" s="2">
        <v>43514</v>
      </c>
      <c r="E1166">
        <v>20.07</v>
      </c>
      <c r="F1166">
        <v>7.0000000000000007E-2</v>
      </c>
      <c r="G1166">
        <v>-7.0000000000000284E-2</v>
      </c>
      <c r="H1166" s="5">
        <f t="shared" si="156"/>
        <v>3.4877927254608871E-3</v>
      </c>
      <c r="I1166" s="3">
        <f t="shared" si="153"/>
        <v>0.76515327845545567</v>
      </c>
      <c r="J1166" s="5">
        <f t="shared" si="157"/>
        <v>-3.487792725460901E-3</v>
      </c>
      <c r="K1166" s="3">
        <f t="shared" si="154"/>
        <v>0.39563524431444452</v>
      </c>
      <c r="L1166" s="3">
        <f t="shared" si="155"/>
        <v>-3.1646139296202425E-3</v>
      </c>
    </row>
    <row r="1167" spans="1:12" x14ac:dyDescent="0.25">
      <c r="A1167" s="26">
        <v>19.989999999999998</v>
      </c>
      <c r="B1167">
        <v>19.84</v>
      </c>
      <c r="C1167">
        <v>1.84</v>
      </c>
      <c r="D1167" s="2">
        <v>43511</v>
      </c>
      <c r="E1167">
        <v>19.920000000000002</v>
      </c>
      <c r="F1167">
        <v>7.0000000000000007E-2</v>
      </c>
      <c r="G1167">
        <v>-8.0000000000001847E-2</v>
      </c>
      <c r="H1167" s="5">
        <f t="shared" si="156"/>
        <v>3.5140562248995983E-3</v>
      </c>
      <c r="I1167" s="3">
        <f t="shared" si="153"/>
        <v>0.7734088203547842</v>
      </c>
      <c r="J1167" s="5">
        <f t="shared" si="157"/>
        <v>-4.0160642570282049E-3</v>
      </c>
      <c r="K1167" s="3">
        <f t="shared" si="154"/>
        <v>0.31623299232428131</v>
      </c>
      <c r="L1167" s="3">
        <f t="shared" si="155"/>
        <v>-0.94605761164112168</v>
      </c>
    </row>
    <row r="1168" spans="1:12" x14ac:dyDescent="0.25">
      <c r="A1168" s="26">
        <v>20.86</v>
      </c>
      <c r="B1168">
        <v>20.71</v>
      </c>
      <c r="C1168">
        <v>2.5499999999999998</v>
      </c>
      <c r="D1168" s="2">
        <v>43510</v>
      </c>
      <c r="E1168">
        <v>20.85</v>
      </c>
      <c r="F1168">
        <v>0.01</v>
      </c>
      <c r="G1168">
        <v>-0.14000000000000057</v>
      </c>
      <c r="H1168" s="5">
        <f t="shared" si="156"/>
        <v>4.7961630695443641E-4</v>
      </c>
      <c r="I1168" s="3">
        <f t="shared" si="153"/>
        <v>0.33604472117614026</v>
      </c>
      <c r="J1168" s="5">
        <f t="shared" si="157"/>
        <v>-6.7146282973621369E-3</v>
      </c>
      <c r="K1168" s="3">
        <f t="shared" si="154"/>
        <v>-9.5211608440866638E-2</v>
      </c>
      <c r="L1168" s="3">
        <f t="shared" si="155"/>
        <v>-0.22502909129398141</v>
      </c>
    </row>
    <row r="1169" spans="1:12" x14ac:dyDescent="0.25">
      <c r="A1169" s="26">
        <v>20.010000000000002</v>
      </c>
      <c r="B1169">
        <v>20.059999999999999</v>
      </c>
      <c r="C1169">
        <v>1.57</v>
      </c>
      <c r="D1169" s="2">
        <v>43509</v>
      </c>
      <c r="E1169">
        <v>20.16</v>
      </c>
      <c r="F1169">
        <v>-0.15</v>
      </c>
      <c r="G1169">
        <v>-0.10000000000000142</v>
      </c>
      <c r="H1169" s="5">
        <f t="shared" si="156"/>
        <v>-7.4404761904761901E-3</v>
      </c>
      <c r="I1169" s="3">
        <f t="shared" si="153"/>
        <v>-0.81219073042862944</v>
      </c>
      <c r="J1169" s="5">
        <f t="shared" si="157"/>
        <v>-4.9603174603175312E-3</v>
      </c>
      <c r="K1169" s="3">
        <f t="shared" si="154"/>
        <v>0.17175081203790543</v>
      </c>
      <c r="L1169" s="3">
        <f t="shared" si="155"/>
        <v>-1.2264774346524696</v>
      </c>
    </row>
    <row r="1170" spans="1:12" x14ac:dyDescent="0.25">
      <c r="A1170" s="26">
        <v>21.71</v>
      </c>
      <c r="B1170">
        <v>21.6</v>
      </c>
      <c r="C1170">
        <v>2.2599999999999998</v>
      </c>
      <c r="D1170" s="2">
        <v>43508</v>
      </c>
      <c r="E1170">
        <v>21.68</v>
      </c>
      <c r="F1170">
        <v>0.03</v>
      </c>
      <c r="G1170">
        <v>-7.9999999999998295E-2</v>
      </c>
      <c r="H1170" s="5">
        <f t="shared" si="156"/>
        <v>1.3837638376383763E-3</v>
      </c>
      <c r="I1170" s="3">
        <f t="shared" si="153"/>
        <v>0.46201470080848756</v>
      </c>
      <c r="J1170" s="5">
        <f t="shared" si="157"/>
        <v>-3.6900369003689251E-3</v>
      </c>
      <c r="K1170" s="3">
        <f t="shared" si="154"/>
        <v>0.3652629728364763</v>
      </c>
      <c r="L1170" s="3">
        <f t="shared" si="155"/>
        <v>-0.53178272313546404</v>
      </c>
    </row>
    <row r="1171" spans="1:12" x14ac:dyDescent="0.25">
      <c r="A1171" s="26">
        <v>21.8</v>
      </c>
      <c r="B1171">
        <v>21.77</v>
      </c>
      <c r="C1171">
        <v>1.81</v>
      </c>
      <c r="D1171" s="2">
        <v>43507</v>
      </c>
      <c r="E1171">
        <v>21.86</v>
      </c>
      <c r="F1171">
        <v>-0.06</v>
      </c>
      <c r="G1171">
        <v>-8.9999999999999858E-2</v>
      </c>
      <c r="H1171" s="5">
        <f t="shared" si="156"/>
        <v>-2.7447392497712718E-3</v>
      </c>
      <c r="I1171" s="3">
        <f t="shared" si="153"/>
        <v>-0.13262060715383431</v>
      </c>
      <c r="J1171" s="5">
        <f t="shared" si="157"/>
        <v>-4.1171088746569011E-3</v>
      </c>
      <c r="K1171" s="3">
        <f t="shared" si="154"/>
        <v>0.3021806949341756</v>
      </c>
      <c r="L1171" s="3">
        <f t="shared" si="155"/>
        <v>-0.99337079301696063</v>
      </c>
    </row>
    <row r="1172" spans="1:12" x14ac:dyDescent="0.25">
      <c r="A1172" s="26">
        <v>23.28</v>
      </c>
      <c r="B1172">
        <v>23.32</v>
      </c>
      <c r="C1172">
        <v>1.55</v>
      </c>
      <c r="D1172" s="2">
        <v>43504</v>
      </c>
      <c r="E1172">
        <v>23.43</v>
      </c>
      <c r="F1172">
        <v>-0.15</v>
      </c>
      <c r="G1172">
        <v>-0.10999999999999943</v>
      </c>
      <c r="H1172" s="5">
        <f t="shared" si="156"/>
        <v>-6.4020486555697821E-3</v>
      </c>
      <c r="I1172" s="3">
        <f t="shared" si="153"/>
        <v>-0.65978150004658032</v>
      </c>
      <c r="J1172" s="5">
        <f t="shared" si="157"/>
        <v>-4.6948356807511495E-3</v>
      </c>
      <c r="K1172" s="3">
        <f t="shared" si="154"/>
        <v>0.21629543038242335</v>
      </c>
      <c r="L1172" s="3">
        <f t="shared" si="155"/>
        <v>-1.2658671718981334</v>
      </c>
    </row>
    <row r="1173" spans="1:12" x14ac:dyDescent="0.25">
      <c r="A1173" s="26">
        <v>23.8</v>
      </c>
      <c r="B1173">
        <v>23.69</v>
      </c>
      <c r="C1173">
        <v>2.44</v>
      </c>
      <c r="D1173" s="2">
        <v>43503</v>
      </c>
      <c r="E1173">
        <v>23.75</v>
      </c>
      <c r="F1173">
        <v>0.05</v>
      </c>
      <c r="G1173">
        <v>-5.9999999999998721E-2</v>
      </c>
      <c r="H1173" s="5">
        <f t="shared" si="156"/>
        <v>2.1052631578947368E-3</v>
      </c>
      <c r="I1173" s="3">
        <f t="shared" si="153"/>
        <v>0.55903342463755168</v>
      </c>
      <c r="J1173" s="5">
        <f t="shared" si="157"/>
        <v>-2.5263157894736305E-3</v>
      </c>
      <c r="K1173" s="3">
        <f t="shared" si="154"/>
        <v>0.54298646405559536</v>
      </c>
      <c r="L1173" s="3">
        <f t="shared" si="155"/>
        <v>-0.36798162550747854</v>
      </c>
    </row>
    <row r="1174" spans="1:12" x14ac:dyDescent="0.25">
      <c r="A1174" s="26">
        <v>22.93</v>
      </c>
      <c r="B1174">
        <v>22.76</v>
      </c>
      <c r="C1174">
        <v>2.06</v>
      </c>
      <c r="D1174" s="2">
        <v>43501</v>
      </c>
      <c r="E1174">
        <v>22.86</v>
      </c>
      <c r="F1174">
        <v>7.0000000000000007E-2</v>
      </c>
      <c r="G1174">
        <v>-9.9999999999997868E-2</v>
      </c>
      <c r="H1174" s="5">
        <f t="shared" si="156"/>
        <v>3.062117235345582E-3</v>
      </c>
      <c r="I1174" s="3">
        <f t="shared" si="153"/>
        <v>0.69897106027281963</v>
      </c>
      <c r="J1174" s="5">
        <f t="shared" si="157"/>
        <v>-4.3744531933507377E-3</v>
      </c>
      <c r="K1174" s="3">
        <f t="shared" si="154"/>
        <v>0.26873739224778237</v>
      </c>
      <c r="L1174" s="3">
        <f t="shared" si="155"/>
        <v>-0.75685627002768441</v>
      </c>
    </row>
    <row r="1175" spans="1:12" x14ac:dyDescent="0.25">
      <c r="A1175" s="26">
        <v>21.38</v>
      </c>
      <c r="B1175">
        <v>21.26</v>
      </c>
      <c r="C1175">
        <v>2.6</v>
      </c>
      <c r="D1175" s="2">
        <v>43500</v>
      </c>
      <c r="E1175">
        <v>21.39</v>
      </c>
      <c r="F1175">
        <v>-0.01</v>
      </c>
      <c r="G1175">
        <v>-0.12999999999999901</v>
      </c>
      <c r="H1175" s="5">
        <f t="shared" si="156"/>
        <v>-4.675081813931744E-4</v>
      </c>
      <c r="I1175" s="3">
        <f t="shared" si="153"/>
        <v>0.19816428824206769</v>
      </c>
      <c r="J1175" s="5">
        <f t="shared" si="157"/>
        <v>-6.0776063581112205E-3</v>
      </c>
      <c r="K1175" s="3">
        <f t="shared" si="154"/>
        <v>1.5548875043872135E-2</v>
      </c>
      <c r="L1175" s="3">
        <f t="shared" si="155"/>
        <v>-0.21174089155243525</v>
      </c>
    </row>
    <row r="1176" spans="1:12" x14ac:dyDescent="0.25">
      <c r="A1176" s="26">
        <v>21.38</v>
      </c>
      <c r="B1176">
        <v>21.37</v>
      </c>
      <c r="C1176">
        <v>2.87</v>
      </c>
      <c r="D1176" s="2">
        <v>43497</v>
      </c>
      <c r="E1176">
        <v>21.54</v>
      </c>
      <c r="F1176">
        <v>-0.16</v>
      </c>
      <c r="G1176">
        <v>-0.16999999999999815</v>
      </c>
      <c r="H1176" s="5">
        <f t="shared" si="156"/>
        <v>-7.4280408542246983E-3</v>
      </c>
      <c r="I1176" s="3">
        <f t="shared" si="153"/>
        <v>-0.79284088432664868</v>
      </c>
      <c r="J1176" s="5">
        <f t="shared" si="157"/>
        <v>-7.8922934076136562E-3</v>
      </c>
      <c r="K1176" s="3">
        <f t="shared" si="154"/>
        <v>-0.25427991957441709</v>
      </c>
      <c r="L1176" s="3">
        <f t="shared" si="155"/>
        <v>6.1223137038793105E-2</v>
      </c>
    </row>
    <row r="1177" spans="1:12" x14ac:dyDescent="0.25">
      <c r="A1177" s="26">
        <v>22.3</v>
      </c>
      <c r="B1177">
        <v>22.25</v>
      </c>
      <c r="C1177">
        <v>2.29</v>
      </c>
      <c r="D1177" s="2">
        <v>43496</v>
      </c>
      <c r="E1177">
        <v>22.37</v>
      </c>
      <c r="F1177">
        <v>-7.0000000000000007E-2</v>
      </c>
      <c r="G1177">
        <v>-0.12000000000000099</v>
      </c>
      <c r="H1177" s="5">
        <f t="shared" si="156"/>
        <v>-3.1291908806437194E-3</v>
      </c>
      <c r="I1177" s="3">
        <f t="shared" si="153"/>
        <v>-0.18627230340056261</v>
      </c>
      <c r="J1177" s="5">
        <f t="shared" si="157"/>
        <v>-5.3643272239607062E-3</v>
      </c>
      <c r="K1177" s="3">
        <f t="shared" si="154"/>
        <v>0.11924756979325365</v>
      </c>
      <c r="L1177" s="3">
        <f t="shared" si="155"/>
        <v>-0.52446120719872069</v>
      </c>
    </row>
    <row r="1178" spans="1:12" x14ac:dyDescent="0.25">
      <c r="A1178" s="26">
        <v>22.91</v>
      </c>
      <c r="B1178">
        <v>22.86</v>
      </c>
      <c r="C1178">
        <v>2.13</v>
      </c>
      <c r="D1178" s="2">
        <v>43495</v>
      </c>
      <c r="E1178">
        <v>23</v>
      </c>
      <c r="F1178">
        <v>-0.09</v>
      </c>
      <c r="G1178">
        <v>-0.14000000000000057</v>
      </c>
      <c r="H1178" s="5">
        <f t="shared" si="156"/>
        <v>-3.913043478260869E-3</v>
      </c>
      <c r="I1178" s="3">
        <f t="shared" si="153"/>
        <v>-0.29813070676637538</v>
      </c>
      <c r="J1178" s="5">
        <f t="shared" si="157"/>
        <v>-6.0869565217391555E-3</v>
      </c>
      <c r="K1178" s="3">
        <f t="shared" si="154"/>
        <v>1.3066155500861621E-2</v>
      </c>
      <c r="L1178" s="3">
        <f t="shared" si="155"/>
        <v>-0.68818581994699379</v>
      </c>
    </row>
    <row r="1179" spans="1:12" x14ac:dyDescent="0.25">
      <c r="A1179" s="26">
        <v>22.43</v>
      </c>
      <c r="B1179">
        <v>22.31</v>
      </c>
      <c r="C1179">
        <v>2.21</v>
      </c>
      <c r="D1179" s="2">
        <v>43494</v>
      </c>
      <c r="E1179">
        <v>22.4</v>
      </c>
      <c r="F1179">
        <v>0.03</v>
      </c>
      <c r="G1179">
        <v>-8.9999999999999858E-2</v>
      </c>
      <c r="H1179" s="5">
        <f t="shared" si="156"/>
        <v>1.3392857142857143E-3</v>
      </c>
      <c r="I1179" s="3">
        <f t="shared" si="153"/>
        <v>0.44231089873025498</v>
      </c>
      <c r="J1179" s="5">
        <f t="shared" si="157"/>
        <v>-4.0178571428571364E-3</v>
      </c>
      <c r="K1179" s="3">
        <f t="shared" si="154"/>
        <v>0.31728354716158214</v>
      </c>
      <c r="L1179" s="3">
        <f t="shared" si="155"/>
        <v>-0.61164938766029564</v>
      </c>
    </row>
    <row r="1180" spans="1:12" x14ac:dyDescent="0.25">
      <c r="A1180" s="26">
        <v>23.01</v>
      </c>
      <c r="B1180">
        <v>22.88</v>
      </c>
      <c r="C1180">
        <v>2.2200000000000002</v>
      </c>
      <c r="D1180" s="2">
        <v>43493</v>
      </c>
      <c r="E1180">
        <v>23.02</v>
      </c>
      <c r="F1180">
        <v>-0.01</v>
      </c>
      <c r="G1180">
        <v>-0.14000000000000057</v>
      </c>
      <c r="H1180" s="5">
        <f t="shared" si="156"/>
        <v>-4.3440486533449178E-4</v>
      </c>
      <c r="I1180" s="3">
        <f t="shared" si="153"/>
        <v>0.19476428531525952</v>
      </c>
      <c r="J1180" s="5">
        <f t="shared" si="157"/>
        <v>-6.0816681146829091E-3</v>
      </c>
      <c r="K1180" s="3">
        <f t="shared" si="154"/>
        <v>1.6394288433727065E-2</v>
      </c>
      <c r="L1180" s="3">
        <f t="shared" si="155"/>
        <v>-0.60486701457622205</v>
      </c>
    </row>
    <row r="1181" spans="1:12" x14ac:dyDescent="0.25">
      <c r="A1181" s="26">
        <v>24.6</v>
      </c>
      <c r="B1181">
        <v>24.34</v>
      </c>
      <c r="C1181">
        <v>2.41</v>
      </c>
      <c r="D1181" s="2">
        <v>43489</v>
      </c>
      <c r="E1181">
        <v>24.45</v>
      </c>
      <c r="F1181">
        <v>0.15</v>
      </c>
      <c r="G1181">
        <v>-0.10999999999999943</v>
      </c>
      <c r="H1181" s="5">
        <f t="shared" si="156"/>
        <v>6.1349693251533744E-3</v>
      </c>
      <c r="I1181" s="3">
        <f t="shared" si="153"/>
        <v>1.1166636394445195</v>
      </c>
      <c r="J1181" s="5">
        <f t="shared" si="157"/>
        <v>-4.4989775051124514E-3</v>
      </c>
      <c r="K1181" s="3">
        <f t="shared" si="154"/>
        <v>0.24733275002308658</v>
      </c>
      <c r="L1181" s="3">
        <f t="shared" si="155"/>
        <v>-0.41799852193583292</v>
      </c>
    </row>
    <row r="1182" spans="1:12" x14ac:dyDescent="0.25">
      <c r="A1182" s="26">
        <v>24.42</v>
      </c>
      <c r="B1182">
        <v>24.4</v>
      </c>
      <c r="C1182">
        <v>1.87</v>
      </c>
      <c r="D1182" s="2">
        <v>43487</v>
      </c>
      <c r="E1182">
        <v>24.49</v>
      </c>
      <c r="F1182">
        <v>-7.0000000000000007E-2</v>
      </c>
      <c r="G1182">
        <v>-8.9999999999999858E-2</v>
      </c>
      <c r="H1182" s="5">
        <f t="shared" si="156"/>
        <v>-2.8583095140873832E-3</v>
      </c>
      <c r="I1182" s="3">
        <f t="shared" si="153"/>
        <v>-0.13526569559101287</v>
      </c>
      <c r="J1182" s="5">
        <f t="shared" si="157"/>
        <v>-3.6749693752552008E-3</v>
      </c>
      <c r="K1182" s="3">
        <f t="shared" si="154"/>
        <v>0.36813629846223528</v>
      </c>
      <c r="L1182" s="3">
        <f t="shared" si="155"/>
        <v>-0.95840193034962773</v>
      </c>
    </row>
    <row r="1183" spans="1:12" x14ac:dyDescent="0.25">
      <c r="A1183" s="26">
        <v>24.22</v>
      </c>
      <c r="B1183">
        <v>24.16</v>
      </c>
      <c r="C1183">
        <v>1.94</v>
      </c>
      <c r="D1183" s="2">
        <v>43486</v>
      </c>
      <c r="E1183">
        <v>24.29</v>
      </c>
      <c r="F1183">
        <v>-7.0000000000000007E-2</v>
      </c>
      <c r="G1183">
        <v>-0.12999999999999901</v>
      </c>
      <c r="H1183" s="5">
        <f t="shared" si="156"/>
        <v>-2.8818443804034585E-3</v>
      </c>
      <c r="I1183" s="3">
        <f t="shared" si="153"/>
        <v>-0.13911909520829988</v>
      </c>
      <c r="J1183" s="5">
        <f t="shared" si="157"/>
        <v>-5.3519967064635243E-3</v>
      </c>
      <c r="K1183" s="3">
        <f t="shared" si="154"/>
        <v>0.12703194946260071</v>
      </c>
      <c r="L1183" s="3">
        <f t="shared" si="155"/>
        <v>-0.89593918697109398</v>
      </c>
    </row>
    <row r="1184" spans="1:12" x14ac:dyDescent="0.25">
      <c r="A1184" s="26">
        <v>23.55</v>
      </c>
      <c r="B1184">
        <v>23.4</v>
      </c>
      <c r="C1184">
        <v>2.9</v>
      </c>
      <c r="D1184" s="2">
        <v>43482</v>
      </c>
      <c r="E1184">
        <v>23.5</v>
      </c>
      <c r="F1184">
        <v>0.05</v>
      </c>
      <c r="G1184">
        <v>-0.10000000000000142</v>
      </c>
      <c r="H1184" s="5">
        <f t="shared" si="156"/>
        <v>2.1276595744680851E-3</v>
      </c>
      <c r="I1184" s="3">
        <f t="shared" si="153"/>
        <v>0.55769567526429353</v>
      </c>
      <c r="J1184" s="5">
        <f t="shared" si="157"/>
        <v>-4.255319148936231E-3</v>
      </c>
      <c r="K1184" s="3">
        <f t="shared" si="154"/>
        <v>0.28570128951828011</v>
      </c>
      <c r="L1184" s="3">
        <f t="shared" si="155"/>
        <v>5.3870611486704092E-2</v>
      </c>
    </row>
    <row r="1185" spans="1:12" x14ac:dyDescent="0.25">
      <c r="A1185" s="26">
        <v>22.72</v>
      </c>
      <c r="B1185">
        <v>22.51</v>
      </c>
      <c r="C1185">
        <v>2.33</v>
      </c>
      <c r="D1185" s="2">
        <v>43481</v>
      </c>
      <c r="E1185">
        <v>22.62</v>
      </c>
      <c r="F1185">
        <v>0.1</v>
      </c>
      <c r="G1185">
        <v>-0.10999999999999943</v>
      </c>
      <c r="H1185" s="5">
        <f t="shared" si="156"/>
        <v>4.4208664898320073E-3</v>
      </c>
      <c r="I1185" s="3">
        <f t="shared" si="153"/>
        <v>0.87907881894349826</v>
      </c>
      <c r="J1185" s="5">
        <f t="shared" si="157"/>
        <v>-4.8629531388151822E-3</v>
      </c>
      <c r="K1185" s="3">
        <f t="shared" si="154"/>
        <v>0.1997084625978047</v>
      </c>
      <c r="L1185" s="3">
        <f t="shared" si="155"/>
        <v>-0.51141933087802949</v>
      </c>
    </row>
    <row r="1186" spans="1:12" x14ac:dyDescent="0.25">
      <c r="A1186" s="26">
        <v>22.55</v>
      </c>
      <c r="B1186">
        <v>22.4</v>
      </c>
      <c r="C1186">
        <v>2.48</v>
      </c>
      <c r="D1186" s="2">
        <v>43480</v>
      </c>
      <c r="E1186">
        <v>22.51</v>
      </c>
      <c r="F1186">
        <v>0.04</v>
      </c>
      <c r="G1186">
        <v>-0.11000000000000298</v>
      </c>
      <c r="H1186" s="5">
        <f t="shared" si="156"/>
        <v>1.7769880053309639E-3</v>
      </c>
      <c r="I1186" s="3">
        <f t="shared" si="153"/>
        <v>0.5190367955630274</v>
      </c>
      <c r="J1186" s="5">
        <f t="shared" si="157"/>
        <v>-4.886717014660283E-3</v>
      </c>
      <c r="K1186" s="3">
        <f t="shared" si="154"/>
        <v>0.19718038335573865</v>
      </c>
      <c r="L1186" s="3">
        <f t="shared" si="155"/>
        <v>-0.36565815278070773</v>
      </c>
    </row>
    <row r="1187" spans="1:12" x14ac:dyDescent="0.25">
      <c r="A1187" s="26">
        <v>21.95</v>
      </c>
      <c r="B1187">
        <v>21.9</v>
      </c>
      <c r="C1187">
        <v>2.35</v>
      </c>
      <c r="D1187" s="2">
        <v>43479</v>
      </c>
      <c r="E1187">
        <v>21.99</v>
      </c>
      <c r="F1187">
        <v>-0.04</v>
      </c>
      <c r="G1187">
        <v>-8.9999999999999858E-2</v>
      </c>
      <c r="H1187" s="5">
        <f t="shared" si="156"/>
        <v>-1.8190086402910415E-3</v>
      </c>
      <c r="I1187" s="3">
        <f t="shared" si="153"/>
        <v>2.4697446101587972E-2</v>
      </c>
      <c r="J1187" s="5">
        <f t="shared" si="157"/>
        <v>-4.0927694406548368E-3</v>
      </c>
      <c r="K1187" s="3">
        <f t="shared" si="154"/>
        <v>0.31115660598267658</v>
      </c>
      <c r="L1187" s="3">
        <f t="shared" si="155"/>
        <v>-0.49547459102933372</v>
      </c>
    </row>
    <row r="1188" spans="1:12" x14ac:dyDescent="0.25">
      <c r="A1188" s="26">
        <v>21.4</v>
      </c>
      <c r="B1188">
        <v>21.19</v>
      </c>
      <c r="C1188">
        <v>2.33</v>
      </c>
      <c r="D1188" s="2">
        <v>43475</v>
      </c>
      <c r="E1188">
        <v>21.33</v>
      </c>
      <c r="F1188">
        <v>7.0000000000000007E-2</v>
      </c>
      <c r="G1188">
        <v>-0.13999999999999702</v>
      </c>
      <c r="H1188" s="5">
        <f t="shared" si="156"/>
        <v>3.2817627754336623E-3</v>
      </c>
      <c r="I1188" s="3">
        <f t="shared" si="153"/>
        <v>0.72693088888827462</v>
      </c>
      <c r="J1188" s="5">
        <f t="shared" si="157"/>
        <v>-6.5635255508671832E-3</v>
      </c>
      <c r="K1188" s="3">
        <f t="shared" si="154"/>
        <v>-3.8007417355898798E-2</v>
      </c>
      <c r="L1188" s="3">
        <f t="shared" si="155"/>
        <v>-0.51766126976706939</v>
      </c>
    </row>
    <row r="1189" spans="1:12" x14ac:dyDescent="0.25">
      <c r="A1189" s="26">
        <v>22.4</v>
      </c>
      <c r="B1189">
        <v>22.4</v>
      </c>
      <c r="C1189">
        <v>1.95</v>
      </c>
      <c r="D1189" s="2">
        <v>43473</v>
      </c>
      <c r="E1189">
        <v>22.53</v>
      </c>
      <c r="F1189">
        <v>-0.13</v>
      </c>
      <c r="G1189">
        <v>-0.13000000000000256</v>
      </c>
      <c r="H1189" s="5">
        <f t="shared" si="156"/>
        <v>-5.770084332001775E-3</v>
      </c>
      <c r="I1189" s="3">
        <f t="shared" si="153"/>
        <v>-0.51169998609003264</v>
      </c>
      <c r="J1189" s="5">
        <f t="shared" si="157"/>
        <v>-5.7700843320018886E-3</v>
      </c>
      <c r="K1189" s="3">
        <f t="shared" si="154"/>
        <v>7.3935372748019534E-2</v>
      </c>
      <c r="L1189" s="3">
        <f t="shared" si="155"/>
        <v>-0.89260796819595711</v>
      </c>
    </row>
    <row r="1190" spans="1:12" x14ac:dyDescent="0.25">
      <c r="A1190" s="26">
        <v>23.01</v>
      </c>
      <c r="B1190">
        <v>23.1</v>
      </c>
      <c r="C1190">
        <v>2.41</v>
      </c>
      <c r="D1190" s="2">
        <v>43472</v>
      </c>
      <c r="E1190">
        <v>23.22</v>
      </c>
      <c r="F1190">
        <v>-0.21</v>
      </c>
      <c r="G1190">
        <v>-0.11999999999999744</v>
      </c>
      <c r="H1190" s="5">
        <f t="shared" si="156"/>
        <v>-9.0439276485788107E-3</v>
      </c>
      <c r="I1190" s="3">
        <f t="shared" si="153"/>
        <v>-0.96278757508084301</v>
      </c>
      <c r="J1190" s="5">
        <f t="shared" si="157"/>
        <v>-5.1679586563306394E-3</v>
      </c>
      <c r="K1190" s="3">
        <f t="shared" si="154"/>
        <v>0.15896119669838676</v>
      </c>
      <c r="L1190" s="3">
        <f t="shared" si="155"/>
        <v>-0.44914547264875693</v>
      </c>
    </row>
    <row r="1191" spans="1:12" x14ac:dyDescent="0.25">
      <c r="A1191" s="26">
        <v>23.4</v>
      </c>
      <c r="B1191">
        <v>23.29</v>
      </c>
      <c r="C1191">
        <v>1.89</v>
      </c>
      <c r="D1191" s="2">
        <v>43451</v>
      </c>
      <c r="E1191">
        <v>23.42</v>
      </c>
      <c r="F1191">
        <v>-0.02</v>
      </c>
      <c r="G1191">
        <v>-0.13000000000000256</v>
      </c>
      <c r="H1191" s="5">
        <f t="shared" si="156"/>
        <v>-8.5397096498719043E-4</v>
      </c>
      <c r="I1191" s="3">
        <f t="shared" si="153"/>
        <v>0.15005998594081862</v>
      </c>
      <c r="J1191" s="5">
        <f t="shared" si="157"/>
        <v>-5.550811272416847E-3</v>
      </c>
      <c r="K1191" s="3">
        <f t="shared" si="154"/>
        <v>0.10605022516856695</v>
      </c>
      <c r="L1191" s="3">
        <f t="shared" si="155"/>
        <v>-0.95863237135608115</v>
      </c>
    </row>
    <row r="1192" spans="1:12" x14ac:dyDescent="0.25">
      <c r="A1192" s="26">
        <v>21.88</v>
      </c>
      <c r="B1192">
        <v>21.78</v>
      </c>
      <c r="C1192">
        <v>2.13</v>
      </c>
      <c r="D1192" s="2">
        <v>43447</v>
      </c>
      <c r="E1192">
        <v>21.97</v>
      </c>
      <c r="F1192">
        <v>-0.09</v>
      </c>
      <c r="G1192">
        <v>-0.18999999999999773</v>
      </c>
      <c r="H1192" s="5">
        <f t="shared" si="156"/>
        <v>-4.0964952207555756E-3</v>
      </c>
      <c r="I1192" s="3">
        <f t="shared" si="153"/>
        <v>-0.2911759353303302</v>
      </c>
      <c r="J1192" s="5">
        <f t="shared" si="157"/>
        <v>-8.6481565771505571E-3</v>
      </c>
      <c r="K1192" s="3">
        <f t="shared" si="154"/>
        <v>-0.32538911066376708</v>
      </c>
      <c r="L1192" s="3">
        <f t="shared" si="155"/>
        <v>-0.73249576153538631</v>
      </c>
    </row>
    <row r="1193" spans="1:12" x14ac:dyDescent="0.25">
      <c r="A1193" s="26">
        <v>20.77</v>
      </c>
      <c r="B1193">
        <v>20.74</v>
      </c>
      <c r="C1193">
        <v>2.5099999999999998</v>
      </c>
      <c r="D1193" s="2">
        <v>43445</v>
      </c>
      <c r="E1193">
        <v>20.85</v>
      </c>
      <c r="F1193">
        <v>-0.08</v>
      </c>
      <c r="G1193">
        <v>-0.11000000000000298</v>
      </c>
      <c r="H1193" s="5">
        <f t="shared" si="156"/>
        <v>-3.8369304556354913E-3</v>
      </c>
      <c r="I1193" s="3">
        <f t="shared" si="153"/>
        <v>-0.25735634687989095</v>
      </c>
      <c r="J1193" s="5">
        <f t="shared" si="157"/>
        <v>-5.2757793764989435E-3</v>
      </c>
      <c r="K1193" s="3">
        <f t="shared" si="154"/>
        <v>0.14137167876759243</v>
      </c>
      <c r="L1193" s="3">
        <f t="shared" si="155"/>
        <v>-0.36753790172956913</v>
      </c>
    </row>
    <row r="1194" spans="1:12" x14ac:dyDescent="0.25">
      <c r="A1194" s="26">
        <v>19.77</v>
      </c>
      <c r="B1194">
        <v>19.8</v>
      </c>
      <c r="C1194">
        <v>1.66</v>
      </c>
      <c r="D1194" s="2">
        <v>43444</v>
      </c>
      <c r="E1194">
        <v>19.899999999999999</v>
      </c>
      <c r="F1194">
        <v>-0.13</v>
      </c>
      <c r="G1194">
        <v>-9.9999999999997868E-2</v>
      </c>
      <c r="H1194" s="5">
        <f t="shared" si="156"/>
        <v>-6.5326633165829154E-3</v>
      </c>
      <c r="I1194" s="3">
        <f t="shared" si="153"/>
        <v>-0.62291067702193204</v>
      </c>
      <c r="J1194" s="5">
        <f t="shared" si="157"/>
        <v>-5.0251256281405969E-3</v>
      </c>
      <c r="K1194" s="3">
        <f t="shared" si="154"/>
        <v>0.17667621102770242</v>
      </c>
      <c r="L1194" s="3">
        <f t="shared" si="155"/>
        <v>-1.1934123508336085</v>
      </c>
    </row>
    <row r="1195" spans="1:12" x14ac:dyDescent="0.25">
      <c r="A1195" s="26">
        <v>18.55</v>
      </c>
      <c r="B1195">
        <v>18.420000000000002</v>
      </c>
      <c r="C1195">
        <v>3.26</v>
      </c>
      <c r="D1195" s="2">
        <v>43440</v>
      </c>
      <c r="E1195">
        <v>18.600000000000001</v>
      </c>
      <c r="F1195">
        <v>-0.05</v>
      </c>
      <c r="G1195">
        <v>-0.17999999999999972</v>
      </c>
      <c r="H1195" s="5">
        <f t="shared" si="156"/>
        <v>-2.6881720430107525E-3</v>
      </c>
      <c r="I1195" s="3">
        <f t="shared" si="153"/>
        <v>-0.10874941306732389</v>
      </c>
      <c r="J1195" s="5">
        <f t="shared" si="157"/>
        <v>-9.6774193548386945E-3</v>
      </c>
      <c r="K1195" s="3">
        <f t="shared" si="154"/>
        <v>-0.46287399654970646</v>
      </c>
      <c r="L1195" s="3">
        <f t="shared" si="155"/>
        <v>0.34799224091266412</v>
      </c>
    </row>
    <row r="1196" spans="1:12" x14ac:dyDescent="0.25">
      <c r="A1196" s="26">
        <v>20.21</v>
      </c>
      <c r="B1196">
        <v>20.12</v>
      </c>
      <c r="C1196">
        <v>2.1</v>
      </c>
      <c r="D1196" s="2">
        <v>43439</v>
      </c>
      <c r="E1196">
        <v>20.22</v>
      </c>
      <c r="F1196">
        <v>-0.01</v>
      </c>
      <c r="G1196">
        <v>-9.9999999999997868E-2</v>
      </c>
      <c r="H1196" s="5">
        <f t="shared" si="156"/>
        <v>-4.9455984174085073E-4</v>
      </c>
      <c r="I1196" s="3">
        <f t="shared" si="153"/>
        <v>0.18501916745876471</v>
      </c>
      <c r="J1196" s="5">
        <f t="shared" si="157"/>
        <v>-4.9455984174084011E-3</v>
      </c>
      <c r="K1196" s="3">
        <f t="shared" si="154"/>
        <v>0.18349303388966542</v>
      </c>
      <c r="L1196" s="3">
        <f t="shared" si="155"/>
        <v>-0.77270550753878975</v>
      </c>
    </row>
    <row r="1197" spans="1:12" x14ac:dyDescent="0.25">
      <c r="A1197" s="26">
        <v>20.350000000000001</v>
      </c>
      <c r="B1197">
        <v>20.149999999999999</v>
      </c>
      <c r="C1197">
        <v>2.58</v>
      </c>
      <c r="D1197" s="2">
        <v>43438</v>
      </c>
      <c r="E1197">
        <v>20.28</v>
      </c>
      <c r="F1197">
        <v>7.0000000000000007E-2</v>
      </c>
      <c r="G1197">
        <v>-0.13000000000000256</v>
      </c>
      <c r="H1197" s="5">
        <f t="shared" si="156"/>
        <v>3.4516765285996058E-3</v>
      </c>
      <c r="I1197" s="3">
        <f t="shared" si="153"/>
        <v>0.71289526326200403</v>
      </c>
      <c r="J1197" s="5">
        <f t="shared" si="157"/>
        <v>-6.4102564102565358E-3</v>
      </c>
      <c r="K1197" s="3">
        <f t="shared" si="154"/>
        <v>-1.5593473162730557E-2</v>
      </c>
      <c r="L1197" s="3">
        <f t="shared" si="155"/>
        <v>-0.31459640334333644</v>
      </c>
    </row>
    <row r="1198" spans="1:12" x14ac:dyDescent="0.25">
      <c r="A1198" s="26">
        <v>20.52</v>
      </c>
      <c r="B1198">
        <v>20.5</v>
      </c>
      <c r="C1198">
        <v>2.5099999999999998</v>
      </c>
      <c r="D1198" s="2">
        <v>43437</v>
      </c>
      <c r="E1198">
        <v>20.7</v>
      </c>
      <c r="F1198">
        <v>-0.2</v>
      </c>
      <c r="G1198">
        <v>-0.19999999999999929</v>
      </c>
      <c r="H1198" s="5">
        <f t="shared" si="156"/>
        <v>-9.6618357487922718E-3</v>
      </c>
      <c r="I1198" s="3">
        <f t="shared" si="153"/>
        <v>-1.0292110845134408</v>
      </c>
      <c r="J1198" s="5">
        <f t="shared" si="157"/>
        <v>-9.6618357487922371E-3</v>
      </c>
      <c r="K1198" s="3">
        <f t="shared" si="154"/>
        <v>-0.4574912909340843</v>
      </c>
      <c r="L1198" s="3">
        <f t="shared" si="155"/>
        <v>-0.38347542971890386</v>
      </c>
    </row>
    <row r="1199" spans="1:12" x14ac:dyDescent="0.25">
      <c r="A1199" s="26">
        <v>19.350000000000001</v>
      </c>
      <c r="B1199">
        <v>19.18</v>
      </c>
      <c r="C1199">
        <v>3.19</v>
      </c>
      <c r="D1199" s="2">
        <v>43433</v>
      </c>
      <c r="E1199">
        <v>20.74</v>
      </c>
      <c r="F1199">
        <v>-0.22</v>
      </c>
      <c r="G1199">
        <v>-1.5599999999999987</v>
      </c>
      <c r="H1199" s="5">
        <f t="shared" si="156"/>
        <v>-1.0607521697203472E-2</v>
      </c>
      <c r="I1199" s="3">
        <f t="shared" si="153"/>
        <v>-1.1653995403567692</v>
      </c>
      <c r="J1199" s="5">
        <f t="shared" si="157"/>
        <v>-7.5216972034715474E-2</v>
      </c>
      <c r="K1199" s="3">
        <f t="shared" si="154"/>
        <v>-9.3341635905933487</v>
      </c>
      <c r="L1199" s="3">
        <f t="shared" si="155"/>
        <v>0.26611895675069452</v>
      </c>
    </row>
    <row r="1200" spans="1:12" x14ac:dyDescent="0.25">
      <c r="A1200" s="26">
        <v>19.77</v>
      </c>
      <c r="B1200">
        <v>19.489999999999998</v>
      </c>
      <c r="C1200">
        <v>2.54</v>
      </c>
      <c r="D1200" s="2">
        <v>43431</v>
      </c>
      <c r="E1200">
        <v>19.48</v>
      </c>
      <c r="F1200">
        <v>-0.68</v>
      </c>
      <c r="G1200">
        <v>9.9999999999980105E-3</v>
      </c>
      <c r="H1200" s="5">
        <f t="shared" si="156"/>
        <v>-3.4907597535934295E-2</v>
      </c>
      <c r="I1200" s="3">
        <f t="shared" si="153"/>
        <v>-4.4232655151196365</v>
      </c>
      <c r="J1200" s="5">
        <f t="shared" si="157"/>
        <v>5.1334702258716688E-4</v>
      </c>
      <c r="K1200" s="3">
        <f t="shared" si="154"/>
        <v>2.0973036782048782</v>
      </c>
      <c r="L1200" s="3">
        <f t="shared" si="155"/>
        <v>-0.35275801115390065</v>
      </c>
    </row>
    <row r="1201" spans="1:12" x14ac:dyDescent="0.25">
      <c r="A1201" s="26">
        <v>19.71</v>
      </c>
      <c r="B1201">
        <v>19.62</v>
      </c>
      <c r="C1201">
        <v>2.1</v>
      </c>
      <c r="D1201" s="2">
        <v>43430</v>
      </c>
      <c r="E1201">
        <v>19.64</v>
      </c>
      <c r="F1201">
        <v>0.13</v>
      </c>
      <c r="G1201">
        <v>-1.9999999999999574E-2</v>
      </c>
      <c r="H1201" s="5">
        <f t="shared" si="156"/>
        <v>6.619144602851324E-3</v>
      </c>
      <c r="I1201" s="3">
        <f t="shared" si="153"/>
        <v>1.193739879180939</v>
      </c>
      <c r="J1201" s="5">
        <f t="shared" si="157"/>
        <v>-1.0183299389001819E-3</v>
      </c>
      <c r="K1201" s="3">
        <f t="shared" si="154"/>
        <v>1.6197421985825842</v>
      </c>
      <c r="L1201" s="3">
        <f t="shared" si="155"/>
        <v>-0.77268180816932042</v>
      </c>
    </row>
    <row r="1202" spans="1:12" x14ac:dyDescent="0.25">
      <c r="A1202" s="26">
        <v>20.3</v>
      </c>
      <c r="B1202">
        <v>20.05</v>
      </c>
      <c r="C1202">
        <v>2.82</v>
      </c>
      <c r="D1202" s="2">
        <v>43426</v>
      </c>
      <c r="E1202">
        <v>20.170000000000002</v>
      </c>
      <c r="F1202">
        <v>0.13</v>
      </c>
      <c r="G1202">
        <v>-0.12000000000000099</v>
      </c>
      <c r="H1202" s="5">
        <f t="shared" si="156"/>
        <v>6.445215666831928E-3</v>
      </c>
      <c r="I1202" s="3">
        <f t="shared" si="153"/>
        <v>1.1823091815180591</v>
      </c>
      <c r="J1202" s="5">
        <f t="shared" si="157"/>
        <v>-5.9494298463064442E-3</v>
      </c>
      <c r="K1202" s="3">
        <f t="shared" si="154"/>
        <v>-8.6110657663317838E-2</v>
      </c>
      <c r="L1202" s="3">
        <f t="shared" si="155"/>
        <v>-9.5555007935335945E-2</v>
      </c>
    </row>
    <row r="1203" spans="1:12" x14ac:dyDescent="0.25">
      <c r="A1203" s="26">
        <v>19.84</v>
      </c>
      <c r="B1203">
        <v>19.670000000000002</v>
      </c>
      <c r="C1203">
        <v>2.4700000000000002</v>
      </c>
      <c r="D1203" s="2">
        <v>43425</v>
      </c>
      <c r="E1203">
        <v>19.86</v>
      </c>
      <c r="F1203">
        <v>-0.02</v>
      </c>
      <c r="G1203">
        <v>-0.18999999999999773</v>
      </c>
      <c r="H1203" s="5">
        <f t="shared" si="156"/>
        <v>-1.0070493454179255E-3</v>
      </c>
      <c r="I1203" s="3">
        <f t="shared" si="153"/>
        <v>9.0375759340792478E-2</v>
      </c>
      <c r="J1203" s="5">
        <f t="shared" si="157"/>
        <v>-9.5669687814701771E-3</v>
      </c>
      <c r="K1203" s="3">
        <f t="shared" si="154"/>
        <v>-1.3532752829149646</v>
      </c>
      <c r="L1203" s="3">
        <f t="shared" si="155"/>
        <v>-0.42640996488975152</v>
      </c>
    </row>
    <row r="1204" spans="1:12" x14ac:dyDescent="0.25">
      <c r="A1204" s="26">
        <v>19.399999999999999</v>
      </c>
      <c r="B1204">
        <v>19.14</v>
      </c>
      <c r="C1204">
        <v>1.94</v>
      </c>
      <c r="D1204" s="2">
        <v>43424</v>
      </c>
      <c r="E1204">
        <v>19.23</v>
      </c>
      <c r="F1204">
        <v>0.17</v>
      </c>
      <c r="G1204">
        <v>-8.9999999999999858E-2</v>
      </c>
      <c r="H1204" s="5">
        <f t="shared" si="156"/>
        <v>8.8403536141445655E-3</v>
      </c>
      <c r="I1204" s="3">
        <f t="shared" si="153"/>
        <v>1.5451633944776244</v>
      </c>
      <c r="J1204" s="5">
        <f t="shared" si="157"/>
        <v>-4.6801872074882919E-3</v>
      </c>
      <c r="K1204" s="3">
        <f t="shared" si="154"/>
        <v>0.34586584468485376</v>
      </c>
      <c r="L1204" s="3">
        <f t="shared" si="155"/>
        <v>-0.92716695553501027</v>
      </c>
    </row>
    <row r="1205" spans="1:12" x14ac:dyDescent="0.25">
      <c r="A1205" s="26">
        <v>18.43</v>
      </c>
      <c r="B1205">
        <v>18.440000000000001</v>
      </c>
      <c r="C1205">
        <v>1.6</v>
      </c>
      <c r="D1205" s="2">
        <v>43423</v>
      </c>
      <c r="E1205">
        <v>18.53</v>
      </c>
      <c r="F1205">
        <v>-0.1</v>
      </c>
      <c r="G1205">
        <v>-8.9999999999999858E-2</v>
      </c>
      <c r="H1205" s="5">
        <f t="shared" si="156"/>
        <v>-5.3966540744738263E-3</v>
      </c>
      <c r="I1205" s="3">
        <f t="shared" si="153"/>
        <v>-0.54580130040917518</v>
      </c>
      <c r="J1205" s="5">
        <f t="shared" si="157"/>
        <v>-4.8569886670264354E-3</v>
      </c>
      <c r="K1205" s="3">
        <f t="shared" si="154"/>
        <v>0.28590255541953635</v>
      </c>
      <c r="L1205" s="3">
        <f t="shared" si="155"/>
        <v>-1.2549902721264377</v>
      </c>
    </row>
    <row r="1206" spans="1:12" x14ac:dyDescent="0.25">
      <c r="A1206" s="26">
        <v>18.46</v>
      </c>
      <c r="B1206">
        <v>18.52</v>
      </c>
      <c r="C1206">
        <v>1.52</v>
      </c>
      <c r="D1206" s="2">
        <v>43419</v>
      </c>
      <c r="E1206">
        <v>18.73</v>
      </c>
      <c r="F1206">
        <v>-0.27</v>
      </c>
      <c r="G1206">
        <v>-0.21000000000000085</v>
      </c>
      <c r="H1206" s="5">
        <f t="shared" si="156"/>
        <v>-1.4415376401494928E-2</v>
      </c>
      <c r="I1206" s="3">
        <f t="shared" si="153"/>
        <v>-1.8862359704466574</v>
      </c>
      <c r="J1206" s="5">
        <f t="shared" si="157"/>
        <v>-1.1211959423384989E-2</v>
      </c>
      <c r="K1206" s="3">
        <f t="shared" si="154"/>
        <v>-1.9270388585615037</v>
      </c>
      <c r="L1206" s="3">
        <f t="shared" si="155"/>
        <v>-1.346254136039776</v>
      </c>
    </row>
    <row r="1207" spans="1:12" x14ac:dyDescent="0.25">
      <c r="A1207" s="26">
        <v>19.760000000000002</v>
      </c>
      <c r="B1207">
        <v>19.809999999999999</v>
      </c>
      <c r="C1207">
        <v>1.52</v>
      </c>
      <c r="D1207" s="2">
        <v>43417</v>
      </c>
      <c r="E1207">
        <v>19.95</v>
      </c>
      <c r="F1207">
        <v>-0.19</v>
      </c>
      <c r="G1207">
        <v>-0.14000000000000057</v>
      </c>
      <c r="H1207" s="5">
        <f t="shared" si="156"/>
        <v>-9.5238095238095247E-3</v>
      </c>
      <c r="I1207" s="3">
        <f t="shared" si="153"/>
        <v>-1.1968916202552529</v>
      </c>
      <c r="J1207" s="5">
        <f t="shared" si="157"/>
        <v>-7.0175438596491516E-3</v>
      </c>
      <c r="K1207" s="3">
        <f t="shared" si="154"/>
        <v>-0.49239490509783534</v>
      </c>
      <c r="L1207" s="3">
        <f t="shared" si="155"/>
        <v>-1.3650743916296544</v>
      </c>
    </row>
    <row r="1208" spans="1:12" x14ac:dyDescent="0.25">
      <c r="A1208" s="26">
        <v>20.010000000000002</v>
      </c>
      <c r="B1208">
        <v>20.11</v>
      </c>
      <c r="C1208">
        <v>1.45</v>
      </c>
      <c r="D1208" s="2">
        <v>43416</v>
      </c>
      <c r="E1208">
        <v>20.27</v>
      </c>
      <c r="F1208">
        <v>-0.26</v>
      </c>
      <c r="G1208">
        <v>-0.16000000000000014</v>
      </c>
      <c r="H1208" s="5">
        <f t="shared" si="156"/>
        <v>-1.2826837691169216E-2</v>
      </c>
      <c r="I1208" s="3">
        <f t="shared" si="153"/>
        <v>-1.7097505607705237</v>
      </c>
      <c r="J1208" s="5">
        <f t="shared" si="157"/>
        <v>-7.8934385791810634E-3</v>
      </c>
      <c r="K1208" s="3">
        <f t="shared" si="154"/>
        <v>-0.80402719517683996</v>
      </c>
      <c r="L1208" s="3">
        <f t="shared" si="155"/>
        <v>-1.4512482984382591</v>
      </c>
    </row>
    <row r="1209" spans="1:12" x14ac:dyDescent="0.25">
      <c r="A1209" s="26">
        <v>19.25</v>
      </c>
      <c r="B1209">
        <v>19.36</v>
      </c>
      <c r="C1209">
        <v>1.84</v>
      </c>
      <c r="D1209" s="2">
        <v>43413</v>
      </c>
      <c r="E1209">
        <v>19.399999999999999</v>
      </c>
      <c r="F1209">
        <v>-0.15</v>
      </c>
      <c r="G1209">
        <v>-3.9999999999999147E-2</v>
      </c>
      <c r="H1209" s="5">
        <f t="shared" si="156"/>
        <v>-7.7319587628865982E-3</v>
      </c>
      <c r="I1209" s="3">
        <f t="shared" si="153"/>
        <v>-0.97044909385397915</v>
      </c>
      <c r="J1209" s="5">
        <f t="shared" si="157"/>
        <v>-2.061855670103049E-3</v>
      </c>
      <c r="K1209" s="3">
        <f t="shared" si="154"/>
        <v>1.2389661451642251</v>
      </c>
      <c r="L1209" s="3">
        <f t="shared" si="155"/>
        <v>-1.1013307250954123</v>
      </c>
    </row>
    <row r="1210" spans="1:12" x14ac:dyDescent="0.25">
      <c r="A1210" s="26">
        <v>19.559999999999999</v>
      </c>
      <c r="B1210">
        <v>19.36</v>
      </c>
      <c r="C1210">
        <v>1.81</v>
      </c>
      <c r="D1210" s="2">
        <v>43412</v>
      </c>
      <c r="E1210">
        <v>19.420000000000002</v>
      </c>
      <c r="F1210">
        <v>0.14000000000000001</v>
      </c>
      <c r="G1210">
        <v>-6.0000000000002274E-2</v>
      </c>
      <c r="H1210" s="5">
        <f t="shared" si="156"/>
        <v>7.2090628218331619E-3</v>
      </c>
      <c r="I1210" s="3">
        <f t="shared" si="153"/>
        <v>1.2932111983771679</v>
      </c>
      <c r="J1210" s="5">
        <f t="shared" si="157"/>
        <v>-3.0895983522143291E-3</v>
      </c>
      <c r="K1210" s="3">
        <f t="shared" si="154"/>
        <v>0.89351933877946133</v>
      </c>
      <c r="L1210" s="3">
        <f t="shared" si="155"/>
        <v>-1.1424490612976814</v>
      </c>
    </row>
    <row r="1211" spans="1:12" x14ac:dyDescent="0.25">
      <c r="A1211" s="26">
        <v>18.25</v>
      </c>
      <c r="B1211">
        <v>18.010000000000002</v>
      </c>
      <c r="C1211">
        <v>2.12</v>
      </c>
      <c r="D1211" s="2">
        <v>43411</v>
      </c>
      <c r="E1211">
        <v>18.010000000000002</v>
      </c>
      <c r="F1211">
        <v>0.24</v>
      </c>
      <c r="G1211">
        <v>0</v>
      </c>
      <c r="H1211" s="5">
        <f t="shared" si="156"/>
        <v>1.3325930038867295E-2</v>
      </c>
      <c r="I1211" s="3">
        <f t="shared" si="153"/>
        <v>2.2464283699237737</v>
      </c>
      <c r="J1211" s="5">
        <f t="shared" si="157"/>
        <v>0</v>
      </c>
      <c r="K1211" s="3">
        <f t="shared" si="154"/>
        <v>1.9903530677466974</v>
      </c>
      <c r="L1211" s="3">
        <f t="shared" si="155"/>
        <v>-0.85881174079387168</v>
      </c>
    </row>
    <row r="1212" spans="1:12" x14ac:dyDescent="0.25">
      <c r="A1212" s="26">
        <v>16.989999999999998</v>
      </c>
      <c r="B1212">
        <v>16.79</v>
      </c>
      <c r="C1212">
        <v>2.19</v>
      </c>
      <c r="D1212" s="2">
        <v>43410</v>
      </c>
      <c r="E1212">
        <v>16.88</v>
      </c>
      <c r="F1212">
        <v>0.11</v>
      </c>
      <c r="G1212">
        <v>-8.9999999999999858E-2</v>
      </c>
      <c r="H1212" s="5">
        <f t="shared" si="156"/>
        <v>6.516587677725119E-3</v>
      </c>
      <c r="I1212" s="3">
        <f t="shared" si="153"/>
        <v>1.2593949002679283</v>
      </c>
      <c r="J1212" s="5">
        <f t="shared" si="157"/>
        <v>-5.3317535545023614E-3</v>
      </c>
      <c r="K1212" s="3">
        <f t="shared" si="154"/>
        <v>0.13638753000450091</v>
      </c>
      <c r="L1212" s="3">
        <f t="shared" si="155"/>
        <v>-0.79949658961291958</v>
      </c>
    </row>
    <row r="1213" spans="1:12" x14ac:dyDescent="0.25">
      <c r="A1213" s="26">
        <v>16.399999999999999</v>
      </c>
      <c r="B1213">
        <v>16.690000000000001</v>
      </c>
      <c r="C1213">
        <v>1.22</v>
      </c>
      <c r="D1213" s="2">
        <v>43409</v>
      </c>
      <c r="E1213">
        <v>16.64</v>
      </c>
      <c r="F1213">
        <v>-0.24</v>
      </c>
      <c r="G1213">
        <v>5.0000000000000711E-2</v>
      </c>
      <c r="H1213" s="5">
        <f t="shared" si="156"/>
        <v>-1.4423076923076922E-2</v>
      </c>
      <c r="I1213" s="3">
        <f t="shared" si="153"/>
        <v>-2.0067464320425361</v>
      </c>
      <c r="J1213" s="5">
        <f t="shared" si="157"/>
        <v>3.004807692307735E-3</v>
      </c>
      <c r="K1213" s="3">
        <f t="shared" si="154"/>
        <v>3.1068814467088597</v>
      </c>
      <c r="L1213" s="3">
        <f t="shared" si="155"/>
        <v>-1.7332961263646014</v>
      </c>
    </row>
    <row r="1214" spans="1:12" x14ac:dyDescent="0.25">
      <c r="A1214" s="26">
        <v>16.149999999999999</v>
      </c>
      <c r="B1214">
        <v>16.02</v>
      </c>
      <c r="C1214">
        <v>3.36</v>
      </c>
      <c r="D1214" s="2">
        <v>43406</v>
      </c>
      <c r="E1214">
        <v>16.11</v>
      </c>
      <c r="F1214">
        <v>0.04</v>
      </c>
      <c r="G1214">
        <v>-8.9999999999999858E-2</v>
      </c>
      <c r="H1214" s="5">
        <f t="shared" si="156"/>
        <v>2.4829298572315332E-3</v>
      </c>
      <c r="I1214" s="3">
        <f t="shared" si="153"/>
        <v>0.63360082046889565</v>
      </c>
      <c r="J1214" s="5">
        <f t="shared" si="157"/>
        <v>-5.5865921787709412E-3</v>
      </c>
      <c r="K1214" s="3">
        <f t="shared" si="154"/>
        <v>8.5180862643980143E-2</v>
      </c>
      <c r="L1214" s="3">
        <f t="shared" si="155"/>
        <v>0.29676445470698232</v>
      </c>
    </row>
    <row r="1215" spans="1:12" x14ac:dyDescent="0.25">
      <c r="A1215" s="26">
        <v>15.85</v>
      </c>
      <c r="B1215">
        <v>15.8</v>
      </c>
      <c r="C1215">
        <v>1.89</v>
      </c>
      <c r="D1215" s="2">
        <v>43405</v>
      </c>
      <c r="E1215">
        <v>15.8</v>
      </c>
      <c r="F1215">
        <v>0.05</v>
      </c>
      <c r="G1215">
        <v>0</v>
      </c>
      <c r="H1215" s="5">
        <f t="shared" si="156"/>
        <v>3.1645569620253164E-3</v>
      </c>
      <c r="I1215" s="3">
        <f t="shared" si="153"/>
        <v>0.74700645296225276</v>
      </c>
      <c r="J1215" s="5">
        <f t="shared" si="157"/>
        <v>0</v>
      </c>
      <c r="K1215" s="3">
        <f t="shared" si="154"/>
        <v>2.1698698478687528</v>
      </c>
      <c r="L1215" s="3">
        <f t="shared" si="155"/>
        <v>-1.1148902036297677</v>
      </c>
    </row>
    <row r="1216" spans="1:12" x14ac:dyDescent="0.25">
      <c r="A1216" s="26">
        <v>16.87</v>
      </c>
      <c r="B1216">
        <v>16.829999999999998</v>
      </c>
      <c r="C1216">
        <v>3.61</v>
      </c>
      <c r="D1216" s="2">
        <v>43403</v>
      </c>
      <c r="E1216">
        <v>17.02</v>
      </c>
      <c r="F1216">
        <v>-0.15</v>
      </c>
      <c r="G1216">
        <v>-0.19000000000000128</v>
      </c>
      <c r="H1216" s="5">
        <f t="shared" si="156"/>
        <v>-8.8131609870740306E-3</v>
      </c>
      <c r="I1216" s="3">
        <f t="shared" si="153"/>
        <v>-1.1471390207783858</v>
      </c>
      <c r="J1216" s="5">
        <f t="shared" si="157"/>
        <v>-1.1163337250293847E-2</v>
      </c>
      <c r="K1216" s="3">
        <f t="shared" si="154"/>
        <v>-2.0142550727136008</v>
      </c>
      <c r="L1216" s="3">
        <f t="shared" si="155"/>
        <v>0.52757696081715266</v>
      </c>
    </row>
    <row r="1217" spans="1:12" x14ac:dyDescent="0.25">
      <c r="A1217" s="26">
        <v>17.91</v>
      </c>
      <c r="B1217">
        <v>17.95</v>
      </c>
      <c r="C1217">
        <v>1.72</v>
      </c>
      <c r="D1217" s="2">
        <v>43402</v>
      </c>
      <c r="E1217">
        <v>18.100000000000001</v>
      </c>
      <c r="F1217">
        <v>-0.19</v>
      </c>
      <c r="G1217">
        <v>-0.15000000000000213</v>
      </c>
      <c r="H1217" s="5">
        <f t="shared" si="156"/>
        <v>-1.0497237569060772E-2</v>
      </c>
      <c r="I1217" s="3">
        <f t="shared" si="153"/>
        <v>-1.4303270857454287</v>
      </c>
      <c r="J1217" s="5">
        <f t="shared" si="157"/>
        <v>-8.2872928176796756E-3</v>
      </c>
      <c r="K1217" s="3">
        <f t="shared" si="154"/>
        <v>-0.95789607238159924</v>
      </c>
      <c r="L1217" s="3">
        <f t="shared" si="155"/>
        <v>-1.2813446942387907</v>
      </c>
    </row>
    <row r="1218" spans="1:12" x14ac:dyDescent="0.25">
      <c r="A1218" s="26">
        <v>18.98</v>
      </c>
      <c r="B1218">
        <v>18.739999999999998</v>
      </c>
      <c r="C1218">
        <v>3.97</v>
      </c>
      <c r="D1218" s="2">
        <v>43399</v>
      </c>
      <c r="E1218">
        <v>18.88</v>
      </c>
      <c r="F1218">
        <v>0.1</v>
      </c>
      <c r="G1218">
        <v>-0.14000000000000057</v>
      </c>
      <c r="H1218" s="5">
        <f t="shared" si="156"/>
        <v>5.2966101694915261E-3</v>
      </c>
      <c r="I1218" s="3">
        <f t="shared" si="153"/>
        <v>1.0709721674559194</v>
      </c>
      <c r="J1218" s="5">
        <f t="shared" si="157"/>
        <v>-7.4152542372881661E-3</v>
      </c>
      <c r="K1218" s="3">
        <f t="shared" si="154"/>
        <v>-0.62999344942223856</v>
      </c>
      <c r="L1218" s="3">
        <f t="shared" si="155"/>
        <v>0.86556644946737948</v>
      </c>
    </row>
    <row r="1219" spans="1:12" x14ac:dyDescent="0.25">
      <c r="A1219" s="26">
        <v>18.72</v>
      </c>
      <c r="B1219">
        <v>18.47</v>
      </c>
      <c r="C1219">
        <v>4.4800000000000004</v>
      </c>
      <c r="D1219" s="2">
        <v>43398</v>
      </c>
      <c r="E1219">
        <v>18.62</v>
      </c>
      <c r="F1219">
        <v>0.1</v>
      </c>
      <c r="G1219">
        <v>-0.15000000000000213</v>
      </c>
      <c r="H1219" s="5">
        <f t="shared" si="156"/>
        <v>5.3705692803437165E-3</v>
      </c>
      <c r="I1219" s="3">
        <f t="shared" ref="I1219:I1282" si="158">IFERROR((H1219-AVERAGEA(H1219:H1435))/_xlfn.STDEV.S(H1219:H1435), " ")</f>
        <v>1.0964536396802025</v>
      </c>
      <c r="J1219" s="5">
        <f t="shared" si="157"/>
        <v>-8.055853920515688E-3</v>
      </c>
      <c r="K1219" s="3">
        <f t="shared" ref="K1219:K1282" si="159">IFERROR((J1219-AVERAGEA(J1219:J1435))/_xlfn.STDEV.S(J1219:J1435), " ")</f>
        <v>-0.88302448275486889</v>
      </c>
      <c r="L1219" s="3">
        <f t="shared" ref="L1219:L1282" si="160">(C1219-AVERAGEA(C1219:C1435))/_xlfn.STDEV.S(C1219:C1435)</f>
        <v>1.3642340030142992</v>
      </c>
    </row>
    <row r="1220" spans="1:12" x14ac:dyDescent="0.25">
      <c r="A1220" s="26">
        <v>19.100000000000001</v>
      </c>
      <c r="B1220">
        <v>18.97</v>
      </c>
      <c r="C1220">
        <v>4.13</v>
      </c>
      <c r="D1220" s="2">
        <v>43397</v>
      </c>
      <c r="E1220">
        <v>19.16</v>
      </c>
      <c r="F1220">
        <v>-0.06</v>
      </c>
      <c r="G1220">
        <v>-0.19000000000000128</v>
      </c>
      <c r="H1220" s="5">
        <f t="shared" ref="H1220:H1283" si="161">IFERROR(F1220/E1220,"")</f>
        <v>-3.1315240083507304E-3</v>
      </c>
      <c r="I1220" s="3">
        <f t="shared" si="158"/>
        <v>-0.25251639620157534</v>
      </c>
      <c r="J1220" s="5">
        <f t="shared" ref="J1220:J1283" si="162">IFERROR(G1220/E1220,"")</f>
        <v>-9.9164926931107136E-3</v>
      </c>
      <c r="K1220" s="3">
        <f t="shared" si="159"/>
        <v>-1.6114574968823137</v>
      </c>
      <c r="L1220" s="3">
        <f t="shared" si="160"/>
        <v>1.0483907105836696</v>
      </c>
    </row>
    <row r="1221" spans="1:12" x14ac:dyDescent="0.25">
      <c r="A1221" s="26">
        <v>18.5</v>
      </c>
      <c r="B1221">
        <v>18.3</v>
      </c>
      <c r="C1221">
        <v>4.2699999999999996</v>
      </c>
      <c r="D1221" s="2">
        <v>43396</v>
      </c>
      <c r="E1221">
        <v>18.47</v>
      </c>
      <c r="F1221">
        <v>0.03</v>
      </c>
      <c r="G1221">
        <v>-0.16999999999999815</v>
      </c>
      <c r="H1221" s="5">
        <f t="shared" si="161"/>
        <v>1.6242555495397943E-3</v>
      </c>
      <c r="I1221" s="3">
        <f t="shared" si="158"/>
        <v>0.50425320538958729</v>
      </c>
      <c r="J1221" s="5">
        <f t="shared" si="162"/>
        <v>-9.2041147807254021E-3</v>
      </c>
      <c r="K1221" s="3">
        <f t="shared" si="159"/>
        <v>-1.3692311453828754</v>
      </c>
      <c r="L1221" s="3">
        <f t="shared" si="160"/>
        <v>1.1963270880411283</v>
      </c>
    </row>
    <row r="1222" spans="1:12" x14ac:dyDescent="0.25">
      <c r="A1222" s="26">
        <v>19.100000000000001</v>
      </c>
      <c r="B1222">
        <v>18.899999999999999</v>
      </c>
      <c r="C1222">
        <v>3.87</v>
      </c>
      <c r="D1222" s="2">
        <v>43395</v>
      </c>
      <c r="E1222">
        <v>19.07</v>
      </c>
      <c r="F1222">
        <v>0.03</v>
      </c>
      <c r="G1222">
        <v>-0.17000000000000171</v>
      </c>
      <c r="H1222" s="5">
        <f t="shared" si="161"/>
        <v>1.5731515469323545E-3</v>
      </c>
      <c r="I1222" s="3">
        <f t="shared" si="158"/>
        <v>0.49996680332881305</v>
      </c>
      <c r="J1222" s="5">
        <f t="shared" si="162"/>
        <v>-8.9145254326167649E-3</v>
      </c>
      <c r="K1222" s="3">
        <f t="shared" si="159"/>
        <v>-1.2800001885267642</v>
      </c>
      <c r="L1222" s="3">
        <f t="shared" si="160"/>
        <v>0.82553774678461633</v>
      </c>
    </row>
    <row r="1223" spans="1:12" x14ac:dyDescent="0.25">
      <c r="A1223" s="26">
        <v>19.170000000000002</v>
      </c>
      <c r="B1223">
        <v>19.18</v>
      </c>
      <c r="C1223">
        <v>1.84</v>
      </c>
      <c r="D1223" s="2">
        <v>43392</v>
      </c>
      <c r="E1223">
        <v>19.29</v>
      </c>
      <c r="F1223">
        <v>-0.12</v>
      </c>
      <c r="G1223">
        <v>-0.10999999999999943</v>
      </c>
      <c r="H1223" s="5">
        <f t="shared" si="161"/>
        <v>-6.2208398133748056E-3</v>
      </c>
      <c r="I1223" s="3">
        <f t="shared" si="158"/>
        <v>-0.72765939399055835</v>
      </c>
      <c r="J1223" s="5">
        <f t="shared" si="162"/>
        <v>-5.7024364955935427E-3</v>
      </c>
      <c r="K1223" s="3">
        <f t="shared" si="159"/>
        <v>-3.5101972526112718E-2</v>
      </c>
      <c r="L1223" s="3">
        <f t="shared" si="160"/>
        <v>-1.1303871571377131</v>
      </c>
    </row>
    <row r="1224" spans="1:12" x14ac:dyDescent="0.25">
      <c r="A1224" s="26">
        <v>18.53</v>
      </c>
      <c r="B1224">
        <v>18.600000000000001</v>
      </c>
      <c r="C1224">
        <v>3.46</v>
      </c>
      <c r="D1224" s="2">
        <v>43391</v>
      </c>
      <c r="E1224">
        <v>18.79</v>
      </c>
      <c r="F1224">
        <v>-0.26</v>
      </c>
      <c r="G1224">
        <v>-0.18999999999999773</v>
      </c>
      <c r="H1224" s="5">
        <f t="shared" si="161"/>
        <v>-1.3837147418839809E-2</v>
      </c>
      <c r="I1224" s="3">
        <f t="shared" si="158"/>
        <v>-1.9344619126942992</v>
      </c>
      <c r="J1224" s="5">
        <f t="shared" si="162"/>
        <v>-1.0111761575305894E-2</v>
      </c>
      <c r="K1224" s="3">
        <f t="shared" si="159"/>
        <v>-1.7624023540667948</v>
      </c>
      <c r="L1224" s="3">
        <f t="shared" si="160"/>
        <v>0.42438667391523116</v>
      </c>
    </row>
    <row r="1225" spans="1:12" x14ac:dyDescent="0.25">
      <c r="A1225" s="26">
        <v>17.899999999999999</v>
      </c>
      <c r="B1225">
        <v>18.05</v>
      </c>
      <c r="C1225">
        <v>1.57</v>
      </c>
      <c r="D1225" s="2">
        <v>43389</v>
      </c>
      <c r="E1225">
        <v>18.22</v>
      </c>
      <c r="F1225">
        <v>-0.32</v>
      </c>
      <c r="G1225">
        <v>-0.16999999999999815</v>
      </c>
      <c r="H1225" s="5">
        <f t="shared" si="161"/>
        <v>-1.756311745334797E-2</v>
      </c>
      <c r="I1225" s="3">
        <f t="shared" si="158"/>
        <v>-2.5927155911488406</v>
      </c>
      <c r="J1225" s="5">
        <f t="shared" si="162"/>
        <v>-9.3304061470910072E-3</v>
      </c>
      <c r="K1225" s="3">
        <f t="shared" si="159"/>
        <v>-1.4994274636434619</v>
      </c>
      <c r="L1225" s="3">
        <f t="shared" si="160"/>
        <v>-1.3954532235804542</v>
      </c>
    </row>
    <row r="1226" spans="1:12" x14ac:dyDescent="0.25">
      <c r="A1226" s="26">
        <v>20.03</v>
      </c>
      <c r="B1226">
        <v>20.05</v>
      </c>
      <c r="C1226">
        <v>1.72</v>
      </c>
      <c r="D1226" s="2">
        <v>43388</v>
      </c>
      <c r="E1226">
        <v>20.18</v>
      </c>
      <c r="F1226">
        <v>-0.15</v>
      </c>
      <c r="G1226">
        <v>-0.12999999999999901</v>
      </c>
      <c r="H1226" s="5">
        <f t="shared" si="161"/>
        <v>-7.4331020812685826E-3</v>
      </c>
      <c r="I1226" s="3">
        <f t="shared" si="158"/>
        <v>-1.0407889600482148</v>
      </c>
      <c r="J1226" s="5">
        <f t="shared" si="162"/>
        <v>-6.4420218037660555E-3</v>
      </c>
      <c r="K1226" s="3">
        <f t="shared" si="159"/>
        <v>-0.3745341745882339</v>
      </c>
      <c r="L1226" s="3">
        <f t="shared" si="160"/>
        <v>-1.2751703500200022</v>
      </c>
    </row>
    <row r="1227" spans="1:12" x14ac:dyDescent="0.25">
      <c r="A1227" s="26">
        <v>19.95</v>
      </c>
      <c r="B1227">
        <v>19.75</v>
      </c>
      <c r="C1227">
        <v>4.0599999999999996</v>
      </c>
      <c r="D1227" s="2">
        <v>43385</v>
      </c>
      <c r="E1227">
        <v>19.95</v>
      </c>
      <c r="F1227">
        <v>0</v>
      </c>
      <c r="G1227">
        <v>-0.19999999999999929</v>
      </c>
      <c r="H1227" s="5">
        <f t="shared" si="161"/>
        <v>0</v>
      </c>
      <c r="I1227" s="3">
        <f t="shared" si="158"/>
        <v>0.18602363919975387</v>
      </c>
      <c r="J1227" s="5">
        <f t="shared" si="162"/>
        <v>-1.0025062656641569E-2</v>
      </c>
      <c r="K1227" s="3">
        <f t="shared" si="159"/>
        <v>-1.8043397367155374</v>
      </c>
      <c r="L1227" s="3">
        <f t="shared" si="160"/>
        <v>0.98347618328153286</v>
      </c>
    </row>
    <row r="1228" spans="1:12" x14ac:dyDescent="0.25">
      <c r="A1228" s="26">
        <v>18.57</v>
      </c>
      <c r="B1228">
        <v>18.489999999999998</v>
      </c>
      <c r="C1228">
        <v>4.96</v>
      </c>
      <c r="D1228" s="2">
        <v>43384</v>
      </c>
      <c r="E1228">
        <v>18.66</v>
      </c>
      <c r="F1228">
        <v>-0.09</v>
      </c>
      <c r="G1228">
        <v>-0.17000000000000171</v>
      </c>
      <c r="H1228" s="5">
        <f t="shared" si="161"/>
        <v>-4.8231511254019288E-3</v>
      </c>
      <c r="I1228" s="3">
        <f t="shared" si="158"/>
        <v>-0.61285541163690371</v>
      </c>
      <c r="J1228" s="5">
        <f t="shared" si="162"/>
        <v>-9.1103965702037347E-3</v>
      </c>
      <c r="K1228" s="3">
        <f t="shared" si="159"/>
        <v>-1.4867438749878941</v>
      </c>
      <c r="L1228" s="3">
        <f t="shared" si="160"/>
        <v>1.8720565982754309</v>
      </c>
    </row>
    <row r="1229" spans="1:12" x14ac:dyDescent="0.25">
      <c r="A1229" s="26">
        <v>20.7</v>
      </c>
      <c r="B1229">
        <v>20.37</v>
      </c>
      <c r="C1229">
        <v>2.21</v>
      </c>
      <c r="D1229" s="2">
        <v>43383</v>
      </c>
      <c r="E1229">
        <v>20.53</v>
      </c>
      <c r="F1229">
        <v>0.17</v>
      </c>
      <c r="G1229">
        <v>-0.16000000000000014</v>
      </c>
      <c r="H1229" s="5">
        <f t="shared" si="161"/>
        <v>8.2805650267900634E-3</v>
      </c>
      <c r="I1229" s="3">
        <f t="shared" si="158"/>
        <v>1.5463267988114717</v>
      </c>
      <c r="J1229" s="5">
        <f t="shared" si="162"/>
        <v>-7.7934729663906542E-3</v>
      </c>
      <c r="K1229" s="3">
        <f t="shared" si="159"/>
        <v>-0.98209420027356598</v>
      </c>
      <c r="L1229" s="3">
        <f t="shared" si="160"/>
        <v>-0.79588819536404931</v>
      </c>
    </row>
    <row r="1230" spans="1:12" x14ac:dyDescent="0.25">
      <c r="A1230" s="26">
        <v>21.32</v>
      </c>
      <c r="B1230">
        <v>21.39</v>
      </c>
      <c r="C1230">
        <v>1.66</v>
      </c>
      <c r="D1230" s="2">
        <v>43382</v>
      </c>
      <c r="E1230">
        <v>21.56</v>
      </c>
      <c r="F1230">
        <v>-0.24</v>
      </c>
      <c r="G1230">
        <v>-0.16999999999999815</v>
      </c>
      <c r="H1230" s="5">
        <f t="shared" si="161"/>
        <v>-1.1131725417439703E-2</v>
      </c>
      <c r="I1230" s="3">
        <f t="shared" si="158"/>
        <v>-1.6559662938323065</v>
      </c>
      <c r="J1230" s="5">
        <f t="shared" si="162"/>
        <v>-7.8849721706863718E-3</v>
      </c>
      <c r="K1230" s="3">
        <f t="shared" si="159"/>
        <v>-1.0325351586582843</v>
      </c>
      <c r="L1230" s="3">
        <f t="shared" si="160"/>
        <v>-1.3474050019558605</v>
      </c>
    </row>
    <row r="1231" spans="1:12" x14ac:dyDescent="0.25">
      <c r="A1231" s="26">
        <v>22.09</v>
      </c>
      <c r="B1231">
        <v>22.05</v>
      </c>
      <c r="C1231">
        <v>1.67</v>
      </c>
      <c r="D1231" s="2">
        <v>43381</v>
      </c>
      <c r="E1231">
        <v>22.13</v>
      </c>
      <c r="F1231">
        <v>-0.04</v>
      </c>
      <c r="G1231">
        <v>-7.9999999999998295E-2</v>
      </c>
      <c r="H1231" s="5">
        <f t="shared" si="161"/>
        <v>-1.8075011296882061E-3</v>
      </c>
      <c r="I1231" s="3">
        <f t="shared" si="158"/>
        <v>-0.12457058527853557</v>
      </c>
      <c r="J1231" s="5">
        <f t="shared" si="162"/>
        <v>-3.6150022593763351E-3</v>
      </c>
      <c r="K1231" s="3">
        <f t="shared" si="159"/>
        <v>0.69542925228986141</v>
      </c>
      <c r="L1231" s="3">
        <f t="shared" si="160"/>
        <v>-1.3622413516566596</v>
      </c>
    </row>
    <row r="1232" spans="1:12" x14ac:dyDescent="0.25">
      <c r="A1232" s="26">
        <v>21.14</v>
      </c>
      <c r="B1232">
        <v>20.9</v>
      </c>
      <c r="C1232">
        <v>3.01</v>
      </c>
      <c r="D1232" s="2">
        <v>43378</v>
      </c>
      <c r="E1232">
        <v>21.11</v>
      </c>
      <c r="F1232">
        <v>0.13</v>
      </c>
      <c r="G1232">
        <v>-0.21000000000000085</v>
      </c>
      <c r="H1232" s="5">
        <f t="shared" si="161"/>
        <v>6.1582188536238756E-3</v>
      </c>
      <c r="I1232" s="3">
        <f t="shared" si="158"/>
        <v>1.2110505944957126</v>
      </c>
      <c r="J1232" s="5">
        <f t="shared" si="162"/>
        <v>-9.9478919943155313E-3</v>
      </c>
      <c r="K1232" s="3">
        <f t="shared" si="159"/>
        <v>-1.8728343536618541</v>
      </c>
      <c r="L1232" s="3">
        <f t="shared" si="160"/>
        <v>-4.930232188220051E-2</v>
      </c>
    </row>
    <row r="1233" spans="1:12" x14ac:dyDescent="0.25">
      <c r="A1233" s="26">
        <v>21.15</v>
      </c>
      <c r="B1233">
        <v>20.91</v>
      </c>
      <c r="C1233">
        <v>2.5299999999999998</v>
      </c>
      <c r="D1233" s="2">
        <v>43377</v>
      </c>
      <c r="E1233">
        <v>21.04</v>
      </c>
      <c r="F1233">
        <v>0.11</v>
      </c>
      <c r="G1233">
        <v>-0.12999999999999901</v>
      </c>
      <c r="H1233" s="5">
        <f t="shared" si="161"/>
        <v>5.228136882129278E-3</v>
      </c>
      <c r="I1233" s="3">
        <f t="shared" si="158"/>
        <v>1.0758100457071766</v>
      </c>
      <c r="J1233" s="5">
        <f t="shared" si="162"/>
        <v>-6.1787072243345538E-3</v>
      </c>
      <c r="K1233" s="3">
        <f t="shared" si="159"/>
        <v>-0.37327335795948058</v>
      </c>
      <c r="L1233" s="3">
        <f t="shared" si="160"/>
        <v>-0.52599454844023863</v>
      </c>
    </row>
    <row r="1234" spans="1:12" x14ac:dyDescent="0.25">
      <c r="A1234" s="26">
        <v>21.45</v>
      </c>
      <c r="B1234">
        <v>21.25</v>
      </c>
      <c r="C1234">
        <v>2.7</v>
      </c>
      <c r="D1234" s="2">
        <v>43375</v>
      </c>
      <c r="E1234">
        <v>21.4</v>
      </c>
      <c r="F1234">
        <v>0.05</v>
      </c>
      <c r="G1234">
        <v>-0.14999999999999858</v>
      </c>
      <c r="H1234" s="5">
        <f t="shared" si="161"/>
        <v>2.3364485981308414E-3</v>
      </c>
      <c r="I1234" s="3">
        <f t="shared" si="158"/>
        <v>0.60507799187076972</v>
      </c>
      <c r="J1234" s="5">
        <f t="shared" si="162"/>
        <v>-7.0093457943924574E-3</v>
      </c>
      <c r="K1234" s="3">
        <f t="shared" si="159"/>
        <v>-0.71829092855890819</v>
      </c>
      <c r="L1234" s="3">
        <f t="shared" si="160"/>
        <v>-0.36253404236445008</v>
      </c>
    </row>
    <row r="1235" spans="1:12" x14ac:dyDescent="0.25">
      <c r="A1235" s="26">
        <v>20.7</v>
      </c>
      <c r="B1235">
        <v>20.62</v>
      </c>
      <c r="C1235">
        <v>2.69</v>
      </c>
      <c r="D1235" s="2">
        <v>43374</v>
      </c>
      <c r="E1235">
        <v>20.78</v>
      </c>
      <c r="F1235">
        <v>-0.08</v>
      </c>
      <c r="G1235">
        <v>-0.16000000000000014</v>
      </c>
      <c r="H1235" s="5">
        <f t="shared" si="161"/>
        <v>-3.8498556304138593E-3</v>
      </c>
      <c r="I1235" s="3">
        <f t="shared" si="158"/>
        <v>-0.42706552342757004</v>
      </c>
      <c r="J1235" s="5">
        <f t="shared" si="162"/>
        <v>-7.6997112608277254E-3</v>
      </c>
      <c r="K1235" s="3">
        <f t="shared" si="159"/>
        <v>-1.0094308537837882</v>
      </c>
      <c r="L1235" s="3">
        <f t="shared" si="160"/>
        <v>-0.37508935787100356</v>
      </c>
    </row>
    <row r="1236" spans="1:12" x14ac:dyDescent="0.25">
      <c r="A1236" s="26">
        <v>20.3</v>
      </c>
      <c r="B1236">
        <v>20.190000000000001</v>
      </c>
      <c r="C1236">
        <v>1.99</v>
      </c>
      <c r="D1236" s="2">
        <v>43371</v>
      </c>
      <c r="E1236">
        <v>20.3</v>
      </c>
      <c r="F1236">
        <v>0</v>
      </c>
      <c r="G1236">
        <v>-0.10999999999999943</v>
      </c>
      <c r="H1236" s="5">
        <f t="shared" si="161"/>
        <v>0</v>
      </c>
      <c r="I1236" s="3">
        <f t="shared" si="158"/>
        <v>0.21139884897223948</v>
      </c>
      <c r="J1236" s="5">
        <f t="shared" si="162"/>
        <v>-5.4187192118226321E-3</v>
      </c>
      <c r="K1236" s="3">
        <f t="shared" si="159"/>
        <v>-8.8363217252325973E-2</v>
      </c>
      <c r="L1236" s="3">
        <f t="shared" si="160"/>
        <v>-1.0612156479902295</v>
      </c>
    </row>
    <row r="1237" spans="1:12" x14ac:dyDescent="0.25">
      <c r="A1237" s="26">
        <v>19.87</v>
      </c>
      <c r="B1237">
        <v>19.8</v>
      </c>
      <c r="C1237">
        <v>1.98</v>
      </c>
      <c r="D1237" s="2">
        <v>43370</v>
      </c>
      <c r="E1237">
        <v>19.96</v>
      </c>
      <c r="F1237">
        <v>-0.09</v>
      </c>
      <c r="G1237">
        <v>-0.16000000000000014</v>
      </c>
      <c r="H1237" s="5">
        <f t="shared" si="161"/>
        <v>-4.5090180360721436E-3</v>
      </c>
      <c r="I1237" s="3">
        <f t="shared" si="158"/>
        <v>-0.53367766671588235</v>
      </c>
      <c r="J1237" s="5">
        <f t="shared" si="162"/>
        <v>-8.0160320641282628E-3</v>
      </c>
      <c r="K1237" s="3">
        <f t="shared" si="159"/>
        <v>-1.1470900657453666</v>
      </c>
      <c r="L1237" s="3">
        <f t="shared" si="160"/>
        <v>-1.0868011768678936</v>
      </c>
    </row>
    <row r="1238" spans="1:12" x14ac:dyDescent="0.25">
      <c r="A1238" s="26">
        <v>20.399999999999999</v>
      </c>
      <c r="B1238">
        <v>20.5</v>
      </c>
      <c r="C1238">
        <v>1.86</v>
      </c>
      <c r="D1238" s="2">
        <v>43369</v>
      </c>
      <c r="E1238">
        <v>20.75</v>
      </c>
      <c r="F1238">
        <v>-0.35</v>
      </c>
      <c r="G1238">
        <v>-0.25</v>
      </c>
      <c r="H1238" s="5">
        <f t="shared" si="161"/>
        <v>-1.6867469879518072E-2</v>
      </c>
      <c r="I1238" s="3">
        <f t="shared" si="158"/>
        <v>-2.5742937027851349</v>
      </c>
      <c r="J1238" s="5">
        <f t="shared" si="162"/>
        <v>-1.2048192771084338E-2</v>
      </c>
      <c r="K1238" s="3">
        <f t="shared" si="159"/>
        <v>-2.8143407047550224</v>
      </c>
      <c r="L1238" s="3">
        <f t="shared" si="160"/>
        <v>-1.2210770527847343</v>
      </c>
    </row>
    <row r="1239" spans="1:12" x14ac:dyDescent="0.25">
      <c r="A1239" s="26">
        <v>21.9</v>
      </c>
      <c r="B1239">
        <v>21.85</v>
      </c>
      <c r="C1239">
        <v>1.86</v>
      </c>
      <c r="D1239" s="2">
        <v>43368</v>
      </c>
      <c r="E1239">
        <v>22.05</v>
      </c>
      <c r="F1239">
        <v>-0.15</v>
      </c>
      <c r="G1239">
        <v>-0.19999999999999929</v>
      </c>
      <c r="H1239" s="5">
        <f t="shared" si="161"/>
        <v>-6.8027210884353739E-3</v>
      </c>
      <c r="I1239" s="3">
        <f t="shared" si="158"/>
        <v>-1.0021117169803955</v>
      </c>
      <c r="J1239" s="5">
        <f t="shared" si="162"/>
        <v>-9.0702947845804661E-3</v>
      </c>
      <c r="K1239" s="3">
        <f t="shared" si="159"/>
        <v>-1.7398937942575268</v>
      </c>
      <c r="L1239" s="3">
        <f t="shared" si="160"/>
        <v>-1.2431448261828926</v>
      </c>
    </row>
    <row r="1240" spans="1:12" x14ac:dyDescent="0.25">
      <c r="A1240" s="26">
        <v>22.39</v>
      </c>
      <c r="B1240">
        <v>22.32</v>
      </c>
      <c r="C1240">
        <v>1.81</v>
      </c>
      <c r="D1240" s="2">
        <v>43367</v>
      </c>
      <c r="E1240">
        <v>22.44</v>
      </c>
      <c r="F1240">
        <v>-0.05</v>
      </c>
      <c r="G1240">
        <v>-0.12000000000000099</v>
      </c>
      <c r="H1240" s="5">
        <f t="shared" si="161"/>
        <v>-2.2281639928698753E-3</v>
      </c>
      <c r="I1240" s="3">
        <f t="shared" si="158"/>
        <v>-0.22819533842941947</v>
      </c>
      <c r="J1240" s="5">
        <f t="shared" si="162"/>
        <v>-5.3475935828877445E-3</v>
      </c>
      <c r="K1240" s="3">
        <f t="shared" si="159"/>
        <v>-0.15798568458270101</v>
      </c>
      <c r="L1240" s="3">
        <f t="shared" si="160"/>
        <v>-1.3157692187896555</v>
      </c>
    </row>
    <row r="1241" spans="1:12" x14ac:dyDescent="0.25">
      <c r="A1241" s="26">
        <v>21.8</v>
      </c>
      <c r="B1241">
        <v>21.78</v>
      </c>
      <c r="C1241">
        <v>1.73</v>
      </c>
      <c r="D1241" s="2">
        <v>43363</v>
      </c>
      <c r="E1241">
        <v>21.93</v>
      </c>
      <c r="F1241">
        <v>-0.13</v>
      </c>
      <c r="G1241">
        <v>-0.14999999999999858</v>
      </c>
      <c r="H1241" s="5">
        <f t="shared" si="161"/>
        <v>-5.9279525763793889E-3</v>
      </c>
      <c r="I1241" s="3">
        <f t="shared" si="158"/>
        <v>-0.86396201197078992</v>
      </c>
      <c r="J1241" s="5">
        <f t="shared" si="162"/>
        <v>-6.8399452804376922E-3</v>
      </c>
      <c r="K1241" s="3">
        <f t="shared" si="159"/>
        <v>-0.81115348941624121</v>
      </c>
      <c r="L1241" s="3">
        <f t="shared" si="160"/>
        <v>-1.4220667887654124</v>
      </c>
    </row>
    <row r="1242" spans="1:12" x14ac:dyDescent="0.25">
      <c r="A1242" s="26">
        <v>20.75</v>
      </c>
      <c r="B1242">
        <v>20.76</v>
      </c>
      <c r="C1242">
        <v>3.64</v>
      </c>
      <c r="D1242" s="2">
        <v>43361</v>
      </c>
      <c r="E1242">
        <v>20.92</v>
      </c>
      <c r="F1242">
        <v>-0.17</v>
      </c>
      <c r="G1242">
        <v>-0.16000000000000014</v>
      </c>
      <c r="H1242" s="5">
        <f t="shared" si="161"/>
        <v>-8.126195028680689E-3</v>
      </c>
      <c r="I1242" s="3">
        <f t="shared" si="158"/>
        <v>-1.2520515822540432</v>
      </c>
      <c r="J1242" s="5">
        <f t="shared" si="162"/>
        <v>-7.6481835564053595E-3</v>
      </c>
      <c r="K1242" s="3">
        <f t="shared" si="159"/>
        <v>-1.174115701357116</v>
      </c>
      <c r="L1242" s="3">
        <f t="shared" si="160"/>
        <v>0.45468701071444589</v>
      </c>
    </row>
    <row r="1243" spans="1:12" x14ac:dyDescent="0.25">
      <c r="A1243" s="26">
        <v>20.6</v>
      </c>
      <c r="B1243">
        <v>20.2</v>
      </c>
      <c r="C1243">
        <v>3.47</v>
      </c>
      <c r="D1243" s="2">
        <v>43360</v>
      </c>
      <c r="E1243">
        <v>20.45</v>
      </c>
      <c r="F1243">
        <v>0.15</v>
      </c>
      <c r="G1243">
        <v>-0.25</v>
      </c>
      <c r="H1243" s="5">
        <f t="shared" si="161"/>
        <v>7.3349633251833741E-3</v>
      </c>
      <c r="I1243" s="3">
        <f t="shared" si="158"/>
        <v>1.3780279903037198</v>
      </c>
      <c r="J1243" s="5">
        <f t="shared" si="162"/>
        <v>-1.2224938875305624E-2</v>
      </c>
      <c r="K1243" s="3">
        <f t="shared" si="159"/>
        <v>-3.1979356458765129</v>
      </c>
      <c r="L1243" s="3">
        <f t="shared" si="160"/>
        <v>0.28985313996111384</v>
      </c>
    </row>
    <row r="1244" spans="1:12" x14ac:dyDescent="0.25">
      <c r="A1244" s="26">
        <v>19.510000000000002</v>
      </c>
      <c r="B1244">
        <v>19.649999999999999</v>
      </c>
      <c r="C1244">
        <v>3.64</v>
      </c>
      <c r="D1244" s="2">
        <v>43357</v>
      </c>
      <c r="E1244">
        <v>19.899999999999999</v>
      </c>
      <c r="F1244">
        <v>-0.39</v>
      </c>
      <c r="G1244">
        <v>-0.25</v>
      </c>
      <c r="H1244" s="5">
        <f t="shared" si="161"/>
        <v>-1.9597989949748745E-2</v>
      </c>
      <c r="I1244" s="3">
        <f t="shared" si="158"/>
        <v>-3.2530932363406824</v>
      </c>
      <c r="J1244" s="5">
        <f t="shared" si="162"/>
        <v>-1.2562814070351759E-2</v>
      </c>
      <c r="K1244" s="3">
        <f t="shared" si="159"/>
        <v>-3.706931784899862</v>
      </c>
      <c r="L1244" s="3">
        <f t="shared" si="160"/>
        <v>0.45998001966198809</v>
      </c>
    </row>
    <row r="1245" spans="1:12" x14ac:dyDescent="0.25">
      <c r="A1245" s="26">
        <v>21.9</v>
      </c>
      <c r="B1245">
        <v>21.97</v>
      </c>
      <c r="C1245">
        <v>3.21</v>
      </c>
      <c r="D1245" s="2">
        <v>43356</v>
      </c>
      <c r="E1245">
        <v>22.11</v>
      </c>
      <c r="F1245">
        <v>-0.21</v>
      </c>
      <c r="G1245">
        <v>-0.14000000000000057</v>
      </c>
      <c r="H1245" s="5">
        <f t="shared" si="161"/>
        <v>-9.497964721845319E-3</v>
      </c>
      <c r="I1245" s="3">
        <f t="shared" si="158"/>
        <v>-1.7091840038911368</v>
      </c>
      <c r="J1245" s="5">
        <f t="shared" si="162"/>
        <v>-6.3319764812302384E-3</v>
      </c>
      <c r="K1245" s="3">
        <f t="shared" si="159"/>
        <v>-0.90725639536811575</v>
      </c>
      <c r="L1245" s="3">
        <f t="shared" si="160"/>
        <v>4.2597599853259789E-2</v>
      </c>
    </row>
    <row r="1246" spans="1:12" x14ac:dyDescent="0.25">
      <c r="A1246" s="26">
        <v>23.55</v>
      </c>
      <c r="B1246">
        <v>23.55</v>
      </c>
      <c r="C1246">
        <v>3.62</v>
      </c>
      <c r="D1246" s="2">
        <v>43355</v>
      </c>
      <c r="E1246">
        <v>23.6</v>
      </c>
      <c r="F1246">
        <v>0.15</v>
      </c>
      <c r="G1246">
        <v>-5.0000000000000711E-2</v>
      </c>
      <c r="H1246" s="5">
        <f t="shared" si="161"/>
        <v>6.3559322033898301E-3</v>
      </c>
      <c r="I1246" s="3">
        <f t="shared" si="158"/>
        <v>1.2952043756726415</v>
      </c>
      <c r="J1246" s="5">
        <f t="shared" si="162"/>
        <v>-2.1186440677966401E-3</v>
      </c>
      <c r="K1246" s="3">
        <f t="shared" si="159"/>
        <v>1.3548642916735329</v>
      </c>
      <c r="L1246" s="3">
        <f t="shared" si="160"/>
        <v>0.4418038944501379</v>
      </c>
    </row>
    <row r="1247" spans="1:12" x14ac:dyDescent="0.25">
      <c r="A1247" s="26">
        <v>24.15</v>
      </c>
      <c r="B1247">
        <v>23.91</v>
      </c>
      <c r="C1247">
        <v>2.5499999999999998</v>
      </c>
      <c r="D1247" s="2">
        <v>43354</v>
      </c>
      <c r="E1247">
        <v>23.96</v>
      </c>
      <c r="F1247">
        <v>0.19</v>
      </c>
      <c r="G1247">
        <v>-5.0000000000000711E-2</v>
      </c>
      <c r="H1247" s="5">
        <f t="shared" si="161"/>
        <v>7.9298831385642733E-3</v>
      </c>
      <c r="I1247" s="3">
        <f t="shared" si="158"/>
        <v>1.6325269757292484</v>
      </c>
      <c r="J1247" s="5">
        <f t="shared" si="162"/>
        <v>-2.0868113522537857E-3</v>
      </c>
      <c r="K1247" s="3">
        <f t="shared" si="159"/>
        <v>1.406776289513205</v>
      </c>
      <c r="L1247" s="3">
        <f t="shared" si="160"/>
        <v>-0.58818262418750022</v>
      </c>
    </row>
    <row r="1248" spans="1:12" x14ac:dyDescent="0.25">
      <c r="A1248" s="26">
        <v>24.85</v>
      </c>
      <c r="B1248">
        <v>24.86</v>
      </c>
      <c r="C1248">
        <v>4.04</v>
      </c>
      <c r="D1248" s="2">
        <v>43353</v>
      </c>
      <c r="E1248">
        <v>24.98</v>
      </c>
      <c r="F1248">
        <v>-0.13</v>
      </c>
      <c r="G1248">
        <v>-0.12000000000000099</v>
      </c>
      <c r="H1248" s="5">
        <f t="shared" si="161"/>
        <v>-5.2041633306645317E-3</v>
      </c>
      <c r="I1248" s="3">
        <f t="shared" si="158"/>
        <v>-0.9077002679335433</v>
      </c>
      <c r="J1248" s="5">
        <f t="shared" si="162"/>
        <v>-4.8038430744596072E-3</v>
      </c>
      <c r="K1248" s="3">
        <f t="shared" si="159"/>
        <v>-4.8059826668080508E-2</v>
      </c>
      <c r="L1248" s="3">
        <f t="shared" si="160"/>
        <v>0.83779597916873372</v>
      </c>
    </row>
    <row r="1249" spans="1:12" x14ac:dyDescent="0.25">
      <c r="A1249" s="26">
        <v>22.51</v>
      </c>
      <c r="B1249">
        <v>22.24</v>
      </c>
      <c r="C1249">
        <v>4.0199999999999996</v>
      </c>
      <c r="D1249" s="2">
        <v>43350</v>
      </c>
      <c r="E1249">
        <v>22.33</v>
      </c>
      <c r="F1249">
        <v>0.18</v>
      </c>
      <c r="G1249">
        <v>-8.9999999999999858E-2</v>
      </c>
      <c r="H1249" s="5">
        <f t="shared" si="161"/>
        <v>8.0609046126287505E-3</v>
      </c>
      <c r="I1249" s="3">
        <f t="shared" si="158"/>
        <v>1.6950380240650718</v>
      </c>
      <c r="J1249" s="5">
        <f t="shared" si="162"/>
        <v>-4.0304523063143692E-3</v>
      </c>
      <c r="K1249" s="3">
        <f t="shared" si="159"/>
        <v>0.37271357413396233</v>
      </c>
      <c r="L1249" s="3">
        <f t="shared" si="160"/>
        <v>0.83051885034009532</v>
      </c>
    </row>
    <row r="1250" spans="1:12" x14ac:dyDescent="0.25">
      <c r="A1250" s="26">
        <v>20.5</v>
      </c>
      <c r="B1250">
        <v>20.36</v>
      </c>
      <c r="C1250">
        <v>2.14</v>
      </c>
      <c r="D1250" s="2">
        <v>43347</v>
      </c>
      <c r="E1250">
        <v>20.47</v>
      </c>
      <c r="F1250">
        <v>0.03</v>
      </c>
      <c r="G1250">
        <v>-0.10999999999999943</v>
      </c>
      <c r="H1250" s="5">
        <f t="shared" si="161"/>
        <v>1.4655593551538837E-3</v>
      </c>
      <c r="I1250" s="3">
        <f t="shared" si="158"/>
        <v>0.43277125847680648</v>
      </c>
      <c r="J1250" s="5">
        <f t="shared" si="162"/>
        <v>-5.3737176355642133E-3</v>
      </c>
      <c r="K1250" s="3">
        <f t="shared" si="159"/>
        <v>-0.34913243867064458</v>
      </c>
      <c r="L1250" s="3">
        <f t="shared" si="160"/>
        <v>-0.95592142292385529</v>
      </c>
    </row>
    <row r="1251" spans="1:12" x14ac:dyDescent="0.25">
      <c r="A1251" s="26">
        <v>20.45</v>
      </c>
      <c r="B1251">
        <v>20.54</v>
      </c>
      <c r="C1251">
        <v>1.71</v>
      </c>
      <c r="D1251" s="2">
        <v>43346</v>
      </c>
      <c r="E1251">
        <v>20.62</v>
      </c>
      <c r="F1251">
        <v>-0.17</v>
      </c>
      <c r="G1251">
        <v>-8.0000000000001847E-2</v>
      </c>
      <c r="H1251" s="5">
        <f t="shared" si="161"/>
        <v>-8.2444228903976718E-3</v>
      </c>
      <c r="I1251" s="3">
        <f t="shared" si="158"/>
        <v>-1.4995138827869514</v>
      </c>
      <c r="J1251" s="5">
        <f t="shared" si="162"/>
        <v>-3.8797284190107586E-3</v>
      </c>
      <c r="K1251" s="3">
        <f t="shared" si="159"/>
        <v>0.44766625060343279</v>
      </c>
      <c r="L1251" s="3">
        <f t="shared" si="160"/>
        <v>-1.3828734626237742</v>
      </c>
    </row>
    <row r="1252" spans="1:12" x14ac:dyDescent="0.25">
      <c r="A1252" s="26">
        <v>21.11</v>
      </c>
      <c r="B1252">
        <v>21.15</v>
      </c>
      <c r="C1252">
        <v>2.65</v>
      </c>
      <c r="D1252" s="2">
        <v>43343</v>
      </c>
      <c r="E1252">
        <v>21.26</v>
      </c>
      <c r="F1252">
        <v>-0.15</v>
      </c>
      <c r="G1252">
        <v>-0.11000000000000298</v>
      </c>
      <c r="H1252" s="5">
        <f t="shared" si="161"/>
        <v>-7.0555032925682026E-3</v>
      </c>
      <c r="I1252" s="3">
        <f t="shared" si="158"/>
        <v>-1.3078407039986382</v>
      </c>
      <c r="J1252" s="5">
        <f t="shared" si="162"/>
        <v>-5.1740357478834891E-3</v>
      </c>
      <c r="K1252" s="3">
        <f t="shared" si="159"/>
        <v>-0.2353410617718148</v>
      </c>
      <c r="L1252" s="3">
        <f t="shared" si="160"/>
        <v>-0.51286368951183459</v>
      </c>
    </row>
    <row r="1253" spans="1:12" x14ac:dyDescent="0.25">
      <c r="A1253" s="26">
        <v>21.09</v>
      </c>
      <c r="B1253">
        <v>21.09</v>
      </c>
      <c r="C1253">
        <v>2.62</v>
      </c>
      <c r="D1253" s="2">
        <v>43342</v>
      </c>
      <c r="E1253">
        <v>21.19</v>
      </c>
      <c r="F1253">
        <v>-0.1</v>
      </c>
      <c r="G1253">
        <v>-0.10000000000000142</v>
      </c>
      <c r="H1253" s="5">
        <f t="shared" si="161"/>
        <v>-4.7192071731949033E-3</v>
      </c>
      <c r="I1253" s="3">
        <f t="shared" si="158"/>
        <v>-0.86787724785776266</v>
      </c>
      <c r="J1253" s="5">
        <f t="shared" si="162"/>
        <v>-4.7192071731949701E-3</v>
      </c>
      <c r="K1253" s="3">
        <f t="shared" si="159"/>
        <v>1.8295739199724746E-3</v>
      </c>
      <c r="L1253" s="3">
        <f t="shared" si="160"/>
        <v>-0.54731522046398517</v>
      </c>
    </row>
    <row r="1254" spans="1:12" x14ac:dyDescent="0.25">
      <c r="A1254" s="26">
        <v>20.9</v>
      </c>
      <c r="B1254">
        <v>20.62</v>
      </c>
      <c r="C1254">
        <v>3.58</v>
      </c>
      <c r="D1254" s="2">
        <v>43341</v>
      </c>
      <c r="E1254">
        <v>20.73</v>
      </c>
      <c r="F1254">
        <v>0.17</v>
      </c>
      <c r="G1254">
        <v>-0.10999999999999943</v>
      </c>
      <c r="H1254" s="5">
        <f t="shared" si="161"/>
        <v>8.2006753497346849E-3</v>
      </c>
      <c r="I1254" s="3">
        <f t="shared" si="158"/>
        <v>1.7409786171644475</v>
      </c>
      <c r="J1254" s="5">
        <f t="shared" si="162"/>
        <v>-5.3063193439459441E-3</v>
      </c>
      <c r="K1254" s="3">
        <f t="shared" si="159"/>
        <v>-0.3042695557037175</v>
      </c>
      <c r="L1254" s="3">
        <f t="shared" si="160"/>
        <v>0.35991445394860488</v>
      </c>
    </row>
    <row r="1255" spans="1:12" x14ac:dyDescent="0.25">
      <c r="A1255" s="26">
        <v>21.3</v>
      </c>
      <c r="B1255">
        <v>21.33</v>
      </c>
      <c r="C1255">
        <v>2.2200000000000002</v>
      </c>
      <c r="D1255" s="2">
        <v>43340</v>
      </c>
      <c r="E1255">
        <v>21.44</v>
      </c>
      <c r="F1255">
        <v>-0.14000000000000001</v>
      </c>
      <c r="G1255">
        <v>-0.11000000000000298</v>
      </c>
      <c r="H1255" s="5">
        <f t="shared" si="161"/>
        <v>-6.5298507462686574E-3</v>
      </c>
      <c r="I1255" s="3">
        <f t="shared" si="158"/>
        <v>-1.2427696407885194</v>
      </c>
      <c r="J1255" s="5">
        <f t="shared" si="162"/>
        <v>-5.130597014925512E-3</v>
      </c>
      <c r="K1255" s="3">
        <f t="shared" si="159"/>
        <v>-0.2168228601719587</v>
      </c>
      <c r="L1255" s="3">
        <f t="shared" si="160"/>
        <v>-0.92022286385693897</v>
      </c>
    </row>
    <row r="1256" spans="1:12" x14ac:dyDescent="0.25">
      <c r="A1256" s="26">
        <v>20.55</v>
      </c>
      <c r="B1256">
        <v>20.43</v>
      </c>
      <c r="C1256">
        <v>3.22</v>
      </c>
      <c r="D1256" s="2">
        <v>43336</v>
      </c>
      <c r="E1256">
        <v>20.54</v>
      </c>
      <c r="F1256">
        <v>0.01</v>
      </c>
      <c r="G1256">
        <v>-0.10999999999999943</v>
      </c>
      <c r="H1256" s="5">
        <f t="shared" si="161"/>
        <v>4.8685491723466409E-4</v>
      </c>
      <c r="I1256" s="3">
        <f t="shared" si="158"/>
        <v>0.18977760736639429</v>
      </c>
      <c r="J1256" s="5">
        <f t="shared" si="162"/>
        <v>-5.3554040895812775E-3</v>
      </c>
      <c r="K1256" s="3">
        <f t="shared" si="159"/>
        <v>-0.33409623599060151</v>
      </c>
      <c r="L1256" s="3">
        <f t="shared" si="160"/>
        <v>6.4036162559248074E-3</v>
      </c>
    </row>
    <row r="1257" spans="1:12" x14ac:dyDescent="0.25">
      <c r="A1257" s="26">
        <v>20.05</v>
      </c>
      <c r="B1257">
        <v>19.91</v>
      </c>
      <c r="C1257">
        <v>3.31</v>
      </c>
      <c r="D1257" s="2">
        <v>43335</v>
      </c>
      <c r="E1257">
        <v>19.940000000000001</v>
      </c>
      <c r="F1257">
        <v>0.11</v>
      </c>
      <c r="G1257">
        <v>-3.0000000000001137E-2</v>
      </c>
      <c r="H1257" s="5">
        <f t="shared" si="161"/>
        <v>5.5165496489468398E-3</v>
      </c>
      <c r="I1257" s="3">
        <f t="shared" si="158"/>
        <v>1.2320472041274539</v>
      </c>
      <c r="J1257" s="5">
        <f t="shared" si="162"/>
        <v>-1.5045135406219225E-3</v>
      </c>
      <c r="K1257" s="3">
        <f t="shared" si="159"/>
        <v>1.6126513439500321</v>
      </c>
      <c r="L1257" s="3">
        <f t="shared" si="160"/>
        <v>9.0491846643500976E-2</v>
      </c>
    </row>
    <row r="1258" spans="1:12" x14ac:dyDescent="0.25">
      <c r="A1258" s="26">
        <v>18.55</v>
      </c>
      <c r="B1258">
        <v>18.48</v>
      </c>
      <c r="C1258">
        <v>3.09</v>
      </c>
      <c r="D1258" s="2">
        <v>43333</v>
      </c>
      <c r="E1258">
        <v>18.55</v>
      </c>
      <c r="F1258">
        <v>0</v>
      </c>
      <c r="G1258">
        <v>-7.0000000000000284E-2</v>
      </c>
      <c r="H1258" s="5">
        <f t="shared" si="161"/>
        <v>0</v>
      </c>
      <c r="I1258" s="3">
        <f t="shared" si="158"/>
        <v>0.11863948657019482</v>
      </c>
      <c r="J1258" s="5">
        <f t="shared" si="162"/>
        <v>-3.7735849056603926E-3</v>
      </c>
      <c r="K1258" s="3">
        <f t="shared" si="159"/>
        <v>0.50777892296621474</v>
      </c>
      <c r="L1258" s="3">
        <f t="shared" si="160"/>
        <v>-0.1120304353825993</v>
      </c>
    </row>
    <row r="1259" spans="1:12" x14ac:dyDescent="0.25">
      <c r="A1259" s="26">
        <v>18.2</v>
      </c>
      <c r="B1259">
        <v>18.100000000000001</v>
      </c>
      <c r="C1259">
        <v>3.82</v>
      </c>
      <c r="D1259" s="2">
        <v>43332</v>
      </c>
      <c r="E1259">
        <v>18.2</v>
      </c>
      <c r="F1259">
        <v>0</v>
      </c>
      <c r="G1259">
        <v>-9.9999999999997868E-2</v>
      </c>
      <c r="H1259" s="5">
        <f t="shared" si="161"/>
        <v>0</v>
      </c>
      <c r="I1259" s="3">
        <f t="shared" si="158"/>
        <v>0.11994001495989232</v>
      </c>
      <c r="J1259" s="5">
        <f t="shared" si="162"/>
        <v>-5.4945054945053778E-3</v>
      </c>
      <c r="K1259" s="3">
        <f t="shared" si="159"/>
        <v>-0.36610347766878748</v>
      </c>
      <c r="L1259" s="3">
        <f t="shared" si="160"/>
        <v>0.55506719392237369</v>
      </c>
    </row>
    <row r="1260" spans="1:12" x14ac:dyDescent="0.25">
      <c r="A1260" s="26">
        <v>18.100000000000001</v>
      </c>
      <c r="B1260">
        <v>18.07</v>
      </c>
      <c r="C1260">
        <v>2.79</v>
      </c>
      <c r="D1260" s="2">
        <v>43329</v>
      </c>
      <c r="E1260">
        <v>18.14</v>
      </c>
      <c r="F1260">
        <v>-0.04</v>
      </c>
      <c r="G1260">
        <v>-7.0000000000000284E-2</v>
      </c>
      <c r="H1260" s="5">
        <f t="shared" si="161"/>
        <v>-2.205071664829107E-3</v>
      </c>
      <c r="I1260" s="3">
        <f t="shared" si="158"/>
        <v>-0.32741495048004965</v>
      </c>
      <c r="J1260" s="5">
        <f t="shared" si="162"/>
        <v>-3.8588754134509526E-3</v>
      </c>
      <c r="K1260" s="3">
        <f t="shared" si="159"/>
        <v>0.4582203202235991</v>
      </c>
      <c r="L1260" s="3">
        <f t="shared" si="160"/>
        <v>-0.37375381710583694</v>
      </c>
    </row>
    <row r="1261" spans="1:12" x14ac:dyDescent="0.25">
      <c r="A1261" s="26">
        <v>18</v>
      </c>
      <c r="B1261">
        <v>17.940000000000001</v>
      </c>
      <c r="C1261">
        <v>3.2</v>
      </c>
      <c r="D1261" s="2">
        <v>43328</v>
      </c>
      <c r="E1261">
        <v>17.98</v>
      </c>
      <c r="F1261">
        <v>0.02</v>
      </c>
      <c r="G1261">
        <v>-3.9999999999999147E-2</v>
      </c>
      <c r="H1261" s="5">
        <f t="shared" si="161"/>
        <v>1.1123470522803114E-3</v>
      </c>
      <c r="I1261" s="3">
        <f t="shared" si="158"/>
        <v>0.33646851239280035</v>
      </c>
      <c r="J1261" s="5">
        <f t="shared" si="162"/>
        <v>-2.2246941045605756E-3</v>
      </c>
      <c r="K1261" s="3">
        <f t="shared" si="159"/>
        <v>1.2851288220369328</v>
      </c>
      <c r="L1261" s="3">
        <f t="shared" si="160"/>
        <v>-8.8193722824560401E-3</v>
      </c>
    </row>
    <row r="1262" spans="1:12" x14ac:dyDescent="0.25">
      <c r="A1262" s="26">
        <v>18.03</v>
      </c>
      <c r="B1262">
        <v>18</v>
      </c>
      <c r="C1262">
        <v>4.96</v>
      </c>
      <c r="D1262" s="2">
        <v>43326</v>
      </c>
      <c r="E1262">
        <v>18.07</v>
      </c>
      <c r="F1262">
        <v>-0.04</v>
      </c>
      <c r="G1262">
        <v>-7.0000000000000284E-2</v>
      </c>
      <c r="H1262" s="5">
        <f t="shared" si="161"/>
        <v>-2.2136137244050912E-3</v>
      </c>
      <c r="I1262" s="3">
        <f t="shared" si="158"/>
        <v>-0.32179174689956058</v>
      </c>
      <c r="J1262" s="5">
        <f t="shared" si="162"/>
        <v>-3.8738240177089256E-3</v>
      </c>
      <c r="K1262" s="3">
        <f t="shared" si="159"/>
        <v>0.49180789954415466</v>
      </c>
      <c r="L1262" s="3">
        <f t="shared" si="160"/>
        <v>1.5593710147644708</v>
      </c>
    </row>
    <row r="1263" spans="1:12" x14ac:dyDescent="0.25">
      <c r="A1263" s="26">
        <v>17.93</v>
      </c>
      <c r="B1263">
        <v>17.809999999999999</v>
      </c>
      <c r="C1263">
        <v>4.3499999999999996</v>
      </c>
      <c r="D1263" s="2">
        <v>43325</v>
      </c>
      <c r="E1263">
        <v>17.920000000000002</v>
      </c>
      <c r="F1263">
        <v>0.01</v>
      </c>
      <c r="G1263">
        <v>-0.11000000000000298</v>
      </c>
      <c r="H1263" s="5">
        <f t="shared" si="161"/>
        <v>5.5803571428571425E-4</v>
      </c>
      <c r="I1263" s="3">
        <f t="shared" si="158"/>
        <v>0.22009727096730919</v>
      </c>
      <c r="J1263" s="5">
        <f t="shared" si="162"/>
        <v>-6.1383928571430227E-3</v>
      </c>
      <c r="K1263" s="3">
        <f t="shared" si="159"/>
        <v>-0.63704990450223786</v>
      </c>
      <c r="L1263" s="3">
        <f t="shared" si="160"/>
        <v>1.0674732338731947</v>
      </c>
    </row>
    <row r="1264" spans="1:12" x14ac:dyDescent="0.25">
      <c r="A1264" s="26">
        <v>17.72</v>
      </c>
      <c r="B1264">
        <v>17.579999999999998</v>
      </c>
      <c r="C1264">
        <v>4.7699999999999996</v>
      </c>
      <c r="D1264" s="2">
        <v>43322</v>
      </c>
      <c r="E1264">
        <v>17.63</v>
      </c>
      <c r="F1264">
        <v>0.09</v>
      </c>
      <c r="G1264">
        <v>-5.0000000000000711E-2</v>
      </c>
      <c r="H1264" s="5">
        <f t="shared" si="161"/>
        <v>5.1049347702779354E-3</v>
      </c>
      <c r="I1264" s="3">
        <f t="shared" si="158"/>
        <v>1.1080830773005619</v>
      </c>
      <c r="J1264" s="5">
        <f t="shared" si="162"/>
        <v>-2.8360748723766714E-3</v>
      </c>
      <c r="K1264" s="3">
        <f t="shared" si="159"/>
        <v>0.996433088028153</v>
      </c>
      <c r="L1264" s="3">
        <f t="shared" si="160"/>
        <v>1.4745383444472953</v>
      </c>
    </row>
    <row r="1265" spans="1:12" x14ac:dyDescent="0.25">
      <c r="A1265" s="26">
        <v>17.47</v>
      </c>
      <c r="B1265">
        <v>17.32</v>
      </c>
      <c r="C1265">
        <v>5</v>
      </c>
      <c r="D1265" s="2">
        <v>43321</v>
      </c>
      <c r="E1265">
        <v>17.37</v>
      </c>
      <c r="F1265">
        <v>0.1</v>
      </c>
      <c r="G1265">
        <v>-5.0000000000000711E-2</v>
      </c>
      <c r="H1265" s="5">
        <f t="shared" si="161"/>
        <v>5.7570523891767415E-3</v>
      </c>
      <c r="I1265" s="3">
        <f t="shared" si="158"/>
        <v>1.2677820510062245</v>
      </c>
      <c r="J1265" s="5">
        <f t="shared" si="162"/>
        <v>-2.8785261945884115E-3</v>
      </c>
      <c r="K1265" s="3">
        <f t="shared" si="159"/>
        <v>1.0010832101776876</v>
      </c>
      <c r="L1265" s="3">
        <f t="shared" si="160"/>
        <v>1.741817288885005</v>
      </c>
    </row>
    <row r="1266" spans="1:12" x14ac:dyDescent="0.25">
      <c r="A1266" s="26">
        <v>17.47</v>
      </c>
      <c r="B1266">
        <v>17.440000000000001</v>
      </c>
      <c r="C1266">
        <v>5.23</v>
      </c>
      <c r="D1266" s="2">
        <v>43319</v>
      </c>
      <c r="E1266">
        <v>17.5</v>
      </c>
      <c r="F1266">
        <v>-0.03</v>
      </c>
      <c r="G1266">
        <v>-5.9999999999998721E-2</v>
      </c>
      <c r="H1266" s="5">
        <f t="shared" si="161"/>
        <v>-1.7142857142857142E-3</v>
      </c>
      <c r="I1266" s="3">
        <f t="shared" si="158"/>
        <v>-0.15976035239652719</v>
      </c>
      <c r="J1266" s="5">
        <f t="shared" si="162"/>
        <v>-3.4285714285713555E-3</v>
      </c>
      <c r="K1266" s="3">
        <f t="shared" si="159"/>
        <v>0.75372628681869958</v>
      </c>
      <c r="L1266" s="3">
        <f t="shared" si="160"/>
        <v>2.0460845608779561</v>
      </c>
    </row>
    <row r="1267" spans="1:12" x14ac:dyDescent="0.25">
      <c r="A1267" s="26">
        <v>17.62</v>
      </c>
      <c r="B1267">
        <v>17.57</v>
      </c>
      <c r="C1267">
        <v>4.7</v>
      </c>
      <c r="D1267" s="2">
        <v>43318</v>
      </c>
      <c r="E1267">
        <v>17.61</v>
      </c>
      <c r="F1267">
        <v>0.01</v>
      </c>
      <c r="G1267">
        <v>-3.9999999999999147E-2</v>
      </c>
      <c r="H1267" s="5">
        <f t="shared" si="161"/>
        <v>5.6785917092561046E-4</v>
      </c>
      <c r="I1267" s="3">
        <f t="shared" si="158"/>
        <v>0.28190808241594995</v>
      </c>
      <c r="J1267" s="5">
        <f t="shared" si="162"/>
        <v>-2.2714366837023933E-3</v>
      </c>
      <c r="K1267" s="3">
        <f t="shared" si="159"/>
        <v>1.3429717335956028</v>
      </c>
      <c r="L1267" s="3">
        <f t="shared" si="160"/>
        <v>1.6619312318610762</v>
      </c>
    </row>
    <row r="1268" spans="1:12" x14ac:dyDescent="0.25">
      <c r="A1268" s="26">
        <v>17.62</v>
      </c>
      <c r="B1268">
        <v>17.55</v>
      </c>
      <c r="C1268">
        <v>4.12</v>
      </c>
      <c r="D1268" s="2">
        <v>43315</v>
      </c>
      <c r="E1268">
        <v>17.59</v>
      </c>
      <c r="F1268">
        <v>0.03</v>
      </c>
      <c r="G1268">
        <v>-3.9999999999999147E-2</v>
      </c>
      <c r="H1268" s="5">
        <f t="shared" si="161"/>
        <v>1.7055144968732233E-3</v>
      </c>
      <c r="I1268" s="3">
        <f t="shared" si="158"/>
        <v>0.50440554245142399</v>
      </c>
      <c r="J1268" s="5">
        <f t="shared" si="162"/>
        <v>-2.2740193291642496E-3</v>
      </c>
      <c r="K1268" s="3">
        <f t="shared" si="159"/>
        <v>1.3961282407400397</v>
      </c>
      <c r="L1268" s="3">
        <f t="shared" si="160"/>
        <v>1.1577565623881994</v>
      </c>
    </row>
    <row r="1269" spans="1:12" x14ac:dyDescent="0.25">
      <c r="A1269" s="26">
        <v>17.579999999999998</v>
      </c>
      <c r="B1269">
        <v>17.52</v>
      </c>
      <c r="C1269">
        <v>5.5</v>
      </c>
      <c r="D1269" s="2">
        <v>43314</v>
      </c>
      <c r="E1269">
        <v>17.55</v>
      </c>
      <c r="F1269">
        <v>0.03</v>
      </c>
      <c r="G1269">
        <v>-3.0000000000001137E-2</v>
      </c>
      <c r="H1269" s="5">
        <f t="shared" si="161"/>
        <v>1.7094017094017092E-3</v>
      </c>
      <c r="I1269" s="3">
        <f t="shared" si="158"/>
        <v>0.5140124675872404</v>
      </c>
      <c r="J1269" s="5">
        <f t="shared" si="162"/>
        <v>-1.709401709401774E-3</v>
      </c>
      <c r="K1269" s="3">
        <f t="shared" si="159"/>
        <v>1.7452218499646048</v>
      </c>
      <c r="L1269" s="3">
        <f t="shared" si="160"/>
        <v>2.5911163410868996</v>
      </c>
    </row>
    <row r="1270" spans="1:12" x14ac:dyDescent="0.25">
      <c r="A1270" s="26">
        <v>17.38</v>
      </c>
      <c r="B1270">
        <v>17.309999999999999</v>
      </c>
      <c r="C1270">
        <v>6.56</v>
      </c>
      <c r="D1270" s="2">
        <v>43313</v>
      </c>
      <c r="E1270">
        <v>17.39</v>
      </c>
      <c r="F1270">
        <v>-0.01</v>
      </c>
      <c r="G1270">
        <v>-8.0000000000001847E-2</v>
      </c>
      <c r="H1270" s="5">
        <f t="shared" si="161"/>
        <v>-5.750431282346176E-4</v>
      </c>
      <c r="I1270" s="3">
        <f t="shared" si="158"/>
        <v>9.4239384446064112E-2</v>
      </c>
      <c r="J1270" s="5">
        <f t="shared" si="162"/>
        <v>-4.6003450258770466E-3</v>
      </c>
      <c r="K1270" s="3">
        <f t="shared" si="159"/>
        <v>0.33553107073907024</v>
      </c>
      <c r="L1270" s="3">
        <f t="shared" si="160"/>
        <v>4.059530240259444</v>
      </c>
    </row>
    <row r="1271" spans="1:12" x14ac:dyDescent="0.25">
      <c r="A1271" s="26">
        <v>16.87</v>
      </c>
      <c r="B1271">
        <v>16.7</v>
      </c>
      <c r="C1271">
        <v>2.74</v>
      </c>
      <c r="D1271" s="2">
        <v>43312</v>
      </c>
      <c r="E1271">
        <v>16.79</v>
      </c>
      <c r="F1271">
        <v>0.08</v>
      </c>
      <c r="G1271">
        <v>-8.9999999999999858E-2</v>
      </c>
      <c r="H1271" s="5">
        <f t="shared" si="161"/>
        <v>4.764740917212627E-3</v>
      </c>
      <c r="I1271" s="3">
        <f t="shared" si="158"/>
        <v>1.083563854695331</v>
      </c>
      <c r="J1271" s="5">
        <f t="shared" si="162"/>
        <v>-5.3603335318641969E-3</v>
      </c>
      <c r="K1271" s="3">
        <f t="shared" si="159"/>
        <v>-5.371092288368242E-2</v>
      </c>
      <c r="L1271" s="3">
        <f t="shared" si="160"/>
        <v>-5.9954970620356103E-2</v>
      </c>
    </row>
    <row r="1272" spans="1:12" x14ac:dyDescent="0.25">
      <c r="A1272" s="26">
        <v>16.899999999999999</v>
      </c>
      <c r="B1272">
        <v>16.87</v>
      </c>
      <c r="C1272">
        <v>3.01</v>
      </c>
      <c r="D1272" s="2">
        <v>43311</v>
      </c>
      <c r="E1272">
        <v>16.95</v>
      </c>
      <c r="F1272">
        <v>-0.05</v>
      </c>
      <c r="G1272">
        <v>-7.9999999999998295E-2</v>
      </c>
      <c r="H1272" s="5">
        <f t="shared" si="161"/>
        <v>-2.9498525073746317E-3</v>
      </c>
      <c r="I1272" s="3">
        <f t="shared" si="158"/>
        <v>-0.31094610256825528</v>
      </c>
      <c r="J1272" s="5">
        <f t="shared" si="162"/>
        <v>-4.7197640117993094E-3</v>
      </c>
      <c r="K1272" s="3">
        <f t="shared" si="159"/>
        <v>0.27296197680801332</v>
      </c>
      <c r="L1272" s="3">
        <f t="shared" si="160"/>
        <v>0.32823289184594884</v>
      </c>
    </row>
    <row r="1273" spans="1:12" x14ac:dyDescent="0.25">
      <c r="A1273" s="26">
        <v>16.91</v>
      </c>
      <c r="B1273">
        <v>16.91</v>
      </c>
      <c r="C1273">
        <v>2.91</v>
      </c>
      <c r="D1273" s="2">
        <v>43308</v>
      </c>
      <c r="E1273">
        <v>17.03</v>
      </c>
      <c r="F1273">
        <v>-0.12</v>
      </c>
      <c r="G1273">
        <v>-0.12000000000000099</v>
      </c>
      <c r="H1273" s="5">
        <f t="shared" si="161"/>
        <v>-7.0463887257780381E-3</v>
      </c>
      <c r="I1273" s="3">
        <f t="shared" si="158"/>
        <v>-1.065616216871738</v>
      </c>
      <c r="J1273" s="5">
        <f t="shared" si="162"/>
        <v>-7.0463887257780971E-3</v>
      </c>
      <c r="K1273" s="3">
        <f t="shared" si="159"/>
        <v>-0.89403449513073352</v>
      </c>
      <c r="L1273" s="3">
        <f t="shared" si="160"/>
        <v>0.19087655380574919</v>
      </c>
    </row>
    <row r="1274" spans="1:12" x14ac:dyDescent="0.25">
      <c r="A1274" s="26">
        <v>16.989999999999998</v>
      </c>
      <c r="B1274">
        <v>16.97</v>
      </c>
      <c r="C1274">
        <v>2.83</v>
      </c>
      <c r="D1274" s="2">
        <v>43307</v>
      </c>
      <c r="E1274">
        <v>17.07</v>
      </c>
      <c r="F1274">
        <v>-0.08</v>
      </c>
      <c r="G1274">
        <v>-0.10000000000000142</v>
      </c>
      <c r="H1274" s="5">
        <f t="shared" si="161"/>
        <v>-4.6865846514352666E-3</v>
      </c>
      <c r="I1274" s="3">
        <f t="shared" si="158"/>
        <v>-0.67148537349657822</v>
      </c>
      <c r="J1274" s="5">
        <f t="shared" si="162"/>
        <v>-5.8582308142941667E-3</v>
      </c>
      <c r="K1274" s="3">
        <f t="shared" si="159"/>
        <v>-0.3245700115020983</v>
      </c>
      <c r="L1274" s="3">
        <f t="shared" si="160"/>
        <v>8.137181657474428E-2</v>
      </c>
    </row>
    <row r="1275" spans="1:12" x14ac:dyDescent="0.25">
      <c r="A1275" s="26">
        <v>17.45</v>
      </c>
      <c r="B1275">
        <v>17.41</v>
      </c>
      <c r="C1275">
        <v>3.41</v>
      </c>
      <c r="D1275" s="2">
        <v>43305</v>
      </c>
      <c r="E1275">
        <v>17.52</v>
      </c>
      <c r="F1275">
        <v>-7.0000000000000007E-2</v>
      </c>
      <c r="G1275">
        <v>-0.10999999999999943</v>
      </c>
      <c r="H1275" s="5">
        <f t="shared" si="161"/>
        <v>-3.9954337899543385E-3</v>
      </c>
      <c r="I1275" s="3">
        <f t="shared" si="158"/>
        <v>-0.56249907999183435</v>
      </c>
      <c r="J1275" s="5">
        <f t="shared" si="162"/>
        <v>-6.2785388127853557E-3</v>
      </c>
      <c r="K1275" s="3">
        <f t="shared" si="159"/>
        <v>-0.53827699395143525</v>
      </c>
      <c r="L1275" s="3">
        <f t="shared" si="160"/>
        <v>0.88427512907420858</v>
      </c>
    </row>
    <row r="1276" spans="1:12" x14ac:dyDescent="0.25">
      <c r="A1276" s="26">
        <v>17.2</v>
      </c>
      <c r="B1276">
        <v>17</v>
      </c>
      <c r="C1276">
        <v>3.02</v>
      </c>
      <c r="D1276" s="2">
        <v>43304</v>
      </c>
      <c r="E1276">
        <v>17.100000000000001</v>
      </c>
      <c r="F1276">
        <v>0.1</v>
      </c>
      <c r="G1276">
        <v>-0.10000000000000142</v>
      </c>
      <c r="H1276" s="5">
        <f t="shared" si="161"/>
        <v>5.8479532163742687E-3</v>
      </c>
      <c r="I1276" s="3">
        <f t="shared" si="158"/>
        <v>1.1916875716793147</v>
      </c>
      <c r="J1276" s="5">
        <f t="shared" si="162"/>
        <v>-5.8479532163743519E-3</v>
      </c>
      <c r="K1276" s="3">
        <f t="shared" si="159"/>
        <v>-0.34030594281310017</v>
      </c>
      <c r="L1276" s="3">
        <f t="shared" si="160"/>
        <v>0.37084392398274135</v>
      </c>
    </row>
    <row r="1277" spans="1:12" x14ac:dyDescent="0.25">
      <c r="A1277" s="26">
        <v>16.899999999999999</v>
      </c>
      <c r="B1277">
        <v>16.899999999999999</v>
      </c>
      <c r="C1277">
        <v>2.88</v>
      </c>
      <c r="D1277" s="2">
        <v>43301</v>
      </c>
      <c r="E1277">
        <v>16.93</v>
      </c>
      <c r="F1277">
        <v>-0.03</v>
      </c>
      <c r="G1277">
        <v>-3.0000000000001137E-2</v>
      </c>
      <c r="H1277" s="5">
        <f t="shared" si="161"/>
        <v>-1.7720023626698169E-3</v>
      </c>
      <c r="I1277" s="3">
        <f t="shared" si="158"/>
        <v>-0.13338303988673461</v>
      </c>
      <c r="J1277" s="5">
        <f t="shared" si="162"/>
        <v>-1.7720023626698841E-3</v>
      </c>
      <c r="K1277" s="3">
        <f t="shared" si="159"/>
        <v>1.6089753985232176</v>
      </c>
      <c r="L1277" s="3">
        <f t="shared" si="160"/>
        <v>0.18692406877601062</v>
      </c>
    </row>
    <row r="1278" spans="1:12" x14ac:dyDescent="0.25">
      <c r="A1278" s="26">
        <v>16.46</v>
      </c>
      <c r="B1278">
        <v>16.45</v>
      </c>
      <c r="C1278">
        <v>2.17</v>
      </c>
      <c r="D1278" s="2">
        <v>43300</v>
      </c>
      <c r="E1278">
        <v>16.53</v>
      </c>
      <c r="F1278">
        <v>-7.0000000000000007E-2</v>
      </c>
      <c r="G1278">
        <v>-8.0000000000001847E-2</v>
      </c>
      <c r="H1278" s="5">
        <f t="shared" si="161"/>
        <v>-4.2347247428917122E-3</v>
      </c>
      <c r="I1278" s="3">
        <f t="shared" si="158"/>
        <v>-0.57356269947051464</v>
      </c>
      <c r="J1278" s="5">
        <f t="shared" si="162"/>
        <v>-4.8396854204477823E-3</v>
      </c>
      <c r="K1278" s="3">
        <f t="shared" si="159"/>
        <v>0.20573743274158912</v>
      </c>
      <c r="L1278" s="3">
        <f t="shared" si="160"/>
        <v>-0.76013855792142959</v>
      </c>
    </row>
    <row r="1279" spans="1:12" x14ac:dyDescent="0.25">
      <c r="A1279" s="26">
        <v>16.170000000000002</v>
      </c>
      <c r="B1279">
        <v>16.09</v>
      </c>
      <c r="C1279">
        <v>3.94</v>
      </c>
      <c r="D1279" s="2">
        <v>43299</v>
      </c>
      <c r="E1279">
        <v>16.21</v>
      </c>
      <c r="F1279">
        <v>-0.04</v>
      </c>
      <c r="G1279">
        <v>-0.12000000000000099</v>
      </c>
      <c r="H1279" s="5">
        <f t="shared" si="161"/>
        <v>-2.4676125848241827E-3</v>
      </c>
      <c r="I1279" s="3">
        <f t="shared" si="158"/>
        <v>-0.27864927777207599</v>
      </c>
      <c r="J1279" s="5">
        <f t="shared" si="162"/>
        <v>-7.4028377544726092E-3</v>
      </c>
      <c r="K1279" s="3">
        <f t="shared" si="159"/>
        <v>-1.0393652571602496</v>
      </c>
      <c r="L1279" s="3">
        <f t="shared" si="160"/>
        <v>1.5721122302870514</v>
      </c>
    </row>
    <row r="1280" spans="1:12" x14ac:dyDescent="0.25">
      <c r="A1280" s="26">
        <v>15.87</v>
      </c>
      <c r="B1280">
        <v>15.82</v>
      </c>
      <c r="C1280">
        <v>3.48</v>
      </c>
      <c r="D1280" s="2">
        <v>43298</v>
      </c>
      <c r="E1280">
        <v>15.91</v>
      </c>
      <c r="F1280">
        <v>-0.04</v>
      </c>
      <c r="G1280">
        <v>-8.9999999999999858E-2</v>
      </c>
      <c r="H1280" s="5">
        <f t="shared" si="161"/>
        <v>-2.51414204902577E-3</v>
      </c>
      <c r="I1280" s="3">
        <f t="shared" si="158"/>
        <v>-0.29262843248421516</v>
      </c>
      <c r="J1280" s="5">
        <f t="shared" si="162"/>
        <v>-5.656819610307973E-3</v>
      </c>
      <c r="K1280" s="3">
        <f t="shared" si="159"/>
        <v>-0.23235552921043418</v>
      </c>
      <c r="L1280" s="3">
        <f t="shared" si="160"/>
        <v>1.0444706372257695</v>
      </c>
    </row>
    <row r="1281" spans="1:12" x14ac:dyDescent="0.25">
      <c r="A1281" s="26">
        <v>16.14</v>
      </c>
      <c r="B1281">
        <v>16.11</v>
      </c>
      <c r="C1281">
        <v>3.64</v>
      </c>
      <c r="D1281" s="2">
        <v>43297</v>
      </c>
      <c r="E1281">
        <v>16.190000000000001</v>
      </c>
      <c r="F1281">
        <v>-0.05</v>
      </c>
      <c r="G1281">
        <v>-8.0000000000001847E-2</v>
      </c>
      <c r="H1281" s="5">
        <f t="shared" si="161"/>
        <v>-3.0883261272390363E-3</v>
      </c>
      <c r="I1281" s="3">
        <f t="shared" si="158"/>
        <v>-0.39596341410103425</v>
      </c>
      <c r="J1281" s="5">
        <f t="shared" si="162"/>
        <v>-4.9413218035825723E-3</v>
      </c>
      <c r="K1281" s="3">
        <f t="shared" si="159"/>
        <v>0.10497744347149553</v>
      </c>
      <c r="L1281" s="3">
        <f t="shared" si="160"/>
        <v>1.3037091671477175</v>
      </c>
    </row>
    <row r="1282" spans="1:12" x14ac:dyDescent="0.25">
      <c r="A1282" s="26">
        <v>15.8</v>
      </c>
      <c r="B1282">
        <v>15.85</v>
      </c>
      <c r="C1282">
        <v>2.57</v>
      </c>
      <c r="D1282" s="2">
        <v>43294</v>
      </c>
      <c r="E1282">
        <v>15.98</v>
      </c>
      <c r="F1282">
        <v>-0.18</v>
      </c>
      <c r="G1282">
        <v>-0.13000000000000078</v>
      </c>
      <c r="H1282" s="5">
        <f t="shared" si="161"/>
        <v>-1.1264080100125156E-2</v>
      </c>
      <c r="I1282" s="3">
        <f t="shared" si="158"/>
        <v>-1.7568312154509345</v>
      </c>
      <c r="J1282" s="5">
        <f t="shared" si="162"/>
        <v>-8.1351689612015506E-3</v>
      </c>
      <c r="K1282" s="3">
        <f t="shared" si="159"/>
        <v>-1.3863923071962343</v>
      </c>
      <c r="L1282" s="3">
        <f t="shared" si="160"/>
        <v>-0.11645997576119743</v>
      </c>
    </row>
    <row r="1283" spans="1:12" x14ac:dyDescent="0.25">
      <c r="A1283" s="26">
        <v>16.22</v>
      </c>
      <c r="B1283">
        <v>16.2</v>
      </c>
      <c r="C1283">
        <v>2.87</v>
      </c>
      <c r="D1283" s="2">
        <v>43293</v>
      </c>
      <c r="E1283">
        <v>16.32</v>
      </c>
      <c r="F1283">
        <v>-0.1</v>
      </c>
      <c r="G1283">
        <v>-0.12000000000000099</v>
      </c>
      <c r="H1283" s="5">
        <f t="shared" si="161"/>
        <v>-6.1274509803921568E-3</v>
      </c>
      <c r="I1283" s="3">
        <f t="shared" ref="I1283:I1300" si="163">IFERROR((H1283-AVERAGEA(H1283:H1499))/_xlfn.STDEV.S(H1283:H1499), " ")</f>
        <v>-1.0522622254313752</v>
      </c>
      <c r="J1283" s="5">
        <f t="shared" si="162"/>
        <v>-7.3529411764706488E-3</v>
      </c>
      <c r="K1283" s="3">
        <f t="shared" ref="K1283:K1300" si="164">IFERROR((J1283-AVERAGEA(J1283:J1499))/_xlfn.STDEV.S(J1283:J1499), " ")</f>
        <v>-1.115218877795993</v>
      </c>
      <c r="L1283" s="3">
        <f t="shared" ref="L1283:L1300" si="165">(C1283-AVERAGEA(C1283:C1499))/_xlfn.STDEV.S(C1283:C1499)</f>
        <v>0.29078328010304472</v>
      </c>
    </row>
    <row r="1284" spans="1:12" x14ac:dyDescent="0.25">
      <c r="A1284" s="26">
        <v>16.149999999999999</v>
      </c>
      <c r="B1284">
        <v>16.059999999999999</v>
      </c>
      <c r="C1284">
        <v>3.35</v>
      </c>
      <c r="D1284" s="2">
        <v>43291</v>
      </c>
      <c r="E1284">
        <v>16.12</v>
      </c>
      <c r="F1284">
        <v>0.03</v>
      </c>
      <c r="G1284">
        <v>-6.0000000000002274E-2</v>
      </c>
      <c r="H1284" s="5">
        <f t="shared" ref="H1284:H1303" si="166">IFERROR(F1284/E1284,"")</f>
        <v>1.8610421836228286E-3</v>
      </c>
      <c r="I1284" s="3">
        <f t="shared" si="163"/>
        <v>0.29683747120050835</v>
      </c>
      <c r="J1284" s="5">
        <f t="shared" ref="J1284:J1303" si="167">IFERROR(G1284/E1284,"")</f>
        <v>-3.7220843672457985E-3</v>
      </c>
      <c r="K1284" s="3">
        <f t="shared" si="164"/>
        <v>0.57643517119747301</v>
      </c>
      <c r="L1284" s="3">
        <f t="shared" si="165"/>
        <v>0.93977387947564073</v>
      </c>
    </row>
    <row r="1285" spans="1:12" x14ac:dyDescent="0.25">
      <c r="A1285" s="26">
        <v>15.85</v>
      </c>
      <c r="B1285">
        <v>15.8</v>
      </c>
      <c r="C1285">
        <v>3.37</v>
      </c>
      <c r="D1285" s="2">
        <v>43290</v>
      </c>
      <c r="E1285">
        <v>15.9</v>
      </c>
      <c r="F1285">
        <v>-0.05</v>
      </c>
      <c r="G1285">
        <v>-9.9999999999999645E-2</v>
      </c>
      <c r="H1285" s="5">
        <f t="shared" si="166"/>
        <v>-3.1446540880503146E-3</v>
      </c>
      <c r="I1285" s="3">
        <f t="shared" si="163"/>
        <v>-0.55503759419197751</v>
      </c>
      <c r="J1285" s="5">
        <f t="shared" si="167"/>
        <v>-6.2893081761006067E-3</v>
      </c>
      <c r="K1285" s="3">
        <f t="shared" si="164"/>
        <v>-0.62431876093799488</v>
      </c>
      <c r="L1285" s="3">
        <f t="shared" si="165"/>
        <v>1.0039754764091628</v>
      </c>
    </row>
    <row r="1286" spans="1:12" x14ac:dyDescent="0.25">
      <c r="A1286" s="26">
        <v>15.55</v>
      </c>
      <c r="B1286">
        <v>15.52</v>
      </c>
      <c r="C1286">
        <v>2.59</v>
      </c>
      <c r="D1286" s="2">
        <v>43287</v>
      </c>
      <c r="E1286">
        <v>15.6</v>
      </c>
      <c r="F1286">
        <v>-0.05</v>
      </c>
      <c r="G1286">
        <v>-8.0000000000000071E-2</v>
      </c>
      <c r="H1286" s="5">
        <f t="shared" si="166"/>
        <v>-3.2051282051282055E-3</v>
      </c>
      <c r="I1286" s="3">
        <f t="shared" si="163"/>
        <v>-0.58476833099215353</v>
      </c>
      <c r="J1286" s="5">
        <f t="shared" si="167"/>
        <v>-5.1282051282051325E-3</v>
      </c>
      <c r="K1286" s="3">
        <f t="shared" si="164"/>
        <v>-0.10522538369326764</v>
      </c>
      <c r="L1286" s="3">
        <f t="shared" si="165"/>
        <v>4.6564346416029514E-3</v>
      </c>
    </row>
    <row r="1287" spans="1:12" x14ac:dyDescent="0.25">
      <c r="A1287" s="26">
        <v>15.4</v>
      </c>
      <c r="B1287">
        <v>15.31</v>
      </c>
      <c r="C1287">
        <v>3.31</v>
      </c>
      <c r="D1287" s="2">
        <v>43286</v>
      </c>
      <c r="E1287">
        <v>15.4</v>
      </c>
      <c r="F1287">
        <v>0</v>
      </c>
      <c r="G1287">
        <v>-8.9999999999999858E-2</v>
      </c>
      <c r="H1287" s="5">
        <f t="shared" si="166"/>
        <v>0</v>
      </c>
      <c r="I1287" s="3">
        <f t="shared" si="163"/>
        <v>-7.7650029108668486E-2</v>
      </c>
      <c r="J1287" s="5">
        <f t="shared" si="167"/>
        <v>-5.8441558441558348E-3</v>
      </c>
      <c r="K1287" s="3">
        <f t="shared" si="164"/>
        <v>-0.43285677263324757</v>
      </c>
      <c r="L1287" s="3">
        <f t="shared" si="165"/>
        <v>0.94647745552965656</v>
      </c>
    </row>
    <row r="1288" spans="1:12" x14ac:dyDescent="0.25">
      <c r="A1288" s="26">
        <v>15.35</v>
      </c>
      <c r="B1288">
        <v>15.1</v>
      </c>
      <c r="C1288">
        <v>4.6900000000000004</v>
      </c>
      <c r="D1288" s="2">
        <v>43285</v>
      </c>
      <c r="E1288">
        <v>15.15</v>
      </c>
      <c r="F1288">
        <v>0.2</v>
      </c>
      <c r="G1288">
        <v>-5.0000000000000711E-2</v>
      </c>
      <c r="H1288" s="5">
        <f t="shared" si="166"/>
        <v>1.3201320132013201E-2</v>
      </c>
      <c r="I1288" s="3">
        <f t="shared" si="163"/>
        <v>2.0323026659433721</v>
      </c>
      <c r="J1288" s="5">
        <f t="shared" si="167"/>
        <v>-3.3003300330033472E-3</v>
      </c>
      <c r="K1288" s="3">
        <f t="shared" si="164"/>
        <v>0.67606812495498403</v>
      </c>
      <c r="L1288" s="3">
        <f t="shared" si="165"/>
        <v>2.7922223069949088</v>
      </c>
    </row>
    <row r="1289" spans="1:12" x14ac:dyDescent="0.25">
      <c r="A1289" s="26">
        <v>15.15</v>
      </c>
      <c r="B1289">
        <v>15.1</v>
      </c>
      <c r="C1289">
        <v>3.74</v>
      </c>
      <c r="D1289" s="2">
        <v>43284</v>
      </c>
      <c r="E1289">
        <v>15.08</v>
      </c>
      <c r="F1289">
        <v>7.0000000000000007E-2</v>
      </c>
      <c r="G1289">
        <v>1.9999999999999574E-2</v>
      </c>
      <c r="H1289" s="5">
        <f t="shared" si="166"/>
        <v>4.6419098143236082E-3</v>
      </c>
      <c r="I1289" s="3">
        <f t="shared" si="163"/>
        <v>0.9176699823116955</v>
      </c>
      <c r="J1289" s="5">
        <f t="shared" si="167"/>
        <v>1.3262599469495739E-3</v>
      </c>
      <c r="K1289" s="3">
        <f t="shared" si="164"/>
        <v>2.7164577292008865</v>
      </c>
      <c r="L1289" s="3">
        <f t="shared" si="165"/>
        <v>2.1447521403062959</v>
      </c>
    </row>
    <row r="1290" spans="1:12" x14ac:dyDescent="0.25">
      <c r="A1290" s="26">
        <v>14.95</v>
      </c>
      <c r="B1290">
        <v>14.8</v>
      </c>
      <c r="C1290">
        <v>3.52</v>
      </c>
      <c r="D1290" s="2">
        <v>43283</v>
      </c>
      <c r="E1290">
        <v>14.88</v>
      </c>
      <c r="F1290">
        <v>7.0000000000000007E-2</v>
      </c>
      <c r="G1290">
        <v>-8.0000000000000071E-2</v>
      </c>
      <c r="H1290" s="5">
        <f t="shared" si="166"/>
        <v>4.7043010752688174E-3</v>
      </c>
      <c r="I1290" s="3">
        <f t="shared" si="163"/>
        <v>0.99097526846704631</v>
      </c>
      <c r="J1290" s="5">
        <f t="shared" si="167"/>
        <v>-5.3763440860215101E-3</v>
      </c>
      <c r="K1290" s="3">
        <f t="shared" si="164"/>
        <v>1.8025554414113785E-3</v>
      </c>
      <c r="L1290" s="3">
        <f t="shared" si="165"/>
        <v>2.1347639333298871</v>
      </c>
    </row>
    <row r="1291" spans="1:12" x14ac:dyDescent="0.25">
      <c r="A1291" s="26">
        <v>14.85</v>
      </c>
      <c r="B1291">
        <v>14.86</v>
      </c>
      <c r="C1291">
        <v>2.67</v>
      </c>
      <c r="D1291" s="2">
        <v>43280</v>
      </c>
      <c r="E1291">
        <v>14.96</v>
      </c>
      <c r="F1291">
        <v>-0.11</v>
      </c>
      <c r="G1291">
        <v>-0.10000000000000142</v>
      </c>
      <c r="H1291" s="5">
        <f t="shared" si="166"/>
        <v>-7.3529411764705881E-3</v>
      </c>
      <c r="I1291" s="3">
        <f t="shared" si="163"/>
        <v>-1.1449013779893076</v>
      </c>
      <c r="J1291" s="5">
        <f t="shared" si="167"/>
        <v>-6.68449197860972E-3</v>
      </c>
      <c r="K1291" s="3">
        <f t="shared" si="164"/>
        <v>-0.79492280702354157</v>
      </c>
      <c r="L1291" s="3">
        <f t="shared" si="165"/>
        <v>0.75616180825437096</v>
      </c>
    </row>
    <row r="1292" spans="1:12" x14ac:dyDescent="0.25">
      <c r="A1292" s="26">
        <v>15.22</v>
      </c>
      <c r="B1292">
        <v>15.17</v>
      </c>
      <c r="C1292">
        <v>2.2400000000000002</v>
      </c>
      <c r="D1292" s="2">
        <v>43279</v>
      </c>
      <c r="E1292">
        <v>15.25</v>
      </c>
      <c r="F1292">
        <v>-0.03</v>
      </c>
      <c r="G1292">
        <v>-8.0000000000000071E-2</v>
      </c>
      <c r="H1292" s="5">
        <f t="shared" si="166"/>
        <v>-1.9672131147540984E-3</v>
      </c>
      <c r="I1292" s="3">
        <f t="shared" si="163"/>
        <v>-0.25599414024716999</v>
      </c>
      <c r="J1292" s="5">
        <f t="shared" si="167"/>
        <v>-5.2459016393442666E-3</v>
      </c>
      <c r="K1292" s="3">
        <f t="shared" si="164"/>
        <v>1.486189878810051E-2</v>
      </c>
      <c r="L1292" s="3">
        <f t="shared" si="165"/>
        <v>-0.10964859625489773</v>
      </c>
    </row>
    <row r="1293" spans="1:12" x14ac:dyDescent="0.25">
      <c r="A1293" s="26">
        <v>14.86</v>
      </c>
      <c r="B1293">
        <v>14.76</v>
      </c>
      <c r="C1293">
        <v>2.36</v>
      </c>
      <c r="D1293" s="2">
        <v>43277</v>
      </c>
      <c r="E1293">
        <v>14.82</v>
      </c>
      <c r="F1293">
        <v>0.04</v>
      </c>
      <c r="G1293">
        <v>-6.0000000000000497E-2</v>
      </c>
      <c r="H1293" s="5">
        <f t="shared" si="166"/>
        <v>2.6990553306342779E-3</v>
      </c>
      <c r="I1293" s="3">
        <f t="shared" si="163"/>
        <v>0.56885883222231759</v>
      </c>
      <c r="J1293" s="5">
        <f t="shared" si="167"/>
        <v>-4.0485829959514509E-3</v>
      </c>
      <c r="K1293" s="3">
        <f t="shared" si="164"/>
        <v>0.70104893116726985</v>
      </c>
      <c r="L1293" s="3">
        <f t="shared" si="165"/>
        <v>0.13059853599414381</v>
      </c>
    </row>
    <row r="1294" spans="1:12" x14ac:dyDescent="0.25">
      <c r="A1294" s="26">
        <v>15.03</v>
      </c>
      <c r="B1294">
        <v>15</v>
      </c>
      <c r="C1294">
        <v>3.06</v>
      </c>
      <c r="D1294" s="2">
        <v>43276</v>
      </c>
      <c r="E1294">
        <v>15.06</v>
      </c>
      <c r="F1294">
        <v>-0.03</v>
      </c>
      <c r="G1294">
        <v>-6.0000000000000497E-2</v>
      </c>
      <c r="H1294" s="5">
        <f t="shared" si="166"/>
        <v>-1.9920318725099601E-3</v>
      </c>
      <c r="I1294" s="3">
        <f t="shared" si="163"/>
        <v>-0.20740728322023977</v>
      </c>
      <c r="J1294" s="5">
        <f t="shared" si="167"/>
        <v>-3.9840637450199532E-3</v>
      </c>
      <c r="K1294" s="3">
        <f t="shared" si="164"/>
        <v>0.78823150925606389</v>
      </c>
      <c r="L1294" s="3">
        <f t="shared" si="165"/>
        <v>1.5074434676783008</v>
      </c>
    </row>
    <row r="1295" spans="1:12" x14ac:dyDescent="0.25">
      <c r="A1295" s="26">
        <v>14.78</v>
      </c>
      <c r="B1295">
        <v>14.65</v>
      </c>
      <c r="C1295">
        <v>3.45</v>
      </c>
      <c r="D1295" s="2">
        <v>43273</v>
      </c>
      <c r="E1295">
        <v>14.7</v>
      </c>
      <c r="F1295">
        <v>0.08</v>
      </c>
      <c r="G1295">
        <v>-4.9999999999998934E-2</v>
      </c>
      <c r="H1295" s="5">
        <f t="shared" si="166"/>
        <v>5.4421768707482998E-3</v>
      </c>
      <c r="I1295" s="3">
        <f t="shared" si="163"/>
        <v>0.99845233968793778</v>
      </c>
      <c r="J1295" s="5">
        <f t="shared" si="167"/>
        <v>-3.4013605442176145E-3</v>
      </c>
      <c r="K1295" s="3">
        <f t="shared" si="164"/>
        <v>1.1786737461731154</v>
      </c>
      <c r="L1295" s="3">
        <f t="shared" si="165"/>
        <v>2.5232572898918448</v>
      </c>
    </row>
    <row r="1296" spans="1:12" x14ac:dyDescent="0.25">
      <c r="A1296" s="26">
        <v>14.2</v>
      </c>
      <c r="B1296">
        <v>14.2</v>
      </c>
      <c r="C1296">
        <v>2.5</v>
      </c>
      <c r="D1296" s="2">
        <v>43272</v>
      </c>
      <c r="E1296">
        <v>14.26</v>
      </c>
      <c r="F1296">
        <v>-0.06</v>
      </c>
      <c r="G1296">
        <v>-6.0000000000000497E-2</v>
      </c>
      <c r="H1296" s="5">
        <f t="shared" si="166"/>
        <v>-4.2075736325385693E-3</v>
      </c>
      <c r="I1296" s="3">
        <f t="shared" si="163"/>
        <v>-0.45953452196262606</v>
      </c>
      <c r="J1296" s="5">
        <f t="shared" si="167"/>
        <v>-4.207573632538604E-3</v>
      </c>
      <c r="K1296" s="3">
        <f t="shared" si="164"/>
        <v>0.92203666493401193</v>
      </c>
      <c r="L1296" s="3">
        <f t="shared" si="165"/>
        <v>1.0371855504876426</v>
      </c>
    </row>
    <row r="1297" spans="1:12" x14ac:dyDescent="0.25">
      <c r="A1297" s="26">
        <v>14.43</v>
      </c>
      <c r="B1297">
        <v>14.28</v>
      </c>
      <c r="C1297">
        <v>2.87</v>
      </c>
      <c r="D1297" s="2">
        <v>43271</v>
      </c>
      <c r="E1297">
        <v>14.37</v>
      </c>
      <c r="F1297">
        <v>0.06</v>
      </c>
      <c r="G1297">
        <v>-8.9999999999999858E-2</v>
      </c>
      <c r="H1297" s="5">
        <f t="shared" si="166"/>
        <v>4.1753653444676414E-3</v>
      </c>
      <c r="I1297" s="3">
        <f t="shared" si="163"/>
        <v>0.80879339646343396</v>
      </c>
      <c r="J1297" s="5">
        <f t="shared" si="167"/>
        <v>-6.2630480167014521E-3</v>
      </c>
      <c r="K1297" s="3">
        <f t="shared" si="164"/>
        <v>-0.12062686121560991</v>
      </c>
      <c r="L1297" s="3">
        <f t="shared" si="165"/>
        <v>2.215523361797421</v>
      </c>
    </row>
    <row r="1298" spans="1:12" x14ac:dyDescent="0.25">
      <c r="A1298" s="26">
        <v>14.35</v>
      </c>
      <c r="B1298">
        <v>14.24</v>
      </c>
      <c r="C1298">
        <v>2.19</v>
      </c>
      <c r="D1298" s="2">
        <v>43270</v>
      </c>
      <c r="E1298">
        <v>14.37</v>
      </c>
      <c r="F1298">
        <v>-0.02</v>
      </c>
      <c r="G1298">
        <v>-0.12999999999999901</v>
      </c>
      <c r="H1298" s="5">
        <f t="shared" si="166"/>
        <v>-1.3917884481558804E-3</v>
      </c>
      <c r="I1298" s="3">
        <f t="shared" si="163"/>
        <v>7.6068937107816689E-2</v>
      </c>
      <c r="J1298" s="5">
        <f t="shared" si="167"/>
        <v>-9.0466249130131526E-3</v>
      </c>
      <c r="K1298" s="3">
        <f t="shared" si="164"/>
        <v>-1.5794453316244768</v>
      </c>
      <c r="L1298" s="3">
        <f t="shared" si="165"/>
        <v>0.56683727493417191</v>
      </c>
    </row>
    <row r="1299" spans="1:12" x14ac:dyDescent="0.25">
      <c r="A1299" s="26">
        <v>14.52</v>
      </c>
      <c r="B1299">
        <v>14.39</v>
      </c>
      <c r="C1299">
        <v>2.0299999999999998</v>
      </c>
      <c r="D1299" s="2">
        <v>43269</v>
      </c>
      <c r="E1299">
        <v>14.44</v>
      </c>
      <c r="F1299">
        <v>0.08</v>
      </c>
      <c r="G1299">
        <v>-4.9999999999998934E-2</v>
      </c>
      <c r="H1299" s="5">
        <f t="shared" si="166"/>
        <v>5.5401662049861496E-3</v>
      </c>
      <c r="I1299" s="3">
        <f t="shared" si="163"/>
        <v>1.0244793303180626</v>
      </c>
      <c r="J1299" s="5">
        <f t="shared" si="167"/>
        <v>-3.4626038781162697E-3</v>
      </c>
      <c r="K1299" s="3">
        <f t="shared" si="164"/>
        <v>1.4331896304615905</v>
      </c>
      <c r="L1299" s="3">
        <f t="shared" si="165"/>
        <v>-1.6716148906031789E-15</v>
      </c>
    </row>
    <row r="1300" spans="1:12" x14ac:dyDescent="0.25">
      <c r="A1300" s="26">
        <v>14.62</v>
      </c>
      <c r="B1300">
        <v>14.69</v>
      </c>
      <c r="C1300">
        <v>1.68</v>
      </c>
      <c r="D1300" s="2">
        <v>43266</v>
      </c>
      <c r="E1300">
        <v>14.79</v>
      </c>
      <c r="F1300">
        <v>-0.17</v>
      </c>
      <c r="G1300">
        <v>-9.9999999999999645E-2</v>
      </c>
      <c r="H1300" s="5">
        <f t="shared" si="166"/>
        <v>-1.149425287356322E-2</v>
      </c>
      <c r="I1300" s="3">
        <f t="shared" si="163"/>
        <v>-1.094630958921339</v>
      </c>
      <c r="J1300" s="5">
        <f t="shared" si="167"/>
        <v>-6.7613252197430461E-3</v>
      </c>
      <c r="K1300" s="3">
        <f t="shared" si="164"/>
        <v>-0.9204799519745489</v>
      </c>
      <c r="L1300" s="3">
        <f t="shared" si="165"/>
        <v>-1.2421035217284282</v>
      </c>
    </row>
    <row r="1301" spans="1:12" x14ac:dyDescent="0.25">
      <c r="A1301" s="26">
        <v>15.44</v>
      </c>
      <c r="B1301">
        <v>15.3</v>
      </c>
      <c r="C1301">
        <v>2.27</v>
      </c>
      <c r="D1301" s="2">
        <v>43265</v>
      </c>
      <c r="E1301">
        <v>15.39</v>
      </c>
      <c r="F1301">
        <v>0.05</v>
      </c>
      <c r="G1301">
        <v>-8.9999999999999858E-2</v>
      </c>
      <c r="H1301" s="5">
        <f t="shared" si="166"/>
        <v>3.2488628979857053E-3</v>
      </c>
      <c r="I1301"/>
      <c r="J1301" s="5">
        <f t="shared" si="167"/>
        <v>-5.8479532163742591E-3</v>
      </c>
      <c r="L1301" s="3"/>
    </row>
    <row r="1302" spans="1:12" x14ac:dyDescent="0.25">
      <c r="A1302" s="26">
        <v>15.08</v>
      </c>
      <c r="B1302">
        <v>15.13</v>
      </c>
      <c r="C1302">
        <v>1.63</v>
      </c>
      <c r="D1302" s="2">
        <v>43263</v>
      </c>
      <c r="E1302">
        <v>15.2</v>
      </c>
      <c r="F1302">
        <v>-0.12</v>
      </c>
      <c r="G1302">
        <v>-6.9999999999998508E-2</v>
      </c>
      <c r="H1302" s="5">
        <f t="shared" si="166"/>
        <v>-7.8947368421052634E-3</v>
      </c>
      <c r="I1302"/>
      <c r="J1302" s="5">
        <f t="shared" si="167"/>
        <v>-4.6052631578946393E-3</v>
      </c>
      <c r="L1302" s="3"/>
    </row>
    <row r="1303" spans="1:12" x14ac:dyDescent="0.25">
      <c r="A1303" s="26">
        <v>15.7</v>
      </c>
      <c r="B1303">
        <v>15.59</v>
      </c>
      <c r="C1303">
        <v>2.0299999999999998</v>
      </c>
      <c r="D1303" s="2">
        <v>43262</v>
      </c>
      <c r="E1303">
        <v>15.69</v>
      </c>
      <c r="F1303">
        <v>0.01</v>
      </c>
      <c r="G1303">
        <v>-9.9999999999999645E-2</v>
      </c>
      <c r="H1303" s="5">
        <f t="shared" si="166"/>
        <v>6.3734862970044623E-4</v>
      </c>
      <c r="I1303"/>
      <c r="J1303" s="5">
        <f t="shared" si="167"/>
        <v>-6.3734862970044387E-3</v>
      </c>
      <c r="L1303" s="3"/>
    </row>
    <row r="1304" spans="1:12" x14ac:dyDescent="0.25">
      <c r="A1304" s="26">
        <v>15.78</v>
      </c>
      <c r="B1304">
        <v>15.8</v>
      </c>
      <c r="C1304">
        <v>1.77</v>
      </c>
      <c r="D1304" s="2">
        <v>43259</v>
      </c>
      <c r="E1304">
        <v>15.87</v>
      </c>
      <c r="F1304">
        <v>-0.09</v>
      </c>
      <c r="G1304">
        <v>-6.9999999999998508E-2</v>
      </c>
    </row>
    <row r="1305" spans="1:12" x14ac:dyDescent="0.25">
      <c r="A1305" s="26">
        <v>16.14</v>
      </c>
      <c r="B1305">
        <v>15.99</v>
      </c>
      <c r="C1305">
        <v>2.3199999999999998</v>
      </c>
      <c r="D1305" s="2">
        <v>43258</v>
      </c>
      <c r="E1305">
        <v>16.04</v>
      </c>
      <c r="F1305">
        <v>0.1</v>
      </c>
      <c r="G1305">
        <v>-4.9999999999998934E-2</v>
      </c>
    </row>
    <row r="1306" spans="1:12" x14ac:dyDescent="0.25">
      <c r="A1306" s="26">
        <v>15.7</v>
      </c>
      <c r="B1306">
        <v>15.68</v>
      </c>
      <c r="C1306">
        <v>2.31</v>
      </c>
      <c r="D1306" s="2">
        <v>43257</v>
      </c>
      <c r="E1306">
        <v>15.81</v>
      </c>
      <c r="F1306">
        <v>-0.11</v>
      </c>
      <c r="G1306">
        <v>-0.13000000000000078</v>
      </c>
    </row>
    <row r="1307" spans="1:12" x14ac:dyDescent="0.25">
      <c r="A1307" s="26">
        <v>16.350000000000001</v>
      </c>
      <c r="B1307">
        <v>16.329999999999998</v>
      </c>
      <c r="C1307">
        <v>2.2799999999999998</v>
      </c>
      <c r="D1307" s="2">
        <v>43256</v>
      </c>
      <c r="E1307">
        <v>16.420000000000002</v>
      </c>
      <c r="F1307">
        <v>-7.0000000000000007E-2</v>
      </c>
      <c r="G1307">
        <v>-9.0000000000003411E-2</v>
      </c>
    </row>
    <row r="1308" spans="1:12" x14ac:dyDescent="0.25">
      <c r="A1308" s="26">
        <v>15.28</v>
      </c>
      <c r="B1308">
        <v>15.23</v>
      </c>
      <c r="C1308">
        <v>1.98</v>
      </c>
      <c r="D1308" s="2">
        <v>43255</v>
      </c>
      <c r="E1308">
        <v>15.28</v>
      </c>
      <c r="F1308">
        <v>0</v>
      </c>
      <c r="G1308">
        <v>-4.9999999999998934E-2</v>
      </c>
    </row>
    <row r="1309" spans="1:12" x14ac:dyDescent="0.25">
      <c r="G13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4D16-4E98-4219-8C6A-64C957EFE7AD}">
  <dimension ref="A1:AX1047"/>
  <sheetViews>
    <sheetView workbookViewId="0">
      <selection activeCell="K30" sqref="K30"/>
    </sheetView>
  </sheetViews>
  <sheetFormatPr defaultRowHeight="15" x14ac:dyDescent="0.25"/>
  <cols>
    <col min="1" max="1" width="10.5703125" bestFit="1" customWidth="1"/>
    <col min="2" max="2" width="32.42578125" bestFit="1" customWidth="1"/>
    <col min="3" max="3" width="24.28515625" bestFit="1" customWidth="1"/>
    <col min="8" max="8" width="9.5703125" bestFit="1" customWidth="1"/>
    <col min="9" max="9" width="11.7109375" bestFit="1" customWidth="1"/>
    <col min="10" max="11" width="9.5703125" bestFit="1" customWidth="1"/>
    <col min="12" max="12" width="11.7109375" bestFit="1" customWidth="1"/>
    <col min="13" max="14" width="9.5703125" bestFit="1" customWidth="1"/>
    <col min="15" max="15" width="11.7109375" bestFit="1" customWidth="1"/>
    <col min="16" max="16" width="9.5703125" bestFit="1" customWidth="1"/>
    <col min="18" max="18" width="10.5703125" bestFit="1" customWidth="1"/>
    <col min="19" max="19" width="44.28515625" bestFit="1" customWidth="1"/>
    <col min="20" max="21" width="45.42578125" bestFit="1" customWidth="1"/>
    <col min="22" max="22" width="46.28515625" bestFit="1" customWidth="1"/>
    <col min="24" max="24" width="10.5703125" bestFit="1" customWidth="1"/>
    <col min="25" max="25" width="37.28515625" bestFit="1" customWidth="1"/>
    <col min="26" max="26" width="33.28515625" bestFit="1" customWidth="1"/>
    <col min="27" max="27" width="36.85546875" bestFit="1" customWidth="1"/>
    <col min="28" max="28" width="32.85546875" bestFit="1" customWidth="1"/>
    <col min="29" max="31" width="12.7109375" bestFit="1" customWidth="1"/>
  </cols>
  <sheetData>
    <row r="1" spans="1:50" x14ac:dyDescent="0.25">
      <c r="A1" t="str">
        <f ca="1">_xll.ICEFormulas(B1:D1,B2:D2,"",EDATE(TODAY(),-48),TODAY(),,"DayOfWeek=12345")</f>
        <v>Formula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77</v>
      </c>
      <c r="I1" t="s">
        <v>78</v>
      </c>
      <c r="J1" t="s">
        <v>79</v>
      </c>
      <c r="K1" t="s">
        <v>77</v>
      </c>
      <c r="L1" t="s">
        <v>78</v>
      </c>
      <c r="M1" t="s">
        <v>79</v>
      </c>
      <c r="N1" t="s">
        <v>77</v>
      </c>
      <c r="O1" t="s">
        <v>78</v>
      </c>
      <c r="P1" t="s">
        <v>79</v>
      </c>
      <c r="R1" t="str">
        <f ca="1">_xll.ICEFormulas(S1:V1,S2:V2,"",EDATE(TODAY(),-20),TODAY(),,"DayOfWeek=12345")</f>
        <v>Formula</v>
      </c>
      <c r="S1" t="s">
        <v>406</v>
      </c>
      <c r="T1" t="s">
        <v>407</v>
      </c>
      <c r="U1" t="s">
        <v>408</v>
      </c>
      <c r="V1" t="s">
        <v>409</v>
      </c>
      <c r="X1" t="str">
        <f ca="1">_xll.ICEFormulas(Y1:AB1,Y2:AB2,"",EDATE(TODAY(),-48),TODAY(),,"DayOfWeek=12345")</f>
        <v>Formula</v>
      </c>
      <c r="Y1" t="s">
        <v>410</v>
      </c>
      <c r="Z1" t="s">
        <v>411</v>
      </c>
      <c r="AA1" t="s">
        <v>412</v>
      </c>
      <c r="AB1" t="s">
        <v>413</v>
      </c>
      <c r="AC1" t="s">
        <v>414</v>
      </c>
      <c r="AD1" t="s">
        <v>415</v>
      </c>
      <c r="AE1" t="s">
        <v>416</v>
      </c>
      <c r="AF1" t="s">
        <v>417</v>
      </c>
      <c r="AH1" t="s">
        <v>418</v>
      </c>
      <c r="AI1" t="s">
        <v>419</v>
      </c>
      <c r="AJ1" t="s">
        <v>416</v>
      </c>
      <c r="AK1" t="s">
        <v>417</v>
      </c>
      <c r="AM1" t="s">
        <v>420</v>
      </c>
      <c r="AN1" t="s">
        <v>421</v>
      </c>
      <c r="AO1" t="s">
        <v>416</v>
      </c>
      <c r="AP1" t="s">
        <v>417</v>
      </c>
      <c r="AR1" t="s">
        <v>422</v>
      </c>
      <c r="AS1" t="s">
        <v>423</v>
      </c>
      <c r="AT1" t="s">
        <v>416</v>
      </c>
      <c r="AU1" t="s">
        <v>417</v>
      </c>
      <c r="AW1" t="s">
        <v>80</v>
      </c>
      <c r="AX1" t="s">
        <v>81</v>
      </c>
    </row>
    <row r="2" spans="1:50" x14ac:dyDescent="0.25">
      <c r="B2" t="s">
        <v>424</v>
      </c>
      <c r="C2" t="s">
        <v>425</v>
      </c>
      <c r="D2" t="s">
        <v>426</v>
      </c>
      <c r="S2" t="s">
        <v>427</v>
      </c>
      <c r="T2" t="s">
        <v>428</v>
      </c>
      <c r="U2" t="s">
        <v>429</v>
      </c>
      <c r="V2" t="s">
        <v>430</v>
      </c>
      <c r="Y2" t="s">
        <v>431</v>
      </c>
      <c r="Z2" t="s">
        <v>432</v>
      </c>
      <c r="AA2" t="s">
        <v>433</v>
      </c>
      <c r="AB2" t="s">
        <v>434</v>
      </c>
    </row>
    <row r="3" spans="1:50" x14ac:dyDescent="0.25">
      <c r="A3" s="4">
        <f>DATE(2024,7,26)</f>
        <v>45499</v>
      </c>
      <c r="R3" s="4">
        <f>DATE(2024,7,26)</f>
        <v>45499</v>
      </c>
      <c r="X3" s="4">
        <f>DATE(2024,7,26)</f>
        <v>45499</v>
      </c>
      <c r="Z3">
        <v>20.889497976092297</v>
      </c>
    </row>
    <row r="4" spans="1:50" x14ac:dyDescent="0.25">
      <c r="A4" s="4">
        <f>DATE(2024,7,25)</f>
        <v>45498</v>
      </c>
      <c r="B4">
        <v>-3.4694853997122799E-2</v>
      </c>
      <c r="C4">
        <v>45.194453669454852</v>
      </c>
      <c r="D4">
        <v>0.30866906941515132</v>
      </c>
      <c r="E4">
        <f>(B4-AVERAGE(B4:B133))/_xlfn.STDEV.S(B4:B133)</f>
        <v>-0.20496113646667524</v>
      </c>
      <c r="F4">
        <f>(C4-AVERAGE(C4:C133))/_xlfn.STDEV.S(C4:C133)</f>
        <v>-0.32501321272175382</v>
      </c>
      <c r="G4">
        <f>(D4-AVERAGE(D4:D133))/_xlfn.STDEV.S(D4:D133)</f>
        <v>-0.59107147341859601</v>
      </c>
      <c r="H4" s="2" t="str">
        <f>IF(AVERAGEA(C4:C24)&gt;AVERAGE(C25:C45),"Higher","Lower")</f>
        <v>Lower</v>
      </c>
      <c r="I4" s="2" t="str">
        <f>IF(AVERAGEA(C4:C59)&gt;AVERAGE(C60:C115),"Higher","Lower")</f>
        <v>Lower</v>
      </c>
      <c r="J4" s="2" t="str">
        <f>IF(AVERAGEA(C4:C116)&gt;AVERAGE(C117:C229),"Higher","Lower")</f>
        <v>Higher</v>
      </c>
      <c r="K4" s="2" t="str">
        <f>IF(AVERAGEA(B4:B24)&gt;AVERAGE(B25:B45),"Higher","Lower")</f>
        <v>Higher</v>
      </c>
      <c r="L4" s="2" t="str">
        <f>IF(AVERAGEA(B4:B59)&gt;AVERAGE(B60:B115),"Higher","Lower")</f>
        <v>Lower</v>
      </c>
      <c r="M4" s="2" t="str">
        <f>IF(AVERAGEA(B4:B116)&gt;AVERAGE(B117:B229),"Higher","Lower")</f>
        <v>Higher</v>
      </c>
      <c r="N4" s="2" t="str">
        <f>IF(AVERAGEA(D4:D24)&gt;AVERAGE(D25:D45),"Higher","Lower")</f>
        <v>Higher</v>
      </c>
      <c r="O4" s="2" t="str">
        <f>IF(AVERAGEA(D4:D59)&gt;AVERAGE(D60:D115),"Higher","Lower")</f>
        <v>Lower</v>
      </c>
      <c r="P4" s="2" t="str">
        <f>IF(AVERAGEA(D4:D116)&gt;AVERAGE(D117:D229),"Higher","Lower")</f>
        <v>Higher</v>
      </c>
      <c r="R4" s="4">
        <f>DATE(2024,7,25)</f>
        <v>45498</v>
      </c>
      <c r="S4">
        <v>0.76555618818839233</v>
      </c>
      <c r="T4">
        <v>0.3431850442289</v>
      </c>
      <c r="U4">
        <v>0.20839515006768705</v>
      </c>
      <c r="V4">
        <v>0.83807799983342757</v>
      </c>
      <c r="X4" s="4">
        <f>DATE(2024,7,25)</f>
        <v>45498</v>
      </c>
      <c r="Y4">
        <v>19.500474312139005</v>
      </c>
      <c r="Z4">
        <v>22.496371501326152</v>
      </c>
      <c r="AA4">
        <v>67.289999999999992</v>
      </c>
      <c r="AB4">
        <v>31.907500000000002</v>
      </c>
      <c r="AC4">
        <f>IFERROR(LN(AA4/AA9),"")</f>
        <v>1.2298530806354858E-2</v>
      </c>
      <c r="AD4">
        <f>IFERROR(LN(AB4/AB9),"")</f>
        <v>-1.7806514285177214E-2</v>
      </c>
      <c r="AE4">
        <f>IFERROR(AD4-AC4,"")</f>
        <v>-3.0105045091532071E-2</v>
      </c>
      <c r="AF4">
        <f>IFERROR((AE4-AVERAGEA(AE4:AE526))/_xlfn.STDEV.S(AE4:AE521),"")</f>
        <v>-0.18840881781247201</v>
      </c>
      <c r="AH4">
        <f>IFERROR(LN(AA4/AA24),"")</f>
        <v>6.0369104526770941E-3</v>
      </c>
      <c r="AI4">
        <f>IFERROR(LN(AB4/AB24),"")</f>
        <v>-7.6813032934462427E-2</v>
      </c>
      <c r="AJ4">
        <f>IFERROR(AI4-AH4,"")</f>
        <v>-8.2849943387139524E-2</v>
      </c>
      <c r="AK4">
        <f>IFERROR((AJ4-AVERAGEA(AJ4:AJ526))/_xlfn.STDEV.S(AJ4:AJ521),"")</f>
        <v>-0.16669852908861368</v>
      </c>
      <c r="AM4">
        <f>IFERROR(LN(AA4/AA64),"")</f>
        <v>-5.865578135212788E-2</v>
      </c>
      <c r="AN4">
        <f>IFERROR(LN(AB4/AB64),"")</f>
        <v>4.9007221337421664E-2</v>
      </c>
      <c r="AO4">
        <f>IFERROR(AN4-AM4,"")</f>
        <v>0.10766300268954954</v>
      </c>
      <c r="AP4">
        <f>IFERROR((AO4-AVERAGEA(AO4:AO526))/_xlfn.STDEV.S(AO4:AO521),"")</f>
        <v>0.43662160312328352</v>
      </c>
      <c r="AR4">
        <f>IFERROR(LN(AA4/AA204),"")</f>
        <v>-0.1934608002410812</v>
      </c>
      <c r="AS4">
        <f>IFERROR(LN(AB4/AB204),"")</f>
        <v>-0.43806535291860349</v>
      </c>
      <c r="AT4">
        <f>IFERROR(AS4-AR4,"")</f>
        <v>-0.24460455267752229</v>
      </c>
      <c r="AU4">
        <f>IFERROR((AT4-AVERAGEA(AT4:AT526))/_xlfn.STDEV.S(AT4:AT521),"")</f>
        <v>0.12078469529540399</v>
      </c>
      <c r="AW4" cm="1">
        <f t="array" ref="AW4:AW26">_xlfn._xlws.FILTER(_xlfn.SORTBY(C4:C26,A4:A26), _xlfn.SORTBY(C4:C26,A4:A26)&gt;0)</f>
        <v>40.550431230541506</v>
      </c>
      <c r="AX4" cm="1">
        <f t="array" ref="AX4:AX25">_xlfn._xlws.FILTER(_xlfn.SORTBY(D4:D26,A4:A26),_xlfn.SORTBY(D4:D26,A4:A26)&gt;0)</f>
        <v>0.19360949552027382</v>
      </c>
    </row>
    <row r="5" spans="1:50" x14ac:dyDescent="0.25">
      <c r="A5" s="4">
        <f>DATE(2024,7,24)</f>
        <v>45497</v>
      </c>
      <c r="B5">
        <v>-7.2933909328869118E-2</v>
      </c>
      <c r="C5">
        <v>50.84712386015881</v>
      </c>
      <c r="D5">
        <v>0.55583563976452188</v>
      </c>
      <c r="E5">
        <f t="shared" ref="E5:E68" si="0">(B5-AVERAGE(B5:B134))/_xlfn.STDEV.S(B5:B134)</f>
        <v>-0.27847279116114376</v>
      </c>
      <c r="F5">
        <f t="shared" ref="F5:F68" si="1">(C5-AVERAGE(C5:C134))/_xlfn.STDEV.S(C5:C134)</f>
        <v>0.23430251168522703</v>
      </c>
      <c r="G5">
        <f t="shared" ref="G5:G68" si="2">(D5-AVERAGE(D5:D134))/_xlfn.STDEV.S(D5:D134)</f>
        <v>0.1919403428527085</v>
      </c>
      <c r="H5" s="2" t="str">
        <f t="shared" ref="H5:H68" si="3">IF(AVERAGEA(C5:C25)&gt;AVERAGE(C26:C46),"Higher","Lower")</f>
        <v>Lower</v>
      </c>
      <c r="I5" s="2" t="str">
        <f t="shared" ref="I5:I68" si="4">IF(AVERAGEA(C5:C60)&gt;AVERAGE(C61:C116),"Higher","Lower")</f>
        <v>Lower</v>
      </c>
      <c r="J5" s="2" t="str">
        <f t="shared" ref="J5:J68" si="5">IF(AVERAGEA(C5:C117)&gt;AVERAGE(C118:C230),"Higher","Lower")</f>
        <v>Higher</v>
      </c>
      <c r="K5" s="2" t="str">
        <f t="shared" ref="K5:K68" si="6">IF(AVERAGEA(B5:B25)&gt;AVERAGE(B26:B46),"Higher","Lower")</f>
        <v>Higher</v>
      </c>
      <c r="L5" s="2" t="str">
        <f t="shared" ref="L5:L68" si="7">IF(AVERAGEA(B5:B60)&gt;AVERAGE(B61:B116),"Higher","Lower")</f>
        <v>Lower</v>
      </c>
      <c r="M5" s="2" t="str">
        <f t="shared" ref="M5:M68" si="8">IF(AVERAGEA(B5:B117)&gt;AVERAGE(B118:B230),"Higher","Lower")</f>
        <v>Higher</v>
      </c>
      <c r="N5" s="2" t="str">
        <f t="shared" ref="N5:N68" si="9">IF(AVERAGEA(D5:D25)&gt;AVERAGE(D26:D46),"Higher","Lower")</f>
        <v>Higher</v>
      </c>
      <c r="O5" s="2" t="str">
        <f t="shared" ref="O5:O68" si="10">IF(AVERAGEA(D5:D60)&gt;AVERAGE(D61:D116),"Higher","Lower")</f>
        <v>Lower</v>
      </c>
      <c r="P5" s="2" t="str">
        <f t="shared" ref="P5:P68" si="11">IF(AVERAGEA(D5:D117)&gt;AVERAGE(D118:D230),"Higher","Lower")</f>
        <v>Higher</v>
      </c>
      <c r="R5" s="4">
        <f>DATE(2024,7,24)</f>
        <v>45497</v>
      </c>
      <c r="S5">
        <v>0.73856945802828988</v>
      </c>
      <c r="T5">
        <v>0.34719992510382719</v>
      </c>
      <c r="U5">
        <v>0.25341375475885058</v>
      </c>
      <c r="V5">
        <v>0.83644930615390589</v>
      </c>
      <c r="X5" s="4">
        <f>DATE(2024,7,24)</f>
        <v>45497</v>
      </c>
      <c r="Y5">
        <v>21.217067958122936</v>
      </c>
      <c r="Z5">
        <v>23.846496698415748</v>
      </c>
      <c r="AA5">
        <v>67.852499999999992</v>
      </c>
      <c r="AB5">
        <v>32.426749999999998</v>
      </c>
      <c r="AC5">
        <f t="shared" ref="AC5:AC68" si="12">IFERROR(LN(AA5/AA10),"")</f>
        <v>1.4062528828917099E-2</v>
      </c>
      <c r="AD5">
        <f t="shared" ref="AD5:AD68" si="13">IFERROR(LN(AB5/AB10),"")</f>
        <v>8.2913501478030852E-3</v>
      </c>
      <c r="AE5">
        <f t="shared" ref="AE5:AE68" si="14">IFERROR(AD5-AC5,"")</f>
        <v>-5.7711786811140142E-3</v>
      </c>
      <c r="AF5">
        <f t="shared" ref="AF5:AF68" si="15">IFERROR((AE5-AVERAGEA(AE5:AE527))/_xlfn.STDEV.S(AE5:AE522),"")</f>
        <v>4.5017470565103433E-2</v>
      </c>
      <c r="AH5">
        <f t="shared" ref="AH5:AH68" si="16">IFERROR(LN(AA5/AA25),"")</f>
        <v>6.1720606170482537E-3</v>
      </c>
      <c r="AI5">
        <f t="shared" ref="AI5:AI68" si="17">IFERROR(LN(AB5/AB25),"")</f>
        <v>-5.1939927773974506E-2</v>
      </c>
      <c r="AJ5">
        <f t="shared" ref="AJ5:AJ68" si="18">IFERROR(AI5-AH5,"")</f>
        <v>-5.8111988391022759E-2</v>
      </c>
      <c r="AK5">
        <f t="shared" ref="AK5:AK68" si="19">IFERROR((AJ5-AVERAGEA(AJ5:AJ527))/_xlfn.STDEV.S(AJ5:AJ522),"")</f>
        <v>-6.1652487207887428E-2</v>
      </c>
      <c r="AM5">
        <f t="shared" ref="AM5:AM68" si="20">IFERROR(LN(AA5/AA65),"")</f>
        <v>-3.0901691073100565E-3</v>
      </c>
      <c r="AN5">
        <f t="shared" ref="AN5:AN68" si="21">IFERROR(LN(AB5/AB65),"")</f>
        <v>0.12043289250707789</v>
      </c>
      <c r="AO5">
        <f t="shared" ref="AO5:AO68" si="22">IFERROR(AN5-AM5,"")</f>
        <v>0.12352306161438795</v>
      </c>
      <c r="AP5">
        <f t="shared" ref="AP5:AP68" si="23">IFERROR((AO5-AVERAGEA(AO5:AO527))/_xlfn.STDEV.S(AO5:AO522),"")</f>
        <v>0.46424786021525721</v>
      </c>
      <c r="AR5">
        <f t="shared" ref="AR5:AR68" si="24">IFERROR(LN(AA5/AA205),"")</f>
        <v>-0.19111931232062906</v>
      </c>
      <c r="AS5">
        <f t="shared" ref="AS5:AS68" si="25">IFERROR(LN(AB5/AB205),"")</f>
        <v>-0.43748441184259101</v>
      </c>
      <c r="AT5">
        <f t="shared" ref="AT5:AT68" si="26">IFERROR(AS5-AR5,"")</f>
        <v>-0.24636509952196195</v>
      </c>
      <c r="AU5">
        <f t="shared" ref="AU5:AU68" si="27">IFERROR((AT5-AVERAGEA(AT5:AT527))/_xlfn.STDEV.S(AT5:AT522),"")</f>
        <v>0.11729995509889932</v>
      </c>
      <c r="AW5">
        <v>37.603854110072163</v>
      </c>
      <c r="AX5">
        <v>0.13101055051344948</v>
      </c>
    </row>
    <row r="6" spans="1:50" x14ac:dyDescent="0.25">
      <c r="A6" s="4">
        <f>DATE(2024,7,23)</f>
        <v>45496</v>
      </c>
      <c r="B6">
        <v>-0.27894151389675603</v>
      </c>
      <c r="C6">
        <v>38.975629701584253</v>
      </c>
      <c r="D6">
        <v>0.159291983217689</v>
      </c>
      <c r="E6">
        <f t="shared" si="0"/>
        <v>-0.70085675687550752</v>
      </c>
      <c r="F6">
        <f t="shared" si="1"/>
        <v>-0.91213716939360789</v>
      </c>
      <c r="G6">
        <f t="shared" si="2"/>
        <v>-1.0535649267032821</v>
      </c>
      <c r="H6" s="2" t="str">
        <f t="shared" si="3"/>
        <v>Lower</v>
      </c>
      <c r="I6" s="2" t="str">
        <f t="shared" si="4"/>
        <v>Lower</v>
      </c>
      <c r="J6" s="2" t="str">
        <f t="shared" si="5"/>
        <v>Higher</v>
      </c>
      <c r="K6" s="2" t="str">
        <f t="shared" si="6"/>
        <v>Higher</v>
      </c>
      <c r="L6" s="2" t="str">
        <f t="shared" si="7"/>
        <v>Lower</v>
      </c>
      <c r="M6" s="2" t="str">
        <f t="shared" si="8"/>
        <v>Higher</v>
      </c>
      <c r="N6" s="2" t="str">
        <f t="shared" si="9"/>
        <v>Higher</v>
      </c>
      <c r="O6" s="2" t="str">
        <f t="shared" si="10"/>
        <v>Lower</v>
      </c>
      <c r="P6" s="2" t="str">
        <f t="shared" si="11"/>
        <v>Higher</v>
      </c>
      <c r="R6" s="4">
        <f>DATE(2024,7,23)</f>
        <v>45496</v>
      </c>
      <c r="S6">
        <v>0.49868705913644001</v>
      </c>
      <c r="T6">
        <v>0.36958157944142356</v>
      </c>
      <c r="U6">
        <v>0.27942953167909529</v>
      </c>
      <c r="V6">
        <v>0.83490909296270088</v>
      </c>
      <c r="X6" s="4">
        <f>DATE(2024,7,23)</f>
        <v>45496</v>
      </c>
      <c r="Y6">
        <v>13.023898311676813</v>
      </c>
      <c r="Z6">
        <v>18.773591186761866</v>
      </c>
      <c r="AA6">
        <v>65.490000000000009</v>
      </c>
      <c r="AB6">
        <v>31.602249999999998</v>
      </c>
      <c r="AC6">
        <f t="shared" si="12"/>
        <v>-3.5770319024137125E-2</v>
      </c>
      <c r="AD6">
        <f t="shared" si="13"/>
        <v>-2.8849878971906461E-2</v>
      </c>
      <c r="AE6">
        <f t="shared" si="14"/>
        <v>6.9204400522306642E-3</v>
      </c>
      <c r="AF6">
        <f t="shared" si="15"/>
        <v>0.16660438192637753</v>
      </c>
      <c r="AH6">
        <f t="shared" si="16"/>
        <v>-3.3040999290553874E-2</v>
      </c>
      <c r="AI6">
        <f t="shared" si="17"/>
        <v>-9.427476366200814E-2</v>
      </c>
      <c r="AJ6">
        <f t="shared" si="18"/>
        <v>-6.1233764371454266E-2</v>
      </c>
      <c r="AK6">
        <f t="shared" si="19"/>
        <v>-7.8155295138178857E-2</v>
      </c>
      <c r="AM6">
        <f t="shared" si="20"/>
        <v>-3.7683772654754262E-2</v>
      </c>
      <c r="AN6">
        <f t="shared" si="21"/>
        <v>8.4287292959238605E-2</v>
      </c>
      <c r="AO6">
        <f t="shared" si="22"/>
        <v>0.12197106561399287</v>
      </c>
      <c r="AP6">
        <f t="shared" si="23"/>
        <v>0.45805567713670853</v>
      </c>
      <c r="AR6">
        <f t="shared" si="24"/>
        <v>-0.23168840268498922</v>
      </c>
      <c r="AS6">
        <f t="shared" si="25"/>
        <v>-0.4262043421179445</v>
      </c>
      <c r="AT6">
        <f t="shared" si="26"/>
        <v>-0.19451593943295528</v>
      </c>
      <c r="AU6">
        <f t="shared" si="27"/>
        <v>0.17575419811980417</v>
      </c>
      <c r="AW6">
        <v>36.8465799476431</v>
      </c>
      <c r="AX6">
        <v>0.12517956174670225</v>
      </c>
    </row>
    <row r="7" spans="1:50" x14ac:dyDescent="0.25">
      <c r="A7" s="4">
        <f>DATE(2024,7,22)</f>
        <v>45495</v>
      </c>
      <c r="B7">
        <v>-0.2998701853732364</v>
      </c>
      <c r="C7">
        <v>33.341751760456212</v>
      </c>
      <c r="D7">
        <v>-3.7644425905242238E-2</v>
      </c>
      <c r="E7">
        <f t="shared" si="0"/>
        <v>-0.72578290383690602</v>
      </c>
      <c r="F7">
        <f t="shared" si="1"/>
        <v>-1.4443502869920757</v>
      </c>
      <c r="G7">
        <f t="shared" si="2"/>
        <v>-1.6770342884132194</v>
      </c>
      <c r="H7" s="2" t="str">
        <f t="shared" si="3"/>
        <v>Lower</v>
      </c>
      <c r="I7" s="2" t="str">
        <f t="shared" si="4"/>
        <v>Lower</v>
      </c>
      <c r="J7" s="2" t="str">
        <f t="shared" si="5"/>
        <v>Higher</v>
      </c>
      <c r="K7" s="2" t="str">
        <f t="shared" si="6"/>
        <v>Higher</v>
      </c>
      <c r="L7" s="2" t="str">
        <f t="shared" si="7"/>
        <v>Lower</v>
      </c>
      <c r="M7" s="2" t="str">
        <f t="shared" si="8"/>
        <v>Higher</v>
      </c>
      <c r="N7" s="2" t="str">
        <f t="shared" si="9"/>
        <v>Lower</v>
      </c>
      <c r="O7" s="2" t="str">
        <f t="shared" si="10"/>
        <v>Lower</v>
      </c>
      <c r="P7" s="2" t="str">
        <f t="shared" si="11"/>
        <v>Higher</v>
      </c>
      <c r="R7" s="4">
        <f>DATE(2024,7,22)</f>
        <v>45495</v>
      </c>
      <c r="S7">
        <v>0.75100177792286305</v>
      </c>
      <c r="T7">
        <v>0.29814740876418472</v>
      </c>
      <c r="U7">
        <v>0.28266245459457812</v>
      </c>
      <c r="V7">
        <v>0.83436406842011124</v>
      </c>
      <c r="X7" s="4">
        <f>DATE(2024,7,22)</f>
        <v>45495</v>
      </c>
      <c r="Y7">
        <v>14.051656045800906</v>
      </c>
      <c r="Z7">
        <v>19.366720795896448</v>
      </c>
      <c r="AA7">
        <v>65.117500000000007</v>
      </c>
      <c r="AB7">
        <v>31.705749999999998</v>
      </c>
      <c r="AC7">
        <f t="shared" si="12"/>
        <v>-4.3130534455125429E-2</v>
      </c>
      <c r="AD7">
        <f t="shared" si="13"/>
        <v>8.5204617305052119E-3</v>
      </c>
      <c r="AE7">
        <f t="shared" si="14"/>
        <v>5.165099618563064E-2</v>
      </c>
      <c r="AF7">
        <f t="shared" si="15"/>
        <v>0.59959084339224422</v>
      </c>
      <c r="AH7">
        <f t="shared" si="16"/>
        <v>-3.5897229861605193E-2</v>
      </c>
      <c r="AI7">
        <f t="shared" si="17"/>
        <v>-7.3605458447959043E-2</v>
      </c>
      <c r="AJ7">
        <f t="shared" si="18"/>
        <v>-3.7708228586353851E-2</v>
      </c>
      <c r="AK7">
        <f t="shared" si="19"/>
        <v>2.2720586635101639E-2</v>
      </c>
      <c r="AM7">
        <f t="shared" si="20"/>
        <v>-1.0996254515553916E-2</v>
      </c>
      <c r="AN7">
        <f t="shared" si="21"/>
        <v>0.12450785094858255</v>
      </c>
      <c r="AO7">
        <f t="shared" si="22"/>
        <v>0.13550410546413647</v>
      </c>
      <c r="AP7">
        <f t="shared" si="23"/>
        <v>0.4820147946713273</v>
      </c>
      <c r="AR7">
        <f t="shared" si="24"/>
        <v>-0.25352167131746017</v>
      </c>
      <c r="AS7">
        <f t="shared" si="25"/>
        <v>-0.44637824913324287</v>
      </c>
      <c r="AT7">
        <f t="shared" si="26"/>
        <v>-0.19285657781578269</v>
      </c>
      <c r="AU7">
        <f t="shared" si="27"/>
        <v>0.17665269875810954</v>
      </c>
      <c r="AW7">
        <v>40.797145360177687</v>
      </c>
      <c r="AX7">
        <v>0.23480247676361454</v>
      </c>
    </row>
    <row r="8" spans="1:50" x14ac:dyDescent="0.25">
      <c r="A8" s="4">
        <f>DATE(2024,7,19)</f>
        <v>45492</v>
      </c>
      <c r="B8">
        <v>-0.1948136655849424</v>
      </c>
      <c r="C8">
        <v>38.505798068425875</v>
      </c>
      <c r="D8">
        <v>0.15190885372559548</v>
      </c>
      <c r="E8">
        <f t="shared" si="0"/>
        <v>-0.4881331914367687</v>
      </c>
      <c r="F8">
        <f t="shared" si="1"/>
        <v>-0.93594991229268854</v>
      </c>
      <c r="G8">
        <f t="shared" si="2"/>
        <v>-1.0883098727749527</v>
      </c>
      <c r="H8" s="2" t="str">
        <f t="shared" si="3"/>
        <v>Lower</v>
      </c>
      <c r="I8" s="2" t="str">
        <f t="shared" si="4"/>
        <v>Lower</v>
      </c>
      <c r="J8" s="2" t="str">
        <f t="shared" si="5"/>
        <v>Higher</v>
      </c>
      <c r="K8" s="2" t="str">
        <f t="shared" si="6"/>
        <v>Higher</v>
      </c>
      <c r="L8" s="2" t="str">
        <f t="shared" si="7"/>
        <v>Lower</v>
      </c>
      <c r="M8" s="2" t="str">
        <f t="shared" si="8"/>
        <v>Higher</v>
      </c>
      <c r="N8" s="2" t="str">
        <f t="shared" si="9"/>
        <v>Lower</v>
      </c>
      <c r="O8" s="2" t="str">
        <f t="shared" si="10"/>
        <v>Lower</v>
      </c>
      <c r="P8" s="2" t="str">
        <f t="shared" si="11"/>
        <v>Higher</v>
      </c>
      <c r="R8" s="4">
        <f>DATE(2024,7,19)</f>
        <v>45492</v>
      </c>
      <c r="S8">
        <v>-1.4182100644565085E-2</v>
      </c>
      <c r="T8">
        <v>0.23491082636115934</v>
      </c>
      <c r="U8">
        <v>0.30790344594751617</v>
      </c>
      <c r="V8">
        <v>0.8351002963590588</v>
      </c>
      <c r="X8" s="4">
        <f>DATE(2024,7,19)</f>
        <v>45492</v>
      </c>
      <c r="Y8">
        <v>15.515924264394593</v>
      </c>
      <c r="Z8">
        <v>20.532013152286499</v>
      </c>
      <c r="AA8">
        <v>66.452499999999986</v>
      </c>
      <c r="AB8">
        <v>32.14875</v>
      </c>
      <c r="AC8">
        <f t="shared" si="12"/>
        <v>-3.6168771295673523E-2</v>
      </c>
      <c r="AD8">
        <f t="shared" si="13"/>
        <v>1.5295826308931089E-2</v>
      </c>
      <c r="AE8">
        <f t="shared" si="14"/>
        <v>5.146459760460461E-2</v>
      </c>
      <c r="AF8">
        <f t="shared" si="15"/>
        <v>0.59408085469166061</v>
      </c>
      <c r="AH8">
        <f t="shared" si="16"/>
        <v>-2.9360451257184852E-2</v>
      </c>
      <c r="AI8">
        <f t="shared" si="17"/>
        <v>-5.8168397389968422E-2</v>
      </c>
      <c r="AJ8">
        <f t="shared" si="18"/>
        <v>-2.880794613278357E-2</v>
      </c>
      <c r="AK8">
        <f t="shared" si="19"/>
        <v>5.8986977607631032E-2</v>
      </c>
      <c r="AM8">
        <f t="shared" si="20"/>
        <v>-1.4194702494561796E-2</v>
      </c>
      <c r="AN8">
        <f t="shared" si="21"/>
        <v>9.5152332314996896E-2</v>
      </c>
      <c r="AO8">
        <f t="shared" si="22"/>
        <v>0.10934703480955869</v>
      </c>
      <c r="AP8">
        <f t="shared" si="23"/>
        <v>0.42807101370570555</v>
      </c>
      <c r="AR8">
        <f t="shared" si="24"/>
        <v>-0.25561900853713221</v>
      </c>
      <c r="AS8">
        <f t="shared" si="25"/>
        <v>-0.51312788230018691</v>
      </c>
      <c r="AT8">
        <f t="shared" si="26"/>
        <v>-0.2575088737630547</v>
      </c>
      <c r="AU8">
        <f t="shared" si="27"/>
        <v>0.10132517985914533</v>
      </c>
      <c r="AW8">
        <v>43.554005573012461</v>
      </c>
      <c r="AX8">
        <v>0.31682047362965404</v>
      </c>
    </row>
    <row r="9" spans="1:50" x14ac:dyDescent="0.25">
      <c r="A9" s="4">
        <f>DATE(2024,7,18)</f>
        <v>45491</v>
      </c>
      <c r="B9">
        <v>-0.16234119172775852</v>
      </c>
      <c r="C9">
        <v>39.002828679031147</v>
      </c>
      <c r="D9">
        <v>0.14214617987088993</v>
      </c>
      <c r="E9">
        <f t="shared" si="0"/>
        <v>-0.40031336558433217</v>
      </c>
      <c r="F9">
        <f t="shared" si="1"/>
        <v>-0.87559420584532288</v>
      </c>
      <c r="G9">
        <f t="shared" si="2"/>
        <v>-1.1182811030152464</v>
      </c>
      <c r="H9" s="2" t="str">
        <f t="shared" si="3"/>
        <v>Lower</v>
      </c>
      <c r="I9" s="2" t="str">
        <f t="shared" si="4"/>
        <v>Higher</v>
      </c>
      <c r="J9" s="2" t="str">
        <f t="shared" si="5"/>
        <v>Higher</v>
      </c>
      <c r="K9" s="2" t="str">
        <f t="shared" si="6"/>
        <v>Higher</v>
      </c>
      <c r="L9" s="2" t="str">
        <f t="shared" si="7"/>
        <v>Lower</v>
      </c>
      <c r="M9" s="2" t="str">
        <f t="shared" si="8"/>
        <v>Higher</v>
      </c>
      <c r="N9" s="2" t="str">
        <f t="shared" si="9"/>
        <v>Lower</v>
      </c>
      <c r="O9" s="2" t="str">
        <f t="shared" si="10"/>
        <v>Lower</v>
      </c>
      <c r="P9" s="2" t="str">
        <f t="shared" si="11"/>
        <v>Higher</v>
      </c>
      <c r="R9" s="4">
        <f>DATE(2024,7,18)</f>
        <v>45491</v>
      </c>
      <c r="S9">
        <v>-0.28057673924581467</v>
      </c>
      <c r="T9">
        <v>0.18251702057223709</v>
      </c>
      <c r="U9">
        <v>0.34502969849987103</v>
      </c>
      <c r="V9">
        <v>0.83414216702723731</v>
      </c>
      <c r="X9" s="4">
        <f>DATE(2024,7,18)</f>
        <v>45491</v>
      </c>
      <c r="Y9">
        <v>14.558480659468447</v>
      </c>
      <c r="Z9">
        <v>21.712775721606651</v>
      </c>
      <c r="AA9">
        <v>66.467500000000001</v>
      </c>
      <c r="AB9">
        <v>32.48075</v>
      </c>
      <c r="AC9">
        <f t="shared" si="12"/>
        <v>-2.7086844490099987E-2</v>
      </c>
      <c r="AD9">
        <f t="shared" si="13"/>
        <v>4.6386245710533763E-2</v>
      </c>
      <c r="AE9">
        <f t="shared" si="14"/>
        <v>7.3473090200633751E-2</v>
      </c>
      <c r="AF9">
        <f t="shared" si="15"/>
        <v>0.79791146839788818</v>
      </c>
      <c r="AH9">
        <f t="shared" si="16"/>
        <v>-4.8526842934814636E-2</v>
      </c>
      <c r="AI9">
        <f t="shared" si="17"/>
        <v>-6.6581874369136568E-2</v>
      </c>
      <c r="AJ9">
        <f t="shared" si="18"/>
        <v>-1.8055031434321932E-2</v>
      </c>
      <c r="AK9">
        <f t="shared" si="19"/>
        <v>0.1028611041945358</v>
      </c>
      <c r="AM9">
        <f t="shared" si="20"/>
        <v>-2.7526034922808137E-2</v>
      </c>
      <c r="AN9">
        <f t="shared" si="21"/>
        <v>8.3190544113454043E-2</v>
      </c>
      <c r="AO9">
        <f t="shared" si="22"/>
        <v>0.11071657903626218</v>
      </c>
      <c r="AP9">
        <f t="shared" si="23"/>
        <v>0.42820450418857942</v>
      </c>
      <c r="AR9">
        <f t="shared" si="24"/>
        <v>-0.24479043289743141</v>
      </c>
      <c r="AS9">
        <f t="shared" si="25"/>
        <v>-0.45369446551752618</v>
      </c>
      <c r="AT9">
        <f t="shared" si="26"/>
        <v>-0.20890403262009477</v>
      </c>
      <c r="AU9">
        <f t="shared" si="27"/>
        <v>0.15592523052194593</v>
      </c>
      <c r="AW9">
        <v>53.979245137532871</v>
      </c>
      <c r="AX9">
        <v>0.70421367973351134</v>
      </c>
    </row>
    <row r="10" spans="1:50" x14ac:dyDescent="0.25">
      <c r="A10" s="4">
        <f>DATE(2024,7,17)</f>
        <v>45490</v>
      </c>
      <c r="B10">
        <v>-0.10248008260615349</v>
      </c>
      <c r="C10">
        <v>39.339593500484291</v>
      </c>
      <c r="D10">
        <v>0.11720237091567048</v>
      </c>
      <c r="E10">
        <f t="shared" si="0"/>
        <v>-0.25905981791208255</v>
      </c>
      <c r="F10">
        <f t="shared" si="1"/>
        <v>-0.82671998288141069</v>
      </c>
      <c r="G10">
        <f t="shared" si="2"/>
        <v>-1.1927208740957396</v>
      </c>
      <c r="H10" s="2" t="str">
        <f t="shared" si="3"/>
        <v>Lower</v>
      </c>
      <c r="I10" s="2" t="str">
        <f t="shared" si="4"/>
        <v>Higher</v>
      </c>
      <c r="J10" s="2" t="str">
        <f t="shared" si="5"/>
        <v>Higher</v>
      </c>
      <c r="K10" s="2" t="str">
        <f t="shared" si="6"/>
        <v>Higher</v>
      </c>
      <c r="L10" s="2" t="str">
        <f t="shared" si="7"/>
        <v>Lower</v>
      </c>
      <c r="M10" s="2" t="str">
        <f t="shared" si="8"/>
        <v>Higher</v>
      </c>
      <c r="N10" s="2" t="str">
        <f t="shared" si="9"/>
        <v>Lower</v>
      </c>
      <c r="O10" s="2" t="str">
        <f t="shared" si="10"/>
        <v>Lower</v>
      </c>
      <c r="P10" s="2" t="str">
        <f t="shared" si="11"/>
        <v>Higher</v>
      </c>
      <c r="R10" s="4">
        <f>DATE(2024,7,17)</f>
        <v>45490</v>
      </c>
      <c r="S10">
        <v>-0.12621484979186542</v>
      </c>
      <c r="T10">
        <v>0.16506525150179677</v>
      </c>
      <c r="U10">
        <v>0.37466044462159132</v>
      </c>
      <c r="V10">
        <v>0.83316715573696531</v>
      </c>
      <c r="X10" s="4">
        <f>DATE(2024,7,17)</f>
        <v>45490</v>
      </c>
      <c r="Y10">
        <v>15.112189756542826</v>
      </c>
      <c r="Z10">
        <v>22.918607685504309</v>
      </c>
      <c r="AA10">
        <v>66.905000000000001</v>
      </c>
      <c r="AB10">
        <v>32.158999999999999</v>
      </c>
      <c r="AC10">
        <f t="shared" si="12"/>
        <v>-2.0672666370994235E-2</v>
      </c>
      <c r="AD10">
        <f t="shared" si="13"/>
        <v>3.7528063965076054E-2</v>
      </c>
      <c r="AE10">
        <f t="shared" si="14"/>
        <v>5.8200730336070289E-2</v>
      </c>
      <c r="AF10">
        <f t="shared" si="15"/>
        <v>0.6529304093957804</v>
      </c>
      <c r="AH10">
        <f t="shared" si="16"/>
        <v>-4.5114390695058196E-2</v>
      </c>
      <c r="AI10" t="str">
        <f t="shared" si="17"/>
        <v/>
      </c>
      <c r="AJ10" t="str">
        <f t="shared" si="18"/>
        <v/>
      </c>
      <c r="AK10" t="str">
        <f t="shared" si="19"/>
        <v/>
      </c>
      <c r="AM10">
        <f t="shared" si="20"/>
        <v>9.23464650365214E-3</v>
      </c>
      <c r="AN10">
        <f t="shared" si="21"/>
        <v>0.10714491508970778</v>
      </c>
      <c r="AO10">
        <f t="shared" si="22"/>
        <v>9.7910268586055643E-2</v>
      </c>
      <c r="AP10">
        <f t="shared" si="23"/>
        <v>0.40061628802869231</v>
      </c>
      <c r="AR10">
        <f t="shared" si="24"/>
        <v>-0.22959456181943139</v>
      </c>
      <c r="AS10">
        <f t="shared" si="25"/>
        <v>-0.37594377523522127</v>
      </c>
      <c r="AT10">
        <f t="shared" si="26"/>
        <v>-0.14634921341578988</v>
      </c>
      <c r="AU10">
        <f t="shared" si="27"/>
        <v>0.22657028838538473</v>
      </c>
      <c r="AW10">
        <v>54.291621091576303</v>
      </c>
      <c r="AX10">
        <v>0.73424230080573472</v>
      </c>
    </row>
    <row r="11" spans="1:50" x14ac:dyDescent="0.25">
      <c r="A11" s="4">
        <f>DATE(2024,7,16)</f>
        <v>45489</v>
      </c>
      <c r="B11">
        <v>-4.4760008443689436E-4</v>
      </c>
      <c r="C11">
        <v>44.636737743909443</v>
      </c>
      <c r="D11">
        <v>0.37513347011557696</v>
      </c>
      <c r="E11">
        <f t="shared" si="0"/>
        <v>-4.295212633293316E-2</v>
      </c>
      <c r="F11">
        <f t="shared" si="1"/>
        <v>-0.31685111555973111</v>
      </c>
      <c r="G11">
        <f t="shared" si="2"/>
        <v>-0.37222522599177077</v>
      </c>
      <c r="H11" s="2" t="str">
        <f t="shared" si="3"/>
        <v>Lower</v>
      </c>
      <c r="I11" s="2" t="str">
        <f t="shared" si="4"/>
        <v>Higher</v>
      </c>
      <c r="J11" s="2" t="str">
        <f t="shared" si="5"/>
        <v>Higher</v>
      </c>
      <c r="K11" s="2" t="str">
        <f t="shared" si="6"/>
        <v>Higher</v>
      </c>
      <c r="L11" s="2" t="str">
        <f t="shared" si="7"/>
        <v>Lower</v>
      </c>
      <c r="M11" s="2" t="str">
        <f t="shared" si="8"/>
        <v>Higher</v>
      </c>
      <c r="N11" s="2" t="str">
        <f t="shared" si="9"/>
        <v>Lower</v>
      </c>
      <c r="O11" s="2" t="str">
        <f t="shared" si="10"/>
        <v>Lower</v>
      </c>
      <c r="P11" s="2" t="str">
        <f t="shared" si="11"/>
        <v>Higher</v>
      </c>
      <c r="R11" s="4">
        <f>DATE(2024,7,16)</f>
        <v>45489</v>
      </c>
      <c r="S11">
        <v>8.2454546691662481E-2</v>
      </c>
      <c r="T11">
        <v>0.25700703339531666</v>
      </c>
      <c r="U11">
        <v>0.37933336794547079</v>
      </c>
      <c r="V11">
        <v>0.83258382822909838</v>
      </c>
      <c r="X11" s="4">
        <f>DATE(2024,7,16)</f>
        <v>45489</v>
      </c>
      <c r="Y11">
        <v>16.121778267944268</v>
      </c>
      <c r="Z11">
        <v>23.817531515214309</v>
      </c>
      <c r="AA11">
        <v>67.875</v>
      </c>
      <c r="AB11">
        <v>32.527249999999995</v>
      </c>
      <c r="AC11">
        <f t="shared" si="12"/>
        <v>-1.0734079947775853E-2</v>
      </c>
      <c r="AD11">
        <f t="shared" si="13"/>
        <v>3.3718962833048108E-2</v>
      </c>
      <c r="AE11">
        <f t="shared" si="14"/>
        <v>4.4453042780823959E-2</v>
      </c>
      <c r="AF11">
        <f t="shared" si="15"/>
        <v>0.52612067556896303</v>
      </c>
      <c r="AH11">
        <f t="shared" si="16"/>
        <v>-9.01997095571422E-3</v>
      </c>
      <c r="AI11">
        <f t="shared" si="17"/>
        <v>-6.4157037411105303E-2</v>
      </c>
      <c r="AJ11">
        <f t="shared" si="18"/>
        <v>-5.5137066455391084E-2</v>
      </c>
      <c r="AK11">
        <f t="shared" si="19"/>
        <v>-5.9002644236083583E-2</v>
      </c>
      <c r="AM11">
        <f t="shared" si="20"/>
        <v>2.8316112453664291E-2</v>
      </c>
      <c r="AN11">
        <f t="shared" si="21"/>
        <v>0.12223246655061515</v>
      </c>
      <c r="AO11">
        <f t="shared" si="22"/>
        <v>9.3916354096950858E-2</v>
      </c>
      <c r="AP11">
        <f t="shared" si="23"/>
        <v>0.39042482160034564</v>
      </c>
      <c r="AR11">
        <f t="shared" si="24"/>
        <v>-0.21398200689310584</v>
      </c>
      <c r="AS11">
        <f t="shared" si="25"/>
        <v>-0.39881527066958705</v>
      </c>
      <c r="AT11">
        <f t="shared" si="26"/>
        <v>-0.18483326377648121</v>
      </c>
      <c r="AU11">
        <f t="shared" si="27"/>
        <v>0.18154803913168405</v>
      </c>
      <c r="AW11">
        <v>51.411140990801563</v>
      </c>
      <c r="AX11">
        <v>0.65578859698870684</v>
      </c>
    </row>
    <row r="12" spans="1:50" x14ac:dyDescent="0.25">
      <c r="A12" s="4">
        <f>DATE(2024,7,15)</f>
        <v>45488</v>
      </c>
      <c r="B12">
        <v>1.9455632300676928E-2</v>
      </c>
      <c r="C12">
        <v>42.800453478420167</v>
      </c>
      <c r="D12">
        <v>0.29155711334027512</v>
      </c>
      <c r="E12">
        <f t="shared" si="0"/>
        <v>1.0650639787778263E-2</v>
      </c>
      <c r="F12">
        <f t="shared" si="1"/>
        <v>-0.47478175585593957</v>
      </c>
      <c r="G12">
        <f t="shared" si="2"/>
        <v>-0.62480044925137124</v>
      </c>
      <c r="H12" s="2" t="str">
        <f t="shared" si="3"/>
        <v>Lower</v>
      </c>
      <c r="I12" s="2" t="str">
        <f t="shared" si="4"/>
        <v>Higher</v>
      </c>
      <c r="J12" s="2" t="str">
        <f t="shared" si="5"/>
        <v>Higher</v>
      </c>
      <c r="K12" s="2" t="str">
        <f t="shared" si="6"/>
        <v>Higher</v>
      </c>
      <c r="L12" s="2" t="str">
        <f t="shared" si="7"/>
        <v>Lower</v>
      </c>
      <c r="M12" s="2" t="str">
        <f t="shared" si="8"/>
        <v>Higher</v>
      </c>
      <c r="N12" s="2" t="str">
        <f t="shared" si="9"/>
        <v>Lower</v>
      </c>
      <c r="O12" s="2" t="str">
        <f t="shared" si="10"/>
        <v>Lower</v>
      </c>
      <c r="P12" s="2" t="str">
        <f t="shared" si="11"/>
        <v>Higher</v>
      </c>
      <c r="R12" s="4">
        <f>DATE(2024,7,15)</f>
        <v>45488</v>
      </c>
      <c r="S12">
        <v>0.61698629119426829</v>
      </c>
      <c r="T12">
        <v>0.25502687436701821</v>
      </c>
      <c r="U12">
        <v>0.38371908851110975</v>
      </c>
      <c r="V12">
        <v>0.83392917182777104</v>
      </c>
      <c r="X12" s="4">
        <f>DATE(2024,7,15)</f>
        <v>45488</v>
      </c>
      <c r="Y12">
        <v>16.813057063418974</v>
      </c>
      <c r="Z12">
        <v>19.486844762047451</v>
      </c>
      <c r="AA12">
        <v>67.987500000000011</v>
      </c>
      <c r="AB12">
        <v>31.436749999999996</v>
      </c>
      <c r="AC12">
        <f t="shared" si="12"/>
        <v>-2.4266510942984449E-2</v>
      </c>
      <c r="AD12">
        <f t="shared" si="13"/>
        <v>-3.5736359178157304E-2</v>
      </c>
      <c r="AE12">
        <f t="shared" si="14"/>
        <v>-1.1469848235172855E-2</v>
      </c>
      <c r="AF12">
        <f t="shared" si="15"/>
        <v>1.054969068103033E-3</v>
      </c>
      <c r="AH12">
        <f t="shared" si="16"/>
        <v>-3.0840425369611105E-3</v>
      </c>
      <c r="AI12">
        <f t="shared" si="17"/>
        <v>-9.3126650356033486E-2</v>
      </c>
      <c r="AJ12">
        <f t="shared" si="18"/>
        <v>-9.0042607819072376E-2</v>
      </c>
      <c r="AK12">
        <f t="shared" si="19"/>
        <v>-0.21151411796873304</v>
      </c>
      <c r="AM12">
        <f t="shared" si="20"/>
        <v>1.889404955469531E-2</v>
      </c>
      <c r="AN12">
        <f t="shared" si="21"/>
        <v>6.2570894960700146E-2</v>
      </c>
      <c r="AO12">
        <f t="shared" si="22"/>
        <v>4.3676845406004833E-2</v>
      </c>
      <c r="AP12">
        <f t="shared" si="23"/>
        <v>0.29021783863014933</v>
      </c>
      <c r="AR12">
        <f t="shared" si="24"/>
        <v>-0.17971351334151894</v>
      </c>
      <c r="AS12">
        <f t="shared" si="25"/>
        <v>-0.31937218166824743</v>
      </c>
      <c r="AT12">
        <f t="shared" si="26"/>
        <v>-0.13965866832672849</v>
      </c>
      <c r="AU12">
        <f t="shared" si="27"/>
        <v>0.23230599966857812</v>
      </c>
      <c r="AW12">
        <v>52.55057723094032</v>
      </c>
      <c r="AX12">
        <v>0.72148558181448164</v>
      </c>
    </row>
    <row r="13" spans="1:50" x14ac:dyDescent="0.25">
      <c r="A13" s="4">
        <f>DATE(2024,7,12)</f>
        <v>45485</v>
      </c>
      <c r="B13">
        <v>9.6038897027690417E-2</v>
      </c>
      <c r="C13">
        <v>48.949772052105054</v>
      </c>
      <c r="D13">
        <v>0.60672956536956091</v>
      </c>
      <c r="E13">
        <f t="shared" si="0"/>
        <v>0.16689925374825926</v>
      </c>
      <c r="F13">
        <f t="shared" si="1"/>
        <v>9.8766542510807881E-2</v>
      </c>
      <c r="G13">
        <f t="shared" si="2"/>
        <v>0.36604991664411546</v>
      </c>
      <c r="H13" s="2" t="str">
        <f t="shared" si="3"/>
        <v>Lower</v>
      </c>
      <c r="I13" s="2" t="str">
        <f t="shared" si="4"/>
        <v>Higher</v>
      </c>
      <c r="J13" s="2" t="str">
        <f t="shared" si="5"/>
        <v>Higher</v>
      </c>
      <c r="K13" s="2" t="str">
        <f t="shared" si="6"/>
        <v>Lower</v>
      </c>
      <c r="L13" s="2" t="str">
        <f t="shared" si="7"/>
        <v>Lower</v>
      </c>
      <c r="M13" s="2" t="str">
        <f t="shared" si="8"/>
        <v>Higher</v>
      </c>
      <c r="N13" s="2" t="str">
        <f t="shared" si="9"/>
        <v>Lower</v>
      </c>
      <c r="O13" s="2" t="str">
        <f t="shared" si="10"/>
        <v>Lower</v>
      </c>
      <c r="P13" s="2" t="str">
        <f t="shared" si="11"/>
        <v>Higher</v>
      </c>
      <c r="R13" s="4">
        <f>DATE(2024,7,12)</f>
        <v>45485</v>
      </c>
      <c r="S13">
        <v>0.87373233195005717</v>
      </c>
      <c r="T13">
        <v>0.27706691592806004</v>
      </c>
      <c r="U13">
        <v>0.38038831545035601</v>
      </c>
      <c r="V13">
        <v>0.83182368999633838</v>
      </c>
      <c r="X13" s="4">
        <f>DATE(2024,7,12)</f>
        <v>45485</v>
      </c>
      <c r="Y13">
        <v>18.414506983792904</v>
      </c>
      <c r="Z13">
        <v>20.497607767876616</v>
      </c>
      <c r="AA13">
        <v>68.900000000000006</v>
      </c>
      <c r="AB13">
        <v>31.66075</v>
      </c>
      <c r="AC13">
        <f t="shared" si="12"/>
        <v>-2.2601858980563185E-2</v>
      </c>
      <c r="AD13">
        <f t="shared" si="13"/>
        <v>-4.4070268431207073E-2</v>
      </c>
      <c r="AE13">
        <f t="shared" si="14"/>
        <v>-2.1468409450643888E-2</v>
      </c>
      <c r="AF13">
        <f t="shared" si="15"/>
        <v>-9.4005765178580461E-2</v>
      </c>
      <c r="AH13">
        <f t="shared" si="16"/>
        <v>-7.9793990668800441E-4</v>
      </c>
      <c r="AI13">
        <f t="shared" si="17"/>
        <v>-0.11174000336269167</v>
      </c>
      <c r="AJ13">
        <f t="shared" si="18"/>
        <v>-0.11094206345600367</v>
      </c>
      <c r="AK13">
        <f t="shared" si="19"/>
        <v>-0.30467839924432916</v>
      </c>
      <c r="AM13">
        <f t="shared" si="20"/>
        <v>-1.2332924700458292E-2</v>
      </c>
      <c r="AN13">
        <f t="shared" si="21"/>
        <v>6.6310666073392767E-3</v>
      </c>
      <c r="AO13">
        <f t="shared" si="22"/>
        <v>1.8963991307797568E-2</v>
      </c>
      <c r="AP13">
        <f t="shared" si="23"/>
        <v>0.23957357783358604</v>
      </c>
      <c r="AR13">
        <f t="shared" si="24"/>
        <v>-0.15612881739873116</v>
      </c>
      <c r="AS13">
        <f t="shared" si="25"/>
        <v>-0.17519224463666563</v>
      </c>
      <c r="AT13">
        <f t="shared" si="26"/>
        <v>-1.9063427237934472E-2</v>
      </c>
      <c r="AU13">
        <f t="shared" si="27"/>
        <v>0.36972454086850481</v>
      </c>
      <c r="AW13">
        <v>46.949072732966513</v>
      </c>
      <c r="AX13">
        <v>0.50026959637108315</v>
      </c>
    </row>
    <row r="14" spans="1:50" x14ac:dyDescent="0.25">
      <c r="A14" s="4">
        <f>DATE(2024,7,11)</f>
        <v>45484</v>
      </c>
      <c r="B14">
        <v>6.0208504003630869E-2</v>
      </c>
      <c r="C14">
        <v>45.073106347316575</v>
      </c>
      <c r="D14">
        <v>0.44623656057619276</v>
      </c>
      <c r="E14">
        <f t="shared" si="0"/>
        <v>0.11487935017675462</v>
      </c>
      <c r="F14">
        <f t="shared" si="1"/>
        <v>-0.24150872826024089</v>
      </c>
      <c r="G14">
        <f t="shared" si="2"/>
        <v>-0.12023096700746008</v>
      </c>
      <c r="H14" s="2" t="str">
        <f t="shared" si="3"/>
        <v>Lower</v>
      </c>
      <c r="I14" s="2" t="str">
        <f t="shared" si="4"/>
        <v>Higher</v>
      </c>
      <c r="J14" s="2" t="str">
        <f t="shared" si="5"/>
        <v>Higher</v>
      </c>
      <c r="K14" s="2" t="str">
        <f t="shared" si="6"/>
        <v>Lower</v>
      </c>
      <c r="L14" s="2" t="str">
        <f t="shared" si="7"/>
        <v>Lower</v>
      </c>
      <c r="M14" s="2" t="str">
        <f t="shared" si="8"/>
        <v>Higher</v>
      </c>
      <c r="N14" s="2" t="str">
        <f t="shared" si="9"/>
        <v>Lower</v>
      </c>
      <c r="O14" s="2" t="str">
        <f t="shared" si="10"/>
        <v>Lower</v>
      </c>
      <c r="P14" s="2" t="str">
        <f t="shared" si="11"/>
        <v>Higher</v>
      </c>
      <c r="R14" s="4">
        <f>DATE(2024,7,11)</f>
        <v>45484</v>
      </c>
      <c r="S14">
        <v>0.96618320354183007</v>
      </c>
      <c r="T14">
        <v>0.26123036687122292</v>
      </c>
      <c r="U14">
        <v>0.38140604542865658</v>
      </c>
      <c r="V14">
        <v>0.83013855584962315</v>
      </c>
      <c r="X14" s="4">
        <f>DATE(2024,7,11)</f>
        <v>45484</v>
      </c>
      <c r="Y14">
        <v>17.041874748465272</v>
      </c>
      <c r="Z14">
        <v>16.834818028133032</v>
      </c>
      <c r="AA14">
        <v>68.292500000000004</v>
      </c>
      <c r="AB14">
        <v>31.008499999999998</v>
      </c>
      <c r="AC14">
        <f t="shared" si="12"/>
        <v>-2.8651739804503015E-2</v>
      </c>
      <c r="AD14" t="str">
        <f t="shared" si="13"/>
        <v/>
      </c>
      <c r="AE14" t="str">
        <f t="shared" si="14"/>
        <v/>
      </c>
      <c r="AF14" t="str">
        <f t="shared" si="15"/>
        <v/>
      </c>
      <c r="AH14">
        <f t="shared" si="16"/>
        <v>-3.7893524330023888E-2</v>
      </c>
      <c r="AI14">
        <f t="shared" si="17"/>
        <v>-0.14757560873360495</v>
      </c>
      <c r="AJ14">
        <f t="shared" si="18"/>
        <v>-0.10968208440358107</v>
      </c>
      <c r="AK14">
        <f t="shared" si="19"/>
        <v>-0.30436451260831521</v>
      </c>
      <c r="AM14">
        <f t="shared" si="20"/>
        <v>-3.7117811163944581E-2</v>
      </c>
      <c r="AN14">
        <f t="shared" si="21"/>
        <v>-2.8524883881924836E-2</v>
      </c>
      <c r="AO14">
        <f t="shared" si="22"/>
        <v>8.5929272820197446E-3</v>
      </c>
      <c r="AP14">
        <f t="shared" si="23"/>
        <v>0.21720004847228686</v>
      </c>
      <c r="AR14">
        <f t="shared" si="24"/>
        <v>-0.169691955649167</v>
      </c>
      <c r="AS14">
        <f t="shared" si="25"/>
        <v>-0.1636260771588261</v>
      </c>
      <c r="AT14">
        <f t="shared" si="26"/>
        <v>6.0658784903409035E-3</v>
      </c>
      <c r="AU14">
        <f t="shared" si="27"/>
        <v>0.3980409807698026</v>
      </c>
      <c r="AW14">
        <v>45.316284276535029</v>
      </c>
      <c r="AX14">
        <v>0.43941516592916341</v>
      </c>
    </row>
    <row r="15" spans="1:50" x14ac:dyDescent="0.25">
      <c r="A15" s="4">
        <f>DATE(2024,7,10)</f>
        <v>45483</v>
      </c>
      <c r="B15">
        <v>8.9682335797903301E-2</v>
      </c>
      <c r="C15">
        <v>43.065801107481285</v>
      </c>
      <c r="D15">
        <v>0.34702236146616655</v>
      </c>
      <c r="E15">
        <f t="shared" si="0"/>
        <v>0.17863628022474229</v>
      </c>
      <c r="F15">
        <f t="shared" si="1"/>
        <v>-0.41291785275920018</v>
      </c>
      <c r="G15">
        <f t="shared" si="2"/>
        <v>-0.41681333898657275</v>
      </c>
      <c r="H15" s="2" t="str">
        <f t="shared" si="3"/>
        <v>Lower</v>
      </c>
      <c r="I15" s="2" t="str">
        <f t="shared" si="4"/>
        <v>Higher</v>
      </c>
      <c r="J15" s="2" t="str">
        <f t="shared" si="5"/>
        <v>Higher</v>
      </c>
      <c r="K15" s="2" t="str">
        <f t="shared" si="6"/>
        <v>Lower</v>
      </c>
      <c r="L15" s="2" t="str">
        <f t="shared" si="7"/>
        <v>Lower</v>
      </c>
      <c r="M15" s="2" t="str">
        <f t="shared" si="8"/>
        <v>Higher</v>
      </c>
      <c r="N15" s="2" t="str">
        <f t="shared" si="9"/>
        <v>Lower</v>
      </c>
      <c r="O15" s="2" t="str">
        <f t="shared" si="10"/>
        <v>Lower</v>
      </c>
      <c r="P15" s="2" t="str">
        <f t="shared" si="11"/>
        <v>Higher</v>
      </c>
      <c r="R15" s="4">
        <f>DATE(2024,7,10)</f>
        <v>45483</v>
      </c>
      <c r="S15">
        <v>0.91924064893159685</v>
      </c>
      <c r="T15">
        <v>0.19514011205469578</v>
      </c>
      <c r="U15">
        <v>0.37572632549635959</v>
      </c>
      <c r="V15">
        <v>0.82768894714825203</v>
      </c>
      <c r="X15" s="4">
        <f>DATE(2024,7,10)</f>
        <v>45483</v>
      </c>
      <c r="Y15">
        <v>17.815174422323196</v>
      </c>
      <c r="Z15">
        <v>17.846083472494641</v>
      </c>
      <c r="AA15">
        <v>68.302500000000009</v>
      </c>
      <c r="AB15">
        <v>30.974499999999999</v>
      </c>
      <c r="AC15">
        <f t="shared" si="12"/>
        <v>-3.6830289490922402E-2</v>
      </c>
      <c r="AD15">
        <f t="shared" si="13"/>
        <v>-5.8916827178685238E-2</v>
      </c>
      <c r="AE15">
        <f t="shared" si="14"/>
        <v>-2.2086537687762836E-2</v>
      </c>
      <c r="AF15">
        <f t="shared" si="15"/>
        <v>-0.10067569091494169</v>
      </c>
      <c r="AH15">
        <f t="shared" si="16"/>
        <v>-3.6265676588633715E-2</v>
      </c>
      <c r="AI15">
        <f t="shared" si="17"/>
        <v>-0.12605484531739908</v>
      </c>
      <c r="AJ15">
        <f t="shared" si="18"/>
        <v>-8.9789168728765356E-2</v>
      </c>
      <c r="AK15">
        <f t="shared" si="19"/>
        <v>-0.22541486124364932</v>
      </c>
      <c r="AM15">
        <f t="shared" si="20"/>
        <v>-3.7641362443787088E-2</v>
      </c>
      <c r="AN15">
        <f t="shared" si="21"/>
        <v>-2.8485154235806182E-2</v>
      </c>
      <c r="AO15">
        <f t="shared" si="22"/>
        <v>9.1562082079809058E-3</v>
      </c>
      <c r="AP15">
        <f t="shared" si="23"/>
        <v>0.21798187454024251</v>
      </c>
      <c r="AR15">
        <f t="shared" si="24"/>
        <v>-0.17478373265738253</v>
      </c>
      <c r="AS15">
        <f t="shared" si="25"/>
        <v>-0.20765348920027857</v>
      </c>
      <c r="AT15">
        <f t="shared" si="26"/>
        <v>-3.2869756542896034E-2</v>
      </c>
      <c r="AU15">
        <f t="shared" si="27"/>
        <v>0.35281920619731116</v>
      </c>
      <c r="AW15">
        <v>43.065801107481285</v>
      </c>
      <c r="AX15">
        <v>0.34702236146616655</v>
      </c>
    </row>
    <row r="16" spans="1:50" x14ac:dyDescent="0.25">
      <c r="A16" s="4">
        <f>DATE(2024,7,9)</f>
        <v>45482</v>
      </c>
      <c r="B16">
        <v>0.17935562758252011</v>
      </c>
      <c r="C16">
        <v>45.316284276535029</v>
      </c>
      <c r="D16">
        <v>0.43941516592916341</v>
      </c>
      <c r="E16">
        <f t="shared" si="0"/>
        <v>0.34787507926299849</v>
      </c>
      <c r="F16">
        <f t="shared" si="1"/>
        <v>-0.20434935398772755</v>
      </c>
      <c r="G16">
        <f t="shared" si="2"/>
        <v>-0.12824282457227043</v>
      </c>
      <c r="H16" s="2" t="str">
        <f t="shared" si="3"/>
        <v>Lower</v>
      </c>
      <c r="I16" s="2" t="str">
        <f t="shared" si="4"/>
        <v>Higher</v>
      </c>
      <c r="J16" s="2" t="str">
        <f t="shared" si="5"/>
        <v>Higher</v>
      </c>
      <c r="K16" s="2" t="str">
        <f t="shared" si="6"/>
        <v>Lower</v>
      </c>
      <c r="L16" s="2" t="str">
        <f t="shared" si="7"/>
        <v>Lower</v>
      </c>
      <c r="M16" s="2" t="str">
        <f t="shared" si="8"/>
        <v>Higher</v>
      </c>
      <c r="N16" s="2" t="str">
        <f t="shared" si="9"/>
        <v>Lower</v>
      </c>
      <c r="O16" s="2" t="str">
        <f t="shared" si="10"/>
        <v>Lower</v>
      </c>
      <c r="P16" s="2" t="str">
        <f t="shared" si="11"/>
        <v>Higher</v>
      </c>
      <c r="R16" s="4">
        <f>DATE(2024,7,9)</f>
        <v>45482</v>
      </c>
      <c r="S16">
        <v>0.86592280354115858</v>
      </c>
      <c r="T16">
        <v>0.12290081431961529</v>
      </c>
      <c r="U16">
        <v>0.36196234828570123</v>
      </c>
      <c r="V16">
        <v>0.82572097820522161</v>
      </c>
      <c r="X16" s="4">
        <f>DATE(2024,7,9)</f>
        <v>45482</v>
      </c>
      <c r="Y16">
        <v>18.827778869189039</v>
      </c>
      <c r="Z16">
        <v>18.967551704183734</v>
      </c>
      <c r="AA16">
        <v>68.607500000000002</v>
      </c>
      <c r="AB16">
        <v>31.44875</v>
      </c>
      <c r="AC16">
        <f t="shared" si="12"/>
        <v>-1.9700449516042346E-2</v>
      </c>
      <c r="AD16">
        <f t="shared" si="13"/>
        <v>-6.6278431155811612E-2</v>
      </c>
      <c r="AE16">
        <f t="shared" si="14"/>
        <v>-4.657798163976927E-2</v>
      </c>
      <c r="AF16">
        <f t="shared" si="15"/>
        <v>-0.33507759413782046</v>
      </c>
      <c r="AH16">
        <f t="shared" si="16"/>
        <v>-3.1810187514704935E-2</v>
      </c>
      <c r="AI16">
        <f t="shared" si="17"/>
        <v>-8.8861222398208109E-2</v>
      </c>
      <c r="AJ16">
        <f t="shared" si="18"/>
        <v>-5.7051034883503174E-2</v>
      </c>
      <c r="AK16">
        <f t="shared" si="19"/>
        <v>-9.2368558009992316E-2</v>
      </c>
      <c r="AM16">
        <f t="shared" si="20"/>
        <v>-6.1680799643834203E-2</v>
      </c>
      <c r="AN16">
        <f t="shared" si="21"/>
        <v>-4.6882372242915422E-2</v>
      </c>
      <c r="AO16">
        <f t="shared" si="22"/>
        <v>1.479842740091878E-2</v>
      </c>
      <c r="AP16">
        <f t="shared" si="23"/>
        <v>0.22856376197550513</v>
      </c>
      <c r="AR16">
        <f t="shared" si="24"/>
        <v>-0.15271811557920859</v>
      </c>
      <c r="AS16">
        <f t="shared" si="25"/>
        <v>-0.1608274484760977</v>
      </c>
      <c r="AT16">
        <f t="shared" si="26"/>
        <v>-8.1093328968891154E-3</v>
      </c>
      <c r="AU16">
        <f t="shared" si="27"/>
        <v>0.3802481870821624</v>
      </c>
      <c r="AW16">
        <v>45.073106347316575</v>
      </c>
      <c r="AX16">
        <v>0.44623656057619276</v>
      </c>
    </row>
    <row r="17" spans="1:50" x14ac:dyDescent="0.25">
      <c r="A17" s="4">
        <f>DATE(2024,7,8)</f>
        <v>45481</v>
      </c>
      <c r="B17">
        <v>0.25506203529361315</v>
      </c>
      <c r="C17">
        <v>46.949072732966513</v>
      </c>
      <c r="D17">
        <v>0.50026959637108315</v>
      </c>
      <c r="E17">
        <f t="shared" si="0"/>
        <v>0.48969554397419124</v>
      </c>
      <c r="F17">
        <f t="shared" si="1"/>
        <v>-5.3699793654944844E-2</v>
      </c>
      <c r="G17">
        <f t="shared" si="2"/>
        <v>6.1633994668942621E-2</v>
      </c>
      <c r="H17" s="2" t="str">
        <f t="shared" si="3"/>
        <v>Lower</v>
      </c>
      <c r="I17" s="2" t="str">
        <f t="shared" si="4"/>
        <v>Higher</v>
      </c>
      <c r="J17" s="2" t="str">
        <f t="shared" si="5"/>
        <v>Higher</v>
      </c>
      <c r="K17" s="2" t="str">
        <f t="shared" si="6"/>
        <v>Lower</v>
      </c>
      <c r="L17" s="2" t="str">
        <f t="shared" si="7"/>
        <v>Lower</v>
      </c>
      <c r="M17" s="2" t="str">
        <f t="shared" si="8"/>
        <v>Higher</v>
      </c>
      <c r="N17" s="2" t="str">
        <f t="shared" si="9"/>
        <v>Lower</v>
      </c>
      <c r="O17" s="2" t="str">
        <f t="shared" si="10"/>
        <v>Lower</v>
      </c>
      <c r="P17" s="2" t="str">
        <f t="shared" si="11"/>
        <v>Higher</v>
      </c>
      <c r="R17" s="4">
        <f>DATE(2024,7,8)</f>
        <v>45481</v>
      </c>
      <c r="S17">
        <v>2.7008746582031628E-2</v>
      </c>
      <c r="T17">
        <v>0.13394917219482871</v>
      </c>
      <c r="U17">
        <v>0.37112826505998059</v>
      </c>
      <c r="V17">
        <v>0.82224018545965538</v>
      </c>
      <c r="X17" s="4">
        <f>DATE(2024,7,8)</f>
        <v>45481</v>
      </c>
      <c r="Y17">
        <v>19.543928319933244</v>
      </c>
      <c r="Z17">
        <v>20.473354432692492</v>
      </c>
      <c r="AA17">
        <v>69.657499999999999</v>
      </c>
      <c r="AB17">
        <v>32.580500000000001</v>
      </c>
      <c r="AC17">
        <f t="shared" si="12"/>
        <v>2.074266630987422E-2</v>
      </c>
      <c r="AD17">
        <f t="shared" si="13"/>
        <v>-3.7744875114147189E-2</v>
      </c>
      <c r="AE17">
        <f t="shared" si="14"/>
        <v>-5.8487541424021405E-2</v>
      </c>
      <c r="AF17">
        <f t="shared" si="15"/>
        <v>-0.45323055664970147</v>
      </c>
      <c r="AH17">
        <f t="shared" si="16"/>
        <v>-1.230598183760585E-2</v>
      </c>
      <c r="AI17">
        <f t="shared" si="17"/>
        <v>-3.9855919757657204E-2</v>
      </c>
      <c r="AJ17">
        <f t="shared" si="18"/>
        <v>-2.7549937920051355E-2</v>
      </c>
      <c r="AK17">
        <f t="shared" si="19"/>
        <v>2.6721956033773888E-2</v>
      </c>
      <c r="AM17">
        <f t="shared" si="20"/>
        <v>-1.1454797221027978E-2</v>
      </c>
      <c r="AN17">
        <f t="shared" si="21"/>
        <v>5.2181368436460547E-2</v>
      </c>
      <c r="AO17">
        <f t="shared" si="22"/>
        <v>6.363616565748853E-2</v>
      </c>
      <c r="AP17">
        <f t="shared" si="23"/>
        <v>0.32045570772573412</v>
      </c>
      <c r="AR17">
        <f t="shared" si="24"/>
        <v>-0.15042658683337037</v>
      </c>
      <c r="AS17">
        <f t="shared" si="25"/>
        <v>-0.19154187254978169</v>
      </c>
      <c r="AT17">
        <f t="shared" si="26"/>
        <v>-4.1115285716411321E-2</v>
      </c>
      <c r="AU17">
        <f t="shared" si="27"/>
        <v>0.34164027237342787</v>
      </c>
      <c r="AW17">
        <v>48.949772052105054</v>
      </c>
      <c r="AX17">
        <v>0.60672956536956091</v>
      </c>
    </row>
    <row r="18" spans="1:50" x14ac:dyDescent="0.25">
      <c r="A18" s="4">
        <f>DATE(2024,7,5)</f>
        <v>45478</v>
      </c>
      <c r="B18">
        <v>0.32011461159293797</v>
      </c>
      <c r="C18">
        <v>52.55057723094032</v>
      </c>
      <c r="D18">
        <v>0.72148558181448164</v>
      </c>
      <c r="E18">
        <f t="shared" si="0"/>
        <v>0.61000800331277538</v>
      </c>
      <c r="F18">
        <f t="shared" si="1"/>
        <v>0.45352625183737827</v>
      </c>
      <c r="G18">
        <f t="shared" si="2"/>
        <v>0.74452957290790067</v>
      </c>
      <c r="H18" s="2" t="str">
        <f t="shared" si="3"/>
        <v>Lower</v>
      </c>
      <c r="I18" s="2" t="str">
        <f t="shared" si="4"/>
        <v>Higher</v>
      </c>
      <c r="J18" s="2" t="str">
        <f t="shared" si="5"/>
        <v>Higher</v>
      </c>
      <c r="K18" s="2" t="str">
        <f t="shared" si="6"/>
        <v>Lower</v>
      </c>
      <c r="L18" s="2" t="str">
        <f t="shared" si="7"/>
        <v>Lower</v>
      </c>
      <c r="M18" s="2" t="str">
        <f t="shared" si="8"/>
        <v>Higher</v>
      </c>
      <c r="N18" s="2" t="str">
        <f t="shared" si="9"/>
        <v>Lower</v>
      </c>
      <c r="O18" s="2" t="str">
        <f t="shared" si="10"/>
        <v>Lower</v>
      </c>
      <c r="P18" s="2" t="str">
        <f t="shared" si="11"/>
        <v>Higher</v>
      </c>
      <c r="R18" s="4">
        <f>DATE(2024,7,5)</f>
        <v>45478</v>
      </c>
      <c r="S18">
        <v>-0.73772801334668991</v>
      </c>
      <c r="T18">
        <v>0.1005284811652713</v>
      </c>
      <c r="U18">
        <v>0.43309453220347466</v>
      </c>
      <c r="V18">
        <v>0.8195896330207918</v>
      </c>
      <c r="X18" s="4">
        <f>DATE(2024,7,5)</f>
        <v>45478</v>
      </c>
      <c r="Y18">
        <v>21.687314392633517</v>
      </c>
      <c r="Z18">
        <v>22.524011460774069</v>
      </c>
      <c r="AA18">
        <v>70.474999999999994</v>
      </c>
      <c r="AB18">
        <v>33.087249999999997</v>
      </c>
      <c r="AC18">
        <f t="shared" si="12"/>
        <v>4.6395021335483622E-2</v>
      </c>
      <c r="AD18">
        <f t="shared" si="13"/>
        <v>-4.0034372093828714E-2</v>
      </c>
      <c r="AE18">
        <f t="shared" si="14"/>
        <v>-8.6429393429312329E-2</v>
      </c>
      <c r="AF18">
        <f t="shared" si="15"/>
        <v>-0.72172395640049469</v>
      </c>
      <c r="AH18">
        <f t="shared" si="16"/>
        <v>-1.3319905166126293E-2</v>
      </c>
      <c r="AI18">
        <f t="shared" si="17"/>
        <v>-6.7223846602461139E-4</v>
      </c>
      <c r="AJ18">
        <f t="shared" si="18"/>
        <v>1.2647666700101682E-2</v>
      </c>
      <c r="AK18">
        <f t="shared" si="19"/>
        <v>0.19039129497752977</v>
      </c>
      <c r="AM18">
        <f t="shared" si="20"/>
        <v>-4.0005009719564569E-3</v>
      </c>
      <c r="AN18">
        <f t="shared" si="21"/>
        <v>8.6400918910823021E-2</v>
      </c>
      <c r="AO18">
        <f t="shared" si="22"/>
        <v>9.0401419882779471E-2</v>
      </c>
      <c r="AP18">
        <f t="shared" si="23"/>
        <v>0.37008045170384068</v>
      </c>
      <c r="AR18">
        <f t="shared" si="24"/>
        <v>-0.15140023279523282</v>
      </c>
      <c r="AS18">
        <f t="shared" si="25"/>
        <v>-0.23821203476024866</v>
      </c>
      <c r="AT18">
        <f t="shared" si="26"/>
        <v>-8.6811801965015839E-2</v>
      </c>
      <c r="AU18">
        <f t="shared" si="27"/>
        <v>0.28836368276031715</v>
      </c>
      <c r="AW18">
        <v>42.800453478420167</v>
      </c>
      <c r="AX18">
        <v>0.29155711334027512</v>
      </c>
    </row>
    <row r="19" spans="1:50" x14ac:dyDescent="0.25">
      <c r="A19" s="4">
        <f>DATE(2024,7,4)</f>
        <v>45477</v>
      </c>
      <c r="B19">
        <v>0.2679506807731169</v>
      </c>
      <c r="C19">
        <v>51.411140990801563</v>
      </c>
      <c r="D19">
        <v>0.65578859698870684</v>
      </c>
      <c r="E19">
        <f t="shared" si="0"/>
        <v>0.51282328643252795</v>
      </c>
      <c r="F19">
        <f t="shared" si="1"/>
        <v>0.35281719417155155</v>
      </c>
      <c r="G19">
        <f t="shared" si="2"/>
        <v>0.54575074507255805</v>
      </c>
      <c r="H19" s="2" t="str">
        <f t="shared" si="3"/>
        <v>Lower</v>
      </c>
      <c r="I19" s="2" t="str">
        <f t="shared" si="4"/>
        <v>Higher</v>
      </c>
      <c r="J19" s="2" t="str">
        <f t="shared" si="5"/>
        <v>Higher</v>
      </c>
      <c r="K19" s="2" t="str">
        <f t="shared" si="6"/>
        <v>Lower</v>
      </c>
      <c r="L19" s="2" t="str">
        <f t="shared" si="7"/>
        <v>Lower</v>
      </c>
      <c r="M19" s="2" t="str">
        <f t="shared" si="8"/>
        <v>Higher</v>
      </c>
      <c r="N19" s="2" t="str">
        <f t="shared" si="9"/>
        <v>Lower</v>
      </c>
      <c r="O19" s="2" t="str">
        <f t="shared" si="10"/>
        <v>Higher</v>
      </c>
      <c r="P19" s="2" t="str">
        <f t="shared" si="11"/>
        <v>Higher</v>
      </c>
      <c r="R19" s="4">
        <f>DATE(2024,7,4)</f>
        <v>45477</v>
      </c>
      <c r="X19" s="4">
        <f>DATE(2024,7,4)</f>
        <v>45477</v>
      </c>
      <c r="Y19">
        <v>22.392148920278146</v>
      </c>
      <c r="AA19">
        <v>70.277500000000003</v>
      </c>
      <c r="AC19">
        <f t="shared" si="12"/>
        <v>4.947696394092499E-2</v>
      </c>
      <c r="AD19" t="str">
        <f t="shared" si="13"/>
        <v/>
      </c>
      <c r="AE19" t="str">
        <f t="shared" si="14"/>
        <v/>
      </c>
      <c r="AF19" t="str">
        <f t="shared" si="15"/>
        <v/>
      </c>
      <c r="AH19">
        <f t="shared" si="16"/>
        <v>-2.6018355827106609E-2</v>
      </c>
      <c r="AI19" t="str">
        <f t="shared" si="17"/>
        <v/>
      </c>
      <c r="AJ19" t="str">
        <f t="shared" si="18"/>
        <v/>
      </c>
      <c r="AK19" t="str">
        <f t="shared" si="19"/>
        <v/>
      </c>
      <c r="AM19">
        <f t="shared" si="20"/>
        <v>4.8468277948984798E-2</v>
      </c>
      <c r="AN19" t="str">
        <f t="shared" si="21"/>
        <v/>
      </c>
      <c r="AO19" t="str">
        <f t="shared" si="22"/>
        <v/>
      </c>
      <c r="AP19" t="str">
        <f t="shared" si="23"/>
        <v/>
      </c>
      <c r="AR19">
        <f t="shared" si="24"/>
        <v>-0.161800091280144</v>
      </c>
      <c r="AS19" t="str">
        <f t="shared" si="25"/>
        <v/>
      </c>
      <c r="AT19" t="str">
        <f t="shared" si="26"/>
        <v/>
      </c>
      <c r="AU19" t="str">
        <f t="shared" si="27"/>
        <v/>
      </c>
      <c r="AW19">
        <v>44.636737743909443</v>
      </c>
      <c r="AX19">
        <v>0.37513347011557696</v>
      </c>
    </row>
    <row r="20" spans="1:50" x14ac:dyDescent="0.25">
      <c r="A20" s="4">
        <f>DATE(2024,7,3)</f>
        <v>45476</v>
      </c>
      <c r="B20">
        <v>0.20331585689609266</v>
      </c>
      <c r="C20">
        <v>54.291621091576303</v>
      </c>
      <c r="D20">
        <v>0.73424230080573472</v>
      </c>
      <c r="E20">
        <f t="shared" si="0"/>
        <v>0.38958339703096034</v>
      </c>
      <c r="F20">
        <f t="shared" si="1"/>
        <v>0.61363837924141762</v>
      </c>
      <c r="G20">
        <f t="shared" si="2"/>
        <v>0.78867641928992682</v>
      </c>
      <c r="H20" s="2" t="str">
        <f t="shared" si="3"/>
        <v>Lower</v>
      </c>
      <c r="I20" s="2" t="str">
        <f t="shared" si="4"/>
        <v>Higher</v>
      </c>
      <c r="J20" s="2" t="str">
        <f t="shared" si="5"/>
        <v>Higher</v>
      </c>
      <c r="K20" s="2" t="str">
        <f t="shared" si="6"/>
        <v>Lower</v>
      </c>
      <c r="L20" s="2" t="str">
        <f t="shared" si="7"/>
        <v>Lower</v>
      </c>
      <c r="M20" s="2" t="str">
        <f t="shared" si="8"/>
        <v>Higher</v>
      </c>
      <c r="N20" s="2" t="str">
        <f t="shared" si="9"/>
        <v>Lower</v>
      </c>
      <c r="O20" s="2" t="str">
        <f t="shared" si="10"/>
        <v>Higher</v>
      </c>
      <c r="P20" s="2" t="str">
        <f t="shared" si="11"/>
        <v>Higher</v>
      </c>
      <c r="R20" s="4">
        <f>DATE(2024,7,3)</f>
        <v>45476</v>
      </c>
      <c r="S20">
        <v>-0.80658497125609518</v>
      </c>
      <c r="T20">
        <v>-5.4293892775450353E-3</v>
      </c>
      <c r="U20">
        <v>0.47366744632325619</v>
      </c>
      <c r="V20">
        <v>0.81574502003416749</v>
      </c>
      <c r="X20" s="4">
        <f>DATE(2024,7,3)</f>
        <v>45476</v>
      </c>
      <c r="Y20">
        <v>23.416739738310195</v>
      </c>
      <c r="Z20">
        <v>21.924549133908762</v>
      </c>
      <c r="AA20">
        <v>70.865000000000009</v>
      </c>
      <c r="AB20">
        <v>32.85425</v>
      </c>
      <c r="AC20">
        <f t="shared" si="12"/>
        <v>4.961248765004786E-2</v>
      </c>
      <c r="AD20">
        <f t="shared" si="13"/>
        <v>-3.884251470816856E-2</v>
      </c>
      <c r="AE20">
        <f t="shared" si="14"/>
        <v>-8.845500235821642E-2</v>
      </c>
      <c r="AF20">
        <f t="shared" si="15"/>
        <v>-0.74769944373637454</v>
      </c>
      <c r="AH20">
        <f t="shared" si="16"/>
        <v>-1.5542177879370633E-2</v>
      </c>
      <c r="AI20">
        <f t="shared" si="17"/>
        <v>-2.1439985357554571E-2</v>
      </c>
      <c r="AJ20">
        <f t="shared" si="18"/>
        <v>-5.8978074781839383E-3</v>
      </c>
      <c r="AK20">
        <f t="shared" si="19"/>
        <v>0.10492990106978137</v>
      </c>
      <c r="AM20">
        <f t="shared" si="20"/>
        <v>0.11316782898662574</v>
      </c>
      <c r="AN20">
        <f t="shared" si="21"/>
        <v>0.18799135843088516</v>
      </c>
      <c r="AO20">
        <f t="shared" si="22"/>
        <v>7.4823529444259421E-2</v>
      </c>
      <c r="AP20">
        <f t="shared" si="23"/>
        <v>0.33829291124988159</v>
      </c>
      <c r="AR20">
        <f t="shared" si="24"/>
        <v>-0.14968557492421877</v>
      </c>
      <c r="AS20">
        <f t="shared" si="25"/>
        <v>-0.18188772886461546</v>
      </c>
      <c r="AT20">
        <f t="shared" si="26"/>
        <v>-3.2202153940396688E-2</v>
      </c>
      <c r="AU20">
        <f t="shared" si="27"/>
        <v>0.34975764537973869</v>
      </c>
      <c r="AW20">
        <v>39.339593500484291</v>
      </c>
      <c r="AX20">
        <v>0.11720237091567048</v>
      </c>
    </row>
    <row r="21" spans="1:50" x14ac:dyDescent="0.25">
      <c r="A21" s="4">
        <f>DATE(2024,7,2)</f>
        <v>45475</v>
      </c>
      <c r="B21">
        <v>2.5384646454546522E-2</v>
      </c>
      <c r="C21">
        <v>53.979245137532871</v>
      </c>
      <c r="D21">
        <v>0.70421367973351134</v>
      </c>
      <c r="E21">
        <f t="shared" si="0"/>
        <v>5.965421553097762E-2</v>
      </c>
      <c r="F21">
        <f t="shared" si="1"/>
        <v>0.58665809806341307</v>
      </c>
      <c r="G21">
        <f t="shared" si="2"/>
        <v>0.69681223628217248</v>
      </c>
      <c r="H21" s="2" t="str">
        <f t="shared" si="3"/>
        <v>Lower</v>
      </c>
      <c r="I21" s="2" t="str">
        <f t="shared" si="4"/>
        <v>Higher</v>
      </c>
      <c r="J21" s="2" t="str">
        <f t="shared" si="5"/>
        <v>Higher</v>
      </c>
      <c r="K21" s="2" t="str">
        <f t="shared" si="6"/>
        <v>Lower</v>
      </c>
      <c r="L21" s="2" t="str">
        <f t="shared" si="7"/>
        <v>Lower</v>
      </c>
      <c r="M21" s="2" t="str">
        <f t="shared" si="8"/>
        <v>Higher</v>
      </c>
      <c r="N21" s="2" t="str">
        <f t="shared" si="9"/>
        <v>Lower</v>
      </c>
      <c r="O21" s="2" t="str">
        <f t="shared" si="10"/>
        <v>Higher</v>
      </c>
      <c r="P21" s="2" t="str">
        <f t="shared" si="11"/>
        <v>Higher</v>
      </c>
      <c r="R21" s="4">
        <f>DATE(2024,7,2)</f>
        <v>45475</v>
      </c>
      <c r="S21">
        <v>-0.53896964558079241</v>
      </c>
      <c r="T21">
        <v>-0.10563053760296574</v>
      </c>
      <c r="U21">
        <v>0.50504773558356131</v>
      </c>
      <c r="V21">
        <v>0.81332104120053494</v>
      </c>
      <c r="X21" s="4">
        <f>DATE(2024,7,2)</f>
        <v>45475</v>
      </c>
      <c r="Y21">
        <v>21.870342573337133</v>
      </c>
      <c r="Z21">
        <v>23.300377662624342</v>
      </c>
      <c r="AA21">
        <v>69.972499999999997</v>
      </c>
      <c r="AB21">
        <v>33.603749999999998</v>
      </c>
      <c r="AC21">
        <f t="shared" si="12"/>
        <v>3.3163849197401486E-2</v>
      </c>
      <c r="AD21">
        <f t="shared" si="13"/>
        <v>-3.2865416367338231E-2</v>
      </c>
      <c r="AE21">
        <f t="shared" si="14"/>
        <v>-6.6029265564739717E-2</v>
      </c>
      <c r="AF21">
        <f t="shared" si="15"/>
        <v>-0.53802308607223259</v>
      </c>
      <c r="AH21">
        <f t="shared" si="16"/>
        <v>-4.1123496100421104E-2</v>
      </c>
      <c r="AI21">
        <f t="shared" si="17"/>
        <v>-2.4610047258237178E-2</v>
      </c>
      <c r="AJ21">
        <f t="shared" si="18"/>
        <v>1.6513448842183927E-2</v>
      </c>
      <c r="AK21">
        <f t="shared" si="19"/>
        <v>0.19154984187457272</v>
      </c>
      <c r="AM21">
        <f t="shared" si="20"/>
        <v>9.2035686867820363E-2</v>
      </c>
      <c r="AN21">
        <f t="shared" si="21"/>
        <v>0.19635099156105007</v>
      </c>
      <c r="AO21">
        <f t="shared" si="22"/>
        <v>0.10431530469322971</v>
      </c>
      <c r="AP21">
        <f t="shared" si="23"/>
        <v>0.39400837303906316</v>
      </c>
      <c r="AR21">
        <f t="shared" si="24"/>
        <v>-0.17518622470460429</v>
      </c>
      <c r="AS21">
        <f t="shared" si="25"/>
        <v>-0.19235180540185209</v>
      </c>
      <c r="AT21">
        <f t="shared" si="26"/>
        <v>-1.7165580697247801E-2</v>
      </c>
      <c r="AU21">
        <f t="shared" si="27"/>
        <v>0.36577671360340602</v>
      </c>
      <c r="AW21">
        <v>39.002828679031147</v>
      </c>
      <c r="AX21">
        <v>0.14214617987088993</v>
      </c>
    </row>
    <row r="22" spans="1:50" x14ac:dyDescent="0.25">
      <c r="A22" s="4">
        <f>DATE(2024,7,1)</f>
        <v>45474</v>
      </c>
      <c r="B22">
        <v>-0.23826525412797639</v>
      </c>
      <c r="C22">
        <v>43.554005573012461</v>
      </c>
      <c r="D22">
        <v>0.31682047362965404</v>
      </c>
      <c r="E22">
        <f t="shared" si="0"/>
        <v>-0.41881823483123176</v>
      </c>
      <c r="F22">
        <f t="shared" si="1"/>
        <v>-0.34857550224311262</v>
      </c>
      <c r="G22">
        <f t="shared" si="2"/>
        <v>-0.49445881557284332</v>
      </c>
      <c r="H22" s="2" t="str">
        <f t="shared" si="3"/>
        <v>Lower</v>
      </c>
      <c r="I22" s="2" t="str">
        <f t="shared" si="4"/>
        <v>Higher</v>
      </c>
      <c r="J22" s="2" t="str">
        <f t="shared" si="5"/>
        <v>Higher</v>
      </c>
      <c r="K22" s="2" t="str">
        <f t="shared" si="6"/>
        <v>Lower</v>
      </c>
      <c r="L22" s="2" t="str">
        <f t="shared" si="7"/>
        <v>Lower</v>
      </c>
      <c r="M22" s="2" t="str">
        <f t="shared" si="8"/>
        <v>Higher</v>
      </c>
      <c r="N22" s="2" t="str">
        <f t="shared" si="9"/>
        <v>Lower</v>
      </c>
      <c r="O22" s="2" t="str">
        <f t="shared" si="10"/>
        <v>Higher</v>
      </c>
      <c r="P22" s="2" t="str">
        <f t="shared" si="11"/>
        <v>Higher</v>
      </c>
      <c r="R22" s="4">
        <f>DATE(2024,7,1)</f>
        <v>45474</v>
      </c>
      <c r="S22">
        <v>-0.14440514030224136</v>
      </c>
      <c r="T22">
        <v>-6.8764121964202687E-2</v>
      </c>
      <c r="U22">
        <v>0.55282546351984307</v>
      </c>
      <c r="V22">
        <v>0.81019376068273641</v>
      </c>
      <c r="X22" s="4">
        <f>DATE(2024,7,1)</f>
        <v>45474</v>
      </c>
      <c r="Y22">
        <v>19.833909819385156</v>
      </c>
      <c r="Z22">
        <v>24.244494819901917</v>
      </c>
      <c r="AA22">
        <v>68.227499999999992</v>
      </c>
      <c r="AB22">
        <v>33.833750000000002</v>
      </c>
      <c r="AC22">
        <f t="shared" si="12"/>
        <v>1.0757149226630285E-2</v>
      </c>
      <c r="AD22">
        <f t="shared" si="13"/>
        <v>-8.6446858861597229E-3</v>
      </c>
      <c r="AE22">
        <f t="shared" si="14"/>
        <v>-1.9401835112790006E-2</v>
      </c>
      <c r="AF22">
        <f t="shared" si="15"/>
        <v>-0.10164952990789693</v>
      </c>
      <c r="AH22">
        <f t="shared" si="16"/>
        <v>-9.856602215659338E-2</v>
      </c>
      <c r="AI22">
        <f t="shared" si="17"/>
        <v>-7.7379667555106155E-2</v>
      </c>
      <c r="AJ22">
        <f t="shared" si="18"/>
        <v>2.1186354601487226E-2</v>
      </c>
      <c r="AK22">
        <f t="shared" si="19"/>
        <v>0.20477477569489691</v>
      </c>
      <c r="AM22">
        <f t="shared" si="20"/>
        <v>8.5643230614268304E-2</v>
      </c>
      <c r="AN22">
        <f t="shared" si="21"/>
        <v>0.20290962565663348</v>
      </c>
      <c r="AO22">
        <f t="shared" si="22"/>
        <v>0.11726639504236518</v>
      </c>
      <c r="AP22">
        <f t="shared" si="23"/>
        <v>0.41784960824443801</v>
      </c>
      <c r="AR22">
        <f t="shared" si="24"/>
        <v>-0.22335605300952729</v>
      </c>
      <c r="AS22">
        <f t="shared" si="25"/>
        <v>-0.24605272695162425</v>
      </c>
      <c r="AT22">
        <f t="shared" si="26"/>
        <v>-2.2696673942096957E-2</v>
      </c>
      <c r="AU22">
        <f t="shared" si="27"/>
        <v>0.35850030066530486</v>
      </c>
      <c r="AW22">
        <v>38.505798068425875</v>
      </c>
      <c r="AX22">
        <v>0.15190885372559548</v>
      </c>
    </row>
    <row r="23" spans="1:50" x14ac:dyDescent="0.25">
      <c r="A23" s="4">
        <f>DATE(2024,6,28)</f>
        <v>45471</v>
      </c>
      <c r="B23">
        <v>-0.35893333544776718</v>
      </c>
      <c r="C23">
        <v>40.797145360177687</v>
      </c>
      <c r="D23">
        <v>0.23480247676361454</v>
      </c>
      <c r="E23">
        <f t="shared" si="0"/>
        <v>-0.63231794101562711</v>
      </c>
      <c r="F23">
        <f t="shared" si="1"/>
        <v>-0.59755425012255148</v>
      </c>
      <c r="G23">
        <f t="shared" si="2"/>
        <v>-0.7488232016320997</v>
      </c>
      <c r="H23" s="2" t="str">
        <f t="shared" si="3"/>
        <v>Lower</v>
      </c>
      <c r="I23" s="2" t="str">
        <f t="shared" si="4"/>
        <v>Higher</v>
      </c>
      <c r="J23" s="2" t="str">
        <f t="shared" si="5"/>
        <v>Higher</v>
      </c>
      <c r="K23" s="2" t="str">
        <f t="shared" si="6"/>
        <v>Lower</v>
      </c>
      <c r="L23" s="2" t="str">
        <f t="shared" si="7"/>
        <v>Lower</v>
      </c>
      <c r="M23" s="2" t="str">
        <f t="shared" si="8"/>
        <v>Higher</v>
      </c>
      <c r="N23" s="2" t="str">
        <f t="shared" si="9"/>
        <v>Lower</v>
      </c>
      <c r="O23" s="2" t="str">
        <f t="shared" si="10"/>
        <v>Higher</v>
      </c>
      <c r="P23" s="2" t="str">
        <f t="shared" si="11"/>
        <v>Higher</v>
      </c>
      <c r="R23" s="4">
        <f>DATE(2024,6,28)</f>
        <v>45471</v>
      </c>
      <c r="S23">
        <v>0.48105809004516992</v>
      </c>
      <c r="T23">
        <v>-3.4912369370562225E-2</v>
      </c>
      <c r="U23">
        <v>0.6066869424436272</v>
      </c>
      <c r="V23">
        <v>0.80769057525619536</v>
      </c>
      <c r="X23" s="4">
        <f>DATE(2024,6,28)</f>
        <v>45471</v>
      </c>
      <c r="Y23">
        <v>17.092918431018493</v>
      </c>
      <c r="Z23">
        <v>26.425981845060377</v>
      </c>
      <c r="AA23">
        <v>67.28</v>
      </c>
      <c r="AB23">
        <v>34.438749999999999</v>
      </c>
      <c r="AC23">
        <f t="shared" si="12"/>
        <v>-1.6984842316431669E-2</v>
      </c>
      <c r="AD23">
        <f t="shared" si="13"/>
        <v>1.0640416826136456E-2</v>
      </c>
      <c r="AE23">
        <f t="shared" si="14"/>
        <v>2.7625259142568123E-2</v>
      </c>
      <c r="AF23">
        <f t="shared" si="15"/>
        <v>0.33239730686884883</v>
      </c>
      <c r="AH23">
        <f t="shared" si="16"/>
        <v>-0.10371305351059712</v>
      </c>
      <c r="AI23">
        <f t="shared" si="17"/>
        <v>-3.7749428049440566E-3</v>
      </c>
      <c r="AJ23">
        <f t="shared" si="18"/>
        <v>9.993811070565306E-2</v>
      </c>
      <c r="AK23">
        <f t="shared" si="19"/>
        <v>0.51726360740851596</v>
      </c>
      <c r="AM23">
        <f t="shared" si="20"/>
        <v>0.11218783810430953</v>
      </c>
      <c r="AN23">
        <f t="shared" si="21"/>
        <v>0.25914561047107337</v>
      </c>
      <c r="AO23">
        <f t="shared" si="22"/>
        <v>0.14695777236676383</v>
      </c>
      <c r="AP23">
        <f t="shared" si="23"/>
        <v>0.47440362405484499</v>
      </c>
      <c r="AR23">
        <f t="shared" si="24"/>
        <v>-0.23552203105996874</v>
      </c>
      <c r="AS23">
        <f t="shared" si="25"/>
        <v>-0.1545104672144223</v>
      </c>
      <c r="AT23">
        <f t="shared" si="26"/>
        <v>8.1011563845546447E-2</v>
      </c>
      <c r="AU23">
        <f t="shared" si="27"/>
        <v>0.47602952731712078</v>
      </c>
      <c r="AW23">
        <v>33.341751760456212</v>
      </c>
      <c r="AX23">
        <v>0.159291983217689</v>
      </c>
    </row>
    <row r="24" spans="1:50" x14ac:dyDescent="0.25">
      <c r="A24" s="4">
        <f>DATE(2024,6,27)</f>
        <v>45470</v>
      </c>
      <c r="B24">
        <v>-0.4499633221091216</v>
      </c>
      <c r="C24">
        <v>36.8465799476431</v>
      </c>
      <c r="D24">
        <v>0.12517956174670225</v>
      </c>
      <c r="E24">
        <f t="shared" si="0"/>
        <v>-0.79895447204639325</v>
      </c>
      <c r="F24">
        <f t="shared" si="1"/>
        <v>-0.96168040111383679</v>
      </c>
      <c r="G24">
        <f t="shared" si="2"/>
        <v>-1.096306406067225</v>
      </c>
      <c r="H24" s="2" t="str">
        <f t="shared" si="3"/>
        <v>Lower</v>
      </c>
      <c r="I24" s="2" t="str">
        <f t="shared" si="4"/>
        <v>Higher</v>
      </c>
      <c r="J24" s="2" t="str">
        <f t="shared" si="5"/>
        <v>Higher</v>
      </c>
      <c r="K24" s="2" t="str">
        <f t="shared" si="6"/>
        <v>Lower</v>
      </c>
      <c r="L24" s="2" t="str">
        <f t="shared" si="7"/>
        <v>Lower</v>
      </c>
      <c r="M24" s="2" t="str">
        <f t="shared" si="8"/>
        <v>Higher</v>
      </c>
      <c r="N24" s="2" t="str">
        <f t="shared" si="9"/>
        <v>Lower</v>
      </c>
      <c r="O24" s="2" t="str">
        <f t="shared" si="10"/>
        <v>Higher</v>
      </c>
      <c r="P24" s="2" t="str">
        <f t="shared" si="11"/>
        <v>Higher</v>
      </c>
      <c r="R24" s="4">
        <f>DATE(2024,6,27)</f>
        <v>45470</v>
      </c>
      <c r="S24">
        <v>5.7522942419399641E-2</v>
      </c>
      <c r="T24">
        <v>4.6706792510846432E-2</v>
      </c>
      <c r="U24">
        <v>0.66545596384606898</v>
      </c>
      <c r="V24">
        <v>0.80447516582045531</v>
      </c>
      <c r="X24" s="4">
        <f>DATE(2024,6,27)</f>
        <v>45470</v>
      </c>
      <c r="Y24">
        <v>18.703883866476534</v>
      </c>
      <c r="Z24">
        <v>26.446804628898217</v>
      </c>
      <c r="AA24">
        <v>66.884999999999991</v>
      </c>
      <c r="AB24">
        <v>34.454999999999998</v>
      </c>
      <c r="AC24">
        <f t="shared" si="12"/>
        <v>-4.2265222581136727E-2</v>
      </c>
      <c r="AD24">
        <f t="shared" si="13"/>
        <v>-7.5753557198513502E-3</v>
      </c>
      <c r="AE24">
        <f t="shared" si="14"/>
        <v>3.4689866861285376E-2</v>
      </c>
      <c r="AF24">
        <f t="shared" si="15"/>
        <v>0.39504307967796431</v>
      </c>
      <c r="AH24">
        <f t="shared" si="16"/>
        <v>-0.11531306695932526</v>
      </c>
      <c r="AI24">
        <f t="shared" si="17"/>
        <v>-9.7908333131871798E-3</v>
      </c>
      <c r="AJ24">
        <f t="shared" si="18"/>
        <v>0.10552223364613808</v>
      </c>
      <c r="AK24">
        <f t="shared" si="19"/>
        <v>0.53354286992240119</v>
      </c>
      <c r="AM24">
        <f t="shared" si="20"/>
        <v>0.13681532730847254</v>
      </c>
      <c r="AN24">
        <f t="shared" si="21"/>
        <v>0.27688582417663171</v>
      </c>
      <c r="AO24">
        <f t="shared" si="22"/>
        <v>0.14007049686815917</v>
      </c>
      <c r="AP24">
        <f t="shared" si="23"/>
        <v>0.46108076014362454</v>
      </c>
      <c r="AR24">
        <f t="shared" si="24"/>
        <v>-0.22339768662020368</v>
      </c>
      <c r="AS24">
        <f t="shared" si="25"/>
        <v>-0.10605683390338647</v>
      </c>
      <c r="AT24">
        <f t="shared" si="26"/>
        <v>0.11734085271681721</v>
      </c>
      <c r="AU24">
        <f t="shared" si="27"/>
        <v>0.51692946462047074</v>
      </c>
      <c r="AW24">
        <v>38.975629701584253</v>
      </c>
      <c r="AX24">
        <v>0.55583563976452188</v>
      </c>
    </row>
    <row r="25" spans="1:50" x14ac:dyDescent="0.25">
      <c r="A25" s="4">
        <f>DATE(2024,6,26)</f>
        <v>45469</v>
      </c>
      <c r="B25">
        <v>-0.46499843525663365</v>
      </c>
      <c r="C25">
        <v>37.603854110072163</v>
      </c>
      <c r="D25">
        <v>0.13101055051344948</v>
      </c>
      <c r="E25">
        <f t="shared" si="0"/>
        <v>-0.83372370231428772</v>
      </c>
      <c r="F25">
        <f t="shared" si="1"/>
        <v>-0.90907754163945775</v>
      </c>
      <c r="G25">
        <f t="shared" si="2"/>
        <v>-1.0939969938344534</v>
      </c>
      <c r="H25" s="2" t="str">
        <f t="shared" si="3"/>
        <v>Lower</v>
      </c>
      <c r="I25" s="2" t="str">
        <f t="shared" si="4"/>
        <v>Higher</v>
      </c>
      <c r="J25" s="2" t="str">
        <f t="shared" si="5"/>
        <v>Higher</v>
      </c>
      <c r="K25" s="2" t="str">
        <f t="shared" si="6"/>
        <v>Lower</v>
      </c>
      <c r="L25" s="2" t="str">
        <f t="shared" si="7"/>
        <v>Lower</v>
      </c>
      <c r="M25" s="2" t="str">
        <f t="shared" si="8"/>
        <v>Higher</v>
      </c>
      <c r="N25" s="2" t="str">
        <f t="shared" si="9"/>
        <v>Lower</v>
      </c>
      <c r="O25" s="2" t="str">
        <f t="shared" si="10"/>
        <v>Higher</v>
      </c>
      <c r="P25" s="2" t="str">
        <f t="shared" si="11"/>
        <v>Higher</v>
      </c>
      <c r="R25" s="4">
        <f>DATE(2024,6,26)</f>
        <v>45469</v>
      </c>
      <c r="S25">
        <v>0.49466996396297624</v>
      </c>
      <c r="T25">
        <v>0.10687034446443623</v>
      </c>
      <c r="U25">
        <v>0.71241057693150134</v>
      </c>
      <c r="V25">
        <v>0.79884461043434152</v>
      </c>
      <c r="X25" s="4">
        <f>DATE(2024,6,26)</f>
        <v>45469</v>
      </c>
      <c r="Y25">
        <v>19.593993630828784</v>
      </c>
      <c r="Z25">
        <v>27.525538804384521</v>
      </c>
      <c r="AA25">
        <v>67.435000000000002</v>
      </c>
      <c r="AB25">
        <v>34.155499999999996</v>
      </c>
      <c r="AC25">
        <f t="shared" si="12"/>
        <v>-3.7223922483189384E-2</v>
      </c>
      <c r="AD25" t="str">
        <f t="shared" si="13"/>
        <v/>
      </c>
      <c r="AE25" t="str">
        <f t="shared" si="14"/>
        <v/>
      </c>
      <c r="AF25" t="str">
        <f t="shared" si="15"/>
        <v/>
      </c>
      <c r="AH25">
        <f t="shared" si="16"/>
        <v>-9.3812668630417997E-2</v>
      </c>
      <c r="AI25">
        <f t="shared" si="17"/>
        <v>8.5563591699921553E-3</v>
      </c>
      <c r="AJ25">
        <f t="shared" si="18"/>
        <v>0.10236902780041016</v>
      </c>
      <c r="AK25">
        <f t="shared" si="19"/>
        <v>0.52135491415593127</v>
      </c>
      <c r="AM25">
        <f t="shared" si="20"/>
        <v>0.1541321436307001</v>
      </c>
      <c r="AN25">
        <f t="shared" si="21"/>
        <v>0.28964072644270666</v>
      </c>
      <c r="AO25">
        <f t="shared" si="22"/>
        <v>0.13550858281200656</v>
      </c>
      <c r="AP25">
        <f t="shared" si="23"/>
        <v>0.45214807111076305</v>
      </c>
      <c r="AR25">
        <f t="shared" si="24"/>
        <v>-0.19887273749798001</v>
      </c>
      <c r="AS25">
        <f t="shared" si="25"/>
        <v>-9.0165357230355042E-2</v>
      </c>
      <c r="AT25">
        <f t="shared" si="26"/>
        <v>0.10870738026762497</v>
      </c>
      <c r="AU25">
        <f t="shared" si="27"/>
        <v>0.50645712374801855</v>
      </c>
      <c r="AW25">
        <v>50.84712386015881</v>
      </c>
      <c r="AX25">
        <v>0.30866906941515132</v>
      </c>
    </row>
    <row r="26" spans="1:50" x14ac:dyDescent="0.25">
      <c r="A26" s="4">
        <f>DATE(2024,6,25)</f>
        <v>45468</v>
      </c>
      <c r="B26">
        <v>-0.46709404805152399</v>
      </c>
      <c r="C26">
        <v>40.550431230541506</v>
      </c>
      <c r="D26">
        <v>0.19360949552027382</v>
      </c>
      <c r="E26">
        <f t="shared" si="0"/>
        <v>-0.84782306126973239</v>
      </c>
      <c r="F26">
        <f t="shared" si="1"/>
        <v>-0.6625299939426964</v>
      </c>
      <c r="G26">
        <f t="shared" si="2"/>
        <v>-0.91956166273885576</v>
      </c>
      <c r="H26" s="2" t="str">
        <f t="shared" si="3"/>
        <v>Lower</v>
      </c>
      <c r="I26" s="2" t="str">
        <f t="shared" si="4"/>
        <v>Higher</v>
      </c>
      <c r="J26" s="2" t="str">
        <f t="shared" si="5"/>
        <v>Higher</v>
      </c>
      <c r="K26" s="2" t="str">
        <f t="shared" si="6"/>
        <v>Lower</v>
      </c>
      <c r="L26" s="2" t="str">
        <f t="shared" si="7"/>
        <v>Lower</v>
      </c>
      <c r="M26" s="2" t="str">
        <f t="shared" si="8"/>
        <v>Higher</v>
      </c>
      <c r="N26" s="2" t="str">
        <f t="shared" si="9"/>
        <v>Lower</v>
      </c>
      <c r="O26" s="2" t="str">
        <f t="shared" si="10"/>
        <v>Higher</v>
      </c>
      <c r="P26" s="2" t="str">
        <f t="shared" si="11"/>
        <v>Higher</v>
      </c>
      <c r="R26" s="4">
        <f>DATE(2024,6,25)</f>
        <v>45468</v>
      </c>
      <c r="S26">
        <v>0.30414967063367415</v>
      </c>
      <c r="T26">
        <v>0.15584817260369285</v>
      </c>
      <c r="U26">
        <v>0.73898548331481262</v>
      </c>
      <c r="V26">
        <v>0.79055458403490064</v>
      </c>
      <c r="X26" s="4">
        <f>DATE(2024,6,25)</f>
        <v>45468</v>
      </c>
      <c r="Y26">
        <v>17.594660174043184</v>
      </c>
      <c r="Z26">
        <v>29.526752490571912</v>
      </c>
      <c r="AA26">
        <v>67.69</v>
      </c>
      <c r="AB26">
        <v>34.726500000000001</v>
      </c>
      <c r="AC26">
        <f t="shared" si="12"/>
        <v>-1.1749290689297536E-2</v>
      </c>
      <c r="AD26">
        <f t="shared" si="13"/>
        <v>1.2678472789964485E-3</v>
      </c>
      <c r="AE26">
        <f t="shared" si="14"/>
        <v>1.3017137968293985E-2</v>
      </c>
      <c r="AF26">
        <f t="shared" si="15"/>
        <v>0.19555470247691711</v>
      </c>
      <c r="AH26">
        <f t="shared" si="16"/>
        <v>-0.10088159791509721</v>
      </c>
      <c r="AI26">
        <f t="shared" si="17"/>
        <v>2.6687315185058912E-2</v>
      </c>
      <c r="AJ26">
        <f t="shared" si="18"/>
        <v>0.12756891310015611</v>
      </c>
      <c r="AK26">
        <f t="shared" si="19"/>
        <v>0.61611627792906398</v>
      </c>
      <c r="AM26">
        <f t="shared" si="20"/>
        <v>0.13106519616571086</v>
      </c>
      <c r="AN26">
        <f t="shared" si="21"/>
        <v>0.2708207222875178</v>
      </c>
      <c r="AO26">
        <f t="shared" si="22"/>
        <v>0.13975552612180694</v>
      </c>
      <c r="AP26">
        <f t="shared" si="23"/>
        <v>0.46038629103555079</v>
      </c>
      <c r="AR26">
        <f t="shared" si="24"/>
        <v>-0.18166885946839353</v>
      </c>
      <c r="AS26">
        <f t="shared" si="25"/>
        <v>-4.3653281333581109E-2</v>
      </c>
      <c r="AT26">
        <f t="shared" si="26"/>
        <v>0.13801557813481241</v>
      </c>
      <c r="AU26">
        <f t="shared" si="27"/>
        <v>0.53907683613492474</v>
      </c>
      <c r="AW26">
        <v>45.194453669454852</v>
      </c>
    </row>
    <row r="27" spans="1:50" x14ac:dyDescent="0.25">
      <c r="A27" s="4">
        <f>DATE(2024,6,24)</f>
        <v>45467</v>
      </c>
      <c r="B27">
        <v>-0.52438876385354327</v>
      </c>
      <c r="C27">
        <v>37.950977937438658</v>
      </c>
      <c r="D27">
        <v>0.10431773866998319</v>
      </c>
      <c r="E27">
        <f t="shared" si="0"/>
        <v>-0.94860572669282417</v>
      </c>
      <c r="F27">
        <f t="shared" si="1"/>
        <v>-0.89580246808000741</v>
      </c>
      <c r="G27">
        <f t="shared" si="2"/>
        <v>-1.1955879332765407</v>
      </c>
      <c r="H27" s="2" t="str">
        <f t="shared" si="3"/>
        <v>Lower</v>
      </c>
      <c r="I27" s="2" t="str">
        <f t="shared" si="4"/>
        <v>Higher</v>
      </c>
      <c r="J27" s="2" t="str">
        <f t="shared" si="5"/>
        <v>Higher</v>
      </c>
      <c r="K27" s="2" t="str">
        <f t="shared" si="6"/>
        <v>Lower</v>
      </c>
      <c r="L27" s="2" t="str">
        <f t="shared" si="7"/>
        <v>Lower</v>
      </c>
      <c r="M27" s="2" t="str">
        <f t="shared" si="8"/>
        <v>Higher</v>
      </c>
      <c r="N27" s="2" t="str">
        <f t="shared" si="9"/>
        <v>Lower</v>
      </c>
      <c r="O27" s="2" t="str">
        <f t="shared" si="10"/>
        <v>Higher</v>
      </c>
      <c r="P27" s="2" t="str">
        <f t="shared" si="11"/>
        <v>Higher</v>
      </c>
      <c r="R27" s="4">
        <f>DATE(2024,6,24)</f>
        <v>45467</v>
      </c>
      <c r="S27">
        <v>0.62154395492169012</v>
      </c>
      <c r="T27">
        <v>0.18302735070326795</v>
      </c>
      <c r="U27">
        <v>0.76470192329478082</v>
      </c>
      <c r="V27">
        <v>0.78616673790203306</v>
      </c>
      <c r="X27" s="4">
        <f>DATE(2024,6,24)</f>
        <v>45467</v>
      </c>
      <c r="Y27">
        <v>18.323632699330762</v>
      </c>
      <c r="Z27">
        <v>29.047779509123583</v>
      </c>
      <c r="AA27">
        <v>67.497500000000002</v>
      </c>
      <c r="AB27">
        <v>34.127499999999998</v>
      </c>
      <c r="AC27">
        <f t="shared" si="12"/>
        <v>-1.0317347130481316E-2</v>
      </c>
      <c r="AD27">
        <f t="shared" si="13"/>
        <v>-1.1000730177569328E-2</v>
      </c>
      <c r="AE27">
        <f t="shared" si="14"/>
        <v>-6.8338304708801152E-4</v>
      </c>
      <c r="AF27">
        <f t="shared" si="15"/>
        <v>6.9107755478516664E-2</v>
      </c>
      <c r="AH27">
        <f t="shared" si="16"/>
        <v>-0.12192685533196189</v>
      </c>
      <c r="AI27" t="str">
        <f t="shared" si="17"/>
        <v/>
      </c>
      <c r="AJ27" t="str">
        <f t="shared" si="18"/>
        <v/>
      </c>
      <c r="AK27" t="str">
        <f t="shared" si="19"/>
        <v/>
      </c>
      <c r="AM27" t="str">
        <f t="shared" si="20"/>
        <v/>
      </c>
      <c r="AN27" t="str">
        <f t="shared" si="21"/>
        <v/>
      </c>
      <c r="AO27" t="str">
        <f t="shared" si="22"/>
        <v/>
      </c>
      <c r="AP27" t="str">
        <f t="shared" si="23"/>
        <v/>
      </c>
      <c r="AR27">
        <f t="shared" si="24"/>
        <v>-0.18565562247773609</v>
      </c>
      <c r="AS27">
        <f t="shared" si="25"/>
        <v>-2.0842016504592855E-2</v>
      </c>
      <c r="AT27">
        <f t="shared" si="26"/>
        <v>0.16481360597314323</v>
      </c>
      <c r="AU27">
        <f t="shared" si="27"/>
        <v>0.56887350189084074</v>
      </c>
    </row>
    <row r="28" spans="1:50" x14ac:dyDescent="0.25">
      <c r="A28" s="4">
        <f>DATE(2024,6,21)</f>
        <v>45464</v>
      </c>
      <c r="B28">
        <v>-0.50782132608520336</v>
      </c>
      <c r="C28">
        <v>40.183583155461548</v>
      </c>
      <c r="D28">
        <v>0.15072840301137477</v>
      </c>
      <c r="E28">
        <f t="shared" si="0"/>
        <v>-0.9283072238200174</v>
      </c>
      <c r="F28">
        <f t="shared" si="1"/>
        <v>-0.70523681266330418</v>
      </c>
      <c r="G28">
        <f t="shared" si="2"/>
        <v>-1.0669722186215129</v>
      </c>
      <c r="H28" s="2" t="str">
        <f t="shared" si="3"/>
        <v>Lower</v>
      </c>
      <c r="I28" s="2" t="str">
        <f t="shared" si="4"/>
        <v>Higher</v>
      </c>
      <c r="J28" s="2" t="str">
        <f t="shared" si="5"/>
        <v>Higher</v>
      </c>
      <c r="K28" s="2" t="str">
        <f t="shared" si="6"/>
        <v>Lower</v>
      </c>
      <c r="L28" s="2" t="str">
        <f t="shared" si="7"/>
        <v>Lower</v>
      </c>
      <c r="M28" s="2" t="str">
        <f t="shared" si="8"/>
        <v>Higher</v>
      </c>
      <c r="N28" s="2" t="str">
        <f t="shared" si="9"/>
        <v>Lower</v>
      </c>
      <c r="O28" s="2" t="str">
        <f t="shared" si="10"/>
        <v>Higher</v>
      </c>
      <c r="P28" s="2" t="str">
        <f t="shared" si="11"/>
        <v>Higher</v>
      </c>
      <c r="R28" s="4">
        <f>DATE(2024,6,21)</f>
        <v>45464</v>
      </c>
      <c r="S28">
        <v>0.14714924090028417</v>
      </c>
      <c r="T28">
        <v>0.18612428331090528</v>
      </c>
      <c r="U28">
        <v>0.78844451157867579</v>
      </c>
      <c r="V28">
        <v>0.78204469373402297</v>
      </c>
      <c r="X28" s="4">
        <f>DATE(2024,6,21)</f>
        <v>45464</v>
      </c>
      <c r="Y28">
        <v>19.088079536187216</v>
      </c>
      <c r="Z28">
        <v>30.162390849092219</v>
      </c>
      <c r="AA28">
        <v>68.432500000000005</v>
      </c>
      <c r="AB28">
        <v>34.074249999999999</v>
      </c>
      <c r="AC28">
        <f t="shared" si="12"/>
        <v>-7.6062599451766338E-3</v>
      </c>
      <c r="AD28">
        <f t="shared" si="13"/>
        <v>-3.8275779663792274E-2</v>
      </c>
      <c r="AE28">
        <f t="shared" si="14"/>
        <v>-3.0669519718615638E-2</v>
      </c>
      <c r="AF28">
        <f t="shared" si="15"/>
        <v>-0.20698746786842778</v>
      </c>
      <c r="AH28">
        <f t="shared" si="16"/>
        <v>-9.7522918713341525E-2</v>
      </c>
      <c r="AI28">
        <f t="shared" si="17"/>
        <v>-7.5504603533931404E-3</v>
      </c>
      <c r="AJ28">
        <f t="shared" si="18"/>
        <v>8.9972458359948382E-2</v>
      </c>
      <c r="AK28">
        <f t="shared" si="19"/>
        <v>0.4580789318735331</v>
      </c>
      <c r="AM28" t="str">
        <f t="shared" si="20"/>
        <v/>
      </c>
      <c r="AN28" t="str">
        <f t="shared" si="21"/>
        <v/>
      </c>
      <c r="AO28" t="str">
        <f t="shared" si="22"/>
        <v/>
      </c>
      <c r="AP28" t="str">
        <f t="shared" si="23"/>
        <v/>
      </c>
      <c r="AR28">
        <f t="shared" si="24"/>
        <v>-0.18834340412182993</v>
      </c>
      <c r="AS28">
        <f t="shared" si="25"/>
        <v>-5.8380893686952769E-2</v>
      </c>
      <c r="AT28">
        <f t="shared" si="26"/>
        <v>0.12996251043487717</v>
      </c>
      <c r="AU28">
        <f t="shared" si="27"/>
        <v>0.52887194107261626</v>
      </c>
    </row>
    <row r="29" spans="1:50" x14ac:dyDescent="0.25">
      <c r="A29" s="4">
        <f>DATE(2024,6,20)</f>
        <v>45463</v>
      </c>
      <c r="B29">
        <v>-0.51415591826135598</v>
      </c>
      <c r="C29">
        <v>43.504603928734532</v>
      </c>
      <c r="D29">
        <v>0.22454384375624989</v>
      </c>
      <c r="E29">
        <f t="shared" si="0"/>
        <v>-0.95196889589706768</v>
      </c>
      <c r="F29">
        <f t="shared" si="1"/>
        <v>-0.42536352816696232</v>
      </c>
      <c r="G29">
        <f t="shared" si="2"/>
        <v>-0.86035275290898716</v>
      </c>
      <c r="H29" s="2" t="str">
        <f t="shared" si="3"/>
        <v>Lower</v>
      </c>
      <c r="I29" s="2" t="str">
        <f t="shared" si="4"/>
        <v>Higher</v>
      </c>
      <c r="J29" s="2" t="str">
        <f t="shared" si="5"/>
        <v>Higher</v>
      </c>
      <c r="K29" s="2" t="str">
        <f t="shared" si="6"/>
        <v>Lower</v>
      </c>
      <c r="L29" s="2" t="str">
        <f t="shared" si="7"/>
        <v>Lower</v>
      </c>
      <c r="M29" s="2" t="str">
        <f t="shared" si="8"/>
        <v>Higher</v>
      </c>
      <c r="N29" s="2" t="str">
        <f t="shared" si="9"/>
        <v>Lower</v>
      </c>
      <c r="O29" s="2" t="str">
        <f t="shared" si="10"/>
        <v>Higher</v>
      </c>
      <c r="P29" s="2" t="str">
        <f t="shared" si="11"/>
        <v>Higher</v>
      </c>
      <c r="R29" s="4">
        <f>DATE(2024,6,20)</f>
        <v>45463</v>
      </c>
      <c r="S29">
        <v>0.64552978010774786</v>
      </c>
      <c r="T29">
        <v>0.21325794860305286</v>
      </c>
      <c r="U29">
        <v>0.80249869184210276</v>
      </c>
      <c r="V29">
        <v>0.77699676197794909</v>
      </c>
      <c r="X29" s="4">
        <f>DATE(2024,6,20)</f>
        <v>45463</v>
      </c>
      <c r="Y29">
        <v>20.061045694914938</v>
      </c>
      <c r="Z29">
        <v>31.176981877531624</v>
      </c>
      <c r="AA29">
        <v>69.772499999999994</v>
      </c>
      <c r="AB29">
        <v>34.716999999999999</v>
      </c>
      <c r="AC29">
        <f t="shared" si="12"/>
        <v>-1.6453525885309222E-2</v>
      </c>
      <c r="AD29">
        <f t="shared" si="13"/>
        <v>-3.4607488653934711E-2</v>
      </c>
      <c r="AE29">
        <f t="shared" si="14"/>
        <v>-1.8153962768625489E-2</v>
      </c>
      <c r="AF29">
        <f t="shared" si="15"/>
        <v>-9.7259606404663482E-2</v>
      </c>
      <c r="AH29">
        <f t="shared" si="16"/>
        <v>-8.9498517614151854E-2</v>
      </c>
      <c r="AI29">
        <f t="shared" si="17"/>
        <v>-1.1512814028406648E-2</v>
      </c>
      <c r="AJ29">
        <f t="shared" si="18"/>
        <v>7.7985703585745206E-2</v>
      </c>
      <c r="AK29">
        <f t="shared" si="19"/>
        <v>0.40830960581754322</v>
      </c>
      <c r="AM29">
        <f t="shared" si="20"/>
        <v>0.11887198694268</v>
      </c>
      <c r="AN29">
        <f t="shared" si="21"/>
        <v>0.23304347585649701</v>
      </c>
      <c r="AO29">
        <f t="shared" si="22"/>
        <v>0.11417148891381701</v>
      </c>
      <c r="AP29">
        <f t="shared" si="23"/>
        <v>0.41215188177633338</v>
      </c>
      <c r="AR29">
        <f t="shared" si="24"/>
        <v>-0.17588719896711008</v>
      </c>
      <c r="AS29">
        <f t="shared" si="25"/>
        <v>-3.5886599012553075E-2</v>
      </c>
      <c r="AT29">
        <f t="shared" si="26"/>
        <v>0.14000059995455699</v>
      </c>
      <c r="AU29">
        <f t="shared" si="27"/>
        <v>0.53985922402682784</v>
      </c>
    </row>
    <row r="30" spans="1:50" x14ac:dyDescent="0.25">
      <c r="A30" s="4">
        <f>DATE(2024,6,19)</f>
        <v>45462</v>
      </c>
      <c r="B30">
        <v>-0.58991040097097214</v>
      </c>
      <c r="C30">
        <v>47.192798124826858</v>
      </c>
      <c r="D30">
        <v>0.3067982059649107</v>
      </c>
      <c r="E30">
        <f t="shared" si="0"/>
        <v>-1.09126515290271</v>
      </c>
      <c r="F30">
        <f t="shared" si="1"/>
        <v>-0.11096482488232444</v>
      </c>
      <c r="G30">
        <f t="shared" si="2"/>
        <v>-0.62800613946209871</v>
      </c>
      <c r="H30" s="2" t="str">
        <f t="shared" si="3"/>
        <v>Lower</v>
      </c>
      <c r="I30" s="2" t="str">
        <f t="shared" si="4"/>
        <v>Higher</v>
      </c>
      <c r="J30" s="2" t="str">
        <f t="shared" si="5"/>
        <v>Higher</v>
      </c>
      <c r="K30" s="2" t="str">
        <f t="shared" si="6"/>
        <v>Lower</v>
      </c>
      <c r="L30" s="2" t="str">
        <f t="shared" si="7"/>
        <v>Lower</v>
      </c>
      <c r="M30" s="2" t="str">
        <f t="shared" si="8"/>
        <v>Higher</v>
      </c>
      <c r="N30" s="2" t="str">
        <f t="shared" si="9"/>
        <v>Lower</v>
      </c>
      <c r="O30" s="2" t="str">
        <f t="shared" si="10"/>
        <v>Higher</v>
      </c>
      <c r="P30" s="2" t="str">
        <f t="shared" si="11"/>
        <v>Higher</v>
      </c>
      <c r="R30" s="4">
        <f>DATE(2024,6,19)</f>
        <v>45462</v>
      </c>
      <c r="X30" s="4">
        <f>DATE(2024,6,19)</f>
        <v>45462</v>
      </c>
      <c r="Y30">
        <v>19.164085814316049</v>
      </c>
      <c r="AA30">
        <v>69.992500000000007</v>
      </c>
      <c r="AC30">
        <f t="shared" si="12"/>
        <v>-1.182395226456974E-2</v>
      </c>
      <c r="AD30" t="str">
        <f t="shared" si="13"/>
        <v/>
      </c>
      <c r="AE30" t="str">
        <f t="shared" si="14"/>
        <v/>
      </c>
      <c r="AF30" t="str">
        <f t="shared" si="15"/>
        <v/>
      </c>
      <c r="AH30">
        <f t="shared" si="16"/>
        <v>-8.7005423953134375E-2</v>
      </c>
      <c r="AI30" t="str">
        <f t="shared" si="17"/>
        <v/>
      </c>
      <c r="AJ30" t="str">
        <f t="shared" si="18"/>
        <v/>
      </c>
      <c r="AK30" t="str">
        <f t="shared" si="19"/>
        <v/>
      </c>
      <c r="AM30">
        <f t="shared" si="20"/>
        <v>0.11638654005281122</v>
      </c>
      <c r="AN30" t="str">
        <f t="shared" si="21"/>
        <v/>
      </c>
      <c r="AO30" t="str">
        <f t="shared" si="22"/>
        <v/>
      </c>
      <c r="AP30" t="str">
        <f t="shared" si="23"/>
        <v/>
      </c>
      <c r="AR30">
        <f t="shared" si="24"/>
        <v>-0.1658334290416078</v>
      </c>
      <c r="AS30" t="str">
        <f t="shared" si="25"/>
        <v/>
      </c>
      <c r="AT30" t="str">
        <f t="shared" si="26"/>
        <v/>
      </c>
      <c r="AU30" t="str">
        <f t="shared" si="27"/>
        <v/>
      </c>
    </row>
    <row r="31" spans="1:50" x14ac:dyDescent="0.25">
      <c r="A31" s="4">
        <f>DATE(2024,6,18)</f>
        <v>45461</v>
      </c>
      <c r="B31">
        <v>-0.77399321990440839</v>
      </c>
      <c r="C31">
        <v>39.317103306118291</v>
      </c>
      <c r="D31">
        <v>0.11222409705830025</v>
      </c>
      <c r="E31">
        <f t="shared" si="0"/>
        <v>-1.4114525112601437</v>
      </c>
      <c r="F31">
        <f t="shared" si="1"/>
        <v>-0.80578717410027012</v>
      </c>
      <c r="G31">
        <f t="shared" si="2"/>
        <v>-1.2205231149494238</v>
      </c>
      <c r="H31" s="2" t="str">
        <f t="shared" si="3"/>
        <v>Lower</v>
      </c>
      <c r="I31" s="2" t="str">
        <f t="shared" si="4"/>
        <v>Higher</v>
      </c>
      <c r="J31" s="2" t="str">
        <f t="shared" si="5"/>
        <v>Higher</v>
      </c>
      <c r="K31" s="2" t="str">
        <f t="shared" si="6"/>
        <v>Lower</v>
      </c>
      <c r="L31" s="2" t="str">
        <f t="shared" si="7"/>
        <v>Lower</v>
      </c>
      <c r="M31" s="2" t="str">
        <f t="shared" si="8"/>
        <v>Higher</v>
      </c>
      <c r="N31" s="2" t="str">
        <f t="shared" si="9"/>
        <v>Lower</v>
      </c>
      <c r="O31" s="2" t="str">
        <f t="shared" si="10"/>
        <v>Higher</v>
      </c>
      <c r="P31" s="2" t="str">
        <f t="shared" si="11"/>
        <v>Higher</v>
      </c>
      <c r="R31" s="4">
        <f>DATE(2024,6,18)</f>
        <v>45461</v>
      </c>
      <c r="S31">
        <v>0.72391768710042725</v>
      </c>
      <c r="T31">
        <v>0.25823635737257972</v>
      </c>
      <c r="U31">
        <v>0.81654786918461708</v>
      </c>
      <c r="V31">
        <v>0.77278910347356777</v>
      </c>
      <c r="X31" s="4">
        <f>DATE(2024,6,18)</f>
        <v>45461</v>
      </c>
      <c r="Y31">
        <v>15.573814124798375</v>
      </c>
      <c r="Z31">
        <v>30.244583047907181</v>
      </c>
      <c r="AA31">
        <v>68.489999999999995</v>
      </c>
      <c r="AB31">
        <v>34.682500000000005</v>
      </c>
      <c r="AC31">
        <f t="shared" si="12"/>
        <v>-3.352429650676652E-2</v>
      </c>
      <c r="AD31">
        <f t="shared" si="13"/>
        <v>9.0147778459453137E-3</v>
      </c>
      <c r="AE31">
        <f t="shared" si="14"/>
        <v>4.2539074352711835E-2</v>
      </c>
      <c r="AF31">
        <f t="shared" si="15"/>
        <v>0.45161866423810787</v>
      </c>
      <c r="AH31">
        <f t="shared" si="16"/>
        <v>-9.8073848292995064E-2</v>
      </c>
      <c r="AI31">
        <f t="shared" si="17"/>
        <v>6.0826923688011611E-2</v>
      </c>
      <c r="AJ31">
        <f t="shared" si="18"/>
        <v>0.15890077198100666</v>
      </c>
      <c r="AK31">
        <f t="shared" si="19"/>
        <v>0.72346268450781503</v>
      </c>
      <c r="AM31">
        <f t="shared" si="20"/>
        <v>8.1570861614289822E-2</v>
      </c>
      <c r="AN31">
        <f t="shared" si="21"/>
        <v>0.23659591645768771</v>
      </c>
      <c r="AO31">
        <f t="shared" si="22"/>
        <v>0.1550250548433979</v>
      </c>
      <c r="AP31">
        <f t="shared" si="23"/>
        <v>0.49108939583116334</v>
      </c>
      <c r="AR31">
        <f t="shared" si="24"/>
        <v>-0.17253394935316652</v>
      </c>
      <c r="AS31">
        <f t="shared" si="25"/>
        <v>-1.1338916363202438E-2</v>
      </c>
      <c r="AT31">
        <f t="shared" si="26"/>
        <v>0.16119503298996407</v>
      </c>
      <c r="AU31">
        <f t="shared" si="27"/>
        <v>0.56351360069390299</v>
      </c>
    </row>
    <row r="32" spans="1:50" x14ac:dyDescent="0.25">
      <c r="A32" s="4">
        <f>DATE(2024,6,17)</f>
        <v>45460</v>
      </c>
      <c r="B32">
        <v>-0.81831143934513617</v>
      </c>
      <c r="C32">
        <v>36.881041844255009</v>
      </c>
      <c r="D32">
        <v>1.597925933086064E-2</v>
      </c>
      <c r="E32">
        <f t="shared" si="0"/>
        <v>-1.5082785435533455</v>
      </c>
      <c r="F32">
        <f t="shared" si="1"/>
        <v>-1.0210365359606159</v>
      </c>
      <c r="G32">
        <f t="shared" si="2"/>
        <v>-1.5223715412546637</v>
      </c>
      <c r="H32" s="2" t="str">
        <f t="shared" si="3"/>
        <v>Lower</v>
      </c>
      <c r="I32" s="2" t="str">
        <f t="shared" si="4"/>
        <v>Higher</v>
      </c>
      <c r="J32" s="2" t="str">
        <f t="shared" si="5"/>
        <v>Higher</v>
      </c>
      <c r="K32" s="2" t="str">
        <f t="shared" si="6"/>
        <v>Lower</v>
      </c>
      <c r="L32" s="2" t="str">
        <f t="shared" si="7"/>
        <v>Lower</v>
      </c>
      <c r="M32" s="2" t="str">
        <f t="shared" si="8"/>
        <v>Higher</v>
      </c>
      <c r="N32" s="2" t="str">
        <f t="shared" si="9"/>
        <v>Lower</v>
      </c>
      <c r="O32" s="2" t="str">
        <f t="shared" si="10"/>
        <v>Higher</v>
      </c>
      <c r="P32" s="2" t="str">
        <f t="shared" si="11"/>
        <v>Higher</v>
      </c>
      <c r="R32" s="4">
        <f>DATE(2024,6,17)</f>
        <v>45460</v>
      </c>
      <c r="S32">
        <v>0.31403014892439984</v>
      </c>
      <c r="T32">
        <v>0.30667639635130278</v>
      </c>
      <c r="U32">
        <v>0.8391662497643394</v>
      </c>
      <c r="V32">
        <v>0.7689929867891544</v>
      </c>
      <c r="X32" s="4">
        <f>DATE(2024,6,17)</f>
        <v>45460</v>
      </c>
      <c r="Y32">
        <v>16.323899921728742</v>
      </c>
      <c r="Z32">
        <v>31.441400289322978</v>
      </c>
      <c r="AA32">
        <v>68.197499999999991</v>
      </c>
      <c r="AB32">
        <v>34.504999999999995</v>
      </c>
      <c r="AC32">
        <f t="shared" si="12"/>
        <v>-3.3488450243629175E-2</v>
      </c>
      <c r="AD32">
        <f t="shared" si="13"/>
        <v>1.7534371420219113E-2</v>
      </c>
      <c r="AE32">
        <f t="shared" si="14"/>
        <v>5.1022821663848292E-2</v>
      </c>
      <c r="AF32">
        <f t="shared" si="15"/>
        <v>0.5237017714249339</v>
      </c>
      <c r="AH32">
        <f t="shared" si="16"/>
        <v>-7.6033293330035903E-2</v>
      </c>
      <c r="AI32">
        <f t="shared" si="17"/>
        <v>8.359741695581728E-2</v>
      </c>
      <c r="AJ32">
        <f t="shared" si="18"/>
        <v>0.15963071028585318</v>
      </c>
      <c r="AK32">
        <f t="shared" si="19"/>
        <v>0.72300928902045092</v>
      </c>
      <c r="AM32">
        <f t="shared" si="20"/>
        <v>5.8964923592028595E-2</v>
      </c>
      <c r="AN32">
        <f t="shared" si="21"/>
        <v>0.19016560141257535</v>
      </c>
      <c r="AO32">
        <f t="shared" si="22"/>
        <v>0.13120067782054676</v>
      </c>
      <c r="AP32">
        <f t="shared" si="23"/>
        <v>0.44591080737682703</v>
      </c>
      <c r="AR32">
        <f t="shared" si="24"/>
        <v>-0.18235821435733068</v>
      </c>
      <c r="AS32">
        <f t="shared" si="25"/>
        <v>-4.9410999419702992E-2</v>
      </c>
      <c r="AT32">
        <f t="shared" si="26"/>
        <v>0.13294721493762768</v>
      </c>
      <c r="AU32">
        <f t="shared" si="27"/>
        <v>0.53036827737215653</v>
      </c>
    </row>
    <row r="33" spans="1:47" x14ac:dyDescent="0.25">
      <c r="A33" s="4">
        <f>DATE(2024,6,14)</f>
        <v>45457</v>
      </c>
      <c r="B33">
        <v>-0.77314916331818639</v>
      </c>
      <c r="C33">
        <v>37.679733173894533</v>
      </c>
      <c r="D33">
        <v>-4.0245403973138069E-2</v>
      </c>
      <c r="E33">
        <f t="shared" si="0"/>
        <v>-1.4572785953543603</v>
      </c>
      <c r="F33">
        <f t="shared" si="1"/>
        <v>-0.95638004373874796</v>
      </c>
      <c r="G33">
        <f t="shared" si="2"/>
        <v>-1.7142306569750378</v>
      </c>
      <c r="H33" s="2" t="str">
        <f t="shared" si="3"/>
        <v>Lower</v>
      </c>
      <c r="I33" s="2" t="str">
        <f t="shared" si="4"/>
        <v>Higher</v>
      </c>
      <c r="J33" s="2" t="str">
        <f t="shared" si="5"/>
        <v>Higher</v>
      </c>
      <c r="K33" s="2" t="str">
        <f t="shared" si="6"/>
        <v>Lower</v>
      </c>
      <c r="L33" s="2" t="str">
        <f t="shared" si="7"/>
        <v>Lower</v>
      </c>
      <c r="M33" s="2" t="str">
        <f t="shared" si="8"/>
        <v>Higher</v>
      </c>
      <c r="N33" s="2" t="str">
        <f t="shared" si="9"/>
        <v>Lower</v>
      </c>
      <c r="O33" s="2" t="str">
        <f t="shared" si="10"/>
        <v>Higher</v>
      </c>
      <c r="P33" s="2" t="str">
        <f t="shared" si="11"/>
        <v>Higher</v>
      </c>
      <c r="R33" s="4">
        <f>DATE(2024,6,14)</f>
        <v>45457</v>
      </c>
      <c r="S33">
        <v>-0.31137178092957474</v>
      </c>
      <c r="T33">
        <v>0.37108847715782112</v>
      </c>
      <c r="U33">
        <v>0.85519135166723659</v>
      </c>
      <c r="V33">
        <v>0.7676763235071129</v>
      </c>
      <c r="X33" s="4">
        <f>DATE(2024,6,14)</f>
        <v>45457</v>
      </c>
      <c r="Y33">
        <v>17.218999517820023</v>
      </c>
      <c r="Z33">
        <v>33.183346725731937</v>
      </c>
      <c r="AA33">
        <v>68.954999999999998</v>
      </c>
      <c r="AB33">
        <v>35.403750000000002</v>
      </c>
      <c r="AC33">
        <f t="shared" si="12"/>
        <v>-3.5123824240001475E-2</v>
      </c>
      <c r="AD33">
        <f t="shared" si="13"/>
        <v>6.6997496465460063E-2</v>
      </c>
      <c r="AE33">
        <f t="shared" si="14"/>
        <v>0.10212132070546154</v>
      </c>
      <c r="AF33">
        <f t="shared" si="15"/>
        <v>0.98510477382665429</v>
      </c>
      <c r="AH33">
        <f t="shared" si="16"/>
        <v>-2.3965469143889973E-2</v>
      </c>
      <c r="AI33">
        <f t="shared" si="17"/>
        <v>0.14248994768168932</v>
      </c>
      <c r="AJ33">
        <f t="shared" si="18"/>
        <v>0.16645541682557929</v>
      </c>
      <c r="AK33">
        <f t="shared" si="19"/>
        <v>0.74772059070578389</v>
      </c>
      <c r="AM33">
        <f t="shared" si="20"/>
        <v>0.12307217800657619</v>
      </c>
      <c r="AN33">
        <f t="shared" si="21"/>
        <v>0.25306820093085414</v>
      </c>
      <c r="AO33">
        <f t="shared" si="22"/>
        <v>0.12999602292427795</v>
      </c>
      <c r="AP33">
        <f t="shared" si="23"/>
        <v>0.44440964123875937</v>
      </c>
      <c r="AR33">
        <f t="shared" si="24"/>
        <v>-0.1742402634961584</v>
      </c>
      <c r="AS33">
        <f t="shared" si="25"/>
        <v>1.2463035595280062E-2</v>
      </c>
      <c r="AT33">
        <f t="shared" si="26"/>
        <v>0.18670329909143846</v>
      </c>
      <c r="AU33">
        <f t="shared" si="27"/>
        <v>0.59075191489306211</v>
      </c>
    </row>
    <row r="34" spans="1:47" x14ac:dyDescent="0.25">
      <c r="A34" s="4">
        <f>DATE(2024,6,13)</f>
        <v>45456</v>
      </c>
      <c r="B34">
        <v>-0.67343259303198888</v>
      </c>
      <c r="C34">
        <v>45.315231723300137</v>
      </c>
      <c r="D34">
        <v>0.17987281666733537</v>
      </c>
      <c r="E34">
        <f t="shared" si="0"/>
        <v>-1.3075295331181149</v>
      </c>
      <c r="F34">
        <f t="shared" si="1"/>
        <v>-0.27683165716258035</v>
      </c>
      <c r="G34">
        <f t="shared" si="2"/>
        <v>-1.0565519954597271</v>
      </c>
      <c r="H34" s="2" t="str">
        <f t="shared" si="3"/>
        <v>Lower</v>
      </c>
      <c r="I34" s="2" t="str">
        <f t="shared" si="4"/>
        <v>Higher</v>
      </c>
      <c r="J34" s="2" t="str">
        <f t="shared" si="5"/>
        <v>Higher</v>
      </c>
      <c r="K34" s="2" t="str">
        <f t="shared" si="6"/>
        <v>Lower</v>
      </c>
      <c r="L34" s="2" t="str">
        <f t="shared" si="7"/>
        <v>Higher</v>
      </c>
      <c r="M34" s="2" t="str">
        <f t="shared" si="8"/>
        <v>Higher</v>
      </c>
      <c r="N34" s="2" t="str">
        <f t="shared" si="9"/>
        <v>Lower</v>
      </c>
      <c r="O34" s="2" t="str">
        <f t="shared" si="10"/>
        <v>Higher</v>
      </c>
      <c r="P34" s="2" t="str">
        <f t="shared" si="11"/>
        <v>Higher</v>
      </c>
      <c r="R34" s="4">
        <f>DATE(2024,6,13)</f>
        <v>45456</v>
      </c>
      <c r="S34">
        <v>-0.76217135700211458</v>
      </c>
      <c r="T34">
        <v>0.49194374367789173</v>
      </c>
      <c r="U34">
        <v>0.87374301999714843</v>
      </c>
      <c r="V34">
        <v>0.76350718229527259</v>
      </c>
      <c r="X34" s="4">
        <f>DATE(2024,6,13)</f>
        <v>45456</v>
      </c>
      <c r="Y34">
        <v>18.77877420965633</v>
      </c>
      <c r="Z34">
        <v>34.975170317383686</v>
      </c>
      <c r="AA34">
        <v>70.930000000000007</v>
      </c>
      <c r="AB34">
        <v>35.939499999999995</v>
      </c>
      <c r="AC34">
        <f t="shared" si="12"/>
        <v>-1.6776571301585719E-2</v>
      </c>
      <c r="AD34">
        <f t="shared" si="13"/>
        <v>6.6700969213135772E-2</v>
      </c>
      <c r="AE34">
        <f t="shared" si="14"/>
        <v>8.3477540514721491E-2</v>
      </c>
      <c r="AF34">
        <f t="shared" si="15"/>
        <v>0.80986018026344075</v>
      </c>
      <c r="AH34">
        <f t="shared" si="16"/>
        <v>1.1913344701762134E-2</v>
      </c>
      <c r="AI34">
        <f t="shared" si="17"/>
        <v>0.17435934956365143</v>
      </c>
      <c r="AJ34">
        <f t="shared" si="18"/>
        <v>0.16244600486188929</v>
      </c>
      <c r="AK34">
        <f t="shared" si="19"/>
        <v>0.73122079509950977</v>
      </c>
      <c r="AM34">
        <f t="shared" si="20"/>
        <v>0.17891554936336013</v>
      </c>
      <c r="AN34">
        <f t="shared" si="21"/>
        <v>0.2995732849345813</v>
      </c>
      <c r="AO34">
        <f t="shared" si="22"/>
        <v>0.12065773557122117</v>
      </c>
      <c r="AP34">
        <f t="shared" si="23"/>
        <v>0.42714319558917574</v>
      </c>
      <c r="AR34">
        <f t="shared" si="24"/>
        <v>-0.15961396696131228</v>
      </c>
      <c r="AS34">
        <f t="shared" si="25"/>
        <v>0.10684714133063807</v>
      </c>
      <c r="AT34">
        <f t="shared" si="26"/>
        <v>0.26646110829195035</v>
      </c>
      <c r="AU34">
        <f t="shared" si="27"/>
        <v>0.68117856223855677</v>
      </c>
    </row>
    <row r="35" spans="1:47" x14ac:dyDescent="0.25">
      <c r="A35" s="4">
        <f>DATE(2024,6,12)</f>
        <v>45455</v>
      </c>
      <c r="B35">
        <v>-0.71571889267228761</v>
      </c>
      <c r="C35">
        <v>45.420731269618081</v>
      </c>
      <c r="D35">
        <v>0.19328651980237288</v>
      </c>
      <c r="E35">
        <f t="shared" si="0"/>
        <v>-1.3930147764280851</v>
      </c>
      <c r="F35">
        <f t="shared" si="1"/>
        <v>-0.25514591310273493</v>
      </c>
      <c r="G35">
        <f t="shared" si="2"/>
        <v>-1.0129489004056693</v>
      </c>
      <c r="H35" s="2" t="str">
        <f t="shared" si="3"/>
        <v>Lower</v>
      </c>
      <c r="I35" s="2" t="str">
        <f t="shared" si="4"/>
        <v>Higher</v>
      </c>
      <c r="J35" s="2" t="str">
        <f t="shared" si="5"/>
        <v>Higher</v>
      </c>
      <c r="K35" s="2" t="str">
        <f t="shared" si="6"/>
        <v>Lower</v>
      </c>
      <c r="L35" s="2" t="str">
        <f t="shared" si="7"/>
        <v>Higher</v>
      </c>
      <c r="M35" s="2" t="str">
        <f t="shared" si="8"/>
        <v>Higher</v>
      </c>
      <c r="N35" s="2" t="str">
        <f t="shared" si="9"/>
        <v>Lower</v>
      </c>
      <c r="O35" s="2" t="str">
        <f t="shared" si="10"/>
        <v>Higher</v>
      </c>
      <c r="P35" s="2" t="str">
        <f t="shared" si="11"/>
        <v>Higher</v>
      </c>
      <c r="R35" s="4">
        <f>DATE(2024,6,12)</f>
        <v>45455</v>
      </c>
      <c r="S35">
        <v>-0.63462028802444803</v>
      </c>
      <c r="T35">
        <v>0.62706563376722291</v>
      </c>
      <c r="U35">
        <v>0.88524857652998945</v>
      </c>
      <c r="V35">
        <v>0.7556746674057373</v>
      </c>
      <c r="X35" s="4">
        <f>DATE(2024,6,12)</f>
        <v>45455</v>
      </c>
      <c r="Y35">
        <v>19.291387710382097</v>
      </c>
      <c r="Z35">
        <v>34.010942819437453</v>
      </c>
      <c r="AA35">
        <v>70.824999999999989</v>
      </c>
      <c r="AB35">
        <v>35.135750000000002</v>
      </c>
      <c r="AC35">
        <f t="shared" si="12"/>
        <v>-1.6106790781659365E-2</v>
      </c>
      <c r="AD35">
        <f t="shared" si="13"/>
        <v>4.5698032781159317E-2</v>
      </c>
      <c r="AE35">
        <f t="shared" si="14"/>
        <v>6.1804823562818682E-2</v>
      </c>
      <c r="AF35">
        <f t="shared" si="15"/>
        <v>0.61349386149323959</v>
      </c>
      <c r="AH35">
        <f t="shared" si="16"/>
        <v>1.2216928708903323E-2</v>
      </c>
      <c r="AI35">
        <f t="shared" si="17"/>
        <v>0.16204650412874322</v>
      </c>
      <c r="AJ35">
        <f t="shared" si="18"/>
        <v>0.14982957541983991</v>
      </c>
      <c r="AK35">
        <f t="shared" si="19"/>
        <v>0.68299148196325665</v>
      </c>
      <c r="AM35">
        <f t="shared" si="20"/>
        <v>0.15480391113849964</v>
      </c>
      <c r="AN35">
        <f t="shared" si="21"/>
        <v>0.23019825429409974</v>
      </c>
      <c r="AO35">
        <f t="shared" si="22"/>
        <v>7.5394343155600091E-2</v>
      </c>
      <c r="AP35">
        <f t="shared" si="23"/>
        <v>0.34099549245830929</v>
      </c>
      <c r="AR35">
        <f t="shared" si="24"/>
        <v>-0.16834028639423476</v>
      </c>
      <c r="AS35">
        <f t="shared" si="25"/>
        <v>0.10093278200599785</v>
      </c>
      <c r="AT35">
        <f t="shared" si="26"/>
        <v>0.26927306840023263</v>
      </c>
      <c r="AU35">
        <f t="shared" si="27"/>
        <v>0.684615419045431</v>
      </c>
    </row>
    <row r="36" spans="1:47" x14ac:dyDescent="0.25">
      <c r="A36" s="4">
        <f>DATE(2024,6,11)</f>
        <v>45454</v>
      </c>
      <c r="B36">
        <v>-0.73911457790156243</v>
      </c>
      <c r="C36">
        <v>44.984500356865937</v>
      </c>
      <c r="D36">
        <v>0.20108423169983719</v>
      </c>
      <c r="E36">
        <f t="shared" si="0"/>
        <v>-1.4494394630581522</v>
      </c>
      <c r="F36">
        <f t="shared" si="1"/>
        <v>-0.28473164538256962</v>
      </c>
      <c r="G36">
        <f t="shared" si="2"/>
        <v>-0.99170226571237396</v>
      </c>
      <c r="H36" s="2" t="str">
        <f t="shared" si="3"/>
        <v>Lower</v>
      </c>
      <c r="I36" s="2" t="str">
        <f t="shared" si="4"/>
        <v>Higher</v>
      </c>
      <c r="J36" s="2" t="str">
        <f t="shared" si="5"/>
        <v>Higher</v>
      </c>
      <c r="K36" s="2" t="str">
        <f t="shared" si="6"/>
        <v>Lower</v>
      </c>
      <c r="L36" s="2" t="str">
        <f t="shared" si="7"/>
        <v>Higher</v>
      </c>
      <c r="M36" s="2" t="str">
        <f t="shared" si="8"/>
        <v>Higher</v>
      </c>
      <c r="N36" s="2" t="str">
        <f t="shared" si="9"/>
        <v>Lower</v>
      </c>
      <c r="O36" s="2" t="str">
        <f t="shared" si="10"/>
        <v>Higher</v>
      </c>
      <c r="P36" s="2" t="str">
        <f t="shared" si="11"/>
        <v>Higher</v>
      </c>
      <c r="R36" s="4">
        <f>DATE(2024,6,11)</f>
        <v>45454</v>
      </c>
      <c r="S36">
        <v>-0.69063687178248401</v>
      </c>
      <c r="T36">
        <v>0.72263980263569949</v>
      </c>
      <c r="U36">
        <v>0.89973525233712004</v>
      </c>
      <c r="V36">
        <v>0.75180906463521191</v>
      </c>
      <c r="X36" s="4">
        <f>DATE(2024,6,11)</f>
        <v>45454</v>
      </c>
      <c r="Y36">
        <v>20.368398976985929</v>
      </c>
      <c r="Z36">
        <v>34.113339966365835</v>
      </c>
      <c r="AA36">
        <v>70.825000000000003</v>
      </c>
      <c r="AB36">
        <v>34.371249999999996</v>
      </c>
      <c r="AC36">
        <f t="shared" si="12"/>
        <v>-2.9013758101758547E-2</v>
      </c>
      <c r="AD36">
        <f t="shared" si="13"/>
        <v>-2.0272560158406797E-3</v>
      </c>
      <c r="AE36">
        <f t="shared" si="14"/>
        <v>2.6986502085917866E-2</v>
      </c>
      <c r="AF36">
        <f t="shared" si="15"/>
        <v>0.29397645724124583</v>
      </c>
      <c r="AH36">
        <f t="shared" si="16"/>
        <v>8.9349622926659638E-3</v>
      </c>
      <c r="AI36">
        <f t="shared" si="17"/>
        <v>0.14550118649875338</v>
      </c>
      <c r="AJ36">
        <f t="shared" si="18"/>
        <v>0.13656622420608741</v>
      </c>
      <c r="AK36">
        <f t="shared" si="19"/>
        <v>0.63234261328425467</v>
      </c>
      <c r="AM36">
        <f t="shared" si="20"/>
        <v>0.14905133744107074</v>
      </c>
      <c r="AN36">
        <f t="shared" si="21"/>
        <v>0.17678430994205963</v>
      </c>
      <c r="AO36">
        <f t="shared" si="22"/>
        <v>2.7732972500988884E-2</v>
      </c>
      <c r="AP36">
        <f t="shared" si="23"/>
        <v>0.25076107891252025</v>
      </c>
      <c r="AR36">
        <f t="shared" si="24"/>
        <v>-0.17081306476169136</v>
      </c>
      <c r="AS36">
        <f t="shared" si="25"/>
        <v>-9.684920150156956E-3</v>
      </c>
      <c r="AT36">
        <f t="shared" si="26"/>
        <v>0.16112814461153441</v>
      </c>
      <c r="AU36">
        <f t="shared" si="27"/>
        <v>0.56157936577140011</v>
      </c>
    </row>
    <row r="37" spans="1:47" x14ac:dyDescent="0.25">
      <c r="A37" s="4">
        <f>DATE(2024,6,10)</f>
        <v>45453</v>
      </c>
      <c r="B37">
        <v>-0.71876274006770191</v>
      </c>
      <c r="C37">
        <v>45.506409132348303</v>
      </c>
      <c r="D37">
        <v>0.22550541617992434</v>
      </c>
      <c r="E37">
        <f t="shared" si="0"/>
        <v>-1.4288343062581275</v>
      </c>
      <c r="F37">
        <f t="shared" si="1"/>
        <v>-0.22941330484993153</v>
      </c>
      <c r="G37">
        <f t="shared" si="2"/>
        <v>-0.91618312905416133</v>
      </c>
      <c r="H37" s="2" t="str">
        <f t="shared" si="3"/>
        <v>Lower</v>
      </c>
      <c r="I37" s="2" t="str">
        <f t="shared" si="4"/>
        <v>Higher</v>
      </c>
      <c r="J37" s="2" t="str">
        <f t="shared" si="5"/>
        <v>Higher</v>
      </c>
      <c r="K37" s="2" t="str">
        <f t="shared" si="6"/>
        <v>Lower</v>
      </c>
      <c r="L37" s="2" t="str">
        <f t="shared" si="7"/>
        <v>Higher</v>
      </c>
      <c r="M37" s="2" t="str">
        <f t="shared" si="8"/>
        <v>Higher</v>
      </c>
      <c r="N37" s="2" t="str">
        <f t="shared" si="9"/>
        <v>Lower</v>
      </c>
      <c r="O37" s="2" t="str">
        <f t="shared" si="10"/>
        <v>Higher</v>
      </c>
      <c r="P37" s="2" t="str">
        <f t="shared" si="11"/>
        <v>Higher</v>
      </c>
      <c r="R37" s="4">
        <f>DATE(2024,6,10)</f>
        <v>45453</v>
      </c>
      <c r="S37">
        <v>-0.28888650552657796</v>
      </c>
      <c r="T37">
        <v>0.79991838087482059</v>
      </c>
      <c r="U37">
        <v>0.91089164100262243</v>
      </c>
      <c r="V37">
        <v>0.75294726992510042</v>
      </c>
      <c r="X37" s="4">
        <f>DATE(2024,6,10)</f>
        <v>45453</v>
      </c>
      <c r="Y37">
        <v>18.891777932860705</v>
      </c>
      <c r="Z37">
        <v>33.833906570692726</v>
      </c>
      <c r="AA37">
        <v>70.52000000000001</v>
      </c>
      <c r="AB37">
        <v>33.905249999999995</v>
      </c>
      <c r="AC37">
        <f t="shared" si="12"/>
        <v>-6.55173740091132E-2</v>
      </c>
      <c r="AD37">
        <f t="shared" si="13"/>
        <v>-7.5268622911596125E-2</v>
      </c>
      <c r="AE37">
        <f t="shared" si="14"/>
        <v>-9.7512489024829258E-3</v>
      </c>
      <c r="AF37">
        <f t="shared" si="15"/>
        <v>-3.7203877505178035E-2</v>
      </c>
      <c r="AH37">
        <f t="shared" si="16"/>
        <v>8.0799172426783156E-3</v>
      </c>
      <c r="AI37">
        <f t="shared" si="17"/>
        <v>0.13751996732040303</v>
      </c>
      <c r="AJ37">
        <f t="shared" si="18"/>
        <v>0.12944005007772472</v>
      </c>
      <c r="AK37">
        <f t="shared" si="19"/>
        <v>0.60585753985491919</v>
      </c>
      <c r="AM37">
        <f t="shared" si="20"/>
        <v>0.14236210091442761</v>
      </c>
      <c r="AN37">
        <f t="shared" si="21"/>
        <v>0.16650725535476882</v>
      </c>
      <c r="AO37">
        <f t="shared" si="22"/>
        <v>2.414515444034121E-2</v>
      </c>
      <c r="AP37">
        <f t="shared" si="23"/>
        <v>0.24489000973568703</v>
      </c>
      <c r="AR37">
        <f t="shared" si="24"/>
        <v>-0.17999682038526205</v>
      </c>
      <c r="AS37" t="str">
        <f t="shared" si="25"/>
        <v/>
      </c>
      <c r="AT37" t="str">
        <f t="shared" si="26"/>
        <v/>
      </c>
      <c r="AU37" t="str">
        <f t="shared" si="27"/>
        <v/>
      </c>
    </row>
    <row r="38" spans="1:47" x14ac:dyDescent="0.25">
      <c r="A38" s="4">
        <f>DATE(2024,6,7)</f>
        <v>45450</v>
      </c>
      <c r="B38">
        <v>-0.66151178865113591</v>
      </c>
      <c r="C38">
        <v>47.273855081655739</v>
      </c>
      <c r="D38">
        <v>0.30150322979598121</v>
      </c>
      <c r="E38">
        <f t="shared" si="0"/>
        <v>-1.3407885587965944</v>
      </c>
      <c r="F38">
        <f t="shared" si="1"/>
        <v>-6.5426540699694904E-2</v>
      </c>
      <c r="G38">
        <f t="shared" si="2"/>
        <v>-0.67815783029332799</v>
      </c>
      <c r="H38" s="2" t="str">
        <f t="shared" si="3"/>
        <v>Lower</v>
      </c>
      <c r="I38" s="2" t="str">
        <f t="shared" si="4"/>
        <v>Higher</v>
      </c>
      <c r="J38" s="2" t="str">
        <f t="shared" si="5"/>
        <v>Higher</v>
      </c>
      <c r="K38" s="2" t="str">
        <f t="shared" si="6"/>
        <v>Lower</v>
      </c>
      <c r="L38" s="2" t="str">
        <f t="shared" si="7"/>
        <v>Higher</v>
      </c>
      <c r="M38" s="2" t="str">
        <f t="shared" si="8"/>
        <v>Higher</v>
      </c>
      <c r="N38" s="2" t="str">
        <f t="shared" si="9"/>
        <v>Lower</v>
      </c>
      <c r="O38" s="2" t="str">
        <f t="shared" si="10"/>
        <v>Higher</v>
      </c>
      <c r="P38" s="2" t="str">
        <f t="shared" si="11"/>
        <v>Higher</v>
      </c>
      <c r="R38" s="4">
        <f>DATE(2024,6,7)</f>
        <v>45450</v>
      </c>
      <c r="S38">
        <v>0.99790923463740255</v>
      </c>
      <c r="T38">
        <v>0.84888141173250597</v>
      </c>
      <c r="U38">
        <v>0.92304509344870622</v>
      </c>
      <c r="V38">
        <v>0.75297686085023752</v>
      </c>
      <c r="X38" s="4">
        <f>DATE(2024,6,7)</f>
        <v>45450</v>
      </c>
      <c r="Y38">
        <v>20.048296443313866</v>
      </c>
      <c r="Z38">
        <v>31.446918334429618</v>
      </c>
      <c r="AA38">
        <v>71.42</v>
      </c>
      <c r="AB38">
        <v>33.109499999999997</v>
      </c>
      <c r="AC38">
        <f t="shared" si="12"/>
        <v>-4.3998127008987274E-2</v>
      </c>
      <c r="AD38">
        <f t="shared" si="13"/>
        <v>-4.313707643274825E-2</v>
      </c>
      <c r="AE38">
        <f t="shared" si="14"/>
        <v>8.6105057623902387E-4</v>
      </c>
      <c r="AF38">
        <f t="shared" si="15"/>
        <v>5.6630958498916334E-2</v>
      </c>
      <c r="AH38">
        <f t="shared" si="16"/>
        <v>-1.7041035695613126E-2</v>
      </c>
      <c r="AI38">
        <f t="shared" si="17"/>
        <v>8.802918039421391E-2</v>
      </c>
      <c r="AJ38">
        <f t="shared" si="18"/>
        <v>0.10507021608982703</v>
      </c>
      <c r="AK38">
        <f t="shared" si="19"/>
        <v>0.51224839417304024</v>
      </c>
      <c r="AM38">
        <f t="shared" si="20"/>
        <v>0.18609511970938988</v>
      </c>
      <c r="AN38">
        <f t="shared" si="21"/>
        <v>0.21004803342395797</v>
      </c>
      <c r="AO38">
        <f t="shared" si="22"/>
        <v>2.3952913714568091E-2</v>
      </c>
      <c r="AP38">
        <f t="shared" si="23"/>
        <v>0.24568389080979353</v>
      </c>
      <c r="AR38">
        <f t="shared" si="24"/>
        <v>-0.17976297978877018</v>
      </c>
      <c r="AS38">
        <f t="shared" si="25"/>
        <v>-7.4657943536721991E-2</v>
      </c>
      <c r="AT38">
        <f t="shared" si="26"/>
        <v>0.10510503625204819</v>
      </c>
      <c r="AU38">
        <f t="shared" si="27"/>
        <v>0.49709413571014316</v>
      </c>
    </row>
    <row r="39" spans="1:47" x14ac:dyDescent="0.25">
      <c r="A39" s="4">
        <f>DATE(2024,6,6)</f>
        <v>45449</v>
      </c>
      <c r="B39">
        <v>-0.59555451536530168</v>
      </c>
      <c r="C39">
        <v>49.418572656968941</v>
      </c>
      <c r="D39">
        <v>0.37380334964184153</v>
      </c>
      <c r="E39">
        <f t="shared" si="0"/>
        <v>-1.2353123113198476</v>
      </c>
      <c r="F39">
        <f t="shared" si="1"/>
        <v>0.1261120575628247</v>
      </c>
      <c r="G39">
        <f t="shared" si="2"/>
        <v>-0.45216770368161069</v>
      </c>
      <c r="H39" s="2" t="str">
        <f t="shared" si="3"/>
        <v>Lower</v>
      </c>
      <c r="I39" s="2" t="str">
        <f t="shared" si="4"/>
        <v>Higher</v>
      </c>
      <c r="J39" s="2" t="str">
        <f t="shared" si="5"/>
        <v>Higher</v>
      </c>
      <c r="K39" s="2" t="str">
        <f t="shared" si="6"/>
        <v>Lower</v>
      </c>
      <c r="L39" s="2" t="str">
        <f t="shared" si="7"/>
        <v>Higher</v>
      </c>
      <c r="M39" s="2" t="str">
        <f t="shared" si="8"/>
        <v>Higher</v>
      </c>
      <c r="N39" s="2" t="str">
        <f t="shared" si="9"/>
        <v>Lower</v>
      </c>
      <c r="O39" s="2" t="str">
        <f t="shared" si="10"/>
        <v>Higher</v>
      </c>
      <c r="P39" s="2" t="str">
        <f t="shared" si="11"/>
        <v>Higher</v>
      </c>
      <c r="R39" s="4">
        <f>DATE(2024,6,6)</f>
        <v>45449</v>
      </c>
      <c r="S39">
        <v>0.86974707520626526</v>
      </c>
      <c r="T39">
        <v>0.86295787377757927</v>
      </c>
      <c r="U39">
        <v>0.92866455788729219</v>
      </c>
      <c r="V39">
        <v>0.74916476496490203</v>
      </c>
      <c r="X39" s="4">
        <f>DATE(2024,6,6)</f>
        <v>45449</v>
      </c>
      <c r="Y39">
        <v>20.654841884033797</v>
      </c>
      <c r="Z39">
        <v>32.683055229263267</v>
      </c>
      <c r="AA39">
        <v>72.13</v>
      </c>
      <c r="AB39">
        <v>33.6205</v>
      </c>
      <c r="AC39">
        <f t="shared" si="12"/>
        <v>-3.9817747191293627E-2</v>
      </c>
      <c r="AD39">
        <f t="shared" si="13"/>
        <v>-3.4308958152536928E-2</v>
      </c>
      <c r="AE39">
        <f t="shared" si="14"/>
        <v>5.5087890387566993E-3</v>
      </c>
      <c r="AF39">
        <f t="shared" si="15"/>
        <v>9.9546838657541534E-2</v>
      </c>
      <c r="AH39">
        <f t="shared" si="16"/>
        <v>-1.1064309339077913E-2</v>
      </c>
      <c r="AI39">
        <f t="shared" si="17"/>
        <v>8.3813633335746471E-2</v>
      </c>
      <c r="AJ39">
        <f t="shared" si="18"/>
        <v>9.4877942674824384E-2</v>
      </c>
      <c r="AK39">
        <f t="shared" si="19"/>
        <v>0.47443454779712907</v>
      </c>
      <c r="AM39">
        <f t="shared" si="20"/>
        <v>0.2211353099273812</v>
      </c>
      <c r="AN39">
        <f t="shared" si="21"/>
        <v>0.26308655497049793</v>
      </c>
      <c r="AO39">
        <f t="shared" si="22"/>
        <v>4.1951245043116731E-2</v>
      </c>
      <c r="AP39">
        <f t="shared" si="23"/>
        <v>0.28194278361425368</v>
      </c>
      <c r="AR39">
        <f t="shared" si="24"/>
        <v>-0.17701032849190518</v>
      </c>
      <c r="AS39">
        <f t="shared" si="25"/>
        <v>-6.7535357168482524E-2</v>
      </c>
      <c r="AT39">
        <f t="shared" si="26"/>
        <v>0.10947497132342265</v>
      </c>
      <c r="AU39">
        <f t="shared" si="27"/>
        <v>0.50175940310521849</v>
      </c>
    </row>
    <row r="40" spans="1:47" x14ac:dyDescent="0.25">
      <c r="A40" s="4">
        <f>DATE(2024,6,5)</f>
        <v>45448</v>
      </c>
      <c r="B40">
        <v>-0.53584915659229981</v>
      </c>
      <c r="C40">
        <v>48.564141857973581</v>
      </c>
      <c r="D40">
        <v>0.33621702925548613</v>
      </c>
      <c r="E40">
        <f t="shared" si="0"/>
        <v>-1.1365552925600515</v>
      </c>
      <c r="F40">
        <f t="shared" si="1"/>
        <v>6.5116831624234942E-2</v>
      </c>
      <c r="G40">
        <f t="shared" si="2"/>
        <v>-0.55862489759077594</v>
      </c>
      <c r="H40" s="2" t="str">
        <f t="shared" si="3"/>
        <v>Lower</v>
      </c>
      <c r="I40" s="2" t="str">
        <f t="shared" si="4"/>
        <v>Higher</v>
      </c>
      <c r="J40" s="2" t="str">
        <f t="shared" si="5"/>
        <v>Higher</v>
      </c>
      <c r="K40" s="2" t="str">
        <f t="shared" si="6"/>
        <v>Lower</v>
      </c>
      <c r="L40" s="2" t="str">
        <f t="shared" si="7"/>
        <v>Higher</v>
      </c>
      <c r="M40" s="2" t="str">
        <f t="shared" si="8"/>
        <v>Higher</v>
      </c>
      <c r="N40" s="2" t="str">
        <f t="shared" si="9"/>
        <v>Lower</v>
      </c>
      <c r="O40" s="2" t="str">
        <f t="shared" si="10"/>
        <v>Higher</v>
      </c>
      <c r="P40" s="2" t="str">
        <f t="shared" si="11"/>
        <v>Higher</v>
      </c>
      <c r="R40" s="4">
        <f>DATE(2024,6,5)</f>
        <v>45448</v>
      </c>
      <c r="S40">
        <v>0.83645004281686119</v>
      </c>
      <c r="T40">
        <v>0.87581831072380401</v>
      </c>
      <c r="U40">
        <v>0.93381208353232947</v>
      </c>
      <c r="V40">
        <v>0.74545229216441478</v>
      </c>
      <c r="X40" s="4">
        <f>DATE(2024,6,5)</f>
        <v>45448</v>
      </c>
      <c r="Y40">
        <v>21.671393601863741</v>
      </c>
      <c r="Z40">
        <v>34.39848264070416</v>
      </c>
      <c r="AA40">
        <v>71.974999999999994</v>
      </c>
      <c r="AB40">
        <v>33.566249999999997</v>
      </c>
      <c r="AC40">
        <f t="shared" si="12"/>
        <v>-2.8658003100999429E-2</v>
      </c>
      <c r="AD40">
        <f t="shared" si="13"/>
        <v>-8.8461701806218564E-3</v>
      </c>
      <c r="AE40">
        <f t="shared" si="14"/>
        <v>1.9811832920377574E-2</v>
      </c>
      <c r="AF40">
        <f t="shared" si="15"/>
        <v>0.22533800814861357</v>
      </c>
      <c r="AH40">
        <f t="shared" si="16"/>
        <v>7.4608999299958217E-3</v>
      </c>
      <c r="AI40">
        <f t="shared" si="17"/>
        <v>9.3232125953445349E-2</v>
      </c>
      <c r="AJ40">
        <f t="shared" si="18"/>
        <v>8.5771226023449526E-2</v>
      </c>
      <c r="AK40">
        <f t="shared" si="19"/>
        <v>0.44036252530424719</v>
      </c>
      <c r="AM40">
        <f t="shared" si="20"/>
        <v>0.24416000983011293</v>
      </c>
      <c r="AN40">
        <f t="shared" si="21"/>
        <v>0.29678756607495405</v>
      </c>
      <c r="AO40">
        <f t="shared" si="22"/>
        <v>5.2627556244841112E-2</v>
      </c>
      <c r="AP40">
        <f t="shared" si="23"/>
        <v>0.30401521787445546</v>
      </c>
      <c r="AR40">
        <f t="shared" si="24"/>
        <v>-0.17747598158591074</v>
      </c>
      <c r="AS40">
        <f t="shared" si="25"/>
        <v>-5.9589696618054466E-2</v>
      </c>
      <c r="AT40">
        <f t="shared" si="26"/>
        <v>0.11788628496785628</v>
      </c>
      <c r="AU40">
        <f t="shared" si="27"/>
        <v>0.51073847867518585</v>
      </c>
    </row>
    <row r="41" spans="1:47" x14ac:dyDescent="0.25">
      <c r="A41" s="4">
        <f>DATE(2024,6,4)</f>
        <v>45447</v>
      </c>
      <c r="B41">
        <v>-0.39247722214385972</v>
      </c>
      <c r="C41">
        <v>49.992666188082445</v>
      </c>
      <c r="D41">
        <v>0.39255785664072257</v>
      </c>
      <c r="E41">
        <f t="shared" si="0"/>
        <v>-0.88737593510748569</v>
      </c>
      <c r="F41">
        <f t="shared" si="1"/>
        <v>0.19527155415212144</v>
      </c>
      <c r="G41">
        <f t="shared" si="2"/>
        <v>-0.37929528672777812</v>
      </c>
      <c r="H41" s="2" t="str">
        <f t="shared" si="3"/>
        <v>Lower</v>
      </c>
      <c r="I41" s="2" t="str">
        <f t="shared" si="4"/>
        <v>Higher</v>
      </c>
      <c r="J41" s="2" t="str">
        <f t="shared" si="5"/>
        <v>Higher</v>
      </c>
      <c r="K41" s="2" t="str">
        <f t="shared" si="6"/>
        <v>Lower</v>
      </c>
      <c r="L41" s="2" t="str">
        <f t="shared" si="7"/>
        <v>Higher</v>
      </c>
      <c r="M41" s="2" t="str">
        <f t="shared" si="8"/>
        <v>Higher</v>
      </c>
      <c r="N41" s="2" t="str">
        <f t="shared" si="9"/>
        <v>Lower</v>
      </c>
      <c r="O41" s="2" t="str">
        <f t="shared" si="10"/>
        <v>Higher</v>
      </c>
      <c r="P41" s="2" t="str">
        <f t="shared" si="11"/>
        <v>Higher</v>
      </c>
      <c r="R41" s="4">
        <f>DATE(2024,6,4)</f>
        <v>45447</v>
      </c>
      <c r="S41">
        <v>0.69897206956947056</v>
      </c>
      <c r="T41">
        <v>0.88998659419730786</v>
      </c>
      <c r="U41">
        <v>0.93618089548440464</v>
      </c>
      <c r="V41">
        <v>0.74302034328859801</v>
      </c>
      <c r="X41" s="4">
        <f>DATE(2024,6,4)</f>
        <v>45447</v>
      </c>
      <c r="Y41">
        <v>23.048836726784884</v>
      </c>
      <c r="Z41">
        <v>36.18426803444855</v>
      </c>
      <c r="AA41">
        <v>72.91</v>
      </c>
      <c r="AB41">
        <v>34.440999999999995</v>
      </c>
      <c r="AC41">
        <f t="shared" si="12"/>
        <v>-2.6594252617274525E-2</v>
      </c>
      <c r="AD41">
        <f t="shared" si="13"/>
        <v>1.8431946075957995E-2</v>
      </c>
      <c r="AE41">
        <f t="shared" si="14"/>
        <v>4.5026198693232516E-2</v>
      </c>
      <c r="AF41">
        <f t="shared" si="15"/>
        <v>0.44837353052883261</v>
      </c>
      <c r="AH41">
        <f t="shared" si="16"/>
        <v>1.6874535953558117E-2</v>
      </c>
      <c r="AI41">
        <f t="shared" si="17"/>
        <v>9.8477118360757204E-2</v>
      </c>
      <c r="AJ41">
        <f t="shared" si="18"/>
        <v>8.1602582407199087E-2</v>
      </c>
      <c r="AK41">
        <f t="shared" si="19"/>
        <v>0.42601376862220941</v>
      </c>
      <c r="AM41">
        <f t="shared" si="20"/>
        <v>0.25804293322093513</v>
      </c>
      <c r="AN41">
        <f t="shared" si="21"/>
        <v>0.33128118078247443</v>
      </c>
      <c r="AO41">
        <f t="shared" si="22"/>
        <v>7.3238247561539294E-2</v>
      </c>
      <c r="AP41">
        <f t="shared" si="23"/>
        <v>0.34593998549953769</v>
      </c>
      <c r="AR41">
        <f t="shared" si="24"/>
        <v>-0.15592233287056478</v>
      </c>
      <c r="AS41">
        <f t="shared" si="25"/>
        <v>-3.0848202981330172E-2</v>
      </c>
      <c r="AT41">
        <f t="shared" si="26"/>
        <v>0.12507412988923461</v>
      </c>
      <c r="AU41">
        <f t="shared" si="27"/>
        <v>0.51875752610543202</v>
      </c>
    </row>
    <row r="42" spans="1:47" x14ac:dyDescent="0.25">
      <c r="A42" s="4">
        <f>DATE(2024,6,3)</f>
        <v>45446</v>
      </c>
      <c r="B42">
        <v>-0.20999315597025547</v>
      </c>
      <c r="C42">
        <v>56.807545378558196</v>
      </c>
      <c r="D42">
        <v>0.63998525846345511</v>
      </c>
      <c r="E42">
        <f t="shared" si="0"/>
        <v>-0.56730750390238582</v>
      </c>
      <c r="F42">
        <f t="shared" si="1"/>
        <v>0.76435381954616599</v>
      </c>
      <c r="G42">
        <f t="shared" si="2"/>
        <v>0.3688995446598467</v>
      </c>
      <c r="H42" s="2" t="str">
        <f t="shared" si="3"/>
        <v>Lower</v>
      </c>
      <c r="I42" s="2" t="str">
        <f t="shared" si="4"/>
        <v>Higher</v>
      </c>
      <c r="J42" s="2" t="str">
        <f t="shared" si="5"/>
        <v>Higher</v>
      </c>
      <c r="K42" s="2" t="str">
        <f t="shared" si="6"/>
        <v>Lower</v>
      </c>
      <c r="L42" s="2" t="str">
        <f t="shared" si="7"/>
        <v>Higher</v>
      </c>
      <c r="M42" s="2" t="str">
        <f t="shared" si="8"/>
        <v>Higher</v>
      </c>
      <c r="N42" s="2" t="str">
        <f t="shared" si="9"/>
        <v>Lower</v>
      </c>
      <c r="O42" s="2" t="str">
        <f t="shared" si="10"/>
        <v>Higher</v>
      </c>
      <c r="P42" s="2" t="str">
        <f t="shared" si="11"/>
        <v>Higher</v>
      </c>
      <c r="R42" s="4">
        <f>DATE(2024,6,3)</f>
        <v>45446</v>
      </c>
      <c r="S42">
        <v>0.47865583483649993</v>
      </c>
      <c r="T42">
        <v>0.89687812480525597</v>
      </c>
      <c r="U42">
        <v>0.93962697481984525</v>
      </c>
      <c r="V42">
        <v>0.74209571847152223</v>
      </c>
      <c r="X42" s="4">
        <f>DATE(2024,6,3)</f>
        <v>45446</v>
      </c>
      <c r="Y42">
        <v>24.533304289944684</v>
      </c>
      <c r="Z42">
        <v>40.730356464216065</v>
      </c>
      <c r="AA42">
        <v>75.295000000000002</v>
      </c>
      <c r="AB42">
        <v>36.555750000000003</v>
      </c>
      <c r="AC42">
        <f t="shared" si="12"/>
        <v>-1.260368394873819E-2</v>
      </c>
      <c r="AD42" t="str">
        <f t="shared" si="13"/>
        <v/>
      </c>
      <c r="AE42" t="str">
        <f t="shared" si="14"/>
        <v/>
      </c>
      <c r="AF42" t="str">
        <f t="shared" si="15"/>
        <v/>
      </c>
      <c r="AH42">
        <f t="shared" si="16"/>
        <v>2.9687969225912384E-2</v>
      </c>
      <c r="AI42">
        <f t="shared" si="17"/>
        <v>0.14491426121249265</v>
      </c>
      <c r="AJ42">
        <f t="shared" si="18"/>
        <v>0.11522629198658027</v>
      </c>
      <c r="AK42">
        <f t="shared" si="19"/>
        <v>0.55895892148437676</v>
      </c>
      <c r="AM42">
        <f t="shared" si="20"/>
        <v>0.28461000921333096</v>
      </c>
      <c r="AN42">
        <f t="shared" si="21"/>
        <v>0.36917110661754271</v>
      </c>
      <c r="AO42">
        <f t="shared" si="22"/>
        <v>8.4561097404211749E-2</v>
      </c>
      <c r="AP42">
        <f t="shared" si="23"/>
        <v>0.3700262854216011</v>
      </c>
      <c r="AR42">
        <f t="shared" si="24"/>
        <v>-0.12888468136345377</v>
      </c>
      <c r="AS42">
        <f t="shared" si="25"/>
        <v>-3.0841495591346166E-2</v>
      </c>
      <c r="AT42">
        <f t="shared" si="26"/>
        <v>9.8043185772107605E-2</v>
      </c>
      <c r="AU42">
        <f t="shared" si="27"/>
        <v>0.48785308344364453</v>
      </c>
    </row>
    <row r="43" spans="1:47" x14ac:dyDescent="0.25">
      <c r="A43" s="4">
        <f>DATE(2024,5,31)</f>
        <v>45443</v>
      </c>
      <c r="B43">
        <v>-0.15794582176872973</v>
      </c>
      <c r="C43">
        <v>55.62904839087453</v>
      </c>
      <c r="D43">
        <v>0.5981222696021703</v>
      </c>
      <c r="E43">
        <f t="shared" si="0"/>
        <v>-0.47284621017516781</v>
      </c>
      <c r="F43">
        <f t="shared" si="1"/>
        <v>0.68154534357883734</v>
      </c>
      <c r="G43">
        <f t="shared" si="2"/>
        <v>0.25713903802309324</v>
      </c>
      <c r="H43" s="2" t="str">
        <f t="shared" si="3"/>
        <v>Higher</v>
      </c>
      <c r="I43" s="2" t="str">
        <f t="shared" si="4"/>
        <v>Higher</v>
      </c>
      <c r="J43" s="2" t="str">
        <f t="shared" si="5"/>
        <v>Higher</v>
      </c>
      <c r="K43" s="2" t="str">
        <f t="shared" si="6"/>
        <v>Lower</v>
      </c>
      <c r="L43" s="2" t="str">
        <f t="shared" si="7"/>
        <v>Higher</v>
      </c>
      <c r="M43" s="2" t="str">
        <f t="shared" si="8"/>
        <v>Higher</v>
      </c>
      <c r="N43" s="2" t="str">
        <f t="shared" si="9"/>
        <v>Lower</v>
      </c>
      <c r="O43" s="2" t="str">
        <f t="shared" si="10"/>
        <v>Higher</v>
      </c>
      <c r="P43" s="2" t="str">
        <f t="shared" si="11"/>
        <v>Higher</v>
      </c>
      <c r="R43" s="4">
        <f>DATE(2024,5,31)</f>
        <v>45443</v>
      </c>
      <c r="S43">
        <v>0.52580259098756066</v>
      </c>
      <c r="T43">
        <v>0.90808216636271499</v>
      </c>
      <c r="U43">
        <v>0.94732888488649813</v>
      </c>
      <c r="V43">
        <v>0.73677649030676229</v>
      </c>
      <c r="X43" s="4">
        <f>DATE(2024,5,31)</f>
        <v>45443</v>
      </c>
      <c r="Y43">
        <v>23.401393466509425</v>
      </c>
      <c r="Z43">
        <v>35.343023773237483</v>
      </c>
      <c r="AA43">
        <v>74.632499999999993</v>
      </c>
      <c r="AB43">
        <v>34.569000000000003</v>
      </c>
      <c r="AC43">
        <f t="shared" si="12"/>
        <v>-1.0794707519176099E-2</v>
      </c>
      <c r="AD43">
        <f t="shared" si="13"/>
        <v>6.8648992776874302E-3</v>
      </c>
      <c r="AE43">
        <f t="shared" si="14"/>
        <v>1.7659606796863528E-2</v>
      </c>
      <c r="AF43">
        <f t="shared" si="15"/>
        <v>0.21098264051532697</v>
      </c>
      <c r="AH43">
        <f t="shared" si="16"/>
        <v>2.9161935972730663E-2</v>
      </c>
      <c r="AI43">
        <f t="shared" si="17"/>
        <v>0.11803528043279603</v>
      </c>
      <c r="AJ43">
        <f t="shared" si="18"/>
        <v>8.8873344460065368E-2</v>
      </c>
      <c r="AK43">
        <f t="shared" si="19"/>
        <v>0.45871625343495187</v>
      </c>
      <c r="AM43">
        <f t="shared" si="20"/>
        <v>0.24005116709311464</v>
      </c>
      <c r="AN43">
        <f t="shared" si="21"/>
        <v>0.27007638775328024</v>
      </c>
      <c r="AO43">
        <f t="shared" si="22"/>
        <v>3.0025220660165608E-2</v>
      </c>
      <c r="AP43">
        <f t="shared" si="23"/>
        <v>0.26845913092910489</v>
      </c>
      <c r="AR43">
        <f t="shared" si="24"/>
        <v>-0.13529682492358241</v>
      </c>
      <c r="AS43">
        <f t="shared" si="25"/>
        <v>-3.883219719653544E-3</v>
      </c>
      <c r="AT43">
        <f t="shared" si="26"/>
        <v>0.13141360520392886</v>
      </c>
      <c r="AU43">
        <f t="shared" si="27"/>
        <v>0.52544180397129325</v>
      </c>
    </row>
    <row r="44" spans="1:47" x14ac:dyDescent="0.25">
      <c r="A44" s="4">
        <f>DATE(2024,5,30)</f>
        <v>45442</v>
      </c>
      <c r="B44">
        <v>-4.319218963825433E-2</v>
      </c>
      <c r="C44">
        <v>60.099818519107288</v>
      </c>
      <c r="D44">
        <v>0.75684851490336391</v>
      </c>
      <c r="E44">
        <f t="shared" si="0"/>
        <v>-0.27057755008581524</v>
      </c>
      <c r="F44">
        <f t="shared" si="1"/>
        <v>1.0563973685288073</v>
      </c>
      <c r="G44">
        <f t="shared" si="2"/>
        <v>0.7319131052880723</v>
      </c>
      <c r="H44" s="2" t="str">
        <f t="shared" si="3"/>
        <v>Higher</v>
      </c>
      <c r="I44" s="2" t="str">
        <f t="shared" si="4"/>
        <v>Higher</v>
      </c>
      <c r="J44" s="2" t="str">
        <f t="shared" si="5"/>
        <v>Higher</v>
      </c>
      <c r="K44" s="2" t="str">
        <f t="shared" si="6"/>
        <v>Lower</v>
      </c>
      <c r="L44" s="2" t="str">
        <f t="shared" si="7"/>
        <v>Higher</v>
      </c>
      <c r="M44" s="2" t="str">
        <f t="shared" si="8"/>
        <v>Higher</v>
      </c>
      <c r="N44" s="2" t="str">
        <f t="shared" si="9"/>
        <v>Higher</v>
      </c>
      <c r="O44" s="2" t="str">
        <f t="shared" si="10"/>
        <v>Higher</v>
      </c>
      <c r="P44" s="2" t="str">
        <f t="shared" si="11"/>
        <v>Higher</v>
      </c>
      <c r="R44" s="4">
        <f>DATE(2024,5,30)</f>
        <v>45442</v>
      </c>
      <c r="S44">
        <v>0.71834661564457414</v>
      </c>
      <c r="T44">
        <v>0.9064787471574477</v>
      </c>
      <c r="U44">
        <v>0.94806848435438384</v>
      </c>
      <c r="V44">
        <v>0.73326122027294194</v>
      </c>
      <c r="X44" s="4">
        <f>DATE(2024,5,30)</f>
        <v>45442</v>
      </c>
      <c r="Y44">
        <v>23.523220418081596</v>
      </c>
      <c r="Z44">
        <v>35.58254541746475</v>
      </c>
      <c r="AA44">
        <v>75.06</v>
      </c>
      <c r="AB44">
        <v>34.793999999999997</v>
      </c>
      <c r="AC44">
        <f t="shared" si="12"/>
        <v>-1.6450673235963272E-2</v>
      </c>
      <c r="AD44">
        <f t="shared" si="13"/>
        <v>-9.2973364350708264E-3</v>
      </c>
      <c r="AE44">
        <f t="shared" si="14"/>
        <v>7.1533368008924458E-3</v>
      </c>
      <c r="AF44">
        <f t="shared" si="15"/>
        <v>0.11779430160908809</v>
      </c>
      <c r="AH44">
        <f t="shared" si="16"/>
        <v>5.0620375154520371E-2</v>
      </c>
      <c r="AI44">
        <f t="shared" si="17"/>
        <v>0.13561108758507143</v>
      </c>
      <c r="AJ44">
        <f t="shared" si="18"/>
        <v>8.4990712430551063E-2</v>
      </c>
      <c r="AK44">
        <f t="shared" si="19"/>
        <v>0.44444785243909379</v>
      </c>
      <c r="AM44">
        <f t="shared" si="20"/>
        <v>0.23732402297883509</v>
      </c>
      <c r="AN44">
        <f t="shared" si="21"/>
        <v>0.28493632925695972</v>
      </c>
      <c r="AO44">
        <f t="shared" si="22"/>
        <v>4.7612306278124628E-2</v>
      </c>
      <c r="AP44">
        <f t="shared" si="23"/>
        <v>0.30618937495802362</v>
      </c>
      <c r="AR44">
        <f t="shared" si="24"/>
        <v>-0.1366988330150693</v>
      </c>
      <c r="AS44">
        <f t="shared" si="25"/>
        <v>7.529920495493643E-2</v>
      </c>
      <c r="AT44">
        <f t="shared" si="26"/>
        <v>0.21199803797000571</v>
      </c>
      <c r="AU44">
        <f t="shared" si="27"/>
        <v>0.61643500733688505</v>
      </c>
    </row>
    <row r="45" spans="1:47" x14ac:dyDescent="0.25">
      <c r="A45" s="4">
        <f>DATE(2024,5,29)</f>
        <v>45441</v>
      </c>
      <c r="B45">
        <v>-2.6927133572130391E-2</v>
      </c>
      <c r="C45">
        <v>56.268728997106344</v>
      </c>
      <c r="D45">
        <v>0.60215642626793442</v>
      </c>
      <c r="E45">
        <f t="shared" si="0"/>
        <v>-0.23556236762247842</v>
      </c>
      <c r="F45">
        <f t="shared" si="1"/>
        <v>0.76209590938536065</v>
      </c>
      <c r="G45">
        <f t="shared" si="2"/>
        <v>0.29449906131858888</v>
      </c>
      <c r="H45" s="2" t="str">
        <f t="shared" si="3"/>
        <v>Higher</v>
      </c>
      <c r="I45" s="2" t="str">
        <f t="shared" si="4"/>
        <v>Higher</v>
      </c>
      <c r="J45" s="2" t="str">
        <f t="shared" si="5"/>
        <v>Higher</v>
      </c>
      <c r="K45" s="2" t="str">
        <f t="shared" si="6"/>
        <v>Lower</v>
      </c>
      <c r="L45" s="2" t="str">
        <f t="shared" si="7"/>
        <v>Higher</v>
      </c>
      <c r="M45" s="2" t="str">
        <f t="shared" si="8"/>
        <v>Higher</v>
      </c>
      <c r="N45" s="2" t="str">
        <f t="shared" si="9"/>
        <v>Higher</v>
      </c>
      <c r="O45" s="2" t="str">
        <f t="shared" si="10"/>
        <v>Higher</v>
      </c>
      <c r="P45" s="2" t="str">
        <f t="shared" si="11"/>
        <v>Higher</v>
      </c>
      <c r="R45" s="4">
        <f>DATE(2024,5,29)</f>
        <v>45441</v>
      </c>
      <c r="S45">
        <v>0.65543119936508154</v>
      </c>
      <c r="T45">
        <v>0.90209544420410293</v>
      </c>
      <c r="U45">
        <v>0.94810080924582207</v>
      </c>
      <c r="V45">
        <v>0.73203982440133608</v>
      </c>
      <c r="X45" s="4">
        <f>DATE(2024,5,29)</f>
        <v>45441</v>
      </c>
      <c r="Y45">
        <v>24.286967401402539</v>
      </c>
      <c r="Z45">
        <v>33.912535596228643</v>
      </c>
      <c r="AA45">
        <v>74.067499999999995</v>
      </c>
      <c r="AB45">
        <v>33.864499999999992</v>
      </c>
      <c r="AC45">
        <f t="shared" si="12"/>
        <v>-3.0416677805905741E-2</v>
      </c>
      <c r="AD45">
        <f t="shared" si="13"/>
        <v>-6.6221509327180628E-3</v>
      </c>
      <c r="AE45">
        <f t="shared" si="14"/>
        <v>2.3794526873187678E-2</v>
      </c>
      <c r="AF45">
        <f t="shared" si="15"/>
        <v>0.26378169144355618</v>
      </c>
      <c r="AH45">
        <f t="shared" si="16"/>
        <v>8.4550438906059663E-2</v>
      </c>
      <c r="AI45">
        <f t="shared" si="17"/>
        <v>0.16381646111106027</v>
      </c>
      <c r="AJ45">
        <f t="shared" si="18"/>
        <v>7.9266022205000605E-2</v>
      </c>
      <c r="AK45">
        <f t="shared" si="19"/>
        <v>0.42288877812896569</v>
      </c>
      <c r="AM45">
        <f t="shared" si="20"/>
        <v>0.21351141812798169</v>
      </c>
      <c r="AN45">
        <f t="shared" si="21"/>
        <v>0.22788316847532111</v>
      </c>
      <c r="AO45">
        <f t="shared" si="22"/>
        <v>1.4371750347339424E-2</v>
      </c>
      <c r="AP45">
        <f t="shared" si="23"/>
        <v>0.24250323490875508</v>
      </c>
      <c r="AR45">
        <f t="shared" si="24"/>
        <v>-0.17811045458663746</v>
      </c>
      <c r="AS45">
        <f t="shared" si="25"/>
        <v>-0.11877833879357125</v>
      </c>
      <c r="AT45">
        <f t="shared" si="26"/>
        <v>5.9332115793066215E-2</v>
      </c>
      <c r="AU45">
        <f t="shared" si="27"/>
        <v>0.44358078362351583</v>
      </c>
    </row>
    <row r="46" spans="1:47" x14ac:dyDescent="0.25">
      <c r="A46" s="4">
        <f>DATE(2024,5,28)</f>
        <v>45440</v>
      </c>
      <c r="B46">
        <v>0.1361401943514835</v>
      </c>
      <c r="C46">
        <v>58.590382565079913</v>
      </c>
      <c r="D46">
        <v>0.69373421219416209</v>
      </c>
      <c r="E46">
        <f t="shared" si="0"/>
        <v>4.9598590409733689E-2</v>
      </c>
      <c r="F46">
        <f t="shared" si="1"/>
        <v>0.96153602905583591</v>
      </c>
      <c r="G46">
        <f t="shared" si="2"/>
        <v>0.57039707920885074</v>
      </c>
      <c r="H46" s="2" t="str">
        <f t="shared" si="3"/>
        <v>Higher</v>
      </c>
      <c r="I46" s="2" t="str">
        <f t="shared" si="4"/>
        <v>Higher</v>
      </c>
      <c r="J46" s="2" t="str">
        <f t="shared" si="5"/>
        <v>Higher</v>
      </c>
      <c r="K46" s="2" t="str">
        <f t="shared" si="6"/>
        <v>Lower</v>
      </c>
      <c r="L46" s="2" t="str">
        <f t="shared" si="7"/>
        <v>Higher</v>
      </c>
      <c r="M46" s="2" t="str">
        <f t="shared" si="8"/>
        <v>Higher</v>
      </c>
      <c r="N46" s="2" t="str">
        <f t="shared" si="9"/>
        <v>Higher</v>
      </c>
      <c r="O46" s="2" t="str">
        <f t="shared" si="10"/>
        <v>Higher</v>
      </c>
      <c r="P46" s="2" t="str">
        <f t="shared" si="11"/>
        <v>Higher</v>
      </c>
      <c r="R46" s="4">
        <f>DATE(2024,5,28)</f>
        <v>45440</v>
      </c>
      <c r="S46">
        <v>0.1304632871018955</v>
      </c>
      <c r="T46">
        <v>0.90563198977356651</v>
      </c>
      <c r="U46">
        <v>0.95012844548374753</v>
      </c>
      <c r="V46">
        <v>0.73274905517314282</v>
      </c>
      <c r="X46" s="4">
        <f>DATE(2024,5,28)</f>
        <v>45440</v>
      </c>
      <c r="Y46">
        <v>25.985670179735109</v>
      </c>
      <c r="Z46">
        <v>35.431584185839817</v>
      </c>
      <c r="AA46">
        <v>74.875</v>
      </c>
      <c r="AB46">
        <v>33.811999999999998</v>
      </c>
      <c r="AC46">
        <f t="shared" si="12"/>
        <v>-8.9415410671953976E-3</v>
      </c>
      <c r="AD46">
        <f t="shared" si="13"/>
        <v>3.5407455781949239E-2</v>
      </c>
      <c r="AE46">
        <f t="shared" si="14"/>
        <v>4.4348996849144638E-2</v>
      </c>
      <c r="AF46">
        <f t="shared" si="15"/>
        <v>0.44522018505368288</v>
      </c>
      <c r="AH46">
        <f t="shared" si="16"/>
        <v>9.6238824550896829E-2</v>
      </c>
      <c r="AI46">
        <f t="shared" si="17"/>
        <v>0.1518747414361877</v>
      </c>
      <c r="AJ46">
        <f t="shared" si="18"/>
        <v>5.5635916885290876E-2</v>
      </c>
      <c r="AK46">
        <f t="shared" si="19"/>
        <v>0.33253134703191356</v>
      </c>
      <c r="AM46">
        <f t="shared" si="20"/>
        <v>0.22493982140473057</v>
      </c>
      <c r="AN46">
        <f t="shared" si="21"/>
        <v>0.20407847624473974</v>
      </c>
      <c r="AO46">
        <f t="shared" si="22"/>
        <v>-2.086134515999083E-2</v>
      </c>
      <c r="AP46">
        <f t="shared" si="23"/>
        <v>0.17861693786051414</v>
      </c>
      <c r="AR46">
        <f t="shared" si="24"/>
        <v>-0.17825095703375826</v>
      </c>
      <c r="AS46">
        <f t="shared" si="25"/>
        <v>-0.22792919528197406</v>
      </c>
      <c r="AT46">
        <f t="shared" si="26"/>
        <v>-4.9678238248215795E-2</v>
      </c>
      <c r="AU46">
        <f t="shared" si="27"/>
        <v>0.31928016785822527</v>
      </c>
    </row>
    <row r="47" spans="1:47" x14ac:dyDescent="0.25">
      <c r="A47" s="4">
        <f>DATE(2024,5,27)</f>
        <v>45439</v>
      </c>
      <c r="B47">
        <v>0.28143166652991258</v>
      </c>
      <c r="C47">
        <v>64.304856885234997</v>
      </c>
      <c r="D47">
        <v>0.87347896824153326</v>
      </c>
      <c r="E47">
        <f t="shared" si="0"/>
        <v>0.30311199989570919</v>
      </c>
      <c r="F47">
        <f t="shared" si="1"/>
        <v>1.4354213680597927</v>
      </c>
      <c r="G47">
        <f t="shared" si="2"/>
        <v>1.0939770416014498</v>
      </c>
      <c r="H47" s="2" t="str">
        <f t="shared" si="3"/>
        <v>Higher</v>
      </c>
      <c r="I47" s="2" t="str">
        <f t="shared" si="4"/>
        <v>Higher</v>
      </c>
      <c r="J47" s="2" t="str">
        <f t="shared" si="5"/>
        <v>Higher</v>
      </c>
      <c r="K47" s="2" t="str">
        <f t="shared" si="6"/>
        <v>Lower</v>
      </c>
      <c r="L47" s="2" t="str">
        <f t="shared" si="7"/>
        <v>Higher</v>
      </c>
      <c r="M47" s="2" t="str">
        <f t="shared" si="8"/>
        <v>Higher</v>
      </c>
      <c r="N47" s="2" t="str">
        <f t="shared" si="9"/>
        <v>Higher</v>
      </c>
      <c r="O47" s="2" t="str">
        <f t="shared" si="10"/>
        <v>Higher</v>
      </c>
      <c r="P47" s="2" t="str">
        <f t="shared" si="11"/>
        <v>Higher</v>
      </c>
      <c r="R47" s="4">
        <f>DATE(2024,5,27)</f>
        <v>45439</v>
      </c>
      <c r="X47" s="4">
        <f>DATE(2024,5,27)</f>
        <v>45439</v>
      </c>
      <c r="Y47">
        <v>27.43819258727077</v>
      </c>
      <c r="AA47">
        <v>76.25</v>
      </c>
      <c r="AC47">
        <f t="shared" si="12"/>
        <v>3.5576214871444752E-2</v>
      </c>
      <c r="AD47" t="str">
        <f t="shared" si="13"/>
        <v/>
      </c>
      <c r="AE47" t="str">
        <f t="shared" si="14"/>
        <v/>
      </c>
      <c r="AF47" t="str">
        <f t="shared" si="15"/>
        <v/>
      </c>
      <c r="AH47">
        <f t="shared" si="16"/>
        <v>0.14682783067801319</v>
      </c>
      <c r="AI47" t="str">
        <f t="shared" si="17"/>
        <v/>
      </c>
      <c r="AJ47" t="str">
        <f t="shared" si="18"/>
        <v/>
      </c>
      <c r="AK47" t="str">
        <f t="shared" si="19"/>
        <v/>
      </c>
      <c r="AM47">
        <f t="shared" si="20"/>
        <v>0.30296770363773395</v>
      </c>
      <c r="AN47" t="str">
        <f t="shared" si="21"/>
        <v/>
      </c>
      <c r="AO47" t="str">
        <f t="shared" si="22"/>
        <v/>
      </c>
      <c r="AP47" t="str">
        <f t="shared" si="23"/>
        <v/>
      </c>
      <c r="AR47">
        <f t="shared" si="24"/>
        <v>-0.14141417611474394</v>
      </c>
      <c r="AS47" t="str">
        <f t="shared" si="25"/>
        <v/>
      </c>
      <c r="AT47" t="str">
        <f t="shared" si="26"/>
        <v/>
      </c>
      <c r="AU47" t="str">
        <f t="shared" si="27"/>
        <v/>
      </c>
    </row>
    <row r="48" spans="1:47" x14ac:dyDescent="0.25">
      <c r="A48" s="4">
        <f>DATE(2024,5,24)</f>
        <v>45436</v>
      </c>
      <c r="B48">
        <v>0.28998106381834132</v>
      </c>
      <c r="C48">
        <v>63.021418054382494</v>
      </c>
      <c r="D48">
        <v>0.83413498521937046</v>
      </c>
      <c r="E48">
        <f t="shared" si="0"/>
        <v>0.32290874742896419</v>
      </c>
      <c r="F48">
        <f t="shared" si="1"/>
        <v>1.3578751291684203</v>
      </c>
      <c r="G48">
        <f t="shared" si="2"/>
        <v>0.99848890766720322</v>
      </c>
      <c r="H48" s="2" t="str">
        <f t="shared" si="3"/>
        <v>Higher</v>
      </c>
      <c r="I48" s="2" t="str">
        <f t="shared" si="4"/>
        <v>Higher</v>
      </c>
      <c r="J48" s="2" t="str">
        <f t="shared" si="5"/>
        <v>Higher</v>
      </c>
      <c r="K48" s="2" t="str">
        <f t="shared" si="6"/>
        <v>Lower</v>
      </c>
      <c r="L48" s="2" t="str">
        <f t="shared" si="7"/>
        <v>Higher</v>
      </c>
      <c r="M48" s="2" t="str">
        <f t="shared" si="8"/>
        <v>Higher</v>
      </c>
      <c r="N48" s="2" t="str">
        <f t="shared" si="9"/>
        <v>Lower</v>
      </c>
      <c r="O48" s="2" t="str">
        <f t="shared" si="10"/>
        <v>Higher</v>
      </c>
      <c r="P48" s="2" t="str">
        <f t="shared" si="11"/>
        <v>Higher</v>
      </c>
      <c r="R48" s="4">
        <f>DATE(2024,5,24)</f>
        <v>45436</v>
      </c>
      <c r="S48">
        <v>0.66610938263648223</v>
      </c>
      <c r="T48">
        <v>0.90003170882133632</v>
      </c>
      <c r="U48">
        <v>0.95133466294210745</v>
      </c>
      <c r="V48">
        <v>0.72689778243760261</v>
      </c>
      <c r="X48" s="4">
        <f>DATE(2024,5,24)</f>
        <v>45436</v>
      </c>
      <c r="Y48">
        <v>27.716319890851647</v>
      </c>
      <c r="Z48">
        <v>37.920127404293993</v>
      </c>
      <c r="AA48">
        <v>75.442499999999995</v>
      </c>
      <c r="AB48">
        <v>34.332499999999996</v>
      </c>
      <c r="AC48">
        <f t="shared" si="12"/>
        <v>6.5951189624274972E-2</v>
      </c>
      <c r="AD48">
        <f t="shared" si="13"/>
        <v>0.11176462837129009</v>
      </c>
      <c r="AE48">
        <f t="shared" si="14"/>
        <v>4.5813438747015114E-2</v>
      </c>
      <c r="AF48">
        <f t="shared" si="15"/>
        <v>0.46089102539347526</v>
      </c>
      <c r="AH48">
        <f t="shared" si="16"/>
        <v>0.11268866747596477</v>
      </c>
      <c r="AI48">
        <f t="shared" si="17"/>
        <v>0.16087119005835829</v>
      </c>
      <c r="AJ48">
        <f t="shared" si="18"/>
        <v>4.8182522582393514E-2</v>
      </c>
      <c r="AK48">
        <f t="shared" si="19"/>
        <v>0.30696042448568411</v>
      </c>
      <c r="AM48">
        <f t="shared" si="20"/>
        <v>0.29516601697691031</v>
      </c>
      <c r="AN48">
        <f t="shared" si="21"/>
        <v>0.29112984029094441</v>
      </c>
      <c r="AO48">
        <f t="shared" si="22"/>
        <v>-4.0361766859658976E-3</v>
      </c>
      <c r="AP48">
        <f t="shared" si="23"/>
        <v>0.21671294614002232</v>
      </c>
      <c r="AR48">
        <f t="shared" si="24"/>
        <v>-0.15504500094812662</v>
      </c>
      <c r="AS48">
        <f t="shared" si="25"/>
        <v>-6.2964885019565917E-2</v>
      </c>
      <c r="AT48">
        <f t="shared" si="26"/>
        <v>9.2080115928560705E-2</v>
      </c>
      <c r="AU48">
        <f t="shared" si="27"/>
        <v>0.47895664340996619</v>
      </c>
    </row>
    <row r="49" spans="1:47" x14ac:dyDescent="0.25">
      <c r="A49" s="4">
        <f>DATE(2024,5,23)</f>
        <v>45435</v>
      </c>
      <c r="B49">
        <v>0.31587315116450188</v>
      </c>
      <c r="C49">
        <v>63.685882367883018</v>
      </c>
      <c r="D49">
        <v>0.8834220423690704</v>
      </c>
      <c r="E49">
        <f t="shared" si="0"/>
        <v>0.37069189443625739</v>
      </c>
      <c r="F49">
        <f t="shared" si="1"/>
        <v>1.4345003991198459</v>
      </c>
      <c r="G49">
        <f t="shared" si="2"/>
        <v>1.1526293798496359</v>
      </c>
      <c r="H49" s="2" t="str">
        <f t="shared" si="3"/>
        <v>Higher</v>
      </c>
      <c r="I49" s="2" t="str">
        <f t="shared" si="4"/>
        <v>Higher</v>
      </c>
      <c r="J49" s="2" t="str">
        <f t="shared" si="5"/>
        <v>Higher</v>
      </c>
      <c r="K49" s="2" t="str">
        <f t="shared" si="6"/>
        <v>Lower</v>
      </c>
      <c r="L49" s="2" t="str">
        <f t="shared" si="7"/>
        <v>Higher</v>
      </c>
      <c r="M49" s="2" t="str">
        <f t="shared" si="8"/>
        <v>Higher</v>
      </c>
      <c r="N49" s="2" t="str">
        <f t="shared" si="9"/>
        <v>Lower</v>
      </c>
      <c r="O49" s="2" t="str">
        <f t="shared" si="10"/>
        <v>Higher</v>
      </c>
      <c r="P49" s="2" t="str">
        <f t="shared" si="11"/>
        <v>Higher</v>
      </c>
      <c r="R49" s="4">
        <f>DATE(2024,5,23)</f>
        <v>45435</v>
      </c>
      <c r="S49">
        <v>0.81933949661141736</v>
      </c>
      <c r="T49">
        <v>0.88934801002242714</v>
      </c>
      <c r="U49">
        <v>0.9516750721323054</v>
      </c>
      <c r="V49">
        <v>0.72172996956301028</v>
      </c>
      <c r="X49" s="4">
        <f>DATE(2024,5,23)</f>
        <v>45435</v>
      </c>
      <c r="Y49">
        <v>29.673943922313633</v>
      </c>
      <c r="Z49">
        <v>41.967950600868392</v>
      </c>
      <c r="AA49">
        <v>76.305000000000007</v>
      </c>
      <c r="AB49">
        <v>35.119</v>
      </c>
      <c r="AC49">
        <f t="shared" si="12"/>
        <v>8.4958336430604769E-2</v>
      </c>
      <c r="AD49">
        <f t="shared" si="13"/>
        <v>0.1512646749381234</v>
      </c>
      <c r="AE49">
        <f t="shared" si="14"/>
        <v>6.6306338507518631E-2</v>
      </c>
      <c r="AF49">
        <f t="shared" si="15"/>
        <v>0.64104517078834156</v>
      </c>
      <c r="AH49">
        <f t="shared" si="16"/>
        <v>0.11049932562615854</v>
      </c>
      <c r="AI49">
        <f t="shared" si="17"/>
        <v>0.16128523251099727</v>
      </c>
      <c r="AJ49">
        <f t="shared" si="18"/>
        <v>5.0785906884838736E-2</v>
      </c>
      <c r="AK49">
        <f t="shared" si="19"/>
        <v>0.31869638584290744</v>
      </c>
      <c r="AM49">
        <f t="shared" si="20"/>
        <v>0.30457693349765064</v>
      </c>
      <c r="AN49">
        <f t="shared" si="21"/>
        <v>0.33911675079868259</v>
      </c>
      <c r="AO49">
        <f t="shared" si="22"/>
        <v>3.453981730103195E-2</v>
      </c>
      <c r="AP49">
        <f t="shared" si="23"/>
        <v>0.29117953964055393</v>
      </c>
      <c r="AR49">
        <f t="shared" si="24"/>
        <v>-0.15178893891448128</v>
      </c>
      <c r="AS49">
        <f t="shared" si="25"/>
        <v>-6.0921048867824887E-2</v>
      </c>
      <c r="AT49">
        <f t="shared" si="26"/>
        <v>9.0867890046656394E-2</v>
      </c>
      <c r="AU49">
        <f t="shared" si="27"/>
        <v>0.47704553281629036</v>
      </c>
    </row>
    <row r="50" spans="1:47" x14ac:dyDescent="0.25">
      <c r="A50" s="4">
        <f>DATE(2024,5,22)</f>
        <v>45434</v>
      </c>
      <c r="B50">
        <v>0.28279667263478081</v>
      </c>
      <c r="C50">
        <v>64.957756642884902</v>
      </c>
      <c r="D50">
        <v>0.96939055298226295</v>
      </c>
      <c r="E50">
        <f t="shared" si="0"/>
        <v>0.31858750409747466</v>
      </c>
      <c r="F50">
        <f t="shared" si="1"/>
        <v>1.563711567565089</v>
      </c>
      <c r="G50">
        <f t="shared" si="2"/>
        <v>1.4159238213245466</v>
      </c>
      <c r="H50" s="2" t="str">
        <f t="shared" si="3"/>
        <v>Lower</v>
      </c>
      <c r="I50" s="2" t="str">
        <f t="shared" si="4"/>
        <v>Higher</v>
      </c>
      <c r="J50" s="2" t="str">
        <f t="shared" si="5"/>
        <v>Higher</v>
      </c>
      <c r="K50" s="2" t="str">
        <f t="shared" si="6"/>
        <v>Lower</v>
      </c>
      <c r="L50" s="2" t="str">
        <f t="shared" si="7"/>
        <v>Higher</v>
      </c>
      <c r="M50" s="2" t="str">
        <f t="shared" si="8"/>
        <v>Higher</v>
      </c>
      <c r="N50" s="2" t="str">
        <f t="shared" si="9"/>
        <v>Lower</v>
      </c>
      <c r="O50" s="2" t="str">
        <f t="shared" si="10"/>
        <v>Higher</v>
      </c>
      <c r="P50" s="2" t="str">
        <f t="shared" si="11"/>
        <v>Higher</v>
      </c>
      <c r="R50" s="4">
        <f>DATE(2024,5,22)</f>
        <v>45434</v>
      </c>
      <c r="S50">
        <v>0.92912635761240192</v>
      </c>
      <c r="T50">
        <v>0.89121796141823062</v>
      </c>
      <c r="U50">
        <v>0.95763324794466498</v>
      </c>
      <c r="V50">
        <v>0.71402817033975263</v>
      </c>
      <c r="X50" s="4">
        <f>DATE(2024,5,22)</f>
        <v>45434</v>
      </c>
      <c r="Y50">
        <v>30.093777844232939</v>
      </c>
      <c r="Z50">
        <v>39.607644436557599</v>
      </c>
      <c r="AA50">
        <v>76.35499999999999</v>
      </c>
      <c r="AB50">
        <v>34.089500000000001</v>
      </c>
      <c r="AC50">
        <f t="shared" si="12"/>
        <v>8.7398400397467893E-2</v>
      </c>
      <c r="AD50">
        <f t="shared" si="13"/>
        <v>0.13181679246092395</v>
      </c>
      <c r="AE50">
        <f t="shared" si="14"/>
        <v>4.4418392063456061E-2</v>
      </c>
      <c r="AF50">
        <f t="shared" si="15"/>
        <v>0.44951459618858869</v>
      </c>
      <c r="AH50">
        <f t="shared" si="16"/>
        <v>0.14135446115184469</v>
      </c>
      <c r="AI50">
        <f t="shared" si="17"/>
        <v>0.16544198477421146</v>
      </c>
      <c r="AJ50">
        <f t="shared" si="18"/>
        <v>2.4087523622366769E-2</v>
      </c>
      <c r="AK50">
        <f t="shared" si="19"/>
        <v>0.21522311598581112</v>
      </c>
      <c r="AM50">
        <f t="shared" si="20"/>
        <v>0.28356509228612259</v>
      </c>
      <c r="AN50">
        <f t="shared" si="21"/>
        <v>0.28827382751180464</v>
      </c>
      <c r="AO50">
        <f t="shared" si="22"/>
        <v>4.7087352256820481E-3</v>
      </c>
      <c r="AP50">
        <f t="shared" si="23"/>
        <v>0.2347318961292105</v>
      </c>
      <c r="AR50">
        <f t="shared" si="24"/>
        <v>-0.14381654145474196</v>
      </c>
      <c r="AS50">
        <f t="shared" si="25"/>
        <v>-0.12528565031754191</v>
      </c>
      <c r="AT50">
        <f t="shared" si="26"/>
        <v>1.8530891137200051E-2</v>
      </c>
      <c r="AU50">
        <f t="shared" si="27"/>
        <v>0.39430347923332404</v>
      </c>
    </row>
    <row r="51" spans="1:47" x14ac:dyDescent="0.25">
      <c r="A51" s="4">
        <f>DATE(2024,5,21)</f>
        <v>45433</v>
      </c>
      <c r="B51">
        <v>0.13918855407037922</v>
      </c>
      <c r="C51">
        <v>65.078451151550126</v>
      </c>
      <c r="D51">
        <v>1.0373910565338433</v>
      </c>
      <c r="E51">
        <f t="shared" si="0"/>
        <v>7.7420463178458701E-2</v>
      </c>
      <c r="F51">
        <f t="shared" si="1"/>
        <v>1.6043295878892452</v>
      </c>
      <c r="G51">
        <f t="shared" si="2"/>
        <v>1.6360459136457939</v>
      </c>
      <c r="H51" s="2" t="str">
        <f t="shared" si="3"/>
        <v>Lower</v>
      </c>
      <c r="I51" s="2" t="str">
        <f t="shared" si="4"/>
        <v>Higher</v>
      </c>
      <c r="J51" s="2" t="str">
        <f t="shared" si="5"/>
        <v>Higher</v>
      </c>
      <c r="K51" s="2" t="str">
        <f t="shared" si="6"/>
        <v>Lower</v>
      </c>
      <c r="L51" s="2" t="str">
        <f t="shared" si="7"/>
        <v>Higher</v>
      </c>
      <c r="M51" s="2" t="str">
        <f t="shared" si="8"/>
        <v>Higher</v>
      </c>
      <c r="N51" s="2" t="str">
        <f t="shared" si="9"/>
        <v>Lower</v>
      </c>
      <c r="O51" s="2" t="str">
        <f t="shared" si="10"/>
        <v>Higher</v>
      </c>
      <c r="P51" s="2" t="str">
        <f t="shared" si="11"/>
        <v>Higher</v>
      </c>
      <c r="R51" s="4">
        <f>DATE(2024,5,21)</f>
        <v>45433</v>
      </c>
      <c r="S51">
        <v>0.98507175315914519</v>
      </c>
      <c r="T51">
        <v>0.89809607950516068</v>
      </c>
      <c r="U51">
        <v>0.96006585866482963</v>
      </c>
      <c r="V51">
        <v>0.70758689262806373</v>
      </c>
      <c r="X51" s="4">
        <f>DATE(2024,5,21)</f>
        <v>45433</v>
      </c>
      <c r="Y51">
        <v>29.479153116052181</v>
      </c>
      <c r="Z51">
        <v>35.345751869149289</v>
      </c>
      <c r="AA51">
        <v>75.547499999999999</v>
      </c>
      <c r="AB51">
        <v>32.635750000000002</v>
      </c>
      <c r="AC51">
        <f t="shared" si="12"/>
        <v>7.3484514078894336E-2</v>
      </c>
      <c r="AD51">
        <f t="shared" si="13"/>
        <v>9.368904065668715E-2</v>
      </c>
      <c r="AE51">
        <f t="shared" si="14"/>
        <v>2.0204526577792814E-2</v>
      </c>
      <c r="AF51">
        <f t="shared" si="15"/>
        <v>0.23806700761527705</v>
      </c>
      <c r="AH51">
        <f t="shared" si="16"/>
        <v>0.13540993170237367</v>
      </c>
      <c r="AI51">
        <f t="shared" si="17"/>
        <v>0.12556258027370867</v>
      </c>
      <c r="AJ51">
        <f t="shared" si="18"/>
        <v>-9.8473514286649966E-3</v>
      </c>
      <c r="AK51">
        <f t="shared" si="19"/>
        <v>8.3348761942241639E-2</v>
      </c>
      <c r="AM51">
        <f t="shared" si="20"/>
        <v>0.31711028106125577</v>
      </c>
      <c r="AN51">
        <f t="shared" si="21"/>
        <v>0.29922098304006423</v>
      </c>
      <c r="AO51">
        <f t="shared" si="22"/>
        <v>-1.7889298021191546E-2</v>
      </c>
      <c r="AP51">
        <f t="shared" si="23"/>
        <v>0.1910003265549062</v>
      </c>
      <c r="AR51">
        <f t="shared" si="24"/>
        <v>-0.14561926213664408</v>
      </c>
      <c r="AS51">
        <f t="shared" si="25"/>
        <v>-0.16736457368586749</v>
      </c>
      <c r="AT51">
        <f t="shared" si="26"/>
        <v>-2.1745311549223406E-2</v>
      </c>
      <c r="AU51">
        <f t="shared" si="27"/>
        <v>0.34789184063276529</v>
      </c>
    </row>
    <row r="52" spans="1:47" x14ac:dyDescent="0.25">
      <c r="A52" s="4">
        <f>DATE(2024,5,20)</f>
        <v>45432</v>
      </c>
      <c r="B52">
        <v>-0.13107407480493105</v>
      </c>
      <c r="C52">
        <v>61.727378188512589</v>
      </c>
      <c r="D52">
        <v>0.92046319550180733</v>
      </c>
      <c r="E52">
        <f t="shared" si="0"/>
        <v>-0.38350575527237579</v>
      </c>
      <c r="F52">
        <f t="shared" si="1"/>
        <v>1.3577545019929926</v>
      </c>
      <c r="G52">
        <f t="shared" si="2"/>
        <v>1.3305623429344018</v>
      </c>
      <c r="H52" s="2" t="str">
        <f t="shared" si="3"/>
        <v>Lower</v>
      </c>
      <c r="I52" s="2" t="str">
        <f t="shared" si="4"/>
        <v>Higher</v>
      </c>
      <c r="J52" s="2" t="str">
        <f t="shared" si="5"/>
        <v>Higher</v>
      </c>
      <c r="K52" s="2" t="str">
        <f t="shared" si="6"/>
        <v>Lower</v>
      </c>
      <c r="L52" s="2" t="str">
        <f t="shared" si="7"/>
        <v>Higher</v>
      </c>
      <c r="M52" s="2" t="str">
        <f t="shared" si="8"/>
        <v>Higher</v>
      </c>
      <c r="N52" s="2" t="str">
        <f t="shared" si="9"/>
        <v>Lower</v>
      </c>
      <c r="O52" s="2" t="str">
        <f t="shared" si="10"/>
        <v>Higher</v>
      </c>
      <c r="P52" s="2" t="str">
        <f t="shared" si="11"/>
        <v>Higher</v>
      </c>
      <c r="R52" s="4">
        <f>DATE(2024,5,20)</f>
        <v>45432</v>
      </c>
      <c r="S52">
        <v>0.92323300105646844</v>
      </c>
      <c r="T52">
        <v>0.89650322216769263</v>
      </c>
      <c r="U52">
        <v>0.95982632493403919</v>
      </c>
      <c r="V52">
        <v>0.70082960930896421</v>
      </c>
      <c r="X52" s="4">
        <f>DATE(2024,5,20)</f>
        <v>45432</v>
      </c>
      <c r="Y52">
        <v>27.841937902092351</v>
      </c>
      <c r="Z52">
        <v>33.271720334994789</v>
      </c>
      <c r="AA52">
        <v>73.585000000000008</v>
      </c>
      <c r="AB52">
        <v>31.737750000000002</v>
      </c>
      <c r="AC52">
        <f t="shared" si="12"/>
        <v>5.062476032908509E-2</v>
      </c>
      <c r="AD52">
        <f t="shared" si="13"/>
        <v>7.1456921784804797E-2</v>
      </c>
      <c r="AE52">
        <f t="shared" si="14"/>
        <v>2.0832161455719707E-2</v>
      </c>
      <c r="AF52">
        <f t="shared" si="15"/>
        <v>0.24552658043060424</v>
      </c>
      <c r="AH52">
        <f t="shared" si="16"/>
        <v>9.8011385421692215E-2</v>
      </c>
      <c r="AI52">
        <f t="shared" si="17"/>
        <v>7.2100128360916491E-2</v>
      </c>
      <c r="AJ52">
        <f t="shared" si="18"/>
        <v>-2.5911257060775725E-2</v>
      </c>
      <c r="AK52">
        <f t="shared" si="19"/>
        <v>2.1192636299622303E-2</v>
      </c>
      <c r="AM52">
        <f t="shared" si="20"/>
        <v>0.31857264829286303</v>
      </c>
      <c r="AN52">
        <f t="shared" si="21"/>
        <v>0.28684482953026458</v>
      </c>
      <c r="AO52">
        <f t="shared" si="22"/>
        <v>-3.1727818762598448E-2</v>
      </c>
      <c r="AP52">
        <f t="shared" si="23"/>
        <v>0.16529740027169187</v>
      </c>
      <c r="AR52">
        <f t="shared" si="24"/>
        <v>-0.17211128864707095</v>
      </c>
      <c r="AS52">
        <f t="shared" si="25"/>
        <v>-9.2455330810519487E-2</v>
      </c>
      <c r="AT52">
        <f t="shared" si="26"/>
        <v>7.9655957836551466E-2</v>
      </c>
      <c r="AU52">
        <f t="shared" si="27"/>
        <v>0.46195715512151669</v>
      </c>
    </row>
    <row r="53" spans="1:47" x14ac:dyDescent="0.25">
      <c r="A53" s="4">
        <f>DATE(2024,5,17)</f>
        <v>45429</v>
      </c>
      <c r="B53">
        <v>-0.36953386773339103</v>
      </c>
      <c r="C53">
        <v>54.709724516442037</v>
      </c>
      <c r="D53">
        <v>0.6140926054639777</v>
      </c>
      <c r="E53">
        <f t="shared" si="0"/>
        <v>-0.79540084992390192</v>
      </c>
      <c r="F53">
        <f t="shared" si="1"/>
        <v>0.79316858614582753</v>
      </c>
      <c r="G53">
        <f t="shared" si="2"/>
        <v>0.46399365117888086</v>
      </c>
      <c r="H53" s="2" t="str">
        <f t="shared" si="3"/>
        <v>Lower</v>
      </c>
      <c r="I53" s="2" t="str">
        <f t="shared" si="4"/>
        <v>Higher</v>
      </c>
      <c r="J53" s="2" t="str">
        <f t="shared" si="5"/>
        <v>Higher</v>
      </c>
      <c r="K53" s="2" t="str">
        <f t="shared" si="6"/>
        <v>Lower</v>
      </c>
      <c r="L53" s="2" t="str">
        <f t="shared" si="7"/>
        <v>Higher</v>
      </c>
      <c r="M53" s="2" t="str">
        <f t="shared" si="8"/>
        <v>Higher</v>
      </c>
      <c r="N53" s="2" t="str">
        <f t="shared" si="9"/>
        <v>Lower</v>
      </c>
      <c r="O53" s="2" t="str">
        <f t="shared" si="10"/>
        <v>Higher</v>
      </c>
      <c r="P53" s="2" t="str">
        <f t="shared" si="11"/>
        <v>Higher</v>
      </c>
      <c r="R53" s="4">
        <f>DATE(2024,5,17)</f>
        <v>45429</v>
      </c>
      <c r="S53">
        <v>0.76361516877051139</v>
      </c>
      <c r="T53">
        <v>0.89806145108337487</v>
      </c>
      <c r="U53">
        <v>0.96029087719145412</v>
      </c>
      <c r="V53">
        <v>0.69078186616491999</v>
      </c>
      <c r="X53" s="4">
        <f>DATE(2024,5,17)</f>
        <v>45429</v>
      </c>
      <c r="Y53">
        <v>22.481810482359716</v>
      </c>
      <c r="Z53">
        <v>29.457436288598505</v>
      </c>
      <c r="AA53">
        <v>70.627499999999998</v>
      </c>
      <c r="AB53">
        <v>30.701999999999998</v>
      </c>
      <c r="AC53">
        <f t="shared" si="12"/>
        <v>-2.8199390791724611E-2</v>
      </c>
      <c r="AD53">
        <f t="shared" si="13"/>
        <v>1.2536729177984519E-2</v>
      </c>
      <c r="AE53">
        <f t="shared" si="14"/>
        <v>4.0736119969709134E-2</v>
      </c>
      <c r="AF53">
        <f t="shared" si="15"/>
        <v>0.41986660979360613</v>
      </c>
      <c r="AH53">
        <f t="shared" si="16"/>
        <v>1.2430484350119671E-2</v>
      </c>
      <c r="AI53">
        <f t="shared" si="17"/>
        <v>-2.4118877711658434E-2</v>
      </c>
      <c r="AJ53">
        <f t="shared" si="18"/>
        <v>-3.6549362061778105E-2</v>
      </c>
      <c r="AK53">
        <f t="shared" si="19"/>
        <v>-2.0400753980770767E-2</v>
      </c>
      <c r="AM53">
        <f t="shared" si="20"/>
        <v>0.30363103240957728</v>
      </c>
      <c r="AN53">
        <f t="shared" si="21"/>
        <v>0.28918146971434072</v>
      </c>
      <c r="AO53">
        <f t="shared" si="22"/>
        <v>-1.4449562695236562E-2</v>
      </c>
      <c r="AP53">
        <f t="shared" si="23"/>
        <v>0.19694491760086266</v>
      </c>
      <c r="AR53">
        <f t="shared" si="24"/>
        <v>-0.19803175066795822</v>
      </c>
      <c r="AS53">
        <f t="shared" si="25"/>
        <v>-0.15085790312721004</v>
      </c>
      <c r="AT53">
        <f t="shared" si="26"/>
        <v>4.7173847540748187E-2</v>
      </c>
      <c r="AU53">
        <f t="shared" si="27"/>
        <v>0.42445971801014259</v>
      </c>
    </row>
    <row r="54" spans="1:47" x14ac:dyDescent="0.25">
      <c r="A54" s="4">
        <f>DATE(2024,5,16)</f>
        <v>45428</v>
      </c>
      <c r="B54">
        <v>-0.38506078917774333</v>
      </c>
      <c r="C54">
        <v>53.383161043515329</v>
      </c>
      <c r="D54">
        <v>0.56367735486233317</v>
      </c>
      <c r="E54">
        <f t="shared" si="0"/>
        <v>-0.83081005904038729</v>
      </c>
      <c r="F54">
        <f t="shared" si="1"/>
        <v>0.692823096009203</v>
      </c>
      <c r="G54">
        <f t="shared" si="2"/>
        <v>0.32626262884226342</v>
      </c>
      <c r="H54" s="2" t="str">
        <f t="shared" si="3"/>
        <v>Lower</v>
      </c>
      <c r="I54" s="2" t="str">
        <f t="shared" si="4"/>
        <v>Higher</v>
      </c>
      <c r="J54" s="2" t="str">
        <f t="shared" si="5"/>
        <v>Higher</v>
      </c>
      <c r="K54" s="2" t="str">
        <f t="shared" si="6"/>
        <v>Lower</v>
      </c>
      <c r="L54" s="2" t="str">
        <f t="shared" si="7"/>
        <v>Higher</v>
      </c>
      <c r="M54" s="2" t="str">
        <f t="shared" si="8"/>
        <v>Higher</v>
      </c>
      <c r="N54" s="2" t="str">
        <f t="shared" si="9"/>
        <v>Lower</v>
      </c>
      <c r="O54" s="2" t="str">
        <f t="shared" si="10"/>
        <v>Higher</v>
      </c>
      <c r="P54" s="2" t="str">
        <f t="shared" si="11"/>
        <v>Higher</v>
      </c>
      <c r="R54" s="4">
        <f>DATE(2024,5,16)</f>
        <v>45428</v>
      </c>
      <c r="S54">
        <v>0.43006576095311067</v>
      </c>
      <c r="T54">
        <v>0.91289070871723887</v>
      </c>
      <c r="U54">
        <v>0.96079361162201293</v>
      </c>
      <c r="V54">
        <v>0.68049763695481891</v>
      </c>
      <c r="X54" s="4">
        <f>DATE(2024,5,16)</f>
        <v>45428</v>
      </c>
      <c r="Y54">
        <v>22.895568940676057</v>
      </c>
      <c r="Z54">
        <v>29.227697095769578</v>
      </c>
      <c r="AA54">
        <v>70.09</v>
      </c>
      <c r="AB54">
        <v>30.189</v>
      </c>
      <c r="AC54">
        <f t="shared" si="12"/>
        <v>-3.9754225342425668E-2</v>
      </c>
      <c r="AD54">
        <f t="shared" si="13"/>
        <v>-2.3844747014769133E-2</v>
      </c>
      <c r="AE54">
        <f t="shared" si="14"/>
        <v>1.5909478327656535E-2</v>
      </c>
      <c r="AF54">
        <f t="shared" si="15"/>
        <v>0.20445599860849875</v>
      </c>
      <c r="AH54">
        <f t="shared" si="16"/>
        <v>-1.1137631535682656E-2</v>
      </c>
      <c r="AI54">
        <f t="shared" si="17"/>
        <v>-5.5308624711971399E-2</v>
      </c>
      <c r="AJ54">
        <f t="shared" si="18"/>
        <v>-4.4170993176288739E-2</v>
      </c>
      <c r="AK54">
        <f t="shared" si="19"/>
        <v>-4.9332963199859192E-2</v>
      </c>
      <c r="AM54">
        <f t="shared" si="20"/>
        <v>0.27732075628025687</v>
      </c>
      <c r="AN54">
        <f t="shared" si="21"/>
        <v>0.25997965091146724</v>
      </c>
      <c r="AO54">
        <f t="shared" si="22"/>
        <v>-1.7341105368789633E-2</v>
      </c>
      <c r="AP54">
        <f t="shared" si="23"/>
        <v>0.19074945300354543</v>
      </c>
      <c r="AR54">
        <f t="shared" si="24"/>
        <v>-0.18747423598950463</v>
      </c>
      <c r="AS54">
        <f t="shared" si="25"/>
        <v>-0.21797602739444963</v>
      </c>
      <c r="AT54">
        <f t="shared" si="26"/>
        <v>-3.0501791404944995E-2</v>
      </c>
      <c r="AU54">
        <f t="shared" si="27"/>
        <v>0.33586491781889427</v>
      </c>
    </row>
    <row r="55" spans="1:47" x14ac:dyDescent="0.25">
      <c r="A55" s="4">
        <f>DATE(2024,5,15)</f>
        <v>45427</v>
      </c>
      <c r="B55">
        <v>-0.34429913819893221</v>
      </c>
      <c r="C55">
        <v>51.965980161461331</v>
      </c>
      <c r="D55">
        <v>0.49091957630689026</v>
      </c>
      <c r="E55">
        <f t="shared" si="0"/>
        <v>-0.77076579935716849</v>
      </c>
      <c r="F55">
        <f t="shared" si="1"/>
        <v>0.5825099592775973</v>
      </c>
      <c r="G55">
        <f t="shared" si="2"/>
        <v>0.12174418176629818</v>
      </c>
      <c r="H55" s="2" t="str">
        <f t="shared" si="3"/>
        <v>Lower</v>
      </c>
      <c r="I55" s="2" t="str">
        <f t="shared" si="4"/>
        <v>Higher</v>
      </c>
      <c r="J55" s="2" t="str">
        <f t="shared" si="5"/>
        <v>Higher</v>
      </c>
      <c r="K55" s="2" t="str">
        <f t="shared" si="6"/>
        <v>Lower</v>
      </c>
      <c r="L55" s="2" t="str">
        <f t="shared" si="7"/>
        <v>Higher</v>
      </c>
      <c r="M55" s="2" t="str">
        <f t="shared" si="8"/>
        <v>Higher</v>
      </c>
      <c r="N55" s="2" t="str">
        <f t="shared" si="9"/>
        <v>Lower</v>
      </c>
      <c r="O55" s="2" t="str">
        <f t="shared" si="10"/>
        <v>Higher</v>
      </c>
      <c r="P55" s="2" t="str">
        <f t="shared" si="11"/>
        <v>Higher</v>
      </c>
      <c r="R55" s="4">
        <f>DATE(2024,5,15)</f>
        <v>45427</v>
      </c>
      <c r="S55">
        <v>0.93145534378241557</v>
      </c>
      <c r="T55">
        <v>0.92382737784185287</v>
      </c>
      <c r="U55">
        <v>0.96167147273740072</v>
      </c>
      <c r="V55">
        <v>0.66489917372443241</v>
      </c>
      <c r="X55" s="4">
        <f>DATE(2024,5,15)</f>
        <v>45427</v>
      </c>
      <c r="Y55">
        <v>24.185446097512965</v>
      </c>
      <c r="Z55">
        <v>30.095228620210701</v>
      </c>
      <c r="AA55">
        <v>69.965000000000003</v>
      </c>
      <c r="AB55">
        <v>29.8795</v>
      </c>
      <c r="AC55">
        <f t="shared" si="12"/>
        <v>-2.0862819560566813E-2</v>
      </c>
      <c r="AD55">
        <f t="shared" si="13"/>
        <v>-2.3116345394138631E-2</v>
      </c>
      <c r="AE55">
        <f t="shared" si="14"/>
        <v>-2.2535258335718185E-3</v>
      </c>
      <c r="AF55">
        <f t="shared" si="15"/>
        <v>4.5918918605678254E-2</v>
      </c>
      <c r="AH55">
        <f t="shared" si="16"/>
        <v>-1.3592614564056811E-2</v>
      </c>
      <c r="AI55">
        <f t="shared" si="17"/>
        <v>-6.4476813047150361E-2</v>
      </c>
      <c r="AJ55">
        <f t="shared" si="18"/>
        <v>-5.088419848309355E-2</v>
      </c>
      <c r="AK55">
        <f t="shared" si="19"/>
        <v>-7.5739559884864735E-2</v>
      </c>
      <c r="AM55">
        <f t="shared" si="20"/>
        <v>0.25278052069276624</v>
      </c>
      <c r="AN55">
        <f t="shared" si="21"/>
        <v>0.22058862584617991</v>
      </c>
      <c r="AO55">
        <f t="shared" si="22"/>
        <v>-3.2191894846586327E-2</v>
      </c>
      <c r="AP55">
        <f t="shared" si="23"/>
        <v>0.16257644297483048</v>
      </c>
      <c r="AR55">
        <f t="shared" si="24"/>
        <v>-0.18644605822226729</v>
      </c>
      <c r="AS55">
        <f t="shared" si="25"/>
        <v>-0.26665180558766877</v>
      </c>
      <c r="AT55">
        <f t="shared" si="26"/>
        <v>-8.0205747365401481E-2</v>
      </c>
      <c r="AU55">
        <f t="shared" si="27"/>
        <v>0.27872119372987758</v>
      </c>
    </row>
    <row r="56" spans="1:47" x14ac:dyDescent="0.25">
      <c r="A56" s="4">
        <f>DATE(2024,5,14)</f>
        <v>45426</v>
      </c>
      <c r="B56">
        <v>-0.21344996949432815</v>
      </c>
      <c r="C56">
        <v>53.768392426614042</v>
      </c>
      <c r="D56">
        <v>0.56493232063792753</v>
      </c>
      <c r="E56">
        <f t="shared" si="0"/>
        <v>-0.55488308128740371</v>
      </c>
      <c r="F56">
        <f t="shared" si="1"/>
        <v>0.73466139678991227</v>
      </c>
      <c r="G56">
        <f t="shared" si="2"/>
        <v>0.33238466600776395</v>
      </c>
      <c r="H56" s="2" t="str">
        <f t="shared" si="3"/>
        <v>Higher</v>
      </c>
      <c r="I56" s="2" t="str">
        <f t="shared" si="4"/>
        <v>Higher</v>
      </c>
      <c r="J56" s="2" t="str">
        <f t="shared" si="5"/>
        <v>Higher</v>
      </c>
      <c r="K56" s="2" t="str">
        <f t="shared" si="6"/>
        <v>Lower</v>
      </c>
      <c r="L56" s="2" t="str">
        <f t="shared" si="7"/>
        <v>Higher</v>
      </c>
      <c r="M56" s="2" t="str">
        <f t="shared" si="8"/>
        <v>Higher</v>
      </c>
      <c r="N56" s="2" t="str">
        <f t="shared" si="9"/>
        <v>Lower</v>
      </c>
      <c r="O56" s="2" t="str">
        <f t="shared" si="10"/>
        <v>Higher</v>
      </c>
      <c r="P56" s="2" t="str">
        <f t="shared" si="11"/>
        <v>Higher</v>
      </c>
      <c r="R56" s="4">
        <f>DATE(2024,5,14)</f>
        <v>45426</v>
      </c>
      <c r="S56">
        <v>0.9101925495935268</v>
      </c>
      <c r="T56">
        <v>0.93715113431150232</v>
      </c>
      <c r="U56">
        <v>0.96181122687484744</v>
      </c>
      <c r="V56">
        <v>0.65103790024317432</v>
      </c>
      <c r="X56" s="4">
        <f>DATE(2024,5,14)</f>
        <v>45426</v>
      </c>
      <c r="Y56">
        <v>24.504385790937469</v>
      </c>
      <c r="Z56">
        <v>29.917293635332488</v>
      </c>
      <c r="AA56">
        <v>70.194999999999993</v>
      </c>
      <c r="AB56">
        <v>29.716999999999999</v>
      </c>
      <c r="AC56">
        <f t="shared" si="12"/>
        <v>-2.1074184440866346E-2</v>
      </c>
      <c r="AD56">
        <f t="shared" si="13"/>
        <v>-4.9051324153836916E-2</v>
      </c>
      <c r="AE56">
        <f t="shared" si="14"/>
        <v>-2.797713971297057E-2</v>
      </c>
      <c r="AF56">
        <f t="shared" si="15"/>
        <v>-0.17930934745750624</v>
      </c>
      <c r="AH56">
        <f t="shared" si="16"/>
        <v>-3.8805574421795122E-2</v>
      </c>
      <c r="AI56">
        <f t="shared" si="17"/>
        <v>-0.10352233634346067</v>
      </c>
      <c r="AJ56">
        <f t="shared" si="18"/>
        <v>-6.4716761921665547E-2</v>
      </c>
      <c r="AK56">
        <f t="shared" si="19"/>
        <v>-0.1298490780057987</v>
      </c>
      <c r="AM56">
        <f t="shared" si="20"/>
        <v>0.26502825564379684</v>
      </c>
      <c r="AN56">
        <f t="shared" si="21"/>
        <v>0.20897852638358991</v>
      </c>
      <c r="AO56">
        <f t="shared" si="22"/>
        <v>-5.6049729260206932E-2</v>
      </c>
      <c r="AP56">
        <f t="shared" si="23"/>
        <v>0.1162609848001232</v>
      </c>
      <c r="AR56">
        <f t="shared" si="24"/>
        <v>-0.1786464594421841</v>
      </c>
      <c r="AS56">
        <f t="shared" si="25"/>
        <v>-3.9133993941621016E-2</v>
      </c>
      <c r="AT56">
        <f t="shared" si="26"/>
        <v>0.13951246550056309</v>
      </c>
      <c r="AU56">
        <f t="shared" si="27"/>
        <v>0.52629763811701025</v>
      </c>
    </row>
    <row r="57" spans="1:47" x14ac:dyDescent="0.25">
      <c r="A57" s="4">
        <f>DATE(2024,5,13)</f>
        <v>45425</v>
      </c>
      <c r="B57">
        <v>-9.3611309840180734E-2</v>
      </c>
      <c r="C57">
        <v>52.950890472035844</v>
      </c>
      <c r="D57">
        <v>0.50608404425972586</v>
      </c>
      <c r="E57">
        <f t="shared" si="0"/>
        <v>-0.35286338061513534</v>
      </c>
      <c r="F57">
        <f t="shared" si="1"/>
        <v>0.67198125767908157</v>
      </c>
      <c r="G57">
        <f t="shared" si="2"/>
        <v>0.16412827627376458</v>
      </c>
      <c r="H57" s="2" t="str">
        <f t="shared" si="3"/>
        <v>Higher</v>
      </c>
      <c r="I57" s="2" t="str">
        <f t="shared" si="4"/>
        <v>Higher</v>
      </c>
      <c r="J57" s="2" t="str">
        <f t="shared" si="5"/>
        <v>Higher</v>
      </c>
      <c r="K57" s="2" t="str">
        <f t="shared" si="6"/>
        <v>Lower</v>
      </c>
      <c r="L57" s="2" t="str">
        <f t="shared" si="7"/>
        <v>Higher</v>
      </c>
      <c r="M57" s="2" t="str">
        <f t="shared" si="8"/>
        <v>Higher</v>
      </c>
      <c r="N57" s="2" t="str">
        <f t="shared" si="9"/>
        <v>Lower</v>
      </c>
      <c r="O57" s="2" t="str">
        <f t="shared" si="10"/>
        <v>Higher</v>
      </c>
      <c r="P57" s="2" t="str">
        <f t="shared" si="11"/>
        <v>Higher</v>
      </c>
      <c r="R57" s="4">
        <f>DATE(2024,5,13)</f>
        <v>45425</v>
      </c>
      <c r="S57">
        <v>0.55924233884162078</v>
      </c>
      <c r="T57">
        <v>0.94551066710925269</v>
      </c>
      <c r="U57">
        <v>0.96223719042896882</v>
      </c>
      <c r="V57">
        <v>0.63912124680839622</v>
      </c>
      <c r="X57" s="4">
        <f>DATE(2024,5,13)</f>
        <v>45425</v>
      </c>
      <c r="Y57">
        <v>25.781404220518983</v>
      </c>
      <c r="Z57">
        <v>29.589014291469489</v>
      </c>
      <c r="AA57">
        <v>69.952500000000001</v>
      </c>
      <c r="AB57">
        <v>29.548999999999999</v>
      </c>
      <c r="AC57">
        <f t="shared" si="12"/>
        <v>-4.3909322025879181E-2</v>
      </c>
      <c r="AD57">
        <f t="shared" si="13"/>
        <v>-6.7874329019506685E-2</v>
      </c>
      <c r="AE57">
        <f t="shared" si="14"/>
        <v>-2.3965006993627504E-2</v>
      </c>
      <c r="AF57">
        <f t="shared" si="15"/>
        <v>-0.14473422814996367</v>
      </c>
      <c r="AH57">
        <f t="shared" si="16"/>
        <v>-7.2287326261004717E-3</v>
      </c>
      <c r="AI57">
        <f t="shared" si="17"/>
        <v>-4.5482679126285425E-2</v>
      </c>
      <c r="AJ57">
        <f t="shared" si="18"/>
        <v>-3.8253946500184953E-2</v>
      </c>
      <c r="AK57">
        <f t="shared" si="19"/>
        <v>-2.7577658774448066E-2</v>
      </c>
      <c r="AM57">
        <f t="shared" si="20"/>
        <v>0.25379878730621802</v>
      </c>
      <c r="AN57" t="str">
        <f t="shared" si="21"/>
        <v/>
      </c>
      <c r="AO57" t="str">
        <f t="shared" si="22"/>
        <v/>
      </c>
      <c r="AP57" t="str">
        <f t="shared" si="23"/>
        <v/>
      </c>
      <c r="AR57">
        <f t="shared" si="24"/>
        <v>-0.17258920725600552</v>
      </c>
      <c r="AS57">
        <f t="shared" si="25"/>
        <v>-2.8343362757608202E-2</v>
      </c>
      <c r="AT57">
        <f t="shared" si="26"/>
        <v>0.14424584449839731</v>
      </c>
      <c r="AU57">
        <f t="shared" si="27"/>
        <v>0.53082243297649612</v>
      </c>
    </row>
    <row r="58" spans="1:47" x14ac:dyDescent="0.25">
      <c r="A58" s="4">
        <f>DATE(2024,5,10)</f>
        <v>45422</v>
      </c>
      <c r="B58">
        <v>0.11698968056836412</v>
      </c>
      <c r="C58">
        <v>57.812922168183086</v>
      </c>
      <c r="D58">
        <v>0.701751435012685</v>
      </c>
      <c r="E58">
        <f t="shared" si="0"/>
        <v>1.0225693873529059E-2</v>
      </c>
      <c r="F58">
        <f t="shared" si="1"/>
        <v>1.0910385518166754</v>
      </c>
      <c r="G58">
        <f t="shared" si="2"/>
        <v>0.73515806066806777</v>
      </c>
      <c r="H58" s="2" t="str">
        <f t="shared" si="3"/>
        <v>Higher</v>
      </c>
      <c r="I58" s="2" t="str">
        <f t="shared" si="4"/>
        <v>Higher</v>
      </c>
      <c r="J58" s="2" t="str">
        <f t="shared" si="5"/>
        <v>Higher</v>
      </c>
      <c r="K58" s="2" t="str">
        <f t="shared" si="6"/>
        <v>Lower</v>
      </c>
      <c r="L58" s="2" t="str">
        <f t="shared" si="7"/>
        <v>Higher</v>
      </c>
      <c r="M58" s="2" t="str">
        <f t="shared" si="8"/>
        <v>Higher</v>
      </c>
      <c r="N58" s="2" t="str">
        <f t="shared" si="9"/>
        <v>Lower</v>
      </c>
      <c r="O58" s="2" t="str">
        <f t="shared" si="10"/>
        <v>Higher</v>
      </c>
      <c r="P58" s="2" t="str">
        <f t="shared" si="11"/>
        <v>Higher</v>
      </c>
      <c r="R58" s="4">
        <f>DATE(2024,5,10)</f>
        <v>45422</v>
      </c>
      <c r="S58">
        <v>0.41191669686867022</v>
      </c>
      <c r="T58">
        <v>0.94950675748377056</v>
      </c>
      <c r="U58">
        <v>0.96331168081627849</v>
      </c>
      <c r="V58">
        <v>0.63109541239458056</v>
      </c>
      <c r="X58" s="4">
        <f>DATE(2024,5,10)</f>
        <v>45422</v>
      </c>
      <c r="Y58">
        <v>27.648734729085618</v>
      </c>
      <c r="Z58">
        <v>30.844415588297956</v>
      </c>
      <c r="AA58">
        <v>72.647499999999994</v>
      </c>
      <c r="AB58">
        <v>30.319499999999998</v>
      </c>
      <c r="AC58">
        <f t="shared" si="12"/>
        <v>2.2048446593564137E-3</v>
      </c>
      <c r="AD58">
        <f t="shared" si="13"/>
        <v>-1.313097639416611E-2</v>
      </c>
      <c r="AE58">
        <f t="shared" si="14"/>
        <v>-1.5335821053522524E-2</v>
      </c>
      <c r="AF58">
        <f t="shared" si="15"/>
        <v>-6.7948255059331789E-2</v>
      </c>
      <c r="AH58">
        <f t="shared" si="16"/>
        <v>2.6360439889782782E-2</v>
      </c>
      <c r="AI58">
        <f t="shared" si="17"/>
        <v>-9.5602301736623515E-4</v>
      </c>
      <c r="AJ58">
        <f t="shared" si="18"/>
        <v>-2.7316462907149015E-2</v>
      </c>
      <c r="AK58">
        <f t="shared" si="19"/>
        <v>1.633165426284516E-2</v>
      </c>
      <c r="AM58">
        <f t="shared" si="20"/>
        <v>0.23897767070900833</v>
      </c>
      <c r="AN58">
        <f t="shared" si="21"/>
        <v>0.2003528354360522</v>
      </c>
      <c r="AO58">
        <f t="shared" si="22"/>
        <v>-3.8624835272956126E-2</v>
      </c>
      <c r="AP58">
        <f t="shared" si="23"/>
        <v>0.14668988872362376</v>
      </c>
      <c r="AR58">
        <f t="shared" si="24"/>
        <v>-0.14573339182344203</v>
      </c>
      <c r="AS58">
        <f t="shared" si="25"/>
        <v>4.3323512833788679E-2</v>
      </c>
      <c r="AT58">
        <f t="shared" si="26"/>
        <v>0.18905690465723071</v>
      </c>
      <c r="AU58">
        <f t="shared" si="27"/>
        <v>0.5809122421059314</v>
      </c>
    </row>
    <row r="59" spans="1:47" x14ac:dyDescent="0.25">
      <c r="A59" s="4">
        <f>DATE(2024,5,9)</f>
        <v>45421</v>
      </c>
      <c r="B59">
        <v>0.19888023122085219</v>
      </c>
      <c r="C59">
        <v>61.165550560308205</v>
      </c>
      <c r="D59">
        <v>0.83320282554639247</v>
      </c>
      <c r="E59">
        <f t="shared" si="0"/>
        <v>0.15462297166094996</v>
      </c>
      <c r="F59">
        <f t="shared" si="1"/>
        <v>1.3885648299070039</v>
      </c>
      <c r="G59">
        <f t="shared" si="2"/>
        <v>1.1245041450908726</v>
      </c>
      <c r="H59" s="2" t="str">
        <f t="shared" si="3"/>
        <v>Higher</v>
      </c>
      <c r="I59" s="2" t="str">
        <f t="shared" si="4"/>
        <v>Higher</v>
      </c>
      <c r="J59" s="2" t="str">
        <f t="shared" si="5"/>
        <v>Higher</v>
      </c>
      <c r="K59" s="2" t="str">
        <f t="shared" si="6"/>
        <v>Lower</v>
      </c>
      <c r="L59" s="2" t="str">
        <f t="shared" si="7"/>
        <v>Higher</v>
      </c>
      <c r="M59" s="2" t="str">
        <f t="shared" si="8"/>
        <v>Higher</v>
      </c>
      <c r="N59" s="2" t="str">
        <f t="shared" si="9"/>
        <v>Higher</v>
      </c>
      <c r="O59" s="2" t="str">
        <f t="shared" si="10"/>
        <v>Higher</v>
      </c>
      <c r="P59" s="2" t="str">
        <f t="shared" si="11"/>
        <v>Higher</v>
      </c>
      <c r="R59" s="4">
        <f>DATE(2024,5,9)</f>
        <v>45421</v>
      </c>
      <c r="S59">
        <v>0.43190548429023168</v>
      </c>
      <c r="T59">
        <v>0.95569242665863752</v>
      </c>
      <c r="U59">
        <v>0.96513941013083659</v>
      </c>
      <c r="V59">
        <v>0.62158134225673289</v>
      </c>
      <c r="X59" s="4">
        <f>DATE(2024,5,9)</f>
        <v>45421</v>
      </c>
      <c r="Y59">
        <v>27.07293979215299</v>
      </c>
      <c r="Z59">
        <v>33.786966929918741</v>
      </c>
      <c r="AA59">
        <v>72.932500000000005</v>
      </c>
      <c r="AB59">
        <v>30.917499999999997</v>
      </c>
      <c r="AC59">
        <f t="shared" si="12"/>
        <v>2.1866937302304709E-2</v>
      </c>
      <c r="AD59">
        <f t="shared" si="13"/>
        <v>1.7488496096787858E-2</v>
      </c>
      <c r="AE59">
        <f t="shared" si="14"/>
        <v>-4.3784412055168503E-3</v>
      </c>
      <c r="AF59">
        <f t="shared" si="15"/>
        <v>2.7950674799212052E-2</v>
      </c>
      <c r="AH59">
        <f t="shared" si="16"/>
        <v>8.555094311516942E-2</v>
      </c>
      <c r="AI59">
        <f t="shared" si="17"/>
        <v>6.3302660777933298E-2</v>
      </c>
      <c r="AJ59">
        <f t="shared" si="18"/>
        <v>-2.2248282337236122E-2</v>
      </c>
      <c r="AK59">
        <f t="shared" si="19"/>
        <v>3.6875073254032012E-2</v>
      </c>
      <c r="AM59">
        <f t="shared" si="20"/>
        <v>0.23341100645275617</v>
      </c>
      <c r="AN59">
        <f t="shared" si="21"/>
        <v>0.2080860624889119</v>
      </c>
      <c r="AO59">
        <f t="shared" si="22"/>
        <v>-2.5324943963844271E-2</v>
      </c>
      <c r="AP59">
        <f t="shared" si="23"/>
        <v>0.1703658867674808</v>
      </c>
      <c r="AR59">
        <f t="shared" si="24"/>
        <v>-0.14860674515777134</v>
      </c>
      <c r="AS59">
        <f t="shared" si="25"/>
        <v>1.3792423684359607E-2</v>
      </c>
      <c r="AT59">
        <f t="shared" si="26"/>
        <v>0.16239916884213093</v>
      </c>
      <c r="AU59">
        <f t="shared" si="27"/>
        <v>0.55023606620279264</v>
      </c>
    </row>
    <row r="60" spans="1:47" x14ac:dyDescent="0.25">
      <c r="A60" s="4">
        <f>DATE(2024,5,8)</f>
        <v>45420</v>
      </c>
      <c r="B60">
        <v>0.14535897140853171</v>
      </c>
      <c r="C60">
        <v>58.571125732471891</v>
      </c>
      <c r="D60">
        <v>0.71696059217082986</v>
      </c>
      <c r="E60">
        <f t="shared" si="0"/>
        <v>6.8833028581615274E-2</v>
      </c>
      <c r="F60">
        <f t="shared" si="1"/>
        <v>1.1915350954403725</v>
      </c>
      <c r="G60">
        <f t="shared" si="2"/>
        <v>0.80327588725890731</v>
      </c>
      <c r="H60" s="2" t="str">
        <f t="shared" si="3"/>
        <v>Higher</v>
      </c>
      <c r="I60" s="2" t="str">
        <f t="shared" si="4"/>
        <v>Higher</v>
      </c>
      <c r="J60" s="2" t="str">
        <f t="shared" si="5"/>
        <v>Higher</v>
      </c>
      <c r="K60" s="2" t="str">
        <f t="shared" si="6"/>
        <v>Lower</v>
      </c>
      <c r="L60" s="2" t="str">
        <f t="shared" si="7"/>
        <v>Higher</v>
      </c>
      <c r="M60" s="2" t="str">
        <f t="shared" si="8"/>
        <v>Higher</v>
      </c>
      <c r="N60" s="2" t="str">
        <f t="shared" si="9"/>
        <v>Higher</v>
      </c>
      <c r="O60" s="2" t="str">
        <f t="shared" si="10"/>
        <v>Higher</v>
      </c>
      <c r="P60" s="2" t="str">
        <f t="shared" si="11"/>
        <v>Higher</v>
      </c>
      <c r="R60" s="4">
        <f>DATE(2024,5,8)</f>
        <v>45420</v>
      </c>
      <c r="S60">
        <v>0.57191265282994408</v>
      </c>
      <c r="T60">
        <v>0.95972939415633574</v>
      </c>
      <c r="U60">
        <v>0.96547492118753686</v>
      </c>
      <c r="V60">
        <v>0.60889762416124715</v>
      </c>
      <c r="X60" s="4">
        <f>DATE(2024,5,8)</f>
        <v>45420</v>
      </c>
      <c r="Y60">
        <v>25.976326184752104</v>
      </c>
      <c r="Z60">
        <v>33.338885530287939</v>
      </c>
      <c r="AA60">
        <v>71.44</v>
      </c>
      <c r="AB60">
        <v>30.578250000000001</v>
      </c>
      <c r="AC60">
        <f t="shared" si="12"/>
        <v>4.8431535875064373E-2</v>
      </c>
      <c r="AD60">
        <f t="shared" si="13"/>
        <v>6.173816497699311E-2</v>
      </c>
      <c r="AE60">
        <f t="shared" si="14"/>
        <v>1.3306629101928737E-2</v>
      </c>
      <c r="AF60">
        <f t="shared" si="15"/>
        <v>0.18415964961050701</v>
      </c>
      <c r="AH60">
        <f t="shared" si="16"/>
        <v>0.12124910693600061</v>
      </c>
      <c r="AI60">
        <f t="shared" si="17"/>
        <v>0.11619921783499432</v>
      </c>
      <c r="AJ60">
        <f t="shared" si="18"/>
        <v>-5.0498891010062885E-3</v>
      </c>
      <c r="AK60">
        <f t="shared" si="19"/>
        <v>0.10470729665134917</v>
      </c>
      <c r="AM60">
        <f t="shared" si="20"/>
        <v>0.23351171510809876</v>
      </c>
      <c r="AN60">
        <f t="shared" si="21"/>
        <v>0.20457815039263177</v>
      </c>
      <c r="AO60">
        <f t="shared" si="22"/>
        <v>-2.8933564715466986E-2</v>
      </c>
      <c r="AP60">
        <f t="shared" si="23"/>
        <v>0.16258108164254911</v>
      </c>
      <c r="AR60">
        <f t="shared" si="24"/>
        <v>-0.15864982200661634</v>
      </c>
      <c r="AS60">
        <f t="shared" si="25"/>
        <v>7.0920115572892142E-2</v>
      </c>
      <c r="AT60">
        <f t="shared" si="26"/>
        <v>0.2295699375795085</v>
      </c>
      <c r="AU60">
        <f t="shared" si="27"/>
        <v>0.62570041737601079</v>
      </c>
    </row>
    <row r="61" spans="1:47" x14ac:dyDescent="0.25">
      <c r="A61" s="4">
        <f>DATE(2024,5,7)</f>
        <v>45419</v>
      </c>
      <c r="B61">
        <v>0.1783020528936019</v>
      </c>
      <c r="C61">
        <v>57.375333375861963</v>
      </c>
      <c r="D61">
        <v>0.66828611282201444</v>
      </c>
      <c r="E61">
        <f t="shared" si="0"/>
        <v>0.13342449565723027</v>
      </c>
      <c r="F61">
        <f t="shared" si="1"/>
        <v>1.1081396178153502</v>
      </c>
      <c r="G61">
        <f t="shared" si="2"/>
        <v>0.6747138387529904</v>
      </c>
      <c r="H61" s="2" t="str">
        <f t="shared" si="3"/>
        <v>Higher</v>
      </c>
      <c r="I61" s="2" t="str">
        <f t="shared" si="4"/>
        <v>Higher</v>
      </c>
      <c r="J61" s="2" t="str">
        <f t="shared" si="5"/>
        <v>Higher</v>
      </c>
      <c r="K61" s="2" t="str">
        <f t="shared" si="6"/>
        <v>Lower</v>
      </c>
      <c r="L61" s="2" t="str">
        <f t="shared" si="7"/>
        <v>Higher</v>
      </c>
      <c r="M61" s="2" t="str">
        <f t="shared" si="8"/>
        <v>Higher</v>
      </c>
      <c r="N61" s="2" t="str">
        <f t="shared" si="9"/>
        <v>Higher</v>
      </c>
      <c r="O61" s="2" t="str">
        <f t="shared" si="10"/>
        <v>Higher</v>
      </c>
      <c r="P61" s="2" t="str">
        <f t="shared" si="11"/>
        <v>Higher</v>
      </c>
      <c r="R61" s="4">
        <f>DATE(2024,5,7)</f>
        <v>45419</v>
      </c>
      <c r="S61">
        <v>0.92697949976966521</v>
      </c>
      <c r="T61">
        <v>0.96052608417238827</v>
      </c>
      <c r="U61">
        <v>0.96363390935251247</v>
      </c>
      <c r="V61">
        <v>0.59683342306689546</v>
      </c>
      <c r="X61" s="4">
        <f>DATE(2024,5,7)</f>
        <v>45419</v>
      </c>
      <c r="Y61">
        <v>27.875147025266294</v>
      </c>
      <c r="Z61">
        <v>34.957060871719719</v>
      </c>
      <c r="AA61">
        <v>71.69</v>
      </c>
      <c r="AB61">
        <v>31.211000000000002</v>
      </c>
      <c r="AC61">
        <f t="shared" si="12"/>
        <v>5.2770035980064196E-2</v>
      </c>
      <c r="AD61">
        <f t="shared" si="13"/>
        <v>7.1829569151388536E-2</v>
      </c>
      <c r="AE61">
        <f t="shared" si="14"/>
        <v>1.905953317132434E-2</v>
      </c>
      <c r="AF61">
        <f t="shared" si="15"/>
        <v>0.23567767920009197</v>
      </c>
      <c r="AH61">
        <f t="shared" si="16"/>
        <v>0.11628464701468347</v>
      </c>
      <c r="AI61">
        <f t="shared" si="17"/>
        <v>0.12248392045853022</v>
      </c>
      <c r="AJ61">
        <f t="shared" si="18"/>
        <v>6.1992734438467562E-3</v>
      </c>
      <c r="AK61">
        <f t="shared" si="19"/>
        <v>0.14925354255786619</v>
      </c>
      <c r="AM61">
        <f t="shared" si="20"/>
        <v>0.23603314316502827</v>
      </c>
      <c r="AN61">
        <f t="shared" si="21"/>
        <v>0.19606134688271065</v>
      </c>
      <c r="AO61">
        <f t="shared" si="22"/>
        <v>-3.9971796282317618E-2</v>
      </c>
      <c r="AP61">
        <f t="shared" si="23"/>
        <v>0.14043455175493816</v>
      </c>
      <c r="AR61">
        <f t="shared" si="24"/>
        <v>-0.17745083088961341</v>
      </c>
      <c r="AS61">
        <f t="shared" si="25"/>
        <v>0.12348938720205369</v>
      </c>
      <c r="AT61">
        <f t="shared" si="26"/>
        <v>0.3009402180916671</v>
      </c>
      <c r="AU61">
        <f t="shared" si="27"/>
        <v>0.70589351506929332</v>
      </c>
    </row>
    <row r="62" spans="1:47" x14ac:dyDescent="0.25">
      <c r="A62" s="4">
        <f>DATE(2024,5,6)</f>
        <v>45418</v>
      </c>
      <c r="B62">
        <v>0.25940395068967792</v>
      </c>
      <c r="C62">
        <v>62.623385112118726</v>
      </c>
      <c r="D62">
        <v>0.87239766537700547</v>
      </c>
      <c r="E62">
        <f t="shared" si="0"/>
        <v>0.28070945181146612</v>
      </c>
      <c r="F62">
        <f t="shared" si="1"/>
        <v>1.5698643940303529</v>
      </c>
      <c r="G62">
        <f t="shared" si="2"/>
        <v>1.2790509315557956</v>
      </c>
      <c r="H62" s="2" t="str">
        <f t="shared" si="3"/>
        <v>Higher</v>
      </c>
      <c r="I62" s="2" t="str">
        <f t="shared" si="4"/>
        <v>Higher</v>
      </c>
      <c r="J62" s="2" t="str">
        <f t="shared" si="5"/>
        <v>Higher</v>
      </c>
      <c r="K62" s="2" t="str">
        <f t="shared" si="6"/>
        <v>Lower</v>
      </c>
      <c r="L62" s="2" t="str">
        <f t="shared" si="7"/>
        <v>Higher</v>
      </c>
      <c r="M62" s="2" t="str">
        <f t="shared" si="8"/>
        <v>Higher</v>
      </c>
      <c r="N62" s="2" t="str">
        <f t="shared" si="9"/>
        <v>Higher</v>
      </c>
      <c r="O62" s="2" t="str">
        <f t="shared" si="10"/>
        <v>Higher</v>
      </c>
      <c r="P62" s="2" t="str">
        <f t="shared" si="11"/>
        <v>Higher</v>
      </c>
      <c r="R62" s="4">
        <f>DATE(2024,5,6)</f>
        <v>45418</v>
      </c>
      <c r="S62">
        <v>0.97988586321916737</v>
      </c>
      <c r="T62">
        <v>0.9569418394198782</v>
      </c>
      <c r="U62">
        <v>0.96096337083736227</v>
      </c>
      <c r="V62">
        <v>0.58464114403786926</v>
      </c>
      <c r="X62" s="4">
        <f>DATE(2024,5,6)</f>
        <v>45418</v>
      </c>
      <c r="Y62">
        <v>30.302450395899179</v>
      </c>
      <c r="Z62">
        <v>37.575263039882692</v>
      </c>
      <c r="AA62">
        <v>73.092500000000001</v>
      </c>
      <c r="AB62">
        <v>31.624249999999996</v>
      </c>
      <c r="AC62">
        <f t="shared" si="12"/>
        <v>0.10453617750336255</v>
      </c>
      <c r="AD62">
        <f t="shared" si="13"/>
        <v>0.12193402985299537</v>
      </c>
      <c r="AE62">
        <f t="shared" si="14"/>
        <v>1.7397852349632814E-2</v>
      </c>
      <c r="AF62">
        <f t="shared" si="15"/>
        <v>0.22177066737825538</v>
      </c>
      <c r="AH62">
        <f t="shared" si="16"/>
        <v>0.15452128354494943</v>
      </c>
      <c r="AI62">
        <f t="shared" si="17"/>
        <v>0.13537503199924705</v>
      </c>
      <c r="AJ62">
        <f t="shared" si="18"/>
        <v>-1.9146251545702375E-2</v>
      </c>
      <c r="AK62">
        <f t="shared" si="19"/>
        <v>5.1811493050730899E-2</v>
      </c>
      <c r="AM62">
        <f t="shared" si="20"/>
        <v>0.24351240243445893</v>
      </c>
      <c r="AN62">
        <f t="shared" si="21"/>
        <v>0.20148791296128807</v>
      </c>
      <c r="AO62">
        <f t="shared" si="22"/>
        <v>-4.2024489473170862E-2</v>
      </c>
      <c r="AP62">
        <f t="shared" si="23"/>
        <v>0.13489783885210654</v>
      </c>
      <c r="AR62">
        <f t="shared" si="24"/>
        <v>-0.17722370376392957</v>
      </c>
      <c r="AS62">
        <f t="shared" si="25"/>
        <v>0.11436292034769578</v>
      </c>
      <c r="AT62">
        <f t="shared" si="26"/>
        <v>0.29158662411162534</v>
      </c>
      <c r="AU62">
        <f t="shared" si="27"/>
        <v>0.69476877460216302</v>
      </c>
    </row>
    <row r="63" spans="1:47" x14ac:dyDescent="0.25">
      <c r="A63" s="4">
        <f>DATE(2024,5,3)</f>
        <v>45415</v>
      </c>
      <c r="B63">
        <v>0.11288063459969822</v>
      </c>
      <c r="C63">
        <v>60.840491978167883</v>
      </c>
      <c r="D63">
        <v>0.81180164269662447</v>
      </c>
      <c r="E63">
        <f t="shared" si="0"/>
        <v>3.877238018126164E-2</v>
      </c>
      <c r="F63">
        <f t="shared" si="1"/>
        <v>1.4452836962996194</v>
      </c>
      <c r="G63">
        <f t="shared" si="2"/>
        <v>1.1240374282540198</v>
      </c>
      <c r="H63" s="2" t="str">
        <f t="shared" si="3"/>
        <v>Higher</v>
      </c>
      <c r="I63" s="2" t="str">
        <f t="shared" si="4"/>
        <v>Higher</v>
      </c>
      <c r="J63" s="2" t="str">
        <f t="shared" si="5"/>
        <v>Lower</v>
      </c>
      <c r="K63" s="2" t="str">
        <f t="shared" si="6"/>
        <v>Lower</v>
      </c>
      <c r="L63" s="2" t="str">
        <f t="shared" si="7"/>
        <v>Higher</v>
      </c>
      <c r="M63" s="2" t="str">
        <f t="shared" si="8"/>
        <v>Higher</v>
      </c>
      <c r="N63" s="2" t="str">
        <f t="shared" si="9"/>
        <v>Higher</v>
      </c>
      <c r="O63" s="2" t="str">
        <f t="shared" si="10"/>
        <v>Higher</v>
      </c>
      <c r="P63" s="2" t="str">
        <f t="shared" si="11"/>
        <v>Higher</v>
      </c>
      <c r="R63" s="4">
        <f>DATE(2024,5,3)</f>
        <v>45415</v>
      </c>
      <c r="S63">
        <v>0.99632431162862389</v>
      </c>
      <c r="T63">
        <v>0.95536070116910277</v>
      </c>
      <c r="U63">
        <v>0.95794288324748877</v>
      </c>
      <c r="V63">
        <v>0.57465861269178375</v>
      </c>
      <c r="X63" s="4">
        <f>DATE(2024,5,3)</f>
        <v>45415</v>
      </c>
      <c r="Y63">
        <v>32.376070868456793</v>
      </c>
      <c r="Z63">
        <v>38.63765150971826</v>
      </c>
      <c r="AA63">
        <v>72.487500000000011</v>
      </c>
      <c r="AB63">
        <v>30.72025</v>
      </c>
      <c r="AC63">
        <f t="shared" si="12"/>
        <v>7.273202398405805E-2</v>
      </c>
      <c r="AD63">
        <f t="shared" si="13"/>
        <v>4.9700808903249759E-2</v>
      </c>
      <c r="AE63">
        <f t="shared" si="14"/>
        <v>-2.3031215080808291E-2</v>
      </c>
      <c r="AF63">
        <f t="shared" si="15"/>
        <v>-0.12992274019098268</v>
      </c>
      <c r="AH63">
        <f t="shared" si="16"/>
        <v>0.18673895564217607</v>
      </c>
      <c r="AI63">
        <f t="shared" si="17"/>
        <v>0.14488527284322145</v>
      </c>
      <c r="AJ63">
        <f t="shared" si="18"/>
        <v>-4.1853682798954628E-2</v>
      </c>
      <c r="AK63">
        <f t="shared" si="19"/>
        <v>-3.5184176225996767E-2</v>
      </c>
      <c r="AM63">
        <f t="shared" si="20"/>
        <v>0.20392943388748261</v>
      </c>
      <c r="AN63">
        <f t="shared" si="21"/>
        <v>0.12599735989823502</v>
      </c>
      <c r="AO63">
        <f t="shared" si="22"/>
        <v>-7.7932073989247591E-2</v>
      </c>
      <c r="AP63">
        <f t="shared" si="23"/>
        <v>6.5499614837740389E-2</v>
      </c>
      <c r="AR63">
        <f t="shared" si="24"/>
        <v>-0.20642937281585594</v>
      </c>
      <c r="AS63">
        <f t="shared" si="25"/>
        <v>0.15918171965170691</v>
      </c>
      <c r="AT63">
        <f t="shared" si="26"/>
        <v>0.36561109246756285</v>
      </c>
      <c r="AU63">
        <f t="shared" si="27"/>
        <v>0.77794238108674763</v>
      </c>
    </row>
    <row r="64" spans="1:47" x14ac:dyDescent="0.25">
      <c r="A64" s="4">
        <f>DATE(2024,5,2)</f>
        <v>45414</v>
      </c>
      <c r="B64">
        <v>-3.6410884944341859E-2</v>
      </c>
      <c r="C64">
        <v>61.994239641736463</v>
      </c>
      <c r="D64">
        <v>0.86449146226367091</v>
      </c>
      <c r="E64">
        <f t="shared" si="0"/>
        <v>-0.21013668532557117</v>
      </c>
      <c r="F64">
        <f t="shared" si="1"/>
        <v>1.5702818846557385</v>
      </c>
      <c r="G64">
        <f t="shared" si="2"/>
        <v>1.2956279552096683</v>
      </c>
      <c r="H64" s="2" t="str">
        <f t="shared" si="3"/>
        <v>Higher</v>
      </c>
      <c r="I64" s="2" t="str">
        <f t="shared" si="4"/>
        <v>Higher</v>
      </c>
      <c r="J64" s="2" t="str">
        <f t="shared" si="5"/>
        <v>Lower</v>
      </c>
      <c r="K64" s="2" t="str">
        <f t="shared" si="6"/>
        <v>Lower</v>
      </c>
      <c r="L64" s="2" t="str">
        <f t="shared" si="7"/>
        <v>Higher</v>
      </c>
      <c r="M64" s="2" t="str">
        <f t="shared" si="8"/>
        <v>Higher</v>
      </c>
      <c r="N64" s="2" t="str">
        <f t="shared" si="9"/>
        <v>Higher</v>
      </c>
      <c r="O64" s="2" t="str">
        <f t="shared" si="10"/>
        <v>Higher</v>
      </c>
      <c r="P64" s="2" t="str">
        <f t="shared" si="11"/>
        <v>Higher</v>
      </c>
      <c r="R64" s="4">
        <f>DATE(2024,5,2)</f>
        <v>45414</v>
      </c>
      <c r="S64">
        <v>0.98320995248301146</v>
      </c>
      <c r="T64">
        <v>0.95264510627326227</v>
      </c>
      <c r="U64">
        <v>0.95775980128972826</v>
      </c>
      <c r="V64">
        <v>0.56317007834780264</v>
      </c>
      <c r="X64" s="4">
        <f>DATE(2024,5,2)</f>
        <v>45414</v>
      </c>
      <c r="Y64">
        <v>31.612820673876069</v>
      </c>
      <c r="Z64">
        <v>38.949530713122087</v>
      </c>
      <c r="AA64">
        <v>71.35499999999999</v>
      </c>
      <c r="AB64">
        <v>30.381500000000003</v>
      </c>
      <c r="AC64">
        <f t="shared" si="12"/>
        <v>4.3428277235674662E-2</v>
      </c>
      <c r="AD64">
        <f t="shared" si="13"/>
        <v>1.6376808490855103E-2</v>
      </c>
      <c r="AE64">
        <f t="shared" si="14"/>
        <v>-2.7051468744819559E-2</v>
      </c>
      <c r="AF64">
        <f t="shared" si="15"/>
        <v>-0.16411242960902689</v>
      </c>
      <c r="AH64">
        <f t="shared" si="16"/>
        <v>0.20150801911327751</v>
      </c>
      <c r="AI64">
        <f t="shared" si="17"/>
        <v>0.15106556990474765</v>
      </c>
      <c r="AJ64">
        <f t="shared" si="18"/>
        <v>-5.044244920852986E-2</v>
      </c>
      <c r="AK64">
        <f t="shared" si="19"/>
        <v>-6.7304807050271184E-2</v>
      </c>
      <c r="AM64">
        <f t="shared" si="20"/>
        <v>0.15548293820192274</v>
      </c>
      <c r="AN64">
        <f t="shared" si="21"/>
        <v>8.347033963928753E-2</v>
      </c>
      <c r="AO64">
        <f t="shared" si="22"/>
        <v>-7.2012598562635213E-2</v>
      </c>
      <c r="AP64">
        <f t="shared" si="23"/>
        <v>7.5062564261863016E-2</v>
      </c>
      <c r="AR64">
        <f t="shared" si="24"/>
        <v>-0.23909028044888864</v>
      </c>
      <c r="AS64">
        <f t="shared" si="25"/>
        <v>6.0226123968063212E-2</v>
      </c>
      <c r="AT64">
        <f t="shared" si="26"/>
        <v>0.29931640441695184</v>
      </c>
      <c r="AU64">
        <f t="shared" si="27"/>
        <v>0.70274880711743171</v>
      </c>
    </row>
    <row r="65" spans="1:47" x14ac:dyDescent="0.25">
      <c r="A65" s="4">
        <f>DATE(2024,5,1)</f>
        <v>45413</v>
      </c>
      <c r="B65">
        <v>-0.34929380403827426</v>
      </c>
      <c r="C65">
        <v>54.474715126297809</v>
      </c>
      <c r="D65">
        <v>0.55828492917242223</v>
      </c>
      <c r="E65">
        <f t="shared" si="0"/>
        <v>-0.73905439717234345</v>
      </c>
      <c r="F65">
        <f t="shared" si="1"/>
        <v>0.95257337660535735</v>
      </c>
      <c r="G65">
        <f t="shared" si="2"/>
        <v>0.42246227611259096</v>
      </c>
      <c r="H65" s="2" t="str">
        <f t="shared" si="3"/>
        <v>Higher</v>
      </c>
      <c r="I65" s="2" t="str">
        <f t="shared" si="4"/>
        <v>Higher</v>
      </c>
      <c r="J65" s="2" t="str">
        <f t="shared" si="5"/>
        <v>Lower</v>
      </c>
      <c r="K65" s="2" t="str">
        <f t="shared" si="6"/>
        <v>Lower</v>
      </c>
      <c r="L65" s="2" t="str">
        <f t="shared" si="7"/>
        <v>Higher</v>
      </c>
      <c r="M65" s="2" t="str">
        <f t="shared" si="8"/>
        <v>Higher</v>
      </c>
      <c r="N65" s="2" t="str">
        <f t="shared" si="9"/>
        <v>Lower</v>
      </c>
      <c r="O65" s="2" t="str">
        <f t="shared" si="10"/>
        <v>Higher</v>
      </c>
      <c r="P65" s="2" t="str">
        <f t="shared" si="11"/>
        <v>Higher</v>
      </c>
      <c r="R65" s="4">
        <f>DATE(2024,5,1)</f>
        <v>45413</v>
      </c>
      <c r="S65">
        <v>0.85925399890743881</v>
      </c>
      <c r="T65">
        <v>0.93254967405955613</v>
      </c>
      <c r="U65">
        <v>0.95661791655665873</v>
      </c>
      <c r="V65">
        <v>0.55333812836988228</v>
      </c>
      <c r="X65" s="4">
        <f>DATE(2024,5,1)</f>
        <v>45413</v>
      </c>
      <c r="Y65">
        <v>26.709812660125053</v>
      </c>
      <c r="Z65">
        <v>33.48832274421806</v>
      </c>
      <c r="AA65">
        <v>68.0625</v>
      </c>
      <c r="AB65">
        <v>28.747500000000002</v>
      </c>
      <c r="AC65">
        <f t="shared" si="12"/>
        <v>2.6387344439879269E-2</v>
      </c>
      <c r="AD65">
        <f t="shared" si="13"/>
        <v>-4.9966272695669183E-3</v>
      </c>
      <c r="AE65">
        <f t="shared" si="14"/>
        <v>-3.1383971709446186E-2</v>
      </c>
      <c r="AF65">
        <f t="shared" si="15"/>
        <v>-0.20334989782482124</v>
      </c>
      <c r="AH65">
        <f t="shared" si="16"/>
        <v>0.16339437335505833</v>
      </c>
      <c r="AI65">
        <f t="shared" si="17"/>
        <v>0.11726790616165421</v>
      </c>
      <c r="AJ65">
        <f t="shared" si="18"/>
        <v>-4.6126467193404116E-2</v>
      </c>
      <c r="AK65">
        <f t="shared" si="19"/>
        <v>-4.9597740685230568E-2</v>
      </c>
      <c r="AM65">
        <f t="shared" si="20"/>
        <v>8.2224455407302069E-2</v>
      </c>
      <c r="AN65">
        <f t="shared" si="21"/>
        <v>1.549467488453192E-2</v>
      </c>
      <c r="AO65">
        <f t="shared" si="22"/>
        <v>-6.6729780522770149E-2</v>
      </c>
      <c r="AP65">
        <f t="shared" si="23"/>
        <v>8.3494579639247155E-2</v>
      </c>
      <c r="AR65">
        <f t="shared" si="24"/>
        <v>-0.29460023544194625</v>
      </c>
      <c r="AS65">
        <f t="shared" si="25"/>
        <v>-4.5932835712623285E-2</v>
      </c>
      <c r="AT65">
        <f t="shared" si="26"/>
        <v>0.24866739972932295</v>
      </c>
      <c r="AU65">
        <f t="shared" si="27"/>
        <v>0.64504192450283404</v>
      </c>
    </row>
    <row r="66" spans="1:47" x14ac:dyDescent="0.25">
      <c r="A66" s="4">
        <f>DATE(2024,4,30)</f>
        <v>45412</v>
      </c>
      <c r="B66">
        <v>-0.36870931097289983</v>
      </c>
      <c r="C66">
        <v>56.010549764034259</v>
      </c>
      <c r="D66">
        <v>0.62309980303503842</v>
      </c>
      <c r="E66">
        <f t="shared" si="0"/>
        <v>-0.77267589964576089</v>
      </c>
      <c r="F66">
        <f t="shared" si="1"/>
        <v>1.1000432646464167</v>
      </c>
      <c r="G66">
        <f t="shared" si="2"/>
        <v>0.62038278900127231</v>
      </c>
      <c r="H66" s="2" t="str">
        <f t="shared" si="3"/>
        <v>Higher</v>
      </c>
      <c r="I66" s="2" t="str">
        <f t="shared" si="4"/>
        <v>Higher</v>
      </c>
      <c r="J66" s="2" t="str">
        <f t="shared" si="5"/>
        <v>Lower</v>
      </c>
      <c r="K66" s="2" t="str">
        <f t="shared" si="6"/>
        <v>Lower</v>
      </c>
      <c r="L66" s="2" t="str">
        <f t="shared" si="7"/>
        <v>Higher</v>
      </c>
      <c r="M66" s="2" t="str">
        <f t="shared" si="8"/>
        <v>Higher</v>
      </c>
      <c r="N66" s="2" t="str">
        <f t="shared" si="9"/>
        <v>Lower</v>
      </c>
      <c r="O66" s="2" t="str">
        <f t="shared" si="10"/>
        <v>Higher</v>
      </c>
      <c r="P66" s="2" t="str">
        <f t="shared" si="11"/>
        <v>Higher</v>
      </c>
      <c r="R66" s="4">
        <f>DATE(2024,4,30)</f>
        <v>45412</v>
      </c>
      <c r="S66">
        <v>0.85063560296693175</v>
      </c>
      <c r="T66">
        <v>0.92545493061472028</v>
      </c>
      <c r="U66">
        <v>0.95691030028082191</v>
      </c>
      <c r="V66">
        <v>0.54365720822686436</v>
      </c>
      <c r="X66" s="4">
        <f>DATE(2024,4,30)</f>
        <v>45412</v>
      </c>
      <c r="Y66">
        <v>27.899329662368395</v>
      </c>
      <c r="Z66">
        <v>34.523260445763512</v>
      </c>
      <c r="AA66">
        <v>68.004999999999995</v>
      </c>
      <c r="AB66">
        <v>29.047750000000001</v>
      </c>
      <c r="AC66">
        <f t="shared" si="12"/>
        <v>3.0229566084281376E-2</v>
      </c>
      <c r="AD66">
        <f t="shared" si="13"/>
        <v>9.0952946194701387E-3</v>
      </c>
      <c r="AE66">
        <f t="shared" si="14"/>
        <v>-2.1134271464811238E-2</v>
      </c>
      <c r="AF66">
        <f t="shared" si="15"/>
        <v>-0.11577068309041014</v>
      </c>
      <c r="AH66">
        <f t="shared" si="16"/>
        <v>0.13570796952991127</v>
      </c>
      <c r="AI66">
        <f t="shared" si="17"/>
        <v>9.2258665666271111E-2</v>
      </c>
      <c r="AJ66">
        <f t="shared" si="18"/>
        <v>-4.3449303863640154E-2</v>
      </c>
      <c r="AK66">
        <f t="shared" si="19"/>
        <v>-3.8091764690815912E-2</v>
      </c>
      <c r="AM66">
        <f t="shared" si="20"/>
        <v>7.1972402252473686E-2</v>
      </c>
      <c r="AN66">
        <f t="shared" si="21"/>
        <v>1.7161507098294521E-2</v>
      </c>
      <c r="AO66">
        <f t="shared" si="22"/>
        <v>-5.4810895154179168E-2</v>
      </c>
      <c r="AP66">
        <f t="shared" si="23"/>
        <v>0.10449988349927104</v>
      </c>
      <c r="AR66">
        <f t="shared" si="24"/>
        <v>-0.30090214593618081</v>
      </c>
      <c r="AS66">
        <f t="shared" si="25"/>
        <v>-9.9805962292896094E-2</v>
      </c>
      <c r="AT66">
        <f t="shared" si="26"/>
        <v>0.20109618364328471</v>
      </c>
      <c r="AU66">
        <f t="shared" si="27"/>
        <v>0.59055834998979917</v>
      </c>
    </row>
    <row r="67" spans="1:47" x14ac:dyDescent="0.25">
      <c r="A67" s="4">
        <f>DATE(2024,4,29)</f>
        <v>45411</v>
      </c>
      <c r="B67">
        <v>-0.46835759856170922</v>
      </c>
      <c r="C67">
        <v>50.388439710193595</v>
      </c>
      <c r="D67">
        <v>0.47451825974454975</v>
      </c>
      <c r="E67">
        <f t="shared" si="0"/>
        <v>-0.94326460849592497</v>
      </c>
      <c r="F67">
        <f t="shared" si="1"/>
        <v>0.62919790265556552</v>
      </c>
      <c r="G67">
        <f t="shared" si="2"/>
        <v>0.19673030207176045</v>
      </c>
      <c r="H67" s="2" t="str">
        <f t="shared" si="3"/>
        <v>Higher</v>
      </c>
      <c r="I67" s="2" t="str">
        <f t="shared" si="4"/>
        <v>Higher</v>
      </c>
      <c r="J67" s="2" t="str">
        <f t="shared" si="5"/>
        <v>Lower</v>
      </c>
      <c r="K67" s="2" t="str">
        <f t="shared" si="6"/>
        <v>Lower</v>
      </c>
      <c r="L67" s="2" t="str">
        <f t="shared" si="7"/>
        <v>Higher</v>
      </c>
      <c r="M67" s="2" t="str">
        <f t="shared" si="8"/>
        <v>Higher</v>
      </c>
      <c r="N67" s="2" t="str">
        <f t="shared" si="9"/>
        <v>Lower</v>
      </c>
      <c r="O67" s="2" t="str">
        <f t="shared" si="10"/>
        <v>Higher</v>
      </c>
      <c r="P67" s="2" t="str">
        <f t="shared" si="11"/>
        <v>Higher</v>
      </c>
      <c r="R67" s="4">
        <f>DATE(2024,4,29)</f>
        <v>45411</v>
      </c>
      <c r="S67">
        <v>0.95900011126621343</v>
      </c>
      <c r="T67">
        <v>0.9310896214128016</v>
      </c>
      <c r="U67">
        <v>0.95614766640212845</v>
      </c>
      <c r="V67">
        <v>0.53433782792419515</v>
      </c>
      <c r="X67" s="4">
        <f>DATE(2024,4,29)</f>
        <v>45411</v>
      </c>
      <c r="Y67">
        <v>25.367227514404199</v>
      </c>
      <c r="Z67">
        <v>29.789136233741477</v>
      </c>
      <c r="AA67">
        <v>65.837500000000006</v>
      </c>
      <c r="AB67">
        <v>27.994</v>
      </c>
      <c r="AC67">
        <f t="shared" si="12"/>
        <v>-1.3240230384876246E-2</v>
      </c>
      <c r="AD67">
        <f t="shared" si="13"/>
        <v>-5.341649425737717E-2</v>
      </c>
      <c r="AE67">
        <f t="shared" si="14"/>
        <v>-4.0176263872500922E-2</v>
      </c>
      <c r="AF67">
        <f t="shared" si="15"/>
        <v>-0.2835818048175498</v>
      </c>
      <c r="AH67" t="str">
        <f t="shared" si="16"/>
        <v/>
      </c>
      <c r="AI67" t="str">
        <f t="shared" si="17"/>
        <v/>
      </c>
      <c r="AJ67" t="str">
        <f t="shared" si="18"/>
        <v/>
      </c>
      <c r="AK67" t="str">
        <f t="shared" si="19"/>
        <v/>
      </c>
      <c r="AM67">
        <f t="shared" si="20"/>
        <v>4.4610568351698084E-2</v>
      </c>
      <c r="AN67">
        <f t="shared" si="21"/>
        <v>-2.3267948222255988E-2</v>
      </c>
      <c r="AO67">
        <f t="shared" si="22"/>
        <v>-6.7878516573954079E-2</v>
      </c>
      <c r="AP67">
        <f t="shared" si="23"/>
        <v>7.8271541266576761E-2</v>
      </c>
      <c r="AR67">
        <f t="shared" si="24"/>
        <v>-0.32734448091913942</v>
      </c>
      <c r="AS67">
        <f t="shared" si="25"/>
        <v>-6.7714399854719123E-2</v>
      </c>
      <c r="AT67">
        <f t="shared" si="26"/>
        <v>0.25963008106442031</v>
      </c>
      <c r="AU67">
        <f t="shared" si="27"/>
        <v>0.65562855014581733</v>
      </c>
    </row>
    <row r="68" spans="1:47" x14ac:dyDescent="0.25">
      <c r="A68" s="4">
        <f>DATE(2024,4,26)</f>
        <v>45408</v>
      </c>
      <c r="B68">
        <v>-0.30923739425772245</v>
      </c>
      <c r="C68">
        <v>53.378100249281339</v>
      </c>
      <c r="D68">
        <v>0.56270902029915559</v>
      </c>
      <c r="E68">
        <f t="shared" si="0"/>
        <v>-0.67464048620522621</v>
      </c>
      <c r="F68">
        <f t="shared" si="1"/>
        <v>0.89876634285881274</v>
      </c>
      <c r="G68">
        <f t="shared" si="2"/>
        <v>0.46102642279471856</v>
      </c>
      <c r="H68" s="2" t="str">
        <f t="shared" si="3"/>
        <v>Higher</v>
      </c>
      <c r="I68" s="2" t="str">
        <f t="shared" si="4"/>
        <v>Higher</v>
      </c>
      <c r="J68" s="2" t="str">
        <f t="shared" si="5"/>
        <v>Lower</v>
      </c>
      <c r="K68" s="2" t="str">
        <f t="shared" si="6"/>
        <v>Lower</v>
      </c>
      <c r="L68" s="2" t="str">
        <f t="shared" si="7"/>
        <v>Higher</v>
      </c>
      <c r="M68" s="2" t="str">
        <f t="shared" si="8"/>
        <v>Higher</v>
      </c>
      <c r="N68" s="2" t="str">
        <f t="shared" si="9"/>
        <v>Lower</v>
      </c>
      <c r="O68" s="2" t="str">
        <f t="shared" si="10"/>
        <v>Higher</v>
      </c>
      <c r="P68" s="2" t="str">
        <f t="shared" si="11"/>
        <v>Higher</v>
      </c>
      <c r="R68" s="4">
        <f>DATE(2024,4,26)</f>
        <v>45408</v>
      </c>
      <c r="S68">
        <v>0.84892453047809091</v>
      </c>
      <c r="T68">
        <v>0.93955038932472568</v>
      </c>
      <c r="U68">
        <v>0.95456951932324441</v>
      </c>
      <c r="V68">
        <v>0.52624161860590912</v>
      </c>
      <c r="X68" s="4">
        <f>DATE(2024,4,26)</f>
        <v>45408</v>
      </c>
      <c r="Y68">
        <v>26.758595541554335</v>
      </c>
      <c r="Z68">
        <v>31.018526099524284</v>
      </c>
      <c r="AA68">
        <v>67.402500000000003</v>
      </c>
      <c r="AB68">
        <v>29.23075</v>
      </c>
      <c r="AC68">
        <f t="shared" si="12"/>
        <v>-3.4306993501570057E-2</v>
      </c>
      <c r="AD68">
        <f t="shared" si="13"/>
        <v>-7.3225439398726666E-2</v>
      </c>
      <c r="AE68">
        <f t="shared" si="14"/>
        <v>-3.8918445897156609E-2</v>
      </c>
      <c r="AF68">
        <f t="shared" si="15"/>
        <v>-0.27613567411779238</v>
      </c>
      <c r="AH68" t="str">
        <f t="shared" si="16"/>
        <v/>
      </c>
      <c r="AI68" t="str">
        <f t="shared" si="17"/>
        <v/>
      </c>
      <c r="AJ68" t="str">
        <f t="shared" si="18"/>
        <v/>
      </c>
      <c r="AK68" t="str">
        <f t="shared" si="19"/>
        <v/>
      </c>
      <c r="AM68">
        <f t="shared" si="20"/>
        <v>6.327082605970831E-2</v>
      </c>
      <c r="AN68">
        <f t="shared" si="21"/>
        <v>1.2409019953392442E-3</v>
      </c>
      <c r="AO68">
        <f t="shared" si="22"/>
        <v>-6.2029924064369066E-2</v>
      </c>
      <c r="AP68">
        <f t="shared" si="23"/>
        <v>8.7264447342439544E-2</v>
      </c>
      <c r="AR68">
        <f t="shared" si="24"/>
        <v>-0.30423508779202807</v>
      </c>
      <c r="AS68">
        <f t="shared" si="25"/>
        <v>1.6392184069099321E-2</v>
      </c>
      <c r="AT68">
        <f t="shared" si="26"/>
        <v>0.32062727186112738</v>
      </c>
      <c r="AU68">
        <f t="shared" si="27"/>
        <v>0.72333437183620575</v>
      </c>
    </row>
    <row r="69" spans="1:47" x14ac:dyDescent="0.25">
      <c r="A69" s="4">
        <f>DATE(2024,4,25)</f>
        <v>45407</v>
      </c>
      <c r="B69">
        <v>-0.2063856163068456</v>
      </c>
      <c r="C69">
        <v>56.582720760742724</v>
      </c>
      <c r="D69">
        <v>0.65409931710231461</v>
      </c>
      <c r="E69">
        <f t="shared" ref="E69:E132" si="28">(B69-AVERAGE(B69:B198))/_xlfn.STDEV.S(B69:B198)</f>
        <v>-0.49898742852435091</v>
      </c>
      <c r="F69">
        <f t="shared" ref="F69:F132" si="29">(C69-AVERAGE(C69:C198))/_xlfn.STDEV.S(C69:C198)</f>
        <v>1.1905635306980094</v>
      </c>
      <c r="G69">
        <f t="shared" ref="G69:G132" si="30">(D69-AVERAGE(D69:D198))/_xlfn.STDEV.S(D69:D198)</f>
        <v>0.7354275574726914</v>
      </c>
      <c r="H69" s="2" t="str">
        <f t="shared" ref="H69:H132" si="31">IF(AVERAGEA(C69:C89)&gt;AVERAGE(C90:C110),"Higher","Lower")</f>
        <v>Higher</v>
      </c>
      <c r="I69" s="2" t="str">
        <f t="shared" ref="I69:I132" si="32">IF(AVERAGEA(C69:C124)&gt;AVERAGE(C125:C180),"Higher","Lower")</f>
        <v>Higher</v>
      </c>
      <c r="J69" s="2" t="str">
        <f t="shared" ref="J69:J132" si="33">IF(AVERAGEA(C69:C181)&gt;AVERAGE(C182:C294),"Higher","Lower")</f>
        <v>Lower</v>
      </c>
      <c r="K69" s="2" t="str">
        <f t="shared" ref="K69:K132" si="34">IF(AVERAGEA(B69:B89)&gt;AVERAGE(B90:B110),"Higher","Lower")</f>
        <v>Lower</v>
      </c>
      <c r="L69" s="2" t="str">
        <f t="shared" ref="L69:L132" si="35">IF(AVERAGEA(B69:B124)&gt;AVERAGE(B125:B180),"Higher","Lower")</f>
        <v>Higher</v>
      </c>
      <c r="M69" s="2" t="str">
        <f t="shared" ref="M69:M132" si="36">IF(AVERAGEA(B69:B181)&gt;AVERAGE(B182:B294),"Higher","Lower")</f>
        <v>Higher</v>
      </c>
      <c r="N69" s="2" t="str">
        <f t="shared" ref="N69:N132" si="37">IF(AVERAGEA(D69:D89)&gt;AVERAGE(D90:D110),"Higher","Lower")</f>
        <v>Higher</v>
      </c>
      <c r="O69" s="2" t="str">
        <f t="shared" ref="O69:O132" si="38">IF(AVERAGEA(D69:D124)&gt;AVERAGE(D125:D180),"Higher","Lower")</f>
        <v>Higher</v>
      </c>
      <c r="P69" s="2" t="str">
        <f t="shared" ref="P69:P132" si="39">IF(AVERAGEA(D69:D181)&gt;AVERAGE(D182:D294),"Higher","Lower")</f>
        <v>Higher</v>
      </c>
      <c r="R69" s="4">
        <f>DATE(2024,4,25)</f>
        <v>45407</v>
      </c>
      <c r="S69">
        <v>0.92945129062031429</v>
      </c>
      <c r="T69">
        <v>0.94750565133013465</v>
      </c>
      <c r="U69">
        <v>0.95429287565112542</v>
      </c>
      <c r="V69">
        <v>0.51999655968669967</v>
      </c>
      <c r="X69" s="4">
        <f>DATE(2024,4,25)</f>
        <v>45407</v>
      </c>
      <c r="Y69">
        <v>28.376003984663523</v>
      </c>
      <c r="Z69">
        <v>32.971901948992453</v>
      </c>
      <c r="AA69">
        <v>68.322499999999991</v>
      </c>
      <c r="AB69">
        <v>29.887999999999998</v>
      </c>
      <c r="AC69">
        <f t="shared" ref="AC69:AC132" si="40">IFERROR(LN(AA69/AA74),"")</f>
        <v>-3.6678620731236407E-2</v>
      </c>
      <c r="AD69">
        <f t="shared" ref="AD69:AD132" si="41">IFERROR(LN(AB69/AB74),"")</f>
        <v>-6.5329182284845189E-2</v>
      </c>
      <c r="AE69">
        <f t="shared" ref="AE69:AE132" si="42">IFERROR(AD69-AC69,"")</f>
        <v>-2.8650561553608782E-2</v>
      </c>
      <c r="AF69">
        <f t="shared" ref="AF69:AF132" si="43">IFERROR((AE69-AVERAGEA(AE69:AE591))/_xlfn.STDEV.S(AE69:AE586),"")</f>
        <v>-0.18797282392346551</v>
      </c>
      <c r="AH69">
        <f t="shared" ref="AH69:AH132" si="44">IFERROR(LN(AA69/AA89),"")</f>
        <v>9.7871178930673514E-2</v>
      </c>
      <c r="AI69">
        <f t="shared" ref="AI69:AI132" si="45">IFERROR(LN(AB69/AB89),"")</f>
        <v>8.3271057373906471E-2</v>
      </c>
      <c r="AJ69">
        <f t="shared" ref="AJ69:AJ132" si="46">IFERROR(AI69-AH69,"")</f>
        <v>-1.4600121556767043E-2</v>
      </c>
      <c r="AK69">
        <f t="shared" ref="AK69:AK132" si="47">IFERROR((AJ69-AVERAGEA(AJ69:AJ591))/_xlfn.STDEV.S(AJ69:AJ586),"")</f>
        <v>7.6981074405812144E-2</v>
      </c>
      <c r="AM69">
        <f t="shared" ref="AM69:AM132" si="48">IFERROR(LN(AA69/AA129),"")</f>
        <v>8.3726898249571954E-2</v>
      </c>
      <c r="AN69">
        <f t="shared" ref="AN69:AN132" si="49">IFERROR(LN(AB69/AB129),"")</f>
        <v>1.7338621822947518E-2</v>
      </c>
      <c r="AO69">
        <f t="shared" ref="AO69:AO132" si="50">IFERROR(AN69-AM69,"")</f>
        <v>-6.638827642662444E-2</v>
      </c>
      <c r="AP69">
        <f t="shared" ref="AP69:AP132" si="51">IFERROR((AO69-AVERAGEA(AO69:AO591))/_xlfn.STDEV.S(AO69:AO586),"")</f>
        <v>7.7452629164783682E-2</v>
      </c>
      <c r="AR69">
        <f t="shared" ref="AR69:AR132" si="52">IFERROR(LN(AA69/AA269),"")</f>
        <v>-0.27845525308217539</v>
      </c>
      <c r="AS69">
        <f t="shared" ref="AS69:AS132" si="53">IFERROR(LN(AB69/AB269),"")</f>
        <v>8.6968794676491309E-2</v>
      </c>
      <c r="AT69">
        <f t="shared" ref="AT69:AT132" si="54">IFERROR(AS69-AR69,"")</f>
        <v>0.36542404775866671</v>
      </c>
      <c r="AU69">
        <f t="shared" ref="AU69:AU132" si="55">IFERROR((AT69-AVERAGEA(AT69:AT591))/_xlfn.STDEV.S(AT69:AT586),"")</f>
        <v>0.77303812617164669</v>
      </c>
    </row>
    <row r="70" spans="1:47" x14ac:dyDescent="0.25">
      <c r="A70" s="4">
        <f>DATE(2024,4,24)</f>
        <v>45406</v>
      </c>
      <c r="B70">
        <v>-0.20710613620778817</v>
      </c>
      <c r="C70">
        <v>53.173111588307648</v>
      </c>
      <c r="D70">
        <v>0.56737202581464841</v>
      </c>
      <c r="E70">
        <f t="shared" si="28"/>
        <v>-0.49862749734562861</v>
      </c>
      <c r="F70">
        <f t="shared" si="29"/>
        <v>0.91106658787338735</v>
      </c>
      <c r="G70">
        <f t="shared" si="30"/>
        <v>0.49410838633600218</v>
      </c>
      <c r="H70" s="2" t="str">
        <f t="shared" si="31"/>
        <v>Higher</v>
      </c>
      <c r="I70" s="2" t="str">
        <f t="shared" si="32"/>
        <v>Higher</v>
      </c>
      <c r="J70" s="2" t="str">
        <f t="shared" si="33"/>
        <v>Lower</v>
      </c>
      <c r="K70" s="2" t="str">
        <f t="shared" si="34"/>
        <v>Lower</v>
      </c>
      <c r="L70" s="2" t="str">
        <f t="shared" si="35"/>
        <v>Higher</v>
      </c>
      <c r="M70" s="2" t="str">
        <f t="shared" si="36"/>
        <v>Higher</v>
      </c>
      <c r="N70" s="2" t="str">
        <f t="shared" si="37"/>
        <v>Higher</v>
      </c>
      <c r="O70" s="2" t="str">
        <f t="shared" si="38"/>
        <v>Higher</v>
      </c>
      <c r="P70" s="2" t="str">
        <f t="shared" si="39"/>
        <v>Higher</v>
      </c>
      <c r="R70" s="4">
        <f>DATE(2024,4,24)</f>
        <v>45406</v>
      </c>
      <c r="S70">
        <v>0.99257561500939107</v>
      </c>
      <c r="T70">
        <v>0.95111227572288992</v>
      </c>
      <c r="U70">
        <v>0.95376353550058612</v>
      </c>
      <c r="V70">
        <v>0.51692782809768123</v>
      </c>
      <c r="X70" s="4">
        <f>DATE(2024,4,24)</f>
        <v>45406</v>
      </c>
      <c r="Y70">
        <v>24.900657158335061</v>
      </c>
      <c r="Z70">
        <v>29.409725699106893</v>
      </c>
      <c r="AA70">
        <v>66.289999999999992</v>
      </c>
      <c r="AB70">
        <v>28.891500000000001</v>
      </c>
      <c r="AC70">
        <f t="shared" si="40"/>
        <v>-6.7548675318433435E-2</v>
      </c>
      <c r="AD70">
        <f t="shared" si="41"/>
        <v>-9.8102005360437977E-2</v>
      </c>
      <c r="AE70">
        <f t="shared" si="42"/>
        <v>-3.0553330042004542E-2</v>
      </c>
      <c r="AF70">
        <f t="shared" si="43"/>
        <v>-0.20501204221175032</v>
      </c>
      <c r="AH70">
        <f t="shared" si="44"/>
        <v>6.2037502854100861E-2</v>
      </c>
      <c r="AI70">
        <f t="shared" si="45"/>
        <v>4.7445085081065659E-2</v>
      </c>
      <c r="AJ70">
        <f t="shared" si="46"/>
        <v>-1.4592417773035202E-2</v>
      </c>
      <c r="AK70">
        <f t="shared" si="47"/>
        <v>7.7885444616619018E-2</v>
      </c>
      <c r="AM70">
        <f t="shared" si="48"/>
        <v>3.3555691527154458E-2</v>
      </c>
      <c r="AN70">
        <f t="shared" si="49"/>
        <v>-4.346633277334546E-2</v>
      </c>
      <c r="AO70">
        <f t="shared" si="50"/>
        <v>-7.7022024300499925E-2</v>
      </c>
      <c r="AP70">
        <f t="shared" si="51"/>
        <v>5.6660803016847311E-2</v>
      </c>
      <c r="AR70">
        <f t="shared" si="52"/>
        <v>-0.29138992812224263</v>
      </c>
      <c r="AS70">
        <f t="shared" si="53"/>
        <v>7.0993729664838093E-2</v>
      </c>
      <c r="AT70">
        <f t="shared" si="54"/>
        <v>0.3623836577870807</v>
      </c>
      <c r="AU70">
        <f t="shared" si="55"/>
        <v>0.76912452860207847</v>
      </c>
    </row>
    <row r="71" spans="1:47" x14ac:dyDescent="0.25">
      <c r="A71" s="4">
        <f>DATE(2024,4,23)</f>
        <v>45405</v>
      </c>
      <c r="B71">
        <v>-2.8597421898413078E-2</v>
      </c>
      <c r="C71">
        <v>51.705751862718245</v>
      </c>
      <c r="D71">
        <v>0.53551168430118168</v>
      </c>
      <c r="E71">
        <f t="shared" si="28"/>
        <v>-0.19362767782530646</v>
      </c>
      <c r="F71">
        <f t="shared" si="29"/>
        <v>0.79461888248482881</v>
      </c>
      <c r="G71">
        <f t="shared" si="30"/>
        <v>0.40977314199529785</v>
      </c>
      <c r="H71" s="2" t="str">
        <f t="shared" si="31"/>
        <v>Higher</v>
      </c>
      <c r="I71" s="2" t="str">
        <f t="shared" si="32"/>
        <v>Higher</v>
      </c>
      <c r="J71" s="2" t="str">
        <f t="shared" si="33"/>
        <v>Lower</v>
      </c>
      <c r="K71" s="2" t="str">
        <f t="shared" si="34"/>
        <v>Lower</v>
      </c>
      <c r="L71" s="2" t="str">
        <f t="shared" si="35"/>
        <v>Higher</v>
      </c>
      <c r="M71" s="2" t="str">
        <f t="shared" si="36"/>
        <v>Higher</v>
      </c>
      <c r="N71" s="2" t="str">
        <f t="shared" si="37"/>
        <v>Higher</v>
      </c>
      <c r="O71" s="2" t="str">
        <f t="shared" si="38"/>
        <v>Higher</v>
      </c>
      <c r="P71" s="2" t="str">
        <f t="shared" si="39"/>
        <v>Lower</v>
      </c>
      <c r="R71" s="4">
        <f>DATE(2024,4,23)</f>
        <v>45405</v>
      </c>
      <c r="S71">
        <v>0.99287917042256146</v>
      </c>
      <c r="T71">
        <v>0.95491919026322414</v>
      </c>
      <c r="U71">
        <v>0.95395508929508932</v>
      </c>
      <c r="V71">
        <v>0.51265231711083348</v>
      </c>
      <c r="X71" s="4">
        <f>DATE(2024,4,23)</f>
        <v>45405</v>
      </c>
      <c r="Y71">
        <v>26.44090616695825</v>
      </c>
      <c r="Z71">
        <v>30.886174963096881</v>
      </c>
      <c r="AA71">
        <v>65.97999999999999</v>
      </c>
      <c r="AB71">
        <v>28.784750000000003</v>
      </c>
      <c r="AC71">
        <f t="shared" si="40"/>
        <v>-0.10073099204527435</v>
      </c>
      <c r="AD71">
        <f t="shared" si="41"/>
        <v>-0.1353958759604823</v>
      </c>
      <c r="AE71">
        <f t="shared" si="42"/>
        <v>-3.4664883915207959E-2</v>
      </c>
      <c r="AF71">
        <f t="shared" si="43"/>
        <v>-0.24123485056850799</v>
      </c>
      <c r="AH71">
        <f t="shared" si="44"/>
        <v>4.4234778204911292E-2</v>
      </c>
      <c r="AI71">
        <f t="shared" si="45"/>
        <v>5.0206412495967218E-2</v>
      </c>
      <c r="AJ71">
        <f t="shared" si="46"/>
        <v>5.9716342910559259E-3</v>
      </c>
      <c r="AK71">
        <f t="shared" si="47"/>
        <v>0.15877329750138564</v>
      </c>
      <c r="AM71">
        <f t="shared" si="48"/>
        <v>4.5146084407409498E-2</v>
      </c>
      <c r="AN71">
        <f t="shared" si="49"/>
        <v>-9.3706652959543897E-3</v>
      </c>
      <c r="AO71">
        <f t="shared" si="50"/>
        <v>-5.4516749703363884E-2</v>
      </c>
      <c r="AP71">
        <f t="shared" si="51"/>
        <v>9.841771175709435E-2</v>
      </c>
      <c r="AR71">
        <f t="shared" si="52"/>
        <v>-0.28008470400793339</v>
      </c>
      <c r="AS71">
        <f t="shared" si="53"/>
        <v>7.4264985348832108E-2</v>
      </c>
      <c r="AT71">
        <f t="shared" si="54"/>
        <v>0.35434968935676547</v>
      </c>
      <c r="AU71">
        <f t="shared" si="55"/>
        <v>0.75954037284652687</v>
      </c>
    </row>
    <row r="72" spans="1:47" x14ac:dyDescent="0.25">
      <c r="A72" s="4">
        <f>DATE(2024,4,22)</f>
        <v>45404</v>
      </c>
      <c r="B72">
        <v>0.30614379485029719</v>
      </c>
      <c r="C72">
        <v>52.977507211009595</v>
      </c>
      <c r="D72">
        <v>0.57241735620510215</v>
      </c>
      <c r="E72">
        <f t="shared" si="28"/>
        <v>0.37863146925601043</v>
      </c>
      <c r="F72">
        <f t="shared" si="29"/>
        <v>0.91544157589727315</v>
      </c>
      <c r="G72">
        <f t="shared" si="30"/>
        <v>0.5235567942413929</v>
      </c>
      <c r="H72" s="2" t="str">
        <f t="shared" si="31"/>
        <v>Higher</v>
      </c>
      <c r="I72" s="2" t="str">
        <f t="shared" si="32"/>
        <v>Higher</v>
      </c>
      <c r="J72" s="2" t="str">
        <f t="shared" si="33"/>
        <v>Lower</v>
      </c>
      <c r="K72" s="2" t="str">
        <f t="shared" si="34"/>
        <v>Lower</v>
      </c>
      <c r="L72" s="2" t="str">
        <f t="shared" si="35"/>
        <v>Higher</v>
      </c>
      <c r="M72" s="2" t="str">
        <f t="shared" si="36"/>
        <v>Higher</v>
      </c>
      <c r="N72" s="2" t="str">
        <f t="shared" si="37"/>
        <v>Higher</v>
      </c>
      <c r="O72" s="2" t="str">
        <f t="shared" si="38"/>
        <v>Higher</v>
      </c>
      <c r="P72" s="2" t="str">
        <f t="shared" si="39"/>
        <v>Lower</v>
      </c>
      <c r="R72" s="4">
        <f>DATE(2024,4,22)</f>
        <v>45404</v>
      </c>
      <c r="S72">
        <v>0.99709608182301324</v>
      </c>
      <c r="T72">
        <v>0.95726175092929433</v>
      </c>
      <c r="U72">
        <v>0.95491498225727289</v>
      </c>
      <c r="V72">
        <v>0.50965630100700476</v>
      </c>
      <c r="X72" s="4">
        <f>DATE(2024,4,22)</f>
        <v>45404</v>
      </c>
      <c r="Y72">
        <v>27.546104676680947</v>
      </c>
      <c r="Z72">
        <v>32.930760211848728</v>
      </c>
      <c r="AA72">
        <v>66.715000000000003</v>
      </c>
      <c r="AB72">
        <v>29.53</v>
      </c>
      <c r="AC72">
        <f t="shared" si="40"/>
        <v>-5.461535771870759E-2</v>
      </c>
      <c r="AD72">
        <f t="shared" si="41"/>
        <v>-4.6125885702397007E-2</v>
      </c>
      <c r="AE72">
        <f t="shared" si="42"/>
        <v>8.4894720163105827E-3</v>
      </c>
      <c r="AF72">
        <f t="shared" si="43"/>
        <v>0.13545231694058268</v>
      </c>
      <c r="AH72">
        <f t="shared" si="44"/>
        <v>3.6986831500372248E-2</v>
      </c>
      <c r="AI72">
        <f t="shared" si="45"/>
        <v>3.4468056095841769E-2</v>
      </c>
      <c r="AJ72">
        <f t="shared" si="46"/>
        <v>-2.5187754045304794E-3</v>
      </c>
      <c r="AK72">
        <f t="shared" si="47"/>
        <v>0.1274625969566405</v>
      </c>
      <c r="AM72">
        <f t="shared" si="48"/>
        <v>6.8227647916043868E-2</v>
      </c>
      <c r="AN72">
        <f t="shared" si="49"/>
        <v>4.0312402632368877E-2</v>
      </c>
      <c r="AO72">
        <f t="shared" si="50"/>
        <v>-2.7915245283674991E-2</v>
      </c>
      <c r="AP72">
        <f t="shared" si="51"/>
        <v>0.14758597868770051</v>
      </c>
      <c r="AR72">
        <f t="shared" si="52"/>
        <v>-0.25673328041440852</v>
      </c>
      <c r="AS72">
        <f t="shared" si="53"/>
        <v>0.16202105540980233</v>
      </c>
      <c r="AT72">
        <f t="shared" si="54"/>
        <v>0.41875433582421084</v>
      </c>
      <c r="AU72">
        <f t="shared" si="55"/>
        <v>0.8313087644322783</v>
      </c>
    </row>
    <row r="73" spans="1:47" x14ac:dyDescent="0.25">
      <c r="A73" s="4">
        <f>DATE(2024,4,19)</f>
        <v>45401</v>
      </c>
      <c r="B73">
        <v>0.71339160444751437</v>
      </c>
      <c r="C73">
        <v>57.95081638870581</v>
      </c>
      <c r="D73">
        <v>0.71498022197383104</v>
      </c>
      <c r="E73">
        <f t="shared" si="28"/>
        <v>1.0779724139877576</v>
      </c>
      <c r="F73">
        <f t="shared" si="29"/>
        <v>1.3654679534374707</v>
      </c>
      <c r="G73">
        <f t="shared" si="30"/>
        <v>0.94675090722505684</v>
      </c>
      <c r="H73" s="2" t="str">
        <f t="shared" si="31"/>
        <v>Higher</v>
      </c>
      <c r="I73" s="2" t="str">
        <f t="shared" si="32"/>
        <v>Higher</v>
      </c>
      <c r="J73" s="2" t="str">
        <f t="shared" si="33"/>
        <v>Lower</v>
      </c>
      <c r="K73" s="2" t="str">
        <f t="shared" si="34"/>
        <v>Higher</v>
      </c>
      <c r="L73" s="2" t="str">
        <f t="shared" si="35"/>
        <v>Higher</v>
      </c>
      <c r="M73" s="2" t="str">
        <f t="shared" si="36"/>
        <v>Higher</v>
      </c>
      <c r="N73" s="2" t="str">
        <f t="shared" si="37"/>
        <v>Higher</v>
      </c>
      <c r="O73" s="2" t="str">
        <f t="shared" si="38"/>
        <v>Higher</v>
      </c>
      <c r="P73" s="2" t="str">
        <f t="shared" si="39"/>
        <v>Lower</v>
      </c>
      <c r="R73" s="4">
        <f>DATE(2024,4,19)</f>
        <v>45401</v>
      </c>
      <c r="S73">
        <v>0.96769663373655856</v>
      </c>
      <c r="T73">
        <v>0.95722465918473842</v>
      </c>
      <c r="U73">
        <v>0.95445629333640947</v>
      </c>
      <c r="V73">
        <v>0.5062144619274076</v>
      </c>
      <c r="X73" s="4">
        <f>DATE(2024,4,19)</f>
        <v>45401</v>
      </c>
      <c r="Y73">
        <v>29.217287387592624</v>
      </c>
      <c r="Z73">
        <v>35.361504598315172</v>
      </c>
      <c r="AA73">
        <v>69.754999999999995</v>
      </c>
      <c r="AB73">
        <v>31.451500000000003</v>
      </c>
      <c r="AC73">
        <f t="shared" si="40"/>
        <v>-1.4269435252061377E-2</v>
      </c>
      <c r="AD73">
        <f t="shared" si="41"/>
        <v>3.5699583872276702E-2</v>
      </c>
      <c r="AE73">
        <f t="shared" si="42"/>
        <v>4.9969019124338078E-2</v>
      </c>
      <c r="AF73">
        <f t="shared" si="43"/>
        <v>0.49938946747548535</v>
      </c>
      <c r="AH73">
        <f t="shared" si="44"/>
        <v>0.13460716280034665</v>
      </c>
      <c r="AI73">
        <f t="shared" si="45"/>
        <v>0.13469713096082322</v>
      </c>
      <c r="AJ73">
        <f t="shared" si="46"/>
        <v>8.9968160476572301E-5</v>
      </c>
      <c r="AK73">
        <f t="shared" si="47"/>
        <v>0.13983612917038332</v>
      </c>
      <c r="AM73">
        <f t="shared" si="48"/>
        <v>9.2729468551537991E-2</v>
      </c>
      <c r="AN73">
        <f t="shared" si="49"/>
        <v>0.12451738337078812</v>
      </c>
      <c r="AO73">
        <f t="shared" si="50"/>
        <v>3.1787914819250127E-2</v>
      </c>
      <c r="AP73">
        <f t="shared" si="51"/>
        <v>0.25884256511347603</v>
      </c>
      <c r="AR73">
        <f t="shared" si="52"/>
        <v>-0.21385388669744149</v>
      </c>
      <c r="AS73">
        <f t="shared" si="53"/>
        <v>0.17390911306956588</v>
      </c>
      <c r="AT73">
        <f t="shared" si="54"/>
        <v>0.38776299976700734</v>
      </c>
      <c r="AU73">
        <f t="shared" si="55"/>
        <v>0.79568545990007833</v>
      </c>
    </row>
    <row r="74" spans="1:47" x14ac:dyDescent="0.25">
      <c r="A74" s="4">
        <f>DATE(2024,4,18)</f>
        <v>45400</v>
      </c>
      <c r="B74">
        <v>1.0180648308920248</v>
      </c>
      <c r="C74">
        <v>64.077007180605762</v>
      </c>
      <c r="D74">
        <v>0.87942361294976834</v>
      </c>
      <c r="E74">
        <f t="shared" si="28"/>
        <v>1.6140672281309834</v>
      </c>
      <c r="F74">
        <f t="shared" si="29"/>
        <v>1.9299766997762482</v>
      </c>
      <c r="G74">
        <f t="shared" si="30"/>
        <v>1.4394316773474269</v>
      </c>
      <c r="H74" s="2" t="str">
        <f t="shared" si="31"/>
        <v>Higher</v>
      </c>
      <c r="I74" s="2" t="str">
        <f t="shared" si="32"/>
        <v>Higher</v>
      </c>
      <c r="J74" s="2" t="str">
        <f t="shared" si="33"/>
        <v>Lower</v>
      </c>
      <c r="K74" s="2" t="str">
        <f t="shared" si="34"/>
        <v>Higher</v>
      </c>
      <c r="L74" s="2" t="str">
        <f t="shared" si="35"/>
        <v>Higher</v>
      </c>
      <c r="M74" s="2" t="str">
        <f t="shared" si="36"/>
        <v>Higher</v>
      </c>
      <c r="N74" s="2" t="str">
        <f t="shared" si="37"/>
        <v>Higher</v>
      </c>
      <c r="O74" s="2" t="str">
        <f t="shared" si="38"/>
        <v>Higher</v>
      </c>
      <c r="P74" s="2" t="str">
        <f t="shared" si="39"/>
        <v>Lower</v>
      </c>
      <c r="R74" s="4">
        <f>DATE(2024,4,18)</f>
        <v>45400</v>
      </c>
      <c r="S74">
        <v>0.7674686069678941</v>
      </c>
      <c r="T74">
        <v>0.95515166268203311</v>
      </c>
      <c r="U74">
        <v>0.95061582454824645</v>
      </c>
      <c r="V74">
        <v>0.50540774223256801</v>
      </c>
      <c r="X74" s="4">
        <f>DATE(2024,4,18)</f>
        <v>45400</v>
      </c>
      <c r="Y74">
        <v>30.361717438888981</v>
      </c>
      <c r="Z74">
        <v>35.40981866617085</v>
      </c>
      <c r="AA74">
        <v>70.875</v>
      </c>
      <c r="AB74">
        <v>31.905749999999998</v>
      </c>
      <c r="AC74">
        <f t="shared" si="40"/>
        <v>5.6934349308426419E-2</v>
      </c>
      <c r="AD74">
        <f t="shared" si="41"/>
        <v>9.4766538475135595E-2</v>
      </c>
      <c r="AE74">
        <f t="shared" si="42"/>
        <v>3.7832189166709176E-2</v>
      </c>
      <c r="AF74">
        <f t="shared" si="43"/>
        <v>0.39645729806858793</v>
      </c>
      <c r="AH74">
        <f t="shared" si="44"/>
        <v>0.17813983619728083</v>
      </c>
      <c r="AI74">
        <f t="shared" si="45"/>
        <v>0.18052256008290113</v>
      </c>
      <c r="AJ74">
        <f t="shared" si="46"/>
        <v>2.3827238856203026E-3</v>
      </c>
      <c r="AK74">
        <f t="shared" si="47"/>
        <v>0.1490344372121776</v>
      </c>
      <c r="AM74">
        <f t="shared" si="48"/>
        <v>0.10308992276248125</v>
      </c>
      <c r="AN74">
        <f t="shared" si="49"/>
        <v>0.12819173533707015</v>
      </c>
      <c r="AO74">
        <f t="shared" si="50"/>
        <v>2.5101812574588905E-2</v>
      </c>
      <c r="AP74">
        <f t="shared" si="51"/>
        <v>0.24596499696127438</v>
      </c>
      <c r="AR74">
        <f t="shared" si="52"/>
        <v>-0.19331324837488897</v>
      </c>
      <c r="AS74">
        <f t="shared" si="53"/>
        <v>0.17635458001224594</v>
      </c>
      <c r="AT74">
        <f t="shared" si="54"/>
        <v>0.36966782838713491</v>
      </c>
      <c r="AU74">
        <f t="shared" si="55"/>
        <v>0.77457346564034502</v>
      </c>
    </row>
    <row r="75" spans="1:47" x14ac:dyDescent="0.25">
      <c r="A75" s="4">
        <f>DATE(2024,4,17)</f>
        <v>45399</v>
      </c>
      <c r="B75">
        <v>1.1117611141203736</v>
      </c>
      <c r="C75">
        <v>61.948507439843965</v>
      </c>
      <c r="D75">
        <v>0.84476902821210087</v>
      </c>
      <c r="E75">
        <f t="shared" si="28"/>
        <v>1.806384602492435</v>
      </c>
      <c r="F75">
        <f t="shared" si="29"/>
        <v>1.7803610674457986</v>
      </c>
      <c r="G75">
        <f t="shared" si="30"/>
        <v>1.3615063741339772</v>
      </c>
      <c r="H75" s="2" t="str">
        <f t="shared" si="31"/>
        <v>Higher</v>
      </c>
      <c r="I75" s="2" t="str">
        <f t="shared" si="32"/>
        <v>Higher</v>
      </c>
      <c r="J75" s="2" t="str">
        <f t="shared" si="33"/>
        <v>Lower</v>
      </c>
      <c r="K75" s="2" t="str">
        <f t="shared" si="34"/>
        <v>Higher</v>
      </c>
      <c r="L75" s="2" t="str">
        <f t="shared" si="35"/>
        <v>Higher</v>
      </c>
      <c r="M75" s="2" t="str">
        <f t="shared" si="36"/>
        <v>Higher</v>
      </c>
      <c r="N75" s="2" t="str">
        <f t="shared" si="37"/>
        <v>Higher</v>
      </c>
      <c r="O75" s="2" t="str">
        <f t="shared" si="38"/>
        <v>Higher</v>
      </c>
      <c r="P75" s="2" t="str">
        <f t="shared" si="39"/>
        <v>Lower</v>
      </c>
      <c r="R75" s="4">
        <f>DATE(2024,4,17)</f>
        <v>45399</v>
      </c>
      <c r="S75">
        <v>0.90871290003109084</v>
      </c>
      <c r="T75">
        <v>0.948157966082395</v>
      </c>
      <c r="U75">
        <v>0.94514304582154829</v>
      </c>
      <c r="V75">
        <v>0.50381228256395072</v>
      </c>
      <c r="X75" s="4">
        <f>DATE(2024,4,17)</f>
        <v>45399</v>
      </c>
      <c r="Y75">
        <v>33.232456375740377</v>
      </c>
      <c r="Z75">
        <v>39.190941743614047</v>
      </c>
      <c r="AA75">
        <v>70.922500000000014</v>
      </c>
      <c r="AB75">
        <v>31.869500000000002</v>
      </c>
      <c r="AC75">
        <f t="shared" si="40"/>
        <v>0.11397890193949049</v>
      </c>
      <c r="AD75">
        <f t="shared" si="41"/>
        <v>0.15755968548800608</v>
      </c>
      <c r="AE75">
        <f t="shared" si="42"/>
        <v>4.3580783548515592E-2</v>
      </c>
      <c r="AF75">
        <f t="shared" si="43"/>
        <v>0.44668735390512604</v>
      </c>
      <c r="AH75">
        <f t="shared" si="44"/>
        <v>0.15617959699365314</v>
      </c>
      <c r="AI75">
        <f t="shared" si="45"/>
        <v>0.13262856321250688</v>
      </c>
      <c r="AJ75">
        <f t="shared" si="46"/>
        <v>-2.3551033781146258E-2</v>
      </c>
      <c r="AK75">
        <f t="shared" si="47"/>
        <v>4.8704422720176277E-2</v>
      </c>
      <c r="AM75">
        <f t="shared" si="48"/>
        <v>8.3898227749487131E-2</v>
      </c>
      <c r="AN75">
        <f t="shared" si="49"/>
        <v>0.10795430180344971</v>
      </c>
      <c r="AO75">
        <f t="shared" si="50"/>
        <v>2.4056074053962581E-2</v>
      </c>
      <c r="AP75">
        <f t="shared" si="51"/>
        <v>0.24405371350814353</v>
      </c>
      <c r="AR75">
        <f t="shared" si="52"/>
        <v>-0.19745781293422152</v>
      </c>
      <c r="AS75">
        <f t="shared" si="53"/>
        <v>0.16416578212387284</v>
      </c>
      <c r="AT75">
        <f t="shared" si="54"/>
        <v>0.36162359505809438</v>
      </c>
      <c r="AU75">
        <f t="shared" si="55"/>
        <v>0.76614038053398859</v>
      </c>
    </row>
    <row r="76" spans="1:47" x14ac:dyDescent="0.25">
      <c r="A76" s="4">
        <f>DATE(2024,4,16)</f>
        <v>45398</v>
      </c>
      <c r="B76">
        <v>1.2994831845594803</v>
      </c>
      <c r="C76">
        <v>71.140577360657588</v>
      </c>
      <c r="D76">
        <v>1.0955500088201726</v>
      </c>
      <c r="E76">
        <f t="shared" si="28"/>
        <v>2.1722648588141547</v>
      </c>
      <c r="F76">
        <f t="shared" si="29"/>
        <v>2.6544819221272316</v>
      </c>
      <c r="G76">
        <f t="shared" si="30"/>
        <v>2.1277486576710603</v>
      </c>
      <c r="H76" s="2" t="str">
        <f t="shared" si="31"/>
        <v>Higher</v>
      </c>
      <c r="I76" s="2" t="str">
        <f t="shared" si="32"/>
        <v>Higher</v>
      </c>
      <c r="J76" s="2" t="str">
        <f t="shared" si="33"/>
        <v>Lower</v>
      </c>
      <c r="K76" s="2" t="str">
        <f t="shared" si="34"/>
        <v>Higher</v>
      </c>
      <c r="L76" s="2" t="str">
        <f t="shared" si="35"/>
        <v>Higher</v>
      </c>
      <c r="M76" s="2" t="str">
        <f t="shared" si="36"/>
        <v>Higher</v>
      </c>
      <c r="N76" s="2" t="str">
        <f t="shared" si="37"/>
        <v>Higher</v>
      </c>
      <c r="O76" s="2" t="str">
        <f t="shared" si="38"/>
        <v>Higher</v>
      </c>
      <c r="P76" s="2" t="str">
        <f t="shared" si="39"/>
        <v>Lower</v>
      </c>
      <c r="R76" s="4">
        <f>DATE(2024,4,16)</f>
        <v>45398</v>
      </c>
      <c r="S76">
        <v>0.97430331506262247</v>
      </c>
      <c r="T76">
        <v>0.93359601265445569</v>
      </c>
      <c r="U76">
        <v>0.94132566905161319</v>
      </c>
      <c r="V76">
        <v>0.50124113165658746</v>
      </c>
      <c r="X76" s="4">
        <f>DATE(2024,4,16)</f>
        <v>45398</v>
      </c>
      <c r="Y76">
        <v>37.413894364352856</v>
      </c>
      <c r="Z76">
        <v>44.104610530855162</v>
      </c>
      <c r="AA76">
        <v>72.972499999999997</v>
      </c>
      <c r="AB76">
        <v>32.958250000000007</v>
      </c>
      <c r="AC76">
        <f t="shared" si="40"/>
        <v>0.13401603699561226</v>
      </c>
      <c r="AD76">
        <f t="shared" si="41"/>
        <v>0.17695493264815398</v>
      </c>
      <c r="AE76">
        <f t="shared" si="42"/>
        <v>4.293889565254172E-2</v>
      </c>
      <c r="AF76">
        <f t="shared" si="43"/>
        <v>0.44145902543054044</v>
      </c>
      <c r="AH76">
        <f t="shared" si="44"/>
        <v>0.17892194957020013</v>
      </c>
      <c r="AI76">
        <f t="shared" si="45"/>
        <v>0.13480545978676683</v>
      </c>
      <c r="AJ76">
        <f t="shared" si="46"/>
        <v>-4.4116489783433299E-2</v>
      </c>
      <c r="AK76">
        <f t="shared" si="47"/>
        <v>-3.1020004563038561E-2</v>
      </c>
      <c r="AM76">
        <f t="shared" si="48"/>
        <v>0.14893402942580622</v>
      </c>
      <c r="AN76">
        <f t="shared" si="49"/>
        <v>0.19056430541219158</v>
      </c>
      <c r="AO76">
        <f t="shared" si="50"/>
        <v>4.1630275986385357E-2</v>
      </c>
      <c r="AP76">
        <f t="shared" si="51"/>
        <v>0.27700504776186863</v>
      </c>
      <c r="AR76">
        <f t="shared" si="52"/>
        <v>-0.16936787379297569</v>
      </c>
      <c r="AS76">
        <f t="shared" si="53"/>
        <v>0.11968687437292776</v>
      </c>
      <c r="AT76">
        <f t="shared" si="54"/>
        <v>0.28905474816590343</v>
      </c>
      <c r="AU76">
        <f t="shared" si="55"/>
        <v>0.68506628287140514</v>
      </c>
    </row>
    <row r="77" spans="1:47" x14ac:dyDescent="0.25">
      <c r="A77" s="4">
        <f>DATE(2024,4,15)</f>
        <v>45397</v>
      </c>
      <c r="B77">
        <v>1.0971237125939399</v>
      </c>
      <c r="C77">
        <v>67.345917398381474</v>
      </c>
      <c r="D77">
        <v>1.0410742964996418</v>
      </c>
      <c r="E77">
        <f t="shared" si="28"/>
        <v>1.86564467361182</v>
      </c>
      <c r="F77">
        <f t="shared" si="29"/>
        <v>2.3908689419889382</v>
      </c>
      <c r="G77">
        <f t="shared" si="30"/>
        <v>2.0179476811385011</v>
      </c>
      <c r="H77" s="2" t="str">
        <f t="shared" si="31"/>
        <v>Higher</v>
      </c>
      <c r="I77" s="2" t="str">
        <f t="shared" si="32"/>
        <v>Higher</v>
      </c>
      <c r="J77" s="2" t="str">
        <f t="shared" si="33"/>
        <v>Lower</v>
      </c>
      <c r="K77" s="2" t="str">
        <f t="shared" si="34"/>
        <v>Higher</v>
      </c>
      <c r="L77" s="2" t="str">
        <f t="shared" si="35"/>
        <v>Higher</v>
      </c>
      <c r="M77" s="2" t="str">
        <f t="shared" si="36"/>
        <v>Higher</v>
      </c>
      <c r="N77" s="2" t="str">
        <f t="shared" si="37"/>
        <v>Higher</v>
      </c>
      <c r="O77" s="2" t="str">
        <f t="shared" si="38"/>
        <v>Higher</v>
      </c>
      <c r="P77" s="2" t="str">
        <f t="shared" si="39"/>
        <v>Lower</v>
      </c>
      <c r="R77" s="4">
        <f>DATE(2024,4,15)</f>
        <v>45397</v>
      </c>
      <c r="S77">
        <v>0.98341811093489406</v>
      </c>
      <c r="T77">
        <v>0.91167805290564052</v>
      </c>
      <c r="U77">
        <v>0.93037261324975462</v>
      </c>
      <c r="V77">
        <v>0.4990755195233102</v>
      </c>
      <c r="X77" s="4">
        <f>DATE(2024,4,15)</f>
        <v>45397</v>
      </c>
      <c r="Y77">
        <v>34.077229373947937</v>
      </c>
      <c r="Z77">
        <v>38.721103556565403</v>
      </c>
      <c r="AA77">
        <v>70.460000000000008</v>
      </c>
      <c r="AB77">
        <v>30.923999999999999</v>
      </c>
      <c r="AC77">
        <f t="shared" si="40"/>
        <v>0.11784069414517062</v>
      </c>
      <c r="AD77">
        <f t="shared" si="41"/>
        <v>0.11298338210602588</v>
      </c>
      <c r="AE77">
        <f t="shared" si="42"/>
        <v>-4.8573120391447455E-3</v>
      </c>
      <c r="AF77">
        <f t="shared" si="43"/>
        <v>2.8717753636633404E-2</v>
      </c>
      <c r="AH77">
        <f t="shared" si="44"/>
        <v>0.14151091629784962</v>
      </c>
      <c r="AI77">
        <f t="shared" si="45"/>
        <v>7.4469967160651115E-2</v>
      </c>
      <c r="AJ77">
        <f t="shared" si="46"/>
        <v>-6.7040949137198505E-2</v>
      </c>
      <c r="AK77">
        <f t="shared" si="47"/>
        <v>-0.11911565000184927</v>
      </c>
      <c r="AM77">
        <f t="shared" si="48"/>
        <v>0.12754795047564252</v>
      </c>
      <c r="AN77">
        <f t="shared" si="49"/>
        <v>0.12571788222864991</v>
      </c>
      <c r="AO77">
        <f t="shared" si="50"/>
        <v>-1.8300682469926111E-3</v>
      </c>
      <c r="AP77">
        <f t="shared" si="51"/>
        <v>0.19472142137455267</v>
      </c>
      <c r="AR77">
        <f t="shared" si="52"/>
        <v>-0.20298718561552703</v>
      </c>
      <c r="AS77">
        <f t="shared" si="53"/>
        <v>6.9523877094240369E-3</v>
      </c>
      <c r="AT77">
        <f t="shared" si="54"/>
        <v>0.20993957332495106</v>
      </c>
      <c r="AU77">
        <f t="shared" si="55"/>
        <v>0.59490451560552216</v>
      </c>
    </row>
    <row r="78" spans="1:47" x14ac:dyDescent="0.25">
      <c r="A78" s="4">
        <f>DATE(2024,4,12)</f>
        <v>45394</v>
      </c>
      <c r="B78">
        <v>0.97725580158961356</v>
      </c>
      <c r="C78">
        <v>70.135251491623777</v>
      </c>
      <c r="D78">
        <v>1.2323467274052711</v>
      </c>
      <c r="E78">
        <f t="shared" si="28"/>
        <v>1.6805794818946507</v>
      </c>
      <c r="F78">
        <f t="shared" si="29"/>
        <v>2.7222735547491443</v>
      </c>
      <c r="G78">
        <f t="shared" si="30"/>
        <v>2.6476426591614937</v>
      </c>
      <c r="H78" s="2" t="str">
        <f t="shared" si="31"/>
        <v>Higher</v>
      </c>
      <c r="I78" s="2" t="str">
        <f t="shared" si="32"/>
        <v>Higher</v>
      </c>
      <c r="J78" s="2" t="str">
        <f t="shared" si="33"/>
        <v>Lower</v>
      </c>
      <c r="K78" s="2" t="str">
        <f t="shared" si="34"/>
        <v>Higher</v>
      </c>
      <c r="L78" s="2" t="str">
        <f t="shared" si="35"/>
        <v>Higher</v>
      </c>
      <c r="M78" s="2" t="str">
        <f t="shared" si="36"/>
        <v>Higher</v>
      </c>
      <c r="N78" s="2" t="str">
        <f t="shared" si="37"/>
        <v>Higher</v>
      </c>
      <c r="O78" s="2" t="str">
        <f t="shared" si="38"/>
        <v>Higher</v>
      </c>
      <c r="P78" s="2" t="str">
        <f t="shared" si="39"/>
        <v>Lower</v>
      </c>
      <c r="R78" s="4">
        <f>DATE(2024,4,12)</f>
        <v>45394</v>
      </c>
      <c r="S78">
        <v>0.98233398588384135</v>
      </c>
      <c r="T78">
        <v>0.89297729224174083</v>
      </c>
      <c r="U78">
        <v>0.92299750149618587</v>
      </c>
      <c r="V78">
        <v>0.49544140939189146</v>
      </c>
      <c r="X78" s="4">
        <f>DATE(2024,4,12)</f>
        <v>45394</v>
      </c>
      <c r="Y78">
        <v>36.214983315295541</v>
      </c>
      <c r="Z78">
        <v>39.161441783127202</v>
      </c>
      <c r="AA78">
        <v>70.757499999999993</v>
      </c>
      <c r="AB78">
        <v>30.348500000000001</v>
      </c>
      <c r="AC78">
        <f t="shared" si="40"/>
        <v>0.16258336041174956</v>
      </c>
      <c r="AD78">
        <f t="shared" si="41"/>
        <v>0.1327103194664217</v>
      </c>
      <c r="AE78">
        <f t="shared" si="42"/>
        <v>-2.9873040945327861E-2</v>
      </c>
      <c r="AF78">
        <f t="shared" si="43"/>
        <v>-0.18774878251961297</v>
      </c>
      <c r="AH78">
        <f t="shared" si="44"/>
        <v>0.17677571551522012</v>
      </c>
      <c r="AI78">
        <f t="shared" si="45"/>
        <v>0.12297487604711034</v>
      </c>
      <c r="AJ78">
        <f t="shared" si="46"/>
        <v>-5.3800839468109776E-2</v>
      </c>
      <c r="AK78">
        <f t="shared" si="47"/>
        <v>-6.8532410225252291E-2</v>
      </c>
      <c r="AM78">
        <f t="shared" si="48"/>
        <v>0.10593777064973472</v>
      </c>
      <c r="AN78">
        <f t="shared" si="49"/>
        <v>6.1414202280188075E-2</v>
      </c>
      <c r="AO78">
        <f t="shared" si="50"/>
        <v>-4.452356836954665E-2</v>
      </c>
      <c r="AP78">
        <f t="shared" si="51"/>
        <v>0.11345296253328264</v>
      </c>
      <c r="AR78">
        <f t="shared" si="52"/>
        <v>-0.20088587596570104</v>
      </c>
      <c r="AS78">
        <f t="shared" si="53"/>
        <v>-9.3155589823373644E-2</v>
      </c>
      <c r="AT78">
        <f t="shared" si="54"/>
        <v>0.10773028614232739</v>
      </c>
      <c r="AU78">
        <f t="shared" si="55"/>
        <v>0.47846538792841364</v>
      </c>
    </row>
    <row r="79" spans="1:47" x14ac:dyDescent="0.25">
      <c r="A79" s="4">
        <f>DATE(2024,4,11)</f>
        <v>45393</v>
      </c>
      <c r="B79">
        <v>0.58861625819150587</v>
      </c>
      <c r="C79">
        <v>65.459270789502725</v>
      </c>
      <c r="D79">
        <v>1.1638422973658211</v>
      </c>
      <c r="E79">
        <f t="shared" si="28"/>
        <v>0.99188743097995891</v>
      </c>
      <c r="F79">
        <f t="shared" si="29"/>
        <v>2.3246397303093147</v>
      </c>
      <c r="G79">
        <f t="shared" si="30"/>
        <v>2.4856818838548258</v>
      </c>
      <c r="H79" s="2" t="str">
        <f t="shared" si="31"/>
        <v>Higher</v>
      </c>
      <c r="I79" s="2" t="str">
        <f t="shared" si="32"/>
        <v>Higher</v>
      </c>
      <c r="J79" s="2" t="str">
        <f t="shared" si="33"/>
        <v>Lower</v>
      </c>
      <c r="K79" s="2" t="str">
        <f t="shared" si="34"/>
        <v>Higher</v>
      </c>
      <c r="L79" s="2" t="str">
        <f t="shared" si="35"/>
        <v>Higher</v>
      </c>
      <c r="M79" s="2" t="str">
        <f t="shared" si="36"/>
        <v>Higher</v>
      </c>
      <c r="N79" s="2" t="str">
        <f t="shared" si="37"/>
        <v>Higher</v>
      </c>
      <c r="O79" s="2" t="str">
        <f t="shared" si="38"/>
        <v>Higher</v>
      </c>
      <c r="P79" s="2" t="str">
        <f t="shared" si="39"/>
        <v>Lower</v>
      </c>
      <c r="R79" s="4">
        <f>DATE(2024,4,11)</f>
        <v>45393</v>
      </c>
      <c r="S79">
        <v>0.957047611676066</v>
      </c>
      <c r="T79">
        <v>0.85639867417519977</v>
      </c>
      <c r="U79">
        <v>0.92342962546016638</v>
      </c>
      <c r="V79">
        <v>0.49176057552980879</v>
      </c>
      <c r="X79" s="4">
        <f>DATE(2024,4,11)</f>
        <v>45393</v>
      </c>
      <c r="Y79">
        <v>32.368903694797751</v>
      </c>
      <c r="Z79">
        <v>36.392096791961023</v>
      </c>
      <c r="AA79">
        <v>66.952500000000001</v>
      </c>
      <c r="AB79">
        <v>29.021000000000001</v>
      </c>
      <c r="AC79">
        <f t="shared" si="40"/>
        <v>0.13782401330041288</v>
      </c>
      <c r="AD79">
        <f t="shared" si="41"/>
        <v>0.10525140522360216</v>
      </c>
      <c r="AE79">
        <f t="shared" si="42"/>
        <v>-3.2572608076810727E-2</v>
      </c>
      <c r="AF79">
        <f t="shared" si="43"/>
        <v>-0.21043769892324812</v>
      </c>
      <c r="AH79">
        <f t="shared" si="44"/>
        <v>0.14664867615128968</v>
      </c>
      <c r="AI79">
        <f t="shared" si="45"/>
        <v>0.11597026085681821</v>
      </c>
      <c r="AJ79">
        <f t="shared" si="46"/>
        <v>-3.0678415294471476E-2</v>
      </c>
      <c r="AK79">
        <f t="shared" si="47"/>
        <v>2.1431125288490942E-2</v>
      </c>
      <c r="AM79">
        <f t="shared" si="48"/>
        <v>5.8430976444716495E-2</v>
      </c>
      <c r="AN79">
        <f t="shared" si="49"/>
        <v>3.5449191240164137E-2</v>
      </c>
      <c r="AO79">
        <f t="shared" si="50"/>
        <v>-2.2981785204552359E-2</v>
      </c>
      <c r="AP79">
        <f t="shared" si="51"/>
        <v>0.15247950063326035</v>
      </c>
      <c r="AR79">
        <f t="shared" si="52"/>
        <v>-0.24949140999640781</v>
      </c>
      <c r="AS79">
        <f t="shared" si="53"/>
        <v>-0.11503412227584585</v>
      </c>
      <c r="AT79">
        <f t="shared" si="54"/>
        <v>0.13445728772056198</v>
      </c>
      <c r="AU79">
        <f t="shared" si="55"/>
        <v>0.5067819711706868</v>
      </c>
    </row>
    <row r="80" spans="1:47" x14ac:dyDescent="0.25">
      <c r="A80" s="4">
        <f>DATE(2024,4,10)</f>
        <v>45392</v>
      </c>
      <c r="B80">
        <v>0.26743915778573202</v>
      </c>
      <c r="C80">
        <v>56.103769985017465</v>
      </c>
      <c r="D80">
        <v>0.72731802628311082</v>
      </c>
      <c r="E80">
        <f t="shared" si="28"/>
        <v>0.40981322367012801</v>
      </c>
      <c r="F80">
        <f t="shared" si="29"/>
        <v>1.4339860203333796</v>
      </c>
      <c r="G80">
        <f t="shared" si="30"/>
        <v>1.1461166364119209</v>
      </c>
      <c r="H80" s="2" t="str">
        <f t="shared" si="31"/>
        <v>Higher</v>
      </c>
      <c r="I80" s="2" t="str">
        <f t="shared" si="32"/>
        <v>Higher</v>
      </c>
      <c r="J80" s="2" t="str">
        <f t="shared" si="33"/>
        <v>Lower</v>
      </c>
      <c r="K80" s="2" t="str">
        <f t="shared" si="34"/>
        <v>Higher</v>
      </c>
      <c r="L80" s="2" t="str">
        <f t="shared" si="35"/>
        <v>Higher</v>
      </c>
      <c r="M80" s="2" t="str">
        <f t="shared" si="36"/>
        <v>Higher</v>
      </c>
      <c r="N80" s="2" t="str">
        <f t="shared" si="37"/>
        <v>Higher</v>
      </c>
      <c r="O80" s="2" t="str">
        <f t="shared" si="38"/>
        <v>Higher</v>
      </c>
      <c r="P80" s="2" t="str">
        <f t="shared" si="39"/>
        <v>Lower</v>
      </c>
      <c r="R80" s="4">
        <f>DATE(2024,4,10)</f>
        <v>45392</v>
      </c>
      <c r="S80">
        <v>0.9053613974314455</v>
      </c>
      <c r="T80">
        <v>0.84399434184440913</v>
      </c>
      <c r="U80">
        <v>0.9192949201885624</v>
      </c>
      <c r="V80">
        <v>0.48798147050027113</v>
      </c>
      <c r="X80" s="4">
        <f>DATE(2024,4,10)</f>
        <v>45392</v>
      </c>
      <c r="Y80">
        <v>27.298862782142585</v>
      </c>
      <c r="Z80">
        <v>31.206444158697511</v>
      </c>
      <c r="AA80">
        <v>63.282499999999999</v>
      </c>
      <c r="AB80">
        <v>27.223750000000003</v>
      </c>
      <c r="AC80">
        <f t="shared" si="40"/>
        <v>9.0576802294122155E-2</v>
      </c>
      <c r="AD80">
        <f t="shared" si="41"/>
        <v>6.2806853303652946E-2</v>
      </c>
      <c r="AE80">
        <f t="shared" si="42"/>
        <v>-2.7769948990469209E-2</v>
      </c>
      <c r="AF80">
        <f t="shared" si="43"/>
        <v>-0.16777652619285</v>
      </c>
      <c r="AH80">
        <f t="shared" si="44"/>
        <v>0.11545000296411649</v>
      </c>
      <c r="AI80">
        <f t="shared" si="45"/>
        <v>8.7356222286514282E-2</v>
      </c>
      <c r="AJ80">
        <f t="shared" si="46"/>
        <v>-2.8093780677602209E-2</v>
      </c>
      <c r="AK80">
        <f t="shared" si="47"/>
        <v>3.2133869578794189E-2</v>
      </c>
      <c r="AM80">
        <f t="shared" si="48"/>
        <v>-8.4577912178544871E-3</v>
      </c>
      <c r="AN80">
        <f t="shared" si="49"/>
        <v>-3.2177918826892554E-2</v>
      </c>
      <c r="AO80">
        <f t="shared" si="50"/>
        <v>-2.3720127609038067E-2</v>
      </c>
      <c r="AP80">
        <f t="shared" si="51"/>
        <v>0.15086174973925573</v>
      </c>
      <c r="AR80">
        <f t="shared" si="52"/>
        <v>-0.30859720321589007</v>
      </c>
      <c r="AS80">
        <f t="shared" si="53"/>
        <v>-0.24164799017095343</v>
      </c>
      <c r="AT80">
        <f t="shared" si="54"/>
        <v>6.6949213044936645E-2</v>
      </c>
      <c r="AU80">
        <f t="shared" si="55"/>
        <v>0.43094946671574419</v>
      </c>
    </row>
    <row r="81" spans="1:47" x14ac:dyDescent="0.25">
      <c r="A81" s="4">
        <f>DATE(2024,4,9)</f>
        <v>45391</v>
      </c>
      <c r="B81">
        <v>0.24987847798239304</v>
      </c>
      <c r="C81">
        <v>59.589172287765408</v>
      </c>
      <c r="D81">
        <v>0.87345172707734509</v>
      </c>
      <c r="E81">
        <f t="shared" si="28"/>
        <v>0.37648684956041617</v>
      </c>
      <c r="F81">
        <f t="shared" si="29"/>
        <v>1.7843227169668141</v>
      </c>
      <c r="G81">
        <f t="shared" si="30"/>
        <v>1.6066334304264951</v>
      </c>
      <c r="H81" s="2" t="str">
        <f t="shared" si="31"/>
        <v>Higher</v>
      </c>
      <c r="I81" s="2" t="str">
        <f t="shared" si="32"/>
        <v>Higher</v>
      </c>
      <c r="J81" s="2" t="str">
        <f t="shared" si="33"/>
        <v>Lower</v>
      </c>
      <c r="K81" s="2" t="str">
        <f t="shared" si="34"/>
        <v>Higher</v>
      </c>
      <c r="L81" s="2" t="str">
        <f t="shared" si="35"/>
        <v>Higher</v>
      </c>
      <c r="M81" s="2" t="str">
        <f t="shared" si="36"/>
        <v>Higher</v>
      </c>
      <c r="N81" s="2" t="str">
        <f t="shared" si="37"/>
        <v>Higher</v>
      </c>
      <c r="O81" s="2" t="str">
        <f t="shared" si="38"/>
        <v>Higher</v>
      </c>
      <c r="P81" s="2" t="str">
        <f t="shared" si="39"/>
        <v>Lower</v>
      </c>
      <c r="R81" s="4">
        <f>DATE(2024,4,9)</f>
        <v>45391</v>
      </c>
      <c r="S81">
        <v>0.95276863824047142</v>
      </c>
      <c r="T81">
        <v>0.87288187982566978</v>
      </c>
      <c r="U81">
        <v>0.92891367075501863</v>
      </c>
      <c r="V81">
        <v>0.48477181205008835</v>
      </c>
      <c r="X81" s="4">
        <f>DATE(2024,4,9)</f>
        <v>45391</v>
      </c>
      <c r="Y81">
        <v>28.136019422620251</v>
      </c>
      <c r="Z81">
        <v>33.112249996350201</v>
      </c>
      <c r="AA81">
        <v>63.819999999999993</v>
      </c>
      <c r="AB81">
        <v>27.613</v>
      </c>
      <c r="AC81">
        <f t="shared" si="40"/>
        <v>7.219335849529207E-2</v>
      </c>
      <c r="AD81">
        <f t="shared" si="41"/>
        <v>4.160431435912948E-2</v>
      </c>
      <c r="AE81">
        <f t="shared" si="42"/>
        <v>-3.0589044136162591E-2</v>
      </c>
      <c r="AF81">
        <f t="shared" si="43"/>
        <v>-0.190648152236257</v>
      </c>
      <c r="AH81">
        <f t="shared" si="44"/>
        <v>0.12488375025269348</v>
      </c>
      <c r="AI81">
        <f t="shared" si="45"/>
        <v>0.11032014196318696</v>
      </c>
      <c r="AJ81">
        <f t="shared" si="46"/>
        <v>-1.4563608289506522E-2</v>
      </c>
      <c r="AK81">
        <f t="shared" si="47"/>
        <v>8.6103295611028155E-2</v>
      </c>
      <c r="AM81">
        <f t="shared" si="48"/>
        <v>-3.2071820658364232E-2</v>
      </c>
      <c r="AN81">
        <f t="shared" si="49"/>
        <v>-8.4301404534908517E-2</v>
      </c>
      <c r="AO81">
        <f t="shared" si="50"/>
        <v>-5.2229583876544285E-2</v>
      </c>
      <c r="AP81">
        <f t="shared" si="51"/>
        <v>9.673082034601195E-2</v>
      </c>
      <c r="AR81">
        <f t="shared" si="52"/>
        <v>-0.31351291083164573</v>
      </c>
      <c r="AS81" t="str">
        <f t="shared" si="53"/>
        <v/>
      </c>
      <c r="AT81" t="str">
        <f t="shared" si="54"/>
        <v/>
      </c>
      <c r="AU81" t="str">
        <f t="shared" si="55"/>
        <v/>
      </c>
    </row>
    <row r="82" spans="1:47" x14ac:dyDescent="0.25">
      <c r="A82" s="4">
        <f>DATE(2024,4,8)</f>
        <v>45390</v>
      </c>
      <c r="B82">
        <v>7.1601631629048201E-2</v>
      </c>
      <c r="C82">
        <v>58.47125054017588</v>
      </c>
      <c r="D82">
        <v>0.85210493473111937</v>
      </c>
      <c r="E82">
        <f t="shared" si="28"/>
        <v>5.2247678062154447E-2</v>
      </c>
      <c r="F82">
        <f t="shared" si="29"/>
        <v>1.6822448161591181</v>
      </c>
      <c r="G82">
        <f t="shared" si="30"/>
        <v>1.538164848115527</v>
      </c>
      <c r="H82" s="2" t="str">
        <f t="shared" si="31"/>
        <v>Higher</v>
      </c>
      <c r="I82" s="2" t="str">
        <f t="shared" si="32"/>
        <v>Higher</v>
      </c>
      <c r="J82" s="2" t="str">
        <f t="shared" si="33"/>
        <v>Lower</v>
      </c>
      <c r="K82" s="2" t="str">
        <f t="shared" si="34"/>
        <v>Higher</v>
      </c>
      <c r="L82" s="2" t="str">
        <f t="shared" si="35"/>
        <v>Higher</v>
      </c>
      <c r="M82" s="2" t="str">
        <f t="shared" si="36"/>
        <v>Higher</v>
      </c>
      <c r="N82" s="2" t="str">
        <f t="shared" si="37"/>
        <v>Higher</v>
      </c>
      <c r="O82" s="2" t="str">
        <f t="shared" si="38"/>
        <v>Higher</v>
      </c>
      <c r="P82" s="2" t="str">
        <f t="shared" si="39"/>
        <v>Lower</v>
      </c>
      <c r="R82" s="4">
        <f>DATE(2024,4,8)</f>
        <v>45390</v>
      </c>
      <c r="S82">
        <v>0.98697151776236924</v>
      </c>
      <c r="T82">
        <v>0.9110149068388822</v>
      </c>
      <c r="U82">
        <v>0.93793775638116472</v>
      </c>
      <c r="V82">
        <v>0.48288254889905846</v>
      </c>
      <c r="X82" s="4">
        <f>DATE(2024,4,8)</f>
        <v>45390</v>
      </c>
      <c r="Y82">
        <v>27.499362772555084</v>
      </c>
      <c r="Z82">
        <v>33.67139364687673</v>
      </c>
      <c r="AA82">
        <v>62.627499999999998</v>
      </c>
      <c r="AB82">
        <v>27.620249999999999</v>
      </c>
      <c r="AC82" t="str">
        <f t="shared" si="40"/>
        <v/>
      </c>
      <c r="AD82" t="str">
        <f t="shared" si="41"/>
        <v/>
      </c>
      <c r="AE82" t="str">
        <f t="shared" si="42"/>
        <v/>
      </c>
      <c r="AF82" t="str">
        <f t="shared" si="43"/>
        <v/>
      </c>
      <c r="AH82">
        <f t="shared" si="44"/>
        <v>0.10040075644246922</v>
      </c>
      <c r="AI82">
        <f t="shared" si="45"/>
        <v>8.8881813405802992E-2</v>
      </c>
      <c r="AJ82">
        <f t="shared" si="46"/>
        <v>-1.1518943036666229E-2</v>
      </c>
      <c r="AK82">
        <f t="shared" si="47"/>
        <v>9.9536942890282448E-2</v>
      </c>
      <c r="AM82">
        <f t="shared" si="48"/>
        <v>-6.2363089658014181E-2</v>
      </c>
      <c r="AN82" t="str">
        <f t="shared" si="49"/>
        <v/>
      </c>
      <c r="AO82" t="str">
        <f t="shared" si="50"/>
        <v/>
      </c>
      <c r="AP82" t="str">
        <f t="shared" si="51"/>
        <v/>
      </c>
      <c r="AR82">
        <f t="shared" si="52"/>
        <v>-0.33919439598230883</v>
      </c>
      <c r="AS82">
        <f t="shared" si="53"/>
        <v>-0.23398777186552305</v>
      </c>
      <c r="AT82">
        <f t="shared" si="54"/>
        <v>0.10520662411678577</v>
      </c>
      <c r="AU82">
        <f t="shared" si="55"/>
        <v>0.4703417459883199</v>
      </c>
    </row>
    <row r="83" spans="1:47" x14ac:dyDescent="0.25">
      <c r="A83" s="4">
        <f>DATE(2024,4,5)</f>
        <v>45387</v>
      </c>
      <c r="B83">
        <v>-0.16807027937128088</v>
      </c>
      <c r="C83">
        <v>52.022740752437315</v>
      </c>
      <c r="D83">
        <v>0.57903461840979342</v>
      </c>
      <c r="E83">
        <f t="shared" si="28"/>
        <v>-0.38251858987982601</v>
      </c>
      <c r="F83">
        <f t="shared" si="29"/>
        <v>1.0607597977356187</v>
      </c>
      <c r="G83">
        <f t="shared" si="30"/>
        <v>0.69162995508899505</v>
      </c>
      <c r="H83" s="2" t="str">
        <f t="shared" si="31"/>
        <v>Higher</v>
      </c>
      <c r="I83" s="2" t="str">
        <f t="shared" si="32"/>
        <v>Higher</v>
      </c>
      <c r="J83" s="2" t="str">
        <f t="shared" si="33"/>
        <v>Lower</v>
      </c>
      <c r="K83" s="2" t="str">
        <f t="shared" si="34"/>
        <v>Higher</v>
      </c>
      <c r="L83" s="2" t="str">
        <f t="shared" si="35"/>
        <v>Higher</v>
      </c>
      <c r="M83" s="2" t="str">
        <f t="shared" si="36"/>
        <v>Higher</v>
      </c>
      <c r="N83" s="2" t="str">
        <f t="shared" si="37"/>
        <v>Higher</v>
      </c>
      <c r="O83" s="2" t="str">
        <f t="shared" si="38"/>
        <v>Higher</v>
      </c>
      <c r="P83" s="2" t="str">
        <f t="shared" si="39"/>
        <v>Lower</v>
      </c>
      <c r="R83" s="4">
        <f>DATE(2024,4,5)</f>
        <v>45387</v>
      </c>
      <c r="S83">
        <v>0.97443521342429917</v>
      </c>
      <c r="T83">
        <v>0.92307986683970777</v>
      </c>
      <c r="U83">
        <v>0.93388236655931867</v>
      </c>
      <c r="V83">
        <v>0.47806336679036915</v>
      </c>
      <c r="X83" s="4">
        <f>DATE(2024,4,5)</f>
        <v>45387</v>
      </c>
      <c r="Y83">
        <v>23.292905268817155</v>
      </c>
      <c r="Z83">
        <v>30.103156098222911</v>
      </c>
      <c r="AA83">
        <v>60.14</v>
      </c>
      <c r="AB83">
        <v>26.576750000000001</v>
      </c>
      <c r="AC83" t="str">
        <f t="shared" si="40"/>
        <v/>
      </c>
      <c r="AD83" t="str">
        <f t="shared" si="41"/>
        <v/>
      </c>
      <c r="AE83" t="str">
        <f t="shared" si="42"/>
        <v/>
      </c>
      <c r="AF83" t="str">
        <f t="shared" si="43"/>
        <v/>
      </c>
      <c r="AH83">
        <f t="shared" si="44"/>
        <v>2.4150275478207799E-2</v>
      </c>
      <c r="AI83">
        <f t="shared" si="45"/>
        <v>7.1558344772628376E-3</v>
      </c>
      <c r="AJ83">
        <f t="shared" si="46"/>
        <v>-1.6994441000944962E-2</v>
      </c>
      <c r="AK83">
        <f t="shared" si="47"/>
        <v>8.1691323041421751E-2</v>
      </c>
      <c r="AM83">
        <f t="shared" si="48"/>
        <v>-9.9774607598871315E-2</v>
      </c>
      <c r="AN83">
        <f t="shared" si="49"/>
        <v>-0.17873745304220554</v>
      </c>
      <c r="AO83">
        <f t="shared" si="50"/>
        <v>-7.896284544333422E-2</v>
      </c>
      <c r="AP83">
        <f t="shared" si="51"/>
        <v>4.4415742062039597E-2</v>
      </c>
      <c r="AR83">
        <f t="shared" si="52"/>
        <v>-0.38881016548172853</v>
      </c>
      <c r="AS83">
        <f t="shared" si="53"/>
        <v>-0.32444833084104541</v>
      </c>
      <c r="AT83">
        <f t="shared" si="54"/>
        <v>6.4361834640683124E-2</v>
      </c>
      <c r="AU83">
        <f t="shared" si="55"/>
        <v>0.42247191211115664</v>
      </c>
    </row>
    <row r="84" spans="1:47" x14ac:dyDescent="0.25">
      <c r="A84" s="4">
        <f>DATE(2024,4,4)</f>
        <v>45386</v>
      </c>
      <c r="B84">
        <v>-0.24408041914961875</v>
      </c>
      <c r="C84">
        <v>46.551862483274434</v>
      </c>
      <c r="D84">
        <v>0.36172077800780078</v>
      </c>
      <c r="E84">
        <f t="shared" si="28"/>
        <v>-0.52146813673421344</v>
      </c>
      <c r="F84">
        <f t="shared" si="29"/>
        <v>0.52136937871422562</v>
      </c>
      <c r="G84">
        <f t="shared" si="30"/>
        <v>6.9706481379256764E-3</v>
      </c>
      <c r="H84" s="2" t="str">
        <f t="shared" si="31"/>
        <v>Higher</v>
      </c>
      <c r="I84" s="2" t="str">
        <f t="shared" si="32"/>
        <v>Higher</v>
      </c>
      <c r="J84" s="2" t="str">
        <f t="shared" si="33"/>
        <v>Lower</v>
      </c>
      <c r="K84" s="2" t="str">
        <f t="shared" si="34"/>
        <v>Higher</v>
      </c>
      <c r="L84" s="2" t="str">
        <f t="shared" si="35"/>
        <v>Higher</v>
      </c>
      <c r="M84" s="2" t="str">
        <f t="shared" si="36"/>
        <v>Higher</v>
      </c>
      <c r="N84" s="2" t="str">
        <f t="shared" si="37"/>
        <v>Higher</v>
      </c>
      <c r="O84" s="2" t="str">
        <f t="shared" si="38"/>
        <v>Higher</v>
      </c>
      <c r="P84" s="2" t="str">
        <f t="shared" si="39"/>
        <v>Lower</v>
      </c>
      <c r="R84" s="4">
        <f>DATE(2024,4,4)</f>
        <v>45386</v>
      </c>
      <c r="S84">
        <v>0.99552773277536277</v>
      </c>
      <c r="T84">
        <v>0.93022761815035571</v>
      </c>
      <c r="U84">
        <v>0.93769865346394699</v>
      </c>
      <c r="V84">
        <v>0.47725172773804719</v>
      </c>
      <c r="X84" s="4">
        <f>DATE(2024,4,4)</f>
        <v>45386</v>
      </c>
      <c r="Y84">
        <v>19.864567672339007</v>
      </c>
      <c r="Z84">
        <v>29.02479735404923</v>
      </c>
      <c r="AA84">
        <v>58.332500000000003</v>
      </c>
      <c r="AB84">
        <v>26.121749999999999</v>
      </c>
      <c r="AC84">
        <f t="shared" si="40"/>
        <v>-6.0208562946929292E-2</v>
      </c>
      <c r="AD84">
        <f t="shared" si="41"/>
        <v>-5.1417704039986044E-2</v>
      </c>
      <c r="AE84">
        <f t="shared" si="42"/>
        <v>8.7908589069432483E-3</v>
      </c>
      <c r="AF84">
        <f t="shared" si="43"/>
        <v>0.1533410996074184</v>
      </c>
      <c r="AH84">
        <f t="shared" si="44"/>
        <v>-1.4804371288962835E-2</v>
      </c>
      <c r="AI84">
        <f t="shared" si="45"/>
        <v>-1.7403282328591349E-3</v>
      </c>
      <c r="AJ84">
        <f t="shared" si="46"/>
        <v>1.3064043056103699E-2</v>
      </c>
      <c r="AK84">
        <f t="shared" si="47"/>
        <v>0.20361747419059889</v>
      </c>
      <c r="AM84">
        <f t="shared" si="48"/>
        <v>-0.15749411175947828</v>
      </c>
      <c r="AN84">
        <f t="shared" si="49"/>
        <v>-0.16205608541076938</v>
      </c>
      <c r="AO84">
        <f t="shared" si="50"/>
        <v>-4.5619736512911013E-3</v>
      </c>
      <c r="AP84">
        <f t="shared" si="51"/>
        <v>0.18149851220969174</v>
      </c>
      <c r="AR84">
        <f t="shared" si="52"/>
        <v>-0.41032477892096925</v>
      </c>
      <c r="AS84">
        <f t="shared" si="53"/>
        <v>-0.27703093046724392</v>
      </c>
      <c r="AT84">
        <f t="shared" si="54"/>
        <v>0.13329384845372533</v>
      </c>
      <c r="AU84">
        <f t="shared" si="55"/>
        <v>0.49733680559085924</v>
      </c>
    </row>
    <row r="85" spans="1:47" x14ac:dyDescent="0.25">
      <c r="A85" s="4">
        <f>DATE(2024,4,3)</f>
        <v>45385</v>
      </c>
      <c r="B85">
        <v>-0.13977428579918993</v>
      </c>
      <c r="C85">
        <v>43.411948578858848</v>
      </c>
      <c r="D85">
        <v>0.23816135699594773</v>
      </c>
      <c r="E85">
        <f t="shared" si="28"/>
        <v>-0.33336444995437159</v>
      </c>
      <c r="F85">
        <f t="shared" si="29"/>
        <v>0.20849181876273021</v>
      </c>
      <c r="G85">
        <f t="shared" si="30"/>
        <v>-0.38368810938319226</v>
      </c>
      <c r="H85" s="2" t="str">
        <f t="shared" si="31"/>
        <v>Higher</v>
      </c>
      <c r="I85" s="2" t="str">
        <f t="shared" si="32"/>
        <v>Higher</v>
      </c>
      <c r="J85" s="2" t="str">
        <f t="shared" si="33"/>
        <v>Lower</v>
      </c>
      <c r="K85" s="2" t="str">
        <f t="shared" si="34"/>
        <v>Higher</v>
      </c>
      <c r="L85" s="2" t="str">
        <f t="shared" si="35"/>
        <v>Higher</v>
      </c>
      <c r="M85" s="2" t="str">
        <f t="shared" si="36"/>
        <v>Higher</v>
      </c>
      <c r="N85" s="2" t="str">
        <f t="shared" si="37"/>
        <v>Higher</v>
      </c>
      <c r="O85" s="2" t="str">
        <f t="shared" si="38"/>
        <v>Higher</v>
      </c>
      <c r="P85" s="2" t="str">
        <f t="shared" si="39"/>
        <v>Lower</v>
      </c>
      <c r="R85" s="4">
        <f>DATE(2024,4,3)</f>
        <v>45385</v>
      </c>
      <c r="S85">
        <v>0.97539808571315001</v>
      </c>
      <c r="T85">
        <v>0.9337743971760688</v>
      </c>
      <c r="U85">
        <v>0.94847882245861603</v>
      </c>
      <c r="V85">
        <v>0.47338982319391176</v>
      </c>
      <c r="X85" s="4">
        <f>DATE(2024,4,3)</f>
        <v>45385</v>
      </c>
      <c r="Y85">
        <v>21.030571470413413</v>
      </c>
      <c r="Z85">
        <v>27.28217042321333</v>
      </c>
      <c r="AA85">
        <v>57.802499999999995</v>
      </c>
      <c r="AB85">
        <v>25.566499999999998</v>
      </c>
      <c r="AC85">
        <f t="shared" si="40"/>
        <v>-7.4969526061078262E-2</v>
      </c>
      <c r="AD85">
        <f t="shared" si="41"/>
        <v>-7.4819448350155596E-2</v>
      </c>
      <c r="AE85">
        <f t="shared" si="42"/>
        <v>1.5007771092266642E-4</v>
      </c>
      <c r="AF85">
        <f t="shared" si="43"/>
        <v>7.7052305017804912E-2</v>
      </c>
      <c r="AH85">
        <f t="shared" si="44"/>
        <v>-3.4433394133136355E-2</v>
      </c>
      <c r="AI85">
        <f t="shared" si="45"/>
        <v>-5.3201198797393372E-2</v>
      </c>
      <c r="AJ85">
        <f t="shared" si="46"/>
        <v>-1.8767804664257016E-2</v>
      </c>
      <c r="AK85">
        <f t="shared" si="47"/>
        <v>8.8520932761787866E-2</v>
      </c>
      <c r="AM85">
        <f t="shared" si="48"/>
        <v>-0.19868705980055762</v>
      </c>
      <c r="AN85">
        <f t="shared" si="49"/>
        <v>-0.18995051550949654</v>
      </c>
      <c r="AO85">
        <f t="shared" si="50"/>
        <v>8.7365442910610769E-3</v>
      </c>
      <c r="AP85">
        <f t="shared" si="51"/>
        <v>0.20504747900700571</v>
      </c>
      <c r="AR85">
        <f t="shared" si="52"/>
        <v>-0.42050363100569738</v>
      </c>
      <c r="AS85">
        <f t="shared" si="53"/>
        <v>-0.28838098525542821</v>
      </c>
      <c r="AT85">
        <f t="shared" si="54"/>
        <v>0.13212264575026916</v>
      </c>
      <c r="AU85">
        <f t="shared" si="55"/>
        <v>0.49406741347328353</v>
      </c>
    </row>
    <row r="86" spans="1:47" x14ac:dyDescent="0.25">
      <c r="A86" s="4">
        <f>DATE(2024,4,2)</f>
        <v>45384</v>
      </c>
      <c r="B86">
        <v>0.14180714228342872</v>
      </c>
      <c r="C86">
        <v>46.457776799974461</v>
      </c>
      <c r="D86">
        <v>0.35990075487957746</v>
      </c>
      <c r="E86">
        <f t="shared" si="28"/>
        <v>0.17933201303881505</v>
      </c>
      <c r="F86">
        <f t="shared" si="29"/>
        <v>0.51554788599164025</v>
      </c>
      <c r="G86">
        <f t="shared" si="30"/>
        <v>1.4868759238714103E-3</v>
      </c>
      <c r="H86" s="2" t="str">
        <f t="shared" si="31"/>
        <v>Higher</v>
      </c>
      <c r="I86" s="2" t="str">
        <f t="shared" si="32"/>
        <v>Higher</v>
      </c>
      <c r="J86" s="2" t="str">
        <f t="shared" si="33"/>
        <v>Lower</v>
      </c>
      <c r="K86" s="2" t="str">
        <f t="shared" si="34"/>
        <v>Higher</v>
      </c>
      <c r="L86" s="2" t="str">
        <f t="shared" si="35"/>
        <v>Higher</v>
      </c>
      <c r="M86" s="2" t="str">
        <f t="shared" si="36"/>
        <v>Higher</v>
      </c>
      <c r="N86" s="2" t="str">
        <f t="shared" si="37"/>
        <v>Higher</v>
      </c>
      <c r="O86" s="2" t="str">
        <f t="shared" si="38"/>
        <v>Higher</v>
      </c>
      <c r="P86" s="2" t="str">
        <f t="shared" si="39"/>
        <v>Lower</v>
      </c>
      <c r="R86" s="4">
        <f>DATE(2024,4,2)</f>
        <v>45384</v>
      </c>
      <c r="S86">
        <v>0.97383902431442715</v>
      </c>
      <c r="T86">
        <v>0.93125950022015169</v>
      </c>
      <c r="U86">
        <v>0.9530577413783532</v>
      </c>
      <c r="V86">
        <v>0.46748125482822339</v>
      </c>
      <c r="X86" s="4">
        <f>DATE(2024,4,2)</f>
        <v>45384</v>
      </c>
      <c r="Y86">
        <v>22.508466648127232</v>
      </c>
      <c r="Z86">
        <v>28.869502927066726</v>
      </c>
      <c r="AA86">
        <v>59.375</v>
      </c>
      <c r="AB86">
        <v>26.487749999999998</v>
      </c>
      <c r="AC86">
        <f t="shared" si="40"/>
        <v>-6.124362524071867E-2</v>
      </c>
      <c r="AD86">
        <f t="shared" si="41"/>
        <v>-3.2956958550833776E-2</v>
      </c>
      <c r="AE86">
        <f t="shared" si="42"/>
        <v>2.8286666689884894E-2</v>
      </c>
      <c r="AF86">
        <f t="shared" si="43"/>
        <v>0.31812858684466605</v>
      </c>
      <c r="AH86">
        <f t="shared" si="44"/>
        <v>-7.0069726760775856E-3</v>
      </c>
      <c r="AI86">
        <f t="shared" si="45"/>
        <v>-4.0054930857719287E-2</v>
      </c>
      <c r="AJ86">
        <f t="shared" si="46"/>
        <v>-3.3047958181641704E-2</v>
      </c>
      <c r="AK86">
        <f t="shared" si="47"/>
        <v>3.8570835836580955E-2</v>
      </c>
      <c r="AM86">
        <f t="shared" si="48"/>
        <v>-0.19227188764712286</v>
      </c>
      <c r="AN86">
        <f t="shared" si="49"/>
        <v>-0.15174100595152462</v>
      </c>
      <c r="AO86">
        <f t="shared" si="50"/>
        <v>4.0530881695598237E-2</v>
      </c>
      <c r="AP86">
        <f t="shared" si="51"/>
        <v>0.26305278624918665</v>
      </c>
      <c r="AR86">
        <f t="shared" si="52"/>
        <v>-0.39542186065768126</v>
      </c>
      <c r="AS86">
        <f t="shared" si="53"/>
        <v>-0.24870710309088351</v>
      </c>
      <c r="AT86">
        <f t="shared" si="54"/>
        <v>0.14671475756679775</v>
      </c>
      <c r="AU86">
        <f t="shared" si="55"/>
        <v>0.50809574484940123</v>
      </c>
    </row>
    <row r="87" spans="1:47" x14ac:dyDescent="0.25">
      <c r="A87" s="4">
        <f>DATE(2024,4,1)</f>
        <v>45383</v>
      </c>
      <c r="B87">
        <v>0.43780105834497918</v>
      </c>
      <c r="C87">
        <v>54.861264808926613</v>
      </c>
      <c r="D87">
        <v>0.70719841372803482</v>
      </c>
      <c r="E87">
        <f t="shared" si="28"/>
        <v>0.72294441373807139</v>
      </c>
      <c r="F87">
        <f t="shared" si="29"/>
        <v>1.3740514323650619</v>
      </c>
      <c r="G87">
        <f t="shared" si="30"/>
        <v>1.1145755841786085</v>
      </c>
      <c r="H87" s="2" t="str">
        <f t="shared" si="31"/>
        <v>Higher</v>
      </c>
      <c r="I87" s="2" t="str">
        <f t="shared" si="32"/>
        <v>Higher</v>
      </c>
      <c r="J87" s="2" t="str">
        <f t="shared" si="33"/>
        <v>Lower</v>
      </c>
      <c r="K87" s="2" t="str">
        <f t="shared" si="34"/>
        <v>Higher</v>
      </c>
      <c r="L87" s="2" t="str">
        <f t="shared" si="35"/>
        <v>Higher</v>
      </c>
      <c r="M87" s="2" t="str">
        <f t="shared" si="36"/>
        <v>Higher</v>
      </c>
      <c r="N87" s="2" t="str">
        <f t="shared" si="37"/>
        <v>Higher</v>
      </c>
      <c r="O87" s="2" t="str">
        <f t="shared" si="38"/>
        <v>Higher</v>
      </c>
      <c r="P87" s="2" t="str">
        <f t="shared" si="39"/>
        <v>Lower</v>
      </c>
      <c r="R87" s="4">
        <f>DATE(2024,4,1)</f>
        <v>45383</v>
      </c>
      <c r="X87" s="4">
        <f>DATE(2024,4,1)</f>
        <v>45383</v>
      </c>
      <c r="Y87">
        <v>24.509145078499873</v>
      </c>
      <c r="AC87" t="str">
        <f t="shared" si="40"/>
        <v/>
      </c>
      <c r="AD87" t="str">
        <f t="shared" si="41"/>
        <v/>
      </c>
      <c r="AE87" t="str">
        <f t="shared" si="42"/>
        <v/>
      </c>
      <c r="AF87" t="str">
        <f t="shared" si="43"/>
        <v/>
      </c>
      <c r="AH87" t="str">
        <f t="shared" si="44"/>
        <v/>
      </c>
      <c r="AI87" t="str">
        <f t="shared" si="45"/>
        <v/>
      </c>
      <c r="AJ87" t="str">
        <f t="shared" si="46"/>
        <v/>
      </c>
      <c r="AK87" t="str">
        <f t="shared" si="47"/>
        <v/>
      </c>
      <c r="AM87" t="str">
        <f t="shared" si="48"/>
        <v/>
      </c>
      <c r="AN87" t="str">
        <f t="shared" si="49"/>
        <v/>
      </c>
      <c r="AO87" t="str">
        <f t="shared" si="50"/>
        <v/>
      </c>
      <c r="AP87" t="str">
        <f t="shared" si="51"/>
        <v/>
      </c>
      <c r="AR87" t="str">
        <f t="shared" si="52"/>
        <v/>
      </c>
      <c r="AS87" t="str">
        <f t="shared" si="53"/>
        <v/>
      </c>
      <c r="AT87" t="str">
        <f t="shared" si="54"/>
        <v/>
      </c>
      <c r="AU87" t="str">
        <f t="shared" si="55"/>
        <v/>
      </c>
    </row>
    <row r="88" spans="1:47" x14ac:dyDescent="0.25">
      <c r="A88" s="4">
        <f>DATE(2024,3,29)</f>
        <v>45380</v>
      </c>
      <c r="E88">
        <f t="shared" si="28"/>
        <v>-6.7878346217114305E-2</v>
      </c>
      <c r="F88">
        <f t="shared" si="29"/>
        <v>-4.1942849046133244</v>
      </c>
      <c r="G88">
        <f t="shared" si="30"/>
        <v>-1.1237503183609041</v>
      </c>
      <c r="H88" s="2" t="str">
        <f t="shared" si="31"/>
        <v>Higher</v>
      </c>
      <c r="I88" s="2" t="str">
        <f t="shared" si="32"/>
        <v>Higher</v>
      </c>
      <c r="J88" s="2" t="str">
        <f t="shared" si="33"/>
        <v>Lower</v>
      </c>
      <c r="K88" s="2" t="str">
        <f t="shared" si="34"/>
        <v>Higher</v>
      </c>
      <c r="L88" s="2" t="str">
        <f t="shared" si="35"/>
        <v>Higher</v>
      </c>
      <c r="M88" s="2" t="str">
        <f t="shared" si="36"/>
        <v>Lower</v>
      </c>
      <c r="N88" s="2" t="str">
        <f t="shared" si="37"/>
        <v>Higher</v>
      </c>
      <c r="O88" s="2" t="str">
        <f t="shared" si="38"/>
        <v>Higher</v>
      </c>
      <c r="P88" s="2" t="str">
        <f t="shared" si="39"/>
        <v>Lower</v>
      </c>
      <c r="R88" s="4">
        <f>DATE(2024,3,29)</f>
        <v>45380</v>
      </c>
      <c r="X88" s="4">
        <f>DATE(2024,3,29)</f>
        <v>45380</v>
      </c>
      <c r="AC88" t="str">
        <f t="shared" si="40"/>
        <v/>
      </c>
      <c r="AD88" t="str">
        <f t="shared" si="41"/>
        <v/>
      </c>
      <c r="AE88" t="str">
        <f t="shared" si="42"/>
        <v/>
      </c>
      <c r="AF88" t="str">
        <f t="shared" si="43"/>
        <v/>
      </c>
      <c r="AH88" t="str">
        <f t="shared" si="44"/>
        <v/>
      </c>
      <c r="AI88" t="str">
        <f t="shared" si="45"/>
        <v/>
      </c>
      <c r="AJ88" t="str">
        <f t="shared" si="46"/>
        <v/>
      </c>
      <c r="AK88" t="str">
        <f t="shared" si="47"/>
        <v/>
      </c>
      <c r="AM88" t="str">
        <f t="shared" si="48"/>
        <v/>
      </c>
      <c r="AN88" t="str">
        <f t="shared" si="49"/>
        <v/>
      </c>
      <c r="AO88" t="str">
        <f t="shared" si="50"/>
        <v/>
      </c>
      <c r="AP88" t="str">
        <f t="shared" si="51"/>
        <v/>
      </c>
      <c r="AR88" t="str">
        <f t="shared" si="52"/>
        <v/>
      </c>
      <c r="AS88" t="str">
        <f t="shared" si="53"/>
        <v/>
      </c>
      <c r="AT88" t="str">
        <f t="shared" si="54"/>
        <v/>
      </c>
      <c r="AU88" t="str">
        <f t="shared" si="55"/>
        <v/>
      </c>
    </row>
    <row r="89" spans="1:47" x14ac:dyDescent="0.25">
      <c r="A89" s="4">
        <f>DATE(2024,3,28)</f>
        <v>45379</v>
      </c>
      <c r="B89">
        <v>0.5523294309105673</v>
      </c>
      <c r="C89">
        <v>54.861289942416668</v>
      </c>
      <c r="D89">
        <v>0.7289605823421389</v>
      </c>
      <c r="E89">
        <f t="shared" si="28"/>
        <v>0.94343131750118947</v>
      </c>
      <c r="F89">
        <f t="shared" si="29"/>
        <v>1.4020573022557683</v>
      </c>
      <c r="G89">
        <f t="shared" si="30"/>
        <v>1.208360940020538</v>
      </c>
      <c r="H89" s="2" t="str">
        <f t="shared" si="31"/>
        <v>Higher</v>
      </c>
      <c r="I89" s="2" t="str">
        <f t="shared" si="32"/>
        <v>Higher</v>
      </c>
      <c r="J89" s="2" t="str">
        <f t="shared" si="33"/>
        <v>Lower</v>
      </c>
      <c r="K89" s="2" t="str">
        <f t="shared" si="34"/>
        <v>Higher</v>
      </c>
      <c r="L89" s="2" t="str">
        <f t="shared" si="35"/>
        <v>Higher</v>
      </c>
      <c r="M89" s="2" t="str">
        <f t="shared" si="36"/>
        <v>Lower</v>
      </c>
      <c r="N89" s="2" t="str">
        <f t="shared" si="37"/>
        <v>Higher</v>
      </c>
      <c r="O89" s="2" t="str">
        <f t="shared" si="38"/>
        <v>Higher</v>
      </c>
      <c r="P89" s="2" t="str">
        <f t="shared" si="39"/>
        <v>Lower</v>
      </c>
      <c r="R89" s="4">
        <f>DATE(2024,3,28)</f>
        <v>45379</v>
      </c>
      <c r="S89">
        <v>0.79086896502001447</v>
      </c>
      <c r="T89">
        <v>0.92639214204133702</v>
      </c>
      <c r="U89">
        <v>0.95234144958192435</v>
      </c>
      <c r="V89">
        <v>0.4587581954929707</v>
      </c>
      <c r="X89" s="4">
        <f>DATE(2024,3,28)</f>
        <v>45379</v>
      </c>
      <c r="Y89">
        <v>26.394467104051696</v>
      </c>
      <c r="Z89">
        <v>31.285319212116512</v>
      </c>
      <c r="AA89">
        <v>61.952500000000001</v>
      </c>
      <c r="AB89">
        <v>27.5</v>
      </c>
      <c r="AC89">
        <f t="shared" si="40"/>
        <v>4.359003653537083E-2</v>
      </c>
      <c r="AD89">
        <f t="shared" si="41"/>
        <v>3.1922320424149504E-2</v>
      </c>
      <c r="AE89">
        <f t="shared" si="42"/>
        <v>-1.1667716111221325E-2</v>
      </c>
      <c r="AF89">
        <f t="shared" si="43"/>
        <v>-2.9741676959554167E-2</v>
      </c>
      <c r="AH89">
        <f t="shared" si="44"/>
        <v>9.6206428940818725E-2</v>
      </c>
      <c r="AI89">
        <f t="shared" si="45"/>
        <v>9.4560460913779121E-2</v>
      </c>
      <c r="AJ89">
        <f t="shared" si="46"/>
        <v>-1.6459680270396043E-3</v>
      </c>
      <c r="AK89">
        <f t="shared" si="47"/>
        <v>0.16517855290830399</v>
      </c>
      <c r="AM89">
        <f t="shared" si="48"/>
        <v>-0.20686225809891201</v>
      </c>
      <c r="AN89">
        <f t="shared" si="49"/>
        <v>-0.18885320933583019</v>
      </c>
      <c r="AO89">
        <f t="shared" si="50"/>
        <v>1.800904876308182E-2</v>
      </c>
      <c r="AP89">
        <f t="shared" si="51"/>
        <v>0.21778898239471295</v>
      </c>
      <c r="AR89">
        <f t="shared" si="52"/>
        <v>-0.37321946102702008</v>
      </c>
      <c r="AS89">
        <f t="shared" si="53"/>
        <v>-0.23531643297276894</v>
      </c>
      <c r="AT89">
        <f t="shared" si="54"/>
        <v>0.13790302805425114</v>
      </c>
      <c r="AU89">
        <f t="shared" si="55"/>
        <v>0.49119386240858925</v>
      </c>
    </row>
    <row r="90" spans="1:47" x14ac:dyDescent="0.25">
      <c r="A90" s="4">
        <f>DATE(2024,3,27)</f>
        <v>45378</v>
      </c>
      <c r="B90">
        <v>0.68295361915510466</v>
      </c>
      <c r="C90">
        <v>56.669118717304741</v>
      </c>
      <c r="D90">
        <v>0.816308764476121</v>
      </c>
      <c r="E90">
        <f t="shared" si="28"/>
        <v>1.1921501243509784</v>
      </c>
      <c r="F90">
        <f t="shared" si="29"/>
        <v>1.6061119933014145</v>
      </c>
      <c r="G90">
        <f t="shared" si="30"/>
        <v>1.5035015014805413</v>
      </c>
      <c r="H90" s="2" t="str">
        <f t="shared" si="31"/>
        <v>Higher</v>
      </c>
      <c r="I90" s="2" t="str">
        <f t="shared" si="32"/>
        <v>Higher</v>
      </c>
      <c r="J90" s="2" t="str">
        <f t="shared" si="33"/>
        <v>Lower</v>
      </c>
      <c r="K90" s="2" t="str">
        <f t="shared" si="34"/>
        <v>Higher</v>
      </c>
      <c r="L90" s="2" t="str">
        <f t="shared" si="35"/>
        <v>Higher</v>
      </c>
      <c r="M90" s="2" t="str">
        <f t="shared" si="36"/>
        <v>Lower</v>
      </c>
      <c r="N90" s="2" t="str">
        <f t="shared" si="37"/>
        <v>Higher</v>
      </c>
      <c r="O90" s="2" t="str">
        <f t="shared" si="38"/>
        <v>Higher</v>
      </c>
      <c r="P90" s="2" t="str">
        <f t="shared" si="39"/>
        <v>Lower</v>
      </c>
      <c r="R90" s="4">
        <f>DATE(2024,3,27)</f>
        <v>45378</v>
      </c>
      <c r="S90">
        <v>0.9094615330418937</v>
      </c>
      <c r="T90">
        <v>0.92618439752211745</v>
      </c>
      <c r="U90">
        <v>0.94098807443752208</v>
      </c>
      <c r="V90">
        <v>0.45241759281179367</v>
      </c>
      <c r="X90" s="4">
        <f>DATE(2024,3,27)</f>
        <v>45378</v>
      </c>
      <c r="Y90">
        <v>27.494080500958795</v>
      </c>
      <c r="Z90">
        <v>30.458960154381693</v>
      </c>
      <c r="AA90">
        <v>62.302499999999995</v>
      </c>
      <c r="AB90">
        <v>27.552750000000003</v>
      </c>
      <c r="AC90">
        <f t="shared" si="40"/>
        <v>2.6593418821118837E-2</v>
      </c>
      <c r="AD90">
        <f t="shared" si="41"/>
        <v>-1.2918527228996545E-2</v>
      </c>
      <c r="AE90">
        <f t="shared" si="42"/>
        <v>-3.9511946050115383E-2</v>
      </c>
      <c r="AF90">
        <f t="shared" si="43"/>
        <v>-0.26999869327287324</v>
      </c>
      <c r="AH90">
        <f t="shared" si="44"/>
        <v>8.017312828017692E-2</v>
      </c>
      <c r="AI90">
        <f t="shared" si="45"/>
        <v>7.5386757656527623E-2</v>
      </c>
      <c r="AJ90">
        <f t="shared" si="46"/>
        <v>-4.786370623649297E-3</v>
      </c>
      <c r="AK90">
        <f t="shared" si="47"/>
        <v>0.15101930046376622</v>
      </c>
      <c r="AM90">
        <f t="shared" si="48"/>
        <v>-0.2134583432118598</v>
      </c>
      <c r="AN90">
        <f t="shared" si="49"/>
        <v>-0.15958388452371042</v>
      </c>
      <c r="AO90">
        <f t="shared" si="50"/>
        <v>5.3874458688149385E-2</v>
      </c>
      <c r="AP90">
        <f t="shared" si="51"/>
        <v>0.28352658394673053</v>
      </c>
      <c r="AR90">
        <f t="shared" si="52"/>
        <v>-0.38676616108777373</v>
      </c>
      <c r="AS90">
        <f t="shared" si="53"/>
        <v>-0.30281724826109579</v>
      </c>
      <c r="AT90">
        <f t="shared" si="54"/>
        <v>8.3948912826677935E-2</v>
      </c>
      <c r="AU90">
        <f t="shared" si="55"/>
        <v>0.4290544839401757</v>
      </c>
    </row>
    <row r="91" spans="1:47" x14ac:dyDescent="0.25">
      <c r="A91" s="4">
        <f>DATE(2024,3,26)</f>
        <v>45377</v>
      </c>
      <c r="B91">
        <v>0.76619542175160327</v>
      </c>
      <c r="C91">
        <v>56.351059877676178</v>
      </c>
      <c r="D91">
        <v>0.83648145979416311</v>
      </c>
      <c r="E91">
        <f t="shared" si="28"/>
        <v>1.3589180948673807</v>
      </c>
      <c r="F91">
        <f t="shared" si="29"/>
        <v>1.6000477264912403</v>
      </c>
      <c r="G91">
        <f t="shared" si="30"/>
        <v>1.5947037471239276</v>
      </c>
      <c r="H91" s="2" t="str">
        <f t="shared" si="31"/>
        <v>Higher</v>
      </c>
      <c r="I91" s="2" t="str">
        <f t="shared" si="32"/>
        <v>Higher</v>
      </c>
      <c r="J91" s="2" t="str">
        <f t="shared" si="33"/>
        <v>Lower</v>
      </c>
      <c r="K91" s="2" t="str">
        <f t="shared" si="34"/>
        <v>Higher</v>
      </c>
      <c r="L91" s="2" t="str">
        <f t="shared" si="35"/>
        <v>Higher</v>
      </c>
      <c r="M91" s="2" t="str">
        <f t="shared" si="36"/>
        <v>Lower</v>
      </c>
      <c r="N91" s="2" t="str">
        <f t="shared" si="37"/>
        <v>Higher</v>
      </c>
      <c r="O91" s="2" t="str">
        <f t="shared" si="38"/>
        <v>Higher</v>
      </c>
      <c r="P91" s="2" t="str">
        <f t="shared" si="39"/>
        <v>Lower</v>
      </c>
      <c r="R91" s="4">
        <f>DATE(2024,3,26)</f>
        <v>45377</v>
      </c>
      <c r="S91">
        <v>0.81636291308977216</v>
      </c>
      <c r="T91">
        <v>0.92408462796289703</v>
      </c>
      <c r="U91">
        <v>0.93529469625678396</v>
      </c>
      <c r="V91">
        <v>0.4438828943752624</v>
      </c>
      <c r="X91" s="4">
        <f>DATE(2024,3,26)</f>
        <v>45377</v>
      </c>
      <c r="Y91">
        <v>29.123030030493837</v>
      </c>
      <c r="Z91">
        <v>31.367385940873188</v>
      </c>
      <c r="AA91">
        <v>63.125</v>
      </c>
      <c r="AB91">
        <v>27.375250000000001</v>
      </c>
      <c r="AC91">
        <f t="shared" si="40"/>
        <v>3.3956179320014442E-2</v>
      </c>
      <c r="AD91">
        <f t="shared" si="41"/>
        <v>-5.0796828669682832E-2</v>
      </c>
      <c r="AE91">
        <f t="shared" si="42"/>
        <v>-8.4753007989697274E-2</v>
      </c>
      <c r="AF91">
        <f t="shared" si="43"/>
        <v>-0.65904839876469501</v>
      </c>
      <c r="AH91">
        <f t="shared" si="44"/>
        <v>0.13746557115397082</v>
      </c>
      <c r="AI91">
        <f t="shared" si="45"/>
        <v>0.12345199027038814</v>
      </c>
      <c r="AJ91">
        <f t="shared" si="46"/>
        <v>-1.4013580883582677E-2</v>
      </c>
      <c r="AK91">
        <f t="shared" si="47"/>
        <v>0.11427782220362132</v>
      </c>
      <c r="AM91">
        <f t="shared" si="48"/>
        <v>-0.19790900972862513</v>
      </c>
      <c r="AN91">
        <f t="shared" si="49"/>
        <v>-0.12924715324950994</v>
      </c>
      <c r="AO91">
        <f t="shared" si="50"/>
        <v>6.8661856479115185E-2</v>
      </c>
      <c r="AP91">
        <f t="shared" si="51"/>
        <v>0.30976224966007021</v>
      </c>
      <c r="AR91">
        <f t="shared" si="52"/>
        <v>-0.40493691583390101</v>
      </c>
      <c r="AS91">
        <f t="shared" si="53"/>
        <v>-0.30563395860082748</v>
      </c>
      <c r="AT91">
        <f t="shared" si="54"/>
        <v>9.930295723307353E-2</v>
      </c>
      <c r="AU91">
        <f t="shared" si="55"/>
        <v>0.44375013271658031</v>
      </c>
    </row>
    <row r="92" spans="1:47" x14ac:dyDescent="0.25">
      <c r="A92" s="4">
        <f>DATE(2024,3,25)</f>
        <v>45376</v>
      </c>
      <c r="B92">
        <v>0.8487798166891799</v>
      </c>
      <c r="C92">
        <v>64.29661332094534</v>
      </c>
      <c r="D92">
        <v>1.1606820085579863</v>
      </c>
      <c r="E92">
        <f t="shared" si="28"/>
        <v>1.5272133785021464</v>
      </c>
      <c r="F92">
        <f t="shared" si="29"/>
        <v>2.4588420835561418</v>
      </c>
      <c r="G92">
        <f t="shared" si="30"/>
        <v>2.685097782977977</v>
      </c>
      <c r="H92" s="2" t="str">
        <f t="shared" si="31"/>
        <v>Higher</v>
      </c>
      <c r="I92" s="2" t="str">
        <f t="shared" si="32"/>
        <v>Lower</v>
      </c>
      <c r="J92" s="2" t="str">
        <f t="shared" si="33"/>
        <v>Lower</v>
      </c>
      <c r="K92" s="2" t="str">
        <f t="shared" si="34"/>
        <v>Higher</v>
      </c>
      <c r="L92" s="2" t="str">
        <f t="shared" si="35"/>
        <v>Lower</v>
      </c>
      <c r="M92" s="2" t="str">
        <f t="shared" si="36"/>
        <v>Lower</v>
      </c>
      <c r="N92" s="2" t="str">
        <f t="shared" si="37"/>
        <v>Higher</v>
      </c>
      <c r="O92" s="2" t="str">
        <f t="shared" si="38"/>
        <v>Higher</v>
      </c>
      <c r="P92" s="2" t="str">
        <f t="shared" si="39"/>
        <v>Lower</v>
      </c>
      <c r="R92" s="4">
        <f>DATE(2024,3,25)</f>
        <v>45376</v>
      </c>
      <c r="S92">
        <v>0.62519889707346865</v>
      </c>
      <c r="T92">
        <v>0.92967809397622048</v>
      </c>
      <c r="U92">
        <v>0.93753688393206891</v>
      </c>
      <c r="V92">
        <v>0.4348642385932695</v>
      </c>
      <c r="X92" s="4">
        <f>DATE(2024,3,25)</f>
        <v>45376</v>
      </c>
      <c r="Y92">
        <v>31.153381913513229</v>
      </c>
      <c r="Z92">
        <v>33.645641542037907</v>
      </c>
      <c r="AA92">
        <v>64.29249999999999</v>
      </c>
      <c r="AB92">
        <v>28.529499999999999</v>
      </c>
      <c r="AC92">
        <f t="shared" si="40"/>
        <v>4.990872707876999E-2</v>
      </c>
      <c r="AD92">
        <f t="shared" si="41"/>
        <v>-6.1239746375875391E-3</v>
      </c>
      <c r="AE92">
        <f t="shared" si="42"/>
        <v>-5.6032701716357533E-2</v>
      </c>
      <c r="AF92">
        <f t="shared" si="43"/>
        <v>-0.41423516333800336</v>
      </c>
      <c r="AH92">
        <f t="shared" si="44"/>
        <v>0.18357443137079874</v>
      </c>
      <c r="AI92">
        <f t="shared" si="45"/>
        <v>0.18027664507350633</v>
      </c>
      <c r="AJ92">
        <f t="shared" si="46"/>
        <v>-3.2977862972924099E-3</v>
      </c>
      <c r="AK92">
        <f t="shared" si="47"/>
        <v>0.15382813707371129</v>
      </c>
      <c r="AM92" t="str">
        <f t="shared" si="48"/>
        <v/>
      </c>
      <c r="AN92" t="str">
        <f t="shared" si="49"/>
        <v/>
      </c>
      <c r="AO92" t="str">
        <f t="shared" si="50"/>
        <v/>
      </c>
      <c r="AP92" t="str">
        <f t="shared" si="51"/>
        <v/>
      </c>
      <c r="AR92">
        <f t="shared" si="52"/>
        <v>-0.35945910360709843</v>
      </c>
      <c r="AS92" t="str">
        <f t="shared" si="53"/>
        <v/>
      </c>
      <c r="AT92" t="str">
        <f t="shared" si="54"/>
        <v/>
      </c>
      <c r="AU92" t="str">
        <f t="shared" si="55"/>
        <v/>
      </c>
    </row>
    <row r="93" spans="1:47" x14ac:dyDescent="0.25">
      <c r="A93" s="4">
        <f>DATE(2024,3,22)</f>
        <v>45373</v>
      </c>
      <c r="B93">
        <v>0.63397712260119365</v>
      </c>
      <c r="C93">
        <v>57.087441173981439</v>
      </c>
      <c r="D93">
        <v>0.8898405040247338</v>
      </c>
      <c r="E93">
        <f t="shared" si="28"/>
        <v>1.1419856823764047</v>
      </c>
      <c r="F93">
        <f t="shared" si="29"/>
        <v>1.7370817930829898</v>
      </c>
      <c r="G93">
        <f t="shared" si="30"/>
        <v>1.8444590937697674</v>
      </c>
      <c r="H93" s="2" t="str">
        <f t="shared" si="31"/>
        <v>Higher</v>
      </c>
      <c r="I93" s="2" t="str">
        <f t="shared" si="32"/>
        <v>Lower</v>
      </c>
      <c r="J93" s="2" t="str">
        <f t="shared" si="33"/>
        <v>Lower</v>
      </c>
      <c r="K93" s="2" t="str">
        <f t="shared" si="34"/>
        <v>Higher</v>
      </c>
      <c r="L93" s="2" t="str">
        <f t="shared" si="35"/>
        <v>Lower</v>
      </c>
      <c r="M93" s="2" t="str">
        <f t="shared" si="36"/>
        <v>Lower</v>
      </c>
      <c r="N93" s="2" t="str">
        <f t="shared" si="37"/>
        <v>Higher</v>
      </c>
      <c r="O93" s="2" t="str">
        <f t="shared" si="38"/>
        <v>Higher</v>
      </c>
      <c r="P93" s="2" t="str">
        <f t="shared" si="39"/>
        <v>Lower</v>
      </c>
      <c r="R93" s="4">
        <f>DATE(2024,3,22)</f>
        <v>45373</v>
      </c>
      <c r="S93">
        <v>0.79723829050748218</v>
      </c>
      <c r="T93">
        <v>0.93685249558891492</v>
      </c>
      <c r="U93">
        <v>0.94419497858579771</v>
      </c>
      <c r="V93">
        <v>0.42724135287859222</v>
      </c>
      <c r="X93" s="4">
        <f>DATE(2024,3,22)</f>
        <v>45373</v>
      </c>
      <c r="Y93">
        <v>25.162439625966055</v>
      </c>
      <c r="Z93">
        <v>29.610753805933186</v>
      </c>
      <c r="AA93">
        <v>60.97</v>
      </c>
      <c r="AB93">
        <v>27.488</v>
      </c>
      <c r="AC93">
        <f t="shared" si="40"/>
        <v>2.7899117462812081E-2</v>
      </c>
      <c r="AD93">
        <f t="shared" si="41"/>
        <v>2.3977328958563675E-2</v>
      </c>
      <c r="AE93">
        <f t="shared" si="42"/>
        <v>-3.9217885042484059E-3</v>
      </c>
      <c r="AF93">
        <f t="shared" si="43"/>
        <v>3.0527846225705667E-2</v>
      </c>
      <c r="AH93">
        <f t="shared" si="44"/>
        <v>0.15659338525911107</v>
      </c>
      <c r="AI93">
        <f t="shared" si="45"/>
        <v>0.17860321646517588</v>
      </c>
      <c r="AJ93">
        <f t="shared" si="46"/>
        <v>2.2009831206064812E-2</v>
      </c>
      <c r="AK93">
        <f t="shared" si="47"/>
        <v>0.24380341684415491</v>
      </c>
      <c r="AM93">
        <f t="shared" si="48"/>
        <v>-0.27485827566740412</v>
      </c>
      <c r="AN93">
        <f t="shared" si="49"/>
        <v>-0.17056274257081711</v>
      </c>
      <c r="AO93">
        <f t="shared" si="50"/>
        <v>0.10429553309658701</v>
      </c>
      <c r="AP93">
        <f t="shared" si="51"/>
        <v>0.37439340363250456</v>
      </c>
      <c r="AR93">
        <f t="shared" si="52"/>
        <v>-0.41249300334153638</v>
      </c>
      <c r="AS93">
        <f t="shared" si="53"/>
        <v>-0.2377769370347205</v>
      </c>
      <c r="AT93">
        <f t="shared" si="54"/>
        <v>0.17471606630681588</v>
      </c>
      <c r="AU93">
        <f t="shared" si="55"/>
        <v>0.52166954067097981</v>
      </c>
    </row>
    <row r="94" spans="1:47" x14ac:dyDescent="0.25">
      <c r="A94" s="4">
        <f>DATE(2024,3,21)</f>
        <v>45372</v>
      </c>
      <c r="B94">
        <v>0.59804876855916944</v>
      </c>
      <c r="C94">
        <v>50.613681715906424</v>
      </c>
      <c r="D94">
        <v>0.64070023791397046</v>
      </c>
      <c r="E94">
        <f t="shared" si="28"/>
        <v>1.0835913204936758</v>
      </c>
      <c r="F94">
        <f t="shared" si="29"/>
        <v>1.0495282824466527</v>
      </c>
      <c r="G94">
        <f t="shared" si="30"/>
        <v>1.0158093066682605</v>
      </c>
      <c r="H94" s="2" t="str">
        <f t="shared" si="31"/>
        <v>Higher</v>
      </c>
      <c r="I94" s="2" t="str">
        <f t="shared" si="32"/>
        <v>Lower</v>
      </c>
      <c r="J94" s="2" t="str">
        <f t="shared" si="33"/>
        <v>Lower</v>
      </c>
      <c r="K94" s="2" t="str">
        <f t="shared" si="34"/>
        <v>Higher</v>
      </c>
      <c r="L94" s="2" t="str">
        <f t="shared" si="35"/>
        <v>Higher</v>
      </c>
      <c r="M94" s="2" t="str">
        <f t="shared" si="36"/>
        <v>Lower</v>
      </c>
      <c r="N94" s="2" t="str">
        <f t="shared" si="37"/>
        <v>Higher</v>
      </c>
      <c r="O94" s="2" t="str">
        <f t="shared" si="38"/>
        <v>Higher</v>
      </c>
      <c r="P94" s="2" t="str">
        <f t="shared" si="39"/>
        <v>Lower</v>
      </c>
      <c r="R94" s="4">
        <f>DATE(2024,3,21)</f>
        <v>45372</v>
      </c>
      <c r="S94">
        <v>0.94860321089118338</v>
      </c>
      <c r="T94">
        <v>0.93828592409184097</v>
      </c>
      <c r="U94">
        <v>0.94851070917323654</v>
      </c>
      <c r="V94">
        <v>0.42049138483729076</v>
      </c>
      <c r="X94" s="4">
        <f>DATE(2024,3,21)</f>
        <v>45372</v>
      </c>
      <c r="Y94">
        <v>22.560027345641309</v>
      </c>
      <c r="Z94">
        <v>29.351005172448723</v>
      </c>
      <c r="AA94">
        <v>59.31</v>
      </c>
      <c r="AB94">
        <v>26.636000000000003</v>
      </c>
      <c r="AC94">
        <f t="shared" si="40"/>
        <v>2.5443189262435325E-2</v>
      </c>
      <c r="AD94">
        <f t="shared" si="41"/>
        <v>3.0214239249052494E-2</v>
      </c>
      <c r="AE94">
        <f t="shared" si="42"/>
        <v>4.7710499866171693E-3</v>
      </c>
      <c r="AF94">
        <f t="shared" si="43"/>
        <v>0.1086401672254752</v>
      </c>
      <c r="AH94">
        <f t="shared" si="44"/>
        <v>0.11031855161865871</v>
      </c>
      <c r="AI94">
        <f t="shared" si="45"/>
        <v>0.13476571554053748</v>
      </c>
      <c r="AJ94">
        <f t="shared" si="46"/>
        <v>2.4447163921878776E-2</v>
      </c>
      <c r="AK94">
        <f t="shared" si="47"/>
        <v>0.25053156623243983</v>
      </c>
      <c r="AM94">
        <f t="shared" si="48"/>
        <v>-0.29856097238674828</v>
      </c>
      <c r="AN94">
        <f t="shared" si="49"/>
        <v>-0.22426921275910036</v>
      </c>
      <c r="AO94">
        <f t="shared" si="50"/>
        <v>7.4291759627647919E-2</v>
      </c>
      <c r="AP94">
        <f t="shared" si="51"/>
        <v>0.31929624398577644</v>
      </c>
      <c r="AR94">
        <f t="shared" si="52"/>
        <v>-0.45296179291945704</v>
      </c>
      <c r="AS94">
        <f t="shared" si="53"/>
        <v>-0.42623455673471244</v>
      </c>
      <c r="AT94">
        <f t="shared" si="54"/>
        <v>2.6727236184744596E-2</v>
      </c>
      <c r="AU94">
        <f t="shared" si="55"/>
        <v>0.35627572740805991</v>
      </c>
    </row>
    <row r="95" spans="1:47" x14ac:dyDescent="0.25">
      <c r="A95" s="4">
        <f>DATE(2024,3,20)</f>
        <v>45371</v>
      </c>
      <c r="B95">
        <v>0.74590734633339739</v>
      </c>
      <c r="C95">
        <v>55.557610503022907</v>
      </c>
      <c r="D95">
        <v>0.81115279292914522</v>
      </c>
      <c r="E95">
        <f t="shared" si="28"/>
        <v>1.3750147115828006</v>
      </c>
      <c r="F95">
        <f t="shared" si="29"/>
        <v>1.5785950566682476</v>
      </c>
      <c r="G95">
        <f t="shared" si="30"/>
        <v>1.5920237639350359</v>
      </c>
      <c r="H95" s="2" t="str">
        <f t="shared" si="31"/>
        <v>Higher</v>
      </c>
      <c r="I95" s="2" t="str">
        <f t="shared" si="32"/>
        <v>Lower</v>
      </c>
      <c r="J95" s="2" t="str">
        <f t="shared" si="33"/>
        <v>Lower</v>
      </c>
      <c r="K95" s="2" t="str">
        <f t="shared" si="34"/>
        <v>Higher</v>
      </c>
      <c r="L95" s="2" t="str">
        <f t="shared" si="35"/>
        <v>Higher</v>
      </c>
      <c r="M95" s="2" t="str">
        <f t="shared" si="36"/>
        <v>Lower</v>
      </c>
      <c r="N95" s="2" t="str">
        <f t="shared" si="37"/>
        <v>Higher</v>
      </c>
      <c r="O95" s="2" t="str">
        <f t="shared" si="38"/>
        <v>Higher</v>
      </c>
      <c r="P95" s="2" t="str">
        <f t="shared" si="39"/>
        <v>Lower</v>
      </c>
      <c r="R95" s="4">
        <f>DATE(2024,3,20)</f>
        <v>45371</v>
      </c>
      <c r="S95">
        <v>0.96170057712477941</v>
      </c>
      <c r="T95">
        <v>0.9418199693036533</v>
      </c>
      <c r="U95">
        <v>0.9516375086556268</v>
      </c>
      <c r="V95">
        <v>0.41174695613834061</v>
      </c>
      <c r="X95" s="4">
        <f>DATE(2024,3,20)</f>
        <v>45371</v>
      </c>
      <c r="Y95">
        <v>23.667741901877193</v>
      </c>
      <c r="Z95">
        <v>31.517821064331059</v>
      </c>
      <c r="AA95">
        <v>60.667500000000004</v>
      </c>
      <c r="AB95">
        <v>27.911000000000001</v>
      </c>
      <c r="AC95">
        <f t="shared" si="40"/>
        <v>7.3249307909953779E-2</v>
      </c>
      <c r="AD95">
        <f t="shared" si="41"/>
        <v>0.11228734456201359</v>
      </c>
      <c r="AE95">
        <f t="shared" si="42"/>
        <v>3.9038036652059807E-2</v>
      </c>
      <c r="AF95">
        <f t="shared" si="43"/>
        <v>0.40578666853532724</v>
      </c>
      <c r="AH95">
        <f t="shared" si="44"/>
        <v>0.11019353826316999</v>
      </c>
      <c r="AI95">
        <f t="shared" si="45"/>
        <v>0.15243687568082318</v>
      </c>
      <c r="AJ95">
        <f t="shared" si="46"/>
        <v>4.2243337417653182E-2</v>
      </c>
      <c r="AK95">
        <f t="shared" si="47"/>
        <v>0.31671655427220208</v>
      </c>
      <c r="AM95">
        <f t="shared" si="48"/>
        <v>-0.27658724960750986</v>
      </c>
      <c r="AN95">
        <f t="shared" si="49"/>
        <v>-0.25032966416383123</v>
      </c>
      <c r="AO95">
        <f t="shared" si="50"/>
        <v>2.6257585443678622E-2</v>
      </c>
      <c r="AP95">
        <f t="shared" si="51"/>
        <v>0.23061781485041907</v>
      </c>
      <c r="AR95">
        <f t="shared" si="52"/>
        <v>-0.42358270467119308</v>
      </c>
      <c r="AS95">
        <f t="shared" si="53"/>
        <v>-0.30066574294293652</v>
      </c>
      <c r="AT95">
        <f t="shared" si="54"/>
        <v>0.12291696172825656</v>
      </c>
      <c r="AU95">
        <f t="shared" si="55"/>
        <v>0.46008129304546236</v>
      </c>
    </row>
    <row r="96" spans="1:47" x14ac:dyDescent="0.25">
      <c r="A96" s="4">
        <f>DATE(2024,3,19)</f>
        <v>45370</v>
      </c>
      <c r="B96">
        <v>0.77054348884336676</v>
      </c>
      <c r="C96">
        <v>56.282225538664711</v>
      </c>
      <c r="D96">
        <v>0.86747268387698351</v>
      </c>
      <c r="E96">
        <f t="shared" si="28"/>
        <v>1.4444597828664163</v>
      </c>
      <c r="F96">
        <f t="shared" si="29"/>
        <v>1.680139891856181</v>
      </c>
      <c r="G96">
        <f t="shared" si="30"/>
        <v>1.8110304099810479</v>
      </c>
      <c r="H96" s="2" t="str">
        <f t="shared" si="31"/>
        <v>Higher</v>
      </c>
      <c r="I96" s="2" t="str">
        <f t="shared" si="32"/>
        <v>Lower</v>
      </c>
      <c r="J96" s="2" t="str">
        <f t="shared" si="33"/>
        <v>Lower</v>
      </c>
      <c r="K96" s="2" t="str">
        <f t="shared" si="34"/>
        <v>Higher</v>
      </c>
      <c r="L96" s="2" t="str">
        <f t="shared" si="35"/>
        <v>Higher</v>
      </c>
      <c r="M96" s="2" t="str">
        <f t="shared" si="36"/>
        <v>Lower</v>
      </c>
      <c r="N96" s="2" t="str">
        <f t="shared" si="37"/>
        <v>Higher</v>
      </c>
      <c r="O96" s="2" t="str">
        <f t="shared" si="38"/>
        <v>Higher</v>
      </c>
      <c r="P96" s="2" t="str">
        <f t="shared" si="39"/>
        <v>Lower</v>
      </c>
      <c r="R96" s="4">
        <f>DATE(2024,3,19)</f>
        <v>45370</v>
      </c>
      <c r="S96">
        <v>0.97588949757946053</v>
      </c>
      <c r="T96">
        <v>0.9419771577047642</v>
      </c>
      <c r="U96">
        <v>0.95399854687940655</v>
      </c>
      <c r="V96">
        <v>0.4041678818358434</v>
      </c>
      <c r="X96" s="4">
        <f>DATE(2024,3,19)</f>
        <v>45370</v>
      </c>
      <c r="Y96">
        <v>24.585430969278967</v>
      </c>
      <c r="Z96">
        <v>33.943231876502907</v>
      </c>
      <c r="AA96">
        <v>61.017499999999998</v>
      </c>
      <c r="AB96">
        <v>28.801749999999998</v>
      </c>
      <c r="AC96">
        <f t="shared" si="40"/>
        <v>7.9977837678105762E-2</v>
      </c>
      <c r="AD96">
        <f t="shared" si="41"/>
        <v>0.15246961482457405</v>
      </c>
      <c r="AE96">
        <f t="shared" si="42"/>
        <v>7.2491777146468289E-2</v>
      </c>
      <c r="AF96">
        <f t="shared" si="43"/>
        <v>0.69809785159813142</v>
      </c>
      <c r="AH96">
        <f t="shared" si="44"/>
        <v>0.12491188049539197</v>
      </c>
      <c r="AI96">
        <f t="shared" si="45"/>
        <v>0.1776954029402838</v>
      </c>
      <c r="AJ96">
        <f t="shared" si="46"/>
        <v>5.2783522444891831E-2</v>
      </c>
      <c r="AK96">
        <f t="shared" si="47"/>
        <v>0.35246035692944366</v>
      </c>
      <c r="AM96" t="str">
        <f t="shared" si="48"/>
        <v/>
      </c>
      <c r="AN96">
        <f t="shared" si="49"/>
        <v>-0.17102897184134291</v>
      </c>
      <c r="AO96" t="str">
        <f t="shared" si="50"/>
        <v/>
      </c>
      <c r="AP96" t="str">
        <f t="shared" si="51"/>
        <v/>
      </c>
      <c r="AR96">
        <f t="shared" si="52"/>
        <v>-0.38240730113127946</v>
      </c>
      <c r="AS96">
        <f t="shared" si="53"/>
        <v>-0.18909502698311004</v>
      </c>
      <c r="AT96">
        <f t="shared" si="54"/>
        <v>0.19331227414816943</v>
      </c>
      <c r="AU96">
        <f t="shared" si="55"/>
        <v>0.53520121418826949</v>
      </c>
    </row>
    <row r="97" spans="1:47" x14ac:dyDescent="0.25">
      <c r="A97" s="4">
        <f>DATE(2024,3,18)</f>
        <v>45369</v>
      </c>
      <c r="B97">
        <v>0.73465214136727341</v>
      </c>
      <c r="C97">
        <v>58.17151069797103</v>
      </c>
      <c r="D97">
        <v>0.97326106597448259</v>
      </c>
      <c r="E97">
        <f t="shared" si="28"/>
        <v>1.4015787524234316</v>
      </c>
      <c r="F97">
        <f t="shared" si="29"/>
        <v>1.9210950842832433</v>
      </c>
      <c r="G97">
        <f t="shared" si="30"/>
        <v>2.2163017816649369</v>
      </c>
      <c r="H97" s="2" t="str">
        <f t="shared" si="31"/>
        <v>Higher</v>
      </c>
      <c r="I97" s="2" t="str">
        <f t="shared" si="32"/>
        <v>Lower</v>
      </c>
      <c r="J97" s="2" t="str">
        <f t="shared" si="33"/>
        <v>Lower</v>
      </c>
      <c r="K97" s="2" t="str">
        <f t="shared" si="34"/>
        <v>Higher</v>
      </c>
      <c r="L97" s="2" t="str">
        <f t="shared" si="35"/>
        <v>Higher</v>
      </c>
      <c r="M97" s="2" t="str">
        <f t="shared" si="36"/>
        <v>Lower</v>
      </c>
      <c r="N97" s="2" t="str">
        <f t="shared" si="37"/>
        <v>Higher</v>
      </c>
      <c r="O97" s="2" t="str">
        <f t="shared" si="38"/>
        <v>Higher</v>
      </c>
      <c r="P97" s="2" t="str">
        <f t="shared" si="39"/>
        <v>Lower</v>
      </c>
      <c r="R97" s="4">
        <f>DATE(2024,3,18)</f>
        <v>45369</v>
      </c>
      <c r="S97">
        <v>0.98711446056493046</v>
      </c>
      <c r="T97">
        <v>0.95057223050341932</v>
      </c>
      <c r="U97">
        <v>0.95669181938573078</v>
      </c>
      <c r="V97">
        <v>0.39796921664081103</v>
      </c>
      <c r="X97" s="4">
        <f>DATE(2024,3,18)</f>
        <v>45369</v>
      </c>
      <c r="Y97">
        <v>25.331459996221117</v>
      </c>
      <c r="Z97">
        <v>34.54785016669269</v>
      </c>
      <c r="AA97">
        <v>61.162500000000001</v>
      </c>
      <c r="AB97">
        <v>28.704749999999997</v>
      </c>
      <c r="AC97">
        <f t="shared" si="40"/>
        <v>7.6730534289790042E-2</v>
      </c>
      <c r="AD97">
        <f t="shared" si="41"/>
        <v>0.12739522835117773</v>
      </c>
      <c r="AE97">
        <f t="shared" si="42"/>
        <v>5.0664694061387683E-2</v>
      </c>
      <c r="AF97">
        <f t="shared" si="43"/>
        <v>0.51553380213484834</v>
      </c>
      <c r="AH97">
        <f t="shared" si="44"/>
        <v>0.11951660363446877</v>
      </c>
      <c r="AI97" t="str">
        <f t="shared" si="45"/>
        <v/>
      </c>
      <c r="AJ97" t="str">
        <f t="shared" si="46"/>
        <v/>
      </c>
      <c r="AK97" t="str">
        <f t="shared" si="47"/>
        <v/>
      </c>
      <c r="AM97" t="str">
        <f t="shared" si="48"/>
        <v/>
      </c>
      <c r="AN97" t="str">
        <f t="shared" si="49"/>
        <v/>
      </c>
      <c r="AO97" t="str">
        <f t="shared" si="50"/>
        <v/>
      </c>
      <c r="AP97" t="str">
        <f t="shared" si="51"/>
        <v/>
      </c>
      <c r="AR97">
        <f t="shared" si="52"/>
        <v>-0.35518599623495123</v>
      </c>
      <c r="AS97">
        <f t="shared" si="53"/>
        <v>-7.3021822999283698E-2</v>
      </c>
      <c r="AT97">
        <f t="shared" si="54"/>
        <v>0.28216417323566756</v>
      </c>
      <c r="AU97">
        <f t="shared" si="55"/>
        <v>0.63031354059162847</v>
      </c>
    </row>
    <row r="98" spans="1:47" x14ac:dyDescent="0.25">
      <c r="A98" s="4">
        <f>DATE(2024,3,15)</f>
        <v>45366</v>
      </c>
      <c r="B98">
        <v>0.57032361247920171</v>
      </c>
      <c r="C98">
        <v>53.118947730726617</v>
      </c>
      <c r="D98">
        <v>0.82420805294739008</v>
      </c>
      <c r="E98">
        <f t="shared" si="28"/>
        <v>1.1087339142960173</v>
      </c>
      <c r="F98">
        <f t="shared" si="29"/>
        <v>1.4081187198233955</v>
      </c>
      <c r="G98">
        <f t="shared" si="30"/>
        <v>1.7575144332462236</v>
      </c>
      <c r="H98" s="2" t="str">
        <f t="shared" si="31"/>
        <v>Higher</v>
      </c>
      <c r="I98" s="2" t="str">
        <f t="shared" si="32"/>
        <v>Lower</v>
      </c>
      <c r="J98" s="2" t="str">
        <f t="shared" si="33"/>
        <v>Lower</v>
      </c>
      <c r="K98" s="2" t="str">
        <f t="shared" si="34"/>
        <v>Higher</v>
      </c>
      <c r="L98" s="2" t="str">
        <f t="shared" si="35"/>
        <v>Higher</v>
      </c>
      <c r="M98" s="2" t="str">
        <f t="shared" si="36"/>
        <v>Lower</v>
      </c>
      <c r="N98" s="2" t="str">
        <f t="shared" si="37"/>
        <v>Higher</v>
      </c>
      <c r="O98" s="2" t="str">
        <f t="shared" si="38"/>
        <v>Higher</v>
      </c>
      <c r="P98" s="2" t="str">
        <f t="shared" si="39"/>
        <v>Lower</v>
      </c>
      <c r="R98" s="4">
        <f>DATE(2024,3,15)</f>
        <v>45366</v>
      </c>
      <c r="S98">
        <v>0.97681060645040019</v>
      </c>
      <c r="T98">
        <v>0.9580759712882928</v>
      </c>
      <c r="U98">
        <v>0.94135760307308269</v>
      </c>
      <c r="V98">
        <v>0.39098144337685886</v>
      </c>
      <c r="X98" s="4">
        <f>DATE(2024,3,15)</f>
        <v>45366</v>
      </c>
      <c r="Y98">
        <v>21.794840890091706</v>
      </c>
      <c r="Z98">
        <v>28.222147613305935</v>
      </c>
      <c r="AA98">
        <v>59.292500000000004</v>
      </c>
      <c r="AB98">
        <v>26.836750000000002</v>
      </c>
      <c r="AC98">
        <f t="shared" si="40"/>
        <v>9.957920374737507E-3</v>
      </c>
      <c r="AD98">
        <f t="shared" si="41"/>
        <v>1.6891277896574103E-2</v>
      </c>
      <c r="AE98">
        <f t="shared" si="42"/>
        <v>6.9333575218365959E-3</v>
      </c>
      <c r="AF98">
        <f t="shared" si="43"/>
        <v>0.1486040154301603</v>
      </c>
      <c r="AH98">
        <f t="shared" si="44"/>
        <v>3.5841515304005381E-2</v>
      </c>
      <c r="AI98">
        <f t="shared" si="45"/>
        <v>7.8333982406308234E-2</v>
      </c>
      <c r="AJ98">
        <f t="shared" si="46"/>
        <v>4.2492467102302853E-2</v>
      </c>
      <c r="AK98">
        <f t="shared" si="47"/>
        <v>0.30678731290547379</v>
      </c>
      <c r="AM98">
        <f t="shared" si="48"/>
        <v>-0.28045655398331526</v>
      </c>
      <c r="AN98">
        <f t="shared" si="49"/>
        <v>-0.24020675329559127</v>
      </c>
      <c r="AO98">
        <f t="shared" si="50"/>
        <v>4.0249800687723991E-2</v>
      </c>
      <c r="AP98">
        <f t="shared" si="51"/>
        <v>0.25982006676336933</v>
      </c>
      <c r="AR98">
        <f t="shared" si="52"/>
        <v>-0.37279427395656184</v>
      </c>
      <c r="AS98">
        <f t="shared" si="53"/>
        <v>-0.14633370930706302</v>
      </c>
      <c r="AT98">
        <f t="shared" si="54"/>
        <v>0.22646056464949882</v>
      </c>
      <c r="AU98">
        <f t="shared" si="55"/>
        <v>0.56676723016909469</v>
      </c>
    </row>
    <row r="99" spans="1:47" x14ac:dyDescent="0.25">
      <c r="A99" s="4">
        <f>DATE(2024,3,14)</f>
        <v>45365</v>
      </c>
      <c r="B99">
        <v>0.48527484909003205</v>
      </c>
      <c r="C99">
        <v>50.563943170911934</v>
      </c>
      <c r="D99">
        <v>0.74406138708325475</v>
      </c>
      <c r="E99">
        <f t="shared" si="28"/>
        <v>0.96005134610274501</v>
      </c>
      <c r="F99">
        <f t="shared" si="29"/>
        <v>1.1456143245957384</v>
      </c>
      <c r="G99">
        <f t="shared" si="30"/>
        <v>1.5107390364755304</v>
      </c>
      <c r="H99" s="2" t="str">
        <f t="shared" si="31"/>
        <v>Higher</v>
      </c>
      <c r="I99" s="2" t="str">
        <f t="shared" si="32"/>
        <v>Lower</v>
      </c>
      <c r="J99" s="2" t="str">
        <f t="shared" si="33"/>
        <v>Lower</v>
      </c>
      <c r="K99" s="2" t="str">
        <f t="shared" si="34"/>
        <v>Higher</v>
      </c>
      <c r="L99" s="2" t="str">
        <f t="shared" si="35"/>
        <v>Higher</v>
      </c>
      <c r="M99" s="2" t="str">
        <f t="shared" si="36"/>
        <v>Lower</v>
      </c>
      <c r="N99" s="2" t="str">
        <f t="shared" si="37"/>
        <v>Higher</v>
      </c>
      <c r="O99" s="2" t="str">
        <f t="shared" si="38"/>
        <v>Higher</v>
      </c>
      <c r="P99" s="2" t="str">
        <f t="shared" si="39"/>
        <v>Lower</v>
      </c>
      <c r="R99" s="4">
        <f>DATE(2024,3,14)</f>
        <v>45365</v>
      </c>
      <c r="S99">
        <v>0.96166295953407022</v>
      </c>
      <c r="T99">
        <v>0.95942618021199555</v>
      </c>
      <c r="U99">
        <v>0.93244774127992958</v>
      </c>
      <c r="V99">
        <v>0.38111022136667866</v>
      </c>
      <c r="X99" s="4">
        <f>DATE(2024,3,14)</f>
        <v>45365</v>
      </c>
      <c r="Y99">
        <v>20.685599984395623</v>
      </c>
      <c r="Z99">
        <v>26.370187014278752</v>
      </c>
      <c r="AA99">
        <v>57.82</v>
      </c>
      <c r="AB99">
        <v>25.843250000000001</v>
      </c>
      <c r="AC99">
        <f t="shared" si="40"/>
        <v>-2.3629034139839848E-2</v>
      </c>
      <c r="AD99">
        <f t="shared" si="41"/>
        <v>-1.2459183866075089E-2</v>
      </c>
      <c r="AE99">
        <f t="shared" si="42"/>
        <v>1.1169850273764759E-2</v>
      </c>
      <c r="AF99">
        <f t="shared" si="43"/>
        <v>0.19702236704694986</v>
      </c>
      <c r="AH99">
        <f t="shared" si="44"/>
        <v>1.2113871862970882E-3</v>
      </c>
      <c r="AI99">
        <f t="shared" si="45"/>
        <v>2.881314085416041E-2</v>
      </c>
      <c r="AJ99">
        <f t="shared" si="46"/>
        <v>2.7601753667863323E-2</v>
      </c>
      <c r="AK99">
        <f t="shared" si="47"/>
        <v>0.24690227582487545</v>
      </c>
      <c r="AM99">
        <f t="shared" si="48"/>
        <v>-0.29236238597012626</v>
      </c>
      <c r="AN99">
        <f t="shared" si="49"/>
        <v>-0.29339978431084257</v>
      </c>
      <c r="AO99">
        <f t="shared" si="50"/>
        <v>-1.0373983407163112E-3</v>
      </c>
      <c r="AP99">
        <f t="shared" si="51"/>
        <v>0.18453296513522538</v>
      </c>
      <c r="AR99">
        <f t="shared" si="52"/>
        <v>-0.3719332444081202</v>
      </c>
      <c r="AS99">
        <f t="shared" si="53"/>
        <v>-4.7853218511250545E-2</v>
      </c>
      <c r="AT99">
        <f t="shared" si="54"/>
        <v>0.32408002589686968</v>
      </c>
      <c r="AU99">
        <f t="shared" si="55"/>
        <v>0.67125784538921707</v>
      </c>
    </row>
    <row r="100" spans="1:47" x14ac:dyDescent="0.25">
      <c r="A100" s="4">
        <f>DATE(2024,3,13)</f>
        <v>45364</v>
      </c>
      <c r="B100">
        <v>0.42390236111421742</v>
      </c>
      <c r="C100">
        <v>43.193334585176515</v>
      </c>
      <c r="D100">
        <v>0.47320361741528699</v>
      </c>
      <c r="E100">
        <f t="shared" si="28"/>
        <v>0.85432028196647314</v>
      </c>
      <c r="F100">
        <f t="shared" si="29"/>
        <v>0.33117395243029507</v>
      </c>
      <c r="G100">
        <f t="shared" si="30"/>
        <v>0.56640046755508022</v>
      </c>
      <c r="H100" s="2" t="str">
        <f t="shared" si="31"/>
        <v>Higher</v>
      </c>
      <c r="I100" s="2" t="str">
        <f t="shared" si="32"/>
        <v>Lower</v>
      </c>
      <c r="J100" s="2" t="str">
        <f t="shared" si="33"/>
        <v>Lower</v>
      </c>
      <c r="K100" s="2" t="str">
        <f t="shared" si="34"/>
        <v>Higher</v>
      </c>
      <c r="L100" s="2" t="str">
        <f t="shared" si="35"/>
        <v>Higher</v>
      </c>
      <c r="M100" s="2" t="str">
        <f t="shared" si="36"/>
        <v>Lower</v>
      </c>
      <c r="N100" s="2" t="str">
        <f t="shared" si="37"/>
        <v>Higher</v>
      </c>
      <c r="O100" s="2" t="str">
        <f t="shared" si="38"/>
        <v>Higher</v>
      </c>
      <c r="P100" s="2" t="str">
        <f t="shared" si="39"/>
        <v>Lower</v>
      </c>
      <c r="R100" s="4">
        <f>DATE(2024,3,13)</f>
        <v>45364</v>
      </c>
      <c r="S100">
        <v>0.9083695938529629</v>
      </c>
      <c r="T100">
        <v>0.96367432387307805</v>
      </c>
      <c r="U100">
        <v>0.91594480376721032</v>
      </c>
      <c r="V100">
        <v>0.37037932734910989</v>
      </c>
      <c r="X100" s="4">
        <f>DATE(2024,3,13)</f>
        <v>45364</v>
      </c>
      <c r="Y100">
        <v>19.236503913093301</v>
      </c>
      <c r="Z100">
        <v>22.498364242249767</v>
      </c>
      <c r="AA100">
        <v>56.3825</v>
      </c>
      <c r="AB100">
        <v>24.9465</v>
      </c>
      <c r="AC100">
        <f t="shared" si="40"/>
        <v>-5.9306594803130649E-2</v>
      </c>
      <c r="AD100">
        <f t="shared" si="41"/>
        <v>-7.7750567780254617E-2</v>
      </c>
      <c r="AE100">
        <f t="shared" si="42"/>
        <v>-1.8443972977123968E-2</v>
      </c>
      <c r="AF100">
        <f t="shared" si="43"/>
        <v>-4.0213185874438825E-2</v>
      </c>
      <c r="AH100">
        <f t="shared" si="44"/>
        <v>-3.187394792018385E-3</v>
      </c>
      <c r="AI100">
        <f t="shared" si="45"/>
        <v>1.0227102711231344E-3</v>
      </c>
      <c r="AJ100">
        <f t="shared" si="46"/>
        <v>4.2101050631415194E-3</v>
      </c>
      <c r="AK100">
        <f t="shared" si="47"/>
        <v>0.1571412012308796</v>
      </c>
      <c r="AM100">
        <f t="shared" si="48"/>
        <v>-0.28088609717080915</v>
      </c>
      <c r="AN100">
        <f t="shared" si="49"/>
        <v>-0.29858834938122764</v>
      </c>
      <c r="AO100">
        <f t="shared" si="50"/>
        <v>-1.770225221041849E-2</v>
      </c>
      <c r="AP100">
        <f t="shared" si="51"/>
        <v>0.15443230018273196</v>
      </c>
      <c r="AR100">
        <f t="shared" si="52"/>
        <v>-0.38472203074621886</v>
      </c>
      <c r="AS100">
        <f t="shared" si="53"/>
        <v>-4.9521939118808339E-2</v>
      </c>
      <c r="AT100">
        <f t="shared" si="54"/>
        <v>0.33520009162741049</v>
      </c>
      <c r="AU100">
        <f t="shared" si="55"/>
        <v>0.68117930717209907</v>
      </c>
    </row>
    <row r="101" spans="1:47" x14ac:dyDescent="0.25">
      <c r="A101" s="4">
        <f>DATE(2024,3,12)</f>
        <v>45363</v>
      </c>
      <c r="B101">
        <v>0.55687359701224226</v>
      </c>
      <c r="C101">
        <v>44.391938935215748</v>
      </c>
      <c r="D101">
        <v>0.52374835099783756</v>
      </c>
      <c r="E101">
        <f t="shared" si="28"/>
        <v>1.1264857132236274</v>
      </c>
      <c r="F101">
        <f t="shared" si="29"/>
        <v>0.46628401630353689</v>
      </c>
      <c r="G101">
        <f t="shared" si="30"/>
        <v>0.75394099413575</v>
      </c>
      <c r="H101" s="2" t="str">
        <f t="shared" si="31"/>
        <v>Higher</v>
      </c>
      <c r="I101" s="2" t="str">
        <f t="shared" si="32"/>
        <v>Lower</v>
      </c>
      <c r="J101" s="2" t="str">
        <f t="shared" si="33"/>
        <v>Lower</v>
      </c>
      <c r="K101" s="2" t="str">
        <f t="shared" si="34"/>
        <v>Higher</v>
      </c>
      <c r="L101" s="2" t="str">
        <f t="shared" si="35"/>
        <v>Higher</v>
      </c>
      <c r="M101" s="2" t="str">
        <f t="shared" si="36"/>
        <v>Lower</v>
      </c>
      <c r="N101" s="2" t="str">
        <f t="shared" si="37"/>
        <v>Higher</v>
      </c>
      <c r="O101" s="2" t="str">
        <f t="shared" si="38"/>
        <v>Higher</v>
      </c>
      <c r="P101" s="2" t="str">
        <f t="shared" si="39"/>
        <v>Lower</v>
      </c>
      <c r="R101" s="4">
        <f>DATE(2024,3,12)</f>
        <v>45363</v>
      </c>
      <c r="S101">
        <v>0.92451473459815992</v>
      </c>
      <c r="T101">
        <v>0.96644710577409132</v>
      </c>
      <c r="U101">
        <v>0.90116021166007987</v>
      </c>
      <c r="V101">
        <v>0.35815421120986252</v>
      </c>
      <c r="X101" s="4">
        <f>DATE(2024,3,12)</f>
        <v>45363</v>
      </c>
      <c r="Y101">
        <v>18.233425899834504</v>
      </c>
      <c r="Z101">
        <v>21.259056015755036</v>
      </c>
      <c r="AA101">
        <v>56.327500000000001</v>
      </c>
      <c r="AB101">
        <v>24.728749999999998</v>
      </c>
      <c r="AC101">
        <f t="shared" si="40"/>
        <v>-5.9697364433479054E-2</v>
      </c>
      <c r="AD101">
        <f t="shared" si="41"/>
        <v>-0.10877075846177681</v>
      </c>
      <c r="AE101">
        <f t="shared" si="42"/>
        <v>-4.9073394028297752E-2</v>
      </c>
      <c r="AF101">
        <f t="shared" si="43"/>
        <v>-0.29189326080849931</v>
      </c>
      <c r="AH101">
        <f t="shared" si="44"/>
        <v>-5.1352541023487967E-3</v>
      </c>
      <c r="AI101">
        <f t="shared" si="45"/>
        <v>-3.6742715539006612E-2</v>
      </c>
      <c r="AJ101">
        <f t="shared" si="46"/>
        <v>-3.1607461436657817E-2</v>
      </c>
      <c r="AK101">
        <f t="shared" si="47"/>
        <v>2.0005911435371327E-2</v>
      </c>
      <c r="AM101">
        <f t="shared" si="48"/>
        <v>-0.23903891713781686</v>
      </c>
      <c r="AN101">
        <f t="shared" si="49"/>
        <v>-0.28585560640781243</v>
      </c>
      <c r="AO101">
        <f t="shared" si="50"/>
        <v>-4.6816689269995576E-2</v>
      </c>
      <c r="AP101">
        <f t="shared" si="51"/>
        <v>0.10027002683579291</v>
      </c>
      <c r="AR101">
        <f t="shared" si="52"/>
        <v>-0.37257467809108236</v>
      </c>
      <c r="AS101">
        <f t="shared" si="53"/>
        <v>-3.8475818225841424E-2</v>
      </c>
      <c r="AT101">
        <f t="shared" si="54"/>
        <v>0.3340988598652409</v>
      </c>
      <c r="AU101">
        <f t="shared" si="55"/>
        <v>0.67719863607506992</v>
      </c>
    </row>
    <row r="102" spans="1:47" x14ac:dyDescent="0.25">
      <c r="A102" s="4">
        <f>DATE(2024,3,11)</f>
        <v>45362</v>
      </c>
      <c r="B102">
        <v>0.69709576376366544</v>
      </c>
      <c r="C102">
        <v>43.462074836778534</v>
      </c>
      <c r="D102">
        <v>0.48978790242006065</v>
      </c>
      <c r="E102">
        <f t="shared" si="28"/>
        <v>1.418529018820083</v>
      </c>
      <c r="F102">
        <f t="shared" si="29"/>
        <v>0.37165592451649915</v>
      </c>
      <c r="G102">
        <f t="shared" si="30"/>
        <v>0.64457741978187666</v>
      </c>
      <c r="H102" s="2" t="str">
        <f t="shared" si="31"/>
        <v>Higher</v>
      </c>
      <c r="I102" s="2" t="str">
        <f t="shared" si="32"/>
        <v>Lower</v>
      </c>
      <c r="J102" s="2" t="str">
        <f t="shared" si="33"/>
        <v>Lower</v>
      </c>
      <c r="K102" s="2" t="str">
        <f t="shared" si="34"/>
        <v>Higher</v>
      </c>
      <c r="L102" s="2" t="str">
        <f t="shared" si="35"/>
        <v>Higher</v>
      </c>
      <c r="M102" s="2" t="str">
        <f t="shared" si="36"/>
        <v>Lower</v>
      </c>
      <c r="N102" s="2" t="str">
        <f t="shared" si="37"/>
        <v>Higher</v>
      </c>
      <c r="O102" s="2" t="str">
        <f t="shared" si="38"/>
        <v>Higher</v>
      </c>
      <c r="P102" s="2" t="str">
        <f t="shared" si="39"/>
        <v>Lower</v>
      </c>
      <c r="R102" s="4">
        <f>DATE(2024,3,11)</f>
        <v>45362</v>
      </c>
      <c r="S102">
        <v>0.93917502369313111</v>
      </c>
      <c r="T102">
        <v>0.96781014541768107</v>
      </c>
      <c r="U102">
        <v>0.89131441397091971</v>
      </c>
      <c r="V102">
        <v>0.34642537158008524</v>
      </c>
      <c r="X102" s="4">
        <f>DATE(2024,3,11)</f>
        <v>45362</v>
      </c>
      <c r="Y102">
        <v>19.108720168453246</v>
      </c>
      <c r="Z102">
        <v>22.015884761819589</v>
      </c>
      <c r="AA102">
        <v>56.644999999999996</v>
      </c>
      <c r="AB102">
        <v>25.271250000000002</v>
      </c>
      <c r="AC102">
        <f t="shared" si="40"/>
        <v>5.7540104756648039E-3</v>
      </c>
      <c r="AD102">
        <f t="shared" si="41"/>
        <v>-4.6722345122408152E-2</v>
      </c>
      <c r="AE102">
        <f t="shared" si="42"/>
        <v>-5.2476355598072955E-2</v>
      </c>
      <c r="AF102">
        <f t="shared" si="43"/>
        <v>-0.31512568040804145</v>
      </c>
      <c r="AH102">
        <f t="shared" si="44"/>
        <v>-1.1409637552959716E-2</v>
      </c>
      <c r="AI102">
        <f t="shared" si="45"/>
        <v>-2.2768932443761974E-2</v>
      </c>
      <c r="AJ102">
        <f t="shared" si="46"/>
        <v>-1.1359294890802257E-2</v>
      </c>
      <c r="AK102">
        <f t="shared" si="47"/>
        <v>8.8621221463178898E-2</v>
      </c>
      <c r="AM102">
        <f t="shared" si="48"/>
        <v>-0.19389117224121907</v>
      </c>
      <c r="AN102">
        <f t="shared" si="49"/>
        <v>-0.3320460875391692</v>
      </c>
      <c r="AO102">
        <f t="shared" si="50"/>
        <v>-0.13815491529795013</v>
      </c>
      <c r="AP102">
        <f t="shared" si="51"/>
        <v>-6.9516420890109509E-2</v>
      </c>
      <c r="AR102">
        <f t="shared" si="52"/>
        <v>-0.36456587519156075</v>
      </c>
      <c r="AS102">
        <f t="shared" si="53"/>
        <v>-8.3618213482962042E-2</v>
      </c>
      <c r="AT102">
        <f t="shared" si="54"/>
        <v>0.28094766170859869</v>
      </c>
      <c r="AU102">
        <f t="shared" si="55"/>
        <v>0.61644747306155878</v>
      </c>
    </row>
    <row r="103" spans="1:47" x14ac:dyDescent="0.25">
      <c r="A103" s="4">
        <f>DATE(2024,3,8)</f>
        <v>45359</v>
      </c>
      <c r="B103">
        <v>0.91758467025357637</v>
      </c>
      <c r="C103">
        <v>48.989783833656212</v>
      </c>
      <c r="D103">
        <v>0.73563109220566036</v>
      </c>
      <c r="E103">
        <f t="shared" si="28"/>
        <v>1.8768476241646541</v>
      </c>
      <c r="F103">
        <f t="shared" si="29"/>
        <v>0.99750954801110492</v>
      </c>
      <c r="G103">
        <f t="shared" si="30"/>
        <v>1.5356158078123034</v>
      </c>
      <c r="H103" s="2" t="str">
        <f t="shared" si="31"/>
        <v>Higher</v>
      </c>
      <c r="I103" s="2" t="str">
        <f t="shared" si="32"/>
        <v>Higher</v>
      </c>
      <c r="J103" s="2" t="str">
        <f t="shared" si="33"/>
        <v>Lower</v>
      </c>
      <c r="K103" s="2" t="str">
        <f t="shared" si="34"/>
        <v>Higher</v>
      </c>
      <c r="L103" s="2" t="str">
        <f t="shared" si="35"/>
        <v>Higher</v>
      </c>
      <c r="M103" s="2" t="str">
        <f t="shared" si="36"/>
        <v>Lower</v>
      </c>
      <c r="N103" s="2" t="str">
        <f t="shared" si="37"/>
        <v>Higher</v>
      </c>
      <c r="O103" s="2" t="str">
        <f t="shared" si="38"/>
        <v>Higher</v>
      </c>
      <c r="P103" s="2" t="str">
        <f t="shared" si="39"/>
        <v>Lower</v>
      </c>
      <c r="R103" s="4">
        <f>DATE(2024,3,8)</f>
        <v>45359</v>
      </c>
      <c r="S103">
        <v>0.29400117607253068</v>
      </c>
      <c r="T103">
        <v>0.96302577926272093</v>
      </c>
      <c r="U103">
        <v>0.87189562845826751</v>
      </c>
      <c r="V103">
        <v>0.33384161666136336</v>
      </c>
      <c r="X103" s="4">
        <f>DATE(2024,3,8)</f>
        <v>45359</v>
      </c>
      <c r="Y103">
        <v>20.381639249174963</v>
      </c>
      <c r="Z103">
        <v>24.088758412220269</v>
      </c>
      <c r="AA103">
        <v>58.704999999999998</v>
      </c>
      <c r="AB103">
        <v>26.387250000000002</v>
      </c>
      <c r="AC103">
        <f t="shared" si="40"/>
        <v>4.4320142364619515E-2</v>
      </c>
      <c r="AD103">
        <f t="shared" si="41"/>
        <v>2.791835181535169E-2</v>
      </c>
      <c r="AE103">
        <f t="shared" si="42"/>
        <v>-1.6401790549267825E-2</v>
      </c>
      <c r="AF103">
        <f t="shared" si="43"/>
        <v>-7.9861237605958878E-3</v>
      </c>
      <c r="AH103">
        <f t="shared" si="44"/>
        <v>-6.9597972329014518E-3</v>
      </c>
      <c r="AI103">
        <f t="shared" si="45"/>
        <v>-2.6043747422249245E-2</v>
      </c>
      <c r="AJ103">
        <f t="shared" si="46"/>
        <v>-1.9083950189347793E-2</v>
      </c>
      <c r="AK103">
        <f t="shared" si="47"/>
        <v>5.318625915663372E-2</v>
      </c>
      <c r="AM103">
        <f t="shared" si="48"/>
        <v>-0.12741764759909135</v>
      </c>
      <c r="AN103">
        <f t="shared" si="49"/>
        <v>-0.23730536772727809</v>
      </c>
      <c r="AO103">
        <f t="shared" si="50"/>
        <v>-0.10988772012818673</v>
      </c>
      <c r="AP103">
        <f t="shared" si="51"/>
        <v>-1.858202755979205E-2</v>
      </c>
      <c r="AR103">
        <f t="shared" si="52"/>
        <v>-0.30017714342136997</v>
      </c>
      <c r="AS103">
        <f t="shared" si="53"/>
        <v>0.11218522614496869</v>
      </c>
      <c r="AT103">
        <f t="shared" si="54"/>
        <v>0.41236236956633865</v>
      </c>
      <c r="AU103">
        <f t="shared" si="55"/>
        <v>0.75621855594860021</v>
      </c>
    </row>
    <row r="104" spans="1:47" x14ac:dyDescent="0.25">
      <c r="A104" s="4">
        <f>DATE(2024,3,7)</f>
        <v>45358</v>
      </c>
      <c r="B104">
        <v>0.99772054259908582</v>
      </c>
      <c r="C104">
        <v>51.122311822239304</v>
      </c>
      <c r="D104">
        <v>0.81855267619374306</v>
      </c>
      <c r="E104">
        <f t="shared" si="28"/>
        <v>2.0795417094631787</v>
      </c>
      <c r="F104">
        <f t="shared" si="29"/>
        <v>1.2520009008438038</v>
      </c>
      <c r="G104">
        <f t="shared" si="30"/>
        <v>1.8610585801242874</v>
      </c>
      <c r="H104" s="2" t="str">
        <f t="shared" si="31"/>
        <v>Higher</v>
      </c>
      <c r="I104" s="2" t="str">
        <f t="shared" si="32"/>
        <v>Higher</v>
      </c>
      <c r="J104" s="2" t="str">
        <f t="shared" si="33"/>
        <v>Lower</v>
      </c>
      <c r="K104" s="2" t="str">
        <f t="shared" si="34"/>
        <v>Higher</v>
      </c>
      <c r="L104" s="2" t="str">
        <f t="shared" si="35"/>
        <v>Higher</v>
      </c>
      <c r="M104" s="2" t="str">
        <f t="shared" si="36"/>
        <v>Lower</v>
      </c>
      <c r="N104" s="2" t="str">
        <f t="shared" si="37"/>
        <v>Higher</v>
      </c>
      <c r="O104" s="2" t="str">
        <f t="shared" si="38"/>
        <v>Higher</v>
      </c>
      <c r="P104" s="2" t="str">
        <f t="shared" si="39"/>
        <v>Lower</v>
      </c>
      <c r="R104" s="4">
        <f>DATE(2024,3,7)</f>
        <v>45358</v>
      </c>
      <c r="S104">
        <v>0.56237305778379565</v>
      </c>
      <c r="T104">
        <v>0.95874537960577344</v>
      </c>
      <c r="U104">
        <v>0.84562704289372093</v>
      </c>
      <c r="V104">
        <v>0.32243244108552088</v>
      </c>
      <c r="X104" s="4">
        <f>DATE(2024,3,7)</f>
        <v>45358</v>
      </c>
      <c r="Y104">
        <v>21.627531344243813</v>
      </c>
      <c r="Z104">
        <v>25.139314838168499</v>
      </c>
      <c r="AA104">
        <v>59.202500000000001</v>
      </c>
      <c r="AB104">
        <v>26.167250000000003</v>
      </c>
      <c r="AC104">
        <f t="shared" si="40"/>
        <v>5.0802237282852325E-2</v>
      </c>
      <c r="AD104">
        <f t="shared" si="41"/>
        <v>4.4883085106652093E-2</v>
      </c>
      <c r="AE104">
        <f t="shared" si="42"/>
        <v>-5.9191521762002319E-3</v>
      </c>
      <c r="AF104">
        <f t="shared" si="43"/>
        <v>6.5218201262096376E-2</v>
      </c>
      <c r="AH104">
        <f t="shared" si="44"/>
        <v>-3.1220709622391832E-2</v>
      </c>
      <c r="AI104">
        <f t="shared" si="45"/>
        <v>-6.5854902032600901E-2</v>
      </c>
      <c r="AJ104">
        <f t="shared" si="46"/>
        <v>-3.4634192410209069E-2</v>
      </c>
      <c r="AK104">
        <f t="shared" si="47"/>
        <v>-1.3194013845857442E-2</v>
      </c>
      <c r="AM104">
        <f t="shared" si="48"/>
        <v>-0.13016332681686088</v>
      </c>
      <c r="AN104">
        <f t="shared" si="49"/>
        <v>-0.29749580119517993</v>
      </c>
      <c r="AO104">
        <f t="shared" si="50"/>
        <v>-0.16733247437831905</v>
      </c>
      <c r="AP104">
        <f t="shared" si="51"/>
        <v>-0.12809899187856968</v>
      </c>
      <c r="AR104">
        <f t="shared" si="52"/>
        <v>-0.29164364202935023</v>
      </c>
      <c r="AS104">
        <f t="shared" si="53"/>
        <v>0.10210792192521354</v>
      </c>
      <c r="AT104">
        <f t="shared" si="54"/>
        <v>0.39375156395456379</v>
      </c>
      <c r="AU104">
        <f t="shared" si="55"/>
        <v>0.73165126068270714</v>
      </c>
    </row>
    <row r="105" spans="1:47" x14ac:dyDescent="0.25">
      <c r="A105" s="4">
        <f>DATE(2024,3,6)</f>
        <v>45357</v>
      </c>
      <c r="B105">
        <v>0.99412615170269625</v>
      </c>
      <c r="C105">
        <v>51.31083238989374</v>
      </c>
      <c r="D105">
        <v>0.79990599200389378</v>
      </c>
      <c r="E105">
        <f t="shared" si="28"/>
        <v>2.1276725135410013</v>
      </c>
      <c r="F105">
        <f t="shared" si="29"/>
        <v>1.2928943606252985</v>
      </c>
      <c r="G105">
        <f t="shared" si="30"/>
        <v>1.835619305488662</v>
      </c>
      <c r="H105" s="2" t="str">
        <f t="shared" si="31"/>
        <v>Higher</v>
      </c>
      <c r="I105" s="2" t="str">
        <f t="shared" si="32"/>
        <v>Higher</v>
      </c>
      <c r="J105" s="2" t="str">
        <f t="shared" si="33"/>
        <v>Lower</v>
      </c>
      <c r="K105" s="2" t="str">
        <f t="shared" si="34"/>
        <v>Higher</v>
      </c>
      <c r="L105" s="2" t="str">
        <f t="shared" si="35"/>
        <v>Higher</v>
      </c>
      <c r="M105" s="2" t="str">
        <f t="shared" si="36"/>
        <v>Lower</v>
      </c>
      <c r="N105" s="2" t="str">
        <f t="shared" si="37"/>
        <v>Higher</v>
      </c>
      <c r="O105" s="2" t="str">
        <f t="shared" si="38"/>
        <v>Higher</v>
      </c>
      <c r="P105" s="2" t="str">
        <f t="shared" si="39"/>
        <v>Lower</v>
      </c>
      <c r="R105" s="4">
        <f>DATE(2024,3,6)</f>
        <v>45357</v>
      </c>
      <c r="S105">
        <v>0.80947660757761275</v>
      </c>
      <c r="T105">
        <v>0.95648586575947114</v>
      </c>
      <c r="U105">
        <v>0.81997594752261682</v>
      </c>
      <c r="V105">
        <v>0.31035671596357511</v>
      </c>
      <c r="X105" s="4">
        <f>DATE(2024,3,6)</f>
        <v>45357</v>
      </c>
      <c r="Y105">
        <v>23.65838829930005</v>
      </c>
      <c r="Z105">
        <v>26.684100654727601</v>
      </c>
      <c r="AA105">
        <v>59.827500000000001</v>
      </c>
      <c r="AB105">
        <v>26.963499999999996</v>
      </c>
      <c r="AC105">
        <f t="shared" si="40"/>
        <v>3.9636996352234943E-2</v>
      </c>
      <c r="AD105">
        <f t="shared" si="41"/>
        <v>5.3768508103765315E-2</v>
      </c>
      <c r="AE105">
        <f t="shared" si="42"/>
        <v>1.4131511751530372E-2</v>
      </c>
      <c r="AF105">
        <f t="shared" si="43"/>
        <v>0.19665854283533926</v>
      </c>
      <c r="AH105">
        <f t="shared" si="44"/>
        <v>-4.6736523814619874E-2</v>
      </c>
      <c r="AI105">
        <f t="shared" si="45"/>
        <v>-4.8572032479728917E-2</v>
      </c>
      <c r="AJ105">
        <f t="shared" si="46"/>
        <v>-1.8355086651090438E-3</v>
      </c>
      <c r="AK105">
        <f t="shared" si="47"/>
        <v>9.4136650475948366E-2</v>
      </c>
      <c r="AM105">
        <f t="shared" si="48"/>
        <v>-0.14162607542630334</v>
      </c>
      <c r="AN105">
        <f t="shared" si="49"/>
        <v>-0.27890733955533531</v>
      </c>
      <c r="AO105">
        <f t="shared" si="50"/>
        <v>-0.13728126412903197</v>
      </c>
      <c r="AP105">
        <f t="shared" si="51"/>
        <v>-7.6539995303413697E-2</v>
      </c>
      <c r="AR105">
        <f t="shared" si="52"/>
        <v>-0.30097554530145404</v>
      </c>
      <c r="AS105">
        <f t="shared" si="53"/>
        <v>6.558071531429034E-3</v>
      </c>
      <c r="AT105">
        <f t="shared" si="54"/>
        <v>0.30753361683288305</v>
      </c>
      <c r="AU105">
        <f t="shared" si="55"/>
        <v>0.63765948488055935</v>
      </c>
    </row>
    <row r="106" spans="1:47" x14ac:dyDescent="0.25">
      <c r="A106" s="4">
        <f>DATE(2024,3,5)</f>
        <v>45356</v>
      </c>
      <c r="B106">
        <v>0.93214667648126071</v>
      </c>
      <c r="C106">
        <v>54.824619976075184</v>
      </c>
      <c r="D106">
        <v>0.87835208534892451</v>
      </c>
      <c r="E106">
        <f t="shared" si="28"/>
        <v>2.0589490628984262</v>
      </c>
      <c r="F106">
        <f t="shared" si="29"/>
        <v>1.7105894009639679</v>
      </c>
      <c r="G106">
        <f t="shared" si="30"/>
        <v>2.1658109220052184</v>
      </c>
      <c r="H106" s="2" t="str">
        <f t="shared" si="31"/>
        <v>Higher</v>
      </c>
      <c r="I106" s="2" t="str">
        <f t="shared" si="32"/>
        <v>Higher</v>
      </c>
      <c r="J106" s="2" t="str">
        <f t="shared" si="33"/>
        <v>Lower</v>
      </c>
      <c r="K106" s="2" t="str">
        <f t="shared" si="34"/>
        <v>Higher</v>
      </c>
      <c r="L106" s="2" t="str">
        <f t="shared" si="35"/>
        <v>Higher</v>
      </c>
      <c r="M106" s="2" t="str">
        <f t="shared" si="36"/>
        <v>Lower</v>
      </c>
      <c r="N106" s="2" t="str">
        <f t="shared" si="37"/>
        <v>Lower</v>
      </c>
      <c r="O106" s="2" t="str">
        <f t="shared" si="38"/>
        <v>Higher</v>
      </c>
      <c r="P106" s="2" t="str">
        <f t="shared" si="39"/>
        <v>Lower</v>
      </c>
      <c r="R106" s="4">
        <f>DATE(2024,3,5)</f>
        <v>45356</v>
      </c>
      <c r="S106">
        <v>0.77081063892090107</v>
      </c>
      <c r="T106">
        <v>0.94904742014557197</v>
      </c>
      <c r="U106">
        <v>0.79931651342409582</v>
      </c>
      <c r="V106">
        <v>0.30111729493171852</v>
      </c>
      <c r="X106" s="4">
        <f>DATE(2024,3,5)</f>
        <v>45356</v>
      </c>
      <c r="Y106">
        <v>22.89651638585573</v>
      </c>
      <c r="Z106">
        <v>30.255318425362059</v>
      </c>
      <c r="AA106">
        <v>59.792500000000004</v>
      </c>
      <c r="AB106">
        <v>27.570250000000001</v>
      </c>
      <c r="AC106">
        <f t="shared" si="40"/>
        <v>8.3228918589329945E-2</v>
      </c>
      <c r="AD106">
        <f t="shared" si="41"/>
        <v>0.13054996257727383</v>
      </c>
      <c r="AE106">
        <f t="shared" si="42"/>
        <v>4.7321043987943887E-2</v>
      </c>
      <c r="AF106">
        <f t="shared" si="43"/>
        <v>0.42608149967930781</v>
      </c>
      <c r="AH106">
        <f t="shared" si="44"/>
        <v>-5.6728594601360184E-2</v>
      </c>
      <c r="AI106">
        <f t="shared" si="45"/>
        <v>-3.5042227710257355E-2</v>
      </c>
      <c r="AJ106">
        <f t="shared" si="46"/>
        <v>2.1686366891102829E-2</v>
      </c>
      <c r="AK106">
        <f t="shared" si="47"/>
        <v>0.16897426802756207</v>
      </c>
      <c r="AM106">
        <f t="shared" si="48"/>
        <v>-0.12833330923708688</v>
      </c>
      <c r="AN106">
        <f t="shared" si="49"/>
        <v>-0.24200500173548778</v>
      </c>
      <c r="AO106">
        <f t="shared" si="50"/>
        <v>-0.11367169249840089</v>
      </c>
      <c r="AP106">
        <f t="shared" si="51"/>
        <v>-3.6207625601883411E-2</v>
      </c>
      <c r="AR106">
        <f t="shared" si="52"/>
        <v>-0.30585026600819487</v>
      </c>
      <c r="AS106">
        <f t="shared" si="53"/>
        <v>0.11070357596703859</v>
      </c>
      <c r="AT106">
        <f t="shared" si="54"/>
        <v>0.41655384197523349</v>
      </c>
      <c r="AU106">
        <f t="shared" si="55"/>
        <v>0.75112822802338031</v>
      </c>
    </row>
    <row r="107" spans="1:47" x14ac:dyDescent="0.25">
      <c r="A107" s="4">
        <f>DATE(2024,3,4)</f>
        <v>45355</v>
      </c>
      <c r="B107">
        <v>0.6595609809834988</v>
      </c>
      <c r="C107">
        <v>45.546944989557097</v>
      </c>
      <c r="D107">
        <v>0.52452433887193173</v>
      </c>
      <c r="E107">
        <f t="shared" si="28"/>
        <v>1.5441522040369344</v>
      </c>
      <c r="F107">
        <f t="shared" si="29"/>
        <v>0.67859093717623375</v>
      </c>
      <c r="G107">
        <f t="shared" si="30"/>
        <v>0.9033682898754668</v>
      </c>
      <c r="H107" s="2" t="str">
        <f t="shared" si="31"/>
        <v>Lower</v>
      </c>
      <c r="I107" s="2" t="str">
        <f t="shared" si="32"/>
        <v>Higher</v>
      </c>
      <c r="J107" s="2" t="str">
        <f t="shared" si="33"/>
        <v>Lower</v>
      </c>
      <c r="K107" s="2" t="str">
        <f t="shared" si="34"/>
        <v>Higher</v>
      </c>
      <c r="L107" s="2" t="str">
        <f t="shared" si="35"/>
        <v>Higher</v>
      </c>
      <c r="M107" s="2" t="str">
        <f t="shared" si="36"/>
        <v>Lower</v>
      </c>
      <c r="N107" s="2" t="str">
        <f t="shared" si="37"/>
        <v>Lower</v>
      </c>
      <c r="O107" s="2" t="str">
        <f t="shared" si="38"/>
        <v>Higher</v>
      </c>
      <c r="P107" s="2" t="str">
        <f t="shared" si="39"/>
        <v>Lower</v>
      </c>
      <c r="R107" s="4">
        <f>DATE(2024,3,4)</f>
        <v>45355</v>
      </c>
      <c r="S107">
        <v>0.62799134088549846</v>
      </c>
      <c r="T107">
        <v>0.9468745668012688</v>
      </c>
      <c r="U107">
        <v>0.78693703567575313</v>
      </c>
      <c r="V107">
        <v>0.29263487810545569</v>
      </c>
      <c r="X107" s="4">
        <f>DATE(2024,3,4)</f>
        <v>45355</v>
      </c>
      <c r="Y107">
        <v>15.862121309776828</v>
      </c>
      <c r="Z107">
        <v>25.693357424430435</v>
      </c>
      <c r="AA107">
        <v>56.32</v>
      </c>
      <c r="AB107">
        <v>26.480000000000004</v>
      </c>
      <c r="AC107">
        <f t="shared" si="40"/>
        <v>5.1181159526573705E-2</v>
      </c>
      <c r="AD107">
        <f t="shared" si="41"/>
        <v>0.10572773648232428</v>
      </c>
      <c r="AE107">
        <f t="shared" si="42"/>
        <v>5.4546576955750575E-2</v>
      </c>
      <c r="AF107">
        <f t="shared" si="43"/>
        <v>0.47081494651251704</v>
      </c>
      <c r="AH107">
        <f t="shared" si="44"/>
        <v>-0.11152930460802278</v>
      </c>
      <c r="AI107">
        <f t="shared" si="45"/>
        <v>-7.8868418651902528E-2</v>
      </c>
      <c r="AJ107">
        <f t="shared" si="46"/>
        <v>3.2660885956120253E-2</v>
      </c>
      <c r="AK107">
        <f t="shared" si="47"/>
        <v>0.1996878863373959</v>
      </c>
      <c r="AM107">
        <f t="shared" si="48"/>
        <v>-0.1785561907074025</v>
      </c>
      <c r="AN107">
        <f t="shared" si="49"/>
        <v>-0.31639861339445113</v>
      </c>
      <c r="AO107">
        <f t="shared" si="50"/>
        <v>-0.13784242268704863</v>
      </c>
      <c r="AP107">
        <f t="shared" si="51"/>
        <v>-8.3760699647811215E-2</v>
      </c>
      <c r="AR107">
        <f t="shared" si="52"/>
        <v>-0.39028777614539822</v>
      </c>
      <c r="AS107" t="str">
        <f t="shared" si="53"/>
        <v/>
      </c>
      <c r="AT107" t="str">
        <f t="shared" si="54"/>
        <v/>
      </c>
      <c r="AU107" t="str">
        <f t="shared" si="55"/>
        <v/>
      </c>
    </row>
    <row r="108" spans="1:47" x14ac:dyDescent="0.25">
      <c r="A108" s="4">
        <f>DATE(2024,3,1)</f>
        <v>45352</v>
      </c>
      <c r="B108">
        <v>0.56791368201566872</v>
      </c>
      <c r="C108">
        <v>43.521725894452381</v>
      </c>
      <c r="D108">
        <v>0.44834888038777815</v>
      </c>
      <c r="E108">
        <f t="shared" si="28"/>
        <v>1.3803354381656916</v>
      </c>
      <c r="F108">
        <f t="shared" si="29"/>
        <v>0.4505636115580765</v>
      </c>
      <c r="G108">
        <f t="shared" si="30"/>
        <v>0.63079903799344728</v>
      </c>
      <c r="H108" s="2" t="str">
        <f t="shared" si="31"/>
        <v>Lower</v>
      </c>
      <c r="I108" s="2" t="str">
        <f t="shared" si="32"/>
        <v>Lower</v>
      </c>
      <c r="J108" s="2" t="str">
        <f t="shared" si="33"/>
        <v>Lower</v>
      </c>
      <c r="K108" s="2" t="str">
        <f t="shared" si="34"/>
        <v>Higher</v>
      </c>
      <c r="L108" s="2" t="str">
        <f t="shared" si="35"/>
        <v>Higher</v>
      </c>
      <c r="M108" s="2" t="str">
        <f t="shared" si="36"/>
        <v>Lower</v>
      </c>
      <c r="N108" s="2" t="str">
        <f t="shared" si="37"/>
        <v>Lower</v>
      </c>
      <c r="O108" s="2" t="str">
        <f t="shared" si="38"/>
        <v>Higher</v>
      </c>
      <c r="P108" s="2" t="str">
        <f t="shared" si="39"/>
        <v>Lower</v>
      </c>
      <c r="R108" s="4">
        <f>DATE(2024,3,1)</f>
        <v>45352</v>
      </c>
      <c r="S108">
        <v>0.84548223463920813</v>
      </c>
      <c r="T108">
        <v>0.95648899457769676</v>
      </c>
      <c r="U108">
        <v>0.77378890824488966</v>
      </c>
      <c r="V108">
        <v>0.28342403040287395</v>
      </c>
      <c r="X108" s="4">
        <f>DATE(2024,3,1)</f>
        <v>45352</v>
      </c>
      <c r="Y108">
        <v>17.89711756482393</v>
      </c>
      <c r="Z108">
        <v>21.024183518534496</v>
      </c>
      <c r="AA108">
        <v>56.16</v>
      </c>
      <c r="AB108">
        <v>25.66075</v>
      </c>
      <c r="AC108">
        <f t="shared" si="40"/>
        <v>7.441620505694202E-2</v>
      </c>
      <c r="AD108">
        <f t="shared" si="41"/>
        <v>0.10981625779468632</v>
      </c>
      <c r="AE108">
        <f t="shared" si="42"/>
        <v>3.5400052737744298E-2</v>
      </c>
      <c r="AF108">
        <f t="shared" si="43"/>
        <v>0.31583761304740215</v>
      </c>
      <c r="AH108">
        <f t="shared" si="44"/>
        <v>-0.11920652344123721</v>
      </c>
      <c r="AI108">
        <f t="shared" si="45"/>
        <v>-0.12901774823724699</v>
      </c>
      <c r="AJ108">
        <f t="shared" si="46"/>
        <v>-9.8112247960097793E-3</v>
      </c>
      <c r="AK108">
        <f t="shared" si="47"/>
        <v>4.1379952892595072E-2</v>
      </c>
      <c r="AM108">
        <f t="shared" si="48"/>
        <v>-0.20760319514264974</v>
      </c>
      <c r="AN108">
        <f t="shared" si="49"/>
        <v>-0.42779383665854209</v>
      </c>
      <c r="AO108">
        <f t="shared" si="50"/>
        <v>-0.22019064151589235</v>
      </c>
      <c r="AP108">
        <f t="shared" si="51"/>
        <v>-0.23958840240351878</v>
      </c>
      <c r="AR108">
        <f t="shared" si="52"/>
        <v>-0.38426014472184195</v>
      </c>
      <c r="AS108">
        <f t="shared" si="53"/>
        <v>4.3589037399296635E-2</v>
      </c>
      <c r="AT108">
        <f t="shared" si="54"/>
        <v>0.42784918212113859</v>
      </c>
      <c r="AU108">
        <f t="shared" si="55"/>
        <v>0.75382422031961904</v>
      </c>
    </row>
    <row r="109" spans="1:47" x14ac:dyDescent="0.25">
      <c r="A109" s="4">
        <f>DATE(2024,2,29)</f>
        <v>45351</v>
      </c>
      <c r="B109">
        <v>0.48482593494034854</v>
      </c>
      <c r="C109">
        <v>42.406666930767358</v>
      </c>
      <c r="D109">
        <v>0.40050684440481077</v>
      </c>
      <c r="E109">
        <f t="shared" si="28"/>
        <v>1.2268467125296003</v>
      </c>
      <c r="F109">
        <f t="shared" si="29"/>
        <v>0.32089063055912709</v>
      </c>
      <c r="G109">
        <f t="shared" si="30"/>
        <v>0.45506976366383223</v>
      </c>
      <c r="H109" s="2" t="str">
        <f t="shared" si="31"/>
        <v>Lower</v>
      </c>
      <c r="I109" s="2" t="str">
        <f t="shared" si="32"/>
        <v>Lower</v>
      </c>
      <c r="J109" s="2" t="str">
        <f t="shared" si="33"/>
        <v>Lower</v>
      </c>
      <c r="K109" s="2" t="str">
        <f t="shared" si="34"/>
        <v>Higher</v>
      </c>
      <c r="L109" s="2" t="str">
        <f t="shared" si="35"/>
        <v>Higher</v>
      </c>
      <c r="M109" s="2" t="str">
        <f t="shared" si="36"/>
        <v>Lower</v>
      </c>
      <c r="N109" s="2" t="str">
        <f t="shared" si="37"/>
        <v>Lower</v>
      </c>
      <c r="O109" s="2" t="str">
        <f t="shared" si="38"/>
        <v>Higher</v>
      </c>
      <c r="P109" s="2" t="str">
        <f t="shared" si="39"/>
        <v>Lower</v>
      </c>
      <c r="R109" s="4">
        <f>DATE(2024,2,29)</f>
        <v>45351</v>
      </c>
      <c r="S109">
        <v>0.98730868379538861</v>
      </c>
      <c r="T109">
        <v>0.95808361354768801</v>
      </c>
      <c r="U109">
        <v>0.75631897529493131</v>
      </c>
      <c r="V109">
        <v>0.27235689585844852</v>
      </c>
      <c r="X109" s="4">
        <f>DATE(2024,2,29)</f>
        <v>45351</v>
      </c>
      <c r="Y109">
        <v>18.818409187382109</v>
      </c>
      <c r="Z109">
        <v>20.222425494646874</v>
      </c>
      <c r="AA109">
        <v>56.269999999999996</v>
      </c>
      <c r="AB109">
        <v>25.018749999999997</v>
      </c>
      <c r="AC109">
        <f t="shared" si="40"/>
        <v>5.7702159213210903E-2</v>
      </c>
      <c r="AD109">
        <f t="shared" si="41"/>
        <v>7.2127575050907985E-2</v>
      </c>
      <c r="AE109">
        <f t="shared" si="42"/>
        <v>1.4425415837697082E-2</v>
      </c>
      <c r="AF109">
        <f t="shared" si="43"/>
        <v>0.14837690161892106</v>
      </c>
      <c r="AH109">
        <f t="shared" si="44"/>
        <v>-0.11035070962192019</v>
      </c>
      <c r="AI109">
        <f t="shared" si="45"/>
        <v>-0.16049289646473797</v>
      </c>
      <c r="AJ109">
        <f t="shared" si="46"/>
        <v>-5.0142186842817779E-2</v>
      </c>
      <c r="AK109">
        <f t="shared" si="47"/>
        <v>-0.10123512958441869</v>
      </c>
      <c r="AM109">
        <f t="shared" si="48"/>
        <v>-0.21166868948538653</v>
      </c>
      <c r="AN109">
        <f t="shared" si="49"/>
        <v>-0.47194403871306634</v>
      </c>
      <c r="AO109">
        <f t="shared" si="50"/>
        <v>-0.26027534922767981</v>
      </c>
      <c r="AP109">
        <f t="shared" si="51"/>
        <v>-0.31513895697481203</v>
      </c>
      <c r="AR109">
        <f t="shared" si="52"/>
        <v>-0.39396627724732947</v>
      </c>
      <c r="AS109">
        <f t="shared" si="53"/>
        <v>-2.9721288524543164E-2</v>
      </c>
      <c r="AT109">
        <f t="shared" si="54"/>
        <v>0.36424498872278632</v>
      </c>
      <c r="AU109">
        <f t="shared" si="55"/>
        <v>0.68013203787125065</v>
      </c>
    </row>
    <row r="110" spans="1:47" x14ac:dyDescent="0.25">
      <c r="A110" s="4">
        <f>DATE(2024,2,28)</f>
        <v>45350</v>
      </c>
      <c r="B110">
        <v>0.39488276665833544</v>
      </c>
      <c r="C110">
        <v>46.660587661367032</v>
      </c>
      <c r="D110">
        <v>0.51055365183543799</v>
      </c>
      <c r="E110">
        <f t="shared" si="28"/>
        <v>1.0528985714082111</v>
      </c>
      <c r="F110">
        <f t="shared" si="29"/>
        <v>0.80454880763989878</v>
      </c>
      <c r="G110">
        <f t="shared" si="30"/>
        <v>0.86703387668850773</v>
      </c>
      <c r="H110" s="2" t="str">
        <f t="shared" si="31"/>
        <v>Lower</v>
      </c>
      <c r="I110" s="2" t="str">
        <f t="shared" si="32"/>
        <v>Lower</v>
      </c>
      <c r="J110" s="2" t="str">
        <f t="shared" si="33"/>
        <v>Lower</v>
      </c>
      <c r="K110" s="2" t="str">
        <f t="shared" si="34"/>
        <v>Higher</v>
      </c>
      <c r="L110" s="2" t="str">
        <f t="shared" si="35"/>
        <v>Higher</v>
      </c>
      <c r="M110" s="2" t="str">
        <f t="shared" si="36"/>
        <v>Lower</v>
      </c>
      <c r="N110" s="2" t="str">
        <f t="shared" si="37"/>
        <v>Lower</v>
      </c>
      <c r="O110" s="2" t="str">
        <f t="shared" si="38"/>
        <v>Higher</v>
      </c>
      <c r="P110" s="2" t="str">
        <f t="shared" si="39"/>
        <v>Lower</v>
      </c>
      <c r="R110" s="4">
        <f>DATE(2024,2,28)</f>
        <v>45350</v>
      </c>
      <c r="S110">
        <v>0.99005206610721475</v>
      </c>
      <c r="T110">
        <v>0.95508470857869177</v>
      </c>
      <c r="U110">
        <v>0.7386593611451796</v>
      </c>
      <c r="V110">
        <v>0.26114884105904013</v>
      </c>
      <c r="X110" s="4">
        <f>DATE(2024,2,28)</f>
        <v>45350</v>
      </c>
      <c r="Y110">
        <v>20.20833129048642</v>
      </c>
      <c r="Z110">
        <v>21.205022142138059</v>
      </c>
      <c r="AA110">
        <v>57.502500000000005</v>
      </c>
      <c r="AB110">
        <v>25.552</v>
      </c>
      <c r="AC110">
        <f t="shared" si="40"/>
        <v>5.6613828804111851E-2</v>
      </c>
      <c r="AD110">
        <f t="shared" si="41"/>
        <v>6.4131590795299023E-2</v>
      </c>
      <c r="AE110">
        <f t="shared" si="42"/>
        <v>7.5177619911871718E-3</v>
      </c>
      <c r="AF110">
        <f t="shared" si="43"/>
        <v>9.2716160678372572E-2</v>
      </c>
      <c r="AH110">
        <f t="shared" si="44"/>
        <v>-0.10865493960712341</v>
      </c>
      <c r="AI110">
        <f t="shared" si="45"/>
        <v>-0.16629817551093862</v>
      </c>
      <c r="AJ110">
        <f t="shared" si="46"/>
        <v>-5.7643235903815204E-2</v>
      </c>
      <c r="AK110">
        <f t="shared" si="47"/>
        <v>-0.12515007034383141</v>
      </c>
      <c r="AM110">
        <f t="shared" si="48"/>
        <v>-0.18220561308449559</v>
      </c>
      <c r="AN110">
        <f t="shared" si="49"/>
        <v>-0.43131013306911947</v>
      </c>
      <c r="AO110">
        <f t="shared" si="50"/>
        <v>-0.24910451998462388</v>
      </c>
      <c r="AP110">
        <f t="shared" si="51"/>
        <v>-0.29454292166268731</v>
      </c>
      <c r="AR110">
        <f t="shared" si="52"/>
        <v>-0.39408221967181534</v>
      </c>
      <c r="AS110">
        <f t="shared" si="53"/>
        <v>-9.1354981161886811E-2</v>
      </c>
      <c r="AT110">
        <f t="shared" si="54"/>
        <v>0.30272723850992855</v>
      </c>
      <c r="AU110">
        <f t="shared" si="55"/>
        <v>0.61263341313636677</v>
      </c>
    </row>
    <row r="111" spans="1:47" x14ac:dyDescent="0.25">
      <c r="A111" s="4">
        <f>DATE(2024,2,27)</f>
        <v>45349</v>
      </c>
      <c r="B111">
        <v>7.826866530396126E-2</v>
      </c>
      <c r="C111">
        <v>40.111924469219311</v>
      </c>
      <c r="D111">
        <v>0.34977600409462167</v>
      </c>
      <c r="E111">
        <f t="shared" si="28"/>
        <v>0.38766604703692131</v>
      </c>
      <c r="F111">
        <f t="shared" si="29"/>
        <v>5.2054465460060109E-2</v>
      </c>
      <c r="G111">
        <f t="shared" si="30"/>
        <v>0.26413797172870435</v>
      </c>
      <c r="H111" s="2" t="str">
        <f t="shared" si="31"/>
        <v>Lower</v>
      </c>
      <c r="I111" s="2" t="str">
        <f t="shared" si="32"/>
        <v>Lower</v>
      </c>
      <c r="J111" s="2" t="str">
        <f t="shared" si="33"/>
        <v>Lower</v>
      </c>
      <c r="K111" s="2" t="str">
        <f t="shared" si="34"/>
        <v>Higher</v>
      </c>
      <c r="L111" s="2" t="str">
        <f t="shared" si="35"/>
        <v>Higher</v>
      </c>
      <c r="M111" s="2" t="str">
        <f t="shared" si="36"/>
        <v>Lower</v>
      </c>
      <c r="N111" s="2" t="str">
        <f t="shared" si="37"/>
        <v>Lower</v>
      </c>
      <c r="O111" s="2" t="str">
        <f t="shared" si="38"/>
        <v>Higher</v>
      </c>
      <c r="P111" s="2" t="str">
        <f t="shared" si="39"/>
        <v>Lower</v>
      </c>
      <c r="R111" s="4">
        <f>DATE(2024,2,27)</f>
        <v>45349</v>
      </c>
      <c r="S111">
        <v>0.97181181817125861</v>
      </c>
      <c r="T111">
        <v>0.95738685262211298</v>
      </c>
      <c r="U111">
        <v>0.72993397841238439</v>
      </c>
      <c r="V111">
        <v>0.25095657341179534</v>
      </c>
      <c r="X111" s="4">
        <f>DATE(2024,2,27)</f>
        <v>45349</v>
      </c>
      <c r="Y111">
        <v>14.596284656961531</v>
      </c>
      <c r="Z111">
        <v>17.481153201565768</v>
      </c>
      <c r="AA111">
        <v>55.017499999999998</v>
      </c>
      <c r="AB111">
        <v>24.195999999999998</v>
      </c>
      <c r="AC111">
        <f t="shared" si="40"/>
        <v>2.1402488661435293E-2</v>
      </c>
      <c r="AD111">
        <f t="shared" si="41"/>
        <v>3.4465840002128349E-3</v>
      </c>
      <c r="AE111">
        <f t="shared" si="42"/>
        <v>-1.7955904661222457E-2</v>
      </c>
      <c r="AF111">
        <f t="shared" si="43"/>
        <v>-7.8001941581473389E-2</v>
      </c>
      <c r="AH111">
        <f t="shared" si="44"/>
        <v>-0.13655426495147263</v>
      </c>
      <c r="AI111">
        <f t="shared" si="45"/>
        <v>-0.18302906806230987</v>
      </c>
      <c r="AJ111">
        <f t="shared" si="46"/>
        <v>-4.6474803110837237E-2</v>
      </c>
      <c r="AK111">
        <f t="shared" si="47"/>
        <v>-8.7243668206021002E-2</v>
      </c>
      <c r="AM111">
        <f t="shared" si="48"/>
        <v>-0.22851827591716911</v>
      </c>
      <c r="AN111">
        <f t="shared" si="49"/>
        <v>-0.46528875833896632</v>
      </c>
      <c r="AO111">
        <f t="shared" si="50"/>
        <v>-0.23677048242179721</v>
      </c>
      <c r="AP111">
        <f t="shared" si="51"/>
        <v>-0.27164939016929845</v>
      </c>
      <c r="AR111">
        <f t="shared" si="52"/>
        <v>-0.44701569613910302</v>
      </c>
      <c r="AS111">
        <f t="shared" si="53"/>
        <v>-0.18547824881144978</v>
      </c>
      <c r="AT111">
        <f t="shared" si="54"/>
        <v>0.26153744732765327</v>
      </c>
      <c r="AU111">
        <f t="shared" si="55"/>
        <v>0.56472846852456982</v>
      </c>
    </row>
    <row r="112" spans="1:47" x14ac:dyDescent="0.25">
      <c r="A112" s="4">
        <f>DATE(2024,2,26)</f>
        <v>45348</v>
      </c>
      <c r="B112">
        <v>-0.16479964849757867</v>
      </c>
      <c r="C112">
        <v>34.170582684132938</v>
      </c>
      <c r="D112">
        <v>0.22384158775309418</v>
      </c>
      <c r="E112">
        <f t="shared" si="28"/>
        <v>-0.12923146137898359</v>
      </c>
      <c r="F112">
        <f t="shared" si="29"/>
        <v>-0.63066730883694933</v>
      </c>
      <c r="G112">
        <f t="shared" si="30"/>
        <v>-0.20812250184356224</v>
      </c>
      <c r="H112" s="2" t="str">
        <f t="shared" si="31"/>
        <v>Lower</v>
      </c>
      <c r="I112" s="2" t="str">
        <f t="shared" si="32"/>
        <v>Lower</v>
      </c>
      <c r="J112" s="2" t="str">
        <f t="shared" si="33"/>
        <v>Lower</v>
      </c>
      <c r="K112" s="2" t="str">
        <f t="shared" si="34"/>
        <v>Higher</v>
      </c>
      <c r="L112" s="2" t="str">
        <f t="shared" si="35"/>
        <v>Lower</v>
      </c>
      <c r="M112" s="2" t="str">
        <f t="shared" si="36"/>
        <v>Lower</v>
      </c>
      <c r="N112" s="2" t="str">
        <f t="shared" si="37"/>
        <v>Lower</v>
      </c>
      <c r="O112" s="2" t="str">
        <f t="shared" si="38"/>
        <v>Higher</v>
      </c>
      <c r="P112" s="2" t="str">
        <f t="shared" si="39"/>
        <v>Lower</v>
      </c>
      <c r="R112" s="4">
        <f>DATE(2024,2,26)</f>
        <v>45348</v>
      </c>
      <c r="S112">
        <v>0.9682203191790052</v>
      </c>
      <c r="T112">
        <v>0.9461831024071905</v>
      </c>
      <c r="U112">
        <v>0.71944522588778015</v>
      </c>
      <c r="V112">
        <v>0.2387782708904917</v>
      </c>
      <c r="X112" s="4">
        <f>DATE(2024,2,26)</f>
        <v>45348</v>
      </c>
      <c r="Y112">
        <v>11.117109068865176</v>
      </c>
      <c r="Z112">
        <v>15.769463609804033</v>
      </c>
      <c r="AA112">
        <v>53.51</v>
      </c>
      <c r="AB112">
        <v>23.823250000000002</v>
      </c>
      <c r="AC112">
        <f t="shared" si="40"/>
        <v>-1.4149100657560003E-2</v>
      </c>
      <c r="AD112" t="str">
        <f t="shared" si="41"/>
        <v/>
      </c>
      <c r="AE112" t="str">
        <f t="shared" si="42"/>
        <v/>
      </c>
      <c r="AF112" t="str">
        <f t="shared" si="43"/>
        <v/>
      </c>
      <c r="AH112">
        <f t="shared" si="44"/>
        <v>-0.1523336149551269</v>
      </c>
      <c r="AI112">
        <f t="shared" si="45"/>
        <v>-0.17443229853697928</v>
      </c>
      <c r="AJ112">
        <f t="shared" si="46"/>
        <v>-2.209868358185238E-2</v>
      </c>
      <c r="AK112">
        <f t="shared" si="47"/>
        <v>-1.0308635537619786E-2</v>
      </c>
      <c r="AM112">
        <f t="shared" si="48"/>
        <v>-0.27914263145412144</v>
      </c>
      <c r="AN112">
        <f t="shared" si="49"/>
        <v>-0.53072022321997914</v>
      </c>
      <c r="AO112">
        <f t="shared" si="50"/>
        <v>-0.2515775917658577</v>
      </c>
      <c r="AP112">
        <f t="shared" si="51"/>
        <v>-0.29973144815972164</v>
      </c>
      <c r="AR112">
        <f t="shared" si="52"/>
        <v>-0.49809306692383543</v>
      </c>
      <c r="AS112">
        <f t="shared" si="53"/>
        <v>-0.22496154872622612</v>
      </c>
      <c r="AT112">
        <f t="shared" si="54"/>
        <v>0.27313151819760928</v>
      </c>
      <c r="AU112">
        <f t="shared" si="55"/>
        <v>0.57314646053314</v>
      </c>
    </row>
    <row r="113" spans="1:47" x14ac:dyDescent="0.25">
      <c r="A113" s="4">
        <f>DATE(2024,2,23)</f>
        <v>45345</v>
      </c>
      <c r="B113">
        <v>-0.31573199345331826</v>
      </c>
      <c r="C113">
        <v>27.318563655093573</v>
      </c>
      <c r="D113">
        <v>8.2943997997641086E-2</v>
      </c>
      <c r="E113">
        <f t="shared" si="28"/>
        <v>-0.45454853843869203</v>
      </c>
      <c r="F113">
        <f t="shared" si="29"/>
        <v>-1.4254998401097865</v>
      </c>
      <c r="G113">
        <f t="shared" si="30"/>
        <v>-0.74260982865818936</v>
      </c>
      <c r="H113" s="2" t="str">
        <f t="shared" si="31"/>
        <v>Lower</v>
      </c>
      <c r="I113" s="2" t="str">
        <f t="shared" si="32"/>
        <v>Lower</v>
      </c>
      <c r="J113" s="2" t="str">
        <f t="shared" si="33"/>
        <v>Lower</v>
      </c>
      <c r="K113" s="2" t="str">
        <f t="shared" si="34"/>
        <v>Higher</v>
      </c>
      <c r="L113" s="2" t="str">
        <f t="shared" si="35"/>
        <v>Lower</v>
      </c>
      <c r="M113" s="2" t="str">
        <f t="shared" si="36"/>
        <v>Lower</v>
      </c>
      <c r="N113" s="2" t="str">
        <f t="shared" si="37"/>
        <v>Lower</v>
      </c>
      <c r="O113" s="2" t="str">
        <f t="shared" si="38"/>
        <v>Lower</v>
      </c>
      <c r="P113" s="2" t="str">
        <f t="shared" si="39"/>
        <v>Lower</v>
      </c>
      <c r="R113" s="4">
        <f>DATE(2024,2,23)</f>
        <v>45345</v>
      </c>
      <c r="S113">
        <v>0.97016413592880479</v>
      </c>
      <c r="T113">
        <v>0.94686638180939042</v>
      </c>
      <c r="U113">
        <v>0.70747594640063782</v>
      </c>
      <c r="V113">
        <v>0.22507556864826284</v>
      </c>
      <c r="X113" s="4">
        <f>DATE(2024,2,23)</f>
        <v>45345</v>
      </c>
      <c r="Y113">
        <v>7.4293950663943269</v>
      </c>
      <c r="Z113">
        <v>12.501453638996834</v>
      </c>
      <c r="AA113">
        <v>52.1325</v>
      </c>
      <c r="AB113">
        <v>22.991999999999997</v>
      </c>
      <c r="AC113">
        <f t="shared" si="40"/>
        <v>-9.2852752492293619E-2</v>
      </c>
      <c r="AD113">
        <f t="shared" si="41"/>
        <v>-7.6291905100303953E-2</v>
      </c>
      <c r="AE113">
        <f t="shared" si="42"/>
        <v>1.6560847391989666E-2</v>
      </c>
      <c r="AF113">
        <f t="shared" si="43"/>
        <v>0.12776217833642106</v>
      </c>
      <c r="AH113">
        <f t="shared" si="44"/>
        <v>-0.19847107950791965</v>
      </c>
      <c r="AI113">
        <f t="shared" si="45"/>
        <v>-0.188782964055211</v>
      </c>
      <c r="AJ113">
        <f t="shared" si="46"/>
        <v>9.6881154527086455E-3</v>
      </c>
      <c r="AK113">
        <f t="shared" si="47"/>
        <v>9.0879918831208217E-2</v>
      </c>
      <c r="AM113">
        <f t="shared" si="48"/>
        <v>-0.32537444455402897</v>
      </c>
      <c r="AN113">
        <f t="shared" si="49"/>
        <v>-0.63102397263229137</v>
      </c>
      <c r="AO113">
        <f t="shared" si="50"/>
        <v>-0.3056495280782624</v>
      </c>
      <c r="AP113">
        <f t="shared" si="51"/>
        <v>-0.39757307941023801</v>
      </c>
      <c r="AR113">
        <f t="shared" si="52"/>
        <v>-0.54696511440704976</v>
      </c>
      <c r="AS113">
        <f t="shared" si="53"/>
        <v>-0.27190057711437787</v>
      </c>
      <c r="AT113">
        <f t="shared" si="54"/>
        <v>0.27506453729267188</v>
      </c>
      <c r="AU113">
        <f t="shared" si="55"/>
        <v>0.57201348734119939</v>
      </c>
    </row>
    <row r="114" spans="1:47" x14ac:dyDescent="0.25">
      <c r="A114" s="4">
        <f>DATE(2024,2,22)</f>
        <v>45344</v>
      </c>
      <c r="B114">
        <v>-0.30356885686304347</v>
      </c>
      <c r="C114">
        <v>28.22263840837951</v>
      </c>
      <c r="D114">
        <v>6.4609880160360358E-2</v>
      </c>
      <c r="E114">
        <f t="shared" si="28"/>
        <v>-0.43413728839868437</v>
      </c>
      <c r="F114">
        <f t="shared" si="29"/>
        <v>-1.3468521789167391</v>
      </c>
      <c r="G114">
        <f t="shared" si="30"/>
        <v>-0.8219211712564487</v>
      </c>
      <c r="H114" s="2" t="str">
        <f t="shared" si="31"/>
        <v>Lower</v>
      </c>
      <c r="I114" s="2" t="str">
        <f t="shared" si="32"/>
        <v>Lower</v>
      </c>
      <c r="J114" s="2" t="str">
        <f t="shared" si="33"/>
        <v>Lower</v>
      </c>
      <c r="K114" s="2" t="str">
        <f t="shared" si="34"/>
        <v>Higher</v>
      </c>
      <c r="L114" s="2" t="str">
        <f t="shared" si="35"/>
        <v>Lower</v>
      </c>
      <c r="M114" s="2" t="str">
        <f t="shared" si="36"/>
        <v>Lower</v>
      </c>
      <c r="N114" s="2" t="str">
        <f t="shared" si="37"/>
        <v>Lower</v>
      </c>
      <c r="O114" s="2" t="str">
        <f t="shared" si="38"/>
        <v>Lower</v>
      </c>
      <c r="P114" s="2" t="str">
        <f t="shared" si="39"/>
        <v>Lower</v>
      </c>
      <c r="R114" s="4">
        <f>DATE(2024,2,22)</f>
        <v>45344</v>
      </c>
      <c r="S114">
        <v>0.9678609371361846</v>
      </c>
      <c r="T114">
        <v>0.93908111405563333</v>
      </c>
      <c r="U114">
        <v>0.69913179539043868</v>
      </c>
      <c r="V114">
        <v>0.20776525201611207</v>
      </c>
      <c r="X114" s="4">
        <f>DATE(2024,2,22)</f>
        <v>45344</v>
      </c>
      <c r="Y114">
        <v>7.8599649776569924</v>
      </c>
      <c r="Z114">
        <v>13.07833114169002</v>
      </c>
      <c r="AA114">
        <v>53.114999999999995</v>
      </c>
      <c r="AB114">
        <v>23.277750000000001</v>
      </c>
      <c r="AC114">
        <f t="shared" si="40"/>
        <v>-8.3663975169926283E-2</v>
      </c>
      <c r="AD114">
        <f t="shared" si="41"/>
        <v>-7.5738335437324403E-2</v>
      </c>
      <c r="AE114">
        <f t="shared" si="42"/>
        <v>7.9256397326018801E-3</v>
      </c>
      <c r="AF114">
        <f t="shared" si="43"/>
        <v>7.2996080404413577E-2</v>
      </c>
      <c r="AH114">
        <f t="shared" si="44"/>
        <v>-0.18536846505345825</v>
      </c>
      <c r="AI114">
        <f t="shared" si="45"/>
        <v>-0.18709654028636843</v>
      </c>
      <c r="AJ114">
        <f t="shared" si="46"/>
        <v>-1.7280752329101867E-3</v>
      </c>
      <c r="AK114">
        <f t="shared" si="47"/>
        <v>5.5880474774645077E-2</v>
      </c>
      <c r="AM114">
        <f t="shared" si="48"/>
        <v>-0.28944555472730016</v>
      </c>
      <c r="AN114">
        <f t="shared" si="49"/>
        <v>-0.58771028957942584</v>
      </c>
      <c r="AO114">
        <f t="shared" si="50"/>
        <v>-0.29826473485212568</v>
      </c>
      <c r="AP114">
        <f t="shared" si="51"/>
        <v>-0.38365173607041109</v>
      </c>
      <c r="AR114">
        <f t="shared" si="52"/>
        <v>-0.52130427793176337</v>
      </c>
      <c r="AS114">
        <f t="shared" si="53"/>
        <v>-0.24818423226620662</v>
      </c>
      <c r="AT114">
        <f t="shared" si="54"/>
        <v>0.27312004566555675</v>
      </c>
      <c r="AU114">
        <f t="shared" si="55"/>
        <v>0.56795800952173792</v>
      </c>
    </row>
    <row r="115" spans="1:47" x14ac:dyDescent="0.25">
      <c r="A115" s="4">
        <f>DATE(2024,2,21)</f>
        <v>45343</v>
      </c>
      <c r="B115">
        <v>-0.27059633152337259</v>
      </c>
      <c r="C115">
        <v>31.106829664497923</v>
      </c>
      <c r="D115">
        <v>0.12330709451688507</v>
      </c>
      <c r="E115">
        <f t="shared" si="28"/>
        <v>-0.37122491894814147</v>
      </c>
      <c r="F115">
        <f t="shared" si="29"/>
        <v>-1.0356926571452314</v>
      </c>
      <c r="G115">
        <f t="shared" si="30"/>
        <v>-0.61345025679324194</v>
      </c>
      <c r="H115" s="2" t="str">
        <f t="shared" si="31"/>
        <v>Lower</v>
      </c>
      <c r="I115" s="2" t="str">
        <f t="shared" si="32"/>
        <v>Lower</v>
      </c>
      <c r="J115" s="2" t="str">
        <f t="shared" si="33"/>
        <v>Lower</v>
      </c>
      <c r="K115" s="2" t="str">
        <f t="shared" si="34"/>
        <v>Higher</v>
      </c>
      <c r="L115" s="2" t="str">
        <f t="shared" si="35"/>
        <v>Lower</v>
      </c>
      <c r="M115" s="2" t="str">
        <f t="shared" si="36"/>
        <v>Lower</v>
      </c>
      <c r="N115" s="2" t="str">
        <f t="shared" si="37"/>
        <v>Lower</v>
      </c>
      <c r="O115" s="2" t="str">
        <f t="shared" si="38"/>
        <v>Lower</v>
      </c>
      <c r="P115" s="2" t="str">
        <f t="shared" si="39"/>
        <v>Lower</v>
      </c>
      <c r="R115" s="4">
        <f>DATE(2024,2,21)</f>
        <v>45343</v>
      </c>
      <c r="S115">
        <v>0.95836227367860072</v>
      </c>
      <c r="T115">
        <v>0.91657763649266866</v>
      </c>
      <c r="U115">
        <v>0.68915201064544496</v>
      </c>
      <c r="V115">
        <v>0.18975966532052518</v>
      </c>
      <c r="X115" s="4">
        <f>DATE(2024,2,21)</f>
        <v>45343</v>
      </c>
      <c r="Y115">
        <v>8.3686423028015149</v>
      </c>
      <c r="Z115">
        <v>13.998302036657789</v>
      </c>
      <c r="AA115">
        <v>54.337499999999999</v>
      </c>
      <c r="AB115">
        <v>23.964750000000002</v>
      </c>
      <c r="AC115">
        <f t="shared" si="40"/>
        <v>-4.0131625145234454E-2</v>
      </c>
      <c r="AD115">
        <f t="shared" si="41"/>
        <v>-3.9126820847686664E-2</v>
      </c>
      <c r="AE115">
        <f t="shared" si="42"/>
        <v>1.00480429754779E-3</v>
      </c>
      <c r="AF115">
        <f t="shared" si="43"/>
        <v>3.1532386489671209E-2</v>
      </c>
      <c r="AH115">
        <f t="shared" si="44"/>
        <v>-0.182474907507336</v>
      </c>
      <c r="AI115">
        <f t="shared" si="45"/>
        <v>-0.17711113708988049</v>
      </c>
      <c r="AJ115">
        <f t="shared" si="46"/>
        <v>5.3637704174555045E-3</v>
      </c>
      <c r="AK115">
        <f t="shared" si="47"/>
        <v>7.8131902989993895E-2</v>
      </c>
      <c r="AM115">
        <f t="shared" si="48"/>
        <v>-0.27392325628035347</v>
      </c>
      <c r="AN115">
        <f t="shared" si="49"/>
        <v>-0.52202917667359505</v>
      </c>
      <c r="AO115">
        <f t="shared" si="50"/>
        <v>-0.24810592039324159</v>
      </c>
      <c r="AP115">
        <f t="shared" si="51"/>
        <v>-0.29313779443850191</v>
      </c>
      <c r="AR115">
        <f t="shared" si="52"/>
        <v>-0.48665737332868741</v>
      </c>
      <c r="AS115">
        <f t="shared" si="53"/>
        <v>-0.29273142547773323</v>
      </c>
      <c r="AT115">
        <f t="shared" si="54"/>
        <v>0.19392594785095418</v>
      </c>
      <c r="AU115">
        <f t="shared" si="55"/>
        <v>0.48418560830806368</v>
      </c>
    </row>
    <row r="116" spans="1:47" x14ac:dyDescent="0.25">
      <c r="A116" s="4">
        <f>DATE(2024,2,20)</f>
        <v>45342</v>
      </c>
      <c r="B116">
        <v>-0.327412382989825</v>
      </c>
      <c r="C116">
        <v>30.198517474201754</v>
      </c>
      <c r="D116">
        <v>6.7023177801704928E-2</v>
      </c>
      <c r="E116">
        <f t="shared" si="28"/>
        <v>-0.50247640363187018</v>
      </c>
      <c r="F116">
        <f t="shared" si="29"/>
        <v>-1.1558556136648168</v>
      </c>
      <c r="G116">
        <f t="shared" si="30"/>
        <v>-0.83570681349794373</v>
      </c>
      <c r="H116" s="2" t="str">
        <f t="shared" si="31"/>
        <v>Lower</v>
      </c>
      <c r="I116" s="2" t="str">
        <f t="shared" si="32"/>
        <v>Lower</v>
      </c>
      <c r="J116" s="2" t="str">
        <f t="shared" si="33"/>
        <v>Lower</v>
      </c>
      <c r="K116" s="2" t="str">
        <f t="shared" si="34"/>
        <v>Lower</v>
      </c>
      <c r="L116" s="2" t="str">
        <f t="shared" si="35"/>
        <v>Lower</v>
      </c>
      <c r="M116" s="2" t="str">
        <f t="shared" si="36"/>
        <v>Lower</v>
      </c>
      <c r="N116" s="2" t="str">
        <f t="shared" si="37"/>
        <v>Lower</v>
      </c>
      <c r="O116" s="2" t="str">
        <f t="shared" si="38"/>
        <v>Lower</v>
      </c>
      <c r="P116" s="2" t="str">
        <f t="shared" si="39"/>
        <v>Lower</v>
      </c>
      <c r="R116" s="4">
        <f>DATE(2024,2,20)</f>
        <v>45342</v>
      </c>
      <c r="S116">
        <v>0.65417993189643431</v>
      </c>
      <c r="T116">
        <v>0.91167590592515479</v>
      </c>
      <c r="U116">
        <v>0.68224681975430457</v>
      </c>
      <c r="V116">
        <v>0.17346664919229787</v>
      </c>
      <c r="X116" s="4">
        <f>DATE(2024,2,20)</f>
        <v>45342</v>
      </c>
      <c r="Y116">
        <v>8.7826410079994108</v>
      </c>
      <c r="Z116">
        <v>14.456245058243608</v>
      </c>
      <c r="AA116">
        <v>53.852499999999999</v>
      </c>
      <c r="AB116">
        <v>24.112749999999998</v>
      </c>
      <c r="AC116">
        <f t="shared" si="40"/>
        <v>-5.0069296919634888E-2</v>
      </c>
      <c r="AD116">
        <f t="shared" si="41"/>
        <v>-6.1968503654716282E-2</v>
      </c>
      <c r="AE116">
        <f t="shared" si="42"/>
        <v>-1.1899206735081394E-2</v>
      </c>
      <c r="AF116">
        <f t="shared" si="43"/>
        <v>-4.5554684795428096E-2</v>
      </c>
      <c r="AH116">
        <f t="shared" si="44"/>
        <v>-0.15489980063978562</v>
      </c>
      <c r="AI116">
        <f t="shared" si="45"/>
        <v>-0.12193655731485893</v>
      </c>
      <c r="AJ116">
        <f t="shared" si="46"/>
        <v>3.2963243324926686E-2</v>
      </c>
      <c r="AK116">
        <f t="shared" si="47"/>
        <v>0.16573299275045586</v>
      </c>
      <c r="AM116">
        <f t="shared" si="48"/>
        <v>-0.30297697603822132</v>
      </c>
      <c r="AN116">
        <f t="shared" si="49"/>
        <v>-0.57678937112666362</v>
      </c>
      <c r="AO116">
        <f t="shared" si="50"/>
        <v>-0.2738123950884423</v>
      </c>
      <c r="AP116">
        <f t="shared" si="51"/>
        <v>-0.33953925508830979</v>
      </c>
      <c r="AR116">
        <f t="shared" si="52"/>
        <v>-0.49412314865767226</v>
      </c>
      <c r="AS116">
        <f t="shared" si="53"/>
        <v>-0.28461103781566638</v>
      </c>
      <c r="AT116">
        <f t="shared" si="54"/>
        <v>0.20951211084200588</v>
      </c>
      <c r="AU116">
        <f t="shared" si="55"/>
        <v>0.49933475650674758</v>
      </c>
    </row>
    <row r="117" spans="1:47" x14ac:dyDescent="0.25">
      <c r="A117" s="4">
        <f>DATE(2024,2,19)</f>
        <v>45341</v>
      </c>
      <c r="B117">
        <v>-0.32109537718178505</v>
      </c>
      <c r="C117">
        <v>27.344372578224213</v>
      </c>
      <c r="D117">
        <v>-5.8197194559800762E-2</v>
      </c>
      <c r="E117">
        <f t="shared" si="28"/>
        <v>-0.50001597748531279</v>
      </c>
      <c r="F117">
        <f t="shared" si="29"/>
        <v>-1.4917128843601255</v>
      </c>
      <c r="G117">
        <f t="shared" si="30"/>
        <v>-1.3092925010210295</v>
      </c>
      <c r="H117" s="2" t="str">
        <f t="shared" si="31"/>
        <v>Lower</v>
      </c>
      <c r="I117" s="2" t="str">
        <f t="shared" si="32"/>
        <v>Lower</v>
      </c>
      <c r="J117" s="2" t="str">
        <f t="shared" si="33"/>
        <v>Lower</v>
      </c>
      <c r="K117" s="2" t="str">
        <f t="shared" si="34"/>
        <v>Lower</v>
      </c>
      <c r="L117" s="2" t="str">
        <f t="shared" si="35"/>
        <v>Lower</v>
      </c>
      <c r="M117" s="2" t="str">
        <f t="shared" si="36"/>
        <v>Lower</v>
      </c>
      <c r="N117" s="2" t="str">
        <f t="shared" si="37"/>
        <v>Lower</v>
      </c>
      <c r="O117" s="2" t="str">
        <f t="shared" si="38"/>
        <v>Lower</v>
      </c>
      <c r="P117" s="2" t="str">
        <f t="shared" si="39"/>
        <v>Lower</v>
      </c>
      <c r="R117" s="4">
        <f>DATE(2024,2,19)</f>
        <v>45341</v>
      </c>
      <c r="X117" s="4">
        <f>DATE(2024,2,19)</f>
        <v>45341</v>
      </c>
      <c r="Y117">
        <v>9.651178095742118</v>
      </c>
      <c r="AA117">
        <v>54.272499999999994</v>
      </c>
      <c r="AC117">
        <f t="shared" si="40"/>
        <v>-5.4195706897638279E-2</v>
      </c>
      <c r="AD117" t="str">
        <f t="shared" si="41"/>
        <v/>
      </c>
      <c r="AE117" t="str">
        <f t="shared" si="42"/>
        <v/>
      </c>
      <c r="AF117" t="str">
        <f t="shared" si="43"/>
        <v/>
      </c>
      <c r="AH117">
        <f t="shared" si="44"/>
        <v>-0.13347956945667597</v>
      </c>
      <c r="AI117" t="str">
        <f t="shared" si="45"/>
        <v/>
      </c>
      <c r="AJ117" t="str">
        <f t="shared" si="46"/>
        <v/>
      </c>
      <c r="AK117" t="str">
        <f t="shared" si="47"/>
        <v/>
      </c>
      <c r="AM117">
        <f t="shared" si="48"/>
        <v>-0.31190382418407181</v>
      </c>
      <c r="AN117" t="str">
        <f t="shared" si="49"/>
        <v/>
      </c>
      <c r="AO117" t="str">
        <f t="shared" si="50"/>
        <v/>
      </c>
      <c r="AP117" t="str">
        <f t="shared" si="51"/>
        <v/>
      </c>
      <c r="AR117">
        <f t="shared" si="52"/>
        <v>-0.47550461641103531</v>
      </c>
      <c r="AS117" t="str">
        <f t="shared" si="53"/>
        <v/>
      </c>
      <c r="AT117" t="str">
        <f t="shared" si="54"/>
        <v/>
      </c>
      <c r="AU117" t="str">
        <f t="shared" si="55"/>
        <v/>
      </c>
    </row>
    <row r="118" spans="1:47" x14ac:dyDescent="0.25">
      <c r="A118" s="4">
        <f>DATE(2024,2,16)</f>
        <v>45338</v>
      </c>
      <c r="B118">
        <v>-0.16180837908567547</v>
      </c>
      <c r="C118">
        <v>33.305865089237948</v>
      </c>
      <c r="D118">
        <v>0.13470946983057783</v>
      </c>
      <c r="E118">
        <f t="shared" si="28"/>
        <v>-0.17201501255533377</v>
      </c>
      <c r="F118">
        <f t="shared" si="29"/>
        <v>-0.83620376985152955</v>
      </c>
      <c r="G118">
        <f t="shared" si="30"/>
        <v>-0.61803343257223309</v>
      </c>
      <c r="H118" s="2" t="str">
        <f t="shared" si="31"/>
        <v>Lower</v>
      </c>
      <c r="I118" s="2" t="str">
        <f t="shared" si="32"/>
        <v>Lower</v>
      </c>
      <c r="J118" s="2" t="str">
        <f t="shared" si="33"/>
        <v>Lower</v>
      </c>
      <c r="K118" s="2" t="str">
        <f t="shared" si="34"/>
        <v>Lower</v>
      </c>
      <c r="L118" s="2" t="str">
        <f t="shared" si="35"/>
        <v>Lower</v>
      </c>
      <c r="M118" s="2" t="str">
        <f t="shared" si="36"/>
        <v>Lower</v>
      </c>
      <c r="N118" s="2" t="str">
        <f t="shared" si="37"/>
        <v>Lower</v>
      </c>
      <c r="O118" s="2" t="str">
        <f t="shared" si="38"/>
        <v>Lower</v>
      </c>
      <c r="P118" s="2" t="str">
        <f t="shared" si="39"/>
        <v>Lower</v>
      </c>
      <c r="R118" s="4">
        <f>DATE(2024,2,16)</f>
        <v>45338</v>
      </c>
      <c r="S118">
        <v>-0.36939830994957695</v>
      </c>
      <c r="T118">
        <v>0.92469655207381751</v>
      </c>
      <c r="U118">
        <v>0.6776395108942479</v>
      </c>
      <c r="V118">
        <v>0.15691811276061762</v>
      </c>
      <c r="X118" s="4">
        <f>DATE(2024,2,16)</f>
        <v>45338</v>
      </c>
      <c r="Y118">
        <v>10.930604663963459</v>
      </c>
      <c r="Z118">
        <v>15.566389552522386</v>
      </c>
      <c r="AA118">
        <v>57.204999999999998</v>
      </c>
      <c r="AB118">
        <v>24.814749999999997</v>
      </c>
      <c r="AC118">
        <f t="shared" si="40"/>
        <v>-3.2843392162169395E-2</v>
      </c>
      <c r="AD118">
        <f t="shared" si="41"/>
        <v>-8.7486451931983289E-2</v>
      </c>
      <c r="AE118">
        <f t="shared" si="42"/>
        <v>-5.4643059769813894E-2</v>
      </c>
      <c r="AF118">
        <f t="shared" si="43"/>
        <v>-0.2980051378612899</v>
      </c>
      <c r="AH118">
        <f t="shared" si="44"/>
        <v>-0.10667946016949066</v>
      </c>
      <c r="AI118">
        <f t="shared" si="45"/>
        <v>-0.13989465617323052</v>
      </c>
      <c r="AJ118">
        <f t="shared" si="46"/>
        <v>-3.3215196003739858E-2</v>
      </c>
      <c r="AK118">
        <f t="shared" si="47"/>
        <v>-4.1096569250518251E-2</v>
      </c>
      <c r="AM118">
        <f t="shared" si="48"/>
        <v>-0.2919231319853195</v>
      </c>
      <c r="AN118">
        <f t="shared" si="49"/>
        <v>-0.62491249903517154</v>
      </c>
      <c r="AO118">
        <f t="shared" si="50"/>
        <v>-0.33298936704985205</v>
      </c>
      <c r="AP118">
        <f t="shared" si="51"/>
        <v>-0.44704755226758902</v>
      </c>
      <c r="AR118">
        <f t="shared" si="52"/>
        <v>-0.43875949669819414</v>
      </c>
      <c r="AS118">
        <f t="shared" si="53"/>
        <v>-0.28381095985996196</v>
      </c>
      <c r="AT118">
        <f t="shared" si="54"/>
        <v>0.15494853683823218</v>
      </c>
      <c r="AU118">
        <f t="shared" si="55"/>
        <v>0.43922569422563523</v>
      </c>
    </row>
    <row r="119" spans="1:47" x14ac:dyDescent="0.25">
      <c r="A119" s="4">
        <f>DATE(2024,2,15)</f>
        <v>45337</v>
      </c>
      <c r="B119">
        <v>-0.22095475364055472</v>
      </c>
      <c r="C119">
        <v>34.739544706417561</v>
      </c>
      <c r="D119">
        <v>0.15652322447357694</v>
      </c>
      <c r="E119">
        <f t="shared" si="28"/>
        <v>-0.30566878318957685</v>
      </c>
      <c r="F119">
        <f t="shared" si="29"/>
        <v>-0.68698924594317068</v>
      </c>
      <c r="G119">
        <f t="shared" si="30"/>
        <v>-0.54907163580384211</v>
      </c>
      <c r="H119" s="2" t="str">
        <f t="shared" si="31"/>
        <v>Lower</v>
      </c>
      <c r="I119" s="2" t="str">
        <f t="shared" si="32"/>
        <v>Lower</v>
      </c>
      <c r="J119" s="2" t="str">
        <f t="shared" si="33"/>
        <v>Lower</v>
      </c>
      <c r="K119" s="2" t="str">
        <f t="shared" si="34"/>
        <v>Lower</v>
      </c>
      <c r="L119" s="2" t="str">
        <f t="shared" si="35"/>
        <v>Lower</v>
      </c>
      <c r="M119" s="2" t="str">
        <f t="shared" si="36"/>
        <v>Lower</v>
      </c>
      <c r="N119" s="2" t="str">
        <f t="shared" si="37"/>
        <v>Lower</v>
      </c>
      <c r="O119" s="2" t="str">
        <f t="shared" si="38"/>
        <v>Lower</v>
      </c>
      <c r="P119" s="2" t="str">
        <f t="shared" si="39"/>
        <v>Lower</v>
      </c>
      <c r="R119" s="4">
        <f>DATE(2024,2,15)</f>
        <v>45337</v>
      </c>
      <c r="S119">
        <v>0.68017207032371141</v>
      </c>
      <c r="T119">
        <v>0.93155539918721508</v>
      </c>
      <c r="U119">
        <v>0.67504972785160866</v>
      </c>
      <c r="V119">
        <v>0.14266295350476674</v>
      </c>
      <c r="X119" s="4">
        <f>DATE(2024,2,15)</f>
        <v>45337</v>
      </c>
      <c r="Y119">
        <v>11.578117893407113</v>
      </c>
      <c r="Z119">
        <v>16.21614578273438</v>
      </c>
      <c r="AA119">
        <v>57.75</v>
      </c>
      <c r="AB119">
        <v>25.109249999999999</v>
      </c>
      <c r="AC119">
        <f t="shared" si="40"/>
        <v>-5.6061130948528708E-2</v>
      </c>
      <c r="AD119">
        <f t="shared" si="41"/>
        <v>-0.10712722675283656</v>
      </c>
      <c r="AE119">
        <f t="shared" si="42"/>
        <v>-5.1066095804307855E-2</v>
      </c>
      <c r="AF119">
        <f t="shared" si="43"/>
        <v>-0.27707975974647747</v>
      </c>
      <c r="AH119">
        <f t="shared" si="44"/>
        <v>-8.9429086892870435E-2</v>
      </c>
      <c r="AI119">
        <f t="shared" si="45"/>
        <v>-0.10933421047081461</v>
      </c>
      <c r="AJ119">
        <f t="shared" si="46"/>
        <v>-1.9905123577944175E-2</v>
      </c>
      <c r="AK119">
        <f t="shared" si="47"/>
        <v>1.8183938090444902E-3</v>
      </c>
      <c r="AM119">
        <f t="shared" si="48"/>
        <v>-0.27864788025696724</v>
      </c>
      <c r="AN119" t="str">
        <f t="shared" si="49"/>
        <v/>
      </c>
      <c r="AO119" t="str">
        <f t="shared" si="50"/>
        <v/>
      </c>
      <c r="AP119" t="str">
        <f t="shared" si="51"/>
        <v/>
      </c>
      <c r="AR119">
        <f t="shared" si="52"/>
        <v>-0.42843166922821224</v>
      </c>
      <c r="AS119">
        <f t="shared" si="53"/>
        <v>-0.33079660719900633</v>
      </c>
      <c r="AT119">
        <f t="shared" si="54"/>
        <v>9.763506202920591E-2</v>
      </c>
      <c r="AU119">
        <f t="shared" si="55"/>
        <v>0.37808074464935409</v>
      </c>
    </row>
    <row r="120" spans="1:47" x14ac:dyDescent="0.25">
      <c r="A120" s="4">
        <f>DATE(2024,2,14)</f>
        <v>45336</v>
      </c>
      <c r="B120">
        <v>-0.32998686521475618</v>
      </c>
      <c r="C120">
        <v>29.892235026892898</v>
      </c>
      <c r="D120">
        <v>-8.9131501752733652E-3</v>
      </c>
      <c r="E120">
        <f t="shared" si="28"/>
        <v>-0.54458637856438041</v>
      </c>
      <c r="F120">
        <f t="shared" si="29"/>
        <v>-1.2428881407801797</v>
      </c>
      <c r="G120">
        <f t="shared" si="30"/>
        <v>-1.1673223066620046</v>
      </c>
      <c r="H120" s="2" t="str">
        <f t="shared" si="31"/>
        <v>Lower</v>
      </c>
      <c r="I120" s="2" t="str">
        <f t="shared" si="32"/>
        <v>Lower</v>
      </c>
      <c r="J120" s="2" t="str">
        <f t="shared" si="33"/>
        <v>Lower</v>
      </c>
      <c r="K120" s="2" t="str">
        <f t="shared" si="34"/>
        <v>Lower</v>
      </c>
      <c r="L120" s="2" t="str">
        <f t="shared" si="35"/>
        <v>Lower</v>
      </c>
      <c r="M120" s="2" t="str">
        <f t="shared" si="36"/>
        <v>Lower</v>
      </c>
      <c r="N120" s="2" t="str">
        <f t="shared" si="37"/>
        <v>Lower</v>
      </c>
      <c r="O120" s="2" t="str">
        <f t="shared" si="38"/>
        <v>Lower</v>
      </c>
      <c r="P120" s="2" t="str">
        <f t="shared" si="39"/>
        <v>Lower</v>
      </c>
      <c r="R120" s="4">
        <f>DATE(2024,2,14)</f>
        <v>45336</v>
      </c>
      <c r="S120">
        <v>0.95643700689720423</v>
      </c>
      <c r="T120">
        <v>0.93083462477867629</v>
      </c>
      <c r="U120">
        <v>0.67319412794376665</v>
      </c>
      <c r="V120">
        <v>0.12841086484396616</v>
      </c>
      <c r="X120" s="4">
        <f>DATE(2024,2,14)</f>
        <v>45336</v>
      </c>
      <c r="Y120">
        <v>8.0788451101368164</v>
      </c>
      <c r="Z120">
        <v>15.493562347893846</v>
      </c>
      <c r="AA120">
        <v>56.5625</v>
      </c>
      <c r="AB120">
        <v>24.920999999999999</v>
      </c>
      <c r="AC120">
        <f t="shared" si="40"/>
        <v>-0.10285572382573224</v>
      </c>
      <c r="AD120">
        <f t="shared" si="41"/>
        <v>-0.12734531053110676</v>
      </c>
      <c r="AE120">
        <f t="shared" si="42"/>
        <v>-2.4489586705374516E-2</v>
      </c>
      <c r="AF120">
        <f t="shared" si="43"/>
        <v>-0.12122424065165971</v>
      </c>
      <c r="AH120">
        <f t="shared" si="44"/>
        <v>-0.12072039938995269</v>
      </c>
      <c r="AI120">
        <f t="shared" si="45"/>
        <v>-0.12055685138453</v>
      </c>
      <c r="AJ120">
        <f t="shared" si="46"/>
        <v>1.6354800542268955E-4</v>
      </c>
      <c r="AK120">
        <f t="shared" si="47"/>
        <v>6.4724112015796337E-2</v>
      </c>
      <c r="AM120">
        <f t="shared" si="48"/>
        <v>-0.28673134440997278</v>
      </c>
      <c r="AN120">
        <f t="shared" si="49"/>
        <v>-0.57818721479413782</v>
      </c>
      <c r="AO120">
        <f t="shared" si="50"/>
        <v>-0.29145587038416504</v>
      </c>
      <c r="AP120">
        <f t="shared" si="51"/>
        <v>-0.36950027785185402</v>
      </c>
      <c r="AR120">
        <f t="shared" si="52"/>
        <v>-0.45309349972445345</v>
      </c>
      <c r="AS120">
        <f t="shared" si="53"/>
        <v>-0.34480955473782188</v>
      </c>
      <c r="AT120">
        <f t="shared" si="54"/>
        <v>0.10828394498663158</v>
      </c>
      <c r="AU120">
        <f t="shared" si="55"/>
        <v>0.38790076279299768</v>
      </c>
    </row>
    <row r="121" spans="1:47" x14ac:dyDescent="0.25">
      <c r="A121" s="4">
        <f>DATE(2024,2,13)</f>
        <v>45335</v>
      </c>
      <c r="B121">
        <v>-0.30462128903386976</v>
      </c>
      <c r="C121">
        <v>29.128597696888782</v>
      </c>
      <c r="D121">
        <v>-0.13036025641209489</v>
      </c>
      <c r="E121">
        <f t="shared" si="28"/>
        <v>-0.50075910695416748</v>
      </c>
      <c r="F121">
        <f t="shared" si="29"/>
        <v>-1.3454800212486986</v>
      </c>
      <c r="G121">
        <f t="shared" si="30"/>
        <v>-1.6321138159966173</v>
      </c>
      <c r="H121" s="2" t="str">
        <f t="shared" si="31"/>
        <v>Lower</v>
      </c>
      <c r="I121" s="2" t="str">
        <f t="shared" si="32"/>
        <v>Lower</v>
      </c>
      <c r="J121" s="2" t="str">
        <f t="shared" si="33"/>
        <v>Lower</v>
      </c>
      <c r="K121" s="2" t="str">
        <f t="shared" si="34"/>
        <v>Lower</v>
      </c>
      <c r="L121" s="2" t="str">
        <f t="shared" si="35"/>
        <v>Lower</v>
      </c>
      <c r="M121" s="2" t="str">
        <f t="shared" si="36"/>
        <v>Lower</v>
      </c>
      <c r="N121" s="2" t="str">
        <f t="shared" si="37"/>
        <v>Lower</v>
      </c>
      <c r="O121" s="2" t="str">
        <f t="shared" si="38"/>
        <v>Lower</v>
      </c>
      <c r="P121" s="2" t="str">
        <f t="shared" si="39"/>
        <v>Lower</v>
      </c>
      <c r="R121" s="4">
        <f>DATE(2024,2,13)</f>
        <v>45335</v>
      </c>
      <c r="S121">
        <v>0.97677031814786142</v>
      </c>
      <c r="T121">
        <v>0.90082794321871984</v>
      </c>
      <c r="U121">
        <v>0.67667083603376232</v>
      </c>
      <c r="V121">
        <v>0.11223681784895685</v>
      </c>
      <c r="X121" s="4">
        <f>DATE(2024,2,13)</f>
        <v>45335</v>
      </c>
      <c r="Y121">
        <v>8.6155155945141537</v>
      </c>
      <c r="Z121">
        <v>16.177225817630379</v>
      </c>
      <c r="AA121">
        <v>56.6175</v>
      </c>
      <c r="AB121">
        <v>25.654250000000001</v>
      </c>
      <c r="AC121">
        <f t="shared" si="40"/>
        <v>-0.11129070493249051</v>
      </c>
      <c r="AD121">
        <f t="shared" si="41"/>
        <v>-0.10707027063302763</v>
      </c>
      <c r="AE121">
        <f t="shared" si="42"/>
        <v>4.2204342994628802E-3</v>
      </c>
      <c r="AF121">
        <f t="shared" si="43"/>
        <v>4.8371045498339794E-2</v>
      </c>
      <c r="AH121">
        <f t="shared" si="44"/>
        <v>-0.15182031680870908</v>
      </c>
      <c r="AI121">
        <f t="shared" si="45"/>
        <v>-0.15787883095908892</v>
      </c>
      <c r="AJ121">
        <f t="shared" si="46"/>
        <v>-6.0585141503798345E-3</v>
      </c>
      <c r="AK121">
        <f t="shared" si="47"/>
        <v>4.667805306396363E-2</v>
      </c>
      <c r="AM121">
        <f t="shared" si="48"/>
        <v>-0.28986540720378151</v>
      </c>
      <c r="AN121">
        <f t="shared" si="49"/>
        <v>-0.54802333433765038</v>
      </c>
      <c r="AO121">
        <f t="shared" si="50"/>
        <v>-0.25815792713386887</v>
      </c>
      <c r="AP121">
        <f t="shared" si="51"/>
        <v>-0.30816224085738431</v>
      </c>
      <c r="AR121">
        <f t="shared" si="52"/>
        <v>-0.42524147236499615</v>
      </c>
      <c r="AS121">
        <f t="shared" si="53"/>
        <v>-0.343036852607639</v>
      </c>
      <c r="AT121">
        <f t="shared" si="54"/>
        <v>8.2204619757357156E-2</v>
      </c>
      <c r="AU121">
        <f t="shared" si="55"/>
        <v>0.35942186392184833</v>
      </c>
    </row>
    <row r="122" spans="1:47" x14ac:dyDescent="0.25">
      <c r="A122" s="4">
        <f>DATE(2024,2,12)</f>
        <v>45334</v>
      </c>
      <c r="B122">
        <v>-0.17811668658244173</v>
      </c>
      <c r="C122">
        <v>29.822447671332519</v>
      </c>
      <c r="D122">
        <v>-0.22697421917554911</v>
      </c>
      <c r="E122">
        <f t="shared" si="28"/>
        <v>-0.24157692299645023</v>
      </c>
      <c r="F122">
        <f t="shared" si="29"/>
        <v>-1.2903328865145454</v>
      </c>
      <c r="G122">
        <f t="shared" si="30"/>
        <v>-2.0232979233148853</v>
      </c>
      <c r="H122" s="2" t="str">
        <f t="shared" si="31"/>
        <v>Lower</v>
      </c>
      <c r="I122" s="2" t="str">
        <f t="shared" si="32"/>
        <v>Lower</v>
      </c>
      <c r="J122" s="2" t="str">
        <f t="shared" si="33"/>
        <v>Lower</v>
      </c>
      <c r="K122" s="2" t="str">
        <f t="shared" si="34"/>
        <v>Lower</v>
      </c>
      <c r="L122" s="2" t="str">
        <f t="shared" si="35"/>
        <v>Lower</v>
      </c>
      <c r="M122" s="2" t="str">
        <f t="shared" si="36"/>
        <v>Lower</v>
      </c>
      <c r="N122" s="2" t="str">
        <f t="shared" si="37"/>
        <v>Lower</v>
      </c>
      <c r="O122" s="2" t="str">
        <f t="shared" si="38"/>
        <v>Lower</v>
      </c>
      <c r="P122" s="2" t="str">
        <f t="shared" si="39"/>
        <v>Lower</v>
      </c>
      <c r="R122" s="4">
        <f>DATE(2024,2,12)</f>
        <v>45334</v>
      </c>
      <c r="S122">
        <v>0.97426866550028723</v>
      </c>
      <c r="T122">
        <v>0.88452320621516289</v>
      </c>
      <c r="U122">
        <v>0.67720060798634107</v>
      </c>
      <c r="V122">
        <v>9.5663757087830634E-2</v>
      </c>
      <c r="X122" s="4">
        <f>DATE(2024,2,12)</f>
        <v>45334</v>
      </c>
      <c r="Y122">
        <v>9.2435026741648603</v>
      </c>
      <c r="Z122">
        <v>17.171523743253989</v>
      </c>
      <c r="AA122">
        <v>57.295000000000002</v>
      </c>
      <c r="AB122">
        <v>25.853249999999999</v>
      </c>
      <c r="AC122">
        <f t="shared" si="40"/>
        <v>-9.4365656579398216E-2</v>
      </c>
      <c r="AD122">
        <f t="shared" si="41"/>
        <v>-0.10282183133054876</v>
      </c>
      <c r="AE122">
        <f t="shared" si="42"/>
        <v>-8.4561747511505414E-3</v>
      </c>
      <c r="AF122">
        <f t="shared" si="43"/>
        <v>-2.6043906903458907E-2</v>
      </c>
      <c r="AH122">
        <f t="shared" si="44"/>
        <v>-0.15135420854752379</v>
      </c>
      <c r="AI122" t="str">
        <f t="shared" si="45"/>
        <v/>
      </c>
      <c r="AJ122" t="str">
        <f t="shared" si="46"/>
        <v/>
      </c>
      <c r="AK122" t="str">
        <f t="shared" si="47"/>
        <v/>
      </c>
      <c r="AM122">
        <f t="shared" si="48"/>
        <v>-0.29260057896139563</v>
      </c>
      <c r="AN122">
        <f t="shared" si="49"/>
        <v>-0.57822477626521451</v>
      </c>
      <c r="AO122">
        <f t="shared" si="50"/>
        <v>-0.28562419730381888</v>
      </c>
      <c r="AP122">
        <f t="shared" si="51"/>
        <v>-0.3570360435701892</v>
      </c>
      <c r="AR122">
        <f t="shared" si="52"/>
        <v>-0.39828343422143264</v>
      </c>
      <c r="AS122">
        <f t="shared" si="53"/>
        <v>-0.35745403947340315</v>
      </c>
      <c r="AT122">
        <f t="shared" si="54"/>
        <v>4.0829394748029491E-2</v>
      </c>
      <c r="AU122">
        <f t="shared" si="55"/>
        <v>0.31498148945433985</v>
      </c>
    </row>
    <row r="123" spans="1:47" x14ac:dyDescent="0.25">
      <c r="A123" s="4">
        <f>DATE(2024,2,9)</f>
        <v>45331</v>
      </c>
      <c r="B123">
        <v>3.0862590953075308E-2</v>
      </c>
      <c r="C123">
        <v>32.820997325160803</v>
      </c>
      <c r="D123">
        <v>-0.12767740472180386</v>
      </c>
      <c r="E123">
        <f t="shared" si="28"/>
        <v>0.19550900486465483</v>
      </c>
      <c r="F123">
        <f t="shared" si="29"/>
        <v>-0.97501417413161429</v>
      </c>
      <c r="G123">
        <f t="shared" si="30"/>
        <v>-1.7014351923170361</v>
      </c>
      <c r="H123" s="2" t="str">
        <f t="shared" si="31"/>
        <v>Lower</v>
      </c>
      <c r="I123" s="2" t="str">
        <f t="shared" si="32"/>
        <v>Lower</v>
      </c>
      <c r="J123" s="2" t="str">
        <f t="shared" si="33"/>
        <v>Lower</v>
      </c>
      <c r="K123" s="2" t="str">
        <f t="shared" si="34"/>
        <v>Lower</v>
      </c>
      <c r="L123" s="2" t="str">
        <f t="shared" si="35"/>
        <v>Lower</v>
      </c>
      <c r="M123" s="2" t="str">
        <f t="shared" si="36"/>
        <v>Lower</v>
      </c>
      <c r="N123" s="2" t="str">
        <f t="shared" si="37"/>
        <v>Lower</v>
      </c>
      <c r="O123" s="2" t="str">
        <f t="shared" si="38"/>
        <v>Lower</v>
      </c>
      <c r="P123" s="2" t="str">
        <f t="shared" si="39"/>
        <v>Lower</v>
      </c>
      <c r="R123" s="4">
        <f>DATE(2024,2,9)</f>
        <v>45331</v>
      </c>
      <c r="S123">
        <v>0.99681963936015205</v>
      </c>
      <c r="T123">
        <v>0.88391862409314492</v>
      </c>
      <c r="U123">
        <v>0.67387693511389379</v>
      </c>
      <c r="V123">
        <v>7.9855684852342804E-2</v>
      </c>
      <c r="X123" s="4">
        <f>DATE(2024,2,9)</f>
        <v>45331</v>
      </c>
      <c r="Y123">
        <v>9.8636372289222631</v>
      </c>
      <c r="Z123">
        <v>18.427674309719638</v>
      </c>
      <c r="AA123">
        <v>59.114999999999995</v>
      </c>
      <c r="AB123">
        <v>27.083500000000001</v>
      </c>
      <c r="AC123">
        <f t="shared" si="40"/>
        <v>-6.7926583843716262E-2</v>
      </c>
      <c r="AD123">
        <f t="shared" si="41"/>
        <v>-7.5055648999646077E-2</v>
      </c>
      <c r="AE123">
        <f t="shared" si="42"/>
        <v>-7.1290651559298146E-3</v>
      </c>
      <c r="AF123">
        <f t="shared" si="43"/>
        <v>-1.8002088892610905E-2</v>
      </c>
      <c r="AH123">
        <f t="shared" si="44"/>
        <v>-0.11696508584417774</v>
      </c>
      <c r="AI123">
        <f t="shared" si="45"/>
        <v>-0.159849540097219</v>
      </c>
      <c r="AJ123">
        <f t="shared" si="46"/>
        <v>-4.2884454253041257E-2</v>
      </c>
      <c r="AK123">
        <f t="shared" si="47"/>
        <v>-6.6699383941795448E-2</v>
      </c>
      <c r="AM123">
        <f t="shared" si="48"/>
        <v>-0.26057996840013881</v>
      </c>
      <c r="AN123">
        <f t="shared" si="49"/>
        <v>-0.51729201620617515</v>
      </c>
      <c r="AO123">
        <f t="shared" si="50"/>
        <v>-0.25671204780603635</v>
      </c>
      <c r="AP123">
        <f t="shared" si="51"/>
        <v>-0.3031574538605869</v>
      </c>
      <c r="AR123">
        <f t="shared" si="52"/>
        <v>-0.36645526110245785</v>
      </c>
      <c r="AS123">
        <f t="shared" si="53"/>
        <v>-0.29744877752335513</v>
      </c>
      <c r="AT123">
        <f t="shared" si="54"/>
        <v>6.9006483579102718E-2</v>
      </c>
      <c r="AU123">
        <f t="shared" si="55"/>
        <v>0.34334822043919311</v>
      </c>
    </row>
    <row r="124" spans="1:47" x14ac:dyDescent="0.25">
      <c r="A124" s="4">
        <f>DATE(2024,2,8)</f>
        <v>45330</v>
      </c>
      <c r="B124">
        <v>0.20667949139590425</v>
      </c>
      <c r="C124">
        <v>36.378363153878837</v>
      </c>
      <c r="D124">
        <v>4.8015104391129278E-2</v>
      </c>
      <c r="E124">
        <f t="shared" si="28"/>
        <v>0.56989741159307672</v>
      </c>
      <c r="F124">
        <f t="shared" si="29"/>
        <v>-0.59260273769507699</v>
      </c>
      <c r="G124">
        <f t="shared" si="30"/>
        <v>-1.0698175183910894</v>
      </c>
      <c r="H124" s="2" t="str">
        <f t="shared" si="31"/>
        <v>Lower</v>
      </c>
      <c r="I124" s="2" t="str">
        <f t="shared" si="32"/>
        <v>Lower</v>
      </c>
      <c r="J124" s="2" t="str">
        <f t="shared" si="33"/>
        <v>Lower</v>
      </c>
      <c r="K124" s="2" t="str">
        <f t="shared" si="34"/>
        <v>Lower</v>
      </c>
      <c r="L124" s="2" t="str">
        <f t="shared" si="35"/>
        <v>Lower</v>
      </c>
      <c r="M124" s="2" t="str">
        <f t="shared" si="36"/>
        <v>Lower</v>
      </c>
      <c r="N124" s="2" t="str">
        <f t="shared" si="37"/>
        <v>Lower</v>
      </c>
      <c r="O124" s="2" t="str">
        <f t="shared" si="38"/>
        <v>Lower</v>
      </c>
      <c r="P124" s="2" t="str">
        <f t="shared" si="39"/>
        <v>Lower</v>
      </c>
      <c r="R124" s="4">
        <f>DATE(2024,2,8)</f>
        <v>45330</v>
      </c>
      <c r="S124">
        <v>0.82296599642897572</v>
      </c>
      <c r="T124">
        <v>0.89180185528505362</v>
      </c>
      <c r="U124">
        <v>0.67662176657123485</v>
      </c>
      <c r="V124">
        <v>6.7479852003673124E-2</v>
      </c>
      <c r="X124" s="4">
        <f>DATE(2024,2,8)</f>
        <v>45330</v>
      </c>
      <c r="Y124">
        <v>10.633477785326443</v>
      </c>
      <c r="Z124">
        <v>19.460684259011014</v>
      </c>
      <c r="AA124">
        <v>61.08</v>
      </c>
      <c r="AB124">
        <v>27.948500000000003</v>
      </c>
      <c r="AC124">
        <f t="shared" si="40"/>
        <v>-2.8327762716676166E-2</v>
      </c>
      <c r="AD124">
        <f t="shared" si="41"/>
        <v>-4.9754909325484882E-2</v>
      </c>
      <c r="AE124">
        <f t="shared" si="42"/>
        <v>-2.1427146608808716E-2</v>
      </c>
      <c r="AF124">
        <f t="shared" si="43"/>
        <v>-0.10178933588498774</v>
      </c>
      <c r="AH124">
        <f t="shared" si="44"/>
        <v>-0.11146903084812354</v>
      </c>
      <c r="AI124">
        <f t="shared" si="45"/>
        <v>-9.4460855145309303E-2</v>
      </c>
      <c r="AJ124">
        <f t="shared" si="46"/>
        <v>1.7008175702814238E-2</v>
      </c>
      <c r="AK124">
        <f t="shared" si="47"/>
        <v>0.12237683651380241</v>
      </c>
      <c r="AM124">
        <f t="shared" si="48"/>
        <v>-0.23938294683874126</v>
      </c>
      <c r="AN124">
        <f t="shared" si="49"/>
        <v>-0.50371414914516932</v>
      </c>
      <c r="AO124">
        <f t="shared" si="50"/>
        <v>-0.26433120230642804</v>
      </c>
      <c r="AP124">
        <f t="shared" si="51"/>
        <v>-0.31595470717876595</v>
      </c>
      <c r="AR124">
        <f t="shared" si="52"/>
        <v>-0.32545423431634046</v>
      </c>
      <c r="AS124">
        <f t="shared" si="53"/>
        <v>-0.25252326335261244</v>
      </c>
      <c r="AT124">
        <f t="shared" si="54"/>
        <v>7.2930970963728026E-2</v>
      </c>
      <c r="AU124">
        <f t="shared" si="55"/>
        <v>0.34635931553174798</v>
      </c>
    </row>
    <row r="125" spans="1:47" x14ac:dyDescent="0.25">
      <c r="A125" s="4">
        <f>DATE(2024,2,7)</f>
        <v>45329</v>
      </c>
      <c r="B125">
        <v>0.30583213236538365</v>
      </c>
      <c r="C125">
        <v>39.64687965768411</v>
      </c>
      <c r="D125">
        <v>0.27798374081625171</v>
      </c>
      <c r="E125">
        <f t="shared" si="28"/>
        <v>0.78866016287047713</v>
      </c>
      <c r="F125">
        <f t="shared" si="29"/>
        <v>-0.23428614230876457</v>
      </c>
      <c r="G125">
        <f t="shared" si="30"/>
        <v>-0.20482035754279868</v>
      </c>
      <c r="H125" s="2" t="str">
        <f t="shared" si="31"/>
        <v>Lower</v>
      </c>
      <c r="I125" s="2" t="str">
        <f t="shared" si="32"/>
        <v>Lower</v>
      </c>
      <c r="J125" s="2" t="str">
        <f t="shared" si="33"/>
        <v>Lower</v>
      </c>
      <c r="K125" s="2" t="str">
        <f t="shared" si="34"/>
        <v>Lower</v>
      </c>
      <c r="L125" s="2" t="str">
        <f t="shared" si="35"/>
        <v>Lower</v>
      </c>
      <c r="M125" s="2" t="str">
        <f t="shared" si="36"/>
        <v>Lower</v>
      </c>
      <c r="N125" s="2" t="str">
        <f t="shared" si="37"/>
        <v>Lower</v>
      </c>
      <c r="O125" s="2" t="str">
        <f t="shared" si="38"/>
        <v>Lower</v>
      </c>
      <c r="P125" s="2" t="str">
        <f t="shared" si="39"/>
        <v>Lower</v>
      </c>
      <c r="R125" s="4">
        <f>DATE(2024,2,7)</f>
        <v>45329</v>
      </c>
      <c r="S125">
        <v>0.32178610367895932</v>
      </c>
      <c r="T125">
        <v>0.89841911641483019</v>
      </c>
      <c r="U125">
        <v>0.6764350834745585</v>
      </c>
      <c r="V125">
        <v>5.7495422435562271E-2</v>
      </c>
      <c r="X125" s="4">
        <f>DATE(2024,2,7)</f>
        <v>45329</v>
      </c>
      <c r="Y125">
        <v>11.347493890986424</v>
      </c>
      <c r="Z125">
        <v>20.221594135562444</v>
      </c>
      <c r="AA125">
        <v>62.69</v>
      </c>
      <c r="AB125">
        <v>28.305499999999999</v>
      </c>
      <c r="AC125">
        <f t="shared" si="40"/>
        <v>-2.2281419440268447E-2</v>
      </c>
      <c r="AD125">
        <f t="shared" si="41"/>
        <v>-6.3957634927444398E-2</v>
      </c>
      <c r="AE125">
        <f t="shared" si="42"/>
        <v>-4.1676215487175955E-2</v>
      </c>
      <c r="AF125">
        <f t="shared" si="43"/>
        <v>-0.21995424189360491</v>
      </c>
      <c r="AH125">
        <f t="shared" si="44"/>
        <v>-0.11751714185280134</v>
      </c>
      <c r="AI125">
        <f t="shared" si="45"/>
        <v>-8.8177284232374337E-2</v>
      </c>
      <c r="AJ125">
        <f t="shared" si="46"/>
        <v>2.9339857620426998E-2</v>
      </c>
      <c r="AK125">
        <f t="shared" si="47"/>
        <v>0.1625142003130268</v>
      </c>
      <c r="AM125">
        <f t="shared" si="48"/>
        <v>-0.23865510005726667</v>
      </c>
      <c r="AN125">
        <f t="shared" si="49"/>
        <v>-0.51735247480443614</v>
      </c>
      <c r="AO125">
        <f t="shared" si="50"/>
        <v>-0.27869737474716949</v>
      </c>
      <c r="AP125">
        <f t="shared" si="51"/>
        <v>-0.34167759935317737</v>
      </c>
      <c r="AR125">
        <f t="shared" si="52"/>
        <v>-0.3143996420576074</v>
      </c>
      <c r="AS125">
        <f t="shared" si="53"/>
        <v>-0.26419967786240084</v>
      </c>
      <c r="AT125">
        <f t="shared" si="54"/>
        <v>5.0199964195206559E-2</v>
      </c>
      <c r="AU125">
        <f t="shared" si="55"/>
        <v>0.32139949550368657</v>
      </c>
    </row>
    <row r="126" spans="1:47" x14ac:dyDescent="0.25">
      <c r="A126" s="4">
        <f>DATE(2024,2,6)</f>
        <v>45328</v>
      </c>
      <c r="B126">
        <v>0.31178472792060363</v>
      </c>
      <c r="C126">
        <v>42.172350439564269</v>
      </c>
      <c r="D126">
        <v>0.41783131547954527</v>
      </c>
      <c r="E126">
        <f t="shared" si="28"/>
        <v>0.81426101369496717</v>
      </c>
      <c r="F126">
        <f t="shared" si="29"/>
        <v>4.7520918704711514E-2</v>
      </c>
      <c r="G126">
        <f t="shared" si="30"/>
        <v>0.33038954772667312</v>
      </c>
      <c r="H126" s="2" t="str">
        <f t="shared" si="31"/>
        <v>Lower</v>
      </c>
      <c r="I126" s="2" t="str">
        <f t="shared" si="32"/>
        <v>Lower</v>
      </c>
      <c r="J126" s="2" t="str">
        <f t="shared" si="33"/>
        <v>Lower</v>
      </c>
      <c r="K126" s="2" t="str">
        <f t="shared" si="34"/>
        <v>Lower</v>
      </c>
      <c r="L126" s="2" t="str">
        <f t="shared" si="35"/>
        <v>Lower</v>
      </c>
      <c r="M126" s="2" t="str">
        <f t="shared" si="36"/>
        <v>Lower</v>
      </c>
      <c r="N126" s="2" t="str">
        <f t="shared" si="37"/>
        <v>Lower</v>
      </c>
      <c r="O126" s="2" t="str">
        <f t="shared" si="38"/>
        <v>Lower</v>
      </c>
      <c r="P126" s="2" t="str">
        <f t="shared" si="39"/>
        <v>Lower</v>
      </c>
      <c r="R126" s="4">
        <f>DATE(2024,2,6)</f>
        <v>45328</v>
      </c>
      <c r="S126">
        <v>0.63818634865997281</v>
      </c>
      <c r="T126">
        <v>0.90249533737419363</v>
      </c>
      <c r="U126">
        <v>0.67262503036633159</v>
      </c>
      <c r="V126">
        <v>4.971616699297611E-2</v>
      </c>
      <c r="X126" s="4">
        <f>DATE(2024,2,6)</f>
        <v>45328</v>
      </c>
      <c r="Y126">
        <v>11.82819123355965</v>
      </c>
      <c r="Z126">
        <v>20.983445589032328</v>
      </c>
      <c r="AA126">
        <v>63.282499999999999</v>
      </c>
      <c r="AB126">
        <v>28.5535</v>
      </c>
      <c r="AC126">
        <f t="shared" si="40"/>
        <v>3.4032482392174638E-3</v>
      </c>
      <c r="AD126">
        <f t="shared" si="41"/>
        <v>-1.7436877774778783E-2</v>
      </c>
      <c r="AE126">
        <f t="shared" si="42"/>
        <v>-2.0840126013996246E-2</v>
      </c>
      <c r="AF126">
        <f t="shared" si="43"/>
        <v>-9.5349147237049334E-2</v>
      </c>
      <c r="AH126">
        <f t="shared" si="44"/>
        <v>-0.12853632036968499</v>
      </c>
      <c r="AI126">
        <f t="shared" si="45"/>
        <v>-7.6643847383547889E-2</v>
      </c>
      <c r="AJ126">
        <f t="shared" si="46"/>
        <v>5.1892472986137098E-2</v>
      </c>
      <c r="AK126">
        <f t="shared" si="47"/>
        <v>0.23455248960175293</v>
      </c>
      <c r="AM126">
        <f t="shared" si="48"/>
        <v>-0.21210828812177746</v>
      </c>
      <c r="AN126">
        <f t="shared" si="49"/>
        <v>-0.50515880174239125</v>
      </c>
      <c r="AO126">
        <f t="shared" si="50"/>
        <v>-0.2930505136206138</v>
      </c>
      <c r="AP126">
        <f t="shared" si="51"/>
        <v>-0.36755733833367943</v>
      </c>
      <c r="AR126">
        <f t="shared" si="52"/>
        <v>-0.33281979119210331</v>
      </c>
      <c r="AS126">
        <f t="shared" si="53"/>
        <v>-0.27511149156016784</v>
      </c>
      <c r="AT126">
        <f t="shared" si="54"/>
        <v>5.7708299631935467E-2</v>
      </c>
      <c r="AU126">
        <f t="shared" si="55"/>
        <v>0.32795005413757478</v>
      </c>
    </row>
    <row r="127" spans="1:47" x14ac:dyDescent="0.25">
      <c r="A127" s="4">
        <f>DATE(2024,2,5)</f>
        <v>45327</v>
      </c>
      <c r="B127">
        <v>0.21649060587611846</v>
      </c>
      <c r="C127">
        <v>39.383799712645178</v>
      </c>
      <c r="D127">
        <v>0.31120157630657974</v>
      </c>
      <c r="E127">
        <f t="shared" si="28"/>
        <v>0.62841185562648516</v>
      </c>
      <c r="F127">
        <f t="shared" si="29"/>
        <v>-0.26442096791269154</v>
      </c>
      <c r="G127">
        <f t="shared" si="30"/>
        <v>-7.1178322689846862E-2</v>
      </c>
      <c r="H127" s="2" t="str">
        <f t="shared" si="31"/>
        <v>Lower</v>
      </c>
      <c r="I127" s="2" t="str">
        <f t="shared" si="32"/>
        <v>Lower</v>
      </c>
      <c r="J127" s="2" t="str">
        <f t="shared" si="33"/>
        <v>Lower</v>
      </c>
      <c r="K127" s="2" t="str">
        <f t="shared" si="34"/>
        <v>Lower</v>
      </c>
      <c r="L127" s="2" t="str">
        <f t="shared" si="35"/>
        <v>Lower</v>
      </c>
      <c r="M127" s="2" t="str">
        <f t="shared" si="36"/>
        <v>Lower</v>
      </c>
      <c r="N127" s="2" t="str">
        <f t="shared" si="37"/>
        <v>Lower</v>
      </c>
      <c r="O127" s="2" t="str">
        <f t="shared" si="38"/>
        <v>Lower</v>
      </c>
      <c r="P127" s="2" t="str">
        <f t="shared" si="39"/>
        <v>Lower</v>
      </c>
      <c r="R127" s="4">
        <f>DATE(2024,2,5)</f>
        <v>45327</v>
      </c>
      <c r="S127">
        <v>0.82679620527415942</v>
      </c>
      <c r="T127">
        <v>0.9032119559689108</v>
      </c>
      <c r="U127">
        <v>0.66799522023843261</v>
      </c>
      <c r="V127">
        <v>4.3437714210611211E-2</v>
      </c>
      <c r="X127" s="4">
        <f>DATE(2024,2,5)</f>
        <v>45327</v>
      </c>
      <c r="Y127">
        <v>12.491179095087357</v>
      </c>
      <c r="Z127">
        <v>22.282679533750464</v>
      </c>
      <c r="AA127">
        <v>62.965000000000003</v>
      </c>
      <c r="AB127">
        <v>28.652999999999999</v>
      </c>
      <c r="AC127">
        <f t="shared" si="40"/>
        <v>1.0376849179469667E-2</v>
      </c>
      <c r="AD127">
        <f t="shared" si="41"/>
        <v>1.0163856597247705E-2</v>
      </c>
      <c r="AE127">
        <f t="shared" si="42"/>
        <v>-2.12992582221962E-4</v>
      </c>
      <c r="AF127">
        <f t="shared" si="43"/>
        <v>2.8465317610235023E-2</v>
      </c>
      <c r="AH127">
        <f t="shared" si="44"/>
        <v>-0.15119683711874912</v>
      </c>
      <c r="AI127">
        <f t="shared" si="45"/>
        <v>-0.11379256551273084</v>
      </c>
      <c r="AJ127">
        <f t="shared" si="46"/>
        <v>3.740427160601828E-2</v>
      </c>
      <c r="AK127">
        <f t="shared" si="47"/>
        <v>0.19097785137055304</v>
      </c>
      <c r="AM127">
        <f t="shared" si="48"/>
        <v>-0.20815043085830254</v>
      </c>
      <c r="AN127">
        <f t="shared" si="49"/>
        <v>-0.49651578836159177</v>
      </c>
      <c r="AO127">
        <f t="shared" si="50"/>
        <v>-0.28836535750328923</v>
      </c>
      <c r="AP127">
        <f t="shared" si="51"/>
        <v>-0.35870379033229344</v>
      </c>
      <c r="AR127">
        <f t="shared" si="52"/>
        <v>-0.3166690421163324</v>
      </c>
      <c r="AS127">
        <f t="shared" si="53"/>
        <v>-0.30213063730185541</v>
      </c>
      <c r="AT127">
        <f t="shared" si="54"/>
        <v>1.4538404814476991E-2</v>
      </c>
      <c r="AU127">
        <f t="shared" si="55"/>
        <v>0.28161771605054059</v>
      </c>
    </row>
    <row r="128" spans="1:47" x14ac:dyDescent="0.25">
      <c r="A128" s="4">
        <f>DATE(2024,2,2)</f>
        <v>45324</v>
      </c>
      <c r="B128">
        <v>0.18054637769611048</v>
      </c>
      <c r="C128">
        <v>40.851276235660791</v>
      </c>
      <c r="D128">
        <v>0.35746569749501295</v>
      </c>
      <c r="E128">
        <f t="shared" si="28"/>
        <v>0.56588854014946832</v>
      </c>
      <c r="F128">
        <f t="shared" si="29"/>
        <v>-9.6339763469473108E-2</v>
      </c>
      <c r="G128">
        <f t="shared" si="30"/>
        <v>0.11185125166476244</v>
      </c>
      <c r="H128" s="2" t="str">
        <f t="shared" si="31"/>
        <v>Lower</v>
      </c>
      <c r="I128" s="2" t="str">
        <f t="shared" si="32"/>
        <v>Lower</v>
      </c>
      <c r="J128" s="2" t="str">
        <f t="shared" si="33"/>
        <v>Lower</v>
      </c>
      <c r="K128" s="2" t="str">
        <f t="shared" si="34"/>
        <v>Lower</v>
      </c>
      <c r="L128" s="2" t="str">
        <f t="shared" si="35"/>
        <v>Lower</v>
      </c>
      <c r="M128" s="2" t="str">
        <f t="shared" si="36"/>
        <v>Lower</v>
      </c>
      <c r="N128" s="2" t="str">
        <f t="shared" si="37"/>
        <v>Lower</v>
      </c>
      <c r="O128" s="2" t="str">
        <f t="shared" si="38"/>
        <v>Lower</v>
      </c>
      <c r="P128" s="2" t="str">
        <f t="shared" si="39"/>
        <v>Lower</v>
      </c>
      <c r="R128" s="4">
        <f>DATE(2024,2,2)</f>
        <v>45324</v>
      </c>
      <c r="S128">
        <v>0.93822579687455232</v>
      </c>
      <c r="T128">
        <v>0.89811792717944416</v>
      </c>
      <c r="U128">
        <v>0.66340394413413584</v>
      </c>
      <c r="V128">
        <v>3.9068845980144713E-2</v>
      </c>
      <c r="X128" s="4">
        <f>DATE(2024,2,2)</f>
        <v>45324</v>
      </c>
      <c r="Y128">
        <v>13.131978779196924</v>
      </c>
      <c r="Z128">
        <v>24.029367184254159</v>
      </c>
      <c r="AA128">
        <v>63.269999999999996</v>
      </c>
      <c r="AB128">
        <v>29.194499999999998</v>
      </c>
      <c r="AC128">
        <f t="shared" si="40"/>
        <v>-4.848351009740369E-3</v>
      </c>
      <c r="AD128">
        <f t="shared" si="41"/>
        <v>5.0051041976722353E-2</v>
      </c>
      <c r="AE128">
        <f t="shared" si="42"/>
        <v>5.4899392986462722E-2</v>
      </c>
      <c r="AF128">
        <f t="shared" si="43"/>
        <v>0.35624351262267645</v>
      </c>
      <c r="AH128">
        <f t="shared" si="44"/>
        <v>-0.18555640122590369</v>
      </c>
      <c r="AI128">
        <f t="shared" si="45"/>
        <v>-0.15683349384475856</v>
      </c>
      <c r="AJ128">
        <f t="shared" si="46"/>
        <v>2.8722907381145135E-2</v>
      </c>
      <c r="AK128">
        <f t="shared" si="47"/>
        <v>0.16536110308219379</v>
      </c>
      <c r="AM128">
        <f t="shared" si="48"/>
        <v>-0.21061078341780823</v>
      </c>
      <c r="AN128">
        <f t="shared" si="49"/>
        <v>-0.4673733941916477</v>
      </c>
      <c r="AO128">
        <f t="shared" si="50"/>
        <v>-0.25676261077383944</v>
      </c>
      <c r="AP128">
        <f t="shared" si="51"/>
        <v>-0.30097945971221518</v>
      </c>
      <c r="AR128">
        <f t="shared" si="52"/>
        <v>-0.32128031434359422</v>
      </c>
      <c r="AS128">
        <f t="shared" si="53"/>
        <v>-0.28428526012749766</v>
      </c>
      <c r="AT128">
        <f t="shared" si="54"/>
        <v>3.6995054216096557E-2</v>
      </c>
      <c r="AU128">
        <f t="shared" si="55"/>
        <v>0.30368997621272598</v>
      </c>
    </row>
    <row r="129" spans="1:47" x14ac:dyDescent="0.25">
      <c r="A129" s="4">
        <f>DATE(2024,2,1)</f>
        <v>45323</v>
      </c>
      <c r="B129">
        <v>7.6105200139319429E-2</v>
      </c>
      <c r="C129">
        <v>37.2529314417352</v>
      </c>
      <c r="D129">
        <v>0.26827241740767022</v>
      </c>
      <c r="E129">
        <f t="shared" si="28"/>
        <v>0.3616701027493463</v>
      </c>
      <c r="F129">
        <f t="shared" si="29"/>
        <v>-0.49534314726888734</v>
      </c>
      <c r="G129">
        <f t="shared" si="30"/>
        <v>-0.21970881863600938</v>
      </c>
      <c r="H129" s="2" t="str">
        <f t="shared" si="31"/>
        <v>Lower</v>
      </c>
      <c r="I129" s="2" t="str">
        <f t="shared" si="32"/>
        <v>Lower</v>
      </c>
      <c r="J129" s="2" t="str">
        <f t="shared" si="33"/>
        <v>Lower</v>
      </c>
      <c r="K129" s="2" t="str">
        <f t="shared" si="34"/>
        <v>Lower</v>
      </c>
      <c r="L129" s="2" t="str">
        <f t="shared" si="35"/>
        <v>Lower</v>
      </c>
      <c r="M129" s="2" t="str">
        <f t="shared" si="36"/>
        <v>Lower</v>
      </c>
      <c r="N129" s="2" t="str">
        <f t="shared" si="37"/>
        <v>Lower</v>
      </c>
      <c r="O129" s="2" t="str">
        <f t="shared" si="38"/>
        <v>Lower</v>
      </c>
      <c r="P129" s="2" t="str">
        <f t="shared" si="39"/>
        <v>Lower</v>
      </c>
      <c r="R129" s="4">
        <f>DATE(2024,2,1)</f>
        <v>45323</v>
      </c>
      <c r="S129">
        <v>0.58605544565037049</v>
      </c>
      <c r="T129">
        <v>0.83999679657266557</v>
      </c>
      <c r="U129">
        <v>0.66404703652723762</v>
      </c>
      <c r="V129">
        <v>3.336383567399516E-2</v>
      </c>
      <c r="X129" s="4">
        <f>DATE(2024,2,1)</f>
        <v>45323</v>
      </c>
      <c r="Y129">
        <v>14.043779127099748</v>
      </c>
      <c r="Z129">
        <v>24.963557060634272</v>
      </c>
      <c r="AA129">
        <v>62.834999999999994</v>
      </c>
      <c r="AB129">
        <v>29.37425</v>
      </c>
      <c r="AC129">
        <f t="shared" si="40"/>
        <v>-1.7315596218327137E-2</v>
      </c>
      <c r="AD129">
        <f t="shared" si="41"/>
        <v>4.5523931229277399E-2</v>
      </c>
      <c r="AE129">
        <f t="shared" si="42"/>
        <v>6.2839527447604543E-2</v>
      </c>
      <c r="AF129">
        <f t="shared" si="43"/>
        <v>0.40635780566407204</v>
      </c>
      <c r="AH129">
        <f t="shared" si="44"/>
        <v>-0.19271797741781041</v>
      </c>
      <c r="AI129">
        <f t="shared" si="45"/>
        <v>-0.12292077378487137</v>
      </c>
      <c r="AJ129">
        <f t="shared" si="46"/>
        <v>6.9797203632939037E-2</v>
      </c>
      <c r="AK129">
        <f t="shared" si="47"/>
        <v>0.29547545517292867</v>
      </c>
      <c r="AM129">
        <f t="shared" si="48"/>
        <v>-0.20212366400185461</v>
      </c>
      <c r="AN129">
        <f t="shared" si="49"/>
        <v>-0.48233609823616735</v>
      </c>
      <c r="AO129">
        <f t="shared" si="50"/>
        <v>-0.28021243423431275</v>
      </c>
      <c r="AP129">
        <f t="shared" si="51"/>
        <v>-0.34314315001103218</v>
      </c>
      <c r="AR129">
        <f t="shared" si="52"/>
        <v>-0.31789656152557982</v>
      </c>
      <c r="AS129">
        <f t="shared" si="53"/>
        <v>-0.2844427062392455</v>
      </c>
      <c r="AT129">
        <f t="shared" si="54"/>
        <v>3.3453855286334322E-2</v>
      </c>
      <c r="AU129">
        <f t="shared" si="55"/>
        <v>0.29857129587439052</v>
      </c>
    </row>
    <row r="130" spans="1:47" x14ac:dyDescent="0.25">
      <c r="A130" s="4">
        <f>DATE(2024,1,31)</f>
        <v>45322</v>
      </c>
      <c r="B130">
        <v>6.9300650877086589E-2</v>
      </c>
      <c r="C130">
        <v>41.026211772348233</v>
      </c>
      <c r="D130">
        <v>0.36642200843515926</v>
      </c>
      <c r="E130">
        <f t="shared" si="28"/>
        <v>0.35764042788021649</v>
      </c>
      <c r="F130">
        <f t="shared" si="29"/>
        <v>-7.665725034599126E-2</v>
      </c>
      <c r="G130">
        <f t="shared" si="30"/>
        <v>0.15443930398290634</v>
      </c>
      <c r="H130" s="2" t="str">
        <f t="shared" si="31"/>
        <v>Lower</v>
      </c>
      <c r="I130" s="2" t="str">
        <f t="shared" si="32"/>
        <v>Lower</v>
      </c>
      <c r="J130" s="2" t="str">
        <f t="shared" si="33"/>
        <v>Lower</v>
      </c>
      <c r="K130" s="2" t="str">
        <f t="shared" si="34"/>
        <v>Lower</v>
      </c>
      <c r="L130" s="2" t="str">
        <f t="shared" si="35"/>
        <v>Lower</v>
      </c>
      <c r="M130" s="2" t="str">
        <f t="shared" si="36"/>
        <v>Lower</v>
      </c>
      <c r="N130" s="2" t="str">
        <f t="shared" si="37"/>
        <v>Lower</v>
      </c>
      <c r="O130" s="2" t="str">
        <f t="shared" si="38"/>
        <v>Lower</v>
      </c>
      <c r="P130" s="2" t="str">
        <f t="shared" si="39"/>
        <v>Lower</v>
      </c>
      <c r="R130" s="4">
        <f>DATE(2024,1,31)</f>
        <v>45322</v>
      </c>
      <c r="S130">
        <v>0.58917794313074912</v>
      </c>
      <c r="T130">
        <v>0.80724320107412051</v>
      </c>
      <c r="U130">
        <v>0.66531155434647848</v>
      </c>
      <c r="V130">
        <v>2.6329923429199591E-2</v>
      </c>
      <c r="X130" s="4">
        <f>DATE(2024,1,31)</f>
        <v>45322</v>
      </c>
      <c r="Y130">
        <v>15.146320804440322</v>
      </c>
      <c r="Z130">
        <v>27.01594529838431</v>
      </c>
      <c r="AA130">
        <v>64.102499999999992</v>
      </c>
      <c r="AB130">
        <v>30.175000000000001</v>
      </c>
      <c r="AC130">
        <f t="shared" si="40"/>
        <v>-1.7206139096100869E-2</v>
      </c>
      <c r="AD130">
        <f t="shared" si="41"/>
        <v>5.3318629216357216E-2</v>
      </c>
      <c r="AE130">
        <f t="shared" si="42"/>
        <v>7.0524768312458089E-2</v>
      </c>
      <c r="AF130">
        <f t="shared" si="43"/>
        <v>0.45375605329526608</v>
      </c>
      <c r="AH130">
        <f t="shared" si="44"/>
        <v>-0.18497653188491339</v>
      </c>
      <c r="AI130">
        <f t="shared" si="45"/>
        <v>-6.8672466669299367E-2</v>
      </c>
      <c r="AJ130">
        <f t="shared" si="46"/>
        <v>0.11630406521561402</v>
      </c>
      <c r="AK130">
        <f t="shared" si="47"/>
        <v>0.44160152566844812</v>
      </c>
      <c r="AM130">
        <f t="shared" si="48"/>
        <v>-0.16589841598028471</v>
      </c>
      <c r="AN130">
        <f t="shared" si="49"/>
        <v>-0.41488757497934703</v>
      </c>
      <c r="AO130">
        <f t="shared" si="50"/>
        <v>-0.24898915899906232</v>
      </c>
      <c r="AP130">
        <f t="shared" si="51"/>
        <v>-0.28616958944209586</v>
      </c>
      <c r="AR130">
        <f t="shared" si="52"/>
        <v>-0.29220558047887407</v>
      </c>
      <c r="AS130">
        <f t="shared" si="53"/>
        <v>-0.24496827302652299</v>
      </c>
      <c r="AT130">
        <f t="shared" si="54"/>
        <v>4.7237307452351079E-2</v>
      </c>
      <c r="AU130">
        <f t="shared" si="55"/>
        <v>0.31120628075586998</v>
      </c>
    </row>
    <row r="131" spans="1:47" x14ac:dyDescent="0.25">
      <c r="A131" s="4">
        <f>DATE(2024,1,30)</f>
        <v>45321</v>
      </c>
      <c r="B131">
        <v>-0.10466526467209114</v>
      </c>
      <c r="C131">
        <v>39.137462396275183</v>
      </c>
      <c r="D131">
        <v>0.31514891495371083</v>
      </c>
      <c r="E131">
        <f t="shared" si="28"/>
        <v>1.0111012007801489E-2</v>
      </c>
      <c r="F131">
        <f t="shared" si="29"/>
        <v>-0.2820455976421013</v>
      </c>
      <c r="G131">
        <f t="shared" si="30"/>
        <v>-3.045736288774701E-2</v>
      </c>
      <c r="H131" s="2" t="str">
        <f t="shared" si="31"/>
        <v>Lower</v>
      </c>
      <c r="I131" s="2" t="str">
        <f t="shared" si="32"/>
        <v>Lower</v>
      </c>
      <c r="J131" s="2" t="str">
        <f t="shared" si="33"/>
        <v>Lower</v>
      </c>
      <c r="K131" s="2" t="str">
        <f t="shared" si="34"/>
        <v>Lower</v>
      </c>
      <c r="L131" s="2" t="str">
        <f t="shared" si="35"/>
        <v>Lower</v>
      </c>
      <c r="M131" s="2" t="str">
        <f t="shared" si="36"/>
        <v>Lower</v>
      </c>
      <c r="N131" s="2" t="str">
        <f t="shared" si="37"/>
        <v>Lower</v>
      </c>
      <c r="O131" s="2" t="str">
        <f t="shared" si="38"/>
        <v>Lower</v>
      </c>
      <c r="P131" s="2" t="str">
        <f t="shared" si="39"/>
        <v>Lower</v>
      </c>
      <c r="R131" s="4">
        <f>DATE(2024,1,30)</f>
        <v>45321</v>
      </c>
      <c r="S131">
        <v>0.45394534916346957</v>
      </c>
      <c r="T131">
        <v>0.75579183492360813</v>
      </c>
      <c r="U131">
        <v>0.66776210893249255</v>
      </c>
      <c r="V131">
        <v>2.3441260534981002E-2</v>
      </c>
      <c r="X131" s="4">
        <f>DATE(2024,1,30)</f>
        <v>45321</v>
      </c>
      <c r="Y131">
        <v>12.949388979316373</v>
      </c>
      <c r="Z131">
        <v>22.045704296454844</v>
      </c>
      <c r="AA131">
        <v>63.067499999999995</v>
      </c>
      <c r="AB131">
        <v>29.05575</v>
      </c>
      <c r="AC131">
        <f t="shared" si="40"/>
        <v>3.0569529731224068E-3</v>
      </c>
      <c r="AD131">
        <f t="shared" si="41"/>
        <v>6.4539094747663645E-2</v>
      </c>
      <c r="AE131">
        <f t="shared" si="42"/>
        <v>6.1482141774541241E-2</v>
      </c>
      <c r="AF131">
        <f t="shared" si="43"/>
        <v>0.39968645537236613</v>
      </c>
      <c r="AH131">
        <f t="shared" si="44"/>
        <v>-0.19882031593112348</v>
      </c>
      <c r="AI131">
        <f t="shared" si="45"/>
        <v>-6.9670075457588271E-2</v>
      </c>
      <c r="AJ131">
        <f t="shared" si="46"/>
        <v>0.12915024047353521</v>
      </c>
      <c r="AK131">
        <f t="shared" si="47"/>
        <v>0.48169903205531034</v>
      </c>
      <c r="AM131">
        <f t="shared" si="48"/>
        <v>-0.17943026272951904</v>
      </c>
      <c r="AN131">
        <f t="shared" si="49"/>
        <v>-0.46034305489992816</v>
      </c>
      <c r="AO131">
        <f t="shared" si="50"/>
        <v>-0.2809127921704091</v>
      </c>
      <c r="AP131">
        <f t="shared" si="51"/>
        <v>-0.34441641624864283</v>
      </c>
      <c r="AR131">
        <f t="shared" si="52"/>
        <v>-0.3258033129779716</v>
      </c>
      <c r="AS131">
        <f t="shared" si="53"/>
        <v>-0.31547931616062752</v>
      </c>
      <c r="AT131">
        <f t="shared" si="54"/>
        <v>1.0323996817344083E-2</v>
      </c>
      <c r="AU131">
        <f t="shared" si="55"/>
        <v>0.27089352156061247</v>
      </c>
    </row>
    <row r="132" spans="1:47" x14ac:dyDescent="0.25">
      <c r="A132" s="4">
        <f>DATE(2024,1,29)</f>
        <v>45320</v>
      </c>
      <c r="B132">
        <v>-0.2637624895823194</v>
      </c>
      <c r="C132">
        <v>33.906169757578077</v>
      </c>
      <c r="D132">
        <v>0.21222898896581588</v>
      </c>
      <c r="E132">
        <f t="shared" si="28"/>
        <v>-0.31276937409317168</v>
      </c>
      <c r="F132">
        <f t="shared" si="29"/>
        <v>-0.86566104671147126</v>
      </c>
      <c r="G132">
        <f t="shared" si="30"/>
        <v>-0.4148263265519942</v>
      </c>
      <c r="H132" s="2" t="str">
        <f t="shared" si="31"/>
        <v>Lower</v>
      </c>
      <c r="I132" s="2" t="str">
        <f t="shared" si="32"/>
        <v>Lower</v>
      </c>
      <c r="J132" s="2" t="str">
        <f t="shared" si="33"/>
        <v>Lower</v>
      </c>
      <c r="K132" s="2" t="str">
        <f t="shared" si="34"/>
        <v>Lower</v>
      </c>
      <c r="L132" s="2" t="str">
        <f t="shared" si="35"/>
        <v>Lower</v>
      </c>
      <c r="M132" s="2" t="str">
        <f t="shared" si="36"/>
        <v>Lower</v>
      </c>
      <c r="N132" s="2" t="str">
        <f t="shared" si="37"/>
        <v>Lower</v>
      </c>
      <c r="O132" s="2" t="str">
        <f t="shared" si="38"/>
        <v>Lower</v>
      </c>
      <c r="P132" s="2" t="str">
        <f t="shared" si="39"/>
        <v>Lower</v>
      </c>
      <c r="R132" s="4">
        <f>DATE(2024,1,29)</f>
        <v>45320</v>
      </c>
      <c r="S132">
        <v>0.62472015378200496</v>
      </c>
      <c r="T132">
        <v>0.7057773253627635</v>
      </c>
      <c r="U132">
        <v>0.66855649925093186</v>
      </c>
      <c r="V132">
        <v>2.0172000150452191E-2</v>
      </c>
      <c r="X132" s="4">
        <f>DATE(2024,1,29)</f>
        <v>45320</v>
      </c>
      <c r="Y132">
        <v>13.947600048400524</v>
      </c>
      <c r="Z132">
        <v>21.431276248238856</v>
      </c>
      <c r="AA132">
        <v>62.314999999999998</v>
      </c>
      <c r="AB132">
        <v>28.363250000000001</v>
      </c>
      <c r="AC132">
        <f t="shared" si="40"/>
        <v>4.7049448408910104E-3</v>
      </c>
      <c r="AD132">
        <f t="shared" si="41"/>
        <v>3.9279593893884183E-2</v>
      </c>
      <c r="AE132">
        <f t="shared" si="42"/>
        <v>3.4574649052993171E-2</v>
      </c>
      <c r="AF132">
        <f t="shared" si="43"/>
        <v>0.23970184800979061</v>
      </c>
      <c r="AH132" t="str">
        <f t="shared" si="44"/>
        <v/>
      </c>
      <c r="AI132" t="str">
        <f t="shared" si="45"/>
        <v/>
      </c>
      <c r="AJ132" t="str">
        <f t="shared" si="46"/>
        <v/>
      </c>
      <c r="AK132" t="str">
        <f t="shared" si="47"/>
        <v/>
      </c>
      <c r="AM132">
        <f t="shared" si="48"/>
        <v>-0.20102805320657816</v>
      </c>
      <c r="AN132">
        <f t="shared" si="49"/>
        <v>-0.4690898380457032</v>
      </c>
      <c r="AO132">
        <f t="shared" si="50"/>
        <v>-0.26806178483912502</v>
      </c>
      <c r="AP132">
        <f t="shared" si="51"/>
        <v>-0.32136085403521375</v>
      </c>
      <c r="AR132">
        <f t="shared" si="52"/>
        <v>-0.35209897622876302</v>
      </c>
      <c r="AS132">
        <f t="shared" si="53"/>
        <v>-0.34190840097761349</v>
      </c>
      <c r="AT132">
        <f t="shared" si="54"/>
        <v>1.0190575251149525E-2</v>
      </c>
      <c r="AU132">
        <f t="shared" si="55"/>
        <v>0.26894734941786907</v>
      </c>
    </row>
    <row r="133" spans="1:47" x14ac:dyDescent="0.25">
      <c r="A133" s="4">
        <f>DATE(2024,1,26)</f>
        <v>45317</v>
      </c>
      <c r="B133">
        <v>-0.27624854908042762</v>
      </c>
      <c r="C133">
        <v>36.97684644228103</v>
      </c>
      <c r="D133">
        <v>0.27473359059537544</v>
      </c>
      <c r="E133">
        <f t="shared" ref="E133:E196" si="56">(B133-AVERAGE(B133:B262))/_xlfn.STDEV.S(B133:B262)</f>
        <v>-0.34232717795472545</v>
      </c>
      <c r="F133">
        <f t="shared" ref="F133:F196" si="57">(C133-AVERAGE(C133:C262))/_xlfn.STDEV.S(C133:C262)</f>
        <v>-0.53298668707347407</v>
      </c>
      <c r="G133">
        <f t="shared" ref="G133:G196" si="58">(D133-AVERAGE(D133:D262))/_xlfn.STDEV.S(D133:D262)</f>
        <v>-0.18311338687072548</v>
      </c>
      <c r="H133" s="2" t="str">
        <f t="shared" ref="H133:H196" si="59">IF(AVERAGEA(C133:C153)&gt;AVERAGE(C154:C174),"Higher","Lower")</f>
        <v>Lower</v>
      </c>
      <c r="I133" s="2" t="str">
        <f t="shared" ref="I133:I196" si="60">IF(AVERAGEA(C133:C188)&gt;AVERAGE(C189:C244),"Higher","Lower")</f>
        <v>Lower</v>
      </c>
      <c r="J133" s="2" t="str">
        <f t="shared" ref="J133:J196" si="61">IF(AVERAGEA(C133:C245)&gt;AVERAGE(C246:C358),"Higher","Lower")</f>
        <v>Lower</v>
      </c>
      <c r="K133" s="2" t="str">
        <f t="shared" ref="K133:K196" si="62">IF(AVERAGEA(B133:B153)&gt;AVERAGE(B154:B174),"Higher","Lower")</f>
        <v>Lower</v>
      </c>
      <c r="L133" s="2" t="str">
        <f t="shared" ref="L133:L196" si="63">IF(AVERAGEA(B133:B188)&gt;AVERAGE(B189:B244),"Higher","Lower")</f>
        <v>Lower</v>
      </c>
      <c r="M133" s="2" t="str">
        <f t="shared" ref="M133:M196" si="64">IF(AVERAGEA(B133:B245)&gt;AVERAGE(B246:B358),"Higher","Lower")</f>
        <v>Lower</v>
      </c>
      <c r="N133" s="2" t="str">
        <f t="shared" ref="N133:N196" si="65">IF(AVERAGEA(D133:D153)&gt;AVERAGE(D154:D174),"Higher","Lower")</f>
        <v>Lower</v>
      </c>
      <c r="O133" s="2" t="str">
        <f t="shared" ref="O133:O196" si="66">IF(AVERAGEA(D133:D188)&gt;AVERAGE(D189:D244),"Higher","Lower")</f>
        <v>Lower</v>
      </c>
      <c r="P133" s="2" t="str">
        <f t="shared" ref="P133:P196" si="67">IF(AVERAGEA(D133:D245)&gt;AVERAGE(D246:D358),"Higher","Lower")</f>
        <v>Lower</v>
      </c>
      <c r="R133" s="4">
        <f>DATE(2024,1,26)</f>
        <v>45317</v>
      </c>
      <c r="S133">
        <v>0.94188650570501509</v>
      </c>
      <c r="T133">
        <v>0.65858029275878305</v>
      </c>
      <c r="U133">
        <v>0.6647966063045101</v>
      </c>
      <c r="V133">
        <v>1.5106126939415335E-2</v>
      </c>
      <c r="X133" s="4">
        <f>DATE(2024,1,26)</f>
        <v>45317</v>
      </c>
      <c r="Y133">
        <v>14.928053417693937</v>
      </c>
      <c r="Z133">
        <v>18.650325565228709</v>
      </c>
      <c r="AA133">
        <v>63.577500000000001</v>
      </c>
      <c r="AB133">
        <v>27.76925</v>
      </c>
      <c r="AC133">
        <f t="shared" ref="AC133:AC196" si="68">IFERROR(LN(AA133/AA138),"")</f>
        <v>-1.0611331538645579E-3</v>
      </c>
      <c r="AD133">
        <f t="shared" ref="AD133:AD196" si="69">IFERROR(LN(AB133/AB138),"")</f>
        <v>-2.7403597218323417E-2</v>
      </c>
      <c r="AE133">
        <f t="shared" ref="AE133:AE196" si="70">IFERROR(AD133-AC133,"")</f>
        <v>-2.6342464064458858E-2</v>
      </c>
      <c r="AF133">
        <f t="shared" ref="AF133:AF196" si="71">IFERROR((AE133-AVERAGEA(AE133:AE655))/_xlfn.STDEV.S(AE133:AE650),"")</f>
        <v>-0.1197496683515951</v>
      </c>
      <c r="AH133">
        <f t="shared" ref="AH133:AH196" si="72">IFERROR(LN(AA133/AA153),"")</f>
        <v>-0.23298058141859557</v>
      </c>
      <c r="AI133">
        <f t="shared" ref="AI133:AI196" si="73">IFERROR(LN(AB133/AB153),"")</f>
        <v>-0.16038299498078196</v>
      </c>
      <c r="AJ133">
        <f t="shared" ref="AJ133:AJ196" si="74">IFERROR(AI133-AH133,"")</f>
        <v>7.259758643781361E-2</v>
      </c>
      <c r="AK133">
        <f t="shared" ref="AK133:AK196" si="75">IFERROR((AJ133-AVERAGEA(AJ133:AJ655))/_xlfn.STDEV.S(AJ133:AJ650),"")</f>
        <v>0.30688367338090344</v>
      </c>
      <c r="AM133">
        <f t="shared" ref="AM133:AM196" si="76">IFERROR(LN(AA133/AA193),"")</f>
        <v>-0.20486577240627471</v>
      </c>
      <c r="AN133">
        <f t="shared" ref="AN133:AN196" si="77">IFERROR(LN(AB133/AB193),"")</f>
        <v>-0.55476441038740465</v>
      </c>
      <c r="AO133">
        <f t="shared" ref="AO133:AO196" si="78">IFERROR(AN133-AM133,"")</f>
        <v>-0.34989863798112997</v>
      </c>
      <c r="AP133">
        <f t="shared" ref="AP133:AP196" si="79">IFERROR((AO133-AVERAGEA(AO133:AO655))/_xlfn.STDEV.S(AO133:AO650),"")</f>
        <v>-0.47033428663225102</v>
      </c>
      <c r="AR133">
        <f t="shared" ref="AR133:AR196" si="80">IFERROR(LN(AA133/AA333),"")</f>
        <v>-0.35068400902344793</v>
      </c>
      <c r="AS133">
        <f t="shared" ref="AS133:AS196" si="81">IFERROR(LN(AB133/AB333),"")</f>
        <v>-0.37383556831002829</v>
      </c>
      <c r="AT133">
        <f t="shared" ref="AT133:AT196" si="82">IFERROR(AS133-AR133,"")</f>
        <v>-2.3151559286580359E-2</v>
      </c>
      <c r="AU133">
        <f t="shared" ref="AU133:AU196" si="83">IFERROR((AT133-AVERAGEA(AT133:AT655))/_xlfn.STDEV.S(AT133:AT650),"")</f>
        <v>0.23247900169559219</v>
      </c>
    </row>
    <row r="134" spans="1:47" x14ac:dyDescent="0.25">
      <c r="A134" s="4">
        <f>DATE(2024,1,25)</f>
        <v>45316</v>
      </c>
      <c r="B134">
        <v>-0.41415457680064005</v>
      </c>
      <c r="C134">
        <v>35.868159372366407</v>
      </c>
      <c r="D134">
        <v>0.23981487109212052</v>
      </c>
      <c r="E134">
        <f t="shared" si="56"/>
        <v>-0.63261434123781612</v>
      </c>
      <c r="F134">
        <f t="shared" si="57"/>
        <v>-0.6670674135941157</v>
      </c>
      <c r="G134">
        <f t="shared" si="58"/>
        <v>-0.32254618650732103</v>
      </c>
      <c r="H134" s="2" t="str">
        <f t="shared" si="59"/>
        <v>Higher</v>
      </c>
      <c r="I134" s="2" t="str">
        <f t="shared" si="60"/>
        <v>Lower</v>
      </c>
      <c r="J134" s="2" t="str">
        <f t="shared" si="61"/>
        <v>Lower</v>
      </c>
      <c r="K134" s="2" t="str">
        <f t="shared" si="62"/>
        <v>Lower</v>
      </c>
      <c r="L134" s="2" t="str">
        <f t="shared" si="63"/>
        <v>Lower</v>
      </c>
      <c r="M134" s="2" t="str">
        <f t="shared" si="64"/>
        <v>Lower</v>
      </c>
      <c r="N134" s="2" t="str">
        <f t="shared" si="65"/>
        <v>Higher</v>
      </c>
      <c r="O134" s="2" t="str">
        <f t="shared" si="66"/>
        <v>Lower</v>
      </c>
      <c r="P134" s="2" t="str">
        <f t="shared" si="67"/>
        <v>Lower</v>
      </c>
      <c r="R134" s="4">
        <f>DATE(2024,1,25)</f>
        <v>45316</v>
      </c>
      <c r="S134">
        <v>0.8973836390969403</v>
      </c>
      <c r="T134">
        <v>0.58301121097432207</v>
      </c>
      <c r="U134">
        <v>0.66234094672252497</v>
      </c>
      <c r="V134">
        <v>9.3995170124422447E-3</v>
      </c>
      <c r="X134" s="4">
        <f>DATE(2024,1,25)</f>
        <v>45316</v>
      </c>
      <c r="Y134">
        <v>16.231760861125615</v>
      </c>
      <c r="Z134">
        <v>19.565058271218103</v>
      </c>
      <c r="AA134">
        <v>63.932500000000005</v>
      </c>
      <c r="AB134">
        <v>28.067</v>
      </c>
      <c r="AC134">
        <f t="shared" si="68"/>
        <v>1.227540299066149E-2</v>
      </c>
      <c r="AD134">
        <f t="shared" si="69"/>
        <v>2.0239943782294611E-3</v>
      </c>
      <c r="AE134">
        <f t="shared" si="70"/>
        <v>-1.0251408612432029E-2</v>
      </c>
      <c r="AF134">
        <f t="shared" si="71"/>
        <v>-2.6687062923280991E-2</v>
      </c>
      <c r="AH134">
        <f t="shared" si="72"/>
        <v>-0.22351105895194862</v>
      </c>
      <c r="AI134">
        <f t="shared" si="73"/>
        <v>-0.17193838801326933</v>
      </c>
      <c r="AJ134">
        <f t="shared" si="74"/>
        <v>5.1572670938679288E-2</v>
      </c>
      <c r="AK134">
        <f t="shared" si="75"/>
        <v>0.24273092221581766</v>
      </c>
      <c r="AM134">
        <f t="shared" si="76"/>
        <v>-0.20099413774385258</v>
      </c>
      <c r="AN134">
        <f t="shared" si="77"/>
        <v>-0.54023532642517003</v>
      </c>
      <c r="AO134">
        <f t="shared" si="78"/>
        <v>-0.33924118868131747</v>
      </c>
      <c r="AP134">
        <f t="shared" si="79"/>
        <v>-0.45198868292621658</v>
      </c>
      <c r="AR134">
        <f t="shared" si="80"/>
        <v>-0.36859671413005923</v>
      </c>
      <c r="AS134">
        <f t="shared" si="81"/>
        <v>-0.37009677663581669</v>
      </c>
      <c r="AT134">
        <f t="shared" si="82"/>
        <v>-1.5000625057574601E-3</v>
      </c>
      <c r="AU134">
        <f t="shared" si="83"/>
        <v>0.25305754528231045</v>
      </c>
    </row>
    <row r="135" spans="1:47" x14ac:dyDescent="0.25">
      <c r="A135" s="4">
        <f>DATE(2024,1,24)</f>
        <v>45315</v>
      </c>
      <c r="B135">
        <v>-0.52069028913912874</v>
      </c>
      <c r="C135">
        <v>40.539094962358924</v>
      </c>
      <c r="D135">
        <v>0.31913044295953502</v>
      </c>
      <c r="E135">
        <f t="shared" si="56"/>
        <v>-0.86163785781128432</v>
      </c>
      <c r="F135">
        <f t="shared" si="57"/>
        <v>-0.16457453311285272</v>
      </c>
      <c r="G135">
        <f t="shared" si="58"/>
        <v>-4.1243443962111423E-2</v>
      </c>
      <c r="H135" s="2" t="str">
        <f t="shared" si="59"/>
        <v>Higher</v>
      </c>
      <c r="I135" s="2" t="str">
        <f t="shared" si="60"/>
        <v>Lower</v>
      </c>
      <c r="J135" s="2" t="str">
        <f t="shared" si="61"/>
        <v>Lower</v>
      </c>
      <c r="K135" s="2" t="str">
        <f t="shared" si="62"/>
        <v>Lower</v>
      </c>
      <c r="L135" s="2" t="str">
        <f t="shared" si="63"/>
        <v>Lower</v>
      </c>
      <c r="M135" s="2" t="str">
        <f t="shared" si="64"/>
        <v>Lower</v>
      </c>
      <c r="N135" s="2" t="str">
        <f t="shared" si="65"/>
        <v>Higher</v>
      </c>
      <c r="O135" s="2" t="str">
        <f t="shared" si="66"/>
        <v>Lower</v>
      </c>
      <c r="P135" s="2" t="str">
        <f t="shared" si="67"/>
        <v>Lower</v>
      </c>
      <c r="R135" s="4">
        <f>DATE(2024,1,24)</f>
        <v>45315</v>
      </c>
      <c r="S135">
        <v>0.88584120230137908</v>
      </c>
      <c r="T135">
        <v>0.48026460350512762</v>
      </c>
      <c r="U135">
        <v>0.65832519202388728</v>
      </c>
      <c r="V135">
        <v>4.2514447467798281E-3</v>
      </c>
      <c r="X135" s="4">
        <f>DATE(2024,1,24)</f>
        <v>45315</v>
      </c>
      <c r="Y135">
        <v>16.957753513004263</v>
      </c>
      <c r="Z135">
        <v>20.560056262914927</v>
      </c>
      <c r="AA135">
        <v>65.215000000000003</v>
      </c>
      <c r="AB135">
        <v>28.608249999999998</v>
      </c>
      <c r="AC135">
        <f t="shared" si="68"/>
        <v>2.1622882972148979E-2</v>
      </c>
      <c r="AD135">
        <f t="shared" si="69"/>
        <v>1.7427464857663916E-2</v>
      </c>
      <c r="AE135">
        <f t="shared" si="70"/>
        <v>-4.1954181144850632E-3</v>
      </c>
      <c r="AF135">
        <f t="shared" si="71"/>
        <v>8.7252161864134568E-3</v>
      </c>
      <c r="AH135">
        <f t="shared" si="72"/>
        <v>-0.20430588036334377</v>
      </c>
      <c r="AI135">
        <f t="shared" si="73"/>
        <v>-0.22565540275477394</v>
      </c>
      <c r="AJ135">
        <f t="shared" si="74"/>
        <v>-2.1349522391430176E-2</v>
      </c>
      <c r="AK135">
        <f t="shared" si="75"/>
        <v>1.5971638380309766E-2</v>
      </c>
      <c r="AM135">
        <f t="shared" si="76"/>
        <v>-0.19065013987149748</v>
      </c>
      <c r="AN135">
        <f t="shared" si="77"/>
        <v>-0.51180737583542557</v>
      </c>
      <c r="AO135">
        <f t="shared" si="78"/>
        <v>-0.32115723596392809</v>
      </c>
      <c r="AP135">
        <f t="shared" si="79"/>
        <v>-0.42018550484798456</v>
      </c>
      <c r="AR135">
        <f t="shared" si="80"/>
        <v>-0.3750024755206402</v>
      </c>
      <c r="AS135">
        <f t="shared" si="81"/>
        <v>-0.35269264708950498</v>
      </c>
      <c r="AT135">
        <f t="shared" si="82"/>
        <v>2.2309828431135215E-2</v>
      </c>
      <c r="AU135">
        <f t="shared" si="83"/>
        <v>0.2757854661190477</v>
      </c>
    </row>
    <row r="136" spans="1:47" x14ac:dyDescent="0.25">
      <c r="A136" s="4">
        <f>DATE(2024,1,23)</f>
        <v>45314</v>
      </c>
      <c r="B136">
        <v>-0.87318812675631108</v>
      </c>
      <c r="C136">
        <v>31.784467739114728</v>
      </c>
      <c r="D136">
        <v>0.19168356330988989</v>
      </c>
      <c r="E136">
        <f t="shared" si="56"/>
        <v>-1.5916518598674174</v>
      </c>
      <c r="F136">
        <f t="shared" si="57"/>
        <v>-1.1283470183515609</v>
      </c>
      <c r="G136">
        <f t="shared" si="58"/>
        <v>-0.52200665042933936</v>
      </c>
      <c r="H136" s="2" t="str">
        <f t="shared" si="59"/>
        <v>Higher</v>
      </c>
      <c r="I136" s="2" t="str">
        <f t="shared" si="60"/>
        <v>Lower</v>
      </c>
      <c r="J136" s="2" t="str">
        <f t="shared" si="61"/>
        <v>Lower</v>
      </c>
      <c r="K136" s="2" t="str">
        <f t="shared" si="62"/>
        <v>Lower</v>
      </c>
      <c r="L136" s="2" t="str">
        <f t="shared" si="63"/>
        <v>Lower</v>
      </c>
      <c r="M136" s="2" t="str">
        <f t="shared" si="64"/>
        <v>Higher</v>
      </c>
      <c r="N136" s="2" t="str">
        <f t="shared" si="65"/>
        <v>Higher</v>
      </c>
      <c r="O136" s="2" t="str">
        <f t="shared" si="66"/>
        <v>Lower</v>
      </c>
      <c r="P136" s="2" t="str">
        <f t="shared" si="67"/>
        <v>Lower</v>
      </c>
      <c r="R136" s="4">
        <f>DATE(2024,1,23)</f>
        <v>45314</v>
      </c>
      <c r="S136">
        <v>0.75264569197803288</v>
      </c>
      <c r="T136">
        <v>0.40106760593156054</v>
      </c>
      <c r="U136">
        <v>0.65784178926161008</v>
      </c>
      <c r="V136">
        <v>3.6765534772916788E-3</v>
      </c>
      <c r="X136" s="4">
        <f>DATE(2024,1,23)</f>
        <v>45314</v>
      </c>
      <c r="Y136">
        <v>11.832797861044622</v>
      </c>
      <c r="Z136">
        <v>16.804929763738812</v>
      </c>
      <c r="AA136">
        <v>62.875</v>
      </c>
      <c r="AB136">
        <v>27.239750000000001</v>
      </c>
      <c r="AC136">
        <f t="shared" si="68"/>
        <v>-4.6989813088558381E-2</v>
      </c>
      <c r="AD136">
        <f t="shared" si="69"/>
        <v>-9.7910777298946192E-2</v>
      </c>
      <c r="AE136">
        <f t="shared" si="70"/>
        <v>-5.092096421038781E-2</v>
      </c>
      <c r="AF136">
        <f t="shared" si="71"/>
        <v>-0.26366966507104289</v>
      </c>
      <c r="AH136" t="str">
        <f t="shared" si="72"/>
        <v/>
      </c>
      <c r="AI136">
        <f t="shared" si="73"/>
        <v>-0.22678781746676763</v>
      </c>
      <c r="AJ136" t="str">
        <f t="shared" si="74"/>
        <v/>
      </c>
      <c r="AK136" t="str">
        <f t="shared" si="75"/>
        <v/>
      </c>
      <c r="AM136">
        <f t="shared" si="76"/>
        <v>-0.22750777169080655</v>
      </c>
      <c r="AN136">
        <f t="shared" si="77"/>
        <v>-0.58521256103436503</v>
      </c>
      <c r="AO136">
        <f t="shared" si="78"/>
        <v>-0.35770478934355848</v>
      </c>
      <c r="AP136">
        <f t="shared" si="79"/>
        <v>-0.48713556830755078</v>
      </c>
      <c r="AR136">
        <f t="shared" si="80"/>
        <v>-0.40890517500952173</v>
      </c>
      <c r="AS136">
        <f t="shared" si="81"/>
        <v>-0.4444678844490787</v>
      </c>
      <c r="AT136">
        <f t="shared" si="82"/>
        <v>-3.5562709439556972E-2</v>
      </c>
      <c r="AU136">
        <f t="shared" si="83"/>
        <v>0.21410122800224038</v>
      </c>
    </row>
    <row r="137" spans="1:47" x14ac:dyDescent="0.25">
      <c r="A137" s="4">
        <f>DATE(2024,1,22)</f>
        <v>45313</v>
      </c>
      <c r="B137">
        <v>-1.0427365813830241</v>
      </c>
      <c r="C137">
        <v>28.205548063732035</v>
      </c>
      <c r="D137">
        <v>0.11764826693289794</v>
      </c>
      <c r="E137">
        <f t="shared" si="56"/>
        <v>-1.9647394988906934</v>
      </c>
      <c r="F137">
        <f t="shared" si="57"/>
        <v>-1.5175031759101396</v>
      </c>
      <c r="G137">
        <f t="shared" si="58"/>
        <v>-0.79806834942785643</v>
      </c>
      <c r="H137" s="2" t="str">
        <f t="shared" si="59"/>
        <v>Higher</v>
      </c>
      <c r="I137" s="2" t="str">
        <f t="shared" si="60"/>
        <v>Lower</v>
      </c>
      <c r="J137" s="2" t="str">
        <f t="shared" si="61"/>
        <v>Lower</v>
      </c>
      <c r="K137" s="2" t="str">
        <f t="shared" si="62"/>
        <v>Higher</v>
      </c>
      <c r="L137" s="2" t="str">
        <f t="shared" si="63"/>
        <v>Lower</v>
      </c>
      <c r="M137" s="2" t="str">
        <f t="shared" si="64"/>
        <v>Higher</v>
      </c>
      <c r="N137" s="2" t="str">
        <f t="shared" si="65"/>
        <v>Higher</v>
      </c>
      <c r="O137" s="2" t="str">
        <f t="shared" si="66"/>
        <v>Lower</v>
      </c>
      <c r="P137" s="2" t="str">
        <f t="shared" si="67"/>
        <v>Lower</v>
      </c>
      <c r="R137" s="4">
        <f>DATE(2024,1,22)</f>
        <v>45313</v>
      </c>
      <c r="S137">
        <v>0.9874059332540025</v>
      </c>
      <c r="T137">
        <v>0.29780018860835006</v>
      </c>
      <c r="U137">
        <v>0.64985498505598638</v>
      </c>
      <c r="V137">
        <v>4.0594775034795885E-3</v>
      </c>
      <c r="X137" s="4">
        <f>DATE(2024,1,22)</f>
        <v>45313</v>
      </c>
      <c r="Y137">
        <v>10.733164810367162</v>
      </c>
      <c r="Z137">
        <v>17.475459674917413</v>
      </c>
      <c r="AA137">
        <v>62.022499999999994</v>
      </c>
      <c r="AB137">
        <v>27.27075</v>
      </c>
      <c r="AC137">
        <f t="shared" si="68"/>
        <v>-7.2070345988486093E-2</v>
      </c>
      <c r="AD137" t="str">
        <f t="shared" si="69"/>
        <v/>
      </c>
      <c r="AE137" t="str">
        <f t="shared" si="70"/>
        <v/>
      </c>
      <c r="AF137" t="str">
        <f t="shared" si="71"/>
        <v/>
      </c>
      <c r="AH137" t="str">
        <f t="shared" si="72"/>
        <v/>
      </c>
      <c r="AI137" t="str">
        <f t="shared" si="73"/>
        <v/>
      </c>
      <c r="AJ137" t="str">
        <f t="shared" si="74"/>
        <v/>
      </c>
      <c r="AK137" t="str">
        <f t="shared" si="75"/>
        <v/>
      </c>
      <c r="AM137">
        <f t="shared" si="76"/>
        <v>-0.24485779253970141</v>
      </c>
      <c r="AN137">
        <f t="shared" si="77"/>
        <v>-0.63608744547623897</v>
      </c>
      <c r="AO137">
        <f t="shared" si="78"/>
        <v>-0.39122965293653755</v>
      </c>
      <c r="AP137">
        <f t="shared" si="79"/>
        <v>-0.54802988466106628</v>
      </c>
      <c r="AR137">
        <f t="shared" si="80"/>
        <v>-0.40773321534596046</v>
      </c>
      <c r="AS137">
        <f t="shared" si="81"/>
        <v>-0.41679566700193788</v>
      </c>
      <c r="AT137">
        <f t="shared" si="82"/>
        <v>-9.0624516559774104E-3</v>
      </c>
      <c r="AU137">
        <f t="shared" si="83"/>
        <v>0.23988715806318056</v>
      </c>
    </row>
    <row r="138" spans="1:47" x14ac:dyDescent="0.25">
      <c r="A138" s="4">
        <f>DATE(2024,1,19)</f>
        <v>45310</v>
      </c>
      <c r="B138">
        <v>-1.0885941642949661</v>
      </c>
      <c r="C138">
        <v>30.5803072146979</v>
      </c>
      <c r="D138">
        <v>0.13346620601121467</v>
      </c>
      <c r="E138">
        <f t="shared" si="56"/>
        <v>-2.103443632286961</v>
      </c>
      <c r="F138">
        <f t="shared" si="57"/>
        <v>-1.2824288295578756</v>
      </c>
      <c r="G138">
        <f t="shared" si="58"/>
        <v>-0.75225453646894647</v>
      </c>
      <c r="H138" s="2" t="str">
        <f t="shared" si="59"/>
        <v>Higher</v>
      </c>
      <c r="I138" s="2" t="str">
        <f t="shared" si="60"/>
        <v>Lower</v>
      </c>
      <c r="J138" s="2" t="str">
        <f t="shared" si="61"/>
        <v>Lower</v>
      </c>
      <c r="K138" s="2" t="str">
        <f t="shared" si="62"/>
        <v>Higher</v>
      </c>
      <c r="L138" s="2" t="str">
        <f t="shared" si="63"/>
        <v>Lower</v>
      </c>
      <c r="M138" s="2" t="str">
        <f t="shared" si="64"/>
        <v>Higher</v>
      </c>
      <c r="N138" s="2" t="str">
        <f t="shared" si="65"/>
        <v>Higher</v>
      </c>
      <c r="O138" s="2" t="str">
        <f t="shared" si="66"/>
        <v>Lower</v>
      </c>
      <c r="P138" s="2" t="str">
        <f t="shared" si="67"/>
        <v>Lower</v>
      </c>
      <c r="R138" s="4">
        <f>DATE(2024,1,19)</f>
        <v>45310</v>
      </c>
      <c r="S138">
        <v>0.90692240829109372</v>
      </c>
      <c r="T138">
        <v>0.18383738604448818</v>
      </c>
      <c r="U138">
        <v>0.64001572534393325</v>
      </c>
      <c r="V138">
        <v>-5.5915898639075602E-3</v>
      </c>
      <c r="X138" s="4">
        <f>DATE(2024,1,19)</f>
        <v>45310</v>
      </c>
      <c r="Y138">
        <v>11.579735871171856</v>
      </c>
      <c r="Z138">
        <v>18.567009194894712</v>
      </c>
      <c r="AA138">
        <v>63.644999999999996</v>
      </c>
      <c r="AB138">
        <v>28.540749999999999</v>
      </c>
      <c r="AC138">
        <f t="shared" si="68"/>
        <v>-4.3129017836856604E-2</v>
      </c>
      <c r="AD138">
        <f t="shared" si="69"/>
        <v>-0.10744133585597183</v>
      </c>
      <c r="AE138">
        <f t="shared" si="70"/>
        <v>-6.431231801911523E-2</v>
      </c>
      <c r="AF138">
        <f t="shared" si="71"/>
        <v>-0.34039200240971584</v>
      </c>
      <c r="AH138">
        <f t="shared" si="72"/>
        <v>-0.20961860911782995</v>
      </c>
      <c r="AI138">
        <f t="shared" si="73"/>
        <v>-0.17864607952866904</v>
      </c>
      <c r="AJ138">
        <f t="shared" si="74"/>
        <v>3.0972529589160913E-2</v>
      </c>
      <c r="AK138">
        <f t="shared" si="75"/>
        <v>0.189885170696866</v>
      </c>
      <c r="AM138">
        <f t="shared" si="76"/>
        <v>-0.22356768949536021</v>
      </c>
      <c r="AN138">
        <f t="shared" si="77"/>
        <v>-0.57315707827331908</v>
      </c>
      <c r="AO138">
        <f t="shared" si="78"/>
        <v>-0.34958938877795886</v>
      </c>
      <c r="AP138">
        <f t="shared" si="79"/>
        <v>-0.47215327838291393</v>
      </c>
      <c r="AR138">
        <f t="shared" si="80"/>
        <v>-0.38952178504750312</v>
      </c>
      <c r="AS138">
        <f t="shared" si="81"/>
        <v>-0.36969908652014166</v>
      </c>
      <c r="AT138">
        <f t="shared" si="82"/>
        <v>1.982269852736146E-2</v>
      </c>
      <c r="AU138">
        <f t="shared" si="83"/>
        <v>0.26802705158063633</v>
      </c>
    </row>
    <row r="139" spans="1:47" x14ac:dyDescent="0.25">
      <c r="A139" s="4">
        <f>DATE(2024,1,18)</f>
        <v>45309</v>
      </c>
      <c r="B139">
        <v>-1.2038269872902734</v>
      </c>
      <c r="C139">
        <v>28.353562834933676</v>
      </c>
      <c r="D139">
        <v>6.509053672897798E-2</v>
      </c>
      <c r="E139">
        <f t="shared" si="56"/>
        <v>-2.3971551348158977</v>
      </c>
      <c r="F139">
        <f t="shared" si="57"/>
        <v>-1.5259708144021795</v>
      </c>
      <c r="G139">
        <f t="shared" si="58"/>
        <v>-0.99306648374472406</v>
      </c>
      <c r="H139" s="2" t="str">
        <f t="shared" si="59"/>
        <v>Higher</v>
      </c>
      <c r="I139" s="2" t="str">
        <f t="shared" si="60"/>
        <v>Lower</v>
      </c>
      <c r="J139" s="2" t="str">
        <f t="shared" si="61"/>
        <v>Lower</v>
      </c>
      <c r="K139" s="2" t="str">
        <f t="shared" si="62"/>
        <v>Higher</v>
      </c>
      <c r="L139" s="2" t="str">
        <f t="shared" si="63"/>
        <v>Lower</v>
      </c>
      <c r="M139" s="2" t="str">
        <f t="shared" si="64"/>
        <v>Higher</v>
      </c>
      <c r="N139" s="2" t="str">
        <f t="shared" si="65"/>
        <v>Higher</v>
      </c>
      <c r="O139" s="2" t="str">
        <f t="shared" si="66"/>
        <v>Lower</v>
      </c>
      <c r="P139" s="2" t="str">
        <f t="shared" si="67"/>
        <v>Lower</v>
      </c>
      <c r="R139" s="4">
        <f>DATE(2024,1,18)</f>
        <v>45309</v>
      </c>
      <c r="S139">
        <v>0.81684469177214092</v>
      </c>
      <c r="T139">
        <v>9.2282451691097611E-2</v>
      </c>
      <c r="U139">
        <v>0.63409830477421891</v>
      </c>
      <c r="V139">
        <v>-1.6758847251825703E-2</v>
      </c>
      <c r="X139" s="4">
        <f>DATE(2024,1,18)</f>
        <v>45309</v>
      </c>
      <c r="Y139">
        <v>11.428222627784786</v>
      </c>
      <c r="Z139">
        <v>17.859954603554154</v>
      </c>
      <c r="AA139">
        <v>63.152500000000003</v>
      </c>
      <c r="AB139">
        <v>28.010249999999999</v>
      </c>
      <c r="AC139">
        <f t="shared" si="68"/>
        <v>-7.8101074903781806E-2</v>
      </c>
      <c r="AD139">
        <f t="shared" si="69"/>
        <v>-9.225387142733131E-2</v>
      </c>
      <c r="AE139">
        <f t="shared" si="70"/>
        <v>-1.4152796523549505E-2</v>
      </c>
      <c r="AF139">
        <f t="shared" si="71"/>
        <v>-4.7152006509084125E-2</v>
      </c>
      <c r="AH139">
        <f t="shared" si="72"/>
        <v>-0.20414468626355281</v>
      </c>
      <c r="AI139">
        <f t="shared" si="73"/>
        <v>-0.21287871469418859</v>
      </c>
      <c r="AJ139">
        <f t="shared" si="74"/>
        <v>-8.7340284306357818E-3</v>
      </c>
      <c r="AK139">
        <f t="shared" si="75"/>
        <v>7.0283546304057809E-2</v>
      </c>
      <c r="AM139">
        <f t="shared" si="76"/>
        <v>-0.2346287465799605</v>
      </c>
      <c r="AN139">
        <f t="shared" si="77"/>
        <v>-0.59595556291118268</v>
      </c>
      <c r="AO139">
        <f t="shared" si="78"/>
        <v>-0.36132681633122221</v>
      </c>
      <c r="AP139">
        <f t="shared" si="79"/>
        <v>-0.49332880652971894</v>
      </c>
      <c r="AR139">
        <f t="shared" si="80"/>
        <v>-0.40436927546283952</v>
      </c>
      <c r="AS139">
        <f t="shared" si="81"/>
        <v>-0.4094704876121909</v>
      </c>
      <c r="AT139">
        <f t="shared" si="82"/>
        <v>-5.1012121493513862E-3</v>
      </c>
      <c r="AU139">
        <f t="shared" si="83"/>
        <v>0.24046940726892621</v>
      </c>
    </row>
    <row r="140" spans="1:47" x14ac:dyDescent="0.25">
      <c r="A140" s="4">
        <f>DATE(2024,1,17)</f>
        <v>45308</v>
      </c>
      <c r="B140">
        <v>-1.1949773496739193</v>
      </c>
      <c r="C140">
        <v>28.539483166878597</v>
      </c>
      <c r="D140">
        <v>1.158584463573357E-2</v>
      </c>
      <c r="E140">
        <f t="shared" si="56"/>
        <v>-2.4554310678965403</v>
      </c>
      <c r="F140">
        <f t="shared" si="57"/>
        <v>-1.5260508242529027</v>
      </c>
      <c r="G140">
        <f t="shared" si="58"/>
        <v>-1.1774312931331756</v>
      </c>
      <c r="H140" s="2" t="str">
        <f t="shared" si="59"/>
        <v>Higher</v>
      </c>
      <c r="I140" s="2" t="str">
        <f t="shared" si="60"/>
        <v>Lower</v>
      </c>
      <c r="J140" s="2" t="str">
        <f t="shared" si="61"/>
        <v>Lower</v>
      </c>
      <c r="K140" s="2" t="str">
        <f t="shared" si="62"/>
        <v>Higher</v>
      </c>
      <c r="L140" s="2" t="str">
        <f t="shared" si="63"/>
        <v>Lower</v>
      </c>
      <c r="M140" s="2" t="str">
        <f t="shared" si="64"/>
        <v>Higher</v>
      </c>
      <c r="N140" s="2" t="str">
        <f t="shared" si="65"/>
        <v>Higher</v>
      </c>
      <c r="O140" s="2" t="str">
        <f t="shared" si="66"/>
        <v>Lower</v>
      </c>
      <c r="P140" s="2" t="str">
        <f t="shared" si="67"/>
        <v>Lower</v>
      </c>
      <c r="R140" s="4">
        <f>DATE(2024,1,17)</f>
        <v>45308</v>
      </c>
      <c r="S140">
        <v>0.65667071004654909</v>
      </c>
      <c r="T140">
        <v>1.7296991145896023E-3</v>
      </c>
      <c r="U140">
        <v>0.6227981012406888</v>
      </c>
      <c r="V140">
        <v>-3.1468825652277661E-2</v>
      </c>
      <c r="X140" s="4">
        <f>DATE(2024,1,17)</f>
        <v>45308</v>
      </c>
      <c r="Y140">
        <v>11.932786703487613</v>
      </c>
      <c r="Z140">
        <v>18.581355478374096</v>
      </c>
      <c r="AA140">
        <v>63.820000000000007</v>
      </c>
      <c r="AB140">
        <v>28.114000000000001</v>
      </c>
      <c r="AC140">
        <f t="shared" si="68"/>
        <v>-9.9652466288580918E-2</v>
      </c>
      <c r="AD140">
        <f t="shared" si="69"/>
        <v>-9.4965743378950931E-2</v>
      </c>
      <c r="AE140">
        <f t="shared" si="70"/>
        <v>4.6867229096299867E-3</v>
      </c>
      <c r="AF140">
        <f t="shared" si="71"/>
        <v>6.2951912745518049E-2</v>
      </c>
      <c r="AH140">
        <f t="shared" si="72"/>
        <v>-0.156978302988838</v>
      </c>
      <c r="AI140">
        <f t="shared" si="73"/>
        <v>-0.1790542082678207</v>
      </c>
      <c r="AJ140">
        <f t="shared" si="74"/>
        <v>-2.2075905278982705E-2</v>
      </c>
      <c r="AK140">
        <f t="shared" si="75"/>
        <v>2.8367234967156981E-2</v>
      </c>
      <c r="AM140">
        <f t="shared" si="76"/>
        <v>-0.22773967927937042</v>
      </c>
      <c r="AN140">
        <f t="shared" si="77"/>
        <v>-0.57507009779887708</v>
      </c>
      <c r="AO140">
        <f t="shared" si="78"/>
        <v>-0.34733041851950663</v>
      </c>
      <c r="AP140">
        <f t="shared" si="79"/>
        <v>-0.46922427167292363</v>
      </c>
      <c r="AR140">
        <f t="shared" si="80"/>
        <v>-0.41129785040209499</v>
      </c>
      <c r="AS140">
        <f t="shared" si="81"/>
        <v>-0.42806705961896813</v>
      </c>
      <c r="AT140">
        <f t="shared" si="82"/>
        <v>-1.6769209216873138E-2</v>
      </c>
      <c r="AU140">
        <f t="shared" si="83"/>
        <v>0.22812170109456137</v>
      </c>
    </row>
    <row r="141" spans="1:47" x14ac:dyDescent="0.25">
      <c r="A141" s="4">
        <f>DATE(2024,1,16)</f>
        <v>45307</v>
      </c>
      <c r="B141">
        <v>-1.0726945365065292</v>
      </c>
      <c r="C141">
        <v>31.928098194906088</v>
      </c>
      <c r="D141">
        <v>7.8010910704422384E-2</v>
      </c>
      <c r="E141">
        <f t="shared" si="56"/>
        <v>-2.2714698410865828</v>
      </c>
      <c r="F141">
        <f t="shared" si="57"/>
        <v>-1.1988338299633008</v>
      </c>
      <c r="G141">
        <f t="shared" si="58"/>
        <v>-0.97233521399233258</v>
      </c>
      <c r="H141" s="2" t="str">
        <f t="shared" si="59"/>
        <v>Higher</v>
      </c>
      <c r="I141" s="2" t="str">
        <f t="shared" si="60"/>
        <v>Lower</v>
      </c>
      <c r="J141" s="2" t="str">
        <f t="shared" si="61"/>
        <v>Lower</v>
      </c>
      <c r="K141" s="2" t="str">
        <f t="shared" si="62"/>
        <v>Higher</v>
      </c>
      <c r="L141" s="2" t="str">
        <f t="shared" si="63"/>
        <v>Lower</v>
      </c>
      <c r="M141" s="2" t="str">
        <f t="shared" si="64"/>
        <v>Higher</v>
      </c>
      <c r="N141" s="2" t="str">
        <f t="shared" si="65"/>
        <v>Higher</v>
      </c>
      <c r="O141" s="2" t="str">
        <f t="shared" si="66"/>
        <v>Lower</v>
      </c>
      <c r="P141" s="2" t="str">
        <f t="shared" si="67"/>
        <v>Lower</v>
      </c>
      <c r="R141" s="4">
        <f>DATE(2024,1,16)</f>
        <v>45307</v>
      </c>
      <c r="S141">
        <v>-2.2916705607234758E-2</v>
      </c>
      <c r="T141">
        <v>-0.13866326745649443</v>
      </c>
      <c r="U141">
        <v>0.60891890612206079</v>
      </c>
      <c r="V141">
        <v>-4.8088621680757927E-2</v>
      </c>
      <c r="X141" s="4">
        <f>DATE(2024,1,16)</f>
        <v>45307</v>
      </c>
      <c r="Y141">
        <v>12.970849637975817</v>
      </c>
      <c r="Z141">
        <v>20.02216244931542</v>
      </c>
      <c r="AA141">
        <v>65.900000000000006</v>
      </c>
      <c r="AB141">
        <v>30.04175</v>
      </c>
      <c r="AC141">
        <f t="shared" si="68"/>
        <v>-8.8006708493466437E-2</v>
      </c>
      <c r="AD141">
        <f t="shared" si="69"/>
        <v>-2.5835287057486642E-2</v>
      </c>
      <c r="AE141">
        <f t="shared" si="70"/>
        <v>6.2171421435979798E-2</v>
      </c>
      <c r="AF141">
        <f t="shared" si="71"/>
        <v>0.3988219569850337</v>
      </c>
      <c r="AH141">
        <f t="shared" si="72"/>
        <v>-8.208334622675896E-2</v>
      </c>
      <c r="AI141">
        <f t="shared" si="73"/>
        <v>-9.1234059909716933E-2</v>
      </c>
      <c r="AJ141">
        <f t="shared" si="74"/>
        <v>-9.1507136829579727E-3</v>
      </c>
      <c r="AK141">
        <f t="shared" si="75"/>
        <v>7.1726377057631296E-2</v>
      </c>
      <c r="AM141">
        <f t="shared" si="76"/>
        <v>-0.2023212844836717</v>
      </c>
      <c r="AN141">
        <f t="shared" si="77"/>
        <v>-0.50964990146069811</v>
      </c>
      <c r="AO141">
        <f t="shared" si="78"/>
        <v>-0.3073286169770264</v>
      </c>
      <c r="AP141">
        <f t="shared" si="79"/>
        <v>-0.39652246199040453</v>
      </c>
      <c r="AR141">
        <f t="shared" si="80"/>
        <v>-0.39197031388425863</v>
      </c>
      <c r="AS141">
        <f t="shared" si="81"/>
        <v>-0.37117235756946171</v>
      </c>
      <c r="AT141">
        <f t="shared" si="82"/>
        <v>2.0797956314796917E-2</v>
      </c>
      <c r="AU141">
        <f t="shared" si="83"/>
        <v>0.26479973089725789</v>
      </c>
    </row>
    <row r="142" spans="1:47" x14ac:dyDescent="0.25">
      <c r="A142" s="4">
        <f>DATE(2024,1,15)</f>
        <v>45306</v>
      </c>
      <c r="B142">
        <v>-1.0181899069911939</v>
      </c>
      <c r="C142">
        <v>34.517176230224763</v>
      </c>
      <c r="D142">
        <v>0.13362504029785788</v>
      </c>
      <c r="E142">
        <f t="shared" si="56"/>
        <v>-2.2150707296554026</v>
      </c>
      <c r="F142">
        <f t="shared" si="57"/>
        <v>-0.94849878215719463</v>
      </c>
      <c r="G142">
        <f t="shared" si="58"/>
        <v>-0.80144921773641031</v>
      </c>
      <c r="H142" s="2" t="str">
        <f t="shared" si="59"/>
        <v>Higher</v>
      </c>
      <c r="I142" s="2" t="str">
        <f t="shared" si="60"/>
        <v>Lower</v>
      </c>
      <c r="J142" s="2" t="str">
        <f t="shared" si="61"/>
        <v>Lower</v>
      </c>
      <c r="K142" s="2" t="str">
        <f t="shared" si="62"/>
        <v>Higher</v>
      </c>
      <c r="L142" s="2" t="str">
        <f t="shared" si="63"/>
        <v>Lower</v>
      </c>
      <c r="M142" s="2" t="str">
        <f t="shared" si="64"/>
        <v>Higher</v>
      </c>
      <c r="N142" s="2" t="str">
        <f t="shared" si="65"/>
        <v>Higher</v>
      </c>
      <c r="O142" s="2" t="str">
        <f t="shared" si="66"/>
        <v>Lower</v>
      </c>
      <c r="P142" s="2" t="str">
        <f t="shared" si="67"/>
        <v>Lower</v>
      </c>
      <c r="R142" s="4">
        <f>DATE(2024,1,15)</f>
        <v>45306</v>
      </c>
      <c r="X142" s="4">
        <f>DATE(2024,1,15)</f>
        <v>45306</v>
      </c>
      <c r="Y142">
        <v>13.783745272518338</v>
      </c>
      <c r="AA142">
        <v>66.657499999999999</v>
      </c>
      <c r="AC142">
        <f t="shared" si="68"/>
        <v>-9.4208285150623614E-2</v>
      </c>
      <c r="AD142" t="str">
        <f t="shared" si="69"/>
        <v/>
      </c>
      <c r="AE142" t="str">
        <f t="shared" si="70"/>
        <v/>
      </c>
      <c r="AF142" t="str">
        <f t="shared" si="71"/>
        <v/>
      </c>
      <c r="AH142">
        <f t="shared" si="72"/>
        <v>-3.1127326140735559E-2</v>
      </c>
      <c r="AI142" t="str">
        <f t="shared" si="73"/>
        <v/>
      </c>
      <c r="AJ142" t="str">
        <f t="shared" si="74"/>
        <v/>
      </c>
      <c r="AK142" t="str">
        <f t="shared" si="75"/>
        <v/>
      </c>
      <c r="AM142">
        <f t="shared" si="76"/>
        <v>-0.1904272358971231</v>
      </c>
      <c r="AN142" t="str">
        <f t="shared" si="77"/>
        <v/>
      </c>
      <c r="AO142" t="str">
        <f t="shared" si="78"/>
        <v/>
      </c>
      <c r="AP142" t="str">
        <f t="shared" si="79"/>
        <v/>
      </c>
      <c r="AR142" t="str">
        <f t="shared" si="80"/>
        <v/>
      </c>
      <c r="AS142" t="str">
        <f t="shared" si="81"/>
        <v/>
      </c>
      <c r="AT142" t="str">
        <f t="shared" si="82"/>
        <v/>
      </c>
      <c r="AU142" t="str">
        <f t="shared" si="83"/>
        <v/>
      </c>
    </row>
    <row r="143" spans="1:47" x14ac:dyDescent="0.25">
      <c r="A143" s="4">
        <f>DATE(2024,1,12)</f>
        <v>45303</v>
      </c>
      <c r="B143">
        <v>-1.0008639963965433</v>
      </c>
      <c r="C143">
        <v>29.940889942280798</v>
      </c>
      <c r="D143">
        <v>1.571338301859293E-2</v>
      </c>
      <c r="E143">
        <f t="shared" si="56"/>
        <v>-2.2328193617724699</v>
      </c>
      <c r="F143">
        <f t="shared" si="57"/>
        <v>-1.4408371524116201</v>
      </c>
      <c r="G143">
        <f t="shared" si="58"/>
        <v>-1.203235877048392</v>
      </c>
      <c r="H143" s="2" t="str">
        <f t="shared" si="59"/>
        <v>Higher</v>
      </c>
      <c r="I143" s="2" t="str">
        <f t="shared" si="60"/>
        <v>Lower</v>
      </c>
      <c r="J143" s="2" t="str">
        <f t="shared" si="61"/>
        <v>Lower</v>
      </c>
      <c r="K143" s="2" t="str">
        <f t="shared" si="62"/>
        <v>Higher</v>
      </c>
      <c r="L143" s="2" t="str">
        <f t="shared" si="63"/>
        <v>Lower</v>
      </c>
      <c r="M143" s="2" t="str">
        <f t="shared" si="64"/>
        <v>Higher</v>
      </c>
      <c r="N143" s="2" t="str">
        <f t="shared" si="65"/>
        <v>Higher</v>
      </c>
      <c r="O143" s="2" t="str">
        <f t="shared" si="66"/>
        <v>Lower</v>
      </c>
      <c r="P143" s="2" t="str">
        <f t="shared" si="67"/>
        <v>Lower</v>
      </c>
      <c r="R143" s="4">
        <f>DATE(2024,1,12)</f>
        <v>45303</v>
      </c>
      <c r="S143">
        <v>-0.42623618643407291</v>
      </c>
      <c r="T143">
        <v>-0.22977653709097665</v>
      </c>
      <c r="U143">
        <v>0.59780420736546069</v>
      </c>
      <c r="V143">
        <v>-6.0671573923343179E-2</v>
      </c>
      <c r="X143" s="4">
        <f>DATE(2024,1,12)</f>
        <v>45303</v>
      </c>
      <c r="Y143">
        <v>14.839614013718261</v>
      </c>
      <c r="Z143">
        <v>21.924935707531024</v>
      </c>
      <c r="AA143">
        <v>66.45</v>
      </c>
      <c r="AB143">
        <v>31.777999999999999</v>
      </c>
      <c r="AC143">
        <f t="shared" si="68"/>
        <v>-0.13651789922544222</v>
      </c>
      <c r="AD143">
        <f t="shared" si="69"/>
        <v>-7.2039602747185613E-2</v>
      </c>
      <c r="AE143">
        <f t="shared" si="70"/>
        <v>6.4478296478256605E-2</v>
      </c>
      <c r="AF143">
        <f t="shared" si="71"/>
        <v>0.4151394631712399</v>
      </c>
      <c r="AH143">
        <f t="shared" si="72"/>
        <v>-3.4927645220121087E-3</v>
      </c>
      <c r="AI143">
        <f t="shared" si="73"/>
        <v>-5.1412080207809817E-2</v>
      </c>
      <c r="AJ143">
        <f t="shared" si="74"/>
        <v>-4.7919315685797707E-2</v>
      </c>
      <c r="AK143">
        <f t="shared" si="75"/>
        <v>-4.3236241271682428E-2</v>
      </c>
      <c r="AM143">
        <f t="shared" si="76"/>
        <v>-0.20525692028145454</v>
      </c>
      <c r="AN143">
        <f t="shared" si="77"/>
        <v>-0.47588562136749951</v>
      </c>
      <c r="AO143">
        <f t="shared" si="78"/>
        <v>-0.27062870108604498</v>
      </c>
      <c r="AP143">
        <f t="shared" si="79"/>
        <v>-0.32759777055575573</v>
      </c>
      <c r="AR143" t="str">
        <f t="shared" si="80"/>
        <v/>
      </c>
      <c r="AS143" t="str">
        <f t="shared" si="81"/>
        <v/>
      </c>
      <c r="AT143" t="str">
        <f t="shared" si="82"/>
        <v/>
      </c>
      <c r="AU143" t="str">
        <f t="shared" si="83"/>
        <v/>
      </c>
    </row>
    <row r="144" spans="1:47" x14ac:dyDescent="0.25">
      <c r="A144" s="4">
        <f>DATE(2024,1,11)</f>
        <v>45302</v>
      </c>
      <c r="B144">
        <v>-0.73236908398900913</v>
      </c>
      <c r="C144">
        <v>33.087099827466474</v>
      </c>
      <c r="D144">
        <v>8.791080235088794E-2</v>
      </c>
      <c r="E144">
        <f t="shared" si="56"/>
        <v>-1.66639739234107</v>
      </c>
      <c r="F144">
        <f t="shared" si="57"/>
        <v>-1.1338992307529674</v>
      </c>
      <c r="G144">
        <f t="shared" si="58"/>
        <v>-0.97509376008298043</v>
      </c>
      <c r="H144" s="2" t="str">
        <f t="shared" si="59"/>
        <v>Higher</v>
      </c>
      <c r="I144" s="2" t="str">
        <f t="shared" si="60"/>
        <v>Lower</v>
      </c>
      <c r="J144" s="2" t="str">
        <f t="shared" si="61"/>
        <v>Lower</v>
      </c>
      <c r="K144" s="2" t="str">
        <f t="shared" si="62"/>
        <v>Higher</v>
      </c>
      <c r="L144" s="2" t="str">
        <f t="shared" si="63"/>
        <v>Lower</v>
      </c>
      <c r="M144" s="2" t="str">
        <f t="shared" si="64"/>
        <v>Higher</v>
      </c>
      <c r="N144" s="2" t="str">
        <f t="shared" si="65"/>
        <v>Higher</v>
      </c>
      <c r="O144" s="2" t="str">
        <f t="shared" si="66"/>
        <v>Lower</v>
      </c>
      <c r="P144" s="2" t="str">
        <f t="shared" si="67"/>
        <v>Lower</v>
      </c>
      <c r="R144" s="4">
        <f>DATE(2024,1,11)</f>
        <v>45302</v>
      </c>
      <c r="S144">
        <v>0.85793461542485105</v>
      </c>
      <c r="T144">
        <v>-0.26060910789351682</v>
      </c>
      <c r="U144">
        <v>0.58996151547504749</v>
      </c>
      <c r="V144">
        <v>-6.989527337327979E-2</v>
      </c>
      <c r="X144" s="4">
        <f>DATE(2024,1,11)</f>
        <v>45302</v>
      </c>
      <c r="Y144">
        <v>16.775020844701544</v>
      </c>
      <c r="Z144">
        <v>18.820278445293539</v>
      </c>
      <c r="AA144">
        <v>68.282499999999999</v>
      </c>
      <c r="AB144">
        <v>30.71725</v>
      </c>
      <c r="AC144">
        <f t="shared" si="68"/>
        <v>-0.10957670928636311</v>
      </c>
      <c r="AD144">
        <f t="shared" si="69"/>
        <v>-7.8214827965046932E-2</v>
      </c>
      <c r="AE144">
        <f t="shared" si="70"/>
        <v>3.1361881321316176E-2</v>
      </c>
      <c r="AF144">
        <f t="shared" si="71"/>
        <v>0.22311704840327973</v>
      </c>
      <c r="AH144">
        <f t="shared" si="72"/>
        <v>1.2526413653654523E-2</v>
      </c>
      <c r="AI144">
        <f t="shared" si="73"/>
        <v>-0.13718004401726958</v>
      </c>
      <c r="AJ144">
        <f t="shared" si="74"/>
        <v>-0.14970645767092411</v>
      </c>
      <c r="AK144">
        <f t="shared" si="75"/>
        <v>-0.35364966576932988</v>
      </c>
      <c r="AM144">
        <f t="shared" si="76"/>
        <v>-0.1788189262427527</v>
      </c>
      <c r="AN144">
        <f t="shared" si="77"/>
        <v>-0.47608205875000342</v>
      </c>
      <c r="AO144">
        <f t="shared" si="78"/>
        <v>-0.29726313250725073</v>
      </c>
      <c r="AP144">
        <f t="shared" si="79"/>
        <v>-0.37512220196474311</v>
      </c>
      <c r="AR144">
        <f t="shared" si="80"/>
        <v>-0.34878685016661742</v>
      </c>
      <c r="AS144">
        <f t="shared" si="81"/>
        <v>-0.34301064657178576</v>
      </c>
      <c r="AT144">
        <f t="shared" si="82"/>
        <v>5.7762035948316637E-3</v>
      </c>
      <c r="AU144">
        <f t="shared" si="83"/>
        <v>0.24442339482969491</v>
      </c>
    </row>
    <row r="145" spans="1:47" x14ac:dyDescent="0.25">
      <c r="A145" s="4">
        <f>DATE(2024,1,10)</f>
        <v>45301</v>
      </c>
      <c r="B145">
        <v>-0.45069763671566748</v>
      </c>
      <c r="C145">
        <v>36.589566180593884</v>
      </c>
      <c r="D145">
        <v>0.2017197854224117</v>
      </c>
      <c r="E145">
        <f t="shared" si="56"/>
        <v>-1.0308126866152099</v>
      </c>
      <c r="F145">
        <f t="shared" si="57"/>
        <v>-0.77817975247942139</v>
      </c>
      <c r="G145">
        <f t="shared" si="58"/>
        <v>-0.59951371232931694</v>
      </c>
      <c r="H145" s="2" t="str">
        <f t="shared" si="59"/>
        <v>Higher</v>
      </c>
      <c r="I145" s="2" t="str">
        <f t="shared" si="60"/>
        <v>Lower</v>
      </c>
      <c r="J145" s="2" t="str">
        <f t="shared" si="61"/>
        <v>Lower</v>
      </c>
      <c r="K145" s="2" t="str">
        <f t="shared" si="62"/>
        <v>Higher</v>
      </c>
      <c r="L145" s="2" t="str">
        <f t="shared" si="63"/>
        <v>Higher</v>
      </c>
      <c r="M145" s="2" t="str">
        <f t="shared" si="64"/>
        <v>Higher</v>
      </c>
      <c r="N145" s="2" t="str">
        <f t="shared" si="65"/>
        <v>Higher</v>
      </c>
      <c r="O145" s="2" t="str">
        <f t="shared" si="66"/>
        <v>Lower</v>
      </c>
      <c r="P145" s="2" t="str">
        <f t="shared" si="67"/>
        <v>Lower</v>
      </c>
      <c r="R145" s="4">
        <f>DATE(2024,1,10)</f>
        <v>45301</v>
      </c>
      <c r="S145">
        <v>0.93451308218999807</v>
      </c>
      <c r="T145">
        <v>-0.27964860734508512</v>
      </c>
      <c r="U145">
        <v>0.59762398057107524</v>
      </c>
      <c r="V145">
        <v>-7.5815666536735354E-2</v>
      </c>
      <c r="X145" s="4">
        <f>DATE(2024,1,10)</f>
        <v>45301</v>
      </c>
      <c r="Y145">
        <v>18.342205903306091</v>
      </c>
      <c r="Z145">
        <v>19.294786347996613</v>
      </c>
      <c r="AA145">
        <v>70.507499999999993</v>
      </c>
      <c r="AB145">
        <v>30.914749999999998</v>
      </c>
      <c r="AC145">
        <f t="shared" si="68"/>
        <v>-8.9740809472380514E-2</v>
      </c>
      <c r="AD145">
        <f t="shared" si="69"/>
        <v>-4.4452817364369478E-2</v>
      </c>
      <c r="AE145">
        <f t="shared" si="70"/>
        <v>4.5287992108011037E-2</v>
      </c>
      <c r="AF145">
        <f t="shared" si="71"/>
        <v>0.30370022862489743</v>
      </c>
      <c r="AH145">
        <f t="shared" si="72"/>
        <v>2.2627590241117865E-2</v>
      </c>
      <c r="AI145">
        <f t="shared" si="73"/>
        <v>-0.14215802284323203</v>
      </c>
      <c r="AJ145">
        <f t="shared" si="74"/>
        <v>-0.16478561308434991</v>
      </c>
      <c r="AK145">
        <f t="shared" si="75"/>
        <v>-0.39891214866159191</v>
      </c>
      <c r="AM145">
        <f t="shared" si="76"/>
        <v>-0.15273645676781991</v>
      </c>
      <c r="AN145">
        <f t="shared" si="77"/>
        <v>-0.48523469500182659</v>
      </c>
      <c r="AO145">
        <f t="shared" si="78"/>
        <v>-0.3324982382340067</v>
      </c>
      <c r="AP145">
        <f t="shared" si="79"/>
        <v>-0.43842368930128267</v>
      </c>
      <c r="AR145">
        <f t="shared" si="80"/>
        <v>-0.31377210639239494</v>
      </c>
      <c r="AS145">
        <f t="shared" si="81"/>
        <v>-0.37958708363045834</v>
      </c>
      <c r="AT145">
        <f t="shared" si="82"/>
        <v>-6.5814977238063399E-2</v>
      </c>
      <c r="AU145">
        <f t="shared" si="83"/>
        <v>0.16894869129264528</v>
      </c>
    </row>
    <row r="146" spans="1:47" x14ac:dyDescent="0.25">
      <c r="A146" s="4">
        <f>DATE(2024,1,9)</f>
        <v>45300</v>
      </c>
      <c r="B146">
        <v>-0.17015109195093009</v>
      </c>
      <c r="C146">
        <v>40.32344775816658</v>
      </c>
      <c r="D146">
        <v>0.32382697626226792</v>
      </c>
      <c r="E146">
        <f t="shared" si="56"/>
        <v>-0.37806442430889647</v>
      </c>
      <c r="F146">
        <f t="shared" si="57"/>
        <v>-0.39000641040271866</v>
      </c>
      <c r="G146">
        <f t="shared" si="58"/>
        <v>-0.18936535135575611</v>
      </c>
      <c r="H146" s="2" t="str">
        <f t="shared" si="59"/>
        <v>Higher</v>
      </c>
      <c r="I146" s="2" t="str">
        <f t="shared" si="60"/>
        <v>Lower</v>
      </c>
      <c r="J146" s="2" t="str">
        <f t="shared" si="61"/>
        <v>Lower</v>
      </c>
      <c r="K146" s="2" t="str">
        <f t="shared" si="62"/>
        <v>Higher</v>
      </c>
      <c r="L146" s="2" t="str">
        <f t="shared" si="63"/>
        <v>Higher</v>
      </c>
      <c r="M146" s="2" t="str">
        <f t="shared" si="64"/>
        <v>Higher</v>
      </c>
      <c r="N146" s="2" t="str">
        <f t="shared" si="65"/>
        <v>Higher</v>
      </c>
      <c r="O146" s="2" t="str">
        <f t="shared" si="66"/>
        <v>Lower</v>
      </c>
      <c r="P146" s="2" t="str">
        <f t="shared" si="67"/>
        <v>Lower</v>
      </c>
      <c r="R146" s="4">
        <f>DATE(2024,1,9)</f>
        <v>45300</v>
      </c>
      <c r="S146">
        <v>0.82869233689161037</v>
      </c>
      <c r="T146">
        <v>-0.20714223385801175</v>
      </c>
      <c r="U146">
        <v>0.60465154762007955</v>
      </c>
      <c r="V146">
        <v>-8.4467640615964956E-2</v>
      </c>
      <c r="X146" s="4">
        <f>DATE(2024,1,9)</f>
        <v>45300</v>
      </c>
      <c r="Y146">
        <v>20.211383976766285</v>
      </c>
      <c r="Z146">
        <v>19.982774500862785</v>
      </c>
      <c r="AA146">
        <v>71.962500000000006</v>
      </c>
      <c r="AB146">
        <v>30.827999999999999</v>
      </c>
      <c r="AC146">
        <f t="shared" si="68"/>
        <v>-6.6880747322220921E-2</v>
      </c>
      <c r="AD146">
        <f t="shared" si="69"/>
        <v>-1.046310584881913E-2</v>
      </c>
      <c r="AE146">
        <f t="shared" si="70"/>
        <v>5.6417641473401794E-2</v>
      </c>
      <c r="AF146">
        <f t="shared" si="71"/>
        <v>0.36760893017558099</v>
      </c>
      <c r="AH146">
        <f t="shared" si="72"/>
        <v>5.6931605733958286E-2</v>
      </c>
      <c r="AI146">
        <f t="shared" si="73"/>
        <v>-0.13031892664168238</v>
      </c>
      <c r="AJ146">
        <f t="shared" si="74"/>
        <v>-0.18725053237564065</v>
      </c>
      <c r="AK146">
        <f t="shared" si="75"/>
        <v>-0.46684075424503374</v>
      </c>
      <c r="AM146">
        <f t="shared" si="76"/>
        <v>-0.13744071191302354</v>
      </c>
      <c r="AN146">
        <f t="shared" si="77"/>
        <v>-0.45100929479192969</v>
      </c>
      <c r="AO146">
        <f t="shared" si="78"/>
        <v>-0.31356858287890615</v>
      </c>
      <c r="AP146">
        <f t="shared" si="79"/>
        <v>-0.40364964900312145</v>
      </c>
      <c r="AR146">
        <f t="shared" si="80"/>
        <v>-0.28287637996018306</v>
      </c>
      <c r="AS146">
        <f t="shared" si="81"/>
        <v>-0.42122410875262956</v>
      </c>
      <c r="AT146">
        <f t="shared" si="82"/>
        <v>-0.1383477287924465</v>
      </c>
      <c r="AU146">
        <f t="shared" si="83"/>
        <v>9.4131282792424012E-2</v>
      </c>
    </row>
    <row r="147" spans="1:47" x14ac:dyDescent="0.25">
      <c r="A147" s="4">
        <f>DATE(2024,1,8)</f>
        <v>45299</v>
      </c>
      <c r="B147">
        <v>9.5715616700463357E-2</v>
      </c>
      <c r="C147">
        <v>41.286423421284219</v>
      </c>
      <c r="D147">
        <v>0.35383021367452944</v>
      </c>
      <c r="E147">
        <f t="shared" si="56"/>
        <v>0.24652873608283085</v>
      </c>
      <c r="F147">
        <f t="shared" si="57"/>
        <v>-0.29373555167402227</v>
      </c>
      <c r="G147">
        <f t="shared" si="58"/>
        <v>-8.7550275741318684E-2</v>
      </c>
      <c r="H147" s="2" t="str">
        <f t="shared" si="59"/>
        <v>Higher</v>
      </c>
      <c r="I147" s="2" t="str">
        <f t="shared" si="60"/>
        <v>Lower</v>
      </c>
      <c r="J147" s="2" t="str">
        <f t="shared" si="61"/>
        <v>Lower</v>
      </c>
      <c r="K147" s="2" t="str">
        <f t="shared" si="62"/>
        <v>Higher</v>
      </c>
      <c r="L147" s="2" t="str">
        <f t="shared" si="63"/>
        <v>Higher</v>
      </c>
      <c r="M147" s="2" t="str">
        <f t="shared" si="64"/>
        <v>Higher</v>
      </c>
      <c r="N147" s="2" t="str">
        <f t="shared" si="65"/>
        <v>Higher</v>
      </c>
      <c r="O147" s="2" t="str">
        <f t="shared" si="66"/>
        <v>Lower</v>
      </c>
      <c r="P147" s="2" t="str">
        <f t="shared" si="67"/>
        <v>Lower</v>
      </c>
      <c r="R147" s="4">
        <f>DATE(2024,1,8)</f>
        <v>45299</v>
      </c>
      <c r="S147">
        <v>0.38783242003626323</v>
      </c>
      <c r="T147">
        <v>-0.17879023438159458</v>
      </c>
      <c r="U147">
        <v>0.59771616619494883</v>
      </c>
      <c r="V147">
        <v>-9.0571687641846782E-2</v>
      </c>
      <c r="X147" s="4">
        <f>DATE(2024,1,8)</f>
        <v>45299</v>
      </c>
      <c r="Y147">
        <v>21.188464305276959</v>
      </c>
      <c r="Z147">
        <v>20.950835645099549</v>
      </c>
      <c r="AA147">
        <v>73.242500000000007</v>
      </c>
      <c r="AB147">
        <v>32.106250000000003</v>
      </c>
      <c r="AC147" t="str">
        <f t="shared" si="68"/>
        <v/>
      </c>
      <c r="AD147" t="str">
        <f t="shared" si="69"/>
        <v/>
      </c>
      <c r="AE147" t="str">
        <f t="shared" si="70"/>
        <v/>
      </c>
      <c r="AF147" t="str">
        <f t="shared" si="71"/>
        <v/>
      </c>
      <c r="AH147">
        <f t="shared" si="72"/>
        <v>8.4169951019369471E-2</v>
      </c>
      <c r="AI147">
        <f t="shared" si="73"/>
        <v>-0.12373762922981772</v>
      </c>
      <c r="AJ147">
        <f t="shared" si="74"/>
        <v>-0.20790758024918721</v>
      </c>
      <c r="AK147">
        <f t="shared" si="75"/>
        <v>-0.52983755509199015</v>
      </c>
      <c r="AM147">
        <f t="shared" si="76"/>
        <v>-0.13593914803485516</v>
      </c>
      <c r="AN147">
        <f t="shared" si="77"/>
        <v>-0.43382558634683854</v>
      </c>
      <c r="AO147">
        <f t="shared" si="78"/>
        <v>-0.29788643831198336</v>
      </c>
      <c r="AP147">
        <f t="shared" si="79"/>
        <v>-0.37475006237236874</v>
      </c>
      <c r="AR147">
        <f t="shared" si="80"/>
        <v>-0.25838904708763433</v>
      </c>
      <c r="AS147">
        <f t="shared" si="81"/>
        <v>-0.46507129839666056</v>
      </c>
      <c r="AT147">
        <f t="shared" si="82"/>
        <v>-0.20668225130902623</v>
      </c>
      <c r="AU147">
        <f t="shared" si="83"/>
        <v>2.1931107090071636E-2</v>
      </c>
    </row>
    <row r="148" spans="1:47" x14ac:dyDescent="0.25">
      <c r="A148" s="4">
        <f>DATE(2024,1,5)</f>
        <v>45296</v>
      </c>
      <c r="B148">
        <v>0.46497934105776284</v>
      </c>
      <c r="C148">
        <v>50.445640067317321</v>
      </c>
      <c r="D148">
        <v>0.62666402575155389</v>
      </c>
      <c r="E148">
        <f t="shared" si="56"/>
        <v>1.1133048862388757</v>
      </c>
      <c r="F148">
        <f t="shared" si="57"/>
        <v>0.67593239243597136</v>
      </c>
      <c r="G148">
        <f t="shared" si="58"/>
        <v>0.83380409533109534</v>
      </c>
      <c r="H148" s="2" t="str">
        <f t="shared" si="59"/>
        <v>Higher</v>
      </c>
      <c r="I148" s="2" t="str">
        <f t="shared" si="60"/>
        <v>Lower</v>
      </c>
      <c r="J148" s="2" t="str">
        <f t="shared" si="61"/>
        <v>Lower</v>
      </c>
      <c r="K148" s="2" t="str">
        <f t="shared" si="62"/>
        <v>Higher</v>
      </c>
      <c r="L148" s="2" t="str">
        <f t="shared" si="63"/>
        <v>Higher</v>
      </c>
      <c r="M148" s="2" t="str">
        <f t="shared" si="64"/>
        <v>Higher</v>
      </c>
      <c r="N148" s="2" t="str">
        <f t="shared" si="65"/>
        <v>Higher</v>
      </c>
      <c r="O148" s="2" t="str">
        <f t="shared" si="66"/>
        <v>Lower</v>
      </c>
      <c r="P148" s="2" t="str">
        <f t="shared" si="67"/>
        <v>Lower</v>
      </c>
      <c r="R148" s="4">
        <f>DATE(2024,1,5)</f>
        <v>45296</v>
      </c>
      <c r="S148">
        <v>-9.086890614819873E-2</v>
      </c>
      <c r="T148">
        <v>-0.15157039699105487</v>
      </c>
      <c r="U148">
        <v>0.60165883758507732</v>
      </c>
      <c r="V148">
        <v>-9.7934175101581894E-2</v>
      </c>
      <c r="X148" s="4">
        <f>DATE(2024,1,5)</f>
        <v>45296</v>
      </c>
      <c r="Y148">
        <v>23.933398237296309</v>
      </c>
      <c r="Z148">
        <v>23.091926803865544</v>
      </c>
      <c r="AA148">
        <v>76.169999999999987</v>
      </c>
      <c r="AB148">
        <v>34.15175</v>
      </c>
      <c r="AC148">
        <f t="shared" si="68"/>
        <v>-5.2272531202432269E-2</v>
      </c>
      <c r="AD148">
        <f t="shared" si="69"/>
        <v>4.6501540840698866E-2</v>
      </c>
      <c r="AE148">
        <f t="shared" si="70"/>
        <v>9.8774072043131128E-2</v>
      </c>
      <c r="AF148">
        <f t="shared" si="71"/>
        <v>0.61803866851160671</v>
      </c>
      <c r="AH148">
        <f t="shared" si="72"/>
        <v>9.7159729524491131E-2</v>
      </c>
      <c r="AI148">
        <f t="shared" si="73"/>
        <v>-0.14194259457653663</v>
      </c>
      <c r="AJ148">
        <f t="shared" si="74"/>
        <v>-0.23910232410102777</v>
      </c>
      <c r="AK148">
        <f t="shared" si="75"/>
        <v>-0.6247762196947374</v>
      </c>
      <c r="AM148">
        <f t="shared" si="76"/>
        <v>-0.11913873087637501</v>
      </c>
      <c r="AN148">
        <f t="shared" si="77"/>
        <v>-0.45268762276576441</v>
      </c>
      <c r="AO148">
        <f t="shared" si="78"/>
        <v>-0.33354889188938941</v>
      </c>
      <c r="AP148">
        <f t="shared" si="79"/>
        <v>-0.43900309068973858</v>
      </c>
      <c r="AR148">
        <f t="shared" si="80"/>
        <v>-0.18737963716311662</v>
      </c>
      <c r="AS148">
        <f t="shared" si="81"/>
        <v>-0.32189962681144874</v>
      </c>
      <c r="AT148">
        <f t="shared" si="82"/>
        <v>-0.13451998964833212</v>
      </c>
      <c r="AU148">
        <f t="shared" si="83"/>
        <v>9.3707700020032814E-2</v>
      </c>
    </row>
    <row r="149" spans="1:47" x14ac:dyDescent="0.25">
      <c r="A149" s="4">
        <f>DATE(2024,1,4)</f>
        <v>45295</v>
      </c>
      <c r="B149">
        <v>0.61740050070250208</v>
      </c>
      <c r="C149">
        <v>49.029614275994327</v>
      </c>
      <c r="D149">
        <v>0.60592091288601713</v>
      </c>
      <c r="E149">
        <f t="shared" si="56"/>
        <v>1.4852198838875785</v>
      </c>
      <c r="F149">
        <f t="shared" si="57"/>
        <v>0.53034909981972822</v>
      </c>
      <c r="G149">
        <f t="shared" si="58"/>
        <v>0.77619141204100806</v>
      </c>
      <c r="H149" s="2" t="str">
        <f t="shared" si="59"/>
        <v>Higher</v>
      </c>
      <c r="I149" s="2" t="str">
        <f t="shared" si="60"/>
        <v>Lower</v>
      </c>
      <c r="J149" s="2" t="str">
        <f t="shared" si="61"/>
        <v>Lower</v>
      </c>
      <c r="K149" s="2" t="str">
        <f t="shared" si="62"/>
        <v>Higher</v>
      </c>
      <c r="L149" s="2" t="str">
        <f t="shared" si="63"/>
        <v>Higher</v>
      </c>
      <c r="M149" s="2" t="str">
        <f t="shared" si="64"/>
        <v>Higher</v>
      </c>
      <c r="N149" s="2" t="str">
        <f t="shared" si="65"/>
        <v>Higher</v>
      </c>
      <c r="O149" s="2" t="str">
        <f t="shared" si="66"/>
        <v>Lower</v>
      </c>
      <c r="P149" s="2" t="str">
        <f t="shared" si="67"/>
        <v>Lower</v>
      </c>
      <c r="R149" s="4">
        <f>DATE(2024,1,4)</f>
        <v>45295</v>
      </c>
      <c r="S149">
        <v>0.27306096910718292</v>
      </c>
      <c r="T149">
        <v>-7.7283420342601841E-2</v>
      </c>
      <c r="U149">
        <v>0.6063394320113219</v>
      </c>
      <c r="V149">
        <v>-9.856350470753597E-2</v>
      </c>
      <c r="X149" s="4">
        <f>DATE(2024,1,4)</f>
        <v>45295</v>
      </c>
      <c r="Y149">
        <v>24.994590628563511</v>
      </c>
      <c r="Z149">
        <v>21.41632814905152</v>
      </c>
      <c r="AA149">
        <v>76.19</v>
      </c>
      <c r="AB149">
        <v>33.216250000000002</v>
      </c>
      <c r="AC149">
        <f t="shared" si="68"/>
        <v>-4.8108677752465363E-2</v>
      </c>
      <c r="AD149">
        <f t="shared" si="69"/>
        <v>-3.4936829991204931E-3</v>
      </c>
      <c r="AE149">
        <f t="shared" si="70"/>
        <v>4.4614994753344871E-2</v>
      </c>
      <c r="AF149">
        <f t="shared" si="71"/>
        <v>0.30526168964691941</v>
      </c>
      <c r="AH149">
        <f t="shared" si="72"/>
        <v>9.1399997554344095E-2</v>
      </c>
      <c r="AI149">
        <f t="shared" si="73"/>
        <v>-0.18853036846345705</v>
      </c>
      <c r="AJ149">
        <f t="shared" si="74"/>
        <v>-0.27993036601780114</v>
      </c>
      <c r="AK149">
        <f t="shared" si="75"/>
        <v>-0.74939829266203206</v>
      </c>
      <c r="AM149">
        <f t="shared" si="76"/>
        <v>-0.10827331880638472</v>
      </c>
      <c r="AN149">
        <f t="shared" si="77"/>
        <v>-0.43130285766905624</v>
      </c>
      <c r="AO149">
        <f t="shared" si="78"/>
        <v>-0.32302953886267149</v>
      </c>
      <c r="AP149">
        <f t="shared" si="79"/>
        <v>-0.41973361167279777</v>
      </c>
      <c r="AR149">
        <f t="shared" si="80"/>
        <v>-0.17551166083015277</v>
      </c>
      <c r="AS149">
        <f t="shared" si="81"/>
        <v>-0.27222433706288812</v>
      </c>
      <c r="AT149">
        <f t="shared" si="82"/>
        <v>-9.6712676232735356E-2</v>
      </c>
      <c r="AU149">
        <f t="shared" si="83"/>
        <v>0.13031231783239902</v>
      </c>
    </row>
    <row r="150" spans="1:47" x14ac:dyDescent="0.25">
      <c r="A150" s="4">
        <f>DATE(2024,1,3)</f>
        <v>45294</v>
      </c>
      <c r="B150">
        <v>0.86690927442673049</v>
      </c>
      <c r="C150">
        <v>53.09678808548086</v>
      </c>
      <c r="D150">
        <v>0.7194133339263733</v>
      </c>
      <c r="E150">
        <f t="shared" si="56"/>
        <v>2.0940729769482695</v>
      </c>
      <c r="F150">
        <f t="shared" si="57"/>
        <v>0.96791172474004483</v>
      </c>
      <c r="G150">
        <f t="shared" si="58"/>
        <v>1.1708680300395296</v>
      </c>
      <c r="H150" s="2" t="str">
        <f t="shared" si="59"/>
        <v>Higher</v>
      </c>
      <c r="I150" s="2" t="str">
        <f t="shared" si="60"/>
        <v>Lower</v>
      </c>
      <c r="J150" s="2" t="str">
        <f t="shared" si="61"/>
        <v>Lower</v>
      </c>
      <c r="K150" s="2" t="str">
        <f t="shared" si="62"/>
        <v>Higher</v>
      </c>
      <c r="L150" s="2" t="str">
        <f t="shared" si="63"/>
        <v>Higher</v>
      </c>
      <c r="M150" s="2" t="str">
        <f t="shared" si="64"/>
        <v>Higher</v>
      </c>
      <c r="N150" s="2" t="str">
        <f t="shared" si="65"/>
        <v>Higher</v>
      </c>
      <c r="O150" s="2" t="str">
        <f t="shared" si="66"/>
        <v>Lower</v>
      </c>
      <c r="P150" s="2" t="str">
        <f t="shared" si="67"/>
        <v>Lower</v>
      </c>
      <c r="R150" s="4">
        <f>DATE(2024,1,3)</f>
        <v>45294</v>
      </c>
      <c r="S150">
        <v>0.65441186648851757</v>
      </c>
      <c r="T150">
        <v>-1.3514029225566002E-2</v>
      </c>
      <c r="U150">
        <v>0.59831566785797674</v>
      </c>
      <c r="V150">
        <v>-0.1001261697529534</v>
      </c>
      <c r="X150" s="4">
        <f>DATE(2024,1,3)</f>
        <v>45294</v>
      </c>
      <c r="Y150">
        <v>27.506435758457133</v>
      </c>
      <c r="Z150">
        <v>20.387925670339548</v>
      </c>
      <c r="AA150">
        <v>77.127499999999998</v>
      </c>
      <c r="AB150">
        <v>32.32</v>
      </c>
      <c r="AC150">
        <f t="shared" si="68"/>
        <v>-3.6535487574531261E-2</v>
      </c>
      <c r="AD150">
        <f t="shared" si="69"/>
        <v>-0.1036643068691174</v>
      </c>
      <c r="AE150">
        <f t="shared" si="70"/>
        <v>-6.7128819294586139E-2</v>
      </c>
      <c r="AF150">
        <f t="shared" si="71"/>
        <v>-0.34393644307814863</v>
      </c>
      <c r="AH150">
        <f t="shared" si="72"/>
        <v>0.11142585840754121</v>
      </c>
      <c r="AI150">
        <f t="shared" si="73"/>
        <v>-0.19633949088888131</v>
      </c>
      <c r="AJ150">
        <f t="shared" si="74"/>
        <v>-0.30776534929642252</v>
      </c>
      <c r="AK150">
        <f t="shared" si="75"/>
        <v>-0.83519547742928113</v>
      </c>
      <c r="AM150">
        <f t="shared" si="76"/>
        <v>-8.7408367965324585E-2</v>
      </c>
      <c r="AN150">
        <f t="shared" si="77"/>
        <v>-0.37094989088228414</v>
      </c>
      <c r="AO150">
        <f t="shared" si="78"/>
        <v>-0.28354152291695955</v>
      </c>
      <c r="AP150">
        <f t="shared" si="79"/>
        <v>-0.34760417573467994</v>
      </c>
      <c r="AR150">
        <f t="shared" si="80"/>
        <v>-0.15712370060193129</v>
      </c>
      <c r="AS150">
        <f t="shared" si="81"/>
        <v>-0.2809219599363687</v>
      </c>
      <c r="AT150">
        <f t="shared" si="82"/>
        <v>-0.12379825933443742</v>
      </c>
      <c r="AU150">
        <f t="shared" si="83"/>
        <v>0.10075574075428827</v>
      </c>
    </row>
    <row r="151" spans="1:47" x14ac:dyDescent="0.25">
      <c r="A151" s="4">
        <f>DATE(2024,1,2)</f>
        <v>45293</v>
      </c>
      <c r="B151">
        <v>1.0429493004004624</v>
      </c>
      <c r="C151">
        <v>49.567664100955326</v>
      </c>
      <c r="D151">
        <v>0.63333176942349256</v>
      </c>
      <c r="E151">
        <f t="shared" si="56"/>
        <v>2.564785583646116</v>
      </c>
      <c r="F151">
        <f t="shared" si="57"/>
        <v>0.60109561055524563</v>
      </c>
      <c r="G151">
        <f t="shared" si="58"/>
        <v>0.89803343006741643</v>
      </c>
      <c r="H151" s="2" t="str">
        <f t="shared" si="59"/>
        <v>Higher</v>
      </c>
      <c r="I151" s="2" t="str">
        <f t="shared" si="60"/>
        <v>Lower</v>
      </c>
      <c r="J151" s="2" t="str">
        <f t="shared" si="61"/>
        <v>Lower</v>
      </c>
      <c r="K151" s="2" t="str">
        <f t="shared" si="62"/>
        <v>Higher</v>
      </c>
      <c r="L151" s="2" t="str">
        <f t="shared" si="63"/>
        <v>Higher</v>
      </c>
      <c r="M151" s="2" t="str">
        <f t="shared" si="64"/>
        <v>Higher</v>
      </c>
      <c r="N151" s="2" t="str">
        <f t="shared" si="65"/>
        <v>Higher</v>
      </c>
      <c r="O151" s="2" t="str">
        <f t="shared" si="66"/>
        <v>Lower</v>
      </c>
      <c r="P151" s="2" t="str">
        <f t="shared" si="67"/>
        <v>Lower</v>
      </c>
      <c r="R151" s="4">
        <f>DATE(2024,1,2)</f>
        <v>45293</v>
      </c>
      <c r="S151">
        <v>0.65088969203787428</v>
      </c>
      <c r="T151">
        <v>7.335031521372852E-2</v>
      </c>
      <c r="U151">
        <v>0.5925074823365889</v>
      </c>
      <c r="V151">
        <v>-0.10071143713052429</v>
      </c>
      <c r="X151" s="4">
        <f>DATE(2024,1,2)</f>
        <v>45293</v>
      </c>
      <c r="Y151">
        <v>28.942741301961146</v>
      </c>
      <c r="Z151">
        <v>22.126470026925123</v>
      </c>
      <c r="AA151">
        <v>76.94</v>
      </c>
      <c r="AB151">
        <v>31.152250000000002</v>
      </c>
      <c r="AC151" t="str">
        <f t="shared" si="68"/>
        <v/>
      </c>
      <c r="AD151">
        <f t="shared" si="69"/>
        <v>-9.2578647261515629E-2</v>
      </c>
      <c r="AE151" t="str">
        <f t="shared" si="70"/>
        <v/>
      </c>
      <c r="AF151" t="str">
        <f t="shared" si="71"/>
        <v/>
      </c>
      <c r="AH151">
        <f t="shared" si="72"/>
        <v>0.106856304965427</v>
      </c>
      <c r="AI151">
        <f t="shared" si="73"/>
        <v>-0.21258961481906827</v>
      </c>
      <c r="AJ151">
        <f t="shared" si="74"/>
        <v>-0.31944591978449527</v>
      </c>
      <c r="AK151">
        <f t="shared" si="75"/>
        <v>-0.87165495444637564</v>
      </c>
      <c r="AM151">
        <f t="shared" si="76"/>
        <v>-8.8623887823056358E-2</v>
      </c>
      <c r="AN151">
        <f t="shared" si="77"/>
        <v>-0.44200699646665959</v>
      </c>
      <c r="AO151">
        <f t="shared" si="78"/>
        <v>-0.35338310864360323</v>
      </c>
      <c r="AP151">
        <f t="shared" si="79"/>
        <v>-0.47355138932663315</v>
      </c>
      <c r="AR151">
        <f t="shared" si="80"/>
        <v>-0.14827545750442991</v>
      </c>
      <c r="AS151">
        <f t="shared" si="81"/>
        <v>-0.31698551917093437</v>
      </c>
      <c r="AT151">
        <f t="shared" si="82"/>
        <v>-0.16871006166650446</v>
      </c>
      <c r="AU151">
        <f t="shared" si="83"/>
        <v>5.3241452820730915E-2</v>
      </c>
    </row>
    <row r="152" spans="1:47" x14ac:dyDescent="0.25">
      <c r="A152" s="4">
        <f>DATE(2024,1,1)</f>
        <v>45292</v>
      </c>
      <c r="E152">
        <f t="shared" si="56"/>
        <v>0.12585432235695862</v>
      </c>
      <c r="F152">
        <f t="shared" si="57"/>
        <v>-4.7050410268692895</v>
      </c>
      <c r="G152">
        <f t="shared" si="58"/>
        <v>-1.2440383847189707</v>
      </c>
      <c r="H152" s="2" t="str">
        <f t="shared" si="59"/>
        <v>Higher</v>
      </c>
      <c r="I152" s="2" t="str">
        <f t="shared" si="60"/>
        <v>Lower</v>
      </c>
      <c r="J152" s="2" t="str">
        <f t="shared" si="61"/>
        <v>Lower</v>
      </c>
      <c r="K152" s="2" t="str">
        <f t="shared" si="62"/>
        <v>Higher</v>
      </c>
      <c r="L152" s="2" t="str">
        <f t="shared" si="63"/>
        <v>Higher</v>
      </c>
      <c r="M152" s="2" t="str">
        <f t="shared" si="64"/>
        <v>Higher</v>
      </c>
      <c r="N152" s="2" t="str">
        <f t="shared" si="65"/>
        <v>Higher</v>
      </c>
      <c r="O152" s="2" t="str">
        <f t="shared" si="66"/>
        <v>Lower</v>
      </c>
      <c r="P152" s="2" t="str">
        <f t="shared" si="67"/>
        <v>Lower</v>
      </c>
      <c r="R152" s="4">
        <f>DATE(2024,1,1)</f>
        <v>45292</v>
      </c>
      <c r="X152" s="4">
        <f>DATE(2024,1,1)</f>
        <v>45292</v>
      </c>
      <c r="AC152" t="str">
        <f t="shared" si="68"/>
        <v/>
      </c>
      <c r="AD152" t="str">
        <f t="shared" si="69"/>
        <v/>
      </c>
      <c r="AE152" t="str">
        <f t="shared" si="70"/>
        <v/>
      </c>
      <c r="AF152" t="str">
        <f t="shared" si="71"/>
        <v/>
      </c>
      <c r="AH152" t="str">
        <f t="shared" si="72"/>
        <v/>
      </c>
      <c r="AI152" t="str">
        <f t="shared" si="73"/>
        <v/>
      </c>
      <c r="AJ152" t="str">
        <f t="shared" si="74"/>
        <v/>
      </c>
      <c r="AK152" t="str">
        <f t="shared" si="75"/>
        <v/>
      </c>
      <c r="AM152" t="str">
        <f t="shared" si="76"/>
        <v/>
      </c>
      <c r="AN152" t="str">
        <f t="shared" si="77"/>
        <v/>
      </c>
      <c r="AO152" t="str">
        <f t="shared" si="78"/>
        <v/>
      </c>
      <c r="AP152" t="str">
        <f t="shared" si="79"/>
        <v/>
      </c>
      <c r="AR152" t="str">
        <f t="shared" si="80"/>
        <v/>
      </c>
      <c r="AS152" t="str">
        <f t="shared" si="81"/>
        <v/>
      </c>
      <c r="AT152" t="str">
        <f t="shared" si="82"/>
        <v/>
      </c>
      <c r="AU152" t="str">
        <f t="shared" si="83"/>
        <v/>
      </c>
    </row>
    <row r="153" spans="1:47" x14ac:dyDescent="0.25">
      <c r="A153" s="4">
        <f>DATE(2023,12,29)</f>
        <v>45289</v>
      </c>
      <c r="B153">
        <v>1.387512266592893</v>
      </c>
      <c r="C153">
        <v>63.68476418638064</v>
      </c>
      <c r="D153">
        <v>0.95075309665768881</v>
      </c>
      <c r="E153">
        <f t="shared" si="56"/>
        <v>3.5058252786343429</v>
      </c>
      <c r="F153">
        <f t="shared" si="57"/>
        <v>2.1176953324517136</v>
      </c>
      <c r="G153">
        <f t="shared" si="58"/>
        <v>1.9945308737880276</v>
      </c>
      <c r="H153" s="2" t="str">
        <f t="shared" si="59"/>
        <v>Higher</v>
      </c>
      <c r="I153" s="2" t="str">
        <f t="shared" si="60"/>
        <v>Lower</v>
      </c>
      <c r="J153" s="2" t="str">
        <f t="shared" si="61"/>
        <v>Lower</v>
      </c>
      <c r="K153" s="2" t="str">
        <f t="shared" si="62"/>
        <v>Higher</v>
      </c>
      <c r="L153" s="2" t="str">
        <f t="shared" si="63"/>
        <v>Higher</v>
      </c>
      <c r="M153" s="2" t="str">
        <f t="shared" si="64"/>
        <v>Higher</v>
      </c>
      <c r="N153" s="2" t="str">
        <f t="shared" si="65"/>
        <v>Higher</v>
      </c>
      <c r="O153" s="2" t="str">
        <f t="shared" si="66"/>
        <v>Lower</v>
      </c>
      <c r="P153" s="2" t="str">
        <f t="shared" si="67"/>
        <v>Lower</v>
      </c>
      <c r="R153" s="4">
        <f>DATE(2023,12,29)</f>
        <v>45289</v>
      </c>
      <c r="S153">
        <v>-0.348767147678477</v>
      </c>
      <c r="T153">
        <v>0.19339210411437233</v>
      </c>
      <c r="U153">
        <v>0.58767627038586689</v>
      </c>
      <c r="V153">
        <v>-0.10088700065444189</v>
      </c>
      <c r="X153" s="4">
        <f>DATE(2023,12,29)</f>
        <v>45289</v>
      </c>
      <c r="Y153">
        <v>35.10347510044349</v>
      </c>
      <c r="Z153">
        <v>24.497715211417592</v>
      </c>
      <c r="AA153">
        <v>80.257499999999993</v>
      </c>
      <c r="AB153">
        <v>32.6</v>
      </c>
      <c r="AC153">
        <f t="shared" si="68"/>
        <v>2.2300839146901143E-2</v>
      </c>
      <c r="AD153">
        <f t="shared" si="69"/>
        <v>-4.5666681766210367E-2</v>
      </c>
      <c r="AE153">
        <f t="shared" si="70"/>
        <v>-6.7967520913111507E-2</v>
      </c>
      <c r="AF153">
        <f t="shared" si="71"/>
        <v>-0.33741743876861763</v>
      </c>
      <c r="AH153">
        <f t="shared" si="72"/>
        <v>0.10607721637248622</v>
      </c>
      <c r="AI153">
        <f t="shared" si="73"/>
        <v>-0.28185801359629831</v>
      </c>
      <c r="AJ153">
        <f t="shared" si="74"/>
        <v>-0.38793522996878455</v>
      </c>
      <c r="AK153">
        <f t="shared" si="75"/>
        <v>-1.0841680345390279</v>
      </c>
      <c r="AM153">
        <f t="shared" si="76"/>
        <v>-3.5447798312152499E-3</v>
      </c>
      <c r="AN153">
        <f t="shared" si="77"/>
        <v>-0.14595769963401095</v>
      </c>
      <c r="AO153">
        <f t="shared" si="78"/>
        <v>-0.14241291980279569</v>
      </c>
      <c r="AP153">
        <f t="shared" si="79"/>
        <v>-8.8900458394919959E-2</v>
      </c>
      <c r="AR153">
        <f t="shared" si="80"/>
        <v>-0.1035646792696971</v>
      </c>
      <c r="AS153">
        <f t="shared" si="81"/>
        <v>-0.23553274499815413</v>
      </c>
      <c r="AT153">
        <f t="shared" si="82"/>
        <v>-0.13196806572845704</v>
      </c>
      <c r="AU153">
        <f t="shared" si="83"/>
        <v>8.6531268017692398E-2</v>
      </c>
    </row>
    <row r="154" spans="1:47" x14ac:dyDescent="0.25">
      <c r="A154" s="4">
        <f>DATE(2023,12,28)</f>
        <v>45288</v>
      </c>
      <c r="B154">
        <v>1.3853729834437445</v>
      </c>
      <c r="C154">
        <v>63.310746361018062</v>
      </c>
      <c r="D154">
        <v>1.0065991263911835</v>
      </c>
      <c r="E154">
        <f t="shared" si="56"/>
        <v>3.7148845151436687</v>
      </c>
      <c r="F154">
        <f t="shared" si="57"/>
        <v>2.1177931946578981</v>
      </c>
      <c r="G154">
        <f t="shared" si="58"/>
        <v>2.228320571906421</v>
      </c>
      <c r="H154" s="2" t="str">
        <f t="shared" si="59"/>
        <v>Higher</v>
      </c>
      <c r="I154" s="2" t="str">
        <f t="shared" si="60"/>
        <v>Lower</v>
      </c>
      <c r="J154" s="2" t="str">
        <f t="shared" si="61"/>
        <v>Lower</v>
      </c>
      <c r="K154" s="2" t="str">
        <f t="shared" si="62"/>
        <v>Higher</v>
      </c>
      <c r="L154" s="2" t="str">
        <f t="shared" si="63"/>
        <v>Higher</v>
      </c>
      <c r="M154" s="2" t="str">
        <f t="shared" si="64"/>
        <v>Higher</v>
      </c>
      <c r="N154" s="2" t="str">
        <f t="shared" si="65"/>
        <v>Higher</v>
      </c>
      <c r="O154" s="2" t="str">
        <f t="shared" si="66"/>
        <v>Lower</v>
      </c>
      <c r="P154" s="2" t="str">
        <f t="shared" si="67"/>
        <v>Lower</v>
      </c>
      <c r="R154" s="4">
        <f>DATE(2023,12,28)</f>
        <v>45288</v>
      </c>
      <c r="S154">
        <v>0.30200363847522721</v>
      </c>
      <c r="T154">
        <v>0.34607764914793554</v>
      </c>
      <c r="U154">
        <v>0.61110661792125476</v>
      </c>
      <c r="V154">
        <v>-8.4923622043996186E-2</v>
      </c>
      <c r="X154" s="4">
        <f>DATE(2023,12,28)</f>
        <v>45288</v>
      </c>
      <c r="Y154">
        <v>35.498569095558459</v>
      </c>
      <c r="Z154">
        <v>26.41910180310505</v>
      </c>
      <c r="AA154">
        <v>79.944999999999993</v>
      </c>
      <c r="AB154">
        <v>33.332499999999996</v>
      </c>
      <c r="AC154">
        <f t="shared" si="68"/>
        <v>3.1641775679057273E-2</v>
      </c>
      <c r="AD154">
        <f t="shared" si="69"/>
        <v>-3.8916332302689823E-2</v>
      </c>
      <c r="AE154">
        <f t="shared" si="70"/>
        <v>-7.0558107981747095E-2</v>
      </c>
      <c r="AF154">
        <f t="shared" si="71"/>
        <v>-0.34741453352413115</v>
      </c>
      <c r="AH154">
        <f t="shared" si="72"/>
        <v>0.11943396927810689</v>
      </c>
      <c r="AI154">
        <f t="shared" si="73"/>
        <v>-0.22867536127978821</v>
      </c>
      <c r="AJ154">
        <f t="shared" si="74"/>
        <v>-0.34810933055789511</v>
      </c>
      <c r="AK154">
        <f t="shared" si="75"/>
        <v>-0.96625615900857131</v>
      </c>
      <c r="AM154">
        <f t="shared" si="76"/>
        <v>-1.2153008295755042E-2</v>
      </c>
      <c r="AN154">
        <f t="shared" si="77"/>
        <v>-9.1354540600702194E-2</v>
      </c>
      <c r="AO154">
        <f t="shared" si="78"/>
        <v>-7.9201532304947156E-2</v>
      </c>
      <c r="AP154">
        <f t="shared" si="79"/>
        <v>2.6414400322343518E-2</v>
      </c>
      <c r="AR154">
        <f t="shared" si="80"/>
        <v>-0.14044967881165674</v>
      </c>
      <c r="AS154">
        <f t="shared" si="81"/>
        <v>-0.25714670036876641</v>
      </c>
      <c r="AT154">
        <f t="shared" si="82"/>
        <v>-0.11669702155710968</v>
      </c>
      <c r="AU154">
        <f t="shared" si="83"/>
        <v>9.9487081321007267E-2</v>
      </c>
    </row>
    <row r="155" spans="1:47" x14ac:dyDescent="0.25">
      <c r="A155" s="4">
        <f>DATE(2023,12,27)</f>
        <v>45287</v>
      </c>
      <c r="B155">
        <v>1.301637480054094</v>
      </c>
      <c r="C155">
        <v>62.872101188572636</v>
      </c>
      <c r="D155">
        <v>1.0617816529112318</v>
      </c>
      <c r="E155">
        <f t="shared" si="56"/>
        <v>3.7410508207769464</v>
      </c>
      <c r="F155">
        <f t="shared" si="57"/>
        <v>2.1161712597055149</v>
      </c>
      <c r="G155">
        <f t="shared" si="58"/>
        <v>2.4805216301871593</v>
      </c>
      <c r="H155" s="2" t="str">
        <f t="shared" si="59"/>
        <v>Lower</v>
      </c>
      <c r="I155" s="2" t="str">
        <f t="shared" si="60"/>
        <v>Lower</v>
      </c>
      <c r="J155" s="2" t="str">
        <f t="shared" si="61"/>
        <v>Lower</v>
      </c>
      <c r="K155" s="2" t="str">
        <f t="shared" si="62"/>
        <v>Higher</v>
      </c>
      <c r="L155" s="2" t="str">
        <f t="shared" si="63"/>
        <v>Higher</v>
      </c>
      <c r="M155" s="2" t="str">
        <f t="shared" si="64"/>
        <v>Higher</v>
      </c>
      <c r="N155" s="2" t="str">
        <f t="shared" si="65"/>
        <v>Higher</v>
      </c>
      <c r="O155" s="2" t="str">
        <f t="shared" si="66"/>
        <v>Lower</v>
      </c>
      <c r="P155" s="2" t="str">
        <f t="shared" si="67"/>
        <v>Lower</v>
      </c>
      <c r="R155" s="4">
        <f>DATE(2023,12,27)</f>
        <v>45287</v>
      </c>
      <c r="S155">
        <v>0.93932348489848627</v>
      </c>
      <c r="T155">
        <v>0.48575090030266221</v>
      </c>
      <c r="U155">
        <v>0.63391804579022493</v>
      </c>
      <c r="V155">
        <v>-6.0183450611048621E-2</v>
      </c>
      <c r="X155" s="4">
        <f>DATE(2023,12,27)</f>
        <v>45287</v>
      </c>
      <c r="Y155">
        <v>37.240207599430633</v>
      </c>
      <c r="Z155">
        <v>28.474055317875706</v>
      </c>
      <c r="AA155">
        <v>79.997500000000002</v>
      </c>
      <c r="AB155">
        <v>35.850250000000003</v>
      </c>
      <c r="AC155">
        <f t="shared" si="68"/>
        <v>6.8950460346654543E-2</v>
      </c>
      <c r="AD155">
        <f t="shared" si="69"/>
        <v>6.4028659344617114E-2</v>
      </c>
      <c r="AE155">
        <f t="shared" si="70"/>
        <v>-4.9218010020374292E-3</v>
      </c>
      <c r="AF155">
        <f t="shared" si="71"/>
        <v>3.8346839412433789E-2</v>
      </c>
      <c r="AH155">
        <f t="shared" si="72"/>
        <v>0.1128575315903264</v>
      </c>
      <c r="AI155">
        <f t="shared" si="73"/>
        <v>-0.11926263682894048</v>
      </c>
      <c r="AJ155">
        <f t="shared" si="74"/>
        <v>-0.23212016841926686</v>
      </c>
      <c r="AK155">
        <f t="shared" si="75"/>
        <v>-0.61419253217019387</v>
      </c>
      <c r="AM155">
        <f t="shared" si="76"/>
        <v>-1.6734717599738748E-2</v>
      </c>
      <c r="AN155">
        <f t="shared" si="77"/>
        <v>-6.1467234013147971E-2</v>
      </c>
      <c r="AO155">
        <f t="shared" si="78"/>
        <v>-4.4732516413409223E-2</v>
      </c>
      <c r="AP155">
        <f t="shared" si="79"/>
        <v>8.9104103283089348E-2</v>
      </c>
      <c r="AR155">
        <f t="shared" si="80"/>
        <v>-0.11388992925251856</v>
      </c>
      <c r="AS155">
        <f t="shared" si="81"/>
        <v>-0.11851962574246848</v>
      </c>
      <c r="AT155">
        <f t="shared" si="82"/>
        <v>-4.6296964899499166E-3</v>
      </c>
      <c r="AU155">
        <f t="shared" si="83"/>
        <v>0.21070977014816419</v>
      </c>
    </row>
    <row r="156" spans="1:47" x14ac:dyDescent="0.25">
      <c r="A156" s="4">
        <f>DATE(2023,12,26)</f>
        <v>45286</v>
      </c>
      <c r="E156">
        <f t="shared" si="56"/>
        <v>0.26058458780311716</v>
      </c>
      <c r="F156">
        <f t="shared" si="57"/>
        <v>-4.9200028464955849</v>
      </c>
      <c r="G156">
        <f t="shared" si="58"/>
        <v>-1.2819239478946958</v>
      </c>
      <c r="H156" s="2" t="str">
        <f t="shared" si="59"/>
        <v>Lower</v>
      </c>
      <c r="I156" s="2" t="str">
        <f t="shared" si="60"/>
        <v>Lower</v>
      </c>
      <c r="J156" s="2" t="str">
        <f t="shared" si="61"/>
        <v>Lower</v>
      </c>
      <c r="K156" s="2" t="str">
        <f t="shared" si="62"/>
        <v>Lower</v>
      </c>
      <c r="L156" s="2" t="str">
        <f t="shared" si="63"/>
        <v>Lower</v>
      </c>
      <c r="M156" s="2" t="str">
        <f t="shared" si="64"/>
        <v>Higher</v>
      </c>
      <c r="N156" s="2" t="str">
        <f t="shared" si="65"/>
        <v>Higher</v>
      </c>
      <c r="O156" s="2" t="str">
        <f t="shared" si="66"/>
        <v>Lower</v>
      </c>
      <c r="P156" s="2" t="str">
        <f t="shared" si="67"/>
        <v>Lower</v>
      </c>
      <c r="R156" s="4">
        <f>DATE(2023,12,26)</f>
        <v>45286</v>
      </c>
      <c r="X156" s="4">
        <f>DATE(2023,12,26)</f>
        <v>45286</v>
      </c>
      <c r="Z156">
        <v>22.168508609422862</v>
      </c>
      <c r="AB156">
        <v>34.173999999999999</v>
      </c>
      <c r="AC156" t="str">
        <f t="shared" si="68"/>
        <v/>
      </c>
      <c r="AD156">
        <f t="shared" si="69"/>
        <v>3.7642980258104544E-2</v>
      </c>
      <c r="AE156" t="str">
        <f t="shared" si="70"/>
        <v/>
      </c>
      <c r="AF156" t="str">
        <f t="shared" si="71"/>
        <v/>
      </c>
      <c r="AH156" t="str">
        <f t="shared" si="72"/>
        <v/>
      </c>
      <c r="AI156">
        <f t="shared" si="73"/>
        <v>-0.22806499634503705</v>
      </c>
      <c r="AJ156" t="str">
        <f t="shared" si="74"/>
        <v/>
      </c>
      <c r="AK156" t="str">
        <f t="shared" si="75"/>
        <v/>
      </c>
      <c r="AM156" t="str">
        <f t="shared" si="76"/>
        <v/>
      </c>
      <c r="AN156">
        <f t="shared" si="77"/>
        <v>-7.7721564178606387E-2</v>
      </c>
      <c r="AO156" t="str">
        <f t="shared" si="78"/>
        <v/>
      </c>
      <c r="AP156" t="str">
        <f t="shared" si="79"/>
        <v/>
      </c>
      <c r="AR156" t="str">
        <f t="shared" si="80"/>
        <v/>
      </c>
      <c r="AS156">
        <f t="shared" si="81"/>
        <v>-0.19534214349477372</v>
      </c>
      <c r="AT156" t="str">
        <f t="shared" si="82"/>
        <v/>
      </c>
      <c r="AU156" t="str">
        <f t="shared" si="83"/>
        <v/>
      </c>
    </row>
    <row r="157" spans="1:47" x14ac:dyDescent="0.25">
      <c r="A157" s="4">
        <f>DATE(2023,12,25)</f>
        <v>45285</v>
      </c>
      <c r="E157">
        <f t="shared" si="56"/>
        <v>0.26091200064236381</v>
      </c>
      <c r="F157">
        <f t="shared" si="57"/>
        <v>-4.930502066447958</v>
      </c>
      <c r="G157">
        <f t="shared" si="58"/>
        <v>-1.2899546052614623</v>
      </c>
      <c r="H157" s="2" t="str">
        <f t="shared" si="59"/>
        <v>Lower</v>
      </c>
      <c r="I157" s="2" t="str">
        <f t="shared" si="60"/>
        <v>Lower</v>
      </c>
      <c r="J157" s="2" t="str">
        <f t="shared" si="61"/>
        <v>Lower</v>
      </c>
      <c r="K157" s="2" t="str">
        <f t="shared" si="62"/>
        <v>Lower</v>
      </c>
      <c r="L157" s="2" t="str">
        <f t="shared" si="63"/>
        <v>Lower</v>
      </c>
      <c r="M157" s="2" t="str">
        <f t="shared" si="64"/>
        <v>Higher</v>
      </c>
      <c r="N157" s="2" t="str">
        <f t="shared" si="65"/>
        <v>Lower</v>
      </c>
      <c r="O157" s="2" t="str">
        <f t="shared" si="66"/>
        <v>Lower</v>
      </c>
      <c r="P157" s="2" t="str">
        <f t="shared" si="67"/>
        <v>Lower</v>
      </c>
      <c r="R157" s="4">
        <f>DATE(2023,12,25)</f>
        <v>45285</v>
      </c>
      <c r="X157" s="4">
        <f>DATE(2023,12,25)</f>
        <v>45285</v>
      </c>
      <c r="AC157" t="str">
        <f t="shared" si="68"/>
        <v/>
      </c>
      <c r="AD157" t="str">
        <f t="shared" si="69"/>
        <v/>
      </c>
      <c r="AE157" t="str">
        <f t="shared" si="70"/>
        <v/>
      </c>
      <c r="AF157" t="str">
        <f t="shared" si="71"/>
        <v/>
      </c>
      <c r="AH157" t="str">
        <f t="shared" si="72"/>
        <v/>
      </c>
      <c r="AI157" t="str">
        <f t="shared" si="73"/>
        <v/>
      </c>
      <c r="AJ157" t="str">
        <f t="shared" si="74"/>
        <v/>
      </c>
      <c r="AK157" t="str">
        <f t="shared" si="75"/>
        <v/>
      </c>
      <c r="AM157" t="str">
        <f t="shared" si="76"/>
        <v/>
      </c>
      <c r="AN157" t="str">
        <f t="shared" si="77"/>
        <v/>
      </c>
      <c r="AO157" t="str">
        <f t="shared" si="78"/>
        <v/>
      </c>
      <c r="AP157" t="str">
        <f t="shared" si="79"/>
        <v/>
      </c>
      <c r="AR157" t="str">
        <f t="shared" si="80"/>
        <v/>
      </c>
      <c r="AS157" t="str">
        <f t="shared" si="81"/>
        <v/>
      </c>
      <c r="AT157" t="str">
        <f t="shared" si="82"/>
        <v/>
      </c>
      <c r="AU157" t="str">
        <f t="shared" si="83"/>
        <v/>
      </c>
    </row>
    <row r="158" spans="1:47" x14ac:dyDescent="0.25">
      <c r="A158" s="4">
        <f>DATE(2023,12,22)</f>
        <v>45282</v>
      </c>
      <c r="B158">
        <v>1.1038344319212148</v>
      </c>
      <c r="C158">
        <v>60.601763053290689</v>
      </c>
      <c r="D158">
        <v>1.0400552374143042</v>
      </c>
      <c r="E158">
        <f t="shared" si="56"/>
        <v>3.4542907276563732</v>
      </c>
      <c r="F158">
        <f t="shared" si="57"/>
        <v>1.9071583432041901</v>
      </c>
      <c r="G158">
        <f t="shared" si="58"/>
        <v>2.478757158233734</v>
      </c>
      <c r="H158" s="2" t="str">
        <f t="shared" si="59"/>
        <v>Lower</v>
      </c>
      <c r="I158" s="2" t="str">
        <f t="shared" si="60"/>
        <v>Lower</v>
      </c>
      <c r="J158" s="2" t="str">
        <f t="shared" si="61"/>
        <v>Lower</v>
      </c>
      <c r="K158" s="2" t="str">
        <f t="shared" si="62"/>
        <v>Higher</v>
      </c>
      <c r="L158" s="2" t="str">
        <f t="shared" si="63"/>
        <v>Lower</v>
      </c>
      <c r="M158" s="2" t="str">
        <f t="shared" si="64"/>
        <v>Higher</v>
      </c>
      <c r="N158" s="2" t="str">
        <f t="shared" si="65"/>
        <v>Lower</v>
      </c>
      <c r="O158" s="2" t="str">
        <f t="shared" si="66"/>
        <v>Lower</v>
      </c>
      <c r="P158" s="2" t="str">
        <f t="shared" si="67"/>
        <v>Lower</v>
      </c>
      <c r="R158" s="4">
        <f>DATE(2023,12,22)</f>
        <v>45282</v>
      </c>
      <c r="S158">
        <v>-0.18538765691834513</v>
      </c>
      <c r="T158">
        <v>0.59977135234599166</v>
      </c>
      <c r="U158">
        <v>0.65067076648960043</v>
      </c>
      <c r="V158">
        <v>-5.2237807173170524E-2</v>
      </c>
      <c r="X158" s="4">
        <f>DATE(2023,12,22)</f>
        <v>45282</v>
      </c>
      <c r="Y158">
        <v>34.685174474398032</v>
      </c>
      <c r="Z158">
        <v>22.168502553446071</v>
      </c>
      <c r="AA158">
        <v>78.487499999999997</v>
      </c>
      <c r="AB158">
        <v>34.123249999999999</v>
      </c>
      <c r="AC158">
        <f t="shared" si="68"/>
        <v>0.16299682675896121</v>
      </c>
      <c r="AD158">
        <f t="shared" si="69"/>
        <v>1.9792663464887374E-2</v>
      </c>
      <c r="AE158">
        <f t="shared" si="70"/>
        <v>-0.14320416329407384</v>
      </c>
      <c r="AF158">
        <f t="shared" si="71"/>
        <v>-0.75596594485663104</v>
      </c>
      <c r="AH158">
        <f t="shared" si="72"/>
        <v>2.4374937302001271E-2</v>
      </c>
      <c r="AI158">
        <f t="shared" si="73"/>
        <v>-0.30637176333327204</v>
      </c>
      <c r="AJ158">
        <f t="shared" si="74"/>
        <v>-0.33074670063527334</v>
      </c>
      <c r="AK158">
        <f t="shared" si="75"/>
        <v>-0.92291255696879559</v>
      </c>
      <c r="AM158">
        <f t="shared" si="76"/>
        <v>-4.3718893355181213E-2</v>
      </c>
      <c r="AN158">
        <f t="shared" si="77"/>
        <v>-0.20738107642259071</v>
      </c>
      <c r="AO158">
        <f t="shared" si="78"/>
        <v>-0.16366218306740948</v>
      </c>
      <c r="AP158">
        <f t="shared" si="79"/>
        <v>-0.12942423637043216</v>
      </c>
      <c r="AR158">
        <f t="shared" si="80"/>
        <v>-0.11024108508491165</v>
      </c>
      <c r="AS158">
        <f t="shared" si="81"/>
        <v>-0.23141880043828111</v>
      </c>
      <c r="AT158">
        <f t="shared" si="82"/>
        <v>-0.12117771535336946</v>
      </c>
      <c r="AU158">
        <f t="shared" si="83"/>
        <v>8.5980710835457927E-2</v>
      </c>
    </row>
    <row r="159" spans="1:47" x14ac:dyDescent="0.25">
      <c r="A159" s="4">
        <f>DATE(2023,12,21)</f>
        <v>45281</v>
      </c>
      <c r="B159">
        <v>0.83491946521597438</v>
      </c>
      <c r="C159">
        <v>58.391055886328076</v>
      </c>
      <c r="D159">
        <v>0.92879845912596937</v>
      </c>
      <c r="E159">
        <f t="shared" si="56"/>
        <v>2.803468844611511</v>
      </c>
      <c r="F159">
        <f t="shared" si="57"/>
        <v>1.688190291859053</v>
      </c>
      <c r="G159">
        <f t="shared" si="58"/>
        <v>2.1352670507803015</v>
      </c>
      <c r="H159" s="2" t="str">
        <f t="shared" si="59"/>
        <v>Lower</v>
      </c>
      <c r="I159" s="2" t="str">
        <f t="shared" si="60"/>
        <v>Lower</v>
      </c>
      <c r="J159" s="2" t="str">
        <f t="shared" si="61"/>
        <v>Lower</v>
      </c>
      <c r="K159" s="2" t="str">
        <f t="shared" si="62"/>
        <v>Lower</v>
      </c>
      <c r="L159" s="2" t="str">
        <f t="shared" si="63"/>
        <v>Lower</v>
      </c>
      <c r="M159" s="2" t="str">
        <f t="shared" si="64"/>
        <v>Higher</v>
      </c>
      <c r="N159" s="2" t="str">
        <f t="shared" si="65"/>
        <v>Lower</v>
      </c>
      <c r="O159" s="2" t="str">
        <f t="shared" si="66"/>
        <v>Lower</v>
      </c>
      <c r="P159" s="2" t="str">
        <f t="shared" si="67"/>
        <v>Lower</v>
      </c>
      <c r="R159" s="4">
        <f>DATE(2023,12,21)</f>
        <v>45281</v>
      </c>
      <c r="S159">
        <v>6.6761073439101197E-3</v>
      </c>
      <c r="T159">
        <v>0.72072326959355071</v>
      </c>
      <c r="U159">
        <v>0.65470644972134717</v>
      </c>
      <c r="V159">
        <v>-4.7900728665076504E-2</v>
      </c>
      <c r="X159" s="4">
        <f>DATE(2023,12,21)</f>
        <v>45281</v>
      </c>
      <c r="Y159">
        <v>35.534224112148607</v>
      </c>
      <c r="Z159">
        <v>22.933293917718224</v>
      </c>
      <c r="AA159">
        <v>77.454999999999998</v>
      </c>
      <c r="AB159">
        <v>34.655250000000002</v>
      </c>
      <c r="AC159">
        <f t="shared" si="68"/>
        <v>0.13857002501342552</v>
      </c>
      <c r="AD159">
        <f t="shared" si="69"/>
        <v>-1.6555200750412412E-2</v>
      </c>
      <c r="AE159">
        <f t="shared" si="70"/>
        <v>-0.15512522576383794</v>
      </c>
      <c r="AF159">
        <f t="shared" si="71"/>
        <v>-0.82369604624728199</v>
      </c>
      <c r="AH159">
        <f t="shared" si="72"/>
        <v>1.4925892899456108E-2</v>
      </c>
      <c r="AI159" t="str">
        <f t="shared" si="73"/>
        <v/>
      </c>
      <c r="AJ159" t="str">
        <f t="shared" si="74"/>
        <v/>
      </c>
      <c r="AK159" t="str">
        <f t="shared" si="75"/>
        <v/>
      </c>
      <c r="AM159">
        <f t="shared" si="76"/>
        <v>-6.4554659410292245E-2</v>
      </c>
      <c r="AN159">
        <f t="shared" si="77"/>
        <v>-0.14699884968079524</v>
      </c>
      <c r="AO159">
        <f t="shared" si="78"/>
        <v>-8.2444190270502996E-2</v>
      </c>
      <c r="AP159">
        <f t="shared" si="79"/>
        <v>1.5814888936867572E-2</v>
      </c>
      <c r="AR159">
        <f t="shared" si="80"/>
        <v>-0.12817931902225496</v>
      </c>
      <c r="AS159">
        <f t="shared" si="81"/>
        <v>-0.23493772904789087</v>
      </c>
      <c r="AT159">
        <f t="shared" si="82"/>
        <v>-0.10675841002563591</v>
      </c>
      <c r="AU159">
        <f t="shared" si="83"/>
        <v>9.7000534840265468E-2</v>
      </c>
    </row>
    <row r="160" spans="1:47" x14ac:dyDescent="0.25">
      <c r="A160" s="4">
        <f>DATE(2023,12,20)</f>
        <v>45280</v>
      </c>
      <c r="B160">
        <v>0.47192613186613297</v>
      </c>
      <c r="C160">
        <v>52.714564540648787</v>
      </c>
      <c r="D160">
        <v>0.69229260527058334</v>
      </c>
      <c r="E160">
        <f t="shared" si="56"/>
        <v>1.7184256418372816</v>
      </c>
      <c r="F160">
        <f t="shared" si="57"/>
        <v>1.0457214055461324</v>
      </c>
      <c r="G160">
        <f t="shared" si="58"/>
        <v>1.2796257625299856</v>
      </c>
      <c r="H160" s="2" t="str">
        <f t="shared" si="59"/>
        <v>Lower</v>
      </c>
      <c r="I160" s="2" t="str">
        <f t="shared" si="60"/>
        <v>Lower</v>
      </c>
      <c r="J160" s="2" t="str">
        <f t="shared" si="61"/>
        <v>Lower</v>
      </c>
      <c r="K160" s="2" t="str">
        <f t="shared" si="62"/>
        <v>Lower</v>
      </c>
      <c r="L160" s="2" t="str">
        <f t="shared" si="63"/>
        <v>Lower</v>
      </c>
      <c r="M160" s="2" t="str">
        <f t="shared" si="64"/>
        <v>Lower</v>
      </c>
      <c r="N160" s="2" t="str">
        <f t="shared" si="65"/>
        <v>Lower</v>
      </c>
      <c r="O160" s="2" t="str">
        <f t="shared" si="66"/>
        <v>Lower</v>
      </c>
      <c r="P160" s="2" t="str">
        <f t="shared" si="67"/>
        <v>Lower</v>
      </c>
      <c r="R160" s="4">
        <f>DATE(2023,12,20)</f>
        <v>45280</v>
      </c>
      <c r="S160">
        <v>-0.34076843050447908</v>
      </c>
      <c r="T160">
        <v>0.82666317864704231</v>
      </c>
      <c r="U160">
        <v>0.65279161822048259</v>
      </c>
      <c r="V160">
        <v>-4.4096689796239298E-2</v>
      </c>
      <c r="X160" s="4">
        <f>DATE(2023,12,20)</f>
        <v>45280</v>
      </c>
      <c r="Y160">
        <v>30.057757424203498</v>
      </c>
      <c r="Z160">
        <v>19.839058867638876</v>
      </c>
      <c r="AA160">
        <v>74.667500000000004</v>
      </c>
      <c r="AB160">
        <v>33.626750000000001</v>
      </c>
      <c r="AC160">
        <f t="shared" si="68"/>
        <v>7.9953426941375097E-2</v>
      </c>
      <c r="AD160">
        <f t="shared" si="69"/>
        <v>-5.8069557954362257E-2</v>
      </c>
      <c r="AE160">
        <f t="shared" si="70"/>
        <v>-0.13802298489573736</v>
      </c>
      <c r="AF160">
        <f t="shared" si="71"/>
        <v>-0.73002568331141127</v>
      </c>
      <c r="AH160">
        <f t="shared" si="72"/>
        <v>-9.0326420311820435E-3</v>
      </c>
      <c r="AI160">
        <f t="shared" si="73"/>
        <v>-0.27857615514178702</v>
      </c>
      <c r="AJ160">
        <f t="shared" si="74"/>
        <v>-0.26954351311060498</v>
      </c>
      <c r="AK160">
        <f t="shared" si="75"/>
        <v>-0.74369179917383732</v>
      </c>
      <c r="AM160">
        <f t="shared" si="76"/>
        <v>-9.7417309704151925E-2</v>
      </c>
      <c r="AN160">
        <f t="shared" si="77"/>
        <v>-0.15864696020078717</v>
      </c>
      <c r="AO160">
        <f t="shared" si="78"/>
        <v>-6.1229650496635243E-2</v>
      </c>
      <c r="AP160">
        <f t="shared" si="79"/>
        <v>5.2524402662585831E-2</v>
      </c>
      <c r="AR160">
        <f t="shared" si="80"/>
        <v>-0.19470535844157241</v>
      </c>
      <c r="AS160">
        <f t="shared" si="81"/>
        <v>-0.24796907045035183</v>
      </c>
      <c r="AT160">
        <f t="shared" si="82"/>
        <v>-5.3263712008779412E-2</v>
      </c>
      <c r="AU160">
        <f t="shared" si="83"/>
        <v>0.14777397436834425</v>
      </c>
    </row>
    <row r="161" spans="1:47" x14ac:dyDescent="0.25">
      <c r="A161" s="4">
        <f>DATE(2023,12,19)</f>
        <v>45279</v>
      </c>
      <c r="B161">
        <v>0.12765120757124171</v>
      </c>
      <c r="C161">
        <v>40.533278333606667</v>
      </c>
      <c r="D161">
        <v>0.35614330203789313</v>
      </c>
      <c r="E161">
        <f t="shared" si="56"/>
        <v>0.63973363871902988</v>
      </c>
      <c r="F161">
        <f t="shared" si="57"/>
        <v>-0.35858031501846793</v>
      </c>
      <c r="G161">
        <f t="shared" si="58"/>
        <v>1.5709308230475671E-2</v>
      </c>
      <c r="H161" s="2" t="str">
        <f t="shared" si="59"/>
        <v>Lower</v>
      </c>
      <c r="I161" s="2" t="str">
        <f t="shared" si="60"/>
        <v>Lower</v>
      </c>
      <c r="J161" s="2" t="str">
        <f t="shared" si="61"/>
        <v>Lower</v>
      </c>
      <c r="K161" s="2" t="str">
        <f t="shared" si="62"/>
        <v>Lower</v>
      </c>
      <c r="L161" s="2" t="str">
        <f t="shared" si="63"/>
        <v>Lower</v>
      </c>
      <c r="M161" s="2" t="str">
        <f t="shared" si="64"/>
        <v>Lower</v>
      </c>
      <c r="N161" s="2" t="str">
        <f t="shared" si="65"/>
        <v>Lower</v>
      </c>
      <c r="O161" s="2" t="str">
        <f t="shared" si="66"/>
        <v>Lower</v>
      </c>
      <c r="P161" s="2" t="str">
        <f t="shared" si="67"/>
        <v>Lower</v>
      </c>
      <c r="R161" s="4">
        <f>DATE(2023,12,19)</f>
        <v>45279</v>
      </c>
      <c r="S161">
        <v>-0.23170982164963452</v>
      </c>
      <c r="T161">
        <v>0.91011435808288466</v>
      </c>
      <c r="U161">
        <v>0.64206374402205391</v>
      </c>
      <c r="V161">
        <v>-4.4875355149617255E-2</v>
      </c>
      <c r="X161" s="4">
        <f>DATE(2023,12,19)</f>
        <v>45279</v>
      </c>
      <c r="Y161">
        <v>22.047279640795267</v>
      </c>
      <c r="Z161">
        <v>20.312288159005341</v>
      </c>
      <c r="AA161">
        <v>71.537499999999994</v>
      </c>
      <c r="AB161">
        <v>32.911499999999997</v>
      </c>
      <c r="AC161">
        <f t="shared" si="68"/>
        <v>5.1008243467250795E-2</v>
      </c>
      <c r="AD161">
        <f t="shared" si="69"/>
        <v>-6.4920153789452137E-2</v>
      </c>
      <c r="AE161">
        <f t="shared" si="70"/>
        <v>-0.11592839725670293</v>
      </c>
      <c r="AF161">
        <f t="shared" si="71"/>
        <v>-0.60987104820162263</v>
      </c>
      <c r="AH161">
        <f t="shared" si="72"/>
        <v>-5.5961744168313489E-2</v>
      </c>
      <c r="AI161">
        <f t="shared" si="73"/>
        <v>-0.2989104434688446</v>
      </c>
      <c r="AJ161">
        <f t="shared" si="74"/>
        <v>-0.24294869930053112</v>
      </c>
      <c r="AK161">
        <f t="shared" si="75"/>
        <v>-0.66510394534276807</v>
      </c>
      <c r="AM161">
        <f t="shared" si="76"/>
        <v>-0.15306674468730158</v>
      </c>
      <c r="AN161">
        <f t="shared" si="77"/>
        <v>-0.21316733251827674</v>
      </c>
      <c r="AO161">
        <f t="shared" si="78"/>
        <v>-6.0100587830975161E-2</v>
      </c>
      <c r="AP161">
        <f t="shared" si="79"/>
        <v>5.2711720200727459E-2</v>
      </c>
      <c r="AR161">
        <f t="shared" si="80"/>
        <v>-0.26950279917780157</v>
      </c>
      <c r="AS161">
        <f t="shared" si="81"/>
        <v>-0.30897176455861114</v>
      </c>
      <c r="AT161">
        <f t="shared" si="82"/>
        <v>-3.9468965380809573E-2</v>
      </c>
      <c r="AU161">
        <f t="shared" si="83"/>
        <v>0.15871612579057381</v>
      </c>
    </row>
    <row r="162" spans="1:47" x14ac:dyDescent="0.25">
      <c r="A162" s="4">
        <f>DATE(2023,12,18)</f>
        <v>45278</v>
      </c>
      <c r="B162">
        <v>-8.6164031495394866E-3</v>
      </c>
      <c r="C162">
        <v>41.234120697171697</v>
      </c>
      <c r="D162">
        <v>0.35826803800130752</v>
      </c>
      <c r="E162">
        <f t="shared" si="56"/>
        <v>0.19911569991584854</v>
      </c>
      <c r="F162">
        <f t="shared" si="57"/>
        <v>-0.2939288997418576</v>
      </c>
      <c r="G162">
        <f t="shared" si="58"/>
        <v>6.402112772251954E-3</v>
      </c>
      <c r="H162" s="2" t="str">
        <f t="shared" si="59"/>
        <v>Lower</v>
      </c>
      <c r="I162" s="2" t="str">
        <f t="shared" si="60"/>
        <v>Lower</v>
      </c>
      <c r="J162" s="2" t="str">
        <f t="shared" si="61"/>
        <v>Lower</v>
      </c>
      <c r="K162" s="2" t="str">
        <f t="shared" si="62"/>
        <v>Lower</v>
      </c>
      <c r="L162" s="2" t="str">
        <f t="shared" si="63"/>
        <v>Lower</v>
      </c>
      <c r="M162" s="2" t="str">
        <f t="shared" si="64"/>
        <v>Lower</v>
      </c>
      <c r="N162" s="2" t="str">
        <f t="shared" si="65"/>
        <v>Lower</v>
      </c>
      <c r="O162" s="2" t="str">
        <f t="shared" si="66"/>
        <v>Lower</v>
      </c>
      <c r="P162" s="2" t="str">
        <f t="shared" si="67"/>
        <v>Lower</v>
      </c>
      <c r="R162" s="4">
        <f>DATE(2023,12,18)</f>
        <v>45278</v>
      </c>
      <c r="S162">
        <v>0.84890667690869126</v>
      </c>
      <c r="T162">
        <v>0.95596627217155716</v>
      </c>
      <c r="U162">
        <v>0.62460504549403317</v>
      </c>
      <c r="V162">
        <v>-4.7270506992512444E-2</v>
      </c>
      <c r="X162" s="4">
        <f>DATE(2023,12,18)</f>
        <v>45278</v>
      </c>
      <c r="Y162">
        <v>19.472257654607422</v>
      </c>
      <c r="Z162">
        <v>22.294078143676995</v>
      </c>
      <c r="AA162">
        <v>68.764999999999986</v>
      </c>
      <c r="AB162">
        <v>35.223500000000001</v>
      </c>
      <c r="AC162">
        <f t="shared" si="68"/>
        <v>2.1088992009481475E-2</v>
      </c>
      <c r="AD162">
        <f t="shared" si="69"/>
        <v>-3.1074870977690142E-2</v>
      </c>
      <c r="AE162">
        <f t="shared" si="70"/>
        <v>-5.2163862987171614E-2</v>
      </c>
      <c r="AF162">
        <f t="shared" si="71"/>
        <v>-0.25402502373396307</v>
      </c>
      <c r="AH162">
        <f t="shared" si="72"/>
        <v>-0.11011904427313635</v>
      </c>
      <c r="AI162">
        <f t="shared" si="73"/>
        <v>-0.2689476211698073</v>
      </c>
      <c r="AJ162">
        <f t="shared" si="74"/>
        <v>-0.15882857689667096</v>
      </c>
      <c r="AK162">
        <f t="shared" si="75"/>
        <v>-0.40871747520812768</v>
      </c>
      <c r="AM162">
        <f t="shared" si="76"/>
        <v>-0.21550886782504586</v>
      </c>
      <c r="AN162">
        <f t="shared" si="77"/>
        <v>-0.2057980784748917</v>
      </c>
      <c r="AO162">
        <f t="shared" si="78"/>
        <v>9.7107893501541531E-3</v>
      </c>
      <c r="AP162">
        <f t="shared" si="79"/>
        <v>0.177976794466465</v>
      </c>
      <c r="AR162">
        <f t="shared" si="80"/>
        <v>-0.34805431106362006</v>
      </c>
      <c r="AS162">
        <f t="shared" si="81"/>
        <v>-0.34927399596021763</v>
      </c>
      <c r="AT162">
        <f t="shared" si="82"/>
        <v>-1.2196848965975726E-3</v>
      </c>
      <c r="AU162">
        <f t="shared" si="83"/>
        <v>0.19403299389119996</v>
      </c>
    </row>
    <row r="163" spans="1:47" x14ac:dyDescent="0.25">
      <c r="A163" s="4">
        <f>DATE(2023,12,15)</f>
        <v>45275</v>
      </c>
      <c r="B163">
        <v>-0.21555324822784439</v>
      </c>
      <c r="C163">
        <v>29.845239879806289</v>
      </c>
      <c r="D163">
        <v>0.13598380494378817</v>
      </c>
      <c r="E163">
        <f t="shared" si="56"/>
        <v>-0.37405341560451222</v>
      </c>
      <c r="F163">
        <f t="shared" si="57"/>
        <v>-1.554035268272733</v>
      </c>
      <c r="G163">
        <f t="shared" si="58"/>
        <v>-0.8155079913100014</v>
      </c>
      <c r="H163" s="2" t="str">
        <f t="shared" si="59"/>
        <v>Lower</v>
      </c>
      <c r="I163" s="2" t="str">
        <f t="shared" si="60"/>
        <v>Lower</v>
      </c>
      <c r="J163" s="2" t="str">
        <f t="shared" si="61"/>
        <v>Lower</v>
      </c>
      <c r="K163" s="2" t="str">
        <f t="shared" si="62"/>
        <v>Lower</v>
      </c>
      <c r="L163" s="2" t="str">
        <f t="shared" si="63"/>
        <v>Lower</v>
      </c>
      <c r="M163" s="2" t="str">
        <f t="shared" si="64"/>
        <v>Lower</v>
      </c>
      <c r="N163" s="2" t="str">
        <f t="shared" si="65"/>
        <v>Lower</v>
      </c>
      <c r="O163" s="2" t="str">
        <f t="shared" si="66"/>
        <v>Lower</v>
      </c>
      <c r="P163" s="2" t="str">
        <f t="shared" si="67"/>
        <v>Lower</v>
      </c>
      <c r="R163" s="4">
        <f>DATE(2023,12,15)</f>
        <v>45275</v>
      </c>
      <c r="S163">
        <v>0.59994789636080292</v>
      </c>
      <c r="T163">
        <v>0.95989937745548615</v>
      </c>
      <c r="U163">
        <v>0.57063829862392257</v>
      </c>
      <c r="V163">
        <v>-4.4204889259275966E-2</v>
      </c>
      <c r="X163" s="4">
        <f>DATE(2023,12,15)</f>
        <v>45275</v>
      </c>
      <c r="Y163">
        <v>12.6868847074185</v>
      </c>
      <c r="Z163">
        <v>16.481721006865538</v>
      </c>
      <c r="AA163">
        <v>66.68249999999999</v>
      </c>
      <c r="AB163">
        <v>33.454499999999996</v>
      </c>
      <c r="AC163">
        <f t="shared" si="68"/>
        <v>-3.5865405178938881E-2</v>
      </c>
      <c r="AD163">
        <f t="shared" si="69"/>
        <v>-0.16257011711591238</v>
      </c>
      <c r="AE163">
        <f t="shared" si="70"/>
        <v>-0.1267047119369735</v>
      </c>
      <c r="AF163">
        <f t="shared" si="71"/>
        <v>-0.67682725144553579</v>
      </c>
      <c r="AH163">
        <f t="shared" si="72"/>
        <v>-0.14012211803394889</v>
      </c>
      <c r="AI163">
        <f t="shared" si="73"/>
        <v>-0.30603039590114633</v>
      </c>
      <c r="AJ163">
        <f t="shared" si="74"/>
        <v>-0.16590827786719745</v>
      </c>
      <c r="AK163">
        <f t="shared" si="75"/>
        <v>-0.43075512760226486</v>
      </c>
      <c r="AM163">
        <f t="shared" si="76"/>
        <v>-0.24444249704339491</v>
      </c>
      <c r="AN163">
        <f t="shared" si="77"/>
        <v>-0.1835065444354804</v>
      </c>
      <c r="AO163">
        <f t="shared" si="78"/>
        <v>6.0935952607914512E-2</v>
      </c>
      <c r="AP163">
        <f t="shared" si="79"/>
        <v>0.26963661660433208</v>
      </c>
      <c r="AR163">
        <f t="shared" si="80"/>
        <v>-0.40074259352215102</v>
      </c>
      <c r="AS163">
        <f t="shared" si="81"/>
        <v>-0.42771884746826178</v>
      </c>
      <c r="AT163">
        <f t="shared" si="82"/>
        <v>-2.6976253946110751E-2</v>
      </c>
      <c r="AU163">
        <f t="shared" si="83"/>
        <v>0.1649335750793518</v>
      </c>
    </row>
    <row r="164" spans="1:47" x14ac:dyDescent="0.25">
      <c r="A164" s="4">
        <f>DATE(2023,12,14)</f>
        <v>45274</v>
      </c>
      <c r="B164">
        <v>-0.21251216856495425</v>
      </c>
      <c r="C164">
        <v>30.736679307394379</v>
      </c>
      <c r="D164">
        <v>0.12993467612559292</v>
      </c>
      <c r="E164">
        <f t="shared" si="56"/>
        <v>-0.37751084375851485</v>
      </c>
      <c r="F164">
        <f t="shared" si="57"/>
        <v>-1.4719238702001822</v>
      </c>
      <c r="G164">
        <f t="shared" si="58"/>
        <v>-0.84831867007727768</v>
      </c>
      <c r="H164" s="2" t="str">
        <f t="shared" si="59"/>
        <v>Lower</v>
      </c>
      <c r="I164" s="2" t="str">
        <f t="shared" si="60"/>
        <v>Lower</v>
      </c>
      <c r="J164" s="2" t="str">
        <f t="shared" si="61"/>
        <v>Lower</v>
      </c>
      <c r="K164" s="2" t="str">
        <f t="shared" si="62"/>
        <v>Lower</v>
      </c>
      <c r="L164" s="2" t="str">
        <f t="shared" si="63"/>
        <v>Lower</v>
      </c>
      <c r="M164" s="2" t="str">
        <f t="shared" si="64"/>
        <v>Lower</v>
      </c>
      <c r="N164" s="2" t="str">
        <f t="shared" si="65"/>
        <v>Lower</v>
      </c>
      <c r="O164" s="2" t="str">
        <f t="shared" si="66"/>
        <v>Lower</v>
      </c>
      <c r="P164" s="2" t="str">
        <f t="shared" si="67"/>
        <v>Lower</v>
      </c>
      <c r="R164" s="4">
        <f>DATE(2023,12,14)</f>
        <v>45274</v>
      </c>
      <c r="S164">
        <v>0.44540659395805648</v>
      </c>
      <c r="T164">
        <v>0.96002757828361995</v>
      </c>
      <c r="U164">
        <v>0.50207454829218467</v>
      </c>
      <c r="V164">
        <v>-4.3361796593568216E-2</v>
      </c>
      <c r="X164" s="4">
        <f>DATE(2023,12,14)</f>
        <v>45274</v>
      </c>
      <c r="Y164">
        <v>13.385887001573069</v>
      </c>
      <c r="Z164">
        <v>17.412323624249836</v>
      </c>
      <c r="AA164">
        <v>67.432500000000005</v>
      </c>
      <c r="AB164">
        <v>35.233750000000001</v>
      </c>
      <c r="AC164">
        <f t="shared" si="68"/>
        <v>-3.0703125385673456E-2</v>
      </c>
      <c r="AD164">
        <f t="shared" si="69"/>
        <v>-0.12956515241123437</v>
      </c>
      <c r="AE164">
        <f t="shared" si="70"/>
        <v>-9.8862027025560906E-2</v>
      </c>
      <c r="AF164">
        <f t="shared" si="71"/>
        <v>-0.52327357359452331</v>
      </c>
      <c r="AH164">
        <f t="shared" si="72"/>
        <v>-0.14044032964427236</v>
      </c>
      <c r="AI164">
        <f t="shared" si="73"/>
        <v>-0.27207324998259036</v>
      </c>
      <c r="AJ164">
        <f t="shared" si="74"/>
        <v>-0.131632920338318</v>
      </c>
      <c r="AK164">
        <f t="shared" si="75"/>
        <v>-0.32666335469153102</v>
      </c>
      <c r="AM164">
        <f t="shared" si="76"/>
        <v>-0.21524531582285256</v>
      </c>
      <c r="AN164">
        <f t="shared" si="77"/>
        <v>-8.3706528651979084E-2</v>
      </c>
      <c r="AO164">
        <f t="shared" si="78"/>
        <v>0.13153878717087347</v>
      </c>
      <c r="AP164">
        <f t="shared" si="79"/>
        <v>0.39649388242276912</v>
      </c>
      <c r="AR164">
        <f t="shared" si="80"/>
        <v>-0.37692236163477266</v>
      </c>
      <c r="AS164">
        <f t="shared" si="81"/>
        <v>-0.1988874986133588</v>
      </c>
      <c r="AT164">
        <f t="shared" si="82"/>
        <v>0.17803486302141386</v>
      </c>
      <c r="AU164">
        <f t="shared" si="83"/>
        <v>0.3664744170785838</v>
      </c>
    </row>
    <row r="165" spans="1:47" x14ac:dyDescent="0.25">
      <c r="A165" s="4">
        <f>DATE(2023,12,13)</f>
        <v>45273</v>
      </c>
      <c r="B165">
        <v>-0.19826021014573669</v>
      </c>
      <c r="C165">
        <v>35.452154061037305</v>
      </c>
      <c r="D165">
        <v>0.24782948682892789</v>
      </c>
      <c r="E165">
        <f t="shared" si="56"/>
        <v>-0.35576048775075519</v>
      </c>
      <c r="F165">
        <f t="shared" si="57"/>
        <v>-0.97630142968923339</v>
      </c>
      <c r="G165">
        <f t="shared" si="58"/>
        <v>-0.44213770295139526</v>
      </c>
      <c r="H165" s="2" t="str">
        <f t="shared" si="59"/>
        <v>Lower</v>
      </c>
      <c r="I165" s="2" t="str">
        <f t="shared" si="60"/>
        <v>Lower</v>
      </c>
      <c r="J165" s="2" t="str">
        <f t="shared" si="61"/>
        <v>Lower</v>
      </c>
      <c r="K165" s="2" t="str">
        <f t="shared" si="62"/>
        <v>Lower</v>
      </c>
      <c r="L165" s="2" t="str">
        <f t="shared" si="63"/>
        <v>Lower</v>
      </c>
      <c r="M165" s="2" t="str">
        <f t="shared" si="64"/>
        <v>Lower</v>
      </c>
      <c r="N165" s="2" t="str">
        <f t="shared" si="65"/>
        <v>Lower</v>
      </c>
      <c r="O165" s="2" t="str">
        <f t="shared" si="66"/>
        <v>Lower</v>
      </c>
      <c r="P165" s="2" t="str">
        <f t="shared" si="67"/>
        <v>Lower</v>
      </c>
      <c r="R165" s="4">
        <f>DATE(2023,12,13)</f>
        <v>45273</v>
      </c>
      <c r="S165">
        <v>0.6425620972820304</v>
      </c>
      <c r="T165">
        <v>0.95730932709575922</v>
      </c>
      <c r="U165">
        <v>0.43139612316111647</v>
      </c>
      <c r="V165">
        <v>-3.7250026546274864E-2</v>
      </c>
      <c r="X165" s="4">
        <f>DATE(2023,12,13)</f>
        <v>45273</v>
      </c>
      <c r="Y165">
        <v>15.430492405786369</v>
      </c>
      <c r="Z165">
        <v>17.289901779646275</v>
      </c>
      <c r="AA165">
        <v>68.930000000000007</v>
      </c>
      <c r="AB165">
        <v>35.637249999999995</v>
      </c>
      <c r="AC165">
        <f t="shared" si="68"/>
        <v>-9.425413059572324E-4</v>
      </c>
      <c r="AD165">
        <f t="shared" si="69"/>
        <v>-9.8634285410018729E-2</v>
      </c>
      <c r="AE165">
        <f t="shared" si="70"/>
        <v>-9.7691744104061493E-2</v>
      </c>
      <c r="AF165">
        <f t="shared" si="71"/>
        <v>-0.51884830834561702</v>
      </c>
      <c r="AH165">
        <f t="shared" si="72"/>
        <v>-0.1437655484455832</v>
      </c>
      <c r="AI165">
        <f t="shared" si="73"/>
        <v>-0.28701716772882996</v>
      </c>
      <c r="AJ165">
        <f t="shared" si="74"/>
        <v>-0.14325161928324676</v>
      </c>
      <c r="AK165">
        <f t="shared" si="75"/>
        <v>-0.36295192028751266</v>
      </c>
      <c r="AM165">
        <f t="shared" si="76"/>
        <v>-0.17694541156924043</v>
      </c>
      <c r="AN165">
        <f t="shared" si="77"/>
        <v>-4.7697545320333115E-2</v>
      </c>
      <c r="AO165">
        <f t="shared" si="78"/>
        <v>0.12924786624890733</v>
      </c>
      <c r="AP165">
        <f t="shared" si="79"/>
        <v>0.39197901747474589</v>
      </c>
      <c r="AR165">
        <f t="shared" si="80"/>
        <v>-0.34829816042512746</v>
      </c>
      <c r="AS165">
        <f t="shared" si="81"/>
        <v>-0.18557944949441108</v>
      </c>
      <c r="AT165">
        <f t="shared" si="82"/>
        <v>0.16271871093071638</v>
      </c>
      <c r="AU165">
        <f t="shared" si="83"/>
        <v>0.34823478796685825</v>
      </c>
    </row>
    <row r="166" spans="1:47" x14ac:dyDescent="0.25">
      <c r="A166" s="4">
        <f>DATE(2023,12,12)</f>
        <v>45272</v>
      </c>
      <c r="B166">
        <v>-0.33812110526061279</v>
      </c>
      <c r="C166">
        <v>32.298130510703793</v>
      </c>
      <c r="D166">
        <v>0.18202210588825399</v>
      </c>
      <c r="E166">
        <f t="shared" si="56"/>
        <v>-0.68033902795203371</v>
      </c>
      <c r="F166">
        <f t="shared" si="57"/>
        <v>-1.3146851046609171</v>
      </c>
      <c r="G166">
        <f t="shared" si="58"/>
        <v>-0.68184243224708907</v>
      </c>
      <c r="H166" s="2" t="str">
        <f t="shared" si="59"/>
        <v>Lower</v>
      </c>
      <c r="I166" s="2" t="str">
        <f t="shared" si="60"/>
        <v>Lower</v>
      </c>
      <c r="J166" s="2" t="str">
        <f t="shared" si="61"/>
        <v>Lower</v>
      </c>
      <c r="K166" s="2" t="str">
        <f t="shared" si="62"/>
        <v>Lower</v>
      </c>
      <c r="L166" s="2" t="str">
        <f t="shared" si="63"/>
        <v>Lower</v>
      </c>
      <c r="M166" s="2" t="str">
        <f t="shared" si="64"/>
        <v>Lower</v>
      </c>
      <c r="N166" s="2" t="str">
        <f t="shared" si="65"/>
        <v>Lower</v>
      </c>
      <c r="O166" s="2" t="str">
        <f t="shared" si="66"/>
        <v>Lower</v>
      </c>
      <c r="P166" s="2" t="str">
        <f t="shared" si="67"/>
        <v>Lower</v>
      </c>
      <c r="R166" s="4">
        <f>DATE(2023,12,12)</f>
        <v>45272</v>
      </c>
      <c r="S166">
        <v>0.77713098884193477</v>
      </c>
      <c r="T166">
        <v>0.9611275393424995</v>
      </c>
      <c r="U166">
        <v>0.37407140823814128</v>
      </c>
      <c r="V166">
        <v>-2.7489494562856421E-2</v>
      </c>
      <c r="X166" s="4">
        <f>DATE(2023,12,12)</f>
        <v>45272</v>
      </c>
      <c r="Y166">
        <v>11.590771091142098</v>
      </c>
      <c r="Z166">
        <v>18.090932774895307</v>
      </c>
      <c r="AA166">
        <v>67.97999999999999</v>
      </c>
      <c r="AB166">
        <v>35.119</v>
      </c>
      <c r="AC166">
        <f t="shared" si="68"/>
        <v>-1.6956048090752244E-2</v>
      </c>
      <c r="AD166">
        <f t="shared" si="69"/>
        <v>-9.2733794026204963E-2</v>
      </c>
      <c r="AE166">
        <f t="shared" si="70"/>
        <v>-7.5777745935452723E-2</v>
      </c>
      <c r="AF166">
        <f t="shared" si="71"/>
        <v>-0.39694069126107534</v>
      </c>
      <c r="AH166">
        <f t="shared" si="72"/>
        <v>-0.14050357348605075</v>
      </c>
      <c r="AI166">
        <f t="shared" si="73"/>
        <v>-0.29819602771716097</v>
      </c>
      <c r="AJ166">
        <f t="shared" si="74"/>
        <v>-0.15769245423111022</v>
      </c>
      <c r="AK166">
        <f t="shared" si="75"/>
        <v>-0.40770001880246959</v>
      </c>
      <c r="AM166">
        <f t="shared" si="76"/>
        <v>-0.17739377372093995</v>
      </c>
      <c r="AN166">
        <f t="shared" si="77"/>
        <v>-3.241407102789199E-2</v>
      </c>
      <c r="AO166">
        <f t="shared" si="78"/>
        <v>0.14497970269304797</v>
      </c>
      <c r="AP166">
        <f t="shared" si="79"/>
        <v>0.41999655119044677</v>
      </c>
      <c r="AR166">
        <f t="shared" si="80"/>
        <v>-0.33739645110474448</v>
      </c>
      <c r="AS166">
        <f t="shared" si="81"/>
        <v>-0.20935260206363199</v>
      </c>
      <c r="AT166">
        <f t="shared" si="82"/>
        <v>0.12804384904111249</v>
      </c>
      <c r="AU166">
        <f t="shared" si="83"/>
        <v>0.31110137904790014</v>
      </c>
    </row>
    <row r="167" spans="1:47" x14ac:dyDescent="0.25">
      <c r="A167" s="4">
        <f>DATE(2023,12,11)</f>
        <v>45271</v>
      </c>
      <c r="B167">
        <v>-0.42779640244178463</v>
      </c>
      <c r="C167">
        <v>27.8881747312168</v>
      </c>
      <c r="D167">
        <v>8.7420381850682294E-2</v>
      </c>
      <c r="E167">
        <f t="shared" si="56"/>
        <v>-0.88634158993265011</v>
      </c>
      <c r="F167">
        <f t="shared" si="57"/>
        <v>-1.7916576466561833</v>
      </c>
      <c r="G167">
        <f t="shared" si="58"/>
        <v>-1.0174270717790153</v>
      </c>
      <c r="H167" s="2" t="str">
        <f t="shared" si="59"/>
        <v>Lower</v>
      </c>
      <c r="I167" s="2" t="str">
        <f t="shared" si="60"/>
        <v>Lower</v>
      </c>
      <c r="J167" s="2" t="str">
        <f t="shared" si="61"/>
        <v>Lower</v>
      </c>
      <c r="K167" s="2" t="str">
        <f t="shared" si="62"/>
        <v>Lower</v>
      </c>
      <c r="L167" s="2" t="str">
        <f t="shared" si="63"/>
        <v>Higher</v>
      </c>
      <c r="M167" s="2" t="str">
        <f t="shared" si="64"/>
        <v>Lower</v>
      </c>
      <c r="N167" s="2" t="str">
        <f t="shared" si="65"/>
        <v>Lower</v>
      </c>
      <c r="O167" s="2" t="str">
        <f t="shared" si="66"/>
        <v>Lower</v>
      </c>
      <c r="P167" s="2" t="str">
        <f t="shared" si="67"/>
        <v>Lower</v>
      </c>
      <c r="R167" s="4">
        <f>DATE(2023,12,11)</f>
        <v>45271</v>
      </c>
      <c r="S167">
        <v>0.97234715824768592</v>
      </c>
      <c r="T167">
        <v>0.96399256413616707</v>
      </c>
      <c r="U167">
        <v>0.29895025021387445</v>
      </c>
      <c r="V167">
        <v>-1.8363876369858579E-2</v>
      </c>
      <c r="X167" s="4">
        <f>DATE(2023,12,11)</f>
        <v>45271</v>
      </c>
      <c r="Y167">
        <v>11.858270204705512</v>
      </c>
      <c r="Z167">
        <v>19.136351340464312</v>
      </c>
      <c r="AA167">
        <v>67.33</v>
      </c>
      <c r="AB167">
        <v>36.335250000000002</v>
      </c>
      <c r="AC167">
        <f t="shared" si="68"/>
        <v>-4.9405281220145238E-2</v>
      </c>
      <c r="AD167">
        <f t="shared" si="69"/>
        <v>-0.10859387334320371</v>
      </c>
      <c r="AE167">
        <f t="shared" si="70"/>
        <v>-5.9188592123058471E-2</v>
      </c>
      <c r="AF167">
        <f t="shared" si="71"/>
        <v>-0.30462203259504123</v>
      </c>
      <c r="AH167">
        <f t="shared" si="72"/>
        <v>-0.14112354475892275</v>
      </c>
      <c r="AI167">
        <f t="shared" si="73"/>
        <v>-0.25898559361904328</v>
      </c>
      <c r="AJ167">
        <f t="shared" si="74"/>
        <v>-0.11786204886012053</v>
      </c>
      <c r="AK167">
        <f t="shared" si="75"/>
        <v>-0.2874818434978863</v>
      </c>
      <c r="AM167">
        <f t="shared" si="76"/>
        <v>-0.18814028007610575</v>
      </c>
      <c r="AN167">
        <f t="shared" si="77"/>
        <v>4.1842817063670122E-2</v>
      </c>
      <c r="AO167">
        <f t="shared" si="78"/>
        <v>0.22998309713977588</v>
      </c>
      <c r="AP167">
        <f t="shared" si="79"/>
        <v>0.57344817011453975</v>
      </c>
      <c r="AR167">
        <f t="shared" si="80"/>
        <v>-0.32481987890514419</v>
      </c>
      <c r="AS167">
        <f t="shared" si="81"/>
        <v>-0.1525777701370776</v>
      </c>
      <c r="AT167">
        <f t="shared" si="82"/>
        <v>0.17224210876806659</v>
      </c>
      <c r="AU167">
        <f t="shared" si="83"/>
        <v>0.35236612916963378</v>
      </c>
    </row>
    <row r="168" spans="1:47" x14ac:dyDescent="0.25">
      <c r="A168" s="4">
        <f>DATE(2023,12,8)</f>
        <v>45268</v>
      </c>
      <c r="B168">
        <v>-0.40669497448539493</v>
      </c>
      <c r="C168">
        <v>30.572414553317202</v>
      </c>
      <c r="D168">
        <v>0.12726010376102501</v>
      </c>
      <c r="E168">
        <f t="shared" si="56"/>
        <v>-0.85338878637214211</v>
      </c>
      <c r="F168">
        <f t="shared" si="57"/>
        <v>-1.5450965090062603</v>
      </c>
      <c r="G168">
        <f t="shared" si="58"/>
        <v>-0.8968486724314696</v>
      </c>
      <c r="H168" s="2" t="str">
        <f t="shared" si="59"/>
        <v>Lower</v>
      </c>
      <c r="I168" s="2" t="str">
        <f t="shared" si="60"/>
        <v>Lower</v>
      </c>
      <c r="J168" s="2" t="str">
        <f t="shared" si="61"/>
        <v>Lower</v>
      </c>
      <c r="K168" s="2" t="str">
        <f t="shared" si="62"/>
        <v>Lower</v>
      </c>
      <c r="L168" s="2" t="str">
        <f t="shared" si="63"/>
        <v>Higher</v>
      </c>
      <c r="M168" s="2" t="str">
        <f t="shared" si="64"/>
        <v>Lower</v>
      </c>
      <c r="N168" s="2" t="str">
        <f t="shared" si="65"/>
        <v>Lower</v>
      </c>
      <c r="O168" s="2" t="str">
        <f t="shared" si="66"/>
        <v>Lower</v>
      </c>
      <c r="P168" s="2" t="str">
        <f t="shared" si="67"/>
        <v>Lower</v>
      </c>
      <c r="R168" s="4">
        <f>DATE(2023,12,8)</f>
        <v>45268</v>
      </c>
      <c r="S168">
        <v>0.87737176836762854</v>
      </c>
      <c r="T168">
        <v>0.95826256471081728</v>
      </c>
      <c r="U168">
        <v>0.22110314626656666</v>
      </c>
      <c r="V168">
        <v>-7.3953623538737983E-3</v>
      </c>
      <c r="X168" s="4">
        <f>DATE(2023,12,8)</f>
        <v>45268</v>
      </c>
      <c r="Y168">
        <v>12.883215684875566</v>
      </c>
      <c r="Z168">
        <v>20.599837308230846</v>
      </c>
      <c r="AA168">
        <v>69.117500000000007</v>
      </c>
      <c r="AB168">
        <v>39.360250000000001</v>
      </c>
      <c r="AC168">
        <f t="shared" si="68"/>
        <v>-4.3355044354437169E-2</v>
      </c>
      <c r="AD168">
        <f t="shared" si="69"/>
        <v>-9.3413878179062895E-2</v>
      </c>
      <c r="AE168">
        <f t="shared" si="70"/>
        <v>-5.0058833824625726E-2</v>
      </c>
      <c r="AF168">
        <f t="shared" si="71"/>
        <v>-0.25275582770214289</v>
      </c>
      <c r="AH168">
        <f t="shared" si="72"/>
        <v>-0.12221411171639567</v>
      </c>
      <c r="AI168">
        <f t="shared" si="73"/>
        <v>-0.16859730577035265</v>
      </c>
      <c r="AJ168">
        <f t="shared" si="74"/>
        <v>-4.638319405395698E-2</v>
      </c>
      <c r="AK168">
        <f t="shared" si="75"/>
        <v>-7.0777578690145185E-2</v>
      </c>
      <c r="AM168">
        <f t="shared" si="76"/>
        <v>-0.17838330724274881</v>
      </c>
      <c r="AN168">
        <f t="shared" si="77"/>
        <v>8.5833563034038052E-2</v>
      </c>
      <c r="AO168">
        <f t="shared" si="78"/>
        <v>0.26421687027678686</v>
      </c>
      <c r="AP168">
        <f t="shared" si="79"/>
        <v>0.63614385773812532</v>
      </c>
      <c r="AR168">
        <f t="shared" si="80"/>
        <v>-0.28980482234445837</v>
      </c>
      <c r="AS168">
        <f t="shared" si="81"/>
        <v>-0.14068856827715323</v>
      </c>
      <c r="AT168">
        <f t="shared" si="82"/>
        <v>0.14911625406730514</v>
      </c>
      <c r="AU168">
        <f t="shared" si="83"/>
        <v>0.32709666497884676</v>
      </c>
    </row>
    <row r="169" spans="1:47" x14ac:dyDescent="0.25">
      <c r="A169" s="4">
        <f>DATE(2023,12,7)</f>
        <v>45267</v>
      </c>
      <c r="B169">
        <v>-0.44432165202302532</v>
      </c>
      <c r="C169">
        <v>32.786545881835622</v>
      </c>
      <c r="D169">
        <v>0.15815245745208806</v>
      </c>
      <c r="E169">
        <f t="shared" si="56"/>
        <v>-0.9483021583221638</v>
      </c>
      <c r="F169">
        <f t="shared" si="57"/>
        <v>-1.339628702613354</v>
      </c>
      <c r="G169">
        <f t="shared" si="58"/>
        <v>-0.80538359707579665</v>
      </c>
      <c r="H169" s="2" t="str">
        <f t="shared" si="59"/>
        <v>Lower</v>
      </c>
      <c r="I169" s="2" t="str">
        <f t="shared" si="60"/>
        <v>Lower</v>
      </c>
      <c r="J169" s="2" t="str">
        <f t="shared" si="61"/>
        <v>Lower</v>
      </c>
      <c r="K169" s="2" t="str">
        <f t="shared" si="62"/>
        <v>Lower</v>
      </c>
      <c r="L169" s="2" t="str">
        <f t="shared" si="63"/>
        <v>Higher</v>
      </c>
      <c r="M169" s="2" t="str">
        <f t="shared" si="64"/>
        <v>Lower</v>
      </c>
      <c r="N169" s="2" t="str">
        <f t="shared" si="65"/>
        <v>Lower</v>
      </c>
      <c r="O169" s="2" t="str">
        <f t="shared" si="66"/>
        <v>Lower</v>
      </c>
      <c r="P169" s="2" t="str">
        <f t="shared" si="67"/>
        <v>Lower</v>
      </c>
      <c r="R169" s="4">
        <f>DATE(2023,12,7)</f>
        <v>45267</v>
      </c>
      <c r="S169">
        <v>0.97248176723220747</v>
      </c>
      <c r="T169">
        <v>0.95278748258394896</v>
      </c>
      <c r="U169">
        <v>0.15177889205204984</v>
      </c>
      <c r="V169">
        <v>6.8043234758126325E-3</v>
      </c>
      <c r="X169" s="4">
        <f>DATE(2023,12,7)</f>
        <v>45267</v>
      </c>
      <c r="Y169">
        <v>11.882465995914155</v>
      </c>
      <c r="Z169">
        <v>22.438196894665978</v>
      </c>
      <c r="AA169">
        <v>69.534999999999997</v>
      </c>
      <c r="AB169">
        <v>40.107750000000003</v>
      </c>
      <c r="AC169">
        <f t="shared" si="68"/>
        <v>-2.0074706028702698E-2</v>
      </c>
      <c r="AD169">
        <f t="shared" si="69"/>
        <v>-4.3638675815451604E-2</v>
      </c>
      <c r="AE169">
        <f t="shared" si="70"/>
        <v>-2.3563969786748906E-2</v>
      </c>
      <c r="AF169">
        <f t="shared" si="71"/>
        <v>-0.10510629621260097</v>
      </c>
      <c r="AH169">
        <f t="shared" si="72"/>
        <v>-0.10080568413838822</v>
      </c>
      <c r="AI169">
        <f t="shared" si="73"/>
        <v>-0.17088495598783904</v>
      </c>
      <c r="AJ169">
        <f t="shared" si="74"/>
        <v>-7.0079271849450814E-2</v>
      </c>
      <c r="AK169">
        <f t="shared" si="75"/>
        <v>-0.14272459843897486</v>
      </c>
      <c r="AM169">
        <f t="shared" si="76"/>
        <v>-0.17929692536522215</v>
      </c>
      <c r="AN169">
        <f t="shared" si="77"/>
        <v>0.10845350293023714</v>
      </c>
      <c r="AO169">
        <f t="shared" si="78"/>
        <v>0.28775042829545927</v>
      </c>
      <c r="AP169">
        <f t="shared" si="79"/>
        <v>0.67945460124375834</v>
      </c>
      <c r="AR169">
        <f t="shared" si="80"/>
        <v>-0.30695477960964829</v>
      </c>
      <c r="AS169">
        <f t="shared" si="81"/>
        <v>-0.15828542324472328</v>
      </c>
      <c r="AT169">
        <f t="shared" si="82"/>
        <v>0.14866935636492501</v>
      </c>
      <c r="AU169">
        <f t="shared" si="83"/>
        <v>0.32431689157459592</v>
      </c>
    </row>
    <row r="170" spans="1:47" x14ac:dyDescent="0.25">
      <c r="A170" s="4">
        <f>DATE(2023,12,6)</f>
        <v>45266</v>
      </c>
      <c r="B170">
        <v>-0.54037795750367623</v>
      </c>
      <c r="C170">
        <v>28.89573272655123</v>
      </c>
      <c r="D170">
        <v>5.4347699710281958E-2</v>
      </c>
      <c r="E170">
        <f t="shared" si="56"/>
        <v>-1.1699622735565391</v>
      </c>
      <c r="F170">
        <f t="shared" si="57"/>
        <v>-1.7746837250614009</v>
      </c>
      <c r="G170">
        <f t="shared" si="58"/>
        <v>-1.1705064180844411</v>
      </c>
      <c r="H170" s="2" t="str">
        <f t="shared" si="59"/>
        <v>Lower</v>
      </c>
      <c r="I170" s="2" t="str">
        <f t="shared" si="60"/>
        <v>Lower</v>
      </c>
      <c r="J170" s="2" t="str">
        <f t="shared" si="61"/>
        <v>Lower</v>
      </c>
      <c r="K170" s="2" t="str">
        <f t="shared" si="62"/>
        <v>Lower</v>
      </c>
      <c r="L170" s="2" t="str">
        <f t="shared" si="63"/>
        <v>Higher</v>
      </c>
      <c r="M170" s="2" t="str">
        <f t="shared" si="64"/>
        <v>Lower</v>
      </c>
      <c r="N170" s="2" t="str">
        <f t="shared" si="65"/>
        <v>Lower</v>
      </c>
      <c r="O170" s="2" t="str">
        <f t="shared" si="66"/>
        <v>Lower</v>
      </c>
      <c r="P170" s="2" t="str">
        <f t="shared" si="67"/>
        <v>Lower</v>
      </c>
      <c r="R170" s="4">
        <f>DATE(2023,12,6)</f>
        <v>45266</v>
      </c>
      <c r="S170">
        <v>0.96004176718348622</v>
      </c>
      <c r="T170">
        <v>0.95086127669286746</v>
      </c>
      <c r="U170">
        <v>9.9878781810649492E-2</v>
      </c>
      <c r="V170">
        <v>2.4441069392695487E-2</v>
      </c>
      <c r="X170" s="4">
        <f>DATE(2023,12,6)</f>
        <v>45266</v>
      </c>
      <c r="Y170">
        <v>11.857208950009401</v>
      </c>
      <c r="Z170">
        <v>20.306762436888562</v>
      </c>
      <c r="AA170">
        <v>68.995000000000005</v>
      </c>
      <c r="AB170">
        <v>39.331500000000005</v>
      </c>
      <c r="AC170">
        <f t="shared" si="68"/>
        <v>-3.5103814391746063E-2</v>
      </c>
      <c r="AD170">
        <f t="shared" si="69"/>
        <v>-2.6587452809176567E-2</v>
      </c>
      <c r="AE170">
        <f t="shared" si="70"/>
        <v>8.5163615825694962E-3</v>
      </c>
      <c r="AF170">
        <f t="shared" si="71"/>
        <v>7.2895973242727882E-2</v>
      </c>
      <c r="AH170">
        <f t="shared" si="72"/>
        <v>-9.2347742502912417E-2</v>
      </c>
      <c r="AI170">
        <f t="shared" si="73"/>
        <v>-0.14987561742116623</v>
      </c>
      <c r="AJ170">
        <f t="shared" si="74"/>
        <v>-5.7527874918253813E-2</v>
      </c>
      <c r="AK170">
        <f t="shared" si="75"/>
        <v>-0.10395285971651523</v>
      </c>
      <c r="AM170">
        <f t="shared" si="76"/>
        <v>-0.18018748429010029</v>
      </c>
      <c r="AN170">
        <f t="shared" si="77"/>
        <v>6.8710967091529587E-2</v>
      </c>
      <c r="AO170">
        <f t="shared" si="78"/>
        <v>0.24889845138162986</v>
      </c>
      <c r="AP170">
        <f t="shared" si="79"/>
        <v>0.61007816249881142</v>
      </c>
      <c r="AR170">
        <f t="shared" si="80"/>
        <v>-0.34594653671091374</v>
      </c>
      <c r="AS170">
        <f t="shared" si="81"/>
        <v>-0.18537212622242313</v>
      </c>
      <c r="AT170">
        <f t="shared" si="82"/>
        <v>0.16057441048849061</v>
      </c>
      <c r="AU170">
        <f t="shared" si="83"/>
        <v>0.333918179503992</v>
      </c>
    </row>
    <row r="171" spans="1:47" x14ac:dyDescent="0.25">
      <c r="A171" s="4">
        <f>DATE(2023,12,5)</f>
        <v>45265</v>
      </c>
      <c r="B171">
        <v>-0.53487482794858732</v>
      </c>
      <c r="C171">
        <v>28.057070518121741</v>
      </c>
      <c r="D171">
        <v>-3.1061778807114238E-2</v>
      </c>
      <c r="E171">
        <f t="shared" si="56"/>
        <v>-1.1729901898988118</v>
      </c>
      <c r="F171">
        <f t="shared" si="57"/>
        <v>-1.9018219635174725</v>
      </c>
      <c r="G171">
        <f t="shared" si="58"/>
        <v>-1.4802454040802548</v>
      </c>
      <c r="H171" s="2" t="str">
        <f t="shared" si="59"/>
        <v>Lower</v>
      </c>
      <c r="I171" s="2" t="str">
        <f t="shared" si="60"/>
        <v>Lower</v>
      </c>
      <c r="J171" s="2" t="str">
        <f t="shared" si="61"/>
        <v>Lower</v>
      </c>
      <c r="K171" s="2" t="str">
        <f t="shared" si="62"/>
        <v>Lower</v>
      </c>
      <c r="L171" s="2" t="str">
        <f t="shared" si="63"/>
        <v>Higher</v>
      </c>
      <c r="M171" s="2" t="str">
        <f t="shared" si="64"/>
        <v>Lower</v>
      </c>
      <c r="N171" s="2" t="str">
        <f t="shared" si="65"/>
        <v>Lower</v>
      </c>
      <c r="O171" s="2" t="str">
        <f t="shared" si="66"/>
        <v>Lower</v>
      </c>
      <c r="P171" s="2" t="str">
        <f t="shared" si="67"/>
        <v>Lower</v>
      </c>
      <c r="R171" s="4">
        <f>DATE(2023,12,5)</f>
        <v>45265</v>
      </c>
      <c r="S171">
        <v>0.93254001637150308</v>
      </c>
      <c r="T171">
        <v>0.94438967801850626</v>
      </c>
      <c r="U171">
        <v>4.7544341107906327E-2</v>
      </c>
      <c r="V171">
        <v>3.7218965853298175E-2</v>
      </c>
      <c r="X171" s="4">
        <f>DATE(2023,12,5)</f>
        <v>45265</v>
      </c>
      <c r="Y171">
        <v>12.553974547250105</v>
      </c>
      <c r="Z171">
        <v>21.226529893143777</v>
      </c>
      <c r="AA171">
        <v>69.142499999999998</v>
      </c>
      <c r="AB171">
        <v>38.531500000000001</v>
      </c>
      <c r="AC171">
        <f t="shared" si="68"/>
        <v>-5.3056211459616864E-2</v>
      </c>
      <c r="AD171">
        <f t="shared" si="69"/>
        <v>-0.10805402878748455</v>
      </c>
      <c r="AE171">
        <f t="shared" si="70"/>
        <v>-5.4997817327867682E-2</v>
      </c>
      <c r="AF171">
        <f t="shared" si="71"/>
        <v>-0.27607583063784125</v>
      </c>
      <c r="AH171">
        <f t="shared" si="72"/>
        <v>-8.7466251763822556E-2</v>
      </c>
      <c r="AI171">
        <f t="shared" si="73"/>
        <v>-0.17808336462327168</v>
      </c>
      <c r="AJ171">
        <f t="shared" si="74"/>
        <v>-9.0617112859449123E-2</v>
      </c>
      <c r="AK171">
        <f t="shared" si="75"/>
        <v>-0.20450301949621036</v>
      </c>
      <c r="AM171">
        <f t="shared" si="76"/>
        <v>-0.16305210620425825</v>
      </c>
      <c r="AN171">
        <f t="shared" si="77"/>
        <v>9.3901935247688043E-2</v>
      </c>
      <c r="AO171">
        <f t="shared" si="78"/>
        <v>0.25695404145194628</v>
      </c>
      <c r="AP171">
        <f t="shared" si="79"/>
        <v>0.62492242453752944</v>
      </c>
      <c r="AR171">
        <f t="shared" si="80"/>
        <v>-0.36747442963332283</v>
      </c>
      <c r="AS171">
        <f t="shared" si="81"/>
        <v>-0.19864491702807049</v>
      </c>
      <c r="AT171">
        <f t="shared" si="82"/>
        <v>0.16882951260525234</v>
      </c>
      <c r="AU171">
        <f t="shared" si="83"/>
        <v>0.33991185062608015</v>
      </c>
    </row>
    <row r="172" spans="1:47" x14ac:dyDescent="0.25">
      <c r="A172" s="4">
        <f>DATE(2023,12,4)</f>
        <v>45264</v>
      </c>
      <c r="B172">
        <v>-0.43594754060410623</v>
      </c>
      <c r="C172">
        <v>31.357844576096344</v>
      </c>
      <c r="D172">
        <v>2.4170717233595058E-2</v>
      </c>
      <c r="E172">
        <f t="shared" si="56"/>
        <v>-0.9654412656846989</v>
      </c>
      <c r="F172">
        <f t="shared" si="57"/>
        <v>-1.5784067527391936</v>
      </c>
      <c r="G172">
        <f t="shared" si="58"/>
        <v>-1.3085960613364886</v>
      </c>
      <c r="H172" s="2" t="str">
        <f t="shared" si="59"/>
        <v>Lower</v>
      </c>
      <c r="I172" s="2" t="str">
        <f t="shared" si="60"/>
        <v>Lower</v>
      </c>
      <c r="J172" s="2" t="str">
        <f t="shared" si="61"/>
        <v>Lower</v>
      </c>
      <c r="K172" s="2" t="str">
        <f t="shared" si="62"/>
        <v>Lower</v>
      </c>
      <c r="L172" s="2" t="str">
        <f t="shared" si="63"/>
        <v>Higher</v>
      </c>
      <c r="M172" s="2" t="str">
        <f t="shared" si="64"/>
        <v>Lower</v>
      </c>
      <c r="N172" s="2" t="str">
        <f t="shared" si="65"/>
        <v>Lower</v>
      </c>
      <c r="O172" s="2" t="str">
        <f t="shared" si="66"/>
        <v>Lower</v>
      </c>
      <c r="P172" s="2" t="str">
        <f t="shared" si="67"/>
        <v>Lower</v>
      </c>
      <c r="R172" s="4">
        <f>DATE(2023,12,4)</f>
        <v>45264</v>
      </c>
      <c r="S172">
        <v>0.82121962289288475</v>
      </c>
      <c r="T172">
        <v>0.93311032847215369</v>
      </c>
      <c r="U172">
        <v>-2.1102510666775338E-2</v>
      </c>
      <c r="V172">
        <v>5.2554668948846549E-2</v>
      </c>
      <c r="X172" s="4">
        <f>DATE(2023,12,4)</f>
        <v>45264</v>
      </c>
      <c r="Y172">
        <v>13.66326782496431</v>
      </c>
      <c r="Z172">
        <v>22.468144792033314</v>
      </c>
      <c r="AA172">
        <v>70.740000000000009</v>
      </c>
      <c r="AB172">
        <v>40.503250000000001</v>
      </c>
      <c r="AC172">
        <f t="shared" si="68"/>
        <v>-4.6910293387510307E-2</v>
      </c>
      <c r="AD172">
        <f t="shared" si="69"/>
        <v>-8.7076698832171187E-2</v>
      </c>
      <c r="AE172">
        <f t="shared" si="70"/>
        <v>-4.016640544466088E-2</v>
      </c>
      <c r="AF172">
        <f t="shared" si="71"/>
        <v>-0.19497727098384049</v>
      </c>
      <c r="AH172">
        <f t="shared" si="72"/>
        <v>-7.4219036707583577E-2</v>
      </c>
      <c r="AI172">
        <f t="shared" si="73"/>
        <v>-0.1128019133627034</v>
      </c>
      <c r="AJ172">
        <f t="shared" si="74"/>
        <v>-3.8582876655119822E-2</v>
      </c>
      <c r="AK172">
        <f t="shared" si="75"/>
        <v>-4.646605190584837E-2</v>
      </c>
      <c r="AM172">
        <f t="shared" si="76"/>
        <v>-0.14575493786603635</v>
      </c>
      <c r="AN172">
        <f t="shared" si="77"/>
        <v>0.11086697731419447</v>
      </c>
      <c r="AO172">
        <f t="shared" si="78"/>
        <v>0.25662191518023081</v>
      </c>
      <c r="AP172">
        <f t="shared" si="79"/>
        <v>0.62442350898253596</v>
      </c>
      <c r="AR172">
        <f t="shared" si="80"/>
        <v>-0.34230157188345206</v>
      </c>
      <c r="AS172">
        <f t="shared" si="81"/>
        <v>-0.15510693581888849</v>
      </c>
      <c r="AT172">
        <f t="shared" si="82"/>
        <v>0.18719463606456357</v>
      </c>
      <c r="AU172">
        <f t="shared" si="83"/>
        <v>0.35578378840903774</v>
      </c>
    </row>
    <row r="173" spans="1:47" x14ac:dyDescent="0.25">
      <c r="A173" s="4">
        <f>DATE(2023,12,1)</f>
        <v>45261</v>
      </c>
      <c r="B173">
        <v>-0.39265535149769759</v>
      </c>
      <c r="C173">
        <v>36.204519174608798</v>
      </c>
      <c r="D173">
        <v>0.1651344889957693</v>
      </c>
      <c r="E173">
        <f t="shared" si="56"/>
        <v>-0.87075231351660043</v>
      </c>
      <c r="F173">
        <f t="shared" si="57"/>
        <v>-1.0696523980348231</v>
      </c>
      <c r="G173">
        <f t="shared" si="58"/>
        <v>-0.83268746626946244</v>
      </c>
      <c r="H173" s="2" t="str">
        <f t="shared" si="59"/>
        <v>Lower</v>
      </c>
      <c r="I173" s="2" t="str">
        <f t="shared" si="60"/>
        <v>Lower</v>
      </c>
      <c r="J173" s="2" t="str">
        <f t="shared" si="61"/>
        <v>Lower</v>
      </c>
      <c r="K173" s="2" t="str">
        <f t="shared" si="62"/>
        <v>Lower</v>
      </c>
      <c r="L173" s="2" t="str">
        <f t="shared" si="63"/>
        <v>Higher</v>
      </c>
      <c r="M173" s="2" t="str">
        <f t="shared" si="64"/>
        <v>Lower</v>
      </c>
      <c r="N173" s="2" t="str">
        <f t="shared" si="65"/>
        <v>Lower</v>
      </c>
      <c r="O173" s="2" t="str">
        <f t="shared" si="66"/>
        <v>Lower</v>
      </c>
      <c r="P173" s="2" t="str">
        <f t="shared" si="67"/>
        <v>Lower</v>
      </c>
      <c r="R173" s="4">
        <f>DATE(2023,12,1)</f>
        <v>45261</v>
      </c>
      <c r="S173">
        <v>0.82269833011368432</v>
      </c>
      <c r="T173">
        <v>0.92666442154506445</v>
      </c>
      <c r="U173">
        <v>-6.9967437392680465E-2</v>
      </c>
      <c r="V173">
        <v>6.8801446303770969E-2</v>
      </c>
      <c r="X173" s="4">
        <f>DATE(2023,12,1)</f>
        <v>45261</v>
      </c>
      <c r="Y173">
        <v>14.82022210943704</v>
      </c>
      <c r="Z173">
        <v>24.693861567276652</v>
      </c>
      <c r="AA173">
        <v>72.180000000000007</v>
      </c>
      <c r="AB173">
        <v>43.21425</v>
      </c>
      <c r="AC173">
        <f t="shared" si="68"/>
        <v>-5.9401439923584022E-2</v>
      </c>
      <c r="AD173">
        <f t="shared" si="69"/>
        <v>-7.0180431503184079E-2</v>
      </c>
      <c r="AE173">
        <f t="shared" si="70"/>
        <v>-1.0778991579600057E-2</v>
      </c>
      <c r="AF173">
        <f t="shared" si="71"/>
        <v>-3.2954585341869798E-2</v>
      </c>
      <c r="AH173">
        <f t="shared" si="72"/>
        <v>-7.7962407360165367E-2</v>
      </c>
      <c r="AI173">
        <f t="shared" si="73"/>
        <v>-0.11252340181032441</v>
      </c>
      <c r="AJ173">
        <f t="shared" si="74"/>
        <v>-3.4560994450159047E-2</v>
      </c>
      <c r="AK173">
        <f t="shared" si="75"/>
        <v>-3.4235611544074181E-2</v>
      </c>
      <c r="AM173">
        <f t="shared" si="76"/>
        <v>-0.12853138220781676</v>
      </c>
      <c r="AN173">
        <f t="shared" si="77"/>
        <v>0.21181559083154144</v>
      </c>
      <c r="AO173">
        <f t="shared" si="78"/>
        <v>0.34034697303935824</v>
      </c>
      <c r="AP173">
        <f t="shared" si="79"/>
        <v>0.77584382730024193</v>
      </c>
      <c r="AR173">
        <f t="shared" si="80"/>
        <v>-0.30531966807633099</v>
      </c>
      <c r="AS173">
        <f t="shared" si="81"/>
        <v>-0.16591020023416456</v>
      </c>
      <c r="AT173">
        <f t="shared" si="82"/>
        <v>0.13940946784216643</v>
      </c>
      <c r="AU173">
        <f t="shared" si="83"/>
        <v>0.3067953254282319</v>
      </c>
    </row>
    <row r="174" spans="1:47" x14ac:dyDescent="0.25">
      <c r="A174" s="4">
        <f>DATE(2023,11,30)</f>
        <v>45260</v>
      </c>
      <c r="B174">
        <v>-0.48304206758699375</v>
      </c>
      <c r="C174">
        <v>28.017766334259548</v>
      </c>
      <c r="D174">
        <v>-5.7530987208708459E-2</v>
      </c>
      <c r="E174">
        <f t="shared" si="56"/>
        <v>-1.0566006836381752</v>
      </c>
      <c r="F174">
        <f t="shared" si="57"/>
        <v>-1.9547429754312837</v>
      </c>
      <c r="G174">
        <f t="shared" si="58"/>
        <v>-1.6013854597135853</v>
      </c>
      <c r="H174" s="2" t="str">
        <f t="shared" si="59"/>
        <v>Lower</v>
      </c>
      <c r="I174" s="2" t="str">
        <f t="shared" si="60"/>
        <v>Lower</v>
      </c>
      <c r="J174" s="2" t="str">
        <f t="shared" si="61"/>
        <v>Lower</v>
      </c>
      <c r="K174" s="2" t="str">
        <f t="shared" si="62"/>
        <v>Lower</v>
      </c>
      <c r="L174" s="2" t="str">
        <f t="shared" si="63"/>
        <v>Higher</v>
      </c>
      <c r="M174" s="2" t="str">
        <f t="shared" si="64"/>
        <v>Lower</v>
      </c>
      <c r="N174" s="2" t="str">
        <f t="shared" si="65"/>
        <v>Lower</v>
      </c>
      <c r="O174" s="2" t="str">
        <f t="shared" si="66"/>
        <v>Lower</v>
      </c>
      <c r="P174" s="2" t="str">
        <f t="shared" si="67"/>
        <v>Lower</v>
      </c>
      <c r="R174" s="4">
        <f>DATE(2023,11,30)</f>
        <v>45260</v>
      </c>
      <c r="S174">
        <v>0.95247371099695799</v>
      </c>
      <c r="T174">
        <v>0.92586442944453595</v>
      </c>
      <c r="U174">
        <v>-0.10275212311969557</v>
      </c>
      <c r="V174">
        <v>8.4375380445772183E-2</v>
      </c>
      <c r="X174" s="4">
        <f>DATE(2023,11,30)</f>
        <v>45260</v>
      </c>
      <c r="Y174">
        <v>10.955236170503023</v>
      </c>
      <c r="Z174">
        <v>23.320497012186749</v>
      </c>
      <c r="AA174">
        <v>70.945000000000007</v>
      </c>
      <c r="AB174">
        <v>41.896749999999997</v>
      </c>
      <c r="AC174">
        <f t="shared" si="68"/>
        <v>-7.2866300699593406E-2</v>
      </c>
      <c r="AD174" t="str">
        <f t="shared" si="69"/>
        <v/>
      </c>
      <c r="AE174" t="str">
        <f t="shared" si="70"/>
        <v/>
      </c>
      <c r="AF174" t="str">
        <f t="shared" si="71"/>
        <v/>
      </c>
      <c r="AH174">
        <f t="shared" si="72"/>
        <v>-9.6917048070010725E-2</v>
      </c>
      <c r="AI174">
        <f t="shared" si="73"/>
        <v>-0.13962157713211248</v>
      </c>
      <c r="AJ174">
        <f t="shared" si="74"/>
        <v>-4.2704529062101759E-2</v>
      </c>
      <c r="AK174">
        <f t="shared" si="75"/>
        <v>-5.9761780064703493E-2</v>
      </c>
      <c r="AM174">
        <f t="shared" si="76"/>
        <v>-0.15940251321603094</v>
      </c>
      <c r="AN174">
        <f t="shared" si="77"/>
        <v>0.26021843043494519</v>
      </c>
      <c r="AO174">
        <f t="shared" si="78"/>
        <v>0.41962094365097613</v>
      </c>
      <c r="AP174">
        <f t="shared" si="79"/>
        <v>0.91965548169941347</v>
      </c>
      <c r="AR174">
        <f t="shared" si="80"/>
        <v>-0.31599682987462085</v>
      </c>
      <c r="AS174">
        <f t="shared" si="81"/>
        <v>-0.19229431798926783</v>
      </c>
      <c r="AT174">
        <f t="shared" si="82"/>
        <v>0.12370251188535303</v>
      </c>
      <c r="AU174">
        <f t="shared" si="83"/>
        <v>0.28924481121884915</v>
      </c>
    </row>
    <row r="175" spans="1:47" x14ac:dyDescent="0.25">
      <c r="A175" s="4">
        <f>DATE(2023,11,29)</f>
        <v>45259</v>
      </c>
      <c r="B175">
        <v>-0.39366735083211224</v>
      </c>
      <c r="C175">
        <v>28.441420646862408</v>
      </c>
      <c r="D175">
        <v>-0.14918997705568404</v>
      </c>
      <c r="E175">
        <f t="shared" si="56"/>
        <v>-0.85425802468157475</v>
      </c>
      <c r="F175">
        <f t="shared" si="57"/>
        <v>-1.9158439559903624</v>
      </c>
      <c r="G175">
        <f t="shared" si="58"/>
        <v>-1.9224251743006584</v>
      </c>
      <c r="H175" s="2" t="str">
        <f t="shared" si="59"/>
        <v>Lower</v>
      </c>
      <c r="I175" s="2" t="str">
        <f t="shared" si="60"/>
        <v>Lower</v>
      </c>
      <c r="J175" s="2" t="str">
        <f t="shared" si="61"/>
        <v>Lower</v>
      </c>
      <c r="K175" s="2" t="str">
        <f t="shared" si="62"/>
        <v>Lower</v>
      </c>
      <c r="L175" s="2" t="str">
        <f t="shared" si="63"/>
        <v>Higher</v>
      </c>
      <c r="M175" s="2" t="str">
        <f t="shared" si="64"/>
        <v>Lower</v>
      </c>
      <c r="N175" s="2" t="str">
        <f t="shared" si="65"/>
        <v>Lower</v>
      </c>
      <c r="O175" s="2" t="str">
        <f t="shared" si="66"/>
        <v>Lower</v>
      </c>
      <c r="P175" s="2" t="str">
        <f t="shared" si="67"/>
        <v>Lower</v>
      </c>
      <c r="R175" s="4">
        <f>DATE(2023,11,29)</f>
        <v>45259</v>
      </c>
      <c r="S175">
        <v>0.98556988228345987</v>
      </c>
      <c r="T175">
        <v>0.92487287259733519</v>
      </c>
      <c r="U175">
        <v>-0.15850467817648192</v>
      </c>
      <c r="V175">
        <v>9.8551200535362163E-2</v>
      </c>
      <c r="X175" s="4">
        <f>DATE(2023,11,29)</f>
        <v>45259</v>
      </c>
      <c r="Y175">
        <v>11.462280405725435</v>
      </c>
      <c r="Z175">
        <v>20.244641804884761</v>
      </c>
      <c r="AA175">
        <v>71.460000000000008</v>
      </c>
      <c r="AB175">
        <v>40.391249999999999</v>
      </c>
      <c r="AC175">
        <f t="shared" si="68"/>
        <v>-5.2939713274853875E-2</v>
      </c>
      <c r="AD175">
        <f t="shared" si="69"/>
        <v>-9.5284858968229483E-2</v>
      </c>
      <c r="AE175">
        <f t="shared" si="70"/>
        <v>-4.2345145693375608E-2</v>
      </c>
      <c r="AF175">
        <f t="shared" si="71"/>
        <v>-0.20708711561863993</v>
      </c>
      <c r="AH175">
        <f t="shared" si="72"/>
        <v>-9.9201791098480138E-2</v>
      </c>
      <c r="AI175">
        <f t="shared" si="73"/>
        <v>-0.16688933625171104</v>
      </c>
      <c r="AJ175">
        <f t="shared" si="74"/>
        <v>-6.7687545153230902E-2</v>
      </c>
      <c r="AK175">
        <f t="shared" si="75"/>
        <v>-0.1365963201798269</v>
      </c>
      <c r="AM175">
        <f t="shared" si="76"/>
        <v>-0.15941447951555104</v>
      </c>
      <c r="AN175">
        <f t="shared" si="77"/>
        <v>0.24032682870467001</v>
      </c>
      <c r="AO175">
        <f t="shared" si="78"/>
        <v>0.39974130822022103</v>
      </c>
      <c r="AP175">
        <f t="shared" si="79"/>
        <v>0.88581921963814914</v>
      </c>
      <c r="AR175">
        <f t="shared" si="80"/>
        <v>-0.31094526801618377</v>
      </c>
      <c r="AS175">
        <f t="shared" si="81"/>
        <v>-0.22470578781904499</v>
      </c>
      <c r="AT175">
        <f t="shared" si="82"/>
        <v>8.6239480197138785E-2</v>
      </c>
      <c r="AU175">
        <f t="shared" si="83"/>
        <v>0.25048475005981713</v>
      </c>
    </row>
    <row r="176" spans="1:47" x14ac:dyDescent="0.25">
      <c r="A176" s="4">
        <f>DATE(2023,11,28)</f>
        <v>45258</v>
      </c>
      <c r="B176">
        <v>-0.21916005598986499</v>
      </c>
      <c r="C176">
        <v>32.68041246488982</v>
      </c>
      <c r="D176">
        <v>-5.2027056593817032E-2</v>
      </c>
      <c r="E176">
        <f t="shared" si="56"/>
        <v>-0.47136028486331322</v>
      </c>
      <c r="F176">
        <f t="shared" si="57"/>
        <v>-1.4666971875815944</v>
      </c>
      <c r="G176">
        <f t="shared" si="58"/>
        <v>-1.6042475602691229</v>
      </c>
      <c r="H176" s="2" t="str">
        <f t="shared" si="59"/>
        <v>Lower</v>
      </c>
      <c r="I176" s="2" t="str">
        <f t="shared" si="60"/>
        <v>Lower</v>
      </c>
      <c r="J176" s="2" t="str">
        <f t="shared" si="61"/>
        <v>Lower</v>
      </c>
      <c r="K176" s="2" t="str">
        <f t="shared" si="62"/>
        <v>Lower</v>
      </c>
      <c r="L176" s="2" t="str">
        <f t="shared" si="63"/>
        <v>Higher</v>
      </c>
      <c r="M176" s="2" t="str">
        <f t="shared" si="64"/>
        <v>Lower</v>
      </c>
      <c r="N176" s="2" t="str">
        <f t="shared" si="65"/>
        <v>Lower</v>
      </c>
      <c r="O176" s="2" t="str">
        <f t="shared" si="66"/>
        <v>Lower</v>
      </c>
      <c r="P176" s="2" t="str">
        <f t="shared" si="67"/>
        <v>Lower</v>
      </c>
      <c r="R176" s="4">
        <f>DATE(2023,11,28)</f>
        <v>45258</v>
      </c>
      <c r="S176">
        <v>0.90050512825042506</v>
      </c>
      <c r="T176">
        <v>0.87714858243263527</v>
      </c>
      <c r="U176">
        <v>-0.22380812811381315</v>
      </c>
      <c r="V176">
        <v>0.11203782737369493</v>
      </c>
      <c r="X176" s="4">
        <f>DATE(2023,11,28)</f>
        <v>45258</v>
      </c>
      <c r="Y176">
        <v>12.585704310226085</v>
      </c>
      <c r="Z176">
        <v>22.024651662246164</v>
      </c>
      <c r="AA176">
        <v>72.91</v>
      </c>
      <c r="AB176">
        <v>42.928249999999998</v>
      </c>
      <c r="AC176">
        <f t="shared" si="68"/>
        <v>-3.6957728085195193E-2</v>
      </c>
      <c r="AD176">
        <f t="shared" si="69"/>
        <v>-3.3202466865703051E-2</v>
      </c>
      <c r="AE176">
        <f t="shared" si="70"/>
        <v>3.7552612194921425E-3</v>
      </c>
      <c r="AF176">
        <f t="shared" si="71"/>
        <v>4.6717560847812707E-2</v>
      </c>
      <c r="AH176">
        <f t="shared" si="72"/>
        <v>-7.9430596292371008E-2</v>
      </c>
      <c r="AI176">
        <f t="shared" si="73"/>
        <v>-0.13035974722256027</v>
      </c>
      <c r="AJ176">
        <f t="shared" si="74"/>
        <v>-5.0929150930189265E-2</v>
      </c>
      <c r="AK176">
        <f t="shared" si="75"/>
        <v>-8.6489196236595206E-2</v>
      </c>
      <c r="AM176">
        <f t="shared" si="76"/>
        <v>-0.14179930665993282</v>
      </c>
      <c r="AN176">
        <f t="shared" si="77"/>
        <v>0.21262473809416332</v>
      </c>
      <c r="AO176">
        <f t="shared" si="78"/>
        <v>0.35442404475409617</v>
      </c>
      <c r="AP176">
        <f t="shared" si="79"/>
        <v>0.80422886131829707</v>
      </c>
      <c r="AR176">
        <f t="shared" si="80"/>
        <v>-0.3122877046662087</v>
      </c>
      <c r="AS176">
        <f t="shared" si="81"/>
        <v>-0.13446129155957143</v>
      </c>
      <c r="AT176">
        <f t="shared" si="82"/>
        <v>0.17782641310663727</v>
      </c>
      <c r="AU176">
        <f t="shared" si="83"/>
        <v>0.33781101587863865</v>
      </c>
    </row>
    <row r="177" spans="1:47" x14ac:dyDescent="0.25">
      <c r="A177" s="4">
        <f>DATE(2023,11,27)</f>
        <v>45257</v>
      </c>
      <c r="B177">
        <v>-0.10099954955041235</v>
      </c>
      <c r="C177">
        <v>34.32078592809858</v>
      </c>
      <c r="D177">
        <v>-5.0042938719968941E-2</v>
      </c>
      <c r="E177">
        <f t="shared" si="56"/>
        <v>-0.20938283666156135</v>
      </c>
      <c r="F177">
        <f t="shared" si="57"/>
        <v>-1.2840312612389</v>
      </c>
      <c r="G177">
        <f t="shared" si="58"/>
        <v>-1.5983287065126364</v>
      </c>
      <c r="H177" s="2" t="str">
        <f t="shared" si="59"/>
        <v>Lower</v>
      </c>
      <c r="I177" s="2" t="str">
        <f t="shared" si="60"/>
        <v>Lower</v>
      </c>
      <c r="J177" s="2" t="str">
        <f t="shared" si="61"/>
        <v>Lower</v>
      </c>
      <c r="K177" s="2" t="str">
        <f t="shared" si="62"/>
        <v>Lower</v>
      </c>
      <c r="L177" s="2" t="str">
        <f t="shared" si="63"/>
        <v>Higher</v>
      </c>
      <c r="M177" s="2" t="str">
        <f t="shared" si="64"/>
        <v>Lower</v>
      </c>
      <c r="N177" s="2" t="str">
        <f t="shared" si="65"/>
        <v>Lower</v>
      </c>
      <c r="O177" s="2" t="str">
        <f t="shared" si="66"/>
        <v>Lower</v>
      </c>
      <c r="P177" s="2" t="str">
        <f t="shared" si="67"/>
        <v>Lower</v>
      </c>
      <c r="R177" s="4">
        <f>DATE(2023,11,27)</f>
        <v>45257</v>
      </c>
      <c r="S177">
        <v>0.84787848577917468</v>
      </c>
      <c r="T177">
        <v>0.8106457578646411</v>
      </c>
      <c r="U177">
        <v>-0.26844003324997712</v>
      </c>
      <c r="V177">
        <v>0.12478870356313852</v>
      </c>
      <c r="X177" s="4">
        <f>DATE(2023,11,27)</f>
        <v>45257</v>
      </c>
      <c r="Y177">
        <v>13.35072918062391</v>
      </c>
      <c r="Z177">
        <v>23.222915754196471</v>
      </c>
      <c r="AA177">
        <v>74.137500000000003</v>
      </c>
      <c r="AB177">
        <v>44.188249999999996</v>
      </c>
      <c r="AC177">
        <f t="shared" si="68"/>
        <v>-3.4892461674962294E-2</v>
      </c>
      <c r="AD177">
        <f t="shared" si="69"/>
        <v>-4.2202178016742309E-2</v>
      </c>
      <c r="AE177">
        <f t="shared" si="70"/>
        <v>-7.3097163417800148E-3</v>
      </c>
      <c r="AF177">
        <f t="shared" si="71"/>
        <v>-1.4177261911880337E-2</v>
      </c>
      <c r="AH177">
        <f t="shared" si="72"/>
        <v>-6.6433537812305543E-2</v>
      </c>
      <c r="AI177">
        <f t="shared" si="73"/>
        <v>-0.15344322806718388</v>
      </c>
      <c r="AJ177">
        <f t="shared" si="74"/>
        <v>-8.7009690254878341E-2</v>
      </c>
      <c r="AK177">
        <f t="shared" si="75"/>
        <v>-0.19652618267432792</v>
      </c>
      <c r="AM177">
        <f t="shared" si="76"/>
        <v>-0.12997170075008666</v>
      </c>
      <c r="AN177" t="str">
        <f t="shared" si="77"/>
        <v/>
      </c>
      <c r="AO177" t="str">
        <f t="shared" si="78"/>
        <v/>
      </c>
      <c r="AP177" t="str">
        <f t="shared" si="79"/>
        <v/>
      </c>
      <c r="AR177">
        <f t="shared" si="80"/>
        <v>-0.28054997201570375</v>
      </c>
      <c r="AS177" t="str">
        <f t="shared" si="81"/>
        <v/>
      </c>
      <c r="AT177" t="str">
        <f t="shared" si="82"/>
        <v/>
      </c>
      <c r="AU177" t="str">
        <f t="shared" si="83"/>
        <v/>
      </c>
    </row>
    <row r="178" spans="1:47" x14ac:dyDescent="0.25">
      <c r="A178" s="4">
        <f>DATE(2023,11,24)</f>
        <v>45254</v>
      </c>
      <c r="B178">
        <v>4.5891626262165364E-2</v>
      </c>
      <c r="C178">
        <v>43.258736633734948</v>
      </c>
      <c r="D178">
        <v>0.37921953236613826</v>
      </c>
      <c r="E178">
        <f t="shared" si="56"/>
        <v>0.11113256411665547</v>
      </c>
      <c r="F178">
        <f t="shared" si="57"/>
        <v>-0.29877366314447568</v>
      </c>
      <c r="G178">
        <f t="shared" si="58"/>
        <v>-9.4350940668124911E-2</v>
      </c>
      <c r="H178" s="2" t="str">
        <f t="shared" si="59"/>
        <v>Lower</v>
      </c>
      <c r="I178" s="2" t="str">
        <f t="shared" si="60"/>
        <v>Lower</v>
      </c>
      <c r="J178" s="2" t="str">
        <f t="shared" si="61"/>
        <v>Lower</v>
      </c>
      <c r="K178" s="2" t="str">
        <f t="shared" si="62"/>
        <v>Lower</v>
      </c>
      <c r="L178" s="2" t="str">
        <f t="shared" si="63"/>
        <v>Higher</v>
      </c>
      <c r="M178" s="2" t="str">
        <f t="shared" si="64"/>
        <v>Lower</v>
      </c>
      <c r="N178" s="2" t="str">
        <f t="shared" si="65"/>
        <v>Lower</v>
      </c>
      <c r="O178" s="2" t="str">
        <f t="shared" si="66"/>
        <v>Lower</v>
      </c>
      <c r="P178" s="2" t="str">
        <f t="shared" si="67"/>
        <v>Lower</v>
      </c>
      <c r="R178" s="4">
        <f>DATE(2023,11,24)</f>
        <v>45254</v>
      </c>
      <c r="S178">
        <v>0.80339323786324224</v>
      </c>
      <c r="T178">
        <v>0.83542970066840128</v>
      </c>
      <c r="U178">
        <v>-0.30670428628705215</v>
      </c>
      <c r="V178">
        <v>0.1381806818960099</v>
      </c>
      <c r="X178" s="4">
        <f>DATE(2023,11,24)</f>
        <v>45254</v>
      </c>
      <c r="Y178">
        <v>15.284207988408127</v>
      </c>
      <c r="Z178">
        <v>25.045572994939803</v>
      </c>
      <c r="AA178">
        <v>76.597499999999997</v>
      </c>
      <c r="AB178">
        <v>46.355999999999995</v>
      </c>
      <c r="AC178">
        <f t="shared" si="68"/>
        <v>-1.500228576988841E-3</v>
      </c>
      <c r="AD178">
        <f t="shared" si="69"/>
        <v>2.0134030897013089E-2</v>
      </c>
      <c r="AE178">
        <f t="shared" si="70"/>
        <v>2.1634259474001931E-2</v>
      </c>
      <c r="AF178">
        <f t="shared" si="71"/>
        <v>0.14594545114631724</v>
      </c>
      <c r="AH178">
        <f t="shared" si="72"/>
        <v>-3.8324017679531384E-2</v>
      </c>
      <c r="AI178">
        <f t="shared" si="73"/>
        <v>-8.8139235411378136E-2</v>
      </c>
      <c r="AJ178">
        <f t="shared" si="74"/>
        <v>-4.9815217731846752E-2</v>
      </c>
      <c r="AK178">
        <f t="shared" si="75"/>
        <v>-8.3289125440887263E-2</v>
      </c>
      <c r="AM178">
        <f t="shared" si="76"/>
        <v>-0.10977648281684592</v>
      </c>
      <c r="AN178">
        <f t="shared" si="77"/>
        <v>0.26187253966818347</v>
      </c>
      <c r="AO178">
        <f t="shared" si="78"/>
        <v>0.3716490224850294</v>
      </c>
      <c r="AP178">
        <f t="shared" si="79"/>
        <v>0.83565014407171412</v>
      </c>
      <c r="AR178">
        <f t="shared" si="80"/>
        <v>-0.23222131998803403</v>
      </c>
      <c r="AS178">
        <f t="shared" si="81"/>
        <v>-5.9751201661076038E-2</v>
      </c>
      <c r="AT178">
        <f t="shared" si="82"/>
        <v>0.17247011832695799</v>
      </c>
      <c r="AU178">
        <f t="shared" si="83"/>
        <v>0.33021412455164662</v>
      </c>
    </row>
    <row r="179" spans="1:47" x14ac:dyDescent="0.25">
      <c r="A179" s="4">
        <f>DATE(2023,11,23)</f>
        <v>45253</v>
      </c>
      <c r="B179">
        <v>-8.21213527184117E-3</v>
      </c>
      <c r="C179">
        <v>43.21254528792025</v>
      </c>
      <c r="D179">
        <v>0.35879720637110679</v>
      </c>
      <c r="E179">
        <f t="shared" si="56"/>
        <v>2.512654972864182E-3</v>
      </c>
      <c r="F179">
        <f t="shared" si="57"/>
        <v>-0.29493222165684535</v>
      </c>
      <c r="G179">
        <f t="shared" si="58"/>
        <v>-0.15452072742787373</v>
      </c>
      <c r="H179" s="2" t="str">
        <f t="shared" si="59"/>
        <v>Lower</v>
      </c>
      <c r="I179" s="2" t="str">
        <f t="shared" si="60"/>
        <v>Lower</v>
      </c>
      <c r="J179" s="2" t="str">
        <f t="shared" si="61"/>
        <v>Lower</v>
      </c>
      <c r="K179" s="2" t="str">
        <f t="shared" si="62"/>
        <v>Lower</v>
      </c>
      <c r="L179" s="2" t="str">
        <f t="shared" si="63"/>
        <v>Higher</v>
      </c>
      <c r="M179" s="2" t="str">
        <f t="shared" si="64"/>
        <v>Lower</v>
      </c>
      <c r="N179" s="2" t="str">
        <f t="shared" si="65"/>
        <v>Lower</v>
      </c>
      <c r="O179" s="2" t="str">
        <f t="shared" si="66"/>
        <v>Lower</v>
      </c>
      <c r="P179" s="2" t="str">
        <f t="shared" si="67"/>
        <v>Lower</v>
      </c>
      <c r="R179" s="4">
        <f>DATE(2023,11,23)</f>
        <v>45253</v>
      </c>
      <c r="X179" s="4">
        <f>DATE(2023,11,23)</f>
        <v>45253</v>
      </c>
      <c r="Y179">
        <v>15.954318522087888</v>
      </c>
      <c r="AA179">
        <v>76.307500000000005</v>
      </c>
      <c r="AC179">
        <f t="shared" si="68"/>
        <v>-1.6796197530302828E-2</v>
      </c>
      <c r="AD179" t="str">
        <f t="shared" si="69"/>
        <v/>
      </c>
      <c r="AE179" t="str">
        <f t="shared" si="70"/>
        <v/>
      </c>
      <c r="AF179" t="str">
        <f t="shared" si="71"/>
        <v/>
      </c>
      <c r="AH179">
        <f t="shared" si="72"/>
        <v>-4.5409953215863726E-2</v>
      </c>
      <c r="AI179" t="str">
        <f t="shared" si="73"/>
        <v/>
      </c>
      <c r="AJ179" t="str">
        <f t="shared" si="74"/>
        <v/>
      </c>
      <c r="AK179" t="str">
        <f t="shared" si="75"/>
        <v/>
      </c>
      <c r="AM179">
        <f t="shared" si="76"/>
        <v>-0.12070914534861625</v>
      </c>
      <c r="AN179" t="str">
        <f t="shared" si="77"/>
        <v/>
      </c>
      <c r="AO179" t="str">
        <f t="shared" si="78"/>
        <v/>
      </c>
      <c r="AP179" t="str">
        <f t="shared" si="79"/>
        <v/>
      </c>
      <c r="AR179">
        <f t="shared" si="80"/>
        <v>-0.23885668831934262</v>
      </c>
      <c r="AS179" t="str">
        <f t="shared" si="81"/>
        <v/>
      </c>
      <c r="AT179" t="str">
        <f t="shared" si="82"/>
        <v/>
      </c>
      <c r="AU179" t="str">
        <f t="shared" si="83"/>
        <v/>
      </c>
    </row>
    <row r="180" spans="1:47" x14ac:dyDescent="0.25">
      <c r="A180" s="4">
        <f>DATE(2023,11,22)</f>
        <v>45252</v>
      </c>
      <c r="B180">
        <v>-7.4883509278734772E-2</v>
      </c>
      <c r="C180">
        <v>36.4842335352239</v>
      </c>
      <c r="D180">
        <v>0.10585258543399247</v>
      </c>
      <c r="E180">
        <f t="shared" si="56"/>
        <v>-0.13628042005671587</v>
      </c>
      <c r="F180">
        <f t="shared" si="57"/>
        <v>-1.0259360260583676</v>
      </c>
      <c r="G180">
        <f t="shared" si="58"/>
        <v>-1.021731650272552</v>
      </c>
      <c r="H180" s="2" t="str">
        <f t="shared" si="59"/>
        <v>Lower</v>
      </c>
      <c r="I180" s="2" t="str">
        <f t="shared" si="60"/>
        <v>Lower</v>
      </c>
      <c r="J180" s="2" t="str">
        <f t="shared" si="61"/>
        <v>Lower</v>
      </c>
      <c r="K180" s="2" t="str">
        <f t="shared" si="62"/>
        <v>Lower</v>
      </c>
      <c r="L180" s="2" t="str">
        <f t="shared" si="63"/>
        <v>Lower</v>
      </c>
      <c r="M180" s="2" t="str">
        <f t="shared" si="64"/>
        <v>Lower</v>
      </c>
      <c r="N180" s="2" t="str">
        <f t="shared" si="65"/>
        <v>Lower</v>
      </c>
      <c r="O180" s="2" t="str">
        <f t="shared" si="66"/>
        <v>Lower</v>
      </c>
      <c r="P180" s="2" t="str">
        <f t="shared" si="67"/>
        <v>Lower</v>
      </c>
      <c r="R180" s="4">
        <f>DATE(2023,11,22)</f>
        <v>45252</v>
      </c>
      <c r="S180">
        <v>0.8894951848976238</v>
      </c>
      <c r="T180">
        <v>0.85506877262011227</v>
      </c>
      <c r="U180">
        <v>-0.3234459376945607</v>
      </c>
      <c r="V180">
        <v>0.15279534547358473</v>
      </c>
      <c r="X180" s="4">
        <f>DATE(2023,11,22)</f>
        <v>45252</v>
      </c>
      <c r="Y180">
        <v>13.079437988774067</v>
      </c>
      <c r="Z180">
        <v>21.287456885670796</v>
      </c>
      <c r="AA180">
        <v>75.344999999999999</v>
      </c>
      <c r="AB180">
        <v>44.429249999999996</v>
      </c>
      <c r="AC180">
        <f t="shared" si="68"/>
        <v>-5.4779479473026089E-2</v>
      </c>
      <c r="AD180">
        <f t="shared" si="69"/>
        <v>-6.6510570541405148E-2</v>
      </c>
      <c r="AE180">
        <f t="shared" si="70"/>
        <v>-1.1731091068379058E-2</v>
      </c>
      <c r="AF180">
        <f t="shared" si="71"/>
        <v>-3.6727424679484644E-2</v>
      </c>
      <c r="AH180">
        <f t="shared" si="72"/>
        <v>-6.1728734259350312E-2</v>
      </c>
      <c r="AI180">
        <f t="shared" si="73"/>
        <v>-0.11743973438926922</v>
      </c>
      <c r="AJ180">
        <f t="shared" si="74"/>
        <v>-5.5711000129918906E-2</v>
      </c>
      <c r="AK180">
        <f t="shared" si="75"/>
        <v>-9.9453952321861161E-2</v>
      </c>
      <c r="AM180">
        <f t="shared" si="76"/>
        <v>-0.13171725221403252</v>
      </c>
      <c r="AN180">
        <f t="shared" si="77"/>
        <v>0.22078724183000631</v>
      </c>
      <c r="AO180">
        <f t="shared" si="78"/>
        <v>0.35250449404403883</v>
      </c>
      <c r="AP180">
        <f t="shared" si="79"/>
        <v>0.79929302435089711</v>
      </c>
      <c r="AR180">
        <f t="shared" si="80"/>
        <v>-0.21639176281571904</v>
      </c>
      <c r="AS180">
        <f t="shared" si="81"/>
        <v>-0.20589772284441096</v>
      </c>
      <c r="AT180">
        <f t="shared" si="82"/>
        <v>1.0494039971308072E-2</v>
      </c>
      <c r="AU180">
        <f t="shared" si="83"/>
        <v>0.17029665440595199</v>
      </c>
    </row>
    <row r="181" spans="1:47" x14ac:dyDescent="0.25">
      <c r="A181" s="4">
        <f>DATE(2023,11,21)</f>
        <v>45251</v>
      </c>
      <c r="B181">
        <v>-1.453362548253434E-2</v>
      </c>
      <c r="C181">
        <v>37.007745748517138</v>
      </c>
      <c r="D181">
        <v>9.1486140102792463E-2</v>
      </c>
      <c r="E181">
        <f t="shared" si="56"/>
        <v>-9.0931168915388359E-3</v>
      </c>
      <c r="F181">
        <f t="shared" si="57"/>
        <v>-0.97470936051982515</v>
      </c>
      <c r="G181">
        <f t="shared" si="58"/>
        <v>-1.0767604751422548</v>
      </c>
      <c r="H181" s="2" t="str">
        <f t="shared" si="59"/>
        <v>Lower</v>
      </c>
      <c r="I181" s="2" t="str">
        <f t="shared" si="60"/>
        <v>Lower</v>
      </c>
      <c r="J181" s="2" t="str">
        <f t="shared" si="61"/>
        <v>Lower</v>
      </c>
      <c r="K181" s="2" t="str">
        <f t="shared" si="62"/>
        <v>Lower</v>
      </c>
      <c r="L181" s="2" t="str">
        <f t="shared" si="63"/>
        <v>Lower</v>
      </c>
      <c r="M181" s="2" t="str">
        <f t="shared" si="64"/>
        <v>Lower</v>
      </c>
      <c r="N181" s="2" t="str">
        <f t="shared" si="65"/>
        <v>Lower</v>
      </c>
      <c r="O181" s="2" t="str">
        <f t="shared" si="66"/>
        <v>Lower</v>
      </c>
      <c r="P181" s="2" t="str">
        <f t="shared" si="67"/>
        <v>Lower</v>
      </c>
      <c r="R181" s="4">
        <f>DATE(2023,11,21)</f>
        <v>45251</v>
      </c>
      <c r="S181">
        <v>0.92902567531295266</v>
      </c>
      <c r="T181">
        <v>0.73435780726777222</v>
      </c>
      <c r="U181">
        <v>-0.34478192003554714</v>
      </c>
      <c r="V181">
        <v>0.16762049972264043</v>
      </c>
      <c r="X181" s="4">
        <f>DATE(2023,11,21)</f>
        <v>45251</v>
      </c>
      <c r="Y181">
        <v>13.754725484517838</v>
      </c>
      <c r="Z181">
        <v>22.267155830137078</v>
      </c>
      <c r="AA181">
        <v>75.655000000000001</v>
      </c>
      <c r="AB181">
        <v>44.377499999999998</v>
      </c>
      <c r="AC181">
        <f t="shared" si="68"/>
        <v>-3.3533585850486436E-2</v>
      </c>
      <c r="AD181">
        <f t="shared" si="69"/>
        <v>-6.4205738037768509E-2</v>
      </c>
      <c r="AE181">
        <f t="shared" si="70"/>
        <v>-3.0672152187282073E-2</v>
      </c>
      <c r="AF181">
        <f t="shared" si="71"/>
        <v>-0.14180375253457719</v>
      </c>
      <c r="AH181">
        <f t="shared" si="72"/>
        <v>-6.4276194088599165E-2</v>
      </c>
      <c r="AI181">
        <f t="shared" si="73"/>
        <v>-0.11950539808213667</v>
      </c>
      <c r="AJ181">
        <f t="shared" si="74"/>
        <v>-5.5229203993537507E-2</v>
      </c>
      <c r="AK181">
        <f t="shared" si="75"/>
        <v>-9.7348263504019733E-2</v>
      </c>
      <c r="AM181">
        <f t="shared" si="76"/>
        <v>-0.11896460478536963</v>
      </c>
      <c r="AN181">
        <f t="shared" si="77"/>
        <v>0.22263666611285254</v>
      </c>
      <c r="AO181">
        <f t="shared" si="78"/>
        <v>0.34160127089822218</v>
      </c>
      <c r="AP181">
        <f t="shared" si="79"/>
        <v>0.77913147196594801</v>
      </c>
      <c r="AR181">
        <f t="shared" si="80"/>
        <v>-0.19427263614361101</v>
      </c>
      <c r="AS181">
        <f t="shared" si="81"/>
        <v>-0.16406300185974604</v>
      </c>
      <c r="AT181">
        <f t="shared" si="82"/>
        <v>3.0209634283864972E-2</v>
      </c>
      <c r="AU181">
        <f t="shared" si="83"/>
        <v>0.18727490199891392</v>
      </c>
    </row>
    <row r="182" spans="1:47" x14ac:dyDescent="0.25">
      <c r="A182" s="4">
        <f>DATE(2023,11,20)</f>
        <v>45250</v>
      </c>
      <c r="B182">
        <v>8.2280671088757584E-2</v>
      </c>
      <c r="C182">
        <v>40.747798008892723</v>
      </c>
      <c r="D182">
        <v>0.25869178412801047</v>
      </c>
      <c r="E182">
        <f t="shared" si="56"/>
        <v>0.19396100563979551</v>
      </c>
      <c r="F182">
        <f t="shared" si="57"/>
        <v>-0.5684350180693063</v>
      </c>
      <c r="G182">
        <f t="shared" si="58"/>
        <v>-0.50049725977016624</v>
      </c>
      <c r="H182" s="2" t="str">
        <f t="shared" si="59"/>
        <v>Lower</v>
      </c>
      <c r="I182" s="2" t="str">
        <f t="shared" si="60"/>
        <v>Lower</v>
      </c>
      <c r="J182" s="2" t="str">
        <f t="shared" si="61"/>
        <v>Lower</v>
      </c>
      <c r="K182" s="2" t="str">
        <f t="shared" si="62"/>
        <v>Lower</v>
      </c>
      <c r="L182" s="2" t="str">
        <f t="shared" si="63"/>
        <v>Lower</v>
      </c>
      <c r="M182" s="2" t="str">
        <f t="shared" si="64"/>
        <v>Higher</v>
      </c>
      <c r="N182" s="2" t="str">
        <f t="shared" si="65"/>
        <v>Lower</v>
      </c>
      <c r="O182" s="2" t="str">
        <f t="shared" si="66"/>
        <v>Lower</v>
      </c>
      <c r="P182" s="2" t="str">
        <f t="shared" si="67"/>
        <v>Lower</v>
      </c>
      <c r="R182" s="4">
        <f>DATE(2023,11,20)</f>
        <v>45250</v>
      </c>
      <c r="S182">
        <v>0.85649400418803157</v>
      </c>
      <c r="T182">
        <v>0.69264493093087454</v>
      </c>
      <c r="U182">
        <v>-0.36145283058891847</v>
      </c>
      <c r="V182">
        <v>0.18587567806271857</v>
      </c>
      <c r="X182" s="4">
        <f>DATE(2023,11,20)</f>
        <v>45250</v>
      </c>
      <c r="Y182">
        <v>14.615599306992507</v>
      </c>
      <c r="Z182">
        <v>23.98202785696191</v>
      </c>
      <c r="AA182">
        <v>76.77000000000001</v>
      </c>
      <c r="AB182">
        <v>46.093000000000004</v>
      </c>
      <c r="AC182">
        <f t="shared" si="68"/>
        <v>-9.9155084763049798E-3</v>
      </c>
      <c r="AD182">
        <f t="shared" si="69"/>
        <v>-2.1112843426926164E-2</v>
      </c>
      <c r="AE182">
        <f t="shared" si="70"/>
        <v>-1.1197334950621184E-2</v>
      </c>
      <c r="AF182">
        <f t="shared" si="71"/>
        <v>-3.6544184840044784E-2</v>
      </c>
      <c r="AH182">
        <f t="shared" si="72"/>
        <v>-4.91808654832512E-2</v>
      </c>
      <c r="AI182">
        <f t="shared" si="73"/>
        <v>-9.3250955165183599E-2</v>
      </c>
      <c r="AJ182">
        <f t="shared" si="74"/>
        <v>-4.4070089681932399E-2</v>
      </c>
      <c r="AK182">
        <f t="shared" si="75"/>
        <v>-6.2996413853339595E-2</v>
      </c>
      <c r="AM182">
        <f t="shared" si="76"/>
        <v>-0.10948447406242921</v>
      </c>
      <c r="AN182">
        <f t="shared" si="77"/>
        <v>0.20098110650008758</v>
      </c>
      <c r="AO182">
        <f t="shared" si="78"/>
        <v>0.31046558056251677</v>
      </c>
      <c r="AP182">
        <f t="shared" si="79"/>
        <v>0.7217062596766366</v>
      </c>
      <c r="AR182">
        <f t="shared" si="80"/>
        <v>-0.18669195879178507</v>
      </c>
      <c r="AS182">
        <f t="shared" si="81"/>
        <v>-0.1149320742121015</v>
      </c>
      <c r="AT182">
        <f t="shared" si="82"/>
        <v>7.1759884579683575E-2</v>
      </c>
      <c r="AU182">
        <f t="shared" si="83"/>
        <v>0.22537674928315274</v>
      </c>
    </row>
    <row r="183" spans="1:47" x14ac:dyDescent="0.25">
      <c r="A183" s="4">
        <f>DATE(2023,11,17)</f>
        <v>45247</v>
      </c>
      <c r="B183">
        <v>0.12119625354287566</v>
      </c>
      <c r="C183">
        <v>40.477491139834235</v>
      </c>
      <c r="D183">
        <v>0.22566778089687189</v>
      </c>
      <c r="E183">
        <f t="shared" si="56"/>
        <v>0.27051405271437584</v>
      </c>
      <c r="F183">
        <f t="shared" si="57"/>
        <v>-0.60417648209133512</v>
      </c>
      <c r="G183">
        <f t="shared" si="58"/>
        <v>-0.62423597143023013</v>
      </c>
      <c r="H183" s="2" t="str">
        <f t="shared" si="59"/>
        <v>Lower</v>
      </c>
      <c r="I183" s="2" t="str">
        <f t="shared" si="60"/>
        <v>Lower</v>
      </c>
      <c r="J183" s="2" t="str">
        <f t="shared" si="61"/>
        <v>Lower</v>
      </c>
      <c r="K183" s="2" t="str">
        <f t="shared" si="62"/>
        <v>Lower</v>
      </c>
      <c r="L183" s="2" t="str">
        <f t="shared" si="63"/>
        <v>Lower</v>
      </c>
      <c r="M183" s="2" t="str">
        <f t="shared" si="64"/>
        <v>Higher</v>
      </c>
      <c r="N183" s="2" t="str">
        <f t="shared" si="65"/>
        <v>Lower</v>
      </c>
      <c r="O183" s="2" t="str">
        <f t="shared" si="66"/>
        <v>Lower</v>
      </c>
      <c r="P183" s="2" t="str">
        <f t="shared" si="67"/>
        <v>Lower</v>
      </c>
      <c r="R183" s="4">
        <f>DATE(2023,11,17)</f>
        <v>45247</v>
      </c>
      <c r="S183">
        <v>0.60653972340227114</v>
      </c>
      <c r="T183">
        <v>0.58680727891128504</v>
      </c>
      <c r="U183">
        <v>-0.37660233939215404</v>
      </c>
      <c r="V183">
        <v>0.2040740221582277</v>
      </c>
      <c r="X183" s="4">
        <f>DATE(2023,11,17)</f>
        <v>45247</v>
      </c>
      <c r="Y183">
        <v>15.528560752727136</v>
      </c>
      <c r="Z183">
        <v>23.518808329364468</v>
      </c>
      <c r="AA183">
        <v>76.712500000000006</v>
      </c>
      <c r="AB183">
        <v>45.432000000000002</v>
      </c>
      <c r="AC183">
        <f t="shared" si="68"/>
        <v>-1.7957398861385671E-2</v>
      </c>
      <c r="AD183">
        <f t="shared" si="69"/>
        <v>-2.5137026985118546E-2</v>
      </c>
      <c r="AE183">
        <f t="shared" si="70"/>
        <v>-7.179628123732875E-3</v>
      </c>
      <c r="AF183">
        <f t="shared" si="71"/>
        <v>-1.7269241943614965E-2</v>
      </c>
      <c r="AH183">
        <f t="shared" si="72"/>
        <v>-6.1642037725493364E-2</v>
      </c>
      <c r="AI183">
        <f t="shared" si="73"/>
        <v>-0.11844314525854339</v>
      </c>
      <c r="AJ183">
        <f t="shared" si="74"/>
        <v>-5.6801107533050031E-2</v>
      </c>
      <c r="AK183">
        <f t="shared" si="75"/>
        <v>-0.1011555556742309</v>
      </c>
      <c r="AM183">
        <f t="shared" si="76"/>
        <v>-0.10780822638365659</v>
      </c>
      <c r="AN183">
        <f t="shared" si="77"/>
        <v>0.26937615615549065</v>
      </c>
      <c r="AO183">
        <f t="shared" si="78"/>
        <v>0.37718438253914721</v>
      </c>
      <c r="AP183">
        <f t="shared" si="79"/>
        <v>0.84135641148146367</v>
      </c>
      <c r="AR183">
        <f t="shared" si="80"/>
        <v>-0.18744122991637685</v>
      </c>
      <c r="AS183">
        <f t="shared" si="81"/>
        <v>-0.16855013069911892</v>
      </c>
      <c r="AT183">
        <f t="shared" si="82"/>
        <v>1.8891099217257928E-2</v>
      </c>
      <c r="AU183">
        <f t="shared" si="83"/>
        <v>0.17193102207069377</v>
      </c>
    </row>
    <row r="184" spans="1:47" x14ac:dyDescent="0.25">
      <c r="A184" s="4">
        <f>DATE(2023,11,16)</f>
        <v>45246</v>
      </c>
      <c r="B184">
        <v>0.19714572493382465</v>
      </c>
      <c r="C184">
        <v>41.835847778024977</v>
      </c>
      <c r="D184">
        <v>0.27463043273794885</v>
      </c>
      <c r="E184">
        <f t="shared" si="56"/>
        <v>0.42299038998721639</v>
      </c>
      <c r="F184">
        <f t="shared" si="57"/>
        <v>-0.46429678657073936</v>
      </c>
      <c r="G184">
        <f t="shared" si="58"/>
        <v>-0.46674461756854402</v>
      </c>
      <c r="H184" s="2" t="str">
        <f t="shared" si="59"/>
        <v>Lower</v>
      </c>
      <c r="I184" s="2" t="str">
        <f t="shared" si="60"/>
        <v>Lower</v>
      </c>
      <c r="J184" s="2" t="str">
        <f t="shared" si="61"/>
        <v>Lower</v>
      </c>
      <c r="K184" s="2" t="str">
        <f t="shared" si="62"/>
        <v>Lower</v>
      </c>
      <c r="L184" s="2" t="str">
        <f t="shared" si="63"/>
        <v>Lower</v>
      </c>
      <c r="M184" s="2" t="str">
        <f t="shared" si="64"/>
        <v>Higher</v>
      </c>
      <c r="N184" s="2" t="str">
        <f t="shared" si="65"/>
        <v>Lower</v>
      </c>
      <c r="O184" s="2" t="str">
        <f t="shared" si="66"/>
        <v>Lower</v>
      </c>
      <c r="P184" s="2" t="str">
        <f t="shared" si="67"/>
        <v>Lower</v>
      </c>
      <c r="R184" s="4">
        <f>DATE(2023,11,16)</f>
        <v>45246</v>
      </c>
      <c r="S184">
        <v>0.25139680269841852</v>
      </c>
      <c r="T184">
        <v>0.41817663072667122</v>
      </c>
      <c r="U184">
        <v>-0.40203658316798158</v>
      </c>
      <c r="V184">
        <v>0.22667261016470489</v>
      </c>
      <c r="X184" s="4">
        <f>DATE(2023,11,16)</f>
        <v>45246</v>
      </c>
      <c r="Y184">
        <v>16.643730892698507</v>
      </c>
      <c r="Z184">
        <v>24.630922849877006</v>
      </c>
      <c r="AA184">
        <v>77.599999999999994</v>
      </c>
      <c r="AB184">
        <v>46.250749999999996</v>
      </c>
      <c r="AC184">
        <f t="shared" si="68"/>
        <v>8.9315201202105655E-3</v>
      </c>
      <c r="AD184">
        <f t="shared" si="69"/>
        <v>-2.8376858416483068E-2</v>
      </c>
      <c r="AE184">
        <f t="shared" si="70"/>
        <v>-3.7308378536693637E-2</v>
      </c>
      <c r="AF184">
        <f t="shared" si="71"/>
        <v>-0.18424828337379737</v>
      </c>
      <c r="AH184">
        <f t="shared" si="72"/>
        <v>-5.0905010252134751E-2</v>
      </c>
      <c r="AI184">
        <f t="shared" si="73"/>
        <v>-6.6828764750143377E-2</v>
      </c>
      <c r="AJ184">
        <f t="shared" si="74"/>
        <v>-1.5923754498008626E-2</v>
      </c>
      <c r="AK184">
        <f t="shared" si="75"/>
        <v>2.386530748416071E-2</v>
      </c>
      <c r="AM184">
        <f t="shared" si="76"/>
        <v>-0.10341919953277121</v>
      </c>
      <c r="AN184">
        <f t="shared" si="77"/>
        <v>0.35993192687574693</v>
      </c>
      <c r="AO184">
        <f t="shared" si="78"/>
        <v>0.46335112640851817</v>
      </c>
      <c r="AP184">
        <f t="shared" si="79"/>
        <v>0.99662347862268852</v>
      </c>
      <c r="AR184">
        <f t="shared" si="80"/>
        <v>-0.16151488179610457</v>
      </c>
      <c r="AS184">
        <f t="shared" si="81"/>
        <v>-0.13118272876739423</v>
      </c>
      <c r="AT184">
        <f t="shared" si="82"/>
        <v>3.033215302871034E-2</v>
      </c>
      <c r="AU184">
        <f t="shared" si="83"/>
        <v>0.18089277581850616</v>
      </c>
    </row>
    <row r="185" spans="1:47" x14ac:dyDescent="0.25">
      <c r="A185" s="4">
        <f>DATE(2023,11,15)</f>
        <v>45245</v>
      </c>
      <c r="B185">
        <v>0.27332412105755965</v>
      </c>
      <c r="C185">
        <v>51.329891746492144</v>
      </c>
      <c r="D185">
        <v>0.64569653533936266</v>
      </c>
      <c r="E185">
        <f t="shared" si="56"/>
        <v>0.57746708346249798</v>
      </c>
      <c r="F185">
        <f t="shared" si="57"/>
        <v>0.57362553442227648</v>
      </c>
      <c r="G185">
        <f t="shared" si="58"/>
        <v>0.79180118842141567</v>
      </c>
      <c r="H185" s="2" t="str">
        <f t="shared" si="59"/>
        <v>Lower</v>
      </c>
      <c r="I185" s="2" t="str">
        <f t="shared" si="60"/>
        <v>Lower</v>
      </c>
      <c r="J185" s="2" t="str">
        <f t="shared" si="61"/>
        <v>Lower</v>
      </c>
      <c r="K185" s="2" t="str">
        <f t="shared" si="62"/>
        <v>Lower</v>
      </c>
      <c r="L185" s="2" t="str">
        <f t="shared" si="63"/>
        <v>Lower</v>
      </c>
      <c r="M185" s="2" t="str">
        <f t="shared" si="64"/>
        <v>Higher</v>
      </c>
      <c r="N185" s="2" t="str">
        <f t="shared" si="65"/>
        <v>Lower</v>
      </c>
      <c r="O185" s="2" t="str">
        <f t="shared" si="66"/>
        <v>Lower</v>
      </c>
      <c r="P185" s="2" t="str">
        <f t="shared" si="67"/>
        <v>Lower</v>
      </c>
      <c r="R185" s="4">
        <f>DATE(2023,11,15)</f>
        <v>45245</v>
      </c>
      <c r="S185">
        <v>-0.7686875487350554</v>
      </c>
      <c r="T185">
        <v>0.30642021604657027</v>
      </c>
      <c r="U185">
        <v>-0.4108391706536092</v>
      </c>
      <c r="V185">
        <v>0.24395810744960583</v>
      </c>
      <c r="X185" s="4">
        <f>DATE(2023,11,15)</f>
        <v>45245</v>
      </c>
      <c r="Y185">
        <v>18.759815485532368</v>
      </c>
      <c r="Z185">
        <v>26.035858491782328</v>
      </c>
      <c r="AA185">
        <v>79.587500000000006</v>
      </c>
      <c r="AB185">
        <v>47.484750000000005</v>
      </c>
      <c r="AC185">
        <f t="shared" si="68"/>
        <v>5.0475264636713611E-2</v>
      </c>
      <c r="AD185">
        <f t="shared" si="69"/>
        <v>3.8507264897644888E-2</v>
      </c>
      <c r="AE185">
        <f t="shared" si="70"/>
        <v>-1.1967999739068723E-2</v>
      </c>
      <c r="AF185">
        <f t="shared" si="71"/>
        <v>-4.4568500233676402E-2</v>
      </c>
      <c r="AH185">
        <f t="shared" si="72"/>
        <v>-3.1598498563354553E-2</v>
      </c>
      <c r="AI185">
        <f t="shared" si="73"/>
        <v>-5.6059504429764581E-2</v>
      </c>
      <c r="AJ185">
        <f t="shared" si="74"/>
        <v>-2.4461005866410028E-2</v>
      </c>
      <c r="AK185">
        <f t="shared" si="75"/>
        <v>-5.580940197418326E-4</v>
      </c>
      <c r="AM185">
        <f t="shared" si="76"/>
        <v>-0.10623024884273254</v>
      </c>
      <c r="AN185">
        <f t="shared" si="77"/>
        <v>0.21926300001527285</v>
      </c>
      <c r="AO185">
        <f t="shared" si="78"/>
        <v>0.3254932488580054</v>
      </c>
      <c r="AP185">
        <f t="shared" si="79"/>
        <v>0.74708740527663953</v>
      </c>
      <c r="AR185">
        <f t="shared" si="80"/>
        <v>-0.12802308180022695</v>
      </c>
      <c r="AS185">
        <f t="shared" si="81"/>
        <v>-0.12276227968568816</v>
      </c>
      <c r="AT185">
        <f t="shared" si="82"/>
        <v>5.2608021145387901E-3</v>
      </c>
      <c r="AU185">
        <f t="shared" si="83"/>
        <v>0.15496091613829699</v>
      </c>
    </row>
    <row r="186" spans="1:47" x14ac:dyDescent="0.25">
      <c r="A186" s="4">
        <f>DATE(2023,11,14)</f>
        <v>45244</v>
      </c>
      <c r="B186">
        <v>0.1130874884420805</v>
      </c>
      <c r="C186">
        <v>46.769117668589686</v>
      </c>
      <c r="D186">
        <v>0.4733884282827277</v>
      </c>
      <c r="E186">
        <f t="shared" si="56"/>
        <v>0.2378461572859972</v>
      </c>
      <c r="F186">
        <f t="shared" si="57"/>
        <v>7.3579286860174717E-2</v>
      </c>
      <c r="G186">
        <f t="shared" si="58"/>
        <v>0.20308082419584217</v>
      </c>
      <c r="H186" s="2" t="str">
        <f t="shared" si="59"/>
        <v>Lower</v>
      </c>
      <c r="I186" s="2" t="str">
        <f t="shared" si="60"/>
        <v>Lower</v>
      </c>
      <c r="J186" s="2" t="str">
        <f t="shared" si="61"/>
        <v>Lower</v>
      </c>
      <c r="K186" s="2" t="str">
        <f t="shared" si="62"/>
        <v>Lower</v>
      </c>
      <c r="L186" s="2" t="str">
        <f t="shared" si="63"/>
        <v>Lower</v>
      </c>
      <c r="M186" s="2" t="str">
        <f t="shared" si="64"/>
        <v>Higher</v>
      </c>
      <c r="N186" s="2" t="str">
        <f t="shared" si="65"/>
        <v>Lower</v>
      </c>
      <c r="O186" s="2" t="str">
        <f t="shared" si="66"/>
        <v>Lower</v>
      </c>
      <c r="P186" s="2" t="str">
        <f t="shared" si="67"/>
        <v>Lower</v>
      </c>
      <c r="R186" s="4">
        <f>DATE(2023,11,14)</f>
        <v>45244</v>
      </c>
      <c r="S186">
        <v>0.46422127116119327</v>
      </c>
      <c r="T186">
        <v>0.23336116415883246</v>
      </c>
      <c r="U186">
        <v>-0.37761100844864509</v>
      </c>
      <c r="V186">
        <v>0.25342224758893056</v>
      </c>
      <c r="X186" s="4">
        <f>DATE(2023,11,14)</f>
        <v>45244</v>
      </c>
      <c r="Y186">
        <v>15.488721304490017</v>
      </c>
      <c r="Z186">
        <v>24.515445612704362</v>
      </c>
      <c r="AA186">
        <v>78.234999999999999</v>
      </c>
      <c r="AB186">
        <v>47.320250000000001</v>
      </c>
      <c r="AC186">
        <f t="shared" si="68"/>
        <v>3.6081273631475952E-2</v>
      </c>
      <c r="AD186">
        <f t="shared" si="69"/>
        <v>2.7378869067684525E-2</v>
      </c>
      <c r="AE186">
        <f t="shared" si="70"/>
        <v>-8.7024045637914271E-3</v>
      </c>
      <c r="AF186">
        <f t="shared" si="71"/>
        <v>-2.6358685102273387E-2</v>
      </c>
      <c r="AH186">
        <f t="shared" si="72"/>
        <v>-5.3868744160931036E-2</v>
      </c>
      <c r="AI186">
        <f t="shared" si="73"/>
        <v>-2.2494340433086259E-2</v>
      </c>
      <c r="AJ186">
        <f t="shared" si="74"/>
        <v>3.137440372784478E-2</v>
      </c>
      <c r="AK186">
        <f t="shared" si="75"/>
        <v>0.17066083575693242</v>
      </c>
      <c r="AM186">
        <f t="shared" si="76"/>
        <v>-0.13435389571535106</v>
      </c>
      <c r="AN186">
        <f t="shared" si="77"/>
        <v>0.10819335792593494</v>
      </c>
      <c r="AO186">
        <f t="shared" si="78"/>
        <v>0.24254725364128599</v>
      </c>
      <c r="AP186">
        <f t="shared" si="79"/>
        <v>0.59618968176158094</v>
      </c>
      <c r="AR186">
        <f t="shared" si="80"/>
        <v>-0.14593655419682583</v>
      </c>
      <c r="AS186">
        <f t="shared" si="81"/>
        <v>-0.16800703591867186</v>
      </c>
      <c r="AT186">
        <f t="shared" si="82"/>
        <v>-2.207048172184603E-2</v>
      </c>
      <c r="AU186">
        <f t="shared" si="83"/>
        <v>0.12672586525782273</v>
      </c>
    </row>
    <row r="187" spans="1:47" x14ac:dyDescent="0.25">
      <c r="A187" s="4">
        <f>DATE(2023,11,13)</f>
        <v>45243</v>
      </c>
      <c r="B187">
        <v>-1.895845229596782E-2</v>
      </c>
      <c r="C187">
        <v>41.4949600789529</v>
      </c>
      <c r="D187">
        <v>0.30998960587390051</v>
      </c>
      <c r="E187">
        <f t="shared" si="56"/>
        <v>-4.4026716396498848E-2</v>
      </c>
      <c r="F187">
        <f t="shared" si="57"/>
        <v>-0.51043969673757805</v>
      </c>
      <c r="G187">
        <f t="shared" si="58"/>
        <v>-0.35945980165185426</v>
      </c>
      <c r="H187" s="2" t="str">
        <f t="shared" si="59"/>
        <v>Lower</v>
      </c>
      <c r="I187" s="2" t="str">
        <f t="shared" si="60"/>
        <v>Lower</v>
      </c>
      <c r="J187" s="2" t="str">
        <f t="shared" si="61"/>
        <v>Lower</v>
      </c>
      <c r="K187" s="2" t="str">
        <f t="shared" si="62"/>
        <v>Lower</v>
      </c>
      <c r="L187" s="2" t="str">
        <f t="shared" si="63"/>
        <v>Lower</v>
      </c>
      <c r="M187" s="2" t="str">
        <f t="shared" si="64"/>
        <v>Higher</v>
      </c>
      <c r="N187" s="2" t="str">
        <f t="shared" si="65"/>
        <v>Lower</v>
      </c>
      <c r="O187" s="2" t="str">
        <f t="shared" si="66"/>
        <v>Lower</v>
      </c>
      <c r="P187" s="2" t="str">
        <f t="shared" si="67"/>
        <v>Lower</v>
      </c>
      <c r="R187" s="4">
        <f>DATE(2023,11,13)</f>
        <v>45243</v>
      </c>
      <c r="S187">
        <v>0.56947095000351255</v>
      </c>
      <c r="T187">
        <v>0.22959825853832896</v>
      </c>
      <c r="U187">
        <v>-0.36410295760480821</v>
      </c>
      <c r="V187">
        <v>0.26410147207531648</v>
      </c>
      <c r="X187" s="4">
        <f>DATE(2023,11,13)</f>
        <v>45243</v>
      </c>
      <c r="Y187">
        <v>16.64144156481505</v>
      </c>
      <c r="Z187">
        <v>25.621831741118257</v>
      </c>
      <c r="AA187">
        <v>77.534999999999997</v>
      </c>
      <c r="AB187">
        <v>47.076499999999996</v>
      </c>
      <c r="AC187">
        <f t="shared" si="68"/>
        <v>1.7499226831194006E-2</v>
      </c>
      <c r="AD187">
        <f t="shared" si="69"/>
        <v>3.7589806913136285E-2</v>
      </c>
      <c r="AE187">
        <f t="shared" si="70"/>
        <v>2.009058008194228E-2</v>
      </c>
      <c r="AF187">
        <f t="shared" si="71"/>
        <v>0.13236073961161968</v>
      </c>
      <c r="AH187">
        <f t="shared" si="72"/>
        <v>-7.8985554295301755E-2</v>
      </c>
      <c r="AI187">
        <f t="shared" si="73"/>
        <v>-5.110236349797756E-2</v>
      </c>
      <c r="AJ187">
        <f t="shared" si="74"/>
        <v>2.7883190797324195E-2</v>
      </c>
      <c r="AK187">
        <f t="shared" si="75"/>
        <v>0.16223869731787868</v>
      </c>
      <c r="AM187">
        <f t="shared" si="76"/>
        <v>-0.12470214428615266</v>
      </c>
      <c r="AN187">
        <f t="shared" si="77"/>
        <v>0.15719823842348618</v>
      </c>
      <c r="AO187">
        <f t="shared" si="78"/>
        <v>0.28190038270963885</v>
      </c>
      <c r="AP187">
        <f t="shared" si="79"/>
        <v>0.66614130976937769</v>
      </c>
      <c r="AR187">
        <f t="shared" si="80"/>
        <v>-0.17187401501501673</v>
      </c>
      <c r="AS187">
        <f t="shared" si="81"/>
        <v>-0.21054661911459915</v>
      </c>
      <c r="AT187">
        <f t="shared" si="82"/>
        <v>-3.8672604099582425E-2</v>
      </c>
      <c r="AU187">
        <f t="shared" si="83"/>
        <v>0.10886781594097696</v>
      </c>
    </row>
    <row r="188" spans="1:47" x14ac:dyDescent="0.25">
      <c r="A188" s="4">
        <f>DATE(2023,11,10)</f>
        <v>45240</v>
      </c>
      <c r="B188">
        <v>-9.0506615366064747E-2</v>
      </c>
      <c r="C188">
        <v>45.983129294451551</v>
      </c>
      <c r="D188">
        <v>0.42991460794338604</v>
      </c>
      <c r="E188">
        <f t="shared" si="56"/>
        <v>-0.19889405278168051</v>
      </c>
      <c r="F188">
        <f t="shared" si="57"/>
        <v>-1.8148143314131199E-2</v>
      </c>
      <c r="G188">
        <f t="shared" si="58"/>
        <v>4.8247191390571931E-2</v>
      </c>
      <c r="H188" s="2" t="str">
        <f t="shared" si="59"/>
        <v>Lower</v>
      </c>
      <c r="I188" s="2" t="str">
        <f t="shared" si="60"/>
        <v>Lower</v>
      </c>
      <c r="J188" s="2" t="str">
        <f t="shared" si="61"/>
        <v>Lower</v>
      </c>
      <c r="K188" s="2" t="str">
        <f t="shared" si="62"/>
        <v>Lower</v>
      </c>
      <c r="L188" s="2" t="str">
        <f t="shared" si="63"/>
        <v>Lower</v>
      </c>
      <c r="M188" s="2" t="str">
        <f t="shared" si="64"/>
        <v>Higher</v>
      </c>
      <c r="N188" s="2" t="str">
        <f t="shared" si="65"/>
        <v>Lower</v>
      </c>
      <c r="O188" s="2" t="str">
        <f t="shared" si="66"/>
        <v>Lower</v>
      </c>
      <c r="P188" s="2" t="str">
        <f t="shared" si="67"/>
        <v>Lower</v>
      </c>
      <c r="R188" s="4">
        <f>DATE(2023,11,10)</f>
        <v>45240</v>
      </c>
      <c r="S188">
        <v>0.57736644993777453</v>
      </c>
      <c r="T188">
        <v>0.21788156024383704</v>
      </c>
      <c r="U188">
        <v>-0.36546799639491828</v>
      </c>
      <c r="V188">
        <v>0.27684536366683432</v>
      </c>
      <c r="X188" s="4">
        <f>DATE(2023,11,10)</f>
        <v>45240</v>
      </c>
      <c r="Y188">
        <v>17.888919152137348</v>
      </c>
      <c r="Z188">
        <v>27.701534225023373</v>
      </c>
      <c r="AA188">
        <v>78.102499999999992</v>
      </c>
      <c r="AB188">
        <v>46.588499999999996</v>
      </c>
      <c r="AC188">
        <f t="shared" si="68"/>
        <v>8.9666000179316704E-4</v>
      </c>
      <c r="AD188">
        <f t="shared" si="69"/>
        <v>-3.7339974219034629E-2</v>
      </c>
      <c r="AE188">
        <f t="shared" si="70"/>
        <v>-3.8236634220827799E-2</v>
      </c>
      <c r="AF188">
        <f t="shared" si="71"/>
        <v>-0.18592716104858706</v>
      </c>
      <c r="AH188">
        <f t="shared" si="72"/>
        <v>-9.4084348684470506E-2</v>
      </c>
      <c r="AI188">
        <f t="shared" si="73"/>
        <v>-0.14214772241887522</v>
      </c>
      <c r="AJ188">
        <f t="shared" si="74"/>
        <v>-4.806337373440471E-2</v>
      </c>
      <c r="AK188">
        <f t="shared" si="75"/>
        <v>-6.6260282624591049E-2</v>
      </c>
      <c r="AM188">
        <f t="shared" si="76"/>
        <v>-0.12039371106599132</v>
      </c>
      <c r="AN188">
        <f t="shared" si="77"/>
        <v>0.24229641711838437</v>
      </c>
      <c r="AO188">
        <f t="shared" si="78"/>
        <v>0.36269012818437568</v>
      </c>
      <c r="AP188">
        <f t="shared" si="79"/>
        <v>0.81128760019530155</v>
      </c>
      <c r="AR188">
        <f t="shared" si="80"/>
        <v>-0.18482048579329985</v>
      </c>
      <c r="AS188">
        <f t="shared" si="81"/>
        <v>-0.22281938445775407</v>
      </c>
      <c r="AT188">
        <f t="shared" si="82"/>
        <v>-3.7998898664454217E-2</v>
      </c>
      <c r="AU188">
        <f t="shared" si="83"/>
        <v>0.10775029582350999</v>
      </c>
    </row>
    <row r="189" spans="1:47" x14ac:dyDescent="0.25">
      <c r="A189" s="4">
        <f>DATE(2023,11,9)</f>
        <v>45239</v>
      </c>
      <c r="B189">
        <v>-0.30092364505691949</v>
      </c>
      <c r="C189">
        <v>39.397496766472592</v>
      </c>
      <c r="D189">
        <v>0.28118497929150854</v>
      </c>
      <c r="E189">
        <f t="shared" si="56"/>
        <v>-0.64603695192624355</v>
      </c>
      <c r="F189">
        <f t="shared" si="57"/>
        <v>-0.747277406197011</v>
      </c>
      <c r="G189">
        <f t="shared" si="58"/>
        <v>-0.462888104783511</v>
      </c>
      <c r="H189" s="2" t="str">
        <f t="shared" si="59"/>
        <v>Lower</v>
      </c>
      <c r="I189" s="2" t="str">
        <f t="shared" si="60"/>
        <v>Lower</v>
      </c>
      <c r="J189" s="2" t="str">
        <f t="shared" si="61"/>
        <v>Lower</v>
      </c>
      <c r="K189" s="2" t="str">
        <f t="shared" si="62"/>
        <v>Lower</v>
      </c>
      <c r="L189" s="2" t="str">
        <f t="shared" si="63"/>
        <v>Lower</v>
      </c>
      <c r="M189" s="2" t="str">
        <f t="shared" si="64"/>
        <v>Higher</v>
      </c>
      <c r="N189" s="2" t="str">
        <f t="shared" si="65"/>
        <v>Lower</v>
      </c>
      <c r="O189" s="2" t="str">
        <f t="shared" si="66"/>
        <v>Lower</v>
      </c>
      <c r="P189" s="2" t="str">
        <f t="shared" si="67"/>
        <v>Lower</v>
      </c>
      <c r="R189" s="4">
        <f>DATE(2023,11,9)</f>
        <v>45239</v>
      </c>
      <c r="S189">
        <v>0.87360259121115014</v>
      </c>
      <c r="T189">
        <v>0.1962353323302872</v>
      </c>
      <c r="U189">
        <v>-0.36942587839169944</v>
      </c>
      <c r="V189">
        <v>0.27691299112097645</v>
      </c>
      <c r="X189" s="4">
        <f>DATE(2023,11,9)</f>
        <v>45239</v>
      </c>
      <c r="Y189">
        <v>15.163437328694423</v>
      </c>
      <c r="Z189">
        <v>29.239716305728393</v>
      </c>
      <c r="AA189">
        <v>76.91</v>
      </c>
      <c r="AB189">
        <v>47.581999999999994</v>
      </c>
      <c r="AC189">
        <f t="shared" si="68"/>
        <v>-1.6186069960325129E-2</v>
      </c>
      <c r="AD189">
        <f t="shared" si="69"/>
        <v>-1.2375296959725137E-2</v>
      </c>
      <c r="AE189">
        <f t="shared" si="70"/>
        <v>3.8107730005999922E-3</v>
      </c>
      <c r="AF189">
        <f t="shared" si="71"/>
        <v>4.3512450303119149E-2</v>
      </c>
      <c r="AH189">
        <f t="shared" si="72"/>
        <v>-9.8867632222340643E-2</v>
      </c>
      <c r="AI189">
        <f t="shared" si="73"/>
        <v>-7.1887533217760244E-2</v>
      </c>
      <c r="AJ189">
        <f t="shared" si="74"/>
        <v>2.6980099004580399E-2</v>
      </c>
      <c r="AK189">
        <f t="shared" si="75"/>
        <v>0.16243151045015186</v>
      </c>
      <c r="AM189">
        <f t="shared" si="76"/>
        <v>-0.14389149878835703</v>
      </c>
      <c r="AN189">
        <f t="shared" si="77"/>
        <v>0.24279119503439772</v>
      </c>
      <c r="AO189">
        <f t="shared" si="78"/>
        <v>0.38668269382275477</v>
      </c>
      <c r="AP189">
        <f t="shared" si="79"/>
        <v>0.85395694898680863</v>
      </c>
      <c r="AR189">
        <f t="shared" si="80"/>
        <v>-0.19775572897694885</v>
      </c>
      <c r="AS189">
        <f t="shared" si="81"/>
        <v>-0.18007027503265227</v>
      </c>
      <c r="AT189">
        <f t="shared" si="82"/>
        <v>1.7685453944296575E-2</v>
      </c>
      <c r="AU189">
        <f t="shared" si="83"/>
        <v>0.15948304836356336</v>
      </c>
    </row>
    <row r="190" spans="1:47" x14ac:dyDescent="0.25">
      <c r="A190" s="4">
        <f>DATE(2023,11,8)</f>
        <v>45238</v>
      </c>
      <c r="B190">
        <v>-0.45701422139205006</v>
      </c>
      <c r="C190">
        <v>29.195577783563412</v>
      </c>
      <c r="D190">
        <v>0.11418750427099461</v>
      </c>
      <c r="E190">
        <f t="shared" si="56"/>
        <v>-0.98230892526542957</v>
      </c>
      <c r="F190">
        <f t="shared" si="57"/>
        <v>-1.8846748681243772</v>
      </c>
      <c r="G190">
        <f t="shared" si="58"/>
        <v>-1.0403378202092208</v>
      </c>
      <c r="H190" s="2" t="str">
        <f t="shared" si="59"/>
        <v>Lower</v>
      </c>
      <c r="I190" s="2" t="str">
        <f t="shared" si="60"/>
        <v>Lower</v>
      </c>
      <c r="J190" s="2" t="str">
        <f t="shared" si="61"/>
        <v>Lower</v>
      </c>
      <c r="K190" s="2" t="str">
        <f t="shared" si="62"/>
        <v>Lower</v>
      </c>
      <c r="L190" s="2" t="str">
        <f t="shared" si="63"/>
        <v>Lower</v>
      </c>
      <c r="M190" s="2" t="str">
        <f t="shared" si="64"/>
        <v>Higher</v>
      </c>
      <c r="N190" s="2" t="str">
        <f t="shared" si="65"/>
        <v>Lower</v>
      </c>
      <c r="O190" s="2" t="str">
        <f t="shared" si="66"/>
        <v>Lower</v>
      </c>
      <c r="P190" s="2" t="str">
        <f t="shared" si="67"/>
        <v>Lower</v>
      </c>
      <c r="R190" s="4">
        <f>DATE(2023,11,8)</f>
        <v>45238</v>
      </c>
      <c r="S190">
        <v>0.90413248459923801</v>
      </c>
      <c r="T190">
        <v>0.16495555879808269</v>
      </c>
      <c r="U190">
        <v>-0.36124026245362562</v>
      </c>
      <c r="V190">
        <v>0.27359743320368562</v>
      </c>
      <c r="X190" s="4">
        <f>DATE(2023,11,8)</f>
        <v>45238</v>
      </c>
      <c r="Y190">
        <v>11.619528065321983</v>
      </c>
      <c r="Z190">
        <v>25.309151078839342</v>
      </c>
      <c r="AA190">
        <v>75.67</v>
      </c>
      <c r="AB190">
        <v>45.691000000000003</v>
      </c>
      <c r="AC190">
        <f t="shared" si="68"/>
        <v>-4.1957862987313681E-2</v>
      </c>
      <c r="AD190">
        <f t="shared" si="69"/>
        <v>-4.360117163972145E-2</v>
      </c>
      <c r="AE190">
        <f t="shared" si="70"/>
        <v>-1.6433086524077697E-3</v>
      </c>
      <c r="AF190">
        <f t="shared" si="71"/>
        <v>1.2137562655161964E-2</v>
      </c>
      <c r="AH190">
        <f t="shared" si="72"/>
        <v>-0.10648648386995324</v>
      </c>
      <c r="AI190">
        <f t="shared" si="73"/>
        <v>-2.4734782572236599E-2</v>
      </c>
      <c r="AJ190">
        <f t="shared" si="74"/>
        <v>8.1751701297716639E-2</v>
      </c>
      <c r="AK190">
        <f t="shared" si="75"/>
        <v>0.32939941842580062</v>
      </c>
      <c r="AM190">
        <f t="shared" si="76"/>
        <v>-0.15282827815345648</v>
      </c>
      <c r="AN190">
        <f t="shared" si="77"/>
        <v>0.1676262726609391</v>
      </c>
      <c r="AO190">
        <f t="shared" si="78"/>
        <v>0.32045455081439556</v>
      </c>
      <c r="AP190">
        <f t="shared" si="79"/>
        <v>0.73387381926673456</v>
      </c>
      <c r="AR190">
        <f t="shared" si="80"/>
        <v>-0.22933552156213097</v>
      </c>
      <c r="AS190">
        <f t="shared" si="81"/>
        <v>-0.25555559022721974</v>
      </c>
      <c r="AT190">
        <f t="shared" si="82"/>
        <v>-2.6220068665088775E-2</v>
      </c>
      <c r="AU190">
        <f t="shared" si="83"/>
        <v>0.1156724112593193</v>
      </c>
    </row>
    <row r="191" spans="1:47" x14ac:dyDescent="0.25">
      <c r="A191" s="4">
        <f>DATE(2023,11,7)</f>
        <v>45237</v>
      </c>
      <c r="B191">
        <v>-0.47781293672237135</v>
      </c>
      <c r="C191">
        <v>26.101281884659567</v>
      </c>
      <c r="D191">
        <v>2.8007108123636774E-2</v>
      </c>
      <c r="E191">
        <f t="shared" si="56"/>
        <v>-1.0382160241309797</v>
      </c>
      <c r="F191">
        <f t="shared" si="57"/>
        <v>-2.2749004534189092</v>
      </c>
      <c r="G191">
        <f t="shared" si="58"/>
        <v>-1.3515096096698425</v>
      </c>
      <c r="H191" s="2" t="str">
        <f t="shared" si="59"/>
        <v>Lower</v>
      </c>
      <c r="I191" s="2" t="str">
        <f t="shared" si="60"/>
        <v>Lower</v>
      </c>
      <c r="J191" s="2" t="str">
        <f t="shared" si="61"/>
        <v>Lower</v>
      </c>
      <c r="K191" s="2" t="str">
        <f t="shared" si="62"/>
        <v>Higher</v>
      </c>
      <c r="L191" s="2" t="str">
        <f t="shared" si="63"/>
        <v>Lower</v>
      </c>
      <c r="M191" s="2" t="str">
        <f t="shared" si="64"/>
        <v>Higher</v>
      </c>
      <c r="N191" s="2" t="str">
        <f t="shared" si="65"/>
        <v>Higher</v>
      </c>
      <c r="O191" s="2" t="str">
        <f t="shared" si="66"/>
        <v>Lower</v>
      </c>
      <c r="P191" s="2" t="str">
        <f t="shared" si="67"/>
        <v>Lower</v>
      </c>
      <c r="R191" s="4">
        <f>DATE(2023,11,7)</f>
        <v>45237</v>
      </c>
      <c r="S191">
        <v>0.87687076526841701</v>
      </c>
      <c r="T191">
        <v>0.13061719699888302</v>
      </c>
      <c r="U191">
        <v>-0.3568911593673651</v>
      </c>
      <c r="V191">
        <v>0.27217864025310479</v>
      </c>
      <c r="X191" s="4">
        <f>DATE(2023,11,7)</f>
        <v>45237</v>
      </c>
      <c r="Y191">
        <v>12.367201738540023</v>
      </c>
      <c r="Z191">
        <v>25.998404454445339</v>
      </c>
      <c r="AA191">
        <v>75.462500000000006</v>
      </c>
      <c r="AB191">
        <v>46.042250000000003</v>
      </c>
      <c r="AC191">
        <f t="shared" si="68"/>
        <v>-4.5020555988165241E-2</v>
      </c>
      <c r="AD191">
        <f t="shared" si="69"/>
        <v>-6.03304113867731E-2</v>
      </c>
      <c r="AE191">
        <f t="shared" si="70"/>
        <v>-1.5309855398607859E-2</v>
      </c>
      <c r="AF191">
        <f t="shared" si="71"/>
        <v>-6.3644623559231034E-2</v>
      </c>
      <c r="AH191">
        <f t="shared" si="72"/>
        <v>-0.10801394102466072</v>
      </c>
      <c r="AI191">
        <f t="shared" si="73"/>
        <v>-5.1334017024319674E-2</v>
      </c>
      <c r="AJ191">
        <f t="shared" si="74"/>
        <v>5.6679924000341046E-2</v>
      </c>
      <c r="AK191">
        <f t="shared" si="75"/>
        <v>0.25477648529313002</v>
      </c>
      <c r="AM191">
        <f t="shared" si="76"/>
        <v>-0.1467450155169083</v>
      </c>
      <c r="AN191">
        <f t="shared" si="77"/>
        <v>0.1767865662363064</v>
      </c>
      <c r="AO191">
        <f t="shared" si="78"/>
        <v>0.32353158175321473</v>
      </c>
      <c r="AP191">
        <f t="shared" si="79"/>
        <v>0.73877764253192035</v>
      </c>
      <c r="AR191">
        <f t="shared" si="80"/>
        <v>-0.19986322572098875</v>
      </c>
      <c r="AS191">
        <f t="shared" si="81"/>
        <v>-0.2319863972638086</v>
      </c>
      <c r="AT191">
        <f t="shared" si="82"/>
        <v>-3.2123171542819851E-2</v>
      </c>
      <c r="AU191">
        <f t="shared" si="83"/>
        <v>0.10852300097449685</v>
      </c>
    </row>
    <row r="192" spans="1:47" x14ac:dyDescent="0.25">
      <c r="A192" s="4">
        <f>DATE(2023,11,6)</f>
        <v>45236</v>
      </c>
      <c r="B192">
        <v>-0.4079174881699974</v>
      </c>
      <c r="C192">
        <v>27.567820368726</v>
      </c>
      <c r="D192">
        <v>1.6635698069738268E-2</v>
      </c>
      <c r="E192">
        <f t="shared" si="56"/>
        <v>-0.89708251166970365</v>
      </c>
      <c r="F192">
        <f t="shared" si="57"/>
        <v>-2.1692326617978464</v>
      </c>
      <c r="G192">
        <f t="shared" si="58"/>
        <v>-1.4085598765919638</v>
      </c>
      <c r="H192" s="2" t="str">
        <f t="shared" si="59"/>
        <v>Higher</v>
      </c>
      <c r="I192" s="2" t="str">
        <f t="shared" si="60"/>
        <v>Lower</v>
      </c>
      <c r="J192" s="2" t="str">
        <f t="shared" si="61"/>
        <v>Lower</v>
      </c>
      <c r="K192" s="2" t="str">
        <f t="shared" si="62"/>
        <v>Higher</v>
      </c>
      <c r="L192" s="2" t="str">
        <f t="shared" si="63"/>
        <v>Lower</v>
      </c>
      <c r="M192" s="2" t="str">
        <f t="shared" si="64"/>
        <v>Higher</v>
      </c>
      <c r="N192" s="2" t="str">
        <f t="shared" si="65"/>
        <v>Higher</v>
      </c>
      <c r="O192" s="2" t="str">
        <f t="shared" si="66"/>
        <v>Lower</v>
      </c>
      <c r="P192" s="2" t="str">
        <f t="shared" si="67"/>
        <v>Lower</v>
      </c>
      <c r="R192" s="4">
        <f>DATE(2023,11,6)</f>
        <v>45236</v>
      </c>
      <c r="S192">
        <v>0.90123313230401558</v>
      </c>
      <c r="T192">
        <v>0.10327283644218153</v>
      </c>
      <c r="U192">
        <v>-0.36467179345967571</v>
      </c>
      <c r="V192">
        <v>0.27092166364624359</v>
      </c>
      <c r="X192" s="4">
        <f>DATE(2023,11,6)</f>
        <v>45236</v>
      </c>
      <c r="Y192">
        <v>13.179270174297871</v>
      </c>
      <c r="Z192">
        <v>27.152557975576546</v>
      </c>
      <c r="AA192">
        <v>76.19</v>
      </c>
      <c r="AB192">
        <v>45.339749999999995</v>
      </c>
      <c r="AC192">
        <f t="shared" si="68"/>
        <v>-3.9124794492232363E-2</v>
      </c>
      <c r="AD192">
        <f t="shared" si="69"/>
        <v>-0.12771801353665163</v>
      </c>
      <c r="AE192">
        <f t="shared" si="70"/>
        <v>-8.8593219044419275E-2</v>
      </c>
      <c r="AF192">
        <f t="shared" si="71"/>
        <v>-0.46460031358668952</v>
      </c>
      <c r="AH192">
        <f t="shared" si="72"/>
        <v>-6.5807157605680011E-2</v>
      </c>
      <c r="AI192">
        <f t="shared" si="73"/>
        <v>4.6834358784386791E-2</v>
      </c>
      <c r="AJ192">
        <f t="shared" si="74"/>
        <v>0.11264151639006681</v>
      </c>
      <c r="AK192">
        <f t="shared" si="75"/>
        <v>0.42609982449511546</v>
      </c>
      <c r="AM192">
        <f t="shared" si="76"/>
        <v>-0.13732226877822898</v>
      </c>
      <c r="AN192">
        <f t="shared" si="77"/>
        <v>0.26422197624189853</v>
      </c>
      <c r="AO192">
        <f t="shared" si="78"/>
        <v>0.40154424502012753</v>
      </c>
      <c r="AP192">
        <f t="shared" si="79"/>
        <v>0.87893286271433335</v>
      </c>
      <c r="AR192">
        <f t="shared" si="80"/>
        <v>-0.15837925328000663</v>
      </c>
      <c r="AS192">
        <f t="shared" si="81"/>
        <v>-0.20363029706298555</v>
      </c>
      <c r="AT192">
        <f t="shared" si="82"/>
        <v>-4.5251043782978922E-2</v>
      </c>
      <c r="AU192">
        <f t="shared" si="83"/>
        <v>9.4508419392349968E-2</v>
      </c>
    </row>
    <row r="193" spans="1:47" x14ac:dyDescent="0.25">
      <c r="A193" s="4">
        <f>DATE(2023,11,3)</f>
        <v>45233</v>
      </c>
      <c r="B193">
        <v>-0.30679725279266568</v>
      </c>
      <c r="C193">
        <v>32.787050637864226</v>
      </c>
      <c r="D193">
        <v>0.11918062188641607</v>
      </c>
      <c r="E193">
        <f t="shared" si="56"/>
        <v>-0.68211096345554112</v>
      </c>
      <c r="F193">
        <f t="shared" si="57"/>
        <v>-1.6086310839989142</v>
      </c>
      <c r="G193">
        <f t="shared" si="58"/>
        <v>-1.0664320113730965</v>
      </c>
      <c r="H193" s="2" t="str">
        <f t="shared" si="59"/>
        <v>Higher</v>
      </c>
      <c r="I193" s="2" t="str">
        <f t="shared" si="60"/>
        <v>Lower</v>
      </c>
      <c r="J193" s="2" t="str">
        <f t="shared" si="61"/>
        <v>Lower</v>
      </c>
      <c r="K193" s="2" t="str">
        <f t="shared" si="62"/>
        <v>Higher</v>
      </c>
      <c r="L193" s="2" t="str">
        <f t="shared" si="63"/>
        <v>Lower</v>
      </c>
      <c r="M193" s="2" t="str">
        <f t="shared" si="64"/>
        <v>Higher</v>
      </c>
      <c r="N193" s="2" t="str">
        <f t="shared" si="65"/>
        <v>Higher</v>
      </c>
      <c r="O193" s="2" t="str">
        <f t="shared" si="66"/>
        <v>Lower</v>
      </c>
      <c r="P193" s="2" t="str">
        <f t="shared" si="67"/>
        <v>Lower</v>
      </c>
      <c r="R193" s="4">
        <f>DATE(2023,11,3)</f>
        <v>45233</v>
      </c>
      <c r="S193">
        <v>0.22307864181979425</v>
      </c>
      <c r="T193">
        <v>6.5623595996653003E-2</v>
      </c>
      <c r="U193">
        <v>-0.3728922283676353</v>
      </c>
      <c r="V193">
        <v>0.26870319116260016</v>
      </c>
      <c r="X193" s="4">
        <f>DATE(2023,11,3)</f>
        <v>45233</v>
      </c>
      <c r="Y193">
        <v>14.253809853912703</v>
      </c>
      <c r="Z193">
        <v>29.146685229544179</v>
      </c>
      <c r="AA193">
        <v>78.032499999999999</v>
      </c>
      <c r="AB193">
        <v>48.361000000000004</v>
      </c>
      <c r="AC193">
        <f t="shared" si="68"/>
        <v>-1.9763050242950091E-2</v>
      </c>
      <c r="AD193">
        <f t="shared" si="69"/>
        <v>-4.5796265104237788E-2</v>
      </c>
      <c r="AE193">
        <f t="shared" si="70"/>
        <v>-2.6033214861287696E-2</v>
      </c>
      <c r="AF193">
        <f t="shared" si="71"/>
        <v>-0.12139411294778557</v>
      </c>
      <c r="AH193">
        <f t="shared" si="72"/>
        <v>-3.1659588843536125E-2</v>
      </c>
      <c r="AI193">
        <f t="shared" si="73"/>
        <v>0.24842371577261183</v>
      </c>
      <c r="AJ193">
        <f t="shared" si="74"/>
        <v>0.28008330461614794</v>
      </c>
      <c r="AK193">
        <f t="shared" si="75"/>
        <v>0.93559220327864656</v>
      </c>
      <c r="AM193">
        <f t="shared" si="76"/>
        <v>-9.8325931163341262E-2</v>
      </c>
      <c r="AN193">
        <f t="shared" si="77"/>
        <v>0.30350800160106506</v>
      </c>
      <c r="AO193">
        <f t="shared" si="78"/>
        <v>0.40183393276440632</v>
      </c>
      <c r="AP193">
        <f t="shared" si="79"/>
        <v>0.87940654073445057</v>
      </c>
      <c r="AR193">
        <f t="shared" si="80"/>
        <v>-0.13661029896697827</v>
      </c>
      <c r="AS193">
        <f t="shared" si="81"/>
        <v>-0.1253385849382698</v>
      </c>
      <c r="AT193">
        <f t="shared" si="82"/>
        <v>1.1271714028708468E-2</v>
      </c>
      <c r="AU193">
        <f t="shared" si="83"/>
        <v>0.14698238438764336</v>
      </c>
    </row>
    <row r="194" spans="1:47" x14ac:dyDescent="0.25">
      <c r="A194" s="4">
        <f>DATE(2023,11,2)</f>
        <v>45232</v>
      </c>
      <c r="B194">
        <v>-0.28900026399291678</v>
      </c>
      <c r="C194">
        <v>36.218429846986702</v>
      </c>
      <c r="D194">
        <v>0.18790905769221788</v>
      </c>
      <c r="E194">
        <f t="shared" si="56"/>
        <v>-0.63742877869860548</v>
      </c>
      <c r="F194">
        <f t="shared" si="57"/>
        <v>-1.2223526974883354</v>
      </c>
      <c r="G194">
        <f t="shared" si="58"/>
        <v>-0.83068956864786281</v>
      </c>
      <c r="H194" s="2" t="str">
        <f t="shared" si="59"/>
        <v>Higher</v>
      </c>
      <c r="I194" s="2" t="str">
        <f t="shared" si="60"/>
        <v>Lower</v>
      </c>
      <c r="J194" s="2" t="str">
        <f t="shared" si="61"/>
        <v>Lower</v>
      </c>
      <c r="K194" s="2" t="str">
        <f t="shared" si="62"/>
        <v>Higher</v>
      </c>
      <c r="L194" s="2" t="str">
        <f t="shared" si="63"/>
        <v>Lower</v>
      </c>
      <c r="M194" s="2" t="str">
        <f t="shared" si="64"/>
        <v>Higher</v>
      </c>
      <c r="N194" s="2" t="str">
        <f t="shared" si="65"/>
        <v>Higher</v>
      </c>
      <c r="O194" s="2" t="str">
        <f t="shared" si="66"/>
        <v>Lower</v>
      </c>
      <c r="P194" s="2" t="str">
        <f t="shared" si="67"/>
        <v>Lower</v>
      </c>
      <c r="R194" s="4">
        <f>DATE(2023,11,2)</f>
        <v>45232</v>
      </c>
      <c r="S194">
        <v>0.46189985475417189</v>
      </c>
      <c r="T194">
        <v>1.6324445541511454E-2</v>
      </c>
      <c r="U194">
        <v>-0.35665314211929638</v>
      </c>
      <c r="V194">
        <v>0.2660421587067493</v>
      </c>
      <c r="X194" s="4">
        <f>DATE(2023,11,2)</f>
        <v>45232</v>
      </c>
      <c r="Y194">
        <v>13.544740888108626</v>
      </c>
      <c r="Z194">
        <v>29.078923578546075</v>
      </c>
      <c r="AA194">
        <v>78.164999999999992</v>
      </c>
      <c r="AB194">
        <v>48.174499999999995</v>
      </c>
      <c r="AC194">
        <f t="shared" si="68"/>
        <v>-2.1359205845446382E-2</v>
      </c>
      <c r="AD194">
        <f t="shared" si="69"/>
        <v>-5.3696242107783357E-2</v>
      </c>
      <c r="AE194">
        <f t="shared" si="70"/>
        <v>-3.2337036262336971E-2</v>
      </c>
      <c r="AF194">
        <f t="shared" si="71"/>
        <v>-0.15338959502774721</v>
      </c>
      <c r="AH194">
        <f t="shared" si="72"/>
        <v>-3.4669929503851157E-2</v>
      </c>
      <c r="AI194">
        <f t="shared" si="73"/>
        <v>0.27694239781119856</v>
      </c>
      <c r="AJ194">
        <f t="shared" si="74"/>
        <v>0.31161232731504973</v>
      </c>
      <c r="AK194">
        <f t="shared" si="75"/>
        <v>1.0359880809330588</v>
      </c>
      <c r="AM194">
        <f t="shared" si="76"/>
        <v>-7.8432389472450514E-2</v>
      </c>
      <c r="AN194">
        <f t="shared" si="77"/>
        <v>0.24937618840562159</v>
      </c>
      <c r="AO194">
        <f t="shared" si="78"/>
        <v>0.3278085778780721</v>
      </c>
      <c r="AP194">
        <f t="shared" si="79"/>
        <v>0.74591261898469041</v>
      </c>
      <c r="AR194">
        <f t="shared" si="80"/>
        <v>-0.11945189827025926</v>
      </c>
      <c r="AS194">
        <f t="shared" si="81"/>
        <v>-0.1372421041602673</v>
      </c>
      <c r="AT194">
        <f t="shared" si="82"/>
        <v>-1.7790205890008043E-2</v>
      </c>
      <c r="AU194">
        <f t="shared" si="83"/>
        <v>0.11788641062693228</v>
      </c>
    </row>
    <row r="195" spans="1:47" x14ac:dyDescent="0.25">
      <c r="A195" s="4">
        <f>DATE(2023,11,1)</f>
        <v>45231</v>
      </c>
      <c r="B195">
        <v>-0.32223697049512245</v>
      </c>
      <c r="C195">
        <v>35.768023867408012</v>
      </c>
      <c r="D195">
        <v>0.15698980266192566</v>
      </c>
      <c r="E195">
        <f t="shared" si="56"/>
        <v>-0.69734901637184776</v>
      </c>
      <c r="F195">
        <f t="shared" si="57"/>
        <v>-1.2772797730418937</v>
      </c>
      <c r="G195">
        <f t="shared" si="58"/>
        <v>-0.93642435228891829</v>
      </c>
      <c r="H195" s="2" t="str">
        <f t="shared" si="59"/>
        <v>Higher</v>
      </c>
      <c r="I195" s="2" t="str">
        <f t="shared" si="60"/>
        <v>Lower</v>
      </c>
      <c r="J195" s="2" t="str">
        <f t="shared" si="61"/>
        <v>Lower</v>
      </c>
      <c r="K195" s="2" t="str">
        <f t="shared" si="62"/>
        <v>Higher</v>
      </c>
      <c r="L195" s="2" t="str">
        <f t="shared" si="63"/>
        <v>Lower</v>
      </c>
      <c r="M195" s="2" t="str">
        <f t="shared" si="64"/>
        <v>Higher</v>
      </c>
      <c r="N195" s="2" t="str">
        <f t="shared" si="65"/>
        <v>Higher</v>
      </c>
      <c r="O195" s="2" t="str">
        <f t="shared" si="66"/>
        <v>Lower</v>
      </c>
      <c r="P195" s="2" t="str">
        <f t="shared" si="67"/>
        <v>Lower</v>
      </c>
      <c r="R195" s="4">
        <f>DATE(2023,11,1)</f>
        <v>45231</v>
      </c>
      <c r="S195">
        <v>0.59843216780345498</v>
      </c>
      <c r="T195">
        <v>-2.8529662052802006E-3</v>
      </c>
      <c r="U195">
        <v>-0.33576100526342095</v>
      </c>
      <c r="V195">
        <v>0.25510861446414984</v>
      </c>
      <c r="X195" s="4">
        <f>DATE(2023,11,1)</f>
        <v>45231</v>
      </c>
      <c r="Y195">
        <v>15.272528959441999</v>
      </c>
      <c r="Z195">
        <v>30.174527630038501</v>
      </c>
      <c r="AA195">
        <v>78.912499999999994</v>
      </c>
      <c r="AB195">
        <v>47.727249999999998</v>
      </c>
      <c r="AC195">
        <f t="shared" si="68"/>
        <v>-1.5466656435723985E-2</v>
      </c>
      <c r="AD195">
        <f t="shared" si="69"/>
        <v>-4.5835257105787723E-2</v>
      </c>
      <c r="AE195">
        <f t="shared" si="70"/>
        <v>-3.0368600670063736E-2</v>
      </c>
      <c r="AF195">
        <f t="shared" si="71"/>
        <v>-0.13981716175569051</v>
      </c>
      <c r="AH195">
        <f t="shared" si="72"/>
        <v>-3.0390458091584971E-2</v>
      </c>
      <c r="AI195">
        <f t="shared" si="73"/>
        <v>0.2246847390675035</v>
      </c>
      <c r="AJ195">
        <f t="shared" si="74"/>
        <v>0.25507519715908844</v>
      </c>
      <c r="AK195">
        <f t="shared" si="75"/>
        <v>0.86915104020732104</v>
      </c>
      <c r="AM195">
        <f t="shared" si="76"/>
        <v>-6.6101531536200048E-2</v>
      </c>
      <c r="AN195">
        <f t="shared" si="77"/>
        <v>0.20167808149145741</v>
      </c>
      <c r="AO195">
        <f t="shared" si="78"/>
        <v>0.26777961302765746</v>
      </c>
      <c r="AP195">
        <f t="shared" si="79"/>
        <v>0.63707147624544258</v>
      </c>
      <c r="AR195">
        <f t="shared" si="80"/>
        <v>-5.8062663699690438E-2</v>
      </c>
      <c r="AS195">
        <f t="shared" si="81"/>
        <v>-0.17390176115257505</v>
      </c>
      <c r="AT195">
        <f t="shared" si="82"/>
        <v>-0.11583909745288462</v>
      </c>
      <c r="AU195">
        <f t="shared" si="83"/>
        <v>2.3032572209521152E-2</v>
      </c>
    </row>
    <row r="196" spans="1:47" x14ac:dyDescent="0.25">
      <c r="A196" s="4">
        <f>DATE(2023,10,31)</f>
        <v>45230</v>
      </c>
      <c r="B196">
        <v>-0.32927757478093356</v>
      </c>
      <c r="C196">
        <v>37.562895414006888</v>
      </c>
      <c r="D196">
        <v>0.18172035512256807</v>
      </c>
      <c r="E196">
        <f t="shared" si="56"/>
        <v>-0.7027851234741691</v>
      </c>
      <c r="F196">
        <f t="shared" si="57"/>
        <v>-1.0713129752755433</v>
      </c>
      <c r="G196">
        <f t="shared" si="58"/>
        <v>-0.84846242564719709</v>
      </c>
      <c r="H196" s="2" t="str">
        <f t="shared" si="59"/>
        <v>Higher</v>
      </c>
      <c r="I196" s="2" t="str">
        <f t="shared" si="60"/>
        <v>Lower</v>
      </c>
      <c r="J196" s="2" t="str">
        <f t="shared" si="61"/>
        <v>Lower</v>
      </c>
      <c r="K196" s="2" t="str">
        <f t="shared" si="62"/>
        <v>Higher</v>
      </c>
      <c r="L196" s="2" t="str">
        <f t="shared" si="63"/>
        <v>Lower</v>
      </c>
      <c r="M196" s="2" t="str">
        <f t="shared" si="64"/>
        <v>Higher</v>
      </c>
      <c r="N196" s="2" t="str">
        <f t="shared" si="65"/>
        <v>Higher</v>
      </c>
      <c r="O196" s="2" t="str">
        <f t="shared" si="66"/>
        <v>Lower</v>
      </c>
      <c r="P196" s="2" t="str">
        <f t="shared" si="67"/>
        <v>Lower</v>
      </c>
      <c r="R196" s="4">
        <f>DATE(2023,10,31)</f>
        <v>45230</v>
      </c>
      <c r="S196">
        <v>0.20801308615330225</v>
      </c>
      <c r="T196">
        <v>2.9392302358958929E-4</v>
      </c>
      <c r="U196">
        <v>-0.31628301367857142</v>
      </c>
      <c r="V196">
        <v>0.23910056810808922</v>
      </c>
      <c r="X196" s="4">
        <f>DATE(2023,10,31)</f>
        <v>45230</v>
      </c>
      <c r="Y196">
        <v>13.456828779477592</v>
      </c>
      <c r="Z196">
        <v>31.763971920793576</v>
      </c>
      <c r="AA196">
        <v>78.9375</v>
      </c>
      <c r="AB196">
        <v>48.905500000000004</v>
      </c>
      <c r="AC196">
        <f t="shared" si="68"/>
        <v>-2.1803325881423388E-2</v>
      </c>
      <c r="AD196">
        <f t="shared" si="69"/>
        <v>-2.2348117725279473E-2</v>
      </c>
      <c r="AE196">
        <f t="shared" si="70"/>
        <v>-5.4479184385608503E-4</v>
      </c>
      <c r="AF196">
        <f t="shared" si="71"/>
        <v>2.5921091389354788E-2</v>
      </c>
      <c r="AH196">
        <f t="shared" si="72"/>
        <v>-1.2463573670374154E-2</v>
      </c>
      <c r="AI196">
        <f t="shared" si="73"/>
        <v>0.28070317938899086</v>
      </c>
      <c r="AJ196">
        <f t="shared" si="74"/>
        <v>0.29316675305936502</v>
      </c>
      <c r="AK196">
        <f t="shared" si="75"/>
        <v>0.98838002489158172</v>
      </c>
      <c r="AM196">
        <f t="shared" si="76"/>
        <v>-6.1267142755388755E-2</v>
      </c>
      <c r="AN196">
        <f t="shared" si="77"/>
        <v>0.45903659802401298</v>
      </c>
      <c r="AO196">
        <f t="shared" si="78"/>
        <v>0.52030374077940178</v>
      </c>
      <c r="AP196">
        <f t="shared" si="79"/>
        <v>1.0916312715121168</v>
      </c>
      <c r="AR196">
        <f t="shared" si="80"/>
        <v>-4.3262718990700597E-2</v>
      </c>
      <c r="AS196">
        <f t="shared" si="81"/>
        <v>-0.20781155706602089</v>
      </c>
      <c r="AT196">
        <f t="shared" si="82"/>
        <v>-0.16454883807532028</v>
      </c>
      <c r="AU196">
        <f t="shared" si="83"/>
        <v>-2.4752393675648646E-2</v>
      </c>
    </row>
    <row r="197" spans="1:47" x14ac:dyDescent="0.25">
      <c r="A197" s="4">
        <f>DATE(2023,10,30)</f>
        <v>45229</v>
      </c>
      <c r="B197">
        <v>-0.35416388455747216</v>
      </c>
      <c r="C197">
        <v>35.622187958013477</v>
      </c>
      <c r="D197">
        <v>0.13166472708439747</v>
      </c>
      <c r="E197">
        <f t="shared" ref="E197:E260" si="84">(B197-AVERAGE(B197:B326))/_xlfn.STDEV.S(B197:B326)</f>
        <v>-0.74610428548884478</v>
      </c>
      <c r="F197">
        <f t="shared" ref="F197:F260" si="85">(C197-AVERAGE(C197:C326))/_xlfn.STDEV.S(C197:C326)</f>
        <v>-1.3105039801145386</v>
      </c>
      <c r="G197">
        <f t="shared" ref="G197:G260" si="86">(D197-AVERAGE(D197:D326))/_xlfn.STDEV.S(D197:D326)</f>
        <v>-1.0272917730607767</v>
      </c>
      <c r="H197" s="2" t="str">
        <f t="shared" ref="H197:H260" si="87">IF(AVERAGEA(C197:C217)&gt;AVERAGE(C218:C238),"Higher","Lower")</f>
        <v>Higher</v>
      </c>
      <c r="I197" s="2" t="str">
        <f t="shared" ref="I197:I260" si="88">IF(AVERAGEA(C197:C252)&gt;AVERAGE(C253:C308),"Higher","Lower")</f>
        <v>Lower</v>
      </c>
      <c r="J197" s="2" t="str">
        <f t="shared" ref="J197:J260" si="89">IF(AVERAGEA(C197:C309)&gt;AVERAGE(C310:C422),"Higher","Lower")</f>
        <v>Lower</v>
      </c>
      <c r="K197" s="2" t="str">
        <f t="shared" ref="K197:K260" si="90">IF(AVERAGEA(B197:B217)&gt;AVERAGE(B218:B238),"Higher","Lower")</f>
        <v>Higher</v>
      </c>
      <c r="L197" s="2" t="str">
        <f t="shared" ref="L197:L260" si="91">IF(AVERAGEA(B197:B252)&gt;AVERAGE(B253:B308),"Higher","Lower")</f>
        <v>Lower</v>
      </c>
      <c r="M197" s="2" t="str">
        <f t="shared" ref="M197:M260" si="92">IF(AVERAGEA(B197:B309)&gt;AVERAGE(B310:B422),"Higher","Lower")</f>
        <v>Higher</v>
      </c>
      <c r="N197" s="2" t="str">
        <f t="shared" ref="N197:N260" si="93">IF(AVERAGEA(D197:D217)&gt;AVERAGE(D218:D238),"Higher","Lower")</f>
        <v>Higher</v>
      </c>
      <c r="O197" s="2" t="str">
        <f t="shared" ref="O197:O260" si="94">IF(AVERAGEA(D197:D252)&gt;AVERAGE(D253:D308),"Higher","Lower")</f>
        <v>Lower</v>
      </c>
      <c r="P197" s="2" t="str">
        <f t="shared" ref="P197:P260" si="95">IF(AVERAGEA(D197:D309)&gt;AVERAGE(D310:D422),"Higher","Lower")</f>
        <v>Lower</v>
      </c>
      <c r="R197" s="4">
        <f>DATE(2023,10,30)</f>
        <v>45229</v>
      </c>
      <c r="S197">
        <v>-0.79738450224885105</v>
      </c>
      <c r="T197">
        <v>4.6803062396042684E-2</v>
      </c>
      <c r="U197">
        <v>-0.27927226279592754</v>
      </c>
      <c r="V197">
        <v>0.22218652522919544</v>
      </c>
      <c r="X197" s="4">
        <f>DATE(2023,10,30)</f>
        <v>45229</v>
      </c>
      <c r="Y197">
        <v>14.226914300441704</v>
      </c>
      <c r="Z197">
        <v>34.695527402905562</v>
      </c>
      <c r="AA197">
        <v>79.23</v>
      </c>
      <c r="AB197">
        <v>51.516499999999994</v>
      </c>
      <c r="AC197">
        <f t="shared" ref="AC197:AC260" si="96">IFERROR(LN(AA197/AA202),"")</f>
        <v>-1.7639789345907854E-2</v>
      </c>
      <c r="AD197">
        <f t="shared" ref="AD197:AD260" si="97">IFERROR(LN(AB197/AB202),"")</f>
        <v>1.7990094885258032E-2</v>
      </c>
      <c r="AE197">
        <f t="shared" ref="AE197:AE260" si="98">IFERROR(AD197-AC197,"")</f>
        <v>3.5629884231165886E-2</v>
      </c>
      <c r="AF197">
        <f t="shared" ref="AF197:AF260" si="99">IFERROR((AE197-AVERAGEA(AE197:AE719))/_xlfn.STDEV.S(AE197:AE714),"")</f>
        <v>0.22533885069237064</v>
      </c>
      <c r="AH197">
        <f t="shared" ref="AH197:AH260" si="100">IFERROR(LN(AA197/AA217),"")</f>
        <v>-2.1661947548283621E-2</v>
      </c>
      <c r="AI197">
        <f t="shared" ref="AI197:AI260" si="101">IFERROR(LN(AB197/AB217),"")</f>
        <v>0.26664632226134699</v>
      </c>
      <c r="AJ197">
        <f t="shared" ref="AJ197:AJ260" si="102">IFERROR(AI197-AH197,"")</f>
        <v>0.28830826980963059</v>
      </c>
      <c r="AK197">
        <f t="shared" ref="AK197:AK260" si="103">IFERROR((AJ197-AVERAGEA(AJ197:AJ719))/_xlfn.STDEV.S(AJ197:AJ714),"")</f>
        <v>0.9767189812605056</v>
      </c>
      <c r="AM197">
        <f t="shared" ref="AM197:AM260" si="104">IFERROR(LN(AA197/AA257),"")</f>
        <v>-4.805063256584606E-2</v>
      </c>
      <c r="AN197">
        <f t="shared" ref="AN197:AN260" si="105">IFERROR(LN(AB197/AB257),"")</f>
        <v>0.52750887961626636</v>
      </c>
      <c r="AO197">
        <f t="shared" ref="AO197:AO260" si="106">IFERROR(AN197-AM197,"")</f>
        <v>0.57555951218211243</v>
      </c>
      <c r="AP197">
        <f t="shared" ref="AP197:AP260" si="107">IFERROR((AO197-AVERAGEA(AO197:AO719))/_xlfn.STDEV.S(AO197:AO714),"")</f>
        <v>1.1915951047966924</v>
      </c>
      <c r="AR197">
        <f t="shared" ref="AR197:AR260" si="108">IFERROR(LN(AA197/AA397),"")</f>
        <v>-7.0443289524606517E-2</v>
      </c>
      <c r="AS197">
        <f t="shared" ref="AS197:AS260" si="109">IFERROR(LN(AB197/AB397),"")</f>
        <v>-0.24242403175838567</v>
      </c>
      <c r="AT197">
        <f t="shared" ref="AT197:AT260" si="110">IFERROR(AS197-AR197,"")</f>
        <v>-0.17198074223377915</v>
      </c>
      <c r="AU197">
        <f t="shared" ref="AU197:AU260" si="111">IFERROR((AT197-AVERAGEA(AT197:AT719))/_xlfn.STDEV.S(AT197:AT714),"")</f>
        <v>-3.358628389481063E-2</v>
      </c>
    </row>
    <row r="198" spans="1:47" x14ac:dyDescent="0.25">
      <c r="A198" s="4">
        <f>DATE(2023,10,27)</f>
        <v>45226</v>
      </c>
      <c r="B198">
        <v>-0.32111149802526839</v>
      </c>
      <c r="C198">
        <v>37.699681742797978</v>
      </c>
      <c r="D198">
        <v>0.18023488045396138</v>
      </c>
      <c r="E198">
        <f t="shared" si="84"/>
        <v>-0.6628780622290279</v>
      </c>
      <c r="F198">
        <f t="shared" si="85"/>
        <v>-1.0685174486724458</v>
      </c>
      <c r="G198">
        <f t="shared" si="86"/>
        <v>-0.8567594091214914</v>
      </c>
      <c r="H198" s="2" t="str">
        <f t="shared" si="87"/>
        <v>Higher</v>
      </c>
      <c r="I198" s="2" t="str">
        <f t="shared" si="88"/>
        <v>Lower</v>
      </c>
      <c r="J198" s="2" t="str">
        <f t="shared" si="89"/>
        <v>Lower</v>
      </c>
      <c r="K198" s="2" t="str">
        <f t="shared" si="90"/>
        <v>Higher</v>
      </c>
      <c r="L198" s="2" t="str">
        <f t="shared" si="91"/>
        <v>Lower</v>
      </c>
      <c r="M198" s="2" t="str">
        <f t="shared" si="92"/>
        <v>Higher</v>
      </c>
      <c r="N198" s="2" t="str">
        <f t="shared" si="93"/>
        <v>Higher</v>
      </c>
      <c r="O198" s="2" t="str">
        <f t="shared" si="94"/>
        <v>Lower</v>
      </c>
      <c r="P198" s="2" t="str">
        <f t="shared" si="95"/>
        <v>Lower</v>
      </c>
      <c r="R198" s="4">
        <f>DATE(2023,10,27)</f>
        <v>45226</v>
      </c>
      <c r="S198">
        <v>-0.24603477119422387</v>
      </c>
      <c r="T198">
        <v>0.14715686449462884</v>
      </c>
      <c r="U198">
        <v>-0.23590461747942079</v>
      </c>
      <c r="V198">
        <v>0.20673131916400195</v>
      </c>
      <c r="X198" s="4">
        <f>DATE(2023,10,27)</f>
        <v>45226</v>
      </c>
      <c r="Y198">
        <v>15.793477295362921</v>
      </c>
      <c r="Z198">
        <v>31.507297263093271</v>
      </c>
      <c r="AA198">
        <v>79.59</v>
      </c>
      <c r="AB198">
        <v>50.627249999999997</v>
      </c>
      <c r="AC198">
        <f t="shared" si="96"/>
        <v>-2.4818248622950796E-2</v>
      </c>
      <c r="AD198">
        <f t="shared" si="97"/>
        <v>-1.0169878950152306E-2</v>
      </c>
      <c r="AE198">
        <f t="shared" si="98"/>
        <v>1.464836967279849E-2</v>
      </c>
      <c r="AF198">
        <f t="shared" si="99"/>
        <v>0.1121569546738123</v>
      </c>
      <c r="AH198">
        <f t="shared" si="100"/>
        <v>-2.9769812977651005E-2</v>
      </c>
      <c r="AI198">
        <f t="shared" si="101"/>
        <v>0.18712992232205944</v>
      </c>
      <c r="AJ198">
        <f t="shared" si="102"/>
        <v>0.21689973529971043</v>
      </c>
      <c r="AK198">
        <f t="shared" si="103"/>
        <v>0.76120846383227847</v>
      </c>
      <c r="AM198">
        <f t="shared" si="104"/>
        <v>-5.4463912867599495E-2</v>
      </c>
      <c r="AN198">
        <f t="shared" si="105"/>
        <v>0.55602241184428602</v>
      </c>
      <c r="AO198">
        <f t="shared" si="106"/>
        <v>0.61048632471188546</v>
      </c>
      <c r="AP198">
        <f t="shared" si="107"/>
        <v>1.2548920966333141</v>
      </c>
      <c r="AR198">
        <f t="shared" si="108"/>
        <v>-6.2492753010738991E-2</v>
      </c>
      <c r="AS198">
        <f t="shared" si="109"/>
        <v>-0.27719065631713768</v>
      </c>
      <c r="AT198">
        <f t="shared" si="110"/>
        <v>-0.21469790330639871</v>
      </c>
      <c r="AU198">
        <f t="shared" si="111"/>
        <v>-7.610706569955554E-2</v>
      </c>
    </row>
    <row r="199" spans="1:47" x14ac:dyDescent="0.25">
      <c r="A199" s="4">
        <f>DATE(2023,10,26)</f>
        <v>45225</v>
      </c>
      <c r="B199">
        <v>-0.29741696804718837</v>
      </c>
      <c r="C199">
        <v>38.697546683123299</v>
      </c>
      <c r="D199">
        <v>0.19082848496964916</v>
      </c>
      <c r="E199">
        <f t="shared" si="84"/>
        <v>-0.59845715286510281</v>
      </c>
      <c r="F199">
        <f t="shared" si="85"/>
        <v>-0.9543055535916608</v>
      </c>
      <c r="G199">
        <f t="shared" si="86"/>
        <v>-0.81900670358909855</v>
      </c>
      <c r="H199" s="2" t="str">
        <f t="shared" si="87"/>
        <v>Higher</v>
      </c>
      <c r="I199" s="2" t="str">
        <f t="shared" si="88"/>
        <v>Lower</v>
      </c>
      <c r="J199" s="2" t="str">
        <f t="shared" si="89"/>
        <v>Lower</v>
      </c>
      <c r="K199" s="2" t="str">
        <f t="shared" si="90"/>
        <v>Higher</v>
      </c>
      <c r="L199" s="2" t="str">
        <f t="shared" si="91"/>
        <v>Lower</v>
      </c>
      <c r="M199" s="2" t="str">
        <f t="shared" si="92"/>
        <v>Higher</v>
      </c>
      <c r="N199" s="2" t="str">
        <f t="shared" si="93"/>
        <v>Higher</v>
      </c>
      <c r="O199" s="2" t="str">
        <f t="shared" si="94"/>
        <v>Lower</v>
      </c>
      <c r="P199" s="2" t="str">
        <f t="shared" si="95"/>
        <v>Lower</v>
      </c>
      <c r="R199" s="4">
        <f>DATE(2023,10,26)</f>
        <v>45225</v>
      </c>
      <c r="S199">
        <v>0.22282498189354341</v>
      </c>
      <c r="T199">
        <v>0.20707418596522886</v>
      </c>
      <c r="U199">
        <v>-0.2048551199934413</v>
      </c>
      <c r="V199">
        <v>0.19055322165615116</v>
      </c>
      <c r="X199" s="4">
        <f>DATE(2023,10,26)</f>
        <v>45225</v>
      </c>
      <c r="Y199">
        <v>16.503269667824984</v>
      </c>
      <c r="Z199">
        <v>32.647414345301094</v>
      </c>
      <c r="AA199">
        <v>79.852500000000006</v>
      </c>
      <c r="AB199">
        <v>50.832000000000001</v>
      </c>
      <c r="AC199">
        <f t="shared" si="96"/>
        <v>-2.2291254566573875E-2</v>
      </c>
      <c r="AD199">
        <f t="shared" si="97"/>
        <v>2.7619632733847994E-2</v>
      </c>
      <c r="AE199">
        <f t="shared" si="98"/>
        <v>4.9910887300421869E-2</v>
      </c>
      <c r="AF199">
        <f t="shared" si="99"/>
        <v>0.30550032964553614</v>
      </c>
      <c r="AH199">
        <f t="shared" si="100"/>
        <v>-3.4070599093884608E-2</v>
      </c>
      <c r="AI199">
        <f t="shared" si="101"/>
        <v>0.23607799853619885</v>
      </c>
      <c r="AJ199">
        <f t="shared" si="102"/>
        <v>0.27014859763008348</v>
      </c>
      <c r="AK199">
        <f t="shared" si="103"/>
        <v>0.92231402383027605</v>
      </c>
      <c r="AM199">
        <f t="shared" si="104"/>
        <v>-5.7959918137696499E-2</v>
      </c>
      <c r="AN199">
        <f t="shared" si="105"/>
        <v>0.51099613457744497</v>
      </c>
      <c r="AO199">
        <f t="shared" si="106"/>
        <v>0.56895605271514149</v>
      </c>
      <c r="AP199">
        <f t="shared" si="107"/>
        <v>1.1808520593817591</v>
      </c>
      <c r="AR199">
        <f t="shared" si="108"/>
        <v>-5.1647009099979442E-2</v>
      </c>
      <c r="AS199">
        <f t="shared" si="109"/>
        <v>-0.17755764368352325</v>
      </c>
      <c r="AT199">
        <f t="shared" si="110"/>
        <v>-0.12591063458354382</v>
      </c>
      <c r="AU199">
        <f t="shared" si="111"/>
        <v>6.444443036792309E-3</v>
      </c>
    </row>
    <row r="200" spans="1:47" x14ac:dyDescent="0.25">
      <c r="A200" s="4">
        <f>DATE(2023,10,25)</f>
        <v>45224</v>
      </c>
      <c r="B200">
        <v>-0.25820169828652556</v>
      </c>
      <c r="C200">
        <v>39.572834732578087</v>
      </c>
      <c r="D200">
        <v>0.19535649752571702</v>
      </c>
      <c r="E200">
        <f t="shared" si="84"/>
        <v>-0.50044837268913722</v>
      </c>
      <c r="F200">
        <f t="shared" si="85"/>
        <v>-0.8453704082026029</v>
      </c>
      <c r="G200">
        <f t="shared" si="86"/>
        <v>-0.79614380842076449</v>
      </c>
      <c r="H200" s="2" t="str">
        <f t="shared" si="87"/>
        <v>Higher</v>
      </c>
      <c r="I200" s="2" t="str">
        <f t="shared" si="88"/>
        <v>Lower</v>
      </c>
      <c r="J200" s="2" t="str">
        <f t="shared" si="89"/>
        <v>Lower</v>
      </c>
      <c r="K200" s="2" t="str">
        <f t="shared" si="90"/>
        <v>Higher</v>
      </c>
      <c r="L200" s="2" t="str">
        <f t="shared" si="91"/>
        <v>Lower</v>
      </c>
      <c r="M200" s="2" t="str">
        <f t="shared" si="92"/>
        <v>Higher</v>
      </c>
      <c r="N200" s="2" t="str">
        <f t="shared" si="93"/>
        <v>Higher</v>
      </c>
      <c r="O200" s="2" t="str">
        <f t="shared" si="94"/>
        <v>Lower</v>
      </c>
      <c r="P200" s="2" t="str">
        <f t="shared" si="95"/>
        <v>Lower</v>
      </c>
      <c r="R200" s="4">
        <f>DATE(2023,10,25)</f>
        <v>45224</v>
      </c>
      <c r="S200">
        <v>0.25241702808098349</v>
      </c>
      <c r="T200">
        <v>0.2541576413769055</v>
      </c>
      <c r="U200">
        <v>-0.15698459669133299</v>
      </c>
      <c r="V200">
        <v>0.17401799932867359</v>
      </c>
      <c r="X200" s="4">
        <f>DATE(2023,10,25)</f>
        <v>45224</v>
      </c>
      <c r="Y200">
        <v>17.400696327777371</v>
      </c>
      <c r="Z200">
        <v>32.207176399086585</v>
      </c>
      <c r="AA200">
        <v>80.142500000000013</v>
      </c>
      <c r="AB200">
        <v>49.96575</v>
      </c>
      <c r="AC200">
        <f t="shared" si="96"/>
        <v>-2.4649243777030375E-2</v>
      </c>
      <c r="AD200">
        <f t="shared" si="97"/>
        <v>-5.1303405819004156E-3</v>
      </c>
      <c r="AE200">
        <f t="shared" si="98"/>
        <v>1.9518903195129958E-2</v>
      </c>
      <c r="AF200">
        <f t="shared" si="99"/>
        <v>0.14054778180154279</v>
      </c>
      <c r="AH200">
        <f t="shared" si="100"/>
        <v>-2.6655933413619562E-2</v>
      </c>
      <c r="AI200">
        <f t="shared" si="101"/>
        <v>0.23736892933026923</v>
      </c>
      <c r="AJ200">
        <f t="shared" si="102"/>
        <v>0.26402486274388881</v>
      </c>
      <c r="AK200">
        <f t="shared" si="103"/>
        <v>0.90411347887156102</v>
      </c>
      <c r="AM200">
        <f t="shared" si="104"/>
        <v>-4.3701458445391875E-2</v>
      </c>
      <c r="AN200">
        <f t="shared" si="105"/>
        <v>0.56196891436366758</v>
      </c>
      <c r="AO200">
        <f t="shared" si="106"/>
        <v>0.60567037280905944</v>
      </c>
      <c r="AP200">
        <f t="shared" si="107"/>
        <v>1.2476909685639208</v>
      </c>
      <c r="AR200">
        <f t="shared" si="108"/>
        <v>-2.5014396080025918E-2</v>
      </c>
      <c r="AS200">
        <f t="shared" si="109"/>
        <v>-0.20614535166135201</v>
      </c>
      <c r="AT200">
        <f t="shared" si="110"/>
        <v>-0.18113095558132608</v>
      </c>
      <c r="AU200">
        <f t="shared" si="111"/>
        <v>-4.6323840150339683E-2</v>
      </c>
    </row>
    <row r="201" spans="1:47" x14ac:dyDescent="0.25">
      <c r="A201" s="4">
        <f>DATE(2023,10,24)</f>
        <v>45223</v>
      </c>
      <c r="B201">
        <v>-0.19552898206427555</v>
      </c>
      <c r="C201">
        <v>41.714726082415098</v>
      </c>
      <c r="D201">
        <v>0.26288720845087893</v>
      </c>
      <c r="E201">
        <f t="shared" si="84"/>
        <v>-0.35943624058084134</v>
      </c>
      <c r="F201">
        <f t="shared" si="85"/>
        <v>-0.58505890607900291</v>
      </c>
      <c r="G201">
        <f t="shared" si="86"/>
        <v>-0.55206906217769847</v>
      </c>
      <c r="H201" s="2" t="str">
        <f t="shared" si="87"/>
        <v>Higher</v>
      </c>
      <c r="I201" s="2" t="str">
        <f t="shared" si="88"/>
        <v>Lower</v>
      </c>
      <c r="J201" s="2" t="str">
        <f t="shared" si="89"/>
        <v>Lower</v>
      </c>
      <c r="K201" s="2" t="str">
        <f t="shared" si="90"/>
        <v>Higher</v>
      </c>
      <c r="L201" s="2" t="str">
        <f t="shared" si="91"/>
        <v>Lower</v>
      </c>
      <c r="M201" s="2" t="str">
        <f t="shared" si="92"/>
        <v>Higher</v>
      </c>
      <c r="N201" s="2" t="str">
        <f t="shared" si="93"/>
        <v>Higher</v>
      </c>
      <c r="O201" s="2" t="str">
        <f t="shared" si="94"/>
        <v>Lower</v>
      </c>
      <c r="P201" s="2" t="str">
        <f t="shared" si="95"/>
        <v>Lower</v>
      </c>
      <c r="R201" s="4">
        <f>DATE(2023,10,24)</f>
        <v>45223</v>
      </c>
      <c r="S201">
        <v>0.18062982584811973</v>
      </c>
      <c r="T201">
        <v>0.30834217468584907</v>
      </c>
      <c r="U201">
        <v>-0.12939466204475913</v>
      </c>
      <c r="V201">
        <v>0.14908980420101212</v>
      </c>
      <c r="X201" s="4">
        <f>DATE(2023,10,24)</f>
        <v>45223</v>
      </c>
      <c r="Y201">
        <v>18.266744504922531</v>
      </c>
      <c r="Z201">
        <v>33.597846094634384</v>
      </c>
      <c r="AA201">
        <v>80.677500000000009</v>
      </c>
      <c r="AB201">
        <v>50.010750000000002</v>
      </c>
      <c r="AC201">
        <f t="shared" si="96"/>
        <v>-2.3126135922818421E-2</v>
      </c>
      <c r="AD201">
        <f t="shared" si="97"/>
        <v>3.2805319611282004E-2</v>
      </c>
      <c r="AE201">
        <f t="shared" si="98"/>
        <v>5.5931455534100422E-2</v>
      </c>
      <c r="AF201">
        <f t="shared" si="99"/>
        <v>0.33896494028752366</v>
      </c>
      <c r="AH201">
        <f t="shared" si="100"/>
        <v>-3.2828806430388824E-2</v>
      </c>
      <c r="AI201">
        <f t="shared" si="101"/>
        <v>0.20524850903270439</v>
      </c>
      <c r="AJ201">
        <f t="shared" si="102"/>
        <v>0.23807731546309321</v>
      </c>
      <c r="AK201">
        <f t="shared" si="103"/>
        <v>0.82547480183330224</v>
      </c>
      <c r="AM201">
        <f t="shared" si="104"/>
        <v>-5.9342372762260988E-2</v>
      </c>
      <c r="AN201">
        <f t="shared" si="105"/>
        <v>0.59495677273913017</v>
      </c>
      <c r="AO201">
        <f t="shared" si="106"/>
        <v>0.65429914550139112</v>
      </c>
      <c r="AP201">
        <f t="shared" si="107"/>
        <v>1.336493795934125</v>
      </c>
      <c r="AR201">
        <f t="shared" si="108"/>
        <v>1.9778457280570542E-2</v>
      </c>
      <c r="AS201">
        <f t="shared" si="109"/>
        <v>-0.18053033828677401</v>
      </c>
      <c r="AT201">
        <f t="shared" si="110"/>
        <v>-0.20030879556734454</v>
      </c>
      <c r="AU201">
        <f t="shared" si="111"/>
        <v>-6.6446759345225967E-2</v>
      </c>
    </row>
    <row r="202" spans="1:47" x14ac:dyDescent="0.25">
      <c r="A202" s="4">
        <f>DATE(2023,10,23)</f>
        <v>45222</v>
      </c>
      <c r="B202">
        <v>-0.14131997015313807</v>
      </c>
      <c r="C202">
        <v>41.357469402531578</v>
      </c>
      <c r="D202">
        <v>0.22820575648496397</v>
      </c>
      <c r="E202">
        <f t="shared" si="84"/>
        <v>-0.24140781140774162</v>
      </c>
      <c r="F202">
        <f t="shared" si="85"/>
        <v>-0.61974360069396395</v>
      </c>
      <c r="G202">
        <f t="shared" si="86"/>
        <v>-0.66225356220411313</v>
      </c>
      <c r="H202" s="2" t="str">
        <f t="shared" si="87"/>
        <v>Higher</v>
      </c>
      <c r="I202" s="2" t="str">
        <f t="shared" si="88"/>
        <v>Lower</v>
      </c>
      <c r="J202" s="2" t="str">
        <f t="shared" si="89"/>
        <v>Lower</v>
      </c>
      <c r="K202" s="2" t="str">
        <f t="shared" si="90"/>
        <v>Higher</v>
      </c>
      <c r="L202" s="2" t="str">
        <f t="shared" si="91"/>
        <v>Lower</v>
      </c>
      <c r="M202" s="2" t="str">
        <f t="shared" si="92"/>
        <v>Higher</v>
      </c>
      <c r="N202" s="2" t="str">
        <f t="shared" si="93"/>
        <v>Higher</v>
      </c>
      <c r="O202" s="2" t="str">
        <f t="shared" si="94"/>
        <v>Lower</v>
      </c>
      <c r="P202" s="2" t="str">
        <f t="shared" si="95"/>
        <v>Lower</v>
      </c>
      <c r="R202" s="4">
        <f>DATE(2023,10,23)</f>
        <v>45222</v>
      </c>
      <c r="S202">
        <v>-0.84634572526673435</v>
      </c>
      <c r="T202">
        <v>0.38766320953253719</v>
      </c>
      <c r="U202">
        <v>-0.12206969496823554</v>
      </c>
      <c r="V202">
        <v>0.12546920790537927</v>
      </c>
      <c r="X202" s="4">
        <f>DATE(2023,10,23)</f>
        <v>45222</v>
      </c>
      <c r="Y202">
        <v>19.076699172587844</v>
      </c>
      <c r="Z202">
        <v>33.814251574400842</v>
      </c>
      <c r="AA202">
        <v>80.64</v>
      </c>
      <c r="AB202">
        <v>50.597999999999999</v>
      </c>
      <c r="AC202">
        <f t="shared" si="96"/>
        <v>-3.9720197288355574E-2</v>
      </c>
      <c r="AD202">
        <f t="shared" si="97"/>
        <v>2.1035748240279952E-2</v>
      </c>
      <c r="AE202">
        <f t="shared" si="98"/>
        <v>6.075594552863553E-2</v>
      </c>
      <c r="AF202">
        <f t="shared" si="99"/>
        <v>0.36632585883949031</v>
      </c>
      <c r="AH202">
        <f t="shared" si="100"/>
        <v>-5.6208958068658194E-2</v>
      </c>
      <c r="AI202">
        <f t="shared" si="101"/>
        <v>0.15640049786009919</v>
      </c>
      <c r="AJ202">
        <f t="shared" si="102"/>
        <v>0.21260945592875738</v>
      </c>
      <c r="AK202">
        <f t="shared" si="103"/>
        <v>0.74833476316870118</v>
      </c>
      <c r="AM202">
        <f t="shared" si="104"/>
        <v>-7.8954661753741426E-2</v>
      </c>
      <c r="AN202">
        <f t="shared" si="105"/>
        <v>0.58435073881680566</v>
      </c>
      <c r="AO202">
        <f t="shared" si="106"/>
        <v>0.6633054005705471</v>
      </c>
      <c r="AP202">
        <f t="shared" si="107"/>
        <v>1.3532680341182717</v>
      </c>
      <c r="AR202">
        <f t="shared" si="108"/>
        <v>3.245299132957493E-2</v>
      </c>
      <c r="AS202" t="str">
        <f t="shared" si="109"/>
        <v/>
      </c>
      <c r="AT202" t="str">
        <f t="shared" si="110"/>
        <v/>
      </c>
      <c r="AU202" t="str">
        <f t="shared" si="111"/>
        <v/>
      </c>
    </row>
    <row r="203" spans="1:47" x14ac:dyDescent="0.25">
      <c r="A203" s="4">
        <f>DATE(2023,10,20)</f>
        <v>45219</v>
      </c>
      <c r="B203">
        <v>-3.0514329560581532E-2</v>
      </c>
      <c r="C203">
        <v>44.220636269176325</v>
      </c>
      <c r="D203">
        <v>0.33618613842344719</v>
      </c>
      <c r="E203">
        <f t="shared" si="84"/>
        <v>-1.8574692965528647E-2</v>
      </c>
      <c r="F203">
        <f t="shared" si="85"/>
        <v>-0.28326329330381944</v>
      </c>
      <c r="G203">
        <f t="shared" si="86"/>
        <v>-0.28952229109676086</v>
      </c>
      <c r="H203" s="2" t="str">
        <f t="shared" si="87"/>
        <v>Higher</v>
      </c>
      <c r="I203" s="2" t="str">
        <f t="shared" si="88"/>
        <v>Lower</v>
      </c>
      <c r="J203" s="2" t="str">
        <f t="shared" si="89"/>
        <v>Lower</v>
      </c>
      <c r="K203" s="2" t="str">
        <f t="shared" si="90"/>
        <v>Higher</v>
      </c>
      <c r="L203" s="2" t="str">
        <f t="shared" si="91"/>
        <v>Lower</v>
      </c>
      <c r="M203" s="2" t="str">
        <f t="shared" si="92"/>
        <v>Higher</v>
      </c>
      <c r="N203" s="2" t="str">
        <f t="shared" si="93"/>
        <v>Higher</v>
      </c>
      <c r="O203" s="2" t="str">
        <f t="shared" si="94"/>
        <v>Lower</v>
      </c>
      <c r="P203" s="2" t="str">
        <f t="shared" si="95"/>
        <v>Lower</v>
      </c>
      <c r="R203" s="4">
        <f>DATE(2023,10,20)</f>
        <v>45219</v>
      </c>
      <c r="S203">
        <v>-0.94077008793161954</v>
      </c>
      <c r="T203">
        <v>0.48591315079355729</v>
      </c>
      <c r="U203">
        <v>-0.13269685704753556</v>
      </c>
      <c r="V203">
        <v>0.10878132877770989</v>
      </c>
      <c r="X203" s="4">
        <f>DATE(2023,10,20)</f>
        <v>45219</v>
      </c>
      <c r="Y203">
        <v>20.133055289185325</v>
      </c>
      <c r="Z203">
        <v>36.068830953890306</v>
      </c>
      <c r="AA203">
        <v>81.59</v>
      </c>
      <c r="AB203">
        <v>51.144750000000002</v>
      </c>
      <c r="AC203">
        <f t="shared" si="96"/>
        <v>-5.0399709820362806E-2</v>
      </c>
      <c r="AD203">
        <f t="shared" si="97"/>
        <v>-4.8841604145450496E-2</v>
      </c>
      <c r="AE203">
        <f t="shared" si="98"/>
        <v>1.5581056749123107E-3</v>
      </c>
      <c r="AF203">
        <f t="shared" si="99"/>
        <v>4.5152766195279026E-2</v>
      </c>
      <c r="AH203">
        <f t="shared" si="100"/>
        <v>-4.2678341283952544E-2</v>
      </c>
      <c r="AI203">
        <f t="shared" si="101"/>
        <v>0.24096699672420924</v>
      </c>
      <c r="AJ203">
        <f t="shared" si="102"/>
        <v>0.28364533800816177</v>
      </c>
      <c r="AK203">
        <f t="shared" si="103"/>
        <v>0.96389469649430115</v>
      </c>
      <c r="AM203">
        <f t="shared" si="104"/>
        <v>-8.8136800577706287E-2</v>
      </c>
      <c r="AN203">
        <f t="shared" si="105"/>
        <v>0.66891952121819054</v>
      </c>
      <c r="AO203">
        <f t="shared" si="106"/>
        <v>0.75705632179589677</v>
      </c>
      <c r="AP203">
        <f t="shared" si="107"/>
        <v>1.5226115381455596</v>
      </c>
      <c r="AR203">
        <f t="shared" si="108"/>
        <v>2.4441387868537692E-2</v>
      </c>
      <c r="AS203">
        <f t="shared" si="109"/>
        <v>-0.23480764748546176</v>
      </c>
      <c r="AT203">
        <f t="shared" si="110"/>
        <v>-0.25924903535399946</v>
      </c>
      <c r="AU203">
        <f t="shared" si="111"/>
        <v>-0.12605132633028501</v>
      </c>
    </row>
    <row r="204" spans="1:47" x14ac:dyDescent="0.25">
      <c r="A204" s="4">
        <f>DATE(2023,10,19)</f>
        <v>45218</v>
      </c>
      <c r="B204">
        <v>6.0006920836233379E-2</v>
      </c>
      <c r="C204">
        <v>45.341652834131473</v>
      </c>
      <c r="D204">
        <v>0.3647637899639819</v>
      </c>
      <c r="E204">
        <f t="shared" si="84"/>
        <v>0.16154825580539864</v>
      </c>
      <c r="F204">
        <f t="shared" si="85"/>
        <v>-0.15020137918082882</v>
      </c>
      <c r="G204">
        <f t="shared" si="86"/>
        <v>-0.18844823308612099</v>
      </c>
      <c r="H204" s="2" t="str">
        <f t="shared" si="87"/>
        <v>Higher</v>
      </c>
      <c r="I204" s="2" t="str">
        <f t="shared" si="88"/>
        <v>Lower</v>
      </c>
      <c r="J204" s="2" t="str">
        <f t="shared" si="89"/>
        <v>Lower</v>
      </c>
      <c r="K204" s="2" t="str">
        <f t="shared" si="90"/>
        <v>Higher</v>
      </c>
      <c r="L204" s="2" t="str">
        <f t="shared" si="91"/>
        <v>Lower</v>
      </c>
      <c r="M204" s="2" t="str">
        <f t="shared" si="92"/>
        <v>Higher</v>
      </c>
      <c r="N204" s="2" t="str">
        <f t="shared" si="93"/>
        <v>Higher</v>
      </c>
      <c r="O204" s="2" t="str">
        <f t="shared" si="94"/>
        <v>Lower</v>
      </c>
      <c r="P204" s="2" t="str">
        <f t="shared" si="95"/>
        <v>Lower</v>
      </c>
      <c r="R204" s="4">
        <f>DATE(2023,10,19)</f>
        <v>45218</v>
      </c>
      <c r="S204">
        <v>0.68805153970995814</v>
      </c>
      <c r="T204">
        <v>0.5590312386034576</v>
      </c>
      <c r="U204">
        <v>-0.15662807379290239</v>
      </c>
      <c r="V204">
        <v>0.10126022437760462</v>
      </c>
      <c r="X204" s="4">
        <f>DATE(2023,10,19)</f>
        <v>45218</v>
      </c>
      <c r="Y204">
        <v>20.298579770116831</v>
      </c>
      <c r="Z204">
        <v>34.055284567082303</v>
      </c>
      <c r="AA204">
        <v>81.652500000000003</v>
      </c>
      <c r="AB204">
        <v>49.447249999999997</v>
      </c>
      <c r="AC204">
        <f t="shared" si="96"/>
        <v>-3.9031101849995274E-2</v>
      </c>
      <c r="AD204">
        <f t="shared" si="97"/>
        <v>-3.3435626884099887E-2</v>
      </c>
      <c r="AE204">
        <f t="shared" si="98"/>
        <v>5.5954749658953876E-3</v>
      </c>
      <c r="AF204">
        <f t="shared" si="99"/>
        <v>6.5840362628704116E-2</v>
      </c>
      <c r="AH204">
        <f t="shared" si="100"/>
        <v>-2.3899975926445362E-2</v>
      </c>
      <c r="AI204">
        <f t="shared" si="101"/>
        <v>0.25519548608075465</v>
      </c>
      <c r="AJ204">
        <f t="shared" si="102"/>
        <v>0.27909546200720003</v>
      </c>
      <c r="AK204">
        <f t="shared" si="103"/>
        <v>0.95059712105715621</v>
      </c>
      <c r="AM204">
        <f t="shared" si="104"/>
        <v>-0.10428526155993524</v>
      </c>
      <c r="AN204">
        <f t="shared" si="105"/>
        <v>0.54729869822408839</v>
      </c>
      <c r="AO204">
        <f t="shared" si="106"/>
        <v>0.65158395978402361</v>
      </c>
      <c r="AP204">
        <f t="shared" si="107"/>
        <v>1.332065262830227</v>
      </c>
      <c r="AR204">
        <f t="shared" si="108"/>
        <v>2.0945927809108391E-2</v>
      </c>
      <c r="AS204">
        <f t="shared" si="109"/>
        <v>-0.31132114808550509</v>
      </c>
      <c r="AT204">
        <f t="shared" si="110"/>
        <v>-0.33226707589461346</v>
      </c>
      <c r="AU204">
        <f t="shared" si="111"/>
        <v>-0.19717014129836541</v>
      </c>
    </row>
    <row r="205" spans="1:47" x14ac:dyDescent="0.25">
      <c r="A205" s="4">
        <f>DATE(2023,10,18)</f>
        <v>45217</v>
      </c>
      <c r="B205">
        <v>0.16749970525630381</v>
      </c>
      <c r="C205">
        <v>45.64870545832656</v>
      </c>
      <c r="D205">
        <v>0.36288426656893963</v>
      </c>
      <c r="E205">
        <f t="shared" si="84"/>
        <v>0.37175019549841382</v>
      </c>
      <c r="F205">
        <f t="shared" si="85"/>
        <v>-0.11532755073455593</v>
      </c>
      <c r="G205">
        <f t="shared" si="86"/>
        <v>-0.19611434551969195</v>
      </c>
      <c r="H205" s="2" t="str">
        <f t="shared" si="87"/>
        <v>Higher</v>
      </c>
      <c r="I205" s="2" t="str">
        <f t="shared" si="88"/>
        <v>Lower</v>
      </c>
      <c r="J205" s="2" t="str">
        <f t="shared" si="89"/>
        <v>Lower</v>
      </c>
      <c r="K205" s="2" t="str">
        <f t="shared" si="90"/>
        <v>Higher</v>
      </c>
      <c r="L205" s="2" t="str">
        <f t="shared" si="91"/>
        <v>Lower</v>
      </c>
      <c r="M205" s="2" t="str">
        <f t="shared" si="92"/>
        <v>Higher</v>
      </c>
      <c r="N205" s="2" t="str">
        <f t="shared" si="93"/>
        <v>Higher</v>
      </c>
      <c r="O205" s="2" t="str">
        <f t="shared" si="94"/>
        <v>Lower</v>
      </c>
      <c r="P205" s="2" t="str">
        <f t="shared" si="95"/>
        <v>Lower</v>
      </c>
      <c r="R205" s="4">
        <f>DATE(2023,10,18)</f>
        <v>45217</v>
      </c>
      <c r="S205">
        <v>0.78537080591150321</v>
      </c>
      <c r="T205">
        <v>0.58006149062222712</v>
      </c>
      <c r="U205">
        <v>-0.17355758071460509</v>
      </c>
      <c r="V205">
        <v>9.2457945957811996E-2</v>
      </c>
      <c r="X205" s="4">
        <f>DATE(2023,10,18)</f>
        <v>45217</v>
      </c>
      <c r="Y205">
        <v>21.351708009746567</v>
      </c>
      <c r="Z205">
        <v>36.714392490021659</v>
      </c>
      <c r="AA205">
        <v>82.142499999999998</v>
      </c>
      <c r="AB205">
        <v>50.222749999999998</v>
      </c>
      <c r="AC205">
        <f t="shared" si="96"/>
        <v>-2.4412720669885177E-2</v>
      </c>
      <c r="AD205">
        <f t="shared" si="97"/>
        <v>6.9831986755172978E-2</v>
      </c>
      <c r="AE205">
        <f t="shared" si="98"/>
        <v>9.4244707425058152E-2</v>
      </c>
      <c r="AF205">
        <f t="shared" si="99"/>
        <v>0.54582178734343123</v>
      </c>
      <c r="AH205">
        <f t="shared" si="100"/>
        <v>-1.5813645603026162E-3</v>
      </c>
      <c r="AI205">
        <f t="shared" si="101"/>
        <v>0.2953791268382614</v>
      </c>
      <c r="AJ205">
        <f t="shared" si="102"/>
        <v>0.29696049139856401</v>
      </c>
      <c r="AK205">
        <f t="shared" si="103"/>
        <v>1.0050848874692389</v>
      </c>
      <c r="AM205">
        <f t="shared" si="104"/>
        <v>-0.10657109222862711</v>
      </c>
      <c r="AN205">
        <f t="shared" si="105"/>
        <v>0.5119844686370455</v>
      </c>
      <c r="AO205">
        <f t="shared" si="106"/>
        <v>0.61855556086567265</v>
      </c>
      <c r="AP205">
        <f t="shared" si="107"/>
        <v>1.2715351513324205</v>
      </c>
      <c r="AR205">
        <f t="shared" si="108"/>
        <v>3.2226935347587901E-2</v>
      </c>
      <c r="AS205">
        <f t="shared" si="109"/>
        <v>-0.27179551206387109</v>
      </c>
      <c r="AT205">
        <f t="shared" si="110"/>
        <v>-0.30402244741145901</v>
      </c>
      <c r="AU205">
        <f t="shared" si="111"/>
        <v>-0.1724786194696529</v>
      </c>
    </row>
    <row r="206" spans="1:47" x14ac:dyDescent="0.25">
      <c r="A206" s="4">
        <f>DATE(2023,10,17)</f>
        <v>45216</v>
      </c>
      <c r="B206">
        <v>0.31875241991238779</v>
      </c>
      <c r="C206">
        <v>47.718812278442542</v>
      </c>
      <c r="D206">
        <v>0.45059219571409331</v>
      </c>
      <c r="E206">
        <f t="shared" si="84"/>
        <v>0.66521651132596327</v>
      </c>
      <c r="F206">
        <f t="shared" si="85"/>
        <v>0.11938590316928296</v>
      </c>
      <c r="G206">
        <f t="shared" si="86"/>
        <v>9.6426229495438415E-2</v>
      </c>
      <c r="H206" s="2" t="str">
        <f t="shared" si="87"/>
        <v>Higher</v>
      </c>
      <c r="I206" s="2" t="str">
        <f t="shared" si="88"/>
        <v>Lower</v>
      </c>
      <c r="J206" s="2" t="str">
        <f t="shared" si="89"/>
        <v>Lower</v>
      </c>
      <c r="K206" s="2" t="str">
        <f t="shared" si="90"/>
        <v>Higher</v>
      </c>
      <c r="L206" s="2" t="str">
        <f t="shared" si="91"/>
        <v>Lower</v>
      </c>
      <c r="M206" s="2" t="str">
        <f t="shared" si="92"/>
        <v>Higher</v>
      </c>
      <c r="N206" s="2" t="str">
        <f t="shared" si="93"/>
        <v>Higher</v>
      </c>
      <c r="O206" s="2" t="str">
        <f t="shared" si="94"/>
        <v>Lower</v>
      </c>
      <c r="P206" s="2" t="str">
        <f t="shared" si="95"/>
        <v>Lower</v>
      </c>
      <c r="R206" s="4">
        <f>DATE(2023,10,17)</f>
        <v>45216</v>
      </c>
      <c r="S206">
        <v>0.74009024032495463</v>
      </c>
      <c r="T206">
        <v>0.57674456250388306</v>
      </c>
      <c r="U206">
        <v>-0.16830071040744204</v>
      </c>
      <c r="V206">
        <v>8.2596420336693094E-2</v>
      </c>
      <c r="X206" s="4">
        <f>DATE(2023,10,17)</f>
        <v>45216</v>
      </c>
      <c r="Y206">
        <v>22.792405865668144</v>
      </c>
      <c r="Z206">
        <v>35.261800603687107</v>
      </c>
      <c r="AA206">
        <v>82.564999999999998</v>
      </c>
      <c r="AB206">
        <v>48.396749999999997</v>
      </c>
      <c r="AC206">
        <f t="shared" si="96"/>
        <v>-1.8063923232253733E-2</v>
      </c>
      <c r="AD206">
        <f t="shared" si="97"/>
        <v>-1.4608075235490083E-3</v>
      </c>
      <c r="AE206">
        <f t="shared" si="98"/>
        <v>1.6603115708704725E-2</v>
      </c>
      <c r="AF206">
        <f t="shared" si="99"/>
        <v>0.12493698148943592</v>
      </c>
      <c r="AH206">
        <f t="shared" si="100"/>
        <v>1.6978543926041798E-2</v>
      </c>
      <c r="AI206">
        <f t="shared" si="101"/>
        <v>0.28827629712235525</v>
      </c>
      <c r="AJ206">
        <f t="shared" si="102"/>
        <v>0.27129775319631344</v>
      </c>
      <c r="AK206">
        <f t="shared" si="103"/>
        <v>0.92658119497802061</v>
      </c>
      <c r="AM206">
        <f t="shared" si="104"/>
        <v>-0.10689751590594583</v>
      </c>
      <c r="AN206">
        <f t="shared" si="105"/>
        <v>0.41068567278428697</v>
      </c>
      <c r="AO206">
        <f t="shared" si="106"/>
        <v>0.51758318869023279</v>
      </c>
      <c r="AP206">
        <f t="shared" si="107"/>
        <v>1.0876297687828238</v>
      </c>
      <c r="AR206">
        <f t="shared" si="108"/>
        <v>2.0032169777839084E-2</v>
      </c>
      <c r="AS206">
        <f t="shared" si="109"/>
        <v>-0.39100926504447181</v>
      </c>
      <c r="AT206">
        <f t="shared" si="110"/>
        <v>-0.41104143482231087</v>
      </c>
      <c r="AU206">
        <f t="shared" si="111"/>
        <v>-0.27609918637297848</v>
      </c>
    </row>
    <row r="207" spans="1:47" x14ac:dyDescent="0.25">
      <c r="A207" s="4">
        <f>DATE(2023,10,16)</f>
        <v>45215</v>
      </c>
      <c r="B207">
        <v>0.46770818950277881</v>
      </c>
      <c r="C207">
        <v>50.16836056559081</v>
      </c>
      <c r="D207">
        <v>0.56892129409136882</v>
      </c>
      <c r="E207">
        <f t="shared" si="84"/>
        <v>0.95633182045396892</v>
      </c>
      <c r="F207">
        <f t="shared" si="85"/>
        <v>0.39651547908215051</v>
      </c>
      <c r="G207">
        <f t="shared" si="86"/>
        <v>0.49124867920954091</v>
      </c>
      <c r="H207" s="2" t="str">
        <f t="shared" si="87"/>
        <v>Higher</v>
      </c>
      <c r="I207" s="2" t="str">
        <f t="shared" si="88"/>
        <v>Lower</v>
      </c>
      <c r="J207" s="2" t="str">
        <f t="shared" si="89"/>
        <v>Lower</v>
      </c>
      <c r="K207" s="2" t="str">
        <f t="shared" si="90"/>
        <v>Higher</v>
      </c>
      <c r="L207" s="2" t="str">
        <f t="shared" si="91"/>
        <v>Lower</v>
      </c>
      <c r="M207" s="2" t="str">
        <f t="shared" si="92"/>
        <v>Higher</v>
      </c>
      <c r="N207" s="2" t="str">
        <f t="shared" si="93"/>
        <v>Higher</v>
      </c>
      <c r="O207" s="2" t="str">
        <f t="shared" si="94"/>
        <v>Lower</v>
      </c>
      <c r="P207" s="2" t="str">
        <f t="shared" si="95"/>
        <v>Lower</v>
      </c>
      <c r="R207" s="4">
        <f>DATE(2023,10,16)</f>
        <v>45215</v>
      </c>
      <c r="S207">
        <v>0.82835577285067963</v>
      </c>
      <c r="T207">
        <v>0.56776069298797727</v>
      </c>
      <c r="U207">
        <v>-0.18106681181705275</v>
      </c>
      <c r="V207">
        <v>7.830722957295172E-2</v>
      </c>
      <c r="X207" s="4">
        <f>DATE(2023,10,16)</f>
        <v>45215</v>
      </c>
      <c r="Y207">
        <v>24.681606881380944</v>
      </c>
      <c r="Z207">
        <v>37.279324266185313</v>
      </c>
      <c r="AA207">
        <v>83.907499999999999</v>
      </c>
      <c r="AB207">
        <v>49.544750000000001</v>
      </c>
      <c r="AC207">
        <f t="shared" si="96"/>
        <v>3.0677623520815763E-2</v>
      </c>
      <c r="AD207">
        <f t="shared" si="97"/>
        <v>0.13552652919550054</v>
      </c>
      <c r="AE207">
        <f t="shared" si="98"/>
        <v>0.10484890567468477</v>
      </c>
      <c r="AF207">
        <f t="shared" si="99"/>
        <v>0.60378722102177451</v>
      </c>
      <c r="AH207">
        <f t="shared" si="100"/>
        <v>3.1968818978118888E-2</v>
      </c>
      <c r="AI207">
        <f t="shared" si="101"/>
        <v>0.35193077418069102</v>
      </c>
      <c r="AJ207">
        <f t="shared" si="102"/>
        <v>0.31996195520257215</v>
      </c>
      <c r="AK207">
        <f t="shared" si="103"/>
        <v>1.0735176057783136</v>
      </c>
      <c r="AM207">
        <f t="shared" si="104"/>
        <v>-8.4819064117233139E-2</v>
      </c>
      <c r="AN207">
        <f t="shared" si="105"/>
        <v>0.50317170022710622</v>
      </c>
      <c r="AO207">
        <f t="shared" si="106"/>
        <v>0.58799076434433939</v>
      </c>
      <c r="AP207">
        <f t="shared" si="107"/>
        <v>1.2128167914771275</v>
      </c>
      <c r="AR207">
        <f t="shared" si="108"/>
        <v>4.2110203857854855E-2</v>
      </c>
      <c r="AS207">
        <f t="shared" si="109"/>
        <v>-0.39476278358333805</v>
      </c>
      <c r="AT207">
        <f t="shared" si="110"/>
        <v>-0.43687298744119291</v>
      </c>
      <c r="AU207">
        <f t="shared" si="111"/>
        <v>-0.30302308326779465</v>
      </c>
    </row>
    <row r="208" spans="1:47" x14ac:dyDescent="0.25">
      <c r="A208" s="4">
        <f>DATE(2023,10,13)</f>
        <v>45212</v>
      </c>
      <c r="B208">
        <v>0.59050173166034903</v>
      </c>
      <c r="C208">
        <v>59.36468427350232</v>
      </c>
      <c r="D208">
        <v>0.92767697948412697</v>
      </c>
      <c r="E208">
        <f t="shared" si="84"/>
        <v>1.2017527518185775</v>
      </c>
      <c r="F208">
        <f t="shared" si="85"/>
        <v>1.4628537664925196</v>
      </c>
      <c r="G208">
        <f t="shared" si="86"/>
        <v>1.7104193273881385</v>
      </c>
      <c r="H208" s="2" t="str">
        <f t="shared" si="87"/>
        <v>Higher</v>
      </c>
      <c r="I208" s="2" t="str">
        <f t="shared" si="88"/>
        <v>Lower</v>
      </c>
      <c r="J208" s="2" t="str">
        <f t="shared" si="89"/>
        <v>Lower</v>
      </c>
      <c r="K208" s="2" t="str">
        <f t="shared" si="90"/>
        <v>Higher</v>
      </c>
      <c r="L208" s="2" t="str">
        <f t="shared" si="91"/>
        <v>Lower</v>
      </c>
      <c r="M208" s="2" t="str">
        <f t="shared" si="92"/>
        <v>Higher</v>
      </c>
      <c r="N208" s="2" t="str">
        <f t="shared" si="93"/>
        <v>Higher</v>
      </c>
      <c r="O208" s="2" t="str">
        <f t="shared" si="94"/>
        <v>Lower</v>
      </c>
      <c r="P208" s="2" t="str">
        <f t="shared" si="95"/>
        <v>Lower</v>
      </c>
      <c r="R208" s="4">
        <f>DATE(2023,10,13)</f>
        <v>45212</v>
      </c>
      <c r="S208">
        <v>0.91535572222896211</v>
      </c>
      <c r="T208">
        <v>0.51200698182952642</v>
      </c>
      <c r="U208">
        <v>-0.21372680477810743</v>
      </c>
      <c r="V208">
        <v>8.0813716038524955E-2</v>
      </c>
      <c r="X208" s="4">
        <f>DATE(2023,10,13)</f>
        <v>45212</v>
      </c>
      <c r="Y208">
        <v>27.521523577169532</v>
      </c>
      <c r="Z208">
        <v>41.506493804902064</v>
      </c>
      <c r="AA208">
        <v>85.807500000000005</v>
      </c>
      <c r="AB208">
        <v>53.704750000000004</v>
      </c>
      <c r="AC208">
        <f t="shared" si="96"/>
        <v>6.3321419842727544E-2</v>
      </c>
      <c r="AD208">
        <f t="shared" si="97"/>
        <v>0.35323146397245231</v>
      </c>
      <c r="AE208">
        <f t="shared" si="98"/>
        <v>0.28991004412972476</v>
      </c>
      <c r="AF208">
        <f t="shared" si="99"/>
        <v>1.611226102378944</v>
      </c>
      <c r="AH208">
        <f t="shared" si="100"/>
        <v>3.7915153158117436E-2</v>
      </c>
      <c r="AI208">
        <f t="shared" si="101"/>
        <v>0.39657859122326594</v>
      </c>
      <c r="AJ208">
        <f t="shared" si="102"/>
        <v>0.3586634380651485</v>
      </c>
      <c r="AK208">
        <f t="shared" si="103"/>
        <v>1.1914395511753941</v>
      </c>
      <c r="AM208">
        <f t="shared" si="104"/>
        <v>-6.2810781749457575E-2</v>
      </c>
      <c r="AN208">
        <f t="shared" si="105"/>
        <v>0.62467239868428304</v>
      </c>
      <c r="AO208">
        <f t="shared" si="106"/>
        <v>0.68748318043374057</v>
      </c>
      <c r="AP208">
        <f t="shared" si="107"/>
        <v>1.3903107749851427</v>
      </c>
      <c r="AR208">
        <f t="shared" si="108"/>
        <v>9.6969335940004175E-2</v>
      </c>
      <c r="AS208">
        <f t="shared" si="109"/>
        <v>-0.27589133836647306</v>
      </c>
      <c r="AT208">
        <f t="shared" si="110"/>
        <v>-0.37286067430647724</v>
      </c>
      <c r="AU208">
        <f t="shared" si="111"/>
        <v>-0.2449577607475619</v>
      </c>
    </row>
    <row r="209" spans="1:47" x14ac:dyDescent="0.25">
      <c r="A209" s="4">
        <f>DATE(2023,10,12)</f>
        <v>45211</v>
      </c>
      <c r="B209">
        <v>0.47971487061544038</v>
      </c>
      <c r="C209">
        <v>57.354489643368716</v>
      </c>
      <c r="D209">
        <v>0.88746102059152709</v>
      </c>
      <c r="E209">
        <f t="shared" si="84"/>
        <v>0.99204581406380021</v>
      </c>
      <c r="F209">
        <f t="shared" si="85"/>
        <v>1.2463744064390161</v>
      </c>
      <c r="G209">
        <f t="shared" si="86"/>
        <v>1.596146153218001</v>
      </c>
      <c r="H209" s="2" t="str">
        <f t="shared" si="87"/>
        <v>Higher</v>
      </c>
      <c r="I209" s="2" t="str">
        <f t="shared" si="88"/>
        <v>Lower</v>
      </c>
      <c r="J209" s="2" t="str">
        <f t="shared" si="89"/>
        <v>Lower</v>
      </c>
      <c r="K209" s="2" t="str">
        <f t="shared" si="90"/>
        <v>Higher</v>
      </c>
      <c r="L209" s="2" t="str">
        <f t="shared" si="91"/>
        <v>Lower</v>
      </c>
      <c r="M209" s="2" t="str">
        <f t="shared" si="92"/>
        <v>Higher</v>
      </c>
      <c r="N209" s="2" t="str">
        <f t="shared" si="93"/>
        <v>Higher</v>
      </c>
      <c r="O209" s="2" t="str">
        <f t="shared" si="94"/>
        <v>Lower</v>
      </c>
      <c r="P209" s="2" t="str">
        <f t="shared" si="95"/>
        <v>Lower</v>
      </c>
      <c r="R209" s="4">
        <f>DATE(2023,10,12)</f>
        <v>45211</v>
      </c>
      <c r="S209">
        <v>0.94971443504735265</v>
      </c>
      <c r="T209">
        <v>0.34113610166578417</v>
      </c>
      <c r="U209">
        <v>-0.28658124188318279</v>
      </c>
      <c r="V209">
        <v>8.5834886209415887E-2</v>
      </c>
      <c r="X209" s="4">
        <f>DATE(2023,10,12)</f>
        <v>45211</v>
      </c>
      <c r="Y209">
        <v>26.066799974584733</v>
      </c>
      <c r="Z209">
        <v>40.215962485192932</v>
      </c>
      <c r="AA209">
        <v>84.902500000000003</v>
      </c>
      <c r="AB209">
        <v>51.128500000000003</v>
      </c>
      <c r="AC209">
        <f t="shared" si="96"/>
        <v>4.801163275816437E-2</v>
      </c>
      <c r="AD209">
        <f t="shared" si="97"/>
        <v>0.33645463406923365</v>
      </c>
      <c r="AE209">
        <f t="shared" si="98"/>
        <v>0.28844300131106926</v>
      </c>
      <c r="AF209">
        <f t="shared" si="99"/>
        <v>1.6119702813422878</v>
      </c>
      <c r="AH209">
        <f t="shared" si="100"/>
        <v>2.0376390995506706E-2</v>
      </c>
      <c r="AI209">
        <f t="shared" si="101"/>
        <v>0.35122599213583644</v>
      </c>
      <c r="AJ209">
        <f t="shared" si="102"/>
        <v>0.33084960114032974</v>
      </c>
      <c r="AK209">
        <f t="shared" si="103"/>
        <v>1.1077434684157303</v>
      </c>
      <c r="AM209">
        <f t="shared" si="104"/>
        <v>-6.1190855107552067E-2</v>
      </c>
      <c r="AN209">
        <f t="shared" si="105"/>
        <v>0.62385380430747139</v>
      </c>
      <c r="AO209">
        <f t="shared" si="106"/>
        <v>0.68504465941502346</v>
      </c>
      <c r="AP209">
        <f t="shared" si="107"/>
        <v>1.3843975792355911</v>
      </c>
      <c r="AR209">
        <f t="shared" si="108"/>
        <v>7.7100033746185875E-2</v>
      </c>
      <c r="AS209">
        <f t="shared" si="109"/>
        <v>-0.34816804895922449</v>
      </c>
      <c r="AT209">
        <f t="shared" si="110"/>
        <v>-0.42526808270541039</v>
      </c>
      <c r="AU209">
        <f t="shared" si="111"/>
        <v>-0.29672011309296298</v>
      </c>
    </row>
    <row r="210" spans="1:47" x14ac:dyDescent="0.25">
      <c r="A210" s="4">
        <f>DATE(2023,10,11)</f>
        <v>45210</v>
      </c>
      <c r="B210">
        <v>0.34570782273583633</v>
      </c>
      <c r="C210">
        <v>54.104463504651541</v>
      </c>
      <c r="D210">
        <v>0.75886400950451749</v>
      </c>
      <c r="E210">
        <f t="shared" si="84"/>
        <v>0.72740564034593758</v>
      </c>
      <c r="F210">
        <f t="shared" si="85"/>
        <v>0.87484510150337957</v>
      </c>
      <c r="G210">
        <f t="shared" si="86"/>
        <v>1.1674821350177567</v>
      </c>
      <c r="H210" s="2" t="str">
        <f t="shared" si="87"/>
        <v>Lower</v>
      </c>
      <c r="I210" s="2" t="str">
        <f t="shared" si="88"/>
        <v>Lower</v>
      </c>
      <c r="J210" s="2" t="str">
        <f t="shared" si="89"/>
        <v>Lower</v>
      </c>
      <c r="K210" s="2" t="str">
        <f t="shared" si="90"/>
        <v>Higher</v>
      </c>
      <c r="L210" s="2" t="str">
        <f t="shared" si="91"/>
        <v>Lower</v>
      </c>
      <c r="M210" s="2" t="str">
        <f t="shared" si="92"/>
        <v>Higher</v>
      </c>
      <c r="N210" s="2" t="str">
        <f t="shared" si="93"/>
        <v>Higher</v>
      </c>
      <c r="O210" s="2" t="str">
        <f t="shared" si="94"/>
        <v>Lower</v>
      </c>
      <c r="P210" s="2" t="str">
        <f t="shared" si="95"/>
        <v>Lower</v>
      </c>
      <c r="R210" s="4">
        <f>DATE(2023,10,11)</f>
        <v>45210</v>
      </c>
      <c r="S210">
        <v>0.94656322086931488</v>
      </c>
      <c r="T210">
        <v>0.18234196258351981</v>
      </c>
      <c r="U210">
        <v>-0.34546960114333702</v>
      </c>
      <c r="V210">
        <v>9.0690913224478351E-2</v>
      </c>
      <c r="X210" s="4">
        <f>DATE(2023,10,11)</f>
        <v>45210</v>
      </c>
      <c r="Y210">
        <v>25.74905639104524</v>
      </c>
      <c r="Z210">
        <v>39.147576747485893</v>
      </c>
      <c r="AA210">
        <v>84.172499999999999</v>
      </c>
      <c r="AB210">
        <v>46.835250000000002</v>
      </c>
      <c r="AC210">
        <f t="shared" si="96"/>
        <v>3.4138162791054603E-2</v>
      </c>
      <c r="AD210">
        <f t="shared" si="97"/>
        <v>0.20581835000001872</v>
      </c>
      <c r="AE210">
        <f t="shared" si="98"/>
        <v>0.17168018720896411</v>
      </c>
      <c r="AF210">
        <f t="shared" si="99"/>
        <v>0.98261041859957543</v>
      </c>
      <c r="AH210">
        <f t="shared" si="100"/>
        <v>1.8646742082765445E-2</v>
      </c>
      <c r="AI210">
        <f t="shared" si="101"/>
        <v>0.2433213670849326</v>
      </c>
      <c r="AJ210">
        <f t="shared" si="102"/>
        <v>0.22467462500216714</v>
      </c>
      <c r="AK210">
        <f t="shared" si="103"/>
        <v>0.78470181266661165</v>
      </c>
      <c r="AM210">
        <f t="shared" si="104"/>
        <v>-5.2560719799159251E-2</v>
      </c>
      <c r="AN210">
        <f t="shared" si="105"/>
        <v>0.55408241998976704</v>
      </c>
      <c r="AO210">
        <f t="shared" si="106"/>
        <v>0.60664313978892626</v>
      </c>
      <c r="AP210">
        <f t="shared" si="107"/>
        <v>1.2415094870028509</v>
      </c>
      <c r="AR210">
        <f t="shared" si="108"/>
        <v>6.0797273269781342E-2</v>
      </c>
      <c r="AS210">
        <f t="shared" si="109"/>
        <v>-0.32808954963373443</v>
      </c>
      <c r="AT210">
        <f t="shared" si="110"/>
        <v>-0.38888682290351578</v>
      </c>
      <c r="AU210">
        <f t="shared" si="111"/>
        <v>-0.26449186075176528</v>
      </c>
    </row>
    <row r="211" spans="1:47" x14ac:dyDescent="0.25">
      <c r="A211" s="4">
        <f>DATE(2023,10,10)</f>
        <v>45209</v>
      </c>
      <c r="B211">
        <v>0.22731568986153905</v>
      </c>
      <c r="C211">
        <v>56.631978185053271</v>
      </c>
      <c r="D211">
        <v>0.883895136797201</v>
      </c>
      <c r="E211">
        <f t="shared" si="84"/>
        <v>0.48621677125099028</v>
      </c>
      <c r="F211">
        <f t="shared" si="85"/>
        <v>1.1662628747926402</v>
      </c>
      <c r="G211">
        <f t="shared" si="86"/>
        <v>1.5946035976095618</v>
      </c>
      <c r="H211" s="2" t="str">
        <f t="shared" si="87"/>
        <v>Lower</v>
      </c>
      <c r="I211" s="2" t="str">
        <f t="shared" si="88"/>
        <v>Lower</v>
      </c>
      <c r="J211" s="2" t="str">
        <f t="shared" si="89"/>
        <v>Lower</v>
      </c>
      <c r="K211" s="2" t="str">
        <f t="shared" si="90"/>
        <v>Lower</v>
      </c>
      <c r="L211" s="2" t="str">
        <f t="shared" si="91"/>
        <v>Lower</v>
      </c>
      <c r="M211" s="2" t="str">
        <f t="shared" si="92"/>
        <v>Higher</v>
      </c>
      <c r="N211" s="2" t="str">
        <f t="shared" si="93"/>
        <v>Lower</v>
      </c>
      <c r="O211" s="2" t="str">
        <f t="shared" si="94"/>
        <v>Lower</v>
      </c>
      <c r="P211" s="2" t="str">
        <f t="shared" si="95"/>
        <v>Lower</v>
      </c>
      <c r="R211" s="4">
        <f>DATE(2023,10,10)</f>
        <v>45209</v>
      </c>
      <c r="S211">
        <v>0.9262024014939334</v>
      </c>
      <c r="T211">
        <v>0.11026995796783778</v>
      </c>
      <c r="U211">
        <v>-0.35906576520450673</v>
      </c>
      <c r="V211">
        <v>8.8525543448211549E-2</v>
      </c>
      <c r="X211" s="4">
        <f>DATE(2023,10,10)</f>
        <v>45209</v>
      </c>
      <c r="Y211">
        <v>27.302424333168183</v>
      </c>
      <c r="Z211">
        <v>42.460902742314808</v>
      </c>
      <c r="AA211">
        <v>84.07</v>
      </c>
      <c r="AB211">
        <v>48.467500000000001</v>
      </c>
      <c r="AC211">
        <f t="shared" si="96"/>
        <v>5.0529811366121474E-2</v>
      </c>
      <c r="AD211">
        <f t="shared" si="97"/>
        <v>0.27170678502653745</v>
      </c>
      <c r="AE211">
        <f t="shared" si="98"/>
        <v>0.22117697366041597</v>
      </c>
      <c r="AF211">
        <f t="shared" si="99"/>
        <v>1.2554412243321387</v>
      </c>
      <c r="AH211">
        <f t="shared" si="100"/>
        <v>3.2428086584225073E-2</v>
      </c>
      <c r="AI211">
        <f t="shared" si="101"/>
        <v>0.32331931689527932</v>
      </c>
      <c r="AJ211">
        <f t="shared" si="102"/>
        <v>0.29089123031105424</v>
      </c>
      <c r="AK211">
        <f t="shared" si="103"/>
        <v>0.98363129553113104</v>
      </c>
      <c r="AM211">
        <f t="shared" si="104"/>
        <v>-3.7786584661163129E-2</v>
      </c>
      <c r="AN211">
        <f t="shared" si="105"/>
        <v>0.59531272256903434</v>
      </c>
      <c r="AO211">
        <f t="shared" si="106"/>
        <v>0.63309930723019747</v>
      </c>
      <c r="AP211">
        <f t="shared" si="107"/>
        <v>1.2868687965473948</v>
      </c>
      <c r="AR211">
        <f t="shared" si="108"/>
        <v>3.157113567983785E-3</v>
      </c>
      <c r="AS211">
        <f t="shared" si="109"/>
        <v>-0.40012427780917265</v>
      </c>
      <c r="AT211">
        <f t="shared" si="110"/>
        <v>-0.40328139137715641</v>
      </c>
      <c r="AU211">
        <f t="shared" si="111"/>
        <v>-0.27845868281376202</v>
      </c>
    </row>
    <row r="212" spans="1:47" x14ac:dyDescent="0.25">
      <c r="A212" s="4">
        <f>DATE(2023,10,9)</f>
        <v>45208</v>
      </c>
      <c r="B212">
        <v>-3.9292492406319046E-2</v>
      </c>
      <c r="C212">
        <v>46.443342124222305</v>
      </c>
      <c r="D212">
        <v>0.42794849291939302</v>
      </c>
      <c r="E212">
        <f t="shared" si="84"/>
        <v>-3.810451600924325E-2</v>
      </c>
      <c r="F212">
        <f t="shared" si="85"/>
        <v>-2.8486019480922456E-2</v>
      </c>
      <c r="G212">
        <f t="shared" si="86"/>
        <v>2.2904270912813128E-2</v>
      </c>
      <c r="H212" s="2" t="str">
        <f t="shared" si="87"/>
        <v>Lower</v>
      </c>
      <c r="I212" s="2" t="str">
        <f t="shared" si="88"/>
        <v>Lower</v>
      </c>
      <c r="J212" s="2" t="str">
        <f t="shared" si="89"/>
        <v>Lower</v>
      </c>
      <c r="K212" s="2" t="str">
        <f t="shared" si="90"/>
        <v>Lower</v>
      </c>
      <c r="L212" s="2" t="str">
        <f t="shared" si="91"/>
        <v>Lower</v>
      </c>
      <c r="M212" s="2" t="str">
        <f t="shared" si="92"/>
        <v>Higher</v>
      </c>
      <c r="N212" s="2" t="str">
        <f t="shared" si="93"/>
        <v>Lower</v>
      </c>
      <c r="O212" s="2" t="str">
        <f t="shared" si="94"/>
        <v>Lower</v>
      </c>
      <c r="P212" s="2" t="str">
        <f t="shared" si="95"/>
        <v>Lower</v>
      </c>
      <c r="R212" s="4">
        <f>DATE(2023,10,9)</f>
        <v>45208</v>
      </c>
      <c r="S212">
        <v>0.70177850732775415</v>
      </c>
      <c r="T212">
        <v>1.0188785217732268E-3</v>
      </c>
      <c r="U212">
        <v>-0.38365896625396106</v>
      </c>
      <c r="V212">
        <v>9.6235099557385628E-2</v>
      </c>
      <c r="X212" s="4">
        <f>DATE(2023,10,9)</f>
        <v>45208</v>
      </c>
      <c r="Y212">
        <v>18.910697190867293</v>
      </c>
      <c r="Z212">
        <v>36.124552368273513</v>
      </c>
      <c r="AA212">
        <v>81.372500000000002</v>
      </c>
      <c r="AB212">
        <v>43.265250000000002</v>
      </c>
      <c r="AC212">
        <f t="shared" si="96"/>
        <v>5.0204155651641276E-3</v>
      </c>
      <c r="AD212">
        <f t="shared" si="97"/>
        <v>9.2093949940308381E-2</v>
      </c>
      <c r="AE212">
        <f t="shared" si="98"/>
        <v>8.7073534375144257E-2</v>
      </c>
      <c r="AF212">
        <f t="shared" si="99"/>
        <v>0.52629347411376237</v>
      </c>
      <c r="AH212">
        <f t="shared" si="100"/>
        <v>-5.7287435527728567E-3</v>
      </c>
      <c r="AI212">
        <f t="shared" si="101"/>
        <v>0.17683453189251094</v>
      </c>
      <c r="AJ212">
        <f t="shared" si="102"/>
        <v>0.18256327544528381</v>
      </c>
      <c r="AK212">
        <f t="shared" si="103"/>
        <v>0.65188401259786377</v>
      </c>
      <c r="AM212">
        <f t="shared" si="104"/>
        <v>-5.8125717518194321E-2</v>
      </c>
      <c r="AN212">
        <f t="shared" si="105"/>
        <v>0.54396413203874983</v>
      </c>
      <c r="AO212">
        <f t="shared" si="106"/>
        <v>0.60208984955694411</v>
      </c>
      <c r="AP212">
        <f t="shared" si="107"/>
        <v>1.2284637720529099</v>
      </c>
      <c r="AR212">
        <f t="shared" si="108"/>
        <v>-4.8981798245482822E-2</v>
      </c>
      <c r="AS212" t="str">
        <f t="shared" si="109"/>
        <v/>
      </c>
      <c r="AT212" t="str">
        <f t="shared" si="110"/>
        <v/>
      </c>
      <c r="AU212" t="str">
        <f t="shared" si="111"/>
        <v/>
      </c>
    </row>
    <row r="213" spans="1:47" x14ac:dyDescent="0.25">
      <c r="A213" s="4">
        <f>DATE(2023,10,6)</f>
        <v>45205</v>
      </c>
      <c r="B213">
        <v>-0.13539338428387171</v>
      </c>
      <c r="C213">
        <v>41.038473394163866</v>
      </c>
      <c r="D213">
        <v>0.21589480444091835</v>
      </c>
      <c r="E213">
        <f t="shared" si="84"/>
        <v>-0.2209190685909245</v>
      </c>
      <c r="F213">
        <f t="shared" si="85"/>
        <v>-0.65485805488447035</v>
      </c>
      <c r="G213">
        <f t="shared" si="86"/>
        <v>-0.70399068403788068</v>
      </c>
      <c r="H213" s="2" t="str">
        <f t="shared" si="87"/>
        <v>Lower</v>
      </c>
      <c r="I213" s="2" t="str">
        <f t="shared" si="88"/>
        <v>Lower</v>
      </c>
      <c r="J213" s="2" t="str">
        <f t="shared" si="89"/>
        <v>Lower</v>
      </c>
      <c r="K213" s="2" t="str">
        <f t="shared" si="90"/>
        <v>Lower</v>
      </c>
      <c r="L213" s="2" t="str">
        <f t="shared" si="91"/>
        <v>Lower</v>
      </c>
      <c r="M213" s="2" t="str">
        <f t="shared" si="92"/>
        <v>Higher</v>
      </c>
      <c r="N213" s="2" t="str">
        <f t="shared" si="93"/>
        <v>Lower</v>
      </c>
      <c r="O213" s="2" t="str">
        <f t="shared" si="94"/>
        <v>Lower</v>
      </c>
      <c r="P213" s="2" t="str">
        <f t="shared" si="95"/>
        <v>Lower</v>
      </c>
      <c r="R213" s="4">
        <f>DATE(2023,10,6)</f>
        <v>45205</v>
      </c>
      <c r="S213">
        <v>0.51192471924613048</v>
      </c>
      <c r="T213">
        <v>1.3888848970271227E-2</v>
      </c>
      <c r="U213">
        <v>-0.36171350586919099</v>
      </c>
      <c r="V213">
        <v>7.617795501637277E-2</v>
      </c>
      <c r="X213" s="4">
        <f>DATE(2023,10,6)</f>
        <v>45205</v>
      </c>
      <c r="Y213">
        <v>17.468362426966781</v>
      </c>
      <c r="Z213">
        <v>26.837310840435663</v>
      </c>
      <c r="AA213">
        <v>80.54249999999999</v>
      </c>
      <c r="AB213">
        <v>37.722999999999999</v>
      </c>
      <c r="AC213">
        <f t="shared" si="96"/>
        <v>-1.7873274377064929E-2</v>
      </c>
      <c r="AD213">
        <f t="shared" si="97"/>
        <v>-0.10709005855479017</v>
      </c>
      <c r="AE213">
        <f t="shared" si="98"/>
        <v>-8.9216784177725245E-2</v>
      </c>
      <c r="AF213">
        <f t="shared" si="99"/>
        <v>-0.4393559171453662</v>
      </c>
      <c r="AH213">
        <f t="shared" si="100"/>
        <v>-1.8909386004115292E-2</v>
      </c>
      <c r="AI213">
        <f t="shared" si="101"/>
        <v>7.5915276869254061E-2</v>
      </c>
      <c r="AJ213">
        <f t="shared" si="102"/>
        <v>9.4824662873369353E-2</v>
      </c>
      <c r="AK213">
        <f t="shared" si="103"/>
        <v>0.38203866797466118</v>
      </c>
      <c r="AM213">
        <f t="shared" si="104"/>
        <v>-7.0057993999168636E-2</v>
      </c>
      <c r="AN213">
        <f t="shared" si="105"/>
        <v>0.35573242431357077</v>
      </c>
      <c r="AO213">
        <f t="shared" si="106"/>
        <v>0.42579041831273939</v>
      </c>
      <c r="AP213">
        <f t="shared" si="107"/>
        <v>0.90868390215517691</v>
      </c>
      <c r="AR213">
        <f t="shared" si="108"/>
        <v>-3.752762721695492E-2</v>
      </c>
      <c r="AS213">
        <f t="shared" si="109"/>
        <v>-0.70459952336041232</v>
      </c>
      <c r="AT213">
        <f t="shared" si="110"/>
        <v>-0.66707189614345741</v>
      </c>
      <c r="AU213">
        <f t="shared" si="111"/>
        <v>-0.53097154633069232</v>
      </c>
    </row>
    <row r="214" spans="1:47" x14ac:dyDescent="0.25">
      <c r="A214" s="4">
        <f>DATE(2023,10,5)</f>
        <v>45204</v>
      </c>
      <c r="B214">
        <v>-0.1328022953778969</v>
      </c>
      <c r="C214">
        <v>41.188143248707263</v>
      </c>
      <c r="D214">
        <v>0.20703744178980218</v>
      </c>
      <c r="E214">
        <f t="shared" si="84"/>
        <v>-0.21690941445523962</v>
      </c>
      <c r="F214">
        <f t="shared" si="85"/>
        <v>-0.64120008635948422</v>
      </c>
      <c r="G214">
        <f t="shared" si="86"/>
        <v>-0.73840263204654288</v>
      </c>
      <c r="H214" s="2" t="str">
        <f t="shared" si="87"/>
        <v>Lower</v>
      </c>
      <c r="I214" s="2" t="str">
        <f t="shared" si="88"/>
        <v>Lower</v>
      </c>
      <c r="J214" s="2" t="str">
        <f t="shared" si="89"/>
        <v>Lower</v>
      </c>
      <c r="K214" s="2" t="str">
        <f t="shared" si="90"/>
        <v>Lower</v>
      </c>
      <c r="L214" s="2" t="str">
        <f t="shared" si="91"/>
        <v>Lower</v>
      </c>
      <c r="M214" s="2" t="str">
        <f t="shared" si="92"/>
        <v>Higher</v>
      </c>
      <c r="N214" s="2" t="str">
        <f t="shared" si="93"/>
        <v>Lower</v>
      </c>
      <c r="O214" s="2" t="str">
        <f t="shared" si="94"/>
        <v>Lower</v>
      </c>
      <c r="P214" s="2" t="str">
        <f t="shared" si="95"/>
        <v>Lower</v>
      </c>
      <c r="R214" s="4">
        <f>DATE(2023,10,5)</f>
        <v>45204</v>
      </c>
      <c r="S214">
        <v>0.69851312870612492</v>
      </c>
      <c r="T214">
        <v>-5.1575989301357539E-2</v>
      </c>
      <c r="U214">
        <v>-0.34716694503677342</v>
      </c>
      <c r="V214">
        <v>5.2040315660588733E-2</v>
      </c>
      <c r="X214" s="4">
        <f>DATE(2023,10,5)</f>
        <v>45204</v>
      </c>
      <c r="Y214">
        <v>18.311287305294197</v>
      </c>
      <c r="Z214">
        <v>26.353871460348937</v>
      </c>
      <c r="AA214">
        <v>80.922500000000014</v>
      </c>
      <c r="AB214">
        <v>36.521000000000001</v>
      </c>
      <c r="AC214">
        <f t="shared" si="96"/>
        <v>-2.0759875435479913E-2</v>
      </c>
      <c r="AD214">
        <f t="shared" si="97"/>
        <v>-9.4560641382782973E-2</v>
      </c>
      <c r="AE214">
        <f t="shared" si="98"/>
        <v>-7.380076594730306E-2</v>
      </c>
      <c r="AF214">
        <f t="shared" si="99"/>
        <v>-0.35921682855608955</v>
      </c>
      <c r="AH214">
        <f t="shared" si="100"/>
        <v>-2.7815535642169091E-2</v>
      </c>
      <c r="AI214">
        <f t="shared" si="101"/>
        <v>0.12289760975585927</v>
      </c>
      <c r="AJ214">
        <f t="shared" si="102"/>
        <v>0.15071314539802835</v>
      </c>
      <c r="AK214">
        <f t="shared" si="103"/>
        <v>0.54748423082783948</v>
      </c>
      <c r="AM214">
        <f t="shared" si="104"/>
        <v>-6.073910388966642E-2</v>
      </c>
      <c r="AN214">
        <f t="shared" si="105"/>
        <v>0.3114557732891472</v>
      </c>
      <c r="AO214">
        <f t="shared" si="106"/>
        <v>0.37219487717881361</v>
      </c>
      <c r="AP214">
        <f t="shared" si="107"/>
        <v>0.80925025332185252</v>
      </c>
      <c r="AR214">
        <f t="shared" si="108"/>
        <v>-4.8129407984281655E-2</v>
      </c>
      <c r="AS214">
        <f t="shared" si="109"/>
        <v>-0.8309035010415875</v>
      </c>
      <c r="AT214">
        <f t="shared" si="110"/>
        <v>-0.78277409305730583</v>
      </c>
      <c r="AU214">
        <f t="shared" si="111"/>
        <v>-0.64260049614960812</v>
      </c>
    </row>
    <row r="215" spans="1:47" x14ac:dyDescent="0.25">
      <c r="A215" s="4">
        <f>DATE(2023,10,4)</f>
        <v>45203</v>
      </c>
      <c r="B215">
        <v>-0.10989504120017513</v>
      </c>
      <c r="C215">
        <v>44.698402293316533</v>
      </c>
      <c r="D215">
        <v>0.37966771982062303</v>
      </c>
      <c r="E215">
        <f t="shared" si="84"/>
        <v>-0.18611841501982926</v>
      </c>
      <c r="F215">
        <f t="shared" si="85"/>
        <v>-0.25006981224931935</v>
      </c>
      <c r="G215">
        <f t="shared" si="86"/>
        <v>-0.16343780717804363</v>
      </c>
      <c r="H215" s="2" t="str">
        <f t="shared" si="87"/>
        <v>Lower</v>
      </c>
      <c r="I215" s="2" t="str">
        <f t="shared" si="88"/>
        <v>Lower</v>
      </c>
      <c r="J215" s="2" t="str">
        <f t="shared" si="89"/>
        <v>Lower</v>
      </c>
      <c r="K215" s="2" t="str">
        <f t="shared" si="90"/>
        <v>Lower</v>
      </c>
      <c r="L215" s="2" t="str">
        <f t="shared" si="91"/>
        <v>Lower</v>
      </c>
      <c r="M215" s="2" t="str">
        <f t="shared" si="92"/>
        <v>Higher</v>
      </c>
      <c r="N215" s="2" t="str">
        <f t="shared" si="93"/>
        <v>Lower</v>
      </c>
      <c r="O215" s="2" t="str">
        <f t="shared" si="94"/>
        <v>Lower</v>
      </c>
      <c r="P215" s="2" t="str">
        <f t="shared" si="95"/>
        <v>Lower</v>
      </c>
      <c r="R215" s="4">
        <f>DATE(2023,10,4)</f>
        <v>45203</v>
      </c>
      <c r="S215">
        <v>0.61549599728548721</v>
      </c>
      <c r="T215">
        <v>-5.6953023351631646E-2</v>
      </c>
      <c r="U215">
        <v>-0.34099002866076678</v>
      </c>
      <c r="V215">
        <v>3.2873192487840999E-2</v>
      </c>
      <c r="X215" s="4">
        <f>DATE(2023,10,4)</f>
        <v>45203</v>
      </c>
      <c r="Y215">
        <v>19.778905396890721</v>
      </c>
      <c r="Z215">
        <v>27.870513669695899</v>
      </c>
      <c r="AA215">
        <v>81.347499999999997</v>
      </c>
      <c r="AB215">
        <v>38.123000000000005</v>
      </c>
      <c r="AC215">
        <f t="shared" si="96"/>
        <v>-1.1732131757758581E-2</v>
      </c>
      <c r="AD215">
        <f t="shared" si="97"/>
        <v>-3.3151066843022131E-2</v>
      </c>
      <c r="AE215">
        <f t="shared" si="98"/>
        <v>-2.141893508526355E-2</v>
      </c>
      <c r="AF215">
        <f t="shared" si="99"/>
        <v>-7.6706873663995465E-2</v>
      </c>
      <c r="AH215">
        <f t="shared" si="100"/>
        <v>-2.9822230325485914E-2</v>
      </c>
      <c r="AI215">
        <f t="shared" si="101"/>
        <v>0.18253142588887741</v>
      </c>
      <c r="AJ215">
        <f t="shared" si="102"/>
        <v>0.21235365621436333</v>
      </c>
      <c r="AK215">
        <f t="shared" si="103"/>
        <v>0.73422128456763558</v>
      </c>
      <c r="AM215">
        <f t="shared" si="104"/>
        <v>-6.0315442720626125E-2</v>
      </c>
      <c r="AN215">
        <f t="shared" si="105"/>
        <v>0.34333411708834521</v>
      </c>
      <c r="AO215">
        <f t="shared" si="106"/>
        <v>0.40364955980897133</v>
      </c>
      <c r="AP215">
        <f t="shared" si="107"/>
        <v>0.86260615810636054</v>
      </c>
      <c r="AR215">
        <f t="shared" si="108"/>
        <v>-6.4127391428043357E-2</v>
      </c>
      <c r="AS215">
        <f t="shared" si="109"/>
        <v>-0.75795535161733318</v>
      </c>
      <c r="AT215">
        <f t="shared" si="110"/>
        <v>-0.69382796018928983</v>
      </c>
      <c r="AU215">
        <f t="shared" si="111"/>
        <v>-0.56178976401109981</v>
      </c>
    </row>
    <row r="216" spans="1:47" x14ac:dyDescent="0.25">
      <c r="A216" s="4">
        <f>DATE(2023,10,3)</f>
        <v>45202</v>
      </c>
      <c r="B216">
        <v>-0.16999196238836101</v>
      </c>
      <c r="C216">
        <v>35.859201920643166</v>
      </c>
      <c r="D216">
        <v>1.357588369423993E-2</v>
      </c>
      <c r="E216">
        <f t="shared" si="84"/>
        <v>-0.30904167372416397</v>
      </c>
      <c r="F216">
        <f t="shared" si="85"/>
        <v>-1.268873557895188</v>
      </c>
      <c r="G216">
        <f t="shared" si="86"/>
        <v>-1.4119169305468642</v>
      </c>
      <c r="H216" s="2" t="str">
        <f t="shared" si="87"/>
        <v>Lower</v>
      </c>
      <c r="I216" s="2" t="str">
        <f t="shared" si="88"/>
        <v>Lower</v>
      </c>
      <c r="J216" s="2" t="str">
        <f t="shared" si="89"/>
        <v>Lower</v>
      </c>
      <c r="K216" s="2" t="str">
        <f t="shared" si="90"/>
        <v>Lower</v>
      </c>
      <c r="L216" s="2" t="str">
        <f t="shared" si="91"/>
        <v>Lower</v>
      </c>
      <c r="M216" s="2" t="str">
        <f t="shared" si="92"/>
        <v>Higher</v>
      </c>
      <c r="N216" s="2" t="str">
        <f t="shared" si="93"/>
        <v>Lower</v>
      </c>
      <c r="O216" s="2" t="str">
        <f t="shared" si="94"/>
        <v>Higher</v>
      </c>
      <c r="P216" s="2" t="str">
        <f t="shared" si="95"/>
        <v>Lower</v>
      </c>
      <c r="R216" s="4">
        <f>DATE(2023,10,3)</f>
        <v>45202</v>
      </c>
      <c r="S216">
        <v>0.62113001621745689</v>
      </c>
      <c r="T216">
        <v>0.15035672946586109</v>
      </c>
      <c r="U216">
        <v>-0.33313332190843792</v>
      </c>
      <c r="V216">
        <v>2.3075665716505048E-2</v>
      </c>
      <c r="X216" s="4">
        <f>DATE(2023,10,3)</f>
        <v>45202</v>
      </c>
      <c r="Y216">
        <v>15.758292554016379</v>
      </c>
      <c r="Z216">
        <v>27.204575998373087</v>
      </c>
      <c r="AA216">
        <v>79.927500000000009</v>
      </c>
      <c r="AB216">
        <v>36.936000000000007</v>
      </c>
      <c r="AC216">
        <f t="shared" si="96"/>
        <v>-4.216855864143812E-2</v>
      </c>
      <c r="AD216">
        <f t="shared" si="97"/>
        <v>-9.7802788081565922E-2</v>
      </c>
      <c r="AE216">
        <f t="shared" si="98"/>
        <v>-5.5634229440127803E-2</v>
      </c>
      <c r="AF216">
        <f t="shared" si="99"/>
        <v>-0.26690404747063196</v>
      </c>
      <c r="AH216">
        <f t="shared" si="100"/>
        <v>-4.9905136697187658E-2</v>
      </c>
      <c r="AI216">
        <f t="shared" si="101"/>
        <v>6.228130592773283E-2</v>
      </c>
      <c r="AJ216">
        <f t="shared" si="102"/>
        <v>0.11218644262492049</v>
      </c>
      <c r="AK216">
        <f t="shared" si="103"/>
        <v>0.42790979364307635</v>
      </c>
      <c r="AM216">
        <f t="shared" si="104"/>
        <v>-7.8330557857601249E-2</v>
      </c>
      <c r="AN216">
        <f t="shared" si="105"/>
        <v>0.23363195060611008</v>
      </c>
      <c r="AO216">
        <f t="shared" si="106"/>
        <v>0.31196250846371132</v>
      </c>
      <c r="AP216">
        <f t="shared" si="107"/>
        <v>0.69563860477572426</v>
      </c>
      <c r="AR216">
        <f t="shared" si="108"/>
        <v>-0.1065889997599791</v>
      </c>
      <c r="AS216">
        <f t="shared" si="109"/>
        <v>-0.77337730506781022</v>
      </c>
      <c r="AT216">
        <f t="shared" si="110"/>
        <v>-0.66678830530783118</v>
      </c>
      <c r="AU216">
        <f t="shared" si="111"/>
        <v>-0.5372242824126422</v>
      </c>
    </row>
    <row r="217" spans="1:47" x14ac:dyDescent="0.25">
      <c r="A217" s="4">
        <f>DATE(2023,10,2)</f>
        <v>45201</v>
      </c>
      <c r="B217">
        <v>-3.4110309744274314E-2</v>
      </c>
      <c r="C217">
        <v>39.168746921676941</v>
      </c>
      <c r="D217">
        <v>0.14634720692523187</v>
      </c>
      <c r="E217">
        <f t="shared" si="84"/>
        <v>-6.6749867480661279E-2</v>
      </c>
      <c r="F217">
        <f t="shared" si="85"/>
        <v>-0.9116453544154115</v>
      </c>
      <c r="G217">
        <f t="shared" si="86"/>
        <v>-0.9856670071028909</v>
      </c>
      <c r="H217" s="2" t="str">
        <f t="shared" si="87"/>
        <v>Lower</v>
      </c>
      <c r="I217" s="2" t="str">
        <f t="shared" si="88"/>
        <v>Lower</v>
      </c>
      <c r="J217" s="2" t="str">
        <f t="shared" si="89"/>
        <v>Lower</v>
      </c>
      <c r="K217" s="2" t="str">
        <f t="shared" si="90"/>
        <v>Lower</v>
      </c>
      <c r="L217" s="2" t="str">
        <f t="shared" si="91"/>
        <v>Lower</v>
      </c>
      <c r="M217" s="2" t="str">
        <f t="shared" si="92"/>
        <v>Higher</v>
      </c>
      <c r="N217" s="2" t="str">
        <f t="shared" si="93"/>
        <v>Lower</v>
      </c>
      <c r="O217" s="2" t="str">
        <f t="shared" si="94"/>
        <v>Higher</v>
      </c>
      <c r="P217" s="2" t="str">
        <f t="shared" si="95"/>
        <v>Lower</v>
      </c>
      <c r="R217" s="4">
        <f>DATE(2023,10,2)</f>
        <v>45201</v>
      </c>
      <c r="S217">
        <v>1.2725589122374134E-2</v>
      </c>
      <c r="T217">
        <v>0.21855590939569006</v>
      </c>
      <c r="U217">
        <v>-0.32607358180018337</v>
      </c>
      <c r="V217">
        <v>2.221565712941696E-2</v>
      </c>
      <c r="X217" s="4">
        <f>DATE(2023,10,2)</f>
        <v>45201</v>
      </c>
      <c r="Y217">
        <v>16.633516611702508</v>
      </c>
      <c r="Z217">
        <v>29.394478832331046</v>
      </c>
      <c r="AA217">
        <v>80.965000000000003</v>
      </c>
      <c r="AB217">
        <v>39.458749999999995</v>
      </c>
      <c r="AC217">
        <f t="shared" si="96"/>
        <v>-5.2186799866282572E-2</v>
      </c>
      <c r="AD217">
        <f t="shared" si="97"/>
        <v>-9.2255729515989884E-2</v>
      </c>
      <c r="AE217">
        <f t="shared" si="98"/>
        <v>-4.0068929649707312E-2</v>
      </c>
      <c r="AF217">
        <f t="shared" si="99"/>
        <v>-0.18571390048758218</v>
      </c>
      <c r="AH217">
        <f t="shared" si="100"/>
        <v>-4.187621538949754E-2</v>
      </c>
      <c r="AI217" t="str">
        <f t="shared" si="101"/>
        <v/>
      </c>
      <c r="AJ217" t="str">
        <f t="shared" si="102"/>
        <v/>
      </c>
      <c r="AK217" t="str">
        <f t="shared" si="103"/>
        <v/>
      </c>
      <c r="AM217">
        <f t="shared" si="104"/>
        <v>-6.4015396003184524E-2</v>
      </c>
      <c r="AN217">
        <f t="shared" si="105"/>
        <v>0.25067562869566623</v>
      </c>
      <c r="AO217">
        <f t="shared" si="106"/>
        <v>0.31469102469885074</v>
      </c>
      <c r="AP217">
        <f t="shared" si="107"/>
        <v>0.69638876792672066</v>
      </c>
      <c r="AR217" t="str">
        <f t="shared" si="108"/>
        <v/>
      </c>
      <c r="AS217" t="str">
        <f t="shared" si="109"/>
        <v/>
      </c>
      <c r="AT217" t="str">
        <f t="shared" si="110"/>
        <v/>
      </c>
      <c r="AU217" t="str">
        <f t="shared" si="111"/>
        <v/>
      </c>
    </row>
    <row r="218" spans="1:47" x14ac:dyDescent="0.25">
      <c r="A218" s="4">
        <f>DATE(2023,9,29)</f>
        <v>45198</v>
      </c>
      <c r="B218">
        <v>7.9700849699326781E-2</v>
      </c>
      <c r="C218">
        <v>41.884218844685286</v>
      </c>
      <c r="D218">
        <v>0.27349701413118488</v>
      </c>
      <c r="E218">
        <f t="shared" si="84"/>
        <v>0.13766813739197353</v>
      </c>
      <c r="F218">
        <f t="shared" si="85"/>
        <v>-0.6166007427340624</v>
      </c>
      <c r="G218">
        <f t="shared" si="86"/>
        <v>-0.56908948940833215</v>
      </c>
      <c r="H218" s="2" t="str">
        <f t="shared" si="87"/>
        <v>Lower</v>
      </c>
      <c r="I218" s="2" t="str">
        <f t="shared" si="88"/>
        <v>Higher</v>
      </c>
      <c r="J218" s="2" t="str">
        <f t="shared" si="89"/>
        <v>Lower</v>
      </c>
      <c r="K218" s="2" t="str">
        <f t="shared" si="90"/>
        <v>Lower</v>
      </c>
      <c r="L218" s="2" t="str">
        <f t="shared" si="91"/>
        <v>Lower</v>
      </c>
      <c r="M218" s="2" t="str">
        <f t="shared" si="92"/>
        <v>Higher</v>
      </c>
      <c r="N218" s="2" t="str">
        <f t="shared" si="93"/>
        <v>Lower</v>
      </c>
      <c r="O218" s="2" t="str">
        <f t="shared" si="94"/>
        <v>Higher</v>
      </c>
      <c r="P218" s="2" t="str">
        <f t="shared" si="95"/>
        <v>Lower</v>
      </c>
      <c r="R218" s="4">
        <f>DATE(2023,9,29)</f>
        <v>45198</v>
      </c>
      <c r="S218">
        <v>0.72643421277442621</v>
      </c>
      <c r="T218">
        <v>0.24089911502091746</v>
      </c>
      <c r="U218">
        <v>-0.30548770004616715</v>
      </c>
      <c r="V218">
        <v>2.9284398919031621E-2</v>
      </c>
      <c r="X218" s="4">
        <f>DATE(2023,9,29)</f>
        <v>45198</v>
      </c>
      <c r="Y218">
        <v>17.310984216832185</v>
      </c>
      <c r="Z218">
        <v>31.657382395808543</v>
      </c>
      <c r="AA218">
        <v>81.995000000000005</v>
      </c>
      <c r="AB218">
        <v>41.986999999999995</v>
      </c>
      <c r="AC218">
        <f t="shared" si="96"/>
        <v>-3.7726776929252463E-2</v>
      </c>
      <c r="AD218">
        <f t="shared" si="97"/>
        <v>4.3667195451997542E-2</v>
      </c>
      <c r="AE218">
        <f t="shared" si="98"/>
        <v>8.1393972381250013E-2</v>
      </c>
      <c r="AF218">
        <f t="shared" si="99"/>
        <v>0.47393114134943959</v>
      </c>
      <c r="AH218">
        <f t="shared" si="100"/>
        <v>-4.1682652159663519E-2</v>
      </c>
      <c r="AI218">
        <f t="shared" si="101"/>
        <v>0.16288185275750217</v>
      </c>
      <c r="AJ218">
        <f t="shared" si="102"/>
        <v>0.20456450491716568</v>
      </c>
      <c r="AK218">
        <f t="shared" si="103"/>
        <v>0.69530096974784183</v>
      </c>
      <c r="AM218">
        <f t="shared" si="104"/>
        <v>-5.3486144142424676E-2</v>
      </c>
      <c r="AN218">
        <f t="shared" si="105"/>
        <v>0.23145736384769811</v>
      </c>
      <c r="AO218">
        <f t="shared" si="106"/>
        <v>0.2849435079901228</v>
      </c>
      <c r="AP218">
        <f t="shared" si="107"/>
        <v>0.63929528897670773</v>
      </c>
      <c r="AR218">
        <f t="shared" si="108"/>
        <v>-8.7328927231921608E-2</v>
      </c>
      <c r="AS218">
        <f t="shared" si="109"/>
        <v>-0.68120341439976351</v>
      </c>
      <c r="AT218">
        <f t="shared" si="110"/>
        <v>-0.59387448716784186</v>
      </c>
      <c r="AU218">
        <f t="shared" si="111"/>
        <v>-0.47283243775758355</v>
      </c>
    </row>
    <row r="219" spans="1:47" x14ac:dyDescent="0.25">
      <c r="A219" s="4">
        <f>DATE(2023,9,28)</f>
        <v>45197</v>
      </c>
      <c r="B219">
        <v>0.1771670550754052</v>
      </c>
      <c r="C219">
        <v>45.376274902418665</v>
      </c>
      <c r="D219">
        <v>0.44422710640533436</v>
      </c>
      <c r="E219">
        <f t="shared" si="84"/>
        <v>0.31890651397094211</v>
      </c>
      <c r="F219">
        <f t="shared" si="85"/>
        <v>-0.22689301493921132</v>
      </c>
      <c r="G219">
        <f t="shared" si="86"/>
        <v>4.8385382255090826E-3</v>
      </c>
      <c r="H219" s="2" t="str">
        <f t="shared" si="87"/>
        <v>Lower</v>
      </c>
      <c r="I219" s="2" t="str">
        <f t="shared" si="88"/>
        <v>Higher</v>
      </c>
      <c r="J219" s="2" t="str">
        <f t="shared" si="89"/>
        <v>Lower</v>
      </c>
      <c r="K219" s="2" t="str">
        <f t="shared" si="90"/>
        <v>Lower</v>
      </c>
      <c r="L219" s="2" t="str">
        <f t="shared" si="91"/>
        <v>Lower</v>
      </c>
      <c r="M219" s="2" t="str">
        <f t="shared" si="92"/>
        <v>Lower</v>
      </c>
      <c r="N219" s="2" t="str">
        <f t="shared" si="93"/>
        <v>Lower</v>
      </c>
      <c r="O219" s="2" t="str">
        <f t="shared" si="94"/>
        <v>Higher</v>
      </c>
      <c r="P219" s="2" t="str">
        <f t="shared" si="95"/>
        <v>Lower</v>
      </c>
      <c r="R219" s="4">
        <f>DATE(2023,9,28)</f>
        <v>45197</v>
      </c>
      <c r="S219">
        <v>0.58344779773223321</v>
      </c>
      <c r="T219">
        <v>0.30148685370021588</v>
      </c>
      <c r="U219">
        <v>-0.27726773146962114</v>
      </c>
      <c r="V219">
        <v>2.6228548824627988E-2</v>
      </c>
      <c r="X219" s="4">
        <f>DATE(2023,9,28)</f>
        <v>45197</v>
      </c>
      <c r="Y219">
        <v>18.515140829905754</v>
      </c>
      <c r="Z219">
        <v>30.803687358118246</v>
      </c>
      <c r="AA219">
        <v>82.62</v>
      </c>
      <c r="AB219">
        <v>40.143000000000001</v>
      </c>
      <c r="AC219">
        <f t="shared" si="96"/>
        <v>-1.2120631399134664E-2</v>
      </c>
      <c r="AD219">
        <f t="shared" si="97"/>
        <v>4.6737120278403758E-2</v>
      </c>
      <c r="AE219">
        <f t="shared" si="98"/>
        <v>5.8857751677538421E-2</v>
      </c>
      <c r="AF219">
        <f t="shared" si="99"/>
        <v>0.35044767096099766</v>
      </c>
      <c r="AH219">
        <f t="shared" si="100"/>
        <v>-4.1228593038867847E-2</v>
      </c>
      <c r="AI219">
        <f t="shared" si="101"/>
        <v>0.10977672185265751</v>
      </c>
      <c r="AJ219">
        <f t="shared" si="102"/>
        <v>0.15100531489152536</v>
      </c>
      <c r="AK219">
        <f t="shared" si="103"/>
        <v>0.53088966091567513</v>
      </c>
      <c r="AM219">
        <f t="shared" si="104"/>
        <v>-3.9223040767279047E-2</v>
      </c>
      <c r="AN219">
        <f t="shared" si="105"/>
        <v>0.20939425085897395</v>
      </c>
      <c r="AO219">
        <f t="shared" si="106"/>
        <v>0.24861729162625301</v>
      </c>
      <c r="AP219">
        <f t="shared" si="107"/>
        <v>0.57156922580277292</v>
      </c>
      <c r="AR219">
        <f t="shared" si="108"/>
        <v>-7.525499536574938E-2</v>
      </c>
      <c r="AS219">
        <f t="shared" si="109"/>
        <v>-0.82866635783313281</v>
      </c>
      <c r="AT219">
        <f t="shared" si="110"/>
        <v>-0.75341136246738338</v>
      </c>
      <c r="AU219">
        <f t="shared" si="111"/>
        <v>-0.62426856856900359</v>
      </c>
    </row>
    <row r="220" spans="1:47" x14ac:dyDescent="0.25">
      <c r="A220" s="4">
        <f>DATE(2023,9,27)</f>
        <v>45196</v>
      </c>
      <c r="B220">
        <v>0.22338489808826312</v>
      </c>
      <c r="C220">
        <v>43.613213447070194</v>
      </c>
      <c r="D220">
        <v>0.35223706770505053</v>
      </c>
      <c r="E220">
        <f t="shared" si="84"/>
        <v>0.40971240360251077</v>
      </c>
      <c r="F220">
        <f t="shared" si="85"/>
        <v>-0.43101334034540528</v>
      </c>
      <c r="G220">
        <f t="shared" si="86"/>
        <v>-0.30820126764058631</v>
      </c>
      <c r="H220" s="2" t="str">
        <f t="shared" si="87"/>
        <v>Lower</v>
      </c>
      <c r="I220" s="2" t="str">
        <f t="shared" si="88"/>
        <v>Higher</v>
      </c>
      <c r="J220" s="2" t="str">
        <f t="shared" si="89"/>
        <v>Lower</v>
      </c>
      <c r="K220" s="2" t="str">
        <f t="shared" si="90"/>
        <v>Lower</v>
      </c>
      <c r="L220" s="2" t="str">
        <f t="shared" si="91"/>
        <v>Lower</v>
      </c>
      <c r="M220" s="2" t="str">
        <f t="shared" si="92"/>
        <v>Lower</v>
      </c>
      <c r="N220" s="2" t="str">
        <f t="shared" si="93"/>
        <v>Lower</v>
      </c>
      <c r="O220" s="2" t="str">
        <f t="shared" si="94"/>
        <v>Higher</v>
      </c>
      <c r="P220" s="2" t="str">
        <f t="shared" si="95"/>
        <v>Lower</v>
      </c>
      <c r="R220" s="4">
        <f>DATE(2023,9,27)</f>
        <v>45196</v>
      </c>
      <c r="S220">
        <v>0.48426072154418948</v>
      </c>
      <c r="T220">
        <v>0.33854807957122002</v>
      </c>
      <c r="U220">
        <v>-0.25982806197043107</v>
      </c>
      <c r="V220">
        <v>2.6403542164967892E-2</v>
      </c>
      <c r="X220" s="4">
        <f>DATE(2023,9,27)</f>
        <v>45196</v>
      </c>
      <c r="Y220">
        <v>18.78451857344643</v>
      </c>
      <c r="Z220">
        <v>29.506265068333942</v>
      </c>
      <c r="AA220">
        <v>82.307500000000005</v>
      </c>
      <c r="AB220">
        <v>39.408000000000001</v>
      </c>
      <c r="AC220">
        <f t="shared" si="96"/>
        <v>4.2532507628650847E-4</v>
      </c>
      <c r="AD220">
        <f t="shared" si="97"/>
        <v>5.2879856926091817E-2</v>
      </c>
      <c r="AE220">
        <f t="shared" si="98"/>
        <v>5.2454531849805308E-2</v>
      </c>
      <c r="AF220">
        <f t="shared" si="99"/>
        <v>0.31592123751439966</v>
      </c>
      <c r="AH220">
        <f t="shared" si="100"/>
        <v>-4.3332584541062709E-2</v>
      </c>
      <c r="AI220">
        <f t="shared" si="101"/>
        <v>0.10085804688900651</v>
      </c>
      <c r="AJ220">
        <f t="shared" si="102"/>
        <v>0.14419063143006922</v>
      </c>
      <c r="AK220">
        <f t="shared" si="103"/>
        <v>0.50893257214291687</v>
      </c>
      <c r="AM220">
        <f t="shared" si="104"/>
        <v>-4.5743799305045574E-2</v>
      </c>
      <c r="AN220">
        <f t="shared" si="105"/>
        <v>0.12823109712454703</v>
      </c>
      <c r="AO220">
        <f t="shared" si="106"/>
        <v>0.1739748964295926</v>
      </c>
      <c r="AP220">
        <f t="shared" si="107"/>
        <v>0.43931925500489671</v>
      </c>
      <c r="AR220">
        <f t="shared" si="108"/>
        <v>-6.8152173556906462E-2</v>
      </c>
      <c r="AS220">
        <f t="shared" si="109"/>
        <v>-0.90846481763603903</v>
      </c>
      <c r="AT220">
        <f t="shared" si="110"/>
        <v>-0.84031264407913253</v>
      </c>
      <c r="AU220">
        <f t="shared" si="111"/>
        <v>-0.70796375025810965</v>
      </c>
    </row>
    <row r="221" spans="1:47" x14ac:dyDescent="0.25">
      <c r="A221" s="4">
        <f>DATE(2023,9,26)</f>
        <v>45195</v>
      </c>
      <c r="B221">
        <v>0.33327187474924647</v>
      </c>
      <c r="C221">
        <v>45.666156051140291</v>
      </c>
      <c r="D221">
        <v>0.43117560506555552</v>
      </c>
      <c r="E221">
        <f t="shared" si="84"/>
        <v>0.62092438435806985</v>
      </c>
      <c r="F221">
        <f t="shared" si="85"/>
        <v>-0.20031867842633402</v>
      </c>
      <c r="G221">
        <f t="shared" si="86"/>
        <v>-4.0869785268150549E-2</v>
      </c>
      <c r="H221" s="2" t="str">
        <f t="shared" si="87"/>
        <v>Lower</v>
      </c>
      <c r="I221" s="2" t="str">
        <f t="shared" si="88"/>
        <v>Higher</v>
      </c>
      <c r="J221" s="2" t="str">
        <f t="shared" si="89"/>
        <v>Lower</v>
      </c>
      <c r="K221" s="2" t="str">
        <f t="shared" si="90"/>
        <v>Lower</v>
      </c>
      <c r="L221" s="2" t="str">
        <f t="shared" si="91"/>
        <v>Lower</v>
      </c>
      <c r="M221" s="2" t="str">
        <f t="shared" si="92"/>
        <v>Lower</v>
      </c>
      <c r="N221" s="2" t="str">
        <f t="shared" si="93"/>
        <v>Lower</v>
      </c>
      <c r="O221" s="2" t="str">
        <f t="shared" si="94"/>
        <v>Higher</v>
      </c>
      <c r="P221" s="2" t="str">
        <f t="shared" si="95"/>
        <v>Lower</v>
      </c>
      <c r="R221" s="4">
        <f>DATE(2023,9,26)</f>
        <v>45195</v>
      </c>
      <c r="S221">
        <v>0.60032975871558181</v>
      </c>
      <c r="T221">
        <v>0.39147316301109725</v>
      </c>
      <c r="U221">
        <v>-0.23833179169338403</v>
      </c>
      <c r="V221">
        <v>2.3504297054259552E-2</v>
      </c>
      <c r="X221" s="4">
        <f>DATE(2023,9,26)</f>
        <v>45195</v>
      </c>
      <c r="Y221">
        <v>19.767872816150639</v>
      </c>
      <c r="Z221">
        <v>30.539860118284214</v>
      </c>
      <c r="AA221">
        <v>83.37</v>
      </c>
      <c r="AB221">
        <v>40.731000000000002</v>
      </c>
      <c r="AC221">
        <f t="shared" si="96"/>
        <v>2.6681214433612401E-2</v>
      </c>
      <c r="AD221">
        <f t="shared" si="97"/>
        <v>0.11583310770093268</v>
      </c>
      <c r="AE221">
        <f t="shared" si="98"/>
        <v>8.9151893267320273E-2</v>
      </c>
      <c r="AF221">
        <f t="shared" si="99"/>
        <v>0.51340071829081457</v>
      </c>
      <c r="AH221">
        <f t="shared" si="100"/>
        <v>-2.1859604266381609E-2</v>
      </c>
      <c r="AI221">
        <f t="shared" si="101"/>
        <v>0.13689355516228466</v>
      </c>
      <c r="AJ221">
        <f t="shared" si="102"/>
        <v>0.15875315942866627</v>
      </c>
      <c r="AK221">
        <f t="shared" si="103"/>
        <v>0.54948926309251256</v>
      </c>
      <c r="AM221">
        <f t="shared" si="104"/>
        <v>-4.6290999259221026E-2</v>
      </c>
      <c r="AN221" t="str">
        <f t="shared" si="105"/>
        <v/>
      </c>
      <c r="AO221" t="str">
        <f t="shared" si="106"/>
        <v/>
      </c>
      <c r="AP221" t="str">
        <f t="shared" si="107"/>
        <v/>
      </c>
      <c r="AR221">
        <f t="shared" si="108"/>
        <v>-6.8096864258949077E-2</v>
      </c>
      <c r="AS221">
        <f t="shared" si="109"/>
        <v>-0.95350188428979898</v>
      </c>
      <c r="AT221">
        <f t="shared" si="110"/>
        <v>-0.88540502003084987</v>
      </c>
      <c r="AU221">
        <f t="shared" si="111"/>
        <v>-0.75269833317763457</v>
      </c>
    </row>
    <row r="222" spans="1:47" x14ac:dyDescent="0.25">
      <c r="A222" s="4">
        <f>DATE(2023,9,25)</f>
        <v>45194</v>
      </c>
      <c r="B222">
        <v>0.42944970797881898</v>
      </c>
      <c r="C222">
        <v>54.56176970784</v>
      </c>
      <c r="D222">
        <v>0.77761218503259244</v>
      </c>
      <c r="E222">
        <f t="shared" si="84"/>
        <v>0.80936769662756591</v>
      </c>
      <c r="F222">
        <f t="shared" si="85"/>
        <v>0.81530408280687561</v>
      </c>
      <c r="G222">
        <f t="shared" si="86"/>
        <v>1.1402087370879932</v>
      </c>
      <c r="H222" s="2" t="str">
        <f t="shared" si="87"/>
        <v>Lower</v>
      </c>
      <c r="I222" s="2" t="str">
        <f t="shared" si="88"/>
        <v>Higher</v>
      </c>
      <c r="J222" s="2" t="str">
        <f t="shared" si="89"/>
        <v>Lower</v>
      </c>
      <c r="K222" s="2" t="str">
        <f t="shared" si="90"/>
        <v>Lower</v>
      </c>
      <c r="L222" s="2" t="str">
        <f t="shared" si="91"/>
        <v>Lower</v>
      </c>
      <c r="M222" s="2" t="str">
        <f t="shared" si="92"/>
        <v>Lower</v>
      </c>
      <c r="N222" s="2" t="str">
        <f t="shared" si="93"/>
        <v>Lower</v>
      </c>
      <c r="O222" s="2" t="str">
        <f t="shared" si="94"/>
        <v>Higher</v>
      </c>
      <c r="P222" s="2" t="str">
        <f t="shared" si="95"/>
        <v>Lower</v>
      </c>
      <c r="R222" s="4">
        <f>DATE(2023,9,25)</f>
        <v>45194</v>
      </c>
      <c r="S222">
        <v>0.77581056476896137</v>
      </c>
      <c r="T222">
        <v>0.39771039519707535</v>
      </c>
      <c r="U222">
        <v>-0.19815913348132871</v>
      </c>
      <c r="V222">
        <v>1.9799269637330891E-2</v>
      </c>
      <c r="X222" s="4">
        <f>DATE(2023,9,25)</f>
        <v>45194</v>
      </c>
      <c r="Y222">
        <v>21.783434459677856</v>
      </c>
      <c r="Z222">
        <v>34.099876620336296</v>
      </c>
      <c r="AA222">
        <v>85.302499999999995</v>
      </c>
      <c r="AB222">
        <v>43.27225</v>
      </c>
      <c r="AC222">
        <f t="shared" si="96"/>
        <v>4.8457579758421548E-2</v>
      </c>
      <c r="AD222">
        <f t="shared" si="97"/>
        <v>0.21656602456087176</v>
      </c>
      <c r="AE222">
        <f t="shared" si="98"/>
        <v>0.16810844480245021</v>
      </c>
      <c r="AF222">
        <f t="shared" si="99"/>
        <v>0.93728911719822949</v>
      </c>
      <c r="AH222">
        <f t="shared" si="100"/>
        <v>-4.0946505105197654E-3</v>
      </c>
      <c r="AI222">
        <f t="shared" si="101"/>
        <v>0.13783156380517195</v>
      </c>
      <c r="AJ222">
        <f t="shared" si="102"/>
        <v>0.14192621431569172</v>
      </c>
      <c r="AK222">
        <f t="shared" si="103"/>
        <v>0.49656932806736398</v>
      </c>
      <c r="AM222">
        <f t="shared" si="104"/>
        <v>-3.0195112358513135E-2</v>
      </c>
      <c r="AN222">
        <f t="shared" si="105"/>
        <v>0.21497458074273479</v>
      </c>
      <c r="AO222">
        <f t="shared" si="106"/>
        <v>0.24516969310124792</v>
      </c>
      <c r="AP222">
        <f t="shared" si="107"/>
        <v>0.55897620479037335</v>
      </c>
      <c r="AR222">
        <f t="shared" si="108"/>
        <v>1.2148166499497581E-2</v>
      </c>
      <c r="AS222">
        <f t="shared" si="109"/>
        <v>-0.91963485587271077</v>
      </c>
      <c r="AT222">
        <f t="shared" si="110"/>
        <v>-0.93178302237220834</v>
      </c>
      <c r="AU222">
        <f t="shared" si="111"/>
        <v>-0.79867247325138946</v>
      </c>
    </row>
    <row r="223" spans="1:47" x14ac:dyDescent="0.25">
      <c r="A223" s="4">
        <f>DATE(2023,9,22)</f>
        <v>45191</v>
      </c>
      <c r="B223">
        <v>0.32179486636100552</v>
      </c>
      <c r="C223">
        <v>55.458176289973117</v>
      </c>
      <c r="D223">
        <v>0.80198185376035802</v>
      </c>
      <c r="E223">
        <f t="shared" si="84"/>
        <v>0.62541562523282546</v>
      </c>
      <c r="F223">
        <f t="shared" si="85"/>
        <v>0.93022924721079403</v>
      </c>
      <c r="G223">
        <f t="shared" si="86"/>
        <v>1.2416076001837439</v>
      </c>
      <c r="H223" s="2" t="str">
        <f t="shared" si="87"/>
        <v>Lower</v>
      </c>
      <c r="I223" s="2" t="str">
        <f t="shared" si="88"/>
        <v>Higher</v>
      </c>
      <c r="J223" s="2" t="str">
        <f t="shared" si="89"/>
        <v>Lower</v>
      </c>
      <c r="K223" s="2" t="str">
        <f t="shared" si="90"/>
        <v>Lower</v>
      </c>
      <c r="L223" s="2" t="str">
        <f t="shared" si="91"/>
        <v>Lower</v>
      </c>
      <c r="M223" s="2" t="str">
        <f t="shared" si="92"/>
        <v>Lower</v>
      </c>
      <c r="N223" s="2" t="str">
        <f t="shared" si="93"/>
        <v>Lower</v>
      </c>
      <c r="O223" s="2" t="str">
        <f t="shared" si="94"/>
        <v>Higher</v>
      </c>
      <c r="P223" s="2" t="str">
        <f t="shared" si="95"/>
        <v>Lower</v>
      </c>
      <c r="R223" s="4">
        <f>DATE(2023,9,22)</f>
        <v>45191</v>
      </c>
      <c r="S223">
        <v>0.93917479488304312</v>
      </c>
      <c r="T223">
        <v>0.43549416504914901</v>
      </c>
      <c r="U223">
        <v>-0.19173531462104243</v>
      </c>
      <c r="V223">
        <v>1.6066275161782599E-2</v>
      </c>
      <c r="X223" s="4">
        <f>DATE(2023,9,22)</f>
        <v>45191</v>
      </c>
      <c r="Y223">
        <v>22.75935521471914</v>
      </c>
      <c r="Z223">
        <v>31.252341966499163</v>
      </c>
      <c r="AA223">
        <v>85.147500000000008</v>
      </c>
      <c r="AB223">
        <v>40.192999999999998</v>
      </c>
      <c r="AC223">
        <f t="shared" si="96"/>
        <v>3.019378462170719E-2</v>
      </c>
      <c r="AD223">
        <f t="shared" si="97"/>
        <v>0.10676999035360608</v>
      </c>
      <c r="AE223">
        <f t="shared" si="98"/>
        <v>7.6576205731898897E-2</v>
      </c>
      <c r="AF223">
        <f t="shared" si="99"/>
        <v>0.44645432705344629</v>
      </c>
      <c r="AH223">
        <f t="shared" si="100"/>
        <v>-3.4878473742106569E-3</v>
      </c>
      <c r="AI223">
        <f t="shared" si="101"/>
        <v>0.14685230468982483</v>
      </c>
      <c r="AJ223">
        <f t="shared" si="102"/>
        <v>0.15034015206403548</v>
      </c>
      <c r="AK223">
        <f t="shared" si="103"/>
        <v>0.51886939543324107</v>
      </c>
      <c r="AM223">
        <f t="shared" si="104"/>
        <v>-4.1100296317450165E-2</v>
      </c>
      <c r="AN223">
        <f t="shared" si="105"/>
        <v>8.9207746844450278E-2</v>
      </c>
      <c r="AO223">
        <f t="shared" si="106"/>
        <v>0.13030804316190045</v>
      </c>
      <c r="AP223">
        <f t="shared" si="107"/>
        <v>0.35504729620695613</v>
      </c>
      <c r="AR223">
        <f t="shared" si="108"/>
        <v>1.0477790173791119E-2</v>
      </c>
      <c r="AS223">
        <f t="shared" si="109"/>
        <v>-1.055153346411863</v>
      </c>
      <c r="AT223">
        <f t="shared" si="110"/>
        <v>-1.0656311365856541</v>
      </c>
      <c r="AU223">
        <f t="shared" si="111"/>
        <v>-0.92673378616940405</v>
      </c>
    </row>
    <row r="224" spans="1:47" x14ac:dyDescent="0.25">
      <c r="A224" s="4">
        <f>DATE(2023,9,21)</f>
        <v>45190</v>
      </c>
      <c r="B224">
        <v>0.11738882701498099</v>
      </c>
      <c r="C224">
        <v>50.654558137245431</v>
      </c>
      <c r="D224">
        <v>0.60106053485601063</v>
      </c>
      <c r="E224">
        <f t="shared" si="84"/>
        <v>0.2651791880015269</v>
      </c>
      <c r="F224">
        <f t="shared" si="85"/>
        <v>0.39487466069595772</v>
      </c>
      <c r="G224">
        <f t="shared" si="86"/>
        <v>0.57515203331913212</v>
      </c>
      <c r="H224" s="2" t="str">
        <f t="shared" si="87"/>
        <v>Lower</v>
      </c>
      <c r="I224" s="2" t="str">
        <f t="shared" si="88"/>
        <v>Higher</v>
      </c>
      <c r="J224" s="2" t="str">
        <f t="shared" si="89"/>
        <v>Lower</v>
      </c>
      <c r="K224" s="2" t="str">
        <f t="shared" si="90"/>
        <v>Lower</v>
      </c>
      <c r="L224" s="2" t="str">
        <f t="shared" si="91"/>
        <v>Lower</v>
      </c>
      <c r="M224" s="2" t="str">
        <f t="shared" si="92"/>
        <v>Lower</v>
      </c>
      <c r="N224" s="2" t="str">
        <f t="shared" si="93"/>
        <v>Lower</v>
      </c>
      <c r="O224" s="2" t="str">
        <f t="shared" si="94"/>
        <v>Lower</v>
      </c>
      <c r="P224" s="2" t="str">
        <f t="shared" si="95"/>
        <v>Lower</v>
      </c>
      <c r="R224" s="4">
        <f>DATE(2023,9,21)</f>
        <v>45190</v>
      </c>
      <c r="S224">
        <v>0.90398291813099607</v>
      </c>
      <c r="T224">
        <v>0.44089650617888509</v>
      </c>
      <c r="U224">
        <v>-0.18759928670304851</v>
      </c>
      <c r="V224">
        <v>1.3250777068652166E-2</v>
      </c>
      <c r="X224" s="4">
        <f>DATE(2023,9,21)</f>
        <v>45190</v>
      </c>
      <c r="Y224">
        <v>19.398615263448544</v>
      </c>
      <c r="Z224">
        <v>27.571188498803934</v>
      </c>
      <c r="AA224">
        <v>83.627499999999998</v>
      </c>
      <c r="AB224">
        <v>38.31</v>
      </c>
      <c r="AC224">
        <f t="shared" si="96"/>
        <v>5.2452650719567832E-3</v>
      </c>
      <c r="AD224">
        <f t="shared" si="97"/>
        <v>6.2594879170982026E-2</v>
      </c>
      <c r="AE224">
        <f t="shared" si="98"/>
        <v>5.734961409902524E-2</v>
      </c>
      <c r="AF224">
        <f t="shared" si="99"/>
        <v>0.34262541267091134</v>
      </c>
      <c r="AH224">
        <f t="shared" si="100"/>
        <v>-2.8614213354191016E-2</v>
      </c>
      <c r="AI224">
        <f t="shared" si="101"/>
        <v>0.17156520554513566</v>
      </c>
      <c r="AJ224">
        <f t="shared" si="102"/>
        <v>0.20017941889932667</v>
      </c>
      <c r="AK224">
        <f t="shared" si="103"/>
        <v>0.66328864732375092</v>
      </c>
      <c r="AM224">
        <f t="shared" si="104"/>
        <v>-5.011176499229289E-2</v>
      </c>
      <c r="AN224">
        <f t="shared" si="105"/>
        <v>0.10591172761277438</v>
      </c>
      <c r="AO224">
        <f t="shared" si="106"/>
        <v>0.15602349260506726</v>
      </c>
      <c r="AP224">
        <f t="shared" si="107"/>
        <v>0.39749249586676239</v>
      </c>
      <c r="AR224">
        <f t="shared" si="108"/>
        <v>-2.7247874493137241E-2</v>
      </c>
      <c r="AS224">
        <f t="shared" si="109"/>
        <v>-1.2578364026738325</v>
      </c>
      <c r="AT224">
        <f t="shared" si="110"/>
        <v>-1.2305885281806952</v>
      </c>
      <c r="AU224">
        <f t="shared" si="111"/>
        <v>-1.0844873543315268</v>
      </c>
    </row>
    <row r="225" spans="1:47" x14ac:dyDescent="0.25">
      <c r="A225" s="4">
        <f>DATE(2023,9,20)</f>
        <v>45189</v>
      </c>
      <c r="B225">
        <v>-6.5295655630608573E-2</v>
      </c>
      <c r="C225">
        <v>45.208834137987189</v>
      </c>
      <c r="D225">
        <v>0.39199397290195226</v>
      </c>
      <c r="E225">
        <f t="shared" si="84"/>
        <v>-5.5294736295505194E-2</v>
      </c>
      <c r="F225">
        <f t="shared" si="85"/>
        <v>-0.22760044923457259</v>
      </c>
      <c r="G225">
        <f t="shared" si="86"/>
        <v>-0.13516180844781539</v>
      </c>
      <c r="H225" s="2" t="str">
        <f t="shared" si="87"/>
        <v>Lower</v>
      </c>
      <c r="I225" s="2" t="str">
        <f t="shared" si="88"/>
        <v>Higher</v>
      </c>
      <c r="J225" s="2" t="str">
        <f t="shared" si="89"/>
        <v>Lower</v>
      </c>
      <c r="K225" s="2" t="str">
        <f t="shared" si="90"/>
        <v>Lower</v>
      </c>
      <c r="L225" s="2" t="str">
        <f t="shared" si="91"/>
        <v>Lower</v>
      </c>
      <c r="M225" s="2" t="str">
        <f t="shared" si="92"/>
        <v>Lower</v>
      </c>
      <c r="N225" s="2" t="str">
        <f t="shared" si="93"/>
        <v>Lower</v>
      </c>
      <c r="O225" s="2" t="str">
        <f t="shared" si="94"/>
        <v>Lower</v>
      </c>
      <c r="P225" s="2" t="str">
        <f t="shared" si="95"/>
        <v>Lower</v>
      </c>
      <c r="R225" s="4">
        <f>DATE(2023,9,20)</f>
        <v>45189</v>
      </c>
      <c r="S225">
        <v>0.40363430039405107</v>
      </c>
      <c r="T225">
        <v>0.42739957583698901</v>
      </c>
      <c r="U225">
        <v>-0.16750378748581082</v>
      </c>
      <c r="V225">
        <v>1.3103640309730963E-3</v>
      </c>
      <c r="X225" s="4">
        <f>DATE(2023,9,20)</f>
        <v>45189</v>
      </c>
      <c r="Y225">
        <v>15.404158618920826</v>
      </c>
      <c r="Z225">
        <v>29.778284433230002</v>
      </c>
      <c r="AA225">
        <v>82.272500000000008</v>
      </c>
      <c r="AB225">
        <v>37.378249999999994</v>
      </c>
      <c r="AC225">
        <f t="shared" si="96"/>
        <v>-4.1846140268171819E-3</v>
      </c>
      <c r="AD225">
        <f t="shared" si="97"/>
        <v>1.7774227001843886E-2</v>
      </c>
      <c r="AE225">
        <f t="shared" si="98"/>
        <v>2.1958841028661066E-2</v>
      </c>
      <c r="AF225">
        <f t="shared" si="99"/>
        <v>0.15061729058319201</v>
      </c>
      <c r="AH225">
        <f t="shared" si="100"/>
        <v>-7.3050385719075447E-2</v>
      </c>
      <c r="AI225">
        <f t="shared" si="101"/>
        <v>-2.0056622393223991E-2</v>
      </c>
      <c r="AJ225">
        <f t="shared" si="102"/>
        <v>5.2993763325851456E-2</v>
      </c>
      <c r="AK225">
        <f t="shared" si="103"/>
        <v>0.22780374073666393</v>
      </c>
      <c r="AM225">
        <f t="shared" si="104"/>
        <v>-6.7498749877017247E-2</v>
      </c>
      <c r="AN225">
        <f t="shared" si="105"/>
        <v>9.142509841763348E-2</v>
      </c>
      <c r="AO225">
        <f t="shared" si="106"/>
        <v>0.15892384829465073</v>
      </c>
      <c r="AP225">
        <f t="shared" si="107"/>
        <v>0.40028627647688581</v>
      </c>
      <c r="AR225">
        <f t="shared" si="108"/>
        <v>-5.4174369067971066E-2</v>
      </c>
      <c r="AS225">
        <f t="shared" si="109"/>
        <v>-1.258001513857361</v>
      </c>
      <c r="AT225">
        <f t="shared" si="110"/>
        <v>-1.20382714478939</v>
      </c>
      <c r="AU225">
        <f t="shared" si="111"/>
        <v>-1.0636663276952008</v>
      </c>
    </row>
    <row r="226" spans="1:47" x14ac:dyDescent="0.25">
      <c r="A226" s="4">
        <f>DATE(2023,9,19)</f>
        <v>45188</v>
      </c>
      <c r="B226">
        <v>-0.19863477879764946</v>
      </c>
      <c r="C226">
        <v>37.61380861869511</v>
      </c>
      <c r="D226">
        <v>0.17423531396181391</v>
      </c>
      <c r="E226">
        <f t="shared" si="84"/>
        <v>-0.27862388373275909</v>
      </c>
      <c r="F226">
        <f t="shared" si="85"/>
        <v>-1.0946349604694865</v>
      </c>
      <c r="G226">
        <f t="shared" si="86"/>
        <v>-0.87544388519722727</v>
      </c>
      <c r="H226" s="2" t="str">
        <f t="shared" si="87"/>
        <v>Lower</v>
      </c>
      <c r="I226" s="2" t="str">
        <f t="shared" si="88"/>
        <v>Higher</v>
      </c>
      <c r="J226" s="2" t="str">
        <f t="shared" si="89"/>
        <v>Lower</v>
      </c>
      <c r="K226" s="2" t="str">
        <f t="shared" si="90"/>
        <v>Lower</v>
      </c>
      <c r="L226" s="2" t="str">
        <f t="shared" si="91"/>
        <v>Lower</v>
      </c>
      <c r="M226" s="2" t="str">
        <f t="shared" si="92"/>
        <v>Lower</v>
      </c>
      <c r="N226" s="2" t="str">
        <f t="shared" si="93"/>
        <v>Lower</v>
      </c>
      <c r="O226" s="2" t="str">
        <f t="shared" si="94"/>
        <v>Lower</v>
      </c>
      <c r="P226" s="2" t="str">
        <f t="shared" si="95"/>
        <v>Lower</v>
      </c>
      <c r="R226" s="4">
        <f>DATE(2023,9,19)</f>
        <v>45188</v>
      </c>
      <c r="S226">
        <v>0.38392407740394224</v>
      </c>
      <c r="T226">
        <v>0.43616865320569786</v>
      </c>
      <c r="U226">
        <v>-0.15019154952845012</v>
      </c>
      <c r="V226">
        <v>-1.3558552911987402E-2</v>
      </c>
      <c r="X226" s="4">
        <f>DATE(2023,9,19)</f>
        <v>45188</v>
      </c>
      <c r="Y226">
        <v>11.958729279173291</v>
      </c>
      <c r="Z226">
        <v>28.097198226124597</v>
      </c>
      <c r="AA226">
        <v>81.175000000000011</v>
      </c>
      <c r="AB226">
        <v>36.275999999999996</v>
      </c>
      <c r="AC226">
        <f t="shared" si="96"/>
        <v>-2.6143805740704868E-3</v>
      </c>
      <c r="AD226">
        <f t="shared" si="97"/>
        <v>3.3582212249375097E-2</v>
      </c>
      <c r="AE226">
        <f t="shared" si="98"/>
        <v>3.6196592823445582E-2</v>
      </c>
      <c r="AF226">
        <f t="shared" si="99"/>
        <v>0.22593328306127386</v>
      </c>
      <c r="AH226">
        <f t="shared" si="100"/>
        <v>-9.746369548046184E-2</v>
      </c>
      <c r="AI226">
        <f t="shared" si="101"/>
        <v>-0.15758859876333409</v>
      </c>
      <c r="AJ226">
        <f t="shared" si="102"/>
        <v>-6.0124903282872247E-2</v>
      </c>
      <c r="AK226">
        <f t="shared" si="103"/>
        <v>-0.10675129706085029</v>
      </c>
      <c r="AM226">
        <f t="shared" si="104"/>
        <v>-8.2687805023576699E-2</v>
      </c>
      <c r="AN226">
        <f t="shared" si="105"/>
        <v>6.5766900530215305E-2</v>
      </c>
      <c r="AO226">
        <f t="shared" si="106"/>
        <v>0.148454705553792</v>
      </c>
      <c r="AP226">
        <f t="shared" si="107"/>
        <v>0.37995590150517061</v>
      </c>
      <c r="AR226">
        <f t="shared" si="108"/>
        <v>-8.8060513344035335E-2</v>
      </c>
      <c r="AS226">
        <f t="shared" si="109"/>
        <v>-1.3326784383740182</v>
      </c>
      <c r="AT226">
        <f t="shared" si="110"/>
        <v>-1.2446179250299829</v>
      </c>
      <c r="AU226">
        <f t="shared" si="111"/>
        <v>-1.105840434979509</v>
      </c>
    </row>
    <row r="227" spans="1:47" x14ac:dyDescent="0.25">
      <c r="A227" s="4">
        <f>DATE(2023,9,18)</f>
        <v>45187</v>
      </c>
      <c r="B227">
        <v>-0.21687522472889054</v>
      </c>
      <c r="C227">
        <v>35.566452892808535</v>
      </c>
      <c r="D227">
        <v>0.12781012119376317</v>
      </c>
      <c r="E227">
        <f t="shared" si="84"/>
        <v>-0.29122846040381872</v>
      </c>
      <c r="F227">
        <f t="shared" si="85"/>
        <v>-1.3397453114970537</v>
      </c>
      <c r="G227">
        <f t="shared" si="86"/>
        <v>-1.0364898401120242</v>
      </c>
      <c r="H227" s="2" t="str">
        <f t="shared" si="87"/>
        <v>Lower</v>
      </c>
      <c r="I227" s="2" t="str">
        <f t="shared" si="88"/>
        <v>Higher</v>
      </c>
      <c r="J227" s="2" t="str">
        <f t="shared" si="89"/>
        <v>Lower</v>
      </c>
      <c r="K227" s="2" t="str">
        <f t="shared" si="90"/>
        <v>Lower</v>
      </c>
      <c r="L227" s="2" t="str">
        <f t="shared" si="91"/>
        <v>Lower</v>
      </c>
      <c r="M227" s="2" t="str">
        <f t="shared" si="92"/>
        <v>Lower</v>
      </c>
      <c r="N227" s="2" t="str">
        <f t="shared" si="93"/>
        <v>Lower</v>
      </c>
      <c r="O227" s="2" t="str">
        <f t="shared" si="94"/>
        <v>Lower</v>
      </c>
      <c r="P227" s="2" t="str">
        <f t="shared" si="95"/>
        <v>Lower</v>
      </c>
      <c r="R227" s="4">
        <f>DATE(2023,9,18)</f>
        <v>45187</v>
      </c>
      <c r="S227">
        <v>0.79922726564391433</v>
      </c>
      <c r="T227">
        <v>0.49826178106966101</v>
      </c>
      <c r="U227">
        <v>-0.12715631275471392</v>
      </c>
      <c r="V227">
        <v>-3.7330023725814995E-2</v>
      </c>
      <c r="X227" s="4">
        <f>DATE(2023,9,18)</f>
        <v>45187</v>
      </c>
      <c r="Y227">
        <v>12.464088125717096</v>
      </c>
      <c r="Z227">
        <v>28.00565265510717</v>
      </c>
      <c r="AA227">
        <v>81.267499999999998</v>
      </c>
      <c r="AB227">
        <v>34.846249999999998</v>
      </c>
      <c r="AC227">
        <f t="shared" si="96"/>
        <v>-7.0199390100758449E-3</v>
      </c>
      <c r="AD227">
        <f t="shared" si="97"/>
        <v>-3.9569713092679482E-2</v>
      </c>
      <c r="AE227">
        <f t="shared" si="98"/>
        <v>-3.2549774082603636E-2</v>
      </c>
      <c r="AF227">
        <f t="shared" si="99"/>
        <v>-0.14577501495041356</v>
      </c>
      <c r="AH227">
        <f t="shared" si="100"/>
        <v>-7.7685408968969638E-2</v>
      </c>
      <c r="AI227">
        <f t="shared" si="101"/>
        <v>-0.14363017225922717</v>
      </c>
      <c r="AJ227">
        <f t="shared" si="102"/>
        <v>-6.594476329025753E-2</v>
      </c>
      <c r="AK227">
        <f t="shared" si="103"/>
        <v>-0.12595626346090386</v>
      </c>
      <c r="AM227">
        <f t="shared" si="104"/>
        <v>-6.8420523274377851E-2</v>
      </c>
      <c r="AN227">
        <f t="shared" si="105"/>
        <v>6.793777053986727E-2</v>
      </c>
      <c r="AO227">
        <f t="shared" si="106"/>
        <v>0.13635829381424514</v>
      </c>
      <c r="AP227">
        <f t="shared" si="107"/>
        <v>0.35678188322484317</v>
      </c>
      <c r="AR227">
        <f t="shared" si="108"/>
        <v>-9.6827582012769323E-2</v>
      </c>
      <c r="AS227">
        <f t="shared" si="109"/>
        <v>-1.3660382106152118</v>
      </c>
      <c r="AT227">
        <f t="shared" si="110"/>
        <v>-1.2692106286024425</v>
      </c>
      <c r="AU227">
        <f t="shared" si="111"/>
        <v>-1.1330051080768808</v>
      </c>
    </row>
    <row r="228" spans="1:47" x14ac:dyDescent="0.25">
      <c r="A228" s="4">
        <f>DATE(2023,9,15)</f>
        <v>45184</v>
      </c>
      <c r="B228">
        <v>-0.17184258347957848</v>
      </c>
      <c r="C228">
        <v>40.18130965088298</v>
      </c>
      <c r="D228">
        <v>0.2482514780335372</v>
      </c>
      <c r="E228">
        <f t="shared" si="84"/>
        <v>-0.19087314034640701</v>
      </c>
      <c r="F228">
        <f t="shared" si="85"/>
        <v>-0.81622124946477015</v>
      </c>
      <c r="G228">
        <f t="shared" si="86"/>
        <v>-0.62232507497316691</v>
      </c>
      <c r="H228" s="2" t="str">
        <f t="shared" si="87"/>
        <v>Lower</v>
      </c>
      <c r="I228" s="2" t="str">
        <f t="shared" si="88"/>
        <v>Higher</v>
      </c>
      <c r="J228" s="2" t="str">
        <f t="shared" si="89"/>
        <v>Lower</v>
      </c>
      <c r="K228" s="2" t="str">
        <f t="shared" si="90"/>
        <v>Lower</v>
      </c>
      <c r="L228" s="2" t="str">
        <f t="shared" si="91"/>
        <v>Lower</v>
      </c>
      <c r="M228" s="2" t="str">
        <f t="shared" si="92"/>
        <v>Higher</v>
      </c>
      <c r="N228" s="2" t="str">
        <f t="shared" si="93"/>
        <v>Lower</v>
      </c>
      <c r="O228" s="2" t="str">
        <f t="shared" si="94"/>
        <v>Lower</v>
      </c>
      <c r="P228" s="2" t="str">
        <f t="shared" si="95"/>
        <v>Lower</v>
      </c>
      <c r="R228" s="4">
        <f>DATE(2023,9,15)</f>
        <v>45184</v>
      </c>
      <c r="S228">
        <v>0.63037828812810692</v>
      </c>
      <c r="T228">
        <v>0.49970633866603975</v>
      </c>
      <c r="U228">
        <v>-0.10949233684221861</v>
      </c>
      <c r="V228">
        <v>-6.5184611218058505E-2</v>
      </c>
      <c r="X228" s="4">
        <f>DATE(2023,9,15)</f>
        <v>45184</v>
      </c>
      <c r="Y228">
        <v>13.341215918951251</v>
      </c>
      <c r="Z228">
        <v>29.668047257614745</v>
      </c>
      <c r="AA228">
        <v>82.615000000000009</v>
      </c>
      <c r="AB228">
        <v>36.122749999999996</v>
      </c>
      <c r="AC228">
        <f t="shared" si="96"/>
        <v>6.4968806804948888E-3</v>
      </c>
      <c r="AD228">
        <f t="shared" si="97"/>
        <v>3.2568149618440498E-2</v>
      </c>
      <c r="AE228">
        <f t="shared" si="98"/>
        <v>2.6071268937945608E-2</v>
      </c>
      <c r="AF228">
        <f t="shared" si="99"/>
        <v>0.16633558008237201</v>
      </c>
      <c r="AH228">
        <f t="shared" si="100"/>
        <v>-6.4224515539638302E-2</v>
      </c>
      <c r="AI228">
        <f t="shared" si="101"/>
        <v>-1.2134451686006366E-2</v>
      </c>
      <c r="AJ228">
        <f t="shared" si="102"/>
        <v>5.2090063853631935E-2</v>
      </c>
      <c r="AK228">
        <f t="shared" si="103"/>
        <v>0.21764989926514675</v>
      </c>
      <c r="AM228">
        <f t="shared" si="104"/>
        <v>-6.940433436428313E-2</v>
      </c>
      <c r="AN228">
        <f t="shared" si="105"/>
        <v>0.1026182411242586</v>
      </c>
      <c r="AO228">
        <f t="shared" si="106"/>
        <v>0.17202257548854172</v>
      </c>
      <c r="AP228">
        <f t="shared" si="107"/>
        <v>0.41631884218093851</v>
      </c>
      <c r="AR228">
        <f t="shared" si="108"/>
        <v>-6.1923214715775804E-2</v>
      </c>
      <c r="AS228">
        <f t="shared" si="109"/>
        <v>-1.3483636917505415</v>
      </c>
      <c r="AT228">
        <f t="shared" si="110"/>
        <v>-1.2864404770347657</v>
      </c>
      <c r="AU228">
        <f t="shared" si="111"/>
        <v>-1.1536849121342423</v>
      </c>
    </row>
    <row r="229" spans="1:47" x14ac:dyDescent="0.25">
      <c r="A229" s="4">
        <f>DATE(2023,9,14)</f>
        <v>45183</v>
      </c>
      <c r="B229">
        <v>-0.21979487354762672</v>
      </c>
      <c r="C229">
        <v>43.03868756763277</v>
      </c>
      <c r="D229">
        <v>0.30986386401741639</v>
      </c>
      <c r="E229">
        <f t="shared" si="84"/>
        <v>-0.25031594283921638</v>
      </c>
      <c r="F229">
        <f t="shared" si="85"/>
        <v>-0.48395657471599662</v>
      </c>
      <c r="G229">
        <f t="shared" si="86"/>
        <v>-0.40188284933592733</v>
      </c>
      <c r="H229" s="2" t="str">
        <f t="shared" si="87"/>
        <v>Lower</v>
      </c>
      <c r="I229" s="2" t="str">
        <f t="shared" si="88"/>
        <v>Higher</v>
      </c>
      <c r="J229" s="2" t="str">
        <f t="shared" si="89"/>
        <v>Lower</v>
      </c>
      <c r="K229" s="2" t="str">
        <f t="shared" si="90"/>
        <v>Lower</v>
      </c>
      <c r="L229" s="2" t="str">
        <f t="shared" si="91"/>
        <v>Lower</v>
      </c>
      <c r="M229" s="2" t="str">
        <f t="shared" si="92"/>
        <v>Higher</v>
      </c>
      <c r="N229" s="2" t="str">
        <f t="shared" si="93"/>
        <v>Lower</v>
      </c>
      <c r="O229" s="2" t="str">
        <f t="shared" si="94"/>
        <v>Lower</v>
      </c>
      <c r="P229" s="2" t="str">
        <f t="shared" si="95"/>
        <v>Lower</v>
      </c>
      <c r="R229" s="4">
        <f>DATE(2023,9,14)</f>
        <v>45183</v>
      </c>
      <c r="S229">
        <v>0.70829631432226059</v>
      </c>
      <c r="T229">
        <v>0.51489870103068014</v>
      </c>
      <c r="U229">
        <v>-6.2288323454408809E-2</v>
      </c>
      <c r="V229">
        <v>-9.0707783711999598E-2</v>
      </c>
      <c r="X229" s="4">
        <f>DATE(2023,9,14)</f>
        <v>45183</v>
      </c>
      <c r="Y229">
        <v>14.502239377754247</v>
      </c>
      <c r="Z229">
        <v>30.943015127251549</v>
      </c>
      <c r="AA229">
        <v>83.19</v>
      </c>
      <c r="AB229">
        <v>35.985500000000002</v>
      </c>
      <c r="AC229">
        <f t="shared" si="96"/>
        <v>-1.8029387951134674E-4</v>
      </c>
      <c r="AD229">
        <f t="shared" si="97"/>
        <v>0.10812625168925646</v>
      </c>
      <c r="AE229">
        <f t="shared" si="98"/>
        <v>0.10830654556876781</v>
      </c>
      <c r="AF229">
        <f t="shared" si="99"/>
        <v>0.60676325762299499</v>
      </c>
      <c r="AH229">
        <f t="shared" si="100"/>
        <v>-6.5400257561523095E-2</v>
      </c>
      <c r="AI229">
        <f t="shared" si="101"/>
        <v>-3.6547263883678432E-2</v>
      </c>
      <c r="AJ229">
        <f t="shared" si="102"/>
        <v>2.8852993677844663E-2</v>
      </c>
      <c r="AK229">
        <f t="shared" si="103"/>
        <v>0.14794938142716166</v>
      </c>
      <c r="AM229">
        <f t="shared" si="104"/>
        <v>-7.8460275117229916E-2</v>
      </c>
      <c r="AN229">
        <f t="shared" si="105"/>
        <v>3.3613641896281153E-2</v>
      </c>
      <c r="AO229">
        <f t="shared" si="106"/>
        <v>0.11207391701351108</v>
      </c>
      <c r="AP229">
        <f t="shared" si="107"/>
        <v>0.30983833382881321</v>
      </c>
      <c r="AR229">
        <f t="shared" si="108"/>
        <v>-6.323041747554714E-2</v>
      </c>
      <c r="AS229">
        <f t="shared" si="109"/>
        <v>-1.3505877729804805</v>
      </c>
      <c r="AT229">
        <f t="shared" si="110"/>
        <v>-1.2873573555049334</v>
      </c>
      <c r="AU229">
        <f t="shared" si="111"/>
        <v>-1.1590360440308054</v>
      </c>
    </row>
    <row r="230" spans="1:47" x14ac:dyDescent="0.25">
      <c r="A230" s="4">
        <f>DATE(2023,9,13)</f>
        <v>45182</v>
      </c>
      <c r="B230">
        <v>-0.34551300270658536</v>
      </c>
      <c r="C230">
        <v>42.523274476827943</v>
      </c>
      <c r="D230">
        <v>0.2781596566797977</v>
      </c>
      <c r="E230">
        <f t="shared" si="84"/>
        <v>-0.43978687274823947</v>
      </c>
      <c r="F230">
        <f t="shared" si="85"/>
        <v>-0.53609475977356047</v>
      </c>
      <c r="G230">
        <f t="shared" si="86"/>
        <v>-0.49148932785503624</v>
      </c>
      <c r="H230" s="2" t="str">
        <f t="shared" si="87"/>
        <v>Lower</v>
      </c>
      <c r="I230" s="2" t="str">
        <f t="shared" si="88"/>
        <v>Higher</v>
      </c>
      <c r="J230" s="2" t="str">
        <f t="shared" si="89"/>
        <v>Lower</v>
      </c>
      <c r="K230" s="2" t="str">
        <f t="shared" si="90"/>
        <v>Higher</v>
      </c>
      <c r="L230" s="2" t="str">
        <f t="shared" si="91"/>
        <v>Lower</v>
      </c>
      <c r="M230" s="2" t="str">
        <f t="shared" si="92"/>
        <v>Higher</v>
      </c>
      <c r="N230" s="2" t="str">
        <f t="shared" si="93"/>
        <v>Lower</v>
      </c>
      <c r="O230" s="2" t="str">
        <f t="shared" si="94"/>
        <v>Lower</v>
      </c>
      <c r="P230" s="2" t="str">
        <f t="shared" si="95"/>
        <v>Lower</v>
      </c>
      <c r="R230" s="4">
        <f>DATE(2023,9,13)</f>
        <v>45182</v>
      </c>
      <c r="S230">
        <v>-4.4973872468954557E-3</v>
      </c>
      <c r="T230">
        <v>0.53683064073072462</v>
      </c>
      <c r="U230">
        <v>2.3324950391982523E-2</v>
      </c>
      <c r="V230">
        <v>-0.1234341723351844</v>
      </c>
      <c r="X230" s="4">
        <f>DATE(2023,9,13)</f>
        <v>45182</v>
      </c>
      <c r="Y230">
        <v>14.640737042289862</v>
      </c>
      <c r="Z230">
        <v>32.691598501374521</v>
      </c>
      <c r="AA230">
        <v>82.617500000000007</v>
      </c>
      <c r="AB230">
        <v>36.719750000000005</v>
      </c>
      <c r="AC230">
        <f t="shared" si="96"/>
        <v>-1.4330809617196748E-2</v>
      </c>
      <c r="AD230">
        <f t="shared" si="97"/>
        <v>0.14502840880396375</v>
      </c>
      <c r="AE230">
        <f t="shared" si="98"/>
        <v>0.15935921842116049</v>
      </c>
      <c r="AF230">
        <f t="shared" si="99"/>
        <v>0.88192903503369569</v>
      </c>
      <c r="AH230">
        <f t="shared" si="100"/>
        <v>-6.498853636626864E-2</v>
      </c>
      <c r="AI230">
        <f t="shared" si="101"/>
        <v>-5.096031185175675E-2</v>
      </c>
      <c r="AJ230">
        <f t="shared" si="102"/>
        <v>1.402822451451189E-2</v>
      </c>
      <c r="AK230">
        <f t="shared" si="103"/>
        <v>0.10348432681878171</v>
      </c>
      <c r="AM230">
        <f t="shared" si="104"/>
        <v>-0.10454619199335469</v>
      </c>
      <c r="AN230">
        <f t="shared" si="105"/>
        <v>-1.5604839940033734E-2</v>
      </c>
      <c r="AO230">
        <f t="shared" si="106"/>
        <v>8.894135205332096E-2</v>
      </c>
      <c r="AP230">
        <f t="shared" si="107"/>
        <v>0.26760816949406285</v>
      </c>
      <c r="AR230">
        <f t="shared" si="108"/>
        <v>-6.0013896717216547E-2</v>
      </c>
      <c r="AS230">
        <f t="shared" si="109"/>
        <v>-1.4022744934237787</v>
      </c>
      <c r="AT230">
        <f t="shared" si="110"/>
        <v>-1.3422605967065622</v>
      </c>
      <c r="AU230">
        <f t="shared" si="111"/>
        <v>-1.2149521232233957</v>
      </c>
    </row>
    <row r="231" spans="1:47" x14ac:dyDescent="0.25">
      <c r="A231" s="4">
        <f>DATE(2023,9,12)</f>
        <v>45181</v>
      </c>
      <c r="B231">
        <v>-0.49191874911062183</v>
      </c>
      <c r="C231">
        <v>32.585171033625812</v>
      </c>
      <c r="D231">
        <v>6.1439730048968202E-2</v>
      </c>
      <c r="E231">
        <f t="shared" si="84"/>
        <v>-0.66885235876862825</v>
      </c>
      <c r="F231">
        <f t="shared" si="85"/>
        <v>-1.6709703242296836</v>
      </c>
      <c r="G231">
        <f t="shared" si="86"/>
        <v>-1.192171921734466</v>
      </c>
      <c r="H231" s="2" t="str">
        <f t="shared" si="87"/>
        <v>Lower</v>
      </c>
      <c r="I231" s="2" t="str">
        <f t="shared" si="88"/>
        <v>Higher</v>
      </c>
      <c r="J231" s="2" t="str">
        <f t="shared" si="89"/>
        <v>Lower</v>
      </c>
      <c r="K231" s="2" t="str">
        <f t="shared" si="90"/>
        <v>Higher</v>
      </c>
      <c r="L231" s="2" t="str">
        <f t="shared" si="91"/>
        <v>Lower</v>
      </c>
      <c r="M231" s="2" t="str">
        <f t="shared" si="92"/>
        <v>Lower</v>
      </c>
      <c r="N231" s="2" t="str">
        <f t="shared" si="93"/>
        <v>Lower</v>
      </c>
      <c r="O231" s="2" t="str">
        <f t="shared" si="94"/>
        <v>Lower</v>
      </c>
      <c r="P231" s="2" t="str">
        <f t="shared" si="95"/>
        <v>Lower</v>
      </c>
      <c r="R231" s="4">
        <f>DATE(2023,9,12)</f>
        <v>45181</v>
      </c>
      <c r="S231">
        <v>-0.90933654088128246</v>
      </c>
      <c r="T231">
        <v>0.5269439543775416</v>
      </c>
      <c r="U231">
        <v>6.0283918974996652E-2</v>
      </c>
      <c r="V231">
        <v>-0.15421614687311103</v>
      </c>
      <c r="X231" s="4">
        <f>DATE(2023,9,12)</f>
        <v>45181</v>
      </c>
      <c r="Y231">
        <v>10.866510047030326</v>
      </c>
      <c r="Z231">
        <v>31.961111710372496</v>
      </c>
      <c r="AA231">
        <v>81.387499999999989</v>
      </c>
      <c r="AB231">
        <v>35.078000000000003</v>
      </c>
      <c r="AC231">
        <f t="shared" si="96"/>
        <v>-3.1803411915291298E-2</v>
      </c>
      <c r="AD231">
        <f t="shared" si="97"/>
        <v>1.066877405899099E-2</v>
      </c>
      <c r="AE231">
        <f t="shared" si="98"/>
        <v>4.2472185974282289E-2</v>
      </c>
      <c r="AF231">
        <f t="shared" si="99"/>
        <v>0.25382105276819245</v>
      </c>
      <c r="AH231">
        <f t="shared" si="100"/>
        <v>-7.115916107647266E-2</v>
      </c>
      <c r="AI231">
        <f t="shared" si="101"/>
        <v>-9.5198733634653254E-2</v>
      </c>
      <c r="AJ231">
        <f t="shared" si="102"/>
        <v>-2.4039572558180594E-2</v>
      </c>
      <c r="AK231">
        <f t="shared" si="103"/>
        <v>-8.4319502544430835E-3</v>
      </c>
      <c r="AM231">
        <f t="shared" si="104"/>
        <v>-0.15083210486644461</v>
      </c>
      <c r="AN231">
        <f t="shared" si="105"/>
        <v>-5.7699125779937313E-2</v>
      </c>
      <c r="AO231">
        <f t="shared" si="106"/>
        <v>9.3132979086507292E-2</v>
      </c>
      <c r="AP231">
        <f t="shared" si="107"/>
        <v>0.27310984969293534</v>
      </c>
      <c r="AR231">
        <f t="shared" si="108"/>
        <v>-7.489972480857908E-2</v>
      </c>
      <c r="AS231">
        <f t="shared" si="109"/>
        <v>-1.3732095259384822</v>
      </c>
      <c r="AT231">
        <f t="shared" si="110"/>
        <v>-1.2983098011299032</v>
      </c>
      <c r="AU231">
        <f t="shared" si="111"/>
        <v>-1.1783656794566706</v>
      </c>
    </row>
    <row r="232" spans="1:47" x14ac:dyDescent="0.25">
      <c r="A232" s="4">
        <f>DATE(2023,9,11)</f>
        <v>45180</v>
      </c>
      <c r="B232">
        <v>-0.47503512053395913</v>
      </c>
      <c r="C232">
        <v>34.207281334409615</v>
      </c>
      <c r="D232">
        <v>5.4446953563106852E-2</v>
      </c>
      <c r="E232">
        <f t="shared" si="84"/>
        <v>-0.64040427668834443</v>
      </c>
      <c r="F232">
        <f t="shared" si="85"/>
        <v>-1.5139497579667407</v>
      </c>
      <c r="G232">
        <f t="shared" si="86"/>
        <v>-1.216771131685658</v>
      </c>
      <c r="H232" s="2" t="str">
        <f t="shared" si="87"/>
        <v>Lower</v>
      </c>
      <c r="I232" s="2" t="str">
        <f t="shared" si="88"/>
        <v>Higher</v>
      </c>
      <c r="J232" s="2" t="str">
        <f t="shared" si="89"/>
        <v>Lower</v>
      </c>
      <c r="K232" s="2" t="str">
        <f t="shared" si="90"/>
        <v>Higher</v>
      </c>
      <c r="L232" s="2" t="str">
        <f t="shared" si="91"/>
        <v>Lower</v>
      </c>
      <c r="M232" s="2" t="str">
        <f t="shared" si="92"/>
        <v>Higher</v>
      </c>
      <c r="N232" s="2" t="str">
        <f t="shared" si="93"/>
        <v>Lower</v>
      </c>
      <c r="O232" s="2" t="str">
        <f t="shared" si="94"/>
        <v>Lower</v>
      </c>
      <c r="P232" s="2" t="str">
        <f t="shared" si="95"/>
        <v>Lower</v>
      </c>
      <c r="R232" s="4">
        <f>DATE(2023,9,11)</f>
        <v>45180</v>
      </c>
      <c r="S232">
        <v>-0.6322640980961024</v>
      </c>
      <c r="T232">
        <v>0.50000560975908948</v>
      </c>
      <c r="U232">
        <v>0.14227829899732597</v>
      </c>
      <c r="V232">
        <v>-0.1823565705557203</v>
      </c>
      <c r="X232" s="4">
        <f>DATE(2023,9,11)</f>
        <v>45180</v>
      </c>
      <c r="Y232">
        <v>11.448784375244593</v>
      </c>
      <c r="Z232">
        <v>33.505291570719621</v>
      </c>
      <c r="AA232">
        <v>81.84</v>
      </c>
      <c r="AB232">
        <v>36.252749999999999</v>
      </c>
      <c r="AC232">
        <f t="shared" si="96"/>
        <v>-3.1127056271560503E-2</v>
      </c>
      <c r="AD232" t="str">
        <f t="shared" si="97"/>
        <v/>
      </c>
      <c r="AE232" t="str">
        <f t="shared" si="98"/>
        <v/>
      </c>
      <c r="AF232" t="str">
        <f t="shared" si="99"/>
        <v/>
      </c>
      <c r="AH232">
        <f t="shared" si="100"/>
        <v>-6.5786367619776104E-2</v>
      </c>
      <c r="AI232">
        <f t="shared" si="101"/>
        <v>4.0553085565000799E-2</v>
      </c>
      <c r="AJ232">
        <f t="shared" si="102"/>
        <v>0.1063394531847769</v>
      </c>
      <c r="AK232">
        <f t="shared" si="103"/>
        <v>0.37068868786533055</v>
      </c>
      <c r="AM232">
        <f t="shared" si="104"/>
        <v>-0.1181359656577393</v>
      </c>
      <c r="AN232" t="str">
        <f t="shared" si="105"/>
        <v/>
      </c>
      <c r="AO232" t="str">
        <f t="shared" si="106"/>
        <v/>
      </c>
      <c r="AP232" t="str">
        <f t="shared" si="107"/>
        <v/>
      </c>
      <c r="AR232">
        <f t="shared" si="108"/>
        <v>-6.2147238712866225E-2</v>
      </c>
      <c r="AS232">
        <f t="shared" si="109"/>
        <v>-1.312527418991519</v>
      </c>
      <c r="AT232">
        <f t="shared" si="110"/>
        <v>-1.2503801802786527</v>
      </c>
      <c r="AU232">
        <f t="shared" si="111"/>
        <v>-1.1377217403682043</v>
      </c>
    </row>
    <row r="233" spans="1:47" x14ac:dyDescent="0.25">
      <c r="A233" s="4">
        <f>DATE(2023,9,8)</f>
        <v>45177</v>
      </c>
      <c r="B233">
        <v>-0.45537515620551694</v>
      </c>
      <c r="C233">
        <v>33.506144513284923</v>
      </c>
      <c r="D233">
        <v>-3.108886618021833E-2</v>
      </c>
      <c r="E233">
        <f t="shared" si="84"/>
        <v>-0.61246113583584239</v>
      </c>
      <c r="F233">
        <f t="shared" si="85"/>
        <v>-1.6238748441063873</v>
      </c>
      <c r="G233">
        <f t="shared" si="86"/>
        <v>-1.5205785707603552</v>
      </c>
      <c r="H233" s="2" t="str">
        <f t="shared" si="87"/>
        <v>Lower</v>
      </c>
      <c r="I233" s="2" t="str">
        <f t="shared" si="88"/>
        <v>Higher</v>
      </c>
      <c r="J233" s="2" t="str">
        <f t="shared" si="89"/>
        <v>Lower</v>
      </c>
      <c r="K233" s="2" t="str">
        <f t="shared" si="90"/>
        <v>Higher</v>
      </c>
      <c r="L233" s="2" t="str">
        <f t="shared" si="91"/>
        <v>Lower</v>
      </c>
      <c r="M233" s="2" t="str">
        <f t="shared" si="92"/>
        <v>Higher</v>
      </c>
      <c r="N233" s="2" t="str">
        <f t="shared" si="93"/>
        <v>Lower</v>
      </c>
      <c r="O233" s="2" t="str">
        <f t="shared" si="94"/>
        <v>Lower</v>
      </c>
      <c r="P233" s="2" t="str">
        <f t="shared" si="95"/>
        <v>Lower</v>
      </c>
      <c r="R233" s="4">
        <f>DATE(2023,9,8)</f>
        <v>45177</v>
      </c>
      <c r="S233">
        <v>0.21957841380447915</v>
      </c>
      <c r="T233">
        <v>0.39324949864847891</v>
      </c>
      <c r="U233">
        <v>0.20457880411666904</v>
      </c>
      <c r="V233">
        <v>-0.21123497785235248</v>
      </c>
      <c r="X233" s="4">
        <f>DATE(2023,9,8)</f>
        <v>45177</v>
      </c>
      <c r="Y233">
        <v>12.008692837378504</v>
      </c>
      <c r="Z233">
        <v>33.982144078366971</v>
      </c>
      <c r="AA233">
        <v>82.08</v>
      </c>
      <c r="AB233">
        <v>34.965249999999997</v>
      </c>
      <c r="AC233">
        <f t="shared" si="96"/>
        <v>-4.0646540532613164E-2</v>
      </c>
      <c r="AD233">
        <f t="shared" si="97"/>
        <v>-2.0123482666542038E-2</v>
      </c>
      <c r="AE233">
        <f t="shared" si="98"/>
        <v>2.0523057866071125E-2</v>
      </c>
      <c r="AF233">
        <f t="shared" si="99"/>
        <v>0.13467998770759407</v>
      </c>
      <c r="AH233">
        <f t="shared" si="100"/>
        <v>-4.7756956315689811E-2</v>
      </c>
      <c r="AI233">
        <f t="shared" si="101"/>
        <v>-2.0830991040800807E-2</v>
      </c>
      <c r="AJ233">
        <f t="shared" si="102"/>
        <v>2.6925965274889004E-2</v>
      </c>
      <c r="AK233">
        <f t="shared" si="103"/>
        <v>0.13917520501965777</v>
      </c>
      <c r="AM233">
        <f t="shared" si="104"/>
        <v>-0.11518056183880167</v>
      </c>
      <c r="AN233">
        <f t="shared" si="105"/>
        <v>2.8282283008534805E-3</v>
      </c>
      <c r="AO233">
        <f t="shared" si="106"/>
        <v>0.11800879013965515</v>
      </c>
      <c r="AP233">
        <f t="shared" si="107"/>
        <v>0.31257735812828191</v>
      </c>
      <c r="AR233">
        <f t="shared" si="108"/>
        <v>-5.7552599188294182E-2</v>
      </c>
      <c r="AS233">
        <f t="shared" si="109"/>
        <v>-1.3550743891072339</v>
      </c>
      <c r="AT233">
        <f t="shared" si="110"/>
        <v>-1.2975217899189397</v>
      </c>
      <c r="AU233">
        <f t="shared" si="111"/>
        <v>-1.1858815385128509</v>
      </c>
    </row>
    <row r="234" spans="1:47" x14ac:dyDescent="0.25">
      <c r="A234" s="4">
        <f>DATE(2023,9,7)</f>
        <v>45176</v>
      </c>
      <c r="B234">
        <v>-0.36338633044133828</v>
      </c>
      <c r="C234">
        <v>37.533680564032252</v>
      </c>
      <c r="D234">
        <v>4.6323101776577766E-2</v>
      </c>
      <c r="E234">
        <f t="shared" si="84"/>
        <v>-0.46599294327512603</v>
      </c>
      <c r="F234">
        <f t="shared" si="85"/>
        <v>-1.1806704645828672</v>
      </c>
      <c r="G234">
        <f t="shared" si="86"/>
        <v>-1.2886292523841851</v>
      </c>
      <c r="H234" s="2" t="str">
        <f t="shared" si="87"/>
        <v>Lower</v>
      </c>
      <c r="I234" s="2" t="str">
        <f t="shared" si="88"/>
        <v>Higher</v>
      </c>
      <c r="J234" s="2" t="str">
        <f t="shared" si="89"/>
        <v>Lower</v>
      </c>
      <c r="K234" s="2" t="str">
        <f t="shared" si="90"/>
        <v>Higher</v>
      </c>
      <c r="L234" s="2" t="str">
        <f t="shared" si="91"/>
        <v>Lower</v>
      </c>
      <c r="M234" s="2" t="str">
        <f t="shared" si="92"/>
        <v>Higher</v>
      </c>
      <c r="N234" s="2" t="str">
        <f t="shared" si="93"/>
        <v>Lower</v>
      </c>
      <c r="O234" s="2" t="str">
        <f t="shared" si="94"/>
        <v>Lower</v>
      </c>
      <c r="P234" s="2" t="str">
        <f t="shared" si="95"/>
        <v>Lower</v>
      </c>
      <c r="R234" s="4">
        <f>DATE(2023,9,7)</f>
        <v>45176</v>
      </c>
      <c r="S234">
        <v>0.73419393395283117</v>
      </c>
      <c r="T234">
        <v>0.26638214799371335</v>
      </c>
      <c r="U234">
        <v>0.23191664093183756</v>
      </c>
      <c r="V234">
        <v>-0.23766503651905097</v>
      </c>
      <c r="X234" s="4">
        <f>DATE(2023,9,7)</f>
        <v>45176</v>
      </c>
      <c r="Y234">
        <v>13.228064413798968</v>
      </c>
      <c r="Z234">
        <v>28.886522811857247</v>
      </c>
      <c r="AA234">
        <v>83.205000000000013</v>
      </c>
      <c r="AB234">
        <v>32.297499999999999</v>
      </c>
      <c r="AC234">
        <f t="shared" si="96"/>
        <v>-3.4172932832178676E-2</v>
      </c>
      <c r="AD234">
        <f t="shared" si="97"/>
        <v>-0.10768152928598468</v>
      </c>
      <c r="AE234">
        <f t="shared" si="98"/>
        <v>-7.3508596453806002E-2</v>
      </c>
      <c r="AF234">
        <f t="shared" si="99"/>
        <v>-0.36910129151716675</v>
      </c>
      <c r="AH234">
        <f t="shared" si="100"/>
        <v>-1.5946924326430315E-2</v>
      </c>
      <c r="AI234">
        <f t="shared" si="101"/>
        <v>-0.15046381916143625</v>
      </c>
      <c r="AJ234">
        <f t="shared" si="102"/>
        <v>-0.13451689483500595</v>
      </c>
      <c r="AK234">
        <f t="shared" si="103"/>
        <v>-0.33052480984302063</v>
      </c>
      <c r="AM234">
        <f t="shared" si="104"/>
        <v>-0.11443227659478468</v>
      </c>
      <c r="AN234">
        <f t="shared" si="105"/>
        <v>-0.23350841313076937</v>
      </c>
      <c r="AO234">
        <f t="shared" si="106"/>
        <v>-0.11907613653598469</v>
      </c>
      <c r="AP234">
        <f t="shared" si="107"/>
        <v>-9.8040909687384173E-2</v>
      </c>
      <c r="AR234">
        <f t="shared" si="108"/>
        <v>-3.0303555686480653E-2</v>
      </c>
      <c r="AS234">
        <f t="shared" si="109"/>
        <v>-1.4613384999332162</v>
      </c>
      <c r="AT234">
        <f t="shared" si="110"/>
        <v>-1.4310349442467356</v>
      </c>
      <c r="AU234">
        <f t="shared" si="111"/>
        <v>-1.3157239080843546</v>
      </c>
    </row>
    <row r="235" spans="1:47" x14ac:dyDescent="0.25">
      <c r="A235" s="4">
        <f>DATE(2023,9,6)</f>
        <v>45175</v>
      </c>
      <c r="B235">
        <v>-0.32214656249695256</v>
      </c>
      <c r="C235">
        <v>39.869245358593496</v>
      </c>
      <c r="D235">
        <v>0.10366508752136447</v>
      </c>
      <c r="E235">
        <f t="shared" si="84"/>
        <v>-0.39819448831849369</v>
      </c>
      <c r="F235">
        <f t="shared" si="85"/>
        <v>-0.92699176687168061</v>
      </c>
      <c r="G235">
        <f t="shared" si="86"/>
        <v>-1.1181843423410818</v>
      </c>
      <c r="H235" s="2" t="str">
        <f t="shared" si="87"/>
        <v>Lower</v>
      </c>
      <c r="I235" s="2" t="str">
        <f t="shared" si="88"/>
        <v>Higher</v>
      </c>
      <c r="J235" s="2" t="str">
        <f t="shared" si="89"/>
        <v>Lower</v>
      </c>
      <c r="K235" s="2" t="str">
        <f t="shared" si="90"/>
        <v>Higher</v>
      </c>
      <c r="L235" s="2" t="str">
        <f t="shared" si="91"/>
        <v>Lower</v>
      </c>
      <c r="M235" s="2" t="str">
        <f t="shared" si="92"/>
        <v>Higher</v>
      </c>
      <c r="N235" s="2" t="str">
        <f t="shared" si="93"/>
        <v>Lower</v>
      </c>
      <c r="O235" s="2" t="str">
        <f t="shared" si="94"/>
        <v>Higher</v>
      </c>
      <c r="P235" s="2" t="str">
        <f t="shared" si="95"/>
        <v>Lower</v>
      </c>
      <c r="R235" s="4">
        <f>DATE(2023,9,6)</f>
        <v>45175</v>
      </c>
      <c r="S235">
        <v>0.79235448301570621</v>
      </c>
      <c r="T235">
        <v>0.16026302600702513</v>
      </c>
      <c r="U235">
        <v>0.23370400429614926</v>
      </c>
      <c r="V235">
        <v>-0.26112602399277884</v>
      </c>
      <c r="X235" s="4">
        <f>DATE(2023,9,6)</f>
        <v>45175</v>
      </c>
      <c r="Y235">
        <v>14.015110650881352</v>
      </c>
      <c r="Z235">
        <v>30.439963449908575</v>
      </c>
      <c r="AA235">
        <v>83.81</v>
      </c>
      <c r="AB235">
        <v>31.762500000000003</v>
      </c>
      <c r="AC235">
        <f t="shared" si="96"/>
        <v>-2.5242485973335348E-2</v>
      </c>
      <c r="AD235">
        <f t="shared" si="97"/>
        <v>-0.11482444584289317</v>
      </c>
      <c r="AE235">
        <f t="shared" si="98"/>
        <v>-8.9581959869557817E-2</v>
      </c>
      <c r="AF235">
        <f t="shared" si="99"/>
        <v>-0.45547684386407261</v>
      </c>
      <c r="AH235">
        <f t="shared" si="100"/>
        <v>-5.8888431191291392E-3</v>
      </c>
      <c r="AI235">
        <f t="shared" si="101"/>
        <v>-0.20553808346492361</v>
      </c>
      <c r="AJ235">
        <f t="shared" si="102"/>
        <v>-0.19964924034579448</v>
      </c>
      <c r="AK235">
        <f t="shared" si="103"/>
        <v>-0.52042975663473112</v>
      </c>
      <c r="AM235">
        <f t="shared" si="104"/>
        <v>-0.10043850713845855</v>
      </c>
      <c r="AN235">
        <f t="shared" si="105"/>
        <v>-0.17140027065483465</v>
      </c>
      <c r="AO235">
        <f t="shared" si="106"/>
        <v>-7.0961763516376106E-2</v>
      </c>
      <c r="AP235">
        <f t="shared" si="107"/>
        <v>-1.539931481296372E-2</v>
      </c>
      <c r="AR235">
        <f t="shared" si="108"/>
        <v>-5.964096318017574E-4</v>
      </c>
      <c r="AS235">
        <f t="shared" si="109"/>
        <v>-1.52803576086769</v>
      </c>
      <c r="AT235">
        <f t="shared" si="110"/>
        <v>-1.5274393512358881</v>
      </c>
      <c r="AU235">
        <f t="shared" si="111"/>
        <v>-1.410799952414981</v>
      </c>
    </row>
    <row r="236" spans="1:47" x14ac:dyDescent="0.25">
      <c r="A236" s="4">
        <f>DATE(2023,9,5)</f>
        <v>45174</v>
      </c>
      <c r="B236">
        <v>-0.29842808653919917</v>
      </c>
      <c r="C236">
        <v>40.437491929811159</v>
      </c>
      <c r="D236">
        <v>0.12297022749146123</v>
      </c>
      <c r="E236">
        <f t="shared" si="84"/>
        <v>-0.35563487149774436</v>
      </c>
      <c r="F236">
        <f t="shared" si="85"/>
        <v>-0.87559736531639909</v>
      </c>
      <c r="G236">
        <f t="shared" si="86"/>
        <v>-1.0712055583195865</v>
      </c>
      <c r="H236" s="2" t="str">
        <f t="shared" si="87"/>
        <v>Lower</v>
      </c>
      <c r="I236" s="2" t="str">
        <f t="shared" si="88"/>
        <v>Higher</v>
      </c>
      <c r="J236" s="2" t="str">
        <f t="shared" si="89"/>
        <v>Lower</v>
      </c>
      <c r="K236" s="2" t="str">
        <f t="shared" si="90"/>
        <v>Higher</v>
      </c>
      <c r="L236" s="2" t="str">
        <f t="shared" si="91"/>
        <v>Lower</v>
      </c>
      <c r="M236" s="2" t="str">
        <f t="shared" si="92"/>
        <v>Lower</v>
      </c>
      <c r="N236" s="2" t="str">
        <f t="shared" si="93"/>
        <v>Lower</v>
      </c>
      <c r="O236" s="2" t="str">
        <f t="shared" si="94"/>
        <v>Higher</v>
      </c>
      <c r="P236" s="2" t="str">
        <f t="shared" si="95"/>
        <v>Lower</v>
      </c>
      <c r="R236" s="4">
        <f>DATE(2023,9,5)</f>
        <v>45174</v>
      </c>
      <c r="S236">
        <v>0.8212647004283562</v>
      </c>
      <c r="T236">
        <v>0.100255366151945</v>
      </c>
      <c r="U236">
        <v>0.22769968129999721</v>
      </c>
      <c r="V236">
        <v>-0.28159578580653805</v>
      </c>
      <c r="X236" s="4">
        <f>DATE(2023,9,5)</f>
        <v>45174</v>
      </c>
      <c r="Y236">
        <v>14.888439560708425</v>
      </c>
      <c r="Z236">
        <v>32.792481437654516</v>
      </c>
      <c r="AA236">
        <v>84.017499999999998</v>
      </c>
      <c r="AB236">
        <v>34.705749999999995</v>
      </c>
      <c r="AC236">
        <f t="shared" si="96"/>
        <v>-1.4123026210632106E-2</v>
      </c>
      <c r="AD236">
        <f t="shared" si="97"/>
        <v>-2.319053884701397E-2</v>
      </c>
      <c r="AE236">
        <f t="shared" si="98"/>
        <v>-9.0675126363818637E-3</v>
      </c>
      <c r="AF236">
        <f t="shared" si="99"/>
        <v>-2.6119557909120589E-2</v>
      </c>
      <c r="AH236">
        <f t="shared" si="100"/>
        <v>1.1015676121731216E-3</v>
      </c>
      <c r="AI236">
        <f t="shared" si="101"/>
        <v>0.11605211270728923</v>
      </c>
      <c r="AJ236">
        <f t="shared" si="102"/>
        <v>0.11495054509511611</v>
      </c>
      <c r="AK236">
        <f t="shared" si="103"/>
        <v>0.39203624574111451</v>
      </c>
      <c r="AM236">
        <f t="shared" si="104"/>
        <v>-6.2542898928517401E-2</v>
      </c>
      <c r="AN236">
        <f t="shared" si="105"/>
        <v>-2.6257968908935778E-3</v>
      </c>
      <c r="AO236">
        <f t="shared" si="106"/>
        <v>5.9917102037623821E-2</v>
      </c>
      <c r="AP236">
        <f t="shared" si="107"/>
        <v>0.20816576049723562</v>
      </c>
      <c r="AR236">
        <f t="shared" si="108"/>
        <v>4.2612658605262581E-2</v>
      </c>
      <c r="AS236">
        <f t="shared" si="109"/>
        <v>-1.3380608661387923</v>
      </c>
      <c r="AT236">
        <f t="shared" si="110"/>
        <v>-1.3806735247440549</v>
      </c>
      <c r="AU236">
        <f t="shared" si="111"/>
        <v>-1.2782410430507138</v>
      </c>
    </row>
    <row r="237" spans="1:47" x14ac:dyDescent="0.25">
      <c r="A237" s="4">
        <f>DATE(2023,9,4)</f>
        <v>45173</v>
      </c>
      <c r="B237">
        <v>-0.24880228071124949</v>
      </c>
      <c r="C237">
        <v>41.380784603596801</v>
      </c>
      <c r="D237">
        <v>0.15784629034610653</v>
      </c>
      <c r="E237">
        <f t="shared" si="84"/>
        <v>-0.26686884440594766</v>
      </c>
      <c r="F237">
        <f t="shared" si="85"/>
        <v>-0.77925865925918381</v>
      </c>
      <c r="G237">
        <f t="shared" si="86"/>
        <v>-0.96871949593951656</v>
      </c>
      <c r="H237" s="2" t="str">
        <f t="shared" si="87"/>
        <v>Lower</v>
      </c>
      <c r="I237" s="2" t="str">
        <f t="shared" si="88"/>
        <v>Higher</v>
      </c>
      <c r="J237" s="2" t="str">
        <f t="shared" si="89"/>
        <v>Lower</v>
      </c>
      <c r="K237" s="2" t="str">
        <f t="shared" si="90"/>
        <v>Higher</v>
      </c>
      <c r="L237" s="2" t="str">
        <f t="shared" si="91"/>
        <v>Lower</v>
      </c>
      <c r="M237" s="2" t="str">
        <f t="shared" si="92"/>
        <v>Lower</v>
      </c>
      <c r="N237" s="2" t="str">
        <f t="shared" si="93"/>
        <v>Lower</v>
      </c>
      <c r="O237" s="2" t="str">
        <f t="shared" si="94"/>
        <v>Higher</v>
      </c>
      <c r="P237" s="2" t="str">
        <f t="shared" si="95"/>
        <v>Lower</v>
      </c>
      <c r="R237" s="4">
        <f>DATE(2023,9,4)</f>
        <v>45173</v>
      </c>
      <c r="X237" s="4">
        <f>DATE(2023,9,4)</f>
        <v>45173</v>
      </c>
      <c r="Y237">
        <v>15.542055053407447</v>
      </c>
      <c r="AA237">
        <v>84.427499999999995</v>
      </c>
      <c r="AC237">
        <f t="shared" si="96"/>
        <v>-1.440523498730488E-2</v>
      </c>
      <c r="AD237" t="str">
        <f t="shared" si="97"/>
        <v/>
      </c>
      <c r="AE237" t="str">
        <f t="shared" si="98"/>
        <v/>
      </c>
      <c r="AF237" t="str">
        <f t="shared" si="99"/>
        <v/>
      </c>
      <c r="AH237">
        <f t="shared" si="100"/>
        <v>1.548753037193505E-2</v>
      </c>
      <c r="AI237" t="str">
        <f t="shared" si="101"/>
        <v/>
      </c>
      <c r="AJ237" t="str">
        <f t="shared" si="102"/>
        <v/>
      </c>
      <c r="AK237" t="str">
        <f t="shared" si="103"/>
        <v/>
      </c>
      <c r="AM237">
        <f t="shared" si="104"/>
        <v>-3.2827074935261533E-2</v>
      </c>
      <c r="AN237" t="str">
        <f t="shared" si="105"/>
        <v/>
      </c>
      <c r="AO237" t="str">
        <f t="shared" si="106"/>
        <v/>
      </c>
      <c r="AP237" t="str">
        <f t="shared" si="107"/>
        <v/>
      </c>
      <c r="AR237">
        <f t="shared" si="108"/>
        <v>7.4292489760300118E-2</v>
      </c>
      <c r="AS237" t="str">
        <f t="shared" si="109"/>
        <v/>
      </c>
      <c r="AT237" t="str">
        <f t="shared" si="110"/>
        <v/>
      </c>
      <c r="AU237" t="str">
        <f t="shared" si="111"/>
        <v/>
      </c>
    </row>
    <row r="238" spans="1:47" x14ac:dyDescent="0.25">
      <c r="A238" s="4">
        <f>DATE(2023,9,1)</f>
        <v>45170</v>
      </c>
      <c r="B238">
        <v>-0.17631382659178568</v>
      </c>
      <c r="C238">
        <v>44.86056101391997</v>
      </c>
      <c r="D238">
        <v>0.34579558941637539</v>
      </c>
      <c r="E238">
        <f t="shared" si="84"/>
        <v>-0.13953243493552614</v>
      </c>
      <c r="F238">
        <f t="shared" si="85"/>
        <v>-0.38198328913973606</v>
      </c>
      <c r="G238">
        <f t="shared" si="86"/>
        <v>-0.34052051879543688</v>
      </c>
      <c r="H238" s="2" t="str">
        <f t="shared" si="87"/>
        <v>Lower</v>
      </c>
      <c r="I238" s="2" t="str">
        <f t="shared" si="88"/>
        <v>Higher</v>
      </c>
      <c r="J238" s="2" t="str">
        <f t="shared" si="89"/>
        <v>Lower</v>
      </c>
      <c r="K238" s="2" t="str">
        <f t="shared" si="90"/>
        <v>Lower</v>
      </c>
      <c r="L238" s="2" t="str">
        <f t="shared" si="91"/>
        <v>Higher</v>
      </c>
      <c r="M238" s="2" t="str">
        <f t="shared" si="92"/>
        <v>Lower</v>
      </c>
      <c r="N238" s="2" t="str">
        <f t="shared" si="93"/>
        <v>Lower</v>
      </c>
      <c r="O238" s="2" t="str">
        <f t="shared" si="94"/>
        <v>Higher</v>
      </c>
      <c r="P238" s="2" t="str">
        <f t="shared" si="95"/>
        <v>Lower</v>
      </c>
      <c r="R238" s="4">
        <f>DATE(2023,9,1)</f>
        <v>45170</v>
      </c>
      <c r="S238">
        <v>0.27663478683059112</v>
      </c>
      <c r="T238">
        <v>5.4292918047080682E-2</v>
      </c>
      <c r="U238">
        <v>0.26366358950607183</v>
      </c>
      <c r="V238">
        <v>-0.29977764518193251</v>
      </c>
      <c r="X238" s="4">
        <f>DATE(2023,9,1)</f>
        <v>45170</v>
      </c>
      <c r="Y238">
        <v>16.562850226222448</v>
      </c>
      <c r="Z238">
        <v>35.649472122925694</v>
      </c>
      <c r="AA238">
        <v>85.484999999999999</v>
      </c>
      <c r="AB238">
        <v>35.676000000000002</v>
      </c>
      <c r="AC238">
        <f t="shared" si="96"/>
        <v>4.6802785620039496E-4</v>
      </c>
      <c r="AD238">
        <f t="shared" si="97"/>
        <v>2.7637647384320195E-2</v>
      </c>
      <c r="AE238">
        <f t="shared" si="98"/>
        <v>2.71696195281198E-2</v>
      </c>
      <c r="AF238">
        <f t="shared" si="99"/>
        <v>0.16669355217060774</v>
      </c>
      <c r="AH238">
        <f t="shared" si="100"/>
        <v>1.6988552269714952E-2</v>
      </c>
      <c r="AI238">
        <f t="shared" si="101"/>
        <v>0.20601063676472459</v>
      </c>
      <c r="AJ238">
        <f t="shared" si="102"/>
        <v>0.18902208449500962</v>
      </c>
      <c r="AK238">
        <f t="shared" si="103"/>
        <v>0.60738635026778931</v>
      </c>
      <c r="AM238">
        <f t="shared" si="104"/>
        <v>-6.9361744584018883E-3</v>
      </c>
      <c r="AN238">
        <f t="shared" si="105"/>
        <v>0.13837226765361693</v>
      </c>
      <c r="AO238">
        <f t="shared" si="106"/>
        <v>0.14530844211201882</v>
      </c>
      <c r="AP238">
        <f t="shared" si="107"/>
        <v>0.3520475299623308</v>
      </c>
      <c r="AR238">
        <f t="shared" si="108"/>
        <v>8.0159694103243875E-2</v>
      </c>
      <c r="AS238">
        <f t="shared" si="109"/>
        <v>-1.2487827998616887</v>
      </c>
      <c r="AT238">
        <f t="shared" si="110"/>
        <v>-1.3289424939649326</v>
      </c>
      <c r="AU238">
        <f t="shared" si="111"/>
        <v>-1.2353436503240447</v>
      </c>
    </row>
    <row r="239" spans="1:47" x14ac:dyDescent="0.25">
      <c r="A239" s="4">
        <f>DATE(2023,8,31)</f>
        <v>45169</v>
      </c>
      <c r="B239">
        <v>-0.15577194948383427</v>
      </c>
      <c r="C239">
        <v>46.461963534146243</v>
      </c>
      <c r="D239">
        <v>0.4280866468097797</v>
      </c>
      <c r="E239">
        <f t="shared" si="84"/>
        <v>-9.8635009911346355E-2</v>
      </c>
      <c r="F239">
        <f t="shared" si="85"/>
        <v>-0.1971424933214305</v>
      </c>
      <c r="G239">
        <f t="shared" si="86"/>
        <v>-6.0503390827556493E-2</v>
      </c>
      <c r="H239" s="2" t="str">
        <f t="shared" si="87"/>
        <v>Lower</v>
      </c>
      <c r="I239" s="2" t="str">
        <f t="shared" si="88"/>
        <v>Higher</v>
      </c>
      <c r="J239" s="2" t="str">
        <f t="shared" si="89"/>
        <v>Lower</v>
      </c>
      <c r="K239" s="2" t="str">
        <f t="shared" si="90"/>
        <v>Lower</v>
      </c>
      <c r="L239" s="2" t="str">
        <f t="shared" si="91"/>
        <v>Higher</v>
      </c>
      <c r="M239" s="2" t="str">
        <f t="shared" si="92"/>
        <v>Lower</v>
      </c>
      <c r="N239" s="2" t="str">
        <f t="shared" si="93"/>
        <v>Lower</v>
      </c>
      <c r="O239" s="2" t="str">
        <f t="shared" si="94"/>
        <v>Higher</v>
      </c>
      <c r="P239" s="2" t="str">
        <f t="shared" si="95"/>
        <v>Lower</v>
      </c>
      <c r="R239" s="4">
        <f>DATE(2023,8,31)</f>
        <v>45169</v>
      </c>
      <c r="S239">
        <v>0.29186827355135175</v>
      </c>
      <c r="T239">
        <v>-1.3610809505932691E-2</v>
      </c>
      <c r="U239">
        <v>0.30227653234425594</v>
      </c>
      <c r="V239">
        <v>-0.31131440014331746</v>
      </c>
      <c r="X239" s="4">
        <f>DATE(2023,8,31)</f>
        <v>45169</v>
      </c>
      <c r="Y239">
        <v>17.346501552647396</v>
      </c>
      <c r="Z239">
        <v>37.779569033861939</v>
      </c>
      <c r="AA239">
        <v>86.097499999999997</v>
      </c>
      <c r="AB239">
        <v>35.969499999999996</v>
      </c>
      <c r="AC239">
        <f t="shared" si="96"/>
        <v>4.937482855421107E-4</v>
      </c>
      <c r="AD239">
        <f t="shared" si="97"/>
        <v>0.10852560397088179</v>
      </c>
      <c r="AE239">
        <f t="shared" si="98"/>
        <v>0.10803185568533968</v>
      </c>
      <c r="AF239">
        <f t="shared" si="99"/>
        <v>0.59928067053771961</v>
      </c>
      <c r="AH239">
        <f t="shared" si="100"/>
        <v>1.7339273995056005E-2</v>
      </c>
      <c r="AI239">
        <f t="shared" si="101"/>
        <v>0.16514141418858869</v>
      </c>
      <c r="AJ239">
        <f t="shared" si="102"/>
        <v>0.14780214019353269</v>
      </c>
      <c r="AK239">
        <f t="shared" si="103"/>
        <v>0.48825411722216827</v>
      </c>
      <c r="AM239">
        <f t="shared" si="104"/>
        <v>2.6212394011166255E-2</v>
      </c>
      <c r="AN239">
        <f t="shared" si="105"/>
        <v>0.28276869362772972</v>
      </c>
      <c r="AO239">
        <f t="shared" si="106"/>
        <v>0.25655629961656345</v>
      </c>
      <c r="AP239">
        <f t="shared" si="107"/>
        <v>0.54207035296223283</v>
      </c>
      <c r="AR239">
        <f t="shared" si="108"/>
        <v>0.10223909176535827</v>
      </c>
      <c r="AS239" t="str">
        <f t="shared" si="109"/>
        <v/>
      </c>
      <c r="AT239" t="str">
        <f t="shared" si="110"/>
        <v/>
      </c>
      <c r="AU239" t="str">
        <f t="shared" si="111"/>
        <v/>
      </c>
    </row>
    <row r="240" spans="1:47" x14ac:dyDescent="0.25">
      <c r="A240" s="4">
        <f>DATE(2023,8,30)</f>
        <v>45168</v>
      </c>
      <c r="B240">
        <v>-0.15734034672884148</v>
      </c>
      <c r="C240">
        <v>48.021368738158564</v>
      </c>
      <c r="D240">
        <v>0.49817308804616839</v>
      </c>
      <c r="E240">
        <f t="shared" si="84"/>
        <v>-9.7912414209245971E-2</v>
      </c>
      <c r="F240">
        <f t="shared" si="85"/>
        <v>-1.7682356202814265E-2</v>
      </c>
      <c r="G240">
        <f t="shared" si="86"/>
        <v>0.17793942786321401</v>
      </c>
      <c r="H240" s="2" t="str">
        <f t="shared" si="87"/>
        <v>Lower</v>
      </c>
      <c r="I240" s="2" t="str">
        <f t="shared" si="88"/>
        <v>Higher</v>
      </c>
      <c r="J240" s="2" t="str">
        <f t="shared" si="89"/>
        <v>Lower</v>
      </c>
      <c r="K240" s="2" t="str">
        <f t="shared" si="90"/>
        <v>Lower</v>
      </c>
      <c r="L240" s="2" t="str">
        <f t="shared" si="91"/>
        <v>Higher</v>
      </c>
      <c r="M240" s="2" t="str">
        <f t="shared" si="92"/>
        <v>Lower</v>
      </c>
      <c r="N240" s="2" t="str">
        <f t="shared" si="93"/>
        <v>Lower</v>
      </c>
      <c r="O240" s="2" t="str">
        <f t="shared" si="94"/>
        <v>Higher</v>
      </c>
      <c r="P240" s="2" t="str">
        <f t="shared" si="95"/>
        <v>Lower</v>
      </c>
      <c r="R240" s="4">
        <f>DATE(2023,8,30)</f>
        <v>45168</v>
      </c>
      <c r="S240">
        <v>1.5457394051170626E-2</v>
      </c>
      <c r="T240">
        <v>-5.9283399956136566E-2</v>
      </c>
      <c r="U240">
        <v>0.3514649192778575</v>
      </c>
      <c r="V240">
        <v>-0.3286525983684061</v>
      </c>
      <c r="X240" s="4">
        <f>DATE(2023,8,30)</f>
        <v>45168</v>
      </c>
      <c r="Y240">
        <v>16.35131173471709</v>
      </c>
      <c r="Z240">
        <v>34.969723639866999</v>
      </c>
      <c r="AA240">
        <v>85.952499999999986</v>
      </c>
      <c r="AB240">
        <v>35.627250000000004</v>
      </c>
      <c r="AC240">
        <f t="shared" si="96"/>
        <v>-2.9292476101726136E-2</v>
      </c>
      <c r="AD240">
        <f t="shared" si="97"/>
        <v>-6.8034812356138535E-2</v>
      </c>
      <c r="AE240">
        <f t="shared" si="98"/>
        <v>-3.8742336254412396E-2</v>
      </c>
      <c r="AF240">
        <f t="shared" si="99"/>
        <v>-0.18569799419091829</v>
      </c>
      <c r="AH240">
        <f t="shared" si="100"/>
        <v>2.6287059509290306E-2</v>
      </c>
      <c r="AI240">
        <f t="shared" si="101"/>
        <v>0.22374193814439186</v>
      </c>
      <c r="AJ240">
        <f t="shared" si="102"/>
        <v>0.19745487863510156</v>
      </c>
      <c r="AK240">
        <f t="shared" si="103"/>
        <v>0.63275310791363437</v>
      </c>
      <c r="AM240">
        <f t="shared" si="104"/>
        <v>3.6913960669804978E-2</v>
      </c>
      <c r="AN240">
        <f t="shared" si="105"/>
        <v>0.30685532357419998</v>
      </c>
      <c r="AO240">
        <f t="shared" si="106"/>
        <v>0.26994136290439502</v>
      </c>
      <c r="AP240">
        <f t="shared" si="107"/>
        <v>0.56401499300504521</v>
      </c>
      <c r="AR240">
        <f t="shared" si="108"/>
        <v>0.12893395021842663</v>
      </c>
      <c r="AS240">
        <f t="shared" si="109"/>
        <v>-1.2914962985103944</v>
      </c>
      <c r="AT240">
        <f t="shared" si="110"/>
        <v>-1.420430248728821</v>
      </c>
      <c r="AU240">
        <f t="shared" si="111"/>
        <v>-1.3278283650767297</v>
      </c>
    </row>
    <row r="241" spans="1:47" x14ac:dyDescent="0.25">
      <c r="A241" s="4">
        <f>DATE(2023,8,29)</f>
        <v>45167</v>
      </c>
      <c r="B241">
        <v>-0.1936026443047833</v>
      </c>
      <c r="C241">
        <v>42.536695585850488</v>
      </c>
      <c r="D241">
        <v>0.33285314534921928</v>
      </c>
      <c r="E241">
        <f t="shared" si="84"/>
        <v>-0.15837206820351835</v>
      </c>
      <c r="F241">
        <f t="shared" si="85"/>
        <v>-0.66287295599181328</v>
      </c>
      <c r="G241">
        <f t="shared" si="86"/>
        <v>-0.38401445768212844</v>
      </c>
      <c r="H241" s="2" t="str">
        <f t="shared" si="87"/>
        <v>Lower</v>
      </c>
      <c r="I241" s="2" t="str">
        <f t="shared" si="88"/>
        <v>Higher</v>
      </c>
      <c r="J241" s="2" t="str">
        <f t="shared" si="89"/>
        <v>Lower</v>
      </c>
      <c r="K241" s="2" t="str">
        <f t="shared" si="90"/>
        <v>Lower</v>
      </c>
      <c r="L241" s="2" t="str">
        <f t="shared" si="91"/>
        <v>Higher</v>
      </c>
      <c r="M241" s="2" t="str">
        <f t="shared" si="92"/>
        <v>Lower</v>
      </c>
      <c r="N241" s="2" t="str">
        <f t="shared" si="93"/>
        <v>Lower</v>
      </c>
      <c r="O241" s="2" t="str">
        <f t="shared" si="94"/>
        <v>Higher</v>
      </c>
      <c r="P241" s="2" t="str">
        <f t="shared" si="95"/>
        <v>Lower</v>
      </c>
      <c r="R241" s="4">
        <f>DATE(2023,8,29)</f>
        <v>45167</v>
      </c>
      <c r="S241">
        <v>0.25892383069318292</v>
      </c>
      <c r="T241">
        <v>-8.2763561379374198E-2</v>
      </c>
      <c r="U241">
        <v>0.37396137136750784</v>
      </c>
      <c r="V241">
        <v>-0.34480495566786246</v>
      </c>
      <c r="X241" s="4">
        <f>DATE(2023,8,29)</f>
        <v>45167</v>
      </c>
      <c r="Y241">
        <v>17.465294921690923</v>
      </c>
      <c r="Z241">
        <v>36.166455080715096</v>
      </c>
      <c r="AA241">
        <v>85.212500000000006</v>
      </c>
      <c r="AB241">
        <v>35.519999999999996</v>
      </c>
      <c r="AC241">
        <f t="shared" si="96"/>
        <v>-4.8922876780467889E-2</v>
      </c>
      <c r="AD241">
        <f t="shared" si="97"/>
        <v>-0.17864904622468603</v>
      </c>
      <c r="AE241">
        <f t="shared" si="98"/>
        <v>-0.12972616944421814</v>
      </c>
      <c r="AF241">
        <f t="shared" si="99"/>
        <v>-0.67321363482501773</v>
      </c>
      <c r="AH241">
        <f t="shared" si="100"/>
        <v>-4.6539620654905611E-3</v>
      </c>
      <c r="AI241">
        <f t="shared" si="101"/>
        <v>0.25281470854414106</v>
      </c>
      <c r="AJ241">
        <f t="shared" si="102"/>
        <v>0.25746867060963163</v>
      </c>
      <c r="AK241">
        <f t="shared" si="103"/>
        <v>0.8081558296574709</v>
      </c>
      <c r="AM241">
        <f t="shared" si="104"/>
        <v>4.1390588000417505E-2</v>
      </c>
      <c r="AN241">
        <f t="shared" si="105"/>
        <v>0.32365356553796309</v>
      </c>
      <c r="AO241">
        <f t="shared" si="106"/>
        <v>0.28226297753754559</v>
      </c>
      <c r="AP241">
        <f t="shared" si="107"/>
        <v>0.58425094438134884</v>
      </c>
      <c r="AR241">
        <f t="shared" si="108"/>
        <v>0.14182656307017139</v>
      </c>
      <c r="AS241">
        <f t="shared" si="109"/>
        <v>-1.2143829571942872</v>
      </c>
      <c r="AT241">
        <f t="shared" si="110"/>
        <v>-1.3562095202644586</v>
      </c>
      <c r="AU241">
        <f t="shared" si="111"/>
        <v>-1.2725363815832011</v>
      </c>
    </row>
    <row r="242" spans="1:47" x14ac:dyDescent="0.25">
      <c r="A242" s="4">
        <f>DATE(2023,8,28)</f>
        <v>45166</v>
      </c>
      <c r="B242">
        <v>-8.4208362792810326E-2</v>
      </c>
      <c r="C242">
        <v>45.283126570812023</v>
      </c>
      <c r="D242">
        <v>0.44365843583980052</v>
      </c>
      <c r="E242">
        <f t="shared" si="84"/>
        <v>1.2674217233539198E-2</v>
      </c>
      <c r="F242">
        <f t="shared" si="85"/>
        <v>-0.35941623044753823</v>
      </c>
      <c r="G242">
        <f t="shared" si="86"/>
        <v>-2.3811634361970157E-2</v>
      </c>
      <c r="H242" s="2" t="str">
        <f t="shared" si="87"/>
        <v>Lower</v>
      </c>
      <c r="I242" s="2" t="str">
        <f t="shared" si="88"/>
        <v>Higher</v>
      </c>
      <c r="J242" s="2" t="str">
        <f t="shared" si="89"/>
        <v>Lower</v>
      </c>
      <c r="K242" s="2" t="str">
        <f t="shared" si="90"/>
        <v>Lower</v>
      </c>
      <c r="L242" s="2" t="str">
        <f t="shared" si="91"/>
        <v>Higher</v>
      </c>
      <c r="M242" s="2" t="str">
        <f t="shared" si="92"/>
        <v>Lower</v>
      </c>
      <c r="N242" s="2" t="str">
        <f t="shared" si="93"/>
        <v>Lower</v>
      </c>
      <c r="O242" s="2" t="str">
        <f t="shared" si="94"/>
        <v>Higher</v>
      </c>
      <c r="P242" s="2" t="str">
        <f t="shared" si="95"/>
        <v>Lower</v>
      </c>
      <c r="R242" s="4">
        <f>DATE(2023,8,28)</f>
        <v>45166</v>
      </c>
      <c r="S242">
        <v>0.75286974885639635</v>
      </c>
      <c r="T242">
        <v>-6.6872184660845921E-2</v>
      </c>
      <c r="U242">
        <v>0.43717274748123708</v>
      </c>
      <c r="V242">
        <v>-0.35933322850556809</v>
      </c>
      <c r="X242" s="4">
        <f>DATE(2023,8,28)</f>
        <v>45166</v>
      </c>
      <c r="Y242">
        <v>17.81490906206648</v>
      </c>
      <c r="Z242">
        <v>38.82460526841848</v>
      </c>
      <c r="AA242">
        <v>85.652500000000003</v>
      </c>
      <c r="AB242">
        <v>37.700749999999999</v>
      </c>
      <c r="AC242">
        <f t="shared" si="96"/>
        <v>-2.5133178700028388E-2</v>
      </c>
      <c r="AD242">
        <f t="shared" si="97"/>
        <v>-6.4895711503527506E-2</v>
      </c>
      <c r="AE242">
        <f t="shared" si="98"/>
        <v>-3.9762532803499118E-2</v>
      </c>
      <c r="AF242">
        <f t="shared" si="99"/>
        <v>-0.19398589222013715</v>
      </c>
      <c r="AH242">
        <f t="shared" si="100"/>
        <v>-1.8651053174563427E-2</v>
      </c>
      <c r="AI242">
        <f t="shared" si="101"/>
        <v>0.2901186771515345</v>
      </c>
      <c r="AJ242">
        <f t="shared" si="102"/>
        <v>0.30876973032609795</v>
      </c>
      <c r="AK242">
        <f t="shared" si="103"/>
        <v>0.959007613256459</v>
      </c>
      <c r="AM242">
        <f t="shared" si="104"/>
        <v>4.8928815385224061E-2</v>
      </c>
      <c r="AN242">
        <f t="shared" si="105"/>
        <v>0.31639438872592668</v>
      </c>
      <c r="AO242">
        <f t="shared" si="106"/>
        <v>0.26746557334070264</v>
      </c>
      <c r="AP242">
        <f t="shared" si="107"/>
        <v>0.5580099570691075</v>
      </c>
      <c r="AR242">
        <f t="shared" si="108"/>
        <v>0.14589553891458143</v>
      </c>
      <c r="AS242">
        <f t="shared" si="109"/>
        <v>-1.1250130428753715</v>
      </c>
      <c r="AT242">
        <f t="shared" si="110"/>
        <v>-1.270908581789953</v>
      </c>
      <c r="AU242">
        <f t="shared" si="111"/>
        <v>-1.1957176120869033</v>
      </c>
    </row>
    <row r="243" spans="1:47" x14ac:dyDescent="0.25">
      <c r="A243" s="4">
        <f>DATE(2023,8,25)</f>
        <v>45163</v>
      </c>
      <c r="B243">
        <v>5.3909799730877568E-3</v>
      </c>
      <c r="C243">
        <v>44.217372817256724</v>
      </c>
      <c r="D243">
        <v>0.40126959414050711</v>
      </c>
      <c r="E243">
        <f t="shared" si="84"/>
        <v>0.15246491158110195</v>
      </c>
      <c r="F243">
        <f t="shared" si="85"/>
        <v>-0.49280993909920601</v>
      </c>
      <c r="G243">
        <f t="shared" si="86"/>
        <v>-0.17707420230193843</v>
      </c>
      <c r="H243" s="2" t="str">
        <f t="shared" si="87"/>
        <v>Lower</v>
      </c>
      <c r="I243" s="2" t="str">
        <f t="shared" si="88"/>
        <v>Higher</v>
      </c>
      <c r="J243" s="2" t="str">
        <f t="shared" si="89"/>
        <v>Lower</v>
      </c>
      <c r="K243" s="2" t="str">
        <f t="shared" si="90"/>
        <v>Lower</v>
      </c>
      <c r="L243" s="2" t="str">
        <f t="shared" si="91"/>
        <v>Higher</v>
      </c>
      <c r="M243" s="2" t="str">
        <f t="shared" si="92"/>
        <v>Lower</v>
      </c>
      <c r="N243" s="2" t="str">
        <f t="shared" si="93"/>
        <v>Lower</v>
      </c>
      <c r="O243" s="2" t="str">
        <f t="shared" si="94"/>
        <v>Higher</v>
      </c>
      <c r="P243" s="2" t="str">
        <f t="shared" si="95"/>
        <v>Lower</v>
      </c>
      <c r="R243" s="4">
        <f>DATE(2023,8,25)</f>
        <v>45163</v>
      </c>
      <c r="S243">
        <v>0.87477422782316949</v>
      </c>
      <c r="T243">
        <v>-2.1527755739055483E-2</v>
      </c>
      <c r="U243">
        <v>0.5004660782022734</v>
      </c>
      <c r="V243">
        <v>-0.3695518018522656</v>
      </c>
      <c r="X243" s="4">
        <f>DATE(2023,8,25)</f>
        <v>45163</v>
      </c>
      <c r="Y243">
        <v>18.819196270864502</v>
      </c>
      <c r="Z243">
        <v>36.095104163404237</v>
      </c>
      <c r="AA243">
        <v>85.444999999999993</v>
      </c>
      <c r="AB243">
        <v>34.703500000000005</v>
      </c>
      <c r="AC243">
        <f t="shared" si="96"/>
        <v>-3.0542883543720402E-2</v>
      </c>
      <c r="AD243">
        <f t="shared" si="97"/>
        <v>-5.2216766022225025E-2</v>
      </c>
      <c r="AE243">
        <f t="shared" si="98"/>
        <v>-2.1673882478504623E-2</v>
      </c>
      <c r="AF243">
        <f t="shared" si="99"/>
        <v>-9.7715891911874048E-2</v>
      </c>
      <c r="AH243">
        <f t="shared" si="100"/>
        <v>-4.1970611919543002E-2</v>
      </c>
      <c r="AI243">
        <f t="shared" si="101"/>
        <v>0.28110021980415656</v>
      </c>
      <c r="AJ243">
        <f t="shared" si="102"/>
        <v>0.32307083172369955</v>
      </c>
      <c r="AK243">
        <f t="shared" si="103"/>
        <v>1.0026865945781376</v>
      </c>
      <c r="AM243">
        <f t="shared" si="104"/>
        <v>7.5170848595326981E-2</v>
      </c>
      <c r="AN243">
        <f t="shared" si="105"/>
        <v>0.38614483361790242</v>
      </c>
      <c r="AO243">
        <f t="shared" si="106"/>
        <v>0.31097398502257545</v>
      </c>
      <c r="AP243">
        <f t="shared" si="107"/>
        <v>0.63165992502795654</v>
      </c>
      <c r="AR243">
        <f t="shared" si="108"/>
        <v>0.16125644422964866</v>
      </c>
      <c r="AS243">
        <f t="shared" si="109"/>
        <v>-1.2025079025843621</v>
      </c>
      <c r="AT243">
        <f t="shared" si="110"/>
        <v>-1.3637643468140108</v>
      </c>
      <c r="AU243">
        <f t="shared" si="111"/>
        <v>-1.2885963509359231</v>
      </c>
    </row>
    <row r="244" spans="1:47" x14ac:dyDescent="0.25">
      <c r="A244" s="4">
        <f>DATE(2023,8,24)</f>
        <v>45162</v>
      </c>
      <c r="B244">
        <v>0.17779372566363216</v>
      </c>
      <c r="C244">
        <v>45.494256610889551</v>
      </c>
      <c r="D244">
        <v>0.43883687951901917</v>
      </c>
      <c r="E244">
        <f t="shared" si="84"/>
        <v>0.42714057018110441</v>
      </c>
      <c r="F244">
        <f t="shared" si="85"/>
        <v>-0.36093120838781012</v>
      </c>
      <c r="G244">
        <f t="shared" si="86"/>
        <v>-6.1688492698372101E-2</v>
      </c>
      <c r="H244" s="2" t="str">
        <f t="shared" si="87"/>
        <v>Lower</v>
      </c>
      <c r="I244" s="2" t="str">
        <f t="shared" si="88"/>
        <v>Higher</v>
      </c>
      <c r="J244" s="2" t="str">
        <f t="shared" si="89"/>
        <v>Lower</v>
      </c>
      <c r="K244" s="2" t="str">
        <f t="shared" si="90"/>
        <v>Higher</v>
      </c>
      <c r="L244" s="2" t="str">
        <f t="shared" si="91"/>
        <v>Higher</v>
      </c>
      <c r="M244" s="2" t="str">
        <f t="shared" si="92"/>
        <v>Lower</v>
      </c>
      <c r="N244" s="2" t="str">
        <f t="shared" si="93"/>
        <v>Lower</v>
      </c>
      <c r="O244" s="2" t="str">
        <f t="shared" si="94"/>
        <v>Higher</v>
      </c>
      <c r="P244" s="2" t="str">
        <f t="shared" si="95"/>
        <v>Lower</v>
      </c>
      <c r="R244" s="4">
        <f>DATE(2023,8,24)</f>
        <v>45162</v>
      </c>
      <c r="S244">
        <v>0.88660378283446251</v>
      </c>
      <c r="T244">
        <v>1.5032121377891354E-2</v>
      </c>
      <c r="U244">
        <v>0.52238823802676471</v>
      </c>
      <c r="V244">
        <v>-0.38175182098676319</v>
      </c>
      <c r="X244" s="4">
        <f>DATE(2023,8,24)</f>
        <v>45162</v>
      </c>
      <c r="Y244">
        <v>20.016674518665813</v>
      </c>
      <c r="Z244">
        <v>34.342832272785827</v>
      </c>
      <c r="AA244">
        <v>86.055000000000007</v>
      </c>
      <c r="AB244">
        <v>32.270249999999997</v>
      </c>
      <c r="AC244">
        <f t="shared" si="96"/>
        <v>-3.1540779135375299E-2</v>
      </c>
      <c r="AD244">
        <f t="shared" si="97"/>
        <v>-0.14551759025783215</v>
      </c>
      <c r="AE244">
        <f t="shared" si="98"/>
        <v>-0.11397681112245685</v>
      </c>
      <c r="AF244">
        <f t="shared" si="99"/>
        <v>-0.59132077564077312</v>
      </c>
      <c r="AH244">
        <f t="shared" si="100"/>
        <v>-5.1771072279298842E-2</v>
      </c>
      <c r="AI244">
        <f t="shared" si="101"/>
        <v>0.12053800659819811</v>
      </c>
      <c r="AJ244">
        <f t="shared" si="102"/>
        <v>0.17230907887749694</v>
      </c>
      <c r="AK244">
        <f t="shared" si="103"/>
        <v>0.56540948236926947</v>
      </c>
      <c r="AM244">
        <f t="shared" si="104"/>
        <v>8.2379213964554221E-2</v>
      </c>
      <c r="AN244">
        <f t="shared" si="105"/>
        <v>0.31174504622723698</v>
      </c>
      <c r="AO244">
        <f t="shared" si="106"/>
        <v>0.22936583226268276</v>
      </c>
      <c r="AP244">
        <f t="shared" si="107"/>
        <v>0.49098660912377512</v>
      </c>
      <c r="AR244">
        <f t="shared" si="108"/>
        <v>0.16658409408073044</v>
      </c>
      <c r="AS244">
        <f t="shared" si="109"/>
        <v>-1.2493051224045708</v>
      </c>
      <c r="AT244">
        <f t="shared" si="110"/>
        <v>-1.4158892164853012</v>
      </c>
      <c r="AU244">
        <f t="shared" si="111"/>
        <v>-1.3433579392210795</v>
      </c>
    </row>
    <row r="245" spans="1:47" x14ac:dyDescent="0.25">
      <c r="A245" s="4">
        <f>DATE(2023,8,23)</f>
        <v>45161</v>
      </c>
      <c r="B245">
        <v>0.39255843601110169</v>
      </c>
      <c r="C245">
        <v>53.01259005449969</v>
      </c>
      <c r="D245">
        <v>0.67541134073120046</v>
      </c>
      <c r="E245">
        <f t="shared" si="84"/>
        <v>0.76973702873125471</v>
      </c>
      <c r="F245">
        <f t="shared" si="85"/>
        <v>0.46550334958620782</v>
      </c>
      <c r="G245">
        <f t="shared" si="86"/>
        <v>0.7066345622164949</v>
      </c>
      <c r="H245" s="2" t="str">
        <f t="shared" si="87"/>
        <v>Lower</v>
      </c>
      <c r="I245" s="2" t="str">
        <f t="shared" si="88"/>
        <v>Higher</v>
      </c>
      <c r="J245" s="2" t="str">
        <f t="shared" si="89"/>
        <v>Lower</v>
      </c>
      <c r="K245" s="2" t="str">
        <f t="shared" si="90"/>
        <v>Higher</v>
      </c>
      <c r="L245" s="2" t="str">
        <f t="shared" si="91"/>
        <v>Higher</v>
      </c>
      <c r="M245" s="2" t="str">
        <f t="shared" si="92"/>
        <v>Lower</v>
      </c>
      <c r="N245" s="2" t="str">
        <f t="shared" si="93"/>
        <v>Lower</v>
      </c>
      <c r="O245" s="2" t="str">
        <f t="shared" si="94"/>
        <v>Higher</v>
      </c>
      <c r="P245" s="2" t="str">
        <f t="shared" si="95"/>
        <v>Lower</v>
      </c>
      <c r="R245" s="4">
        <f>DATE(2023,8,23)</f>
        <v>45161</v>
      </c>
      <c r="S245">
        <v>0.57092815308924727</v>
      </c>
      <c r="T245">
        <v>3.6502765944935595E-2</v>
      </c>
      <c r="U245">
        <v>0.54482947884639721</v>
      </c>
      <c r="V245">
        <v>-0.39527566183479124</v>
      </c>
      <c r="X245" s="4">
        <f>DATE(2023,8,23)</f>
        <v>45161</v>
      </c>
      <c r="Y245">
        <v>22.056204036694734</v>
      </c>
      <c r="Z245">
        <v>37.969671174344619</v>
      </c>
      <c r="AA245">
        <v>88.507499999999993</v>
      </c>
      <c r="AB245">
        <v>38.1355</v>
      </c>
      <c r="AC245">
        <f t="shared" si="96"/>
        <v>3.8772353259897124E-3</v>
      </c>
      <c r="AD245">
        <f t="shared" si="97"/>
        <v>-1.3129462456688822E-2</v>
      </c>
      <c r="AE245">
        <f t="shared" si="98"/>
        <v>-1.7006697782678534E-2</v>
      </c>
      <c r="AF245">
        <f t="shared" si="99"/>
        <v>-7.2840613942722093E-2</v>
      </c>
      <c r="AH245">
        <f t="shared" si="100"/>
        <v>-3.1939341949249085E-2</v>
      </c>
      <c r="AI245">
        <f t="shared" si="101"/>
        <v>0.23666196419200816</v>
      </c>
      <c r="AJ245">
        <f t="shared" si="102"/>
        <v>0.26860130614125727</v>
      </c>
      <c r="AK245">
        <f t="shared" si="103"/>
        <v>0.84683719172046112</v>
      </c>
      <c r="AM245">
        <f t="shared" si="104"/>
        <v>9.064632741316514E-2</v>
      </c>
      <c r="AN245">
        <f t="shared" si="105"/>
        <v>0.35321957880032151</v>
      </c>
      <c r="AO245">
        <f t="shared" si="106"/>
        <v>0.26257325138715637</v>
      </c>
      <c r="AP245">
        <f t="shared" si="107"/>
        <v>0.54835833717908977</v>
      </c>
      <c r="AR245">
        <f t="shared" si="108"/>
        <v>0.1746062898095404</v>
      </c>
      <c r="AS245">
        <f t="shared" si="109"/>
        <v>-1.0941752636078221</v>
      </c>
      <c r="AT245">
        <f t="shared" si="110"/>
        <v>-1.2687815534173625</v>
      </c>
      <c r="AU245">
        <f t="shared" si="111"/>
        <v>-1.2085400640272639</v>
      </c>
    </row>
    <row r="246" spans="1:47" x14ac:dyDescent="0.25">
      <c r="A246" s="4">
        <f>DATE(2023,8,22)</f>
        <v>45160</v>
      </c>
      <c r="B246">
        <v>0.46108282270936557</v>
      </c>
      <c r="C246">
        <v>59.323842197664113</v>
      </c>
      <c r="D246">
        <v>0.81869090913432452</v>
      </c>
      <c r="E246">
        <f t="shared" si="84"/>
        <v>0.87841889179892474</v>
      </c>
      <c r="F246">
        <f t="shared" si="85"/>
        <v>1.1556702450011487</v>
      </c>
      <c r="G246">
        <f t="shared" si="86"/>
        <v>1.1723331320391481</v>
      </c>
      <c r="H246" s="2" t="str">
        <f t="shared" si="87"/>
        <v>Lower</v>
      </c>
      <c r="I246" s="2" t="str">
        <f t="shared" si="88"/>
        <v>Higher</v>
      </c>
      <c r="J246" s="2" t="str">
        <f t="shared" si="89"/>
        <v>Lower</v>
      </c>
      <c r="K246" s="2" t="str">
        <f t="shared" si="90"/>
        <v>Higher</v>
      </c>
      <c r="L246" s="2" t="str">
        <f t="shared" si="91"/>
        <v>Higher</v>
      </c>
      <c r="M246" s="2" t="str">
        <f t="shared" si="92"/>
        <v>Lower</v>
      </c>
      <c r="N246" s="2" t="str">
        <f t="shared" si="93"/>
        <v>Lower</v>
      </c>
      <c r="O246" s="2" t="str">
        <f t="shared" si="94"/>
        <v>Higher</v>
      </c>
      <c r="P246" s="2" t="str">
        <f t="shared" si="95"/>
        <v>Lower</v>
      </c>
      <c r="R246" s="4">
        <f>DATE(2023,8,22)</f>
        <v>45160</v>
      </c>
      <c r="S246">
        <v>0.54294249344691425</v>
      </c>
      <c r="T246">
        <v>4.606496724735136E-2</v>
      </c>
      <c r="U246">
        <v>0.55933327687368262</v>
      </c>
      <c r="V246">
        <v>-0.40619786688852516</v>
      </c>
      <c r="X246" s="4">
        <f>DATE(2023,8,22)</f>
        <v>45160</v>
      </c>
      <c r="Y246">
        <v>24.167430573315674</v>
      </c>
      <c r="Z246">
        <v>43.376550340286443</v>
      </c>
      <c r="AA246">
        <v>89.484999999999999</v>
      </c>
      <c r="AB246">
        <v>42.467750000000002</v>
      </c>
      <c r="AC246">
        <f t="shared" si="96"/>
        <v>2.3690153829918813E-2</v>
      </c>
      <c r="AD246">
        <f t="shared" si="97"/>
        <v>9.5972077378055812E-2</v>
      </c>
      <c r="AE246">
        <f t="shared" si="98"/>
        <v>7.2281923548137006E-2</v>
      </c>
      <c r="AF246">
        <f t="shared" si="99"/>
        <v>0.40511029289603223</v>
      </c>
      <c r="AH246">
        <f t="shared" si="100"/>
        <v>-2.641236435152582E-2</v>
      </c>
      <c r="AI246">
        <f t="shared" si="101"/>
        <v>0.27999797442526586</v>
      </c>
      <c r="AJ246">
        <f t="shared" si="102"/>
        <v>0.30641033877679169</v>
      </c>
      <c r="AK246">
        <f t="shared" si="103"/>
        <v>0.9586983871179553</v>
      </c>
      <c r="AM246">
        <f t="shared" si="104"/>
        <v>9.7340512430293888E-2</v>
      </c>
      <c r="AN246">
        <f t="shared" si="105"/>
        <v>0.54271124749375221</v>
      </c>
      <c r="AO246">
        <f t="shared" si="106"/>
        <v>0.44537073506345831</v>
      </c>
      <c r="AP246">
        <f t="shared" si="107"/>
        <v>0.86049042957669575</v>
      </c>
      <c r="AR246">
        <f t="shared" si="108"/>
        <v>0.16153009730676865</v>
      </c>
      <c r="AS246">
        <f t="shared" si="109"/>
        <v>-1.0512042772440504</v>
      </c>
      <c r="AT246">
        <f t="shared" si="110"/>
        <v>-1.212734374550819</v>
      </c>
      <c r="AU246">
        <f t="shared" si="111"/>
        <v>-1.1595107718086208</v>
      </c>
    </row>
    <row r="247" spans="1:47" x14ac:dyDescent="0.25">
      <c r="A247" s="4">
        <f>DATE(2023,8,21)</f>
        <v>45159</v>
      </c>
      <c r="B247">
        <v>0.36631326855947954</v>
      </c>
      <c r="C247">
        <v>53.066184521527518</v>
      </c>
      <c r="D247">
        <v>0.59907145297968378</v>
      </c>
      <c r="E247">
        <f t="shared" si="84"/>
        <v>0.72196288502948203</v>
      </c>
      <c r="F247">
        <f t="shared" si="85"/>
        <v>0.44540675526404755</v>
      </c>
      <c r="G247">
        <f t="shared" si="86"/>
        <v>0.44310941964077799</v>
      </c>
      <c r="H247" s="2" t="str">
        <f t="shared" si="87"/>
        <v>Lower</v>
      </c>
      <c r="I247" s="2" t="str">
        <f t="shared" si="88"/>
        <v>Higher</v>
      </c>
      <c r="J247" s="2" t="str">
        <f t="shared" si="89"/>
        <v>Lower</v>
      </c>
      <c r="K247" s="2" t="str">
        <f t="shared" si="90"/>
        <v>Higher</v>
      </c>
      <c r="L247" s="2" t="str">
        <f t="shared" si="91"/>
        <v>Higher</v>
      </c>
      <c r="M247" s="2" t="str">
        <f t="shared" si="92"/>
        <v>Lower</v>
      </c>
      <c r="N247" s="2" t="str">
        <f t="shared" si="93"/>
        <v>Higher</v>
      </c>
      <c r="O247" s="2" t="str">
        <f t="shared" si="94"/>
        <v>Higher</v>
      </c>
      <c r="P247" s="2" t="str">
        <f t="shared" si="95"/>
        <v>Lower</v>
      </c>
      <c r="R247" s="4">
        <f>DATE(2023,8,21)</f>
        <v>45159</v>
      </c>
      <c r="S247">
        <v>-0.48225197892312699</v>
      </c>
      <c r="T247">
        <v>-3.013166268377742E-2</v>
      </c>
      <c r="U247">
        <v>0.56560157760465901</v>
      </c>
      <c r="V247">
        <v>-0.41472534264963523</v>
      </c>
      <c r="X247" s="4">
        <f>DATE(2023,8,21)</f>
        <v>45159</v>
      </c>
      <c r="Y247">
        <v>20.53971743658159</v>
      </c>
      <c r="Z247">
        <v>39.88628847617867</v>
      </c>
      <c r="AA247">
        <v>87.832499999999996</v>
      </c>
      <c r="AB247">
        <v>40.228499999999997</v>
      </c>
      <c r="AC247">
        <f t="shared" si="96"/>
        <v>4.8791023391177779E-3</v>
      </c>
      <c r="AD247">
        <f t="shared" si="97"/>
        <v>0.14461354473154869</v>
      </c>
      <c r="AE247">
        <f t="shared" si="98"/>
        <v>0.13973444239243091</v>
      </c>
      <c r="AF247">
        <f t="shared" si="99"/>
        <v>0.76738787313171875</v>
      </c>
      <c r="AH247">
        <f t="shared" si="100"/>
        <v>-3.9102474126382257E-2</v>
      </c>
      <c r="AI247">
        <f t="shared" si="101"/>
        <v>0.29487109830564256</v>
      </c>
      <c r="AJ247">
        <f t="shared" si="102"/>
        <v>0.3339735724320248</v>
      </c>
      <c r="AK247">
        <f t="shared" si="103"/>
        <v>1.0413766048690924</v>
      </c>
      <c r="AM247">
        <f t="shared" si="104"/>
        <v>5.4094103607079773E-2</v>
      </c>
      <c r="AN247" t="str">
        <f t="shared" si="105"/>
        <v/>
      </c>
      <c r="AO247" t="str">
        <f t="shared" si="106"/>
        <v/>
      </c>
      <c r="AP247" t="str">
        <f t="shared" si="107"/>
        <v/>
      </c>
      <c r="AR247">
        <f t="shared" si="108"/>
        <v>0.15444958881169862</v>
      </c>
      <c r="AS247">
        <f t="shared" si="109"/>
        <v>-1.0390228807778947</v>
      </c>
      <c r="AT247">
        <f t="shared" si="110"/>
        <v>-1.1934724695895933</v>
      </c>
      <c r="AU247">
        <f t="shared" si="111"/>
        <v>-1.14531854729085</v>
      </c>
    </row>
    <row r="248" spans="1:47" x14ac:dyDescent="0.25">
      <c r="A248" s="4">
        <f>DATE(2023,8,18)</f>
        <v>45156</v>
      </c>
      <c r="B248">
        <v>0.39123562344388241</v>
      </c>
      <c r="C248">
        <v>53.566100374353482</v>
      </c>
      <c r="D248">
        <v>0.5907488689891085</v>
      </c>
      <c r="E248">
        <f t="shared" si="84"/>
        <v>0.75877274669609784</v>
      </c>
      <c r="F248">
        <f t="shared" si="85"/>
        <v>0.48025619820650217</v>
      </c>
      <c r="G248">
        <f t="shared" si="86"/>
        <v>0.40462981507640505</v>
      </c>
      <c r="H248" s="2" t="str">
        <f t="shared" si="87"/>
        <v>Higher</v>
      </c>
      <c r="I248" s="2" t="str">
        <f t="shared" si="88"/>
        <v>Higher</v>
      </c>
      <c r="J248" s="2" t="str">
        <f t="shared" si="89"/>
        <v>Lower</v>
      </c>
      <c r="K248" s="2" t="str">
        <f t="shared" si="90"/>
        <v>Higher</v>
      </c>
      <c r="L248" s="2" t="str">
        <f t="shared" si="91"/>
        <v>Higher</v>
      </c>
      <c r="M248" s="2" t="str">
        <f t="shared" si="92"/>
        <v>Lower</v>
      </c>
      <c r="N248" s="2" t="str">
        <f t="shared" si="93"/>
        <v>Higher</v>
      </c>
      <c r="O248" s="2" t="str">
        <f t="shared" si="94"/>
        <v>Higher</v>
      </c>
      <c r="P248" s="2" t="str">
        <f t="shared" si="95"/>
        <v>Lower</v>
      </c>
      <c r="R248" s="4">
        <f>DATE(2023,8,18)</f>
        <v>45156</v>
      </c>
      <c r="S248">
        <v>-0.15060049258283922</v>
      </c>
      <c r="T248">
        <v>-5.1008322560925488E-2</v>
      </c>
      <c r="U248">
        <v>0.57784966507972302</v>
      </c>
      <c r="V248">
        <v>-0.42097386633120254</v>
      </c>
      <c r="X248" s="4">
        <f>DATE(2023,8,18)</f>
        <v>45156</v>
      </c>
      <c r="Y248">
        <v>21.794639463685748</v>
      </c>
      <c r="Z248">
        <v>36.706690705502204</v>
      </c>
      <c r="AA248">
        <v>88.094999999999999</v>
      </c>
      <c r="AB248">
        <v>36.563749999999999</v>
      </c>
      <c r="AC248">
        <f t="shared" si="96"/>
        <v>2.2964439904443409E-2</v>
      </c>
      <c r="AD248">
        <f t="shared" si="97"/>
        <v>2.3871610263645943E-2</v>
      </c>
      <c r="AE248">
        <f t="shared" si="98"/>
        <v>9.0717035920253458E-4</v>
      </c>
      <c r="AF248">
        <f t="shared" si="99"/>
        <v>2.6086423288427356E-2</v>
      </c>
      <c r="AH248">
        <f t="shared" si="100"/>
        <v>-3.6501419367936751E-2</v>
      </c>
      <c r="AI248">
        <f t="shared" si="101"/>
        <v>0.24022825914702359</v>
      </c>
      <c r="AJ248">
        <f t="shared" si="102"/>
        <v>0.27672967851496033</v>
      </c>
      <c r="AK248">
        <f t="shared" si="103"/>
        <v>0.8762027559485952</v>
      </c>
      <c r="AM248">
        <f t="shared" si="104"/>
        <v>6.595087320319494E-2</v>
      </c>
      <c r="AN248">
        <f t="shared" si="105"/>
        <v>0.39768376270980704</v>
      </c>
      <c r="AO248">
        <f t="shared" si="106"/>
        <v>0.33173288950661212</v>
      </c>
      <c r="AP248">
        <f t="shared" si="107"/>
        <v>0.66439227167974058</v>
      </c>
      <c r="AR248">
        <f t="shared" si="108"/>
        <v>0.15670326611984584</v>
      </c>
      <c r="AS248">
        <f t="shared" si="109"/>
        <v>-0.9844090401024389</v>
      </c>
      <c r="AT248">
        <f t="shared" si="110"/>
        <v>-1.1411123062222848</v>
      </c>
      <c r="AU248">
        <f t="shared" si="111"/>
        <v>-1.0994545714614852</v>
      </c>
    </row>
    <row r="249" spans="1:47" x14ac:dyDescent="0.25">
      <c r="A249" s="4">
        <f>DATE(2023,8,17)</f>
        <v>45155</v>
      </c>
      <c r="B249">
        <v>0.3905151790575293</v>
      </c>
      <c r="C249">
        <v>56.734633039155511</v>
      </c>
      <c r="D249">
        <v>0.64199412903597775</v>
      </c>
      <c r="E249">
        <f t="shared" si="84"/>
        <v>0.75705911925745817</v>
      </c>
      <c r="F249">
        <f t="shared" si="85"/>
        <v>0.80364744597062931</v>
      </c>
      <c r="G249">
        <f t="shared" si="86"/>
        <v>0.56106980189613231</v>
      </c>
      <c r="H249" s="2" t="str">
        <f t="shared" si="87"/>
        <v>Higher</v>
      </c>
      <c r="I249" s="2" t="str">
        <f t="shared" si="88"/>
        <v>Higher</v>
      </c>
      <c r="J249" s="2" t="str">
        <f t="shared" si="89"/>
        <v>Lower</v>
      </c>
      <c r="K249" s="2" t="str">
        <f t="shared" si="90"/>
        <v>Higher</v>
      </c>
      <c r="L249" s="2" t="str">
        <f t="shared" si="91"/>
        <v>Higher</v>
      </c>
      <c r="M249" s="2" t="str">
        <f t="shared" si="92"/>
        <v>Lower</v>
      </c>
      <c r="N249" s="2" t="str">
        <f t="shared" si="93"/>
        <v>Higher</v>
      </c>
      <c r="O249" s="2" t="str">
        <f t="shared" si="94"/>
        <v>Higher</v>
      </c>
      <c r="P249" s="2" t="str">
        <f t="shared" si="95"/>
        <v>Lower</v>
      </c>
      <c r="R249" s="4">
        <f>DATE(2023,8,17)</f>
        <v>45155</v>
      </c>
      <c r="S249">
        <v>0.17137816892205684</v>
      </c>
      <c r="T249">
        <v>-7.6449064379436923E-2</v>
      </c>
      <c r="U249">
        <v>0.57928586047214425</v>
      </c>
      <c r="V249">
        <v>-0.42516842606051414</v>
      </c>
      <c r="X249" s="4">
        <f>DATE(2023,8,17)</f>
        <v>45155</v>
      </c>
      <c r="Y249">
        <v>23.082969790249479</v>
      </c>
      <c r="Z249">
        <v>38.454926855992575</v>
      </c>
      <c r="AA249">
        <v>88.8125</v>
      </c>
      <c r="AB249">
        <v>37.325000000000003</v>
      </c>
      <c r="AC249">
        <f t="shared" si="96"/>
        <v>4.9273039355581319E-2</v>
      </c>
      <c r="AD249">
        <f t="shared" si="97"/>
        <v>-5.7903035885013806E-3</v>
      </c>
      <c r="AE249">
        <f t="shared" si="98"/>
        <v>-5.5063342944082702E-2</v>
      </c>
      <c r="AF249">
        <f t="shared" si="99"/>
        <v>-0.27406610242349305</v>
      </c>
      <c r="AH249">
        <f t="shared" si="100"/>
        <v>-1.6166988541535612E-2</v>
      </c>
      <c r="AI249">
        <f t="shared" si="101"/>
        <v>0.3091750760553133</v>
      </c>
      <c r="AJ249">
        <f t="shared" si="102"/>
        <v>0.32534206459684889</v>
      </c>
      <c r="AK249">
        <f t="shared" si="103"/>
        <v>1.0194969606892081</v>
      </c>
      <c r="AM249">
        <f t="shared" si="104"/>
        <v>6.23995951648025E-2</v>
      </c>
      <c r="AN249">
        <f t="shared" si="105"/>
        <v>0.37031651114196429</v>
      </c>
      <c r="AO249">
        <f t="shared" si="106"/>
        <v>0.30791691597716181</v>
      </c>
      <c r="AP249">
        <f t="shared" si="107"/>
        <v>0.62272864209618628</v>
      </c>
      <c r="AR249">
        <f t="shared" si="108"/>
        <v>0.19987657814117732</v>
      </c>
      <c r="AS249">
        <f t="shared" si="109"/>
        <v>-1.111716496556624</v>
      </c>
      <c r="AT249">
        <f t="shared" si="110"/>
        <v>-1.3115930746978013</v>
      </c>
      <c r="AU249">
        <f t="shared" si="111"/>
        <v>-1.2668403905184513</v>
      </c>
    </row>
    <row r="250" spans="1:47" x14ac:dyDescent="0.25">
      <c r="A250" s="4">
        <f>DATE(2023,8,16)</f>
        <v>45154</v>
      </c>
      <c r="B250">
        <v>0.27908989333928547</v>
      </c>
      <c r="C250">
        <v>55.618532401408387</v>
      </c>
      <c r="D250">
        <v>0.60010562777485188</v>
      </c>
      <c r="E250">
        <f t="shared" si="84"/>
        <v>0.57861343044916458</v>
      </c>
      <c r="F250">
        <f t="shared" si="85"/>
        <v>0.66648938411407099</v>
      </c>
      <c r="G250">
        <f t="shared" si="86"/>
        <v>0.41537703114198393</v>
      </c>
      <c r="H250" s="2" t="str">
        <f t="shared" si="87"/>
        <v>Higher</v>
      </c>
      <c r="I250" s="2" t="str">
        <f t="shared" si="88"/>
        <v>Higher</v>
      </c>
      <c r="J250" s="2" t="str">
        <f t="shared" si="89"/>
        <v>Lower</v>
      </c>
      <c r="K250" s="2" t="str">
        <f t="shared" si="90"/>
        <v>Higher</v>
      </c>
      <c r="L250" s="2" t="str">
        <f t="shared" si="91"/>
        <v>Higher</v>
      </c>
      <c r="M250" s="2" t="str">
        <f t="shared" si="92"/>
        <v>Lower</v>
      </c>
      <c r="N250" s="2" t="str">
        <f t="shared" si="93"/>
        <v>Higher</v>
      </c>
      <c r="O250" s="2" t="str">
        <f t="shared" si="94"/>
        <v>Higher</v>
      </c>
      <c r="P250" s="2" t="str">
        <f t="shared" si="95"/>
        <v>Lower</v>
      </c>
      <c r="R250" s="4">
        <f>DATE(2023,8,16)</f>
        <v>45154</v>
      </c>
      <c r="S250">
        <v>-1.7460266189119431E-2</v>
      </c>
      <c r="T250">
        <v>-0.12262610051717711</v>
      </c>
      <c r="U250">
        <v>0.57416626243542335</v>
      </c>
      <c r="V250">
        <v>-0.42941144209051468</v>
      </c>
      <c r="X250" s="4">
        <f>DATE(2023,8,16)</f>
        <v>45154</v>
      </c>
      <c r="Y250">
        <v>21.536870465149853</v>
      </c>
      <c r="Z250">
        <v>41.095370496204048</v>
      </c>
      <c r="AA250">
        <v>88.164999999999992</v>
      </c>
      <c r="AB250">
        <v>38.639499999999998</v>
      </c>
      <c r="AC250">
        <f t="shared" si="96"/>
        <v>4.4768883629942718E-2</v>
      </c>
      <c r="AD250">
        <f t="shared" si="97"/>
        <v>-9.5493628092030609E-3</v>
      </c>
      <c r="AE250">
        <f t="shared" si="98"/>
        <v>-5.4318246439145776E-2</v>
      </c>
      <c r="AF250">
        <f t="shared" si="99"/>
        <v>-0.27153083918730109</v>
      </c>
      <c r="AH250">
        <f t="shared" si="100"/>
        <v>-6.218925515656018E-3</v>
      </c>
      <c r="AI250">
        <f t="shared" si="101"/>
        <v>0.36172136475659139</v>
      </c>
      <c r="AJ250">
        <f t="shared" si="102"/>
        <v>0.36794029027224739</v>
      </c>
      <c r="AK250">
        <f t="shared" si="103"/>
        <v>1.1459936859975537</v>
      </c>
      <c r="AM250">
        <f t="shared" si="104"/>
        <v>3.3299414069049259E-2</v>
      </c>
      <c r="AN250">
        <f t="shared" si="105"/>
        <v>0.32220449666745971</v>
      </c>
      <c r="AO250">
        <f t="shared" si="106"/>
        <v>0.28890508259841047</v>
      </c>
      <c r="AP250">
        <f t="shared" si="107"/>
        <v>0.58897896403257544</v>
      </c>
      <c r="AR250">
        <f t="shared" si="108"/>
        <v>0.17849516590940739</v>
      </c>
      <c r="AS250">
        <f t="shared" si="109"/>
        <v>-1.0743862744161956</v>
      </c>
      <c r="AT250">
        <f t="shared" si="110"/>
        <v>-1.252881440325603</v>
      </c>
      <c r="AU250">
        <f t="shared" si="111"/>
        <v>-1.2157507179025493</v>
      </c>
    </row>
    <row r="251" spans="1:47" x14ac:dyDescent="0.25">
      <c r="A251" s="4">
        <f>DATE(2023,8,15)</f>
        <v>45153</v>
      </c>
      <c r="B251">
        <v>0.12497884373038159</v>
      </c>
      <c r="C251">
        <v>51.557503125602686</v>
      </c>
      <c r="D251">
        <v>0.48656594111427098</v>
      </c>
      <c r="E251">
        <f t="shared" si="84"/>
        <v>0.33354670562549482</v>
      </c>
      <c r="F251">
        <f t="shared" si="85"/>
        <v>0.23264208425013219</v>
      </c>
      <c r="G251">
        <f t="shared" si="86"/>
        <v>4.869259060288033E-2</v>
      </c>
      <c r="H251" s="2" t="str">
        <f t="shared" si="87"/>
        <v>Lower</v>
      </c>
      <c r="I251" s="2" t="str">
        <f t="shared" si="88"/>
        <v>Higher</v>
      </c>
      <c r="J251" s="2" t="str">
        <f t="shared" si="89"/>
        <v>Lower</v>
      </c>
      <c r="K251" s="2" t="str">
        <f t="shared" si="90"/>
        <v>Lower</v>
      </c>
      <c r="L251" s="2" t="str">
        <f t="shared" si="91"/>
        <v>Higher</v>
      </c>
      <c r="M251" s="2" t="str">
        <f t="shared" si="92"/>
        <v>Lower</v>
      </c>
      <c r="N251" s="2" t="str">
        <f t="shared" si="93"/>
        <v>Higher</v>
      </c>
      <c r="O251" s="2" t="str">
        <f t="shared" si="94"/>
        <v>Higher</v>
      </c>
      <c r="P251" s="2" t="str">
        <f t="shared" si="95"/>
        <v>Lower</v>
      </c>
      <c r="R251" s="4">
        <f>DATE(2023,8,15)</f>
        <v>45153</v>
      </c>
      <c r="S251">
        <v>-0.65580633334326099</v>
      </c>
      <c r="T251">
        <v>-0.181529163811392</v>
      </c>
      <c r="U251">
        <v>0.56821246366748546</v>
      </c>
      <c r="V251">
        <v>-0.43582012089397454</v>
      </c>
      <c r="X251" s="4">
        <f>DATE(2023,8,15)</f>
        <v>45153</v>
      </c>
      <c r="Y251">
        <v>22.013600862011504</v>
      </c>
      <c r="Z251">
        <v>42.485446312202782</v>
      </c>
      <c r="AA251">
        <v>87.39</v>
      </c>
      <c r="AB251">
        <v>38.581500000000005</v>
      </c>
      <c r="AC251">
        <f t="shared" si="96"/>
        <v>4.045731677335429E-2</v>
      </c>
      <c r="AD251">
        <f t="shared" si="97"/>
        <v>0.22191962040093358</v>
      </c>
      <c r="AE251">
        <f t="shared" si="98"/>
        <v>0.18146230362757929</v>
      </c>
      <c r="AF251">
        <f t="shared" si="99"/>
        <v>0.98947688826231484</v>
      </c>
      <c r="AH251">
        <f t="shared" si="100"/>
        <v>9.4448983108425357E-4</v>
      </c>
      <c r="AI251">
        <f t="shared" si="101"/>
        <v>0.36719213930840827</v>
      </c>
      <c r="AJ251">
        <f t="shared" si="102"/>
        <v>0.36624764947732402</v>
      </c>
      <c r="AK251">
        <f t="shared" si="103"/>
        <v>1.143444375235005</v>
      </c>
      <c r="AM251">
        <f t="shared" si="104"/>
        <v>1.5713847058796832E-2</v>
      </c>
      <c r="AN251">
        <f t="shared" si="105"/>
        <v>0.28110730791448202</v>
      </c>
      <c r="AO251">
        <f t="shared" si="106"/>
        <v>0.26539346085568516</v>
      </c>
      <c r="AP251">
        <f t="shared" si="107"/>
        <v>0.54774489495094225</v>
      </c>
      <c r="AR251">
        <f t="shared" si="108"/>
        <v>0.13485638361704375</v>
      </c>
      <c r="AS251">
        <f t="shared" si="109"/>
        <v>-1.1191567248884045</v>
      </c>
      <c r="AT251">
        <f t="shared" si="110"/>
        <v>-1.2540131085054482</v>
      </c>
      <c r="AU251">
        <f t="shared" si="111"/>
        <v>-1.2215972978714595</v>
      </c>
    </row>
    <row r="252" spans="1:47" x14ac:dyDescent="0.25">
      <c r="A252" s="4">
        <f>DATE(2023,8,14)</f>
        <v>45152</v>
      </c>
      <c r="B252">
        <v>1.3397534667954347E-2</v>
      </c>
      <c r="C252">
        <v>53.61262558628539</v>
      </c>
      <c r="D252">
        <v>0.53526169780880894</v>
      </c>
      <c r="E252">
        <f t="shared" si="84"/>
        <v>0.15506885905074586</v>
      </c>
      <c r="F252">
        <f t="shared" si="85"/>
        <v>0.43939749104410819</v>
      </c>
      <c r="G252">
        <f t="shared" si="86"/>
        <v>0.19816603734932969</v>
      </c>
      <c r="H252" s="2" t="str">
        <f t="shared" si="87"/>
        <v>Lower</v>
      </c>
      <c r="I252" s="2" t="str">
        <f t="shared" si="88"/>
        <v>Higher</v>
      </c>
      <c r="J252" s="2" t="str">
        <f t="shared" si="89"/>
        <v>Lower</v>
      </c>
      <c r="K252" s="2" t="str">
        <f t="shared" si="90"/>
        <v>Lower</v>
      </c>
      <c r="L252" s="2" t="str">
        <f t="shared" si="91"/>
        <v>Higher</v>
      </c>
      <c r="M252" s="2" t="str">
        <f t="shared" si="92"/>
        <v>Lower</v>
      </c>
      <c r="N252" s="2" t="str">
        <f t="shared" si="93"/>
        <v>Higher</v>
      </c>
      <c r="O252" s="2" t="str">
        <f t="shared" si="94"/>
        <v>Higher</v>
      </c>
      <c r="P252" s="2" t="str">
        <f t="shared" si="95"/>
        <v>Lower</v>
      </c>
      <c r="R252" s="4">
        <f>DATE(2023,8,14)</f>
        <v>45152</v>
      </c>
      <c r="S252">
        <v>-0.2429220726967164</v>
      </c>
      <c r="T252">
        <v>-0.19597358364378176</v>
      </c>
      <c r="U252">
        <v>0.57509409429841574</v>
      </c>
      <c r="V252">
        <v>-0.44128085682495499</v>
      </c>
      <c r="X252" s="4">
        <f>DATE(2023,8,14)</f>
        <v>45152</v>
      </c>
      <c r="Y252">
        <v>21.945336749706193</v>
      </c>
      <c r="Z252">
        <v>39.282002894096372</v>
      </c>
      <c r="AA252">
        <v>87.405000000000001</v>
      </c>
      <c r="AB252">
        <v>34.811999999999998</v>
      </c>
      <c r="AC252">
        <f t="shared" si="96"/>
        <v>5.0146841720150583E-2</v>
      </c>
      <c r="AD252">
        <f t="shared" si="97"/>
        <v>0.13556888983771609</v>
      </c>
      <c r="AE252">
        <f t="shared" si="98"/>
        <v>8.5422048117565513E-2</v>
      </c>
      <c r="AF252">
        <f t="shared" si="99"/>
        <v>0.47710204293096692</v>
      </c>
      <c r="AH252">
        <f t="shared" si="100"/>
        <v>1.338939365435474E-2</v>
      </c>
      <c r="AI252">
        <f t="shared" si="101"/>
        <v>0.32657651458123821</v>
      </c>
      <c r="AJ252">
        <f t="shared" si="102"/>
        <v>0.31318712092688344</v>
      </c>
      <c r="AK252">
        <f t="shared" si="103"/>
        <v>0.98991983117876259</v>
      </c>
      <c r="AM252">
        <f t="shared" si="104"/>
        <v>-7.4091299839014477E-3</v>
      </c>
      <c r="AN252">
        <f t="shared" si="105"/>
        <v>0.15433861161455778</v>
      </c>
      <c r="AO252">
        <f t="shared" si="106"/>
        <v>0.16174774159845923</v>
      </c>
      <c r="AP252">
        <f t="shared" si="107"/>
        <v>0.36937567020519213</v>
      </c>
      <c r="AR252">
        <f t="shared" si="108"/>
        <v>0.12441213315367439</v>
      </c>
      <c r="AS252">
        <f t="shared" si="109"/>
        <v>-1.1476322322503176</v>
      </c>
      <c r="AT252">
        <f t="shared" si="110"/>
        <v>-1.2720443654039921</v>
      </c>
      <c r="AU252">
        <f t="shared" si="111"/>
        <v>-1.2437114458895409</v>
      </c>
    </row>
    <row r="253" spans="1:47" x14ac:dyDescent="0.25">
      <c r="A253" s="4">
        <f>DATE(2023,8,11)</f>
        <v>45149</v>
      </c>
      <c r="B253">
        <v>-0.21704973087041146</v>
      </c>
      <c r="C253">
        <v>50.562908498595633</v>
      </c>
      <c r="D253">
        <v>0.45775728638875696</v>
      </c>
      <c r="E253">
        <f t="shared" si="84"/>
        <v>-0.21583305292668542</v>
      </c>
      <c r="F253">
        <f t="shared" si="85"/>
        <v>0.11766623317789865</v>
      </c>
      <c r="G253">
        <f t="shared" si="86"/>
        <v>-5.1396419299507903E-2</v>
      </c>
      <c r="H253" s="2" t="str">
        <f t="shared" si="87"/>
        <v>Lower</v>
      </c>
      <c r="I253" s="2" t="str">
        <f t="shared" si="88"/>
        <v>Higher</v>
      </c>
      <c r="J253" s="2" t="str">
        <f t="shared" si="89"/>
        <v>Lower</v>
      </c>
      <c r="K253" s="2" t="str">
        <f t="shared" si="90"/>
        <v>Lower</v>
      </c>
      <c r="L253" s="2" t="str">
        <f t="shared" si="91"/>
        <v>Higher</v>
      </c>
      <c r="M253" s="2" t="str">
        <f t="shared" si="92"/>
        <v>Lower</v>
      </c>
      <c r="N253" s="2" t="str">
        <f t="shared" si="93"/>
        <v>Higher</v>
      </c>
      <c r="O253" s="2" t="str">
        <f t="shared" si="94"/>
        <v>Higher</v>
      </c>
      <c r="P253" s="2" t="str">
        <f t="shared" si="95"/>
        <v>Lower</v>
      </c>
      <c r="R253" s="4">
        <f>DATE(2023,8,11)</f>
        <v>45149</v>
      </c>
      <c r="S253">
        <v>0.32760203538023963</v>
      </c>
      <c r="T253">
        <v>-0.14702717215435876</v>
      </c>
      <c r="U253">
        <v>0.57626720037982193</v>
      </c>
      <c r="V253">
        <v>-0.44730765575545084</v>
      </c>
      <c r="X253" s="4">
        <f>DATE(2023,8,11)</f>
        <v>45149</v>
      </c>
      <c r="Y253">
        <v>19.561323521325352</v>
      </c>
      <c r="Z253">
        <v>42.181761874070183</v>
      </c>
      <c r="AA253">
        <v>86.094999999999999</v>
      </c>
      <c r="AB253">
        <v>35.701250000000002</v>
      </c>
      <c r="AC253">
        <f t="shared" si="96"/>
        <v>2.4098968052791575E-2</v>
      </c>
      <c r="AD253">
        <f t="shared" si="97"/>
        <v>0.20671814513898326</v>
      </c>
      <c r="AE253">
        <f t="shared" si="98"/>
        <v>0.18261917708619169</v>
      </c>
      <c r="AF253">
        <f t="shared" si="99"/>
        <v>0.99853647269085244</v>
      </c>
      <c r="AH253">
        <f t="shared" si="100"/>
        <v>-3.3916516793636368E-3</v>
      </c>
      <c r="AI253">
        <f t="shared" si="101"/>
        <v>0.30064813848511751</v>
      </c>
      <c r="AJ253">
        <f t="shared" si="102"/>
        <v>0.30403979016448113</v>
      </c>
      <c r="AK253">
        <f t="shared" si="103"/>
        <v>0.96441883179512722</v>
      </c>
      <c r="AM253">
        <f t="shared" si="104"/>
        <v>-4.5302331329514188E-2</v>
      </c>
      <c r="AN253">
        <f t="shared" si="105"/>
        <v>0.16813879572717275</v>
      </c>
      <c r="AO253">
        <f t="shared" si="106"/>
        <v>0.21344112705668694</v>
      </c>
      <c r="AP253">
        <f t="shared" si="107"/>
        <v>0.45612687028435972</v>
      </c>
      <c r="AR253">
        <f t="shared" si="108"/>
        <v>0.1103804831161113</v>
      </c>
      <c r="AS253">
        <f t="shared" si="109"/>
        <v>-1.1678838230510795</v>
      </c>
      <c r="AT253">
        <f t="shared" si="110"/>
        <v>-1.2782643061671908</v>
      </c>
      <c r="AU253">
        <f t="shared" si="111"/>
        <v>-1.2545502614444506</v>
      </c>
    </row>
    <row r="254" spans="1:47" x14ac:dyDescent="0.25">
      <c r="A254" s="4">
        <f>DATE(2023,8,10)</f>
        <v>45148</v>
      </c>
      <c r="B254">
        <v>-0.45491505509486019</v>
      </c>
      <c r="C254">
        <v>44.345292695608919</v>
      </c>
      <c r="D254">
        <v>0.31007337432366378</v>
      </c>
      <c r="E254">
        <f t="shared" si="84"/>
        <v>-0.60158057750733052</v>
      </c>
      <c r="F254">
        <f t="shared" si="85"/>
        <v>-0.53157179720232928</v>
      </c>
      <c r="G254">
        <f t="shared" si="86"/>
        <v>-0.52411907819289205</v>
      </c>
      <c r="H254" s="2" t="str">
        <f t="shared" si="87"/>
        <v>Lower</v>
      </c>
      <c r="I254" s="2" t="str">
        <f t="shared" si="88"/>
        <v>Higher</v>
      </c>
      <c r="J254" s="2" t="str">
        <f t="shared" si="89"/>
        <v>Lower</v>
      </c>
      <c r="K254" s="2" t="str">
        <f t="shared" si="90"/>
        <v>Lower</v>
      </c>
      <c r="L254" s="2" t="str">
        <f t="shared" si="91"/>
        <v>Higher</v>
      </c>
      <c r="M254" s="2" t="str">
        <f t="shared" si="92"/>
        <v>Lower</v>
      </c>
      <c r="N254" s="2" t="str">
        <f t="shared" si="93"/>
        <v>Lower</v>
      </c>
      <c r="O254" s="2" t="str">
        <f t="shared" si="94"/>
        <v>Higher</v>
      </c>
      <c r="P254" s="2" t="str">
        <f t="shared" si="95"/>
        <v>Lower</v>
      </c>
      <c r="R254" s="4">
        <f>DATE(2023,8,10)</f>
        <v>45148</v>
      </c>
      <c r="S254">
        <v>0.48801828191762475</v>
      </c>
      <c r="T254">
        <v>-0.12683435954539307</v>
      </c>
      <c r="U254">
        <v>0.58379856827077858</v>
      </c>
      <c r="V254">
        <v>-0.45808420207899198</v>
      </c>
      <c r="X254" s="4">
        <f>DATE(2023,8,10)</f>
        <v>45148</v>
      </c>
      <c r="Y254">
        <v>16.377108634331329</v>
      </c>
      <c r="Z254">
        <v>44.118005059958143</v>
      </c>
      <c r="AA254">
        <v>84.542500000000004</v>
      </c>
      <c r="AB254">
        <v>37.54175</v>
      </c>
      <c r="AC254">
        <f t="shared" si="96"/>
        <v>-8.8673451069244257E-4</v>
      </c>
      <c r="AD254">
        <f t="shared" si="97"/>
        <v>0.2079237040640402</v>
      </c>
      <c r="AE254">
        <f t="shared" si="98"/>
        <v>0.20881043857473264</v>
      </c>
      <c r="AF254">
        <f t="shared" si="99"/>
        <v>1.1416380119274248</v>
      </c>
      <c r="AH254">
        <f t="shared" si="100"/>
        <v>-1.6976643921067094E-2</v>
      </c>
      <c r="AI254">
        <f t="shared" si="101"/>
        <v>0.33902198269472417</v>
      </c>
      <c r="AJ254">
        <f t="shared" si="102"/>
        <v>0.35599862661579124</v>
      </c>
      <c r="AK254">
        <f t="shared" si="103"/>
        <v>1.1186079164650742</v>
      </c>
      <c r="AM254">
        <f t="shared" si="104"/>
        <v>-5.6509285662001973E-2</v>
      </c>
      <c r="AN254">
        <f t="shared" si="105"/>
        <v>0.2297714460397102</v>
      </c>
      <c r="AO254">
        <f t="shared" si="106"/>
        <v>0.2862807317017122</v>
      </c>
      <c r="AP254">
        <f t="shared" si="107"/>
        <v>0.57909739069601773</v>
      </c>
      <c r="AR254">
        <f t="shared" si="108"/>
        <v>9.957154567990828E-2</v>
      </c>
      <c r="AS254">
        <f t="shared" si="109"/>
        <v>-1.2064137684878431</v>
      </c>
      <c r="AT254">
        <f t="shared" si="110"/>
        <v>-1.3059853141677513</v>
      </c>
      <c r="AU254">
        <f t="shared" si="111"/>
        <v>-1.2861142913438992</v>
      </c>
    </row>
    <row r="255" spans="1:47" x14ac:dyDescent="0.25">
      <c r="A255" s="4">
        <f>DATE(2023,8,9)</f>
        <v>45147</v>
      </c>
      <c r="B255">
        <v>-0.60099798146852024</v>
      </c>
      <c r="C255">
        <v>40.753364566745113</v>
      </c>
      <c r="D255">
        <v>0.22537753751752512</v>
      </c>
      <c r="E255">
        <f t="shared" si="84"/>
        <v>-0.84408647912344514</v>
      </c>
      <c r="F255">
        <f t="shared" si="85"/>
        <v>-0.91041001563919399</v>
      </c>
      <c r="G255">
        <f t="shared" si="86"/>
        <v>-0.79978888638393564</v>
      </c>
      <c r="H255" s="2" t="str">
        <f t="shared" si="87"/>
        <v>Lower</v>
      </c>
      <c r="I255" s="2" t="str">
        <f t="shared" si="88"/>
        <v>Higher</v>
      </c>
      <c r="J255" s="2" t="str">
        <f t="shared" si="89"/>
        <v>Lower</v>
      </c>
      <c r="K255" s="2" t="str">
        <f t="shared" si="90"/>
        <v>Lower</v>
      </c>
      <c r="L255" s="2" t="str">
        <f t="shared" si="91"/>
        <v>Higher</v>
      </c>
      <c r="M255" s="2" t="str">
        <f t="shared" si="92"/>
        <v>Lower</v>
      </c>
      <c r="N255" s="2" t="str">
        <f t="shared" si="93"/>
        <v>Lower</v>
      </c>
      <c r="O255" s="2" t="str">
        <f t="shared" si="94"/>
        <v>Higher</v>
      </c>
      <c r="P255" s="2" t="str">
        <f t="shared" si="95"/>
        <v>Lower</v>
      </c>
      <c r="R255" s="4">
        <f>DATE(2023,8,9)</f>
        <v>45147</v>
      </c>
      <c r="S255">
        <v>9.3959057473288615E-2</v>
      </c>
      <c r="T255">
        <v>-6.8980322142874084E-2</v>
      </c>
      <c r="U255">
        <v>0.61152671671574377</v>
      </c>
      <c r="V255">
        <v>-0.4737425899701615</v>
      </c>
      <c r="X255" s="4">
        <f>DATE(2023,8,9)</f>
        <v>45147</v>
      </c>
      <c r="Y255">
        <v>17.566454343494794</v>
      </c>
      <c r="Z255">
        <v>47.615616252521754</v>
      </c>
      <c r="AA255">
        <v>84.305000000000007</v>
      </c>
      <c r="AB255">
        <v>39.010249999999999</v>
      </c>
      <c r="AC255">
        <f t="shared" si="96"/>
        <v>6.9334166550842659E-3</v>
      </c>
      <c r="AD255">
        <f t="shared" si="97"/>
        <v>0.31445557576642241</v>
      </c>
      <c r="AE255">
        <f t="shared" si="98"/>
        <v>0.30752215911133812</v>
      </c>
      <c r="AF255">
        <f t="shared" si="99"/>
        <v>1.6754193726237885</v>
      </c>
      <c r="AH255">
        <f t="shared" si="100"/>
        <v>-2.4604369276011014E-2</v>
      </c>
      <c r="AI255">
        <f t="shared" si="101"/>
        <v>0.36634077466439136</v>
      </c>
      <c r="AJ255">
        <f t="shared" si="102"/>
        <v>0.39094514394040236</v>
      </c>
      <c r="AK255">
        <f t="shared" si="103"/>
        <v>1.2237371775614623</v>
      </c>
      <c r="AM255">
        <f t="shared" si="104"/>
        <v>-4.7430794413653755E-2</v>
      </c>
      <c r="AN255">
        <f t="shared" si="105"/>
        <v>0.1945090059561155</v>
      </c>
      <c r="AO255">
        <f t="shared" si="106"/>
        <v>0.24193980036976925</v>
      </c>
      <c r="AP255">
        <f t="shared" si="107"/>
        <v>0.50235663365907113</v>
      </c>
      <c r="AR255">
        <f t="shared" si="108"/>
        <v>9.0473428889255081E-2</v>
      </c>
      <c r="AS255">
        <f t="shared" si="109"/>
        <v>-1.1713695817117713</v>
      </c>
      <c r="AT255">
        <f t="shared" si="110"/>
        <v>-1.2618430106010263</v>
      </c>
      <c r="AU255">
        <f t="shared" si="111"/>
        <v>-1.2483569094545663</v>
      </c>
    </row>
    <row r="256" spans="1:47" x14ac:dyDescent="0.25">
      <c r="A256" s="4">
        <f>DATE(2023,8,8)</f>
        <v>45146</v>
      </c>
      <c r="B256">
        <v>-0.67967884663947364</v>
      </c>
      <c r="C256">
        <v>41.781243883522642</v>
      </c>
      <c r="D256">
        <v>0.24360231871114776</v>
      </c>
      <c r="E256">
        <f t="shared" si="84"/>
        <v>-0.98288621117436115</v>
      </c>
      <c r="F256">
        <f t="shared" si="85"/>
        <v>-0.81855290785732226</v>
      </c>
      <c r="G256">
        <f t="shared" si="86"/>
        <v>-0.75418452213047982</v>
      </c>
      <c r="H256" s="2" t="str">
        <f t="shared" si="87"/>
        <v>Lower</v>
      </c>
      <c r="I256" s="2" t="str">
        <f t="shared" si="88"/>
        <v>Higher</v>
      </c>
      <c r="J256" s="2" t="str">
        <f t="shared" si="89"/>
        <v>Lower</v>
      </c>
      <c r="K256" s="2" t="str">
        <f t="shared" si="90"/>
        <v>Lower</v>
      </c>
      <c r="L256" s="2" t="str">
        <f t="shared" si="91"/>
        <v>Higher</v>
      </c>
      <c r="M256" s="2" t="str">
        <f t="shared" si="92"/>
        <v>Lower</v>
      </c>
      <c r="N256" s="2" t="str">
        <f t="shared" si="93"/>
        <v>Lower</v>
      </c>
      <c r="O256" s="2" t="str">
        <f t="shared" si="94"/>
        <v>Higher</v>
      </c>
      <c r="P256" s="2" t="str">
        <f t="shared" si="95"/>
        <v>Lower</v>
      </c>
      <c r="R256" s="4">
        <f>DATE(2023,8,8)</f>
        <v>45146</v>
      </c>
      <c r="S256">
        <v>0.31893386320360778</v>
      </c>
      <c r="T256">
        <v>8.659848830139813E-2</v>
      </c>
      <c r="U256">
        <v>0.67859243097356636</v>
      </c>
      <c r="V256">
        <v>-0.4842563396424806</v>
      </c>
      <c r="X256" s="4">
        <f>DATE(2023,8,8)</f>
        <v>45146</v>
      </c>
      <c r="Y256">
        <v>15.398154660585311</v>
      </c>
      <c r="Z256">
        <v>29.49553447042263</v>
      </c>
      <c r="AA256">
        <v>83.924999999999997</v>
      </c>
      <c r="AB256">
        <v>30.902999999999999</v>
      </c>
      <c r="AC256">
        <f t="shared" si="96"/>
        <v>-1.9878555888295679E-2</v>
      </c>
      <c r="AD256">
        <f t="shared" si="97"/>
        <v>0.11357205698983788</v>
      </c>
      <c r="AE256">
        <f t="shared" si="98"/>
        <v>0.13345061287813356</v>
      </c>
      <c r="AF256">
        <f t="shared" si="99"/>
        <v>0.74580257624135815</v>
      </c>
      <c r="AH256">
        <f t="shared" si="100"/>
        <v>-2.9526988772586582E-2</v>
      </c>
      <c r="AI256">
        <f t="shared" si="101"/>
        <v>5.5298531971088069E-2</v>
      </c>
      <c r="AJ256">
        <f t="shared" si="102"/>
        <v>8.4825520743674651E-2</v>
      </c>
      <c r="AK256">
        <f t="shared" si="103"/>
        <v>0.32481460140866886</v>
      </c>
      <c r="AM256">
        <f t="shared" si="104"/>
        <v>-5.0448433571691355E-2</v>
      </c>
      <c r="AN256">
        <f t="shared" si="105"/>
        <v>-3.6498517490455414E-2</v>
      </c>
      <c r="AO256">
        <f t="shared" si="106"/>
        <v>1.3949916081235941E-2</v>
      </c>
      <c r="AP256">
        <f t="shared" si="107"/>
        <v>0.11267938701113803</v>
      </c>
      <c r="AR256">
        <f t="shared" si="108"/>
        <v>8.0226420307772328E-2</v>
      </c>
      <c r="AS256">
        <f t="shared" si="109"/>
        <v>-1.3243993350697296</v>
      </c>
      <c r="AT256">
        <f t="shared" si="110"/>
        <v>-1.4046257553775019</v>
      </c>
      <c r="AU256">
        <f t="shared" si="111"/>
        <v>-1.3912475167523219</v>
      </c>
    </row>
    <row r="257" spans="1:47" x14ac:dyDescent="0.25">
      <c r="A257" s="4">
        <f>DATE(2023,8,7)</f>
        <v>45145</v>
      </c>
      <c r="B257">
        <v>-0.78286645638289221</v>
      </c>
      <c r="C257">
        <v>35.33486018989796</v>
      </c>
      <c r="D257">
        <v>8.0754600739492408E-2</v>
      </c>
      <c r="E257">
        <f t="shared" si="84"/>
        <v>-1.1627110242600729</v>
      </c>
      <c r="F257">
        <f t="shared" si="85"/>
        <v>-1.4947289614797685</v>
      </c>
      <c r="G257">
        <f t="shared" si="86"/>
        <v>-1.2795680545619699</v>
      </c>
      <c r="H257" s="2" t="str">
        <f t="shared" si="87"/>
        <v>Lower</v>
      </c>
      <c r="I257" s="2" t="str">
        <f t="shared" si="88"/>
        <v>Higher</v>
      </c>
      <c r="J257" s="2" t="str">
        <f t="shared" si="89"/>
        <v>Lower</v>
      </c>
      <c r="K257" s="2" t="str">
        <f t="shared" si="90"/>
        <v>Lower</v>
      </c>
      <c r="L257" s="2" t="str">
        <f t="shared" si="91"/>
        <v>Higher</v>
      </c>
      <c r="M257" s="2" t="str">
        <f t="shared" si="92"/>
        <v>Lower</v>
      </c>
      <c r="N257" s="2" t="str">
        <f t="shared" si="93"/>
        <v>Lower</v>
      </c>
      <c r="O257" s="2" t="str">
        <f t="shared" si="94"/>
        <v>Higher</v>
      </c>
      <c r="P257" s="2" t="str">
        <f t="shared" si="95"/>
        <v>Lower</v>
      </c>
      <c r="R257" s="4">
        <f>DATE(2023,8,7)</f>
        <v>45145</v>
      </c>
      <c r="S257">
        <v>-0.47508394359986905</v>
      </c>
      <c r="T257">
        <v>9.2343677782079997E-2</v>
      </c>
      <c r="U257">
        <v>0.68344721050491519</v>
      </c>
      <c r="V257">
        <v>-0.49506501045292267</v>
      </c>
      <c r="X257" s="4">
        <f>DATE(2023,8,7)</f>
        <v>45145</v>
      </c>
      <c r="Y257">
        <v>16.563649481829579</v>
      </c>
      <c r="Z257">
        <v>29.30463205120758</v>
      </c>
      <c r="AA257">
        <v>83.13</v>
      </c>
      <c r="AB257">
        <v>30.398499999999999</v>
      </c>
      <c r="AC257">
        <f t="shared" si="96"/>
        <v>-4.8543818533803254E-2</v>
      </c>
      <c r="AD257">
        <f t="shared" si="97"/>
        <v>7.4831954085797181E-2</v>
      </c>
      <c r="AE257">
        <f t="shared" si="98"/>
        <v>0.12337577261960044</v>
      </c>
      <c r="AF257">
        <f t="shared" si="99"/>
        <v>0.69316914547681552</v>
      </c>
      <c r="AH257">
        <f t="shared" si="100"/>
        <v>-3.7626710985622071E-2</v>
      </c>
      <c r="AI257">
        <f t="shared" si="101"/>
        <v>-1.0186928659253178E-2</v>
      </c>
      <c r="AJ257">
        <f t="shared" si="102"/>
        <v>2.7439782326368893E-2</v>
      </c>
      <c r="AK257">
        <f t="shared" si="103"/>
        <v>0.15509077127088269</v>
      </c>
      <c r="AM257">
        <f t="shared" si="104"/>
        <v>-4.9116621848811826E-2</v>
      </c>
      <c r="AN257">
        <f t="shared" si="105"/>
        <v>-6.8599134207722304E-2</v>
      </c>
      <c r="AO257">
        <f t="shared" si="106"/>
        <v>-1.9482512358910478E-2</v>
      </c>
      <c r="AP257">
        <f t="shared" si="107"/>
        <v>5.4157548077427668E-2</v>
      </c>
      <c r="AR257">
        <f t="shared" si="108"/>
        <v>3.809780241248209E-2</v>
      </c>
      <c r="AS257">
        <f t="shared" si="109"/>
        <v>-1.4006487917795005</v>
      </c>
      <c r="AT257">
        <f t="shared" si="110"/>
        <v>-1.4387465941919826</v>
      </c>
      <c r="AU257">
        <f t="shared" si="111"/>
        <v>-1.4300555363525049</v>
      </c>
    </row>
    <row r="258" spans="1:47" x14ac:dyDescent="0.25">
      <c r="A258" s="4">
        <f>DATE(2023,8,4)</f>
        <v>45142</v>
      </c>
      <c r="B258">
        <v>-0.71026763747231492</v>
      </c>
      <c r="C258">
        <v>37.593512552211131</v>
      </c>
      <c r="D258">
        <v>0.12324376315834211</v>
      </c>
      <c r="E258">
        <f t="shared" si="84"/>
        <v>-1.0635284200898603</v>
      </c>
      <c r="F258">
        <f t="shared" si="85"/>
        <v>-1.2884299513460871</v>
      </c>
      <c r="G258">
        <f t="shared" si="86"/>
        <v>-1.1664680490637243</v>
      </c>
      <c r="H258" s="2" t="str">
        <f t="shared" si="87"/>
        <v>Lower</v>
      </c>
      <c r="I258" s="2" t="str">
        <f t="shared" si="88"/>
        <v>Higher</v>
      </c>
      <c r="J258" s="2" t="str">
        <f t="shared" si="89"/>
        <v>Lower</v>
      </c>
      <c r="K258" s="2" t="str">
        <f t="shared" si="90"/>
        <v>Lower</v>
      </c>
      <c r="L258" s="2" t="str">
        <f t="shared" si="91"/>
        <v>Higher</v>
      </c>
      <c r="M258" s="2" t="str">
        <f t="shared" si="92"/>
        <v>Lower</v>
      </c>
      <c r="N258" s="2" t="str">
        <f t="shared" si="93"/>
        <v>Lower</v>
      </c>
      <c r="O258" s="2" t="str">
        <f t="shared" si="94"/>
        <v>Higher</v>
      </c>
      <c r="P258" s="2" t="str">
        <f t="shared" si="95"/>
        <v>Lower</v>
      </c>
      <c r="R258" s="4">
        <f>DATE(2023,8,4)</f>
        <v>45142</v>
      </c>
      <c r="S258">
        <v>-0.22180812064665151</v>
      </c>
      <c r="T258">
        <v>0.11150218039396259</v>
      </c>
      <c r="U258">
        <v>0.69601921619314222</v>
      </c>
      <c r="V258">
        <v>-0.51066947015533148</v>
      </c>
      <c r="X258" s="4">
        <f>DATE(2023,8,4)</f>
        <v>45142</v>
      </c>
      <c r="Y258">
        <v>17.606822598288385</v>
      </c>
      <c r="Z258">
        <v>27.351784295778035</v>
      </c>
      <c r="AA258">
        <v>84.045000000000002</v>
      </c>
      <c r="AB258">
        <v>29.033999999999999</v>
      </c>
      <c r="AC258">
        <f t="shared" si="96"/>
        <v>-5.8491136333057567E-2</v>
      </c>
      <c r="AD258">
        <f t="shared" si="97"/>
        <v>0.10272723042375219</v>
      </c>
      <c r="AE258">
        <f t="shared" si="98"/>
        <v>0.16121836675680976</v>
      </c>
      <c r="AF258">
        <f t="shared" si="99"/>
        <v>0.89832959155202308</v>
      </c>
      <c r="AH258">
        <f t="shared" si="100"/>
        <v>-2.8792044252476071E-2</v>
      </c>
      <c r="AI258">
        <f t="shared" si="101"/>
        <v>-0.13743512567452859</v>
      </c>
      <c r="AJ258">
        <f t="shared" si="102"/>
        <v>-0.10864308142205252</v>
      </c>
      <c r="AK258">
        <f t="shared" si="103"/>
        <v>-0.24642859505521117</v>
      </c>
      <c r="AM258">
        <f t="shared" si="104"/>
        <v>-5.4048434165743869E-2</v>
      </c>
      <c r="AN258">
        <f t="shared" si="105"/>
        <v>-0.12678163725769848</v>
      </c>
      <c r="AO258">
        <f t="shared" si="106"/>
        <v>-7.2733203091954607E-2</v>
      </c>
      <c r="AP258">
        <f t="shared" si="107"/>
        <v>-3.8019492492863696E-2</v>
      </c>
      <c r="AR258">
        <f t="shared" si="108"/>
        <v>3.3790779718104562E-2</v>
      </c>
      <c r="AS258">
        <f t="shared" si="109"/>
        <v>-1.352207516038699</v>
      </c>
      <c r="AT258">
        <f t="shared" si="110"/>
        <v>-1.3859982957568036</v>
      </c>
      <c r="AU258">
        <f t="shared" si="111"/>
        <v>-1.3847735337186544</v>
      </c>
    </row>
    <row r="259" spans="1:47" x14ac:dyDescent="0.25">
      <c r="A259" s="4">
        <f>DATE(2023,8,3)</f>
        <v>45141</v>
      </c>
      <c r="B259">
        <v>-0.63391006537929762</v>
      </c>
      <c r="C259">
        <v>40.359575194859296</v>
      </c>
      <c r="D259">
        <v>0.20164076019990926</v>
      </c>
      <c r="E259">
        <f t="shared" si="84"/>
        <v>-0.95506272631940947</v>
      </c>
      <c r="F259">
        <f t="shared" si="85"/>
        <v>-1.0218638387078152</v>
      </c>
      <c r="G259">
        <f t="shared" si="86"/>
        <v>-0.93638760339371863</v>
      </c>
      <c r="H259" s="2" t="str">
        <f t="shared" si="87"/>
        <v>Lower</v>
      </c>
      <c r="I259" s="2" t="str">
        <f t="shared" si="88"/>
        <v>Higher</v>
      </c>
      <c r="J259" s="2" t="str">
        <f t="shared" si="89"/>
        <v>Lower</v>
      </c>
      <c r="K259" s="2" t="str">
        <f t="shared" si="90"/>
        <v>Lower</v>
      </c>
      <c r="L259" s="2" t="str">
        <f t="shared" si="91"/>
        <v>Higher</v>
      </c>
      <c r="M259" s="2" t="str">
        <f t="shared" si="92"/>
        <v>Lower</v>
      </c>
      <c r="N259" s="2" t="str">
        <f t="shared" si="93"/>
        <v>Lower</v>
      </c>
      <c r="O259" s="2" t="str">
        <f t="shared" si="94"/>
        <v>Higher</v>
      </c>
      <c r="P259" s="2" t="str">
        <f t="shared" si="95"/>
        <v>Lower</v>
      </c>
      <c r="R259" s="4">
        <f>DATE(2023,8,3)</f>
        <v>45141</v>
      </c>
      <c r="S259">
        <v>-0.68147835398062684</v>
      </c>
      <c r="T259">
        <v>0.13296289692473667</v>
      </c>
      <c r="U259">
        <v>0.683289243253274</v>
      </c>
      <c r="V259">
        <v>-0.52772620577601481</v>
      </c>
      <c r="X259" s="4">
        <f>DATE(2023,8,3)</f>
        <v>45141</v>
      </c>
      <c r="Y259">
        <v>18.896052775197251</v>
      </c>
      <c r="Z259">
        <v>28.85734881249082</v>
      </c>
      <c r="AA259">
        <v>84.617500000000007</v>
      </c>
      <c r="AB259">
        <v>30.494</v>
      </c>
      <c r="AC259">
        <f t="shared" si="96"/>
        <v>-6.8616597988812464E-2</v>
      </c>
      <c r="AD259">
        <f t="shared" si="97"/>
        <v>6.3922196380491403E-2</v>
      </c>
      <c r="AE259">
        <f t="shared" si="98"/>
        <v>0.13253879436930388</v>
      </c>
      <c r="AF259">
        <f t="shared" si="99"/>
        <v>0.7452356575832032</v>
      </c>
      <c r="AH259">
        <f t="shared" si="100"/>
        <v>-1.5333721723467048E-2</v>
      </c>
      <c r="AI259">
        <f t="shared" si="101"/>
        <v>-6.5523885182272201E-2</v>
      </c>
      <c r="AJ259">
        <f t="shared" si="102"/>
        <v>-5.0190163458805157E-2</v>
      </c>
      <c r="AK259">
        <f t="shared" si="103"/>
        <v>-7.598561672516492E-2</v>
      </c>
      <c r="AM259">
        <f t="shared" si="104"/>
        <v>-4.6413917617684597E-2</v>
      </c>
      <c r="AN259">
        <f t="shared" si="105"/>
        <v>-0.13650296839445408</v>
      </c>
      <c r="AO259">
        <f t="shared" si="106"/>
        <v>-9.0089050776769486E-2</v>
      </c>
      <c r="AP259">
        <f t="shared" si="107"/>
        <v>-6.9163996293992669E-2</v>
      </c>
      <c r="AR259">
        <f t="shared" si="108"/>
        <v>6.7681102710014221E-2</v>
      </c>
      <c r="AS259">
        <f t="shared" si="109"/>
        <v>-1.2588812522356199</v>
      </c>
      <c r="AT259">
        <f t="shared" si="110"/>
        <v>-1.326562354945634</v>
      </c>
      <c r="AU259">
        <f t="shared" si="111"/>
        <v>-1.3325797499207768</v>
      </c>
    </row>
    <row r="260" spans="1:47" x14ac:dyDescent="0.25">
      <c r="A260" s="4">
        <f>DATE(2023,8,2)</f>
        <v>45140</v>
      </c>
      <c r="B260">
        <v>-0.57580003744824115</v>
      </c>
      <c r="C260">
        <v>35.136640113813613</v>
      </c>
      <c r="D260">
        <v>5.4275914855692567E-2</v>
      </c>
      <c r="E260">
        <f t="shared" si="84"/>
        <v>-0.87503661018724899</v>
      </c>
      <c r="F260">
        <f t="shared" si="85"/>
        <v>-1.5767153219449397</v>
      </c>
      <c r="G260">
        <f t="shared" si="86"/>
        <v>-1.4164903662152841</v>
      </c>
      <c r="H260" s="2" t="str">
        <f t="shared" si="87"/>
        <v>Lower</v>
      </c>
      <c r="I260" s="2" t="str">
        <f t="shared" si="88"/>
        <v>Higher</v>
      </c>
      <c r="J260" s="2" t="str">
        <f t="shared" si="89"/>
        <v>Lower</v>
      </c>
      <c r="K260" s="2" t="str">
        <f t="shared" si="90"/>
        <v>Lower</v>
      </c>
      <c r="L260" s="2" t="str">
        <f t="shared" si="91"/>
        <v>Higher</v>
      </c>
      <c r="M260" s="2" t="str">
        <f t="shared" si="92"/>
        <v>Lower</v>
      </c>
      <c r="N260" s="2" t="str">
        <f t="shared" si="93"/>
        <v>Lower</v>
      </c>
      <c r="O260" s="2" t="str">
        <f t="shared" si="94"/>
        <v>Higher</v>
      </c>
      <c r="P260" s="2" t="str">
        <f t="shared" si="95"/>
        <v>Lower</v>
      </c>
      <c r="R260" s="4">
        <f>DATE(2023,8,2)</f>
        <v>45140</v>
      </c>
      <c r="S260">
        <v>-0.20530101540093459</v>
      </c>
      <c r="T260">
        <v>0.20289458891031059</v>
      </c>
      <c r="U260">
        <v>0.65846854451402304</v>
      </c>
      <c r="V260">
        <v>-0.54421051436607815</v>
      </c>
      <c r="X260" s="4">
        <f>DATE(2023,8,2)</f>
        <v>45140</v>
      </c>
      <c r="Y260">
        <v>17.891682425630925</v>
      </c>
      <c r="Z260">
        <v>24.506880528983029</v>
      </c>
      <c r="AA260">
        <v>83.722499999999997</v>
      </c>
      <c r="AB260">
        <v>28.484749999999998</v>
      </c>
      <c r="AC260">
        <f t="shared" si="96"/>
        <v>-8.7518877560265482E-2</v>
      </c>
      <c r="AD260">
        <f t="shared" si="97"/>
        <v>-5.5114786308522408E-2</v>
      </c>
      <c r="AE260">
        <f t="shared" si="98"/>
        <v>3.2404091251743074E-2</v>
      </c>
      <c r="AF260">
        <f t="shared" si="99"/>
        <v>0.20537221081438187</v>
      </c>
      <c r="AH260">
        <f t="shared" si="100"/>
        <v>-2.8698274273273219E-2</v>
      </c>
      <c r="AI260">
        <f t="shared" si="101"/>
        <v>-0.19636888790885129</v>
      </c>
      <c r="AJ260">
        <f t="shared" si="102"/>
        <v>-0.16767061363557806</v>
      </c>
      <c r="AK260">
        <f t="shared" si="103"/>
        <v>-0.42184332113474454</v>
      </c>
      <c r="AM260">
        <f t="shared" si="104"/>
        <v>-6.0931962609738453E-2</v>
      </c>
      <c r="AN260">
        <f t="shared" si="105"/>
        <v>-0.21115151991808234</v>
      </c>
      <c r="AO260">
        <f t="shared" si="106"/>
        <v>-0.15021955730834388</v>
      </c>
      <c r="AP260">
        <f t="shared" si="107"/>
        <v>-0.17299174962472436</v>
      </c>
      <c r="AR260">
        <f t="shared" si="108"/>
        <v>9.23434600256067E-2</v>
      </c>
      <c r="AS260">
        <f t="shared" si="109"/>
        <v>-1.2980942418335588</v>
      </c>
      <c r="AT260">
        <f t="shared" si="110"/>
        <v>-1.3904377018591656</v>
      </c>
      <c r="AU260">
        <f t="shared" si="111"/>
        <v>-1.4002074453331561</v>
      </c>
    </row>
    <row r="261" spans="1:47" x14ac:dyDescent="0.25">
      <c r="A261" s="4">
        <f>DATE(2023,8,1)</f>
        <v>45139</v>
      </c>
      <c r="B261">
        <v>-0.30552885000017704</v>
      </c>
      <c r="C261">
        <v>39.112356357721325</v>
      </c>
      <c r="D261">
        <v>0.18963012827501302</v>
      </c>
      <c r="E261">
        <f t="shared" ref="E261:E324" si="112">(B261-AVERAGE(B261:B390))/_xlfn.STDEV.S(B261:B390)</f>
        <v>-0.47516478180799904</v>
      </c>
      <c r="F261">
        <f t="shared" ref="F261:F324" si="113">(C261-AVERAGE(C261:C390))/_xlfn.STDEV.S(C261:C390)</f>
        <v>-1.1882826602087766</v>
      </c>
      <c r="G261">
        <f t="shared" ref="G261:G324" si="114">(D261-AVERAGE(D261:D390))/_xlfn.STDEV.S(D261:D390)</f>
        <v>-1.0093620603128894</v>
      </c>
      <c r="H261" s="2" t="str">
        <f t="shared" ref="H261:H324" si="115">IF(AVERAGEA(C261:C281)&gt;AVERAGE(C282:C302),"Higher","Lower")</f>
        <v>Lower</v>
      </c>
      <c r="I261" s="2" t="str">
        <f t="shared" ref="I261:I324" si="116">IF(AVERAGEA(C261:C316)&gt;AVERAGE(C317:C372),"Higher","Lower")</f>
        <v>Higher</v>
      </c>
      <c r="J261" s="2" t="str">
        <f t="shared" ref="J261:J324" si="117">IF(AVERAGEA(C261:C373)&gt;AVERAGE(C374:C486),"Higher","Lower")</f>
        <v>Lower</v>
      </c>
      <c r="K261" s="2" t="str">
        <f t="shared" ref="K261:K324" si="118">IF(AVERAGEA(B261:B281)&gt;AVERAGE(B282:B302),"Higher","Lower")</f>
        <v>Lower</v>
      </c>
      <c r="L261" s="2" t="str">
        <f t="shared" ref="L261:L324" si="119">IF(AVERAGEA(B261:B316)&gt;AVERAGE(B317:B372),"Higher","Lower")</f>
        <v>Higher</v>
      </c>
      <c r="M261" s="2" t="str">
        <f t="shared" ref="M261:M324" si="120">IF(AVERAGEA(B261:B373)&gt;AVERAGE(B374:B486),"Higher","Lower")</f>
        <v>Lower</v>
      </c>
      <c r="N261" s="2" t="str">
        <f t="shared" ref="N261:N324" si="121">IF(AVERAGEA(D261:D281)&gt;AVERAGE(D282:D302),"Higher","Lower")</f>
        <v>Lower</v>
      </c>
      <c r="O261" s="2" t="str">
        <f t="shared" ref="O261:O324" si="122">IF(AVERAGEA(D261:D316)&gt;AVERAGE(D317:D372),"Higher","Lower")</f>
        <v>Higher</v>
      </c>
      <c r="P261" s="2" t="str">
        <f t="shared" ref="P261:P324" si="123">IF(AVERAGEA(D261:D373)&gt;AVERAGE(D374:D486),"Higher","Lower")</f>
        <v>Lower</v>
      </c>
      <c r="R261" s="4">
        <f>DATE(2023,8,1)</f>
        <v>45139</v>
      </c>
      <c r="S261">
        <v>0.43001102449510953</v>
      </c>
      <c r="T261">
        <v>0.34404077403269889</v>
      </c>
      <c r="U261">
        <v>0.62975000602884512</v>
      </c>
      <c r="V261">
        <v>-0.56335675286597753</v>
      </c>
      <c r="X261" s="4">
        <f>DATE(2023,8,1)</f>
        <v>45139</v>
      </c>
      <c r="Y261">
        <v>19.042229457322492</v>
      </c>
      <c r="Z261">
        <v>25.866978788540173</v>
      </c>
      <c r="AA261">
        <v>85.61</v>
      </c>
      <c r="AB261">
        <v>27.585250000000002</v>
      </c>
      <c r="AC261">
        <f t="shared" ref="AC261:AC324" si="124">IFERROR(LN(AA261/AA266),"")</f>
        <v>-7.0681279066503164E-2</v>
      </c>
      <c r="AD261">
        <f t="shared" ref="AD261:AD324" si="125">IFERROR(LN(AB261/AB266),"")</f>
        <v>-0.15146578034356142</v>
      </c>
      <c r="AE261">
        <f t="shared" ref="AE261:AE324" si="126">IFERROR(AD261-AC261,"")</f>
        <v>-8.078450127705826E-2</v>
      </c>
      <c r="AF261">
        <f t="shared" ref="AF261:AF324" si="127">IFERROR((AE261-AVERAGEA(AE261:AE783))/_xlfn.STDEV.S(AE261:AE778),"")</f>
        <v>-0.40613368755110302</v>
      </c>
      <c r="AH261">
        <f t="shared" ref="AH261:AH324" si="128">IFERROR(LN(AA261/AA281),"")</f>
        <v>-1.9777432927348782E-2</v>
      </c>
      <c r="AI261" t="str">
        <f t="shared" ref="AI261:AI324" si="129">IFERROR(LN(AB261/AB281),"")</f>
        <v/>
      </c>
      <c r="AJ261" t="str">
        <f t="shared" ref="AJ261:AJ324" si="130">IFERROR(AI261-AH261,"")</f>
        <v/>
      </c>
      <c r="AK261" t="str">
        <f t="shared" ref="AK261:AK324" si="131">IFERROR((AJ261-AVERAGEA(AJ261:AJ783))/_xlfn.STDEV.S(AJ261:AJ778),"")</f>
        <v/>
      </c>
      <c r="AM261">
        <f t="shared" ref="AM261:AM324" si="132">IFERROR(LN(AA261/AA321),"")</f>
        <v>-1.1757498310354391E-2</v>
      </c>
      <c r="AN261">
        <f t="shared" ref="AN261:AN324" si="133">IFERROR(LN(AB261/AB321),"")</f>
        <v>-0.27046489292698223</v>
      </c>
      <c r="AO261">
        <f t="shared" ref="AO261:AO324" si="134">IFERROR(AN261-AM261,"")</f>
        <v>-0.25870739461662784</v>
      </c>
      <c r="AP261">
        <f t="shared" ref="AP261:AP324" si="135">IFERROR((AO261-AVERAGEA(AO261:AO783))/_xlfn.STDEV.S(AO261:AO778),"")</f>
        <v>-0.358802013190678</v>
      </c>
      <c r="AR261">
        <f t="shared" ref="AR261:AR324" si="136">IFERROR(LN(AA261/AA461),"")</f>
        <v>0.11903586427224112</v>
      </c>
      <c r="AS261">
        <f t="shared" ref="AS261:AS324" si="137">IFERROR(LN(AB261/AB461),"")</f>
        <v>-1.285826851689815</v>
      </c>
      <c r="AT261">
        <f t="shared" ref="AT261:AT324" si="138">IFERROR(AS261-AR261,"")</f>
        <v>-1.4048627159620561</v>
      </c>
      <c r="AU261">
        <f t="shared" ref="AU261:AU324" si="139">IFERROR((AT261-AVERAGEA(AT261:AT783))/_xlfn.STDEV.S(AT261:AT778),"")</f>
        <v>-1.4201378522825874</v>
      </c>
    </row>
    <row r="262" spans="1:47" x14ac:dyDescent="0.25">
      <c r="A262" s="4">
        <f>DATE(2023,7,31)</f>
        <v>45138</v>
      </c>
      <c r="B262">
        <v>-2.3860986656566552E-2</v>
      </c>
      <c r="C262">
        <v>43.456884976014429</v>
      </c>
      <c r="D262">
        <v>0.34286876982648545</v>
      </c>
      <c r="E262">
        <f t="shared" si="112"/>
        <v>-6.7413675088336511E-2</v>
      </c>
      <c r="F262">
        <f t="shared" si="113"/>
        <v>-0.76028640185123719</v>
      </c>
      <c r="G262">
        <f t="shared" si="114"/>
        <v>-0.54494325170471924</v>
      </c>
      <c r="H262" s="2" t="str">
        <f t="shared" si="115"/>
        <v>Lower</v>
      </c>
      <c r="I262" s="2" t="str">
        <f t="shared" si="116"/>
        <v>Higher</v>
      </c>
      <c r="J262" s="2" t="str">
        <f t="shared" si="117"/>
        <v>Lower</v>
      </c>
      <c r="K262" s="2" t="str">
        <f t="shared" si="118"/>
        <v>Lower</v>
      </c>
      <c r="L262" s="2" t="str">
        <f t="shared" si="119"/>
        <v>Higher</v>
      </c>
      <c r="M262" s="2" t="str">
        <f t="shared" si="120"/>
        <v>Lower</v>
      </c>
      <c r="N262" s="2" t="str">
        <f t="shared" si="121"/>
        <v>Lower</v>
      </c>
      <c r="O262" s="2" t="str">
        <f t="shared" si="122"/>
        <v>Higher</v>
      </c>
      <c r="P262" s="2" t="str">
        <f t="shared" si="123"/>
        <v>Lower</v>
      </c>
      <c r="R262" s="4">
        <f>DATE(2023,7,31)</f>
        <v>45138</v>
      </c>
      <c r="S262">
        <v>0.61487257819704355</v>
      </c>
      <c r="T262">
        <v>0.35021724848661223</v>
      </c>
      <c r="U262">
        <v>0.60316658968256209</v>
      </c>
      <c r="V262">
        <v>-0.57980273490055678</v>
      </c>
      <c r="X262" s="4">
        <f>DATE(2023,7,31)</f>
        <v>45138</v>
      </c>
      <c r="Y262">
        <v>21.106834721286386</v>
      </c>
      <c r="Z262">
        <v>27.485092650012561</v>
      </c>
      <c r="AA262">
        <v>87.265000000000001</v>
      </c>
      <c r="AB262">
        <v>28.20675</v>
      </c>
      <c r="AC262">
        <f t="shared" si="124"/>
        <v>-4.558459965184726E-2</v>
      </c>
      <c r="AD262">
        <f t="shared" si="125"/>
        <v>-6.0143290349419488E-2</v>
      </c>
      <c r="AE262">
        <f t="shared" si="126"/>
        <v>-1.4558690697572228E-2</v>
      </c>
      <c r="AF262">
        <f t="shared" si="127"/>
        <v>-5.0179387991101325E-2</v>
      </c>
      <c r="AH262">
        <f t="shared" si="128"/>
        <v>-7.4494086734299509E-3</v>
      </c>
      <c r="AI262">
        <f t="shared" si="129"/>
        <v>-0.21297566021397171</v>
      </c>
      <c r="AJ262">
        <f t="shared" si="130"/>
        <v>-0.20552625154054177</v>
      </c>
      <c r="AK262">
        <f t="shared" si="131"/>
        <v>-0.53662763696803395</v>
      </c>
      <c r="AM262">
        <f t="shared" si="132"/>
        <v>2.2452671976955732E-2</v>
      </c>
      <c r="AN262">
        <f t="shared" si="133"/>
        <v>-0.27032904685981074</v>
      </c>
      <c r="AO262">
        <f t="shared" si="134"/>
        <v>-0.29278171883676646</v>
      </c>
      <c r="AP262">
        <f t="shared" si="135"/>
        <v>-0.41854373204799844</v>
      </c>
      <c r="AR262">
        <f t="shared" si="136"/>
        <v>0.20296519540760519</v>
      </c>
      <c r="AS262">
        <f t="shared" si="137"/>
        <v>-1.2572742381942799</v>
      </c>
      <c r="AT262">
        <f t="shared" si="138"/>
        <v>-1.4602394336018851</v>
      </c>
      <c r="AU262">
        <f t="shared" si="139"/>
        <v>-1.4803179309505923</v>
      </c>
    </row>
    <row r="263" spans="1:47" x14ac:dyDescent="0.25">
      <c r="A263" s="4">
        <f>DATE(2023,7,28)</f>
        <v>45135</v>
      </c>
      <c r="B263">
        <v>0.2594657691663157</v>
      </c>
      <c r="C263">
        <v>50.06858958002168</v>
      </c>
      <c r="D263">
        <v>0.56713939030519711</v>
      </c>
      <c r="E263">
        <f t="shared" si="112"/>
        <v>0.33840604406796493</v>
      </c>
      <c r="F263">
        <f t="shared" si="113"/>
        <v>-9.7477833987056242E-2</v>
      </c>
      <c r="G263">
        <f t="shared" si="114"/>
        <v>0.13813600093704251</v>
      </c>
      <c r="H263" s="2" t="str">
        <f t="shared" si="115"/>
        <v>Lower</v>
      </c>
      <c r="I263" s="2" t="str">
        <f t="shared" si="116"/>
        <v>Higher</v>
      </c>
      <c r="J263" s="2" t="str">
        <f t="shared" si="117"/>
        <v>Lower</v>
      </c>
      <c r="K263" s="2" t="str">
        <f t="shared" si="118"/>
        <v>Lower</v>
      </c>
      <c r="L263" s="2" t="str">
        <f t="shared" si="119"/>
        <v>Higher</v>
      </c>
      <c r="M263" s="2" t="str">
        <f t="shared" si="120"/>
        <v>Lower</v>
      </c>
      <c r="N263" s="2" t="str">
        <f t="shared" si="121"/>
        <v>Lower</v>
      </c>
      <c r="O263" s="2" t="str">
        <f t="shared" si="122"/>
        <v>Higher</v>
      </c>
      <c r="P263" s="2" t="str">
        <f t="shared" si="123"/>
        <v>Lower</v>
      </c>
      <c r="R263" s="4">
        <f>DATE(2023,7,28)</f>
        <v>45135</v>
      </c>
      <c r="S263">
        <v>0.92074888037100688</v>
      </c>
      <c r="T263">
        <v>0.43059041746666255</v>
      </c>
      <c r="U263">
        <v>0.5781114968532568</v>
      </c>
      <c r="V263">
        <v>-0.59335873516278304</v>
      </c>
      <c r="X263" s="4">
        <f>DATE(2023,7,28)</f>
        <v>45135</v>
      </c>
      <c r="Y263">
        <v>23.227817195513428</v>
      </c>
      <c r="Z263">
        <v>25.102054854716759</v>
      </c>
      <c r="AA263">
        <v>89.107500000000002</v>
      </c>
      <c r="AB263">
        <v>26.1995</v>
      </c>
      <c r="AC263">
        <f t="shared" si="124"/>
        <v>-2.5073690992114105E-2</v>
      </c>
      <c r="AD263">
        <f t="shared" si="125"/>
        <v>-9.3088726679357914E-2</v>
      </c>
      <c r="AE263">
        <f t="shared" si="126"/>
        <v>-6.8015035687243805E-2</v>
      </c>
      <c r="AF263">
        <f t="shared" si="127"/>
        <v>-0.3395315061093665</v>
      </c>
      <c r="AH263">
        <f t="shared" si="128"/>
        <v>4.3581629763036096E-3</v>
      </c>
      <c r="AI263">
        <f t="shared" si="129"/>
        <v>-0.33874477764953093</v>
      </c>
      <c r="AJ263">
        <f t="shared" si="130"/>
        <v>-0.34310294062583452</v>
      </c>
      <c r="AK263">
        <f t="shared" si="131"/>
        <v>-0.94357685229960542</v>
      </c>
      <c r="AM263">
        <f t="shared" si="132"/>
        <v>4.3903545600880681E-2</v>
      </c>
      <c r="AN263">
        <f t="shared" si="133"/>
        <v>-0.33063313727682708</v>
      </c>
      <c r="AO263">
        <f t="shared" si="134"/>
        <v>-0.37453668287770775</v>
      </c>
      <c r="AP263">
        <f t="shared" si="135"/>
        <v>-0.55901967791365381</v>
      </c>
      <c r="AR263">
        <f t="shared" si="136"/>
        <v>0.26476312180726003</v>
      </c>
      <c r="AS263">
        <f t="shared" si="137"/>
        <v>-1.4667318897457884</v>
      </c>
      <c r="AT263">
        <f t="shared" si="138"/>
        <v>-1.7314950115530485</v>
      </c>
      <c r="AU263">
        <f t="shared" si="139"/>
        <v>-1.7530333396508206</v>
      </c>
    </row>
    <row r="264" spans="1:47" x14ac:dyDescent="0.25">
      <c r="A264" s="4">
        <f>DATE(2023,7,27)</f>
        <v>45134</v>
      </c>
      <c r="B264">
        <v>0.4768555220101296</v>
      </c>
      <c r="C264">
        <v>60.126579351055256</v>
      </c>
      <c r="D264">
        <v>0.83506936720950697</v>
      </c>
      <c r="E264">
        <f t="shared" si="112"/>
        <v>0.64521631901228194</v>
      </c>
      <c r="F264">
        <f t="shared" si="113"/>
        <v>0.91820429015174709</v>
      </c>
      <c r="G264">
        <f t="shared" si="114"/>
        <v>0.94983970053948019</v>
      </c>
      <c r="H264" s="2" t="str">
        <f t="shared" si="115"/>
        <v>Higher</v>
      </c>
      <c r="I264" s="2" t="str">
        <f t="shared" si="116"/>
        <v>Higher</v>
      </c>
      <c r="J264" s="2" t="str">
        <f t="shared" si="117"/>
        <v>Lower</v>
      </c>
      <c r="K264" s="2" t="str">
        <f t="shared" si="118"/>
        <v>Lower</v>
      </c>
      <c r="L264" s="2" t="str">
        <f t="shared" si="119"/>
        <v>Higher</v>
      </c>
      <c r="M264" s="2" t="str">
        <f t="shared" si="120"/>
        <v>Lower</v>
      </c>
      <c r="N264" s="2" t="str">
        <f t="shared" si="121"/>
        <v>Lower</v>
      </c>
      <c r="O264" s="2" t="str">
        <f t="shared" si="122"/>
        <v>Higher</v>
      </c>
      <c r="P264" s="2" t="str">
        <f t="shared" si="123"/>
        <v>Lower</v>
      </c>
      <c r="R264" s="4">
        <f>DATE(2023,7,27)</f>
        <v>45134</v>
      </c>
      <c r="S264">
        <v>0.64631816748786286</v>
      </c>
      <c r="T264">
        <v>0.49230242336624991</v>
      </c>
      <c r="U264">
        <v>0.5928346534907537</v>
      </c>
      <c r="V264">
        <v>-0.60341697821723395</v>
      </c>
      <c r="X264" s="4">
        <f>DATE(2023,7,27)</f>
        <v>45134</v>
      </c>
      <c r="Y264">
        <v>25.442055686303998</v>
      </c>
      <c r="Z264">
        <v>27.035350945171153</v>
      </c>
      <c r="AA264">
        <v>90.627499999999998</v>
      </c>
      <c r="AB264">
        <v>28.60575</v>
      </c>
      <c r="AC264">
        <f t="shared" si="124"/>
        <v>4.0633046023878343E-3</v>
      </c>
      <c r="AD264">
        <f t="shared" si="125"/>
        <v>4.3119479199283106E-2</v>
      </c>
      <c r="AE264">
        <f t="shared" si="126"/>
        <v>3.9056174596895268E-2</v>
      </c>
      <c r="AF264">
        <f t="shared" si="127"/>
        <v>0.23745736558411928</v>
      </c>
      <c r="AH264">
        <f t="shared" si="128"/>
        <v>3.0273520641196931E-2</v>
      </c>
      <c r="AI264">
        <f t="shared" si="129"/>
        <v>-0.18619148453055936</v>
      </c>
      <c r="AJ264">
        <f t="shared" si="130"/>
        <v>-0.21646500517175629</v>
      </c>
      <c r="AK264">
        <f t="shared" si="131"/>
        <v>-0.57405119744622979</v>
      </c>
      <c r="AM264">
        <f t="shared" si="132"/>
        <v>6.9118984334470904E-2</v>
      </c>
      <c r="AN264">
        <f t="shared" si="133"/>
        <v>-0.22927904768138815</v>
      </c>
      <c r="AO264">
        <f t="shared" si="134"/>
        <v>-0.29839803201585907</v>
      </c>
      <c r="AP264">
        <f t="shared" si="135"/>
        <v>-0.43238106395918402</v>
      </c>
      <c r="AR264">
        <f t="shared" si="136"/>
        <v>0.3014682428274153</v>
      </c>
      <c r="AS264">
        <f t="shared" si="137"/>
        <v>-1.4917361508404554</v>
      </c>
      <c r="AT264">
        <f t="shared" si="138"/>
        <v>-1.7932043936678708</v>
      </c>
      <c r="AU264">
        <f t="shared" si="139"/>
        <v>-1.823006598127604</v>
      </c>
    </row>
    <row r="265" spans="1:47" x14ac:dyDescent="0.25">
      <c r="A265" s="4">
        <f>DATE(2023,7,26)</f>
        <v>45133</v>
      </c>
      <c r="B265">
        <v>0.53413666813815719</v>
      </c>
      <c r="C265">
        <v>59.427114413956694</v>
      </c>
      <c r="D265">
        <v>0.8447769181742445</v>
      </c>
      <c r="E265">
        <f t="shared" si="112"/>
        <v>0.72174311383340528</v>
      </c>
      <c r="F265">
        <f t="shared" si="113"/>
        <v>0.84586388793411493</v>
      </c>
      <c r="G265">
        <f t="shared" si="114"/>
        <v>0.96605457774200454</v>
      </c>
      <c r="H265" s="2" t="str">
        <f t="shared" si="115"/>
        <v>Higher</v>
      </c>
      <c r="I265" s="2" t="str">
        <f t="shared" si="116"/>
        <v>Higher</v>
      </c>
      <c r="J265" s="2" t="str">
        <f t="shared" si="117"/>
        <v>Lower</v>
      </c>
      <c r="K265" s="2" t="str">
        <f t="shared" si="118"/>
        <v>Lower</v>
      </c>
      <c r="L265" s="2" t="str">
        <f t="shared" si="119"/>
        <v>Higher</v>
      </c>
      <c r="M265" s="2" t="str">
        <f t="shared" si="120"/>
        <v>Lower</v>
      </c>
      <c r="N265" s="2" t="str">
        <f t="shared" si="121"/>
        <v>Lower</v>
      </c>
      <c r="O265" s="2" t="str">
        <f t="shared" si="122"/>
        <v>Higher</v>
      </c>
      <c r="P265" s="2" t="str">
        <f t="shared" si="123"/>
        <v>Lower</v>
      </c>
      <c r="R265" s="4">
        <f>DATE(2023,7,26)</f>
        <v>45133</v>
      </c>
      <c r="S265">
        <v>0.72382802479645125</v>
      </c>
      <c r="T265">
        <v>0.53134836025722865</v>
      </c>
      <c r="U265">
        <v>0.58907002920595986</v>
      </c>
      <c r="V265">
        <v>-0.61395279042955364</v>
      </c>
      <c r="X265" s="4">
        <f>DATE(2023,7,26)</f>
        <v>45133</v>
      </c>
      <c r="Y265">
        <v>27.240102960358513</v>
      </c>
      <c r="Z265">
        <v>28.076954876853844</v>
      </c>
      <c r="AA265">
        <v>91.38</v>
      </c>
      <c r="AB265">
        <v>30.098749999999999</v>
      </c>
      <c r="AC265">
        <f t="shared" si="124"/>
        <v>2.9597651759582729E-2</v>
      </c>
      <c r="AD265">
        <f t="shared" si="125"/>
        <v>0.11192993810789448</v>
      </c>
      <c r="AE265">
        <f t="shared" si="126"/>
        <v>8.2332286348311745E-2</v>
      </c>
      <c r="AF265">
        <f t="shared" si="127"/>
        <v>0.47109056030154139</v>
      </c>
      <c r="AH265">
        <f t="shared" si="128"/>
        <v>3.7490977791307174E-2</v>
      </c>
      <c r="AI265">
        <f t="shared" si="129"/>
        <v>-0.12518024338115055</v>
      </c>
      <c r="AJ265">
        <f t="shared" si="130"/>
        <v>-0.16267122117245772</v>
      </c>
      <c r="AK265">
        <f t="shared" si="131"/>
        <v>-0.41760272056959413</v>
      </c>
      <c r="AM265">
        <f t="shared" si="132"/>
        <v>6.2425048791640986E-2</v>
      </c>
      <c r="AN265">
        <f t="shared" si="133"/>
        <v>-0.2027721672652455</v>
      </c>
      <c r="AO265">
        <f t="shared" si="134"/>
        <v>-0.26519721605688651</v>
      </c>
      <c r="AP265">
        <f t="shared" si="135"/>
        <v>-0.37809934832669728</v>
      </c>
      <c r="AR265">
        <f t="shared" si="136"/>
        <v>0.29824322672044723</v>
      </c>
      <c r="AS265">
        <f t="shared" si="137"/>
        <v>-1.3185584639296746</v>
      </c>
      <c r="AT265">
        <f t="shared" si="138"/>
        <v>-1.6168016906501217</v>
      </c>
      <c r="AU265">
        <f t="shared" si="139"/>
        <v>-1.6587364474084674</v>
      </c>
    </row>
    <row r="266" spans="1:47" x14ac:dyDescent="0.25">
      <c r="A266" s="4">
        <f>DATE(2023,7,25)</f>
        <v>45132</v>
      </c>
      <c r="B266">
        <v>0.59764078153953348</v>
      </c>
      <c r="C266">
        <v>64.645322272187613</v>
      </c>
      <c r="D266">
        <v>1.0202601178975452</v>
      </c>
      <c r="E266">
        <f t="shared" si="112"/>
        <v>0.81465168438745461</v>
      </c>
      <c r="F266">
        <f t="shared" si="113"/>
        <v>1.3859442383136951</v>
      </c>
      <c r="G266">
        <f t="shared" si="114"/>
        <v>1.5068449496318808</v>
      </c>
      <c r="H266" s="2" t="str">
        <f t="shared" si="115"/>
        <v>Higher</v>
      </c>
      <c r="I266" s="2" t="str">
        <f t="shared" si="116"/>
        <v>Lower</v>
      </c>
      <c r="J266" s="2" t="str">
        <f t="shared" si="117"/>
        <v>Lower</v>
      </c>
      <c r="K266" s="2" t="str">
        <f t="shared" si="118"/>
        <v>Lower</v>
      </c>
      <c r="L266" s="2" t="str">
        <f t="shared" si="119"/>
        <v>Higher</v>
      </c>
      <c r="M266" s="2" t="str">
        <f t="shared" si="120"/>
        <v>Lower</v>
      </c>
      <c r="N266" s="2" t="str">
        <f t="shared" si="121"/>
        <v>Lower</v>
      </c>
      <c r="O266" s="2" t="str">
        <f t="shared" si="122"/>
        <v>Higher</v>
      </c>
      <c r="P266" s="2" t="str">
        <f t="shared" si="123"/>
        <v>Lower</v>
      </c>
      <c r="R266" s="4">
        <f>DATE(2023,7,25)</f>
        <v>45132</v>
      </c>
      <c r="S266">
        <v>0.78209048244999513</v>
      </c>
      <c r="T266">
        <v>0.56108028290806855</v>
      </c>
      <c r="U266">
        <v>0.59572895757710354</v>
      </c>
      <c r="V266">
        <v>-0.62522350315863628</v>
      </c>
      <c r="X266" s="4">
        <f>DATE(2023,7,25)</f>
        <v>45132</v>
      </c>
      <c r="Y266">
        <v>26.895432800847928</v>
      </c>
      <c r="Z266">
        <v>31.155351632223354</v>
      </c>
      <c r="AA266">
        <v>91.88</v>
      </c>
      <c r="AB266">
        <v>32.096499999999999</v>
      </c>
      <c r="AC266">
        <f t="shared" si="124"/>
        <v>5.1047008012528823E-2</v>
      </c>
      <c r="AD266">
        <f t="shared" si="125"/>
        <v>0.18316624226119832</v>
      </c>
      <c r="AE266">
        <f t="shared" si="126"/>
        <v>0.1321192342486695</v>
      </c>
      <c r="AF266">
        <f t="shared" si="127"/>
        <v>0.74002627426283951</v>
      </c>
      <c r="AH266">
        <f t="shared" si="128"/>
        <v>4.1188254808410915E-2</v>
      </c>
      <c r="AI266">
        <f t="shared" si="129"/>
        <v>-5.6642475131716406E-2</v>
      </c>
      <c r="AJ266">
        <f t="shared" si="130"/>
        <v>-9.7830729940127314E-2</v>
      </c>
      <c r="AK266">
        <f t="shared" si="131"/>
        <v>-0.22868560250887021</v>
      </c>
      <c r="AM266">
        <f t="shared" si="132"/>
        <v>4.0054756996551165E-2</v>
      </c>
      <c r="AN266">
        <f t="shared" si="133"/>
        <v>-0.15814402216897727</v>
      </c>
      <c r="AO266">
        <f t="shared" si="134"/>
        <v>-0.19819877916552844</v>
      </c>
      <c r="AP266">
        <f t="shared" si="135"/>
        <v>-0.26670585120169771</v>
      </c>
      <c r="AR266">
        <f t="shared" si="136"/>
        <v>0.30672747671831085</v>
      </c>
      <c r="AS266">
        <f t="shared" si="137"/>
        <v>-1.2606035032526519</v>
      </c>
      <c r="AT266">
        <f t="shared" si="138"/>
        <v>-1.5673309799709627</v>
      </c>
      <c r="AU266">
        <f t="shared" si="139"/>
        <v>-1.6179181894939756</v>
      </c>
    </row>
    <row r="267" spans="1:47" x14ac:dyDescent="0.25">
      <c r="A267" s="4">
        <f>DATE(2023,7,24)</f>
        <v>45131</v>
      </c>
      <c r="B267">
        <v>0.53432172239662989</v>
      </c>
      <c r="C267">
        <v>62.335003184585332</v>
      </c>
      <c r="D267">
        <v>0.99055606805677276</v>
      </c>
      <c r="E267">
        <f t="shared" si="112"/>
        <v>0.72472878726617806</v>
      </c>
      <c r="F267">
        <f t="shared" si="113"/>
        <v>1.172487488031996</v>
      </c>
      <c r="G267">
        <f t="shared" si="114"/>
        <v>1.4417448975321132</v>
      </c>
      <c r="H267" s="2" t="str">
        <f t="shared" si="115"/>
        <v>Higher</v>
      </c>
      <c r="I267" s="2" t="str">
        <f t="shared" si="116"/>
        <v>Lower</v>
      </c>
      <c r="J267" s="2" t="str">
        <f t="shared" si="117"/>
        <v>Lower</v>
      </c>
      <c r="K267" s="2" t="str">
        <f t="shared" si="118"/>
        <v>Lower</v>
      </c>
      <c r="L267" s="2" t="str">
        <f t="shared" si="119"/>
        <v>Higher</v>
      </c>
      <c r="M267" s="2" t="str">
        <f t="shared" si="120"/>
        <v>Lower</v>
      </c>
      <c r="N267" s="2" t="str">
        <f t="shared" si="121"/>
        <v>Lower</v>
      </c>
      <c r="O267" s="2" t="str">
        <f t="shared" si="122"/>
        <v>Higher</v>
      </c>
      <c r="P267" s="2" t="str">
        <f t="shared" si="123"/>
        <v>Lower</v>
      </c>
      <c r="R267" s="4">
        <f>DATE(2023,7,24)</f>
        <v>45131</v>
      </c>
      <c r="S267">
        <v>0.66649981954790449</v>
      </c>
      <c r="T267">
        <v>0.56781637541203667</v>
      </c>
      <c r="U267">
        <v>0.58053958482801393</v>
      </c>
      <c r="V267">
        <v>-0.63438683418156638</v>
      </c>
      <c r="X267" s="4">
        <f>DATE(2023,7,24)</f>
        <v>45131</v>
      </c>
      <c r="Y267">
        <v>28.156859845343025</v>
      </c>
      <c r="Z267">
        <v>26.759970356995311</v>
      </c>
      <c r="AA267">
        <v>91.335000000000008</v>
      </c>
      <c r="AB267">
        <v>29.955249999999999</v>
      </c>
      <c r="AC267">
        <f t="shared" si="124"/>
        <v>5.7370970119854647E-2</v>
      </c>
      <c r="AD267">
        <f t="shared" si="125"/>
        <v>0.17631896100714425</v>
      </c>
      <c r="AE267">
        <f t="shared" si="126"/>
        <v>0.11894799088728961</v>
      </c>
      <c r="AF267">
        <f t="shared" si="127"/>
        <v>0.66958089382454755</v>
      </c>
      <c r="AH267">
        <f t="shared" si="128"/>
        <v>4.8367359820974121E-2</v>
      </c>
      <c r="AI267">
        <f t="shared" si="129"/>
        <v>-8.330315550654814E-2</v>
      </c>
      <c r="AJ267">
        <f t="shared" si="130"/>
        <v>-0.13167051532752228</v>
      </c>
      <c r="AK267">
        <f t="shared" si="131"/>
        <v>-0.32978225394303951</v>
      </c>
      <c r="AM267">
        <f t="shared" si="132"/>
        <v>5.5286007154505032E-2</v>
      </c>
      <c r="AN267">
        <f t="shared" si="133"/>
        <v>-0.25768418566939233</v>
      </c>
      <c r="AO267">
        <f t="shared" si="134"/>
        <v>-0.31297019282389738</v>
      </c>
      <c r="AP267">
        <f t="shared" si="135"/>
        <v>-0.46241945823762337</v>
      </c>
      <c r="AR267">
        <f t="shared" si="136"/>
        <v>0.30273985675140092</v>
      </c>
      <c r="AS267">
        <f t="shared" si="137"/>
        <v>-1.4521537727942433</v>
      </c>
      <c r="AT267">
        <f t="shared" si="138"/>
        <v>-1.7548936295456441</v>
      </c>
      <c r="AU267">
        <f t="shared" si="139"/>
        <v>-1.8122009107281536</v>
      </c>
    </row>
    <row r="268" spans="1:47" x14ac:dyDescent="0.25">
      <c r="A268" s="4">
        <f>DATE(2023,7,21)</f>
        <v>45128</v>
      </c>
      <c r="B268">
        <v>0.4706056456119197</v>
      </c>
      <c r="C268">
        <v>63.846882554521009</v>
      </c>
      <c r="D268">
        <v>1.1298314716639812</v>
      </c>
      <c r="E268">
        <f t="shared" si="112"/>
        <v>0.63053901633077292</v>
      </c>
      <c r="F268">
        <f t="shared" si="113"/>
        <v>1.3400345292945937</v>
      </c>
      <c r="G268">
        <f t="shared" si="114"/>
        <v>1.8892623324474083</v>
      </c>
      <c r="H268" s="2" t="str">
        <f t="shared" si="115"/>
        <v>Higher</v>
      </c>
      <c r="I268" s="2" t="str">
        <f t="shared" si="116"/>
        <v>Lower</v>
      </c>
      <c r="J268" s="2" t="str">
        <f t="shared" si="117"/>
        <v>Lower</v>
      </c>
      <c r="K268" s="2" t="str">
        <f t="shared" si="118"/>
        <v>Lower</v>
      </c>
      <c r="L268" s="2" t="str">
        <f t="shared" si="119"/>
        <v>Higher</v>
      </c>
      <c r="M268" s="2" t="str">
        <f t="shared" si="120"/>
        <v>Lower</v>
      </c>
      <c r="N268" s="2" t="str">
        <f t="shared" si="121"/>
        <v>Lower</v>
      </c>
      <c r="O268" s="2" t="str">
        <f t="shared" si="122"/>
        <v>Higher</v>
      </c>
      <c r="P268" s="2" t="str">
        <f t="shared" si="123"/>
        <v>Lower</v>
      </c>
      <c r="R268" s="4">
        <f>DATE(2023,7,21)</f>
        <v>45128</v>
      </c>
      <c r="S268">
        <v>0.88767554140971516</v>
      </c>
      <c r="T268">
        <v>0.61930907220763087</v>
      </c>
      <c r="U268">
        <v>0.57415628449363154</v>
      </c>
      <c r="V268">
        <v>-0.64444413553815239</v>
      </c>
      <c r="X268" s="4">
        <f>DATE(2023,7,21)</f>
        <v>45128</v>
      </c>
      <c r="Y268">
        <v>29.092303733807608</v>
      </c>
      <c r="Z268">
        <v>28.57314971421237</v>
      </c>
      <c r="AA268">
        <v>91.37</v>
      </c>
      <c r="AB268">
        <v>28.755500000000001</v>
      </c>
      <c r="AC268">
        <f t="shared" si="124"/>
        <v>5.607420759301654E-2</v>
      </c>
      <c r="AD268">
        <f t="shared" si="125"/>
        <v>8.4291489601740044E-2</v>
      </c>
      <c r="AE268">
        <f t="shared" si="126"/>
        <v>2.8217282008723504E-2</v>
      </c>
      <c r="AF268">
        <f t="shared" si="127"/>
        <v>0.18030693062407124</v>
      </c>
      <c r="AH268">
        <f t="shared" si="128"/>
        <v>3.1321600543291972E-2</v>
      </c>
      <c r="AI268">
        <f t="shared" si="129"/>
        <v>-0.12547556633675855</v>
      </c>
      <c r="AJ268">
        <f t="shared" si="130"/>
        <v>-0.15679716688005052</v>
      </c>
      <c r="AK268">
        <f t="shared" si="131"/>
        <v>-0.40533848515543464</v>
      </c>
      <c r="AM268">
        <f t="shared" si="132"/>
        <v>4.6225599508142222E-2</v>
      </c>
      <c r="AN268">
        <f t="shared" si="133"/>
        <v>-0.29943654220125759</v>
      </c>
      <c r="AO268">
        <f t="shared" si="134"/>
        <v>-0.34566214170939979</v>
      </c>
      <c r="AP268">
        <f t="shared" si="135"/>
        <v>-0.51980412007088261</v>
      </c>
      <c r="AR268">
        <f t="shared" si="136"/>
        <v>0.29482142948286832</v>
      </c>
      <c r="AS268">
        <f t="shared" si="137"/>
        <v>-1.596976877322682</v>
      </c>
      <c r="AT268">
        <f t="shared" si="138"/>
        <v>-1.8917983068055504</v>
      </c>
      <c r="AU268">
        <f t="shared" si="139"/>
        <v>-1.9588430894315696</v>
      </c>
    </row>
    <row r="269" spans="1:47" x14ac:dyDescent="0.25">
      <c r="A269" s="4">
        <f>DATE(2023,7,20)</f>
        <v>45127</v>
      </c>
      <c r="B269">
        <v>0.29745515799237876</v>
      </c>
      <c r="C269">
        <v>61.373040542338146</v>
      </c>
      <c r="D269">
        <v>1.1273534707225381</v>
      </c>
      <c r="E269">
        <f t="shared" si="112"/>
        <v>0.3782913410369092</v>
      </c>
      <c r="F269">
        <f t="shared" si="113"/>
        <v>1.099101257242894</v>
      </c>
      <c r="G269">
        <f t="shared" si="114"/>
        <v>1.9170585493378181</v>
      </c>
      <c r="H269" s="2" t="str">
        <f t="shared" si="115"/>
        <v>Higher</v>
      </c>
      <c r="I269" s="2" t="str">
        <f t="shared" si="116"/>
        <v>Lower</v>
      </c>
      <c r="J269" s="2" t="str">
        <f t="shared" si="117"/>
        <v>Lower</v>
      </c>
      <c r="K269" s="2" t="str">
        <f t="shared" si="118"/>
        <v>Lower</v>
      </c>
      <c r="L269" s="2" t="str">
        <f t="shared" si="119"/>
        <v>Higher</v>
      </c>
      <c r="M269" s="2" t="str">
        <f t="shared" si="120"/>
        <v>Lower</v>
      </c>
      <c r="N269" s="2" t="str">
        <f t="shared" si="121"/>
        <v>Lower</v>
      </c>
      <c r="O269" s="2" t="str">
        <f t="shared" si="122"/>
        <v>Lower</v>
      </c>
      <c r="P269" s="2" t="str">
        <f t="shared" si="123"/>
        <v>Lower</v>
      </c>
      <c r="R269" s="4">
        <f>DATE(2023,7,20)</f>
        <v>45127</v>
      </c>
      <c r="S269">
        <v>0.85469190360114455</v>
      </c>
      <c r="T269">
        <v>0.70535874398552723</v>
      </c>
      <c r="U269">
        <v>0.59406707936485093</v>
      </c>
      <c r="V269">
        <v>-0.65450570975715905</v>
      </c>
      <c r="X269" s="4">
        <f>DATE(2023,7,20)</f>
        <v>45127</v>
      </c>
      <c r="Y269">
        <v>27.583297327829086</v>
      </c>
      <c r="Z269">
        <v>23.317789985492972</v>
      </c>
      <c r="AA269">
        <v>90.259999999999991</v>
      </c>
      <c r="AB269">
        <v>27.398499999999999</v>
      </c>
      <c r="AC269">
        <f t="shared" si="124"/>
        <v>4.8463383976049865E-2</v>
      </c>
      <c r="AD269">
        <f t="shared" si="125"/>
        <v>2.405660305090945E-2</v>
      </c>
      <c r="AE269">
        <f t="shared" si="126"/>
        <v>-2.4406780925140415E-2</v>
      </c>
      <c r="AF269">
        <f t="shared" si="127"/>
        <v>-0.10380766384613571</v>
      </c>
      <c r="AH269">
        <f t="shared" si="128"/>
        <v>3.1069709858288011E-3</v>
      </c>
      <c r="AI269">
        <f t="shared" si="129"/>
        <v>-0.23901417027535368</v>
      </c>
      <c r="AJ269">
        <f t="shared" si="130"/>
        <v>-0.24212114126118248</v>
      </c>
      <c r="AK269">
        <f t="shared" si="131"/>
        <v>-0.65792038197209235</v>
      </c>
      <c r="AM269">
        <f t="shared" si="132"/>
        <v>4.4285589806167529E-2</v>
      </c>
      <c r="AN269">
        <f t="shared" si="133"/>
        <v>-0.35407287909278912</v>
      </c>
      <c r="AO269">
        <f t="shared" si="134"/>
        <v>-0.39835846889895665</v>
      </c>
      <c r="AP269">
        <f t="shared" si="135"/>
        <v>-0.61109888583351168</v>
      </c>
      <c r="AR269">
        <f t="shared" si="136"/>
        <v>0.27977340346892632</v>
      </c>
      <c r="AS269">
        <f t="shared" si="137"/>
        <v>-1.7252233055447839</v>
      </c>
      <c r="AT269">
        <f t="shared" si="138"/>
        <v>-2.0049967090137102</v>
      </c>
      <c r="AU269">
        <f t="shared" si="139"/>
        <v>-2.084232891966082</v>
      </c>
    </row>
    <row r="270" spans="1:47" x14ac:dyDescent="0.25">
      <c r="A270" s="4">
        <f>DATE(2023,7,19)</f>
        <v>45126</v>
      </c>
      <c r="B270">
        <v>9.1140587603707135E-2</v>
      </c>
      <c r="C270">
        <v>57.385876507104598</v>
      </c>
      <c r="D270">
        <v>0.88921566563701337</v>
      </c>
      <c r="E270">
        <f t="shared" si="112"/>
        <v>7.8590791959292722E-2</v>
      </c>
      <c r="F270">
        <f t="shared" si="113"/>
        <v>0.69531456887900922</v>
      </c>
      <c r="G270">
        <f t="shared" si="114"/>
        <v>1.1990116416833267</v>
      </c>
      <c r="H270" s="2" t="str">
        <f t="shared" si="115"/>
        <v>Higher</v>
      </c>
      <c r="I270" s="2" t="str">
        <f t="shared" si="116"/>
        <v>Lower</v>
      </c>
      <c r="J270" s="2" t="str">
        <f t="shared" si="117"/>
        <v>Lower</v>
      </c>
      <c r="K270" s="2" t="str">
        <f t="shared" si="118"/>
        <v>Lower</v>
      </c>
      <c r="L270" s="2" t="str">
        <f t="shared" si="119"/>
        <v>Higher</v>
      </c>
      <c r="M270" s="2" t="str">
        <f t="shared" si="120"/>
        <v>Lower</v>
      </c>
      <c r="N270" s="2" t="str">
        <f t="shared" si="121"/>
        <v>Lower</v>
      </c>
      <c r="O270" s="2" t="str">
        <f t="shared" si="122"/>
        <v>Lower</v>
      </c>
      <c r="P270" s="2" t="str">
        <f t="shared" si="123"/>
        <v>Lower</v>
      </c>
      <c r="R270" s="4">
        <f>DATE(2023,7,19)</f>
        <v>45126</v>
      </c>
      <c r="S270">
        <v>0.51786296479405236</v>
      </c>
      <c r="T270">
        <v>0.77998714057304119</v>
      </c>
      <c r="U270">
        <v>0.62075044926591316</v>
      </c>
      <c r="V270">
        <v>-0.66480543619689347</v>
      </c>
      <c r="X270" s="4">
        <f>DATE(2023,7,19)</f>
        <v>45126</v>
      </c>
      <c r="Y270">
        <v>24.038522028311803</v>
      </c>
      <c r="Z270">
        <v>25.002911922642333</v>
      </c>
      <c r="AA270">
        <v>88.715000000000003</v>
      </c>
      <c r="AB270">
        <v>26.9115</v>
      </c>
      <c r="AC270">
        <f t="shared" si="124"/>
        <v>2.6383439869587817E-2</v>
      </c>
      <c r="AD270">
        <f t="shared" si="125"/>
        <v>-4.9299529014029892E-3</v>
      </c>
      <c r="AE270">
        <f t="shared" si="126"/>
        <v>-3.1313392770990808E-2</v>
      </c>
      <c r="AF270">
        <f t="shared" si="127"/>
        <v>-0.14156332181946801</v>
      </c>
      <c r="AH270">
        <f t="shared" si="128"/>
        <v>-3.3338730111430091E-2</v>
      </c>
      <c r="AI270">
        <f t="shared" si="129"/>
        <v>-0.32636589284486817</v>
      </c>
      <c r="AJ270">
        <f t="shared" si="130"/>
        <v>-0.2930271627334381</v>
      </c>
      <c r="AK270">
        <f t="shared" si="131"/>
        <v>-0.81000161506041024</v>
      </c>
      <c r="AM270">
        <f t="shared" si="132"/>
        <v>3.2740039170523073E-2</v>
      </c>
      <c r="AN270">
        <f t="shared" si="133"/>
        <v>-0.35942833546470654</v>
      </c>
      <c r="AO270">
        <f t="shared" si="134"/>
        <v>-0.39216837463522963</v>
      </c>
      <c r="AP270">
        <f t="shared" si="135"/>
        <v>-0.60337675191359541</v>
      </c>
      <c r="AR270">
        <f t="shared" si="136"/>
        <v>0.28421254917168753</v>
      </c>
      <c r="AS270">
        <f t="shared" si="137"/>
        <v>-1.7838069061679802</v>
      </c>
      <c r="AT270">
        <f t="shared" si="138"/>
        <v>-2.0680194553396678</v>
      </c>
      <c r="AU270">
        <f t="shared" si="139"/>
        <v>-2.1615371062169344</v>
      </c>
    </row>
    <row r="271" spans="1:47" x14ac:dyDescent="0.25">
      <c r="A271" s="4">
        <f>DATE(2023,7,18)</f>
        <v>45125</v>
      </c>
      <c r="B271">
        <v>-0.10596949845626119</v>
      </c>
      <c r="C271">
        <v>50.967473168954051</v>
      </c>
      <c r="D271">
        <v>0.51388730384440096</v>
      </c>
      <c r="E271">
        <f t="shared" si="112"/>
        <v>-0.20673395258604352</v>
      </c>
      <c r="F271">
        <f t="shared" si="113"/>
        <v>3.0427408322244925E-2</v>
      </c>
      <c r="G271">
        <f t="shared" si="114"/>
        <v>1.0825563643066412E-2</v>
      </c>
      <c r="H271" s="2" t="str">
        <f t="shared" si="115"/>
        <v>Higher</v>
      </c>
      <c r="I271" s="2" t="str">
        <f t="shared" si="116"/>
        <v>Lower</v>
      </c>
      <c r="J271" s="2" t="str">
        <f t="shared" si="117"/>
        <v>Lower</v>
      </c>
      <c r="K271" s="2" t="str">
        <f t="shared" si="118"/>
        <v>Lower</v>
      </c>
      <c r="L271" s="2" t="str">
        <f t="shared" si="119"/>
        <v>Higher</v>
      </c>
      <c r="M271" s="2" t="str">
        <f t="shared" si="120"/>
        <v>Lower</v>
      </c>
      <c r="N271" s="2" t="str">
        <f t="shared" si="121"/>
        <v>Higher</v>
      </c>
      <c r="O271" s="2" t="str">
        <f t="shared" si="122"/>
        <v>Lower</v>
      </c>
      <c r="P271" s="2" t="str">
        <f t="shared" si="123"/>
        <v>Lower</v>
      </c>
      <c r="R271" s="4">
        <f>DATE(2023,7,18)</f>
        <v>45125</v>
      </c>
      <c r="S271">
        <v>0.18343630431515601</v>
      </c>
      <c r="T271">
        <v>0.81574386287321288</v>
      </c>
      <c r="U271">
        <v>0.65099633047906758</v>
      </c>
      <c r="V271">
        <v>-0.67617652354373303</v>
      </c>
      <c r="X271" s="4">
        <f>DATE(2023,7,18)</f>
        <v>45125</v>
      </c>
      <c r="Y271">
        <v>22.273487170872301</v>
      </c>
      <c r="Z271">
        <v>25.003115271671472</v>
      </c>
      <c r="AA271">
        <v>87.30749999999999</v>
      </c>
      <c r="AB271">
        <v>26.724499999999999</v>
      </c>
      <c r="AC271">
        <f t="shared" si="124"/>
        <v>9.985838169683384E-3</v>
      </c>
      <c r="AD271">
        <f t="shared" si="125"/>
        <v>-8.9973986936386793E-2</v>
      </c>
      <c r="AE271">
        <f t="shared" si="126"/>
        <v>-9.9959825106070183E-2</v>
      </c>
      <c r="AF271">
        <f t="shared" si="127"/>
        <v>-0.51233226462418202</v>
      </c>
      <c r="AH271">
        <f t="shared" si="128"/>
        <v>-8.0617433621056292E-2</v>
      </c>
      <c r="AI271">
        <f t="shared" si="129"/>
        <v>-0.32969253145369232</v>
      </c>
      <c r="AJ271">
        <f t="shared" si="130"/>
        <v>-0.24907509783263604</v>
      </c>
      <c r="AK271">
        <f t="shared" si="131"/>
        <v>-0.68352323933230852</v>
      </c>
      <c r="AM271">
        <f t="shared" si="132"/>
        <v>-5.7252456262862927E-4</v>
      </c>
      <c r="AN271">
        <f t="shared" si="133"/>
        <v>-0.39911496680541414</v>
      </c>
      <c r="AO271">
        <f t="shared" si="134"/>
        <v>-0.39854244224278551</v>
      </c>
      <c r="AP271">
        <f t="shared" si="135"/>
        <v>-0.61667016257088936</v>
      </c>
      <c r="AR271">
        <f t="shared" si="136"/>
        <v>0.27324997524006744</v>
      </c>
      <c r="AS271">
        <f t="shared" si="137"/>
        <v>-1.7692691794426305</v>
      </c>
      <c r="AT271">
        <f t="shared" si="138"/>
        <v>-2.0425191546826982</v>
      </c>
      <c r="AU271">
        <f t="shared" si="139"/>
        <v>-2.1508644263870029</v>
      </c>
    </row>
    <row r="272" spans="1:47" x14ac:dyDescent="0.25">
      <c r="A272" s="4">
        <f>DATE(2023,7,17)</f>
        <v>45124</v>
      </c>
      <c r="B272">
        <v>-0.22168958505290831</v>
      </c>
      <c r="C272">
        <v>47.518141217572719</v>
      </c>
      <c r="D272">
        <v>0.36660788401303923</v>
      </c>
      <c r="E272">
        <f t="shared" si="112"/>
        <v>-0.3702976376635238</v>
      </c>
      <c r="F272">
        <f t="shared" si="113"/>
        <v>-0.32331464905179635</v>
      </c>
      <c r="G272">
        <f t="shared" si="114"/>
        <v>-0.45526845746875783</v>
      </c>
      <c r="H272" s="2" t="str">
        <f t="shared" si="115"/>
        <v>Higher</v>
      </c>
      <c r="I272" s="2" t="str">
        <f t="shared" si="116"/>
        <v>Lower</v>
      </c>
      <c r="J272" s="2" t="str">
        <f t="shared" si="117"/>
        <v>Lower</v>
      </c>
      <c r="K272" s="2" t="str">
        <f t="shared" si="118"/>
        <v>Lower</v>
      </c>
      <c r="L272" s="2" t="str">
        <f t="shared" si="119"/>
        <v>Higher</v>
      </c>
      <c r="M272" s="2" t="str">
        <f t="shared" si="120"/>
        <v>Lower</v>
      </c>
      <c r="N272" s="2" t="str">
        <f t="shared" si="121"/>
        <v>Higher</v>
      </c>
      <c r="O272" s="2" t="str">
        <f t="shared" si="122"/>
        <v>Lower</v>
      </c>
      <c r="P272" s="2" t="str">
        <f t="shared" si="123"/>
        <v>Lower</v>
      </c>
      <c r="R272" s="4">
        <f>DATE(2023,7,17)</f>
        <v>45124</v>
      </c>
      <c r="S272">
        <v>0.40473703064181232</v>
      </c>
      <c r="T272">
        <v>0.8493764738518842</v>
      </c>
      <c r="U272">
        <v>0.6757128116539779</v>
      </c>
      <c r="V272">
        <v>-0.68465990053939962</v>
      </c>
      <c r="X272" s="4">
        <f>DATE(2023,7,17)</f>
        <v>45124</v>
      </c>
      <c r="Y272">
        <v>18.985946284464365</v>
      </c>
      <c r="Z272">
        <v>21.794393203780782</v>
      </c>
      <c r="AA272">
        <v>86.242500000000007</v>
      </c>
      <c r="AB272">
        <v>25.113</v>
      </c>
      <c r="AC272">
        <f t="shared" si="124"/>
        <v>-8.6926291982618417E-4</v>
      </c>
      <c r="AD272">
        <f t="shared" si="125"/>
        <v>-0.20119455340277523</v>
      </c>
      <c r="AE272">
        <f t="shared" si="126"/>
        <v>-0.20032529048294903</v>
      </c>
      <c r="AF272">
        <f t="shared" si="127"/>
        <v>-1.0554682724385434</v>
      </c>
      <c r="AH272">
        <f t="shared" si="128"/>
        <v>-6.5738991692317728E-2</v>
      </c>
      <c r="AI272" t="str">
        <f t="shared" si="129"/>
        <v/>
      </c>
      <c r="AJ272" t="str">
        <f t="shared" si="130"/>
        <v/>
      </c>
      <c r="AK272" t="str">
        <f t="shared" si="131"/>
        <v/>
      </c>
      <c r="AM272">
        <f t="shared" si="132"/>
        <v>-2.7138047898310553E-2</v>
      </c>
      <c r="AN272">
        <f t="shared" si="133"/>
        <v>-0.46361705375504703</v>
      </c>
      <c r="AO272">
        <f t="shared" si="134"/>
        <v>-0.43647900585673649</v>
      </c>
      <c r="AP272">
        <f t="shared" si="135"/>
        <v>-0.68291889696489061</v>
      </c>
      <c r="AR272">
        <f t="shared" si="136"/>
        <v>0.25004803955385274</v>
      </c>
      <c r="AS272">
        <f t="shared" si="137"/>
        <v>-1.814332902426611</v>
      </c>
      <c r="AT272">
        <f t="shared" si="138"/>
        <v>-2.0643809419804637</v>
      </c>
      <c r="AU272">
        <f t="shared" si="139"/>
        <v>-2.1879528654658209</v>
      </c>
    </row>
    <row r="273" spans="1:47" x14ac:dyDescent="0.25">
      <c r="A273" s="4">
        <f>DATE(2023,7,14)</f>
        <v>45121</v>
      </c>
      <c r="B273">
        <v>-0.29702433366934017</v>
      </c>
      <c r="C273">
        <v>45.66071818229436</v>
      </c>
      <c r="D273">
        <v>0.29977501355299901</v>
      </c>
      <c r="E273">
        <f t="shared" si="112"/>
        <v>-0.47322318146147496</v>
      </c>
      <c r="F273">
        <f t="shared" si="113"/>
        <v>-0.50656650974433004</v>
      </c>
      <c r="G273">
        <f t="shared" si="114"/>
        <v>-0.66126169710494398</v>
      </c>
      <c r="H273" s="2" t="str">
        <f t="shared" si="115"/>
        <v>Higher</v>
      </c>
      <c r="I273" s="2" t="str">
        <f t="shared" si="116"/>
        <v>Lower</v>
      </c>
      <c r="J273" s="2" t="str">
        <f t="shared" si="117"/>
        <v>Lower</v>
      </c>
      <c r="K273" s="2" t="str">
        <f t="shared" si="118"/>
        <v>Lower</v>
      </c>
      <c r="L273" s="2" t="str">
        <f t="shared" si="119"/>
        <v>Higher</v>
      </c>
      <c r="M273" s="2" t="str">
        <f t="shared" si="120"/>
        <v>Lower</v>
      </c>
      <c r="N273" s="2" t="str">
        <f t="shared" si="121"/>
        <v>Higher</v>
      </c>
      <c r="O273" s="2" t="str">
        <f t="shared" si="122"/>
        <v>Lower</v>
      </c>
      <c r="P273" s="2" t="str">
        <f t="shared" si="123"/>
        <v>Lower</v>
      </c>
      <c r="R273" s="4">
        <f>DATE(2023,7,14)</f>
        <v>45121</v>
      </c>
      <c r="S273">
        <v>0.72935674432967901</v>
      </c>
      <c r="T273">
        <v>0.88768385677837502</v>
      </c>
      <c r="U273">
        <v>0.70069547792346953</v>
      </c>
      <c r="V273">
        <v>-0.69138122089500909</v>
      </c>
      <c r="X273" s="4">
        <f>DATE(2023,7,14)</f>
        <v>45121</v>
      </c>
      <c r="Y273">
        <v>19.939947302155506</v>
      </c>
      <c r="Z273">
        <v>22.702374139769493</v>
      </c>
      <c r="AA273">
        <v>86.387500000000003</v>
      </c>
      <c r="AB273">
        <v>26.431000000000001</v>
      </c>
      <c r="AC273">
        <f t="shared" si="124"/>
        <v>-1.3014245203209231E-3</v>
      </c>
      <c r="AD273">
        <f t="shared" si="125"/>
        <v>-0.23136511902066284</v>
      </c>
      <c r="AE273">
        <f t="shared" si="126"/>
        <v>-0.23006369450034192</v>
      </c>
      <c r="AF273">
        <f t="shared" si="127"/>
        <v>-1.2196500035585029</v>
      </c>
      <c r="AH273">
        <f t="shared" si="128"/>
        <v>-6.4031953843748296E-2</v>
      </c>
      <c r="AI273">
        <f t="shared" si="129"/>
        <v>-0.27698891914346324</v>
      </c>
      <c r="AJ273">
        <f t="shared" si="130"/>
        <v>-0.21295696529971495</v>
      </c>
      <c r="AK273">
        <f t="shared" si="131"/>
        <v>-0.5808955807188908</v>
      </c>
      <c r="AM273">
        <f t="shared" si="132"/>
        <v>-4.4100653774468507E-2</v>
      </c>
      <c r="AN273">
        <f t="shared" si="133"/>
        <v>-0.42322729800880604</v>
      </c>
      <c r="AO273">
        <f t="shared" si="134"/>
        <v>-0.37912664423433751</v>
      </c>
      <c r="AP273">
        <f t="shared" si="135"/>
        <v>-0.58855866728160411</v>
      </c>
      <c r="AR273">
        <f t="shared" si="136"/>
        <v>0.21852393865233088</v>
      </c>
      <c r="AS273">
        <f t="shared" si="137"/>
        <v>-1.7766444870489397</v>
      </c>
      <c r="AT273">
        <f t="shared" si="138"/>
        <v>-1.9951684257012707</v>
      </c>
      <c r="AU273">
        <f t="shared" si="139"/>
        <v>-2.132869893433325</v>
      </c>
    </row>
    <row r="274" spans="1:47" x14ac:dyDescent="0.25">
      <c r="A274" s="4">
        <f>DATE(2023,7,13)</f>
        <v>45120</v>
      </c>
      <c r="B274">
        <v>-0.34417543857997479</v>
      </c>
      <c r="C274">
        <v>44.855205178098693</v>
      </c>
      <c r="D274">
        <v>0.25978692198923947</v>
      </c>
      <c r="E274">
        <f t="shared" si="112"/>
        <v>-0.53589776017909085</v>
      </c>
      <c r="F274">
        <f t="shared" si="113"/>
        <v>-0.58632571524224431</v>
      </c>
      <c r="G274">
        <f t="shared" si="114"/>
        <v>-0.78694876407612679</v>
      </c>
      <c r="H274" s="2" t="str">
        <f t="shared" si="115"/>
        <v>Higher</v>
      </c>
      <c r="I274" s="2" t="str">
        <f t="shared" si="116"/>
        <v>Lower</v>
      </c>
      <c r="J274" s="2" t="str">
        <f t="shared" si="117"/>
        <v>Lower</v>
      </c>
      <c r="K274" s="2" t="str">
        <f t="shared" si="118"/>
        <v>Higher</v>
      </c>
      <c r="L274" s="2" t="str">
        <f t="shared" si="119"/>
        <v>Higher</v>
      </c>
      <c r="M274" s="2" t="str">
        <f t="shared" si="120"/>
        <v>Lower</v>
      </c>
      <c r="N274" s="2" t="str">
        <f t="shared" si="121"/>
        <v>Higher</v>
      </c>
      <c r="O274" s="2" t="str">
        <f t="shared" si="122"/>
        <v>Lower</v>
      </c>
      <c r="P274" s="2" t="str">
        <f t="shared" si="123"/>
        <v>Lower</v>
      </c>
      <c r="R274" s="4">
        <f>DATE(2023,7,13)</f>
        <v>45120</v>
      </c>
      <c r="S274">
        <v>0.41095135636472102</v>
      </c>
      <c r="T274">
        <v>0.90421151591438875</v>
      </c>
      <c r="U274">
        <v>0.72695384806960028</v>
      </c>
      <c r="V274">
        <v>-0.70103209450802217</v>
      </c>
      <c r="X274" s="4">
        <f>DATE(2023,7,13)</f>
        <v>45120</v>
      </c>
      <c r="Y274">
        <v>18.957920424976024</v>
      </c>
      <c r="Z274">
        <v>21.730408574585041</v>
      </c>
      <c r="AA274">
        <v>85.99</v>
      </c>
      <c r="AB274">
        <v>26.747250000000001</v>
      </c>
      <c r="AC274">
        <f t="shared" si="124"/>
        <v>7.5618768690746956E-4</v>
      </c>
      <c r="AD274">
        <f t="shared" si="125"/>
        <v>-0.19662216381295616</v>
      </c>
      <c r="AE274">
        <f t="shared" si="126"/>
        <v>-0.19737835149986363</v>
      </c>
      <c r="AF274">
        <f t="shared" si="127"/>
        <v>-1.0474638126449898</v>
      </c>
      <c r="AH274">
        <f t="shared" si="128"/>
        <v>-8.150870834728724E-2</v>
      </c>
      <c r="AI274">
        <f t="shared" si="129"/>
        <v>-0.42206657666405717</v>
      </c>
      <c r="AJ274">
        <f t="shared" si="130"/>
        <v>-0.34055786831676993</v>
      </c>
      <c r="AK274">
        <f t="shared" si="131"/>
        <v>-0.95873476854821504</v>
      </c>
      <c r="AM274">
        <f t="shared" si="132"/>
        <v>-7.2193542992689028E-2</v>
      </c>
      <c r="AN274">
        <f t="shared" si="133"/>
        <v>-0.41825962131099248</v>
      </c>
      <c r="AO274">
        <f t="shared" si="134"/>
        <v>-0.34606607831830344</v>
      </c>
      <c r="AP274">
        <f t="shared" si="135"/>
        <v>-0.53499635728317396</v>
      </c>
      <c r="AR274">
        <f t="shared" si="136"/>
        <v>0.23138330104061572</v>
      </c>
      <c r="AS274">
        <f t="shared" si="137"/>
        <v>-1.8824146267774307</v>
      </c>
      <c r="AT274">
        <f t="shared" si="138"/>
        <v>-2.1137979278180463</v>
      </c>
      <c r="AU274">
        <f t="shared" si="139"/>
        <v>-2.2693401995096667</v>
      </c>
    </row>
    <row r="275" spans="1:47" x14ac:dyDescent="0.25">
      <c r="A275" s="4">
        <f>DATE(2023,7,12)</f>
        <v>45119</v>
      </c>
      <c r="B275">
        <v>-0.3689534735085977</v>
      </c>
      <c r="C275">
        <v>44.740976266363433</v>
      </c>
      <c r="D275">
        <v>0.23664481790378086</v>
      </c>
      <c r="E275">
        <f t="shared" si="112"/>
        <v>-0.56395512458761821</v>
      </c>
      <c r="F275">
        <f t="shared" si="113"/>
        <v>-0.59605996569830721</v>
      </c>
      <c r="G275">
        <f t="shared" si="114"/>
        <v>-0.86029262100258896</v>
      </c>
      <c r="H275" s="2" t="str">
        <f t="shared" si="115"/>
        <v>Higher</v>
      </c>
      <c r="I275" s="2" t="str">
        <f t="shared" si="116"/>
        <v>Lower</v>
      </c>
      <c r="J275" s="2" t="str">
        <f t="shared" si="117"/>
        <v>Lower</v>
      </c>
      <c r="K275" s="2" t="str">
        <f t="shared" si="118"/>
        <v>Higher</v>
      </c>
      <c r="L275" s="2" t="str">
        <f t="shared" si="119"/>
        <v>Higher</v>
      </c>
      <c r="M275" s="2" t="str">
        <f t="shared" si="120"/>
        <v>Lower</v>
      </c>
      <c r="N275" s="2" t="str">
        <f t="shared" si="121"/>
        <v>Higher</v>
      </c>
      <c r="O275" s="2" t="str">
        <f t="shared" si="122"/>
        <v>Lower</v>
      </c>
      <c r="P275" s="2" t="str">
        <f t="shared" si="123"/>
        <v>Lower</v>
      </c>
      <c r="R275" s="4">
        <f>DATE(2023,7,12)</f>
        <v>45119</v>
      </c>
      <c r="S275">
        <v>3.469666899073913E-2</v>
      </c>
      <c r="T275">
        <v>0.92184977492142606</v>
      </c>
      <c r="U275">
        <v>0.74139991270378081</v>
      </c>
      <c r="V275">
        <v>-0.70726683409893532</v>
      </c>
      <c r="X275" s="4">
        <f>DATE(2023,7,12)</f>
        <v>45119</v>
      </c>
      <c r="Y275">
        <v>19.872080002711119</v>
      </c>
      <c r="Z275">
        <v>22.516488418544917</v>
      </c>
      <c r="AA275">
        <v>86.405000000000001</v>
      </c>
      <c r="AB275">
        <v>27.044499999999999</v>
      </c>
      <c r="AC275">
        <f t="shared" si="124"/>
        <v>2.8395116578220593E-3</v>
      </c>
      <c r="AD275">
        <f t="shared" si="125"/>
        <v>-0.24825408680682018</v>
      </c>
      <c r="AE275">
        <f t="shared" si="126"/>
        <v>-0.25109359846464224</v>
      </c>
      <c r="AF275">
        <f t="shared" si="127"/>
        <v>-1.3418187353979623</v>
      </c>
      <c r="AH275">
        <f t="shared" si="128"/>
        <v>-6.9945294743318356E-2</v>
      </c>
      <c r="AI275">
        <f t="shared" si="129"/>
        <v>-0.33220296185430243</v>
      </c>
      <c r="AJ275">
        <f t="shared" si="130"/>
        <v>-0.26225766711098408</v>
      </c>
      <c r="AK275">
        <f t="shared" si="131"/>
        <v>-0.7318200668563547</v>
      </c>
      <c r="AM275">
        <f t="shared" si="132"/>
        <v>-9.3646434836931566E-2</v>
      </c>
      <c r="AN275">
        <f t="shared" si="133"/>
        <v>-0.40890412740992821</v>
      </c>
      <c r="AO275">
        <f t="shared" si="134"/>
        <v>-0.31525769257299663</v>
      </c>
      <c r="AP275">
        <f t="shared" si="135"/>
        <v>-0.48504551988537803</v>
      </c>
      <c r="AR275">
        <f t="shared" si="136"/>
        <v>0.23939079131840779</v>
      </c>
      <c r="AS275">
        <f t="shared" si="137"/>
        <v>-1.8598057156214789</v>
      </c>
      <c r="AT275">
        <f t="shared" si="138"/>
        <v>-2.0991965069398866</v>
      </c>
      <c r="AU275">
        <f t="shared" si="139"/>
        <v>-2.2714181531952935</v>
      </c>
    </row>
    <row r="276" spans="1:47" x14ac:dyDescent="0.25">
      <c r="A276" s="4">
        <f>DATE(2023,7,11)</f>
        <v>45118</v>
      </c>
      <c r="B276">
        <v>-0.37452450431088363</v>
      </c>
      <c r="C276">
        <v>47.574111447341686</v>
      </c>
      <c r="D276">
        <v>0.29670142910486691</v>
      </c>
      <c r="E276">
        <f t="shared" si="112"/>
        <v>-0.56089375342433534</v>
      </c>
      <c r="F276">
        <f t="shared" si="113"/>
        <v>-0.29832408213521594</v>
      </c>
      <c r="G276">
        <f t="shared" si="114"/>
        <v>-0.66545296087285255</v>
      </c>
      <c r="H276" s="2" t="str">
        <f t="shared" si="115"/>
        <v>Higher</v>
      </c>
      <c r="I276" s="2" t="str">
        <f t="shared" si="116"/>
        <v>Lower</v>
      </c>
      <c r="J276" s="2" t="str">
        <f t="shared" si="117"/>
        <v>Higher</v>
      </c>
      <c r="K276" s="2" t="str">
        <f t="shared" si="118"/>
        <v>Higher</v>
      </c>
      <c r="L276" s="2" t="str">
        <f t="shared" si="119"/>
        <v>Higher</v>
      </c>
      <c r="M276" s="2" t="str">
        <f t="shared" si="120"/>
        <v>Higher</v>
      </c>
      <c r="N276" s="2" t="str">
        <f t="shared" si="121"/>
        <v>Higher</v>
      </c>
      <c r="O276" s="2" t="str">
        <f t="shared" si="122"/>
        <v>Lower</v>
      </c>
      <c r="P276" s="2" t="str">
        <f t="shared" si="123"/>
        <v>Lower</v>
      </c>
      <c r="R276" s="4">
        <f>DATE(2023,7,11)</f>
        <v>45118</v>
      </c>
      <c r="S276">
        <v>-0.89298922672161685</v>
      </c>
      <c r="T276">
        <v>0.93357514420874033</v>
      </c>
      <c r="U276">
        <v>0.75535893819546773</v>
      </c>
      <c r="V276">
        <v>-0.71371315117847656</v>
      </c>
      <c r="X276" s="4">
        <f>DATE(2023,7,11)</f>
        <v>45118</v>
      </c>
      <c r="Y276">
        <v>18.179157304994231</v>
      </c>
      <c r="Z276">
        <v>24.211690936843514</v>
      </c>
      <c r="AA276">
        <v>86.44</v>
      </c>
      <c r="AB276">
        <v>29.240500000000001</v>
      </c>
      <c r="AC276">
        <f t="shared" si="124"/>
        <v>-1.0129000043057912E-2</v>
      </c>
      <c r="AD276" t="str">
        <f t="shared" si="125"/>
        <v/>
      </c>
      <c r="AE276" t="str">
        <f t="shared" si="126"/>
        <v/>
      </c>
      <c r="AF276" t="str">
        <f t="shared" si="127"/>
        <v/>
      </c>
      <c r="AH276">
        <f t="shared" si="128"/>
        <v>-3.4117477768103831E-2</v>
      </c>
      <c r="AI276">
        <f t="shared" si="129"/>
        <v>-0.17397644156927089</v>
      </c>
      <c r="AJ276">
        <f t="shared" si="130"/>
        <v>-0.13985896380116705</v>
      </c>
      <c r="AK276">
        <f t="shared" si="131"/>
        <v>-0.37439497706479741</v>
      </c>
      <c r="AM276">
        <f t="shared" si="132"/>
        <v>-9.0603271790739903E-2</v>
      </c>
      <c r="AN276">
        <f t="shared" si="133"/>
        <v>-0.37359045340981473</v>
      </c>
      <c r="AO276">
        <f t="shared" si="134"/>
        <v>-0.28298718161907482</v>
      </c>
      <c r="AP276">
        <f t="shared" si="135"/>
        <v>-0.43271477707860639</v>
      </c>
      <c r="AR276">
        <f t="shared" si="136"/>
        <v>0.25628893441052131</v>
      </c>
      <c r="AS276">
        <f t="shared" si="137"/>
        <v>-1.7117329110187605</v>
      </c>
      <c r="AT276">
        <f t="shared" si="138"/>
        <v>-1.9680218454292817</v>
      </c>
      <c r="AU276">
        <f t="shared" si="139"/>
        <v>-2.1526253930440533</v>
      </c>
    </row>
    <row r="277" spans="1:47" x14ac:dyDescent="0.25">
      <c r="A277" s="4">
        <f>DATE(2023,7,10)</f>
        <v>45117</v>
      </c>
      <c r="B277">
        <v>-0.44807335528647024</v>
      </c>
      <c r="C277">
        <v>46.073885409898516</v>
      </c>
      <c r="D277">
        <v>0.23864163723432216</v>
      </c>
      <c r="E277">
        <f t="shared" si="112"/>
        <v>-0.65273494433477375</v>
      </c>
      <c r="F277">
        <f t="shared" si="113"/>
        <v>-0.44798458708152489</v>
      </c>
      <c r="G277">
        <f t="shared" si="114"/>
        <v>-0.84624462302333014</v>
      </c>
      <c r="H277" s="2" t="str">
        <f t="shared" si="115"/>
        <v>Higher</v>
      </c>
      <c r="I277" s="2" t="str">
        <f t="shared" si="116"/>
        <v>Lower</v>
      </c>
      <c r="J277" s="2" t="str">
        <f t="shared" si="117"/>
        <v>Higher</v>
      </c>
      <c r="K277" s="2" t="str">
        <f t="shared" si="118"/>
        <v>Higher</v>
      </c>
      <c r="L277" s="2" t="str">
        <f t="shared" si="119"/>
        <v>Higher</v>
      </c>
      <c r="M277" s="2" t="str">
        <f t="shared" si="120"/>
        <v>Higher</v>
      </c>
      <c r="N277" s="2" t="str">
        <f t="shared" si="121"/>
        <v>Higher</v>
      </c>
      <c r="O277" s="2" t="str">
        <f t="shared" si="122"/>
        <v>Lower</v>
      </c>
      <c r="P277" s="2" t="str">
        <f t="shared" si="123"/>
        <v>Lower</v>
      </c>
      <c r="R277" s="4">
        <f>DATE(2023,7,10)</f>
        <v>45117</v>
      </c>
      <c r="S277">
        <v>0.11046931794923562</v>
      </c>
      <c r="T277">
        <v>0.93844414362688411</v>
      </c>
      <c r="U277">
        <v>0.76967971165488247</v>
      </c>
      <c r="V277">
        <v>-0.71818954959217451</v>
      </c>
      <c r="X277" s="4">
        <f>DATE(2023,7,10)</f>
        <v>45117</v>
      </c>
      <c r="Y277">
        <v>19.319306450018857</v>
      </c>
      <c r="Z277">
        <v>25.053211471060472</v>
      </c>
      <c r="AA277">
        <v>86.317499999999995</v>
      </c>
      <c r="AB277">
        <v>30.70975</v>
      </c>
      <c r="AC277">
        <f t="shared" si="124"/>
        <v>-1.8366516221611135E-2</v>
      </c>
      <c r="AD277">
        <f t="shared" si="125"/>
        <v>-0.12795677746892128</v>
      </c>
      <c r="AE277">
        <f t="shared" si="126"/>
        <v>-0.10959026124731015</v>
      </c>
      <c r="AF277">
        <f t="shared" si="127"/>
        <v>-0.58010509307525771</v>
      </c>
      <c r="AH277">
        <f t="shared" si="128"/>
        <v>-1.0687894321574494E-2</v>
      </c>
      <c r="AI277">
        <f t="shared" si="129"/>
        <v>-5.5042435480565583E-3</v>
      </c>
      <c r="AJ277">
        <f t="shared" si="130"/>
        <v>5.1836507735179361E-3</v>
      </c>
      <c r="AK277">
        <f t="shared" si="131"/>
        <v>5.101335053841987E-2</v>
      </c>
      <c r="AM277">
        <f t="shared" si="132"/>
        <v>-7.7198079254791024E-2</v>
      </c>
      <c r="AN277">
        <f t="shared" si="133"/>
        <v>-0.29803017248271213</v>
      </c>
      <c r="AO277">
        <f t="shared" si="134"/>
        <v>-0.22083209322792111</v>
      </c>
      <c r="AP277">
        <f t="shared" si="135"/>
        <v>-0.32986502840764576</v>
      </c>
      <c r="AR277">
        <f t="shared" si="136"/>
        <v>0.27270514859464712</v>
      </c>
      <c r="AS277">
        <f t="shared" si="137"/>
        <v>-1.7107004622171413</v>
      </c>
      <c r="AT277">
        <f t="shared" si="138"/>
        <v>-1.9834056108117886</v>
      </c>
      <c r="AU277">
        <f t="shared" si="139"/>
        <v>-2.1836521394971427</v>
      </c>
    </row>
    <row r="278" spans="1:47" x14ac:dyDescent="0.25">
      <c r="A278" s="4">
        <f>DATE(2023,7,7)</f>
        <v>45114</v>
      </c>
      <c r="B278">
        <v>-0.48579754998126473</v>
      </c>
      <c r="C278">
        <v>45.614149107963748</v>
      </c>
      <c r="D278">
        <v>0.21250757022214509</v>
      </c>
      <c r="E278">
        <f t="shared" si="112"/>
        <v>-0.68935730558451291</v>
      </c>
      <c r="F278">
        <f t="shared" si="113"/>
        <v>-0.49331917316166346</v>
      </c>
      <c r="G278">
        <f t="shared" si="114"/>
        <v>-0.92893681042455623</v>
      </c>
      <c r="H278" s="2" t="str">
        <f t="shared" si="115"/>
        <v>Higher</v>
      </c>
      <c r="I278" s="2" t="str">
        <f t="shared" si="116"/>
        <v>Lower</v>
      </c>
      <c r="J278" s="2" t="str">
        <f t="shared" si="117"/>
        <v>Higher</v>
      </c>
      <c r="K278" s="2" t="str">
        <f t="shared" si="118"/>
        <v>Higher</v>
      </c>
      <c r="L278" s="2" t="str">
        <f t="shared" si="119"/>
        <v>Lower</v>
      </c>
      <c r="M278" s="2" t="str">
        <f t="shared" si="120"/>
        <v>Higher</v>
      </c>
      <c r="N278" s="2" t="str">
        <f t="shared" si="121"/>
        <v>Higher</v>
      </c>
      <c r="O278" s="2" t="str">
        <f t="shared" si="122"/>
        <v>Lower</v>
      </c>
      <c r="P278" s="2" t="str">
        <f t="shared" si="123"/>
        <v>Higher</v>
      </c>
      <c r="R278" s="4">
        <f>DATE(2023,7,7)</f>
        <v>45114</v>
      </c>
      <c r="S278">
        <v>0.85674007297961552</v>
      </c>
      <c r="T278">
        <v>0.93659271384162202</v>
      </c>
      <c r="U278">
        <v>0.782130010846664</v>
      </c>
      <c r="V278">
        <v>-0.72290462892340457</v>
      </c>
      <c r="X278" s="4">
        <f>DATE(2023,7,7)</f>
        <v>45114</v>
      </c>
      <c r="Y278">
        <v>20.264508725151874</v>
      </c>
      <c r="Z278">
        <v>27.718040919805308</v>
      </c>
      <c r="AA278">
        <v>86.5</v>
      </c>
      <c r="AB278">
        <v>33.311499999999995</v>
      </c>
      <c r="AC278">
        <f t="shared" si="124"/>
        <v>-2.5340929104277949E-2</v>
      </c>
      <c r="AD278">
        <f t="shared" si="125"/>
        <v>-9.8582421551250105E-2</v>
      </c>
      <c r="AE278">
        <f t="shared" si="126"/>
        <v>-7.3241492446972159E-2</v>
      </c>
      <c r="AF278">
        <f t="shared" si="127"/>
        <v>-0.38400224271261413</v>
      </c>
      <c r="AH278">
        <f t="shared" si="128"/>
        <v>4.867317524359112E-3</v>
      </c>
      <c r="AI278">
        <f t="shared" si="129"/>
        <v>6.9796756563420825E-2</v>
      </c>
      <c r="AJ278">
        <f t="shared" si="130"/>
        <v>6.4929439039061718E-2</v>
      </c>
      <c r="AK278">
        <f t="shared" si="131"/>
        <v>0.22595935452049248</v>
      </c>
      <c r="AM278">
        <f t="shared" si="132"/>
        <v>-8.2698138432067275E-2</v>
      </c>
      <c r="AN278">
        <f t="shared" si="133"/>
        <v>-0.21512929441657999</v>
      </c>
      <c r="AO278">
        <f t="shared" si="134"/>
        <v>-0.13243115598451272</v>
      </c>
      <c r="AP278">
        <f t="shared" si="135"/>
        <v>-0.18267622109192405</v>
      </c>
      <c r="AR278">
        <f t="shared" si="136"/>
        <v>0.25926502583013783</v>
      </c>
      <c r="AS278">
        <f t="shared" si="137"/>
        <v>-1.7347855709976354</v>
      </c>
      <c r="AT278">
        <f t="shared" si="138"/>
        <v>-1.9940505968277733</v>
      </c>
      <c r="AU278">
        <f t="shared" si="139"/>
        <v>-2.2102908135228616</v>
      </c>
    </row>
    <row r="279" spans="1:47" x14ac:dyDescent="0.25">
      <c r="A279" s="4">
        <f>DATE(2023,7,6)</f>
        <v>45113</v>
      </c>
      <c r="B279">
        <v>-0.4953857916210872</v>
      </c>
      <c r="C279">
        <v>44.99195242369791</v>
      </c>
      <c r="D279">
        <v>0.18693817335347174</v>
      </c>
      <c r="E279">
        <f t="shared" si="112"/>
        <v>-0.6795334706030689</v>
      </c>
      <c r="F279">
        <f t="shared" si="113"/>
        <v>-0.54280264744924778</v>
      </c>
      <c r="G279">
        <f t="shared" si="114"/>
        <v>-0.99645399058582707</v>
      </c>
      <c r="H279" s="2" t="str">
        <f t="shared" si="115"/>
        <v>Higher</v>
      </c>
      <c r="I279" s="2" t="str">
        <f t="shared" si="116"/>
        <v>Lower</v>
      </c>
      <c r="J279" s="2" t="str">
        <f t="shared" si="117"/>
        <v>Higher</v>
      </c>
      <c r="K279" s="2" t="str">
        <f t="shared" si="118"/>
        <v>Higher</v>
      </c>
      <c r="L279" s="2" t="str">
        <f t="shared" si="119"/>
        <v>Lower</v>
      </c>
      <c r="M279" s="2" t="str">
        <f t="shared" si="120"/>
        <v>Higher</v>
      </c>
      <c r="N279" s="2" t="str">
        <f t="shared" si="121"/>
        <v>Higher</v>
      </c>
      <c r="O279" s="2" t="str">
        <f t="shared" si="122"/>
        <v>Lower</v>
      </c>
      <c r="P279" s="2" t="str">
        <f t="shared" si="123"/>
        <v>Higher</v>
      </c>
      <c r="R279" s="4">
        <f>DATE(2023,7,6)</f>
        <v>45113</v>
      </c>
      <c r="S279">
        <v>0.85161859980922749</v>
      </c>
      <c r="T279">
        <v>0.93946371198246403</v>
      </c>
      <c r="U279">
        <v>0.79490118308523705</v>
      </c>
      <c r="V279">
        <v>-0.72569258373600121</v>
      </c>
      <c r="X279" s="4">
        <f>DATE(2023,7,6)</f>
        <v>45113</v>
      </c>
      <c r="Y279">
        <v>17.517340526456643</v>
      </c>
      <c r="Z279">
        <v>27.712489663974889</v>
      </c>
      <c r="AA279">
        <v>85.924999999999997</v>
      </c>
      <c r="AB279">
        <v>32.558999999999997</v>
      </c>
      <c r="AC279">
        <f t="shared" si="124"/>
        <v>-2.3009355624148551E-2</v>
      </c>
      <c r="AD279">
        <f t="shared" si="125"/>
        <v>-5.6745402967795809E-2</v>
      </c>
      <c r="AE279">
        <f t="shared" si="126"/>
        <v>-3.3736047343647255E-2</v>
      </c>
      <c r="AF279">
        <f t="shared" si="127"/>
        <v>-0.17062035164574338</v>
      </c>
      <c r="AH279">
        <f t="shared" si="128"/>
        <v>2.4206841739577396E-2</v>
      </c>
      <c r="AI279">
        <f t="shared" si="129"/>
        <v>0.18315116462141345</v>
      </c>
      <c r="AJ279">
        <f t="shared" si="130"/>
        <v>0.15894432288183605</v>
      </c>
      <c r="AK279">
        <f t="shared" si="131"/>
        <v>0.50187936656016463</v>
      </c>
      <c r="AM279">
        <f t="shared" si="132"/>
        <v>-9.6446889021715318E-2</v>
      </c>
      <c r="AN279">
        <f t="shared" si="133"/>
        <v>-0.25898717409618111</v>
      </c>
      <c r="AO279">
        <f t="shared" si="134"/>
        <v>-0.16254028507446577</v>
      </c>
      <c r="AP279">
        <f t="shared" si="135"/>
        <v>-0.23487996984989643</v>
      </c>
      <c r="AR279">
        <f t="shared" si="136"/>
        <v>0.26967049438764734</v>
      </c>
      <c r="AS279">
        <f t="shared" si="137"/>
        <v>-1.7516046303054853</v>
      </c>
      <c r="AT279">
        <f t="shared" si="138"/>
        <v>-2.0212751246931324</v>
      </c>
      <c r="AU279">
        <f t="shared" si="139"/>
        <v>-2.255056308464757</v>
      </c>
    </row>
    <row r="280" spans="1:47" x14ac:dyDescent="0.25">
      <c r="A280" s="4">
        <f>DATE(2023,7,5)</f>
        <v>45112</v>
      </c>
      <c r="B280">
        <v>-0.45494151424665241</v>
      </c>
      <c r="C280">
        <v>44.55007141686179</v>
      </c>
      <c r="D280">
        <v>0.19960032563425978</v>
      </c>
      <c r="E280">
        <f t="shared" si="112"/>
        <v>-0.60445736063015487</v>
      </c>
      <c r="F280">
        <f t="shared" si="113"/>
        <v>-0.57703543118808276</v>
      </c>
      <c r="G280">
        <f t="shared" si="114"/>
        <v>-0.94422126345930746</v>
      </c>
      <c r="H280" s="2" t="str">
        <f t="shared" si="115"/>
        <v>Higher</v>
      </c>
      <c r="I280" s="2" t="str">
        <f t="shared" si="116"/>
        <v>Lower</v>
      </c>
      <c r="J280" s="2" t="str">
        <f t="shared" si="117"/>
        <v>Higher</v>
      </c>
      <c r="K280" s="2" t="str">
        <f t="shared" si="118"/>
        <v>Higher</v>
      </c>
      <c r="L280" s="2" t="str">
        <f t="shared" si="119"/>
        <v>Lower</v>
      </c>
      <c r="M280" s="2" t="str">
        <f t="shared" si="120"/>
        <v>Higher</v>
      </c>
      <c r="N280" s="2" t="str">
        <f t="shared" si="121"/>
        <v>Higher</v>
      </c>
      <c r="O280" s="2" t="str">
        <f t="shared" si="122"/>
        <v>Lower</v>
      </c>
      <c r="P280" s="2" t="str">
        <f t="shared" si="123"/>
        <v>Higher</v>
      </c>
      <c r="R280" s="4">
        <f>DATE(2023,7,5)</f>
        <v>45112</v>
      </c>
      <c r="S280">
        <v>0.72988891072263595</v>
      </c>
      <c r="T280">
        <v>0.93461070711972316</v>
      </c>
      <c r="U280">
        <v>0.80399470433536935</v>
      </c>
      <c r="V280">
        <v>-0.7284319616950311</v>
      </c>
      <c r="X280" s="4">
        <f>DATE(2023,7,5)</f>
        <v>45112</v>
      </c>
      <c r="Y280">
        <v>18.037536931741052</v>
      </c>
      <c r="Z280">
        <v>29.171753042951241</v>
      </c>
      <c r="AA280">
        <v>86.16</v>
      </c>
      <c r="AB280">
        <v>34.66525</v>
      </c>
      <c r="AC280">
        <f t="shared" si="124"/>
        <v>-2.1329625495685123E-2</v>
      </c>
      <c r="AD280">
        <f t="shared" si="125"/>
        <v>1.6073858219178172E-2</v>
      </c>
      <c r="AE280">
        <f t="shared" si="126"/>
        <v>3.7403483714863295E-2</v>
      </c>
      <c r="AF280">
        <f t="shared" si="127"/>
        <v>0.21564325837583373</v>
      </c>
      <c r="AH280">
        <f t="shared" si="128"/>
        <v>3.9325175433787864E-2</v>
      </c>
      <c r="AI280">
        <f t="shared" si="129"/>
        <v>0.27948227333865944</v>
      </c>
      <c r="AJ280">
        <f t="shared" si="130"/>
        <v>0.24015709790487158</v>
      </c>
      <c r="AK280">
        <f t="shared" si="131"/>
        <v>0.74165253552702837</v>
      </c>
      <c r="AM280">
        <f t="shared" si="132"/>
        <v>-0.11115843840405942</v>
      </c>
      <c r="AN280">
        <f t="shared" si="133"/>
        <v>-0.21859698827490717</v>
      </c>
      <c r="AO280">
        <f t="shared" si="134"/>
        <v>-0.10743854987084775</v>
      </c>
      <c r="AP280">
        <f t="shared" si="135"/>
        <v>-0.14259299593579142</v>
      </c>
      <c r="AR280">
        <f t="shared" si="136"/>
        <v>0.2705745246995655</v>
      </c>
      <c r="AS280">
        <f t="shared" si="137"/>
        <v>-1.7878840228506332</v>
      </c>
      <c r="AT280">
        <f t="shared" si="138"/>
        <v>-2.0584585475501989</v>
      </c>
      <c r="AU280">
        <f t="shared" si="139"/>
        <v>-2.3106468571751013</v>
      </c>
    </row>
    <row r="281" spans="1:47" x14ac:dyDescent="0.25">
      <c r="A281" s="4">
        <f>DATE(2023,7,4)</f>
        <v>45111</v>
      </c>
      <c r="B281">
        <v>-0.34494765871890354</v>
      </c>
      <c r="C281">
        <v>47.985440697787936</v>
      </c>
      <c r="D281">
        <v>0.34845181451344615</v>
      </c>
      <c r="E281">
        <f t="shared" si="112"/>
        <v>-0.43972537664473055</v>
      </c>
      <c r="F281">
        <f t="shared" si="113"/>
        <v>-0.21894078732645988</v>
      </c>
      <c r="G281">
        <f t="shared" si="114"/>
        <v>-0.46142224284354949</v>
      </c>
      <c r="H281" s="2" t="str">
        <f t="shared" si="115"/>
        <v>Higher</v>
      </c>
      <c r="I281" s="2" t="str">
        <f t="shared" si="116"/>
        <v>Lower</v>
      </c>
      <c r="J281" s="2" t="str">
        <f t="shared" si="117"/>
        <v>Higher</v>
      </c>
      <c r="K281" s="2" t="str">
        <f t="shared" si="118"/>
        <v>Higher</v>
      </c>
      <c r="L281" s="2" t="str">
        <f t="shared" si="119"/>
        <v>Lower</v>
      </c>
      <c r="M281" s="2" t="str">
        <f t="shared" si="120"/>
        <v>Higher</v>
      </c>
      <c r="N281" s="2" t="str">
        <f t="shared" si="121"/>
        <v>Higher</v>
      </c>
      <c r="O281" s="2" t="str">
        <f t="shared" si="122"/>
        <v>Lower</v>
      </c>
      <c r="P281" s="2" t="str">
        <f t="shared" si="123"/>
        <v>Higher</v>
      </c>
      <c r="R281" s="4">
        <f>DATE(2023,7,4)</f>
        <v>45111</v>
      </c>
      <c r="X281" s="4">
        <f>DATE(2023,7,4)</f>
        <v>45111</v>
      </c>
      <c r="Y281">
        <v>18.786867923406756</v>
      </c>
      <c r="AA281">
        <v>87.32</v>
      </c>
      <c r="AC281">
        <f t="shared" si="124"/>
        <v>-9.7155913307433762E-3</v>
      </c>
      <c r="AD281" t="str">
        <f t="shared" si="125"/>
        <v/>
      </c>
      <c r="AE281" t="str">
        <f t="shared" si="126"/>
        <v/>
      </c>
      <c r="AF281" t="str">
        <f t="shared" si="127"/>
        <v/>
      </c>
      <c r="AH281">
        <f t="shared" si="128"/>
        <v>6.5821982993256992E-2</v>
      </c>
      <c r="AI281" t="str">
        <f t="shared" si="129"/>
        <v/>
      </c>
      <c r="AJ281" t="str">
        <f t="shared" si="130"/>
        <v/>
      </c>
      <c r="AK281" t="str">
        <f t="shared" si="131"/>
        <v/>
      </c>
      <c r="AM281">
        <f t="shared" si="132"/>
        <v>-0.11052922371097715</v>
      </c>
      <c r="AN281" t="str">
        <f t="shared" si="133"/>
        <v/>
      </c>
      <c r="AO281" t="str">
        <f t="shared" si="134"/>
        <v/>
      </c>
      <c r="AP281" t="str">
        <f t="shared" si="135"/>
        <v/>
      </c>
      <c r="AR281">
        <f t="shared" si="136"/>
        <v>0.24132344076265932</v>
      </c>
      <c r="AS281" t="str">
        <f t="shared" si="137"/>
        <v/>
      </c>
      <c r="AT281" t="str">
        <f t="shared" si="138"/>
        <v/>
      </c>
      <c r="AU281" t="str">
        <f t="shared" si="139"/>
        <v/>
      </c>
    </row>
    <row r="282" spans="1:47" x14ac:dyDescent="0.25">
      <c r="A282" s="4">
        <f>DATE(2023,7,3)</f>
        <v>45110</v>
      </c>
      <c r="B282">
        <v>-0.2967331737822454</v>
      </c>
      <c r="C282">
        <v>48.153079761001223</v>
      </c>
      <c r="D282">
        <v>0.39220290416717529</v>
      </c>
      <c r="E282">
        <f t="shared" si="112"/>
        <v>-0.36562854673230821</v>
      </c>
      <c r="F282">
        <f t="shared" si="113"/>
        <v>-0.19818010657863055</v>
      </c>
      <c r="G282">
        <f t="shared" si="114"/>
        <v>-0.31713039371725327</v>
      </c>
      <c r="H282" s="2" t="str">
        <f t="shared" si="115"/>
        <v>Higher</v>
      </c>
      <c r="I282" s="2" t="str">
        <f t="shared" si="116"/>
        <v>Lower</v>
      </c>
      <c r="J282" s="2" t="str">
        <f t="shared" si="117"/>
        <v>Higher</v>
      </c>
      <c r="K282" s="2" t="str">
        <f t="shared" si="118"/>
        <v>Higher</v>
      </c>
      <c r="L282" s="2" t="str">
        <f t="shared" si="119"/>
        <v>Lower</v>
      </c>
      <c r="M282" s="2" t="str">
        <f t="shared" si="120"/>
        <v>Higher</v>
      </c>
      <c r="N282" s="2" t="str">
        <f t="shared" si="121"/>
        <v>Higher</v>
      </c>
      <c r="O282" s="2" t="str">
        <f t="shared" si="122"/>
        <v>Lower</v>
      </c>
      <c r="P282" s="2" t="str">
        <f t="shared" si="123"/>
        <v>Higher</v>
      </c>
      <c r="R282" s="4">
        <f>DATE(2023,7,3)</f>
        <v>45110</v>
      </c>
      <c r="S282">
        <v>0.72742119084965484</v>
      </c>
      <c r="T282">
        <v>0.92930211362467763</v>
      </c>
      <c r="U282">
        <v>0.81650335716938738</v>
      </c>
      <c r="V282">
        <v>-0.73021487664126883</v>
      </c>
      <c r="X282" s="4">
        <f>DATE(2023,7,3)</f>
        <v>45110</v>
      </c>
      <c r="Y282">
        <v>19.444330697785453</v>
      </c>
      <c r="Z282">
        <v>30.848952169201162</v>
      </c>
      <c r="AA282">
        <v>87.91749999999999</v>
      </c>
      <c r="AB282">
        <v>34.90175</v>
      </c>
      <c r="AC282">
        <f t="shared" si="124"/>
        <v>1.023216884255688E-2</v>
      </c>
      <c r="AD282">
        <f t="shared" si="125"/>
        <v>6.9529214358004132E-2</v>
      </c>
      <c r="AE282">
        <f t="shared" si="126"/>
        <v>5.9297045515447254E-2</v>
      </c>
      <c r="AF282">
        <f t="shared" si="127"/>
        <v>0.3337687550279157</v>
      </c>
      <c r="AH282">
        <f t="shared" si="128"/>
        <v>7.5029277233217326E-2</v>
      </c>
      <c r="AI282">
        <f t="shared" si="129"/>
        <v>0.239251371788364</v>
      </c>
      <c r="AJ282">
        <f t="shared" si="130"/>
        <v>0.16422209455514669</v>
      </c>
      <c r="AK282">
        <f t="shared" si="131"/>
        <v>0.51766069529845526</v>
      </c>
      <c r="AM282" t="str">
        <f t="shared" si="132"/>
        <v/>
      </c>
      <c r="AN282">
        <f t="shared" si="133"/>
        <v>-0.21156590413379828</v>
      </c>
      <c r="AO282" t="str">
        <f t="shared" si="134"/>
        <v/>
      </c>
      <c r="AP282" t="str">
        <f t="shared" si="135"/>
        <v/>
      </c>
      <c r="AR282">
        <f t="shared" si="136"/>
        <v>0.2397232095062129</v>
      </c>
      <c r="AS282">
        <f t="shared" si="137"/>
        <v>-1.6055638496387215</v>
      </c>
      <c r="AT282">
        <f t="shared" si="138"/>
        <v>-1.8452870591449344</v>
      </c>
      <c r="AU282">
        <f t="shared" si="139"/>
        <v>-2.1045325875172223</v>
      </c>
    </row>
    <row r="283" spans="1:47" x14ac:dyDescent="0.25">
      <c r="A283" s="4">
        <f>DATE(2023,6,30)</f>
        <v>45107</v>
      </c>
      <c r="B283">
        <v>-0.21288010367765375</v>
      </c>
      <c r="C283">
        <v>52.428662288295108</v>
      </c>
      <c r="D283">
        <v>0.53841854089892538</v>
      </c>
      <c r="E283">
        <f t="shared" si="112"/>
        <v>-0.24549128324404568</v>
      </c>
      <c r="F283">
        <f t="shared" si="113"/>
        <v>0.22806923616090416</v>
      </c>
      <c r="G283">
        <f t="shared" si="114"/>
        <v>0.13299181559246476</v>
      </c>
      <c r="H283" s="2" t="str">
        <f t="shared" si="115"/>
        <v>Higher</v>
      </c>
      <c r="I283" s="2" t="str">
        <f t="shared" si="116"/>
        <v>Lower</v>
      </c>
      <c r="J283" s="2" t="str">
        <f t="shared" si="117"/>
        <v>Higher</v>
      </c>
      <c r="K283" s="2" t="str">
        <f t="shared" si="118"/>
        <v>Higher</v>
      </c>
      <c r="L283" s="2" t="str">
        <f t="shared" si="119"/>
        <v>Lower</v>
      </c>
      <c r="M283" s="2" t="str">
        <f t="shared" si="120"/>
        <v>Higher</v>
      </c>
      <c r="N283" s="2" t="str">
        <f t="shared" si="121"/>
        <v>Higher</v>
      </c>
      <c r="O283" s="2" t="str">
        <f t="shared" si="122"/>
        <v>Lower</v>
      </c>
      <c r="P283" s="2" t="str">
        <f t="shared" si="123"/>
        <v>Higher</v>
      </c>
      <c r="R283" s="4">
        <f>DATE(2023,6,30)</f>
        <v>45107</v>
      </c>
      <c r="S283">
        <v>0.87613439363948398</v>
      </c>
      <c r="T283">
        <v>0.91566997949785622</v>
      </c>
      <c r="U283">
        <v>0.8235505817954647</v>
      </c>
      <c r="V283">
        <v>-0.73452518170117487</v>
      </c>
      <c r="X283" s="4">
        <f>DATE(2023,6,30)</f>
        <v>45107</v>
      </c>
      <c r="Y283">
        <v>20.124762830818536</v>
      </c>
      <c r="Z283">
        <v>33.904432665472527</v>
      </c>
      <c r="AA283">
        <v>88.72</v>
      </c>
      <c r="AB283">
        <v>36.762749999999997</v>
      </c>
      <c r="AC283">
        <f t="shared" si="124"/>
        <v>1.8897465748741336E-3</v>
      </c>
      <c r="AD283">
        <f t="shared" si="125"/>
        <v>0.12018048463341427</v>
      </c>
      <c r="AE283">
        <f t="shared" si="126"/>
        <v>0.11829073805854014</v>
      </c>
      <c r="AF283">
        <f t="shared" si="127"/>
        <v>0.65452991375759262</v>
      </c>
      <c r="AH283">
        <f t="shared" si="128"/>
        <v>0.11278329753856643</v>
      </c>
      <c r="AI283">
        <f t="shared" si="129"/>
        <v>0.44378939146327684</v>
      </c>
      <c r="AJ283">
        <f t="shared" si="130"/>
        <v>0.33100609392471042</v>
      </c>
      <c r="AK283">
        <f t="shared" si="131"/>
        <v>1.0084991838988462</v>
      </c>
      <c r="AM283" t="str">
        <f t="shared" si="132"/>
        <v/>
      </c>
      <c r="AN283" t="str">
        <f t="shared" si="133"/>
        <v/>
      </c>
      <c r="AO283" t="str">
        <f t="shared" si="134"/>
        <v/>
      </c>
      <c r="AP283" t="str">
        <f t="shared" si="135"/>
        <v/>
      </c>
      <c r="AR283">
        <f t="shared" si="136"/>
        <v>0.28381968834955074</v>
      </c>
      <c r="AS283">
        <f t="shared" si="137"/>
        <v>-1.6185428232413066</v>
      </c>
      <c r="AT283">
        <f t="shared" si="138"/>
        <v>-1.9023625115908573</v>
      </c>
      <c r="AU283">
        <f t="shared" si="139"/>
        <v>-2.1799696260038108</v>
      </c>
    </row>
    <row r="284" spans="1:47" x14ac:dyDescent="0.25">
      <c r="A284" s="4">
        <f>DATE(2023,6,29)</f>
        <v>45106</v>
      </c>
      <c r="B284">
        <v>-0.2523335763531438</v>
      </c>
      <c r="C284">
        <v>49.620135511172776</v>
      </c>
      <c r="D284">
        <v>0.49219572583339261</v>
      </c>
      <c r="E284">
        <f t="shared" si="112"/>
        <v>-0.2868918200512327</v>
      </c>
      <c r="F284">
        <f t="shared" si="113"/>
        <v>-4.527831350742105E-2</v>
      </c>
      <c r="G284">
        <f t="shared" si="114"/>
        <v>5.7354886475475628E-3</v>
      </c>
      <c r="H284" s="2" t="str">
        <f t="shared" si="115"/>
        <v>Higher</v>
      </c>
      <c r="I284" s="2" t="str">
        <f t="shared" si="116"/>
        <v>Lower</v>
      </c>
      <c r="J284" s="2" t="str">
        <f t="shared" si="117"/>
        <v>Higher</v>
      </c>
      <c r="K284" s="2" t="str">
        <f t="shared" si="118"/>
        <v>Higher</v>
      </c>
      <c r="L284" s="2" t="str">
        <f t="shared" si="119"/>
        <v>Lower</v>
      </c>
      <c r="M284" s="2" t="str">
        <f t="shared" si="120"/>
        <v>Higher</v>
      </c>
      <c r="N284" s="2" t="str">
        <f t="shared" si="121"/>
        <v>Higher</v>
      </c>
      <c r="O284" s="2" t="str">
        <f t="shared" si="122"/>
        <v>Lower</v>
      </c>
      <c r="P284" s="2" t="str">
        <f t="shared" si="123"/>
        <v>Higher</v>
      </c>
      <c r="R284" s="4">
        <f>DATE(2023,6,29)</f>
        <v>45106</v>
      </c>
      <c r="S284">
        <v>0.689324224428012</v>
      </c>
      <c r="T284">
        <v>0.92146778999112233</v>
      </c>
      <c r="U284">
        <v>0.82809293530967187</v>
      </c>
      <c r="V284">
        <v>-0.73687669427370805</v>
      </c>
      <c r="X284" s="4">
        <f>DATE(2023,6,29)</f>
        <v>45106</v>
      </c>
      <c r="Y284">
        <v>19.436506840645585</v>
      </c>
      <c r="Z284">
        <v>29.806222686198065</v>
      </c>
      <c r="AA284">
        <v>87.924999999999997</v>
      </c>
      <c r="AB284">
        <v>34.459999999999994</v>
      </c>
      <c r="AC284">
        <f t="shared" si="124"/>
        <v>-2.3103245052980143E-2</v>
      </c>
      <c r="AD284">
        <f t="shared" si="125"/>
        <v>-9.7032065455110936E-3</v>
      </c>
      <c r="AE284">
        <f t="shared" si="126"/>
        <v>1.3400038507469049E-2</v>
      </c>
      <c r="AF284">
        <f t="shared" si="127"/>
        <v>8.5001927046036999E-2</v>
      </c>
      <c r="AH284">
        <f t="shared" si="128"/>
        <v>0.10387676560265618</v>
      </c>
      <c r="AI284">
        <f t="shared" si="129"/>
        <v>0.37739852415959829</v>
      </c>
      <c r="AJ284">
        <f t="shared" si="130"/>
        <v>0.27352175855694211</v>
      </c>
      <c r="AK284">
        <f t="shared" si="131"/>
        <v>0.84059819044305784</v>
      </c>
      <c r="AM284">
        <f t="shared" si="132"/>
        <v>-9.5956183005126386E-2</v>
      </c>
      <c r="AN284">
        <f t="shared" si="133"/>
        <v>-0.22803580151531125</v>
      </c>
      <c r="AO284">
        <f t="shared" si="134"/>
        <v>-0.13207961851018485</v>
      </c>
      <c r="AP284">
        <f t="shared" si="135"/>
        <v>-0.18897228521124559</v>
      </c>
      <c r="AR284">
        <f t="shared" si="136"/>
        <v>0.22438828359078786</v>
      </c>
      <c r="AS284">
        <f t="shared" si="137"/>
        <v>-1.6938089330788026</v>
      </c>
      <c r="AT284">
        <f t="shared" si="138"/>
        <v>-1.9181972166695904</v>
      </c>
      <c r="AU284">
        <f t="shared" si="139"/>
        <v>-2.2125629227232197</v>
      </c>
    </row>
    <row r="285" spans="1:47" x14ac:dyDescent="0.25">
      <c r="A285" s="4">
        <f>DATE(2023,6,28)</f>
        <v>45105</v>
      </c>
      <c r="B285">
        <v>-0.1856296145862949</v>
      </c>
      <c r="C285">
        <v>49.222469728115421</v>
      </c>
      <c r="D285">
        <v>0.50855459835444372</v>
      </c>
      <c r="E285">
        <f t="shared" si="112"/>
        <v>-0.1906426830300193</v>
      </c>
      <c r="F285">
        <f t="shared" si="113"/>
        <v>-8.0502780913199873E-2</v>
      </c>
      <c r="G285">
        <f t="shared" si="114"/>
        <v>6.7933456365279657E-2</v>
      </c>
      <c r="H285" s="2" t="str">
        <f t="shared" si="115"/>
        <v>Higher</v>
      </c>
      <c r="I285" s="2" t="str">
        <f t="shared" si="116"/>
        <v>Lower</v>
      </c>
      <c r="J285" s="2" t="str">
        <f t="shared" si="117"/>
        <v>Higher</v>
      </c>
      <c r="K285" s="2" t="str">
        <f t="shared" si="118"/>
        <v>Higher</v>
      </c>
      <c r="L285" s="2" t="str">
        <f t="shared" si="119"/>
        <v>Lower</v>
      </c>
      <c r="M285" s="2" t="str">
        <f t="shared" si="120"/>
        <v>Higher</v>
      </c>
      <c r="N285" s="2" t="str">
        <f t="shared" si="121"/>
        <v>Higher</v>
      </c>
      <c r="O285" s="2" t="str">
        <f t="shared" si="122"/>
        <v>Lower</v>
      </c>
      <c r="P285" s="2" t="str">
        <f t="shared" si="123"/>
        <v>Higher</v>
      </c>
      <c r="R285" s="4">
        <f>DATE(2023,6,28)</f>
        <v>45105</v>
      </c>
      <c r="S285">
        <v>0.73877241320937548</v>
      </c>
      <c r="T285">
        <v>0.92661512805563506</v>
      </c>
      <c r="U285">
        <v>0.82176822676907801</v>
      </c>
      <c r="V285">
        <v>-0.7427637006596256</v>
      </c>
      <c r="X285" s="4">
        <f>DATE(2023,6,28)</f>
        <v>45105</v>
      </c>
      <c r="Y285">
        <v>20.210917329976088</v>
      </c>
      <c r="Z285">
        <v>31.951178976698852</v>
      </c>
      <c r="AA285">
        <v>88.017499999999998</v>
      </c>
      <c r="AB285">
        <v>34.112499999999997</v>
      </c>
      <c r="AC285">
        <f t="shared" si="124"/>
        <v>-4.1232056143154679E-2</v>
      </c>
      <c r="AD285">
        <f t="shared" si="125"/>
        <v>-8.9255711355823206E-2</v>
      </c>
      <c r="AE285">
        <f t="shared" si="126"/>
        <v>-4.8023655212668527E-2</v>
      </c>
      <c r="AF285">
        <f t="shared" si="127"/>
        <v>-0.24895355422050788</v>
      </c>
      <c r="AH285">
        <f t="shared" si="128"/>
        <v>8.5094691571106898E-2</v>
      </c>
      <c r="AI285">
        <f t="shared" si="129"/>
        <v>0.24173785798946396</v>
      </c>
      <c r="AJ285">
        <f t="shared" si="130"/>
        <v>0.15664316641835707</v>
      </c>
      <c r="AK285">
        <f t="shared" si="131"/>
        <v>0.497601432531105</v>
      </c>
      <c r="AM285">
        <f t="shared" si="132"/>
        <v>-9.1955535187255161E-2</v>
      </c>
      <c r="AN285">
        <f t="shared" si="133"/>
        <v>-0.28115661388452662</v>
      </c>
      <c r="AO285">
        <f t="shared" si="134"/>
        <v>-0.18920107869727146</v>
      </c>
      <c r="AP285">
        <f t="shared" si="135"/>
        <v>-0.28618767783050691</v>
      </c>
      <c r="AR285">
        <f t="shared" si="136"/>
        <v>0.22736325209237471</v>
      </c>
      <c r="AS285">
        <f t="shared" si="137"/>
        <v>-1.7162068897564153</v>
      </c>
      <c r="AT285">
        <f t="shared" si="138"/>
        <v>-1.9435701418487901</v>
      </c>
      <c r="AU285">
        <f t="shared" si="139"/>
        <v>-2.2537651399761871</v>
      </c>
    </row>
    <row r="286" spans="1:47" x14ac:dyDescent="0.25">
      <c r="A286" s="4">
        <f>DATE(2023,6,27)</f>
        <v>45104</v>
      </c>
      <c r="B286">
        <v>-5.9908512359070243E-2</v>
      </c>
      <c r="C286">
        <v>51.743352266655741</v>
      </c>
      <c r="D286">
        <v>0.58375839387570772</v>
      </c>
      <c r="E286">
        <f t="shared" si="112"/>
        <v>-1.9742972954119777E-2</v>
      </c>
      <c r="F286">
        <f t="shared" si="113"/>
        <v>0.17166426324963344</v>
      </c>
      <c r="G286">
        <f t="shared" si="114"/>
        <v>0.30132156708837593</v>
      </c>
      <c r="H286" s="2" t="str">
        <f t="shared" si="115"/>
        <v>Higher</v>
      </c>
      <c r="I286" s="2" t="str">
        <f t="shared" si="116"/>
        <v>Lower</v>
      </c>
      <c r="J286" s="2" t="str">
        <f t="shared" si="117"/>
        <v>Higher</v>
      </c>
      <c r="K286" s="2" t="str">
        <f t="shared" si="118"/>
        <v>Higher</v>
      </c>
      <c r="L286" s="2" t="str">
        <f t="shared" si="119"/>
        <v>Higher</v>
      </c>
      <c r="M286" s="2" t="str">
        <f t="shared" si="120"/>
        <v>Higher</v>
      </c>
      <c r="N286" s="2" t="str">
        <f t="shared" si="121"/>
        <v>Higher</v>
      </c>
      <c r="O286" s="2" t="str">
        <f t="shared" si="122"/>
        <v>Lower</v>
      </c>
      <c r="P286" s="2" t="str">
        <f t="shared" si="123"/>
        <v>Higher</v>
      </c>
      <c r="R286" s="4">
        <f>DATE(2023,6,27)</f>
        <v>45104</v>
      </c>
      <c r="S286">
        <v>0.87452302938822091</v>
      </c>
      <c r="T286">
        <v>0.92870690531976863</v>
      </c>
      <c r="U286">
        <v>0.8197978510571089</v>
      </c>
      <c r="V286">
        <v>-0.74770414274573982</v>
      </c>
      <c r="X286" s="4">
        <f>DATE(2023,6,27)</f>
        <v>45104</v>
      </c>
      <c r="Y286">
        <v>20.324920522244135</v>
      </c>
      <c r="Z286">
        <v>32.483359028899201</v>
      </c>
      <c r="AA286">
        <v>88.172499999999999</v>
      </c>
      <c r="AB286">
        <v>33.966999999999999</v>
      </c>
      <c r="AC286">
        <f t="shared" si="124"/>
        <v>-7.0758680416938377E-2</v>
      </c>
      <c r="AD286">
        <f t="shared" si="125"/>
        <v>-8.9883814060777584E-2</v>
      </c>
      <c r="AE286">
        <f t="shared" si="126"/>
        <v>-1.9125133643839207E-2</v>
      </c>
      <c r="AF286">
        <f t="shared" si="127"/>
        <v>-9.2762422100776107E-2</v>
      </c>
      <c r="AH286">
        <f t="shared" si="128"/>
        <v>8.256462197340865E-2</v>
      </c>
      <c r="AI286">
        <f t="shared" si="129"/>
        <v>0.31935574820020285</v>
      </c>
      <c r="AJ286">
        <f t="shared" si="130"/>
        <v>0.23679112622679421</v>
      </c>
      <c r="AK286">
        <f t="shared" si="131"/>
        <v>0.73345161849577944</v>
      </c>
      <c r="AM286">
        <f t="shared" si="132"/>
        <v>-7.9726406949624545E-2</v>
      </c>
      <c r="AN286">
        <f t="shared" si="133"/>
        <v>-0.32425801161327056</v>
      </c>
      <c r="AO286">
        <f t="shared" si="134"/>
        <v>-0.24453160466364601</v>
      </c>
      <c r="AP286">
        <f t="shared" si="135"/>
        <v>-0.37981898262044678</v>
      </c>
      <c r="AR286">
        <f t="shared" si="136"/>
        <v>0.2112073597713032</v>
      </c>
      <c r="AS286">
        <f t="shared" si="137"/>
        <v>-1.743802855165687</v>
      </c>
      <c r="AT286">
        <f t="shared" si="138"/>
        <v>-1.9550102149369901</v>
      </c>
      <c r="AU286">
        <f t="shared" si="139"/>
        <v>-2.2831065051122206</v>
      </c>
    </row>
    <row r="287" spans="1:47" x14ac:dyDescent="0.25">
      <c r="A287" s="4">
        <f>DATE(2023,6,26)</f>
        <v>45103</v>
      </c>
      <c r="B287">
        <v>1.6420037965784728E-2</v>
      </c>
      <c r="C287">
        <v>45.814123741190755</v>
      </c>
      <c r="D287">
        <v>0.47223512252189898</v>
      </c>
      <c r="E287">
        <f t="shared" si="112"/>
        <v>8.5429140097938117E-2</v>
      </c>
      <c r="F287">
        <f t="shared" si="113"/>
        <v>-0.42060414838343613</v>
      </c>
      <c r="G287">
        <f t="shared" si="114"/>
        <v>-2.3283532562111832E-2</v>
      </c>
      <c r="H287" s="2" t="str">
        <f t="shared" si="115"/>
        <v>Higher</v>
      </c>
      <c r="I287" s="2" t="str">
        <f t="shared" si="116"/>
        <v>Lower</v>
      </c>
      <c r="J287" s="2" t="str">
        <f t="shared" si="117"/>
        <v>Higher</v>
      </c>
      <c r="K287" s="2" t="str">
        <f t="shared" si="118"/>
        <v>Higher</v>
      </c>
      <c r="L287" s="2" t="str">
        <f t="shared" si="119"/>
        <v>Higher</v>
      </c>
      <c r="M287" s="2" t="str">
        <f t="shared" si="120"/>
        <v>Higher</v>
      </c>
      <c r="N287" s="2" t="str">
        <f t="shared" si="121"/>
        <v>Higher</v>
      </c>
      <c r="O287" s="2" t="str">
        <f t="shared" si="122"/>
        <v>Lower</v>
      </c>
      <c r="P287" s="2" t="str">
        <f t="shared" si="123"/>
        <v>Higher</v>
      </c>
      <c r="R287" s="4">
        <f>DATE(2023,6,26)</f>
        <v>45103</v>
      </c>
      <c r="S287">
        <v>0.94902055341134239</v>
      </c>
      <c r="T287">
        <v>0.92969698763615238</v>
      </c>
      <c r="U287">
        <v>0.81759822558124373</v>
      </c>
      <c r="V287">
        <v>-0.75097169935361319</v>
      </c>
      <c r="X287" s="4">
        <f>DATE(2023,6,26)</f>
        <v>45103</v>
      </c>
      <c r="Y287">
        <v>21.901860524309178</v>
      </c>
      <c r="Z287">
        <v>33.92375191446547</v>
      </c>
      <c r="AA287">
        <v>87.022499999999994</v>
      </c>
      <c r="AB287">
        <v>32.557500000000005</v>
      </c>
      <c r="AC287">
        <f t="shared" si="124"/>
        <v>-5.673538139343727E-2</v>
      </c>
      <c r="AD287" t="str">
        <f t="shared" si="125"/>
        <v/>
      </c>
      <c r="AE287" t="str">
        <f t="shared" si="126"/>
        <v/>
      </c>
      <c r="AF287" t="str">
        <f t="shared" si="127"/>
        <v/>
      </c>
      <c r="AH287">
        <f t="shared" si="128"/>
        <v>4.4829217912487743E-2</v>
      </c>
      <c r="AI287" t="str">
        <f t="shared" si="129"/>
        <v/>
      </c>
      <c r="AJ287" t="str">
        <f t="shared" si="130"/>
        <v/>
      </c>
      <c r="AK287" t="str">
        <f t="shared" si="131"/>
        <v/>
      </c>
      <c r="AM287">
        <f t="shared" si="132"/>
        <v>-8.5998194756520277E-2</v>
      </c>
      <c r="AN287">
        <f t="shared" si="133"/>
        <v>-0.45111425677038014</v>
      </c>
      <c r="AO287">
        <f t="shared" si="134"/>
        <v>-0.36511606201385988</v>
      </c>
      <c r="AP287">
        <f t="shared" si="135"/>
        <v>-0.58419170851897495</v>
      </c>
      <c r="AR287">
        <f t="shared" si="136"/>
        <v>0.19594491817245249</v>
      </c>
      <c r="AS287">
        <f t="shared" si="137"/>
        <v>-1.7224374554828492</v>
      </c>
      <c r="AT287">
        <f t="shared" si="138"/>
        <v>-1.9183823736553016</v>
      </c>
      <c r="AU287">
        <f t="shared" si="139"/>
        <v>-2.2605981836464077</v>
      </c>
    </row>
    <row r="288" spans="1:47" x14ac:dyDescent="0.25">
      <c r="A288" s="4">
        <f>DATE(2023,6,23)</f>
        <v>45100</v>
      </c>
      <c r="B288">
        <v>0.38712416161971153</v>
      </c>
      <c r="C288">
        <v>49.343551349040574</v>
      </c>
      <c r="D288">
        <v>0.56058428599813437</v>
      </c>
      <c r="E288">
        <f t="shared" si="112"/>
        <v>0.56711540221910128</v>
      </c>
      <c r="F288">
        <f t="shared" si="113"/>
        <v>-7.2214804438769889E-2</v>
      </c>
      <c r="G288">
        <f t="shared" si="114"/>
        <v>0.23700629086160999</v>
      </c>
      <c r="H288" s="2" t="str">
        <f t="shared" si="115"/>
        <v>Higher</v>
      </c>
      <c r="I288" s="2" t="str">
        <f t="shared" si="116"/>
        <v>Lower</v>
      </c>
      <c r="J288" s="2" t="str">
        <f t="shared" si="117"/>
        <v>Higher</v>
      </c>
      <c r="K288" s="2" t="str">
        <f t="shared" si="118"/>
        <v>Higher</v>
      </c>
      <c r="L288" s="2" t="str">
        <f t="shared" si="119"/>
        <v>Higher</v>
      </c>
      <c r="M288" s="2" t="str">
        <f t="shared" si="120"/>
        <v>Higher</v>
      </c>
      <c r="N288" s="2" t="str">
        <f t="shared" si="121"/>
        <v>Higher</v>
      </c>
      <c r="O288" s="2" t="str">
        <f t="shared" si="122"/>
        <v>Lower</v>
      </c>
      <c r="P288" s="2" t="str">
        <f t="shared" si="123"/>
        <v>Higher</v>
      </c>
      <c r="R288" s="4">
        <f>DATE(2023,6,23)</f>
        <v>45100</v>
      </c>
      <c r="S288">
        <v>0.86953529541900354</v>
      </c>
      <c r="T288">
        <v>0.92857686683666918</v>
      </c>
      <c r="U288">
        <v>0.81147330113946703</v>
      </c>
      <c r="V288">
        <v>-0.75329411791744527</v>
      </c>
      <c r="X288" s="4">
        <f>DATE(2023,6,23)</f>
        <v>45100</v>
      </c>
      <c r="Y288">
        <v>23.875678964883953</v>
      </c>
      <c r="Z288">
        <v>32.757140017557049</v>
      </c>
      <c r="AA288">
        <v>88.552499999999995</v>
      </c>
      <c r="AB288">
        <v>32.59975</v>
      </c>
      <c r="AC288">
        <f t="shared" si="124"/>
        <v>-3.9279346794023721E-2</v>
      </c>
      <c r="AD288">
        <f t="shared" si="125"/>
        <v>-6.7221863204964566E-2</v>
      </c>
      <c r="AE288">
        <f t="shared" si="126"/>
        <v>-2.7942516410940844E-2</v>
      </c>
      <c r="AF288">
        <f t="shared" si="127"/>
        <v>-0.14195840164578086</v>
      </c>
      <c r="AH288">
        <f t="shared" si="128"/>
        <v>7.1130692027839795E-2</v>
      </c>
      <c r="AI288">
        <f t="shared" si="129"/>
        <v>0.2829310698995422</v>
      </c>
      <c r="AJ288">
        <f t="shared" si="130"/>
        <v>0.21180037787170242</v>
      </c>
      <c r="AK288">
        <f t="shared" si="131"/>
        <v>0.65982760721172129</v>
      </c>
      <c r="AM288">
        <f t="shared" si="132"/>
        <v>-3.6751725080575802E-2</v>
      </c>
      <c r="AN288">
        <f t="shared" si="133"/>
        <v>-0.36840883639320887</v>
      </c>
      <c r="AO288">
        <f t="shared" si="134"/>
        <v>-0.33165711131263309</v>
      </c>
      <c r="AP288">
        <f t="shared" si="135"/>
        <v>-0.52987965556548844</v>
      </c>
      <c r="AR288">
        <f t="shared" si="136"/>
        <v>0.19457554691045192</v>
      </c>
      <c r="AS288">
        <f t="shared" si="137"/>
        <v>-1.7510356727524596</v>
      </c>
      <c r="AT288">
        <f t="shared" si="138"/>
        <v>-1.9456112196629116</v>
      </c>
      <c r="AU288">
        <f t="shared" si="139"/>
        <v>-2.3076638014183275</v>
      </c>
    </row>
    <row r="289" spans="1:47" x14ac:dyDescent="0.25">
      <c r="A289" s="4">
        <f>DATE(2023,6,22)</f>
        <v>45099</v>
      </c>
      <c r="B289">
        <v>0.76585697493378013</v>
      </c>
      <c r="C289">
        <v>54.803240552769601</v>
      </c>
      <c r="D289">
        <v>0.68244917910706537</v>
      </c>
      <c r="E289">
        <f t="shared" si="112"/>
        <v>1.0681534097703893</v>
      </c>
      <c r="F289">
        <f t="shared" si="113"/>
        <v>0.46270464877238482</v>
      </c>
      <c r="G289">
        <f t="shared" si="114"/>
        <v>0.59733784965799275</v>
      </c>
      <c r="H289" s="2" t="str">
        <f t="shared" si="115"/>
        <v>Higher</v>
      </c>
      <c r="I289" s="2" t="str">
        <f t="shared" si="116"/>
        <v>Lower</v>
      </c>
      <c r="J289" s="2" t="str">
        <f t="shared" si="117"/>
        <v>Higher</v>
      </c>
      <c r="K289" s="2" t="str">
        <f t="shared" si="118"/>
        <v>Higher</v>
      </c>
      <c r="L289" s="2" t="str">
        <f t="shared" si="119"/>
        <v>Higher</v>
      </c>
      <c r="M289" s="2" t="str">
        <f t="shared" si="120"/>
        <v>Higher</v>
      </c>
      <c r="N289" s="2" t="str">
        <f t="shared" si="121"/>
        <v>Higher</v>
      </c>
      <c r="O289" s="2" t="str">
        <f t="shared" si="122"/>
        <v>Lower</v>
      </c>
      <c r="P289" s="2" t="str">
        <f t="shared" si="123"/>
        <v>Higher</v>
      </c>
      <c r="R289" s="4">
        <f>DATE(2023,6,22)</f>
        <v>45099</v>
      </c>
      <c r="S289">
        <v>0.67659184125060701</v>
      </c>
      <c r="T289">
        <v>0.92886097066789031</v>
      </c>
      <c r="U289">
        <v>0.80026801560214</v>
      </c>
      <c r="V289">
        <v>-0.74938307497726986</v>
      </c>
      <c r="X289" s="4">
        <f>DATE(2023,6,22)</f>
        <v>45099</v>
      </c>
      <c r="Y289">
        <v>25.729972754306079</v>
      </c>
      <c r="Z289">
        <v>33.981839711762852</v>
      </c>
      <c r="AA289">
        <v>89.98</v>
      </c>
      <c r="AB289">
        <v>34.796000000000006</v>
      </c>
      <c r="AC289">
        <f t="shared" si="124"/>
        <v>-3.6152295357066058E-2</v>
      </c>
      <c r="AD289">
        <f t="shared" si="125"/>
        <v>-0.15899580333779401</v>
      </c>
      <c r="AE289">
        <f t="shared" si="126"/>
        <v>-0.12284350798072795</v>
      </c>
      <c r="AF289">
        <f t="shared" si="127"/>
        <v>-0.65873466179092166</v>
      </c>
      <c r="AH289">
        <f t="shared" si="128"/>
        <v>7.5459612720509286E-2</v>
      </c>
      <c r="AI289">
        <f t="shared" si="129"/>
        <v>0.30015560536200475</v>
      </c>
      <c r="AJ289">
        <f t="shared" si="130"/>
        <v>0.22469599264149548</v>
      </c>
      <c r="AK289">
        <f t="shared" si="131"/>
        <v>0.69814287585242873</v>
      </c>
      <c r="AM289">
        <f t="shared" si="132"/>
        <v>-9.1544579020447717E-3</v>
      </c>
      <c r="AN289">
        <f t="shared" si="133"/>
        <v>-0.22576111342594934</v>
      </c>
      <c r="AO289">
        <f t="shared" si="134"/>
        <v>-0.21660665552390457</v>
      </c>
      <c r="AP289">
        <f t="shared" si="135"/>
        <v>-0.3382103538593848</v>
      </c>
      <c r="AR289">
        <f t="shared" si="136"/>
        <v>0.22901622966446758</v>
      </c>
      <c r="AS289">
        <f t="shared" si="137"/>
        <v>-1.817795133642804</v>
      </c>
      <c r="AT289">
        <f t="shared" si="138"/>
        <v>-2.0468113633072718</v>
      </c>
      <c r="AU289">
        <f t="shared" si="139"/>
        <v>-2.437548639087697</v>
      </c>
    </row>
    <row r="290" spans="1:47" x14ac:dyDescent="0.25">
      <c r="A290" s="4">
        <f>DATE(2023,6,21)</f>
        <v>45098</v>
      </c>
      <c r="B290">
        <v>1.0619661189842948</v>
      </c>
      <c r="C290">
        <v>55.813669132603827</v>
      </c>
      <c r="D290">
        <v>0.7200893759173963</v>
      </c>
      <c r="E290">
        <f t="shared" si="112"/>
        <v>1.4703294564336131</v>
      </c>
      <c r="F290">
        <f t="shared" si="113"/>
        <v>0.56060226628747789</v>
      </c>
      <c r="G290">
        <f t="shared" si="114"/>
        <v>0.71266592431284614</v>
      </c>
      <c r="H290" s="2" t="str">
        <f t="shared" si="115"/>
        <v>Higher</v>
      </c>
      <c r="I290" s="2" t="str">
        <f t="shared" si="116"/>
        <v>Lower</v>
      </c>
      <c r="J290" s="2" t="str">
        <f t="shared" si="117"/>
        <v>Higher</v>
      </c>
      <c r="K290" s="2" t="str">
        <f t="shared" si="118"/>
        <v>Higher</v>
      </c>
      <c r="L290" s="2" t="str">
        <f t="shared" si="119"/>
        <v>Higher</v>
      </c>
      <c r="M290" s="2" t="str">
        <f t="shared" si="120"/>
        <v>Higher</v>
      </c>
      <c r="N290" s="2" t="str">
        <f t="shared" si="121"/>
        <v>Higher</v>
      </c>
      <c r="O290" s="2" t="str">
        <f t="shared" si="122"/>
        <v>Lower</v>
      </c>
      <c r="P290" s="2" t="str">
        <f t="shared" si="123"/>
        <v>Higher</v>
      </c>
      <c r="R290" s="4">
        <f>DATE(2023,6,21)</f>
        <v>45098</v>
      </c>
      <c r="S290">
        <v>0.50121726554362067</v>
      </c>
      <c r="T290">
        <v>0.91043993309555848</v>
      </c>
      <c r="U290">
        <v>0.79628693030548148</v>
      </c>
      <c r="V290">
        <v>-0.73795233254810544</v>
      </c>
      <c r="X290" s="4">
        <f>DATE(2023,6,21)</f>
        <v>45098</v>
      </c>
      <c r="Y290">
        <v>27.481095881728525</v>
      </c>
      <c r="Z290">
        <v>36.089466999057905</v>
      </c>
      <c r="AA290">
        <v>91.722499999999997</v>
      </c>
      <c r="AB290">
        <v>37.297250000000005</v>
      </c>
      <c r="AC290">
        <f t="shared" si="124"/>
        <v>-1.022312476230058E-2</v>
      </c>
      <c r="AD290">
        <f t="shared" si="125"/>
        <v>-1.0767021910837251E-2</v>
      </c>
      <c r="AE290">
        <f t="shared" si="126"/>
        <v>-5.4389714853667059E-4</v>
      </c>
      <c r="AF290">
        <f t="shared" si="127"/>
        <v>4.4909224484968834E-3</v>
      </c>
      <c r="AH290">
        <f t="shared" si="128"/>
        <v>7.2857069696135326E-2</v>
      </c>
      <c r="AI290">
        <f t="shared" si="129"/>
        <v>0.28684902475573659</v>
      </c>
      <c r="AJ290">
        <f t="shared" si="130"/>
        <v>0.21399195505960128</v>
      </c>
      <c r="AK290">
        <f t="shared" si="131"/>
        <v>0.6664821761919647</v>
      </c>
      <c r="AM290">
        <f t="shared" si="132"/>
        <v>1.6184117273982685E-2</v>
      </c>
      <c r="AN290">
        <f t="shared" si="133"/>
        <v>-0.13768859619898341</v>
      </c>
      <c r="AO290">
        <f t="shared" si="134"/>
        <v>-0.15387271347296611</v>
      </c>
      <c r="AP290">
        <f t="shared" si="135"/>
        <v>-0.23413971729687788</v>
      </c>
      <c r="AR290">
        <f t="shared" si="136"/>
        <v>0.24456991704952846</v>
      </c>
      <c r="AS290">
        <f t="shared" si="137"/>
        <v>-1.7650340344478517</v>
      </c>
      <c r="AT290">
        <f t="shared" si="138"/>
        <v>-2.0096039514973802</v>
      </c>
      <c r="AU290">
        <f t="shared" si="139"/>
        <v>-2.4169470936095672</v>
      </c>
    </row>
    <row r="291" spans="1:47" x14ac:dyDescent="0.25">
      <c r="A291" s="4">
        <f>DATE(2023,6,20)</f>
        <v>45097</v>
      </c>
      <c r="B291">
        <v>1.3946717827442165</v>
      </c>
      <c r="C291">
        <v>68.403399668280557</v>
      </c>
      <c r="D291">
        <v>0.9504445671796613</v>
      </c>
      <c r="E291">
        <f t="shared" si="112"/>
        <v>1.9334761213199714</v>
      </c>
      <c r="F291">
        <f t="shared" si="113"/>
        <v>1.8093722244683306</v>
      </c>
      <c r="G291">
        <f t="shared" si="114"/>
        <v>1.4014920786749083</v>
      </c>
      <c r="H291" s="2" t="str">
        <f t="shared" si="115"/>
        <v>Higher</v>
      </c>
      <c r="I291" s="2" t="str">
        <f t="shared" si="116"/>
        <v>Lower</v>
      </c>
      <c r="J291" s="2" t="str">
        <f t="shared" si="117"/>
        <v>Lower</v>
      </c>
      <c r="K291" s="2" t="str">
        <f t="shared" si="118"/>
        <v>Higher</v>
      </c>
      <c r="L291" s="2" t="str">
        <f t="shared" si="119"/>
        <v>Higher</v>
      </c>
      <c r="M291" s="2" t="str">
        <f t="shared" si="120"/>
        <v>Higher</v>
      </c>
      <c r="N291" s="2" t="str">
        <f t="shared" si="121"/>
        <v>Higher</v>
      </c>
      <c r="O291" s="2" t="str">
        <f t="shared" si="122"/>
        <v>Lower</v>
      </c>
      <c r="P291" s="2" t="str">
        <f t="shared" si="123"/>
        <v>Higher</v>
      </c>
      <c r="R291" s="4">
        <f>DATE(2023,6,20)</f>
        <v>45097</v>
      </c>
      <c r="S291">
        <v>0.57129914304238028</v>
      </c>
      <c r="T291">
        <v>0.87166317697108697</v>
      </c>
      <c r="U291">
        <v>0.79961818217503366</v>
      </c>
      <c r="V291">
        <v>-0.72860999500933665</v>
      </c>
      <c r="X291" s="4">
        <f>DATE(2023,6,20)</f>
        <v>45097</v>
      </c>
      <c r="Y291">
        <v>30.772710433084121</v>
      </c>
      <c r="Z291">
        <v>37.763824445482022</v>
      </c>
      <c r="AA291">
        <v>94.637499999999989</v>
      </c>
      <c r="AB291">
        <v>37.161500000000004</v>
      </c>
      <c r="AC291">
        <f t="shared" si="124"/>
        <v>5.6485794022635961E-2</v>
      </c>
      <c r="AD291">
        <f t="shared" si="125"/>
        <v>6.5742102948034745E-2</v>
      </c>
      <c r="AE291">
        <f t="shared" si="126"/>
        <v>9.2563089253987832E-3</v>
      </c>
      <c r="AF291">
        <f t="shared" si="127"/>
        <v>5.7090285792119159E-2</v>
      </c>
      <c r="AH291">
        <f t="shared" si="128"/>
        <v>9.538679084876879E-2</v>
      </c>
      <c r="AI291">
        <f t="shared" si="129"/>
        <v>0.24360770005976587</v>
      </c>
      <c r="AJ291">
        <f t="shared" si="130"/>
        <v>0.14822090921099706</v>
      </c>
      <c r="AK291">
        <f t="shared" si="131"/>
        <v>0.4730432868843843</v>
      </c>
      <c r="AM291">
        <f t="shared" si="132"/>
        <v>5.8752448600845969E-2</v>
      </c>
      <c r="AN291">
        <f t="shared" si="133"/>
        <v>-0.14059871381961683</v>
      </c>
      <c r="AO291">
        <f t="shared" si="134"/>
        <v>-0.1993511624204628</v>
      </c>
      <c r="AP291">
        <f t="shared" si="135"/>
        <v>-0.31155952936916581</v>
      </c>
      <c r="AR291">
        <f t="shared" si="136"/>
        <v>0.30173714875441321</v>
      </c>
      <c r="AS291">
        <f t="shared" si="137"/>
        <v>-1.6760798936305203</v>
      </c>
      <c r="AT291">
        <f t="shared" si="138"/>
        <v>-1.9778170423849335</v>
      </c>
      <c r="AU291">
        <f t="shared" si="139"/>
        <v>-2.4015680202689245</v>
      </c>
    </row>
    <row r="292" spans="1:47" x14ac:dyDescent="0.25">
      <c r="A292" s="4">
        <f>DATE(2023,6,19)</f>
        <v>45096</v>
      </c>
      <c r="B292">
        <v>1.3647078832445279</v>
      </c>
      <c r="C292">
        <v>63.61871360646856</v>
      </c>
      <c r="D292">
        <v>0.87351802129804335</v>
      </c>
      <c r="E292">
        <f t="shared" si="112"/>
        <v>1.9407908882566538</v>
      </c>
      <c r="F292">
        <f t="shared" si="113"/>
        <v>1.3534724575185075</v>
      </c>
      <c r="G292">
        <f t="shared" si="114"/>
        <v>1.189515810297711</v>
      </c>
      <c r="H292" s="2" t="str">
        <f t="shared" si="115"/>
        <v>Higher</v>
      </c>
      <c r="I292" s="2" t="str">
        <f t="shared" si="116"/>
        <v>Lower</v>
      </c>
      <c r="J292" s="2" t="str">
        <f t="shared" si="117"/>
        <v>Lower</v>
      </c>
      <c r="K292" s="2" t="str">
        <f t="shared" si="118"/>
        <v>Higher</v>
      </c>
      <c r="L292" s="2" t="str">
        <f t="shared" si="119"/>
        <v>Higher</v>
      </c>
      <c r="M292" s="2" t="str">
        <f t="shared" si="120"/>
        <v>Higher</v>
      </c>
      <c r="N292" s="2" t="str">
        <f t="shared" si="121"/>
        <v>Higher</v>
      </c>
      <c r="O292" s="2" t="str">
        <f t="shared" si="122"/>
        <v>Lower</v>
      </c>
      <c r="P292" s="2" t="str">
        <f t="shared" si="123"/>
        <v>Higher</v>
      </c>
      <c r="R292" s="4">
        <f>DATE(2023,6,19)</f>
        <v>45096</v>
      </c>
      <c r="X292" s="4">
        <f>DATE(2023,6,19)</f>
        <v>45096</v>
      </c>
      <c r="Y292">
        <v>28.332511807305679</v>
      </c>
      <c r="AA292">
        <v>92.102500000000006</v>
      </c>
      <c r="AC292">
        <f t="shared" si="124"/>
        <v>5.418183445091708E-2</v>
      </c>
      <c r="AD292" t="str">
        <f t="shared" si="125"/>
        <v/>
      </c>
      <c r="AE292" t="str">
        <f t="shared" si="126"/>
        <v/>
      </c>
      <c r="AF292" t="str">
        <f t="shared" si="127"/>
        <v/>
      </c>
      <c r="AH292">
        <f t="shared" si="128"/>
        <v>4.4940468054061634E-2</v>
      </c>
      <c r="AI292" t="str">
        <f t="shared" si="129"/>
        <v/>
      </c>
      <c r="AJ292" t="str">
        <f t="shared" si="130"/>
        <v/>
      </c>
      <c r="AK292" t="str">
        <f t="shared" si="131"/>
        <v/>
      </c>
      <c r="AM292">
        <f t="shared" si="132"/>
        <v>4.9151240179854387E-2</v>
      </c>
      <c r="AN292" t="str">
        <f t="shared" si="133"/>
        <v/>
      </c>
      <c r="AO292" t="str">
        <f t="shared" si="134"/>
        <v/>
      </c>
      <c r="AP292" t="str">
        <f t="shared" si="135"/>
        <v/>
      </c>
      <c r="AR292">
        <f t="shared" si="136"/>
        <v>0.26732483910455102</v>
      </c>
      <c r="AS292" t="str">
        <f t="shared" si="137"/>
        <v/>
      </c>
      <c r="AT292" t="str">
        <f t="shared" si="138"/>
        <v/>
      </c>
      <c r="AU292" t="str">
        <f t="shared" si="139"/>
        <v/>
      </c>
    </row>
    <row r="293" spans="1:47" x14ac:dyDescent="0.25">
      <c r="A293" s="4">
        <f>DATE(2023,6,16)</f>
        <v>45093</v>
      </c>
      <c r="B293">
        <v>1.4764303758836679</v>
      </c>
      <c r="C293">
        <v>64.288385484593647</v>
      </c>
      <c r="D293">
        <v>0.9175374005888145</v>
      </c>
      <c r="E293">
        <f t="shared" si="112"/>
        <v>2.1386848477204667</v>
      </c>
      <c r="F293">
        <f t="shared" si="113"/>
        <v>1.4375720068823166</v>
      </c>
      <c r="G293">
        <f t="shared" si="114"/>
        <v>1.3369791189369828</v>
      </c>
      <c r="H293" s="2" t="str">
        <f t="shared" si="115"/>
        <v>Higher</v>
      </c>
      <c r="I293" s="2" t="str">
        <f t="shared" si="116"/>
        <v>Lower</v>
      </c>
      <c r="J293" s="2" t="str">
        <f t="shared" si="117"/>
        <v>Lower</v>
      </c>
      <c r="K293" s="2" t="str">
        <f t="shared" si="118"/>
        <v>Higher</v>
      </c>
      <c r="L293" s="2" t="str">
        <f t="shared" si="119"/>
        <v>Higher</v>
      </c>
      <c r="M293" s="2" t="str">
        <f t="shared" si="120"/>
        <v>Lower</v>
      </c>
      <c r="N293" s="2" t="str">
        <f t="shared" si="121"/>
        <v>Higher</v>
      </c>
      <c r="O293" s="2" t="str">
        <f t="shared" si="122"/>
        <v>Lower</v>
      </c>
      <c r="P293" s="2" t="str">
        <f t="shared" si="123"/>
        <v>Lower</v>
      </c>
      <c r="R293" s="4">
        <f>DATE(2023,6,16)</f>
        <v>45093</v>
      </c>
      <c r="S293">
        <v>0.85117804496528215</v>
      </c>
      <c r="T293">
        <v>0.82111832956732478</v>
      </c>
      <c r="U293">
        <v>0.80413548000056012</v>
      </c>
      <c r="V293">
        <v>-0.716596998999669</v>
      </c>
      <c r="X293" s="4">
        <f>DATE(2023,6,16)</f>
        <v>45093</v>
      </c>
      <c r="Y293">
        <v>29.273588530934408</v>
      </c>
      <c r="Z293">
        <v>38.948018264587425</v>
      </c>
      <c r="AA293">
        <v>92.1</v>
      </c>
      <c r="AB293">
        <v>34.866500000000002</v>
      </c>
      <c r="AC293">
        <f t="shared" si="124"/>
        <v>6.7597846847786691E-2</v>
      </c>
      <c r="AD293">
        <f t="shared" si="125"/>
        <v>0.11542055668622118</v>
      </c>
      <c r="AE293">
        <f t="shared" si="126"/>
        <v>4.7822709838434493E-2</v>
      </c>
      <c r="AF293">
        <f t="shared" si="127"/>
        <v>0.26637427081881898</v>
      </c>
      <c r="AH293">
        <f t="shared" si="128"/>
        <v>2.2121274193597652E-2</v>
      </c>
      <c r="AI293">
        <f t="shared" si="129"/>
        <v>0.14447957638551848</v>
      </c>
      <c r="AJ293">
        <f t="shared" si="130"/>
        <v>0.12235830219192083</v>
      </c>
      <c r="AK293">
        <f t="shared" si="131"/>
        <v>0.3959906081021326</v>
      </c>
      <c r="AM293">
        <f t="shared" si="132"/>
        <v>3.4070048404435213E-2</v>
      </c>
      <c r="AN293">
        <f t="shared" si="133"/>
        <v>-0.16831855053425079</v>
      </c>
      <c r="AO293">
        <f t="shared" si="134"/>
        <v>-0.20238859893868599</v>
      </c>
      <c r="AP293">
        <f t="shared" si="135"/>
        <v>-0.31882407771883947</v>
      </c>
      <c r="AR293">
        <f t="shared" si="136"/>
        <v>0.32695200867679453</v>
      </c>
      <c r="AS293">
        <f t="shared" si="137"/>
        <v>-1.781631827353658</v>
      </c>
      <c r="AT293">
        <f t="shared" si="138"/>
        <v>-2.1085838360304523</v>
      </c>
      <c r="AU293">
        <f t="shared" si="139"/>
        <v>-2.5716413416418784</v>
      </c>
    </row>
    <row r="294" spans="1:47" x14ac:dyDescent="0.25">
      <c r="A294" s="4">
        <f>DATE(2023,6,15)</f>
        <v>45092</v>
      </c>
      <c r="B294">
        <v>1.514549173470358</v>
      </c>
      <c r="C294">
        <v>67.280391523638968</v>
      </c>
      <c r="D294">
        <v>0.99669196810131944</v>
      </c>
      <c r="E294">
        <f t="shared" si="112"/>
        <v>2.2501822123178243</v>
      </c>
      <c r="F294">
        <f t="shared" si="113"/>
        <v>1.761051803602248</v>
      </c>
      <c r="G294">
        <f t="shared" si="114"/>
        <v>1.5950941452248883</v>
      </c>
      <c r="H294" s="2" t="str">
        <f t="shared" si="115"/>
        <v>Higher</v>
      </c>
      <c r="I294" s="2" t="str">
        <f t="shared" si="116"/>
        <v>Lower</v>
      </c>
      <c r="J294" s="2" t="str">
        <f t="shared" si="117"/>
        <v>Lower</v>
      </c>
      <c r="K294" s="2" t="str">
        <f t="shared" si="118"/>
        <v>Higher</v>
      </c>
      <c r="L294" s="2" t="str">
        <f t="shared" si="119"/>
        <v>Higher</v>
      </c>
      <c r="M294" s="2" t="str">
        <f t="shared" si="120"/>
        <v>Lower</v>
      </c>
      <c r="N294" s="2" t="str">
        <f t="shared" si="121"/>
        <v>Higher</v>
      </c>
      <c r="O294" s="2" t="str">
        <f t="shared" si="122"/>
        <v>Lower</v>
      </c>
      <c r="P294" s="2" t="str">
        <f t="shared" si="123"/>
        <v>Lower</v>
      </c>
      <c r="R294" s="4">
        <f>DATE(2023,6,15)</f>
        <v>45092</v>
      </c>
      <c r="S294">
        <v>0.94369810156207412</v>
      </c>
      <c r="T294">
        <v>0.79130296568537295</v>
      </c>
      <c r="U294">
        <v>0.80963953140089062</v>
      </c>
      <c r="V294">
        <v>-0.69254568281478879</v>
      </c>
      <c r="X294" s="4">
        <f>DATE(2023,6,15)</f>
        <v>45092</v>
      </c>
      <c r="Y294">
        <v>31.232892221291237</v>
      </c>
      <c r="Z294">
        <v>47.76397386064842</v>
      </c>
      <c r="AA294">
        <v>93.292500000000004</v>
      </c>
      <c r="AB294">
        <v>40.792500000000004</v>
      </c>
      <c r="AC294">
        <f t="shared" si="124"/>
        <v>0.10647173777377213</v>
      </c>
      <c r="AD294">
        <f t="shared" si="125"/>
        <v>0.40859557747251435</v>
      </c>
      <c r="AE294">
        <f t="shared" si="126"/>
        <v>0.30212383969874224</v>
      </c>
      <c r="AF294">
        <f t="shared" si="127"/>
        <v>1.6509354617743457</v>
      </c>
      <c r="AH294">
        <f t="shared" si="128"/>
        <v>4.1976066606352336E-2</v>
      </c>
      <c r="AI294">
        <f t="shared" si="129"/>
        <v>0.31281604000904328</v>
      </c>
      <c r="AJ294">
        <f t="shared" si="130"/>
        <v>0.27083997340269095</v>
      </c>
      <c r="AK294">
        <f t="shared" si="131"/>
        <v>0.83347435533814429</v>
      </c>
      <c r="AM294">
        <f t="shared" si="132"/>
        <v>1.3951141721051991E-2</v>
      </c>
      <c r="AN294">
        <f t="shared" si="133"/>
        <v>-5.5181356393154135E-2</v>
      </c>
      <c r="AO294">
        <f t="shared" si="134"/>
        <v>-6.9132498114206131E-2</v>
      </c>
      <c r="AP294">
        <f t="shared" si="135"/>
        <v>-9.6073507465174762E-2</v>
      </c>
      <c r="AR294">
        <f t="shared" si="136"/>
        <v>0.32439020129544927</v>
      </c>
      <c r="AS294">
        <f t="shared" si="137"/>
        <v>-1.6875853776620029</v>
      </c>
      <c r="AT294">
        <f t="shared" si="138"/>
        <v>-2.0119755789574523</v>
      </c>
      <c r="AU294">
        <f t="shared" si="139"/>
        <v>-2.485207686625329</v>
      </c>
    </row>
    <row r="295" spans="1:47" x14ac:dyDescent="0.25">
      <c r="A295" s="4">
        <f>DATE(2023,6,14)</f>
        <v>45091</v>
      </c>
      <c r="B295">
        <v>1.365128779424734</v>
      </c>
      <c r="C295">
        <v>67.472630493240771</v>
      </c>
      <c r="D295">
        <v>1.0472585303981352</v>
      </c>
      <c r="E295">
        <f t="shared" si="112"/>
        <v>2.1050219723115751</v>
      </c>
      <c r="F295">
        <f t="shared" si="113"/>
        <v>1.8049894227685235</v>
      </c>
      <c r="G295">
        <f t="shared" si="114"/>
        <v>1.7737300429682905</v>
      </c>
      <c r="H295" s="2" t="str">
        <f t="shared" si="115"/>
        <v>Higher</v>
      </c>
      <c r="I295" s="2" t="str">
        <f t="shared" si="116"/>
        <v>Lower</v>
      </c>
      <c r="J295" s="2" t="str">
        <f t="shared" si="117"/>
        <v>Lower</v>
      </c>
      <c r="K295" s="2" t="str">
        <f t="shared" si="118"/>
        <v>Higher</v>
      </c>
      <c r="L295" s="2" t="str">
        <f t="shared" si="119"/>
        <v>Higher</v>
      </c>
      <c r="M295" s="2" t="str">
        <f t="shared" si="120"/>
        <v>Lower</v>
      </c>
      <c r="N295" s="2" t="str">
        <f t="shared" si="121"/>
        <v>Higher</v>
      </c>
      <c r="O295" s="2" t="str">
        <f t="shared" si="122"/>
        <v>Lower</v>
      </c>
      <c r="P295" s="2" t="str">
        <f t="shared" si="123"/>
        <v>Lower</v>
      </c>
      <c r="R295" s="4">
        <f>DATE(2023,6,14)</f>
        <v>45091</v>
      </c>
      <c r="S295">
        <v>0.96783240307664753</v>
      </c>
      <c r="T295">
        <v>0.72239351591228462</v>
      </c>
      <c r="U295">
        <v>0.80554639398533678</v>
      </c>
      <c r="V295">
        <v>-0.64688877110511311</v>
      </c>
      <c r="X295" s="4">
        <f>DATE(2023,6,14)</f>
        <v>45091</v>
      </c>
      <c r="Y295">
        <v>31.386900805041041</v>
      </c>
      <c r="Z295">
        <v>46.287136481989286</v>
      </c>
      <c r="AA295">
        <v>92.664999999999992</v>
      </c>
      <c r="AB295">
        <v>37.701000000000001</v>
      </c>
      <c r="AC295">
        <f t="shared" si="124"/>
        <v>0.11210998183492815</v>
      </c>
      <c r="AD295">
        <f t="shared" si="125"/>
        <v>0.36343114838614149</v>
      </c>
      <c r="AE295">
        <f t="shared" si="126"/>
        <v>0.25132116655121334</v>
      </c>
      <c r="AF295">
        <f t="shared" si="127"/>
        <v>1.3808650221967225</v>
      </c>
      <c r="AH295">
        <f t="shared" si="128"/>
        <v>4.7118869605675621E-2</v>
      </c>
      <c r="AI295">
        <f t="shared" si="129"/>
        <v>0.1603711931460266</v>
      </c>
      <c r="AJ295">
        <f t="shared" si="130"/>
        <v>0.11325232354035097</v>
      </c>
      <c r="AK295">
        <f t="shared" si="131"/>
        <v>0.36968334966522687</v>
      </c>
      <c r="AM295">
        <f t="shared" si="132"/>
        <v>3.3105525811164604E-2</v>
      </c>
      <c r="AN295">
        <f t="shared" si="133"/>
        <v>-6.8183546963363331E-2</v>
      </c>
      <c r="AO295">
        <f t="shared" si="134"/>
        <v>-0.10128907277452794</v>
      </c>
      <c r="AP295">
        <f t="shared" si="135"/>
        <v>-0.15118188938271721</v>
      </c>
      <c r="AR295">
        <f t="shared" si="136"/>
        <v>0.29065416401840061</v>
      </c>
      <c r="AS295">
        <f t="shared" si="137"/>
        <v>-1.7357425172379903</v>
      </c>
      <c r="AT295">
        <f t="shared" si="138"/>
        <v>-2.0263966812563909</v>
      </c>
      <c r="AU295">
        <f t="shared" si="139"/>
        <v>-2.5222180879263432</v>
      </c>
    </row>
    <row r="296" spans="1:47" x14ac:dyDescent="0.25">
      <c r="A296" s="4">
        <f>DATE(2023,6,13)</f>
        <v>45090</v>
      </c>
      <c r="B296">
        <v>1.0210506522352101</v>
      </c>
      <c r="C296">
        <v>61.676270026005078</v>
      </c>
      <c r="D296">
        <v>0.88759687367201079</v>
      </c>
      <c r="E296">
        <f t="shared" si="112"/>
        <v>1.6628937896528493</v>
      </c>
      <c r="F296">
        <f t="shared" si="113"/>
        <v>1.2248878139961765</v>
      </c>
      <c r="G296">
        <f t="shared" si="114"/>
        <v>1.3108875404275839</v>
      </c>
      <c r="H296" s="2" t="str">
        <f t="shared" si="115"/>
        <v>Higher</v>
      </c>
      <c r="I296" s="2" t="str">
        <f t="shared" si="116"/>
        <v>Lower</v>
      </c>
      <c r="J296" s="2" t="str">
        <f t="shared" si="117"/>
        <v>Lower</v>
      </c>
      <c r="K296" s="2" t="str">
        <f t="shared" si="118"/>
        <v>Higher</v>
      </c>
      <c r="L296" s="2" t="str">
        <f t="shared" si="119"/>
        <v>Higher</v>
      </c>
      <c r="M296" s="2" t="str">
        <f t="shared" si="120"/>
        <v>Lower</v>
      </c>
      <c r="N296" s="2" t="str">
        <f t="shared" si="121"/>
        <v>Higher</v>
      </c>
      <c r="O296" s="2" t="str">
        <f t="shared" si="122"/>
        <v>Lower</v>
      </c>
      <c r="P296" s="2" t="str">
        <f t="shared" si="123"/>
        <v>Lower</v>
      </c>
      <c r="R296" s="4">
        <f>DATE(2023,6,13)</f>
        <v>45090</v>
      </c>
      <c r="S296">
        <v>0.97195338914231599</v>
      </c>
      <c r="T296">
        <v>0.69520875906678514</v>
      </c>
      <c r="U296">
        <v>0.79854828768439678</v>
      </c>
      <c r="V296">
        <v>-0.6120762970343806</v>
      </c>
      <c r="X296" s="4">
        <f>DATE(2023,6,13)</f>
        <v>45090</v>
      </c>
      <c r="Y296">
        <v>26.981862437970101</v>
      </c>
      <c r="Z296">
        <v>42.37923754946366</v>
      </c>
      <c r="AA296">
        <v>89.44</v>
      </c>
      <c r="AB296">
        <v>34.796999999999997</v>
      </c>
      <c r="AC296">
        <f t="shared" si="124"/>
        <v>8.9810460718302801E-2</v>
      </c>
      <c r="AD296">
        <f t="shared" si="125"/>
        <v>0.30308882358184269</v>
      </c>
      <c r="AE296">
        <f t="shared" si="126"/>
        <v>0.21327836286353991</v>
      </c>
      <c r="AF296">
        <f t="shared" si="127"/>
        <v>1.1776796214684948</v>
      </c>
      <c r="AH296">
        <f t="shared" si="128"/>
        <v>1.3196032968999127E-2</v>
      </c>
      <c r="AI296">
        <f t="shared" si="129"/>
        <v>8.2179392107727428E-2</v>
      </c>
      <c r="AJ296">
        <f t="shared" si="130"/>
        <v>6.8983359138728301E-2</v>
      </c>
      <c r="AK296">
        <f t="shared" si="131"/>
        <v>0.23911805518976853</v>
      </c>
      <c r="AM296">
        <f t="shared" si="132"/>
        <v>-2.3730764797446693E-3</v>
      </c>
      <c r="AN296">
        <f t="shared" si="133"/>
        <v>-0.17727608835300654</v>
      </c>
      <c r="AO296">
        <f t="shared" si="134"/>
        <v>-0.17490301187326188</v>
      </c>
      <c r="AP296">
        <f t="shared" si="135"/>
        <v>-0.27602862374322579</v>
      </c>
      <c r="AR296">
        <f t="shared" si="136"/>
        <v>0.23205077980914035</v>
      </c>
      <c r="AS296">
        <f t="shared" si="137"/>
        <v>-1.9304491970442657</v>
      </c>
      <c r="AT296">
        <f t="shared" si="138"/>
        <v>-2.1624999768534061</v>
      </c>
      <c r="AU296">
        <f t="shared" si="139"/>
        <v>-2.7005536228335765</v>
      </c>
    </row>
    <row r="297" spans="1:47" x14ac:dyDescent="0.25">
      <c r="A297" s="4">
        <f>DATE(2023,6,12)</f>
        <v>45089</v>
      </c>
      <c r="B297">
        <v>0.75447452157294981</v>
      </c>
      <c r="C297">
        <v>57.387873309892242</v>
      </c>
      <c r="D297">
        <v>0.74968196976218315</v>
      </c>
      <c r="E297">
        <f t="shared" si="112"/>
        <v>1.2972323501132341</v>
      </c>
      <c r="F297">
        <f t="shared" si="113"/>
        <v>0.76986926582353343</v>
      </c>
      <c r="G297">
        <f t="shared" si="114"/>
        <v>0.89179008402677651</v>
      </c>
      <c r="H297" s="2" t="str">
        <f t="shared" si="115"/>
        <v>Lower</v>
      </c>
      <c r="I297" s="2" t="str">
        <f t="shared" si="116"/>
        <v>Lower</v>
      </c>
      <c r="J297" s="2" t="str">
        <f t="shared" si="117"/>
        <v>Lower</v>
      </c>
      <c r="K297" s="2" t="str">
        <f t="shared" si="118"/>
        <v>Higher</v>
      </c>
      <c r="L297" s="2" t="str">
        <f t="shared" si="119"/>
        <v>Lower</v>
      </c>
      <c r="M297" s="2" t="str">
        <f t="shared" si="120"/>
        <v>Lower</v>
      </c>
      <c r="N297" s="2" t="str">
        <f t="shared" si="121"/>
        <v>Higher</v>
      </c>
      <c r="O297" s="2" t="str">
        <f t="shared" si="122"/>
        <v>Lower</v>
      </c>
      <c r="P297" s="2" t="str">
        <f t="shared" si="123"/>
        <v>Lower</v>
      </c>
      <c r="R297" s="4">
        <f>DATE(2023,6,12)</f>
        <v>45089</v>
      </c>
      <c r="S297">
        <v>0.95956971172934746</v>
      </c>
      <c r="T297">
        <v>0.65014550367985602</v>
      </c>
      <c r="U297">
        <v>0.78528912745777757</v>
      </c>
      <c r="V297">
        <v>-0.58643608427925364</v>
      </c>
      <c r="X297" s="4">
        <f>DATE(2023,6,12)</f>
        <v>45089</v>
      </c>
      <c r="Y297">
        <v>23.14252970594821</v>
      </c>
      <c r="Z297">
        <v>36.044930032256751</v>
      </c>
      <c r="AA297">
        <v>87.24499999999999</v>
      </c>
      <c r="AB297">
        <v>30.879249999999999</v>
      </c>
      <c r="AC297">
        <f t="shared" si="124"/>
        <v>6.7350655333180603E-2</v>
      </c>
      <c r="AD297">
        <f t="shared" si="125"/>
        <v>0.1167988378674993</v>
      </c>
      <c r="AE297">
        <f t="shared" si="126"/>
        <v>4.9448182534318694E-2</v>
      </c>
      <c r="AF297">
        <f t="shared" si="127"/>
        <v>0.28380397315793426</v>
      </c>
      <c r="AH297">
        <f t="shared" si="128"/>
        <v>-8.0201654161535924E-4</v>
      </c>
      <c r="AI297">
        <f t="shared" si="129"/>
        <v>-5.2907962000412437E-2</v>
      </c>
      <c r="AJ297">
        <f t="shared" si="130"/>
        <v>-5.2105945458797077E-2</v>
      </c>
      <c r="AK297">
        <f t="shared" si="131"/>
        <v>-0.1181465893462449</v>
      </c>
      <c r="AM297">
        <f t="shared" si="132"/>
        <v>-1.8036335211997967E-3</v>
      </c>
      <c r="AN297">
        <f t="shared" si="133"/>
        <v>-0.24751286197993583</v>
      </c>
      <c r="AO297">
        <f t="shared" si="134"/>
        <v>-0.24570922845873602</v>
      </c>
      <c r="AP297">
        <f t="shared" si="135"/>
        <v>-0.39636792084665035</v>
      </c>
      <c r="AR297">
        <f t="shared" si="136"/>
        <v>0.15093218430488467</v>
      </c>
      <c r="AS297" t="str">
        <f t="shared" si="137"/>
        <v/>
      </c>
      <c r="AT297" t="str">
        <f t="shared" si="138"/>
        <v/>
      </c>
      <c r="AU297" t="str">
        <f t="shared" si="139"/>
        <v/>
      </c>
    </row>
    <row r="298" spans="1:47" x14ac:dyDescent="0.25">
      <c r="A298" s="4">
        <f>DATE(2023,6,9)</f>
        <v>45086</v>
      </c>
      <c r="B298">
        <v>0.50112034665766858</v>
      </c>
      <c r="C298">
        <v>55.076364830072563</v>
      </c>
      <c r="D298">
        <v>0.6789639159033718</v>
      </c>
      <c r="E298">
        <f t="shared" si="112"/>
        <v>0.93376485553063682</v>
      </c>
      <c r="F298">
        <f t="shared" si="113"/>
        <v>0.50803864746260208</v>
      </c>
      <c r="G298">
        <f t="shared" si="114"/>
        <v>0.66850999143389667</v>
      </c>
      <c r="H298" s="2" t="str">
        <f t="shared" si="115"/>
        <v>Lower</v>
      </c>
      <c r="I298" s="2" t="str">
        <f t="shared" si="116"/>
        <v>Lower</v>
      </c>
      <c r="J298" s="2" t="str">
        <f t="shared" si="117"/>
        <v>Lower</v>
      </c>
      <c r="K298" s="2" t="str">
        <f t="shared" si="118"/>
        <v>Higher</v>
      </c>
      <c r="L298" s="2" t="str">
        <f t="shared" si="119"/>
        <v>Lower</v>
      </c>
      <c r="M298" s="2" t="str">
        <f t="shared" si="120"/>
        <v>Lower</v>
      </c>
      <c r="N298" s="2" t="str">
        <f t="shared" si="121"/>
        <v>Higher</v>
      </c>
      <c r="O298" s="2" t="str">
        <f t="shared" si="122"/>
        <v>Lower</v>
      </c>
      <c r="P298" s="2" t="str">
        <f t="shared" si="123"/>
        <v>Lower</v>
      </c>
      <c r="R298" s="4">
        <f>DATE(2023,6,9)</f>
        <v>45086</v>
      </c>
      <c r="S298">
        <v>0.85268254444187164</v>
      </c>
      <c r="T298">
        <v>0.65745600862390874</v>
      </c>
      <c r="U298">
        <v>0.78561752023004494</v>
      </c>
      <c r="V298">
        <v>-0.56674416390688986</v>
      </c>
      <c r="X298" s="4">
        <f>DATE(2023,6,9)</f>
        <v>45086</v>
      </c>
      <c r="Y298">
        <v>22.264064060948147</v>
      </c>
      <c r="Z298">
        <v>39.301813247194474</v>
      </c>
      <c r="AA298">
        <v>86.080000000000013</v>
      </c>
      <c r="AB298">
        <v>31.065750000000001</v>
      </c>
      <c r="AC298">
        <f t="shared" si="124"/>
        <v>8.2575050909929296E-2</v>
      </c>
      <c r="AD298">
        <f t="shared" si="125"/>
        <v>0.27541021334860583</v>
      </c>
      <c r="AE298">
        <f t="shared" si="126"/>
        <v>0.19283516243867654</v>
      </c>
      <c r="AF298">
        <f t="shared" si="127"/>
        <v>1.0691026298624522</v>
      </c>
      <c r="AH298">
        <f t="shared" si="128"/>
        <v>-3.0123707437626962E-2</v>
      </c>
      <c r="AI298">
        <f t="shared" si="129"/>
        <v>-5.9143268146590801E-2</v>
      </c>
      <c r="AJ298">
        <f t="shared" si="130"/>
        <v>-2.9019560708963839E-2</v>
      </c>
      <c r="AK298">
        <f t="shared" si="131"/>
        <v>-5.0908232688948223E-2</v>
      </c>
      <c r="AM298">
        <f t="shared" si="132"/>
        <v>-1.7903365111665005E-2</v>
      </c>
      <c r="AN298">
        <f t="shared" si="133"/>
        <v>-0.32529184442680936</v>
      </c>
      <c r="AO298">
        <f t="shared" si="134"/>
        <v>-0.30738847931514435</v>
      </c>
      <c r="AP298">
        <f t="shared" si="135"/>
        <v>-0.50159760068469661</v>
      </c>
      <c r="AR298">
        <f t="shared" si="136"/>
        <v>9.0746376543852494E-2</v>
      </c>
      <c r="AS298">
        <f t="shared" si="137"/>
        <v>-1.9329727472806049</v>
      </c>
      <c r="AT298">
        <f t="shared" si="138"/>
        <v>-2.0237191238244572</v>
      </c>
      <c r="AU298">
        <f t="shared" si="139"/>
        <v>-2.5694482898998166</v>
      </c>
    </row>
    <row r="299" spans="1:47" x14ac:dyDescent="0.25">
      <c r="A299" s="4">
        <f>DATE(2023,6,8)</f>
        <v>45085</v>
      </c>
      <c r="B299">
        <v>0.1858852013118879</v>
      </c>
      <c r="C299">
        <v>47.949203270943876</v>
      </c>
      <c r="D299">
        <v>0.46505922972181341</v>
      </c>
      <c r="E299">
        <f t="shared" si="112"/>
        <v>0.47662782397396269</v>
      </c>
      <c r="F299">
        <f t="shared" si="113"/>
        <v>-0.21277220589574855</v>
      </c>
      <c r="G299">
        <f t="shared" si="114"/>
        <v>6.4311144706891386E-3</v>
      </c>
      <c r="H299" s="2" t="str">
        <f t="shared" si="115"/>
        <v>Lower</v>
      </c>
      <c r="I299" s="2" t="str">
        <f t="shared" si="116"/>
        <v>Lower</v>
      </c>
      <c r="J299" s="2" t="str">
        <f t="shared" si="117"/>
        <v>Lower</v>
      </c>
      <c r="K299" s="2" t="str">
        <f t="shared" si="118"/>
        <v>Higher</v>
      </c>
      <c r="L299" s="2" t="str">
        <f t="shared" si="119"/>
        <v>Lower</v>
      </c>
      <c r="M299" s="2" t="str">
        <f t="shared" si="120"/>
        <v>Lower</v>
      </c>
      <c r="N299" s="2" t="str">
        <f t="shared" si="121"/>
        <v>Lower</v>
      </c>
      <c r="O299" s="2" t="str">
        <f t="shared" si="122"/>
        <v>Lower</v>
      </c>
      <c r="P299" s="2" t="str">
        <f t="shared" si="123"/>
        <v>Lower</v>
      </c>
      <c r="R299" s="4">
        <f>DATE(2023,6,8)</f>
        <v>45085</v>
      </c>
      <c r="S299">
        <v>0.74090363295866835</v>
      </c>
      <c r="T299">
        <v>0.6410284704828777</v>
      </c>
      <c r="U299">
        <v>0.789105424094525</v>
      </c>
      <c r="V299">
        <v>-0.54235735860102197</v>
      </c>
      <c r="X299" s="4">
        <f>DATE(2023,6,8)</f>
        <v>45085</v>
      </c>
      <c r="Y299">
        <v>18.211152907520479</v>
      </c>
      <c r="Z299">
        <v>30.952369963057969</v>
      </c>
      <c r="AA299">
        <v>83.87</v>
      </c>
      <c r="AB299">
        <v>27.11</v>
      </c>
      <c r="AC299">
        <f t="shared" si="124"/>
        <v>5.6660568238930245E-2</v>
      </c>
      <c r="AD299">
        <f t="shared" si="125"/>
        <v>0.13750195657038902</v>
      </c>
      <c r="AE299">
        <f t="shared" si="126"/>
        <v>8.0841388331458777E-2</v>
      </c>
      <c r="AF299">
        <f t="shared" si="127"/>
        <v>0.45745547312785634</v>
      </c>
      <c r="AH299">
        <f t="shared" si="128"/>
        <v>-5.5287037633794896E-2</v>
      </c>
      <c r="AI299">
        <f t="shared" si="129"/>
        <v>-0.25413024783359528</v>
      </c>
      <c r="AJ299">
        <f t="shared" si="130"/>
        <v>-0.19884321019980039</v>
      </c>
      <c r="AK299">
        <f t="shared" si="131"/>
        <v>-0.55193351741430396</v>
      </c>
      <c r="AM299">
        <f t="shared" si="132"/>
        <v>-4.8608460584261014E-2</v>
      </c>
      <c r="AN299">
        <f t="shared" si="133"/>
        <v>-0.4804842948474829</v>
      </c>
      <c r="AO299">
        <f t="shared" si="134"/>
        <v>-0.4318758342632219</v>
      </c>
      <c r="AP299">
        <f t="shared" si="135"/>
        <v>-0.71266589009083736</v>
      </c>
      <c r="AR299">
        <f t="shared" si="136"/>
        <v>4.605455084287334E-2</v>
      </c>
      <c r="AS299">
        <f t="shared" si="137"/>
        <v>-2.193175240599845</v>
      </c>
      <c r="AT299">
        <f t="shared" si="138"/>
        <v>-2.2392297914427184</v>
      </c>
      <c r="AU299">
        <f t="shared" si="139"/>
        <v>-2.8442625566893467</v>
      </c>
    </row>
    <row r="300" spans="1:47" x14ac:dyDescent="0.25">
      <c r="A300" s="4">
        <f>DATE(2023,6,7)</f>
        <v>45084</v>
      </c>
      <c r="B300">
        <v>-1.9671132308068273E-2</v>
      </c>
      <c r="C300">
        <v>46.686925954609997</v>
      </c>
      <c r="D300">
        <v>0.41876086711877608</v>
      </c>
      <c r="E300">
        <f t="shared" si="112"/>
        <v>0.17243152596272607</v>
      </c>
      <c r="F300">
        <f t="shared" si="113"/>
        <v>-0.34957194238610906</v>
      </c>
      <c r="G300">
        <f t="shared" si="114"/>
        <v>-0.14494456397728334</v>
      </c>
      <c r="H300" s="2" t="str">
        <f t="shared" si="115"/>
        <v>Lower</v>
      </c>
      <c r="I300" s="2" t="str">
        <f t="shared" si="116"/>
        <v>Lower</v>
      </c>
      <c r="J300" s="2" t="str">
        <f t="shared" si="117"/>
        <v>Lower</v>
      </c>
      <c r="K300" s="2" t="str">
        <f t="shared" si="118"/>
        <v>Higher</v>
      </c>
      <c r="L300" s="2" t="str">
        <f t="shared" si="119"/>
        <v>Lower</v>
      </c>
      <c r="M300" s="2" t="str">
        <f t="shared" si="120"/>
        <v>Lower</v>
      </c>
      <c r="N300" s="2" t="str">
        <f t="shared" si="121"/>
        <v>Lower</v>
      </c>
      <c r="O300" s="2" t="str">
        <f t="shared" si="122"/>
        <v>Lower</v>
      </c>
      <c r="P300" s="2" t="str">
        <f t="shared" si="123"/>
        <v>Lower</v>
      </c>
      <c r="R300" s="4">
        <f>DATE(2023,6,7)</f>
        <v>45084</v>
      </c>
      <c r="S300">
        <v>0.82421362663766196</v>
      </c>
      <c r="T300">
        <v>0.62214363605889678</v>
      </c>
      <c r="U300">
        <v>0.797115852742038</v>
      </c>
      <c r="V300">
        <v>-0.51699142270148468</v>
      </c>
      <c r="X300" s="4">
        <f>DATE(2023,6,7)</f>
        <v>45084</v>
      </c>
      <c r="Y300">
        <v>17.343236025395655</v>
      </c>
      <c r="Z300">
        <v>27.947395353966677</v>
      </c>
      <c r="AA300">
        <v>82.837500000000006</v>
      </c>
      <c r="AB300">
        <v>26.213000000000001</v>
      </c>
      <c r="AC300">
        <f t="shared" si="124"/>
        <v>2.4439890641634127E-2</v>
      </c>
      <c r="AD300">
        <f t="shared" si="125"/>
        <v>-2.1670557130017129E-2</v>
      </c>
      <c r="AE300">
        <f t="shared" si="126"/>
        <v>-4.6110447771651256E-2</v>
      </c>
      <c r="AF300">
        <f t="shared" si="127"/>
        <v>-0.23788393201116714</v>
      </c>
      <c r="AH300">
        <f t="shared" si="128"/>
        <v>-7.1558863770253001E-2</v>
      </c>
      <c r="AI300">
        <f t="shared" si="129"/>
        <v>-0.2942649053478904</v>
      </c>
      <c r="AJ300">
        <f t="shared" si="130"/>
        <v>-0.2227060415776374</v>
      </c>
      <c r="AK300">
        <f t="shared" si="131"/>
        <v>-0.62378703786577017</v>
      </c>
      <c r="AM300">
        <f t="shared" si="132"/>
        <v>-9.0869424866162757E-2</v>
      </c>
      <c r="AN300">
        <f t="shared" si="133"/>
        <v>-0.49703548071277104</v>
      </c>
      <c r="AO300">
        <f t="shared" si="134"/>
        <v>-0.40616605584660825</v>
      </c>
      <c r="AP300">
        <f t="shared" si="135"/>
        <v>-0.67165348971932859</v>
      </c>
      <c r="AR300">
        <f t="shared" si="136"/>
        <v>3.2762661580271725E-2</v>
      </c>
      <c r="AS300">
        <f t="shared" si="137"/>
        <v>-2.2139958773294897</v>
      </c>
      <c r="AT300">
        <f t="shared" si="138"/>
        <v>-2.2467585389097615</v>
      </c>
      <c r="AU300">
        <f t="shared" si="139"/>
        <v>-2.8804405053321682</v>
      </c>
    </row>
    <row r="301" spans="1:47" x14ac:dyDescent="0.25">
      <c r="A301" s="4">
        <f>DATE(2023,6,6)</f>
        <v>45083</v>
      </c>
      <c r="B301">
        <v>-0.27164617610978281</v>
      </c>
      <c r="C301">
        <v>41.183013910614683</v>
      </c>
      <c r="D301">
        <v>0.27445165320125858</v>
      </c>
      <c r="E301">
        <f t="shared" si="112"/>
        <v>-0.19392854849149377</v>
      </c>
      <c r="F301">
        <f t="shared" si="113"/>
        <v>-0.88164605705062149</v>
      </c>
      <c r="G301">
        <f t="shared" si="114"/>
        <v>-0.59284310786800298</v>
      </c>
      <c r="H301" s="2" t="str">
        <f t="shared" si="115"/>
        <v>Lower</v>
      </c>
      <c r="I301" s="2" t="str">
        <f t="shared" si="116"/>
        <v>Lower</v>
      </c>
      <c r="J301" s="2" t="str">
        <f t="shared" si="117"/>
        <v>Lower</v>
      </c>
      <c r="K301" s="2" t="str">
        <f t="shared" si="118"/>
        <v>Higher</v>
      </c>
      <c r="L301" s="2" t="str">
        <f t="shared" si="119"/>
        <v>Lower</v>
      </c>
      <c r="M301" s="2" t="str">
        <f t="shared" si="120"/>
        <v>Lower</v>
      </c>
      <c r="N301" s="2" t="str">
        <f t="shared" si="121"/>
        <v>Lower</v>
      </c>
      <c r="O301" s="2" t="str">
        <f t="shared" si="122"/>
        <v>Lower</v>
      </c>
      <c r="P301" s="2" t="str">
        <f t="shared" si="123"/>
        <v>Lower</v>
      </c>
      <c r="R301" s="4">
        <f>DATE(2023,6,6)</f>
        <v>45083</v>
      </c>
      <c r="S301">
        <v>0.86826666140503772</v>
      </c>
      <c r="T301">
        <v>0.61504993004152686</v>
      </c>
      <c r="U301">
        <v>0.80929430357622567</v>
      </c>
      <c r="V301">
        <v>-0.49666187428181319</v>
      </c>
      <c r="X301" s="4">
        <f>DATE(2023,6,6)</f>
        <v>45083</v>
      </c>
      <c r="Y301">
        <v>17.351036999169288</v>
      </c>
      <c r="Z301">
        <v>30.346778743680787</v>
      </c>
      <c r="AA301">
        <v>81.757499999999993</v>
      </c>
      <c r="AB301">
        <v>25.69875</v>
      </c>
      <c r="AC301">
        <f t="shared" si="124"/>
        <v>7.0270476494084019E-3</v>
      </c>
      <c r="AD301">
        <f t="shared" si="125"/>
        <v>4.0408635731103079E-2</v>
      </c>
      <c r="AE301">
        <f t="shared" si="126"/>
        <v>3.3381588081694676E-2</v>
      </c>
      <c r="AF301">
        <f t="shared" si="127"/>
        <v>0.19704073896250418</v>
      </c>
      <c r="AH301">
        <f t="shared" si="128"/>
        <v>-5.7802048376262516E-2</v>
      </c>
      <c r="AI301">
        <f t="shared" si="129"/>
        <v>-0.34130374992080409</v>
      </c>
      <c r="AJ301">
        <f t="shared" si="130"/>
        <v>-0.28350170154454157</v>
      </c>
      <c r="AK301">
        <f t="shared" si="131"/>
        <v>-0.80481873903588652</v>
      </c>
      <c r="AM301">
        <f t="shared" si="132"/>
        <v>-0.13596703822453607</v>
      </c>
      <c r="AN301">
        <f t="shared" si="133"/>
        <v>-0.55635155274058212</v>
      </c>
      <c r="AO301">
        <f t="shared" si="134"/>
        <v>-0.42038451451604608</v>
      </c>
      <c r="AP301">
        <f t="shared" si="135"/>
        <v>-0.69762033489535435</v>
      </c>
      <c r="AR301">
        <f t="shared" si="136"/>
        <v>-4.2718156072998901E-3</v>
      </c>
      <c r="AS301">
        <f t="shared" si="137"/>
        <v>-2.2866980932752061</v>
      </c>
      <c r="AT301">
        <f t="shared" si="138"/>
        <v>-2.2824262776679061</v>
      </c>
      <c r="AU301">
        <f t="shared" si="139"/>
        <v>-2.9542036166782983</v>
      </c>
    </row>
    <row r="302" spans="1:47" x14ac:dyDescent="0.25">
      <c r="A302" s="4">
        <f>DATE(2023,6,5)</f>
        <v>45082</v>
      </c>
      <c r="B302">
        <v>-0.43209590244334173</v>
      </c>
      <c r="C302">
        <v>42.967048404854111</v>
      </c>
      <c r="D302">
        <v>0.30893200710131702</v>
      </c>
      <c r="E302">
        <f t="shared" si="112"/>
        <v>-0.42854788967749391</v>
      </c>
      <c r="F302">
        <f t="shared" si="113"/>
        <v>-0.72663749810948874</v>
      </c>
      <c r="G302">
        <f t="shared" si="114"/>
        <v>-0.501000389741734</v>
      </c>
      <c r="H302" s="2" t="str">
        <f t="shared" si="115"/>
        <v>Lower</v>
      </c>
      <c r="I302" s="2" t="str">
        <f t="shared" si="116"/>
        <v>Lower</v>
      </c>
      <c r="J302" s="2" t="str">
        <f t="shared" si="117"/>
        <v>Lower</v>
      </c>
      <c r="K302" s="2" t="str">
        <f t="shared" si="118"/>
        <v>Higher</v>
      </c>
      <c r="L302" s="2" t="str">
        <f t="shared" si="119"/>
        <v>Lower</v>
      </c>
      <c r="M302" s="2" t="str">
        <f t="shared" si="120"/>
        <v>Lower</v>
      </c>
      <c r="N302" s="2" t="str">
        <f t="shared" si="121"/>
        <v>Lower</v>
      </c>
      <c r="O302" s="2" t="str">
        <f t="shared" si="122"/>
        <v>Lower</v>
      </c>
      <c r="P302" s="2" t="str">
        <f t="shared" si="123"/>
        <v>Lower</v>
      </c>
      <c r="R302" s="4">
        <f>DATE(2023,6,5)</f>
        <v>45082</v>
      </c>
      <c r="S302">
        <v>0.96951005688034053</v>
      </c>
      <c r="T302">
        <v>0.60610449843113268</v>
      </c>
      <c r="U302">
        <v>0.79696257119363401</v>
      </c>
      <c r="V302">
        <v>-0.48116508260778762</v>
      </c>
      <c r="X302" s="4">
        <f>DATE(2023,6,5)</f>
        <v>45082</v>
      </c>
      <c r="Y302">
        <v>18.387180253240857</v>
      </c>
      <c r="Z302">
        <v>35.229650870602299</v>
      </c>
      <c r="AA302">
        <v>81.5625</v>
      </c>
      <c r="AB302">
        <v>27.475250000000003</v>
      </c>
      <c r="AC302">
        <f t="shared" si="124"/>
        <v>-1.9967890478172667E-2</v>
      </c>
      <c r="AD302" t="str">
        <f t="shared" si="125"/>
        <v/>
      </c>
      <c r="AE302" t="str">
        <f t="shared" si="126"/>
        <v/>
      </c>
      <c r="AF302" t="str">
        <f t="shared" si="127"/>
        <v/>
      </c>
      <c r="AH302">
        <f t="shared" si="128"/>
        <v>-4.5127196582831687E-2</v>
      </c>
      <c r="AI302">
        <f t="shared" si="129"/>
        <v>-0.29660475843420298</v>
      </c>
      <c r="AJ302">
        <f t="shared" si="130"/>
        <v>-0.25147756185137127</v>
      </c>
      <c r="AK302">
        <f t="shared" si="131"/>
        <v>-0.71262640983944636</v>
      </c>
      <c r="AM302">
        <f t="shared" si="132"/>
        <v>-0.17737960811327841</v>
      </c>
      <c r="AN302">
        <f t="shared" si="133"/>
        <v>-0.59770187001642483</v>
      </c>
      <c r="AO302">
        <f t="shared" si="134"/>
        <v>-0.42032226190314642</v>
      </c>
      <c r="AP302">
        <f t="shared" si="135"/>
        <v>-0.69963935727710191</v>
      </c>
      <c r="AR302">
        <f t="shared" si="136"/>
        <v>-6.8868214930928026E-2</v>
      </c>
      <c r="AS302">
        <f t="shared" si="137"/>
        <v>-2.2947309249082446</v>
      </c>
      <c r="AT302">
        <f t="shared" si="138"/>
        <v>-2.2258627099773167</v>
      </c>
      <c r="AU302">
        <f t="shared" si="139"/>
        <v>-2.9204533063310176</v>
      </c>
    </row>
    <row r="303" spans="1:47" x14ac:dyDescent="0.25">
      <c r="A303" s="4">
        <f>DATE(2023,6,2)</f>
        <v>45079</v>
      </c>
      <c r="B303">
        <v>-0.70696087846915701</v>
      </c>
      <c r="C303">
        <v>31.009046363758831</v>
      </c>
      <c r="D303">
        <v>5.0450177239653241E-2</v>
      </c>
      <c r="E303">
        <f t="shared" si="112"/>
        <v>-0.81545626051367348</v>
      </c>
      <c r="F303">
        <f t="shared" si="113"/>
        <v>-1.8326469484958807</v>
      </c>
      <c r="G303">
        <f t="shared" si="114"/>
        <v>-1.2844562811660323</v>
      </c>
      <c r="H303" s="2" t="str">
        <f t="shared" si="115"/>
        <v>Lower</v>
      </c>
      <c r="I303" s="2" t="str">
        <f t="shared" si="116"/>
        <v>Lower</v>
      </c>
      <c r="J303" s="2" t="str">
        <f t="shared" si="117"/>
        <v>Lower</v>
      </c>
      <c r="K303" s="2" t="str">
        <f t="shared" si="118"/>
        <v>Higher</v>
      </c>
      <c r="L303" s="2" t="str">
        <f t="shared" si="119"/>
        <v>Lower</v>
      </c>
      <c r="M303" s="2" t="str">
        <f t="shared" si="120"/>
        <v>Lower</v>
      </c>
      <c r="N303" s="2" t="str">
        <f t="shared" si="121"/>
        <v>Lower</v>
      </c>
      <c r="O303" s="2" t="str">
        <f t="shared" si="122"/>
        <v>Lower</v>
      </c>
      <c r="P303" s="2" t="str">
        <f t="shared" si="123"/>
        <v>Lower</v>
      </c>
      <c r="R303" s="4">
        <f>DATE(2023,6,2)</f>
        <v>45079</v>
      </c>
      <c r="S303">
        <v>0.59576313315714791</v>
      </c>
      <c r="T303">
        <v>0.61859711965966913</v>
      </c>
      <c r="U303">
        <v>0.78491799998565848</v>
      </c>
      <c r="V303">
        <v>-0.47020613805839717</v>
      </c>
      <c r="X303" s="4">
        <f>DATE(2023,6,2)</f>
        <v>45079</v>
      </c>
      <c r="Y303">
        <v>13.036815313719908</v>
      </c>
      <c r="Z303">
        <v>19.625501627692625</v>
      </c>
      <c r="AA303">
        <v>79.257499999999993</v>
      </c>
      <c r="AB303">
        <v>23.587</v>
      </c>
      <c r="AC303">
        <f t="shared" si="124"/>
        <v>-3.9762858935852463E-2</v>
      </c>
      <c r="AD303">
        <f t="shared" si="125"/>
        <v>-4.0677836930320253E-2</v>
      </c>
      <c r="AE303">
        <f t="shared" si="126"/>
        <v>-9.1497799446779021E-4</v>
      </c>
      <c r="AF303">
        <f t="shared" si="127"/>
        <v>8.7763465021591415E-3</v>
      </c>
      <c r="AH303">
        <f t="shared" si="128"/>
        <v>-7.3237914913989358E-2</v>
      </c>
      <c r="AI303">
        <f t="shared" si="129"/>
        <v>-0.435677751090573</v>
      </c>
      <c r="AJ303">
        <f t="shared" si="130"/>
        <v>-0.36243983617658365</v>
      </c>
      <c r="AK303">
        <f t="shared" si="131"/>
        <v>-1.041888979031057</v>
      </c>
      <c r="AM303">
        <f t="shared" si="132"/>
        <v>-0.22798309769987238</v>
      </c>
      <c r="AN303">
        <f t="shared" si="133"/>
        <v>-0.77720944134050851</v>
      </c>
      <c r="AO303">
        <f t="shared" si="134"/>
        <v>-0.54922634364063616</v>
      </c>
      <c r="AP303">
        <f t="shared" si="135"/>
        <v>-0.91873642655774701</v>
      </c>
      <c r="AR303">
        <f t="shared" si="136"/>
        <v>-0.1247994073857511</v>
      </c>
      <c r="AS303">
        <f t="shared" si="137"/>
        <v>-2.6658823985936482</v>
      </c>
      <c r="AT303">
        <f t="shared" si="138"/>
        <v>-2.5410829912078969</v>
      </c>
      <c r="AU303">
        <f t="shared" si="139"/>
        <v>-3.3344370654505124</v>
      </c>
    </row>
    <row r="304" spans="1:47" x14ac:dyDescent="0.25">
      <c r="A304" s="4">
        <f>DATE(2023,6,1)</f>
        <v>45078</v>
      </c>
      <c r="B304">
        <v>-0.70513363950940389</v>
      </c>
      <c r="C304">
        <v>29.954044586028871</v>
      </c>
      <c r="D304">
        <v>-3.6632876499385708E-2</v>
      </c>
      <c r="E304">
        <f t="shared" si="112"/>
        <v>-0.82544726998340423</v>
      </c>
      <c r="F304">
        <f t="shared" si="113"/>
        <v>-1.9527414149214439</v>
      </c>
      <c r="G304">
        <f t="shared" si="114"/>
        <v>-1.5585766708828312</v>
      </c>
      <c r="H304" s="2" t="str">
        <f t="shared" si="115"/>
        <v>Lower</v>
      </c>
      <c r="I304" s="2" t="str">
        <f t="shared" si="116"/>
        <v>Lower</v>
      </c>
      <c r="J304" s="2" t="str">
        <f t="shared" si="117"/>
        <v>Lower</v>
      </c>
      <c r="K304" s="2" t="str">
        <f t="shared" si="118"/>
        <v>Higher</v>
      </c>
      <c r="L304" s="2" t="str">
        <f t="shared" si="119"/>
        <v>Lower</v>
      </c>
      <c r="M304" s="2" t="str">
        <f t="shared" si="120"/>
        <v>Lower</v>
      </c>
      <c r="N304" s="2" t="str">
        <f t="shared" si="121"/>
        <v>Lower</v>
      </c>
      <c r="O304" s="2" t="str">
        <f t="shared" si="122"/>
        <v>Lower</v>
      </c>
      <c r="P304" s="2" t="str">
        <f t="shared" si="123"/>
        <v>Lower</v>
      </c>
      <c r="R304" s="4">
        <f>DATE(2023,6,1)</f>
        <v>45078</v>
      </c>
      <c r="S304">
        <v>0.53053303734722013</v>
      </c>
      <c r="T304">
        <v>0.59821536936285591</v>
      </c>
      <c r="U304">
        <v>0.76864793158344891</v>
      </c>
      <c r="V304">
        <v>-0.46437684882203067</v>
      </c>
      <c r="X304" s="4">
        <f>DATE(2023,6,1)</f>
        <v>45078</v>
      </c>
      <c r="Y304">
        <v>13.83709857824072</v>
      </c>
      <c r="Z304">
        <v>20.333701239122419</v>
      </c>
      <c r="AA304">
        <v>79.25</v>
      </c>
      <c r="AB304">
        <v>23.62725</v>
      </c>
      <c r="AC304">
        <f t="shared" si="124"/>
        <v>-5.1520397935126992E-2</v>
      </c>
      <c r="AD304">
        <f t="shared" si="125"/>
        <v>-8.6946125343104752E-2</v>
      </c>
      <c r="AE304">
        <f t="shared" si="126"/>
        <v>-3.542572740797776E-2</v>
      </c>
      <c r="AF304">
        <f t="shared" si="127"/>
        <v>-0.18073667578821145</v>
      </c>
      <c r="AH304">
        <f t="shared" si="128"/>
        <v>-6.5031301909382014E-2</v>
      </c>
      <c r="AI304">
        <f t="shared" si="129"/>
        <v>-0.42048608731042686</v>
      </c>
      <c r="AJ304">
        <f t="shared" si="130"/>
        <v>-0.35545478540104486</v>
      </c>
      <c r="AK304">
        <f t="shared" si="131"/>
        <v>-1.0245802486931421</v>
      </c>
      <c r="AM304">
        <f t="shared" si="132"/>
        <v>-0.2154420464222834</v>
      </c>
      <c r="AN304">
        <f t="shared" si="133"/>
        <v>-0.59849122173375235</v>
      </c>
      <c r="AO304">
        <f t="shared" si="134"/>
        <v>-0.38304917531146898</v>
      </c>
      <c r="AP304">
        <f t="shared" si="135"/>
        <v>-0.64177615579232294</v>
      </c>
      <c r="AR304">
        <f t="shared" si="136"/>
        <v>-0.11737636342158396</v>
      </c>
      <c r="AS304">
        <f t="shared" si="137"/>
        <v>-2.6103293048420473</v>
      </c>
      <c r="AT304">
        <f t="shared" si="138"/>
        <v>-2.4929529414204632</v>
      </c>
      <c r="AU304">
        <f t="shared" si="139"/>
        <v>-3.3225205955955079</v>
      </c>
    </row>
    <row r="305" spans="1:47" x14ac:dyDescent="0.25">
      <c r="A305" s="4">
        <f>DATE(2023,5,31)</f>
        <v>45077</v>
      </c>
      <c r="B305">
        <v>-0.59243636710822267</v>
      </c>
      <c r="C305">
        <v>34.076009092039762</v>
      </c>
      <c r="D305">
        <v>6.3114657543398858E-2</v>
      </c>
      <c r="E305">
        <f t="shared" si="112"/>
        <v>-0.687499820119433</v>
      </c>
      <c r="F305">
        <f t="shared" si="113"/>
        <v>-1.6110190295341242</v>
      </c>
      <c r="G305">
        <f t="shared" si="114"/>
        <v>-1.2857261004789617</v>
      </c>
      <c r="H305" s="2" t="str">
        <f t="shared" si="115"/>
        <v>Lower</v>
      </c>
      <c r="I305" s="2" t="str">
        <f t="shared" si="116"/>
        <v>Lower</v>
      </c>
      <c r="J305" s="2" t="str">
        <f t="shared" si="117"/>
        <v>Lower</v>
      </c>
      <c r="K305" s="2" t="str">
        <f t="shared" si="118"/>
        <v>Lower</v>
      </c>
      <c r="L305" s="2" t="str">
        <f t="shared" si="119"/>
        <v>Lower</v>
      </c>
      <c r="M305" s="2" t="str">
        <f t="shared" si="120"/>
        <v>Lower</v>
      </c>
      <c r="N305" s="2" t="str">
        <f t="shared" si="121"/>
        <v>Lower</v>
      </c>
      <c r="O305" s="2" t="str">
        <f t="shared" si="122"/>
        <v>Lower</v>
      </c>
      <c r="P305" s="2" t="str">
        <f t="shared" si="123"/>
        <v>Lower</v>
      </c>
      <c r="R305" s="4">
        <f>DATE(2023,5,31)</f>
        <v>45077</v>
      </c>
      <c r="S305">
        <v>0.58220614066390242</v>
      </c>
      <c r="T305">
        <v>0.55249803124592711</v>
      </c>
      <c r="U305">
        <v>0.74672675115580656</v>
      </c>
      <c r="V305">
        <v>-0.46241152619929282</v>
      </c>
      <c r="X305" s="4">
        <f>DATE(2023,5,31)</f>
        <v>45077</v>
      </c>
      <c r="Y305">
        <v>14.942258184348209</v>
      </c>
      <c r="Z305">
        <v>24.478546279082604</v>
      </c>
      <c r="AA305">
        <v>80.837500000000006</v>
      </c>
      <c r="AB305">
        <v>26.78725</v>
      </c>
      <c r="AC305">
        <f t="shared" si="124"/>
        <v>-5.3469678018126278E-2</v>
      </c>
      <c r="AD305">
        <f t="shared" si="125"/>
        <v>-4.4144544589550617E-2</v>
      </c>
      <c r="AE305">
        <f t="shared" si="126"/>
        <v>9.3251334285756604E-3</v>
      </c>
      <c r="AF305">
        <f t="shared" si="127"/>
        <v>6.4434286406790761E-2</v>
      </c>
      <c r="AH305">
        <f t="shared" si="128"/>
        <v>-6.016062057077317E-2</v>
      </c>
      <c r="AI305">
        <f t="shared" si="129"/>
        <v>-0.31932978187355882</v>
      </c>
      <c r="AJ305">
        <f t="shared" si="130"/>
        <v>-0.25916916130278567</v>
      </c>
      <c r="AK305">
        <f t="shared" si="131"/>
        <v>-0.74300310119968638</v>
      </c>
      <c r="AM305">
        <f t="shared" si="132"/>
        <v>-0.18894869054997673</v>
      </c>
      <c r="AN305">
        <f t="shared" si="133"/>
        <v>-0.47104486058117545</v>
      </c>
      <c r="AO305">
        <f t="shared" si="134"/>
        <v>-0.28209617003119869</v>
      </c>
      <c r="AP305">
        <f t="shared" si="135"/>
        <v>-0.47310802067761737</v>
      </c>
      <c r="AR305">
        <f t="shared" si="136"/>
        <v>-0.10246782495784285</v>
      </c>
      <c r="AS305">
        <f t="shared" si="137"/>
        <v>-2.3893413409554531</v>
      </c>
      <c r="AT305">
        <f t="shared" si="138"/>
        <v>-2.2868735159976104</v>
      </c>
      <c r="AU305">
        <f t="shared" si="139"/>
        <v>-3.1128079598273644</v>
      </c>
    </row>
    <row r="306" spans="1:47" x14ac:dyDescent="0.25">
      <c r="A306" s="4">
        <f>DATE(2023,5,30)</f>
        <v>45076</v>
      </c>
      <c r="B306">
        <v>-0.57651468021812158</v>
      </c>
      <c r="C306">
        <v>32.192441414950586</v>
      </c>
      <c r="D306">
        <v>-4.1089223283427984E-2</v>
      </c>
      <c r="E306">
        <f t="shared" si="112"/>
        <v>-0.67847399755406723</v>
      </c>
      <c r="F306">
        <f t="shared" si="113"/>
        <v>-1.8079597617162466</v>
      </c>
      <c r="G306">
        <f t="shared" si="114"/>
        <v>-1.6042000803508434</v>
      </c>
      <c r="H306" s="2" t="str">
        <f t="shared" si="115"/>
        <v>Lower</v>
      </c>
      <c r="I306" s="2" t="str">
        <f t="shared" si="116"/>
        <v>Lower</v>
      </c>
      <c r="J306" s="2" t="str">
        <f t="shared" si="117"/>
        <v>Lower</v>
      </c>
      <c r="K306" s="2" t="str">
        <f t="shared" si="118"/>
        <v>Lower</v>
      </c>
      <c r="L306" s="2" t="str">
        <f t="shared" si="119"/>
        <v>Lower</v>
      </c>
      <c r="M306" s="2" t="str">
        <f t="shared" si="120"/>
        <v>Lower</v>
      </c>
      <c r="N306" s="2" t="str">
        <f t="shared" si="121"/>
        <v>Lower</v>
      </c>
      <c r="O306" s="2" t="str">
        <f t="shared" si="122"/>
        <v>Lower</v>
      </c>
      <c r="P306" s="2" t="str">
        <f t="shared" si="123"/>
        <v>Lower</v>
      </c>
      <c r="R306" s="4">
        <f>DATE(2023,5,30)</f>
        <v>45076</v>
      </c>
      <c r="S306">
        <v>0.91808821561582377</v>
      </c>
      <c r="T306">
        <v>0.56733378742647778</v>
      </c>
      <c r="U306">
        <v>0.73038546705963081</v>
      </c>
      <c r="V306">
        <v>-0.45985698332251734</v>
      </c>
      <c r="X306" s="4">
        <f>DATE(2023,5,30)</f>
        <v>45076</v>
      </c>
      <c r="Y306">
        <v>16.153818854120829</v>
      </c>
      <c r="Z306">
        <v>9.5496454363350498</v>
      </c>
      <c r="AA306">
        <v>81.185000000000002</v>
      </c>
      <c r="AB306">
        <v>24.681000000000001</v>
      </c>
      <c r="AC306">
        <f t="shared" si="124"/>
        <v>-5.7936511541578306E-2</v>
      </c>
      <c r="AD306">
        <f t="shared" si="125"/>
        <v>-0.16563186220121445</v>
      </c>
      <c r="AE306">
        <f t="shared" si="126"/>
        <v>-0.10769535065963615</v>
      </c>
      <c r="AF306">
        <f t="shared" si="127"/>
        <v>-0.57717714678155008</v>
      </c>
      <c r="AH306">
        <f t="shared" si="128"/>
        <v>-8.3698119785268588E-2</v>
      </c>
      <c r="AI306">
        <f t="shared" si="129"/>
        <v>-0.42085729523746379</v>
      </c>
      <c r="AJ306">
        <f t="shared" si="130"/>
        <v>-0.3371591754521952</v>
      </c>
      <c r="AK306">
        <f t="shared" si="131"/>
        <v>-0.97566584211492524</v>
      </c>
      <c r="AM306">
        <f t="shared" si="132"/>
        <v>-0.15987949433363641</v>
      </c>
      <c r="AN306">
        <f t="shared" si="133"/>
        <v>-0.56206117976615821</v>
      </c>
      <c r="AO306">
        <f t="shared" si="134"/>
        <v>-0.40218168543252181</v>
      </c>
      <c r="AP306">
        <f t="shared" si="135"/>
        <v>-0.67693534019788393</v>
      </c>
      <c r="AR306">
        <f t="shared" si="136"/>
        <v>-0.10756907456403933</v>
      </c>
      <c r="AS306">
        <f t="shared" si="137"/>
        <v>-2.3888598022923508</v>
      </c>
      <c r="AT306">
        <f t="shared" si="138"/>
        <v>-2.2812907277283117</v>
      </c>
      <c r="AU306">
        <f t="shared" si="139"/>
        <v>-3.1449216164057865</v>
      </c>
    </row>
    <row r="307" spans="1:47" x14ac:dyDescent="0.25">
      <c r="A307" s="4">
        <f>DATE(2023,5,29)</f>
        <v>45075</v>
      </c>
      <c r="B307">
        <v>-0.43339084737942035</v>
      </c>
      <c r="C307">
        <v>36.756321265029669</v>
      </c>
      <c r="D307">
        <v>9.7578990256156337E-2</v>
      </c>
      <c r="E307">
        <f t="shared" si="112"/>
        <v>-0.49828711467623499</v>
      </c>
      <c r="F307">
        <f t="shared" si="113"/>
        <v>-1.4254326339085455</v>
      </c>
      <c r="G307">
        <f t="shared" si="114"/>
        <v>-1.2232896209944466</v>
      </c>
      <c r="H307" s="2" t="str">
        <f t="shared" si="115"/>
        <v>Lower</v>
      </c>
      <c r="I307" s="2" t="str">
        <f t="shared" si="116"/>
        <v>Lower</v>
      </c>
      <c r="J307" s="2" t="str">
        <f t="shared" si="117"/>
        <v>Lower</v>
      </c>
      <c r="K307" s="2" t="str">
        <f t="shared" si="118"/>
        <v>Lower</v>
      </c>
      <c r="L307" s="2" t="str">
        <f t="shared" si="119"/>
        <v>Lower</v>
      </c>
      <c r="M307" s="2" t="str">
        <f t="shared" si="120"/>
        <v>Lower</v>
      </c>
      <c r="N307" s="2" t="str">
        <f t="shared" si="121"/>
        <v>Lower</v>
      </c>
      <c r="O307" s="2" t="str">
        <f t="shared" si="122"/>
        <v>Lower</v>
      </c>
      <c r="P307" s="2" t="str">
        <f t="shared" si="123"/>
        <v>Lower</v>
      </c>
      <c r="R307" s="4">
        <f>DATE(2023,5,29)</f>
        <v>45075</v>
      </c>
      <c r="X307" s="4">
        <f>DATE(2023,5,29)</f>
        <v>45075</v>
      </c>
      <c r="Y307">
        <v>17.634538166267667</v>
      </c>
      <c r="AA307">
        <v>83.20750000000001</v>
      </c>
      <c r="AC307">
        <f t="shared" si="124"/>
        <v>-5.6624131251863351E-2</v>
      </c>
      <c r="AD307" t="str">
        <f t="shared" si="125"/>
        <v/>
      </c>
      <c r="AE307" t="str">
        <f t="shared" si="126"/>
        <v/>
      </c>
      <c r="AF307" t="str">
        <f t="shared" si="127"/>
        <v/>
      </c>
      <c r="AH307">
        <f t="shared" si="128"/>
        <v>-3.7910570578956901E-2</v>
      </c>
      <c r="AI307" t="str">
        <f t="shared" si="129"/>
        <v/>
      </c>
      <c r="AJ307" t="str">
        <f t="shared" si="130"/>
        <v/>
      </c>
      <c r="AK307" t="str">
        <f t="shared" si="131"/>
        <v/>
      </c>
      <c r="AM307">
        <f t="shared" si="132"/>
        <v>-0.11308829346714831</v>
      </c>
      <c r="AN307" t="str">
        <f t="shared" si="133"/>
        <v/>
      </c>
      <c r="AO307" t="str">
        <f t="shared" si="134"/>
        <v/>
      </c>
      <c r="AP307" t="str">
        <f t="shared" si="135"/>
        <v/>
      </c>
      <c r="AR307">
        <f t="shared" si="136"/>
        <v>-0.11630304119930683</v>
      </c>
      <c r="AS307" t="str">
        <f t="shared" si="137"/>
        <v/>
      </c>
      <c r="AT307" t="str">
        <f t="shared" si="138"/>
        <v/>
      </c>
      <c r="AU307" t="str">
        <f t="shared" si="139"/>
        <v/>
      </c>
    </row>
    <row r="308" spans="1:47" x14ac:dyDescent="0.25">
      <c r="A308" s="4">
        <f>DATE(2023,5,26)</f>
        <v>45072</v>
      </c>
      <c r="B308">
        <v>-0.39054982594242738</v>
      </c>
      <c r="C308">
        <v>34.699086329752163</v>
      </c>
      <c r="D308">
        <v>-1.4027493397897156E-2</v>
      </c>
      <c r="E308">
        <f t="shared" si="112"/>
        <v>-0.44889684061209933</v>
      </c>
      <c r="F308">
        <f t="shared" si="113"/>
        <v>-1.6418932191443496</v>
      </c>
      <c r="G308">
        <f t="shared" si="114"/>
        <v>-1.5699921109777406</v>
      </c>
      <c r="H308" s="2" t="str">
        <f t="shared" si="115"/>
        <v>Lower</v>
      </c>
      <c r="I308" s="2" t="str">
        <f t="shared" si="116"/>
        <v>Lower</v>
      </c>
      <c r="J308" s="2" t="str">
        <f t="shared" si="117"/>
        <v>Lower</v>
      </c>
      <c r="K308" s="2" t="str">
        <f t="shared" si="118"/>
        <v>Lower</v>
      </c>
      <c r="L308" s="2" t="str">
        <f t="shared" si="119"/>
        <v>Lower</v>
      </c>
      <c r="M308" s="2" t="str">
        <f t="shared" si="120"/>
        <v>Lower</v>
      </c>
      <c r="N308" s="2" t="str">
        <f t="shared" si="121"/>
        <v>Lower</v>
      </c>
      <c r="O308" s="2" t="str">
        <f t="shared" si="122"/>
        <v>Lower</v>
      </c>
      <c r="P308" s="2" t="str">
        <f t="shared" si="123"/>
        <v>Lower</v>
      </c>
      <c r="R308" s="4">
        <f>DATE(2023,5,26)</f>
        <v>45072</v>
      </c>
      <c r="S308">
        <v>0.95926352396667658</v>
      </c>
      <c r="T308">
        <v>0.52803916964554687</v>
      </c>
      <c r="U308">
        <v>0.70789714077498644</v>
      </c>
      <c r="V308">
        <v>-0.45953941396455544</v>
      </c>
      <c r="X308" s="4">
        <f>DATE(2023,5,26)</f>
        <v>45072</v>
      </c>
      <c r="Y308">
        <v>15.49137870989194</v>
      </c>
      <c r="Z308">
        <v>9.6366610904083974</v>
      </c>
      <c r="AA308">
        <v>82.472499999999997</v>
      </c>
      <c r="AB308">
        <v>24.566249999999997</v>
      </c>
      <c r="AC308">
        <f t="shared" si="124"/>
        <v>-8.8288764628265792E-2</v>
      </c>
      <c r="AD308">
        <f t="shared" si="125"/>
        <v>-0.20567335671898834</v>
      </c>
      <c r="AE308">
        <f t="shared" si="126"/>
        <v>-0.11738459209072255</v>
      </c>
      <c r="AF308">
        <f t="shared" si="127"/>
        <v>-0.63353683443068087</v>
      </c>
      <c r="AH308">
        <f t="shared" si="128"/>
        <v>-5.6226693062989455E-2</v>
      </c>
      <c r="AI308">
        <f t="shared" si="129"/>
        <v>-0.4568920457640413</v>
      </c>
      <c r="AJ308">
        <f t="shared" si="130"/>
        <v>-0.40066535270105186</v>
      </c>
      <c r="AK308">
        <f t="shared" si="131"/>
        <v>-1.1685193814013748</v>
      </c>
      <c r="AM308">
        <f t="shared" si="132"/>
        <v>-0.11314787276526615</v>
      </c>
      <c r="AN308">
        <f t="shared" si="133"/>
        <v>-0.612071442334992</v>
      </c>
      <c r="AO308">
        <f t="shared" si="134"/>
        <v>-0.49892356956972583</v>
      </c>
      <c r="AP308">
        <f t="shared" si="135"/>
        <v>-0.84347359692247892</v>
      </c>
      <c r="AR308">
        <f t="shared" si="136"/>
        <v>-0.16953900351685436</v>
      </c>
      <c r="AS308">
        <f t="shared" si="137"/>
        <v>-2.2980462372533075</v>
      </c>
      <c r="AT308">
        <f t="shared" si="138"/>
        <v>-2.1285072337364532</v>
      </c>
      <c r="AU308">
        <f t="shared" si="139"/>
        <v>-2.9955904531182731</v>
      </c>
    </row>
    <row r="309" spans="1:47" x14ac:dyDescent="0.25">
      <c r="A309" s="4">
        <f>DATE(2023,5,25)</f>
        <v>45071</v>
      </c>
      <c r="B309">
        <v>-0.21759071530287655</v>
      </c>
      <c r="C309">
        <v>36.040435715173608</v>
      </c>
      <c r="D309">
        <v>-2.4846115957579854E-2</v>
      </c>
      <c r="E309">
        <f t="shared" si="112"/>
        <v>-0.22412675570682167</v>
      </c>
      <c r="F309">
        <f t="shared" si="113"/>
        <v>-1.5499014192359215</v>
      </c>
      <c r="G309">
        <f t="shared" si="114"/>
        <v>-1.631487622182149</v>
      </c>
      <c r="H309" s="2" t="str">
        <f t="shared" si="115"/>
        <v>Lower</v>
      </c>
      <c r="I309" s="2" t="str">
        <f t="shared" si="116"/>
        <v>Lower</v>
      </c>
      <c r="J309" s="2" t="str">
        <f t="shared" si="117"/>
        <v>Lower</v>
      </c>
      <c r="K309" s="2" t="str">
        <f t="shared" si="118"/>
        <v>Lower</v>
      </c>
      <c r="L309" s="2" t="str">
        <f t="shared" si="119"/>
        <v>Lower</v>
      </c>
      <c r="M309" s="2" t="str">
        <f t="shared" si="120"/>
        <v>Lower</v>
      </c>
      <c r="N309" s="2" t="str">
        <f t="shared" si="121"/>
        <v>Lower</v>
      </c>
      <c r="O309" s="2" t="str">
        <f t="shared" si="122"/>
        <v>Lower</v>
      </c>
      <c r="P309" s="2" t="str">
        <f t="shared" si="123"/>
        <v>Lower</v>
      </c>
      <c r="R309" s="4">
        <f>DATE(2023,5,25)</f>
        <v>45071</v>
      </c>
      <c r="S309">
        <v>0.90523096878319109</v>
      </c>
      <c r="T309">
        <v>0.49285583787196369</v>
      </c>
      <c r="U309">
        <v>0.6943733219144842</v>
      </c>
      <c r="V309">
        <v>-0.45895152278514678</v>
      </c>
      <c r="X309" s="4">
        <f>DATE(2023,5,25)</f>
        <v>45071</v>
      </c>
      <c r="Y309">
        <v>16.14854148169405</v>
      </c>
      <c r="Z309">
        <v>10.560544122161348</v>
      </c>
      <c r="AA309">
        <v>83.44</v>
      </c>
      <c r="AB309">
        <v>25.773499999999999</v>
      </c>
      <c r="AC309">
        <f t="shared" si="124"/>
        <v>-6.9635841471222995E-2</v>
      </c>
      <c r="AD309">
        <f t="shared" si="125"/>
        <v>-0.14633536869075542</v>
      </c>
      <c r="AE309">
        <f t="shared" si="126"/>
        <v>-7.6699527219532423E-2</v>
      </c>
      <c r="AF309">
        <f t="shared" si="127"/>
        <v>-0.41210146636126849</v>
      </c>
      <c r="AH309">
        <f t="shared" si="128"/>
        <v>-3.4280993900170573E-2</v>
      </c>
      <c r="AI309">
        <f t="shared" si="129"/>
        <v>-0.41521431417944021</v>
      </c>
      <c r="AJ309">
        <f t="shared" si="130"/>
        <v>-0.38093332027926963</v>
      </c>
      <c r="AK309">
        <f t="shared" si="131"/>
        <v>-1.1144027402587238</v>
      </c>
      <c r="AM309">
        <f t="shared" si="132"/>
        <v>-0.12465719184770542</v>
      </c>
      <c r="AN309">
        <f t="shared" si="133"/>
        <v>-0.60050817343324636</v>
      </c>
      <c r="AO309">
        <f t="shared" si="134"/>
        <v>-0.47585098158554096</v>
      </c>
      <c r="AP309">
        <f t="shared" si="135"/>
        <v>-0.80717791795424154</v>
      </c>
      <c r="AR309">
        <f t="shared" si="136"/>
        <v>-0.13570499340696801</v>
      </c>
      <c r="AS309">
        <f t="shared" si="137"/>
        <v>-2.2354666985800016</v>
      </c>
      <c r="AT309">
        <f t="shared" si="138"/>
        <v>-2.0997617051730337</v>
      </c>
      <c r="AU309">
        <f t="shared" si="139"/>
        <v>-2.9937483157880047</v>
      </c>
    </row>
    <row r="310" spans="1:47" x14ac:dyDescent="0.25">
      <c r="A310" s="4">
        <f>DATE(2023,5,24)</f>
        <v>45070</v>
      </c>
      <c r="B310">
        <v>1.9806764871051152E-2</v>
      </c>
      <c r="C310">
        <v>40.602805195612603</v>
      </c>
      <c r="D310">
        <v>0.20540551783527861</v>
      </c>
      <c r="E310">
        <f t="shared" si="112"/>
        <v>9.0844400878284659E-2</v>
      </c>
      <c r="F310">
        <f t="shared" si="113"/>
        <v>-1.1499462563636094</v>
      </c>
      <c r="G310">
        <f t="shared" si="114"/>
        <v>-0.98032409586893998</v>
      </c>
      <c r="H310" s="2" t="str">
        <f t="shared" si="115"/>
        <v>Lower</v>
      </c>
      <c r="I310" s="2" t="str">
        <f t="shared" si="116"/>
        <v>Lower</v>
      </c>
      <c r="J310" s="2" t="str">
        <f t="shared" si="117"/>
        <v>Lower</v>
      </c>
      <c r="K310" s="2" t="str">
        <f t="shared" si="118"/>
        <v>Lower</v>
      </c>
      <c r="L310" s="2" t="str">
        <f t="shared" si="119"/>
        <v>Lower</v>
      </c>
      <c r="M310" s="2" t="str">
        <f t="shared" si="120"/>
        <v>Lower</v>
      </c>
      <c r="N310" s="2" t="str">
        <f t="shared" si="121"/>
        <v>Lower</v>
      </c>
      <c r="O310" s="2" t="str">
        <f t="shared" si="122"/>
        <v>Lower</v>
      </c>
      <c r="P310" s="2" t="str">
        <f t="shared" si="123"/>
        <v>Lower</v>
      </c>
      <c r="R310" s="4">
        <f>DATE(2023,5,24)</f>
        <v>45070</v>
      </c>
      <c r="S310">
        <v>0.84973545048205845</v>
      </c>
      <c r="T310">
        <v>0.46839686520897778</v>
      </c>
      <c r="U310">
        <v>0.68016153229661658</v>
      </c>
      <c r="V310">
        <v>-0.45939279223442647</v>
      </c>
      <c r="X310" s="4">
        <f>DATE(2023,5,24)</f>
        <v>45070</v>
      </c>
      <c r="Y310">
        <v>17.335301976150845</v>
      </c>
      <c r="Z310">
        <v>12.188563134794167</v>
      </c>
      <c r="AA310">
        <v>85.277500000000003</v>
      </c>
      <c r="AB310">
        <v>27.99625</v>
      </c>
      <c r="AC310">
        <f t="shared" si="124"/>
        <v>-3.5961324852760233E-2</v>
      </c>
      <c r="AD310">
        <f t="shared" si="125"/>
        <v>-0.13724485352054727</v>
      </c>
      <c r="AE310">
        <f t="shared" si="126"/>
        <v>-0.10128352866778703</v>
      </c>
      <c r="AF310">
        <f t="shared" si="127"/>
        <v>-0.54756725021318431</v>
      </c>
      <c r="AH310">
        <f t="shared" si="128"/>
        <v>-6.778300414182108E-3</v>
      </c>
      <c r="AI310">
        <f t="shared" si="129"/>
        <v>-0.31991146737557474</v>
      </c>
      <c r="AJ310">
        <f t="shared" si="130"/>
        <v>-0.31313316696139265</v>
      </c>
      <c r="AK310">
        <f t="shared" si="131"/>
        <v>-0.91615855258905055</v>
      </c>
      <c r="AM310">
        <f t="shared" si="132"/>
        <v>-0.13406993012359403</v>
      </c>
      <c r="AN310">
        <f t="shared" si="133"/>
        <v>-0.52532727812965574</v>
      </c>
      <c r="AO310">
        <f t="shared" si="134"/>
        <v>-0.39125734800606171</v>
      </c>
      <c r="AP310">
        <f t="shared" si="135"/>
        <v>-0.66593630429485717</v>
      </c>
      <c r="AR310">
        <f t="shared" si="136"/>
        <v>-0.10867652082117549</v>
      </c>
      <c r="AS310">
        <f t="shared" si="137"/>
        <v>-2.087734071497771</v>
      </c>
      <c r="AT310">
        <f t="shared" si="138"/>
        <v>-1.9790575506765955</v>
      </c>
      <c r="AU310">
        <f t="shared" si="139"/>
        <v>-2.8700810169088542</v>
      </c>
    </row>
    <row r="311" spans="1:47" x14ac:dyDescent="0.25">
      <c r="A311" s="4">
        <f>DATE(2023,5,23)</f>
        <v>45069</v>
      </c>
      <c r="B311">
        <v>0.18969145511988783</v>
      </c>
      <c r="C311">
        <v>41.391140684482039</v>
      </c>
      <c r="D311">
        <v>0.24987725620654541</v>
      </c>
      <c r="E311">
        <f t="shared" si="112"/>
        <v>0.32077412351695778</v>
      </c>
      <c r="F311">
        <f t="shared" si="113"/>
        <v>-1.0916021216715182</v>
      </c>
      <c r="G311">
        <f t="shared" si="114"/>
        <v>-0.85835753960155714</v>
      </c>
      <c r="H311" s="2" t="str">
        <f t="shared" si="115"/>
        <v>Lower</v>
      </c>
      <c r="I311" s="2" t="str">
        <f t="shared" si="116"/>
        <v>Lower</v>
      </c>
      <c r="J311" s="2" t="str">
        <f t="shared" si="117"/>
        <v>Lower</v>
      </c>
      <c r="K311" s="2" t="str">
        <f t="shared" si="118"/>
        <v>Lower</v>
      </c>
      <c r="L311" s="2" t="str">
        <f t="shared" si="119"/>
        <v>Lower</v>
      </c>
      <c r="M311" s="2" t="str">
        <f t="shared" si="120"/>
        <v>Lower</v>
      </c>
      <c r="N311" s="2" t="str">
        <f t="shared" si="121"/>
        <v>Lower</v>
      </c>
      <c r="O311" s="2" t="str">
        <f t="shared" si="122"/>
        <v>Lower</v>
      </c>
      <c r="P311" s="2" t="str">
        <f t="shared" si="123"/>
        <v>Lower</v>
      </c>
      <c r="R311" s="4">
        <f>DATE(2023,5,23)</f>
        <v>45069</v>
      </c>
      <c r="S311">
        <v>0.29718022658011095</v>
      </c>
      <c r="T311">
        <v>0.49059002947063485</v>
      </c>
      <c r="U311">
        <v>0.67857346409505026</v>
      </c>
      <c r="V311">
        <v>-0.4577401731007702</v>
      </c>
      <c r="X311" s="4">
        <f>DATE(2023,5,23)</f>
        <v>45069</v>
      </c>
      <c r="Y311">
        <v>18.177012384865055</v>
      </c>
      <c r="Z311">
        <v>13.205415529281463</v>
      </c>
      <c r="AA311">
        <v>86.027500000000003</v>
      </c>
      <c r="AB311">
        <v>29.126999999999999</v>
      </c>
      <c r="AC311">
        <f t="shared" si="124"/>
        <v>-2.5704963857133899E-2</v>
      </c>
      <c r="AD311">
        <f t="shared" si="125"/>
        <v>-9.5686205004003891E-2</v>
      </c>
      <c r="AE311">
        <f t="shared" si="126"/>
        <v>-6.9981241146869988E-2</v>
      </c>
      <c r="AF311">
        <f t="shared" si="127"/>
        <v>-0.37707150442174403</v>
      </c>
      <c r="AH311">
        <f t="shared" si="128"/>
        <v>-1.5341881790341192E-2</v>
      </c>
      <c r="AI311">
        <f t="shared" si="129"/>
        <v>-0.31303013541148778</v>
      </c>
      <c r="AJ311">
        <f t="shared" si="130"/>
        <v>-0.29768825362114659</v>
      </c>
      <c r="AK311">
        <f t="shared" si="131"/>
        <v>-0.87345528873393785</v>
      </c>
      <c r="AM311">
        <f t="shared" si="132"/>
        <v>-0.14897700941138878</v>
      </c>
      <c r="AN311">
        <f t="shared" si="133"/>
        <v>-0.4784554265555872</v>
      </c>
      <c r="AO311">
        <f t="shared" si="134"/>
        <v>-0.32947841714419845</v>
      </c>
      <c r="AP311">
        <f t="shared" si="135"/>
        <v>-0.5635695846555776</v>
      </c>
      <c r="AR311">
        <f t="shared" si="136"/>
        <v>-6.4100701906316879E-2</v>
      </c>
      <c r="AS311">
        <f t="shared" si="137"/>
        <v>-2.0484888168224336</v>
      </c>
      <c r="AT311">
        <f t="shared" si="138"/>
        <v>-1.9843881149161167</v>
      </c>
      <c r="AU311">
        <f t="shared" si="139"/>
        <v>-2.90822462297016</v>
      </c>
    </row>
    <row r="312" spans="1:47" x14ac:dyDescent="0.25">
      <c r="A312" s="4">
        <f>DATE(2023,5,22)</f>
        <v>45068</v>
      </c>
      <c r="B312">
        <v>0.42201778347139896</v>
      </c>
      <c r="C312">
        <v>46.845201879448588</v>
      </c>
      <c r="D312">
        <v>0.58120135314200327</v>
      </c>
      <c r="E312">
        <f t="shared" si="112"/>
        <v>0.63740520032076686</v>
      </c>
      <c r="F312">
        <f t="shared" si="113"/>
        <v>-0.58372542623692003</v>
      </c>
      <c r="G312">
        <f t="shared" si="114"/>
        <v>0.12886522336825088</v>
      </c>
      <c r="H312" s="2" t="str">
        <f t="shared" si="115"/>
        <v>Lower</v>
      </c>
      <c r="I312" s="2" t="str">
        <f t="shared" si="116"/>
        <v>Lower</v>
      </c>
      <c r="J312" s="2" t="str">
        <f t="shared" si="117"/>
        <v>Higher</v>
      </c>
      <c r="K312" s="2" t="str">
        <f t="shared" si="118"/>
        <v>Lower</v>
      </c>
      <c r="L312" s="2" t="str">
        <f t="shared" si="119"/>
        <v>Lower</v>
      </c>
      <c r="M312" s="2" t="str">
        <f t="shared" si="120"/>
        <v>Lower</v>
      </c>
      <c r="N312" s="2" t="str">
        <f t="shared" si="121"/>
        <v>Lower</v>
      </c>
      <c r="O312" s="2" t="str">
        <f t="shared" si="122"/>
        <v>Lower</v>
      </c>
      <c r="P312" s="2" t="str">
        <f t="shared" si="123"/>
        <v>Lower</v>
      </c>
      <c r="R312" s="4">
        <f>DATE(2023,5,22)</f>
        <v>45068</v>
      </c>
      <c r="S312">
        <v>-0.35726919787649558</v>
      </c>
      <c r="T312">
        <v>0.5240929319695744</v>
      </c>
      <c r="U312">
        <v>0.68079819498737437</v>
      </c>
      <c r="V312">
        <v>-0.45618449871222588</v>
      </c>
      <c r="X312" s="4">
        <f>DATE(2023,5,22)</f>
        <v>45068</v>
      </c>
      <c r="Y312">
        <v>19.410406602104665</v>
      </c>
      <c r="Z312">
        <v>13.666015552884343</v>
      </c>
      <c r="AA312">
        <v>88.055000000000007</v>
      </c>
      <c r="AB312">
        <v>29.83325</v>
      </c>
      <c r="AC312">
        <f t="shared" si="124"/>
        <v>8.4393498552402177E-3</v>
      </c>
      <c r="AD312">
        <f t="shared" si="125"/>
        <v>-8.7368855984563995E-2</v>
      </c>
      <c r="AE312">
        <f t="shared" si="126"/>
        <v>-9.5808205839804206E-2</v>
      </c>
      <c r="AF312">
        <f t="shared" si="127"/>
        <v>-0.51937930985807779</v>
      </c>
      <c r="AH312">
        <f t="shared" si="128"/>
        <v>-6.3395242600544285E-3</v>
      </c>
      <c r="AI312">
        <f t="shared" si="129"/>
        <v>-0.29137915078836668</v>
      </c>
      <c r="AJ312">
        <f t="shared" si="130"/>
        <v>-0.28503962652831227</v>
      </c>
      <c r="AK312">
        <f t="shared" si="131"/>
        <v>-0.83834880078379626</v>
      </c>
      <c r="AM312">
        <f t="shared" si="132"/>
        <v>-0.12335113641373814</v>
      </c>
      <c r="AN312">
        <f t="shared" si="133"/>
        <v>-0.46086561031264156</v>
      </c>
      <c r="AO312">
        <f t="shared" si="134"/>
        <v>-0.33751447389890343</v>
      </c>
      <c r="AP312">
        <f t="shared" si="135"/>
        <v>-0.5787312069633056</v>
      </c>
      <c r="AR312">
        <f t="shared" si="136"/>
        <v>-2.4428053346603616E-2</v>
      </c>
      <c r="AS312">
        <f t="shared" si="137"/>
        <v>-1.9985038780813034</v>
      </c>
      <c r="AT312">
        <f t="shared" si="138"/>
        <v>-1.9740758247346997</v>
      </c>
      <c r="AU312">
        <f t="shared" si="139"/>
        <v>-2.9272771477959592</v>
      </c>
    </row>
    <row r="313" spans="1:47" x14ac:dyDescent="0.25">
      <c r="A313" s="4">
        <f>DATE(2023,5,19)</f>
        <v>45065</v>
      </c>
      <c r="B313">
        <v>0.54075451053639267</v>
      </c>
      <c r="C313">
        <v>52.918753231456549</v>
      </c>
      <c r="D313">
        <v>0.90026977472101866</v>
      </c>
      <c r="E313">
        <f t="shared" si="112"/>
        <v>0.80569777788729324</v>
      </c>
      <c r="F313">
        <f t="shared" si="113"/>
        <v>-9.3138316386725036E-3</v>
      </c>
      <c r="G313">
        <f t="shared" si="114"/>
        <v>1.0856355842964145</v>
      </c>
      <c r="H313" s="2" t="str">
        <f t="shared" si="115"/>
        <v>Lower</v>
      </c>
      <c r="I313" s="2" t="str">
        <f t="shared" si="116"/>
        <v>Lower</v>
      </c>
      <c r="J313" s="2" t="str">
        <f t="shared" si="117"/>
        <v>Higher</v>
      </c>
      <c r="K313" s="2" t="str">
        <f t="shared" si="118"/>
        <v>Lower</v>
      </c>
      <c r="L313" s="2" t="str">
        <f t="shared" si="119"/>
        <v>Lower</v>
      </c>
      <c r="M313" s="2" t="str">
        <f t="shared" si="120"/>
        <v>Lower</v>
      </c>
      <c r="N313" s="2" t="str">
        <f t="shared" si="121"/>
        <v>Lower</v>
      </c>
      <c r="O313" s="2" t="str">
        <f t="shared" si="122"/>
        <v>Lower</v>
      </c>
      <c r="P313" s="2" t="str">
        <f t="shared" si="123"/>
        <v>Lower</v>
      </c>
      <c r="R313" s="4">
        <f>DATE(2023,5,19)</f>
        <v>45065</v>
      </c>
      <c r="S313">
        <v>-0.93331597949976031</v>
      </c>
      <c r="T313">
        <v>0.57022887461050309</v>
      </c>
      <c r="U313">
        <v>0.69449617038717903</v>
      </c>
      <c r="V313">
        <v>-0.45362499809841067</v>
      </c>
      <c r="X313" s="4">
        <f>DATE(2023,5,19)</f>
        <v>45065</v>
      </c>
      <c r="Y313">
        <v>21.158441566655672</v>
      </c>
      <c r="Z313">
        <v>14.046951521330882</v>
      </c>
      <c r="AA313">
        <v>90.084999999999994</v>
      </c>
      <c r="AB313">
        <v>30.175999999999998</v>
      </c>
      <c r="AC313">
        <f t="shared" si="124"/>
        <v>1.5352865216561958E-2</v>
      </c>
      <c r="AD313">
        <f t="shared" si="125"/>
        <v>-8.8202287845887975E-2</v>
      </c>
      <c r="AE313">
        <f t="shared" si="126"/>
        <v>-0.10355515306244993</v>
      </c>
      <c r="AF313">
        <f t="shared" si="127"/>
        <v>-0.56247345257613024</v>
      </c>
      <c r="AH313">
        <f t="shared" si="128"/>
        <v>-2.1899741243178081E-3</v>
      </c>
      <c r="AI313">
        <f t="shared" si="129"/>
        <v>-0.29071795525086142</v>
      </c>
      <c r="AJ313">
        <f t="shared" si="130"/>
        <v>-0.2885279811265436</v>
      </c>
      <c r="AK313">
        <f t="shared" si="131"/>
        <v>-0.85086767201698099</v>
      </c>
      <c r="AM313">
        <f t="shared" si="132"/>
        <v>-8.3728998223310161E-2</v>
      </c>
      <c r="AN313">
        <f t="shared" si="133"/>
        <v>-0.52503359575207809</v>
      </c>
      <c r="AO313">
        <f t="shared" si="134"/>
        <v>-0.44130459752876794</v>
      </c>
      <c r="AP313">
        <f t="shared" si="135"/>
        <v>-0.7556210846992466</v>
      </c>
      <c r="AR313">
        <f t="shared" si="136"/>
        <v>1.8287984305057656E-2</v>
      </c>
      <c r="AS313">
        <f t="shared" si="137"/>
        <v>-1.9213533968007259</v>
      </c>
      <c r="AT313">
        <f t="shared" si="138"/>
        <v>-1.9396413811057835</v>
      </c>
      <c r="AU313">
        <f t="shared" si="139"/>
        <v>-2.9149078388663958</v>
      </c>
    </row>
    <row r="314" spans="1:47" x14ac:dyDescent="0.25">
      <c r="A314" s="4">
        <f>DATE(2023,5,18)</f>
        <v>45064</v>
      </c>
      <c r="B314">
        <v>0.48412155984959315</v>
      </c>
      <c r="C314">
        <v>52.838435072009112</v>
      </c>
      <c r="D314">
        <v>0.89995920766851634</v>
      </c>
      <c r="E314">
        <f t="shared" si="112"/>
        <v>0.74223738070203038</v>
      </c>
      <c r="F314">
        <f t="shared" si="113"/>
        <v>-1.1974408572294886E-2</v>
      </c>
      <c r="G314">
        <f t="shared" si="114"/>
        <v>1.1019337354768173</v>
      </c>
      <c r="H314" s="2" t="str">
        <f t="shared" si="115"/>
        <v>Lower</v>
      </c>
      <c r="I314" s="2" t="str">
        <f t="shared" si="116"/>
        <v>Lower</v>
      </c>
      <c r="J314" s="2" t="str">
        <f t="shared" si="117"/>
        <v>Higher</v>
      </c>
      <c r="K314" s="2" t="str">
        <f t="shared" si="118"/>
        <v>Lower</v>
      </c>
      <c r="L314" s="2" t="str">
        <f t="shared" si="119"/>
        <v>Lower</v>
      </c>
      <c r="M314" s="2" t="str">
        <f t="shared" si="120"/>
        <v>Lower</v>
      </c>
      <c r="N314" s="2" t="str">
        <f t="shared" si="121"/>
        <v>Lower</v>
      </c>
      <c r="O314" s="2" t="str">
        <f t="shared" si="122"/>
        <v>Lower</v>
      </c>
      <c r="P314" s="2" t="str">
        <f t="shared" si="123"/>
        <v>Lower</v>
      </c>
      <c r="R314" s="4">
        <f>DATE(2023,5,18)</f>
        <v>45064</v>
      </c>
      <c r="S314">
        <v>-0.76368516637180184</v>
      </c>
      <c r="T314">
        <v>0.65313341412112602</v>
      </c>
      <c r="U314">
        <v>0.71844538152168014</v>
      </c>
      <c r="V314">
        <v>-0.45126506703879293</v>
      </c>
      <c r="X314" s="4">
        <f>DATE(2023,5,18)</f>
        <v>45064</v>
      </c>
      <c r="Y314">
        <v>19.391521282468563</v>
      </c>
      <c r="Z314">
        <v>13.311004564386216</v>
      </c>
      <c r="AA314">
        <v>89.457499999999996</v>
      </c>
      <c r="AB314">
        <v>29.835000000000001</v>
      </c>
      <c r="AC314">
        <f t="shared" si="124"/>
        <v>9.2086335336248187E-3</v>
      </c>
      <c r="AD314">
        <f t="shared" si="125"/>
        <v>-0.15835071037012421</v>
      </c>
      <c r="AE314">
        <f t="shared" si="126"/>
        <v>-0.16755934390374905</v>
      </c>
      <c r="AF314">
        <f t="shared" si="127"/>
        <v>-0.91470865084953668</v>
      </c>
      <c r="AH314">
        <f t="shared" si="128"/>
        <v>-3.2660901251754214E-2</v>
      </c>
      <c r="AI314">
        <f t="shared" si="129"/>
        <v>-0.30900908465597859</v>
      </c>
      <c r="AJ314">
        <f t="shared" si="130"/>
        <v>-0.2763481834042244</v>
      </c>
      <c r="AK314">
        <f t="shared" si="131"/>
        <v>-0.81675287039446209</v>
      </c>
      <c r="AM314">
        <f t="shared" si="132"/>
        <v>-8.4138106670157656E-2</v>
      </c>
      <c r="AN314">
        <f t="shared" si="133"/>
        <v>-0.53182037530248716</v>
      </c>
      <c r="AO314">
        <f t="shared" si="134"/>
        <v>-0.44768226863232952</v>
      </c>
      <c r="AP314">
        <f t="shared" si="135"/>
        <v>-0.76853561644349355</v>
      </c>
      <c r="AR314">
        <f t="shared" si="136"/>
        <v>2.6477173539034858E-2</v>
      </c>
      <c r="AS314">
        <f t="shared" si="137"/>
        <v>-1.9423845850912744</v>
      </c>
      <c r="AT314">
        <f t="shared" si="138"/>
        <v>-1.9688617586303092</v>
      </c>
      <c r="AU314">
        <f t="shared" si="139"/>
        <v>-2.9867547299885069</v>
      </c>
    </row>
    <row r="315" spans="1:47" x14ac:dyDescent="0.25">
      <c r="A315" s="4">
        <f>DATE(2023,5,17)</f>
        <v>45063</v>
      </c>
      <c r="B315">
        <v>0.37330449850247871</v>
      </c>
      <c r="C315">
        <v>48.185505642269071</v>
      </c>
      <c r="D315">
        <v>0.60684707935364901</v>
      </c>
      <c r="E315">
        <f t="shared" si="112"/>
        <v>0.60476841896456601</v>
      </c>
      <c r="F315">
        <f t="shared" si="113"/>
        <v>-0.44880931592697015</v>
      </c>
      <c r="G315">
        <f t="shared" si="114"/>
        <v>0.24417544221988319</v>
      </c>
      <c r="H315" s="2" t="str">
        <f t="shared" si="115"/>
        <v>Lower</v>
      </c>
      <c r="I315" s="2" t="str">
        <f t="shared" si="116"/>
        <v>Lower</v>
      </c>
      <c r="J315" s="2" t="str">
        <f t="shared" si="117"/>
        <v>Higher</v>
      </c>
      <c r="K315" s="2" t="str">
        <f t="shared" si="118"/>
        <v>Lower</v>
      </c>
      <c r="L315" s="2" t="str">
        <f t="shared" si="119"/>
        <v>Lower</v>
      </c>
      <c r="M315" s="2" t="str">
        <f t="shared" si="120"/>
        <v>Lower</v>
      </c>
      <c r="N315" s="2" t="str">
        <f t="shared" si="121"/>
        <v>Lower</v>
      </c>
      <c r="O315" s="2" t="str">
        <f t="shared" si="122"/>
        <v>Lower</v>
      </c>
      <c r="P315" s="2" t="str">
        <f t="shared" si="123"/>
        <v>Lower</v>
      </c>
      <c r="R315" s="4">
        <f>DATE(2023,5,17)</f>
        <v>45063</v>
      </c>
      <c r="S315">
        <v>0.18441839692342585</v>
      </c>
      <c r="T315">
        <v>0.7294981072837905</v>
      </c>
      <c r="U315">
        <v>0.74758138314504441</v>
      </c>
      <c r="V315">
        <v>-0.44986251492553819</v>
      </c>
      <c r="X315" s="4">
        <f>DATE(2023,5,17)</f>
        <v>45063</v>
      </c>
      <c r="Y315">
        <v>19.347664683015861</v>
      </c>
      <c r="Z315">
        <v>14.937037026221894</v>
      </c>
      <c r="AA315">
        <v>88.4</v>
      </c>
      <c r="AB315">
        <v>32.114750000000001</v>
      </c>
      <c r="AC315">
        <f t="shared" si="124"/>
        <v>-6.5677515410005171E-3</v>
      </c>
      <c r="AD315">
        <f t="shared" si="125"/>
        <v>-9.120495010777542E-2</v>
      </c>
      <c r="AE315">
        <f t="shared" si="126"/>
        <v>-8.4637198566774902E-2</v>
      </c>
      <c r="AF315">
        <f t="shared" si="127"/>
        <v>-0.46120082538441515</v>
      </c>
      <c r="AH315">
        <f t="shared" si="128"/>
        <v>-7.0820009699288866E-2</v>
      </c>
      <c r="AI315">
        <f t="shared" si="129"/>
        <v>-0.23707235870165239</v>
      </c>
      <c r="AJ315">
        <f t="shared" si="130"/>
        <v>-0.16625234900236352</v>
      </c>
      <c r="AK315">
        <f t="shared" si="131"/>
        <v>-0.49073596977132233</v>
      </c>
      <c r="AM315">
        <f t="shared" si="132"/>
        <v>-9.8211150967849811E-2</v>
      </c>
      <c r="AN315">
        <f t="shared" si="133"/>
        <v>-0.45400353901490687</v>
      </c>
      <c r="AO315">
        <f t="shared" si="134"/>
        <v>-0.35579238804705704</v>
      </c>
      <c r="AP315">
        <f t="shared" si="135"/>
        <v>-0.61531817967496216</v>
      </c>
      <c r="AR315">
        <f t="shared" si="136"/>
        <v>3.221589252987004E-2</v>
      </c>
      <c r="AS315">
        <f t="shared" si="137"/>
        <v>-1.8554831963091383</v>
      </c>
      <c r="AT315">
        <f t="shared" si="138"/>
        <v>-1.8876990888390084</v>
      </c>
      <c r="AU315">
        <f t="shared" si="139"/>
        <v>-2.9123064629405029</v>
      </c>
    </row>
    <row r="316" spans="1:47" x14ac:dyDescent="0.25">
      <c r="A316" s="4">
        <f>DATE(2023,5,16)</f>
        <v>45062</v>
      </c>
      <c r="B316">
        <v>0.35710741877507646</v>
      </c>
      <c r="C316">
        <v>49.355796118991186</v>
      </c>
      <c r="D316">
        <v>0.59487393743991668</v>
      </c>
      <c r="E316">
        <f t="shared" si="112"/>
        <v>0.5910596874421421</v>
      </c>
      <c r="F316">
        <f t="shared" si="113"/>
        <v>-0.33772658588701276</v>
      </c>
      <c r="G316">
        <f t="shared" si="114"/>
        <v>0.21422709477611285</v>
      </c>
      <c r="H316" s="2" t="str">
        <f t="shared" si="115"/>
        <v>Lower</v>
      </c>
      <c r="I316" s="2" t="str">
        <f t="shared" si="116"/>
        <v>Lower</v>
      </c>
      <c r="J316" s="2" t="str">
        <f t="shared" si="117"/>
        <v>Higher</v>
      </c>
      <c r="K316" s="2" t="str">
        <f t="shared" si="118"/>
        <v>Lower</v>
      </c>
      <c r="L316" s="2" t="str">
        <f t="shared" si="119"/>
        <v>Lower</v>
      </c>
      <c r="M316" s="2" t="str">
        <f t="shared" si="120"/>
        <v>Lower</v>
      </c>
      <c r="N316" s="2" t="str">
        <f t="shared" si="121"/>
        <v>Lower</v>
      </c>
      <c r="O316" s="2" t="str">
        <f t="shared" si="122"/>
        <v>Lower</v>
      </c>
      <c r="P316" s="2" t="str">
        <f t="shared" si="123"/>
        <v>Lower</v>
      </c>
      <c r="R316" s="4">
        <f>DATE(2023,5,16)</f>
        <v>45062</v>
      </c>
      <c r="S316">
        <v>0.53081548397410683</v>
      </c>
      <c r="T316">
        <v>0.74326091688279317</v>
      </c>
      <c r="U316">
        <v>0.75525918762236999</v>
      </c>
      <c r="V316">
        <v>-0.45036983939930048</v>
      </c>
      <c r="X316" s="4">
        <f>DATE(2023,5,16)</f>
        <v>45062</v>
      </c>
      <c r="Y316">
        <v>19.092190517105038</v>
      </c>
      <c r="Z316">
        <v>15.572027947733114</v>
      </c>
      <c r="AA316">
        <v>88.267499999999998</v>
      </c>
      <c r="AB316">
        <v>32.051749999999998</v>
      </c>
      <c r="AC316">
        <f t="shared" si="124"/>
        <v>1.8812379373041335E-2</v>
      </c>
      <c r="AD316">
        <f t="shared" si="125"/>
        <v>-0.12039431844668887</v>
      </c>
      <c r="AE316">
        <f t="shared" si="126"/>
        <v>-0.13920669781973019</v>
      </c>
      <c r="AF316">
        <f t="shared" si="127"/>
        <v>-0.76214210569909568</v>
      </c>
      <c r="AH316">
        <f t="shared" si="128"/>
        <v>-6.9681826991635124E-2</v>
      </c>
      <c r="AI316">
        <f t="shared" si="129"/>
        <v>-0.2817934039482714</v>
      </c>
      <c r="AJ316">
        <f t="shared" si="130"/>
        <v>-0.21211157695663629</v>
      </c>
      <c r="AK316">
        <f t="shared" si="131"/>
        <v>-0.62855574835076633</v>
      </c>
      <c r="AM316">
        <f t="shared" si="132"/>
        <v>-0.12114153204675766</v>
      </c>
      <c r="AN316">
        <f t="shared" si="133"/>
        <v>-0.42663962487056872</v>
      </c>
      <c r="AO316">
        <f t="shared" si="134"/>
        <v>-0.30549809282381107</v>
      </c>
      <c r="AP316">
        <f t="shared" si="135"/>
        <v>-0.53180403021308753</v>
      </c>
      <c r="AR316">
        <f t="shared" si="136"/>
        <v>3.2177289658386996E-2</v>
      </c>
      <c r="AS316">
        <f t="shared" si="137"/>
        <v>-1.7911014623927726</v>
      </c>
      <c r="AT316">
        <f t="shared" si="138"/>
        <v>-1.8232787520511595</v>
      </c>
      <c r="AU316">
        <f t="shared" si="139"/>
        <v>-2.8573111902387236</v>
      </c>
    </row>
    <row r="317" spans="1:47" x14ac:dyDescent="0.25">
      <c r="A317" s="4">
        <f>DATE(2023,5,15)</f>
        <v>45061</v>
      </c>
      <c r="B317">
        <v>0.27668935976328735</v>
      </c>
      <c r="C317">
        <v>44.769778197589069</v>
      </c>
      <c r="D317">
        <v>0.41049656820777397</v>
      </c>
      <c r="E317">
        <f t="shared" si="112"/>
        <v>0.48942916214478338</v>
      </c>
      <c r="F317">
        <f t="shared" si="113"/>
        <v>-0.7783305826224507</v>
      </c>
      <c r="G317">
        <f t="shared" si="114"/>
        <v>-0.33610361545192197</v>
      </c>
      <c r="H317" s="2" t="str">
        <f t="shared" si="115"/>
        <v>Lower</v>
      </c>
      <c r="I317" s="2" t="str">
        <f t="shared" si="116"/>
        <v>Lower</v>
      </c>
      <c r="J317" s="2" t="str">
        <f t="shared" si="117"/>
        <v>Higher</v>
      </c>
      <c r="K317" s="2" t="str">
        <f t="shared" si="118"/>
        <v>Lower</v>
      </c>
      <c r="L317" s="2" t="str">
        <f t="shared" si="119"/>
        <v>Lower</v>
      </c>
      <c r="M317" s="2" t="str">
        <f t="shared" si="120"/>
        <v>Lower</v>
      </c>
      <c r="N317" s="2" t="str">
        <f t="shared" si="121"/>
        <v>Lower</v>
      </c>
      <c r="O317" s="2" t="str">
        <f t="shared" si="122"/>
        <v>Lower</v>
      </c>
      <c r="P317" s="2" t="str">
        <f t="shared" si="123"/>
        <v>Lower</v>
      </c>
      <c r="R317" s="4">
        <f>DATE(2023,5,15)</f>
        <v>45061</v>
      </c>
      <c r="S317">
        <v>8.1644916723526625E-2</v>
      </c>
      <c r="T317">
        <v>0.73905077235549632</v>
      </c>
      <c r="U317">
        <v>0.76826068078070775</v>
      </c>
      <c r="V317">
        <v>-0.45041502254366128</v>
      </c>
      <c r="X317" s="4">
        <f>DATE(2023,5,15)</f>
        <v>45061</v>
      </c>
      <c r="Y317">
        <v>20.303549896694946</v>
      </c>
      <c r="Z317">
        <v>16.665181637447748</v>
      </c>
      <c r="AA317">
        <v>87.314999999999998</v>
      </c>
      <c r="AB317">
        <v>32.557000000000002</v>
      </c>
      <c r="AC317">
        <f t="shared" si="124"/>
        <v>2.3025475291964321E-2</v>
      </c>
      <c r="AD317">
        <f t="shared" si="125"/>
        <v>-0.12689795856629127</v>
      </c>
      <c r="AE317">
        <f t="shared" si="126"/>
        <v>-0.1499234338582556</v>
      </c>
      <c r="AF317">
        <f t="shared" si="127"/>
        <v>-0.82273786427745077</v>
      </c>
      <c r="AH317">
        <f t="shared" si="128"/>
        <v>-6.5708168391601207E-2</v>
      </c>
      <c r="AI317">
        <f t="shared" si="129"/>
        <v>-0.23961796693424309</v>
      </c>
      <c r="AJ317">
        <f t="shared" si="130"/>
        <v>-0.17390979854264188</v>
      </c>
      <c r="AK317">
        <f t="shared" si="131"/>
        <v>-0.51639175243427038</v>
      </c>
      <c r="AM317">
        <f t="shared" si="132"/>
        <v>-0.11694917978874035</v>
      </c>
      <c r="AN317" t="str">
        <f t="shared" si="133"/>
        <v/>
      </c>
      <c r="AO317" t="str">
        <f t="shared" si="134"/>
        <v/>
      </c>
      <c r="AP317" t="str">
        <f t="shared" si="135"/>
        <v/>
      </c>
      <c r="AR317">
        <f t="shared" si="136"/>
        <v>3.6416425745023441E-2</v>
      </c>
      <c r="AS317">
        <f t="shared" si="137"/>
        <v>-1.7799827231034722</v>
      </c>
      <c r="AT317">
        <f t="shared" si="138"/>
        <v>-1.8163991488484956</v>
      </c>
      <c r="AU317">
        <f t="shared" si="139"/>
        <v>-2.8788965642338411</v>
      </c>
    </row>
    <row r="318" spans="1:47" x14ac:dyDescent="0.25">
      <c r="A318" s="4">
        <f>DATE(2023,5,12)</f>
        <v>45058</v>
      </c>
      <c r="B318">
        <v>0.31157927937200425</v>
      </c>
      <c r="C318">
        <v>48.577057726403872</v>
      </c>
      <c r="D318">
        <v>0.51300681800937897</v>
      </c>
      <c r="E318">
        <f t="shared" si="112"/>
        <v>0.54225857895249774</v>
      </c>
      <c r="F318">
        <f t="shared" si="113"/>
        <v>-0.42382990055173192</v>
      </c>
      <c r="G318">
        <f t="shared" si="114"/>
        <v>-3.3068128421130008E-2</v>
      </c>
      <c r="H318" s="2" t="str">
        <f t="shared" si="115"/>
        <v>Lower</v>
      </c>
      <c r="I318" s="2" t="str">
        <f t="shared" si="116"/>
        <v>Lower</v>
      </c>
      <c r="J318" s="2" t="str">
        <f t="shared" si="117"/>
        <v>Higher</v>
      </c>
      <c r="K318" s="2" t="str">
        <f t="shared" si="118"/>
        <v>Lower</v>
      </c>
      <c r="L318" s="2" t="str">
        <f t="shared" si="119"/>
        <v>Lower</v>
      </c>
      <c r="M318" s="2" t="str">
        <f t="shared" si="120"/>
        <v>Lower</v>
      </c>
      <c r="N318" s="2" t="str">
        <f t="shared" si="121"/>
        <v>Lower</v>
      </c>
      <c r="O318" s="2" t="str">
        <f t="shared" si="122"/>
        <v>Lower</v>
      </c>
      <c r="P318" s="2" t="str">
        <f t="shared" si="123"/>
        <v>Lower</v>
      </c>
      <c r="R318" s="4">
        <f>DATE(2023,5,12)</f>
        <v>45058</v>
      </c>
      <c r="S318">
        <v>-0.70466951914785469</v>
      </c>
      <c r="T318">
        <v>0.73341599669131774</v>
      </c>
      <c r="U318">
        <v>0.74594041909943043</v>
      </c>
      <c r="V318">
        <v>-0.45271989104335109</v>
      </c>
      <c r="X318" s="4">
        <f>DATE(2023,5,12)</f>
        <v>45058</v>
      </c>
      <c r="Y318">
        <v>21.982473743678867</v>
      </c>
      <c r="Z318">
        <v>18.124367186759738</v>
      </c>
      <c r="AA318">
        <v>88.712500000000006</v>
      </c>
      <c r="AB318">
        <v>32.958500000000001</v>
      </c>
      <c r="AC318">
        <f t="shared" si="124"/>
        <v>3.9460843433566838E-2</v>
      </c>
      <c r="AD318">
        <f t="shared" si="125"/>
        <v>-0.10112426959537642</v>
      </c>
      <c r="AE318">
        <f t="shared" si="126"/>
        <v>-0.14058511302894325</v>
      </c>
      <c r="AF318">
        <f t="shared" si="127"/>
        <v>-0.77336360176692431</v>
      </c>
      <c r="AH318">
        <f t="shared" si="128"/>
        <v>-5.7441748518799553E-2</v>
      </c>
      <c r="AI318">
        <f t="shared" si="129"/>
        <v>-0.22578278283341011</v>
      </c>
      <c r="AJ318">
        <f t="shared" si="130"/>
        <v>-0.16834103431461056</v>
      </c>
      <c r="AK318">
        <f t="shared" si="131"/>
        <v>-0.50129481154991129</v>
      </c>
      <c r="AM318">
        <f t="shared" si="132"/>
        <v>-8.5384955275159255E-2</v>
      </c>
      <c r="AN318">
        <f t="shared" si="133"/>
        <v>-0.40085274083628558</v>
      </c>
      <c r="AO318">
        <f t="shared" si="134"/>
        <v>-0.31546778556112631</v>
      </c>
      <c r="AP318">
        <f t="shared" si="135"/>
        <v>-0.55088317924702213</v>
      </c>
      <c r="AR318">
        <f t="shared" si="136"/>
        <v>4.725970283867089E-2</v>
      </c>
      <c r="AS318">
        <f t="shared" si="137"/>
        <v>-1.7844967866656665</v>
      </c>
      <c r="AT318">
        <f t="shared" si="138"/>
        <v>-1.8317564895043374</v>
      </c>
      <c r="AU318">
        <f t="shared" si="139"/>
        <v>-2.9319970529650132</v>
      </c>
    </row>
    <row r="319" spans="1:47" x14ac:dyDescent="0.25">
      <c r="A319" s="4">
        <f>DATE(2023,5,11)</f>
        <v>45057</v>
      </c>
      <c r="B319">
        <v>0.20983730182539229</v>
      </c>
      <c r="C319">
        <v>48.306717193133728</v>
      </c>
      <c r="D319">
        <v>0.48449560765791777</v>
      </c>
      <c r="E319">
        <f t="shared" si="112"/>
        <v>0.41174717441927505</v>
      </c>
      <c r="F319">
        <f t="shared" si="113"/>
        <v>-0.45426232501407698</v>
      </c>
      <c r="G319">
        <f t="shared" si="114"/>
        <v>-0.11991197101885759</v>
      </c>
      <c r="H319" s="2" t="str">
        <f t="shared" si="115"/>
        <v>Lower</v>
      </c>
      <c r="I319" s="2" t="str">
        <f t="shared" si="116"/>
        <v>Lower</v>
      </c>
      <c r="J319" s="2" t="str">
        <f t="shared" si="117"/>
        <v>Higher</v>
      </c>
      <c r="K319" s="2" t="str">
        <f t="shared" si="118"/>
        <v>Higher</v>
      </c>
      <c r="L319" s="2" t="str">
        <f t="shared" si="119"/>
        <v>Lower</v>
      </c>
      <c r="M319" s="2" t="str">
        <f t="shared" si="120"/>
        <v>Lower</v>
      </c>
      <c r="N319" s="2" t="str">
        <f t="shared" si="121"/>
        <v>Lower</v>
      </c>
      <c r="O319" s="2" t="str">
        <f t="shared" si="122"/>
        <v>Lower</v>
      </c>
      <c r="P319" s="2" t="str">
        <f t="shared" si="123"/>
        <v>Lower</v>
      </c>
      <c r="R319" s="4">
        <f>DATE(2023,5,11)</f>
        <v>45057</v>
      </c>
      <c r="S319">
        <v>-0.95805235895794894</v>
      </c>
      <c r="T319">
        <v>0.74559080721506776</v>
      </c>
      <c r="U319">
        <v>0.72587497986599658</v>
      </c>
      <c r="V319">
        <v>-0.4538592947002687</v>
      </c>
      <c r="X319" s="4">
        <f>DATE(2023,5,11)</f>
        <v>45057</v>
      </c>
      <c r="Y319">
        <v>22.907952581416051</v>
      </c>
      <c r="Z319">
        <v>20.936928229618289</v>
      </c>
      <c r="AA319">
        <v>88.637500000000003</v>
      </c>
      <c r="AB319">
        <v>34.954000000000001</v>
      </c>
      <c r="AC319">
        <f t="shared" si="124"/>
        <v>4.6916303963343071E-2</v>
      </c>
      <c r="AD319">
        <f t="shared" si="125"/>
        <v>-2.8853882906442658E-2</v>
      </c>
      <c r="AE319">
        <f t="shared" si="126"/>
        <v>-7.5770186869785733E-2</v>
      </c>
      <c r="AF319">
        <f t="shared" si="127"/>
        <v>-0.41854545779987889</v>
      </c>
      <c r="AH319">
        <f t="shared" si="128"/>
        <v>-6.536669312749778E-2</v>
      </c>
      <c r="AI319">
        <f t="shared" si="129"/>
        <v>-0.18800809088399914</v>
      </c>
      <c r="AJ319">
        <f t="shared" si="130"/>
        <v>-0.12264139775650136</v>
      </c>
      <c r="AK319">
        <f t="shared" si="131"/>
        <v>-0.36658123805214399</v>
      </c>
      <c r="AM319">
        <f t="shared" si="132"/>
        <v>-8.9072899348097812E-2</v>
      </c>
      <c r="AN319">
        <f t="shared" si="133"/>
        <v>-0.40693738876490615</v>
      </c>
      <c r="AO319">
        <f t="shared" si="134"/>
        <v>-0.31786448941680834</v>
      </c>
      <c r="AP319">
        <f t="shared" si="135"/>
        <v>-0.55655980684719264</v>
      </c>
      <c r="AR319">
        <f t="shared" si="136"/>
        <v>5.2221513424764013E-2</v>
      </c>
      <c r="AS319">
        <f t="shared" si="137"/>
        <v>-1.7405173686346231</v>
      </c>
      <c r="AT319">
        <f t="shared" si="138"/>
        <v>-1.7927388820593873</v>
      </c>
      <c r="AU319">
        <f t="shared" si="139"/>
        <v>-2.9109456846336861</v>
      </c>
    </row>
    <row r="320" spans="1:47" x14ac:dyDescent="0.25">
      <c r="A320" s="4">
        <f>DATE(2023,5,10)</f>
        <v>45056</v>
      </c>
      <c r="B320">
        <v>6.3673233163110687E-2</v>
      </c>
      <c r="C320">
        <v>51.074248656713927</v>
      </c>
      <c r="D320">
        <v>0.54207164000007546</v>
      </c>
      <c r="E320">
        <f t="shared" si="112"/>
        <v>0.22034801153212027</v>
      </c>
      <c r="F320">
        <f t="shared" si="113"/>
        <v>-0.19043293920946583</v>
      </c>
      <c r="G320">
        <f t="shared" si="114"/>
        <v>5.2690887188797886E-2</v>
      </c>
      <c r="H320" s="2" t="str">
        <f t="shared" si="115"/>
        <v>Lower</v>
      </c>
      <c r="I320" s="2" t="str">
        <f t="shared" si="116"/>
        <v>Lower</v>
      </c>
      <c r="J320" s="2" t="str">
        <f t="shared" si="117"/>
        <v>Higher</v>
      </c>
      <c r="K320" s="2" t="str">
        <f t="shared" si="118"/>
        <v>Higher</v>
      </c>
      <c r="L320" s="2" t="str">
        <f t="shared" si="119"/>
        <v>Lower</v>
      </c>
      <c r="M320" s="2" t="str">
        <f t="shared" si="120"/>
        <v>Lower</v>
      </c>
      <c r="N320" s="2" t="str">
        <f t="shared" si="121"/>
        <v>Lower</v>
      </c>
      <c r="O320" s="2" t="str">
        <f t="shared" si="122"/>
        <v>Lower</v>
      </c>
      <c r="P320" s="2" t="str">
        <f t="shared" si="123"/>
        <v>Lower</v>
      </c>
      <c r="R320" s="4">
        <f>DATE(2023,5,10)</f>
        <v>45056</v>
      </c>
      <c r="S320">
        <v>-0.71395792914195</v>
      </c>
      <c r="T320">
        <v>0.74095990511457355</v>
      </c>
      <c r="U320">
        <v>0.70595712576234282</v>
      </c>
      <c r="V320">
        <v>-0.45463874250643699</v>
      </c>
      <c r="X320" s="4">
        <f>DATE(2023,5,10)</f>
        <v>45056</v>
      </c>
      <c r="Y320">
        <v>23.401699423015796</v>
      </c>
      <c r="Z320">
        <v>21.511451207347875</v>
      </c>
      <c r="AA320">
        <v>88.982499999999987</v>
      </c>
      <c r="AB320">
        <v>35.1815</v>
      </c>
      <c r="AC320">
        <f t="shared" si="124"/>
        <v>3.5838133841113853E-2</v>
      </c>
      <c r="AD320">
        <f t="shared" si="125"/>
        <v>-4.6735433655685506E-2</v>
      </c>
      <c r="AE320">
        <f t="shared" si="126"/>
        <v>-8.2573567496799366E-2</v>
      </c>
      <c r="AF320">
        <f t="shared" si="127"/>
        <v>-0.45688633037387649</v>
      </c>
      <c r="AH320">
        <f t="shared" si="128"/>
        <v>-7.8924750067594265E-2</v>
      </c>
      <c r="AI320">
        <f t="shared" si="129"/>
        <v>-0.20381435626567609</v>
      </c>
      <c r="AJ320">
        <f t="shared" si="130"/>
        <v>-0.12488960619808183</v>
      </c>
      <c r="AK320">
        <f t="shared" si="131"/>
        <v>-0.37453743255162969</v>
      </c>
      <c r="AM320">
        <f t="shared" si="132"/>
        <v>-5.0029607501238513E-2</v>
      </c>
      <c r="AN320">
        <f t="shared" si="133"/>
        <v>-0.43927538290072693</v>
      </c>
      <c r="AO320">
        <f t="shared" si="134"/>
        <v>-0.3892457753994884</v>
      </c>
      <c r="AP320">
        <f t="shared" si="135"/>
        <v>-0.67876567820193567</v>
      </c>
      <c r="AR320">
        <f t="shared" si="136"/>
        <v>6.4401799479242655E-2</v>
      </c>
      <c r="AS320">
        <f t="shared" si="137"/>
        <v>-1.733763868171005</v>
      </c>
      <c r="AT320">
        <f t="shared" si="138"/>
        <v>-1.7981656676502478</v>
      </c>
      <c r="AU320">
        <f t="shared" si="139"/>
        <v>-2.9516406488240521</v>
      </c>
    </row>
    <row r="321" spans="1:47" x14ac:dyDescent="0.25">
      <c r="A321" s="4">
        <f>DATE(2023,5,9)</f>
        <v>45055</v>
      </c>
      <c r="B321">
        <v>-0.26357704636117041</v>
      </c>
      <c r="C321">
        <v>43.74040426075986</v>
      </c>
      <c r="D321">
        <v>0.34272332661456256</v>
      </c>
      <c r="E321">
        <f t="shared" si="112"/>
        <v>-0.21890689958387413</v>
      </c>
      <c r="F321">
        <f t="shared" si="113"/>
        <v>-0.88549733240488893</v>
      </c>
      <c r="G321">
        <f t="shared" si="114"/>
        <v>-0.54009079106884794</v>
      </c>
      <c r="H321" s="2" t="str">
        <f t="shared" si="115"/>
        <v>Lower</v>
      </c>
      <c r="I321" s="2" t="str">
        <f t="shared" si="116"/>
        <v>Lower</v>
      </c>
      <c r="J321" s="2" t="str">
        <f t="shared" si="117"/>
        <v>Higher</v>
      </c>
      <c r="K321" s="2" t="str">
        <f t="shared" si="118"/>
        <v>Higher</v>
      </c>
      <c r="L321" s="2" t="str">
        <f t="shared" si="119"/>
        <v>Lower</v>
      </c>
      <c r="M321" s="2" t="str">
        <f t="shared" si="120"/>
        <v>Lower</v>
      </c>
      <c r="N321" s="2" t="str">
        <f t="shared" si="121"/>
        <v>Higher</v>
      </c>
      <c r="O321" s="2" t="str">
        <f t="shared" si="122"/>
        <v>Lower</v>
      </c>
      <c r="P321" s="2" t="str">
        <f t="shared" si="123"/>
        <v>Lower</v>
      </c>
      <c r="R321" s="4">
        <f>DATE(2023,5,9)</f>
        <v>45055</v>
      </c>
      <c r="S321">
        <v>-0.16928826651834658</v>
      </c>
      <c r="T321">
        <v>0.74162908276783857</v>
      </c>
      <c r="U321">
        <v>0.68805617496299842</v>
      </c>
      <c r="V321">
        <v>-0.45436238870656981</v>
      </c>
      <c r="X321" s="4">
        <f>DATE(2023,5,9)</f>
        <v>45055</v>
      </c>
      <c r="Y321">
        <v>20.038573860759413</v>
      </c>
      <c r="Z321">
        <v>23.02004256304323</v>
      </c>
      <c r="AA321">
        <v>86.622500000000002</v>
      </c>
      <c r="AB321">
        <v>36.152500000000003</v>
      </c>
      <c r="AC321">
        <f t="shared" si="124"/>
        <v>-1.8869023759597699E-2</v>
      </c>
      <c r="AD321">
        <f t="shared" si="125"/>
        <v>-3.914490958555647E-2</v>
      </c>
      <c r="AE321">
        <f t="shared" si="126"/>
        <v>-2.0275885825958771E-2</v>
      </c>
      <c r="AF321">
        <f t="shared" si="127"/>
        <v>-0.11467504019261758</v>
      </c>
      <c r="AH321">
        <f t="shared" si="128"/>
        <v>-0.11854915832797157</v>
      </c>
      <c r="AI321">
        <f t="shared" si="129"/>
        <v>-0.18601433592091152</v>
      </c>
      <c r="AJ321">
        <f t="shared" si="130"/>
        <v>-6.7465177592939948E-2</v>
      </c>
      <c r="AK321">
        <f t="shared" si="131"/>
        <v>-0.20447665045788635</v>
      </c>
      <c r="AM321">
        <f t="shared" si="132"/>
        <v>-5.8896570982396396E-2</v>
      </c>
      <c r="AN321">
        <f t="shared" si="133"/>
        <v>-0.36904948358975748</v>
      </c>
      <c r="AO321">
        <f t="shared" si="134"/>
        <v>-0.31015291260736111</v>
      </c>
      <c r="AP321">
        <f t="shared" si="135"/>
        <v>-0.54643595826292091</v>
      </c>
      <c r="AR321">
        <f t="shared" si="136"/>
        <v>6.1600956164857723E-2</v>
      </c>
      <c r="AS321">
        <f t="shared" si="137"/>
        <v>-1.7361122971089435</v>
      </c>
      <c r="AT321">
        <f t="shared" si="138"/>
        <v>-1.7977132532738014</v>
      </c>
      <c r="AU321">
        <f t="shared" si="139"/>
        <v>-2.9855797299416675</v>
      </c>
    </row>
    <row r="322" spans="1:47" x14ac:dyDescent="0.25">
      <c r="A322" s="4">
        <f>DATE(2023,5,8)</f>
        <v>45054</v>
      </c>
      <c r="B322">
        <v>-0.46217444767646532</v>
      </c>
      <c r="C322">
        <v>39.532357908521568</v>
      </c>
      <c r="D322">
        <v>0.24358806503682187</v>
      </c>
      <c r="E322">
        <f t="shared" si="112"/>
        <v>-0.49189892005903657</v>
      </c>
      <c r="F322">
        <f t="shared" si="113"/>
        <v>-1.298546079789989</v>
      </c>
      <c r="G322">
        <f t="shared" si="114"/>
        <v>-0.84341567948195562</v>
      </c>
      <c r="H322" s="2" t="str">
        <f t="shared" si="115"/>
        <v>Lower</v>
      </c>
      <c r="I322" s="2" t="str">
        <f t="shared" si="116"/>
        <v>Lower</v>
      </c>
      <c r="J322" s="2" t="str">
        <f t="shared" si="117"/>
        <v>Higher</v>
      </c>
      <c r="K322" s="2" t="str">
        <f t="shared" si="118"/>
        <v>Higher</v>
      </c>
      <c r="L322" s="2" t="str">
        <f t="shared" si="119"/>
        <v>Lower</v>
      </c>
      <c r="M322" s="2" t="str">
        <f t="shared" si="120"/>
        <v>Lower</v>
      </c>
      <c r="N322" s="2" t="str">
        <f t="shared" si="121"/>
        <v>Lower</v>
      </c>
      <c r="O322" s="2" t="str">
        <f t="shared" si="122"/>
        <v>Lower</v>
      </c>
      <c r="P322" s="2" t="str">
        <f t="shared" si="123"/>
        <v>Higher</v>
      </c>
      <c r="R322" s="4">
        <f>DATE(2023,5,8)</f>
        <v>45054</v>
      </c>
      <c r="S322">
        <v>0.79160926853791103</v>
      </c>
      <c r="T322">
        <v>0.72887773831363467</v>
      </c>
      <c r="U322">
        <v>0.64984597020450208</v>
      </c>
      <c r="V322">
        <v>-0.45492051002672229</v>
      </c>
      <c r="X322" s="4">
        <f>DATE(2023,5,8)</f>
        <v>45054</v>
      </c>
      <c r="Y322">
        <v>16.849225830773694</v>
      </c>
      <c r="Z322">
        <v>24.420775974910651</v>
      </c>
      <c r="AA322">
        <v>85.327500000000001</v>
      </c>
      <c r="AB322">
        <v>36.962000000000003</v>
      </c>
      <c r="AC322">
        <f t="shared" si="124"/>
        <v>-1.2751264474297993E-2</v>
      </c>
      <c r="AD322">
        <f t="shared" si="125"/>
        <v>-4.7498429159001002E-2</v>
      </c>
      <c r="AE322">
        <f t="shared" si="126"/>
        <v>-3.4747164684703007E-2</v>
      </c>
      <c r="AF322">
        <f t="shared" si="127"/>
        <v>-0.19513668250794564</v>
      </c>
      <c r="AH322" t="str">
        <f t="shared" si="128"/>
        <v/>
      </c>
      <c r="AI322">
        <f t="shared" si="129"/>
        <v>-0.15421251748795925</v>
      </c>
      <c r="AJ322" t="str">
        <f t="shared" si="130"/>
        <v/>
      </c>
      <c r="AK322" t="str">
        <f t="shared" si="131"/>
        <v/>
      </c>
      <c r="AM322">
        <f t="shared" si="132"/>
        <v>-8.1009103531748103E-2</v>
      </c>
      <c r="AN322">
        <f t="shared" si="133"/>
        <v>-0.33570281100391286</v>
      </c>
      <c r="AO322">
        <f t="shared" si="134"/>
        <v>-0.25469370747216474</v>
      </c>
      <c r="AP322">
        <f t="shared" si="135"/>
        <v>-0.45379049190691356</v>
      </c>
      <c r="AR322">
        <f t="shared" si="136"/>
        <v>6.406399192315175E-2</v>
      </c>
      <c r="AS322">
        <f t="shared" si="137"/>
        <v>-1.6923891490294916</v>
      </c>
      <c r="AT322">
        <f t="shared" si="138"/>
        <v>-1.7564531409526434</v>
      </c>
      <c r="AU322">
        <f t="shared" si="139"/>
        <v>-2.9622635439576519</v>
      </c>
    </row>
    <row r="323" spans="1:47" x14ac:dyDescent="0.25">
      <c r="A323" s="4">
        <f>DATE(2023,5,5)</f>
        <v>45051</v>
      </c>
      <c r="B323">
        <v>-0.57833339048148358</v>
      </c>
      <c r="C323">
        <v>38.10994985551654</v>
      </c>
      <c r="D323">
        <v>0.19329151716559911</v>
      </c>
      <c r="E323">
        <f t="shared" si="112"/>
        <v>-0.65739484764317135</v>
      </c>
      <c r="F323">
        <f t="shared" si="113"/>
        <v>-1.457120678187164</v>
      </c>
      <c r="G323">
        <f t="shared" si="114"/>
        <v>-1.0064133929183328</v>
      </c>
      <c r="H323" s="2" t="str">
        <f t="shared" si="115"/>
        <v>Lower</v>
      </c>
      <c r="I323" s="2" t="str">
        <f t="shared" si="116"/>
        <v>Lower</v>
      </c>
      <c r="J323" s="2" t="str">
        <f t="shared" si="117"/>
        <v>Higher</v>
      </c>
      <c r="K323" s="2" t="str">
        <f t="shared" si="118"/>
        <v>Higher</v>
      </c>
      <c r="L323" s="2" t="str">
        <f t="shared" si="119"/>
        <v>Lower</v>
      </c>
      <c r="M323" s="2" t="str">
        <f t="shared" si="120"/>
        <v>Lower</v>
      </c>
      <c r="N323" s="2" t="str">
        <f t="shared" si="121"/>
        <v>Lower</v>
      </c>
      <c r="O323" s="2" t="str">
        <f t="shared" si="122"/>
        <v>Lower</v>
      </c>
      <c r="P323" s="2" t="str">
        <f t="shared" si="123"/>
        <v>Higher</v>
      </c>
      <c r="R323" s="4">
        <f>DATE(2023,5,5)</f>
        <v>45051</v>
      </c>
      <c r="S323">
        <v>0.49791781203202118</v>
      </c>
      <c r="T323">
        <v>0.71512920767626986</v>
      </c>
      <c r="U323">
        <v>0.59882547485515747</v>
      </c>
      <c r="V323">
        <v>-0.45601929246852146</v>
      </c>
      <c r="X323" s="4">
        <f>DATE(2023,5,5)</f>
        <v>45051</v>
      </c>
      <c r="Y323">
        <v>17.466291887993595</v>
      </c>
      <c r="Z323">
        <v>22.865917481982372</v>
      </c>
      <c r="AA323">
        <v>85.28</v>
      </c>
      <c r="AB323">
        <v>36.46575</v>
      </c>
      <c r="AC323">
        <f t="shared" si="124"/>
        <v>-2.275163708485264E-2</v>
      </c>
      <c r="AD323">
        <f t="shared" si="125"/>
        <v>-6.1892131603788605E-2</v>
      </c>
      <c r="AE323">
        <f t="shared" si="126"/>
        <v>-3.9140494518935962E-2</v>
      </c>
      <c r="AF323">
        <f t="shared" si="127"/>
        <v>-0.22039373774353468</v>
      </c>
      <c r="AH323" t="str">
        <f t="shared" si="128"/>
        <v/>
      </c>
      <c r="AI323" t="str">
        <f t="shared" si="129"/>
        <v/>
      </c>
      <c r="AJ323" t="str">
        <f t="shared" si="130"/>
        <v/>
      </c>
      <c r="AK323" t="str">
        <f t="shared" si="131"/>
        <v/>
      </c>
      <c r="AM323">
        <f t="shared" si="132"/>
        <v>-8.1565937214057943E-2</v>
      </c>
      <c r="AN323">
        <f t="shared" si="133"/>
        <v>-0.38839336938193914</v>
      </c>
      <c r="AO323">
        <f t="shared" si="134"/>
        <v>-0.30682743216788122</v>
      </c>
      <c r="AP323">
        <f t="shared" si="135"/>
        <v>-0.54320321473597322</v>
      </c>
      <c r="AR323">
        <f t="shared" si="136"/>
        <v>8.2395575122538714E-2</v>
      </c>
      <c r="AS323">
        <f t="shared" si="137"/>
        <v>-1.6554548389227697</v>
      </c>
      <c r="AT323">
        <f t="shared" si="138"/>
        <v>-1.7378504140453084</v>
      </c>
      <c r="AU323">
        <f t="shared" si="139"/>
        <v>-2.9704003469127129</v>
      </c>
    </row>
    <row r="324" spans="1:47" x14ac:dyDescent="0.25">
      <c r="A324" s="4">
        <f>DATE(2023,5,4)</f>
        <v>45050</v>
      </c>
      <c r="B324">
        <v>-0.64758312067765589</v>
      </c>
      <c r="C324">
        <v>37.226274071097215</v>
      </c>
      <c r="D324">
        <v>0.14531744547306058</v>
      </c>
      <c r="E324">
        <f t="shared" si="112"/>
        <v>-0.7617115561631298</v>
      </c>
      <c r="F324">
        <f t="shared" si="113"/>
        <v>-1.5688775956548324</v>
      </c>
      <c r="G324">
        <f t="shared" si="114"/>
        <v>-1.1653270034781003</v>
      </c>
      <c r="H324" s="2" t="str">
        <f t="shared" si="115"/>
        <v>Lower</v>
      </c>
      <c r="I324" s="2" t="str">
        <f t="shared" si="116"/>
        <v>Lower</v>
      </c>
      <c r="J324" s="2" t="str">
        <f t="shared" si="117"/>
        <v>Higher</v>
      </c>
      <c r="K324" s="2" t="str">
        <f t="shared" si="118"/>
        <v>Higher</v>
      </c>
      <c r="L324" s="2" t="str">
        <f t="shared" si="119"/>
        <v>Lower</v>
      </c>
      <c r="M324" s="2" t="str">
        <f t="shared" si="120"/>
        <v>Lower</v>
      </c>
      <c r="N324" s="2" t="str">
        <f t="shared" si="121"/>
        <v>Higher</v>
      </c>
      <c r="O324" s="2" t="str">
        <f t="shared" si="122"/>
        <v>Lower</v>
      </c>
      <c r="P324" s="2" t="str">
        <f t="shared" si="123"/>
        <v>Higher</v>
      </c>
      <c r="R324" s="4">
        <f>DATE(2023,5,4)</f>
        <v>45050</v>
      </c>
      <c r="S324">
        <v>0.55294164966213322</v>
      </c>
      <c r="T324">
        <v>0.69379897891263276</v>
      </c>
      <c r="U324">
        <v>0.53613999338527796</v>
      </c>
      <c r="V324">
        <v>-0.45623568009870169</v>
      </c>
      <c r="X324" s="4">
        <f>DATE(2023,5,4)</f>
        <v>45050</v>
      </c>
      <c r="Y324">
        <v>15.680817214548895</v>
      </c>
      <c r="Z324">
        <v>24.213823657030321</v>
      </c>
      <c r="AA324">
        <v>84.574999999999989</v>
      </c>
      <c r="AB324">
        <v>35.977249999999998</v>
      </c>
      <c r="AC324">
        <f t="shared" si="124"/>
        <v>-2.0770089925915492E-2</v>
      </c>
      <c r="AD324">
        <f t="shared" si="125"/>
        <v>-8.1674352212117912E-2</v>
      </c>
      <c r="AE324">
        <f t="shared" si="126"/>
        <v>-6.0904262286202424E-2</v>
      </c>
      <c r="AF324">
        <f t="shared" si="127"/>
        <v>-0.34143421280659364</v>
      </c>
      <c r="AH324">
        <f t="shared" si="128"/>
        <v>-0.13480164669840047</v>
      </c>
      <c r="AI324">
        <f t="shared" si="129"/>
        <v>-0.18494823836448257</v>
      </c>
      <c r="AJ324">
        <f t="shared" si="130"/>
        <v>-5.0146591666082097E-2</v>
      </c>
      <c r="AK324">
        <f t="shared" si="131"/>
        <v>-0.15498343182706772</v>
      </c>
      <c r="AM324">
        <f t="shared" si="132"/>
        <v>-7.544359431850553E-2</v>
      </c>
      <c r="AN324">
        <f t="shared" si="133"/>
        <v>-0.38237361455995111</v>
      </c>
      <c r="AO324">
        <f t="shared" si="134"/>
        <v>-0.30693002024144556</v>
      </c>
      <c r="AP324">
        <f t="shared" si="135"/>
        <v>-0.54437168091022747</v>
      </c>
      <c r="AR324">
        <f t="shared" si="136"/>
        <v>7.4189832754260443E-2</v>
      </c>
      <c r="AS324">
        <f t="shared" si="137"/>
        <v>-1.710066209798274</v>
      </c>
      <c r="AT324">
        <f t="shared" si="138"/>
        <v>-1.7842560425525344</v>
      </c>
      <c r="AU324">
        <f t="shared" si="139"/>
        <v>-3.0737478930439335</v>
      </c>
    </row>
    <row r="325" spans="1:47" x14ac:dyDescent="0.25">
      <c r="A325" s="4">
        <f>DATE(2023,5,3)</f>
        <v>45049</v>
      </c>
      <c r="B325">
        <v>-0.65459717765254899</v>
      </c>
      <c r="C325">
        <v>37.796447468300876</v>
      </c>
      <c r="D325">
        <v>0.12102802067004033</v>
      </c>
      <c r="E325">
        <f t="shared" ref="E325:E388" si="140">(B325-AVERAGE(B325:B454))/_xlfn.STDEV.S(B325:B454)</f>
        <v>-0.78399871142736899</v>
      </c>
      <c r="F325">
        <f t="shared" ref="F325:F388" si="141">(C325-AVERAGE(C325:C454))/_xlfn.STDEV.S(C325:C454)</f>
        <v>-1.5433385952308747</v>
      </c>
      <c r="G325">
        <f t="shared" ref="G325:G388" si="142">(D325-AVERAGE(D325:D454))/_xlfn.STDEV.S(D325:D454)</f>
        <v>-1.257012167051895</v>
      </c>
      <c r="H325" s="2" t="str">
        <f t="shared" ref="H325:H388" si="143">IF(AVERAGEA(C325:C345)&gt;AVERAGE(C346:C366),"Higher","Lower")</f>
        <v>Lower</v>
      </c>
      <c r="I325" s="2" t="str">
        <f t="shared" ref="I325:I388" si="144">IF(AVERAGEA(C325:C380)&gt;AVERAGE(C381:C436),"Higher","Lower")</f>
        <v>Lower</v>
      </c>
      <c r="J325" s="2" t="str">
        <f t="shared" ref="J325:J388" si="145">IF(AVERAGEA(C325:C437)&gt;AVERAGE(C438:C550),"Higher","Lower")</f>
        <v>Higher</v>
      </c>
      <c r="K325" s="2" t="str">
        <f t="shared" ref="K325:K388" si="146">IF(AVERAGEA(B325:B345)&gt;AVERAGE(B346:B366),"Higher","Lower")</f>
        <v>Higher</v>
      </c>
      <c r="L325" s="2" t="str">
        <f t="shared" ref="L325:L388" si="147">IF(AVERAGEA(B325:B380)&gt;AVERAGE(B381:B436),"Higher","Lower")</f>
        <v>Lower</v>
      </c>
      <c r="M325" s="2" t="str">
        <f t="shared" ref="M325:M388" si="148">IF(AVERAGEA(B325:B437)&gt;AVERAGE(B438:B550),"Higher","Lower")</f>
        <v>Lower</v>
      </c>
      <c r="N325" s="2" t="str">
        <f t="shared" ref="N325:N388" si="149">IF(AVERAGEA(D325:D345)&gt;AVERAGE(D346:D366),"Higher","Lower")</f>
        <v>Higher</v>
      </c>
      <c r="O325" s="2" t="str">
        <f t="shared" ref="O325:O388" si="150">IF(AVERAGEA(D325:D380)&gt;AVERAGE(D381:D436),"Higher","Lower")</f>
        <v>Lower</v>
      </c>
      <c r="P325" s="2" t="str">
        <f t="shared" ref="P325:P388" si="151">IF(AVERAGEA(D325:D437)&gt;AVERAGE(D438:D550),"Higher","Lower")</f>
        <v>Higher</v>
      </c>
      <c r="R325" s="4">
        <f>DATE(2023,5,3)</f>
        <v>45049</v>
      </c>
      <c r="S325">
        <v>7.6081525094422078E-2</v>
      </c>
      <c r="T325">
        <v>0.6551725030491683</v>
      </c>
      <c r="U325">
        <v>0.4607229837222549</v>
      </c>
      <c r="V325">
        <v>-0.45619254239710577</v>
      </c>
      <c r="X325" s="4">
        <f>DATE(2023,5,3)</f>
        <v>45049</v>
      </c>
      <c r="Y325">
        <v>16.600925285919448</v>
      </c>
      <c r="Z325">
        <v>25.826197731448396</v>
      </c>
      <c r="AA325">
        <v>85.85</v>
      </c>
      <c r="AB325">
        <v>36.864750000000001</v>
      </c>
      <c r="AC325">
        <f t="shared" ref="AC325:AC388" si="152">IFERROR(LN(AA325/AA330),"")</f>
        <v>-8.7357861535162679E-5</v>
      </c>
      <c r="AD325">
        <f t="shared" ref="AD325:AD388" si="153">IFERROR(LN(AB325/AB330),"")</f>
        <v>-4.4726230091566566E-2</v>
      </c>
      <c r="AE325">
        <f t="shared" ref="AE325:AE388" si="154">IFERROR(AD325-AC325,"")</f>
        <v>-4.46388722300314E-2</v>
      </c>
      <c r="AF325">
        <f t="shared" ref="AF325:AF388" si="155">IFERROR((AE325-AVERAGEA(AE325:AE847))/_xlfn.STDEV.S(AE325:AE842),"")</f>
        <v>-0.25380705549402988</v>
      </c>
      <c r="AH325">
        <f t="shared" ref="AH325:AH388" si="156">IFERROR(LN(AA325/AA345),"")</f>
        <v>-0.11688960618758899</v>
      </c>
      <c r="AI325">
        <f t="shared" ref="AI325:AI388" si="157">IFERROR(LN(AB325/AB345),"")</f>
        <v>-0.20356469000043181</v>
      </c>
      <c r="AJ325">
        <f t="shared" ref="AJ325:AJ388" si="158">IFERROR(AI325-AH325,"")</f>
        <v>-8.6675083812842821E-2</v>
      </c>
      <c r="AK325">
        <f t="shared" ref="AK325:AK388" si="159">IFERROR((AJ325-AVERAGEA(AJ325:AJ847))/_xlfn.STDEV.S(AJ325:AJ842),"")</f>
        <v>-0.26483213739256406</v>
      </c>
      <c r="AM325">
        <f t="shared" ref="AM325:AM388" si="160">IFERROR(LN(AA325/AA385),"")</f>
        <v>-5.2278539799886288E-2</v>
      </c>
      <c r="AN325">
        <f t="shared" ref="AN325:AN388" si="161">IFERROR(LN(AB325/AB385),"")</f>
        <v>-0.37591507662772355</v>
      </c>
      <c r="AO325">
        <f t="shared" ref="AO325:AO388" si="162">IFERROR(AN325-AM325,"")</f>
        <v>-0.32363653682783727</v>
      </c>
      <c r="AP325">
        <f t="shared" ref="AP325:AP388" si="163">IFERROR((AO325-AVERAGEA(AO325:AO847))/_xlfn.STDEV.S(AO325:AO842),"")</f>
        <v>-0.57307980301282913</v>
      </c>
      <c r="AR325">
        <f t="shared" ref="AR325:AR388" si="164">IFERROR(LN(AA325/AA525),"")</f>
        <v>0.11580116277480118</v>
      </c>
      <c r="AS325">
        <f t="shared" ref="AS325:AS388" si="165">IFERROR(LN(AB325/AB525),"")</f>
        <v>-1.7168511283157781</v>
      </c>
      <c r="AT325">
        <f t="shared" ref="AT325:AT388" si="166">IFERROR(AS325-AR325,"")</f>
        <v>-1.8326522910905794</v>
      </c>
      <c r="AU325">
        <f t="shared" ref="AU325:AU388" si="167">IFERROR((AT325-AVERAGEA(AT325:AT847))/_xlfn.STDEV.S(AT325:AT842),"")</f>
        <v>-3.1838444915699675</v>
      </c>
    </row>
    <row r="326" spans="1:47" x14ac:dyDescent="0.25">
      <c r="A326" s="4">
        <f>DATE(2023,5,2)</f>
        <v>45048</v>
      </c>
      <c r="B326">
        <v>-0.62720836328353924</v>
      </c>
      <c r="C326">
        <v>44.308502234308442</v>
      </c>
      <c r="D326">
        <v>0.2822869064035014</v>
      </c>
      <c r="E326">
        <f t="shared" si="140"/>
        <v>-0.76045501842729157</v>
      </c>
      <c r="F326">
        <f t="shared" si="141"/>
        <v>-0.93102389220167669</v>
      </c>
      <c r="G326">
        <f t="shared" si="142"/>
        <v>-0.78960025186299077</v>
      </c>
      <c r="H326" s="2" t="str">
        <f t="shared" si="143"/>
        <v>Lower</v>
      </c>
      <c r="I326" s="2" t="str">
        <f t="shared" si="144"/>
        <v>Lower</v>
      </c>
      <c r="J326" s="2" t="str">
        <f t="shared" si="145"/>
        <v>Higher</v>
      </c>
      <c r="K326" s="2" t="str">
        <f t="shared" si="146"/>
        <v>Higher</v>
      </c>
      <c r="L326" s="2" t="str">
        <f t="shared" si="147"/>
        <v>Lower</v>
      </c>
      <c r="M326" s="2" t="str">
        <f t="shared" si="148"/>
        <v>Lower</v>
      </c>
      <c r="N326" s="2" t="str">
        <f t="shared" si="149"/>
        <v>Higher</v>
      </c>
      <c r="O326" s="2" t="str">
        <f t="shared" si="150"/>
        <v>Lower</v>
      </c>
      <c r="P326" s="2" t="str">
        <f t="shared" si="151"/>
        <v>Higher</v>
      </c>
      <c r="R326" s="4">
        <f>DATE(2023,5,2)</f>
        <v>45048</v>
      </c>
      <c r="S326">
        <v>-0.84614763541957316</v>
      </c>
      <c r="T326">
        <v>0.63003809235954078</v>
      </c>
      <c r="U326">
        <v>0.4158389580376981</v>
      </c>
      <c r="V326">
        <v>-0.45573568762729172</v>
      </c>
      <c r="X326" s="4">
        <f>DATE(2023,5,2)</f>
        <v>45048</v>
      </c>
      <c r="Y326">
        <v>18.856205066015963</v>
      </c>
      <c r="Z326">
        <v>27.295376676940986</v>
      </c>
      <c r="AA326">
        <v>88.272499999999994</v>
      </c>
      <c r="AB326">
        <v>37.595749999999995</v>
      </c>
      <c r="AC326">
        <f t="shared" si="152"/>
        <v>1.0419726453349109E-2</v>
      </c>
      <c r="AD326">
        <f t="shared" si="153"/>
        <v>-5.7804702375238458E-2</v>
      </c>
      <c r="AE326">
        <f t="shared" si="154"/>
        <v>-6.8224428828587563E-2</v>
      </c>
      <c r="AF326">
        <f t="shared" si="155"/>
        <v>-0.38531538493343437</v>
      </c>
      <c r="AH326">
        <f t="shared" si="156"/>
        <v>-7.859290913776476E-2</v>
      </c>
      <c r="AI326">
        <f t="shared" si="157"/>
        <v>-0.22275646457600953</v>
      </c>
      <c r="AJ326">
        <f t="shared" si="158"/>
        <v>-0.14416355543824477</v>
      </c>
      <c r="AK326">
        <f t="shared" si="159"/>
        <v>-0.43717720692427064</v>
      </c>
      <c r="AM326">
        <f t="shared" si="160"/>
        <v>-2.5225051126500163E-2</v>
      </c>
      <c r="AN326">
        <f t="shared" si="161"/>
        <v>-0.3980543461008953</v>
      </c>
      <c r="AO326">
        <f t="shared" si="162"/>
        <v>-0.37282929497439515</v>
      </c>
      <c r="AP326">
        <f t="shared" si="163"/>
        <v>-0.65771897625828013</v>
      </c>
      <c r="AR326">
        <f t="shared" si="164"/>
        <v>0.14082030620395347</v>
      </c>
      <c r="AS326">
        <f t="shared" si="165"/>
        <v>-1.6710162703826892</v>
      </c>
      <c r="AT326">
        <f t="shared" si="166"/>
        <v>-1.8118365765866427</v>
      </c>
      <c r="AU326">
        <f t="shared" si="167"/>
        <v>-3.1917980279968479</v>
      </c>
    </row>
    <row r="327" spans="1:47" x14ac:dyDescent="0.25">
      <c r="A327" s="4">
        <f>DATE(2023,5,1)</f>
        <v>45047</v>
      </c>
      <c r="B327">
        <v>-0.86320240580970986</v>
      </c>
      <c r="C327">
        <v>36.908169218224558</v>
      </c>
      <c r="D327">
        <v>0.10953520646177783</v>
      </c>
      <c r="E327">
        <f t="shared" si="140"/>
        <v>-1.0801265308859673</v>
      </c>
      <c r="F327">
        <f t="shared" si="141"/>
        <v>-1.6757082789684203</v>
      </c>
      <c r="G327">
        <f t="shared" si="142"/>
        <v>-1.3253469353084701</v>
      </c>
      <c r="H327" s="2" t="str">
        <f t="shared" si="143"/>
        <v>Higher</v>
      </c>
      <c r="I327" s="2" t="str">
        <f t="shared" si="144"/>
        <v>Lower</v>
      </c>
      <c r="J327" s="2" t="str">
        <f t="shared" si="145"/>
        <v>Higher</v>
      </c>
      <c r="K327" s="2" t="str">
        <f t="shared" si="146"/>
        <v>Higher</v>
      </c>
      <c r="L327" s="2" t="str">
        <f t="shared" si="147"/>
        <v>Lower</v>
      </c>
      <c r="M327" s="2" t="str">
        <f t="shared" si="148"/>
        <v>Lower</v>
      </c>
      <c r="N327" s="2" t="str">
        <f t="shared" si="149"/>
        <v>Higher</v>
      </c>
      <c r="O327" s="2" t="str">
        <f t="shared" si="150"/>
        <v>Lower</v>
      </c>
      <c r="P327" s="2" t="str">
        <f t="shared" si="151"/>
        <v>Higher</v>
      </c>
      <c r="R327" s="4">
        <f>DATE(2023,5,1)</f>
        <v>45047</v>
      </c>
      <c r="S327">
        <v>0.29582169618464926</v>
      </c>
      <c r="T327">
        <v>0.59798402761584202</v>
      </c>
      <c r="U327">
        <v>0.38552638054401278</v>
      </c>
      <c r="V327">
        <v>-0.45355886574195309</v>
      </c>
      <c r="X327" s="4">
        <f>DATE(2023,5,1)</f>
        <v>45047</v>
      </c>
      <c r="Y327">
        <v>14.960505878285216</v>
      </c>
      <c r="Z327">
        <v>29.443207970046647</v>
      </c>
      <c r="AA327">
        <v>86.422499999999999</v>
      </c>
      <c r="AB327">
        <v>38.760000000000005</v>
      </c>
      <c r="AC327">
        <f t="shared" si="152"/>
        <v>-2.5053084932960892E-2</v>
      </c>
      <c r="AD327">
        <f t="shared" si="153"/>
        <v>-2.9613907078510419E-2</v>
      </c>
      <c r="AE327">
        <f t="shared" si="154"/>
        <v>-4.5608221455495264E-3</v>
      </c>
      <c r="AF327">
        <f t="shared" si="155"/>
        <v>-3.5447882384947282E-2</v>
      </c>
      <c r="AH327">
        <f t="shared" si="156"/>
        <v>-9.2916842090051105E-2</v>
      </c>
      <c r="AI327">
        <f t="shared" si="157"/>
        <v>-0.27673322660753602</v>
      </c>
      <c r="AJ327">
        <f t="shared" si="158"/>
        <v>-0.18381638451748492</v>
      </c>
      <c r="AK327">
        <f t="shared" si="159"/>
        <v>-0.55677030795172411</v>
      </c>
      <c r="AM327">
        <f t="shared" si="160"/>
        <v>-6.3355403756986881E-2</v>
      </c>
      <c r="AN327">
        <f t="shared" si="161"/>
        <v>-0.40493177017433563</v>
      </c>
      <c r="AO327">
        <f t="shared" si="162"/>
        <v>-0.34157636641734873</v>
      </c>
      <c r="AP327">
        <f t="shared" si="163"/>
        <v>-0.60604569764070237</v>
      </c>
      <c r="AR327">
        <f t="shared" si="164"/>
        <v>0.11983538762204009</v>
      </c>
      <c r="AS327">
        <f t="shared" si="165"/>
        <v>-1.5165890972698419</v>
      </c>
      <c r="AT327">
        <f t="shared" si="166"/>
        <v>-1.6364244848918821</v>
      </c>
      <c r="AU327">
        <f t="shared" si="167"/>
        <v>-2.9652824916967719</v>
      </c>
    </row>
    <row r="328" spans="1:47" x14ac:dyDescent="0.25">
      <c r="A328" s="4">
        <f>DATE(2023,4,28)</f>
        <v>45044</v>
      </c>
      <c r="B328">
        <v>-0.90021151997327664</v>
      </c>
      <c r="C328">
        <v>39.71082345609684</v>
      </c>
      <c r="D328">
        <v>0.16236322000001543</v>
      </c>
      <c r="E328">
        <f t="shared" si="140"/>
        <v>-1.1356233837270147</v>
      </c>
      <c r="F328">
        <f t="shared" si="141"/>
        <v>-1.429455231318026</v>
      </c>
      <c r="G328">
        <f t="shared" si="142"/>
        <v>-1.1866255071175051</v>
      </c>
      <c r="H328" s="2" t="str">
        <f t="shared" si="143"/>
        <v>Higher</v>
      </c>
      <c r="I328" s="2" t="str">
        <f t="shared" si="144"/>
        <v>Lower</v>
      </c>
      <c r="J328" s="2" t="str">
        <f t="shared" si="145"/>
        <v>Higher</v>
      </c>
      <c r="K328" s="2" t="str">
        <f t="shared" si="146"/>
        <v>Higher</v>
      </c>
      <c r="L328" s="2" t="str">
        <f t="shared" si="147"/>
        <v>Lower</v>
      </c>
      <c r="M328" s="2" t="str">
        <f t="shared" si="148"/>
        <v>Lower</v>
      </c>
      <c r="N328" s="2" t="str">
        <f t="shared" si="149"/>
        <v>Higher</v>
      </c>
      <c r="O328" s="2" t="str">
        <f t="shared" si="150"/>
        <v>Lower</v>
      </c>
      <c r="P328" s="2" t="str">
        <f t="shared" si="151"/>
        <v>Higher</v>
      </c>
      <c r="R328" s="4">
        <f>DATE(2023,4,28)</f>
        <v>45044</v>
      </c>
      <c r="S328">
        <v>0.61479839218197985</v>
      </c>
      <c r="T328">
        <v>0.52567872126309745</v>
      </c>
      <c r="U328">
        <v>0.36719052297370036</v>
      </c>
      <c r="V328">
        <v>-0.45254373711363427</v>
      </c>
      <c r="X328" s="4">
        <f>DATE(2023,4,28)</f>
        <v>45044</v>
      </c>
      <c r="Y328">
        <v>16.109099616861229</v>
      </c>
      <c r="Z328">
        <v>29.857263311357592</v>
      </c>
      <c r="AA328">
        <v>87.242500000000007</v>
      </c>
      <c r="AB328">
        <v>38.793999999999997</v>
      </c>
      <c r="AC328">
        <f t="shared" si="152"/>
        <v>-3.425204568959412E-2</v>
      </c>
      <c r="AD328">
        <f t="shared" si="153"/>
        <v>-3.9499266205808341E-2</v>
      </c>
      <c r="AE328">
        <f t="shared" si="154"/>
        <v>-5.247220516214221E-3</v>
      </c>
      <c r="AF328">
        <f t="shared" si="155"/>
        <v>-3.9105126756134256E-2</v>
      </c>
      <c r="AH328">
        <f t="shared" si="156"/>
        <v>-5.165572404542608E-2</v>
      </c>
      <c r="AI328">
        <f t="shared" si="157"/>
        <v>-0.19444786052870974</v>
      </c>
      <c r="AJ328">
        <f t="shared" si="158"/>
        <v>-0.14279213648328365</v>
      </c>
      <c r="AK328">
        <f t="shared" si="159"/>
        <v>-0.4353693476404859</v>
      </c>
      <c r="AM328">
        <f t="shared" si="160"/>
        <v>-7.4150954867513802E-2</v>
      </c>
      <c r="AN328">
        <f t="shared" si="161"/>
        <v>-0.40590751852190415</v>
      </c>
      <c r="AO328">
        <f t="shared" si="162"/>
        <v>-0.33175656365439032</v>
      </c>
      <c r="AP328">
        <f t="shared" si="163"/>
        <v>-0.59052321503576966</v>
      </c>
      <c r="AR328">
        <f t="shared" si="164"/>
        <v>0.12358831693310342</v>
      </c>
      <c r="AS328">
        <f t="shared" si="165"/>
        <v>-1.416057858282888</v>
      </c>
      <c r="AT328">
        <f t="shared" si="166"/>
        <v>-1.5396461752159913</v>
      </c>
      <c r="AU328">
        <f t="shared" si="167"/>
        <v>-2.8488257589147081</v>
      </c>
    </row>
    <row r="329" spans="1:47" x14ac:dyDescent="0.25">
      <c r="A329" s="4">
        <f>DATE(2023,4,27)</f>
        <v>45043</v>
      </c>
      <c r="B329">
        <v>-1.0199360009342364</v>
      </c>
      <c r="C329">
        <v>35.615348270451619</v>
      </c>
      <c r="D329">
        <v>4.8117173547043736E-2</v>
      </c>
      <c r="E329">
        <f t="shared" si="140"/>
        <v>-1.2943442513883539</v>
      </c>
      <c r="F329">
        <f t="shared" si="141"/>
        <v>-1.8580689653555442</v>
      </c>
      <c r="G329">
        <f t="shared" si="142"/>
        <v>-1.5474690055470928</v>
      </c>
      <c r="H329" s="2" t="str">
        <f t="shared" si="143"/>
        <v>Higher</v>
      </c>
      <c r="I329" s="2" t="str">
        <f t="shared" si="144"/>
        <v>Lower</v>
      </c>
      <c r="J329" s="2" t="str">
        <f t="shared" si="145"/>
        <v>Higher</v>
      </c>
      <c r="K329" s="2" t="str">
        <f t="shared" si="146"/>
        <v>Higher</v>
      </c>
      <c r="L329" s="2" t="str">
        <f t="shared" si="147"/>
        <v>Lower</v>
      </c>
      <c r="M329" s="2" t="str">
        <f t="shared" si="148"/>
        <v>Lower</v>
      </c>
      <c r="N329" s="2" t="str">
        <f t="shared" si="149"/>
        <v>Higher</v>
      </c>
      <c r="O329" s="2" t="str">
        <f t="shared" si="150"/>
        <v>Lower</v>
      </c>
      <c r="P329" s="2" t="str">
        <f t="shared" si="151"/>
        <v>Higher</v>
      </c>
      <c r="R329" s="4">
        <f>DATE(2023,4,27)</f>
        <v>45043</v>
      </c>
      <c r="S329">
        <v>0.89610421650818717</v>
      </c>
      <c r="T329">
        <v>0.494391149849981</v>
      </c>
      <c r="U329">
        <v>0.33265219878467944</v>
      </c>
      <c r="V329">
        <v>-0.45023752258419653</v>
      </c>
      <c r="X329" s="4">
        <f>DATE(2023,4,27)</f>
        <v>45043</v>
      </c>
      <c r="Y329">
        <v>16.318559881594776</v>
      </c>
      <c r="Z329">
        <v>28.377204451937548</v>
      </c>
      <c r="AA329">
        <v>86.35</v>
      </c>
      <c r="AB329">
        <v>39.039000000000001</v>
      </c>
      <c r="AC329">
        <f t="shared" si="152"/>
        <v>-6.8015748822806643E-2</v>
      </c>
      <c r="AD329">
        <f t="shared" si="153"/>
        <v>-4.0130139167293827E-2</v>
      </c>
      <c r="AE329">
        <f t="shared" si="154"/>
        <v>2.7885609655512816E-2</v>
      </c>
      <c r="AF329">
        <f t="shared" si="155"/>
        <v>0.14397055451602689</v>
      </c>
      <c r="AH329">
        <f t="shared" si="156"/>
        <v>-5.0333076722383518E-2</v>
      </c>
      <c r="AI329">
        <f t="shared" si="157"/>
        <v>-0.11070240460851395</v>
      </c>
      <c r="AJ329">
        <f t="shared" si="158"/>
        <v>-6.0369327886130433E-2</v>
      </c>
      <c r="AK329">
        <f t="shared" si="159"/>
        <v>-0.18976286168367623</v>
      </c>
      <c r="AM329">
        <f t="shared" si="160"/>
        <v>-8.1982831453223715E-2</v>
      </c>
      <c r="AN329">
        <f t="shared" si="161"/>
        <v>-0.37796366702957418</v>
      </c>
      <c r="AO329">
        <f t="shared" si="162"/>
        <v>-0.29598083557635047</v>
      </c>
      <c r="AP329">
        <f t="shared" si="163"/>
        <v>-0.53047839214727632</v>
      </c>
      <c r="AR329">
        <f t="shared" si="164"/>
        <v>9.6361687859213285E-2</v>
      </c>
      <c r="AS329">
        <f t="shared" si="165"/>
        <v>-1.3827274652815613</v>
      </c>
      <c r="AT329">
        <f t="shared" si="166"/>
        <v>-1.4790891531407746</v>
      </c>
      <c r="AU329">
        <f t="shared" si="167"/>
        <v>-2.7833903622687766</v>
      </c>
    </row>
    <row r="330" spans="1:47" x14ac:dyDescent="0.25">
      <c r="A330" s="4">
        <f>DATE(2023,4,26)</f>
        <v>45042</v>
      </c>
      <c r="B330">
        <v>-0.98794471654014393</v>
      </c>
      <c r="C330">
        <v>34.298121908417151</v>
      </c>
      <c r="D330">
        <v>-2.6059660590311399E-2</v>
      </c>
      <c r="E330">
        <f t="shared" si="140"/>
        <v>-1.2669975094594899</v>
      </c>
      <c r="F330">
        <f t="shared" si="141"/>
        <v>-2.027422762375402</v>
      </c>
      <c r="G330">
        <f t="shared" si="142"/>
        <v>-1.7896335535819192</v>
      </c>
      <c r="H330" s="2" t="str">
        <f t="shared" si="143"/>
        <v>Higher</v>
      </c>
      <c r="I330" s="2" t="str">
        <f t="shared" si="144"/>
        <v>Lower</v>
      </c>
      <c r="J330" s="2" t="str">
        <f t="shared" si="145"/>
        <v>Higher</v>
      </c>
      <c r="K330" s="2" t="str">
        <f t="shared" si="146"/>
        <v>Higher</v>
      </c>
      <c r="L330" s="2" t="str">
        <f t="shared" si="147"/>
        <v>Lower</v>
      </c>
      <c r="M330" s="2" t="str">
        <f t="shared" si="148"/>
        <v>Lower</v>
      </c>
      <c r="N330" s="2" t="str">
        <f t="shared" si="149"/>
        <v>Higher</v>
      </c>
      <c r="O330" s="2" t="str">
        <f t="shared" si="150"/>
        <v>Lower</v>
      </c>
      <c r="P330" s="2" t="str">
        <f t="shared" si="151"/>
        <v>Higher</v>
      </c>
      <c r="R330" s="4">
        <f>DATE(2023,4,26)</f>
        <v>45042</v>
      </c>
      <c r="S330">
        <v>0.89061069476919785</v>
      </c>
      <c r="T330">
        <v>0.46300343653807458</v>
      </c>
      <c r="U330">
        <v>0.27240461193358617</v>
      </c>
      <c r="V330">
        <v>-0.4494500253825402</v>
      </c>
      <c r="X330" s="4">
        <f>DATE(2023,4,26)</f>
        <v>45042</v>
      </c>
      <c r="Y330">
        <v>15.043282107446096</v>
      </c>
      <c r="Z330">
        <v>26.809674638927405</v>
      </c>
      <c r="AA330">
        <v>85.857500000000002</v>
      </c>
      <c r="AB330">
        <v>38.551000000000002</v>
      </c>
      <c r="AC330">
        <f t="shared" si="152"/>
        <v>-0.10000303413786696</v>
      </c>
      <c r="AD330">
        <f t="shared" si="153"/>
        <v>-5.4405744846624873E-2</v>
      </c>
      <c r="AE330">
        <f t="shared" si="154"/>
        <v>4.5597289291242085E-2</v>
      </c>
      <c r="AF330">
        <f t="shared" si="155"/>
        <v>0.24283431162846725</v>
      </c>
      <c r="AH330">
        <f t="shared" si="156"/>
        <v>-4.9894652007970608E-2</v>
      </c>
      <c r="AI330">
        <f t="shared" si="157"/>
        <v>-0.10462615357914508</v>
      </c>
      <c r="AJ330">
        <f t="shared" si="158"/>
        <v>-5.4731501571174471E-2</v>
      </c>
      <c r="AK330">
        <f t="shared" si="159"/>
        <v>-0.17303931350170082</v>
      </c>
      <c r="AM330">
        <f t="shared" si="160"/>
        <v>-0.10302835706354146</v>
      </c>
      <c r="AN330">
        <f t="shared" si="161"/>
        <v>-0.4254748921800437</v>
      </c>
      <c r="AO330">
        <f t="shared" si="162"/>
        <v>-0.32244653511650223</v>
      </c>
      <c r="AP330">
        <f t="shared" si="163"/>
        <v>-0.57568605440454934</v>
      </c>
      <c r="AR330">
        <f t="shared" si="164"/>
        <v>7.0599812484181693E-2</v>
      </c>
      <c r="AS330">
        <f t="shared" si="165"/>
        <v>-1.3916882081523327</v>
      </c>
      <c r="AT330">
        <f t="shared" si="166"/>
        <v>-1.4622880206365145</v>
      </c>
      <c r="AU330">
        <f t="shared" si="167"/>
        <v>-2.7831081960448505</v>
      </c>
    </row>
    <row r="331" spans="1:47" x14ac:dyDescent="0.25">
      <c r="A331" s="4">
        <f>DATE(2023,4,25)</f>
        <v>45041</v>
      </c>
      <c r="B331">
        <v>-0.80988200838756097</v>
      </c>
      <c r="C331">
        <v>36.586569776514168</v>
      </c>
      <c r="D331">
        <v>4.5318042128767798E-2</v>
      </c>
      <c r="E331">
        <f t="shared" si="140"/>
        <v>-1.0631961516723607</v>
      </c>
      <c r="F331">
        <f t="shared" si="141"/>
        <v>-1.8472659413999926</v>
      </c>
      <c r="G331">
        <f t="shared" si="142"/>
        <v>-1.6069329552764962</v>
      </c>
      <c r="H331" s="2" t="str">
        <f t="shared" si="143"/>
        <v>Higher</v>
      </c>
      <c r="I331" s="2" t="str">
        <f t="shared" si="144"/>
        <v>Lower</v>
      </c>
      <c r="J331" s="2" t="str">
        <f t="shared" si="145"/>
        <v>Higher</v>
      </c>
      <c r="K331" s="2" t="str">
        <f t="shared" si="146"/>
        <v>Higher</v>
      </c>
      <c r="L331" s="2" t="str">
        <f t="shared" si="147"/>
        <v>Lower</v>
      </c>
      <c r="M331" s="2" t="str">
        <f t="shared" si="148"/>
        <v>Lower</v>
      </c>
      <c r="N331" s="2" t="str">
        <f t="shared" si="149"/>
        <v>Higher</v>
      </c>
      <c r="O331" s="2" t="str">
        <f t="shared" si="150"/>
        <v>Lower</v>
      </c>
      <c r="P331" s="2" t="str">
        <f t="shared" si="151"/>
        <v>Higher</v>
      </c>
      <c r="R331" s="4">
        <f>DATE(2023,4,25)</f>
        <v>45041</v>
      </c>
      <c r="S331">
        <v>0.79897827250272968</v>
      </c>
      <c r="T331">
        <v>0.47856872613681178</v>
      </c>
      <c r="U331">
        <v>0.20061605888026124</v>
      </c>
      <c r="V331">
        <v>-0.4492635103895759</v>
      </c>
      <c r="X331" s="4">
        <f>DATE(2023,4,25)</f>
        <v>45041</v>
      </c>
      <c r="Y331">
        <v>15.744283260602918</v>
      </c>
      <c r="Z331">
        <v>28.321551313061445</v>
      </c>
      <c r="AA331">
        <v>87.357499999999987</v>
      </c>
      <c r="AB331">
        <v>39.832999999999998</v>
      </c>
      <c r="AC331">
        <f t="shared" si="152"/>
        <v>-8.0044909058427802E-2</v>
      </c>
      <c r="AD331">
        <f t="shared" si="153"/>
        <v>-6.4449473540787519E-2</v>
      </c>
      <c r="AE331">
        <f t="shared" si="154"/>
        <v>1.5595435517640283E-2</v>
      </c>
      <c r="AF331">
        <f t="shared" si="155"/>
        <v>7.884063580290683E-2</v>
      </c>
      <c r="AH331">
        <f t="shared" si="156"/>
        <v>-2.1292460457581694E-2</v>
      </c>
      <c r="AI331">
        <f t="shared" si="157"/>
        <v>-7.1176278467895107E-2</v>
      </c>
      <c r="AJ331">
        <f t="shared" si="158"/>
        <v>-4.9883818010313413E-2</v>
      </c>
      <c r="AK331">
        <f t="shared" si="159"/>
        <v>-0.15841307407583166</v>
      </c>
      <c r="AM331">
        <f t="shared" si="160"/>
        <v>-5.3490175472536268E-2</v>
      </c>
      <c r="AN331">
        <f t="shared" si="161"/>
        <v>-0.37685013600310913</v>
      </c>
      <c r="AO331">
        <f t="shared" si="162"/>
        <v>-0.32335996053057287</v>
      </c>
      <c r="AP331">
        <f t="shared" si="163"/>
        <v>-0.57739916749075049</v>
      </c>
      <c r="AR331">
        <f t="shared" si="164"/>
        <v>4.1277602018704916E-2</v>
      </c>
      <c r="AS331">
        <f t="shared" si="165"/>
        <v>-1.355220025980685</v>
      </c>
      <c r="AT331">
        <f t="shared" si="166"/>
        <v>-1.3964976279993899</v>
      </c>
      <c r="AU331">
        <f t="shared" si="167"/>
        <v>-2.705553808923824</v>
      </c>
    </row>
    <row r="332" spans="1:47" x14ac:dyDescent="0.25">
      <c r="A332" s="4">
        <f>DATE(2023,4,24)</f>
        <v>45040</v>
      </c>
      <c r="B332">
        <v>-0.59645779489503148</v>
      </c>
      <c r="C332">
        <v>39.098768414223848</v>
      </c>
      <c r="D332">
        <v>0.14646323033195582</v>
      </c>
      <c r="E332">
        <f t="shared" si="140"/>
        <v>-0.81513786889578066</v>
      </c>
      <c r="F332">
        <f t="shared" si="141"/>
        <v>-1.6305049820814324</v>
      </c>
      <c r="G332">
        <f t="shared" si="142"/>
        <v>-1.3183859111776433</v>
      </c>
      <c r="H332" s="2" t="str">
        <f t="shared" si="143"/>
        <v>Higher</v>
      </c>
      <c r="I332" s="2" t="str">
        <f t="shared" si="144"/>
        <v>Lower</v>
      </c>
      <c r="J332" s="2" t="str">
        <f t="shared" si="145"/>
        <v>Higher</v>
      </c>
      <c r="K332" s="2" t="str">
        <f t="shared" si="146"/>
        <v>Higher</v>
      </c>
      <c r="L332" s="2" t="str">
        <f t="shared" si="147"/>
        <v>Lower</v>
      </c>
      <c r="M332" s="2" t="str">
        <f t="shared" si="148"/>
        <v>Lower</v>
      </c>
      <c r="N332" s="2" t="str">
        <f t="shared" si="149"/>
        <v>Higher</v>
      </c>
      <c r="O332" s="2" t="str">
        <f t="shared" si="150"/>
        <v>Lower</v>
      </c>
      <c r="P332" s="2" t="str">
        <f t="shared" si="151"/>
        <v>Higher</v>
      </c>
      <c r="R332" s="4">
        <f>DATE(2023,4,24)</f>
        <v>45040</v>
      </c>
      <c r="S332">
        <v>0.72348223512682375</v>
      </c>
      <c r="T332">
        <v>0.55960476027911499</v>
      </c>
      <c r="U332">
        <v>0.1411707283391174</v>
      </c>
      <c r="V332">
        <v>-0.44710113851429889</v>
      </c>
      <c r="X332" s="4">
        <f>DATE(2023,4,24)</f>
        <v>45040</v>
      </c>
      <c r="Y332">
        <v>16.676517482206918</v>
      </c>
      <c r="Z332">
        <v>28.428292571171966</v>
      </c>
      <c r="AA332">
        <v>88.615000000000009</v>
      </c>
      <c r="AB332">
        <v>39.924999999999997</v>
      </c>
      <c r="AC332">
        <f t="shared" si="152"/>
        <v>-5.0929294276306623E-2</v>
      </c>
      <c r="AD332">
        <f t="shared" si="153"/>
        <v>-3.5607672130440297E-2</v>
      </c>
      <c r="AE332">
        <f t="shared" si="154"/>
        <v>1.5321622145866326E-2</v>
      </c>
      <c r="AF332">
        <f t="shared" si="155"/>
        <v>7.7524074024993866E-2</v>
      </c>
      <c r="AH332">
        <f t="shared" si="156"/>
        <v>1.0550296385847096E-2</v>
      </c>
      <c r="AI332">
        <f t="shared" si="157"/>
        <v>-6.3159988429758673E-2</v>
      </c>
      <c r="AJ332">
        <f t="shared" si="158"/>
        <v>-7.3710284815605764E-2</v>
      </c>
      <c r="AK332">
        <f t="shared" si="159"/>
        <v>-0.22991111181118279</v>
      </c>
      <c r="AM332">
        <f t="shared" si="160"/>
        <v>-7.3083302578218386E-3</v>
      </c>
      <c r="AN332">
        <f t="shared" si="161"/>
        <v>-0.33081173413107534</v>
      </c>
      <c r="AO332">
        <f t="shared" si="162"/>
        <v>-0.32350340387325349</v>
      </c>
      <c r="AP332">
        <f t="shared" si="163"/>
        <v>-0.57791295537529552</v>
      </c>
      <c r="AR332">
        <f t="shared" si="164"/>
        <v>4.4359436886789033E-2</v>
      </c>
      <c r="AS332">
        <f t="shared" si="165"/>
        <v>-1.3708850745892309</v>
      </c>
      <c r="AT332">
        <f t="shared" si="166"/>
        <v>-1.4152445114760199</v>
      </c>
      <c r="AU332">
        <f t="shared" si="167"/>
        <v>-2.7580999201820307</v>
      </c>
    </row>
    <row r="333" spans="1:47" x14ac:dyDescent="0.25">
      <c r="A333" s="4">
        <f>DATE(2023,4,21)</f>
        <v>45037</v>
      </c>
      <c r="B333">
        <v>-0.35250107044869966</v>
      </c>
      <c r="C333">
        <v>41.619867287927583</v>
      </c>
      <c r="D333">
        <v>0.22128289196850509</v>
      </c>
      <c r="E333">
        <f t="shared" si="140"/>
        <v>-0.52709007929305618</v>
      </c>
      <c r="F333">
        <f t="shared" si="141"/>
        <v>-1.4018080623076725</v>
      </c>
      <c r="G333">
        <f t="shared" si="142"/>
        <v>-1.1125045946948804</v>
      </c>
      <c r="H333" s="2" t="str">
        <f t="shared" si="143"/>
        <v>Lower</v>
      </c>
      <c r="I333" s="2" t="str">
        <f t="shared" si="144"/>
        <v>Lower</v>
      </c>
      <c r="J333" s="2" t="str">
        <f t="shared" si="145"/>
        <v>Higher</v>
      </c>
      <c r="K333" s="2" t="str">
        <f t="shared" si="146"/>
        <v>Higher</v>
      </c>
      <c r="L333" s="2" t="str">
        <f t="shared" si="147"/>
        <v>Lower</v>
      </c>
      <c r="M333" s="2" t="str">
        <f t="shared" si="148"/>
        <v>Lower</v>
      </c>
      <c r="N333" s="2" t="str">
        <f t="shared" si="149"/>
        <v>Higher</v>
      </c>
      <c r="O333" s="2" t="str">
        <f t="shared" si="150"/>
        <v>Higher</v>
      </c>
      <c r="P333" s="2" t="str">
        <f t="shared" si="151"/>
        <v>Higher</v>
      </c>
      <c r="R333" s="4">
        <f>DATE(2023,4,21)</f>
        <v>45037</v>
      </c>
      <c r="S333">
        <v>0.67140020742777418</v>
      </c>
      <c r="T333">
        <v>0.51745028029274343</v>
      </c>
      <c r="U333">
        <v>4.1497211243210291E-2</v>
      </c>
      <c r="V333">
        <v>-0.44534515032230088</v>
      </c>
      <c r="X333" s="4">
        <f>DATE(2023,4,21)</f>
        <v>45037</v>
      </c>
      <c r="Y333">
        <v>17.71143441713776</v>
      </c>
      <c r="Z333">
        <v>28.689360107526962</v>
      </c>
      <c r="AA333">
        <v>90.282499999999999</v>
      </c>
      <c r="AB333">
        <v>40.356999999999999</v>
      </c>
      <c r="AC333">
        <f t="shared" si="152"/>
        <v>-3.9898909177919717E-2</v>
      </c>
      <c r="AD333">
        <f t="shared" si="153"/>
        <v>-2.3267115428436833E-2</v>
      </c>
      <c r="AE333">
        <f t="shared" si="154"/>
        <v>1.6631793749482884E-2</v>
      </c>
      <c r="AF333">
        <f t="shared" si="155"/>
        <v>8.4636847568879556E-2</v>
      </c>
      <c r="AH333">
        <f t="shared" si="156"/>
        <v>1.4138748335155209E-2</v>
      </c>
      <c r="AI333">
        <f t="shared" si="157"/>
        <v>-2.2080171668907921E-2</v>
      </c>
      <c r="AJ333">
        <f t="shared" si="158"/>
        <v>-3.6218920004063127E-2</v>
      </c>
      <c r="AK333">
        <f t="shared" si="159"/>
        <v>-0.11849166157086698</v>
      </c>
      <c r="AM333">
        <f t="shared" si="160"/>
        <v>9.207937650195043E-3</v>
      </c>
      <c r="AN333">
        <f t="shared" si="161"/>
        <v>-0.30626742701564635</v>
      </c>
      <c r="AO333">
        <f t="shared" si="162"/>
        <v>-0.31547536466584142</v>
      </c>
      <c r="AP333">
        <f t="shared" si="163"/>
        <v>-0.56469216486649731</v>
      </c>
      <c r="AR333">
        <f t="shared" si="164"/>
        <v>6.0262975369476286E-2</v>
      </c>
      <c r="AS333">
        <f t="shared" si="165"/>
        <v>-1.3746990350172807</v>
      </c>
      <c r="AT333">
        <f t="shared" si="166"/>
        <v>-1.4349620103867571</v>
      </c>
      <c r="AU333">
        <f t="shared" si="167"/>
        <v>-2.8137921374484498</v>
      </c>
    </row>
    <row r="334" spans="1:47" x14ac:dyDescent="0.25">
      <c r="A334" s="4">
        <f>DATE(2023,4,20)</f>
        <v>45036</v>
      </c>
      <c r="B334">
        <v>-7.5273371893657348E-2</v>
      </c>
      <c r="C334">
        <v>46.287500594132013</v>
      </c>
      <c r="D334">
        <v>0.41114203414909956</v>
      </c>
      <c r="E334">
        <f t="shared" si="140"/>
        <v>-0.19353216385886024</v>
      </c>
      <c r="F334">
        <f t="shared" si="141"/>
        <v>-0.92991555290715322</v>
      </c>
      <c r="G334">
        <f t="shared" si="142"/>
        <v>-0.56640963504786312</v>
      </c>
      <c r="H334" s="2" t="str">
        <f t="shared" si="143"/>
        <v>Lower</v>
      </c>
      <c r="I334" s="2" t="str">
        <f t="shared" si="144"/>
        <v>Lower</v>
      </c>
      <c r="J334" s="2" t="str">
        <f t="shared" si="145"/>
        <v>Higher</v>
      </c>
      <c r="K334" s="2" t="str">
        <f t="shared" si="146"/>
        <v>Higher</v>
      </c>
      <c r="L334" s="2" t="str">
        <f t="shared" si="147"/>
        <v>Higher</v>
      </c>
      <c r="M334" s="2" t="str">
        <f t="shared" si="148"/>
        <v>Lower</v>
      </c>
      <c r="N334" s="2" t="str">
        <f t="shared" si="149"/>
        <v>Higher</v>
      </c>
      <c r="O334" s="2" t="str">
        <f t="shared" si="150"/>
        <v>Higher</v>
      </c>
      <c r="P334" s="2" t="str">
        <f t="shared" si="151"/>
        <v>Higher</v>
      </c>
      <c r="R334" s="4">
        <f>DATE(2023,4,20)</f>
        <v>45036</v>
      </c>
      <c r="S334">
        <v>0.60325507653415467</v>
      </c>
      <c r="T334">
        <v>0.4674076007086273</v>
      </c>
      <c r="U334">
        <v>-6.7930536685552878E-2</v>
      </c>
      <c r="V334">
        <v>-0.44303878138106439</v>
      </c>
      <c r="X334" s="4">
        <f>DATE(2023,4,20)</f>
        <v>45036</v>
      </c>
      <c r="Y334">
        <v>19.093265134214732</v>
      </c>
      <c r="Z334">
        <v>29.972678204070043</v>
      </c>
      <c r="AA334">
        <v>92.427499999999995</v>
      </c>
      <c r="AB334">
        <v>40.637500000000003</v>
      </c>
      <c r="AC334">
        <f t="shared" si="152"/>
        <v>-2.3497158342118712E-2</v>
      </c>
      <c r="AD334">
        <f t="shared" si="153"/>
        <v>-3.7349716598144851E-2</v>
      </c>
      <c r="AE334">
        <f t="shared" si="154"/>
        <v>-1.3852558256026139E-2</v>
      </c>
      <c r="AF334">
        <f t="shared" si="155"/>
        <v>-8.3600773051815208E-2</v>
      </c>
      <c r="AH334">
        <f t="shared" si="156"/>
        <v>4.6359763664539123E-3</v>
      </c>
      <c r="AI334">
        <f t="shared" si="157"/>
        <v>-5.8988311746218852E-2</v>
      </c>
      <c r="AJ334">
        <f t="shared" si="158"/>
        <v>-6.3624288112672761E-2</v>
      </c>
      <c r="AK334">
        <f t="shared" si="159"/>
        <v>-0.20102408119480214</v>
      </c>
      <c r="AM334">
        <f t="shared" si="160"/>
        <v>4.8150678115947296E-2</v>
      </c>
      <c r="AN334">
        <f t="shared" si="161"/>
        <v>-0.3073806539496205</v>
      </c>
      <c r="AO334">
        <f t="shared" si="162"/>
        <v>-0.35553133206556781</v>
      </c>
      <c r="AP334">
        <f t="shared" si="163"/>
        <v>-0.63326779347369488</v>
      </c>
      <c r="AR334">
        <f t="shared" si="164"/>
        <v>9.5637516919836754E-2</v>
      </c>
      <c r="AS334">
        <f t="shared" si="165"/>
        <v>-1.4602832419447045</v>
      </c>
      <c r="AT334">
        <f t="shared" si="166"/>
        <v>-1.5559207588645412</v>
      </c>
      <c r="AU334">
        <f t="shared" si="167"/>
        <v>-3.0326368533084977</v>
      </c>
    </row>
    <row r="335" spans="1:47" x14ac:dyDescent="0.25">
      <c r="A335" s="4">
        <f>DATE(2023,4,19)</f>
        <v>45035</v>
      </c>
      <c r="B335">
        <v>0.13791198405389438</v>
      </c>
      <c r="C335">
        <v>52.347274722281782</v>
      </c>
      <c r="D335">
        <v>0.62769742591579125</v>
      </c>
      <c r="E335">
        <f t="shared" si="140"/>
        <v>6.4192454243920172E-2</v>
      </c>
      <c r="F335">
        <f t="shared" si="141"/>
        <v>-0.2955296409718175</v>
      </c>
      <c r="G335">
        <f t="shared" si="142"/>
        <v>7.5642147067540078E-2</v>
      </c>
      <c r="H335" s="2" t="str">
        <f t="shared" si="143"/>
        <v>Lower</v>
      </c>
      <c r="I335" s="2" t="str">
        <f t="shared" si="144"/>
        <v>Lower</v>
      </c>
      <c r="J335" s="2" t="str">
        <f t="shared" si="145"/>
        <v>Higher</v>
      </c>
      <c r="K335" s="2" t="str">
        <f t="shared" si="146"/>
        <v>Higher</v>
      </c>
      <c r="L335" s="2" t="str">
        <f t="shared" si="147"/>
        <v>Higher</v>
      </c>
      <c r="M335" s="2" t="str">
        <f t="shared" si="148"/>
        <v>Lower</v>
      </c>
      <c r="N335" s="2" t="str">
        <f t="shared" si="149"/>
        <v>Higher</v>
      </c>
      <c r="O335" s="2" t="str">
        <f t="shared" si="150"/>
        <v>Higher</v>
      </c>
      <c r="P335" s="2" t="str">
        <f t="shared" si="151"/>
        <v>Higher</v>
      </c>
      <c r="R335" s="4">
        <f>DATE(2023,4,19)</f>
        <v>45035</v>
      </c>
      <c r="S335">
        <v>0.55687871633722663</v>
      </c>
      <c r="T335">
        <v>0.46016209210384101</v>
      </c>
      <c r="U335">
        <v>-0.15994556761448286</v>
      </c>
      <c r="V335">
        <v>-0.43940815121086479</v>
      </c>
      <c r="X335" s="4">
        <f>DATE(2023,4,19)</f>
        <v>45035</v>
      </c>
      <c r="Y335">
        <v>20.788134736999115</v>
      </c>
      <c r="Z335">
        <v>30.740828851713353</v>
      </c>
      <c r="AA335">
        <v>94.887500000000003</v>
      </c>
      <c r="AB335">
        <v>40.706499999999998</v>
      </c>
      <c r="AC335">
        <f t="shared" si="152"/>
        <v>-1.4672491909305899E-2</v>
      </c>
      <c r="AD335">
        <f t="shared" si="153"/>
        <v>-5.7946947671799198E-2</v>
      </c>
      <c r="AE335">
        <f t="shared" si="154"/>
        <v>-4.3274455762493301E-2</v>
      </c>
      <c r="AF335">
        <f t="shared" si="155"/>
        <v>-0.24632751696198385</v>
      </c>
      <c r="AH335">
        <f t="shared" si="156"/>
        <v>5.6806665904777787E-2</v>
      </c>
      <c r="AI335">
        <f t="shared" si="157"/>
        <v>8.5176185922623809E-3</v>
      </c>
      <c r="AJ335">
        <f t="shared" si="158"/>
        <v>-4.8289047312515404E-2</v>
      </c>
      <c r="AK335">
        <f t="shared" si="159"/>
        <v>-0.15625103911356622</v>
      </c>
      <c r="AM335">
        <f t="shared" si="160"/>
        <v>0.12628967194945234</v>
      </c>
      <c r="AN335">
        <f t="shared" si="161"/>
        <v>-0.33301648989849558</v>
      </c>
      <c r="AO335">
        <f t="shared" si="162"/>
        <v>-0.45930616184794792</v>
      </c>
      <c r="AP335">
        <f t="shared" si="163"/>
        <v>-0.81025724715114067</v>
      </c>
      <c r="AR335">
        <f t="shared" si="164"/>
        <v>0.11638433046459362</v>
      </c>
      <c r="AS335">
        <f t="shared" si="165"/>
        <v>-1.4893706933635567</v>
      </c>
      <c r="AT335">
        <f t="shared" si="166"/>
        <v>-1.6057550238281504</v>
      </c>
      <c r="AU335">
        <f t="shared" si="167"/>
        <v>-3.1453112484101458</v>
      </c>
    </row>
    <row r="336" spans="1:47" x14ac:dyDescent="0.25">
      <c r="A336" s="4">
        <f>DATE(2023,4,18)</f>
        <v>45034</v>
      </c>
      <c r="B336">
        <v>0.20536123427545733</v>
      </c>
      <c r="C336">
        <v>54.641422727275774</v>
      </c>
      <c r="D336">
        <v>0.71387222958943986</v>
      </c>
      <c r="E336">
        <f t="shared" si="140"/>
        <v>0.14327269387422453</v>
      </c>
      <c r="F336">
        <f t="shared" si="141"/>
        <v>-5.0298097522556436E-2</v>
      </c>
      <c r="G336">
        <f t="shared" si="142"/>
        <v>0.33478723316520714</v>
      </c>
      <c r="H336" s="2" t="str">
        <f t="shared" si="143"/>
        <v>Lower</v>
      </c>
      <c r="I336" s="2" t="str">
        <f t="shared" si="144"/>
        <v>Higher</v>
      </c>
      <c r="J336" s="2" t="str">
        <f t="shared" si="145"/>
        <v>Higher</v>
      </c>
      <c r="K336" s="2" t="str">
        <f t="shared" si="146"/>
        <v>Higher</v>
      </c>
      <c r="L336" s="2" t="str">
        <f t="shared" si="147"/>
        <v>Higher</v>
      </c>
      <c r="M336" s="2" t="str">
        <f t="shared" si="148"/>
        <v>Lower</v>
      </c>
      <c r="N336" s="2" t="str">
        <f t="shared" si="149"/>
        <v>Higher</v>
      </c>
      <c r="O336" s="2" t="str">
        <f t="shared" si="150"/>
        <v>Higher</v>
      </c>
      <c r="P336" s="2" t="str">
        <f t="shared" si="151"/>
        <v>Higher</v>
      </c>
      <c r="R336" s="4">
        <f>DATE(2023,4,18)</f>
        <v>45034</v>
      </c>
      <c r="S336">
        <v>0.95866593145277301</v>
      </c>
      <c r="T336">
        <v>0.48402046285035588</v>
      </c>
      <c r="U336">
        <v>-0.22651773154696064</v>
      </c>
      <c r="V336">
        <v>-0.43352489599713712</v>
      </c>
      <c r="X336" s="4">
        <f>DATE(2023,4,18)</f>
        <v>45034</v>
      </c>
      <c r="Y336">
        <v>19.83341985802647</v>
      </c>
      <c r="Z336">
        <v>34.011104090336801</v>
      </c>
      <c r="AA336">
        <v>94.637500000000003</v>
      </c>
      <c r="AB336">
        <v>42.484750000000005</v>
      </c>
      <c r="AC336">
        <f t="shared" si="152"/>
        <v>-3.0054951963295183E-2</v>
      </c>
      <c r="AD336">
        <f t="shared" si="153"/>
        <v>-2.4615250419329077E-2</v>
      </c>
      <c r="AE336">
        <f t="shared" si="154"/>
        <v>5.4397015439661064E-3</v>
      </c>
      <c r="AF336">
        <f t="shared" si="155"/>
        <v>2.0691004269044237E-2</v>
      </c>
      <c r="AH336">
        <f t="shared" si="156"/>
        <v>5.4112717542891355E-2</v>
      </c>
      <c r="AI336">
        <f t="shared" si="157"/>
        <v>2.2337923487537336E-2</v>
      </c>
      <c r="AJ336">
        <f t="shared" si="158"/>
        <v>-3.1774794055354022E-2</v>
      </c>
      <c r="AK336">
        <f t="shared" si="159"/>
        <v>-0.10782116109401246</v>
      </c>
      <c r="AM336">
        <f t="shared" si="160"/>
        <v>0.13813468432801454</v>
      </c>
      <c r="AN336">
        <f t="shared" si="161"/>
        <v>-0.34855623365130711</v>
      </c>
      <c r="AO336">
        <f t="shared" si="162"/>
        <v>-0.48669091797932162</v>
      </c>
      <c r="AP336">
        <f t="shared" si="163"/>
        <v>-0.85764022279502017</v>
      </c>
      <c r="AR336">
        <f t="shared" si="164"/>
        <v>0.10537519164863934</v>
      </c>
      <c r="AS336">
        <f t="shared" si="165"/>
        <v>-1.4018837329663207</v>
      </c>
      <c r="AT336">
        <f t="shared" si="166"/>
        <v>-1.5072589246149601</v>
      </c>
      <c r="AU336">
        <f t="shared" si="167"/>
        <v>-3.0215900934526769</v>
      </c>
    </row>
    <row r="337" spans="1:47" x14ac:dyDescent="0.25">
      <c r="A337" s="4">
        <f>DATE(2023,4,17)</f>
        <v>45033</v>
      </c>
      <c r="B337">
        <v>0.20111930988372639</v>
      </c>
      <c r="C337">
        <v>49.182647849396105</v>
      </c>
      <c r="D337">
        <v>0.56539370456166316</v>
      </c>
      <c r="E337">
        <f t="shared" si="140"/>
        <v>0.13411416429021067</v>
      </c>
      <c r="F337">
        <f t="shared" si="141"/>
        <v>-0.60259951284356472</v>
      </c>
      <c r="G337">
        <f t="shared" si="142"/>
        <v>-0.10077037980208353</v>
      </c>
      <c r="H337" s="2" t="str">
        <f t="shared" si="143"/>
        <v>Lower</v>
      </c>
      <c r="I337" s="2" t="str">
        <f t="shared" si="144"/>
        <v>Higher</v>
      </c>
      <c r="J337" s="2" t="str">
        <f t="shared" si="145"/>
        <v>Higher</v>
      </c>
      <c r="K337" s="2" t="str">
        <f t="shared" si="146"/>
        <v>Higher</v>
      </c>
      <c r="L337" s="2" t="str">
        <f t="shared" si="147"/>
        <v>Higher</v>
      </c>
      <c r="M337" s="2" t="str">
        <f t="shared" si="148"/>
        <v>Lower</v>
      </c>
      <c r="N337" s="2" t="str">
        <f t="shared" si="149"/>
        <v>Lower</v>
      </c>
      <c r="O337" s="2" t="str">
        <f t="shared" si="150"/>
        <v>Higher</v>
      </c>
      <c r="P337" s="2" t="str">
        <f t="shared" si="151"/>
        <v>Higher</v>
      </c>
      <c r="R337" s="4">
        <f>DATE(2023,4,17)</f>
        <v>45033</v>
      </c>
      <c r="S337">
        <v>0.98024336897959574</v>
      </c>
      <c r="T337">
        <v>0.49190205072045823</v>
      </c>
      <c r="U337">
        <v>-0.26594983002377615</v>
      </c>
      <c r="V337">
        <v>-0.4281685258950344</v>
      </c>
      <c r="X337" s="4">
        <f>DATE(2023,4,17)</f>
        <v>45033</v>
      </c>
      <c r="Y337">
        <v>19.344086506603009</v>
      </c>
      <c r="Z337">
        <v>33.391689459356371</v>
      </c>
      <c r="AA337">
        <v>93.245000000000005</v>
      </c>
      <c r="AB337">
        <v>41.372250000000001</v>
      </c>
      <c r="AC337" t="str">
        <f t="shared" si="152"/>
        <v/>
      </c>
      <c r="AD337">
        <f t="shared" si="153"/>
        <v>-4.1492509120007494E-2</v>
      </c>
      <c r="AE337" t="str">
        <f t="shared" si="154"/>
        <v/>
      </c>
      <c r="AF337" t="str">
        <f t="shared" si="155"/>
        <v/>
      </c>
      <c r="AH337">
        <f t="shared" si="156"/>
        <v>6.4706551412016852E-2</v>
      </c>
      <c r="AI337">
        <f t="shared" si="157"/>
        <v>4.501306695471962E-2</v>
      </c>
      <c r="AJ337">
        <f t="shared" si="158"/>
        <v>-1.9693484457297232E-2</v>
      </c>
      <c r="AK337">
        <f t="shared" si="159"/>
        <v>-7.2411752195787354E-2</v>
      </c>
      <c r="AM337">
        <f t="shared" si="160"/>
        <v>9.243213328165259E-2</v>
      </c>
      <c r="AN337">
        <f t="shared" si="161"/>
        <v>-0.46171581023268693</v>
      </c>
      <c r="AO337">
        <f t="shared" si="162"/>
        <v>-0.55414794351433949</v>
      </c>
      <c r="AP337">
        <f t="shared" si="163"/>
        <v>-0.97364471758295201</v>
      </c>
      <c r="AR337">
        <f t="shared" si="164"/>
        <v>0.10429459840665399</v>
      </c>
      <c r="AS337">
        <f t="shared" si="165"/>
        <v>-1.380421777130707</v>
      </c>
      <c r="AT337">
        <f t="shared" si="166"/>
        <v>-1.4847163755373609</v>
      </c>
      <c r="AU337">
        <f t="shared" si="167"/>
        <v>-3.0169772360120102</v>
      </c>
    </row>
    <row r="338" spans="1:47" x14ac:dyDescent="0.25">
      <c r="A338" s="4">
        <f>DATE(2023,4,14)</f>
        <v>45030</v>
      </c>
      <c r="B338">
        <v>0.40229068398613016</v>
      </c>
      <c r="C338">
        <v>51.199116011576102</v>
      </c>
      <c r="D338">
        <v>0.64051036011221851</v>
      </c>
      <c r="E338">
        <f t="shared" si="140"/>
        <v>0.37712144259108765</v>
      </c>
      <c r="F338">
        <f t="shared" si="141"/>
        <v>-0.38999769387994038</v>
      </c>
      <c r="G338">
        <f t="shared" si="142"/>
        <v>0.12429468063552992</v>
      </c>
      <c r="H338" s="2" t="str">
        <f t="shared" si="143"/>
        <v>Lower</v>
      </c>
      <c r="I338" s="2" t="str">
        <f t="shared" si="144"/>
        <v>Higher</v>
      </c>
      <c r="J338" s="2" t="str">
        <f t="shared" si="145"/>
        <v>Higher</v>
      </c>
      <c r="K338" s="2" t="str">
        <f t="shared" si="146"/>
        <v>Lower</v>
      </c>
      <c r="L338" s="2" t="str">
        <f t="shared" si="147"/>
        <v>Higher</v>
      </c>
      <c r="M338" s="2" t="str">
        <f t="shared" si="148"/>
        <v>Lower</v>
      </c>
      <c r="N338" s="2" t="str">
        <f t="shared" si="149"/>
        <v>Lower</v>
      </c>
      <c r="O338" s="2" t="str">
        <f t="shared" si="150"/>
        <v>Higher</v>
      </c>
      <c r="P338" s="2" t="str">
        <f t="shared" si="151"/>
        <v>Higher</v>
      </c>
      <c r="R338" s="4">
        <f>DATE(2023,4,14)</f>
        <v>45030</v>
      </c>
      <c r="S338">
        <v>0.97659842713441469</v>
      </c>
      <c r="T338">
        <v>0.49699762333687625</v>
      </c>
      <c r="U338">
        <v>-0.31334634256297472</v>
      </c>
      <c r="V338">
        <v>-0.42413173151807754</v>
      </c>
      <c r="X338" s="4">
        <f>DATE(2023,4,14)</f>
        <v>45030</v>
      </c>
      <c r="Y338">
        <v>20.549200487512334</v>
      </c>
      <c r="Z338">
        <v>33.650066746606811</v>
      </c>
      <c r="AA338">
        <v>93.95750000000001</v>
      </c>
      <c r="AB338">
        <v>41.307000000000002</v>
      </c>
      <c r="AC338" t="str">
        <f t="shared" si="152"/>
        <v/>
      </c>
      <c r="AD338" t="str">
        <f t="shared" si="153"/>
        <v/>
      </c>
      <c r="AE338" t="str">
        <f t="shared" si="154"/>
        <v/>
      </c>
      <c r="AF338" t="str">
        <f t="shared" si="155"/>
        <v/>
      </c>
      <c r="AH338">
        <f t="shared" si="156"/>
        <v>6.9662090844761493E-2</v>
      </c>
      <c r="AI338">
        <f t="shared" si="157"/>
        <v>-4.0365793446808421E-2</v>
      </c>
      <c r="AJ338">
        <f t="shared" si="158"/>
        <v>-0.11002788429156991</v>
      </c>
      <c r="AK338">
        <f t="shared" si="159"/>
        <v>-0.34285584914314882</v>
      </c>
      <c r="AM338">
        <f t="shared" si="160"/>
        <v>0.10346134254140391</v>
      </c>
      <c r="AN338">
        <f t="shared" si="161"/>
        <v>-0.4806486480703151</v>
      </c>
      <c r="AO338">
        <f t="shared" si="162"/>
        <v>-0.58410999061171898</v>
      </c>
      <c r="AP338">
        <f t="shared" si="163"/>
        <v>-1.0262207336147531</v>
      </c>
      <c r="AR338">
        <f t="shared" si="164"/>
        <v>0.12045402900822071</v>
      </c>
      <c r="AS338">
        <f t="shared" si="165"/>
        <v>-1.4449646921770822</v>
      </c>
      <c r="AT338">
        <f t="shared" si="166"/>
        <v>-1.565418721185303</v>
      </c>
      <c r="AU338">
        <f t="shared" si="167"/>
        <v>-3.1827751608441508</v>
      </c>
    </row>
    <row r="339" spans="1:47" x14ac:dyDescent="0.25">
      <c r="A339" s="4">
        <f>DATE(2023,4,13)</f>
        <v>45029</v>
      </c>
      <c r="B339">
        <v>0.60251689178279921</v>
      </c>
      <c r="C339">
        <v>52.729792644039726</v>
      </c>
      <c r="D339">
        <v>0.69965990464383543</v>
      </c>
      <c r="E339">
        <f t="shared" si="140"/>
        <v>0.62007464546107671</v>
      </c>
      <c r="F339">
        <f t="shared" si="141"/>
        <v>-0.22772264745486864</v>
      </c>
      <c r="G339">
        <f t="shared" si="142"/>
        <v>0.30258457682627649</v>
      </c>
      <c r="H339" s="2" t="str">
        <f t="shared" si="143"/>
        <v>Lower</v>
      </c>
      <c r="I339" s="2" t="str">
        <f t="shared" si="144"/>
        <v>Higher</v>
      </c>
      <c r="J339" s="2" t="str">
        <f t="shared" si="145"/>
        <v>Higher</v>
      </c>
      <c r="K339" s="2" t="str">
        <f t="shared" si="146"/>
        <v>Lower</v>
      </c>
      <c r="L339" s="2" t="str">
        <f t="shared" si="147"/>
        <v>Higher</v>
      </c>
      <c r="M339" s="2" t="str">
        <f t="shared" si="148"/>
        <v>Lower</v>
      </c>
      <c r="N339" s="2" t="str">
        <f t="shared" si="149"/>
        <v>Lower</v>
      </c>
      <c r="O339" s="2" t="str">
        <f t="shared" si="150"/>
        <v>Higher</v>
      </c>
      <c r="P339" s="2" t="str">
        <f t="shared" si="151"/>
        <v>Higher</v>
      </c>
      <c r="R339" s="4">
        <f>DATE(2023,4,13)</f>
        <v>45029</v>
      </c>
      <c r="S339">
        <v>0.76280993897497851</v>
      </c>
      <c r="T339">
        <v>0.53068326308663261</v>
      </c>
      <c r="U339">
        <v>-0.35443421217848931</v>
      </c>
      <c r="V339">
        <v>-0.41993371234171772</v>
      </c>
      <c r="X339" s="4">
        <f>DATE(2023,4,13)</f>
        <v>45029</v>
      </c>
      <c r="Y339">
        <v>21.431341457801718</v>
      </c>
      <c r="Z339">
        <v>34.827115646273391</v>
      </c>
      <c r="AA339">
        <v>94.625</v>
      </c>
      <c r="AB339">
        <v>42.183999999999997</v>
      </c>
      <c r="AC339">
        <f t="shared" si="152"/>
        <v>-2.2518649607559699E-2</v>
      </c>
      <c r="AD339">
        <f t="shared" si="153"/>
        <v>-2.579403038692608E-2</v>
      </c>
      <c r="AE339">
        <f t="shared" si="154"/>
        <v>-3.2753807793663818E-3</v>
      </c>
      <c r="AF339">
        <f t="shared" si="155"/>
        <v>-2.7771311664391281E-2</v>
      </c>
      <c r="AH339">
        <f t="shared" si="156"/>
        <v>7.2045270177031565E-2</v>
      </c>
      <c r="AI339">
        <f t="shared" si="157"/>
        <v>-3.8345956129888489E-2</v>
      </c>
      <c r="AJ339">
        <f t="shared" si="158"/>
        <v>-0.11039122630692005</v>
      </c>
      <c r="AK339">
        <f t="shared" si="159"/>
        <v>-0.34491342138973924</v>
      </c>
      <c r="AM339">
        <f t="shared" si="160"/>
        <v>0.11809351978289939</v>
      </c>
      <c r="AN339">
        <f t="shared" si="161"/>
        <v>-0.36404271898251495</v>
      </c>
      <c r="AO339">
        <f t="shared" si="162"/>
        <v>-0.48213623876541434</v>
      </c>
      <c r="AP339">
        <f t="shared" si="163"/>
        <v>-0.8541039015522448</v>
      </c>
      <c r="AR339">
        <f t="shared" si="164"/>
        <v>0.11299267835547172</v>
      </c>
      <c r="AS339">
        <f t="shared" si="165"/>
        <v>-1.4684446509463358</v>
      </c>
      <c r="AT339">
        <f t="shared" si="166"/>
        <v>-1.5814373293018076</v>
      </c>
      <c r="AU339">
        <f t="shared" si="167"/>
        <v>-3.2474397781136539</v>
      </c>
    </row>
    <row r="340" spans="1:47" x14ac:dyDescent="0.25">
      <c r="A340" s="4">
        <f>DATE(2023,4,12)</f>
        <v>45028</v>
      </c>
      <c r="B340">
        <v>0.80529764179529306</v>
      </c>
      <c r="C340">
        <v>56.510288179885691</v>
      </c>
      <c r="D340">
        <v>0.81473813758066349</v>
      </c>
      <c r="E340">
        <f t="shared" si="140"/>
        <v>0.86860410306638969</v>
      </c>
      <c r="F340">
        <f t="shared" si="141"/>
        <v>0.16206015390864328</v>
      </c>
      <c r="G340">
        <f t="shared" si="142"/>
        <v>0.6466841178623246</v>
      </c>
      <c r="H340" s="2" t="str">
        <f t="shared" si="143"/>
        <v>Lower</v>
      </c>
      <c r="I340" s="2" t="str">
        <f t="shared" si="144"/>
        <v>Higher</v>
      </c>
      <c r="J340" s="2" t="str">
        <f t="shared" si="145"/>
        <v>Higher</v>
      </c>
      <c r="K340" s="2" t="str">
        <f t="shared" si="146"/>
        <v>Lower</v>
      </c>
      <c r="L340" s="2" t="str">
        <f t="shared" si="147"/>
        <v>Higher</v>
      </c>
      <c r="M340" s="2" t="str">
        <f t="shared" si="148"/>
        <v>Lower</v>
      </c>
      <c r="N340" s="2" t="str">
        <f t="shared" si="149"/>
        <v>Lower</v>
      </c>
      <c r="O340" s="2" t="str">
        <f t="shared" si="150"/>
        <v>Higher</v>
      </c>
      <c r="P340" s="2" t="str">
        <f t="shared" si="151"/>
        <v>Higher</v>
      </c>
      <c r="R340" s="4">
        <f>DATE(2023,4,12)</f>
        <v>45028</v>
      </c>
      <c r="S340">
        <v>-0.63119268824154406</v>
      </c>
      <c r="T340">
        <v>0.55772824314457126</v>
      </c>
      <c r="U340">
        <v>-0.40531247209763099</v>
      </c>
      <c r="V340">
        <v>-0.41553438193410336</v>
      </c>
      <c r="X340" s="4">
        <f>DATE(2023,4,12)</f>
        <v>45028</v>
      </c>
      <c r="Y340">
        <v>23.125539829182777</v>
      </c>
      <c r="Z340">
        <v>35.871500465046367</v>
      </c>
      <c r="AA340">
        <v>96.289999999999992</v>
      </c>
      <c r="AB340">
        <v>43.135000000000005</v>
      </c>
      <c r="AC340">
        <f t="shared" si="152"/>
        <v>-2.1267222788809051E-3</v>
      </c>
      <c r="AD340">
        <f t="shared" si="153"/>
        <v>-4.6485767390441204E-2</v>
      </c>
      <c r="AE340">
        <f t="shared" si="154"/>
        <v>-4.4359045111560302E-2</v>
      </c>
      <c r="AF340">
        <f t="shared" si="155"/>
        <v>-0.25405978854116984</v>
      </c>
      <c r="AH340">
        <f t="shared" si="156"/>
        <v>5.9614188971684468E-2</v>
      </c>
      <c r="AI340">
        <f t="shared" si="157"/>
        <v>1.0437809007954673E-3</v>
      </c>
      <c r="AJ340">
        <f t="shared" si="158"/>
        <v>-5.8570408070889E-2</v>
      </c>
      <c r="AK340">
        <f t="shared" si="159"/>
        <v>-0.19088775408574321</v>
      </c>
      <c r="AM340">
        <f t="shared" si="160"/>
        <v>0.15854377504269862</v>
      </c>
      <c r="AN340">
        <f t="shared" si="161"/>
        <v>-0.35314838984126107</v>
      </c>
      <c r="AO340">
        <f t="shared" si="162"/>
        <v>-0.51169216488395963</v>
      </c>
      <c r="AP340">
        <f t="shared" si="163"/>
        <v>-0.90656971541318121</v>
      </c>
      <c r="AR340">
        <f t="shared" si="164"/>
        <v>0.1431767390568264</v>
      </c>
      <c r="AS340">
        <f t="shared" si="165"/>
        <v>-1.3773229760038019</v>
      </c>
      <c r="AT340">
        <f t="shared" si="166"/>
        <v>-1.5204997150606283</v>
      </c>
      <c r="AU340">
        <f t="shared" si="167"/>
        <v>-3.1847988298140133</v>
      </c>
    </row>
    <row r="341" spans="1:47" x14ac:dyDescent="0.25">
      <c r="A341" s="4">
        <f>DATE(2023,4,11)</f>
        <v>45027</v>
      </c>
      <c r="B341">
        <v>0.90981473806203395</v>
      </c>
      <c r="C341">
        <v>60.687893373007235</v>
      </c>
      <c r="D341">
        <v>0.90977177455810443</v>
      </c>
      <c r="E341">
        <f t="shared" si="140"/>
        <v>1.0018120726236812</v>
      </c>
      <c r="F341">
        <f t="shared" si="141"/>
        <v>0.59469349783244307</v>
      </c>
      <c r="G341">
        <f t="shared" si="142"/>
        <v>0.93888147145318313</v>
      </c>
      <c r="H341" s="2" t="str">
        <f t="shared" si="143"/>
        <v>Lower</v>
      </c>
      <c r="I341" s="2" t="str">
        <f t="shared" si="144"/>
        <v>Higher</v>
      </c>
      <c r="J341" s="2" t="str">
        <f t="shared" si="145"/>
        <v>Higher</v>
      </c>
      <c r="K341" s="2" t="str">
        <f t="shared" si="146"/>
        <v>Lower</v>
      </c>
      <c r="L341" s="2" t="str">
        <f t="shared" si="147"/>
        <v>Higher</v>
      </c>
      <c r="M341" s="2" t="str">
        <f t="shared" si="148"/>
        <v>Lower</v>
      </c>
      <c r="N341" s="2" t="str">
        <f t="shared" si="149"/>
        <v>Lower</v>
      </c>
      <c r="O341" s="2" t="str">
        <f t="shared" si="150"/>
        <v>Higher</v>
      </c>
      <c r="P341" s="2" t="str">
        <f t="shared" si="151"/>
        <v>Higher</v>
      </c>
      <c r="R341" s="4">
        <f>DATE(2023,4,11)</f>
        <v>45027</v>
      </c>
      <c r="S341">
        <v>-0.6166521921687641</v>
      </c>
      <c r="T341">
        <v>0.59294011562669002</v>
      </c>
      <c r="U341">
        <v>-0.44764538589082259</v>
      </c>
      <c r="V341">
        <v>-0.41042472766163807</v>
      </c>
      <c r="X341" s="4">
        <f>DATE(2023,4,11)</f>
        <v>45027</v>
      </c>
      <c r="Y341">
        <v>24.807270906971798</v>
      </c>
      <c r="Z341">
        <v>36.995292198445654</v>
      </c>
      <c r="AA341">
        <v>97.525000000000006</v>
      </c>
      <c r="AB341">
        <v>43.543499999999995</v>
      </c>
      <c r="AC341">
        <f t="shared" si="152"/>
        <v>2.1087225430609084E-2</v>
      </c>
      <c r="AD341">
        <f t="shared" si="153"/>
        <v>-7.5887038240654459E-2</v>
      </c>
      <c r="AE341">
        <f t="shared" si="154"/>
        <v>-9.697426367126355E-2</v>
      </c>
      <c r="AF341">
        <f t="shared" si="155"/>
        <v>-0.54455899612363645</v>
      </c>
      <c r="AH341">
        <f t="shared" si="156"/>
        <v>4.0384168479697981E-2</v>
      </c>
      <c r="AI341">
        <f t="shared" si="157"/>
        <v>-2.9033466898866499E-2</v>
      </c>
      <c r="AJ341">
        <f t="shared" si="158"/>
        <v>-6.9417635378564477E-2</v>
      </c>
      <c r="AK341">
        <f t="shared" si="159"/>
        <v>-0.22369529315580219</v>
      </c>
      <c r="AM341">
        <f t="shared" si="160"/>
        <v>0.20942748668115749</v>
      </c>
      <c r="AN341">
        <f t="shared" si="161"/>
        <v>-0.3190078821780104</v>
      </c>
      <c r="AO341">
        <f t="shared" si="162"/>
        <v>-0.52843536885916786</v>
      </c>
      <c r="AP341">
        <f t="shared" si="163"/>
        <v>-0.9361620988927456</v>
      </c>
      <c r="AR341">
        <f t="shared" si="164"/>
        <v>0.1555915190980377</v>
      </c>
      <c r="AS341">
        <f t="shared" si="165"/>
        <v>-1.332627361874535</v>
      </c>
      <c r="AT341">
        <f t="shared" si="166"/>
        <v>-1.4882188809725727</v>
      </c>
      <c r="AU341">
        <f t="shared" si="167"/>
        <v>-3.1678724280914499</v>
      </c>
    </row>
    <row r="342" spans="1:47" x14ac:dyDescent="0.25">
      <c r="A342" s="4">
        <f>DATE(2023,4,10)</f>
        <v>45026</v>
      </c>
      <c r="E342">
        <f t="shared" si="140"/>
        <v>-0.1131630347643849</v>
      </c>
      <c r="F342">
        <f t="shared" si="141"/>
        <v>-5.4808642942818073</v>
      </c>
      <c r="G342">
        <f t="shared" si="142"/>
        <v>-1.7385343585000557</v>
      </c>
      <c r="H342" s="2" t="str">
        <f t="shared" si="143"/>
        <v>Lower</v>
      </c>
      <c r="I342" s="2" t="str">
        <f t="shared" si="144"/>
        <v>Higher</v>
      </c>
      <c r="J342" s="2" t="str">
        <f t="shared" si="145"/>
        <v>Higher</v>
      </c>
      <c r="K342" s="2" t="str">
        <f t="shared" si="146"/>
        <v>Lower</v>
      </c>
      <c r="L342" s="2" t="str">
        <f t="shared" si="147"/>
        <v>Higher</v>
      </c>
      <c r="M342" s="2" t="str">
        <f t="shared" si="148"/>
        <v>Lower</v>
      </c>
      <c r="N342" s="2" t="str">
        <f t="shared" si="149"/>
        <v>Lower</v>
      </c>
      <c r="O342" s="2" t="str">
        <f t="shared" si="150"/>
        <v>Higher</v>
      </c>
      <c r="P342" s="2" t="str">
        <f t="shared" si="151"/>
        <v>Higher</v>
      </c>
      <c r="R342" s="4">
        <f>DATE(2023,4,10)</f>
        <v>45026</v>
      </c>
      <c r="X342" s="4">
        <f>DATE(2023,4,10)</f>
        <v>45026</v>
      </c>
      <c r="Z342">
        <v>35.418409523793919</v>
      </c>
      <c r="AB342">
        <v>43.125</v>
      </c>
      <c r="AC342" t="str">
        <f t="shared" si="152"/>
        <v/>
      </c>
      <c r="AD342">
        <f t="shared" si="153"/>
        <v>-0.1700191382785777</v>
      </c>
      <c r="AE342" t="str">
        <f t="shared" si="154"/>
        <v/>
      </c>
      <c r="AF342" t="str">
        <f t="shared" si="155"/>
        <v/>
      </c>
      <c r="AH342" t="str">
        <f t="shared" si="156"/>
        <v/>
      </c>
      <c r="AI342">
        <f t="shared" si="157"/>
        <v>-0.14688459409426252</v>
      </c>
      <c r="AJ342" t="str">
        <f t="shared" si="158"/>
        <v/>
      </c>
      <c r="AK342" t="str">
        <f t="shared" si="159"/>
        <v/>
      </c>
      <c r="AM342" t="str">
        <f t="shared" si="160"/>
        <v/>
      </c>
      <c r="AN342" t="str">
        <f t="shared" si="161"/>
        <v/>
      </c>
      <c r="AO342" t="str">
        <f t="shared" si="162"/>
        <v/>
      </c>
      <c r="AP342" t="str">
        <f t="shared" si="163"/>
        <v/>
      </c>
      <c r="AR342" t="str">
        <f t="shared" si="164"/>
        <v/>
      </c>
      <c r="AS342" t="str">
        <f t="shared" si="165"/>
        <v/>
      </c>
      <c r="AT342" t="str">
        <f t="shared" si="166"/>
        <v/>
      </c>
      <c r="AU342" t="str">
        <f t="shared" si="167"/>
        <v/>
      </c>
    </row>
    <row r="343" spans="1:47" x14ac:dyDescent="0.25">
      <c r="A343" s="4">
        <f>DATE(2023,4,7)</f>
        <v>45023</v>
      </c>
      <c r="E343">
        <f t="shared" si="140"/>
        <v>-0.1184013634693518</v>
      </c>
      <c r="F343">
        <f t="shared" si="141"/>
        <v>-5.4535285952940979</v>
      </c>
      <c r="G343">
        <f t="shared" si="142"/>
        <v>-1.7329641715837241</v>
      </c>
      <c r="H343" s="2" t="str">
        <f t="shared" si="143"/>
        <v>Lower</v>
      </c>
      <c r="I343" s="2" t="str">
        <f t="shared" si="144"/>
        <v>Higher</v>
      </c>
      <c r="J343" s="2" t="str">
        <f t="shared" si="145"/>
        <v>Higher</v>
      </c>
      <c r="K343" s="2" t="str">
        <f t="shared" si="146"/>
        <v>Lower</v>
      </c>
      <c r="L343" s="2" t="str">
        <f t="shared" si="147"/>
        <v>Higher</v>
      </c>
      <c r="M343" s="2" t="str">
        <f t="shared" si="148"/>
        <v>Lower</v>
      </c>
      <c r="N343" s="2" t="str">
        <f t="shared" si="149"/>
        <v>Lower</v>
      </c>
      <c r="O343" s="2" t="str">
        <f t="shared" si="150"/>
        <v>Higher</v>
      </c>
      <c r="P343" s="2" t="str">
        <f t="shared" si="151"/>
        <v>Higher</v>
      </c>
      <c r="R343" s="4">
        <f>DATE(2023,4,7)</f>
        <v>45023</v>
      </c>
      <c r="X343" s="4">
        <f>DATE(2023,4,7)</f>
        <v>45023</v>
      </c>
      <c r="AC343" t="str">
        <f t="shared" si="152"/>
        <v/>
      </c>
      <c r="AD343" t="str">
        <f t="shared" si="153"/>
        <v/>
      </c>
      <c r="AE343" t="str">
        <f t="shared" si="154"/>
        <v/>
      </c>
      <c r="AF343" t="str">
        <f t="shared" si="155"/>
        <v/>
      </c>
      <c r="AH343" t="str">
        <f t="shared" si="156"/>
        <v/>
      </c>
      <c r="AI343" t="str">
        <f t="shared" si="157"/>
        <v/>
      </c>
      <c r="AJ343" t="str">
        <f t="shared" si="158"/>
        <v/>
      </c>
      <c r="AK343" t="str">
        <f t="shared" si="159"/>
        <v/>
      </c>
      <c r="AM343" t="str">
        <f t="shared" si="160"/>
        <v/>
      </c>
      <c r="AN343" t="str">
        <f t="shared" si="161"/>
        <v/>
      </c>
      <c r="AO343" t="str">
        <f t="shared" si="162"/>
        <v/>
      </c>
      <c r="AP343" t="str">
        <f t="shared" si="163"/>
        <v/>
      </c>
      <c r="AR343" t="str">
        <f t="shared" si="164"/>
        <v/>
      </c>
      <c r="AS343" t="str">
        <f t="shared" si="165"/>
        <v/>
      </c>
      <c r="AT343" t="str">
        <f t="shared" si="166"/>
        <v/>
      </c>
      <c r="AU343" t="str">
        <f t="shared" si="167"/>
        <v/>
      </c>
    </row>
    <row r="344" spans="1:47" x14ac:dyDescent="0.25">
      <c r="A344" s="4">
        <f>DATE(2023,4,6)</f>
        <v>45022</v>
      </c>
      <c r="B344">
        <v>0.8466587660061724</v>
      </c>
      <c r="C344">
        <v>59.25260077356824</v>
      </c>
      <c r="D344">
        <v>0.82616701710524176</v>
      </c>
      <c r="E344">
        <f t="shared" si="140"/>
        <v>0.92384002199590232</v>
      </c>
      <c r="F344">
        <f t="shared" si="141"/>
        <v>0.47841847437618695</v>
      </c>
      <c r="G344">
        <f t="shared" si="142"/>
        <v>0.71696923271893187</v>
      </c>
      <c r="H344" s="2" t="str">
        <f t="shared" si="143"/>
        <v>Lower</v>
      </c>
      <c r="I344" s="2" t="str">
        <f t="shared" si="144"/>
        <v>Higher</v>
      </c>
      <c r="J344" s="2" t="str">
        <f t="shared" si="145"/>
        <v>Higher</v>
      </c>
      <c r="K344" s="2" t="str">
        <f t="shared" si="146"/>
        <v>Lower</v>
      </c>
      <c r="L344" s="2" t="str">
        <f t="shared" si="147"/>
        <v>Higher</v>
      </c>
      <c r="M344" s="2" t="str">
        <f t="shared" si="148"/>
        <v>Lower</v>
      </c>
      <c r="N344" s="2" t="str">
        <f t="shared" si="149"/>
        <v>Lower</v>
      </c>
      <c r="O344" s="2" t="str">
        <f t="shared" si="150"/>
        <v>Higher</v>
      </c>
      <c r="P344" s="2" t="str">
        <f t="shared" si="151"/>
        <v>Higher</v>
      </c>
      <c r="R344" s="4">
        <f>DATE(2023,4,6)</f>
        <v>45022</v>
      </c>
      <c r="S344">
        <v>-0.37911451553784786</v>
      </c>
      <c r="T344">
        <v>0.62932878731999009</v>
      </c>
      <c r="U344">
        <v>-0.47987301384877395</v>
      </c>
      <c r="V344">
        <v>-0.40477662811344411</v>
      </c>
      <c r="X344" s="4">
        <f>DATE(2023,4,6)</f>
        <v>45022</v>
      </c>
      <c r="Y344">
        <v>24.485840799679099</v>
      </c>
      <c r="Z344">
        <v>35.418372889258315</v>
      </c>
      <c r="AA344">
        <v>96.78</v>
      </c>
      <c r="AB344">
        <v>43.286250000000003</v>
      </c>
      <c r="AC344">
        <f t="shared" si="152"/>
        <v>6.3698480050101564E-2</v>
      </c>
      <c r="AD344">
        <f t="shared" si="153"/>
        <v>-7.4285184561492749E-3</v>
      </c>
      <c r="AE344">
        <f t="shared" si="154"/>
        <v>-7.1126998506250844E-2</v>
      </c>
      <c r="AF344">
        <f t="shared" si="155"/>
        <v>-0.40374433224448514</v>
      </c>
      <c r="AH344">
        <f t="shared" si="156"/>
        <v>-1.5609097814500837E-2</v>
      </c>
      <c r="AI344">
        <f t="shared" si="157"/>
        <v>6.9431039411573707E-3</v>
      </c>
      <c r="AJ344">
        <f t="shared" si="158"/>
        <v>2.2552201755658207E-2</v>
      </c>
      <c r="AK344">
        <f t="shared" si="159"/>
        <v>5.0041943599319884E-2</v>
      </c>
      <c r="AM344">
        <f t="shared" si="160"/>
        <v>0.19091385173297301</v>
      </c>
      <c r="AN344">
        <f t="shared" si="161"/>
        <v>-0.44439256026372265</v>
      </c>
      <c r="AO344">
        <f t="shared" si="162"/>
        <v>-0.63530641199669569</v>
      </c>
      <c r="AP344">
        <f t="shared" si="163"/>
        <v>-1.1186071836476337</v>
      </c>
      <c r="AR344">
        <f t="shared" si="164"/>
        <v>7.8341410642869133E-2</v>
      </c>
      <c r="AS344">
        <f t="shared" si="165"/>
        <v>-1.2055413560574137</v>
      </c>
      <c r="AT344">
        <f t="shared" si="166"/>
        <v>-1.2838827667002828</v>
      </c>
      <c r="AU344">
        <f t="shared" si="167"/>
        <v>-2.8531193447602008</v>
      </c>
    </row>
    <row r="345" spans="1:47" x14ac:dyDescent="0.25">
      <c r="A345" s="4">
        <f>DATE(2023,4,5)</f>
        <v>45021</v>
      </c>
      <c r="B345">
        <v>0.75875678111000655</v>
      </c>
      <c r="C345">
        <v>59.199445490763971</v>
      </c>
      <c r="D345">
        <v>0.80762815690777501</v>
      </c>
      <c r="E345">
        <f t="shared" si="140"/>
        <v>0.82037795325549145</v>
      </c>
      <c r="F345">
        <f t="shared" si="141"/>
        <v>0.48297043203092027</v>
      </c>
      <c r="G345">
        <f t="shared" si="142"/>
        <v>0.67048111718733272</v>
      </c>
      <c r="H345" s="2" t="str">
        <f t="shared" si="143"/>
        <v>Lower</v>
      </c>
      <c r="I345" s="2" t="str">
        <f t="shared" si="144"/>
        <v>Higher</v>
      </c>
      <c r="J345" s="2" t="str">
        <f t="shared" si="145"/>
        <v>Higher</v>
      </c>
      <c r="K345" s="2" t="str">
        <f t="shared" si="146"/>
        <v>Lower</v>
      </c>
      <c r="L345" s="2" t="str">
        <f t="shared" si="147"/>
        <v>Higher</v>
      </c>
      <c r="M345" s="2" t="str">
        <f t="shared" si="148"/>
        <v>Higher</v>
      </c>
      <c r="N345" s="2" t="str">
        <f t="shared" si="149"/>
        <v>Lower</v>
      </c>
      <c r="O345" s="2" t="str">
        <f t="shared" si="150"/>
        <v>Higher</v>
      </c>
      <c r="P345" s="2" t="str">
        <f t="shared" si="151"/>
        <v>Higher</v>
      </c>
      <c r="R345" s="4">
        <f>DATE(2023,4,5)</f>
        <v>45021</v>
      </c>
      <c r="S345">
        <v>0.31405514197655038</v>
      </c>
      <c r="T345">
        <v>0.66907019221151909</v>
      </c>
      <c r="U345">
        <v>-0.51112899368566866</v>
      </c>
      <c r="V345">
        <v>-0.39917642186488844</v>
      </c>
      <c r="X345" s="4">
        <f>DATE(2023,4,5)</f>
        <v>45021</v>
      </c>
      <c r="Y345">
        <v>25.548244289825067</v>
      </c>
      <c r="Z345">
        <v>37.038173842535421</v>
      </c>
      <c r="AA345">
        <v>96.495000000000005</v>
      </c>
      <c r="AB345">
        <v>45.1875</v>
      </c>
      <c r="AC345">
        <f t="shared" si="152"/>
        <v>6.6907596318083171E-2</v>
      </c>
      <c r="AD345">
        <f t="shared" si="153"/>
        <v>5.4212306329720149E-2</v>
      </c>
      <c r="AE345">
        <f t="shared" si="154"/>
        <v>-1.2695289988363022E-2</v>
      </c>
      <c r="AF345">
        <f t="shared" si="155"/>
        <v>-8.1895489274835101E-2</v>
      </c>
      <c r="AH345">
        <f t="shared" si="156"/>
        <v>-1.1898463791614584E-2</v>
      </c>
      <c r="AI345">
        <f t="shared" si="157"/>
        <v>5.1849611292815165E-2</v>
      </c>
      <c r="AJ345">
        <f t="shared" si="158"/>
        <v>6.3748075084429756E-2</v>
      </c>
      <c r="AK345">
        <f t="shared" si="159"/>
        <v>0.17305743814476127</v>
      </c>
      <c r="AM345">
        <f t="shared" si="160"/>
        <v>0.19326258497216295</v>
      </c>
      <c r="AN345">
        <f t="shared" si="161"/>
        <v>-0.37744312343523939</v>
      </c>
      <c r="AO345">
        <f t="shared" si="162"/>
        <v>-0.57070570840740231</v>
      </c>
      <c r="AP345">
        <f t="shared" si="163"/>
        <v>-1.0093096148482212</v>
      </c>
      <c r="AR345">
        <f t="shared" si="164"/>
        <v>8.6658147407925198E-2</v>
      </c>
      <c r="AS345">
        <f t="shared" si="165"/>
        <v>-1.1278747268291391</v>
      </c>
      <c r="AT345">
        <f t="shared" si="166"/>
        <v>-1.2145328742370642</v>
      </c>
      <c r="AU345">
        <f t="shared" si="167"/>
        <v>-2.7603127461026675</v>
      </c>
    </row>
    <row r="346" spans="1:47" x14ac:dyDescent="0.25">
      <c r="A346" s="4">
        <f>DATE(2023,4,4)</f>
        <v>45020</v>
      </c>
      <c r="B346">
        <v>0.5654436161859927</v>
      </c>
      <c r="C346">
        <v>56.246471384648245</v>
      </c>
      <c r="D346">
        <v>0.69293262481353013</v>
      </c>
      <c r="E346">
        <f t="shared" si="140"/>
        <v>0.58644228536798282</v>
      </c>
      <c r="F346">
        <f t="shared" si="141"/>
        <v>0.20119698703847491</v>
      </c>
      <c r="G346">
        <f t="shared" si="142"/>
        <v>0.33975161727998293</v>
      </c>
      <c r="H346" s="2" t="str">
        <f t="shared" si="143"/>
        <v>Lower</v>
      </c>
      <c r="I346" s="2" t="str">
        <f t="shared" si="144"/>
        <v>Lower</v>
      </c>
      <c r="J346" s="2" t="str">
        <f t="shared" si="145"/>
        <v>Higher</v>
      </c>
      <c r="K346" s="2" t="str">
        <f t="shared" si="146"/>
        <v>Lower</v>
      </c>
      <c r="L346" s="2" t="str">
        <f t="shared" si="147"/>
        <v>Higher</v>
      </c>
      <c r="M346" s="2" t="str">
        <f t="shared" si="148"/>
        <v>Higher</v>
      </c>
      <c r="N346" s="2" t="str">
        <f t="shared" si="149"/>
        <v>Lower</v>
      </c>
      <c r="O346" s="2" t="str">
        <f t="shared" si="150"/>
        <v>Higher</v>
      </c>
      <c r="P346" s="2" t="str">
        <f t="shared" si="151"/>
        <v>Higher</v>
      </c>
      <c r="R346" s="4">
        <f>DATE(2023,4,4)</f>
        <v>45020</v>
      </c>
      <c r="S346">
        <v>0.83036510494241367</v>
      </c>
      <c r="T346">
        <v>0.68828604883437217</v>
      </c>
      <c r="U346">
        <v>-0.5372058600095998</v>
      </c>
      <c r="V346">
        <v>-0.39349282769106092</v>
      </c>
      <c r="X346" s="4">
        <f>DATE(2023,4,4)</f>
        <v>45020</v>
      </c>
      <c r="Y346">
        <v>26.083134728453807</v>
      </c>
      <c r="Z346">
        <v>39.859310298144003</v>
      </c>
      <c r="AA346">
        <v>95.49</v>
      </c>
      <c r="AB346">
        <v>46.976500000000001</v>
      </c>
      <c r="AC346">
        <f t="shared" si="152"/>
        <v>6.7720175133532193E-2</v>
      </c>
      <c r="AD346">
        <f t="shared" si="153"/>
        <v>9.3775483732875989E-2</v>
      </c>
      <c r="AE346">
        <f t="shared" si="154"/>
        <v>2.6055308599343796E-2</v>
      </c>
      <c r="AF346">
        <f t="shared" si="155"/>
        <v>0.13197516748306812</v>
      </c>
      <c r="AH346">
        <f t="shared" si="156"/>
        <v>2.411534589396809E-3</v>
      </c>
      <c r="AI346">
        <f t="shared" si="157"/>
        <v>8.1552580047314957E-2</v>
      </c>
      <c r="AJ346">
        <f t="shared" si="158"/>
        <v>7.9141045457918141E-2</v>
      </c>
      <c r="AK346">
        <f t="shared" si="159"/>
        <v>0.21951827725612974</v>
      </c>
      <c r="AM346">
        <f t="shared" si="160"/>
        <v>0.16546783782499858</v>
      </c>
      <c r="AN346">
        <f t="shared" si="161"/>
        <v>-0.42079445108377195</v>
      </c>
      <c r="AO346">
        <f t="shared" si="162"/>
        <v>-0.58626228890877052</v>
      </c>
      <c r="AP346">
        <f t="shared" si="163"/>
        <v>-1.0384634668889705</v>
      </c>
      <c r="AR346">
        <f t="shared" si="164"/>
        <v>9.7115662514447851E-2</v>
      </c>
      <c r="AS346">
        <f t="shared" si="165"/>
        <v>-1.0115283389109435</v>
      </c>
      <c r="AT346">
        <f t="shared" si="166"/>
        <v>-1.1086440014253913</v>
      </c>
      <c r="AU346">
        <f t="shared" si="167"/>
        <v>-2.6000461286263739</v>
      </c>
    </row>
    <row r="347" spans="1:47" x14ac:dyDescent="0.25">
      <c r="A347" s="4">
        <f>DATE(2023,4,3)</f>
        <v>45019</v>
      </c>
      <c r="B347">
        <v>0.38986023510803636</v>
      </c>
      <c r="C347">
        <v>58.093421243162389</v>
      </c>
      <c r="D347">
        <v>0.73821039709152236</v>
      </c>
      <c r="E347">
        <f t="shared" si="140"/>
        <v>0.37224357318694135</v>
      </c>
      <c r="F347">
        <f t="shared" si="141"/>
        <v>0.39403134618496621</v>
      </c>
      <c r="G347">
        <f t="shared" si="142"/>
        <v>0.48255357893004047</v>
      </c>
      <c r="H347" s="2" t="str">
        <f t="shared" si="143"/>
        <v>Lower</v>
      </c>
      <c r="I347" s="2" t="str">
        <f t="shared" si="144"/>
        <v>Lower</v>
      </c>
      <c r="J347" s="2" t="str">
        <f t="shared" si="145"/>
        <v>Higher</v>
      </c>
      <c r="K347" s="2" t="str">
        <f t="shared" si="146"/>
        <v>Lower</v>
      </c>
      <c r="L347" s="2" t="str">
        <f t="shared" si="147"/>
        <v>Higher</v>
      </c>
      <c r="M347" s="2" t="str">
        <f t="shared" si="148"/>
        <v>Higher</v>
      </c>
      <c r="N347" s="2" t="str">
        <f t="shared" si="149"/>
        <v>Lower</v>
      </c>
      <c r="O347" s="2" t="str">
        <f t="shared" si="150"/>
        <v>Higher</v>
      </c>
      <c r="P347" s="2" t="str">
        <f t="shared" si="151"/>
        <v>Higher</v>
      </c>
      <c r="R347" s="4">
        <f>DATE(2023,4,3)</f>
        <v>45019</v>
      </c>
      <c r="S347">
        <v>0.95314396934658319</v>
      </c>
      <c r="T347">
        <v>0.69643834658749659</v>
      </c>
      <c r="U347">
        <v>-0.56943942770377221</v>
      </c>
      <c r="V347">
        <v>-0.38849540154924711</v>
      </c>
      <c r="X347" s="4">
        <f>DATE(2023,4,3)</f>
        <v>45019</v>
      </c>
      <c r="Y347">
        <v>24.969822276879103</v>
      </c>
      <c r="Z347">
        <v>46.347692534850921</v>
      </c>
      <c r="AA347">
        <v>94.837500000000006</v>
      </c>
      <c r="AB347">
        <v>51.117249999999999</v>
      </c>
      <c r="AC347">
        <f t="shared" si="152"/>
        <v>7.8414053542937387E-2</v>
      </c>
      <c r="AD347">
        <f t="shared" si="153"/>
        <v>0.18395933109926671</v>
      </c>
      <c r="AE347">
        <f t="shared" si="154"/>
        <v>0.10554527755632932</v>
      </c>
      <c r="AF347">
        <f t="shared" si="155"/>
        <v>0.57114225631573523</v>
      </c>
      <c r="AH347">
        <f t="shared" si="156"/>
        <v>1.7739119201859787E-2</v>
      </c>
      <c r="AI347">
        <f t="shared" si="157"/>
        <v>0.1887558990297652</v>
      </c>
      <c r="AJ347">
        <f t="shared" si="158"/>
        <v>0.17101677982790542</v>
      </c>
      <c r="AK347">
        <f t="shared" si="159"/>
        <v>0.49467251894173531</v>
      </c>
      <c r="AM347">
        <f t="shared" si="160"/>
        <v>0.16456010291063414</v>
      </c>
      <c r="AN347">
        <f t="shared" si="161"/>
        <v>-0.36351707153351609</v>
      </c>
      <c r="AO347">
        <f t="shared" si="162"/>
        <v>-0.52807717444415025</v>
      </c>
      <c r="AP347">
        <f t="shared" si="163"/>
        <v>-0.94070454651154911</v>
      </c>
      <c r="AR347">
        <f t="shared" si="164"/>
        <v>0.1129312422207336</v>
      </c>
      <c r="AS347">
        <f t="shared" si="165"/>
        <v>-0.92924221506379423</v>
      </c>
      <c r="AT347">
        <f t="shared" si="166"/>
        <v>-1.0421734572845278</v>
      </c>
      <c r="AU347">
        <f t="shared" si="167"/>
        <v>-2.5040590704125054</v>
      </c>
    </row>
    <row r="348" spans="1:47" x14ac:dyDescent="0.25">
      <c r="A348" s="4">
        <f>DATE(2023,3,31)</f>
        <v>45016</v>
      </c>
      <c r="B348">
        <v>8.8342773748741887E-3</v>
      </c>
      <c r="C348">
        <v>50.846317626584664</v>
      </c>
      <c r="D348">
        <v>0.50989910082877776</v>
      </c>
      <c r="E348">
        <f t="shared" si="140"/>
        <v>-9.9218205908696122E-2</v>
      </c>
      <c r="F348">
        <f t="shared" si="141"/>
        <v>-0.30158926217358628</v>
      </c>
      <c r="G348">
        <f t="shared" si="142"/>
        <v>-0.18228791539696831</v>
      </c>
      <c r="H348" s="2" t="str">
        <f t="shared" si="143"/>
        <v>Lower</v>
      </c>
      <c r="I348" s="2" t="str">
        <f t="shared" si="144"/>
        <v>Lower</v>
      </c>
      <c r="J348" s="2" t="str">
        <f t="shared" si="145"/>
        <v>Higher</v>
      </c>
      <c r="K348" s="2" t="str">
        <f t="shared" si="146"/>
        <v>Lower</v>
      </c>
      <c r="L348" s="2" t="str">
        <f t="shared" si="147"/>
        <v>Lower</v>
      </c>
      <c r="M348" s="2" t="str">
        <f t="shared" si="148"/>
        <v>Higher</v>
      </c>
      <c r="N348" s="2" t="str">
        <f t="shared" si="149"/>
        <v>Lower</v>
      </c>
      <c r="O348" s="2" t="str">
        <f t="shared" si="150"/>
        <v>Higher</v>
      </c>
      <c r="P348" s="2" t="str">
        <f t="shared" si="151"/>
        <v>Higher</v>
      </c>
      <c r="R348" s="4">
        <f>DATE(2023,3,31)</f>
        <v>45016</v>
      </c>
      <c r="S348">
        <v>0.73486286270405932</v>
      </c>
      <c r="T348">
        <v>0.70930999786826721</v>
      </c>
      <c r="U348">
        <v>-0.60195509512862266</v>
      </c>
      <c r="V348">
        <v>-0.38348427860965723</v>
      </c>
      <c r="X348" s="4">
        <f>DATE(2023,3,31)</f>
        <v>45016</v>
      </c>
      <c r="Y348">
        <v>20.339816955256605</v>
      </c>
      <c r="Z348">
        <v>39.789861495643457</v>
      </c>
      <c r="AA348">
        <v>91.867500000000007</v>
      </c>
      <c r="AB348">
        <v>47.120750000000001</v>
      </c>
      <c r="AC348">
        <f t="shared" si="152"/>
        <v>3.1542426690987217E-2</v>
      </c>
      <c r="AD348">
        <f t="shared" si="153"/>
        <v>0.13286842265399337</v>
      </c>
      <c r="AE348">
        <f t="shared" si="154"/>
        <v>0.10132599596300615</v>
      </c>
      <c r="AF348">
        <f t="shared" si="155"/>
        <v>0.54915398041786134</v>
      </c>
      <c r="AH348">
        <f t="shared" si="156"/>
        <v>-5.2654556568505493E-3</v>
      </c>
      <c r="AI348">
        <f t="shared" si="157"/>
        <v>3.9268463957758924E-2</v>
      </c>
      <c r="AJ348">
        <f t="shared" si="158"/>
        <v>4.4533919614609473E-2</v>
      </c>
      <c r="AK348">
        <f t="shared" si="159"/>
        <v>0.11649739958838365</v>
      </c>
      <c r="AM348">
        <f t="shared" si="160"/>
        <v>0.16521024222674574</v>
      </c>
      <c r="AN348">
        <f t="shared" si="161"/>
        <v>-0.40667933432078868</v>
      </c>
      <c r="AO348">
        <f t="shared" si="162"/>
        <v>-0.57188957654753447</v>
      </c>
      <c r="AP348">
        <f t="shared" si="163"/>
        <v>-1.0173642209970486</v>
      </c>
      <c r="AR348">
        <f t="shared" si="164"/>
        <v>9.4393518400262222E-2</v>
      </c>
      <c r="AS348">
        <f t="shared" si="165"/>
        <v>-1.0032543580593072</v>
      </c>
      <c r="AT348">
        <f t="shared" si="166"/>
        <v>-1.0976478764595694</v>
      </c>
      <c r="AU348">
        <f t="shared" si="167"/>
        <v>-2.6216569504240819</v>
      </c>
    </row>
    <row r="349" spans="1:47" x14ac:dyDescent="0.25">
      <c r="A349" s="4">
        <f>DATE(2023,3,30)</f>
        <v>45015</v>
      </c>
      <c r="B349">
        <v>-0.19730031969995743</v>
      </c>
      <c r="C349">
        <v>48.756775971993171</v>
      </c>
      <c r="D349">
        <v>0.44756540292488806</v>
      </c>
      <c r="E349">
        <f t="shared" si="140"/>
        <v>-0.35620156930057961</v>
      </c>
      <c r="F349">
        <f t="shared" si="141"/>
        <v>-0.49253576291221013</v>
      </c>
      <c r="G349">
        <f t="shared" si="142"/>
        <v>-0.35916286306093453</v>
      </c>
      <c r="H349" s="2" t="str">
        <f t="shared" si="143"/>
        <v>Lower</v>
      </c>
      <c r="I349" s="2" t="str">
        <f t="shared" si="144"/>
        <v>Lower</v>
      </c>
      <c r="J349" s="2" t="str">
        <f t="shared" si="145"/>
        <v>Higher</v>
      </c>
      <c r="K349" s="2" t="str">
        <f t="shared" si="146"/>
        <v>Lower</v>
      </c>
      <c r="L349" s="2" t="str">
        <f t="shared" si="147"/>
        <v>Lower</v>
      </c>
      <c r="M349" s="2" t="str">
        <f t="shared" si="148"/>
        <v>Higher</v>
      </c>
      <c r="N349" s="2" t="str">
        <f t="shared" si="149"/>
        <v>Lower</v>
      </c>
      <c r="O349" s="2" t="str">
        <f t="shared" si="150"/>
        <v>Higher</v>
      </c>
      <c r="P349" s="2" t="str">
        <f t="shared" si="151"/>
        <v>Higher</v>
      </c>
      <c r="R349" s="4">
        <f>DATE(2023,3,30)</f>
        <v>45015</v>
      </c>
      <c r="S349">
        <v>0.77614184884629855</v>
      </c>
      <c r="T349">
        <v>0.73065085017490294</v>
      </c>
      <c r="U349">
        <v>-0.61725194271089046</v>
      </c>
      <c r="V349">
        <v>-0.37976990393674098</v>
      </c>
      <c r="X349" s="4">
        <f>DATE(2023,3,30)</f>
        <v>45015</v>
      </c>
      <c r="Y349">
        <v>18.882961099130206</v>
      </c>
      <c r="Z349">
        <v>31.554020556756207</v>
      </c>
      <c r="AA349">
        <v>90.807500000000005</v>
      </c>
      <c r="AB349">
        <v>43.609000000000002</v>
      </c>
      <c r="AC349">
        <f t="shared" si="152"/>
        <v>-1.3046695733969264E-2</v>
      </c>
      <c r="AD349">
        <f t="shared" si="153"/>
        <v>1.158395369500108E-2</v>
      </c>
      <c r="AE349">
        <f t="shared" si="154"/>
        <v>2.4630649428970343E-2</v>
      </c>
      <c r="AF349">
        <f t="shared" si="155"/>
        <v>0.12653471959064638</v>
      </c>
      <c r="AH349">
        <f t="shared" si="156"/>
        <v>-4.0043121225151392E-2</v>
      </c>
      <c r="AI349">
        <f t="shared" si="157"/>
        <v>-7.4591454645292293E-2</v>
      </c>
      <c r="AJ349">
        <f t="shared" si="158"/>
        <v>-3.4548333420140902E-2</v>
      </c>
      <c r="AK349">
        <f t="shared" si="159"/>
        <v>-0.12045057653099418</v>
      </c>
      <c r="AM349">
        <f t="shared" si="160"/>
        <v>0.14433837576995381</v>
      </c>
      <c r="AN349">
        <f t="shared" si="161"/>
        <v>-0.50724656956539282</v>
      </c>
      <c r="AO349">
        <f t="shared" si="162"/>
        <v>-0.65158494533534661</v>
      </c>
      <c r="AP349">
        <f t="shared" si="163"/>
        <v>-1.1555157385732939</v>
      </c>
      <c r="AR349">
        <f t="shared" si="164"/>
        <v>8.3715624873160019E-2</v>
      </c>
      <c r="AS349">
        <f t="shared" si="165"/>
        <v>-1.1176912021158623</v>
      </c>
      <c r="AT349">
        <f t="shared" si="166"/>
        <v>-1.2014068269890223</v>
      </c>
      <c r="AU349">
        <f t="shared" si="167"/>
        <v>-2.8290783066041034</v>
      </c>
    </row>
    <row r="350" spans="1:47" x14ac:dyDescent="0.25">
      <c r="A350" s="4">
        <f>DATE(2023,3,29)</f>
        <v>45014</v>
      </c>
      <c r="B350">
        <v>-0.39731090679479286</v>
      </c>
      <c r="C350">
        <v>47.320466812451606</v>
      </c>
      <c r="D350">
        <v>0.3976402886398957</v>
      </c>
      <c r="E350">
        <f t="shared" si="140"/>
        <v>-0.60685010508147175</v>
      </c>
      <c r="F350">
        <f t="shared" si="141"/>
        <v>-0.61656232765524543</v>
      </c>
      <c r="G350">
        <f t="shared" si="142"/>
        <v>-0.49700490901491762</v>
      </c>
      <c r="H350" s="2" t="str">
        <f t="shared" si="143"/>
        <v>Lower</v>
      </c>
      <c r="I350" s="2" t="str">
        <f t="shared" si="144"/>
        <v>Lower</v>
      </c>
      <c r="J350" s="2" t="str">
        <f t="shared" si="145"/>
        <v>Higher</v>
      </c>
      <c r="K350" s="2" t="str">
        <f t="shared" si="146"/>
        <v>Lower</v>
      </c>
      <c r="L350" s="2" t="str">
        <f t="shared" si="147"/>
        <v>Lower</v>
      </c>
      <c r="M350" s="2" t="str">
        <f t="shared" si="148"/>
        <v>Higher</v>
      </c>
      <c r="N350" s="2" t="str">
        <f t="shared" si="149"/>
        <v>Lower</v>
      </c>
      <c r="O350" s="2" t="str">
        <f t="shared" si="150"/>
        <v>Lower</v>
      </c>
      <c r="P350" s="2" t="str">
        <f t="shared" si="151"/>
        <v>Higher</v>
      </c>
      <c r="R350" s="4">
        <f>DATE(2023,3,29)</f>
        <v>45014</v>
      </c>
      <c r="S350">
        <v>0.70946564989720262</v>
      </c>
      <c r="T350">
        <v>0.6714492978303499</v>
      </c>
      <c r="U350">
        <v>-0.62810333710923372</v>
      </c>
      <c r="V350">
        <v>-0.37525717197445463</v>
      </c>
      <c r="X350" s="4">
        <f>DATE(2023,3,29)</f>
        <v>45014</v>
      </c>
      <c r="Y350">
        <v>18.389015940756682</v>
      </c>
      <c r="Z350">
        <v>29.85798451216975</v>
      </c>
      <c r="AA350">
        <v>90.25</v>
      </c>
      <c r="AB350">
        <v>42.802999999999997</v>
      </c>
      <c r="AC350">
        <f t="shared" si="152"/>
        <v>6.6982837748815948E-3</v>
      </c>
      <c r="AD350">
        <f t="shared" si="153"/>
        <v>5.8738027324782817E-2</v>
      </c>
      <c r="AE350">
        <f t="shared" si="154"/>
        <v>5.2039743549901221E-2</v>
      </c>
      <c r="AF350">
        <f t="shared" si="155"/>
        <v>0.27766135187677821</v>
      </c>
      <c r="AH350">
        <f t="shared" si="156"/>
        <v>-7.7396977701441216E-2</v>
      </c>
      <c r="AI350">
        <f t="shared" si="157"/>
        <v>-0.10078965717493568</v>
      </c>
      <c r="AJ350">
        <f t="shared" si="158"/>
        <v>-2.3392679473494465E-2</v>
      </c>
      <c r="AK350">
        <f t="shared" si="159"/>
        <v>-8.7391554307039834E-2</v>
      </c>
      <c r="AM350">
        <f t="shared" si="160"/>
        <v>0.13051260590638802</v>
      </c>
      <c r="AN350">
        <f t="shared" si="161"/>
        <v>-0.41811748057964992</v>
      </c>
      <c r="AO350">
        <f t="shared" si="162"/>
        <v>-0.54863008648603795</v>
      </c>
      <c r="AP350">
        <f t="shared" si="163"/>
        <v>-0.98108943548047189</v>
      </c>
      <c r="AR350">
        <f t="shared" si="164"/>
        <v>9.042187007399892E-2</v>
      </c>
      <c r="AS350">
        <f t="shared" si="165"/>
        <v>-1.088924443902292</v>
      </c>
      <c r="AT350">
        <f t="shared" si="166"/>
        <v>-1.179346313976291</v>
      </c>
      <c r="AU350">
        <f t="shared" si="167"/>
        <v>-2.8168479494014562</v>
      </c>
    </row>
    <row r="351" spans="1:47" x14ac:dyDescent="0.25">
      <c r="A351" s="4">
        <f>DATE(2023,3,28)</f>
        <v>45013</v>
      </c>
      <c r="B351">
        <v>-0.60208794525092268</v>
      </c>
      <c r="C351">
        <v>45.257703100205497</v>
      </c>
      <c r="D351">
        <v>0.32100970942796198</v>
      </c>
      <c r="E351">
        <f t="shared" si="140"/>
        <v>-0.8665385987032308</v>
      </c>
      <c r="F351">
        <f t="shared" si="141"/>
        <v>-0.79723532630107197</v>
      </c>
      <c r="G351">
        <f t="shared" si="142"/>
        <v>-0.7114459439985118</v>
      </c>
      <c r="H351" s="2" t="str">
        <f t="shared" si="143"/>
        <v>Lower</v>
      </c>
      <c r="I351" s="2" t="str">
        <f t="shared" si="144"/>
        <v>Lower</v>
      </c>
      <c r="J351" s="2" t="str">
        <f t="shared" si="145"/>
        <v>Higher</v>
      </c>
      <c r="K351" s="2" t="str">
        <f t="shared" si="146"/>
        <v>Lower</v>
      </c>
      <c r="L351" s="2" t="str">
        <f t="shared" si="147"/>
        <v>Lower</v>
      </c>
      <c r="M351" s="2" t="str">
        <f t="shared" si="148"/>
        <v>Higher</v>
      </c>
      <c r="N351" s="2" t="str">
        <f t="shared" si="149"/>
        <v>Lower</v>
      </c>
      <c r="O351" s="2" t="str">
        <f t="shared" si="150"/>
        <v>Lower</v>
      </c>
      <c r="P351" s="2" t="str">
        <f t="shared" si="151"/>
        <v>Higher</v>
      </c>
      <c r="R351" s="4">
        <f>DATE(2023,3,28)</f>
        <v>45013</v>
      </c>
      <c r="S351">
        <v>0.33109337284500984</v>
      </c>
      <c r="T351">
        <v>0.61278033382968145</v>
      </c>
      <c r="U351">
        <v>-0.63656612186937445</v>
      </c>
      <c r="V351">
        <v>-0.37113070676123372</v>
      </c>
      <c r="X351" s="4">
        <f>DATE(2023,3,28)</f>
        <v>45013</v>
      </c>
      <c r="Y351">
        <v>18.227329177648983</v>
      </c>
      <c r="Z351">
        <v>29.90146355856411</v>
      </c>
      <c r="AA351">
        <v>89.237499999999997</v>
      </c>
      <c r="AB351">
        <v>42.771500000000003</v>
      </c>
      <c r="AC351">
        <f t="shared" si="152"/>
        <v>-4.6397310579546994E-3</v>
      </c>
      <c r="AD351">
        <f t="shared" si="153"/>
        <v>2.9064728414645087E-2</v>
      </c>
      <c r="AE351">
        <f t="shared" si="154"/>
        <v>3.3704459472599785E-2</v>
      </c>
      <c r="AF351">
        <f t="shared" si="155"/>
        <v>0.1758229433549883</v>
      </c>
      <c r="AH351">
        <f t="shared" si="156"/>
        <v>-0.112342667163466</v>
      </c>
      <c r="AI351">
        <f t="shared" si="157"/>
        <v>-9.424901267620435E-2</v>
      </c>
      <c r="AJ351">
        <f t="shared" si="158"/>
        <v>1.8093654487261648E-2</v>
      </c>
      <c r="AK351">
        <f t="shared" si="159"/>
        <v>3.6262311842074173E-2</v>
      </c>
      <c r="AM351">
        <f t="shared" si="160"/>
        <v>6.2808683249357289E-2</v>
      </c>
      <c r="AN351">
        <f t="shared" si="161"/>
        <v>-0.52514575510489769</v>
      </c>
      <c r="AO351">
        <f t="shared" si="162"/>
        <v>-0.58795443835425498</v>
      </c>
      <c r="AP351">
        <f t="shared" si="163"/>
        <v>-1.05037719556732</v>
      </c>
      <c r="AR351">
        <f t="shared" si="164"/>
        <v>5.3278439663530727E-2</v>
      </c>
      <c r="AS351">
        <f t="shared" si="165"/>
        <v>-1.0769117390382525</v>
      </c>
      <c r="AT351">
        <f t="shared" si="166"/>
        <v>-1.1301901787017832</v>
      </c>
      <c r="AU351">
        <f t="shared" si="167"/>
        <v>-2.7547899360918775</v>
      </c>
    </row>
    <row r="352" spans="1:47" x14ac:dyDescent="0.25">
      <c r="A352" s="4">
        <f>DATE(2023,3,27)</f>
        <v>45012</v>
      </c>
      <c r="B352">
        <v>-0.76823813690287701</v>
      </c>
      <c r="C352">
        <v>41.036213478120473</v>
      </c>
      <c r="D352">
        <v>0.19119185060880298</v>
      </c>
      <c r="E352">
        <f t="shared" si="140"/>
        <v>-1.0837905278714968</v>
      </c>
      <c r="F352">
        <f t="shared" si="141"/>
        <v>-1.1870451317078416</v>
      </c>
      <c r="G352">
        <f t="shared" si="142"/>
        <v>-1.0881041882688427</v>
      </c>
      <c r="H352" s="2" t="str">
        <f t="shared" si="143"/>
        <v>Lower</v>
      </c>
      <c r="I352" s="2" t="str">
        <f t="shared" si="144"/>
        <v>Lower</v>
      </c>
      <c r="J352" s="2" t="str">
        <f t="shared" si="145"/>
        <v>Higher</v>
      </c>
      <c r="K352" s="2" t="str">
        <f t="shared" si="146"/>
        <v>Lower</v>
      </c>
      <c r="L352" s="2" t="str">
        <f t="shared" si="147"/>
        <v>Lower</v>
      </c>
      <c r="M352" s="2" t="str">
        <f t="shared" si="148"/>
        <v>Higher</v>
      </c>
      <c r="N352" s="2" t="str">
        <f t="shared" si="149"/>
        <v>Lower</v>
      </c>
      <c r="O352" s="2" t="str">
        <f t="shared" si="150"/>
        <v>Lower</v>
      </c>
      <c r="P352" s="2" t="str">
        <f t="shared" si="151"/>
        <v>Higher</v>
      </c>
      <c r="R352" s="4">
        <f>DATE(2023,3,27)</f>
        <v>45012</v>
      </c>
      <c r="S352">
        <v>0.36370637901478048</v>
      </c>
      <c r="T352">
        <v>0.56493634670187076</v>
      </c>
      <c r="U352">
        <v>-0.63676428961084897</v>
      </c>
      <c r="V352">
        <v>-0.36722384619263482</v>
      </c>
      <c r="X352" s="4">
        <f>DATE(2023,3,27)</f>
        <v>45012</v>
      </c>
      <c r="Y352">
        <v>16.485242003880188</v>
      </c>
      <c r="Z352">
        <v>29.335012050952386</v>
      </c>
      <c r="AA352">
        <v>87.685000000000002</v>
      </c>
      <c r="AB352">
        <v>42.527999999999999</v>
      </c>
      <c r="AC352">
        <f t="shared" si="152"/>
        <v>3.2269607498630237E-3</v>
      </c>
      <c r="AD352">
        <f t="shared" si="153"/>
        <v>7.2565383254038163E-2</v>
      </c>
      <c r="AE352">
        <f t="shared" si="154"/>
        <v>6.9338422504175143E-2</v>
      </c>
      <c r="AF352">
        <f t="shared" si="155"/>
        <v>0.37196735879583009</v>
      </c>
      <c r="AH352">
        <f t="shared" si="156"/>
        <v>-0.12756190853953087</v>
      </c>
      <c r="AI352">
        <f t="shared" si="157"/>
        <v>-0.10632647109451608</v>
      </c>
      <c r="AJ352">
        <f t="shared" si="158"/>
        <v>2.1235437445014785E-2</v>
      </c>
      <c r="AK352">
        <f t="shared" si="159"/>
        <v>4.5260172867223489E-2</v>
      </c>
      <c r="AM352">
        <f t="shared" si="160"/>
        <v>2.5731670785174899E-2</v>
      </c>
      <c r="AN352" t="str">
        <f t="shared" si="161"/>
        <v/>
      </c>
      <c r="AO352" t="str">
        <f t="shared" si="162"/>
        <v/>
      </c>
      <c r="AP352" t="str">
        <f t="shared" si="163"/>
        <v/>
      </c>
      <c r="AR352">
        <f t="shared" si="164"/>
        <v>4.2249758647979835E-2</v>
      </c>
      <c r="AS352" t="str">
        <f t="shared" si="165"/>
        <v/>
      </c>
      <c r="AT352" t="str">
        <f t="shared" si="166"/>
        <v/>
      </c>
      <c r="AU352" t="str">
        <f t="shared" si="167"/>
        <v/>
      </c>
    </row>
    <row r="353" spans="1:47" x14ac:dyDescent="0.25">
      <c r="A353" s="4">
        <f>DATE(2023,3,24)</f>
        <v>45009</v>
      </c>
      <c r="B353">
        <v>-0.76534938864493374</v>
      </c>
      <c r="C353">
        <v>41.408806454993488</v>
      </c>
      <c r="D353">
        <v>0.17610102552451889</v>
      </c>
      <c r="E353">
        <f t="shared" si="140"/>
        <v>-1.0934088271055851</v>
      </c>
      <c r="F353">
        <f t="shared" si="141"/>
        <v>-1.1536081270965239</v>
      </c>
      <c r="G353">
        <f t="shared" si="142"/>
        <v>-1.1408405090944307</v>
      </c>
      <c r="H353" s="2" t="str">
        <f t="shared" si="143"/>
        <v>Lower</v>
      </c>
      <c r="I353" s="2" t="str">
        <f t="shared" si="144"/>
        <v>Lower</v>
      </c>
      <c r="J353" s="2" t="str">
        <f t="shared" si="145"/>
        <v>Higher</v>
      </c>
      <c r="K353" s="2" t="str">
        <f t="shared" si="146"/>
        <v>Lower</v>
      </c>
      <c r="L353" s="2" t="str">
        <f t="shared" si="147"/>
        <v>Lower</v>
      </c>
      <c r="M353" s="2" t="str">
        <f t="shared" si="148"/>
        <v>Higher</v>
      </c>
      <c r="N353" s="2" t="str">
        <f t="shared" si="149"/>
        <v>Lower</v>
      </c>
      <c r="O353" s="2" t="str">
        <f t="shared" si="150"/>
        <v>Lower</v>
      </c>
      <c r="P353" s="2" t="str">
        <f t="shared" si="151"/>
        <v>Higher</v>
      </c>
      <c r="R353" s="4">
        <f>DATE(2023,3,24)</f>
        <v>45009</v>
      </c>
      <c r="S353">
        <v>0.74209798565554019</v>
      </c>
      <c r="T353">
        <v>0.50403178124386794</v>
      </c>
      <c r="U353">
        <v>-0.64104396347181281</v>
      </c>
      <c r="V353">
        <v>-0.36367942972714884</v>
      </c>
      <c r="X353" s="4">
        <f>DATE(2023,3,24)</f>
        <v>45009</v>
      </c>
      <c r="Y353">
        <v>17.245974818171529</v>
      </c>
      <c r="Z353">
        <v>28.41428146210675</v>
      </c>
      <c r="AA353">
        <v>89.015000000000001</v>
      </c>
      <c r="AB353">
        <v>41.257999999999996</v>
      </c>
      <c r="AC353">
        <f t="shared" si="152"/>
        <v>1.5624433331686642E-2</v>
      </c>
      <c r="AD353">
        <f t="shared" si="153"/>
        <v>-4.1552737206337356E-2</v>
      </c>
      <c r="AE353">
        <f t="shared" si="154"/>
        <v>-5.7177170538024E-2</v>
      </c>
      <c r="AF353">
        <f t="shared" si="155"/>
        <v>-0.32624776589090121</v>
      </c>
      <c r="AH353">
        <f t="shared" si="156"/>
        <v>-9.5677772434147615E-2</v>
      </c>
      <c r="AI353">
        <f t="shared" si="157"/>
        <v>-0.21223546883230879</v>
      </c>
      <c r="AJ353">
        <f t="shared" si="158"/>
        <v>-0.11655769639816117</v>
      </c>
      <c r="AK353">
        <f t="shared" si="159"/>
        <v>-0.36721799094221813</v>
      </c>
      <c r="AM353">
        <f t="shared" si="160"/>
        <v>6.2492272221527027E-2</v>
      </c>
      <c r="AN353">
        <f t="shared" si="161"/>
        <v>-0.61502447799626903</v>
      </c>
      <c r="AO353">
        <f t="shared" si="162"/>
        <v>-0.677516750217796</v>
      </c>
      <c r="AP353">
        <f t="shared" si="163"/>
        <v>-1.2066455088025612</v>
      </c>
      <c r="AR353">
        <f t="shared" si="164"/>
        <v>7.3827160043258358E-2</v>
      </c>
      <c r="AS353">
        <f t="shared" si="165"/>
        <v>-1.0486167835044242</v>
      </c>
      <c r="AT353">
        <f t="shared" si="166"/>
        <v>-1.1224439435476825</v>
      </c>
      <c r="AU353">
        <f t="shared" si="167"/>
        <v>-2.7662240746584938</v>
      </c>
    </row>
    <row r="354" spans="1:47" x14ac:dyDescent="0.25">
      <c r="A354" s="4">
        <f>DATE(2023,3,23)</f>
        <v>45008</v>
      </c>
      <c r="B354">
        <v>-0.71470710921548886</v>
      </c>
      <c r="C354">
        <v>50.082453342629243</v>
      </c>
      <c r="D354">
        <v>0.42405798843330317</v>
      </c>
      <c r="E354">
        <f t="shared" si="140"/>
        <v>-1.0403923627161957</v>
      </c>
      <c r="F354">
        <f t="shared" si="141"/>
        <v>-0.32368647729251321</v>
      </c>
      <c r="G354">
        <f t="shared" si="142"/>
        <v>-0.41532404358333863</v>
      </c>
      <c r="H354" s="2" t="str">
        <f t="shared" si="143"/>
        <v>Lower</v>
      </c>
      <c r="I354" s="2" t="str">
        <f t="shared" si="144"/>
        <v>Lower</v>
      </c>
      <c r="J354" s="2" t="str">
        <f t="shared" si="145"/>
        <v>Higher</v>
      </c>
      <c r="K354" s="2" t="str">
        <f t="shared" si="146"/>
        <v>Lower</v>
      </c>
      <c r="L354" s="2" t="str">
        <f t="shared" si="147"/>
        <v>Lower</v>
      </c>
      <c r="M354" s="2" t="str">
        <f t="shared" si="148"/>
        <v>Higher</v>
      </c>
      <c r="N354" s="2" t="str">
        <f t="shared" si="149"/>
        <v>Lower</v>
      </c>
      <c r="O354" s="2" t="str">
        <f t="shared" si="150"/>
        <v>Lower</v>
      </c>
      <c r="P354" s="2" t="str">
        <f t="shared" si="151"/>
        <v>Higher</v>
      </c>
      <c r="R354" s="4">
        <f>DATE(2023,3,23)</f>
        <v>45008</v>
      </c>
      <c r="S354">
        <v>0.39439090397405097</v>
      </c>
      <c r="T354">
        <v>0.41031918892290875</v>
      </c>
      <c r="U354">
        <v>-0.63969017834990693</v>
      </c>
      <c r="V354">
        <v>-0.36066017382799892</v>
      </c>
      <c r="X354" s="4">
        <f>DATE(2023,3,23)</f>
        <v>45008</v>
      </c>
      <c r="Y354">
        <v>19.845526179288726</v>
      </c>
      <c r="Z354">
        <v>29.911589175264247</v>
      </c>
      <c r="AA354">
        <v>92</v>
      </c>
      <c r="AB354">
        <v>43.106750000000005</v>
      </c>
      <c r="AC354">
        <f t="shared" si="152"/>
        <v>4.3912135468459179E-2</v>
      </c>
      <c r="AD354">
        <f t="shared" si="153"/>
        <v>-1.670736098181436E-2</v>
      </c>
      <c r="AE354">
        <f t="shared" si="154"/>
        <v>-6.0619496450273536E-2</v>
      </c>
      <c r="AF354">
        <f t="shared" si="155"/>
        <v>-0.34625821667316825</v>
      </c>
      <c r="AH354">
        <f t="shared" si="156"/>
        <v>-5.6113181784857392E-2</v>
      </c>
      <c r="AI354">
        <f t="shared" si="157"/>
        <v>-0.16382297890028974</v>
      </c>
      <c r="AJ354">
        <f t="shared" si="158"/>
        <v>-0.10770979711543235</v>
      </c>
      <c r="AK354">
        <f t="shared" si="159"/>
        <v>-0.34162431594567005</v>
      </c>
      <c r="AM354">
        <f t="shared" si="160"/>
        <v>8.0167262531619959E-2</v>
      </c>
      <c r="AN354">
        <f t="shared" si="161"/>
        <v>-0.66511134127352323</v>
      </c>
      <c r="AO354">
        <f t="shared" si="162"/>
        <v>-0.74527860380514321</v>
      </c>
      <c r="AP354">
        <f t="shared" si="163"/>
        <v>-1.3263417365655121</v>
      </c>
      <c r="AR354">
        <f t="shared" si="164"/>
        <v>9.3803163749751228E-2</v>
      </c>
      <c r="AS354">
        <f t="shared" si="165"/>
        <v>-1.0595331519802158</v>
      </c>
      <c r="AT354">
        <f t="shared" si="166"/>
        <v>-1.153336315729967</v>
      </c>
      <c r="AU354">
        <f t="shared" si="167"/>
        <v>-2.8492741760402991</v>
      </c>
    </row>
    <row r="355" spans="1:47" x14ac:dyDescent="0.25">
      <c r="A355" s="4">
        <f>DATE(2023,3,22)</f>
        <v>45007</v>
      </c>
      <c r="B355">
        <v>-1.0724228140590017</v>
      </c>
      <c r="C355">
        <v>43.608230735863955</v>
      </c>
      <c r="D355">
        <v>0.24463062592974633</v>
      </c>
      <c r="E355">
        <f t="shared" si="140"/>
        <v>-1.5063727325018852</v>
      </c>
      <c r="F355">
        <f t="shared" si="141"/>
        <v>-0.91375976723535379</v>
      </c>
      <c r="G355">
        <f t="shared" si="142"/>
        <v>-0.93731508106735895</v>
      </c>
      <c r="H355" s="2" t="str">
        <f t="shared" si="143"/>
        <v>Lower</v>
      </c>
      <c r="I355" s="2" t="str">
        <f t="shared" si="144"/>
        <v>Lower</v>
      </c>
      <c r="J355" s="2" t="str">
        <f t="shared" si="145"/>
        <v>Higher</v>
      </c>
      <c r="K355" s="2" t="str">
        <f t="shared" si="146"/>
        <v>Lower</v>
      </c>
      <c r="L355" s="2" t="str">
        <f t="shared" si="147"/>
        <v>Lower</v>
      </c>
      <c r="M355" s="2" t="str">
        <f t="shared" si="148"/>
        <v>Higher</v>
      </c>
      <c r="N355" s="2" t="str">
        <f t="shared" si="149"/>
        <v>Lower</v>
      </c>
      <c r="O355" s="2" t="str">
        <f t="shared" si="150"/>
        <v>Lower</v>
      </c>
      <c r="P355" s="2" t="str">
        <f t="shared" si="151"/>
        <v>Higher</v>
      </c>
      <c r="R355" s="4">
        <f>DATE(2023,3,22)</f>
        <v>45007</v>
      </c>
      <c r="S355">
        <v>-0.43352123290128169</v>
      </c>
      <c r="T355">
        <v>0.33601748194199449</v>
      </c>
      <c r="U355">
        <v>-0.61192612695759907</v>
      </c>
      <c r="V355">
        <v>-0.3548817734316051</v>
      </c>
      <c r="X355" s="4">
        <f>DATE(2023,3,22)</f>
        <v>45007</v>
      </c>
      <c r="Y355">
        <v>16.582290654466686</v>
      </c>
      <c r="Z355">
        <v>27.052268455289152</v>
      </c>
      <c r="AA355">
        <v>89.647500000000008</v>
      </c>
      <c r="AB355">
        <v>40.361249999999998</v>
      </c>
      <c r="AC355">
        <f t="shared" si="152"/>
        <v>-1.1864968842399263E-2</v>
      </c>
      <c r="AD355">
        <f t="shared" si="153"/>
        <v>-6.5420785363266176E-2</v>
      </c>
      <c r="AE355">
        <f t="shared" si="154"/>
        <v>-5.3555816520866911E-2</v>
      </c>
      <c r="AF355">
        <f t="shared" si="155"/>
        <v>-0.30773690829846767</v>
      </c>
      <c r="AH355">
        <f t="shared" si="156"/>
        <v>-8.4197807173338954E-2</v>
      </c>
      <c r="AI355">
        <f t="shared" si="157"/>
        <v>-0.22544879890551692</v>
      </c>
      <c r="AJ355">
        <f t="shared" si="158"/>
        <v>-0.14125099173217798</v>
      </c>
      <c r="AK355">
        <f t="shared" si="159"/>
        <v>-0.44256732617611677</v>
      </c>
      <c r="AM355">
        <f t="shared" si="160"/>
        <v>3.3027820224736507E-2</v>
      </c>
      <c r="AN355">
        <f t="shared" si="161"/>
        <v>-0.70090295988801266</v>
      </c>
      <c r="AO355">
        <f t="shared" si="162"/>
        <v>-0.73393078011274915</v>
      </c>
      <c r="AP355">
        <f t="shared" si="163"/>
        <v>-1.3102103661033595</v>
      </c>
      <c r="AR355">
        <f t="shared" si="164"/>
        <v>4.5791235353776577E-2</v>
      </c>
      <c r="AS355">
        <f t="shared" si="165"/>
        <v>-1.0923844230064932</v>
      </c>
      <c r="AT355">
        <f t="shared" si="166"/>
        <v>-1.1381756583602698</v>
      </c>
      <c r="AU355">
        <f t="shared" si="167"/>
        <v>-2.8495266440853539</v>
      </c>
    </row>
    <row r="356" spans="1:47" x14ac:dyDescent="0.25">
      <c r="A356" s="4">
        <f>DATE(2023,3,21)</f>
        <v>45006</v>
      </c>
      <c r="B356">
        <v>-1.2560815966343037</v>
      </c>
      <c r="C356">
        <v>43.716829505496136</v>
      </c>
      <c r="D356">
        <v>0.22206493636764446</v>
      </c>
      <c r="E356">
        <f t="shared" si="140"/>
        <v>-1.7650577593146621</v>
      </c>
      <c r="F356">
        <f t="shared" si="141"/>
        <v>-0.89340290039406356</v>
      </c>
      <c r="G356">
        <f t="shared" si="142"/>
        <v>-1.005901676449465</v>
      </c>
      <c r="H356" s="2" t="str">
        <f t="shared" si="143"/>
        <v>Lower</v>
      </c>
      <c r="I356" s="2" t="str">
        <f t="shared" si="144"/>
        <v>Lower</v>
      </c>
      <c r="J356" s="2" t="str">
        <f t="shared" si="145"/>
        <v>Higher</v>
      </c>
      <c r="K356" s="2" t="str">
        <f t="shared" si="146"/>
        <v>Lower</v>
      </c>
      <c r="L356" s="2" t="str">
        <f t="shared" si="147"/>
        <v>Lower</v>
      </c>
      <c r="M356" s="2" t="str">
        <f t="shared" si="148"/>
        <v>Higher</v>
      </c>
      <c r="N356" s="2" t="str">
        <f t="shared" si="149"/>
        <v>Lower</v>
      </c>
      <c r="O356" s="2" t="str">
        <f t="shared" si="150"/>
        <v>Lower</v>
      </c>
      <c r="P356" s="2" t="str">
        <f t="shared" si="151"/>
        <v>Higher</v>
      </c>
      <c r="R356" s="4">
        <f>DATE(2023,3,21)</f>
        <v>45006</v>
      </c>
      <c r="S356">
        <v>-0.110140363047151</v>
      </c>
      <c r="T356">
        <v>0.21480574703680194</v>
      </c>
      <c r="U356">
        <v>-0.58207310732638717</v>
      </c>
      <c r="V356">
        <v>-0.35262771968891321</v>
      </c>
      <c r="X356" s="4">
        <f>DATE(2023,3,21)</f>
        <v>45006</v>
      </c>
      <c r="Y356">
        <v>17.442660378752763</v>
      </c>
      <c r="Z356">
        <v>28.735319325765328</v>
      </c>
      <c r="AA356">
        <v>89.652500000000003</v>
      </c>
      <c r="AB356">
        <v>41.546250000000001</v>
      </c>
      <c r="AC356">
        <f t="shared" si="152"/>
        <v>-4.3783501026488515E-2</v>
      </c>
      <c r="AD356">
        <f t="shared" si="153"/>
        <v>-7.5986640805733016E-2</v>
      </c>
      <c r="AE356">
        <f t="shared" si="154"/>
        <v>-3.2203139779244501E-2</v>
      </c>
      <c r="AF356">
        <f t="shared" si="155"/>
        <v>-0.18995394738978055</v>
      </c>
      <c r="AH356">
        <f t="shared" si="156"/>
        <v>-0.10557242259801386</v>
      </c>
      <c r="AI356">
        <f t="shared" si="157"/>
        <v>-0.16718414440983473</v>
      </c>
      <c r="AJ356">
        <f t="shared" si="158"/>
        <v>-6.1611721811820869E-2</v>
      </c>
      <c r="AK356">
        <f t="shared" si="159"/>
        <v>-0.2046974262298108</v>
      </c>
      <c r="AM356">
        <f t="shared" si="160"/>
        <v>8.232112345470461E-3</v>
      </c>
      <c r="AN356">
        <f t="shared" si="161"/>
        <v>-0.65575672575164279</v>
      </c>
      <c r="AO356">
        <f t="shared" si="162"/>
        <v>-0.66398883809711329</v>
      </c>
      <c r="AP356">
        <f t="shared" si="163"/>
        <v>-1.1929017280213099</v>
      </c>
      <c r="AR356">
        <f t="shared" si="164"/>
        <v>7.0944764634937971E-2</v>
      </c>
      <c r="AS356">
        <f t="shared" si="165"/>
        <v>-0.84831600011493946</v>
      </c>
      <c r="AT356">
        <f t="shared" si="166"/>
        <v>-0.91926076474987739</v>
      </c>
      <c r="AU356">
        <f t="shared" si="167"/>
        <v>-2.4670100140164677</v>
      </c>
    </row>
    <row r="357" spans="1:47" x14ac:dyDescent="0.25">
      <c r="A357" s="4">
        <f>DATE(2023,3,20)</f>
        <v>45005</v>
      </c>
      <c r="B357">
        <v>-1.4529784297702493</v>
      </c>
      <c r="C357">
        <v>39.271559721231647</v>
      </c>
      <c r="D357">
        <v>8.360484862427503E-2</v>
      </c>
      <c r="E357">
        <f t="shared" si="140"/>
        <v>-2.0533469308263435</v>
      </c>
      <c r="F357">
        <f t="shared" si="141"/>
        <v>-1.2947086617711303</v>
      </c>
      <c r="G357">
        <f t="shared" si="142"/>
        <v>-1.4163886990994836</v>
      </c>
      <c r="H357" s="2" t="str">
        <f t="shared" si="143"/>
        <v>Lower</v>
      </c>
      <c r="I357" s="2" t="str">
        <f t="shared" si="144"/>
        <v>Lower</v>
      </c>
      <c r="J357" s="2" t="str">
        <f t="shared" si="145"/>
        <v>Higher</v>
      </c>
      <c r="K357" s="2" t="str">
        <f t="shared" si="146"/>
        <v>Lower</v>
      </c>
      <c r="L357" s="2" t="str">
        <f t="shared" si="147"/>
        <v>Lower</v>
      </c>
      <c r="M357" s="2" t="str">
        <f t="shared" si="148"/>
        <v>Higher</v>
      </c>
      <c r="N357" s="2" t="str">
        <f t="shared" si="149"/>
        <v>Lower</v>
      </c>
      <c r="O357" s="2" t="str">
        <f t="shared" si="150"/>
        <v>Lower</v>
      </c>
      <c r="P357" s="2" t="str">
        <f t="shared" si="151"/>
        <v>Higher</v>
      </c>
      <c r="R357" s="4">
        <f>DATE(2023,3,20)</f>
        <v>45005</v>
      </c>
      <c r="S357">
        <v>0.32266656628332557</v>
      </c>
      <c r="T357">
        <v>9.8260658339720475E-2</v>
      </c>
      <c r="U357">
        <v>-0.55589406984041723</v>
      </c>
      <c r="V357">
        <v>-0.35019218394698182</v>
      </c>
      <c r="X357" s="4">
        <f>DATE(2023,3,20)</f>
        <v>45005</v>
      </c>
      <c r="Y357">
        <v>14.259182921030064</v>
      </c>
      <c r="Z357">
        <v>26.896385697492704</v>
      </c>
      <c r="AA357">
        <v>87.402500000000003</v>
      </c>
      <c r="AB357">
        <v>39.551250000000003</v>
      </c>
      <c r="AC357">
        <f t="shared" si="152"/>
        <v>-0.10822531925889811</v>
      </c>
      <c r="AD357">
        <f t="shared" si="153"/>
        <v>-0.23339017016898961</v>
      </c>
      <c r="AE357">
        <f t="shared" si="154"/>
        <v>-0.1251648509100915</v>
      </c>
      <c r="AF357">
        <f t="shared" si="155"/>
        <v>-0.70302134292354479</v>
      </c>
      <c r="AH357">
        <f t="shared" si="156"/>
        <v>-0.11594756280915586</v>
      </c>
      <c r="AI357" t="str">
        <f t="shared" si="157"/>
        <v/>
      </c>
      <c r="AJ357" t="str">
        <f t="shared" si="158"/>
        <v/>
      </c>
      <c r="AK357" t="str">
        <f t="shared" si="159"/>
        <v/>
      </c>
      <c r="AM357" t="str">
        <f t="shared" si="160"/>
        <v/>
      </c>
      <c r="AN357" t="str">
        <f t="shared" si="161"/>
        <v/>
      </c>
      <c r="AO357" t="str">
        <f t="shared" si="162"/>
        <v/>
      </c>
      <c r="AP357" t="str">
        <f t="shared" si="163"/>
        <v/>
      </c>
      <c r="AR357">
        <f t="shared" si="164"/>
        <v>7.2593145140219209E-2</v>
      </c>
      <c r="AS357">
        <f t="shared" si="165"/>
        <v>-0.74607499061571703</v>
      </c>
      <c r="AT357">
        <f t="shared" si="166"/>
        <v>-0.81866813575593622</v>
      </c>
      <c r="AU357">
        <f t="shared" si="167"/>
        <v>-2.2956801958980702</v>
      </c>
    </row>
    <row r="358" spans="1:47" x14ac:dyDescent="0.25">
      <c r="A358" s="4">
        <f>DATE(2023,3,17)</f>
        <v>45002</v>
      </c>
      <c r="B358">
        <v>-1.4595322413520495</v>
      </c>
      <c r="C358">
        <v>37.978801920122564</v>
      </c>
      <c r="D358">
        <v>-1.0775519204599553E-2</v>
      </c>
      <c r="E358">
        <f t="shared" si="140"/>
        <v>-2.1072182464176561</v>
      </c>
      <c r="F358">
        <f t="shared" si="141"/>
        <v>-1.4122002921837726</v>
      </c>
      <c r="G358">
        <f t="shared" si="142"/>
        <v>-1.7079289655594825</v>
      </c>
      <c r="H358" s="2" t="str">
        <f t="shared" si="143"/>
        <v>Lower</v>
      </c>
      <c r="I358" s="2" t="str">
        <f t="shared" si="144"/>
        <v>Lower</v>
      </c>
      <c r="J358" s="2" t="str">
        <f t="shared" si="145"/>
        <v>Higher</v>
      </c>
      <c r="K358" s="2" t="str">
        <f t="shared" si="146"/>
        <v>Lower</v>
      </c>
      <c r="L358" s="2" t="str">
        <f t="shared" si="147"/>
        <v>Lower</v>
      </c>
      <c r="M358" s="2" t="str">
        <f t="shared" si="148"/>
        <v>Higher</v>
      </c>
      <c r="N358" s="2" t="str">
        <f t="shared" si="149"/>
        <v>Lower</v>
      </c>
      <c r="O358" s="2" t="str">
        <f t="shared" si="150"/>
        <v>Lower</v>
      </c>
      <c r="P358" s="2" t="str">
        <f t="shared" si="151"/>
        <v>Higher</v>
      </c>
      <c r="R358" s="4">
        <f>DATE(2023,3,17)</f>
        <v>45002</v>
      </c>
      <c r="S358">
        <v>0.86129925114728823</v>
      </c>
      <c r="T358">
        <v>-3.3138874148337084E-2</v>
      </c>
      <c r="U358">
        <v>-0.51485200452287527</v>
      </c>
      <c r="V358">
        <v>-0.34880891631902211</v>
      </c>
      <c r="X358" s="4">
        <f>DATE(2023,3,17)</f>
        <v>45002</v>
      </c>
      <c r="Y358">
        <v>15.512254052469759</v>
      </c>
      <c r="Z358">
        <v>29.722648164304577</v>
      </c>
      <c r="AA358">
        <v>87.635000000000005</v>
      </c>
      <c r="AB358">
        <v>43.008499999999998</v>
      </c>
      <c r="AC358">
        <f t="shared" si="152"/>
        <v>-0.12750468167827816</v>
      </c>
      <c r="AD358">
        <f t="shared" si="153"/>
        <v>-0.17650738356509327</v>
      </c>
      <c r="AE358">
        <f t="shared" si="154"/>
        <v>-4.9002701886815103E-2</v>
      </c>
      <c r="AF358">
        <f t="shared" si="155"/>
        <v>-0.28401405226504334</v>
      </c>
      <c r="AH358">
        <f t="shared" si="156"/>
        <v>-9.760529760112123E-2</v>
      </c>
      <c r="AI358">
        <f t="shared" si="157"/>
        <v>-0.13470416455606701</v>
      </c>
      <c r="AJ358">
        <f t="shared" si="158"/>
        <v>-3.7098866954945783E-2</v>
      </c>
      <c r="AK358">
        <f t="shared" si="159"/>
        <v>-0.13119800717213226</v>
      </c>
      <c r="AM358">
        <f t="shared" si="160"/>
        <v>-2.0806735502191209E-2</v>
      </c>
      <c r="AN358">
        <f t="shared" si="161"/>
        <v>-0.65716569038407302</v>
      </c>
      <c r="AO358">
        <f t="shared" si="162"/>
        <v>-0.63635895488188177</v>
      </c>
      <c r="AP358">
        <f t="shared" si="163"/>
        <v>-1.1478740330699391</v>
      </c>
      <c r="AR358">
        <f t="shared" si="164"/>
        <v>7.0524335618950856E-2</v>
      </c>
      <c r="AS358">
        <f t="shared" si="165"/>
        <v>-0.65096406389280104</v>
      </c>
      <c r="AT358">
        <f t="shared" si="166"/>
        <v>-0.72148839951175192</v>
      </c>
      <c r="AU358">
        <f t="shared" si="167"/>
        <v>-2.1262727648717847</v>
      </c>
    </row>
    <row r="359" spans="1:47" x14ac:dyDescent="0.25">
      <c r="A359" s="4">
        <f>DATE(2023,3,16)</f>
        <v>45001</v>
      </c>
      <c r="B359">
        <v>-1.3056128996006779</v>
      </c>
      <c r="C359">
        <v>37.47526335309437</v>
      </c>
      <c r="D359">
        <v>-0.12489540966394952</v>
      </c>
      <c r="E359">
        <f t="shared" si="140"/>
        <v>-1.9455788446175553</v>
      </c>
      <c r="F359">
        <f t="shared" si="141"/>
        <v>-1.4658961086713367</v>
      </c>
      <c r="G359">
        <f t="shared" si="142"/>
        <v>-2.07334960702764</v>
      </c>
      <c r="H359" s="2" t="str">
        <f t="shared" si="143"/>
        <v>Lower</v>
      </c>
      <c r="I359" s="2" t="str">
        <f t="shared" si="144"/>
        <v>Lower</v>
      </c>
      <c r="J359" s="2" t="str">
        <f t="shared" si="145"/>
        <v>Higher</v>
      </c>
      <c r="K359" s="2" t="str">
        <f t="shared" si="146"/>
        <v>Lower</v>
      </c>
      <c r="L359" s="2" t="str">
        <f t="shared" si="147"/>
        <v>Lower</v>
      </c>
      <c r="M359" s="2" t="str">
        <f t="shared" si="148"/>
        <v>Higher</v>
      </c>
      <c r="N359" s="2" t="str">
        <f t="shared" si="149"/>
        <v>Lower</v>
      </c>
      <c r="O359" s="2" t="str">
        <f t="shared" si="150"/>
        <v>Lower</v>
      </c>
      <c r="P359" s="2" t="str">
        <f t="shared" si="151"/>
        <v>Higher</v>
      </c>
      <c r="R359" s="4">
        <f>DATE(2023,3,16)</f>
        <v>45001</v>
      </c>
      <c r="S359">
        <v>0.9168737021525879</v>
      </c>
      <c r="T359">
        <v>-0.15320627511407442</v>
      </c>
      <c r="U359">
        <v>-0.52611778684985078</v>
      </c>
      <c r="V359">
        <v>-0.3471326847336863</v>
      </c>
      <c r="X359" s="4">
        <f>DATE(2023,3,16)</f>
        <v>45001</v>
      </c>
      <c r="Y359">
        <v>16.72027913425632</v>
      </c>
      <c r="Z359">
        <v>31.263123985539899</v>
      </c>
      <c r="AA359">
        <v>88.047499999999999</v>
      </c>
      <c r="AB359">
        <v>43.832999999999998</v>
      </c>
      <c r="AC359">
        <f t="shared" si="152"/>
        <v>-0.11017301759909216</v>
      </c>
      <c r="AD359">
        <f t="shared" si="153"/>
        <v>1.9495029684119678E-2</v>
      </c>
      <c r="AE359">
        <f t="shared" si="154"/>
        <v>0.12966804728321185</v>
      </c>
      <c r="AF359">
        <f t="shared" si="155"/>
        <v>0.70183055515943737</v>
      </c>
      <c r="AH359">
        <f t="shared" si="156"/>
        <v>-9.575147639763168E-2</v>
      </c>
      <c r="AI359">
        <f t="shared" si="157"/>
        <v>-0.18058334175101853</v>
      </c>
      <c r="AJ359">
        <f t="shared" si="158"/>
        <v>-8.4831865353386854E-2</v>
      </c>
      <c r="AK359">
        <f t="shared" si="159"/>
        <v>-0.2743518022374038</v>
      </c>
      <c r="AM359">
        <f t="shared" si="160"/>
        <v>-1.1630335753786726E-2</v>
      </c>
      <c r="AN359">
        <f t="shared" si="161"/>
        <v>-0.74072747846603715</v>
      </c>
      <c r="AO359">
        <f t="shared" si="162"/>
        <v>-0.72909714271225046</v>
      </c>
      <c r="AP359">
        <f t="shared" si="163"/>
        <v>-1.3108789271773849</v>
      </c>
      <c r="AR359">
        <f t="shared" si="164"/>
        <v>8.4569914767432336E-2</v>
      </c>
      <c r="AS359">
        <f t="shared" si="165"/>
        <v>-0.66085153594767054</v>
      </c>
      <c r="AT359">
        <f t="shared" si="166"/>
        <v>-0.74542145071510291</v>
      </c>
      <c r="AU359">
        <f t="shared" si="167"/>
        <v>-2.1840843726798158</v>
      </c>
    </row>
    <row r="360" spans="1:47" x14ac:dyDescent="0.25">
      <c r="A360" s="4">
        <f>DATE(2023,3,15)</f>
        <v>45000</v>
      </c>
      <c r="B360">
        <v>-0.94642878494729388</v>
      </c>
      <c r="C360">
        <v>40.425793096969585</v>
      </c>
      <c r="D360">
        <v>-0.12358161318587699</v>
      </c>
      <c r="E360">
        <f t="shared" si="140"/>
        <v>-1.4833531793045092</v>
      </c>
      <c r="F360">
        <f t="shared" si="141"/>
        <v>-1.1965338767889753</v>
      </c>
      <c r="G360">
        <f t="shared" si="142"/>
        <v>-2.1096834666800364</v>
      </c>
      <c r="H360" s="2" t="str">
        <f t="shared" si="143"/>
        <v>Higher</v>
      </c>
      <c r="I360" s="2" t="str">
        <f t="shared" si="144"/>
        <v>Lower</v>
      </c>
      <c r="J360" s="2" t="str">
        <f t="shared" si="145"/>
        <v>Higher</v>
      </c>
      <c r="K360" s="2" t="str">
        <f t="shared" si="146"/>
        <v>Lower</v>
      </c>
      <c r="L360" s="2" t="str">
        <f t="shared" si="147"/>
        <v>Lower</v>
      </c>
      <c r="M360" s="2" t="str">
        <f t="shared" si="148"/>
        <v>Higher</v>
      </c>
      <c r="N360" s="2" t="str">
        <f t="shared" si="149"/>
        <v>Lower</v>
      </c>
      <c r="O360" s="2" t="str">
        <f t="shared" si="150"/>
        <v>Lower</v>
      </c>
      <c r="P360" s="2" t="str">
        <f t="shared" si="151"/>
        <v>Higher</v>
      </c>
      <c r="R360" s="4">
        <f>DATE(2023,3,15)</f>
        <v>45000</v>
      </c>
      <c r="S360">
        <v>0.69034618415189763</v>
      </c>
      <c r="T360">
        <v>-0.23506874973305664</v>
      </c>
      <c r="U360">
        <v>-0.53529067068879288</v>
      </c>
      <c r="V360">
        <v>-0.34563598999478506</v>
      </c>
      <c r="X360" s="4">
        <f>DATE(2023,3,15)</f>
        <v>45000</v>
      </c>
      <c r="Y360">
        <v>18.616607695222164</v>
      </c>
      <c r="Z360">
        <v>31.462538395788275</v>
      </c>
      <c r="AA360">
        <v>90.717500000000001</v>
      </c>
      <c r="AB360">
        <v>43.09</v>
      </c>
      <c r="AC360">
        <f t="shared" si="152"/>
        <v>-7.3639375042179933E-2</v>
      </c>
      <c r="AD360">
        <f t="shared" si="153"/>
        <v>4.3200630015783181E-3</v>
      </c>
      <c r="AE360">
        <f t="shared" si="154"/>
        <v>7.7959438043758253E-2</v>
      </c>
      <c r="AF360">
        <f t="shared" si="155"/>
        <v>0.41766182444245703</v>
      </c>
      <c r="AH360">
        <f t="shared" si="156"/>
        <v>-3.0719046405328687E-2</v>
      </c>
      <c r="AI360">
        <f t="shared" si="157"/>
        <v>-0.23650480753584627</v>
      </c>
      <c r="AJ360">
        <f t="shared" si="158"/>
        <v>-0.20578576113051758</v>
      </c>
      <c r="AK360">
        <f t="shared" si="159"/>
        <v>-0.63723622200950669</v>
      </c>
      <c r="AM360">
        <f t="shared" si="160"/>
        <v>2.9135875180514199E-2</v>
      </c>
      <c r="AN360">
        <f t="shared" si="161"/>
        <v>-0.81914270738647432</v>
      </c>
      <c r="AO360">
        <f t="shared" si="162"/>
        <v>-0.84827858256698851</v>
      </c>
      <c r="AP360">
        <f t="shared" si="163"/>
        <v>-1.5210492258969102</v>
      </c>
      <c r="AR360">
        <f t="shared" si="164"/>
        <v>0.1235385367012895</v>
      </c>
      <c r="AS360">
        <f t="shared" si="165"/>
        <v>-0.61129557394844025</v>
      </c>
      <c r="AT360">
        <f t="shared" si="166"/>
        <v>-0.73483411064972981</v>
      </c>
      <c r="AU360">
        <f t="shared" si="167"/>
        <v>-2.1769833784483033</v>
      </c>
    </row>
    <row r="361" spans="1:47" x14ac:dyDescent="0.25">
      <c r="A361" s="4">
        <f>DATE(2023,3,14)</f>
        <v>44999</v>
      </c>
      <c r="B361">
        <v>-0.5338153601057567</v>
      </c>
      <c r="C361">
        <v>45.909546735653954</v>
      </c>
      <c r="D361">
        <v>8.489845923363884E-2</v>
      </c>
      <c r="E361">
        <f t="shared" si="140"/>
        <v>-0.92129547187781213</v>
      </c>
      <c r="F361">
        <f t="shared" si="141"/>
        <v>-0.68963031033620792</v>
      </c>
      <c r="G361">
        <f t="shared" si="142"/>
        <v>-1.5122214685248629</v>
      </c>
      <c r="H361" s="2" t="str">
        <f t="shared" si="143"/>
        <v>Higher</v>
      </c>
      <c r="I361" s="2" t="str">
        <f t="shared" si="144"/>
        <v>Lower</v>
      </c>
      <c r="J361" s="2" t="str">
        <f t="shared" si="145"/>
        <v>Higher</v>
      </c>
      <c r="K361" s="2" t="str">
        <f t="shared" si="146"/>
        <v>Lower</v>
      </c>
      <c r="L361" s="2" t="str">
        <f t="shared" si="147"/>
        <v>Lower</v>
      </c>
      <c r="M361" s="2" t="str">
        <f t="shared" si="148"/>
        <v>Higher</v>
      </c>
      <c r="N361" s="2" t="str">
        <f t="shared" si="149"/>
        <v>Lower</v>
      </c>
      <c r="O361" s="2" t="str">
        <f t="shared" si="150"/>
        <v>Lower</v>
      </c>
      <c r="P361" s="2" t="str">
        <f t="shared" si="151"/>
        <v>Higher</v>
      </c>
      <c r="R361" s="4">
        <f>DATE(2023,3,14)</f>
        <v>44999</v>
      </c>
      <c r="S361">
        <v>0.42288935383011506</v>
      </c>
      <c r="T361">
        <v>-0.37361005909000039</v>
      </c>
      <c r="U361">
        <v>-0.51099217424502741</v>
      </c>
      <c r="V361">
        <v>-0.34289555411630207</v>
      </c>
      <c r="X361" s="4">
        <f>DATE(2023,3,14)</f>
        <v>44999</v>
      </c>
      <c r="Y361">
        <v>21.222066253378578</v>
      </c>
      <c r="Z361">
        <v>32.645249693080011</v>
      </c>
      <c r="AA361">
        <v>93.665000000000006</v>
      </c>
      <c r="AB361">
        <v>44.826250000000002</v>
      </c>
      <c r="AC361">
        <f t="shared" si="152"/>
        <v>-1.6885408459692029E-2</v>
      </c>
      <c r="AD361">
        <f t="shared" si="153"/>
        <v>3.4699008705527126E-2</v>
      </c>
      <c r="AE361">
        <f t="shared" si="154"/>
        <v>5.1584417165219151E-2</v>
      </c>
      <c r="AF361">
        <f t="shared" si="155"/>
        <v>0.27252135605749073</v>
      </c>
      <c r="AH361">
        <f t="shared" si="156"/>
        <v>1.9268418865877206E-2</v>
      </c>
      <c r="AI361">
        <f t="shared" si="157"/>
        <v>-0.15400168076997944</v>
      </c>
      <c r="AJ361">
        <f t="shared" si="158"/>
        <v>-0.17327009963585666</v>
      </c>
      <c r="AK361">
        <f t="shared" si="159"/>
        <v>-0.54103550884422158</v>
      </c>
      <c r="AM361">
        <f t="shared" si="160"/>
        <v>4.8339190231551019E-2</v>
      </c>
      <c r="AN361">
        <f t="shared" si="161"/>
        <v>-0.8576974522494647</v>
      </c>
      <c r="AO361">
        <f t="shared" si="162"/>
        <v>-0.90603664248101567</v>
      </c>
      <c r="AP361">
        <f t="shared" si="163"/>
        <v>-1.6257715768028176</v>
      </c>
      <c r="AR361">
        <f t="shared" si="164"/>
        <v>0.13856957180414117</v>
      </c>
      <c r="AS361">
        <f t="shared" si="165"/>
        <v>-0.57874511048053501</v>
      </c>
      <c r="AT361">
        <f t="shared" si="166"/>
        <v>-0.71731468228467621</v>
      </c>
      <c r="AU361">
        <f t="shared" si="167"/>
        <v>-2.1563467780360042</v>
      </c>
    </row>
    <row r="362" spans="1:47" x14ac:dyDescent="0.25">
      <c r="A362" s="4">
        <f>DATE(2023,3,13)</f>
        <v>44998</v>
      </c>
      <c r="B362">
        <v>-0.21136171683846694</v>
      </c>
      <c r="C362">
        <v>54.723881274366434</v>
      </c>
      <c r="D362">
        <v>0.53750580324617592</v>
      </c>
      <c r="E362">
        <f t="shared" si="140"/>
        <v>-0.46704886648120247</v>
      </c>
      <c r="F362">
        <f t="shared" si="141"/>
        <v>0.13010069769527965</v>
      </c>
      <c r="G362">
        <f t="shared" si="142"/>
        <v>-0.12795658022394257</v>
      </c>
      <c r="H362" s="2" t="str">
        <f t="shared" si="143"/>
        <v>Higher</v>
      </c>
      <c r="I362" s="2" t="str">
        <f t="shared" si="144"/>
        <v>Lower</v>
      </c>
      <c r="J362" s="2" t="str">
        <f t="shared" si="145"/>
        <v>Higher</v>
      </c>
      <c r="K362" s="2" t="str">
        <f t="shared" si="146"/>
        <v>Lower</v>
      </c>
      <c r="L362" s="2" t="str">
        <f t="shared" si="147"/>
        <v>Lower</v>
      </c>
      <c r="M362" s="2" t="str">
        <f t="shared" si="148"/>
        <v>Higher</v>
      </c>
      <c r="N362" s="2" t="str">
        <f t="shared" si="149"/>
        <v>Lower</v>
      </c>
      <c r="O362" s="2" t="str">
        <f t="shared" si="150"/>
        <v>Lower</v>
      </c>
      <c r="P362" s="2" t="str">
        <f t="shared" si="151"/>
        <v>Higher</v>
      </c>
      <c r="R362" s="4">
        <f>DATE(2023,3,13)</f>
        <v>44998</v>
      </c>
      <c r="S362">
        <v>0.5410000802748276</v>
      </c>
      <c r="T362">
        <v>-0.44889680329459825</v>
      </c>
      <c r="U362">
        <v>-0.48451301966330179</v>
      </c>
      <c r="V362">
        <v>-0.33679532510376431</v>
      </c>
      <c r="X362" s="4">
        <f>DATE(2023,3,13)</f>
        <v>44998</v>
      </c>
      <c r="Y362">
        <v>23.449983914434654</v>
      </c>
      <c r="Z362">
        <v>37.214112591979386</v>
      </c>
      <c r="AA362">
        <v>97.392499999999998</v>
      </c>
      <c r="AB362">
        <v>49.948250000000002</v>
      </c>
      <c r="AC362">
        <f t="shared" si="152"/>
        <v>4.4323424167957495E-2</v>
      </c>
      <c r="AD362">
        <f t="shared" si="153"/>
        <v>0.16562135484544993</v>
      </c>
      <c r="AE362">
        <f t="shared" si="154"/>
        <v>0.12129793067749244</v>
      </c>
      <c r="AF362">
        <f t="shared" si="155"/>
        <v>0.65798411754277375</v>
      </c>
      <c r="AH362">
        <f t="shared" si="156"/>
        <v>5.1243307998698716E-2</v>
      </c>
      <c r="AI362">
        <f t="shared" si="157"/>
        <v>-3.4605699421691047E-2</v>
      </c>
      <c r="AJ362">
        <f t="shared" si="158"/>
        <v>-8.5849007420389756E-2</v>
      </c>
      <c r="AK362">
        <f t="shared" si="159"/>
        <v>-0.27980606924198631</v>
      </c>
      <c r="AM362">
        <f t="shared" si="160"/>
        <v>0.14469360973807185</v>
      </c>
      <c r="AN362">
        <f t="shared" si="161"/>
        <v>-0.7761589383873847</v>
      </c>
      <c r="AO362">
        <f t="shared" si="162"/>
        <v>-0.92085254812545658</v>
      </c>
      <c r="AP362">
        <f t="shared" si="163"/>
        <v>-1.6581337303798742</v>
      </c>
      <c r="AR362">
        <f t="shared" si="164"/>
        <v>0.16201925744433143</v>
      </c>
      <c r="AS362">
        <f t="shared" si="165"/>
        <v>-0.50386628574261538</v>
      </c>
      <c r="AT362">
        <f t="shared" si="166"/>
        <v>-0.66588554318694682</v>
      </c>
      <c r="AU362">
        <f t="shared" si="167"/>
        <v>-2.0695920442786173</v>
      </c>
    </row>
    <row r="363" spans="1:47" x14ac:dyDescent="0.25">
      <c r="A363" s="4">
        <f>DATE(2023,3,10)</f>
        <v>44995</v>
      </c>
      <c r="B363">
        <v>-0.16042890794070352</v>
      </c>
      <c r="C363">
        <v>61.278791752535142</v>
      </c>
      <c r="D363">
        <v>0.80398245229841026</v>
      </c>
      <c r="E363">
        <f t="shared" si="140"/>
        <v>-0.37068713314821983</v>
      </c>
      <c r="F363">
        <f t="shared" si="141"/>
        <v>0.73429975032908512</v>
      </c>
      <c r="G363">
        <f t="shared" si="142"/>
        <v>0.69658106604277292</v>
      </c>
      <c r="H363" s="2" t="str">
        <f t="shared" si="143"/>
        <v>Higher</v>
      </c>
      <c r="I363" s="2" t="str">
        <f t="shared" si="144"/>
        <v>Lower</v>
      </c>
      <c r="J363" s="2" t="str">
        <f t="shared" si="145"/>
        <v>Higher</v>
      </c>
      <c r="K363" s="2" t="str">
        <f t="shared" si="146"/>
        <v>Lower</v>
      </c>
      <c r="L363" s="2" t="str">
        <f t="shared" si="147"/>
        <v>Lower</v>
      </c>
      <c r="M363" s="2" t="str">
        <f t="shared" si="148"/>
        <v>Higher</v>
      </c>
      <c r="N363" s="2" t="str">
        <f t="shared" si="149"/>
        <v>Higher</v>
      </c>
      <c r="O363" s="2" t="str">
        <f t="shared" si="150"/>
        <v>Lower</v>
      </c>
      <c r="P363" s="2" t="str">
        <f t="shared" si="151"/>
        <v>Higher</v>
      </c>
      <c r="R363" s="4">
        <f>DATE(2023,3,10)</f>
        <v>44995</v>
      </c>
      <c r="S363">
        <v>0.6504268671949236</v>
      </c>
      <c r="T363">
        <v>-0.46907009896909629</v>
      </c>
      <c r="U363">
        <v>-0.44123821453194745</v>
      </c>
      <c r="V363">
        <v>-0.328654052359028</v>
      </c>
      <c r="X363" s="4">
        <f>DATE(2023,3,10)</f>
        <v>44995</v>
      </c>
      <c r="Y363">
        <v>26.150076314726551</v>
      </c>
      <c r="Z363">
        <v>41.241605380173183</v>
      </c>
      <c r="AA363">
        <v>99.552500000000009</v>
      </c>
      <c r="AB363">
        <v>51.311</v>
      </c>
      <c r="AC363">
        <f t="shared" si="152"/>
        <v>7.5072365998753623E-2</v>
      </c>
      <c r="AD363">
        <f t="shared" si="153"/>
        <v>0.12446016207519621</v>
      </c>
      <c r="AE363">
        <f t="shared" si="154"/>
        <v>4.9387796076442586E-2</v>
      </c>
      <c r="AF363">
        <f t="shared" si="155"/>
        <v>0.26182861501445759</v>
      </c>
      <c r="AH363">
        <f t="shared" si="156"/>
        <v>7.3179245571825174E-2</v>
      </c>
      <c r="AI363">
        <f t="shared" si="157"/>
        <v>-4.6861679132003689E-2</v>
      </c>
      <c r="AJ363">
        <f t="shared" si="158"/>
        <v>-0.12004092470382886</v>
      </c>
      <c r="AK363">
        <f t="shared" si="159"/>
        <v>-0.38213065888795056</v>
      </c>
      <c r="AM363">
        <f t="shared" si="160"/>
        <v>0.1667778866525472</v>
      </c>
      <c r="AN363">
        <f t="shared" si="161"/>
        <v>-0.81094104337908168</v>
      </c>
      <c r="AO363">
        <f t="shared" si="162"/>
        <v>-0.97771893003162891</v>
      </c>
      <c r="AP363">
        <f t="shared" si="163"/>
        <v>-1.7641101301574413</v>
      </c>
      <c r="AR363">
        <f t="shared" si="164"/>
        <v>0.13748182866095038</v>
      </c>
      <c r="AS363">
        <f t="shared" si="165"/>
        <v>-0.48215158134109559</v>
      </c>
      <c r="AT363">
        <f t="shared" si="166"/>
        <v>-0.61963341000204597</v>
      </c>
      <c r="AU363">
        <f t="shared" si="167"/>
        <v>-1.9910313366371564</v>
      </c>
    </row>
    <row r="364" spans="1:47" x14ac:dyDescent="0.25">
      <c r="A364" s="4">
        <f>DATE(2023,3,9)</f>
        <v>44994</v>
      </c>
      <c r="B364">
        <v>-0.36649080502657627</v>
      </c>
      <c r="C364">
        <v>58.917020380672604</v>
      </c>
      <c r="D364">
        <v>0.70864258159401483</v>
      </c>
      <c r="E364">
        <f t="shared" si="140"/>
        <v>-0.58526447738687104</v>
      </c>
      <c r="F364">
        <f t="shared" si="141"/>
        <v>0.53347457411737664</v>
      </c>
      <c r="G364">
        <f t="shared" si="142"/>
        <v>0.4188984571416477</v>
      </c>
      <c r="H364" s="2" t="str">
        <f t="shared" si="143"/>
        <v>Higher</v>
      </c>
      <c r="I364" s="2" t="str">
        <f t="shared" si="144"/>
        <v>Lower</v>
      </c>
      <c r="J364" s="2" t="str">
        <f t="shared" si="145"/>
        <v>Higher</v>
      </c>
      <c r="K364" s="2" t="str">
        <f t="shared" si="146"/>
        <v>Lower</v>
      </c>
      <c r="L364" s="2" t="str">
        <f t="shared" si="147"/>
        <v>Lower</v>
      </c>
      <c r="M364" s="2" t="str">
        <f t="shared" si="148"/>
        <v>Higher</v>
      </c>
      <c r="N364" s="2" t="str">
        <f t="shared" si="149"/>
        <v>Higher</v>
      </c>
      <c r="O364" s="2" t="str">
        <f t="shared" si="150"/>
        <v>Lower</v>
      </c>
      <c r="P364" s="2" t="str">
        <f t="shared" si="151"/>
        <v>Higher</v>
      </c>
      <c r="R364" s="4">
        <f>DATE(2023,3,9)</f>
        <v>44994</v>
      </c>
      <c r="S364">
        <v>-0.31819907009572618</v>
      </c>
      <c r="T364">
        <v>-0.5228058449248647</v>
      </c>
      <c r="U364">
        <v>-0.39739616078199008</v>
      </c>
      <c r="V364">
        <v>-0.31804746360945513</v>
      </c>
      <c r="X364" s="4">
        <f>DATE(2023,3,9)</f>
        <v>44994</v>
      </c>
      <c r="Y364">
        <v>26.242313940963381</v>
      </c>
      <c r="Z364">
        <v>20.237208591545745</v>
      </c>
      <c r="AA364">
        <v>98.302500000000009</v>
      </c>
      <c r="AB364">
        <v>42.986750000000001</v>
      </c>
      <c r="AC364">
        <f t="shared" si="152"/>
        <v>3.9264456639451037E-2</v>
      </c>
      <c r="AD364">
        <f t="shared" si="153"/>
        <v>-8.8963077042598787E-2</v>
      </c>
      <c r="AE364">
        <f t="shared" si="154"/>
        <v>-0.12822753368204981</v>
      </c>
      <c r="AF364">
        <f t="shared" si="155"/>
        <v>-0.71940526925079207</v>
      </c>
      <c r="AH364">
        <f t="shared" si="156"/>
        <v>7.496715019439576E-2</v>
      </c>
      <c r="AI364">
        <f t="shared" si="157"/>
        <v>-0.20436848013662579</v>
      </c>
      <c r="AJ364">
        <f t="shared" si="158"/>
        <v>-0.27933563033102154</v>
      </c>
      <c r="AK364">
        <f t="shared" si="159"/>
        <v>-0.85949988476241135</v>
      </c>
      <c r="AM364">
        <f t="shared" si="160"/>
        <v>0.1344291713187829</v>
      </c>
      <c r="AN364">
        <f t="shared" si="161"/>
        <v>-1.1426554327124527</v>
      </c>
      <c r="AO364">
        <f t="shared" si="162"/>
        <v>-1.2770846040312356</v>
      </c>
      <c r="AP364">
        <f t="shared" si="163"/>
        <v>-2.2958328953142906</v>
      </c>
      <c r="AR364">
        <f t="shared" si="164"/>
        <v>0.12519196596630106</v>
      </c>
      <c r="AS364">
        <f t="shared" si="165"/>
        <v>-0.66926989381442403</v>
      </c>
      <c r="AT364">
        <f t="shared" si="166"/>
        <v>-0.79446185978072514</v>
      </c>
      <c r="AU364">
        <f t="shared" si="167"/>
        <v>-2.342343683125399</v>
      </c>
    </row>
    <row r="365" spans="1:47" x14ac:dyDescent="0.25">
      <c r="A365" s="4">
        <f>DATE(2023,3,8)</f>
        <v>44993</v>
      </c>
      <c r="B365">
        <v>-0.55355982915282942</v>
      </c>
      <c r="C365">
        <v>57.932947398068904</v>
      </c>
      <c r="D365">
        <v>0.67894625596225178</v>
      </c>
      <c r="E365">
        <f t="shared" si="140"/>
        <v>-0.76330604264343527</v>
      </c>
      <c r="F365">
        <f t="shared" si="141"/>
        <v>0.45983820300984513</v>
      </c>
      <c r="G365">
        <f t="shared" si="142"/>
        <v>0.34144397396158288</v>
      </c>
      <c r="H365" s="2" t="str">
        <f t="shared" si="143"/>
        <v>Higher</v>
      </c>
      <c r="I365" s="2" t="str">
        <f t="shared" si="144"/>
        <v>Lower</v>
      </c>
      <c r="J365" s="2" t="str">
        <f t="shared" si="145"/>
        <v>Higher</v>
      </c>
      <c r="K365" s="2" t="str">
        <f t="shared" si="146"/>
        <v>Lower</v>
      </c>
      <c r="L365" s="2" t="str">
        <f t="shared" si="147"/>
        <v>Lower</v>
      </c>
      <c r="M365" s="2" t="str">
        <f t="shared" si="148"/>
        <v>Higher</v>
      </c>
      <c r="N365" s="2" t="str">
        <f t="shared" si="149"/>
        <v>Higher</v>
      </c>
      <c r="O365" s="2" t="str">
        <f t="shared" si="150"/>
        <v>Lower</v>
      </c>
      <c r="P365" s="2" t="str">
        <f t="shared" si="151"/>
        <v>Higher</v>
      </c>
      <c r="R365" s="4">
        <f>DATE(2023,3,8)</f>
        <v>44993</v>
      </c>
      <c r="S365">
        <v>-0.49094096113841729</v>
      </c>
      <c r="T365">
        <v>-0.51482591531183042</v>
      </c>
      <c r="U365">
        <v>-0.36671978662736593</v>
      </c>
      <c r="V365">
        <v>-0.3078940819918301</v>
      </c>
      <c r="X365" s="4">
        <f>DATE(2023,3,8)</f>
        <v>44993</v>
      </c>
      <c r="Y365">
        <v>26.306028992616216</v>
      </c>
      <c r="Z365">
        <v>21.912783316164937</v>
      </c>
      <c r="AA365">
        <v>97.65</v>
      </c>
      <c r="AB365">
        <v>42.904249999999998</v>
      </c>
      <c r="AC365">
        <f t="shared" si="152"/>
        <v>1.4090824082564353E-3</v>
      </c>
      <c r="AD365">
        <f t="shared" si="153"/>
        <v>-9.8426962138030677E-2</v>
      </c>
      <c r="AE365">
        <f t="shared" si="154"/>
        <v>-9.9836044546287112E-2</v>
      </c>
      <c r="AF365">
        <f t="shared" si="155"/>
        <v>-0.56379675225939085</v>
      </c>
      <c r="AH365">
        <f t="shared" si="156"/>
        <v>7.6509530179317345E-2</v>
      </c>
      <c r="AI365">
        <f t="shared" si="157"/>
        <v>-0.22419999792010684</v>
      </c>
      <c r="AJ365">
        <f t="shared" si="158"/>
        <v>-0.30070952809942419</v>
      </c>
      <c r="AK365">
        <f t="shared" si="159"/>
        <v>-0.92371146403276039</v>
      </c>
      <c r="AM365">
        <f t="shared" si="160"/>
        <v>0.11717837978791601</v>
      </c>
      <c r="AN365">
        <f t="shared" si="161"/>
        <v>-1.1201196096832828</v>
      </c>
      <c r="AO365">
        <f t="shared" si="162"/>
        <v>-1.2372979894711988</v>
      </c>
      <c r="AP365">
        <f t="shared" si="163"/>
        <v>-2.2414879701483184</v>
      </c>
      <c r="AR365">
        <f t="shared" si="164"/>
        <v>0.12817672514713263</v>
      </c>
      <c r="AS365">
        <f t="shared" si="165"/>
        <v>-0.69014180071443643</v>
      </c>
      <c r="AT365">
        <f t="shared" si="166"/>
        <v>-0.81831852586156906</v>
      </c>
      <c r="AU365">
        <f t="shared" si="167"/>
        <v>-2.4057056239248999</v>
      </c>
    </row>
    <row r="366" spans="1:47" x14ac:dyDescent="0.25">
      <c r="A366" s="4">
        <f>DATE(2023,3,7)</f>
        <v>44992</v>
      </c>
      <c r="B366">
        <v>-0.77848862077117786</v>
      </c>
      <c r="C366">
        <v>54.060753374549819</v>
      </c>
      <c r="D366">
        <v>0.52236385752782721</v>
      </c>
      <c r="E366">
        <f t="shared" si="140"/>
        <v>-0.97788733969148656</v>
      </c>
      <c r="F366">
        <f t="shared" si="141"/>
        <v>0.14634976862200197</v>
      </c>
      <c r="G366">
        <f t="shared" si="142"/>
        <v>-0.11227684095844322</v>
      </c>
      <c r="H366" s="2" t="str">
        <f t="shared" si="143"/>
        <v>Higher</v>
      </c>
      <c r="I366" s="2" t="str">
        <f t="shared" si="144"/>
        <v>Lower</v>
      </c>
      <c r="J366" s="2" t="str">
        <f t="shared" si="145"/>
        <v>Higher</v>
      </c>
      <c r="K366" s="2" t="str">
        <f t="shared" si="146"/>
        <v>Lower</v>
      </c>
      <c r="L366" s="2" t="str">
        <f t="shared" si="147"/>
        <v>Lower</v>
      </c>
      <c r="M366" s="2" t="str">
        <f t="shared" si="148"/>
        <v>Higher</v>
      </c>
      <c r="N366" s="2" t="str">
        <f t="shared" si="149"/>
        <v>Higher</v>
      </c>
      <c r="O366" s="2" t="str">
        <f t="shared" si="150"/>
        <v>Lower</v>
      </c>
      <c r="P366" s="2" t="str">
        <f t="shared" si="151"/>
        <v>Higher</v>
      </c>
      <c r="R366" s="4">
        <f>DATE(2023,3,7)</f>
        <v>44992</v>
      </c>
      <c r="S366">
        <v>0.31002529250534733</v>
      </c>
      <c r="T366">
        <v>-0.52851266104945993</v>
      </c>
      <c r="U366">
        <v>-0.3324464639647256</v>
      </c>
      <c r="V366">
        <v>-0.29878364679983305</v>
      </c>
      <c r="X366" s="4">
        <f>DATE(2023,3,7)</f>
        <v>44992</v>
      </c>
      <c r="Y366">
        <v>23.489775697783095</v>
      </c>
      <c r="Z366">
        <v>20.376929374170899</v>
      </c>
      <c r="AA366">
        <v>95.259999999999991</v>
      </c>
      <c r="AB366">
        <v>43.297499999999999</v>
      </c>
      <c r="AC366">
        <f t="shared" si="152"/>
        <v>-4.7034026619330607E-2</v>
      </c>
      <c r="AD366">
        <f t="shared" si="153"/>
        <v>-8.2026108990643359E-2</v>
      </c>
      <c r="AE366">
        <f t="shared" si="154"/>
        <v>-3.4992082371312752E-2</v>
      </c>
      <c r="AF366">
        <f t="shared" si="155"/>
        <v>-0.20627816491178297</v>
      </c>
      <c r="AH366">
        <f t="shared" si="156"/>
        <v>5.0956323421867844E-2</v>
      </c>
      <c r="AI366">
        <f t="shared" si="157"/>
        <v>-0.25685046157220087</v>
      </c>
      <c r="AJ366">
        <f t="shared" si="158"/>
        <v>-0.30780678499406872</v>
      </c>
      <c r="AK366">
        <f t="shared" si="159"/>
        <v>-0.9467129302743722</v>
      </c>
      <c r="AM366">
        <f t="shared" si="160"/>
        <v>7.194216403976908E-2</v>
      </c>
      <c r="AN366">
        <f t="shared" si="161"/>
        <v>-1.1557399073382781</v>
      </c>
      <c r="AO366">
        <f t="shared" si="162"/>
        <v>-1.2276820713780472</v>
      </c>
      <c r="AP366">
        <f t="shared" si="163"/>
        <v>-2.2396260456293615</v>
      </c>
      <c r="AR366">
        <f t="shared" si="164"/>
        <v>0.12418734374430448</v>
      </c>
      <c r="AS366">
        <f t="shared" si="165"/>
        <v>-0.77524243793507075</v>
      </c>
      <c r="AT366">
        <f t="shared" si="166"/>
        <v>-0.89942978167937526</v>
      </c>
      <c r="AU366">
        <f t="shared" si="167"/>
        <v>-2.5838580793563573</v>
      </c>
    </row>
    <row r="367" spans="1:47" x14ac:dyDescent="0.25">
      <c r="A367" s="4">
        <f>DATE(2023,3,6)</f>
        <v>44991</v>
      </c>
      <c r="B367">
        <v>-0.88513020057799041</v>
      </c>
      <c r="C367">
        <v>48.542549666059685</v>
      </c>
      <c r="D367">
        <v>0.33413194658652318</v>
      </c>
      <c r="E367">
        <f t="shared" si="140"/>
        <v>-1.0581789011898217</v>
      </c>
      <c r="F367">
        <f t="shared" si="141"/>
        <v>-0.2935133720360027</v>
      </c>
      <c r="G367">
        <f t="shared" si="142"/>
        <v>-0.64909416418704591</v>
      </c>
      <c r="H367" s="2" t="str">
        <f t="shared" si="143"/>
        <v>Higher</v>
      </c>
      <c r="I367" s="2" t="str">
        <f t="shared" si="144"/>
        <v>Lower</v>
      </c>
      <c r="J367" s="2" t="str">
        <f t="shared" si="145"/>
        <v>Higher</v>
      </c>
      <c r="K367" s="2" t="str">
        <f t="shared" si="146"/>
        <v>Higher</v>
      </c>
      <c r="L367" s="2" t="str">
        <f t="shared" si="147"/>
        <v>Lower</v>
      </c>
      <c r="M367" s="2" t="str">
        <f t="shared" si="148"/>
        <v>Higher</v>
      </c>
      <c r="N367" s="2" t="str">
        <f t="shared" si="149"/>
        <v>Higher</v>
      </c>
      <c r="O367" s="2" t="str">
        <f t="shared" si="150"/>
        <v>Lower</v>
      </c>
      <c r="P367" s="2" t="str">
        <f t="shared" si="151"/>
        <v>Higher</v>
      </c>
      <c r="R367" s="4">
        <f>DATE(2023,3,6)</f>
        <v>44991</v>
      </c>
      <c r="S367">
        <v>0.55394936267668482</v>
      </c>
      <c r="T367">
        <v>-0.59515880897378037</v>
      </c>
      <c r="U367">
        <v>-0.30395270218193288</v>
      </c>
      <c r="V367">
        <v>-0.29119575209329412</v>
      </c>
      <c r="X367" s="4">
        <f>DATE(2023,3,6)</f>
        <v>44991</v>
      </c>
      <c r="Y367">
        <v>20.62012209800141</v>
      </c>
      <c r="Z367">
        <v>20.231644970230615</v>
      </c>
      <c r="AA367">
        <v>93.17</v>
      </c>
      <c r="AB367">
        <v>42.3245</v>
      </c>
      <c r="AC367">
        <f t="shared" si="152"/>
        <v>-6.6886974198453145E-2</v>
      </c>
      <c r="AD367">
        <f t="shared" si="153"/>
        <v>-0.11112303902501439</v>
      </c>
      <c r="AE367">
        <f t="shared" si="154"/>
        <v>-4.4236064826561242E-2</v>
      </c>
      <c r="AF367">
        <f t="shared" si="155"/>
        <v>-0.25786781154310717</v>
      </c>
      <c r="AH367">
        <f t="shared" si="156"/>
        <v>1.182231913120464E-2</v>
      </c>
      <c r="AI367">
        <f t="shared" si="157"/>
        <v>-0.31695444259656486</v>
      </c>
      <c r="AJ367">
        <f t="shared" si="158"/>
        <v>-0.32877676172776948</v>
      </c>
      <c r="AK367">
        <f t="shared" si="159"/>
        <v>-1.0114907898139871</v>
      </c>
      <c r="AM367">
        <f t="shared" si="160"/>
        <v>3.9852016816269001E-2</v>
      </c>
      <c r="AN367">
        <f t="shared" si="161"/>
        <v>-1.171617623414464</v>
      </c>
      <c r="AO367">
        <f t="shared" si="162"/>
        <v>-1.211469640230733</v>
      </c>
      <c r="AP367">
        <f t="shared" si="163"/>
        <v>-2.2259738107698319</v>
      </c>
      <c r="AR367">
        <f t="shared" si="164"/>
        <v>0.10337091572109763</v>
      </c>
      <c r="AS367" t="str">
        <f t="shared" si="165"/>
        <v/>
      </c>
      <c r="AT367" t="str">
        <f t="shared" si="166"/>
        <v/>
      </c>
      <c r="AU367" t="str">
        <f t="shared" si="167"/>
        <v/>
      </c>
    </row>
    <row r="368" spans="1:47" x14ac:dyDescent="0.25">
      <c r="A368" s="4">
        <f>DATE(2023,3,3)</f>
        <v>44988</v>
      </c>
      <c r="B368">
        <v>-0.74096163277310234</v>
      </c>
      <c r="C368">
        <v>46.790582635576769</v>
      </c>
      <c r="D368">
        <v>0.28742490874544852</v>
      </c>
      <c r="E368">
        <f t="shared" si="140"/>
        <v>-0.87406420397944795</v>
      </c>
      <c r="F368">
        <f t="shared" si="141"/>
        <v>-0.42098104471706227</v>
      </c>
      <c r="G368">
        <f t="shared" si="142"/>
        <v>-0.76974077874985658</v>
      </c>
      <c r="H368" s="2" t="str">
        <f t="shared" si="143"/>
        <v>Higher</v>
      </c>
      <c r="I368" s="2" t="str">
        <f t="shared" si="144"/>
        <v>Lower</v>
      </c>
      <c r="J368" s="2" t="str">
        <f t="shared" si="145"/>
        <v>Higher</v>
      </c>
      <c r="K368" s="2" t="str">
        <f t="shared" si="146"/>
        <v>Higher</v>
      </c>
      <c r="L368" s="2" t="str">
        <f t="shared" si="147"/>
        <v>Lower</v>
      </c>
      <c r="M368" s="2" t="str">
        <f t="shared" si="148"/>
        <v>Higher</v>
      </c>
      <c r="N368" s="2" t="str">
        <f t="shared" si="149"/>
        <v>Higher</v>
      </c>
      <c r="O368" s="2" t="str">
        <f t="shared" si="150"/>
        <v>Lower</v>
      </c>
      <c r="P368" s="2" t="str">
        <f t="shared" si="151"/>
        <v>Higher</v>
      </c>
      <c r="R368" s="4">
        <f>DATE(2023,3,3)</f>
        <v>44988</v>
      </c>
      <c r="S368">
        <v>0.69502152416422824</v>
      </c>
      <c r="T368">
        <v>-0.68956886227156344</v>
      </c>
      <c r="U368">
        <v>-0.28880330252431363</v>
      </c>
      <c r="V368">
        <v>-0.28671124735783088</v>
      </c>
      <c r="X368" s="4">
        <f>DATE(2023,3,3)</f>
        <v>44988</v>
      </c>
      <c r="Y368">
        <v>19.305565779971378</v>
      </c>
      <c r="Z368">
        <v>22.486899252078647</v>
      </c>
      <c r="AA368">
        <v>92.352500000000006</v>
      </c>
      <c r="AB368">
        <v>45.306249999999991</v>
      </c>
      <c r="AC368">
        <f t="shared" si="152"/>
        <v>-5.8869890086309745E-2</v>
      </c>
      <c r="AD368">
        <f t="shared" si="153"/>
        <v>-0.11863551013607425</v>
      </c>
      <c r="AE368">
        <f t="shared" si="154"/>
        <v>-5.9765620049764503E-2</v>
      </c>
      <c r="AF368">
        <f t="shared" si="155"/>
        <v>-0.34415042805011214</v>
      </c>
      <c r="AH368">
        <f t="shared" si="156"/>
        <v>-1.7229775165237167E-2</v>
      </c>
      <c r="AI368">
        <f t="shared" si="157"/>
        <v>-0.25072812195095345</v>
      </c>
      <c r="AJ368">
        <f t="shared" si="158"/>
        <v>-0.23349834678571629</v>
      </c>
      <c r="AK368">
        <f t="shared" si="159"/>
        <v>-0.72704910173895509</v>
      </c>
      <c r="AM368">
        <f t="shared" si="160"/>
        <v>4.9498300385933849E-2</v>
      </c>
      <c r="AN368">
        <f t="shared" si="161"/>
        <v>-1.1218415604393503</v>
      </c>
      <c r="AO368">
        <f t="shared" si="162"/>
        <v>-1.1713398608252843</v>
      </c>
      <c r="AP368">
        <f t="shared" si="163"/>
        <v>-2.1690675596661007</v>
      </c>
      <c r="AR368">
        <f t="shared" si="164"/>
        <v>9.1290225936899172E-2</v>
      </c>
      <c r="AS368">
        <f t="shared" si="165"/>
        <v>-0.6492251313137577</v>
      </c>
      <c r="AT368">
        <f t="shared" si="166"/>
        <v>-0.74051535725065687</v>
      </c>
      <c r="AU368">
        <f t="shared" si="167"/>
        <v>-2.2899900813294565</v>
      </c>
    </row>
    <row r="369" spans="1:47" x14ac:dyDescent="0.25">
      <c r="A369" s="4">
        <f>DATE(2023,3,2)</f>
        <v>44987</v>
      </c>
      <c r="B369">
        <v>-0.40638921227020042</v>
      </c>
      <c r="C369">
        <v>49.120071847319053</v>
      </c>
      <c r="D369">
        <v>0.37099254817076727</v>
      </c>
      <c r="E369">
        <f t="shared" si="140"/>
        <v>-0.49335005447391134</v>
      </c>
      <c r="F369">
        <f t="shared" si="141"/>
        <v>-0.22153542547841665</v>
      </c>
      <c r="G369">
        <f t="shared" si="142"/>
        <v>-0.51764495420824386</v>
      </c>
      <c r="H369" s="2" t="str">
        <f t="shared" si="143"/>
        <v>Higher</v>
      </c>
      <c r="I369" s="2" t="str">
        <f t="shared" si="144"/>
        <v>Lower</v>
      </c>
      <c r="J369" s="2" t="str">
        <f t="shared" si="145"/>
        <v>Higher</v>
      </c>
      <c r="K369" s="2" t="str">
        <f t="shared" si="146"/>
        <v>Higher</v>
      </c>
      <c r="L369" s="2" t="str">
        <f t="shared" si="147"/>
        <v>Lower</v>
      </c>
      <c r="M369" s="2" t="str">
        <f t="shared" si="148"/>
        <v>Higher</v>
      </c>
      <c r="N369" s="2" t="str">
        <f t="shared" si="149"/>
        <v>Higher</v>
      </c>
      <c r="O369" s="2" t="str">
        <f t="shared" si="150"/>
        <v>Lower</v>
      </c>
      <c r="P369" s="2" t="str">
        <f t="shared" si="151"/>
        <v>Higher</v>
      </c>
      <c r="R369" s="4">
        <f>DATE(2023,3,2)</f>
        <v>44987</v>
      </c>
      <c r="S369">
        <v>7.3544217420122198E-3</v>
      </c>
      <c r="T369">
        <v>-0.75129743560931617</v>
      </c>
      <c r="U369">
        <v>-0.27952154340878976</v>
      </c>
      <c r="V369">
        <v>-0.28255011097527433</v>
      </c>
      <c r="X369" s="4">
        <f>DATE(2023,3,2)</f>
        <v>44987</v>
      </c>
      <c r="Y369">
        <v>20.116884055641027</v>
      </c>
      <c r="Z369">
        <v>23.86909593626822</v>
      </c>
      <c r="AA369">
        <v>94.517499999999998</v>
      </c>
      <c r="AB369">
        <v>46.986249999999998</v>
      </c>
      <c r="AC369">
        <f t="shared" si="152"/>
        <v>-2.9116756293675262E-2</v>
      </c>
      <c r="AD369">
        <f t="shared" si="153"/>
        <v>-7.7647570559996229E-2</v>
      </c>
      <c r="AE369">
        <f t="shared" si="154"/>
        <v>-4.8530814266320971E-2</v>
      </c>
      <c r="AF369">
        <f t="shared" si="155"/>
        <v>-0.28253579597062128</v>
      </c>
      <c r="AH369">
        <f t="shared" si="156"/>
        <v>8.39336649431114E-3</v>
      </c>
      <c r="AI369">
        <f t="shared" si="157"/>
        <v>-0.19266980777576803</v>
      </c>
      <c r="AJ369">
        <f t="shared" si="158"/>
        <v>-0.20106317427007916</v>
      </c>
      <c r="AK369">
        <f t="shared" si="159"/>
        <v>-0.62968480967258833</v>
      </c>
      <c r="AM369">
        <f t="shared" si="160"/>
        <v>6.4427436768879034E-2</v>
      </c>
      <c r="AN369">
        <f t="shared" si="161"/>
        <v>-1.0838488468055198</v>
      </c>
      <c r="AO369">
        <f t="shared" si="162"/>
        <v>-1.1482762835743989</v>
      </c>
      <c r="AP369">
        <f t="shared" si="163"/>
        <v>-2.1413455054058286</v>
      </c>
      <c r="AR369">
        <f t="shared" si="164"/>
        <v>0.11844450758779007</v>
      </c>
      <c r="AS369">
        <f t="shared" si="165"/>
        <v>-0.60415502436680468</v>
      </c>
      <c r="AT369">
        <f t="shared" si="166"/>
        <v>-0.72259953195459481</v>
      </c>
      <c r="AU369">
        <f t="shared" si="167"/>
        <v>-2.2697848988232145</v>
      </c>
    </row>
    <row r="370" spans="1:47" x14ac:dyDescent="0.25">
      <c r="A370" s="4">
        <f>DATE(2023,3,1)</f>
        <v>44986</v>
      </c>
      <c r="B370">
        <v>-2.3474906201568224E-3</v>
      </c>
      <c r="C370">
        <v>56.876516652590794</v>
      </c>
      <c r="D370">
        <v>0.63808130194767709</v>
      </c>
      <c r="E370">
        <f t="shared" si="140"/>
        <v>-4.6337441316915258E-2</v>
      </c>
      <c r="F370">
        <f t="shared" si="141"/>
        <v>0.41083368506149254</v>
      </c>
      <c r="G370">
        <f t="shared" si="142"/>
        <v>0.25729513170292806</v>
      </c>
      <c r="H370" s="2" t="str">
        <f t="shared" si="143"/>
        <v>Higher</v>
      </c>
      <c r="I370" s="2" t="str">
        <f t="shared" si="144"/>
        <v>Higher</v>
      </c>
      <c r="J370" s="2" t="str">
        <f t="shared" si="145"/>
        <v>Higher</v>
      </c>
      <c r="K370" s="2" t="str">
        <f t="shared" si="146"/>
        <v>Higher</v>
      </c>
      <c r="L370" s="2" t="str">
        <f t="shared" si="147"/>
        <v>Lower</v>
      </c>
      <c r="M370" s="2" t="str">
        <f t="shared" si="148"/>
        <v>Higher</v>
      </c>
      <c r="N370" s="2" t="str">
        <f t="shared" si="149"/>
        <v>Higher</v>
      </c>
      <c r="O370" s="2" t="str">
        <f t="shared" si="150"/>
        <v>Lower</v>
      </c>
      <c r="P370" s="2" t="str">
        <f t="shared" si="151"/>
        <v>Higher</v>
      </c>
      <c r="R370" s="4">
        <f>DATE(2023,3,1)</f>
        <v>44986</v>
      </c>
      <c r="S370">
        <v>-0.54534940605189008</v>
      </c>
      <c r="T370">
        <v>-0.78869676000354128</v>
      </c>
      <c r="U370">
        <v>-0.26588632175300814</v>
      </c>
      <c r="V370">
        <v>-0.27723128576512474</v>
      </c>
      <c r="X370" s="4">
        <f>DATE(2023,3,1)</f>
        <v>44986</v>
      </c>
      <c r="Y370">
        <v>22.581593046439881</v>
      </c>
      <c r="Z370">
        <v>24.38875882510871</v>
      </c>
      <c r="AA370">
        <v>97.512500000000003</v>
      </c>
      <c r="AB370">
        <v>47.341999999999999</v>
      </c>
      <c r="AC370">
        <f t="shared" si="152"/>
        <v>-1.0254569701611628E-4</v>
      </c>
      <c r="AD370">
        <f t="shared" si="153"/>
        <v>-6.5921114405798564E-2</v>
      </c>
      <c r="AE370">
        <f t="shared" si="154"/>
        <v>-6.5818568708782443E-2</v>
      </c>
      <c r="AF370">
        <f t="shared" si="155"/>
        <v>-0.37883485157539176</v>
      </c>
      <c r="AH370">
        <f t="shared" si="156"/>
        <v>2.426327264587038E-2</v>
      </c>
      <c r="AI370">
        <f t="shared" si="157"/>
        <v>-0.22005908142596298</v>
      </c>
      <c r="AJ370">
        <f t="shared" si="158"/>
        <v>-0.24432235407183336</v>
      </c>
      <c r="AK370">
        <f t="shared" si="159"/>
        <v>-0.75937001018042849</v>
      </c>
      <c r="AM370">
        <f t="shared" si="160"/>
        <v>0.10574515570359683</v>
      </c>
      <c r="AN370">
        <f t="shared" si="161"/>
        <v>-1.1481914001098259</v>
      </c>
      <c r="AO370">
        <f t="shared" si="162"/>
        <v>-1.2539365558134228</v>
      </c>
      <c r="AP370">
        <f t="shared" si="163"/>
        <v>-2.3452545637463285</v>
      </c>
      <c r="AR370">
        <f t="shared" si="164"/>
        <v>0.18023681943539144</v>
      </c>
      <c r="AS370">
        <f t="shared" si="165"/>
        <v>-0.61159172222617886</v>
      </c>
      <c r="AT370">
        <f t="shared" si="166"/>
        <v>-0.79182854166157024</v>
      </c>
      <c r="AU370">
        <f t="shared" si="167"/>
        <v>-2.4243239766286169</v>
      </c>
    </row>
    <row r="371" spans="1:47" x14ac:dyDescent="0.25">
      <c r="A371" s="4">
        <f>DATE(2023,2,28)</f>
        <v>44985</v>
      </c>
      <c r="B371">
        <v>0.23900160411786686</v>
      </c>
      <c r="C371">
        <v>64.580481033208315</v>
      </c>
      <c r="D371">
        <v>0.86217112886188829</v>
      </c>
      <c r="E371">
        <f t="shared" si="140"/>
        <v>0.22159263977784108</v>
      </c>
      <c r="F371">
        <f t="shared" si="141"/>
        <v>1.038633019455218</v>
      </c>
      <c r="G371">
        <f t="shared" si="142"/>
        <v>0.90653771997226229</v>
      </c>
      <c r="H371" s="2" t="str">
        <f t="shared" si="143"/>
        <v>Higher</v>
      </c>
      <c r="I371" s="2" t="str">
        <f t="shared" si="144"/>
        <v>Higher</v>
      </c>
      <c r="J371" s="2" t="str">
        <f t="shared" si="145"/>
        <v>Higher</v>
      </c>
      <c r="K371" s="2" t="str">
        <f t="shared" si="146"/>
        <v>Higher</v>
      </c>
      <c r="L371" s="2" t="str">
        <f t="shared" si="147"/>
        <v>Lower</v>
      </c>
      <c r="M371" s="2" t="str">
        <f t="shared" si="148"/>
        <v>Higher</v>
      </c>
      <c r="N371" s="2" t="str">
        <f t="shared" si="149"/>
        <v>Higher</v>
      </c>
      <c r="O371" s="2" t="str">
        <f t="shared" si="150"/>
        <v>Lower</v>
      </c>
      <c r="P371" s="2" t="str">
        <f t="shared" si="151"/>
        <v>Higher</v>
      </c>
      <c r="R371" s="4">
        <f>DATE(2023,2,28)</f>
        <v>44985</v>
      </c>
      <c r="S371">
        <v>-0.94727129763832996</v>
      </c>
      <c r="T371">
        <v>-0.77939764544789258</v>
      </c>
      <c r="U371">
        <v>-0.25721186740285679</v>
      </c>
      <c r="V371">
        <v>-0.26917384505259501</v>
      </c>
      <c r="X371" s="4">
        <f>DATE(2023,2,28)</f>
        <v>44985</v>
      </c>
      <c r="Y371">
        <v>24.275761313494769</v>
      </c>
      <c r="Z371">
        <v>24.927741150436127</v>
      </c>
      <c r="AA371">
        <v>99.847499999999997</v>
      </c>
      <c r="AB371">
        <v>46.998750000000001</v>
      </c>
      <c r="AC371">
        <f t="shared" si="152"/>
        <v>2.1305135074972583E-3</v>
      </c>
      <c r="AD371">
        <f t="shared" si="153"/>
        <v>-4.3870403318985361E-2</v>
      </c>
      <c r="AE371">
        <f t="shared" si="154"/>
        <v>-4.6000916826482621E-2</v>
      </c>
      <c r="AF371">
        <f t="shared" si="155"/>
        <v>-0.2693036794130802</v>
      </c>
      <c r="AH371">
        <f t="shared" si="156"/>
        <v>8.0144952148511486E-2</v>
      </c>
      <c r="AI371">
        <f t="shared" si="157"/>
        <v>-0.21142484485900975</v>
      </c>
      <c r="AJ371">
        <f t="shared" si="158"/>
        <v>-0.29156979700752123</v>
      </c>
      <c r="AK371">
        <f t="shared" si="159"/>
        <v>-0.901095985170006</v>
      </c>
      <c r="AM371">
        <f t="shared" si="160"/>
        <v>0.1295225986204854</v>
      </c>
      <c r="AN371">
        <f t="shared" si="161"/>
        <v>-1.0806626736627236</v>
      </c>
      <c r="AO371">
        <f t="shared" si="162"/>
        <v>-1.2101852722832089</v>
      </c>
      <c r="AP371">
        <f t="shared" si="163"/>
        <v>-2.2828901200343448</v>
      </c>
      <c r="AR371">
        <f t="shared" si="164"/>
        <v>0.21327726304316197</v>
      </c>
      <c r="AS371">
        <f t="shared" si="165"/>
        <v>-0.59369427901726546</v>
      </c>
      <c r="AT371">
        <f t="shared" si="166"/>
        <v>-0.80697154206042743</v>
      </c>
      <c r="AU371">
        <f t="shared" si="167"/>
        <v>-2.4736383796586701</v>
      </c>
    </row>
    <row r="372" spans="1:47" x14ac:dyDescent="0.25">
      <c r="A372" s="4">
        <f>DATE(2023,2,27)</f>
        <v>44984</v>
      </c>
      <c r="B372">
        <v>0.26778972608379581</v>
      </c>
      <c r="C372">
        <v>65.816462517197678</v>
      </c>
      <c r="D372">
        <v>0.94235403223092495</v>
      </c>
      <c r="E372">
        <f t="shared" si="140"/>
        <v>0.26145614700800918</v>
      </c>
      <c r="F372">
        <f t="shared" si="141"/>
        <v>1.1537514863028477</v>
      </c>
      <c r="G372">
        <f t="shared" si="142"/>
        <v>1.1477804727063681</v>
      </c>
      <c r="H372" s="2" t="str">
        <f t="shared" si="143"/>
        <v>Higher</v>
      </c>
      <c r="I372" s="2" t="str">
        <f t="shared" si="144"/>
        <v>Higher</v>
      </c>
      <c r="J372" s="2" t="str">
        <f t="shared" si="145"/>
        <v>Higher</v>
      </c>
      <c r="K372" s="2" t="str">
        <f t="shared" si="146"/>
        <v>Higher</v>
      </c>
      <c r="L372" s="2" t="str">
        <f t="shared" si="147"/>
        <v>Lower</v>
      </c>
      <c r="M372" s="2" t="str">
        <f t="shared" si="148"/>
        <v>Higher</v>
      </c>
      <c r="N372" s="2" t="str">
        <f t="shared" si="149"/>
        <v>Higher</v>
      </c>
      <c r="O372" s="2" t="str">
        <f t="shared" si="150"/>
        <v>Lower</v>
      </c>
      <c r="P372" s="2" t="str">
        <f t="shared" si="151"/>
        <v>Higher</v>
      </c>
      <c r="R372" s="4">
        <f>DATE(2023,2,27)</f>
        <v>44984</v>
      </c>
      <c r="S372">
        <v>-0.92482130792109374</v>
      </c>
      <c r="T372">
        <v>-0.7878697778533239</v>
      </c>
      <c r="U372">
        <v>-0.2444898608164871</v>
      </c>
      <c r="V372">
        <v>-0.26007211700604699</v>
      </c>
      <c r="X372" s="4">
        <f>DATE(2023,2,27)</f>
        <v>44984</v>
      </c>
      <c r="Y372">
        <v>24.884679929671172</v>
      </c>
      <c r="Z372">
        <v>23.828621185044167</v>
      </c>
      <c r="AA372">
        <v>99.615000000000009</v>
      </c>
      <c r="AB372">
        <v>47.298999999999999</v>
      </c>
      <c r="AC372">
        <f t="shared" si="152"/>
        <v>1.4841306480238037E-2</v>
      </c>
      <c r="AD372" t="str">
        <f t="shared" si="153"/>
        <v/>
      </c>
      <c r="AE372" t="str">
        <f t="shared" si="154"/>
        <v/>
      </c>
      <c r="AF372" t="str">
        <f t="shared" si="155"/>
        <v/>
      </c>
      <c r="AH372">
        <f t="shared" si="156"/>
        <v>0.1097032818958619</v>
      </c>
      <c r="AI372">
        <f t="shared" si="157"/>
        <v>-0.16132527460680052</v>
      </c>
      <c r="AJ372">
        <f t="shared" si="158"/>
        <v>-0.27102855650266244</v>
      </c>
      <c r="AK372">
        <f t="shared" si="159"/>
        <v>-0.83926483678994357</v>
      </c>
      <c r="AM372">
        <f t="shared" si="160"/>
        <v>0.13439939530454934</v>
      </c>
      <c r="AN372">
        <f t="shared" si="161"/>
        <v>-1.0465535058584363</v>
      </c>
      <c r="AO372">
        <f t="shared" si="162"/>
        <v>-1.1809529011629856</v>
      </c>
      <c r="AP372">
        <f t="shared" si="163"/>
        <v>-2.2454312929003475</v>
      </c>
      <c r="AR372">
        <f t="shared" si="164"/>
        <v>0.22943115829414473</v>
      </c>
      <c r="AS372">
        <f t="shared" si="165"/>
        <v>-0.57159773191689001</v>
      </c>
      <c r="AT372">
        <f t="shared" si="166"/>
        <v>-0.80102889021103474</v>
      </c>
      <c r="AU372">
        <f t="shared" si="167"/>
        <v>-2.4814089132357804</v>
      </c>
    </row>
    <row r="373" spans="1:47" x14ac:dyDescent="0.25">
      <c r="A373" s="4">
        <f>DATE(2023,2,24)</f>
        <v>44981</v>
      </c>
      <c r="B373">
        <v>0.20536412409414861</v>
      </c>
      <c r="C373">
        <v>61.270669427484137</v>
      </c>
      <c r="D373">
        <v>0.76638751668969551</v>
      </c>
      <c r="E373">
        <f t="shared" si="140"/>
        <v>0.20158490709103602</v>
      </c>
      <c r="F373">
        <f t="shared" si="141"/>
        <v>0.80509014014897118</v>
      </c>
      <c r="G373">
        <f t="shared" si="142"/>
        <v>0.66430950989651771</v>
      </c>
      <c r="H373" s="2" t="str">
        <f t="shared" si="143"/>
        <v>Higher</v>
      </c>
      <c r="I373" s="2" t="str">
        <f t="shared" si="144"/>
        <v>Higher</v>
      </c>
      <c r="J373" s="2" t="str">
        <f t="shared" si="145"/>
        <v>Higher</v>
      </c>
      <c r="K373" s="2" t="str">
        <f t="shared" si="146"/>
        <v>Higher</v>
      </c>
      <c r="L373" s="2" t="str">
        <f t="shared" si="147"/>
        <v>Lower</v>
      </c>
      <c r="M373" s="2" t="str">
        <f t="shared" si="148"/>
        <v>Higher</v>
      </c>
      <c r="N373" s="2" t="str">
        <f t="shared" si="149"/>
        <v>Higher</v>
      </c>
      <c r="O373" s="2" t="str">
        <f t="shared" si="150"/>
        <v>Lower</v>
      </c>
      <c r="P373" s="2" t="str">
        <f t="shared" si="151"/>
        <v>Higher</v>
      </c>
      <c r="R373" s="4">
        <f>DATE(2023,2,24)</f>
        <v>44981</v>
      </c>
      <c r="S373">
        <v>-0.48096492030990889</v>
      </c>
      <c r="T373">
        <v>-0.79224169788056131</v>
      </c>
      <c r="U373">
        <v>-0.24170086698930252</v>
      </c>
      <c r="V373">
        <v>-0.24990801369247817</v>
      </c>
      <c r="X373" s="4">
        <f>DATE(2023,2,24)</f>
        <v>44981</v>
      </c>
      <c r="Y373">
        <v>25.684442586485588</v>
      </c>
      <c r="Z373">
        <v>26.562975280344642</v>
      </c>
      <c r="AA373">
        <v>97.952500000000001</v>
      </c>
      <c r="AB373">
        <v>51.012999999999998</v>
      </c>
      <c r="AC373">
        <f t="shared" si="152"/>
        <v>1.3696908164712893E-2</v>
      </c>
      <c r="AD373">
        <f t="shared" si="153"/>
        <v>3.5978567069904502E-2</v>
      </c>
      <c r="AE373">
        <f t="shared" si="154"/>
        <v>2.2281658905191608E-2</v>
      </c>
      <c r="AF373">
        <f t="shared" si="155"/>
        <v>0.10946729087004986</v>
      </c>
      <c r="AH373">
        <f t="shared" si="156"/>
        <v>9.0746961749187199E-2</v>
      </c>
      <c r="AI373">
        <f t="shared" si="157"/>
        <v>-7.1951786514429655E-2</v>
      </c>
      <c r="AJ373">
        <f t="shared" si="158"/>
        <v>-0.16269874826361685</v>
      </c>
      <c r="AK373">
        <f t="shared" si="159"/>
        <v>-0.51307696688641535</v>
      </c>
      <c r="AM373">
        <f t="shared" si="160"/>
        <v>0.11923568668021986</v>
      </c>
      <c r="AN373">
        <f t="shared" si="161"/>
        <v>-0.97734859804152774</v>
      </c>
      <c r="AO373">
        <f t="shared" si="162"/>
        <v>-1.0965842847217475</v>
      </c>
      <c r="AP373">
        <f t="shared" si="163"/>
        <v>-2.1058738495203779</v>
      </c>
      <c r="AR373">
        <f t="shared" si="164"/>
        <v>0.18652116960478632</v>
      </c>
      <c r="AS373">
        <f t="shared" si="165"/>
        <v>-0.54414205535771309</v>
      </c>
      <c r="AT373">
        <f t="shared" si="166"/>
        <v>-0.73066322496249936</v>
      </c>
      <c r="AU373">
        <f t="shared" si="167"/>
        <v>-2.3571603862198831</v>
      </c>
    </row>
    <row r="374" spans="1:47" x14ac:dyDescent="0.25">
      <c r="A374" s="4">
        <f>DATE(2023,2,23)</f>
        <v>44980</v>
      </c>
      <c r="B374">
        <v>0.33655016208216182</v>
      </c>
      <c r="C374">
        <v>61.781043155574082</v>
      </c>
      <c r="D374">
        <v>0.80710388907674513</v>
      </c>
      <c r="E374">
        <f t="shared" si="140"/>
        <v>0.34275648127286845</v>
      </c>
      <c r="F374">
        <f t="shared" si="141"/>
        <v>0.85112310968800675</v>
      </c>
      <c r="G374">
        <f t="shared" si="142"/>
        <v>0.78528246423560322</v>
      </c>
      <c r="H374" s="2" t="str">
        <f t="shared" si="143"/>
        <v>Higher</v>
      </c>
      <c r="I374" s="2" t="str">
        <f t="shared" si="144"/>
        <v>Higher</v>
      </c>
      <c r="J374" s="2" t="str">
        <f t="shared" si="145"/>
        <v>Higher</v>
      </c>
      <c r="K374" s="2" t="str">
        <f t="shared" si="146"/>
        <v>Higher</v>
      </c>
      <c r="L374" s="2" t="str">
        <f t="shared" si="147"/>
        <v>Lower</v>
      </c>
      <c r="M374" s="2" t="str">
        <f t="shared" si="148"/>
        <v>Higher</v>
      </c>
      <c r="N374" s="2" t="str">
        <f t="shared" si="149"/>
        <v>Higher</v>
      </c>
      <c r="O374" s="2" t="str">
        <f t="shared" si="150"/>
        <v>Lower</v>
      </c>
      <c r="P374" s="2" t="str">
        <f t="shared" si="151"/>
        <v>Higher</v>
      </c>
      <c r="R374" s="4">
        <f>DATE(2023,2,23)</f>
        <v>44980</v>
      </c>
      <c r="S374">
        <v>-0.3854963078548474</v>
      </c>
      <c r="T374">
        <v>-0.80381397988210157</v>
      </c>
      <c r="U374">
        <v>-0.24640224595965232</v>
      </c>
      <c r="V374">
        <v>-0.24166202381307791</v>
      </c>
      <c r="X374" s="4">
        <f>DATE(2023,2,23)</f>
        <v>44980</v>
      </c>
      <c r="Y374">
        <v>23.222156580726811</v>
      </c>
      <c r="Z374">
        <v>26.06871900446847</v>
      </c>
      <c r="AA374">
        <v>97.31</v>
      </c>
      <c r="AB374">
        <v>50.78</v>
      </c>
      <c r="AC374">
        <f t="shared" si="152"/>
        <v>4.273840855684787E-3</v>
      </c>
      <c r="AD374">
        <f t="shared" si="153"/>
        <v>-3.3467723832543116E-2</v>
      </c>
      <c r="AE374">
        <f t="shared" si="154"/>
        <v>-3.7741564688227904E-2</v>
      </c>
      <c r="AF374">
        <f t="shared" si="155"/>
        <v>-0.22282308105278451</v>
      </c>
      <c r="AH374">
        <f t="shared" si="156"/>
        <v>9.9627883534350814E-2</v>
      </c>
      <c r="AI374">
        <f t="shared" si="157"/>
        <v>-8.4569363303111905E-2</v>
      </c>
      <c r="AJ374">
        <f t="shared" si="158"/>
        <v>-0.18419724683746272</v>
      </c>
      <c r="AK374">
        <f t="shared" si="159"/>
        <v>-0.57668394518919397</v>
      </c>
      <c r="AM374">
        <f t="shared" si="160"/>
        <v>0.12629076097210931</v>
      </c>
      <c r="AN374">
        <f t="shared" si="161"/>
        <v>-1.0088257515090031</v>
      </c>
      <c r="AO374">
        <f t="shared" si="162"/>
        <v>-1.1351165124811124</v>
      </c>
      <c r="AP374">
        <f t="shared" si="163"/>
        <v>-2.1896015557612709</v>
      </c>
      <c r="AR374">
        <f t="shared" si="164"/>
        <v>0.15885032988814604</v>
      </c>
      <c r="AS374">
        <f t="shared" si="165"/>
        <v>-0.58362063173175915</v>
      </c>
      <c r="AT374">
        <f t="shared" si="166"/>
        <v>-0.74247096161990522</v>
      </c>
      <c r="AU374">
        <f t="shared" si="167"/>
        <v>-2.3989145714708839</v>
      </c>
    </row>
    <row r="375" spans="1:47" x14ac:dyDescent="0.25">
      <c r="A375" s="4">
        <f>DATE(2023,2,22)</f>
        <v>44979</v>
      </c>
      <c r="B375">
        <v>0.45790167646580748</v>
      </c>
      <c r="C375">
        <v>60.477677729574495</v>
      </c>
      <c r="D375">
        <v>0.77474107050109664</v>
      </c>
      <c r="E375">
        <f t="shared" si="140"/>
        <v>0.47377301918612913</v>
      </c>
      <c r="F375">
        <f t="shared" si="141"/>
        <v>0.75297973286144715</v>
      </c>
      <c r="G375">
        <f t="shared" si="142"/>
        <v>0.69995552383896065</v>
      </c>
      <c r="H375" s="2" t="str">
        <f t="shared" si="143"/>
        <v>Higher</v>
      </c>
      <c r="I375" s="2" t="str">
        <f t="shared" si="144"/>
        <v>Higher</v>
      </c>
      <c r="J375" s="2" t="str">
        <f t="shared" si="145"/>
        <v>Higher</v>
      </c>
      <c r="K375" s="2" t="str">
        <f t="shared" si="146"/>
        <v>Higher</v>
      </c>
      <c r="L375" s="2" t="str">
        <f t="shared" si="147"/>
        <v>Lower</v>
      </c>
      <c r="M375" s="2" t="str">
        <f t="shared" si="148"/>
        <v>Higher</v>
      </c>
      <c r="N375" s="2" t="str">
        <f t="shared" si="149"/>
        <v>Higher</v>
      </c>
      <c r="O375" s="2" t="str">
        <f t="shared" si="150"/>
        <v>Lower</v>
      </c>
      <c r="P375" s="2" t="str">
        <f t="shared" si="151"/>
        <v>Higher</v>
      </c>
      <c r="R375" s="4">
        <f>DATE(2023,2,22)</f>
        <v>44979</v>
      </c>
      <c r="S375">
        <v>-0.73056925411456297</v>
      </c>
      <c r="T375">
        <v>-0.80504593057165352</v>
      </c>
      <c r="U375">
        <v>-0.24818310110600911</v>
      </c>
      <c r="V375">
        <v>-0.23359441845415527</v>
      </c>
      <c r="X375" s="4">
        <f>DATE(2023,2,22)</f>
        <v>44979</v>
      </c>
      <c r="Y375">
        <v>24.300513518685825</v>
      </c>
      <c r="Z375">
        <v>25.64591538518226</v>
      </c>
      <c r="AA375">
        <v>97.522500000000008</v>
      </c>
      <c r="AB375">
        <v>50.567999999999998</v>
      </c>
      <c r="AC375">
        <f t="shared" si="152"/>
        <v>4.1613791925610814E-2</v>
      </c>
      <c r="AD375">
        <f t="shared" si="153"/>
        <v>-7.6476793993595485E-2</v>
      </c>
      <c r="AE375">
        <f t="shared" si="154"/>
        <v>-0.11809058591920629</v>
      </c>
      <c r="AF375">
        <f t="shared" si="155"/>
        <v>-0.66845248248638622</v>
      </c>
      <c r="AH375">
        <f t="shared" si="156"/>
        <v>0.15368081321801336</v>
      </c>
      <c r="AI375">
        <f t="shared" si="157"/>
        <v>-0.11608530958524114</v>
      </c>
      <c r="AJ375">
        <f t="shared" si="158"/>
        <v>-0.26976612280325452</v>
      </c>
      <c r="AK375">
        <f t="shared" si="159"/>
        <v>-0.83291192289507521</v>
      </c>
      <c r="AM375">
        <f t="shared" si="160"/>
        <v>0.15093437886883102</v>
      </c>
      <c r="AN375">
        <f t="shared" si="161"/>
        <v>-1.0630031443439751</v>
      </c>
      <c r="AO375">
        <f t="shared" si="162"/>
        <v>-1.2139375232128062</v>
      </c>
      <c r="AP375">
        <f t="shared" si="163"/>
        <v>-2.3497062666740294</v>
      </c>
      <c r="AR375">
        <f t="shared" si="164"/>
        <v>0.13142055652433146</v>
      </c>
      <c r="AS375">
        <f t="shared" si="165"/>
        <v>-0.63079210953385523</v>
      </c>
      <c r="AT375">
        <f t="shared" si="166"/>
        <v>-0.76221266605818672</v>
      </c>
      <c r="AU375">
        <f t="shared" si="167"/>
        <v>-2.4583162849684923</v>
      </c>
    </row>
    <row r="376" spans="1:47" x14ac:dyDescent="0.25">
      <c r="A376" s="4">
        <f>DATE(2023,2,21)</f>
        <v>44978</v>
      </c>
      <c r="B376">
        <v>0.65645675734781817</v>
      </c>
      <c r="C376">
        <v>70.286718212402263</v>
      </c>
      <c r="D376">
        <v>1.0305483557723039</v>
      </c>
      <c r="E376">
        <f t="shared" si="140"/>
        <v>0.68516483688412144</v>
      </c>
      <c r="F376">
        <f t="shared" si="141"/>
        <v>1.5533545042241923</v>
      </c>
      <c r="G376">
        <f t="shared" si="142"/>
        <v>1.4381974109338924</v>
      </c>
      <c r="H376" s="2" t="str">
        <f t="shared" si="143"/>
        <v>Higher</v>
      </c>
      <c r="I376" s="2" t="str">
        <f t="shared" si="144"/>
        <v>Higher</v>
      </c>
      <c r="J376" s="2" t="str">
        <f t="shared" si="145"/>
        <v>Higher</v>
      </c>
      <c r="K376" s="2" t="str">
        <f t="shared" si="146"/>
        <v>Higher</v>
      </c>
      <c r="L376" s="2" t="str">
        <f t="shared" si="147"/>
        <v>Lower</v>
      </c>
      <c r="M376" s="2" t="str">
        <f t="shared" si="148"/>
        <v>Higher</v>
      </c>
      <c r="N376" s="2" t="str">
        <f t="shared" si="149"/>
        <v>Higher</v>
      </c>
      <c r="O376" s="2" t="str">
        <f t="shared" si="150"/>
        <v>Lower</v>
      </c>
      <c r="P376" s="2" t="str">
        <f t="shared" si="151"/>
        <v>Higher</v>
      </c>
      <c r="R376" s="4">
        <f>DATE(2023,2,21)</f>
        <v>44978</v>
      </c>
      <c r="S376">
        <v>-0.66511630658934962</v>
      </c>
      <c r="T376">
        <v>-0.78486038509098544</v>
      </c>
      <c r="U376">
        <v>-0.25931562974571093</v>
      </c>
      <c r="V376">
        <v>-0.22496915744456553</v>
      </c>
      <c r="X376" s="4">
        <f>DATE(2023,2,21)</f>
        <v>44978</v>
      </c>
      <c r="Y376">
        <v>26.666354439174476</v>
      </c>
      <c r="Z376">
        <v>27.016845590962564</v>
      </c>
      <c r="AA376">
        <v>99.635000000000005</v>
      </c>
      <c r="AB376">
        <v>49.106499999999997</v>
      </c>
      <c r="AC376">
        <f t="shared" si="152"/>
        <v>8.1057340437402453E-2</v>
      </c>
      <c r="AD376">
        <f t="shared" si="153"/>
        <v>-6.2804177165877606E-2</v>
      </c>
      <c r="AE376">
        <f t="shared" si="154"/>
        <v>-0.14386151760328006</v>
      </c>
      <c r="AF376">
        <f t="shared" si="155"/>
        <v>-0.81280142009003753</v>
      </c>
      <c r="AH376">
        <f t="shared" si="156"/>
        <v>0.18959438938313719</v>
      </c>
      <c r="AI376">
        <f t="shared" si="157"/>
        <v>-0.20371001272900971</v>
      </c>
      <c r="AJ376">
        <f t="shared" si="158"/>
        <v>-0.3933044021121469</v>
      </c>
      <c r="AK376">
        <f t="shared" si="159"/>
        <v>-1.203576058338174</v>
      </c>
      <c r="AM376">
        <f t="shared" si="160"/>
        <v>0.21310105661153841</v>
      </c>
      <c r="AN376">
        <f t="shared" si="161"/>
        <v>-0.99097483648505746</v>
      </c>
      <c r="AO376">
        <f t="shared" si="162"/>
        <v>-1.2040758930965958</v>
      </c>
      <c r="AP376">
        <f t="shared" si="163"/>
        <v>-2.3486233366028761</v>
      </c>
      <c r="AR376">
        <f t="shared" si="164"/>
        <v>8.5721133647672823E-2</v>
      </c>
      <c r="AS376">
        <f t="shared" si="165"/>
        <v>-0.65116334464741454</v>
      </c>
      <c r="AT376">
        <f t="shared" si="166"/>
        <v>-0.73688447829508741</v>
      </c>
      <c r="AU376">
        <f t="shared" si="167"/>
        <v>-2.4251670626208206</v>
      </c>
    </row>
    <row r="377" spans="1:47" x14ac:dyDescent="0.25">
      <c r="A377" s="4">
        <f>DATE(2023,2,20)</f>
        <v>44977</v>
      </c>
      <c r="B377">
        <v>0.51728044882516233</v>
      </c>
      <c r="C377">
        <v>67.563664246453911</v>
      </c>
      <c r="D377">
        <v>0.9218888319416767</v>
      </c>
      <c r="E377">
        <f t="shared" si="140"/>
        <v>0.53841649452804752</v>
      </c>
      <c r="F377">
        <f t="shared" si="141"/>
        <v>1.3557356733915527</v>
      </c>
      <c r="G377">
        <f t="shared" si="142"/>
        <v>1.1455209155233672</v>
      </c>
      <c r="H377" s="2" t="str">
        <f t="shared" si="143"/>
        <v>Higher</v>
      </c>
      <c r="I377" s="2" t="str">
        <f t="shared" si="144"/>
        <v>Higher</v>
      </c>
      <c r="J377" s="2" t="str">
        <f t="shared" si="145"/>
        <v>Higher</v>
      </c>
      <c r="K377" s="2" t="str">
        <f t="shared" si="146"/>
        <v>Higher</v>
      </c>
      <c r="L377" s="2" t="str">
        <f t="shared" si="147"/>
        <v>Lower</v>
      </c>
      <c r="M377" s="2" t="str">
        <f t="shared" si="148"/>
        <v>Higher</v>
      </c>
      <c r="N377" s="2" t="str">
        <f t="shared" si="149"/>
        <v>Higher</v>
      </c>
      <c r="O377" s="2" t="str">
        <f t="shared" si="150"/>
        <v>Lower</v>
      </c>
      <c r="P377" s="2" t="str">
        <f t="shared" si="151"/>
        <v>Higher</v>
      </c>
      <c r="R377" s="4">
        <f>DATE(2023,2,20)</f>
        <v>44977</v>
      </c>
      <c r="X377" s="4">
        <f>DATE(2023,2,20)</f>
        <v>44977</v>
      </c>
      <c r="Y377">
        <v>26.617882224825994</v>
      </c>
      <c r="AA377">
        <v>98.147499999999994</v>
      </c>
      <c r="AC377">
        <f t="shared" si="152"/>
        <v>5.8965551548956573E-2</v>
      </c>
      <c r="AD377" t="str">
        <f t="shared" si="153"/>
        <v/>
      </c>
      <c r="AE377" t="str">
        <f t="shared" si="154"/>
        <v/>
      </c>
      <c r="AF377" t="str">
        <f t="shared" si="155"/>
        <v/>
      </c>
      <c r="AH377">
        <f t="shared" si="156"/>
        <v>0.14367314467879175</v>
      </c>
      <c r="AI377" t="str">
        <f t="shared" si="157"/>
        <v/>
      </c>
      <c r="AJ377" t="str">
        <f t="shared" si="158"/>
        <v/>
      </c>
      <c r="AK377" t="str">
        <f t="shared" si="159"/>
        <v/>
      </c>
      <c r="AM377">
        <f t="shared" si="160"/>
        <v>0.22487076102591741</v>
      </c>
      <c r="AN377" t="str">
        <f t="shared" si="161"/>
        <v/>
      </c>
      <c r="AO377" t="str">
        <f t="shared" si="162"/>
        <v/>
      </c>
      <c r="AP377" t="str">
        <f t="shared" si="163"/>
        <v/>
      </c>
      <c r="AR377">
        <f t="shared" si="164"/>
        <v>9.4749955700036678E-2</v>
      </c>
      <c r="AS377" t="str">
        <f t="shared" si="165"/>
        <v/>
      </c>
      <c r="AT377" t="str">
        <f t="shared" si="166"/>
        <v/>
      </c>
      <c r="AU377" t="str">
        <f t="shared" si="167"/>
        <v/>
      </c>
    </row>
    <row r="378" spans="1:47" x14ac:dyDescent="0.25">
      <c r="A378" s="4">
        <f>DATE(2023,2,17)</f>
        <v>44974</v>
      </c>
      <c r="B378">
        <v>0.41940827768641276</v>
      </c>
      <c r="C378">
        <v>64.363430649711304</v>
      </c>
      <c r="D378">
        <v>0.83462579973724782</v>
      </c>
      <c r="E378">
        <f t="shared" si="140"/>
        <v>0.42762826784093294</v>
      </c>
      <c r="F378">
        <f t="shared" si="141"/>
        <v>1.1037512371297802</v>
      </c>
      <c r="G378">
        <f t="shared" si="142"/>
        <v>0.90095987483600903</v>
      </c>
      <c r="H378" s="2" t="str">
        <f t="shared" si="143"/>
        <v>Higher</v>
      </c>
      <c r="I378" s="2" t="str">
        <f t="shared" si="144"/>
        <v>Higher</v>
      </c>
      <c r="J378" s="2" t="str">
        <f t="shared" si="145"/>
        <v>Higher</v>
      </c>
      <c r="K378" s="2" t="str">
        <f t="shared" si="146"/>
        <v>Higher</v>
      </c>
      <c r="L378" s="2" t="str">
        <f t="shared" si="147"/>
        <v>Lower</v>
      </c>
      <c r="M378" s="2" t="str">
        <f t="shared" si="148"/>
        <v>Higher</v>
      </c>
      <c r="N378" s="2" t="str">
        <f t="shared" si="149"/>
        <v>Higher</v>
      </c>
      <c r="O378" s="2" t="str">
        <f t="shared" si="150"/>
        <v>Higher</v>
      </c>
      <c r="P378" s="2" t="str">
        <f t="shared" si="151"/>
        <v>Higher</v>
      </c>
      <c r="R378" s="4">
        <f>DATE(2023,2,17)</f>
        <v>44974</v>
      </c>
      <c r="S378">
        <v>-0.29426985608734169</v>
      </c>
      <c r="T378">
        <v>-0.78555840288570522</v>
      </c>
      <c r="U378">
        <v>-0.25345994705316544</v>
      </c>
      <c r="V378">
        <v>-0.21363982688332397</v>
      </c>
      <c r="X378" s="4">
        <f>DATE(2023,2,17)</f>
        <v>44974</v>
      </c>
      <c r="Y378">
        <v>25.643205337384821</v>
      </c>
      <c r="Z378">
        <v>25.746108296721935</v>
      </c>
      <c r="AA378">
        <v>96.62</v>
      </c>
      <c r="AB378">
        <v>49.210250000000002</v>
      </c>
      <c r="AC378">
        <f t="shared" si="152"/>
        <v>4.3279861494668261E-2</v>
      </c>
      <c r="AD378">
        <f t="shared" si="153"/>
        <v>-8.8664898141029874E-2</v>
      </c>
      <c r="AE378">
        <f t="shared" si="154"/>
        <v>-0.13194475963569813</v>
      </c>
      <c r="AF378">
        <f t="shared" si="155"/>
        <v>-0.74832193804612024</v>
      </c>
      <c r="AH378">
        <f t="shared" si="156"/>
        <v>0.1314045492977636</v>
      </c>
      <c r="AI378">
        <f t="shared" si="157"/>
        <v>-0.30557869006743976</v>
      </c>
      <c r="AJ378">
        <f t="shared" si="158"/>
        <v>-0.43698323936520334</v>
      </c>
      <c r="AK378">
        <f t="shared" si="159"/>
        <v>-1.3333309274704002</v>
      </c>
      <c r="AM378">
        <f t="shared" si="160"/>
        <v>0.20260453127443193</v>
      </c>
      <c r="AN378">
        <f t="shared" si="161"/>
        <v>-0.92715905853242908</v>
      </c>
      <c r="AO378">
        <f t="shared" si="162"/>
        <v>-1.129763589806861</v>
      </c>
      <c r="AP378">
        <f t="shared" si="163"/>
        <v>-2.2284651524476988</v>
      </c>
      <c r="AR378">
        <f t="shared" si="164"/>
        <v>8.4793330967499733E-2</v>
      </c>
      <c r="AS378">
        <f t="shared" si="165"/>
        <v>-0.6773814861062385</v>
      </c>
      <c r="AT378">
        <f t="shared" si="166"/>
        <v>-0.76217481707373824</v>
      </c>
      <c r="AU378">
        <f t="shared" si="167"/>
        <v>-2.4975732451977954</v>
      </c>
    </row>
    <row r="379" spans="1:47" x14ac:dyDescent="0.25">
      <c r="A379" s="4">
        <f>DATE(2023,2,16)</f>
        <v>44973</v>
      </c>
      <c r="B379">
        <v>0.40869772547820649</v>
      </c>
      <c r="C379">
        <v>68.201764725348369</v>
      </c>
      <c r="D379">
        <v>0.9520717791372022</v>
      </c>
      <c r="E379">
        <f t="shared" si="140"/>
        <v>0.40256097838685057</v>
      </c>
      <c r="F379">
        <f t="shared" si="141"/>
        <v>1.3870220960154911</v>
      </c>
      <c r="G379">
        <f t="shared" si="142"/>
        <v>1.2331138630346636</v>
      </c>
      <c r="H379" s="2" t="str">
        <f t="shared" si="143"/>
        <v>Higher</v>
      </c>
      <c r="I379" s="2" t="str">
        <f t="shared" si="144"/>
        <v>Higher</v>
      </c>
      <c r="J379" s="2" t="str">
        <f t="shared" si="145"/>
        <v>Higher</v>
      </c>
      <c r="K379" s="2" t="str">
        <f t="shared" si="146"/>
        <v>Higher</v>
      </c>
      <c r="L379" s="2" t="str">
        <f t="shared" si="147"/>
        <v>Lower</v>
      </c>
      <c r="M379" s="2" t="str">
        <f t="shared" si="148"/>
        <v>Higher</v>
      </c>
      <c r="N379" s="2" t="str">
        <f t="shared" si="149"/>
        <v>Higher</v>
      </c>
      <c r="O379" s="2" t="str">
        <f t="shared" si="150"/>
        <v>Higher</v>
      </c>
      <c r="P379" s="2" t="str">
        <f t="shared" si="151"/>
        <v>Higher</v>
      </c>
      <c r="R379" s="4">
        <f>DATE(2023,2,16)</f>
        <v>44973</v>
      </c>
      <c r="S379">
        <v>-2.7246723536882057E-2</v>
      </c>
      <c r="T379">
        <v>-0.78527333527990462</v>
      </c>
      <c r="U379">
        <v>-0.24746714250493243</v>
      </c>
      <c r="V379">
        <v>-0.20490454300903721</v>
      </c>
      <c r="X379" s="4">
        <f>DATE(2023,2,16)</f>
        <v>44973</v>
      </c>
      <c r="Y379">
        <v>26.939926005321503</v>
      </c>
      <c r="Z379">
        <v>27.725218056605122</v>
      </c>
      <c r="AA379">
        <v>96.89500000000001</v>
      </c>
      <c r="AB379">
        <v>52.508250000000004</v>
      </c>
      <c r="AC379">
        <f t="shared" si="152"/>
        <v>6.0545608992935207E-2</v>
      </c>
      <c r="AD379">
        <f t="shared" si="153"/>
        <v>-4.2901087014876179E-3</v>
      </c>
      <c r="AE379">
        <f t="shared" si="154"/>
        <v>-6.4835717694422826E-2</v>
      </c>
      <c r="AF379">
        <f t="shared" si="155"/>
        <v>-0.37571976248291661</v>
      </c>
      <c r="AH379">
        <f t="shared" si="156"/>
        <v>0.14179972600349952</v>
      </c>
      <c r="AI379">
        <f t="shared" si="157"/>
        <v>-0.14511342110160799</v>
      </c>
      <c r="AJ379">
        <f t="shared" si="158"/>
        <v>-0.28691314710510751</v>
      </c>
      <c r="AK379">
        <f t="shared" si="159"/>
        <v>-0.88321346504310727</v>
      </c>
      <c r="AM379">
        <f t="shared" si="160"/>
        <v>0.22038663473608472</v>
      </c>
      <c r="AN379" t="str">
        <f t="shared" si="161"/>
        <v/>
      </c>
      <c r="AO379" t="str">
        <f t="shared" si="162"/>
        <v/>
      </c>
      <c r="AP379" t="str">
        <f t="shared" si="163"/>
        <v/>
      </c>
      <c r="AR379">
        <f t="shared" si="164"/>
        <v>9.5495965160844853E-2</v>
      </c>
      <c r="AS379">
        <f t="shared" si="165"/>
        <v>-0.70906023022594222</v>
      </c>
      <c r="AT379">
        <f t="shared" si="166"/>
        <v>-0.80455619538678702</v>
      </c>
      <c r="AU379">
        <f t="shared" si="167"/>
        <v>-2.6084452250700507</v>
      </c>
    </row>
    <row r="380" spans="1:47" x14ac:dyDescent="0.25">
      <c r="A380" s="4">
        <f>DATE(2023,2,15)</f>
        <v>44972</v>
      </c>
      <c r="B380">
        <v>0.19430802516280687</v>
      </c>
      <c r="C380">
        <v>63.193205770692835</v>
      </c>
      <c r="D380">
        <v>0.79859347094911992</v>
      </c>
      <c r="E380">
        <f t="shared" si="140"/>
        <v>0.16914104228056795</v>
      </c>
      <c r="F380">
        <f t="shared" si="141"/>
        <v>0.96712381022326221</v>
      </c>
      <c r="G380">
        <f t="shared" si="142"/>
        <v>0.78865668183845927</v>
      </c>
      <c r="H380" s="2" t="str">
        <f t="shared" si="143"/>
        <v>Higher</v>
      </c>
      <c r="I380" s="2" t="str">
        <f t="shared" si="144"/>
        <v>Higher</v>
      </c>
      <c r="J380" s="2" t="str">
        <f t="shared" si="145"/>
        <v>Higher</v>
      </c>
      <c r="K380" s="2" t="str">
        <f t="shared" si="146"/>
        <v>Higher</v>
      </c>
      <c r="L380" s="2" t="str">
        <f t="shared" si="147"/>
        <v>Lower</v>
      </c>
      <c r="M380" s="2" t="str">
        <f t="shared" si="148"/>
        <v>Higher</v>
      </c>
      <c r="N380" s="2" t="str">
        <f t="shared" si="149"/>
        <v>Higher</v>
      </c>
      <c r="O380" s="2" t="str">
        <f t="shared" si="150"/>
        <v>Higher</v>
      </c>
      <c r="P380" s="2" t="str">
        <f t="shared" si="151"/>
        <v>Higher</v>
      </c>
      <c r="R380" s="4">
        <f>DATE(2023,2,15)</f>
        <v>44972</v>
      </c>
      <c r="S380">
        <v>0.76988713686111088</v>
      </c>
      <c r="T380">
        <v>-0.77331968809710738</v>
      </c>
      <c r="U380">
        <v>-0.2397827837106111</v>
      </c>
      <c r="V380">
        <v>-0.19382312693915763</v>
      </c>
      <c r="X380" s="4">
        <f>DATE(2023,2,15)</f>
        <v>44972</v>
      </c>
      <c r="Y380">
        <v>22.202360864079871</v>
      </c>
      <c r="Z380">
        <v>29.657143733497854</v>
      </c>
      <c r="AA380">
        <v>93.547499999999999</v>
      </c>
      <c r="AB380">
        <v>54.587000000000003</v>
      </c>
      <c r="AC380">
        <f t="shared" si="152"/>
        <v>3.3589201542466016E-2</v>
      </c>
      <c r="AD380">
        <f t="shared" si="153"/>
        <v>1.6624872617317751E-2</v>
      </c>
      <c r="AE380">
        <f t="shared" si="154"/>
        <v>-1.6964328925148264E-2</v>
      </c>
      <c r="AF380">
        <f t="shared" si="155"/>
        <v>-0.11041291362398971</v>
      </c>
      <c r="AH380">
        <f t="shared" si="156"/>
        <v>0.12964863247634298</v>
      </c>
      <c r="AI380">
        <f t="shared" si="157"/>
        <v>-0.11768736320621018</v>
      </c>
      <c r="AJ380">
        <f t="shared" si="158"/>
        <v>-0.24733599568255316</v>
      </c>
      <c r="AK380">
        <f t="shared" si="159"/>
        <v>-0.76535396144730827</v>
      </c>
      <c r="AM380">
        <f t="shared" si="160"/>
        <v>0.21360846082011314</v>
      </c>
      <c r="AN380">
        <f t="shared" si="161"/>
        <v>-0.86481133383597686</v>
      </c>
      <c r="AO380">
        <f t="shared" si="162"/>
        <v>-1.0784197946560901</v>
      </c>
      <c r="AP380">
        <f t="shared" si="163"/>
        <v>-2.1480809855051164</v>
      </c>
      <c r="AR380">
        <f t="shared" si="164"/>
        <v>6.7974046024347062E-2</v>
      </c>
      <c r="AS380">
        <f t="shared" si="165"/>
        <v>-0.54362667453308888</v>
      </c>
      <c r="AT380">
        <f t="shared" si="166"/>
        <v>-0.61160072055743597</v>
      </c>
      <c r="AU380">
        <f t="shared" si="167"/>
        <v>-2.2198496637537977</v>
      </c>
    </row>
    <row r="381" spans="1:47" x14ac:dyDescent="0.25">
      <c r="A381" s="4">
        <f>DATE(2023,2,14)</f>
        <v>44971</v>
      </c>
      <c r="B381">
        <v>0.12848266986938395</v>
      </c>
      <c r="C381">
        <v>58.781114015772282</v>
      </c>
      <c r="D381">
        <v>0.67667143683363273</v>
      </c>
      <c r="E381">
        <f t="shared" si="140"/>
        <v>9.0396206647367847E-2</v>
      </c>
      <c r="F381">
        <f t="shared" si="141"/>
        <v>0.59779129885158822</v>
      </c>
      <c r="G381">
        <f t="shared" si="142"/>
        <v>0.42840181730860544</v>
      </c>
      <c r="H381" s="2" t="str">
        <f t="shared" si="143"/>
        <v>Higher</v>
      </c>
      <c r="I381" s="2" t="str">
        <f t="shared" si="144"/>
        <v>Higher</v>
      </c>
      <c r="J381" s="2" t="str">
        <f t="shared" si="145"/>
        <v>Higher</v>
      </c>
      <c r="K381" s="2" t="str">
        <f t="shared" si="146"/>
        <v>Higher</v>
      </c>
      <c r="L381" s="2" t="str">
        <f t="shared" si="147"/>
        <v>Lower</v>
      </c>
      <c r="M381" s="2" t="str">
        <f t="shared" si="148"/>
        <v>Higher</v>
      </c>
      <c r="N381" s="2" t="str">
        <f t="shared" si="149"/>
        <v>Higher</v>
      </c>
      <c r="O381" s="2" t="str">
        <f t="shared" si="150"/>
        <v>Higher</v>
      </c>
      <c r="P381" s="2" t="str">
        <f t="shared" si="151"/>
        <v>Higher</v>
      </c>
      <c r="R381" s="4">
        <f>DATE(2023,2,14)</f>
        <v>44971</v>
      </c>
      <c r="S381">
        <v>-9.9882106394337963E-2</v>
      </c>
      <c r="T381">
        <v>-0.75014709468417728</v>
      </c>
      <c r="U381">
        <v>-0.23434415115740961</v>
      </c>
      <c r="V381">
        <v>-0.18542587393988122</v>
      </c>
      <c r="X381" s="4">
        <f>DATE(2023,2,14)</f>
        <v>44971</v>
      </c>
      <c r="Y381">
        <v>21.124975711469204</v>
      </c>
      <c r="Z381">
        <v>25.505187333645178</v>
      </c>
      <c r="AA381">
        <v>91.877499999999998</v>
      </c>
      <c r="AB381">
        <v>52.289500000000004</v>
      </c>
      <c r="AC381">
        <f t="shared" si="152"/>
        <v>1.4802496096298528E-2</v>
      </c>
      <c r="AD381">
        <f t="shared" si="153"/>
        <v>-6.8149772096694372E-2</v>
      </c>
      <c r="AE381">
        <f t="shared" si="154"/>
        <v>-8.2952268192992895E-2</v>
      </c>
      <c r="AF381">
        <f t="shared" si="155"/>
        <v>-0.47584570259801079</v>
      </c>
      <c r="AH381">
        <f t="shared" si="156"/>
        <v>0.1497748993355823</v>
      </c>
      <c r="AI381">
        <f t="shared" si="157"/>
        <v>-0.13597273450916453</v>
      </c>
      <c r="AJ381">
        <f t="shared" si="158"/>
        <v>-0.28574763384474683</v>
      </c>
      <c r="AK381">
        <f t="shared" si="159"/>
        <v>-0.87986223761057314</v>
      </c>
      <c r="AM381">
        <f t="shared" si="160"/>
        <v>0.21713459442841271</v>
      </c>
      <c r="AN381">
        <f t="shared" si="161"/>
        <v>-0.82768328922168877</v>
      </c>
      <c r="AO381">
        <f t="shared" si="162"/>
        <v>-1.0448178836501014</v>
      </c>
      <c r="AP381">
        <f t="shared" si="163"/>
        <v>-2.098253532251475</v>
      </c>
      <c r="AR381">
        <f t="shared" si="164"/>
        <v>5.13348265223297E-2</v>
      </c>
      <c r="AS381">
        <f t="shared" si="165"/>
        <v>-0.63631214006352266</v>
      </c>
      <c r="AT381">
        <f t="shared" si="166"/>
        <v>-0.68764696658585234</v>
      </c>
      <c r="AU381">
        <f t="shared" si="167"/>
        <v>-2.3982520903802094</v>
      </c>
    </row>
    <row r="382" spans="1:47" x14ac:dyDescent="0.25">
      <c r="A382" s="4">
        <f>DATE(2023,2,13)</f>
        <v>44970</v>
      </c>
      <c r="B382">
        <v>0.21935295429195456</v>
      </c>
      <c r="C382">
        <v>59.264417525754872</v>
      </c>
      <c r="D382">
        <v>0.70265302317400491</v>
      </c>
      <c r="E382">
        <f t="shared" si="140"/>
        <v>0.17333711638029614</v>
      </c>
      <c r="F382">
        <f t="shared" si="141"/>
        <v>0.6224552249180163</v>
      </c>
      <c r="G382">
        <f t="shared" si="142"/>
        <v>0.4928854098010495</v>
      </c>
      <c r="H382" s="2" t="str">
        <f t="shared" si="143"/>
        <v>Higher</v>
      </c>
      <c r="I382" s="2" t="str">
        <f t="shared" si="144"/>
        <v>Higher</v>
      </c>
      <c r="J382" s="2" t="str">
        <f t="shared" si="145"/>
        <v>Higher</v>
      </c>
      <c r="K382" s="2" t="str">
        <f t="shared" si="146"/>
        <v>Higher</v>
      </c>
      <c r="L382" s="2" t="str">
        <f t="shared" si="147"/>
        <v>Lower</v>
      </c>
      <c r="M382" s="2" t="str">
        <f t="shared" si="148"/>
        <v>Higher</v>
      </c>
      <c r="N382" s="2" t="str">
        <f t="shared" si="149"/>
        <v>Higher</v>
      </c>
      <c r="O382" s="2" t="str">
        <f t="shared" si="150"/>
        <v>Higher</v>
      </c>
      <c r="P382" s="2" t="str">
        <f t="shared" si="151"/>
        <v>Higher</v>
      </c>
      <c r="R382" s="4">
        <f>DATE(2023,2,13)</f>
        <v>44970</v>
      </c>
      <c r="S382">
        <v>-0.40237040158006726</v>
      </c>
      <c r="T382">
        <v>-0.70258130029514965</v>
      </c>
      <c r="U382">
        <v>-0.23129977675658406</v>
      </c>
      <c r="V382">
        <v>-0.17761189962925583</v>
      </c>
      <c r="X382" s="4">
        <f>DATE(2023,2,13)</f>
        <v>44970</v>
      </c>
      <c r="Y382">
        <v>22.796602194748804</v>
      </c>
      <c r="Z382">
        <v>24.296041179107309</v>
      </c>
      <c r="AA382">
        <v>92.527500000000003</v>
      </c>
      <c r="AB382">
        <v>51.707000000000001</v>
      </c>
      <c r="AC382">
        <f t="shared" si="152"/>
        <v>4.9024353004632742E-3</v>
      </c>
      <c r="AD382">
        <f t="shared" si="153"/>
        <v>-0.11672738832942377</v>
      </c>
      <c r="AE382">
        <f t="shared" si="154"/>
        <v>-0.12162982362988704</v>
      </c>
      <c r="AF382">
        <f t="shared" si="155"/>
        <v>-0.69076979129084859</v>
      </c>
      <c r="AH382">
        <f t="shared" si="156"/>
        <v>0.16996408463810869</v>
      </c>
      <c r="AI382" t="str">
        <f t="shared" si="157"/>
        <v/>
      </c>
      <c r="AJ382" t="str">
        <f t="shared" si="158"/>
        <v/>
      </c>
      <c r="AK382" t="str">
        <f t="shared" si="159"/>
        <v/>
      </c>
      <c r="AM382">
        <f t="shared" si="160"/>
        <v>0.22310302364393728</v>
      </c>
      <c r="AN382">
        <f t="shared" si="161"/>
        <v>-0.80909986216318242</v>
      </c>
      <c r="AO382">
        <f t="shared" si="162"/>
        <v>-1.0322028858071197</v>
      </c>
      <c r="AP382">
        <f t="shared" si="163"/>
        <v>-2.085347617801832</v>
      </c>
      <c r="AR382">
        <f t="shared" si="164"/>
        <v>4.795562556815202E-2</v>
      </c>
      <c r="AS382">
        <f t="shared" si="165"/>
        <v>-0.60214915521809065</v>
      </c>
      <c r="AT382">
        <f t="shared" si="166"/>
        <v>-0.65010478078624268</v>
      </c>
      <c r="AU382">
        <f t="shared" si="167"/>
        <v>-2.3358465872223357</v>
      </c>
    </row>
    <row r="383" spans="1:47" x14ac:dyDescent="0.25">
      <c r="A383" s="4">
        <f>DATE(2023,2,10)</f>
        <v>44967</v>
      </c>
      <c r="B383">
        <v>0.29956508439126095</v>
      </c>
      <c r="C383">
        <v>61.502112916596786</v>
      </c>
      <c r="D383">
        <v>0.75893791414983403</v>
      </c>
      <c r="E383">
        <f t="shared" si="140"/>
        <v>0.24625159808513761</v>
      </c>
      <c r="F383">
        <f t="shared" si="141"/>
        <v>0.78627349564177884</v>
      </c>
      <c r="G383">
        <f t="shared" si="142"/>
        <v>0.64289432449783057</v>
      </c>
      <c r="H383" s="2" t="str">
        <f t="shared" si="143"/>
        <v>Higher</v>
      </c>
      <c r="I383" s="2" t="str">
        <f t="shared" si="144"/>
        <v>Higher</v>
      </c>
      <c r="J383" s="2" t="str">
        <f t="shared" si="145"/>
        <v>Lower</v>
      </c>
      <c r="K383" s="2" t="str">
        <f t="shared" si="146"/>
        <v>Higher</v>
      </c>
      <c r="L383" s="2" t="str">
        <f t="shared" si="147"/>
        <v>Lower</v>
      </c>
      <c r="M383" s="2" t="str">
        <f t="shared" si="148"/>
        <v>Higher</v>
      </c>
      <c r="N383" s="2" t="str">
        <f t="shared" si="149"/>
        <v>Higher</v>
      </c>
      <c r="O383" s="2" t="str">
        <f t="shared" si="150"/>
        <v>Higher</v>
      </c>
      <c r="P383" s="2" t="str">
        <f t="shared" si="151"/>
        <v>Lower</v>
      </c>
      <c r="R383" s="4">
        <f>DATE(2023,2,10)</f>
        <v>44967</v>
      </c>
      <c r="S383">
        <v>-0.175369440861776</v>
      </c>
      <c r="T383">
        <v>-0.61117544901305809</v>
      </c>
      <c r="U383">
        <v>-0.22855649331386449</v>
      </c>
      <c r="V383">
        <v>-0.16882685259570054</v>
      </c>
      <c r="X383" s="4">
        <f>DATE(2023,2,10)</f>
        <v>44967</v>
      </c>
      <c r="Y383">
        <v>22.703383405582688</v>
      </c>
      <c r="Z383">
        <v>25.567279902176221</v>
      </c>
      <c r="AA383">
        <v>92.527500000000003</v>
      </c>
      <c r="AB383">
        <v>53.772750000000002</v>
      </c>
      <c r="AC383">
        <f t="shared" si="152"/>
        <v>-1.5336654738308537E-2</v>
      </c>
      <c r="AD383">
        <f t="shared" si="153"/>
        <v>-7.9406280743753596E-2</v>
      </c>
      <c r="AE383">
        <f t="shared" si="154"/>
        <v>-6.4069626005445052E-2</v>
      </c>
      <c r="AF383">
        <f t="shared" si="155"/>
        <v>-0.37256591078028189</v>
      </c>
      <c r="AH383">
        <f t="shared" si="156"/>
        <v>0.15024058005942106</v>
      </c>
      <c r="AI383">
        <f t="shared" si="157"/>
        <v>-0.18470066204488614</v>
      </c>
      <c r="AJ383">
        <f t="shared" si="158"/>
        <v>-0.3349412421043072</v>
      </c>
      <c r="AK383">
        <f t="shared" si="159"/>
        <v>-1.0254648335719792</v>
      </c>
      <c r="AM383">
        <f t="shared" si="160"/>
        <v>0.24088944776236901</v>
      </c>
      <c r="AN383">
        <f t="shared" si="161"/>
        <v>-0.76458161572975247</v>
      </c>
      <c r="AO383">
        <f t="shared" si="162"/>
        <v>-1.0054710634921216</v>
      </c>
      <c r="AP383">
        <f t="shared" si="163"/>
        <v>-2.0471814416056602</v>
      </c>
      <c r="AR383">
        <f t="shared" si="164"/>
        <v>1.6838717300545133E-2</v>
      </c>
      <c r="AS383">
        <f t="shared" si="165"/>
        <v>-0.63733912942004323</v>
      </c>
      <c r="AT383">
        <f t="shared" si="166"/>
        <v>-0.65417784672058832</v>
      </c>
      <c r="AU383">
        <f t="shared" si="167"/>
        <v>-2.3622250242264373</v>
      </c>
    </row>
    <row r="384" spans="1:47" x14ac:dyDescent="0.25">
      <c r="A384" s="4">
        <f>DATE(2023,2,9)</f>
        <v>44966</v>
      </c>
      <c r="B384">
        <v>0.29169802981881832</v>
      </c>
      <c r="C384">
        <v>57.713307388829101</v>
      </c>
      <c r="D384">
        <v>0.68136125008368575</v>
      </c>
      <c r="E384">
        <f t="shared" si="140"/>
        <v>0.23170291872711973</v>
      </c>
      <c r="F384">
        <f t="shared" si="141"/>
        <v>0.48704432219804744</v>
      </c>
      <c r="G384">
        <f t="shared" si="142"/>
        <v>0.41762554856421202</v>
      </c>
      <c r="H384" s="2" t="str">
        <f t="shared" si="143"/>
        <v>Higher</v>
      </c>
      <c r="I384" s="2" t="str">
        <f t="shared" si="144"/>
        <v>Higher</v>
      </c>
      <c r="J384" s="2" t="str">
        <f t="shared" si="145"/>
        <v>Lower</v>
      </c>
      <c r="K384" s="2" t="str">
        <f t="shared" si="146"/>
        <v>Higher</v>
      </c>
      <c r="L384" s="2" t="str">
        <f t="shared" si="147"/>
        <v>Higher</v>
      </c>
      <c r="M384" s="2" t="str">
        <f t="shared" si="148"/>
        <v>Lower</v>
      </c>
      <c r="N384" s="2" t="str">
        <f t="shared" si="149"/>
        <v>Higher</v>
      </c>
      <c r="O384" s="2" t="str">
        <f t="shared" si="150"/>
        <v>Higher</v>
      </c>
      <c r="P384" s="2" t="str">
        <f t="shared" si="151"/>
        <v>Lower</v>
      </c>
      <c r="R384" s="4">
        <f>DATE(2023,2,9)</f>
        <v>44966</v>
      </c>
      <c r="S384">
        <v>0.54794952250348505</v>
      </c>
      <c r="T384">
        <v>-0.53044421631819261</v>
      </c>
      <c r="U384">
        <v>-0.21752270959094594</v>
      </c>
      <c r="V384">
        <v>-0.15999634121205136</v>
      </c>
      <c r="X384" s="4">
        <f>DATE(2023,2,9)</f>
        <v>44966</v>
      </c>
      <c r="Y384">
        <v>23.13310127782378</v>
      </c>
      <c r="Z384">
        <v>23.556012184308052</v>
      </c>
      <c r="AA384">
        <v>91.202499999999986</v>
      </c>
      <c r="AB384">
        <v>52.734000000000002</v>
      </c>
      <c r="AC384">
        <f t="shared" si="152"/>
        <v>-2.7309327060633673E-2</v>
      </c>
      <c r="AD384">
        <f t="shared" si="153"/>
        <v>-7.7264404681740936E-2</v>
      </c>
      <c r="AE384">
        <f t="shared" si="154"/>
        <v>-4.9955077621107263E-2</v>
      </c>
      <c r="AF384">
        <f t="shared" si="155"/>
        <v>-0.29403836716329934</v>
      </c>
      <c r="AH384">
        <f t="shared" si="156"/>
        <v>0.13155579935307826</v>
      </c>
      <c r="AI384">
        <f t="shared" si="157"/>
        <v>-0.24696718406825413</v>
      </c>
      <c r="AJ384">
        <f t="shared" si="158"/>
        <v>-0.37852298342133239</v>
      </c>
      <c r="AK384">
        <f t="shared" si="159"/>
        <v>-1.1559585108784927</v>
      </c>
      <c r="AM384">
        <f t="shared" si="160"/>
        <v>0.22467977634406391</v>
      </c>
      <c r="AN384">
        <f t="shared" si="161"/>
        <v>-0.75819046676142954</v>
      </c>
      <c r="AO384">
        <f t="shared" si="162"/>
        <v>-0.98287024310549342</v>
      </c>
      <c r="AP384">
        <f t="shared" si="163"/>
        <v>-2.0160353247148115</v>
      </c>
      <c r="AR384">
        <f t="shared" si="164"/>
        <v>2.2677840340310368E-2</v>
      </c>
      <c r="AS384">
        <f t="shared" si="165"/>
        <v>-0.70295969088864019</v>
      </c>
      <c r="AT384">
        <f t="shared" si="166"/>
        <v>-0.72563753122895058</v>
      </c>
      <c r="AU384">
        <f t="shared" si="167"/>
        <v>-2.5370661531213625</v>
      </c>
    </row>
    <row r="385" spans="1:47" x14ac:dyDescent="0.25">
      <c r="A385" s="4">
        <f>DATE(2023,2,8)</f>
        <v>44965</v>
      </c>
      <c r="B385">
        <v>0.43828930946574141</v>
      </c>
      <c r="C385">
        <v>56.404519132008275</v>
      </c>
      <c r="D385">
        <v>0.66930806544744692</v>
      </c>
      <c r="E385">
        <f t="shared" si="140"/>
        <v>0.37307023365444131</v>
      </c>
      <c r="F385">
        <f t="shared" si="141"/>
        <v>0.38088691725936813</v>
      </c>
      <c r="G385">
        <f t="shared" si="142"/>
        <v>0.37759461616947215</v>
      </c>
      <c r="H385" s="2" t="str">
        <f t="shared" si="143"/>
        <v>Higher</v>
      </c>
      <c r="I385" s="2" t="str">
        <f t="shared" si="144"/>
        <v>Higher</v>
      </c>
      <c r="J385" s="2" t="str">
        <f t="shared" si="145"/>
        <v>Lower</v>
      </c>
      <c r="K385" s="2" t="str">
        <f t="shared" si="146"/>
        <v>Higher</v>
      </c>
      <c r="L385" s="2" t="str">
        <f t="shared" si="147"/>
        <v>Higher</v>
      </c>
      <c r="M385" s="2" t="str">
        <f t="shared" si="148"/>
        <v>Lower</v>
      </c>
      <c r="N385" s="2" t="str">
        <f t="shared" si="149"/>
        <v>Higher</v>
      </c>
      <c r="O385" s="2" t="str">
        <f t="shared" si="150"/>
        <v>Higher</v>
      </c>
      <c r="P385" s="2" t="str">
        <f t="shared" si="151"/>
        <v>Lower</v>
      </c>
      <c r="R385" s="4">
        <f>DATE(2023,2,8)</f>
        <v>44965</v>
      </c>
      <c r="S385">
        <v>0.64005310571789531</v>
      </c>
      <c r="T385">
        <v>-0.43640875894264092</v>
      </c>
      <c r="U385">
        <v>-0.19747501010552587</v>
      </c>
      <c r="V385">
        <v>-0.15294960689590487</v>
      </c>
      <c r="X385" s="4">
        <f>DATE(2023,2,8)</f>
        <v>44965</v>
      </c>
      <c r="Y385">
        <v>22.746406976328615</v>
      </c>
      <c r="Z385">
        <v>24.029700933593137</v>
      </c>
      <c r="AA385">
        <v>90.45750000000001</v>
      </c>
      <c r="AB385">
        <v>53.686999999999998</v>
      </c>
      <c r="AC385">
        <f t="shared" si="152"/>
        <v>-5.0837175125190433E-2</v>
      </c>
      <c r="AD385">
        <f t="shared" si="153"/>
        <v>-9.4286045643886832E-2</v>
      </c>
      <c r="AE385">
        <f t="shared" si="154"/>
        <v>-4.3448870518696399E-2</v>
      </c>
      <c r="AF385">
        <f t="shared" si="155"/>
        <v>-0.25744943078848015</v>
      </c>
      <c r="AH385">
        <f t="shared" si="156"/>
        <v>0.12865151858446028</v>
      </c>
      <c r="AI385">
        <f t="shared" si="157"/>
        <v>-0.20509273680794765</v>
      </c>
      <c r="AJ385">
        <f t="shared" si="158"/>
        <v>-0.33374425539240793</v>
      </c>
      <c r="AK385">
        <f t="shared" si="159"/>
        <v>-1.0227658697895132</v>
      </c>
      <c r="AM385">
        <f t="shared" si="160"/>
        <v>0.19639912276703489</v>
      </c>
      <c r="AN385">
        <f t="shared" si="161"/>
        <v>-0.75214998390686127</v>
      </c>
      <c r="AO385">
        <f t="shared" si="162"/>
        <v>-0.94854910667389614</v>
      </c>
      <c r="AP385">
        <f t="shared" si="163"/>
        <v>-1.9601427175342041</v>
      </c>
      <c r="AR385">
        <f t="shared" si="164"/>
        <v>2.7799027175514933E-2</v>
      </c>
      <c r="AS385">
        <f t="shared" si="165"/>
        <v>-0.65949737586190038</v>
      </c>
      <c r="AT385">
        <f t="shared" si="166"/>
        <v>-0.68729640303741535</v>
      </c>
      <c r="AU385">
        <f t="shared" si="167"/>
        <v>-2.4749335752288553</v>
      </c>
    </row>
    <row r="386" spans="1:47" x14ac:dyDescent="0.25">
      <c r="A386" s="4">
        <f>DATE(2023,2,7)</f>
        <v>44964</v>
      </c>
      <c r="B386">
        <v>0.67858475161846288</v>
      </c>
      <c r="C386">
        <v>56.428294007323416</v>
      </c>
      <c r="D386">
        <v>0.68976906608925026</v>
      </c>
      <c r="E386">
        <f t="shared" si="140"/>
        <v>0.60969380378872062</v>
      </c>
      <c r="F386">
        <f t="shared" si="141"/>
        <v>0.3800942534130955</v>
      </c>
      <c r="G386">
        <f t="shared" si="142"/>
        <v>0.43103021964055621</v>
      </c>
      <c r="H386" s="2" t="str">
        <f t="shared" si="143"/>
        <v>Higher</v>
      </c>
      <c r="I386" s="2" t="str">
        <f t="shared" si="144"/>
        <v>Higher</v>
      </c>
      <c r="J386" s="2" t="str">
        <f t="shared" si="145"/>
        <v>Lower</v>
      </c>
      <c r="K386" s="2" t="str">
        <f t="shared" si="146"/>
        <v>Higher</v>
      </c>
      <c r="L386" s="2" t="str">
        <f t="shared" si="147"/>
        <v>Higher</v>
      </c>
      <c r="M386" s="2" t="str">
        <f t="shared" si="148"/>
        <v>Lower</v>
      </c>
      <c r="N386" s="2" t="str">
        <f t="shared" si="149"/>
        <v>Higher</v>
      </c>
      <c r="O386" s="2" t="str">
        <f t="shared" si="150"/>
        <v>Higher</v>
      </c>
      <c r="P386" s="2" t="str">
        <f t="shared" si="151"/>
        <v>Lower</v>
      </c>
      <c r="R386" s="4">
        <f>DATE(2023,2,7)</f>
        <v>44964</v>
      </c>
      <c r="S386">
        <v>0.77130053158580902</v>
      </c>
      <c r="T386">
        <v>-0.32341056108872779</v>
      </c>
      <c r="U386">
        <v>-0.19120241142217459</v>
      </c>
      <c r="V386">
        <v>-0.14870849376764775</v>
      </c>
      <c r="X386" s="4">
        <f>DATE(2023,2,7)</f>
        <v>44964</v>
      </c>
      <c r="Y386">
        <v>24.106586994977629</v>
      </c>
      <c r="Z386">
        <v>24.865777489976356</v>
      </c>
      <c r="AA386">
        <v>90.527500000000003</v>
      </c>
      <c r="AB386">
        <v>55.977249999999998</v>
      </c>
      <c r="AC386">
        <f t="shared" si="152"/>
        <v>-1.7845397892686944E-2</v>
      </c>
      <c r="AD386">
        <f t="shared" si="153"/>
        <v>-3.6600492277452309E-2</v>
      </c>
      <c r="AE386">
        <f t="shared" si="154"/>
        <v>-1.8755094384765365E-2</v>
      </c>
      <c r="AF386">
        <f t="shared" si="155"/>
        <v>-0.11874605658106288</v>
      </c>
      <c r="AH386">
        <f t="shared" si="156"/>
        <v>0.11209997981373399</v>
      </c>
      <c r="AI386">
        <f t="shared" si="157"/>
        <v>-0.24549656955888627</v>
      </c>
      <c r="AJ386">
        <f t="shared" si="158"/>
        <v>-0.35759654937262025</v>
      </c>
      <c r="AK386">
        <f t="shared" si="159"/>
        <v>-1.0952993459865965</v>
      </c>
      <c r="AM386">
        <f t="shared" si="160"/>
        <v>0.17311275578824342</v>
      </c>
      <c r="AN386">
        <f t="shared" si="161"/>
        <v>-0.77500388339944348</v>
      </c>
      <c r="AO386">
        <f t="shared" si="162"/>
        <v>-0.94811663918768696</v>
      </c>
      <c r="AP386">
        <f t="shared" si="163"/>
        <v>-1.9702250975825106</v>
      </c>
      <c r="AR386">
        <f t="shared" si="164"/>
        <v>3.9285888843214087E-2</v>
      </c>
      <c r="AS386">
        <f t="shared" si="165"/>
        <v>-0.57446829068244976</v>
      </c>
      <c r="AT386">
        <f t="shared" si="166"/>
        <v>-0.6137541795256638</v>
      </c>
      <c r="AU386">
        <f t="shared" si="167"/>
        <v>-2.3323544435151162</v>
      </c>
    </row>
    <row r="387" spans="1:47" x14ac:dyDescent="0.25">
      <c r="A387" s="4">
        <f>DATE(2023,2,6)</f>
        <v>44963</v>
      </c>
      <c r="B387">
        <v>0.97962210996393395</v>
      </c>
      <c r="C387">
        <v>57.766454969565999</v>
      </c>
      <c r="D387">
        <v>0.73751329270587074</v>
      </c>
      <c r="E387">
        <f t="shared" si="140"/>
        <v>0.90912843360736295</v>
      </c>
      <c r="F387">
        <f t="shared" si="141"/>
        <v>0.48083455460856422</v>
      </c>
      <c r="G387">
        <f t="shared" si="142"/>
        <v>0.56063615673996936</v>
      </c>
      <c r="H387" s="2" t="str">
        <f t="shared" si="143"/>
        <v>Lower</v>
      </c>
      <c r="I387" s="2" t="str">
        <f t="shared" si="144"/>
        <v>Higher</v>
      </c>
      <c r="J387" s="2" t="str">
        <f t="shared" si="145"/>
        <v>Lower</v>
      </c>
      <c r="K387" s="2" t="str">
        <f t="shared" si="146"/>
        <v>Higher</v>
      </c>
      <c r="L387" s="2" t="str">
        <f t="shared" si="147"/>
        <v>Higher</v>
      </c>
      <c r="M387" s="2" t="str">
        <f t="shared" si="148"/>
        <v>Lower</v>
      </c>
      <c r="N387" s="2" t="str">
        <f t="shared" si="149"/>
        <v>Higher</v>
      </c>
      <c r="O387" s="2" t="str">
        <f t="shared" si="150"/>
        <v>Higher</v>
      </c>
      <c r="P387" s="2" t="str">
        <f t="shared" si="151"/>
        <v>Lower</v>
      </c>
      <c r="R387" s="4">
        <f>DATE(2023,2,6)</f>
        <v>44963</v>
      </c>
      <c r="S387">
        <v>0.55742141375561305</v>
      </c>
      <c r="T387">
        <v>-0.18630373463558256</v>
      </c>
      <c r="U387">
        <v>-0.18345414267209925</v>
      </c>
      <c r="V387">
        <v>-0.14325447805971947</v>
      </c>
      <c r="X387" s="4">
        <f>DATE(2023,2,6)</f>
        <v>44963</v>
      </c>
      <c r="Y387">
        <v>25.658626401137514</v>
      </c>
      <c r="Z387">
        <v>26.200621037540024</v>
      </c>
      <c r="AA387">
        <v>92.075000000000003</v>
      </c>
      <c r="AB387">
        <v>58.109000000000002</v>
      </c>
      <c r="AC387">
        <f t="shared" si="152"/>
        <v>3.0993988566204143E-2</v>
      </c>
      <c r="AD387">
        <f t="shared" si="153"/>
        <v>4.4506128964749869E-2</v>
      </c>
      <c r="AE387">
        <f t="shared" si="154"/>
        <v>1.3512140398545727E-2</v>
      </c>
      <c r="AF387">
        <f t="shared" si="155"/>
        <v>6.2413670736473678E-2</v>
      </c>
      <c r="AH387">
        <f t="shared" si="156"/>
        <v>0.13499866457756979</v>
      </c>
      <c r="AI387">
        <f t="shared" si="157"/>
        <v>-0.23531852796671637</v>
      </c>
      <c r="AJ387">
        <f t="shared" si="158"/>
        <v>-0.37031719254428619</v>
      </c>
      <c r="AK387">
        <f t="shared" si="159"/>
        <v>-1.1350061049998037</v>
      </c>
      <c r="AM387">
        <f t="shared" si="160"/>
        <v>0.20162145954056274</v>
      </c>
      <c r="AN387">
        <f t="shared" si="161"/>
        <v>-0.67127802323980945</v>
      </c>
      <c r="AO387">
        <f t="shared" si="162"/>
        <v>-0.87289948278037222</v>
      </c>
      <c r="AP387">
        <f t="shared" si="163"/>
        <v>-1.8354544299207323</v>
      </c>
      <c r="AR387">
        <f t="shared" si="164"/>
        <v>9.9494866931134629E-2</v>
      </c>
      <c r="AS387">
        <f t="shared" si="165"/>
        <v>-0.51291605633205994</v>
      </c>
      <c r="AT387">
        <f t="shared" si="166"/>
        <v>-0.61241092326319457</v>
      </c>
      <c r="AU387">
        <f t="shared" si="167"/>
        <v>-2.3471079972333939</v>
      </c>
    </row>
    <row r="388" spans="1:47" x14ac:dyDescent="0.25">
      <c r="A388" s="4">
        <f>DATE(2023,2,3)</f>
        <v>44960</v>
      </c>
      <c r="B388">
        <v>1.2958070979499525</v>
      </c>
      <c r="C388">
        <v>63.47583812310048</v>
      </c>
      <c r="D388">
        <v>0.87378176003159624</v>
      </c>
      <c r="E388">
        <f t="shared" si="140"/>
        <v>1.2291852865837607</v>
      </c>
      <c r="F388">
        <f t="shared" si="141"/>
        <v>0.92403957215591981</v>
      </c>
      <c r="G388">
        <f t="shared" si="142"/>
        <v>0.94387441697570096</v>
      </c>
      <c r="H388" s="2" t="str">
        <f t="shared" si="143"/>
        <v>Lower</v>
      </c>
      <c r="I388" s="2" t="str">
        <f t="shared" si="144"/>
        <v>Higher</v>
      </c>
      <c r="J388" s="2" t="str">
        <f t="shared" si="145"/>
        <v>Lower</v>
      </c>
      <c r="K388" s="2" t="str">
        <f t="shared" si="146"/>
        <v>Higher</v>
      </c>
      <c r="L388" s="2" t="str">
        <f t="shared" si="147"/>
        <v>Higher</v>
      </c>
      <c r="M388" s="2" t="str">
        <f t="shared" si="148"/>
        <v>Lower</v>
      </c>
      <c r="N388" s="2" t="str">
        <f t="shared" si="149"/>
        <v>Higher</v>
      </c>
      <c r="O388" s="2" t="str">
        <f t="shared" si="150"/>
        <v>Higher</v>
      </c>
      <c r="P388" s="2" t="str">
        <f t="shared" si="151"/>
        <v>Lower</v>
      </c>
      <c r="R388" s="4">
        <f>DATE(2023,2,3)</f>
        <v>44960</v>
      </c>
      <c r="S388">
        <v>0.98247858099128016</v>
      </c>
      <c r="T388">
        <v>-8.4987715724846924E-2</v>
      </c>
      <c r="U388">
        <v>-0.17357247439153425</v>
      </c>
      <c r="V388">
        <v>-0.13838508918300527</v>
      </c>
      <c r="X388" s="4">
        <f>DATE(2023,2,3)</f>
        <v>44960</v>
      </c>
      <c r="Y388">
        <v>28.603985633218095</v>
      </c>
      <c r="Z388">
        <v>26.307225700026361</v>
      </c>
      <c r="AA388">
        <v>93.95750000000001</v>
      </c>
      <c r="AB388">
        <v>58.216750000000005</v>
      </c>
      <c r="AC388">
        <f t="shared" si="152"/>
        <v>4.9106846828114586E-2</v>
      </c>
      <c r="AD388">
        <f t="shared" si="153"/>
        <v>6.0140825300449542E-2</v>
      </c>
      <c r="AE388">
        <f t="shared" si="154"/>
        <v>1.1033978472334956E-2</v>
      </c>
      <c r="AF388">
        <f t="shared" si="155"/>
        <v>5.1019179063562597E-2</v>
      </c>
      <c r="AH388">
        <f t="shared" si="156"/>
        <v>0.18770547304883337</v>
      </c>
      <c r="AI388">
        <f t="shared" si="157"/>
        <v>-0.19521967632759435</v>
      </c>
      <c r="AJ388">
        <f t="shared" si="158"/>
        <v>-0.38292514937642774</v>
      </c>
      <c r="AK388">
        <f t="shared" si="159"/>
        <v>-1.1749122483442829</v>
      </c>
      <c r="AM388">
        <f t="shared" si="160"/>
        <v>0.22113004084715435</v>
      </c>
      <c r="AN388">
        <f t="shared" si="161"/>
        <v>-0.5192932385263006</v>
      </c>
      <c r="AO388">
        <f t="shared" si="162"/>
        <v>-0.74042327937345498</v>
      </c>
      <c r="AP388">
        <f t="shared" si="163"/>
        <v>-1.5870791027984237</v>
      </c>
      <c r="AR388">
        <f t="shared" si="164"/>
        <v>0.10896496632803038</v>
      </c>
      <c r="AS388">
        <f t="shared" si="165"/>
        <v>-0.53548189128197732</v>
      </c>
      <c r="AT388">
        <f t="shared" si="166"/>
        <v>-0.64444685761000775</v>
      </c>
      <c r="AU388">
        <f t="shared" si="167"/>
        <v>-2.4375210613482592</v>
      </c>
    </row>
    <row r="389" spans="1:47" x14ac:dyDescent="0.25">
      <c r="A389" s="4">
        <f>DATE(2023,2,2)</f>
        <v>44959</v>
      </c>
      <c r="B389">
        <v>1.4279696008885288</v>
      </c>
      <c r="C389">
        <v>63.082184006179119</v>
      </c>
      <c r="D389">
        <v>0.90332411567428006</v>
      </c>
      <c r="E389">
        <f t="shared" ref="E389:E452" si="168">(B389-AVERAGE(B389:B518))/_xlfn.STDEV.S(B389:B518)</f>
        <v>1.3715125077125254</v>
      </c>
      <c r="F389">
        <f t="shared" ref="F389:F452" si="169">(C389-AVERAGE(C389:C518))/_xlfn.STDEV.S(C389:C518)</f>
        <v>0.89889904387990216</v>
      </c>
      <c r="G389">
        <f t="shared" ref="G389:G452" si="170">(D389-AVERAGE(D389:D518))/_xlfn.STDEV.S(D389:D518)</f>
        <v>1.0315032403360127</v>
      </c>
      <c r="H389" s="2" t="str">
        <f t="shared" ref="H389:H452" si="171">IF(AVERAGEA(C389:C409)&gt;AVERAGE(C410:C430),"Higher","Lower")</f>
        <v>Lower</v>
      </c>
      <c r="I389" s="2" t="str">
        <f t="shared" ref="I389:I452" si="172">IF(AVERAGEA(C389:C444)&gt;AVERAGE(C445:C500),"Higher","Lower")</f>
        <v>Higher</v>
      </c>
      <c r="J389" s="2" t="str">
        <f t="shared" ref="J389:J452" si="173">IF(AVERAGEA(C389:C501)&gt;AVERAGE(C502:C614),"Higher","Lower")</f>
        <v>Lower</v>
      </c>
      <c r="K389" s="2" t="str">
        <f t="shared" ref="K389:K452" si="174">IF(AVERAGEA(B389:B409)&gt;AVERAGE(B410:B430),"Higher","Lower")</f>
        <v>Higher</v>
      </c>
      <c r="L389" s="2" t="str">
        <f t="shared" ref="L389:L452" si="175">IF(AVERAGEA(B389:B444)&gt;AVERAGE(B445:B500),"Higher","Lower")</f>
        <v>Higher</v>
      </c>
      <c r="M389" s="2" t="str">
        <f t="shared" ref="M389:M452" si="176">IF(AVERAGEA(B389:B501)&gt;AVERAGE(B502:B614),"Higher","Lower")</f>
        <v>Lower</v>
      </c>
      <c r="N389" s="2" t="str">
        <f t="shared" ref="N389:N452" si="177">IF(AVERAGEA(D389:D409)&gt;AVERAGE(D410:D430),"Higher","Lower")</f>
        <v>Higher</v>
      </c>
      <c r="O389" s="2" t="str">
        <f t="shared" ref="O389:O452" si="178">IF(AVERAGEA(D389:D444)&gt;AVERAGE(D445:D500),"Higher","Lower")</f>
        <v>Higher</v>
      </c>
      <c r="P389" s="2" t="str">
        <f t="shared" ref="P389:P452" si="179">IF(AVERAGEA(D389:D501)&gt;AVERAGE(D502:D614),"Higher","Lower")</f>
        <v>Lower</v>
      </c>
      <c r="R389" s="4">
        <f>DATE(2023,2,2)</f>
        <v>44959</v>
      </c>
      <c r="S389">
        <v>0.97582373995105531</v>
      </c>
      <c r="T389">
        <v>7.4770808451922757E-2</v>
      </c>
      <c r="U389">
        <v>-0.14806155468992943</v>
      </c>
      <c r="V389">
        <v>-0.12784551737465216</v>
      </c>
      <c r="X389" s="4">
        <f>DATE(2023,2,2)</f>
        <v>44959</v>
      </c>
      <c r="Y389">
        <v>30.503610463307989</v>
      </c>
      <c r="Z389">
        <v>23.575071598410311</v>
      </c>
      <c r="AA389">
        <v>93.727499999999992</v>
      </c>
      <c r="AB389">
        <v>56.97</v>
      </c>
      <c r="AC389">
        <f t="shared" ref="AC389:AC452" si="180">IFERROR(LN(AA389/AA394),"")</f>
        <v>6.2117760746364388E-2</v>
      </c>
      <c r="AD389">
        <f t="shared" ref="AD389:AD452" si="181">IFERROR(LN(AB389/AB394),"")</f>
        <v>3.0452873912659831E-2</v>
      </c>
      <c r="AE389">
        <f t="shared" ref="AE389:AE452" si="182">IFERROR(AD389-AC389,"")</f>
        <v>-3.1664886833704553E-2</v>
      </c>
      <c r="AF389">
        <f t="shared" ref="AF389:AF452" si="183">IFERROR((AE389-AVERAGEA(AE389:AE911))/_xlfn.STDEV.S(AE389:AE906),"")</f>
        <v>-0.18430487701451048</v>
      </c>
      <c r="AH389">
        <f t="shared" ref="AH389:AH452" si="184">IFERROR(LN(AA389/AA409),"")</f>
        <v>0.17598813050079418</v>
      </c>
      <c r="AI389">
        <f t="shared" ref="AI389:AI452" si="185">IFERROR(LN(AB389/AB409),"")</f>
        <v>-0.23998530714433236</v>
      </c>
      <c r="AJ389">
        <f t="shared" ref="AJ389:AJ452" si="186">IFERROR(AI389-AH389,"")</f>
        <v>-0.41597343764512651</v>
      </c>
      <c r="AK389">
        <f t="shared" ref="AK389:AK452" si="187">IFERROR((AJ389-AVERAGEA(AJ389:AJ911))/_xlfn.STDEV.S(AJ389:AJ906),"")</f>
        <v>-1.2762643141332064</v>
      </c>
      <c r="AM389">
        <f t="shared" ref="AM389:AM452" si="188">IFERROR(LN(AA389/AA449),"")</f>
        <v>0.25374080832976909</v>
      </c>
      <c r="AN389">
        <f t="shared" ref="AN389:AN452" si="189">IFERROR(LN(AB389/AB449),"")</f>
        <v>-0.68885502648957375</v>
      </c>
      <c r="AO389">
        <f t="shared" ref="AO389:AO452" si="190">IFERROR(AN389-AM389,"")</f>
        <v>-0.94259583481934284</v>
      </c>
      <c r="AP389">
        <f t="shared" ref="AP389:AP452" si="191">IFERROR((AO389-AVERAGEA(AO389:AO911))/_xlfn.STDEV.S(AO389:AO906),"")</f>
        <v>-1.988292777391361</v>
      </c>
      <c r="AR389">
        <f t="shared" ref="AR389:AR452" si="192">IFERROR(LN(AA389/AA589),"")</f>
        <v>0.13084103499576416</v>
      </c>
      <c r="AS389">
        <f t="shared" ref="AS389:AS452" si="193">IFERROR(LN(AB389/AB589),"")</f>
        <v>-0.56406436524920123</v>
      </c>
      <c r="AT389">
        <f t="shared" ref="AT389:AT452" si="194">IFERROR(AS389-AR389,"")</f>
        <v>-0.69490540024496539</v>
      </c>
      <c r="AU389">
        <f t="shared" ref="AU389:AU452" si="195">IFERROR((AT389-AVERAGEA(AT389:AT911))/_xlfn.STDEV.S(AT389:AT906),"")</f>
        <v>-2.5725479367043254</v>
      </c>
    </row>
    <row r="390" spans="1:47" x14ac:dyDescent="0.25">
      <c r="A390" s="4">
        <f>DATE(2023,2,1)</f>
        <v>44958</v>
      </c>
      <c r="B390">
        <v>1.5340785536985135</v>
      </c>
      <c r="C390">
        <v>69.109250397438345</v>
      </c>
      <c r="D390">
        <v>1.0787770387236413</v>
      </c>
      <c r="E390">
        <f t="shared" si="168"/>
        <v>1.4939999624418256</v>
      </c>
      <c r="F390">
        <f t="shared" si="169"/>
        <v>1.3730584624767819</v>
      </c>
      <c r="G390">
        <f t="shared" si="170"/>
        <v>1.5328368230185891</v>
      </c>
      <c r="H390" s="2" t="str">
        <f t="shared" si="171"/>
        <v>Lower</v>
      </c>
      <c r="I390" s="2" t="str">
        <f t="shared" si="172"/>
        <v>Higher</v>
      </c>
      <c r="J390" s="2" t="str">
        <f t="shared" si="173"/>
        <v>Lower</v>
      </c>
      <c r="K390" s="2" t="str">
        <f t="shared" si="174"/>
        <v>Higher</v>
      </c>
      <c r="L390" s="2" t="str">
        <f t="shared" si="175"/>
        <v>Higher</v>
      </c>
      <c r="M390" s="2" t="str">
        <f t="shared" si="176"/>
        <v>Lower</v>
      </c>
      <c r="N390" s="2" t="str">
        <f t="shared" si="177"/>
        <v>Lower</v>
      </c>
      <c r="O390" s="2" t="str">
        <f t="shared" si="178"/>
        <v>Higher</v>
      </c>
      <c r="P390" s="2" t="str">
        <f t="shared" si="179"/>
        <v>Lower</v>
      </c>
      <c r="R390" s="4">
        <f>DATE(2023,2,1)</f>
        <v>44958</v>
      </c>
      <c r="S390">
        <v>0.98768517544095702</v>
      </c>
      <c r="T390">
        <v>0.11086346483670292</v>
      </c>
      <c r="U390">
        <v>-0.12258649093640055</v>
      </c>
      <c r="V390">
        <v>-0.11708199698853609</v>
      </c>
      <c r="X390" s="4">
        <f>DATE(2023,2,1)</f>
        <v>44958</v>
      </c>
      <c r="Y390">
        <v>34.051701004783716</v>
      </c>
      <c r="Z390">
        <v>24.733190552294545</v>
      </c>
      <c r="AA390">
        <v>95.175000000000011</v>
      </c>
      <c r="AB390">
        <v>58.995249999999999</v>
      </c>
      <c r="AC390">
        <f t="shared" si="180"/>
        <v>0.12931499487512679</v>
      </c>
      <c r="AD390">
        <f t="shared" si="181"/>
        <v>3.8052657434923268E-2</v>
      </c>
      <c r="AE390">
        <f t="shared" si="182"/>
        <v>-9.1262337440203525E-2</v>
      </c>
      <c r="AF390">
        <f t="shared" si="183"/>
        <v>-0.51365675972123337</v>
      </c>
      <c r="AH390">
        <f t="shared" si="184"/>
        <v>0.18364631096195888</v>
      </c>
      <c r="AI390">
        <f t="shared" si="185"/>
        <v>-9.7268741978751294E-2</v>
      </c>
      <c r="AJ390">
        <f t="shared" si="186"/>
        <v>-0.28091505294071017</v>
      </c>
      <c r="AK390">
        <f t="shared" si="187"/>
        <v>-0.87321608213560264</v>
      </c>
      <c r="AM390">
        <f t="shared" si="188"/>
        <v>0.25500240931808188</v>
      </c>
      <c r="AN390">
        <f t="shared" si="189"/>
        <v>-0.65120441152803676</v>
      </c>
      <c r="AO390">
        <f t="shared" si="190"/>
        <v>-0.9062068208461187</v>
      </c>
      <c r="AP390">
        <f t="shared" si="191"/>
        <v>-1.9290602088153321</v>
      </c>
      <c r="AR390">
        <f t="shared" si="192"/>
        <v>0.16510265040814595</v>
      </c>
      <c r="AS390">
        <f t="shared" si="193"/>
        <v>-0.59935461493780484</v>
      </c>
      <c r="AT390">
        <f t="shared" si="194"/>
        <v>-0.76445726534595082</v>
      </c>
      <c r="AU390">
        <f t="shared" si="195"/>
        <v>-2.7558709675255475</v>
      </c>
    </row>
    <row r="391" spans="1:47" x14ac:dyDescent="0.25">
      <c r="A391" s="4">
        <f>DATE(2023,1,31)</f>
        <v>44957</v>
      </c>
      <c r="B391">
        <v>1.3179946234927979</v>
      </c>
      <c r="C391">
        <v>66.101879111297819</v>
      </c>
      <c r="D391">
        <v>1.071878185843425</v>
      </c>
      <c r="E391">
        <f t="shared" si="168"/>
        <v>1.2947467925838343</v>
      </c>
      <c r="F391">
        <f t="shared" si="169"/>
        <v>1.1550442868497237</v>
      </c>
      <c r="G391">
        <f t="shared" si="170"/>
        <v>1.5345872003506826</v>
      </c>
      <c r="H391" s="2" t="str">
        <f t="shared" si="171"/>
        <v>Lower</v>
      </c>
      <c r="I391" s="2" t="str">
        <f t="shared" si="172"/>
        <v>Higher</v>
      </c>
      <c r="J391" s="2" t="str">
        <f t="shared" si="173"/>
        <v>Lower</v>
      </c>
      <c r="K391" s="2" t="str">
        <f t="shared" si="174"/>
        <v>Lower</v>
      </c>
      <c r="L391" s="2" t="str">
        <f t="shared" si="175"/>
        <v>Lower</v>
      </c>
      <c r="M391" s="2" t="str">
        <f t="shared" si="176"/>
        <v>Lower</v>
      </c>
      <c r="N391" s="2" t="str">
        <f t="shared" si="177"/>
        <v>Lower</v>
      </c>
      <c r="O391" s="2" t="str">
        <f t="shared" si="178"/>
        <v>Higher</v>
      </c>
      <c r="P391" s="2" t="str">
        <f t="shared" si="179"/>
        <v>Lower</v>
      </c>
      <c r="R391" s="4">
        <f>DATE(2023,1,31)</f>
        <v>44957</v>
      </c>
      <c r="S391">
        <v>9.470963176105511E-2</v>
      </c>
      <c r="T391">
        <v>0.16320109109759506</v>
      </c>
      <c r="U391">
        <v>-9.3108540872768972E-2</v>
      </c>
      <c r="V391">
        <v>-0.10350858072401717</v>
      </c>
      <c r="X391" s="4">
        <f>DATE(2023,1,31)</f>
        <v>44957</v>
      </c>
      <c r="Y391">
        <v>29.466246362286142</v>
      </c>
      <c r="Z391">
        <v>25.63271875302955</v>
      </c>
      <c r="AA391">
        <v>92.157499999999999</v>
      </c>
      <c r="AB391">
        <v>58.063999999999993</v>
      </c>
      <c r="AC391">
        <f t="shared" si="180"/>
        <v>0.11157995074212305</v>
      </c>
      <c r="AD391">
        <f t="shared" si="181"/>
        <v>-3.6155571188985339E-2</v>
      </c>
      <c r="AE391">
        <f t="shared" si="182"/>
        <v>-0.14773552193110839</v>
      </c>
      <c r="AF391">
        <f t="shared" si="183"/>
        <v>-0.82601549514635864</v>
      </c>
      <c r="AH391">
        <f t="shared" si="184"/>
        <v>9.5006398264311814E-2</v>
      </c>
      <c r="AI391">
        <f t="shared" si="185"/>
        <v>-0.21947189756968366</v>
      </c>
      <c r="AJ391">
        <f t="shared" si="186"/>
        <v>-0.31447829583399545</v>
      </c>
      <c r="AK391">
        <f t="shared" si="187"/>
        <v>-0.97636095325403949</v>
      </c>
      <c r="AM391">
        <f t="shared" si="188"/>
        <v>0.18797459382112419</v>
      </c>
      <c r="AN391">
        <f t="shared" si="189"/>
        <v>-0.71038376138828951</v>
      </c>
      <c r="AO391">
        <f t="shared" si="190"/>
        <v>-0.89835835520941365</v>
      </c>
      <c r="AP391">
        <f t="shared" si="191"/>
        <v>-1.9247399428506375</v>
      </c>
      <c r="AR391">
        <f t="shared" si="192"/>
        <v>0.10279273372143016</v>
      </c>
      <c r="AS391">
        <f t="shared" si="193"/>
        <v>-0.5752005189521211</v>
      </c>
      <c r="AT391">
        <f t="shared" si="194"/>
        <v>-0.67799325267355126</v>
      </c>
      <c r="AU391">
        <f t="shared" si="195"/>
        <v>-2.585667610207135</v>
      </c>
    </row>
    <row r="392" spans="1:47" x14ac:dyDescent="0.25">
      <c r="A392" s="4">
        <f>DATE(2023,1,30)</f>
        <v>44956</v>
      </c>
      <c r="B392">
        <v>1.1083896945781651</v>
      </c>
      <c r="C392">
        <v>61.216274066654044</v>
      </c>
      <c r="D392">
        <v>0.97714640770332128</v>
      </c>
      <c r="E392">
        <f t="shared" si="168"/>
        <v>1.0976706981301951</v>
      </c>
      <c r="F392">
        <f t="shared" si="169"/>
        <v>0.78586864288690095</v>
      </c>
      <c r="G392">
        <f t="shared" si="170"/>
        <v>1.2890004398344916</v>
      </c>
      <c r="H392" s="2" t="str">
        <f t="shared" si="171"/>
        <v>Lower</v>
      </c>
      <c r="I392" s="2" t="str">
        <f t="shared" si="172"/>
        <v>Higher</v>
      </c>
      <c r="J392" s="2" t="str">
        <f t="shared" si="173"/>
        <v>Lower</v>
      </c>
      <c r="K392" s="2" t="str">
        <f t="shared" si="174"/>
        <v>Lower</v>
      </c>
      <c r="L392" s="2" t="str">
        <f t="shared" si="175"/>
        <v>Lower</v>
      </c>
      <c r="M392" s="2" t="str">
        <f t="shared" si="176"/>
        <v>Lower</v>
      </c>
      <c r="N392" s="2" t="str">
        <f t="shared" si="177"/>
        <v>Lower</v>
      </c>
      <c r="O392" s="2" t="str">
        <f t="shared" si="178"/>
        <v>Higher</v>
      </c>
      <c r="P392" s="2" t="str">
        <f t="shared" si="179"/>
        <v>Lower</v>
      </c>
      <c r="R392" s="4">
        <f>DATE(2023,1,30)</f>
        <v>44956</v>
      </c>
      <c r="S392">
        <v>-0.97575546557348058</v>
      </c>
      <c r="T392">
        <v>0.25163738151328507</v>
      </c>
      <c r="U392">
        <v>-6.3231087566401584E-2</v>
      </c>
      <c r="V392">
        <v>-9.1836936627355148E-2</v>
      </c>
      <c r="X392" s="4">
        <f>DATE(2023,1,30)</f>
        <v>44956</v>
      </c>
      <c r="Y392">
        <v>24.914037297977931</v>
      </c>
      <c r="Z392">
        <v>22.167197267903315</v>
      </c>
      <c r="AA392">
        <v>89.264999999999986</v>
      </c>
      <c r="AB392">
        <v>55.579499999999996</v>
      </c>
      <c r="AC392">
        <f t="shared" si="180"/>
        <v>4.8811169263167718E-2</v>
      </c>
      <c r="AD392">
        <f t="shared" si="181"/>
        <v>-0.16651174823205184</v>
      </c>
      <c r="AE392">
        <f t="shared" si="182"/>
        <v>-0.21532291749521956</v>
      </c>
      <c r="AF392">
        <f t="shared" si="183"/>
        <v>-1.2004768540870501</v>
      </c>
      <c r="AH392">
        <f t="shared" si="184"/>
        <v>4.3590297428843773E-2</v>
      </c>
      <c r="AI392" t="str">
        <f t="shared" si="185"/>
        <v/>
      </c>
      <c r="AJ392" t="str">
        <f t="shared" si="186"/>
        <v/>
      </c>
      <c r="AK392" t="str">
        <f t="shared" si="187"/>
        <v/>
      </c>
      <c r="AM392">
        <f t="shared" si="188"/>
        <v>0.14546911765545223</v>
      </c>
      <c r="AN392">
        <f t="shared" si="189"/>
        <v>-0.67977995894543342</v>
      </c>
      <c r="AO392">
        <f t="shared" si="190"/>
        <v>-0.82524907660088564</v>
      </c>
      <c r="AP392">
        <f t="shared" si="191"/>
        <v>-1.7915166014872879</v>
      </c>
      <c r="AR392">
        <f t="shared" si="192"/>
        <v>5.6219813076477457E-2</v>
      </c>
      <c r="AS392">
        <f t="shared" si="193"/>
        <v>-0.51303083899408142</v>
      </c>
      <c r="AT392">
        <f t="shared" si="194"/>
        <v>-0.56925065207055892</v>
      </c>
      <c r="AU392">
        <f t="shared" si="195"/>
        <v>-2.3569337750505075</v>
      </c>
    </row>
    <row r="393" spans="1:47" x14ac:dyDescent="0.25">
      <c r="A393" s="4">
        <f>DATE(2023,1,27)</f>
        <v>44953</v>
      </c>
      <c r="B393">
        <v>1.0291893326874877</v>
      </c>
      <c r="C393">
        <v>60.627358198784037</v>
      </c>
      <c r="D393">
        <v>0.99673377986573475</v>
      </c>
      <c r="E393">
        <f t="shared" si="168"/>
        <v>1.0313627651613213</v>
      </c>
      <c r="F393">
        <f t="shared" si="169"/>
        <v>0.74921918633638673</v>
      </c>
      <c r="G393">
        <f t="shared" si="170"/>
        <v>1.3656640097718349</v>
      </c>
      <c r="H393" s="2" t="str">
        <f t="shared" si="171"/>
        <v>Lower</v>
      </c>
      <c r="I393" s="2" t="str">
        <f t="shared" si="172"/>
        <v>Higher</v>
      </c>
      <c r="J393" s="2" t="str">
        <f t="shared" si="173"/>
        <v>Lower</v>
      </c>
      <c r="K393" s="2" t="str">
        <f t="shared" si="174"/>
        <v>Lower</v>
      </c>
      <c r="L393" s="2" t="str">
        <f t="shared" si="175"/>
        <v>Lower</v>
      </c>
      <c r="M393" s="2" t="str">
        <f t="shared" si="176"/>
        <v>Lower</v>
      </c>
      <c r="N393" s="2" t="str">
        <f t="shared" si="177"/>
        <v>Lower</v>
      </c>
      <c r="O393" s="2" t="str">
        <f t="shared" si="178"/>
        <v>Higher</v>
      </c>
      <c r="P393" s="2" t="str">
        <f t="shared" si="179"/>
        <v>Lower</v>
      </c>
      <c r="R393" s="4">
        <f>DATE(2023,1,27)</f>
        <v>44953</v>
      </c>
      <c r="S393">
        <v>-0.40244160656495892</v>
      </c>
      <c r="T393">
        <v>0.34481638954962224</v>
      </c>
      <c r="U393">
        <v>-3.587479912618962E-2</v>
      </c>
      <c r="V393">
        <v>-8.217820233425259E-2</v>
      </c>
      <c r="X393" s="4">
        <f>DATE(2023,1,27)</f>
        <v>44953</v>
      </c>
      <c r="Y393">
        <v>26.507762562693394</v>
      </c>
      <c r="Z393">
        <v>20.480733490179826</v>
      </c>
      <c r="AA393">
        <v>89.455000000000013</v>
      </c>
      <c r="AB393">
        <v>54.818749999999994</v>
      </c>
      <c r="AC393">
        <f t="shared" si="180"/>
        <v>5.4354495713289236E-2</v>
      </c>
      <c r="AD393">
        <f t="shared" si="181"/>
        <v>-0.19764833648310562</v>
      </c>
      <c r="AE393">
        <f t="shared" si="182"/>
        <v>-0.25200283219639485</v>
      </c>
      <c r="AF393">
        <f t="shared" si="183"/>
        <v>-1.4050889687679009</v>
      </c>
      <c r="AH393">
        <f t="shared" si="184"/>
        <v>6.7423082906487353E-2</v>
      </c>
      <c r="AI393">
        <f t="shared" si="185"/>
        <v>-0.33083722264953069</v>
      </c>
      <c r="AJ393">
        <f t="shared" si="186"/>
        <v>-0.39826030555601805</v>
      </c>
      <c r="AK393">
        <f t="shared" si="187"/>
        <v>-1.2330539658046669</v>
      </c>
      <c r="AM393">
        <f t="shared" si="188"/>
        <v>0.14866485091974838</v>
      </c>
      <c r="AN393">
        <f t="shared" si="189"/>
        <v>-0.73903723651174469</v>
      </c>
      <c r="AO393">
        <f t="shared" si="190"/>
        <v>-0.88770208743149304</v>
      </c>
      <c r="AP393">
        <f t="shared" si="191"/>
        <v>-1.9243448405695605</v>
      </c>
      <c r="AR393">
        <f t="shared" si="192"/>
        <v>1.1807176411733624E-2</v>
      </c>
      <c r="AS393">
        <f t="shared" si="193"/>
        <v>-0.54852794699823937</v>
      </c>
      <c r="AT393">
        <f t="shared" si="194"/>
        <v>-0.56033512340997305</v>
      </c>
      <c r="AU393">
        <f t="shared" si="195"/>
        <v>-2.3549086545656057</v>
      </c>
    </row>
    <row r="394" spans="1:47" x14ac:dyDescent="0.25">
      <c r="A394" s="4">
        <f>DATE(2023,1,26)</f>
        <v>44952</v>
      </c>
      <c r="B394">
        <v>0.86120629021335537</v>
      </c>
      <c r="C394">
        <v>60.92109893728972</v>
      </c>
      <c r="D394">
        <v>1.0829363930937843</v>
      </c>
      <c r="E394">
        <f t="shared" si="168"/>
        <v>0.87272084781999359</v>
      </c>
      <c r="F394">
        <f t="shared" si="169"/>
        <v>0.78384310605014518</v>
      </c>
      <c r="G394">
        <f t="shared" si="170"/>
        <v>1.6394109182543017</v>
      </c>
      <c r="H394" s="2" t="str">
        <f t="shared" si="171"/>
        <v>Lower</v>
      </c>
      <c r="I394" s="2" t="str">
        <f t="shared" si="172"/>
        <v>Higher</v>
      </c>
      <c r="J394" s="2" t="str">
        <f t="shared" si="173"/>
        <v>Lower</v>
      </c>
      <c r="K394" s="2" t="str">
        <f t="shared" si="174"/>
        <v>Lower</v>
      </c>
      <c r="L394" s="2" t="str">
        <f t="shared" si="175"/>
        <v>Lower</v>
      </c>
      <c r="M394" s="2" t="str">
        <f t="shared" si="176"/>
        <v>Lower</v>
      </c>
      <c r="N394" s="2" t="str">
        <f t="shared" si="177"/>
        <v>Lower</v>
      </c>
      <c r="O394" s="2" t="str">
        <f t="shared" si="178"/>
        <v>Higher</v>
      </c>
      <c r="P394" s="2" t="str">
        <f t="shared" si="179"/>
        <v>Lower</v>
      </c>
      <c r="R394" s="4">
        <f>DATE(2023,1,26)</f>
        <v>44952</v>
      </c>
      <c r="S394">
        <v>-0.21121964484054775</v>
      </c>
      <c r="T394">
        <v>0.47067635660966917</v>
      </c>
      <c r="U394">
        <v>-2.9243152118414656E-3</v>
      </c>
      <c r="V394">
        <v>-7.3798078338982859E-2</v>
      </c>
      <c r="X394" s="4">
        <f>DATE(2023,1,26)</f>
        <v>44952</v>
      </c>
      <c r="Y394">
        <v>25.23476588128807</v>
      </c>
      <c r="Z394">
        <v>21.249633137506731</v>
      </c>
      <c r="AA394">
        <v>88.08250000000001</v>
      </c>
      <c r="AB394">
        <v>55.261249999999997</v>
      </c>
      <c r="AC394">
        <f t="shared" si="180"/>
        <v>4.6445683324833516E-2</v>
      </c>
      <c r="AD394">
        <f t="shared" si="181"/>
        <v>-9.4011781631039223E-2</v>
      </c>
      <c r="AE394">
        <f t="shared" si="182"/>
        <v>-0.14045746495587275</v>
      </c>
      <c r="AF394">
        <f t="shared" si="183"/>
        <v>-0.79224874901338527</v>
      </c>
      <c r="AH394">
        <f t="shared" si="184"/>
        <v>3.6652560782126496E-2</v>
      </c>
      <c r="AI394">
        <f t="shared" si="185"/>
        <v>-0.41671899907012178</v>
      </c>
      <c r="AJ394">
        <f t="shared" si="186"/>
        <v>-0.45337155985224825</v>
      </c>
      <c r="AK394">
        <f t="shared" si="187"/>
        <v>-1.4040547877540346</v>
      </c>
      <c r="AM394">
        <f t="shared" si="188"/>
        <v>0.14059105447771716</v>
      </c>
      <c r="AN394">
        <f t="shared" si="189"/>
        <v>-0.81979547592195445</v>
      </c>
      <c r="AO394">
        <f t="shared" si="190"/>
        <v>-0.96038653039967159</v>
      </c>
      <c r="AP394">
        <f t="shared" si="191"/>
        <v>-2.079864071322961</v>
      </c>
      <c r="AR394">
        <f t="shared" si="192"/>
        <v>1.7696029295403135E-2</v>
      </c>
      <c r="AS394">
        <f t="shared" si="193"/>
        <v>-0.59370806043407287</v>
      </c>
      <c r="AT394">
        <f t="shared" si="194"/>
        <v>-0.61140408972947602</v>
      </c>
      <c r="AU394">
        <f t="shared" si="195"/>
        <v>-2.4945448030077668</v>
      </c>
    </row>
    <row r="395" spans="1:47" x14ac:dyDescent="0.25">
      <c r="A395" s="4">
        <f>DATE(2023,1,25)</f>
        <v>44951</v>
      </c>
      <c r="B395">
        <v>0.51744113535897474</v>
      </c>
      <c r="C395">
        <v>52.541246859103438</v>
      </c>
      <c r="D395">
        <v>0.73276999395588738</v>
      </c>
      <c r="E395">
        <f t="shared" si="168"/>
        <v>0.52942219764636955</v>
      </c>
      <c r="F395">
        <f t="shared" si="169"/>
        <v>0.1342483603737534</v>
      </c>
      <c r="G395">
        <f t="shared" si="170"/>
        <v>0.64722609836712863</v>
      </c>
      <c r="H395" s="2" t="str">
        <f t="shared" si="171"/>
        <v>Lower</v>
      </c>
      <c r="I395" s="2" t="str">
        <f t="shared" si="172"/>
        <v>Higher</v>
      </c>
      <c r="J395" s="2" t="str">
        <f t="shared" si="173"/>
        <v>Lower</v>
      </c>
      <c r="K395" s="2" t="str">
        <f t="shared" si="174"/>
        <v>Lower</v>
      </c>
      <c r="L395" s="2" t="str">
        <f t="shared" si="175"/>
        <v>Lower</v>
      </c>
      <c r="M395" s="2" t="str">
        <f t="shared" si="176"/>
        <v>Lower</v>
      </c>
      <c r="N395" s="2" t="str">
        <f t="shared" si="177"/>
        <v>Lower</v>
      </c>
      <c r="O395" s="2" t="str">
        <f t="shared" si="178"/>
        <v>Higher</v>
      </c>
      <c r="P395" s="2" t="str">
        <f t="shared" si="179"/>
        <v>Lower</v>
      </c>
      <c r="R395" s="4">
        <f>DATE(2023,1,25)</f>
        <v>44951</v>
      </c>
      <c r="S395">
        <v>0.67329986647798834</v>
      </c>
      <c r="T395">
        <v>0.61145053919862624</v>
      </c>
      <c r="U395">
        <v>3.9347591523451214E-2</v>
      </c>
      <c r="V395">
        <v>-6.4982932506129659E-2</v>
      </c>
      <c r="X395" s="4">
        <f>DATE(2023,1,25)</f>
        <v>44951</v>
      </c>
      <c r="Y395">
        <v>17.80243649067727</v>
      </c>
      <c r="Z395">
        <v>21.828610809626188</v>
      </c>
      <c r="AA395">
        <v>83.63</v>
      </c>
      <c r="AB395">
        <v>56.792499999999997</v>
      </c>
      <c r="AC395">
        <f t="shared" si="180"/>
        <v>1.7581611183940402E-2</v>
      </c>
      <c r="AD395">
        <f t="shared" si="181"/>
        <v>-7.8078847614564587E-2</v>
      </c>
      <c r="AE395">
        <f t="shared" si="182"/>
        <v>-9.5660458798504988E-2</v>
      </c>
      <c r="AF395">
        <f t="shared" si="183"/>
        <v>-0.5459124851932512</v>
      </c>
      <c r="AH395">
        <f t="shared" si="184"/>
        <v>-3.6455185819937959E-2</v>
      </c>
      <c r="AI395">
        <f t="shared" si="185"/>
        <v>-0.35936885139725461</v>
      </c>
      <c r="AJ395">
        <f t="shared" si="186"/>
        <v>-0.32291366557731666</v>
      </c>
      <c r="AK395">
        <f t="shared" si="187"/>
        <v>-1.0147449952539649</v>
      </c>
      <c r="AM395">
        <f t="shared" si="188"/>
        <v>8.2434561052745395E-2</v>
      </c>
      <c r="AN395">
        <f t="shared" si="189"/>
        <v>-0.79578973906773887</v>
      </c>
      <c r="AO395">
        <f t="shared" si="190"/>
        <v>-0.87822430012048425</v>
      </c>
      <c r="AP395">
        <f t="shared" si="191"/>
        <v>-1.9292894190505354</v>
      </c>
      <c r="AR395">
        <f t="shared" si="192"/>
        <v>-2.774147978141257E-2</v>
      </c>
      <c r="AS395">
        <f t="shared" si="193"/>
        <v>-0.51300575205130328</v>
      </c>
      <c r="AT395">
        <f t="shared" si="194"/>
        <v>-0.48526427226989072</v>
      </c>
      <c r="AU395">
        <f t="shared" si="195"/>
        <v>-2.2166739340870225</v>
      </c>
    </row>
    <row r="396" spans="1:47" x14ac:dyDescent="0.25">
      <c r="A396" s="4">
        <f>DATE(2023,1,24)</f>
        <v>44950</v>
      </c>
      <c r="B396">
        <v>0.45761547054896901</v>
      </c>
      <c r="C396">
        <v>47.202311701845389</v>
      </c>
      <c r="D396">
        <v>0.49045832684563051</v>
      </c>
      <c r="E396">
        <f t="shared" si="168"/>
        <v>0.47783901808674645</v>
      </c>
      <c r="F396">
        <f t="shared" si="169"/>
        <v>-0.27405370889223124</v>
      </c>
      <c r="G396">
        <f t="shared" si="170"/>
        <v>-4.7329574752117375E-2</v>
      </c>
      <c r="H396" s="2" t="str">
        <f t="shared" si="171"/>
        <v>Lower</v>
      </c>
      <c r="I396" s="2" t="str">
        <f t="shared" si="172"/>
        <v>Higher</v>
      </c>
      <c r="J396" s="2" t="str">
        <f t="shared" si="173"/>
        <v>Lower</v>
      </c>
      <c r="K396" s="2" t="str">
        <f t="shared" si="174"/>
        <v>Lower</v>
      </c>
      <c r="L396" s="2" t="str">
        <f t="shared" si="175"/>
        <v>Lower</v>
      </c>
      <c r="M396" s="2" t="str">
        <f t="shared" si="176"/>
        <v>Lower</v>
      </c>
      <c r="N396" s="2" t="str">
        <f t="shared" si="177"/>
        <v>Lower</v>
      </c>
      <c r="O396" s="2" t="str">
        <f t="shared" si="178"/>
        <v>Higher</v>
      </c>
      <c r="P396" s="2" t="str">
        <f t="shared" si="179"/>
        <v>Lower</v>
      </c>
      <c r="R396" s="4">
        <f>DATE(2023,1,24)</f>
        <v>44950</v>
      </c>
      <c r="S396">
        <v>0.93432333043081983</v>
      </c>
      <c r="T396">
        <v>0.64042977414823776</v>
      </c>
      <c r="U396">
        <v>5.5204233015925627E-2</v>
      </c>
      <c r="V396">
        <v>-6.0164490913013867E-2</v>
      </c>
      <c r="X396" s="4">
        <f>DATE(2023,1,24)</f>
        <v>44950</v>
      </c>
      <c r="Y396">
        <v>19.489353876871622</v>
      </c>
      <c r="Z396">
        <v>22.33990717020605</v>
      </c>
      <c r="AA396">
        <v>82.427500000000009</v>
      </c>
      <c r="AB396">
        <v>60.201750000000004</v>
      </c>
      <c r="AC396">
        <f t="shared" si="180"/>
        <v>4.1237850389847584E-2</v>
      </c>
      <c r="AD396">
        <f t="shared" si="181"/>
        <v>4.9331010539674456E-3</v>
      </c>
      <c r="AE396">
        <f t="shared" si="182"/>
        <v>-3.630474933588014E-2</v>
      </c>
      <c r="AF396">
        <f t="shared" si="183"/>
        <v>-0.2182881368943235</v>
      </c>
      <c r="AH396">
        <f t="shared" si="184"/>
        <v>-7.5789854439652651E-2</v>
      </c>
      <c r="AI396">
        <f t="shared" si="185"/>
        <v>-0.28486256861279835</v>
      </c>
      <c r="AJ396">
        <f t="shared" si="186"/>
        <v>-0.20907271417314571</v>
      </c>
      <c r="AK396">
        <f t="shared" si="187"/>
        <v>-0.67183511194171852</v>
      </c>
      <c r="AM396">
        <f t="shared" si="188"/>
        <v>6.2221996543084246E-2</v>
      </c>
      <c r="AN396">
        <f t="shared" si="189"/>
        <v>-0.65755117997969592</v>
      </c>
      <c r="AO396">
        <f t="shared" si="190"/>
        <v>-0.71977317652278017</v>
      </c>
      <c r="AP396">
        <f t="shared" si="191"/>
        <v>-1.622873474452764</v>
      </c>
      <c r="AR396">
        <f t="shared" si="192"/>
        <v>2.7177423543300369E-2</v>
      </c>
      <c r="AS396">
        <f t="shared" si="193"/>
        <v>-0.4431222247611793</v>
      </c>
      <c r="AT396">
        <f t="shared" si="194"/>
        <v>-0.47029964830447968</v>
      </c>
      <c r="AU396">
        <f t="shared" si="195"/>
        <v>-2.1968120754687805</v>
      </c>
    </row>
    <row r="397" spans="1:47" x14ac:dyDescent="0.25">
      <c r="A397" s="4">
        <f>DATE(2023,1,23)</f>
        <v>44949</v>
      </c>
      <c r="B397">
        <v>0.60212430776136161</v>
      </c>
      <c r="C397">
        <v>55.012494410195536</v>
      </c>
      <c r="D397">
        <v>0.74047081230338163</v>
      </c>
      <c r="E397">
        <f t="shared" si="168"/>
        <v>0.63693620152908625</v>
      </c>
      <c r="F397">
        <f t="shared" si="169"/>
        <v>0.34361510783461757</v>
      </c>
      <c r="G397">
        <f t="shared" si="170"/>
        <v>0.68667415962617251</v>
      </c>
      <c r="H397" s="2" t="str">
        <f t="shared" si="171"/>
        <v>Lower</v>
      </c>
      <c r="I397" s="2" t="str">
        <f t="shared" si="172"/>
        <v>Higher</v>
      </c>
      <c r="J397" s="2" t="str">
        <f t="shared" si="173"/>
        <v>Lower</v>
      </c>
      <c r="K397" s="2" t="str">
        <f t="shared" si="174"/>
        <v>Lower</v>
      </c>
      <c r="L397" s="2" t="str">
        <f t="shared" si="175"/>
        <v>Lower</v>
      </c>
      <c r="M397" s="2" t="str">
        <f t="shared" si="176"/>
        <v>Lower</v>
      </c>
      <c r="N397" s="2" t="str">
        <f t="shared" si="177"/>
        <v>Lower</v>
      </c>
      <c r="O397" s="2" t="str">
        <f t="shared" si="178"/>
        <v>Higher</v>
      </c>
      <c r="P397" s="2" t="str">
        <f t="shared" si="179"/>
        <v>Lower</v>
      </c>
      <c r="R397" s="4">
        <f>DATE(2023,1,23)</f>
        <v>44949</v>
      </c>
      <c r="S397">
        <v>0.76981259825650639</v>
      </c>
      <c r="T397">
        <v>0.65389943363960668</v>
      </c>
      <c r="U397">
        <v>5.7905174292057521E-2</v>
      </c>
      <c r="V397">
        <v>-5.8381244283166565E-2</v>
      </c>
      <c r="X397" s="4">
        <f>DATE(2023,1,23)</f>
        <v>44949</v>
      </c>
      <c r="Y397">
        <v>21.205969118784328</v>
      </c>
      <c r="Z397">
        <v>24.84272205599682</v>
      </c>
      <c r="AA397">
        <v>85.012500000000003</v>
      </c>
      <c r="AB397">
        <v>65.649249999999995</v>
      </c>
      <c r="AC397">
        <f t="shared" si="180"/>
        <v>8.525649150827351E-2</v>
      </c>
      <c r="AD397" t="str">
        <f t="shared" si="181"/>
        <v/>
      </c>
      <c r="AE397" t="str">
        <f t="shared" si="182"/>
        <v/>
      </c>
      <c r="AF397" t="str">
        <f t="shared" si="183"/>
        <v/>
      </c>
      <c r="AH397" t="str">
        <f t="shared" si="184"/>
        <v/>
      </c>
      <c r="AI397" t="str">
        <f t="shared" si="185"/>
        <v/>
      </c>
      <c r="AJ397" t="str">
        <f t="shared" si="186"/>
        <v/>
      </c>
      <c r="AK397" t="str">
        <f t="shared" si="187"/>
        <v/>
      </c>
      <c r="AM397">
        <f t="shared" si="188"/>
        <v>6.049045937124236E-2</v>
      </c>
      <c r="AN397">
        <f t="shared" si="189"/>
        <v>-0.63071588040484827</v>
      </c>
      <c r="AO397">
        <f t="shared" si="190"/>
        <v>-0.69120633977609058</v>
      </c>
      <c r="AP397">
        <f t="shared" si="191"/>
        <v>-1.5727213689899482</v>
      </c>
      <c r="AR397" t="str">
        <f t="shared" si="192"/>
        <v/>
      </c>
      <c r="AS397">
        <f t="shared" si="193"/>
        <v>-0.37605582673375421</v>
      </c>
      <c r="AT397" t="str">
        <f t="shared" si="194"/>
        <v/>
      </c>
      <c r="AU397" t="str">
        <f t="shared" si="195"/>
        <v/>
      </c>
    </row>
    <row r="398" spans="1:47" x14ac:dyDescent="0.25">
      <c r="A398" s="4">
        <f>DATE(2023,1,20)</f>
        <v>44946</v>
      </c>
      <c r="B398">
        <v>0.44010501569849181</v>
      </c>
      <c r="C398">
        <v>54.795460441319449</v>
      </c>
      <c r="D398">
        <v>0.69623633670669072</v>
      </c>
      <c r="E398">
        <f t="shared" si="168"/>
        <v>0.48150248505849547</v>
      </c>
      <c r="F398">
        <f t="shared" si="169"/>
        <v>0.33728741135683055</v>
      </c>
      <c r="G398">
        <f t="shared" si="170"/>
        <v>0.5715397579874637</v>
      </c>
      <c r="H398" s="2" t="str">
        <f t="shared" si="171"/>
        <v>Lower</v>
      </c>
      <c r="I398" s="2" t="str">
        <f t="shared" si="172"/>
        <v>Higher</v>
      </c>
      <c r="J398" s="2" t="str">
        <f t="shared" si="173"/>
        <v>Lower</v>
      </c>
      <c r="K398" s="2" t="str">
        <f t="shared" si="174"/>
        <v>Lower</v>
      </c>
      <c r="L398" s="2" t="str">
        <f t="shared" si="175"/>
        <v>Lower</v>
      </c>
      <c r="M398" s="2" t="str">
        <f t="shared" si="176"/>
        <v>Lower</v>
      </c>
      <c r="N398" s="2" t="str">
        <f t="shared" si="177"/>
        <v>Lower</v>
      </c>
      <c r="O398" s="2" t="str">
        <f t="shared" si="178"/>
        <v>Higher</v>
      </c>
      <c r="P398" s="2" t="str">
        <f t="shared" si="179"/>
        <v>Lower</v>
      </c>
      <c r="R398" s="4">
        <f>DATE(2023,1,20)</f>
        <v>44946</v>
      </c>
      <c r="S398">
        <v>0.33221117247372339</v>
      </c>
      <c r="T398">
        <v>0.67674195867167786</v>
      </c>
      <c r="U398">
        <v>8.0578396823424478E-2</v>
      </c>
      <c r="V398">
        <v>-5.3579781954659809E-2</v>
      </c>
      <c r="X398" s="4">
        <f>DATE(2023,1,20)</f>
        <v>44946</v>
      </c>
      <c r="Y398">
        <v>20.832732543951327</v>
      </c>
      <c r="Z398">
        <v>25.635429084795469</v>
      </c>
      <c r="AA398">
        <v>84.722499999999997</v>
      </c>
      <c r="AB398">
        <v>66.79849999999999</v>
      </c>
      <c r="AC398">
        <f t="shared" si="180"/>
        <v>6.2115892256325855E-2</v>
      </c>
      <c r="AD398">
        <f t="shared" si="181"/>
        <v>3.2213129881523653E-2</v>
      </c>
      <c r="AE398">
        <f t="shared" si="182"/>
        <v>-2.9902762374802203E-2</v>
      </c>
      <c r="AF398">
        <f t="shared" si="183"/>
        <v>-0.1821922070609692</v>
      </c>
      <c r="AH398">
        <f t="shared" si="184"/>
        <v>-5.4605987198833694E-2</v>
      </c>
      <c r="AI398">
        <f t="shared" si="185"/>
        <v>-0.21688283576056638</v>
      </c>
      <c r="AJ398">
        <f t="shared" si="186"/>
        <v>-0.16227684856173269</v>
      </c>
      <c r="AK398">
        <f t="shared" si="187"/>
        <v>-0.53322576018858936</v>
      </c>
      <c r="AM398">
        <f t="shared" si="188"/>
        <v>4.1819619861243953E-2</v>
      </c>
      <c r="AN398">
        <f t="shared" si="189"/>
        <v>-0.51899444787727533</v>
      </c>
      <c r="AO398">
        <f t="shared" si="190"/>
        <v>-0.56081406773851927</v>
      </c>
      <c r="AP398">
        <f t="shared" si="191"/>
        <v>-1.3166887281138362</v>
      </c>
      <c r="AR398" t="str">
        <f t="shared" si="192"/>
        <v/>
      </c>
      <c r="AS398" t="str">
        <f t="shared" si="193"/>
        <v/>
      </c>
      <c r="AT398" t="str">
        <f t="shared" si="194"/>
        <v/>
      </c>
      <c r="AU398" t="str">
        <f t="shared" si="195"/>
        <v/>
      </c>
    </row>
    <row r="399" spans="1:47" x14ac:dyDescent="0.25">
      <c r="A399" s="4">
        <f>DATE(2023,1,19)</f>
        <v>44945</v>
      </c>
      <c r="B399">
        <v>0.17437631589780467</v>
      </c>
      <c r="C399">
        <v>52.513401751861736</v>
      </c>
      <c r="D399">
        <v>0.59043482086072241</v>
      </c>
      <c r="E399">
        <f t="shared" si="168"/>
        <v>0.21837052107692306</v>
      </c>
      <c r="F399">
        <f t="shared" si="169"/>
        <v>0.17185732237550039</v>
      </c>
      <c r="G399">
        <f t="shared" si="170"/>
        <v>0.28193266136556944</v>
      </c>
      <c r="H399" s="2" t="str">
        <f t="shared" si="171"/>
        <v>Lower</v>
      </c>
      <c r="I399" s="2" t="str">
        <f t="shared" si="172"/>
        <v>Higher</v>
      </c>
      <c r="J399" s="2" t="str">
        <f t="shared" si="173"/>
        <v>Lower</v>
      </c>
      <c r="K399" s="2" t="str">
        <f t="shared" si="174"/>
        <v>Lower</v>
      </c>
      <c r="L399" s="2" t="str">
        <f t="shared" si="175"/>
        <v>Lower</v>
      </c>
      <c r="M399" s="2" t="str">
        <f t="shared" si="176"/>
        <v>Lower</v>
      </c>
      <c r="N399" s="2" t="str">
        <f t="shared" si="177"/>
        <v>Lower</v>
      </c>
      <c r="O399" s="2" t="str">
        <f t="shared" si="178"/>
        <v>Higher</v>
      </c>
      <c r="P399" s="2" t="str">
        <f t="shared" si="179"/>
        <v>Lower</v>
      </c>
      <c r="R399" s="4">
        <f>DATE(2023,1,19)</f>
        <v>44945</v>
      </c>
      <c r="S399">
        <v>-0.42121865283714355</v>
      </c>
      <c r="T399">
        <v>0.69786698054023399</v>
      </c>
      <c r="U399">
        <v>0.10697536363699495</v>
      </c>
      <c r="V399">
        <v>-4.8919522981901879E-2</v>
      </c>
      <c r="X399" s="4">
        <f>DATE(2023,1,19)</f>
        <v>44945</v>
      </c>
      <c r="Y399">
        <v>21.713152003376212</v>
      </c>
      <c r="Z399">
        <v>19.732154491512173</v>
      </c>
      <c r="AA399">
        <v>84.085000000000008</v>
      </c>
      <c r="AB399">
        <v>60.708500000000001</v>
      </c>
      <c r="AC399">
        <f t="shared" si="180"/>
        <v>5.0301682342513969E-2</v>
      </c>
      <c r="AD399">
        <f t="shared" si="181"/>
        <v>-0.10614387166813379</v>
      </c>
      <c r="AE399">
        <f t="shared" si="182"/>
        <v>-0.15644555401064775</v>
      </c>
      <c r="AF399">
        <f t="shared" si="183"/>
        <v>-0.8821652529967039</v>
      </c>
      <c r="AH399">
        <f t="shared" si="184"/>
        <v>-5.7678585359654498E-2</v>
      </c>
      <c r="AI399">
        <f t="shared" si="185"/>
        <v>-0.41503071561341059</v>
      </c>
      <c r="AJ399">
        <f t="shared" si="186"/>
        <v>-0.35735213025375612</v>
      </c>
      <c r="AK399">
        <f t="shared" si="187"/>
        <v>-1.1267019187422449</v>
      </c>
      <c r="AM399">
        <f t="shared" si="188"/>
        <v>6.136819367229731E-2</v>
      </c>
      <c r="AN399">
        <f t="shared" si="189"/>
        <v>-0.57032747397465133</v>
      </c>
      <c r="AO399">
        <f t="shared" si="190"/>
        <v>-0.63169566764694862</v>
      </c>
      <c r="AP399">
        <f t="shared" si="191"/>
        <v>-1.4644053296908712</v>
      </c>
      <c r="AR399">
        <f t="shared" si="192"/>
        <v>5.7424286621389722E-2</v>
      </c>
      <c r="AS399">
        <f t="shared" si="193"/>
        <v>-0.45429828198727379</v>
      </c>
      <c r="AT399">
        <f t="shared" si="194"/>
        <v>-0.5117225686086635</v>
      </c>
      <c r="AU399">
        <f t="shared" si="195"/>
        <v>-2.3123690349086905</v>
      </c>
    </row>
    <row r="400" spans="1:47" x14ac:dyDescent="0.25">
      <c r="A400" s="4">
        <f>DATE(2023,1,18)</f>
        <v>44944</v>
      </c>
      <c r="B400">
        <v>-0.12404805523544638</v>
      </c>
      <c r="C400">
        <v>51.274551737812644</v>
      </c>
      <c r="D400">
        <v>0.5335121167133916</v>
      </c>
      <c r="E400">
        <f t="shared" si="168"/>
        <v>-8.1038232455605888E-2</v>
      </c>
      <c r="F400">
        <f t="shared" si="169"/>
        <v>8.5332145878277199E-2</v>
      </c>
      <c r="G400">
        <f t="shared" si="170"/>
        <v>0.13339194732483819</v>
      </c>
      <c r="H400" s="2" t="str">
        <f t="shared" si="171"/>
        <v>Lower</v>
      </c>
      <c r="I400" s="2" t="str">
        <f t="shared" si="172"/>
        <v>Higher</v>
      </c>
      <c r="J400" s="2" t="str">
        <f t="shared" si="173"/>
        <v>Lower</v>
      </c>
      <c r="K400" s="2" t="str">
        <f t="shared" si="174"/>
        <v>Lower</v>
      </c>
      <c r="L400" s="2" t="str">
        <f t="shared" si="175"/>
        <v>Lower</v>
      </c>
      <c r="M400" s="2" t="str">
        <f t="shared" si="176"/>
        <v>Lower</v>
      </c>
      <c r="N400" s="2" t="str">
        <f t="shared" si="177"/>
        <v>Lower</v>
      </c>
      <c r="O400" s="2" t="str">
        <f t="shared" si="178"/>
        <v>Higher</v>
      </c>
      <c r="P400" s="2" t="str">
        <f t="shared" si="179"/>
        <v>Lower</v>
      </c>
      <c r="R400" s="4">
        <f>DATE(2023,1,18)</f>
        <v>44944</v>
      </c>
      <c r="S400">
        <v>-0.32551671392441583</v>
      </c>
      <c r="T400">
        <v>0.71186976621775444</v>
      </c>
      <c r="U400">
        <v>0.11275726813416725</v>
      </c>
      <c r="V400">
        <v>-4.5037679832265379E-2</v>
      </c>
      <c r="X400" s="4">
        <f>DATE(2023,1,18)</f>
        <v>44944</v>
      </c>
      <c r="Y400">
        <v>19.388060325335804</v>
      </c>
      <c r="Z400">
        <v>20.100600379769627</v>
      </c>
      <c r="AA400">
        <v>82.172500000000014</v>
      </c>
      <c r="AB400">
        <v>61.404499999999999</v>
      </c>
      <c r="AC400">
        <f t="shared" si="180"/>
        <v>3.2592087650583509E-2</v>
      </c>
      <c r="AD400">
        <f t="shared" si="181"/>
        <v>-7.0780500984419598E-2</v>
      </c>
      <c r="AE400">
        <f t="shared" si="182"/>
        <v>-0.10337258863500311</v>
      </c>
      <c r="AF400">
        <f t="shared" si="183"/>
        <v>-0.58944062549758802</v>
      </c>
      <c r="AH400">
        <f t="shared" si="184"/>
        <v>-6.9793710890500057E-2</v>
      </c>
      <c r="AI400">
        <f t="shared" si="185"/>
        <v>-0.46495053664441788</v>
      </c>
      <c r="AJ400">
        <f t="shared" si="186"/>
        <v>-0.39515682575391781</v>
      </c>
      <c r="AK400">
        <f t="shared" si="187"/>
        <v>-1.245113314053264</v>
      </c>
      <c r="AM400">
        <f t="shared" si="188"/>
        <v>7.3656397660240666E-2</v>
      </c>
      <c r="AN400">
        <f t="shared" si="189"/>
        <v>-0.52997997580853962</v>
      </c>
      <c r="AO400">
        <f t="shared" si="190"/>
        <v>-0.6036363734687803</v>
      </c>
      <c r="AP400">
        <f t="shared" si="191"/>
        <v>-1.4134174551854519</v>
      </c>
      <c r="AR400">
        <f t="shared" si="192"/>
        <v>5.4422228653086477E-2</v>
      </c>
      <c r="AS400">
        <f t="shared" si="193"/>
        <v>-0.53955819102817759</v>
      </c>
      <c r="AT400">
        <f t="shared" si="194"/>
        <v>-0.59398041968126403</v>
      </c>
      <c r="AU400">
        <f t="shared" si="195"/>
        <v>-2.5304548383211443</v>
      </c>
    </row>
    <row r="401" spans="1:47" x14ac:dyDescent="0.25">
      <c r="A401" s="4">
        <f>DATE(2023,1,17)</f>
        <v>44943</v>
      </c>
      <c r="B401">
        <v>-0.50402331996000704</v>
      </c>
      <c r="C401">
        <v>43.339361975929911</v>
      </c>
      <c r="D401">
        <v>0.2946158919572493</v>
      </c>
      <c r="E401">
        <f t="shared" si="168"/>
        <v>-0.46768296722508873</v>
      </c>
      <c r="F401">
        <f t="shared" si="169"/>
        <v>-0.51441370216263227</v>
      </c>
      <c r="G401">
        <f t="shared" si="170"/>
        <v>-0.51899325186958634</v>
      </c>
      <c r="H401" s="2" t="str">
        <f t="shared" si="171"/>
        <v>Lower</v>
      </c>
      <c r="I401" s="2" t="str">
        <f t="shared" si="172"/>
        <v>Higher</v>
      </c>
      <c r="J401" s="2" t="str">
        <f t="shared" si="173"/>
        <v>Lower</v>
      </c>
      <c r="K401" s="2" t="str">
        <f t="shared" si="174"/>
        <v>Lower</v>
      </c>
      <c r="L401" s="2" t="str">
        <f t="shared" si="175"/>
        <v>Lower</v>
      </c>
      <c r="M401" s="2" t="str">
        <f t="shared" si="176"/>
        <v>Lower</v>
      </c>
      <c r="N401" s="2" t="str">
        <f t="shared" si="177"/>
        <v>Lower</v>
      </c>
      <c r="O401" s="2" t="str">
        <f t="shared" si="178"/>
        <v>Higher</v>
      </c>
      <c r="P401" s="2" t="str">
        <f t="shared" si="179"/>
        <v>Lower</v>
      </c>
      <c r="R401" s="4">
        <f>DATE(2023,1,17)</f>
        <v>44943</v>
      </c>
      <c r="S401">
        <v>0.61695955494049715</v>
      </c>
      <c r="T401">
        <v>0.72192354640382717</v>
      </c>
      <c r="U401">
        <v>9.3603554501724515E-2</v>
      </c>
      <c r="V401">
        <v>-4.1890484150131226E-2</v>
      </c>
      <c r="X401" s="4">
        <f>DATE(2023,1,17)</f>
        <v>44943</v>
      </c>
      <c r="Y401">
        <v>13.422170700239178</v>
      </c>
      <c r="Z401">
        <v>20.659943467951102</v>
      </c>
      <c r="AA401">
        <v>79.097499999999997</v>
      </c>
      <c r="AB401">
        <v>59.905500000000004</v>
      </c>
      <c r="AC401">
        <f t="shared" si="180"/>
        <v>-2.2872423425549737E-2</v>
      </c>
      <c r="AD401">
        <f t="shared" si="181"/>
        <v>-0.17767360714641606</v>
      </c>
      <c r="AE401">
        <f t="shared" si="182"/>
        <v>-0.15480118372086632</v>
      </c>
      <c r="AF401">
        <f t="shared" si="183"/>
        <v>-0.87672907918764476</v>
      </c>
      <c r="AH401">
        <f t="shared" si="184"/>
        <v>-0.12070412796990837</v>
      </c>
      <c r="AI401">
        <f t="shared" si="185"/>
        <v>-0.56772303697032078</v>
      </c>
      <c r="AJ401">
        <f t="shared" si="186"/>
        <v>-0.44701890900041241</v>
      </c>
      <c r="AK401">
        <f t="shared" si="187"/>
        <v>-1.4070170895556819</v>
      </c>
      <c r="AM401">
        <f t="shared" si="188"/>
        <v>3.991503422940966E-2</v>
      </c>
      <c r="AN401">
        <f t="shared" si="189"/>
        <v>-0.51033974066391086</v>
      </c>
      <c r="AO401">
        <f t="shared" si="190"/>
        <v>-0.55025477489332053</v>
      </c>
      <c r="AP401">
        <f t="shared" si="191"/>
        <v>-1.3105805896429394</v>
      </c>
      <c r="AR401">
        <f t="shared" si="192"/>
        <v>7.0732195616993116E-3</v>
      </c>
      <c r="AS401">
        <f t="shared" si="193"/>
        <v>-0.53808666851569031</v>
      </c>
      <c r="AT401">
        <f t="shared" si="194"/>
        <v>-0.54515988807738958</v>
      </c>
      <c r="AU401">
        <f t="shared" si="195"/>
        <v>-2.4349924556506566</v>
      </c>
    </row>
    <row r="402" spans="1:47" x14ac:dyDescent="0.25">
      <c r="A402" s="4">
        <f>DATE(2023,1,16)</f>
        <v>44942</v>
      </c>
      <c r="B402">
        <v>-0.67121634661020879</v>
      </c>
      <c r="C402">
        <v>38.322911491043506</v>
      </c>
      <c r="D402">
        <v>0.15699417447726466</v>
      </c>
      <c r="E402">
        <f t="shared" si="168"/>
        <v>-0.6426801753730359</v>
      </c>
      <c r="F402">
        <f t="shared" si="169"/>
        <v>-0.9018277981043733</v>
      </c>
      <c r="G402">
        <f t="shared" si="170"/>
        <v>-0.90398950203721085</v>
      </c>
      <c r="H402" s="2" t="str">
        <f t="shared" si="171"/>
        <v>Lower</v>
      </c>
      <c r="I402" s="2" t="str">
        <f t="shared" si="172"/>
        <v>Higher</v>
      </c>
      <c r="J402" s="2" t="str">
        <f t="shared" si="173"/>
        <v>Higher</v>
      </c>
      <c r="K402" s="2" t="str">
        <f t="shared" si="174"/>
        <v>Lower</v>
      </c>
      <c r="L402" s="2" t="str">
        <f t="shared" si="175"/>
        <v>Lower</v>
      </c>
      <c r="M402" s="2" t="str">
        <f t="shared" si="176"/>
        <v>Lower</v>
      </c>
      <c r="N402" s="2" t="str">
        <f t="shared" si="177"/>
        <v>Lower</v>
      </c>
      <c r="O402" s="2" t="str">
        <f t="shared" si="178"/>
        <v>Higher</v>
      </c>
      <c r="P402" s="2" t="str">
        <f t="shared" si="179"/>
        <v>Lower</v>
      </c>
      <c r="R402" s="4">
        <f>DATE(2023,1,16)</f>
        <v>44942</v>
      </c>
      <c r="X402" s="4">
        <f>DATE(2023,1,16)</f>
        <v>44942</v>
      </c>
      <c r="Y402">
        <v>13.353508156320807</v>
      </c>
      <c r="AA402">
        <v>78.064999999999998</v>
      </c>
      <c r="AC402">
        <f t="shared" si="180"/>
        <v>-3.0062984760075628E-2</v>
      </c>
      <c r="AD402" t="str">
        <f t="shared" si="181"/>
        <v/>
      </c>
      <c r="AE402" t="str">
        <f t="shared" si="182"/>
        <v/>
      </c>
      <c r="AF402" t="str">
        <f t="shared" si="183"/>
        <v/>
      </c>
      <c r="AH402">
        <f t="shared" si="184"/>
        <v>-7.6513782898735616E-2</v>
      </c>
      <c r="AI402" t="str">
        <f t="shared" si="185"/>
        <v/>
      </c>
      <c r="AJ402" t="str">
        <f t="shared" si="186"/>
        <v/>
      </c>
      <c r="AK402" t="str">
        <f t="shared" si="187"/>
        <v/>
      </c>
      <c r="AM402">
        <f t="shared" si="188"/>
        <v>9.1557542324288671E-2</v>
      </c>
      <c r="AN402" t="str">
        <f t="shared" si="189"/>
        <v/>
      </c>
      <c r="AO402" t="str">
        <f t="shared" si="190"/>
        <v/>
      </c>
      <c r="AP402" t="str">
        <f t="shared" si="191"/>
        <v/>
      </c>
      <c r="AR402">
        <f t="shared" si="192"/>
        <v>-4.314001609577075E-3</v>
      </c>
      <c r="AS402" t="str">
        <f t="shared" si="193"/>
        <v/>
      </c>
      <c r="AT402" t="str">
        <f t="shared" si="194"/>
        <v/>
      </c>
      <c r="AU402" t="str">
        <f t="shared" si="195"/>
        <v/>
      </c>
    </row>
    <row r="403" spans="1:47" x14ac:dyDescent="0.25">
      <c r="A403" s="4">
        <f>DATE(2023,1,13)</f>
        <v>44939</v>
      </c>
      <c r="B403">
        <v>-0.66088373562049396</v>
      </c>
      <c r="C403">
        <v>42.327349373067804</v>
      </c>
      <c r="D403">
        <v>0.25367885194955819</v>
      </c>
      <c r="E403">
        <f t="shared" si="168"/>
        <v>-0.63813809790665277</v>
      </c>
      <c r="F403">
        <f t="shared" si="169"/>
        <v>-0.60462352467676328</v>
      </c>
      <c r="G403">
        <f t="shared" si="170"/>
        <v>-0.64414167156521729</v>
      </c>
      <c r="H403" s="2" t="str">
        <f t="shared" si="171"/>
        <v>Lower</v>
      </c>
      <c r="I403" s="2" t="str">
        <f t="shared" si="172"/>
        <v>Higher</v>
      </c>
      <c r="J403" s="2" t="str">
        <f t="shared" si="173"/>
        <v>Higher</v>
      </c>
      <c r="K403" s="2" t="str">
        <f t="shared" si="174"/>
        <v>Lower</v>
      </c>
      <c r="L403" s="2" t="str">
        <f t="shared" si="175"/>
        <v>Lower</v>
      </c>
      <c r="M403" s="2" t="str">
        <f t="shared" si="176"/>
        <v>Lower</v>
      </c>
      <c r="N403" s="2" t="str">
        <f t="shared" si="177"/>
        <v>Lower</v>
      </c>
      <c r="O403" s="2" t="str">
        <f t="shared" si="178"/>
        <v>Higher</v>
      </c>
      <c r="P403" s="2" t="str">
        <f t="shared" si="179"/>
        <v>Lower</v>
      </c>
      <c r="R403" s="4">
        <f>DATE(2023,1,13)</f>
        <v>44939</v>
      </c>
      <c r="S403">
        <v>0.90051924862948418</v>
      </c>
      <c r="T403">
        <v>0.68791116469912039</v>
      </c>
      <c r="U403">
        <v>8.2909369571112793E-2</v>
      </c>
      <c r="V403">
        <v>-4.3575890959182385E-2</v>
      </c>
      <c r="X403" s="4">
        <f>DATE(2023,1,13)</f>
        <v>44939</v>
      </c>
      <c r="Y403">
        <v>14.102872551277079</v>
      </c>
      <c r="Z403">
        <v>23.566216481675561</v>
      </c>
      <c r="AA403">
        <v>79.62</v>
      </c>
      <c r="AB403">
        <v>64.680999999999997</v>
      </c>
      <c r="AC403">
        <f t="shared" si="180"/>
        <v>2.2128238251103664E-2</v>
      </c>
      <c r="AD403">
        <f t="shared" si="181"/>
        <v>-8.9925295026461599E-2</v>
      </c>
      <c r="AE403">
        <f t="shared" si="182"/>
        <v>-0.11205353327756526</v>
      </c>
      <c r="AF403">
        <f t="shared" si="183"/>
        <v>-0.64600162341881862</v>
      </c>
      <c r="AH403">
        <f t="shared" si="184"/>
        <v>-5.6641938978699145E-2</v>
      </c>
      <c r="AI403">
        <f t="shared" si="185"/>
        <v>-0.57937870220219168</v>
      </c>
      <c r="AJ403">
        <f t="shared" si="186"/>
        <v>-0.5227367632234925</v>
      </c>
      <c r="AK403">
        <f t="shared" si="187"/>
        <v>-1.6474078122929747</v>
      </c>
      <c r="AM403">
        <f t="shared" si="188"/>
        <v>0.15218493336101604</v>
      </c>
      <c r="AN403">
        <f t="shared" si="189"/>
        <v>-0.56300472104213617</v>
      </c>
      <c r="AO403">
        <f t="shared" si="190"/>
        <v>-0.71518965440315219</v>
      </c>
      <c r="AP403">
        <f t="shared" si="191"/>
        <v>-1.6519709224977861</v>
      </c>
      <c r="AR403">
        <f t="shared" si="192"/>
        <v>-6.8528782619022652E-3</v>
      </c>
      <c r="AS403">
        <f t="shared" si="193"/>
        <v>-0.47378814427428734</v>
      </c>
      <c r="AT403">
        <f t="shared" si="194"/>
        <v>-0.46693526601238505</v>
      </c>
      <c r="AU403">
        <f t="shared" si="195"/>
        <v>-2.263583770602013</v>
      </c>
    </row>
    <row r="404" spans="1:47" x14ac:dyDescent="0.25">
      <c r="A404" s="4">
        <f>DATE(2023,1,12)</f>
        <v>44938</v>
      </c>
      <c r="B404">
        <v>-0.8064041159766695</v>
      </c>
      <c r="C404">
        <v>43.019937734571968</v>
      </c>
      <c r="D404">
        <v>0.2507045480761278</v>
      </c>
      <c r="E404">
        <f t="shared" si="168"/>
        <v>-0.7935706118928384</v>
      </c>
      <c r="F404">
        <f t="shared" si="169"/>
        <v>-0.55805710510734885</v>
      </c>
      <c r="G404">
        <f t="shared" si="170"/>
        <v>-0.66029610139386008</v>
      </c>
      <c r="H404" s="2" t="str">
        <f t="shared" si="171"/>
        <v>Lower</v>
      </c>
      <c r="I404" s="2" t="str">
        <f t="shared" si="172"/>
        <v>Higher</v>
      </c>
      <c r="J404" s="2" t="str">
        <f t="shared" si="173"/>
        <v>Higher</v>
      </c>
      <c r="K404" s="2" t="str">
        <f t="shared" si="174"/>
        <v>Lower</v>
      </c>
      <c r="L404" s="2" t="str">
        <f t="shared" si="175"/>
        <v>Higher</v>
      </c>
      <c r="M404" s="2" t="str">
        <f t="shared" si="176"/>
        <v>Higher</v>
      </c>
      <c r="N404" s="2" t="str">
        <f t="shared" si="177"/>
        <v>Lower</v>
      </c>
      <c r="O404" s="2" t="str">
        <f t="shared" si="178"/>
        <v>Higher</v>
      </c>
      <c r="P404" s="2" t="str">
        <f t="shared" si="179"/>
        <v>Lower</v>
      </c>
      <c r="R404" s="4">
        <f>DATE(2023,1,12)</f>
        <v>44938</v>
      </c>
      <c r="S404">
        <v>0.47525003260397208</v>
      </c>
      <c r="T404">
        <v>0.64082868271057158</v>
      </c>
      <c r="U404">
        <v>7.6031867510339843E-2</v>
      </c>
      <c r="V404">
        <v>-4.4539135036279431E-2</v>
      </c>
      <c r="X404" s="4">
        <f>DATE(2023,1,12)</f>
        <v>44938</v>
      </c>
      <c r="Y404">
        <v>14.83560682022042</v>
      </c>
      <c r="Z404">
        <v>24.803213476904233</v>
      </c>
      <c r="AA404">
        <v>79.960000000000008</v>
      </c>
      <c r="AB404">
        <v>67.506749999999997</v>
      </c>
      <c r="AC404">
        <f t="shared" si="180"/>
        <v>1.7123004087082314E-2</v>
      </c>
      <c r="AD404">
        <f t="shared" si="181"/>
        <v>-7.0282527757819152E-2</v>
      </c>
      <c r="AE404">
        <f t="shared" si="182"/>
        <v>-8.7405531844901463E-2</v>
      </c>
      <c r="AF404">
        <f t="shared" si="183"/>
        <v>-0.51297761535208541</v>
      </c>
      <c r="AH404">
        <f t="shared" si="184"/>
        <v>-7.2093778228690994E-2</v>
      </c>
      <c r="AI404">
        <f t="shared" si="185"/>
        <v>-0.69131976850757271</v>
      </c>
      <c r="AJ404">
        <f t="shared" si="186"/>
        <v>-0.6192259902788817</v>
      </c>
      <c r="AK404">
        <f t="shared" si="187"/>
        <v>-1.9519604802038237</v>
      </c>
      <c r="AM404">
        <f t="shared" si="188"/>
        <v>0.17623705345837165</v>
      </c>
      <c r="AN404">
        <f t="shared" si="189"/>
        <v>-0.63311630453086198</v>
      </c>
      <c r="AO404">
        <f t="shared" si="190"/>
        <v>-0.80935335798923358</v>
      </c>
      <c r="AP404">
        <f t="shared" si="191"/>
        <v>-1.8523042355454855</v>
      </c>
      <c r="AR404">
        <f t="shared" si="192"/>
        <v>1.0118554106458465E-2</v>
      </c>
      <c r="AS404">
        <f t="shared" si="193"/>
        <v>-0.43757173125247867</v>
      </c>
      <c r="AT404">
        <f t="shared" si="194"/>
        <v>-0.44769028535893712</v>
      </c>
      <c r="AU404">
        <f t="shared" si="195"/>
        <v>-2.2333041643889011</v>
      </c>
    </row>
    <row r="405" spans="1:47" x14ac:dyDescent="0.25">
      <c r="A405" s="4">
        <f>DATE(2023,1,11)</f>
        <v>44937</v>
      </c>
      <c r="B405">
        <v>-0.99634191601364253</v>
      </c>
      <c r="C405">
        <v>40.047198349024768</v>
      </c>
      <c r="D405">
        <v>0.15120255887839967</v>
      </c>
      <c r="E405">
        <f t="shared" si="168"/>
        <v>-0.99654758091443429</v>
      </c>
      <c r="F405">
        <f t="shared" si="169"/>
        <v>-0.79123906127692756</v>
      </c>
      <c r="G405">
        <f t="shared" si="170"/>
        <v>-0.94383771191494403</v>
      </c>
      <c r="H405" s="2" t="str">
        <f t="shared" si="171"/>
        <v>Lower</v>
      </c>
      <c r="I405" s="2" t="str">
        <f t="shared" si="172"/>
        <v>Higher</v>
      </c>
      <c r="J405" s="2" t="str">
        <f t="shared" si="173"/>
        <v>Higher</v>
      </c>
      <c r="K405" s="2" t="str">
        <f t="shared" si="174"/>
        <v>Lower</v>
      </c>
      <c r="L405" s="2" t="str">
        <f t="shared" si="175"/>
        <v>Higher</v>
      </c>
      <c r="M405" s="2" t="str">
        <f t="shared" si="176"/>
        <v>Higher</v>
      </c>
      <c r="N405" s="2" t="str">
        <f t="shared" si="177"/>
        <v>Lower</v>
      </c>
      <c r="O405" s="2" t="str">
        <f t="shared" si="178"/>
        <v>Higher</v>
      </c>
      <c r="P405" s="2" t="str">
        <f t="shared" si="179"/>
        <v>Higher</v>
      </c>
      <c r="R405" s="4">
        <f>DATE(2023,1,11)</f>
        <v>44937</v>
      </c>
      <c r="S405">
        <v>0.47894713541768069</v>
      </c>
      <c r="T405">
        <v>0.56830570957477322</v>
      </c>
      <c r="U405">
        <v>5.2060692635166439E-2</v>
      </c>
      <c r="V405">
        <v>-4.3968425638558906E-2</v>
      </c>
      <c r="X405" s="4">
        <f>DATE(2023,1,11)</f>
        <v>44937</v>
      </c>
      <c r="Y405">
        <v>15.58760261731803</v>
      </c>
      <c r="Z405">
        <v>23.585363918360567</v>
      </c>
      <c r="AA405">
        <v>79.537499999999994</v>
      </c>
      <c r="AB405">
        <v>65.90825000000001</v>
      </c>
      <c r="AC405">
        <f t="shared" si="180"/>
        <v>4.1576172523081047E-3</v>
      </c>
      <c r="AD405">
        <f t="shared" si="181"/>
        <v>1.3537949185309619E-2</v>
      </c>
      <c r="AE405">
        <f t="shared" si="182"/>
        <v>9.380331933001515E-3</v>
      </c>
      <c r="AF405">
        <f t="shared" si="183"/>
        <v>2.2500698822674681E-2</v>
      </c>
      <c r="AH405">
        <f t="shared" si="184"/>
        <v>-8.7982668975861517E-2</v>
      </c>
      <c r="AI405">
        <f t="shared" si="185"/>
        <v>-0.69082687495522843</v>
      </c>
      <c r="AJ405">
        <f t="shared" si="186"/>
        <v>-0.60284420597936694</v>
      </c>
      <c r="AK405">
        <f t="shared" si="187"/>
        <v>-1.9120587226805403</v>
      </c>
      <c r="AM405">
        <f t="shared" si="188"/>
        <v>0.1594451991442323</v>
      </c>
      <c r="AN405">
        <f t="shared" si="189"/>
        <v>-0.53477848322875776</v>
      </c>
      <c r="AO405">
        <f t="shared" si="190"/>
        <v>-0.69422368237299004</v>
      </c>
      <c r="AP405">
        <f t="shared" si="191"/>
        <v>-1.6251627386776093</v>
      </c>
      <c r="AR405">
        <f t="shared" si="192"/>
        <v>2.3920476377979696E-2</v>
      </c>
      <c r="AS405">
        <f t="shared" si="193"/>
        <v>-0.48261002995806268</v>
      </c>
      <c r="AT405">
        <f t="shared" si="194"/>
        <v>-0.50653050633604235</v>
      </c>
      <c r="AU405">
        <f t="shared" si="195"/>
        <v>-2.3974041696837594</v>
      </c>
    </row>
    <row r="406" spans="1:47" x14ac:dyDescent="0.25">
      <c r="A406" s="4">
        <f>DATE(2023,1,10)</f>
        <v>44936</v>
      </c>
      <c r="B406">
        <v>-1.0792474959056695</v>
      </c>
      <c r="C406">
        <v>42.610829985118528</v>
      </c>
      <c r="D406">
        <v>0.2071926185569099</v>
      </c>
      <c r="E406">
        <f t="shared" si="168"/>
        <v>-1.0930991976282365</v>
      </c>
      <c r="F406">
        <f t="shared" si="169"/>
        <v>-0.6003201936021707</v>
      </c>
      <c r="G406">
        <f t="shared" si="170"/>
        <v>-0.79490080592214929</v>
      </c>
      <c r="H406" s="2" t="str">
        <f t="shared" si="171"/>
        <v>Lower</v>
      </c>
      <c r="I406" s="2" t="str">
        <f t="shared" si="172"/>
        <v>Higher</v>
      </c>
      <c r="J406" s="2" t="str">
        <f t="shared" si="173"/>
        <v>Higher</v>
      </c>
      <c r="K406" s="2" t="str">
        <f t="shared" si="174"/>
        <v>Lower</v>
      </c>
      <c r="L406" s="2" t="str">
        <f t="shared" si="175"/>
        <v>Higher</v>
      </c>
      <c r="M406" s="2" t="str">
        <f t="shared" si="176"/>
        <v>Higher</v>
      </c>
      <c r="N406" s="2" t="str">
        <f t="shared" si="177"/>
        <v>Lower</v>
      </c>
      <c r="O406" s="2" t="str">
        <f t="shared" si="178"/>
        <v>Higher</v>
      </c>
      <c r="P406" s="2" t="str">
        <f t="shared" si="179"/>
        <v>Higher</v>
      </c>
      <c r="R406" s="4">
        <f>DATE(2023,1,10)</f>
        <v>44936</v>
      </c>
      <c r="S406">
        <v>0.68432329345521903</v>
      </c>
      <c r="T406">
        <v>0.47214913722045299</v>
      </c>
      <c r="U406">
        <v>6.8147006404521556E-3</v>
      </c>
      <c r="V406">
        <v>-4.4786238547337008E-2</v>
      </c>
      <c r="X406" s="4">
        <f>DATE(2023,1,10)</f>
        <v>44936</v>
      </c>
      <c r="Y406">
        <v>16.625461501666265</v>
      </c>
      <c r="Z406">
        <v>24.991186441103995</v>
      </c>
      <c r="AA406">
        <v>80.927500000000009</v>
      </c>
      <c r="AB406">
        <v>71.553249999999991</v>
      </c>
      <c r="AC406">
        <f t="shared" si="180"/>
        <v>-3.4938979442109198E-2</v>
      </c>
      <c r="AD406">
        <f t="shared" si="181"/>
        <v>-1.0575820288249799E-2</v>
      </c>
      <c r="AE406">
        <f t="shared" si="182"/>
        <v>2.43631591538594E-2</v>
      </c>
      <c r="AF406">
        <f t="shared" si="183"/>
        <v>0.10567818635551862</v>
      </c>
      <c r="AH406">
        <f t="shared" si="184"/>
        <v>-9.1114139195832639E-2</v>
      </c>
      <c r="AI406">
        <f t="shared" si="185"/>
        <v>-0.65339287620719122</v>
      </c>
      <c r="AJ406">
        <f t="shared" si="186"/>
        <v>-0.56227873701135855</v>
      </c>
      <c r="AK406">
        <f t="shared" si="187"/>
        <v>-1.798126777674427</v>
      </c>
      <c r="AM406">
        <f t="shared" si="188"/>
        <v>0.17979779103452606</v>
      </c>
      <c r="AN406">
        <f t="shared" si="189"/>
        <v>-0.45890856542389319</v>
      </c>
      <c r="AO406">
        <f t="shared" si="190"/>
        <v>-0.63870635645841922</v>
      </c>
      <c r="AP406">
        <f t="shared" si="191"/>
        <v>-1.5185754234960172</v>
      </c>
      <c r="AR406">
        <f t="shared" si="192"/>
        <v>3.5307586128634189E-2</v>
      </c>
      <c r="AS406">
        <f t="shared" si="193"/>
        <v>-0.41592107351287566</v>
      </c>
      <c r="AT406">
        <f t="shared" si="194"/>
        <v>-0.45122865964150982</v>
      </c>
      <c r="AU406">
        <f t="shared" si="195"/>
        <v>-2.2790552290401749</v>
      </c>
    </row>
    <row r="407" spans="1:47" x14ac:dyDescent="0.25">
      <c r="A407" s="4">
        <f>DATE(2023,1,9)</f>
        <v>44935</v>
      </c>
      <c r="B407">
        <v>-1.2711295403249285</v>
      </c>
      <c r="C407">
        <v>44.161923161572219</v>
      </c>
      <c r="D407">
        <v>0.23360220326584175</v>
      </c>
      <c r="E407">
        <f t="shared" si="168"/>
        <v>-1.3057320280853342</v>
      </c>
      <c r="F407">
        <f t="shared" si="169"/>
        <v>-0.48720631561458178</v>
      </c>
      <c r="G407">
        <f t="shared" si="170"/>
        <v>-0.73090955462767904</v>
      </c>
      <c r="H407" s="2" t="str">
        <f t="shared" si="171"/>
        <v>Lower</v>
      </c>
      <c r="I407" s="2" t="str">
        <f t="shared" si="172"/>
        <v>Higher</v>
      </c>
      <c r="J407" s="2" t="str">
        <f t="shared" si="173"/>
        <v>Higher</v>
      </c>
      <c r="K407" s="2" t="str">
        <f t="shared" si="174"/>
        <v>Lower</v>
      </c>
      <c r="L407" s="2" t="str">
        <f t="shared" si="175"/>
        <v>Higher</v>
      </c>
      <c r="M407" s="2" t="str">
        <f t="shared" si="176"/>
        <v>Higher</v>
      </c>
      <c r="N407" s="2" t="str">
        <f t="shared" si="177"/>
        <v>Lower</v>
      </c>
      <c r="O407" s="2" t="str">
        <f t="shared" si="178"/>
        <v>Higher</v>
      </c>
      <c r="P407" s="2" t="str">
        <f t="shared" si="179"/>
        <v>Higher</v>
      </c>
      <c r="R407" s="4">
        <f>DATE(2023,1,9)</f>
        <v>44935</v>
      </c>
      <c r="S407">
        <v>0.64750987599178167</v>
      </c>
      <c r="T407">
        <v>0.38934790753027382</v>
      </c>
      <c r="U407">
        <v>-3.8109925108359748E-2</v>
      </c>
      <c r="V407">
        <v>-4.3663319298213508E-2</v>
      </c>
      <c r="X407" s="4">
        <f>DATE(2023,1,9)</f>
        <v>44935</v>
      </c>
      <c r="Y407">
        <v>16.044597346648096</v>
      </c>
      <c r="Z407">
        <v>26.101121881230444</v>
      </c>
      <c r="AA407">
        <v>80.447499999999991</v>
      </c>
      <c r="AB407">
        <v>73.52600000000001</v>
      </c>
      <c r="AC407">
        <f t="shared" si="180"/>
        <v>-6.0414378582521876E-2</v>
      </c>
      <c r="AD407" t="str">
        <f t="shared" si="181"/>
        <v/>
      </c>
      <c r="AE407" t="str">
        <f t="shared" si="182"/>
        <v/>
      </c>
      <c r="AF407" t="str">
        <f t="shared" si="183"/>
        <v/>
      </c>
      <c r="AH407">
        <f t="shared" si="184"/>
        <v>-0.10696896689250546</v>
      </c>
      <c r="AI407">
        <f t="shared" si="185"/>
        <v>-0.61934465285118279</v>
      </c>
      <c r="AJ407">
        <f t="shared" si="186"/>
        <v>-0.51237568595867733</v>
      </c>
      <c r="AK407">
        <f t="shared" si="187"/>
        <v>-1.6532697065232469</v>
      </c>
      <c r="AM407">
        <f t="shared" si="188"/>
        <v>0.17581058877631292</v>
      </c>
      <c r="AN407">
        <f t="shared" si="189"/>
        <v>-0.55421928898379902</v>
      </c>
      <c r="AO407">
        <f t="shared" si="190"/>
        <v>-0.73002987776011197</v>
      </c>
      <c r="AP407">
        <f t="shared" si="191"/>
        <v>-1.7124092645929596</v>
      </c>
      <c r="AR407">
        <f t="shared" si="192"/>
        <v>2.5972215233064824E-2</v>
      </c>
      <c r="AS407">
        <f t="shared" si="193"/>
        <v>-0.39849548769853688</v>
      </c>
      <c r="AT407">
        <f t="shared" si="194"/>
        <v>-0.42446770293160169</v>
      </c>
      <c r="AU407">
        <f t="shared" si="195"/>
        <v>-2.229354629533562</v>
      </c>
    </row>
    <row r="408" spans="1:47" x14ac:dyDescent="0.25">
      <c r="A408" s="4">
        <f>DATE(2023,1,6)</f>
        <v>44932</v>
      </c>
      <c r="B408">
        <v>-1.5606090715598984</v>
      </c>
      <c r="C408">
        <v>34.244940692844125</v>
      </c>
      <c r="D408">
        <v>-2.5620110402489002E-2</v>
      </c>
      <c r="E408">
        <f t="shared" si="168"/>
        <v>-1.6260752051909109</v>
      </c>
      <c r="F408">
        <f t="shared" si="169"/>
        <v>-1.2586132011814002</v>
      </c>
      <c r="G408">
        <f t="shared" si="170"/>
        <v>-1.4698422000411673</v>
      </c>
      <c r="H408" s="2" t="str">
        <f t="shared" si="171"/>
        <v>Lower</v>
      </c>
      <c r="I408" s="2" t="str">
        <f t="shared" si="172"/>
        <v>Higher</v>
      </c>
      <c r="J408" s="2" t="str">
        <f t="shared" si="173"/>
        <v>Higher</v>
      </c>
      <c r="K408" s="2" t="str">
        <f t="shared" si="174"/>
        <v>Lower</v>
      </c>
      <c r="L408" s="2" t="str">
        <f t="shared" si="175"/>
        <v>Higher</v>
      </c>
      <c r="M408" s="2" t="str">
        <f t="shared" si="176"/>
        <v>Higher</v>
      </c>
      <c r="N408" s="2" t="str">
        <f t="shared" si="177"/>
        <v>Lower</v>
      </c>
      <c r="O408" s="2" t="str">
        <f t="shared" si="178"/>
        <v>Higher</v>
      </c>
      <c r="P408" s="2" t="str">
        <f t="shared" si="179"/>
        <v>Higher</v>
      </c>
      <c r="R408" s="4">
        <f>DATE(2023,1,6)</f>
        <v>44932</v>
      </c>
      <c r="S408">
        <v>0.76576183574760848</v>
      </c>
      <c r="T408">
        <v>0.28079924998533656</v>
      </c>
      <c r="U408">
        <v>-9.0675271278497935E-2</v>
      </c>
      <c r="V408">
        <v>-4.3022656629224457E-2</v>
      </c>
      <c r="X408" s="4">
        <f>DATE(2023,1,6)</f>
        <v>44932</v>
      </c>
      <c r="Y408">
        <v>12.978840765743998</v>
      </c>
      <c r="Z408">
        <v>28.022551609362061</v>
      </c>
      <c r="AA408">
        <v>77.877499999999998</v>
      </c>
      <c r="AB408">
        <v>70.766999999999996</v>
      </c>
      <c r="AC408">
        <f t="shared" si="180"/>
        <v>-7.1175543314231329E-2</v>
      </c>
      <c r="AD408">
        <f t="shared" si="181"/>
        <v>-7.5476721021486975E-2</v>
      </c>
      <c r="AE408">
        <f t="shared" si="182"/>
        <v>-4.3011777072556462E-3</v>
      </c>
      <c r="AF408">
        <f t="shared" si="183"/>
        <v>-5.125212995766773E-2</v>
      </c>
      <c r="AH408">
        <f t="shared" si="184"/>
        <v>-0.12097739749766248</v>
      </c>
      <c r="AI408">
        <f t="shared" si="185"/>
        <v>-0.67589376216080255</v>
      </c>
      <c r="AJ408">
        <f t="shared" si="186"/>
        <v>-0.55491636466314009</v>
      </c>
      <c r="AK408">
        <f t="shared" si="187"/>
        <v>-1.7923968193070141</v>
      </c>
      <c r="AM408">
        <f t="shared" si="188"/>
        <v>0.13504131179340659</v>
      </c>
      <c r="AN408">
        <f t="shared" si="189"/>
        <v>-0.69641314027192591</v>
      </c>
      <c r="AO408">
        <f t="shared" si="190"/>
        <v>-0.83145445206533253</v>
      </c>
      <c r="AP408">
        <f t="shared" si="191"/>
        <v>-1.9297190716997339</v>
      </c>
      <c r="AR408">
        <f t="shared" si="192"/>
        <v>-5.4105236756897884E-3</v>
      </c>
      <c r="AS408">
        <f t="shared" si="193"/>
        <v>-0.46622354871836036</v>
      </c>
      <c r="AT408">
        <f t="shared" si="194"/>
        <v>-0.46081302504267058</v>
      </c>
      <c r="AU408">
        <f t="shared" si="195"/>
        <v>-2.3393969737510862</v>
      </c>
    </row>
    <row r="409" spans="1:47" x14ac:dyDescent="0.25">
      <c r="A409" s="4">
        <f>DATE(2023,1,5)</f>
        <v>44931</v>
      </c>
      <c r="B409">
        <v>-1.4801758002407066</v>
      </c>
      <c r="C409">
        <v>36.372497408050968</v>
      </c>
      <c r="D409">
        <v>-3.4397619963929565E-2</v>
      </c>
      <c r="E409">
        <f t="shared" si="168"/>
        <v>-1.5686886029049314</v>
      </c>
      <c r="F409">
        <f t="shared" si="169"/>
        <v>-1.1076578526216379</v>
      </c>
      <c r="G409">
        <f t="shared" si="170"/>
        <v>-1.5126257260800859</v>
      </c>
      <c r="H409" s="2" t="str">
        <f t="shared" si="171"/>
        <v>Lower</v>
      </c>
      <c r="I409" s="2" t="str">
        <f t="shared" si="172"/>
        <v>Higher</v>
      </c>
      <c r="J409" s="2" t="str">
        <f t="shared" si="173"/>
        <v>Higher</v>
      </c>
      <c r="K409" s="2" t="str">
        <f t="shared" si="174"/>
        <v>Lower</v>
      </c>
      <c r="L409" s="2" t="str">
        <f t="shared" si="175"/>
        <v>Higher</v>
      </c>
      <c r="M409" s="2" t="str">
        <f t="shared" si="176"/>
        <v>Higher</v>
      </c>
      <c r="N409" s="2" t="str">
        <f t="shared" si="177"/>
        <v>Lower</v>
      </c>
      <c r="O409" s="2" t="str">
        <f t="shared" si="178"/>
        <v>Higher</v>
      </c>
      <c r="P409" s="2" t="str">
        <f t="shared" si="179"/>
        <v>Higher</v>
      </c>
      <c r="R409" s="4">
        <f>DATE(2023,1,5)</f>
        <v>44931</v>
      </c>
      <c r="S409">
        <v>0.79308973700966212</v>
      </c>
      <c r="T409">
        <v>0.16020073069639063</v>
      </c>
      <c r="U409">
        <v>-0.15390865954805039</v>
      </c>
      <c r="V409">
        <v>-4.4859511341180991E-2</v>
      </c>
      <c r="X409" s="4">
        <f>DATE(2023,1,5)</f>
        <v>44931</v>
      </c>
      <c r="Y409">
        <v>13.679946770975162</v>
      </c>
      <c r="Z409">
        <v>30.903513399319522</v>
      </c>
      <c r="AA409">
        <v>78.602499999999992</v>
      </c>
      <c r="AB409">
        <v>72.421999999999997</v>
      </c>
      <c r="AC409">
        <f t="shared" si="180"/>
        <v>-7.7217808972303056E-2</v>
      </c>
      <c r="AD409">
        <f t="shared" si="181"/>
        <v>-0.14628081801312939</v>
      </c>
      <c r="AE409">
        <f t="shared" si="182"/>
        <v>-6.9063009040826337E-2</v>
      </c>
      <c r="AF409">
        <f t="shared" si="183"/>
        <v>-0.40871703380401292</v>
      </c>
      <c r="AH409">
        <f t="shared" si="184"/>
        <v>-0.11995406022622634</v>
      </c>
      <c r="AI409">
        <f t="shared" si="185"/>
        <v>-0.6511937318854194</v>
      </c>
      <c r="AJ409">
        <f t="shared" si="186"/>
        <v>-0.53123967165919306</v>
      </c>
      <c r="AK409">
        <f t="shared" si="187"/>
        <v>-1.7275349110180775</v>
      </c>
      <c r="AM409">
        <f t="shared" si="188"/>
        <v>0.14148251461518846</v>
      </c>
      <c r="AN409">
        <f t="shared" si="189"/>
        <v>-0.75320145227808821</v>
      </c>
      <c r="AO409">
        <f t="shared" si="190"/>
        <v>-0.89468396689327667</v>
      </c>
      <c r="AP409">
        <f t="shared" si="191"/>
        <v>-2.0716803209893424</v>
      </c>
      <c r="AR409">
        <f t="shared" si="192"/>
        <v>1.7971665619029169E-2</v>
      </c>
      <c r="AS409">
        <f t="shared" si="193"/>
        <v>-0.5530254761486445</v>
      </c>
      <c r="AT409">
        <f t="shared" si="194"/>
        <v>-0.57099714176767369</v>
      </c>
      <c r="AU409">
        <f t="shared" si="195"/>
        <v>-2.6429954486898573</v>
      </c>
    </row>
    <row r="410" spans="1:47" x14ac:dyDescent="0.25">
      <c r="A410" s="4">
        <f>DATE(2023,1,4)</f>
        <v>44930</v>
      </c>
      <c r="B410">
        <v>-1.3819650113190198</v>
      </c>
      <c r="C410">
        <v>33.578463823564789</v>
      </c>
      <c r="D410">
        <v>-0.21660648776128397</v>
      </c>
      <c r="E410">
        <f t="shared" si="168"/>
        <v>-1.490522488737295</v>
      </c>
      <c r="F410">
        <f t="shared" si="169"/>
        <v>-1.3404195180736835</v>
      </c>
      <c r="G410">
        <f t="shared" si="170"/>
        <v>-2.0626180440309638</v>
      </c>
      <c r="H410" s="2" t="str">
        <f t="shared" si="171"/>
        <v>Lower</v>
      </c>
      <c r="I410" s="2" t="str">
        <f t="shared" si="172"/>
        <v>Higher</v>
      </c>
      <c r="J410" s="2" t="str">
        <f t="shared" si="173"/>
        <v>Higher</v>
      </c>
      <c r="K410" s="2" t="str">
        <f t="shared" si="174"/>
        <v>Lower</v>
      </c>
      <c r="L410" s="2" t="str">
        <f t="shared" si="175"/>
        <v>Higher</v>
      </c>
      <c r="M410" s="2" t="str">
        <f t="shared" si="176"/>
        <v>Higher</v>
      </c>
      <c r="N410" s="2" t="str">
        <f t="shared" si="177"/>
        <v>Lower</v>
      </c>
      <c r="O410" s="2" t="str">
        <f t="shared" si="178"/>
        <v>Higher</v>
      </c>
      <c r="P410" s="2" t="str">
        <f t="shared" si="179"/>
        <v>Higher</v>
      </c>
      <c r="R410" s="4">
        <f>DATE(2023,1,4)</f>
        <v>44930</v>
      </c>
      <c r="S410">
        <v>0.8805755438955355</v>
      </c>
      <c r="T410">
        <v>8.2288332696153085E-2</v>
      </c>
      <c r="U410">
        <v>-0.20032253700974975</v>
      </c>
      <c r="V410">
        <v>-4.5756308861398552E-2</v>
      </c>
      <c r="X410" s="4">
        <f>DATE(2023,1,4)</f>
        <v>44930</v>
      </c>
      <c r="Y410">
        <v>14.449517563325259</v>
      </c>
      <c r="Z410">
        <v>24.21090453358304</v>
      </c>
      <c r="AA410">
        <v>79.20750000000001</v>
      </c>
      <c r="AB410">
        <v>65.022000000000006</v>
      </c>
      <c r="AC410">
        <f t="shared" si="180"/>
        <v>-9.078650190676997E-2</v>
      </c>
      <c r="AD410">
        <f t="shared" si="181"/>
        <v>-0.22404745198357998</v>
      </c>
      <c r="AE410">
        <f t="shared" si="182"/>
        <v>-0.13326095007680999</v>
      </c>
      <c r="AF410">
        <f t="shared" si="183"/>
        <v>-0.76453904010939033</v>
      </c>
      <c r="AH410">
        <f t="shared" si="184"/>
        <v>-0.10216442790423234</v>
      </c>
      <c r="AI410">
        <f t="shared" si="185"/>
        <v>-0.83086357670511168</v>
      </c>
      <c r="AJ410">
        <f t="shared" si="186"/>
        <v>-0.72869914880087938</v>
      </c>
      <c r="AK410">
        <f t="shared" si="187"/>
        <v>-2.3513409178028928</v>
      </c>
      <c r="AM410">
        <f t="shared" si="188"/>
        <v>0.17085455610274713</v>
      </c>
      <c r="AN410">
        <f t="shared" si="189"/>
        <v>-0.90163493654447879</v>
      </c>
      <c r="AO410">
        <f t="shared" si="190"/>
        <v>-1.0724894926472259</v>
      </c>
      <c r="AP410">
        <f t="shared" si="191"/>
        <v>-2.4549702683060284</v>
      </c>
      <c r="AR410">
        <f t="shared" si="192"/>
        <v>5.6657375356775211E-3</v>
      </c>
      <c r="AS410">
        <f t="shared" si="193"/>
        <v>-0.60414568631952137</v>
      </c>
      <c r="AT410">
        <f t="shared" si="194"/>
        <v>-0.60981142385519893</v>
      </c>
      <c r="AU410">
        <f t="shared" si="195"/>
        <v>-2.7725749748516391</v>
      </c>
    </row>
    <row r="411" spans="1:47" x14ac:dyDescent="0.25">
      <c r="A411" s="4">
        <f>DATE(2023,1,3)</f>
        <v>44929</v>
      </c>
      <c r="B411">
        <v>-1.0154625799645085</v>
      </c>
      <c r="C411">
        <v>43.318601327997882</v>
      </c>
      <c r="D411">
        <v>3.6437134041323822E-2</v>
      </c>
      <c r="E411">
        <f t="shared" si="168"/>
        <v>-1.1193514571589545</v>
      </c>
      <c r="F411">
        <f t="shared" si="169"/>
        <v>-0.59063419594389965</v>
      </c>
      <c r="G411">
        <f t="shared" si="170"/>
        <v>-1.3717488521383083</v>
      </c>
      <c r="H411" s="2" t="str">
        <f t="shared" si="171"/>
        <v>Higher</v>
      </c>
      <c r="I411" s="2" t="str">
        <f t="shared" si="172"/>
        <v>Higher</v>
      </c>
      <c r="J411" s="2" t="str">
        <f t="shared" si="173"/>
        <v>Higher</v>
      </c>
      <c r="K411" s="2" t="str">
        <f t="shared" si="174"/>
        <v>Lower</v>
      </c>
      <c r="L411" s="2" t="str">
        <f t="shared" si="175"/>
        <v>Higher</v>
      </c>
      <c r="M411" s="2" t="str">
        <f t="shared" si="176"/>
        <v>Higher</v>
      </c>
      <c r="N411" s="2" t="str">
        <f t="shared" si="177"/>
        <v>Lower</v>
      </c>
      <c r="O411" s="2" t="str">
        <f t="shared" si="178"/>
        <v>Higher</v>
      </c>
      <c r="P411" s="2" t="str">
        <f t="shared" si="179"/>
        <v>Higher</v>
      </c>
      <c r="R411" s="4">
        <f>DATE(2023,1,3)</f>
        <v>44929</v>
      </c>
      <c r="S411">
        <v>0.4450565269518541</v>
      </c>
      <c r="T411">
        <v>-1.5717428827967492E-2</v>
      </c>
      <c r="U411">
        <v>-0.24564529444414185</v>
      </c>
      <c r="V411">
        <v>-4.8458498721824741E-2</v>
      </c>
      <c r="X411" s="4">
        <f>DATE(2023,1,3)</f>
        <v>44929</v>
      </c>
      <c r="Y411">
        <v>16.654576289850851</v>
      </c>
      <c r="Z411">
        <v>26.565323176717094</v>
      </c>
      <c r="AA411">
        <v>83.804999999999993</v>
      </c>
      <c r="AB411">
        <v>72.313999999999993</v>
      </c>
      <c r="AC411">
        <f t="shared" si="180"/>
        <v>-5.9216301961841439E-2</v>
      </c>
      <c r="AD411">
        <f t="shared" si="181"/>
        <v>-0.10154624223210013</v>
      </c>
      <c r="AE411">
        <f t="shared" si="182"/>
        <v>-4.2329940270258687E-2</v>
      </c>
      <c r="AF411">
        <f t="shared" si="183"/>
        <v>-0.26326184263493513</v>
      </c>
      <c r="AH411">
        <f t="shared" si="184"/>
        <v>-4.5628751792337746E-2</v>
      </c>
      <c r="AI411">
        <f t="shared" si="185"/>
        <v>-0.64976593123403037</v>
      </c>
      <c r="AJ411">
        <f t="shared" si="186"/>
        <v>-0.60413717944169265</v>
      </c>
      <c r="AK411">
        <f t="shared" si="187"/>
        <v>-1.9794758105714749</v>
      </c>
      <c r="AM411">
        <f t="shared" si="188"/>
        <v>0.23230627701092046</v>
      </c>
      <c r="AN411">
        <f t="shared" si="189"/>
        <v>-0.7738321790644237</v>
      </c>
      <c r="AO411">
        <f t="shared" si="190"/>
        <v>-1.0061384560753441</v>
      </c>
      <c r="AP411">
        <f t="shared" si="191"/>
        <v>-2.3360935931737075</v>
      </c>
      <c r="AR411">
        <f t="shared" si="192"/>
        <v>2.9240256240271621E-2</v>
      </c>
      <c r="AS411">
        <f t="shared" si="193"/>
        <v>-0.40463504884961504</v>
      </c>
      <c r="AT411">
        <f t="shared" si="194"/>
        <v>-0.43387530508988664</v>
      </c>
      <c r="AU411">
        <f t="shared" si="195"/>
        <v>-2.3434106590775032</v>
      </c>
    </row>
    <row r="412" spans="1:47" x14ac:dyDescent="0.25">
      <c r="A412" s="4">
        <f>DATE(2023,1,2)</f>
        <v>44928</v>
      </c>
      <c r="B412">
        <v>-0.95302844621737814</v>
      </c>
      <c r="C412">
        <v>49.567626800717512</v>
      </c>
      <c r="D412">
        <v>0.22955019061095736</v>
      </c>
      <c r="E412">
        <f t="shared" si="168"/>
        <v>-1.0662677255638227</v>
      </c>
      <c r="F412">
        <f t="shared" si="169"/>
        <v>-0.10080298783382867</v>
      </c>
      <c r="G412">
        <f t="shared" si="170"/>
        <v>-0.82210212281292283</v>
      </c>
      <c r="H412" s="2" t="str">
        <f t="shared" si="171"/>
        <v>Higher</v>
      </c>
      <c r="I412" s="2" t="str">
        <f t="shared" si="172"/>
        <v>Higher</v>
      </c>
      <c r="J412" s="2" t="str">
        <f t="shared" si="173"/>
        <v>Higher</v>
      </c>
      <c r="K412" s="2" t="str">
        <f t="shared" si="174"/>
        <v>Lower</v>
      </c>
      <c r="L412" s="2" t="str">
        <f t="shared" si="175"/>
        <v>Higher</v>
      </c>
      <c r="M412" s="2" t="str">
        <f t="shared" si="176"/>
        <v>Higher</v>
      </c>
      <c r="N412" s="2" t="str">
        <f t="shared" si="177"/>
        <v>Lower</v>
      </c>
      <c r="O412" s="2" t="str">
        <f t="shared" si="178"/>
        <v>Higher</v>
      </c>
      <c r="P412" s="2" t="str">
        <f t="shared" si="179"/>
        <v>Higher</v>
      </c>
      <c r="R412" s="4">
        <f>DATE(2023,1,2)</f>
        <v>44928</v>
      </c>
      <c r="X412" s="4">
        <f>DATE(2023,1,2)</f>
        <v>44928</v>
      </c>
      <c r="Y412">
        <v>18.294837435022686</v>
      </c>
      <c r="AA412">
        <v>85.45750000000001</v>
      </c>
      <c r="AC412" t="str">
        <f t="shared" si="180"/>
        <v/>
      </c>
      <c r="AD412" t="str">
        <f t="shared" si="181"/>
        <v/>
      </c>
      <c r="AE412" t="str">
        <f t="shared" si="182"/>
        <v/>
      </c>
      <c r="AF412" t="str">
        <f t="shared" si="183"/>
        <v/>
      </c>
      <c r="AH412">
        <f t="shared" si="184"/>
        <v>-1.8894184020156267E-2</v>
      </c>
      <c r="AI412" t="str">
        <f t="shared" si="185"/>
        <v/>
      </c>
      <c r="AJ412" t="str">
        <f t="shared" si="186"/>
        <v/>
      </c>
      <c r="AK412" t="str">
        <f t="shared" si="187"/>
        <v/>
      </c>
      <c r="AM412">
        <f t="shared" si="188"/>
        <v>0.24090412028114133</v>
      </c>
      <c r="AN412" t="str">
        <f t="shared" si="189"/>
        <v/>
      </c>
      <c r="AO412" t="str">
        <f t="shared" si="190"/>
        <v/>
      </c>
      <c r="AP412" t="str">
        <f t="shared" si="191"/>
        <v/>
      </c>
      <c r="AR412">
        <f t="shared" si="192"/>
        <v>6.13782041114539E-2</v>
      </c>
      <c r="AS412" t="str">
        <f t="shared" si="193"/>
        <v/>
      </c>
      <c r="AT412" t="str">
        <f t="shared" si="194"/>
        <v/>
      </c>
      <c r="AU412" t="str">
        <f t="shared" si="195"/>
        <v/>
      </c>
    </row>
    <row r="413" spans="1:47" x14ac:dyDescent="0.25">
      <c r="A413" s="4">
        <f>DATE(2022,12,30)</f>
        <v>44925</v>
      </c>
      <c r="B413">
        <v>-1.0710353474779919</v>
      </c>
      <c r="C413">
        <v>43.066987691857008</v>
      </c>
      <c r="D413">
        <v>-3.5082189259272874E-2</v>
      </c>
      <c r="E413">
        <f t="shared" si="168"/>
        <v>-1.2096280299086155</v>
      </c>
      <c r="F413">
        <f t="shared" si="169"/>
        <v>-0.61335488619484568</v>
      </c>
      <c r="G413">
        <f t="shared" si="170"/>
        <v>-1.6118180277251151</v>
      </c>
      <c r="H413" s="2" t="str">
        <f t="shared" si="171"/>
        <v>Higher</v>
      </c>
      <c r="I413" s="2" t="str">
        <f t="shared" si="172"/>
        <v>Higher</v>
      </c>
      <c r="J413" s="2" t="str">
        <f t="shared" si="173"/>
        <v>Higher</v>
      </c>
      <c r="K413" s="2" t="str">
        <f t="shared" si="174"/>
        <v>Lower</v>
      </c>
      <c r="L413" s="2" t="str">
        <f t="shared" si="175"/>
        <v>Higher</v>
      </c>
      <c r="M413" s="2" t="str">
        <f t="shared" si="176"/>
        <v>Higher</v>
      </c>
      <c r="N413" s="2" t="str">
        <f t="shared" si="177"/>
        <v>Lower</v>
      </c>
      <c r="O413" s="2" t="str">
        <f t="shared" si="178"/>
        <v>Higher</v>
      </c>
      <c r="P413" s="2" t="str">
        <f t="shared" si="179"/>
        <v>Higher</v>
      </c>
      <c r="R413" s="4">
        <f>DATE(2022,12,30)</f>
        <v>44925</v>
      </c>
      <c r="S413">
        <v>0.34539711261824052</v>
      </c>
      <c r="T413">
        <v>-6.6389327061919428E-3</v>
      </c>
      <c r="U413">
        <v>-0.27085096923379398</v>
      </c>
      <c r="V413">
        <v>-4.451479843740179E-2</v>
      </c>
      <c r="X413" s="4">
        <f>DATE(2022,12,30)</f>
        <v>44925</v>
      </c>
      <c r="Y413">
        <v>18.106958724545581</v>
      </c>
      <c r="Z413">
        <v>27.950154810951606</v>
      </c>
      <c r="AA413">
        <v>83.622500000000002</v>
      </c>
      <c r="AB413">
        <v>76.314999999999998</v>
      </c>
      <c r="AC413">
        <f t="shared" si="180"/>
        <v>-6.7674574392031714E-2</v>
      </c>
      <c r="AD413">
        <f t="shared" si="181"/>
        <v>-8.3693949594141309E-2</v>
      </c>
      <c r="AE413">
        <f t="shared" si="182"/>
        <v>-1.6019375202109595E-2</v>
      </c>
      <c r="AF413">
        <f t="shared" si="183"/>
        <v>-0.1197572770783156</v>
      </c>
      <c r="AH413">
        <f t="shared" si="184"/>
        <v>-3.893435797545465E-2</v>
      </c>
      <c r="AI413">
        <f t="shared" si="185"/>
        <v>-0.57455958887756753</v>
      </c>
      <c r="AJ413">
        <f t="shared" si="186"/>
        <v>-0.53562523090211289</v>
      </c>
      <c r="AK413">
        <f t="shared" si="187"/>
        <v>-1.7798005899843208</v>
      </c>
      <c r="AM413">
        <f t="shared" si="188"/>
        <v>0.185993571870117</v>
      </c>
      <c r="AN413">
        <f t="shared" si="189"/>
        <v>-0.71631253937495665</v>
      </c>
      <c r="AO413">
        <f t="shared" si="190"/>
        <v>-0.90230611124507365</v>
      </c>
      <c r="AP413">
        <f t="shared" si="191"/>
        <v>-2.1381047096190247</v>
      </c>
      <c r="AR413">
        <f t="shared" si="192"/>
        <v>6.483952211759865E-2</v>
      </c>
      <c r="AS413">
        <f t="shared" si="193"/>
        <v>-0.28291083133568118</v>
      </c>
      <c r="AT413">
        <f t="shared" si="194"/>
        <v>-0.34775035345327981</v>
      </c>
      <c r="AU413">
        <f t="shared" si="195"/>
        <v>-2.135763573112591</v>
      </c>
    </row>
    <row r="414" spans="1:47" x14ac:dyDescent="0.25">
      <c r="A414" s="4">
        <f>DATE(2022,12,29)</f>
        <v>44924</v>
      </c>
      <c r="B414">
        <v>-0.959394680077434</v>
      </c>
      <c r="C414">
        <v>44.048285607322498</v>
      </c>
      <c r="D414">
        <v>-8.6681051920338509E-2</v>
      </c>
      <c r="E414">
        <f t="shared" si="168"/>
        <v>-1.1069782867281561</v>
      </c>
      <c r="F414">
        <f t="shared" si="169"/>
        <v>-0.54209651609290976</v>
      </c>
      <c r="G414">
        <f t="shared" si="170"/>
        <v>-1.7970546597045125</v>
      </c>
      <c r="H414" s="2" t="str">
        <f t="shared" si="171"/>
        <v>Higher</v>
      </c>
      <c r="I414" s="2" t="str">
        <f t="shared" si="172"/>
        <v>Higher</v>
      </c>
      <c r="J414" s="2" t="str">
        <f t="shared" si="173"/>
        <v>Higher</v>
      </c>
      <c r="K414" s="2" t="str">
        <f t="shared" si="174"/>
        <v>Higher</v>
      </c>
      <c r="L414" s="2" t="str">
        <f t="shared" si="175"/>
        <v>Higher</v>
      </c>
      <c r="M414" s="2" t="str">
        <f t="shared" si="176"/>
        <v>Higher</v>
      </c>
      <c r="N414" s="2" t="str">
        <f t="shared" si="177"/>
        <v>Higher</v>
      </c>
      <c r="O414" s="2" t="str">
        <f t="shared" si="178"/>
        <v>Higher</v>
      </c>
      <c r="P414" s="2" t="str">
        <f t="shared" si="179"/>
        <v>Higher</v>
      </c>
      <c r="R414" s="4">
        <f>DATE(2022,12,29)</f>
        <v>44924</v>
      </c>
      <c r="S414">
        <v>0.32880844542158338</v>
      </c>
      <c r="T414">
        <v>9.8794175671719844E-3</v>
      </c>
      <c r="U414">
        <v>-0.2976855847876273</v>
      </c>
      <c r="V414">
        <v>-4.0481368347276975E-2</v>
      </c>
      <c r="X414" s="4">
        <f>DATE(2022,12,29)</f>
        <v>44924</v>
      </c>
      <c r="Y414">
        <v>20.445873580215444</v>
      </c>
      <c r="Z414">
        <v>30.745495979435265</v>
      </c>
      <c r="AA414">
        <v>84.912499999999994</v>
      </c>
      <c r="AB414">
        <v>83.83</v>
      </c>
      <c r="AC414">
        <f t="shared" si="180"/>
        <v>-4.7885462816947603E-2</v>
      </c>
      <c r="AD414">
        <f t="shared" si="181"/>
        <v>-9.2323498174328264E-2</v>
      </c>
      <c r="AE414">
        <f t="shared" si="182"/>
        <v>-4.4438035357380661E-2</v>
      </c>
      <c r="AF414">
        <f t="shared" si="183"/>
        <v>-0.2771020491629993</v>
      </c>
      <c r="AH414">
        <f t="shared" si="184"/>
        <v>-9.9896833443680836E-3</v>
      </c>
      <c r="AI414">
        <f t="shared" si="185"/>
        <v>-0.50753738913576962</v>
      </c>
      <c r="AJ414">
        <f t="shared" si="186"/>
        <v>-0.49754770579140156</v>
      </c>
      <c r="AK414">
        <f t="shared" si="187"/>
        <v>-1.6692723539577694</v>
      </c>
      <c r="AM414">
        <f t="shared" si="188"/>
        <v>0.21877360513523078</v>
      </c>
      <c r="AN414">
        <f t="shared" si="189"/>
        <v>-0.74005535244669607</v>
      </c>
      <c r="AO414">
        <f t="shared" si="190"/>
        <v>-0.95882895758192688</v>
      </c>
      <c r="AP414">
        <f t="shared" si="191"/>
        <v>-2.2723702643528938</v>
      </c>
      <c r="AR414">
        <f t="shared" si="192"/>
        <v>8.6131178848102258E-2</v>
      </c>
      <c r="AS414">
        <f t="shared" si="193"/>
        <v>-0.29599171966561516</v>
      </c>
      <c r="AT414">
        <f t="shared" si="194"/>
        <v>-0.38212289851371739</v>
      </c>
      <c r="AU414">
        <f t="shared" si="195"/>
        <v>-2.2430230613940716</v>
      </c>
    </row>
    <row r="415" spans="1:47" x14ac:dyDescent="0.25">
      <c r="A415" s="4">
        <f>DATE(2022,12,28)</f>
        <v>44923</v>
      </c>
      <c r="B415">
        <v>-0.77357526999459392</v>
      </c>
      <c r="C415">
        <v>47.940995303355791</v>
      </c>
      <c r="D415">
        <v>1.8781106777638536E-2</v>
      </c>
      <c r="E415">
        <f t="shared" si="168"/>
        <v>-0.9208935229130184</v>
      </c>
      <c r="F415">
        <f t="shared" si="169"/>
        <v>-0.24561940646384048</v>
      </c>
      <c r="G415">
        <f t="shared" si="170"/>
        <v>-1.5129876843096639</v>
      </c>
      <c r="H415" s="2" t="str">
        <f t="shared" si="171"/>
        <v>Higher</v>
      </c>
      <c r="I415" s="2" t="str">
        <f t="shared" si="172"/>
        <v>Higher</v>
      </c>
      <c r="J415" s="2" t="str">
        <f t="shared" si="173"/>
        <v>Higher</v>
      </c>
      <c r="K415" s="2" t="str">
        <f t="shared" si="174"/>
        <v>Higher</v>
      </c>
      <c r="L415" s="2" t="str">
        <f t="shared" si="175"/>
        <v>Higher</v>
      </c>
      <c r="M415" s="2" t="str">
        <f t="shared" si="176"/>
        <v>Higher</v>
      </c>
      <c r="N415" s="2" t="str">
        <f t="shared" si="177"/>
        <v>Higher</v>
      </c>
      <c r="O415" s="2" t="str">
        <f t="shared" si="178"/>
        <v>Higher</v>
      </c>
      <c r="P415" s="2" t="str">
        <f t="shared" si="179"/>
        <v>Higher</v>
      </c>
      <c r="R415" s="4">
        <f>DATE(2022,12,28)</f>
        <v>44923</v>
      </c>
      <c r="S415">
        <v>0.21236167484624488</v>
      </c>
      <c r="T415">
        <v>1.1173535118185307E-2</v>
      </c>
      <c r="U415">
        <v>-0.31262531767256518</v>
      </c>
      <c r="V415">
        <v>-3.6668913600454427E-2</v>
      </c>
      <c r="X415" s="4">
        <f>DATE(2022,12,28)</f>
        <v>44923</v>
      </c>
      <c r="Y415">
        <v>21.635061113101635</v>
      </c>
      <c r="Z415">
        <v>28.556846353568481</v>
      </c>
      <c r="AA415">
        <v>86.734999999999999</v>
      </c>
      <c r="AB415">
        <v>81.350999999999999</v>
      </c>
      <c r="AC415">
        <f t="shared" si="180"/>
        <v>-1.5756913886621766E-2</v>
      </c>
      <c r="AD415">
        <f t="shared" si="181"/>
        <v>-0.18366053286172782</v>
      </c>
      <c r="AE415">
        <f t="shared" si="182"/>
        <v>-0.16790361897510606</v>
      </c>
      <c r="AF415">
        <f t="shared" si="183"/>
        <v>-0.96074267333682439</v>
      </c>
      <c r="AH415">
        <f t="shared" si="184"/>
        <v>3.3708751470755659E-2</v>
      </c>
      <c r="AI415">
        <f t="shared" si="185"/>
        <v>-0.58754898336147932</v>
      </c>
      <c r="AJ415">
        <f t="shared" si="186"/>
        <v>-0.62125773483223501</v>
      </c>
      <c r="AK415">
        <f t="shared" si="187"/>
        <v>-2.0686472017571558</v>
      </c>
      <c r="AM415">
        <f t="shared" si="188"/>
        <v>0.24320274002582506</v>
      </c>
      <c r="AN415">
        <f t="shared" si="189"/>
        <v>-0.75851624691580055</v>
      </c>
      <c r="AO415">
        <f t="shared" si="190"/>
        <v>-1.0017189869416256</v>
      </c>
      <c r="AP415">
        <f t="shared" si="191"/>
        <v>-2.3807646767463813</v>
      </c>
      <c r="AR415">
        <f t="shared" si="192"/>
        <v>0.11145116147360125</v>
      </c>
      <c r="AS415">
        <f t="shared" si="193"/>
        <v>-0.36340935561728444</v>
      </c>
      <c r="AT415">
        <f t="shared" si="194"/>
        <v>-0.47486051709088567</v>
      </c>
      <c r="AU415">
        <f t="shared" si="195"/>
        <v>-2.5102215831028087</v>
      </c>
    </row>
    <row r="416" spans="1:47" x14ac:dyDescent="0.25">
      <c r="A416" s="4">
        <f>DATE(2022,12,27)</f>
        <v>44922</v>
      </c>
      <c r="B416">
        <v>-0.61265693966230916</v>
      </c>
      <c r="C416">
        <v>53.981506002131042</v>
      </c>
      <c r="D416">
        <v>0.34804273709323202</v>
      </c>
      <c r="E416">
        <f t="shared" si="168"/>
        <v>-0.75766464212235041</v>
      </c>
      <c r="F416">
        <f t="shared" si="169"/>
        <v>0.22286974696829456</v>
      </c>
      <c r="G416">
        <f t="shared" si="170"/>
        <v>-0.55445125455908517</v>
      </c>
      <c r="H416" s="2" t="str">
        <f t="shared" si="171"/>
        <v>Higher</v>
      </c>
      <c r="I416" s="2" t="str">
        <f t="shared" si="172"/>
        <v>Higher</v>
      </c>
      <c r="J416" s="2" t="str">
        <f t="shared" si="173"/>
        <v>Higher</v>
      </c>
      <c r="K416" s="2" t="str">
        <f t="shared" si="174"/>
        <v>Higher</v>
      </c>
      <c r="L416" s="2" t="str">
        <f t="shared" si="175"/>
        <v>Higher</v>
      </c>
      <c r="M416" s="2" t="str">
        <f t="shared" si="176"/>
        <v>Higher</v>
      </c>
      <c r="N416" s="2" t="str">
        <f t="shared" si="177"/>
        <v>Higher</v>
      </c>
      <c r="O416" s="2" t="str">
        <f t="shared" si="178"/>
        <v>Higher</v>
      </c>
      <c r="P416" s="2" t="str">
        <f t="shared" si="179"/>
        <v>Higher</v>
      </c>
      <c r="R416" s="4">
        <f>DATE(2022,12,27)</f>
        <v>44922</v>
      </c>
      <c r="S416">
        <v>0.39651862539220534</v>
      </c>
      <c r="T416">
        <v>6.6701782748360305E-2</v>
      </c>
      <c r="U416">
        <v>-0.32588315871102141</v>
      </c>
      <c r="V416">
        <v>-3.1590518426649117E-2</v>
      </c>
      <c r="X416" s="4">
        <f>DATE(2022,12,27)</f>
        <v>44922</v>
      </c>
      <c r="Y416">
        <v>23.067514806835728</v>
      </c>
      <c r="Z416">
        <v>27.433239876967175</v>
      </c>
      <c r="AA416">
        <v>88.91749999999999</v>
      </c>
      <c r="AB416">
        <v>80.043000000000006</v>
      </c>
      <c r="AC416">
        <f t="shared" si="180"/>
        <v>-3.676423140408086E-3</v>
      </c>
      <c r="AD416">
        <f t="shared" si="181"/>
        <v>-0.27792736730355472</v>
      </c>
      <c r="AE416">
        <f t="shared" si="182"/>
        <v>-0.27425094416314666</v>
      </c>
      <c r="AF416">
        <f t="shared" si="183"/>
        <v>-1.5503023909476763</v>
      </c>
      <c r="AH416">
        <f t="shared" si="184"/>
        <v>9.9296521668053972E-2</v>
      </c>
      <c r="AI416">
        <f t="shared" si="185"/>
        <v>-0.50240225514324921</v>
      </c>
      <c r="AJ416">
        <f t="shared" si="186"/>
        <v>-0.60169877681130313</v>
      </c>
      <c r="AK416">
        <f t="shared" si="187"/>
        <v>-2.0174963221103659</v>
      </c>
      <c r="AM416">
        <f t="shared" si="188"/>
        <v>0.28454737631289928</v>
      </c>
      <c r="AN416">
        <f t="shared" si="189"/>
        <v>-0.70472365534484005</v>
      </c>
      <c r="AO416">
        <f t="shared" si="190"/>
        <v>-0.98927103165773933</v>
      </c>
      <c r="AP416">
        <f t="shared" si="191"/>
        <v>-2.3701741580159452</v>
      </c>
      <c r="AR416">
        <f t="shared" si="192"/>
        <v>0.10147246284365841</v>
      </c>
      <c r="AS416">
        <f t="shared" si="193"/>
        <v>-0.20378263897338086</v>
      </c>
      <c r="AT416">
        <f t="shared" si="194"/>
        <v>-0.3052551018170393</v>
      </c>
      <c r="AU416">
        <f t="shared" si="195"/>
        <v>-2.0761768233197717</v>
      </c>
    </row>
    <row r="417" spans="1:47" x14ac:dyDescent="0.25">
      <c r="A417" s="4">
        <f>DATE(2022,12,26)</f>
        <v>44921</v>
      </c>
      <c r="E417">
        <f t="shared" si="168"/>
        <v>-9.3858821258684763E-2</v>
      </c>
      <c r="F417">
        <f t="shared" si="169"/>
        <v>-4.0225532201997432</v>
      </c>
      <c r="G417">
        <f t="shared" si="170"/>
        <v>-1.6007282264277014</v>
      </c>
      <c r="H417" s="2" t="str">
        <f t="shared" si="171"/>
        <v>Higher</v>
      </c>
      <c r="I417" s="2" t="str">
        <f t="shared" si="172"/>
        <v>Higher</v>
      </c>
      <c r="J417" s="2" t="str">
        <f t="shared" si="173"/>
        <v>Higher</v>
      </c>
      <c r="K417" s="2" t="str">
        <f t="shared" si="174"/>
        <v>Higher</v>
      </c>
      <c r="L417" s="2" t="str">
        <f t="shared" si="175"/>
        <v>Higher</v>
      </c>
      <c r="M417" s="2" t="str">
        <f t="shared" si="176"/>
        <v>Higher</v>
      </c>
      <c r="N417" s="2" t="str">
        <f t="shared" si="177"/>
        <v>Higher</v>
      </c>
      <c r="O417" s="2" t="str">
        <f t="shared" si="178"/>
        <v>Higher</v>
      </c>
      <c r="P417" s="2" t="str">
        <f t="shared" si="179"/>
        <v>Higher</v>
      </c>
      <c r="R417" s="4">
        <f>DATE(2022,12,26)</f>
        <v>44921</v>
      </c>
      <c r="X417" s="4">
        <f>DATE(2022,12,26)</f>
        <v>44921</v>
      </c>
      <c r="AC417" t="str">
        <f t="shared" si="180"/>
        <v/>
      </c>
      <c r="AD417" t="str">
        <f t="shared" si="181"/>
        <v/>
      </c>
      <c r="AE417" t="str">
        <f t="shared" si="182"/>
        <v/>
      </c>
      <c r="AF417" t="str">
        <f t="shared" si="183"/>
        <v/>
      </c>
      <c r="AH417" t="str">
        <f t="shared" si="184"/>
        <v/>
      </c>
      <c r="AI417" t="str">
        <f t="shared" si="185"/>
        <v/>
      </c>
      <c r="AJ417" t="str">
        <f t="shared" si="186"/>
        <v/>
      </c>
      <c r="AK417" t="str">
        <f t="shared" si="187"/>
        <v/>
      </c>
      <c r="AM417" t="str">
        <f t="shared" si="188"/>
        <v/>
      </c>
      <c r="AN417" t="str">
        <f t="shared" si="189"/>
        <v/>
      </c>
      <c r="AO417" t="str">
        <f t="shared" si="190"/>
        <v/>
      </c>
      <c r="AP417" t="str">
        <f t="shared" si="191"/>
        <v/>
      </c>
      <c r="AR417" t="str">
        <f t="shared" si="192"/>
        <v/>
      </c>
      <c r="AS417" t="str">
        <f t="shared" si="193"/>
        <v/>
      </c>
      <c r="AT417" t="str">
        <f t="shared" si="194"/>
        <v/>
      </c>
      <c r="AU417" t="str">
        <f t="shared" si="195"/>
        <v/>
      </c>
    </row>
    <row r="418" spans="1:47" x14ac:dyDescent="0.25">
      <c r="A418" s="4">
        <f>DATE(2022,12,23)</f>
        <v>44918</v>
      </c>
      <c r="B418">
        <v>-0.56882761245840285</v>
      </c>
      <c r="C418">
        <v>57.161984753519128</v>
      </c>
      <c r="D418">
        <v>0.51468433121443724</v>
      </c>
      <c r="E418">
        <f t="shared" si="168"/>
        <v>-0.72310843171879324</v>
      </c>
      <c r="F418">
        <f t="shared" si="169"/>
        <v>0.47086425432159262</v>
      </c>
      <c r="G418">
        <f t="shared" si="170"/>
        <v>-7.3963375002260925E-2</v>
      </c>
      <c r="H418" s="2" t="str">
        <f t="shared" si="171"/>
        <v>Higher</v>
      </c>
      <c r="I418" s="2" t="str">
        <f t="shared" si="172"/>
        <v>Higher</v>
      </c>
      <c r="J418" s="2" t="str">
        <f t="shared" si="173"/>
        <v>Higher</v>
      </c>
      <c r="K418" s="2" t="str">
        <f t="shared" si="174"/>
        <v>Higher</v>
      </c>
      <c r="L418" s="2" t="str">
        <f t="shared" si="175"/>
        <v>Higher</v>
      </c>
      <c r="M418" s="2" t="str">
        <f t="shared" si="176"/>
        <v>Higher</v>
      </c>
      <c r="N418" s="2" t="str">
        <f t="shared" si="177"/>
        <v>Higher</v>
      </c>
      <c r="O418" s="2" t="str">
        <f t="shared" si="178"/>
        <v>Higher</v>
      </c>
      <c r="P418" s="2" t="str">
        <f t="shared" si="179"/>
        <v>Higher</v>
      </c>
      <c r="R418" s="4">
        <f>DATE(2022,12,23)</f>
        <v>44918</v>
      </c>
      <c r="S418">
        <v>-0.51441434697779842</v>
      </c>
      <c r="T418">
        <v>0.20510523298064937</v>
      </c>
      <c r="U418">
        <v>-0.3316171175896841</v>
      </c>
      <c r="V418">
        <v>-2.4100409395003127E-2</v>
      </c>
      <c r="X418" s="4">
        <f>DATE(2022,12,23)</f>
        <v>44918</v>
      </c>
      <c r="Y418">
        <v>24.836421479836297</v>
      </c>
      <c r="Z418">
        <v>28.362331896628085</v>
      </c>
      <c r="AA418">
        <v>89.477500000000006</v>
      </c>
      <c r="AB418">
        <v>82.977000000000004</v>
      </c>
      <c r="AC418">
        <f t="shared" si="180"/>
        <v>6.0079940476460272E-2</v>
      </c>
      <c r="AD418">
        <f t="shared" si="181"/>
        <v>-0.33028273656010193</v>
      </c>
      <c r="AE418">
        <f t="shared" si="182"/>
        <v>-0.39036267703656219</v>
      </c>
      <c r="AF418">
        <f t="shared" si="183"/>
        <v>-2.2040693659157382</v>
      </c>
      <c r="AH418">
        <f t="shared" si="184"/>
        <v>0.12580596917550207</v>
      </c>
      <c r="AI418">
        <f t="shared" si="185"/>
        <v>-0.40469753270442321</v>
      </c>
      <c r="AJ418">
        <f t="shared" si="186"/>
        <v>-0.53050350187992534</v>
      </c>
      <c r="AK418">
        <f t="shared" si="187"/>
        <v>-1.8046295741271035</v>
      </c>
      <c r="AM418">
        <f t="shared" si="188"/>
        <v>0.29310780891963484</v>
      </c>
      <c r="AN418">
        <f t="shared" si="189"/>
        <v>-0.82212479275017381</v>
      </c>
      <c r="AO418">
        <f t="shared" si="190"/>
        <v>-1.1152326016698086</v>
      </c>
      <c r="AP418">
        <f t="shared" si="191"/>
        <v>-2.6633635391027872</v>
      </c>
      <c r="AR418">
        <f t="shared" si="192"/>
        <v>0.12422293892564913</v>
      </c>
      <c r="AS418">
        <f t="shared" si="193"/>
        <v>-0.23581584903941161</v>
      </c>
      <c r="AT418">
        <f t="shared" si="194"/>
        <v>-0.36003878796506072</v>
      </c>
      <c r="AU418">
        <f t="shared" si="195"/>
        <v>-2.2402293721435318</v>
      </c>
    </row>
    <row r="419" spans="1:47" x14ac:dyDescent="0.25">
      <c r="A419" s="4">
        <f>DATE(2022,12,22)</f>
        <v>44917</v>
      </c>
      <c r="B419">
        <v>-0.59755850247480602</v>
      </c>
      <c r="C419">
        <v>56.941968615736592</v>
      </c>
      <c r="D419">
        <v>0.53445651084227319</v>
      </c>
      <c r="E419">
        <f t="shared" si="168"/>
        <v>-0.7620688241191903</v>
      </c>
      <c r="F419">
        <f t="shared" si="169"/>
        <v>0.45838023125563354</v>
      </c>
      <c r="G419">
        <f t="shared" si="170"/>
        <v>-1.4715673315266402E-2</v>
      </c>
      <c r="H419" s="2" t="str">
        <f t="shared" si="171"/>
        <v>Higher</v>
      </c>
      <c r="I419" s="2" t="str">
        <f t="shared" si="172"/>
        <v>Higher</v>
      </c>
      <c r="J419" s="2" t="str">
        <f t="shared" si="173"/>
        <v>Higher</v>
      </c>
      <c r="K419" s="2" t="str">
        <f t="shared" si="174"/>
        <v>Lower</v>
      </c>
      <c r="L419" s="2" t="str">
        <f t="shared" si="175"/>
        <v>Higher</v>
      </c>
      <c r="M419" s="2" t="str">
        <f t="shared" si="176"/>
        <v>Higher</v>
      </c>
      <c r="N419" s="2" t="str">
        <f t="shared" si="177"/>
        <v>Higher</v>
      </c>
      <c r="O419" s="2" t="str">
        <f t="shared" si="178"/>
        <v>Higher</v>
      </c>
      <c r="P419" s="2" t="str">
        <f t="shared" si="179"/>
        <v>Higher</v>
      </c>
      <c r="R419" s="4">
        <f>DATE(2022,12,22)</f>
        <v>44917</v>
      </c>
      <c r="S419">
        <v>-0.70977265947500079</v>
      </c>
      <c r="T419">
        <v>0.35927733095435266</v>
      </c>
      <c r="U419">
        <v>-0.33507329775133615</v>
      </c>
      <c r="V419">
        <v>-1.7997614728392338E-2</v>
      </c>
      <c r="X419" s="4">
        <f>DATE(2022,12,22)</f>
        <v>44917</v>
      </c>
      <c r="Y419">
        <v>25.809825642477406</v>
      </c>
      <c r="Z419">
        <v>31.375980309060548</v>
      </c>
      <c r="AA419">
        <v>89.077499999999986</v>
      </c>
      <c r="AB419">
        <v>91.938000000000002</v>
      </c>
      <c r="AC419">
        <f t="shared" si="180"/>
        <v>3.5886489473477355E-2</v>
      </c>
      <c r="AD419">
        <f t="shared" si="181"/>
        <v>-0.38243292456229594</v>
      </c>
      <c r="AE419">
        <f t="shared" si="182"/>
        <v>-0.41831941403577327</v>
      </c>
      <c r="AF419">
        <f t="shared" si="183"/>
        <v>-2.375907927334342</v>
      </c>
      <c r="AH419">
        <f t="shared" si="184"/>
        <v>0.13626549409223979</v>
      </c>
      <c r="AI419" t="str">
        <f t="shared" si="185"/>
        <v/>
      </c>
      <c r="AJ419" t="str">
        <f t="shared" si="186"/>
        <v/>
      </c>
      <c r="AK419" t="str">
        <f t="shared" si="187"/>
        <v/>
      </c>
      <c r="AM419">
        <f t="shared" si="188"/>
        <v>0.30570244898611765</v>
      </c>
      <c r="AN419">
        <f t="shared" si="189"/>
        <v>-0.71354402161337871</v>
      </c>
      <c r="AO419">
        <f t="shared" si="190"/>
        <v>-1.0192464705994964</v>
      </c>
      <c r="AP419">
        <f t="shared" si="191"/>
        <v>-2.4806966839435591</v>
      </c>
      <c r="AR419">
        <f t="shared" si="192"/>
        <v>0.1191416241972906</v>
      </c>
      <c r="AS419">
        <f t="shared" si="193"/>
        <v>-0.14647640420556099</v>
      </c>
      <c r="AT419">
        <f t="shared" si="194"/>
        <v>-0.26561802840285159</v>
      </c>
      <c r="AU419">
        <f t="shared" si="195"/>
        <v>-1.999399336322387</v>
      </c>
    </row>
    <row r="420" spans="1:47" x14ac:dyDescent="0.25">
      <c r="A420" s="4">
        <f>DATE(2022,12,21)</f>
        <v>44916</v>
      </c>
      <c r="B420">
        <v>-0.62259320995307021</v>
      </c>
      <c r="C420">
        <v>53.929933695278542</v>
      </c>
      <c r="D420">
        <v>0.45878645158531273</v>
      </c>
      <c r="E420">
        <f t="shared" si="168"/>
        <v>-0.79760665035999034</v>
      </c>
      <c r="F420">
        <f t="shared" si="169"/>
        <v>0.2241645616033883</v>
      </c>
      <c r="G420">
        <f t="shared" si="170"/>
        <v>-0.24163103811064593</v>
      </c>
      <c r="H420" s="2" t="str">
        <f t="shared" si="171"/>
        <v>Higher</v>
      </c>
      <c r="I420" s="2" t="str">
        <f t="shared" si="172"/>
        <v>Higher</v>
      </c>
      <c r="J420" s="2" t="str">
        <f t="shared" si="173"/>
        <v>Higher</v>
      </c>
      <c r="K420" s="2" t="str">
        <f t="shared" si="174"/>
        <v>Lower</v>
      </c>
      <c r="L420" s="2" t="str">
        <f t="shared" si="175"/>
        <v>Higher</v>
      </c>
      <c r="M420" s="2" t="str">
        <f t="shared" si="176"/>
        <v>Higher</v>
      </c>
      <c r="N420" s="2" t="str">
        <f t="shared" si="177"/>
        <v>Higher</v>
      </c>
      <c r="O420" s="2" t="str">
        <f t="shared" si="178"/>
        <v>Higher</v>
      </c>
      <c r="P420" s="2" t="str">
        <f t="shared" si="179"/>
        <v>Higher</v>
      </c>
      <c r="R420" s="4">
        <f>DATE(2022,12,21)</f>
        <v>44916</v>
      </c>
      <c r="S420">
        <v>-0.4388898760014559</v>
      </c>
      <c r="T420">
        <v>0.51411354534243769</v>
      </c>
      <c r="U420">
        <v>-0.34976557457184565</v>
      </c>
      <c r="V420">
        <v>-2.2876559810889017E-2</v>
      </c>
      <c r="X420" s="4">
        <f>DATE(2022,12,21)</f>
        <v>44916</v>
      </c>
      <c r="Y420">
        <v>26.55634659218255</v>
      </c>
      <c r="Z420">
        <v>33.521896517377854</v>
      </c>
      <c r="AA420">
        <v>88.112499999999997</v>
      </c>
      <c r="AB420">
        <v>97.751999999999995</v>
      </c>
      <c r="AC420">
        <f t="shared" si="180"/>
        <v>1.4403129565221998E-2</v>
      </c>
      <c r="AD420">
        <f t="shared" si="181"/>
        <v>-0.29665683929523012</v>
      </c>
      <c r="AE420">
        <f t="shared" si="182"/>
        <v>-0.31105996886045212</v>
      </c>
      <c r="AF420">
        <f t="shared" si="183"/>
        <v>-1.7929731370748774</v>
      </c>
      <c r="AH420">
        <f t="shared" si="184"/>
        <v>0.15375353923427038</v>
      </c>
      <c r="AI420">
        <f t="shared" si="185"/>
        <v>-0.28217343398534883</v>
      </c>
      <c r="AJ420">
        <f t="shared" si="186"/>
        <v>-0.43592697321961921</v>
      </c>
      <c r="AK420">
        <f t="shared" si="187"/>
        <v>-1.5140749654465251</v>
      </c>
      <c r="AM420">
        <f t="shared" si="188"/>
        <v>0.29298289895142632</v>
      </c>
      <c r="AN420">
        <f t="shared" si="189"/>
        <v>-0.7511881080900471</v>
      </c>
      <c r="AO420">
        <f t="shared" si="190"/>
        <v>-1.0441710070414734</v>
      </c>
      <c r="AP420">
        <f t="shared" si="191"/>
        <v>-2.5566013275844717</v>
      </c>
      <c r="AR420">
        <f t="shared" si="192"/>
        <v>0.12614532466843806</v>
      </c>
      <c r="AS420">
        <f t="shared" si="193"/>
        <v>-4.8628420139723877E-2</v>
      </c>
      <c r="AT420">
        <f t="shared" si="194"/>
        <v>-0.17477374480816193</v>
      </c>
      <c r="AU420">
        <f t="shared" si="195"/>
        <v>-1.761677588125135</v>
      </c>
    </row>
    <row r="421" spans="1:47" x14ac:dyDescent="0.25">
      <c r="A421" s="4">
        <f>DATE(2022,12,20)</f>
        <v>44915</v>
      </c>
      <c r="B421">
        <v>-0.51250047394486486</v>
      </c>
      <c r="C421">
        <v>60.595323764619202</v>
      </c>
      <c r="D421">
        <v>0.63776300252873153</v>
      </c>
      <c r="E421">
        <f t="shared" si="168"/>
        <v>-0.68298655553483412</v>
      </c>
      <c r="F421">
        <f t="shared" si="169"/>
        <v>0.75526447890088588</v>
      </c>
      <c r="G421">
        <f t="shared" si="170"/>
        <v>0.29536574877315197</v>
      </c>
      <c r="H421" s="2" t="str">
        <f t="shared" si="171"/>
        <v>Higher</v>
      </c>
      <c r="I421" s="2" t="str">
        <f t="shared" si="172"/>
        <v>Higher</v>
      </c>
      <c r="J421" s="2" t="str">
        <f t="shared" si="173"/>
        <v>Higher</v>
      </c>
      <c r="K421" s="2" t="str">
        <f t="shared" si="174"/>
        <v>Lower</v>
      </c>
      <c r="L421" s="2" t="str">
        <f t="shared" si="175"/>
        <v>Higher</v>
      </c>
      <c r="M421" s="2" t="str">
        <f t="shared" si="176"/>
        <v>Higher</v>
      </c>
      <c r="N421" s="2" t="str">
        <f t="shared" si="177"/>
        <v>Higher</v>
      </c>
      <c r="O421" s="2" t="str">
        <f t="shared" si="178"/>
        <v>Higher</v>
      </c>
      <c r="P421" s="2" t="str">
        <f t="shared" si="179"/>
        <v>Higher</v>
      </c>
      <c r="R421" s="4">
        <f>DATE(2022,12,20)</f>
        <v>44915</v>
      </c>
      <c r="S421">
        <v>-0.21118242621274627</v>
      </c>
      <c r="T421">
        <v>0.64032004251643482</v>
      </c>
      <c r="U421">
        <v>-0.348942571032753</v>
      </c>
      <c r="V421">
        <v>-4.1651871940571419E-2</v>
      </c>
      <c r="X421" s="4">
        <f>DATE(2022,12,20)</f>
        <v>44915</v>
      </c>
      <c r="Y421">
        <v>28.726129643140556</v>
      </c>
      <c r="Z421">
        <v>36.703634906231883</v>
      </c>
      <c r="AA421">
        <v>89.245000000000005</v>
      </c>
      <c r="AB421">
        <v>105.688</v>
      </c>
      <c r="AC421">
        <f t="shared" si="180"/>
        <v>6.7175653485259503E-3</v>
      </c>
      <c r="AD421">
        <f t="shared" si="181"/>
        <v>-0.26334344638328661</v>
      </c>
      <c r="AE421">
        <f t="shared" si="182"/>
        <v>-0.27006101173181257</v>
      </c>
      <c r="AF421">
        <f t="shared" si="183"/>
        <v>-1.5699030803551699</v>
      </c>
      <c r="AH421">
        <f t="shared" si="184"/>
        <v>0.18806382306273883</v>
      </c>
      <c r="AI421">
        <f t="shared" si="185"/>
        <v>-0.12398751774220353</v>
      </c>
      <c r="AJ421">
        <f t="shared" si="186"/>
        <v>-0.31205134080494235</v>
      </c>
      <c r="AK421">
        <f t="shared" si="187"/>
        <v>-1.1216678667410762</v>
      </c>
      <c r="AM421">
        <f t="shared" si="188"/>
        <v>0.26312930576238736</v>
      </c>
      <c r="AN421">
        <f t="shared" si="189"/>
        <v>-0.56578743260258335</v>
      </c>
      <c r="AO421">
        <f t="shared" si="190"/>
        <v>-0.82891673836497071</v>
      </c>
      <c r="AP421">
        <f t="shared" si="191"/>
        <v>-2.1035261500951492</v>
      </c>
      <c r="AR421">
        <f t="shared" si="192"/>
        <v>0.14427375807908951</v>
      </c>
      <c r="AS421">
        <f t="shared" si="193"/>
        <v>-0.10169753437480157</v>
      </c>
      <c r="AT421">
        <f t="shared" si="194"/>
        <v>-0.2459712924538911</v>
      </c>
      <c r="AU421">
        <f t="shared" si="195"/>
        <v>-1.9683937807437413</v>
      </c>
    </row>
    <row r="422" spans="1:47" x14ac:dyDescent="0.25">
      <c r="A422" s="4">
        <f>DATE(2022,12,19)</f>
        <v>44914</v>
      </c>
      <c r="B422">
        <v>-0.57399939055309002</v>
      </c>
      <c r="C422">
        <v>54.022333809956343</v>
      </c>
      <c r="D422">
        <v>0.49793539750718019</v>
      </c>
      <c r="E422">
        <f t="shared" si="168"/>
        <v>-0.7586760646099292</v>
      </c>
      <c r="F422">
        <f t="shared" si="169"/>
        <v>0.24136771432635917</v>
      </c>
      <c r="G422">
        <f t="shared" si="170"/>
        <v>-0.12144051978708137</v>
      </c>
      <c r="H422" s="2" t="str">
        <f t="shared" si="171"/>
        <v>Higher</v>
      </c>
      <c r="I422" s="2" t="str">
        <f t="shared" si="172"/>
        <v>Higher</v>
      </c>
      <c r="J422" s="2" t="str">
        <f t="shared" si="173"/>
        <v>Higher</v>
      </c>
      <c r="K422" s="2" t="str">
        <f t="shared" si="174"/>
        <v>Lower</v>
      </c>
      <c r="L422" s="2" t="str">
        <f t="shared" si="175"/>
        <v>Higher</v>
      </c>
      <c r="M422" s="2" t="str">
        <f t="shared" si="176"/>
        <v>Higher</v>
      </c>
      <c r="N422" s="2" t="str">
        <f t="shared" si="177"/>
        <v>Higher</v>
      </c>
      <c r="O422" s="2" t="str">
        <f t="shared" si="178"/>
        <v>Higher</v>
      </c>
      <c r="P422" s="2" t="str">
        <f t="shared" si="179"/>
        <v>Higher</v>
      </c>
      <c r="R422" s="4">
        <f>DATE(2022,12,19)</f>
        <v>44914</v>
      </c>
      <c r="S422">
        <v>0.83988509039615578</v>
      </c>
      <c r="T422">
        <v>0.77331388700046766</v>
      </c>
      <c r="U422">
        <v>-0.33859088460007997</v>
      </c>
      <c r="V422">
        <v>-4.5534060034156817E-2</v>
      </c>
      <c r="X422" s="4">
        <f>DATE(2022,12,19)</f>
        <v>44914</v>
      </c>
      <c r="Y422">
        <v>21.455432905392161</v>
      </c>
      <c r="Z422">
        <v>37.905534899602912</v>
      </c>
      <c r="AA422">
        <v>84.272500000000008</v>
      </c>
      <c r="AB422">
        <v>108.54300000000001</v>
      </c>
      <c r="AC422">
        <f t="shared" si="180"/>
        <v>-6.0518168753845455E-2</v>
      </c>
      <c r="AD422">
        <f t="shared" si="181"/>
        <v>-0.22983733018162933</v>
      </c>
      <c r="AE422">
        <f t="shared" si="182"/>
        <v>-0.16931916142778386</v>
      </c>
      <c r="AF422">
        <f t="shared" si="183"/>
        <v>-1.008908000839547</v>
      </c>
      <c r="AH422">
        <f t="shared" si="184"/>
        <v>0.12965272190456412</v>
      </c>
      <c r="AI422">
        <f t="shared" si="185"/>
        <v>-6.7546623197488803E-2</v>
      </c>
      <c r="AJ422">
        <f t="shared" si="186"/>
        <v>-0.19719934510205292</v>
      </c>
      <c r="AK422">
        <f t="shared" si="187"/>
        <v>-0.75534602393814754</v>
      </c>
      <c r="AM422">
        <f t="shared" si="188"/>
        <v>0.19737993064820222</v>
      </c>
      <c r="AN422">
        <f t="shared" si="189"/>
        <v>-0.47095441302327584</v>
      </c>
      <c r="AO422">
        <f t="shared" si="190"/>
        <v>-0.66833434367147804</v>
      </c>
      <c r="AP422">
        <f t="shared" si="191"/>
        <v>-1.7628144372407377</v>
      </c>
      <c r="AR422">
        <f t="shared" si="192"/>
        <v>7.1371069569646145E-2</v>
      </c>
      <c r="AS422">
        <f t="shared" si="193"/>
        <v>-5.3620536442639276E-2</v>
      </c>
      <c r="AT422">
        <f t="shared" si="194"/>
        <v>-0.12499160601228543</v>
      </c>
      <c r="AU422">
        <f t="shared" si="195"/>
        <v>-1.6434554217017978</v>
      </c>
    </row>
    <row r="423" spans="1:47" x14ac:dyDescent="0.25">
      <c r="A423" s="4">
        <f>DATE(2022,12,16)</f>
        <v>44911</v>
      </c>
      <c r="B423">
        <v>-0.37550959823470231</v>
      </c>
      <c r="C423">
        <v>53.296357930256534</v>
      </c>
      <c r="D423">
        <v>0.50727821510413384</v>
      </c>
      <c r="E423">
        <f t="shared" si="168"/>
        <v>-0.54464662489077376</v>
      </c>
      <c r="F423">
        <f t="shared" si="169"/>
        <v>0.18574869115430195</v>
      </c>
      <c r="G423">
        <f t="shared" si="170"/>
        <v>-9.5706083484377577E-2</v>
      </c>
      <c r="H423" s="2" t="str">
        <f t="shared" si="171"/>
        <v>Higher</v>
      </c>
      <c r="I423" s="2" t="str">
        <f t="shared" si="172"/>
        <v>Higher</v>
      </c>
      <c r="J423" s="2" t="str">
        <f t="shared" si="173"/>
        <v>Higher</v>
      </c>
      <c r="K423" s="2" t="str">
        <f t="shared" si="174"/>
        <v>Lower</v>
      </c>
      <c r="L423" s="2" t="str">
        <f t="shared" si="175"/>
        <v>Higher</v>
      </c>
      <c r="M423" s="2" t="str">
        <f t="shared" si="176"/>
        <v>Higher</v>
      </c>
      <c r="N423" s="2" t="str">
        <f t="shared" si="177"/>
        <v>Higher</v>
      </c>
      <c r="O423" s="2" t="str">
        <f t="shared" si="178"/>
        <v>Higher</v>
      </c>
      <c r="P423" s="2" t="str">
        <f t="shared" si="179"/>
        <v>Higher</v>
      </c>
      <c r="R423" s="4">
        <f>DATE(2022,12,16)</f>
        <v>44911</v>
      </c>
      <c r="S423">
        <v>0.78972315579948027</v>
      </c>
      <c r="T423">
        <v>0.83143646276416905</v>
      </c>
      <c r="U423">
        <v>-0.35340015515665951</v>
      </c>
      <c r="V423">
        <v>-4.5858535660283951E-2</v>
      </c>
      <c r="X423" s="4">
        <f>DATE(2022,12,16)</f>
        <v>44911</v>
      </c>
      <c r="Y423">
        <v>22.912141743287567</v>
      </c>
      <c r="Z423">
        <v>40.915824556283162</v>
      </c>
      <c r="AA423">
        <v>84.259999999999991</v>
      </c>
      <c r="AB423">
        <v>115.45099999999999</v>
      </c>
      <c r="AC423">
        <f t="shared" si="180"/>
        <v>-4.2207220267859648E-2</v>
      </c>
      <c r="AD423">
        <f t="shared" si="181"/>
        <v>-0.18644035498507247</v>
      </c>
      <c r="AE423">
        <f t="shared" si="182"/>
        <v>-0.14423313471721283</v>
      </c>
      <c r="AF423">
        <f t="shared" si="183"/>
        <v>-0.87081971214629406</v>
      </c>
      <c r="AH423">
        <f t="shared" si="184"/>
        <v>0.14729080668164704</v>
      </c>
      <c r="AI423">
        <f t="shared" si="185"/>
        <v>-5.0225148267451245E-4</v>
      </c>
      <c r="AJ423">
        <f t="shared" si="186"/>
        <v>-0.14779305816432156</v>
      </c>
      <c r="AK423">
        <f t="shared" si="187"/>
        <v>-0.59853178941449436</v>
      </c>
      <c r="AM423">
        <f t="shared" si="188"/>
        <v>0.23224160185830958</v>
      </c>
      <c r="AN423">
        <f t="shared" si="189"/>
        <v>-0.47418172998499353</v>
      </c>
      <c r="AO423">
        <f t="shared" si="190"/>
        <v>-0.70642333184330308</v>
      </c>
      <c r="AP423">
        <f t="shared" si="191"/>
        <v>-1.8566267628340891</v>
      </c>
      <c r="AR423">
        <f t="shared" si="192"/>
        <v>9.9136026892000101E-2</v>
      </c>
      <c r="AS423">
        <f t="shared" si="193"/>
        <v>-0.12809769114903935</v>
      </c>
      <c r="AT423">
        <f t="shared" si="194"/>
        <v>-0.22723371804103945</v>
      </c>
      <c r="AU423">
        <f t="shared" si="195"/>
        <v>-1.9374873269274144</v>
      </c>
    </row>
    <row r="424" spans="1:47" x14ac:dyDescent="0.25">
      <c r="A424" s="4">
        <f>DATE(2022,12,15)</f>
        <v>44910</v>
      </c>
      <c r="B424">
        <v>-4.5634567394060355E-2</v>
      </c>
      <c r="C424">
        <v>58.242916446925143</v>
      </c>
      <c r="D424">
        <v>0.6067479842411525</v>
      </c>
      <c r="E424">
        <f t="shared" si="168"/>
        <v>-0.18019281087358124</v>
      </c>
      <c r="F424">
        <f t="shared" si="169"/>
        <v>0.580951869582921</v>
      </c>
      <c r="G424">
        <f t="shared" si="170"/>
        <v>0.20202557766169732</v>
      </c>
      <c r="H424" s="2" t="str">
        <f t="shared" si="171"/>
        <v>Higher</v>
      </c>
      <c r="I424" s="2" t="str">
        <f t="shared" si="172"/>
        <v>Higher</v>
      </c>
      <c r="J424" s="2" t="str">
        <f t="shared" si="173"/>
        <v>Lower</v>
      </c>
      <c r="K424" s="2" t="str">
        <f t="shared" si="174"/>
        <v>Lower</v>
      </c>
      <c r="L424" s="2" t="str">
        <f t="shared" si="175"/>
        <v>Higher</v>
      </c>
      <c r="M424" s="2" t="str">
        <f t="shared" si="176"/>
        <v>Higher</v>
      </c>
      <c r="N424" s="2" t="str">
        <f t="shared" si="177"/>
        <v>Higher</v>
      </c>
      <c r="O424" s="2" t="str">
        <f t="shared" si="178"/>
        <v>Higher</v>
      </c>
      <c r="P424" s="2" t="str">
        <f t="shared" si="179"/>
        <v>Lower</v>
      </c>
      <c r="R424" s="4">
        <f>DATE(2022,12,15)</f>
        <v>44910</v>
      </c>
      <c r="S424">
        <v>0.52100900106711712</v>
      </c>
      <c r="T424">
        <v>0.85540488632065559</v>
      </c>
      <c r="U424">
        <v>-0.3530631232372593</v>
      </c>
      <c r="V424">
        <v>-4.7072939064188031E-2</v>
      </c>
      <c r="X424" s="4">
        <f>DATE(2022,12,15)</f>
        <v>44910</v>
      </c>
      <c r="Y424">
        <v>24.734199455349241</v>
      </c>
      <c r="Z424">
        <v>51.544045822448801</v>
      </c>
      <c r="AA424">
        <v>85.9375</v>
      </c>
      <c r="AB424">
        <v>134.767</v>
      </c>
      <c r="AC424">
        <f t="shared" si="180"/>
        <v>-3.0737277910453026E-2</v>
      </c>
      <c r="AD424">
        <f t="shared" si="181"/>
        <v>-3.0156491135665996E-2</v>
      </c>
      <c r="AE424">
        <f t="shared" si="182"/>
        <v>5.8078677478702948E-4</v>
      </c>
      <c r="AF424">
        <f t="shared" si="183"/>
        <v>-5.6801773581355117E-2</v>
      </c>
      <c r="AH424">
        <f t="shared" si="184"/>
        <v>0.16521775521967672</v>
      </c>
      <c r="AI424">
        <f t="shared" si="185"/>
        <v>0.18009648581439736</v>
      </c>
      <c r="AJ424">
        <f t="shared" si="186"/>
        <v>1.4878730594720641E-2</v>
      </c>
      <c r="AK424">
        <f t="shared" si="187"/>
        <v>-7.7166867906234365E-2</v>
      </c>
      <c r="AM424">
        <f t="shared" si="188"/>
        <v>0.20152439309163214</v>
      </c>
      <c r="AN424">
        <f t="shared" si="189"/>
        <v>-0.33006080279219585</v>
      </c>
      <c r="AO424">
        <f t="shared" si="190"/>
        <v>-0.53158519588382802</v>
      </c>
      <c r="AP424">
        <f t="shared" si="191"/>
        <v>-1.4784973438043005</v>
      </c>
      <c r="AR424">
        <f t="shared" si="192"/>
        <v>0.13940418819499939</v>
      </c>
      <c r="AS424">
        <f t="shared" si="193"/>
        <v>6.4103791097333315E-2</v>
      </c>
      <c r="AT424">
        <f t="shared" si="194"/>
        <v>-7.5300397097666075E-2</v>
      </c>
      <c r="AU424">
        <f t="shared" si="195"/>
        <v>-1.5214979626289147</v>
      </c>
    </row>
    <row r="425" spans="1:47" x14ac:dyDescent="0.25">
      <c r="A425" s="4">
        <f>DATE(2022,12,14)</f>
        <v>44909</v>
      </c>
      <c r="B425">
        <v>0.26431986570201094</v>
      </c>
      <c r="C425">
        <v>61.759484565660479</v>
      </c>
      <c r="D425">
        <v>0.67220985737733929</v>
      </c>
      <c r="E425">
        <f t="shared" si="168"/>
        <v>0.16495732962311693</v>
      </c>
      <c r="F425">
        <f t="shared" si="169"/>
        <v>0.866234819621581</v>
      </c>
      <c r="G425">
        <f t="shared" si="170"/>
        <v>0.3990519662435516</v>
      </c>
      <c r="H425" s="2" t="str">
        <f t="shared" si="171"/>
        <v>Higher</v>
      </c>
      <c r="I425" s="2" t="str">
        <f t="shared" si="172"/>
        <v>Higher</v>
      </c>
      <c r="J425" s="2" t="str">
        <f t="shared" si="173"/>
        <v>Lower</v>
      </c>
      <c r="K425" s="2" t="str">
        <f t="shared" si="174"/>
        <v>Lower</v>
      </c>
      <c r="L425" s="2" t="str">
        <f t="shared" si="175"/>
        <v>Higher</v>
      </c>
      <c r="M425" s="2" t="str">
        <f t="shared" si="176"/>
        <v>Higher</v>
      </c>
      <c r="N425" s="2" t="str">
        <f t="shared" si="177"/>
        <v>Lower</v>
      </c>
      <c r="O425" s="2" t="str">
        <f t="shared" si="178"/>
        <v>Higher</v>
      </c>
      <c r="P425" s="2" t="str">
        <f t="shared" si="179"/>
        <v>Lower</v>
      </c>
      <c r="R425" s="4">
        <f>DATE(2022,12,14)</f>
        <v>44909</v>
      </c>
      <c r="S425">
        <v>0.52998859883837723</v>
      </c>
      <c r="T425">
        <v>0.8478888752617687</v>
      </c>
      <c r="U425">
        <v>-0.36753092387347974</v>
      </c>
      <c r="V425">
        <v>-4.275303060873719E-2</v>
      </c>
      <c r="X425" s="4">
        <f>DATE(2022,12,14)</f>
        <v>44909</v>
      </c>
      <c r="Y425">
        <v>26.377268332363084</v>
      </c>
      <c r="Z425">
        <v>49.490392566857885</v>
      </c>
      <c r="AA425">
        <v>86.852499999999992</v>
      </c>
      <c r="AB425">
        <v>131.511</v>
      </c>
      <c r="AC425">
        <f t="shared" si="180"/>
        <v>-1.0024141676062564E-2</v>
      </c>
      <c r="AD425">
        <f t="shared" si="181"/>
        <v>-0.1264987525645738</v>
      </c>
      <c r="AE425">
        <f t="shared" si="182"/>
        <v>-0.11647461088851123</v>
      </c>
      <c r="AF425">
        <f t="shared" si="183"/>
        <v>-0.71859126416733998</v>
      </c>
      <c r="AH425">
        <f t="shared" si="184"/>
        <v>0.15573027315843616</v>
      </c>
      <c r="AI425">
        <f t="shared" si="185"/>
        <v>0.14376962785631478</v>
      </c>
      <c r="AJ425">
        <f t="shared" si="186"/>
        <v>-1.1960645302121375E-2</v>
      </c>
      <c r="AK425">
        <f t="shared" si="187"/>
        <v>-0.16336953183875186</v>
      </c>
      <c r="AM425">
        <f t="shared" si="188"/>
        <v>0.2140388712833286</v>
      </c>
      <c r="AN425">
        <f t="shared" si="189"/>
        <v>-0.36678027748142095</v>
      </c>
      <c r="AO425">
        <f t="shared" si="190"/>
        <v>-0.5808191487647496</v>
      </c>
      <c r="AP425">
        <f t="shared" si="191"/>
        <v>-1.5949995862165367</v>
      </c>
      <c r="AR425">
        <f t="shared" si="192"/>
        <v>0.18667747950549429</v>
      </c>
      <c r="AS425">
        <f t="shared" si="193"/>
        <v>-0.16999598216105721</v>
      </c>
      <c r="AT425">
        <f t="shared" si="194"/>
        <v>-0.35667346166655151</v>
      </c>
      <c r="AU425">
        <f t="shared" si="195"/>
        <v>-2.3235599740921407</v>
      </c>
    </row>
    <row r="426" spans="1:47" x14ac:dyDescent="0.25">
      <c r="A426" s="4">
        <f>DATE(2022,12,13)</f>
        <v>44908</v>
      </c>
      <c r="B426">
        <v>0.57444054785147136</v>
      </c>
      <c r="C426">
        <v>68.815814478895248</v>
      </c>
      <c r="D426">
        <v>0.77333056926371269</v>
      </c>
      <c r="E426">
        <f t="shared" si="168"/>
        <v>0.51278013133126987</v>
      </c>
      <c r="F426">
        <f t="shared" si="169"/>
        <v>1.4324521003399517</v>
      </c>
      <c r="G426">
        <f t="shared" si="170"/>
        <v>0.69410231996219141</v>
      </c>
      <c r="H426" s="2" t="str">
        <f t="shared" si="171"/>
        <v>Higher</v>
      </c>
      <c r="I426" s="2" t="str">
        <f t="shared" si="172"/>
        <v>Higher</v>
      </c>
      <c r="J426" s="2" t="str">
        <f t="shared" si="173"/>
        <v>Lower</v>
      </c>
      <c r="K426" s="2" t="str">
        <f t="shared" si="174"/>
        <v>Lower</v>
      </c>
      <c r="L426" s="2" t="str">
        <f t="shared" si="175"/>
        <v>Higher</v>
      </c>
      <c r="M426" s="2" t="str">
        <f t="shared" si="176"/>
        <v>Higher</v>
      </c>
      <c r="N426" s="2" t="str">
        <f t="shared" si="177"/>
        <v>Lower</v>
      </c>
      <c r="O426" s="2" t="str">
        <f t="shared" si="178"/>
        <v>Higher</v>
      </c>
      <c r="P426" s="2" t="str">
        <f t="shared" si="179"/>
        <v>Lower</v>
      </c>
      <c r="R426" s="4">
        <f>DATE(2022,12,13)</f>
        <v>44908</v>
      </c>
      <c r="S426">
        <v>-0.53027893926914027</v>
      </c>
      <c r="T426">
        <v>0.85180710161053907</v>
      </c>
      <c r="U426">
        <v>-0.37320979456074971</v>
      </c>
      <c r="V426">
        <v>-4.3096880897047461E-2</v>
      </c>
      <c r="X426" s="4">
        <f>DATE(2022,12,13)</f>
        <v>44908</v>
      </c>
      <c r="Y426">
        <v>29.46361245600005</v>
      </c>
      <c r="Z426">
        <v>53.372580769206159</v>
      </c>
      <c r="AA426">
        <v>88.647500000000008</v>
      </c>
      <c r="AB426">
        <v>137.529</v>
      </c>
      <c r="AC426">
        <f t="shared" si="180"/>
        <v>1.0546407961385691E-2</v>
      </c>
      <c r="AD426">
        <f t="shared" si="181"/>
        <v>-6.9488753150888276E-3</v>
      </c>
      <c r="AE426">
        <f t="shared" si="182"/>
        <v>-1.7495283276474517E-2</v>
      </c>
      <c r="AF426">
        <f t="shared" si="183"/>
        <v>-0.16191977873706889</v>
      </c>
      <c r="AH426">
        <f t="shared" si="184"/>
        <v>0.15212691517034208</v>
      </c>
      <c r="AI426">
        <f t="shared" si="185"/>
        <v>0.12388556236663374</v>
      </c>
      <c r="AJ426">
        <f t="shared" si="186"/>
        <v>-2.8241352803708333E-2</v>
      </c>
      <c r="AK426">
        <f t="shared" si="187"/>
        <v>-0.21541195663971691</v>
      </c>
      <c r="AM426">
        <f t="shared" si="188"/>
        <v>0.21658006809176175</v>
      </c>
      <c r="AN426">
        <f t="shared" si="189"/>
        <v>-0.34535751626145317</v>
      </c>
      <c r="AO426">
        <f t="shared" si="190"/>
        <v>-0.56193758435321495</v>
      </c>
      <c r="AP426">
        <f t="shared" si="191"/>
        <v>-1.5606829646176661</v>
      </c>
      <c r="AR426">
        <f t="shared" si="192"/>
        <v>0.29953085481594927</v>
      </c>
      <c r="AS426">
        <f t="shared" si="193"/>
        <v>-0.44472665097720676</v>
      </c>
      <c r="AT426">
        <f t="shared" si="194"/>
        <v>-0.74425750579315597</v>
      </c>
      <c r="AU426">
        <f t="shared" si="195"/>
        <v>-3.4513274948670309</v>
      </c>
    </row>
    <row r="427" spans="1:47" x14ac:dyDescent="0.25">
      <c r="A427" s="4">
        <f>DATE(2022,12,12)</f>
        <v>44907</v>
      </c>
      <c r="B427">
        <v>0.766176018352557</v>
      </c>
      <c r="C427">
        <v>74.7966471782523</v>
      </c>
      <c r="D427">
        <v>0.86479799800846668</v>
      </c>
      <c r="E427">
        <f t="shared" si="168"/>
        <v>0.73387281286110384</v>
      </c>
      <c r="F427">
        <f t="shared" si="169"/>
        <v>1.9336521192155696</v>
      </c>
      <c r="G427">
        <f t="shared" si="170"/>
        <v>0.96995181792856433</v>
      </c>
      <c r="H427" s="2" t="str">
        <f t="shared" si="171"/>
        <v>Higher</v>
      </c>
      <c r="I427" s="2" t="str">
        <f t="shared" si="172"/>
        <v>Higher</v>
      </c>
      <c r="J427" s="2" t="str">
        <f t="shared" si="173"/>
        <v>Lower</v>
      </c>
      <c r="K427" s="2" t="str">
        <f t="shared" si="174"/>
        <v>Lower</v>
      </c>
      <c r="L427" s="2" t="str">
        <f t="shared" si="175"/>
        <v>Higher</v>
      </c>
      <c r="M427" s="2" t="str">
        <f t="shared" si="176"/>
        <v>Higher</v>
      </c>
      <c r="N427" s="2" t="str">
        <f t="shared" si="177"/>
        <v>Lower</v>
      </c>
      <c r="O427" s="2" t="str">
        <f t="shared" si="178"/>
        <v>Higher</v>
      </c>
      <c r="P427" s="2" t="str">
        <f t="shared" si="179"/>
        <v>Lower</v>
      </c>
      <c r="R427" s="4">
        <f>DATE(2022,12,12)</f>
        <v>44907</v>
      </c>
      <c r="S427">
        <v>-0.39577648842281971</v>
      </c>
      <c r="T427">
        <v>0.84683109261790213</v>
      </c>
      <c r="U427">
        <v>-0.38846076208965558</v>
      </c>
      <c r="V427">
        <v>-4.7780517693829641E-2</v>
      </c>
      <c r="X427" s="4">
        <f>DATE(2022,12,12)</f>
        <v>44907</v>
      </c>
      <c r="Y427">
        <v>31.682297481637583</v>
      </c>
      <c r="Z427">
        <v>52.836536837755652</v>
      </c>
      <c r="AA427">
        <v>89.53</v>
      </c>
      <c r="AB427">
        <v>136.59</v>
      </c>
      <c r="AC427">
        <f t="shared" si="180"/>
        <v>2.7660404289827235E-2</v>
      </c>
      <c r="AD427">
        <f t="shared" si="181"/>
        <v>1.3941078531013279E-2</v>
      </c>
      <c r="AE427">
        <f t="shared" si="182"/>
        <v>-1.3719325758813955E-2</v>
      </c>
      <c r="AF427">
        <f t="shared" si="183"/>
        <v>-0.14118154969507959</v>
      </c>
      <c r="AH427">
        <f t="shared" si="184"/>
        <v>0.17359176185549841</v>
      </c>
      <c r="AI427">
        <f t="shared" si="185"/>
        <v>0.18338515757808982</v>
      </c>
      <c r="AJ427">
        <f t="shared" si="186"/>
        <v>9.7933957225914137E-3</v>
      </c>
      <c r="AK427">
        <f t="shared" si="187"/>
        <v>-9.2978150790570008E-2</v>
      </c>
      <c r="AM427">
        <f t="shared" si="188"/>
        <v>0.22435197691084408</v>
      </c>
      <c r="AN427">
        <f t="shared" si="189"/>
        <v>-0.28846147432777014</v>
      </c>
      <c r="AO427">
        <f t="shared" si="190"/>
        <v>-0.51281345123861422</v>
      </c>
      <c r="AP427">
        <f t="shared" si="191"/>
        <v>-1.4581745615312762</v>
      </c>
      <c r="AR427">
        <f t="shared" si="192"/>
        <v>0.4098166824487901</v>
      </c>
      <c r="AS427">
        <f t="shared" si="193"/>
        <v>-0.5088513502309604</v>
      </c>
      <c r="AT427">
        <f t="shared" si="194"/>
        <v>-0.9186680326797505</v>
      </c>
      <c r="AU427">
        <f t="shared" si="195"/>
        <v>-4.0264180789179038</v>
      </c>
    </row>
    <row r="428" spans="1:47" x14ac:dyDescent="0.25">
      <c r="A428" s="4">
        <f>DATE(2022,12,9)</f>
        <v>44904</v>
      </c>
      <c r="B428">
        <v>0.80599788231227532</v>
      </c>
      <c r="C428">
        <v>71.265264439029067</v>
      </c>
      <c r="D428">
        <v>0.81230638014028178</v>
      </c>
      <c r="E428">
        <f t="shared" si="168"/>
        <v>0.78905793242870192</v>
      </c>
      <c r="F428">
        <f t="shared" si="169"/>
        <v>1.6927203085011417</v>
      </c>
      <c r="G428">
        <f t="shared" si="170"/>
        <v>0.82761796773070551</v>
      </c>
      <c r="H428" s="2" t="str">
        <f t="shared" si="171"/>
        <v>Higher</v>
      </c>
      <c r="I428" s="2" t="str">
        <f t="shared" si="172"/>
        <v>Higher</v>
      </c>
      <c r="J428" s="2" t="str">
        <f t="shared" si="173"/>
        <v>Lower</v>
      </c>
      <c r="K428" s="2" t="str">
        <f t="shared" si="174"/>
        <v>Lower</v>
      </c>
      <c r="L428" s="2" t="str">
        <f t="shared" si="175"/>
        <v>Higher</v>
      </c>
      <c r="M428" s="2" t="str">
        <f t="shared" si="176"/>
        <v>Higher</v>
      </c>
      <c r="N428" s="2" t="str">
        <f t="shared" si="177"/>
        <v>Lower</v>
      </c>
      <c r="O428" s="2" t="str">
        <f t="shared" si="178"/>
        <v>Higher</v>
      </c>
      <c r="P428" s="2" t="str">
        <f t="shared" si="179"/>
        <v>Lower</v>
      </c>
      <c r="R428" s="4">
        <f>DATE(2022,12,9)</f>
        <v>44904</v>
      </c>
      <c r="S428">
        <v>0.38476699678889409</v>
      </c>
      <c r="T428">
        <v>0.82041112200340593</v>
      </c>
      <c r="U428">
        <v>-0.39710411158908931</v>
      </c>
      <c r="V428">
        <v>-4.7785337952372109E-2</v>
      </c>
      <c r="X428" s="4">
        <f>DATE(2022,12,9)</f>
        <v>44904</v>
      </c>
      <c r="Y428">
        <v>31.030776075488113</v>
      </c>
      <c r="Z428">
        <v>54.396817166378121</v>
      </c>
      <c r="AA428">
        <v>87.892499999999998</v>
      </c>
      <c r="AB428">
        <v>139.113</v>
      </c>
      <c r="AC428">
        <f t="shared" si="180"/>
        <v>1.0867496207976503E-2</v>
      </c>
      <c r="AD428">
        <f t="shared" si="181"/>
        <v>2.5857452261748227E-2</v>
      </c>
      <c r="AE428">
        <f t="shared" si="182"/>
        <v>1.4989956053771724E-2</v>
      </c>
      <c r="AF428">
        <f t="shared" si="183"/>
        <v>2.1055955643029169E-2</v>
      </c>
      <c r="AH428">
        <f t="shared" si="184"/>
        <v>0.15440196529598335</v>
      </c>
      <c r="AI428">
        <f t="shared" si="185"/>
        <v>0.35182019996209618</v>
      </c>
      <c r="AJ428">
        <f t="shared" si="186"/>
        <v>0.19741823466611283</v>
      </c>
      <c r="AK428">
        <f t="shared" si="187"/>
        <v>0.51043142116461959</v>
      </c>
      <c r="AM428">
        <f t="shared" si="188"/>
        <v>0.18709442726194472</v>
      </c>
      <c r="AN428">
        <f t="shared" si="189"/>
        <v>-0.3000537398776596</v>
      </c>
      <c r="AO428">
        <f t="shared" si="190"/>
        <v>-0.48714816713960429</v>
      </c>
      <c r="AP428">
        <f t="shared" si="191"/>
        <v>-1.4071691303359233</v>
      </c>
      <c r="AR428">
        <f t="shared" si="192"/>
        <v>0.28934267435070216</v>
      </c>
      <c r="AS428">
        <f t="shared" si="193"/>
        <v>-0.32506930775451703</v>
      </c>
      <c r="AT428">
        <f t="shared" si="194"/>
        <v>-0.61441198210521919</v>
      </c>
      <c r="AU428">
        <f t="shared" si="195"/>
        <v>-3.2268124358892942</v>
      </c>
    </row>
    <row r="429" spans="1:47" x14ac:dyDescent="0.25">
      <c r="A429" s="4">
        <f>DATE(2022,12,8)</f>
        <v>44903</v>
      </c>
      <c r="B429">
        <v>0.99591813921392891</v>
      </c>
      <c r="C429">
        <v>74.728910564190329</v>
      </c>
      <c r="D429">
        <v>0.88400493933132906</v>
      </c>
      <c r="E429">
        <f t="shared" si="168"/>
        <v>1.0134209705433221</v>
      </c>
      <c r="F429">
        <f t="shared" si="169"/>
        <v>2.011576629439201</v>
      </c>
      <c r="G429">
        <f t="shared" si="170"/>
        <v>1.0533577012157882</v>
      </c>
      <c r="H429" s="2" t="str">
        <f t="shared" si="171"/>
        <v>Higher</v>
      </c>
      <c r="I429" s="2" t="str">
        <f t="shared" si="172"/>
        <v>Higher</v>
      </c>
      <c r="J429" s="2" t="str">
        <f t="shared" si="173"/>
        <v>Lower</v>
      </c>
      <c r="K429" s="2" t="str">
        <f t="shared" si="174"/>
        <v>Lower</v>
      </c>
      <c r="L429" s="2" t="str">
        <f t="shared" si="175"/>
        <v>Higher</v>
      </c>
      <c r="M429" s="2" t="str">
        <f t="shared" si="176"/>
        <v>Higher</v>
      </c>
      <c r="N429" s="2" t="str">
        <f t="shared" si="177"/>
        <v>Lower</v>
      </c>
      <c r="O429" s="2" t="str">
        <f t="shared" si="178"/>
        <v>Higher</v>
      </c>
      <c r="P429" s="2" t="str">
        <f t="shared" si="179"/>
        <v>Lower</v>
      </c>
      <c r="R429" s="4">
        <f>DATE(2022,12,8)</f>
        <v>44903</v>
      </c>
      <c r="S429">
        <v>0.4279549182266123</v>
      </c>
      <c r="T429">
        <v>0.77252172324102664</v>
      </c>
      <c r="U429">
        <v>-0.4031280223639403</v>
      </c>
      <c r="V429">
        <v>-5.7876180293917237E-2</v>
      </c>
      <c r="X429" s="4">
        <f>DATE(2022,12,8)</f>
        <v>44903</v>
      </c>
      <c r="Y429">
        <v>32.93520510970113</v>
      </c>
      <c r="Z429">
        <v>54.28751530729896</v>
      </c>
      <c r="AA429">
        <v>88.62</v>
      </c>
      <c r="AB429">
        <v>138.893</v>
      </c>
      <c r="AC429">
        <f t="shared" si="180"/>
        <v>3.2746567909555213E-2</v>
      </c>
      <c r="AD429">
        <f t="shared" si="181"/>
        <v>-2.6244752634795392E-3</v>
      </c>
      <c r="AE429">
        <f t="shared" si="182"/>
        <v>-3.5371043173034751E-2</v>
      </c>
      <c r="AF429">
        <f t="shared" si="183"/>
        <v>-0.26245714442823326</v>
      </c>
      <c r="AH429">
        <f t="shared" si="184"/>
        <v>0.19770673805520128</v>
      </c>
      <c r="AI429">
        <f t="shared" si="185"/>
        <v>0.20232401254017815</v>
      </c>
      <c r="AJ429">
        <f t="shared" si="186"/>
        <v>4.6172744849768688E-3</v>
      </c>
      <c r="AK429">
        <f t="shared" si="187"/>
        <v>-0.10729557995581174</v>
      </c>
      <c r="AM429">
        <f t="shared" si="188"/>
        <v>0.21378637202278478</v>
      </c>
      <c r="AN429">
        <f t="shared" si="189"/>
        <v>-0.43359371876604241</v>
      </c>
      <c r="AO429">
        <f t="shared" si="190"/>
        <v>-0.64738009078882719</v>
      </c>
      <c r="AP429">
        <f t="shared" si="191"/>
        <v>-1.7743314323070107</v>
      </c>
      <c r="AR429">
        <f t="shared" si="192"/>
        <v>0.28085968965272046</v>
      </c>
      <c r="AS429">
        <f t="shared" si="193"/>
        <v>-0.12565652426079865</v>
      </c>
      <c r="AT429">
        <f t="shared" si="194"/>
        <v>-0.40651621391351911</v>
      </c>
      <c r="AU429">
        <f t="shared" si="195"/>
        <v>-2.6541829379063877</v>
      </c>
    </row>
    <row r="430" spans="1:47" x14ac:dyDescent="0.25">
      <c r="A430" s="4">
        <f>DATE(2022,12,7)</f>
        <v>44902</v>
      </c>
      <c r="B430">
        <v>1.0906169555090446</v>
      </c>
      <c r="C430">
        <v>73.876702017090096</v>
      </c>
      <c r="D430">
        <v>0.90560689286868468</v>
      </c>
      <c r="E430">
        <f t="shared" si="168"/>
        <v>1.1351328044678037</v>
      </c>
      <c r="F430">
        <f t="shared" si="169"/>
        <v>1.9907996017166054</v>
      </c>
      <c r="G430">
        <f t="shared" si="170"/>
        <v>1.1342220278190795</v>
      </c>
      <c r="H430" s="2" t="str">
        <f t="shared" si="171"/>
        <v>Higher</v>
      </c>
      <c r="I430" s="2" t="str">
        <f t="shared" si="172"/>
        <v>Higher</v>
      </c>
      <c r="J430" s="2" t="str">
        <f t="shared" si="173"/>
        <v>Lower</v>
      </c>
      <c r="K430" s="2" t="str">
        <f t="shared" si="174"/>
        <v>Lower</v>
      </c>
      <c r="L430" s="2" t="str">
        <f t="shared" si="175"/>
        <v>Higher</v>
      </c>
      <c r="M430" s="2" t="str">
        <f t="shared" si="176"/>
        <v>Higher</v>
      </c>
      <c r="N430" s="2" t="str">
        <f t="shared" si="177"/>
        <v>Lower</v>
      </c>
      <c r="O430" s="2" t="str">
        <f t="shared" si="178"/>
        <v>Higher</v>
      </c>
      <c r="P430" s="2" t="str">
        <f t="shared" si="179"/>
        <v>Lower</v>
      </c>
      <c r="R430" s="4">
        <f>DATE(2022,12,7)</f>
        <v>44902</v>
      </c>
      <c r="S430">
        <v>0.23095084330572174</v>
      </c>
      <c r="T430">
        <v>0.75153188449817976</v>
      </c>
      <c r="U430">
        <v>-0.40623066986206807</v>
      </c>
      <c r="V430">
        <v>-6.5420116809275106E-2</v>
      </c>
      <c r="X430" s="4">
        <f>DATE(2022,12,7)</f>
        <v>44902</v>
      </c>
      <c r="Y430">
        <v>32.38182162042812</v>
      </c>
      <c r="Z430">
        <v>60.637527298311191</v>
      </c>
      <c r="AA430">
        <v>87.727499999999992</v>
      </c>
      <c r="AB430">
        <v>149.245</v>
      </c>
      <c r="AC430">
        <f t="shared" si="180"/>
        <v>4.5086677468218109E-2</v>
      </c>
      <c r="AD430">
        <f t="shared" si="181"/>
        <v>1.926714136005242E-2</v>
      </c>
      <c r="AE430">
        <f t="shared" si="182"/>
        <v>-2.5819536108165689E-2</v>
      </c>
      <c r="AF430">
        <f t="shared" si="183"/>
        <v>-0.20800759643983172</v>
      </c>
      <c r="AH430">
        <f t="shared" si="184"/>
        <v>0.17352052626035525</v>
      </c>
      <c r="AI430">
        <f t="shared" si="185"/>
        <v>0.27692790715582621</v>
      </c>
      <c r="AJ430">
        <f t="shared" si="186"/>
        <v>0.10340738089547097</v>
      </c>
      <c r="AK430">
        <f t="shared" si="187"/>
        <v>0.21073287901294305</v>
      </c>
      <c r="AM430">
        <f t="shared" si="188"/>
        <v>0.20003762177339016</v>
      </c>
      <c r="AN430">
        <f t="shared" si="189"/>
        <v>-0.37836438096410657</v>
      </c>
      <c r="AO430">
        <f t="shared" si="190"/>
        <v>-0.57840200273749676</v>
      </c>
      <c r="AP430">
        <f t="shared" si="191"/>
        <v>-1.62853312670902</v>
      </c>
      <c r="AR430">
        <f t="shared" si="192"/>
        <v>0.28860391106226713</v>
      </c>
      <c r="AS430">
        <f t="shared" si="193"/>
        <v>-0.10364172892716919</v>
      </c>
      <c r="AT430">
        <f t="shared" si="194"/>
        <v>-0.39224563998943629</v>
      </c>
      <c r="AU430">
        <f t="shared" si="195"/>
        <v>-2.6435400103669102</v>
      </c>
    </row>
    <row r="431" spans="1:47" x14ac:dyDescent="0.25">
      <c r="A431" s="4">
        <f>DATE(2022,12,6)</f>
        <v>44901</v>
      </c>
      <c r="B431">
        <v>1.1746902078597476</v>
      </c>
      <c r="C431">
        <v>73.348052624652865</v>
      </c>
      <c r="D431">
        <v>0.9424609040178894</v>
      </c>
      <c r="E431">
        <f t="shared" si="168"/>
        <v>1.2475965201793509</v>
      </c>
      <c r="F431">
        <f t="shared" si="169"/>
        <v>1.9947640384200012</v>
      </c>
      <c r="G431">
        <f t="shared" si="170"/>
        <v>1.2623922129536174</v>
      </c>
      <c r="H431" s="2" t="str">
        <f t="shared" si="171"/>
        <v>Higher</v>
      </c>
      <c r="I431" s="2" t="str">
        <f t="shared" si="172"/>
        <v>Higher</v>
      </c>
      <c r="J431" s="2" t="str">
        <f t="shared" si="173"/>
        <v>Lower</v>
      </c>
      <c r="K431" s="2" t="str">
        <f t="shared" si="174"/>
        <v>Lower</v>
      </c>
      <c r="L431" s="2" t="str">
        <f t="shared" si="175"/>
        <v>Higher</v>
      </c>
      <c r="M431" s="2" t="str">
        <f t="shared" si="176"/>
        <v>Higher</v>
      </c>
      <c r="N431" s="2" t="str">
        <f t="shared" si="177"/>
        <v>Lower</v>
      </c>
      <c r="O431" s="2" t="str">
        <f t="shared" si="178"/>
        <v>Higher</v>
      </c>
      <c r="P431" s="2" t="str">
        <f t="shared" si="179"/>
        <v>Lower</v>
      </c>
      <c r="R431" s="4">
        <f>DATE(2022,12,6)</f>
        <v>44901</v>
      </c>
      <c r="S431">
        <v>-0.81760165861092071</v>
      </c>
      <c r="T431">
        <v>0.68019883799266267</v>
      </c>
      <c r="U431">
        <v>-0.44057871429430712</v>
      </c>
      <c r="V431">
        <v>-7.4492693686108627E-2</v>
      </c>
      <c r="X431" s="4">
        <f>DATE(2022,12,6)</f>
        <v>44901</v>
      </c>
      <c r="Y431">
        <v>34.344801927683513</v>
      </c>
      <c r="Z431">
        <v>55.629689676853822</v>
      </c>
      <c r="AA431">
        <v>87.717500000000001</v>
      </c>
      <c r="AB431">
        <v>138.488</v>
      </c>
      <c r="AC431">
        <f t="shared" si="180"/>
        <v>8.5708971498550307E-2</v>
      </c>
      <c r="AD431">
        <f t="shared" si="181"/>
        <v>4.5817433858680805E-2</v>
      </c>
      <c r="AE431">
        <f t="shared" si="182"/>
        <v>-3.9891537639869502E-2</v>
      </c>
      <c r="AF431">
        <f t="shared" si="183"/>
        <v>-0.28727778403357879</v>
      </c>
      <c r="AH431">
        <f t="shared" si="184"/>
        <v>0.13859694734915035</v>
      </c>
      <c r="AI431">
        <f t="shared" si="185"/>
        <v>0.15885406741542452</v>
      </c>
      <c r="AJ431">
        <f t="shared" si="186"/>
        <v>2.025712006627417E-2</v>
      </c>
      <c r="AK431">
        <f t="shared" si="187"/>
        <v>-5.5155323237296404E-2</v>
      </c>
      <c r="AM431">
        <f t="shared" si="188"/>
        <v>0.22580476869654786</v>
      </c>
      <c r="AN431">
        <f t="shared" si="189"/>
        <v>-0.36056949347197537</v>
      </c>
      <c r="AO431">
        <f t="shared" si="190"/>
        <v>-0.58637426216852329</v>
      </c>
      <c r="AP431">
        <f t="shared" si="191"/>
        <v>-1.6548871002421837</v>
      </c>
      <c r="AR431">
        <f t="shared" si="192"/>
        <v>0.19700401731193307</v>
      </c>
      <c r="AS431">
        <f t="shared" si="193"/>
        <v>0.16714287214218765</v>
      </c>
      <c r="AT431">
        <f t="shared" si="194"/>
        <v>-2.9861145169745418E-2</v>
      </c>
      <c r="AU431">
        <f t="shared" si="195"/>
        <v>-1.552904368702382</v>
      </c>
    </row>
    <row r="432" spans="1:47" x14ac:dyDescent="0.25">
      <c r="A432" s="4">
        <f>DATE(2022,12,5)</f>
        <v>44900</v>
      </c>
      <c r="B432">
        <v>1.2163513277229399</v>
      </c>
      <c r="C432">
        <v>72.837718886581698</v>
      </c>
      <c r="D432">
        <v>0.99304370964418809</v>
      </c>
      <c r="E432">
        <f t="shared" si="168"/>
        <v>1.314551024647306</v>
      </c>
      <c r="F432">
        <f t="shared" si="169"/>
        <v>2.0003202402908116</v>
      </c>
      <c r="G432">
        <f t="shared" si="170"/>
        <v>1.4352417894934097</v>
      </c>
      <c r="H432" s="2" t="str">
        <f t="shared" si="171"/>
        <v>Higher</v>
      </c>
      <c r="I432" s="2" t="str">
        <f t="shared" si="172"/>
        <v>Higher</v>
      </c>
      <c r="J432" s="2" t="str">
        <f t="shared" si="173"/>
        <v>Lower</v>
      </c>
      <c r="K432" s="2" t="str">
        <f t="shared" si="174"/>
        <v>Lower</v>
      </c>
      <c r="L432" s="2" t="str">
        <f t="shared" si="175"/>
        <v>Higher</v>
      </c>
      <c r="M432" s="2" t="str">
        <f t="shared" si="176"/>
        <v>Higher</v>
      </c>
      <c r="N432" s="2" t="str">
        <f t="shared" si="177"/>
        <v>Lower</v>
      </c>
      <c r="O432" s="2" t="str">
        <f t="shared" si="178"/>
        <v>Higher</v>
      </c>
      <c r="P432" s="2" t="str">
        <f t="shared" si="179"/>
        <v>Lower</v>
      </c>
      <c r="R432" s="4">
        <f>DATE(2022,12,5)</f>
        <v>44900</v>
      </c>
      <c r="S432">
        <v>9.5128319763082378E-2</v>
      </c>
      <c r="T432">
        <v>0.66497283449898059</v>
      </c>
      <c r="U432">
        <v>-0.45569569650500424</v>
      </c>
      <c r="V432">
        <v>-7.9692048844875948E-2</v>
      </c>
      <c r="X432" s="4">
        <f>DATE(2022,12,5)</f>
        <v>44900</v>
      </c>
      <c r="Y432">
        <v>34.46012898577829</v>
      </c>
      <c r="Z432">
        <v>53.703211454497314</v>
      </c>
      <c r="AA432">
        <v>87.087500000000006</v>
      </c>
      <c r="AB432">
        <v>134.69900000000001</v>
      </c>
      <c r="AC432">
        <f t="shared" si="180"/>
        <v>0.10531267220160578</v>
      </c>
      <c r="AD432">
        <f t="shared" si="181"/>
        <v>8.8568245371854315E-2</v>
      </c>
      <c r="AE432">
        <f t="shared" si="182"/>
        <v>-1.6744426829751469E-2</v>
      </c>
      <c r="AF432">
        <f t="shared" si="183"/>
        <v>-0.15709111606194143</v>
      </c>
      <c r="AH432">
        <f t="shared" si="184"/>
        <v>0.12077300424676463</v>
      </c>
      <c r="AI432">
        <f t="shared" si="185"/>
        <v>0.20544827230620233</v>
      </c>
      <c r="AJ432">
        <f t="shared" si="186"/>
        <v>8.4675268059437703E-2</v>
      </c>
      <c r="AK432">
        <f t="shared" si="187"/>
        <v>0.15281140720368966</v>
      </c>
      <c r="AM432">
        <f t="shared" si="188"/>
        <v>0.21133611215967804</v>
      </c>
      <c r="AN432">
        <f t="shared" si="189"/>
        <v>-0.3470713706777086</v>
      </c>
      <c r="AO432">
        <f t="shared" si="190"/>
        <v>-0.55840748283738662</v>
      </c>
      <c r="AP432">
        <f t="shared" si="191"/>
        <v>-1.5998075548555903</v>
      </c>
      <c r="AR432">
        <f t="shared" si="192"/>
        <v>5.2480040763447901E-2</v>
      </c>
      <c r="AS432">
        <f t="shared" si="193"/>
        <v>0.26764641818884405</v>
      </c>
      <c r="AT432">
        <f t="shared" si="194"/>
        <v>0.21516637742539615</v>
      </c>
      <c r="AU432">
        <f t="shared" si="195"/>
        <v>-0.79666197108642056</v>
      </c>
    </row>
    <row r="433" spans="1:47" x14ac:dyDescent="0.25">
      <c r="A433" s="4">
        <f>DATE(2022,12,2)</f>
        <v>44897</v>
      </c>
      <c r="B433">
        <v>1.1911307656307184</v>
      </c>
      <c r="C433">
        <v>74.085667963590254</v>
      </c>
      <c r="D433">
        <v>1.1018503482203548</v>
      </c>
      <c r="E433">
        <f t="shared" si="168"/>
        <v>1.3063957051341841</v>
      </c>
      <c r="F433">
        <f t="shared" si="169"/>
        <v>2.1586461399616432</v>
      </c>
      <c r="G433">
        <f t="shared" si="170"/>
        <v>1.7895151317495424</v>
      </c>
      <c r="H433" s="2" t="str">
        <f t="shared" si="171"/>
        <v>Higher</v>
      </c>
      <c r="I433" s="2" t="str">
        <f t="shared" si="172"/>
        <v>Higher</v>
      </c>
      <c r="J433" s="2" t="str">
        <f t="shared" si="173"/>
        <v>Lower</v>
      </c>
      <c r="K433" s="2" t="str">
        <f t="shared" si="174"/>
        <v>Lower</v>
      </c>
      <c r="L433" s="2" t="str">
        <f t="shared" si="175"/>
        <v>Higher</v>
      </c>
      <c r="M433" s="2" t="str">
        <f t="shared" si="176"/>
        <v>Higher</v>
      </c>
      <c r="N433" s="2" t="str">
        <f t="shared" si="177"/>
        <v>Lower</v>
      </c>
      <c r="O433" s="2" t="str">
        <f t="shared" si="178"/>
        <v>Higher</v>
      </c>
      <c r="P433" s="2" t="str">
        <f t="shared" si="179"/>
        <v>Lower</v>
      </c>
      <c r="R433" s="4">
        <f>DATE(2022,12,2)</f>
        <v>44897</v>
      </c>
      <c r="S433">
        <v>0.70513864544505045</v>
      </c>
      <c r="T433">
        <v>0.61625896206947861</v>
      </c>
      <c r="U433">
        <v>-0.48882199511991503</v>
      </c>
      <c r="V433">
        <v>-8.7858864043827672E-2</v>
      </c>
      <c r="X433" s="4">
        <f>DATE(2022,12,2)</f>
        <v>44897</v>
      </c>
      <c r="Y433">
        <v>36.006474265229372</v>
      </c>
      <c r="Z433">
        <v>54.200903917288123</v>
      </c>
      <c r="AA433">
        <v>86.942499999999995</v>
      </c>
      <c r="AB433">
        <v>135.56200000000001</v>
      </c>
      <c r="AC433">
        <f t="shared" si="180"/>
        <v>9.7065752758925081E-2</v>
      </c>
      <c r="AD433">
        <f t="shared" si="181"/>
        <v>8.6168106579003131E-2</v>
      </c>
      <c r="AE433">
        <f t="shared" si="182"/>
        <v>-1.0897646179921949E-2</v>
      </c>
      <c r="AF433">
        <f t="shared" si="183"/>
        <v>-0.12427864163299436</v>
      </c>
      <c r="AH433">
        <f t="shared" si="184"/>
        <v>0.1201761259887156</v>
      </c>
      <c r="AI433">
        <f t="shared" si="185"/>
        <v>0.16635957501535348</v>
      </c>
      <c r="AJ433">
        <f t="shared" si="186"/>
        <v>4.6183449026637874E-2</v>
      </c>
      <c r="AK433">
        <f t="shared" si="187"/>
        <v>3.0268634011407582E-2</v>
      </c>
      <c r="AM433">
        <f t="shared" si="188"/>
        <v>0.26932404602628701</v>
      </c>
      <c r="AN433">
        <f t="shared" si="189"/>
        <v>-0.42372920994557062</v>
      </c>
      <c r="AO433">
        <f t="shared" si="190"/>
        <v>-0.69305325597185763</v>
      </c>
      <c r="AP433">
        <f t="shared" si="191"/>
        <v>-1.9144014964327019</v>
      </c>
      <c r="AR433">
        <f t="shared" si="192"/>
        <v>-1.5040023230647378E-2</v>
      </c>
      <c r="AS433">
        <f t="shared" si="193"/>
        <v>0.36165500339787043</v>
      </c>
      <c r="AT433">
        <f t="shared" si="194"/>
        <v>0.37669502662851784</v>
      </c>
      <c r="AU433">
        <f t="shared" si="195"/>
        <v>-0.29268948922440113</v>
      </c>
    </row>
    <row r="434" spans="1:47" x14ac:dyDescent="0.25">
      <c r="A434" s="4">
        <f>DATE(2022,12,1)</f>
        <v>44896</v>
      </c>
      <c r="B434">
        <v>0.99039504180046278</v>
      </c>
      <c r="C434">
        <v>70.93901865775382</v>
      </c>
      <c r="D434">
        <v>1.0915861728892544</v>
      </c>
      <c r="E434">
        <f t="shared" si="168"/>
        <v>1.093958680617195</v>
      </c>
      <c r="F434">
        <f t="shared" si="169"/>
        <v>1.9304728051243025</v>
      </c>
      <c r="G434">
        <f t="shared" si="170"/>
        <v>1.7915239703884813</v>
      </c>
      <c r="H434" s="2" t="str">
        <f t="shared" si="171"/>
        <v>Higher</v>
      </c>
      <c r="I434" s="2" t="str">
        <f t="shared" si="172"/>
        <v>Higher</v>
      </c>
      <c r="J434" s="2" t="str">
        <f t="shared" si="173"/>
        <v>Lower</v>
      </c>
      <c r="K434" s="2" t="str">
        <f t="shared" si="174"/>
        <v>Lower</v>
      </c>
      <c r="L434" s="2" t="str">
        <f t="shared" si="175"/>
        <v>Higher</v>
      </c>
      <c r="M434" s="2" t="str">
        <f t="shared" si="176"/>
        <v>Higher</v>
      </c>
      <c r="N434" s="2" t="str">
        <f t="shared" si="177"/>
        <v>Lower</v>
      </c>
      <c r="O434" s="2" t="str">
        <f t="shared" si="178"/>
        <v>Higher</v>
      </c>
      <c r="P434" s="2" t="str">
        <f t="shared" si="179"/>
        <v>Lower</v>
      </c>
      <c r="R434" s="4">
        <f>DATE(2022,12,1)</f>
        <v>44896</v>
      </c>
      <c r="S434">
        <v>0.94766027673589748</v>
      </c>
      <c r="T434">
        <v>0.43549668615942588</v>
      </c>
      <c r="U434">
        <v>-0.52301185325222321</v>
      </c>
      <c r="V434">
        <v>-9.6882748367385002E-2</v>
      </c>
      <c r="X434" s="4">
        <f>DATE(2022,12,1)</f>
        <v>44896</v>
      </c>
      <c r="Y434">
        <v>39.018661442894093</v>
      </c>
      <c r="Z434">
        <v>56.275047772266888</v>
      </c>
      <c r="AA434">
        <v>85.765000000000001</v>
      </c>
      <c r="AB434">
        <v>139.25800000000001</v>
      </c>
      <c r="AC434">
        <f t="shared" si="180"/>
        <v>9.8369714619660237E-2</v>
      </c>
      <c r="AD434" t="str">
        <f t="shared" si="181"/>
        <v/>
      </c>
      <c r="AE434" t="str">
        <f t="shared" si="182"/>
        <v/>
      </c>
      <c r="AF434" t="str">
        <f t="shared" si="183"/>
        <v/>
      </c>
      <c r="AH434">
        <f t="shared" si="184"/>
        <v>0.11392817703995864</v>
      </c>
      <c r="AI434">
        <f t="shared" si="185"/>
        <v>0.10446091228393685</v>
      </c>
      <c r="AJ434">
        <f t="shared" si="186"/>
        <v>-9.4672647560217899E-3</v>
      </c>
      <c r="AK434">
        <f t="shared" si="187"/>
        <v>-0.14764605710943274</v>
      </c>
      <c r="AM434">
        <f t="shared" si="188"/>
        <v>0.24026148038714526</v>
      </c>
      <c r="AN434">
        <f t="shared" si="189"/>
        <v>-0.45975529085955585</v>
      </c>
      <c r="AO434">
        <f t="shared" si="190"/>
        <v>-0.70001677124670114</v>
      </c>
      <c r="AP434">
        <f t="shared" si="191"/>
        <v>-1.9417984602859726</v>
      </c>
      <c r="AR434">
        <f t="shared" si="192"/>
        <v>-3.4803804893196705E-2</v>
      </c>
      <c r="AS434">
        <f t="shared" si="193"/>
        <v>8.8737591501495003E-2</v>
      </c>
      <c r="AT434">
        <f t="shared" si="194"/>
        <v>0.12354139639469171</v>
      </c>
      <c r="AU434">
        <f t="shared" si="195"/>
        <v>-1.0789497223991575</v>
      </c>
    </row>
    <row r="435" spans="1:47" x14ac:dyDescent="0.25">
      <c r="A435" s="4">
        <f>DATE(2022,11,30)</f>
        <v>44895</v>
      </c>
      <c r="B435">
        <v>0.8168604457822104</v>
      </c>
      <c r="C435">
        <v>70.212515686600568</v>
      </c>
      <c r="D435">
        <v>1.197587599701879</v>
      </c>
      <c r="E435">
        <f t="shared" si="168"/>
        <v>0.90769709776324947</v>
      </c>
      <c r="F435">
        <f t="shared" si="169"/>
        <v>1.9038012700292037</v>
      </c>
      <c r="G435">
        <f t="shared" si="170"/>
        <v>2.1554642579787919</v>
      </c>
      <c r="H435" s="2" t="str">
        <f t="shared" si="171"/>
        <v>Higher</v>
      </c>
      <c r="I435" s="2" t="str">
        <f t="shared" si="172"/>
        <v>Higher</v>
      </c>
      <c r="J435" s="2" t="str">
        <f t="shared" si="173"/>
        <v>Lower</v>
      </c>
      <c r="K435" s="2" t="str">
        <f t="shared" si="174"/>
        <v>Lower</v>
      </c>
      <c r="L435" s="2" t="str">
        <f t="shared" si="175"/>
        <v>Higher</v>
      </c>
      <c r="M435" s="2" t="str">
        <f t="shared" si="176"/>
        <v>Higher</v>
      </c>
      <c r="N435" s="2" t="str">
        <f t="shared" si="177"/>
        <v>Lower</v>
      </c>
      <c r="O435" s="2" t="str">
        <f t="shared" si="178"/>
        <v>Higher</v>
      </c>
      <c r="P435" s="2" t="str">
        <f t="shared" si="179"/>
        <v>Lower</v>
      </c>
      <c r="R435" s="4">
        <f>DATE(2022,11,30)</f>
        <v>44895</v>
      </c>
      <c r="S435">
        <v>0.78979099254922103</v>
      </c>
      <c r="T435">
        <v>0.33721620776682665</v>
      </c>
      <c r="U435">
        <v>-0.54764294537886637</v>
      </c>
      <c r="V435">
        <v>-0.10518593684415532</v>
      </c>
      <c r="X435" s="4">
        <f>DATE(2022,11,30)</f>
        <v>44895</v>
      </c>
      <c r="Y435">
        <v>35.084224777458573</v>
      </c>
      <c r="Z435">
        <v>60.422127562036643</v>
      </c>
      <c r="AA435">
        <v>83.86</v>
      </c>
      <c r="AB435">
        <v>146.39699999999999</v>
      </c>
      <c r="AC435">
        <f t="shared" si="180"/>
        <v>0.10428787387689289</v>
      </c>
      <c r="AD435">
        <f t="shared" si="181"/>
        <v>0.12171501651440253</v>
      </c>
      <c r="AE435">
        <f t="shared" si="182"/>
        <v>1.7427142637509635E-2</v>
      </c>
      <c r="AF435">
        <f t="shared" si="183"/>
        <v>3.460767654886391E-2</v>
      </c>
      <c r="AH435">
        <f t="shared" si="184"/>
        <v>8.5180995401927626E-2</v>
      </c>
      <c r="AI435">
        <f t="shared" si="185"/>
        <v>0.15112809569099495</v>
      </c>
      <c r="AJ435">
        <f t="shared" si="186"/>
        <v>6.594710028906732E-2</v>
      </c>
      <c r="AK435">
        <f t="shared" si="187"/>
        <v>9.5166560846961512E-2</v>
      </c>
      <c r="AM435">
        <f t="shared" si="188"/>
        <v>0.19081206651174368</v>
      </c>
      <c r="AN435">
        <f t="shared" si="189"/>
        <v>-0.37910702702513494</v>
      </c>
      <c r="AO435">
        <f t="shared" si="190"/>
        <v>-0.56991909353687864</v>
      </c>
      <c r="AP435">
        <f t="shared" si="191"/>
        <v>-1.6538102136040576</v>
      </c>
      <c r="AR435">
        <f t="shared" si="192"/>
        <v>-0.11212271839524303</v>
      </c>
      <c r="AS435">
        <f t="shared" si="193"/>
        <v>0.51511769619404191</v>
      </c>
      <c r="AT435">
        <f t="shared" si="194"/>
        <v>0.62724041458928492</v>
      </c>
      <c r="AU435">
        <f t="shared" si="195"/>
        <v>0.49193256911137578</v>
      </c>
    </row>
    <row r="436" spans="1:47" x14ac:dyDescent="0.25">
      <c r="A436" s="4">
        <f>DATE(2022,11,29)</f>
        <v>44894</v>
      </c>
      <c r="B436">
        <v>0.50934858096484148</v>
      </c>
      <c r="C436">
        <v>64.927780205395976</v>
      </c>
      <c r="D436">
        <v>1.0801543968617511</v>
      </c>
      <c r="E436">
        <f t="shared" si="168"/>
        <v>0.56334742459787746</v>
      </c>
      <c r="F436">
        <f t="shared" si="169"/>
        <v>1.4600485393256735</v>
      </c>
      <c r="G436">
        <f t="shared" si="170"/>
        <v>1.8412400235212545</v>
      </c>
      <c r="H436" s="2" t="str">
        <f t="shared" si="171"/>
        <v>Higher</v>
      </c>
      <c r="I436" s="2" t="str">
        <f t="shared" si="172"/>
        <v>Lower</v>
      </c>
      <c r="J436" s="2" t="str">
        <f t="shared" si="173"/>
        <v>Lower</v>
      </c>
      <c r="K436" s="2" t="str">
        <f t="shared" si="174"/>
        <v>Lower</v>
      </c>
      <c r="L436" s="2" t="str">
        <f t="shared" si="175"/>
        <v>Higher</v>
      </c>
      <c r="M436" s="2" t="str">
        <f t="shared" si="176"/>
        <v>Higher</v>
      </c>
      <c r="N436" s="2" t="str">
        <f t="shared" si="177"/>
        <v>Lower</v>
      </c>
      <c r="O436" s="2" t="str">
        <f t="shared" si="178"/>
        <v>Higher</v>
      </c>
      <c r="P436" s="2" t="str">
        <f t="shared" si="179"/>
        <v>Lower</v>
      </c>
      <c r="R436" s="4">
        <f>DATE(2022,11,29)</f>
        <v>44894</v>
      </c>
      <c r="S436">
        <v>0.60080294898460307</v>
      </c>
      <c r="T436">
        <v>0.15075531466596145</v>
      </c>
      <c r="U436">
        <v>-0.57000248623966421</v>
      </c>
      <c r="V436">
        <v>-0.11495033251610504</v>
      </c>
      <c r="X436" s="4">
        <f>DATE(2022,11,29)</f>
        <v>44894</v>
      </c>
      <c r="Y436">
        <v>29.497744497253457</v>
      </c>
      <c r="Z436">
        <v>54.231546243457714</v>
      </c>
      <c r="AA436">
        <v>80.512500000000003</v>
      </c>
      <c r="AB436">
        <v>132.286</v>
      </c>
      <c r="AC436">
        <f t="shared" si="180"/>
        <v>8.5090878254276733E-2</v>
      </c>
      <c r="AD436">
        <f t="shared" si="181"/>
        <v>0.10048737009749099</v>
      </c>
      <c r="AE436">
        <f t="shared" si="182"/>
        <v>1.5396491843214261E-2</v>
      </c>
      <c r="AF436">
        <f t="shared" si="183"/>
        <v>2.2722208147278228E-2</v>
      </c>
      <c r="AH436">
        <f t="shared" si="184"/>
        <v>3.8715329314682849E-2</v>
      </c>
      <c r="AI436">
        <f t="shared" si="185"/>
        <v>0.12971364377635186</v>
      </c>
      <c r="AJ436">
        <f t="shared" si="186"/>
        <v>9.0998314461669005E-2</v>
      </c>
      <c r="AK436">
        <f t="shared" si="187"/>
        <v>0.17694741142570708</v>
      </c>
      <c r="AM436">
        <f t="shared" si="188"/>
        <v>0.12689522227536051</v>
      </c>
      <c r="AN436">
        <f t="shared" si="189"/>
        <v>-0.59501412779636675</v>
      </c>
      <c r="AO436">
        <f t="shared" si="190"/>
        <v>-0.7219093500717273</v>
      </c>
      <c r="AP436">
        <f t="shared" si="191"/>
        <v>-2.0119428706738014</v>
      </c>
      <c r="AR436">
        <f t="shared" si="192"/>
        <v>-0.10560268474891954</v>
      </c>
      <c r="AS436">
        <f t="shared" si="193"/>
        <v>0.53002821643259901</v>
      </c>
      <c r="AT436">
        <f t="shared" si="194"/>
        <v>0.63563090118151855</v>
      </c>
      <c r="AU436">
        <f t="shared" si="195"/>
        <v>0.52118887325291985</v>
      </c>
    </row>
    <row r="437" spans="1:47" x14ac:dyDescent="0.25">
      <c r="A437" s="4">
        <f>DATE(2022,11,28)</f>
        <v>44893</v>
      </c>
      <c r="B437">
        <v>0.31306311971692202</v>
      </c>
      <c r="C437">
        <v>60.287271455668787</v>
      </c>
      <c r="D437">
        <v>0.90288650031513662</v>
      </c>
      <c r="E437">
        <f t="shared" si="168"/>
        <v>0.34433625391981987</v>
      </c>
      <c r="F437">
        <f t="shared" si="169"/>
        <v>1.0568393866324075</v>
      </c>
      <c r="G437">
        <f t="shared" si="170"/>
        <v>1.3156558027079732</v>
      </c>
      <c r="H437" s="2" t="str">
        <f t="shared" si="171"/>
        <v>Higher</v>
      </c>
      <c r="I437" s="2" t="str">
        <f t="shared" si="172"/>
        <v>Lower</v>
      </c>
      <c r="J437" s="2" t="str">
        <f t="shared" si="173"/>
        <v>Lower</v>
      </c>
      <c r="K437" s="2" t="str">
        <f t="shared" si="174"/>
        <v>Lower</v>
      </c>
      <c r="L437" s="2" t="str">
        <f t="shared" si="175"/>
        <v>Higher</v>
      </c>
      <c r="M437" s="2" t="str">
        <f t="shared" si="176"/>
        <v>Higher</v>
      </c>
      <c r="N437" s="2" t="str">
        <f t="shared" si="177"/>
        <v>Lower</v>
      </c>
      <c r="O437" s="2" t="str">
        <f t="shared" si="178"/>
        <v>Higher</v>
      </c>
      <c r="P437" s="2" t="str">
        <f t="shared" si="179"/>
        <v>Lower</v>
      </c>
      <c r="R437" s="4">
        <f>DATE(2022,11,28)</f>
        <v>44893</v>
      </c>
      <c r="S437">
        <v>0.44982480292506377</v>
      </c>
      <c r="T437">
        <v>-4.9927091958184282E-2</v>
      </c>
      <c r="U437">
        <v>-0.51678571469807422</v>
      </c>
      <c r="V437">
        <v>-0.12289083705131516</v>
      </c>
      <c r="X437" s="4">
        <f>DATE(2022,11,28)</f>
        <v>44893</v>
      </c>
      <c r="Y437">
        <v>25.781438503588973</v>
      </c>
      <c r="Z437">
        <v>49.556534630521455</v>
      </c>
      <c r="AA437">
        <v>78.382500000000007</v>
      </c>
      <c r="AB437">
        <v>123.282</v>
      </c>
      <c r="AC437">
        <f t="shared" si="180"/>
        <v>5.7197814166976349E-2</v>
      </c>
      <c r="AD437">
        <f t="shared" si="181"/>
        <v>5.9781383081273093E-2</v>
      </c>
      <c r="AE437">
        <f t="shared" si="182"/>
        <v>2.5835689142967438E-3</v>
      </c>
      <c r="AF437">
        <f t="shared" si="183"/>
        <v>-4.9410850878424409E-2</v>
      </c>
      <c r="AH437">
        <f t="shared" si="184"/>
        <v>-2.0707156975883184E-2</v>
      </c>
      <c r="AI437">
        <f t="shared" si="185"/>
        <v>-5.6764275711881083E-4</v>
      </c>
      <c r="AJ437">
        <f t="shared" si="186"/>
        <v>2.0139514218764372E-2</v>
      </c>
      <c r="AK437">
        <f t="shared" si="187"/>
        <v>-4.9990847739743355E-2</v>
      </c>
      <c r="AM437">
        <f t="shared" si="188"/>
        <v>4.381261960932295E-2</v>
      </c>
      <c r="AN437" t="str">
        <f t="shared" si="189"/>
        <v/>
      </c>
      <c r="AO437" t="str">
        <f t="shared" si="190"/>
        <v/>
      </c>
      <c r="AP437" t="str">
        <f t="shared" si="191"/>
        <v/>
      </c>
      <c r="AR437">
        <f t="shared" si="192"/>
        <v>-0.13355930025028326</v>
      </c>
      <c r="AS437" t="str">
        <f t="shared" si="193"/>
        <v/>
      </c>
      <c r="AT437" t="str">
        <f t="shared" si="194"/>
        <v/>
      </c>
      <c r="AU437" t="str">
        <f t="shared" si="195"/>
        <v/>
      </c>
    </row>
    <row r="438" spans="1:47" x14ac:dyDescent="0.25">
      <c r="A438" s="4">
        <f>DATE(2022,11,25)</f>
        <v>44890</v>
      </c>
      <c r="B438">
        <v>0.21067898994717649</v>
      </c>
      <c r="C438">
        <v>60.439439745596061</v>
      </c>
      <c r="D438">
        <v>0.88155140362116502</v>
      </c>
      <c r="E438">
        <f t="shared" si="168"/>
        <v>0.23290278049081067</v>
      </c>
      <c r="F438">
        <f t="shared" si="169"/>
        <v>1.0830900795920144</v>
      </c>
      <c r="G438">
        <f t="shared" si="170"/>
        <v>1.2685552578476258</v>
      </c>
      <c r="H438" s="2" t="str">
        <f t="shared" si="171"/>
        <v>Higher</v>
      </c>
      <c r="I438" s="2" t="str">
        <f t="shared" si="172"/>
        <v>Lower</v>
      </c>
      <c r="J438" s="2" t="str">
        <f t="shared" si="173"/>
        <v>Lower</v>
      </c>
      <c r="K438" s="2" t="str">
        <f t="shared" si="174"/>
        <v>Lower</v>
      </c>
      <c r="L438" s="2" t="str">
        <f t="shared" si="175"/>
        <v>Higher</v>
      </c>
      <c r="M438" s="2" t="str">
        <f t="shared" si="176"/>
        <v>Higher</v>
      </c>
      <c r="N438" s="2" t="str">
        <f t="shared" si="177"/>
        <v>Higher</v>
      </c>
      <c r="O438" s="2" t="str">
        <f t="shared" si="178"/>
        <v>Higher</v>
      </c>
      <c r="P438" s="2" t="str">
        <f t="shared" si="179"/>
        <v>Lower</v>
      </c>
      <c r="X438" s="4">
        <f>DATE(2022,11,25)</f>
        <v>44890</v>
      </c>
      <c r="Y438">
        <v>27.19326582109543</v>
      </c>
      <c r="Z438">
        <v>50.130976808322593</v>
      </c>
      <c r="AA438">
        <v>78.900000000000006</v>
      </c>
      <c r="AB438">
        <v>124.37</v>
      </c>
      <c r="AC438">
        <f t="shared" si="180"/>
        <v>8.1564777982605169E-2</v>
      </c>
      <c r="AD438">
        <f t="shared" si="181"/>
        <v>7.3912544661646803E-2</v>
      </c>
      <c r="AE438">
        <f t="shared" si="182"/>
        <v>-7.6522333209583654E-3</v>
      </c>
      <c r="AF438">
        <f t="shared" si="183"/>
        <v>-0.10719845038368794</v>
      </c>
      <c r="AH438">
        <f t="shared" si="184"/>
        <v>-2.9380362115424326E-2</v>
      </c>
      <c r="AI438">
        <f t="shared" si="185"/>
        <v>0.10258592058771414</v>
      </c>
      <c r="AJ438">
        <f t="shared" si="186"/>
        <v>0.13196628270313845</v>
      </c>
      <c r="AK438">
        <f t="shared" si="187"/>
        <v>0.31032864120267678</v>
      </c>
      <c r="AM438">
        <f t="shared" si="188"/>
        <v>3.6505079822066922E-3</v>
      </c>
      <c r="AN438">
        <f t="shared" si="189"/>
        <v>-0.54581767976529916</v>
      </c>
      <c r="AO438">
        <f t="shared" si="190"/>
        <v>-0.54946818774750583</v>
      </c>
      <c r="AP438">
        <f t="shared" si="191"/>
        <v>-1.6277002613513687</v>
      </c>
      <c r="AR438">
        <f t="shared" si="192"/>
        <v>-0.11696591553653239</v>
      </c>
      <c r="AS438">
        <f t="shared" si="193"/>
        <v>0.53282210067357583</v>
      </c>
      <c r="AT438">
        <f t="shared" si="194"/>
        <v>0.64978801621010818</v>
      </c>
      <c r="AU438">
        <f t="shared" si="195"/>
        <v>0.56836967972631147</v>
      </c>
    </row>
    <row r="439" spans="1:47" x14ac:dyDescent="0.25">
      <c r="A439" s="4">
        <f>DATE(2022,11,24)</f>
        <v>44889</v>
      </c>
      <c r="B439">
        <v>1.4286887908407042E-2</v>
      </c>
      <c r="C439">
        <v>59.314261993147511</v>
      </c>
      <c r="D439">
        <v>0.76840950174228595</v>
      </c>
      <c r="E439">
        <f t="shared" si="168"/>
        <v>1.3407983528468212E-2</v>
      </c>
      <c r="F439">
        <f t="shared" si="169"/>
        <v>0.99118136735108708</v>
      </c>
      <c r="G439">
        <f t="shared" si="170"/>
        <v>0.92237803790708528</v>
      </c>
      <c r="H439" s="2" t="str">
        <f t="shared" si="171"/>
        <v>Higher</v>
      </c>
      <c r="I439" s="2" t="str">
        <f t="shared" si="172"/>
        <v>Lower</v>
      </c>
      <c r="J439" s="2" t="str">
        <f t="shared" si="173"/>
        <v>Lower</v>
      </c>
      <c r="K439" s="2" t="str">
        <f t="shared" si="174"/>
        <v>Lower</v>
      </c>
      <c r="L439" s="2" t="str">
        <f t="shared" si="175"/>
        <v>Higher</v>
      </c>
      <c r="M439" s="2" t="str">
        <f t="shared" si="176"/>
        <v>Higher</v>
      </c>
      <c r="N439" s="2" t="str">
        <f t="shared" si="177"/>
        <v>Higher</v>
      </c>
      <c r="O439" s="2" t="str">
        <f t="shared" si="178"/>
        <v>Lower</v>
      </c>
      <c r="P439" s="2" t="str">
        <f t="shared" si="179"/>
        <v>Lower</v>
      </c>
      <c r="X439" s="4">
        <f>DATE(2022,11,24)</f>
        <v>44889</v>
      </c>
      <c r="Y439">
        <v>25.79516528913323</v>
      </c>
      <c r="AA439">
        <v>77.72999999999999</v>
      </c>
      <c r="AC439">
        <f t="shared" si="180"/>
        <v>6.4838750600914444E-2</v>
      </c>
      <c r="AD439" t="str">
        <f t="shared" si="181"/>
        <v/>
      </c>
      <c r="AE439" t="str">
        <f t="shared" si="182"/>
        <v/>
      </c>
      <c r="AF439" t="str">
        <f t="shared" si="183"/>
        <v/>
      </c>
      <c r="AH439">
        <f t="shared" si="184"/>
        <v>-1.7218715060288017E-2</v>
      </c>
      <c r="AI439" t="str">
        <f t="shared" si="185"/>
        <v/>
      </c>
      <c r="AJ439" t="str">
        <f t="shared" si="186"/>
        <v/>
      </c>
      <c r="AK439" t="str">
        <f t="shared" si="187"/>
        <v/>
      </c>
      <c r="AM439">
        <f t="shared" si="188"/>
        <v>-2.9972146911318626E-2</v>
      </c>
      <c r="AN439" t="str">
        <f t="shared" si="189"/>
        <v/>
      </c>
      <c r="AO439" t="str">
        <f t="shared" si="190"/>
        <v/>
      </c>
      <c r="AP439" t="str">
        <f t="shared" si="191"/>
        <v/>
      </c>
      <c r="AR439">
        <f t="shared" si="192"/>
        <v>-0.115908701318851</v>
      </c>
      <c r="AS439" t="str">
        <f t="shared" si="193"/>
        <v/>
      </c>
      <c r="AT439" t="str">
        <f t="shared" si="194"/>
        <v/>
      </c>
      <c r="AU439" t="str">
        <f t="shared" si="195"/>
        <v/>
      </c>
    </row>
    <row r="440" spans="1:47" x14ac:dyDescent="0.25">
      <c r="A440" s="4">
        <f>DATE(2022,11,23)</f>
        <v>44888</v>
      </c>
      <c r="B440">
        <v>-0.24973541596973503</v>
      </c>
      <c r="C440">
        <v>54.417010473070825</v>
      </c>
      <c r="D440">
        <v>0.50111142740433157</v>
      </c>
      <c r="E440">
        <f t="shared" si="168"/>
        <v>-0.28253313294824517</v>
      </c>
      <c r="F440">
        <f t="shared" si="169"/>
        <v>0.54525151017704976</v>
      </c>
      <c r="G440">
        <f t="shared" si="170"/>
        <v>6.6316393591748901E-2</v>
      </c>
      <c r="H440" s="2" t="str">
        <f t="shared" si="171"/>
        <v>Higher</v>
      </c>
      <c r="I440" s="2" t="str">
        <f t="shared" si="172"/>
        <v>Lower</v>
      </c>
      <c r="J440" s="2" t="str">
        <f t="shared" si="173"/>
        <v>Lower</v>
      </c>
      <c r="K440" s="2" t="str">
        <f t="shared" si="174"/>
        <v>Lower</v>
      </c>
      <c r="L440" s="2" t="str">
        <f t="shared" si="175"/>
        <v>Higher</v>
      </c>
      <c r="M440" s="2" t="str">
        <f t="shared" si="176"/>
        <v>Higher</v>
      </c>
      <c r="N440" s="2" t="str">
        <f t="shared" si="177"/>
        <v>Higher</v>
      </c>
      <c r="O440" s="2" t="str">
        <f t="shared" si="178"/>
        <v>Lower</v>
      </c>
      <c r="P440" s="2" t="str">
        <f t="shared" si="179"/>
        <v>Lower</v>
      </c>
      <c r="X440" s="4">
        <f>DATE(2022,11,23)</f>
        <v>44888</v>
      </c>
      <c r="Y440">
        <v>23.198910147323005</v>
      </c>
      <c r="Z440">
        <v>52.877879567931942</v>
      </c>
      <c r="AA440">
        <v>75.555000000000007</v>
      </c>
      <c r="AB440">
        <v>129.62</v>
      </c>
      <c r="AC440">
        <f t="shared" si="180"/>
        <v>1.637986348938773E-2</v>
      </c>
      <c r="AD440">
        <f t="shared" si="181"/>
        <v>0.12928622254643354</v>
      </c>
      <c r="AE440">
        <f t="shared" si="182"/>
        <v>0.11290635905704581</v>
      </c>
      <c r="AF440">
        <f t="shared" si="183"/>
        <v>0.57458542887604724</v>
      </c>
      <c r="AH440">
        <f t="shared" si="184"/>
        <v>-1.0303430683529565E-2</v>
      </c>
      <c r="AI440">
        <f t="shared" si="185"/>
        <v>0.21714399482122723</v>
      </c>
      <c r="AJ440">
        <f t="shared" si="186"/>
        <v>0.2274474255047568</v>
      </c>
      <c r="AK440">
        <f t="shared" si="187"/>
        <v>0.62060770718297076</v>
      </c>
      <c r="AM440">
        <f t="shared" si="188"/>
        <v>-5.9257327968349864E-2</v>
      </c>
      <c r="AN440">
        <f t="shared" si="189"/>
        <v>-0.61564425524489552</v>
      </c>
      <c r="AO440">
        <f t="shared" si="190"/>
        <v>-0.55638692727654571</v>
      </c>
      <c r="AP440">
        <f t="shared" si="191"/>
        <v>-1.6528337118774723</v>
      </c>
      <c r="AR440">
        <f t="shared" si="192"/>
        <v>-0.1713311555526226</v>
      </c>
      <c r="AS440">
        <f t="shared" si="193"/>
        <v>0.61768451551053227</v>
      </c>
      <c r="AT440">
        <f t="shared" si="194"/>
        <v>0.78901567106315484</v>
      </c>
      <c r="AU440">
        <f t="shared" si="195"/>
        <v>1.0044025809114763</v>
      </c>
    </row>
    <row r="441" spans="1:47" x14ac:dyDescent="0.25">
      <c r="A441" s="4">
        <f>DATE(2022,11,22)</f>
        <v>44887</v>
      </c>
      <c r="B441">
        <v>-0.4152339749009567</v>
      </c>
      <c r="C441">
        <v>49.78680107424465</v>
      </c>
      <c r="D441">
        <v>0.30146215239862995</v>
      </c>
      <c r="E441">
        <f t="shared" si="168"/>
        <v>-0.46153787551323766</v>
      </c>
      <c r="F441">
        <f t="shared" si="169"/>
        <v>0.12142086790586201</v>
      </c>
      <c r="G441">
        <f t="shared" si="170"/>
        <v>-0.57262003073102297</v>
      </c>
      <c r="H441" s="2" t="str">
        <f t="shared" si="171"/>
        <v>Higher</v>
      </c>
      <c r="I441" s="2" t="str">
        <f t="shared" si="172"/>
        <v>Lower</v>
      </c>
      <c r="J441" s="2" t="str">
        <f t="shared" si="173"/>
        <v>Lower</v>
      </c>
      <c r="K441" s="2" t="str">
        <f t="shared" si="174"/>
        <v>Higher</v>
      </c>
      <c r="L441" s="2" t="str">
        <f t="shared" si="175"/>
        <v>Lower</v>
      </c>
      <c r="M441" s="2" t="str">
        <f t="shared" si="176"/>
        <v>Higher</v>
      </c>
      <c r="N441" s="2" t="str">
        <f t="shared" si="177"/>
        <v>Higher</v>
      </c>
      <c r="O441" s="2" t="str">
        <f t="shared" si="178"/>
        <v>Lower</v>
      </c>
      <c r="P441" s="2" t="str">
        <f t="shared" si="179"/>
        <v>Lower</v>
      </c>
      <c r="X441" s="4">
        <f>DATE(2022,11,22)</f>
        <v>44887</v>
      </c>
      <c r="Y441">
        <v>19.729622952965279</v>
      </c>
      <c r="Z441">
        <v>47.83162476963539</v>
      </c>
      <c r="AA441">
        <v>73.944999999999993</v>
      </c>
      <c r="AB441">
        <v>119.639</v>
      </c>
      <c r="AC441">
        <f t="shared" si="180"/>
        <v>-2.9219342543870715E-2</v>
      </c>
      <c r="AD441">
        <f t="shared" si="181"/>
        <v>-1.547036627444914E-2</v>
      </c>
      <c r="AE441">
        <f t="shared" si="182"/>
        <v>1.3748976269421575E-2</v>
      </c>
      <c r="AF441">
        <f t="shared" si="183"/>
        <v>1.726923584838062E-2</v>
      </c>
      <c r="AH441">
        <f t="shared" si="184"/>
        <v>-2.7444660863420893E-2</v>
      </c>
      <c r="AI441">
        <f t="shared" si="185"/>
        <v>0.18137081404861333</v>
      </c>
      <c r="AJ441">
        <f t="shared" si="186"/>
        <v>0.20881547491203423</v>
      </c>
      <c r="AK441">
        <f t="shared" si="187"/>
        <v>0.56364311259548971</v>
      </c>
      <c r="AM441">
        <f t="shared" si="188"/>
        <v>-0.10470779067705366</v>
      </c>
      <c r="AN441">
        <f t="shared" si="189"/>
        <v>-0.74866157054295579</v>
      </c>
      <c r="AO441">
        <f t="shared" si="190"/>
        <v>-0.64395377986590208</v>
      </c>
      <c r="AP441">
        <f t="shared" si="191"/>
        <v>-1.8651768733373528</v>
      </c>
      <c r="AR441">
        <f t="shared" si="192"/>
        <v>-0.21121249210991486</v>
      </c>
      <c r="AS441">
        <f t="shared" si="193"/>
        <v>0.51295442427344617</v>
      </c>
      <c r="AT441">
        <f t="shared" si="194"/>
        <v>0.72416691638336106</v>
      </c>
      <c r="AU441">
        <f t="shared" si="195"/>
        <v>0.806627130881161</v>
      </c>
    </row>
    <row r="442" spans="1:47" x14ac:dyDescent="0.25">
      <c r="A442" s="4">
        <f>DATE(2022,11,21)</f>
        <v>44886</v>
      </c>
      <c r="B442">
        <v>-0.45337426224994004</v>
      </c>
      <c r="C442">
        <v>51.55506633780724</v>
      </c>
      <c r="D442">
        <v>0.35628648096731957</v>
      </c>
      <c r="E442">
        <f t="shared" si="168"/>
        <v>-0.49421113566273445</v>
      </c>
      <c r="F442">
        <f t="shared" si="169"/>
        <v>0.28946278880479537</v>
      </c>
      <c r="G442">
        <f t="shared" si="170"/>
        <v>-0.39198420373444409</v>
      </c>
      <c r="H442" s="2" t="str">
        <f t="shared" si="171"/>
        <v>Higher</v>
      </c>
      <c r="I442" s="2" t="str">
        <f t="shared" si="172"/>
        <v>Lower</v>
      </c>
      <c r="J442" s="2" t="str">
        <f t="shared" si="173"/>
        <v>Lower</v>
      </c>
      <c r="K442" s="2" t="str">
        <f t="shared" si="174"/>
        <v>Higher</v>
      </c>
      <c r="L442" s="2" t="str">
        <f t="shared" si="175"/>
        <v>Lower</v>
      </c>
      <c r="M442" s="2" t="str">
        <f t="shared" si="176"/>
        <v>Higher</v>
      </c>
      <c r="N442" s="2" t="str">
        <f t="shared" si="177"/>
        <v>Higher</v>
      </c>
      <c r="O442" s="2" t="str">
        <f t="shared" si="178"/>
        <v>Lower</v>
      </c>
      <c r="P442" s="2" t="str">
        <f t="shared" si="179"/>
        <v>Lower</v>
      </c>
      <c r="X442" s="4">
        <f>DATE(2022,11,21)</f>
        <v>44886</v>
      </c>
      <c r="Y442">
        <v>20.377279988529988</v>
      </c>
      <c r="Z442">
        <v>45.940683229519422</v>
      </c>
      <c r="AA442">
        <v>74.025000000000006</v>
      </c>
      <c r="AB442">
        <v>116.128</v>
      </c>
      <c r="AC442">
        <f t="shared" si="180"/>
        <v>-1.6579128802911222E-2</v>
      </c>
      <c r="AD442">
        <f t="shared" si="181"/>
        <v>2.1094450593949127E-2</v>
      </c>
      <c r="AE442">
        <f t="shared" si="182"/>
        <v>3.7673579396860349E-2</v>
      </c>
      <c r="AF442">
        <f t="shared" si="183"/>
        <v>0.15335534281096103</v>
      </c>
      <c r="AH442">
        <f t="shared" si="184"/>
        <v>3.8418603318460295E-2</v>
      </c>
      <c r="AI442">
        <f t="shared" si="185"/>
        <v>0.1578574818326261</v>
      </c>
      <c r="AJ442">
        <f t="shared" si="186"/>
        <v>0.11943887851416581</v>
      </c>
      <c r="AK442">
        <f t="shared" si="187"/>
        <v>0.27922316985157514</v>
      </c>
      <c r="AM442">
        <f t="shared" si="188"/>
        <v>-0.16583493846028557</v>
      </c>
      <c r="AN442">
        <f t="shared" si="189"/>
        <v>-0.85332349330694635</v>
      </c>
      <c r="AO442">
        <f t="shared" si="190"/>
        <v>-0.68748855484666072</v>
      </c>
      <c r="AP442">
        <f t="shared" si="191"/>
        <v>-1.9767880942427121</v>
      </c>
      <c r="AR442">
        <f t="shared" si="192"/>
        <v>-0.21580837277324544</v>
      </c>
      <c r="AS442">
        <f t="shared" si="193"/>
        <v>0.35766387409483397</v>
      </c>
      <c r="AT442">
        <f t="shared" si="194"/>
        <v>0.5734722468680794</v>
      </c>
      <c r="AU442">
        <f t="shared" si="195"/>
        <v>0.34242029797933965</v>
      </c>
    </row>
    <row r="443" spans="1:47" x14ac:dyDescent="0.25">
      <c r="A443" s="4">
        <f>DATE(2022,11,18)</f>
        <v>44883</v>
      </c>
      <c r="B443">
        <v>-0.56154691315854932</v>
      </c>
      <c r="C443">
        <v>46.290398600419543</v>
      </c>
      <c r="D443">
        <v>0.16488216561446323</v>
      </c>
      <c r="E443">
        <f t="shared" si="168"/>
        <v>-0.60526639113057346</v>
      </c>
      <c r="F443">
        <f t="shared" si="169"/>
        <v>-0.19065869117337583</v>
      </c>
      <c r="G443">
        <f t="shared" si="170"/>
        <v>-0.99159738201448955</v>
      </c>
      <c r="H443" s="2" t="str">
        <f t="shared" si="171"/>
        <v>Higher</v>
      </c>
      <c r="I443" s="2" t="str">
        <f t="shared" si="172"/>
        <v>Lower</v>
      </c>
      <c r="J443" s="2" t="str">
        <f t="shared" si="173"/>
        <v>Lower</v>
      </c>
      <c r="K443" s="2" t="str">
        <f t="shared" si="174"/>
        <v>Higher</v>
      </c>
      <c r="L443" s="2" t="str">
        <f t="shared" si="175"/>
        <v>Lower</v>
      </c>
      <c r="M443" s="2" t="str">
        <f t="shared" si="176"/>
        <v>Higher</v>
      </c>
      <c r="N443" s="2" t="str">
        <f t="shared" si="177"/>
        <v>Higher</v>
      </c>
      <c r="O443" s="2" t="str">
        <f t="shared" si="178"/>
        <v>Lower</v>
      </c>
      <c r="P443" s="2" t="str">
        <f t="shared" si="179"/>
        <v>Lower</v>
      </c>
      <c r="X443" s="4">
        <f>DATE(2022,11,18)</f>
        <v>44883</v>
      </c>
      <c r="Y443">
        <v>19.215530454090697</v>
      </c>
      <c r="Z443">
        <v>45.617945259013254</v>
      </c>
      <c r="AA443">
        <v>72.72</v>
      </c>
      <c r="AB443">
        <v>115.509</v>
      </c>
      <c r="AC443">
        <f t="shared" si="180"/>
        <v>-3.5096061653523171E-2</v>
      </c>
      <c r="AD443">
        <f t="shared" si="181"/>
        <v>0.16588209645969823</v>
      </c>
      <c r="AE443">
        <f t="shared" si="182"/>
        <v>0.20097815811322139</v>
      </c>
      <c r="AF443">
        <f t="shared" si="183"/>
        <v>1.075907980792336</v>
      </c>
      <c r="AH443">
        <f t="shared" si="184"/>
        <v>6.1536065658068136E-2</v>
      </c>
      <c r="AI443">
        <f t="shared" si="185"/>
        <v>1.687623264273011E-2</v>
      </c>
      <c r="AJ443">
        <f t="shared" si="186"/>
        <v>-4.4659833015338025E-2</v>
      </c>
      <c r="AK443">
        <f t="shared" si="187"/>
        <v>-0.2451129774780812</v>
      </c>
      <c r="AM443">
        <f t="shared" si="188"/>
        <v>-0.21088500302007282</v>
      </c>
      <c r="AN443">
        <f t="shared" si="189"/>
        <v>-1.0772296623913835</v>
      </c>
      <c r="AO443">
        <f t="shared" si="190"/>
        <v>-0.86634465937131067</v>
      </c>
      <c r="AP443">
        <f t="shared" si="191"/>
        <v>-2.4095767522948983</v>
      </c>
      <c r="AR443">
        <f t="shared" si="192"/>
        <v>-0.23413898497650426</v>
      </c>
      <c r="AS443">
        <f t="shared" si="193"/>
        <v>0.41342138265108924</v>
      </c>
      <c r="AT443">
        <f t="shared" si="194"/>
        <v>0.6475603676275935</v>
      </c>
      <c r="AU443">
        <f t="shared" si="195"/>
        <v>0.57494411230986675</v>
      </c>
    </row>
    <row r="444" spans="1:47" x14ac:dyDescent="0.25">
      <c r="A444" s="4">
        <f>DATE(2022,11,17)</f>
        <v>44882</v>
      </c>
      <c r="B444">
        <v>-0.48285239533845625</v>
      </c>
      <c r="C444">
        <v>46.112532395891094</v>
      </c>
      <c r="D444">
        <v>0.21596004463406937</v>
      </c>
      <c r="E444">
        <f t="shared" si="168"/>
        <v>-0.51202086701356841</v>
      </c>
      <c r="F444">
        <f t="shared" si="169"/>
        <v>-0.20364087155338406</v>
      </c>
      <c r="G444">
        <f t="shared" si="170"/>
        <v>-0.82331818895500075</v>
      </c>
      <c r="H444" s="2" t="str">
        <f t="shared" si="171"/>
        <v>Higher</v>
      </c>
      <c r="I444" s="2" t="str">
        <f t="shared" si="172"/>
        <v>Lower</v>
      </c>
      <c r="J444" s="2" t="str">
        <f t="shared" si="173"/>
        <v>Lower</v>
      </c>
      <c r="K444" s="2" t="str">
        <f t="shared" si="174"/>
        <v>Higher</v>
      </c>
      <c r="L444" s="2" t="str">
        <f t="shared" si="175"/>
        <v>Lower</v>
      </c>
      <c r="M444" s="2" t="str">
        <f t="shared" si="176"/>
        <v>Higher</v>
      </c>
      <c r="N444" s="2" t="str">
        <f t="shared" si="177"/>
        <v>Higher</v>
      </c>
      <c r="O444" s="2" t="str">
        <f t="shared" si="178"/>
        <v>Lower</v>
      </c>
      <c r="P444" s="2" t="str">
        <f t="shared" si="179"/>
        <v>Lower</v>
      </c>
      <c r="X444" s="4">
        <f>DATE(2022,11,17)</f>
        <v>44882</v>
      </c>
      <c r="Y444">
        <v>20.113894674638967</v>
      </c>
      <c r="Z444">
        <v>44.140864193025571</v>
      </c>
      <c r="AA444">
        <v>72.849999999999994</v>
      </c>
      <c r="AB444">
        <v>112.556</v>
      </c>
      <c r="AC444">
        <f t="shared" si="180"/>
        <v>1.7517049250715809E-3</v>
      </c>
      <c r="AD444">
        <f t="shared" si="181"/>
        <v>-7.9289644098852613E-3</v>
      </c>
      <c r="AE444">
        <f t="shared" si="182"/>
        <v>-9.6806693349568429E-3</v>
      </c>
      <c r="AF444">
        <f t="shared" si="183"/>
        <v>-0.11045394477745368</v>
      </c>
      <c r="AH444">
        <f t="shared" si="184"/>
        <v>8.3113076467385971E-2</v>
      </c>
      <c r="AI444">
        <f t="shared" si="185"/>
        <v>-0.12189302183768659</v>
      </c>
      <c r="AJ444">
        <f t="shared" si="186"/>
        <v>-0.20500609830507255</v>
      </c>
      <c r="AK444">
        <f t="shared" si="187"/>
        <v>-0.75832693217093483</v>
      </c>
      <c r="AM444">
        <f t="shared" si="188"/>
        <v>-0.20158124353776016</v>
      </c>
      <c r="AN444">
        <f t="shared" si="189"/>
        <v>-1.0492791362102396</v>
      </c>
      <c r="AO444">
        <f t="shared" si="190"/>
        <v>-0.84769789267247941</v>
      </c>
      <c r="AP444">
        <f t="shared" si="191"/>
        <v>-2.3869459143326979</v>
      </c>
      <c r="AR444">
        <f t="shared" si="192"/>
        <v>-0.22308864246288923</v>
      </c>
      <c r="AS444">
        <f t="shared" si="193"/>
        <v>0.41987238722725317</v>
      </c>
      <c r="AT444">
        <f t="shared" si="194"/>
        <v>0.64296102969014246</v>
      </c>
      <c r="AU444">
        <f t="shared" si="195"/>
        <v>0.56378307881906486</v>
      </c>
    </row>
    <row r="445" spans="1:47" x14ac:dyDescent="0.25">
      <c r="A445" s="4">
        <f>DATE(2022,11,16)</f>
        <v>44881</v>
      </c>
      <c r="B445">
        <v>-0.32541312241799747</v>
      </c>
      <c r="C445">
        <v>48.253643553517719</v>
      </c>
      <c r="D445">
        <v>0.35240050263050632</v>
      </c>
      <c r="E445">
        <f t="shared" si="168"/>
        <v>-0.33457411714371182</v>
      </c>
      <c r="F445">
        <f t="shared" si="169"/>
        <v>-5.0892723593541278E-3</v>
      </c>
      <c r="G445">
        <f t="shared" si="170"/>
        <v>-0.3881280083063795</v>
      </c>
      <c r="H445" s="2" t="str">
        <f t="shared" si="171"/>
        <v>Higher</v>
      </c>
      <c r="I445" s="2" t="str">
        <f t="shared" si="172"/>
        <v>Lower</v>
      </c>
      <c r="J445" s="2" t="str">
        <f t="shared" si="173"/>
        <v>Lower</v>
      </c>
      <c r="K445" s="2" t="str">
        <f t="shared" si="174"/>
        <v>Higher</v>
      </c>
      <c r="L445" s="2" t="str">
        <f t="shared" si="175"/>
        <v>Lower</v>
      </c>
      <c r="M445" s="2" t="str">
        <f t="shared" si="176"/>
        <v>Higher</v>
      </c>
      <c r="N445" s="2" t="str">
        <f t="shared" si="177"/>
        <v>Higher</v>
      </c>
      <c r="O445" s="2" t="str">
        <f t="shared" si="178"/>
        <v>Lower</v>
      </c>
      <c r="P445" s="2" t="str">
        <f t="shared" si="179"/>
        <v>Lower</v>
      </c>
      <c r="X445" s="4">
        <f>DATE(2022,11,16)</f>
        <v>44881</v>
      </c>
      <c r="Y445">
        <v>21.398038051372424</v>
      </c>
      <c r="Z445">
        <v>44.653448804694548</v>
      </c>
      <c r="AA445">
        <v>74.327500000000001</v>
      </c>
      <c r="AB445">
        <v>113.9</v>
      </c>
      <c r="AC445">
        <f t="shared" si="180"/>
        <v>7.766111425856561E-3</v>
      </c>
      <c r="AD445">
        <f t="shared" si="181"/>
        <v>6.6595267349378127E-3</v>
      </c>
      <c r="AE445">
        <f t="shared" si="182"/>
        <v>-1.1065846909187483E-3</v>
      </c>
      <c r="AF445">
        <f t="shared" si="183"/>
        <v>-6.2287939565462781E-2</v>
      </c>
      <c r="AH445">
        <f t="shared" si="184"/>
        <v>9.1697594961657677E-2</v>
      </c>
      <c r="AI445">
        <f t="shared" si="185"/>
        <v>1.2278763870156003E-2</v>
      </c>
      <c r="AJ445">
        <f t="shared" si="186"/>
        <v>-7.9418831091501677E-2</v>
      </c>
      <c r="AK445">
        <f t="shared" si="187"/>
        <v>-0.35636733726552972</v>
      </c>
      <c r="AM445">
        <f t="shared" si="188"/>
        <v>-0.18642778735421819</v>
      </c>
      <c r="AN445">
        <f t="shared" si="189"/>
        <v>-0.94194649854730939</v>
      </c>
      <c r="AO445">
        <f t="shared" si="190"/>
        <v>-0.75551871119309122</v>
      </c>
      <c r="AP445">
        <f t="shared" si="191"/>
        <v>-2.1890845572089868</v>
      </c>
      <c r="AR445">
        <f t="shared" si="192"/>
        <v>-0.21721298010995888</v>
      </c>
      <c r="AS445">
        <f t="shared" si="193"/>
        <v>0.41995500729792729</v>
      </c>
      <c r="AT445">
        <f t="shared" si="194"/>
        <v>0.63716798740788616</v>
      </c>
      <c r="AU445">
        <f t="shared" si="195"/>
        <v>0.54893206176027154</v>
      </c>
    </row>
    <row r="446" spans="1:47" x14ac:dyDescent="0.25">
      <c r="A446" s="4">
        <f>DATE(2022,11,15)</f>
        <v>44880</v>
      </c>
      <c r="B446">
        <v>-0.16722636219193943</v>
      </c>
      <c r="C446">
        <v>55.998687154589248</v>
      </c>
      <c r="D446">
        <v>0.59863510110756346</v>
      </c>
      <c r="E446">
        <f t="shared" si="168"/>
        <v>-0.15826114729026178</v>
      </c>
      <c r="F446">
        <f t="shared" si="169"/>
        <v>0.71258123598092771</v>
      </c>
      <c r="G446">
        <f t="shared" si="170"/>
        <v>0.39840240095830581</v>
      </c>
      <c r="H446" s="2" t="str">
        <f t="shared" si="171"/>
        <v>Higher</v>
      </c>
      <c r="I446" s="2" t="str">
        <f t="shared" si="172"/>
        <v>Lower</v>
      </c>
      <c r="J446" s="2" t="str">
        <f t="shared" si="173"/>
        <v>Lower</v>
      </c>
      <c r="K446" s="2" t="str">
        <f t="shared" si="174"/>
        <v>Higher</v>
      </c>
      <c r="L446" s="2" t="str">
        <f t="shared" si="175"/>
        <v>Lower</v>
      </c>
      <c r="M446" s="2" t="str">
        <f t="shared" si="176"/>
        <v>Higher</v>
      </c>
      <c r="N446" s="2" t="str">
        <f t="shared" si="177"/>
        <v>Higher</v>
      </c>
      <c r="O446" s="2" t="str">
        <f t="shared" si="178"/>
        <v>Lower</v>
      </c>
      <c r="P446" s="2" t="str">
        <f t="shared" si="179"/>
        <v>Lower</v>
      </c>
      <c r="X446" s="4">
        <f>DATE(2022,11,15)</f>
        <v>44880</v>
      </c>
      <c r="Y446">
        <v>23.540907783733864</v>
      </c>
      <c r="Z446">
        <v>48.635264861493624</v>
      </c>
      <c r="AA446">
        <v>76.137500000000003</v>
      </c>
      <c r="AB446">
        <v>121.50425</v>
      </c>
      <c r="AC446">
        <f t="shared" si="180"/>
        <v>-2.9835598598061358E-3</v>
      </c>
      <c r="AD446">
        <f t="shared" si="181"/>
        <v>2.8019629733701812E-2</v>
      </c>
      <c r="AE446">
        <f t="shared" si="182"/>
        <v>3.1003189593507948E-2</v>
      </c>
      <c r="AF446">
        <f t="shared" si="183"/>
        <v>0.11901052130783647</v>
      </c>
      <c r="AH446">
        <f t="shared" si="184"/>
        <v>0.11878501506001658</v>
      </c>
      <c r="AI446">
        <f t="shared" si="185"/>
        <v>7.0598748416664234E-2</v>
      </c>
      <c r="AJ446">
        <f t="shared" si="186"/>
        <v>-4.8186266643352349E-2</v>
      </c>
      <c r="AK446">
        <f t="shared" si="187"/>
        <v>-0.25618920997773315</v>
      </c>
      <c r="AM446">
        <f t="shared" si="188"/>
        <v>-0.17175865944051413</v>
      </c>
      <c r="AN446">
        <f t="shared" si="189"/>
        <v>-0.79494427755454822</v>
      </c>
      <c r="AO446">
        <f t="shared" si="190"/>
        <v>-0.62318561811403406</v>
      </c>
      <c r="AP446">
        <f t="shared" si="191"/>
        <v>-1.890744842830296</v>
      </c>
      <c r="AR446">
        <f t="shared" si="192"/>
        <v>-0.24113860273411764</v>
      </c>
      <c r="AS446">
        <f t="shared" si="193"/>
        <v>0.44298403751419513</v>
      </c>
      <c r="AT446">
        <f t="shared" si="194"/>
        <v>0.68412264024831271</v>
      </c>
      <c r="AU446">
        <f t="shared" si="195"/>
        <v>0.69687129101720313</v>
      </c>
    </row>
    <row r="447" spans="1:47" x14ac:dyDescent="0.25">
      <c r="A447" s="4">
        <f>DATE(2022,11,14)</f>
        <v>44879</v>
      </c>
      <c r="B447">
        <v>-0.24931363233591108</v>
      </c>
      <c r="C447">
        <v>52.923627085280501</v>
      </c>
      <c r="D447">
        <v>0.53269232434238911</v>
      </c>
      <c r="E447">
        <f t="shared" si="168"/>
        <v>-0.25391441023320283</v>
      </c>
      <c r="F447">
        <f t="shared" si="169"/>
        <v>0.42081369666884538</v>
      </c>
      <c r="G447">
        <f t="shared" si="170"/>
        <v>0.17934691267204325</v>
      </c>
      <c r="H447" s="2" t="str">
        <f t="shared" si="171"/>
        <v>Higher</v>
      </c>
      <c r="I447" s="2" t="str">
        <f t="shared" si="172"/>
        <v>Lower</v>
      </c>
      <c r="J447" s="2" t="str">
        <f t="shared" si="173"/>
        <v>Lower</v>
      </c>
      <c r="K447" s="2" t="str">
        <f t="shared" si="174"/>
        <v>Higher</v>
      </c>
      <c r="L447" s="2" t="str">
        <f t="shared" si="175"/>
        <v>Lower</v>
      </c>
      <c r="M447" s="2" t="str">
        <f t="shared" si="176"/>
        <v>Higher</v>
      </c>
      <c r="N447" s="2" t="str">
        <f t="shared" si="177"/>
        <v>Higher</v>
      </c>
      <c r="O447" s="2" t="str">
        <f t="shared" si="178"/>
        <v>Lower</v>
      </c>
      <c r="P447" s="2" t="str">
        <f t="shared" si="179"/>
        <v>Lower</v>
      </c>
      <c r="X447" s="4">
        <f>DATE(2022,11,14)</f>
        <v>44879</v>
      </c>
      <c r="Y447">
        <v>22.421322917726815</v>
      </c>
      <c r="Z447">
        <v>43.900908181716872</v>
      </c>
      <c r="AA447">
        <v>75.262500000000003</v>
      </c>
      <c r="AB447">
        <v>113.70399999999999</v>
      </c>
      <c r="AC447">
        <f t="shared" si="180"/>
        <v>-2.5158353318906475E-2</v>
      </c>
      <c r="AD447">
        <f t="shared" si="181"/>
        <v>3.6004193259125877E-2</v>
      </c>
      <c r="AE447">
        <f t="shared" si="182"/>
        <v>6.1162546578032356E-2</v>
      </c>
      <c r="AF447">
        <f t="shared" si="183"/>
        <v>0.28983357428664003</v>
      </c>
      <c r="AH447">
        <f t="shared" si="184"/>
        <v>0.10918779381331996</v>
      </c>
      <c r="AI447">
        <f t="shared" si="185"/>
        <v>-0.11825979371070597</v>
      </c>
      <c r="AJ447">
        <f t="shared" si="186"/>
        <v>-0.22744758752402594</v>
      </c>
      <c r="AK447">
        <f t="shared" si="187"/>
        <v>-0.82971577693189325</v>
      </c>
      <c r="AM447">
        <f t="shared" si="188"/>
        <v>-0.21665852640392572</v>
      </c>
      <c r="AN447">
        <f t="shared" si="189"/>
        <v>-0.88950876438698856</v>
      </c>
      <c r="AO447">
        <f t="shared" si="190"/>
        <v>-0.67285023798306287</v>
      </c>
      <c r="AP447">
        <f t="shared" si="191"/>
        <v>-2.021433639851304</v>
      </c>
      <c r="AR447">
        <f t="shared" si="192"/>
        <v>-0.2431057380962951</v>
      </c>
      <c r="AS447">
        <f t="shared" si="193"/>
        <v>0.36168541492232703</v>
      </c>
      <c r="AT447">
        <f t="shared" si="194"/>
        <v>0.60479115301862207</v>
      </c>
      <c r="AU447">
        <f t="shared" si="195"/>
        <v>0.45548223809429816</v>
      </c>
    </row>
    <row r="448" spans="1:47" x14ac:dyDescent="0.25">
      <c r="A448" s="4">
        <f>DATE(2022,11,11)</f>
        <v>44876</v>
      </c>
      <c r="B448">
        <v>-0.23401959253065763</v>
      </c>
      <c r="C448">
        <v>54.441298802850767</v>
      </c>
      <c r="D448">
        <v>0.58682834580874155</v>
      </c>
      <c r="E448">
        <f t="shared" si="168"/>
        <v>-0.24004584186009559</v>
      </c>
      <c r="F448">
        <f t="shared" si="169"/>
        <v>0.55451180975704228</v>
      </c>
      <c r="G448">
        <f t="shared" si="170"/>
        <v>0.34442980301754794</v>
      </c>
      <c r="H448" s="2" t="str">
        <f t="shared" si="171"/>
        <v>Higher</v>
      </c>
      <c r="I448" s="2" t="str">
        <f t="shared" si="172"/>
        <v>Lower</v>
      </c>
      <c r="J448" s="2" t="str">
        <f t="shared" si="173"/>
        <v>Lower</v>
      </c>
      <c r="K448" s="2" t="str">
        <f t="shared" si="174"/>
        <v>Higher</v>
      </c>
      <c r="L448" s="2" t="str">
        <f t="shared" si="175"/>
        <v>Lower</v>
      </c>
      <c r="M448" s="2" t="str">
        <f t="shared" si="176"/>
        <v>Higher</v>
      </c>
      <c r="N448" s="2" t="str">
        <f t="shared" si="177"/>
        <v>Higher</v>
      </c>
      <c r="O448" s="2" t="str">
        <f t="shared" si="178"/>
        <v>Lower</v>
      </c>
      <c r="P448" s="2" t="str">
        <f t="shared" si="179"/>
        <v>Lower</v>
      </c>
      <c r="X448" s="4">
        <f>DATE(2022,11,11)</f>
        <v>44876</v>
      </c>
      <c r="Y448">
        <v>23.1201651925325</v>
      </c>
      <c r="Z448">
        <v>35.485348359158699</v>
      </c>
      <c r="AA448">
        <v>75.317499999999995</v>
      </c>
      <c r="AB448">
        <v>97.852999999999994</v>
      </c>
      <c r="AC448">
        <f t="shared" si="180"/>
        <v>-2.3358343099291336E-2</v>
      </c>
      <c r="AD448">
        <f t="shared" si="181"/>
        <v>-0.15960317268499458</v>
      </c>
      <c r="AE448">
        <f t="shared" si="182"/>
        <v>-0.13624482958570325</v>
      </c>
      <c r="AF448">
        <f t="shared" si="183"/>
        <v>-0.82271016846068845</v>
      </c>
      <c r="AH448">
        <f t="shared" si="184"/>
        <v>0.10161674399508572</v>
      </c>
      <c r="AI448">
        <f t="shared" si="185"/>
        <v>-0.3723395780732196</v>
      </c>
      <c r="AJ448">
        <f t="shared" si="186"/>
        <v>-0.47395632206830529</v>
      </c>
      <c r="AK448">
        <f t="shared" si="187"/>
        <v>-1.6199864636608805</v>
      </c>
      <c r="AM448">
        <f t="shared" si="188"/>
        <v>-0.26029139643350541</v>
      </c>
      <c r="AN448">
        <f t="shared" si="189"/>
        <v>-0.91595343444106148</v>
      </c>
      <c r="AO448">
        <f t="shared" si="190"/>
        <v>-0.65566203800755607</v>
      </c>
      <c r="AP448">
        <f t="shared" si="191"/>
        <v>-1.993627260796222</v>
      </c>
      <c r="AR448">
        <f t="shared" si="192"/>
        <v>-0.24482079085042671</v>
      </c>
      <c r="AS448">
        <f t="shared" si="193"/>
        <v>0.17240896764516681</v>
      </c>
      <c r="AT448">
        <f t="shared" si="194"/>
        <v>0.41722975849559352</v>
      </c>
      <c r="AU448">
        <f t="shared" si="195"/>
        <v>-0.11888512636322036</v>
      </c>
    </row>
    <row r="449" spans="1:47" x14ac:dyDescent="0.25">
      <c r="A449" s="4">
        <f>DATE(2022,11,10)</f>
        <v>44875</v>
      </c>
      <c r="B449">
        <v>-0.27222887529985562</v>
      </c>
      <c r="C449">
        <v>48.1230371207186</v>
      </c>
      <c r="D449">
        <v>0.45341390645937785</v>
      </c>
      <c r="E449">
        <f t="shared" si="168"/>
        <v>-0.28618897779416519</v>
      </c>
      <c r="F449">
        <f t="shared" si="169"/>
        <v>-2.8300082705141245E-2</v>
      </c>
      <c r="G449">
        <f t="shared" si="170"/>
        <v>-7.977233593548376E-2</v>
      </c>
      <c r="H449" s="2" t="str">
        <f t="shared" si="171"/>
        <v>Higher</v>
      </c>
      <c r="I449" s="2" t="str">
        <f t="shared" si="172"/>
        <v>Lower</v>
      </c>
      <c r="J449" s="2" t="str">
        <f t="shared" si="173"/>
        <v>Lower</v>
      </c>
      <c r="K449" s="2" t="str">
        <f t="shared" si="174"/>
        <v>Higher</v>
      </c>
      <c r="L449" s="2" t="str">
        <f t="shared" si="175"/>
        <v>Lower</v>
      </c>
      <c r="M449" s="2" t="str">
        <f t="shared" si="176"/>
        <v>Higher</v>
      </c>
      <c r="N449" s="2" t="str">
        <f t="shared" si="177"/>
        <v>Higher</v>
      </c>
      <c r="O449" s="2" t="str">
        <f t="shared" si="178"/>
        <v>Lower</v>
      </c>
      <c r="P449" s="2" t="str">
        <f t="shared" si="179"/>
        <v>Lower</v>
      </c>
      <c r="X449" s="4">
        <f>DATE(2022,11,10)</f>
        <v>44875</v>
      </c>
      <c r="Y449">
        <v>19.929228220541745</v>
      </c>
      <c r="Z449">
        <v>41.122613985884357</v>
      </c>
      <c r="AA449">
        <v>72.722499999999997</v>
      </c>
      <c r="AB449">
        <v>113.452</v>
      </c>
      <c r="AC449">
        <f t="shared" si="180"/>
        <v>-5.1031993105687519E-2</v>
      </c>
      <c r="AD449">
        <f t="shared" si="181"/>
        <v>-0.10048757551972069</v>
      </c>
      <c r="AE449">
        <f t="shared" si="182"/>
        <v>-4.9455582414033174E-2</v>
      </c>
      <c r="AF449">
        <f t="shared" si="183"/>
        <v>-0.33416189100203775</v>
      </c>
      <c r="AH449">
        <f t="shared" si="184"/>
        <v>6.3729836786213467E-2</v>
      </c>
      <c r="AI449">
        <f t="shared" si="185"/>
        <v>-0.30433173293284682</v>
      </c>
      <c r="AJ449">
        <f t="shared" si="186"/>
        <v>-0.36806156971906029</v>
      </c>
      <c r="AK449">
        <f t="shared" si="187"/>
        <v>-1.2870438742480159</v>
      </c>
      <c r="AM449">
        <f t="shared" si="188"/>
        <v>-0.27318197638334285</v>
      </c>
      <c r="AN449">
        <f t="shared" si="189"/>
        <v>-0.75343369088141321</v>
      </c>
      <c r="AO449">
        <f t="shared" si="190"/>
        <v>-0.48025171449807036</v>
      </c>
      <c r="AP449">
        <f t="shared" si="191"/>
        <v>-1.5828969922727585</v>
      </c>
      <c r="AR449">
        <f t="shared" si="192"/>
        <v>-0.26104913111739891</v>
      </c>
      <c r="AS449">
        <f t="shared" si="193"/>
        <v>0.35663276210543449</v>
      </c>
      <c r="AT449">
        <f t="shared" si="194"/>
        <v>0.6176818932228334</v>
      </c>
      <c r="AU449">
        <f t="shared" si="195"/>
        <v>0.50020997502727349</v>
      </c>
    </row>
    <row r="450" spans="1:47" x14ac:dyDescent="0.25">
      <c r="A450" s="4">
        <f>DATE(2022,11,9)</f>
        <v>44874</v>
      </c>
      <c r="B450">
        <v>-4.7278570932647757E-2</v>
      </c>
      <c r="C450">
        <v>47.419263227374742</v>
      </c>
      <c r="D450">
        <v>0.45048865638798585</v>
      </c>
      <c r="E450">
        <f t="shared" si="168"/>
        <v>-3.7695701259742656E-2</v>
      </c>
      <c r="F450">
        <f t="shared" si="169"/>
        <v>-9.8953073820164564E-2</v>
      </c>
      <c r="G450">
        <f t="shared" si="170"/>
        <v>-9.4748216976899668E-2</v>
      </c>
      <c r="H450" s="2" t="str">
        <f t="shared" si="171"/>
        <v>Higher</v>
      </c>
      <c r="I450" s="2" t="str">
        <f t="shared" si="172"/>
        <v>Lower</v>
      </c>
      <c r="J450" s="2" t="str">
        <f t="shared" si="173"/>
        <v>Lower</v>
      </c>
      <c r="K450" s="2" t="str">
        <f t="shared" si="174"/>
        <v>Higher</v>
      </c>
      <c r="L450" s="2" t="str">
        <f t="shared" si="175"/>
        <v>Lower</v>
      </c>
      <c r="M450" s="2" t="str">
        <f t="shared" si="176"/>
        <v>Higher</v>
      </c>
      <c r="N450" s="2" t="str">
        <f t="shared" si="177"/>
        <v>Higher</v>
      </c>
      <c r="O450" s="2" t="str">
        <f t="shared" si="178"/>
        <v>Lower</v>
      </c>
      <c r="P450" s="2" t="str">
        <f t="shared" si="179"/>
        <v>Lower</v>
      </c>
      <c r="X450" s="4">
        <f>DATE(2022,11,9)</f>
        <v>44874</v>
      </c>
      <c r="Y450">
        <v>21.610917798498406</v>
      </c>
      <c r="Z450">
        <v>40.950621965094697</v>
      </c>
      <c r="AA450">
        <v>73.752499999999998</v>
      </c>
      <c r="AB450">
        <v>113.14400000000001</v>
      </c>
      <c r="AC450">
        <f t="shared" si="180"/>
        <v>-4.3252853390209567E-2</v>
      </c>
      <c r="AD450">
        <f t="shared" si="181"/>
        <v>-0.10653267010477885</v>
      </c>
      <c r="AE450">
        <f t="shared" si="182"/>
        <v>-6.3279816714569281E-2</v>
      </c>
      <c r="AF450">
        <f t="shared" si="183"/>
        <v>-0.41169171459099435</v>
      </c>
      <c r="AH450">
        <f t="shared" si="184"/>
        <v>9.949845774662408E-2</v>
      </c>
      <c r="AI450">
        <f t="shared" si="185"/>
        <v>-0.34769926699519338</v>
      </c>
      <c r="AJ450">
        <f t="shared" si="186"/>
        <v>-0.44719772474181746</v>
      </c>
      <c r="AK450">
        <f t="shared" si="187"/>
        <v>-1.5454526243063287</v>
      </c>
      <c r="AM450">
        <f t="shared" si="188"/>
        <v>-0.25387227266153362</v>
      </c>
      <c r="AN450">
        <f t="shared" si="189"/>
        <v>-0.69114330041411576</v>
      </c>
      <c r="AO450">
        <f t="shared" si="190"/>
        <v>-0.43727102775258214</v>
      </c>
      <c r="AP450">
        <f t="shared" si="191"/>
        <v>-1.486527887468267</v>
      </c>
      <c r="AR450">
        <f t="shared" si="192"/>
        <v>-0.23360355206566083</v>
      </c>
      <c r="AS450">
        <f t="shared" si="193"/>
        <v>0.37808667719409927</v>
      </c>
      <c r="AT450">
        <f t="shared" si="194"/>
        <v>0.61169022925976013</v>
      </c>
      <c r="AU450">
        <f t="shared" si="195"/>
        <v>0.48476302482384664</v>
      </c>
    </row>
    <row r="451" spans="1:47" x14ac:dyDescent="0.25">
      <c r="A451" s="4">
        <f>DATE(2022,11,8)</f>
        <v>44873</v>
      </c>
      <c r="B451">
        <v>0.32318330848467069</v>
      </c>
      <c r="C451">
        <v>55.35474966816485</v>
      </c>
      <c r="D451">
        <v>0.63356513107927426</v>
      </c>
      <c r="E451">
        <f t="shared" si="168"/>
        <v>0.37516816409038822</v>
      </c>
      <c r="F451">
        <f t="shared" si="169"/>
        <v>0.618176675785437</v>
      </c>
      <c r="G451">
        <f t="shared" si="170"/>
        <v>0.47331024031661934</v>
      </c>
      <c r="H451" s="2" t="str">
        <f t="shared" si="171"/>
        <v>Higher</v>
      </c>
      <c r="I451" s="2" t="str">
        <f t="shared" si="172"/>
        <v>Lower</v>
      </c>
      <c r="J451" s="2" t="str">
        <f t="shared" si="173"/>
        <v>Lower</v>
      </c>
      <c r="K451" s="2" t="str">
        <f t="shared" si="174"/>
        <v>Higher</v>
      </c>
      <c r="L451" s="2" t="str">
        <f t="shared" si="175"/>
        <v>Lower</v>
      </c>
      <c r="M451" s="2" t="str">
        <f t="shared" si="176"/>
        <v>Higher</v>
      </c>
      <c r="N451" s="2" t="str">
        <f t="shared" si="177"/>
        <v>Higher</v>
      </c>
      <c r="O451" s="2" t="str">
        <f t="shared" si="178"/>
        <v>Lower</v>
      </c>
      <c r="P451" s="2" t="str">
        <f t="shared" si="179"/>
        <v>Lower</v>
      </c>
      <c r="X451" s="4">
        <f>DATE(2022,11,8)</f>
        <v>44873</v>
      </c>
      <c r="Y451">
        <v>23.768109749432988</v>
      </c>
      <c r="Z451">
        <v>42.838079040517933</v>
      </c>
      <c r="AA451">
        <v>76.365000000000009</v>
      </c>
      <c r="AB451">
        <v>118.14700000000001</v>
      </c>
      <c r="AC451">
        <f t="shared" si="180"/>
        <v>-1.417264653591716E-2</v>
      </c>
      <c r="AD451">
        <f t="shared" si="181"/>
        <v>1.6677010219608233E-2</v>
      </c>
      <c r="AE451">
        <f t="shared" si="182"/>
        <v>3.0849656755525395E-2</v>
      </c>
      <c r="AF451">
        <f t="shared" si="183"/>
        <v>0.11997267888589135</v>
      </c>
      <c r="AH451">
        <f t="shared" si="184"/>
        <v>0.13933808145410795</v>
      </c>
      <c r="AI451">
        <f t="shared" si="185"/>
        <v>-0.28292031524581795</v>
      </c>
      <c r="AJ451">
        <f t="shared" si="186"/>
        <v>-0.42225839669992593</v>
      </c>
      <c r="AK451">
        <f t="shared" si="187"/>
        <v>-1.4718019285181541</v>
      </c>
      <c r="AM451">
        <f t="shared" si="188"/>
        <v>-0.18324323846456381</v>
      </c>
      <c r="AN451">
        <f t="shared" si="189"/>
        <v>-0.64822478401954697</v>
      </c>
      <c r="AO451">
        <f t="shared" si="190"/>
        <v>-0.46498154555498317</v>
      </c>
      <c r="AP451">
        <f t="shared" si="191"/>
        <v>-1.5602792558745273</v>
      </c>
      <c r="AR451">
        <f t="shared" si="192"/>
        <v>-0.15350507483086859</v>
      </c>
      <c r="AS451">
        <f t="shared" si="193"/>
        <v>0.43622836890333549</v>
      </c>
      <c r="AT451">
        <f t="shared" si="194"/>
        <v>0.58973344373420411</v>
      </c>
      <c r="AU451">
        <f t="shared" si="195"/>
        <v>0.42034701292014526</v>
      </c>
    </row>
    <row r="452" spans="1:47" x14ac:dyDescent="0.25">
      <c r="A452" s="4">
        <f>DATE(2022,11,7)</f>
        <v>44872</v>
      </c>
      <c r="B452">
        <v>0.52912067811863639</v>
      </c>
      <c r="C452">
        <v>59.351281987567162</v>
      </c>
      <c r="D452">
        <v>0.72137105582786076</v>
      </c>
      <c r="E452">
        <f t="shared" si="168"/>
        <v>0.60598312678170474</v>
      </c>
      <c r="F452">
        <f t="shared" si="169"/>
        <v>0.98228757890084362</v>
      </c>
      <c r="G452">
        <f t="shared" si="170"/>
        <v>0.74736591475926872</v>
      </c>
      <c r="H452" s="2" t="str">
        <f t="shared" si="171"/>
        <v>Higher</v>
      </c>
      <c r="I452" s="2" t="str">
        <f t="shared" si="172"/>
        <v>Lower</v>
      </c>
      <c r="J452" s="2" t="str">
        <f t="shared" si="173"/>
        <v>Lower</v>
      </c>
      <c r="K452" s="2" t="str">
        <f t="shared" si="174"/>
        <v>Higher</v>
      </c>
      <c r="L452" s="2" t="str">
        <f t="shared" si="175"/>
        <v>Lower</v>
      </c>
      <c r="M452" s="2" t="str">
        <f t="shared" si="176"/>
        <v>Higher</v>
      </c>
      <c r="N452" s="2" t="str">
        <f t="shared" si="177"/>
        <v>Higher</v>
      </c>
      <c r="O452" s="2" t="str">
        <f t="shared" si="178"/>
        <v>Lower</v>
      </c>
      <c r="P452" s="2" t="str">
        <f t="shared" si="179"/>
        <v>Lower</v>
      </c>
      <c r="X452" s="4">
        <f>DATE(2022,11,7)</f>
        <v>44872</v>
      </c>
      <c r="Y452">
        <v>24.948068231614108</v>
      </c>
      <c r="Z452">
        <v>38.376061171900993</v>
      </c>
      <c r="AA452">
        <v>77.180000000000007</v>
      </c>
      <c r="AB452">
        <v>109.68300000000001</v>
      </c>
      <c r="AC452">
        <f t="shared" si="180"/>
        <v>-3.6167489021041846E-2</v>
      </c>
      <c r="AD452">
        <f t="shared" si="181"/>
        <v>-0.11744766969146689</v>
      </c>
      <c r="AE452">
        <f t="shared" si="182"/>
        <v>-8.1280180670425042E-2</v>
      </c>
      <c r="AF452">
        <f t="shared" si="183"/>
        <v>-0.51201804746714819</v>
      </c>
      <c r="AH452">
        <f t="shared" si="184"/>
        <v>0.13902530005453304</v>
      </c>
      <c r="AI452">
        <f t="shared" si="185"/>
        <v>-0.34012415559505543</v>
      </c>
      <c r="AJ452">
        <f t="shared" si="186"/>
        <v>-0.47914945564958844</v>
      </c>
      <c r="AK452">
        <f t="shared" si="187"/>
        <v>-1.6617404976467578</v>
      </c>
      <c r="AM452">
        <f t="shared" si="188"/>
        <v>-0.15624931648417947</v>
      </c>
      <c r="AN452">
        <f t="shared" si="189"/>
        <v>-0.69653303421642798</v>
      </c>
      <c r="AO452">
        <f t="shared" si="190"/>
        <v>-0.54028371773224848</v>
      </c>
      <c r="AP452">
        <f t="shared" si="191"/>
        <v>-1.7511267627438922</v>
      </c>
      <c r="AR452">
        <f t="shared" si="192"/>
        <v>-0.1439836705571014</v>
      </c>
      <c r="AS452">
        <f t="shared" si="193"/>
        <v>0.25828399929683893</v>
      </c>
      <c r="AT452">
        <f t="shared" si="194"/>
        <v>0.40226766985394036</v>
      </c>
      <c r="AU452">
        <f t="shared" si="195"/>
        <v>-0.15106150815982997</v>
      </c>
    </row>
    <row r="453" spans="1:47" x14ac:dyDescent="0.25">
      <c r="A453" s="4">
        <f>DATE(2022,11,4)</f>
        <v>44869</v>
      </c>
      <c r="B453">
        <v>0.64691612714587365</v>
      </c>
      <c r="C453">
        <v>57.077406043676746</v>
      </c>
      <c r="D453">
        <v>0.69069787525612258</v>
      </c>
      <c r="E453">
        <f t="shared" ref="E453:E516" si="196">(B453-AVERAGE(B453:B582))/_xlfn.STDEV.S(B453:B582)</f>
        <v>0.73818780909145765</v>
      </c>
      <c r="F453">
        <f t="shared" ref="F453:F516" si="197">(C453-AVERAGE(C453:C582))/_xlfn.STDEV.S(C453:C582)</f>
        <v>0.77917279899102132</v>
      </c>
      <c r="G453">
        <f t="shared" ref="G453:G516" si="198">(D453-AVERAGE(D453:D582))/_xlfn.STDEV.S(D453:D582)</f>
        <v>0.65229720841499572</v>
      </c>
      <c r="H453" s="2" t="str">
        <f t="shared" ref="H453:H516" si="199">IF(AVERAGEA(C453:C473)&gt;AVERAGE(C474:C494),"Higher","Lower")</f>
        <v>Higher</v>
      </c>
      <c r="I453" s="2" t="str">
        <f t="shared" ref="I453:I516" si="200">IF(AVERAGEA(C453:C508)&gt;AVERAGE(C509:C564),"Higher","Lower")</f>
        <v>Lower</v>
      </c>
      <c r="J453" s="2" t="str">
        <f t="shared" ref="J453:J516" si="201">IF(AVERAGEA(C453:C565)&gt;AVERAGE(C566:C678),"Higher","Lower")</f>
        <v>Lower</v>
      </c>
      <c r="K453" s="2" t="str">
        <f t="shared" ref="K453:K516" si="202">IF(AVERAGEA(B453:B473)&gt;AVERAGE(B474:B494),"Higher","Lower")</f>
        <v>Higher</v>
      </c>
      <c r="L453" s="2" t="str">
        <f t="shared" ref="L453:L516" si="203">IF(AVERAGEA(B453:B508)&gt;AVERAGE(B509:B564),"Higher","Lower")</f>
        <v>Lower</v>
      </c>
      <c r="M453" s="2" t="str">
        <f t="shared" ref="M453:M516" si="204">IF(AVERAGEA(B453:B565)&gt;AVERAGE(B566:B678),"Higher","Lower")</f>
        <v>Higher</v>
      </c>
      <c r="N453" s="2" t="str">
        <f t="shared" ref="N453:N516" si="205">IF(AVERAGEA(D453:D473)&gt;AVERAGE(D474:D494),"Higher","Lower")</f>
        <v>Higher</v>
      </c>
      <c r="O453" s="2" t="str">
        <f t="shared" ref="O453:O516" si="206">IF(AVERAGEA(D453:D508)&gt;AVERAGE(D509:D564),"Higher","Lower")</f>
        <v>Lower</v>
      </c>
      <c r="P453" s="2" t="str">
        <f t="shared" ref="P453:P516" si="207">IF(AVERAGEA(D453:D565)&gt;AVERAGE(D566:D678),"Higher","Lower")</f>
        <v>Lower</v>
      </c>
      <c r="X453" s="4">
        <f>DATE(2022,11,4)</f>
        <v>44869</v>
      </c>
      <c r="Y453">
        <v>26.392822028341683</v>
      </c>
      <c r="Z453">
        <v>40.129739584310961</v>
      </c>
      <c r="AA453">
        <v>77.097499999999997</v>
      </c>
      <c r="AB453">
        <v>114.786</v>
      </c>
      <c r="AC453">
        <f t="shared" ref="AC453:AC516" si="208">IFERROR(LN(AA453/AA458),"")</f>
        <v>-5.2490735345215041E-2</v>
      </c>
      <c r="AD453">
        <f t="shared" ref="AD453:AD516" si="209">IFERROR(LN(AB453/AB458),"")</f>
        <v>2.2394452151363761E-2</v>
      </c>
      <c r="AE453">
        <f t="shared" ref="AE453:AE516" si="210">IFERROR(AD453-AC453,"")</f>
        <v>7.4885187496578798E-2</v>
      </c>
      <c r="AF453">
        <f t="shared" ref="AF453:AF516" si="211">IFERROR((AE453-AVERAGEA(AE453:AE975))/_xlfn.STDEV.S(AE453:AE970),"")</f>
        <v>0.3701688229301649</v>
      </c>
      <c r="AH453">
        <f t="shared" ref="AH453:AH516" si="212">IFERROR(LN(AA453/AA473),"")</f>
        <v>0.10475180385685594</v>
      </c>
      <c r="AI453">
        <f t="shared" ref="AI453:AI516" si="213">IFERROR(LN(AB453/AB473),"")</f>
        <v>-0.30811252551274265</v>
      </c>
      <c r="AJ453">
        <f t="shared" ref="AJ453:AJ516" si="214">IFERROR(AI453-AH453,"")</f>
        <v>-0.4128643293695986</v>
      </c>
      <c r="AK453">
        <f t="shared" ref="AK453:AK516" si="215">IFERROR((AJ453-AVERAGEA(AJ453:AJ975))/_xlfn.STDEV.S(AJ453:AJ970),"")</f>
        <v>-1.4555686513027997</v>
      </c>
      <c r="AM453">
        <f t="shared" ref="AM453:AM516" si="216">IFERROR(LN(AA453/AA513),"")</f>
        <v>-0.13739483014056778</v>
      </c>
      <c r="AN453">
        <f t="shared" ref="AN453:AN516" si="217">IFERROR(LN(AB453/AB513),"")</f>
        <v>-0.58533077802247357</v>
      </c>
      <c r="AO453">
        <f t="shared" ref="AO453:AO516" si="218">IFERROR(AN453-AM453,"")</f>
        <v>-0.44793594788190583</v>
      </c>
      <c r="AP453">
        <f t="shared" ref="AP453:AP516" si="219">IFERROR((AO453-AVERAGEA(AO453:AO975))/_xlfn.STDEV.S(AO453:AO970),"")</f>
        <v>-1.5370756261900225</v>
      </c>
      <c r="AR453">
        <f t="shared" ref="AR453:AR516" si="220">IFERROR(LN(AA453/AA653),"")</f>
        <v>-0.14902809610026543</v>
      </c>
      <c r="AS453">
        <f t="shared" ref="AS453:AS516" si="221">IFERROR(LN(AB453/AB653),"")</f>
        <v>0.22060726211420617</v>
      </c>
      <c r="AT453">
        <f t="shared" ref="AT453:AT516" si="222">IFERROR(AS453-AR453,"")</f>
        <v>0.36963535821447158</v>
      </c>
      <c r="AU453">
        <f t="shared" ref="AU453:AU516" si="223">IFERROR((AT453-AVERAGEA(AT453:AT975))/_xlfn.STDEV.S(AT453:AT970),"")</f>
        <v>-0.24851469651535432</v>
      </c>
    </row>
    <row r="454" spans="1:47" x14ac:dyDescent="0.25">
      <c r="A454" s="4">
        <f>DATE(2022,11,3)</f>
        <v>44868</v>
      </c>
      <c r="B454">
        <v>0.8768143502983361</v>
      </c>
      <c r="C454">
        <v>56.918984402973742</v>
      </c>
      <c r="D454">
        <v>0.70463734757706442</v>
      </c>
      <c r="E454">
        <f t="shared" si="196"/>
        <v>0.99442732326643624</v>
      </c>
      <c r="F454">
        <f t="shared" si="197"/>
        <v>0.75470490929243195</v>
      </c>
      <c r="G454">
        <f t="shared" si="198"/>
        <v>0.68375800720789637</v>
      </c>
      <c r="H454" s="2" t="str">
        <f t="shared" si="199"/>
        <v>Higher</v>
      </c>
      <c r="I454" s="2" t="str">
        <f t="shared" si="200"/>
        <v>Lower</v>
      </c>
      <c r="J454" s="2" t="str">
        <f t="shared" si="201"/>
        <v>Lower</v>
      </c>
      <c r="K454" s="2" t="str">
        <f t="shared" si="202"/>
        <v>Higher</v>
      </c>
      <c r="L454" s="2" t="str">
        <f t="shared" si="203"/>
        <v>Lower</v>
      </c>
      <c r="M454" s="2" t="str">
        <f t="shared" si="204"/>
        <v>Higher</v>
      </c>
      <c r="N454" s="2" t="str">
        <f t="shared" si="205"/>
        <v>Higher</v>
      </c>
      <c r="O454" s="2" t="str">
        <f t="shared" si="206"/>
        <v>Lower</v>
      </c>
      <c r="P454" s="2" t="str">
        <f t="shared" si="207"/>
        <v>Lower</v>
      </c>
      <c r="X454" s="4">
        <f>DATE(2022,11,3)</f>
        <v>44868</v>
      </c>
      <c r="Y454">
        <v>25.480061323181641</v>
      </c>
      <c r="Z454">
        <v>44.032495298705157</v>
      </c>
      <c r="AA454">
        <v>76.53</v>
      </c>
      <c r="AB454">
        <v>125.44499999999999</v>
      </c>
      <c r="AC454">
        <f t="shared" si="208"/>
        <v>-3.2777177480586464E-2</v>
      </c>
      <c r="AD454">
        <f t="shared" si="209"/>
        <v>0.15545622031626366</v>
      </c>
      <c r="AE454">
        <f t="shared" si="210"/>
        <v>0.18823339779685011</v>
      </c>
      <c r="AF454">
        <f t="shared" si="211"/>
        <v>1.0119394755513653</v>
      </c>
      <c r="AH454">
        <f t="shared" si="212"/>
        <v>0.11483511143964037</v>
      </c>
      <c r="AI454">
        <f t="shared" si="213"/>
        <v>-0.33697887559486328</v>
      </c>
      <c r="AJ454">
        <f t="shared" si="214"/>
        <v>-0.45181398703450365</v>
      </c>
      <c r="AK454">
        <f t="shared" si="215"/>
        <v>-1.5885393097721547</v>
      </c>
      <c r="AM454">
        <f t="shared" si="216"/>
        <v>-0.12960365780287531</v>
      </c>
      <c r="AN454">
        <f t="shared" si="217"/>
        <v>-0.506199370563721</v>
      </c>
      <c r="AO454">
        <f t="shared" si="218"/>
        <v>-0.37659571276084569</v>
      </c>
      <c r="AP454">
        <f t="shared" si="219"/>
        <v>-1.371573289097809</v>
      </c>
      <c r="AR454">
        <f t="shared" si="220"/>
        <v>-0.15479447769697072</v>
      </c>
      <c r="AS454">
        <f t="shared" si="221"/>
        <v>0.31058983855609262</v>
      </c>
      <c r="AT454">
        <f t="shared" si="222"/>
        <v>0.46538431625306331</v>
      </c>
      <c r="AU454">
        <f t="shared" si="223"/>
        <v>4.676925421423208E-2</v>
      </c>
    </row>
    <row r="455" spans="1:47" x14ac:dyDescent="0.25">
      <c r="A455" s="4">
        <f>DATE(2022,11,2)</f>
        <v>44867</v>
      </c>
      <c r="B455">
        <v>1.1617795200232064</v>
      </c>
      <c r="C455">
        <v>57.962013765564521</v>
      </c>
      <c r="D455">
        <v>0.74520591054633556</v>
      </c>
      <c r="E455">
        <f t="shared" si="196"/>
        <v>1.319296202685954</v>
      </c>
      <c r="F455">
        <f t="shared" si="197"/>
        <v>0.84405211742389818</v>
      </c>
      <c r="G455">
        <f t="shared" si="198"/>
        <v>0.80260014215708542</v>
      </c>
      <c r="H455" s="2" t="str">
        <f t="shared" si="199"/>
        <v>Higher</v>
      </c>
      <c r="I455" s="2" t="str">
        <f t="shared" si="200"/>
        <v>Lower</v>
      </c>
      <c r="J455" s="2" t="str">
        <f t="shared" si="201"/>
        <v>Lower</v>
      </c>
      <c r="K455" s="2" t="str">
        <f t="shared" si="202"/>
        <v>Higher</v>
      </c>
      <c r="L455" s="2" t="str">
        <f t="shared" si="203"/>
        <v>Lower</v>
      </c>
      <c r="M455" s="2" t="str">
        <f t="shared" si="204"/>
        <v>Higher</v>
      </c>
      <c r="N455" s="2" t="str">
        <f t="shared" si="205"/>
        <v>Higher</v>
      </c>
      <c r="O455" s="2" t="str">
        <f t="shared" si="206"/>
        <v>Lower</v>
      </c>
      <c r="P455" s="2" t="str">
        <f t="shared" si="207"/>
        <v>Lower</v>
      </c>
      <c r="X455" s="4">
        <f>DATE(2022,11,2)</f>
        <v>44867</v>
      </c>
      <c r="Y455">
        <v>27.02479286447274</v>
      </c>
      <c r="Z455">
        <v>44.188988299261297</v>
      </c>
      <c r="AA455">
        <v>77.012499999999989</v>
      </c>
      <c r="AB455">
        <v>125.863</v>
      </c>
      <c r="AC455">
        <f t="shared" si="208"/>
        <v>8.8034477914357041E-3</v>
      </c>
      <c r="AD455">
        <f t="shared" si="209"/>
        <v>0.18773091564463479</v>
      </c>
      <c r="AE455">
        <f t="shared" si="210"/>
        <v>0.17892746785319907</v>
      </c>
      <c r="AF455">
        <f t="shared" si="211"/>
        <v>0.96275194985765911</v>
      </c>
      <c r="AH455">
        <f t="shared" si="212"/>
        <v>0.12431299315314166</v>
      </c>
      <c r="AI455">
        <f t="shared" si="213"/>
        <v>-0.32209535924531618</v>
      </c>
      <c r="AJ455">
        <f t="shared" si="214"/>
        <v>-0.44640835239845783</v>
      </c>
      <c r="AK455">
        <f t="shared" si="215"/>
        <v>-1.5789291531806362</v>
      </c>
      <c r="AM455">
        <f t="shared" si="216"/>
        <v>-0.10568833077303873</v>
      </c>
      <c r="AN455">
        <f t="shared" si="217"/>
        <v>-0.48960460864125144</v>
      </c>
      <c r="AO455">
        <f t="shared" si="218"/>
        <v>-0.3839162778682127</v>
      </c>
      <c r="AP455">
        <f t="shared" si="219"/>
        <v>-1.3964400231251843</v>
      </c>
      <c r="AR455">
        <f t="shared" si="220"/>
        <v>-0.13889355275961862</v>
      </c>
      <c r="AS455">
        <f t="shared" si="221"/>
        <v>0.32018379279303222</v>
      </c>
      <c r="AT455">
        <f t="shared" si="222"/>
        <v>0.45907734555265084</v>
      </c>
      <c r="AU455">
        <f t="shared" si="223"/>
        <v>3.0162165278789763E-2</v>
      </c>
    </row>
    <row r="456" spans="1:47" x14ac:dyDescent="0.25">
      <c r="A456" s="4">
        <f>DATE(2022,11,1)</f>
        <v>44866</v>
      </c>
      <c r="B456">
        <v>1.4630482686523081</v>
      </c>
      <c r="C456">
        <v>58.009089401051533</v>
      </c>
      <c r="D456">
        <v>0.77194233077715702</v>
      </c>
      <c r="E456">
        <f t="shared" si="196"/>
        <v>1.672723868088992</v>
      </c>
      <c r="F456">
        <f t="shared" si="197"/>
        <v>0.84520492231284217</v>
      </c>
      <c r="G456">
        <f t="shared" si="198"/>
        <v>0.87890790385668949</v>
      </c>
      <c r="H456" s="2" t="str">
        <f t="shared" si="199"/>
        <v>Higher</v>
      </c>
      <c r="I456" s="2" t="str">
        <f t="shared" si="200"/>
        <v>Lower</v>
      </c>
      <c r="J456" s="2" t="str">
        <f t="shared" si="201"/>
        <v>Lower</v>
      </c>
      <c r="K456" s="2" t="str">
        <f t="shared" si="202"/>
        <v>Higher</v>
      </c>
      <c r="L456" s="2" t="str">
        <f t="shared" si="203"/>
        <v>Higher</v>
      </c>
      <c r="M456" s="2" t="str">
        <f t="shared" si="204"/>
        <v>Higher</v>
      </c>
      <c r="N456" s="2" t="str">
        <f t="shared" si="205"/>
        <v>Higher</v>
      </c>
      <c r="O456" s="2" t="str">
        <f t="shared" si="206"/>
        <v>Lower</v>
      </c>
      <c r="P456" s="2" t="str">
        <f t="shared" si="207"/>
        <v>Lower</v>
      </c>
      <c r="X456" s="4">
        <f>DATE(2022,11,1)</f>
        <v>44866</v>
      </c>
      <c r="Y456">
        <v>28.427910552747814</v>
      </c>
      <c r="Z456">
        <v>39.575784769078012</v>
      </c>
      <c r="AA456">
        <v>77.454999999999998</v>
      </c>
      <c r="AB456">
        <v>116.193</v>
      </c>
      <c r="AC456">
        <f t="shared" si="208"/>
        <v>1.8930888076173019E-2</v>
      </c>
      <c r="AD456">
        <f t="shared" si="209"/>
        <v>0.15214454036975247</v>
      </c>
      <c r="AE456">
        <f t="shared" si="210"/>
        <v>0.13321365229357945</v>
      </c>
      <c r="AF456">
        <f t="shared" si="211"/>
        <v>0.70714759174863107</v>
      </c>
      <c r="AH456">
        <f t="shared" si="212"/>
        <v>0.1465355253301624</v>
      </c>
      <c r="AI456">
        <f t="shared" si="213"/>
        <v>-0.33203504397794248</v>
      </c>
      <c r="AJ456">
        <f t="shared" si="214"/>
        <v>-0.47857056930810488</v>
      </c>
      <c r="AK456">
        <f t="shared" si="215"/>
        <v>-1.6920695154931753</v>
      </c>
      <c r="AM456">
        <f t="shared" si="216"/>
        <v>-9.8497564221076625E-2</v>
      </c>
      <c r="AN456">
        <f t="shared" si="217"/>
        <v>-0.50320064481349824</v>
      </c>
      <c r="AO456">
        <f t="shared" si="218"/>
        <v>-0.4047030805924216</v>
      </c>
      <c r="AP456">
        <f t="shared" si="219"/>
        <v>-1.4540051748716851</v>
      </c>
      <c r="AR456">
        <f t="shared" si="220"/>
        <v>-0.11220874488933696</v>
      </c>
      <c r="AS456">
        <f t="shared" si="221"/>
        <v>0.21446361583113308</v>
      </c>
      <c r="AT456">
        <f t="shared" si="222"/>
        <v>0.32667236072047001</v>
      </c>
      <c r="AU456">
        <f t="shared" si="223"/>
        <v>-0.3715958890293688</v>
      </c>
    </row>
    <row r="457" spans="1:47" x14ac:dyDescent="0.25">
      <c r="A457" s="4">
        <f>DATE(2022,10,31)</f>
        <v>44865</v>
      </c>
      <c r="B457">
        <v>1.810080397425099</v>
      </c>
      <c r="C457">
        <v>66.096660053945186</v>
      </c>
      <c r="D457">
        <v>0.96396148967616724</v>
      </c>
      <c r="E457">
        <f t="shared" si="196"/>
        <v>2.0957498092810933</v>
      </c>
      <c r="F457">
        <f t="shared" si="197"/>
        <v>1.5731871067219352</v>
      </c>
      <c r="G457">
        <f t="shared" si="198"/>
        <v>1.462413627518288</v>
      </c>
      <c r="H457" s="2" t="str">
        <f t="shared" si="199"/>
        <v>Higher</v>
      </c>
      <c r="I457" s="2" t="str">
        <f t="shared" si="200"/>
        <v>Lower</v>
      </c>
      <c r="J457" s="2" t="str">
        <f t="shared" si="201"/>
        <v>Lower</v>
      </c>
      <c r="K457" s="2" t="str">
        <f t="shared" si="202"/>
        <v>Higher</v>
      </c>
      <c r="L457" s="2" t="str">
        <f t="shared" si="203"/>
        <v>Higher</v>
      </c>
      <c r="M457" s="2" t="str">
        <f t="shared" si="204"/>
        <v>Higher</v>
      </c>
      <c r="N457" s="2" t="str">
        <f t="shared" si="205"/>
        <v>Higher</v>
      </c>
      <c r="O457" s="2" t="str">
        <f t="shared" si="206"/>
        <v>Lower</v>
      </c>
      <c r="P457" s="2" t="str">
        <f t="shared" si="207"/>
        <v>Lower</v>
      </c>
      <c r="X457" s="4">
        <f>DATE(2022,10,31)</f>
        <v>44865</v>
      </c>
      <c r="Y457">
        <v>31.47499245939543</v>
      </c>
      <c r="Z457">
        <v>41.960063441752261</v>
      </c>
      <c r="AA457">
        <v>80.022500000000008</v>
      </c>
      <c r="AB457">
        <v>123.352</v>
      </c>
      <c r="AC457">
        <f t="shared" si="208"/>
        <v>0.11632357446131979</v>
      </c>
      <c r="AD457">
        <f t="shared" si="209"/>
        <v>0.21820650767101782</v>
      </c>
      <c r="AE457">
        <f t="shared" si="210"/>
        <v>0.10188293320969803</v>
      </c>
      <c r="AF457">
        <f t="shared" si="211"/>
        <v>0.53209392217540008</v>
      </c>
      <c r="AH457">
        <f t="shared" si="212"/>
        <v>0.19698063519654316</v>
      </c>
      <c r="AI457">
        <f t="shared" si="213"/>
        <v>-0.32023859909689401</v>
      </c>
      <c r="AJ457">
        <f t="shared" si="214"/>
        <v>-0.51721923429343719</v>
      </c>
      <c r="AK457">
        <f t="shared" si="215"/>
        <v>-1.8278511848544092</v>
      </c>
      <c r="AM457">
        <f t="shared" si="216"/>
        <v>-5.0797998516270322E-2</v>
      </c>
      <c r="AN457">
        <f t="shared" si="217"/>
        <v>-0.44793306553169404</v>
      </c>
      <c r="AO457">
        <f t="shared" si="218"/>
        <v>-0.39713506701542373</v>
      </c>
      <c r="AP457">
        <f t="shared" si="219"/>
        <v>-1.4420643571174177</v>
      </c>
      <c r="AR457">
        <f t="shared" si="220"/>
        <v>-5.299293325286001E-2</v>
      </c>
      <c r="AS457">
        <f t="shared" si="221"/>
        <v>0.29269656970584923</v>
      </c>
      <c r="AT457">
        <f t="shared" si="222"/>
        <v>0.34568950295870926</v>
      </c>
      <c r="AU457">
        <f t="shared" si="223"/>
        <v>-0.31156989921839923</v>
      </c>
    </row>
    <row r="458" spans="1:47" x14ac:dyDescent="0.25">
      <c r="A458" s="4">
        <f>DATE(2022,10,28)</f>
        <v>44862</v>
      </c>
      <c r="B458">
        <v>1.8775519533921927</v>
      </c>
      <c r="C458">
        <v>69.530795797961972</v>
      </c>
      <c r="D458">
        <v>1.1074265320739713</v>
      </c>
      <c r="E458">
        <f t="shared" si="196"/>
        <v>2.2257818130033931</v>
      </c>
      <c r="F458">
        <f t="shared" si="197"/>
        <v>1.9102208236994735</v>
      </c>
      <c r="G458">
        <f t="shared" si="198"/>
        <v>1.9270759116072764</v>
      </c>
      <c r="H458" s="2" t="str">
        <f t="shared" si="199"/>
        <v>Higher</v>
      </c>
      <c r="I458" s="2" t="str">
        <f t="shared" si="200"/>
        <v>Lower</v>
      </c>
      <c r="J458" s="2" t="str">
        <f t="shared" si="201"/>
        <v>Lower</v>
      </c>
      <c r="K458" s="2" t="str">
        <f t="shared" si="202"/>
        <v>Higher</v>
      </c>
      <c r="L458" s="2" t="str">
        <f t="shared" si="203"/>
        <v>Higher</v>
      </c>
      <c r="M458" s="2" t="str">
        <f t="shared" si="204"/>
        <v>Higher</v>
      </c>
      <c r="N458" s="2" t="str">
        <f t="shared" si="205"/>
        <v>Higher</v>
      </c>
      <c r="O458" s="2" t="str">
        <f t="shared" si="206"/>
        <v>Lower</v>
      </c>
      <c r="P458" s="2" t="str">
        <f t="shared" si="207"/>
        <v>Lower</v>
      </c>
      <c r="X458" s="4">
        <f>DATE(2022,10,28)</f>
        <v>44862</v>
      </c>
      <c r="Y458">
        <v>34.087391740990491</v>
      </c>
      <c r="Z458">
        <v>36.443202513635406</v>
      </c>
      <c r="AA458">
        <v>81.252499999999998</v>
      </c>
      <c r="AB458">
        <v>112.244</v>
      </c>
      <c r="AC458">
        <f t="shared" si="208"/>
        <v>0.17248120575609788</v>
      </c>
      <c r="AD458">
        <f t="shared" si="209"/>
        <v>-1.1797143283337334E-2</v>
      </c>
      <c r="AE458">
        <f t="shared" si="210"/>
        <v>-0.18427834903943521</v>
      </c>
      <c r="AF458">
        <f t="shared" si="211"/>
        <v>-1.085115473275605</v>
      </c>
      <c r="AH458">
        <f t="shared" si="212"/>
        <v>0.19668220185955729</v>
      </c>
      <c r="AI458">
        <f t="shared" si="213"/>
        <v>-0.5200131806334648</v>
      </c>
      <c r="AJ458">
        <f t="shared" si="214"/>
        <v>-0.71669538249302212</v>
      </c>
      <c r="AK458">
        <f t="shared" si="215"/>
        <v>-2.4938642880857755</v>
      </c>
      <c r="AM458">
        <f t="shared" si="216"/>
        <v>-4.0579511045177472E-2</v>
      </c>
      <c r="AN458">
        <f t="shared" si="217"/>
        <v>-0.55907090788466574</v>
      </c>
      <c r="AO458">
        <f t="shared" si="218"/>
        <v>-0.51849139683948831</v>
      </c>
      <c r="AP458">
        <f t="shared" si="219"/>
        <v>-1.7457065661721505</v>
      </c>
      <c r="AR458">
        <f t="shared" si="220"/>
        <v>-3.8805255027791995E-2</v>
      </c>
      <c r="AS458">
        <f t="shared" si="221"/>
        <v>0.35585818013524695</v>
      </c>
      <c r="AT458">
        <f t="shared" si="222"/>
        <v>0.39466343516303892</v>
      </c>
      <c r="AU458">
        <f t="shared" si="223"/>
        <v>-0.15994397742041461</v>
      </c>
    </row>
    <row r="459" spans="1:47" x14ac:dyDescent="0.25">
      <c r="A459" s="4">
        <f>DATE(2022,10,27)</f>
        <v>44861</v>
      </c>
      <c r="B459">
        <v>1.7045900158572482</v>
      </c>
      <c r="C459">
        <v>68.297190995158402</v>
      </c>
      <c r="D459">
        <v>1.205360912404819</v>
      </c>
      <c r="E459">
        <f t="shared" si="196"/>
        <v>2.0793266628905505</v>
      </c>
      <c r="F459">
        <f t="shared" si="197"/>
        <v>1.8309572192366468</v>
      </c>
      <c r="G459">
        <f t="shared" si="198"/>
        <v>2.2671106026449688</v>
      </c>
      <c r="H459" s="2" t="str">
        <f t="shared" si="199"/>
        <v>Higher</v>
      </c>
      <c r="I459" s="2" t="str">
        <f t="shared" si="200"/>
        <v>Lower</v>
      </c>
      <c r="J459" s="2" t="str">
        <f t="shared" si="201"/>
        <v>Lower</v>
      </c>
      <c r="K459" s="2" t="str">
        <f t="shared" si="202"/>
        <v>Higher</v>
      </c>
      <c r="L459" s="2" t="str">
        <f t="shared" si="203"/>
        <v>Higher</v>
      </c>
      <c r="M459" s="2" t="str">
        <f t="shared" si="204"/>
        <v>Higher</v>
      </c>
      <c r="N459" s="2" t="str">
        <f t="shared" si="205"/>
        <v>Higher</v>
      </c>
      <c r="O459" s="2" t="str">
        <f t="shared" si="206"/>
        <v>Lower</v>
      </c>
      <c r="P459" s="2" t="str">
        <f t="shared" si="207"/>
        <v>Lower</v>
      </c>
      <c r="X459" s="4">
        <f>DATE(2022,10,27)</f>
        <v>44861</v>
      </c>
      <c r="Y459">
        <v>32.601770527349821</v>
      </c>
      <c r="Z459">
        <v>33.890216988405278</v>
      </c>
      <c r="AA459">
        <v>79.08</v>
      </c>
      <c r="AB459">
        <v>107.384</v>
      </c>
      <c r="AC459">
        <f t="shared" si="208"/>
        <v>0.16517054212858839</v>
      </c>
      <c r="AD459">
        <f t="shared" si="209"/>
        <v>-0.16893270222434448</v>
      </c>
      <c r="AE459">
        <f t="shared" si="210"/>
        <v>-0.33410324435293287</v>
      </c>
      <c r="AF459">
        <f t="shared" si="211"/>
        <v>-1.9363581739635678</v>
      </c>
      <c r="AH459">
        <f t="shared" si="212"/>
        <v>0.18665566995416602</v>
      </c>
      <c r="AI459">
        <f t="shared" si="213"/>
        <v>-0.55824726325213803</v>
      </c>
      <c r="AJ459">
        <f t="shared" si="214"/>
        <v>-0.74490293320630407</v>
      </c>
      <c r="AK459">
        <f t="shared" si="215"/>
        <v>-2.6096700170787366</v>
      </c>
      <c r="AM459">
        <f t="shared" si="216"/>
        <v>-6.1873506902934985E-2</v>
      </c>
      <c r="AN459">
        <f t="shared" si="217"/>
        <v>-0.61813908479345769</v>
      </c>
      <c r="AO459">
        <f t="shared" si="218"/>
        <v>-0.55626557789052267</v>
      </c>
      <c r="AP459">
        <f t="shared" si="219"/>
        <v>-1.8477708743352055</v>
      </c>
      <c r="AR459">
        <f t="shared" si="220"/>
        <v>-6.5344342051936607E-2</v>
      </c>
      <c r="AS459">
        <f t="shared" si="221"/>
        <v>0.36898688560668857</v>
      </c>
      <c r="AT459">
        <f t="shared" si="222"/>
        <v>0.4343312276586252</v>
      </c>
      <c r="AU459">
        <f t="shared" si="223"/>
        <v>-3.6502545254241736E-2</v>
      </c>
    </row>
    <row r="460" spans="1:47" x14ac:dyDescent="0.25">
      <c r="A460" s="4">
        <f>DATE(2022,10,26)</f>
        <v>44860</v>
      </c>
      <c r="B460">
        <v>1.3973941641870335</v>
      </c>
      <c r="C460">
        <v>61.979616912726051</v>
      </c>
      <c r="D460">
        <v>1.0979223861031766</v>
      </c>
      <c r="E460">
        <f t="shared" si="196"/>
        <v>1.7582563057421341</v>
      </c>
      <c r="F460">
        <f t="shared" si="197"/>
        <v>1.2744669188965601</v>
      </c>
      <c r="G460">
        <f t="shared" si="198"/>
        <v>1.9815122609239859</v>
      </c>
      <c r="H460" s="2" t="str">
        <f t="shared" si="199"/>
        <v>Higher</v>
      </c>
      <c r="I460" s="2" t="str">
        <f t="shared" si="200"/>
        <v>Lower</v>
      </c>
      <c r="J460" s="2" t="str">
        <f t="shared" si="201"/>
        <v>Lower</v>
      </c>
      <c r="K460" s="2" t="str">
        <f t="shared" si="202"/>
        <v>Higher</v>
      </c>
      <c r="L460" s="2" t="str">
        <f t="shared" si="203"/>
        <v>Higher</v>
      </c>
      <c r="M460" s="2" t="str">
        <f t="shared" si="204"/>
        <v>Lower</v>
      </c>
      <c r="N460" s="2" t="str">
        <f t="shared" si="205"/>
        <v>Higher</v>
      </c>
      <c r="O460" s="2" t="str">
        <f t="shared" si="206"/>
        <v>Higher</v>
      </c>
      <c r="P460" s="2" t="str">
        <f t="shared" si="207"/>
        <v>Lower</v>
      </c>
      <c r="X460" s="4">
        <f>DATE(2022,10,26)</f>
        <v>44860</v>
      </c>
      <c r="Y460">
        <v>32.287293040746334</v>
      </c>
      <c r="Z460">
        <v>32.298174731106904</v>
      </c>
      <c r="AA460">
        <v>76.337500000000006</v>
      </c>
      <c r="AB460">
        <v>104.32</v>
      </c>
      <c r="AC460">
        <f t="shared" si="208"/>
        <v>0.11838088913457506</v>
      </c>
      <c r="AD460">
        <f t="shared" si="209"/>
        <v>-7.5579008404637785E-2</v>
      </c>
      <c r="AE460">
        <f t="shared" si="210"/>
        <v>-0.19395989753921283</v>
      </c>
      <c r="AF460">
        <f t="shared" si="211"/>
        <v>-1.1515669842414546</v>
      </c>
      <c r="AH460">
        <f t="shared" si="212"/>
        <v>0.14953279040068562</v>
      </c>
      <c r="AI460">
        <f t="shared" si="213"/>
        <v>-0.68615866892592536</v>
      </c>
      <c r="AJ460">
        <f t="shared" si="214"/>
        <v>-0.83569145932661093</v>
      </c>
      <c r="AK460">
        <f t="shared" si="215"/>
        <v>-2.9370587481953483</v>
      </c>
      <c r="AM460">
        <f t="shared" si="216"/>
        <v>-8.8873623156102394E-2</v>
      </c>
      <c r="AN460">
        <f t="shared" si="217"/>
        <v>-0.64682114625552822</v>
      </c>
      <c r="AO460">
        <f t="shared" si="218"/>
        <v>-0.55794752309942586</v>
      </c>
      <c r="AP460">
        <f t="shared" si="219"/>
        <v>-1.8627065662205886</v>
      </c>
      <c r="AR460">
        <f t="shared" si="220"/>
        <v>-7.0883991966537413E-2</v>
      </c>
      <c r="AS460">
        <f t="shared" si="221"/>
        <v>0.33289925615927896</v>
      </c>
      <c r="AT460">
        <f t="shared" si="222"/>
        <v>0.40378324812581634</v>
      </c>
      <c r="AU460">
        <f t="shared" si="223"/>
        <v>-0.1270798921124143</v>
      </c>
    </row>
    <row r="461" spans="1:47" x14ac:dyDescent="0.25">
      <c r="A461" s="4">
        <f>DATE(2022,10,25)</f>
        <v>44859</v>
      </c>
      <c r="B461">
        <v>1.2561504540867574</v>
      </c>
      <c r="C461">
        <v>65.604992126415425</v>
      </c>
      <c r="D461">
        <v>1.3692163800806174</v>
      </c>
      <c r="E461">
        <f t="shared" si="196"/>
        <v>1.6160586247022184</v>
      </c>
      <c r="F461">
        <f t="shared" si="197"/>
        <v>1.6325103812976878</v>
      </c>
      <c r="G461">
        <f t="shared" si="198"/>
        <v>2.9092478980231755</v>
      </c>
      <c r="H461" s="2" t="str">
        <f t="shared" si="199"/>
        <v>Higher</v>
      </c>
      <c r="I461" s="2" t="str">
        <f t="shared" si="200"/>
        <v>Lower</v>
      </c>
      <c r="J461" s="2" t="str">
        <f t="shared" si="201"/>
        <v>Lower</v>
      </c>
      <c r="K461" s="2" t="str">
        <f t="shared" si="202"/>
        <v>Higher</v>
      </c>
      <c r="L461" s="2" t="str">
        <f t="shared" si="203"/>
        <v>Higher</v>
      </c>
      <c r="M461" s="2" t="str">
        <f t="shared" si="204"/>
        <v>Lower</v>
      </c>
      <c r="N461" s="2" t="str">
        <f t="shared" si="205"/>
        <v>Higher</v>
      </c>
      <c r="O461" s="2" t="str">
        <f t="shared" si="206"/>
        <v>Higher</v>
      </c>
      <c r="P461" s="2" t="str">
        <f t="shared" si="207"/>
        <v>Lower</v>
      </c>
      <c r="X461" s="4">
        <f>DATE(2022,10,25)</f>
        <v>44859</v>
      </c>
      <c r="Y461">
        <v>32.764167528291985</v>
      </c>
      <c r="Z461">
        <v>29.98549223115506</v>
      </c>
      <c r="AA461">
        <v>76.002499999999998</v>
      </c>
      <c r="AB461">
        <v>99.793999999999997</v>
      </c>
      <c r="AC461">
        <f t="shared" si="208"/>
        <v>0.11701033337956659</v>
      </c>
      <c r="AD461">
        <f t="shared" si="209"/>
        <v>-0.12624243190639831</v>
      </c>
      <c r="AE461">
        <f t="shared" si="210"/>
        <v>-0.2432527652859649</v>
      </c>
      <c r="AF461">
        <f t="shared" si="211"/>
        <v>-1.4362705841850063</v>
      </c>
      <c r="AH461">
        <f t="shared" si="212"/>
        <v>0.10251014356306941</v>
      </c>
      <c r="AI461">
        <f t="shared" si="213"/>
        <v>-0.62317072890899305</v>
      </c>
      <c r="AJ461">
        <f t="shared" si="214"/>
        <v>-0.72568087247206248</v>
      </c>
      <c r="AK461">
        <f t="shared" si="215"/>
        <v>-2.6012435749384153</v>
      </c>
      <c r="AM461">
        <f t="shared" si="216"/>
        <v>-6.9192406417737773E-2</v>
      </c>
      <c r="AN461">
        <f t="shared" si="217"/>
        <v>-0.72075033834611046</v>
      </c>
      <c r="AO461">
        <f t="shared" si="218"/>
        <v>-0.65155793192837264</v>
      </c>
      <c r="AP461">
        <f t="shared" si="219"/>
        <v>-2.1048295315546088</v>
      </c>
      <c r="AR461">
        <f t="shared" si="220"/>
        <v>-7.384713844782885E-2</v>
      </c>
      <c r="AS461">
        <f t="shared" si="221"/>
        <v>0.23316033376097067</v>
      </c>
      <c r="AT461">
        <f t="shared" si="222"/>
        <v>0.30700747220879954</v>
      </c>
      <c r="AU461">
        <f t="shared" si="223"/>
        <v>-0.41952047278494486</v>
      </c>
    </row>
    <row r="462" spans="1:47" x14ac:dyDescent="0.25">
      <c r="A462" s="4">
        <f>DATE(2022,10,24)</f>
        <v>44858</v>
      </c>
      <c r="B462">
        <v>0.81213185591708648</v>
      </c>
      <c r="C462">
        <v>57.161217339647195</v>
      </c>
      <c r="D462">
        <v>1.2522630635788239</v>
      </c>
      <c r="E462">
        <f t="shared" si="196"/>
        <v>1.088481992698515</v>
      </c>
      <c r="F462">
        <f t="shared" si="197"/>
        <v>0.85517121840752175</v>
      </c>
      <c r="G462">
        <f t="shared" si="198"/>
        <v>2.6318709893523762</v>
      </c>
      <c r="H462" s="2" t="str">
        <f t="shared" si="199"/>
        <v>Higher</v>
      </c>
      <c r="I462" s="2" t="str">
        <f t="shared" si="200"/>
        <v>Lower</v>
      </c>
      <c r="J462" s="2" t="str">
        <f t="shared" si="201"/>
        <v>Lower</v>
      </c>
      <c r="K462" s="2" t="str">
        <f t="shared" si="202"/>
        <v>Higher</v>
      </c>
      <c r="L462" s="2" t="str">
        <f t="shared" si="203"/>
        <v>Higher</v>
      </c>
      <c r="M462" s="2" t="str">
        <f t="shared" si="204"/>
        <v>Lower</v>
      </c>
      <c r="N462" s="2" t="str">
        <f t="shared" si="205"/>
        <v>Higher</v>
      </c>
      <c r="O462" s="2" t="str">
        <f t="shared" si="206"/>
        <v>Higher</v>
      </c>
      <c r="P462" s="2" t="str">
        <f t="shared" si="207"/>
        <v>Lower</v>
      </c>
      <c r="X462" s="4">
        <f>DATE(2022,10,24)</f>
        <v>44858</v>
      </c>
      <c r="Y462">
        <v>25.062442912152278</v>
      </c>
      <c r="Z462">
        <v>29.677957763211726</v>
      </c>
      <c r="AA462">
        <v>71.234999999999999</v>
      </c>
      <c r="AB462">
        <v>99.17</v>
      </c>
      <c r="AC462">
        <f t="shared" si="208"/>
        <v>5.4190061691948524E-2</v>
      </c>
      <c r="AD462">
        <f t="shared" si="209"/>
        <v>-0.255022824949383</v>
      </c>
      <c r="AE462">
        <f t="shared" si="210"/>
        <v>-0.30921288664133151</v>
      </c>
      <c r="AF462">
        <f t="shared" si="211"/>
        <v>-1.8191794611473042</v>
      </c>
      <c r="AH462">
        <f t="shared" si="212"/>
        <v>2.9308605425177863E-2</v>
      </c>
      <c r="AI462">
        <f t="shared" si="213"/>
        <v>-0.56126527165841333</v>
      </c>
      <c r="AJ462">
        <f t="shared" si="214"/>
        <v>-0.59057387708359121</v>
      </c>
      <c r="AK462">
        <f t="shared" si="215"/>
        <v>-2.1695427259762319</v>
      </c>
      <c r="AM462">
        <f t="shared" si="216"/>
        <v>-0.11644853150749768</v>
      </c>
      <c r="AN462">
        <f t="shared" si="217"/>
        <v>-0.70544395769502244</v>
      </c>
      <c r="AO462">
        <f t="shared" si="218"/>
        <v>-0.58899542618752476</v>
      </c>
      <c r="AP462">
        <f t="shared" si="219"/>
        <v>-1.9654002579394794</v>
      </c>
      <c r="AR462">
        <f t="shared" si="220"/>
        <v>-0.12781652571627899</v>
      </c>
      <c r="AS462" t="str">
        <f t="shared" si="221"/>
        <v/>
      </c>
      <c r="AT462" t="str">
        <f t="shared" si="222"/>
        <v/>
      </c>
      <c r="AU462" t="str">
        <f t="shared" si="223"/>
        <v/>
      </c>
    </row>
    <row r="463" spans="1:47" x14ac:dyDescent="0.25">
      <c r="A463" s="4">
        <f>DATE(2022,10,21)</f>
        <v>44855</v>
      </c>
      <c r="B463">
        <v>0.54886023102435955</v>
      </c>
      <c r="C463">
        <v>48.304828452846984</v>
      </c>
      <c r="D463">
        <v>0.73670841497899198</v>
      </c>
      <c r="E463">
        <f t="shared" si="196"/>
        <v>0.76324385362788727</v>
      </c>
      <c r="F463">
        <f t="shared" si="197"/>
        <v>1.5524720025704361E-2</v>
      </c>
      <c r="G463">
        <f t="shared" si="198"/>
        <v>0.9358516515148555</v>
      </c>
      <c r="H463" s="2" t="str">
        <f t="shared" si="199"/>
        <v>Higher</v>
      </c>
      <c r="I463" s="2" t="str">
        <f t="shared" si="200"/>
        <v>Lower</v>
      </c>
      <c r="J463" s="2" t="str">
        <f t="shared" si="201"/>
        <v>Lower</v>
      </c>
      <c r="K463" s="2" t="str">
        <f t="shared" si="202"/>
        <v>Higher</v>
      </c>
      <c r="L463" s="2" t="str">
        <f t="shared" si="203"/>
        <v>Higher</v>
      </c>
      <c r="M463" s="2" t="str">
        <f t="shared" si="204"/>
        <v>Lower</v>
      </c>
      <c r="N463" s="2" t="str">
        <f t="shared" si="205"/>
        <v>Higher</v>
      </c>
      <c r="O463" s="2" t="str">
        <f t="shared" si="206"/>
        <v>Higher</v>
      </c>
      <c r="P463" s="2" t="str">
        <f t="shared" si="207"/>
        <v>Lower</v>
      </c>
      <c r="X463" s="4">
        <f>DATE(2022,10,21)</f>
        <v>44855</v>
      </c>
      <c r="Y463">
        <v>20.136645085836935</v>
      </c>
      <c r="Z463">
        <v>32.763003084178621</v>
      </c>
      <c r="AA463">
        <v>68.38</v>
      </c>
      <c r="AB463">
        <v>113.57599999999999</v>
      </c>
      <c r="AC463">
        <f t="shared" si="208"/>
        <v>4.9846166834942801E-3</v>
      </c>
      <c r="AD463">
        <f t="shared" si="209"/>
        <v>-0.22333371425625151</v>
      </c>
      <c r="AE463">
        <f t="shared" si="210"/>
        <v>-0.22831833093974579</v>
      </c>
      <c r="AF463">
        <f t="shared" si="211"/>
        <v>-1.3677031895730694</v>
      </c>
      <c r="AH463">
        <f t="shared" si="212"/>
        <v>2.3414729518594316E-2</v>
      </c>
      <c r="AI463">
        <f t="shared" si="213"/>
        <v>-0.49055571114504909</v>
      </c>
      <c r="AJ463">
        <f t="shared" si="214"/>
        <v>-0.51397044066364339</v>
      </c>
      <c r="AK463">
        <f t="shared" si="215"/>
        <v>-1.925372010256718</v>
      </c>
      <c r="AM463">
        <f t="shared" si="216"/>
        <v>-0.13846400108384041</v>
      </c>
      <c r="AN463">
        <f t="shared" si="217"/>
        <v>-0.51935608645380826</v>
      </c>
      <c r="AO463">
        <f t="shared" si="218"/>
        <v>-0.38089208536996788</v>
      </c>
      <c r="AP463">
        <f t="shared" si="219"/>
        <v>-1.4621032817552893</v>
      </c>
      <c r="AR463">
        <f t="shared" si="220"/>
        <v>-0.18592843017877198</v>
      </c>
      <c r="AS463">
        <f t="shared" si="221"/>
        <v>0.2567275778136392</v>
      </c>
      <c r="AT463">
        <f t="shared" si="222"/>
        <v>0.44265600799241117</v>
      </c>
      <c r="AU463">
        <f t="shared" si="223"/>
        <v>-4.4124771213666517E-3</v>
      </c>
    </row>
    <row r="464" spans="1:47" x14ac:dyDescent="0.25">
      <c r="A464" s="4">
        <f>DATE(2022,10,20)</f>
        <v>44854</v>
      </c>
      <c r="B464">
        <v>0.47776901300375041</v>
      </c>
      <c r="C464">
        <v>42.647020083415065</v>
      </c>
      <c r="D464">
        <v>0.41440107311451041</v>
      </c>
      <c r="E464">
        <f t="shared" si="196"/>
        <v>0.66496916418037588</v>
      </c>
      <c r="F464">
        <f t="shared" si="197"/>
        <v>-0.53016380129880225</v>
      </c>
      <c r="G464">
        <f t="shared" si="198"/>
        <v>-0.18234563049810013</v>
      </c>
      <c r="H464" s="2" t="str">
        <f t="shared" si="199"/>
        <v>Higher</v>
      </c>
      <c r="I464" s="2" t="str">
        <f t="shared" si="200"/>
        <v>Lower</v>
      </c>
      <c r="J464" s="2" t="str">
        <f t="shared" si="201"/>
        <v>Lower</v>
      </c>
      <c r="K464" s="2" t="str">
        <f t="shared" si="202"/>
        <v>Higher</v>
      </c>
      <c r="L464" s="2" t="str">
        <f t="shared" si="203"/>
        <v>Higher</v>
      </c>
      <c r="M464" s="2" t="str">
        <f t="shared" si="204"/>
        <v>Lower</v>
      </c>
      <c r="N464" s="2" t="str">
        <f t="shared" si="205"/>
        <v>Higher</v>
      </c>
      <c r="O464" s="2" t="str">
        <f t="shared" si="206"/>
        <v>Higher</v>
      </c>
      <c r="P464" s="2" t="str">
        <f t="shared" si="207"/>
        <v>Lower</v>
      </c>
      <c r="X464" s="4">
        <f>DATE(2022,10,20)</f>
        <v>44854</v>
      </c>
      <c r="Y464">
        <v>17.710594908903595</v>
      </c>
      <c r="Z464">
        <v>36.040158996000201</v>
      </c>
      <c r="AA464">
        <v>67.040000000000006</v>
      </c>
      <c r="AB464">
        <v>127.14700000000001</v>
      </c>
      <c r="AC464">
        <f t="shared" si="208"/>
        <v>-1.7631534756100957E-2</v>
      </c>
      <c r="AD464">
        <f t="shared" si="209"/>
        <v>-0.19036767550504538</v>
      </c>
      <c r="AE464">
        <f t="shared" si="210"/>
        <v>-0.17273614074894442</v>
      </c>
      <c r="AF464">
        <f t="shared" si="211"/>
        <v>-1.0556250835465366</v>
      </c>
      <c r="AH464">
        <f t="shared" si="212"/>
        <v>-4.6806438595430523E-2</v>
      </c>
      <c r="AI464">
        <f t="shared" si="213"/>
        <v>-0.38826426676890663</v>
      </c>
      <c r="AJ464">
        <f t="shared" si="214"/>
        <v>-0.34145782817347609</v>
      </c>
      <c r="AK464">
        <f t="shared" si="215"/>
        <v>-1.3495379004869359</v>
      </c>
      <c r="AM464">
        <f t="shared" si="216"/>
        <v>-0.15815942573868391</v>
      </c>
      <c r="AN464">
        <f t="shared" si="217"/>
        <v>-0.44760910663920661</v>
      </c>
      <c r="AO464">
        <f t="shared" si="218"/>
        <v>-0.2894496809005227</v>
      </c>
      <c r="AP464">
        <f t="shared" si="219"/>
        <v>-1.2431910788677818</v>
      </c>
      <c r="AR464">
        <f t="shared" si="220"/>
        <v>-0.17704962968209909</v>
      </c>
      <c r="AS464">
        <f t="shared" si="221"/>
        <v>0.43588450533455886</v>
      </c>
      <c r="AT464">
        <f t="shared" si="222"/>
        <v>0.61293413501665794</v>
      </c>
      <c r="AU464">
        <f t="shared" si="223"/>
        <v>0.51659916868602385</v>
      </c>
    </row>
    <row r="465" spans="1:47" x14ac:dyDescent="0.25">
      <c r="A465" s="4">
        <f>DATE(2022,10,19)</f>
        <v>44853</v>
      </c>
      <c r="B465">
        <v>0.5430592777070693</v>
      </c>
      <c r="C465">
        <v>43.654037975589929</v>
      </c>
      <c r="D465">
        <v>0.46392515890753883</v>
      </c>
      <c r="E465">
        <f t="shared" si="196"/>
        <v>0.73619567596933944</v>
      </c>
      <c r="F465">
        <f t="shared" si="197"/>
        <v>-0.44673534145052063</v>
      </c>
      <c r="G465">
        <f t="shared" si="198"/>
        <v>-3.1924780102269221E-2</v>
      </c>
      <c r="H465" s="2" t="str">
        <f t="shared" si="199"/>
        <v>Higher</v>
      </c>
      <c r="I465" s="2" t="str">
        <f t="shared" si="200"/>
        <v>Lower</v>
      </c>
      <c r="J465" s="2" t="str">
        <f t="shared" si="201"/>
        <v>Lower</v>
      </c>
      <c r="K465" s="2" t="str">
        <f t="shared" si="202"/>
        <v>Higher</v>
      </c>
      <c r="L465" s="2" t="str">
        <f t="shared" si="203"/>
        <v>Higher</v>
      </c>
      <c r="M465" s="2" t="str">
        <f t="shared" si="204"/>
        <v>Lower</v>
      </c>
      <c r="N465" s="2" t="str">
        <f t="shared" si="205"/>
        <v>Higher</v>
      </c>
      <c r="O465" s="2" t="str">
        <f t="shared" si="206"/>
        <v>Higher</v>
      </c>
      <c r="P465" s="2" t="str">
        <f t="shared" si="207"/>
        <v>Lower</v>
      </c>
      <c r="X465" s="4">
        <f>DATE(2022,10,19)</f>
        <v>44853</v>
      </c>
      <c r="Y465">
        <v>18.270995629550107</v>
      </c>
      <c r="Z465">
        <v>28.919488718668916</v>
      </c>
      <c r="AA465">
        <v>67.814999999999998</v>
      </c>
      <c r="AB465">
        <v>112.51</v>
      </c>
      <c r="AC465">
        <f t="shared" si="208"/>
        <v>1.5566974210822825E-2</v>
      </c>
      <c r="AD465">
        <f t="shared" si="209"/>
        <v>-0.3533185041304116</v>
      </c>
      <c r="AE465">
        <f t="shared" si="210"/>
        <v>-0.36888547834123442</v>
      </c>
      <c r="AF465">
        <f t="shared" si="211"/>
        <v>-2.1853515918787689</v>
      </c>
      <c r="AH465">
        <f t="shared" si="212"/>
        <v>-3.3388996836765397E-2</v>
      </c>
      <c r="AI465">
        <f t="shared" si="213"/>
        <v>-0.52282866920789162</v>
      </c>
      <c r="AJ465">
        <f t="shared" si="214"/>
        <v>-0.48943967237112623</v>
      </c>
      <c r="AK465">
        <f t="shared" si="215"/>
        <v>-1.8599397166658433</v>
      </c>
      <c r="AM465">
        <f t="shared" si="216"/>
        <v>-0.12001701515400519</v>
      </c>
      <c r="AN465">
        <f t="shared" si="217"/>
        <v>-0.60106483165134938</v>
      </c>
      <c r="AO465">
        <f t="shared" si="218"/>
        <v>-0.48104781649734418</v>
      </c>
      <c r="AP465">
        <f t="shared" si="219"/>
        <v>-1.7223162924530853</v>
      </c>
      <c r="AR465">
        <f t="shared" si="220"/>
        <v>-0.17274625698660281</v>
      </c>
      <c r="AS465">
        <f t="shared" si="221"/>
        <v>0.38589516693905884</v>
      </c>
      <c r="AT465">
        <f t="shared" si="222"/>
        <v>0.55864142392566163</v>
      </c>
      <c r="AU465">
        <f t="shared" si="223"/>
        <v>0.3543760332733471</v>
      </c>
    </row>
    <row r="466" spans="1:47" x14ac:dyDescent="0.25">
      <c r="A466" s="4">
        <f>DATE(2022,10,18)</f>
        <v>44852</v>
      </c>
      <c r="B466">
        <v>0.5910835246579591</v>
      </c>
      <c r="C466">
        <v>44.776465225176857</v>
      </c>
      <c r="D466">
        <v>0.52230113785129639</v>
      </c>
      <c r="E466">
        <f t="shared" si="196"/>
        <v>0.79033066212191816</v>
      </c>
      <c r="F466">
        <f t="shared" si="197"/>
        <v>-0.35367988272833767</v>
      </c>
      <c r="G466">
        <f t="shared" si="198"/>
        <v>0.13411119181325012</v>
      </c>
      <c r="H466" s="2" t="str">
        <f t="shared" si="199"/>
        <v>Higher</v>
      </c>
      <c r="I466" s="2" t="str">
        <f t="shared" si="200"/>
        <v>Lower</v>
      </c>
      <c r="J466" s="2" t="str">
        <f t="shared" si="201"/>
        <v>Lower</v>
      </c>
      <c r="K466" s="2" t="str">
        <f t="shared" si="202"/>
        <v>Higher</v>
      </c>
      <c r="L466" s="2" t="str">
        <f t="shared" si="203"/>
        <v>Higher</v>
      </c>
      <c r="M466" s="2" t="str">
        <f t="shared" si="204"/>
        <v>Lower</v>
      </c>
      <c r="N466" s="2" t="str">
        <f t="shared" si="205"/>
        <v>Higher</v>
      </c>
      <c r="O466" s="2" t="str">
        <f t="shared" si="206"/>
        <v>Higher</v>
      </c>
      <c r="P466" s="2" t="str">
        <f t="shared" si="207"/>
        <v>Lower</v>
      </c>
      <c r="X466" s="4">
        <f>DATE(2022,10,18)</f>
        <v>44852</v>
      </c>
      <c r="Y466">
        <v>16.390951350491953</v>
      </c>
      <c r="Z466">
        <v>29.065652468124366</v>
      </c>
      <c r="AA466">
        <v>67.61</v>
      </c>
      <c r="AB466">
        <v>113.22199999999999</v>
      </c>
      <c r="AC466">
        <f t="shared" si="208"/>
        <v>1.7569506534285306E-2</v>
      </c>
      <c r="AD466">
        <f t="shared" si="209"/>
        <v>-0.32549943392878034</v>
      </c>
      <c r="AE466">
        <f t="shared" si="210"/>
        <v>-0.34306894046306563</v>
      </c>
      <c r="AF466">
        <f t="shared" si="211"/>
        <v>-2.052324270925483</v>
      </c>
      <c r="AH466">
        <f t="shared" si="212"/>
        <v>-5.4331862138596823E-2</v>
      </c>
      <c r="AI466">
        <f t="shared" si="213"/>
        <v>-0.53984182704475125</v>
      </c>
      <c r="AJ466">
        <f t="shared" si="214"/>
        <v>-0.48550996490615445</v>
      </c>
      <c r="AK466">
        <f t="shared" si="215"/>
        <v>-1.857194393476344</v>
      </c>
      <c r="AM466">
        <f t="shared" si="216"/>
        <v>-0.12585241351780635</v>
      </c>
      <c r="AN466">
        <f t="shared" si="217"/>
        <v>-0.56855678929901454</v>
      </c>
      <c r="AO466">
        <f t="shared" si="218"/>
        <v>-0.44270437578120819</v>
      </c>
      <c r="AP466">
        <f t="shared" si="219"/>
        <v>-1.6290118608955433</v>
      </c>
      <c r="AR466">
        <f t="shared" si="220"/>
        <v>-0.19042965126103614</v>
      </c>
      <c r="AS466">
        <f t="shared" si="221"/>
        <v>0.35278247970381493</v>
      </c>
      <c r="AT466">
        <f t="shared" si="222"/>
        <v>0.5432121309648511</v>
      </c>
      <c r="AU466">
        <f t="shared" si="223"/>
        <v>0.31030756674910664</v>
      </c>
    </row>
    <row r="467" spans="1:47" x14ac:dyDescent="0.25">
      <c r="A467" s="4">
        <f>DATE(2022,10,17)</f>
        <v>44851</v>
      </c>
      <c r="B467">
        <v>0.60340587286497405</v>
      </c>
      <c r="C467">
        <v>44.053065610536088</v>
      </c>
      <c r="D467">
        <v>0.45869953566368199</v>
      </c>
      <c r="E467">
        <f t="shared" si="196"/>
        <v>0.80948359404080872</v>
      </c>
      <c r="F467">
        <f t="shared" si="197"/>
        <v>-0.42668418079305892</v>
      </c>
      <c r="G467">
        <f t="shared" si="198"/>
        <v>-7.5784260053967711E-2</v>
      </c>
      <c r="H467" s="2" t="str">
        <f t="shared" si="199"/>
        <v>Lower</v>
      </c>
      <c r="I467" s="2" t="str">
        <f t="shared" si="200"/>
        <v>Lower</v>
      </c>
      <c r="J467" s="2" t="str">
        <f t="shared" si="201"/>
        <v>Lower</v>
      </c>
      <c r="K467" s="2" t="str">
        <f t="shared" si="202"/>
        <v>Higher</v>
      </c>
      <c r="L467" s="2" t="str">
        <f t="shared" si="203"/>
        <v>Higher</v>
      </c>
      <c r="M467" s="2" t="str">
        <f t="shared" si="204"/>
        <v>Lower</v>
      </c>
      <c r="N467" s="2" t="str">
        <f t="shared" si="205"/>
        <v>Higher</v>
      </c>
      <c r="O467" s="2" t="str">
        <f t="shared" si="206"/>
        <v>Higher</v>
      </c>
      <c r="P467" s="2" t="str">
        <f t="shared" si="207"/>
        <v>Lower</v>
      </c>
      <c r="X467" s="4">
        <f>DATE(2022,10,17)</f>
        <v>44851</v>
      </c>
      <c r="Y467">
        <v>17.08613896308043</v>
      </c>
      <c r="Z467">
        <v>32.197272036158772</v>
      </c>
      <c r="AA467">
        <v>67.477499999999992</v>
      </c>
      <c r="AB467">
        <v>127.97799999999999</v>
      </c>
      <c r="AC467">
        <f t="shared" si="208"/>
        <v>4.6791529223065296E-3</v>
      </c>
      <c r="AD467">
        <f t="shared" si="209"/>
        <v>-0.18586016862522348</v>
      </c>
      <c r="AE467">
        <f t="shared" si="210"/>
        <v>-0.19053932154753001</v>
      </c>
      <c r="AF467">
        <f t="shared" si="211"/>
        <v>-1.1820523062775365</v>
      </c>
      <c r="AH467">
        <f t="shared" si="212"/>
        <v>-5.8427578757974219E-2</v>
      </c>
      <c r="AI467">
        <f t="shared" si="213"/>
        <v>-0.35358683819515402</v>
      </c>
      <c r="AJ467">
        <f t="shared" si="214"/>
        <v>-0.2951592594371798</v>
      </c>
      <c r="AK467">
        <f t="shared" si="215"/>
        <v>-1.2148335335036378</v>
      </c>
      <c r="AM467">
        <f t="shared" si="216"/>
        <v>-0.12761846197485568</v>
      </c>
      <c r="AN467">
        <f t="shared" si="217"/>
        <v>-0.32211951014499091</v>
      </c>
      <c r="AO467">
        <f t="shared" si="218"/>
        <v>-0.19450104817013522</v>
      </c>
      <c r="AP467">
        <f t="shared" si="219"/>
        <v>-1.0153392413602051</v>
      </c>
      <c r="AR467">
        <f t="shared" si="220"/>
        <v>-0.1918104368501295</v>
      </c>
      <c r="AS467">
        <f t="shared" si="221"/>
        <v>0.39729598474902827</v>
      </c>
      <c r="AT467">
        <f t="shared" si="222"/>
        <v>0.58910642159915771</v>
      </c>
      <c r="AU467">
        <f t="shared" si="223"/>
        <v>0.45224227154778479</v>
      </c>
    </row>
    <row r="468" spans="1:47" x14ac:dyDescent="0.25">
      <c r="A468" s="4">
        <f>DATE(2022,10,14)</f>
        <v>44848</v>
      </c>
      <c r="B468">
        <v>0.63523497854901834</v>
      </c>
      <c r="C468">
        <v>45.129896203819001</v>
      </c>
      <c r="D468">
        <v>0.50556628208634968</v>
      </c>
      <c r="E468">
        <f t="shared" si="196"/>
        <v>0.85314299724317666</v>
      </c>
      <c r="F468">
        <f t="shared" si="197"/>
        <v>-0.32870130425427768</v>
      </c>
      <c r="G468">
        <f t="shared" si="198"/>
        <v>7.3703328724489439E-2</v>
      </c>
      <c r="H468" s="2" t="str">
        <f t="shared" si="199"/>
        <v>Lower</v>
      </c>
      <c r="I468" s="2" t="str">
        <f t="shared" si="200"/>
        <v>Lower</v>
      </c>
      <c r="J468" s="2" t="str">
        <f t="shared" si="201"/>
        <v>Lower</v>
      </c>
      <c r="K468" s="2" t="str">
        <f t="shared" si="202"/>
        <v>Higher</v>
      </c>
      <c r="L468" s="2" t="str">
        <f t="shared" si="203"/>
        <v>Higher</v>
      </c>
      <c r="M468" s="2" t="str">
        <f t="shared" si="204"/>
        <v>Lower</v>
      </c>
      <c r="N468" s="2" t="str">
        <f t="shared" si="205"/>
        <v>Higher</v>
      </c>
      <c r="O468" s="2" t="str">
        <f t="shared" si="206"/>
        <v>Higher</v>
      </c>
      <c r="P468" s="2" t="str">
        <f t="shared" si="207"/>
        <v>Lower</v>
      </c>
      <c r="X468" s="4">
        <f>DATE(2022,10,14)</f>
        <v>44848</v>
      </c>
      <c r="Y468">
        <v>17.978703634352687</v>
      </c>
      <c r="Z468">
        <v>35.579062985537313</v>
      </c>
      <c r="AA468">
        <v>68.039999999999992</v>
      </c>
      <c r="AB468">
        <v>141.99700000000001</v>
      </c>
      <c r="AC468">
        <f t="shared" si="208"/>
        <v>-2.0223283237521039E-2</v>
      </c>
      <c r="AD468">
        <f t="shared" si="209"/>
        <v>-9.537612012451771E-2</v>
      </c>
      <c r="AE468">
        <f t="shared" si="210"/>
        <v>-7.5152836886996671E-2</v>
      </c>
      <c r="AF468">
        <f t="shared" si="211"/>
        <v>-0.51725217643847221</v>
      </c>
      <c r="AH468">
        <f t="shared" si="212"/>
        <v>-6.8924282029124498E-2</v>
      </c>
      <c r="AI468">
        <f t="shared" si="213"/>
        <v>-0.27953436176653612</v>
      </c>
      <c r="AJ468">
        <f t="shared" si="214"/>
        <v>-0.21061007973741164</v>
      </c>
      <c r="AK468">
        <f t="shared" si="215"/>
        <v>-0.92974667382504184</v>
      </c>
      <c r="AM468">
        <f t="shared" si="216"/>
        <v>-0.12500751304162283</v>
      </c>
      <c r="AN468">
        <f t="shared" si="217"/>
        <v>-0.11851752316146376</v>
      </c>
      <c r="AO468">
        <f t="shared" si="218"/>
        <v>6.4899898801590722E-3</v>
      </c>
      <c r="AP468">
        <f t="shared" si="219"/>
        <v>-0.51846383124281858</v>
      </c>
      <c r="AR468">
        <f t="shared" si="220"/>
        <v>-0.23326266787104746</v>
      </c>
      <c r="AS468">
        <f t="shared" si="221"/>
        <v>0.45822652325360186</v>
      </c>
      <c r="AT468">
        <f t="shared" si="222"/>
        <v>0.69148919112464935</v>
      </c>
      <c r="AU468">
        <f t="shared" si="223"/>
        <v>0.76509564966642507</v>
      </c>
    </row>
    <row r="469" spans="1:47" x14ac:dyDescent="0.25">
      <c r="A469" s="4">
        <f>DATE(2022,10,13)</f>
        <v>44847</v>
      </c>
      <c r="B469">
        <v>0.61931396591241761</v>
      </c>
      <c r="C469">
        <v>46.839355061494217</v>
      </c>
      <c r="D469">
        <v>0.5677784877496671</v>
      </c>
      <c r="E469">
        <f t="shared" si="196"/>
        <v>0.83968768961793683</v>
      </c>
      <c r="F469">
        <f t="shared" si="197"/>
        <v>-0.17203588103722664</v>
      </c>
      <c r="G469">
        <f t="shared" si="198"/>
        <v>0.2720383815315458</v>
      </c>
      <c r="H469" s="2" t="str">
        <f t="shared" si="199"/>
        <v>Lower</v>
      </c>
      <c r="I469" s="2" t="str">
        <f t="shared" si="200"/>
        <v>Lower</v>
      </c>
      <c r="J469" s="2" t="str">
        <f t="shared" si="201"/>
        <v>Lower</v>
      </c>
      <c r="K469" s="2" t="str">
        <f t="shared" si="202"/>
        <v>Higher</v>
      </c>
      <c r="L469" s="2" t="str">
        <f t="shared" si="203"/>
        <v>Higher</v>
      </c>
      <c r="M469" s="2" t="str">
        <f t="shared" si="204"/>
        <v>Lower</v>
      </c>
      <c r="N469" s="2" t="str">
        <f t="shared" si="205"/>
        <v>Lower</v>
      </c>
      <c r="O469" s="2" t="str">
        <f t="shared" si="206"/>
        <v>Lower</v>
      </c>
      <c r="P469" s="2" t="str">
        <f t="shared" si="207"/>
        <v>Lower</v>
      </c>
      <c r="X469" s="4">
        <f>DATE(2022,10,13)</f>
        <v>44847</v>
      </c>
      <c r="Y469">
        <v>18.698186657980145</v>
      </c>
      <c r="Z469">
        <v>38.764623999250404</v>
      </c>
      <c r="AA469">
        <v>68.232500000000002</v>
      </c>
      <c r="AB469">
        <v>153.809</v>
      </c>
      <c r="AC469">
        <f t="shared" si="208"/>
        <v>7.3281547739220386E-5</v>
      </c>
      <c r="AD469">
        <f t="shared" si="209"/>
        <v>-0.13313471818173728</v>
      </c>
      <c r="AE469">
        <f t="shared" si="210"/>
        <v>-0.1332079997294765</v>
      </c>
      <c r="AF469">
        <f t="shared" si="211"/>
        <v>-0.85527395325634858</v>
      </c>
      <c r="AH469">
        <f t="shared" si="212"/>
        <v>-4.7650202818630159E-2</v>
      </c>
      <c r="AI469">
        <f t="shared" si="213"/>
        <v>-0.33158599837337366</v>
      </c>
      <c r="AJ469">
        <f t="shared" si="214"/>
        <v>-0.28393579555474352</v>
      </c>
      <c r="AK469">
        <f t="shared" si="215"/>
        <v>-1.1850644136965767</v>
      </c>
      <c r="AM469">
        <f t="shared" si="216"/>
        <v>-0.1391261258035455</v>
      </c>
      <c r="AN469">
        <f t="shared" si="217"/>
        <v>-1.1577038829566358E-2</v>
      </c>
      <c r="AO469">
        <f t="shared" si="218"/>
        <v>0.12754908697397915</v>
      </c>
      <c r="AP469">
        <f t="shared" si="219"/>
        <v>-0.22009766852023019</v>
      </c>
      <c r="AR469">
        <f t="shared" si="220"/>
        <v>-0.23898487651773456</v>
      </c>
      <c r="AS469">
        <f t="shared" si="221"/>
        <v>0.47312534946792956</v>
      </c>
      <c r="AT469">
        <f t="shared" si="222"/>
        <v>0.71211022598566409</v>
      </c>
      <c r="AU469">
        <f t="shared" si="223"/>
        <v>0.83039581274434671</v>
      </c>
    </row>
    <row r="470" spans="1:47" x14ac:dyDescent="0.25">
      <c r="A470" s="4">
        <f>DATE(2022,10,12)</f>
        <v>44846</v>
      </c>
      <c r="B470">
        <v>0.49929163661451792</v>
      </c>
      <c r="C470">
        <v>41.494293857098661</v>
      </c>
      <c r="D470">
        <v>0.32081162322130224</v>
      </c>
      <c r="E470">
        <f t="shared" si="196"/>
        <v>0.70010091232386296</v>
      </c>
      <c r="F470">
        <f t="shared" si="197"/>
        <v>-0.6700257686293738</v>
      </c>
      <c r="G470">
        <f t="shared" si="198"/>
        <v>-0.51695046438195513</v>
      </c>
      <c r="H470" s="2" t="str">
        <f t="shared" si="199"/>
        <v>Lower</v>
      </c>
      <c r="I470" s="2" t="str">
        <f t="shared" si="200"/>
        <v>Lower</v>
      </c>
      <c r="J470" s="2" t="str">
        <f t="shared" si="201"/>
        <v>Lower</v>
      </c>
      <c r="K470" s="2" t="str">
        <f t="shared" si="202"/>
        <v>Higher</v>
      </c>
      <c r="L470" s="2" t="str">
        <f t="shared" si="203"/>
        <v>Higher</v>
      </c>
      <c r="M470" s="2" t="str">
        <f t="shared" si="204"/>
        <v>Lower</v>
      </c>
      <c r="N470" s="2" t="str">
        <f t="shared" si="205"/>
        <v>Lower</v>
      </c>
      <c r="O470" s="2" t="str">
        <f t="shared" si="206"/>
        <v>Lower</v>
      </c>
      <c r="P470" s="2" t="str">
        <f t="shared" si="207"/>
        <v>Lower</v>
      </c>
      <c r="X470" s="4">
        <f>DATE(2022,10,12)</f>
        <v>44846</v>
      </c>
      <c r="Y470">
        <v>18.359135484658097</v>
      </c>
      <c r="Z470">
        <v>40.587547664792609</v>
      </c>
      <c r="AA470">
        <v>66.767499999999998</v>
      </c>
      <c r="AB470">
        <v>160.19</v>
      </c>
      <c r="AC470">
        <f t="shared" si="208"/>
        <v>-1.8438317983691919E-2</v>
      </c>
      <c r="AD470">
        <f t="shared" si="209"/>
        <v>-8.0928762354901693E-2</v>
      </c>
      <c r="AE470">
        <f t="shared" si="210"/>
        <v>-6.2490444371209777E-2</v>
      </c>
      <c r="AF470">
        <f t="shared" si="211"/>
        <v>-0.44808608771909664</v>
      </c>
      <c r="AH470">
        <f t="shared" si="212"/>
        <v>-7.2981362233589253E-2</v>
      </c>
      <c r="AI470">
        <f t="shared" si="213"/>
        <v>-0.30759302112473946</v>
      </c>
      <c r="AJ470">
        <f t="shared" si="214"/>
        <v>-0.23461165889115021</v>
      </c>
      <c r="AK470">
        <f t="shared" si="215"/>
        <v>-1.0211161627116947</v>
      </c>
      <c r="AM470">
        <f t="shared" si="216"/>
        <v>-0.18087269751698265</v>
      </c>
      <c r="AN470">
        <f t="shared" si="217"/>
        <v>3.2690362550941134E-2</v>
      </c>
      <c r="AO470">
        <f t="shared" si="218"/>
        <v>0.21356306006792378</v>
      </c>
      <c r="AP470">
        <f t="shared" si="219"/>
        <v>-9.2944138610635899E-3</v>
      </c>
      <c r="AR470">
        <f t="shared" si="220"/>
        <v>-0.26750381764633807</v>
      </c>
      <c r="AS470">
        <f t="shared" si="221"/>
        <v>0.55694168690228407</v>
      </c>
      <c r="AT470">
        <f t="shared" si="222"/>
        <v>0.82444550454862209</v>
      </c>
      <c r="AU470">
        <f t="shared" si="223"/>
        <v>1.1726439197738048</v>
      </c>
    </row>
    <row r="471" spans="1:47" x14ac:dyDescent="0.25">
      <c r="A471" s="4">
        <f>DATE(2022,10,11)</f>
        <v>44845</v>
      </c>
      <c r="B471">
        <v>0.52583242703598021</v>
      </c>
      <c r="C471">
        <v>40.529824567506701</v>
      </c>
      <c r="D471">
        <v>0.26356216698842627</v>
      </c>
      <c r="E471">
        <f t="shared" si="196"/>
        <v>0.73682318057861607</v>
      </c>
      <c r="F471">
        <f t="shared" si="197"/>
        <v>-0.76457100313631265</v>
      </c>
      <c r="G471">
        <f t="shared" si="198"/>
        <v>-0.69658239333442373</v>
      </c>
      <c r="H471" s="2" t="str">
        <f t="shared" si="199"/>
        <v>Lower</v>
      </c>
      <c r="I471" s="2" t="str">
        <f t="shared" si="200"/>
        <v>Lower</v>
      </c>
      <c r="J471" s="2" t="str">
        <f t="shared" si="201"/>
        <v>Lower</v>
      </c>
      <c r="K471" s="2" t="str">
        <f t="shared" si="202"/>
        <v>Higher</v>
      </c>
      <c r="L471" s="2" t="str">
        <f t="shared" si="203"/>
        <v>Lower</v>
      </c>
      <c r="M471" s="2" t="str">
        <f t="shared" si="204"/>
        <v>Lower</v>
      </c>
      <c r="N471" s="2" t="str">
        <f t="shared" si="205"/>
        <v>Lower</v>
      </c>
      <c r="O471" s="2" t="str">
        <f t="shared" si="206"/>
        <v>Lower</v>
      </c>
      <c r="P471" s="2" t="str">
        <f t="shared" si="207"/>
        <v>Lower</v>
      </c>
      <c r="X471" s="4">
        <f>DATE(2022,10,11)</f>
        <v>44845</v>
      </c>
      <c r="Y471">
        <v>17.133955855142382</v>
      </c>
      <c r="Z471">
        <v>39.168465295264014</v>
      </c>
      <c r="AA471">
        <v>66.432500000000005</v>
      </c>
      <c r="AB471">
        <v>156.78100000000001</v>
      </c>
      <c r="AC471">
        <f t="shared" si="208"/>
        <v>-6.9752026598626201E-3</v>
      </c>
      <c r="AD471">
        <f t="shared" si="209"/>
        <v>-3.2437718512516422E-2</v>
      </c>
      <c r="AE471">
        <f t="shared" si="210"/>
        <v>-2.5462515852653803E-2</v>
      </c>
      <c r="AF471">
        <f t="shared" si="211"/>
        <v>-0.23516343919205551</v>
      </c>
      <c r="AH471">
        <f t="shared" si="212"/>
        <v>-5.2130260106710416E-2</v>
      </c>
      <c r="AI471">
        <f t="shared" si="213"/>
        <v>-0.23650324564158184</v>
      </c>
      <c r="AJ471">
        <f t="shared" si="214"/>
        <v>-0.18437298553487141</v>
      </c>
      <c r="AK471">
        <f t="shared" si="215"/>
        <v>-0.85259454936186241</v>
      </c>
      <c r="AM471">
        <f t="shared" si="216"/>
        <v>-0.23254489778399115</v>
      </c>
      <c r="AN471">
        <f t="shared" si="217"/>
        <v>1.4934186656531555E-2</v>
      </c>
      <c r="AO471">
        <f t="shared" si="218"/>
        <v>0.24747908444052272</v>
      </c>
      <c r="AP471">
        <f t="shared" si="219"/>
        <v>7.4088167321743323E-2</v>
      </c>
      <c r="AR471">
        <f t="shared" si="220"/>
        <v>-0.24772876873753591</v>
      </c>
      <c r="AS471">
        <f t="shared" si="221"/>
        <v>0.55752389400527691</v>
      </c>
      <c r="AT471">
        <f t="shared" si="222"/>
        <v>0.80525266274281282</v>
      </c>
      <c r="AU471">
        <f t="shared" si="223"/>
        <v>1.1183103975119502</v>
      </c>
    </row>
    <row r="472" spans="1:47" x14ac:dyDescent="0.25">
      <c r="A472" s="4">
        <f>DATE(2022,10,10)</f>
        <v>44844</v>
      </c>
      <c r="B472">
        <v>0.60660280190535421</v>
      </c>
      <c r="C472">
        <v>41.263934490927078</v>
      </c>
      <c r="D472">
        <v>0.28539975128823281</v>
      </c>
      <c r="E472">
        <f t="shared" si="196"/>
        <v>0.83847797705939442</v>
      </c>
      <c r="F472">
        <f t="shared" si="197"/>
        <v>-0.70522358453526957</v>
      </c>
      <c r="G472">
        <f t="shared" si="198"/>
        <v>-0.63526661780410698</v>
      </c>
      <c r="H472" s="2" t="str">
        <f t="shared" si="199"/>
        <v>Lower</v>
      </c>
      <c r="I472" s="2" t="str">
        <f t="shared" si="200"/>
        <v>Lower</v>
      </c>
      <c r="J472" s="2" t="str">
        <f t="shared" si="201"/>
        <v>Lower</v>
      </c>
      <c r="K472" s="2" t="str">
        <f t="shared" si="202"/>
        <v>Higher</v>
      </c>
      <c r="L472" s="2" t="str">
        <f t="shared" si="203"/>
        <v>Lower</v>
      </c>
      <c r="M472" s="2" t="str">
        <f t="shared" si="204"/>
        <v>Lower</v>
      </c>
      <c r="N472" s="2" t="str">
        <f t="shared" si="205"/>
        <v>Lower</v>
      </c>
      <c r="O472" s="2" t="str">
        <f t="shared" si="206"/>
        <v>Lower</v>
      </c>
      <c r="P472" s="2" t="str">
        <f t="shared" si="207"/>
        <v>Lower</v>
      </c>
      <c r="X472" s="4">
        <f>DATE(2022,10,10)</f>
        <v>44844</v>
      </c>
      <c r="Y472">
        <v>17.750091672693181</v>
      </c>
      <c r="Z472">
        <v>38.095925254356324</v>
      </c>
      <c r="AA472">
        <v>67.162499999999994</v>
      </c>
      <c r="AB472">
        <v>154.11799999999999</v>
      </c>
      <c r="AC472">
        <f t="shared" si="208"/>
        <v>2.1787846120968162E-2</v>
      </c>
      <c r="AD472">
        <f t="shared" si="209"/>
        <v>-9.7562113193305461E-2</v>
      </c>
      <c r="AE472">
        <f t="shared" si="210"/>
        <v>-0.11934995931427363</v>
      </c>
      <c r="AF472">
        <f t="shared" si="211"/>
        <v>-0.78038470581402841</v>
      </c>
      <c r="AH472">
        <f t="shared" si="212"/>
        <v>-4.8462192141619599E-2</v>
      </c>
      <c r="AI472">
        <f t="shared" si="213"/>
        <v>-0.21239548738885555</v>
      </c>
      <c r="AJ472">
        <f t="shared" si="214"/>
        <v>-0.16393329524723596</v>
      </c>
      <c r="AK472">
        <f t="shared" si="215"/>
        <v>-0.78555370514031608</v>
      </c>
      <c r="AM472">
        <f t="shared" si="216"/>
        <v>-0.23282665056537444</v>
      </c>
      <c r="AN472">
        <f t="shared" si="217"/>
        <v>-2.0169225917666865E-2</v>
      </c>
      <c r="AO472">
        <f t="shared" si="218"/>
        <v>0.21265742464770757</v>
      </c>
      <c r="AP472">
        <f t="shared" si="219"/>
        <v>-9.3335083885390264E-3</v>
      </c>
      <c r="AR472">
        <f t="shared" si="220"/>
        <v>-0.21238798288810048</v>
      </c>
      <c r="AS472">
        <f t="shared" si="221"/>
        <v>0.65028157040648316</v>
      </c>
      <c r="AT472">
        <f t="shared" si="222"/>
        <v>0.86266955329458361</v>
      </c>
      <c r="AU472">
        <f t="shared" si="223"/>
        <v>1.2947677453072586</v>
      </c>
    </row>
    <row r="473" spans="1:47" x14ac:dyDescent="0.25">
      <c r="A473" s="4">
        <f>DATE(2022,10,7)</f>
        <v>44841</v>
      </c>
      <c r="B473">
        <v>0.68760072901508629</v>
      </c>
      <c r="C473">
        <v>46.915822416624088</v>
      </c>
      <c r="D473">
        <v>0.57568393003797769</v>
      </c>
      <c r="E473">
        <f t="shared" si="196"/>
        <v>0.94189329628384066</v>
      </c>
      <c r="F473">
        <f t="shared" si="197"/>
        <v>-0.18600832825934793</v>
      </c>
      <c r="G473">
        <f t="shared" si="198"/>
        <v>0.28622232021876642</v>
      </c>
      <c r="H473" s="2" t="str">
        <f t="shared" si="199"/>
        <v>Lower</v>
      </c>
      <c r="I473" s="2" t="str">
        <f t="shared" si="200"/>
        <v>Lower</v>
      </c>
      <c r="J473" s="2" t="str">
        <f t="shared" si="201"/>
        <v>Lower</v>
      </c>
      <c r="K473" s="2" t="str">
        <f t="shared" si="202"/>
        <v>Lower</v>
      </c>
      <c r="L473" s="2" t="str">
        <f t="shared" si="203"/>
        <v>Lower</v>
      </c>
      <c r="M473" s="2" t="str">
        <f t="shared" si="204"/>
        <v>Lower</v>
      </c>
      <c r="N473" s="2" t="str">
        <f t="shared" si="205"/>
        <v>Lower</v>
      </c>
      <c r="O473" s="2" t="str">
        <f t="shared" si="206"/>
        <v>Lower</v>
      </c>
      <c r="P473" s="2" t="str">
        <f t="shared" si="207"/>
        <v>Lower</v>
      </c>
      <c r="X473" s="4">
        <f>DATE(2022,10,7)</f>
        <v>44841</v>
      </c>
      <c r="Y473">
        <v>19.27249447713119</v>
      </c>
      <c r="Z473">
        <v>38.591549940426148</v>
      </c>
      <c r="AA473">
        <v>69.429999999999993</v>
      </c>
      <c r="AB473">
        <v>156.20699999999999</v>
      </c>
      <c r="AC473">
        <f t="shared" si="208"/>
        <v>3.943966265748617E-2</v>
      </c>
      <c r="AD473">
        <f t="shared" si="209"/>
        <v>-0.18950620296935836</v>
      </c>
      <c r="AE473">
        <f t="shared" si="210"/>
        <v>-0.22894586562684452</v>
      </c>
      <c r="AF473">
        <f t="shared" si="211"/>
        <v>-1.4181017129691658</v>
      </c>
      <c r="AH473">
        <f t="shared" si="212"/>
        <v>4.4396116180715435E-2</v>
      </c>
      <c r="AI473">
        <f t="shared" si="213"/>
        <v>-0.28197625944818144</v>
      </c>
      <c r="AJ473">
        <f t="shared" si="214"/>
        <v>-0.32637237562889687</v>
      </c>
      <c r="AK473">
        <f t="shared" si="215"/>
        <v>-1.3450588252930891</v>
      </c>
      <c r="AM473">
        <f t="shared" si="216"/>
        <v>-0.20236161705732292</v>
      </c>
      <c r="AN473">
        <f t="shared" si="217"/>
        <v>-2.1281845977147103E-2</v>
      </c>
      <c r="AO473">
        <f t="shared" si="218"/>
        <v>0.18107977108017581</v>
      </c>
      <c r="AP473">
        <f t="shared" si="219"/>
        <v>-8.4879089156748327E-2</v>
      </c>
      <c r="AR473">
        <f t="shared" si="220"/>
        <v>-0.14824864445208072</v>
      </c>
      <c r="AS473">
        <f t="shared" si="221"/>
        <v>0.76741964227436821</v>
      </c>
      <c r="AT473">
        <f t="shared" si="222"/>
        <v>0.91566828672644895</v>
      </c>
      <c r="AU473">
        <f t="shared" si="223"/>
        <v>1.4582757736620084</v>
      </c>
    </row>
    <row r="474" spans="1:47" x14ac:dyDescent="0.25">
      <c r="A474" s="4">
        <f>DATE(2022,10,6)</f>
        <v>44840</v>
      </c>
      <c r="B474">
        <v>0.49457329251698701</v>
      </c>
      <c r="C474">
        <v>44.890540008240031</v>
      </c>
      <c r="D474">
        <v>0.50423533686212574</v>
      </c>
      <c r="E474">
        <f t="shared" si="196"/>
        <v>0.71158437815593667</v>
      </c>
      <c r="F474">
        <f t="shared" si="197"/>
        <v>-0.37818982959970288</v>
      </c>
      <c r="G474">
        <f t="shared" si="198"/>
        <v>5.4361215673581327E-2</v>
      </c>
      <c r="H474" s="2" t="str">
        <f t="shared" si="199"/>
        <v>Lower</v>
      </c>
      <c r="I474" s="2" t="str">
        <f t="shared" si="200"/>
        <v>Lower</v>
      </c>
      <c r="J474" s="2" t="str">
        <f t="shared" si="201"/>
        <v>Lower</v>
      </c>
      <c r="K474" s="2" t="str">
        <f t="shared" si="202"/>
        <v>Lower</v>
      </c>
      <c r="L474" s="2" t="str">
        <f t="shared" si="203"/>
        <v>Lower</v>
      </c>
      <c r="M474" s="2" t="str">
        <f t="shared" si="204"/>
        <v>Lower</v>
      </c>
      <c r="N474" s="2" t="str">
        <f t="shared" si="205"/>
        <v>Lower</v>
      </c>
      <c r="O474" s="2" t="str">
        <f t="shared" si="206"/>
        <v>Lower</v>
      </c>
      <c r="P474" s="2" t="str">
        <f t="shared" si="207"/>
        <v>Lower</v>
      </c>
      <c r="X474" s="4">
        <f>DATE(2022,10,6)</f>
        <v>44840</v>
      </c>
      <c r="Y474">
        <v>18.524706426500721</v>
      </c>
      <c r="Z474">
        <v>43.498042430074605</v>
      </c>
      <c r="AA474">
        <v>68.227499999999992</v>
      </c>
      <c r="AB474">
        <v>175.71199999999999</v>
      </c>
      <c r="AC474">
        <f t="shared" si="208"/>
        <v>3.9043381033939416E-2</v>
      </c>
      <c r="AD474">
        <f t="shared" si="209"/>
        <v>-6.5812167341010891E-2</v>
      </c>
      <c r="AE474">
        <f t="shared" si="210"/>
        <v>-0.10485554837495031</v>
      </c>
      <c r="AF474">
        <f t="shared" si="211"/>
        <v>-0.70312375590408649</v>
      </c>
      <c r="AH474">
        <f t="shared" si="212"/>
        <v>1.1498191907546402E-2</v>
      </c>
      <c r="AI474">
        <f t="shared" si="213"/>
        <v>-0.22723732754862941</v>
      </c>
      <c r="AJ474">
        <f t="shared" si="214"/>
        <v>-0.2387355194561758</v>
      </c>
      <c r="AK474">
        <f t="shared" si="215"/>
        <v>-1.0486229721456282</v>
      </c>
      <c r="AM474">
        <f t="shared" si="216"/>
        <v>-0.20793932711346802</v>
      </c>
      <c r="AN474">
        <f t="shared" si="217"/>
        <v>3.8717635217335421E-3</v>
      </c>
      <c r="AO474">
        <f t="shared" si="218"/>
        <v>0.21181109063520157</v>
      </c>
      <c r="AP474">
        <f t="shared" si="219"/>
        <v>-9.5405114545659038E-3</v>
      </c>
      <c r="AR474">
        <f t="shared" si="220"/>
        <v>-0.15986618907182851</v>
      </c>
      <c r="AS474">
        <f t="shared" si="221"/>
        <v>0.68180951463851158</v>
      </c>
      <c r="AT474">
        <f t="shared" si="222"/>
        <v>0.84167570371034006</v>
      </c>
      <c r="AU474">
        <f t="shared" si="223"/>
        <v>1.2401414406579805</v>
      </c>
    </row>
    <row r="475" spans="1:47" x14ac:dyDescent="0.25">
      <c r="A475" s="4">
        <f>DATE(2022,10,5)</f>
        <v>44839</v>
      </c>
      <c r="B475">
        <v>0.28721593041884486</v>
      </c>
      <c r="C475">
        <v>40.407020587359177</v>
      </c>
      <c r="D475">
        <v>0.32831303704130815</v>
      </c>
      <c r="E475">
        <f t="shared" si="196"/>
        <v>0.46093338060921113</v>
      </c>
      <c r="F475">
        <f t="shared" si="197"/>
        <v>-0.80042606205201106</v>
      </c>
      <c r="G475">
        <f t="shared" si="198"/>
        <v>-0.50889766910001932</v>
      </c>
      <c r="H475" s="2" t="str">
        <f t="shared" si="199"/>
        <v>Lower</v>
      </c>
      <c r="I475" s="2" t="str">
        <f t="shared" si="200"/>
        <v>Lower</v>
      </c>
      <c r="J475" s="2" t="str">
        <f t="shared" si="201"/>
        <v>Lower</v>
      </c>
      <c r="K475" s="2" t="str">
        <f t="shared" si="202"/>
        <v>Lower</v>
      </c>
      <c r="L475" s="2" t="str">
        <f t="shared" si="203"/>
        <v>Lower</v>
      </c>
      <c r="M475" s="2" t="str">
        <f t="shared" si="204"/>
        <v>Lower</v>
      </c>
      <c r="N475" s="2" t="str">
        <f t="shared" si="205"/>
        <v>Lower</v>
      </c>
      <c r="O475" s="2" t="str">
        <f t="shared" si="206"/>
        <v>Lower</v>
      </c>
      <c r="P475" s="2" t="str">
        <f t="shared" si="207"/>
        <v>Lower</v>
      </c>
      <c r="X475" s="4">
        <f>DATE(2022,10,5)</f>
        <v>44839</v>
      </c>
      <c r="Y475">
        <v>20.03255986016709</v>
      </c>
      <c r="Z475">
        <v>42.79903231788284</v>
      </c>
      <c r="AA475">
        <v>68.009999999999991</v>
      </c>
      <c r="AB475">
        <v>173.69300000000001</v>
      </c>
      <c r="AC475">
        <f t="shared" si="208"/>
        <v>3.4023245038979529E-2</v>
      </c>
      <c r="AD475">
        <f t="shared" si="209"/>
        <v>-0.17633239403597445</v>
      </c>
      <c r="AE475">
        <f t="shared" si="210"/>
        <v>-0.21035563907495397</v>
      </c>
      <c r="AF475">
        <f t="shared" si="211"/>
        <v>-1.3190904926035585</v>
      </c>
      <c r="AH475">
        <f t="shared" si="212"/>
        <v>-1.8681922043325753E-2</v>
      </c>
      <c r="AI475">
        <f t="shared" si="213"/>
        <v>-0.20813976347081362</v>
      </c>
      <c r="AJ475">
        <f t="shared" si="214"/>
        <v>-0.18945784142748787</v>
      </c>
      <c r="AK475">
        <f t="shared" si="215"/>
        <v>-0.88088048757097126</v>
      </c>
      <c r="AM475">
        <f t="shared" si="216"/>
        <v>-0.21665289569074592</v>
      </c>
      <c r="AN475">
        <f t="shared" si="217"/>
        <v>-3.8469105152005828E-2</v>
      </c>
      <c r="AO475">
        <f t="shared" si="218"/>
        <v>0.17818379053874009</v>
      </c>
      <c r="AP475">
        <f t="shared" si="219"/>
        <v>-8.9890401179552271E-2</v>
      </c>
      <c r="AR475">
        <f t="shared" si="220"/>
        <v>-0.16143394175835807</v>
      </c>
      <c r="AS475">
        <f t="shared" si="221"/>
        <v>0.5671617614254707</v>
      </c>
      <c r="AT475">
        <f t="shared" si="222"/>
        <v>0.72859570318382882</v>
      </c>
      <c r="AU475">
        <f t="shared" si="223"/>
        <v>0.90378892631350016</v>
      </c>
    </row>
    <row r="476" spans="1:47" x14ac:dyDescent="0.25">
      <c r="A476" s="4">
        <f>DATE(2022,10,4)</f>
        <v>44838</v>
      </c>
      <c r="B476">
        <v>0.17795230329844625</v>
      </c>
      <c r="C476">
        <v>40.047465195613675</v>
      </c>
      <c r="D476">
        <v>0.30166570142735216</v>
      </c>
      <c r="E476">
        <f t="shared" si="196"/>
        <v>0.32831708952137367</v>
      </c>
      <c r="F476">
        <f t="shared" si="197"/>
        <v>-0.84054494962934168</v>
      </c>
      <c r="G476">
        <f t="shared" si="198"/>
        <v>-0.59192281056517537</v>
      </c>
      <c r="H476" s="2" t="str">
        <f t="shared" si="199"/>
        <v>Lower</v>
      </c>
      <c r="I476" s="2" t="str">
        <f t="shared" si="200"/>
        <v>Lower</v>
      </c>
      <c r="J476" s="2" t="str">
        <f t="shared" si="201"/>
        <v>Lower</v>
      </c>
      <c r="K476" s="2" t="str">
        <f t="shared" si="202"/>
        <v>Lower</v>
      </c>
      <c r="L476" s="2" t="str">
        <f t="shared" si="203"/>
        <v>Lower</v>
      </c>
      <c r="M476" s="2" t="str">
        <f t="shared" si="204"/>
        <v>Lower</v>
      </c>
      <c r="N476" s="2" t="str">
        <f t="shared" si="205"/>
        <v>Lower</v>
      </c>
      <c r="O476" s="2" t="str">
        <f t="shared" si="206"/>
        <v>Lower</v>
      </c>
      <c r="P476" s="2" t="str">
        <f t="shared" si="207"/>
        <v>Lower</v>
      </c>
      <c r="X476" s="4">
        <f>DATE(2022,10,4)</f>
        <v>44838</v>
      </c>
      <c r="Y476">
        <v>15.770636971410765</v>
      </c>
      <c r="Z476">
        <v>38.7034074751923</v>
      </c>
      <c r="AA476">
        <v>66.897500000000008</v>
      </c>
      <c r="AB476">
        <v>161.94999999999999</v>
      </c>
      <c r="AC476">
        <f t="shared" si="208"/>
        <v>-2.5094493690919904E-2</v>
      </c>
      <c r="AD476">
        <f t="shared" si="209"/>
        <v>-0.1389911445612981</v>
      </c>
      <c r="AE476">
        <f t="shared" si="210"/>
        <v>-0.1138966508703782</v>
      </c>
      <c r="AF476">
        <f t="shared" si="211"/>
        <v>-0.7628327231154528</v>
      </c>
      <c r="AH476">
        <f t="shared" si="212"/>
        <v>-5.8355632369484836E-2</v>
      </c>
      <c r="AI476">
        <f t="shared" si="213"/>
        <v>-0.39269272759477608</v>
      </c>
      <c r="AJ476">
        <f t="shared" si="214"/>
        <v>-0.33433709522529126</v>
      </c>
      <c r="AK476">
        <f t="shared" si="215"/>
        <v>-1.3798874580100315</v>
      </c>
      <c r="AM476">
        <f t="shared" si="216"/>
        <v>-0.24151701455262181</v>
      </c>
      <c r="AN476">
        <f t="shared" si="217"/>
        <v>-6.3741275357375157E-2</v>
      </c>
      <c r="AO476">
        <f t="shared" si="218"/>
        <v>0.17777573919524664</v>
      </c>
      <c r="AP476">
        <f t="shared" si="219"/>
        <v>-8.9960213586494794E-2</v>
      </c>
      <c r="AR476">
        <f t="shared" si="220"/>
        <v>-0.16146452276555046</v>
      </c>
      <c r="AS476">
        <f t="shared" si="221"/>
        <v>0.41829794691629274</v>
      </c>
      <c r="AT476">
        <f t="shared" si="222"/>
        <v>0.5797624696818432</v>
      </c>
      <c r="AU476">
        <f t="shared" si="223"/>
        <v>0.45980289308225414</v>
      </c>
    </row>
    <row r="477" spans="1:47" x14ac:dyDescent="0.25">
      <c r="A477" s="4">
        <f>DATE(2022,10,3)</f>
        <v>44837</v>
      </c>
      <c r="B477">
        <v>5.8212395565104824E-2</v>
      </c>
      <c r="C477">
        <v>37.770280424080255</v>
      </c>
      <c r="D477">
        <v>0.18590426648499686</v>
      </c>
      <c r="E477">
        <f t="shared" si="196"/>
        <v>0.18054846060206531</v>
      </c>
      <c r="F477">
        <f t="shared" si="197"/>
        <v>-1.0618487564729715</v>
      </c>
      <c r="G477">
        <f t="shared" si="198"/>
        <v>-0.96405212566855725</v>
      </c>
      <c r="H477" s="2" t="str">
        <f t="shared" si="199"/>
        <v>Lower</v>
      </c>
      <c r="I477" s="2" t="str">
        <f t="shared" si="200"/>
        <v>Lower</v>
      </c>
      <c r="J477" s="2" t="str">
        <f t="shared" si="201"/>
        <v>Lower</v>
      </c>
      <c r="K477" s="2" t="str">
        <f t="shared" si="202"/>
        <v>Lower</v>
      </c>
      <c r="L477" s="2" t="str">
        <f t="shared" si="203"/>
        <v>Lower</v>
      </c>
      <c r="M477" s="2" t="str">
        <f t="shared" si="204"/>
        <v>Lower</v>
      </c>
      <c r="N477" s="2" t="str">
        <f t="shared" si="205"/>
        <v>Lower</v>
      </c>
      <c r="O477" s="2" t="str">
        <f t="shared" si="206"/>
        <v>Lower</v>
      </c>
      <c r="P477" s="2" t="str">
        <f t="shared" si="207"/>
        <v>Lower</v>
      </c>
      <c r="X477" s="4">
        <f>DATE(2022,10,3)</f>
        <v>44837</v>
      </c>
      <c r="Y477">
        <v>13.399908653004081</v>
      </c>
      <c r="Z477">
        <v>40.530477074974151</v>
      </c>
      <c r="AA477">
        <v>65.715000000000003</v>
      </c>
      <c r="AB477">
        <v>169.91200000000001</v>
      </c>
      <c r="AC477">
        <f t="shared" si="208"/>
        <v>-5.1348455310045442E-2</v>
      </c>
      <c r="AD477">
        <f t="shared" si="209"/>
        <v>-2.2820164890501336E-2</v>
      </c>
      <c r="AE477">
        <f t="shared" si="210"/>
        <v>2.8528290419544106E-2</v>
      </c>
      <c r="AF477">
        <f t="shared" si="211"/>
        <v>6.4081706181260759E-2</v>
      </c>
      <c r="AH477">
        <f t="shared" si="212"/>
        <v>-0.13246085861133705</v>
      </c>
      <c r="AI477" t="str">
        <f t="shared" si="213"/>
        <v/>
      </c>
      <c r="AJ477" t="str">
        <f t="shared" si="214"/>
        <v/>
      </c>
      <c r="AK477" t="str">
        <f t="shared" si="215"/>
        <v/>
      </c>
      <c r="AM477">
        <f t="shared" si="216"/>
        <v>-0.24560862944278417</v>
      </c>
      <c r="AN477">
        <f t="shared" si="217"/>
        <v>3.2248512603722163E-2</v>
      </c>
      <c r="AO477">
        <f t="shared" si="218"/>
        <v>0.27785714204650636</v>
      </c>
      <c r="AP477">
        <f t="shared" si="219"/>
        <v>0.15253494665289985</v>
      </c>
      <c r="AR477">
        <f t="shared" si="220"/>
        <v>-0.15199621010310968</v>
      </c>
      <c r="AS477">
        <f t="shared" si="221"/>
        <v>0.47970494454057078</v>
      </c>
      <c r="AT477">
        <f t="shared" si="222"/>
        <v>0.63170115464368048</v>
      </c>
      <c r="AU477">
        <f t="shared" si="223"/>
        <v>0.61824287528599808</v>
      </c>
    </row>
    <row r="478" spans="1:47" x14ac:dyDescent="0.25">
      <c r="A478" s="4">
        <f>DATE(2022,9,30)</f>
        <v>44834</v>
      </c>
      <c r="B478">
        <v>1.693057940068643E-2</v>
      </c>
      <c r="C478">
        <v>38.875604501745656</v>
      </c>
      <c r="D478">
        <v>0.23810994773480587</v>
      </c>
      <c r="E478">
        <f t="shared" si="196"/>
        <v>0.12663956000034382</v>
      </c>
      <c r="F478">
        <f t="shared" si="197"/>
        <v>-0.97121328278069974</v>
      </c>
      <c r="G478">
        <f t="shared" si="198"/>
        <v>-0.81092283975170287</v>
      </c>
      <c r="H478" s="2" t="str">
        <f t="shared" si="199"/>
        <v>Lower</v>
      </c>
      <c r="I478" s="2" t="str">
        <f t="shared" si="200"/>
        <v>Lower</v>
      </c>
      <c r="J478" s="2" t="str">
        <f t="shared" si="201"/>
        <v>Lower</v>
      </c>
      <c r="K478" s="2" t="str">
        <f t="shared" si="202"/>
        <v>Lower</v>
      </c>
      <c r="L478" s="2" t="str">
        <f t="shared" si="203"/>
        <v>Lower</v>
      </c>
      <c r="M478" s="2" t="str">
        <f t="shared" si="204"/>
        <v>Lower</v>
      </c>
      <c r="N478" s="2" t="str">
        <f t="shared" si="205"/>
        <v>Lower</v>
      </c>
      <c r="O478" s="2" t="str">
        <f t="shared" si="206"/>
        <v>Lower</v>
      </c>
      <c r="P478" s="2" t="str">
        <f t="shared" si="207"/>
        <v>Lower</v>
      </c>
      <c r="X478" s="4">
        <f>DATE(2022,9,30)</f>
        <v>44834</v>
      </c>
      <c r="Y478">
        <v>14.06484837017031</v>
      </c>
      <c r="Z478">
        <v>45.234337570237891</v>
      </c>
      <c r="AA478">
        <v>66.745000000000005</v>
      </c>
      <c r="AB478">
        <v>188.8</v>
      </c>
      <c r="AC478">
        <f t="shared" si="208"/>
        <v>-7.8626658486509178E-4</v>
      </c>
      <c r="AD478">
        <f t="shared" si="209"/>
        <v>1.7660326205078472E-2</v>
      </c>
      <c r="AE478">
        <f t="shared" si="210"/>
        <v>1.8446592789943563E-2</v>
      </c>
      <c r="AF478">
        <f t="shared" si="211"/>
        <v>4.4804477492107093E-3</v>
      </c>
      <c r="AH478">
        <f t="shared" si="212"/>
        <v>-0.16365133176192617</v>
      </c>
      <c r="AI478">
        <f t="shared" si="213"/>
        <v>-0.12839041971954845</v>
      </c>
      <c r="AJ478">
        <f t="shared" si="214"/>
        <v>3.5260912042377718E-2</v>
      </c>
      <c r="AK478">
        <f t="shared" si="215"/>
        <v>-0.11695393048891178</v>
      </c>
      <c r="AM478">
        <f t="shared" si="216"/>
        <v>-0.22150913525398444</v>
      </c>
      <c r="AN478">
        <f t="shared" si="217"/>
        <v>7.4691584403973096E-2</v>
      </c>
      <c r="AO478">
        <f t="shared" si="218"/>
        <v>0.29620071965795752</v>
      </c>
      <c r="AP478">
        <f t="shared" si="219"/>
        <v>0.1978880563608186</v>
      </c>
      <c r="AR478">
        <f t="shared" si="220"/>
        <v>-0.12985395217863538</v>
      </c>
      <c r="AS478" t="str">
        <f t="shared" si="221"/>
        <v/>
      </c>
      <c r="AT478" t="str">
        <f t="shared" si="222"/>
        <v/>
      </c>
      <c r="AU478" t="str">
        <f t="shared" si="223"/>
        <v/>
      </c>
    </row>
    <row r="479" spans="1:47" x14ac:dyDescent="0.25">
      <c r="A479" s="4">
        <f>DATE(2022,9,29)</f>
        <v>44833</v>
      </c>
      <c r="B479">
        <v>-7.5727392537318305E-2</v>
      </c>
      <c r="C479">
        <v>36.69822505770933</v>
      </c>
      <c r="D479">
        <v>0.15463361541231274</v>
      </c>
      <c r="E479">
        <f t="shared" si="196"/>
        <v>9.4598647720289062E-3</v>
      </c>
      <c r="F479">
        <f t="shared" si="197"/>
        <v>-1.1876513214803013</v>
      </c>
      <c r="G479">
        <f t="shared" si="198"/>
        <v>-1.0875694051056279</v>
      </c>
      <c r="H479" s="2" t="str">
        <f t="shared" si="199"/>
        <v>Lower</v>
      </c>
      <c r="I479" s="2" t="str">
        <f t="shared" si="200"/>
        <v>Lower</v>
      </c>
      <c r="J479" s="2" t="str">
        <f t="shared" si="201"/>
        <v>Lower</v>
      </c>
      <c r="K479" s="2" t="str">
        <f t="shared" si="202"/>
        <v>Lower</v>
      </c>
      <c r="L479" s="2" t="str">
        <f t="shared" si="203"/>
        <v>Lower</v>
      </c>
      <c r="M479" s="2" t="str">
        <f t="shared" si="204"/>
        <v>Lower</v>
      </c>
      <c r="N479" s="2" t="str">
        <f t="shared" si="205"/>
        <v>Lower</v>
      </c>
      <c r="O479" s="2" t="str">
        <f t="shared" si="206"/>
        <v>Lower</v>
      </c>
      <c r="P479" s="2" t="str">
        <f t="shared" si="207"/>
        <v>Lower</v>
      </c>
      <c r="X479" s="4">
        <f>DATE(2022,9,29)</f>
        <v>44833</v>
      </c>
      <c r="Y479">
        <v>11.534818542335854</v>
      </c>
      <c r="Z479">
        <v>44.877366589642563</v>
      </c>
      <c r="AA479">
        <v>65.615000000000009</v>
      </c>
      <c r="AB479">
        <v>187.66499999999999</v>
      </c>
      <c r="AC479">
        <f t="shared" si="208"/>
        <v>-6.8291566421008171E-2</v>
      </c>
      <c r="AD479">
        <f t="shared" si="209"/>
        <v>1.0502942588869473E-3</v>
      </c>
      <c r="AE479">
        <f t="shared" si="210"/>
        <v>6.9341860679895118E-2</v>
      </c>
      <c r="AF479">
        <f t="shared" si="211"/>
        <v>0.30037028061341675</v>
      </c>
      <c r="AH479">
        <f t="shared" si="212"/>
        <v>-0.19940910180519666</v>
      </c>
      <c r="AI479">
        <f t="shared" si="213"/>
        <v>-0.258419445672946</v>
      </c>
      <c r="AJ479">
        <f t="shared" si="214"/>
        <v>-5.9010343867749337E-2</v>
      </c>
      <c r="AK479">
        <f t="shared" si="215"/>
        <v>-0.44147284307281759</v>
      </c>
      <c r="AM479">
        <f t="shared" si="216"/>
        <v>-0.25312470505389101</v>
      </c>
      <c r="AN479">
        <f t="shared" si="217"/>
        <v>2.4172805262968628E-2</v>
      </c>
      <c r="AO479">
        <f t="shared" si="218"/>
        <v>0.27729751031685962</v>
      </c>
      <c r="AP479">
        <f t="shared" si="219"/>
        <v>0.15351217186831079</v>
      </c>
      <c r="AR479">
        <f t="shared" si="220"/>
        <v>-0.13674575922387996</v>
      </c>
      <c r="AS479">
        <f t="shared" si="221"/>
        <v>0.30592398612895261</v>
      </c>
      <c r="AT479">
        <f t="shared" si="222"/>
        <v>0.44266974535283254</v>
      </c>
      <c r="AU479">
        <f t="shared" si="223"/>
        <v>5.490768718370527E-2</v>
      </c>
    </row>
    <row r="480" spans="1:47" x14ac:dyDescent="0.25">
      <c r="A480" s="4">
        <f>DATE(2022,9,28)</f>
        <v>44832</v>
      </c>
      <c r="B480">
        <v>-6.0290641805849976E-2</v>
      </c>
      <c r="C480">
        <v>35.460016865280437</v>
      </c>
      <c r="D480">
        <v>0.12263953719209597</v>
      </c>
      <c r="E480">
        <f t="shared" si="196"/>
        <v>2.2388516724972773E-2</v>
      </c>
      <c r="F480">
        <f t="shared" si="197"/>
        <v>-1.3178582453195844</v>
      </c>
      <c r="G480">
        <f t="shared" si="198"/>
        <v>-1.2042870151828169</v>
      </c>
      <c r="H480" s="2" t="str">
        <f t="shared" si="199"/>
        <v>Lower</v>
      </c>
      <c r="I480" s="2" t="str">
        <f t="shared" si="200"/>
        <v>Lower</v>
      </c>
      <c r="J480" s="2" t="str">
        <f t="shared" si="201"/>
        <v>Lower</v>
      </c>
      <c r="K480" s="2" t="str">
        <f t="shared" si="202"/>
        <v>Lower</v>
      </c>
      <c r="L480" s="2" t="str">
        <f t="shared" si="203"/>
        <v>Lower</v>
      </c>
      <c r="M480" s="2" t="str">
        <f t="shared" si="204"/>
        <v>Lower</v>
      </c>
      <c r="N480" s="2" t="str">
        <f t="shared" si="205"/>
        <v>Lower</v>
      </c>
      <c r="O480" s="2" t="str">
        <f t="shared" si="206"/>
        <v>Lower</v>
      </c>
      <c r="P480" s="2" t="str">
        <f t="shared" si="207"/>
        <v>Lower</v>
      </c>
      <c r="X480" s="4">
        <f>DATE(2022,9,28)</f>
        <v>44832</v>
      </c>
      <c r="Y480">
        <v>12.148232515905113</v>
      </c>
      <c r="Z480">
        <v>50.092102705404763</v>
      </c>
      <c r="AA480">
        <v>65.734999999999999</v>
      </c>
      <c r="AB480">
        <v>207.18700000000001</v>
      </c>
      <c r="AC480">
        <f t="shared" si="208"/>
        <v>-6.4540898102875915E-2</v>
      </c>
      <c r="AD480">
        <f t="shared" si="209"/>
        <v>8.7750991313396004E-2</v>
      </c>
      <c r="AE480">
        <f t="shared" si="210"/>
        <v>0.15229188941627192</v>
      </c>
      <c r="AF480">
        <f t="shared" si="211"/>
        <v>0.78386437261720432</v>
      </c>
      <c r="AH480">
        <f t="shared" si="212"/>
        <v>-0.19848668768550587</v>
      </c>
      <c r="AI480">
        <f t="shared" si="213"/>
        <v>-0.14662958114019728</v>
      </c>
      <c r="AJ480">
        <f t="shared" si="214"/>
        <v>5.185710654530859E-2</v>
      </c>
      <c r="AK480">
        <f t="shared" si="215"/>
        <v>-6.1724452148990867E-2</v>
      </c>
      <c r="AM480">
        <f t="shared" si="216"/>
        <v>-0.23855622404679858</v>
      </c>
      <c r="AN480">
        <f t="shared" si="217"/>
        <v>0.19196405857192417</v>
      </c>
      <c r="AO480">
        <f t="shared" si="218"/>
        <v>0.43052028261872277</v>
      </c>
      <c r="AP480">
        <f t="shared" si="219"/>
        <v>0.52332094930253081</v>
      </c>
      <c r="AR480">
        <f t="shared" si="220"/>
        <v>-0.16232114619156254</v>
      </c>
      <c r="AS480">
        <f t="shared" si="221"/>
        <v>0.17582444271643075</v>
      </c>
      <c r="AT480">
        <f t="shared" si="222"/>
        <v>0.33814558890799329</v>
      </c>
      <c r="AU480">
        <f t="shared" si="223"/>
        <v>-0.25531901540547075</v>
      </c>
    </row>
    <row r="481" spans="1:47" x14ac:dyDescent="0.25">
      <c r="A481" s="4">
        <f>DATE(2022,9,27)</f>
        <v>44831</v>
      </c>
      <c r="B481">
        <v>8.3277492282923138E-2</v>
      </c>
      <c r="C481">
        <v>38.881639852579326</v>
      </c>
      <c r="D481">
        <v>0.27632586479733645</v>
      </c>
      <c r="E481">
        <f t="shared" si="196"/>
        <v>0.18743295230208271</v>
      </c>
      <c r="F481">
        <f t="shared" si="197"/>
        <v>-1.0103164154615347</v>
      </c>
      <c r="G481">
        <f t="shared" si="198"/>
        <v>-0.72824964388785474</v>
      </c>
      <c r="H481" s="2" t="str">
        <f t="shared" si="199"/>
        <v>Lower</v>
      </c>
      <c r="I481" s="2" t="str">
        <f t="shared" si="200"/>
        <v>Lower</v>
      </c>
      <c r="J481" s="2" t="str">
        <f t="shared" si="201"/>
        <v>Lower</v>
      </c>
      <c r="K481" s="2" t="str">
        <f t="shared" si="202"/>
        <v>Lower</v>
      </c>
      <c r="L481" s="2" t="str">
        <f t="shared" si="203"/>
        <v>Lower</v>
      </c>
      <c r="M481" s="2" t="str">
        <f t="shared" si="204"/>
        <v>Lower</v>
      </c>
      <c r="N481" s="2" t="str">
        <f t="shared" si="205"/>
        <v>Lower</v>
      </c>
      <c r="O481" s="2" t="str">
        <f t="shared" si="206"/>
        <v>Lower</v>
      </c>
      <c r="P481" s="2" t="str">
        <f t="shared" si="207"/>
        <v>Lower</v>
      </c>
      <c r="X481" s="4">
        <f>DATE(2022,9,27)</f>
        <v>44831</v>
      </c>
      <c r="Y481">
        <v>13.07388745121891</v>
      </c>
      <c r="Z481">
        <v>43.507616799637852</v>
      </c>
      <c r="AA481">
        <v>68.597499999999997</v>
      </c>
      <c r="AB481">
        <v>186.09899999999999</v>
      </c>
      <c r="AC481">
        <f t="shared" si="208"/>
        <v>-3.9831672322099616E-2</v>
      </c>
      <c r="AD481">
        <f t="shared" si="209"/>
        <v>-4.2913530042156339E-2</v>
      </c>
      <c r="AE481">
        <f t="shared" si="210"/>
        <v>-3.0818577200567229E-3</v>
      </c>
      <c r="AF481">
        <f t="shared" si="211"/>
        <v>-0.12061897221588816</v>
      </c>
      <c r="AH481">
        <f t="shared" si="212"/>
        <v>-0.17977327337670232</v>
      </c>
      <c r="AI481">
        <f t="shared" si="213"/>
        <v>-0.30686165568257601</v>
      </c>
      <c r="AJ481">
        <f t="shared" si="214"/>
        <v>-0.12708838230587369</v>
      </c>
      <c r="AK481">
        <f t="shared" si="215"/>
        <v>-0.6768487255280542</v>
      </c>
      <c r="AM481">
        <f t="shared" si="216"/>
        <v>-0.19626114537559866</v>
      </c>
      <c r="AN481">
        <f t="shared" si="217"/>
        <v>0.11989098987637951</v>
      </c>
      <c r="AO481">
        <f t="shared" si="218"/>
        <v>0.31615213525197816</v>
      </c>
      <c r="AP481">
        <f t="shared" si="219"/>
        <v>0.24989256724932193</v>
      </c>
      <c r="AR481">
        <f t="shared" si="220"/>
        <v>-0.16254444030615917</v>
      </c>
      <c r="AS481">
        <f t="shared" si="221"/>
        <v>6.3636540963308258E-2</v>
      </c>
      <c r="AT481">
        <f t="shared" si="222"/>
        <v>0.22618098126946742</v>
      </c>
      <c r="AU481">
        <f t="shared" si="223"/>
        <v>-0.58821390754364633</v>
      </c>
    </row>
    <row r="482" spans="1:47" x14ac:dyDescent="0.25">
      <c r="A482" s="4">
        <f>DATE(2022,9,26)</f>
        <v>44830</v>
      </c>
      <c r="B482">
        <v>7.3881882981469804E-2</v>
      </c>
      <c r="C482">
        <v>42.060027549628401</v>
      </c>
      <c r="D482">
        <v>0.39382757186144546</v>
      </c>
      <c r="E482">
        <f t="shared" si="196"/>
        <v>0.16610289709972628</v>
      </c>
      <c r="F482">
        <f t="shared" si="197"/>
        <v>-0.72079998843252213</v>
      </c>
      <c r="G482">
        <f t="shared" si="198"/>
        <v>-0.36212850107105549</v>
      </c>
      <c r="H482" s="2" t="str">
        <f t="shared" si="199"/>
        <v>Lower</v>
      </c>
      <c r="I482" s="2" t="str">
        <f t="shared" si="200"/>
        <v>Lower</v>
      </c>
      <c r="J482" s="2" t="str">
        <f t="shared" si="201"/>
        <v>Lower</v>
      </c>
      <c r="K482" s="2" t="str">
        <f t="shared" si="202"/>
        <v>Lower</v>
      </c>
      <c r="L482" s="2" t="str">
        <f t="shared" si="203"/>
        <v>Lower</v>
      </c>
      <c r="M482" s="2" t="str">
        <f t="shared" si="204"/>
        <v>Lower</v>
      </c>
      <c r="N482" s="2" t="str">
        <f t="shared" si="205"/>
        <v>Lower</v>
      </c>
      <c r="O482" s="2" t="str">
        <f t="shared" si="206"/>
        <v>Lower</v>
      </c>
      <c r="P482" s="2" t="str">
        <f t="shared" si="207"/>
        <v>Lower</v>
      </c>
      <c r="X482" s="4">
        <f>DATE(2022,9,26)</f>
        <v>44830</v>
      </c>
      <c r="Y482">
        <v>14.022810082789228</v>
      </c>
      <c r="Z482">
        <v>39.173577631378144</v>
      </c>
      <c r="AA482">
        <v>69.177500000000009</v>
      </c>
      <c r="AB482">
        <v>173.834</v>
      </c>
      <c r="AC482">
        <f t="shared" si="208"/>
        <v>-3.3546122491203596E-2</v>
      </c>
      <c r="AD482">
        <f t="shared" si="209"/>
        <v>-4.7344391486123689E-2</v>
      </c>
      <c r="AE482">
        <f t="shared" si="210"/>
        <v>-1.3798268994920093E-2</v>
      </c>
      <c r="AF482">
        <f t="shared" si="211"/>
        <v>-0.18439754712284082</v>
      </c>
      <c r="AH482">
        <f t="shared" si="212"/>
        <v>-0.23356214720392357</v>
      </c>
      <c r="AI482">
        <f t="shared" si="213"/>
        <v>-0.44991570348115922</v>
      </c>
      <c r="AJ482">
        <f t="shared" si="214"/>
        <v>-0.21635355627723565</v>
      </c>
      <c r="AK482">
        <f t="shared" si="215"/>
        <v>-0.98672890413950365</v>
      </c>
      <c r="AM482">
        <f t="shared" si="216"/>
        <v>-0.20529889174859628</v>
      </c>
      <c r="AN482" t="str">
        <f t="shared" si="217"/>
        <v/>
      </c>
      <c r="AO482" t="str">
        <f t="shared" si="218"/>
        <v/>
      </c>
      <c r="AP482" t="str">
        <f t="shared" si="219"/>
        <v/>
      </c>
      <c r="AR482">
        <f t="shared" si="220"/>
        <v>-0.12221027698822209</v>
      </c>
      <c r="AS482">
        <f t="shared" si="221"/>
        <v>0.17834234720625103</v>
      </c>
      <c r="AT482">
        <f t="shared" si="222"/>
        <v>0.30055262419447315</v>
      </c>
      <c r="AU482">
        <f t="shared" si="223"/>
        <v>-0.36477900827006166</v>
      </c>
    </row>
    <row r="483" spans="1:47" x14ac:dyDescent="0.25">
      <c r="A483" s="4">
        <f>DATE(2022,9,23)</f>
        <v>44827</v>
      </c>
      <c r="B483">
        <v>-0.13366997864535879</v>
      </c>
      <c r="C483">
        <v>32.150813083116859</v>
      </c>
      <c r="D483">
        <v>0.16359758688882348</v>
      </c>
      <c r="E483">
        <f t="shared" si="196"/>
        <v>-9.0585432305453947E-2</v>
      </c>
      <c r="F483">
        <f t="shared" si="197"/>
        <v>-1.6801126960741857</v>
      </c>
      <c r="G483">
        <f t="shared" si="198"/>
        <v>-1.1096844312050274</v>
      </c>
      <c r="H483" s="2" t="str">
        <f t="shared" si="199"/>
        <v>Lower</v>
      </c>
      <c r="I483" s="2" t="str">
        <f t="shared" si="200"/>
        <v>Lower</v>
      </c>
      <c r="J483" s="2" t="str">
        <f t="shared" si="201"/>
        <v>Lower</v>
      </c>
      <c r="K483" s="2" t="str">
        <f t="shared" si="202"/>
        <v>Lower</v>
      </c>
      <c r="L483" s="2" t="str">
        <f t="shared" si="203"/>
        <v>Lower</v>
      </c>
      <c r="M483" s="2" t="str">
        <f t="shared" si="204"/>
        <v>Lower</v>
      </c>
      <c r="N483" s="2" t="str">
        <f t="shared" si="205"/>
        <v>Lower</v>
      </c>
      <c r="O483" s="2" t="str">
        <f t="shared" si="206"/>
        <v>Lower</v>
      </c>
      <c r="P483" s="2" t="str">
        <f t="shared" si="207"/>
        <v>Lower</v>
      </c>
      <c r="X483" s="4">
        <f>DATE(2022,9,23)</f>
        <v>44827</v>
      </c>
      <c r="Y483">
        <v>12.866407445986294</v>
      </c>
      <c r="Z483">
        <v>42.01962164767469</v>
      </c>
      <c r="AA483">
        <v>66.797499999999985</v>
      </c>
      <c r="AB483">
        <v>185.495</v>
      </c>
      <c r="AC483">
        <f t="shared" si="208"/>
        <v>-8.7354394864224486E-2</v>
      </c>
      <c r="AD483">
        <f t="shared" si="209"/>
        <v>-1.231236487773851E-2</v>
      </c>
      <c r="AE483">
        <f t="shared" si="210"/>
        <v>7.5042029986485972E-2</v>
      </c>
      <c r="AF483">
        <f t="shared" si="211"/>
        <v>0.33123063517998974</v>
      </c>
      <c r="AH483">
        <f t="shared" si="212"/>
        <v>-0.29583579819673533</v>
      </c>
      <c r="AI483">
        <f t="shared" si="213"/>
        <v>-0.60355018388906445</v>
      </c>
      <c r="AJ483">
        <f t="shared" si="214"/>
        <v>-0.30771438569232912</v>
      </c>
      <c r="AK483">
        <f t="shared" si="215"/>
        <v>-1.3051532633560614</v>
      </c>
      <c r="AM483">
        <f t="shared" si="216"/>
        <v>-0.259980521209488</v>
      </c>
      <c r="AN483">
        <f t="shared" si="217"/>
        <v>0.22727617924998575</v>
      </c>
      <c r="AO483">
        <f t="shared" si="218"/>
        <v>0.48725670045947378</v>
      </c>
      <c r="AP483">
        <f t="shared" si="219"/>
        <v>0.66204268640377217</v>
      </c>
      <c r="AR483">
        <f t="shared" si="220"/>
        <v>-0.12788277333611592</v>
      </c>
      <c r="AS483">
        <f t="shared" si="221"/>
        <v>0.32178720085032919</v>
      </c>
      <c r="AT483">
        <f t="shared" si="222"/>
        <v>0.44966997418644511</v>
      </c>
      <c r="AU483">
        <f t="shared" si="223"/>
        <v>8.3338225036794986E-2</v>
      </c>
    </row>
    <row r="484" spans="1:47" x14ac:dyDescent="0.25">
      <c r="A484" s="4">
        <f>DATE(2022,9,22)</f>
        <v>44826</v>
      </c>
      <c r="B484">
        <v>6.5854160690533181E-2</v>
      </c>
      <c r="C484">
        <v>38.395447274019261</v>
      </c>
      <c r="D484">
        <v>0.34932066286779784</v>
      </c>
      <c r="E484">
        <f t="shared" si="196"/>
        <v>0.1374780310176596</v>
      </c>
      <c r="F484">
        <f t="shared" si="197"/>
        <v>-1.1067394040590459</v>
      </c>
      <c r="G484">
        <f t="shared" si="198"/>
        <v>-0.52819687757438905</v>
      </c>
      <c r="H484" s="2" t="str">
        <f t="shared" si="199"/>
        <v>Lower</v>
      </c>
      <c r="I484" s="2" t="str">
        <f t="shared" si="200"/>
        <v>Lower</v>
      </c>
      <c r="J484" s="2" t="str">
        <f t="shared" si="201"/>
        <v>Lower</v>
      </c>
      <c r="K484" s="2" t="str">
        <f t="shared" si="202"/>
        <v>Lower</v>
      </c>
      <c r="L484" s="2" t="str">
        <f t="shared" si="203"/>
        <v>Lower</v>
      </c>
      <c r="M484" s="2" t="str">
        <f t="shared" si="204"/>
        <v>Lower</v>
      </c>
      <c r="N484" s="2" t="str">
        <f t="shared" si="205"/>
        <v>Lower</v>
      </c>
      <c r="O484" s="2" t="str">
        <f t="shared" si="206"/>
        <v>Lower</v>
      </c>
      <c r="P484" s="2" t="str">
        <f t="shared" si="207"/>
        <v>Lower</v>
      </c>
      <c r="X484" s="4">
        <f>DATE(2022,9,22)</f>
        <v>44826</v>
      </c>
      <c r="Y484">
        <v>14.288345218502579</v>
      </c>
      <c r="Z484">
        <v>42.504779294793693</v>
      </c>
      <c r="AA484">
        <v>70.252499999999998</v>
      </c>
      <c r="AB484">
        <v>187.46799999999999</v>
      </c>
      <c r="AC484">
        <f t="shared" si="208"/>
        <v>-1.8475298979300555E-2</v>
      </c>
      <c r="AD484">
        <f t="shared" si="209"/>
        <v>-0.13368940710951252</v>
      </c>
      <c r="AE484">
        <f t="shared" si="210"/>
        <v>-0.11521410813021196</v>
      </c>
      <c r="AF484">
        <f t="shared" si="211"/>
        <v>-0.77789204132615841</v>
      </c>
      <c r="AH484">
        <f t="shared" si="212"/>
        <v>-0.23788788140971576</v>
      </c>
      <c r="AI484">
        <f t="shared" si="213"/>
        <v>-0.53912184760364645</v>
      </c>
      <c r="AJ484">
        <f t="shared" si="214"/>
        <v>-0.30123396619393072</v>
      </c>
      <c r="AK484">
        <f t="shared" si="215"/>
        <v>-1.2893134530321102</v>
      </c>
      <c r="AM484">
        <f t="shared" si="216"/>
        <v>-0.24200305595304505</v>
      </c>
      <c r="AN484">
        <f t="shared" si="217"/>
        <v>0.26023177550607751</v>
      </c>
      <c r="AO484">
        <f t="shared" si="218"/>
        <v>0.50223483145912251</v>
      </c>
      <c r="AP484">
        <f t="shared" si="219"/>
        <v>0.69977680653332019</v>
      </c>
      <c r="AR484">
        <f t="shared" si="220"/>
        <v>-0.17609842074963056</v>
      </c>
      <c r="AS484">
        <f t="shared" si="221"/>
        <v>0.30143904336176319</v>
      </c>
      <c r="AT484">
        <f t="shared" si="222"/>
        <v>0.47753746411139375</v>
      </c>
      <c r="AU484">
        <f t="shared" si="223"/>
        <v>0.16918137235305164</v>
      </c>
    </row>
    <row r="485" spans="1:47" x14ac:dyDescent="0.25">
      <c r="A485" s="4">
        <f>DATE(2022,9,21)</f>
        <v>44825</v>
      </c>
      <c r="B485">
        <v>-4.2103080534697135E-2</v>
      </c>
      <c r="C485">
        <v>36.809176774342241</v>
      </c>
      <c r="D485">
        <v>0.30834198203145263</v>
      </c>
      <c r="E485">
        <f t="shared" si="196"/>
        <v>1.4155083527764847E-3</v>
      </c>
      <c r="F485">
        <f t="shared" si="197"/>
        <v>-1.2746339793776007</v>
      </c>
      <c r="G485">
        <f t="shared" si="198"/>
        <v>-0.66751588183903676</v>
      </c>
      <c r="H485" s="2" t="str">
        <f t="shared" si="199"/>
        <v>Lower</v>
      </c>
      <c r="I485" s="2" t="str">
        <f t="shared" si="200"/>
        <v>Lower</v>
      </c>
      <c r="J485" s="2" t="str">
        <f t="shared" si="201"/>
        <v>Lower</v>
      </c>
      <c r="K485" s="2" t="str">
        <f t="shared" si="202"/>
        <v>Lower</v>
      </c>
      <c r="L485" s="2" t="str">
        <f t="shared" si="203"/>
        <v>Lower</v>
      </c>
      <c r="M485" s="2" t="str">
        <f t="shared" si="204"/>
        <v>Lower</v>
      </c>
      <c r="N485" s="2" t="str">
        <f t="shared" si="205"/>
        <v>Lower</v>
      </c>
      <c r="O485" s="2" t="str">
        <f t="shared" si="206"/>
        <v>Lower</v>
      </c>
      <c r="P485" s="2" t="str">
        <f t="shared" si="207"/>
        <v>Lower</v>
      </c>
      <c r="X485" s="4">
        <f>DATE(2022,9,21)</f>
        <v>44825</v>
      </c>
      <c r="Y485">
        <v>14.923186476241407</v>
      </c>
      <c r="Z485">
        <v>43.045808693759753</v>
      </c>
      <c r="AA485">
        <v>70.117500000000007</v>
      </c>
      <c r="AB485">
        <v>189.78100000000001</v>
      </c>
      <c r="AC485">
        <f t="shared" si="208"/>
        <v>-2.4025391186001072E-2</v>
      </c>
      <c r="AD485">
        <f t="shared" si="209"/>
        <v>-0.13808285604725945</v>
      </c>
      <c r="AE485">
        <f t="shared" si="210"/>
        <v>-0.11405746486125838</v>
      </c>
      <c r="AF485">
        <f t="shared" si="211"/>
        <v>-0.77497159908993041</v>
      </c>
      <c r="AH485">
        <f t="shared" si="212"/>
        <v>-0.24473638547911064</v>
      </c>
      <c r="AI485">
        <f t="shared" si="213"/>
        <v>-0.4313965932095738</v>
      </c>
      <c r="AJ485">
        <f t="shared" si="214"/>
        <v>-0.18666020773046316</v>
      </c>
      <c r="AK485">
        <f t="shared" si="215"/>
        <v>-0.90050779784530222</v>
      </c>
      <c r="AM485">
        <f t="shared" si="216"/>
        <v>-0.23266063987170474</v>
      </c>
      <c r="AN485">
        <f t="shared" si="217"/>
        <v>0.30717554904274968</v>
      </c>
      <c r="AO485">
        <f t="shared" si="218"/>
        <v>0.5398361889144544</v>
      </c>
      <c r="AP485">
        <f t="shared" si="219"/>
        <v>0.79182754008133027</v>
      </c>
      <c r="AR485">
        <f t="shared" si="220"/>
        <v>-0.13799160613083103</v>
      </c>
      <c r="AS485">
        <f t="shared" si="221"/>
        <v>0.38301455891772773</v>
      </c>
      <c r="AT485">
        <f t="shared" si="222"/>
        <v>0.52100616504855879</v>
      </c>
      <c r="AU485">
        <f t="shared" si="223"/>
        <v>0.30159645066137192</v>
      </c>
    </row>
    <row r="486" spans="1:47" x14ac:dyDescent="0.25">
      <c r="A486" s="4">
        <f>DATE(2022,9,20)</f>
        <v>44824</v>
      </c>
      <c r="B486">
        <v>-8.9692889693543609E-2</v>
      </c>
      <c r="C486">
        <v>38.732651391187922</v>
      </c>
      <c r="D486">
        <v>0.33383460771418183</v>
      </c>
      <c r="E486">
        <f t="shared" si="196"/>
        <v>-6.3904208219069697E-2</v>
      </c>
      <c r="F486">
        <f t="shared" si="197"/>
        <v>-1.1011170650757169</v>
      </c>
      <c r="G486">
        <f t="shared" si="198"/>
        <v>-0.59218791829060835</v>
      </c>
      <c r="H486" s="2" t="str">
        <f t="shared" si="199"/>
        <v>Lower</v>
      </c>
      <c r="I486" s="2" t="str">
        <f t="shared" si="200"/>
        <v>Lower</v>
      </c>
      <c r="J486" s="2" t="str">
        <f t="shared" si="201"/>
        <v>Lower</v>
      </c>
      <c r="K486" s="2" t="str">
        <f t="shared" si="202"/>
        <v>Lower</v>
      </c>
      <c r="L486" s="2" t="str">
        <f t="shared" si="203"/>
        <v>Lower</v>
      </c>
      <c r="M486" s="2" t="str">
        <f t="shared" si="204"/>
        <v>Lower</v>
      </c>
      <c r="N486" s="2" t="str">
        <f t="shared" si="205"/>
        <v>Lower</v>
      </c>
      <c r="O486" s="2" t="str">
        <f t="shared" si="206"/>
        <v>Lower</v>
      </c>
      <c r="P486" s="2" t="str">
        <f t="shared" si="207"/>
        <v>Lower</v>
      </c>
      <c r="X486" s="4">
        <f>DATE(2022,9,20)</f>
        <v>44824</v>
      </c>
      <c r="Y486">
        <v>15.751695051833773</v>
      </c>
      <c r="Z486">
        <v>44.053901570806936</v>
      </c>
      <c r="AA486">
        <v>71.384999999999991</v>
      </c>
      <c r="AB486">
        <v>194.25899999999999</v>
      </c>
      <c r="AC486">
        <f t="shared" si="208"/>
        <v>1.9771108566171772E-2</v>
      </c>
      <c r="AD486">
        <f t="shared" si="209"/>
        <v>-2.2160852525611025E-2</v>
      </c>
      <c r="AE486">
        <f t="shared" si="210"/>
        <v>-4.1931961091782793E-2</v>
      </c>
      <c r="AF486">
        <f t="shared" si="211"/>
        <v>-0.35696555840612187</v>
      </c>
      <c r="AH486">
        <f t="shared" si="212"/>
        <v>-0.23621181236193375</v>
      </c>
      <c r="AI486">
        <f t="shared" si="213"/>
        <v>-0.32570119892646127</v>
      </c>
      <c r="AJ486">
        <f t="shared" si="214"/>
        <v>-8.9489386564527512E-2</v>
      </c>
      <c r="AK486">
        <f t="shared" si="215"/>
        <v>-0.56895318276803386</v>
      </c>
      <c r="AM486">
        <f t="shared" si="216"/>
        <v>-0.19381810420647985</v>
      </c>
      <c r="AN486">
        <f t="shared" si="217"/>
        <v>0.40801650464147293</v>
      </c>
      <c r="AO486">
        <f t="shared" si="218"/>
        <v>0.60183460884795281</v>
      </c>
      <c r="AP486">
        <f t="shared" si="219"/>
        <v>0.94254128170694917</v>
      </c>
      <c r="AR486">
        <f t="shared" si="220"/>
        <v>-0.11537533921866006</v>
      </c>
      <c r="AS486">
        <f t="shared" si="221"/>
        <v>0.43600647095475847</v>
      </c>
      <c r="AT486">
        <f t="shared" si="222"/>
        <v>0.55138181017341847</v>
      </c>
      <c r="AU486">
        <f t="shared" si="223"/>
        <v>0.39482575522984231</v>
      </c>
    </row>
    <row r="487" spans="1:47" x14ac:dyDescent="0.25">
      <c r="A487" s="4">
        <f>DATE(2022,9,19)</f>
        <v>44823</v>
      </c>
      <c r="B487">
        <v>-0.24076974080305025</v>
      </c>
      <c r="C487">
        <v>38.644504587516501</v>
      </c>
      <c r="D487">
        <v>0.31290067269968569</v>
      </c>
      <c r="E487">
        <f t="shared" si="196"/>
        <v>-0.25123053643470694</v>
      </c>
      <c r="F487">
        <f t="shared" si="197"/>
        <v>-1.1252455174326335</v>
      </c>
      <c r="G487">
        <f t="shared" si="198"/>
        <v>-0.66785072848511884</v>
      </c>
      <c r="H487" s="2" t="str">
        <f t="shared" si="199"/>
        <v>Lower</v>
      </c>
      <c r="I487" s="2" t="str">
        <f t="shared" si="200"/>
        <v>Lower</v>
      </c>
      <c r="J487" s="2" t="str">
        <f t="shared" si="201"/>
        <v>Lower</v>
      </c>
      <c r="K487" s="2" t="str">
        <f t="shared" si="202"/>
        <v>Lower</v>
      </c>
      <c r="L487" s="2" t="str">
        <f t="shared" si="203"/>
        <v>Lower</v>
      </c>
      <c r="M487" s="2" t="str">
        <f t="shared" si="204"/>
        <v>Lower</v>
      </c>
      <c r="N487" s="2" t="str">
        <f t="shared" si="205"/>
        <v>Lower</v>
      </c>
      <c r="O487" s="2" t="str">
        <f t="shared" si="206"/>
        <v>Lower</v>
      </c>
      <c r="P487" s="2" t="str">
        <f t="shared" si="207"/>
        <v>Lower</v>
      </c>
      <c r="X487" s="4">
        <f>DATE(2022,9,19)</f>
        <v>44823</v>
      </c>
      <c r="Y487">
        <v>16.624683386238196</v>
      </c>
      <c r="Z487">
        <v>40.592797362223855</v>
      </c>
      <c r="AA487">
        <v>71.537499999999994</v>
      </c>
      <c r="AB487">
        <v>182.262</v>
      </c>
      <c r="AC487">
        <f t="shared" si="208"/>
        <v>1.4644539538661346E-2</v>
      </c>
      <c r="AD487">
        <f t="shared" si="209"/>
        <v>-4.4668817818925038E-2</v>
      </c>
      <c r="AE487">
        <f t="shared" si="210"/>
        <v>-5.9313357357586388E-2</v>
      </c>
      <c r="AF487">
        <f t="shared" si="211"/>
        <v>-0.45908522569412441</v>
      </c>
      <c r="AH487">
        <f t="shared" si="212"/>
        <v>-0.26741874145927153</v>
      </c>
      <c r="AI487">
        <f t="shared" si="213"/>
        <v>-0.4176621324811286</v>
      </c>
      <c r="AJ487">
        <f t="shared" si="214"/>
        <v>-0.15024339102185708</v>
      </c>
      <c r="AK487">
        <f t="shared" si="215"/>
        <v>-0.780330810115343</v>
      </c>
      <c r="AM487">
        <f t="shared" si="216"/>
        <v>-0.16901187070823911</v>
      </c>
      <c r="AN487">
        <f t="shared" si="217"/>
        <v>0.3420809836486749</v>
      </c>
      <c r="AO487">
        <f t="shared" si="218"/>
        <v>0.51109285435691398</v>
      </c>
      <c r="AP487">
        <f t="shared" si="219"/>
        <v>0.72757852375252852</v>
      </c>
      <c r="AR487">
        <f t="shared" si="220"/>
        <v>-0.15051461227264212</v>
      </c>
      <c r="AS487">
        <f t="shared" si="221"/>
        <v>0.45350940621805896</v>
      </c>
      <c r="AT487">
        <f t="shared" si="222"/>
        <v>0.60402401849070109</v>
      </c>
      <c r="AU487">
        <f t="shared" si="223"/>
        <v>0.55429737763958298</v>
      </c>
    </row>
    <row r="488" spans="1:47" x14ac:dyDescent="0.25">
      <c r="A488" s="4">
        <f>DATE(2022,9,16)</f>
        <v>44820</v>
      </c>
      <c r="B488">
        <v>-0.40312247202869145</v>
      </c>
      <c r="C488">
        <v>41.666483182431485</v>
      </c>
      <c r="D488">
        <v>0.3571743065581417</v>
      </c>
      <c r="E488">
        <f t="shared" si="196"/>
        <v>-0.44969001767395045</v>
      </c>
      <c r="F488">
        <f t="shared" si="197"/>
        <v>-0.83963351585691681</v>
      </c>
      <c r="G488">
        <f t="shared" si="198"/>
        <v>-0.53147874330594147</v>
      </c>
      <c r="H488" s="2" t="str">
        <f t="shared" si="199"/>
        <v>Lower</v>
      </c>
      <c r="I488" s="2" t="str">
        <f t="shared" si="200"/>
        <v>Lower</v>
      </c>
      <c r="J488" s="2" t="str">
        <f t="shared" si="201"/>
        <v>Lower</v>
      </c>
      <c r="K488" s="2" t="str">
        <f t="shared" si="202"/>
        <v>Lower</v>
      </c>
      <c r="L488" s="2" t="str">
        <f t="shared" si="203"/>
        <v>Lower</v>
      </c>
      <c r="M488" s="2" t="str">
        <f t="shared" si="204"/>
        <v>Lower</v>
      </c>
      <c r="N488" s="2" t="str">
        <f t="shared" si="205"/>
        <v>Lower</v>
      </c>
      <c r="O488" s="2" t="str">
        <f t="shared" si="206"/>
        <v>Lower</v>
      </c>
      <c r="P488" s="2" t="str">
        <f t="shared" si="207"/>
        <v>Lower</v>
      </c>
      <c r="X488" s="4">
        <f>DATE(2022,9,16)</f>
        <v>44820</v>
      </c>
      <c r="Y488">
        <v>17.848270884994378</v>
      </c>
      <c r="Z488">
        <v>41.697125499574227</v>
      </c>
      <c r="AA488">
        <v>72.89500000000001</v>
      </c>
      <c r="AB488">
        <v>187.79300000000001</v>
      </c>
      <c r="AC488">
        <f t="shared" si="208"/>
        <v>9.3097114972318859E-2</v>
      </c>
      <c r="AD488">
        <f t="shared" si="209"/>
        <v>-9.7818017806162949E-2</v>
      </c>
      <c r="AE488">
        <f t="shared" si="210"/>
        <v>-0.19091513277848182</v>
      </c>
      <c r="AF488">
        <f t="shared" si="211"/>
        <v>-1.2258660583353851</v>
      </c>
      <c r="AH488">
        <f t="shared" si="212"/>
        <v>-0.29298385839946656</v>
      </c>
      <c r="AI488">
        <f t="shared" si="213"/>
        <v>-0.26407949460130575</v>
      </c>
      <c r="AJ488">
        <f t="shared" si="214"/>
        <v>2.8904363798160804E-2</v>
      </c>
      <c r="AK488">
        <f t="shared" si="215"/>
        <v>-0.16416610189711556</v>
      </c>
      <c r="AM488">
        <f t="shared" si="216"/>
        <v>-0.13693375359076568</v>
      </c>
      <c r="AN488">
        <f t="shared" si="217"/>
        <v>0.37937247829994353</v>
      </c>
      <c r="AO488">
        <f t="shared" si="218"/>
        <v>0.51630623189070923</v>
      </c>
      <c r="AP488">
        <f t="shared" si="219"/>
        <v>0.74196870586532904</v>
      </c>
      <c r="AR488">
        <f t="shared" si="220"/>
        <v>-0.12725703425431242</v>
      </c>
      <c r="AS488">
        <f t="shared" si="221"/>
        <v>0.58106570588966111</v>
      </c>
      <c r="AT488">
        <f t="shared" si="222"/>
        <v>0.70832274014397356</v>
      </c>
      <c r="AU488">
        <f t="shared" si="223"/>
        <v>0.86726530871737761</v>
      </c>
    </row>
    <row r="489" spans="1:47" x14ac:dyDescent="0.25">
      <c r="A489" s="4">
        <f>DATE(2022,9,15)</f>
        <v>44819</v>
      </c>
      <c r="B489">
        <v>-0.7957811358545035</v>
      </c>
      <c r="C489">
        <v>38.756326125593297</v>
      </c>
      <c r="D489">
        <v>0.30122724831377162</v>
      </c>
      <c r="E489">
        <f t="shared" si="196"/>
        <v>-0.91263640600729401</v>
      </c>
      <c r="F489">
        <f t="shared" si="197"/>
        <v>-1.1369306449235104</v>
      </c>
      <c r="G489">
        <f t="shared" si="198"/>
        <v>-0.71813654927658976</v>
      </c>
      <c r="H489" s="2" t="str">
        <f t="shared" si="199"/>
        <v>Lower</v>
      </c>
      <c r="I489" s="2" t="str">
        <f t="shared" si="200"/>
        <v>Lower</v>
      </c>
      <c r="J489" s="2" t="str">
        <f t="shared" si="201"/>
        <v>Lower</v>
      </c>
      <c r="K489" s="2" t="str">
        <f t="shared" si="202"/>
        <v>Lower</v>
      </c>
      <c r="L489" s="2" t="str">
        <f t="shared" si="203"/>
        <v>Lower</v>
      </c>
      <c r="M489" s="2" t="str">
        <f t="shared" si="204"/>
        <v>Lower</v>
      </c>
      <c r="N489" s="2" t="str">
        <f t="shared" si="205"/>
        <v>Lower</v>
      </c>
      <c r="O489" s="2" t="str">
        <f t="shared" si="206"/>
        <v>Lower</v>
      </c>
      <c r="P489" s="2" t="str">
        <f t="shared" si="207"/>
        <v>Lower</v>
      </c>
      <c r="X489" s="4">
        <f>DATE(2022,9,15)</f>
        <v>44819</v>
      </c>
      <c r="Y489">
        <v>16.115287090205214</v>
      </c>
      <c r="Z489">
        <v>47.436319238989135</v>
      </c>
      <c r="AA489">
        <v>71.5625</v>
      </c>
      <c r="AB489">
        <v>214.28299999999999</v>
      </c>
      <c r="AC489">
        <f t="shared" si="208"/>
        <v>5.9221676273915662E-2</v>
      </c>
      <c r="AD489">
        <f t="shared" si="209"/>
        <v>-2.8786047356992917E-2</v>
      </c>
      <c r="AE489">
        <f t="shared" si="210"/>
        <v>-8.8007723630908585E-2</v>
      </c>
      <c r="AF489">
        <f t="shared" si="211"/>
        <v>-0.62770415071163033</v>
      </c>
      <c r="AH489">
        <f t="shared" si="212"/>
        <v>-0.28926161035092618</v>
      </c>
      <c r="AI489">
        <f t="shared" si="213"/>
        <v>-0.11751595957519273</v>
      </c>
      <c r="AJ489">
        <f t="shared" si="214"/>
        <v>0.17174565077573345</v>
      </c>
      <c r="AK489">
        <f t="shared" si="215"/>
        <v>0.32791453030077444</v>
      </c>
      <c r="AM489">
        <f t="shared" si="216"/>
        <v>-0.15445506269335219</v>
      </c>
      <c r="AN489">
        <f t="shared" si="217"/>
        <v>0.47434281810099221</v>
      </c>
      <c r="AO489">
        <f t="shared" si="218"/>
        <v>0.6287978807943444</v>
      </c>
      <c r="AP489">
        <f t="shared" si="219"/>
        <v>1.0132023793559317</v>
      </c>
      <c r="AR489">
        <f t="shared" si="220"/>
        <v>-0.14316605257711537</v>
      </c>
      <c r="AS489">
        <f t="shared" si="221"/>
        <v>0.75612046303660585</v>
      </c>
      <c r="AT489">
        <f t="shared" si="222"/>
        <v>0.89928651561372119</v>
      </c>
      <c r="AU489">
        <f t="shared" si="223"/>
        <v>1.4374277170919707</v>
      </c>
    </row>
    <row r="490" spans="1:47" x14ac:dyDescent="0.25">
      <c r="A490" s="4">
        <f>DATE(2022,9,14)</f>
        <v>44818</v>
      </c>
      <c r="B490">
        <v>-1.1589817287156059</v>
      </c>
      <c r="C490">
        <v>39.648862296416048</v>
      </c>
      <c r="D490">
        <v>0.2981014119231345</v>
      </c>
      <c r="E490">
        <f t="shared" si="196"/>
        <v>-1.3442573355663294</v>
      </c>
      <c r="F490">
        <f t="shared" si="197"/>
        <v>-1.063176745928289</v>
      </c>
      <c r="G490">
        <f t="shared" si="198"/>
        <v>-0.7360970356138522</v>
      </c>
      <c r="H490" s="2" t="str">
        <f t="shared" si="199"/>
        <v>Lower</v>
      </c>
      <c r="I490" s="2" t="str">
        <f t="shared" si="200"/>
        <v>Lower</v>
      </c>
      <c r="J490" s="2" t="str">
        <f t="shared" si="201"/>
        <v>Lower</v>
      </c>
      <c r="K490" s="2" t="str">
        <f t="shared" si="202"/>
        <v>Lower</v>
      </c>
      <c r="L490" s="2" t="str">
        <f t="shared" si="203"/>
        <v>Lower</v>
      </c>
      <c r="M490" s="2" t="str">
        <f t="shared" si="204"/>
        <v>Lower</v>
      </c>
      <c r="N490" s="2" t="str">
        <f t="shared" si="205"/>
        <v>Lower</v>
      </c>
      <c r="O490" s="2" t="str">
        <f t="shared" si="206"/>
        <v>Lower</v>
      </c>
      <c r="P490" s="2" t="str">
        <f t="shared" si="207"/>
        <v>Lower</v>
      </c>
      <c r="X490" s="4">
        <f>DATE(2022,9,14)</f>
        <v>44818</v>
      </c>
      <c r="Y490">
        <v>16.906642638743424</v>
      </c>
      <c r="Z490">
        <v>48.274551349953533</v>
      </c>
      <c r="AA490">
        <v>71.822499999999991</v>
      </c>
      <c r="AB490">
        <v>217.88200000000001</v>
      </c>
      <c r="AC490">
        <f t="shared" si="208"/>
        <v>3.5861122206571616E-2</v>
      </c>
      <c r="AD490">
        <f t="shared" si="209"/>
        <v>1.8524495299024116E-2</v>
      </c>
      <c r="AE490">
        <f t="shared" si="210"/>
        <v>-1.73366269075475E-2</v>
      </c>
      <c r="AF490">
        <f t="shared" si="211"/>
        <v>-0.21637236399601351</v>
      </c>
      <c r="AH490">
        <f t="shared" si="212"/>
        <v>-0.2803893681745685</v>
      </c>
      <c r="AI490">
        <f t="shared" si="213"/>
        <v>-3.5851012294182839E-2</v>
      </c>
      <c r="AJ490">
        <f t="shared" si="214"/>
        <v>0.24453835588038567</v>
      </c>
      <c r="AK490">
        <f t="shared" si="215"/>
        <v>0.5788497444472307</v>
      </c>
      <c r="AM490">
        <f t="shared" si="216"/>
        <v>-0.13796392970154689</v>
      </c>
      <c r="AN490">
        <f t="shared" si="217"/>
        <v>0.53842099434657642</v>
      </c>
      <c r="AO490">
        <f t="shared" si="218"/>
        <v>0.67638492404812334</v>
      </c>
      <c r="AP490">
        <f t="shared" si="219"/>
        <v>1.1298821758003972</v>
      </c>
      <c r="AR490">
        <f t="shared" si="220"/>
        <v>-0.20761760952054181</v>
      </c>
      <c r="AS490">
        <f t="shared" si="221"/>
        <v>0.7652775622844854</v>
      </c>
      <c r="AT490">
        <f t="shared" si="222"/>
        <v>0.97289517180502716</v>
      </c>
      <c r="AU490">
        <f t="shared" si="223"/>
        <v>1.6601371713559432</v>
      </c>
    </row>
    <row r="491" spans="1:47" x14ac:dyDescent="0.25">
      <c r="A491" s="4">
        <f>DATE(2022,9,13)</f>
        <v>44817</v>
      </c>
      <c r="B491">
        <v>-1.662529410746596</v>
      </c>
      <c r="C491">
        <v>33.936850357090449</v>
      </c>
      <c r="D491">
        <v>0.20885202827953803</v>
      </c>
      <c r="E491">
        <f t="shared" si="196"/>
        <v>-1.9484775961722995</v>
      </c>
      <c r="F491">
        <f t="shared" si="197"/>
        <v>-1.6472862266361465</v>
      </c>
      <c r="G491">
        <f t="shared" si="198"/>
        <v>-1.0333561551512302</v>
      </c>
      <c r="H491" s="2" t="str">
        <f t="shared" si="199"/>
        <v>Lower</v>
      </c>
      <c r="I491" s="2" t="str">
        <f t="shared" si="200"/>
        <v>Lower</v>
      </c>
      <c r="J491" s="2" t="str">
        <f t="shared" si="201"/>
        <v>Lower</v>
      </c>
      <c r="K491" s="2" t="str">
        <f t="shared" si="202"/>
        <v>Lower</v>
      </c>
      <c r="L491" s="2" t="str">
        <f t="shared" si="203"/>
        <v>Lower</v>
      </c>
      <c r="M491" s="2" t="str">
        <f t="shared" si="204"/>
        <v>Lower</v>
      </c>
      <c r="N491" s="2" t="str">
        <f t="shared" si="205"/>
        <v>Lower</v>
      </c>
      <c r="O491" s="2" t="str">
        <f t="shared" si="206"/>
        <v>Lower</v>
      </c>
      <c r="P491" s="2" t="str">
        <f t="shared" si="207"/>
        <v>Lower</v>
      </c>
      <c r="X491" s="4">
        <f>DATE(2022,9,13)</f>
        <v>44817</v>
      </c>
      <c r="Y491">
        <v>16.018645043309622</v>
      </c>
      <c r="Z491">
        <v>43.292296581223852</v>
      </c>
      <c r="AA491">
        <v>69.987499999999997</v>
      </c>
      <c r="AB491">
        <v>198.61199999999999</v>
      </c>
      <c r="AC491">
        <f t="shared" si="208"/>
        <v>-1.320057492263711E-2</v>
      </c>
      <c r="AD491">
        <f t="shared" si="209"/>
        <v>-0.18862720046571058</v>
      </c>
      <c r="AE491">
        <f t="shared" si="210"/>
        <v>-0.17542662554307348</v>
      </c>
      <c r="AF491">
        <f t="shared" si="211"/>
        <v>-1.1365755064760246</v>
      </c>
      <c r="AH491">
        <f t="shared" si="212"/>
        <v>-0.27045105981196121</v>
      </c>
      <c r="AI491">
        <f t="shared" si="213"/>
        <v>-0.12880122313214726</v>
      </c>
      <c r="AJ491">
        <f t="shared" si="214"/>
        <v>0.14164983667981396</v>
      </c>
      <c r="AK491">
        <f t="shared" si="215"/>
        <v>0.22468856184217303</v>
      </c>
      <c r="AM491">
        <f t="shared" si="216"/>
        <v>-0.18970626049003664</v>
      </c>
      <c r="AN491">
        <f t="shared" si="217"/>
        <v>0.45856944077265094</v>
      </c>
      <c r="AO491">
        <f t="shared" si="218"/>
        <v>0.64827570126268763</v>
      </c>
      <c r="AP491">
        <f t="shared" si="219"/>
        <v>1.0658483801635112</v>
      </c>
      <c r="AR491">
        <f t="shared" si="220"/>
        <v>-0.18642101891153853</v>
      </c>
      <c r="AS491">
        <f t="shared" si="221"/>
        <v>0.73158838571399654</v>
      </c>
      <c r="AT491">
        <f t="shared" si="222"/>
        <v>0.91800940462553504</v>
      </c>
      <c r="AU491">
        <f t="shared" si="223"/>
        <v>1.5025424143536783</v>
      </c>
    </row>
    <row r="492" spans="1:47" x14ac:dyDescent="0.25">
      <c r="A492" s="4">
        <f>DATE(2022,9,12)</f>
        <v>44816</v>
      </c>
      <c r="B492">
        <v>-1.9977719243076004</v>
      </c>
      <c r="C492">
        <v>36.304087061271559</v>
      </c>
      <c r="D492">
        <v>0.22805557831388246</v>
      </c>
      <c r="E492">
        <f t="shared" si="196"/>
        <v>-2.3884387440827983</v>
      </c>
      <c r="F492">
        <f t="shared" si="197"/>
        <v>-1.4359706945815354</v>
      </c>
      <c r="G492">
        <f t="shared" si="198"/>
        <v>-0.98137008994354935</v>
      </c>
      <c r="H492" s="2" t="str">
        <f t="shared" si="199"/>
        <v>Lower</v>
      </c>
      <c r="I492" s="2" t="str">
        <f t="shared" si="200"/>
        <v>Lower</v>
      </c>
      <c r="J492" s="2" t="str">
        <f t="shared" si="201"/>
        <v>Lower</v>
      </c>
      <c r="K492" s="2" t="str">
        <f t="shared" si="202"/>
        <v>Lower</v>
      </c>
      <c r="L492" s="2" t="str">
        <f t="shared" si="203"/>
        <v>Lower</v>
      </c>
      <c r="M492" s="2" t="str">
        <f t="shared" si="204"/>
        <v>Lower</v>
      </c>
      <c r="N492" s="2" t="str">
        <f t="shared" si="205"/>
        <v>Lower</v>
      </c>
      <c r="O492" s="2" t="str">
        <f t="shared" si="206"/>
        <v>Lower</v>
      </c>
      <c r="P492" s="2" t="str">
        <f t="shared" si="207"/>
        <v>Lower</v>
      </c>
      <c r="X492" s="4">
        <f>DATE(2022,9,12)</f>
        <v>44816</v>
      </c>
      <c r="Y492">
        <v>17.438174699397184</v>
      </c>
      <c r="Z492">
        <v>41.098662823434381</v>
      </c>
      <c r="AA492">
        <v>70.497500000000002</v>
      </c>
      <c r="AB492">
        <v>190.58799999999999</v>
      </c>
      <c r="AC492">
        <f t="shared" si="208"/>
        <v>-6.2210820348749162E-2</v>
      </c>
      <c r="AD492" t="str">
        <f t="shared" si="209"/>
        <v/>
      </c>
      <c r="AE492" t="str">
        <f t="shared" si="210"/>
        <v/>
      </c>
      <c r="AF492" t="str">
        <f t="shared" si="211"/>
        <v/>
      </c>
      <c r="AH492">
        <f t="shared" si="212"/>
        <v>-0.24681242439709289</v>
      </c>
      <c r="AI492">
        <f t="shared" si="213"/>
        <v>-0.144013391232517</v>
      </c>
      <c r="AJ492">
        <f t="shared" si="214"/>
        <v>0.10279903316457589</v>
      </c>
      <c r="AK492">
        <f t="shared" si="215"/>
        <v>8.9985531221485282E-2</v>
      </c>
      <c r="AM492">
        <f t="shared" si="216"/>
        <v>-0.17592384027671679</v>
      </c>
      <c r="AN492" t="str">
        <f t="shared" si="217"/>
        <v/>
      </c>
      <c r="AO492" t="str">
        <f t="shared" si="218"/>
        <v/>
      </c>
      <c r="AP492" t="str">
        <f t="shared" si="219"/>
        <v/>
      </c>
      <c r="AR492">
        <f t="shared" si="220"/>
        <v>-0.13432454584879633</v>
      </c>
      <c r="AS492">
        <f t="shared" si="221"/>
        <v>0.75942639492717212</v>
      </c>
      <c r="AT492">
        <f t="shared" si="222"/>
        <v>0.89375094077596851</v>
      </c>
      <c r="AU492">
        <f t="shared" si="223"/>
        <v>1.4349725473420984</v>
      </c>
    </row>
    <row r="493" spans="1:47" x14ac:dyDescent="0.25">
      <c r="A493" s="4">
        <f>DATE(2022,9,9)</f>
        <v>44813</v>
      </c>
      <c r="B493">
        <v>-2.5373405934067241</v>
      </c>
      <c r="C493">
        <v>22.359222694287983</v>
      </c>
      <c r="D493">
        <v>5.4731592821590479E-2</v>
      </c>
      <c r="E493">
        <f t="shared" si="196"/>
        <v>-3.1105401017335184</v>
      </c>
      <c r="F493">
        <f t="shared" si="197"/>
        <v>-2.881243462625164</v>
      </c>
      <c r="G493">
        <f t="shared" si="198"/>
        <v>-1.5599873832612461</v>
      </c>
      <c r="H493" s="2" t="str">
        <f t="shared" si="199"/>
        <v>Higher</v>
      </c>
      <c r="I493" s="2" t="str">
        <f t="shared" si="200"/>
        <v>Lower</v>
      </c>
      <c r="J493" s="2" t="str">
        <f t="shared" si="201"/>
        <v>Lower</v>
      </c>
      <c r="K493" s="2" t="str">
        <f t="shared" si="202"/>
        <v>Lower</v>
      </c>
      <c r="L493" s="2" t="str">
        <f t="shared" si="203"/>
        <v>Lower</v>
      </c>
      <c r="M493" s="2" t="str">
        <f t="shared" si="204"/>
        <v>Lower</v>
      </c>
      <c r="N493" s="2" t="str">
        <f t="shared" si="205"/>
        <v>Higher</v>
      </c>
      <c r="O493" s="2" t="str">
        <f t="shared" si="206"/>
        <v>Lower</v>
      </c>
      <c r="P493" s="2" t="str">
        <f t="shared" si="207"/>
        <v>Lower</v>
      </c>
      <c r="X493" s="4">
        <f>DATE(2022,9,9)</f>
        <v>44813</v>
      </c>
      <c r="Y493">
        <v>10.049853058312888</v>
      </c>
      <c r="Z493">
        <v>44.37718596300116</v>
      </c>
      <c r="AA493">
        <v>66.414999999999992</v>
      </c>
      <c r="AB493">
        <v>207.09100000000001</v>
      </c>
      <c r="AC493">
        <f t="shared" si="208"/>
        <v>-0.16860778528515538</v>
      </c>
      <c r="AD493">
        <f t="shared" si="209"/>
        <v>-3.5920363240725436E-2</v>
      </c>
      <c r="AE493">
        <f t="shared" si="210"/>
        <v>0.13268742204442996</v>
      </c>
      <c r="AF493">
        <f t="shared" si="211"/>
        <v>0.65979751050704938</v>
      </c>
      <c r="AH493">
        <f t="shared" si="212"/>
        <v>-0.28654275017813924</v>
      </c>
      <c r="AI493">
        <f t="shared" si="213"/>
        <v>4.7580069384504636E-3</v>
      </c>
      <c r="AJ493">
        <f t="shared" si="214"/>
        <v>0.2913007571165897</v>
      </c>
      <c r="AK493">
        <f t="shared" si="215"/>
        <v>0.73743214820769476</v>
      </c>
      <c r="AM493">
        <f t="shared" si="216"/>
        <v>-0.21905480022910112</v>
      </c>
      <c r="AN493">
        <f t="shared" si="217"/>
        <v>0.56469649331498295</v>
      </c>
      <c r="AO493">
        <f t="shared" si="218"/>
        <v>0.78375129354408402</v>
      </c>
      <c r="AP493">
        <f t="shared" si="219"/>
        <v>1.3931572365869878</v>
      </c>
      <c r="AR493">
        <f t="shared" si="220"/>
        <v>-0.17010134261190932</v>
      </c>
      <c r="AS493">
        <f t="shared" si="221"/>
        <v>0.83200509837172043</v>
      </c>
      <c r="AT493">
        <f t="shared" si="222"/>
        <v>1.0021064409836298</v>
      </c>
      <c r="AU493">
        <f t="shared" si="223"/>
        <v>1.7603511992352288</v>
      </c>
    </row>
    <row r="494" spans="1:47" x14ac:dyDescent="0.25">
      <c r="A494" s="4">
        <f>DATE(2022,9,8)</f>
        <v>44812</v>
      </c>
      <c r="B494">
        <v>-2.5698334544941752</v>
      </c>
      <c r="C494">
        <v>23.317173128450619</v>
      </c>
      <c r="D494">
        <v>1.5104856958128713E-2</v>
      </c>
      <c r="E494">
        <f t="shared" si="196"/>
        <v>-3.2921432592930655</v>
      </c>
      <c r="F494">
        <f t="shared" si="197"/>
        <v>-2.8983014712193129</v>
      </c>
      <c r="G494">
        <f t="shared" si="198"/>
        <v>-1.7151298544338616</v>
      </c>
      <c r="H494" s="2" t="str">
        <f t="shared" si="199"/>
        <v>Higher</v>
      </c>
      <c r="I494" s="2" t="str">
        <f t="shared" si="200"/>
        <v>Lower</v>
      </c>
      <c r="J494" s="2" t="str">
        <f t="shared" si="201"/>
        <v>Lower</v>
      </c>
      <c r="K494" s="2" t="str">
        <f t="shared" si="202"/>
        <v>Lower</v>
      </c>
      <c r="L494" s="2" t="str">
        <f t="shared" si="203"/>
        <v>Lower</v>
      </c>
      <c r="M494" s="2" t="str">
        <f t="shared" si="204"/>
        <v>Lower</v>
      </c>
      <c r="N494" s="2" t="str">
        <f t="shared" si="205"/>
        <v>Higher</v>
      </c>
      <c r="O494" s="2" t="str">
        <f t="shared" si="206"/>
        <v>Lower</v>
      </c>
      <c r="P494" s="2" t="str">
        <f t="shared" si="207"/>
        <v>Lower</v>
      </c>
      <c r="X494" s="4">
        <f>DATE(2022,9,8)</f>
        <v>44812</v>
      </c>
      <c r="Y494">
        <v>10.550704091516069</v>
      </c>
      <c r="Z494">
        <v>47.228369736094599</v>
      </c>
      <c r="AA494">
        <v>67.447499999999991</v>
      </c>
      <c r="AB494">
        <v>220.541</v>
      </c>
      <c r="AC494">
        <f t="shared" si="208"/>
        <v>-0.17186391267880374</v>
      </c>
      <c r="AD494">
        <f t="shared" si="209"/>
        <v>-9.6994285465327582E-2</v>
      </c>
      <c r="AE494">
        <f t="shared" si="210"/>
        <v>7.4869627213476161E-2</v>
      </c>
      <c r="AF494">
        <f t="shared" si="211"/>
        <v>0.32352668209703789</v>
      </c>
      <c r="AH494">
        <f t="shared" si="212"/>
        <v>-0.25593696115006204</v>
      </c>
      <c r="AI494">
        <f t="shared" si="213"/>
        <v>5.801683257977179E-2</v>
      </c>
      <c r="AJ494">
        <f t="shared" si="214"/>
        <v>0.31395379372983384</v>
      </c>
      <c r="AK494">
        <f t="shared" si="215"/>
        <v>0.81550980381871918</v>
      </c>
      <c r="AM494">
        <f t="shared" si="216"/>
        <v>-0.21663589582464607</v>
      </c>
      <c r="AN494">
        <f t="shared" si="217"/>
        <v>0.57287086928863273</v>
      </c>
      <c r="AO494">
        <f t="shared" si="218"/>
        <v>0.78950676511327877</v>
      </c>
      <c r="AP494">
        <f t="shared" si="219"/>
        <v>1.4117007488910396</v>
      </c>
      <c r="AR494">
        <f t="shared" si="220"/>
        <v>-0.1574652232270079</v>
      </c>
      <c r="AS494">
        <f t="shared" si="221"/>
        <v>0.85895140306428397</v>
      </c>
      <c r="AT494">
        <f t="shared" si="222"/>
        <v>1.0164166262912919</v>
      </c>
      <c r="AU494">
        <f t="shared" si="223"/>
        <v>1.8088032096296609</v>
      </c>
    </row>
    <row r="495" spans="1:47" x14ac:dyDescent="0.25">
      <c r="A495" s="4">
        <f>DATE(2022,9,7)</f>
        <v>44811</v>
      </c>
      <c r="B495">
        <v>-2.5023725045589629</v>
      </c>
      <c r="C495">
        <v>24.842206764396263</v>
      </c>
      <c r="D495">
        <v>-1.7229842375167122E-2</v>
      </c>
      <c r="E495">
        <f t="shared" si="196"/>
        <v>-3.3363312529892069</v>
      </c>
      <c r="F495">
        <f t="shared" si="197"/>
        <v>-2.8505726996117047</v>
      </c>
      <c r="G495">
        <f t="shared" si="198"/>
        <v>-1.8522865246528712</v>
      </c>
      <c r="H495" s="2" t="str">
        <f t="shared" si="199"/>
        <v>Higher</v>
      </c>
      <c r="I495" s="2" t="str">
        <f t="shared" si="200"/>
        <v>Lower</v>
      </c>
      <c r="J495" s="2" t="str">
        <f t="shared" si="201"/>
        <v>Lower</v>
      </c>
      <c r="K495" s="2" t="str">
        <f t="shared" si="202"/>
        <v>Higher</v>
      </c>
      <c r="L495" s="2" t="str">
        <f t="shared" si="203"/>
        <v>Lower</v>
      </c>
      <c r="M495" s="2" t="str">
        <f t="shared" si="204"/>
        <v>Lower</v>
      </c>
      <c r="N495" s="2" t="str">
        <f t="shared" si="205"/>
        <v>Higher</v>
      </c>
      <c r="O495" s="2" t="str">
        <f t="shared" si="206"/>
        <v>Lower</v>
      </c>
      <c r="P495" s="2" t="str">
        <f t="shared" si="207"/>
        <v>Lower</v>
      </c>
      <c r="X495" s="4">
        <f>DATE(2022,9,7)</f>
        <v>44811</v>
      </c>
      <c r="Y495">
        <v>11.269994826599831</v>
      </c>
      <c r="Z495">
        <v>45.6224621853396</v>
      </c>
      <c r="AA495">
        <v>69.292500000000004</v>
      </c>
      <c r="AB495">
        <v>213.88300000000001</v>
      </c>
      <c r="AC495">
        <f t="shared" si="208"/>
        <v>-0.14578152060320063</v>
      </c>
      <c r="AD495">
        <f t="shared" si="209"/>
        <v>-0.11482221170535804</v>
      </c>
      <c r="AE495">
        <f t="shared" si="210"/>
        <v>3.0959308897842583E-2</v>
      </c>
      <c r="AF495">
        <f t="shared" si="211"/>
        <v>6.7810237360916736E-2</v>
      </c>
      <c r="AH495">
        <f t="shared" si="212"/>
        <v>-0.21131940188285472</v>
      </c>
      <c r="AI495">
        <f t="shared" si="213"/>
        <v>4.063051407487836E-2</v>
      </c>
      <c r="AJ495">
        <f t="shared" si="214"/>
        <v>0.25194991595773308</v>
      </c>
      <c r="AK495">
        <f t="shared" si="215"/>
        <v>0.60431102480238796</v>
      </c>
      <c r="AM495">
        <f t="shared" si="216"/>
        <v>-0.21175740285345923</v>
      </c>
      <c r="AN495">
        <f t="shared" si="217"/>
        <v>0.57517454726813366</v>
      </c>
      <c r="AO495">
        <f t="shared" si="218"/>
        <v>0.78693195012159289</v>
      </c>
      <c r="AP495">
        <f t="shared" si="219"/>
        <v>1.4104002282685142</v>
      </c>
      <c r="AR495">
        <f t="shared" si="220"/>
        <v>-0.10312834768688597</v>
      </c>
      <c r="AS495">
        <f t="shared" si="221"/>
        <v>0.81253957429308521</v>
      </c>
      <c r="AT495">
        <f t="shared" si="222"/>
        <v>0.91566792197997116</v>
      </c>
      <c r="AU495">
        <f t="shared" si="223"/>
        <v>1.5162735254532138</v>
      </c>
    </row>
    <row r="496" spans="1:47" x14ac:dyDescent="0.25">
      <c r="A496" s="4">
        <f>DATE(2022,9,6)</f>
        <v>44810</v>
      </c>
      <c r="B496">
        <v>-2.3545678164879278</v>
      </c>
      <c r="C496">
        <v>25.579882382604961</v>
      </c>
      <c r="D496">
        <v>-8.7223115993930123E-2</v>
      </c>
      <c r="E496">
        <f t="shared" si="196"/>
        <v>-3.1958115359424459</v>
      </c>
      <c r="F496">
        <f t="shared" si="197"/>
        <v>-2.8703299560243538</v>
      </c>
      <c r="G496">
        <f t="shared" si="198"/>
        <v>-2.1193436010311317</v>
      </c>
      <c r="H496" s="2" t="str">
        <f t="shared" si="199"/>
        <v>Higher</v>
      </c>
      <c r="I496" s="2" t="str">
        <f t="shared" si="200"/>
        <v>Lower</v>
      </c>
      <c r="J496" s="2" t="str">
        <f t="shared" si="201"/>
        <v>Lower</v>
      </c>
      <c r="K496" s="2" t="str">
        <f t="shared" si="202"/>
        <v>Higher</v>
      </c>
      <c r="L496" s="2" t="str">
        <f t="shared" si="203"/>
        <v>Lower</v>
      </c>
      <c r="M496" s="2" t="str">
        <f t="shared" si="204"/>
        <v>Lower</v>
      </c>
      <c r="N496" s="2" t="str">
        <f t="shared" si="205"/>
        <v>Higher</v>
      </c>
      <c r="O496" s="2" t="str">
        <f t="shared" si="206"/>
        <v>Lower</v>
      </c>
      <c r="P496" s="2" t="str">
        <f t="shared" si="207"/>
        <v>Lower</v>
      </c>
      <c r="X496" s="4">
        <f>DATE(2022,9,6)</f>
        <v>44810</v>
      </c>
      <c r="Y496">
        <v>11.982726486528135</v>
      </c>
      <c r="Z496">
        <v>51.271266224459076</v>
      </c>
      <c r="AA496">
        <v>70.91749999999999</v>
      </c>
      <c r="AB496">
        <v>239.84200000000001</v>
      </c>
      <c r="AC496">
        <f t="shared" si="208"/>
        <v>-0.14651213469813726</v>
      </c>
      <c r="AD496">
        <f t="shared" si="209"/>
        <v>-5.3160072649098021E-2</v>
      </c>
      <c r="AE496">
        <f t="shared" si="210"/>
        <v>9.3352062049039231E-2</v>
      </c>
      <c r="AF496">
        <f t="shared" si="211"/>
        <v>0.43064546251691666</v>
      </c>
      <c r="AH496">
        <f t="shared" si="212"/>
        <v>-0.18667745718175416</v>
      </c>
      <c r="AI496">
        <f t="shared" si="213"/>
        <v>0.22152712675922032</v>
      </c>
      <c r="AJ496">
        <f t="shared" si="214"/>
        <v>0.40820458394097447</v>
      </c>
      <c r="AK496">
        <f t="shared" si="215"/>
        <v>1.142760124926627</v>
      </c>
      <c r="AM496">
        <f t="shared" si="216"/>
        <v>-0.16347909165394706</v>
      </c>
      <c r="AN496">
        <f t="shared" si="217"/>
        <v>0.90485710857631951</v>
      </c>
      <c r="AO496">
        <f t="shared" si="218"/>
        <v>1.0683362002302665</v>
      </c>
      <c r="AP496">
        <f t="shared" si="219"/>
        <v>2.0907235232240446</v>
      </c>
      <c r="AR496">
        <f t="shared" si="220"/>
        <v>-5.376846038346178E-2</v>
      </c>
      <c r="AS496">
        <f t="shared" si="221"/>
        <v>0.93791240700307354</v>
      </c>
      <c r="AT496">
        <f t="shared" si="222"/>
        <v>0.99168086738653538</v>
      </c>
      <c r="AU496">
        <f t="shared" si="223"/>
        <v>1.7460682740700322</v>
      </c>
    </row>
    <row r="497" spans="1:47" x14ac:dyDescent="0.25">
      <c r="A497" s="4">
        <f>DATE(2022,9,5)</f>
        <v>44809</v>
      </c>
      <c r="B497">
        <v>-2.0043323877074211</v>
      </c>
      <c r="C497">
        <v>30.032333997350047</v>
      </c>
      <c r="D497">
        <v>-4.0747281592270548E-2</v>
      </c>
      <c r="E497">
        <f t="shared" si="196"/>
        <v>-2.6761977960237999</v>
      </c>
      <c r="F497">
        <f t="shared" si="197"/>
        <v>-2.4366591148497196</v>
      </c>
      <c r="G497">
        <f t="shared" si="198"/>
        <v>-1.9935676410416394</v>
      </c>
      <c r="H497" s="2" t="str">
        <f t="shared" si="199"/>
        <v>Higher</v>
      </c>
      <c r="I497" s="2" t="str">
        <f t="shared" si="200"/>
        <v>Lower</v>
      </c>
      <c r="J497" s="2" t="str">
        <f t="shared" si="201"/>
        <v>Lower</v>
      </c>
      <c r="K497" s="2" t="str">
        <f t="shared" si="202"/>
        <v>Higher</v>
      </c>
      <c r="L497" s="2" t="str">
        <f t="shared" si="203"/>
        <v>Lower</v>
      </c>
      <c r="M497" s="2" t="str">
        <f t="shared" si="204"/>
        <v>Higher</v>
      </c>
      <c r="N497" s="2" t="str">
        <f t="shared" si="205"/>
        <v>Higher</v>
      </c>
      <c r="O497" s="2" t="str">
        <f t="shared" si="206"/>
        <v>Lower</v>
      </c>
      <c r="P497" s="2" t="str">
        <f t="shared" si="207"/>
        <v>Lower</v>
      </c>
      <c r="X497" s="4">
        <f>DATE(2022,9,5)</f>
        <v>44809</v>
      </c>
      <c r="Y497">
        <v>13.374212058454885</v>
      </c>
      <c r="AA497">
        <v>75.022500000000008</v>
      </c>
      <c r="AC497">
        <f t="shared" si="208"/>
        <v>-0.15244974390263211</v>
      </c>
      <c r="AD497" t="str">
        <f t="shared" si="209"/>
        <v/>
      </c>
      <c r="AE497" t="str">
        <f t="shared" si="210"/>
        <v/>
      </c>
      <c r="AF497" t="str">
        <f t="shared" si="211"/>
        <v/>
      </c>
      <c r="AH497">
        <f t="shared" si="212"/>
        <v>-0.11531777510147651</v>
      </c>
      <c r="AI497" t="str">
        <f t="shared" si="213"/>
        <v/>
      </c>
      <c r="AJ497" t="str">
        <f t="shared" si="214"/>
        <v/>
      </c>
      <c r="AK497" t="str">
        <f t="shared" si="215"/>
        <v/>
      </c>
      <c r="AM497">
        <f t="shared" si="216"/>
        <v>-8.014267268586521E-2</v>
      </c>
      <c r="AN497" t="str">
        <f t="shared" si="217"/>
        <v/>
      </c>
      <c r="AO497" t="str">
        <f t="shared" si="218"/>
        <v/>
      </c>
      <c r="AP497" t="str">
        <f t="shared" si="219"/>
        <v/>
      </c>
      <c r="AR497">
        <f t="shared" si="220"/>
        <v>7.9961616434684867E-3</v>
      </c>
      <c r="AS497" t="str">
        <f t="shared" si="221"/>
        <v/>
      </c>
      <c r="AT497" t="str">
        <f t="shared" si="222"/>
        <v/>
      </c>
      <c r="AU497" t="str">
        <f t="shared" si="223"/>
        <v/>
      </c>
    </row>
    <row r="498" spans="1:47" x14ac:dyDescent="0.25">
      <c r="A498" s="4">
        <f>DATE(2022,9,2)</f>
        <v>44806</v>
      </c>
      <c r="B498">
        <v>-1.7477467143882601</v>
      </c>
      <c r="C498">
        <v>34.192154088658683</v>
      </c>
      <c r="D498">
        <v>2.6003590133381261E-2</v>
      </c>
      <c r="E498">
        <f t="shared" si="196"/>
        <v>-2.2073894858535001</v>
      </c>
      <c r="F498">
        <f t="shared" si="197"/>
        <v>-1.9082451470034203</v>
      </c>
      <c r="G498">
        <f t="shared" si="198"/>
        <v>-1.7605047021773725</v>
      </c>
      <c r="H498" s="2" t="str">
        <f t="shared" si="199"/>
        <v>Higher</v>
      </c>
      <c r="I498" s="2" t="str">
        <f t="shared" si="200"/>
        <v>Lower</v>
      </c>
      <c r="J498" s="2" t="str">
        <f t="shared" si="201"/>
        <v>Lower</v>
      </c>
      <c r="K498" s="2" t="str">
        <f t="shared" si="202"/>
        <v>Higher</v>
      </c>
      <c r="L498" s="2" t="str">
        <f t="shared" si="203"/>
        <v>Higher</v>
      </c>
      <c r="M498" s="2" t="str">
        <f t="shared" si="204"/>
        <v>Higher</v>
      </c>
      <c r="N498" s="2" t="str">
        <f t="shared" si="205"/>
        <v>Higher</v>
      </c>
      <c r="O498" s="2" t="str">
        <f t="shared" si="206"/>
        <v>Lower</v>
      </c>
      <c r="P498" s="2" t="str">
        <f t="shared" si="207"/>
        <v>Lower</v>
      </c>
      <c r="X498" s="4">
        <f>DATE(2022,9,2)</f>
        <v>44806</v>
      </c>
      <c r="Y498">
        <v>14.568833115117089</v>
      </c>
      <c r="Z498">
        <v>45.155653932238202</v>
      </c>
      <c r="AA498">
        <v>78.612500000000011</v>
      </c>
      <c r="AB498">
        <v>214.66499999999999</v>
      </c>
      <c r="AC498">
        <f t="shared" si="208"/>
        <v>-0.13297073301967424</v>
      </c>
      <c r="AD498">
        <f t="shared" si="209"/>
        <v>-0.45749943796443754</v>
      </c>
      <c r="AE498">
        <f t="shared" si="210"/>
        <v>-0.32452870494476327</v>
      </c>
      <c r="AF498">
        <f t="shared" si="211"/>
        <v>-2.0118004882595892</v>
      </c>
      <c r="AH498">
        <f t="shared" si="212"/>
        <v>-7.3610381142808601E-2</v>
      </c>
      <c r="AI498">
        <f t="shared" si="213"/>
        <v>8.9332692468347588E-2</v>
      </c>
      <c r="AJ498">
        <f t="shared" si="214"/>
        <v>0.16294307361115618</v>
      </c>
      <c r="AK498">
        <f t="shared" si="215"/>
        <v>0.2952646497085642</v>
      </c>
      <c r="AM498">
        <f t="shared" si="216"/>
        <v>-3.8125406036566639E-2</v>
      </c>
      <c r="AN498">
        <f t="shared" si="217"/>
        <v>0.95671683896099435</v>
      </c>
      <c r="AO498">
        <f t="shared" si="218"/>
        <v>0.99484224499756102</v>
      </c>
      <c r="AP498">
        <f t="shared" si="219"/>
        <v>1.9257898363769173</v>
      </c>
      <c r="AR498">
        <f t="shared" si="220"/>
        <v>8.0358122864585477E-2</v>
      </c>
      <c r="AS498">
        <f t="shared" si="221"/>
        <v>0.8756951622593705</v>
      </c>
      <c r="AT498">
        <f t="shared" si="222"/>
        <v>0.79533703939478506</v>
      </c>
      <c r="AU498">
        <f t="shared" si="223"/>
        <v>1.1696099841082475</v>
      </c>
    </row>
    <row r="499" spans="1:47" x14ac:dyDescent="0.25">
      <c r="A499" s="4">
        <f>DATE(2022,9,1)</f>
        <v>44805</v>
      </c>
      <c r="B499">
        <v>-1.5542651705855899</v>
      </c>
      <c r="C499">
        <v>38.350469689999819</v>
      </c>
      <c r="D499">
        <v>0.111646301480058</v>
      </c>
      <c r="E499">
        <f t="shared" si="196"/>
        <v>-1.8787496112519957</v>
      </c>
      <c r="F499">
        <f t="shared" si="197"/>
        <v>-1.4067094128245421</v>
      </c>
      <c r="G499">
        <f t="shared" si="198"/>
        <v>-1.4618114761955803</v>
      </c>
      <c r="H499" s="2" t="str">
        <f t="shared" si="199"/>
        <v>Higher</v>
      </c>
      <c r="I499" s="2" t="str">
        <f t="shared" si="200"/>
        <v>Higher</v>
      </c>
      <c r="J499" s="2" t="str">
        <f t="shared" si="201"/>
        <v>Lower</v>
      </c>
      <c r="K499" s="2" t="str">
        <f t="shared" si="202"/>
        <v>Higher</v>
      </c>
      <c r="L499" s="2" t="str">
        <f t="shared" si="203"/>
        <v>Higher</v>
      </c>
      <c r="M499" s="2" t="str">
        <f t="shared" si="204"/>
        <v>Higher</v>
      </c>
      <c r="N499" s="2" t="str">
        <f t="shared" si="205"/>
        <v>Higher</v>
      </c>
      <c r="O499" s="2" t="str">
        <f t="shared" si="206"/>
        <v>Lower</v>
      </c>
      <c r="P499" s="2" t="str">
        <f t="shared" si="207"/>
        <v>Lower</v>
      </c>
      <c r="X499" s="4">
        <f>DATE(2022,9,1)</f>
        <v>44805</v>
      </c>
      <c r="Y499">
        <v>15.743746570581896</v>
      </c>
      <c r="Z499">
        <v>51.973272835742804</v>
      </c>
      <c r="AA499">
        <v>80.094999999999999</v>
      </c>
      <c r="AB499">
        <v>243.00399999999999</v>
      </c>
      <c r="AC499">
        <f t="shared" si="208"/>
        <v>-0.10677034602552717</v>
      </c>
      <c r="AD499">
        <f t="shared" si="209"/>
        <v>-0.27965210767181353</v>
      </c>
      <c r="AE499">
        <f t="shared" si="210"/>
        <v>-0.17288176164628638</v>
      </c>
      <c r="AF499">
        <f t="shared" si="211"/>
        <v>-1.1383519725857929</v>
      </c>
      <c r="AH499">
        <f t="shared" si="212"/>
        <v>-4.9120075051904279E-2</v>
      </c>
      <c r="AI499">
        <f t="shared" si="213"/>
        <v>0.19852762413162639</v>
      </c>
      <c r="AJ499">
        <f t="shared" si="214"/>
        <v>0.24764769918353066</v>
      </c>
      <c r="AK499">
        <f t="shared" si="215"/>
        <v>0.58567634183604267</v>
      </c>
      <c r="AM499">
        <f t="shared" si="216"/>
        <v>-1.0093096659702126E-2</v>
      </c>
      <c r="AN499">
        <f t="shared" si="217"/>
        <v>1.0518394098046915</v>
      </c>
      <c r="AO499">
        <f t="shared" si="218"/>
        <v>1.0619325064643936</v>
      </c>
      <c r="AP499">
        <f t="shared" si="219"/>
        <v>2.0976431594618923</v>
      </c>
      <c r="AR499">
        <f t="shared" si="220"/>
        <v>7.8878103195436852E-2</v>
      </c>
      <c r="AS499" t="str">
        <f t="shared" si="221"/>
        <v/>
      </c>
      <c r="AT499" t="str">
        <f t="shared" si="222"/>
        <v/>
      </c>
      <c r="AU499" t="str">
        <f t="shared" si="223"/>
        <v/>
      </c>
    </row>
    <row r="500" spans="1:47" x14ac:dyDescent="0.25">
      <c r="A500" s="4">
        <f>DATE(2022,8,31)</f>
        <v>44804</v>
      </c>
      <c r="B500">
        <v>-1.4290219660568055</v>
      </c>
      <c r="C500">
        <v>36.470251281197264</v>
      </c>
      <c r="D500">
        <v>4.4478431761953624E-2</v>
      </c>
      <c r="E500">
        <f t="shared" si="196"/>
        <v>-1.6574180239892429</v>
      </c>
      <c r="F500">
        <f t="shared" si="197"/>
        <v>-1.5744800660089187</v>
      </c>
      <c r="G500">
        <f t="shared" si="198"/>
        <v>-1.6717534082527001</v>
      </c>
      <c r="H500" s="2" t="str">
        <f t="shared" si="199"/>
        <v>Higher</v>
      </c>
      <c r="I500" s="2" t="str">
        <f t="shared" si="200"/>
        <v>Higher</v>
      </c>
      <c r="J500" s="2" t="str">
        <f t="shared" si="201"/>
        <v>Lower</v>
      </c>
      <c r="K500" s="2" t="str">
        <f t="shared" si="202"/>
        <v>Higher</v>
      </c>
      <c r="L500" s="2" t="str">
        <f t="shared" si="203"/>
        <v>Higher</v>
      </c>
      <c r="M500" s="2" t="str">
        <f t="shared" si="204"/>
        <v>Higher</v>
      </c>
      <c r="N500" s="2" t="str">
        <f t="shared" si="205"/>
        <v>Higher</v>
      </c>
      <c r="O500" s="2" t="str">
        <f t="shared" si="206"/>
        <v>Lower</v>
      </c>
      <c r="P500" s="2" t="str">
        <f t="shared" si="207"/>
        <v>Lower</v>
      </c>
      <c r="X500" s="4">
        <f>DATE(2022,8,31)</f>
        <v>44804</v>
      </c>
      <c r="Y500">
        <v>17.065788272169772</v>
      </c>
      <c r="Z500">
        <v>51.226003252346111</v>
      </c>
      <c r="AA500">
        <v>80.167500000000004</v>
      </c>
      <c r="AB500">
        <v>239.90700000000001</v>
      </c>
      <c r="AC500">
        <f t="shared" si="208"/>
        <v>-0.11079059589648056</v>
      </c>
      <c r="AD500">
        <f t="shared" si="209"/>
        <v>-0.19701602075598043</v>
      </c>
      <c r="AE500">
        <f t="shared" si="210"/>
        <v>-8.6225424859499869E-2</v>
      </c>
      <c r="AF500">
        <f t="shared" si="211"/>
        <v>-0.63533812808441148</v>
      </c>
      <c r="AH500">
        <f t="shared" si="212"/>
        <v>-3.991972587128214E-2</v>
      </c>
      <c r="AI500">
        <f t="shared" si="213"/>
        <v>0.18596710381059439</v>
      </c>
      <c r="AJ500">
        <f t="shared" si="214"/>
        <v>0.22588682968187654</v>
      </c>
      <c r="AK500">
        <f t="shared" si="215"/>
        <v>0.5092034215928275</v>
      </c>
      <c r="AM500">
        <f t="shared" si="216"/>
        <v>-9.3549745145082771E-5</v>
      </c>
      <c r="AN500">
        <f t="shared" si="217"/>
        <v>1.1056648226682786</v>
      </c>
      <c r="AO500">
        <f t="shared" si="218"/>
        <v>1.1057583724134237</v>
      </c>
      <c r="AP500">
        <f t="shared" si="219"/>
        <v>2.2160433857105244</v>
      </c>
      <c r="AR500">
        <f t="shared" si="220"/>
        <v>0.10769516191636232</v>
      </c>
      <c r="AS500">
        <f t="shared" si="221"/>
        <v>0.93748330041937633</v>
      </c>
      <c r="AT500">
        <f t="shared" si="222"/>
        <v>0.82978813850301403</v>
      </c>
      <c r="AU500">
        <f t="shared" si="223"/>
        <v>1.2747400706474705</v>
      </c>
    </row>
    <row r="501" spans="1:47" x14ac:dyDescent="0.25">
      <c r="A501" s="4">
        <f>DATE(2022,8,30)</f>
        <v>44803</v>
      </c>
      <c r="B501">
        <v>-1.0561201022924318</v>
      </c>
      <c r="C501">
        <v>37.562051420140705</v>
      </c>
      <c r="D501">
        <v>4.7484569397226402E-2</v>
      </c>
      <c r="E501">
        <f t="shared" si="196"/>
        <v>-1.1939342724175639</v>
      </c>
      <c r="F501">
        <f t="shared" si="197"/>
        <v>-1.4276534231798776</v>
      </c>
      <c r="G501">
        <f t="shared" si="198"/>
        <v>-1.6374479364026036</v>
      </c>
      <c r="H501" s="2" t="str">
        <f t="shared" si="199"/>
        <v>Higher</v>
      </c>
      <c r="I501" s="2" t="str">
        <f t="shared" si="200"/>
        <v>Higher</v>
      </c>
      <c r="J501" s="2" t="str">
        <f t="shared" si="201"/>
        <v>Lower</v>
      </c>
      <c r="K501" s="2" t="str">
        <f t="shared" si="202"/>
        <v>Higher</v>
      </c>
      <c r="L501" s="2" t="str">
        <f t="shared" si="203"/>
        <v>Higher</v>
      </c>
      <c r="M501" s="2" t="str">
        <f t="shared" si="204"/>
        <v>Higher</v>
      </c>
      <c r="N501" s="2" t="str">
        <f t="shared" si="205"/>
        <v>Higher</v>
      </c>
      <c r="O501" s="2" t="str">
        <f t="shared" si="206"/>
        <v>Lower</v>
      </c>
      <c r="P501" s="2" t="str">
        <f t="shared" si="207"/>
        <v>Lower</v>
      </c>
      <c r="X501" s="4">
        <f>DATE(2022,8,30)</f>
        <v>44803</v>
      </c>
      <c r="Y501">
        <v>18.005394718599728</v>
      </c>
      <c r="Z501">
        <v>54.541450288715097</v>
      </c>
      <c r="AA501">
        <v>82.107500000000002</v>
      </c>
      <c r="AB501">
        <v>252.93700000000001</v>
      </c>
      <c r="AC501">
        <f t="shared" si="208"/>
        <v>-9.6270211307331044E-2</v>
      </c>
      <c r="AD501">
        <f t="shared" si="209"/>
        <v>-6.1753073286041599E-2</v>
      </c>
      <c r="AE501">
        <f t="shared" si="210"/>
        <v>3.4517138021289445E-2</v>
      </c>
      <c r="AF501">
        <f t="shared" si="211"/>
        <v>6.8832347556525744E-2</v>
      </c>
      <c r="AH501">
        <f t="shared" si="212"/>
        <v>8.070723395895131E-3</v>
      </c>
      <c r="AI501">
        <f t="shared" si="213"/>
        <v>0.20928204624545868</v>
      </c>
      <c r="AJ501">
        <f t="shared" si="214"/>
        <v>0.20121132284956356</v>
      </c>
      <c r="AK501">
        <f t="shared" si="215"/>
        <v>0.4220574203838019</v>
      </c>
      <c r="AM501">
        <f t="shared" si="216"/>
        <v>6.874349186904969E-3</v>
      </c>
      <c r="AN501">
        <f t="shared" si="217"/>
        <v>1.1516014300540889</v>
      </c>
      <c r="AO501">
        <f t="shared" si="218"/>
        <v>1.1447270808671839</v>
      </c>
      <c r="AP501">
        <f t="shared" si="219"/>
        <v>2.3249263975394343</v>
      </c>
      <c r="AR501">
        <f t="shared" si="220"/>
        <v>0.16767430668930014</v>
      </c>
      <c r="AS501">
        <f t="shared" si="221"/>
        <v>1.0327642693592074</v>
      </c>
      <c r="AT501">
        <f t="shared" si="222"/>
        <v>0.86508996266990723</v>
      </c>
      <c r="AU501">
        <f t="shared" si="223"/>
        <v>1.3825430295946555</v>
      </c>
    </row>
    <row r="502" spans="1:47" x14ac:dyDescent="0.25">
      <c r="A502" s="4">
        <f>DATE(2022,8,29)</f>
        <v>44802</v>
      </c>
      <c r="B502">
        <v>-0.4812773767179972</v>
      </c>
      <c r="C502">
        <v>47.455364168569254</v>
      </c>
      <c r="D502">
        <v>0.37377201018997541</v>
      </c>
      <c r="E502">
        <f t="shared" si="196"/>
        <v>-0.54803837147295531</v>
      </c>
      <c r="F502">
        <f t="shared" si="197"/>
        <v>-0.35552465891966784</v>
      </c>
      <c r="G502">
        <f t="shared" si="198"/>
        <v>-0.52161806334642358</v>
      </c>
      <c r="H502" s="2" t="str">
        <f t="shared" si="199"/>
        <v>Higher</v>
      </c>
      <c r="I502" s="2" t="str">
        <f t="shared" si="200"/>
        <v>Higher</v>
      </c>
      <c r="J502" s="2" t="str">
        <f t="shared" si="201"/>
        <v>Lower</v>
      </c>
      <c r="K502" s="2" t="str">
        <f t="shared" si="202"/>
        <v>Higher</v>
      </c>
      <c r="L502" s="2" t="str">
        <f t="shared" si="203"/>
        <v>Higher</v>
      </c>
      <c r="M502" s="2" t="str">
        <f t="shared" si="204"/>
        <v>Higher</v>
      </c>
      <c r="N502" s="2" t="str">
        <f t="shared" si="205"/>
        <v>Higher</v>
      </c>
      <c r="O502" s="2" t="str">
        <f t="shared" si="206"/>
        <v>Lower</v>
      </c>
      <c r="P502" s="2" t="str">
        <f t="shared" si="207"/>
        <v>Lower</v>
      </c>
      <c r="X502" s="4">
        <f>DATE(2022,8,29)</f>
        <v>44802</v>
      </c>
      <c r="Y502">
        <v>20.852286324873752</v>
      </c>
      <c r="Z502">
        <v>59.982247083961923</v>
      </c>
      <c r="AA502">
        <v>87.377499999999998</v>
      </c>
      <c r="AB502">
        <v>272.60300000000001</v>
      </c>
      <c r="AC502">
        <f t="shared" si="208"/>
        <v>-6.7402716746551419E-2</v>
      </c>
      <c r="AD502">
        <f t="shared" si="209"/>
        <v>-1.5090820486092962E-2</v>
      </c>
      <c r="AE502">
        <f t="shared" si="210"/>
        <v>5.2311896260458457E-2</v>
      </c>
      <c r="AF502">
        <f t="shared" si="211"/>
        <v>0.17325090471137808</v>
      </c>
      <c r="AH502">
        <f t="shared" si="212"/>
        <v>8.7805010271248055E-2</v>
      </c>
      <c r="AI502">
        <f t="shared" si="213"/>
        <v>0.30573701744455001</v>
      </c>
      <c r="AJ502">
        <f t="shared" si="214"/>
        <v>0.21793200717330197</v>
      </c>
      <c r="AK502">
        <f t="shared" si="215"/>
        <v>0.4779004568816555</v>
      </c>
      <c r="AM502">
        <f t="shared" si="216"/>
        <v>5.3507864261980939E-2</v>
      </c>
      <c r="AN502">
        <f t="shared" si="217"/>
        <v>1.1931627691492046</v>
      </c>
      <c r="AO502">
        <f t="shared" si="218"/>
        <v>1.1396549048872238</v>
      </c>
      <c r="AP502">
        <f t="shared" si="219"/>
        <v>2.3285045434824085</v>
      </c>
      <c r="AR502">
        <f t="shared" si="220"/>
        <v>0.22074307006549806</v>
      </c>
      <c r="AS502">
        <f t="shared" si="221"/>
        <v>1.1771878208032489</v>
      </c>
      <c r="AT502">
        <f t="shared" si="222"/>
        <v>0.95644475073775082</v>
      </c>
      <c r="AU502">
        <f t="shared" si="223"/>
        <v>1.6563236342040755</v>
      </c>
    </row>
    <row r="503" spans="1:47" x14ac:dyDescent="0.25">
      <c r="A503" s="4">
        <f>DATE(2022,8,26)</f>
        <v>44799</v>
      </c>
      <c r="B503">
        <v>-0.1523855181092566</v>
      </c>
      <c r="C503">
        <v>56.000971196385869</v>
      </c>
      <c r="D503">
        <v>0.59580454454982679</v>
      </c>
      <c r="E503">
        <f t="shared" si="196"/>
        <v>-0.18933149337678434</v>
      </c>
      <c r="F503">
        <f t="shared" si="197"/>
        <v>0.54916824820566135</v>
      </c>
      <c r="G503">
        <f t="shared" si="198"/>
        <v>0.21174499125638652</v>
      </c>
      <c r="H503" s="2" t="str">
        <f t="shared" si="199"/>
        <v>Higher</v>
      </c>
      <c r="I503" s="2" t="str">
        <f t="shared" si="200"/>
        <v>Higher</v>
      </c>
      <c r="J503" s="2" t="str">
        <f t="shared" si="201"/>
        <v>Lower</v>
      </c>
      <c r="K503" s="2" t="str">
        <f t="shared" si="202"/>
        <v>Higher</v>
      </c>
      <c r="L503" s="2" t="str">
        <f t="shared" si="203"/>
        <v>Higher</v>
      </c>
      <c r="M503" s="2" t="str">
        <f t="shared" si="204"/>
        <v>Higher</v>
      </c>
      <c r="N503" s="2" t="str">
        <f t="shared" si="205"/>
        <v>Higher</v>
      </c>
      <c r="O503" s="2" t="str">
        <f t="shared" si="206"/>
        <v>Lower</v>
      </c>
      <c r="P503" s="2" t="str">
        <f t="shared" si="207"/>
        <v>Lower</v>
      </c>
      <c r="X503" s="4">
        <f>DATE(2022,8,26)</f>
        <v>44799</v>
      </c>
      <c r="Y503">
        <v>23.203239255731571</v>
      </c>
      <c r="Z503">
        <v>87.394714006249217</v>
      </c>
      <c r="AA503">
        <v>89.792500000000004</v>
      </c>
      <c r="AB503">
        <v>339.19600000000003</v>
      </c>
      <c r="AC503">
        <f t="shared" si="208"/>
        <v>-8.4502455066955681E-2</v>
      </c>
      <c r="AD503">
        <f t="shared" si="209"/>
        <v>0.32715832441002018</v>
      </c>
      <c r="AE503">
        <f t="shared" si="210"/>
        <v>0.41166077947697588</v>
      </c>
      <c r="AF503">
        <f t="shared" si="211"/>
        <v>2.2736914134328421</v>
      </c>
      <c r="AH503">
        <f t="shared" si="212"/>
        <v>0.13395706759430059</v>
      </c>
      <c r="AI503">
        <f t="shared" si="213"/>
        <v>0.57474980858030533</v>
      </c>
      <c r="AJ503">
        <f t="shared" si="214"/>
        <v>0.44079274098600474</v>
      </c>
      <c r="AK503">
        <f t="shared" si="215"/>
        <v>1.2425019475013568</v>
      </c>
      <c r="AM503">
        <f t="shared" si="216"/>
        <v>3.4298138346828953E-2</v>
      </c>
      <c r="AN503">
        <f t="shared" si="217"/>
        <v>1.4065213759120441</v>
      </c>
      <c r="AO503">
        <f t="shared" si="218"/>
        <v>1.372223237565215</v>
      </c>
      <c r="AP503">
        <f t="shared" si="219"/>
        <v>2.9156453041198356</v>
      </c>
      <c r="AR503">
        <f t="shared" si="220"/>
        <v>0.25902047230805186</v>
      </c>
      <c r="AS503">
        <f t="shared" si="221"/>
        <v>1.351018443288581</v>
      </c>
      <c r="AT503">
        <f t="shared" si="222"/>
        <v>1.0919979709805292</v>
      </c>
      <c r="AU503">
        <f t="shared" si="223"/>
        <v>2.0620934106158733</v>
      </c>
    </row>
    <row r="504" spans="1:47" x14ac:dyDescent="0.25">
      <c r="A504" s="4">
        <f>DATE(2022,8,25)</f>
        <v>44798</v>
      </c>
      <c r="B504">
        <v>-2.1154829377603601E-2</v>
      </c>
      <c r="C504">
        <v>53.888541166899579</v>
      </c>
      <c r="D504">
        <v>0.56702571672779034</v>
      </c>
      <c r="E504">
        <f t="shared" si="196"/>
        <v>-4.4402240652861885E-2</v>
      </c>
      <c r="F504">
        <f t="shared" si="197"/>
        <v>0.33418222038004686</v>
      </c>
      <c r="G504">
        <f t="shared" si="198"/>
        <v>0.12810070051940875</v>
      </c>
      <c r="H504" s="2" t="str">
        <f t="shared" si="199"/>
        <v>Higher</v>
      </c>
      <c r="I504" s="2" t="str">
        <f t="shared" si="200"/>
        <v>Higher</v>
      </c>
      <c r="J504" s="2" t="str">
        <f t="shared" si="201"/>
        <v>Lower</v>
      </c>
      <c r="K504" s="2" t="str">
        <f t="shared" si="202"/>
        <v>Higher</v>
      </c>
      <c r="L504" s="2" t="str">
        <f t="shared" si="203"/>
        <v>Lower</v>
      </c>
      <c r="M504" s="2" t="str">
        <f t="shared" si="204"/>
        <v>Higher</v>
      </c>
      <c r="N504" s="2" t="str">
        <f t="shared" si="205"/>
        <v>Higher</v>
      </c>
      <c r="O504" s="2" t="str">
        <f t="shared" si="206"/>
        <v>Lower</v>
      </c>
      <c r="P504" s="2" t="str">
        <f t="shared" si="207"/>
        <v>Lower</v>
      </c>
      <c r="X504" s="4">
        <f>DATE(2022,8,25)</f>
        <v>44798</v>
      </c>
      <c r="Y504">
        <v>24.49899066725208</v>
      </c>
      <c r="Z504">
        <v>85.783791685132954</v>
      </c>
      <c r="AA504">
        <v>89.12</v>
      </c>
      <c r="AB504">
        <v>321.41399999999999</v>
      </c>
      <c r="AC504">
        <f t="shared" si="208"/>
        <v>-6.9849027920510981E-2</v>
      </c>
      <c r="AD504">
        <f t="shared" si="209"/>
        <v>0.28791648091894129</v>
      </c>
      <c r="AE504">
        <f t="shared" si="210"/>
        <v>0.35776550883945224</v>
      </c>
      <c r="AF504">
        <f t="shared" si="211"/>
        <v>1.9698283645212753</v>
      </c>
      <c r="AH504">
        <f t="shared" si="212"/>
        <v>0.12653489426646225</v>
      </c>
      <c r="AI504">
        <f t="shared" si="213"/>
        <v>0.47977700773334647</v>
      </c>
      <c r="AJ504">
        <f t="shared" si="214"/>
        <v>0.35324211346688422</v>
      </c>
      <c r="AK504">
        <f t="shared" si="215"/>
        <v>0.94144769470039236</v>
      </c>
      <c r="AM504">
        <f t="shared" si="216"/>
        <v>2.7126282965601784E-2</v>
      </c>
      <c r="AN504">
        <f t="shared" si="217"/>
        <v>1.3425681892938712</v>
      </c>
      <c r="AO504">
        <f t="shared" si="218"/>
        <v>1.3154419063282694</v>
      </c>
      <c r="AP504">
        <f t="shared" si="219"/>
        <v>2.804957052818323</v>
      </c>
      <c r="AR504">
        <f t="shared" si="220"/>
        <v>0.2641359181978496</v>
      </c>
      <c r="AS504">
        <f t="shared" si="221"/>
        <v>1.2267818379775242</v>
      </c>
      <c r="AT504">
        <f t="shared" si="222"/>
        <v>0.96264591977967462</v>
      </c>
      <c r="AU504">
        <f t="shared" si="223"/>
        <v>1.6880333366473677</v>
      </c>
    </row>
    <row r="505" spans="1:47" x14ac:dyDescent="0.25">
      <c r="A505" s="4">
        <f>DATE(2022,8,24)</f>
        <v>44797</v>
      </c>
      <c r="B505">
        <v>0.25664492719085441</v>
      </c>
      <c r="C505">
        <v>53.744183251441633</v>
      </c>
      <c r="D505">
        <v>0.5832658826532946</v>
      </c>
      <c r="E505">
        <f t="shared" si="196"/>
        <v>0.2556923316914832</v>
      </c>
      <c r="F505">
        <f t="shared" si="197"/>
        <v>0.32515294933788369</v>
      </c>
      <c r="G505">
        <f t="shared" si="198"/>
        <v>0.18986047169402237</v>
      </c>
      <c r="H505" s="2" t="str">
        <f t="shared" si="199"/>
        <v>Higher</v>
      </c>
      <c r="I505" s="2" t="str">
        <f t="shared" si="200"/>
        <v>Lower</v>
      </c>
      <c r="J505" s="2" t="str">
        <f t="shared" si="201"/>
        <v>Lower</v>
      </c>
      <c r="K505" s="2" t="str">
        <f t="shared" si="202"/>
        <v>Higher</v>
      </c>
      <c r="L505" s="2" t="str">
        <f t="shared" si="203"/>
        <v>Lower</v>
      </c>
      <c r="M505" s="2" t="str">
        <f t="shared" si="204"/>
        <v>Higher</v>
      </c>
      <c r="N505" s="2" t="str">
        <f t="shared" si="205"/>
        <v>Higher</v>
      </c>
      <c r="O505" s="2" t="str">
        <f t="shared" si="206"/>
        <v>Lower</v>
      </c>
      <c r="P505" s="2" t="str">
        <f t="shared" si="207"/>
        <v>Lower</v>
      </c>
      <c r="X505" s="4">
        <f>DATE(2022,8,24)</f>
        <v>44797</v>
      </c>
      <c r="Y505">
        <v>26.452026738103264</v>
      </c>
      <c r="Z505">
        <v>82.333623175829416</v>
      </c>
      <c r="AA505">
        <v>89.56</v>
      </c>
      <c r="AB505">
        <v>292.14999999999998</v>
      </c>
      <c r="AC505">
        <f t="shared" si="208"/>
        <v>-5.9678373881458975E-2</v>
      </c>
      <c r="AD505">
        <f t="shared" si="209"/>
        <v>0.25746272486813154</v>
      </c>
      <c r="AE505">
        <f t="shared" si="210"/>
        <v>0.31714109874959051</v>
      </c>
      <c r="AF505">
        <f t="shared" si="211"/>
        <v>1.7401868324879497</v>
      </c>
      <c r="AH505">
        <f t="shared" si="212"/>
        <v>0.15810836716187082</v>
      </c>
      <c r="AI505">
        <f t="shared" si="213"/>
        <v>0.35316043076611614</v>
      </c>
      <c r="AJ505">
        <f t="shared" si="214"/>
        <v>0.19505206360424532</v>
      </c>
      <c r="AK505">
        <f t="shared" si="215"/>
        <v>0.39609051654273519</v>
      </c>
      <c r="AM505">
        <f t="shared" si="216"/>
        <v>4.1695859554998674E-2</v>
      </c>
      <c r="AN505">
        <f t="shared" si="217"/>
        <v>1.2281546796598413</v>
      </c>
      <c r="AO505">
        <f t="shared" si="218"/>
        <v>1.1864588201048425</v>
      </c>
      <c r="AP505">
        <f t="shared" si="219"/>
        <v>2.5101577619350381</v>
      </c>
      <c r="AR505">
        <f t="shared" si="220"/>
        <v>0.28456055375214739</v>
      </c>
      <c r="AS505">
        <f t="shared" si="221"/>
        <v>1.1106769016465243</v>
      </c>
      <c r="AT505">
        <f t="shared" si="222"/>
        <v>0.82611634789437693</v>
      </c>
      <c r="AU505">
        <f t="shared" si="223"/>
        <v>1.2892791298291906</v>
      </c>
    </row>
    <row r="506" spans="1:47" x14ac:dyDescent="0.25">
      <c r="A506" s="4">
        <f>DATE(2022,8,23)</f>
        <v>44796</v>
      </c>
      <c r="B506">
        <v>0.65028266150459846</v>
      </c>
      <c r="C506">
        <v>53.856030526336255</v>
      </c>
      <c r="D506">
        <v>0.60577440284023876</v>
      </c>
      <c r="E506">
        <f t="shared" si="196"/>
        <v>0.67824150135293448</v>
      </c>
      <c r="F506">
        <f t="shared" si="197"/>
        <v>0.32869203106361888</v>
      </c>
      <c r="G506">
        <f t="shared" si="198"/>
        <v>0.2557310150172446</v>
      </c>
      <c r="H506" s="2" t="str">
        <f t="shared" si="199"/>
        <v>Higher</v>
      </c>
      <c r="I506" s="2" t="str">
        <f t="shared" si="200"/>
        <v>Lower</v>
      </c>
      <c r="J506" s="2" t="str">
        <f t="shared" si="201"/>
        <v>Lower</v>
      </c>
      <c r="K506" s="2" t="str">
        <f t="shared" si="202"/>
        <v>Higher</v>
      </c>
      <c r="L506" s="2" t="str">
        <f t="shared" si="203"/>
        <v>Lower</v>
      </c>
      <c r="M506" s="2" t="str">
        <f t="shared" si="204"/>
        <v>Higher</v>
      </c>
      <c r="N506" s="2" t="str">
        <f t="shared" si="205"/>
        <v>Higher</v>
      </c>
      <c r="O506" s="2" t="str">
        <f t="shared" si="206"/>
        <v>Lower</v>
      </c>
      <c r="P506" s="2" t="str">
        <f t="shared" si="207"/>
        <v>Lower</v>
      </c>
      <c r="X506" s="4">
        <f>DATE(2022,8,23)</f>
        <v>44796</v>
      </c>
      <c r="Y506">
        <v>28.279166504041648</v>
      </c>
      <c r="Z506">
        <v>78.510742510056758</v>
      </c>
      <c r="AA506">
        <v>90.405000000000001</v>
      </c>
      <c r="AB506">
        <v>269.04899999999998</v>
      </c>
      <c r="AC506">
        <f t="shared" si="208"/>
        <v>-1.446813888385578E-2</v>
      </c>
      <c r="AD506">
        <f t="shared" si="209"/>
        <v>0.17473912326870303</v>
      </c>
      <c r="AE506">
        <f t="shared" si="210"/>
        <v>0.18920726215255881</v>
      </c>
      <c r="AF506">
        <f t="shared" si="211"/>
        <v>0.99389498626419648</v>
      </c>
      <c r="AH506">
        <f t="shared" si="212"/>
        <v>0.16469126098272427</v>
      </c>
      <c r="AI506">
        <f t="shared" si="213"/>
        <v>0.29698623667219792</v>
      </c>
      <c r="AJ506">
        <f t="shared" si="214"/>
        <v>0.13229497568947365</v>
      </c>
      <c r="AK506">
        <f t="shared" si="215"/>
        <v>0.18110603947517454</v>
      </c>
      <c r="AM506">
        <f t="shared" si="216"/>
        <v>7.1876923974707227E-2</v>
      </c>
      <c r="AN506">
        <f t="shared" si="217"/>
        <v>1.0515561845911219</v>
      </c>
      <c r="AO506">
        <f t="shared" si="218"/>
        <v>0.97967926061641464</v>
      </c>
      <c r="AP506">
        <f t="shared" si="219"/>
        <v>2.0114134922759153</v>
      </c>
      <c r="AR506">
        <f t="shared" si="220"/>
        <v>0.29528793840289069</v>
      </c>
      <c r="AS506">
        <f t="shared" si="221"/>
        <v>1.0759704568102417</v>
      </c>
      <c r="AT506">
        <f t="shared" si="222"/>
        <v>0.78068251840735103</v>
      </c>
      <c r="AU506">
        <f t="shared" si="223"/>
        <v>1.1582662975686981</v>
      </c>
    </row>
    <row r="507" spans="1:47" x14ac:dyDescent="0.25">
      <c r="A507" s="4">
        <f>DATE(2022,8,22)</f>
        <v>44795</v>
      </c>
      <c r="B507">
        <v>1.1845289969093908</v>
      </c>
      <c r="C507">
        <v>60.600008605066087</v>
      </c>
      <c r="D507">
        <v>0.73876274812129461</v>
      </c>
      <c r="E507">
        <f t="shared" si="196"/>
        <v>1.2549124363886854</v>
      </c>
      <c r="F507">
        <f t="shared" si="197"/>
        <v>1.0353490093532858</v>
      </c>
      <c r="G507">
        <f t="shared" si="198"/>
        <v>0.68320811327368236</v>
      </c>
      <c r="H507" s="2" t="str">
        <f t="shared" si="199"/>
        <v>Higher</v>
      </c>
      <c r="I507" s="2" t="str">
        <f t="shared" si="200"/>
        <v>Lower</v>
      </c>
      <c r="J507" s="2" t="str">
        <f t="shared" si="201"/>
        <v>Lower</v>
      </c>
      <c r="K507" s="2" t="str">
        <f t="shared" si="202"/>
        <v>Higher</v>
      </c>
      <c r="L507" s="2" t="str">
        <f t="shared" si="203"/>
        <v>Lower</v>
      </c>
      <c r="M507" s="2" t="str">
        <f t="shared" si="204"/>
        <v>Higher</v>
      </c>
      <c r="N507" s="2" t="str">
        <f t="shared" si="205"/>
        <v>Higher</v>
      </c>
      <c r="O507" s="2" t="str">
        <f t="shared" si="206"/>
        <v>Lower</v>
      </c>
      <c r="P507" s="2" t="str">
        <f t="shared" si="207"/>
        <v>Lower</v>
      </c>
      <c r="X507" s="4">
        <f>DATE(2022,8,22)</f>
        <v>44795</v>
      </c>
      <c r="Y507">
        <v>31.896741426704828</v>
      </c>
      <c r="Z507">
        <v>84.145735977173061</v>
      </c>
      <c r="AA507">
        <v>93.47</v>
      </c>
      <c r="AB507">
        <v>276.74799999999999</v>
      </c>
      <c r="AC507">
        <f t="shared" si="208"/>
        <v>3.5250856600839778E-2</v>
      </c>
      <c r="AD507">
        <f t="shared" si="209"/>
        <v>0.22897992342968657</v>
      </c>
      <c r="AE507">
        <f t="shared" si="210"/>
        <v>0.19372906682884677</v>
      </c>
      <c r="AF507">
        <f t="shared" si="211"/>
        <v>1.022537523347113</v>
      </c>
      <c r="AH507">
        <f t="shared" si="212"/>
        <v>0.19822785824238998</v>
      </c>
      <c r="AI507">
        <f t="shared" si="213"/>
        <v>0.44912946053129155</v>
      </c>
      <c r="AJ507">
        <f t="shared" si="214"/>
        <v>0.25090160228890157</v>
      </c>
      <c r="AK507">
        <f t="shared" si="215"/>
        <v>0.58833001868816093</v>
      </c>
      <c r="AM507">
        <f t="shared" si="216"/>
        <v>0.106585663453256</v>
      </c>
      <c r="AN507" t="str">
        <f t="shared" si="217"/>
        <v/>
      </c>
      <c r="AO507" t="str">
        <f t="shared" si="218"/>
        <v/>
      </c>
      <c r="AP507" t="str">
        <f t="shared" si="219"/>
        <v/>
      </c>
      <c r="AR507">
        <f t="shared" si="220"/>
        <v>0.35414105566149845</v>
      </c>
      <c r="AS507">
        <f t="shared" si="221"/>
        <v>1.2402248265227258</v>
      </c>
      <c r="AT507">
        <f t="shared" si="222"/>
        <v>0.88608377086122736</v>
      </c>
      <c r="AU507">
        <f t="shared" si="223"/>
        <v>1.4723629705441621</v>
      </c>
    </row>
    <row r="508" spans="1:47" x14ac:dyDescent="0.25">
      <c r="A508" s="4">
        <f>DATE(2022,8,19)</f>
        <v>44792</v>
      </c>
      <c r="B508">
        <v>1.6126464574039616</v>
      </c>
      <c r="C508">
        <v>79.296997640021914</v>
      </c>
      <c r="D508">
        <v>0.98718541942641347</v>
      </c>
      <c r="E508">
        <f t="shared" si="196"/>
        <v>1.7299851416920797</v>
      </c>
      <c r="F508">
        <f t="shared" si="197"/>
        <v>3.0096544302582191</v>
      </c>
      <c r="G508">
        <f t="shared" si="198"/>
        <v>1.4812583946808442</v>
      </c>
      <c r="H508" s="2" t="str">
        <f t="shared" si="199"/>
        <v>Higher</v>
      </c>
      <c r="I508" s="2" t="str">
        <f t="shared" si="200"/>
        <v>Lower</v>
      </c>
      <c r="J508" s="2" t="str">
        <f t="shared" si="201"/>
        <v>Lower</v>
      </c>
      <c r="K508" s="2" t="str">
        <f t="shared" si="202"/>
        <v>Higher</v>
      </c>
      <c r="L508" s="2" t="str">
        <f t="shared" si="203"/>
        <v>Lower</v>
      </c>
      <c r="M508" s="2" t="str">
        <f t="shared" si="204"/>
        <v>Higher</v>
      </c>
      <c r="N508" s="2" t="str">
        <f t="shared" si="205"/>
        <v>Higher</v>
      </c>
      <c r="O508" s="2" t="str">
        <f t="shared" si="206"/>
        <v>Lower</v>
      </c>
      <c r="P508" s="2" t="str">
        <f t="shared" si="207"/>
        <v>Lower</v>
      </c>
      <c r="X508" s="4">
        <f>DATE(2022,8,19)</f>
        <v>44792</v>
      </c>
      <c r="Y508">
        <v>38.634460690547641</v>
      </c>
      <c r="Z508">
        <v>78.019160914589776</v>
      </c>
      <c r="AA508">
        <v>97.710000000000008</v>
      </c>
      <c r="AB508">
        <v>244.55</v>
      </c>
      <c r="AC508">
        <f t="shared" si="208"/>
        <v>9.9538223193646122E-2</v>
      </c>
      <c r="AD508">
        <f t="shared" si="209"/>
        <v>0.17101948373359338</v>
      </c>
      <c r="AE508">
        <f t="shared" si="210"/>
        <v>7.1481260539947258E-2</v>
      </c>
      <c r="AF508">
        <f t="shared" si="211"/>
        <v>0.303275029776233</v>
      </c>
      <c r="AH508">
        <f t="shared" si="212"/>
        <v>0.23690062738696813</v>
      </c>
      <c r="AI508">
        <f t="shared" si="213"/>
        <v>0.42509633320637824</v>
      </c>
      <c r="AJ508">
        <f t="shared" si="214"/>
        <v>0.18819570581941011</v>
      </c>
      <c r="AK508">
        <f t="shared" si="215"/>
        <v>0.37440260892449323</v>
      </c>
      <c r="AM508">
        <f t="shared" si="216"/>
        <v>0.14768135668848734</v>
      </c>
      <c r="AN508">
        <f t="shared" si="217"/>
        <v>1.0367496636045579</v>
      </c>
      <c r="AO508">
        <f t="shared" si="218"/>
        <v>0.88906830691607053</v>
      </c>
      <c r="AP508">
        <f t="shared" si="219"/>
        <v>1.7944855138242617</v>
      </c>
      <c r="AR508">
        <f t="shared" si="220"/>
        <v>0.43045232196457323</v>
      </c>
      <c r="AS508">
        <f t="shared" si="221"/>
        <v>1.1713874595733849</v>
      </c>
      <c r="AT508">
        <f t="shared" si="222"/>
        <v>0.74093513760881158</v>
      </c>
      <c r="AU508">
        <f t="shared" si="223"/>
        <v>1.0481061719349292</v>
      </c>
    </row>
    <row r="509" spans="1:47" x14ac:dyDescent="0.25">
      <c r="A509" s="4">
        <f>DATE(2022,8,18)</f>
        <v>44791</v>
      </c>
      <c r="B509">
        <v>1.5385595260322984</v>
      </c>
      <c r="C509">
        <v>77.082205810457552</v>
      </c>
      <c r="D509">
        <v>0.98329175558068904</v>
      </c>
      <c r="E509">
        <f t="shared" si="196"/>
        <v>1.6864950299094397</v>
      </c>
      <c r="F509">
        <f t="shared" si="197"/>
        <v>2.9064732065797751</v>
      </c>
      <c r="G509">
        <f t="shared" si="198"/>
        <v>1.4958717751070214</v>
      </c>
      <c r="H509" s="2" t="str">
        <f t="shared" si="199"/>
        <v>Higher</v>
      </c>
      <c r="I509" s="2" t="str">
        <f t="shared" si="200"/>
        <v>Lower</v>
      </c>
      <c r="J509" s="2" t="str">
        <f t="shared" si="201"/>
        <v>Lower</v>
      </c>
      <c r="K509" s="2" t="str">
        <f t="shared" si="202"/>
        <v>Higher</v>
      </c>
      <c r="L509" s="2" t="str">
        <f t="shared" si="203"/>
        <v>Lower</v>
      </c>
      <c r="M509" s="2" t="str">
        <f t="shared" si="204"/>
        <v>Higher</v>
      </c>
      <c r="N509" s="2" t="str">
        <f t="shared" si="205"/>
        <v>Higher</v>
      </c>
      <c r="O509" s="2" t="str">
        <f t="shared" si="206"/>
        <v>Lower</v>
      </c>
      <c r="P509" s="2" t="str">
        <f t="shared" si="207"/>
        <v>Lower</v>
      </c>
      <c r="X509" s="4">
        <f>DATE(2022,8,18)</f>
        <v>44791</v>
      </c>
      <c r="Y509">
        <v>37.722692905840717</v>
      </c>
      <c r="Z509">
        <v>77.114764465779601</v>
      </c>
      <c r="AA509">
        <v>95.567499999999995</v>
      </c>
      <c r="AB509">
        <v>241.00399999999999</v>
      </c>
      <c r="AC509">
        <f t="shared" si="208"/>
        <v>9.2546325474779825E-2</v>
      </c>
      <c r="AD509">
        <f t="shared" si="209"/>
        <v>0.14674674479797167</v>
      </c>
      <c r="AE509">
        <f t="shared" si="210"/>
        <v>5.4200419323191848E-2</v>
      </c>
      <c r="AF509">
        <f t="shared" si="211"/>
        <v>0.20085046680298854</v>
      </c>
      <c r="AH509">
        <f t="shared" si="212"/>
        <v>0.19778568736601082</v>
      </c>
      <c r="AI509">
        <f t="shared" si="213"/>
        <v>0.43752491911899999</v>
      </c>
      <c r="AJ509">
        <f t="shared" si="214"/>
        <v>0.23973923175298917</v>
      </c>
      <c r="AK509">
        <f t="shared" si="215"/>
        <v>0.55111357950499307</v>
      </c>
      <c r="AM509">
        <f t="shared" si="216"/>
        <v>0.12949230914705265</v>
      </c>
      <c r="AN509">
        <f t="shared" si="217"/>
        <v>1.0308035007799505</v>
      </c>
      <c r="AO509">
        <f t="shared" si="218"/>
        <v>0.90131119163289786</v>
      </c>
      <c r="AP509">
        <f t="shared" si="219"/>
        <v>1.8336027008472893</v>
      </c>
      <c r="AR509">
        <f t="shared" si="220"/>
        <v>0.41119736141016516</v>
      </c>
      <c r="AS509">
        <f t="shared" si="221"/>
        <v>1.1784537751148245</v>
      </c>
      <c r="AT509">
        <f t="shared" si="222"/>
        <v>0.76725641370465936</v>
      </c>
      <c r="AU509">
        <f t="shared" si="223"/>
        <v>1.1283310280629721</v>
      </c>
    </row>
    <row r="510" spans="1:47" x14ac:dyDescent="0.25">
      <c r="A510" s="4">
        <f>DATE(2022,8,17)</f>
        <v>44790</v>
      </c>
      <c r="B510">
        <v>1.4704868807231897</v>
      </c>
      <c r="C510">
        <v>76.801364864565357</v>
      </c>
      <c r="D510">
        <v>1.0558874046485787</v>
      </c>
      <c r="E510">
        <f t="shared" si="196"/>
        <v>1.6471549263291023</v>
      </c>
      <c r="F510">
        <f t="shared" si="197"/>
        <v>3.0013860955557732</v>
      </c>
      <c r="G510">
        <f t="shared" si="198"/>
        <v>1.7565228814467924</v>
      </c>
      <c r="H510" s="2" t="str">
        <f t="shared" si="199"/>
        <v>Higher</v>
      </c>
      <c r="I510" s="2" t="str">
        <f t="shared" si="200"/>
        <v>Lower</v>
      </c>
      <c r="J510" s="2" t="str">
        <f t="shared" si="201"/>
        <v>Lower</v>
      </c>
      <c r="K510" s="2" t="str">
        <f t="shared" si="202"/>
        <v>Higher</v>
      </c>
      <c r="L510" s="2" t="str">
        <f t="shared" si="203"/>
        <v>Lower</v>
      </c>
      <c r="M510" s="2" t="str">
        <f t="shared" si="204"/>
        <v>Higher</v>
      </c>
      <c r="N510" s="2" t="str">
        <f t="shared" si="205"/>
        <v>Lower</v>
      </c>
      <c r="O510" s="2" t="str">
        <f t="shared" si="206"/>
        <v>Lower</v>
      </c>
      <c r="P510" s="2" t="str">
        <f t="shared" si="207"/>
        <v>Lower</v>
      </c>
      <c r="X510" s="4">
        <f>DATE(2022,8,17)</f>
        <v>44790</v>
      </c>
      <c r="Y510">
        <v>39.925833052585162</v>
      </c>
      <c r="Z510">
        <v>72.643826736562573</v>
      </c>
      <c r="AA510">
        <v>95.067499999999995</v>
      </c>
      <c r="AB510">
        <v>225.83500000000001</v>
      </c>
      <c r="AC510">
        <f t="shared" si="208"/>
        <v>0.10493108849828529</v>
      </c>
      <c r="AD510">
        <f t="shared" si="209"/>
        <v>9.5006021668085514E-2</v>
      </c>
      <c r="AE510">
        <f t="shared" si="210"/>
        <v>-9.9250668301997802E-3</v>
      </c>
      <c r="AF510">
        <f t="shared" si="211"/>
        <v>-0.17761257235395542</v>
      </c>
      <c r="AH510">
        <f t="shared" si="212"/>
        <v>0.17249803289117507</v>
      </c>
      <c r="AI510">
        <f t="shared" si="213"/>
        <v>0.37613439596986348</v>
      </c>
      <c r="AJ510">
        <f t="shared" si="214"/>
        <v>0.2036363630786884</v>
      </c>
      <c r="AK510">
        <f t="shared" si="215"/>
        <v>0.4286701172895398</v>
      </c>
      <c r="AM510">
        <f t="shared" si="216"/>
        <v>0.15484341013297304</v>
      </c>
      <c r="AN510">
        <f t="shared" si="217"/>
        <v>0.95081507114193653</v>
      </c>
      <c r="AO510">
        <f t="shared" si="218"/>
        <v>0.79597166100896355</v>
      </c>
      <c r="AP510">
        <f t="shared" si="219"/>
        <v>1.5761485192286555</v>
      </c>
      <c r="AR510">
        <f t="shared" si="220"/>
        <v>0.42178339805884574</v>
      </c>
      <c r="AS510">
        <f t="shared" si="221"/>
        <v>1.1888880043572485</v>
      </c>
      <c r="AT510">
        <f t="shared" si="222"/>
        <v>0.76710460629840282</v>
      </c>
      <c r="AU510">
        <f t="shared" si="223"/>
        <v>1.1306895848986562</v>
      </c>
    </row>
    <row r="511" spans="1:47" x14ac:dyDescent="0.25">
      <c r="A511" s="4">
        <f>DATE(2022,8,16)</f>
        <v>44789</v>
      </c>
      <c r="B511">
        <v>1.2471559171295923</v>
      </c>
      <c r="C511">
        <v>71.835203696052631</v>
      </c>
      <c r="D511">
        <v>0.98954290259539257</v>
      </c>
      <c r="E511">
        <f t="shared" si="196"/>
        <v>1.4375019354400711</v>
      </c>
      <c r="F511">
        <f t="shared" si="197"/>
        <v>2.5563082624161337</v>
      </c>
      <c r="G511">
        <f t="shared" si="198"/>
        <v>1.5778109511615532</v>
      </c>
      <c r="H511" s="2" t="str">
        <f t="shared" si="199"/>
        <v>Lower</v>
      </c>
      <c r="I511" s="2" t="str">
        <f t="shared" si="200"/>
        <v>Lower</v>
      </c>
      <c r="J511" s="2" t="str">
        <f t="shared" si="201"/>
        <v>Lower</v>
      </c>
      <c r="K511" s="2" t="str">
        <f t="shared" si="202"/>
        <v>Higher</v>
      </c>
      <c r="L511" s="2" t="str">
        <f t="shared" si="203"/>
        <v>Lower</v>
      </c>
      <c r="M511" s="2" t="str">
        <f t="shared" si="204"/>
        <v>Higher</v>
      </c>
      <c r="N511" s="2" t="str">
        <f t="shared" si="205"/>
        <v>Lower</v>
      </c>
      <c r="O511" s="2" t="str">
        <f t="shared" si="206"/>
        <v>Lower</v>
      </c>
      <c r="P511" s="2" t="str">
        <f t="shared" si="207"/>
        <v>Lower</v>
      </c>
      <c r="X511" s="4">
        <f>DATE(2022,8,16)</f>
        <v>44789</v>
      </c>
      <c r="Y511">
        <v>33.678020163495368</v>
      </c>
      <c r="Z511">
        <v>72.712533331601904</v>
      </c>
      <c r="AA511">
        <v>91.722499999999997</v>
      </c>
      <c r="AB511">
        <v>225.91399999999999</v>
      </c>
      <c r="AC511">
        <f t="shared" si="208"/>
        <v>7.0573027707570055E-2</v>
      </c>
      <c r="AD511">
        <f t="shared" si="209"/>
        <v>0.16170114942565694</v>
      </c>
      <c r="AE511">
        <f t="shared" si="210"/>
        <v>9.1128121718086888E-2</v>
      </c>
      <c r="AF511">
        <f t="shared" si="211"/>
        <v>0.4175918611352098</v>
      </c>
      <c r="AH511">
        <f t="shared" si="212"/>
        <v>9.0036422134680563E-2</v>
      </c>
      <c r="AI511">
        <f t="shared" si="213"/>
        <v>0.38023865543026064</v>
      </c>
      <c r="AJ511">
        <f t="shared" si="214"/>
        <v>0.29020223329558009</v>
      </c>
      <c r="AK511">
        <f t="shared" si="215"/>
        <v>0.7247140596386703</v>
      </c>
      <c r="AM511">
        <f t="shared" si="216"/>
        <v>0.12840095553809</v>
      </c>
      <c r="AN511">
        <f t="shared" si="217"/>
        <v>0.97633911124958073</v>
      </c>
      <c r="AO511">
        <f t="shared" si="218"/>
        <v>0.84793815571149067</v>
      </c>
      <c r="AP511">
        <f t="shared" si="219"/>
        <v>1.7137224608578547</v>
      </c>
      <c r="AR511">
        <f t="shared" si="220"/>
        <v>0.41566990727012276</v>
      </c>
      <c r="AS511">
        <f t="shared" si="221"/>
        <v>1.1206232139830521</v>
      </c>
      <c r="AT511">
        <f t="shared" si="222"/>
        <v>0.70495330671292933</v>
      </c>
      <c r="AU511">
        <f t="shared" si="223"/>
        <v>0.9508751088323979</v>
      </c>
    </row>
    <row r="512" spans="1:47" x14ac:dyDescent="0.25">
      <c r="A512" s="4">
        <f>DATE(2022,8,15)</f>
        <v>44788</v>
      </c>
      <c r="B512">
        <v>1.1544700598216504</v>
      </c>
      <c r="C512">
        <v>69.732742765203483</v>
      </c>
      <c r="D512">
        <v>0.9959523819809839</v>
      </c>
      <c r="E512">
        <f t="shared" si="196"/>
        <v>1.3612551178129155</v>
      </c>
      <c r="F512">
        <f t="shared" si="197"/>
        <v>2.3845109198096113</v>
      </c>
      <c r="G512">
        <f t="shared" si="198"/>
        <v>1.6258516157982084</v>
      </c>
      <c r="H512" s="2" t="str">
        <f t="shared" si="199"/>
        <v>Lower</v>
      </c>
      <c r="I512" s="2" t="str">
        <f t="shared" si="200"/>
        <v>Lower</v>
      </c>
      <c r="J512" s="2" t="str">
        <f t="shared" si="201"/>
        <v>Lower</v>
      </c>
      <c r="K512" s="2" t="str">
        <f t="shared" si="202"/>
        <v>Lower</v>
      </c>
      <c r="L512" s="2" t="str">
        <f t="shared" si="203"/>
        <v>Lower</v>
      </c>
      <c r="M512" s="2" t="str">
        <f t="shared" si="204"/>
        <v>Higher</v>
      </c>
      <c r="N512" s="2" t="str">
        <f t="shared" si="205"/>
        <v>Lower</v>
      </c>
      <c r="O512" s="2" t="str">
        <f t="shared" si="206"/>
        <v>Lower</v>
      </c>
      <c r="P512" s="2" t="str">
        <f t="shared" si="207"/>
        <v>Lower</v>
      </c>
      <c r="X512" s="4">
        <f>DATE(2022,8,15)</f>
        <v>44788</v>
      </c>
      <c r="Y512">
        <v>30.859419569360767</v>
      </c>
      <c r="Z512">
        <v>70.830715739875671</v>
      </c>
      <c r="AA512">
        <v>90.232500000000002</v>
      </c>
      <c r="AB512">
        <v>220.11</v>
      </c>
      <c r="AC512">
        <f t="shared" si="208"/>
        <v>6.9283828946867312E-2</v>
      </c>
      <c r="AD512">
        <f t="shared" si="209"/>
        <v>0.13115229899326716</v>
      </c>
      <c r="AE512">
        <f t="shared" si="210"/>
        <v>6.1868470046399851E-2</v>
      </c>
      <c r="AF512">
        <f t="shared" si="211"/>
        <v>0.246499943220228</v>
      </c>
      <c r="AH512">
        <f t="shared" si="212"/>
        <v>6.2447965973337995E-2</v>
      </c>
      <c r="AI512">
        <f t="shared" si="213"/>
        <v>0.33623965270370576</v>
      </c>
      <c r="AJ512">
        <f t="shared" si="214"/>
        <v>0.27379168673036774</v>
      </c>
      <c r="AK512">
        <f t="shared" si="215"/>
        <v>0.6703087145836929</v>
      </c>
      <c r="AM512">
        <f t="shared" si="216"/>
        <v>0.13050807522701022</v>
      </c>
      <c r="AN512">
        <f t="shared" si="217"/>
        <v>0.96604053585177174</v>
      </c>
      <c r="AO512">
        <f t="shared" si="218"/>
        <v>0.8355324606247615</v>
      </c>
      <c r="AP512">
        <f t="shared" si="219"/>
        <v>1.6896602478393892</v>
      </c>
      <c r="AR512">
        <f t="shared" si="220"/>
        <v>0.39900278238732267</v>
      </c>
      <c r="AS512">
        <f t="shared" si="221"/>
        <v>1.0249232695056409</v>
      </c>
      <c r="AT512">
        <f t="shared" si="222"/>
        <v>0.62592048711831827</v>
      </c>
      <c r="AU512">
        <f t="shared" si="223"/>
        <v>0.7215304609353923</v>
      </c>
    </row>
    <row r="513" spans="1:47" x14ac:dyDescent="0.25">
      <c r="A513" s="4">
        <f>DATE(2022,8,12)</f>
        <v>44785</v>
      </c>
      <c r="B513">
        <v>1.0361115504138962</v>
      </c>
      <c r="C513">
        <v>66.300824599219524</v>
      </c>
      <c r="D513">
        <v>0.94567086265291589</v>
      </c>
      <c r="E513">
        <f t="shared" si="196"/>
        <v>1.2525134317831299</v>
      </c>
      <c r="F513">
        <f t="shared" si="197"/>
        <v>2.0257165835905906</v>
      </c>
      <c r="G513">
        <f t="shared" si="198"/>
        <v>1.4855881748416691</v>
      </c>
      <c r="H513" s="2" t="str">
        <f t="shared" si="199"/>
        <v>Lower</v>
      </c>
      <c r="I513" s="2" t="str">
        <f t="shared" si="200"/>
        <v>Lower</v>
      </c>
      <c r="J513" s="2" t="str">
        <f t="shared" si="201"/>
        <v>Lower</v>
      </c>
      <c r="K513" s="2" t="str">
        <f t="shared" si="202"/>
        <v>Lower</v>
      </c>
      <c r="L513" s="2" t="str">
        <f t="shared" si="203"/>
        <v>Lower</v>
      </c>
      <c r="M513" s="2" t="str">
        <f t="shared" si="204"/>
        <v>Higher</v>
      </c>
      <c r="N513" s="2" t="str">
        <f t="shared" si="205"/>
        <v>Lower</v>
      </c>
      <c r="O513" s="2" t="str">
        <f t="shared" si="206"/>
        <v>Lower</v>
      </c>
      <c r="P513" s="2" t="str">
        <f t="shared" si="207"/>
        <v>Lower</v>
      </c>
      <c r="X513" s="4">
        <f>DATE(2022,8,12)</f>
        <v>44785</v>
      </c>
      <c r="Y513">
        <v>28.141416676755497</v>
      </c>
      <c r="Z513">
        <v>65.501039639756726</v>
      </c>
      <c r="AA513">
        <v>88.452500000000001</v>
      </c>
      <c r="AB513">
        <v>206.108</v>
      </c>
      <c r="AC513">
        <f t="shared" si="208"/>
        <v>4.4324583750175173E-2</v>
      </c>
      <c r="AD513">
        <f t="shared" si="209"/>
        <v>4.8654322289171596E-2</v>
      </c>
      <c r="AE513">
        <f t="shared" si="210"/>
        <v>4.3297385389964235E-3</v>
      </c>
      <c r="AF513">
        <f t="shared" si="211"/>
        <v>-9.1967893790705454E-2</v>
      </c>
      <c r="AH513">
        <f t="shared" si="212"/>
        <v>3.9785016940100879E-2</v>
      </c>
      <c r="AI513">
        <f t="shared" si="213"/>
        <v>0.25593640653258365</v>
      </c>
      <c r="AJ513">
        <f t="shared" si="214"/>
        <v>0.21615138959248276</v>
      </c>
      <c r="AK513">
        <f t="shared" si="215"/>
        <v>0.47541977489779647</v>
      </c>
      <c r="AM513">
        <f t="shared" si="216"/>
        <v>8.450418707641863E-2</v>
      </c>
      <c r="AN513">
        <f t="shared" si="217"/>
        <v>0.85217774569093485</v>
      </c>
      <c r="AO513">
        <f t="shared" si="218"/>
        <v>0.76767355861451625</v>
      </c>
      <c r="AP513">
        <f t="shared" si="219"/>
        <v>1.5244603002284438</v>
      </c>
      <c r="AR513">
        <f t="shared" si="220"/>
        <v>0.39104205096816858</v>
      </c>
      <c r="AS513">
        <f t="shared" si="221"/>
        <v>1.0252680774655734</v>
      </c>
      <c r="AT513">
        <f t="shared" si="222"/>
        <v>0.63422602649740478</v>
      </c>
      <c r="AU513">
        <f t="shared" si="223"/>
        <v>0.74820894893727385</v>
      </c>
    </row>
    <row r="514" spans="1:47" x14ac:dyDescent="0.25">
      <c r="A514" s="4">
        <f>DATE(2022,8,11)</f>
        <v>44784</v>
      </c>
      <c r="B514">
        <v>0.95299895197894113</v>
      </c>
      <c r="C514">
        <v>63.65573346876149</v>
      </c>
      <c r="D514">
        <v>0.89809564412097065</v>
      </c>
      <c r="E514">
        <f t="shared" si="196"/>
        <v>1.1774783092084347</v>
      </c>
      <c r="F514">
        <f t="shared" si="197"/>
        <v>1.7267865814512786</v>
      </c>
      <c r="G514">
        <f t="shared" si="198"/>
        <v>1.3443009532976116</v>
      </c>
      <c r="H514" s="2" t="str">
        <f t="shared" si="199"/>
        <v>Lower</v>
      </c>
      <c r="I514" s="2" t="str">
        <f t="shared" si="200"/>
        <v>Lower</v>
      </c>
      <c r="J514" s="2" t="str">
        <f t="shared" si="201"/>
        <v>Lower</v>
      </c>
      <c r="K514" s="2" t="str">
        <f t="shared" si="202"/>
        <v>Lower</v>
      </c>
      <c r="L514" s="2" t="str">
        <f t="shared" si="203"/>
        <v>Lower</v>
      </c>
      <c r="M514" s="2" t="str">
        <f t="shared" si="204"/>
        <v>Higher</v>
      </c>
      <c r="N514" s="2" t="str">
        <f t="shared" si="205"/>
        <v>Lower</v>
      </c>
      <c r="O514" s="2" t="str">
        <f t="shared" si="206"/>
        <v>Lower</v>
      </c>
      <c r="P514" s="2" t="str">
        <f t="shared" si="207"/>
        <v>Lower</v>
      </c>
      <c r="X514" s="4">
        <f>DATE(2022,8,11)</f>
        <v>44784</v>
      </c>
      <c r="Y514">
        <v>26.505744441700706</v>
      </c>
      <c r="Z514">
        <v>67.12948034797725</v>
      </c>
      <c r="AA514">
        <v>87.12</v>
      </c>
      <c r="AB514">
        <v>208.11</v>
      </c>
      <c r="AC514">
        <f t="shared" si="208"/>
        <v>3.4952973419354043E-2</v>
      </c>
      <c r="AD514">
        <f t="shared" si="209"/>
        <v>4.3516506086527004E-2</v>
      </c>
      <c r="AE514">
        <f t="shared" si="210"/>
        <v>8.5635326671729614E-3</v>
      </c>
      <c r="AF514">
        <f t="shared" si="211"/>
        <v>-6.740330411106718E-2</v>
      </c>
      <c r="AH514">
        <f t="shared" si="212"/>
        <v>3.6499442129047578E-2</v>
      </c>
      <c r="AI514">
        <f t="shared" si="213"/>
        <v>0.17309225849059121</v>
      </c>
      <c r="AJ514">
        <f t="shared" si="214"/>
        <v>0.13659281636154363</v>
      </c>
      <c r="AK514">
        <f t="shared" si="215"/>
        <v>0.20576082221065395</v>
      </c>
      <c r="AM514">
        <f t="shared" si="216"/>
        <v>4.8235049678953382E-2</v>
      </c>
      <c r="AN514">
        <f t="shared" si="217"/>
        <v>0.82694357805702801</v>
      </c>
      <c r="AO514">
        <f t="shared" si="218"/>
        <v>0.77870852837807458</v>
      </c>
      <c r="AP514">
        <f t="shared" si="219"/>
        <v>1.5581561719513144</v>
      </c>
      <c r="AR514">
        <f t="shared" si="220"/>
        <v>0.37256698669753113</v>
      </c>
      <c r="AS514">
        <f t="shared" si="221"/>
        <v>1.0303192920398048</v>
      </c>
      <c r="AT514">
        <f t="shared" si="222"/>
        <v>0.65775230534227358</v>
      </c>
      <c r="AU514">
        <f t="shared" si="223"/>
        <v>0.81935107730333701</v>
      </c>
    </row>
    <row r="515" spans="1:47" x14ac:dyDescent="0.25">
      <c r="A515" s="4">
        <f>DATE(2022,8,10)</f>
        <v>44783</v>
      </c>
      <c r="B515">
        <v>0.87676139325273561</v>
      </c>
      <c r="C515">
        <v>60.062010144955877</v>
      </c>
      <c r="D515">
        <v>0.81842622668475107</v>
      </c>
      <c r="E515">
        <f t="shared" si="196"/>
        <v>1.1062174608491644</v>
      </c>
      <c r="F515">
        <f t="shared" si="197"/>
        <v>1.3028673302117628</v>
      </c>
      <c r="G515">
        <f t="shared" si="198"/>
        <v>1.0930116145425501</v>
      </c>
      <c r="H515" s="2" t="str">
        <f t="shared" si="199"/>
        <v>Lower</v>
      </c>
      <c r="I515" s="2" t="str">
        <f t="shared" si="200"/>
        <v>Lower</v>
      </c>
      <c r="J515" s="2" t="str">
        <f t="shared" si="201"/>
        <v>Lower</v>
      </c>
      <c r="K515" s="2" t="str">
        <f t="shared" si="202"/>
        <v>Lower</v>
      </c>
      <c r="L515" s="2" t="str">
        <f t="shared" si="203"/>
        <v>Lower</v>
      </c>
      <c r="M515" s="2" t="str">
        <f t="shared" si="204"/>
        <v>Higher</v>
      </c>
      <c r="N515" s="2" t="str">
        <f t="shared" si="205"/>
        <v>Lower</v>
      </c>
      <c r="O515" s="2" t="str">
        <f t="shared" si="206"/>
        <v>Lower</v>
      </c>
      <c r="P515" s="2" t="str">
        <f t="shared" si="207"/>
        <v>Lower</v>
      </c>
      <c r="X515" s="4">
        <f>DATE(2022,8,10)</f>
        <v>44783</v>
      </c>
      <c r="Y515">
        <v>23.379977201701031</v>
      </c>
      <c r="Z515">
        <v>66.055806060327214</v>
      </c>
      <c r="AA515">
        <v>85.597499999999997</v>
      </c>
      <c r="AB515">
        <v>205.36699999999999</v>
      </c>
      <c r="AC515">
        <f t="shared" si="208"/>
        <v>2.5618155408371982E-2</v>
      </c>
      <c r="AD515">
        <f t="shared" si="209"/>
        <v>3.0514378030357898E-2</v>
      </c>
      <c r="AE515">
        <f t="shared" si="210"/>
        <v>4.8962226219859163E-3</v>
      </c>
      <c r="AF515">
        <f t="shared" si="211"/>
        <v>-9.0202515572529077E-2</v>
      </c>
      <c r="AH515">
        <f t="shared" si="212"/>
        <v>1.3348428235434542E-2</v>
      </c>
      <c r="AI515">
        <f t="shared" si="213"/>
        <v>0.12904014424392934</v>
      </c>
      <c r="AJ515">
        <f t="shared" si="214"/>
        <v>0.1156917160084948</v>
      </c>
      <c r="AK515">
        <f t="shared" si="215"/>
        <v>0.13540350273080043</v>
      </c>
      <c r="AM515">
        <f t="shared" si="216"/>
        <v>9.9351302661136341E-4</v>
      </c>
      <c r="AN515">
        <f t="shared" si="217"/>
        <v>0.77068754776037607</v>
      </c>
      <c r="AO515">
        <f t="shared" si="218"/>
        <v>0.76969403473376474</v>
      </c>
      <c r="AP515">
        <f t="shared" si="219"/>
        <v>1.5411165399410118</v>
      </c>
      <c r="AR515">
        <f t="shared" si="220"/>
        <v>0.35911038814877627</v>
      </c>
      <c r="AS515">
        <f t="shared" si="221"/>
        <v>0.98538921256424006</v>
      </c>
      <c r="AT515">
        <f t="shared" si="222"/>
        <v>0.62627882441546379</v>
      </c>
      <c r="AU515">
        <f t="shared" si="223"/>
        <v>0.72982339342188685</v>
      </c>
    </row>
    <row r="516" spans="1:47" x14ac:dyDescent="0.25">
      <c r="A516" s="4">
        <f>DATE(2022,8,9)</f>
        <v>44782</v>
      </c>
      <c r="B516">
        <v>0.85290134430930942</v>
      </c>
      <c r="C516">
        <v>60.095897936155374</v>
      </c>
      <c r="D516">
        <v>0.83645126385822888</v>
      </c>
      <c r="E516">
        <f t="shared" si="196"/>
        <v>1.086742373688276</v>
      </c>
      <c r="F516">
        <f t="shared" si="197"/>
        <v>1.3169174776191104</v>
      </c>
      <c r="G516">
        <f t="shared" si="198"/>
        <v>1.1637150536496572</v>
      </c>
      <c r="H516" s="2" t="str">
        <f t="shared" si="199"/>
        <v>Lower</v>
      </c>
      <c r="I516" s="2" t="str">
        <f t="shared" si="200"/>
        <v>Lower</v>
      </c>
      <c r="J516" s="2" t="str">
        <f t="shared" si="201"/>
        <v>Lower</v>
      </c>
      <c r="K516" s="2" t="str">
        <f t="shared" si="202"/>
        <v>Lower</v>
      </c>
      <c r="L516" s="2" t="str">
        <f t="shared" si="203"/>
        <v>Lower</v>
      </c>
      <c r="M516" s="2" t="str">
        <f t="shared" si="204"/>
        <v>Lower</v>
      </c>
      <c r="N516" s="2" t="str">
        <f t="shared" si="205"/>
        <v>Lower</v>
      </c>
      <c r="O516" s="2" t="str">
        <f t="shared" si="206"/>
        <v>Lower</v>
      </c>
      <c r="P516" s="2" t="str">
        <f t="shared" si="207"/>
        <v>Lower</v>
      </c>
      <c r="X516" s="4">
        <f>DATE(2022,8,9)</f>
        <v>44782</v>
      </c>
      <c r="Y516">
        <v>24.163807616028127</v>
      </c>
      <c r="Z516">
        <v>60.263415525600806</v>
      </c>
      <c r="AA516">
        <v>85.472499999999997</v>
      </c>
      <c r="AB516">
        <v>192.184</v>
      </c>
      <c r="AC516">
        <f t="shared" si="208"/>
        <v>4.8236045879511968E-2</v>
      </c>
      <c r="AD516">
        <f t="shared" si="209"/>
        <v>-6.5405153162859747E-2</v>
      </c>
      <c r="AE516">
        <f t="shared" si="210"/>
        <v>-0.11364119904237172</v>
      </c>
      <c r="AF516">
        <f t="shared" si="211"/>
        <v>-0.79117102849157916</v>
      </c>
      <c r="AH516">
        <f t="shared" si="212"/>
        <v>3.5160749986172975E-3</v>
      </c>
      <c r="AI516">
        <f t="shared" si="213"/>
        <v>0.10742432547818058</v>
      </c>
      <c r="AJ516">
        <f t="shared" si="214"/>
        <v>0.10390825047956329</v>
      </c>
      <c r="AK516">
        <f t="shared" si="215"/>
        <v>9.6007301531886552E-2</v>
      </c>
      <c r="AM516">
        <f t="shared" si="216"/>
        <v>-6.7597688057471919E-2</v>
      </c>
      <c r="AN516">
        <f t="shared" si="217"/>
        <v>0.71329849287478919</v>
      </c>
      <c r="AO516">
        <f t="shared" si="218"/>
        <v>0.7808961809322611</v>
      </c>
      <c r="AP516">
        <f t="shared" si="219"/>
        <v>1.5754434256946666</v>
      </c>
      <c r="AR516">
        <f t="shared" si="220"/>
        <v>0.37269321235878211</v>
      </c>
      <c r="AS516">
        <f t="shared" si="221"/>
        <v>1.0510888263679814</v>
      </c>
      <c r="AT516">
        <f t="shared" si="222"/>
        <v>0.67839561400919934</v>
      </c>
      <c r="AU516">
        <f t="shared" si="223"/>
        <v>0.88404768213764917</v>
      </c>
    </row>
    <row r="517" spans="1:47" x14ac:dyDescent="0.25">
      <c r="A517" s="4">
        <f>DATE(2022,8,8)</f>
        <v>44781</v>
      </c>
      <c r="B517">
        <v>0.75080920422460051</v>
      </c>
      <c r="C517">
        <v>55.115679636447631</v>
      </c>
      <c r="D517">
        <v>0.68279485286960107</v>
      </c>
      <c r="E517">
        <f t="shared" ref="E517:E580" si="224">(B517-AVERAGE(B517:B646))/_xlfn.STDEV.S(B517:B646)</f>
        <v>0.96998888021314988</v>
      </c>
      <c r="F517">
        <f t="shared" ref="F517:F580" si="225">(C517-AVERAGE(C517:C646))/_xlfn.STDEV.S(C517:C646)</f>
        <v>0.66137505448651868</v>
      </c>
      <c r="G517">
        <f t="shared" ref="G517:G580" si="226">(D517-AVERAGE(D517:D646))/_xlfn.STDEV.S(D517:D646)</f>
        <v>0.64064492221528291</v>
      </c>
      <c r="H517" s="2" t="str">
        <f t="shared" ref="H517:H580" si="227">IF(AVERAGEA(C517:C537)&gt;AVERAGE(C538:C558),"Higher","Lower")</f>
        <v>Lower</v>
      </c>
      <c r="I517" s="2" t="str">
        <f t="shared" ref="I517:I580" si="228">IF(AVERAGEA(C517:C572)&gt;AVERAGE(C573:C628),"Higher","Lower")</f>
        <v>Lower</v>
      </c>
      <c r="J517" s="2" t="str">
        <f t="shared" ref="J517:J580" si="229">IF(AVERAGEA(C517:C629)&gt;AVERAGE(C630:C742),"Higher","Lower")</f>
        <v>Lower</v>
      </c>
      <c r="K517" s="2" t="str">
        <f t="shared" ref="K517:K580" si="230">IF(AVERAGEA(B517:B537)&gt;AVERAGE(B538:B558),"Higher","Lower")</f>
        <v>Lower</v>
      </c>
      <c r="L517" s="2" t="str">
        <f t="shared" ref="L517:L580" si="231">IF(AVERAGEA(B517:B572)&gt;AVERAGE(B573:B628),"Higher","Lower")</f>
        <v>Lower</v>
      </c>
      <c r="M517" s="2" t="str">
        <f t="shared" ref="M517:M580" si="232">IF(AVERAGEA(B517:B629)&gt;AVERAGE(B630:B742),"Higher","Lower")</f>
        <v>Lower</v>
      </c>
      <c r="N517" s="2" t="str">
        <f t="shared" ref="N517:N580" si="233">IF(AVERAGEA(D517:D537)&gt;AVERAGE(D538:D558),"Higher","Lower")</f>
        <v>Lower</v>
      </c>
      <c r="O517" s="2" t="str">
        <f t="shared" ref="O517:O580" si="234">IF(AVERAGEA(D517:D572)&gt;AVERAGE(D573:D628),"Higher","Lower")</f>
        <v>Lower</v>
      </c>
      <c r="P517" s="2" t="str">
        <f t="shared" ref="P517:P580" si="235">IF(AVERAGEA(D517:D629)&gt;AVERAGE(D630:D742),"Higher","Lower")</f>
        <v>Lower</v>
      </c>
      <c r="X517" s="4">
        <f>DATE(2022,8,8)</f>
        <v>44781</v>
      </c>
      <c r="Y517">
        <v>24.069433193265059</v>
      </c>
      <c r="Z517">
        <v>60.901023659318824</v>
      </c>
      <c r="AA517">
        <v>84.192499999999995</v>
      </c>
      <c r="AB517">
        <v>193.05500000000001</v>
      </c>
      <c r="AC517">
        <f t="shared" ref="AC517:AC580" si="236">IFERROR(LN(AA517/AA522),"")</f>
        <v>5.0673041470092398E-2</v>
      </c>
      <c r="AD517">
        <f t="shared" ref="AD517:AD580" si="237">IFERROR(LN(AB517/AB522),"")</f>
        <v>-3.9304384492310621E-2</v>
      </c>
      <c r="AE517">
        <f t="shared" ref="AE517:AE580" si="238">IFERROR(AD517-AC517,"")</f>
        <v>-8.9977425962403018E-2</v>
      </c>
      <c r="AF517">
        <f t="shared" ref="AF517:AF580" si="239">IFERROR((AE517-AVERAGEA(AE517:AE1039))/_xlfn.STDEV.S(AE517:AE1034),"")</f>
        <v>-0.65763297913930086</v>
      </c>
      <c r="AH517">
        <f t="shared" ref="AH517:AH580" si="240">IFERROR(LN(AA517/AA537),"")</f>
        <v>2.1700042700292213E-3</v>
      </c>
      <c r="AI517">
        <f t="shared" ref="AI517:AI580" si="241">IFERROR(LN(AB517/AB537),"")</f>
        <v>0.15994297903852209</v>
      </c>
      <c r="AJ517">
        <f t="shared" ref="AJ517:AJ580" si="242">IFERROR(AI517-AH517,"")</f>
        <v>0.15777297476849286</v>
      </c>
      <c r="AK517">
        <f t="shared" ref="AK517:AK580" si="243">IFERROR((AJ517-AVERAGEA(AJ517:AJ1039))/_xlfn.STDEV.S(AJ517:AJ1034),"")</f>
        <v>0.27926575852405394</v>
      </c>
      <c r="AM517">
        <f t="shared" ref="AM517:AN580" si="244">IFERROR(LN(AA517/AA577),"")</f>
        <v>-5.8615649833727211E-2</v>
      </c>
      <c r="AN517">
        <f t="shared" si="244"/>
        <v>0.73188213980896988</v>
      </c>
      <c r="AO517">
        <f t="shared" ref="AO517:AO580" si="245">IFERROR(AN517-AM517,"")</f>
        <v>0.79049778964269712</v>
      </c>
      <c r="AP517">
        <f t="shared" ref="AP517:AP580" si="246">IFERROR((AO517-AVERAGEA(AO517:AO1039))/_xlfn.STDEV.S(AO517:AO1034),"")</f>
        <v>1.6060156905628418</v>
      </c>
      <c r="AR517">
        <f t="shared" ref="AR517:AR580" si="247">IFERROR(LN(AA517/AA717),"")</f>
        <v>0.37706907807973422</v>
      </c>
      <c r="AS517">
        <f t="shared" ref="AS517:AS580" si="248">IFERROR(LN(AB517/AB717),"")</f>
        <v>1.0863672429614284</v>
      </c>
      <c r="AT517">
        <f t="shared" ref="AT517:AT580" si="249">IFERROR(AS517-AR517,"")</f>
        <v>0.70929816488169417</v>
      </c>
      <c r="AU517">
        <f t="shared" ref="AU517:AU580" si="250">IFERROR((AT517-AVERAGEA(AT517:AT1039))/_xlfn.STDEV.S(AT517:AT1034),"")</f>
        <v>0.97634851980528181</v>
      </c>
    </row>
    <row r="518" spans="1:47" x14ac:dyDescent="0.25">
      <c r="A518" s="4">
        <f>DATE(2022,8,5)</f>
        <v>44778</v>
      </c>
      <c r="B518">
        <v>0.75241412078724323</v>
      </c>
      <c r="C518">
        <v>58.13463829438691</v>
      </c>
      <c r="D518">
        <v>0.74926900158155352</v>
      </c>
      <c r="E518">
        <f t="shared" si="224"/>
        <v>0.96633440657032033</v>
      </c>
      <c r="F518">
        <f t="shared" si="225"/>
        <v>0.98247347450737632</v>
      </c>
      <c r="G518">
        <f t="shared" si="226"/>
        <v>0.85094069630703872</v>
      </c>
      <c r="H518" s="2" t="str">
        <f t="shared" si="227"/>
        <v>Lower</v>
      </c>
      <c r="I518" s="2" t="str">
        <f t="shared" si="228"/>
        <v>Lower</v>
      </c>
      <c r="J518" s="2" t="str">
        <f t="shared" si="229"/>
        <v>Lower</v>
      </c>
      <c r="K518" s="2" t="str">
        <f t="shared" si="230"/>
        <v>Lower</v>
      </c>
      <c r="L518" s="2" t="str">
        <f t="shared" si="231"/>
        <v>Lower</v>
      </c>
      <c r="M518" s="2" t="str">
        <f t="shared" si="232"/>
        <v>Lower</v>
      </c>
      <c r="N518" s="2" t="str">
        <f t="shared" si="233"/>
        <v>Lower</v>
      </c>
      <c r="O518" s="2" t="str">
        <f t="shared" si="234"/>
        <v>Lower</v>
      </c>
      <c r="P518" s="2" t="str">
        <f t="shared" si="235"/>
        <v>Lower</v>
      </c>
      <c r="X518" s="4">
        <f>DATE(2022,8,5)</f>
        <v>44778</v>
      </c>
      <c r="Y518">
        <v>25.229617762121563</v>
      </c>
      <c r="Z518">
        <v>63.229574362334375</v>
      </c>
      <c r="AA518">
        <v>84.617500000000007</v>
      </c>
      <c r="AB518">
        <v>196.32</v>
      </c>
      <c r="AC518">
        <f t="shared" si="236"/>
        <v>7.4596715717434953E-2</v>
      </c>
      <c r="AD518">
        <f t="shared" si="237"/>
        <v>2.7917678147520168E-2</v>
      </c>
      <c r="AE518">
        <f t="shared" si="238"/>
        <v>-4.6679037569914789E-2</v>
      </c>
      <c r="AF518">
        <f t="shared" si="239"/>
        <v>-0.40738642942789588</v>
      </c>
      <c r="AH518">
        <f t="shared" si="240"/>
        <v>1.5752577650750305E-2</v>
      </c>
      <c r="AI518">
        <f t="shared" si="241"/>
        <v>0.11374931165517406</v>
      </c>
      <c r="AJ518">
        <f t="shared" si="242"/>
        <v>9.7996734004423755E-2</v>
      </c>
      <c r="AK518">
        <f t="shared" si="243"/>
        <v>7.7477384516440623E-2</v>
      </c>
      <c r="AM518">
        <f t="shared" si="244"/>
        <v>-4.7851327146330482E-2</v>
      </c>
      <c r="AN518">
        <f t="shared" si="244"/>
        <v>0.70626255972314211</v>
      </c>
      <c r="AO518">
        <f t="shared" si="245"/>
        <v>0.75411388686947256</v>
      </c>
      <c r="AP518">
        <f t="shared" si="246"/>
        <v>1.5193016267870565</v>
      </c>
      <c r="AR518">
        <f t="shared" si="247"/>
        <v>0.36450958038787151</v>
      </c>
      <c r="AS518">
        <f t="shared" si="248"/>
        <v>1.0779979912487925</v>
      </c>
      <c r="AT518">
        <f t="shared" si="249"/>
        <v>0.71348841086092096</v>
      </c>
      <c r="AU518">
        <f t="shared" si="250"/>
        <v>0.99095750584291409</v>
      </c>
    </row>
    <row r="519" spans="1:47" x14ac:dyDescent="0.25">
      <c r="A519" s="4">
        <f>DATE(2022,8,4)</f>
        <v>44777</v>
      </c>
      <c r="B519">
        <v>0.60947714544919585</v>
      </c>
      <c r="C519">
        <v>56.816886528340191</v>
      </c>
      <c r="D519">
        <v>0.71931419890640802</v>
      </c>
      <c r="E519">
        <f t="shared" si="224"/>
        <v>0.80156541942959336</v>
      </c>
      <c r="F519">
        <f t="shared" si="225"/>
        <v>0.79299425004460899</v>
      </c>
      <c r="G519">
        <f t="shared" si="226"/>
        <v>0.73740367834854659</v>
      </c>
      <c r="H519" s="2" t="str">
        <f t="shared" si="227"/>
        <v>Lower</v>
      </c>
      <c r="I519" s="2" t="str">
        <f t="shared" si="228"/>
        <v>Lower</v>
      </c>
      <c r="J519" s="2" t="str">
        <f t="shared" si="229"/>
        <v>Lower</v>
      </c>
      <c r="K519" s="2" t="str">
        <f t="shared" si="230"/>
        <v>Lower</v>
      </c>
      <c r="L519" s="2" t="str">
        <f t="shared" si="231"/>
        <v>Lower</v>
      </c>
      <c r="M519" s="2" t="str">
        <f t="shared" si="232"/>
        <v>Lower</v>
      </c>
      <c r="N519" s="2" t="str">
        <f t="shared" si="233"/>
        <v>Lower</v>
      </c>
      <c r="O519" s="2" t="str">
        <f t="shared" si="234"/>
        <v>Lower</v>
      </c>
      <c r="P519" s="2" t="str">
        <f t="shared" si="235"/>
        <v>Lower</v>
      </c>
      <c r="X519" s="4">
        <f>DATE(2022,8,4)</f>
        <v>44777</v>
      </c>
      <c r="Y519">
        <v>24.918686130457861</v>
      </c>
      <c r="Z519">
        <v>65.308969702846781</v>
      </c>
      <c r="AA519">
        <v>84.127499999999998</v>
      </c>
      <c r="AB519">
        <v>199.24799999999999</v>
      </c>
      <c r="AC519">
        <f t="shared" si="236"/>
        <v>6.8884623292839439E-2</v>
      </c>
      <c r="AD519">
        <f t="shared" si="237"/>
        <v>1.5972759299066289E-3</v>
      </c>
      <c r="AE519">
        <f t="shared" si="238"/>
        <v>-6.7287347362932806E-2</v>
      </c>
      <c r="AF519">
        <f t="shared" si="239"/>
        <v>-0.53349014212264145</v>
      </c>
      <c r="AH519">
        <f t="shared" si="240"/>
        <v>-4.5955281967900155E-3</v>
      </c>
      <c r="AI519">
        <f t="shared" si="241"/>
        <v>8.4064626804288098E-2</v>
      </c>
      <c r="AJ519">
        <f t="shared" si="242"/>
        <v>8.8660155001078114E-2</v>
      </c>
      <c r="AK519">
        <f t="shared" si="243"/>
        <v>4.6428889394670214E-2</v>
      </c>
      <c r="AM519">
        <f t="shared" si="244"/>
        <v>-4.5798447612016936E-2</v>
      </c>
      <c r="AN519">
        <f t="shared" si="244"/>
        <v>0.62451974964377477</v>
      </c>
      <c r="AO519">
        <f t="shared" si="245"/>
        <v>0.67031819725579167</v>
      </c>
      <c r="AP519">
        <f t="shared" si="246"/>
        <v>1.3103249835181385</v>
      </c>
      <c r="AR519">
        <f t="shared" si="247"/>
        <v>0.3602771567917914</v>
      </c>
      <c r="AS519">
        <f t="shared" si="248"/>
        <v>0.93881628725983479</v>
      </c>
      <c r="AT519">
        <f t="shared" si="249"/>
        <v>0.57853913046804339</v>
      </c>
      <c r="AU519">
        <f t="shared" si="250"/>
        <v>0.60187156405545572</v>
      </c>
    </row>
    <row r="520" spans="1:47" x14ac:dyDescent="0.25">
      <c r="A520" s="4">
        <f>DATE(2022,8,3)</f>
        <v>44776</v>
      </c>
      <c r="B520">
        <v>0.40538456822799018</v>
      </c>
      <c r="C520">
        <v>56.36915871634492</v>
      </c>
      <c r="D520">
        <v>0.69946412690491633</v>
      </c>
      <c r="E520">
        <f t="shared" si="224"/>
        <v>0.57979858937975048</v>
      </c>
      <c r="F520">
        <f t="shared" si="225"/>
        <v>0.71417083561686334</v>
      </c>
      <c r="G520">
        <f t="shared" si="226"/>
        <v>0.65763131617466108</v>
      </c>
      <c r="H520" s="2" t="str">
        <f t="shared" si="227"/>
        <v>Lower</v>
      </c>
      <c r="I520" s="2" t="str">
        <f t="shared" si="228"/>
        <v>Lower</v>
      </c>
      <c r="J520" s="2" t="str">
        <f t="shared" si="229"/>
        <v>Lower</v>
      </c>
      <c r="K520" s="2" t="str">
        <f t="shared" si="230"/>
        <v>Lower</v>
      </c>
      <c r="L520" s="2" t="str">
        <f t="shared" si="231"/>
        <v>Lower</v>
      </c>
      <c r="M520" s="2" t="str">
        <f t="shared" si="232"/>
        <v>Lower</v>
      </c>
      <c r="N520" s="2" t="str">
        <f t="shared" si="233"/>
        <v>Lower</v>
      </c>
      <c r="O520" s="2" t="str">
        <f t="shared" si="234"/>
        <v>Lower</v>
      </c>
      <c r="P520" s="2" t="str">
        <f t="shared" si="235"/>
        <v>Lower</v>
      </c>
      <c r="X520" s="4">
        <f>DATE(2022,8,3)</f>
        <v>44776</v>
      </c>
      <c r="Y520">
        <v>23.917732229335225</v>
      </c>
      <c r="Z520">
        <v>65.289793660413636</v>
      </c>
      <c r="AA520">
        <v>83.432500000000005</v>
      </c>
      <c r="AB520">
        <v>199.19499999999999</v>
      </c>
      <c r="AC520">
        <f t="shared" si="236"/>
        <v>8.7237497136672282E-2</v>
      </c>
      <c r="AD520">
        <f t="shared" si="237"/>
        <v>-2.9822693800458766E-2</v>
      </c>
      <c r="AE520">
        <f t="shared" si="238"/>
        <v>-0.11706019093713105</v>
      </c>
      <c r="AF520">
        <f t="shared" si="239"/>
        <v>-0.83104669980467782</v>
      </c>
      <c r="AH520">
        <f t="shared" si="240"/>
        <v>-1.498104900105092E-4</v>
      </c>
      <c r="AI520">
        <f t="shared" si="241"/>
        <v>0.15262653590152692</v>
      </c>
      <c r="AJ520">
        <f t="shared" si="242"/>
        <v>0.15277634639153742</v>
      </c>
      <c r="AK520">
        <f t="shared" si="243"/>
        <v>0.26373133499056189</v>
      </c>
      <c r="AM520">
        <f t="shared" si="244"/>
        <v>-4.645736095613423E-2</v>
      </c>
      <c r="AN520">
        <f t="shared" si="244"/>
        <v>0.75086181073718916</v>
      </c>
      <c r="AO520">
        <f t="shared" si="245"/>
        <v>0.79731917169332345</v>
      </c>
      <c r="AP520">
        <f t="shared" si="246"/>
        <v>1.6397452189073989</v>
      </c>
      <c r="AR520">
        <f t="shared" si="247"/>
        <v>0.33470590130679911</v>
      </c>
      <c r="AS520">
        <f t="shared" si="248"/>
        <v>0.83244185091431344</v>
      </c>
      <c r="AT520">
        <f t="shared" si="249"/>
        <v>0.49773594960751433</v>
      </c>
      <c r="AU520">
        <f t="shared" si="250"/>
        <v>0.37006119280150901</v>
      </c>
    </row>
    <row r="521" spans="1:47" x14ac:dyDescent="0.25">
      <c r="A521" s="4">
        <f>DATE(2022,8,2)</f>
        <v>44775</v>
      </c>
      <c r="B521">
        <v>8.5334122262441969E-2</v>
      </c>
      <c r="C521">
        <v>51.621043453594794</v>
      </c>
      <c r="D521">
        <v>0.55148686805413516</v>
      </c>
      <c r="E521">
        <f t="shared" si="224"/>
        <v>0.22790224349488444</v>
      </c>
      <c r="F521">
        <f t="shared" si="225"/>
        <v>0.16206328766682071</v>
      </c>
      <c r="G521">
        <f t="shared" si="226"/>
        <v>0.15991403250359038</v>
      </c>
      <c r="H521" s="2" t="str">
        <f t="shared" si="227"/>
        <v>Lower</v>
      </c>
      <c r="I521" s="2" t="str">
        <f t="shared" si="228"/>
        <v>Lower</v>
      </c>
      <c r="J521" s="2" t="str">
        <f t="shared" si="229"/>
        <v>Lower</v>
      </c>
      <c r="K521" s="2" t="str">
        <f t="shared" si="230"/>
        <v>Lower</v>
      </c>
      <c r="L521" s="2" t="str">
        <f t="shared" si="231"/>
        <v>Lower</v>
      </c>
      <c r="M521" s="2" t="str">
        <f t="shared" si="232"/>
        <v>Lower</v>
      </c>
      <c r="N521" s="2" t="str">
        <f t="shared" si="233"/>
        <v>Lower</v>
      </c>
      <c r="O521" s="2" t="str">
        <f t="shared" si="234"/>
        <v>Lower</v>
      </c>
      <c r="P521" s="2" t="str">
        <f t="shared" si="235"/>
        <v>Lower</v>
      </c>
      <c r="X521" s="4">
        <f>DATE(2022,8,2)</f>
        <v>44775</v>
      </c>
      <c r="Y521">
        <v>20.421228234645159</v>
      </c>
      <c r="Z521">
        <v>69.304986096138549</v>
      </c>
      <c r="AA521">
        <v>81.447499999999991</v>
      </c>
      <c r="AB521">
        <v>205.17400000000001</v>
      </c>
      <c r="AC521">
        <f t="shared" si="236"/>
        <v>6.0350326279498163E-2</v>
      </c>
      <c r="AD521">
        <f t="shared" si="237"/>
        <v>2.5951117140697696E-2</v>
      </c>
      <c r="AE521">
        <f t="shared" si="238"/>
        <v>-3.4399209138800471E-2</v>
      </c>
      <c r="AF521">
        <f t="shared" si="239"/>
        <v>-0.34456617461217082</v>
      </c>
      <c r="AH521">
        <f t="shared" si="240"/>
        <v>-2.4558595394791494E-2</v>
      </c>
      <c r="AI521">
        <f t="shared" si="241"/>
        <v>0.21747059931349691</v>
      </c>
      <c r="AJ521">
        <f t="shared" si="242"/>
        <v>0.2420291947082884</v>
      </c>
      <c r="AK521">
        <f t="shared" si="243"/>
        <v>0.56591587339726623</v>
      </c>
      <c r="AM521">
        <f t="shared" si="244"/>
        <v>-6.9162700624924481E-2</v>
      </c>
      <c r="AN521">
        <f t="shared" si="244"/>
        <v>0.73075067345566314</v>
      </c>
      <c r="AO521">
        <f t="shared" si="245"/>
        <v>0.7999133740805876</v>
      </c>
      <c r="AP521">
        <f t="shared" si="246"/>
        <v>1.6530355206011051</v>
      </c>
      <c r="AR521">
        <f t="shared" si="247"/>
        <v>0.31163215100335329</v>
      </c>
      <c r="AS521">
        <f t="shared" si="248"/>
        <v>0.83807440865759064</v>
      </c>
      <c r="AT521">
        <f t="shared" si="249"/>
        <v>0.52644225765423736</v>
      </c>
      <c r="AU521">
        <f t="shared" si="250"/>
        <v>0.4553342124007842</v>
      </c>
    </row>
    <row r="522" spans="1:47" x14ac:dyDescent="0.25">
      <c r="A522" s="4">
        <f>DATE(2022,8,1)</f>
        <v>44774</v>
      </c>
      <c r="B522">
        <v>-0.2041343967436533</v>
      </c>
      <c r="C522">
        <v>48.098886489379225</v>
      </c>
      <c r="D522">
        <v>0.44486681518581039</v>
      </c>
      <c r="E522">
        <f t="shared" si="224"/>
        <v>-9.0968569917076164E-2</v>
      </c>
      <c r="F522">
        <f t="shared" si="225"/>
        <v>-0.23736083924233978</v>
      </c>
      <c r="G522">
        <f t="shared" si="226"/>
        <v>-0.19269047545759652</v>
      </c>
      <c r="H522" s="2" t="str">
        <f t="shared" si="227"/>
        <v>Lower</v>
      </c>
      <c r="I522" s="2" t="str">
        <f t="shared" si="228"/>
        <v>Lower</v>
      </c>
      <c r="J522" s="2" t="str">
        <f t="shared" si="229"/>
        <v>Lower</v>
      </c>
      <c r="K522" s="2" t="str">
        <f t="shared" si="230"/>
        <v>Lower</v>
      </c>
      <c r="L522" s="2" t="str">
        <f t="shared" si="231"/>
        <v>Lower</v>
      </c>
      <c r="M522" s="2" t="str">
        <f t="shared" si="232"/>
        <v>Lower</v>
      </c>
      <c r="N522" s="2" t="str">
        <f t="shared" si="233"/>
        <v>Lower</v>
      </c>
      <c r="O522" s="2" t="str">
        <f t="shared" si="234"/>
        <v>Lower</v>
      </c>
      <c r="P522" s="2" t="str">
        <f t="shared" si="235"/>
        <v>Lower</v>
      </c>
      <c r="X522" s="4">
        <f>DATE(2022,8,1)</f>
        <v>44774</v>
      </c>
      <c r="Y522">
        <v>18.089271120981611</v>
      </c>
      <c r="Z522">
        <v>67.964834701740656</v>
      </c>
      <c r="AA522">
        <v>80.032499999999999</v>
      </c>
      <c r="AB522">
        <v>200.79400000000001</v>
      </c>
      <c r="AC522">
        <f t="shared" si="236"/>
        <v>4.3020131224590523E-2</v>
      </c>
      <c r="AD522">
        <f t="shared" si="237"/>
        <v>0.12830162260064859</v>
      </c>
      <c r="AE522">
        <f t="shared" si="238"/>
        <v>8.5281491376058061E-2</v>
      </c>
      <c r="AF522">
        <f t="shared" si="239"/>
        <v>0.35804365460398502</v>
      </c>
      <c r="AH522">
        <f t="shared" si="240"/>
        <v>-5.9541754815920646E-2</v>
      </c>
      <c r="AI522" t="str">
        <f t="shared" si="241"/>
        <v/>
      </c>
      <c r="AJ522" t="str">
        <f t="shared" si="242"/>
        <v/>
      </c>
      <c r="AK522" t="str">
        <f t="shared" si="243"/>
        <v/>
      </c>
      <c r="AM522">
        <f t="shared" si="244"/>
        <v>-9.7117469886747868E-2</v>
      </c>
      <c r="AN522">
        <f t="shared" si="244"/>
        <v>0.75453718280748816</v>
      </c>
      <c r="AO522">
        <f t="shared" si="245"/>
        <v>0.85165465269423601</v>
      </c>
      <c r="AP522">
        <f t="shared" si="246"/>
        <v>1.7927963073288593</v>
      </c>
      <c r="AR522">
        <f t="shared" si="247"/>
        <v>0.30362497910372105</v>
      </c>
      <c r="AS522">
        <f t="shared" si="248"/>
        <v>0.81284008890398085</v>
      </c>
      <c r="AT522">
        <f t="shared" si="249"/>
        <v>0.50921510980025975</v>
      </c>
      <c r="AU522">
        <f t="shared" si="250"/>
        <v>0.40780653608332285</v>
      </c>
    </row>
    <row r="523" spans="1:47" x14ac:dyDescent="0.25">
      <c r="A523" s="4">
        <f>DATE(2022,7,29)</f>
        <v>44771</v>
      </c>
      <c r="B523">
        <v>-0.48850862297568498</v>
      </c>
      <c r="C523">
        <v>42.320999897086423</v>
      </c>
      <c r="D523">
        <v>0.28378289163469683</v>
      </c>
      <c r="E523">
        <f t="shared" si="224"/>
        <v>-0.40426855224344899</v>
      </c>
      <c r="F523">
        <f t="shared" si="225"/>
        <v>-0.88039925463624646</v>
      </c>
      <c r="G523">
        <f t="shared" si="226"/>
        <v>-0.72011348001082442</v>
      </c>
      <c r="H523" s="2" t="str">
        <f t="shared" si="227"/>
        <v>Lower</v>
      </c>
      <c r="I523" s="2" t="str">
        <f t="shared" si="228"/>
        <v>Lower</v>
      </c>
      <c r="J523" s="2" t="str">
        <f t="shared" si="229"/>
        <v>Lower</v>
      </c>
      <c r="K523" s="2" t="str">
        <f t="shared" si="230"/>
        <v>Lower</v>
      </c>
      <c r="L523" s="2" t="str">
        <f t="shared" si="231"/>
        <v>Lower</v>
      </c>
      <c r="M523" s="2" t="str">
        <f t="shared" si="232"/>
        <v>Lower</v>
      </c>
      <c r="N523" s="2" t="str">
        <f t="shared" si="233"/>
        <v>Lower</v>
      </c>
      <c r="O523" s="2" t="str">
        <f t="shared" si="234"/>
        <v>Lower</v>
      </c>
      <c r="P523" s="2" t="str">
        <f t="shared" si="235"/>
        <v>Lower</v>
      </c>
      <c r="X523" s="4">
        <f>DATE(2022,7,29)</f>
        <v>44771</v>
      </c>
      <c r="Y523">
        <v>15.698542402363074</v>
      </c>
      <c r="Z523">
        <v>64.740732937868273</v>
      </c>
      <c r="AA523">
        <v>78.534999999999997</v>
      </c>
      <c r="AB523">
        <v>190.91499999999999</v>
      </c>
      <c r="AC523">
        <f t="shared" si="236"/>
        <v>1.8441104725711779E-2</v>
      </c>
      <c r="AD523">
        <f t="shared" si="237"/>
        <v>0.17750484903609309</v>
      </c>
      <c r="AE523">
        <f t="shared" si="238"/>
        <v>0.15906374431038131</v>
      </c>
      <c r="AF523">
        <f t="shared" si="239"/>
        <v>0.7890637469805164</v>
      </c>
      <c r="AH523">
        <f t="shared" si="240"/>
        <v>-9.8101790607053263E-2</v>
      </c>
      <c r="AI523">
        <f t="shared" si="241"/>
        <v>0.25607655455874484</v>
      </c>
      <c r="AJ523">
        <f t="shared" si="242"/>
        <v>0.3541783451657981</v>
      </c>
      <c r="AK523">
        <f t="shared" si="243"/>
        <v>0.94555971217319712</v>
      </c>
      <c r="AM523">
        <f t="shared" si="244"/>
        <v>-0.14712279503605172</v>
      </c>
      <c r="AN523">
        <f t="shared" si="244"/>
        <v>0.62972234012078743</v>
      </c>
      <c r="AO523">
        <f t="shared" si="245"/>
        <v>0.77684513515683917</v>
      </c>
      <c r="AP523">
        <f t="shared" si="246"/>
        <v>1.6082931861285619</v>
      </c>
      <c r="AR523">
        <f t="shared" si="247"/>
        <v>0.29178632174569069</v>
      </c>
      <c r="AS523">
        <f t="shared" si="248"/>
        <v>0.77911580036918326</v>
      </c>
      <c r="AT523">
        <f t="shared" si="249"/>
        <v>0.48732947862349257</v>
      </c>
      <c r="AU523">
        <f t="shared" si="250"/>
        <v>0.34690718386224084</v>
      </c>
    </row>
    <row r="524" spans="1:47" x14ac:dyDescent="0.25">
      <c r="A524" s="4">
        <f>DATE(2022,7,28)</f>
        <v>44770</v>
      </c>
      <c r="B524">
        <v>-0.67451341734875725</v>
      </c>
      <c r="C524">
        <v>43.223400183793899</v>
      </c>
      <c r="D524">
        <v>0.29032315592537211</v>
      </c>
      <c r="E524">
        <f t="shared" si="224"/>
        <v>-0.61015539975130184</v>
      </c>
      <c r="F524">
        <f t="shared" si="225"/>
        <v>-0.79593167757026539</v>
      </c>
      <c r="G524">
        <f t="shared" si="226"/>
        <v>-0.71163575506873356</v>
      </c>
      <c r="H524" s="2" t="str">
        <f t="shared" si="227"/>
        <v>Lower</v>
      </c>
      <c r="I524" s="2" t="str">
        <f t="shared" si="228"/>
        <v>Lower</v>
      </c>
      <c r="J524" s="2" t="str">
        <f t="shared" si="229"/>
        <v>Lower</v>
      </c>
      <c r="K524" s="2" t="str">
        <f t="shared" si="230"/>
        <v>Lower</v>
      </c>
      <c r="L524" s="2" t="str">
        <f t="shared" si="231"/>
        <v>Lower</v>
      </c>
      <c r="M524" s="2" t="str">
        <f t="shared" si="232"/>
        <v>Lower</v>
      </c>
      <c r="N524" s="2" t="str">
        <f t="shared" si="233"/>
        <v>Lower</v>
      </c>
      <c r="O524" s="2" t="str">
        <f t="shared" si="234"/>
        <v>Lower</v>
      </c>
      <c r="P524" s="2" t="str">
        <f t="shared" si="235"/>
        <v>Lower</v>
      </c>
      <c r="X524" s="4">
        <f>DATE(2022,7,28)</f>
        <v>44770</v>
      </c>
      <c r="Y524">
        <v>16.526092393590975</v>
      </c>
      <c r="Z524">
        <v>70.052153634216396</v>
      </c>
      <c r="AA524">
        <v>78.527500000000003</v>
      </c>
      <c r="AB524">
        <v>198.93</v>
      </c>
      <c r="AC524">
        <f t="shared" si="236"/>
        <v>1.401765179037435E-3</v>
      </c>
      <c r="AD524">
        <f t="shared" si="237"/>
        <v>0.24566439230459475</v>
      </c>
      <c r="AE524">
        <f t="shared" si="238"/>
        <v>0.24426262712555732</v>
      </c>
      <c r="AF524">
        <f t="shared" si="239"/>
        <v>1.2845298514982646</v>
      </c>
      <c r="AH524">
        <f t="shared" si="240"/>
        <v>-0.13065006880979169</v>
      </c>
      <c r="AI524">
        <f t="shared" si="241"/>
        <v>0.31957661537637755</v>
      </c>
      <c r="AJ524">
        <f t="shared" si="242"/>
        <v>0.45022668418616923</v>
      </c>
      <c r="AK524">
        <f t="shared" si="243"/>
        <v>1.271800290706373</v>
      </c>
      <c r="AM524">
        <f t="shared" si="244"/>
        <v>-0.12695558673245563</v>
      </c>
      <c r="AN524">
        <f t="shared" si="244"/>
        <v>0.62473290434968254</v>
      </c>
      <c r="AO524">
        <f t="shared" si="245"/>
        <v>0.7516884910821382</v>
      </c>
      <c r="AP524">
        <f t="shared" si="246"/>
        <v>1.5497113085081786</v>
      </c>
      <c r="AR524">
        <f t="shared" si="247"/>
        <v>0.30710910571612682</v>
      </c>
      <c r="AS524">
        <f t="shared" si="248"/>
        <v>0.80600063572117697</v>
      </c>
      <c r="AT524">
        <f t="shared" si="249"/>
        <v>0.49889153000505015</v>
      </c>
      <c r="AU524">
        <f t="shared" si="250"/>
        <v>0.38039905987092598</v>
      </c>
    </row>
    <row r="525" spans="1:47" x14ac:dyDescent="0.25">
      <c r="A525" s="4">
        <f>DATE(2022,7,27)</f>
        <v>44769</v>
      </c>
      <c r="B525">
        <v>-0.938230248537405</v>
      </c>
      <c r="C525">
        <v>34.271909465561123</v>
      </c>
      <c r="D525">
        <v>9.0485106842190258E-2</v>
      </c>
      <c r="E525">
        <f t="shared" si="224"/>
        <v>-0.90204476090037888</v>
      </c>
      <c r="F525">
        <f t="shared" si="225"/>
        <v>-1.7787056655872968</v>
      </c>
      <c r="G525">
        <f t="shared" si="226"/>
        <v>-1.3596362619143867</v>
      </c>
      <c r="H525" s="2" t="str">
        <f t="shared" si="227"/>
        <v>Lower</v>
      </c>
      <c r="I525" s="2" t="str">
        <f t="shared" si="228"/>
        <v>Lower</v>
      </c>
      <c r="J525" s="2" t="str">
        <f t="shared" si="229"/>
        <v>Lower</v>
      </c>
      <c r="K525" s="2" t="str">
        <f t="shared" si="230"/>
        <v>Lower</v>
      </c>
      <c r="L525" s="2" t="str">
        <f t="shared" si="231"/>
        <v>Lower</v>
      </c>
      <c r="M525" s="2" t="str">
        <f t="shared" si="232"/>
        <v>Lower</v>
      </c>
      <c r="N525" s="2" t="str">
        <f t="shared" si="233"/>
        <v>Lower</v>
      </c>
      <c r="O525" s="2" t="str">
        <f t="shared" si="234"/>
        <v>Lower</v>
      </c>
      <c r="P525" s="2" t="str">
        <f t="shared" si="235"/>
        <v>Lower</v>
      </c>
      <c r="X525" s="4">
        <f>DATE(2022,7,27)</f>
        <v>44769</v>
      </c>
      <c r="Y525">
        <v>11.911981033726665</v>
      </c>
      <c r="Z525">
        <v>74.510322072401109</v>
      </c>
      <c r="AA525">
        <v>76.462500000000006</v>
      </c>
      <c r="AB525">
        <v>205.22499999999999</v>
      </c>
      <c r="AC525">
        <f t="shared" si="236"/>
        <v>-4.5288708152154591E-2</v>
      </c>
      <c r="AD525">
        <f t="shared" si="237"/>
        <v>0.28043669007187882</v>
      </c>
      <c r="AE525">
        <f t="shared" si="238"/>
        <v>0.3257253982240334</v>
      </c>
      <c r="AF525">
        <f t="shared" si="239"/>
        <v>1.7597336813315207</v>
      </c>
      <c r="AH525">
        <f t="shared" si="240"/>
        <v>-0.146032621554465</v>
      </c>
      <c r="AI525">
        <f t="shared" si="241"/>
        <v>0.38541171148620729</v>
      </c>
      <c r="AJ525">
        <f t="shared" si="242"/>
        <v>0.53144433304067229</v>
      </c>
      <c r="AK525">
        <f t="shared" si="243"/>
        <v>1.5492160969045432</v>
      </c>
      <c r="AM525">
        <f t="shared" si="244"/>
        <v>-0.14028067539917255</v>
      </c>
      <c r="AN525">
        <f t="shared" si="244"/>
        <v>0.68143867582615425</v>
      </c>
      <c r="AO525">
        <f t="shared" si="245"/>
        <v>0.8217193512253268</v>
      </c>
      <c r="AP525">
        <f t="shared" si="246"/>
        <v>1.7357193563422009</v>
      </c>
      <c r="AR525">
        <f t="shared" si="247"/>
        <v>0.2924342321528241</v>
      </c>
      <c r="AS525">
        <f t="shared" si="248"/>
        <v>0.78601984138610881</v>
      </c>
      <c r="AT525">
        <f t="shared" si="249"/>
        <v>0.49358560923328471</v>
      </c>
      <c r="AU525">
        <f t="shared" si="250"/>
        <v>0.36533126948691858</v>
      </c>
    </row>
    <row r="526" spans="1:47" x14ac:dyDescent="0.25">
      <c r="A526" s="4">
        <f>DATE(2022,7,26)</f>
        <v>44768</v>
      </c>
      <c r="B526">
        <v>-0.97745683410001705</v>
      </c>
      <c r="C526">
        <v>35.260422726796229</v>
      </c>
      <c r="D526">
        <v>7.7180656934977304E-2</v>
      </c>
      <c r="E526">
        <f t="shared" si="224"/>
        <v>-0.95169626653831529</v>
      </c>
      <c r="F526">
        <f t="shared" si="225"/>
        <v>-1.7062508275528376</v>
      </c>
      <c r="G526">
        <f t="shared" si="226"/>
        <v>-1.422810999260486</v>
      </c>
      <c r="H526" s="2" t="str">
        <f t="shared" si="227"/>
        <v>Lower</v>
      </c>
      <c r="I526" s="2" t="str">
        <f t="shared" si="228"/>
        <v>Lower</v>
      </c>
      <c r="J526" s="2" t="str">
        <f t="shared" si="229"/>
        <v>Lower</v>
      </c>
      <c r="K526" s="2" t="str">
        <f t="shared" si="230"/>
        <v>Lower</v>
      </c>
      <c r="L526" s="2" t="str">
        <f t="shared" si="231"/>
        <v>Lower</v>
      </c>
      <c r="M526" s="2" t="str">
        <f t="shared" si="232"/>
        <v>Lower</v>
      </c>
      <c r="N526" s="2" t="str">
        <f t="shared" si="233"/>
        <v>Lower</v>
      </c>
      <c r="O526" s="2" t="str">
        <f t="shared" si="234"/>
        <v>Lower</v>
      </c>
      <c r="P526" s="2" t="str">
        <f t="shared" si="235"/>
        <v>Lower</v>
      </c>
      <c r="X526" s="4">
        <f>DATE(2022,7,26)</f>
        <v>44768</v>
      </c>
      <c r="Y526">
        <v>11.774375823762174</v>
      </c>
      <c r="Z526">
        <v>73.173848422846561</v>
      </c>
      <c r="AA526">
        <v>76.677500000000009</v>
      </c>
      <c r="AB526">
        <v>199.91800000000001</v>
      </c>
      <c r="AC526">
        <f t="shared" si="236"/>
        <v>-8.912297773189938E-2</v>
      </c>
      <c r="AD526">
        <f t="shared" si="237"/>
        <v>0.25799154202676577</v>
      </c>
      <c r="AE526">
        <f t="shared" si="238"/>
        <v>0.34711451975866514</v>
      </c>
      <c r="AF526">
        <f t="shared" si="239"/>
        <v>1.8916509581526755</v>
      </c>
      <c r="AH526">
        <f t="shared" si="240"/>
        <v>-0.12229755282727027</v>
      </c>
      <c r="AI526">
        <f t="shared" si="241"/>
        <v>0.43673146689573616</v>
      </c>
      <c r="AJ526">
        <f t="shared" si="242"/>
        <v>0.55902901972300645</v>
      </c>
      <c r="AK526">
        <f t="shared" si="243"/>
        <v>1.6476627362704279</v>
      </c>
      <c r="AM526">
        <f t="shared" si="244"/>
        <v>-0.12675946848723954</v>
      </c>
      <c r="AN526">
        <f t="shared" si="244"/>
        <v>0.69849363359934424</v>
      </c>
      <c r="AO526">
        <f t="shared" si="245"/>
        <v>0.82525310208658376</v>
      </c>
      <c r="AP526">
        <f t="shared" si="246"/>
        <v>1.7517429792331436</v>
      </c>
      <c r="AR526">
        <f t="shared" si="247"/>
        <v>0.32566068947032145</v>
      </c>
      <c r="AS526">
        <f t="shared" si="248"/>
        <v>0.78918191975579455</v>
      </c>
      <c r="AT526">
        <f t="shared" si="249"/>
        <v>0.4635212302854731</v>
      </c>
      <c r="AU526">
        <f t="shared" si="250"/>
        <v>0.27917576230591357</v>
      </c>
    </row>
    <row r="527" spans="1:47" x14ac:dyDescent="0.25">
      <c r="A527" s="4">
        <f>DATE(2022,7,25)</f>
        <v>44767</v>
      </c>
      <c r="B527">
        <v>-1.0007595051614377</v>
      </c>
      <c r="C527">
        <v>34.24950271267317</v>
      </c>
      <c r="D527">
        <v>-3.9038444907742347E-3</v>
      </c>
      <c r="E527">
        <f t="shared" si="224"/>
        <v>-0.98473915267817391</v>
      </c>
      <c r="F527">
        <f t="shared" si="225"/>
        <v>-1.8514733601458102</v>
      </c>
      <c r="G527">
        <f t="shared" si="226"/>
        <v>-1.7044270156487706</v>
      </c>
      <c r="H527" s="2" t="str">
        <f t="shared" si="227"/>
        <v>Lower</v>
      </c>
      <c r="I527" s="2" t="str">
        <f t="shared" si="228"/>
        <v>Higher</v>
      </c>
      <c r="J527" s="2" t="str">
        <f t="shared" si="229"/>
        <v>Lower</v>
      </c>
      <c r="K527" s="2" t="str">
        <f t="shared" si="230"/>
        <v>Higher</v>
      </c>
      <c r="L527" s="2" t="str">
        <f t="shared" si="231"/>
        <v>Lower</v>
      </c>
      <c r="M527" s="2" t="str">
        <f t="shared" si="232"/>
        <v>Lower</v>
      </c>
      <c r="N527" s="2" t="str">
        <f t="shared" si="233"/>
        <v>Lower</v>
      </c>
      <c r="O527" s="2" t="str">
        <f t="shared" si="234"/>
        <v>Lower</v>
      </c>
      <c r="P527" s="2" t="str">
        <f t="shared" si="235"/>
        <v>Lower</v>
      </c>
      <c r="X527" s="4">
        <f>DATE(2022,7,25)</f>
        <v>44767</v>
      </c>
      <c r="Y527">
        <v>12.286619991310257</v>
      </c>
      <c r="Z527">
        <v>65.879787172862564</v>
      </c>
      <c r="AA527">
        <v>76.662499999999994</v>
      </c>
      <c r="AB527">
        <v>176.61600000000001</v>
      </c>
      <c r="AC527">
        <f t="shared" si="236"/>
        <v>-0.10052903566821209</v>
      </c>
      <c r="AD527">
        <f t="shared" si="237"/>
        <v>0.11609011560210064</v>
      </c>
      <c r="AE527">
        <f t="shared" si="238"/>
        <v>0.21661915127031273</v>
      </c>
      <c r="AF527">
        <f t="shared" si="239"/>
        <v>1.1373287743073672</v>
      </c>
      <c r="AH527">
        <f t="shared" si="240"/>
        <v>-9.9820987491357593E-2</v>
      </c>
      <c r="AI527">
        <f t="shared" si="241"/>
        <v>0.3106136555985119</v>
      </c>
      <c r="AJ527">
        <f t="shared" si="242"/>
        <v>0.41043464308986949</v>
      </c>
      <c r="AK527">
        <f t="shared" si="243"/>
        <v>1.15041185735794</v>
      </c>
      <c r="AM527">
        <f t="shared" si="244"/>
        <v>-8.3695924447892228E-2</v>
      </c>
      <c r="AN527">
        <f t="shared" si="244"/>
        <v>0.59874127076344663</v>
      </c>
      <c r="AO527">
        <f t="shared" si="245"/>
        <v>0.68243719521133883</v>
      </c>
      <c r="AP527">
        <f t="shared" si="246"/>
        <v>1.3882724815999328</v>
      </c>
      <c r="AR527">
        <f t="shared" si="247"/>
        <v>0.27021499115195724</v>
      </c>
      <c r="AS527">
        <f t="shared" si="248"/>
        <v>0.62639443915730197</v>
      </c>
      <c r="AT527">
        <f t="shared" si="249"/>
        <v>0.35617944800534473</v>
      </c>
      <c r="AU527">
        <f t="shared" si="250"/>
        <v>-2.8546390043764375E-2</v>
      </c>
    </row>
    <row r="528" spans="1:47" x14ac:dyDescent="0.25">
      <c r="A528" s="4">
        <f>DATE(2022,7,22)</f>
        <v>44764</v>
      </c>
      <c r="B528">
        <v>-0.91371627772209563</v>
      </c>
      <c r="C528">
        <v>34.033518033053028</v>
      </c>
      <c r="D528">
        <v>-0.1063417971427172</v>
      </c>
      <c r="E528">
        <f t="shared" si="224"/>
        <v>-0.89782258409865101</v>
      </c>
      <c r="F528">
        <f t="shared" si="225"/>
        <v>-1.9180093216216971</v>
      </c>
      <c r="G528">
        <f t="shared" si="226"/>
        <v>-2.0696119869215939</v>
      </c>
      <c r="H528" s="2" t="str">
        <f t="shared" si="227"/>
        <v>Higher</v>
      </c>
      <c r="I528" s="2" t="str">
        <f t="shared" si="228"/>
        <v>Higher</v>
      </c>
      <c r="J528" s="2" t="str">
        <f t="shared" si="229"/>
        <v>Lower</v>
      </c>
      <c r="K528" s="2" t="str">
        <f t="shared" si="230"/>
        <v>Higher</v>
      </c>
      <c r="L528" s="2" t="str">
        <f t="shared" si="231"/>
        <v>Lower</v>
      </c>
      <c r="M528" s="2" t="str">
        <f t="shared" si="232"/>
        <v>Lower</v>
      </c>
      <c r="N528" s="2" t="str">
        <f t="shared" si="233"/>
        <v>Higher</v>
      </c>
      <c r="O528" s="2" t="str">
        <f t="shared" si="234"/>
        <v>Lower</v>
      </c>
      <c r="P528" s="2" t="str">
        <f t="shared" si="235"/>
        <v>Lower</v>
      </c>
      <c r="X528" s="4">
        <f>DATE(2022,7,22)</f>
        <v>44764</v>
      </c>
      <c r="Y528">
        <v>13.236109115031377</v>
      </c>
      <c r="Z528">
        <v>58.313225956637496</v>
      </c>
      <c r="AA528">
        <v>77.099999999999994</v>
      </c>
      <c r="AB528">
        <v>159.864</v>
      </c>
      <c r="AC528">
        <f t="shared" si="236"/>
        <v>-9.7577387253221085E-2</v>
      </c>
      <c r="AD528">
        <f t="shared" si="237"/>
        <v>1.8595570597989108E-3</v>
      </c>
      <c r="AE528">
        <f t="shared" si="238"/>
        <v>9.9436944313019998E-2</v>
      </c>
      <c r="AF528">
        <f t="shared" si="239"/>
        <v>0.45447120125105989</v>
      </c>
      <c r="AH528">
        <f t="shared" si="240"/>
        <v>-8.0850522578267359E-2</v>
      </c>
      <c r="AI528">
        <f t="shared" si="241"/>
        <v>0.21835563969487115</v>
      </c>
      <c r="AJ528">
        <f t="shared" si="242"/>
        <v>0.29920616227313851</v>
      </c>
      <c r="AK528">
        <f t="shared" si="243"/>
        <v>0.77609294904647752</v>
      </c>
      <c r="AM528">
        <f t="shared" si="244"/>
        <v>-8.8774305472586912E-2</v>
      </c>
      <c r="AN528">
        <f t="shared" si="244"/>
        <v>0.47466844847900674</v>
      </c>
      <c r="AO528">
        <f t="shared" si="245"/>
        <v>0.5634427539515936</v>
      </c>
      <c r="AP528">
        <f t="shared" si="246"/>
        <v>1.0831171414012486</v>
      </c>
      <c r="AR528">
        <f t="shared" si="247"/>
        <v>0.25455759160433211</v>
      </c>
      <c r="AS528">
        <f t="shared" si="248"/>
        <v>0.51032428154461251</v>
      </c>
      <c r="AT528">
        <f t="shared" si="249"/>
        <v>0.2557666899402804</v>
      </c>
      <c r="AU528">
        <f t="shared" si="250"/>
        <v>-0.31644197176351474</v>
      </c>
    </row>
    <row r="529" spans="1:47" x14ac:dyDescent="0.25">
      <c r="A529" s="4">
        <f>DATE(2022,7,21)</f>
        <v>44763</v>
      </c>
      <c r="B529">
        <v>-0.68597665307932121</v>
      </c>
      <c r="C529">
        <v>36.947606247270727</v>
      </c>
      <c r="D529">
        <v>-9.0267302329227986E-2</v>
      </c>
      <c r="E529">
        <f t="shared" si="224"/>
        <v>-0.65609138787862842</v>
      </c>
      <c r="F529">
        <f t="shared" si="225"/>
        <v>-1.6352948289979943</v>
      </c>
      <c r="G529">
        <f t="shared" si="226"/>
        <v>-2.0715197176272371</v>
      </c>
      <c r="H529" s="2" t="str">
        <f t="shared" si="227"/>
        <v>Higher</v>
      </c>
      <c r="I529" s="2" t="str">
        <f t="shared" si="228"/>
        <v>Higher</v>
      </c>
      <c r="J529" s="2" t="str">
        <f t="shared" si="229"/>
        <v>Lower</v>
      </c>
      <c r="K529" s="2" t="str">
        <f t="shared" si="230"/>
        <v>Higher</v>
      </c>
      <c r="L529" s="2" t="str">
        <f t="shared" si="231"/>
        <v>Higher</v>
      </c>
      <c r="M529" s="2" t="str">
        <f t="shared" si="232"/>
        <v>Lower</v>
      </c>
      <c r="N529" s="2" t="str">
        <f t="shared" si="233"/>
        <v>Higher</v>
      </c>
      <c r="O529" s="2" t="str">
        <f t="shared" si="234"/>
        <v>Lower</v>
      </c>
      <c r="P529" s="2" t="str">
        <f t="shared" si="235"/>
        <v>Lower</v>
      </c>
      <c r="X529" s="4">
        <f>DATE(2022,7,21)</f>
        <v>44763</v>
      </c>
      <c r="Y529">
        <v>14.594339336091192</v>
      </c>
      <c r="Z529">
        <v>56.007336008817951</v>
      </c>
      <c r="AA529">
        <v>78.41749999999999</v>
      </c>
      <c r="AB529">
        <v>155.6</v>
      </c>
      <c r="AC529">
        <f t="shared" si="236"/>
        <v>-6.8739919762183258E-2</v>
      </c>
      <c r="AD529">
        <f t="shared" si="237"/>
        <v>-0.11768591583043722</v>
      </c>
      <c r="AE529">
        <f t="shared" si="238"/>
        <v>-4.8945996068253964E-2</v>
      </c>
      <c r="AF529">
        <f t="shared" si="239"/>
        <v>-0.41216317415808401</v>
      </c>
      <c r="AH529">
        <f t="shared" si="240"/>
        <v>-6.2979139708436757E-2</v>
      </c>
      <c r="AI529">
        <f t="shared" si="241"/>
        <v>0.15433385855718484</v>
      </c>
      <c r="AJ529">
        <f t="shared" si="242"/>
        <v>0.21731299826562162</v>
      </c>
      <c r="AK529">
        <f t="shared" si="243"/>
        <v>0.49988528854733905</v>
      </c>
      <c r="AM529">
        <f t="shared" si="244"/>
        <v>-4.7503484316672895E-2</v>
      </c>
      <c r="AN529">
        <f t="shared" si="244"/>
        <v>0.44069943300278586</v>
      </c>
      <c r="AO529">
        <f t="shared" si="245"/>
        <v>0.48820291731945875</v>
      </c>
      <c r="AP529">
        <f t="shared" si="246"/>
        <v>0.8898382860703602</v>
      </c>
      <c r="AR529">
        <f t="shared" si="247"/>
        <v>0.25211632005937945</v>
      </c>
      <c r="AS529">
        <f t="shared" si="248"/>
        <v>0.43383036680087267</v>
      </c>
      <c r="AT529">
        <f t="shared" si="249"/>
        <v>0.18171404674149322</v>
      </c>
      <c r="AU529">
        <f t="shared" si="250"/>
        <v>-0.52951846762474786</v>
      </c>
    </row>
    <row r="530" spans="1:47" x14ac:dyDescent="0.25">
      <c r="A530" s="4">
        <f>DATE(2022,7,20)</f>
        <v>44762</v>
      </c>
      <c r="B530">
        <v>-0.44755042251472554</v>
      </c>
      <c r="C530">
        <v>38.171695984054338</v>
      </c>
      <c r="D530">
        <v>-0.15306890239174004</v>
      </c>
      <c r="E530">
        <f t="shared" si="224"/>
        <v>-0.40044039387773184</v>
      </c>
      <c r="F530">
        <f t="shared" si="225"/>
        <v>-1.5288330787969568</v>
      </c>
      <c r="G530">
        <f t="shared" si="226"/>
        <v>-2.3331626813380604</v>
      </c>
      <c r="H530" s="2" t="str">
        <f t="shared" si="227"/>
        <v>Higher</v>
      </c>
      <c r="I530" s="2" t="str">
        <f t="shared" si="228"/>
        <v>Higher</v>
      </c>
      <c r="J530" s="2" t="str">
        <f t="shared" si="229"/>
        <v>Lower</v>
      </c>
      <c r="K530" s="2" t="str">
        <f t="shared" si="230"/>
        <v>Higher</v>
      </c>
      <c r="L530" s="2" t="str">
        <f t="shared" si="231"/>
        <v>Higher</v>
      </c>
      <c r="M530" s="2" t="str">
        <f t="shared" si="232"/>
        <v>Lower</v>
      </c>
      <c r="N530" s="2" t="str">
        <f t="shared" si="233"/>
        <v>Higher</v>
      </c>
      <c r="O530" s="2" t="str">
        <f t="shared" si="234"/>
        <v>Higher</v>
      </c>
      <c r="P530" s="2" t="str">
        <f t="shared" si="235"/>
        <v>Lower</v>
      </c>
      <c r="X530" s="4">
        <f>DATE(2022,7,20)</f>
        <v>44762</v>
      </c>
      <c r="Y530">
        <v>15.425978254290756</v>
      </c>
      <c r="Z530">
        <v>55.707467955971964</v>
      </c>
      <c r="AA530">
        <v>80.004999999999995</v>
      </c>
      <c r="AB530">
        <v>155.03800000000001</v>
      </c>
      <c r="AC530">
        <f t="shared" si="236"/>
        <v>-5.4218516157455154E-2</v>
      </c>
      <c r="AD530">
        <f t="shared" si="237"/>
        <v>-0.15208823005784863</v>
      </c>
      <c r="AE530">
        <f t="shared" si="238"/>
        <v>-9.7869713900393479E-2</v>
      </c>
      <c r="AF530">
        <f t="shared" si="239"/>
        <v>-0.69826049461075723</v>
      </c>
      <c r="AH530">
        <f t="shared" si="240"/>
        <v>-3.0072594418153381E-2</v>
      </c>
      <c r="AI530">
        <f t="shared" si="241"/>
        <v>0.19813761067089575</v>
      </c>
      <c r="AJ530">
        <f t="shared" si="242"/>
        <v>0.22821020508904913</v>
      </c>
      <c r="AK530">
        <f t="shared" si="243"/>
        <v>0.53730372225481837</v>
      </c>
      <c r="AM530">
        <f t="shared" si="244"/>
        <v>-8.5255191395772582E-3</v>
      </c>
      <c r="AN530">
        <f t="shared" si="244"/>
        <v>0.36685870103448415</v>
      </c>
      <c r="AO530">
        <f t="shared" si="245"/>
        <v>0.37538422017406142</v>
      </c>
      <c r="AP530">
        <f t="shared" si="246"/>
        <v>0.5983608121118833</v>
      </c>
      <c r="AR530">
        <f t="shared" si="247"/>
        <v>0.30188575405376861</v>
      </c>
      <c r="AS530">
        <f t="shared" si="248"/>
        <v>0.51071597923988377</v>
      </c>
      <c r="AT530">
        <f t="shared" si="249"/>
        <v>0.20883022518611516</v>
      </c>
      <c r="AU530">
        <f t="shared" si="250"/>
        <v>-0.45333439998135333</v>
      </c>
    </row>
    <row r="531" spans="1:47" x14ac:dyDescent="0.25">
      <c r="A531" s="4">
        <f>DATE(2022,7,19)</f>
        <v>44761</v>
      </c>
      <c r="B531">
        <v>-0.10454612506964903</v>
      </c>
      <c r="C531">
        <v>47.876397269267926</v>
      </c>
      <c r="D531">
        <v>0.3464819798144062</v>
      </c>
      <c r="E531">
        <f t="shared" si="224"/>
        <v>-3.0244432280254245E-2</v>
      </c>
      <c r="F531">
        <f t="shared" si="225"/>
        <v>-0.44245269441040164</v>
      </c>
      <c r="G531">
        <f t="shared" si="226"/>
        <v>-0.70930593104881512</v>
      </c>
      <c r="H531" s="2" t="str">
        <f t="shared" si="227"/>
        <v>Higher</v>
      </c>
      <c r="I531" s="2" t="str">
        <f t="shared" si="228"/>
        <v>Higher</v>
      </c>
      <c r="J531" s="2" t="str">
        <f t="shared" si="229"/>
        <v>Lower</v>
      </c>
      <c r="K531" s="2" t="str">
        <f t="shared" si="230"/>
        <v>Higher</v>
      </c>
      <c r="L531" s="2" t="str">
        <f t="shared" si="231"/>
        <v>Higher</v>
      </c>
      <c r="M531" s="2" t="str">
        <f t="shared" si="232"/>
        <v>Lower</v>
      </c>
      <c r="N531" s="2" t="str">
        <f t="shared" si="233"/>
        <v>Higher</v>
      </c>
      <c r="O531" s="2" t="str">
        <f t="shared" si="234"/>
        <v>Higher</v>
      </c>
      <c r="P531" s="2" t="str">
        <f t="shared" si="235"/>
        <v>Lower</v>
      </c>
      <c r="X531" s="4">
        <f>DATE(2022,7,19)</f>
        <v>44761</v>
      </c>
      <c r="Y531">
        <v>17.565956052701232</v>
      </c>
      <c r="Z531">
        <v>55.415754952755861</v>
      </c>
      <c r="AA531">
        <v>83.825000000000003</v>
      </c>
      <c r="AB531">
        <v>154.45699999999999</v>
      </c>
      <c r="AC531">
        <f t="shared" si="236"/>
        <v>-1.5947319428493329E-2</v>
      </c>
      <c r="AD531">
        <f t="shared" si="237"/>
        <v>-0.11111318052642301</v>
      </c>
      <c r="AE531">
        <f t="shared" si="238"/>
        <v>-9.5165861097929683E-2</v>
      </c>
      <c r="AF531">
        <f t="shared" si="239"/>
        <v>-0.68346892291890471</v>
      </c>
      <c r="AH531">
        <f t="shared" si="240"/>
        <v>-9.2916228127559817E-3</v>
      </c>
      <c r="AI531">
        <f t="shared" si="241"/>
        <v>0.20713200847453755</v>
      </c>
      <c r="AJ531">
        <f t="shared" si="242"/>
        <v>0.21642363128729353</v>
      </c>
      <c r="AK531">
        <f t="shared" si="243"/>
        <v>0.49806216055436581</v>
      </c>
      <c r="AM531">
        <f t="shared" si="244"/>
        <v>8.0249562301890481E-3</v>
      </c>
      <c r="AN531">
        <f t="shared" si="244"/>
        <v>0.40316937102545491</v>
      </c>
      <c r="AO531">
        <f t="shared" si="245"/>
        <v>0.39514441479526585</v>
      </c>
      <c r="AP531">
        <f t="shared" si="246"/>
        <v>0.65024550393128766</v>
      </c>
      <c r="AR531">
        <f t="shared" si="247"/>
        <v>0.35182964374191206</v>
      </c>
      <c r="AS531">
        <f t="shared" si="248"/>
        <v>0.58617618697255358</v>
      </c>
      <c r="AT531">
        <f t="shared" si="249"/>
        <v>0.23434654323064152</v>
      </c>
      <c r="AU531">
        <f t="shared" si="250"/>
        <v>-0.38129841999313724</v>
      </c>
    </row>
    <row r="532" spans="1:47" x14ac:dyDescent="0.25">
      <c r="A532" s="4">
        <f>DATE(2022,7,18)</f>
        <v>44760</v>
      </c>
      <c r="B532">
        <v>-4.0425545515279937E-2</v>
      </c>
      <c r="C532">
        <v>51.112463549113748</v>
      </c>
      <c r="D532">
        <v>0.50832694738324513</v>
      </c>
      <c r="E532">
        <f t="shared" si="224"/>
        <v>3.8897874416901929E-2</v>
      </c>
      <c r="F532">
        <f t="shared" si="225"/>
        <v>-7.6584998656666695E-2</v>
      </c>
      <c r="G532">
        <f t="shared" si="226"/>
        <v>-0.16775967892432805</v>
      </c>
      <c r="H532" s="2" t="str">
        <f t="shared" si="227"/>
        <v>Higher</v>
      </c>
      <c r="I532" s="2" t="str">
        <f t="shared" si="228"/>
        <v>Higher</v>
      </c>
      <c r="J532" s="2" t="str">
        <f t="shared" si="229"/>
        <v>Lower</v>
      </c>
      <c r="K532" s="2" t="str">
        <f t="shared" si="230"/>
        <v>Higher</v>
      </c>
      <c r="L532" s="2" t="str">
        <f t="shared" si="231"/>
        <v>Higher</v>
      </c>
      <c r="M532" s="2" t="str">
        <f t="shared" si="232"/>
        <v>Lower</v>
      </c>
      <c r="N532" s="2" t="str">
        <f t="shared" si="233"/>
        <v>Higher</v>
      </c>
      <c r="O532" s="2" t="str">
        <f t="shared" si="234"/>
        <v>Higher</v>
      </c>
      <c r="P532" s="2" t="str">
        <f t="shared" si="235"/>
        <v>Lower</v>
      </c>
      <c r="X532" s="4">
        <f>DATE(2022,7,18)</f>
        <v>44760</v>
      </c>
      <c r="Y532">
        <v>18.736149514379346</v>
      </c>
      <c r="Z532">
        <v>57.099231968970713</v>
      </c>
      <c r="AA532">
        <v>84.77</v>
      </c>
      <c r="AB532">
        <v>157.25800000000001</v>
      </c>
      <c r="AC532">
        <f t="shared" si="236"/>
        <v>9.0058672435585161E-3</v>
      </c>
      <c r="AD532">
        <f t="shared" si="237"/>
        <v>-4.5144374671916419E-2</v>
      </c>
      <c r="AE532">
        <f t="shared" si="238"/>
        <v>-5.4150241915474934E-2</v>
      </c>
      <c r="AF532">
        <f t="shared" si="239"/>
        <v>-0.44519570256945817</v>
      </c>
      <c r="AH532">
        <f t="shared" si="240"/>
        <v>8.4406181470379153E-3</v>
      </c>
      <c r="AI532" t="str">
        <f t="shared" si="241"/>
        <v/>
      </c>
      <c r="AJ532" t="str">
        <f t="shared" si="242"/>
        <v/>
      </c>
      <c r="AK532" t="str">
        <f t="shared" si="243"/>
        <v/>
      </c>
      <c r="AM532">
        <f t="shared" si="244"/>
        <v>4.5520459318665971E-3</v>
      </c>
      <c r="AN532">
        <f t="shared" si="244"/>
        <v>0.52704250146407416</v>
      </c>
      <c r="AO532">
        <f t="shared" si="245"/>
        <v>0.52249045553220752</v>
      </c>
      <c r="AP532">
        <f t="shared" si="246"/>
        <v>0.98097374207109711</v>
      </c>
      <c r="AR532">
        <f t="shared" si="247"/>
        <v>0.35986511619591838</v>
      </c>
      <c r="AS532">
        <f t="shared" si="248"/>
        <v>0.59754973188009441</v>
      </c>
      <c r="AT532">
        <f t="shared" si="249"/>
        <v>0.23768461568417604</v>
      </c>
      <c r="AU532">
        <f t="shared" si="250"/>
        <v>-0.37268187316557294</v>
      </c>
    </row>
    <row r="533" spans="1:47" x14ac:dyDescent="0.25">
      <c r="A533" s="4">
        <f>DATE(2022,7,15)</f>
        <v>44757</v>
      </c>
      <c r="B533">
        <v>-6.8594241158579317E-2</v>
      </c>
      <c r="C533">
        <v>52.230626572161178</v>
      </c>
      <c r="D533">
        <v>0.57233206379225687</v>
      </c>
      <c r="E533">
        <f t="shared" si="224"/>
        <v>8.7684563682957108E-3</v>
      </c>
      <c r="F533">
        <f t="shared" si="225"/>
        <v>5.244628083945712E-2</v>
      </c>
      <c r="G533">
        <f t="shared" si="226"/>
        <v>5.0748781691132568E-2</v>
      </c>
      <c r="H533" s="2" t="str">
        <f t="shared" si="227"/>
        <v>Higher</v>
      </c>
      <c r="I533" s="2" t="str">
        <f t="shared" si="228"/>
        <v>Higher</v>
      </c>
      <c r="J533" s="2" t="str">
        <f t="shared" si="229"/>
        <v>Lower</v>
      </c>
      <c r="K533" s="2" t="str">
        <f t="shared" si="230"/>
        <v>Higher</v>
      </c>
      <c r="L533" s="2" t="str">
        <f t="shared" si="231"/>
        <v>Higher</v>
      </c>
      <c r="M533" s="2" t="str">
        <f t="shared" si="232"/>
        <v>Lower</v>
      </c>
      <c r="N533" s="2" t="str">
        <f t="shared" si="233"/>
        <v>Higher</v>
      </c>
      <c r="O533" s="2" t="str">
        <f t="shared" si="234"/>
        <v>Higher</v>
      </c>
      <c r="P533" s="2" t="str">
        <f t="shared" si="235"/>
        <v>Lower</v>
      </c>
      <c r="X533" s="4">
        <f>DATE(2022,7,15)</f>
        <v>44757</v>
      </c>
      <c r="Y533">
        <v>19.647676590454047</v>
      </c>
      <c r="Z533">
        <v>58.458643551014653</v>
      </c>
      <c r="AA533">
        <v>85.002499999999998</v>
      </c>
      <c r="AB533">
        <v>159.56700000000001</v>
      </c>
      <c r="AC533">
        <f t="shared" si="236"/>
        <v>2.0292144460824588E-2</v>
      </c>
      <c r="AD533">
        <f t="shared" si="237"/>
        <v>-9.3532772588238139E-2</v>
      </c>
      <c r="AE533">
        <f t="shared" si="238"/>
        <v>-0.11382491704906272</v>
      </c>
      <c r="AF533">
        <f t="shared" si="239"/>
        <v>-0.79345406298511345</v>
      </c>
      <c r="AH533">
        <f t="shared" si="240"/>
        <v>2.7702933008937329E-2</v>
      </c>
      <c r="AI533">
        <f t="shared" si="241"/>
        <v>0.30400207984394872</v>
      </c>
      <c r="AJ533">
        <f t="shared" si="242"/>
        <v>0.27629914683501139</v>
      </c>
      <c r="AK533">
        <f t="shared" si="243"/>
        <v>0.70042167949391032</v>
      </c>
      <c r="AM533">
        <f t="shared" si="244"/>
        <v>-3.9247861307547836E-2</v>
      </c>
      <c r="AN533">
        <f t="shared" si="244"/>
        <v>0.51990366100339513</v>
      </c>
      <c r="AO533">
        <f t="shared" si="245"/>
        <v>0.55915152231094301</v>
      </c>
      <c r="AP533">
        <f t="shared" si="246"/>
        <v>1.0776370916333835</v>
      </c>
      <c r="AR533">
        <f t="shared" si="247"/>
        <v>0.36811373320907853</v>
      </c>
      <c r="AS533">
        <f t="shared" si="248"/>
        <v>0.58780452589751286</v>
      </c>
      <c r="AT533">
        <f t="shared" si="249"/>
        <v>0.21969079268843433</v>
      </c>
      <c r="AU533">
        <f t="shared" si="250"/>
        <v>-0.42541146723131246</v>
      </c>
    </row>
    <row r="534" spans="1:47" x14ac:dyDescent="0.25">
      <c r="A534" s="4">
        <f>DATE(2022,7,14)</f>
        <v>44756</v>
      </c>
      <c r="B534">
        <v>-0.15525190057899357</v>
      </c>
      <c r="C534">
        <v>48.904419521723639</v>
      </c>
      <c r="D534">
        <v>0.40993331802423721</v>
      </c>
      <c r="E534">
        <f t="shared" si="224"/>
        <v>-8.3989326108755979E-2</v>
      </c>
      <c r="F534">
        <f t="shared" si="225"/>
        <v>-0.33030592665400793</v>
      </c>
      <c r="G534">
        <f t="shared" si="226"/>
        <v>-0.50143167102935626</v>
      </c>
      <c r="H534" s="2" t="str">
        <f t="shared" si="227"/>
        <v>Higher</v>
      </c>
      <c r="I534" s="2" t="str">
        <f t="shared" si="228"/>
        <v>Higher</v>
      </c>
      <c r="J534" s="2" t="str">
        <f t="shared" si="229"/>
        <v>Lower</v>
      </c>
      <c r="K534" s="2" t="str">
        <f t="shared" si="230"/>
        <v>Higher</v>
      </c>
      <c r="L534" s="2" t="str">
        <f t="shared" si="231"/>
        <v>Higher</v>
      </c>
      <c r="M534" s="2" t="str">
        <f t="shared" si="232"/>
        <v>Lower</v>
      </c>
      <c r="N534" s="2" t="str">
        <f t="shared" si="233"/>
        <v>Higher</v>
      </c>
      <c r="O534" s="2" t="str">
        <f t="shared" si="234"/>
        <v>Higher</v>
      </c>
      <c r="P534" s="2" t="str">
        <f t="shared" si="235"/>
        <v>Lower</v>
      </c>
      <c r="X534" s="4">
        <f>DATE(2022,7,14)</f>
        <v>44756</v>
      </c>
      <c r="Y534">
        <v>18.286853900703441</v>
      </c>
      <c r="Z534">
        <v>68.619645008684913</v>
      </c>
      <c r="AA534">
        <v>83.997500000000002</v>
      </c>
      <c r="AB534">
        <v>175.03299999999999</v>
      </c>
      <c r="AC534">
        <f t="shared" si="236"/>
        <v>-6.1419969064836454E-3</v>
      </c>
      <c r="AD534">
        <f t="shared" si="237"/>
        <v>-4.5511125599776062E-2</v>
      </c>
      <c r="AE534">
        <f t="shared" si="238"/>
        <v>-3.9369128693292413E-2</v>
      </c>
      <c r="AF534">
        <f t="shared" si="239"/>
        <v>-0.36096084532467299</v>
      </c>
      <c r="AH534">
        <f t="shared" si="240"/>
        <v>2.8016231963682451E-3</v>
      </c>
      <c r="AI534">
        <f t="shared" si="241"/>
        <v>0.3417617782182697</v>
      </c>
      <c r="AJ534">
        <f t="shared" si="242"/>
        <v>0.33896015502190147</v>
      </c>
      <c r="AK534">
        <f t="shared" si="243"/>
        <v>0.91292017324604879</v>
      </c>
      <c r="AM534">
        <f t="shared" si="244"/>
        <v>-2.9790809508486279E-2</v>
      </c>
      <c r="AN534">
        <f t="shared" si="244"/>
        <v>0.55919452756101118</v>
      </c>
      <c r="AO534">
        <f t="shared" si="245"/>
        <v>0.58898533706949741</v>
      </c>
      <c r="AP534">
        <f t="shared" si="246"/>
        <v>1.1570192546625269</v>
      </c>
      <c r="AR534">
        <f t="shared" si="247"/>
        <v>0.33965596534305809</v>
      </c>
      <c r="AS534">
        <f t="shared" si="248"/>
        <v>0.58026728684474482</v>
      </c>
      <c r="AT534">
        <f t="shared" si="249"/>
        <v>0.24061132150168674</v>
      </c>
      <c r="AU534">
        <f t="shared" si="250"/>
        <v>-0.36635664025824516</v>
      </c>
    </row>
    <row r="535" spans="1:47" x14ac:dyDescent="0.25">
      <c r="A535" s="4">
        <f>DATE(2022,7,13)</f>
        <v>44755</v>
      </c>
      <c r="B535">
        <v>-0.13986410884193612</v>
      </c>
      <c r="C535">
        <v>48.645398220305495</v>
      </c>
      <c r="D535">
        <v>0.40352786395185697</v>
      </c>
      <c r="E535">
        <f t="shared" si="224"/>
        <v>-6.7958164768422105E-2</v>
      </c>
      <c r="F535">
        <f t="shared" si="225"/>
        <v>-0.36171643379536228</v>
      </c>
      <c r="G535">
        <f t="shared" si="226"/>
        <v>-0.52609014375310925</v>
      </c>
      <c r="H535" s="2" t="str">
        <f t="shared" si="227"/>
        <v>Higher</v>
      </c>
      <c r="I535" s="2" t="str">
        <f t="shared" si="228"/>
        <v>Higher</v>
      </c>
      <c r="J535" s="2" t="str">
        <f t="shared" si="229"/>
        <v>Lower</v>
      </c>
      <c r="K535" s="2" t="str">
        <f t="shared" si="230"/>
        <v>Higher</v>
      </c>
      <c r="L535" s="2" t="str">
        <f t="shared" si="231"/>
        <v>Higher</v>
      </c>
      <c r="M535" s="2" t="str">
        <f t="shared" si="232"/>
        <v>Lower</v>
      </c>
      <c r="N535" s="2" t="str">
        <f t="shared" si="233"/>
        <v>Higher</v>
      </c>
      <c r="O535" s="2" t="str">
        <f t="shared" si="234"/>
        <v>Higher</v>
      </c>
      <c r="P535" s="2" t="str">
        <f t="shared" si="235"/>
        <v>Lower</v>
      </c>
      <c r="X535" s="4">
        <f>DATE(2022,7,13)</f>
        <v>44755</v>
      </c>
      <c r="Y535">
        <v>19.004671215972085</v>
      </c>
      <c r="Z535">
        <v>72.775450927269432</v>
      </c>
      <c r="AA535">
        <v>84.462500000000006</v>
      </c>
      <c r="AB535">
        <v>180.505</v>
      </c>
      <c r="AC535">
        <f t="shared" si="236"/>
        <v>1.2119916682926833E-2</v>
      </c>
      <c r="AD535">
        <f t="shared" si="237"/>
        <v>5.4100769687955484E-2</v>
      </c>
      <c r="AE535">
        <f t="shared" si="238"/>
        <v>4.198085300502865E-2</v>
      </c>
      <c r="AF535">
        <f t="shared" si="239"/>
        <v>0.11213758022500994</v>
      </c>
      <c r="AH535">
        <f t="shared" si="240"/>
        <v>-1.378642920603905E-2</v>
      </c>
      <c r="AI535">
        <f t="shared" si="241"/>
        <v>0.40550388894932565</v>
      </c>
      <c r="AJ535">
        <f t="shared" si="242"/>
        <v>0.41929031815536472</v>
      </c>
      <c r="AK535">
        <f t="shared" si="243"/>
        <v>1.1856301258367921</v>
      </c>
      <c r="AM535">
        <f t="shared" si="244"/>
        <v>-1.7836138296553866E-2</v>
      </c>
      <c r="AN535">
        <f t="shared" si="244"/>
        <v>0.64334845141375752</v>
      </c>
      <c r="AO535">
        <f t="shared" si="245"/>
        <v>0.66118458971031135</v>
      </c>
      <c r="AP535">
        <f t="shared" si="246"/>
        <v>1.3465797629414706</v>
      </c>
      <c r="AR535">
        <f t="shared" si="247"/>
        <v>0.33292075867196336</v>
      </c>
      <c r="AS535">
        <f t="shared" si="248"/>
        <v>0.47088044355086239</v>
      </c>
      <c r="AT535">
        <f t="shared" si="249"/>
        <v>0.13795968487889904</v>
      </c>
      <c r="AU535">
        <f t="shared" si="250"/>
        <v>-0.66310063946321329</v>
      </c>
    </row>
    <row r="536" spans="1:47" x14ac:dyDescent="0.25">
      <c r="A536" s="4">
        <f>DATE(2022,7,12)</f>
        <v>44754</v>
      </c>
      <c r="B536">
        <v>-9.5882605887367522E-2</v>
      </c>
      <c r="C536">
        <v>52.680989866146</v>
      </c>
      <c r="D536">
        <v>0.61175387905649448</v>
      </c>
      <c r="E536">
        <f t="shared" si="224"/>
        <v>-2.1585216089328219E-2</v>
      </c>
      <c r="F536">
        <f t="shared" si="225"/>
        <v>0.1008723201298241</v>
      </c>
      <c r="G536">
        <f t="shared" si="226"/>
        <v>0.18095070039487565</v>
      </c>
      <c r="H536" s="2" t="str">
        <f t="shared" si="227"/>
        <v>Higher</v>
      </c>
      <c r="I536" s="2" t="str">
        <f t="shared" si="228"/>
        <v>Higher</v>
      </c>
      <c r="J536" s="2" t="str">
        <f t="shared" si="229"/>
        <v>Lower</v>
      </c>
      <c r="K536" s="2" t="str">
        <f t="shared" si="230"/>
        <v>Higher</v>
      </c>
      <c r="L536" s="2" t="str">
        <f t="shared" si="231"/>
        <v>Higher</v>
      </c>
      <c r="M536" s="2" t="str">
        <f t="shared" si="232"/>
        <v>Lower</v>
      </c>
      <c r="N536" s="2" t="str">
        <f t="shared" si="233"/>
        <v>Higher</v>
      </c>
      <c r="O536" s="2" t="str">
        <f t="shared" si="234"/>
        <v>Higher</v>
      </c>
      <c r="P536" s="2" t="str">
        <f t="shared" si="235"/>
        <v>Lower</v>
      </c>
      <c r="X536" s="4">
        <f>DATE(2022,7,12)</f>
        <v>44754</v>
      </c>
      <c r="Y536">
        <v>19.163884042109</v>
      </c>
      <c r="Z536">
        <v>70.371088819170609</v>
      </c>
      <c r="AA536">
        <v>85.172499999999999</v>
      </c>
      <c r="AB536">
        <v>172.60900000000001</v>
      </c>
      <c r="AC536">
        <f t="shared" si="236"/>
        <v>2.0161375486103163E-2</v>
      </c>
      <c r="AD536">
        <f t="shared" si="237"/>
        <v>4.4641120672456611E-2</v>
      </c>
      <c r="AE536">
        <f t="shared" si="238"/>
        <v>2.4479745186353447E-2</v>
      </c>
      <c r="AF536">
        <f t="shared" si="239"/>
        <v>1.0486141036011025E-2</v>
      </c>
      <c r="AH536">
        <f t="shared" si="240"/>
        <v>1.968229052918994E-2</v>
      </c>
      <c r="AI536">
        <f t="shared" si="241"/>
        <v>0.57590565633891855</v>
      </c>
      <c r="AJ536">
        <f t="shared" si="242"/>
        <v>0.55622336580972864</v>
      </c>
      <c r="AK536">
        <f t="shared" si="243"/>
        <v>1.6507695436717054</v>
      </c>
      <c r="AM536">
        <f t="shared" si="244"/>
        <v>5.993691622267569E-2</v>
      </c>
      <c r="AN536">
        <f t="shared" si="244"/>
        <v>0.61020527455383422</v>
      </c>
      <c r="AO536">
        <f t="shared" si="245"/>
        <v>0.5502683583311585</v>
      </c>
      <c r="AP536">
        <f t="shared" si="246"/>
        <v>1.0625835271123145</v>
      </c>
      <c r="AR536">
        <f t="shared" si="247"/>
        <v>0.27623202980363076</v>
      </c>
      <c r="AS536">
        <f t="shared" si="248"/>
        <v>0.40751083537712846</v>
      </c>
      <c r="AT536">
        <f t="shared" si="249"/>
        <v>0.13127880557349769</v>
      </c>
      <c r="AU536">
        <f t="shared" si="250"/>
        <v>-0.68502076610246943</v>
      </c>
    </row>
    <row r="537" spans="1:47" x14ac:dyDescent="0.25">
      <c r="A537" s="4">
        <f>DATE(2022,7,11)</f>
        <v>44753</v>
      </c>
      <c r="B537">
        <v>-0.20392273158777996</v>
      </c>
      <c r="C537">
        <v>49.899614325894419</v>
      </c>
      <c r="D537">
        <v>0.46108458374277667</v>
      </c>
      <c r="E537">
        <f t="shared" si="224"/>
        <v>-0.13582181608063756</v>
      </c>
      <c r="F537">
        <f t="shared" si="225"/>
        <v>-0.21790026768554058</v>
      </c>
      <c r="G537">
        <f t="shared" si="226"/>
        <v>-0.3296231165818363</v>
      </c>
      <c r="H537" s="2" t="str">
        <f t="shared" si="227"/>
        <v>Higher</v>
      </c>
      <c r="I537" s="2" t="str">
        <f t="shared" si="228"/>
        <v>Higher</v>
      </c>
      <c r="J537" s="2" t="str">
        <f t="shared" si="229"/>
        <v>Lower</v>
      </c>
      <c r="K537" s="2" t="str">
        <f t="shared" si="230"/>
        <v>Higher</v>
      </c>
      <c r="L537" s="2" t="str">
        <f t="shared" si="231"/>
        <v>Higher</v>
      </c>
      <c r="M537" s="2" t="str">
        <f t="shared" si="232"/>
        <v>Lower</v>
      </c>
      <c r="N537" s="2" t="str">
        <f t="shared" si="233"/>
        <v>Higher</v>
      </c>
      <c r="O537" s="2" t="str">
        <f t="shared" si="234"/>
        <v>Higher</v>
      </c>
      <c r="P537" s="2" t="str">
        <f t="shared" si="235"/>
        <v>Lower</v>
      </c>
      <c r="X537" s="4">
        <f>DATE(2022,7,11)</f>
        <v>44753</v>
      </c>
      <c r="Y537">
        <v>16.827010191232628</v>
      </c>
      <c r="Z537">
        <v>67.65359682820413</v>
      </c>
      <c r="AA537">
        <v>84.009999999999991</v>
      </c>
      <c r="AB537">
        <v>164.52</v>
      </c>
      <c r="AC537">
        <f t="shared" si="236"/>
        <v>-1.1038717615857551E-2</v>
      </c>
      <c r="AD537" t="str">
        <f t="shared" si="237"/>
        <v/>
      </c>
      <c r="AE537" t="str">
        <f t="shared" si="238"/>
        <v/>
      </c>
      <c r="AF537" t="str">
        <f t="shared" si="239"/>
        <v/>
      </c>
      <c r="AH537">
        <f t="shared" si="240"/>
        <v>3.3005098145581821E-2</v>
      </c>
      <c r="AI537">
        <f t="shared" si="241"/>
        <v>0.67935985346970973</v>
      </c>
      <c r="AJ537">
        <f t="shared" si="242"/>
        <v>0.64635475532412789</v>
      </c>
      <c r="AK537">
        <f t="shared" si="243"/>
        <v>1.9618898121237731</v>
      </c>
      <c r="AM537" t="str">
        <f t="shared" si="244"/>
        <v/>
      </c>
      <c r="AN537">
        <f t="shared" si="244"/>
        <v>0.54265014016426605</v>
      </c>
      <c r="AO537" t="str">
        <f t="shared" si="245"/>
        <v/>
      </c>
      <c r="AP537" t="str">
        <f t="shared" si="246"/>
        <v/>
      </c>
      <c r="AR537">
        <f t="shared" si="247"/>
        <v>0.28147197793357548</v>
      </c>
      <c r="AS537">
        <f t="shared" si="248"/>
        <v>0.53012949994253589</v>
      </c>
      <c r="AT537">
        <f t="shared" si="249"/>
        <v>0.24865752200896041</v>
      </c>
      <c r="AU537">
        <f t="shared" si="250"/>
        <v>-0.34820074440087495</v>
      </c>
    </row>
    <row r="538" spans="1:47" x14ac:dyDescent="0.25">
      <c r="A538" s="4">
        <f>DATE(2022,7,8)</f>
        <v>44750</v>
      </c>
      <c r="B538">
        <v>-0.23221903651417597</v>
      </c>
      <c r="C538">
        <v>46.33476890080513</v>
      </c>
      <c r="D538">
        <v>0.29491300522201647</v>
      </c>
      <c r="E538">
        <f t="shared" si="224"/>
        <v>-0.16620821800099417</v>
      </c>
      <c r="F538">
        <f t="shared" si="225"/>
        <v>-0.62752864757909887</v>
      </c>
      <c r="G538">
        <f t="shared" si="226"/>
        <v>-0.89492426396784353</v>
      </c>
      <c r="H538" s="2" t="str">
        <f t="shared" si="227"/>
        <v>Higher</v>
      </c>
      <c r="I538" s="2" t="str">
        <f t="shared" si="228"/>
        <v>Higher</v>
      </c>
      <c r="J538" s="2" t="str">
        <f t="shared" si="229"/>
        <v>Lower</v>
      </c>
      <c r="K538" s="2" t="str">
        <f t="shared" si="230"/>
        <v>Higher</v>
      </c>
      <c r="L538" s="2" t="str">
        <f t="shared" si="231"/>
        <v>Higher</v>
      </c>
      <c r="M538" s="2" t="str">
        <f t="shared" si="232"/>
        <v>Lower</v>
      </c>
      <c r="N538" s="2" t="str">
        <f t="shared" si="233"/>
        <v>Higher</v>
      </c>
      <c r="O538" s="2" t="str">
        <f t="shared" si="234"/>
        <v>Higher</v>
      </c>
      <c r="P538" s="2" t="str">
        <f t="shared" si="235"/>
        <v>Lower</v>
      </c>
      <c r="X538" s="4">
        <f>DATE(2022,7,8)</f>
        <v>44750</v>
      </c>
      <c r="Y538">
        <v>17.628079115462167</v>
      </c>
      <c r="Z538">
        <v>76.235593234401179</v>
      </c>
      <c r="AA538">
        <v>83.295000000000002</v>
      </c>
      <c r="AB538">
        <v>175.21199999999999</v>
      </c>
      <c r="AC538">
        <f t="shared" si="236"/>
        <v>-3.9257652540368608E-2</v>
      </c>
      <c r="AD538">
        <f t="shared" si="237"/>
        <v>0.17024492105109101</v>
      </c>
      <c r="AE538">
        <f t="shared" si="238"/>
        <v>0.20950257359145963</v>
      </c>
      <c r="AF538">
        <f t="shared" si="239"/>
        <v>1.0848233270558818</v>
      </c>
      <c r="AH538">
        <f t="shared" si="240"/>
        <v>1.9732397455491803E-2</v>
      </c>
      <c r="AI538">
        <f t="shared" si="241"/>
        <v>0.75363483483747262</v>
      </c>
      <c r="AJ538">
        <f t="shared" si="242"/>
        <v>0.7339024373819808</v>
      </c>
      <c r="AK538">
        <f t="shared" si="243"/>
        <v>2.2687844048949382</v>
      </c>
      <c r="AM538" t="str">
        <f t="shared" si="244"/>
        <v/>
      </c>
      <c r="AN538" t="str">
        <f t="shared" si="244"/>
        <v/>
      </c>
      <c r="AO538" t="str">
        <f t="shared" si="245"/>
        <v/>
      </c>
      <c r="AP538" t="str">
        <f t="shared" si="246"/>
        <v/>
      </c>
      <c r="AR538">
        <f t="shared" si="247"/>
        <v>0.29114966995730451</v>
      </c>
      <c r="AS538">
        <f t="shared" si="248"/>
        <v>0.61754234803976971</v>
      </c>
      <c r="AT538">
        <f t="shared" si="249"/>
        <v>0.32639267808246519</v>
      </c>
      <c r="AU538">
        <f t="shared" si="250"/>
        <v>-0.12403153411518909</v>
      </c>
    </row>
    <row r="539" spans="1:47" x14ac:dyDescent="0.25">
      <c r="A539" s="4">
        <f>DATE(2022,7,7)</f>
        <v>44749</v>
      </c>
      <c r="B539">
        <v>-0.10315354636307578</v>
      </c>
      <c r="C539">
        <v>50.897130704558649</v>
      </c>
      <c r="D539">
        <v>0.55003956962091827</v>
      </c>
      <c r="E539">
        <f t="shared" si="224"/>
        <v>-3.1866157695793498E-2</v>
      </c>
      <c r="F539">
        <f t="shared" si="225"/>
        <v>-0.11483251252045464</v>
      </c>
      <c r="G539">
        <f t="shared" si="226"/>
        <v>-3.9970056151452209E-2</v>
      </c>
      <c r="H539" s="2" t="str">
        <f t="shared" si="227"/>
        <v>Higher</v>
      </c>
      <c r="I539" s="2" t="str">
        <f t="shared" si="228"/>
        <v>Higher</v>
      </c>
      <c r="J539" s="2" t="str">
        <f t="shared" si="229"/>
        <v>Lower</v>
      </c>
      <c r="K539" s="2" t="str">
        <f t="shared" si="230"/>
        <v>Higher</v>
      </c>
      <c r="L539" s="2" t="str">
        <f t="shared" si="231"/>
        <v>Higher</v>
      </c>
      <c r="M539" s="2" t="str">
        <f t="shared" si="232"/>
        <v>Lower</v>
      </c>
      <c r="N539" s="2" t="str">
        <f t="shared" si="233"/>
        <v>Higher</v>
      </c>
      <c r="O539" s="2" t="str">
        <f t="shared" si="234"/>
        <v>Higher</v>
      </c>
      <c r="P539" s="2" t="str">
        <f t="shared" si="235"/>
        <v>Lower</v>
      </c>
      <c r="X539" s="4">
        <f>DATE(2022,7,7)</f>
        <v>44749</v>
      </c>
      <c r="Y539">
        <v>18.659124709536794</v>
      </c>
      <c r="Z539">
        <v>83.574662208840849</v>
      </c>
      <c r="AA539">
        <v>84.515000000000001</v>
      </c>
      <c r="AB539">
        <v>183.18299999999999</v>
      </c>
      <c r="AC539">
        <f t="shared" si="236"/>
        <v>-5.7169917320162258E-2</v>
      </c>
      <c r="AD539">
        <f t="shared" si="237"/>
        <v>0.23710926450199604</v>
      </c>
      <c r="AE539">
        <f t="shared" si="238"/>
        <v>0.29427918182215829</v>
      </c>
      <c r="AF539">
        <f t="shared" si="239"/>
        <v>1.5795915968302239</v>
      </c>
      <c r="AH539">
        <f t="shared" si="240"/>
        <v>4.362250658899227E-2</v>
      </c>
      <c r="AI539">
        <f t="shared" si="241"/>
        <v>0.7692471588687767</v>
      </c>
      <c r="AJ539">
        <f t="shared" si="242"/>
        <v>0.72562465227978445</v>
      </c>
      <c r="AK539">
        <f t="shared" si="243"/>
        <v>2.2552426318421128</v>
      </c>
      <c r="AM539">
        <f t="shared" si="244"/>
        <v>6.252512804881738E-2</v>
      </c>
      <c r="AN539">
        <f t="shared" si="244"/>
        <v>0.65010364997654713</v>
      </c>
      <c r="AO539">
        <f t="shared" si="245"/>
        <v>0.58757852192772975</v>
      </c>
      <c r="AP539">
        <f t="shared" si="246"/>
        <v>1.1599400836698721</v>
      </c>
      <c r="AR539">
        <f t="shared" si="247"/>
        <v>0.31505037098672078</v>
      </c>
      <c r="AS539">
        <f t="shared" si="248"/>
        <v>0.63964297163606354</v>
      </c>
      <c r="AT539">
        <f t="shared" si="249"/>
        <v>0.32459260064934276</v>
      </c>
      <c r="AU539">
        <f t="shared" si="250"/>
        <v>-0.12946263330439098</v>
      </c>
    </row>
    <row r="540" spans="1:47" x14ac:dyDescent="0.25">
      <c r="A540" s="4">
        <f>DATE(2022,7,6)</f>
        <v>44748</v>
      </c>
      <c r="B540">
        <v>-0.11139073882918071</v>
      </c>
      <c r="C540">
        <v>47.03179595014403</v>
      </c>
      <c r="D540">
        <v>0.38345957843506756</v>
      </c>
      <c r="E540">
        <f t="shared" si="224"/>
        <v>-4.0596990119402446E-2</v>
      </c>
      <c r="F540">
        <f t="shared" si="225"/>
        <v>-0.56536802006149312</v>
      </c>
      <c r="G540">
        <f t="shared" si="226"/>
        <v>-0.61329569079269686</v>
      </c>
      <c r="H540" s="2" t="str">
        <f t="shared" si="227"/>
        <v>Lower</v>
      </c>
      <c r="I540" s="2" t="str">
        <f t="shared" si="228"/>
        <v>Higher</v>
      </c>
      <c r="J540" s="2" t="str">
        <f t="shared" si="229"/>
        <v>Lower</v>
      </c>
      <c r="K540" s="2" t="str">
        <f t="shared" si="230"/>
        <v>Higher</v>
      </c>
      <c r="L540" s="2" t="str">
        <f t="shared" si="231"/>
        <v>Higher</v>
      </c>
      <c r="M540" s="2" t="str">
        <f t="shared" si="232"/>
        <v>Lower</v>
      </c>
      <c r="N540" s="2" t="str">
        <f t="shared" si="233"/>
        <v>Higher</v>
      </c>
      <c r="O540" s="2" t="str">
        <f t="shared" si="234"/>
        <v>Higher</v>
      </c>
      <c r="P540" s="2" t="str">
        <f t="shared" si="235"/>
        <v>Lower</v>
      </c>
      <c r="X540" s="4">
        <f>DATE(2022,7,6)</f>
        <v>44748</v>
      </c>
      <c r="Y540">
        <v>17.897011409060518</v>
      </c>
      <c r="Z540">
        <v>80.975129623113389</v>
      </c>
      <c r="AA540">
        <v>83.444999999999993</v>
      </c>
      <c r="AB540">
        <v>170.999</v>
      </c>
      <c r="AC540">
        <f t="shared" si="236"/>
        <v>-5.8645313927782119E-2</v>
      </c>
      <c r="AD540">
        <f t="shared" si="237"/>
        <v>0.20296248178422147</v>
      </c>
      <c r="AE540">
        <f t="shared" si="238"/>
        <v>0.2616077957120036</v>
      </c>
      <c r="AF540">
        <f t="shared" si="239"/>
        <v>1.3951202197164345</v>
      </c>
      <c r="AH540">
        <f t="shared" si="240"/>
        <v>3.9975986616147499E-2</v>
      </c>
      <c r="AI540">
        <f t="shared" si="241"/>
        <v>0.76707118295615706</v>
      </c>
      <c r="AJ540">
        <f t="shared" si="242"/>
        <v>0.72709519634000952</v>
      </c>
      <c r="AK540">
        <f t="shared" si="243"/>
        <v>2.274742095891169</v>
      </c>
      <c r="AM540">
        <f t="shared" si="244"/>
        <v>6.9789264638958792E-2</v>
      </c>
      <c r="AN540">
        <f t="shared" si="244"/>
        <v>0.48461639513436328</v>
      </c>
      <c r="AO540">
        <f t="shared" si="245"/>
        <v>0.41482713049540448</v>
      </c>
      <c r="AP540">
        <f t="shared" si="246"/>
        <v>0.71444143441574914</v>
      </c>
      <c r="AR540">
        <f t="shared" si="247"/>
        <v>0.28782189487752818</v>
      </c>
      <c r="AS540">
        <f t="shared" si="248"/>
        <v>0.6805686542025674</v>
      </c>
      <c r="AT540">
        <f t="shared" si="249"/>
        <v>0.39274675932503922</v>
      </c>
      <c r="AU540">
        <f t="shared" si="250"/>
        <v>6.7560412147781856E-2</v>
      </c>
    </row>
    <row r="541" spans="1:47" x14ac:dyDescent="0.25">
      <c r="A541" s="4">
        <f>DATE(2022,7,5)</f>
        <v>44747</v>
      </c>
      <c r="B541">
        <v>5.1589341003086986E-2</v>
      </c>
      <c r="C541">
        <v>46.963426161421722</v>
      </c>
      <c r="D541">
        <v>0.40656885956210626</v>
      </c>
      <c r="E541">
        <f t="shared" si="224"/>
        <v>0.12824419163660186</v>
      </c>
      <c r="F541">
        <f t="shared" si="225"/>
        <v>-0.58472141045650072</v>
      </c>
      <c r="G541">
        <f t="shared" si="226"/>
        <v>-0.54744979263291427</v>
      </c>
      <c r="H541" s="2" t="str">
        <f t="shared" si="227"/>
        <v>Lower</v>
      </c>
      <c r="I541" s="2" t="str">
        <f t="shared" si="228"/>
        <v>Higher</v>
      </c>
      <c r="J541" s="2" t="str">
        <f t="shared" si="229"/>
        <v>Lower</v>
      </c>
      <c r="K541" s="2" t="str">
        <f t="shared" si="230"/>
        <v>Higher</v>
      </c>
      <c r="L541" s="2" t="str">
        <f t="shared" si="231"/>
        <v>Higher</v>
      </c>
      <c r="M541" s="2" t="str">
        <f t="shared" si="232"/>
        <v>Lower</v>
      </c>
      <c r="N541" s="2" t="str">
        <f t="shared" si="233"/>
        <v>Higher</v>
      </c>
      <c r="O541" s="2" t="str">
        <f t="shared" si="234"/>
        <v>Higher</v>
      </c>
      <c r="P541" s="2" t="str">
        <f t="shared" si="235"/>
        <v>Lower</v>
      </c>
      <c r="X541" s="4">
        <f>DATE(2022,7,5)</f>
        <v>44747</v>
      </c>
      <c r="Y541">
        <v>18.709346051329149</v>
      </c>
      <c r="Z541">
        <v>79.510609070432622</v>
      </c>
      <c r="AA541">
        <v>83.472499999999997</v>
      </c>
      <c r="AB541">
        <v>165.07300000000001</v>
      </c>
      <c r="AC541">
        <f t="shared" si="236"/>
        <v>-3.7388631152980745E-2</v>
      </c>
      <c r="AD541">
        <f t="shared" si="237"/>
        <v>0.24521198472293695</v>
      </c>
      <c r="AE541">
        <f t="shared" si="238"/>
        <v>0.28260061587591767</v>
      </c>
      <c r="AF541">
        <f t="shared" si="239"/>
        <v>1.5215194826557505</v>
      </c>
      <c r="AH541">
        <f t="shared" si="240"/>
        <v>2.3362221185801328E-2</v>
      </c>
      <c r="AI541">
        <f t="shared" si="241"/>
        <v>0.72484878449513335</v>
      </c>
      <c r="AJ541">
        <f t="shared" si="242"/>
        <v>0.70148656330933201</v>
      </c>
      <c r="AK541">
        <f t="shared" si="243"/>
        <v>2.2015262141792982</v>
      </c>
      <c r="AM541">
        <f t="shared" si="244"/>
        <v>6.0909187144818931E-2</v>
      </c>
      <c r="AN541">
        <f t="shared" si="244"/>
        <v>0.47553281118083418</v>
      </c>
      <c r="AO541">
        <f t="shared" si="245"/>
        <v>0.41462362403601527</v>
      </c>
      <c r="AP541">
        <f t="shared" si="246"/>
        <v>0.71481183792356218</v>
      </c>
      <c r="AR541">
        <f t="shared" si="247"/>
        <v>0.2844029398283931</v>
      </c>
      <c r="AS541">
        <f t="shared" si="248"/>
        <v>0.72484565797584033</v>
      </c>
      <c r="AT541">
        <f t="shared" si="249"/>
        <v>0.44044271814744723</v>
      </c>
      <c r="AU541">
        <f t="shared" si="250"/>
        <v>0.20558457650494416</v>
      </c>
    </row>
    <row r="542" spans="1:47" x14ac:dyDescent="0.25">
      <c r="A542" s="4">
        <f>DATE(2022,7,4)</f>
        <v>44746</v>
      </c>
      <c r="B542">
        <v>0.3036663140933431</v>
      </c>
      <c r="C542">
        <v>49.66361859888444</v>
      </c>
      <c r="D542">
        <v>0.55131936806282433</v>
      </c>
      <c r="E542">
        <f t="shared" si="224"/>
        <v>0.38906579783148476</v>
      </c>
      <c r="F542">
        <f t="shared" si="225"/>
        <v>-0.28955731005508673</v>
      </c>
      <c r="G542">
        <f t="shared" si="226"/>
        <v>-6.9836844811874438E-2</v>
      </c>
      <c r="H542" s="2" t="str">
        <f t="shared" si="227"/>
        <v>Lower</v>
      </c>
      <c r="I542" s="2" t="str">
        <f t="shared" si="228"/>
        <v>Higher</v>
      </c>
      <c r="J542" s="2" t="str">
        <f t="shared" si="229"/>
        <v>Lower</v>
      </c>
      <c r="K542" s="2" t="str">
        <f t="shared" si="230"/>
        <v>Higher</v>
      </c>
      <c r="L542" s="2" t="str">
        <f t="shared" si="231"/>
        <v>Higher</v>
      </c>
      <c r="M542" s="2" t="str">
        <f t="shared" si="232"/>
        <v>Lower</v>
      </c>
      <c r="N542" s="2" t="str">
        <f t="shared" si="233"/>
        <v>Higher</v>
      </c>
      <c r="O542" s="2" t="str">
        <f t="shared" si="234"/>
        <v>Higher</v>
      </c>
      <c r="P542" s="2" t="str">
        <f t="shared" si="235"/>
        <v>Lower</v>
      </c>
      <c r="X542" s="4">
        <f>DATE(2022,7,4)</f>
        <v>44746</v>
      </c>
      <c r="Y542">
        <v>19.770245792427531</v>
      </c>
      <c r="AA542">
        <v>84.942499999999995</v>
      </c>
      <c r="AC542">
        <f t="shared" si="236"/>
        <v>2.740898549153522E-3</v>
      </c>
      <c r="AD542" t="str">
        <f t="shared" si="237"/>
        <v/>
      </c>
      <c r="AE542" t="str">
        <f t="shared" si="238"/>
        <v/>
      </c>
      <c r="AF542" t="str">
        <f t="shared" si="239"/>
        <v/>
      </c>
      <c r="AH542">
        <f t="shared" si="240"/>
        <v>2.5244608806653732E-2</v>
      </c>
      <c r="AI542" t="str">
        <f t="shared" si="241"/>
        <v/>
      </c>
      <c r="AJ542" t="str">
        <f t="shared" si="242"/>
        <v/>
      </c>
      <c r="AK542" t="str">
        <f t="shared" si="243"/>
        <v/>
      </c>
      <c r="AM542">
        <f t="shared" si="244"/>
        <v>8.0118742389552647E-2</v>
      </c>
      <c r="AN542" t="str">
        <f t="shared" si="244"/>
        <v/>
      </c>
      <c r="AO542" t="str">
        <f t="shared" si="245"/>
        <v/>
      </c>
      <c r="AP542" t="str">
        <f t="shared" si="246"/>
        <v/>
      </c>
      <c r="AR542">
        <f t="shared" si="247"/>
        <v>0.27763762295047772</v>
      </c>
      <c r="AS542" t="str">
        <f t="shared" si="248"/>
        <v/>
      </c>
      <c r="AT542" t="str">
        <f t="shared" si="249"/>
        <v/>
      </c>
      <c r="AU542" t="str">
        <f t="shared" si="250"/>
        <v/>
      </c>
    </row>
    <row r="543" spans="1:47" x14ac:dyDescent="0.25">
      <c r="A543" s="4">
        <f>DATE(2022,7,1)</f>
        <v>44743</v>
      </c>
      <c r="B543">
        <v>0.5354708540085622</v>
      </c>
      <c r="C543">
        <v>51.756369219779771</v>
      </c>
      <c r="D543">
        <v>0.66366013142961899</v>
      </c>
      <c r="E543">
        <f t="shared" si="224"/>
        <v>0.62950496279434409</v>
      </c>
      <c r="F543">
        <f t="shared" si="225"/>
        <v>-6.0932946075386359E-2</v>
      </c>
      <c r="G543">
        <f t="shared" si="226"/>
        <v>0.3035430640762406</v>
      </c>
      <c r="H543" s="2" t="str">
        <f t="shared" si="227"/>
        <v>Lower</v>
      </c>
      <c r="I543" s="2" t="str">
        <f t="shared" si="228"/>
        <v>Higher</v>
      </c>
      <c r="J543" s="2" t="str">
        <f t="shared" si="229"/>
        <v>Lower</v>
      </c>
      <c r="K543" s="2" t="str">
        <f t="shared" si="230"/>
        <v>Higher</v>
      </c>
      <c r="L543" s="2" t="str">
        <f t="shared" si="231"/>
        <v>Higher</v>
      </c>
      <c r="M543" s="2" t="str">
        <f t="shared" si="232"/>
        <v>Lower</v>
      </c>
      <c r="N543" s="2" t="str">
        <f t="shared" si="233"/>
        <v>Higher</v>
      </c>
      <c r="O543" s="2" t="str">
        <f t="shared" si="234"/>
        <v>Higher</v>
      </c>
      <c r="P543" s="2" t="str">
        <f t="shared" si="235"/>
        <v>Lower</v>
      </c>
      <c r="X543" s="4">
        <f>DATE(2022,7,1)</f>
        <v>44743</v>
      </c>
      <c r="Y543">
        <v>21.448247537698133</v>
      </c>
      <c r="Z543">
        <v>74.111699179016981</v>
      </c>
      <c r="AA543">
        <v>86.63</v>
      </c>
      <c r="AB543">
        <v>147.78399999999999</v>
      </c>
      <c r="AC543">
        <f t="shared" si="236"/>
        <v>3.5692372754497804E-2</v>
      </c>
      <c r="AD543">
        <f t="shared" si="237"/>
        <v>0.13978393417221924</v>
      </c>
      <c r="AE543">
        <f t="shared" si="238"/>
        <v>0.10409156141772144</v>
      </c>
      <c r="AF543">
        <f t="shared" si="239"/>
        <v>0.48537464531401442</v>
      </c>
      <c r="AH543">
        <f t="shared" si="240"/>
        <v>-1.5571386404183158E-3</v>
      </c>
      <c r="AI543">
        <f t="shared" si="241"/>
        <v>0.57569501277299384</v>
      </c>
      <c r="AJ543">
        <f t="shared" si="242"/>
        <v>0.57725215141341213</v>
      </c>
      <c r="AK543">
        <f t="shared" si="243"/>
        <v>1.7856937990646369</v>
      </c>
      <c r="AM543">
        <f t="shared" si="244"/>
        <v>7.7527980067975399E-2</v>
      </c>
      <c r="AN543">
        <f t="shared" si="244"/>
        <v>0.35249610866291214</v>
      </c>
      <c r="AO543">
        <f t="shared" si="245"/>
        <v>0.27496812859493674</v>
      </c>
      <c r="AP543">
        <f t="shared" si="246"/>
        <v>0.35333010211564564</v>
      </c>
      <c r="AR543">
        <f t="shared" si="247"/>
        <v>0.32663963196105866</v>
      </c>
      <c r="AS543">
        <f t="shared" si="248"/>
        <v>0.74859668956593306</v>
      </c>
      <c r="AT543">
        <f t="shared" si="249"/>
        <v>0.4219570576048744</v>
      </c>
      <c r="AU543">
        <f t="shared" si="250"/>
        <v>0.15024397889339841</v>
      </c>
    </row>
    <row r="544" spans="1:47" x14ac:dyDescent="0.25">
      <c r="A544" s="4">
        <f>DATE(2022,6,30)</f>
        <v>44742</v>
      </c>
      <c r="B544">
        <v>0.75024860061648324</v>
      </c>
      <c r="C544">
        <v>62.658181635790136</v>
      </c>
      <c r="D544">
        <v>1.0830420652845929</v>
      </c>
      <c r="E544">
        <f t="shared" si="224"/>
        <v>0.85390885264049854</v>
      </c>
      <c r="F544">
        <f t="shared" si="225"/>
        <v>1.168095760983747</v>
      </c>
      <c r="G544">
        <f t="shared" si="226"/>
        <v>1.7178010005018536</v>
      </c>
      <c r="H544" s="2" t="str">
        <f t="shared" si="227"/>
        <v>Lower</v>
      </c>
      <c r="I544" s="2" t="str">
        <f t="shared" si="228"/>
        <v>Higher</v>
      </c>
      <c r="J544" s="2" t="str">
        <f t="shared" si="229"/>
        <v>Lower</v>
      </c>
      <c r="K544" s="2" t="str">
        <f t="shared" si="230"/>
        <v>Higher</v>
      </c>
      <c r="L544" s="2" t="str">
        <f t="shared" si="231"/>
        <v>Higher</v>
      </c>
      <c r="M544" s="2" t="str">
        <f t="shared" si="232"/>
        <v>Lower</v>
      </c>
      <c r="N544" s="2" t="str">
        <f t="shared" si="233"/>
        <v>Higher</v>
      </c>
      <c r="O544" s="2" t="str">
        <f t="shared" si="234"/>
        <v>Higher</v>
      </c>
      <c r="P544" s="2" t="str">
        <f t="shared" si="235"/>
        <v>Lower</v>
      </c>
      <c r="X544" s="4">
        <f>DATE(2022,6,30)</f>
        <v>44742</v>
      </c>
      <c r="Y544">
        <v>24.226435943709777</v>
      </c>
      <c r="Z544">
        <v>72.855498779486879</v>
      </c>
      <c r="AA544">
        <v>89.487499999999997</v>
      </c>
      <c r="AB544">
        <v>144.51400000000001</v>
      </c>
      <c r="AC544">
        <f t="shared" si="236"/>
        <v>6.9072694280392352E-2</v>
      </c>
      <c r="AD544">
        <f t="shared" si="237"/>
        <v>8.0421635485402085E-2</v>
      </c>
      <c r="AE544">
        <f t="shared" si="238"/>
        <v>1.1348941205009733E-2</v>
      </c>
      <c r="AF544">
        <f t="shared" si="239"/>
        <v>-5.4475146256701378E-2</v>
      </c>
      <c r="AH544">
        <f t="shared" si="240"/>
        <v>3.1241457508931088E-2</v>
      </c>
      <c r="AI544">
        <f t="shared" si="241"/>
        <v>0.5432145661841471</v>
      </c>
      <c r="AJ544">
        <f t="shared" si="242"/>
        <v>0.51197310867521606</v>
      </c>
      <c r="AK544">
        <f t="shared" si="243"/>
        <v>1.5674997394025829</v>
      </c>
      <c r="AM544">
        <f t="shared" si="244"/>
        <v>0.12269099519656244</v>
      </c>
      <c r="AN544">
        <f t="shared" si="244"/>
        <v>0.32357706454121249</v>
      </c>
      <c r="AO544">
        <f t="shared" si="245"/>
        <v>0.20088606934465003</v>
      </c>
      <c r="AP544">
        <f t="shared" si="246"/>
        <v>0.16199755032590848</v>
      </c>
      <c r="AR544">
        <f t="shared" si="247"/>
        <v>0.39406228596368581</v>
      </c>
      <c r="AS544">
        <f t="shared" si="248"/>
        <v>0.73176909991614936</v>
      </c>
      <c r="AT544">
        <f t="shared" si="249"/>
        <v>0.33770681395246355</v>
      </c>
      <c r="AU544">
        <f t="shared" si="250"/>
        <v>-9.2762632804319817E-2</v>
      </c>
    </row>
    <row r="545" spans="1:47" x14ac:dyDescent="0.25">
      <c r="A545" s="4">
        <f>DATE(2022,6,29)</f>
        <v>44741</v>
      </c>
      <c r="B545">
        <v>0.56039026401878766</v>
      </c>
      <c r="C545">
        <v>59.529942114933775</v>
      </c>
      <c r="D545">
        <v>0.99373291466525537</v>
      </c>
      <c r="E545">
        <f t="shared" si="224"/>
        <v>0.6668006475637277</v>
      </c>
      <c r="F545">
        <f t="shared" si="225"/>
        <v>0.82632780295656039</v>
      </c>
      <c r="G545">
        <f t="shared" si="226"/>
        <v>1.4500183213050177</v>
      </c>
      <c r="H545" s="2" t="str">
        <f t="shared" si="227"/>
        <v>Lower</v>
      </c>
      <c r="I545" s="2" t="str">
        <f t="shared" si="228"/>
        <v>Higher</v>
      </c>
      <c r="J545" s="2" t="str">
        <f t="shared" si="229"/>
        <v>Lower</v>
      </c>
      <c r="K545" s="2" t="str">
        <f t="shared" si="230"/>
        <v>Higher</v>
      </c>
      <c r="L545" s="2" t="str">
        <f t="shared" si="231"/>
        <v>Higher</v>
      </c>
      <c r="M545" s="2" t="str">
        <f t="shared" si="232"/>
        <v>Lower</v>
      </c>
      <c r="N545" s="2" t="str">
        <f t="shared" si="233"/>
        <v>Lower</v>
      </c>
      <c r="O545" s="2" t="str">
        <f t="shared" si="234"/>
        <v>Higher</v>
      </c>
      <c r="P545" s="2" t="str">
        <f t="shared" si="235"/>
        <v>Lower</v>
      </c>
      <c r="X545" s="4">
        <f>DATE(2022,6,29)</f>
        <v>44741</v>
      </c>
      <c r="Y545">
        <v>25.517456025501307</v>
      </c>
      <c r="Z545">
        <v>70.878864239571598</v>
      </c>
      <c r="AA545">
        <v>88.484999999999999</v>
      </c>
      <c r="AB545">
        <v>139.58799999999999</v>
      </c>
      <c r="AC545">
        <f t="shared" si="236"/>
        <v>7.0671318984156906E-2</v>
      </c>
      <c r="AD545">
        <f t="shared" si="237"/>
        <v>9.3162589256567341E-2</v>
      </c>
      <c r="AE545">
        <f t="shared" si="238"/>
        <v>2.2491270272410435E-2</v>
      </c>
      <c r="AF545">
        <f t="shared" si="239"/>
        <v>1.0331277995170231E-2</v>
      </c>
      <c r="AH545">
        <f t="shared" si="240"/>
        <v>2.9620113947592789E-2</v>
      </c>
      <c r="AI545">
        <f t="shared" si="241"/>
        <v>0.48958253740751784</v>
      </c>
      <c r="AJ545">
        <f t="shared" si="242"/>
        <v>0.45996242345992505</v>
      </c>
      <c r="AK545">
        <f t="shared" si="243"/>
        <v>1.3927472692627345</v>
      </c>
      <c r="AM545">
        <f t="shared" si="244"/>
        <v>0.13052491394221741</v>
      </c>
      <c r="AN545">
        <f t="shared" si="244"/>
        <v>0.26782157343583707</v>
      </c>
      <c r="AO545">
        <f t="shared" si="245"/>
        <v>0.13729665949361966</v>
      </c>
      <c r="AP545">
        <f t="shared" si="246"/>
        <v>-2.1729482324913153E-3</v>
      </c>
      <c r="AR545">
        <f t="shared" si="247"/>
        <v>0.38118190871860952</v>
      </c>
      <c r="AS545">
        <f t="shared" si="248"/>
        <v>0.66912365909684757</v>
      </c>
      <c r="AT545">
        <f t="shared" si="249"/>
        <v>0.28794175037823805</v>
      </c>
      <c r="AU545">
        <f t="shared" si="250"/>
        <v>-0.23651411237360612</v>
      </c>
    </row>
    <row r="546" spans="1:47" x14ac:dyDescent="0.25">
      <c r="A546" s="4">
        <f>DATE(2022,6,28)</f>
        <v>44740</v>
      </c>
      <c r="B546">
        <v>0.39417886864253499</v>
      </c>
      <c r="C546">
        <v>57.807268921468712</v>
      </c>
      <c r="D546">
        <v>0.93757227005798816</v>
      </c>
      <c r="E546">
        <f t="shared" si="224"/>
        <v>0.50187268162147636</v>
      </c>
      <c r="F546">
        <f t="shared" si="225"/>
        <v>0.63657807581874049</v>
      </c>
      <c r="G546">
        <f t="shared" si="226"/>
        <v>1.2828817492888778</v>
      </c>
      <c r="H546" s="2" t="str">
        <f t="shared" si="227"/>
        <v>Lower</v>
      </c>
      <c r="I546" s="2" t="str">
        <f t="shared" si="228"/>
        <v>Higher</v>
      </c>
      <c r="J546" s="2" t="str">
        <f t="shared" si="229"/>
        <v>Lower</v>
      </c>
      <c r="K546" s="2" t="str">
        <f t="shared" si="230"/>
        <v>Higher</v>
      </c>
      <c r="L546" s="2" t="str">
        <f t="shared" si="231"/>
        <v>Higher</v>
      </c>
      <c r="M546" s="2" t="str">
        <f t="shared" si="232"/>
        <v>Lower</v>
      </c>
      <c r="N546" s="2" t="str">
        <f t="shared" si="233"/>
        <v>Lower</v>
      </c>
      <c r="O546" s="2" t="str">
        <f t="shared" si="234"/>
        <v>Higher</v>
      </c>
      <c r="P546" s="2" t="str">
        <f t="shared" si="235"/>
        <v>Lower</v>
      </c>
      <c r="X546" s="4">
        <f>DATE(2022,6,28)</f>
        <v>44740</v>
      </c>
      <c r="Y546">
        <v>22.388657636761014</v>
      </c>
      <c r="Z546">
        <v>66.02280406877145</v>
      </c>
      <c r="AA546">
        <v>86.652500000000003</v>
      </c>
      <c r="AB546">
        <v>129.17599999999999</v>
      </c>
      <c r="AC546">
        <f t="shared" si="236"/>
        <v>2.3882952282614948E-2</v>
      </c>
      <c r="AD546">
        <f t="shared" si="237"/>
        <v>2.8392083605566987E-2</v>
      </c>
      <c r="AE546">
        <f t="shared" si="238"/>
        <v>4.5091313229520397E-3</v>
      </c>
      <c r="AF546">
        <f t="shared" si="239"/>
        <v>-9.4214695090656497E-2</v>
      </c>
      <c r="AH546">
        <f t="shared" si="240"/>
        <v>2.9483215819253408E-2</v>
      </c>
      <c r="AI546">
        <f t="shared" si="241"/>
        <v>0.31783848102318779</v>
      </c>
      <c r="AJ546">
        <f t="shared" si="242"/>
        <v>0.2883552652039344</v>
      </c>
      <c r="AK546">
        <f t="shared" si="243"/>
        <v>0.80138059590437272</v>
      </c>
      <c r="AM546">
        <f t="shared" si="244"/>
        <v>0.1036597614391849</v>
      </c>
      <c r="AN546">
        <f t="shared" si="244"/>
        <v>0.17481281431429574</v>
      </c>
      <c r="AO546">
        <f t="shared" si="245"/>
        <v>7.1153052875110839E-2</v>
      </c>
      <c r="AP546">
        <f t="shared" si="246"/>
        <v>-0.1728647843015253</v>
      </c>
      <c r="AR546">
        <f t="shared" si="247"/>
        <v>0.36104094240232854</v>
      </c>
      <c r="AS546">
        <f t="shared" si="248"/>
        <v>0.56416595752451926</v>
      </c>
      <c r="AT546">
        <f t="shared" si="249"/>
        <v>0.20312501512219072</v>
      </c>
      <c r="AU546">
        <f t="shared" si="250"/>
        <v>-0.48183616989187511</v>
      </c>
    </row>
    <row r="547" spans="1:47" x14ac:dyDescent="0.25">
      <c r="A547" s="4">
        <f>DATE(2022,6,27)</f>
        <v>44739</v>
      </c>
      <c r="B547">
        <v>0.19407055624294087</v>
      </c>
      <c r="C547">
        <v>53.234851173072869</v>
      </c>
      <c r="D547">
        <v>0.7009900987315929</v>
      </c>
      <c r="E547">
        <f t="shared" si="224"/>
        <v>0.30147105139957109</v>
      </c>
      <c r="F547">
        <f t="shared" si="225"/>
        <v>0.12016785057391145</v>
      </c>
      <c r="G547">
        <f t="shared" si="226"/>
        <v>0.48820198535418463</v>
      </c>
      <c r="H547" s="2" t="str">
        <f t="shared" si="227"/>
        <v>Lower</v>
      </c>
      <c r="I547" s="2" t="str">
        <f t="shared" si="228"/>
        <v>Higher</v>
      </c>
      <c r="J547" s="2" t="str">
        <f t="shared" si="229"/>
        <v>Lower</v>
      </c>
      <c r="K547" s="2" t="str">
        <f t="shared" si="230"/>
        <v>Lower</v>
      </c>
      <c r="L547" s="2" t="str">
        <f t="shared" si="231"/>
        <v>Higher</v>
      </c>
      <c r="M547" s="2" t="str">
        <f t="shared" si="232"/>
        <v>Lower</v>
      </c>
      <c r="N547" s="2" t="str">
        <f t="shared" si="233"/>
        <v>Lower</v>
      </c>
      <c r="O547" s="2" t="str">
        <f t="shared" si="234"/>
        <v>Higher</v>
      </c>
      <c r="P547" s="2" t="str">
        <f t="shared" si="235"/>
        <v>Lower</v>
      </c>
      <c r="X547" s="4">
        <f>DATE(2022,6,27)</f>
        <v>44739</v>
      </c>
      <c r="Y547">
        <v>19.035731394142438</v>
      </c>
      <c r="Z547">
        <v>66.301824183700248</v>
      </c>
      <c r="AA547">
        <v>84.710000000000008</v>
      </c>
      <c r="AB547">
        <v>129.459</v>
      </c>
      <c r="AC547">
        <f t="shared" si="236"/>
        <v>7.7325699701835003E-3</v>
      </c>
      <c r="AD547" t="str">
        <f t="shared" si="237"/>
        <v/>
      </c>
      <c r="AE547" t="str">
        <f t="shared" si="238"/>
        <v/>
      </c>
      <c r="AF547" t="str">
        <f t="shared" si="239"/>
        <v/>
      </c>
      <c r="AH547">
        <f t="shared" si="240"/>
        <v>8.1787927022237174E-3</v>
      </c>
      <c r="AI547" t="str">
        <f t="shared" si="241"/>
        <v/>
      </c>
      <c r="AJ547" t="str">
        <f t="shared" si="242"/>
        <v/>
      </c>
      <c r="AK547" t="str">
        <f t="shared" si="243"/>
        <v/>
      </c>
      <c r="AM547">
        <f t="shared" si="244"/>
        <v>7.7601075922965154E-2</v>
      </c>
      <c r="AN547">
        <f t="shared" si="244"/>
        <v>0.16722965583174138</v>
      </c>
      <c r="AO547">
        <f t="shared" si="245"/>
        <v>8.9628579908776221E-2</v>
      </c>
      <c r="AP547">
        <f t="shared" si="246"/>
        <v>-0.12538905524385546</v>
      </c>
      <c r="AR547">
        <f t="shared" si="247"/>
        <v>0.3411045998036672</v>
      </c>
      <c r="AS547">
        <f t="shared" si="248"/>
        <v>0.57379902287119833</v>
      </c>
      <c r="AT547">
        <f t="shared" si="249"/>
        <v>0.23269442306753113</v>
      </c>
      <c r="AU547">
        <f t="shared" si="250"/>
        <v>-0.39798476227324203</v>
      </c>
    </row>
    <row r="548" spans="1:47" x14ac:dyDescent="0.25">
      <c r="A548" s="4">
        <f>DATE(2022,6,24)</f>
        <v>44736</v>
      </c>
      <c r="B548">
        <v>0.10059641733367036</v>
      </c>
      <c r="C548">
        <v>49.748849772161627</v>
      </c>
      <c r="D548">
        <v>0.50301674513185624</v>
      </c>
      <c r="E548">
        <f t="shared" si="224"/>
        <v>0.20848353617713244</v>
      </c>
      <c r="F548">
        <f t="shared" si="225"/>
        <v>-0.27473789199777554</v>
      </c>
      <c r="G548">
        <f t="shared" si="226"/>
        <v>-0.18293961930366515</v>
      </c>
      <c r="H548" s="2" t="str">
        <f t="shared" si="227"/>
        <v>Lower</v>
      </c>
      <c r="I548" s="2" t="str">
        <f t="shared" si="228"/>
        <v>Higher</v>
      </c>
      <c r="J548" s="2" t="str">
        <f t="shared" si="229"/>
        <v>Lower</v>
      </c>
      <c r="K548" s="2" t="str">
        <f t="shared" si="230"/>
        <v>Lower</v>
      </c>
      <c r="L548" s="2" t="str">
        <f t="shared" si="231"/>
        <v>Higher</v>
      </c>
      <c r="M548" s="2" t="str">
        <f t="shared" si="232"/>
        <v>Lower</v>
      </c>
      <c r="N548" s="2" t="str">
        <f t="shared" si="233"/>
        <v>Lower</v>
      </c>
      <c r="O548" s="2" t="str">
        <f t="shared" si="234"/>
        <v>Higher</v>
      </c>
      <c r="P548" s="2" t="str">
        <f t="shared" si="235"/>
        <v>Lower</v>
      </c>
      <c r="X548" s="4">
        <f>DATE(2022,6,24)</f>
        <v>44736</v>
      </c>
      <c r="Y548">
        <v>17.274143997827441</v>
      </c>
      <c r="Z548">
        <v>65.850081116275987</v>
      </c>
      <c r="AA548">
        <v>83.592500000000001</v>
      </c>
      <c r="AB548">
        <v>128.505</v>
      </c>
      <c r="AC548">
        <f t="shared" si="236"/>
        <v>1.0976068333983437E-2</v>
      </c>
      <c r="AD548">
        <f t="shared" si="237"/>
        <v>8.750599720887664E-2</v>
      </c>
      <c r="AE548">
        <f t="shared" si="238"/>
        <v>7.652992887489321E-2</v>
      </c>
      <c r="AF548">
        <f t="shared" si="239"/>
        <v>0.32376513146036595</v>
      </c>
      <c r="AH548">
        <f t="shared" si="240"/>
        <v>-8.3687481202134022E-3</v>
      </c>
      <c r="AI548">
        <f t="shared" si="241"/>
        <v>0.39329769070330861</v>
      </c>
      <c r="AJ548">
        <f t="shared" si="242"/>
        <v>0.40166643882352199</v>
      </c>
      <c r="AK548">
        <f t="shared" si="243"/>
        <v>1.195277663876805</v>
      </c>
      <c r="AM548">
        <f t="shared" si="244"/>
        <v>6.5406200150793695E-2</v>
      </c>
      <c r="AN548">
        <f t="shared" si="244"/>
        <v>0.13035147502015823</v>
      </c>
      <c r="AO548">
        <f t="shared" si="245"/>
        <v>6.4945274869364536E-2</v>
      </c>
      <c r="AP548">
        <f t="shared" si="246"/>
        <v>-0.18904330992978149</v>
      </c>
      <c r="AR548">
        <f t="shared" si="247"/>
        <v>0.33922147392759189</v>
      </c>
      <c r="AS548">
        <f t="shared" si="248"/>
        <v>0.68223075553006607</v>
      </c>
      <c r="AT548">
        <f t="shared" si="249"/>
        <v>0.34300928160247418</v>
      </c>
      <c r="AU548">
        <f t="shared" si="250"/>
        <v>-8.0060732828514086E-2</v>
      </c>
    </row>
    <row r="549" spans="1:47" x14ac:dyDescent="0.25">
      <c r="A549" s="4">
        <f>DATE(2022,6,23)</f>
        <v>44735</v>
      </c>
      <c r="B549">
        <v>0.11144853067910132</v>
      </c>
      <c r="C549">
        <v>51.282628737959186</v>
      </c>
      <c r="D549">
        <v>0.58758949139282834</v>
      </c>
      <c r="E549">
        <f t="shared" si="224"/>
        <v>0.2205132940797149</v>
      </c>
      <c r="F549">
        <f t="shared" si="225"/>
        <v>-9.9668015561873741E-2</v>
      </c>
      <c r="G549">
        <f t="shared" si="226"/>
        <v>0.11400781284007137</v>
      </c>
      <c r="H549" s="2" t="str">
        <f t="shared" si="227"/>
        <v>Lower</v>
      </c>
      <c r="I549" s="2" t="str">
        <f t="shared" si="228"/>
        <v>Higher</v>
      </c>
      <c r="J549" s="2" t="str">
        <f t="shared" si="229"/>
        <v>Lower</v>
      </c>
      <c r="K549" s="2" t="str">
        <f t="shared" si="230"/>
        <v>Lower</v>
      </c>
      <c r="L549" s="2" t="str">
        <f t="shared" si="231"/>
        <v>Higher</v>
      </c>
      <c r="M549" s="2" t="str">
        <f t="shared" si="232"/>
        <v>Lower</v>
      </c>
      <c r="N549" s="2" t="str">
        <f t="shared" si="233"/>
        <v>Lower</v>
      </c>
      <c r="O549" s="2" t="str">
        <f t="shared" si="234"/>
        <v>Higher</v>
      </c>
      <c r="P549" s="2" t="str">
        <f t="shared" si="235"/>
        <v>Lower</v>
      </c>
      <c r="X549" s="4">
        <f>DATE(2022,6,23)</f>
        <v>44735</v>
      </c>
      <c r="Y549">
        <v>17.291545721016838</v>
      </c>
      <c r="Z549">
        <v>70.291537882106368</v>
      </c>
      <c r="AA549">
        <v>83.515000000000001</v>
      </c>
      <c r="AB549">
        <v>133.34700000000001</v>
      </c>
      <c r="AC549">
        <f t="shared" si="236"/>
        <v>-2.959156857378274E-3</v>
      </c>
      <c r="AD549">
        <f t="shared" si="237"/>
        <v>6.9742003830647631E-2</v>
      </c>
      <c r="AE549">
        <f t="shared" si="238"/>
        <v>7.2701160688025901E-2</v>
      </c>
      <c r="AF549">
        <f t="shared" si="239"/>
        <v>0.30188091366424491</v>
      </c>
      <c r="AH549">
        <f t="shared" si="240"/>
        <v>-5.3142385105213836E-3</v>
      </c>
      <c r="AI549">
        <f t="shared" si="241"/>
        <v>0.43894472310376553</v>
      </c>
      <c r="AJ549">
        <f t="shared" si="242"/>
        <v>0.44425896161428691</v>
      </c>
      <c r="AK549">
        <f t="shared" si="243"/>
        <v>1.3459898814931894</v>
      </c>
      <c r="AM549">
        <f t="shared" si="244"/>
        <v>7.8594416515822954E-2</v>
      </c>
      <c r="AN549">
        <f t="shared" si="244"/>
        <v>5.7419156401825121E-2</v>
      </c>
      <c r="AO549">
        <f t="shared" si="245"/>
        <v>-2.1175260113997833E-2</v>
      </c>
      <c r="AP549">
        <f t="shared" si="246"/>
        <v>-0.4106830222216748</v>
      </c>
      <c r="AR549">
        <f t="shared" si="247"/>
        <v>0.34001679769749049</v>
      </c>
      <c r="AS549">
        <f t="shared" si="248"/>
        <v>0.7348649531434589</v>
      </c>
      <c r="AT549">
        <f t="shared" si="249"/>
        <v>0.39484815544596841</v>
      </c>
      <c r="AU549">
        <f t="shared" si="250"/>
        <v>6.9712537541027755E-2</v>
      </c>
    </row>
    <row r="550" spans="1:47" x14ac:dyDescent="0.25">
      <c r="A550" s="4">
        <f>DATE(2022,6,22)</f>
        <v>44734</v>
      </c>
      <c r="B550">
        <v>5.1988429432281769E-2</v>
      </c>
      <c r="C550">
        <v>46.345271741819751</v>
      </c>
      <c r="D550">
        <v>0.29749479802136913</v>
      </c>
      <c r="E550">
        <f t="shared" si="224"/>
        <v>0.16208413917275491</v>
      </c>
      <c r="F550">
        <f t="shared" si="225"/>
        <v>-0.65826998148598315</v>
      </c>
      <c r="G550">
        <f t="shared" si="226"/>
        <v>-0.8632435785714071</v>
      </c>
      <c r="H550" s="2" t="str">
        <f t="shared" si="227"/>
        <v>Lower</v>
      </c>
      <c r="I550" s="2" t="str">
        <f t="shared" si="228"/>
        <v>Higher</v>
      </c>
      <c r="J550" s="2" t="str">
        <f t="shared" si="229"/>
        <v>Lower</v>
      </c>
      <c r="K550" s="2" t="str">
        <f t="shared" si="230"/>
        <v>Lower</v>
      </c>
      <c r="L550" s="2" t="str">
        <f t="shared" si="231"/>
        <v>Higher</v>
      </c>
      <c r="M550" s="2" t="str">
        <f t="shared" si="232"/>
        <v>Lower</v>
      </c>
      <c r="N550" s="2" t="str">
        <f t="shared" si="233"/>
        <v>Lower</v>
      </c>
      <c r="O550" s="2" t="str">
        <f t="shared" si="234"/>
        <v>Higher</v>
      </c>
      <c r="P550" s="2" t="str">
        <f t="shared" si="235"/>
        <v>Lower</v>
      </c>
      <c r="X550" s="4">
        <f>DATE(2022,6,22)</f>
        <v>44734</v>
      </c>
      <c r="Y550">
        <v>18.377452935667332</v>
      </c>
      <c r="Z550">
        <v>67.712229923309224</v>
      </c>
      <c r="AA550">
        <v>82.447499999999991</v>
      </c>
      <c r="AB550">
        <v>127.17100000000001</v>
      </c>
      <c r="AC550">
        <f t="shared" si="236"/>
        <v>-3.7932350945340747E-2</v>
      </c>
      <c r="AD550">
        <f t="shared" si="237"/>
        <v>5.5278048220581306E-2</v>
      </c>
      <c r="AE550">
        <f t="shared" si="238"/>
        <v>9.3210399165922053E-2</v>
      </c>
      <c r="AF550">
        <f t="shared" si="239"/>
        <v>0.42107229377205407</v>
      </c>
      <c r="AH550">
        <f t="shared" si="240"/>
        <v>1.2417971659951264E-2</v>
      </c>
      <c r="AI550">
        <f t="shared" si="241"/>
        <v>0.37654306450117742</v>
      </c>
      <c r="AJ550">
        <f t="shared" si="242"/>
        <v>0.36412509284122613</v>
      </c>
      <c r="AK550">
        <f t="shared" si="243"/>
        <v>1.0715295794546424</v>
      </c>
      <c r="AM550">
        <f t="shared" si="244"/>
        <v>4.5756473368066555E-2</v>
      </c>
      <c r="AN550">
        <f t="shared" si="244"/>
        <v>6.6661277003120606E-2</v>
      </c>
      <c r="AO550">
        <f t="shared" si="245"/>
        <v>2.0904803635054051E-2</v>
      </c>
      <c r="AP550">
        <f t="shared" si="246"/>
        <v>-0.30300876689747525</v>
      </c>
      <c r="AR550">
        <f t="shared" si="247"/>
        <v>0.31823391841323301</v>
      </c>
      <c r="AS550">
        <f t="shared" si="248"/>
        <v>0.56743005068953822</v>
      </c>
      <c r="AT550">
        <f t="shared" si="249"/>
        <v>0.24919613227630522</v>
      </c>
      <c r="AU550">
        <f t="shared" si="250"/>
        <v>-0.35110587686597816</v>
      </c>
    </row>
    <row r="551" spans="1:47" x14ac:dyDescent="0.25">
      <c r="A551" s="4">
        <f>DATE(2022,6,21)</f>
        <v>44733</v>
      </c>
      <c r="B551">
        <v>0.18609031621095745</v>
      </c>
      <c r="C551">
        <v>52.617370494417415</v>
      </c>
      <c r="D551">
        <v>0.66024595374979889</v>
      </c>
      <c r="E551">
        <f t="shared" si="224"/>
        <v>0.29669012493147062</v>
      </c>
      <c r="F551">
        <f t="shared" si="225"/>
        <v>5.2892441977676438E-2</v>
      </c>
      <c r="G551">
        <f t="shared" si="226"/>
        <v>0.37147232024631166</v>
      </c>
      <c r="H551" s="2" t="str">
        <f t="shared" si="227"/>
        <v>Lower</v>
      </c>
      <c r="I551" s="2" t="str">
        <f t="shared" si="228"/>
        <v>Higher</v>
      </c>
      <c r="J551" s="2" t="str">
        <f t="shared" si="229"/>
        <v>Lower</v>
      </c>
      <c r="K551" s="2" t="str">
        <f t="shared" si="230"/>
        <v>Lower</v>
      </c>
      <c r="L551" s="2" t="str">
        <f t="shared" si="231"/>
        <v>Higher</v>
      </c>
      <c r="M551" s="2" t="str">
        <f t="shared" si="232"/>
        <v>Lower</v>
      </c>
      <c r="N551" s="2" t="str">
        <f t="shared" si="233"/>
        <v>Lower</v>
      </c>
      <c r="O551" s="2" t="str">
        <f t="shared" si="234"/>
        <v>Higher</v>
      </c>
      <c r="P551" s="2" t="str">
        <f t="shared" si="235"/>
        <v>Lower</v>
      </c>
      <c r="X551" s="4">
        <f>DATE(2022,6,21)</f>
        <v>44733</v>
      </c>
      <c r="Y551">
        <v>19.940818199746701</v>
      </c>
      <c r="Z551">
        <v>67.018688389113478</v>
      </c>
      <c r="AA551">
        <v>84.607500000000016</v>
      </c>
      <c r="AB551">
        <v>125.56</v>
      </c>
      <c r="AC551">
        <f t="shared" si="236"/>
        <v>1.3026593913452508E-2</v>
      </c>
      <c r="AD551">
        <f t="shared" si="237"/>
        <v>0.257660467337958</v>
      </c>
      <c r="AE551">
        <f t="shared" si="238"/>
        <v>0.24463387342450549</v>
      </c>
      <c r="AF551">
        <f t="shared" si="239"/>
        <v>1.2984955894590808</v>
      </c>
      <c r="AH551">
        <f t="shared" si="240"/>
        <v>4.7656156216165355E-2</v>
      </c>
      <c r="AI551">
        <f t="shared" si="241"/>
        <v>0.38896844734478259</v>
      </c>
      <c r="AJ551">
        <f t="shared" si="242"/>
        <v>0.34131229112861722</v>
      </c>
      <c r="AK551">
        <f t="shared" si="243"/>
        <v>0.99457323159867894</v>
      </c>
      <c r="AM551">
        <f t="shared" si="244"/>
        <v>3.87704998260981E-2</v>
      </c>
      <c r="AN551">
        <f t="shared" si="244"/>
        <v>0.14713093508373967</v>
      </c>
      <c r="AO551">
        <f t="shared" si="245"/>
        <v>0.10836043525764158</v>
      </c>
      <c r="AP551">
        <f t="shared" si="246"/>
        <v>-7.8837613423938468E-2</v>
      </c>
      <c r="AR551">
        <f t="shared" si="247"/>
        <v>0.33968633167341017</v>
      </c>
      <c r="AS551">
        <f t="shared" si="248"/>
        <v>0.64892987349498099</v>
      </c>
      <c r="AT551">
        <f t="shared" si="249"/>
        <v>0.30924354182157082</v>
      </c>
      <c r="AU551">
        <f t="shared" si="250"/>
        <v>-0.1784316944403653</v>
      </c>
    </row>
    <row r="552" spans="1:47" x14ac:dyDescent="0.25">
      <c r="A552" s="4">
        <f>DATE(2022,6,20)</f>
        <v>44732</v>
      </c>
      <c r="B552">
        <v>9.8712084006746637E-2</v>
      </c>
      <c r="C552">
        <v>51.041478850557837</v>
      </c>
      <c r="D552">
        <v>0.58876923613908017</v>
      </c>
      <c r="E552">
        <f t="shared" si="224"/>
        <v>0.2116408978113426</v>
      </c>
      <c r="F552">
        <f t="shared" si="225"/>
        <v>-0.12891588131359125</v>
      </c>
      <c r="G552">
        <f t="shared" si="226"/>
        <v>0.13080203398339438</v>
      </c>
      <c r="H552" s="2" t="str">
        <f t="shared" si="227"/>
        <v>Lower</v>
      </c>
      <c r="I552" s="2" t="str">
        <f t="shared" si="228"/>
        <v>Higher</v>
      </c>
      <c r="J552" s="2" t="str">
        <f t="shared" si="229"/>
        <v>Lower</v>
      </c>
      <c r="K552" s="2" t="str">
        <f t="shared" si="230"/>
        <v>Lower</v>
      </c>
      <c r="L552" s="2" t="str">
        <f t="shared" si="231"/>
        <v>Higher</v>
      </c>
      <c r="M552" s="2" t="str">
        <f t="shared" si="232"/>
        <v>Lower</v>
      </c>
      <c r="N552" s="2" t="str">
        <f t="shared" si="233"/>
        <v>Lower</v>
      </c>
      <c r="O552" s="2" t="str">
        <f t="shared" si="234"/>
        <v>Higher</v>
      </c>
      <c r="P552" s="2" t="str">
        <f t="shared" si="235"/>
        <v>Lower</v>
      </c>
      <c r="X552" s="4">
        <f>DATE(2022,6,20)</f>
        <v>44732</v>
      </c>
      <c r="Y552">
        <v>20.569183902978061</v>
      </c>
      <c r="AA552">
        <v>84.057500000000005</v>
      </c>
      <c r="AC552">
        <f t="shared" si="236"/>
        <v>3.3570347242102352E-2</v>
      </c>
      <c r="AD552" t="str">
        <f t="shared" si="237"/>
        <v/>
      </c>
      <c r="AE552" t="str">
        <f t="shared" si="238"/>
        <v/>
      </c>
      <c r="AF552" t="str">
        <f t="shared" si="239"/>
        <v/>
      </c>
      <c r="AH552">
        <f t="shared" si="240"/>
        <v>5.9619491106634157E-2</v>
      </c>
      <c r="AI552" t="str">
        <f t="shared" si="241"/>
        <v/>
      </c>
      <c r="AJ552" t="str">
        <f t="shared" si="242"/>
        <v/>
      </c>
      <c r="AK552" t="str">
        <f t="shared" si="243"/>
        <v/>
      </c>
      <c r="AM552">
        <f t="shared" si="244"/>
        <v>4.4860116248648954E-2</v>
      </c>
      <c r="AN552" t="str">
        <f t="shared" si="244"/>
        <v/>
      </c>
      <c r="AO552" t="str">
        <f t="shared" si="245"/>
        <v/>
      </c>
      <c r="AP552" t="str">
        <f t="shared" si="246"/>
        <v/>
      </c>
      <c r="AR552">
        <f t="shared" si="247"/>
        <v>0.31372487093500256</v>
      </c>
      <c r="AS552" t="str">
        <f t="shared" si="248"/>
        <v/>
      </c>
      <c r="AT552" t="str">
        <f t="shared" si="249"/>
        <v/>
      </c>
      <c r="AU552" t="str">
        <f t="shared" si="250"/>
        <v/>
      </c>
    </row>
    <row r="553" spans="1:47" x14ac:dyDescent="0.25">
      <c r="A553" s="4">
        <f>DATE(2022,6,17)</f>
        <v>44729</v>
      </c>
      <c r="B553">
        <v>3.0466169814055477E-2</v>
      </c>
      <c r="C553">
        <v>47.415298773092196</v>
      </c>
      <c r="D553">
        <v>0.43269112380813807</v>
      </c>
      <c r="E553">
        <f t="shared" si="224"/>
        <v>0.1541066003217901</v>
      </c>
      <c r="F553">
        <f t="shared" si="225"/>
        <v>-0.54499484311884705</v>
      </c>
      <c r="G553">
        <f t="shared" si="226"/>
        <v>-0.39965361361254659</v>
      </c>
      <c r="H553" s="2" t="str">
        <f t="shared" si="227"/>
        <v>Lower</v>
      </c>
      <c r="I553" s="2" t="str">
        <f t="shared" si="228"/>
        <v>Higher</v>
      </c>
      <c r="J553" s="2" t="str">
        <f t="shared" si="229"/>
        <v>Lower</v>
      </c>
      <c r="K553" s="2" t="str">
        <f t="shared" si="230"/>
        <v>Lower</v>
      </c>
      <c r="L553" s="2" t="str">
        <f t="shared" si="231"/>
        <v>Higher</v>
      </c>
      <c r="M553" s="2" t="str">
        <f t="shared" si="232"/>
        <v>Lower</v>
      </c>
      <c r="N553" s="2" t="str">
        <f t="shared" si="233"/>
        <v>Lower</v>
      </c>
      <c r="O553" s="2" t="str">
        <f t="shared" si="234"/>
        <v>Higher</v>
      </c>
      <c r="P553" s="2" t="str">
        <f t="shared" si="235"/>
        <v>Lower</v>
      </c>
      <c r="X553" s="4">
        <f>DATE(2022,6,17)</f>
        <v>44729</v>
      </c>
      <c r="Y553">
        <v>19.352915952443858</v>
      </c>
      <c r="Z553">
        <v>63.481950791970313</v>
      </c>
      <c r="AA553">
        <v>82.68</v>
      </c>
      <c r="AB553">
        <v>117.738</v>
      </c>
      <c r="AC553">
        <f t="shared" si="236"/>
        <v>1.2321608907379088E-2</v>
      </c>
      <c r="AD553">
        <f t="shared" si="237"/>
        <v>0.35609998240528579</v>
      </c>
      <c r="AE553">
        <f t="shared" si="238"/>
        <v>0.34377837349790669</v>
      </c>
      <c r="AF553">
        <f t="shared" si="239"/>
        <v>1.8764396865860264</v>
      </c>
      <c r="AH553">
        <f t="shared" si="240"/>
        <v>1.7016237127380384E-2</v>
      </c>
      <c r="AI553">
        <f t="shared" si="241"/>
        <v>0.29223925931440231</v>
      </c>
      <c r="AJ553">
        <f t="shared" si="242"/>
        <v>0.27522302218702194</v>
      </c>
      <c r="AK553">
        <f t="shared" si="243"/>
        <v>0.76659020029209501</v>
      </c>
      <c r="AM553">
        <f t="shared" si="244"/>
        <v>5.3504634295867305E-2</v>
      </c>
      <c r="AN553">
        <f t="shared" si="244"/>
        <v>0.15068147417247382</v>
      </c>
      <c r="AO553">
        <f t="shared" si="245"/>
        <v>9.7176839876606524E-2</v>
      </c>
      <c r="AP553">
        <f t="shared" si="246"/>
        <v>-0.10829286392655629</v>
      </c>
      <c r="AR553">
        <f t="shared" si="247"/>
        <v>0.29760861710179243</v>
      </c>
      <c r="AS553">
        <f t="shared" si="248"/>
        <v>0.71840880278626484</v>
      </c>
      <c r="AT553">
        <f t="shared" si="249"/>
        <v>0.42080018568447242</v>
      </c>
      <c r="AU553">
        <f t="shared" si="250"/>
        <v>0.14168446064061721</v>
      </c>
    </row>
    <row r="554" spans="1:47" x14ac:dyDescent="0.25">
      <c r="A554" s="4">
        <f>DATE(2022,6,16)</f>
        <v>44728</v>
      </c>
      <c r="B554">
        <v>9.0448156123147383E-2</v>
      </c>
      <c r="C554">
        <v>48.710116901231039</v>
      </c>
      <c r="D554">
        <v>0.51156464734203855</v>
      </c>
      <c r="E554">
        <f t="shared" si="224"/>
        <v>0.22225543309533224</v>
      </c>
      <c r="F554">
        <f t="shared" si="225"/>
        <v>-0.39710456336365996</v>
      </c>
      <c r="G554">
        <f t="shared" si="226"/>
        <v>-0.12611920363769394</v>
      </c>
      <c r="H554" s="2" t="str">
        <f t="shared" si="227"/>
        <v>Lower</v>
      </c>
      <c r="I554" s="2" t="str">
        <f t="shared" si="228"/>
        <v>Higher</v>
      </c>
      <c r="J554" s="2" t="str">
        <f t="shared" si="229"/>
        <v>Lower</v>
      </c>
      <c r="K554" s="2" t="str">
        <f t="shared" si="230"/>
        <v>Lower</v>
      </c>
      <c r="L554" s="2" t="str">
        <f t="shared" si="231"/>
        <v>Higher</v>
      </c>
      <c r="M554" s="2" t="str">
        <f t="shared" si="232"/>
        <v>Lower</v>
      </c>
      <c r="N554" s="2" t="str">
        <f t="shared" si="233"/>
        <v>Lower</v>
      </c>
      <c r="O554" s="2" t="str">
        <f t="shared" si="234"/>
        <v>Higher</v>
      </c>
      <c r="P554" s="2" t="str">
        <f t="shared" si="235"/>
        <v>Lower</v>
      </c>
      <c r="X554" s="4">
        <f>DATE(2022,6,16)</f>
        <v>44728</v>
      </c>
      <c r="Y554">
        <v>20.364445328498963</v>
      </c>
      <c r="Z554">
        <v>69.329944821402904</v>
      </c>
      <c r="AA554">
        <v>83.762500000000003</v>
      </c>
      <c r="AB554">
        <v>124.364</v>
      </c>
      <c r="AC554">
        <f t="shared" si="236"/>
        <v>3.467888648614028E-2</v>
      </c>
      <c r="AD554">
        <f t="shared" si="237"/>
        <v>0.3819742550507309</v>
      </c>
      <c r="AE554">
        <f t="shared" si="238"/>
        <v>0.34729536856459065</v>
      </c>
      <c r="AF554">
        <f t="shared" si="239"/>
        <v>1.9058585852602312</v>
      </c>
      <c r="AH554">
        <f t="shared" si="240"/>
        <v>8.9339843535375697E-3</v>
      </c>
      <c r="AI554">
        <f t="shared" si="241"/>
        <v>0.31208954134816702</v>
      </c>
      <c r="AJ554">
        <f t="shared" si="242"/>
        <v>0.30315555699462943</v>
      </c>
      <c r="AK554">
        <f t="shared" si="243"/>
        <v>0.86472905060859551</v>
      </c>
      <c r="AM554">
        <f t="shared" si="244"/>
        <v>7.2495277629971211E-2</v>
      </c>
      <c r="AN554">
        <f t="shared" si="244"/>
        <v>9.8430091041077514E-2</v>
      </c>
      <c r="AO554">
        <f t="shared" si="245"/>
        <v>2.5934813411106303E-2</v>
      </c>
      <c r="AP554">
        <f t="shared" si="246"/>
        <v>-0.29079322388318019</v>
      </c>
      <c r="AR554">
        <f t="shared" si="247"/>
        <v>0.29082085389426032</v>
      </c>
      <c r="AS554">
        <f t="shared" si="248"/>
        <v>0.79286463299905896</v>
      </c>
      <c r="AT554">
        <f t="shared" si="249"/>
        <v>0.50204377910479869</v>
      </c>
      <c r="AU554">
        <f t="shared" si="250"/>
        <v>0.37662809910664902</v>
      </c>
    </row>
    <row r="555" spans="1:47" x14ac:dyDescent="0.25">
      <c r="A555" s="4">
        <f>DATE(2022,6,15)</f>
        <v>44727</v>
      </c>
      <c r="B555">
        <v>0.11999694908631348</v>
      </c>
      <c r="C555">
        <v>55.91152388801283</v>
      </c>
      <c r="D555">
        <v>0.84846729927441655</v>
      </c>
      <c r="E555">
        <f t="shared" si="224"/>
        <v>0.25410439030920007</v>
      </c>
      <c r="F555">
        <f t="shared" si="225"/>
        <v>0.40722613471387903</v>
      </c>
      <c r="G555">
        <f t="shared" si="226"/>
        <v>1.0072169863705704</v>
      </c>
      <c r="H555" s="2" t="str">
        <f t="shared" si="227"/>
        <v>Lower</v>
      </c>
      <c r="I555" s="2" t="str">
        <f t="shared" si="228"/>
        <v>Higher</v>
      </c>
      <c r="J555" s="2" t="str">
        <f t="shared" si="229"/>
        <v>Lower</v>
      </c>
      <c r="K555" s="2" t="str">
        <f t="shared" si="230"/>
        <v>Lower</v>
      </c>
      <c r="L555" s="2" t="str">
        <f t="shared" si="231"/>
        <v>Higher</v>
      </c>
      <c r="M555" s="2" t="str">
        <f t="shared" si="232"/>
        <v>Lower</v>
      </c>
      <c r="N555" s="2" t="str">
        <f t="shared" si="233"/>
        <v>Lower</v>
      </c>
      <c r="O555" s="2" t="str">
        <f t="shared" si="234"/>
        <v>Higher</v>
      </c>
      <c r="P555" s="2" t="str">
        <f t="shared" si="235"/>
        <v>Lower</v>
      </c>
      <c r="X555" s="4">
        <f>DATE(2022,6,15)</f>
        <v>44727</v>
      </c>
      <c r="Y555">
        <v>22.548598143342026</v>
      </c>
      <c r="Z555">
        <v>67.645859395445783</v>
      </c>
      <c r="AA555">
        <v>85.634999999999991</v>
      </c>
      <c r="AB555">
        <v>120.33199999999999</v>
      </c>
      <c r="AC555">
        <f t="shared" si="236"/>
        <v>6.5882332505113494E-2</v>
      </c>
      <c r="AD555">
        <f t="shared" si="237"/>
        <v>0.41566806369478693</v>
      </c>
      <c r="AE555">
        <f t="shared" si="238"/>
        <v>0.34978573118967343</v>
      </c>
      <c r="AF555">
        <f t="shared" si="239"/>
        <v>1.9297506237500894</v>
      </c>
      <c r="AH555">
        <f t="shared" si="240"/>
        <v>1.4315139972157257E-3</v>
      </c>
      <c r="AI555">
        <f t="shared" si="241"/>
        <v>0.23614351456712096</v>
      </c>
      <c r="AJ555">
        <f t="shared" si="242"/>
        <v>0.23471200056990524</v>
      </c>
      <c r="AK555">
        <f t="shared" si="243"/>
        <v>0.62867319055372028</v>
      </c>
      <c r="AM555">
        <f t="shared" si="244"/>
        <v>9.8687746344561164E-2</v>
      </c>
      <c r="AN555">
        <f t="shared" si="244"/>
        <v>2.8072107501196212E-2</v>
      </c>
      <c r="AO555">
        <f t="shared" si="245"/>
        <v>-7.0615638843364956E-2</v>
      </c>
      <c r="AP555">
        <f t="shared" si="246"/>
        <v>-0.53801787804867296</v>
      </c>
      <c r="AR555">
        <f t="shared" si="247"/>
        <v>0.31416780999573424</v>
      </c>
      <c r="AS555">
        <f t="shared" si="248"/>
        <v>0.78423590397875387</v>
      </c>
      <c r="AT555">
        <f t="shared" si="249"/>
        <v>0.47006809398301963</v>
      </c>
      <c r="AU555">
        <f t="shared" si="250"/>
        <v>0.28458664070315531</v>
      </c>
    </row>
    <row r="556" spans="1:47" x14ac:dyDescent="0.25">
      <c r="A556" s="4">
        <f>DATE(2022,6,14)</f>
        <v>44726</v>
      </c>
      <c r="B556">
        <v>-0.16282421308712419</v>
      </c>
      <c r="C556">
        <v>51.660291732692784</v>
      </c>
      <c r="D556">
        <v>0.6455412094046008</v>
      </c>
      <c r="E556">
        <f t="shared" si="224"/>
        <v>-2.1166037381193829E-2</v>
      </c>
      <c r="F556">
        <f t="shared" si="225"/>
        <v>-7.6815279285868912E-2</v>
      </c>
      <c r="G556">
        <f t="shared" si="226"/>
        <v>0.32641442839734819</v>
      </c>
      <c r="H556" s="2" t="str">
        <f t="shared" si="227"/>
        <v>Lower</v>
      </c>
      <c r="I556" s="2" t="str">
        <f t="shared" si="228"/>
        <v>Higher</v>
      </c>
      <c r="J556" s="2" t="str">
        <f t="shared" si="229"/>
        <v>Lower</v>
      </c>
      <c r="K556" s="2" t="str">
        <f t="shared" si="230"/>
        <v>Lower</v>
      </c>
      <c r="L556" s="2" t="str">
        <f t="shared" si="231"/>
        <v>Higher</v>
      </c>
      <c r="M556" s="2" t="str">
        <f t="shared" si="232"/>
        <v>Lower</v>
      </c>
      <c r="N556" s="2" t="str">
        <f t="shared" si="233"/>
        <v>Lower</v>
      </c>
      <c r="O556" s="2" t="str">
        <f t="shared" si="234"/>
        <v>Higher</v>
      </c>
      <c r="P556" s="2" t="str">
        <f t="shared" si="235"/>
        <v>Lower</v>
      </c>
      <c r="X556" s="4">
        <f>DATE(2022,6,14)</f>
        <v>44726</v>
      </c>
      <c r="Y556">
        <v>18.859343417030825</v>
      </c>
      <c r="Z556">
        <v>54.136989641964419</v>
      </c>
      <c r="AA556">
        <v>83.512500000000003</v>
      </c>
      <c r="AB556">
        <v>97.04</v>
      </c>
      <c r="AC556">
        <f t="shared" si="236"/>
        <v>2.3841306142714621E-2</v>
      </c>
      <c r="AD556">
        <f t="shared" si="237"/>
        <v>0.1935842488286714</v>
      </c>
      <c r="AE556">
        <f t="shared" si="238"/>
        <v>0.16974294268595677</v>
      </c>
      <c r="AF556">
        <f t="shared" si="239"/>
        <v>0.88697551546864739</v>
      </c>
      <c r="AH556">
        <f t="shared" si="240"/>
        <v>-9.0796053585279035E-2</v>
      </c>
      <c r="AI556">
        <f t="shared" si="241"/>
        <v>2.9968511057689936E-2</v>
      </c>
      <c r="AJ556">
        <f t="shared" si="242"/>
        <v>0.12076456464296897</v>
      </c>
      <c r="AK556">
        <f t="shared" si="243"/>
        <v>0.23433576275748516</v>
      </c>
      <c r="AM556">
        <f t="shared" si="244"/>
        <v>3.8759810554191088E-2</v>
      </c>
      <c r="AN556">
        <f t="shared" si="244"/>
        <v>-1.1223364610084302E-2</v>
      </c>
      <c r="AO556">
        <f t="shared" si="245"/>
        <v>-4.998317516427539E-2</v>
      </c>
      <c r="AP556">
        <f t="shared" si="246"/>
        <v>-0.48596764537515336</v>
      </c>
      <c r="AR556">
        <f t="shared" si="247"/>
        <v>0.29596856846864966</v>
      </c>
      <c r="AS556">
        <f t="shared" si="248"/>
        <v>0.59878363768797682</v>
      </c>
      <c r="AT556">
        <f t="shared" si="249"/>
        <v>0.30281506921932716</v>
      </c>
      <c r="AU556">
        <f t="shared" si="250"/>
        <v>-0.19724472363986251</v>
      </c>
    </row>
    <row r="557" spans="1:47" x14ac:dyDescent="0.25">
      <c r="A557" s="4">
        <f>DATE(2022,6,13)</f>
        <v>44725</v>
      </c>
      <c r="B557">
        <v>-0.38538149939548727</v>
      </c>
      <c r="C557">
        <v>45.440510302577572</v>
      </c>
      <c r="D557">
        <v>0.36116580585009023</v>
      </c>
      <c r="E557">
        <f t="shared" si="224"/>
        <v>-0.24241029184171053</v>
      </c>
      <c r="F557">
        <f t="shared" si="225"/>
        <v>-0.78416625330445544</v>
      </c>
      <c r="G557">
        <f t="shared" si="226"/>
        <v>-0.63965859697442828</v>
      </c>
      <c r="H557" s="2" t="str">
        <f t="shared" si="227"/>
        <v>Lower</v>
      </c>
      <c r="I557" s="2" t="str">
        <f t="shared" si="228"/>
        <v>Higher</v>
      </c>
      <c r="J557" s="2" t="str">
        <f t="shared" si="229"/>
        <v>Lower</v>
      </c>
      <c r="K557" s="2" t="str">
        <f t="shared" si="230"/>
        <v>Lower</v>
      </c>
      <c r="L557" s="2" t="str">
        <f t="shared" si="231"/>
        <v>Higher</v>
      </c>
      <c r="M557" s="2" t="str">
        <f t="shared" si="232"/>
        <v>Lower</v>
      </c>
      <c r="N557" s="2" t="str">
        <f t="shared" si="233"/>
        <v>Lower</v>
      </c>
      <c r="O557" s="2" t="str">
        <f t="shared" si="234"/>
        <v>Higher</v>
      </c>
      <c r="P557" s="2" t="str">
        <f t="shared" si="235"/>
        <v>Lower</v>
      </c>
      <c r="X557" s="4">
        <f>DATE(2022,6,13)</f>
        <v>44725</v>
      </c>
      <c r="Y557">
        <v>15.115958161160378</v>
      </c>
      <c r="Z557">
        <v>40.667884584702584</v>
      </c>
      <c r="AA557">
        <v>81.282499999999999</v>
      </c>
      <c r="AB557">
        <v>83.402000000000001</v>
      </c>
      <c r="AC557">
        <f t="shared" si="236"/>
        <v>-1.8799206954785794E-2</v>
      </c>
      <c r="AD557">
        <f t="shared" si="237"/>
        <v>8.8185347041119556E-3</v>
      </c>
      <c r="AE557">
        <f t="shared" si="238"/>
        <v>2.761774165889775E-2</v>
      </c>
      <c r="AF557">
        <f t="shared" si="239"/>
        <v>5.7939319342723235E-2</v>
      </c>
      <c r="AH557">
        <f t="shared" si="240"/>
        <v>-9.379075224933843E-2</v>
      </c>
      <c r="AI557">
        <f t="shared" si="241"/>
        <v>-0.10742069269926205</v>
      </c>
      <c r="AJ557">
        <f t="shared" si="242"/>
        <v>-1.3629940449923619E-2</v>
      </c>
      <c r="AK557">
        <f t="shared" si="243"/>
        <v>-0.23101010577464307</v>
      </c>
      <c r="AM557">
        <f t="shared" si="244"/>
        <v>3.4704736021009749E-2</v>
      </c>
      <c r="AN557">
        <f t="shared" si="244"/>
        <v>-0.15007430621784448</v>
      </c>
      <c r="AO557">
        <f t="shared" si="245"/>
        <v>-0.18477904223885422</v>
      </c>
      <c r="AP557">
        <f t="shared" si="246"/>
        <v>-0.83075414066775766</v>
      </c>
      <c r="AR557">
        <f t="shared" si="247"/>
        <v>0.26592918783197456</v>
      </c>
      <c r="AS557" t="str">
        <f t="shared" si="248"/>
        <v/>
      </c>
      <c r="AT557" t="str">
        <f t="shared" si="249"/>
        <v/>
      </c>
      <c r="AU557" t="str">
        <f t="shared" si="250"/>
        <v/>
      </c>
    </row>
    <row r="558" spans="1:47" x14ac:dyDescent="0.25">
      <c r="A558" s="4">
        <f>DATE(2022,6,10)</f>
        <v>44722</v>
      </c>
      <c r="B558">
        <v>-0.43675053513000278</v>
      </c>
      <c r="C558">
        <v>46.116008984093796</v>
      </c>
      <c r="D558">
        <v>0.36668502385882584</v>
      </c>
      <c r="E558">
        <f t="shared" si="224"/>
        <v>-0.30093139995176221</v>
      </c>
      <c r="F558">
        <f t="shared" si="225"/>
        <v>-0.72111595794671768</v>
      </c>
      <c r="G558">
        <f t="shared" si="226"/>
        <v>-0.63115559296201729</v>
      </c>
      <c r="H558" s="2" t="str">
        <f t="shared" si="227"/>
        <v>Lower</v>
      </c>
      <c r="I558" s="2" t="str">
        <f t="shared" si="228"/>
        <v>Lower</v>
      </c>
      <c r="J558" s="2" t="str">
        <f t="shared" si="229"/>
        <v>Lower</v>
      </c>
      <c r="K558" s="2" t="str">
        <f t="shared" si="230"/>
        <v>Lower</v>
      </c>
      <c r="L558" s="2" t="str">
        <f t="shared" si="231"/>
        <v>Higher</v>
      </c>
      <c r="M558" s="2" t="str">
        <f t="shared" si="232"/>
        <v>Lower</v>
      </c>
      <c r="N558" s="2" t="str">
        <f t="shared" si="233"/>
        <v>Lower</v>
      </c>
      <c r="O558" s="2" t="str">
        <f t="shared" si="234"/>
        <v>Higher</v>
      </c>
      <c r="P558" s="2" t="str">
        <f t="shared" si="235"/>
        <v>Lower</v>
      </c>
      <c r="X558" s="4">
        <f>DATE(2022,6,10)</f>
        <v>44722</v>
      </c>
      <c r="Y558">
        <v>15.933048265462219</v>
      </c>
      <c r="Z558">
        <v>39.533757693280833</v>
      </c>
      <c r="AA558">
        <v>81.66749999999999</v>
      </c>
      <c r="AB558">
        <v>82.463999999999999</v>
      </c>
      <c r="AC558">
        <f t="shared" si="236"/>
        <v>-6.0547188636278601E-2</v>
      </c>
      <c r="AD558">
        <f t="shared" si="237"/>
        <v>-7.6949010133877845E-3</v>
      </c>
      <c r="AE558">
        <f t="shared" si="238"/>
        <v>5.285228762289082E-2</v>
      </c>
      <c r="AF558">
        <f t="shared" si="239"/>
        <v>0.2053093459322558</v>
      </c>
      <c r="AH558">
        <f t="shared" si="240"/>
        <v>-8.3336302252572422E-2</v>
      </c>
      <c r="AI558">
        <f t="shared" si="241"/>
        <v>-0.16112158676950458</v>
      </c>
      <c r="AJ558">
        <f t="shared" si="242"/>
        <v>-7.778528451693216E-2</v>
      </c>
      <c r="AK558">
        <f t="shared" si="243"/>
        <v>-0.45324386075642048</v>
      </c>
      <c r="AM558">
        <f t="shared" si="244"/>
        <v>3.2891867804507119E-2</v>
      </c>
      <c r="AN558">
        <f t="shared" si="244"/>
        <v>-0.24201747553068353</v>
      </c>
      <c r="AO558">
        <f t="shared" si="245"/>
        <v>-0.27490934333519068</v>
      </c>
      <c r="AP558">
        <f t="shared" si="246"/>
        <v>-1.0623801358955705</v>
      </c>
      <c r="AR558">
        <f t="shared" si="247"/>
        <v>0.28276565671634929</v>
      </c>
      <c r="AS558">
        <f t="shared" si="248"/>
        <v>0.46666230268242448</v>
      </c>
      <c r="AT558">
        <f t="shared" si="249"/>
        <v>0.18389664596607519</v>
      </c>
      <c r="AU558">
        <f t="shared" si="250"/>
        <v>-0.54270736003409814</v>
      </c>
    </row>
    <row r="559" spans="1:47" x14ac:dyDescent="0.25">
      <c r="A559" s="4">
        <f>DATE(2022,6,9)</f>
        <v>44721</v>
      </c>
      <c r="B559">
        <v>-0.51042883900352753</v>
      </c>
      <c r="C559">
        <v>44.064969542566189</v>
      </c>
      <c r="D559">
        <v>0.28540860441026777</v>
      </c>
      <c r="E559">
        <f t="shared" si="224"/>
        <v>-0.3841452709160198</v>
      </c>
      <c r="F559">
        <f t="shared" si="225"/>
        <v>-0.96296960752548466</v>
      </c>
      <c r="G559">
        <f t="shared" si="226"/>
        <v>-0.91799500436070081</v>
      </c>
      <c r="H559" s="2" t="str">
        <f t="shared" si="227"/>
        <v>Lower</v>
      </c>
      <c r="I559" s="2" t="str">
        <f t="shared" si="228"/>
        <v>Lower</v>
      </c>
      <c r="J559" s="2" t="str">
        <f t="shared" si="229"/>
        <v>Lower</v>
      </c>
      <c r="K559" s="2" t="str">
        <f t="shared" si="230"/>
        <v>Lower</v>
      </c>
      <c r="L559" s="2" t="str">
        <f t="shared" si="231"/>
        <v>Higher</v>
      </c>
      <c r="M559" s="2" t="str">
        <f t="shared" si="232"/>
        <v>Lower</v>
      </c>
      <c r="N559" s="2" t="str">
        <f t="shared" si="233"/>
        <v>Lower</v>
      </c>
      <c r="O559" s="2" t="str">
        <f t="shared" si="234"/>
        <v>Higher</v>
      </c>
      <c r="P559" s="2" t="str">
        <f t="shared" si="235"/>
        <v>Lower</v>
      </c>
      <c r="X559" s="4">
        <f>DATE(2022,6,9)</f>
        <v>44721</v>
      </c>
      <c r="Y559">
        <v>15.54457870370741</v>
      </c>
      <c r="Z559">
        <v>41.427686873668677</v>
      </c>
      <c r="AA559">
        <v>80.907499999999999</v>
      </c>
      <c r="AB559">
        <v>84.88</v>
      </c>
      <c r="AC559">
        <f t="shared" si="236"/>
        <v>-6.9550966400223374E-2</v>
      </c>
      <c r="AD559">
        <f t="shared" si="237"/>
        <v>1.1076671817366232E-2</v>
      </c>
      <c r="AE559">
        <f t="shared" si="238"/>
        <v>8.0627638217589601E-2</v>
      </c>
      <c r="AF559">
        <f t="shared" si="239"/>
        <v>0.36748630567931834</v>
      </c>
      <c r="AH559">
        <f t="shared" si="240"/>
        <v>-8.4825426004219148E-2</v>
      </c>
      <c r="AI559">
        <f t="shared" si="241"/>
        <v>-0.22879203602929013</v>
      </c>
      <c r="AJ559">
        <f t="shared" si="242"/>
        <v>-0.143966610025071</v>
      </c>
      <c r="AK559">
        <f t="shared" si="243"/>
        <v>-0.68258668297307667</v>
      </c>
      <c r="AM559">
        <f t="shared" si="244"/>
        <v>2.2941373676071686E-2</v>
      </c>
      <c r="AN559">
        <f t="shared" si="244"/>
        <v>-0.22635234672392748</v>
      </c>
      <c r="AO559">
        <f t="shared" si="245"/>
        <v>-0.24929372039999917</v>
      </c>
      <c r="AP559">
        <f t="shared" si="246"/>
        <v>-0.99954808464181377</v>
      </c>
      <c r="AR559">
        <f t="shared" si="247"/>
        <v>0.28104018995712576</v>
      </c>
      <c r="AS559">
        <f t="shared" si="248"/>
        <v>0.49896760371986321</v>
      </c>
      <c r="AT559">
        <f t="shared" si="249"/>
        <v>0.21792741376273744</v>
      </c>
      <c r="AU559">
        <f t="shared" si="250"/>
        <v>-0.44652424288364911</v>
      </c>
    </row>
    <row r="560" spans="1:47" x14ac:dyDescent="0.25">
      <c r="A560" s="4">
        <f>DATE(2022,6,8)</f>
        <v>44720</v>
      </c>
      <c r="B560">
        <v>-0.49599929175715246</v>
      </c>
      <c r="C560">
        <v>41.127408205942722</v>
      </c>
      <c r="D560">
        <v>0.17590591555588592</v>
      </c>
      <c r="E560">
        <f t="shared" si="224"/>
        <v>-0.38259283634535951</v>
      </c>
      <c r="F560">
        <f t="shared" si="225"/>
        <v>-1.306515777136253</v>
      </c>
      <c r="G560">
        <f t="shared" si="226"/>
        <v>-1.3037883865510826</v>
      </c>
      <c r="H560" s="2" t="str">
        <f t="shared" si="227"/>
        <v>Lower</v>
      </c>
      <c r="I560" s="2" t="str">
        <f t="shared" si="228"/>
        <v>Lower</v>
      </c>
      <c r="J560" s="2" t="str">
        <f t="shared" si="229"/>
        <v>Lower</v>
      </c>
      <c r="K560" s="2" t="str">
        <f t="shared" si="230"/>
        <v>Lower</v>
      </c>
      <c r="L560" s="2" t="str">
        <f t="shared" si="231"/>
        <v>Higher</v>
      </c>
      <c r="M560" s="2" t="str">
        <f t="shared" si="232"/>
        <v>Lower</v>
      </c>
      <c r="N560" s="2" t="str">
        <f t="shared" si="233"/>
        <v>Lower</v>
      </c>
      <c r="O560" s="2" t="str">
        <f t="shared" si="234"/>
        <v>Higher</v>
      </c>
      <c r="P560" s="2" t="str">
        <f t="shared" si="235"/>
        <v>Lower</v>
      </c>
      <c r="X560" s="4">
        <f>DATE(2022,6,8)</f>
        <v>44720</v>
      </c>
      <c r="Y560">
        <v>16.004230415571794</v>
      </c>
      <c r="Z560">
        <v>34.863756362454801</v>
      </c>
      <c r="AA560">
        <v>80.174999999999997</v>
      </c>
      <c r="AB560">
        <v>79.406999999999996</v>
      </c>
      <c r="AC560">
        <f t="shared" si="236"/>
        <v>-6.9001186596336861E-2</v>
      </c>
      <c r="AD560">
        <f t="shared" si="237"/>
        <v>-7.452616376441773E-2</v>
      </c>
      <c r="AE560">
        <f t="shared" si="238"/>
        <v>-5.524977168080869E-3</v>
      </c>
      <c r="AF560">
        <f t="shared" si="239"/>
        <v>-0.13403947392000004</v>
      </c>
      <c r="AH560">
        <f t="shared" si="240"/>
        <v>-8.6283537082271253E-2</v>
      </c>
      <c r="AI560">
        <f t="shared" si="241"/>
        <v>-0.16883590812049487</v>
      </c>
      <c r="AJ560">
        <f t="shared" si="242"/>
        <v>-8.2552371038223618E-2</v>
      </c>
      <c r="AK560">
        <f t="shared" si="243"/>
        <v>-0.47138093140709703</v>
      </c>
      <c r="AM560">
        <f t="shared" si="244"/>
        <v>3.1742663147662553E-2</v>
      </c>
      <c r="AN560">
        <f t="shared" si="244"/>
        <v>-0.25647555357775792</v>
      </c>
      <c r="AO560">
        <f t="shared" si="245"/>
        <v>-0.28821821672542047</v>
      </c>
      <c r="AP560">
        <f t="shared" si="246"/>
        <v>-1.1012500299830161</v>
      </c>
      <c r="AR560">
        <f t="shared" si="247"/>
        <v>0.28264333826779831</v>
      </c>
      <c r="AS560">
        <f t="shared" si="248"/>
        <v>0.44785226328234778</v>
      </c>
      <c r="AT560">
        <f t="shared" si="249"/>
        <v>0.16520892501454948</v>
      </c>
      <c r="AU560">
        <f t="shared" si="250"/>
        <v>-0.60051091493343645</v>
      </c>
    </row>
    <row r="561" spans="1:47" x14ac:dyDescent="0.25">
      <c r="A561" s="4">
        <f>DATE(2022,6,7)</f>
        <v>44719</v>
      </c>
      <c r="B561">
        <v>-0.30842424904466254</v>
      </c>
      <c r="C561">
        <v>43.797243362971109</v>
      </c>
      <c r="D561">
        <v>0.24982405426883866</v>
      </c>
      <c r="E561">
        <f t="shared" si="224"/>
        <v>-0.2158401869756387</v>
      </c>
      <c r="F561">
        <f t="shared" si="225"/>
        <v>-1.0058172803645316</v>
      </c>
      <c r="G561">
        <f t="shared" si="226"/>
        <v>-1.07092529987841</v>
      </c>
      <c r="H561" s="2" t="str">
        <f t="shared" si="227"/>
        <v>Lower</v>
      </c>
      <c r="I561" s="2" t="str">
        <f t="shared" si="228"/>
        <v>Lower</v>
      </c>
      <c r="J561" s="2" t="str">
        <f t="shared" si="229"/>
        <v>Lower</v>
      </c>
      <c r="K561" s="2" t="str">
        <f t="shared" si="230"/>
        <v>Lower</v>
      </c>
      <c r="L561" s="2" t="str">
        <f t="shared" si="231"/>
        <v>Higher</v>
      </c>
      <c r="M561" s="2" t="str">
        <f t="shared" si="232"/>
        <v>Lower</v>
      </c>
      <c r="N561" s="2" t="str">
        <f t="shared" si="233"/>
        <v>Lower</v>
      </c>
      <c r="O561" s="2" t="str">
        <f t="shared" si="234"/>
        <v>Higher</v>
      </c>
      <c r="P561" s="2" t="str">
        <f t="shared" si="235"/>
        <v>Lower</v>
      </c>
      <c r="X561" s="4">
        <f>DATE(2022,6,7)</f>
        <v>44719</v>
      </c>
      <c r="Y561">
        <v>16.980992435037944</v>
      </c>
      <c r="Z561">
        <v>34.997482727277976</v>
      </c>
      <c r="AA561">
        <v>81.545000000000002</v>
      </c>
      <c r="AB561">
        <v>79.960999999999999</v>
      </c>
      <c r="AC561">
        <f t="shared" si="236"/>
        <v>-3.1267636519528665E-2</v>
      </c>
      <c r="AD561">
        <f t="shared" si="237"/>
        <v>-0.16179831874900866</v>
      </c>
      <c r="AE561">
        <f t="shared" si="238"/>
        <v>-0.13053068222948</v>
      </c>
      <c r="AF561">
        <f t="shared" si="239"/>
        <v>-0.86165497739907793</v>
      </c>
      <c r="AH561">
        <f t="shared" si="240"/>
        <v>-6.7966326415934225E-2</v>
      </c>
      <c r="AI561">
        <f t="shared" si="241"/>
        <v>-0.21156871035296707</v>
      </c>
      <c r="AJ561">
        <f t="shared" si="242"/>
        <v>-0.14360238393703284</v>
      </c>
      <c r="AK561">
        <f t="shared" si="243"/>
        <v>-0.68270998097780922</v>
      </c>
      <c r="AM561">
        <f t="shared" si="244"/>
        <v>5.404337650649952E-2</v>
      </c>
      <c r="AN561">
        <f t="shared" si="244"/>
        <v>-0.38064987614373125</v>
      </c>
      <c r="AO561">
        <f t="shared" si="245"/>
        <v>-0.43469325265023079</v>
      </c>
      <c r="AP561">
        <f t="shared" si="246"/>
        <v>-1.4784453760243703</v>
      </c>
      <c r="AR561">
        <f t="shared" si="247"/>
        <v>0.29698389206904485</v>
      </c>
      <c r="AS561">
        <f t="shared" si="248"/>
        <v>0.47088694968697659</v>
      </c>
      <c r="AT561">
        <f t="shared" si="249"/>
        <v>0.17390305761793173</v>
      </c>
      <c r="AU561">
        <f t="shared" si="250"/>
        <v>-0.57787336553802926</v>
      </c>
    </row>
    <row r="562" spans="1:47" x14ac:dyDescent="0.25">
      <c r="A562" s="4">
        <f>DATE(2022,6,6)</f>
        <v>44718</v>
      </c>
      <c r="B562">
        <v>-0.13700425774447902</v>
      </c>
      <c r="C562">
        <v>44.009465374286307</v>
      </c>
      <c r="D562">
        <v>0.23267158828752982</v>
      </c>
      <c r="E562">
        <f t="shared" si="224"/>
        <v>-6.335525550555586E-2</v>
      </c>
      <c r="F562">
        <f t="shared" si="225"/>
        <v>-0.98425342902242163</v>
      </c>
      <c r="G562">
        <f t="shared" si="226"/>
        <v>-1.1437608977979281</v>
      </c>
      <c r="H562" s="2" t="str">
        <f t="shared" si="227"/>
        <v>Lower</v>
      </c>
      <c r="I562" s="2" t="str">
        <f t="shared" si="228"/>
        <v>Lower</v>
      </c>
      <c r="J562" s="2" t="str">
        <f t="shared" si="229"/>
        <v>Lower</v>
      </c>
      <c r="K562" s="2" t="str">
        <f t="shared" si="230"/>
        <v>Lower</v>
      </c>
      <c r="L562" s="2" t="str">
        <f t="shared" si="231"/>
        <v>Higher</v>
      </c>
      <c r="M562" s="2" t="str">
        <f t="shared" si="232"/>
        <v>Lower</v>
      </c>
      <c r="N562" s="2" t="str">
        <f t="shared" si="233"/>
        <v>Lower</v>
      </c>
      <c r="O562" s="2" t="str">
        <f t="shared" si="234"/>
        <v>Higher</v>
      </c>
      <c r="P562" s="2" t="str">
        <f t="shared" si="235"/>
        <v>Lower</v>
      </c>
      <c r="X562" s="4">
        <f>DATE(2022,6,6)</f>
        <v>44718</v>
      </c>
      <c r="Y562">
        <v>17.785968288074173</v>
      </c>
      <c r="Z562">
        <v>36.928178537953102</v>
      </c>
      <c r="AA562">
        <v>82.825000000000003</v>
      </c>
      <c r="AB562">
        <v>82.669749999999993</v>
      </c>
      <c r="AC562">
        <f t="shared" si="236"/>
        <v>-1.4324917555276415E-2</v>
      </c>
      <c r="AD562" t="str">
        <f t="shared" si="237"/>
        <v/>
      </c>
      <c r="AE562" t="str">
        <f t="shared" si="238"/>
        <v/>
      </c>
      <c r="AF562" t="str">
        <f t="shared" si="239"/>
        <v/>
      </c>
      <c r="AH562">
        <f t="shared" si="240"/>
        <v>-6.2820323877480835E-2</v>
      </c>
      <c r="AI562">
        <f t="shared" si="241"/>
        <v>-0.13288856889716633</v>
      </c>
      <c r="AJ562">
        <f t="shared" si="242"/>
        <v>-7.0068245019685491E-2</v>
      </c>
      <c r="AK562">
        <f t="shared" si="243"/>
        <v>-0.42999772510327322</v>
      </c>
      <c r="AM562">
        <f t="shared" si="244"/>
        <v>5.4045421863386442E-2</v>
      </c>
      <c r="AN562">
        <f t="shared" si="244"/>
        <v>-0.32591318908740868</v>
      </c>
      <c r="AO562">
        <f t="shared" si="245"/>
        <v>-0.37995861095079514</v>
      </c>
      <c r="AP562">
        <f t="shared" si="246"/>
        <v>-1.3440563987933909</v>
      </c>
      <c r="AR562">
        <f t="shared" si="247"/>
        <v>0.31243505511069086</v>
      </c>
      <c r="AS562">
        <f t="shared" si="248"/>
        <v>0.51421025139163357</v>
      </c>
      <c r="AT562">
        <f t="shared" si="249"/>
        <v>0.2017751962809427</v>
      </c>
      <c r="AU562">
        <f t="shared" si="250"/>
        <v>-0.49933841270248086</v>
      </c>
    </row>
    <row r="563" spans="1:47" x14ac:dyDescent="0.25">
      <c r="A563" s="4">
        <f>DATE(2022,6,3)</f>
        <v>44715</v>
      </c>
      <c r="B563">
        <v>0.13369168680627322</v>
      </c>
      <c r="C563">
        <v>55.28700557815241</v>
      </c>
      <c r="D563">
        <v>0.61685682022349075</v>
      </c>
      <c r="E563">
        <f t="shared" si="224"/>
        <v>0.18616407651806052</v>
      </c>
      <c r="F563">
        <f t="shared" si="225"/>
        <v>0.16188500595146404</v>
      </c>
      <c r="G563">
        <f t="shared" si="226"/>
        <v>0.1289124743851397</v>
      </c>
      <c r="H563" s="2" t="str">
        <f t="shared" si="227"/>
        <v>Lower</v>
      </c>
      <c r="I563" s="2" t="str">
        <f t="shared" si="228"/>
        <v>Lower</v>
      </c>
      <c r="J563" s="2" t="str">
        <f t="shared" si="229"/>
        <v>Lower</v>
      </c>
      <c r="K563" s="2" t="str">
        <f t="shared" si="230"/>
        <v>Lower</v>
      </c>
      <c r="L563" s="2" t="str">
        <f t="shared" si="231"/>
        <v>Higher</v>
      </c>
      <c r="M563" s="2" t="str">
        <f t="shared" si="232"/>
        <v>Lower</v>
      </c>
      <c r="N563" s="2" t="str">
        <f t="shared" si="233"/>
        <v>Lower</v>
      </c>
      <c r="O563" s="2" t="str">
        <f t="shared" si="234"/>
        <v>Higher</v>
      </c>
      <c r="P563" s="2" t="str">
        <f t="shared" si="235"/>
        <v>Lower</v>
      </c>
      <c r="X563" s="4">
        <f>DATE(2022,6,3)</f>
        <v>44715</v>
      </c>
      <c r="Y563">
        <v>20.084617990583332</v>
      </c>
      <c r="Z563">
        <v>37.279737684646797</v>
      </c>
      <c r="AA563">
        <v>86.765000000000001</v>
      </c>
      <c r="AB563">
        <v>83.100999999999999</v>
      </c>
      <c r="AC563">
        <f t="shared" si="236"/>
        <v>2.8880763274702622E-2</v>
      </c>
      <c r="AD563">
        <f t="shared" si="237"/>
        <v>-4.2613387897466007E-2</v>
      </c>
      <c r="AE563">
        <f t="shared" si="238"/>
        <v>-7.1494151172168632E-2</v>
      </c>
      <c r="AF563">
        <f t="shared" si="239"/>
        <v>-0.51993524390051249</v>
      </c>
      <c r="AH563">
        <f t="shared" si="240"/>
        <v>-4.7463865788580105E-2</v>
      </c>
      <c r="AI563">
        <f t="shared" si="241"/>
        <v>-0.20204922721095137</v>
      </c>
      <c r="AJ563">
        <f t="shared" si="242"/>
        <v>-0.15458536142237125</v>
      </c>
      <c r="AK563">
        <f t="shared" si="243"/>
        <v>-0.72184140942952479</v>
      </c>
      <c r="AM563">
        <f t="shared" si="244"/>
        <v>0.12843208488359692</v>
      </c>
      <c r="AN563">
        <f t="shared" si="244"/>
        <v>-0.45688715318702533</v>
      </c>
      <c r="AO563">
        <f t="shared" si="245"/>
        <v>-0.58531923807062225</v>
      </c>
      <c r="AP563">
        <f t="shared" si="246"/>
        <v>-1.8751479651163172</v>
      </c>
      <c r="AR563">
        <f t="shared" si="247"/>
        <v>0.390678412460292</v>
      </c>
      <c r="AS563">
        <f t="shared" si="248"/>
        <v>0.55290558085073394</v>
      </c>
      <c r="AT563">
        <f t="shared" si="249"/>
        <v>0.16222716839044193</v>
      </c>
      <c r="AU563">
        <f t="shared" si="250"/>
        <v>-0.61630388585039808</v>
      </c>
    </row>
    <row r="564" spans="1:47" x14ac:dyDescent="0.25">
      <c r="A564" s="4">
        <f>DATE(2022,6,2)</f>
        <v>44714</v>
      </c>
      <c r="B564">
        <v>-2.0330468019868209E-3</v>
      </c>
      <c r="C564">
        <v>54.225796112871627</v>
      </c>
      <c r="D564">
        <v>0.55480313580278107</v>
      </c>
      <c r="E564">
        <f t="shared" si="224"/>
        <v>4.8594281424235074E-2</v>
      </c>
      <c r="F564">
        <f t="shared" si="225"/>
        <v>3.7711621264445737E-2</v>
      </c>
      <c r="G564">
        <f t="shared" si="226"/>
        <v>-8.6032829634453245E-2</v>
      </c>
      <c r="H564" s="2" t="str">
        <f t="shared" si="227"/>
        <v>Lower</v>
      </c>
      <c r="I564" s="2" t="str">
        <f t="shared" si="228"/>
        <v>Lower</v>
      </c>
      <c r="J564" s="2" t="str">
        <f t="shared" si="229"/>
        <v>Lower</v>
      </c>
      <c r="K564" s="2" t="str">
        <f t="shared" si="230"/>
        <v>Lower</v>
      </c>
      <c r="L564" s="2" t="str">
        <f t="shared" si="231"/>
        <v>Higher</v>
      </c>
      <c r="M564" s="2" t="str">
        <f t="shared" si="232"/>
        <v>Lower</v>
      </c>
      <c r="N564" s="2" t="str">
        <f t="shared" si="233"/>
        <v>Lower</v>
      </c>
      <c r="O564" s="2" t="str">
        <f t="shared" si="234"/>
        <v>Higher</v>
      </c>
      <c r="P564" s="2" t="str">
        <f t="shared" si="235"/>
        <v>Lower</v>
      </c>
      <c r="X564" s="4">
        <f>DATE(2022,6,2)</f>
        <v>44714</v>
      </c>
      <c r="Y564">
        <v>20.639650679700022</v>
      </c>
      <c r="Z564">
        <v>37.799060675988017</v>
      </c>
      <c r="AA564">
        <v>86.734999999999999</v>
      </c>
      <c r="AB564">
        <v>83.944999999999993</v>
      </c>
      <c r="AC564">
        <f t="shared" si="236"/>
        <v>3.2516998260939969E-2</v>
      </c>
      <c r="AD564">
        <f t="shared" si="237"/>
        <v>-2.3848207594979482E-2</v>
      </c>
      <c r="AE564">
        <f t="shared" si="238"/>
        <v>-5.6365205855919448E-2</v>
      </c>
      <c r="AF564">
        <f t="shared" si="239"/>
        <v>-0.43264146722215563</v>
      </c>
      <c r="AH564">
        <f t="shared" si="240"/>
        <v>-2.7546975431594997E-2</v>
      </c>
      <c r="AI564">
        <f t="shared" si="241"/>
        <v>-0.23805827721084205</v>
      </c>
      <c r="AJ564">
        <f t="shared" si="242"/>
        <v>-0.21051130177924704</v>
      </c>
      <c r="AK564">
        <f t="shared" si="243"/>
        <v>-0.91565373174651798</v>
      </c>
      <c r="AM564">
        <f t="shared" si="244"/>
        <v>0.14864139354748121</v>
      </c>
      <c r="AN564">
        <f t="shared" si="244"/>
        <v>-0.40928174780069543</v>
      </c>
      <c r="AO564">
        <f t="shared" si="245"/>
        <v>-0.55792314134817667</v>
      </c>
      <c r="AP564">
        <f t="shared" si="246"/>
        <v>-1.8153819779322766</v>
      </c>
      <c r="AR564">
        <f t="shared" si="247"/>
        <v>0.42437806383266685</v>
      </c>
      <c r="AS564">
        <f t="shared" si="248"/>
        <v>0.61453408536018617</v>
      </c>
      <c r="AT564">
        <f t="shared" si="249"/>
        <v>0.19015602152751931</v>
      </c>
      <c r="AU564">
        <f t="shared" si="250"/>
        <v>-0.53761921439389271</v>
      </c>
    </row>
    <row r="565" spans="1:47" x14ac:dyDescent="0.25">
      <c r="A565" s="4">
        <f>DATE(2022,6,1)</f>
        <v>44713</v>
      </c>
      <c r="B565">
        <v>-0.16649127852833751</v>
      </c>
      <c r="C565">
        <v>53.725558807895382</v>
      </c>
      <c r="D565">
        <v>0.52696484332071136</v>
      </c>
      <c r="E565">
        <f t="shared" si="224"/>
        <v>-0.11758008495974377</v>
      </c>
      <c r="F565">
        <f t="shared" si="225"/>
        <v>-3.2312551243406533E-2</v>
      </c>
      <c r="G565">
        <f t="shared" si="226"/>
        <v>-0.18908870237410136</v>
      </c>
      <c r="H565" s="2" t="str">
        <f t="shared" si="227"/>
        <v>Lower</v>
      </c>
      <c r="I565" s="2" t="str">
        <f t="shared" si="228"/>
        <v>Lower</v>
      </c>
      <c r="J565" s="2" t="str">
        <f t="shared" si="229"/>
        <v>Lower</v>
      </c>
      <c r="K565" s="2" t="str">
        <f t="shared" si="230"/>
        <v>Lower</v>
      </c>
      <c r="L565" s="2" t="str">
        <f t="shared" si="231"/>
        <v>Higher</v>
      </c>
      <c r="M565" s="2" t="str">
        <f t="shared" si="232"/>
        <v>Lower</v>
      </c>
      <c r="N565" s="2" t="str">
        <f t="shared" si="233"/>
        <v>Lower</v>
      </c>
      <c r="O565" s="2" t="str">
        <f t="shared" si="234"/>
        <v>Higher</v>
      </c>
      <c r="P565" s="2" t="str">
        <f t="shared" si="235"/>
        <v>Lower</v>
      </c>
      <c r="X565" s="4">
        <f>DATE(2022,6,1)</f>
        <v>44713</v>
      </c>
      <c r="Y565">
        <v>19.874033366197217</v>
      </c>
      <c r="Z565">
        <v>38.752921370165907</v>
      </c>
      <c r="AA565">
        <v>85.902500000000003</v>
      </c>
      <c r="AB565">
        <v>85.551000000000002</v>
      </c>
      <c r="AC565">
        <f t="shared" si="236"/>
        <v>5.346917669651545E-2</v>
      </c>
      <c r="AD565">
        <f t="shared" si="237"/>
        <v>-1.987688364977307E-2</v>
      </c>
      <c r="AE565">
        <f t="shared" si="238"/>
        <v>-7.3346060346288516E-2</v>
      </c>
      <c r="AF565">
        <f t="shared" si="239"/>
        <v>-0.53177415652176452</v>
      </c>
      <c r="AH565">
        <f t="shared" si="240"/>
        <v>-2.3868167792300457E-2</v>
      </c>
      <c r="AI565">
        <f t="shared" si="241"/>
        <v>-0.19355557306757087</v>
      </c>
      <c r="AJ565">
        <f t="shared" si="242"/>
        <v>-0.16968740527527043</v>
      </c>
      <c r="AK565">
        <f t="shared" si="243"/>
        <v>-0.77678956998402171</v>
      </c>
      <c r="AM565">
        <f t="shared" si="244"/>
        <v>0.17567913414627762</v>
      </c>
      <c r="AN565">
        <f t="shared" si="244"/>
        <v>-0.59997379112990368</v>
      </c>
      <c r="AO565">
        <f t="shared" si="245"/>
        <v>-0.77565292527618124</v>
      </c>
      <c r="AP565">
        <f t="shared" si="246"/>
        <v>-2.387428046331701</v>
      </c>
      <c r="AR565">
        <f t="shared" si="247"/>
        <v>0.41892804721445404</v>
      </c>
      <c r="AS565">
        <f t="shared" si="248"/>
        <v>0.63428914728959107</v>
      </c>
      <c r="AT565">
        <f t="shared" si="249"/>
        <v>0.21536110007513704</v>
      </c>
      <c r="AU565">
        <f t="shared" si="250"/>
        <v>-0.46616454701023841</v>
      </c>
    </row>
    <row r="566" spans="1:47" x14ac:dyDescent="0.25">
      <c r="A566" s="4">
        <f>DATE(2022,5,31)</f>
        <v>44712</v>
      </c>
      <c r="B566">
        <v>-0.39053611395070192</v>
      </c>
      <c r="C566">
        <v>49.67936235841146</v>
      </c>
      <c r="D566">
        <v>0.37887929734637832</v>
      </c>
      <c r="E566">
        <f t="shared" si="224"/>
        <v>-0.33939477947661789</v>
      </c>
      <c r="F566">
        <f t="shared" si="225"/>
        <v>-0.43749986823266113</v>
      </c>
      <c r="G566">
        <f t="shared" si="226"/>
        <v>-0.68793634982187613</v>
      </c>
      <c r="H566" s="2" t="str">
        <f t="shared" si="227"/>
        <v>Higher</v>
      </c>
      <c r="I566" s="2" t="str">
        <f t="shared" si="228"/>
        <v>Lower</v>
      </c>
      <c r="J566" s="2" t="str">
        <f t="shared" si="229"/>
        <v>Lower</v>
      </c>
      <c r="K566" s="2" t="str">
        <f t="shared" si="230"/>
        <v>Lower</v>
      </c>
      <c r="L566" s="2" t="str">
        <f t="shared" si="231"/>
        <v>Higher</v>
      </c>
      <c r="M566" s="2" t="str">
        <f t="shared" si="232"/>
        <v>Lower</v>
      </c>
      <c r="N566" s="2" t="str">
        <f t="shared" si="233"/>
        <v>Lower</v>
      </c>
      <c r="O566" s="2" t="str">
        <f t="shared" si="234"/>
        <v>Higher</v>
      </c>
      <c r="P566" s="2" t="str">
        <f t="shared" si="235"/>
        <v>Lower</v>
      </c>
      <c r="X566" s="4">
        <f>DATE(2022,5,31)</f>
        <v>44712</v>
      </c>
      <c r="Y566">
        <v>16.051751676839526</v>
      </c>
      <c r="Z566">
        <v>44.204859213446859</v>
      </c>
      <c r="AA566">
        <v>84.134999999999991</v>
      </c>
      <c r="AB566">
        <v>94.004000000000005</v>
      </c>
      <c r="AC566">
        <f t="shared" si="236"/>
        <v>4.2055892679526988E-2</v>
      </c>
      <c r="AD566">
        <f t="shared" si="237"/>
        <v>9.9522049927161682E-2</v>
      </c>
      <c r="AE566">
        <f t="shared" si="238"/>
        <v>5.7466157247634694E-2</v>
      </c>
      <c r="AF566">
        <f t="shared" si="239"/>
        <v>0.22671168340612968</v>
      </c>
      <c r="AH566">
        <f t="shared" si="240"/>
        <v>-3.3945131479222637E-2</v>
      </c>
      <c r="AI566">
        <f t="shared" si="241"/>
        <v>-5.6076314319579837E-2</v>
      </c>
      <c r="AJ566">
        <f t="shared" si="242"/>
        <v>-2.21311828403572E-2</v>
      </c>
      <c r="AK566">
        <f t="shared" si="243"/>
        <v>-0.2699610688917754</v>
      </c>
      <c r="AM566">
        <f t="shared" si="244"/>
        <v>0.24728567511141394</v>
      </c>
      <c r="AN566">
        <f t="shared" si="244"/>
        <v>-0.82522412038041426</v>
      </c>
      <c r="AO566">
        <f t="shared" si="245"/>
        <v>-1.0725097954918281</v>
      </c>
      <c r="AP566">
        <f t="shared" si="246"/>
        <v>-3.1798188469532302</v>
      </c>
      <c r="AR566">
        <f t="shared" si="247"/>
        <v>0.40079604655443152</v>
      </c>
      <c r="AS566">
        <f t="shared" si="248"/>
        <v>0.74540730643172215</v>
      </c>
      <c r="AT566">
        <f t="shared" si="249"/>
        <v>0.34461125987729063</v>
      </c>
      <c r="AU566">
        <f t="shared" si="250"/>
        <v>-8.9562888472222615E-2</v>
      </c>
    </row>
    <row r="567" spans="1:47" x14ac:dyDescent="0.25">
      <c r="A567" s="4">
        <f>DATE(2022,5,30)</f>
        <v>44711</v>
      </c>
      <c r="B567">
        <v>-0.50824306732010849</v>
      </c>
      <c r="C567">
        <v>49.580038791753282</v>
      </c>
      <c r="D567">
        <v>0.36171770485781984</v>
      </c>
      <c r="E567">
        <f t="shared" si="224"/>
        <v>-0.46175645379435482</v>
      </c>
      <c r="F567">
        <f t="shared" si="225"/>
        <v>-0.45932123763543758</v>
      </c>
      <c r="G567">
        <f t="shared" si="226"/>
        <v>-0.75644076316438924</v>
      </c>
      <c r="H567" s="2" t="str">
        <f t="shared" si="227"/>
        <v>Higher</v>
      </c>
      <c r="I567" s="2" t="str">
        <f t="shared" si="228"/>
        <v>Lower</v>
      </c>
      <c r="J567" s="2" t="str">
        <f t="shared" si="229"/>
        <v>Lower</v>
      </c>
      <c r="K567" s="2" t="str">
        <f t="shared" si="230"/>
        <v>Lower</v>
      </c>
      <c r="L567" s="2" t="str">
        <f t="shared" si="231"/>
        <v>Higher</v>
      </c>
      <c r="M567" s="2" t="str">
        <f t="shared" si="232"/>
        <v>Lower</v>
      </c>
      <c r="N567" s="2" t="str">
        <f t="shared" si="233"/>
        <v>Lower</v>
      </c>
      <c r="O567" s="2" t="str">
        <f t="shared" si="234"/>
        <v>Higher</v>
      </c>
      <c r="P567" s="2" t="str">
        <f t="shared" si="235"/>
        <v>Lower</v>
      </c>
      <c r="X567" s="4">
        <f>DATE(2022,5,30)</f>
        <v>44711</v>
      </c>
      <c r="Y567">
        <v>16.519858797638257</v>
      </c>
      <c r="AA567">
        <v>84.02</v>
      </c>
      <c r="AC567">
        <f t="shared" si="236"/>
        <v>5.9173268374593885E-2</v>
      </c>
      <c r="AD567" t="str">
        <f t="shared" si="237"/>
        <v/>
      </c>
      <c r="AE567" t="str">
        <f t="shared" si="238"/>
        <v/>
      </c>
      <c r="AF567" t="str">
        <f t="shared" si="239"/>
        <v/>
      </c>
      <c r="AH567">
        <f t="shared" si="240"/>
        <v>7.9462703412417346E-3</v>
      </c>
      <c r="AI567" t="str">
        <f t="shared" si="241"/>
        <v/>
      </c>
      <c r="AJ567" t="str">
        <f t="shared" si="242"/>
        <v/>
      </c>
      <c r="AK567" t="str">
        <f t="shared" si="243"/>
        <v/>
      </c>
      <c r="AM567">
        <f t="shared" si="244"/>
        <v>0.34629778354396135</v>
      </c>
      <c r="AN567" t="str">
        <f t="shared" si="244"/>
        <v/>
      </c>
      <c r="AO567" t="str">
        <f t="shared" si="245"/>
        <v/>
      </c>
      <c r="AP567" t="str">
        <f t="shared" si="246"/>
        <v/>
      </c>
      <c r="AR567">
        <f t="shared" si="247"/>
        <v>0.41823675027819529</v>
      </c>
      <c r="AS567" t="str">
        <f t="shared" si="248"/>
        <v/>
      </c>
      <c r="AT567" t="str">
        <f t="shared" si="249"/>
        <v/>
      </c>
      <c r="AU567" t="str">
        <f t="shared" si="250"/>
        <v/>
      </c>
    </row>
    <row r="568" spans="1:47" x14ac:dyDescent="0.25">
      <c r="A568" s="4">
        <f>DATE(2022,5,27)</f>
        <v>44708</v>
      </c>
      <c r="B568">
        <v>-0.65252285863759552</v>
      </c>
      <c r="C568">
        <v>50.00179357635119</v>
      </c>
      <c r="D568">
        <v>0.38147636656775097</v>
      </c>
      <c r="E568">
        <f t="shared" si="224"/>
        <v>-0.610194780239806</v>
      </c>
      <c r="F568">
        <f t="shared" si="225"/>
        <v>-0.43200959867085376</v>
      </c>
      <c r="G568">
        <f t="shared" si="226"/>
        <v>-0.70387088149471266</v>
      </c>
      <c r="H568" s="2" t="str">
        <f t="shared" si="227"/>
        <v>Higher</v>
      </c>
      <c r="I568" s="2" t="str">
        <f t="shared" si="228"/>
        <v>Lower</v>
      </c>
      <c r="J568" s="2" t="str">
        <f t="shared" si="229"/>
        <v>Lower</v>
      </c>
      <c r="K568" s="2" t="str">
        <f t="shared" si="230"/>
        <v>Lower</v>
      </c>
      <c r="L568" s="2" t="str">
        <f t="shared" si="231"/>
        <v>Higher</v>
      </c>
      <c r="M568" s="2" t="str">
        <f t="shared" si="232"/>
        <v>Lower</v>
      </c>
      <c r="N568" s="2" t="str">
        <f t="shared" si="233"/>
        <v>Lower</v>
      </c>
      <c r="O568" s="2" t="str">
        <f t="shared" si="234"/>
        <v>Higher</v>
      </c>
      <c r="P568" s="2" t="str">
        <f t="shared" si="235"/>
        <v>Lower</v>
      </c>
      <c r="X568" s="4">
        <f>DATE(2022,5,27)</f>
        <v>44708</v>
      </c>
      <c r="Y568">
        <v>17.125835595599</v>
      </c>
      <c r="Z568">
        <v>37.296553701831741</v>
      </c>
      <c r="AA568">
        <v>84.295000000000002</v>
      </c>
      <c r="AB568">
        <v>86.71875</v>
      </c>
      <c r="AC568">
        <f t="shared" si="236"/>
        <v>3.6361053581577304E-2</v>
      </c>
      <c r="AD568">
        <f t="shared" si="237"/>
        <v>-1.3552434180029653E-2</v>
      </c>
      <c r="AE568">
        <f t="shared" si="238"/>
        <v>-4.9913487761606957E-2</v>
      </c>
      <c r="AF568">
        <f t="shared" si="239"/>
        <v>-0.3957894659647469</v>
      </c>
      <c r="AH568">
        <f t="shared" si="240"/>
        <v>4.4496522589386944E-4</v>
      </c>
      <c r="AI568">
        <f t="shared" si="241"/>
        <v>-0.13698488191917285</v>
      </c>
      <c r="AJ568">
        <f t="shared" si="242"/>
        <v>-0.13742984714506673</v>
      </c>
      <c r="AK568">
        <f t="shared" si="243"/>
        <v>-0.66725417940958431</v>
      </c>
      <c r="AM568">
        <f t="shared" si="244"/>
        <v>0.24755074879973676</v>
      </c>
      <c r="AN568">
        <f t="shared" si="244"/>
        <v>-0.79768573688010957</v>
      </c>
      <c r="AO568">
        <f t="shared" si="245"/>
        <v>-1.0452364856798464</v>
      </c>
      <c r="AP568">
        <f t="shared" si="246"/>
        <v>-3.15593848380137</v>
      </c>
      <c r="AR568">
        <f t="shared" si="247"/>
        <v>0.44030489828699099</v>
      </c>
      <c r="AS568">
        <f t="shared" si="248"/>
        <v>0.72850067115710904</v>
      </c>
      <c r="AT568">
        <f t="shared" si="249"/>
        <v>0.28819577287011805</v>
      </c>
      <c r="AU568">
        <f t="shared" si="250"/>
        <v>-0.25719116417918469</v>
      </c>
    </row>
    <row r="569" spans="1:47" x14ac:dyDescent="0.25">
      <c r="A569" s="4">
        <f>DATE(2022,5,26)</f>
        <v>44707</v>
      </c>
      <c r="B569">
        <v>-0.85748861547051136</v>
      </c>
      <c r="C569">
        <v>50.982226672746656</v>
      </c>
      <c r="D569">
        <v>0.41818303585147876</v>
      </c>
      <c r="E569">
        <f t="shared" si="224"/>
        <v>-0.81741845426862725</v>
      </c>
      <c r="F569">
        <f t="shared" si="225"/>
        <v>-0.35278201570776996</v>
      </c>
      <c r="G569">
        <f t="shared" si="226"/>
        <v>-0.59478850155879026</v>
      </c>
      <c r="H569" s="2" t="str">
        <f t="shared" si="227"/>
        <v>Higher</v>
      </c>
      <c r="I569" s="2" t="str">
        <f t="shared" si="228"/>
        <v>Lower</v>
      </c>
      <c r="J569" s="2" t="str">
        <f t="shared" si="229"/>
        <v>Lower</v>
      </c>
      <c r="K569" s="2" t="str">
        <f t="shared" si="230"/>
        <v>Lower</v>
      </c>
      <c r="L569" s="2" t="str">
        <f t="shared" si="231"/>
        <v>Higher</v>
      </c>
      <c r="M569" s="2" t="str">
        <f t="shared" si="232"/>
        <v>Lower</v>
      </c>
      <c r="N569" s="2" t="str">
        <f t="shared" si="233"/>
        <v>Lower</v>
      </c>
      <c r="O569" s="2" t="str">
        <f t="shared" si="234"/>
        <v>Higher</v>
      </c>
      <c r="P569" s="2" t="str">
        <f t="shared" si="235"/>
        <v>Lower</v>
      </c>
      <c r="X569" s="4">
        <f>DATE(2022,5,26)</f>
        <v>44707</v>
      </c>
      <c r="Y569">
        <v>17.488673608763918</v>
      </c>
      <c r="Z569">
        <v>36.368869053383001</v>
      </c>
      <c r="AA569">
        <v>83.960000000000008</v>
      </c>
      <c r="AB569">
        <v>85.971000000000004</v>
      </c>
      <c r="AC569">
        <f t="shared" si="236"/>
        <v>1.128906600668063E-2</v>
      </c>
      <c r="AD569">
        <f t="shared" si="237"/>
        <v>-5.7113177924950798E-2</v>
      </c>
      <c r="AE569">
        <f t="shared" si="238"/>
        <v>-6.8402243931631426E-2</v>
      </c>
      <c r="AF569">
        <f t="shared" si="239"/>
        <v>-0.50332571683669791</v>
      </c>
      <c r="AH569">
        <f t="shared" si="240"/>
        <v>2.0789893902285268E-2</v>
      </c>
      <c r="AI569">
        <f t="shared" si="241"/>
        <v>-0.15257914865816455</v>
      </c>
      <c r="AJ569">
        <f t="shared" si="242"/>
        <v>-0.17336904256044983</v>
      </c>
      <c r="AK569">
        <f t="shared" si="243"/>
        <v>-0.79179205977196965</v>
      </c>
      <c r="AM569">
        <f t="shared" si="244"/>
        <v>0.22684261883380924</v>
      </c>
      <c r="AN569">
        <f t="shared" si="244"/>
        <v>-0.60535034669951393</v>
      </c>
      <c r="AO569">
        <f t="shared" si="245"/>
        <v>-0.83219296553332311</v>
      </c>
      <c r="AP569">
        <f t="shared" si="246"/>
        <v>-2.6344098963988247</v>
      </c>
      <c r="AR569">
        <f t="shared" si="247"/>
        <v>0.43853635451943618</v>
      </c>
      <c r="AS569">
        <f t="shared" si="248"/>
        <v>0.73211900354112636</v>
      </c>
      <c r="AT569">
        <f t="shared" si="249"/>
        <v>0.29358264902169018</v>
      </c>
      <c r="AU569">
        <f t="shared" si="250"/>
        <v>-0.24212998580829964</v>
      </c>
    </row>
    <row r="570" spans="1:47" x14ac:dyDescent="0.25">
      <c r="A570" s="4">
        <f>DATE(2022,5,25)</f>
        <v>44706</v>
      </c>
      <c r="B570">
        <v>-1.1781062916538565</v>
      </c>
      <c r="C570">
        <v>44.970638811777427</v>
      </c>
      <c r="D570">
        <v>0.20372430405379985</v>
      </c>
      <c r="E570">
        <f t="shared" si="224"/>
        <v>-1.136492361538026</v>
      </c>
      <c r="F570">
        <f t="shared" si="225"/>
        <v>-0.91362230173863213</v>
      </c>
      <c r="G570">
        <f t="shared" si="226"/>
        <v>-1.3084321257537783</v>
      </c>
      <c r="H570" s="2" t="str">
        <f t="shared" si="227"/>
        <v>Higher</v>
      </c>
      <c r="I570" s="2" t="str">
        <f t="shared" si="228"/>
        <v>Lower</v>
      </c>
      <c r="J570" s="2" t="str">
        <f t="shared" si="229"/>
        <v>Lower</v>
      </c>
      <c r="K570" s="2" t="str">
        <f t="shared" si="230"/>
        <v>Lower</v>
      </c>
      <c r="L570" s="2" t="str">
        <f t="shared" si="231"/>
        <v>Higher</v>
      </c>
      <c r="M570" s="2" t="str">
        <f t="shared" si="232"/>
        <v>Lower</v>
      </c>
      <c r="N570" s="2" t="str">
        <f t="shared" si="233"/>
        <v>Lower</v>
      </c>
      <c r="O570" s="2" t="str">
        <f t="shared" si="234"/>
        <v>Higher</v>
      </c>
      <c r="P570" s="2" t="str">
        <f t="shared" si="235"/>
        <v>Lower</v>
      </c>
      <c r="X570" s="4">
        <f>DATE(2022,5,25)</f>
        <v>44706</v>
      </c>
      <c r="Y570">
        <v>14.152668039069349</v>
      </c>
      <c r="Z570">
        <v>37.571918168942858</v>
      </c>
      <c r="AA570">
        <v>81.430000000000007</v>
      </c>
      <c r="AB570">
        <v>87.268500000000003</v>
      </c>
      <c r="AC570">
        <f t="shared" si="236"/>
        <v>-4.8918808608076181E-2</v>
      </c>
      <c r="AD570">
        <f t="shared" si="237"/>
        <v>-8.5121501713475031E-2</v>
      </c>
      <c r="AE570">
        <f t="shared" si="238"/>
        <v>-3.620269310539885E-2</v>
      </c>
      <c r="AF570">
        <f t="shared" si="239"/>
        <v>-0.31762254723544731</v>
      </c>
      <c r="AH570">
        <f t="shared" si="240"/>
        <v>9.1291036186248124E-3</v>
      </c>
      <c r="AI570">
        <f t="shared" si="241"/>
        <v>-0.20782197413758907</v>
      </c>
      <c r="AJ570">
        <f t="shared" si="242"/>
        <v>-0.21695107775621389</v>
      </c>
      <c r="AK570">
        <f t="shared" si="243"/>
        <v>-0.94290695521704038</v>
      </c>
      <c r="AM570">
        <f t="shared" si="244"/>
        <v>0.21411224733047252</v>
      </c>
      <c r="AN570">
        <f t="shared" si="244"/>
        <v>-0.64024140681081632</v>
      </c>
      <c r="AO570">
        <f t="shared" si="245"/>
        <v>-0.85435365414128883</v>
      </c>
      <c r="AP570">
        <f t="shared" si="246"/>
        <v>-2.7217565428441697</v>
      </c>
      <c r="AR570">
        <f t="shared" si="247"/>
        <v>0.3580969822573884</v>
      </c>
      <c r="AS570">
        <f t="shared" si="248"/>
        <v>0.6562897888570175</v>
      </c>
      <c r="AT570">
        <f t="shared" si="249"/>
        <v>0.2981928065996291</v>
      </c>
      <c r="AU570">
        <f t="shared" si="250"/>
        <v>-0.22928342609926861</v>
      </c>
    </row>
    <row r="571" spans="1:47" x14ac:dyDescent="0.25">
      <c r="A571" s="4">
        <f>DATE(2022,5,24)</f>
        <v>44705</v>
      </c>
      <c r="B571">
        <v>-1.2604169193945054</v>
      </c>
      <c r="C571">
        <v>44.821045605140711</v>
      </c>
      <c r="D571">
        <v>0.20161245018340876</v>
      </c>
      <c r="E571">
        <f t="shared" si="224"/>
        <v>-1.2387899149559141</v>
      </c>
      <c r="F571">
        <f t="shared" si="225"/>
        <v>-0.93903273915453711</v>
      </c>
      <c r="G571">
        <f t="shared" si="226"/>
        <v>-1.336243675393769</v>
      </c>
      <c r="H571" s="2" t="str">
        <f t="shared" si="227"/>
        <v>Higher</v>
      </c>
      <c r="I571" s="2" t="str">
        <f t="shared" si="228"/>
        <v>Lower</v>
      </c>
      <c r="J571" s="2" t="str">
        <f t="shared" si="229"/>
        <v>Lower</v>
      </c>
      <c r="K571" s="2" t="str">
        <f t="shared" si="230"/>
        <v>Lower</v>
      </c>
      <c r="L571" s="2" t="str">
        <f t="shared" si="231"/>
        <v>Higher</v>
      </c>
      <c r="M571" s="2" t="str">
        <f t="shared" si="232"/>
        <v>Lower</v>
      </c>
      <c r="N571" s="2" t="str">
        <f t="shared" si="233"/>
        <v>Lower</v>
      </c>
      <c r="O571" s="2" t="str">
        <f t="shared" si="234"/>
        <v>Higher</v>
      </c>
      <c r="P571" s="2" t="str">
        <f t="shared" si="235"/>
        <v>Lower</v>
      </c>
      <c r="X571" s="4">
        <f>DATE(2022,5,24)</f>
        <v>44705</v>
      </c>
      <c r="Y571">
        <v>14.725630132327479</v>
      </c>
      <c r="Z571">
        <v>37.785205716642373</v>
      </c>
      <c r="AA571">
        <v>80.669999999999987</v>
      </c>
      <c r="AB571">
        <v>85.099000000000004</v>
      </c>
      <c r="AC571">
        <f t="shared" si="236"/>
        <v>-0.12542561588799192</v>
      </c>
      <c r="AD571">
        <f t="shared" si="237"/>
        <v>-0.1013394689491345</v>
      </c>
      <c r="AE571">
        <f t="shared" si="238"/>
        <v>2.4086146938857425E-2</v>
      </c>
      <c r="AF571">
        <f t="shared" si="239"/>
        <v>3.0567597197174973E-2</v>
      </c>
      <c r="AH571">
        <f t="shared" si="240"/>
        <v>-3.0339577173220351E-2</v>
      </c>
      <c r="AI571">
        <f t="shared" si="241"/>
        <v>-0.19293108479386514</v>
      </c>
      <c r="AJ571">
        <f t="shared" si="242"/>
        <v>-0.16259150762064478</v>
      </c>
      <c r="AK571">
        <f t="shared" si="243"/>
        <v>-0.7580274701431825</v>
      </c>
      <c r="AM571">
        <f t="shared" si="244"/>
        <v>0.11324935288925635</v>
      </c>
      <c r="AN571">
        <f t="shared" si="244"/>
        <v>-0.3198255225032704</v>
      </c>
      <c r="AO571">
        <f t="shared" si="245"/>
        <v>-0.43307487539252676</v>
      </c>
      <c r="AP571">
        <f t="shared" si="246"/>
        <v>-1.60983046108834</v>
      </c>
      <c r="AR571">
        <f t="shared" si="247"/>
        <v>0.33993054636711023</v>
      </c>
      <c r="AS571">
        <f t="shared" si="248"/>
        <v>0.59075702936672936</v>
      </c>
      <c r="AT571">
        <f t="shared" si="249"/>
        <v>0.25082648299961913</v>
      </c>
      <c r="AU571">
        <f t="shared" si="250"/>
        <v>-0.36883516569229163</v>
      </c>
    </row>
    <row r="572" spans="1:47" x14ac:dyDescent="0.25">
      <c r="A572" s="4">
        <f>DATE(2022,5,23)</f>
        <v>44704</v>
      </c>
      <c r="B572">
        <v>-1.293882981132926</v>
      </c>
      <c r="C572">
        <v>38.68742976044593</v>
      </c>
      <c r="D572">
        <v>-2.1552171682964819E-2</v>
      </c>
      <c r="E572">
        <f t="shared" si="224"/>
        <v>-1.2982964166410094</v>
      </c>
      <c r="F572">
        <f t="shared" si="225"/>
        <v>-1.5043547141997724</v>
      </c>
      <c r="G572">
        <f t="shared" si="226"/>
        <v>-2.0933996825792911</v>
      </c>
      <c r="H572" s="2" t="str">
        <f t="shared" si="227"/>
        <v>Higher</v>
      </c>
      <c r="I572" s="2" t="str">
        <f t="shared" si="228"/>
        <v>Lower</v>
      </c>
      <c r="J572" s="2" t="str">
        <f t="shared" si="229"/>
        <v>Lower</v>
      </c>
      <c r="K572" s="2" t="str">
        <f t="shared" si="230"/>
        <v>Lower</v>
      </c>
      <c r="L572" s="2" t="str">
        <f t="shared" si="231"/>
        <v>Higher</v>
      </c>
      <c r="M572" s="2" t="str">
        <f t="shared" si="232"/>
        <v>Lower</v>
      </c>
      <c r="N572" s="2" t="str">
        <f t="shared" si="233"/>
        <v>Lower</v>
      </c>
      <c r="O572" s="2" t="str">
        <f t="shared" si="234"/>
        <v>Higher</v>
      </c>
      <c r="P572" s="2" t="str">
        <f t="shared" si="235"/>
        <v>Lower</v>
      </c>
      <c r="X572" s="4">
        <f>DATE(2022,5,23)</f>
        <v>44704</v>
      </c>
      <c r="Y572">
        <v>16.090502444683601</v>
      </c>
      <c r="Z572">
        <v>37.334191139832342</v>
      </c>
      <c r="AA572">
        <v>79.192499999999995</v>
      </c>
      <c r="AB572">
        <v>83.770999999999987</v>
      </c>
      <c r="AC572">
        <f t="shared" si="236"/>
        <v>-0.11983989611387021</v>
      </c>
      <c r="AD572">
        <f t="shared" si="237"/>
        <v>-0.10300609704953474</v>
      </c>
      <c r="AE572">
        <f t="shared" si="238"/>
        <v>1.6833799064335464E-2</v>
      </c>
      <c r="AF572">
        <f t="shared" si="239"/>
        <v>-1.1281639062842446E-2</v>
      </c>
      <c r="AH572">
        <f t="shared" si="240"/>
        <v>-6.3508063321805516E-2</v>
      </c>
      <c r="AI572">
        <f t="shared" si="241"/>
        <v>-0.10275838168399185</v>
      </c>
      <c r="AJ572">
        <f t="shared" si="242"/>
        <v>-3.9250318362186329E-2</v>
      </c>
      <c r="AK572">
        <f t="shared" si="243"/>
        <v>-0.33564888249357194</v>
      </c>
      <c r="AM572">
        <f t="shared" si="244"/>
        <v>-4.2551722226147379E-2</v>
      </c>
      <c r="AN572">
        <f t="shared" si="244"/>
        <v>-0.20730935575270218</v>
      </c>
      <c r="AO572">
        <f t="shared" si="245"/>
        <v>-0.16475763352655481</v>
      </c>
      <c r="AP572">
        <f t="shared" si="246"/>
        <v>-0.88775854805719667</v>
      </c>
      <c r="AR572">
        <f t="shared" si="247"/>
        <v>0.32196796459905275</v>
      </c>
      <c r="AS572">
        <f t="shared" si="248"/>
        <v>0.56503881135191036</v>
      </c>
      <c r="AT572">
        <f t="shared" si="249"/>
        <v>0.24307084675285762</v>
      </c>
      <c r="AU572">
        <f t="shared" si="250"/>
        <v>-0.39287369713555353</v>
      </c>
    </row>
    <row r="573" spans="1:47" x14ac:dyDescent="0.25">
      <c r="A573" s="4">
        <f>DATE(2022,5,20)</f>
        <v>44701</v>
      </c>
      <c r="B573">
        <v>-0.93658593074744312</v>
      </c>
      <c r="C573">
        <v>41.731179866269983</v>
      </c>
      <c r="D573">
        <v>6.4819024596522085E-2</v>
      </c>
      <c r="E573">
        <f t="shared" si="224"/>
        <v>-0.98751343496740618</v>
      </c>
      <c r="F573">
        <f t="shared" si="225"/>
        <v>-1.2540211338239244</v>
      </c>
      <c r="G573">
        <f t="shared" si="226"/>
        <v>-1.8580435018125072</v>
      </c>
      <c r="H573" s="2" t="str">
        <f t="shared" si="227"/>
        <v>Higher</v>
      </c>
      <c r="I573" s="2" t="str">
        <f t="shared" si="228"/>
        <v>Lower</v>
      </c>
      <c r="J573" s="2" t="str">
        <f t="shared" si="229"/>
        <v>Lower</v>
      </c>
      <c r="K573" s="2" t="str">
        <f t="shared" si="230"/>
        <v>Lower</v>
      </c>
      <c r="L573" s="2" t="str">
        <f t="shared" si="231"/>
        <v>Higher</v>
      </c>
      <c r="M573" s="2" t="str">
        <f t="shared" si="232"/>
        <v>Lower</v>
      </c>
      <c r="N573" s="2" t="str">
        <f t="shared" si="233"/>
        <v>Higher</v>
      </c>
      <c r="O573" s="2" t="str">
        <f t="shared" si="234"/>
        <v>Higher</v>
      </c>
      <c r="P573" s="2" t="str">
        <f t="shared" si="235"/>
        <v>Lower</v>
      </c>
      <c r="X573" s="4">
        <f>DATE(2022,5,20)</f>
        <v>44701</v>
      </c>
      <c r="Y573">
        <v>17.477955656080606</v>
      </c>
      <c r="Z573">
        <v>39.907693120926275</v>
      </c>
      <c r="AA573">
        <v>81.284999999999997</v>
      </c>
      <c r="AB573">
        <v>87.902000000000001</v>
      </c>
      <c r="AC573">
        <f t="shared" si="236"/>
        <v>-8.8030930472573835E-2</v>
      </c>
      <c r="AD573">
        <f t="shared" si="237"/>
        <v>-9.7260863678621148E-2</v>
      </c>
      <c r="AE573">
        <f t="shared" si="238"/>
        <v>-9.2299332060473138E-3</v>
      </c>
      <c r="AF573">
        <f t="shared" si="239"/>
        <v>-0.16162647398002417</v>
      </c>
      <c r="AH573">
        <f t="shared" si="240"/>
        <v>-8.3967031443865553E-2</v>
      </c>
      <c r="AI573">
        <f t="shared" si="241"/>
        <v>-7.6337678154956026E-2</v>
      </c>
      <c r="AJ573">
        <f t="shared" si="242"/>
        <v>7.6293532889095267E-3</v>
      </c>
      <c r="AK573">
        <f t="shared" si="243"/>
        <v>-0.1751640986384278</v>
      </c>
      <c r="AM573">
        <f t="shared" si="244"/>
        <v>-8.2325506155213848E-2</v>
      </c>
      <c r="AN573">
        <f t="shared" si="244"/>
        <v>-7.1551539285944363E-2</v>
      </c>
      <c r="AO573">
        <f t="shared" si="245"/>
        <v>1.0773966869269486E-2</v>
      </c>
      <c r="AP573">
        <f t="shared" si="246"/>
        <v>-0.41238350857299222</v>
      </c>
      <c r="AR573">
        <f t="shared" si="247"/>
        <v>0.38013807337182953</v>
      </c>
      <c r="AS573">
        <f t="shared" si="248"/>
        <v>0.67495794347711136</v>
      </c>
      <c r="AT573">
        <f t="shared" si="249"/>
        <v>0.29481987010528182</v>
      </c>
      <c r="AU573">
        <f t="shared" si="250"/>
        <v>-0.24207785646315988</v>
      </c>
    </row>
    <row r="574" spans="1:47" x14ac:dyDescent="0.25">
      <c r="A574" s="4">
        <f>DATE(2022,5,19)</f>
        <v>44700</v>
      </c>
      <c r="B574">
        <v>-0.54126851561884881</v>
      </c>
      <c r="C574">
        <v>45.90856976491262</v>
      </c>
      <c r="D574">
        <v>0.22297678141617902</v>
      </c>
      <c r="E574">
        <f t="shared" si="224"/>
        <v>-0.63105200939273154</v>
      </c>
      <c r="F574">
        <f t="shared" si="225"/>
        <v>-0.89866540475342949</v>
      </c>
      <c r="G574">
        <f t="shared" si="226"/>
        <v>-1.3660630826191691</v>
      </c>
      <c r="H574" s="2" t="str">
        <f t="shared" si="227"/>
        <v>Higher</v>
      </c>
      <c r="I574" s="2" t="str">
        <f t="shared" si="228"/>
        <v>Lower</v>
      </c>
      <c r="J574" s="2" t="str">
        <f t="shared" si="229"/>
        <v>Lower</v>
      </c>
      <c r="K574" s="2" t="str">
        <f t="shared" si="230"/>
        <v>Lower</v>
      </c>
      <c r="L574" s="2" t="str">
        <f t="shared" si="231"/>
        <v>Higher</v>
      </c>
      <c r="M574" s="2" t="str">
        <f t="shared" si="232"/>
        <v>Lower</v>
      </c>
      <c r="N574" s="2" t="str">
        <f t="shared" si="233"/>
        <v>Higher</v>
      </c>
      <c r="O574" s="2" t="str">
        <f t="shared" si="234"/>
        <v>Higher</v>
      </c>
      <c r="P574" s="2" t="str">
        <f t="shared" si="235"/>
        <v>Lower</v>
      </c>
      <c r="X574" s="4">
        <f>DATE(2022,5,19)</f>
        <v>44700</v>
      </c>
      <c r="Y574">
        <v>18.721492518271063</v>
      </c>
      <c r="Z574">
        <v>41.714336384243303</v>
      </c>
      <c r="AA574">
        <v>83.017499999999998</v>
      </c>
      <c r="AB574">
        <v>91.024000000000001</v>
      </c>
      <c r="AC574">
        <f t="shared" si="236"/>
        <v>-5.9080523871616338E-2</v>
      </c>
      <c r="AD574">
        <f t="shared" si="237"/>
        <v>-0.15890732232672614</v>
      </c>
      <c r="AE574">
        <f t="shared" si="238"/>
        <v>-9.9826798455109805E-2</v>
      </c>
      <c r="AF574">
        <f t="shared" si="239"/>
        <v>-0.6837658188966047</v>
      </c>
      <c r="AH574">
        <f t="shared" si="240"/>
        <v>-4.1526417058392051E-2</v>
      </c>
      <c r="AI574">
        <f t="shared" si="241"/>
        <v>-9.4656792005425539E-2</v>
      </c>
      <c r="AJ574">
        <f t="shared" si="242"/>
        <v>-5.3130374947033487E-2</v>
      </c>
      <c r="AK574">
        <f t="shared" si="243"/>
        <v>-0.38356892724499214</v>
      </c>
      <c r="AM574">
        <f t="shared" si="244"/>
        <v>-6.7363373809233407E-2</v>
      </c>
      <c r="AN574">
        <f t="shared" si="244"/>
        <v>-0.33646752827574899</v>
      </c>
      <c r="AO574">
        <f t="shared" si="245"/>
        <v>-0.26910415446651559</v>
      </c>
      <c r="AP574">
        <f t="shared" si="246"/>
        <v>-1.1730442661513976</v>
      </c>
      <c r="AR574">
        <f t="shared" si="247"/>
        <v>0.38215944147173636</v>
      </c>
      <c r="AS574">
        <f t="shared" si="248"/>
        <v>0.6847016648758717</v>
      </c>
      <c r="AT574">
        <f t="shared" si="249"/>
        <v>0.30254222340413534</v>
      </c>
      <c r="AU574">
        <f t="shared" si="250"/>
        <v>-0.22004390063198806</v>
      </c>
    </row>
    <row r="575" spans="1:47" x14ac:dyDescent="0.25">
      <c r="A575" s="4">
        <f>DATE(2022,5,18)</f>
        <v>44699</v>
      </c>
      <c r="B575">
        <v>-0.17776001484538106</v>
      </c>
      <c r="C575">
        <v>48.255781329251988</v>
      </c>
      <c r="D575">
        <v>0.32174781144575509</v>
      </c>
      <c r="E575">
        <f t="shared" si="224"/>
        <v>-0.29902262711296107</v>
      </c>
      <c r="F575">
        <f t="shared" si="225"/>
        <v>-0.70357399734368398</v>
      </c>
      <c r="G575">
        <f t="shared" si="226"/>
        <v>-1.0556170138051919</v>
      </c>
      <c r="H575" s="2" t="str">
        <f t="shared" si="227"/>
        <v>Higher</v>
      </c>
      <c r="I575" s="2" t="str">
        <f t="shared" si="228"/>
        <v>Lower</v>
      </c>
      <c r="J575" s="2" t="str">
        <f t="shared" si="229"/>
        <v>Lower</v>
      </c>
      <c r="K575" s="2" t="str">
        <f t="shared" si="230"/>
        <v>Lower</v>
      </c>
      <c r="L575" s="2" t="str">
        <f t="shared" si="231"/>
        <v>Higher</v>
      </c>
      <c r="M575" s="2" t="str">
        <f t="shared" si="232"/>
        <v>Lower</v>
      </c>
      <c r="N575" s="2" t="str">
        <f t="shared" si="233"/>
        <v>Higher</v>
      </c>
      <c r="O575" s="2" t="str">
        <f t="shared" si="234"/>
        <v>Higher</v>
      </c>
      <c r="P575" s="2" t="str">
        <f t="shared" si="235"/>
        <v>Lower</v>
      </c>
      <c r="X575" s="4">
        <f>DATE(2022,5,18)</f>
        <v>44699</v>
      </c>
      <c r="Y575">
        <v>20.531182720467072</v>
      </c>
      <c r="Z575">
        <v>43.7860888584093</v>
      </c>
      <c r="AA575">
        <v>85.512499999999989</v>
      </c>
      <c r="AB575">
        <v>95.022249999999985</v>
      </c>
      <c r="AC575">
        <f t="shared" si="236"/>
        <v>-2.1832718574373532E-2</v>
      </c>
      <c r="AD575">
        <f t="shared" si="237"/>
        <v>1.0688641007170986E-2</v>
      </c>
      <c r="AE575">
        <f t="shared" si="238"/>
        <v>3.2521359581544521E-2</v>
      </c>
      <c r="AF575">
        <f t="shared" si="239"/>
        <v>7.7268442409192131E-2</v>
      </c>
      <c r="AH575">
        <f t="shared" si="240"/>
        <v>-5.4812230877306113E-3</v>
      </c>
      <c r="AI575">
        <f t="shared" si="241"/>
        <v>1.7010478973107596E-3</v>
      </c>
      <c r="AJ575">
        <f t="shared" si="242"/>
        <v>7.1822709850413707E-3</v>
      </c>
      <c r="AK575">
        <f t="shared" si="243"/>
        <v>-0.177504250504464</v>
      </c>
      <c r="AM575">
        <f t="shared" si="244"/>
        <v>-9.2608896050743336E-2</v>
      </c>
      <c r="AN575">
        <f t="shared" si="244"/>
        <v>8.2906661383922248E-2</v>
      </c>
      <c r="AO575">
        <f t="shared" si="245"/>
        <v>0.17551555743466557</v>
      </c>
      <c r="AP575">
        <f t="shared" si="246"/>
        <v>3.2140248388300575E-2</v>
      </c>
      <c r="AR575">
        <f t="shared" si="247"/>
        <v>0.39813928141386506</v>
      </c>
      <c r="AS575">
        <f t="shared" si="248"/>
        <v>0.73052591773762532</v>
      </c>
      <c r="AT575">
        <f t="shared" si="249"/>
        <v>0.33238663632376025</v>
      </c>
      <c r="AU575">
        <f t="shared" si="250"/>
        <v>-0.1327573055457795</v>
      </c>
    </row>
    <row r="576" spans="1:47" x14ac:dyDescent="0.25">
      <c r="A576" s="4">
        <f>DATE(2022,5,17)</f>
        <v>44698</v>
      </c>
      <c r="B576">
        <v>0.2380462124490994</v>
      </c>
      <c r="C576">
        <v>62.688265529294192</v>
      </c>
      <c r="D576">
        <v>0.90300489122444605</v>
      </c>
      <c r="E576">
        <f t="shared" si="224"/>
        <v>8.6217791889413503E-2</v>
      </c>
      <c r="F576">
        <f t="shared" si="225"/>
        <v>0.56571492865120132</v>
      </c>
      <c r="G576">
        <f t="shared" si="226"/>
        <v>0.87638180111537933</v>
      </c>
      <c r="H576" s="2" t="str">
        <f t="shared" si="227"/>
        <v>Higher</v>
      </c>
      <c r="I576" s="2" t="str">
        <f t="shared" si="228"/>
        <v>Lower</v>
      </c>
      <c r="J576" s="2" t="str">
        <f t="shared" si="229"/>
        <v>Lower</v>
      </c>
      <c r="K576" s="2" t="str">
        <f t="shared" si="230"/>
        <v>Lower</v>
      </c>
      <c r="L576" s="2" t="str">
        <f t="shared" si="231"/>
        <v>Higher</v>
      </c>
      <c r="M576" s="2" t="str">
        <f t="shared" si="232"/>
        <v>Lower</v>
      </c>
      <c r="N576" s="2" t="str">
        <f t="shared" si="233"/>
        <v>Higher</v>
      </c>
      <c r="O576" s="2" t="str">
        <f t="shared" si="234"/>
        <v>Lower</v>
      </c>
      <c r="P576" s="2" t="str">
        <f t="shared" si="235"/>
        <v>Lower</v>
      </c>
      <c r="X576" s="4">
        <f>DATE(2022,5,17)</f>
        <v>44698</v>
      </c>
      <c r="Y576">
        <v>24.127173879609607</v>
      </c>
      <c r="Z576">
        <v>42.036453406689894</v>
      </c>
      <c r="AA576">
        <v>91.45</v>
      </c>
      <c r="AB576">
        <v>94.174999999999997</v>
      </c>
      <c r="AC576">
        <f t="shared" si="236"/>
        <v>4.6671033312059282E-2</v>
      </c>
      <c r="AD576">
        <f t="shared" si="237"/>
        <v>-4.7952972581985692E-2</v>
      </c>
      <c r="AE576">
        <f t="shared" si="238"/>
        <v>-9.4624005894044974E-2</v>
      </c>
      <c r="AF576">
        <f t="shared" si="239"/>
        <v>-0.65393668703739749</v>
      </c>
      <c r="AH576">
        <f t="shared" si="240"/>
        <v>0.13105067927876479</v>
      </c>
      <c r="AI576">
        <f t="shared" si="241"/>
        <v>4.3311071572256265E-3</v>
      </c>
      <c r="AJ576">
        <f t="shared" si="242"/>
        <v>-0.12671957212153917</v>
      </c>
      <c r="AK576">
        <f t="shared" si="243"/>
        <v>-0.63560628723667578</v>
      </c>
      <c r="AM576">
        <f t="shared" si="244"/>
        <v>2.1777238214945913E-2</v>
      </c>
      <c r="AN576">
        <f t="shared" si="244"/>
        <v>0.19021672459495634</v>
      </c>
      <c r="AO576">
        <f t="shared" si="245"/>
        <v>0.16843948638001044</v>
      </c>
      <c r="AP576">
        <f t="shared" si="246"/>
        <v>1.2956351723391425E-2</v>
      </c>
      <c r="AR576">
        <f t="shared" si="247"/>
        <v>0.46832106523367972</v>
      </c>
      <c r="AS576">
        <f t="shared" si="248"/>
        <v>0.74658044065753781</v>
      </c>
      <c r="AT576">
        <f t="shared" si="249"/>
        <v>0.27825937542385809</v>
      </c>
      <c r="AU576">
        <f t="shared" si="250"/>
        <v>-0.29255735392386234</v>
      </c>
    </row>
    <row r="577" spans="1:47" x14ac:dyDescent="0.25">
      <c r="A577" s="4">
        <f>DATE(2022,5,16)</f>
        <v>44697</v>
      </c>
      <c r="B577">
        <v>0.12964998253803595</v>
      </c>
      <c r="C577">
        <v>59.234260219186986</v>
      </c>
      <c r="D577">
        <v>0.75810748280674001</v>
      </c>
      <c r="E577">
        <f t="shared" si="224"/>
        <v>-2.330729190530554E-2</v>
      </c>
      <c r="F577">
        <f t="shared" si="225"/>
        <v>0.25265119178458251</v>
      </c>
      <c r="G577">
        <f t="shared" si="226"/>
        <v>0.38125629268620514</v>
      </c>
      <c r="H577" s="2" t="str">
        <f t="shared" si="227"/>
        <v>Higher</v>
      </c>
      <c r="I577" s="2" t="str">
        <f t="shared" si="228"/>
        <v>Lower</v>
      </c>
      <c r="J577" s="2" t="str">
        <f t="shared" si="229"/>
        <v>Lower</v>
      </c>
      <c r="K577" s="2" t="str">
        <f t="shared" si="230"/>
        <v>Lower</v>
      </c>
      <c r="L577" s="2" t="str">
        <f t="shared" si="231"/>
        <v>Higher</v>
      </c>
      <c r="M577" s="2" t="str">
        <f t="shared" si="232"/>
        <v>Lower</v>
      </c>
      <c r="N577" s="2" t="str">
        <f t="shared" si="233"/>
        <v>Higher</v>
      </c>
      <c r="O577" s="2" t="str">
        <f t="shared" si="234"/>
        <v>Lower</v>
      </c>
      <c r="P577" s="2" t="str">
        <f t="shared" si="235"/>
        <v>Lower</v>
      </c>
      <c r="X577" s="4">
        <f>DATE(2022,5,16)</f>
        <v>44697</v>
      </c>
      <c r="Y577">
        <v>20.982251839739259</v>
      </c>
      <c r="Z577">
        <v>41.062557663616744</v>
      </c>
      <c r="AA577">
        <v>89.275000000000006</v>
      </c>
      <c r="AB577">
        <v>92.86</v>
      </c>
      <c r="AC577">
        <f t="shared" si="236"/>
        <v>1.2171221417071755E-2</v>
      </c>
      <c r="AD577">
        <f t="shared" si="237"/>
        <v>-1.6649341493792311E-2</v>
      </c>
      <c r="AE577">
        <f t="shared" si="238"/>
        <v>-2.8820562910864066E-2</v>
      </c>
      <c r="AF577">
        <f t="shared" si="239"/>
        <v>-0.27667900753008978</v>
      </c>
      <c r="AH577" t="str">
        <f t="shared" si="240"/>
        <v/>
      </c>
      <c r="AI577">
        <f t="shared" si="241"/>
        <v>-2.9289020606181767E-2</v>
      </c>
      <c r="AJ577" t="str">
        <f t="shared" si="242"/>
        <v/>
      </c>
      <c r="AK577" t="str">
        <f t="shared" si="243"/>
        <v/>
      </c>
      <c r="AM577">
        <f t="shared" si="244"/>
        <v>-3.4384949244024871E-3</v>
      </c>
      <c r="AN577" t="str">
        <f t="shared" si="244"/>
        <v/>
      </c>
      <c r="AO577" t="str">
        <f t="shared" si="245"/>
        <v/>
      </c>
      <c r="AP577" t="str">
        <f t="shared" si="246"/>
        <v/>
      </c>
      <c r="AR577">
        <f t="shared" si="247"/>
        <v>0.45509432482783518</v>
      </c>
      <c r="AS577">
        <f t="shared" si="248"/>
        <v>0.7722677777911725</v>
      </c>
      <c r="AT577">
        <f t="shared" si="249"/>
        <v>0.31717345296333732</v>
      </c>
      <c r="AU577">
        <f t="shared" si="250"/>
        <v>-0.17871976603345149</v>
      </c>
    </row>
    <row r="578" spans="1:47" x14ac:dyDescent="0.25">
      <c r="A578" s="4">
        <f>DATE(2022,5,13)</f>
        <v>44694</v>
      </c>
      <c r="B578">
        <v>0.13564404863233026</v>
      </c>
      <c r="C578">
        <v>57.403504805913087</v>
      </c>
      <c r="D578">
        <v>0.69672251637523719</v>
      </c>
      <c r="E578">
        <f t="shared" si="224"/>
        <v>-2.3592825092239249E-2</v>
      </c>
      <c r="F578">
        <f t="shared" si="225"/>
        <v>8.5180179353724461E-2</v>
      </c>
      <c r="G578">
        <f t="shared" si="226"/>
        <v>0.16674508962147783</v>
      </c>
      <c r="H578" s="2" t="str">
        <f t="shared" si="227"/>
        <v>Higher</v>
      </c>
      <c r="I578" s="2" t="str">
        <f t="shared" si="228"/>
        <v>Lower</v>
      </c>
      <c r="J578" s="2" t="str">
        <f t="shared" si="229"/>
        <v>Lower</v>
      </c>
      <c r="K578" s="2" t="str">
        <f t="shared" si="230"/>
        <v>Lower</v>
      </c>
      <c r="L578" s="2" t="str">
        <f t="shared" si="231"/>
        <v>Higher</v>
      </c>
      <c r="M578" s="2" t="str">
        <f t="shared" si="232"/>
        <v>Lower</v>
      </c>
      <c r="N578" s="2" t="str">
        <f t="shared" si="233"/>
        <v>Higher</v>
      </c>
      <c r="O578" s="2" t="str">
        <f t="shared" si="234"/>
        <v>Lower</v>
      </c>
      <c r="P578" s="2" t="str">
        <f t="shared" si="235"/>
        <v>Lower</v>
      </c>
      <c r="X578" s="4">
        <f>DATE(2022,5,13)</f>
        <v>44694</v>
      </c>
      <c r="Y578">
        <v>22.05688392811231</v>
      </c>
      <c r="Z578">
        <v>43.119645156186714</v>
      </c>
      <c r="AA578">
        <v>88.765000000000001</v>
      </c>
      <c r="AB578">
        <v>96.881</v>
      </c>
      <c r="AC578">
        <f t="shared" si="236"/>
        <v>-2.4674752172286332E-2</v>
      </c>
      <c r="AD578">
        <f t="shared" si="237"/>
        <v>-4.8622541454834523E-2</v>
      </c>
      <c r="AE578">
        <f t="shared" si="238"/>
        <v>-2.394778928254819E-2</v>
      </c>
      <c r="AF578">
        <f t="shared" si="239"/>
        <v>-0.2489972027511034</v>
      </c>
      <c r="AH578" t="str">
        <f t="shared" si="240"/>
        <v/>
      </c>
      <c r="AI578" t="str">
        <f t="shared" si="241"/>
        <v/>
      </c>
      <c r="AJ578" t="str">
        <f t="shared" si="242"/>
        <v/>
      </c>
      <c r="AK578" t="str">
        <f t="shared" si="243"/>
        <v/>
      </c>
      <c r="AM578">
        <f t="shared" si="244"/>
        <v>8.4528477040005556E-4</v>
      </c>
      <c r="AN578">
        <f t="shared" si="244"/>
        <v>0.28304452824738541</v>
      </c>
      <c r="AO578">
        <f t="shared" si="245"/>
        <v>0.28219924347698533</v>
      </c>
      <c r="AP578">
        <f t="shared" si="246"/>
        <v>0.32045701919256048</v>
      </c>
      <c r="AR578">
        <f t="shared" si="247"/>
        <v>0.45002761353643728</v>
      </c>
      <c r="AS578">
        <f t="shared" si="248"/>
        <v>0.80370969905555867</v>
      </c>
      <c r="AT578">
        <f t="shared" si="249"/>
        <v>0.35368208551912139</v>
      </c>
      <c r="AU578">
        <f t="shared" si="250"/>
        <v>-7.1460565831910169E-2</v>
      </c>
    </row>
    <row r="579" spans="1:47" x14ac:dyDescent="0.25">
      <c r="A579" s="4">
        <f>DATE(2022,5,12)</f>
        <v>44693</v>
      </c>
      <c r="B579">
        <v>0.21414912867105063</v>
      </c>
      <c r="C579">
        <v>57.038561402719878</v>
      </c>
      <c r="D579">
        <v>0.69701931250806393</v>
      </c>
      <c r="E579">
        <f t="shared" si="224"/>
        <v>4.6281865253544718E-2</v>
      </c>
      <c r="F579">
        <f t="shared" si="225"/>
        <v>5.0677388488590748E-2</v>
      </c>
      <c r="G579">
        <f t="shared" si="226"/>
        <v>0.16059098872160849</v>
      </c>
      <c r="H579" s="2" t="str">
        <f t="shared" si="227"/>
        <v>Higher</v>
      </c>
      <c r="I579" s="2" t="str">
        <f t="shared" si="228"/>
        <v>Lower</v>
      </c>
      <c r="J579" s="2" t="str">
        <f t="shared" si="229"/>
        <v>Lower</v>
      </c>
      <c r="K579" s="2" t="str">
        <f t="shared" si="230"/>
        <v>Lower</v>
      </c>
      <c r="L579" s="2" t="str">
        <f t="shared" si="231"/>
        <v>Higher</v>
      </c>
      <c r="M579" s="2" t="str">
        <f t="shared" si="232"/>
        <v>Lower</v>
      </c>
      <c r="N579" s="2" t="str">
        <f t="shared" si="233"/>
        <v>Higher</v>
      </c>
      <c r="O579" s="2" t="str">
        <f t="shared" si="234"/>
        <v>Lower</v>
      </c>
      <c r="P579" s="2" t="str">
        <f t="shared" si="235"/>
        <v>Lower</v>
      </c>
      <c r="X579" s="4">
        <f>DATE(2022,5,12)</f>
        <v>44693</v>
      </c>
      <c r="Y579">
        <v>20.564349587864214</v>
      </c>
      <c r="Z579">
        <v>48.646111680020368</v>
      </c>
      <c r="AA579">
        <v>88.07</v>
      </c>
      <c r="AB579">
        <v>106.70099999999999</v>
      </c>
      <c r="AC579">
        <f t="shared" si="236"/>
        <v>-1.2272515827599285E-2</v>
      </c>
      <c r="AD579">
        <f t="shared" si="237"/>
        <v>1.8104306358143988E-3</v>
      </c>
      <c r="AE579">
        <f t="shared" si="238"/>
        <v>1.4082946463413685E-2</v>
      </c>
      <c r="AF579">
        <f t="shared" si="239"/>
        <v>-3.1132944936980791E-2</v>
      </c>
      <c r="AH579">
        <f t="shared" si="240"/>
        <v>0.10372804746404438</v>
      </c>
      <c r="AI579">
        <f t="shared" si="241"/>
        <v>0.1096485271370604</v>
      </c>
      <c r="AJ579">
        <f t="shared" si="242"/>
        <v>5.9204796730160242E-3</v>
      </c>
      <c r="AK579">
        <f t="shared" si="243"/>
        <v>-0.18409207103891106</v>
      </c>
      <c r="AM579">
        <f t="shared" si="244"/>
        <v>8.9819682563888927E-3</v>
      </c>
      <c r="AN579">
        <f t="shared" si="244"/>
        <v>0.36489168947991474</v>
      </c>
      <c r="AO579">
        <f t="shared" si="245"/>
        <v>0.35590972122352582</v>
      </c>
      <c r="AP579">
        <f t="shared" si="246"/>
        <v>0.52034121152256396</v>
      </c>
      <c r="AR579">
        <f t="shared" si="247"/>
        <v>0.45819669019482634</v>
      </c>
      <c r="AS579">
        <f t="shared" si="248"/>
        <v>0.91939180424602374</v>
      </c>
      <c r="AT579">
        <f t="shared" si="249"/>
        <v>0.4611951140511974</v>
      </c>
      <c r="AU579">
        <f t="shared" si="250"/>
        <v>0.24570076203141991</v>
      </c>
    </row>
    <row r="580" spans="1:47" x14ac:dyDescent="0.25">
      <c r="A580" s="4">
        <f>DATE(2022,5,11)</f>
        <v>44692</v>
      </c>
      <c r="B580">
        <v>0.31470597080380758</v>
      </c>
      <c r="C580">
        <v>58.238990050907304</v>
      </c>
      <c r="D580">
        <v>0.75428747078587499</v>
      </c>
      <c r="E580">
        <f t="shared" si="224"/>
        <v>0.13789616348106601</v>
      </c>
      <c r="F580">
        <f t="shared" si="225"/>
        <v>0.15238449498792556</v>
      </c>
      <c r="G580">
        <f t="shared" si="226"/>
        <v>0.33640641184869424</v>
      </c>
      <c r="H580" s="2" t="str">
        <f t="shared" si="227"/>
        <v>Higher</v>
      </c>
      <c r="I580" s="2" t="str">
        <f t="shared" si="228"/>
        <v>Lower</v>
      </c>
      <c r="J580" s="2" t="str">
        <f t="shared" si="229"/>
        <v>Lower</v>
      </c>
      <c r="K580" s="2" t="str">
        <f t="shared" si="230"/>
        <v>Lower</v>
      </c>
      <c r="L580" s="2" t="str">
        <f t="shared" si="231"/>
        <v>Lower</v>
      </c>
      <c r="M580" s="2" t="str">
        <f t="shared" si="232"/>
        <v>Lower</v>
      </c>
      <c r="N580" s="2" t="str">
        <f t="shared" si="233"/>
        <v>Higher</v>
      </c>
      <c r="O580" s="2" t="str">
        <f t="shared" si="234"/>
        <v>Lower</v>
      </c>
      <c r="P580" s="2" t="str">
        <f t="shared" si="235"/>
        <v>Lower</v>
      </c>
      <c r="X580" s="4">
        <f>DATE(2022,5,11)</f>
        <v>44692</v>
      </c>
      <c r="Y580">
        <v>21.421670150852087</v>
      </c>
      <c r="Z580">
        <v>39.313685294979841</v>
      </c>
      <c r="AA580">
        <v>87.4</v>
      </c>
      <c r="AB580">
        <v>94.012</v>
      </c>
      <c r="AC580">
        <f t="shared" si="236"/>
        <v>-6.5858173063659846E-3</v>
      </c>
      <c r="AD580">
        <f t="shared" si="237"/>
        <v>-9.9245828711493733E-2</v>
      </c>
      <c r="AE580">
        <f t="shared" si="238"/>
        <v>-9.2660011405127751E-2</v>
      </c>
      <c r="AF580">
        <f t="shared" si="239"/>
        <v>-0.6426852803087314</v>
      </c>
      <c r="AH580">
        <f t="shared" si="240"/>
        <v>0.11609681510508242</v>
      </c>
      <c r="AI580">
        <f t="shared" si="241"/>
        <v>-0.11361887970129887</v>
      </c>
      <c r="AJ580">
        <f t="shared" si="242"/>
        <v>-0.22971569480638129</v>
      </c>
      <c r="AK580">
        <f t="shared" si="243"/>
        <v>-0.98866062289541101</v>
      </c>
      <c r="AM580">
        <f t="shared" si="244"/>
        <v>-2.5696740756856358E-2</v>
      </c>
      <c r="AN580">
        <f t="shared" si="244"/>
        <v>0.29649985620764424</v>
      </c>
      <c r="AO580">
        <f t="shared" si="245"/>
        <v>0.32219659696450059</v>
      </c>
      <c r="AP580">
        <f t="shared" si="246"/>
        <v>0.42969672284539823</v>
      </c>
      <c r="AR580">
        <f t="shared" si="247"/>
        <v>0.45998533051868973</v>
      </c>
      <c r="AS580">
        <f t="shared" si="248"/>
        <v>0.80393304363139495</v>
      </c>
      <c r="AT580">
        <f t="shared" si="249"/>
        <v>0.34394771311270522</v>
      </c>
      <c r="AU580">
        <f t="shared" si="250"/>
        <v>-9.9728081947784111E-2</v>
      </c>
    </row>
    <row r="581" spans="1:47" x14ac:dyDescent="0.25">
      <c r="A581" s="4">
        <f>DATE(2022,5,10)</f>
        <v>44691</v>
      </c>
      <c r="B581">
        <v>0.36237754885793083</v>
      </c>
      <c r="C581">
        <v>55.990736755470728</v>
      </c>
      <c r="D581">
        <v>0.68570812318559893</v>
      </c>
      <c r="E581">
        <f t="shared" ref="E581:E644" si="251">(B581-AVERAGE(B581:B710))/_xlfn.STDEV.S(B581:B710)</f>
        <v>0.18173653197933043</v>
      </c>
      <c r="F581">
        <f t="shared" ref="F581:F644" si="252">(C581-AVERAGE(C581:C710))/_xlfn.STDEV.S(C581:C710)</f>
        <v>-4.7368367424188269E-2</v>
      </c>
      <c r="G581">
        <f t="shared" ref="G581:G644" si="253">(D581-AVERAGE(D581:D710))/_xlfn.STDEV.S(D581:D710)</f>
        <v>0.1037792175295558</v>
      </c>
      <c r="H581" s="2" t="str">
        <f t="shared" ref="H581:H644" si="254">IF(AVERAGEA(C581:C601)&gt;AVERAGE(C602:C622),"Higher","Lower")</f>
        <v>Higher</v>
      </c>
      <c r="I581" s="2" t="str">
        <f t="shared" ref="I581:I644" si="255">IF(AVERAGEA(C581:C636)&gt;AVERAGE(C637:C692),"Higher","Lower")</f>
        <v>Lower</v>
      </c>
      <c r="J581" s="2" t="str">
        <f t="shared" ref="J581:J644" si="256">IF(AVERAGEA(C581:C693)&gt;AVERAGE(C694:C806),"Higher","Lower")</f>
        <v>Lower</v>
      </c>
      <c r="K581" s="2" t="str">
        <f t="shared" ref="K581:K644" si="257">IF(AVERAGEA(B581:B601)&gt;AVERAGE(B602:B622),"Higher","Lower")</f>
        <v>Lower</v>
      </c>
      <c r="L581" s="2" t="str">
        <f t="shared" ref="L581:L644" si="258">IF(AVERAGEA(B581:B636)&gt;AVERAGE(B637:B692),"Higher","Lower")</f>
        <v>Lower</v>
      </c>
      <c r="M581" s="2" t="str">
        <f t="shared" ref="M581:M644" si="259">IF(AVERAGEA(B581:B693)&gt;AVERAGE(B694:B806),"Higher","Lower")</f>
        <v>Lower</v>
      </c>
      <c r="N581" s="2" t="str">
        <f t="shared" ref="N581:N644" si="260">IF(AVERAGEA(D581:D601)&gt;AVERAGE(D602:D622),"Higher","Lower")</f>
        <v>Higher</v>
      </c>
      <c r="O581" s="2" t="str">
        <f t="shared" ref="O581:O644" si="261">IF(AVERAGEA(D581:D636)&gt;AVERAGE(D637:D692),"Higher","Lower")</f>
        <v>Lower</v>
      </c>
      <c r="P581" s="2" t="str">
        <f t="shared" ref="P581:P644" si="262">IF(AVERAGEA(D581:D693)&gt;AVERAGE(D694:D806),"Higher","Lower")</f>
        <v>Lower</v>
      </c>
      <c r="X581" s="4">
        <f>DATE(2022,5,10)</f>
        <v>44691</v>
      </c>
      <c r="Y581">
        <v>24.7552736021612</v>
      </c>
      <c r="Z581">
        <v>41.987774007061013</v>
      </c>
      <c r="AA581">
        <v>87.28</v>
      </c>
      <c r="AB581">
        <v>98.801000000000002</v>
      </c>
      <c r="AC581">
        <f t="shared" ref="AC581:AD644" si="263">IFERROR(LN(AA581/AA586),"")</f>
        <v>2.7535584171830382E-3</v>
      </c>
      <c r="AD581">
        <f t="shared" si="263"/>
        <v>-6.3059227156213584E-3</v>
      </c>
      <c r="AE581">
        <f t="shared" ref="AE581:AE644" si="264">IFERROR(AD581-AC581,"")</f>
        <v>-9.0594811328043971E-3</v>
      </c>
      <c r="AF581">
        <f t="shared" ref="AF581:AF644" si="265">IFERROR((AE581-AVERAGEA(AE581:AE1103))/_xlfn.STDEV.S(AE581:AE1098),"")</f>
        <v>-0.16501363362493432</v>
      </c>
      <c r="AH581">
        <f t="shared" ref="AH581:AI644" si="266">IFERROR(LN(AA581/AA601),"")</f>
        <v>0.10551329237495197</v>
      </c>
      <c r="AI581">
        <f t="shared" si="266"/>
        <v>-3.7747262961332163E-2</v>
      </c>
      <c r="AJ581">
        <f t="shared" ref="AJ581:AJ644" si="267">IFERROR(AI581-AH581,"")</f>
        <v>-0.14326055533628412</v>
      </c>
      <c r="AK581">
        <f t="shared" ref="AK581:AK644" si="268">IFERROR((AJ581-AVERAGEA(AJ581:AJ1103))/_xlfn.STDEV.S(AJ581:AJ1098),"")</f>
        <v>-0.69567485630611281</v>
      </c>
      <c r="AM581">
        <f t="shared" ref="AM581:AN644" si="269">IFERROR(LN(AA581/AA641),"")</f>
        <v>-4.5412724203831752E-2</v>
      </c>
      <c r="AN581">
        <f t="shared" si="269"/>
        <v>0.32158327511528007</v>
      </c>
      <c r="AO581">
        <f t="shared" ref="AO581:AO644" si="270">IFERROR(AN581-AM581,"")</f>
        <v>0.36699599931911181</v>
      </c>
      <c r="AP581">
        <f t="shared" ref="AP581:AP644" si="271">IFERROR((AO581-AVERAGEA(AO581:AO1103))/_xlfn.STDEV.S(AO581:AO1098),"")</f>
        <v>0.5511499044142627</v>
      </c>
      <c r="AR581">
        <f t="shared" ref="AR581:AR644" si="272">IFERROR(LN(AA581/AA781),"")</f>
        <v>0.47298699347801687</v>
      </c>
      <c r="AS581">
        <f t="shared" ref="AS581:AS644" si="273">IFERROR(LN(AB581/AB781),"")</f>
        <v>0.86870428722719928</v>
      </c>
      <c r="AT581">
        <f t="shared" ref="AT581:AT644" si="274">IFERROR(AS581-AR581,"")</f>
        <v>0.39571729374918241</v>
      </c>
      <c r="AU581">
        <f t="shared" ref="AU581:AU644" si="275">IFERROR((AT581-AVERAGEA(AT581:AT1103))/_xlfn.STDEV.S(AT581:AT1098),"")</f>
        <v>5.2719152303319798E-2</v>
      </c>
    </row>
    <row r="582" spans="1:47" x14ac:dyDescent="0.25">
      <c r="A582" s="4">
        <f>DATE(2022,5,9)</f>
        <v>44690</v>
      </c>
      <c r="B582">
        <v>0.53257585440681288</v>
      </c>
      <c r="C582">
        <v>55.513089302496631</v>
      </c>
      <c r="D582">
        <v>0.68657820494198363</v>
      </c>
      <c r="E582">
        <f t="shared" si="251"/>
        <v>0.34374178825538648</v>
      </c>
      <c r="F582">
        <f t="shared" si="252"/>
        <v>-8.7554187404959266E-2</v>
      </c>
      <c r="G582">
        <f t="shared" si="253"/>
        <v>0.10498450753183519</v>
      </c>
      <c r="H582" s="2" t="str">
        <f t="shared" si="254"/>
        <v>Higher</v>
      </c>
      <c r="I582" s="2" t="str">
        <f t="shared" si="255"/>
        <v>Lower</v>
      </c>
      <c r="J582" s="2" t="str">
        <f t="shared" si="256"/>
        <v>Lower</v>
      </c>
      <c r="K582" s="2" t="str">
        <f t="shared" si="257"/>
        <v>Lower</v>
      </c>
      <c r="L582" s="2" t="str">
        <f t="shared" si="258"/>
        <v>Lower</v>
      </c>
      <c r="M582" s="2" t="str">
        <f t="shared" si="259"/>
        <v>Lower</v>
      </c>
      <c r="N582" s="2" t="str">
        <f t="shared" si="260"/>
        <v>Higher</v>
      </c>
      <c r="O582" s="2" t="str">
        <f t="shared" si="261"/>
        <v>Lower</v>
      </c>
      <c r="P582" s="2" t="str">
        <f t="shared" si="262"/>
        <v>Lower</v>
      </c>
      <c r="X582" s="4">
        <f>DATE(2022,5,9)</f>
        <v>44690</v>
      </c>
      <c r="Y582">
        <v>26.118430012039962</v>
      </c>
      <c r="Z582">
        <v>41.450066199062057</v>
      </c>
      <c r="AA582">
        <v>88.194999999999993</v>
      </c>
      <c r="AB582">
        <v>94.419000000000011</v>
      </c>
      <c r="AC582">
        <f t="shared" si="263"/>
        <v>5.644167666344619E-2</v>
      </c>
      <c r="AD582">
        <f t="shared" si="263"/>
        <v>-2.7494289443393053E-2</v>
      </c>
      <c r="AE582">
        <f t="shared" si="264"/>
        <v>-8.3935966106839247E-2</v>
      </c>
      <c r="AF582">
        <f t="shared" si="265"/>
        <v>-0.59337350370017639</v>
      </c>
      <c r="AH582">
        <f t="shared" si="266"/>
        <v>0.11769445746037985</v>
      </c>
      <c r="AI582">
        <f t="shared" si="266"/>
        <v>-5.8796924308761343E-2</v>
      </c>
      <c r="AJ582">
        <f t="shared" si="267"/>
        <v>-0.1764913817691412</v>
      </c>
      <c r="AK582">
        <f t="shared" si="268"/>
        <v>-0.81014534454666343</v>
      </c>
      <c r="AM582">
        <f t="shared" si="269"/>
        <v>-4.0660974697460064E-2</v>
      </c>
      <c r="AN582">
        <f t="shared" si="269"/>
        <v>0.15071316714974209</v>
      </c>
      <c r="AO582">
        <f t="shared" si="270"/>
        <v>0.19137414184720214</v>
      </c>
      <c r="AP582">
        <f t="shared" si="271"/>
        <v>7.7761341791803412E-2</v>
      </c>
      <c r="AR582">
        <f t="shared" si="272"/>
        <v>0.48525627420250023</v>
      </c>
      <c r="AS582">
        <f t="shared" si="273"/>
        <v>0.80525693929002828</v>
      </c>
      <c r="AT582">
        <f t="shared" si="274"/>
        <v>0.32000066508752806</v>
      </c>
      <c r="AU582">
        <f t="shared" si="275"/>
        <v>-0.17042912249226039</v>
      </c>
    </row>
    <row r="583" spans="1:47" x14ac:dyDescent="0.25">
      <c r="A583" s="4">
        <f>DATE(2022,5,6)</f>
        <v>44687</v>
      </c>
      <c r="B583">
        <v>0.76621568071771118</v>
      </c>
      <c r="C583">
        <v>64.726660752623133</v>
      </c>
      <c r="D583">
        <v>0.9808314237125495</v>
      </c>
      <c r="E583">
        <f t="shared" si="251"/>
        <v>0.5679805882481046</v>
      </c>
      <c r="F583">
        <f t="shared" si="252"/>
        <v>0.72278629084158685</v>
      </c>
      <c r="G583">
        <f t="shared" si="253"/>
        <v>1.0527615078567589</v>
      </c>
      <c r="H583" s="2" t="str">
        <f t="shared" si="254"/>
        <v>Higher</v>
      </c>
      <c r="I583" s="2" t="str">
        <f t="shared" si="255"/>
        <v>Lower</v>
      </c>
      <c r="J583" s="2" t="str">
        <f t="shared" si="256"/>
        <v>Lower</v>
      </c>
      <c r="K583" s="2" t="str">
        <f t="shared" si="257"/>
        <v>Lower</v>
      </c>
      <c r="L583" s="2" t="str">
        <f t="shared" si="258"/>
        <v>Lower</v>
      </c>
      <c r="M583" s="2" t="str">
        <f t="shared" si="259"/>
        <v>Lower</v>
      </c>
      <c r="N583" s="2" t="str">
        <f t="shared" si="260"/>
        <v>Higher</v>
      </c>
      <c r="O583" s="2" t="str">
        <f t="shared" si="261"/>
        <v>Lower</v>
      </c>
      <c r="P583" s="2" t="str">
        <f t="shared" si="262"/>
        <v>Lower</v>
      </c>
      <c r="X583" s="4">
        <f>DATE(2022,5,6)</f>
        <v>44687</v>
      </c>
      <c r="Y583">
        <v>28.992569006357094</v>
      </c>
      <c r="Z583">
        <v>46.254777873453691</v>
      </c>
      <c r="AA583">
        <v>90.982500000000016</v>
      </c>
      <c r="AB583">
        <v>101.708</v>
      </c>
      <c r="AC583">
        <f t="shared" si="263"/>
        <v>7.678959428917656E-2</v>
      </c>
      <c r="AD583">
        <f t="shared" si="263"/>
        <v>2.2450957394312347E-2</v>
      </c>
      <c r="AE583">
        <f t="shared" si="264"/>
        <v>-5.4338636894864213E-2</v>
      </c>
      <c r="AF583">
        <f t="shared" si="265"/>
        <v>-0.42508016960746337</v>
      </c>
      <c r="AH583">
        <f t="shared" si="266"/>
        <v>0.12654898449697377</v>
      </c>
      <c r="AI583">
        <f t="shared" si="266"/>
        <v>-2.1149676899130273E-2</v>
      </c>
      <c r="AJ583">
        <f t="shared" si="267"/>
        <v>-0.14769866139610405</v>
      </c>
      <c r="AK583">
        <f t="shared" si="268"/>
        <v>-0.71339596107669101</v>
      </c>
      <c r="AM583">
        <f t="shared" si="269"/>
        <v>-1.0088254514680281E-2</v>
      </c>
      <c r="AN583">
        <f t="shared" si="269"/>
        <v>0.28617889634137994</v>
      </c>
      <c r="AO583">
        <f t="shared" si="270"/>
        <v>0.2962671508560602</v>
      </c>
      <c r="AP583">
        <f t="shared" si="271"/>
        <v>0.36054887482213427</v>
      </c>
      <c r="AR583">
        <f t="shared" si="272"/>
        <v>0.53351207996511907</v>
      </c>
      <c r="AS583">
        <f t="shared" si="273"/>
        <v>0.92211966852401828</v>
      </c>
      <c r="AT583">
        <f t="shared" si="274"/>
        <v>0.38860758855889921</v>
      </c>
      <c r="AU583">
        <f t="shared" si="275"/>
        <v>3.1504636645442244E-2</v>
      </c>
    </row>
    <row r="584" spans="1:47" x14ac:dyDescent="0.25">
      <c r="A584" s="4">
        <f>DATE(2022,5,5)</f>
        <v>44686</v>
      </c>
      <c r="B584">
        <v>0.59066942369624265</v>
      </c>
      <c r="C584">
        <v>61.251940652155113</v>
      </c>
      <c r="D584">
        <v>0.88336360528769198</v>
      </c>
      <c r="E584">
        <f t="shared" si="251"/>
        <v>0.40867624331697178</v>
      </c>
      <c r="F584">
        <f t="shared" si="252"/>
        <v>0.42784359327206434</v>
      </c>
      <c r="G584">
        <f t="shared" si="253"/>
        <v>0.75054169595025777</v>
      </c>
      <c r="H584" s="2" t="str">
        <f t="shared" si="254"/>
        <v>Higher</v>
      </c>
      <c r="I584" s="2" t="str">
        <f t="shared" si="255"/>
        <v>Lower</v>
      </c>
      <c r="J584" s="2" t="str">
        <f t="shared" si="256"/>
        <v>Lower</v>
      </c>
      <c r="K584" s="2" t="str">
        <f t="shared" si="257"/>
        <v>Higher</v>
      </c>
      <c r="L584" s="2" t="str">
        <f t="shared" si="258"/>
        <v>Lower</v>
      </c>
      <c r="M584" s="2" t="str">
        <f t="shared" si="259"/>
        <v>Lower</v>
      </c>
      <c r="N584" s="2" t="str">
        <f t="shared" si="260"/>
        <v>Higher</v>
      </c>
      <c r="O584" s="2" t="str">
        <f t="shared" si="261"/>
        <v>Lower</v>
      </c>
      <c r="P584" s="2" t="str">
        <f t="shared" si="262"/>
        <v>Lower</v>
      </c>
      <c r="X584" s="4">
        <f>DATE(2022,5,5)</f>
        <v>44686</v>
      </c>
      <c r="Y584">
        <v>30.373133190024138</v>
      </c>
      <c r="Z584">
        <v>49.482300719044432</v>
      </c>
      <c r="AA584">
        <v>89.157499999999999</v>
      </c>
      <c r="AB584">
        <v>106.508</v>
      </c>
      <c r="AC584">
        <f t="shared" si="263"/>
        <v>8.0853867594820175E-2</v>
      </c>
      <c r="AD584">
        <f t="shared" si="263"/>
        <v>6.1630920957698031E-2</v>
      </c>
      <c r="AE584">
        <f t="shared" si="264"/>
        <v>-1.9222946637122144E-2</v>
      </c>
      <c r="AF584">
        <f t="shared" si="265"/>
        <v>-0.22511972955940529</v>
      </c>
      <c r="AH584">
        <f t="shared" si="266"/>
        <v>0.1189965131192264</v>
      </c>
      <c r="AI584">
        <f t="shared" si="266"/>
        <v>1.8420775567907288E-2</v>
      </c>
      <c r="AJ584">
        <f t="shared" si="267"/>
        <v>-0.10057573755131911</v>
      </c>
      <c r="AK584">
        <f t="shared" si="268"/>
        <v>-0.5539167769251947</v>
      </c>
      <c r="AM584">
        <f t="shared" si="269"/>
        <v>-2.1086706459135796E-2</v>
      </c>
      <c r="AN584">
        <f t="shared" si="269"/>
        <v>0.3646416113544636</v>
      </c>
      <c r="AO584">
        <f t="shared" si="270"/>
        <v>0.3857283178135994</v>
      </c>
      <c r="AP584">
        <f t="shared" si="271"/>
        <v>0.60170904630362565</v>
      </c>
      <c r="AR584">
        <f t="shared" si="272"/>
        <v>0.50387714104871606</v>
      </c>
      <c r="AS584">
        <f t="shared" si="273"/>
        <v>0.95762807867961719</v>
      </c>
      <c r="AT584">
        <f t="shared" si="274"/>
        <v>0.45375093763090113</v>
      </c>
      <c r="AU584">
        <f t="shared" si="275"/>
        <v>0.22371422979095643</v>
      </c>
    </row>
    <row r="585" spans="1:47" x14ac:dyDescent="0.25">
      <c r="A585" s="4">
        <f>DATE(2022,5,4)</f>
        <v>44685</v>
      </c>
      <c r="B585">
        <v>0.507753659511613</v>
      </c>
      <c r="C585">
        <v>60.426126142130315</v>
      </c>
      <c r="D585">
        <v>0.8918182450758827</v>
      </c>
      <c r="E585">
        <f t="shared" si="251"/>
        <v>0.33474030705807195</v>
      </c>
      <c r="F585">
        <f t="shared" si="252"/>
        <v>0.36173128382636721</v>
      </c>
      <c r="G585">
        <f t="shared" si="253"/>
        <v>0.78428449765801145</v>
      </c>
      <c r="H585" s="2" t="str">
        <f t="shared" si="254"/>
        <v>Higher</v>
      </c>
      <c r="I585" s="2" t="str">
        <f t="shared" si="255"/>
        <v>Lower</v>
      </c>
      <c r="J585" s="2" t="str">
        <f t="shared" si="256"/>
        <v>Lower</v>
      </c>
      <c r="K585" s="2" t="str">
        <f t="shared" si="257"/>
        <v>Higher</v>
      </c>
      <c r="L585" s="2" t="str">
        <f t="shared" si="258"/>
        <v>Lower</v>
      </c>
      <c r="M585" s="2" t="str">
        <f t="shared" si="259"/>
        <v>Lower</v>
      </c>
      <c r="N585" s="2" t="str">
        <f t="shared" si="260"/>
        <v>Higher</v>
      </c>
      <c r="O585" s="2" t="str">
        <f t="shared" si="261"/>
        <v>Lower</v>
      </c>
      <c r="P585" s="2" t="str">
        <f t="shared" si="262"/>
        <v>Lower</v>
      </c>
      <c r="X585" s="4">
        <f>DATE(2022,5,4)</f>
        <v>44685</v>
      </c>
      <c r="Y585">
        <v>28.197298855620247</v>
      </c>
      <c r="Z585">
        <v>47.581041983273963</v>
      </c>
      <c r="AA585">
        <v>87.977499999999992</v>
      </c>
      <c r="AB585">
        <v>103.821</v>
      </c>
      <c r="AC585">
        <f t="shared" si="263"/>
        <v>8.6466448107440738E-2</v>
      </c>
      <c r="AD585">
        <f t="shared" si="263"/>
        <v>-3.4143284719791181E-2</v>
      </c>
      <c r="AE585">
        <f t="shared" si="264"/>
        <v>-0.12060973282723192</v>
      </c>
      <c r="AF585">
        <f t="shared" si="265"/>
        <v>-0.80353116951583003</v>
      </c>
      <c r="AH585">
        <f t="shared" si="266"/>
        <v>0.12477296778692498</v>
      </c>
      <c r="AI585">
        <f t="shared" si="266"/>
        <v>-2.8205390904109957E-2</v>
      </c>
      <c r="AJ585">
        <f t="shared" si="267"/>
        <v>-0.15297835869103493</v>
      </c>
      <c r="AK585">
        <f t="shared" si="268"/>
        <v>-0.73315059826950379</v>
      </c>
      <c r="AM585">
        <f t="shared" si="269"/>
        <v>-4.8612884518438919E-2</v>
      </c>
      <c r="AN585">
        <f t="shared" si="269"/>
        <v>0.32730239925296634</v>
      </c>
      <c r="AO585">
        <f t="shared" si="270"/>
        <v>0.37591528377140526</v>
      </c>
      <c r="AP585">
        <f t="shared" si="271"/>
        <v>0.57601847633328518</v>
      </c>
      <c r="AR585">
        <f t="shared" si="272"/>
        <v>0.49329572831281909</v>
      </c>
      <c r="AS585">
        <f t="shared" si="273"/>
        <v>0.96937209952139802</v>
      </c>
      <c r="AT585">
        <f t="shared" si="274"/>
        <v>0.47607637120857893</v>
      </c>
      <c r="AU585">
        <f t="shared" si="275"/>
        <v>0.28979727261849086</v>
      </c>
    </row>
    <row r="586" spans="1:47" x14ac:dyDescent="0.25">
      <c r="A586" s="4">
        <f>DATE(2022,5,3)</f>
        <v>44684</v>
      </c>
      <c r="B586">
        <v>0.3750173888982824</v>
      </c>
      <c r="C586">
        <v>60.268874256322349</v>
      </c>
      <c r="D586">
        <v>0.93585766779457802</v>
      </c>
      <c r="E586">
        <f t="shared" si="251"/>
        <v>0.21306055640069788</v>
      </c>
      <c r="F586">
        <f t="shared" si="252"/>
        <v>0.35384396190984285</v>
      </c>
      <c r="G586">
        <f t="shared" si="253"/>
        <v>0.93500831034841714</v>
      </c>
      <c r="H586" s="2" t="str">
        <f t="shared" si="254"/>
        <v>Higher</v>
      </c>
      <c r="I586" s="2" t="str">
        <f t="shared" si="255"/>
        <v>Lower</v>
      </c>
      <c r="J586" s="2" t="str">
        <f t="shared" si="256"/>
        <v>Lower</v>
      </c>
      <c r="K586" s="2" t="str">
        <f t="shared" si="257"/>
        <v>Higher</v>
      </c>
      <c r="L586" s="2" t="str">
        <f t="shared" si="258"/>
        <v>Lower</v>
      </c>
      <c r="M586" s="2" t="str">
        <f t="shared" si="259"/>
        <v>Lower</v>
      </c>
      <c r="N586" s="2" t="str">
        <f t="shared" si="260"/>
        <v>Higher</v>
      </c>
      <c r="O586" s="2" t="str">
        <f t="shared" si="261"/>
        <v>Lower</v>
      </c>
      <c r="P586" s="2" t="str">
        <f t="shared" si="262"/>
        <v>Lower</v>
      </c>
      <c r="X586" s="4">
        <f>DATE(2022,5,3)</f>
        <v>44684</v>
      </c>
      <c r="Y586">
        <v>29.537560361299647</v>
      </c>
      <c r="Z586">
        <v>44.403015256189036</v>
      </c>
      <c r="AA586">
        <v>87.039999999999992</v>
      </c>
      <c r="AB586">
        <v>99.426000000000002</v>
      </c>
      <c r="AC586">
        <f t="shared" si="263"/>
        <v>4.5661446985529056E-2</v>
      </c>
      <c r="AD586">
        <f t="shared" si="263"/>
        <v>-3.7332720547123624E-2</v>
      </c>
      <c r="AE586">
        <f t="shared" si="264"/>
        <v>-8.299416753265268E-2</v>
      </c>
      <c r="AF586">
        <f t="shared" si="265"/>
        <v>-0.59053116978873732</v>
      </c>
      <c r="AH586">
        <f t="shared" si="266"/>
        <v>0.10812167709915421</v>
      </c>
      <c r="AI586">
        <f t="shared" si="266"/>
        <v>-8.6949352389312298E-2</v>
      </c>
      <c r="AJ586">
        <f t="shared" si="267"/>
        <v>-0.1950710294884665</v>
      </c>
      <c r="AK586">
        <f t="shared" si="268"/>
        <v>-0.87765480577405874</v>
      </c>
      <c r="AM586">
        <f t="shared" si="269"/>
        <v>-0.10731173578908816</v>
      </c>
      <c r="AN586">
        <f t="shared" si="269"/>
        <v>0.24244844479720115</v>
      </c>
      <c r="AO586">
        <f t="shared" si="270"/>
        <v>0.34976018058628933</v>
      </c>
      <c r="AP586">
        <f t="shared" si="271"/>
        <v>0.50640377544050974</v>
      </c>
      <c r="AR586">
        <f t="shared" si="272"/>
        <v>0.49423793694736784</v>
      </c>
      <c r="AS586">
        <f t="shared" si="273"/>
        <v>0.97410651615402144</v>
      </c>
      <c r="AT586">
        <f t="shared" si="274"/>
        <v>0.4798685792066536</v>
      </c>
      <c r="AU586">
        <f t="shared" si="275"/>
        <v>0.30128108451887925</v>
      </c>
    </row>
    <row r="587" spans="1:47" x14ac:dyDescent="0.25">
      <c r="A587" s="4">
        <f>DATE(2022,5,2)</f>
        <v>44683</v>
      </c>
      <c r="B587">
        <v>0.12686999351414063</v>
      </c>
      <c r="C587">
        <v>52.793178992206414</v>
      </c>
      <c r="D587">
        <v>0.62290962208683742</v>
      </c>
      <c r="E587">
        <f t="shared" si="251"/>
        <v>-1.8772436722043137E-2</v>
      </c>
      <c r="F587">
        <f t="shared" si="252"/>
        <v>-0.29683082807541217</v>
      </c>
      <c r="G587">
        <f t="shared" si="253"/>
        <v>-7.7724411029825607E-2</v>
      </c>
      <c r="H587" s="2" t="str">
        <f t="shared" si="254"/>
        <v>Higher</v>
      </c>
      <c r="I587" s="2" t="str">
        <f t="shared" si="255"/>
        <v>Lower</v>
      </c>
      <c r="J587" s="2" t="str">
        <f t="shared" si="256"/>
        <v>Lower</v>
      </c>
      <c r="K587" s="2" t="str">
        <f t="shared" si="257"/>
        <v>Higher</v>
      </c>
      <c r="L587" s="2" t="str">
        <f t="shared" si="258"/>
        <v>Lower</v>
      </c>
      <c r="M587" s="2" t="str">
        <f t="shared" si="259"/>
        <v>Higher</v>
      </c>
      <c r="N587" s="2" t="str">
        <f t="shared" si="260"/>
        <v>Higher</v>
      </c>
      <c r="O587" s="2" t="str">
        <f t="shared" si="261"/>
        <v>Lower</v>
      </c>
      <c r="P587" s="2" t="str">
        <f t="shared" si="262"/>
        <v>Lower</v>
      </c>
      <c r="X587" s="4">
        <f>DATE(2022,5,2)</f>
        <v>44683</v>
      </c>
      <c r="Y587">
        <v>24.837821721196356</v>
      </c>
      <c r="Z587">
        <v>42.65856846057077</v>
      </c>
      <c r="AA587">
        <v>83.355000000000004</v>
      </c>
      <c r="AB587">
        <v>97.051000000000002</v>
      </c>
      <c r="AC587">
        <f t="shared" si="263"/>
        <v>-1.2281065288453272E-2</v>
      </c>
      <c r="AD587">
        <f t="shared" si="263"/>
        <v>4.4391346302728313E-2</v>
      </c>
      <c r="AE587">
        <f t="shared" si="264"/>
        <v>5.6672411591181582E-2</v>
      </c>
      <c r="AF587">
        <f t="shared" si="265"/>
        <v>0.20418569848509602</v>
      </c>
      <c r="AH587">
        <f t="shared" si="266"/>
        <v>6.1476012879499942E-2</v>
      </c>
      <c r="AI587">
        <f t="shared" si="266"/>
        <v>-0.12089795933319332</v>
      </c>
      <c r="AJ587">
        <f t="shared" si="267"/>
        <v>-0.18237397221269325</v>
      </c>
      <c r="AK587">
        <f t="shared" si="268"/>
        <v>-0.83615268790344388</v>
      </c>
      <c r="AM587">
        <f t="shared" si="269"/>
        <v>-0.14097914548686705</v>
      </c>
      <c r="AN587">
        <f t="shared" si="269"/>
        <v>0.20332344801457752</v>
      </c>
      <c r="AO587">
        <f t="shared" si="270"/>
        <v>0.34430259350144454</v>
      </c>
      <c r="AP587">
        <f t="shared" si="271"/>
        <v>0.49229047275998683</v>
      </c>
      <c r="AR587">
        <f t="shared" si="272"/>
        <v>0.46077277609825923</v>
      </c>
      <c r="AS587">
        <f t="shared" si="273"/>
        <v>0.97271193383349208</v>
      </c>
      <c r="AT587">
        <f t="shared" si="274"/>
        <v>0.5119391577352328</v>
      </c>
      <c r="AU587">
        <f t="shared" si="275"/>
        <v>0.3959147938133884</v>
      </c>
    </row>
    <row r="588" spans="1:47" x14ac:dyDescent="0.25">
      <c r="A588" s="4">
        <f>DATE(2022,4,29)</f>
        <v>44680</v>
      </c>
      <c r="B588">
        <v>0.22885269445559775</v>
      </c>
      <c r="C588">
        <v>55.445441473722795</v>
      </c>
      <c r="D588">
        <v>0.74116510997893215</v>
      </c>
      <c r="E588">
        <f t="shared" si="251"/>
        <v>8.0255518952545915E-2</v>
      </c>
      <c r="F588">
        <f t="shared" si="252"/>
        <v>-5.653970313201586E-2</v>
      </c>
      <c r="G588">
        <f t="shared" si="253"/>
        <v>0.31705138851410503</v>
      </c>
      <c r="H588" s="2" t="str">
        <f t="shared" si="254"/>
        <v>Higher</v>
      </c>
      <c r="I588" s="2" t="str">
        <f t="shared" si="255"/>
        <v>Lower</v>
      </c>
      <c r="J588" s="2" t="str">
        <f t="shared" si="256"/>
        <v>Lower</v>
      </c>
      <c r="K588" s="2" t="str">
        <f t="shared" si="257"/>
        <v>Higher</v>
      </c>
      <c r="L588" s="2" t="str">
        <f t="shared" si="258"/>
        <v>Lower</v>
      </c>
      <c r="M588" s="2" t="str">
        <f t="shared" si="259"/>
        <v>Higher</v>
      </c>
      <c r="N588" s="2" t="str">
        <f t="shared" si="260"/>
        <v>Higher</v>
      </c>
      <c r="O588" s="2" t="str">
        <f t="shared" si="261"/>
        <v>Lower</v>
      </c>
      <c r="P588" s="2" t="str">
        <f t="shared" si="262"/>
        <v>Lower</v>
      </c>
      <c r="X588" s="4">
        <f>DATE(2022,4,29)</f>
        <v>44680</v>
      </c>
      <c r="Y588">
        <v>26.060991933300787</v>
      </c>
      <c r="Z588">
        <v>43.952076214151241</v>
      </c>
      <c r="AA588">
        <v>84.257499999999993</v>
      </c>
      <c r="AB588">
        <v>99.45</v>
      </c>
      <c r="AC588">
        <f t="shared" si="263"/>
        <v>-4.8050943088182085E-2</v>
      </c>
      <c r="AD588">
        <f t="shared" si="263"/>
        <v>4.7094769584187152E-2</v>
      </c>
      <c r="AE588">
        <f t="shared" si="264"/>
        <v>9.5145712672369237E-2</v>
      </c>
      <c r="AF588">
        <f t="shared" si="265"/>
        <v>0.42329731296300116</v>
      </c>
      <c r="AH588">
        <f t="shared" si="266"/>
        <v>7.3329983045113345E-2</v>
      </c>
      <c r="AI588">
        <f t="shared" si="266"/>
        <v>-0.12596133376397742</v>
      </c>
      <c r="AJ588">
        <f t="shared" si="267"/>
        <v>-0.19929131680909076</v>
      </c>
      <c r="AK588">
        <f t="shared" si="268"/>
        <v>-0.89527166997684149</v>
      </c>
      <c r="AM588">
        <f t="shared" si="269"/>
        <v>-0.13265571633130266</v>
      </c>
      <c r="AN588">
        <f t="shared" si="269"/>
        <v>0.18859762040084332</v>
      </c>
      <c r="AO588">
        <f t="shared" si="270"/>
        <v>0.32125333673214596</v>
      </c>
      <c r="AP588">
        <f t="shared" si="271"/>
        <v>0.431018592876308</v>
      </c>
      <c r="AR588">
        <f t="shared" si="272"/>
        <v>0.50824757720750768</v>
      </c>
      <c r="AS588">
        <f t="shared" si="273"/>
        <v>1.0295168583379322</v>
      </c>
      <c r="AT588">
        <f t="shared" si="274"/>
        <v>0.52126928113042448</v>
      </c>
      <c r="AU588">
        <f t="shared" si="275"/>
        <v>0.42364500208202222</v>
      </c>
    </row>
    <row r="589" spans="1:47" x14ac:dyDescent="0.25">
      <c r="A589" s="4">
        <f>DATE(2022,4,28)</f>
        <v>44679</v>
      </c>
      <c r="B589">
        <v>0.21345665952328585</v>
      </c>
      <c r="C589">
        <v>52.674004949451444</v>
      </c>
      <c r="D589">
        <v>0.63929828550456658</v>
      </c>
      <c r="E589">
        <f t="shared" si="251"/>
        <v>6.7835026336125787E-2</v>
      </c>
      <c r="F589">
        <f t="shared" si="252"/>
        <v>-0.29307883397342155</v>
      </c>
      <c r="G589">
        <f t="shared" si="253"/>
        <v>-5.595633881351111E-3</v>
      </c>
      <c r="H589" s="2" t="str">
        <f t="shared" si="254"/>
        <v>Higher</v>
      </c>
      <c r="I589" s="2" t="str">
        <f t="shared" si="255"/>
        <v>Lower</v>
      </c>
      <c r="J589" s="2" t="str">
        <f t="shared" si="256"/>
        <v>Lower</v>
      </c>
      <c r="K589" s="2" t="str">
        <f t="shared" si="257"/>
        <v>Higher</v>
      </c>
      <c r="L589" s="2" t="str">
        <f t="shared" si="258"/>
        <v>Lower</v>
      </c>
      <c r="M589" s="2" t="str">
        <f t="shared" si="259"/>
        <v>Higher</v>
      </c>
      <c r="N589" s="2" t="str">
        <f t="shared" si="260"/>
        <v>Higher</v>
      </c>
      <c r="O589" s="2" t="str">
        <f t="shared" si="261"/>
        <v>Lower</v>
      </c>
      <c r="P589" s="2" t="str">
        <f t="shared" si="262"/>
        <v>Lower</v>
      </c>
      <c r="X589" s="4">
        <f>DATE(2022,4,28)</f>
        <v>44679</v>
      </c>
      <c r="Y589">
        <v>23.583491130165946</v>
      </c>
      <c r="Z589">
        <v>44.31197288885997</v>
      </c>
      <c r="AA589">
        <v>82.232500000000002</v>
      </c>
      <c r="AB589">
        <v>100.142</v>
      </c>
      <c r="AC589">
        <f t="shared" si="263"/>
        <v>-5.1027244953996714E-2</v>
      </c>
      <c r="AD589">
        <f t="shared" si="263"/>
        <v>8.0917872778825135E-4</v>
      </c>
      <c r="AE589">
        <f t="shared" si="264"/>
        <v>5.1836423681784968E-2</v>
      </c>
      <c r="AF589">
        <f t="shared" si="265"/>
        <v>0.17763314589794574</v>
      </c>
      <c r="AH589">
        <f t="shared" si="266"/>
        <v>6.3118761124059092E-2</v>
      </c>
      <c r="AI589">
        <f t="shared" si="266"/>
        <v>-0.2289464180437758</v>
      </c>
      <c r="AJ589">
        <f t="shared" si="267"/>
        <v>-0.29206517916783492</v>
      </c>
      <c r="AK589">
        <f t="shared" si="268"/>
        <v>-1.2126554603746673</v>
      </c>
      <c r="AM589">
        <f t="shared" si="269"/>
        <v>-0.13814935778339407</v>
      </c>
      <c r="AN589">
        <f t="shared" si="269"/>
        <v>0.23184210086506185</v>
      </c>
      <c r="AO589">
        <f t="shared" si="270"/>
        <v>0.36999145864845595</v>
      </c>
      <c r="AP589">
        <f t="shared" si="271"/>
        <v>0.56192464600400571</v>
      </c>
      <c r="AR589">
        <f t="shared" si="272"/>
        <v>0.47811720210217762</v>
      </c>
      <c r="AS589">
        <f t="shared" si="273"/>
        <v>1.0206911281738709</v>
      </c>
      <c r="AT589">
        <f t="shared" si="274"/>
        <v>0.5425739260716933</v>
      </c>
      <c r="AU589">
        <f t="shared" si="275"/>
        <v>0.48644888609781911</v>
      </c>
    </row>
    <row r="590" spans="1:47" x14ac:dyDescent="0.25">
      <c r="A590" s="4">
        <f>DATE(2022,4,27)</f>
        <v>44678</v>
      </c>
      <c r="B590">
        <v>0.3366898650756559</v>
      </c>
      <c r="C590">
        <v>49.946261367855406</v>
      </c>
      <c r="D590">
        <v>0.52328371649259031</v>
      </c>
      <c r="E590">
        <f t="shared" si="251"/>
        <v>0.18685010075333919</v>
      </c>
      <c r="F590">
        <f t="shared" si="252"/>
        <v>-0.52648869047018487</v>
      </c>
      <c r="G590">
        <f t="shared" si="253"/>
        <v>-0.37433780380273129</v>
      </c>
      <c r="H590" s="2" t="str">
        <f t="shared" si="254"/>
        <v>Higher</v>
      </c>
      <c r="I590" s="2" t="str">
        <f t="shared" si="255"/>
        <v>Lower</v>
      </c>
      <c r="J590" s="2" t="str">
        <f t="shared" si="256"/>
        <v>Higher</v>
      </c>
      <c r="K590" s="2" t="str">
        <f t="shared" si="257"/>
        <v>Higher</v>
      </c>
      <c r="L590" s="2" t="str">
        <f t="shared" si="258"/>
        <v>Lower</v>
      </c>
      <c r="M590" s="2" t="str">
        <f t="shared" si="259"/>
        <v>Higher</v>
      </c>
      <c r="N590" s="2" t="str">
        <f t="shared" si="260"/>
        <v>Higher</v>
      </c>
      <c r="O590" s="2" t="str">
        <f t="shared" si="261"/>
        <v>Lower</v>
      </c>
      <c r="P590" s="2" t="str">
        <f t="shared" si="262"/>
        <v>Lower</v>
      </c>
      <c r="X590" s="4">
        <f>DATE(2022,4,27)</f>
        <v>44678</v>
      </c>
      <c r="Y590">
        <v>21.913057603287587</v>
      </c>
      <c r="Z590">
        <v>48.167530874234018</v>
      </c>
      <c r="AA590">
        <v>80.69</v>
      </c>
      <c r="AB590">
        <v>107.42700000000001</v>
      </c>
      <c r="AC590">
        <f t="shared" si="263"/>
        <v>-6.3529135314431648E-2</v>
      </c>
      <c r="AD590">
        <f t="shared" si="263"/>
        <v>0.12440152032142476</v>
      </c>
      <c r="AE590">
        <f t="shared" si="264"/>
        <v>0.18793065563585643</v>
      </c>
      <c r="AF590">
        <f t="shared" si="265"/>
        <v>0.95049314958659448</v>
      </c>
      <c r="AH590">
        <f t="shared" si="266"/>
        <v>2.4209398089490401E-2</v>
      </c>
      <c r="AI590">
        <f t="shared" si="266"/>
        <v>-0.10205981336046784</v>
      </c>
      <c r="AJ590">
        <f t="shared" si="267"/>
        <v>-0.12626921144995823</v>
      </c>
      <c r="AK590">
        <f t="shared" si="268"/>
        <v>-0.65174093053340698</v>
      </c>
      <c r="AM590">
        <f t="shared" si="269"/>
        <v>-0.1437037931557251</v>
      </c>
      <c r="AN590">
        <f t="shared" si="269"/>
        <v>0.32623688060386741</v>
      </c>
      <c r="AO590">
        <f t="shared" si="270"/>
        <v>0.46994067375959248</v>
      </c>
      <c r="AP590">
        <f t="shared" si="271"/>
        <v>0.82985873545770661</v>
      </c>
      <c r="AR590">
        <f t="shared" si="272"/>
        <v>0.44192226207525764</v>
      </c>
      <c r="AS590">
        <f t="shared" si="273"/>
        <v>1.0963667735227252</v>
      </c>
      <c r="AT590">
        <f t="shared" si="274"/>
        <v>0.65444451144746751</v>
      </c>
      <c r="AU590">
        <f t="shared" si="275"/>
        <v>0.81431348150385541</v>
      </c>
    </row>
    <row r="591" spans="1:47" x14ac:dyDescent="0.25">
      <c r="A591" s="4">
        <f>DATE(2022,4,26)</f>
        <v>44677</v>
      </c>
      <c r="B591">
        <v>0.66138733315336107</v>
      </c>
      <c r="C591">
        <v>52.824237769135202</v>
      </c>
      <c r="D591">
        <v>0.64657823936224801</v>
      </c>
      <c r="E591">
        <f t="shared" si="251"/>
        <v>0.49819943539398637</v>
      </c>
      <c r="F591">
        <f t="shared" si="252"/>
        <v>-0.27679374246420008</v>
      </c>
      <c r="G591">
        <f t="shared" si="253"/>
        <v>2.4263619821943989E-2</v>
      </c>
      <c r="H591" s="2" t="str">
        <f t="shared" si="254"/>
        <v>Higher</v>
      </c>
      <c r="I591" s="2" t="str">
        <f t="shared" si="255"/>
        <v>Lower</v>
      </c>
      <c r="J591" s="2" t="str">
        <f t="shared" si="256"/>
        <v>Higher</v>
      </c>
      <c r="K591" s="2" t="str">
        <f t="shared" si="257"/>
        <v>Higher</v>
      </c>
      <c r="L591" s="2" t="str">
        <f t="shared" si="258"/>
        <v>Lower</v>
      </c>
      <c r="M591" s="2" t="str">
        <f t="shared" si="259"/>
        <v>Higher</v>
      </c>
      <c r="N591" s="2" t="str">
        <f t="shared" si="260"/>
        <v>Higher</v>
      </c>
      <c r="O591" s="2" t="str">
        <f t="shared" si="261"/>
        <v>Lower</v>
      </c>
      <c r="P591" s="2" t="str">
        <f t="shared" si="262"/>
        <v>Lower</v>
      </c>
      <c r="X591" s="4">
        <f>DATE(2022,4,26)</f>
        <v>44677</v>
      </c>
      <c r="Y591">
        <v>23.616338538901193</v>
      </c>
      <c r="Z591">
        <v>45.623194573517935</v>
      </c>
      <c r="AA591">
        <v>83.155000000000001</v>
      </c>
      <c r="AB591">
        <v>103.208</v>
      </c>
      <c r="AC591">
        <f t="shared" si="263"/>
        <v>3.5964640563993157E-2</v>
      </c>
      <c r="AD591">
        <f t="shared" si="263"/>
        <v>9.5922723001956214E-2</v>
      </c>
      <c r="AE591">
        <f t="shared" si="264"/>
        <v>5.9958082437963058E-2</v>
      </c>
      <c r="AF591">
        <f t="shared" si="265"/>
        <v>0.22598163565751744</v>
      </c>
      <c r="AH591">
        <f t="shared" si="266"/>
        <v>2.1453920783153124E-2</v>
      </c>
      <c r="AI591">
        <f t="shared" si="266"/>
        <v>-4.8906427467177667E-2</v>
      </c>
      <c r="AJ591">
        <f t="shared" si="267"/>
        <v>-7.0360348250330787E-2</v>
      </c>
      <c r="AK591">
        <f t="shared" si="268"/>
        <v>-0.4625501724620858</v>
      </c>
      <c r="AM591">
        <f t="shared" si="269"/>
        <v>-6.8323214731174378E-2</v>
      </c>
      <c r="AN591">
        <f t="shared" si="269"/>
        <v>0.30104512646716697</v>
      </c>
      <c r="AO591">
        <f t="shared" si="270"/>
        <v>0.36936834119834133</v>
      </c>
      <c r="AP591">
        <f t="shared" si="271"/>
        <v>0.56235214473949879</v>
      </c>
      <c r="AR591">
        <f t="shared" si="272"/>
        <v>0.48155466330570457</v>
      </c>
      <c r="AS591">
        <f t="shared" si="273"/>
        <v>1.0794715938111463</v>
      </c>
      <c r="AT591">
        <f t="shared" si="274"/>
        <v>0.5979169305054417</v>
      </c>
      <c r="AU591">
        <f t="shared" si="275"/>
        <v>0.64927130465866856</v>
      </c>
    </row>
    <row r="592" spans="1:47" x14ac:dyDescent="0.25">
      <c r="A592" s="4">
        <f>DATE(2022,4,25)</f>
        <v>44676</v>
      </c>
      <c r="B592">
        <v>0.93845241316663497</v>
      </c>
      <c r="C592">
        <v>54.101330603519429</v>
      </c>
      <c r="D592">
        <v>0.71576729632613167</v>
      </c>
      <c r="E592">
        <f t="shared" si="251"/>
        <v>0.76951492065991778</v>
      </c>
      <c r="F592">
        <f t="shared" si="252"/>
        <v>-0.16418031126118957</v>
      </c>
      <c r="G592">
        <f t="shared" si="253"/>
        <v>0.25153468357234193</v>
      </c>
      <c r="H592" s="2" t="str">
        <f t="shared" si="254"/>
        <v>Higher</v>
      </c>
      <c r="I592" s="2" t="str">
        <f t="shared" si="255"/>
        <v>Lower</v>
      </c>
      <c r="J592" s="2" t="str">
        <f t="shared" si="256"/>
        <v>Higher</v>
      </c>
      <c r="K592" s="2" t="str">
        <f t="shared" si="257"/>
        <v>Higher</v>
      </c>
      <c r="L592" s="2" t="str">
        <f t="shared" si="258"/>
        <v>Lower</v>
      </c>
      <c r="M592" s="2" t="str">
        <f t="shared" si="259"/>
        <v>Higher</v>
      </c>
      <c r="N592" s="2" t="str">
        <f t="shared" si="260"/>
        <v>Higher</v>
      </c>
      <c r="O592" s="2" t="str">
        <f t="shared" si="261"/>
        <v>Lower</v>
      </c>
      <c r="P592" s="2" t="str">
        <f t="shared" si="262"/>
        <v>Lower</v>
      </c>
      <c r="X592" s="4">
        <f>DATE(2022,4,25)</f>
        <v>44676</v>
      </c>
      <c r="Y592">
        <v>25.148287263521652</v>
      </c>
      <c r="Z592">
        <v>38.761628248065698</v>
      </c>
      <c r="AA592">
        <v>84.384999999999991</v>
      </c>
      <c r="AB592">
        <v>92.837000000000003</v>
      </c>
      <c r="AC592" t="str">
        <f t="shared" si="263"/>
        <v/>
      </c>
      <c r="AD592">
        <f t="shared" si="263"/>
        <v>-2.9536735971724647E-2</v>
      </c>
      <c r="AE592" t="str">
        <f t="shared" si="264"/>
        <v/>
      </c>
      <c r="AF592" t="str">
        <f t="shared" si="265"/>
        <v/>
      </c>
      <c r="AH592">
        <f t="shared" si="266"/>
        <v>4.8748688463820515E-2</v>
      </c>
      <c r="AI592">
        <f t="shared" si="266"/>
        <v>-8.7327517395847723E-2</v>
      </c>
      <c r="AJ592">
        <f t="shared" si="267"/>
        <v>-0.13607620585966823</v>
      </c>
      <c r="AK592">
        <f t="shared" si="268"/>
        <v>-0.68647257446981613</v>
      </c>
      <c r="AM592">
        <f t="shared" si="269"/>
        <v>-5.4734365978126635E-2</v>
      </c>
      <c r="AN592">
        <f t="shared" si="269"/>
        <v>9.1534879345487027E-2</v>
      </c>
      <c r="AO592">
        <f t="shared" si="270"/>
        <v>0.14626924532361366</v>
      </c>
      <c r="AP592">
        <f t="shared" si="271"/>
        <v>-3.2654404102041665E-2</v>
      </c>
      <c r="AR592">
        <f t="shared" si="272"/>
        <v>0.47096397646725313</v>
      </c>
      <c r="AS592">
        <f t="shared" si="273"/>
        <v>0.94925179239714852</v>
      </c>
      <c r="AT592">
        <f t="shared" si="274"/>
        <v>0.47828781592989539</v>
      </c>
      <c r="AU592">
        <f t="shared" si="275"/>
        <v>0.30058005577814817</v>
      </c>
    </row>
    <row r="593" spans="1:47" x14ac:dyDescent="0.25">
      <c r="A593" s="4">
        <f>DATE(2022,4,22)</f>
        <v>44673</v>
      </c>
      <c r="B593">
        <v>1.215481784923838</v>
      </c>
      <c r="C593">
        <v>64.832924326696471</v>
      </c>
      <c r="D593">
        <v>1.1410151293110808</v>
      </c>
      <c r="E593">
        <f t="shared" si="251"/>
        <v>1.0472217271463247</v>
      </c>
      <c r="F593">
        <f t="shared" si="252"/>
        <v>0.77313341462183438</v>
      </c>
      <c r="G593">
        <f t="shared" si="253"/>
        <v>1.6300715208859256</v>
      </c>
      <c r="H593" s="2" t="str">
        <f t="shared" si="254"/>
        <v>Higher</v>
      </c>
      <c r="I593" s="2" t="str">
        <f t="shared" si="255"/>
        <v>Lower</v>
      </c>
      <c r="J593" s="2" t="str">
        <f t="shared" si="256"/>
        <v>Higher</v>
      </c>
      <c r="K593" s="2" t="str">
        <f t="shared" si="257"/>
        <v>Higher</v>
      </c>
      <c r="L593" s="2" t="str">
        <f t="shared" si="258"/>
        <v>Lower</v>
      </c>
      <c r="M593" s="2" t="str">
        <f t="shared" si="259"/>
        <v>Higher</v>
      </c>
      <c r="N593" s="2" t="str">
        <f t="shared" si="260"/>
        <v>Higher</v>
      </c>
      <c r="O593" s="2" t="str">
        <f t="shared" si="261"/>
        <v>Lower</v>
      </c>
      <c r="P593" s="2" t="str">
        <f t="shared" si="262"/>
        <v>Higher</v>
      </c>
      <c r="X593" s="4">
        <f>DATE(2022,4,22)</f>
        <v>44673</v>
      </c>
      <c r="Y593">
        <v>28.646369372603303</v>
      </c>
      <c r="Z593">
        <v>39.675167600164819</v>
      </c>
      <c r="AA593">
        <v>88.405000000000001</v>
      </c>
      <c r="AB593">
        <v>94.875</v>
      </c>
      <c r="AC593" t="str">
        <f t="shared" si="263"/>
        <v/>
      </c>
      <c r="AD593" t="str">
        <f t="shared" si="263"/>
        <v/>
      </c>
      <c r="AE593" t="str">
        <f t="shared" si="264"/>
        <v/>
      </c>
      <c r="AF593" t="str">
        <f t="shared" si="265"/>
        <v/>
      </c>
      <c r="AH593">
        <f t="shared" si="266"/>
        <v>0.12045542861235239</v>
      </c>
      <c r="AI593">
        <f t="shared" si="266"/>
        <v>-6.5220106986972545E-2</v>
      </c>
      <c r="AJ593">
        <f t="shared" si="267"/>
        <v>-0.18567553559932493</v>
      </c>
      <c r="AK593">
        <f t="shared" si="268"/>
        <v>-0.85603272310453349</v>
      </c>
      <c r="AM593">
        <f t="shared" si="269"/>
        <v>-1.2170421592250718E-2</v>
      </c>
      <c r="AN593">
        <f t="shared" si="269"/>
        <v>3.0097972600700903E-2</v>
      </c>
      <c r="AO593">
        <f t="shared" si="270"/>
        <v>4.2268394192951621E-2</v>
      </c>
      <c r="AP593">
        <f t="shared" si="271"/>
        <v>-0.30997681077843148</v>
      </c>
      <c r="AR593">
        <f t="shared" si="272"/>
        <v>0.51295824326015649</v>
      </c>
      <c r="AS593">
        <f t="shared" si="273"/>
        <v>0.99857739142572532</v>
      </c>
      <c r="AT593">
        <f t="shared" si="274"/>
        <v>0.48561914816556884</v>
      </c>
      <c r="AU593">
        <f t="shared" si="275"/>
        <v>0.32227276812487515</v>
      </c>
    </row>
    <row r="594" spans="1:47" x14ac:dyDescent="0.25">
      <c r="A594" s="4">
        <f>DATE(2022,4,21)</f>
        <v>44672</v>
      </c>
      <c r="B594">
        <v>0.98600610164613944</v>
      </c>
      <c r="C594">
        <v>61.568811468004277</v>
      </c>
      <c r="D594">
        <v>1.1002089797003709</v>
      </c>
      <c r="E594">
        <f t="shared" si="251"/>
        <v>0.84871545685172778</v>
      </c>
      <c r="F594">
        <f t="shared" si="252"/>
        <v>0.50148269768780485</v>
      </c>
      <c r="G594">
        <f t="shared" si="253"/>
        <v>1.5291135184581326</v>
      </c>
      <c r="H594" s="2" t="str">
        <f t="shared" si="254"/>
        <v>Higher</v>
      </c>
      <c r="I594" s="2" t="str">
        <f t="shared" si="255"/>
        <v>Lower</v>
      </c>
      <c r="J594" s="2" t="str">
        <f t="shared" si="256"/>
        <v>Higher</v>
      </c>
      <c r="K594" s="2" t="str">
        <f t="shared" si="257"/>
        <v>Higher</v>
      </c>
      <c r="L594" s="2" t="str">
        <f t="shared" si="258"/>
        <v>Lower</v>
      </c>
      <c r="M594" s="2" t="str">
        <f t="shared" si="259"/>
        <v>Higher</v>
      </c>
      <c r="N594" s="2" t="str">
        <f t="shared" si="260"/>
        <v>Higher</v>
      </c>
      <c r="O594" s="2" t="str">
        <f t="shared" si="261"/>
        <v>Lower</v>
      </c>
      <c r="P594" s="2" t="str">
        <f t="shared" si="262"/>
        <v>Higher</v>
      </c>
      <c r="X594" s="4">
        <f>DATE(2022,4,21)</f>
        <v>44672</v>
      </c>
      <c r="Y594">
        <v>26.518500185844267</v>
      </c>
      <c r="Z594">
        <v>42.014934651786113</v>
      </c>
      <c r="AA594">
        <v>86.537499999999994</v>
      </c>
      <c r="AB594">
        <v>100.06100000000001</v>
      </c>
      <c r="AC594">
        <f t="shared" si="263"/>
        <v>8.6173940650820166E-2</v>
      </c>
      <c r="AD594">
        <f t="shared" si="263"/>
        <v>4.5397996815759879E-2</v>
      </c>
      <c r="AE594">
        <f t="shared" si="264"/>
        <v>-4.0775943835060287E-2</v>
      </c>
      <c r="AF594">
        <f t="shared" si="265"/>
        <v>-0.34547358210681556</v>
      </c>
      <c r="AH594">
        <f t="shared" si="266"/>
        <v>0.10508771033482582</v>
      </c>
      <c r="AI594">
        <f t="shared" si="266"/>
        <v>-0.11900265830166394</v>
      </c>
      <c r="AJ594">
        <f t="shared" si="267"/>
        <v>-0.22409036863648976</v>
      </c>
      <c r="AK594">
        <f t="shared" si="268"/>
        <v>-0.9881308527433289</v>
      </c>
      <c r="AM594">
        <f t="shared" si="269"/>
        <v>-3.1899452514656694E-2</v>
      </c>
      <c r="AN594">
        <f t="shared" si="269"/>
        <v>8.4502423068211222E-2</v>
      </c>
      <c r="AO594">
        <f t="shared" si="270"/>
        <v>0.11640187558286791</v>
      </c>
      <c r="AP594">
        <f t="shared" si="271"/>
        <v>-0.11287277389609768</v>
      </c>
      <c r="AR594">
        <f t="shared" si="272"/>
        <v>0.49316743849643979</v>
      </c>
      <c r="AS594">
        <f t="shared" si="273"/>
        <v>1.0808248742727788</v>
      </c>
      <c r="AT594">
        <f t="shared" si="274"/>
        <v>0.58765743577633911</v>
      </c>
      <c r="AU594">
        <f t="shared" si="275"/>
        <v>0.61955031230633739</v>
      </c>
    </row>
    <row r="595" spans="1:47" x14ac:dyDescent="0.25">
      <c r="A595" s="4">
        <f>DATE(2022,4,20)</f>
        <v>44671</v>
      </c>
      <c r="B595">
        <v>0.79472798056386584</v>
      </c>
      <c r="C595">
        <v>64.581076266478874</v>
      </c>
      <c r="D595">
        <v>1.386642628171834</v>
      </c>
      <c r="E595">
        <f t="shared" si="251"/>
        <v>0.68202780136530949</v>
      </c>
      <c r="F595">
        <f t="shared" si="252"/>
        <v>0.77265282061943152</v>
      </c>
      <c r="G595">
        <f t="shared" si="253"/>
        <v>2.4889760828717251</v>
      </c>
      <c r="H595" s="2" t="str">
        <f t="shared" si="254"/>
        <v>Higher</v>
      </c>
      <c r="I595" s="2" t="str">
        <f t="shared" si="255"/>
        <v>Lower</v>
      </c>
      <c r="J595" s="2" t="str">
        <f t="shared" si="256"/>
        <v>Higher</v>
      </c>
      <c r="K595" s="2" t="str">
        <f t="shared" si="257"/>
        <v>Higher</v>
      </c>
      <c r="L595" s="2" t="str">
        <f t="shared" si="258"/>
        <v>Lower</v>
      </c>
      <c r="M595" s="2" t="str">
        <f t="shared" si="259"/>
        <v>Higher</v>
      </c>
      <c r="N595" s="2" t="str">
        <f t="shared" si="260"/>
        <v>Higher</v>
      </c>
      <c r="O595" s="2" t="str">
        <f t="shared" si="261"/>
        <v>Lower</v>
      </c>
      <c r="P595" s="2" t="str">
        <f t="shared" si="262"/>
        <v>Higher</v>
      </c>
      <c r="X595" s="4">
        <f>DATE(2022,4,20)</f>
        <v>44671</v>
      </c>
      <c r="Y595">
        <v>27.728780545059568</v>
      </c>
      <c r="Z595">
        <v>41.045545154809091</v>
      </c>
      <c r="AA595">
        <v>85.982500000000002</v>
      </c>
      <c r="AB595">
        <v>94.860749999999996</v>
      </c>
      <c r="AC595">
        <f t="shared" si="263"/>
        <v>9.974531961843934E-2</v>
      </c>
      <c r="AD595">
        <f t="shared" si="263"/>
        <v>-0.10463128659143882</v>
      </c>
      <c r="AE595">
        <f t="shared" si="264"/>
        <v>-0.20437660620987816</v>
      </c>
      <c r="AF595">
        <f t="shared" si="265"/>
        <v>-1.2725734962011743</v>
      </c>
      <c r="AH595">
        <f t="shared" si="266"/>
        <v>0.10273745543507587</v>
      </c>
      <c r="AI595">
        <f t="shared" si="266"/>
        <v>-0.20977245496323565</v>
      </c>
      <c r="AJ595">
        <f t="shared" si="267"/>
        <v>-0.31250991039831155</v>
      </c>
      <c r="AK595">
        <f t="shared" si="268"/>
        <v>-1.2906057045756305</v>
      </c>
      <c r="AM595">
        <f t="shared" si="269"/>
        <v>-2.8717511925460727E-2</v>
      </c>
      <c r="AN595">
        <f t="shared" si="269"/>
        <v>3.7399805776596809E-2</v>
      </c>
      <c r="AO595">
        <f t="shared" si="270"/>
        <v>6.6117317702057532E-2</v>
      </c>
      <c r="AP595">
        <f t="shared" si="271"/>
        <v>-0.24671905256677704</v>
      </c>
      <c r="AR595">
        <f t="shared" si="272"/>
        <v>0.47521007646407404</v>
      </c>
      <c r="AS595">
        <f t="shared" si="273"/>
        <v>1.0105091172145644</v>
      </c>
      <c r="AT595">
        <f t="shared" si="274"/>
        <v>0.53529904075049028</v>
      </c>
      <c r="AU595">
        <f t="shared" si="275"/>
        <v>0.46770295166811066</v>
      </c>
    </row>
    <row r="596" spans="1:47" x14ac:dyDescent="0.25">
      <c r="A596" s="4">
        <f>DATE(2022,4,19)</f>
        <v>44670</v>
      </c>
      <c r="B596">
        <v>0.28383016238990066</v>
      </c>
      <c r="C596">
        <v>52.720852086654091</v>
      </c>
      <c r="D596">
        <v>0.74448368302068924</v>
      </c>
      <c r="E596">
        <f t="shared" si="251"/>
        <v>0.20590015822968666</v>
      </c>
      <c r="F596">
        <f t="shared" si="252"/>
        <v>-0.24373370690495039</v>
      </c>
      <c r="G596">
        <f t="shared" si="253"/>
        <v>0.43552260544985183</v>
      </c>
      <c r="H596" s="2" t="str">
        <f t="shared" si="254"/>
        <v>Higher</v>
      </c>
      <c r="I596" s="2" t="str">
        <f t="shared" si="255"/>
        <v>Lower</v>
      </c>
      <c r="J596" s="2" t="str">
        <f t="shared" si="256"/>
        <v>Higher</v>
      </c>
      <c r="K596" s="2" t="str">
        <f t="shared" si="257"/>
        <v>Higher</v>
      </c>
      <c r="L596" s="2" t="str">
        <f t="shared" si="258"/>
        <v>Lower</v>
      </c>
      <c r="M596" s="2" t="str">
        <f t="shared" si="259"/>
        <v>Higher</v>
      </c>
      <c r="N596" s="2" t="str">
        <f t="shared" si="260"/>
        <v>Higher</v>
      </c>
      <c r="O596" s="2" t="str">
        <f t="shared" si="261"/>
        <v>Lower</v>
      </c>
      <c r="P596" s="2" t="str">
        <f t="shared" si="262"/>
        <v>Higher</v>
      </c>
      <c r="X596" s="4">
        <f>DATE(2022,4,19)</f>
        <v>44670</v>
      </c>
      <c r="Y596">
        <v>16.097428342956039</v>
      </c>
      <c r="Z596">
        <v>39.149636485188246</v>
      </c>
      <c r="AA596">
        <v>80.217500000000001</v>
      </c>
      <c r="AB596">
        <v>93.768000000000001</v>
      </c>
      <c r="AC596">
        <f t="shared" si="263"/>
        <v>2.1133646408246557E-2</v>
      </c>
      <c r="AD596">
        <f t="shared" si="263"/>
        <v>-9.0031342700543457E-2</v>
      </c>
      <c r="AE596">
        <f t="shared" si="264"/>
        <v>-0.11116498910879001</v>
      </c>
      <c r="AF596">
        <f t="shared" si="265"/>
        <v>-0.74798878384054346</v>
      </c>
      <c r="AH596">
        <f t="shared" si="266"/>
        <v>-1.4948151392946848E-3</v>
      </c>
      <c r="AI596">
        <f t="shared" si="266"/>
        <v>-4.5522982824999988E-2</v>
      </c>
      <c r="AJ596">
        <f t="shared" si="267"/>
        <v>-4.4028167685705305E-2</v>
      </c>
      <c r="AK596">
        <f t="shared" si="268"/>
        <v>-0.38213002734981122</v>
      </c>
      <c r="AM596">
        <f t="shared" si="269"/>
        <v>-7.7164171889553226E-2</v>
      </c>
      <c r="AN596">
        <f t="shared" si="269"/>
        <v>3.4660612616449164E-5</v>
      </c>
      <c r="AO596">
        <f t="shared" si="270"/>
        <v>7.7198832502169676E-2</v>
      </c>
      <c r="AP596">
        <f t="shared" si="271"/>
        <v>-0.21752879829751784</v>
      </c>
      <c r="AR596">
        <f t="shared" si="272"/>
        <v>0.42273875782494319</v>
      </c>
      <c r="AS596">
        <f t="shared" si="273"/>
        <v>0.9790250061503053</v>
      </c>
      <c r="AT596">
        <f t="shared" si="274"/>
        <v>0.55628624832536211</v>
      </c>
      <c r="AU596">
        <f t="shared" si="275"/>
        <v>0.52889280750555923</v>
      </c>
    </row>
    <row r="597" spans="1:47" x14ac:dyDescent="0.25">
      <c r="A597" s="4">
        <f>DATE(2022,4,18)</f>
        <v>44669</v>
      </c>
      <c r="E597">
        <f t="shared" si="251"/>
        <v>-5.6862793034481024E-2</v>
      </c>
      <c r="F597">
        <f t="shared" si="252"/>
        <v>-4.7549885764041804</v>
      </c>
      <c r="G597">
        <f t="shared" si="253"/>
        <v>-1.9633633803260169</v>
      </c>
      <c r="H597" s="2" t="str">
        <f t="shared" si="254"/>
        <v>Higher</v>
      </c>
      <c r="I597" s="2" t="str">
        <f t="shared" si="255"/>
        <v>Lower</v>
      </c>
      <c r="J597" s="2" t="str">
        <f t="shared" si="256"/>
        <v>Higher</v>
      </c>
      <c r="K597" s="2" t="str">
        <f t="shared" si="257"/>
        <v>Higher</v>
      </c>
      <c r="L597" s="2" t="str">
        <f t="shared" si="258"/>
        <v>Lower</v>
      </c>
      <c r="M597" s="2" t="str">
        <f t="shared" si="259"/>
        <v>Higher</v>
      </c>
      <c r="N597" s="2" t="str">
        <f t="shared" si="260"/>
        <v>Higher</v>
      </c>
      <c r="O597" s="2" t="str">
        <f t="shared" si="261"/>
        <v>Lower</v>
      </c>
      <c r="P597" s="2" t="str">
        <f t="shared" si="262"/>
        <v>Higher</v>
      </c>
      <c r="X597" s="4">
        <f>DATE(2022,4,18)</f>
        <v>44669</v>
      </c>
      <c r="Z597">
        <v>39.889426216773472</v>
      </c>
      <c r="AB597">
        <v>95.62</v>
      </c>
      <c r="AC597" t="str">
        <f t="shared" si="263"/>
        <v/>
      </c>
      <c r="AD597">
        <f t="shared" si="263"/>
        <v>-4.6157245196371988E-2</v>
      </c>
      <c r="AE597" t="str">
        <f t="shared" si="264"/>
        <v/>
      </c>
      <c r="AF597" t="str">
        <f t="shared" si="265"/>
        <v/>
      </c>
      <c r="AH597" t="str">
        <f t="shared" si="266"/>
        <v/>
      </c>
      <c r="AI597">
        <f t="shared" si="266"/>
        <v>-1.3364592912400809E-2</v>
      </c>
      <c r="AJ597" t="str">
        <f t="shared" si="267"/>
        <v/>
      </c>
      <c r="AK597" t="str">
        <f t="shared" si="268"/>
        <v/>
      </c>
      <c r="AM597" t="str">
        <f t="shared" si="269"/>
        <v/>
      </c>
      <c r="AN597">
        <f t="shared" si="269"/>
        <v>3.8036516034754962E-2</v>
      </c>
      <c r="AO597" t="str">
        <f t="shared" si="270"/>
        <v/>
      </c>
      <c r="AP597" t="str">
        <f t="shared" si="271"/>
        <v/>
      </c>
      <c r="AR597" t="str">
        <f t="shared" si="272"/>
        <v/>
      </c>
      <c r="AS597">
        <f t="shared" si="273"/>
        <v>1.0061559995514919</v>
      </c>
      <c r="AT597" t="str">
        <f t="shared" si="274"/>
        <v/>
      </c>
      <c r="AU597" t="str">
        <f t="shared" si="275"/>
        <v/>
      </c>
    </row>
    <row r="598" spans="1:47" x14ac:dyDescent="0.25">
      <c r="A598" s="4">
        <f>DATE(2022,4,15)</f>
        <v>44666</v>
      </c>
      <c r="E598">
        <f t="shared" si="251"/>
        <v>-5.2552303243832747E-2</v>
      </c>
      <c r="F598">
        <f t="shared" si="252"/>
        <v>-4.7517076440963315</v>
      </c>
      <c r="G598">
        <f t="shared" si="253"/>
        <v>-1.9461137410371263</v>
      </c>
      <c r="H598" s="2" t="str">
        <f t="shared" si="254"/>
        <v>Higher</v>
      </c>
      <c r="I598" s="2" t="str">
        <f t="shared" si="255"/>
        <v>Lower</v>
      </c>
      <c r="J598" s="2" t="str">
        <f t="shared" si="256"/>
        <v>Higher</v>
      </c>
      <c r="K598" s="2" t="str">
        <f t="shared" si="257"/>
        <v>Higher</v>
      </c>
      <c r="L598" s="2" t="str">
        <f t="shared" si="258"/>
        <v>Lower</v>
      </c>
      <c r="M598" s="2" t="str">
        <f t="shared" si="259"/>
        <v>Higher</v>
      </c>
      <c r="N598" s="2" t="str">
        <f t="shared" si="260"/>
        <v>Higher</v>
      </c>
      <c r="O598" s="2" t="str">
        <f t="shared" si="261"/>
        <v>Lower</v>
      </c>
      <c r="P598" s="2" t="str">
        <f t="shared" si="262"/>
        <v>Higher</v>
      </c>
      <c r="X598" s="4">
        <f>DATE(2022,4,15)</f>
        <v>44666</v>
      </c>
      <c r="AC598" t="str">
        <f t="shared" si="263"/>
        <v/>
      </c>
      <c r="AD598" t="str">
        <f t="shared" si="263"/>
        <v/>
      </c>
      <c r="AE598" t="str">
        <f t="shared" si="264"/>
        <v/>
      </c>
      <c r="AF598" t="str">
        <f t="shared" si="265"/>
        <v/>
      </c>
      <c r="AH598" t="str">
        <f t="shared" si="266"/>
        <v/>
      </c>
      <c r="AI598" t="str">
        <f t="shared" si="266"/>
        <v/>
      </c>
      <c r="AJ598" t="str">
        <f t="shared" si="267"/>
        <v/>
      </c>
      <c r="AK598" t="str">
        <f t="shared" si="268"/>
        <v/>
      </c>
      <c r="AM598" t="str">
        <f t="shared" si="269"/>
        <v/>
      </c>
      <c r="AN598" t="str">
        <f t="shared" si="269"/>
        <v/>
      </c>
      <c r="AO598" t="str">
        <f t="shared" si="270"/>
        <v/>
      </c>
      <c r="AP598" t="str">
        <f t="shared" si="271"/>
        <v/>
      </c>
      <c r="AR598" t="str">
        <f t="shared" si="272"/>
        <v/>
      </c>
      <c r="AS598" t="str">
        <f t="shared" si="273"/>
        <v/>
      </c>
      <c r="AT598" t="str">
        <f t="shared" si="274"/>
        <v/>
      </c>
      <c r="AU598" t="str">
        <f t="shared" si="275"/>
        <v/>
      </c>
    </row>
    <row r="599" spans="1:47" x14ac:dyDescent="0.25">
      <c r="A599" s="4">
        <f>DATE(2022,4,14)</f>
        <v>44665</v>
      </c>
      <c r="B599">
        <v>0.22497683766897136</v>
      </c>
      <c r="C599">
        <v>52.272941911498748</v>
      </c>
      <c r="D599">
        <v>0.72068496599506504</v>
      </c>
      <c r="E599">
        <f t="shared" si="251"/>
        <v>0.16862155067507212</v>
      </c>
      <c r="F599">
        <f t="shared" si="252"/>
        <v>-0.25694211796908817</v>
      </c>
      <c r="G599">
        <f t="shared" si="253"/>
        <v>0.38824000256449082</v>
      </c>
      <c r="H599" s="2" t="str">
        <f t="shared" si="254"/>
        <v>Higher</v>
      </c>
      <c r="I599" s="2" t="str">
        <f t="shared" si="255"/>
        <v>Lower</v>
      </c>
      <c r="J599" s="2" t="str">
        <f t="shared" si="256"/>
        <v>Higher</v>
      </c>
      <c r="K599" s="2" t="str">
        <f t="shared" si="257"/>
        <v>Higher</v>
      </c>
      <c r="L599" s="2" t="str">
        <f t="shared" si="258"/>
        <v>Lower</v>
      </c>
      <c r="M599" s="2" t="str">
        <f t="shared" si="259"/>
        <v>Higher</v>
      </c>
      <c r="N599" s="2" t="str">
        <f t="shared" si="260"/>
        <v>Higher</v>
      </c>
      <c r="O599" s="2" t="str">
        <f t="shared" si="261"/>
        <v>Lower</v>
      </c>
      <c r="P599" s="2" t="str">
        <f t="shared" si="262"/>
        <v>Higher</v>
      </c>
      <c r="X599" s="4">
        <f>DATE(2022,4,14)</f>
        <v>44665</v>
      </c>
      <c r="Y599">
        <v>15.078596864462481</v>
      </c>
      <c r="Z599">
        <v>39.889429591051176</v>
      </c>
      <c r="AA599">
        <v>79.392499999999998</v>
      </c>
      <c r="AB599">
        <v>95.62</v>
      </c>
      <c r="AC599">
        <f t="shared" si="263"/>
        <v>2.9959498275827163E-3</v>
      </c>
      <c r="AD599">
        <f t="shared" si="263"/>
        <v>-8.9417320933338609E-2</v>
      </c>
      <c r="AE599">
        <f t="shared" si="264"/>
        <v>-9.2413270760921332E-2</v>
      </c>
      <c r="AF599">
        <f t="shared" si="265"/>
        <v>-0.64355624672128697</v>
      </c>
      <c r="AH599">
        <f t="shared" si="266"/>
        <v>4.0387522162464058E-3</v>
      </c>
      <c r="AI599">
        <f t="shared" si="266"/>
        <v>-0.10720883783169788</v>
      </c>
      <c r="AJ599">
        <f t="shared" si="267"/>
        <v>-0.11124759004794428</v>
      </c>
      <c r="AK599">
        <f t="shared" si="268"/>
        <v>-0.61185598533016472</v>
      </c>
      <c r="AM599">
        <f t="shared" si="269"/>
        <v>-6.1400435001029041E-2</v>
      </c>
      <c r="AN599">
        <f t="shared" si="269"/>
        <v>0.25295769361931103</v>
      </c>
      <c r="AO599">
        <f t="shared" si="270"/>
        <v>0.31435812862034007</v>
      </c>
      <c r="AP599">
        <f t="shared" si="271"/>
        <v>0.40961423591164664</v>
      </c>
      <c r="AR599">
        <f t="shared" si="272"/>
        <v>0.41922562961124993</v>
      </c>
      <c r="AS599">
        <f t="shared" si="273"/>
        <v>1.0641093177975496</v>
      </c>
      <c r="AT599">
        <f t="shared" si="274"/>
        <v>0.6448836881862996</v>
      </c>
      <c r="AU599">
        <f t="shared" si="275"/>
        <v>0.78087806543858385</v>
      </c>
    </row>
    <row r="600" spans="1:47" x14ac:dyDescent="0.25">
      <c r="A600" s="4">
        <f>DATE(2022,4,13)</f>
        <v>44664</v>
      </c>
      <c r="B600">
        <v>0.140857978888002</v>
      </c>
      <c r="C600">
        <v>47.159479668451084</v>
      </c>
      <c r="D600">
        <v>0.25726956793660199</v>
      </c>
      <c r="E600">
        <f t="shared" si="251"/>
        <v>9.3183256140333418E-2</v>
      </c>
      <c r="F600">
        <f t="shared" si="252"/>
        <v>-0.69763905274149562</v>
      </c>
      <c r="G600">
        <f t="shared" si="253"/>
        <v>-1.1032087757565514</v>
      </c>
      <c r="H600" s="2" t="str">
        <f t="shared" si="254"/>
        <v>Higher</v>
      </c>
      <c r="I600" s="2" t="str">
        <f t="shared" si="255"/>
        <v>Lower</v>
      </c>
      <c r="J600" s="2" t="str">
        <f t="shared" si="256"/>
        <v>Higher</v>
      </c>
      <c r="K600" s="2" t="str">
        <f t="shared" si="257"/>
        <v>Higher</v>
      </c>
      <c r="L600" s="2" t="str">
        <f t="shared" si="258"/>
        <v>Lower</v>
      </c>
      <c r="M600" s="2" t="str">
        <f t="shared" si="259"/>
        <v>Higher</v>
      </c>
      <c r="N600" s="2" t="str">
        <f t="shared" si="260"/>
        <v>Higher</v>
      </c>
      <c r="O600" s="2" t="str">
        <f t="shared" si="261"/>
        <v>Lower</v>
      </c>
      <c r="P600" s="2" t="str">
        <f t="shared" si="262"/>
        <v>Higher</v>
      </c>
      <c r="X600" s="4">
        <f>DATE(2022,4,13)</f>
        <v>44664</v>
      </c>
      <c r="Y600">
        <v>13.695280143264652</v>
      </c>
      <c r="Z600">
        <v>43.612772939166547</v>
      </c>
      <c r="AA600">
        <v>77.819999999999993</v>
      </c>
      <c r="AB600">
        <v>105.324</v>
      </c>
      <c r="AC600">
        <f t="shared" si="263"/>
        <v>2.0903353754766038E-3</v>
      </c>
      <c r="AD600">
        <f t="shared" si="263"/>
        <v>-1.3832339914304735E-2</v>
      </c>
      <c r="AE600">
        <f t="shared" si="264"/>
        <v>-1.5922675289781339E-2</v>
      </c>
      <c r="AF600">
        <f t="shared" si="265"/>
        <v>-0.21146298659507604</v>
      </c>
      <c r="AH600">
        <f t="shared" si="266"/>
        <v>1.9293851248513585E-3</v>
      </c>
      <c r="AI600">
        <f t="shared" si="266"/>
        <v>2.5979234244035927E-2</v>
      </c>
      <c r="AJ600">
        <f t="shared" si="267"/>
        <v>2.404984911918457E-2</v>
      </c>
      <c r="AK600">
        <f t="shared" si="268"/>
        <v>-0.15373062029949253</v>
      </c>
      <c r="AM600">
        <f t="shared" si="269"/>
        <v>-5.1649822959383106E-2</v>
      </c>
      <c r="AN600">
        <f t="shared" si="269"/>
        <v>0.34247747137891715</v>
      </c>
      <c r="AO600">
        <f t="shared" si="270"/>
        <v>0.39412729433830024</v>
      </c>
      <c r="AP600">
        <f t="shared" si="271"/>
        <v>0.62140102267054143</v>
      </c>
      <c r="AR600">
        <f t="shared" si="272"/>
        <v>0.38118629381583879</v>
      </c>
      <c r="AS600">
        <f t="shared" si="273"/>
        <v>1.1511536406283038</v>
      </c>
      <c r="AT600">
        <f t="shared" si="274"/>
        <v>0.76996734681246504</v>
      </c>
      <c r="AU600">
        <f t="shared" si="275"/>
        <v>1.1424505827734384</v>
      </c>
    </row>
    <row r="601" spans="1:47" x14ac:dyDescent="0.25">
      <c r="A601" s="4">
        <f>DATE(2022,4,12)</f>
        <v>44663</v>
      </c>
      <c r="B601">
        <v>0.25846442018264443</v>
      </c>
      <c r="C601">
        <v>50.262543680536488</v>
      </c>
      <c r="D601">
        <v>0.53979642195498967</v>
      </c>
      <c r="E601">
        <f t="shared" si="251"/>
        <v>0.21323355433677815</v>
      </c>
      <c r="F601">
        <f t="shared" si="252"/>
        <v>-0.42926898291712112</v>
      </c>
      <c r="G601">
        <f t="shared" si="253"/>
        <v>-0.19075893632421489</v>
      </c>
      <c r="H601" s="2" t="str">
        <f t="shared" si="254"/>
        <v>Higher</v>
      </c>
      <c r="I601" s="2" t="str">
        <f t="shared" si="255"/>
        <v>Lower</v>
      </c>
      <c r="J601" s="2" t="str">
        <f t="shared" si="256"/>
        <v>Higher</v>
      </c>
      <c r="K601" s="2" t="str">
        <f t="shared" si="257"/>
        <v>Higher</v>
      </c>
      <c r="L601" s="2" t="str">
        <f t="shared" si="258"/>
        <v>Lower</v>
      </c>
      <c r="M601" s="2" t="str">
        <f t="shared" si="259"/>
        <v>Higher</v>
      </c>
      <c r="N601" s="2" t="str">
        <f t="shared" si="260"/>
        <v>Higher</v>
      </c>
      <c r="O601" s="2" t="str">
        <f t="shared" si="261"/>
        <v>Lower</v>
      </c>
      <c r="P601" s="2" t="str">
        <f t="shared" si="262"/>
        <v>Higher</v>
      </c>
      <c r="X601" s="4">
        <f>DATE(2022,4,12)</f>
        <v>44663</v>
      </c>
      <c r="Y601">
        <v>14.243679641917167</v>
      </c>
      <c r="Z601">
        <v>43.410831044870299</v>
      </c>
      <c r="AA601">
        <v>78.539999999999992</v>
      </c>
      <c r="AB601">
        <v>102.60175</v>
      </c>
      <c r="AC601">
        <f t="shared" si="263"/>
        <v>5.3619431413851519E-3</v>
      </c>
      <c r="AD601">
        <f t="shared" si="263"/>
        <v>-5.550801214360148E-2</v>
      </c>
      <c r="AE601">
        <f t="shared" si="264"/>
        <v>-6.0869955284986635E-2</v>
      </c>
      <c r="AF601">
        <f t="shared" si="265"/>
        <v>-0.46589262765811196</v>
      </c>
      <c r="AH601">
        <f t="shared" si="266"/>
        <v>1.6496410547481872E-2</v>
      </c>
      <c r="AI601">
        <f t="shared" si="266"/>
        <v>-0.13133390282943186</v>
      </c>
      <c r="AJ601">
        <f t="shared" si="267"/>
        <v>-0.14783031337691374</v>
      </c>
      <c r="AK601">
        <f t="shared" si="268"/>
        <v>-0.73634394805434744</v>
      </c>
      <c r="AM601">
        <f t="shared" si="269"/>
        <v>-4.1005323780118542E-2</v>
      </c>
      <c r="AN601">
        <f t="shared" si="269"/>
        <v>0.26090726161274991</v>
      </c>
      <c r="AO601">
        <f t="shared" si="270"/>
        <v>0.30191258539286847</v>
      </c>
      <c r="AP601">
        <f t="shared" si="271"/>
        <v>0.37804984736299146</v>
      </c>
      <c r="AR601">
        <f t="shared" si="272"/>
        <v>0.3628875889604305</v>
      </c>
      <c r="AS601">
        <f t="shared" si="273"/>
        <v>1.0779742546958659</v>
      </c>
      <c r="AT601">
        <f t="shared" si="274"/>
        <v>0.71508666573543544</v>
      </c>
      <c r="AU601">
        <f t="shared" si="275"/>
        <v>0.98434646904047973</v>
      </c>
    </row>
    <row r="602" spans="1:47" x14ac:dyDescent="0.25">
      <c r="A602" s="4">
        <f>DATE(2022,4,11)</f>
        <v>44662</v>
      </c>
      <c r="B602">
        <v>0.27113589870377486</v>
      </c>
      <c r="C602">
        <v>48.122418756049633</v>
      </c>
      <c r="D602">
        <v>0.35939193275282527</v>
      </c>
      <c r="E602">
        <f t="shared" si="251"/>
        <v>0.23332032929632873</v>
      </c>
      <c r="F602">
        <f t="shared" si="252"/>
        <v>-0.60873955268034952</v>
      </c>
      <c r="G602">
        <f t="shared" si="253"/>
        <v>-0.7603876781708403</v>
      </c>
      <c r="H602" s="2" t="str">
        <f t="shared" si="254"/>
        <v>Higher</v>
      </c>
      <c r="I602" s="2" t="str">
        <f t="shared" si="255"/>
        <v>Lower</v>
      </c>
      <c r="J602" s="2" t="str">
        <f t="shared" si="256"/>
        <v>Higher</v>
      </c>
      <c r="K602" s="2" t="str">
        <f t="shared" si="257"/>
        <v>Higher</v>
      </c>
      <c r="L602" s="2" t="str">
        <f t="shared" si="258"/>
        <v>Lower</v>
      </c>
      <c r="M602" s="2" t="str">
        <f t="shared" si="259"/>
        <v>Higher</v>
      </c>
      <c r="N602" s="2" t="str">
        <f t="shared" si="260"/>
        <v>Higher</v>
      </c>
      <c r="O602" s="2" t="str">
        <f t="shared" si="261"/>
        <v>Lower</v>
      </c>
      <c r="P602" s="2" t="str">
        <f t="shared" si="262"/>
        <v>Higher</v>
      </c>
      <c r="X602" s="4">
        <f>DATE(2022,4,11)</f>
        <v>44662</v>
      </c>
      <c r="Y602">
        <v>14.942467362373682</v>
      </c>
      <c r="Z602">
        <v>41.611267646740224</v>
      </c>
      <c r="AA602">
        <v>78.402500000000003</v>
      </c>
      <c r="AB602">
        <v>100.137</v>
      </c>
      <c r="AC602">
        <f t="shared" si="263"/>
        <v>2.232320825662085E-4</v>
      </c>
      <c r="AD602">
        <f t="shared" si="263"/>
        <v>-8.9595324467825033E-2</v>
      </c>
      <c r="AE602">
        <f t="shared" si="264"/>
        <v>-8.981855655039124E-2</v>
      </c>
      <c r="AF602">
        <f t="shared" si="265"/>
        <v>-0.63006788765896404</v>
      </c>
      <c r="AH602">
        <f t="shared" si="266"/>
        <v>-8.2871171951256421E-4</v>
      </c>
      <c r="AI602">
        <f t="shared" si="266"/>
        <v>-0.13422769588148104</v>
      </c>
      <c r="AJ602">
        <f t="shared" si="267"/>
        <v>-0.13339898416196846</v>
      </c>
      <c r="AK602">
        <f t="shared" si="268"/>
        <v>-0.68873518700168523</v>
      </c>
      <c r="AM602">
        <f t="shared" si="269"/>
        <v>-3.1944981782413361E-2</v>
      </c>
      <c r="AN602" t="str">
        <f t="shared" si="269"/>
        <v/>
      </c>
      <c r="AO602" t="str">
        <f t="shared" si="270"/>
        <v/>
      </c>
      <c r="AP602" t="str">
        <f t="shared" si="271"/>
        <v/>
      </c>
      <c r="AR602">
        <f t="shared" si="272"/>
        <v>0.30335434279619022</v>
      </c>
      <c r="AS602" t="str">
        <f t="shared" si="273"/>
        <v/>
      </c>
      <c r="AT602" t="str">
        <f t="shared" si="274"/>
        <v/>
      </c>
      <c r="AU602" t="str">
        <f t="shared" si="275"/>
        <v/>
      </c>
    </row>
    <row r="603" spans="1:47" x14ac:dyDescent="0.25">
      <c r="A603" s="4">
        <f>DATE(2022,4,8)</f>
        <v>44659</v>
      </c>
      <c r="B603">
        <v>0.38405030630606085</v>
      </c>
      <c r="C603">
        <v>52.344544199618788</v>
      </c>
      <c r="D603">
        <v>0.74926794393102403</v>
      </c>
      <c r="E603">
        <f t="shared" si="251"/>
        <v>0.34961664873404591</v>
      </c>
      <c r="F603">
        <f t="shared" si="252"/>
        <v>-0.2445692785970498</v>
      </c>
      <c r="G603">
        <f t="shared" si="253"/>
        <v>0.4920585471895414</v>
      </c>
      <c r="H603" s="2" t="str">
        <f t="shared" si="254"/>
        <v>Higher</v>
      </c>
      <c r="I603" s="2" t="str">
        <f t="shared" si="255"/>
        <v>Lower</v>
      </c>
      <c r="J603" s="2" t="str">
        <f t="shared" si="256"/>
        <v>Higher</v>
      </c>
      <c r="K603" s="2" t="str">
        <f t="shared" si="257"/>
        <v>Higher</v>
      </c>
      <c r="L603" s="2" t="str">
        <f t="shared" si="258"/>
        <v>Lower</v>
      </c>
      <c r="M603" s="2" t="str">
        <f t="shared" si="259"/>
        <v>Higher</v>
      </c>
      <c r="N603" s="2" t="str">
        <f t="shared" si="260"/>
        <v>Higher</v>
      </c>
      <c r="O603" s="2" t="str">
        <f t="shared" si="261"/>
        <v>Lower</v>
      </c>
      <c r="P603" s="2" t="str">
        <f t="shared" si="262"/>
        <v>Higher</v>
      </c>
      <c r="X603" s="4">
        <f>DATE(2022,4,8)</f>
        <v>44659</v>
      </c>
      <c r="Y603">
        <v>15.707901182884143</v>
      </c>
      <c r="Z603">
        <v>42.925111089760676</v>
      </c>
      <c r="AA603">
        <v>80.167500000000004</v>
      </c>
      <c r="AB603">
        <v>103.88200000000001</v>
      </c>
      <c r="AC603">
        <f t="shared" si="263"/>
        <v>2.357059283731619E-2</v>
      </c>
      <c r="AD603">
        <f t="shared" si="263"/>
        <v>-8.2360699470534607E-2</v>
      </c>
      <c r="AE603">
        <f t="shared" si="264"/>
        <v>-0.1059312923078508</v>
      </c>
      <c r="AF603">
        <f t="shared" si="265"/>
        <v>-0.72200989391765191</v>
      </c>
      <c r="AH603">
        <f t="shared" si="266"/>
        <v>4.9346966175203372E-2</v>
      </c>
      <c r="AI603">
        <f t="shared" si="266"/>
        <v>-0.23368824907694374</v>
      </c>
      <c r="AJ603">
        <f t="shared" si="267"/>
        <v>-0.28303521525214714</v>
      </c>
      <c r="AK603">
        <f t="shared" si="268"/>
        <v>-1.1963661535358256</v>
      </c>
      <c r="AM603">
        <f t="shared" si="269"/>
        <v>-2.6890618555853632E-2</v>
      </c>
      <c r="AN603">
        <f t="shared" si="269"/>
        <v>0.16751100104579048</v>
      </c>
      <c r="AO603">
        <f t="shared" si="270"/>
        <v>0.19440161960164409</v>
      </c>
      <c r="AP603">
        <f t="shared" si="271"/>
        <v>9.3222962647070876E-2</v>
      </c>
      <c r="AR603">
        <f t="shared" si="272"/>
        <v>0.33185510149148145</v>
      </c>
      <c r="AS603">
        <f t="shared" si="273"/>
        <v>1.0635704293802981</v>
      </c>
      <c r="AT603">
        <f t="shared" si="274"/>
        <v>0.73171532788881666</v>
      </c>
      <c r="AU603">
        <f t="shared" si="275"/>
        <v>1.0298372324563299</v>
      </c>
    </row>
    <row r="604" spans="1:47" x14ac:dyDescent="0.25">
      <c r="A604" s="4">
        <f>DATE(2022,4,7)</f>
        <v>44658</v>
      </c>
      <c r="B604">
        <v>0.32262176721090252</v>
      </c>
      <c r="C604">
        <v>52.070818157097662</v>
      </c>
      <c r="D604">
        <v>0.74729853190125173</v>
      </c>
      <c r="E604">
        <f t="shared" si="251"/>
        <v>0.29911587757084385</v>
      </c>
      <c r="F604">
        <f t="shared" si="252"/>
        <v>-0.261119236666362</v>
      </c>
      <c r="G604">
        <f t="shared" si="253"/>
        <v>0.49748928679728671</v>
      </c>
      <c r="H604" s="2" t="str">
        <f t="shared" si="254"/>
        <v>Higher</v>
      </c>
      <c r="I604" s="2" t="str">
        <f t="shared" si="255"/>
        <v>Lower</v>
      </c>
      <c r="J604" s="2" t="str">
        <f t="shared" si="256"/>
        <v>Higher</v>
      </c>
      <c r="K604" s="2" t="str">
        <f t="shared" si="257"/>
        <v>Higher</v>
      </c>
      <c r="L604" s="2" t="str">
        <f t="shared" si="258"/>
        <v>Lower</v>
      </c>
      <c r="M604" s="2" t="str">
        <f t="shared" si="259"/>
        <v>Higher</v>
      </c>
      <c r="N604" s="2" t="str">
        <f t="shared" si="260"/>
        <v>Higher</v>
      </c>
      <c r="O604" s="2" t="str">
        <f t="shared" si="261"/>
        <v>Lower</v>
      </c>
      <c r="P604" s="2" t="str">
        <f t="shared" si="262"/>
        <v>Higher</v>
      </c>
      <c r="X604" s="4">
        <f>DATE(2022,4,7)</f>
        <v>44658</v>
      </c>
      <c r="Y604">
        <v>15.054173840489375</v>
      </c>
      <c r="Z604">
        <v>43.155530437453869</v>
      </c>
      <c r="AA604">
        <v>79.155000000000001</v>
      </c>
      <c r="AB604">
        <v>104.56399999999999</v>
      </c>
      <c r="AC604">
        <f t="shared" si="263"/>
        <v>2.4976115599652918E-2</v>
      </c>
      <c r="AD604">
        <f t="shared" si="263"/>
        <v>-0.18573627265398521</v>
      </c>
      <c r="AE604">
        <f t="shared" si="264"/>
        <v>-0.21071238825363814</v>
      </c>
      <c r="AF604">
        <f t="shared" si="265"/>
        <v>-1.314507682919883</v>
      </c>
      <c r="AH604">
        <f t="shared" si="266"/>
        <v>5.7191855859849698E-2</v>
      </c>
      <c r="AI604">
        <f t="shared" si="266"/>
        <v>-0.18964424615776077</v>
      </c>
      <c r="AJ604">
        <f t="shared" si="267"/>
        <v>-0.24683610201761047</v>
      </c>
      <c r="AK604">
        <f t="shared" si="268"/>
        <v>-1.0772194455585822</v>
      </c>
      <c r="AM604">
        <f t="shared" si="269"/>
        <v>-1.0931130330185902E-2</v>
      </c>
      <c r="AN604">
        <f t="shared" si="269"/>
        <v>0.24033993205617535</v>
      </c>
      <c r="AO604">
        <f t="shared" si="270"/>
        <v>0.25127106238636127</v>
      </c>
      <c r="AP604">
        <f t="shared" si="271"/>
        <v>0.2434491966915156</v>
      </c>
      <c r="AR604">
        <f t="shared" si="272"/>
        <v>0.31736469007716606</v>
      </c>
      <c r="AS604">
        <f t="shared" si="273"/>
        <v>1.0614932511984134</v>
      </c>
      <c r="AT604">
        <f t="shared" si="274"/>
        <v>0.74412856112124737</v>
      </c>
      <c r="AU604">
        <f t="shared" si="275"/>
        <v>1.0655498966899724</v>
      </c>
    </row>
    <row r="605" spans="1:47" x14ac:dyDescent="0.25">
      <c r="A605" s="4">
        <f>DATE(2022,4,6)</f>
        <v>44657</v>
      </c>
      <c r="B605">
        <v>0.22273482390482024</v>
      </c>
      <c r="C605">
        <v>46.855879529864936</v>
      </c>
      <c r="D605">
        <v>0.2873401954467445</v>
      </c>
      <c r="E605">
        <f t="shared" si="251"/>
        <v>0.20937270316890513</v>
      </c>
      <c r="F605">
        <f t="shared" si="252"/>
        <v>-0.70354888479280675</v>
      </c>
      <c r="G605">
        <f t="shared" si="253"/>
        <v>-0.94991463290429456</v>
      </c>
      <c r="H605" s="2" t="str">
        <f t="shared" si="254"/>
        <v>Higher</v>
      </c>
      <c r="I605" s="2" t="str">
        <f t="shared" si="255"/>
        <v>Lower</v>
      </c>
      <c r="J605" s="2" t="str">
        <f t="shared" si="256"/>
        <v>Higher</v>
      </c>
      <c r="K605" s="2" t="str">
        <f t="shared" si="257"/>
        <v>Higher</v>
      </c>
      <c r="L605" s="2" t="str">
        <f t="shared" si="258"/>
        <v>Lower</v>
      </c>
      <c r="M605" s="2" t="str">
        <f t="shared" si="259"/>
        <v>Higher</v>
      </c>
      <c r="N605" s="2" t="str">
        <f t="shared" si="260"/>
        <v>Higher</v>
      </c>
      <c r="O605" s="2" t="str">
        <f t="shared" si="261"/>
        <v>Lower</v>
      </c>
      <c r="P605" s="2" t="str">
        <f t="shared" si="262"/>
        <v>Higher</v>
      </c>
      <c r="X605" s="4">
        <f>DATE(2022,4,6)</f>
        <v>44657</v>
      </c>
      <c r="Y605">
        <v>14.626095894093089</v>
      </c>
      <c r="Z605">
        <v>43.869565133736003</v>
      </c>
      <c r="AA605">
        <v>77.657499999999999</v>
      </c>
      <c r="AB605">
        <v>106.791</v>
      </c>
      <c r="AC605">
        <f t="shared" si="263"/>
        <v>-1.4097121589994047E-2</v>
      </c>
      <c r="AD605">
        <f t="shared" si="263"/>
        <v>-0.10799770717614911</v>
      </c>
      <c r="AE605">
        <f t="shared" si="264"/>
        <v>-9.3900585586155064E-2</v>
      </c>
      <c r="AF605">
        <f t="shared" si="265"/>
        <v>-0.65892549329088457</v>
      </c>
      <c r="AH605">
        <f t="shared" si="266"/>
        <v>7.4774334151653105E-2</v>
      </c>
      <c r="AI605">
        <f t="shared" si="266"/>
        <v>-0.37821282715822291</v>
      </c>
      <c r="AJ605">
        <f t="shared" si="267"/>
        <v>-0.45298716130987604</v>
      </c>
      <c r="AK605">
        <f t="shared" si="268"/>
        <v>-1.7784027018713893</v>
      </c>
      <c r="AM605">
        <f t="shared" si="269"/>
        <v>-3.7221534220349996E-2</v>
      </c>
      <c r="AN605">
        <f t="shared" si="269"/>
        <v>0.33372671366836387</v>
      </c>
      <c r="AO605">
        <f t="shared" si="270"/>
        <v>0.37094824788871389</v>
      </c>
      <c r="AP605">
        <f t="shared" si="271"/>
        <v>0.55920412782152951</v>
      </c>
      <c r="AR605">
        <f t="shared" si="272"/>
        <v>0.32410337246337528</v>
      </c>
      <c r="AS605">
        <f t="shared" si="273"/>
        <v>1.1305739670780128</v>
      </c>
      <c r="AT605">
        <f t="shared" si="274"/>
        <v>0.80647059461463755</v>
      </c>
      <c r="AU605">
        <f t="shared" si="275"/>
        <v>1.2442149511802423</v>
      </c>
    </row>
    <row r="606" spans="1:47" x14ac:dyDescent="0.25">
      <c r="A606" s="4">
        <f>DATE(2022,4,5)</f>
        <v>44656</v>
      </c>
      <c r="B606">
        <v>0.33676205011041094</v>
      </c>
      <c r="C606">
        <v>48.397197990623489</v>
      </c>
      <c r="D606">
        <v>0.48038310535137263</v>
      </c>
      <c r="E606">
        <f t="shared" si="251"/>
        <v>0.32298254249921643</v>
      </c>
      <c r="F606">
        <f t="shared" si="252"/>
        <v>-0.57001215800038396</v>
      </c>
      <c r="G606">
        <f t="shared" si="253"/>
        <v>-0.33390235664372808</v>
      </c>
      <c r="H606" s="2" t="str">
        <f t="shared" si="254"/>
        <v>Higher</v>
      </c>
      <c r="I606" s="2" t="str">
        <f t="shared" si="255"/>
        <v>Lower</v>
      </c>
      <c r="J606" s="2" t="str">
        <f t="shared" si="256"/>
        <v>Higher</v>
      </c>
      <c r="K606" s="2" t="str">
        <f t="shared" si="257"/>
        <v>Higher</v>
      </c>
      <c r="L606" s="2" t="str">
        <f t="shared" si="258"/>
        <v>Lower</v>
      </c>
      <c r="M606" s="2" t="str">
        <f t="shared" si="259"/>
        <v>Higher</v>
      </c>
      <c r="N606" s="2" t="str">
        <f t="shared" si="260"/>
        <v>Higher</v>
      </c>
      <c r="O606" s="2" t="str">
        <f t="shared" si="261"/>
        <v>Lower</v>
      </c>
      <c r="P606" s="2" t="str">
        <f t="shared" si="262"/>
        <v>Higher</v>
      </c>
      <c r="X606" s="4">
        <f>DATE(2022,4,5)</f>
        <v>44656</v>
      </c>
      <c r="Y606">
        <v>15.388028885368261</v>
      </c>
      <c r="Z606">
        <v>44.412811237739049</v>
      </c>
      <c r="AA606">
        <v>78.12</v>
      </c>
      <c r="AB606">
        <v>108.458</v>
      </c>
      <c r="AC606">
        <f t="shared" si="263"/>
        <v>-4.1006309330471821E-2</v>
      </c>
      <c r="AD606">
        <f t="shared" si="263"/>
        <v>7.1020437501103566E-4</v>
      </c>
      <c r="AE606">
        <f t="shared" si="264"/>
        <v>4.1716513705482856E-2</v>
      </c>
      <c r="AF606">
        <f t="shared" si="265"/>
        <v>0.10549923214310063</v>
      </c>
      <c r="AH606">
        <f t="shared" si="266"/>
        <v>0.17310912949148247</v>
      </c>
      <c r="AI606">
        <f t="shared" si="266"/>
        <v>-0.68219845367152199</v>
      </c>
      <c r="AJ606">
        <f t="shared" si="267"/>
        <v>-0.85530758316300448</v>
      </c>
      <c r="AK606">
        <f t="shared" si="268"/>
        <v>-3.1546063249810201</v>
      </c>
      <c r="AM606">
        <f t="shared" si="269"/>
        <v>-4.5939446355144471E-2</v>
      </c>
      <c r="AN606">
        <f t="shared" si="269"/>
        <v>0.30979498779279752</v>
      </c>
      <c r="AO606">
        <f t="shared" si="270"/>
        <v>0.35573443414794198</v>
      </c>
      <c r="AP606">
        <f t="shared" si="271"/>
        <v>0.51978560911096139</v>
      </c>
      <c r="AR606">
        <f t="shared" si="272"/>
        <v>0.33925387958308967</v>
      </c>
      <c r="AS606">
        <f t="shared" si="273"/>
        <v>1.1774179554525444</v>
      </c>
      <c r="AT606">
        <f t="shared" si="274"/>
        <v>0.83816407586945463</v>
      </c>
      <c r="AU606">
        <f t="shared" si="275"/>
        <v>1.3350625856258918</v>
      </c>
    </row>
    <row r="607" spans="1:47" x14ac:dyDescent="0.25">
      <c r="A607" s="4">
        <f>DATE(2022,4,4)</f>
        <v>44655</v>
      </c>
      <c r="B607">
        <v>0.41375273265933943</v>
      </c>
      <c r="C607">
        <v>49.174091284691954</v>
      </c>
      <c r="D607">
        <v>0.57057067769039593</v>
      </c>
      <c r="E607">
        <f t="shared" si="251"/>
        <v>0.39931066073688626</v>
      </c>
      <c r="F607">
        <f t="shared" si="252"/>
        <v>-0.51360771814860806</v>
      </c>
      <c r="G607">
        <f t="shared" si="253"/>
        <v>-6.1847523510555995E-2</v>
      </c>
      <c r="H607" s="2" t="str">
        <f t="shared" si="254"/>
        <v>Lower</v>
      </c>
      <c r="I607" s="2" t="str">
        <f t="shared" si="255"/>
        <v>Lower</v>
      </c>
      <c r="J607" s="2" t="str">
        <f t="shared" si="256"/>
        <v>Higher</v>
      </c>
      <c r="K607" s="2" t="str">
        <f t="shared" si="257"/>
        <v>Higher</v>
      </c>
      <c r="L607" s="2" t="str">
        <f t="shared" si="258"/>
        <v>Lower</v>
      </c>
      <c r="M607" s="2" t="str">
        <f t="shared" si="259"/>
        <v>Higher</v>
      </c>
      <c r="N607" s="2" t="str">
        <f t="shared" si="260"/>
        <v>Higher</v>
      </c>
      <c r="O607" s="2" t="str">
        <f t="shared" si="261"/>
        <v>Lower</v>
      </c>
      <c r="P607" s="2" t="str">
        <f t="shared" si="262"/>
        <v>Higher</v>
      </c>
      <c r="X607" s="4">
        <f>DATE(2022,4,4)</f>
        <v>44655</v>
      </c>
      <c r="Y607">
        <v>15.790025983781103</v>
      </c>
      <c r="Z607">
        <v>44.814771064443626</v>
      </c>
      <c r="AA607">
        <v>78.385000000000005</v>
      </c>
      <c r="AB607">
        <v>109.523</v>
      </c>
      <c r="AC607">
        <f t="shared" si="263"/>
        <v>-2.5008389704132654E-2</v>
      </c>
      <c r="AD607">
        <f t="shared" si="263"/>
        <v>7.7961788240073882E-2</v>
      </c>
      <c r="AE607">
        <f t="shared" si="264"/>
        <v>0.10297017794420654</v>
      </c>
      <c r="AF607">
        <f t="shared" si="265"/>
        <v>0.4509304588957791</v>
      </c>
      <c r="AH607">
        <f t="shared" si="266"/>
        <v>0.27687550032321989</v>
      </c>
      <c r="AI607">
        <f t="shared" si="266"/>
        <v>-0.72970051538360647</v>
      </c>
      <c r="AJ607">
        <f t="shared" si="267"/>
        <v>-1.0065760157068264</v>
      </c>
      <c r="AK607">
        <f t="shared" si="268"/>
        <v>-3.719361115569364</v>
      </c>
      <c r="AM607">
        <f t="shared" si="269"/>
        <v>-4.1972063306881434E-2</v>
      </c>
      <c r="AN607">
        <f t="shared" si="269"/>
        <v>0.24157218346376591</v>
      </c>
      <c r="AO607">
        <f t="shared" si="270"/>
        <v>0.28354424677064732</v>
      </c>
      <c r="AP607">
        <f t="shared" si="271"/>
        <v>0.33045982724149386</v>
      </c>
      <c r="AR607">
        <f t="shared" si="272"/>
        <v>0.34741406477767878</v>
      </c>
      <c r="AS607">
        <f t="shared" si="273"/>
        <v>1.2248826612496606</v>
      </c>
      <c r="AT607">
        <f t="shared" si="274"/>
        <v>0.87746859647198183</v>
      </c>
      <c r="AU607">
        <f t="shared" si="275"/>
        <v>1.4476190935607685</v>
      </c>
    </row>
    <row r="608" spans="1:47" x14ac:dyDescent="0.25">
      <c r="A608" s="4">
        <f>DATE(2022,4,1)</f>
        <v>44652</v>
      </c>
      <c r="B608">
        <v>0.46920229819782944</v>
      </c>
      <c r="C608">
        <v>49.157251468110317</v>
      </c>
      <c r="D608">
        <v>0.58831941452822512</v>
      </c>
      <c r="E608">
        <f t="shared" si="251"/>
        <v>0.45701282772447821</v>
      </c>
      <c r="F608">
        <f t="shared" si="252"/>
        <v>-0.52255042194240753</v>
      </c>
      <c r="G608">
        <f t="shared" si="253"/>
        <v>-1.3023849502002685E-2</v>
      </c>
      <c r="H608" s="2" t="str">
        <f t="shared" si="254"/>
        <v>Lower</v>
      </c>
      <c r="I608" s="2" t="str">
        <f t="shared" si="255"/>
        <v>Lower</v>
      </c>
      <c r="J608" s="2" t="str">
        <f t="shared" si="256"/>
        <v>Higher</v>
      </c>
      <c r="K608" s="2" t="str">
        <f t="shared" si="257"/>
        <v>Higher</v>
      </c>
      <c r="L608" s="2" t="str">
        <f t="shared" si="258"/>
        <v>Lower</v>
      </c>
      <c r="M608" s="2" t="str">
        <f t="shared" si="259"/>
        <v>Higher</v>
      </c>
      <c r="N608" s="2" t="str">
        <f t="shared" si="260"/>
        <v>Higher</v>
      </c>
      <c r="O608" s="2" t="str">
        <f t="shared" si="261"/>
        <v>Lower</v>
      </c>
      <c r="P608" s="2" t="str">
        <f t="shared" si="262"/>
        <v>Higher</v>
      </c>
      <c r="X608" s="4">
        <f>DATE(2022,4,1)</f>
        <v>44652</v>
      </c>
      <c r="Y608">
        <v>16.389024541810379</v>
      </c>
      <c r="Z608">
        <v>45.541774716123406</v>
      </c>
      <c r="AA608">
        <v>78.3</v>
      </c>
      <c r="AB608">
        <v>112.80000000000001</v>
      </c>
      <c r="AC608">
        <f t="shared" si="263"/>
        <v>-9.2549752094292124E-4</v>
      </c>
      <c r="AD608">
        <f t="shared" si="263"/>
        <v>0.10783599636119211</v>
      </c>
      <c r="AE608">
        <f t="shared" si="264"/>
        <v>0.10876149388213503</v>
      </c>
      <c r="AF608">
        <f t="shared" si="265"/>
        <v>0.48412786993021611</v>
      </c>
      <c r="AH608">
        <f t="shared" si="266"/>
        <v>0.17377580052872954</v>
      </c>
      <c r="AI608">
        <f t="shared" si="266"/>
        <v>-0.53473952119695944</v>
      </c>
      <c r="AJ608">
        <f t="shared" si="267"/>
        <v>-0.70851532172568898</v>
      </c>
      <c r="AK608">
        <f t="shared" si="268"/>
        <v>-2.7493782314890018</v>
      </c>
      <c r="AM608">
        <f t="shared" si="269"/>
        <v>-9.2810832401950968E-2</v>
      </c>
      <c r="AN608">
        <f t="shared" si="269"/>
        <v>0.22803693170003625</v>
      </c>
      <c r="AO608">
        <f t="shared" si="270"/>
        <v>0.32084776410198723</v>
      </c>
      <c r="AP608">
        <f t="shared" si="271"/>
        <v>0.42877168311404035</v>
      </c>
      <c r="AR608">
        <f t="shared" si="272"/>
        <v>0.34967523352644231</v>
      </c>
      <c r="AS608">
        <f t="shared" si="273"/>
        <v>1.2511684956622104</v>
      </c>
      <c r="AT608">
        <f t="shared" si="274"/>
        <v>0.90149326213576808</v>
      </c>
      <c r="AU608">
        <f t="shared" si="275"/>
        <v>1.5167802851495329</v>
      </c>
    </row>
    <row r="609" spans="1:47" x14ac:dyDescent="0.25">
      <c r="A609" s="4">
        <f>DATE(2022,3,31)</f>
        <v>44651</v>
      </c>
      <c r="B609">
        <v>0.53398730968882324</v>
      </c>
      <c r="C609">
        <v>45.805496104800866</v>
      </c>
      <c r="D609">
        <v>0.51975079962842985</v>
      </c>
      <c r="E609">
        <f t="shared" si="251"/>
        <v>0.52503948116403498</v>
      </c>
      <c r="F609">
        <f t="shared" si="252"/>
        <v>-0.81339585664035186</v>
      </c>
      <c r="G609">
        <f t="shared" si="253"/>
        <v>-0.22817228276797913</v>
      </c>
      <c r="H609" s="2" t="str">
        <f t="shared" si="254"/>
        <v>Lower</v>
      </c>
      <c r="I609" s="2" t="str">
        <f t="shared" si="255"/>
        <v>Lower</v>
      </c>
      <c r="J609" s="2" t="str">
        <f t="shared" si="256"/>
        <v>Higher</v>
      </c>
      <c r="K609" s="2" t="str">
        <f t="shared" si="257"/>
        <v>Higher</v>
      </c>
      <c r="L609" s="2" t="str">
        <f t="shared" si="258"/>
        <v>Lower</v>
      </c>
      <c r="M609" s="2" t="str">
        <f t="shared" si="259"/>
        <v>Higher</v>
      </c>
      <c r="N609" s="2" t="str">
        <f t="shared" si="260"/>
        <v>Lower</v>
      </c>
      <c r="O609" s="2" t="str">
        <f t="shared" si="261"/>
        <v>Lower</v>
      </c>
      <c r="P609" s="2" t="str">
        <f t="shared" si="262"/>
        <v>Higher</v>
      </c>
      <c r="X609" s="4">
        <f>DATE(2022,3,31)</f>
        <v>44651</v>
      </c>
      <c r="Y609">
        <v>17.346124237481025</v>
      </c>
      <c r="Z609">
        <v>49.441705849412557</v>
      </c>
      <c r="AA609">
        <v>77.202500000000001</v>
      </c>
      <c r="AB609">
        <v>125.90600000000001</v>
      </c>
      <c r="AC609">
        <f t="shared" si="263"/>
        <v>-9.058295743229916E-3</v>
      </c>
      <c r="AD609">
        <f t="shared" si="263"/>
        <v>0.11075293846990006</v>
      </c>
      <c r="AE609">
        <f t="shared" si="264"/>
        <v>0.11981123421312997</v>
      </c>
      <c r="AF609">
        <f t="shared" si="265"/>
        <v>0.5469435809124632</v>
      </c>
      <c r="AH609">
        <f t="shared" si="266"/>
        <v>0.14293396380746493</v>
      </c>
      <c r="AI609">
        <f t="shared" si="266"/>
        <v>-0.22382477999757361</v>
      </c>
      <c r="AJ609">
        <f t="shared" si="267"/>
        <v>-0.36675874380503853</v>
      </c>
      <c r="AK609">
        <f t="shared" si="268"/>
        <v>-1.5741813852696172</v>
      </c>
      <c r="AM609">
        <f t="shared" si="269"/>
        <v>-0.11547402752157523</v>
      </c>
      <c r="AN609">
        <f t="shared" si="269"/>
        <v>0.27294937333848585</v>
      </c>
      <c r="AO609">
        <f t="shared" si="270"/>
        <v>0.38842340086006111</v>
      </c>
      <c r="AP609">
        <f t="shared" si="271"/>
        <v>0.60651533887865405</v>
      </c>
      <c r="AR609">
        <f t="shared" si="272"/>
        <v>0.33996266420599641</v>
      </c>
      <c r="AS609">
        <f t="shared" si="273"/>
        <v>1.3739881407953254</v>
      </c>
      <c r="AT609">
        <f t="shared" si="274"/>
        <v>1.0340254765893291</v>
      </c>
      <c r="AU609">
        <f t="shared" si="275"/>
        <v>1.8946183318781897</v>
      </c>
    </row>
    <row r="610" spans="1:47" x14ac:dyDescent="0.25">
      <c r="A610" s="4">
        <f>DATE(2022,3,30)</f>
        <v>44650</v>
      </c>
      <c r="B610">
        <v>0.81359077189098361</v>
      </c>
      <c r="C610">
        <v>48.509067090207381</v>
      </c>
      <c r="D610">
        <v>0.61506198121782674</v>
      </c>
      <c r="E610">
        <f t="shared" si="251"/>
        <v>0.80081729955265135</v>
      </c>
      <c r="F610">
        <f t="shared" si="252"/>
        <v>-0.59038698326672678</v>
      </c>
      <c r="G610">
        <f t="shared" si="253"/>
        <v>6.8478959400213243E-2</v>
      </c>
      <c r="H610" s="2" t="str">
        <f t="shared" si="254"/>
        <v>Lower</v>
      </c>
      <c r="I610" s="2" t="str">
        <f t="shared" si="255"/>
        <v>Lower</v>
      </c>
      <c r="J610" s="2" t="str">
        <f t="shared" si="256"/>
        <v>Higher</v>
      </c>
      <c r="K610" s="2" t="str">
        <f t="shared" si="257"/>
        <v>Lower</v>
      </c>
      <c r="L610" s="2" t="str">
        <f t="shared" si="258"/>
        <v>Lower</v>
      </c>
      <c r="M610" s="2" t="str">
        <f t="shared" si="259"/>
        <v>Higher</v>
      </c>
      <c r="N610" s="2" t="str">
        <f t="shared" si="260"/>
        <v>Lower</v>
      </c>
      <c r="O610" s="2" t="str">
        <f t="shared" si="261"/>
        <v>Lower</v>
      </c>
      <c r="P610" s="2" t="str">
        <f t="shared" si="262"/>
        <v>Higher</v>
      </c>
      <c r="X610" s="4">
        <f>DATE(2022,3,30)</f>
        <v>44650</v>
      </c>
      <c r="Y610">
        <v>18.831768648794764</v>
      </c>
      <c r="Z610">
        <v>47.329950695918178</v>
      </c>
      <c r="AA610">
        <v>78.760000000000005</v>
      </c>
      <c r="AB610">
        <v>118.97</v>
      </c>
      <c r="AC610">
        <f t="shared" si="263"/>
        <v>1.4998922031153888E-2</v>
      </c>
      <c r="AD610">
        <f t="shared" si="263"/>
        <v>1.6688878718656833E-2</v>
      </c>
      <c r="AE610">
        <f t="shared" si="264"/>
        <v>1.6899566875029446E-3</v>
      </c>
      <c r="AF610">
        <f t="shared" si="265"/>
        <v>-0.11632445040858821</v>
      </c>
      <c r="AH610">
        <f t="shared" si="266"/>
        <v>0.18077374562235732</v>
      </c>
      <c r="AI610">
        <f t="shared" si="266"/>
        <v>-0.33035961931275948</v>
      </c>
      <c r="AJ610">
        <f t="shared" si="267"/>
        <v>-0.51113336493511685</v>
      </c>
      <c r="AK610">
        <f t="shared" si="268"/>
        <v>-2.0913489865074104</v>
      </c>
      <c r="AM610">
        <f t="shared" si="269"/>
        <v>-0.10231499907926844</v>
      </c>
      <c r="AN610">
        <f t="shared" si="269"/>
        <v>0.2594524366773267</v>
      </c>
      <c r="AO610">
        <f t="shared" si="270"/>
        <v>0.36176743575659515</v>
      </c>
      <c r="AP610">
        <f t="shared" si="271"/>
        <v>0.5373980284924369</v>
      </c>
      <c r="AR610">
        <f t="shared" si="272"/>
        <v>0.36962758247797056</v>
      </c>
      <c r="AS610">
        <f t="shared" si="273"/>
        <v>1.3341356768117958</v>
      </c>
      <c r="AT610">
        <f t="shared" si="274"/>
        <v>0.96450809433382523</v>
      </c>
      <c r="AU610">
        <f t="shared" si="275"/>
        <v>1.7005907533265587</v>
      </c>
    </row>
    <row r="611" spans="1:47" x14ac:dyDescent="0.25">
      <c r="A611" s="4">
        <f>DATE(2022,3,29)</f>
        <v>44649</v>
      </c>
      <c r="B611">
        <v>1.02350224474246</v>
      </c>
      <c r="C611">
        <v>53.990621287264347</v>
      </c>
      <c r="D611">
        <v>0.77135510176014388</v>
      </c>
      <c r="E611">
        <f t="shared" si="251"/>
        <v>1.0140729629063552</v>
      </c>
      <c r="F611">
        <f t="shared" si="252"/>
        <v>-0.1293509148491776</v>
      </c>
      <c r="G611">
        <f t="shared" si="253"/>
        <v>0.55201148198175753</v>
      </c>
      <c r="H611" s="2" t="str">
        <f t="shared" si="254"/>
        <v>Lower</v>
      </c>
      <c r="I611" s="2" t="str">
        <f t="shared" si="255"/>
        <v>Lower</v>
      </c>
      <c r="J611" s="2" t="str">
        <f t="shared" si="256"/>
        <v>Higher</v>
      </c>
      <c r="K611" s="2" t="str">
        <f t="shared" si="257"/>
        <v>Lower</v>
      </c>
      <c r="L611" s="2" t="str">
        <f t="shared" si="258"/>
        <v>Lower</v>
      </c>
      <c r="M611" s="2" t="str">
        <f t="shared" si="259"/>
        <v>Higher</v>
      </c>
      <c r="N611" s="2" t="str">
        <f t="shared" si="260"/>
        <v>Lower</v>
      </c>
      <c r="O611" s="2" t="str">
        <f t="shared" si="261"/>
        <v>Lower</v>
      </c>
      <c r="P611" s="2" t="str">
        <f t="shared" si="262"/>
        <v>Higher</v>
      </c>
      <c r="X611" s="4">
        <f>DATE(2022,3,29)</f>
        <v>44649</v>
      </c>
      <c r="Y611">
        <v>20.373399216412405</v>
      </c>
      <c r="Z611">
        <v>44.014944384798838</v>
      </c>
      <c r="AA611">
        <v>81.39</v>
      </c>
      <c r="AB611">
        <v>108.381</v>
      </c>
      <c r="AC611">
        <f t="shared" si="263"/>
        <v>1.3015904641545402E-2</v>
      </c>
      <c r="AD611">
        <f t="shared" si="263"/>
        <v>9.9306167644133927E-2</v>
      </c>
      <c r="AE611">
        <f t="shared" si="264"/>
        <v>8.6290263002588519E-2</v>
      </c>
      <c r="AF611">
        <f t="shared" si="265"/>
        <v>0.35856762918058627</v>
      </c>
      <c r="AH611">
        <f t="shared" si="266"/>
        <v>0.12213500927932364</v>
      </c>
      <c r="AI611">
        <f t="shared" si="266"/>
        <v>-7.7988010242227512E-2</v>
      </c>
      <c r="AJ611">
        <f t="shared" si="267"/>
        <v>-0.20012301952155115</v>
      </c>
      <c r="AK611">
        <f t="shared" si="268"/>
        <v>-1.0013241738374179</v>
      </c>
      <c r="AM611">
        <f t="shared" si="269"/>
        <v>-4.4662747966886941E-2</v>
      </c>
      <c r="AN611">
        <f t="shared" si="269"/>
        <v>0.18832676379046825</v>
      </c>
      <c r="AO611">
        <f t="shared" si="270"/>
        <v>0.23298951175735519</v>
      </c>
      <c r="AP611">
        <f t="shared" si="271"/>
        <v>0.2008661545376931</v>
      </c>
      <c r="AR611">
        <f t="shared" si="272"/>
        <v>0.42636952165404146</v>
      </c>
      <c r="AS611">
        <f t="shared" si="273"/>
        <v>1.26551099922692</v>
      </c>
      <c r="AT611">
        <f t="shared" si="274"/>
        <v>0.83914147757287849</v>
      </c>
      <c r="AU611">
        <f t="shared" si="275"/>
        <v>1.3466690473672842</v>
      </c>
    </row>
    <row r="612" spans="1:47" x14ac:dyDescent="0.25">
      <c r="A612" s="4">
        <f>DATE(2022,3,28)</f>
        <v>44648</v>
      </c>
      <c r="B612">
        <v>0.94878923238918511</v>
      </c>
      <c r="C612">
        <v>52.687271977472257</v>
      </c>
      <c r="D612">
        <v>0.76352707606589121</v>
      </c>
      <c r="E612">
        <f t="shared" si="251"/>
        <v>0.95675243556832945</v>
      </c>
      <c r="F612">
        <f t="shared" si="252"/>
        <v>-0.24276714633178428</v>
      </c>
      <c r="G612">
        <f t="shared" si="253"/>
        <v>0.53135975255716894</v>
      </c>
      <c r="H612" s="2" t="str">
        <f t="shared" si="254"/>
        <v>Lower</v>
      </c>
      <c r="I612" s="2" t="str">
        <f t="shared" si="255"/>
        <v>Lower</v>
      </c>
      <c r="J612" s="2" t="str">
        <f t="shared" si="256"/>
        <v>Higher</v>
      </c>
      <c r="K612" s="2" t="str">
        <f t="shared" si="257"/>
        <v>Lower</v>
      </c>
      <c r="L612" s="2" t="str">
        <f t="shared" si="258"/>
        <v>Lower</v>
      </c>
      <c r="M612" s="2" t="str">
        <f t="shared" si="259"/>
        <v>Higher</v>
      </c>
      <c r="N612" s="2" t="str">
        <f t="shared" si="260"/>
        <v>Lower</v>
      </c>
      <c r="O612" s="2" t="str">
        <f t="shared" si="261"/>
        <v>Lower</v>
      </c>
      <c r="P612" s="2" t="str">
        <f t="shared" si="262"/>
        <v>Higher</v>
      </c>
      <c r="X612" s="4">
        <f>DATE(2022,3,28)</f>
        <v>44648</v>
      </c>
      <c r="Y612">
        <v>20.965344633098855</v>
      </c>
      <c r="Z612">
        <v>42.151628891264451</v>
      </c>
      <c r="AA612">
        <v>80.37</v>
      </c>
      <c r="AB612">
        <v>101.30875</v>
      </c>
      <c r="AC612">
        <f t="shared" si="263"/>
        <v>2.3414967014463054E-2</v>
      </c>
      <c r="AD612">
        <f t="shared" si="263"/>
        <v>4.4426188511722295E-2</v>
      </c>
      <c r="AE612">
        <f t="shared" si="264"/>
        <v>2.1011221497259241E-2</v>
      </c>
      <c r="AF612">
        <f t="shared" si="265"/>
        <v>-7.1316495163808724E-3</v>
      </c>
      <c r="AH612">
        <f t="shared" si="266"/>
        <v>-2.779234736816228E-2</v>
      </c>
      <c r="AI612">
        <f t="shared" si="266"/>
        <v>-1.722345667286249E-2</v>
      </c>
      <c r="AJ612">
        <f t="shared" si="267"/>
        <v>1.0568890695299791E-2</v>
      </c>
      <c r="AK612">
        <f t="shared" si="268"/>
        <v>-0.25549055924353598</v>
      </c>
      <c r="AM612">
        <f t="shared" si="269"/>
        <v>-3.2862066718413178E-2</v>
      </c>
      <c r="AN612">
        <f t="shared" si="269"/>
        <v>0.23073581225592357</v>
      </c>
      <c r="AO612">
        <f t="shared" si="270"/>
        <v>0.26359787897433673</v>
      </c>
      <c r="AP612">
        <f t="shared" si="271"/>
        <v>0.28106517848914675</v>
      </c>
      <c r="AR612">
        <f t="shared" si="272"/>
        <v>0.4284980311829279</v>
      </c>
      <c r="AS612">
        <f t="shared" si="273"/>
        <v>1.2275730265952056</v>
      </c>
      <c r="AT612">
        <f t="shared" si="274"/>
        <v>0.79907499541227778</v>
      </c>
      <c r="AU612">
        <f t="shared" si="275"/>
        <v>1.2335743382626638</v>
      </c>
    </row>
    <row r="613" spans="1:47" x14ac:dyDescent="0.25">
      <c r="A613" s="4">
        <f>DATE(2022,3,25)</f>
        <v>44645</v>
      </c>
      <c r="B613">
        <v>0.86572316056422882</v>
      </c>
      <c r="C613">
        <v>49.380940560812768</v>
      </c>
      <c r="D613">
        <v>0.66688432383231189</v>
      </c>
      <c r="E613">
        <f t="shared" si="251"/>
        <v>0.88878437350726158</v>
      </c>
      <c r="F613">
        <f t="shared" si="252"/>
        <v>-0.5338839825007855</v>
      </c>
      <c r="G613">
        <f t="shared" si="253"/>
        <v>0.21842073141251983</v>
      </c>
      <c r="H613" s="2" t="str">
        <f t="shared" si="254"/>
        <v>Lower</v>
      </c>
      <c r="I613" s="2" t="str">
        <f t="shared" si="255"/>
        <v>Lower</v>
      </c>
      <c r="J613" s="2" t="str">
        <f t="shared" si="256"/>
        <v>Higher</v>
      </c>
      <c r="K613" s="2" t="str">
        <f t="shared" si="257"/>
        <v>Lower</v>
      </c>
      <c r="L613" s="2" t="str">
        <f t="shared" si="258"/>
        <v>Lower</v>
      </c>
      <c r="M613" s="2" t="str">
        <f t="shared" si="259"/>
        <v>Higher</v>
      </c>
      <c r="N613" s="2" t="str">
        <f t="shared" si="260"/>
        <v>Lower</v>
      </c>
      <c r="O613" s="2" t="str">
        <f t="shared" si="261"/>
        <v>Lower</v>
      </c>
      <c r="P613" s="2" t="str">
        <f t="shared" si="262"/>
        <v>Higher</v>
      </c>
      <c r="X613" s="4">
        <f>DATE(2022,3,25)</f>
        <v>44645</v>
      </c>
      <c r="Y613">
        <v>17.703144858229127</v>
      </c>
      <c r="Z613">
        <v>43.285123034162673</v>
      </c>
      <c r="AA613">
        <v>78.372500000000002</v>
      </c>
      <c r="AB613">
        <v>101.26900000000001</v>
      </c>
      <c r="AC613">
        <f t="shared" si="263"/>
        <v>-8.2911575839811919E-3</v>
      </c>
      <c r="AD613">
        <f t="shared" si="263"/>
        <v>-3.6598967297871585E-2</v>
      </c>
      <c r="AE613">
        <f t="shared" si="264"/>
        <v>-2.8307809713890394E-2</v>
      </c>
      <c r="AF613">
        <f t="shared" si="265"/>
        <v>-0.28341319085712741</v>
      </c>
      <c r="AH613">
        <f t="shared" si="266"/>
        <v>-0.11881390332370075</v>
      </c>
      <c r="AI613">
        <f t="shared" si="266"/>
        <v>7.0006245855984112E-2</v>
      </c>
      <c r="AJ613">
        <f t="shared" si="267"/>
        <v>0.18882014917968487</v>
      </c>
      <c r="AK613">
        <f t="shared" si="268"/>
        <v>0.37650158137181117</v>
      </c>
      <c r="AM613">
        <f t="shared" si="269"/>
        <v>-2.7094594699562248E-2</v>
      </c>
      <c r="AN613">
        <f t="shared" si="269"/>
        <v>0.33401793423509268</v>
      </c>
      <c r="AO613">
        <f t="shared" si="270"/>
        <v>0.36111252893465495</v>
      </c>
      <c r="AP613">
        <f t="shared" si="271"/>
        <v>0.5359095331356567</v>
      </c>
      <c r="AR613">
        <f t="shared" si="272"/>
        <v>0.41461398025409707</v>
      </c>
      <c r="AS613">
        <f t="shared" si="273"/>
        <v>1.240022192774374</v>
      </c>
      <c r="AT613">
        <f t="shared" si="274"/>
        <v>0.82540821252027685</v>
      </c>
      <c r="AU613">
        <f t="shared" si="275"/>
        <v>1.3082238189672013</v>
      </c>
    </row>
    <row r="614" spans="1:47" x14ac:dyDescent="0.25">
      <c r="A614" s="4">
        <f>DATE(2022,3,24)</f>
        <v>44644</v>
      </c>
      <c r="B614">
        <v>0.91412764888893161</v>
      </c>
      <c r="C614">
        <v>48.840149838733005</v>
      </c>
      <c r="D614">
        <v>0.62015076693126614</v>
      </c>
      <c r="E614">
        <f t="shared" si="251"/>
        <v>0.94981885959859613</v>
      </c>
      <c r="F614">
        <f t="shared" si="252"/>
        <v>-0.58944323086693329</v>
      </c>
      <c r="G614">
        <f t="shared" si="253"/>
        <v>6.6192174767966294E-2</v>
      </c>
      <c r="H614" s="2" t="str">
        <f t="shared" si="254"/>
        <v>Lower</v>
      </c>
      <c r="I614" s="2" t="str">
        <f t="shared" si="255"/>
        <v>Lower</v>
      </c>
      <c r="J614" s="2" t="str">
        <f t="shared" si="256"/>
        <v>Lower</v>
      </c>
      <c r="K614" s="2" t="str">
        <f t="shared" si="257"/>
        <v>Lower</v>
      </c>
      <c r="L614" s="2" t="str">
        <f t="shared" si="258"/>
        <v>Lower</v>
      </c>
      <c r="M614" s="2" t="str">
        <f t="shared" si="259"/>
        <v>Higher</v>
      </c>
      <c r="N614" s="2" t="str">
        <f t="shared" si="260"/>
        <v>Lower</v>
      </c>
      <c r="O614" s="2" t="str">
        <f t="shared" si="261"/>
        <v>Lower</v>
      </c>
      <c r="P614" s="2" t="str">
        <f t="shared" si="262"/>
        <v>Lower</v>
      </c>
      <c r="X614" s="4">
        <f>DATE(2022,3,24)</f>
        <v>44644</v>
      </c>
      <c r="Y614">
        <v>18.191197244518126</v>
      </c>
      <c r="Z614">
        <v>45.669407451397092</v>
      </c>
      <c r="AA614">
        <v>77.905000000000001</v>
      </c>
      <c r="AB614">
        <v>112.706</v>
      </c>
      <c r="AC614">
        <f t="shared" si="263"/>
        <v>-1.4875017467759356E-2</v>
      </c>
      <c r="AD614">
        <f t="shared" si="263"/>
        <v>5.7191817285725852E-2</v>
      </c>
      <c r="AE614">
        <f t="shared" si="264"/>
        <v>7.2066834753485215E-2</v>
      </c>
      <c r="AF614">
        <f t="shared" si="265"/>
        <v>0.27789167920454649</v>
      </c>
      <c r="AH614">
        <f t="shared" si="266"/>
        <v>-0.13092466708566711</v>
      </c>
      <c r="AI614">
        <f t="shared" si="266"/>
        <v>-0.12280807796865946</v>
      </c>
      <c r="AJ614">
        <f t="shared" si="267"/>
        <v>8.1165891170076471E-3</v>
      </c>
      <c r="AK614">
        <f t="shared" si="268"/>
        <v>-0.26330497919110213</v>
      </c>
      <c r="AM614">
        <f t="shared" si="269"/>
        <v>-2.7223762784699981E-2</v>
      </c>
      <c r="AN614">
        <f t="shared" si="269"/>
        <v>0.23774588185743065</v>
      </c>
      <c r="AO614">
        <f t="shared" si="270"/>
        <v>0.26496964464213063</v>
      </c>
      <c r="AP614">
        <f t="shared" si="271"/>
        <v>0.28581125881905206</v>
      </c>
      <c r="AR614">
        <f t="shared" si="272"/>
        <v>0.42577457071025365</v>
      </c>
      <c r="AS614">
        <f t="shared" si="273"/>
        <v>1.3837777002141167</v>
      </c>
      <c r="AT614">
        <f t="shared" si="274"/>
        <v>0.95800312950386313</v>
      </c>
      <c r="AU614">
        <f t="shared" si="275"/>
        <v>1.6826633331963494</v>
      </c>
    </row>
    <row r="615" spans="1:47" x14ac:dyDescent="0.25">
      <c r="A615" s="4">
        <f>DATE(2022,3,23)</f>
        <v>44643</v>
      </c>
      <c r="B615">
        <v>0.98302351246733144</v>
      </c>
      <c r="C615">
        <v>46.418680327248943</v>
      </c>
      <c r="D615">
        <v>0.54042186517409985</v>
      </c>
      <c r="E615">
        <f t="shared" si="251"/>
        <v>1.0341836670463851</v>
      </c>
      <c r="F615">
        <f t="shared" si="252"/>
        <v>-0.80104100013850343</v>
      </c>
      <c r="G615">
        <f t="shared" si="253"/>
        <v>-0.17501772684451389</v>
      </c>
      <c r="H615" s="2" t="str">
        <f t="shared" si="254"/>
        <v>Lower</v>
      </c>
      <c r="I615" s="2" t="str">
        <f t="shared" si="255"/>
        <v>Lower</v>
      </c>
      <c r="J615" s="2" t="str">
        <f t="shared" si="256"/>
        <v>Lower</v>
      </c>
      <c r="K615" s="2" t="str">
        <f t="shared" si="257"/>
        <v>Lower</v>
      </c>
      <c r="L615" s="2" t="str">
        <f t="shared" si="258"/>
        <v>Lower</v>
      </c>
      <c r="M615" s="2" t="str">
        <f t="shared" si="259"/>
        <v>Higher</v>
      </c>
      <c r="N615" s="2" t="str">
        <f t="shared" si="260"/>
        <v>Lower</v>
      </c>
      <c r="O615" s="2" t="str">
        <f t="shared" si="261"/>
        <v>Lower</v>
      </c>
      <c r="P615" s="2" t="str">
        <f t="shared" si="262"/>
        <v>Lower</v>
      </c>
      <c r="X615" s="4">
        <f>DATE(2022,3,23)</f>
        <v>44643</v>
      </c>
      <c r="Y615">
        <v>19.082776947681612</v>
      </c>
      <c r="Z615">
        <v>46.921266903695816</v>
      </c>
      <c r="AA615">
        <v>77.587499999999991</v>
      </c>
      <c r="AB615">
        <v>117.001</v>
      </c>
      <c r="AC615">
        <f t="shared" si="263"/>
        <v>-1.0627506917849534E-3</v>
      </c>
      <c r="AD615">
        <f t="shared" si="263"/>
        <v>0.13112040261583269</v>
      </c>
      <c r="AE615">
        <f t="shared" si="264"/>
        <v>0.13218315330761765</v>
      </c>
      <c r="AF615">
        <f t="shared" si="265"/>
        <v>0.61419780929708634</v>
      </c>
      <c r="AH615">
        <f t="shared" si="266"/>
        <v>-0.18986512839808856</v>
      </c>
      <c r="AI615">
        <f t="shared" si="266"/>
        <v>0.29097806844984708</v>
      </c>
      <c r="AJ615">
        <f t="shared" si="267"/>
        <v>0.48084319684793564</v>
      </c>
      <c r="AK615">
        <f t="shared" si="268"/>
        <v>1.4093223065527265</v>
      </c>
      <c r="AM615">
        <f t="shared" si="269"/>
        <v>-2.9682363206134335E-2</v>
      </c>
      <c r="AN615">
        <f t="shared" si="269"/>
        <v>0.17205487012695461</v>
      </c>
      <c r="AO615">
        <f t="shared" si="270"/>
        <v>0.20173723333308896</v>
      </c>
      <c r="AP615">
        <f t="shared" si="271"/>
        <v>0.12141169811210789</v>
      </c>
      <c r="AR615">
        <f t="shared" si="272"/>
        <v>0.41055294464374786</v>
      </c>
      <c r="AS615">
        <f t="shared" si="273"/>
        <v>1.424857176702033</v>
      </c>
      <c r="AT615">
        <f t="shared" si="274"/>
        <v>1.0143042320582851</v>
      </c>
      <c r="AU615">
        <f t="shared" si="275"/>
        <v>1.843205583626645</v>
      </c>
    </row>
    <row r="616" spans="1:47" x14ac:dyDescent="0.25">
      <c r="A616" s="4">
        <f>DATE(2022,3,22)</f>
        <v>44642</v>
      </c>
      <c r="B616">
        <v>1.2125016076062414</v>
      </c>
      <c r="C616">
        <v>52.101559161873048</v>
      </c>
      <c r="D616">
        <v>0.62842142113833344</v>
      </c>
      <c r="E616">
        <f t="shared" si="251"/>
        <v>1.2803750890683225</v>
      </c>
      <c r="F616">
        <f t="shared" si="252"/>
        <v>-0.32454270658366619</v>
      </c>
      <c r="G616">
        <f t="shared" si="253"/>
        <v>9.6655044819032018E-2</v>
      </c>
      <c r="H616" s="2" t="str">
        <f t="shared" si="254"/>
        <v>Lower</v>
      </c>
      <c r="I616" s="2" t="str">
        <f t="shared" si="255"/>
        <v>Lower</v>
      </c>
      <c r="J616" s="2" t="str">
        <f t="shared" si="256"/>
        <v>Lower</v>
      </c>
      <c r="K616" s="2" t="str">
        <f t="shared" si="257"/>
        <v>Lower</v>
      </c>
      <c r="L616" s="2" t="str">
        <f t="shared" si="258"/>
        <v>Lower</v>
      </c>
      <c r="M616" s="2" t="str">
        <f t="shared" si="259"/>
        <v>Lower</v>
      </c>
      <c r="N616" s="2" t="str">
        <f t="shared" si="260"/>
        <v>Lower</v>
      </c>
      <c r="O616" s="2" t="str">
        <f t="shared" si="261"/>
        <v>Lower</v>
      </c>
      <c r="P616" s="2" t="str">
        <f t="shared" si="262"/>
        <v>Lower</v>
      </c>
      <c r="X616" s="4">
        <f>DATE(2022,3,22)</f>
        <v>44642</v>
      </c>
      <c r="Y616">
        <v>20.613575130282907</v>
      </c>
      <c r="Z616">
        <v>41.917213412304086</v>
      </c>
      <c r="AA616">
        <v>80.337500000000006</v>
      </c>
      <c r="AB616">
        <v>98.135249999999999</v>
      </c>
      <c r="AC616">
        <f t="shared" si="263"/>
        <v>3.9124872095023071E-2</v>
      </c>
      <c r="AD616">
        <f t="shared" si="263"/>
        <v>-0.17584226270497538</v>
      </c>
      <c r="AE616">
        <f t="shared" si="264"/>
        <v>-0.21496713479999846</v>
      </c>
      <c r="AF616">
        <f t="shared" si="265"/>
        <v>-1.3235222803561257</v>
      </c>
      <c r="AH616">
        <f t="shared" si="266"/>
        <v>-0.10777862592452411</v>
      </c>
      <c r="AI616">
        <f t="shared" si="266"/>
        <v>0.23140860026273072</v>
      </c>
      <c r="AJ616">
        <f t="shared" si="267"/>
        <v>0.33918722618725483</v>
      </c>
      <c r="AK616">
        <f t="shared" si="268"/>
        <v>0.91235079375073003</v>
      </c>
      <c r="AM616">
        <f t="shared" si="269"/>
        <v>2.1610390703690252E-2</v>
      </c>
      <c r="AN616">
        <f t="shared" si="269"/>
        <v>-8.2643069455166376E-2</v>
      </c>
      <c r="AO616">
        <f t="shared" si="270"/>
        <v>-0.10425346015885663</v>
      </c>
      <c r="AP616">
        <f t="shared" si="271"/>
        <v>-0.67416573812388414</v>
      </c>
      <c r="AR616">
        <f t="shared" si="272"/>
        <v>0.44223045941620781</v>
      </c>
      <c r="AS616">
        <f t="shared" si="273"/>
        <v>1.2462713889758337</v>
      </c>
      <c r="AT616">
        <f t="shared" si="274"/>
        <v>0.80404092955962581</v>
      </c>
      <c r="AU616">
        <f t="shared" si="275"/>
        <v>1.2541671028773751</v>
      </c>
    </row>
    <row r="617" spans="1:47" x14ac:dyDescent="0.25">
      <c r="A617" s="4">
        <f>DATE(2022,3,21)</f>
        <v>44641</v>
      </c>
      <c r="B617">
        <v>1.101181453368588</v>
      </c>
      <c r="C617">
        <v>48.84370412611112</v>
      </c>
      <c r="D617">
        <v>0.54459526725172247</v>
      </c>
      <c r="E617">
        <f t="shared" si="251"/>
        <v>1.1959099022504813</v>
      </c>
      <c r="F617">
        <f t="shared" si="252"/>
        <v>-0.60428256941892988</v>
      </c>
      <c r="G617">
        <f t="shared" si="253"/>
        <v>-0.15726852249800508</v>
      </c>
      <c r="H617" s="2" t="str">
        <f t="shared" si="254"/>
        <v>Lower</v>
      </c>
      <c r="I617" s="2" t="str">
        <f t="shared" si="255"/>
        <v>Lower</v>
      </c>
      <c r="J617" s="2" t="str">
        <f t="shared" si="256"/>
        <v>Lower</v>
      </c>
      <c r="K617" s="2" t="str">
        <f t="shared" si="257"/>
        <v>Lower</v>
      </c>
      <c r="L617" s="2" t="str">
        <f t="shared" si="258"/>
        <v>Lower</v>
      </c>
      <c r="M617" s="2" t="str">
        <f t="shared" si="259"/>
        <v>Lower</v>
      </c>
      <c r="N617" s="2" t="str">
        <f t="shared" si="260"/>
        <v>Lower</v>
      </c>
      <c r="O617" s="2" t="str">
        <f t="shared" si="261"/>
        <v>Lower</v>
      </c>
      <c r="P617" s="2" t="str">
        <f t="shared" si="262"/>
        <v>Lower</v>
      </c>
      <c r="X617" s="4">
        <f>DATE(2022,3,21)</f>
        <v>44641</v>
      </c>
      <c r="Y617">
        <v>19.131817083916879</v>
      </c>
      <c r="Z617">
        <v>42.401864274401255</v>
      </c>
      <c r="AA617">
        <v>78.509999999999991</v>
      </c>
      <c r="AB617">
        <v>96.906499999999994</v>
      </c>
      <c r="AC617">
        <f t="shared" si="263"/>
        <v>5.4147888759094147E-4</v>
      </c>
      <c r="AD617">
        <f t="shared" si="263"/>
        <v>-0.16702034816545214</v>
      </c>
      <c r="AE617">
        <f t="shared" si="264"/>
        <v>-0.16756182705304307</v>
      </c>
      <c r="AF617">
        <f t="shared" si="265"/>
        <v>-1.0629098796189196</v>
      </c>
      <c r="AH617">
        <f t="shared" si="266"/>
        <v>-0.13193398319475058</v>
      </c>
      <c r="AI617" t="str">
        <f t="shared" si="266"/>
        <v/>
      </c>
      <c r="AJ617" t="str">
        <f t="shared" si="267"/>
        <v/>
      </c>
      <c r="AK617" t="str">
        <f t="shared" si="268"/>
        <v/>
      </c>
      <c r="AM617">
        <f t="shared" si="269"/>
        <v>2.5902585173082856E-2</v>
      </c>
      <c r="AN617">
        <f t="shared" si="269"/>
        <v>-8.1829115315016632E-2</v>
      </c>
      <c r="AO617">
        <f t="shared" si="270"/>
        <v>-0.10773170048809949</v>
      </c>
      <c r="AP617">
        <f t="shared" si="271"/>
        <v>-0.68437891668431017</v>
      </c>
      <c r="AR617">
        <f t="shared" si="272"/>
        <v>0.392179659332557</v>
      </c>
      <c r="AS617">
        <f t="shared" si="273"/>
        <v>1.2106838509296598</v>
      </c>
      <c r="AT617">
        <f t="shared" si="274"/>
        <v>0.81850419159710275</v>
      </c>
      <c r="AU617">
        <f t="shared" si="275"/>
        <v>1.295023258283277</v>
      </c>
    </row>
    <row r="618" spans="1:47" x14ac:dyDescent="0.25">
      <c r="A618" s="4">
        <f>DATE(2022,3,18)</f>
        <v>44638</v>
      </c>
      <c r="B618">
        <v>1.1063981472804159</v>
      </c>
      <c r="C618">
        <v>49.529716694332599</v>
      </c>
      <c r="D618">
        <v>0.54078421771495078</v>
      </c>
      <c r="E618">
        <f t="shared" si="251"/>
        <v>1.2249311475823399</v>
      </c>
      <c r="F618">
        <f t="shared" si="252"/>
        <v>-0.55192617266652977</v>
      </c>
      <c r="G618">
        <f t="shared" si="253"/>
        <v>-0.16949032760398305</v>
      </c>
      <c r="H618" s="2" t="str">
        <f t="shared" si="254"/>
        <v>Lower</v>
      </c>
      <c r="I618" s="2" t="str">
        <f t="shared" si="255"/>
        <v>Lower</v>
      </c>
      <c r="J618" s="2" t="str">
        <f t="shared" si="256"/>
        <v>Lower</v>
      </c>
      <c r="K618" s="2" t="str">
        <f t="shared" si="257"/>
        <v>Lower</v>
      </c>
      <c r="L618" s="2" t="str">
        <f t="shared" si="258"/>
        <v>Lower</v>
      </c>
      <c r="M618" s="2" t="str">
        <f t="shared" si="259"/>
        <v>Lower</v>
      </c>
      <c r="N618" s="2" t="str">
        <f t="shared" si="260"/>
        <v>Lower</v>
      </c>
      <c r="O618" s="2" t="str">
        <f t="shared" si="261"/>
        <v>Lower</v>
      </c>
      <c r="P618" s="2" t="str">
        <f t="shared" si="262"/>
        <v>Lower</v>
      </c>
      <c r="X618" s="4">
        <f>DATE(2022,3,18)</f>
        <v>44638</v>
      </c>
      <c r="Y618">
        <v>19.711000047671114</v>
      </c>
      <c r="Z618">
        <v>44.140668669542436</v>
      </c>
      <c r="AA618">
        <v>79.025000000000006</v>
      </c>
      <c r="AB618">
        <v>105.044</v>
      </c>
      <c r="AC618">
        <f t="shared" si="263"/>
        <v>3.4993028442811304E-2</v>
      </c>
      <c r="AD618">
        <f t="shared" si="263"/>
        <v>-0.22256457866972956</v>
      </c>
      <c r="AE618">
        <f t="shared" si="264"/>
        <v>-0.25755760711254089</v>
      </c>
      <c r="AF618">
        <f t="shared" si="265"/>
        <v>-1.568765653395118</v>
      </c>
      <c r="AH618">
        <f t="shared" si="266"/>
        <v>-0.11538288528667948</v>
      </c>
      <c r="AI618">
        <f t="shared" si="266"/>
        <v>0.36394041700856428</v>
      </c>
      <c r="AJ618">
        <f t="shared" si="267"/>
        <v>0.47932330229524378</v>
      </c>
      <c r="AK618">
        <f t="shared" si="268"/>
        <v>1.4098880613128142</v>
      </c>
      <c r="AM618">
        <f t="shared" si="269"/>
        <v>3.9030917815350452E-2</v>
      </c>
      <c r="AN618" t="str">
        <f t="shared" si="269"/>
        <v/>
      </c>
      <c r="AO618" t="str">
        <f t="shared" si="270"/>
        <v/>
      </c>
      <c r="AP618" t="str">
        <f t="shared" si="271"/>
        <v/>
      </c>
      <c r="AR618">
        <f t="shared" si="272"/>
        <v>0.4015027062263461</v>
      </c>
      <c r="AS618">
        <f t="shared" si="273"/>
        <v>1.3223087373660947</v>
      </c>
      <c r="AT618">
        <f t="shared" si="274"/>
        <v>0.92080603113974857</v>
      </c>
      <c r="AU618">
        <f t="shared" si="275"/>
        <v>1.5821891193914293</v>
      </c>
    </row>
    <row r="619" spans="1:47" x14ac:dyDescent="0.25">
      <c r="A619" s="4">
        <f>DATE(2022,3,17)</f>
        <v>44637</v>
      </c>
      <c r="B619">
        <v>1.0180575307158115</v>
      </c>
      <c r="C619">
        <v>50.85621056047286</v>
      </c>
      <c r="D619">
        <v>0.55143979026504353</v>
      </c>
      <c r="E619">
        <f t="shared" si="251"/>
        <v>1.1603332264371806</v>
      </c>
      <c r="F619">
        <f t="shared" si="252"/>
        <v>-0.44040658589509529</v>
      </c>
      <c r="G619">
        <f t="shared" si="253"/>
        <v>-0.13434980826315396</v>
      </c>
      <c r="H619" s="2" t="str">
        <f t="shared" si="254"/>
        <v>Lower</v>
      </c>
      <c r="I619" s="2" t="str">
        <f t="shared" si="255"/>
        <v>Lower</v>
      </c>
      <c r="J619" s="2" t="str">
        <f t="shared" si="256"/>
        <v>Lower</v>
      </c>
      <c r="K619" s="2" t="str">
        <f t="shared" si="257"/>
        <v>Lower</v>
      </c>
      <c r="L619" s="2" t="str">
        <f t="shared" si="258"/>
        <v>Lower</v>
      </c>
      <c r="M619" s="2" t="str">
        <f t="shared" si="259"/>
        <v>Lower</v>
      </c>
      <c r="N619" s="2" t="str">
        <f t="shared" si="260"/>
        <v>Lower</v>
      </c>
      <c r="O619" s="2" t="str">
        <f t="shared" si="261"/>
        <v>Lower</v>
      </c>
      <c r="P619" s="2" t="str">
        <f t="shared" si="262"/>
        <v>Lower</v>
      </c>
      <c r="X619" s="4">
        <f>DATE(2022,3,17)</f>
        <v>44637</v>
      </c>
      <c r="Y619">
        <v>20.139428022378748</v>
      </c>
      <c r="Z619">
        <v>44.149132025341139</v>
      </c>
      <c r="AA619">
        <v>79.072499999999991</v>
      </c>
      <c r="AB619">
        <v>106.441</v>
      </c>
      <c r="AC619">
        <f t="shared" si="263"/>
        <v>5.6149053471186115E-2</v>
      </c>
      <c r="AD619">
        <f t="shared" si="263"/>
        <v>-0.17185272925940159</v>
      </c>
      <c r="AE619">
        <f t="shared" si="264"/>
        <v>-0.22800178273058772</v>
      </c>
      <c r="AF619">
        <f t="shared" si="265"/>
        <v>-1.4098532502131893</v>
      </c>
      <c r="AH619">
        <f t="shared" si="266"/>
        <v>-9.8784831423901931E-2</v>
      </c>
      <c r="AI619">
        <f t="shared" si="266"/>
        <v>0.3624520001745522</v>
      </c>
      <c r="AJ619">
        <f t="shared" si="267"/>
        <v>0.46123683159845413</v>
      </c>
      <c r="AK619">
        <f t="shared" si="268"/>
        <v>1.3507105002848725</v>
      </c>
      <c r="AM619">
        <f t="shared" si="269"/>
        <v>4.9815065564947233E-2</v>
      </c>
      <c r="AN619">
        <f t="shared" si="269"/>
        <v>-0.2611436312788652</v>
      </c>
      <c r="AO619">
        <f t="shared" si="270"/>
        <v>-0.31095869684381244</v>
      </c>
      <c r="AP619">
        <f t="shared" si="271"/>
        <v>-1.2143956955770996</v>
      </c>
      <c r="AR619">
        <f t="shared" si="272"/>
        <v>0.3898894220744889</v>
      </c>
      <c r="AS619">
        <f t="shared" si="273"/>
        <v>1.3194426804573154</v>
      </c>
      <c r="AT619">
        <f t="shared" si="274"/>
        <v>0.92955325838282654</v>
      </c>
      <c r="AU619">
        <f t="shared" si="275"/>
        <v>1.607978135826124</v>
      </c>
    </row>
    <row r="620" spans="1:47" x14ac:dyDescent="0.25">
      <c r="A620" s="4">
        <f>DATE(2022,3,16)</f>
        <v>44636</v>
      </c>
      <c r="B620">
        <v>0.7409531409029535</v>
      </c>
      <c r="C620">
        <v>48.646859704411682</v>
      </c>
      <c r="D620">
        <v>0.49818038217556437</v>
      </c>
      <c r="E620">
        <f t="shared" si="251"/>
        <v>0.89965445122177123</v>
      </c>
      <c r="F620">
        <f t="shared" si="252"/>
        <v>-0.62965592170425089</v>
      </c>
      <c r="G620">
        <f t="shared" si="253"/>
        <v>-0.2956797762674952</v>
      </c>
      <c r="H620" s="2" t="str">
        <f t="shared" si="254"/>
        <v>Lower</v>
      </c>
      <c r="I620" s="2" t="str">
        <f t="shared" si="255"/>
        <v>Lower</v>
      </c>
      <c r="J620" s="2" t="str">
        <f t="shared" si="256"/>
        <v>Lower</v>
      </c>
      <c r="K620" s="2" t="str">
        <f t="shared" si="257"/>
        <v>Lower</v>
      </c>
      <c r="L620" s="2" t="str">
        <f t="shared" si="258"/>
        <v>Lower</v>
      </c>
      <c r="M620" s="2" t="str">
        <f t="shared" si="259"/>
        <v>Lower</v>
      </c>
      <c r="N620" s="2" t="str">
        <f t="shared" si="260"/>
        <v>Lower</v>
      </c>
      <c r="O620" s="2" t="str">
        <f t="shared" si="261"/>
        <v>Lower</v>
      </c>
      <c r="P620" s="2" t="str">
        <f t="shared" si="262"/>
        <v>Lower</v>
      </c>
      <c r="X620" s="4">
        <f>DATE(2022,3,16)</f>
        <v>44636</v>
      </c>
      <c r="Y620">
        <v>19.760676451108274</v>
      </c>
      <c r="Z620">
        <v>42.310800759264588</v>
      </c>
      <c r="AA620">
        <v>77.67</v>
      </c>
      <c r="AB620">
        <v>102.623</v>
      </c>
      <c r="AC620">
        <f t="shared" si="263"/>
        <v>7.4935284402278229E-2</v>
      </c>
      <c r="AD620">
        <f t="shared" si="263"/>
        <v>-0.41802440131656343</v>
      </c>
      <c r="AE620">
        <f t="shared" si="264"/>
        <v>-0.49295968571884163</v>
      </c>
      <c r="AF620">
        <f t="shared" si="265"/>
        <v>-2.901118380487647</v>
      </c>
      <c r="AH620">
        <f t="shared" si="266"/>
        <v>-0.14372294098679031</v>
      </c>
      <c r="AI620">
        <f t="shared" si="266"/>
        <v>0.3841395016649074</v>
      </c>
      <c r="AJ620">
        <f t="shared" si="267"/>
        <v>0.52786244265169768</v>
      </c>
      <c r="AK620">
        <f t="shared" si="268"/>
        <v>1.5916828913381402</v>
      </c>
      <c r="AM620">
        <f t="shared" si="269"/>
        <v>4.5164280914259634E-3</v>
      </c>
      <c r="AN620">
        <f t="shared" si="269"/>
        <v>-0.52673524523389237</v>
      </c>
      <c r="AO620">
        <f t="shared" si="270"/>
        <v>-0.53125167332531831</v>
      </c>
      <c r="AP620">
        <f t="shared" si="271"/>
        <v>-1.7913237185501591</v>
      </c>
      <c r="AR620">
        <f t="shared" si="272"/>
        <v>0.37484561991946119</v>
      </c>
      <c r="AS620">
        <f t="shared" si="273"/>
        <v>1.2914741791234807</v>
      </c>
      <c r="AT620">
        <f t="shared" si="274"/>
        <v>0.91662855920401953</v>
      </c>
      <c r="AU620">
        <f t="shared" si="275"/>
        <v>1.57327747052484</v>
      </c>
    </row>
    <row r="621" spans="1:47" x14ac:dyDescent="0.25">
      <c r="A621" s="4">
        <f>DATE(2022,3,15)</f>
        <v>44635</v>
      </c>
      <c r="B621">
        <v>0.46752639830369969</v>
      </c>
      <c r="C621">
        <v>47.726024971380568</v>
      </c>
      <c r="D621">
        <v>0.46583268654470966</v>
      </c>
      <c r="E621">
        <f t="shared" si="251"/>
        <v>0.6332750667874476</v>
      </c>
      <c r="F621">
        <f t="shared" si="252"/>
        <v>-0.71280681911184263</v>
      </c>
      <c r="G621">
        <f t="shared" si="253"/>
        <v>-0.39614092233850856</v>
      </c>
      <c r="H621" s="2" t="str">
        <f t="shared" si="254"/>
        <v>Lower</v>
      </c>
      <c r="I621" s="2" t="str">
        <f t="shared" si="255"/>
        <v>Lower</v>
      </c>
      <c r="J621" s="2" t="str">
        <f t="shared" si="256"/>
        <v>Lower</v>
      </c>
      <c r="K621" s="2" t="str">
        <f t="shared" si="257"/>
        <v>Lower</v>
      </c>
      <c r="L621" s="2" t="str">
        <f t="shared" si="258"/>
        <v>Lower</v>
      </c>
      <c r="M621" s="2" t="str">
        <f t="shared" si="259"/>
        <v>Lower</v>
      </c>
      <c r="N621" s="2" t="str">
        <f t="shared" si="260"/>
        <v>Lower</v>
      </c>
      <c r="O621" s="2" t="str">
        <f t="shared" si="261"/>
        <v>Lower</v>
      </c>
      <c r="P621" s="2" t="str">
        <f t="shared" si="262"/>
        <v>Lower</v>
      </c>
      <c r="X621" s="4">
        <f>DATE(2022,3,15)</f>
        <v>44635</v>
      </c>
      <c r="Y621">
        <v>20.69528100727387</v>
      </c>
      <c r="Z621">
        <v>44.524937053026299</v>
      </c>
      <c r="AA621">
        <v>77.25500000000001</v>
      </c>
      <c r="AB621">
        <v>117.00174999999999</v>
      </c>
      <c r="AC621">
        <f t="shared" si="263"/>
        <v>0.16197466208538569</v>
      </c>
      <c r="AD621">
        <f t="shared" si="263"/>
        <v>-0.60637256298569164</v>
      </c>
      <c r="AE621">
        <f t="shared" si="264"/>
        <v>-0.76834722507107733</v>
      </c>
      <c r="AF621">
        <f t="shared" si="265"/>
        <v>-4.4955517779284975</v>
      </c>
      <c r="AH621">
        <f t="shared" si="266"/>
        <v>-0.16742242712626557</v>
      </c>
      <c r="AI621">
        <f t="shared" si="266"/>
        <v>0.49066444090604422</v>
      </c>
      <c r="AJ621">
        <f t="shared" si="267"/>
        <v>0.65808686803230976</v>
      </c>
      <c r="AK621">
        <f t="shared" si="268"/>
        <v>2.0615581791666271</v>
      </c>
      <c r="AM621">
        <f t="shared" si="269"/>
        <v>-4.3688892622861283E-2</v>
      </c>
      <c r="AN621">
        <f t="shared" si="269"/>
        <v>-0.40045335726447351</v>
      </c>
      <c r="AO621">
        <f t="shared" si="270"/>
        <v>-0.35676446464161221</v>
      </c>
      <c r="AP621">
        <f t="shared" si="271"/>
        <v>-1.3469349939721127</v>
      </c>
      <c r="AR621">
        <f t="shared" si="272"/>
        <v>0.39341899800284286</v>
      </c>
      <c r="AS621">
        <f t="shared" si="273"/>
        <v>1.4407564787575615</v>
      </c>
      <c r="AT621">
        <f t="shared" si="274"/>
        <v>1.0473374807547187</v>
      </c>
      <c r="AU621">
        <f t="shared" si="275"/>
        <v>1.9394156950754635</v>
      </c>
    </row>
    <row r="622" spans="1:47" x14ac:dyDescent="0.25">
      <c r="A622" s="4">
        <f>DATE(2022,3,14)</f>
        <v>44634</v>
      </c>
      <c r="B622">
        <v>0.12371178637956071</v>
      </c>
      <c r="C622">
        <v>48.669588527531076</v>
      </c>
      <c r="D622">
        <v>0.47086469888876414</v>
      </c>
      <c r="E622">
        <f t="shared" si="251"/>
        <v>0.2873378085592676</v>
      </c>
      <c r="F622">
        <f t="shared" si="252"/>
        <v>-0.63707753034187864</v>
      </c>
      <c r="G622">
        <f t="shared" si="253"/>
        <v>-0.38294354065551284</v>
      </c>
      <c r="H622" s="2" t="str">
        <f t="shared" si="254"/>
        <v>Lower</v>
      </c>
      <c r="I622" s="2" t="str">
        <f t="shared" si="255"/>
        <v>Lower</v>
      </c>
      <c r="J622" s="2" t="str">
        <f t="shared" si="256"/>
        <v>Lower</v>
      </c>
      <c r="K622" s="2" t="str">
        <f t="shared" si="257"/>
        <v>Lower</v>
      </c>
      <c r="L622" s="2" t="str">
        <f t="shared" si="258"/>
        <v>Lower</v>
      </c>
      <c r="M622" s="2" t="str">
        <f t="shared" si="259"/>
        <v>Lower</v>
      </c>
      <c r="N622" s="2" t="str">
        <f t="shared" si="260"/>
        <v>Lower</v>
      </c>
      <c r="O622" s="2" t="str">
        <f t="shared" si="261"/>
        <v>Lower</v>
      </c>
      <c r="P622" s="2" t="str">
        <f t="shared" si="262"/>
        <v>Lower</v>
      </c>
      <c r="X622" s="4">
        <f>DATE(2022,3,14)</f>
        <v>44634</v>
      </c>
      <c r="Y622">
        <v>21.718291202795896</v>
      </c>
      <c r="Z622">
        <v>42.975129078367132</v>
      </c>
      <c r="AA622">
        <v>78.467500000000001</v>
      </c>
      <c r="AB622">
        <v>114.52200000000001</v>
      </c>
      <c r="AC622">
        <f t="shared" si="263"/>
        <v>0.27792744412529857</v>
      </c>
      <c r="AD622">
        <f t="shared" si="263"/>
        <v>-0.68506814396995053</v>
      </c>
      <c r="AE622">
        <f t="shared" si="264"/>
        <v>-0.9629955880952491</v>
      </c>
      <c r="AF622">
        <f t="shared" si="265"/>
        <v>-5.7519328733360453</v>
      </c>
      <c r="AH622">
        <f t="shared" si="266"/>
        <v>-0.15752672043832736</v>
      </c>
      <c r="AI622">
        <f t="shared" si="266"/>
        <v>0.34373778733998445</v>
      </c>
      <c r="AJ622">
        <f t="shared" si="267"/>
        <v>0.50126450777831177</v>
      </c>
      <c r="AK622">
        <f t="shared" si="268"/>
        <v>1.5149619564174097</v>
      </c>
      <c r="AM622">
        <f t="shared" si="269"/>
        <v>3.7985840903339949E-3</v>
      </c>
      <c r="AN622">
        <f t="shared" si="269"/>
        <v>-0.23899152937438559</v>
      </c>
      <c r="AO622">
        <f t="shared" si="270"/>
        <v>-0.24279011346471957</v>
      </c>
      <c r="AP622">
        <f t="shared" si="271"/>
        <v>-1.0543338658887542</v>
      </c>
      <c r="AR622">
        <f t="shared" si="272"/>
        <v>0.4296831145092353</v>
      </c>
      <c r="AS622">
        <f t="shared" si="273"/>
        <v>1.4679239031376672</v>
      </c>
      <c r="AT622">
        <f t="shared" si="274"/>
        <v>1.0382407886284319</v>
      </c>
      <c r="AU622">
        <f t="shared" si="275"/>
        <v>1.9181734091658496</v>
      </c>
    </row>
    <row r="623" spans="1:47" x14ac:dyDescent="0.25">
      <c r="A623" s="4">
        <f>DATE(2022,3,11)</f>
        <v>44631</v>
      </c>
      <c r="B623">
        <v>-0.46282069897635303</v>
      </c>
      <c r="C623">
        <v>46.927236176962353</v>
      </c>
      <c r="D623">
        <v>0.42102437892740646</v>
      </c>
      <c r="E623">
        <f t="shared" si="251"/>
        <v>-0.31497691863947269</v>
      </c>
      <c r="F623">
        <f t="shared" si="252"/>
        <v>-0.79483391862135711</v>
      </c>
      <c r="G623">
        <f t="shared" si="253"/>
        <v>-0.54105072864116877</v>
      </c>
      <c r="H623" s="2" t="str">
        <f t="shared" si="254"/>
        <v>Lower</v>
      </c>
      <c r="I623" s="2" t="str">
        <f t="shared" si="255"/>
        <v>Lower</v>
      </c>
      <c r="J623" s="2" t="str">
        <f t="shared" si="256"/>
        <v>Lower</v>
      </c>
      <c r="K623" s="2" t="str">
        <f t="shared" si="257"/>
        <v>Lower</v>
      </c>
      <c r="L623" s="2" t="str">
        <f t="shared" si="258"/>
        <v>Lower</v>
      </c>
      <c r="M623" s="2" t="str">
        <f t="shared" si="259"/>
        <v>Lower</v>
      </c>
      <c r="N623" s="2" t="str">
        <f t="shared" si="260"/>
        <v>Lower</v>
      </c>
      <c r="O623" s="2" t="str">
        <f t="shared" si="261"/>
        <v>Lower</v>
      </c>
      <c r="P623" s="2" t="str">
        <f t="shared" si="262"/>
        <v>Lower</v>
      </c>
      <c r="X623" s="4">
        <f>DATE(2022,3,11)</f>
        <v>44631</v>
      </c>
      <c r="Y623">
        <v>19.038855272039648</v>
      </c>
      <c r="Z623">
        <v>45.740796336203601</v>
      </c>
      <c r="AA623">
        <v>76.307500000000005</v>
      </c>
      <c r="AB623">
        <v>131.22900000000001</v>
      </c>
      <c r="AC623">
        <f t="shared" si="263"/>
        <v>0.14799942719084233</v>
      </c>
      <c r="AD623">
        <f t="shared" si="263"/>
        <v>-0.38341197159055024</v>
      </c>
      <c r="AE623">
        <f t="shared" si="264"/>
        <v>-0.53141139878139254</v>
      </c>
      <c r="AF623">
        <f t="shared" si="265"/>
        <v>-3.4021011550249884</v>
      </c>
      <c r="AH623">
        <f t="shared" si="266"/>
        <v>-0.18598420518685743</v>
      </c>
      <c r="AI623">
        <f t="shared" si="266"/>
        <v>0.54101682231745407</v>
      </c>
      <c r="AJ623">
        <f t="shared" si="267"/>
        <v>0.7270010275043115</v>
      </c>
      <c r="AK623">
        <f t="shared" si="268"/>
        <v>2.3283629297656305</v>
      </c>
      <c r="AM623">
        <f t="shared" si="269"/>
        <v>5.2228016301933029E-3</v>
      </c>
      <c r="AN623">
        <f t="shared" si="269"/>
        <v>-2.4296837985625003E-2</v>
      </c>
      <c r="AO623">
        <f t="shared" si="270"/>
        <v>-2.9519639615818306E-2</v>
      </c>
      <c r="AP623">
        <f t="shared" si="271"/>
        <v>-0.49953068033384729</v>
      </c>
      <c r="AR623">
        <f t="shared" si="272"/>
        <v>0.41925433497646847</v>
      </c>
      <c r="AS623">
        <f t="shared" si="273"/>
        <v>1.6278783926391094</v>
      </c>
      <c r="AT623">
        <f t="shared" si="274"/>
        <v>1.2086240576626408</v>
      </c>
      <c r="AU623">
        <f t="shared" si="275"/>
        <v>2.3974889384795723</v>
      </c>
    </row>
    <row r="624" spans="1:47" x14ac:dyDescent="0.25">
      <c r="A624" s="4">
        <f>DATE(2022,3,10)</f>
        <v>44630</v>
      </c>
      <c r="B624">
        <v>-1.1457841225818055</v>
      </c>
      <c r="C624">
        <v>46.539213580200411</v>
      </c>
      <c r="D624">
        <v>0.39726549908715147</v>
      </c>
      <c r="E624">
        <f t="shared" si="251"/>
        <v>-1.0239103094525288</v>
      </c>
      <c r="F624">
        <f t="shared" si="252"/>
        <v>-0.83809074510489412</v>
      </c>
      <c r="G624">
        <f t="shared" si="253"/>
        <v>-0.620629200703532</v>
      </c>
      <c r="H624" s="2" t="str">
        <f t="shared" si="254"/>
        <v>Lower</v>
      </c>
      <c r="I624" s="2" t="str">
        <f t="shared" si="255"/>
        <v>Lower</v>
      </c>
      <c r="J624" s="2" t="str">
        <f t="shared" si="256"/>
        <v>Lower</v>
      </c>
      <c r="K624" s="2" t="str">
        <f t="shared" si="257"/>
        <v>Lower</v>
      </c>
      <c r="L624" s="2" t="str">
        <f t="shared" si="258"/>
        <v>Lower</v>
      </c>
      <c r="M624" s="2" t="str">
        <f t="shared" si="259"/>
        <v>Lower</v>
      </c>
      <c r="N624" s="2" t="str">
        <f t="shared" si="260"/>
        <v>Lower</v>
      </c>
      <c r="O624" s="2" t="str">
        <f t="shared" si="261"/>
        <v>Lower</v>
      </c>
      <c r="P624" s="2" t="str">
        <f t="shared" si="262"/>
        <v>Lower</v>
      </c>
      <c r="X624" s="4">
        <f>DATE(2022,3,10)</f>
        <v>44630</v>
      </c>
      <c r="Y624">
        <v>18.458519678169765</v>
      </c>
      <c r="Z624">
        <v>44.786928334508161</v>
      </c>
      <c r="AA624">
        <v>74.754999999999995</v>
      </c>
      <c r="AB624">
        <v>126.399</v>
      </c>
      <c r="AC624">
        <f t="shared" si="263"/>
        <v>0.11071822354726808</v>
      </c>
      <c r="AD624">
        <f t="shared" si="263"/>
        <v>-0.21991680649379791</v>
      </c>
      <c r="AE624">
        <f t="shared" si="264"/>
        <v>-0.33063503004106598</v>
      </c>
      <c r="AF624">
        <f t="shared" si="265"/>
        <v>-2.2234212246997846</v>
      </c>
      <c r="AH624">
        <f t="shared" si="266"/>
        <v>-0.19727507543821191</v>
      </c>
      <c r="AI624">
        <f t="shared" si="266"/>
        <v>0.53586508194431715</v>
      </c>
      <c r="AJ624">
        <f t="shared" si="267"/>
        <v>0.73314015738252902</v>
      </c>
      <c r="AK624">
        <f t="shared" si="268"/>
        <v>2.3693318264210426</v>
      </c>
      <c r="AM624">
        <f t="shared" si="269"/>
        <v>-0.11397821585299776</v>
      </c>
      <c r="AN624">
        <f t="shared" si="269"/>
        <v>-9.2725550527765918E-2</v>
      </c>
      <c r="AO624">
        <f t="shared" si="270"/>
        <v>2.1252665325231845E-2</v>
      </c>
      <c r="AP624">
        <f t="shared" si="271"/>
        <v>-0.36756937475638268</v>
      </c>
      <c r="AR624">
        <f t="shared" si="272"/>
        <v>0.38597531621491116</v>
      </c>
      <c r="AS624">
        <f t="shared" si="273"/>
        <v>1.5877617936956787</v>
      </c>
      <c r="AT624">
        <f t="shared" si="274"/>
        <v>1.2017864774807676</v>
      </c>
      <c r="AU624">
        <f t="shared" si="275"/>
        <v>2.3898117930004563</v>
      </c>
    </row>
    <row r="625" spans="1:47" x14ac:dyDescent="0.25">
      <c r="A625" s="4">
        <f>DATE(2022,3,9)</f>
        <v>44629</v>
      </c>
      <c r="B625">
        <v>-2.0462884047801047</v>
      </c>
      <c r="C625">
        <v>42.966072054242638</v>
      </c>
      <c r="D625">
        <v>0.3109893055672216</v>
      </c>
      <c r="E625">
        <f t="shared" si="251"/>
        <v>-1.9738297382136785</v>
      </c>
      <c r="F625">
        <f t="shared" si="252"/>
        <v>-1.1586521971104666</v>
      </c>
      <c r="G625">
        <f t="shared" si="253"/>
        <v>-0.89617112545993427</v>
      </c>
      <c r="H625" s="2" t="str">
        <f t="shared" si="254"/>
        <v>Lower</v>
      </c>
      <c r="I625" s="2" t="str">
        <f t="shared" si="255"/>
        <v>Lower</v>
      </c>
      <c r="J625" s="2" t="str">
        <f t="shared" si="256"/>
        <v>Lower</v>
      </c>
      <c r="K625" s="2" t="str">
        <f t="shared" si="257"/>
        <v>Lower</v>
      </c>
      <c r="L625" s="2" t="str">
        <f t="shared" si="258"/>
        <v>Lower</v>
      </c>
      <c r="M625" s="2" t="str">
        <f t="shared" si="259"/>
        <v>Lower</v>
      </c>
      <c r="N625" s="2" t="str">
        <f t="shared" si="260"/>
        <v>Lower</v>
      </c>
      <c r="O625" s="2" t="str">
        <f t="shared" si="261"/>
        <v>Lower</v>
      </c>
      <c r="P625" s="2" t="str">
        <f t="shared" si="262"/>
        <v>Lower</v>
      </c>
      <c r="X625" s="4">
        <f>DATE(2022,3,9)</f>
        <v>44629</v>
      </c>
      <c r="Y625">
        <v>17.660171870322237</v>
      </c>
      <c r="Z625">
        <v>49.743252318414633</v>
      </c>
      <c r="AA625">
        <v>72.0625</v>
      </c>
      <c r="AB625">
        <v>155.88</v>
      </c>
      <c r="AC625">
        <f t="shared" si="263"/>
        <v>9.1902289880710308E-2</v>
      </c>
      <c r="AD625">
        <f t="shared" si="263"/>
        <v>-6.0144499330685802E-2</v>
      </c>
      <c r="AE625">
        <f t="shared" si="264"/>
        <v>-0.15204678921139611</v>
      </c>
      <c r="AF625">
        <f t="shared" si="265"/>
        <v>-1.1366131585835799</v>
      </c>
      <c r="AH625">
        <f t="shared" si="266"/>
        <v>-0.24816018645701701</v>
      </c>
      <c r="AI625">
        <f t="shared" si="266"/>
        <v>0.73372061731529914</v>
      </c>
      <c r="AJ625">
        <f t="shared" si="267"/>
        <v>0.98188080377231612</v>
      </c>
      <c r="AK625">
        <f t="shared" si="268"/>
        <v>3.2893790680013799</v>
      </c>
      <c r="AM625">
        <f t="shared" si="269"/>
        <v>-0.11063021435299672</v>
      </c>
      <c r="AN625">
        <f t="shared" si="269"/>
        <v>0.18623026359736403</v>
      </c>
      <c r="AO625">
        <f t="shared" si="270"/>
        <v>0.29686047795036075</v>
      </c>
      <c r="AP625">
        <f t="shared" si="271"/>
        <v>0.35134634963634603</v>
      </c>
      <c r="AR625">
        <f t="shared" si="272"/>
        <v>0.33653468436461459</v>
      </c>
      <c r="AS625">
        <f t="shared" si="273"/>
        <v>1.8023037023492996</v>
      </c>
      <c r="AT625">
        <f t="shared" si="274"/>
        <v>1.465769017984685</v>
      </c>
      <c r="AU625">
        <f t="shared" si="275"/>
        <v>3.1411577369497672</v>
      </c>
    </row>
    <row r="626" spans="1:47" x14ac:dyDescent="0.25">
      <c r="A626" s="4">
        <f>DATE(2022,3,8)</f>
        <v>44628</v>
      </c>
      <c r="B626">
        <v>-2.9294844591225369</v>
      </c>
      <c r="C626">
        <v>37.343855485280351</v>
      </c>
      <c r="D626">
        <v>0.18751851282664897</v>
      </c>
      <c r="E626">
        <f t="shared" si="251"/>
        <v>-2.9687480578920904</v>
      </c>
      <c r="F626">
        <f t="shared" si="252"/>
        <v>-1.6611082042505156</v>
      </c>
      <c r="G626">
        <f t="shared" si="253"/>
        <v>-1.2897888741956653</v>
      </c>
      <c r="H626" s="2" t="str">
        <f t="shared" si="254"/>
        <v>Lower</v>
      </c>
      <c r="I626" s="2" t="str">
        <f t="shared" si="255"/>
        <v>Lower</v>
      </c>
      <c r="J626" s="2" t="str">
        <f t="shared" si="256"/>
        <v>Lower</v>
      </c>
      <c r="K626" s="2" t="str">
        <f t="shared" si="257"/>
        <v>Lower</v>
      </c>
      <c r="L626" s="2" t="str">
        <f t="shared" si="258"/>
        <v>Lower</v>
      </c>
      <c r="M626" s="2" t="str">
        <f t="shared" si="259"/>
        <v>Lower</v>
      </c>
      <c r="N626" s="2" t="str">
        <f t="shared" si="260"/>
        <v>Lower</v>
      </c>
      <c r="O626" s="2" t="str">
        <f t="shared" si="261"/>
        <v>Lower</v>
      </c>
      <c r="P626" s="2" t="str">
        <f t="shared" si="262"/>
        <v>Lower</v>
      </c>
      <c r="X626" s="4">
        <f>DATE(2022,3,8)</f>
        <v>44628</v>
      </c>
      <c r="Y626">
        <v>12.901403569109418</v>
      </c>
      <c r="Z626">
        <v>62.532055558566093</v>
      </c>
      <c r="AA626">
        <v>65.702500000000001</v>
      </c>
      <c r="AB626">
        <v>214.554</v>
      </c>
      <c r="AC626">
        <f t="shared" si="263"/>
        <v>-9.198042954263054E-2</v>
      </c>
      <c r="AD626">
        <f t="shared" si="263"/>
        <v>0.60492064780430554</v>
      </c>
      <c r="AE626">
        <f t="shared" si="264"/>
        <v>0.69690107734693607</v>
      </c>
      <c r="AF626">
        <f t="shared" si="265"/>
        <v>4.1088772101960211</v>
      </c>
      <c r="AH626">
        <f t="shared" si="266"/>
        <v>-0.3885425423797248</v>
      </c>
      <c r="AI626">
        <f t="shared" si="266"/>
        <v>1.0115962508580356</v>
      </c>
      <c r="AJ626">
        <f t="shared" si="267"/>
        <v>1.4001387932377605</v>
      </c>
      <c r="AK626">
        <f t="shared" si="268"/>
        <v>4.8738844074902046</v>
      </c>
      <c r="AM626">
        <f t="shared" si="269"/>
        <v>-0.19832612594284751</v>
      </c>
      <c r="AN626">
        <f t="shared" si="269"/>
        <v>0.53537560567051201</v>
      </c>
      <c r="AO626">
        <f t="shared" si="270"/>
        <v>0.7337017316133595</v>
      </c>
      <c r="AP626">
        <f t="shared" si="271"/>
        <v>1.4903060837738433</v>
      </c>
      <c r="AR626">
        <f t="shared" si="272"/>
        <v>0.22518131733354707</v>
      </c>
      <c r="AS626">
        <f t="shared" si="273"/>
        <v>2.1166377760221451</v>
      </c>
      <c r="AT626">
        <f t="shared" si="274"/>
        <v>1.891456458688598</v>
      </c>
      <c r="AU626">
        <f t="shared" si="275"/>
        <v>4.3809260314054912</v>
      </c>
    </row>
    <row r="627" spans="1:47" x14ac:dyDescent="0.25">
      <c r="A627" s="4">
        <f>DATE(2022,3,7)</f>
        <v>44627</v>
      </c>
      <c r="B627">
        <v>-3.5720215832218578</v>
      </c>
      <c r="C627">
        <v>21.667715623315335</v>
      </c>
      <c r="D627">
        <v>-7.4476085725184202E-2</v>
      </c>
      <c r="E627">
        <f t="shared" si="251"/>
        <v>-3.8588842704664468</v>
      </c>
      <c r="F627">
        <f t="shared" si="252"/>
        <v>-3.0546822121114579</v>
      </c>
      <c r="G627">
        <f t="shared" si="253"/>
        <v>-2.1206043380301698</v>
      </c>
      <c r="H627" s="2" t="str">
        <f t="shared" si="254"/>
        <v>Lower</v>
      </c>
      <c r="I627" s="2" t="str">
        <f t="shared" si="255"/>
        <v>Lower</v>
      </c>
      <c r="J627" s="2" t="str">
        <f t="shared" si="256"/>
        <v>Lower</v>
      </c>
      <c r="K627" s="2" t="str">
        <f t="shared" si="257"/>
        <v>Lower</v>
      </c>
      <c r="L627" s="2" t="str">
        <f t="shared" si="258"/>
        <v>Lower</v>
      </c>
      <c r="M627" s="2" t="str">
        <f t="shared" si="259"/>
        <v>Lower</v>
      </c>
      <c r="N627" s="2" t="str">
        <f t="shared" si="260"/>
        <v>Lower</v>
      </c>
      <c r="O627" s="2" t="str">
        <f t="shared" si="261"/>
        <v>Lower</v>
      </c>
      <c r="P627" s="2" t="str">
        <f t="shared" si="262"/>
        <v>Lower</v>
      </c>
      <c r="X627" s="4">
        <f>DATE(2022,3,7)</f>
        <v>44627</v>
      </c>
      <c r="Y627">
        <v>8.6710088482182055</v>
      </c>
      <c r="Z627">
        <v>65.924392197059873</v>
      </c>
      <c r="AA627">
        <v>59.427500000000002</v>
      </c>
      <c r="AB627">
        <v>227.20099999999999</v>
      </c>
      <c r="AC627">
        <f t="shared" si="263"/>
        <v>-0.32967623739551494</v>
      </c>
      <c r="AD627">
        <f t="shared" si="263"/>
        <v>0.79043884695081768</v>
      </c>
      <c r="AE627">
        <f t="shared" si="264"/>
        <v>1.1201150843463326</v>
      </c>
      <c r="AF627">
        <f t="shared" si="265"/>
        <v>6.8766386685792158</v>
      </c>
      <c r="AH627">
        <f t="shared" si="266"/>
        <v>-0.47933065868958685</v>
      </c>
      <c r="AI627">
        <f t="shared" si="266"/>
        <v>1.0539219227313772</v>
      </c>
      <c r="AJ627">
        <f t="shared" si="267"/>
        <v>1.5332525814209641</v>
      </c>
      <c r="AK627">
        <f t="shared" si="268"/>
        <v>5.5429653021637417</v>
      </c>
      <c r="AM627">
        <f t="shared" si="269"/>
        <v>-0.33597931781058821</v>
      </c>
      <c r="AN627">
        <f t="shared" si="269"/>
        <v>0.67389928212124917</v>
      </c>
      <c r="AO627">
        <f t="shared" si="270"/>
        <v>1.0098785999318374</v>
      </c>
      <c r="AP627">
        <f t="shared" si="271"/>
        <v>2.2167668781336447</v>
      </c>
      <c r="AR627">
        <f t="shared" si="272"/>
        <v>0.13987973989818131</v>
      </c>
      <c r="AS627" t="str">
        <f t="shared" si="273"/>
        <v/>
      </c>
      <c r="AT627" t="str">
        <f t="shared" si="274"/>
        <v/>
      </c>
      <c r="AU627" t="str">
        <f t="shared" si="275"/>
        <v/>
      </c>
    </row>
    <row r="628" spans="1:47" x14ac:dyDescent="0.25">
      <c r="A628" s="4">
        <f>DATE(2022,3,4)</f>
        <v>44624</v>
      </c>
      <c r="B628">
        <v>-3.2234387980872663</v>
      </c>
      <c r="C628">
        <v>25.634072135991378</v>
      </c>
      <c r="D628">
        <v>-3.0039861879973897E-2</v>
      </c>
      <c r="E628">
        <f t="shared" si="251"/>
        <v>-3.8260743177525245</v>
      </c>
      <c r="F628">
        <f t="shared" si="252"/>
        <v>-2.8358979910592819</v>
      </c>
      <c r="G628">
        <f t="shared" si="253"/>
        <v>-2.0353964454431885</v>
      </c>
      <c r="H628" s="2" t="str">
        <f t="shared" si="254"/>
        <v>Lower</v>
      </c>
      <c r="I628" s="2" t="str">
        <f t="shared" si="255"/>
        <v>Lower</v>
      </c>
      <c r="J628" s="2" t="str">
        <f t="shared" si="256"/>
        <v>Lower</v>
      </c>
      <c r="K628" s="2" t="e">
        <f t="shared" si="257"/>
        <v>#DIV/0!</v>
      </c>
      <c r="L628" s="2" t="str">
        <f t="shared" si="258"/>
        <v>Lower</v>
      </c>
      <c r="M628" s="2" t="str">
        <f t="shared" si="259"/>
        <v>Lower</v>
      </c>
      <c r="N628" s="2" t="str">
        <f t="shared" si="260"/>
        <v>Lower</v>
      </c>
      <c r="O628" s="2" t="str">
        <f t="shared" si="261"/>
        <v>Lower</v>
      </c>
      <c r="P628" s="2" t="str">
        <f t="shared" si="262"/>
        <v>Lower</v>
      </c>
      <c r="X628" s="4">
        <f>DATE(2022,3,4)</f>
        <v>44624</v>
      </c>
      <c r="Y628">
        <v>9.6034495314645536</v>
      </c>
      <c r="Z628">
        <v>60.468246512399418</v>
      </c>
      <c r="AA628">
        <v>65.81</v>
      </c>
      <c r="AB628">
        <v>192.55</v>
      </c>
      <c r="AC628">
        <f t="shared" si="263"/>
        <v>-0.29351520137337322</v>
      </c>
      <c r="AD628">
        <f t="shared" si="263"/>
        <v>0.7125817634141357</v>
      </c>
      <c r="AE628">
        <f t="shared" si="264"/>
        <v>1.0060969647875089</v>
      </c>
      <c r="AF628">
        <f t="shared" si="265"/>
        <v>6.5784400800177361</v>
      </c>
      <c r="AH628">
        <f t="shared" si="266"/>
        <v>-0.37976149990514552</v>
      </c>
      <c r="AI628">
        <f t="shared" si="266"/>
        <v>0.84929847536177994</v>
      </c>
      <c r="AJ628">
        <f t="shared" si="267"/>
        <v>1.2290599752669253</v>
      </c>
      <c r="AK628">
        <f t="shared" si="268"/>
        <v>4.5908245141627715</v>
      </c>
      <c r="AM628">
        <f t="shared" si="269"/>
        <v>-0.22950528134306994</v>
      </c>
      <c r="AN628">
        <f t="shared" si="269"/>
        <v>0.60608127376651866</v>
      </c>
      <c r="AO628">
        <f t="shared" si="270"/>
        <v>0.83558655510958857</v>
      </c>
      <c r="AP628">
        <f t="shared" si="271"/>
        <v>1.7763928463861283</v>
      </c>
      <c r="AR628">
        <f t="shared" si="272"/>
        <v>0.25161837965102729</v>
      </c>
      <c r="AS628">
        <f t="shared" si="273"/>
        <v>2.0446851663416656</v>
      </c>
      <c r="AT628">
        <f t="shared" si="274"/>
        <v>1.7930667866906385</v>
      </c>
      <c r="AU628">
        <f t="shared" si="275"/>
        <v>4.2203521869287304</v>
      </c>
    </row>
    <row r="629" spans="1:47" x14ac:dyDescent="0.25">
      <c r="A629" s="4">
        <f>DATE(2022,3,3)</f>
        <v>44623</v>
      </c>
      <c r="B629">
        <v>-3.0676398873706097</v>
      </c>
      <c r="C629">
        <v>27.161741666403149</v>
      </c>
      <c r="D629">
        <v>-7.0602772992426399E-2</v>
      </c>
      <c r="E629">
        <f t="shared" si="251"/>
        <v>-3.9990765778106976</v>
      </c>
      <c r="F629">
        <f t="shared" si="252"/>
        <v>-2.8096919677016436</v>
      </c>
      <c r="G629">
        <f t="shared" si="253"/>
        <v>-2.2143091803521875</v>
      </c>
      <c r="H629" s="2" t="str">
        <f t="shared" si="254"/>
        <v>Lower</v>
      </c>
      <c r="I629" s="2" t="str">
        <f t="shared" si="255"/>
        <v>Lower</v>
      </c>
      <c r="J629" s="2" t="str">
        <f t="shared" si="256"/>
        <v>Lower</v>
      </c>
      <c r="K629" s="2" t="e">
        <f t="shared" si="257"/>
        <v>#DIV/0!</v>
      </c>
      <c r="L629" s="2" t="str">
        <f t="shared" si="258"/>
        <v>Lower</v>
      </c>
      <c r="M629" s="2" t="str">
        <f t="shared" si="259"/>
        <v>Higher</v>
      </c>
      <c r="N629" s="2" t="str">
        <f t="shared" si="260"/>
        <v>Lower</v>
      </c>
      <c r="O629" s="2" t="str">
        <f t="shared" si="261"/>
        <v>Lower</v>
      </c>
      <c r="P629" s="2" t="str">
        <f t="shared" si="262"/>
        <v>Lower</v>
      </c>
      <c r="X629" s="4">
        <f>DATE(2022,3,3)</f>
        <v>44623</v>
      </c>
      <c r="Y629">
        <v>10.146762590224823</v>
      </c>
      <c r="Z629">
        <v>54.238486964538048</v>
      </c>
      <c r="AA629">
        <v>66.919999999999987</v>
      </c>
      <c r="AB629">
        <v>157.48975000000002</v>
      </c>
      <c r="AC629">
        <f t="shared" si="263"/>
        <v>-0.28291692663636209</v>
      </c>
      <c r="AD629">
        <f t="shared" si="263"/>
        <v>0.21176964049881408</v>
      </c>
      <c r="AE629">
        <f t="shared" si="264"/>
        <v>0.49468656713517617</v>
      </c>
      <c r="AF629">
        <f t="shared" si="265"/>
        <v>3.3420275792583554</v>
      </c>
      <c r="AH629">
        <f t="shared" si="266"/>
        <v>-0.34420208271491803</v>
      </c>
      <c r="AI629">
        <f t="shared" si="266"/>
        <v>0.68461329890641109</v>
      </c>
      <c r="AJ629">
        <f t="shared" si="267"/>
        <v>1.028815381621329</v>
      </c>
      <c r="AK629">
        <f t="shared" si="268"/>
        <v>3.9186875652677244</v>
      </c>
      <c r="AM629">
        <f t="shared" si="269"/>
        <v>-0.21023937020705119</v>
      </c>
      <c r="AN629">
        <f t="shared" si="269"/>
        <v>0.44818326853136209</v>
      </c>
      <c r="AO629">
        <f t="shared" si="270"/>
        <v>0.65842263873841333</v>
      </c>
      <c r="AP629">
        <f t="shared" si="271"/>
        <v>1.3193881850724734</v>
      </c>
      <c r="AR629">
        <f t="shared" si="272"/>
        <v>0.25095692238758871</v>
      </c>
      <c r="AS629">
        <f t="shared" si="273"/>
        <v>1.8236274348482311</v>
      </c>
      <c r="AT629">
        <f t="shared" si="274"/>
        <v>1.5726705124606424</v>
      </c>
      <c r="AU629">
        <f t="shared" si="275"/>
        <v>3.6754304578280586</v>
      </c>
    </row>
    <row r="630" spans="1:47" x14ac:dyDescent="0.25">
      <c r="A630" s="4">
        <f>DATE(2022,3,2)</f>
        <v>44622</v>
      </c>
      <c r="B630">
        <v>-2.7808982080919202</v>
      </c>
      <c r="C630">
        <v>27.945241128932594</v>
      </c>
      <c r="D630">
        <v>-0.16661483672133467</v>
      </c>
      <c r="E630">
        <f t="shared" si="251"/>
        <v>-4.0201907218341884</v>
      </c>
      <c r="F630">
        <f t="shared" si="252"/>
        <v>-2.8463968136132136</v>
      </c>
      <c r="G630">
        <f t="shared" si="253"/>
        <v>-2.5816868015921903</v>
      </c>
      <c r="H630" s="2" t="str">
        <f t="shared" si="254"/>
        <v>Lower</v>
      </c>
      <c r="I630" s="2" t="str">
        <f t="shared" si="255"/>
        <v>Lower</v>
      </c>
      <c r="J630" s="2" t="str">
        <f t="shared" si="256"/>
        <v>Lower</v>
      </c>
      <c r="K630" s="2" t="e">
        <f t="shared" si="257"/>
        <v>#DIV/0!</v>
      </c>
      <c r="L630" s="2" t="str">
        <f t="shared" si="258"/>
        <v>Lower</v>
      </c>
      <c r="M630" s="2" t="str">
        <f t="shared" si="259"/>
        <v>Higher</v>
      </c>
      <c r="N630" s="2" t="str">
        <f t="shared" si="260"/>
        <v>Lower</v>
      </c>
      <c r="O630" s="2" t="str">
        <f t="shared" si="261"/>
        <v>Lower</v>
      </c>
      <c r="P630" s="2" t="str">
        <f t="shared" si="262"/>
        <v>Lower</v>
      </c>
      <c r="X630" s="4">
        <f>DATE(2022,3,2)</f>
        <v>44622</v>
      </c>
      <c r="Y630">
        <v>10.922135087278024</v>
      </c>
      <c r="Z630">
        <v>59.164827397392358</v>
      </c>
      <c r="AA630">
        <v>65.734999999999999</v>
      </c>
      <c r="AB630">
        <v>165.54300000000001</v>
      </c>
      <c r="AC630">
        <f t="shared" si="263"/>
        <v>-0.35563995198929205</v>
      </c>
      <c r="AD630">
        <f t="shared" si="263"/>
        <v>0.63802656648126355</v>
      </c>
      <c r="AE630">
        <f t="shared" si="264"/>
        <v>0.99366651847055554</v>
      </c>
      <c r="AF630">
        <f t="shared" si="265"/>
        <v>6.9988824742365789</v>
      </c>
      <c r="AH630">
        <f t="shared" si="266"/>
        <v>-0.34868693686757263</v>
      </c>
      <c r="AI630">
        <f t="shared" si="266"/>
        <v>0.75865631327709482</v>
      </c>
      <c r="AJ630">
        <f t="shared" si="267"/>
        <v>1.1073432501446674</v>
      </c>
      <c r="AK630">
        <f t="shared" si="268"/>
        <v>4.3295950083871624</v>
      </c>
      <c r="AM630">
        <f t="shared" si="269"/>
        <v>-0.2961838988094187</v>
      </c>
      <c r="AN630">
        <f t="shared" si="269"/>
        <v>0.49055491024754816</v>
      </c>
      <c r="AO630">
        <f t="shared" si="270"/>
        <v>0.78673880905696691</v>
      </c>
      <c r="AP630">
        <f t="shared" si="271"/>
        <v>1.6613490884969213</v>
      </c>
      <c r="AR630">
        <f t="shared" si="272"/>
        <v>0.20291707459788863</v>
      </c>
      <c r="AS630">
        <f t="shared" si="273"/>
        <v>1.8305308532873279</v>
      </c>
      <c r="AT630">
        <f t="shared" si="274"/>
        <v>1.6276137786894393</v>
      </c>
      <c r="AU630">
        <f t="shared" si="275"/>
        <v>3.9058755204189319</v>
      </c>
    </row>
    <row r="631" spans="1:47" x14ac:dyDescent="0.25">
      <c r="A631" s="4">
        <f>DATE(2022,3,1)</f>
        <v>44621</v>
      </c>
      <c r="B631">
        <v>-2.2073621971921069</v>
      </c>
      <c r="C631">
        <v>28.183669149087809</v>
      </c>
      <c r="D631">
        <v>-0.37069103440988355</v>
      </c>
      <c r="E631">
        <f t="shared" si="251"/>
        <v>-3.562557768291402</v>
      </c>
      <c r="F631">
        <f t="shared" si="252"/>
        <v>-2.9412051640132049</v>
      </c>
      <c r="G631">
        <f t="shared" si="253"/>
        <v>-3.3442964726469593</v>
      </c>
      <c r="H631" s="2" t="str">
        <f t="shared" si="254"/>
        <v>Lower</v>
      </c>
      <c r="I631" s="2" t="str">
        <f t="shared" si="255"/>
        <v>Lower</v>
      </c>
      <c r="J631" s="2" t="str">
        <f t="shared" si="256"/>
        <v>Lower</v>
      </c>
      <c r="K631" s="2" t="e">
        <f t="shared" si="257"/>
        <v>#DIV/0!</v>
      </c>
      <c r="L631" s="2" t="str">
        <f t="shared" si="258"/>
        <v>Lower</v>
      </c>
      <c r="M631" s="2" t="str">
        <f t="shared" si="259"/>
        <v>Higher</v>
      </c>
      <c r="N631" s="2" t="str">
        <f t="shared" si="260"/>
        <v>Lower</v>
      </c>
      <c r="O631" s="2" t="str">
        <f t="shared" si="261"/>
        <v>Lower</v>
      </c>
      <c r="P631" s="2" t="str">
        <f t="shared" si="262"/>
        <v>Lower</v>
      </c>
      <c r="X631" s="4">
        <f>DATE(2022,3,1)</f>
        <v>44621</v>
      </c>
      <c r="Y631">
        <v>13.463290484292711</v>
      </c>
      <c r="Z631">
        <v>48.638457241642037</v>
      </c>
      <c r="AA631">
        <v>72.032499999999999</v>
      </c>
      <c r="AB631">
        <v>117.17175</v>
      </c>
      <c r="AC631">
        <f t="shared" si="263"/>
        <v>-0.21689773056230233</v>
      </c>
      <c r="AD631">
        <f t="shared" si="263"/>
        <v>0.40870277814909228</v>
      </c>
      <c r="AE631">
        <f t="shared" si="264"/>
        <v>0.62560050871139461</v>
      </c>
      <c r="AF631">
        <f t="shared" si="265"/>
        <v>4.6574811739990905</v>
      </c>
      <c r="AH631">
        <f t="shared" si="266"/>
        <v>-0.21191214479365128</v>
      </c>
      <c r="AI631">
        <f t="shared" si="266"/>
        <v>0.42793956417657225</v>
      </c>
      <c r="AJ631">
        <f t="shared" si="267"/>
        <v>0.63985170897022359</v>
      </c>
      <c r="AK631">
        <f t="shared" si="268"/>
        <v>2.4685102892781927</v>
      </c>
      <c r="AM631">
        <f t="shared" si="269"/>
        <v>-0.15762026752692379</v>
      </c>
      <c r="AN631">
        <f t="shared" si="269"/>
        <v>0.2038760200998336</v>
      </c>
      <c r="AO631">
        <f t="shared" si="270"/>
        <v>0.3614962876267574</v>
      </c>
      <c r="AP631">
        <f t="shared" si="271"/>
        <v>0.54694976039669474</v>
      </c>
      <c r="AR631">
        <f t="shared" si="272"/>
        <v>0.30367009864448119</v>
      </c>
      <c r="AS631">
        <f t="shared" si="273"/>
        <v>1.5072765378530484</v>
      </c>
      <c r="AT631">
        <f t="shared" si="274"/>
        <v>1.2036064392085672</v>
      </c>
      <c r="AU631">
        <f t="shared" si="275"/>
        <v>2.6842201187229486</v>
      </c>
    </row>
    <row r="632" spans="1:47" x14ac:dyDescent="0.25">
      <c r="A632" s="4">
        <f>DATE(2022,2,28)</f>
        <v>44620</v>
      </c>
      <c r="B632">
        <v>-1.1549215079650867</v>
      </c>
      <c r="C632">
        <v>39.919013702210201</v>
      </c>
      <c r="D632">
        <v>-0.10667602280329955</v>
      </c>
      <c r="E632">
        <f t="shared" si="251"/>
        <v>-2.1043222556161423</v>
      </c>
      <c r="F632">
        <f t="shared" si="252"/>
        <v>-1.876671116111122</v>
      </c>
      <c r="G632">
        <f t="shared" si="253"/>
        <v>-2.608604325384869</v>
      </c>
      <c r="H632" s="2" t="str">
        <f t="shared" si="254"/>
        <v>Higher</v>
      </c>
      <c r="I632" s="2" t="str">
        <f t="shared" si="255"/>
        <v>Lower</v>
      </c>
      <c r="J632" s="2" t="str">
        <f t="shared" si="256"/>
        <v>Lower</v>
      </c>
      <c r="K632" s="2" t="e">
        <f t="shared" si="257"/>
        <v>#DIV/0!</v>
      </c>
      <c r="L632" s="2" t="str">
        <f t="shared" si="258"/>
        <v>Lower</v>
      </c>
      <c r="M632" s="2" t="str">
        <f t="shared" si="259"/>
        <v>Higher</v>
      </c>
      <c r="N632" s="2" t="str">
        <f t="shared" si="260"/>
        <v>Lower</v>
      </c>
      <c r="O632" s="2" t="str">
        <f t="shared" si="261"/>
        <v>Lower</v>
      </c>
      <c r="P632" s="2" t="str">
        <f t="shared" si="262"/>
        <v>Lower</v>
      </c>
      <c r="X632" s="4">
        <f>DATE(2022,2,28)</f>
        <v>44620</v>
      </c>
      <c r="Y632">
        <v>17.938553061330865</v>
      </c>
      <c r="Z632">
        <v>52.409680411472358</v>
      </c>
      <c r="AA632">
        <v>82.634999999999991</v>
      </c>
      <c r="AB632">
        <v>103.06874999999999</v>
      </c>
      <c r="AC632">
        <f t="shared" si="263"/>
        <v>-8.0726668812125299E-2</v>
      </c>
      <c r="AD632" t="str">
        <f t="shared" si="263"/>
        <v/>
      </c>
      <c r="AE632" t="str">
        <f t="shared" si="264"/>
        <v/>
      </c>
      <c r="AF632" t="str">
        <f t="shared" si="265"/>
        <v/>
      </c>
      <c r="AH632">
        <f t="shared" si="266"/>
        <v>-7.5690707073784669E-2</v>
      </c>
      <c r="AI632">
        <f t="shared" si="266"/>
        <v>0.19608585341419726</v>
      </c>
      <c r="AJ632">
        <f t="shared" si="267"/>
        <v>0.27177656048798193</v>
      </c>
      <c r="AK632">
        <f t="shared" si="268"/>
        <v>0.92319498540377554</v>
      </c>
      <c r="AM632">
        <f t="shared" si="269"/>
        <v>2.4531525547433736E-2</v>
      </c>
      <c r="AN632">
        <f t="shared" si="269"/>
        <v>0.14470860606061947</v>
      </c>
      <c r="AO632">
        <f t="shared" si="270"/>
        <v>0.12017708051318574</v>
      </c>
      <c r="AP632">
        <f t="shared" si="271"/>
        <v>-8.8353017708909021E-2</v>
      </c>
      <c r="AR632">
        <f t="shared" si="272"/>
        <v>0.45796289942934826</v>
      </c>
      <c r="AS632">
        <f t="shared" si="273"/>
        <v>1.4283399932320844</v>
      </c>
      <c r="AT632">
        <f t="shared" si="274"/>
        <v>0.97037709380273607</v>
      </c>
      <c r="AU632">
        <f t="shared" si="275"/>
        <v>1.9821328668506528</v>
      </c>
    </row>
    <row r="633" spans="1:47" x14ac:dyDescent="0.25">
      <c r="A633" s="4">
        <f>DATE(2022,2,25)</f>
        <v>44617</v>
      </c>
      <c r="B633">
        <v>-0.75809562031388689</v>
      </c>
      <c r="C633">
        <v>48.189097744513077</v>
      </c>
      <c r="D633">
        <v>0.22775924121197663</v>
      </c>
      <c r="E633">
        <f t="shared" si="251"/>
        <v>-1.499472622790383</v>
      </c>
      <c r="F633">
        <f t="shared" si="252"/>
        <v>-1.0702098316613191</v>
      </c>
      <c r="G633">
        <f t="shared" si="253"/>
        <v>-1.5198233249869244</v>
      </c>
      <c r="H633" s="2" t="str">
        <f t="shared" si="254"/>
        <v>Higher</v>
      </c>
      <c r="I633" s="2" t="str">
        <f t="shared" si="255"/>
        <v>Lower</v>
      </c>
      <c r="J633" s="2" t="str">
        <f t="shared" si="256"/>
        <v>Lower</v>
      </c>
      <c r="K633" s="2" t="e">
        <f t="shared" si="257"/>
        <v>#DIV/0!</v>
      </c>
      <c r="L633" s="2" t="str">
        <f t="shared" si="258"/>
        <v>Lower</v>
      </c>
      <c r="M633" s="2" t="str">
        <f t="shared" si="259"/>
        <v>Higher</v>
      </c>
      <c r="N633" s="2" t="str">
        <f t="shared" si="260"/>
        <v>Lower</v>
      </c>
      <c r="O633" s="2" t="str">
        <f t="shared" si="261"/>
        <v>Lower</v>
      </c>
      <c r="P633" s="2" t="str">
        <f t="shared" si="262"/>
        <v>Lower</v>
      </c>
      <c r="X633" s="4">
        <f>DATE(2022,2,25)</f>
        <v>44617</v>
      </c>
      <c r="Y633">
        <v>20.721850499775073</v>
      </c>
      <c r="Z633">
        <v>45.429065212145311</v>
      </c>
      <c r="AA633">
        <v>88.259999999999991</v>
      </c>
      <c r="AB633">
        <v>94.421999999999997</v>
      </c>
      <c r="AC633">
        <f t="shared" si="263"/>
        <v>-4.8601395469598779E-3</v>
      </c>
      <c r="AD633">
        <f t="shared" si="263"/>
        <v>0.25733520385470848</v>
      </c>
      <c r="AE633">
        <f t="shared" si="264"/>
        <v>0.26219534340166833</v>
      </c>
      <c r="AF633">
        <f t="shared" si="265"/>
        <v>1.9149255421373665</v>
      </c>
      <c r="AH633">
        <f t="shared" si="266"/>
        <v>-1.3811946880902266E-2</v>
      </c>
      <c r="AI633">
        <f t="shared" si="266"/>
        <v>2.5311833731689323E-2</v>
      </c>
      <c r="AJ633">
        <f t="shared" si="267"/>
        <v>3.9123780612591585E-2</v>
      </c>
      <c r="AK633">
        <f t="shared" si="268"/>
        <v>-6.5714289262503472E-2</v>
      </c>
      <c r="AM633">
        <f t="shared" si="269"/>
        <v>0.1142627266450251</v>
      </c>
      <c r="AN633">
        <f t="shared" si="269"/>
        <v>4.6620885028279262E-2</v>
      </c>
      <c r="AO633">
        <f t="shared" si="270"/>
        <v>-6.7641841616745829E-2</v>
      </c>
      <c r="AP633">
        <f t="shared" si="271"/>
        <v>-0.58268311999645472</v>
      </c>
      <c r="AR633">
        <f t="shared" si="272"/>
        <v>0.52885099605642005</v>
      </c>
      <c r="AS633">
        <f t="shared" si="273"/>
        <v>1.3315016578486965</v>
      </c>
      <c r="AT633">
        <f t="shared" si="274"/>
        <v>0.8026506617922764</v>
      </c>
      <c r="AU633">
        <f t="shared" si="275"/>
        <v>1.4688106536866614</v>
      </c>
    </row>
    <row r="634" spans="1:47" x14ac:dyDescent="0.25">
      <c r="A634" s="4">
        <f>DATE(2022,2,24)</f>
        <v>44616</v>
      </c>
      <c r="B634">
        <v>-0.68815304580936165</v>
      </c>
      <c r="C634">
        <v>46.253672147038564</v>
      </c>
      <c r="D634">
        <v>0.12836268221411648</v>
      </c>
      <c r="E634">
        <f t="shared" si="251"/>
        <v>-1.4116494912200328</v>
      </c>
      <c r="F634">
        <f t="shared" si="252"/>
        <v>-1.285089458117233</v>
      </c>
      <c r="G634">
        <f t="shared" si="253"/>
        <v>-1.894295517550415</v>
      </c>
      <c r="H634" s="2" t="str">
        <f t="shared" si="254"/>
        <v>Higher</v>
      </c>
      <c r="I634" s="2" t="str">
        <f t="shared" si="255"/>
        <v>Lower</v>
      </c>
      <c r="J634" s="2" t="str">
        <f t="shared" si="256"/>
        <v>Lower</v>
      </c>
      <c r="K634" s="2" t="e">
        <f t="shared" si="257"/>
        <v>#DIV/0!</v>
      </c>
      <c r="L634" s="2" t="str">
        <f t="shared" si="258"/>
        <v>Lower</v>
      </c>
      <c r="M634" s="2" t="str">
        <f t="shared" si="259"/>
        <v>Higher</v>
      </c>
      <c r="N634" s="2" t="str">
        <f t="shared" si="260"/>
        <v>Higher</v>
      </c>
      <c r="O634" s="2" t="str">
        <f t="shared" si="261"/>
        <v>Lower</v>
      </c>
      <c r="P634" s="2" t="str">
        <f t="shared" si="262"/>
        <v>Lower</v>
      </c>
      <c r="X634" s="4">
        <f>DATE(2022,2,24)</f>
        <v>44616</v>
      </c>
      <c r="Y634">
        <v>21.76584629180924</v>
      </c>
      <c r="Z634">
        <v>60.268868051137261</v>
      </c>
      <c r="AA634">
        <v>88.802500000000009</v>
      </c>
      <c r="AB634">
        <v>127.43299999999999</v>
      </c>
      <c r="AC634">
        <f t="shared" si="263"/>
        <v>1.7264818194005802E-2</v>
      </c>
      <c r="AD634">
        <f t="shared" si="263"/>
        <v>0.54245189542893768</v>
      </c>
      <c r="AE634">
        <f t="shared" si="264"/>
        <v>0.52518707723493185</v>
      </c>
      <c r="AF634">
        <f t="shared" si="265"/>
        <v>4.0207879120769077</v>
      </c>
      <c r="AH634">
        <f t="shared" si="266"/>
        <v>-6.0624957638154391E-3</v>
      </c>
      <c r="AI634">
        <f t="shared" si="266"/>
        <v>0.32631315933853461</v>
      </c>
      <c r="AJ634">
        <f t="shared" si="267"/>
        <v>0.33237565510235006</v>
      </c>
      <c r="AK634">
        <f t="shared" si="268"/>
        <v>1.1815208415381286</v>
      </c>
      <c r="AM634">
        <f t="shared" si="269"/>
        <v>0.11760006205333404</v>
      </c>
      <c r="AN634">
        <f t="shared" si="269"/>
        <v>0.31045852070323299</v>
      </c>
      <c r="AO634">
        <f t="shared" si="270"/>
        <v>0.19285845864989895</v>
      </c>
      <c r="AP634">
        <f t="shared" si="271"/>
        <v>0.10133126814681866</v>
      </c>
      <c r="AR634">
        <f t="shared" si="272"/>
        <v>0.53608496317225229</v>
      </c>
      <c r="AS634">
        <f t="shared" si="273"/>
        <v>1.6580922301265166</v>
      </c>
      <c r="AT634">
        <f t="shared" si="274"/>
        <v>1.1220072669542644</v>
      </c>
      <c r="AU634">
        <f t="shared" si="275"/>
        <v>2.4523472466725829</v>
      </c>
    </row>
    <row r="635" spans="1:47" x14ac:dyDescent="0.25">
      <c r="A635" s="4">
        <f>DATE(2022,2,23)</f>
        <v>44615</v>
      </c>
      <c r="B635">
        <v>-0.43154439303946046</v>
      </c>
      <c r="C635">
        <v>61.773786000868711</v>
      </c>
      <c r="D635">
        <v>0.78683900814038676</v>
      </c>
      <c r="E635">
        <f t="shared" si="251"/>
        <v>-0.98756600255214577</v>
      </c>
      <c r="F635">
        <f t="shared" si="252"/>
        <v>0.30861705785292304</v>
      </c>
      <c r="G635">
        <f t="shared" si="253"/>
        <v>0.40055052945312036</v>
      </c>
      <c r="H635" s="2" t="str">
        <f t="shared" si="254"/>
        <v>Higher</v>
      </c>
      <c r="I635" s="2" t="str">
        <f t="shared" si="255"/>
        <v>Lower</v>
      </c>
      <c r="J635" s="2" t="str">
        <f t="shared" si="256"/>
        <v>Lower</v>
      </c>
      <c r="K635" s="2" t="e">
        <f t="shared" si="257"/>
        <v>#DIV/0!</v>
      </c>
      <c r="L635" s="2" t="str">
        <f t="shared" si="258"/>
        <v>Lower</v>
      </c>
      <c r="M635" s="2" t="str">
        <f t="shared" si="259"/>
        <v>Higher</v>
      </c>
      <c r="N635" s="2" t="str">
        <f t="shared" si="260"/>
        <v>Higher</v>
      </c>
      <c r="O635" s="2" t="str">
        <f t="shared" si="261"/>
        <v>Lower</v>
      </c>
      <c r="P635" s="2" t="str">
        <f t="shared" si="262"/>
        <v>Lower</v>
      </c>
      <c r="X635" s="4">
        <f>DATE(2022,2,23)</f>
        <v>44615</v>
      </c>
      <c r="Y635">
        <v>25.79788331209792</v>
      </c>
      <c r="Z635">
        <v>38.820547769769519</v>
      </c>
      <c r="AA635">
        <v>93.81</v>
      </c>
      <c r="AB635">
        <v>87.462000000000003</v>
      </c>
      <c r="AC635">
        <f t="shared" si="263"/>
        <v>4.5079436719513484E-2</v>
      </c>
      <c r="AD635">
        <f t="shared" si="263"/>
        <v>0.22428183583089292</v>
      </c>
      <c r="AE635">
        <f t="shared" si="264"/>
        <v>0.17920239911137945</v>
      </c>
      <c r="AF635">
        <f t="shared" si="265"/>
        <v>1.3010140860968209</v>
      </c>
      <c r="AH635">
        <f t="shared" si="266"/>
        <v>5.8410161037552054E-2</v>
      </c>
      <c r="AI635">
        <f t="shared" si="266"/>
        <v>-4.3805807710014598E-2</v>
      </c>
      <c r="AJ635">
        <f t="shared" si="267"/>
        <v>-0.10221596874756665</v>
      </c>
      <c r="AK635">
        <f t="shared" si="268"/>
        <v>-0.66438815568085585</v>
      </c>
      <c r="AM635">
        <f t="shared" si="269"/>
        <v>0.1998064372201008</v>
      </c>
      <c r="AN635">
        <f t="shared" si="269"/>
        <v>-8.1685148926091536E-2</v>
      </c>
      <c r="AO635">
        <f t="shared" si="270"/>
        <v>-0.28149158614619235</v>
      </c>
      <c r="AP635">
        <f t="shared" si="271"/>
        <v>-1.1439279515945573</v>
      </c>
      <c r="AR635">
        <f t="shared" si="272"/>
        <v>0.62436042063693753</v>
      </c>
      <c r="AS635">
        <f t="shared" si="273"/>
        <v>1.3354384951747365</v>
      </c>
      <c r="AT635">
        <f t="shared" si="274"/>
        <v>0.71107807453779892</v>
      </c>
      <c r="AU635">
        <f t="shared" si="275"/>
        <v>1.1962432869988173</v>
      </c>
    </row>
    <row r="636" spans="1:47" x14ac:dyDescent="0.25">
      <c r="A636" s="4">
        <f>DATE(2022,2,22)</f>
        <v>44614</v>
      </c>
      <c r="B636">
        <v>-0.83271905016259273</v>
      </c>
      <c r="C636">
        <v>51.893003407197206</v>
      </c>
      <c r="D636">
        <v>0.35841159583715398</v>
      </c>
      <c r="E636">
        <f t="shared" si="251"/>
        <v>-1.7036938154140413</v>
      </c>
      <c r="F636">
        <f t="shared" si="252"/>
        <v>-0.71010317369182707</v>
      </c>
      <c r="G636">
        <f t="shared" si="253"/>
        <v>-1.1158884516442278</v>
      </c>
      <c r="H636" s="2" t="str">
        <f t="shared" si="254"/>
        <v>Higher</v>
      </c>
      <c r="I636" s="2" t="str">
        <f t="shared" si="255"/>
        <v>Lower</v>
      </c>
      <c r="J636" s="2" t="str">
        <f t="shared" si="256"/>
        <v>Lower</v>
      </c>
      <c r="K636" s="2" t="e">
        <f t="shared" si="257"/>
        <v>#DIV/0!</v>
      </c>
      <c r="L636" s="2" t="str">
        <f t="shared" si="258"/>
        <v>Lower</v>
      </c>
      <c r="M636" s="2" t="str">
        <f t="shared" si="259"/>
        <v>Higher</v>
      </c>
      <c r="N636" s="2" t="str">
        <f t="shared" si="260"/>
        <v>Higher</v>
      </c>
      <c r="O636" s="2" t="str">
        <f t="shared" si="261"/>
        <v>Lower</v>
      </c>
      <c r="P636" s="2" t="str">
        <f t="shared" si="262"/>
        <v>Lower</v>
      </c>
      <c r="X636" s="4">
        <f>DATE(2022,2,22)</f>
        <v>44614</v>
      </c>
      <c r="Y636">
        <v>17.666809519113226</v>
      </c>
      <c r="Z636">
        <v>32.772660733447772</v>
      </c>
      <c r="AA636">
        <v>89.47999999999999</v>
      </c>
      <c r="AB636">
        <v>77.861999999999995</v>
      </c>
      <c r="AC636">
        <f t="shared" si="263"/>
        <v>-2.0518929106718452E-2</v>
      </c>
      <c r="AD636">
        <f t="shared" si="263"/>
        <v>8.3413577938338049E-2</v>
      </c>
      <c r="AE636">
        <f t="shared" si="264"/>
        <v>0.10393250704505649</v>
      </c>
      <c r="AF636">
        <f t="shared" si="265"/>
        <v>0.69305080719729106</v>
      </c>
      <c r="AH636">
        <f t="shared" si="266"/>
        <v>3.2109269174265639E-2</v>
      </c>
      <c r="AI636">
        <f t="shared" si="266"/>
        <v>-0.18585095682511416</v>
      </c>
      <c r="AJ636">
        <f t="shared" si="267"/>
        <v>-0.21796022599937981</v>
      </c>
      <c r="AK636">
        <f t="shared" si="268"/>
        <v>-1.1577079121725606</v>
      </c>
      <c r="AM636">
        <f t="shared" si="269"/>
        <v>0.17872944664081825</v>
      </c>
      <c r="AN636">
        <f t="shared" si="269"/>
        <v>-0.18712993722589241</v>
      </c>
      <c r="AO636">
        <f t="shared" si="270"/>
        <v>-0.36585938386671069</v>
      </c>
      <c r="AP636">
        <f t="shared" si="271"/>
        <v>-1.3693767343602379</v>
      </c>
      <c r="AR636">
        <f t="shared" si="272"/>
        <v>0.50943893851207389</v>
      </c>
      <c r="AS636">
        <f t="shared" si="273"/>
        <v>1.1356622840936208</v>
      </c>
      <c r="AT636">
        <f t="shared" si="274"/>
        <v>0.62622334558154691</v>
      </c>
      <c r="AU636">
        <f t="shared" si="275"/>
        <v>0.93500742144823756</v>
      </c>
    </row>
    <row r="637" spans="1:47" x14ac:dyDescent="0.25">
      <c r="A637" s="4">
        <f>DATE(2022,2,21)</f>
        <v>44613</v>
      </c>
      <c r="B637">
        <v>-0.89311899635762249</v>
      </c>
      <c r="C637">
        <v>51.696168026905532</v>
      </c>
      <c r="D637">
        <v>0.36569681215625849</v>
      </c>
      <c r="E637">
        <f t="shared" si="251"/>
        <v>-1.8481877999009251</v>
      </c>
      <c r="F637">
        <f t="shared" si="252"/>
        <v>-0.73415206723288606</v>
      </c>
      <c r="G637">
        <f t="shared" si="253"/>
        <v>-1.1036775724362293</v>
      </c>
      <c r="H637" s="2" t="str">
        <f t="shared" si="254"/>
        <v>Higher</v>
      </c>
      <c r="I637" s="2" t="str">
        <f t="shared" si="255"/>
        <v>Higher</v>
      </c>
      <c r="J637" s="2" t="str">
        <f t="shared" si="256"/>
        <v>Lower</v>
      </c>
      <c r="K637" s="2" t="e">
        <f t="shared" si="257"/>
        <v>#DIV/0!</v>
      </c>
      <c r="L637" s="2" t="str">
        <f t="shared" si="258"/>
        <v>Lower</v>
      </c>
      <c r="M637" s="2" t="str">
        <f t="shared" si="259"/>
        <v>Higher</v>
      </c>
      <c r="N637" s="2" t="str">
        <f t="shared" si="260"/>
        <v>Higher</v>
      </c>
      <c r="O637" s="2" t="str">
        <f t="shared" si="261"/>
        <v>Higher</v>
      </c>
      <c r="P637" s="2" t="str">
        <f t="shared" si="262"/>
        <v>Lower</v>
      </c>
      <c r="X637" s="4">
        <f>DATE(2022,2,21)</f>
        <v>44613</v>
      </c>
      <c r="Y637">
        <v>18.483084867754947</v>
      </c>
      <c r="AA637">
        <v>89.58250000000001</v>
      </c>
      <c r="AC637">
        <f t="shared" si="263"/>
        <v>-2.5051258355985817E-2</v>
      </c>
      <c r="AD637" t="str">
        <f t="shared" si="263"/>
        <v/>
      </c>
      <c r="AE637" t="str">
        <f t="shared" si="264"/>
        <v/>
      </c>
      <c r="AF637" t="str">
        <f t="shared" si="265"/>
        <v/>
      </c>
      <c r="AH637">
        <f t="shared" si="266"/>
        <v>5.9859210021539933E-2</v>
      </c>
      <c r="AI637" t="str">
        <f t="shared" si="266"/>
        <v/>
      </c>
      <c r="AJ637" t="str">
        <f t="shared" si="267"/>
        <v/>
      </c>
      <c r="AK637" t="str">
        <f t="shared" si="268"/>
        <v/>
      </c>
      <c r="AM637">
        <f t="shared" si="269"/>
        <v>0.18536808150307466</v>
      </c>
      <c r="AN637" t="str">
        <f t="shared" si="269"/>
        <v/>
      </c>
      <c r="AO637" t="str">
        <f t="shared" si="270"/>
        <v/>
      </c>
      <c r="AP637" t="str">
        <f t="shared" si="271"/>
        <v/>
      </c>
      <c r="AR637">
        <f t="shared" si="272"/>
        <v>0.46659916672881702</v>
      </c>
      <c r="AS637" t="str">
        <f t="shared" si="273"/>
        <v/>
      </c>
      <c r="AT637" t="str">
        <f t="shared" si="274"/>
        <v/>
      </c>
      <c r="AU637" t="str">
        <f t="shared" si="275"/>
        <v/>
      </c>
    </row>
    <row r="638" spans="1:47" x14ac:dyDescent="0.25">
      <c r="A638" s="4">
        <f>DATE(2022,2,18)</f>
        <v>44610</v>
      </c>
      <c r="B638">
        <v>-0.93827754570894184</v>
      </c>
      <c r="C638">
        <v>51.264047560812905</v>
      </c>
      <c r="D638">
        <v>0.38631495965915469</v>
      </c>
      <c r="E638">
        <f t="shared" si="251"/>
        <v>-1.9718625002569374</v>
      </c>
      <c r="F638">
        <f t="shared" si="252"/>
        <v>-0.7780583200047092</v>
      </c>
      <c r="G638">
        <f t="shared" si="253"/>
        <v>-1.0359366696901924</v>
      </c>
      <c r="H638" s="2" t="str">
        <f t="shared" si="254"/>
        <v>Higher</v>
      </c>
      <c r="I638" s="2" t="str">
        <f t="shared" si="255"/>
        <v>Higher</v>
      </c>
      <c r="J638" s="2" t="str">
        <f t="shared" si="256"/>
        <v>Lower</v>
      </c>
      <c r="K638" s="2" t="e">
        <f t="shared" si="257"/>
        <v>#DIV/0!</v>
      </c>
      <c r="L638" s="2" t="str">
        <f t="shared" si="258"/>
        <v>Higher</v>
      </c>
      <c r="M638" s="2" t="str">
        <f t="shared" si="259"/>
        <v>Higher</v>
      </c>
      <c r="N638" s="2" t="str">
        <f t="shared" si="260"/>
        <v>Higher</v>
      </c>
      <c r="O638" s="2" t="str">
        <f t="shared" si="261"/>
        <v>Higher</v>
      </c>
      <c r="P638" s="2" t="str">
        <f t="shared" si="262"/>
        <v>Lower</v>
      </c>
      <c r="X638" s="4">
        <f>DATE(2022,2,18)</f>
        <v>44610</v>
      </c>
      <c r="Y638">
        <v>16.919956977136195</v>
      </c>
      <c r="Z638">
        <v>28.353710164880034</v>
      </c>
      <c r="AA638">
        <v>88.69</v>
      </c>
      <c r="AB638">
        <v>72.998500000000007</v>
      </c>
      <c r="AC638">
        <f t="shared" si="263"/>
        <v>-3.5608291457366679E-2</v>
      </c>
      <c r="AD638">
        <f t="shared" si="263"/>
        <v>-4.5488173360839851E-2</v>
      </c>
      <c r="AE638">
        <f t="shared" si="264"/>
        <v>-9.8798819034731714E-3</v>
      </c>
      <c r="AF638">
        <f t="shared" si="265"/>
        <v>-0.23125457353542064</v>
      </c>
      <c r="AH638">
        <f t="shared" si="266"/>
        <v>4.8780298393315845E-2</v>
      </c>
      <c r="AI638">
        <f t="shared" si="266"/>
        <v>-7.4377999950614837E-2</v>
      </c>
      <c r="AJ638">
        <f t="shared" si="267"/>
        <v>-0.12315829834393069</v>
      </c>
      <c r="AK638">
        <f t="shared" si="268"/>
        <v>-0.75840714126640685</v>
      </c>
      <c r="AM638">
        <f t="shared" si="269"/>
        <v>0.2009745463833246</v>
      </c>
      <c r="AN638">
        <f t="shared" si="269"/>
        <v>-0.2029446181795046</v>
      </c>
      <c r="AO638">
        <f t="shared" si="270"/>
        <v>-0.40391916456282917</v>
      </c>
      <c r="AP638">
        <f t="shared" si="271"/>
        <v>-1.4763929687384105</v>
      </c>
      <c r="AR638">
        <f t="shared" si="272"/>
        <v>0.45636384735151581</v>
      </c>
      <c r="AS638">
        <f t="shared" si="273"/>
        <v>1.0049797639807205</v>
      </c>
      <c r="AT638">
        <f t="shared" si="274"/>
        <v>0.54861591662920473</v>
      </c>
      <c r="AU638">
        <f t="shared" si="275"/>
        <v>0.69425788782264253</v>
      </c>
    </row>
    <row r="639" spans="1:47" x14ac:dyDescent="0.25">
      <c r="A639" s="4">
        <f>DATE(2022,2,17)</f>
        <v>44609</v>
      </c>
      <c r="B639">
        <v>-0.94637176595514516</v>
      </c>
      <c r="C639">
        <v>44.626865656694441</v>
      </c>
      <c r="D639">
        <v>0.20464826037635767</v>
      </c>
      <c r="E639">
        <f t="shared" si="251"/>
        <v>-2.0370205008370452</v>
      </c>
      <c r="F639">
        <f t="shared" si="252"/>
        <v>-1.4596151245430495</v>
      </c>
      <c r="G639">
        <f t="shared" si="253"/>
        <v>-1.6826637927902919</v>
      </c>
      <c r="H639" s="2" t="str">
        <f t="shared" si="254"/>
        <v>Higher</v>
      </c>
      <c r="I639" s="2" t="str">
        <f t="shared" si="255"/>
        <v>Higher</v>
      </c>
      <c r="J639" s="2" t="str">
        <f t="shared" si="256"/>
        <v>Lower</v>
      </c>
      <c r="K639" s="2" t="e">
        <f t="shared" si="257"/>
        <v>#DIV/0!</v>
      </c>
      <c r="L639" s="2" t="str">
        <f t="shared" si="258"/>
        <v>Higher</v>
      </c>
      <c r="M639" s="2" t="str">
        <f t="shared" si="259"/>
        <v>Higher</v>
      </c>
      <c r="N639" s="2" t="str">
        <f t="shared" si="260"/>
        <v>Higher</v>
      </c>
      <c r="O639" s="2" t="str">
        <f t="shared" si="261"/>
        <v>Higher</v>
      </c>
      <c r="P639" s="2" t="str">
        <f t="shared" si="262"/>
        <v>Lower</v>
      </c>
      <c r="X639" s="4">
        <f>DATE(2022,2,17)</f>
        <v>44609</v>
      </c>
      <c r="Y639">
        <v>18.15205527923646</v>
      </c>
      <c r="Z639">
        <v>29.850652425080437</v>
      </c>
      <c r="AA639">
        <v>87.282499999999999</v>
      </c>
      <c r="AB639">
        <v>74.079499999999996</v>
      </c>
      <c r="AC639">
        <f t="shared" si="263"/>
        <v>-4.2341190543123901E-2</v>
      </c>
      <c r="AD639">
        <f t="shared" si="263"/>
        <v>1.5603525103633194E-3</v>
      </c>
      <c r="AE639">
        <f t="shared" si="264"/>
        <v>4.3901543053487223E-2</v>
      </c>
      <c r="AF639">
        <f t="shared" si="265"/>
        <v>0.20509236540046341</v>
      </c>
      <c r="AH639">
        <f t="shared" si="266"/>
        <v>3.3345644206626522E-2</v>
      </c>
      <c r="AI639">
        <f t="shared" si="266"/>
        <v>-2.2854687235434319E-3</v>
      </c>
      <c r="AJ639">
        <f t="shared" si="267"/>
        <v>-3.5631112930169954E-2</v>
      </c>
      <c r="AK639">
        <f t="shared" si="268"/>
        <v>-0.38766367537470081</v>
      </c>
      <c r="AM639">
        <f t="shared" si="269"/>
        <v>0.16481465760296937</v>
      </c>
      <c r="AN639" t="str">
        <f t="shared" si="269"/>
        <v/>
      </c>
      <c r="AO639" t="str">
        <f t="shared" si="270"/>
        <v/>
      </c>
      <c r="AP639" t="str">
        <f t="shared" si="271"/>
        <v/>
      </c>
      <c r="AR639">
        <f t="shared" si="272"/>
        <v>0.47388938056277741</v>
      </c>
      <c r="AS639">
        <f t="shared" si="273"/>
        <v>1.049208108035891</v>
      </c>
      <c r="AT639">
        <f t="shared" si="274"/>
        <v>0.57531872747311363</v>
      </c>
      <c r="AU639">
        <f t="shared" si="275"/>
        <v>0.77622699972395648</v>
      </c>
    </row>
    <row r="640" spans="1:47" x14ac:dyDescent="0.25">
      <c r="A640" s="4">
        <f>DATE(2022,2,16)</f>
        <v>44608</v>
      </c>
      <c r="B640">
        <v>-0.61093920832927262</v>
      </c>
      <c r="C640">
        <v>52.057338072177771</v>
      </c>
      <c r="D640">
        <v>0.44256061102848332</v>
      </c>
      <c r="E640">
        <f t="shared" si="251"/>
        <v>-1.4642367019759921</v>
      </c>
      <c r="F640">
        <f t="shared" si="252"/>
        <v>-0.69037695664956633</v>
      </c>
      <c r="G640">
        <f t="shared" si="253"/>
        <v>-0.83707472620273415</v>
      </c>
      <c r="H640" s="2" t="str">
        <f t="shared" si="254"/>
        <v>Higher</v>
      </c>
      <c r="I640" s="2" t="str">
        <f t="shared" si="255"/>
        <v>Higher</v>
      </c>
      <c r="J640" s="2" t="str">
        <f t="shared" si="256"/>
        <v>Lower</v>
      </c>
      <c r="K640" s="2" t="e">
        <f t="shared" si="257"/>
        <v>#DIV/0!</v>
      </c>
      <c r="L640" s="2" t="str">
        <f t="shared" si="258"/>
        <v>Higher</v>
      </c>
      <c r="M640" s="2" t="str">
        <f t="shared" si="259"/>
        <v>Higher</v>
      </c>
      <c r="N640" s="2" t="str">
        <f t="shared" si="260"/>
        <v>Higher</v>
      </c>
      <c r="O640" s="2" t="str">
        <f t="shared" si="261"/>
        <v>Higher</v>
      </c>
      <c r="P640" s="2" t="str">
        <f t="shared" si="262"/>
        <v>Lower</v>
      </c>
      <c r="X640" s="4">
        <f>DATE(2022,2,16)</f>
        <v>44608</v>
      </c>
      <c r="Y640">
        <v>19.94368911040182</v>
      </c>
      <c r="Z640">
        <v>26.785948304090923</v>
      </c>
      <c r="AA640">
        <v>89.674999999999997</v>
      </c>
      <c r="AB640">
        <v>69.89</v>
      </c>
      <c r="AC640">
        <f t="shared" si="263"/>
        <v>-2.9501961067948536E-2</v>
      </c>
      <c r="AD640">
        <f t="shared" si="263"/>
        <v>-6.8443285666171513E-2</v>
      </c>
      <c r="AE640">
        <f t="shared" si="264"/>
        <v>-3.8941324598222977E-2</v>
      </c>
      <c r="AF640">
        <f t="shared" si="265"/>
        <v>-0.46637055432576613</v>
      </c>
      <c r="AH640">
        <f t="shared" si="266"/>
        <v>9.0143732902555701E-2</v>
      </c>
      <c r="AI640">
        <f t="shared" si="266"/>
        <v>-6.7641264530026071E-2</v>
      </c>
      <c r="AJ640">
        <f t="shared" si="267"/>
        <v>-0.15778499743258179</v>
      </c>
      <c r="AK640">
        <f t="shared" si="268"/>
        <v>-0.90703522982297424</v>
      </c>
      <c r="AM640">
        <f t="shared" si="269"/>
        <v>0.21976898950063523</v>
      </c>
      <c r="AN640">
        <f t="shared" si="269"/>
        <v>-0.29584547033605146</v>
      </c>
      <c r="AO640">
        <f t="shared" si="270"/>
        <v>-0.51561445983668674</v>
      </c>
      <c r="AP640">
        <f t="shared" si="271"/>
        <v>-1.7791808282806201</v>
      </c>
      <c r="AR640">
        <f t="shared" si="272"/>
        <v>0.49268432786802185</v>
      </c>
      <c r="AS640">
        <f t="shared" si="273"/>
        <v>0.97839981273142318</v>
      </c>
      <c r="AT640">
        <f t="shared" si="274"/>
        <v>0.48571548486340133</v>
      </c>
      <c r="AU640">
        <f t="shared" si="275"/>
        <v>0.5024581875641897</v>
      </c>
    </row>
    <row r="641" spans="1:47" x14ac:dyDescent="0.25">
      <c r="A641" s="4">
        <f>DATE(2022,2,15)</f>
        <v>44607</v>
      </c>
      <c r="B641">
        <v>-0.41564827543058325</v>
      </c>
      <c r="C641">
        <v>55.254672397910909</v>
      </c>
      <c r="D641">
        <v>0.54915716303913653</v>
      </c>
      <c r="E641">
        <f t="shared" si="251"/>
        <v>-1.1241674642782846</v>
      </c>
      <c r="F641">
        <f t="shared" si="252"/>
        <v>-0.36521566547342554</v>
      </c>
      <c r="G641">
        <f t="shared" si="253"/>
        <v>-0.46446777159850322</v>
      </c>
      <c r="H641" s="2" t="str">
        <f t="shared" si="254"/>
        <v>Higher</v>
      </c>
      <c r="I641" s="2" t="str">
        <f t="shared" si="255"/>
        <v>Higher</v>
      </c>
      <c r="J641" s="2" t="str">
        <f t="shared" si="256"/>
        <v>Lower</v>
      </c>
      <c r="K641" s="2" t="str">
        <f t="shared" si="257"/>
        <v>Higher</v>
      </c>
      <c r="L641" s="2" t="str">
        <f t="shared" si="258"/>
        <v>Higher</v>
      </c>
      <c r="M641" s="2" t="str">
        <f t="shared" si="259"/>
        <v>Higher</v>
      </c>
      <c r="N641" s="2" t="str">
        <f t="shared" si="260"/>
        <v>Higher</v>
      </c>
      <c r="O641" s="2" t="str">
        <f t="shared" si="261"/>
        <v>Higher</v>
      </c>
      <c r="P641" s="2" t="str">
        <f t="shared" si="262"/>
        <v>Lower</v>
      </c>
      <c r="X641" s="4">
        <f>DATE(2022,2,15)</f>
        <v>44607</v>
      </c>
      <c r="Y641">
        <v>21.394265857610666</v>
      </c>
      <c r="Z641">
        <v>27.406470778460086</v>
      </c>
      <c r="AA641">
        <v>91.335000000000008</v>
      </c>
      <c r="AB641">
        <v>71.630750000000006</v>
      </c>
      <c r="AC641">
        <f t="shared" si="263"/>
        <v>-5.9145453168073382E-2</v>
      </c>
      <c r="AD641">
        <f t="shared" si="263"/>
        <v>-8.5440753033700287E-2</v>
      </c>
      <c r="AE641">
        <f t="shared" si="264"/>
        <v>-2.6295299865626905E-2</v>
      </c>
      <c r="AF641">
        <f t="shared" si="265"/>
        <v>-0.36460938259562264</v>
      </c>
      <c r="AH641">
        <f t="shared" si="266"/>
        <v>0.1099206927986652</v>
      </c>
      <c r="AI641">
        <f t="shared" si="266"/>
        <v>-9.8423276463862328E-2</v>
      </c>
      <c r="AJ641">
        <f t="shared" si="267"/>
        <v>-0.20834396926252752</v>
      </c>
      <c r="AK641">
        <f t="shared" si="268"/>
        <v>-1.1238341692243969</v>
      </c>
      <c r="AM641">
        <f t="shared" si="269"/>
        <v>0.27417900812216128</v>
      </c>
      <c r="AN641">
        <f t="shared" si="269"/>
        <v>-0.22885172545719462</v>
      </c>
      <c r="AO641">
        <f t="shared" si="270"/>
        <v>-0.5030307335793559</v>
      </c>
      <c r="AP641">
        <f t="shared" si="271"/>
        <v>-1.7573103352290618</v>
      </c>
      <c r="AR641">
        <f t="shared" si="272"/>
        <v>0.54944433936380899</v>
      </c>
      <c r="AS641">
        <f t="shared" si="273"/>
        <v>1.0293716492721163</v>
      </c>
      <c r="AT641">
        <f t="shared" si="274"/>
        <v>0.47992730990830734</v>
      </c>
      <c r="AU641">
        <f t="shared" si="275"/>
        <v>0.48514919904446013</v>
      </c>
    </row>
    <row r="642" spans="1:47" x14ac:dyDescent="0.25">
      <c r="A642" s="4">
        <f>DATE(2022,2,14)</f>
        <v>44606</v>
      </c>
      <c r="B642">
        <v>-0.24461104621933893</v>
      </c>
      <c r="C642">
        <v>56.824465402022362</v>
      </c>
      <c r="D642">
        <v>0.60405701082329877</v>
      </c>
      <c r="E642">
        <f t="shared" si="251"/>
        <v>-0.81616233364740531</v>
      </c>
      <c r="F642">
        <f t="shared" si="252"/>
        <v>-0.20535027293640351</v>
      </c>
      <c r="G642">
        <f t="shared" si="253"/>
        <v>-0.27363568027034868</v>
      </c>
      <c r="H642" s="2" t="str">
        <f t="shared" si="254"/>
        <v>Higher</v>
      </c>
      <c r="I642" s="2" t="str">
        <f t="shared" si="255"/>
        <v>Higher</v>
      </c>
      <c r="J642" s="2" t="str">
        <f t="shared" si="256"/>
        <v>Lower</v>
      </c>
      <c r="K642" s="2" t="str">
        <f t="shared" si="257"/>
        <v>Higher</v>
      </c>
      <c r="L642" s="2" t="str">
        <f t="shared" si="258"/>
        <v>Higher</v>
      </c>
      <c r="M642" s="2" t="str">
        <f t="shared" si="259"/>
        <v>Higher</v>
      </c>
      <c r="N642" s="2" t="str">
        <f t="shared" si="260"/>
        <v>Higher</v>
      </c>
      <c r="O642" s="2" t="str">
        <f t="shared" si="261"/>
        <v>Higher</v>
      </c>
      <c r="P642" s="2" t="str">
        <f t="shared" si="262"/>
        <v>Lower</v>
      </c>
      <c r="X642" s="4">
        <f>DATE(2022,2,14)</f>
        <v>44606</v>
      </c>
      <c r="Y642">
        <v>22.470725411801837</v>
      </c>
      <c r="Z642">
        <v>31.497094818501779</v>
      </c>
      <c r="AA642">
        <v>91.855000000000004</v>
      </c>
      <c r="AB642">
        <v>81.209249999999997</v>
      </c>
      <c r="AC642">
        <f t="shared" si="263"/>
        <v>-4.387649412596089E-2</v>
      </c>
      <c r="AD642">
        <f t="shared" si="263"/>
        <v>2.5115991421442434E-2</v>
      </c>
      <c r="AE642">
        <f t="shared" si="264"/>
        <v>6.8992485547403323E-2</v>
      </c>
      <c r="AF642">
        <f t="shared" si="265"/>
        <v>0.40584593992809281</v>
      </c>
      <c r="AH642">
        <f t="shared" si="266"/>
        <v>0.12641045037542653</v>
      </c>
      <c r="AI642" t="str">
        <f t="shared" si="266"/>
        <v/>
      </c>
      <c r="AJ642" t="str">
        <f t="shared" si="267"/>
        <v/>
      </c>
      <c r="AK642" t="str">
        <f t="shared" si="268"/>
        <v/>
      </c>
      <c r="AM642">
        <f t="shared" si="269"/>
        <v>0.27071650437845812</v>
      </c>
      <c r="AN642">
        <f t="shared" si="269"/>
        <v>-3.3799546598531384E-2</v>
      </c>
      <c r="AO642">
        <f t="shared" si="270"/>
        <v>-0.30451605097698953</v>
      </c>
      <c r="AP642">
        <f t="shared" si="271"/>
        <v>-1.2405676799362459</v>
      </c>
      <c r="AR642">
        <f t="shared" si="272"/>
        <v>0.56843882181547145</v>
      </c>
      <c r="AS642">
        <f t="shared" si="273"/>
        <v>1.1741115112412934</v>
      </c>
      <c r="AT642">
        <f t="shared" si="274"/>
        <v>0.60567268942582198</v>
      </c>
      <c r="AU642">
        <f t="shared" si="275"/>
        <v>0.86847748304704087</v>
      </c>
    </row>
    <row r="643" spans="1:47" x14ac:dyDescent="0.25">
      <c r="A643" s="4">
        <f>DATE(2022,2,11)</f>
        <v>44603</v>
      </c>
      <c r="B643">
        <v>-6.0885878972317897E-2</v>
      </c>
      <c r="C643">
        <v>59.64134282856223</v>
      </c>
      <c r="D643">
        <v>0.68072822654102794</v>
      </c>
      <c r="E643">
        <f t="shared" si="251"/>
        <v>-0.47535336379984588</v>
      </c>
      <c r="F643">
        <f t="shared" si="252"/>
        <v>8.1711909762862925E-2</v>
      </c>
      <c r="G643">
        <f t="shared" si="253"/>
        <v>-6.466647472703653E-3</v>
      </c>
      <c r="H643" s="2" t="str">
        <f t="shared" si="254"/>
        <v>Higher</v>
      </c>
      <c r="I643" s="2" t="str">
        <f t="shared" si="255"/>
        <v>Higher</v>
      </c>
      <c r="J643" s="2" t="str">
        <f t="shared" si="256"/>
        <v>Lower</v>
      </c>
      <c r="K643" s="2" t="str">
        <f t="shared" si="257"/>
        <v>Higher</v>
      </c>
      <c r="L643" s="2" t="str">
        <f t="shared" si="258"/>
        <v>Higher</v>
      </c>
      <c r="M643" s="2" t="str">
        <f t="shared" si="259"/>
        <v>Higher</v>
      </c>
      <c r="N643" s="2" t="str">
        <f t="shared" si="260"/>
        <v>Higher</v>
      </c>
      <c r="O643" s="2" t="str">
        <f t="shared" si="261"/>
        <v>Higher</v>
      </c>
      <c r="P643" s="2" t="str">
        <f t="shared" si="262"/>
        <v>Lower</v>
      </c>
      <c r="X643" s="4">
        <f>DATE(2022,2,11)</f>
        <v>44603</v>
      </c>
      <c r="Y643">
        <v>23.096807993723278</v>
      </c>
      <c r="Z643">
        <v>26.355345156209196</v>
      </c>
      <c r="AA643">
        <v>91.905000000000001</v>
      </c>
      <c r="AB643">
        <v>76.395749999999992</v>
      </c>
      <c r="AC643">
        <f t="shared" si="263"/>
        <v>-4.5777867527445767E-2</v>
      </c>
      <c r="AD643">
        <f t="shared" si="263"/>
        <v>-7.5130318546224359E-2</v>
      </c>
      <c r="AE643">
        <f t="shared" si="264"/>
        <v>-2.9352451018778591E-2</v>
      </c>
      <c r="AF643">
        <f t="shared" si="265"/>
        <v>-0.38838378744438812</v>
      </c>
      <c r="AH643">
        <f t="shared" si="266"/>
        <v>0.10974662045580044</v>
      </c>
      <c r="AI643">
        <f t="shared" si="266"/>
        <v>-0.13981757219471982</v>
      </c>
      <c r="AJ643">
        <f t="shared" si="267"/>
        <v>-0.24956419265052027</v>
      </c>
      <c r="AK643">
        <f t="shared" si="268"/>
        <v>-1.3028677609673647</v>
      </c>
      <c r="AM643">
        <f t="shared" si="269"/>
        <v>0.28227445426448333</v>
      </c>
      <c r="AN643">
        <f t="shared" si="269"/>
        <v>-0.13963260175389161</v>
      </c>
      <c r="AO643">
        <f t="shared" si="270"/>
        <v>-0.42190705601837497</v>
      </c>
      <c r="AP643">
        <f t="shared" si="271"/>
        <v>-1.5577974848557312</v>
      </c>
      <c r="AR643">
        <f t="shared" si="272"/>
        <v>0.60170716448082839</v>
      </c>
      <c r="AS643">
        <f t="shared" si="273"/>
        <v>1.1580815910427049</v>
      </c>
      <c r="AT643">
        <f t="shared" si="274"/>
        <v>0.55637442656187652</v>
      </c>
      <c r="AU643">
        <f t="shared" si="275"/>
        <v>0.718687657579824</v>
      </c>
    </row>
    <row r="644" spans="1:47" x14ac:dyDescent="0.25">
      <c r="A644" s="4">
        <f>DATE(2022,2,10)</f>
        <v>44602</v>
      </c>
      <c r="B644">
        <v>7.6935807984880533E-2</v>
      </c>
      <c r="C644">
        <v>55.811575952195085</v>
      </c>
      <c r="D644">
        <v>0.59786201128885197</v>
      </c>
      <c r="E644">
        <f t="shared" si="251"/>
        <v>-0.21564174639354169</v>
      </c>
      <c r="F644">
        <f t="shared" si="252"/>
        <v>-0.30970231356175743</v>
      </c>
      <c r="G644">
        <f t="shared" si="253"/>
        <v>-0.30234246136708681</v>
      </c>
      <c r="H644" s="2" t="str">
        <f t="shared" si="254"/>
        <v>Higher</v>
      </c>
      <c r="I644" s="2" t="str">
        <f t="shared" si="255"/>
        <v>Higher</v>
      </c>
      <c r="J644" s="2" t="str">
        <f t="shared" si="256"/>
        <v>Lower</v>
      </c>
      <c r="K644" s="2" t="str">
        <f t="shared" si="257"/>
        <v>Higher</v>
      </c>
      <c r="L644" s="2" t="str">
        <f t="shared" si="258"/>
        <v>Higher</v>
      </c>
      <c r="M644" s="2" t="str">
        <f t="shared" si="259"/>
        <v>Higher</v>
      </c>
      <c r="N644" s="2" t="str">
        <f t="shared" si="260"/>
        <v>Higher</v>
      </c>
      <c r="O644" s="2" t="str">
        <f t="shared" si="261"/>
        <v>Higher</v>
      </c>
      <c r="P644" s="2" t="str">
        <f t="shared" si="262"/>
        <v>Lower</v>
      </c>
      <c r="X644" s="4">
        <f>DATE(2022,2,10)</f>
        <v>44602</v>
      </c>
      <c r="Y644">
        <v>25.497694267292964</v>
      </c>
      <c r="Z644">
        <v>24.390085031141815</v>
      </c>
      <c r="AA644">
        <v>91.057500000000005</v>
      </c>
      <c r="AB644">
        <v>73.963999999999999</v>
      </c>
      <c r="AC644">
        <f t="shared" si="263"/>
        <v>-3.620878372943815E-2</v>
      </c>
      <c r="AD644">
        <f t="shared" si="263"/>
        <v>-7.1168589531703852E-2</v>
      </c>
      <c r="AE644">
        <f t="shared" si="264"/>
        <v>-3.4959805802265702E-2</v>
      </c>
      <c r="AF644">
        <f t="shared" si="265"/>
        <v>-0.43417510282535354</v>
      </c>
      <c r="AH644">
        <f t="shared" si="266"/>
        <v>0.12915208924817626</v>
      </c>
      <c r="AI644">
        <f t="shared" si="266"/>
        <v>-0.10588090373038093</v>
      </c>
      <c r="AJ644">
        <f t="shared" si="267"/>
        <v>-0.23503299297855718</v>
      </c>
      <c r="AK644">
        <f t="shared" si="268"/>
        <v>-1.2457111186900018</v>
      </c>
      <c r="AM644">
        <f t="shared" si="269"/>
        <v>0.28564331712297863</v>
      </c>
      <c r="AN644">
        <f t="shared" si="269"/>
        <v>-0.2423696854599687</v>
      </c>
      <c r="AO644">
        <f t="shared" si="270"/>
        <v>-0.52801300258294737</v>
      </c>
      <c r="AP644">
        <f t="shared" si="271"/>
        <v>-1.8493349670527626</v>
      </c>
      <c r="AR644">
        <f t="shared" si="272"/>
        <v>0.60172070472925077</v>
      </c>
      <c r="AS644">
        <f t="shared" si="273"/>
        <v>1.1075619576226217</v>
      </c>
      <c r="AT644">
        <f t="shared" si="274"/>
        <v>0.5058412528933709</v>
      </c>
      <c r="AU644">
        <f t="shared" si="275"/>
        <v>0.56565468255620999</v>
      </c>
    </row>
    <row r="645" spans="1:47" x14ac:dyDescent="0.25">
      <c r="A645" s="4">
        <f>DATE(2022,2,9)</f>
        <v>44601</v>
      </c>
      <c r="B645">
        <v>0.45559045255608632</v>
      </c>
      <c r="C645">
        <v>55.835128713393289</v>
      </c>
      <c r="D645">
        <v>0.61707788911614003</v>
      </c>
      <c r="E645">
        <f t="shared" ref="E645:E708" si="276">(B645-AVERAGE(B645:B774))/_xlfn.STDEV.S(B645:B774)</f>
        <v>0.50865780029923802</v>
      </c>
      <c r="F645">
        <f t="shared" ref="F645:F708" si="277">(C645-AVERAGE(C645:C774))/_xlfn.STDEV.S(C645:C774)</f>
        <v>-0.30892627271436357</v>
      </c>
      <c r="G645">
        <f t="shared" ref="G645:G708" si="278">(D645-AVERAGE(D645:D774))/_xlfn.STDEV.S(D645:D774)</f>
        <v>-0.23778263599707264</v>
      </c>
      <c r="H645" s="2" t="str">
        <f t="shared" ref="H645:H708" si="279">IF(AVERAGEA(C645:C665)&gt;AVERAGE(C666:C686),"Higher","Lower")</f>
        <v>Higher</v>
      </c>
      <c r="I645" s="2" t="str">
        <f t="shared" ref="I645:I708" si="280">IF(AVERAGEA(C645:C700)&gt;AVERAGE(C701:C756),"Higher","Lower")</f>
        <v>Higher</v>
      </c>
      <c r="J645" s="2" t="str">
        <f t="shared" ref="J645:J708" si="281">IF(AVERAGEA(C645:C757)&gt;AVERAGE(C758:C870),"Higher","Lower")</f>
        <v>Lower</v>
      </c>
      <c r="K645" s="2" t="str">
        <f t="shared" ref="K645:K708" si="282">IF(AVERAGEA(B645:B665)&gt;AVERAGE(B666:B686),"Higher","Lower")</f>
        <v>Higher</v>
      </c>
      <c r="L645" s="2" t="str">
        <f t="shared" ref="L645:L708" si="283">IF(AVERAGEA(B645:B700)&gt;AVERAGE(B701:B756),"Higher","Lower")</f>
        <v>Higher</v>
      </c>
      <c r="M645" s="2" t="str">
        <f t="shared" ref="M645:M708" si="284">IF(AVERAGEA(B645:B757)&gt;AVERAGE(B758:B870),"Higher","Lower")</f>
        <v>Higher</v>
      </c>
      <c r="N645" s="2" t="str">
        <f t="shared" ref="N645:N708" si="285">IF(AVERAGEA(D645:D665)&gt;AVERAGE(D666:D686),"Higher","Lower")</f>
        <v>Higher</v>
      </c>
      <c r="O645" s="2" t="str">
        <f t="shared" ref="O645:O708" si="286">IF(AVERAGEA(D645:D700)&gt;AVERAGE(D701:D756),"Higher","Lower")</f>
        <v>Higher</v>
      </c>
      <c r="P645" s="2" t="str">
        <f t="shared" ref="P645:P708" si="287">IF(AVERAGEA(D645:D757)&gt;AVERAGE(D758:D870),"Higher","Lower")</f>
        <v>Lower</v>
      </c>
      <c r="X645" s="4">
        <f>DATE(2022,2,9)</f>
        <v>44601</v>
      </c>
      <c r="Y645">
        <v>27.789821812636362</v>
      </c>
      <c r="Z645">
        <v>24.99743924973739</v>
      </c>
      <c r="AA645">
        <v>92.360000000000014</v>
      </c>
      <c r="AB645">
        <v>74.840999999999994</v>
      </c>
      <c r="AC645">
        <f t="shared" ref="AC645:AD708" si="288">IFERROR(LN(AA645/AA650),"")</f>
        <v>-8.6244605298454371E-3</v>
      </c>
      <c r="AD645">
        <f t="shared" si="288"/>
        <v>-3.5208803368890262E-2</v>
      </c>
      <c r="AE645">
        <f t="shared" ref="AE645:AE708" si="289">IFERROR(AD645-AC645,"")</f>
        <v>-2.6584342839044824E-2</v>
      </c>
      <c r="AF645">
        <f t="shared" ref="AF645:AF708" si="290">IFERROR((AE645-AVERAGEA(AE645:AE1167))/_xlfn.STDEV.S(AE645:AE1162),"")</f>
        <v>-0.36724980247846112</v>
      </c>
      <c r="AH645">
        <f t="shared" ref="AH645:AI708" si="291">IFERROR(LN(AA645/AA665),"")</f>
        <v>0.13616431808501386</v>
      </c>
      <c r="AI645">
        <f t="shared" si="291"/>
        <v>-2.1781076488712504E-2</v>
      </c>
      <c r="AJ645">
        <f t="shared" ref="AJ645:AJ708" si="292">IFERROR(AI645-AH645,"")</f>
        <v>-0.15794539457372636</v>
      </c>
      <c r="AK645">
        <f t="shared" ref="AK645:AK708" si="293">IFERROR((AJ645-AVERAGEA(AJ645:AJ1167))/_xlfn.STDEV.S(AJ645:AJ1162),"")</f>
        <v>-0.92173203488809596</v>
      </c>
      <c r="AM645">
        <f t="shared" ref="AM645:AN708" si="294">IFERROR(LN(AA645/AA705),"")</f>
        <v>0.31534574650788805</v>
      </c>
      <c r="AN645">
        <f t="shared" si="294"/>
        <v>-0.25122460419871229</v>
      </c>
      <c r="AO645">
        <f t="shared" ref="AO645:AO708" si="295">IFERROR(AN645-AM645,"")</f>
        <v>-0.56657035070660033</v>
      </c>
      <c r="AP645">
        <f t="shared" ref="AP645:AP708" si="296">IFERROR((AO645-AVERAGEA(AO645:AO1167))/_xlfn.STDEV.S(AO645:AO1162),"")</f>
        <v>-1.9656678789976645</v>
      </c>
      <c r="AR645">
        <f t="shared" ref="AR645:AR708" si="297">IFERROR(LN(AA645/AA845),"")</f>
        <v>0.62903845618927046</v>
      </c>
      <c r="AS645">
        <f t="shared" ref="AS645:AS708" si="298">IFERROR(LN(AB645/AB845),"")</f>
        <v>1.1455752459774997</v>
      </c>
      <c r="AT645">
        <f t="shared" ref="AT645:AT708" si="299">IFERROR(AS645-AR645,"")</f>
        <v>0.51653678978822926</v>
      </c>
      <c r="AU645">
        <f t="shared" ref="AU645:AU708" si="300">IFERROR((AT645-AVERAGEA(AT645:AT1167))/_xlfn.STDEV.S(AT645:AT1162),"")</f>
        <v>0.59830393874317189</v>
      </c>
    </row>
    <row r="646" spans="1:47" x14ac:dyDescent="0.25">
      <c r="A646" s="4">
        <f>DATE(2022,2,8)</f>
        <v>44600</v>
      </c>
      <c r="B646">
        <v>0.97327542125817601</v>
      </c>
      <c r="C646">
        <v>73.513461678851527</v>
      </c>
      <c r="D646">
        <v>0.91002116499788288</v>
      </c>
      <c r="E646">
        <f t="shared" si="276"/>
        <v>1.5055126119953897</v>
      </c>
      <c r="F646">
        <f t="shared" si="277"/>
        <v>1.509306805463426</v>
      </c>
      <c r="G646">
        <f t="shared" si="278"/>
        <v>0.80019944200934967</v>
      </c>
      <c r="H646" s="2" t="str">
        <f t="shared" si="279"/>
        <v>Higher</v>
      </c>
      <c r="I646" s="2" t="str">
        <f t="shared" si="280"/>
        <v>Higher</v>
      </c>
      <c r="J646" s="2" t="str">
        <f t="shared" si="281"/>
        <v>Lower</v>
      </c>
      <c r="K646" s="2" t="str">
        <f t="shared" si="282"/>
        <v>Higher</v>
      </c>
      <c r="L646" s="2" t="str">
        <f t="shared" si="283"/>
        <v>Higher</v>
      </c>
      <c r="M646" s="2" t="str">
        <f t="shared" si="284"/>
        <v>Higher</v>
      </c>
      <c r="N646" s="2" t="str">
        <f t="shared" si="285"/>
        <v>Higher</v>
      </c>
      <c r="O646" s="2" t="str">
        <f t="shared" si="286"/>
        <v>Higher</v>
      </c>
      <c r="P646" s="2" t="str">
        <f t="shared" si="287"/>
        <v>Lower</v>
      </c>
      <c r="X646" s="4">
        <f>DATE(2022,2,8)</f>
        <v>44600</v>
      </c>
      <c r="Y646">
        <v>32.576264951907447</v>
      </c>
      <c r="Z646">
        <v>25.937789458135974</v>
      </c>
      <c r="AA646">
        <v>96.9</v>
      </c>
      <c r="AB646">
        <v>78.02000000000001</v>
      </c>
      <c r="AC646">
        <f t="shared" si="288"/>
        <v>8.4649968043442894E-2</v>
      </c>
      <c r="AD646">
        <f t="shared" si="288"/>
        <v>2.1263961122842165E-2</v>
      </c>
      <c r="AE646">
        <f t="shared" si="289"/>
        <v>-6.3386006920600729E-2</v>
      </c>
      <c r="AF646">
        <f t="shared" si="290"/>
        <v>-0.66415982171121957</v>
      </c>
      <c r="AH646">
        <f t="shared" si="291"/>
        <v>0.16949396653309787</v>
      </c>
      <c r="AI646">
        <f t="shared" si="291"/>
        <v>-1.9602809393715982E-2</v>
      </c>
      <c r="AJ646">
        <f t="shared" si="292"/>
        <v>-0.18909677592681384</v>
      </c>
      <c r="AK646">
        <f t="shared" si="293"/>
        <v>-1.0565128552054568</v>
      </c>
      <c r="AM646">
        <f t="shared" si="294"/>
        <v>0.36466788169649411</v>
      </c>
      <c r="AN646">
        <f t="shared" si="294"/>
        <v>-0.16195785825850156</v>
      </c>
      <c r="AO646">
        <f t="shared" si="295"/>
        <v>-0.52662573995499562</v>
      </c>
      <c r="AP646">
        <f t="shared" si="296"/>
        <v>-1.8732477098712113</v>
      </c>
      <c r="AR646">
        <f t="shared" si="297"/>
        <v>0.68354431322660392</v>
      </c>
      <c r="AS646">
        <f t="shared" si="298"/>
        <v>1.2085118435068556</v>
      </c>
      <c r="AT646">
        <f t="shared" si="299"/>
        <v>0.52496753028025167</v>
      </c>
      <c r="AU646">
        <f t="shared" si="300"/>
        <v>0.62401659957334032</v>
      </c>
    </row>
    <row r="647" spans="1:47" x14ac:dyDescent="0.25">
      <c r="A647" s="4">
        <f>DATE(2022,2,7)</f>
        <v>44599</v>
      </c>
      <c r="B647">
        <v>1.0469909022687451</v>
      </c>
      <c r="C647">
        <v>73.218504216828293</v>
      </c>
      <c r="D647">
        <v>0.95503457523372814</v>
      </c>
      <c r="E647">
        <f t="shared" si="276"/>
        <v>1.6747462522336516</v>
      </c>
      <c r="F647">
        <f t="shared" si="277"/>
        <v>1.4958576323126913</v>
      </c>
      <c r="G647">
        <f t="shared" si="278"/>
        <v>0.95663724107327042</v>
      </c>
      <c r="H647" s="2" t="str">
        <f t="shared" si="279"/>
        <v>Higher</v>
      </c>
      <c r="I647" s="2" t="str">
        <f t="shared" si="280"/>
        <v>Higher</v>
      </c>
      <c r="J647" s="2" t="str">
        <f t="shared" si="281"/>
        <v>Lower</v>
      </c>
      <c r="K647" s="2" t="str">
        <f t="shared" si="282"/>
        <v>Higher</v>
      </c>
      <c r="L647" s="2" t="str">
        <f t="shared" si="283"/>
        <v>Higher</v>
      </c>
      <c r="M647" s="2" t="str">
        <f t="shared" si="284"/>
        <v>Higher</v>
      </c>
      <c r="N647" s="2" t="str">
        <f t="shared" si="285"/>
        <v>Higher</v>
      </c>
      <c r="O647" s="2" t="str">
        <f t="shared" si="286"/>
        <v>Higher</v>
      </c>
      <c r="P647" s="2" t="str">
        <f t="shared" si="287"/>
        <v>Lower</v>
      </c>
      <c r="X647" s="4">
        <f>DATE(2022,2,7)</f>
        <v>44599</v>
      </c>
      <c r="Y647">
        <v>31.088633294776209</v>
      </c>
      <c r="Z647">
        <v>27.762578382124364</v>
      </c>
      <c r="AA647">
        <v>95.974999999999994</v>
      </c>
      <c r="AB647">
        <v>79.194999999999993</v>
      </c>
      <c r="AC647">
        <f t="shared" si="288"/>
        <v>7.3963714220287288E-2</v>
      </c>
      <c r="AD647">
        <f t="shared" si="288"/>
        <v>-6.7397222366362267E-2</v>
      </c>
      <c r="AE647">
        <f t="shared" si="289"/>
        <v>-0.14136093658664955</v>
      </c>
      <c r="AF647">
        <f t="shared" si="290"/>
        <v>-1.2929214653512022</v>
      </c>
      <c r="AH647">
        <f t="shared" si="291"/>
        <v>0.16048309505948555</v>
      </c>
      <c r="AI647">
        <f t="shared" si="291"/>
        <v>-8.2649223884004849E-2</v>
      </c>
      <c r="AJ647">
        <f t="shared" si="292"/>
        <v>-0.24313231894349041</v>
      </c>
      <c r="AK647">
        <f t="shared" si="293"/>
        <v>-1.2894995063183765</v>
      </c>
      <c r="AM647">
        <f t="shared" si="294"/>
        <v>0.38058826735386769</v>
      </c>
      <c r="AN647">
        <f t="shared" si="294"/>
        <v>-1.0969352786589755E-2</v>
      </c>
      <c r="AO647">
        <f t="shared" si="295"/>
        <v>-0.39155762014045747</v>
      </c>
      <c r="AP647">
        <f t="shared" si="296"/>
        <v>-1.5208728218186565</v>
      </c>
      <c r="AR647">
        <f t="shared" si="297"/>
        <v>0.66413731669298459</v>
      </c>
      <c r="AS647">
        <f t="shared" si="298"/>
        <v>1.2015975312615597</v>
      </c>
      <c r="AT647">
        <f t="shared" si="299"/>
        <v>0.53746021456857507</v>
      </c>
      <c r="AU647">
        <f t="shared" si="300"/>
        <v>0.66188258223128948</v>
      </c>
    </row>
    <row r="648" spans="1:47" x14ac:dyDescent="0.25">
      <c r="A648" s="4">
        <f>DATE(2022,2,4)</f>
        <v>44596</v>
      </c>
      <c r="B648">
        <v>1.0583289528551725</v>
      </c>
      <c r="C648">
        <v>72.91406621660235</v>
      </c>
      <c r="D648">
        <v>1.0102458169801218</v>
      </c>
      <c r="E648">
        <f t="shared" si="276"/>
        <v>1.7323108194423069</v>
      </c>
      <c r="F648">
        <f t="shared" si="277"/>
        <v>1.4845211253610049</v>
      </c>
      <c r="G648">
        <f t="shared" si="278"/>
        <v>1.1527752365662081</v>
      </c>
      <c r="H648" s="2" t="str">
        <f t="shared" si="279"/>
        <v>Higher</v>
      </c>
      <c r="I648" s="2" t="str">
        <f t="shared" si="280"/>
        <v>Higher</v>
      </c>
      <c r="J648" s="2" t="str">
        <f t="shared" si="281"/>
        <v>Lower</v>
      </c>
      <c r="K648" s="2" t="str">
        <f t="shared" si="282"/>
        <v>Higher</v>
      </c>
      <c r="L648" s="2" t="str">
        <f t="shared" si="283"/>
        <v>Higher</v>
      </c>
      <c r="M648" s="2" t="str">
        <f t="shared" si="284"/>
        <v>Higher</v>
      </c>
      <c r="N648" s="2" t="str">
        <f t="shared" si="285"/>
        <v>Higher</v>
      </c>
      <c r="O648" s="2" t="str">
        <f t="shared" si="286"/>
        <v>Higher</v>
      </c>
      <c r="P648" s="2" t="str">
        <f t="shared" si="287"/>
        <v>Lower</v>
      </c>
      <c r="X648" s="4">
        <f>DATE(2022,2,4)</f>
        <v>44596</v>
      </c>
      <c r="Y648">
        <v>33.338545080552137</v>
      </c>
      <c r="Z648">
        <v>29.165855749691431</v>
      </c>
      <c r="AA648">
        <v>96.210000000000008</v>
      </c>
      <c r="AB648">
        <v>82.356500000000011</v>
      </c>
      <c r="AC648">
        <f t="shared" si="288"/>
        <v>7.2434351650870032E-2</v>
      </c>
      <c r="AD648">
        <f t="shared" si="288"/>
        <v>-0.11140487821595514</v>
      </c>
      <c r="AE648">
        <f t="shared" si="289"/>
        <v>-0.18383922986682516</v>
      </c>
      <c r="AF648">
        <f t="shared" si="290"/>
        <v>-1.6396253145219253</v>
      </c>
      <c r="AH648">
        <f t="shared" si="291"/>
        <v>0.11317486697446497</v>
      </c>
      <c r="AI648">
        <f t="shared" si="291"/>
        <v>-8.6522022464784396E-2</v>
      </c>
      <c r="AJ648">
        <f t="shared" si="292"/>
        <v>-0.19969688943924935</v>
      </c>
      <c r="AK648">
        <f t="shared" si="293"/>
        <v>-1.1089614691983045</v>
      </c>
      <c r="AM648">
        <f t="shared" si="294"/>
        <v>0.41498171638149473</v>
      </c>
      <c r="AN648">
        <f t="shared" si="294"/>
        <v>8.3025057487156592E-2</v>
      </c>
      <c r="AO648">
        <f t="shared" si="295"/>
        <v>-0.33195665889433812</v>
      </c>
      <c r="AP648">
        <f t="shared" si="296"/>
        <v>-1.3668868783427968</v>
      </c>
      <c r="AR648">
        <f t="shared" si="297"/>
        <v>0.68116232794245368</v>
      </c>
      <c r="AS648">
        <f t="shared" si="298"/>
        <v>1.2688466449664226</v>
      </c>
      <c r="AT648">
        <f t="shared" si="299"/>
        <v>0.58768431702396895</v>
      </c>
      <c r="AU648">
        <f t="shared" si="300"/>
        <v>0.81302739802562685</v>
      </c>
    </row>
    <row r="649" spans="1:47" x14ac:dyDescent="0.25">
      <c r="A649" s="4">
        <f>DATE(2022,2,3)</f>
        <v>44595</v>
      </c>
      <c r="C649">
        <v>70.898986759067284</v>
      </c>
      <c r="D649">
        <v>1.0164796722176745</v>
      </c>
      <c r="E649">
        <f t="shared" si="276"/>
        <v>-0.3493104077427529</v>
      </c>
      <c r="F649">
        <f t="shared" si="277"/>
        <v>1.2912509010513724</v>
      </c>
      <c r="G649">
        <f t="shared" si="278"/>
        <v>1.1723958319791841</v>
      </c>
      <c r="H649" s="2" t="str">
        <f t="shared" si="279"/>
        <v>Higher</v>
      </c>
      <c r="I649" s="2" t="str">
        <f t="shared" si="280"/>
        <v>Higher</v>
      </c>
      <c r="J649" s="2" t="str">
        <f t="shared" si="281"/>
        <v>Lower</v>
      </c>
      <c r="K649" s="2" t="e">
        <f t="shared" si="282"/>
        <v>#DIV/0!</v>
      </c>
      <c r="L649" s="2" t="str">
        <f t="shared" si="283"/>
        <v>Higher</v>
      </c>
      <c r="M649" s="2" t="str">
        <f t="shared" si="284"/>
        <v>Higher</v>
      </c>
      <c r="N649" s="2" t="str">
        <f t="shared" si="285"/>
        <v>Higher</v>
      </c>
      <c r="O649" s="2" t="str">
        <f t="shared" si="286"/>
        <v>Higher</v>
      </c>
      <c r="P649" s="2" t="str">
        <f t="shared" si="287"/>
        <v>Lower</v>
      </c>
      <c r="X649" s="4">
        <f>DATE(2022,2,3)</f>
        <v>44595</v>
      </c>
      <c r="Y649">
        <v>29.763328065040628</v>
      </c>
      <c r="Z649">
        <v>27.443258741549563</v>
      </c>
      <c r="AA649">
        <v>94.414999999999992</v>
      </c>
      <c r="AB649">
        <v>79.419749999999993</v>
      </c>
      <c r="AC649">
        <f t="shared" si="288"/>
        <v>5.5222660314740588E-2</v>
      </c>
      <c r="AD649">
        <f t="shared" si="288"/>
        <v>-0.14653049906906249</v>
      </c>
      <c r="AE649">
        <f t="shared" si="289"/>
        <v>-0.20175315938380306</v>
      </c>
      <c r="AF649">
        <f t="shared" si="290"/>
        <v>-1.7922994081044052</v>
      </c>
      <c r="AH649">
        <f t="shared" si="291"/>
        <v>8.5794091385877902E-2</v>
      </c>
      <c r="AI649">
        <f t="shared" si="291"/>
        <v>-0.18783914557035172</v>
      </c>
      <c r="AJ649">
        <f t="shared" si="292"/>
        <v>-0.27363323695622965</v>
      </c>
      <c r="AK649">
        <f t="shared" si="293"/>
        <v>-1.4274960922756932</v>
      </c>
      <c r="AM649">
        <f t="shared" si="294"/>
        <v>0.39906451614422134</v>
      </c>
      <c r="AN649">
        <f t="shared" si="294"/>
        <v>6.8387322127976741E-2</v>
      </c>
      <c r="AO649">
        <f t="shared" si="295"/>
        <v>-0.33067719401624462</v>
      </c>
      <c r="AP649">
        <f t="shared" si="296"/>
        <v>-1.3694779488680993</v>
      </c>
      <c r="AR649">
        <f t="shared" si="297"/>
        <v>0.67994236970341049</v>
      </c>
      <c r="AS649">
        <f t="shared" si="298"/>
        <v>1.2707210946871847</v>
      </c>
      <c r="AT649">
        <f t="shared" si="299"/>
        <v>0.59077872498377426</v>
      </c>
      <c r="AU649">
        <f t="shared" si="300"/>
        <v>0.8223103063566346</v>
      </c>
    </row>
    <row r="650" spans="1:47" x14ac:dyDescent="0.25">
      <c r="A650" s="4">
        <f>DATE(2022,2,2)</f>
        <v>44594</v>
      </c>
      <c r="C650">
        <v>70.144444172882189</v>
      </c>
      <c r="D650">
        <v>1.0716927777593319</v>
      </c>
      <c r="E650">
        <f t="shared" si="276"/>
        <v>-0.35463311207836729</v>
      </c>
      <c r="F650">
        <f t="shared" si="277"/>
        <v>1.2274782466918721</v>
      </c>
      <c r="G650">
        <f t="shared" si="278"/>
        <v>1.3685710293342626</v>
      </c>
      <c r="H650" s="2" t="str">
        <f t="shared" si="279"/>
        <v>Lower</v>
      </c>
      <c r="I650" s="2" t="str">
        <f t="shared" si="280"/>
        <v>Higher</v>
      </c>
      <c r="J650" s="2" t="str">
        <f t="shared" si="281"/>
        <v>Lower</v>
      </c>
      <c r="K650" s="2" t="e">
        <f t="shared" si="282"/>
        <v>#DIV/0!</v>
      </c>
      <c r="L650" s="2" t="str">
        <f t="shared" si="283"/>
        <v>Higher</v>
      </c>
      <c r="M650" s="2" t="str">
        <f t="shared" si="284"/>
        <v>Higher</v>
      </c>
      <c r="N650" s="2" t="str">
        <f t="shared" si="285"/>
        <v>Higher</v>
      </c>
      <c r="O650" s="2" t="str">
        <f t="shared" si="286"/>
        <v>Higher</v>
      </c>
      <c r="P650" s="2" t="str">
        <f t="shared" si="287"/>
        <v>Lower</v>
      </c>
      <c r="X650" s="4">
        <f>DATE(2022,2,2)</f>
        <v>44594</v>
      </c>
      <c r="Y650">
        <v>30.274403287623823</v>
      </c>
      <c r="Z650">
        <v>27.212071024452094</v>
      </c>
      <c r="AA650">
        <v>93.16</v>
      </c>
      <c r="AB650">
        <v>77.522999999999996</v>
      </c>
      <c r="AC650">
        <f t="shared" si="288"/>
        <v>5.1457145915832697E-2</v>
      </c>
      <c r="AD650">
        <f t="shared" si="288"/>
        <v>-0.16443555450584582</v>
      </c>
      <c r="AE650">
        <f t="shared" si="289"/>
        <v>-0.21589270042167852</v>
      </c>
      <c r="AF650">
        <f t="shared" si="290"/>
        <v>-1.9169268638689718</v>
      </c>
      <c r="AH650">
        <f t="shared" si="291"/>
        <v>6.5598192165946798E-2</v>
      </c>
      <c r="AI650">
        <f t="shared" si="291"/>
        <v>-0.16884425728700847</v>
      </c>
      <c r="AJ650">
        <f t="shared" si="292"/>
        <v>-0.23444244945295528</v>
      </c>
      <c r="AK650">
        <f t="shared" si="293"/>
        <v>-1.2660154441630247</v>
      </c>
      <c r="AM650">
        <f t="shared" si="294"/>
        <v>0.40151467746297287</v>
      </c>
      <c r="AN650">
        <f t="shared" si="294"/>
        <v>0.11965802674903366</v>
      </c>
      <c r="AO650">
        <f t="shared" si="295"/>
        <v>-0.28185665071393923</v>
      </c>
      <c r="AP650">
        <f t="shared" si="296"/>
        <v>-1.2424921900453945</v>
      </c>
      <c r="AR650">
        <f t="shared" si="297"/>
        <v>0.66697904721463419</v>
      </c>
      <c r="AS650">
        <f t="shared" si="298"/>
        <v>1.2746458509758318</v>
      </c>
      <c r="AT650">
        <f t="shared" si="299"/>
        <v>0.60766680376119764</v>
      </c>
      <c r="AU650">
        <f t="shared" si="300"/>
        <v>0.87280425619917079</v>
      </c>
    </row>
    <row r="651" spans="1:47" x14ac:dyDescent="0.25">
      <c r="A651" s="4">
        <f>DATE(2022,2,1)</f>
        <v>44593</v>
      </c>
      <c r="C651">
        <v>63.223102627331201</v>
      </c>
      <c r="D651">
        <v>0.84138831897860378</v>
      </c>
      <c r="E651">
        <f t="shared" si="276"/>
        <v>-0.35858309014117906</v>
      </c>
      <c r="F651">
        <f t="shared" si="277"/>
        <v>0.50321330198933112</v>
      </c>
      <c r="G651">
        <f t="shared" si="278"/>
        <v>0.55142563184930626</v>
      </c>
      <c r="H651" s="2" t="str">
        <f t="shared" si="279"/>
        <v>Lower</v>
      </c>
      <c r="I651" s="2" t="str">
        <f t="shared" si="280"/>
        <v>Higher</v>
      </c>
      <c r="J651" s="2" t="str">
        <f t="shared" si="281"/>
        <v>Lower</v>
      </c>
      <c r="K651" s="2" t="e">
        <f t="shared" si="282"/>
        <v>#DIV/0!</v>
      </c>
      <c r="L651" s="2" t="str">
        <f t="shared" si="283"/>
        <v>Higher</v>
      </c>
      <c r="M651" s="2" t="str">
        <f t="shared" si="284"/>
        <v>Higher</v>
      </c>
      <c r="N651" s="2" t="str">
        <f t="shared" si="285"/>
        <v>Higher</v>
      </c>
      <c r="O651" s="2" t="str">
        <f t="shared" si="286"/>
        <v>Higher</v>
      </c>
      <c r="P651" s="2" t="str">
        <f t="shared" si="287"/>
        <v>Lower</v>
      </c>
      <c r="X651" s="4">
        <f>DATE(2022,2,1)</f>
        <v>44593</v>
      </c>
      <c r="Y651">
        <v>22.95911592868794</v>
      </c>
      <c r="Z651">
        <v>27.283458891810408</v>
      </c>
      <c r="AA651">
        <v>89.034999999999997</v>
      </c>
      <c r="AB651">
        <v>76.378500000000003</v>
      </c>
      <c r="AC651">
        <f t="shared" si="288"/>
        <v>2.7123683405614475E-2</v>
      </c>
      <c r="AD651">
        <f t="shared" si="288"/>
        <v>-0.20508774285259412</v>
      </c>
      <c r="AE651">
        <f t="shared" si="289"/>
        <v>-0.23221142625820859</v>
      </c>
      <c r="AF651">
        <f t="shared" si="290"/>
        <v>-2.0616763030069016</v>
      </c>
      <c r="AH651">
        <f t="shared" si="291"/>
        <v>4.5114387547440696E-2</v>
      </c>
      <c r="AI651">
        <f t="shared" si="291"/>
        <v>-0.16162479014387643</v>
      </c>
      <c r="AJ651">
        <f t="shared" si="292"/>
        <v>-0.20673917769131711</v>
      </c>
      <c r="AK651">
        <f t="shared" si="293"/>
        <v>-1.1520224882607126</v>
      </c>
      <c r="AM651">
        <f t="shared" si="294"/>
        <v>0.38593174363642752</v>
      </c>
      <c r="AN651">
        <f t="shared" si="294"/>
        <v>3.6170061060169602E-2</v>
      </c>
      <c r="AO651">
        <f t="shared" si="295"/>
        <v>-0.34976168257625789</v>
      </c>
      <c r="AP651">
        <f t="shared" si="296"/>
        <v>-1.4327573743678961</v>
      </c>
      <c r="AR651">
        <f t="shared" si="297"/>
        <v>0.63442381629508227</v>
      </c>
      <c r="AS651">
        <f t="shared" si="298"/>
        <v>1.2904647744985884</v>
      </c>
      <c r="AT651">
        <f t="shared" si="299"/>
        <v>0.65604095820350616</v>
      </c>
      <c r="AU651">
        <f t="shared" si="300"/>
        <v>1.0170192740247646</v>
      </c>
    </row>
    <row r="652" spans="1:47" x14ac:dyDescent="0.25">
      <c r="A652" s="4">
        <f>DATE(2022,1,31)</f>
        <v>44592</v>
      </c>
      <c r="C652">
        <v>62.744306000959284</v>
      </c>
      <c r="D652">
        <v>0.85559832381761236</v>
      </c>
      <c r="E652">
        <f t="shared" si="276"/>
        <v>-0.36082779428038592</v>
      </c>
      <c r="F652">
        <f t="shared" si="277"/>
        <v>0.45939180877938873</v>
      </c>
      <c r="G652">
        <f t="shared" si="278"/>
        <v>0.60273478895426402</v>
      </c>
      <c r="H652" s="2" t="str">
        <f t="shared" si="279"/>
        <v>Lower</v>
      </c>
      <c r="I652" s="2" t="str">
        <f t="shared" si="280"/>
        <v>Higher</v>
      </c>
      <c r="J652" s="2" t="str">
        <f t="shared" si="281"/>
        <v>Lower</v>
      </c>
      <c r="K652" s="2" t="e">
        <f t="shared" si="282"/>
        <v>#DIV/0!</v>
      </c>
      <c r="L652" s="2" t="str">
        <f t="shared" si="283"/>
        <v>Higher</v>
      </c>
      <c r="M652" s="2" t="str">
        <f t="shared" si="284"/>
        <v>Higher</v>
      </c>
      <c r="N652" s="2" t="str">
        <f t="shared" si="285"/>
        <v>Higher</v>
      </c>
      <c r="O652" s="2" t="str">
        <f t="shared" si="286"/>
        <v>Higher</v>
      </c>
      <c r="P652" s="2" t="str">
        <f t="shared" si="287"/>
        <v>Lower</v>
      </c>
      <c r="X652" s="4">
        <f>DATE(2022,1,31)</f>
        <v>44592</v>
      </c>
      <c r="Y652">
        <v>24.430215908625136</v>
      </c>
      <c r="Z652">
        <v>29.777524329064953</v>
      </c>
      <c r="AA652">
        <v>89.132499999999993</v>
      </c>
      <c r="AB652">
        <v>84.716499999999996</v>
      </c>
      <c r="AC652">
        <f t="shared" si="288"/>
        <v>5.4823248283199538E-2</v>
      </c>
      <c r="AD652">
        <f t="shared" si="288"/>
        <v>-8.3035099282456615E-2</v>
      </c>
      <c r="AE652">
        <f t="shared" si="289"/>
        <v>-0.13785834756565615</v>
      </c>
      <c r="AF652">
        <f t="shared" si="290"/>
        <v>-1.3056702152985091</v>
      </c>
      <c r="AH652">
        <f t="shared" si="291"/>
        <v>7.0620987723533826E-2</v>
      </c>
      <c r="AI652">
        <f t="shared" si="291"/>
        <v>5.1873415514588815E-2</v>
      </c>
      <c r="AJ652">
        <f t="shared" si="292"/>
        <v>-1.8747572208945011E-2</v>
      </c>
      <c r="AK652">
        <f t="shared" si="293"/>
        <v>-0.35144962743495511</v>
      </c>
      <c r="AM652">
        <f t="shared" si="294"/>
        <v>0.38673713646024455</v>
      </c>
      <c r="AN652">
        <f t="shared" si="294"/>
        <v>7.0106235992374241E-2</v>
      </c>
      <c r="AO652">
        <f t="shared" si="295"/>
        <v>-0.31663090046787029</v>
      </c>
      <c r="AP652">
        <f t="shared" si="296"/>
        <v>-1.3490054866409422</v>
      </c>
      <c r="AR652">
        <f t="shared" si="297"/>
        <v>0.63461846407359979</v>
      </c>
      <c r="AS652">
        <f t="shared" si="298"/>
        <v>1.4381553441583652</v>
      </c>
      <c r="AT652">
        <f t="shared" si="299"/>
        <v>0.80353688008476543</v>
      </c>
      <c r="AU652">
        <f t="shared" si="300"/>
        <v>1.4555617177021878</v>
      </c>
    </row>
    <row r="653" spans="1:47" x14ac:dyDescent="0.25">
      <c r="A653" s="4">
        <f>DATE(2022,1,28)</f>
        <v>44589</v>
      </c>
      <c r="C653">
        <v>62.71212983842252</v>
      </c>
      <c r="D653">
        <v>0.89572843487624221</v>
      </c>
      <c r="E653">
        <f t="shared" si="276"/>
        <v>-0.36257356705111715</v>
      </c>
      <c r="F653">
        <f t="shared" si="277"/>
        <v>0.46215463903161841</v>
      </c>
      <c r="G653">
        <f t="shared" si="278"/>
        <v>0.74460538614709104</v>
      </c>
      <c r="H653" s="2" t="str">
        <f t="shared" si="279"/>
        <v>Lower</v>
      </c>
      <c r="I653" s="2" t="str">
        <f t="shared" si="280"/>
        <v>Higher</v>
      </c>
      <c r="J653" s="2" t="str">
        <f t="shared" si="281"/>
        <v>Lower</v>
      </c>
      <c r="K653" s="2" t="e">
        <f t="shared" si="282"/>
        <v>#DIV/0!</v>
      </c>
      <c r="L653" s="2" t="str">
        <f t="shared" si="283"/>
        <v>Higher</v>
      </c>
      <c r="M653" s="2" t="str">
        <f t="shared" si="284"/>
        <v>Higher</v>
      </c>
      <c r="N653" s="2" t="str">
        <f t="shared" si="285"/>
        <v>Higher</v>
      </c>
      <c r="O653" s="2" t="str">
        <f t="shared" si="286"/>
        <v>Higher</v>
      </c>
      <c r="P653" s="2" t="str">
        <f t="shared" si="287"/>
        <v>Lower</v>
      </c>
      <c r="X653" s="4">
        <f>DATE(2022,1,28)</f>
        <v>44589</v>
      </c>
      <c r="Y653">
        <v>25.437376600926413</v>
      </c>
      <c r="Z653">
        <v>31.798047899718775</v>
      </c>
      <c r="AA653">
        <v>89.487499999999997</v>
      </c>
      <c r="AB653">
        <v>92.061999999999998</v>
      </c>
      <c r="AC653">
        <f t="shared" si="288"/>
        <v>5.7732105727258266E-2</v>
      </c>
      <c r="AD653">
        <f t="shared" si="288"/>
        <v>0.15764537017240449</v>
      </c>
      <c r="AE653">
        <f t="shared" si="289"/>
        <v>9.9913264445146227E-2</v>
      </c>
      <c r="AF653">
        <f t="shared" si="290"/>
        <v>0.63381407907040332</v>
      </c>
      <c r="AH653">
        <f t="shared" si="291"/>
        <v>0.10553125550504074</v>
      </c>
      <c r="AI653">
        <f t="shared" si="291"/>
        <v>0.23869985464741922</v>
      </c>
      <c r="AJ653">
        <f t="shared" si="292"/>
        <v>0.1331685991423785</v>
      </c>
      <c r="AK653">
        <f t="shared" si="293"/>
        <v>0.29713970429115516</v>
      </c>
      <c r="AM653">
        <f t="shared" si="294"/>
        <v>0.40267531692786629</v>
      </c>
      <c r="AN653">
        <f t="shared" si="294"/>
        <v>0.21933003732889353</v>
      </c>
      <c r="AO653">
        <f t="shared" si="295"/>
        <v>-0.18334527959897276</v>
      </c>
      <c r="AP653">
        <f t="shared" si="296"/>
        <v>-0.98954800637566809</v>
      </c>
      <c r="AR653">
        <f t="shared" si="297"/>
        <v>0.6477350941004314</v>
      </c>
      <c r="AS653">
        <f t="shared" si="298"/>
        <v>1.5192579747224009</v>
      </c>
      <c r="AT653">
        <f t="shared" si="299"/>
        <v>0.87152288062196948</v>
      </c>
      <c r="AU653">
        <f t="shared" si="300"/>
        <v>1.6575794629681377</v>
      </c>
    </row>
    <row r="654" spans="1:47" x14ac:dyDescent="0.25">
      <c r="A654" s="4">
        <f>DATE(2022,1,27)</f>
        <v>44588</v>
      </c>
      <c r="C654">
        <v>64.101092946265354</v>
      </c>
      <c r="D654">
        <v>0.99259063555733107</v>
      </c>
      <c r="E654">
        <f t="shared" si="276"/>
        <v>-0.36273780825277802</v>
      </c>
      <c r="F654">
        <f t="shared" si="277"/>
        <v>0.61948971401265407</v>
      </c>
      <c r="G654">
        <f t="shared" si="278"/>
        <v>1.1006263189042647</v>
      </c>
      <c r="H654" s="2" t="str">
        <f t="shared" si="279"/>
        <v>Lower</v>
      </c>
      <c r="I654" s="2" t="str">
        <f t="shared" si="280"/>
        <v>Higher</v>
      </c>
      <c r="J654" s="2" t="str">
        <f t="shared" si="281"/>
        <v>Lower</v>
      </c>
      <c r="K654" s="2" t="e">
        <f t="shared" si="282"/>
        <v>#DIV/0!</v>
      </c>
      <c r="L654" s="2" t="str">
        <f t="shared" si="283"/>
        <v>Higher</v>
      </c>
      <c r="M654" s="2" t="str">
        <f t="shared" si="284"/>
        <v>Higher</v>
      </c>
      <c r="N654" s="2" t="str">
        <f t="shared" si="285"/>
        <v>Higher</v>
      </c>
      <c r="O654" s="2" t="str">
        <f t="shared" si="286"/>
        <v>Higher</v>
      </c>
      <c r="P654" s="2" t="str">
        <f t="shared" si="287"/>
        <v>Lower</v>
      </c>
      <c r="X654" s="4">
        <f>DATE(2022,1,27)</f>
        <v>44588</v>
      </c>
      <c r="Y654">
        <v>24.933150758319613</v>
      </c>
      <c r="Z654">
        <v>31.862976944462417</v>
      </c>
      <c r="AA654">
        <v>89.342500000000001</v>
      </c>
      <c r="AB654">
        <v>91.953000000000003</v>
      </c>
      <c r="AC654">
        <f t="shared" si="288"/>
        <v>5.667295816444775E-2</v>
      </c>
      <c r="AD654">
        <f t="shared" si="288"/>
        <v>0.21385326736685958</v>
      </c>
      <c r="AE654">
        <f t="shared" si="289"/>
        <v>0.15718030920241183</v>
      </c>
      <c r="AF654">
        <f t="shared" si="290"/>
        <v>1.1027372733270233</v>
      </c>
      <c r="AH654">
        <f t="shared" si="291"/>
        <v>0.10976340006478261</v>
      </c>
      <c r="AI654">
        <f t="shared" si="291"/>
        <v>3.424080048755563E-2</v>
      </c>
      <c r="AJ654">
        <f t="shared" si="292"/>
        <v>-7.5522599577226984E-2</v>
      </c>
      <c r="AK654">
        <f t="shared" si="293"/>
        <v>-0.59293615733213278</v>
      </c>
      <c r="AM654">
        <f t="shared" si="294"/>
        <v>0.39775780659162652</v>
      </c>
      <c r="AN654">
        <f t="shared" si="294"/>
        <v>0.21353008291999112</v>
      </c>
      <c r="AO654">
        <f t="shared" si="295"/>
        <v>-0.1842277236716354</v>
      </c>
      <c r="AP654">
        <f t="shared" si="296"/>
        <v>-0.99488283802351796</v>
      </c>
      <c r="AR654">
        <f t="shared" si="297"/>
        <v>0.64397999397053263</v>
      </c>
      <c r="AS654">
        <f t="shared" si="298"/>
        <v>1.4581203270767256</v>
      </c>
      <c r="AT654">
        <f t="shared" si="299"/>
        <v>0.81414033310619294</v>
      </c>
      <c r="AU654">
        <f t="shared" si="300"/>
        <v>1.4887905597268665</v>
      </c>
    </row>
    <row r="655" spans="1:47" x14ac:dyDescent="0.25">
      <c r="A655" s="4">
        <f>DATE(2022,1,26)</f>
        <v>44587</v>
      </c>
      <c r="C655">
        <v>62.531409781594718</v>
      </c>
      <c r="D655">
        <v>0.97442836614205364</v>
      </c>
      <c r="E655">
        <f t="shared" si="276"/>
        <v>-0.36259340241586085</v>
      </c>
      <c r="F655">
        <f t="shared" si="277"/>
        <v>0.46002890510933514</v>
      </c>
      <c r="G655">
        <f t="shared" si="278"/>
        <v>1.0507665519970286</v>
      </c>
      <c r="H655" s="2" t="str">
        <f t="shared" si="279"/>
        <v>Lower</v>
      </c>
      <c r="I655" s="2" t="str">
        <f t="shared" si="280"/>
        <v>Higher</v>
      </c>
      <c r="J655" s="2" t="str">
        <f t="shared" si="281"/>
        <v>Lower</v>
      </c>
      <c r="K655" s="2" t="e">
        <f t="shared" si="282"/>
        <v>#DIV/0!</v>
      </c>
      <c r="L655" s="2" t="str">
        <f t="shared" si="283"/>
        <v>Higher</v>
      </c>
      <c r="M655" s="2" t="str">
        <f t="shared" si="284"/>
        <v>Higher</v>
      </c>
      <c r="N655" s="2" t="str">
        <f t="shared" si="285"/>
        <v>Lower</v>
      </c>
      <c r="O655" s="2" t="str">
        <f t="shared" si="286"/>
        <v>Higher</v>
      </c>
      <c r="P655" s="2" t="str">
        <f t="shared" si="287"/>
        <v>Lower</v>
      </c>
      <c r="X655" s="4">
        <f>DATE(2022,1,26)</f>
        <v>44587</v>
      </c>
      <c r="Y655">
        <v>25.995586001341444</v>
      </c>
      <c r="Z655">
        <v>32.162867171270769</v>
      </c>
      <c r="AA655">
        <v>88.487499999999997</v>
      </c>
      <c r="AB655">
        <v>91.378500000000003</v>
      </c>
      <c r="AC655">
        <f t="shared" si="288"/>
        <v>7.681300858451709E-2</v>
      </c>
      <c r="AD655">
        <f t="shared" si="288"/>
        <v>0.20044637901088158</v>
      </c>
      <c r="AE655">
        <f t="shared" si="289"/>
        <v>0.12363337042636449</v>
      </c>
      <c r="AF655">
        <f t="shared" si="290"/>
        <v>0.83170112807714913</v>
      </c>
      <c r="AH655">
        <f t="shared" si="291"/>
        <v>0.10177260415440224</v>
      </c>
      <c r="AI655">
        <f t="shared" si="291"/>
        <v>-7.5117390612877769E-2</v>
      </c>
      <c r="AJ655">
        <f t="shared" si="292"/>
        <v>-0.17688999476728001</v>
      </c>
      <c r="AK655">
        <f t="shared" si="293"/>
        <v>-1.0260652194198332</v>
      </c>
      <c r="AM655">
        <f t="shared" si="294"/>
        <v>0.39231561013535621</v>
      </c>
      <c r="AN655">
        <f t="shared" si="294"/>
        <v>0.17560081112995651</v>
      </c>
      <c r="AO655">
        <f t="shared" si="295"/>
        <v>-0.21671479900539969</v>
      </c>
      <c r="AP655">
        <f t="shared" si="296"/>
        <v>-1.0869903102725134</v>
      </c>
      <c r="AR655">
        <f t="shared" si="297"/>
        <v>0.65912320853973327</v>
      </c>
      <c r="AS655">
        <f t="shared" si="298"/>
        <v>1.4666854973567838</v>
      </c>
      <c r="AT655">
        <f t="shared" si="299"/>
        <v>0.8075622888170505</v>
      </c>
      <c r="AU655">
        <f t="shared" si="300"/>
        <v>1.4697158390826008</v>
      </c>
    </row>
    <row r="656" spans="1:47" x14ac:dyDescent="0.25">
      <c r="A656" s="4">
        <f>DATE(2022,1,25)</f>
        <v>44586</v>
      </c>
      <c r="C656">
        <v>60.7797184394949</v>
      </c>
      <c r="D656">
        <v>0.93336004861662791</v>
      </c>
      <c r="E656">
        <f t="shared" si="276"/>
        <v>-0.36022700437537503</v>
      </c>
      <c r="F656">
        <f t="shared" si="277"/>
        <v>0.27988641470838482</v>
      </c>
      <c r="G656">
        <f t="shared" si="278"/>
        <v>0.91828054105973245</v>
      </c>
      <c r="H656" s="2" t="str">
        <f t="shared" si="279"/>
        <v>Lower</v>
      </c>
      <c r="I656" s="2" t="str">
        <f t="shared" si="280"/>
        <v>Higher</v>
      </c>
      <c r="J656" s="2" t="str">
        <f t="shared" si="281"/>
        <v>Lower</v>
      </c>
      <c r="K656" s="2" t="e">
        <f t="shared" si="282"/>
        <v>#DIV/0!</v>
      </c>
      <c r="L656" s="2" t="str">
        <f t="shared" si="283"/>
        <v>Higher</v>
      </c>
      <c r="M656" s="2" t="str">
        <f t="shared" si="284"/>
        <v>Higher</v>
      </c>
      <c r="N656" s="2" t="str">
        <f t="shared" si="285"/>
        <v>Lower</v>
      </c>
      <c r="O656" s="2" t="str">
        <f t="shared" si="286"/>
        <v>Higher</v>
      </c>
      <c r="P656" s="2" t="str">
        <f t="shared" si="287"/>
        <v>Lower</v>
      </c>
      <c r="X656" s="4">
        <f>DATE(2022,1,25)</f>
        <v>44586</v>
      </c>
      <c r="Y656">
        <v>23.881722207210686</v>
      </c>
      <c r="Z656">
        <v>33.208628447008927</v>
      </c>
      <c r="AA656">
        <v>86.652500000000003</v>
      </c>
      <c r="AB656">
        <v>93.764749999999992</v>
      </c>
      <c r="AC656">
        <f t="shared" si="288"/>
        <v>5.7292494517681251E-2</v>
      </c>
      <c r="AD656">
        <f t="shared" si="288"/>
        <v>0.17084125829959007</v>
      </c>
      <c r="AE656">
        <f t="shared" si="289"/>
        <v>0.11354876378190881</v>
      </c>
      <c r="AF656">
        <f t="shared" si="290"/>
        <v>0.75107658584788672</v>
      </c>
      <c r="AH656">
        <f t="shared" si="291"/>
        <v>9.7279747453948906E-2</v>
      </c>
      <c r="AI656">
        <f t="shared" si="291"/>
        <v>-0.12820071289278284</v>
      </c>
      <c r="AJ656">
        <f t="shared" si="292"/>
        <v>-0.22548046034673175</v>
      </c>
      <c r="AK656">
        <f t="shared" si="293"/>
        <v>-1.236057191381073</v>
      </c>
      <c r="AM656">
        <f t="shared" si="294"/>
        <v>0.38640439302704249</v>
      </c>
      <c r="AN656">
        <f t="shared" si="294"/>
        <v>0.33342456572335005</v>
      </c>
      <c r="AO656">
        <f t="shared" si="295"/>
        <v>-5.2979827303692439E-2</v>
      </c>
      <c r="AP656">
        <f t="shared" si="296"/>
        <v>-0.64097221308976127</v>
      </c>
      <c r="AR656">
        <f t="shared" si="297"/>
        <v>0.66159685164951865</v>
      </c>
      <c r="AS656">
        <f t="shared" si="298"/>
        <v>1.4946012687657781</v>
      </c>
      <c r="AT656">
        <f t="shared" si="299"/>
        <v>0.8330044171162595</v>
      </c>
      <c r="AU656">
        <f t="shared" si="300"/>
        <v>1.5450189744782841</v>
      </c>
    </row>
    <row r="657" spans="1:47" x14ac:dyDescent="0.25">
      <c r="A657" s="4">
        <f>DATE(2022,1,24)</f>
        <v>44585</v>
      </c>
      <c r="C657">
        <v>55.276022774036569</v>
      </c>
      <c r="D657">
        <v>0.64146317229111283</v>
      </c>
      <c r="E657">
        <f t="shared" si="276"/>
        <v>-0.35469778737095264</v>
      </c>
      <c r="F657">
        <f t="shared" si="277"/>
        <v>-0.29955473894455881</v>
      </c>
      <c r="G657">
        <f t="shared" si="278"/>
        <v>-0.11827593527688718</v>
      </c>
      <c r="H657" s="2" t="str">
        <f t="shared" si="279"/>
        <v>Lower</v>
      </c>
      <c r="I657" s="2" t="str">
        <f t="shared" si="280"/>
        <v>Higher</v>
      </c>
      <c r="J657" s="2" t="str">
        <f t="shared" si="281"/>
        <v>Lower</v>
      </c>
      <c r="K657" s="2" t="e">
        <f t="shared" si="282"/>
        <v>#DIV/0!</v>
      </c>
      <c r="L657" s="2" t="str">
        <f t="shared" si="283"/>
        <v>Higher</v>
      </c>
      <c r="M657" s="2" t="str">
        <f t="shared" si="284"/>
        <v>Higher</v>
      </c>
      <c r="N657" s="2" t="str">
        <f t="shared" si="285"/>
        <v>Lower</v>
      </c>
      <c r="O657" s="2" t="str">
        <f t="shared" si="286"/>
        <v>Higher</v>
      </c>
      <c r="P657" s="2" t="str">
        <f t="shared" si="287"/>
        <v>Lower</v>
      </c>
      <c r="X657" s="4">
        <f>DATE(2022,1,24)</f>
        <v>44585</v>
      </c>
      <c r="Y657">
        <v>22.66998507054026</v>
      </c>
      <c r="Z657">
        <v>32.565172384265033</v>
      </c>
      <c r="AA657">
        <v>84.377499999999998</v>
      </c>
      <c r="AB657">
        <v>92.051249999999996</v>
      </c>
      <c r="AC657">
        <f t="shared" si="288"/>
        <v>4.149998199790083E-2</v>
      </c>
      <c r="AD657" t="str">
        <f t="shared" si="288"/>
        <v/>
      </c>
      <c r="AE657" t="str">
        <f t="shared" si="289"/>
        <v/>
      </c>
      <c r="AF657" t="str">
        <f t="shared" si="290"/>
        <v/>
      </c>
      <c r="AH657">
        <f t="shared" si="291"/>
        <v>9.7977358346293522E-2</v>
      </c>
      <c r="AI657">
        <f t="shared" si="291"/>
        <v>-0.1332302242621724</v>
      </c>
      <c r="AJ657">
        <f t="shared" si="292"/>
        <v>-0.23120758260846591</v>
      </c>
      <c r="AK657">
        <f t="shared" si="293"/>
        <v>-1.2647751677283006</v>
      </c>
      <c r="AM657">
        <f t="shared" si="294"/>
        <v>0.37926401281632388</v>
      </c>
      <c r="AN657">
        <f t="shared" si="294"/>
        <v>0.34573760772388534</v>
      </c>
      <c r="AO657">
        <f t="shared" si="295"/>
        <v>-3.3526405092438538E-2</v>
      </c>
      <c r="AP657">
        <f t="shared" si="296"/>
        <v>-0.58880631317745269</v>
      </c>
      <c r="AR657">
        <f t="shared" si="297"/>
        <v>0.64262453058779478</v>
      </c>
      <c r="AS657">
        <f t="shared" si="298"/>
        <v>1.4796103600138752</v>
      </c>
      <c r="AT657">
        <f t="shared" si="299"/>
        <v>0.83698582942608046</v>
      </c>
      <c r="AU657">
        <f t="shared" si="300"/>
        <v>1.5573161014479768</v>
      </c>
    </row>
    <row r="658" spans="1:47" x14ac:dyDescent="0.25">
      <c r="A658" s="4">
        <f>DATE(2022,1,21)</f>
        <v>44582</v>
      </c>
      <c r="C658">
        <v>56.237392127830013</v>
      </c>
      <c r="D658">
        <v>0.70114081823760477</v>
      </c>
      <c r="E658">
        <f t="shared" si="276"/>
        <v>-0.34661550222289927</v>
      </c>
      <c r="F658">
        <f t="shared" si="277"/>
        <v>-0.19327717326460234</v>
      </c>
      <c r="G658">
        <f t="shared" si="278"/>
        <v>0.10158522667962008</v>
      </c>
      <c r="H658" s="2" t="str">
        <f t="shared" si="279"/>
        <v>Lower</v>
      </c>
      <c r="I658" s="2" t="str">
        <f t="shared" si="280"/>
        <v>Higher</v>
      </c>
      <c r="J658" s="2" t="str">
        <f t="shared" si="281"/>
        <v>Lower</v>
      </c>
      <c r="K658" s="2" t="e">
        <f t="shared" si="282"/>
        <v>#DIV/0!</v>
      </c>
      <c r="L658" s="2" t="str">
        <f t="shared" si="283"/>
        <v>Higher</v>
      </c>
      <c r="M658" s="2" t="str">
        <f t="shared" si="284"/>
        <v>Higher</v>
      </c>
      <c r="N658" s="2" t="str">
        <f t="shared" si="285"/>
        <v>Lower</v>
      </c>
      <c r="O658" s="2" t="str">
        <f t="shared" si="286"/>
        <v>Higher</v>
      </c>
      <c r="P658" s="2" t="str">
        <f t="shared" si="287"/>
        <v>Lower</v>
      </c>
      <c r="X658" s="4">
        <f>DATE(2022,1,21)</f>
        <v>44582</v>
      </c>
      <c r="Y658">
        <v>22.623190403339464</v>
      </c>
      <c r="Z658">
        <v>27.218089439811411</v>
      </c>
      <c r="AA658">
        <v>84.467500000000001</v>
      </c>
      <c r="AB658">
        <v>78.634999999999991</v>
      </c>
      <c r="AC658">
        <f t="shared" si="288"/>
        <v>2.5358030605117845E-2</v>
      </c>
      <c r="AD658">
        <f t="shared" si="288"/>
        <v>-0.11092774560494485</v>
      </c>
      <c r="AE658">
        <f t="shared" si="289"/>
        <v>-0.13628577621006269</v>
      </c>
      <c r="AF658">
        <f t="shared" si="290"/>
        <v>-1.2872753285157352</v>
      </c>
      <c r="AH658">
        <f t="shared" si="291"/>
        <v>0.10563350470871403</v>
      </c>
      <c r="AI658" t="str">
        <f t="shared" si="291"/>
        <v/>
      </c>
      <c r="AJ658" t="str">
        <f t="shared" si="292"/>
        <v/>
      </c>
      <c r="AK658" t="str">
        <f t="shared" si="293"/>
        <v/>
      </c>
      <c r="AM658">
        <f t="shared" si="294"/>
        <v>0.36273532437048595</v>
      </c>
      <c r="AN658">
        <f t="shared" si="294"/>
        <v>0.1630689032288799</v>
      </c>
      <c r="AO658">
        <f t="shared" si="295"/>
        <v>-0.19966642114160604</v>
      </c>
      <c r="AP658">
        <f t="shared" si="296"/>
        <v>-1.0454543579926061</v>
      </c>
      <c r="AR658">
        <f t="shared" si="297"/>
        <v>0.64065296196728205</v>
      </c>
      <c r="AS658">
        <f t="shared" si="298"/>
        <v>1.3397685650546447</v>
      </c>
      <c r="AT658">
        <f t="shared" si="299"/>
        <v>0.69911560308736265</v>
      </c>
      <c r="AU658">
        <f t="shared" si="300"/>
        <v>1.1532298321772707</v>
      </c>
    </row>
    <row r="659" spans="1:47" x14ac:dyDescent="0.25">
      <c r="A659" s="4">
        <f>DATE(2022,1,20)</f>
        <v>44581</v>
      </c>
      <c r="C659">
        <v>58.592602368059573</v>
      </c>
      <c r="D659">
        <v>0.81347202922227146</v>
      </c>
      <c r="E659">
        <f t="shared" si="276"/>
        <v>-0.33409304298130904</v>
      </c>
      <c r="F659">
        <f t="shared" si="277"/>
        <v>6.8822151932158737E-2</v>
      </c>
      <c r="G659">
        <f t="shared" si="278"/>
        <v>0.51324515563188289</v>
      </c>
      <c r="H659" s="2" t="str">
        <f t="shared" si="279"/>
        <v>Lower</v>
      </c>
      <c r="I659" s="2" t="str">
        <f t="shared" si="280"/>
        <v>Higher</v>
      </c>
      <c r="J659" s="2" t="str">
        <f t="shared" si="281"/>
        <v>Lower</v>
      </c>
      <c r="K659" s="2" t="e">
        <f t="shared" si="282"/>
        <v>#DIV/0!</v>
      </c>
      <c r="L659" s="2" t="str">
        <f t="shared" si="283"/>
        <v>Higher</v>
      </c>
      <c r="M659" s="2" t="str">
        <f t="shared" si="284"/>
        <v>Higher</v>
      </c>
      <c r="N659" s="2" t="str">
        <f t="shared" si="285"/>
        <v>Lower</v>
      </c>
      <c r="O659" s="2" t="str">
        <f t="shared" si="286"/>
        <v>Higher</v>
      </c>
      <c r="P659" s="2" t="str">
        <f t="shared" si="287"/>
        <v>Lower</v>
      </c>
      <c r="X659" s="4">
        <f>DATE(2022,1,20)</f>
        <v>44581</v>
      </c>
      <c r="Y659">
        <v>23.712340851049216</v>
      </c>
      <c r="Z659">
        <v>24.014496474994285</v>
      </c>
      <c r="AA659">
        <v>84.42</v>
      </c>
      <c r="AB659">
        <v>74.248999999999995</v>
      </c>
      <c r="AC659">
        <f t="shared" si="288"/>
        <v>5.3465254498425881E-2</v>
      </c>
      <c r="AD659">
        <f t="shared" si="288"/>
        <v>-0.10203508249647421</v>
      </c>
      <c r="AE659">
        <f t="shared" si="289"/>
        <v>-0.1555003369949001</v>
      </c>
      <c r="AF659">
        <f t="shared" si="290"/>
        <v>-1.4488448834383654</v>
      </c>
      <c r="AH659">
        <f t="shared" si="291"/>
        <v>0.11525425278222257</v>
      </c>
      <c r="AI659">
        <f t="shared" si="291"/>
        <v>-0.62131016272987383</v>
      </c>
      <c r="AJ659">
        <f t="shared" si="292"/>
        <v>-0.73656441551209639</v>
      </c>
      <c r="AK659">
        <f t="shared" si="293"/>
        <v>-3.4288731515492983</v>
      </c>
      <c r="AM659">
        <f t="shared" si="294"/>
        <v>0.36374799194079288</v>
      </c>
      <c r="AN659">
        <f t="shared" si="294"/>
        <v>-4.8309683140311276E-2</v>
      </c>
      <c r="AO659">
        <f t="shared" si="295"/>
        <v>-0.41205767508110414</v>
      </c>
      <c r="AP659">
        <f t="shared" si="296"/>
        <v>-1.6316135455869201</v>
      </c>
      <c r="AR659">
        <f t="shared" si="297"/>
        <v>0.64792832766908914</v>
      </c>
      <c r="AS659">
        <f t="shared" si="298"/>
        <v>1.3022987910080606</v>
      </c>
      <c r="AT659">
        <f t="shared" si="299"/>
        <v>0.65437046333897142</v>
      </c>
      <c r="AU659">
        <f t="shared" si="300"/>
        <v>1.0219626398568009</v>
      </c>
    </row>
    <row r="660" spans="1:47" x14ac:dyDescent="0.25">
      <c r="A660" s="4">
        <f>DATE(2022,1,19)</f>
        <v>44580</v>
      </c>
      <c r="C660">
        <v>52.864447453215185</v>
      </c>
      <c r="D660">
        <v>0.5600455260081767</v>
      </c>
      <c r="E660">
        <f t="shared" si="276"/>
        <v>-0.32176685667192778</v>
      </c>
      <c r="F660">
        <f t="shared" si="277"/>
        <v>-0.51450556918796508</v>
      </c>
      <c r="G660">
        <f t="shared" si="278"/>
        <v>-0.36234075942896532</v>
      </c>
      <c r="H660" s="2" t="str">
        <f t="shared" si="279"/>
        <v>Lower</v>
      </c>
      <c r="I660" s="2" t="str">
        <f t="shared" si="280"/>
        <v>Higher</v>
      </c>
      <c r="J660" s="2" t="str">
        <f t="shared" si="281"/>
        <v>Lower</v>
      </c>
      <c r="K660" s="2" t="e">
        <f t="shared" si="282"/>
        <v>#DIV/0!</v>
      </c>
      <c r="L660" s="2" t="str">
        <f t="shared" si="283"/>
        <v>Higher</v>
      </c>
      <c r="M660" s="2" t="str">
        <f t="shared" si="284"/>
        <v>Higher</v>
      </c>
      <c r="N660" s="2" t="str">
        <f t="shared" si="285"/>
        <v>Lower</v>
      </c>
      <c r="O660" s="2" t="str">
        <f t="shared" si="286"/>
        <v>Higher</v>
      </c>
      <c r="P660" s="2" t="str">
        <f t="shared" si="287"/>
        <v>Lower</v>
      </c>
      <c r="X660" s="4">
        <f>DATE(2022,1,19)</f>
        <v>44580</v>
      </c>
      <c r="Y660">
        <v>19.760638627562475</v>
      </c>
      <c r="Z660">
        <v>24.80302541498277</v>
      </c>
      <c r="AA660">
        <v>81.944999999999993</v>
      </c>
      <c r="AB660">
        <v>74.781000000000006</v>
      </c>
      <c r="AC660">
        <f t="shared" si="288"/>
        <v>1.6518624114509606E-2</v>
      </c>
      <c r="AD660">
        <f t="shared" si="288"/>
        <v>-2.258309762485796E-2</v>
      </c>
      <c r="AE660">
        <f t="shared" si="289"/>
        <v>-3.9101721739367566E-2</v>
      </c>
      <c r="AF660">
        <f t="shared" si="290"/>
        <v>-0.50232880140119074</v>
      </c>
      <c r="AH660">
        <f t="shared" si="291"/>
        <v>5.8095636175660582E-2</v>
      </c>
      <c r="AI660">
        <f t="shared" si="291"/>
        <v>-0.84323348236877371</v>
      </c>
      <c r="AJ660">
        <f t="shared" si="292"/>
        <v>-0.90132911854443432</v>
      </c>
      <c r="AK660">
        <f t="shared" si="293"/>
        <v>-4.2096222289191729</v>
      </c>
      <c r="AM660">
        <f t="shared" si="294"/>
        <v>0.31671627011723419</v>
      </c>
      <c r="AN660">
        <f t="shared" si="294"/>
        <v>-0.14727855150049401</v>
      </c>
      <c r="AO660">
        <f t="shared" si="295"/>
        <v>-0.4639948216177282</v>
      </c>
      <c r="AP660">
        <f t="shared" si="296"/>
        <v>-1.784560554531601</v>
      </c>
      <c r="AR660">
        <f t="shared" si="297"/>
        <v>0.62601500955059664</v>
      </c>
      <c r="AS660">
        <f t="shared" si="298"/>
        <v>1.3347704197665815</v>
      </c>
      <c r="AT660">
        <f t="shared" si="299"/>
        <v>0.70875541021598487</v>
      </c>
      <c r="AU660">
        <f t="shared" si="300"/>
        <v>1.1804289079655659</v>
      </c>
    </row>
    <row r="661" spans="1:47" x14ac:dyDescent="0.25">
      <c r="A661" s="4">
        <f>DATE(2022,1,18)</f>
        <v>44579</v>
      </c>
      <c r="C661">
        <v>54.014229416123285</v>
      </c>
      <c r="D661">
        <v>0.61987544221267832</v>
      </c>
      <c r="E661">
        <f t="shared" si="276"/>
        <v>-0.31076054664981773</v>
      </c>
      <c r="F661">
        <f t="shared" si="277"/>
        <v>-0.38717110904311369</v>
      </c>
      <c r="G661">
        <f t="shared" si="278"/>
        <v>-0.14325890405599148</v>
      </c>
      <c r="H661" s="2" t="str">
        <f t="shared" si="279"/>
        <v>Lower</v>
      </c>
      <c r="I661" s="2" t="str">
        <f t="shared" si="280"/>
        <v>Higher</v>
      </c>
      <c r="J661" s="2" t="str">
        <f t="shared" si="281"/>
        <v>Lower</v>
      </c>
      <c r="K661" s="2" t="e">
        <f t="shared" si="282"/>
        <v>#DIV/0!</v>
      </c>
      <c r="L661" s="2" t="str">
        <f t="shared" si="283"/>
        <v>Higher</v>
      </c>
      <c r="M661" s="2" t="str">
        <f t="shared" si="284"/>
        <v>Higher</v>
      </c>
      <c r="N661" s="2" t="str">
        <f t="shared" si="285"/>
        <v>Lower</v>
      </c>
      <c r="O661" s="2" t="str">
        <f t="shared" si="286"/>
        <v>Higher</v>
      </c>
      <c r="P661" s="2" t="str">
        <f t="shared" si="287"/>
        <v>Lower</v>
      </c>
      <c r="X661" s="4">
        <f>DATE(2022,1,18)</f>
        <v>44579</v>
      </c>
      <c r="Y661">
        <v>20.563349393038209</v>
      </c>
      <c r="Z661">
        <v>25.993749458826148</v>
      </c>
      <c r="AA661">
        <v>81.827500000000001</v>
      </c>
      <c r="AB661">
        <v>79.039500000000004</v>
      </c>
      <c r="AC661">
        <f t="shared" si="288"/>
        <v>4.2782056635918533E-4</v>
      </c>
      <c r="AD661">
        <f t="shared" si="288"/>
        <v>-6.6202859635538956E-3</v>
      </c>
      <c r="AE661">
        <f t="shared" si="289"/>
        <v>-7.0481065299130806E-3</v>
      </c>
      <c r="AF661">
        <f t="shared" si="290"/>
        <v>-0.2410608807751379</v>
      </c>
      <c r="AH661">
        <f t="shared" si="291"/>
        <v>1.3812841704739027E-2</v>
      </c>
      <c r="AI661">
        <f t="shared" si="291"/>
        <v>-0.79269452170665544</v>
      </c>
      <c r="AJ661">
        <f t="shared" si="292"/>
        <v>-0.80650736341139451</v>
      </c>
      <c r="AK661">
        <f t="shared" si="293"/>
        <v>-3.9073179317324547</v>
      </c>
      <c r="AM661">
        <f t="shared" si="294"/>
        <v>0.31628688303344427</v>
      </c>
      <c r="AN661">
        <f t="shared" si="294"/>
        <v>-0.11583626344949033</v>
      </c>
      <c r="AO661">
        <f t="shared" si="295"/>
        <v>-0.43212314648293459</v>
      </c>
      <c r="AP661">
        <f t="shared" si="296"/>
        <v>-1.709010962123545</v>
      </c>
      <c r="AR661">
        <f t="shared" si="297"/>
        <v>0.61979893424287869</v>
      </c>
      <c r="AS661">
        <f t="shared" si="298"/>
        <v>1.3951837603908779</v>
      </c>
      <c r="AT661">
        <f t="shared" si="299"/>
        <v>0.7753848261479992</v>
      </c>
      <c r="AU661">
        <f t="shared" si="300"/>
        <v>1.3740603994153173</v>
      </c>
    </row>
    <row r="662" spans="1:47" x14ac:dyDescent="0.25">
      <c r="A662" s="4">
        <f>DATE(2022,1,17)</f>
        <v>44578</v>
      </c>
      <c r="C662">
        <v>50.404831932730019</v>
      </c>
      <c r="D662">
        <v>0.47177038966577817</v>
      </c>
      <c r="E662">
        <f t="shared" si="276"/>
        <v>-0.29888710571977378</v>
      </c>
      <c r="F662">
        <f t="shared" si="277"/>
        <v>-0.74377818965510067</v>
      </c>
      <c r="G662">
        <f t="shared" si="278"/>
        <v>-0.63504207687038106</v>
      </c>
      <c r="H662" s="2" t="str">
        <f t="shared" si="279"/>
        <v>Lower</v>
      </c>
      <c r="I662" s="2" t="str">
        <f t="shared" si="280"/>
        <v>Higher</v>
      </c>
      <c r="J662" s="2" t="str">
        <f t="shared" si="281"/>
        <v>Lower</v>
      </c>
      <c r="K662" s="2" t="str">
        <f t="shared" si="282"/>
        <v>Lower</v>
      </c>
      <c r="L662" s="2" t="str">
        <f t="shared" si="283"/>
        <v>Higher</v>
      </c>
      <c r="M662" s="2" t="str">
        <f t="shared" si="284"/>
        <v>Higher</v>
      </c>
      <c r="N662" s="2" t="str">
        <f t="shared" si="285"/>
        <v>Lower</v>
      </c>
      <c r="O662" s="2" t="str">
        <f t="shared" si="286"/>
        <v>Higher</v>
      </c>
      <c r="P662" s="2" t="str">
        <f t="shared" si="287"/>
        <v>Lower</v>
      </c>
      <c r="X662" s="4">
        <f>DATE(2022,1,17)</f>
        <v>44578</v>
      </c>
      <c r="Y662">
        <v>22.227613777170703</v>
      </c>
      <c r="AA662">
        <v>80.947499999999991</v>
      </c>
      <c r="AC662">
        <f t="shared" si="288"/>
        <v>-9.8038494419019906E-3</v>
      </c>
      <c r="AD662" t="str">
        <f t="shared" si="288"/>
        <v/>
      </c>
      <c r="AE662" t="str">
        <f t="shared" si="289"/>
        <v/>
      </c>
      <c r="AF662" t="str">
        <f t="shared" si="290"/>
        <v/>
      </c>
      <c r="AH662">
        <f t="shared" si="291"/>
        <v>3.4914854153234878E-2</v>
      </c>
      <c r="AI662" t="str">
        <f t="shared" si="291"/>
        <v/>
      </c>
      <c r="AJ662" t="str">
        <f t="shared" si="292"/>
        <v/>
      </c>
      <c r="AK662" t="str">
        <f t="shared" si="293"/>
        <v/>
      </c>
      <c r="AM662">
        <f t="shared" si="294"/>
        <v>0.31499297331250237</v>
      </c>
      <c r="AN662" t="str">
        <f t="shared" si="294"/>
        <v/>
      </c>
      <c r="AO662" t="str">
        <f t="shared" si="295"/>
        <v/>
      </c>
      <c r="AP662" t="str">
        <f t="shared" si="296"/>
        <v/>
      </c>
      <c r="AR662">
        <f t="shared" si="297"/>
        <v>0.60332414903682352</v>
      </c>
      <c r="AS662" t="str">
        <f t="shared" si="298"/>
        <v/>
      </c>
      <c r="AT662" t="str">
        <f t="shared" si="299"/>
        <v/>
      </c>
      <c r="AU662" t="str">
        <f t="shared" si="300"/>
        <v/>
      </c>
    </row>
    <row r="663" spans="1:47" x14ac:dyDescent="0.25">
      <c r="A663" s="4">
        <f>DATE(2022,1,14)</f>
        <v>44575</v>
      </c>
      <c r="C663">
        <v>53.186936192738038</v>
      </c>
      <c r="D663">
        <v>0.58491064611013976</v>
      </c>
      <c r="E663">
        <f t="shared" si="276"/>
        <v>-0.28874031083364754</v>
      </c>
      <c r="F663">
        <f t="shared" si="277"/>
        <v>-0.45321214776489843</v>
      </c>
      <c r="G663">
        <f t="shared" si="278"/>
        <v>-0.23931733357378107</v>
      </c>
      <c r="H663" s="2" t="str">
        <f t="shared" si="279"/>
        <v>Lower</v>
      </c>
      <c r="I663" s="2" t="str">
        <f t="shared" si="280"/>
        <v>Higher</v>
      </c>
      <c r="J663" s="2" t="str">
        <f t="shared" si="281"/>
        <v>Lower</v>
      </c>
      <c r="K663" s="2" t="str">
        <f t="shared" si="282"/>
        <v>Lower</v>
      </c>
      <c r="L663" s="2" t="str">
        <f t="shared" si="283"/>
        <v>Higher</v>
      </c>
      <c r="M663" s="2" t="str">
        <f t="shared" si="284"/>
        <v>Higher</v>
      </c>
      <c r="N663" s="2" t="str">
        <f t="shared" si="285"/>
        <v>Lower</v>
      </c>
      <c r="O663" s="2" t="str">
        <f t="shared" si="286"/>
        <v>Higher</v>
      </c>
      <c r="P663" s="2" t="str">
        <f t="shared" si="287"/>
        <v>Lower</v>
      </c>
      <c r="X663" s="4">
        <f>DATE(2022,1,14)</f>
        <v>44575</v>
      </c>
      <c r="Y663">
        <v>23.504609426213026</v>
      </c>
      <c r="Z663">
        <v>28.189299018451635</v>
      </c>
      <c r="AA663">
        <v>82.352499999999992</v>
      </c>
      <c r="AB663">
        <v>87.86</v>
      </c>
      <c r="AC663">
        <f t="shared" si="288"/>
        <v>-4.2349621008781278E-2</v>
      </c>
      <c r="AD663">
        <f t="shared" si="288"/>
        <v>-2.1834768816288843E-2</v>
      </c>
      <c r="AE663">
        <f t="shared" si="289"/>
        <v>2.0514852192492435E-2</v>
      </c>
      <c r="AF663">
        <f t="shared" si="290"/>
        <v>-1.6804093118178421E-2</v>
      </c>
      <c r="AH663">
        <f t="shared" si="291"/>
        <v>8.1460386361250303E-2</v>
      </c>
      <c r="AI663">
        <f t="shared" si="291"/>
        <v>-0.42549608810835932</v>
      </c>
      <c r="AJ663">
        <f t="shared" si="292"/>
        <v>-0.50695647446960956</v>
      </c>
      <c r="AK663">
        <f t="shared" si="293"/>
        <v>-2.6410385342845424</v>
      </c>
      <c r="AM663">
        <f t="shared" si="294"/>
        <v>0.33925075084062223</v>
      </c>
      <c r="AN663">
        <f t="shared" si="294"/>
        <v>3.0321361017357933E-3</v>
      </c>
      <c r="AO663">
        <f t="shared" si="295"/>
        <v>-0.33621861473888642</v>
      </c>
      <c r="AP663">
        <f t="shared" si="296"/>
        <v>-1.4553572606926648</v>
      </c>
      <c r="AR663">
        <f t="shared" si="297"/>
        <v>0.63686951632516731</v>
      </c>
      <c r="AS663">
        <f t="shared" si="298"/>
        <v>1.5293995823638697</v>
      </c>
      <c r="AT663">
        <f t="shared" si="299"/>
        <v>0.89253006603870244</v>
      </c>
      <c r="AU663">
        <f t="shared" si="300"/>
        <v>1.7117951186976732</v>
      </c>
    </row>
    <row r="664" spans="1:47" x14ac:dyDescent="0.25">
      <c r="A664" s="4">
        <f>DATE(2022,1,13)</f>
        <v>44574</v>
      </c>
      <c r="C664">
        <v>50.622480932952961</v>
      </c>
      <c r="D664">
        <v>0.50197043690118381</v>
      </c>
      <c r="E664">
        <f t="shared" si="276"/>
        <v>-0.27875617140922637</v>
      </c>
      <c r="F664">
        <f t="shared" si="277"/>
        <v>-0.70861464566545052</v>
      </c>
      <c r="G664">
        <f t="shared" si="278"/>
        <v>-0.51101198983035767</v>
      </c>
      <c r="H664" s="2" t="str">
        <f t="shared" si="279"/>
        <v>Lower</v>
      </c>
      <c r="I664" s="2" t="str">
        <f t="shared" si="280"/>
        <v>Higher</v>
      </c>
      <c r="J664" s="2" t="str">
        <f t="shared" si="281"/>
        <v>Lower</v>
      </c>
      <c r="K664" s="2" t="str">
        <f t="shared" si="282"/>
        <v>Lower</v>
      </c>
      <c r="L664" s="2" t="str">
        <f t="shared" si="283"/>
        <v>Higher</v>
      </c>
      <c r="M664" s="2" t="str">
        <f t="shared" si="284"/>
        <v>Higher</v>
      </c>
      <c r="N664" s="2" t="str">
        <f t="shared" si="285"/>
        <v>Lower</v>
      </c>
      <c r="O664" s="2" t="str">
        <f t="shared" si="286"/>
        <v>Higher</v>
      </c>
      <c r="P664" s="2" t="str">
        <f t="shared" si="287"/>
        <v>Lower</v>
      </c>
      <c r="X664" s="4">
        <f>DATE(2022,1,13)</f>
        <v>44574</v>
      </c>
      <c r="Y664">
        <v>20.401970404145551</v>
      </c>
      <c r="Z664">
        <v>25.458532993449918</v>
      </c>
      <c r="AA664">
        <v>80.025000000000006</v>
      </c>
      <c r="AB664">
        <v>82.224999999999994</v>
      </c>
      <c r="AC664">
        <f t="shared" si="288"/>
        <v>-7.9566781591736385E-2</v>
      </c>
      <c r="AD664">
        <f t="shared" si="288"/>
        <v>-0.15312683137167465</v>
      </c>
      <c r="AE664">
        <f t="shared" si="289"/>
        <v>-7.3560049779938269E-2</v>
      </c>
      <c r="AF664">
        <f t="shared" si="290"/>
        <v>-0.78384500607795915</v>
      </c>
      <c r="AH664">
        <f t="shared" si="291"/>
        <v>-4.5855229662962002E-2</v>
      </c>
      <c r="AI664">
        <f t="shared" si="291"/>
        <v>-0.52270972874170207</v>
      </c>
      <c r="AJ664">
        <f t="shared" si="292"/>
        <v>-0.47685449907874006</v>
      </c>
      <c r="AK664">
        <f t="shared" si="293"/>
        <v>-2.5340602317174401</v>
      </c>
      <c r="AM664">
        <f t="shared" si="294"/>
        <v>0.32599930965954199</v>
      </c>
      <c r="AN664">
        <f t="shared" si="294"/>
        <v>-7.7492976252588344E-2</v>
      </c>
      <c r="AO664">
        <f t="shared" si="295"/>
        <v>-0.40349228591213032</v>
      </c>
      <c r="AP664">
        <f t="shared" si="296"/>
        <v>-1.6501994808960798</v>
      </c>
      <c r="AR664">
        <f t="shared" si="297"/>
        <v>0.60768339222069356</v>
      </c>
      <c r="AS664">
        <f t="shared" si="298"/>
        <v>1.4597056141377907</v>
      </c>
      <c r="AT664">
        <f t="shared" si="299"/>
        <v>0.85202222191709709</v>
      </c>
      <c r="AU664">
        <f t="shared" si="300"/>
        <v>1.59597060347233</v>
      </c>
    </row>
    <row r="665" spans="1:47" x14ac:dyDescent="0.25">
      <c r="A665" s="4">
        <f>DATE(2022,1,12)</f>
        <v>44573</v>
      </c>
      <c r="C665">
        <v>49.696602109967387</v>
      </c>
      <c r="D665">
        <v>0.44999104961424052</v>
      </c>
      <c r="E665">
        <f t="shared" si="276"/>
        <v>-0.26836151578942397</v>
      </c>
      <c r="F665">
        <f t="shared" si="277"/>
        <v>-0.79933043021848305</v>
      </c>
      <c r="G665">
        <f t="shared" si="278"/>
        <v>-0.67931345992773617</v>
      </c>
      <c r="H665" s="2" t="str">
        <f t="shared" si="279"/>
        <v>Lower</v>
      </c>
      <c r="I665" s="2" t="str">
        <f t="shared" si="280"/>
        <v>Higher</v>
      </c>
      <c r="J665" s="2" t="str">
        <f t="shared" si="281"/>
        <v>Lower</v>
      </c>
      <c r="K665" s="2" t="str">
        <f t="shared" si="282"/>
        <v>Lower</v>
      </c>
      <c r="L665" s="2" t="str">
        <f t="shared" si="283"/>
        <v>Higher</v>
      </c>
      <c r="M665" s="2" t="str">
        <f t="shared" si="284"/>
        <v>Higher</v>
      </c>
      <c r="N665" s="2" t="str">
        <f t="shared" si="285"/>
        <v>Lower</v>
      </c>
      <c r="O665" s="2" t="str">
        <f t="shared" si="286"/>
        <v>Higher</v>
      </c>
      <c r="P665" s="2" t="str">
        <f t="shared" si="287"/>
        <v>Lower</v>
      </c>
      <c r="X665" s="4">
        <f>DATE(2022,1,12)</f>
        <v>44573</v>
      </c>
      <c r="Y665">
        <v>21.965718179616466</v>
      </c>
      <c r="Z665">
        <v>25.340722653276483</v>
      </c>
      <c r="AA665">
        <v>80.602499999999992</v>
      </c>
      <c r="AB665">
        <v>76.489000000000004</v>
      </c>
      <c r="AC665">
        <f t="shared" si="288"/>
        <v>-7.9190586448912387E-2</v>
      </c>
      <c r="AD665">
        <f t="shared" si="288"/>
        <v>-0.18227198416718626</v>
      </c>
      <c r="AE665">
        <f t="shared" si="289"/>
        <v>-0.10308139771827388</v>
      </c>
      <c r="AF665">
        <f t="shared" si="290"/>
        <v>-1.0260692221563863</v>
      </c>
      <c r="AH665">
        <f t="shared" si="291"/>
        <v>1.365654019006364E-3</v>
      </c>
      <c r="AI665">
        <f t="shared" si="291"/>
        <v>-0.52570927722922267</v>
      </c>
      <c r="AJ665">
        <f t="shared" si="292"/>
        <v>-0.52707493124822902</v>
      </c>
      <c r="AK665">
        <f t="shared" si="293"/>
        <v>-2.7947669967030588</v>
      </c>
      <c r="AM665">
        <f t="shared" si="294"/>
        <v>0.34516347398542158</v>
      </c>
      <c r="AN665">
        <f t="shared" si="294"/>
        <v>-0.20094015720429939</v>
      </c>
      <c r="AO665">
        <f t="shared" si="295"/>
        <v>-0.54610363118972094</v>
      </c>
      <c r="AP665">
        <f t="shared" si="296"/>
        <v>-2.0591425811265487</v>
      </c>
      <c r="AR665">
        <f t="shared" si="297"/>
        <v>0.60755840033340824</v>
      </c>
      <c r="AS665">
        <f t="shared" si="298"/>
        <v>1.3735505361200011</v>
      </c>
      <c r="AT665">
        <f t="shared" si="299"/>
        <v>0.76599213578659286</v>
      </c>
      <c r="AU665">
        <f t="shared" si="300"/>
        <v>1.3480015137395374</v>
      </c>
    </row>
    <row r="666" spans="1:47" x14ac:dyDescent="0.25">
      <c r="A666" s="4">
        <f>DATE(2022,1,11)</f>
        <v>44572</v>
      </c>
      <c r="C666">
        <v>51.812556685600704</v>
      </c>
      <c r="D666">
        <v>0.53021223187319044</v>
      </c>
      <c r="E666">
        <f t="shared" si="276"/>
        <v>-0.2576548807431826</v>
      </c>
      <c r="F666">
        <f t="shared" si="277"/>
        <v>-0.58365324199957369</v>
      </c>
      <c r="G666">
        <f t="shared" si="278"/>
        <v>-0.4068953381798342</v>
      </c>
      <c r="H666" s="2" t="str">
        <f t="shared" si="279"/>
        <v>Lower</v>
      </c>
      <c r="I666" s="2" t="str">
        <f t="shared" si="280"/>
        <v>Higher</v>
      </c>
      <c r="J666" s="2" t="str">
        <f t="shared" si="281"/>
        <v>Lower</v>
      </c>
      <c r="K666" s="2" t="str">
        <f t="shared" si="282"/>
        <v>Lower</v>
      </c>
      <c r="L666" s="2" t="str">
        <f t="shared" si="283"/>
        <v>Higher</v>
      </c>
      <c r="M666" s="2" t="str">
        <f t="shared" si="284"/>
        <v>Higher</v>
      </c>
      <c r="N666" s="2" t="str">
        <f t="shared" si="285"/>
        <v>Lower</v>
      </c>
      <c r="O666" s="2" t="str">
        <f t="shared" si="286"/>
        <v>Higher</v>
      </c>
      <c r="P666" s="2" t="str">
        <f t="shared" si="287"/>
        <v>Lower</v>
      </c>
      <c r="X666" s="4">
        <f>DATE(2022,1,11)</f>
        <v>44572</v>
      </c>
      <c r="Y666">
        <v>23.747350026326419</v>
      </c>
      <c r="Z666">
        <v>26.862521080691948</v>
      </c>
      <c r="AA666">
        <v>81.79249999999999</v>
      </c>
      <c r="AB666">
        <v>79.56450000000001</v>
      </c>
      <c r="AC666">
        <f t="shared" si="288"/>
        <v>-3.9729610942214312E-2</v>
      </c>
      <c r="AD666">
        <f t="shared" si="288"/>
        <v>-0.12075801962731834</v>
      </c>
      <c r="AE666">
        <f t="shared" si="289"/>
        <v>-8.1028408685104025E-2</v>
      </c>
      <c r="AF666">
        <f t="shared" si="290"/>
        <v>-0.84915189617001752</v>
      </c>
      <c r="AH666">
        <f t="shared" si="291"/>
        <v>2.0722449903779281E-2</v>
      </c>
      <c r="AI666">
        <f t="shared" si="291"/>
        <v>-0.45661783579380771</v>
      </c>
      <c r="AJ666">
        <f t="shared" si="292"/>
        <v>-0.47734028569758702</v>
      </c>
      <c r="AK666">
        <f t="shared" si="293"/>
        <v>-2.5989168437555565</v>
      </c>
      <c r="AM666">
        <f t="shared" si="294"/>
        <v>0.39023792721355116</v>
      </c>
      <c r="AN666">
        <f t="shared" si="294"/>
        <v>-0.13215734924703496</v>
      </c>
      <c r="AO666">
        <f t="shared" si="295"/>
        <v>-0.52239527646058614</v>
      </c>
      <c r="AP666">
        <f t="shared" si="296"/>
        <v>-2.0112704375872781</v>
      </c>
      <c r="AR666">
        <f t="shared" si="297"/>
        <v>0.62295483718549993</v>
      </c>
      <c r="AS666">
        <f t="shared" si="298"/>
        <v>1.3936044135710566</v>
      </c>
      <c r="AT666">
        <f t="shared" si="299"/>
        <v>0.77064957638555664</v>
      </c>
      <c r="AU666">
        <f t="shared" si="300"/>
        <v>1.3613198014810908</v>
      </c>
    </row>
    <row r="667" spans="1:47" x14ac:dyDescent="0.25">
      <c r="A667" s="4">
        <f>DATE(2022,1,10)</f>
        <v>44571</v>
      </c>
      <c r="C667">
        <v>49.956768232095634</v>
      </c>
      <c r="D667">
        <v>0.45488836964610035</v>
      </c>
      <c r="E667">
        <f t="shared" si="276"/>
        <v>-0.2460300938348296</v>
      </c>
      <c r="F667">
        <f t="shared" si="277"/>
        <v>-0.76676885678864992</v>
      </c>
      <c r="G667">
        <f t="shared" si="278"/>
        <v>-0.6533804245066791</v>
      </c>
      <c r="H667" s="2" t="str">
        <f t="shared" si="279"/>
        <v>Lower</v>
      </c>
      <c r="I667" s="2" t="str">
        <f t="shared" si="280"/>
        <v>Higher</v>
      </c>
      <c r="J667" s="2" t="str">
        <f t="shared" si="281"/>
        <v>Lower</v>
      </c>
      <c r="K667" s="2" t="str">
        <f t="shared" si="282"/>
        <v>Lower</v>
      </c>
      <c r="L667" s="2" t="str">
        <f t="shared" si="283"/>
        <v>Higher</v>
      </c>
      <c r="M667" s="2" t="str">
        <f t="shared" si="284"/>
        <v>Higher</v>
      </c>
      <c r="N667" s="2" t="str">
        <f t="shared" si="285"/>
        <v>Lower</v>
      </c>
      <c r="O667" s="2" t="str">
        <f t="shared" si="286"/>
        <v>Higher</v>
      </c>
      <c r="P667" s="2" t="str">
        <f t="shared" si="287"/>
        <v>Lower</v>
      </c>
      <c r="X667" s="4">
        <f>DATE(2022,1,10)</f>
        <v>44571</v>
      </c>
      <c r="Y667">
        <v>25.820425588980946</v>
      </c>
      <c r="Z667">
        <v>27.894424977820943</v>
      </c>
      <c r="AA667">
        <v>81.745000000000005</v>
      </c>
      <c r="AB667">
        <v>86.018500000000003</v>
      </c>
      <c r="AC667">
        <f t="shared" si="288"/>
        <v>-1.5898393115664367E-2</v>
      </c>
      <c r="AD667">
        <f t="shared" si="288"/>
        <v>6.712541703223146E-2</v>
      </c>
      <c r="AE667">
        <f t="shared" si="289"/>
        <v>8.3023810147895824E-2</v>
      </c>
      <c r="AF667">
        <f t="shared" si="290"/>
        <v>0.48548459685857132</v>
      </c>
      <c r="AH667">
        <f t="shared" si="291"/>
        <v>-1.7131754180486795E-2</v>
      </c>
      <c r="AI667">
        <f t="shared" si="291"/>
        <v>-0.29737341672612327</v>
      </c>
      <c r="AJ667">
        <f t="shared" si="292"/>
        <v>-0.28024166254563648</v>
      </c>
      <c r="AK667">
        <f t="shared" si="293"/>
        <v>-1.6979877246226875</v>
      </c>
      <c r="AM667">
        <f t="shared" si="294"/>
        <v>0.33440696602723097</v>
      </c>
      <c r="AN667">
        <f t="shared" si="294"/>
        <v>-9.302105573671729E-2</v>
      </c>
      <c r="AO667">
        <f t="shared" si="295"/>
        <v>-0.42742802176394823</v>
      </c>
      <c r="AP667">
        <f t="shared" si="296"/>
        <v>-1.7602758214274996</v>
      </c>
      <c r="AR667">
        <f t="shared" si="297"/>
        <v>0.65480670150219611</v>
      </c>
      <c r="AS667">
        <f t="shared" si="298"/>
        <v>1.5012158323408353</v>
      </c>
      <c r="AT667">
        <f t="shared" si="299"/>
        <v>0.84640913083863922</v>
      </c>
      <c r="AU667">
        <f t="shared" si="300"/>
        <v>1.5791320520484893</v>
      </c>
    </row>
    <row r="668" spans="1:47" x14ac:dyDescent="0.25">
      <c r="A668" s="4">
        <f>DATE(2022,1,7)</f>
        <v>44568</v>
      </c>
      <c r="C668">
        <v>59.297904267654062</v>
      </c>
      <c r="D668">
        <v>0.79200892575188442</v>
      </c>
      <c r="E668">
        <f t="shared" si="276"/>
        <v>-0.23475801048842496</v>
      </c>
      <c r="F668">
        <f t="shared" si="277"/>
        <v>0.18435044580874854</v>
      </c>
      <c r="G668">
        <f t="shared" si="278"/>
        <v>0.48045039398127054</v>
      </c>
      <c r="H668" s="2" t="str">
        <f t="shared" si="279"/>
        <v>Lower</v>
      </c>
      <c r="I668" s="2" t="str">
        <f t="shared" si="280"/>
        <v>Higher</v>
      </c>
      <c r="J668" s="2" t="str">
        <f t="shared" si="281"/>
        <v>Lower</v>
      </c>
      <c r="K668" s="2" t="str">
        <f t="shared" si="282"/>
        <v>Lower</v>
      </c>
      <c r="L668" s="2" t="str">
        <f t="shared" si="283"/>
        <v>Higher</v>
      </c>
      <c r="M668" s="2" t="str">
        <f t="shared" si="284"/>
        <v>Higher</v>
      </c>
      <c r="N668" s="2" t="str">
        <f t="shared" si="285"/>
        <v>Lower</v>
      </c>
      <c r="O668" s="2" t="str">
        <f t="shared" si="286"/>
        <v>Higher</v>
      </c>
      <c r="P668" s="2" t="str">
        <f t="shared" si="287"/>
        <v>Higher</v>
      </c>
      <c r="X668" s="4">
        <f>DATE(2022,1,7)</f>
        <v>44568</v>
      </c>
      <c r="Y668">
        <v>29.811010998949811</v>
      </c>
      <c r="Z668">
        <v>28.938817206653155</v>
      </c>
      <c r="AA668">
        <v>85.914999999999992</v>
      </c>
      <c r="AB668">
        <v>89.799499999999995</v>
      </c>
      <c r="AC668">
        <f t="shared" si="288"/>
        <v>6.4790740181445691E-2</v>
      </c>
      <c r="AD668">
        <f t="shared" si="288"/>
        <v>0.21381699889624847</v>
      </c>
      <c r="AE668">
        <f t="shared" si="289"/>
        <v>0.1490262587148028</v>
      </c>
      <c r="AF668">
        <f t="shared" si="290"/>
        <v>1.0233677249762558</v>
      </c>
      <c r="AH668">
        <f t="shared" si="291"/>
        <v>3.7081351587610521E-2</v>
      </c>
      <c r="AI668">
        <f t="shared" si="291"/>
        <v>-0.15669517913047701</v>
      </c>
      <c r="AJ668">
        <f t="shared" si="292"/>
        <v>-0.19377653071808754</v>
      </c>
      <c r="AK668">
        <f t="shared" si="293"/>
        <v>-1.2978969926377522</v>
      </c>
      <c r="AM668">
        <f t="shared" si="294"/>
        <v>0.36281274643375677</v>
      </c>
      <c r="AN668">
        <f t="shared" si="294"/>
        <v>-6.6419764870453091E-2</v>
      </c>
      <c r="AO668">
        <f t="shared" si="295"/>
        <v>-0.42923251130420986</v>
      </c>
      <c r="AP668">
        <f t="shared" si="296"/>
        <v>-1.7779477405863289</v>
      </c>
      <c r="AR668" t="str">
        <f t="shared" si="297"/>
        <v/>
      </c>
      <c r="AS668" t="str">
        <f t="shared" si="298"/>
        <v/>
      </c>
      <c r="AT668" t="str">
        <f t="shared" si="299"/>
        <v/>
      </c>
      <c r="AU668" t="str">
        <f t="shared" si="300"/>
        <v/>
      </c>
    </row>
    <row r="669" spans="1:47" x14ac:dyDescent="0.25">
      <c r="A669" s="4">
        <f>DATE(2022,1,6)</f>
        <v>44567</v>
      </c>
      <c r="C669">
        <v>61.962232993284914</v>
      </c>
      <c r="D669">
        <v>0.8859890975561171</v>
      </c>
      <c r="E669">
        <f t="shared" si="276"/>
        <v>-0.22698236386414183</v>
      </c>
      <c r="F669">
        <f t="shared" si="277"/>
        <v>0.45823836414990438</v>
      </c>
      <c r="G669">
        <f t="shared" si="278"/>
        <v>0.8010219744226138</v>
      </c>
      <c r="H669" s="2" t="str">
        <f t="shared" si="279"/>
        <v>Lower</v>
      </c>
      <c r="I669" s="2" t="str">
        <f t="shared" si="280"/>
        <v>Higher</v>
      </c>
      <c r="J669" s="2" t="str">
        <f t="shared" si="281"/>
        <v>Lower</v>
      </c>
      <c r="K669" s="2" t="str">
        <f t="shared" si="282"/>
        <v>Lower</v>
      </c>
      <c r="L669" s="2" t="str">
        <f t="shared" si="283"/>
        <v>Higher</v>
      </c>
      <c r="M669" s="2" t="str">
        <f t="shared" si="284"/>
        <v>Higher</v>
      </c>
      <c r="N669" s="2" t="str">
        <f t="shared" si="285"/>
        <v>Lower</v>
      </c>
      <c r="O669" s="2" t="str">
        <f t="shared" si="286"/>
        <v>Higher</v>
      </c>
      <c r="P669" s="2" t="str">
        <f t="shared" si="287"/>
        <v>Higher</v>
      </c>
      <c r="X669" s="4">
        <f>DATE(2022,1,6)</f>
        <v>44567</v>
      </c>
      <c r="Y669">
        <v>31.308739951430979</v>
      </c>
      <c r="Z669">
        <v>30.722993328052489</v>
      </c>
      <c r="AA669">
        <v>86.652500000000003</v>
      </c>
      <c r="AB669">
        <v>95.830999999999989</v>
      </c>
      <c r="AC669">
        <f t="shared" si="288"/>
        <v>7.9191968993645181E-2</v>
      </c>
      <c r="AD669">
        <f t="shared" si="288"/>
        <v>7.5549446988844735E-2</v>
      </c>
      <c r="AE669">
        <f t="shared" si="289"/>
        <v>-3.642522004800447E-3</v>
      </c>
      <c r="AF669">
        <f t="shared" si="290"/>
        <v>-0.21637892729404118</v>
      </c>
      <c r="AH669">
        <f t="shared" si="291"/>
        <v>4.8168621121989073E-2</v>
      </c>
      <c r="AI669">
        <f t="shared" si="291"/>
        <v>-4.8590884804697317E-2</v>
      </c>
      <c r="AJ669">
        <f t="shared" si="292"/>
        <v>-9.675950592668639E-2</v>
      </c>
      <c r="AK669">
        <f t="shared" si="293"/>
        <v>-0.84257509048294243</v>
      </c>
      <c r="AM669">
        <f t="shared" si="294"/>
        <v>0.35197507077356832</v>
      </c>
      <c r="AN669">
        <f t="shared" si="294"/>
        <v>-5.087202149662326E-2</v>
      </c>
      <c r="AO669">
        <f t="shared" si="295"/>
        <v>-0.40284709227019155</v>
      </c>
      <c r="AP669">
        <f t="shared" si="296"/>
        <v>-1.7155420094105678</v>
      </c>
      <c r="AR669">
        <f t="shared" si="297"/>
        <v>0.71287249051397961</v>
      </c>
      <c r="AS669">
        <f t="shared" si="298"/>
        <v>1.610087704536546</v>
      </c>
      <c r="AT669">
        <f t="shared" si="299"/>
        <v>0.89721521402256643</v>
      </c>
      <c r="AU669">
        <f t="shared" si="300"/>
        <v>1.7234121996882872</v>
      </c>
    </row>
    <row r="670" spans="1:47" x14ac:dyDescent="0.25">
      <c r="A670" s="4">
        <f>DATE(2022,1,5)</f>
        <v>44566</v>
      </c>
      <c r="C670">
        <v>63.652263970672763</v>
      </c>
      <c r="D670">
        <v>0.99219069705005636</v>
      </c>
      <c r="E670">
        <f t="shared" si="276"/>
        <v>-0.21917584273448285</v>
      </c>
      <c r="F670">
        <f t="shared" si="277"/>
        <v>0.63837349781961772</v>
      </c>
      <c r="G670">
        <f t="shared" si="278"/>
        <v>1.1672147451366324</v>
      </c>
      <c r="H670" s="2" t="str">
        <f t="shared" si="279"/>
        <v>Lower</v>
      </c>
      <c r="I670" s="2" t="str">
        <f t="shared" si="280"/>
        <v>Higher</v>
      </c>
      <c r="J670" s="2" t="str">
        <f t="shared" si="281"/>
        <v>Lower</v>
      </c>
      <c r="K670" s="2" t="str">
        <f t="shared" si="282"/>
        <v>Lower</v>
      </c>
      <c r="L670" s="2" t="str">
        <f t="shared" si="283"/>
        <v>Higher</v>
      </c>
      <c r="M670" s="2" t="str">
        <f t="shared" si="284"/>
        <v>Higher</v>
      </c>
      <c r="N670" s="2" t="str">
        <f t="shared" si="285"/>
        <v>Lower</v>
      </c>
      <c r="O670" s="2" t="str">
        <f t="shared" si="286"/>
        <v>Higher</v>
      </c>
      <c r="P670" s="2" t="str">
        <f t="shared" si="287"/>
        <v>Higher</v>
      </c>
      <c r="X670" s="4">
        <f>DATE(2022,1,5)</f>
        <v>44566</v>
      </c>
      <c r="Y670">
        <v>32.887771044864728</v>
      </c>
      <c r="Z670">
        <v>30.942969902763402</v>
      </c>
      <c r="AA670">
        <v>87.245000000000005</v>
      </c>
      <c r="AB670">
        <v>91.782250000000005</v>
      </c>
      <c r="AC670">
        <f t="shared" si="288"/>
        <v>8.7631557904288032E-2</v>
      </c>
      <c r="AD670">
        <f t="shared" si="288"/>
        <v>-7.070868783171512E-2</v>
      </c>
      <c r="AE670">
        <f t="shared" si="289"/>
        <v>-0.15834024573600314</v>
      </c>
      <c r="AF670">
        <f t="shared" si="290"/>
        <v>-1.4739519624356454</v>
      </c>
      <c r="AH670">
        <f t="shared" si="291"/>
        <v>-1.3095154107792968E-2</v>
      </c>
      <c r="AI670">
        <f t="shared" si="291"/>
        <v>-9.925714574253805E-2</v>
      </c>
      <c r="AJ670">
        <f t="shared" si="292"/>
        <v>-8.6161991634745083E-2</v>
      </c>
      <c r="AK670">
        <f t="shared" si="293"/>
        <v>-0.7942813051598947</v>
      </c>
      <c r="AM670">
        <f t="shared" si="294"/>
        <v>0.38851687418312408</v>
      </c>
      <c r="AN670">
        <f t="shared" si="294"/>
        <v>-1.3535345111459115E-2</v>
      </c>
      <c r="AO670">
        <f t="shared" si="295"/>
        <v>-0.40205221929458318</v>
      </c>
      <c r="AP670">
        <f t="shared" si="296"/>
        <v>-1.7251184467469076</v>
      </c>
      <c r="AR670">
        <f t="shared" si="297"/>
        <v>0.72021667725340588</v>
      </c>
      <c r="AS670">
        <f t="shared" si="298"/>
        <v>1.5768237486702457</v>
      </c>
      <c r="AT670">
        <f t="shared" si="299"/>
        <v>0.85660707141683978</v>
      </c>
      <c r="AU670">
        <f t="shared" si="300"/>
        <v>1.6087558558779667</v>
      </c>
    </row>
    <row r="671" spans="1:47" x14ac:dyDescent="0.25">
      <c r="A671" s="4">
        <f>DATE(2022,1,4)</f>
        <v>44565</v>
      </c>
      <c r="C671">
        <v>60.470011159803164</v>
      </c>
      <c r="D671">
        <v>0.78025423045753961</v>
      </c>
      <c r="E671">
        <f t="shared" si="276"/>
        <v>-0.2153865375779698</v>
      </c>
      <c r="F671">
        <f t="shared" si="277"/>
        <v>0.33278798380922259</v>
      </c>
      <c r="G671">
        <f t="shared" si="278"/>
        <v>0.47997048822567323</v>
      </c>
      <c r="H671" s="2" t="str">
        <f t="shared" si="279"/>
        <v>Lower</v>
      </c>
      <c r="I671" s="2" t="str">
        <f t="shared" si="280"/>
        <v>Higher</v>
      </c>
      <c r="J671" s="2" t="str">
        <f t="shared" si="281"/>
        <v>Lower</v>
      </c>
      <c r="K671" s="2" t="str">
        <f t="shared" si="282"/>
        <v>Lower</v>
      </c>
      <c r="L671" s="2" t="str">
        <f t="shared" si="283"/>
        <v>Higher</v>
      </c>
      <c r="M671" s="2" t="str">
        <f t="shared" si="284"/>
        <v>Higher</v>
      </c>
      <c r="N671" s="2" t="str">
        <f t="shared" si="285"/>
        <v>Lower</v>
      </c>
      <c r="O671" s="2" t="str">
        <f t="shared" si="286"/>
        <v>Lower</v>
      </c>
      <c r="P671" s="2" t="str">
        <f t="shared" si="287"/>
        <v>Lower</v>
      </c>
      <c r="X671" s="4">
        <f>DATE(2022,1,4)</f>
        <v>44565</v>
      </c>
      <c r="Y671">
        <v>31.761774115335616</v>
      </c>
      <c r="Z671">
        <v>32.248268203642873</v>
      </c>
      <c r="AA671">
        <v>85.107500000000002</v>
      </c>
      <c r="AB671">
        <v>89.776749999999993</v>
      </c>
      <c r="AC671">
        <f t="shared" si="288"/>
        <v>7.9289043312122776E-2</v>
      </c>
      <c r="AD671">
        <f t="shared" si="288"/>
        <v>-0.17166366560150051</v>
      </c>
      <c r="AE671">
        <f t="shared" si="289"/>
        <v>-0.25095270891362331</v>
      </c>
      <c r="AF671">
        <f t="shared" si="290"/>
        <v>-2.2344975045029751</v>
      </c>
      <c r="AH671">
        <f t="shared" si="291"/>
        <v>9.1774897192868649E-3</v>
      </c>
      <c r="AI671">
        <f t="shared" si="291"/>
        <v>-6.2438753932862211E-2</v>
      </c>
      <c r="AJ671">
        <f t="shared" si="292"/>
        <v>-7.1616243652149081E-2</v>
      </c>
      <c r="AK671">
        <f t="shared" si="293"/>
        <v>-0.72708223700475805</v>
      </c>
      <c r="AM671">
        <f t="shared" si="294"/>
        <v>0.3670135146954569</v>
      </c>
      <c r="AN671">
        <f t="shared" si="294"/>
        <v>4.3586479623808162E-2</v>
      </c>
      <c r="AO671">
        <f t="shared" si="295"/>
        <v>-0.32342703507164872</v>
      </c>
      <c r="AP671">
        <f t="shared" si="296"/>
        <v>-1.5107499674521605</v>
      </c>
      <c r="AR671">
        <f t="shared" si="297"/>
        <v>0.70588846592565557</v>
      </c>
      <c r="AS671">
        <f t="shared" si="298"/>
        <v>1.5706759207329979</v>
      </c>
      <c r="AT671">
        <f t="shared" si="299"/>
        <v>0.86478745480734232</v>
      </c>
      <c r="AU671">
        <f t="shared" si="300"/>
        <v>1.6330480061611237</v>
      </c>
    </row>
    <row r="672" spans="1:47" x14ac:dyDescent="0.25">
      <c r="A672" s="4">
        <f>DATE(2022,1,3)</f>
        <v>44564</v>
      </c>
      <c r="C672">
        <v>59.356212194974965</v>
      </c>
      <c r="D672">
        <v>0.71585238014550867</v>
      </c>
      <c r="E672">
        <f t="shared" si="276"/>
        <v>-0.21668795888636339</v>
      </c>
      <c r="F672">
        <f t="shared" si="277"/>
        <v>0.22931287973999359</v>
      </c>
      <c r="G672">
        <f t="shared" si="278"/>
        <v>0.27316672109542028</v>
      </c>
      <c r="H672" s="2" t="str">
        <f t="shared" si="279"/>
        <v>Lower</v>
      </c>
      <c r="I672" s="2" t="str">
        <f t="shared" si="280"/>
        <v>Higher</v>
      </c>
      <c r="J672" s="2" t="str">
        <f t="shared" si="281"/>
        <v>Lower</v>
      </c>
      <c r="K672" s="2" t="str">
        <f t="shared" si="282"/>
        <v>Lower</v>
      </c>
      <c r="L672" s="2" t="str">
        <f t="shared" si="283"/>
        <v>Higher</v>
      </c>
      <c r="M672" s="2" t="str">
        <f t="shared" si="284"/>
        <v>Higher</v>
      </c>
      <c r="N672" s="2" t="str">
        <f t="shared" si="285"/>
        <v>Lower</v>
      </c>
      <c r="O672" s="2" t="str">
        <f t="shared" si="286"/>
        <v>Lower</v>
      </c>
      <c r="P672" s="2" t="str">
        <f t="shared" si="287"/>
        <v>Lower</v>
      </c>
      <c r="X672" s="4">
        <f>DATE(2022,1,3)</f>
        <v>44564</v>
      </c>
      <c r="Y672">
        <v>28.854663048804973</v>
      </c>
      <c r="Z672">
        <v>25.816510989568741</v>
      </c>
      <c r="AA672">
        <v>83.055000000000007</v>
      </c>
      <c r="AB672">
        <v>80.433999999999997</v>
      </c>
      <c r="AC672">
        <f t="shared" si="288"/>
        <v>8.2179618905959137E-2</v>
      </c>
      <c r="AD672">
        <f t="shared" si="288"/>
        <v>-0.26813873905921798</v>
      </c>
      <c r="AE672">
        <f t="shared" si="289"/>
        <v>-0.35031835796517713</v>
      </c>
      <c r="AF672">
        <f t="shared" si="290"/>
        <v>-3.0675233002698157</v>
      </c>
      <c r="AH672">
        <f t="shared" si="291"/>
        <v>2.9601244897684533E-2</v>
      </c>
      <c r="AI672">
        <f t="shared" si="291"/>
        <v>-0.10325066286816653</v>
      </c>
      <c r="AJ672">
        <f t="shared" si="292"/>
        <v>-0.13285190776585107</v>
      </c>
      <c r="AK672">
        <f t="shared" si="293"/>
        <v>-1.0187494474831</v>
      </c>
      <c r="AM672">
        <f t="shared" si="294"/>
        <v>0.33942644851864456</v>
      </c>
      <c r="AN672">
        <f t="shared" si="294"/>
        <v>-7.2901064444055586E-2</v>
      </c>
      <c r="AO672">
        <f t="shared" si="295"/>
        <v>-0.41232751296270015</v>
      </c>
      <c r="AP672">
        <f t="shared" si="296"/>
        <v>-1.7762492086836068</v>
      </c>
      <c r="AR672">
        <f t="shared" si="297"/>
        <v>0.68894195989696683</v>
      </c>
      <c r="AS672">
        <f t="shared" si="298"/>
        <v>1.4749504474154329</v>
      </c>
      <c r="AT672">
        <f t="shared" si="299"/>
        <v>0.78600848751846608</v>
      </c>
      <c r="AU672">
        <f t="shared" si="300"/>
        <v>1.4093109333817018</v>
      </c>
    </row>
    <row r="673" spans="1:47" x14ac:dyDescent="0.25">
      <c r="A673" s="4">
        <f>DATE(2021,12,31)</f>
        <v>44561</v>
      </c>
      <c r="C673">
        <v>54.956578055495797</v>
      </c>
      <c r="D673">
        <v>0.502563554668364</v>
      </c>
      <c r="E673">
        <f t="shared" si="276"/>
        <v>-0.22234657049195702</v>
      </c>
      <c r="F673">
        <f t="shared" si="277"/>
        <v>-0.21577019637663983</v>
      </c>
      <c r="G673">
        <f t="shared" si="278"/>
        <v>-0.44109504392448745</v>
      </c>
      <c r="H673" s="2" t="str">
        <f t="shared" si="279"/>
        <v>Lower</v>
      </c>
      <c r="I673" s="2" t="str">
        <f t="shared" si="280"/>
        <v>Higher</v>
      </c>
      <c r="J673" s="2" t="str">
        <f t="shared" si="281"/>
        <v>Lower</v>
      </c>
      <c r="K673" s="2" t="str">
        <f t="shared" si="282"/>
        <v>Lower</v>
      </c>
      <c r="L673" s="2" t="str">
        <f t="shared" si="283"/>
        <v>Higher</v>
      </c>
      <c r="M673" s="2" t="str">
        <f t="shared" si="284"/>
        <v>Higher</v>
      </c>
      <c r="N673" s="2" t="str">
        <f t="shared" si="285"/>
        <v>Lower</v>
      </c>
      <c r="O673" s="2" t="str">
        <f t="shared" si="286"/>
        <v>Lower</v>
      </c>
      <c r="P673" s="2" t="str">
        <f t="shared" si="287"/>
        <v>Lower</v>
      </c>
      <c r="X673" s="4">
        <f>DATE(2021,12,31)</f>
        <v>44561</v>
      </c>
      <c r="Y673">
        <v>25.144476113940435</v>
      </c>
      <c r="Z673">
        <v>27.317312486432392</v>
      </c>
      <c r="AA673">
        <v>80.525000000000006</v>
      </c>
      <c r="AB673">
        <v>72.512750000000011</v>
      </c>
      <c r="AC673">
        <f t="shared" si="288"/>
        <v>5.7834354930931448E-2</v>
      </c>
      <c r="AD673" t="str">
        <f t="shared" si="288"/>
        <v/>
      </c>
      <c r="AE673" t="str">
        <f t="shared" si="289"/>
        <v/>
      </c>
      <c r="AF673" t="str">
        <f t="shared" si="290"/>
        <v/>
      </c>
      <c r="AH673">
        <f t="shared" si="291"/>
        <v>2.2543418020886743E-2</v>
      </c>
      <c r="AI673">
        <f t="shared" si="291"/>
        <v>-0.21739080335082911</v>
      </c>
      <c r="AJ673">
        <f t="shared" si="292"/>
        <v>-0.23993422137171586</v>
      </c>
      <c r="AK673">
        <f t="shared" si="293"/>
        <v>-1.529205300115712</v>
      </c>
      <c r="AM673">
        <f t="shared" si="294"/>
        <v>0.31400076060383636</v>
      </c>
      <c r="AN673">
        <f t="shared" si="294"/>
        <v>-0.20089696235400245</v>
      </c>
      <c r="AO673">
        <f t="shared" si="295"/>
        <v>-0.51489772295783887</v>
      </c>
      <c r="AP673">
        <f t="shared" si="296"/>
        <v>-2.0871726605891046</v>
      </c>
      <c r="AR673">
        <f t="shared" si="297"/>
        <v>0.66595128630630129</v>
      </c>
      <c r="AS673">
        <f t="shared" si="298"/>
        <v>1.3553057317611403</v>
      </c>
      <c r="AT673">
        <f t="shared" si="299"/>
        <v>0.68935444545483904</v>
      </c>
      <c r="AU673">
        <f t="shared" si="300"/>
        <v>1.1342588468307397</v>
      </c>
    </row>
    <row r="674" spans="1:47" x14ac:dyDescent="0.25">
      <c r="A674" s="4">
        <f>DATE(2021,12,30)</f>
        <v>44560</v>
      </c>
      <c r="C674">
        <v>54.286488799011082</v>
      </c>
      <c r="D674">
        <v>0.47567418480586754</v>
      </c>
      <c r="E674">
        <f t="shared" si="276"/>
        <v>-0.22791050852068714</v>
      </c>
      <c r="F674">
        <f t="shared" si="277"/>
        <v>-0.29121141868289729</v>
      </c>
      <c r="G674">
        <f t="shared" si="278"/>
        <v>-0.53982549620264819</v>
      </c>
      <c r="H674" s="2" t="str">
        <f t="shared" si="279"/>
        <v>Lower</v>
      </c>
      <c r="I674" s="2" t="str">
        <f t="shared" si="280"/>
        <v>Higher</v>
      </c>
      <c r="J674" s="2" t="str">
        <f t="shared" si="281"/>
        <v>Lower</v>
      </c>
      <c r="K674" s="2" t="str">
        <f t="shared" si="282"/>
        <v>Lower</v>
      </c>
      <c r="L674" s="2" t="str">
        <f t="shared" si="283"/>
        <v>Higher</v>
      </c>
      <c r="M674" s="2" t="str">
        <f t="shared" si="284"/>
        <v>Higher</v>
      </c>
      <c r="N674" s="2" t="str">
        <f t="shared" si="285"/>
        <v>Lower</v>
      </c>
      <c r="O674" s="2" t="str">
        <f t="shared" si="286"/>
        <v>Lower</v>
      </c>
      <c r="P674" s="2" t="str">
        <f t="shared" si="287"/>
        <v>Lower</v>
      </c>
      <c r="X674" s="4">
        <f>DATE(2021,12,30)</f>
        <v>44560</v>
      </c>
      <c r="Y674">
        <v>24.807517090152619</v>
      </c>
      <c r="Z674">
        <v>30.52828575091641</v>
      </c>
      <c r="AA674">
        <v>80.055000000000007</v>
      </c>
      <c r="AB674">
        <v>88.85775000000001</v>
      </c>
      <c r="AC674">
        <f t="shared" si="288"/>
        <v>6.2163810881887827E-2</v>
      </c>
      <c r="AD674">
        <f t="shared" si="288"/>
        <v>-0.44169769585056989</v>
      </c>
      <c r="AE674">
        <f t="shared" si="289"/>
        <v>-0.50386150673245766</v>
      </c>
      <c r="AF674">
        <f t="shared" si="290"/>
        <v>-4.3882288085525012</v>
      </c>
      <c r="AH674">
        <f t="shared" si="291"/>
        <v>1.3899157752366999E-2</v>
      </c>
      <c r="AI674">
        <f t="shared" si="291"/>
        <v>-5.0095439122857105E-2</v>
      </c>
      <c r="AJ674">
        <f t="shared" si="292"/>
        <v>-6.3994596875224102E-2</v>
      </c>
      <c r="AK674">
        <f t="shared" si="293"/>
        <v>-0.70102761231830146</v>
      </c>
      <c r="AM674">
        <f t="shared" si="294"/>
        <v>0.29158282730141843</v>
      </c>
      <c r="AN674">
        <f t="shared" si="294"/>
        <v>-9.7670464272033242E-2</v>
      </c>
      <c r="AO674">
        <f t="shared" si="295"/>
        <v>-0.38925329157345168</v>
      </c>
      <c r="AP674">
        <f t="shared" si="296"/>
        <v>-1.7402310164409165</v>
      </c>
      <c r="AR674">
        <f t="shared" si="297"/>
        <v>0.68128847517156355</v>
      </c>
      <c r="AS674">
        <f t="shared" si="298"/>
        <v>1.5746181793678649</v>
      </c>
      <c r="AT674">
        <f t="shared" si="299"/>
        <v>0.89332970419630131</v>
      </c>
      <c r="AU674">
        <f t="shared" si="300"/>
        <v>1.712532787926915</v>
      </c>
    </row>
    <row r="675" spans="1:47" x14ac:dyDescent="0.25">
      <c r="A675" s="4">
        <f>DATE(2021,12,29)</f>
        <v>44559</v>
      </c>
      <c r="C675">
        <v>54.594343071584717</v>
      </c>
      <c r="D675">
        <v>0.48756887487248968</v>
      </c>
      <c r="E675">
        <f t="shared" si="276"/>
        <v>-0.23341689378718614</v>
      </c>
      <c r="F675">
        <f t="shared" si="277"/>
        <v>-0.27175608297840192</v>
      </c>
      <c r="G675">
        <f t="shared" si="278"/>
        <v>-0.5119736139427552</v>
      </c>
      <c r="H675" s="2" t="str">
        <f t="shared" si="279"/>
        <v>Lower</v>
      </c>
      <c r="I675" s="2" t="str">
        <f t="shared" si="280"/>
        <v>Higher</v>
      </c>
      <c r="J675" s="2" t="str">
        <f t="shared" si="281"/>
        <v>Lower</v>
      </c>
      <c r="K675" s="2" t="str">
        <f t="shared" si="282"/>
        <v>Lower</v>
      </c>
      <c r="L675" s="2" t="str">
        <f t="shared" si="283"/>
        <v>Higher</v>
      </c>
      <c r="M675" s="2" t="str">
        <f t="shared" si="284"/>
        <v>Higher</v>
      </c>
      <c r="N675" s="2" t="str">
        <f t="shared" si="285"/>
        <v>Lower</v>
      </c>
      <c r="O675" s="2" t="str">
        <f t="shared" si="286"/>
        <v>Lower</v>
      </c>
      <c r="P675" s="2" t="str">
        <f t="shared" si="287"/>
        <v>Lower</v>
      </c>
      <c r="X675" s="4">
        <f>DATE(2021,12,29)</f>
        <v>44559</v>
      </c>
      <c r="Y675">
        <v>25.453732971880207</v>
      </c>
      <c r="Z675">
        <v>32.218236200117666</v>
      </c>
      <c r="AA675">
        <v>79.925000000000011</v>
      </c>
      <c r="AB675">
        <v>98.507000000000005</v>
      </c>
      <c r="AC675">
        <f t="shared" si="288"/>
        <v>3.3136040605775331E-2</v>
      </c>
      <c r="AD675">
        <f t="shared" si="288"/>
        <v>-0.56766971274501421</v>
      </c>
      <c r="AE675">
        <f t="shared" si="289"/>
        <v>-0.60080575335078956</v>
      </c>
      <c r="AF675">
        <f t="shared" si="290"/>
        <v>-5.3489644364530591</v>
      </c>
      <c r="AH675">
        <f t="shared" si="291"/>
        <v>3.9623672028146421E-2</v>
      </c>
      <c r="AI675">
        <f t="shared" si="291"/>
        <v>3.723804939680099E-2</v>
      </c>
      <c r="AJ675">
        <f t="shared" si="292"/>
        <v>-2.3856226313454312E-3</v>
      </c>
      <c r="AK675">
        <f t="shared" si="293"/>
        <v>-0.40998460563713557</v>
      </c>
      <c r="AM675">
        <f t="shared" si="294"/>
        <v>0.27770180473957573</v>
      </c>
      <c r="AN675">
        <f t="shared" si="294"/>
        <v>-0.13475042302661405</v>
      </c>
      <c r="AO675">
        <f t="shared" si="295"/>
        <v>-0.41245222776618978</v>
      </c>
      <c r="AP675">
        <f t="shared" si="296"/>
        <v>-1.8210045638721004</v>
      </c>
      <c r="AR675">
        <f t="shared" si="297"/>
        <v>0.65768704846024184</v>
      </c>
      <c r="AS675">
        <f t="shared" si="298"/>
        <v>1.6719515563077068</v>
      </c>
      <c r="AT675">
        <f t="shared" si="299"/>
        <v>1.0142645078474648</v>
      </c>
      <c r="AU675">
        <f t="shared" si="300"/>
        <v>2.0566559950463494</v>
      </c>
    </row>
    <row r="676" spans="1:47" x14ac:dyDescent="0.25">
      <c r="A676" s="4">
        <f>DATE(2021,12,28)</f>
        <v>44558</v>
      </c>
      <c r="C676">
        <v>53.278197278821416</v>
      </c>
      <c r="D676">
        <v>0.42715247126163236</v>
      </c>
      <c r="E676">
        <f t="shared" si="276"/>
        <v>-0.23771720573530056</v>
      </c>
      <c r="F676">
        <f t="shared" si="277"/>
        <v>-0.40852393683196292</v>
      </c>
      <c r="G676">
        <f t="shared" si="278"/>
        <v>-0.72025398946459951</v>
      </c>
      <c r="H676" s="2" t="str">
        <f t="shared" si="279"/>
        <v>Lower</v>
      </c>
      <c r="I676" s="2" t="str">
        <f t="shared" si="280"/>
        <v>Higher</v>
      </c>
      <c r="J676" s="2" t="str">
        <f t="shared" si="281"/>
        <v>Lower</v>
      </c>
      <c r="K676" s="2" t="str">
        <f t="shared" si="282"/>
        <v>Lower</v>
      </c>
      <c r="L676" s="2" t="str">
        <f t="shared" si="283"/>
        <v>Higher</v>
      </c>
      <c r="M676" s="2" t="str">
        <f t="shared" si="284"/>
        <v>Higher</v>
      </c>
      <c r="N676" s="2" t="str">
        <f t="shared" si="285"/>
        <v>Lower</v>
      </c>
      <c r="O676" s="2" t="str">
        <f t="shared" si="286"/>
        <v>Lower</v>
      </c>
      <c r="P676" s="2" t="str">
        <f t="shared" si="287"/>
        <v>Lower</v>
      </c>
      <c r="X676" s="4">
        <f>DATE(2021,12,28)</f>
        <v>44558</v>
      </c>
      <c r="Y676">
        <v>24.5874567043101</v>
      </c>
      <c r="Z676">
        <v>34.094109031061983</v>
      </c>
      <c r="AA676">
        <v>78.62</v>
      </c>
      <c r="AB676">
        <v>106.59</v>
      </c>
      <c r="AC676">
        <f t="shared" si="288"/>
        <v>-2.61744112315286E-2</v>
      </c>
      <c r="AD676">
        <f t="shared" si="288"/>
        <v>-0.49365255051428247</v>
      </c>
      <c r="AE676">
        <f t="shared" si="289"/>
        <v>-0.46747813928275389</v>
      </c>
      <c r="AF676">
        <f t="shared" si="290"/>
        <v>-4.4093583432163657</v>
      </c>
      <c r="AH676">
        <f t="shared" si="291"/>
        <v>4.9340430012603784E-2</v>
      </c>
      <c r="AI676">
        <f t="shared" si="291"/>
        <v>0.12692173249200461</v>
      </c>
      <c r="AJ676">
        <f t="shared" si="292"/>
        <v>7.7581302479400829E-2</v>
      </c>
      <c r="AK676">
        <f t="shared" si="293"/>
        <v>-3.1441117835198436E-2</v>
      </c>
      <c r="AM676">
        <f t="shared" si="294"/>
        <v>0.19617953801655952</v>
      </c>
      <c r="AN676">
        <f t="shared" si="294"/>
        <v>-7.4528386896539386E-2</v>
      </c>
      <c r="AO676">
        <f t="shared" si="295"/>
        <v>-0.27070792491309892</v>
      </c>
      <c r="AP676">
        <f t="shared" si="296"/>
        <v>-1.4169355554448744</v>
      </c>
      <c r="AR676">
        <f t="shared" si="297"/>
        <v>0.63274704411174876</v>
      </c>
      <c r="AS676">
        <f t="shared" si="298"/>
        <v>1.7674994256580683</v>
      </c>
      <c r="AT676">
        <f t="shared" si="299"/>
        <v>1.1347523815463196</v>
      </c>
      <c r="AU676">
        <f t="shared" si="300"/>
        <v>2.4035613462861019</v>
      </c>
    </row>
    <row r="677" spans="1:47" x14ac:dyDescent="0.25">
      <c r="A677" s="4">
        <f>DATE(2021,12,27)</f>
        <v>44557</v>
      </c>
      <c r="C677">
        <v>50.316161686181182</v>
      </c>
      <c r="D677">
        <v>0.28888030137130533</v>
      </c>
      <c r="E677">
        <f t="shared" si="276"/>
        <v>-0.24146526990237718</v>
      </c>
      <c r="F677">
        <f t="shared" si="277"/>
        <v>-0.70477708071808243</v>
      </c>
      <c r="G677">
        <f t="shared" si="278"/>
        <v>-1.1847011845229369</v>
      </c>
      <c r="H677" s="2" t="str">
        <f t="shared" si="279"/>
        <v>Higher</v>
      </c>
      <c r="I677" s="2" t="str">
        <f t="shared" si="280"/>
        <v>Higher</v>
      </c>
      <c r="J677" s="2" t="str">
        <f t="shared" si="281"/>
        <v>Lower</v>
      </c>
      <c r="K677" s="2" t="str">
        <f t="shared" si="282"/>
        <v>Lower</v>
      </c>
      <c r="L677" s="2" t="str">
        <f t="shared" si="283"/>
        <v>Higher</v>
      </c>
      <c r="M677" s="2" t="str">
        <f t="shared" si="284"/>
        <v>Higher</v>
      </c>
      <c r="N677" s="2" t="str">
        <f t="shared" si="285"/>
        <v>Lower</v>
      </c>
      <c r="O677" s="2" t="str">
        <f t="shared" si="286"/>
        <v>Lower</v>
      </c>
      <c r="P677" s="2" t="str">
        <f t="shared" si="287"/>
        <v>Lower</v>
      </c>
      <c r="X677" s="4">
        <f>DATE(2021,12,27)</f>
        <v>44557</v>
      </c>
      <c r="Y677">
        <v>21.537339447675013</v>
      </c>
      <c r="Z677">
        <v>34.149420687997896</v>
      </c>
      <c r="AA677">
        <v>76.502499999999998</v>
      </c>
      <c r="AB677">
        <v>105.16974999999999</v>
      </c>
      <c r="AC677">
        <f t="shared" si="288"/>
        <v>-2.1562522195157901E-2</v>
      </c>
      <c r="AD677">
        <f t="shared" si="288"/>
        <v>-0.32418276222482106</v>
      </c>
      <c r="AE677">
        <f t="shared" si="289"/>
        <v>-0.30262024002966315</v>
      </c>
      <c r="AF677">
        <f t="shared" si="290"/>
        <v>-3.0392553096078463</v>
      </c>
      <c r="AH677">
        <f t="shared" si="291"/>
        <v>2.7531513135241166E-2</v>
      </c>
      <c r="AI677">
        <f t="shared" si="291"/>
        <v>0.12031310085263529</v>
      </c>
      <c r="AJ677">
        <f t="shared" si="292"/>
        <v>9.2781587717394115E-2</v>
      </c>
      <c r="AK677">
        <f t="shared" si="293"/>
        <v>4.0483611269560626E-2</v>
      </c>
      <c r="AM677">
        <f t="shared" si="294"/>
        <v>0.18785955859390102</v>
      </c>
      <c r="AN677">
        <f t="shared" si="294"/>
        <v>8.2673068005687259E-2</v>
      </c>
      <c r="AO677">
        <f t="shared" si="295"/>
        <v>-0.10518649058821376</v>
      </c>
      <c r="AP677">
        <f t="shared" si="296"/>
        <v>-0.93466696388866988</v>
      </c>
      <c r="AR677">
        <f t="shared" si="297"/>
        <v>0.58564523859952089</v>
      </c>
      <c r="AS677">
        <f t="shared" si="298"/>
        <v>1.7730821272281441</v>
      </c>
      <c r="AT677">
        <f t="shared" si="299"/>
        <v>1.1874368886286231</v>
      </c>
      <c r="AU677">
        <f t="shared" si="300"/>
        <v>2.5660647600185484</v>
      </c>
    </row>
    <row r="678" spans="1:47" x14ac:dyDescent="0.25">
      <c r="A678" s="4">
        <f>DATE(2021,12,24)</f>
        <v>44554</v>
      </c>
      <c r="C678">
        <v>49.551780918110659</v>
      </c>
      <c r="D678">
        <v>0.26294725559596915</v>
      </c>
      <c r="E678">
        <f t="shared" si="276"/>
        <v>-0.24494471070666116</v>
      </c>
      <c r="F678">
        <f t="shared" si="277"/>
        <v>-0.78983054174229461</v>
      </c>
      <c r="G678">
        <f t="shared" si="278"/>
        <v>-1.2886082264559451</v>
      </c>
      <c r="H678" s="2" t="str">
        <f t="shared" si="279"/>
        <v>Higher</v>
      </c>
      <c r="I678" s="2" t="str">
        <f t="shared" si="280"/>
        <v>Higher</v>
      </c>
      <c r="J678" s="2" t="str">
        <f t="shared" si="281"/>
        <v>Lower</v>
      </c>
      <c r="K678" s="2" t="str">
        <f t="shared" si="282"/>
        <v>Lower</v>
      </c>
      <c r="L678" s="2" t="str">
        <f t="shared" si="283"/>
        <v>Higher</v>
      </c>
      <c r="M678" s="2" t="str">
        <f t="shared" si="284"/>
        <v>Higher</v>
      </c>
      <c r="N678" s="2" t="str">
        <f t="shared" si="285"/>
        <v>Lower</v>
      </c>
      <c r="O678" s="2" t="str">
        <f t="shared" si="286"/>
        <v>Lower</v>
      </c>
      <c r="P678" s="2" t="str">
        <f t="shared" si="287"/>
        <v>Lower</v>
      </c>
      <c r="X678" s="4">
        <f>DATE(2021,12,24)</f>
        <v>44554</v>
      </c>
      <c r="Y678">
        <v>21.864661466152103</v>
      </c>
      <c r="AA678">
        <v>76</v>
      </c>
      <c r="AC678">
        <f t="shared" si="288"/>
        <v>1.1849122576543312E-3</v>
      </c>
      <c r="AD678" t="str">
        <f t="shared" si="288"/>
        <v/>
      </c>
      <c r="AE678" t="str">
        <f t="shared" si="289"/>
        <v/>
      </c>
      <c r="AF678" t="str">
        <f t="shared" si="290"/>
        <v/>
      </c>
      <c r="AH678">
        <f t="shared" si="291"/>
        <v>4.6560743281294836E-2</v>
      </c>
      <c r="AI678" t="str">
        <f t="shared" si="291"/>
        <v/>
      </c>
      <c r="AJ678" t="str">
        <f t="shared" si="292"/>
        <v/>
      </c>
      <c r="AK678" t="str">
        <f t="shared" si="293"/>
        <v/>
      </c>
      <c r="AM678">
        <f t="shared" si="294"/>
        <v>0.19949448688195526</v>
      </c>
      <c r="AN678" t="str">
        <f t="shared" si="294"/>
        <v/>
      </c>
      <c r="AO678" t="str">
        <f t="shared" si="295"/>
        <v/>
      </c>
      <c r="AP678" t="str">
        <f t="shared" si="296"/>
        <v/>
      </c>
      <c r="AR678">
        <f t="shared" si="297"/>
        <v>0.5962831846299359</v>
      </c>
      <c r="AS678" t="str">
        <f t="shared" si="298"/>
        <v/>
      </c>
      <c r="AT678" t="str">
        <f t="shared" si="299"/>
        <v/>
      </c>
      <c r="AU678" t="str">
        <f t="shared" si="300"/>
        <v/>
      </c>
    </row>
    <row r="679" spans="1:47" x14ac:dyDescent="0.25">
      <c r="A679" s="4">
        <f>DATE(2021,12,23)</f>
        <v>44553</v>
      </c>
      <c r="C679">
        <v>47.267018844643481</v>
      </c>
      <c r="D679">
        <v>0.17164191083747188</v>
      </c>
      <c r="E679">
        <f t="shared" si="276"/>
        <v>-0.2477208087149198</v>
      </c>
      <c r="F679">
        <f t="shared" si="277"/>
        <v>-1.0236418547767057</v>
      </c>
      <c r="G679">
        <f t="shared" si="278"/>
        <v>-1.6101236668823233</v>
      </c>
      <c r="H679" s="2" t="str">
        <f t="shared" si="279"/>
        <v>Higher</v>
      </c>
      <c r="I679" s="2" t="str">
        <f t="shared" si="280"/>
        <v>Higher</v>
      </c>
      <c r="J679" s="2" t="str">
        <f t="shared" si="281"/>
        <v>Lower</v>
      </c>
      <c r="K679" s="2" t="str">
        <f t="shared" si="282"/>
        <v>Higher</v>
      </c>
      <c r="L679" s="2" t="str">
        <f t="shared" si="283"/>
        <v>Higher</v>
      </c>
      <c r="M679" s="2" t="str">
        <f t="shared" si="284"/>
        <v>Higher</v>
      </c>
      <c r="N679" s="2" t="str">
        <f t="shared" si="285"/>
        <v>Lower</v>
      </c>
      <c r="O679" s="2" t="str">
        <f t="shared" si="286"/>
        <v>Lower</v>
      </c>
      <c r="P679" s="2" t="str">
        <f t="shared" si="287"/>
        <v>Lower</v>
      </c>
      <c r="X679" s="4">
        <f>DATE(2021,12,23)</f>
        <v>44553</v>
      </c>
      <c r="Y679">
        <v>22.740773794027628</v>
      </c>
      <c r="Z679">
        <v>40.749938232178792</v>
      </c>
      <c r="AA679">
        <v>75.22999999999999</v>
      </c>
      <c r="AB679">
        <v>138.2045</v>
      </c>
      <c r="AC679">
        <f t="shared" si="288"/>
        <v>-0.10764422794675875</v>
      </c>
      <c r="AD679">
        <f t="shared" si="288"/>
        <v>-3.4346485083024537E-3</v>
      </c>
      <c r="AE679">
        <f t="shared" si="289"/>
        <v>0.1042095794384563</v>
      </c>
      <c r="AF679">
        <f t="shared" si="290"/>
        <v>0.68023848635454887</v>
      </c>
      <c r="AH679">
        <f t="shared" si="291"/>
        <v>1.6214760614120218E-2</v>
      </c>
      <c r="AI679" t="str">
        <f t="shared" si="291"/>
        <v/>
      </c>
      <c r="AJ679" t="str">
        <f t="shared" si="292"/>
        <v/>
      </c>
      <c r="AK679" t="str">
        <f t="shared" si="293"/>
        <v/>
      </c>
      <c r="AM679">
        <f t="shared" si="294"/>
        <v>0.19867142515670977</v>
      </c>
      <c r="AN679">
        <f t="shared" si="294"/>
        <v>0.35789179077007943</v>
      </c>
      <c r="AO679">
        <f t="shared" si="295"/>
        <v>0.15922036561336966</v>
      </c>
      <c r="AP679">
        <f t="shared" si="296"/>
        <v>-0.15644294080525245</v>
      </c>
      <c r="AR679">
        <f t="shared" si="297"/>
        <v>0.56652682679287314</v>
      </c>
      <c r="AS679">
        <f t="shared" si="298"/>
        <v>2.0464508912621087</v>
      </c>
      <c r="AT679">
        <f t="shared" si="299"/>
        <v>1.4799240644692355</v>
      </c>
      <c r="AU679">
        <f t="shared" si="300"/>
        <v>3.4155828207605574</v>
      </c>
    </row>
    <row r="680" spans="1:47" x14ac:dyDescent="0.25">
      <c r="A680" s="4">
        <f>DATE(2021,12,22)</f>
        <v>44552</v>
      </c>
      <c r="C680">
        <v>49.958521025244558</v>
      </c>
      <c r="D680">
        <v>0.30790554300215939</v>
      </c>
      <c r="E680">
        <f t="shared" si="276"/>
        <v>-0.24964630442508262</v>
      </c>
      <c r="F680">
        <f t="shared" si="277"/>
        <v>-0.77541880866318202</v>
      </c>
      <c r="G680">
        <f t="shared" si="278"/>
        <v>-1.1890248421713632</v>
      </c>
      <c r="H680" s="2" t="str">
        <f t="shared" si="279"/>
        <v>Higher</v>
      </c>
      <c r="I680" s="2" t="str">
        <f t="shared" si="280"/>
        <v>Higher</v>
      </c>
      <c r="J680" s="2" t="str">
        <f t="shared" si="281"/>
        <v>Lower</v>
      </c>
      <c r="K680" s="2" t="str">
        <f t="shared" si="282"/>
        <v>Higher</v>
      </c>
      <c r="L680" s="2" t="str">
        <f t="shared" si="283"/>
        <v>Higher</v>
      </c>
      <c r="M680" s="2" t="str">
        <f t="shared" si="284"/>
        <v>Higher</v>
      </c>
      <c r="N680" s="2" t="str">
        <f t="shared" si="285"/>
        <v>Higher</v>
      </c>
      <c r="O680" s="2" t="str">
        <f t="shared" si="286"/>
        <v>Lower</v>
      </c>
      <c r="P680" s="2" t="str">
        <f t="shared" si="287"/>
        <v>Lower</v>
      </c>
      <c r="X680" s="4">
        <f>DATE(2021,12,22)</f>
        <v>44552</v>
      </c>
      <c r="Y680">
        <v>24.039789804207189</v>
      </c>
      <c r="Z680">
        <v>53.598863323462865</v>
      </c>
      <c r="AA680">
        <v>77.319999999999993</v>
      </c>
      <c r="AB680">
        <v>173.78125</v>
      </c>
      <c r="AC680">
        <f t="shared" si="288"/>
        <v>-4.0211358042144443E-2</v>
      </c>
      <c r="AD680">
        <f t="shared" si="288"/>
        <v>0.29494110751469305</v>
      </c>
      <c r="AE680">
        <f t="shared" si="289"/>
        <v>0.33515246555683748</v>
      </c>
      <c r="AF680">
        <f t="shared" si="290"/>
        <v>2.8179195019345888</v>
      </c>
      <c r="AH680">
        <f t="shared" si="291"/>
        <v>7.1529620422418977E-2</v>
      </c>
      <c r="AI680">
        <f t="shared" si="291"/>
        <v>0.61502927656274831</v>
      </c>
      <c r="AJ680">
        <f t="shared" si="292"/>
        <v>0.54349965614032936</v>
      </c>
      <c r="AK680">
        <f t="shared" si="293"/>
        <v>2.1689228310584179</v>
      </c>
      <c r="AM680">
        <f t="shared" si="294"/>
        <v>0.21158681702229204</v>
      </c>
      <c r="AN680">
        <f t="shared" si="294"/>
        <v>0.69670827005806069</v>
      </c>
      <c r="AO680">
        <f t="shared" si="295"/>
        <v>0.48512145303576865</v>
      </c>
      <c r="AP680">
        <f t="shared" si="296"/>
        <v>0.80677548100390939</v>
      </c>
      <c r="AR680">
        <f t="shared" si="297"/>
        <v>0.59433938565962585</v>
      </c>
      <c r="AS680">
        <f t="shared" si="298"/>
        <v>2.2743942358077662</v>
      </c>
      <c r="AT680">
        <f t="shared" si="299"/>
        <v>1.6800548501481405</v>
      </c>
      <c r="AU680">
        <f t="shared" si="300"/>
        <v>4.0557159022523113</v>
      </c>
    </row>
    <row r="681" spans="1:47" x14ac:dyDescent="0.25">
      <c r="A681" s="4">
        <f>DATE(2021,12,21)</f>
        <v>44551</v>
      </c>
      <c r="C681">
        <v>55.001921254670314</v>
      </c>
      <c r="D681">
        <v>0.56090564828963008</v>
      </c>
      <c r="E681">
        <f t="shared" si="276"/>
        <v>-0.24973033541001755</v>
      </c>
      <c r="F681">
        <f t="shared" si="277"/>
        <v>-0.2914554955793579</v>
      </c>
      <c r="G681">
        <f t="shared" si="278"/>
        <v>-0.37204195622547337</v>
      </c>
      <c r="H681" s="2" t="str">
        <f t="shared" si="279"/>
        <v>Higher</v>
      </c>
      <c r="I681" s="2" t="str">
        <f t="shared" si="280"/>
        <v>Higher</v>
      </c>
      <c r="J681" s="2" t="str">
        <f t="shared" si="281"/>
        <v>Lower</v>
      </c>
      <c r="K681" s="2" t="str">
        <f t="shared" si="282"/>
        <v>Higher</v>
      </c>
      <c r="L681" s="2" t="str">
        <f t="shared" si="283"/>
        <v>Higher</v>
      </c>
      <c r="M681" s="2" t="str">
        <f t="shared" si="284"/>
        <v>Higher</v>
      </c>
      <c r="N681" s="2" t="str">
        <f t="shared" si="285"/>
        <v>Higher</v>
      </c>
      <c r="O681" s="2" t="str">
        <f t="shared" si="286"/>
        <v>Lower</v>
      </c>
      <c r="P681" s="2" t="str">
        <f t="shared" si="287"/>
        <v>Lower</v>
      </c>
      <c r="X681" s="4">
        <f>DATE(2021,12,21)</f>
        <v>44551</v>
      </c>
      <c r="Y681">
        <v>26.221447879234166</v>
      </c>
      <c r="Z681">
        <v>56.466204010430573</v>
      </c>
      <c r="AA681">
        <v>80.704999999999998</v>
      </c>
      <c r="AB681">
        <v>174.62524999999999</v>
      </c>
      <c r="AC681">
        <f t="shared" si="288"/>
        <v>7.337428765399564E-3</v>
      </c>
      <c r="AD681">
        <f t="shared" si="288"/>
        <v>0.32945639994929382</v>
      </c>
      <c r="AE681">
        <f t="shared" si="289"/>
        <v>0.32211897118389426</v>
      </c>
      <c r="AF681">
        <f t="shared" si="290"/>
        <v>2.7327079794725329</v>
      </c>
      <c r="AH681">
        <f t="shared" si="291"/>
        <v>0.1504454736187571</v>
      </c>
      <c r="AI681">
        <f t="shared" si="291"/>
        <v>0.66226607271332316</v>
      </c>
      <c r="AJ681">
        <f t="shared" si="292"/>
        <v>0.51182059909456612</v>
      </c>
      <c r="AK681">
        <f t="shared" si="293"/>
        <v>2.0361037125813541</v>
      </c>
      <c r="AM681">
        <f t="shared" si="294"/>
        <v>0.25068623475895357</v>
      </c>
      <c r="AN681">
        <f t="shared" si="294"/>
        <v>0.78110010688891152</v>
      </c>
      <c r="AO681">
        <f t="shared" si="295"/>
        <v>0.53041387212995794</v>
      </c>
      <c r="AP681">
        <f t="shared" si="296"/>
        <v>0.94188895713465492</v>
      </c>
      <c r="AR681">
        <f t="shared" si="297"/>
        <v>0.65688796181958686</v>
      </c>
      <c r="AS681">
        <f t="shared" si="298"/>
        <v>2.2943882965727824</v>
      </c>
      <c r="AT681">
        <f t="shared" si="299"/>
        <v>1.6375003347531956</v>
      </c>
      <c r="AU681">
        <f t="shared" si="300"/>
        <v>4.0490569325573711</v>
      </c>
    </row>
    <row r="682" spans="1:47" x14ac:dyDescent="0.25">
      <c r="A682" s="4">
        <f>DATE(2021,12,20)</f>
        <v>44550</v>
      </c>
      <c r="B682">
        <v>-0.92427683907155078</v>
      </c>
      <c r="C682">
        <v>54.112306151156815</v>
      </c>
      <c r="D682">
        <v>0.53931358450277667</v>
      </c>
      <c r="E682">
        <f t="shared" si="276"/>
        <v>-2.213603602305108</v>
      </c>
      <c r="F682">
        <f t="shared" si="277"/>
        <v>-0.38053638346447971</v>
      </c>
      <c r="G682">
        <f t="shared" si="278"/>
        <v>-0.44990400583626533</v>
      </c>
      <c r="H682" s="2" t="str">
        <f t="shared" si="279"/>
        <v>Higher</v>
      </c>
      <c r="I682" s="2" t="str">
        <f t="shared" si="280"/>
        <v>Higher</v>
      </c>
      <c r="J682" s="2" t="str">
        <f t="shared" si="281"/>
        <v>Lower</v>
      </c>
      <c r="K682" s="2" t="str">
        <f t="shared" si="282"/>
        <v>Higher</v>
      </c>
      <c r="L682" s="2" t="str">
        <f t="shared" si="283"/>
        <v>Higher</v>
      </c>
      <c r="M682" s="2" t="str">
        <f t="shared" si="284"/>
        <v>Higher</v>
      </c>
      <c r="N682" s="2" t="str">
        <f t="shared" si="285"/>
        <v>Higher</v>
      </c>
      <c r="O682" s="2" t="str">
        <f t="shared" si="286"/>
        <v>Lower</v>
      </c>
      <c r="P682" s="2" t="str">
        <f t="shared" si="287"/>
        <v>Lower</v>
      </c>
      <c r="X682" s="4">
        <f>DATE(2021,12,20)</f>
        <v>44550</v>
      </c>
      <c r="Y682">
        <v>25.24135373126326</v>
      </c>
      <c r="Z682">
        <v>45.558017002817536</v>
      </c>
      <c r="AA682">
        <v>78.17</v>
      </c>
      <c r="AB682">
        <v>145.43924999999999</v>
      </c>
      <c r="AC682">
        <f t="shared" si="288"/>
        <v>-6.1850457775623653E-2</v>
      </c>
      <c r="AD682">
        <f t="shared" si="288"/>
        <v>0.22782266752568414</v>
      </c>
      <c r="AE682">
        <f t="shared" si="289"/>
        <v>0.28967312530130779</v>
      </c>
      <c r="AF682">
        <f t="shared" si="290"/>
        <v>2.4602334741329908</v>
      </c>
      <c r="AH682">
        <f t="shared" si="291"/>
        <v>0.10939119984979657</v>
      </c>
      <c r="AI682">
        <f t="shared" si="291"/>
        <v>0.54892977011583854</v>
      </c>
      <c r="AJ682">
        <f t="shared" si="292"/>
        <v>0.43953857026604198</v>
      </c>
      <c r="AK682">
        <f t="shared" si="293"/>
        <v>1.7059521849382446</v>
      </c>
      <c r="AM682">
        <f t="shared" si="294"/>
        <v>0.19454900819010346</v>
      </c>
      <c r="AN682">
        <f t="shared" si="294"/>
        <v>0.6457935185550906</v>
      </c>
      <c r="AO682">
        <f t="shared" si="295"/>
        <v>0.45124451036498714</v>
      </c>
      <c r="AP682">
        <f t="shared" si="296"/>
        <v>0.71017456505691812</v>
      </c>
      <c r="AR682">
        <f t="shared" si="297"/>
        <v>0.60820608721285607</v>
      </c>
      <c r="AS682">
        <f t="shared" si="298"/>
        <v>2.080950181377931</v>
      </c>
      <c r="AT682">
        <f t="shared" si="299"/>
        <v>1.4727440941650749</v>
      </c>
      <c r="AU682">
        <f t="shared" si="300"/>
        <v>3.6646197666585114</v>
      </c>
    </row>
    <row r="683" spans="1:47" x14ac:dyDescent="0.25">
      <c r="A683" s="4">
        <f>DATE(2021,12,17)</f>
        <v>44547</v>
      </c>
      <c r="B683">
        <v>-0.87256231899217251</v>
      </c>
      <c r="C683">
        <v>47.149519025531099</v>
      </c>
      <c r="D683">
        <v>0.26665750821618528</v>
      </c>
      <c r="E683">
        <f t="shared" si="276"/>
        <v>-2.1533335246295264</v>
      </c>
      <c r="F683">
        <f t="shared" si="277"/>
        <v>-1.0625312653032764</v>
      </c>
      <c r="G683">
        <f t="shared" si="278"/>
        <v>-1.351643896893119</v>
      </c>
      <c r="H683" s="2" t="str">
        <f t="shared" si="279"/>
        <v>Higher</v>
      </c>
      <c r="I683" s="2" t="str">
        <f t="shared" si="280"/>
        <v>Higher</v>
      </c>
      <c r="J683" s="2" t="str">
        <f t="shared" si="281"/>
        <v>Lower</v>
      </c>
      <c r="K683" s="2" t="str">
        <f t="shared" si="282"/>
        <v>Higher</v>
      </c>
      <c r="L683" s="2" t="str">
        <f t="shared" si="283"/>
        <v>Higher</v>
      </c>
      <c r="M683" s="2" t="str">
        <f t="shared" si="284"/>
        <v>Higher</v>
      </c>
      <c r="N683" s="2" t="str">
        <f t="shared" si="285"/>
        <v>Higher</v>
      </c>
      <c r="O683" s="2" t="str">
        <f t="shared" si="286"/>
        <v>Lower</v>
      </c>
      <c r="P683" s="2" t="str">
        <f t="shared" si="287"/>
        <v>Lower</v>
      </c>
      <c r="X683" s="4">
        <f>DATE(2021,12,17)</f>
        <v>44547</v>
      </c>
      <c r="Y683">
        <v>28.832482766360879</v>
      </c>
      <c r="Z683">
        <v>42.350958230034465</v>
      </c>
      <c r="AA683">
        <v>75.91</v>
      </c>
      <c r="AB683">
        <v>134.45650000000001</v>
      </c>
      <c r="AC683">
        <f t="shared" si="288"/>
        <v>-8.6728655782420977E-2</v>
      </c>
      <c r="AD683">
        <f t="shared" si="288"/>
        <v>0.24696614016159349</v>
      </c>
      <c r="AE683">
        <f t="shared" si="289"/>
        <v>0.33369479594401447</v>
      </c>
      <c r="AF683">
        <f t="shared" si="290"/>
        <v>2.9037512867757935</v>
      </c>
      <c r="AH683">
        <f t="shared" si="291"/>
        <v>9.106744744743249E-2</v>
      </c>
      <c r="AI683">
        <f t="shared" si="291"/>
        <v>0.42568105854918736</v>
      </c>
      <c r="AJ683">
        <f t="shared" si="292"/>
        <v>0.33461361110175486</v>
      </c>
      <c r="AK683">
        <f t="shared" si="293"/>
        <v>1.2129677974628237</v>
      </c>
      <c r="AM683">
        <f t="shared" si="294"/>
        <v>0.1945418840876865</v>
      </c>
      <c r="AN683">
        <f t="shared" si="294"/>
        <v>0.65408566796558976</v>
      </c>
      <c r="AO683">
        <f t="shared" si="295"/>
        <v>0.45954378387790329</v>
      </c>
      <c r="AP683">
        <f t="shared" si="296"/>
        <v>0.73569857836642483</v>
      </c>
      <c r="AR683">
        <f t="shared" si="297"/>
        <v>0.57945628974675123</v>
      </c>
      <c r="AS683">
        <f t="shared" si="298"/>
        <v>1.9916792743666867</v>
      </c>
      <c r="AT683">
        <f t="shared" si="299"/>
        <v>1.4122229846199355</v>
      </c>
      <c r="AU683">
        <f t="shared" si="300"/>
        <v>3.5553972820906115</v>
      </c>
    </row>
    <row r="684" spans="1:47" x14ac:dyDescent="0.25">
      <c r="A684" s="4">
        <f>DATE(2021,12,16)</f>
        <v>44546</v>
      </c>
      <c r="B684">
        <v>-0.16218372649461266</v>
      </c>
      <c r="C684">
        <v>64.18346895596811</v>
      </c>
      <c r="D684">
        <v>0.81261744147875259</v>
      </c>
      <c r="E684">
        <f t="shared" si="276"/>
        <v>-0.63514521551658598</v>
      </c>
      <c r="F684">
        <f t="shared" si="277"/>
        <v>0.60519953591218811</v>
      </c>
      <c r="G684">
        <f t="shared" si="278"/>
        <v>0.44767644758837599</v>
      </c>
      <c r="H684" s="2" t="str">
        <f t="shared" si="279"/>
        <v>Higher</v>
      </c>
      <c r="I684" s="2" t="str">
        <f t="shared" si="280"/>
        <v>Higher</v>
      </c>
      <c r="J684" s="2" t="str">
        <f t="shared" si="281"/>
        <v>Lower</v>
      </c>
      <c r="K684" s="2" t="str">
        <f t="shared" si="282"/>
        <v>Higher</v>
      </c>
      <c r="L684" s="2" t="str">
        <f t="shared" si="283"/>
        <v>Higher</v>
      </c>
      <c r="M684" s="2" t="str">
        <f t="shared" si="284"/>
        <v>Higher</v>
      </c>
      <c r="N684" s="2" t="str">
        <f t="shared" si="285"/>
        <v>Higher</v>
      </c>
      <c r="O684" s="2" t="str">
        <f t="shared" si="286"/>
        <v>Higher</v>
      </c>
      <c r="P684" s="2" t="str">
        <f t="shared" si="287"/>
        <v>Lower</v>
      </c>
      <c r="X684" s="4">
        <f>DATE(2021,12,16)</f>
        <v>44546</v>
      </c>
      <c r="Y684">
        <v>35.987365605116274</v>
      </c>
      <c r="Z684">
        <v>49.594983577271165</v>
      </c>
      <c r="AA684">
        <v>83.78</v>
      </c>
      <c r="AB684">
        <v>138.68</v>
      </c>
      <c r="AC684">
        <f t="shared" si="288"/>
        <v>1.4457069193214565E-2</v>
      </c>
      <c r="AD684">
        <f t="shared" si="288"/>
        <v>0.32099201256533005</v>
      </c>
      <c r="AE684">
        <f t="shared" si="289"/>
        <v>0.30653494337211551</v>
      </c>
      <c r="AF684">
        <f t="shared" si="290"/>
        <v>2.6829926672729738</v>
      </c>
      <c r="AH684">
        <f t="shared" si="291"/>
        <v>0.20234645753776453</v>
      </c>
      <c r="AI684">
        <f t="shared" si="291"/>
        <v>0.38622094701211429</v>
      </c>
      <c r="AJ684">
        <f t="shared" si="292"/>
        <v>0.18387448947434976</v>
      </c>
      <c r="AK684">
        <f t="shared" si="293"/>
        <v>0.49491091398119635</v>
      </c>
      <c r="AM684">
        <f t="shared" si="294"/>
        <v>0.3281576507602712</v>
      </c>
      <c r="AN684">
        <f t="shared" si="294"/>
        <v>0.69056183206046373</v>
      </c>
      <c r="AO684">
        <f t="shared" si="295"/>
        <v>0.36240418130019253</v>
      </c>
      <c r="AP684">
        <f t="shared" si="296"/>
        <v>0.45088687790456045</v>
      </c>
      <c r="AR684">
        <f t="shared" si="297"/>
        <v>0.69320686245545993</v>
      </c>
      <c r="AS684">
        <f t="shared" si="298"/>
        <v>2.0434654200213553</v>
      </c>
      <c r="AT684">
        <f t="shared" si="299"/>
        <v>1.3502585575658954</v>
      </c>
      <c r="AU684">
        <f t="shared" si="300"/>
        <v>3.4289847960201847</v>
      </c>
    </row>
    <row r="685" spans="1:47" x14ac:dyDescent="0.25">
      <c r="A685" s="4">
        <f>DATE(2021,12,15)</f>
        <v>44545</v>
      </c>
      <c r="B685">
        <v>-0.254503574140025</v>
      </c>
      <c r="C685">
        <v>59.082255590101731</v>
      </c>
      <c r="D685">
        <v>0.65045027923517917</v>
      </c>
      <c r="E685">
        <f t="shared" si="276"/>
        <v>-0.83450769189973961</v>
      </c>
      <c r="F685">
        <f t="shared" si="277"/>
        <v>0.11610576031339249</v>
      </c>
      <c r="G685">
        <f t="shared" si="278"/>
        <v>-7.5410416267634048E-2</v>
      </c>
      <c r="H685" s="2" t="str">
        <f t="shared" si="279"/>
        <v>Higher</v>
      </c>
      <c r="I685" s="2" t="str">
        <f t="shared" si="280"/>
        <v>Higher</v>
      </c>
      <c r="J685" s="2" t="str">
        <f t="shared" si="281"/>
        <v>Lower</v>
      </c>
      <c r="K685" s="2" t="str">
        <f t="shared" si="282"/>
        <v>Higher</v>
      </c>
      <c r="L685" s="2" t="str">
        <f t="shared" si="283"/>
        <v>Higher</v>
      </c>
      <c r="M685" s="2" t="str">
        <f t="shared" si="284"/>
        <v>Higher</v>
      </c>
      <c r="N685" s="2" t="str">
        <f t="shared" si="285"/>
        <v>Higher</v>
      </c>
      <c r="O685" s="2" t="str">
        <f t="shared" si="286"/>
        <v>Higher</v>
      </c>
      <c r="P685" s="2" t="str">
        <f t="shared" si="287"/>
        <v>Lower</v>
      </c>
      <c r="X685" s="4">
        <f>DATE(2021,12,15)</f>
        <v>44545</v>
      </c>
      <c r="Y685">
        <v>32.002040561367117</v>
      </c>
      <c r="Z685">
        <v>47.295212295610696</v>
      </c>
      <c r="AA685">
        <v>80.492500000000007</v>
      </c>
      <c r="AB685">
        <v>129.39324999999999</v>
      </c>
      <c r="AC685">
        <f t="shared" si="288"/>
        <v>-9.365139457571188E-2</v>
      </c>
      <c r="AD685">
        <f t="shared" si="288"/>
        <v>0.2441801473194983</v>
      </c>
      <c r="AE685">
        <f t="shared" si="289"/>
        <v>0.3378315418952102</v>
      </c>
      <c r="AF685">
        <f t="shared" si="290"/>
        <v>3.0187608033465994</v>
      </c>
      <c r="AH685">
        <f t="shared" si="291"/>
        <v>0.17781577440386778</v>
      </c>
      <c r="AI685">
        <f t="shared" si="291"/>
        <v>0.2962657495192228</v>
      </c>
      <c r="AJ685">
        <f t="shared" si="292"/>
        <v>0.11844997511535502</v>
      </c>
      <c r="AK685">
        <f t="shared" si="293"/>
        <v>0.18264897837128061</v>
      </c>
      <c r="AM685">
        <f t="shared" si="294"/>
        <v>0.2865128749777357</v>
      </c>
      <c r="AN685">
        <f t="shared" si="294"/>
        <v>0.5932846492218693</v>
      </c>
      <c r="AO685">
        <f t="shared" si="295"/>
        <v>0.3067717742441336</v>
      </c>
      <c r="AP685">
        <f t="shared" si="296"/>
        <v>0.28789547856064712</v>
      </c>
      <c r="AR685">
        <f t="shared" si="297"/>
        <v>0.66591022888324047</v>
      </c>
      <c r="AS685">
        <f t="shared" si="298"/>
        <v>1.999085140774159</v>
      </c>
      <c r="AT685">
        <f t="shared" si="299"/>
        <v>1.3331749118909184</v>
      </c>
      <c r="AU685">
        <f t="shared" si="300"/>
        <v>3.4336682121875599</v>
      </c>
    </row>
    <row r="686" spans="1:47" x14ac:dyDescent="0.25">
      <c r="A686" s="4">
        <f>DATE(2021,12,14)</f>
        <v>44544</v>
      </c>
      <c r="B686">
        <v>-1.5706072750150568E-2</v>
      </c>
      <c r="C686">
        <v>57.747399791256953</v>
      </c>
      <c r="D686">
        <v>0.62655234851547126</v>
      </c>
      <c r="E686">
        <f t="shared" si="276"/>
        <v>-0.31051049593664309</v>
      </c>
      <c r="F686">
        <f t="shared" si="277"/>
        <v>-7.2910092673941556E-3</v>
      </c>
      <c r="G686">
        <f t="shared" si="278"/>
        <v>-0.14498925742582813</v>
      </c>
      <c r="H686" s="2" t="str">
        <f t="shared" si="279"/>
        <v>Higher</v>
      </c>
      <c r="I686" s="2" t="str">
        <f t="shared" si="280"/>
        <v>Higher</v>
      </c>
      <c r="J686" s="2" t="str">
        <f t="shared" si="281"/>
        <v>Lower</v>
      </c>
      <c r="K686" s="2" t="str">
        <f t="shared" si="282"/>
        <v>Higher</v>
      </c>
      <c r="L686" s="2" t="str">
        <f t="shared" si="283"/>
        <v>Higher</v>
      </c>
      <c r="M686" s="2" t="str">
        <f t="shared" si="284"/>
        <v>Higher</v>
      </c>
      <c r="N686" s="2" t="str">
        <f t="shared" si="285"/>
        <v>Higher</v>
      </c>
      <c r="O686" s="2" t="str">
        <f t="shared" si="286"/>
        <v>Higher</v>
      </c>
      <c r="P686" s="2" t="str">
        <f t="shared" si="287"/>
        <v>Lower</v>
      </c>
      <c r="X686" s="4">
        <f>DATE(2021,12,14)</f>
        <v>44544</v>
      </c>
      <c r="Y686">
        <v>33.390192383912812</v>
      </c>
      <c r="Z686">
        <v>49.683240890514739</v>
      </c>
      <c r="AA686">
        <v>80.115000000000009</v>
      </c>
      <c r="AB686">
        <v>125.6105</v>
      </c>
      <c r="AC686">
        <f t="shared" si="288"/>
        <v>-5.1274571126706775E-2</v>
      </c>
      <c r="AD686">
        <f t="shared" si="288"/>
        <v>0.27342106223362711</v>
      </c>
      <c r="AE686">
        <f t="shared" si="289"/>
        <v>0.32469563336033391</v>
      </c>
      <c r="AF686">
        <f t="shared" si="290"/>
        <v>2.9350900115933878</v>
      </c>
      <c r="AH686">
        <f t="shared" si="291"/>
        <v>0.17445146525961694</v>
      </c>
      <c r="AI686">
        <f t="shared" si="291"/>
        <v>0.31426278692902199</v>
      </c>
      <c r="AJ686">
        <f t="shared" si="292"/>
        <v>0.13981132166940505</v>
      </c>
      <c r="AK686">
        <f t="shared" si="293"/>
        <v>0.28492031429784798</v>
      </c>
      <c r="AM686">
        <f t="shared" si="294"/>
        <v>0.28259817741450882</v>
      </c>
      <c r="AN686">
        <f t="shared" si="294"/>
        <v>0.53617599121123349</v>
      </c>
      <c r="AO686">
        <f t="shared" si="295"/>
        <v>0.25357781379672467</v>
      </c>
      <c r="AP686">
        <f t="shared" si="296"/>
        <v>0.13212774716532097</v>
      </c>
      <c r="AR686">
        <f t="shared" si="297"/>
        <v>0.68748391123068431</v>
      </c>
      <c r="AS686">
        <f t="shared" si="298"/>
        <v>2.0118069628568209</v>
      </c>
      <c r="AT686">
        <f t="shared" si="299"/>
        <v>1.3243230516261366</v>
      </c>
      <c r="AU686">
        <f t="shared" si="300"/>
        <v>3.4644342072540781</v>
      </c>
    </row>
    <row r="687" spans="1:47" x14ac:dyDescent="0.25">
      <c r="A687" s="4">
        <f>DATE(2021,12,13)</f>
        <v>44543</v>
      </c>
      <c r="B687">
        <v>0.39956727445429774</v>
      </c>
      <c r="C687">
        <v>62.660219797541231</v>
      </c>
      <c r="D687">
        <v>0.75244366598722912</v>
      </c>
      <c r="E687">
        <f t="shared" si="276"/>
        <v>0.60351823943974303</v>
      </c>
      <c r="F687">
        <f t="shared" si="277"/>
        <v>0.4780128283516677</v>
      </c>
      <c r="G687">
        <f t="shared" si="278"/>
        <v>0.27318808068896178</v>
      </c>
      <c r="H687" s="2" t="str">
        <f t="shared" si="279"/>
        <v>Higher</v>
      </c>
      <c r="I687" s="2" t="str">
        <f t="shared" si="280"/>
        <v>Higher</v>
      </c>
      <c r="J687" s="2" t="str">
        <f t="shared" si="281"/>
        <v>Lower</v>
      </c>
      <c r="K687" s="2" t="str">
        <f t="shared" si="282"/>
        <v>Higher</v>
      </c>
      <c r="L687" s="2" t="str">
        <f t="shared" si="283"/>
        <v>Higher</v>
      </c>
      <c r="M687" s="2" t="str">
        <f t="shared" si="284"/>
        <v>Higher</v>
      </c>
      <c r="N687" s="2" t="str">
        <f t="shared" si="285"/>
        <v>Higher</v>
      </c>
      <c r="O687" s="2" t="str">
        <f t="shared" si="286"/>
        <v>Higher</v>
      </c>
      <c r="P687" s="2" t="str">
        <f t="shared" si="287"/>
        <v>Lower</v>
      </c>
      <c r="X687" s="4">
        <f>DATE(2021,12,13)</f>
        <v>44543</v>
      </c>
      <c r="Y687">
        <v>36.841148027807414</v>
      </c>
      <c r="Z687">
        <v>45.157701981763324</v>
      </c>
      <c r="AA687">
        <v>83.157499999999999</v>
      </c>
      <c r="AB687">
        <v>115.80825</v>
      </c>
      <c r="AC687">
        <f t="shared" si="288"/>
        <v>3.0834605962507151E-2</v>
      </c>
      <c r="AD687">
        <f t="shared" si="288"/>
        <v>0.26124817089018809</v>
      </c>
      <c r="AE687">
        <f t="shared" si="289"/>
        <v>0.23041356492768095</v>
      </c>
      <c r="AF687">
        <f t="shared" si="290"/>
        <v>2.0408240354824141</v>
      </c>
      <c r="AH687">
        <f t="shared" si="291"/>
        <v>0.23723692647486921</v>
      </c>
      <c r="AI687">
        <f t="shared" si="291"/>
        <v>0.36905328782353841</v>
      </c>
      <c r="AJ687">
        <f t="shared" si="292"/>
        <v>0.1318163613486692</v>
      </c>
      <c r="AK687">
        <f t="shared" si="293"/>
        <v>0.24715537835902737</v>
      </c>
      <c r="AM687">
        <f t="shared" si="294"/>
        <v>0.32260734136807023</v>
      </c>
      <c r="AN687">
        <f t="shared" si="294"/>
        <v>0.46237060030181421</v>
      </c>
      <c r="AO687">
        <f t="shared" si="295"/>
        <v>0.13976325893374397</v>
      </c>
      <c r="AP687">
        <f t="shared" si="296"/>
        <v>-0.20105500650881902</v>
      </c>
      <c r="AR687">
        <f t="shared" si="297"/>
        <v>0.7571106533685954</v>
      </c>
      <c r="AS687">
        <f t="shared" si="298"/>
        <v>1.9642275867168484</v>
      </c>
      <c r="AT687">
        <f t="shared" si="299"/>
        <v>1.207116933348253</v>
      </c>
      <c r="AU687">
        <f t="shared" si="300"/>
        <v>3.1392158382877851</v>
      </c>
    </row>
    <row r="688" spans="1:47" x14ac:dyDescent="0.25">
      <c r="A688" s="4">
        <f>DATE(2021,12,10)</f>
        <v>44540</v>
      </c>
      <c r="B688">
        <v>0.68895517480304758</v>
      </c>
      <c r="C688">
        <v>65.831766675430458</v>
      </c>
      <c r="D688">
        <v>0.84013158499055041</v>
      </c>
      <c r="E688">
        <f t="shared" si="276"/>
        <v>1.2472434863458441</v>
      </c>
      <c r="F688">
        <f t="shared" si="277"/>
        <v>0.7932953921051149</v>
      </c>
      <c r="G688">
        <f t="shared" si="278"/>
        <v>0.56181270666744576</v>
      </c>
      <c r="H688" s="2" t="str">
        <f t="shared" si="279"/>
        <v>Higher</v>
      </c>
      <c r="I688" s="2" t="str">
        <f t="shared" si="280"/>
        <v>Higher</v>
      </c>
      <c r="J688" s="2" t="str">
        <f t="shared" si="281"/>
        <v>Lower</v>
      </c>
      <c r="K688" s="2" t="str">
        <f t="shared" si="282"/>
        <v>Higher</v>
      </c>
      <c r="L688" s="2" t="str">
        <f t="shared" si="283"/>
        <v>Higher</v>
      </c>
      <c r="M688" s="2" t="str">
        <f t="shared" si="284"/>
        <v>Higher</v>
      </c>
      <c r="N688" s="2" t="str">
        <f t="shared" si="285"/>
        <v>Higher</v>
      </c>
      <c r="O688" s="2" t="str">
        <f t="shared" si="286"/>
        <v>Higher</v>
      </c>
      <c r="P688" s="2" t="str">
        <f t="shared" si="287"/>
        <v>Lower</v>
      </c>
      <c r="X688" s="4">
        <f>DATE(2021,12,10)</f>
        <v>44540</v>
      </c>
      <c r="Y688">
        <v>34.754585538065754</v>
      </c>
      <c r="Z688">
        <v>38.980088831742627</v>
      </c>
      <c r="AA688">
        <v>82.787499999999994</v>
      </c>
      <c r="AB688">
        <v>105.03299999999999</v>
      </c>
      <c r="AC688">
        <f t="shared" si="288"/>
        <v>5.0252806614721875E-2</v>
      </c>
      <c r="AD688">
        <f t="shared" si="288"/>
        <v>0.15312137467589629</v>
      </c>
      <c r="AE688">
        <f t="shared" si="289"/>
        <v>0.10286856806117442</v>
      </c>
      <c r="AF688">
        <f t="shared" si="290"/>
        <v>0.78371577904093515</v>
      </c>
      <c r="AH688">
        <f t="shared" si="291"/>
        <v>0.26472549781941918</v>
      </c>
      <c r="AI688">
        <f t="shared" si="291"/>
        <v>0.32624225908241794</v>
      </c>
      <c r="AJ688">
        <f t="shared" si="292"/>
        <v>6.1516761262998765E-2</v>
      </c>
      <c r="AK688">
        <f t="shared" si="293"/>
        <v>-8.7357526371143135E-2</v>
      </c>
      <c r="AM688">
        <f t="shared" si="294"/>
        <v>0.32954475459113852</v>
      </c>
      <c r="AN688">
        <f t="shared" si="294"/>
        <v>0.48053752794034843</v>
      </c>
      <c r="AO688">
        <f t="shared" si="295"/>
        <v>0.15099277334920991</v>
      </c>
      <c r="AP688">
        <f t="shared" si="296"/>
        <v>-0.16846896226627608</v>
      </c>
      <c r="AR688">
        <f t="shared" si="297"/>
        <v>0.75972714181271672</v>
      </c>
      <c r="AS688">
        <f t="shared" si="298"/>
        <v>1.8668742251665937</v>
      </c>
      <c r="AT688">
        <f t="shared" si="299"/>
        <v>1.107147083353877</v>
      </c>
      <c r="AU688">
        <f t="shared" si="300"/>
        <v>2.8462154794596422</v>
      </c>
    </row>
    <row r="689" spans="1:47" x14ac:dyDescent="0.25">
      <c r="A689" s="4">
        <f>DATE(2021,12,9)</f>
        <v>44539</v>
      </c>
      <c r="B689">
        <v>0.85962110154023996</v>
      </c>
      <c r="C689">
        <v>61.906259026421267</v>
      </c>
      <c r="D689">
        <v>0.735092337097631</v>
      </c>
      <c r="E689">
        <f t="shared" si="276"/>
        <v>1.6437054691461903</v>
      </c>
      <c r="F689">
        <f t="shared" si="277"/>
        <v>0.41957530965312195</v>
      </c>
      <c r="G689">
        <f t="shared" si="278"/>
        <v>0.22574821926215344</v>
      </c>
      <c r="H689" s="2" t="str">
        <f t="shared" si="279"/>
        <v>Higher</v>
      </c>
      <c r="I689" s="2" t="str">
        <f t="shared" si="280"/>
        <v>Higher</v>
      </c>
      <c r="J689" s="2" t="str">
        <f t="shared" si="281"/>
        <v>Lower</v>
      </c>
      <c r="K689" s="2" t="str">
        <f t="shared" si="282"/>
        <v>Higher</v>
      </c>
      <c r="L689" s="2" t="str">
        <f t="shared" si="283"/>
        <v>Higher</v>
      </c>
      <c r="M689" s="2" t="str">
        <f t="shared" si="284"/>
        <v>Higher</v>
      </c>
      <c r="N689" s="2" t="str">
        <f t="shared" si="285"/>
        <v>Higher</v>
      </c>
      <c r="O689" s="2" t="str">
        <f t="shared" si="286"/>
        <v>Higher</v>
      </c>
      <c r="P689" s="2" t="str">
        <f t="shared" si="287"/>
        <v>Lower</v>
      </c>
      <c r="X689" s="4">
        <f>DATE(2021,12,9)</f>
        <v>44539</v>
      </c>
      <c r="Y689">
        <v>37.811979567183926</v>
      </c>
      <c r="Z689">
        <v>38.299040302117064</v>
      </c>
      <c r="AA689">
        <v>82.577500000000001</v>
      </c>
      <c r="AB689">
        <v>100.60249999999999</v>
      </c>
      <c r="AC689">
        <f t="shared" si="288"/>
        <v>4.4922505624023328E-2</v>
      </c>
      <c r="AD689">
        <f t="shared" si="288"/>
        <v>7.4044892670685106E-2</v>
      </c>
      <c r="AE689">
        <f t="shared" si="289"/>
        <v>2.9122387046661778E-2</v>
      </c>
      <c r="AF689">
        <f t="shared" si="290"/>
        <v>5.0179527780164504E-2</v>
      </c>
      <c r="AH689">
        <f t="shared" si="291"/>
        <v>0.26510180363635433</v>
      </c>
      <c r="AI689">
        <f t="shared" si="291"/>
        <v>0.30481735250302583</v>
      </c>
      <c r="AJ689">
        <f t="shared" si="292"/>
        <v>3.9715548866671502E-2</v>
      </c>
      <c r="AK689">
        <f t="shared" si="293"/>
        <v>-0.19114345109593137</v>
      </c>
      <c r="AM689">
        <f t="shared" si="294"/>
        <v>0.32872778758125371</v>
      </c>
      <c r="AN689">
        <f t="shared" si="294"/>
        <v>0.45308730820784504</v>
      </c>
      <c r="AO689">
        <f t="shared" si="295"/>
        <v>0.12435952062659134</v>
      </c>
      <c r="AP689">
        <f t="shared" si="296"/>
        <v>-0.24642562564156595</v>
      </c>
      <c r="AR689">
        <f t="shared" si="297"/>
        <v>0.78010626644221648</v>
      </c>
      <c r="AS689">
        <f t="shared" si="298"/>
        <v>1.847849891659443</v>
      </c>
      <c r="AT689">
        <f t="shared" si="299"/>
        <v>1.0677436252172265</v>
      </c>
      <c r="AU689">
        <f t="shared" si="300"/>
        <v>2.7398281267766023</v>
      </c>
    </row>
    <row r="690" spans="1:47" x14ac:dyDescent="0.25">
      <c r="A690" s="4">
        <f>DATE(2021,12,8)</f>
        <v>44538</v>
      </c>
      <c r="B690">
        <v>1.352448427295645</v>
      </c>
      <c r="C690">
        <v>83.920374001364152</v>
      </c>
      <c r="D690">
        <v>1.0805554414047114</v>
      </c>
      <c r="E690">
        <f t="shared" si="276"/>
        <v>2.773985751592734</v>
      </c>
      <c r="F690">
        <f t="shared" si="277"/>
        <v>2.5758247346566381</v>
      </c>
      <c r="G690">
        <f t="shared" si="278"/>
        <v>1.3567198781728427</v>
      </c>
      <c r="H690" s="2" t="str">
        <f t="shared" si="279"/>
        <v>Higher</v>
      </c>
      <c r="I690" s="2" t="str">
        <f t="shared" si="280"/>
        <v>Higher</v>
      </c>
      <c r="J690" s="2" t="str">
        <f t="shared" si="281"/>
        <v>Lower</v>
      </c>
      <c r="K690" s="2" t="str">
        <f t="shared" si="282"/>
        <v>Higher</v>
      </c>
      <c r="L690" s="2" t="str">
        <f t="shared" si="283"/>
        <v>Higher</v>
      </c>
      <c r="M690" s="2" t="str">
        <f t="shared" si="284"/>
        <v>Higher</v>
      </c>
      <c r="N690" s="2" t="str">
        <f t="shared" si="285"/>
        <v>Higher</v>
      </c>
      <c r="O690" s="2" t="str">
        <f t="shared" si="286"/>
        <v>Higher</v>
      </c>
      <c r="P690" s="2" t="str">
        <f t="shared" si="287"/>
        <v>Lower</v>
      </c>
      <c r="X690" s="4">
        <f>DATE(2021,12,8)</f>
        <v>44538</v>
      </c>
      <c r="Y690">
        <v>47.833659810077734</v>
      </c>
      <c r="Z690">
        <v>41.728409478272198</v>
      </c>
      <c r="AA690">
        <v>88.394999999999996</v>
      </c>
      <c r="AB690">
        <v>101.35974999999999</v>
      </c>
      <c r="AC690">
        <f t="shared" si="288"/>
        <v>0.14035038404022745</v>
      </c>
      <c r="AD690">
        <f t="shared" si="288"/>
        <v>6.5786507307623796E-2</v>
      </c>
      <c r="AE690">
        <f t="shared" si="289"/>
        <v>-7.4563876732603659E-2</v>
      </c>
      <c r="AF690">
        <f t="shared" si="290"/>
        <v>-0.9819353191790432</v>
      </c>
      <c r="AH690">
        <f t="shared" si="291"/>
        <v>0.34901163940481894</v>
      </c>
      <c r="AI690">
        <f t="shared" si="291"/>
        <v>0.38775942977858013</v>
      </c>
      <c r="AJ690">
        <f t="shared" si="292"/>
        <v>3.8747790373761193E-2</v>
      </c>
      <c r="AK690">
        <f t="shared" si="293"/>
        <v>-0.19598968725302876</v>
      </c>
      <c r="AM690">
        <f t="shared" si="294"/>
        <v>0.38788759823222796</v>
      </c>
      <c r="AN690">
        <f t="shared" si="294"/>
        <v>0.34057348275162919</v>
      </c>
      <c r="AO690">
        <f t="shared" si="295"/>
        <v>-4.7314115480598773E-2</v>
      </c>
      <c r="AP690">
        <f t="shared" si="296"/>
        <v>-0.74719481548370725</v>
      </c>
      <c r="AR690">
        <f t="shared" si="297"/>
        <v>0.85414668388894643</v>
      </c>
      <c r="AS690">
        <f t="shared" si="298"/>
        <v>1.87413323209241</v>
      </c>
      <c r="AT690">
        <f t="shared" si="299"/>
        <v>1.0199865482034636</v>
      </c>
      <c r="AU690">
        <f t="shared" si="300"/>
        <v>2.6003725373336519</v>
      </c>
    </row>
    <row r="691" spans="1:47" x14ac:dyDescent="0.25">
      <c r="A691" s="4">
        <f>DATE(2021,12,7)</f>
        <v>44537</v>
      </c>
      <c r="B691">
        <v>1.0779776926229365</v>
      </c>
      <c r="C691">
        <v>81.059922949976112</v>
      </c>
      <c r="D691">
        <v>1.0356818846654767</v>
      </c>
      <c r="E691">
        <f t="shared" si="276"/>
        <v>2.253564507576673</v>
      </c>
      <c r="F691">
        <f t="shared" si="277"/>
        <v>2.3774979097315136</v>
      </c>
      <c r="G691">
        <f t="shared" si="278"/>
        <v>1.2299443153123557</v>
      </c>
      <c r="H691" s="2" t="str">
        <f t="shared" si="279"/>
        <v>Higher</v>
      </c>
      <c r="I691" s="2" t="str">
        <f t="shared" si="280"/>
        <v>Higher</v>
      </c>
      <c r="J691" s="2" t="str">
        <f t="shared" si="281"/>
        <v>Lower</v>
      </c>
      <c r="K691" s="2" t="str">
        <f t="shared" si="282"/>
        <v>Higher</v>
      </c>
      <c r="L691" s="2" t="str">
        <f t="shared" si="283"/>
        <v>Higher</v>
      </c>
      <c r="M691" s="2" t="str">
        <f t="shared" si="284"/>
        <v>Higher</v>
      </c>
      <c r="N691" s="2" t="str">
        <f t="shared" si="285"/>
        <v>Higher</v>
      </c>
      <c r="O691" s="2" t="str">
        <f t="shared" si="286"/>
        <v>Higher</v>
      </c>
      <c r="P691" s="2" t="str">
        <f t="shared" si="287"/>
        <v>Lower</v>
      </c>
      <c r="X691" s="4">
        <f>DATE(2021,12,7)</f>
        <v>44537</v>
      </c>
      <c r="Y691">
        <v>41.155348387516632</v>
      </c>
      <c r="Z691">
        <v>35.818162548302659</v>
      </c>
      <c r="AA691">
        <v>84.33</v>
      </c>
      <c r="AB691">
        <v>95.561000000000007</v>
      </c>
      <c r="AC691">
        <f t="shared" si="288"/>
        <v>0.11945198360543965</v>
      </c>
      <c r="AD691">
        <f t="shared" si="288"/>
        <v>1.7696820823366415E-2</v>
      </c>
      <c r="AE691">
        <f t="shared" si="289"/>
        <v>-0.10175516278207324</v>
      </c>
      <c r="AF691">
        <f t="shared" si="290"/>
        <v>-1.2553840086078412</v>
      </c>
      <c r="AH691">
        <f t="shared" si="291"/>
        <v>0.33163986636970005</v>
      </c>
      <c r="AI691">
        <f t="shared" si="291"/>
        <v>0.26023360513690824</v>
      </c>
      <c r="AJ691">
        <f t="shared" si="292"/>
        <v>-7.1406261232791812E-2</v>
      </c>
      <c r="AK691">
        <f t="shared" si="293"/>
        <v>-0.71853713685700049</v>
      </c>
      <c r="AM691">
        <f t="shared" si="294"/>
        <v>0.3364010900949122</v>
      </c>
      <c r="AN691">
        <f t="shared" si="294"/>
        <v>0.37591092855363534</v>
      </c>
      <c r="AO691">
        <f t="shared" si="295"/>
        <v>3.9509838458723134E-2</v>
      </c>
      <c r="AP691">
        <f t="shared" si="296"/>
        <v>-0.49605857715783719</v>
      </c>
      <c r="AR691">
        <f t="shared" si="297"/>
        <v>0.79728310146480175</v>
      </c>
      <c r="AS691">
        <f t="shared" si="298"/>
        <v>1.7939174872039805</v>
      </c>
      <c r="AT691">
        <f t="shared" si="299"/>
        <v>0.99663438573917873</v>
      </c>
      <c r="AU691">
        <f t="shared" si="300"/>
        <v>2.5380342420670612</v>
      </c>
    </row>
    <row r="692" spans="1:47" x14ac:dyDescent="0.25">
      <c r="A692" s="4">
        <f>DATE(2021,12,6)</f>
        <v>44536</v>
      </c>
      <c r="B692">
        <v>0.89519057595906393</v>
      </c>
      <c r="C692">
        <v>77.657426661590407</v>
      </c>
      <c r="D692">
        <v>0.95555367713740258</v>
      </c>
      <c r="E692">
        <f t="shared" si="276"/>
        <v>1.888822826606696</v>
      </c>
      <c r="F692">
        <f t="shared" si="277"/>
        <v>2.1025331463160373</v>
      </c>
      <c r="G692">
        <f t="shared" si="278"/>
        <v>0.984946481966812</v>
      </c>
      <c r="H692" s="2" t="str">
        <f t="shared" si="279"/>
        <v>Higher</v>
      </c>
      <c r="I692" s="2" t="str">
        <f t="shared" si="280"/>
        <v>Higher</v>
      </c>
      <c r="J692" s="2" t="str">
        <f t="shared" si="281"/>
        <v>Lower</v>
      </c>
      <c r="K692" s="2" t="str">
        <f t="shared" si="282"/>
        <v>Higher</v>
      </c>
      <c r="L692" s="2" t="str">
        <f t="shared" si="283"/>
        <v>Higher</v>
      </c>
      <c r="M692" s="2" t="str">
        <f t="shared" si="284"/>
        <v>Higher</v>
      </c>
      <c r="N692" s="2" t="str">
        <f t="shared" si="285"/>
        <v>Higher</v>
      </c>
      <c r="O692" s="2" t="str">
        <f t="shared" si="286"/>
        <v>Higher</v>
      </c>
      <c r="P692" s="2" t="str">
        <f t="shared" si="287"/>
        <v>Lower</v>
      </c>
      <c r="X692" s="4">
        <f>DATE(2021,12,6)</f>
        <v>44536</v>
      </c>
      <c r="Y692">
        <v>35.638563460255149</v>
      </c>
      <c r="Z692">
        <v>31.390132630091237</v>
      </c>
      <c r="AA692">
        <v>80.632499999999993</v>
      </c>
      <c r="AB692">
        <v>89.182749999999999</v>
      </c>
      <c r="AC692">
        <f t="shared" si="288"/>
        <v>8.0109887143515579E-2</v>
      </c>
      <c r="AD692">
        <f t="shared" si="288"/>
        <v>-4.4574975338416041E-2</v>
      </c>
      <c r="AE692">
        <f t="shared" si="289"/>
        <v>-0.12468486248193161</v>
      </c>
      <c r="AF692">
        <f t="shared" si="290"/>
        <v>-1.4886023383428544</v>
      </c>
      <c r="AH692">
        <f t="shared" si="291"/>
        <v>0.28651490383902595</v>
      </c>
      <c r="AI692">
        <f t="shared" si="291"/>
        <v>0.12148348334595198</v>
      </c>
      <c r="AJ692">
        <f t="shared" si="292"/>
        <v>-0.16503142049307395</v>
      </c>
      <c r="AK692">
        <f t="shared" si="293"/>
        <v>-1.1637176271796321</v>
      </c>
      <c r="AM692">
        <f t="shared" si="294"/>
        <v>0.27212557650708202</v>
      </c>
      <c r="AN692">
        <f t="shared" si="294"/>
        <v>0.37916643964160568</v>
      </c>
      <c r="AO692">
        <f t="shared" si="295"/>
        <v>0.10704086313452366</v>
      </c>
      <c r="AP692">
        <f t="shared" si="296"/>
        <v>-0.30035014113392722</v>
      </c>
      <c r="AR692">
        <f t="shared" si="297"/>
        <v>0.76876599201793905</v>
      </c>
      <c r="AS692">
        <f t="shared" si="298"/>
        <v>1.7152124578173242</v>
      </c>
      <c r="AT692">
        <f t="shared" si="299"/>
        <v>0.94644646579938518</v>
      </c>
      <c r="AU692">
        <f t="shared" si="300"/>
        <v>2.3825046736904474</v>
      </c>
    </row>
    <row r="693" spans="1:47" x14ac:dyDescent="0.25">
      <c r="A693" s="4">
        <f>DATE(2021,12,3)</f>
        <v>44533</v>
      </c>
      <c r="B693">
        <v>0.84632457688680507</v>
      </c>
      <c r="C693">
        <v>74.11859138519506</v>
      </c>
      <c r="D693">
        <v>0.87887075090257183</v>
      </c>
      <c r="E693">
        <f t="shared" si="276"/>
        <v>1.8116051399136943</v>
      </c>
      <c r="F693">
        <f t="shared" si="277"/>
        <v>1.7885154552472207</v>
      </c>
      <c r="G693">
        <f t="shared" si="278"/>
        <v>0.7467054418269885</v>
      </c>
      <c r="H693" s="2" t="str">
        <f t="shared" si="279"/>
        <v>Higher</v>
      </c>
      <c r="I693" s="2" t="str">
        <f t="shared" si="280"/>
        <v>Higher</v>
      </c>
      <c r="J693" s="2" t="str">
        <f t="shared" si="281"/>
        <v>Lower</v>
      </c>
      <c r="K693" s="2" t="str">
        <f t="shared" si="282"/>
        <v>Higher</v>
      </c>
      <c r="L693" s="2" t="str">
        <f t="shared" si="283"/>
        <v>Higher</v>
      </c>
      <c r="M693" s="2" t="str">
        <f t="shared" si="284"/>
        <v>Higher</v>
      </c>
      <c r="N693" s="2" t="str">
        <f t="shared" si="285"/>
        <v>Higher</v>
      </c>
      <c r="O693" s="2" t="str">
        <f t="shared" si="286"/>
        <v>Lower</v>
      </c>
      <c r="P693" s="2" t="str">
        <f t="shared" si="287"/>
        <v>Lower</v>
      </c>
      <c r="X693" s="4">
        <f>DATE(2021,12,3)</f>
        <v>44533</v>
      </c>
      <c r="Y693">
        <v>35.32649689641098</v>
      </c>
      <c r="Z693">
        <v>32.817137221730007</v>
      </c>
      <c r="AA693">
        <v>78.73</v>
      </c>
      <c r="AB693">
        <v>90.120999999999995</v>
      </c>
      <c r="AC693">
        <f t="shared" si="288"/>
        <v>8.1851680191339635E-2</v>
      </c>
      <c r="AD693">
        <f t="shared" si="288"/>
        <v>7.7697006469247369E-3</v>
      </c>
      <c r="AE693">
        <f t="shared" si="289"/>
        <v>-7.4081979544414894E-2</v>
      </c>
      <c r="AF693">
        <f t="shared" si="290"/>
        <v>-0.99051359886786217</v>
      </c>
      <c r="AH693">
        <f t="shared" si="291"/>
        <v>0.27460064340193885</v>
      </c>
      <c r="AI693">
        <f t="shared" si="291"/>
        <v>0.19802098603230348</v>
      </c>
      <c r="AJ693">
        <f t="shared" si="292"/>
        <v>-7.6579657369635373E-2</v>
      </c>
      <c r="AK693">
        <f t="shared" si="293"/>
        <v>-0.74845178216629205</v>
      </c>
      <c r="AM693">
        <f t="shared" si="294"/>
        <v>0.24865515948460071</v>
      </c>
      <c r="AN693">
        <f t="shared" si="294"/>
        <v>0.45110019772952747</v>
      </c>
      <c r="AO693">
        <f t="shared" si="295"/>
        <v>0.20244503824492677</v>
      </c>
      <c r="AP693">
        <f t="shared" si="296"/>
        <v>-2.3405630906720612E-2</v>
      </c>
      <c r="AR693">
        <f t="shared" si="297"/>
        <v>0.74248366439077984</v>
      </c>
      <c r="AS693">
        <f t="shared" si="298"/>
        <v>1.7456629638944625</v>
      </c>
      <c r="AT693">
        <f t="shared" si="299"/>
        <v>1.0031792995036826</v>
      </c>
      <c r="AU693">
        <f t="shared" si="300"/>
        <v>2.5858233999286209</v>
      </c>
    </row>
    <row r="694" spans="1:47" x14ac:dyDescent="0.25">
      <c r="A694" s="4">
        <f>DATE(2021,12,2)</f>
        <v>44532</v>
      </c>
      <c r="B694">
        <v>0.95126542511780121</v>
      </c>
      <c r="C694">
        <v>80.470132450622373</v>
      </c>
      <c r="D694">
        <v>0.9861517739775526</v>
      </c>
      <c r="E694">
        <f t="shared" si="276"/>
        <v>2.0888729168162445</v>
      </c>
      <c r="F694">
        <f t="shared" si="277"/>
        <v>2.4944418370843491</v>
      </c>
      <c r="G694">
        <f t="shared" si="278"/>
        <v>1.1104036233507517</v>
      </c>
      <c r="H694" s="2" t="str">
        <f t="shared" si="279"/>
        <v>Higher</v>
      </c>
      <c r="I694" s="2" t="str">
        <f t="shared" si="280"/>
        <v>Higher</v>
      </c>
      <c r="J694" s="2" t="str">
        <f t="shared" si="281"/>
        <v>Lower</v>
      </c>
      <c r="K694" s="2" t="str">
        <f t="shared" si="282"/>
        <v>Higher</v>
      </c>
      <c r="L694" s="2" t="str">
        <f t="shared" si="283"/>
        <v>Higher</v>
      </c>
      <c r="M694" s="2" t="str">
        <f t="shared" si="284"/>
        <v>Higher</v>
      </c>
      <c r="N694" s="2" t="str">
        <f t="shared" si="285"/>
        <v>Higher</v>
      </c>
      <c r="O694" s="2" t="str">
        <f t="shared" si="286"/>
        <v>Lower</v>
      </c>
      <c r="P694" s="2" t="str">
        <f t="shared" si="287"/>
        <v>Lower</v>
      </c>
      <c r="X694" s="4">
        <f>DATE(2021,12,2)</f>
        <v>44532</v>
      </c>
      <c r="Y694">
        <v>36.520518048056303</v>
      </c>
      <c r="Z694">
        <v>34.966757357114474</v>
      </c>
      <c r="AA694">
        <v>78.949999999999989</v>
      </c>
      <c r="AB694">
        <v>93.422499999999999</v>
      </c>
      <c r="AC694">
        <f t="shared" si="288"/>
        <v>6.4479413743641092E-2</v>
      </c>
      <c r="AD694" t="str">
        <f t="shared" si="288"/>
        <v/>
      </c>
      <c r="AE694" t="str">
        <f t="shared" si="289"/>
        <v/>
      </c>
      <c r="AF694" t="str">
        <f t="shared" si="290"/>
        <v/>
      </c>
      <c r="AH694">
        <f t="shared" si="291"/>
        <v>0.27409524877447705</v>
      </c>
      <c r="AI694">
        <f t="shared" si="291"/>
        <v>0.22938472155529269</v>
      </c>
      <c r="AJ694">
        <f t="shared" si="292"/>
        <v>-4.4710527219184365E-2</v>
      </c>
      <c r="AK694">
        <f t="shared" si="293"/>
        <v>-0.59910359944423586</v>
      </c>
      <c r="AM694">
        <f t="shared" si="294"/>
        <v>0.23165018129662204</v>
      </c>
      <c r="AN694">
        <f t="shared" si="294"/>
        <v>0.50678409922340784</v>
      </c>
      <c r="AO694">
        <f t="shared" si="295"/>
        <v>0.27513391792678576</v>
      </c>
      <c r="AP694">
        <f t="shared" si="296"/>
        <v>0.18752725994718111</v>
      </c>
      <c r="AR694">
        <f t="shared" si="297"/>
        <v>0.71601593490880155</v>
      </c>
      <c r="AS694">
        <f t="shared" si="298"/>
        <v>1.761345487417461</v>
      </c>
      <c r="AT694">
        <f t="shared" si="299"/>
        <v>1.0453295525086594</v>
      </c>
      <c r="AU694">
        <f t="shared" si="300"/>
        <v>2.7459036220530573</v>
      </c>
    </row>
    <row r="695" spans="1:47" x14ac:dyDescent="0.25">
      <c r="A695" s="4">
        <f>DATE(2021,12,1)</f>
        <v>44531</v>
      </c>
      <c r="B695">
        <v>0.82651777731319021</v>
      </c>
      <c r="C695">
        <v>77.003535709194793</v>
      </c>
      <c r="D695">
        <v>0.91744911637508819</v>
      </c>
      <c r="E695">
        <f t="shared" si="276"/>
        <v>1.8395520668806988</v>
      </c>
      <c r="F695">
        <f t="shared" si="277"/>
        <v>2.202394474041359</v>
      </c>
      <c r="G695">
        <f t="shared" si="278"/>
        <v>0.90175432610328965</v>
      </c>
      <c r="H695" s="2" t="str">
        <f t="shared" si="279"/>
        <v>Higher</v>
      </c>
      <c r="I695" s="2" t="str">
        <f t="shared" si="280"/>
        <v>Higher</v>
      </c>
      <c r="J695" s="2" t="str">
        <f t="shared" si="281"/>
        <v>Lower</v>
      </c>
      <c r="K695" s="2" t="str">
        <f t="shared" si="282"/>
        <v>Higher</v>
      </c>
      <c r="L695" s="2" t="str">
        <f t="shared" si="283"/>
        <v>Higher</v>
      </c>
      <c r="M695" s="2" t="str">
        <f t="shared" si="284"/>
        <v>Higher</v>
      </c>
      <c r="N695" s="2" t="str">
        <f t="shared" si="285"/>
        <v>Higher</v>
      </c>
      <c r="O695" s="2" t="str">
        <f t="shared" si="286"/>
        <v>Lower</v>
      </c>
      <c r="P695" s="2" t="str">
        <f t="shared" si="287"/>
        <v>Lower</v>
      </c>
      <c r="X695" s="4">
        <f>DATE(2021,12,1)</f>
        <v>44531</v>
      </c>
      <c r="Y695">
        <v>36.123981088798054</v>
      </c>
      <c r="Z695">
        <v>37.744234337002553</v>
      </c>
      <c r="AA695">
        <v>76.820000000000007</v>
      </c>
      <c r="AB695">
        <v>94.90625</v>
      </c>
      <c r="AC695">
        <f t="shared" si="288"/>
        <v>6.5041989000047817E-2</v>
      </c>
      <c r="AD695">
        <f t="shared" si="288"/>
        <v>1.0121514420933024E-2</v>
      </c>
      <c r="AE695">
        <f t="shared" si="289"/>
        <v>-5.4920474579114795E-2</v>
      </c>
      <c r="AF695">
        <f t="shared" si="290"/>
        <v>-0.80276191437526134</v>
      </c>
      <c r="AH695">
        <f t="shared" si="291"/>
        <v>0.25091933395280747</v>
      </c>
      <c r="AI695">
        <f t="shared" si="291"/>
        <v>0.21348015234603332</v>
      </c>
      <c r="AJ695">
        <f t="shared" si="292"/>
        <v>-3.7439181606774147E-2</v>
      </c>
      <c r="AK695">
        <f t="shared" si="293"/>
        <v>-0.56582018230384856</v>
      </c>
      <c r="AM695">
        <f t="shared" si="294"/>
        <v>0.20553875482916101</v>
      </c>
      <c r="AN695">
        <f t="shared" si="294"/>
        <v>0.54687087695380221</v>
      </c>
      <c r="AO695">
        <f t="shared" si="295"/>
        <v>0.3413321221246412</v>
      </c>
      <c r="AP695">
        <f t="shared" si="296"/>
        <v>0.37948391449731333</v>
      </c>
      <c r="AR695">
        <f t="shared" si="297"/>
        <v>0.6788012156222345</v>
      </c>
      <c r="AS695">
        <f t="shared" si="298"/>
        <v>1.7618778404294648</v>
      </c>
      <c r="AT695">
        <f t="shared" si="299"/>
        <v>1.0830766248072303</v>
      </c>
      <c r="AU695">
        <f t="shared" si="300"/>
        <v>2.8973912285357524</v>
      </c>
    </row>
    <row r="696" spans="1:47" x14ac:dyDescent="0.25">
      <c r="A696" s="4">
        <f>DATE(2021,11,30)</f>
        <v>44530</v>
      </c>
      <c r="B696">
        <v>0.82367616986932202</v>
      </c>
      <c r="C696">
        <v>75.062972024024305</v>
      </c>
      <c r="D696">
        <v>0.90179887704261019</v>
      </c>
      <c r="E696">
        <f t="shared" si="276"/>
        <v>1.869607153920936</v>
      </c>
      <c r="F696">
        <f t="shared" si="277"/>
        <v>2.051764824835566</v>
      </c>
      <c r="G696">
        <f t="shared" si="278"/>
        <v>0.86482274902697331</v>
      </c>
      <c r="H696" s="2" t="str">
        <f t="shared" si="279"/>
        <v>Higher</v>
      </c>
      <c r="I696" s="2" t="str">
        <f t="shared" si="280"/>
        <v>Lower</v>
      </c>
      <c r="J696" s="2" t="str">
        <f t="shared" si="281"/>
        <v>Lower</v>
      </c>
      <c r="K696" s="2" t="str">
        <f t="shared" si="282"/>
        <v>Higher</v>
      </c>
      <c r="L696" s="2" t="str">
        <f t="shared" si="283"/>
        <v>Higher</v>
      </c>
      <c r="M696" s="2" t="str">
        <f t="shared" si="284"/>
        <v>Higher</v>
      </c>
      <c r="N696" s="2" t="str">
        <f t="shared" si="285"/>
        <v>Higher</v>
      </c>
      <c r="O696" s="2" t="str">
        <f t="shared" si="286"/>
        <v>Lower</v>
      </c>
      <c r="P696" s="2" t="str">
        <f t="shared" si="287"/>
        <v>Lower</v>
      </c>
      <c r="X696" s="4">
        <f>DATE(2021,11,30)</f>
        <v>44530</v>
      </c>
      <c r="Y696">
        <v>30.674486164527988</v>
      </c>
      <c r="Z696">
        <v>39.154545033165498</v>
      </c>
      <c r="AA696">
        <v>74.835000000000008</v>
      </c>
      <c r="AB696">
        <v>93.884749999999997</v>
      </c>
      <c r="AC696">
        <f t="shared" si="288"/>
        <v>7.4930632374624676E-2</v>
      </c>
      <c r="AD696">
        <f t="shared" si="288"/>
        <v>4.169178970703584E-2</v>
      </c>
      <c r="AE696">
        <f t="shared" si="289"/>
        <v>-3.3238842667588836E-2</v>
      </c>
      <c r="AF696">
        <f t="shared" si="290"/>
        <v>-0.58828353521695986</v>
      </c>
      <c r="AH696">
        <f t="shared" si="291"/>
        <v>0.23978421556048979</v>
      </c>
      <c r="AI696">
        <f t="shared" si="291"/>
        <v>0.33470354612412823</v>
      </c>
      <c r="AJ696">
        <f t="shared" si="292"/>
        <v>9.4919330563638438E-2</v>
      </c>
      <c r="AK696">
        <f t="shared" si="293"/>
        <v>5.9192104453143463E-2</v>
      </c>
      <c r="AM696">
        <f t="shared" si="294"/>
        <v>0.1862579371981645</v>
      </c>
      <c r="AN696">
        <f t="shared" si="294"/>
        <v>0.56572833926122279</v>
      </c>
      <c r="AO696">
        <f t="shared" si="295"/>
        <v>0.37947040206305827</v>
      </c>
      <c r="AP696">
        <f t="shared" si="296"/>
        <v>0.49018112882273462</v>
      </c>
      <c r="AR696">
        <f t="shared" si="297"/>
        <v>0.66787948407374931</v>
      </c>
      <c r="AS696">
        <f t="shared" si="298"/>
        <v>1.7547445842123228</v>
      </c>
      <c r="AT696">
        <f t="shared" si="299"/>
        <v>1.0868651001385734</v>
      </c>
      <c r="AU696">
        <f t="shared" si="300"/>
        <v>2.9390639659493658</v>
      </c>
    </row>
    <row r="697" spans="1:47" x14ac:dyDescent="0.25">
      <c r="A697" s="4">
        <f>DATE(2021,11,29)</f>
        <v>44529</v>
      </c>
      <c r="B697">
        <v>0.85464914584703333</v>
      </c>
      <c r="C697">
        <v>73.382837323075179</v>
      </c>
      <c r="D697">
        <v>0.894886241340767</v>
      </c>
      <c r="E697">
        <f t="shared" si="276"/>
        <v>1.9828787663683491</v>
      </c>
      <c r="F697">
        <f t="shared" si="277"/>
        <v>1.9161880768357094</v>
      </c>
      <c r="G697">
        <f t="shared" si="278"/>
        <v>0.8545750319391745</v>
      </c>
      <c r="H697" s="2" t="str">
        <f t="shared" si="279"/>
        <v>Higher</v>
      </c>
      <c r="I697" s="2" t="str">
        <f t="shared" si="280"/>
        <v>Lower</v>
      </c>
      <c r="J697" s="2" t="str">
        <f t="shared" si="281"/>
        <v>Lower</v>
      </c>
      <c r="K697" s="2" t="str">
        <f t="shared" si="282"/>
        <v>Higher</v>
      </c>
      <c r="L697" s="2" t="str">
        <f t="shared" si="283"/>
        <v>Lower</v>
      </c>
      <c r="M697" s="2" t="str">
        <f t="shared" si="284"/>
        <v>Higher</v>
      </c>
      <c r="N697" s="2" t="str">
        <f t="shared" si="285"/>
        <v>Higher</v>
      </c>
      <c r="O697" s="2" t="str">
        <f t="shared" si="286"/>
        <v>Lower</v>
      </c>
      <c r="P697" s="2" t="str">
        <f t="shared" si="287"/>
        <v>Lower</v>
      </c>
      <c r="X697" s="4">
        <f>DATE(2021,11,29)</f>
        <v>44529</v>
      </c>
      <c r="Y697">
        <v>32.861982452718678</v>
      </c>
      <c r="Z697">
        <v>37.284564649388265</v>
      </c>
      <c r="AA697">
        <v>74.424999999999997</v>
      </c>
      <c r="AB697">
        <v>93.24799999999999</v>
      </c>
      <c r="AC697">
        <f t="shared" si="288"/>
        <v>6.0297164519397692E-2</v>
      </c>
      <c r="AD697">
        <f t="shared" si="288"/>
        <v>0.10443390703838212</v>
      </c>
      <c r="AE697">
        <f t="shared" si="289"/>
        <v>4.4136742518984431E-2</v>
      </c>
      <c r="AF697">
        <f t="shared" si="290"/>
        <v>0.18201013991647155</v>
      </c>
      <c r="AH697">
        <f t="shared" si="291"/>
        <v>0.25375514133478921</v>
      </c>
      <c r="AI697">
        <f t="shared" si="291"/>
        <v>0.35865473113342239</v>
      </c>
      <c r="AJ697">
        <f t="shared" si="292"/>
        <v>0.10489958979863317</v>
      </c>
      <c r="AK697">
        <f t="shared" si="293"/>
        <v>0.1063965825457486</v>
      </c>
      <c r="AM697">
        <f t="shared" si="294"/>
        <v>0.17779035350264072</v>
      </c>
      <c r="AN697" t="str">
        <f t="shared" si="294"/>
        <v/>
      </c>
      <c r="AO697" t="str">
        <f t="shared" si="295"/>
        <v/>
      </c>
      <c r="AP697" t="str">
        <f t="shared" si="296"/>
        <v/>
      </c>
      <c r="AR697">
        <f t="shared" si="297"/>
        <v>0.68165817568677867</v>
      </c>
      <c r="AS697">
        <f t="shared" si="298"/>
        <v>1.7627520163848749</v>
      </c>
      <c r="AT697">
        <f t="shared" si="299"/>
        <v>1.0810938406980961</v>
      </c>
      <c r="AU697">
        <f t="shared" si="300"/>
        <v>2.9495710619659534</v>
      </c>
    </row>
    <row r="698" spans="1:47" x14ac:dyDescent="0.25">
      <c r="A698" s="4">
        <f>DATE(2021,11,26)</f>
        <v>44526</v>
      </c>
      <c r="B698">
        <v>0.91146599695145047</v>
      </c>
      <c r="C698">
        <v>71.158454246353926</v>
      </c>
      <c r="D698">
        <v>0.86599841072485295</v>
      </c>
      <c r="E698">
        <f t="shared" si="276"/>
        <v>2.1634750565618197</v>
      </c>
      <c r="F698">
        <f t="shared" si="277"/>
        <v>1.7098141781547993</v>
      </c>
      <c r="G698">
        <f t="shared" si="278"/>
        <v>0.77297214651555357</v>
      </c>
      <c r="H698" s="2" t="str">
        <f t="shared" si="279"/>
        <v>Higher</v>
      </c>
      <c r="I698" s="2" t="str">
        <f t="shared" si="280"/>
        <v>Lower</v>
      </c>
      <c r="J698" s="2" t="str">
        <f t="shared" si="281"/>
        <v>Lower</v>
      </c>
      <c r="K698" s="2" t="str">
        <f t="shared" si="282"/>
        <v>Higher</v>
      </c>
      <c r="L698" s="2" t="str">
        <f t="shared" si="283"/>
        <v>Lower</v>
      </c>
      <c r="M698" s="2" t="str">
        <f t="shared" si="284"/>
        <v>Higher</v>
      </c>
      <c r="N698" s="2" t="str">
        <f t="shared" si="285"/>
        <v>Higher</v>
      </c>
      <c r="O698" s="2" t="str">
        <f t="shared" si="286"/>
        <v>Lower</v>
      </c>
      <c r="P698" s="2" t="str">
        <f t="shared" si="287"/>
        <v>Lower</v>
      </c>
      <c r="X698" s="4">
        <f>DATE(2021,11,26)</f>
        <v>44526</v>
      </c>
      <c r="Y698">
        <v>31.20635796913923</v>
      </c>
      <c r="Z698">
        <v>40.100983715820902</v>
      </c>
      <c r="AA698">
        <v>72.542500000000004</v>
      </c>
      <c r="AB698">
        <v>89.423500000000004</v>
      </c>
      <c r="AC698">
        <f t="shared" si="288"/>
        <v>4.5691616423792061E-2</v>
      </c>
      <c r="AD698">
        <f t="shared" si="288"/>
        <v>1.7823843064773061E-2</v>
      </c>
      <c r="AE698">
        <f t="shared" si="289"/>
        <v>-2.7867773359019E-2</v>
      </c>
      <c r="AF698">
        <f t="shared" si="290"/>
        <v>-0.53452191550969064</v>
      </c>
      <c r="AH698">
        <f t="shared" si="291"/>
        <v>0.21054107638047734</v>
      </c>
      <c r="AI698">
        <f t="shared" si="291"/>
        <v>0.29163552145776961</v>
      </c>
      <c r="AJ698">
        <f t="shared" si="292"/>
        <v>8.1094445077292271E-2</v>
      </c>
      <c r="AK698">
        <f t="shared" si="293"/>
        <v>-5.7069755491391755E-3</v>
      </c>
      <c r="AM698">
        <f t="shared" si="294"/>
        <v>0.16428212781519699</v>
      </c>
      <c r="AN698">
        <f t="shared" si="294"/>
        <v>0.54768397938404845</v>
      </c>
      <c r="AO698">
        <f t="shared" si="295"/>
        <v>0.38340185156885143</v>
      </c>
      <c r="AP698">
        <f t="shared" si="296"/>
        <v>0.50038047797642604</v>
      </c>
      <c r="AR698">
        <f t="shared" si="297"/>
        <v>0.65424728573477087</v>
      </c>
      <c r="AS698">
        <f t="shared" si="298"/>
        <v>1.674612188169446</v>
      </c>
      <c r="AT698">
        <f t="shared" si="299"/>
        <v>1.0203649024346753</v>
      </c>
      <c r="AU698">
        <f t="shared" si="300"/>
        <v>2.7678578457989138</v>
      </c>
    </row>
    <row r="699" spans="1:47" x14ac:dyDescent="0.25">
      <c r="A699" s="4">
        <f>DATE(2021,11,25)</f>
        <v>44525</v>
      </c>
      <c r="B699">
        <v>1.0353609625892748</v>
      </c>
      <c r="C699">
        <v>78.296450345048044</v>
      </c>
      <c r="D699">
        <v>0.99307214864173088</v>
      </c>
      <c r="E699">
        <f t="shared" si="276"/>
        <v>2.5206122803552056</v>
      </c>
      <c r="F699">
        <f t="shared" si="277"/>
        <v>2.5600636598922817</v>
      </c>
      <c r="G699">
        <f t="shared" si="278"/>
        <v>1.2003572449351867</v>
      </c>
      <c r="H699" s="2" t="str">
        <f t="shared" si="279"/>
        <v>Higher</v>
      </c>
      <c r="I699" s="2" t="str">
        <f t="shared" si="280"/>
        <v>Lower</v>
      </c>
      <c r="J699" s="2" t="str">
        <f t="shared" si="281"/>
        <v>Lower</v>
      </c>
      <c r="K699" s="2" t="str">
        <f t="shared" si="282"/>
        <v>Higher</v>
      </c>
      <c r="L699" s="2" t="str">
        <f t="shared" si="283"/>
        <v>Lower</v>
      </c>
      <c r="M699" s="2" t="str">
        <f t="shared" si="284"/>
        <v>Higher</v>
      </c>
      <c r="N699" s="2" t="str">
        <f t="shared" si="285"/>
        <v>Higher</v>
      </c>
      <c r="O699" s="2" t="str">
        <f t="shared" si="286"/>
        <v>Lower</v>
      </c>
      <c r="P699" s="2" t="str">
        <f t="shared" si="287"/>
        <v>Lower</v>
      </c>
      <c r="X699" s="4">
        <f>DATE(2021,11,25)</f>
        <v>44525</v>
      </c>
      <c r="Y699">
        <v>35.312800211179905</v>
      </c>
      <c r="AA699">
        <v>74.02</v>
      </c>
      <c r="AC699">
        <f t="shared" si="288"/>
        <v>7.8487468976885522E-2</v>
      </c>
      <c r="AD699" t="str">
        <f t="shared" si="288"/>
        <v/>
      </c>
      <c r="AE699" t="str">
        <f t="shared" si="289"/>
        <v/>
      </c>
      <c r="AF699" t="str">
        <f t="shared" si="290"/>
        <v/>
      </c>
      <c r="AH699">
        <f t="shared" si="291"/>
        <v>0.23227897854445009</v>
      </c>
      <c r="AI699" t="str">
        <f t="shared" si="291"/>
        <v/>
      </c>
      <c r="AJ699" t="str">
        <f t="shared" si="292"/>
        <v/>
      </c>
      <c r="AK699" t="str">
        <f t="shared" si="293"/>
        <v/>
      </c>
      <c r="AM699">
        <f t="shared" si="294"/>
        <v>0.19206899010198669</v>
      </c>
      <c r="AN699" t="str">
        <f t="shared" si="294"/>
        <v/>
      </c>
      <c r="AO699" t="str">
        <f t="shared" si="295"/>
        <v/>
      </c>
      <c r="AP699" t="str">
        <f t="shared" si="296"/>
        <v/>
      </c>
      <c r="AR699">
        <f t="shared" si="297"/>
        <v>0.65855911326157979</v>
      </c>
      <c r="AS699" t="str">
        <f t="shared" si="298"/>
        <v/>
      </c>
      <c r="AT699" t="str">
        <f t="shared" si="299"/>
        <v/>
      </c>
      <c r="AU699" t="str">
        <f t="shared" si="300"/>
        <v/>
      </c>
    </row>
    <row r="700" spans="1:47" x14ac:dyDescent="0.25">
      <c r="A700" s="4">
        <f>DATE(2021,11,24)</f>
        <v>44524</v>
      </c>
      <c r="B700">
        <v>0.94257283318412166</v>
      </c>
      <c r="C700">
        <v>76.255929053092871</v>
      </c>
      <c r="D700">
        <v>0.99372401734608584</v>
      </c>
      <c r="E700">
        <f t="shared" si="276"/>
        <v>2.3710528101937709</v>
      </c>
      <c r="F700">
        <f t="shared" si="277"/>
        <v>2.4108505451345974</v>
      </c>
      <c r="G700">
        <f t="shared" si="278"/>
        <v>1.2214036159947357</v>
      </c>
      <c r="H700" s="2" t="str">
        <f t="shared" si="279"/>
        <v>Higher</v>
      </c>
      <c r="I700" s="2" t="str">
        <f t="shared" si="280"/>
        <v>Lower</v>
      </c>
      <c r="J700" s="2" t="str">
        <f t="shared" si="281"/>
        <v>Lower</v>
      </c>
      <c r="K700" s="2" t="str">
        <f t="shared" si="282"/>
        <v>Higher</v>
      </c>
      <c r="L700" s="2" t="str">
        <f t="shared" si="283"/>
        <v>Lower</v>
      </c>
      <c r="M700" s="2" t="str">
        <f t="shared" si="284"/>
        <v>Higher</v>
      </c>
      <c r="N700" s="2" t="str">
        <f t="shared" si="285"/>
        <v>Higher</v>
      </c>
      <c r="O700" s="2" t="str">
        <f t="shared" si="286"/>
        <v>Lower</v>
      </c>
      <c r="P700" s="2" t="str">
        <f t="shared" si="287"/>
        <v>Lower</v>
      </c>
      <c r="X700" s="4">
        <f>DATE(2021,11,24)</f>
        <v>44524</v>
      </c>
      <c r="Y700">
        <v>32.588459944377959</v>
      </c>
      <c r="Z700">
        <v>43.212512562846449</v>
      </c>
      <c r="AA700">
        <v>71.982500000000002</v>
      </c>
      <c r="AB700">
        <v>93.950500000000005</v>
      </c>
      <c r="AC700">
        <f t="shared" si="288"/>
        <v>6.6074795939304334E-2</v>
      </c>
      <c r="AD700">
        <f t="shared" si="288"/>
        <v>-2.3822419528832309E-2</v>
      </c>
      <c r="AE700">
        <f t="shared" si="289"/>
        <v>-8.9897215468136643E-2</v>
      </c>
      <c r="AF700">
        <f t="shared" si="290"/>
        <v>-1.1530491680812918</v>
      </c>
      <c r="AH700">
        <f t="shared" si="291"/>
        <v>0.18709101351915461</v>
      </c>
      <c r="AI700">
        <f t="shared" si="291"/>
        <v>8.0925654305531558E-2</v>
      </c>
      <c r="AJ700">
        <f t="shared" si="292"/>
        <v>-0.10616535921362305</v>
      </c>
      <c r="AK700">
        <f t="shared" si="293"/>
        <v>-0.88829969364810579</v>
      </c>
      <c r="AM700">
        <f t="shared" si="294"/>
        <v>0.17485462660629084</v>
      </c>
      <c r="AN700">
        <f t="shared" si="294"/>
        <v>0.61603378553124999</v>
      </c>
      <c r="AO700">
        <f t="shared" si="295"/>
        <v>0.44117915892495918</v>
      </c>
      <c r="AP700">
        <f t="shared" si="296"/>
        <v>0.66577086128778817</v>
      </c>
      <c r="AR700">
        <f t="shared" si="297"/>
        <v>0.62810519155989752</v>
      </c>
      <c r="AS700">
        <f t="shared" si="298"/>
        <v>1.7276587744294714</v>
      </c>
      <c r="AT700">
        <f t="shared" si="299"/>
        <v>1.0995535828695737</v>
      </c>
      <c r="AU700">
        <f t="shared" si="300"/>
        <v>3.0674603591542136</v>
      </c>
    </row>
    <row r="701" spans="1:47" x14ac:dyDescent="0.25">
      <c r="A701" s="4">
        <f>DATE(2021,11,23)</f>
        <v>44523</v>
      </c>
      <c r="B701">
        <v>0.84447618305081074</v>
      </c>
      <c r="C701">
        <v>69.919384475194434</v>
      </c>
      <c r="D701">
        <v>0.86137026943944661</v>
      </c>
      <c r="E701">
        <f t="shared" si="276"/>
        <v>2.1936376896243091</v>
      </c>
      <c r="F701">
        <f t="shared" si="277"/>
        <v>1.7207304413332789</v>
      </c>
      <c r="G701">
        <f t="shared" si="278"/>
        <v>0.79987679521862531</v>
      </c>
      <c r="H701" s="2" t="str">
        <f t="shared" si="279"/>
        <v>Higher</v>
      </c>
      <c r="I701" s="2" t="str">
        <f t="shared" si="280"/>
        <v>Lower</v>
      </c>
      <c r="J701" s="2" t="str">
        <f t="shared" si="281"/>
        <v>Lower</v>
      </c>
      <c r="K701" s="2" t="str">
        <f t="shared" si="282"/>
        <v>Higher</v>
      </c>
      <c r="L701" s="2" t="str">
        <f t="shared" si="283"/>
        <v>Lower</v>
      </c>
      <c r="M701" s="2" t="str">
        <f t="shared" si="284"/>
        <v>Higher</v>
      </c>
      <c r="N701" s="2" t="str">
        <f t="shared" si="285"/>
        <v>Higher</v>
      </c>
      <c r="O701" s="2" t="str">
        <f t="shared" si="286"/>
        <v>Lower</v>
      </c>
      <c r="P701" s="2" t="str">
        <f t="shared" si="287"/>
        <v>Lower</v>
      </c>
      <c r="X701" s="4">
        <f>DATE(2021,11,23)</f>
        <v>44523</v>
      </c>
      <c r="Y701">
        <v>28.554390042621868</v>
      </c>
      <c r="Z701">
        <v>41.797236132896984</v>
      </c>
      <c r="AA701">
        <v>69.432500000000005</v>
      </c>
      <c r="AB701">
        <v>90.051000000000016</v>
      </c>
      <c r="AC701">
        <f t="shared" si="288"/>
        <v>3.1343420406259211E-2</v>
      </c>
      <c r="AD701">
        <f t="shared" si="288"/>
        <v>-1.8546885835007274E-2</v>
      </c>
      <c r="AE701">
        <f t="shared" si="289"/>
        <v>-4.9890306241266488E-2</v>
      </c>
      <c r="AF701">
        <f t="shared" si="290"/>
        <v>-0.75899699747068938</v>
      </c>
      <c r="AH701">
        <f t="shared" si="291"/>
        <v>0.15202856770994808</v>
      </c>
      <c r="AI701">
        <f t="shared" si="291"/>
        <v>1.4592185543842113E-2</v>
      </c>
      <c r="AJ701">
        <f t="shared" si="292"/>
        <v>-0.13743638216610596</v>
      </c>
      <c r="AK701">
        <f t="shared" si="293"/>
        <v>-1.0378615916798222</v>
      </c>
      <c r="AM701">
        <f t="shared" si="294"/>
        <v>0.13618393456664948</v>
      </c>
      <c r="AN701">
        <f t="shared" si="294"/>
        <v>0.58972411038185824</v>
      </c>
      <c r="AO701">
        <f t="shared" si="295"/>
        <v>0.45354017581520878</v>
      </c>
      <c r="AP701">
        <f t="shared" si="296"/>
        <v>0.70233176854567625</v>
      </c>
      <c r="AR701">
        <f t="shared" si="297"/>
        <v>0.57040361337806844</v>
      </c>
      <c r="AS701">
        <f t="shared" si="298"/>
        <v>1.6860159107063803</v>
      </c>
      <c r="AT701">
        <f t="shared" si="299"/>
        <v>1.1156122973283118</v>
      </c>
      <c r="AU701">
        <f t="shared" si="300"/>
        <v>3.1620260621091161</v>
      </c>
    </row>
    <row r="702" spans="1:47" x14ac:dyDescent="0.25">
      <c r="A702" s="4">
        <f>DATE(2021,11,22)</f>
        <v>44522</v>
      </c>
      <c r="B702">
        <v>0.97252147326410077</v>
      </c>
      <c r="C702">
        <v>73.524381996238475</v>
      </c>
      <c r="D702">
        <v>0.9532630318348092</v>
      </c>
      <c r="E702">
        <f t="shared" si="276"/>
        <v>2.5867134832017782</v>
      </c>
      <c r="F702">
        <f t="shared" si="277"/>
        <v>2.186190679221129</v>
      </c>
      <c r="G702">
        <f t="shared" si="278"/>
        <v>1.1112312216785207</v>
      </c>
      <c r="H702" s="2" t="str">
        <f t="shared" si="279"/>
        <v>Higher</v>
      </c>
      <c r="I702" s="2" t="str">
        <f t="shared" si="280"/>
        <v>Lower</v>
      </c>
      <c r="J702" s="2" t="str">
        <f t="shared" si="281"/>
        <v>Lower</v>
      </c>
      <c r="K702" s="2" t="str">
        <f t="shared" si="282"/>
        <v>Higher</v>
      </c>
      <c r="L702" s="2" t="str">
        <f t="shared" si="283"/>
        <v>Lower</v>
      </c>
      <c r="M702" s="2" t="str">
        <f t="shared" si="284"/>
        <v>Higher</v>
      </c>
      <c r="N702" s="2" t="str">
        <f t="shared" si="285"/>
        <v>Higher</v>
      </c>
      <c r="O702" s="2" t="str">
        <f t="shared" si="286"/>
        <v>Lower</v>
      </c>
      <c r="P702" s="2" t="str">
        <f t="shared" si="287"/>
        <v>Lower</v>
      </c>
      <c r="X702" s="4">
        <f>DATE(2021,11,22)</f>
        <v>44522</v>
      </c>
      <c r="Y702">
        <v>30.419001640809647</v>
      </c>
      <c r="Z702">
        <v>39.211497270828922</v>
      </c>
      <c r="AA702">
        <v>70.069999999999993</v>
      </c>
      <c r="AB702">
        <v>84.001000000000005</v>
      </c>
      <c r="AC702">
        <f t="shared" si="288"/>
        <v>6.5995268849448854E-2</v>
      </c>
      <c r="AD702">
        <f t="shared" si="288"/>
        <v>4.7946185233384016E-2</v>
      </c>
      <c r="AE702">
        <f t="shared" si="289"/>
        <v>-1.8049083616064839E-2</v>
      </c>
      <c r="AF702">
        <f t="shared" si="290"/>
        <v>-0.44411069539800269</v>
      </c>
      <c r="AH702">
        <f t="shared" si="291"/>
        <v>0.17068691930947077</v>
      </c>
      <c r="AI702">
        <f t="shared" si="291"/>
        <v>-5.8610714454718008E-2</v>
      </c>
      <c r="AJ702">
        <f t="shared" si="292"/>
        <v>-0.22929763376418877</v>
      </c>
      <c r="AK702">
        <f t="shared" si="293"/>
        <v>-1.4736357339905028</v>
      </c>
      <c r="AM702">
        <f t="shared" si="294"/>
        <v>0.14519984930717381</v>
      </c>
      <c r="AN702">
        <f t="shared" si="294"/>
        <v>0.53018519973758915</v>
      </c>
      <c r="AO702">
        <f t="shared" si="295"/>
        <v>0.38498535043041537</v>
      </c>
      <c r="AP702">
        <f t="shared" si="296"/>
        <v>0.50637758666523258</v>
      </c>
      <c r="AR702">
        <f t="shared" si="297"/>
        <v>0.56619331658256777</v>
      </c>
      <c r="AS702" t="str">
        <f t="shared" si="298"/>
        <v/>
      </c>
      <c r="AT702" t="str">
        <f t="shared" si="299"/>
        <v/>
      </c>
      <c r="AU702" t="str">
        <f t="shared" si="300"/>
        <v/>
      </c>
    </row>
    <row r="703" spans="1:47" x14ac:dyDescent="0.25">
      <c r="A703" s="4">
        <f>DATE(2021,11,19)</f>
        <v>44519</v>
      </c>
      <c r="B703">
        <v>0.99758397317093372</v>
      </c>
      <c r="C703">
        <v>72.547522353331317</v>
      </c>
      <c r="D703">
        <v>0.98898131148785906</v>
      </c>
      <c r="E703">
        <f t="shared" si="276"/>
        <v>2.743569148945793</v>
      </c>
      <c r="F703">
        <f t="shared" si="277"/>
        <v>2.1218189605997453</v>
      </c>
      <c r="G703">
        <f t="shared" si="278"/>
        <v>1.2438385495678146</v>
      </c>
      <c r="H703" s="2" t="str">
        <f t="shared" si="279"/>
        <v>Higher</v>
      </c>
      <c r="I703" s="2" t="str">
        <f t="shared" si="280"/>
        <v>Lower</v>
      </c>
      <c r="J703" s="2" t="str">
        <f t="shared" si="281"/>
        <v>Lower</v>
      </c>
      <c r="K703" s="2" t="str">
        <f t="shared" si="282"/>
        <v>Higher</v>
      </c>
      <c r="L703" s="2" t="str">
        <f t="shared" si="283"/>
        <v>Lower</v>
      </c>
      <c r="M703" s="2" t="str">
        <f t="shared" si="284"/>
        <v>Higher</v>
      </c>
      <c r="N703" s="2" t="str">
        <f t="shared" si="285"/>
        <v>Higher</v>
      </c>
      <c r="O703" s="2" t="str">
        <f t="shared" si="286"/>
        <v>Lower</v>
      </c>
      <c r="P703" s="2" t="str">
        <f t="shared" si="287"/>
        <v>Lower</v>
      </c>
      <c r="X703" s="4">
        <f>DATE(2021,11,19)</f>
        <v>44519</v>
      </c>
      <c r="Y703">
        <v>27.906873114368793</v>
      </c>
      <c r="Z703">
        <v>41.456892970803644</v>
      </c>
      <c r="AA703">
        <v>69.302500000000009</v>
      </c>
      <c r="AB703">
        <v>87.84375</v>
      </c>
      <c r="AC703">
        <f t="shared" si="288"/>
        <v>8.692939458956557E-2</v>
      </c>
      <c r="AD703">
        <f t="shared" si="288"/>
        <v>0.14752734069482384</v>
      </c>
      <c r="AE703">
        <f t="shared" si="289"/>
        <v>6.0597946105258274E-2</v>
      </c>
      <c r="AF703">
        <f t="shared" si="290"/>
        <v>0.33623065333764907</v>
      </c>
      <c r="AH703">
        <f t="shared" si="291"/>
        <v>0.16672291703193937</v>
      </c>
      <c r="AI703">
        <f t="shared" si="291"/>
        <v>2.8471656609075015E-3</v>
      </c>
      <c r="AJ703">
        <f t="shared" si="292"/>
        <v>-0.16387575137103186</v>
      </c>
      <c r="AK703">
        <f t="shared" si="293"/>
        <v>-1.172484314871159</v>
      </c>
      <c r="AM703">
        <f t="shared" si="294"/>
        <v>0.16595607849906915</v>
      </c>
      <c r="AN703">
        <f t="shared" si="294"/>
        <v>0.60840851347419689</v>
      </c>
      <c r="AO703">
        <f t="shared" si="295"/>
        <v>0.44245243497512776</v>
      </c>
      <c r="AP703">
        <f t="shared" si="296"/>
        <v>0.67190421048790849</v>
      </c>
      <c r="AR703">
        <f t="shared" si="297"/>
        <v>0.56630271819071887</v>
      </c>
      <c r="AS703">
        <f t="shared" si="298"/>
        <v>1.6156471176953491</v>
      </c>
      <c r="AT703">
        <f t="shared" si="299"/>
        <v>1.0493443995046303</v>
      </c>
      <c r="AU703">
        <f t="shared" si="300"/>
        <v>2.9644851299484505</v>
      </c>
    </row>
    <row r="704" spans="1:47" x14ac:dyDescent="0.25">
      <c r="A704" s="4">
        <f>DATE(2021,11,18)</f>
        <v>44518</v>
      </c>
      <c r="B704">
        <v>0.9911275361188121</v>
      </c>
      <c r="C704">
        <v>72.095577757961365</v>
      </c>
      <c r="D704">
        <v>1.0554105212452138</v>
      </c>
      <c r="E704">
        <f t="shared" si="276"/>
        <v>2.8315753546638036</v>
      </c>
      <c r="F704">
        <f t="shared" si="277"/>
        <v>2.1201388599635207</v>
      </c>
      <c r="G704">
        <f t="shared" si="278"/>
        <v>1.4846333104344627</v>
      </c>
      <c r="H704" s="2" t="str">
        <f t="shared" si="279"/>
        <v>Higher</v>
      </c>
      <c r="I704" s="2" t="str">
        <f t="shared" si="280"/>
        <v>Lower</v>
      </c>
      <c r="J704" s="2" t="str">
        <f t="shared" si="281"/>
        <v>Lower</v>
      </c>
      <c r="K704" s="2" t="str">
        <f t="shared" si="282"/>
        <v>Higher</v>
      </c>
      <c r="L704" s="2" t="str">
        <f t="shared" si="283"/>
        <v>Lower</v>
      </c>
      <c r="M704" s="2" t="str">
        <f t="shared" si="284"/>
        <v>Higher</v>
      </c>
      <c r="N704" s="2" t="str">
        <f t="shared" si="285"/>
        <v>Higher</v>
      </c>
      <c r="O704" s="2" t="str">
        <f t="shared" si="286"/>
        <v>Lower</v>
      </c>
      <c r="P704" s="2" t="str">
        <f t="shared" si="287"/>
        <v>Lower</v>
      </c>
      <c r="X704" s="4">
        <f>DATE(2021,11,18)</f>
        <v>44518</v>
      </c>
      <c r="Y704">
        <v>27.060207954050991</v>
      </c>
      <c r="Z704">
        <v>45.767832198567064</v>
      </c>
      <c r="AA704">
        <v>68.432500000000005</v>
      </c>
      <c r="AB704">
        <v>94.249750000000006</v>
      </c>
      <c r="AC704">
        <f t="shared" si="288"/>
        <v>7.7212415291804559E-2</v>
      </c>
      <c r="AD704">
        <f t="shared" si="288"/>
        <v>0.2395884180562417</v>
      </c>
      <c r="AE704">
        <f t="shared" si="289"/>
        <v>0.16237600276443714</v>
      </c>
      <c r="AF704">
        <f t="shared" si="290"/>
        <v>1.3461293836789319</v>
      </c>
      <c r="AH704">
        <f t="shared" si="291"/>
        <v>0.16950808178473956</v>
      </c>
      <c r="AI704">
        <f t="shared" si="291"/>
        <v>5.8995805476999341E-2</v>
      </c>
      <c r="AJ704">
        <f t="shared" si="292"/>
        <v>-0.11051227630774021</v>
      </c>
      <c r="AK704">
        <f t="shared" si="293"/>
        <v>-0.92489511796674118</v>
      </c>
      <c r="AM704">
        <f t="shared" si="294"/>
        <v>0.18736842860041902</v>
      </c>
      <c r="AN704">
        <f t="shared" si="294"/>
        <v>0.73032043667653312</v>
      </c>
      <c r="AO704">
        <f t="shared" si="295"/>
        <v>0.5429520080761141</v>
      </c>
      <c r="AP704">
        <f t="shared" si="296"/>
        <v>0.96088596804301873</v>
      </c>
      <c r="AR704">
        <f t="shared" si="297"/>
        <v>0.56267090121956109</v>
      </c>
      <c r="AS704">
        <f t="shared" si="298"/>
        <v>1.6798264181320033</v>
      </c>
      <c r="AT704">
        <f t="shared" si="299"/>
        <v>1.1171555169124421</v>
      </c>
      <c r="AU704">
        <f t="shared" si="300"/>
        <v>3.2420531447228864</v>
      </c>
    </row>
    <row r="705" spans="1:47" x14ac:dyDescent="0.25">
      <c r="A705" s="4">
        <f>DATE(2021,11,17)</f>
        <v>44517</v>
      </c>
      <c r="B705">
        <v>0.90902481768787324</v>
      </c>
      <c r="C705">
        <v>68.502913840870477</v>
      </c>
      <c r="D705">
        <v>1.0135773513238266</v>
      </c>
      <c r="E705">
        <f t="shared" si="276"/>
        <v>2.71660185714541</v>
      </c>
      <c r="F705">
        <f t="shared" si="277"/>
        <v>1.7114785777328698</v>
      </c>
      <c r="G705">
        <f t="shared" si="278"/>
        <v>1.3668552836977907</v>
      </c>
      <c r="H705" s="2" t="str">
        <f t="shared" si="279"/>
        <v>Higher</v>
      </c>
      <c r="I705" s="2" t="str">
        <f t="shared" si="280"/>
        <v>Higher</v>
      </c>
      <c r="J705" s="2" t="str">
        <f t="shared" si="281"/>
        <v>Lower</v>
      </c>
      <c r="K705" s="2" t="str">
        <f t="shared" si="282"/>
        <v>Higher</v>
      </c>
      <c r="L705" s="2" t="str">
        <f t="shared" si="283"/>
        <v>Lower</v>
      </c>
      <c r="M705" s="2" t="str">
        <f t="shared" si="284"/>
        <v>Higher</v>
      </c>
      <c r="N705" s="2" t="str">
        <f t="shared" si="285"/>
        <v>Higher</v>
      </c>
      <c r="O705" s="2" t="str">
        <f t="shared" si="286"/>
        <v>Lower</v>
      </c>
      <c r="P705" s="2" t="str">
        <f t="shared" si="287"/>
        <v>Lower</v>
      </c>
      <c r="X705" s="4">
        <f>DATE(2021,11,17)</f>
        <v>44517</v>
      </c>
      <c r="Y705">
        <v>27.041604127753121</v>
      </c>
      <c r="Z705">
        <v>47.746863390129732</v>
      </c>
      <c r="AA705">
        <v>67.38</v>
      </c>
      <c r="AB705">
        <v>96.215499999999992</v>
      </c>
      <c r="AC705">
        <f t="shared" si="288"/>
        <v>7.7544470425239348E-2</v>
      </c>
      <c r="AD705">
        <f t="shared" si="288"/>
        <v>0.33567382757885561</v>
      </c>
      <c r="AE705">
        <f t="shared" si="289"/>
        <v>0.25812935715361629</v>
      </c>
      <c r="AF705">
        <f t="shared" si="290"/>
        <v>2.3024853278793449</v>
      </c>
      <c r="AH705">
        <f t="shared" si="291"/>
        <v>0.16598204556254742</v>
      </c>
      <c r="AI705">
        <f t="shared" si="291"/>
        <v>2.8503370505700416E-2</v>
      </c>
      <c r="AJ705">
        <f t="shared" si="292"/>
        <v>-0.13747867505684699</v>
      </c>
      <c r="AK705">
        <f t="shared" si="293"/>
        <v>-1.0548497787366042</v>
      </c>
      <c r="AM705">
        <f t="shared" si="294"/>
        <v>0.17606335301730536</v>
      </c>
      <c r="AN705">
        <f t="shared" si="294"/>
        <v>0.7517669253029079</v>
      </c>
      <c r="AO705">
        <f t="shared" si="295"/>
        <v>0.57570357228560254</v>
      </c>
      <c r="AP705">
        <f t="shared" si="296"/>
        <v>1.0567910944961532</v>
      </c>
      <c r="AR705">
        <f t="shared" si="297"/>
        <v>0.54717128121684344</v>
      </c>
      <c r="AS705">
        <f t="shared" si="298"/>
        <v>1.6408113476390005</v>
      </c>
      <c r="AT705">
        <f t="shared" si="299"/>
        <v>1.0936400664221571</v>
      </c>
      <c r="AU705">
        <f t="shared" si="300"/>
        <v>3.204008528034525</v>
      </c>
    </row>
    <row r="706" spans="1:47" x14ac:dyDescent="0.25">
      <c r="A706" s="4">
        <f>DATE(2021,11,16)</f>
        <v>44516</v>
      </c>
      <c r="B706">
        <v>0.88775752600726998</v>
      </c>
      <c r="C706">
        <v>70.189793299044808</v>
      </c>
      <c r="D706">
        <v>1.1455111505970572</v>
      </c>
      <c r="E706">
        <f t="shared" si="276"/>
        <v>2.7590304052915564</v>
      </c>
      <c r="F706">
        <f t="shared" si="277"/>
        <v>1.9647191544622324</v>
      </c>
      <c r="G706">
        <f t="shared" si="278"/>
        <v>1.8381045289383011</v>
      </c>
      <c r="H706" s="2" t="str">
        <f t="shared" si="279"/>
        <v>Lower</v>
      </c>
      <c r="I706" s="2" t="str">
        <f t="shared" si="280"/>
        <v>Higher</v>
      </c>
      <c r="J706" s="2" t="str">
        <f t="shared" si="281"/>
        <v>Lower</v>
      </c>
      <c r="K706" s="2" t="str">
        <f t="shared" si="282"/>
        <v>Higher</v>
      </c>
      <c r="L706" s="2" t="str">
        <f t="shared" si="283"/>
        <v>Lower</v>
      </c>
      <c r="M706" s="2" t="str">
        <f t="shared" si="284"/>
        <v>Higher</v>
      </c>
      <c r="N706" s="2" t="str">
        <f t="shared" si="285"/>
        <v>Higher</v>
      </c>
      <c r="O706" s="2" t="str">
        <f t="shared" si="286"/>
        <v>Lower</v>
      </c>
      <c r="P706" s="2" t="str">
        <f t="shared" si="287"/>
        <v>Lower</v>
      </c>
      <c r="X706" s="4">
        <f>DATE(2021,11,16)</f>
        <v>44516</v>
      </c>
      <c r="Y706">
        <v>26.70805108922351</v>
      </c>
      <c r="Z706">
        <v>44.543480398313157</v>
      </c>
      <c r="AA706">
        <v>67.289999999999992</v>
      </c>
      <c r="AB706">
        <v>91.736750000000001</v>
      </c>
      <c r="AC706">
        <f t="shared" si="288"/>
        <v>0.10591382998337633</v>
      </c>
      <c r="AD706">
        <f t="shared" si="288"/>
        <v>0.21939188044151325</v>
      </c>
      <c r="AE706">
        <f t="shared" si="289"/>
        <v>0.11347805045813693</v>
      </c>
      <c r="AF706">
        <f t="shared" si="290"/>
        <v>0.87879815212785484</v>
      </c>
      <c r="AH706">
        <f t="shared" si="291"/>
        <v>0.195064012050155</v>
      </c>
      <c r="AI706">
        <f t="shared" si="291"/>
        <v>1.0197699617750746E-2</v>
      </c>
      <c r="AJ706">
        <f t="shared" si="292"/>
        <v>-0.18486631243240426</v>
      </c>
      <c r="AK706">
        <f t="shared" si="293"/>
        <v>-1.2821624475849656</v>
      </c>
      <c r="AM706">
        <f t="shared" si="294"/>
        <v>0.17738503212624834</v>
      </c>
      <c r="AN706">
        <f t="shared" si="294"/>
        <v>0.72099303421260241</v>
      </c>
      <c r="AO706">
        <f t="shared" si="295"/>
        <v>0.54360800208635407</v>
      </c>
      <c r="AP706">
        <f t="shared" si="296"/>
        <v>0.96759450725356977</v>
      </c>
      <c r="AR706">
        <f t="shared" si="297"/>
        <v>0.56617612158769703</v>
      </c>
      <c r="AS706">
        <f t="shared" si="298"/>
        <v>1.5725780061532484</v>
      </c>
      <c r="AT706">
        <f t="shared" si="299"/>
        <v>1.0064018845655514</v>
      </c>
      <c r="AU706">
        <f t="shared" si="300"/>
        <v>2.9262334823049794</v>
      </c>
    </row>
    <row r="707" spans="1:47" x14ac:dyDescent="0.25">
      <c r="A707" s="4">
        <f>DATE(2021,11,15)</f>
        <v>44515</v>
      </c>
      <c r="B707">
        <v>0.73139820155142243</v>
      </c>
      <c r="C707">
        <v>67.061090286727719</v>
      </c>
      <c r="D707">
        <v>1.1043471945209569</v>
      </c>
      <c r="E707">
        <f t="shared" si="276"/>
        <v>2.3758926939378191</v>
      </c>
      <c r="F707">
        <f t="shared" si="277"/>
        <v>1.5852602275737919</v>
      </c>
      <c r="G707">
        <f t="shared" si="278"/>
        <v>1.7321340537395029</v>
      </c>
      <c r="H707" s="2" t="str">
        <f t="shared" si="279"/>
        <v>Lower</v>
      </c>
      <c r="I707" s="2" t="str">
        <f t="shared" si="280"/>
        <v>Higher</v>
      </c>
      <c r="J707" s="2" t="str">
        <f t="shared" si="281"/>
        <v>Lower</v>
      </c>
      <c r="K707" s="2" t="str">
        <f t="shared" si="282"/>
        <v>Higher</v>
      </c>
      <c r="L707" s="2" t="str">
        <f t="shared" si="283"/>
        <v>Lower</v>
      </c>
      <c r="M707" s="2" t="str">
        <f t="shared" si="284"/>
        <v>Lower</v>
      </c>
      <c r="N707" s="2" t="str">
        <f t="shared" si="285"/>
        <v>Higher</v>
      </c>
      <c r="O707" s="2" t="str">
        <f t="shared" si="286"/>
        <v>Lower</v>
      </c>
      <c r="P707" s="2" t="str">
        <f t="shared" si="287"/>
        <v>Lower</v>
      </c>
      <c r="X707" s="4">
        <f>DATE(2021,11,15)</f>
        <v>44515</v>
      </c>
      <c r="Y707">
        <v>25.404580251707603</v>
      </c>
      <c r="Z707">
        <v>37.794725252828393</v>
      </c>
      <c r="AA707">
        <v>65.594999999999999</v>
      </c>
      <c r="AB707">
        <v>80.0685</v>
      </c>
      <c r="AC707">
        <f t="shared" si="288"/>
        <v>8.0112583326664044E-2</v>
      </c>
      <c r="AD707">
        <f t="shared" si="288"/>
        <v>1.3678366412601693E-2</v>
      </c>
      <c r="AE707">
        <f t="shared" si="289"/>
        <v>-6.6434216914062344E-2</v>
      </c>
      <c r="AF707">
        <f t="shared" si="290"/>
        <v>-0.91673875740355582</v>
      </c>
      <c r="AH707">
        <f t="shared" si="291"/>
        <v>0.11430179373284877</v>
      </c>
      <c r="AI707">
        <f t="shared" si="291"/>
        <v>-0.16470092683413237</v>
      </c>
      <c r="AJ707">
        <f t="shared" si="292"/>
        <v>-0.27900272056698117</v>
      </c>
      <c r="AK707">
        <f t="shared" si="293"/>
        <v>-1.7328194219047861</v>
      </c>
      <c r="AM707">
        <f t="shared" si="294"/>
        <v>0.17068135806995299</v>
      </c>
      <c r="AN707">
        <f t="shared" si="294"/>
        <v>0.64816367785499884</v>
      </c>
      <c r="AO707">
        <f t="shared" si="295"/>
        <v>0.47748231978504585</v>
      </c>
      <c r="AP707">
        <f t="shared" si="296"/>
        <v>0.78063191074921889</v>
      </c>
      <c r="AR707">
        <f t="shared" si="297"/>
        <v>0.52327672866886177</v>
      </c>
      <c r="AS707">
        <f t="shared" si="298"/>
        <v>1.3829714879255655</v>
      </c>
      <c r="AT707">
        <f t="shared" si="299"/>
        <v>0.85969475925670369</v>
      </c>
      <c r="AU707">
        <f t="shared" si="300"/>
        <v>2.4084014397609117</v>
      </c>
    </row>
    <row r="708" spans="1:47" x14ac:dyDescent="0.25">
      <c r="A708" s="4">
        <f>DATE(2021,11,12)</f>
        <v>44512</v>
      </c>
      <c r="B708">
        <v>0.58046601668743147</v>
      </c>
      <c r="C708">
        <v>60.785877233228412</v>
      </c>
      <c r="D708">
        <v>0.94992468544845965</v>
      </c>
      <c r="E708">
        <f t="shared" si="276"/>
        <v>1.9413978987758731</v>
      </c>
      <c r="F708">
        <f t="shared" si="277"/>
        <v>0.72393138079137376</v>
      </c>
      <c r="G708">
        <f t="shared" si="278"/>
        <v>1.2118484116826134</v>
      </c>
      <c r="H708" s="2" t="str">
        <f t="shared" si="279"/>
        <v>Lower</v>
      </c>
      <c r="I708" s="2" t="str">
        <f t="shared" si="280"/>
        <v>Higher</v>
      </c>
      <c r="J708" s="2" t="str">
        <f t="shared" si="281"/>
        <v>Lower</v>
      </c>
      <c r="K708" s="2" t="str">
        <f t="shared" si="282"/>
        <v>Higher</v>
      </c>
      <c r="L708" s="2" t="str">
        <f t="shared" si="283"/>
        <v>Lower</v>
      </c>
      <c r="M708" s="2" t="str">
        <f t="shared" si="284"/>
        <v>Lower</v>
      </c>
      <c r="N708" s="2" t="str">
        <f t="shared" si="285"/>
        <v>Lower</v>
      </c>
      <c r="O708" s="2" t="str">
        <f t="shared" si="286"/>
        <v>Lower</v>
      </c>
      <c r="P708" s="2" t="str">
        <f t="shared" si="287"/>
        <v>Lower</v>
      </c>
      <c r="X708" s="4">
        <f>DATE(2021,11,12)</f>
        <v>44512</v>
      </c>
      <c r="Y708">
        <v>20.105218245993488</v>
      </c>
      <c r="Z708">
        <v>35.569915072013451</v>
      </c>
      <c r="AA708">
        <v>63.532499999999999</v>
      </c>
      <c r="AB708">
        <v>75.794999999999987</v>
      </c>
      <c r="AC708">
        <f t="shared" si="288"/>
        <v>6.0127952197241499E-2</v>
      </c>
      <c r="AD708">
        <f t="shared" si="288"/>
        <v>2.4900101625781934E-2</v>
      </c>
      <c r="AE708">
        <f t="shared" si="289"/>
        <v>-3.5227850571459565E-2</v>
      </c>
      <c r="AF708">
        <f t="shared" si="290"/>
        <v>-0.60749678878657032</v>
      </c>
      <c r="AH708">
        <f t="shared" si="291"/>
        <v>6.1005897026726971E-2</v>
      </c>
      <c r="AI708">
        <f t="shared" si="291"/>
        <v>-0.23596684482239405</v>
      </c>
      <c r="AJ708">
        <f t="shared" si="292"/>
        <v>-0.29697274184912104</v>
      </c>
      <c r="AK708">
        <f t="shared" si="293"/>
        <v>-1.8296275490905651</v>
      </c>
      <c r="AM708">
        <f t="shared" si="294"/>
        <v>0.15753393301090504</v>
      </c>
      <c r="AN708">
        <f t="shared" si="294"/>
        <v>0.59386287518828218</v>
      </c>
      <c r="AO708">
        <f t="shared" si="295"/>
        <v>0.43632894217737717</v>
      </c>
      <c r="AP708">
        <f t="shared" si="296"/>
        <v>0.66442829981695939</v>
      </c>
      <c r="AR708">
        <f t="shared" si="297"/>
        <v>0.51179672696295953</v>
      </c>
      <c r="AS708">
        <f t="shared" si="298"/>
        <v>1.410802282012948</v>
      </c>
      <c r="AT708">
        <f t="shared" si="299"/>
        <v>0.89900555504998847</v>
      </c>
      <c r="AU708">
        <f t="shared" si="300"/>
        <v>2.5659420259768457</v>
      </c>
    </row>
    <row r="709" spans="1:47" x14ac:dyDescent="0.25">
      <c r="A709" s="4">
        <f>DATE(2021,11,11)</f>
        <v>44511</v>
      </c>
      <c r="B709">
        <v>0.55936703656175391</v>
      </c>
      <c r="C709">
        <v>62.575353371237846</v>
      </c>
      <c r="D709">
        <v>1.0750900008906994</v>
      </c>
      <c r="E709">
        <f t="shared" ref="E709:E772" si="301">(B709-AVERAGE(B709:B838))/_xlfn.STDEV.S(B709:B838)</f>
        <v>1.8741672524647346</v>
      </c>
      <c r="F709">
        <f t="shared" ref="F709:F772" si="302">(C709-AVERAGE(C709:C838))/_xlfn.STDEV.S(C709:C838)</f>
        <v>0.88301207648891389</v>
      </c>
      <c r="G709">
        <f t="shared" ref="G709:G772" si="303">(D709-AVERAGE(D709:D838))/_xlfn.STDEV.S(D709:D838)</f>
        <v>1.6362326694497979</v>
      </c>
      <c r="H709" s="2" t="str">
        <f t="shared" ref="H709:H772" si="304">IF(AVERAGEA(C709:C729)&gt;AVERAGE(C730:C750),"Higher","Lower")</f>
        <v>Lower</v>
      </c>
      <c r="I709" s="2" t="str">
        <f t="shared" ref="I709:I772" si="305">IF(AVERAGEA(C709:C764)&gt;AVERAGE(C765:C820),"Higher","Lower")</f>
        <v>Higher</v>
      </c>
      <c r="J709" s="2" t="str">
        <f t="shared" ref="J709:J772" si="306">IF(AVERAGEA(C709:C821)&gt;AVERAGE(C822:C934),"Higher","Lower")</f>
        <v>Lower</v>
      </c>
      <c r="K709" s="2" t="str">
        <f t="shared" ref="K709:K772" si="307">IF(AVERAGEA(B709:B729)&gt;AVERAGE(B730:B750),"Higher","Lower")</f>
        <v>Higher</v>
      </c>
      <c r="L709" s="2" t="str">
        <f t="shared" ref="L709:L772" si="308">IF(AVERAGEA(B709:B764)&gt;AVERAGE(B765:B820),"Higher","Lower")</f>
        <v>Lower</v>
      </c>
      <c r="M709" s="2" t="str">
        <f t="shared" ref="M709:M772" si="309">IF(AVERAGEA(B709:B821)&gt;AVERAGE(B822:B934),"Higher","Lower")</f>
        <v>Lower</v>
      </c>
      <c r="N709" s="2" t="str">
        <f t="shared" ref="N709:N772" si="310">IF(AVERAGEA(D709:D729)&gt;AVERAGE(D730:D750),"Higher","Lower")</f>
        <v>Lower</v>
      </c>
      <c r="O709" s="2" t="str">
        <f t="shared" ref="O709:O772" si="311">IF(AVERAGEA(D709:D764)&gt;AVERAGE(D765:D820),"Higher","Lower")</f>
        <v>Lower</v>
      </c>
      <c r="P709" s="2" t="str">
        <f t="shared" ref="P709:P772" si="312">IF(AVERAGEA(D709:D821)&gt;AVERAGE(D822:D934),"Higher","Lower")</f>
        <v>Lower</v>
      </c>
      <c r="X709" s="4">
        <f>DATE(2021,11,11)</f>
        <v>44511</v>
      </c>
      <c r="Y709">
        <v>19.13371769945698</v>
      </c>
      <c r="Z709">
        <v>34.038742810906932</v>
      </c>
      <c r="AA709">
        <v>63.347500000000004</v>
      </c>
      <c r="AB709">
        <v>74.17</v>
      </c>
      <c r="AC709">
        <f t="shared" ref="AC709:AD772" si="313">IFERROR(LN(AA709/AA714),"")</f>
        <v>5.3915950762145982E-2</v>
      </c>
      <c r="AD709">
        <f t="shared" si="313"/>
        <v>-1.38773827704812E-3</v>
      </c>
      <c r="AE709">
        <f t="shared" ref="AE709:AE772" si="314">IFERROR(AD709-AC709,"")</f>
        <v>-5.5303689039194102E-2</v>
      </c>
      <c r="AF709">
        <f t="shared" ref="AF709:AF772" si="315">IFERROR((AE709-AVERAGEA(AE709:AE1231))/_xlfn.STDEV.S(AE709:AE1226),"")</f>
        <v>-0.80908030348034854</v>
      </c>
      <c r="AH709">
        <f t="shared" ref="AH709:AI772" si="316">IFERROR(LN(AA709/AA729),"")</f>
        <v>3.8704646015224962E-2</v>
      </c>
      <c r="AI709">
        <f t="shared" si="316"/>
        <v>-0.30709848919495186</v>
      </c>
      <c r="AJ709">
        <f t="shared" ref="AJ709:AJ772" si="317">IFERROR(AI709-AH709,"")</f>
        <v>-0.3458031352101768</v>
      </c>
      <c r="AK709">
        <f t="shared" ref="AK709:AK772" si="318">IFERROR((AJ709-AVERAGEA(AJ709:AJ1231))/_xlfn.STDEV.S(AJ709:AJ1226),"")</f>
        <v>-2.0757204491593071</v>
      </c>
      <c r="AM709">
        <f t="shared" ref="AM709:AN772" si="319">IFERROR(LN(AA709/AA769),"")</f>
        <v>0.15683130225632363</v>
      </c>
      <c r="AN709">
        <f t="shared" si="319"/>
        <v>0.58446872920625226</v>
      </c>
      <c r="AO709">
        <f t="shared" ref="AO709:AO772" si="320">IFERROR(AN709-AM709,"")</f>
        <v>0.42763742694992862</v>
      </c>
      <c r="AP709">
        <f t="shared" ref="AP709:AP772" si="321">IFERROR((AO709-AVERAGEA(AO709:AO1231))/_xlfn.STDEV.S(AO709:AO1226),"")</f>
        <v>0.64063380325414332</v>
      </c>
      <c r="AR709">
        <f t="shared" ref="AR709:AR772" si="322">IFERROR(LN(AA709/AA909),"")</f>
        <v>0.52857030457574317</v>
      </c>
      <c r="AS709">
        <f t="shared" ref="AS709:AS772" si="323">IFERROR(LN(AB709/AB909),"")</f>
        <v>1.4112768903444053</v>
      </c>
      <c r="AT709">
        <f t="shared" ref="AT709:AT772" si="324">IFERROR(AS709-AR709,"")</f>
        <v>0.88270658576866212</v>
      </c>
      <c r="AU709">
        <f t="shared" ref="AU709:AU772" si="325">IFERROR((AT709-AVERAGEA(AT709:AT1231))/_xlfn.STDEV.S(AT709:AT1226),"")</f>
        <v>2.5201208026490436</v>
      </c>
    </row>
    <row r="710" spans="1:47" x14ac:dyDescent="0.25">
      <c r="A710" s="4">
        <f>DATE(2021,11,10)</f>
        <v>44510</v>
      </c>
      <c r="B710">
        <v>0.43466737317113174</v>
      </c>
      <c r="C710">
        <v>61.244925605259454</v>
      </c>
      <c r="D710">
        <v>1.0825829660653772</v>
      </c>
      <c r="E710">
        <f t="shared" si="301"/>
        <v>1.5030599195714192</v>
      </c>
      <c r="F710">
        <f t="shared" si="302"/>
        <v>0.68407191921778254</v>
      </c>
      <c r="G710">
        <f t="shared" si="303"/>
        <v>1.6717535077583756</v>
      </c>
      <c r="H710" s="2" t="str">
        <f t="shared" si="304"/>
        <v>Lower</v>
      </c>
      <c r="I710" s="2" t="str">
        <f t="shared" si="305"/>
        <v>Higher</v>
      </c>
      <c r="J710" s="2" t="str">
        <f t="shared" si="306"/>
        <v>Lower</v>
      </c>
      <c r="K710" s="2" t="str">
        <f t="shared" si="307"/>
        <v>Higher</v>
      </c>
      <c r="L710" s="2" t="str">
        <f t="shared" si="308"/>
        <v>Lower</v>
      </c>
      <c r="M710" s="2" t="str">
        <f t="shared" si="309"/>
        <v>Lower</v>
      </c>
      <c r="N710" s="2" t="str">
        <f t="shared" si="310"/>
        <v>Lower</v>
      </c>
      <c r="O710" s="2" t="str">
        <f t="shared" si="311"/>
        <v>Lower</v>
      </c>
      <c r="P710" s="2" t="str">
        <f t="shared" si="312"/>
        <v>Lower</v>
      </c>
      <c r="X710" s="4">
        <f>DATE(2021,11,10)</f>
        <v>44510</v>
      </c>
      <c r="Y710">
        <v>18.191492453452792</v>
      </c>
      <c r="Z710">
        <v>30.665453252341763</v>
      </c>
      <c r="AA710">
        <v>62.352499999999999</v>
      </c>
      <c r="AB710">
        <v>68.780249999999995</v>
      </c>
      <c r="AC710">
        <f t="shared" si="313"/>
        <v>4.225807858821598E-2</v>
      </c>
      <c r="AD710">
        <f t="shared" si="313"/>
        <v>-0.10849277012492302</v>
      </c>
      <c r="AE710">
        <f t="shared" si="314"/>
        <v>-0.15075084871313899</v>
      </c>
      <c r="AF710">
        <f t="shared" si="315"/>
        <v>-1.7632454046574972</v>
      </c>
      <c r="AH710">
        <f t="shared" si="316"/>
        <v>5.2600388886098165E-2</v>
      </c>
      <c r="AI710">
        <f t="shared" si="316"/>
        <v>-0.30203762914750126</v>
      </c>
      <c r="AJ710">
        <f t="shared" si="317"/>
        <v>-0.3546380180335994</v>
      </c>
      <c r="AK710">
        <f t="shared" si="318"/>
        <v>-2.1367681078685119</v>
      </c>
      <c r="AM710">
        <f t="shared" si="319"/>
        <v>9.1156994331515695E-2</v>
      </c>
      <c r="AN710">
        <f t="shared" si="319"/>
        <v>0.41821685564170563</v>
      </c>
      <c r="AO710">
        <f t="shared" si="320"/>
        <v>0.32705986131018994</v>
      </c>
      <c r="AP710">
        <f t="shared" si="321"/>
        <v>0.35508764795236908</v>
      </c>
      <c r="AR710">
        <f t="shared" si="322"/>
        <v>0.52533775180164688</v>
      </c>
      <c r="AS710">
        <f t="shared" si="323"/>
        <v>1.3557290241483857</v>
      </c>
      <c r="AT710">
        <f t="shared" si="324"/>
        <v>0.83039127234673882</v>
      </c>
      <c r="AU710">
        <f t="shared" si="325"/>
        <v>2.3373645193780299</v>
      </c>
    </row>
    <row r="711" spans="1:47" x14ac:dyDescent="0.25">
      <c r="A711" s="4">
        <f>DATE(2021,11,9)</f>
        <v>44509</v>
      </c>
      <c r="B711">
        <v>0.25590558114093614</v>
      </c>
      <c r="C711">
        <v>53.4134368769312</v>
      </c>
      <c r="D711">
        <v>0.74805326478807288</v>
      </c>
      <c r="E711">
        <f t="shared" si="301"/>
        <v>0.96056862805988241</v>
      </c>
      <c r="F711">
        <f t="shared" si="302"/>
        <v>-0.23606479637277911</v>
      </c>
      <c r="G711">
        <f t="shared" si="303"/>
        <v>0.51312869291183527</v>
      </c>
      <c r="H711" s="2" t="str">
        <f t="shared" si="304"/>
        <v>Lower</v>
      </c>
      <c r="I711" s="2" t="str">
        <f t="shared" si="305"/>
        <v>Higher</v>
      </c>
      <c r="J711" s="2" t="str">
        <f t="shared" si="306"/>
        <v>Lower</v>
      </c>
      <c r="K711" s="2" t="str">
        <f t="shared" si="307"/>
        <v>Lower</v>
      </c>
      <c r="L711" s="2" t="str">
        <f t="shared" si="308"/>
        <v>Lower</v>
      </c>
      <c r="M711" s="2" t="str">
        <f t="shared" si="309"/>
        <v>Lower</v>
      </c>
      <c r="N711" s="2" t="str">
        <f t="shared" si="310"/>
        <v>Lower</v>
      </c>
      <c r="O711" s="2" t="str">
        <f t="shared" si="311"/>
        <v>Lower</v>
      </c>
      <c r="P711" s="2" t="str">
        <f t="shared" si="312"/>
        <v>Lower</v>
      </c>
      <c r="X711" s="4">
        <f>DATE(2021,11,9)</f>
        <v>44509</v>
      </c>
      <c r="Y711">
        <v>13.918111817500192</v>
      </c>
      <c r="Z711">
        <v>33.455201595719345</v>
      </c>
      <c r="AA711">
        <v>60.527499999999996</v>
      </c>
      <c r="AB711">
        <v>73.665250000000015</v>
      </c>
      <c r="AC711">
        <f t="shared" si="313"/>
        <v>2.7596332796229445E-2</v>
      </c>
      <c r="AD711">
        <f t="shared" si="313"/>
        <v>9.2166761810586348E-2</v>
      </c>
      <c r="AE711">
        <f t="shared" si="314"/>
        <v>6.4570429014356903E-2</v>
      </c>
      <c r="AF711">
        <f t="shared" si="315"/>
        <v>0.38086212258151203</v>
      </c>
      <c r="AH711">
        <f t="shared" si="316"/>
        <v>2.6196158606470114E-2</v>
      </c>
      <c r="AI711">
        <f t="shared" si="316"/>
        <v>-0.1542083715802379</v>
      </c>
      <c r="AJ711">
        <f t="shared" si="317"/>
        <v>-0.18040453018670802</v>
      </c>
      <c r="AK711">
        <f t="shared" si="318"/>
        <v>-1.3160188307260712</v>
      </c>
      <c r="AM711">
        <f t="shared" si="319"/>
        <v>5.266159463507767E-2</v>
      </c>
      <c r="AN711">
        <f t="shared" si="319"/>
        <v>0.44647292663325805</v>
      </c>
      <c r="AO711">
        <f t="shared" si="320"/>
        <v>0.39381133199818036</v>
      </c>
      <c r="AP711">
        <f t="shared" si="321"/>
        <v>0.54525866531004752</v>
      </c>
      <c r="AR711">
        <f t="shared" si="322"/>
        <v>0.56112450467591402</v>
      </c>
      <c r="AS711">
        <f t="shared" si="323"/>
        <v>1.3939287791459882</v>
      </c>
      <c r="AT711">
        <f t="shared" si="324"/>
        <v>0.83280427447007421</v>
      </c>
      <c r="AU711">
        <f t="shared" si="325"/>
        <v>2.355337352336536</v>
      </c>
    </row>
    <row r="712" spans="1:47" x14ac:dyDescent="0.25">
      <c r="A712" s="4">
        <f>DATE(2021,11,8)</f>
        <v>44508</v>
      </c>
      <c r="B712">
        <v>0.23243862268097748</v>
      </c>
      <c r="C712">
        <v>54.227507925860976</v>
      </c>
      <c r="D712">
        <v>0.80707486684868213</v>
      </c>
      <c r="E712">
        <f t="shared" si="301"/>
        <v>0.88520194815065223</v>
      </c>
      <c r="F712">
        <f t="shared" si="302"/>
        <v>-0.16613280705479713</v>
      </c>
      <c r="G712">
        <f t="shared" si="303"/>
        <v>0.70481341653794349</v>
      </c>
      <c r="H712" s="2" t="str">
        <f t="shared" si="304"/>
        <v>Lower</v>
      </c>
      <c r="I712" s="2" t="str">
        <f t="shared" si="305"/>
        <v>Higher</v>
      </c>
      <c r="J712" s="2" t="str">
        <f t="shared" si="306"/>
        <v>Lower</v>
      </c>
      <c r="K712" s="2" t="str">
        <f t="shared" si="307"/>
        <v>Lower</v>
      </c>
      <c r="L712" s="2" t="str">
        <f t="shared" si="308"/>
        <v>Lower</v>
      </c>
      <c r="M712" s="2" t="str">
        <f t="shared" si="309"/>
        <v>Lower</v>
      </c>
      <c r="N712" s="2" t="str">
        <f t="shared" si="310"/>
        <v>Lower</v>
      </c>
      <c r="O712" s="2" t="str">
        <f t="shared" si="311"/>
        <v>Lower</v>
      </c>
      <c r="P712" s="2" t="str">
        <f t="shared" si="312"/>
        <v>Lower</v>
      </c>
      <c r="X712" s="4">
        <f>DATE(2021,11,8)</f>
        <v>44508</v>
      </c>
      <c r="Y712">
        <v>13.685008130095413</v>
      </c>
      <c r="Z712">
        <v>35.88859485876312</v>
      </c>
      <c r="AA712">
        <v>60.545000000000002</v>
      </c>
      <c r="AB712">
        <v>78.98075</v>
      </c>
      <c r="AC712">
        <f t="shared" si="313"/>
        <v>4.7350124639278922E-2</v>
      </c>
      <c r="AD712">
        <f t="shared" si="313"/>
        <v>0.19259627244905456</v>
      </c>
      <c r="AE712">
        <f t="shared" si="314"/>
        <v>0.14524614780977563</v>
      </c>
      <c r="AF712">
        <f t="shared" si="315"/>
        <v>1.1879864164492953</v>
      </c>
      <c r="AH712">
        <f t="shared" si="316"/>
        <v>2.3310299781933979E-2</v>
      </c>
      <c r="AI712">
        <f t="shared" si="316"/>
        <v>-9.1133884921840977E-2</v>
      </c>
      <c r="AJ712">
        <f t="shared" si="317"/>
        <v>-0.11444418470377496</v>
      </c>
      <c r="AK712">
        <f t="shared" si="318"/>
        <v>-1.0030646769145379</v>
      </c>
      <c r="AM712">
        <f t="shared" si="319"/>
        <v>5.3473257438740436E-2</v>
      </c>
      <c r="AN712">
        <f t="shared" si="319"/>
        <v>0.50615607769804105</v>
      </c>
      <c r="AO712">
        <f t="shared" si="320"/>
        <v>0.45268282025930062</v>
      </c>
      <c r="AP712">
        <f t="shared" si="321"/>
        <v>0.71307099015030129</v>
      </c>
      <c r="AR712">
        <f t="shared" si="322"/>
        <v>0.60945840928648942</v>
      </c>
      <c r="AS712">
        <f t="shared" si="323"/>
        <v>1.4622347883628168</v>
      </c>
      <c r="AT712">
        <f t="shared" si="324"/>
        <v>0.85277637907632742</v>
      </c>
      <c r="AU712">
        <f t="shared" si="325"/>
        <v>2.4399250698553239</v>
      </c>
    </row>
    <row r="713" spans="1:47" x14ac:dyDescent="0.25">
      <c r="A713" s="4">
        <f>DATE(2021,11,5)</f>
        <v>44505</v>
      </c>
      <c r="B713">
        <v>0.15723164721009575</v>
      </c>
      <c r="C713">
        <v>50.260063845224558</v>
      </c>
      <c r="D713">
        <v>0.60356032043427155</v>
      </c>
      <c r="E713">
        <f t="shared" si="301"/>
        <v>0.65852818185251571</v>
      </c>
      <c r="F713">
        <f t="shared" si="302"/>
        <v>-0.59319081442753185</v>
      </c>
      <c r="G713">
        <f t="shared" si="303"/>
        <v>8.1488250974929839E-4</v>
      </c>
      <c r="H713" s="2" t="str">
        <f t="shared" si="304"/>
        <v>Lower</v>
      </c>
      <c r="I713" s="2" t="str">
        <f t="shared" si="305"/>
        <v>Lower</v>
      </c>
      <c r="J713" s="2" t="str">
        <f t="shared" si="306"/>
        <v>Lower</v>
      </c>
      <c r="K713" s="2" t="str">
        <f t="shared" si="307"/>
        <v>Lower</v>
      </c>
      <c r="L713" s="2" t="str">
        <f t="shared" si="308"/>
        <v>Lower</v>
      </c>
      <c r="M713" s="2" t="str">
        <f t="shared" si="309"/>
        <v>Lower</v>
      </c>
      <c r="N713" s="2" t="str">
        <f t="shared" si="310"/>
        <v>Lower</v>
      </c>
      <c r="O713" s="2" t="str">
        <f t="shared" si="311"/>
        <v>Lower</v>
      </c>
      <c r="P713" s="2" t="str">
        <f t="shared" si="312"/>
        <v>Lower</v>
      </c>
      <c r="X713" s="4">
        <f>DATE(2021,11,5)</f>
        <v>44505</v>
      </c>
      <c r="Y713">
        <v>14.460374068112166</v>
      </c>
      <c r="Z713">
        <v>31.734166446138818</v>
      </c>
      <c r="AA713">
        <v>59.825000000000003</v>
      </c>
      <c r="AB713">
        <v>73.931000000000012</v>
      </c>
      <c r="AC713">
        <f t="shared" si="313"/>
        <v>1.7792113169878061E-2</v>
      </c>
      <c r="AD713">
        <f t="shared" si="313"/>
        <v>0.10138423607239064</v>
      </c>
      <c r="AE713">
        <f t="shared" si="314"/>
        <v>8.3592122902512583E-2</v>
      </c>
      <c r="AF713">
        <f t="shared" si="315"/>
        <v>0.57552770331774861</v>
      </c>
      <c r="AH713">
        <f t="shared" si="316"/>
        <v>1.6856699181010765E-2</v>
      </c>
      <c r="AI713">
        <f t="shared" si="316"/>
        <v>-0.18152714503547676</v>
      </c>
      <c r="AJ713">
        <f t="shared" si="317"/>
        <v>-0.19838384421648753</v>
      </c>
      <c r="AK713">
        <f t="shared" si="318"/>
        <v>-1.4121671588582063</v>
      </c>
      <c r="AM713">
        <f t="shared" si="319"/>
        <v>7.3600209480079545E-2</v>
      </c>
      <c r="AN713">
        <f t="shared" si="319"/>
        <v>0.50186761170247285</v>
      </c>
      <c r="AO713">
        <f t="shared" si="320"/>
        <v>0.42826740222239329</v>
      </c>
      <c r="AP713">
        <f t="shared" si="321"/>
        <v>0.64501988064551441</v>
      </c>
      <c r="AR713">
        <f t="shared" si="322"/>
        <v>0.58917500806255396</v>
      </c>
      <c r="AS713">
        <f t="shared" si="323"/>
        <v>1.3094645821144255</v>
      </c>
      <c r="AT713">
        <f t="shared" si="324"/>
        <v>0.72028957405187155</v>
      </c>
      <c r="AU713">
        <f t="shared" si="325"/>
        <v>1.9518656421757852</v>
      </c>
    </row>
    <row r="714" spans="1:47" x14ac:dyDescent="0.25">
      <c r="A714" s="4">
        <f>DATE(2021,11,4)</f>
        <v>44504</v>
      </c>
      <c r="B714">
        <v>0.15526553528710701</v>
      </c>
      <c r="C714">
        <v>51.841560269530518</v>
      </c>
      <c r="D714">
        <v>0.7007758568263458</v>
      </c>
      <c r="E714">
        <f t="shared" si="301"/>
        <v>0.65132267616028239</v>
      </c>
      <c r="F714">
        <f t="shared" si="302"/>
        <v>-0.44393258729272422</v>
      </c>
      <c r="G714">
        <f t="shared" si="303"/>
        <v>0.3227252521351775</v>
      </c>
      <c r="H714" s="2" t="str">
        <f t="shared" si="304"/>
        <v>Lower</v>
      </c>
      <c r="I714" s="2" t="str">
        <f t="shared" si="305"/>
        <v>Lower</v>
      </c>
      <c r="J714" s="2" t="str">
        <f t="shared" si="306"/>
        <v>Lower</v>
      </c>
      <c r="K714" s="2" t="str">
        <f t="shared" si="307"/>
        <v>Lower</v>
      </c>
      <c r="L714" s="2" t="str">
        <f t="shared" si="308"/>
        <v>Lower</v>
      </c>
      <c r="M714" s="2" t="str">
        <f t="shared" si="309"/>
        <v>Lower</v>
      </c>
      <c r="N714" s="2" t="str">
        <f t="shared" si="310"/>
        <v>Lower</v>
      </c>
      <c r="O714" s="2" t="str">
        <f t="shared" si="311"/>
        <v>Lower</v>
      </c>
      <c r="P714" s="2" t="str">
        <f t="shared" si="312"/>
        <v>Lower</v>
      </c>
      <c r="X714" s="4">
        <f>DATE(2021,11,4)</f>
        <v>44504</v>
      </c>
      <c r="Y714">
        <v>15.366984477910965</v>
      </c>
      <c r="Z714">
        <v>32.274464257944835</v>
      </c>
      <c r="AA714">
        <v>60.022500000000001</v>
      </c>
      <c r="AB714">
        <v>74.272999999999996</v>
      </c>
      <c r="AC714">
        <f t="shared" si="313"/>
        <v>2.2663143513614162E-2</v>
      </c>
      <c r="AD714">
        <f t="shared" si="313"/>
        <v>-4.7986498693442847E-2</v>
      </c>
      <c r="AE714">
        <f t="shared" si="314"/>
        <v>-7.0649642207057009E-2</v>
      </c>
      <c r="AF714">
        <f t="shared" si="315"/>
        <v>-0.9645530441554534</v>
      </c>
      <c r="AH714">
        <f t="shared" si="316"/>
        <v>3.5884207745744386E-3</v>
      </c>
      <c r="AI714">
        <f t="shared" si="316"/>
        <v>-0.27695974670446882</v>
      </c>
      <c r="AJ714">
        <f t="shared" si="317"/>
        <v>-0.28054816747904326</v>
      </c>
      <c r="AK714">
        <f t="shared" si="318"/>
        <v>-1.8173202804064172</v>
      </c>
      <c r="AM714">
        <f t="shared" si="319"/>
        <v>5.7827504453158478E-2</v>
      </c>
      <c r="AN714">
        <f t="shared" si="319"/>
        <v>0.48132595089309493</v>
      </c>
      <c r="AO714">
        <f t="shared" si="320"/>
        <v>0.42349844643993645</v>
      </c>
      <c r="AP714">
        <f t="shared" si="321"/>
        <v>0.63248058287801234</v>
      </c>
      <c r="AR714">
        <f t="shared" si="322"/>
        <v>0.57751843450871243</v>
      </c>
      <c r="AS714">
        <f t="shared" si="323"/>
        <v>1.2742378561374936</v>
      </c>
      <c r="AT714">
        <f t="shared" si="324"/>
        <v>0.6967194216287812</v>
      </c>
      <c r="AU714">
        <f t="shared" si="325"/>
        <v>1.8651771082025488</v>
      </c>
    </row>
    <row r="715" spans="1:47" x14ac:dyDescent="0.25">
      <c r="A715" s="4">
        <f>DATE(2021,11,3)</f>
        <v>44503</v>
      </c>
      <c r="B715">
        <v>9.6778306248333945E-2</v>
      </c>
      <c r="C715">
        <v>51.721535099607621</v>
      </c>
      <c r="D715">
        <v>0.68520760679619996</v>
      </c>
      <c r="E715">
        <f t="shared" si="301"/>
        <v>0.47595206539696594</v>
      </c>
      <c r="F715">
        <f t="shared" si="302"/>
        <v>-0.46816177179187929</v>
      </c>
      <c r="G715">
        <f t="shared" si="303"/>
        <v>0.26348393991181085</v>
      </c>
      <c r="H715" s="2" t="str">
        <f t="shared" si="304"/>
        <v>Lower</v>
      </c>
      <c r="I715" s="2" t="str">
        <f t="shared" si="305"/>
        <v>Lower</v>
      </c>
      <c r="J715" s="2" t="str">
        <f t="shared" si="306"/>
        <v>Lower</v>
      </c>
      <c r="K715" s="2" t="str">
        <f t="shared" si="307"/>
        <v>Lower</v>
      </c>
      <c r="L715" s="2" t="str">
        <f t="shared" si="308"/>
        <v>Lower</v>
      </c>
      <c r="M715" s="2" t="str">
        <f t="shared" si="309"/>
        <v>Lower</v>
      </c>
      <c r="N715" s="2" t="str">
        <f t="shared" si="310"/>
        <v>Lower</v>
      </c>
      <c r="O715" s="2" t="str">
        <f t="shared" si="311"/>
        <v>Lower</v>
      </c>
      <c r="P715" s="2" t="str">
        <f t="shared" si="312"/>
        <v>Lower</v>
      </c>
      <c r="X715" s="4">
        <f>DATE(2021,11,3)</f>
        <v>44503</v>
      </c>
      <c r="Y715">
        <v>13.122274962708181</v>
      </c>
      <c r="Z715">
        <v>33.839563354271853</v>
      </c>
      <c r="AA715">
        <v>59.772499999999994</v>
      </c>
      <c r="AB715">
        <v>76.66225</v>
      </c>
      <c r="AC715">
        <f t="shared" si="313"/>
        <v>1.2136685663951068E-3</v>
      </c>
      <c r="AD715">
        <f t="shared" si="313"/>
        <v>-0.12243298361956884</v>
      </c>
      <c r="AE715">
        <f t="shared" si="314"/>
        <v>-0.12364665218596395</v>
      </c>
      <c r="AF715">
        <f t="shared" si="315"/>
        <v>-1.4969276018471886</v>
      </c>
      <c r="AH715">
        <f t="shared" si="316"/>
        <v>-1.2841201241378155E-2</v>
      </c>
      <c r="AI715">
        <f t="shared" si="316"/>
        <v>-0.38546862476944832</v>
      </c>
      <c r="AJ715">
        <f t="shared" si="317"/>
        <v>-0.37262742352807016</v>
      </c>
      <c r="AK715">
        <f t="shared" si="318"/>
        <v>-2.2787896482464283</v>
      </c>
      <c r="AM715">
        <f t="shared" si="319"/>
        <v>4.0022406291700355E-2</v>
      </c>
      <c r="AN715">
        <f t="shared" si="319"/>
        <v>0.51582425293376122</v>
      </c>
      <c r="AO715">
        <f t="shared" si="320"/>
        <v>0.47580184664206088</v>
      </c>
      <c r="AP715">
        <f t="shared" si="321"/>
        <v>0.78120445798938953</v>
      </c>
      <c r="AR715">
        <f t="shared" si="322"/>
        <v>0.59229721951611047</v>
      </c>
      <c r="AS715">
        <f t="shared" si="323"/>
        <v>1.3664341234686144</v>
      </c>
      <c r="AT715">
        <f t="shared" si="324"/>
        <v>0.7741369039525039</v>
      </c>
      <c r="AU715">
        <f t="shared" si="325"/>
        <v>2.1570155031412401</v>
      </c>
    </row>
    <row r="716" spans="1:47" x14ac:dyDescent="0.25">
      <c r="A716" s="4">
        <f>DATE(2021,11,2)</f>
        <v>44502</v>
      </c>
      <c r="B716">
        <v>5.4982790145474691E-3</v>
      </c>
      <c r="C716">
        <v>50.694327694961657</v>
      </c>
      <c r="D716">
        <v>0.62762551333811178</v>
      </c>
      <c r="E716">
        <f t="shared" si="301"/>
        <v>0.20165632918644738</v>
      </c>
      <c r="F716">
        <f t="shared" si="302"/>
        <v>-0.58126665287596146</v>
      </c>
      <c r="G716">
        <f t="shared" si="303"/>
        <v>6.2895874338116081E-2</v>
      </c>
      <c r="H716" s="2" t="str">
        <f t="shared" si="304"/>
        <v>Lower</v>
      </c>
      <c r="I716" s="2" t="str">
        <f t="shared" si="305"/>
        <v>Higher</v>
      </c>
      <c r="J716" s="2" t="str">
        <f t="shared" si="306"/>
        <v>Lower</v>
      </c>
      <c r="K716" s="2" t="str">
        <f t="shared" si="307"/>
        <v>Lower</v>
      </c>
      <c r="L716" s="2" t="str">
        <f t="shared" si="308"/>
        <v>Lower</v>
      </c>
      <c r="M716" s="2" t="str">
        <f t="shared" si="309"/>
        <v>Lower</v>
      </c>
      <c r="N716" s="2" t="str">
        <f t="shared" si="310"/>
        <v>Lower</v>
      </c>
      <c r="O716" s="2" t="str">
        <f t="shared" si="311"/>
        <v>Lower</v>
      </c>
      <c r="P716" s="2" t="str">
        <f t="shared" si="312"/>
        <v>Lower</v>
      </c>
      <c r="X716" s="4">
        <f>DATE(2021,11,2)</f>
        <v>44502</v>
      </c>
      <c r="Y716">
        <v>11.551221638998522</v>
      </c>
      <c r="Z716">
        <v>28.228929674002128</v>
      </c>
      <c r="AA716">
        <v>58.879999999999995</v>
      </c>
      <c r="AB716">
        <v>67.179249999999996</v>
      </c>
      <c r="AC716">
        <f t="shared" si="313"/>
        <v>-1.2825015475916992E-2</v>
      </c>
      <c r="AD716">
        <f t="shared" si="313"/>
        <v>-0.27841957087325031</v>
      </c>
      <c r="AE716">
        <f t="shared" si="314"/>
        <v>-0.26559455539733334</v>
      </c>
      <c r="AF716">
        <f t="shared" si="315"/>
        <v>-2.9259447478844343</v>
      </c>
      <c r="AH716">
        <f t="shared" si="316"/>
        <v>-9.2945107556534082E-2</v>
      </c>
      <c r="AI716">
        <f t="shared" si="316"/>
        <v>-0.53615366551267241</v>
      </c>
      <c r="AJ716">
        <f t="shared" si="317"/>
        <v>-0.44320855795613834</v>
      </c>
      <c r="AK716">
        <f t="shared" si="318"/>
        <v>-2.64957580151487</v>
      </c>
      <c r="AM716">
        <f t="shared" si="319"/>
        <v>2.80301648174257E-2</v>
      </c>
      <c r="AN716">
        <f t="shared" si="319"/>
        <v>0.40879010716434566</v>
      </c>
      <c r="AO716">
        <f t="shared" si="320"/>
        <v>0.38075994234691996</v>
      </c>
      <c r="AP716">
        <f t="shared" si="321"/>
        <v>0.51436280862138495</v>
      </c>
      <c r="AR716">
        <f t="shared" si="322"/>
        <v>0.57061998148158344</v>
      </c>
      <c r="AS716">
        <f t="shared" si="323"/>
        <v>1.2334943933880562</v>
      </c>
      <c r="AT716">
        <f t="shared" si="324"/>
        <v>0.66287441190647278</v>
      </c>
      <c r="AU716">
        <f t="shared" si="325"/>
        <v>1.7446615802203549</v>
      </c>
    </row>
    <row r="717" spans="1:47" x14ac:dyDescent="0.25">
      <c r="A717" s="4">
        <f>DATE(2021,11,1)</f>
        <v>44501</v>
      </c>
      <c r="B717">
        <v>-9.7533167691353617E-2</v>
      </c>
      <c r="C717">
        <v>42.780939822502596</v>
      </c>
      <c r="D717">
        <v>0.22101894997250005</v>
      </c>
      <c r="E717">
        <f t="shared" si="301"/>
        <v>-0.10906050644373808</v>
      </c>
      <c r="F717">
        <f t="shared" si="302"/>
        <v>-1.365543774453573</v>
      </c>
      <c r="G717">
        <f t="shared" si="303"/>
        <v>-1.3103708629434128</v>
      </c>
      <c r="H717" s="2" t="str">
        <f t="shared" si="304"/>
        <v>Lower</v>
      </c>
      <c r="I717" s="2" t="str">
        <f t="shared" si="305"/>
        <v>Higher</v>
      </c>
      <c r="J717" s="2" t="str">
        <f t="shared" si="306"/>
        <v>Lower</v>
      </c>
      <c r="K717" s="2" t="str">
        <f t="shared" si="307"/>
        <v>Lower</v>
      </c>
      <c r="L717" s="2" t="str">
        <f t="shared" si="308"/>
        <v>Higher</v>
      </c>
      <c r="M717" s="2" t="str">
        <f t="shared" si="309"/>
        <v>Lower</v>
      </c>
      <c r="N717" s="2" t="str">
        <f t="shared" si="310"/>
        <v>Lower</v>
      </c>
      <c r="O717" s="2" t="str">
        <f t="shared" si="311"/>
        <v>Lower</v>
      </c>
      <c r="P717" s="2" t="str">
        <f t="shared" si="312"/>
        <v>Lower</v>
      </c>
      <c r="X717" s="4">
        <f>DATE(2021,11,1)</f>
        <v>44501</v>
      </c>
      <c r="Y717">
        <v>12.577226489341745</v>
      </c>
      <c r="Z717">
        <v>25.268968384170098</v>
      </c>
      <c r="AA717">
        <v>57.744999999999997</v>
      </c>
      <c r="AB717">
        <v>65.144499999999994</v>
      </c>
      <c r="AC717">
        <f t="shared" si="313"/>
        <v>-2.2771057505920813E-2</v>
      </c>
      <c r="AD717">
        <f t="shared" si="313"/>
        <v>-0.31283153854975826</v>
      </c>
      <c r="AE717">
        <f t="shared" si="314"/>
        <v>-0.29006048104383747</v>
      </c>
      <c r="AF717">
        <f t="shared" si="315"/>
        <v>-3.2205948266043696</v>
      </c>
      <c r="AH717">
        <f t="shared" si="316"/>
        <v>-9.3427095876129435E-2</v>
      </c>
      <c r="AI717">
        <f t="shared" si="316"/>
        <v>-0.39629476398037033</v>
      </c>
      <c r="AJ717">
        <f t="shared" si="317"/>
        <v>-0.30286766810424093</v>
      </c>
      <c r="AK717">
        <f t="shared" si="318"/>
        <v>-1.9913196520016689</v>
      </c>
      <c r="AM717">
        <f t="shared" si="319"/>
        <v>1.9409596914373644E-2</v>
      </c>
      <c r="AN717">
        <f t="shared" si="319"/>
        <v>0.41778267463871394</v>
      </c>
      <c r="AO717">
        <f t="shared" si="320"/>
        <v>0.39837307772434027</v>
      </c>
      <c r="AP717">
        <f t="shared" si="321"/>
        <v>0.56464486004068637</v>
      </c>
      <c r="AR717">
        <f t="shared" si="322"/>
        <v>0.5438199103953909</v>
      </c>
      <c r="AS717">
        <f t="shared" si="323"/>
        <v>1.1498615523561566</v>
      </c>
      <c r="AT717">
        <f t="shared" si="324"/>
        <v>0.60604164196076571</v>
      </c>
      <c r="AU717">
        <f t="shared" si="325"/>
        <v>1.5320234710520804</v>
      </c>
    </row>
    <row r="718" spans="1:47" x14ac:dyDescent="0.25">
      <c r="A718" s="4">
        <f>DATE(2021,10,29)</f>
        <v>44498</v>
      </c>
      <c r="B718">
        <v>9.2507013902777824E-3</v>
      </c>
      <c r="C718">
        <v>47.782788112696444</v>
      </c>
      <c r="D718">
        <v>0.42084850972652305</v>
      </c>
      <c r="E718">
        <f t="shared" si="301"/>
        <v>0.19893562411092511</v>
      </c>
      <c r="F718">
        <f t="shared" si="302"/>
        <v>-0.89335259437570769</v>
      </c>
      <c r="G718">
        <f t="shared" si="303"/>
        <v>-0.6585776003887005</v>
      </c>
      <c r="H718" s="2" t="str">
        <f t="shared" si="304"/>
        <v>Lower</v>
      </c>
      <c r="I718" s="2" t="str">
        <f t="shared" si="305"/>
        <v>Higher</v>
      </c>
      <c r="J718" s="2" t="str">
        <f t="shared" si="306"/>
        <v>Lower</v>
      </c>
      <c r="K718" s="2" t="str">
        <f t="shared" si="307"/>
        <v>Lower</v>
      </c>
      <c r="L718" s="2" t="str">
        <f t="shared" si="308"/>
        <v>Higher</v>
      </c>
      <c r="M718" s="2" t="str">
        <f t="shared" si="309"/>
        <v>Lower</v>
      </c>
      <c r="N718" s="2" t="str">
        <f t="shared" si="310"/>
        <v>Lower</v>
      </c>
      <c r="O718" s="2" t="str">
        <f t="shared" si="311"/>
        <v>Higher</v>
      </c>
      <c r="P718" s="2" t="str">
        <f t="shared" si="312"/>
        <v>Lower</v>
      </c>
      <c r="X718" s="4">
        <f>DATE(2021,10,29)</f>
        <v>44498</v>
      </c>
      <c r="Y718">
        <v>14.162495309075359</v>
      </c>
      <c r="Z718">
        <v>25.835774239976633</v>
      </c>
      <c r="AA718">
        <v>58.769999999999996</v>
      </c>
      <c r="AB718">
        <v>66.802999999999997</v>
      </c>
      <c r="AC718">
        <f t="shared" si="313"/>
        <v>1.8734570752541454E-3</v>
      </c>
      <c r="AD718">
        <f t="shared" si="313"/>
        <v>-0.27096451273208905</v>
      </c>
      <c r="AE718">
        <f t="shared" si="314"/>
        <v>-0.27283796980734321</v>
      </c>
      <c r="AF718">
        <f t="shared" si="315"/>
        <v>-3.1046752320524647</v>
      </c>
      <c r="AH718">
        <f t="shared" si="316"/>
        <v>-5.7607332779816792E-2</v>
      </c>
      <c r="AI718">
        <f t="shared" si="316"/>
        <v>-0.34670633155384878</v>
      </c>
      <c r="AJ718">
        <f t="shared" si="317"/>
        <v>-0.289098998774032</v>
      </c>
      <c r="AK718">
        <f t="shared" si="318"/>
        <v>-1.9399589613483099</v>
      </c>
      <c r="AM718">
        <f t="shared" si="319"/>
        <v>3.7666706002235151E-2</v>
      </c>
      <c r="AN718">
        <f t="shared" si="319"/>
        <v>0.4319742675299082</v>
      </c>
      <c r="AO718">
        <f t="shared" si="320"/>
        <v>0.39430756152767305</v>
      </c>
      <c r="AP718">
        <f t="shared" si="321"/>
        <v>0.55397706935123914</v>
      </c>
      <c r="AR718">
        <f t="shared" si="322"/>
        <v>0.54499417816169804</v>
      </c>
      <c r="AS718">
        <f t="shared" si="323"/>
        <v>1.1428062027619335</v>
      </c>
      <c r="AT718">
        <f t="shared" si="324"/>
        <v>0.59781202460023541</v>
      </c>
      <c r="AU718">
        <f t="shared" si="325"/>
        <v>1.5002709322153314</v>
      </c>
    </row>
    <row r="719" spans="1:47" x14ac:dyDescent="0.25">
      <c r="A719" s="4">
        <f>DATE(2021,10,28)</f>
        <v>44497</v>
      </c>
      <c r="B719">
        <v>4.7004055713647519E-3</v>
      </c>
      <c r="C719">
        <v>47.330509986027458</v>
      </c>
      <c r="D719">
        <v>0.38737145580704202</v>
      </c>
      <c r="E719">
        <f t="shared" si="301"/>
        <v>0.17978804366309895</v>
      </c>
      <c r="F719">
        <f t="shared" si="302"/>
        <v>-0.94651458195868776</v>
      </c>
      <c r="G719">
        <f t="shared" si="303"/>
        <v>-0.78255955697308766</v>
      </c>
      <c r="H719" s="2" t="str">
        <f t="shared" si="304"/>
        <v>Lower</v>
      </c>
      <c r="I719" s="2" t="str">
        <f t="shared" si="305"/>
        <v>Higher</v>
      </c>
      <c r="J719" s="2" t="str">
        <f t="shared" si="306"/>
        <v>Lower</v>
      </c>
      <c r="K719" s="2" t="str">
        <f t="shared" si="307"/>
        <v>Lower</v>
      </c>
      <c r="L719" s="2" t="str">
        <f t="shared" si="308"/>
        <v>Higher</v>
      </c>
      <c r="M719" s="2" t="str">
        <f t="shared" si="309"/>
        <v>Lower</v>
      </c>
      <c r="N719" s="2" t="str">
        <f t="shared" si="310"/>
        <v>Lower</v>
      </c>
      <c r="O719" s="2" t="str">
        <f t="shared" si="311"/>
        <v>Higher</v>
      </c>
      <c r="P719" s="2" t="str">
        <f t="shared" si="312"/>
        <v>Lower</v>
      </c>
      <c r="X719" s="4">
        <f>DATE(2021,10,28)</f>
        <v>44497</v>
      </c>
      <c r="Y719">
        <v>14.819778982609332</v>
      </c>
      <c r="Z719">
        <v>29.270197217403858</v>
      </c>
      <c r="AA719">
        <v>58.677499999999995</v>
      </c>
      <c r="AB719">
        <v>77.924000000000007</v>
      </c>
      <c r="AC719">
        <f t="shared" si="313"/>
        <v>1.5716572217174991E-2</v>
      </c>
      <c r="AD719">
        <f t="shared" si="313"/>
        <v>-0.13121837560875119</v>
      </c>
      <c r="AE719">
        <f t="shared" si="314"/>
        <v>-0.14693494782592617</v>
      </c>
      <c r="AF719">
        <f t="shared" si="315"/>
        <v>-1.8437804921793348</v>
      </c>
      <c r="AH719">
        <f t="shared" si="316"/>
        <v>-4.9822314001860525E-2</v>
      </c>
      <c r="AI719">
        <f t="shared" si="316"/>
        <v>-0.21510868881948311</v>
      </c>
      <c r="AJ719">
        <f t="shared" si="317"/>
        <v>-0.16528637481762259</v>
      </c>
      <c r="AK719">
        <f t="shared" si="318"/>
        <v>-1.3355132472535747</v>
      </c>
      <c r="AM719">
        <f t="shared" si="319"/>
        <v>5.2121085791018047E-2</v>
      </c>
      <c r="AN719">
        <f t="shared" si="319"/>
        <v>0.60509526662996371</v>
      </c>
      <c r="AO719">
        <f t="shared" si="320"/>
        <v>0.55297418083894567</v>
      </c>
      <c r="AP719">
        <f t="shared" si="321"/>
        <v>1.0002368595430362</v>
      </c>
      <c r="AR719">
        <f t="shared" si="322"/>
        <v>0.55322409021818975</v>
      </c>
      <c r="AS719">
        <f t="shared" si="323"/>
        <v>1.3577542466244874</v>
      </c>
      <c r="AT719">
        <f t="shared" si="324"/>
        <v>0.80453015640629766</v>
      </c>
      <c r="AU719">
        <f t="shared" si="325"/>
        <v>2.2667876685747115</v>
      </c>
    </row>
    <row r="720" spans="1:47" x14ac:dyDescent="0.25">
      <c r="A720" s="4">
        <f>DATE(2021,10,27)</f>
        <v>44496</v>
      </c>
      <c r="B720">
        <v>1.7408168432355153E-2</v>
      </c>
      <c r="C720">
        <v>51.246061729172304</v>
      </c>
      <c r="D720">
        <v>0.52561365793571901</v>
      </c>
      <c r="E720">
        <f t="shared" si="301"/>
        <v>0.21206158852902571</v>
      </c>
      <c r="F720">
        <f t="shared" si="302"/>
        <v>-0.59097400718986559</v>
      </c>
      <c r="G720">
        <f t="shared" si="303"/>
        <v>-0.33286733911653371</v>
      </c>
      <c r="H720" s="2" t="str">
        <f t="shared" si="304"/>
        <v>Lower</v>
      </c>
      <c r="I720" s="2" t="str">
        <f t="shared" si="305"/>
        <v>Higher</v>
      </c>
      <c r="J720" s="2" t="str">
        <f t="shared" si="306"/>
        <v>Lower</v>
      </c>
      <c r="K720" s="2" t="str">
        <f t="shared" si="307"/>
        <v>Lower</v>
      </c>
      <c r="L720" s="2" t="str">
        <f t="shared" si="308"/>
        <v>Higher</v>
      </c>
      <c r="M720" s="2" t="str">
        <f t="shared" si="309"/>
        <v>Lower</v>
      </c>
      <c r="N720" s="2" t="str">
        <f t="shared" si="310"/>
        <v>Lower</v>
      </c>
      <c r="O720" s="2" t="str">
        <f t="shared" si="311"/>
        <v>Higher</v>
      </c>
      <c r="P720" s="2" t="str">
        <f t="shared" si="312"/>
        <v>Lower</v>
      </c>
      <c r="X720" s="4">
        <f>DATE(2021,10,27)</f>
        <v>44496</v>
      </c>
      <c r="Y720">
        <v>15.753258592322023</v>
      </c>
      <c r="Z720">
        <v>32.496577050508158</v>
      </c>
      <c r="AA720">
        <v>59.7</v>
      </c>
      <c r="AB720">
        <v>86.646999999999991</v>
      </c>
      <c r="AC720">
        <f t="shared" si="313"/>
        <v>4.4965827982697174E-2</v>
      </c>
      <c r="AD720">
        <f t="shared" si="313"/>
        <v>-7.6244703328663246E-2</v>
      </c>
      <c r="AE720">
        <f t="shared" si="314"/>
        <v>-0.12121053131136042</v>
      </c>
      <c r="AF720">
        <f t="shared" si="315"/>
        <v>-1.5869890519749179</v>
      </c>
      <c r="AH720">
        <f t="shared" si="316"/>
        <v>-4.7033816919281456E-2</v>
      </c>
      <c r="AI720">
        <f t="shared" si="316"/>
        <v>7.5333918978098206E-4</v>
      </c>
      <c r="AJ720">
        <f t="shared" si="317"/>
        <v>4.7787156109062437E-2</v>
      </c>
      <c r="AK720">
        <f t="shared" si="318"/>
        <v>-0.27194849839382879</v>
      </c>
      <c r="AM720">
        <f t="shared" si="319"/>
        <v>7.8822068255756328E-2</v>
      </c>
      <c r="AN720">
        <f t="shared" si="319"/>
        <v>0.72235300345427045</v>
      </c>
      <c r="AO720">
        <f t="shared" si="320"/>
        <v>0.64353093519851412</v>
      </c>
      <c r="AP720">
        <f t="shared" si="321"/>
        <v>1.256792380174484</v>
      </c>
      <c r="AR720">
        <f t="shared" si="322"/>
        <v>0.59131045410086125</v>
      </c>
      <c r="AS720">
        <f t="shared" si="323"/>
        <v>1.4407470005078571</v>
      </c>
      <c r="AT720">
        <f t="shared" si="324"/>
        <v>0.84943654640699584</v>
      </c>
      <c r="AU720">
        <f t="shared" si="325"/>
        <v>2.4414257332087224</v>
      </c>
    </row>
    <row r="721" spans="1:47" x14ac:dyDescent="0.25">
      <c r="A721" s="4">
        <f>DATE(2021,10,26)</f>
        <v>44495</v>
      </c>
      <c r="B721">
        <v>-9.3068174621628086E-2</v>
      </c>
      <c r="C721">
        <v>50.99131632442603</v>
      </c>
      <c r="D721">
        <v>0.49795589424534087</v>
      </c>
      <c r="E721">
        <f t="shared" si="301"/>
        <v>-0.11732697692484786</v>
      </c>
      <c r="F721">
        <f t="shared" si="302"/>
        <v>-0.62646302019980304</v>
      </c>
      <c r="G721">
        <f t="shared" si="303"/>
        <v>-0.43464166182660841</v>
      </c>
      <c r="H721" s="2" t="str">
        <f t="shared" si="304"/>
        <v>Lower</v>
      </c>
      <c r="I721" s="2" t="str">
        <f t="shared" si="305"/>
        <v>Higher</v>
      </c>
      <c r="J721" s="2" t="str">
        <f t="shared" si="306"/>
        <v>Lower</v>
      </c>
      <c r="K721" s="2" t="str">
        <f t="shared" si="307"/>
        <v>Lower</v>
      </c>
      <c r="L721" s="2" t="str">
        <f t="shared" si="308"/>
        <v>Higher</v>
      </c>
      <c r="M721" s="2" t="str">
        <f t="shared" si="309"/>
        <v>Lower</v>
      </c>
      <c r="N721" s="2" t="str">
        <f t="shared" si="310"/>
        <v>Lower</v>
      </c>
      <c r="O721" s="2" t="str">
        <f t="shared" si="311"/>
        <v>Higher</v>
      </c>
      <c r="P721" s="2" t="str">
        <f t="shared" si="312"/>
        <v>Lower</v>
      </c>
      <c r="X721" s="4">
        <f>DATE(2021,10,26)</f>
        <v>44495</v>
      </c>
      <c r="Y721">
        <v>16.392442620900948</v>
      </c>
      <c r="Z721">
        <v>33.366520196083997</v>
      </c>
      <c r="AA721">
        <v>59.64</v>
      </c>
      <c r="AB721">
        <v>88.746499999999997</v>
      </c>
      <c r="AC721">
        <f t="shared" si="313"/>
        <v>7.4378864746466211E-2</v>
      </c>
      <c r="AD721">
        <f t="shared" si="313"/>
        <v>-2.294137176109853E-2</v>
      </c>
      <c r="AE721">
        <f t="shared" si="314"/>
        <v>-9.7320236507564745E-2</v>
      </c>
      <c r="AF721">
        <f t="shared" si="315"/>
        <v>-1.3445905405739156</v>
      </c>
      <c r="AH721">
        <f t="shared" si="316"/>
        <v>-5.1787806569751793E-2</v>
      </c>
      <c r="AI721">
        <f t="shared" si="316"/>
        <v>0.10424184863174644</v>
      </c>
      <c r="AJ721">
        <f t="shared" si="317"/>
        <v>0.15602965520149825</v>
      </c>
      <c r="AK721">
        <f t="shared" si="318"/>
        <v>0.27032402690906454</v>
      </c>
      <c r="AM721">
        <f t="shared" si="319"/>
        <v>9.2192141849739132E-2</v>
      </c>
      <c r="AN721">
        <f t="shared" si="319"/>
        <v>0.76138055202527177</v>
      </c>
      <c r="AO721">
        <f t="shared" si="320"/>
        <v>0.66918841017553266</v>
      </c>
      <c r="AP721">
        <f t="shared" si="321"/>
        <v>1.3331508932492842</v>
      </c>
      <c r="AR721">
        <f t="shared" si="322"/>
        <v>0.59934719485084909</v>
      </c>
      <c r="AS721">
        <f t="shared" si="323"/>
        <v>1.4906769127980906</v>
      </c>
      <c r="AT721">
        <f t="shared" si="324"/>
        <v>0.89132971794724147</v>
      </c>
      <c r="AU721">
        <f t="shared" si="325"/>
        <v>2.6099897511639596</v>
      </c>
    </row>
    <row r="722" spans="1:47" x14ac:dyDescent="0.25">
      <c r="A722" s="4">
        <f>DATE(2021,10,25)</f>
        <v>44494</v>
      </c>
      <c r="B722">
        <v>-0.24619322118816445</v>
      </c>
      <c r="C722">
        <v>48.724466340250295</v>
      </c>
      <c r="D722">
        <v>0.39774773489154414</v>
      </c>
      <c r="E722">
        <f t="shared" si="301"/>
        <v>-0.57250343960892103</v>
      </c>
      <c r="F722">
        <f t="shared" si="302"/>
        <v>-0.84754616572265107</v>
      </c>
      <c r="G722">
        <f t="shared" si="303"/>
        <v>-0.777073604773168</v>
      </c>
      <c r="H722" s="2" t="str">
        <f t="shared" si="304"/>
        <v>Lower</v>
      </c>
      <c r="I722" s="2" t="str">
        <f t="shared" si="305"/>
        <v>Higher</v>
      </c>
      <c r="J722" s="2" t="str">
        <f t="shared" si="306"/>
        <v>Lower</v>
      </c>
      <c r="K722" s="2" t="str">
        <f t="shared" si="307"/>
        <v>Lower</v>
      </c>
      <c r="L722" s="2" t="str">
        <f t="shared" si="308"/>
        <v>Higher</v>
      </c>
      <c r="M722" s="2" t="str">
        <f t="shared" si="309"/>
        <v>Lower</v>
      </c>
      <c r="N722" s="2" t="str">
        <f t="shared" si="310"/>
        <v>Lower</v>
      </c>
      <c r="O722" s="2" t="str">
        <f t="shared" si="311"/>
        <v>Higher</v>
      </c>
      <c r="P722" s="2" t="str">
        <f t="shared" si="312"/>
        <v>Lower</v>
      </c>
      <c r="X722" s="4">
        <f>DATE(2021,10,25)</f>
        <v>44494</v>
      </c>
      <c r="Y722">
        <v>15.824547453257235</v>
      </c>
      <c r="Z722">
        <v>34.184582976119614</v>
      </c>
      <c r="AA722">
        <v>59.075000000000003</v>
      </c>
      <c r="AB722">
        <v>89.0715</v>
      </c>
      <c r="AC722">
        <f t="shared" si="313"/>
        <v>9.6101432728268616E-3</v>
      </c>
      <c r="AD722">
        <f t="shared" si="313"/>
        <v>-5.8144027146030293E-2</v>
      </c>
      <c r="AE722">
        <f t="shared" si="314"/>
        <v>-6.775417041885716E-2</v>
      </c>
      <c r="AF722">
        <f t="shared" si="315"/>
        <v>-1.0389866099140606</v>
      </c>
      <c r="AH722">
        <f t="shared" si="316"/>
        <v>-8.5529110969163991E-2</v>
      </c>
      <c r="AI722">
        <f t="shared" si="316"/>
        <v>0.15547446289397004</v>
      </c>
      <c r="AJ722">
        <f t="shared" si="317"/>
        <v>0.24100357386313404</v>
      </c>
      <c r="AK722">
        <f t="shared" si="318"/>
        <v>0.69601756331306697</v>
      </c>
      <c r="AM722">
        <f t="shared" si="319"/>
        <v>8.4513825212031435E-2</v>
      </c>
      <c r="AN722">
        <f t="shared" si="319"/>
        <v>0.74695403319353559</v>
      </c>
      <c r="AO722">
        <f t="shared" si="320"/>
        <v>0.66244020798150416</v>
      </c>
      <c r="AP722">
        <f t="shared" si="321"/>
        <v>1.319275148697941</v>
      </c>
      <c r="AR722">
        <f t="shared" si="322"/>
        <v>0.6220968981475713</v>
      </c>
      <c r="AS722" t="str">
        <f t="shared" si="323"/>
        <v/>
      </c>
      <c r="AT722" t="str">
        <f t="shared" si="324"/>
        <v/>
      </c>
      <c r="AU722" t="str">
        <f t="shared" si="325"/>
        <v/>
      </c>
    </row>
    <row r="723" spans="1:47" x14ac:dyDescent="0.25">
      <c r="A723" s="4">
        <f>DATE(2021,10,22)</f>
        <v>44491</v>
      </c>
      <c r="B723">
        <v>-0.38056678713160363</v>
      </c>
      <c r="C723">
        <v>46.715023527128409</v>
      </c>
      <c r="D723">
        <v>0.30582707126444836</v>
      </c>
      <c r="E723">
        <f t="shared" si="301"/>
        <v>-0.97552265897932333</v>
      </c>
      <c r="F723">
        <f t="shared" si="302"/>
        <v>-1.0450850808280041</v>
      </c>
      <c r="G723">
        <f t="shared" si="303"/>
        <v>-1.0939941539351388</v>
      </c>
      <c r="H723" s="2" t="str">
        <f t="shared" si="304"/>
        <v>Lower</v>
      </c>
      <c r="I723" s="2" t="str">
        <f t="shared" si="305"/>
        <v>Higher</v>
      </c>
      <c r="J723" s="2" t="str">
        <f t="shared" si="306"/>
        <v>Lower</v>
      </c>
      <c r="K723" s="2" t="str">
        <f t="shared" si="307"/>
        <v>Lower</v>
      </c>
      <c r="L723" s="2" t="str">
        <f t="shared" si="308"/>
        <v>Higher</v>
      </c>
      <c r="M723" s="2" t="str">
        <f t="shared" si="309"/>
        <v>Lower</v>
      </c>
      <c r="N723" s="2" t="str">
        <f t="shared" si="310"/>
        <v>Lower</v>
      </c>
      <c r="O723" s="2" t="str">
        <f t="shared" si="311"/>
        <v>Higher</v>
      </c>
      <c r="P723" s="2" t="str">
        <f t="shared" si="312"/>
        <v>Lower</v>
      </c>
      <c r="X723" s="4">
        <f>DATE(2021,10,22)</f>
        <v>44491</v>
      </c>
      <c r="Y723">
        <v>16.509452374989589</v>
      </c>
      <c r="Z723">
        <v>33.154527412681503</v>
      </c>
      <c r="AA723">
        <v>58.66</v>
      </c>
      <c r="AB723">
        <v>87.593999999999994</v>
      </c>
      <c r="AC723">
        <f t="shared" si="313"/>
        <v>-1.8787625415646624E-2</v>
      </c>
      <c r="AD723">
        <f t="shared" si="313"/>
        <v>-9.1286669788477728E-2</v>
      </c>
      <c r="AE723">
        <f t="shared" si="314"/>
        <v>-7.2499044372831112E-2</v>
      </c>
      <c r="AF723">
        <f t="shared" si="315"/>
        <v>-1.0924651738642941</v>
      </c>
      <c r="AH723">
        <f t="shared" si="316"/>
        <v>-6.3248480391685333E-2</v>
      </c>
      <c r="AI723">
        <f t="shared" si="316"/>
        <v>0.22555744375549469</v>
      </c>
      <c r="AJ723">
        <f t="shared" si="317"/>
        <v>0.28880592414718004</v>
      </c>
      <c r="AK723">
        <f t="shared" si="318"/>
        <v>0.93643693549008411</v>
      </c>
      <c r="AM723">
        <f t="shared" si="319"/>
        <v>9.4602963183376812E-2</v>
      </c>
      <c r="AN723">
        <f t="shared" si="319"/>
        <v>0.77272620827562244</v>
      </c>
      <c r="AO723">
        <f t="shared" si="320"/>
        <v>0.67812324509224564</v>
      </c>
      <c r="AP723">
        <f t="shared" si="321"/>
        <v>1.368323799035827</v>
      </c>
      <c r="AR723">
        <f t="shared" si="322"/>
        <v>0.60142337638684795</v>
      </c>
      <c r="AS723">
        <f t="shared" si="323"/>
        <v>1.4716817904406985</v>
      </c>
      <c r="AT723">
        <f t="shared" si="324"/>
        <v>0.87025841405385052</v>
      </c>
      <c r="AU723">
        <f t="shared" si="325"/>
        <v>2.54758947864417</v>
      </c>
    </row>
    <row r="724" spans="1:47" x14ac:dyDescent="0.25">
      <c r="A724" s="4">
        <f>DATE(2021,10,21)</f>
        <v>44490</v>
      </c>
      <c r="B724">
        <v>-0.48486232188172829</v>
      </c>
      <c r="C724">
        <v>45.92237932781525</v>
      </c>
      <c r="D724">
        <v>0.25585211823416537</v>
      </c>
      <c r="E724">
        <f t="shared" si="301"/>
        <v>-1.2960239621859981</v>
      </c>
      <c r="F724">
        <f t="shared" si="302"/>
        <v>-1.1331085272554082</v>
      </c>
      <c r="G724">
        <f t="shared" si="303"/>
        <v>-1.2758413908969424</v>
      </c>
      <c r="H724" s="2" t="str">
        <f t="shared" si="304"/>
        <v>Lower</v>
      </c>
      <c r="I724" s="2" t="str">
        <f t="shared" si="305"/>
        <v>Higher</v>
      </c>
      <c r="J724" s="2" t="str">
        <f t="shared" si="306"/>
        <v>Lower</v>
      </c>
      <c r="K724" s="2" t="str">
        <f t="shared" si="307"/>
        <v>Lower</v>
      </c>
      <c r="L724" s="2" t="str">
        <f t="shared" si="308"/>
        <v>Higher</v>
      </c>
      <c r="M724" s="2" t="str">
        <f t="shared" si="309"/>
        <v>Lower</v>
      </c>
      <c r="N724" s="2" t="str">
        <f t="shared" si="310"/>
        <v>Lower</v>
      </c>
      <c r="O724" s="2" t="str">
        <f t="shared" si="311"/>
        <v>Higher</v>
      </c>
      <c r="P724" s="2" t="str">
        <f t="shared" si="312"/>
        <v>Lower</v>
      </c>
      <c r="X724" s="4">
        <f>DATE(2021,10,21)</f>
        <v>44490</v>
      </c>
      <c r="Y724">
        <v>13.082366735305193</v>
      </c>
      <c r="Z724">
        <v>33.676959649799365</v>
      </c>
      <c r="AA724">
        <v>57.762500000000003</v>
      </c>
      <c r="AB724">
        <v>88.850249999999988</v>
      </c>
      <c r="AC724">
        <f t="shared" si="313"/>
        <v>-5.3591020477710007E-2</v>
      </c>
      <c r="AD724">
        <f t="shared" si="313"/>
        <v>-0.12650587661570961</v>
      </c>
      <c r="AE724">
        <f t="shared" si="314"/>
        <v>-7.2914856137999612E-2</v>
      </c>
      <c r="AF724">
        <f t="shared" si="315"/>
        <v>-1.1006981566293308</v>
      </c>
      <c r="AH724">
        <f t="shared" si="316"/>
        <v>-4.3696888562232854E-2</v>
      </c>
      <c r="AI724">
        <f t="shared" si="316"/>
        <v>0.24534507957134999</v>
      </c>
      <c r="AJ724">
        <f t="shared" si="317"/>
        <v>0.28904196813358285</v>
      </c>
      <c r="AK724">
        <f t="shared" si="318"/>
        <v>0.94011554897406313</v>
      </c>
      <c r="AM724">
        <f t="shared" si="319"/>
        <v>6.9812448600133706E-2</v>
      </c>
      <c r="AN724">
        <f t="shared" si="319"/>
        <v>0.77636034730812287</v>
      </c>
      <c r="AO724">
        <f t="shared" si="320"/>
        <v>0.70654789870798917</v>
      </c>
      <c r="AP724">
        <f t="shared" si="321"/>
        <v>1.4537937614551517</v>
      </c>
      <c r="AR724">
        <f t="shared" si="322"/>
        <v>0.54673652069044287</v>
      </c>
      <c r="AS724">
        <f t="shared" si="323"/>
        <v>1.4385683484998857</v>
      </c>
      <c r="AT724">
        <f t="shared" si="324"/>
        <v>0.89183182780944281</v>
      </c>
      <c r="AU724">
        <f t="shared" si="325"/>
        <v>2.6448577264634072</v>
      </c>
    </row>
    <row r="725" spans="1:47" x14ac:dyDescent="0.25">
      <c r="A725" s="4">
        <f>DATE(2021,10,20)</f>
        <v>44489</v>
      </c>
      <c r="B725">
        <v>-0.57761150126735172</v>
      </c>
      <c r="C725">
        <v>45.402244934725196</v>
      </c>
      <c r="D725">
        <v>0.21603464325630645</v>
      </c>
      <c r="E725">
        <f t="shared" si="301"/>
        <v>-1.5907922171824416</v>
      </c>
      <c r="F725">
        <f t="shared" si="302"/>
        <v>-1.196851228011355</v>
      </c>
      <c r="G725">
        <f t="shared" si="303"/>
        <v>-1.4260578963398129</v>
      </c>
      <c r="H725" s="2" t="str">
        <f t="shared" si="304"/>
        <v>Lower</v>
      </c>
      <c r="I725" s="2" t="str">
        <f t="shared" si="305"/>
        <v>Higher</v>
      </c>
      <c r="J725" s="2" t="str">
        <f t="shared" si="306"/>
        <v>Lower</v>
      </c>
      <c r="K725" s="2" t="str">
        <f t="shared" si="307"/>
        <v>Lower</v>
      </c>
      <c r="L725" s="2" t="str">
        <f t="shared" si="308"/>
        <v>Higher</v>
      </c>
      <c r="M725" s="2" t="str">
        <f t="shared" si="309"/>
        <v>Lower</v>
      </c>
      <c r="N725" s="2" t="str">
        <f t="shared" si="310"/>
        <v>Lower</v>
      </c>
      <c r="O725" s="2" t="str">
        <f t="shared" si="311"/>
        <v>Higher</v>
      </c>
      <c r="P725" s="2" t="str">
        <f t="shared" si="312"/>
        <v>Lower</v>
      </c>
      <c r="X725" s="4">
        <f>DATE(2021,10,20)</f>
        <v>44489</v>
      </c>
      <c r="Y725">
        <v>12.495522422850172</v>
      </c>
      <c r="Z725">
        <v>35.393893008498047</v>
      </c>
      <c r="AA725">
        <v>57.075000000000003</v>
      </c>
      <c r="AB725">
        <v>93.511749999999992</v>
      </c>
      <c r="AC725">
        <f t="shared" si="313"/>
        <v>-3.5837186251209928E-2</v>
      </c>
      <c r="AD725">
        <f t="shared" si="313"/>
        <v>5.1328279256538378E-3</v>
      </c>
      <c r="AE725">
        <f t="shared" si="314"/>
        <v>4.0970014176863766E-2</v>
      </c>
      <c r="AF725">
        <f t="shared" si="315"/>
        <v>9.7403523632290101E-2</v>
      </c>
      <c r="AH725">
        <f t="shared" si="316"/>
        <v>-5.7284944988679504E-2</v>
      </c>
      <c r="AI725">
        <f t="shared" si="316"/>
        <v>0.2685155291969461</v>
      </c>
      <c r="AJ725">
        <f t="shared" si="317"/>
        <v>0.32580047418562563</v>
      </c>
      <c r="AK725">
        <f t="shared" si="318"/>
        <v>1.1262791505884047</v>
      </c>
      <c r="AM725">
        <f t="shared" si="319"/>
        <v>6.0580820760822517E-2</v>
      </c>
      <c r="AN725">
        <f t="shared" si="319"/>
        <v>0.86479093396144346</v>
      </c>
      <c r="AO725">
        <f t="shared" si="320"/>
        <v>0.80421011320062097</v>
      </c>
      <c r="AP725">
        <f t="shared" si="321"/>
        <v>1.7354583528241441</v>
      </c>
      <c r="AR725">
        <f t="shared" si="322"/>
        <v>0.52516357756279919</v>
      </c>
      <c r="AS725">
        <f t="shared" si="323"/>
        <v>1.4425094883245138</v>
      </c>
      <c r="AT725">
        <f t="shared" si="324"/>
        <v>0.91734591076171457</v>
      </c>
      <c r="AU725">
        <f t="shared" si="325"/>
        <v>2.76118251545256</v>
      </c>
    </row>
    <row r="726" spans="1:47" x14ac:dyDescent="0.25">
      <c r="A726" s="4">
        <f>DATE(2021,10,19)</f>
        <v>44488</v>
      </c>
      <c r="B726">
        <v>-0.65510940948108787</v>
      </c>
      <c r="C726">
        <v>36.200371365618984</v>
      </c>
      <c r="D726">
        <v>-0.15017236609476189</v>
      </c>
      <c r="E726">
        <f t="shared" si="301"/>
        <v>-1.8514247924187845</v>
      </c>
      <c r="F726">
        <f t="shared" si="302"/>
        <v>-2.0560284130404756</v>
      </c>
      <c r="G726">
        <f t="shared" si="303"/>
        <v>-2.6625649492002199</v>
      </c>
      <c r="H726" s="2" t="str">
        <f t="shared" si="304"/>
        <v>Lower</v>
      </c>
      <c r="I726" s="2" t="str">
        <f t="shared" si="305"/>
        <v>Higher</v>
      </c>
      <c r="J726" s="2" t="str">
        <f t="shared" si="306"/>
        <v>Lower</v>
      </c>
      <c r="K726" s="2" t="str">
        <f t="shared" si="307"/>
        <v>Lower</v>
      </c>
      <c r="L726" s="2" t="str">
        <f t="shared" si="308"/>
        <v>Higher</v>
      </c>
      <c r="M726" s="2" t="str">
        <f t="shared" si="309"/>
        <v>Lower</v>
      </c>
      <c r="N726" s="2" t="str">
        <f t="shared" si="310"/>
        <v>Lower</v>
      </c>
      <c r="O726" s="2" t="str">
        <f t="shared" si="311"/>
        <v>Higher</v>
      </c>
      <c r="P726" s="2" t="str">
        <f t="shared" si="312"/>
        <v>Lower</v>
      </c>
      <c r="X726" s="4">
        <f>DATE(2021,10,19)</f>
        <v>44488</v>
      </c>
      <c r="Y726">
        <v>13.783814640760333</v>
      </c>
      <c r="Z726">
        <v>36.370977758105248</v>
      </c>
      <c r="AA726">
        <v>55.364999999999995</v>
      </c>
      <c r="AB726">
        <v>90.806000000000012</v>
      </c>
      <c r="AC726">
        <f t="shared" si="313"/>
        <v>-6.2954023460308692E-2</v>
      </c>
      <c r="AD726">
        <f t="shared" si="313"/>
        <v>5.4985809243524628E-2</v>
      </c>
      <c r="AE726">
        <f t="shared" si="314"/>
        <v>0.11793983270383332</v>
      </c>
      <c r="AF726">
        <f t="shared" si="315"/>
        <v>0.90858273700031567</v>
      </c>
      <c r="AH726">
        <f t="shared" si="316"/>
        <v>-8.6917299895263173E-2</v>
      </c>
      <c r="AI726">
        <f t="shared" si="316"/>
        <v>0.21171550466446085</v>
      </c>
      <c r="AJ726">
        <f t="shared" si="317"/>
        <v>0.29863280455972402</v>
      </c>
      <c r="AK726">
        <f t="shared" si="318"/>
        <v>0.99428704819639435</v>
      </c>
      <c r="AM726">
        <f t="shared" si="319"/>
        <v>4.1817778989806806E-2</v>
      </c>
      <c r="AN726">
        <f t="shared" si="319"/>
        <v>0.88341822999757125</v>
      </c>
      <c r="AO726">
        <f t="shared" si="320"/>
        <v>0.84160045100776448</v>
      </c>
      <c r="AP726">
        <f t="shared" si="321"/>
        <v>1.8518273358597295</v>
      </c>
      <c r="AR726">
        <f t="shared" si="322"/>
        <v>0.46706385635852449</v>
      </c>
      <c r="AS726">
        <f t="shared" si="323"/>
        <v>1.2733366294768469</v>
      </c>
      <c r="AT726">
        <f t="shared" si="324"/>
        <v>0.80627277311832235</v>
      </c>
      <c r="AU726">
        <f t="shared" si="325"/>
        <v>2.3656799347339796</v>
      </c>
    </row>
    <row r="727" spans="1:47" x14ac:dyDescent="0.25">
      <c r="A727" s="4">
        <f>DATE(2021,10,18)</f>
        <v>44487</v>
      </c>
      <c r="B727">
        <v>-0.39538366940635827</v>
      </c>
      <c r="C727">
        <v>44.929952795148822</v>
      </c>
      <c r="D727">
        <v>0.18227229273062731</v>
      </c>
      <c r="E727">
        <f t="shared" si="301"/>
        <v>-1.1084629372008437</v>
      </c>
      <c r="F727">
        <f t="shared" si="302"/>
        <v>-1.2993551990586527</v>
      </c>
      <c r="G727">
        <f t="shared" si="303"/>
        <v>-1.6307610522350855</v>
      </c>
      <c r="H727" s="2" t="str">
        <f t="shared" si="304"/>
        <v>Lower</v>
      </c>
      <c r="I727" s="2" t="str">
        <f t="shared" si="305"/>
        <v>Higher</v>
      </c>
      <c r="J727" s="2" t="str">
        <f t="shared" si="306"/>
        <v>Lower</v>
      </c>
      <c r="K727" s="2" t="str">
        <f t="shared" si="307"/>
        <v>Lower</v>
      </c>
      <c r="L727" s="2" t="str">
        <f t="shared" si="308"/>
        <v>Higher</v>
      </c>
      <c r="M727" s="2" t="str">
        <f t="shared" si="309"/>
        <v>Lower</v>
      </c>
      <c r="N727" s="2" t="str">
        <f t="shared" si="310"/>
        <v>Lower</v>
      </c>
      <c r="O727" s="2" t="str">
        <f t="shared" si="311"/>
        <v>Higher</v>
      </c>
      <c r="P727" s="2" t="str">
        <f t="shared" si="312"/>
        <v>Lower</v>
      </c>
      <c r="X727" s="4">
        <f>DATE(2021,10,18)</f>
        <v>44487</v>
      </c>
      <c r="Y727">
        <v>15.693305858504445</v>
      </c>
      <c r="Z727">
        <v>37.75064601119297</v>
      </c>
      <c r="AA727">
        <v>58.510000000000005</v>
      </c>
      <c r="AB727">
        <v>94.403999999999996</v>
      </c>
      <c r="AC727">
        <f t="shared" si="313"/>
        <v>-1.0878910624250967E-2</v>
      </c>
      <c r="AD727">
        <f t="shared" si="313"/>
        <v>8.7245408324893206E-2</v>
      </c>
      <c r="AE727">
        <f t="shared" si="314"/>
        <v>9.8124318949144168E-2</v>
      </c>
      <c r="AF727">
        <f t="shared" si="315"/>
        <v>0.70236526352648421</v>
      </c>
      <c r="AH727">
        <f t="shared" si="316"/>
        <v>-2.8931378839647592E-2</v>
      </c>
      <c r="AI727">
        <f t="shared" si="316"/>
        <v>0.25801823931240836</v>
      </c>
      <c r="AJ727">
        <f t="shared" si="317"/>
        <v>0.28694961815205594</v>
      </c>
      <c r="AK727">
        <f t="shared" si="318"/>
        <v>0.9387864363839995</v>
      </c>
      <c r="AM727">
        <f t="shared" si="319"/>
        <v>0.10686186049840971</v>
      </c>
      <c r="AN727">
        <f t="shared" si="319"/>
        <v>0.94505876543963674</v>
      </c>
      <c r="AO727">
        <f t="shared" si="320"/>
        <v>0.83819690494122701</v>
      </c>
      <c r="AP727">
        <f t="shared" si="321"/>
        <v>1.8551117328457813</v>
      </c>
      <c r="AR727">
        <f t="shared" si="322"/>
        <v>0.52527174601142501</v>
      </c>
      <c r="AS727">
        <f t="shared" si="323"/>
        <v>1.4566546345975271</v>
      </c>
      <c r="AT727">
        <f t="shared" si="324"/>
        <v>0.93138288858610208</v>
      </c>
      <c r="AU727">
        <f t="shared" si="325"/>
        <v>2.8510558380280626</v>
      </c>
    </row>
    <row r="728" spans="1:47" x14ac:dyDescent="0.25">
      <c r="A728" s="4">
        <f>DATE(2021,10,15)</f>
        <v>44484</v>
      </c>
      <c r="B728">
        <v>-0.35890206332255686</v>
      </c>
      <c r="C728">
        <v>47.251915623232939</v>
      </c>
      <c r="D728">
        <v>0.27411605133898037</v>
      </c>
      <c r="E728">
        <f t="shared" si="301"/>
        <v>-1.0118856317799272</v>
      </c>
      <c r="F728">
        <f t="shared" si="302"/>
        <v>-1.1037932409915518</v>
      </c>
      <c r="G728">
        <f t="shared" si="303"/>
        <v>-1.3475367759481083</v>
      </c>
      <c r="H728" s="2" t="str">
        <f t="shared" si="304"/>
        <v>Lower</v>
      </c>
      <c r="I728" s="2" t="str">
        <f t="shared" si="305"/>
        <v>Higher</v>
      </c>
      <c r="J728" s="2" t="str">
        <f t="shared" si="306"/>
        <v>Lower</v>
      </c>
      <c r="K728" s="2" t="str">
        <f t="shared" si="307"/>
        <v>Lower</v>
      </c>
      <c r="L728" s="2" t="str">
        <f t="shared" si="308"/>
        <v>Higher</v>
      </c>
      <c r="M728" s="2" t="str">
        <f t="shared" si="309"/>
        <v>Lower</v>
      </c>
      <c r="N728" s="2" t="str">
        <f t="shared" si="310"/>
        <v>Lower</v>
      </c>
      <c r="O728" s="2" t="str">
        <f t="shared" si="311"/>
        <v>Higher</v>
      </c>
      <c r="P728" s="2" t="str">
        <f t="shared" si="312"/>
        <v>Lower</v>
      </c>
      <c r="X728" s="4">
        <f>DATE(2021,10,15)</f>
        <v>44484</v>
      </c>
      <c r="Y728">
        <v>16.856112037623248</v>
      </c>
      <c r="Z728">
        <v>41.316331809436008</v>
      </c>
      <c r="AA728">
        <v>59.772500000000001</v>
      </c>
      <c r="AB728">
        <v>95.966499999999996</v>
      </c>
      <c r="AC728">
        <f t="shared" si="313"/>
        <v>1.5978754351525432E-2</v>
      </c>
      <c r="AD728">
        <f t="shared" si="313"/>
        <v>7.9339801412699223E-2</v>
      </c>
      <c r="AE728">
        <f t="shared" si="314"/>
        <v>6.3361047061173792E-2</v>
      </c>
      <c r="AF728">
        <f t="shared" si="315"/>
        <v>0.33808807547104808</v>
      </c>
      <c r="AH728">
        <f t="shared" si="316"/>
        <v>3.8133597449925166E-3</v>
      </c>
      <c r="AI728">
        <f t="shared" si="316"/>
        <v>0.39026211368032471</v>
      </c>
      <c r="AJ728">
        <f t="shared" si="317"/>
        <v>0.38644875393533218</v>
      </c>
      <c r="AK728">
        <f t="shared" si="318"/>
        <v>1.4381836041391203</v>
      </c>
      <c r="AM728">
        <f t="shared" si="319"/>
        <v>0.1649156801305886</v>
      </c>
      <c r="AN728">
        <f t="shared" si="319"/>
        <v>0.99386102527232645</v>
      </c>
      <c r="AO728">
        <f t="shared" si="320"/>
        <v>0.8289453451417379</v>
      </c>
      <c r="AP728">
        <f t="shared" si="321"/>
        <v>1.8418247383694215</v>
      </c>
      <c r="AR728">
        <f t="shared" si="322"/>
        <v>0.53999482995934167</v>
      </c>
      <c r="AS728">
        <f t="shared" si="323"/>
        <v>1.5579453496085129</v>
      </c>
      <c r="AT728">
        <f t="shared" si="324"/>
        <v>1.0179505196491712</v>
      </c>
      <c r="AU728">
        <f t="shared" si="325"/>
        <v>3.2123503683522805</v>
      </c>
    </row>
    <row r="729" spans="1:47" x14ac:dyDescent="0.25">
      <c r="A729" s="4">
        <f>DATE(2021,10,14)</f>
        <v>44483</v>
      </c>
      <c r="B729">
        <v>-0.36439370715716823</v>
      </c>
      <c r="C729">
        <v>53.036246440111789</v>
      </c>
      <c r="D729">
        <v>0.54735612301355263</v>
      </c>
      <c r="E729">
        <f t="shared" si="301"/>
        <v>-1.0407396185094837</v>
      </c>
      <c r="F729">
        <f t="shared" si="302"/>
        <v>-0.57850992419477965</v>
      </c>
      <c r="G729">
        <f t="shared" si="303"/>
        <v>-0.42678062950540208</v>
      </c>
      <c r="H729" s="2" t="str">
        <f t="shared" si="304"/>
        <v>Lower</v>
      </c>
      <c r="I729" s="2" t="str">
        <f t="shared" si="305"/>
        <v>Higher</v>
      </c>
      <c r="J729" s="2" t="str">
        <f t="shared" si="306"/>
        <v>Lower</v>
      </c>
      <c r="K729" s="2" t="str">
        <f t="shared" si="307"/>
        <v>Lower</v>
      </c>
      <c r="L729" s="2" t="str">
        <f t="shared" si="308"/>
        <v>Higher</v>
      </c>
      <c r="M729" s="2" t="str">
        <f t="shared" si="309"/>
        <v>Lower</v>
      </c>
      <c r="N729" s="2" t="str">
        <f t="shared" si="310"/>
        <v>Lower</v>
      </c>
      <c r="O729" s="2" t="str">
        <f t="shared" si="311"/>
        <v>Higher</v>
      </c>
      <c r="P729" s="2" t="str">
        <f t="shared" si="312"/>
        <v>Lower</v>
      </c>
      <c r="X729" s="4">
        <f>DATE(2021,10,14)</f>
        <v>44483</v>
      </c>
      <c r="Y729">
        <v>18.825507139786556</v>
      </c>
      <c r="Z729">
        <v>45.438665793515085</v>
      </c>
      <c r="AA729">
        <v>60.942499999999995</v>
      </c>
      <c r="AB729">
        <v>100.83225</v>
      </c>
      <c r="AC729">
        <f t="shared" si="313"/>
        <v>1.8799725521495465E-2</v>
      </c>
      <c r="AD729">
        <f t="shared" si="313"/>
        <v>2.8751004213434808E-2</v>
      </c>
      <c r="AE729">
        <f t="shared" si="314"/>
        <v>9.9512786919393435E-3</v>
      </c>
      <c r="AF729">
        <f t="shared" si="315"/>
        <v>-0.22257004201732847</v>
      </c>
      <c r="AH729">
        <f t="shared" si="316"/>
        <v>2.4921337929674346E-2</v>
      </c>
      <c r="AI729">
        <f t="shared" si="316"/>
        <v>0.45536844489977107</v>
      </c>
      <c r="AJ729">
        <f t="shared" si="317"/>
        <v>0.43044710697009675</v>
      </c>
      <c r="AK729">
        <f t="shared" si="318"/>
        <v>1.6650661575774759</v>
      </c>
      <c r="AM729">
        <f t="shared" si="319"/>
        <v>0.17849739772612533</v>
      </c>
      <c r="AN729">
        <f t="shared" si="319"/>
        <v>1.0275601943757839</v>
      </c>
      <c r="AO729">
        <f t="shared" si="320"/>
        <v>0.84906279664965867</v>
      </c>
      <c r="AP729">
        <f t="shared" si="321"/>
        <v>1.912187693776058</v>
      </c>
      <c r="AR729">
        <f t="shared" si="322"/>
        <v>0.56752324646041608</v>
      </c>
      <c r="AS729">
        <f t="shared" si="323"/>
        <v>1.6650141391204709</v>
      </c>
      <c r="AT729">
        <f t="shared" si="324"/>
        <v>1.0974908926600548</v>
      </c>
      <c r="AU729">
        <f t="shared" si="325"/>
        <v>3.5744616692367739</v>
      </c>
    </row>
    <row r="730" spans="1:47" x14ac:dyDescent="0.25">
      <c r="A730" s="4">
        <f>DATE(2021,10,13)</f>
        <v>44482</v>
      </c>
      <c r="B730">
        <v>-0.55173465540121958</v>
      </c>
      <c r="C730">
        <v>45.725441102213274</v>
      </c>
      <c r="D730">
        <v>0.24296223555305935</v>
      </c>
      <c r="E730">
        <f t="shared" si="301"/>
        <v>-1.625753605824946</v>
      </c>
      <c r="F730">
        <f t="shared" si="302"/>
        <v>-1.27120542771226</v>
      </c>
      <c r="G730">
        <f t="shared" si="303"/>
        <v>-1.4847865920552135</v>
      </c>
      <c r="H730" s="2" t="str">
        <f t="shared" si="304"/>
        <v>Lower</v>
      </c>
      <c r="I730" s="2" t="str">
        <f t="shared" si="305"/>
        <v>Higher</v>
      </c>
      <c r="J730" s="2" t="str">
        <f t="shared" si="306"/>
        <v>Lower</v>
      </c>
      <c r="K730" s="2" t="str">
        <f t="shared" si="307"/>
        <v>Lower</v>
      </c>
      <c r="L730" s="2" t="str">
        <f t="shared" si="308"/>
        <v>Higher</v>
      </c>
      <c r="M730" s="2" t="str">
        <f t="shared" si="309"/>
        <v>Lower</v>
      </c>
      <c r="N730" s="2" t="str">
        <f t="shared" si="310"/>
        <v>Lower</v>
      </c>
      <c r="O730" s="2" t="str">
        <f t="shared" si="311"/>
        <v>Higher</v>
      </c>
      <c r="P730" s="2" t="str">
        <f t="shared" si="312"/>
        <v>Lower</v>
      </c>
      <c r="X730" s="4">
        <f>DATE(2021,10,13)</f>
        <v>44482</v>
      </c>
      <c r="Y730">
        <v>15.501167098492473</v>
      </c>
      <c r="Z730">
        <v>42.196685992248639</v>
      </c>
      <c r="AA730">
        <v>59.157499999999999</v>
      </c>
      <c r="AB730">
        <v>93.033000000000001</v>
      </c>
      <c r="AC730">
        <f t="shared" si="313"/>
        <v>-2.3183511539260349E-2</v>
      </c>
      <c r="AD730">
        <f t="shared" si="313"/>
        <v>-0.19192376574687012</v>
      </c>
      <c r="AE730">
        <f t="shared" si="314"/>
        <v>-0.16874025420760977</v>
      </c>
      <c r="AF730">
        <f t="shared" si="315"/>
        <v>-2.0975147216947523</v>
      </c>
      <c r="AH730">
        <f t="shared" si="316"/>
        <v>-1.3724430058689068E-2</v>
      </c>
      <c r="AI730">
        <f t="shared" si="316"/>
        <v>0.25485168212055009</v>
      </c>
      <c r="AJ730">
        <f t="shared" si="317"/>
        <v>0.26857611217923916</v>
      </c>
      <c r="AK730">
        <f t="shared" si="318"/>
        <v>0.86315479541864104</v>
      </c>
      <c r="AM730">
        <f t="shared" si="319"/>
        <v>0.13151098888191165</v>
      </c>
      <c r="AN730">
        <f t="shared" si="319"/>
        <v>0.95250949531732543</v>
      </c>
      <c r="AO730">
        <f t="shared" si="320"/>
        <v>0.82099850643541372</v>
      </c>
      <c r="AP730">
        <f t="shared" si="321"/>
        <v>1.8459852711014044</v>
      </c>
      <c r="AR730">
        <f t="shared" si="322"/>
        <v>0.57015159209283173</v>
      </c>
      <c r="AS730">
        <f t="shared" si="323"/>
        <v>1.6562167023022061</v>
      </c>
      <c r="AT730">
        <f t="shared" si="324"/>
        <v>1.0860651102093744</v>
      </c>
      <c r="AU730">
        <f t="shared" si="325"/>
        <v>3.6160509828098952</v>
      </c>
    </row>
    <row r="731" spans="1:47" x14ac:dyDescent="0.25">
      <c r="A731" s="4">
        <f>DATE(2021,10,12)</f>
        <v>44481</v>
      </c>
      <c r="B731">
        <v>-0.56991928345546283</v>
      </c>
      <c r="C731">
        <v>45.258012273176647</v>
      </c>
      <c r="D731">
        <v>0.21384402917716946</v>
      </c>
      <c r="E731">
        <f t="shared" si="301"/>
        <v>-1.7118398553310015</v>
      </c>
      <c r="F731">
        <f t="shared" si="302"/>
        <v>-1.3343155337769448</v>
      </c>
      <c r="G731">
        <f t="shared" si="303"/>
        <v>-1.6125395366313806</v>
      </c>
      <c r="H731" s="2" t="str">
        <f t="shared" si="304"/>
        <v>Lower</v>
      </c>
      <c r="I731" s="2" t="str">
        <f t="shared" si="305"/>
        <v>Higher</v>
      </c>
      <c r="J731" s="2" t="str">
        <f t="shared" si="306"/>
        <v>Lower</v>
      </c>
      <c r="K731" s="2" t="str">
        <f t="shared" si="307"/>
        <v>Lower</v>
      </c>
      <c r="L731" s="2" t="str">
        <f t="shared" si="308"/>
        <v>Higher</v>
      </c>
      <c r="M731" s="2" t="str">
        <f t="shared" si="309"/>
        <v>Lower</v>
      </c>
      <c r="N731" s="2" t="str">
        <f t="shared" si="310"/>
        <v>Lower</v>
      </c>
      <c r="O731" s="2" t="str">
        <f t="shared" si="311"/>
        <v>Higher</v>
      </c>
      <c r="P731" s="2" t="str">
        <f t="shared" si="312"/>
        <v>Lower</v>
      </c>
      <c r="X731" s="4">
        <f>DATE(2021,10,12)</f>
        <v>44481</v>
      </c>
      <c r="Y731">
        <v>14.148301660735862</v>
      </c>
      <c r="Z731">
        <v>39.183513735472793</v>
      </c>
      <c r="AA731">
        <v>58.962500000000006</v>
      </c>
      <c r="AB731">
        <v>85.947749999999985</v>
      </c>
      <c r="AC731">
        <f t="shared" si="313"/>
        <v>-9.1544933366774717E-2</v>
      </c>
      <c r="AD731">
        <f t="shared" si="313"/>
        <v>-0.28977853212184818</v>
      </c>
      <c r="AE731">
        <f t="shared" si="314"/>
        <v>-0.19823359875507346</v>
      </c>
      <c r="AF731">
        <f t="shared" si="315"/>
        <v>-2.4282513147655198</v>
      </c>
      <c r="AH731">
        <f t="shared" si="316"/>
        <v>-2.1434934881257917E-2</v>
      </c>
      <c r="AI731">
        <f t="shared" si="316"/>
        <v>0.26988569499696496</v>
      </c>
      <c r="AJ731">
        <f t="shared" si="317"/>
        <v>0.29132062987822288</v>
      </c>
      <c r="AK731">
        <f t="shared" si="318"/>
        <v>0.97932474499101163</v>
      </c>
      <c r="AM731">
        <f t="shared" si="319"/>
        <v>0.13774997579398146</v>
      </c>
      <c r="AN731">
        <f t="shared" si="319"/>
        <v>0.89646477786404744</v>
      </c>
      <c r="AO731">
        <f t="shared" si="320"/>
        <v>0.75871480207006603</v>
      </c>
      <c r="AP731">
        <f t="shared" si="321"/>
        <v>1.679495293829649</v>
      </c>
      <c r="AR731">
        <f t="shared" si="322"/>
        <v>0.57721732023357064</v>
      </c>
      <c r="AS731">
        <f t="shared" si="323"/>
        <v>1.5511510580696517</v>
      </c>
      <c r="AT731">
        <f t="shared" si="324"/>
        <v>0.97393373783608106</v>
      </c>
      <c r="AU731">
        <f t="shared" si="325"/>
        <v>3.253382051549333</v>
      </c>
    </row>
    <row r="732" spans="1:47" x14ac:dyDescent="0.25">
      <c r="A732" s="4">
        <f>DATE(2021,10,11)</f>
        <v>44480</v>
      </c>
      <c r="B732">
        <v>-0.5457623075870307</v>
      </c>
      <c r="C732">
        <v>45.833980155210064</v>
      </c>
      <c r="D732">
        <v>0.23140618009331784</v>
      </c>
      <c r="E732">
        <f t="shared" si="301"/>
        <v>-1.6704941886624389</v>
      </c>
      <c r="F732">
        <f t="shared" si="302"/>
        <v>-1.3004620343707056</v>
      </c>
      <c r="G732">
        <f t="shared" si="303"/>
        <v>-1.5821862150348913</v>
      </c>
      <c r="H732" s="2" t="str">
        <f t="shared" si="304"/>
        <v>Lower</v>
      </c>
      <c r="I732" s="2" t="str">
        <f t="shared" si="305"/>
        <v>Higher</v>
      </c>
      <c r="J732" s="2" t="str">
        <f t="shared" si="306"/>
        <v>Lower</v>
      </c>
      <c r="K732" s="2" t="str">
        <f t="shared" si="307"/>
        <v>Lower</v>
      </c>
      <c r="L732" s="2" t="str">
        <f t="shared" si="308"/>
        <v>Higher</v>
      </c>
      <c r="M732" s="2" t="str">
        <f t="shared" si="309"/>
        <v>Lower</v>
      </c>
      <c r="N732" s="2" t="str">
        <f t="shared" si="310"/>
        <v>Lower</v>
      </c>
      <c r="O732" s="2" t="str">
        <f t="shared" si="311"/>
        <v>Higher</v>
      </c>
      <c r="P732" s="2" t="str">
        <f t="shared" si="312"/>
        <v>Lower</v>
      </c>
      <c r="X732" s="4">
        <f>DATE(2021,10,11)</f>
        <v>44480</v>
      </c>
      <c r="Y732">
        <v>14.576896279019378</v>
      </c>
      <c r="Z732">
        <v>39.95865308215086</v>
      </c>
      <c r="AA732">
        <v>59.15</v>
      </c>
      <c r="AB732">
        <v>86.516750000000002</v>
      </c>
      <c r="AC732">
        <f t="shared" si="313"/>
        <v>-6.9387271018784488E-2</v>
      </c>
      <c r="AD732">
        <f t="shared" si="313"/>
        <v>-0.11256460660947494</v>
      </c>
      <c r="AE732">
        <f t="shared" si="314"/>
        <v>-4.3177335590690452E-2</v>
      </c>
      <c r="AF732">
        <f t="shared" si="315"/>
        <v>-0.8064309503027387</v>
      </c>
      <c r="AH732">
        <f t="shared" si="316"/>
        <v>-3.7699627113877823E-2</v>
      </c>
      <c r="AI732">
        <f t="shared" si="316"/>
        <v>0.34881684121749462</v>
      </c>
      <c r="AJ732">
        <f t="shared" si="317"/>
        <v>0.38651646833137243</v>
      </c>
      <c r="AK732">
        <f t="shared" si="318"/>
        <v>1.4591611383736049</v>
      </c>
      <c r="AM732">
        <f t="shared" si="319"/>
        <v>0.1156509062032014</v>
      </c>
      <c r="AN732">
        <f t="shared" si="319"/>
        <v>0.87874456198112827</v>
      </c>
      <c r="AO732">
        <f t="shared" si="320"/>
        <v>0.76309365577792687</v>
      </c>
      <c r="AP732">
        <f t="shared" si="321"/>
        <v>1.7021522798922668</v>
      </c>
      <c r="AR732">
        <f t="shared" si="322"/>
        <v>0.56607149246936472</v>
      </c>
      <c r="AS732">
        <f t="shared" si="323"/>
        <v>1.4716303781931861</v>
      </c>
      <c r="AT732">
        <f t="shared" si="324"/>
        <v>0.90555888572382137</v>
      </c>
      <c r="AU732">
        <f t="shared" si="325"/>
        <v>3.0289053764431757</v>
      </c>
    </row>
    <row r="733" spans="1:47" x14ac:dyDescent="0.25">
      <c r="A733" s="4">
        <f>DATE(2021,10,8)</f>
        <v>44477</v>
      </c>
      <c r="B733">
        <v>-0.49479794516284203</v>
      </c>
      <c r="C733">
        <v>43.338107457334075</v>
      </c>
      <c r="D733">
        <v>9.0876249585215993E-2</v>
      </c>
      <c r="E733">
        <f t="shared" si="301"/>
        <v>-1.5423857962390459</v>
      </c>
      <c r="F733">
        <f t="shared" si="302"/>
        <v>-1.5603752338565242</v>
      </c>
      <c r="G733">
        <f t="shared" si="303"/>
        <v>-2.1081051056973954</v>
      </c>
      <c r="H733" s="2" t="str">
        <f t="shared" si="304"/>
        <v>Lower</v>
      </c>
      <c r="I733" s="2" t="str">
        <f t="shared" si="305"/>
        <v>Lower</v>
      </c>
      <c r="J733" s="2" t="str">
        <f t="shared" si="306"/>
        <v>Lower</v>
      </c>
      <c r="K733" s="2" t="str">
        <f t="shared" si="307"/>
        <v>Lower</v>
      </c>
      <c r="L733" s="2" t="str">
        <f t="shared" si="308"/>
        <v>Higher</v>
      </c>
      <c r="M733" s="2" t="str">
        <f t="shared" si="309"/>
        <v>Lower</v>
      </c>
      <c r="N733" s="2" t="str">
        <f t="shared" si="310"/>
        <v>Lower</v>
      </c>
      <c r="O733" s="2" t="str">
        <f t="shared" si="311"/>
        <v>Higher</v>
      </c>
      <c r="P733" s="2" t="str">
        <f t="shared" si="312"/>
        <v>Lower</v>
      </c>
      <c r="X733" s="4">
        <f>DATE(2021,10,8)</f>
        <v>44477</v>
      </c>
      <c r="Y733">
        <v>15.528336050151296</v>
      </c>
      <c r="Z733">
        <v>42.79277022558913</v>
      </c>
      <c r="AA733">
        <v>58.825000000000003</v>
      </c>
      <c r="AB733">
        <v>88.646749999999997</v>
      </c>
      <c r="AC733">
        <f t="shared" si="313"/>
        <v>-5.667191879094953E-2</v>
      </c>
      <c r="AD733">
        <f t="shared" si="313"/>
        <v>-6.3794950445981324E-2</v>
      </c>
      <c r="AE733">
        <f t="shared" si="314"/>
        <v>-7.1230316550317946E-3</v>
      </c>
      <c r="AF733">
        <f t="shared" si="315"/>
        <v>-0.42489748607927219</v>
      </c>
      <c r="AH733">
        <f t="shared" si="316"/>
        <v>-4.2802183098348899E-2</v>
      </c>
      <c r="AI733">
        <f t="shared" si="316"/>
        <v>0.4346063567327007</v>
      </c>
      <c r="AJ733">
        <f t="shared" si="317"/>
        <v>0.47740853983104958</v>
      </c>
      <c r="AK733">
        <f t="shared" si="318"/>
        <v>1.9225797594738796</v>
      </c>
      <c r="AM733">
        <f t="shared" si="319"/>
        <v>0.10559664874353014</v>
      </c>
      <c r="AN733">
        <f t="shared" si="319"/>
        <v>0.93067652653160771</v>
      </c>
      <c r="AO733">
        <f t="shared" si="320"/>
        <v>0.82507987778807756</v>
      </c>
      <c r="AP733">
        <f t="shared" si="321"/>
        <v>1.8922826376027635</v>
      </c>
      <c r="AR733" t="str">
        <f t="shared" si="322"/>
        <v/>
      </c>
      <c r="AS733" t="str">
        <f t="shared" si="323"/>
        <v/>
      </c>
      <c r="AT733" t="str">
        <f t="shared" si="324"/>
        <v/>
      </c>
      <c r="AU733" t="str">
        <f t="shared" si="325"/>
        <v/>
      </c>
    </row>
    <row r="734" spans="1:47" x14ac:dyDescent="0.25">
      <c r="A734" s="4">
        <f>DATE(2021,10,7)</f>
        <v>44476</v>
      </c>
      <c r="B734">
        <v>-0.30142096336299318</v>
      </c>
      <c r="C734">
        <v>48.500739797197454</v>
      </c>
      <c r="D734">
        <v>0.35584474538171235</v>
      </c>
      <c r="E734">
        <f t="shared" si="301"/>
        <v>-0.95306270270697457</v>
      </c>
      <c r="F734">
        <f t="shared" si="302"/>
        <v>-1.0914650503129524</v>
      </c>
      <c r="G734">
        <f t="shared" si="303"/>
        <v>-1.2118251514949678</v>
      </c>
      <c r="H734" s="2" t="str">
        <f t="shared" si="304"/>
        <v>Lower</v>
      </c>
      <c r="I734" s="2" t="str">
        <f t="shared" si="305"/>
        <v>Lower</v>
      </c>
      <c r="J734" s="2" t="str">
        <f t="shared" si="306"/>
        <v>Lower</v>
      </c>
      <c r="K734" s="2" t="str">
        <f t="shared" si="307"/>
        <v>Lower</v>
      </c>
      <c r="L734" s="2" t="str">
        <f t="shared" si="308"/>
        <v>Higher</v>
      </c>
      <c r="M734" s="2" t="str">
        <f t="shared" si="309"/>
        <v>Lower</v>
      </c>
      <c r="N734" s="2" t="str">
        <f t="shared" si="310"/>
        <v>Lower</v>
      </c>
      <c r="O734" s="2" t="str">
        <f t="shared" si="311"/>
        <v>Higher</v>
      </c>
      <c r="P734" s="2" t="str">
        <f t="shared" si="312"/>
        <v>Lower</v>
      </c>
      <c r="X734" s="4">
        <f>DATE(2021,10,7)</f>
        <v>44476</v>
      </c>
      <c r="Y734">
        <v>16.766936245249735</v>
      </c>
      <c r="Z734">
        <v>47.456181372471832</v>
      </c>
      <c r="AA734">
        <v>59.807500000000005</v>
      </c>
      <c r="AB734">
        <v>97.974500000000006</v>
      </c>
      <c r="AC734">
        <f t="shared" si="313"/>
        <v>-3.0747591262820978E-2</v>
      </c>
      <c r="AD734">
        <f t="shared" si="313"/>
        <v>1.3864559191542841E-2</v>
      </c>
      <c r="AE734">
        <f t="shared" si="314"/>
        <v>4.4612150454363821E-2</v>
      </c>
      <c r="AF734">
        <f t="shared" si="315"/>
        <v>0.12412628145340401</v>
      </c>
      <c r="AH734">
        <f t="shared" si="316"/>
        <v>-4.6033488252429471E-2</v>
      </c>
      <c r="AI734">
        <f t="shared" si="316"/>
        <v>0.55435912437258394</v>
      </c>
      <c r="AJ734">
        <f t="shared" si="317"/>
        <v>0.60039261262501342</v>
      </c>
      <c r="AK734">
        <f t="shared" si="318"/>
        <v>2.5575662892986779</v>
      </c>
      <c r="AM734">
        <f t="shared" si="319"/>
        <v>0.12372066364489546</v>
      </c>
      <c r="AN734">
        <f t="shared" si="319"/>
        <v>1.0597521149890452</v>
      </c>
      <c r="AO734">
        <f t="shared" si="320"/>
        <v>0.93603145134414978</v>
      </c>
      <c r="AP734">
        <f t="shared" si="321"/>
        <v>2.2295099446138624</v>
      </c>
      <c r="AR734">
        <f t="shared" si="322"/>
        <v>0.60643542068975276</v>
      </c>
      <c r="AS734">
        <f t="shared" si="323"/>
        <v>1.6337108610173843</v>
      </c>
      <c r="AT734">
        <f t="shared" si="324"/>
        <v>1.0272754403276316</v>
      </c>
      <c r="AU734">
        <f t="shared" si="325"/>
        <v>3.570070948087237</v>
      </c>
    </row>
    <row r="735" spans="1:47" x14ac:dyDescent="0.25">
      <c r="A735" s="4">
        <f>DATE(2021,10,6)</f>
        <v>44475</v>
      </c>
      <c r="B735">
        <v>-0.19000207966183624</v>
      </c>
      <c r="C735">
        <v>44.756406409527074</v>
      </c>
      <c r="D735">
        <v>0.14656079651741294</v>
      </c>
      <c r="E735">
        <f t="shared" si="301"/>
        <v>-0.60805148942211729</v>
      </c>
      <c r="F735">
        <f t="shared" si="302"/>
        <v>-1.4687483229353209</v>
      </c>
      <c r="G735">
        <f t="shared" si="303"/>
        <v>-1.9866946381794812</v>
      </c>
      <c r="H735" s="2" t="str">
        <f t="shared" si="304"/>
        <v>Lower</v>
      </c>
      <c r="I735" s="2" t="str">
        <f t="shared" si="305"/>
        <v>Lower</v>
      </c>
      <c r="J735" s="2" t="str">
        <f t="shared" si="306"/>
        <v>Lower</v>
      </c>
      <c r="K735" s="2" t="str">
        <f t="shared" si="307"/>
        <v>Lower</v>
      </c>
      <c r="L735" s="2" t="str">
        <f t="shared" si="308"/>
        <v>Higher</v>
      </c>
      <c r="M735" s="2" t="str">
        <f t="shared" si="309"/>
        <v>Lower</v>
      </c>
      <c r="N735" s="2" t="str">
        <f t="shared" si="310"/>
        <v>Lower</v>
      </c>
      <c r="O735" s="2" t="str">
        <f t="shared" si="311"/>
        <v>Higher</v>
      </c>
      <c r="P735" s="2" t="str">
        <f t="shared" si="312"/>
        <v>Lower</v>
      </c>
      <c r="X735" s="4">
        <f>DATE(2021,10,6)</f>
        <v>44475</v>
      </c>
      <c r="Y735">
        <v>18.288142028848654</v>
      </c>
      <c r="Z735">
        <v>56.410288394651474</v>
      </c>
      <c r="AA735">
        <v>60.545000000000002</v>
      </c>
      <c r="AB735">
        <v>112.71675</v>
      </c>
      <c r="AC735">
        <f t="shared" si="313"/>
        <v>-3.2978947111508269E-2</v>
      </c>
      <c r="AD735">
        <f t="shared" si="313"/>
        <v>0.26378898033966047</v>
      </c>
      <c r="AE735">
        <f t="shared" si="314"/>
        <v>0.29676792745116876</v>
      </c>
      <c r="AF735">
        <f t="shared" si="315"/>
        <v>2.7994057682713764</v>
      </c>
      <c r="AH735">
        <f t="shared" si="316"/>
        <v>-3.2539377882268163E-2</v>
      </c>
      <c r="AI735">
        <f t="shared" si="316"/>
        <v>0.71885934937721718</v>
      </c>
      <c r="AJ735">
        <f t="shared" si="317"/>
        <v>0.75139872725948531</v>
      </c>
      <c r="AK735">
        <f t="shared" si="318"/>
        <v>3.3595506025081758</v>
      </c>
      <c r="AM735">
        <f t="shared" si="319"/>
        <v>0.12445317949555675</v>
      </c>
      <c r="AN735">
        <f t="shared" si="319"/>
        <v>1.1829771250774594</v>
      </c>
      <c r="AO735">
        <f t="shared" si="320"/>
        <v>1.0585239455819027</v>
      </c>
      <c r="AP735">
        <f t="shared" si="321"/>
        <v>2.6117332811545375</v>
      </c>
      <c r="AR735">
        <f t="shared" si="322"/>
        <v>0.62368644705623077</v>
      </c>
      <c r="AS735">
        <f t="shared" si="323"/>
        <v>1.7768271651865946</v>
      </c>
      <c r="AT735">
        <f t="shared" si="324"/>
        <v>1.1531407181303637</v>
      </c>
      <c r="AU735">
        <f t="shared" si="325"/>
        <v>4.187411676702939</v>
      </c>
    </row>
    <row r="736" spans="1:47" x14ac:dyDescent="0.25">
      <c r="A736" s="4">
        <f>DATE(2021,10,5)</f>
        <v>44474</v>
      </c>
      <c r="B736">
        <v>0.11522244379468205</v>
      </c>
      <c r="C736">
        <v>64.163448102730158</v>
      </c>
      <c r="D736">
        <v>1.0057944516371302</v>
      </c>
      <c r="E736">
        <f t="shared" si="301"/>
        <v>0.36317654920033343</v>
      </c>
      <c r="F736">
        <f t="shared" si="302"/>
        <v>0.39921936656084939</v>
      </c>
      <c r="G736">
        <f t="shared" si="303"/>
        <v>1.1065465931062517</v>
      </c>
      <c r="H736" s="2" t="str">
        <f t="shared" si="304"/>
        <v>Lower</v>
      </c>
      <c r="I736" s="2" t="str">
        <f t="shared" si="305"/>
        <v>Lower</v>
      </c>
      <c r="J736" s="2" t="str">
        <f t="shared" si="306"/>
        <v>Lower</v>
      </c>
      <c r="K736" s="2" t="str">
        <f t="shared" si="307"/>
        <v>Lower</v>
      </c>
      <c r="L736" s="2" t="str">
        <f t="shared" si="308"/>
        <v>Higher</v>
      </c>
      <c r="M736" s="2" t="str">
        <f t="shared" si="309"/>
        <v>Lower</v>
      </c>
      <c r="N736" s="2" t="str">
        <f t="shared" si="310"/>
        <v>Lower</v>
      </c>
      <c r="O736" s="2" t="str">
        <f t="shared" si="311"/>
        <v>Higher</v>
      </c>
      <c r="P736" s="2" t="str">
        <f t="shared" si="312"/>
        <v>Lower</v>
      </c>
      <c r="X736" s="4">
        <f>DATE(2021,10,5)</f>
        <v>44474</v>
      </c>
      <c r="Y736">
        <v>22.12893876535766</v>
      </c>
      <c r="Z736">
        <v>61.326842014890012</v>
      </c>
      <c r="AA736">
        <v>64.615000000000009</v>
      </c>
      <c r="AB736">
        <v>114.83750000000001</v>
      </c>
      <c r="AC736">
        <f t="shared" si="313"/>
        <v>2.8332285510865345E-2</v>
      </c>
      <c r="AD736">
        <f t="shared" si="313"/>
        <v>0.36197594327116855</v>
      </c>
      <c r="AE736">
        <f t="shared" si="314"/>
        <v>0.33364365776030319</v>
      </c>
      <c r="AF736">
        <f t="shared" si="315"/>
        <v>3.2376821251789631</v>
      </c>
      <c r="AH736">
        <f t="shared" si="316"/>
        <v>3.9418829194208707E-2</v>
      </c>
      <c r="AI736">
        <f t="shared" si="316"/>
        <v>0.76717845864976686</v>
      </c>
      <c r="AJ736">
        <f t="shared" si="317"/>
        <v>0.72775962945555817</v>
      </c>
      <c r="AK736">
        <f t="shared" si="318"/>
        <v>3.3107849438466093</v>
      </c>
      <c r="AM736">
        <f t="shared" si="319"/>
        <v>0.20644364424398792</v>
      </c>
      <c r="AN736">
        <f t="shared" si="319"/>
        <v>1.1817194453270108</v>
      </c>
      <c r="AO736">
        <f t="shared" si="320"/>
        <v>0.97527580108302292</v>
      </c>
      <c r="AP736">
        <f t="shared" si="321"/>
        <v>2.4021079840322761</v>
      </c>
      <c r="AR736">
        <f t="shared" si="322"/>
        <v>0.67148457833062014</v>
      </c>
      <c r="AS736">
        <f t="shared" si="323"/>
        <v>1.8080003617011107</v>
      </c>
      <c r="AT736">
        <f t="shared" si="324"/>
        <v>1.1365157833704904</v>
      </c>
      <c r="AU736">
        <f t="shared" si="325"/>
        <v>4.2839879182151659</v>
      </c>
    </row>
    <row r="737" spans="1:47" x14ac:dyDescent="0.25">
      <c r="A737" s="4">
        <f>DATE(2021,10,4)</f>
        <v>44473</v>
      </c>
      <c r="B737">
        <v>5.9821836400728579E-3</v>
      </c>
      <c r="C737">
        <v>60.405643401161996</v>
      </c>
      <c r="D737">
        <v>0.85407662507709814</v>
      </c>
      <c r="E737">
        <f t="shared" si="301"/>
        <v>1.6204336065183119E-2</v>
      </c>
      <c r="F737">
        <f t="shared" si="302"/>
        <v>3.0470974348061595E-2</v>
      </c>
      <c r="G737">
        <f t="shared" si="303"/>
        <v>0.54523748753741774</v>
      </c>
      <c r="H737" s="2" t="str">
        <f t="shared" si="304"/>
        <v>Lower</v>
      </c>
      <c r="I737" s="2" t="str">
        <f t="shared" si="305"/>
        <v>Lower</v>
      </c>
      <c r="J737" s="2" t="str">
        <f t="shared" si="306"/>
        <v>Lower</v>
      </c>
      <c r="K737" s="2" t="str">
        <f t="shared" si="307"/>
        <v>Lower</v>
      </c>
      <c r="L737" s="2" t="str">
        <f t="shared" si="308"/>
        <v>Higher</v>
      </c>
      <c r="M737" s="2" t="str">
        <f t="shared" si="309"/>
        <v>Lower</v>
      </c>
      <c r="N737" s="2" t="str">
        <f t="shared" si="310"/>
        <v>Lower</v>
      </c>
      <c r="O737" s="2" t="str">
        <f t="shared" si="311"/>
        <v>Higher</v>
      </c>
      <c r="P737" s="2" t="str">
        <f t="shared" si="312"/>
        <v>Lower</v>
      </c>
      <c r="X737" s="4">
        <f>DATE(2021,10,4)</f>
        <v>44473</v>
      </c>
      <c r="Y737">
        <v>20.549136652647395</v>
      </c>
      <c r="Z737">
        <v>52.949323876904444</v>
      </c>
      <c r="AA737">
        <v>63.4</v>
      </c>
      <c r="AB737">
        <v>96.824749999999995</v>
      </c>
      <c r="AC737">
        <f t="shared" si="313"/>
        <v>-1.4873072598955336E-2</v>
      </c>
      <c r="AD737">
        <f t="shared" si="313"/>
        <v>0.23893768832458209</v>
      </c>
      <c r="AE737">
        <f t="shared" si="314"/>
        <v>0.25381076092353744</v>
      </c>
      <c r="AF737">
        <f t="shared" si="315"/>
        <v>2.4311441839151859</v>
      </c>
      <c r="AH737">
        <f t="shared" si="316"/>
        <v>1.746230804398087E-2</v>
      </c>
      <c r="AI737" t="str">
        <f t="shared" si="316"/>
        <v/>
      </c>
      <c r="AJ737" t="str">
        <f t="shared" si="317"/>
        <v/>
      </c>
      <c r="AK737" t="str">
        <f t="shared" si="318"/>
        <v/>
      </c>
      <c r="AM737">
        <f t="shared" si="319"/>
        <v>0.19261090409724219</v>
      </c>
      <c r="AN737">
        <f t="shared" si="319"/>
        <v>1.0186766397732221</v>
      </c>
      <c r="AO737">
        <f t="shared" si="320"/>
        <v>0.82606573567597996</v>
      </c>
      <c r="AP737">
        <f t="shared" si="321"/>
        <v>1.984926901056687</v>
      </c>
      <c r="AR737">
        <f t="shared" si="322"/>
        <v>0.64759192611391314</v>
      </c>
      <c r="AS737">
        <f t="shared" si="323"/>
        <v>1.6205999277930327</v>
      </c>
      <c r="AT737">
        <f t="shared" si="324"/>
        <v>0.97300800167911961</v>
      </c>
      <c r="AU737">
        <f t="shared" si="325"/>
        <v>3.7226866611681366</v>
      </c>
    </row>
    <row r="738" spans="1:47" x14ac:dyDescent="0.25">
      <c r="A738" s="4">
        <f>DATE(2021,10,1)</f>
        <v>44470</v>
      </c>
      <c r="B738">
        <v>-5.0382435824310345E-2</v>
      </c>
      <c r="C738">
        <v>55.990544569983868</v>
      </c>
      <c r="D738">
        <v>0.62247775825758511</v>
      </c>
      <c r="E738">
        <f t="shared" si="301"/>
        <v>-0.16128674788603295</v>
      </c>
      <c r="F738">
        <f t="shared" si="302"/>
        <v>-0.39937502540086295</v>
      </c>
      <c r="G738">
        <f t="shared" si="303"/>
        <v>-0.29188538667787328</v>
      </c>
      <c r="H738" s="2" t="str">
        <f t="shared" si="304"/>
        <v>Higher</v>
      </c>
      <c r="I738" s="2" t="str">
        <f t="shared" si="305"/>
        <v>Lower</v>
      </c>
      <c r="J738" s="2" t="str">
        <f t="shared" si="306"/>
        <v>Lower</v>
      </c>
      <c r="K738" s="2" t="str">
        <f t="shared" si="307"/>
        <v>Lower</v>
      </c>
      <c r="L738" s="2" t="str">
        <f t="shared" si="308"/>
        <v>Higher</v>
      </c>
      <c r="M738" s="2" t="str">
        <f t="shared" si="309"/>
        <v>Lower</v>
      </c>
      <c r="N738" s="2" t="str">
        <f t="shared" si="310"/>
        <v>Lower</v>
      </c>
      <c r="O738" s="2" t="str">
        <f t="shared" si="311"/>
        <v>Higher</v>
      </c>
      <c r="P738" s="2" t="str">
        <f t="shared" si="312"/>
        <v>Lower</v>
      </c>
      <c r="X738" s="4">
        <f>DATE(2021,10,1)</f>
        <v>44470</v>
      </c>
      <c r="Y738">
        <v>20.050906844675932</v>
      </c>
      <c r="Z738">
        <v>54.563684067874917</v>
      </c>
      <c r="AA738">
        <v>62.254999999999995</v>
      </c>
      <c r="AB738">
        <v>94.486249999999998</v>
      </c>
      <c r="AC738">
        <f t="shared" si="313"/>
        <v>-3.7676905366144063E-3</v>
      </c>
      <c r="AD738">
        <f t="shared" si="313"/>
        <v>0.30129926257725448</v>
      </c>
      <c r="AE738">
        <f t="shared" si="314"/>
        <v>0.30506695311386889</v>
      </c>
      <c r="AF738">
        <f t="shared" si="315"/>
        <v>3.0240346795446644</v>
      </c>
      <c r="AH738">
        <f t="shared" si="316"/>
        <v>1.1348384214536473E-2</v>
      </c>
      <c r="AI738">
        <f t="shared" si="316"/>
        <v>0.60275478948012762</v>
      </c>
      <c r="AJ738">
        <f t="shared" si="317"/>
        <v>0.59140640526559118</v>
      </c>
      <c r="AK738">
        <f t="shared" si="318"/>
        <v>2.6602215379760108</v>
      </c>
      <c r="AM738">
        <f t="shared" si="319"/>
        <v>0.14429392145897038</v>
      </c>
      <c r="AN738">
        <f t="shared" si="319"/>
        <v>0.95334311135199734</v>
      </c>
      <c r="AO738">
        <f t="shared" si="320"/>
        <v>0.80904918989302699</v>
      </c>
      <c r="AP738">
        <f t="shared" si="321"/>
        <v>1.9503794942664763</v>
      </c>
      <c r="AR738" t="str">
        <f t="shared" si="322"/>
        <v/>
      </c>
      <c r="AS738" t="str">
        <f t="shared" si="323"/>
        <v/>
      </c>
      <c r="AT738" t="str">
        <f t="shared" si="324"/>
        <v/>
      </c>
      <c r="AU738" t="str">
        <f t="shared" si="325"/>
        <v/>
      </c>
    </row>
    <row r="739" spans="1:47" x14ac:dyDescent="0.25">
      <c r="A739" s="4">
        <f>DATE(2021,9,30)</f>
        <v>44469</v>
      </c>
      <c r="B739">
        <v>-1.3576140521291524E-2</v>
      </c>
      <c r="C739">
        <v>54.961873199662506</v>
      </c>
      <c r="D739">
        <v>0.572963081665394</v>
      </c>
      <c r="E739">
        <f t="shared" si="301"/>
        <v>-4.4483198847499433E-2</v>
      </c>
      <c r="F739">
        <f t="shared" si="302"/>
        <v>-0.50112550804338074</v>
      </c>
      <c r="G739">
        <f t="shared" si="303"/>
        <v>-0.47265252247904133</v>
      </c>
      <c r="H739" s="2" t="str">
        <f t="shared" si="304"/>
        <v>Higher</v>
      </c>
      <c r="I739" s="2" t="str">
        <f t="shared" si="305"/>
        <v>Lower</v>
      </c>
      <c r="J739" s="2" t="str">
        <f t="shared" si="306"/>
        <v>Lower</v>
      </c>
      <c r="K739" s="2" t="str">
        <f t="shared" si="307"/>
        <v>Lower</v>
      </c>
      <c r="L739" s="2" t="str">
        <f t="shared" si="308"/>
        <v>Higher</v>
      </c>
      <c r="M739" s="2" t="str">
        <f t="shared" si="309"/>
        <v>Lower</v>
      </c>
      <c r="N739" s="2" t="str">
        <f t="shared" si="310"/>
        <v>Lower</v>
      </c>
      <c r="O739" s="2" t="str">
        <f t="shared" si="311"/>
        <v>Lower</v>
      </c>
      <c r="P739" s="2" t="str">
        <f t="shared" si="312"/>
        <v>Lower</v>
      </c>
      <c r="X739" s="4">
        <f>DATE(2021,9,30)</f>
        <v>44469</v>
      </c>
      <c r="Y739">
        <v>18.770128231747115</v>
      </c>
      <c r="Z739">
        <v>58.350665099923148</v>
      </c>
      <c r="AA739">
        <v>61.674999999999997</v>
      </c>
      <c r="AB739">
        <v>96.625500000000002</v>
      </c>
      <c r="AC739">
        <f t="shared" si="313"/>
        <v>2.184199765680267E-2</v>
      </c>
      <c r="AD739">
        <f t="shared" si="313"/>
        <v>0.32923539278208191</v>
      </c>
      <c r="AE739">
        <f t="shared" si="314"/>
        <v>0.30739339512527925</v>
      </c>
      <c r="AF739">
        <f t="shared" si="315"/>
        <v>3.1035671816282853</v>
      </c>
      <c r="AH739">
        <f t="shared" si="316"/>
        <v>9.6123255593970579E-3</v>
      </c>
      <c r="AI739">
        <f t="shared" si="316"/>
        <v>0.62857179095257643</v>
      </c>
      <c r="AJ739">
        <f t="shared" si="317"/>
        <v>0.61895946539317936</v>
      </c>
      <c r="AK739">
        <f t="shared" si="318"/>
        <v>2.8449244708108408</v>
      </c>
      <c r="AM739">
        <f t="shared" si="319"/>
        <v>0.16670038667334677</v>
      </c>
      <c r="AN739">
        <f t="shared" si="319"/>
        <v>1.0745699961380328</v>
      </c>
      <c r="AO739">
        <f t="shared" si="320"/>
        <v>0.90786960946468609</v>
      </c>
      <c r="AP739">
        <f t="shared" si="321"/>
        <v>2.2647026811414999</v>
      </c>
      <c r="AR739">
        <f t="shared" si="322"/>
        <v>0.65169952043915347</v>
      </c>
      <c r="AS739">
        <f t="shared" si="323"/>
        <v>1.7001068981591352</v>
      </c>
      <c r="AT739">
        <f t="shared" si="324"/>
        <v>1.0484073777199816</v>
      </c>
      <c r="AU739">
        <f t="shared" si="325"/>
        <v>4.1690442431340973</v>
      </c>
    </row>
    <row r="740" spans="1:47" x14ac:dyDescent="0.25">
      <c r="A740" s="4">
        <f>DATE(2021,9,29)</f>
        <v>44468</v>
      </c>
      <c r="B740">
        <v>6.0690544391853951E-2</v>
      </c>
      <c r="C740">
        <v>59.902537578062613</v>
      </c>
      <c r="D740">
        <v>0.79275457420723194</v>
      </c>
      <c r="E740">
        <f t="shared" si="301"/>
        <v>0.19514029408619946</v>
      </c>
      <c r="F740">
        <f t="shared" si="302"/>
        <v>-2.4484568650852967E-2</v>
      </c>
      <c r="G740">
        <f t="shared" si="303"/>
        <v>0.3214893725238897</v>
      </c>
      <c r="H740" s="2" t="str">
        <f t="shared" si="304"/>
        <v>Higher</v>
      </c>
      <c r="I740" s="2" t="str">
        <f t="shared" si="305"/>
        <v>Lower</v>
      </c>
      <c r="J740" s="2" t="str">
        <f t="shared" si="306"/>
        <v>Lower</v>
      </c>
      <c r="K740" s="2" t="str">
        <f t="shared" si="307"/>
        <v>Lower</v>
      </c>
      <c r="L740" s="2" t="str">
        <f t="shared" si="308"/>
        <v>Higher</v>
      </c>
      <c r="M740" s="2" t="str">
        <f t="shared" si="309"/>
        <v>Lower</v>
      </c>
      <c r="N740" s="2" t="str">
        <f t="shared" si="310"/>
        <v>Lower</v>
      </c>
      <c r="O740" s="2" t="str">
        <f t="shared" si="311"/>
        <v>Lower</v>
      </c>
      <c r="P740" s="2" t="str">
        <f t="shared" si="312"/>
        <v>Lower</v>
      </c>
      <c r="X740" s="4">
        <f>DATE(2021,9,29)</f>
        <v>44468</v>
      </c>
      <c r="Y740">
        <v>20.493136173853589</v>
      </c>
      <c r="Z740">
        <v>50.76255665772009</v>
      </c>
      <c r="AA740">
        <v>62.575000000000003</v>
      </c>
      <c r="AB740">
        <v>86.58175</v>
      </c>
      <c r="AC740">
        <f t="shared" si="313"/>
        <v>3.4714699913299223E-2</v>
      </c>
      <c r="AD740">
        <f t="shared" si="313"/>
        <v>0.19151748667850171</v>
      </c>
      <c r="AE740">
        <f t="shared" si="314"/>
        <v>0.15680278676520248</v>
      </c>
      <c r="AF740">
        <f t="shared" si="315"/>
        <v>1.4540980153687744</v>
      </c>
      <c r="AH740">
        <f t="shared" si="316"/>
        <v>3.4797430006417648E-2</v>
      </c>
      <c r="AI740">
        <f t="shared" si="316"/>
        <v>0.53435479203593761</v>
      </c>
      <c r="AJ740">
        <f t="shared" si="317"/>
        <v>0.49955736202951995</v>
      </c>
      <c r="AK740">
        <f t="shared" si="318"/>
        <v>2.2452475915515486</v>
      </c>
      <c r="AM740">
        <f t="shared" si="319"/>
        <v>0.1631536635772694</v>
      </c>
      <c r="AN740">
        <f t="shared" si="319"/>
        <v>0.95520138156009982</v>
      </c>
      <c r="AO740">
        <f t="shared" si="320"/>
        <v>0.79204771798283047</v>
      </c>
      <c r="AP740">
        <f t="shared" si="321"/>
        <v>1.9369067200286811</v>
      </c>
      <c r="AR740">
        <f t="shared" si="322"/>
        <v>0.67989144016584302</v>
      </c>
      <c r="AS740">
        <f t="shared" si="323"/>
        <v>1.5966050673857397</v>
      </c>
      <c r="AT740">
        <f t="shared" si="324"/>
        <v>0.91671362721989669</v>
      </c>
      <c r="AU740">
        <f t="shared" si="325"/>
        <v>3.6935664031587963</v>
      </c>
    </row>
    <row r="741" spans="1:47" x14ac:dyDescent="0.25">
      <c r="A741" s="4">
        <f>DATE(2021,9,28)</f>
        <v>44467</v>
      </c>
      <c r="B741">
        <v>4.1844491691223284E-2</v>
      </c>
      <c r="C741">
        <v>56.870924481508098</v>
      </c>
      <c r="D741">
        <v>0.63838523847840778</v>
      </c>
      <c r="E741">
        <f t="shared" si="301"/>
        <v>0.14002934191453895</v>
      </c>
      <c r="F741">
        <f t="shared" si="302"/>
        <v>-0.31952382937314111</v>
      </c>
      <c r="G741">
        <f t="shared" si="303"/>
        <v>-0.23651672062785137</v>
      </c>
      <c r="H741" s="2" t="str">
        <f t="shared" si="304"/>
        <v>Higher</v>
      </c>
      <c r="I741" s="2" t="str">
        <f t="shared" si="305"/>
        <v>Lower</v>
      </c>
      <c r="J741" s="2" t="str">
        <f t="shared" si="306"/>
        <v>Lower</v>
      </c>
      <c r="K741" s="2" t="str">
        <f t="shared" si="307"/>
        <v>Lower</v>
      </c>
      <c r="L741" s="2" t="str">
        <f t="shared" si="308"/>
        <v>Higher</v>
      </c>
      <c r="M741" s="2" t="str">
        <f t="shared" si="309"/>
        <v>Lower</v>
      </c>
      <c r="N741" s="2" t="str">
        <f t="shared" si="310"/>
        <v>Lower</v>
      </c>
      <c r="O741" s="2" t="str">
        <f t="shared" si="311"/>
        <v>Lower</v>
      </c>
      <c r="P741" s="2" t="str">
        <f t="shared" si="312"/>
        <v>Lower</v>
      </c>
      <c r="X741" s="4">
        <f>DATE(2021,9,28)</f>
        <v>44467</v>
      </c>
      <c r="Y741">
        <v>21.813104574894798</v>
      </c>
      <c r="Z741">
        <v>53.565468123139581</v>
      </c>
      <c r="AA741">
        <v>62.81</v>
      </c>
      <c r="AB741">
        <v>79.961250000000007</v>
      </c>
      <c r="AC741">
        <f t="shared" si="313"/>
        <v>3.9249371420954804E-2</v>
      </c>
      <c r="AD741">
        <f t="shared" si="313"/>
        <v>8.4532284271615798E-2</v>
      </c>
      <c r="AE741">
        <f t="shared" si="314"/>
        <v>4.5282912850660995E-2</v>
      </c>
      <c r="AF741">
        <f t="shared" si="315"/>
        <v>0.19477647379904417</v>
      </c>
      <c r="AH741">
        <f t="shared" si="316"/>
        <v>3.5943173426453173E-2</v>
      </c>
      <c r="AI741">
        <f t="shared" si="316"/>
        <v>0.47089007620626966</v>
      </c>
      <c r="AJ741">
        <f t="shared" si="317"/>
        <v>0.43494690277981651</v>
      </c>
      <c r="AK741">
        <f t="shared" si="318"/>
        <v>1.9168419068870581</v>
      </c>
      <c r="AM741">
        <f t="shared" si="319"/>
        <v>0.13939383627685636</v>
      </c>
      <c r="AN741">
        <f t="shared" si="319"/>
        <v>0.82866140790085974</v>
      </c>
      <c r="AO741">
        <f t="shared" si="320"/>
        <v>0.68926757162400332</v>
      </c>
      <c r="AP741">
        <f t="shared" si="321"/>
        <v>1.6382686648687943</v>
      </c>
      <c r="AR741">
        <f t="shared" si="322"/>
        <v>0.70532096537561861</v>
      </c>
      <c r="AS741">
        <f t="shared" si="323"/>
        <v>1.5165594200223926</v>
      </c>
      <c r="AT741">
        <f t="shared" si="324"/>
        <v>0.81123845464677402</v>
      </c>
      <c r="AU741">
        <f t="shared" si="325"/>
        <v>3.2651495522653207</v>
      </c>
    </row>
    <row r="742" spans="1:47" x14ac:dyDescent="0.25">
      <c r="A742" s="4">
        <f>DATE(2021,9,27)</f>
        <v>44466</v>
      </c>
      <c r="B742">
        <v>9.0057112615413715E-2</v>
      </c>
      <c r="C742">
        <v>69.284763359215333</v>
      </c>
      <c r="D742">
        <v>1.1294058547872856</v>
      </c>
      <c r="E742">
        <f t="shared" si="301"/>
        <v>0.29894254817254978</v>
      </c>
      <c r="F742">
        <f t="shared" si="302"/>
        <v>0.88739507777028559</v>
      </c>
      <c r="G742">
        <f t="shared" si="303"/>
        <v>1.546275846052273</v>
      </c>
      <c r="H742" s="2" t="str">
        <f t="shared" si="304"/>
        <v>Higher</v>
      </c>
      <c r="I742" s="2" t="str">
        <f t="shared" si="305"/>
        <v>Lower</v>
      </c>
      <c r="J742" s="2" t="str">
        <f t="shared" si="306"/>
        <v>Lower</v>
      </c>
      <c r="K742" s="2" t="str">
        <f t="shared" si="307"/>
        <v>Lower</v>
      </c>
      <c r="L742" s="2" t="str">
        <f t="shared" si="308"/>
        <v>Higher</v>
      </c>
      <c r="M742" s="2" t="str">
        <f t="shared" si="309"/>
        <v>Lower</v>
      </c>
      <c r="N742" s="2" t="str">
        <f t="shared" si="310"/>
        <v>Lower</v>
      </c>
      <c r="O742" s="2" t="str">
        <f t="shared" si="311"/>
        <v>Lower</v>
      </c>
      <c r="P742" s="2" t="str">
        <f t="shared" si="312"/>
        <v>Lower</v>
      </c>
      <c r="X742" s="4">
        <f>DATE(2021,9,27)</f>
        <v>44466</v>
      </c>
      <c r="Y742">
        <v>25.162921715569858</v>
      </c>
      <c r="Z742">
        <v>47.930689755251194</v>
      </c>
      <c r="AA742">
        <v>64.349999999999994</v>
      </c>
      <c r="AB742">
        <v>76.246000000000009</v>
      </c>
      <c r="AC742">
        <f t="shared" si="313"/>
        <v>6.6207875402343228E-2</v>
      </c>
      <c r="AD742">
        <f t="shared" si="313"/>
        <v>4.4399749272407883E-2</v>
      </c>
      <c r="AE742">
        <f t="shared" si="314"/>
        <v>-2.1808126129935344E-2</v>
      </c>
      <c r="AF742">
        <f t="shared" si="315"/>
        <v>-0.565714595243754</v>
      </c>
      <c r="AH742">
        <f t="shared" si="316"/>
        <v>6.0042040966866952E-2</v>
      </c>
      <c r="AI742">
        <f t="shared" si="316"/>
        <v>0.43332145129833721</v>
      </c>
      <c r="AJ742">
        <f t="shared" si="317"/>
        <v>0.37327941033147027</v>
      </c>
      <c r="AK742">
        <f t="shared" si="318"/>
        <v>1.5946842306920732</v>
      </c>
      <c r="AM742">
        <f t="shared" si="319"/>
        <v>0.10583546223526526</v>
      </c>
      <c r="AN742" t="str">
        <f t="shared" si="319"/>
        <v/>
      </c>
      <c r="AO742" t="str">
        <f t="shared" si="320"/>
        <v/>
      </c>
      <c r="AP742" t="str">
        <f t="shared" si="321"/>
        <v/>
      </c>
      <c r="AR742">
        <f t="shared" si="322"/>
        <v>0.74284684911221766</v>
      </c>
      <c r="AS742">
        <f t="shared" si="323"/>
        <v>1.520204299570781</v>
      </c>
      <c r="AT742">
        <f t="shared" si="324"/>
        <v>0.7773574504585633</v>
      </c>
      <c r="AU742">
        <f t="shared" si="325"/>
        <v>3.145752595443974</v>
      </c>
    </row>
    <row r="743" spans="1:47" x14ac:dyDescent="0.25">
      <c r="A743" s="4">
        <f>DATE(2021,9,24)</f>
        <v>44463</v>
      </c>
      <c r="B743">
        <v>-0.10582174126814237</v>
      </c>
      <c r="C743">
        <v>65.163554731934198</v>
      </c>
      <c r="D743">
        <v>0.97132953831929303</v>
      </c>
      <c r="E743">
        <f t="shared" si="301"/>
        <v>-0.31679331352753443</v>
      </c>
      <c r="F743">
        <f t="shared" si="302"/>
        <v>0.49692218307465519</v>
      </c>
      <c r="G743">
        <f t="shared" si="303"/>
        <v>0.9956209850679264</v>
      </c>
      <c r="H743" s="2" t="str">
        <f t="shared" si="304"/>
        <v>Higher</v>
      </c>
      <c r="I743" s="2" t="str">
        <f t="shared" si="305"/>
        <v>Lower</v>
      </c>
      <c r="J743" s="2" t="str">
        <f t="shared" si="306"/>
        <v>Lower</v>
      </c>
      <c r="K743" s="2" t="str">
        <f t="shared" si="307"/>
        <v>Lower</v>
      </c>
      <c r="L743" s="2" t="str">
        <f t="shared" si="308"/>
        <v>Higher</v>
      </c>
      <c r="M743" s="2" t="str">
        <f t="shared" si="309"/>
        <v>Lower</v>
      </c>
      <c r="N743" s="2" t="str">
        <f t="shared" si="310"/>
        <v>Higher</v>
      </c>
      <c r="O743" s="2" t="str">
        <f t="shared" si="311"/>
        <v>Lower</v>
      </c>
      <c r="P743" s="2" t="str">
        <f t="shared" si="312"/>
        <v>Lower</v>
      </c>
      <c r="X743" s="4">
        <f>DATE(2021,9,24)</f>
        <v>44463</v>
      </c>
      <c r="Y743">
        <v>23.800913979435894</v>
      </c>
      <c r="Z743">
        <v>42.467946176377794</v>
      </c>
      <c r="AA743">
        <v>62.489999999999995</v>
      </c>
      <c r="AB743">
        <v>69.90625</v>
      </c>
      <c r="AC743">
        <f t="shared" si="313"/>
        <v>4.8274214721031113E-2</v>
      </c>
      <c r="AD743">
        <f t="shared" si="313"/>
        <v>7.3418000136352121E-2</v>
      </c>
      <c r="AE743">
        <f t="shared" si="314"/>
        <v>2.5143785415321009E-2</v>
      </c>
      <c r="AF743">
        <f t="shared" si="315"/>
        <v>-3.51138877290256E-2</v>
      </c>
      <c r="AH743">
        <f t="shared" si="316"/>
        <v>6.2481641858815155E-2</v>
      </c>
      <c r="AI743">
        <f t="shared" si="316"/>
        <v>0.38000390405779472</v>
      </c>
      <c r="AJ743">
        <f t="shared" si="317"/>
        <v>0.31752226219897955</v>
      </c>
      <c r="AK743">
        <f t="shared" si="318"/>
        <v>1.298243392993164</v>
      </c>
      <c r="AM743">
        <f t="shared" si="319"/>
        <v>8.2743449598398244E-2</v>
      </c>
      <c r="AN743">
        <f t="shared" si="319"/>
        <v>0.66746984847727731</v>
      </c>
      <c r="AO743">
        <f t="shared" si="320"/>
        <v>0.58472639887887912</v>
      </c>
      <c r="AP743">
        <f t="shared" si="321"/>
        <v>1.3259313999237687</v>
      </c>
      <c r="AR743">
        <f t="shared" si="322"/>
        <v>0.69314718055994518</v>
      </c>
      <c r="AS743">
        <f t="shared" si="323"/>
        <v>1.483433660217732</v>
      </c>
      <c r="AT743">
        <f t="shared" si="324"/>
        <v>0.79028647965778687</v>
      </c>
      <c r="AU743">
        <f t="shared" si="325"/>
        <v>3.2513003111117791</v>
      </c>
    </row>
    <row r="744" spans="1:47" x14ac:dyDescent="0.25">
      <c r="A744" s="4">
        <f>DATE(2021,9,23)</f>
        <v>44462</v>
      </c>
      <c r="B744">
        <v>-0.27937287575755265</v>
      </c>
      <c r="C744">
        <v>55.95300231252908</v>
      </c>
      <c r="D744">
        <v>0.44336739138852016</v>
      </c>
      <c r="E744">
        <f t="shared" si="301"/>
        <v>-0.8646684871403697</v>
      </c>
      <c r="F744">
        <f t="shared" si="302"/>
        <v>-0.39559227214047482</v>
      </c>
      <c r="G744">
        <f t="shared" si="303"/>
        <v>-0.93276050489146523</v>
      </c>
      <c r="H744" s="2" t="str">
        <f t="shared" si="304"/>
        <v>Higher</v>
      </c>
      <c r="I744" s="2" t="str">
        <f t="shared" si="305"/>
        <v>Lower</v>
      </c>
      <c r="J744" s="2" t="str">
        <f t="shared" si="306"/>
        <v>Lower</v>
      </c>
      <c r="K744" s="2" t="str">
        <f t="shared" si="307"/>
        <v>Lower</v>
      </c>
      <c r="L744" s="2" t="str">
        <f t="shared" si="308"/>
        <v>Lower</v>
      </c>
      <c r="M744" s="2" t="str">
        <f t="shared" si="309"/>
        <v>Lower</v>
      </c>
      <c r="N744" s="2" t="str">
        <f t="shared" si="310"/>
        <v>Lower</v>
      </c>
      <c r="O744" s="2" t="str">
        <f t="shared" si="311"/>
        <v>Lower</v>
      </c>
      <c r="P744" s="2" t="str">
        <f t="shared" si="312"/>
        <v>Lower</v>
      </c>
      <c r="X744" s="4">
        <f>DATE(2021,9,23)</f>
        <v>44462</v>
      </c>
      <c r="Y744">
        <v>15.754652708386041</v>
      </c>
      <c r="Z744">
        <v>44.218756892989205</v>
      </c>
      <c r="AA744">
        <v>60.342500000000001</v>
      </c>
      <c r="AB744">
        <v>69.519499999999994</v>
      </c>
      <c r="AC744">
        <f t="shared" si="313"/>
        <v>1.5027206014197134E-2</v>
      </c>
      <c r="AD744">
        <f t="shared" si="313"/>
        <v>8.3517488712711488E-2</v>
      </c>
      <c r="AE744">
        <f t="shared" si="314"/>
        <v>6.8490282698514357E-2</v>
      </c>
      <c r="AF744">
        <f t="shared" si="315"/>
        <v>0.45492698517181573</v>
      </c>
      <c r="AH744">
        <f t="shared" si="316"/>
        <v>6.1557235377912231E-2</v>
      </c>
      <c r="AI744">
        <f t="shared" si="316"/>
        <v>0.42597955162818379</v>
      </c>
      <c r="AJ744">
        <f t="shared" si="317"/>
        <v>0.36442231625027155</v>
      </c>
      <c r="AK744">
        <f t="shared" si="318"/>
        <v>1.5613198588348645</v>
      </c>
      <c r="AM744">
        <f t="shared" si="319"/>
        <v>4.5993399310042628E-2</v>
      </c>
      <c r="AN744">
        <f t="shared" si="319"/>
        <v>0.65330121582347644</v>
      </c>
      <c r="AO744">
        <f t="shared" si="320"/>
        <v>0.6073078165134338</v>
      </c>
      <c r="AP744">
        <f t="shared" si="321"/>
        <v>1.4007108260161603</v>
      </c>
      <c r="AR744">
        <f t="shared" si="322"/>
        <v>0.63578623973488524</v>
      </c>
      <c r="AS744">
        <f t="shared" si="323"/>
        <v>1.4673792858715855</v>
      </c>
      <c r="AT744">
        <f t="shared" si="324"/>
        <v>0.83159304613670026</v>
      </c>
      <c r="AU744">
        <f t="shared" si="325"/>
        <v>3.5095881915914173</v>
      </c>
    </row>
    <row r="745" spans="1:47" x14ac:dyDescent="0.25">
      <c r="A745" s="4">
        <f>DATE(2021,9,22)</f>
        <v>44461</v>
      </c>
      <c r="B745">
        <v>-0.30440783464365517</v>
      </c>
      <c r="C745">
        <v>56.29847194907218</v>
      </c>
      <c r="D745">
        <v>0.50215355941183448</v>
      </c>
      <c r="E745">
        <f t="shared" si="301"/>
        <v>-0.94683047733506054</v>
      </c>
      <c r="F745">
        <f t="shared" si="302"/>
        <v>-0.35716459329291328</v>
      </c>
      <c r="G745">
        <f t="shared" si="303"/>
        <v>-0.71798668009629518</v>
      </c>
      <c r="H745" s="2" t="str">
        <f t="shared" si="304"/>
        <v>Higher</v>
      </c>
      <c r="I745" s="2" t="str">
        <f t="shared" si="305"/>
        <v>Lower</v>
      </c>
      <c r="J745" s="2" t="str">
        <f t="shared" si="306"/>
        <v>Lower</v>
      </c>
      <c r="K745" s="2" t="str">
        <f t="shared" si="307"/>
        <v>Lower</v>
      </c>
      <c r="L745" s="2" t="str">
        <f t="shared" si="308"/>
        <v>Lower</v>
      </c>
      <c r="M745" s="2" t="str">
        <f t="shared" si="309"/>
        <v>Lower</v>
      </c>
      <c r="N745" s="2" t="str">
        <f t="shared" si="310"/>
        <v>Higher</v>
      </c>
      <c r="O745" s="2" t="str">
        <f t="shared" si="311"/>
        <v>Lower</v>
      </c>
      <c r="P745" s="2" t="str">
        <f t="shared" si="312"/>
        <v>Lower</v>
      </c>
      <c r="X745" s="4">
        <f>DATE(2021,9,22)</f>
        <v>44461</v>
      </c>
      <c r="Y745">
        <v>17.053899942398402</v>
      </c>
      <c r="Z745">
        <v>47.238237075534236</v>
      </c>
      <c r="AA745">
        <v>60.44</v>
      </c>
      <c r="AB745">
        <v>71.490999999999985</v>
      </c>
      <c r="AC745">
        <f t="shared" si="313"/>
        <v>7.7233286787804023E-3</v>
      </c>
      <c r="AD745">
        <f t="shared" si="313"/>
        <v>-8.5310191507419961E-3</v>
      </c>
      <c r="AE745">
        <f t="shared" si="314"/>
        <v>-1.6254347829522398E-2</v>
      </c>
      <c r="AF745">
        <f t="shared" si="315"/>
        <v>-0.50099131663087648</v>
      </c>
      <c r="AH745">
        <f t="shared" si="316"/>
        <v>6.7366252443437524E-2</v>
      </c>
      <c r="AI745">
        <f t="shared" si="316"/>
        <v>0.45474802560026129</v>
      </c>
      <c r="AJ745">
        <f t="shared" si="317"/>
        <v>0.38738177315682376</v>
      </c>
      <c r="AK745">
        <f t="shared" si="318"/>
        <v>1.6965842492907977</v>
      </c>
      <c r="AM745">
        <f t="shared" si="319"/>
        <v>7.3446377686983227E-2</v>
      </c>
      <c r="AN745">
        <f t="shared" si="319"/>
        <v>0.72927188141700239</v>
      </c>
      <c r="AO745">
        <f t="shared" si="320"/>
        <v>0.65582550373001913</v>
      </c>
      <c r="AP745">
        <f t="shared" si="321"/>
        <v>1.5561704962683192</v>
      </c>
      <c r="AR745">
        <f t="shared" si="322"/>
        <v>0.63998600897529367</v>
      </c>
      <c r="AS745">
        <f t="shared" si="323"/>
        <v>1.4651511427293713</v>
      </c>
      <c r="AT745">
        <f t="shared" si="324"/>
        <v>0.82516513375407763</v>
      </c>
      <c r="AU745">
        <f t="shared" si="325"/>
        <v>3.546907534609137</v>
      </c>
    </row>
    <row r="746" spans="1:47" x14ac:dyDescent="0.25">
      <c r="A746" s="4">
        <f>DATE(2021,9,21)</f>
        <v>44460</v>
      </c>
      <c r="B746">
        <v>-0.34188634587699229</v>
      </c>
      <c r="C746">
        <v>54.380031104822635</v>
      </c>
      <c r="D746">
        <v>0.46476923562429068</v>
      </c>
      <c r="E746">
        <f t="shared" si="301"/>
        <v>-1.0750192021874752</v>
      </c>
      <c r="F746">
        <f t="shared" si="302"/>
        <v>-0.54494471740593353</v>
      </c>
      <c r="G746">
        <f t="shared" si="303"/>
        <v>-0.86115534399447979</v>
      </c>
      <c r="H746" s="2" t="str">
        <f t="shared" si="304"/>
        <v>Higher</v>
      </c>
      <c r="I746" s="2" t="str">
        <f t="shared" si="305"/>
        <v>Lower</v>
      </c>
      <c r="J746" s="2" t="str">
        <f t="shared" si="306"/>
        <v>Lower</v>
      </c>
      <c r="K746" s="2" t="str">
        <f t="shared" si="307"/>
        <v>Lower</v>
      </c>
      <c r="L746" s="2" t="str">
        <f t="shared" si="308"/>
        <v>Higher</v>
      </c>
      <c r="M746" s="2" t="str">
        <f t="shared" si="309"/>
        <v>Lower</v>
      </c>
      <c r="N746" s="2" t="str">
        <f t="shared" si="310"/>
        <v>Higher</v>
      </c>
      <c r="O746" s="2" t="str">
        <f t="shared" si="311"/>
        <v>Lower</v>
      </c>
      <c r="P746" s="2" t="str">
        <f t="shared" si="312"/>
        <v>Lower</v>
      </c>
      <c r="X746" s="4">
        <f>DATE(2021,9,21)</f>
        <v>44460</v>
      </c>
      <c r="Y746">
        <v>17.680855076625935</v>
      </c>
      <c r="Z746">
        <v>50.589336222694534</v>
      </c>
      <c r="AA746">
        <v>60.392499999999998</v>
      </c>
      <c r="AB746">
        <v>73.479749999999996</v>
      </c>
      <c r="AC746">
        <f t="shared" si="313"/>
        <v>2.528341553696729E-3</v>
      </c>
      <c r="AD746">
        <f t="shared" si="313"/>
        <v>0.11315599957602879</v>
      </c>
      <c r="AE746">
        <f t="shared" si="314"/>
        <v>0.11062765802233206</v>
      </c>
      <c r="AF746">
        <f t="shared" si="315"/>
        <v>0.9286188394551943</v>
      </c>
      <c r="AH746">
        <f t="shared" si="316"/>
        <v>6.9238319971356488E-2</v>
      </c>
      <c r="AI746">
        <f t="shared" si="316"/>
        <v>0.49907982993039091</v>
      </c>
      <c r="AJ746">
        <f t="shared" si="317"/>
        <v>0.42984150995903442</v>
      </c>
      <c r="AK746">
        <f t="shared" si="318"/>
        <v>1.9421110686437066</v>
      </c>
      <c r="AM746">
        <f t="shared" si="319"/>
        <v>8.1872698619946102E-2</v>
      </c>
      <c r="AN746">
        <f t="shared" si="319"/>
        <v>0.78806481224232072</v>
      </c>
      <c r="AO746">
        <f t="shared" si="320"/>
        <v>0.70619211362237466</v>
      </c>
      <c r="AP746">
        <f t="shared" si="321"/>
        <v>1.7198379228542127</v>
      </c>
      <c r="AR746">
        <f t="shared" si="322"/>
        <v>0.63763215246372662</v>
      </c>
      <c r="AS746">
        <f t="shared" si="323"/>
        <v>1.458296958432546</v>
      </c>
      <c r="AT746">
        <f t="shared" si="324"/>
        <v>0.82066480596881941</v>
      </c>
      <c r="AU746">
        <f t="shared" si="325"/>
        <v>3.5969808702470063</v>
      </c>
    </row>
    <row r="747" spans="1:47" x14ac:dyDescent="0.25">
      <c r="A747" s="4">
        <f>DATE(2021,9,20)</f>
        <v>44459</v>
      </c>
      <c r="B747">
        <v>-0.34628022799270552</v>
      </c>
      <c r="C747">
        <v>57.132360488134495</v>
      </c>
      <c r="D747">
        <v>0.56546406316080522</v>
      </c>
      <c r="E747">
        <f t="shared" si="301"/>
        <v>-1.1023950203519797</v>
      </c>
      <c r="F747">
        <f t="shared" si="302"/>
        <v>-0.27878623776549899</v>
      </c>
      <c r="G747">
        <f t="shared" si="303"/>
        <v>-0.49604747133263227</v>
      </c>
      <c r="H747" s="2" t="str">
        <f t="shared" si="304"/>
        <v>Higher</v>
      </c>
      <c r="I747" s="2" t="str">
        <f t="shared" si="305"/>
        <v>Lower</v>
      </c>
      <c r="J747" s="2" t="str">
        <f t="shared" si="306"/>
        <v>Lower</v>
      </c>
      <c r="K747" s="2" t="str">
        <f t="shared" si="307"/>
        <v>Lower</v>
      </c>
      <c r="L747" s="2" t="str">
        <f t="shared" si="308"/>
        <v>Higher</v>
      </c>
      <c r="M747" s="2" t="str">
        <f t="shared" si="309"/>
        <v>Lower</v>
      </c>
      <c r="N747" s="2" t="str">
        <f t="shared" si="310"/>
        <v>Higher</v>
      </c>
      <c r="O747" s="2" t="str">
        <f t="shared" si="311"/>
        <v>Lower</v>
      </c>
      <c r="P747" s="2" t="str">
        <f t="shared" si="312"/>
        <v>Lower</v>
      </c>
      <c r="X747" s="4">
        <f>DATE(2021,9,20)</f>
        <v>44459</v>
      </c>
      <c r="Y747">
        <v>17.388609151139971</v>
      </c>
      <c r="Z747">
        <v>54.365557141233559</v>
      </c>
      <c r="AA747">
        <v>60.227499999999999</v>
      </c>
      <c r="AB747">
        <v>72.934749999999994</v>
      </c>
      <c r="AC747">
        <f t="shared" si="313"/>
        <v>-1.9647158898481256E-2</v>
      </c>
      <c r="AD747">
        <f t="shared" si="313"/>
        <v>0.17804401022997959</v>
      </c>
      <c r="AE747">
        <f t="shared" si="314"/>
        <v>0.19769116912846085</v>
      </c>
      <c r="AF747">
        <f t="shared" si="315"/>
        <v>1.9127397919143163</v>
      </c>
      <c r="AH747">
        <f t="shared" si="316"/>
        <v>8.531094317675178E-2</v>
      </c>
      <c r="AI747">
        <f t="shared" si="316"/>
        <v>0.55484636537672294</v>
      </c>
      <c r="AJ747">
        <f t="shared" si="317"/>
        <v>0.46953542219997113</v>
      </c>
      <c r="AK747">
        <f t="shared" si="318"/>
        <v>2.1783678904084276</v>
      </c>
      <c r="AM747">
        <f t="shared" si="319"/>
        <v>8.391054089697661E-2</v>
      </c>
      <c r="AN747">
        <f t="shared" si="319"/>
        <v>0.8183132942102036</v>
      </c>
      <c r="AO747">
        <f t="shared" si="320"/>
        <v>0.73440275331322702</v>
      </c>
      <c r="AP747">
        <f t="shared" si="321"/>
        <v>1.8184178294352449</v>
      </c>
      <c r="AR747">
        <f t="shared" si="322"/>
        <v>0.66899230828839551</v>
      </c>
      <c r="AS747">
        <f t="shared" si="323"/>
        <v>1.4773802399884797</v>
      </c>
      <c r="AT747">
        <f t="shared" si="324"/>
        <v>0.80838793170008416</v>
      </c>
      <c r="AU747">
        <f t="shared" si="325"/>
        <v>3.6095235317067869</v>
      </c>
    </row>
    <row r="748" spans="1:47" x14ac:dyDescent="0.25">
      <c r="A748" s="4">
        <f>DATE(2021,9,17)</f>
        <v>44456</v>
      </c>
      <c r="B748">
        <v>-0.39650930967706732</v>
      </c>
      <c r="C748">
        <v>51.917453713404946</v>
      </c>
      <c r="D748">
        <v>0.44444500355366856</v>
      </c>
      <c r="E748">
        <f t="shared" si="301"/>
        <v>-1.2802175309622077</v>
      </c>
      <c r="F748">
        <f t="shared" si="302"/>
        <v>-0.79254347362650268</v>
      </c>
      <c r="G748">
        <f t="shared" si="303"/>
        <v>-0.95107502645015252</v>
      </c>
      <c r="H748" s="2" t="str">
        <f t="shared" si="304"/>
        <v>Higher</v>
      </c>
      <c r="I748" s="2" t="str">
        <f t="shared" si="305"/>
        <v>Lower</v>
      </c>
      <c r="J748" s="2" t="str">
        <f t="shared" si="306"/>
        <v>Lower</v>
      </c>
      <c r="K748" s="2" t="str">
        <f t="shared" si="307"/>
        <v>Lower</v>
      </c>
      <c r="L748" s="2" t="str">
        <f t="shared" si="308"/>
        <v>Higher</v>
      </c>
      <c r="M748" s="2" t="str">
        <f t="shared" si="309"/>
        <v>Lower</v>
      </c>
      <c r="N748" s="2" t="str">
        <f t="shared" si="310"/>
        <v>Higher</v>
      </c>
      <c r="O748" s="2" t="str">
        <f t="shared" si="311"/>
        <v>Lower</v>
      </c>
      <c r="P748" s="2" t="str">
        <f t="shared" si="312"/>
        <v>Lower</v>
      </c>
      <c r="X748" s="4">
        <f>DATE(2021,9,17)</f>
        <v>44456</v>
      </c>
      <c r="Y748">
        <v>15.790059362202197</v>
      </c>
      <c r="Z748">
        <v>48.130199404191842</v>
      </c>
      <c r="AA748">
        <v>59.545000000000002</v>
      </c>
      <c r="AB748">
        <v>64.957750000000004</v>
      </c>
      <c r="AC748">
        <f t="shared" si="313"/>
        <v>-3.0636788491816027E-2</v>
      </c>
      <c r="AD748">
        <f t="shared" si="313"/>
        <v>0.12368404446507525</v>
      </c>
      <c r="AE748">
        <f t="shared" si="314"/>
        <v>0.15432083295689128</v>
      </c>
      <c r="AF748">
        <f t="shared" si="315"/>
        <v>1.4370248529472964</v>
      </c>
      <c r="AH748">
        <f t="shared" si="316"/>
        <v>9.2714676239185584E-2</v>
      </c>
      <c r="AI748">
        <f t="shared" si="316"/>
        <v>0.43956760633035158</v>
      </c>
      <c r="AJ748">
        <f t="shared" si="317"/>
        <v>0.34685293009116602</v>
      </c>
      <c r="AK748">
        <f t="shared" si="318"/>
        <v>1.5152412479416058</v>
      </c>
      <c r="AM748">
        <f t="shared" si="319"/>
        <v>7.5859959749644129E-2</v>
      </c>
      <c r="AN748">
        <f t="shared" si="319"/>
        <v>0.69928921515230269</v>
      </c>
      <c r="AO748">
        <f t="shared" si="320"/>
        <v>0.62342925540265859</v>
      </c>
      <c r="AP748">
        <f t="shared" si="321"/>
        <v>1.4876537978262616</v>
      </c>
      <c r="AR748">
        <f t="shared" si="322"/>
        <v>0.6637734557762911</v>
      </c>
      <c r="AS748">
        <f t="shared" si="323"/>
        <v>1.4140436243000023</v>
      </c>
      <c r="AT748">
        <f t="shared" si="324"/>
        <v>0.7502701685237112</v>
      </c>
      <c r="AU748">
        <f t="shared" si="325"/>
        <v>3.3712324653403223</v>
      </c>
    </row>
    <row r="749" spans="1:47" x14ac:dyDescent="0.25">
      <c r="A749" s="4">
        <f>DATE(2021,9,16)</f>
        <v>44455</v>
      </c>
      <c r="B749">
        <v>-0.34179858367174409</v>
      </c>
      <c r="C749">
        <v>51.135404624389267</v>
      </c>
      <c r="D749">
        <v>0.46082317565831887</v>
      </c>
      <c r="E749">
        <f t="shared" si="301"/>
        <v>-1.1238909788957661</v>
      </c>
      <c r="F749">
        <f t="shared" si="302"/>
        <v>-0.87820249361826053</v>
      </c>
      <c r="G749">
        <f t="shared" si="303"/>
        <v>-0.90241881485544351</v>
      </c>
      <c r="H749" s="2" t="str">
        <f t="shared" si="304"/>
        <v>Higher</v>
      </c>
      <c r="I749" s="2" t="str">
        <f t="shared" si="305"/>
        <v>Lower</v>
      </c>
      <c r="J749" s="2" t="str">
        <f t="shared" si="306"/>
        <v>Lower</v>
      </c>
      <c r="K749" s="2" t="str">
        <f t="shared" si="307"/>
        <v>Lower</v>
      </c>
      <c r="L749" s="2" t="str">
        <f t="shared" si="308"/>
        <v>Higher</v>
      </c>
      <c r="M749" s="2" t="str">
        <f t="shared" si="309"/>
        <v>Lower</v>
      </c>
      <c r="N749" s="2" t="str">
        <f t="shared" si="310"/>
        <v>Higher</v>
      </c>
      <c r="O749" s="2" t="str">
        <f t="shared" si="311"/>
        <v>Lower</v>
      </c>
      <c r="P749" s="2" t="str">
        <f t="shared" si="312"/>
        <v>Lower</v>
      </c>
      <c r="X749" s="4">
        <f>DATE(2021,9,16)</f>
        <v>44455</v>
      </c>
      <c r="Y749">
        <v>16.500898072983841</v>
      </c>
      <c r="Z749">
        <v>52.049765505027054</v>
      </c>
      <c r="AA749">
        <v>59.442500000000003</v>
      </c>
      <c r="AB749">
        <v>63.949249999999992</v>
      </c>
      <c r="AC749">
        <f t="shared" si="313"/>
        <v>-5.2155100660608342E-2</v>
      </c>
      <c r="AD749">
        <f t="shared" si="313"/>
        <v>0.12774168368624775</v>
      </c>
      <c r="AE749">
        <f t="shared" si="314"/>
        <v>0.17989678434685608</v>
      </c>
      <c r="AF749">
        <f t="shared" si="315"/>
        <v>1.7346471564109065</v>
      </c>
      <c r="AH749">
        <f t="shared" si="316"/>
        <v>9.320531831142434E-2</v>
      </c>
      <c r="AI749">
        <f t="shared" si="316"/>
        <v>0.43619877350143299</v>
      </c>
      <c r="AJ749">
        <f t="shared" si="317"/>
        <v>0.34299345519000868</v>
      </c>
      <c r="AK749">
        <f t="shared" si="318"/>
        <v>1.5020279467530051</v>
      </c>
      <c r="AM749">
        <f t="shared" si="319"/>
        <v>7.8540283024328833E-2</v>
      </c>
      <c r="AN749">
        <f t="shared" si="319"/>
        <v>0.69654234405369164</v>
      </c>
      <c r="AO749">
        <f t="shared" si="320"/>
        <v>0.61800206102936284</v>
      </c>
      <c r="AP749">
        <f t="shared" si="321"/>
        <v>1.4784621960030144</v>
      </c>
      <c r="AR749">
        <f t="shared" si="322"/>
        <v>0.66384606444138738</v>
      </c>
      <c r="AS749">
        <f t="shared" si="323"/>
        <v>1.4187832092908832</v>
      </c>
      <c r="AT749">
        <f t="shared" si="324"/>
        <v>0.75493714484949581</v>
      </c>
      <c r="AU749">
        <f t="shared" si="325"/>
        <v>3.4521996423312342</v>
      </c>
    </row>
    <row r="750" spans="1:47" x14ac:dyDescent="0.25">
      <c r="A750" s="4">
        <f>DATE(2021,9,15)</f>
        <v>44454</v>
      </c>
      <c r="B750">
        <v>-0.23055105367117767</v>
      </c>
      <c r="C750">
        <v>53.762094016141731</v>
      </c>
      <c r="D750">
        <v>0.54191590382865729</v>
      </c>
      <c r="E750">
        <f t="shared" si="301"/>
        <v>-0.7803552967760814</v>
      </c>
      <c r="F750">
        <f t="shared" si="302"/>
        <v>-0.63317595076208044</v>
      </c>
      <c r="G750">
        <f t="shared" si="303"/>
        <v>-0.61358043432749898</v>
      </c>
      <c r="H750" s="2" t="str">
        <f t="shared" si="304"/>
        <v>Higher</v>
      </c>
      <c r="I750" s="2" t="str">
        <f t="shared" si="305"/>
        <v>Lower</v>
      </c>
      <c r="J750" s="2" t="str">
        <f t="shared" si="306"/>
        <v>Lower</v>
      </c>
      <c r="K750" s="2" t="str">
        <f t="shared" si="307"/>
        <v>Higher</v>
      </c>
      <c r="L750" s="2" t="str">
        <f t="shared" si="308"/>
        <v>Higher</v>
      </c>
      <c r="M750" s="2" t="str">
        <f t="shared" si="309"/>
        <v>Lower</v>
      </c>
      <c r="N750" s="2" t="str">
        <f t="shared" si="310"/>
        <v>Higher</v>
      </c>
      <c r="O750" s="2" t="str">
        <f t="shared" si="311"/>
        <v>Lower</v>
      </c>
      <c r="P750" s="2" t="str">
        <f t="shared" si="312"/>
        <v>Lower</v>
      </c>
      <c r="X750" s="4">
        <f>DATE(2021,9,15)</f>
        <v>44454</v>
      </c>
      <c r="Y750">
        <v>18.125456841603686</v>
      </c>
      <c r="Z750">
        <v>64.389381500461425</v>
      </c>
      <c r="AA750">
        <v>59.975000000000001</v>
      </c>
      <c r="AB750">
        <v>72.103499999999997</v>
      </c>
      <c r="AC750">
        <f t="shared" si="313"/>
        <v>-4.1998459362839455E-2</v>
      </c>
      <c r="AD750">
        <f t="shared" si="313"/>
        <v>0.27208390150979683</v>
      </c>
      <c r="AE750">
        <f t="shared" si="314"/>
        <v>0.3140823608726363</v>
      </c>
      <c r="AF750">
        <f t="shared" si="315"/>
        <v>3.2744602273283516</v>
      </c>
      <c r="AH750">
        <f t="shared" si="316"/>
        <v>5.2281035504106628E-2</v>
      </c>
      <c r="AI750">
        <f t="shared" si="316"/>
        <v>0.46540280266865663</v>
      </c>
      <c r="AJ750">
        <f t="shared" si="317"/>
        <v>0.41312176716455001</v>
      </c>
      <c r="AK750">
        <f t="shared" si="318"/>
        <v>1.9036429833715005</v>
      </c>
      <c r="AM750">
        <f t="shared" si="319"/>
        <v>9.7150137432804082E-2</v>
      </c>
      <c r="AN750">
        <f t="shared" si="319"/>
        <v>0.83336690312537809</v>
      </c>
      <c r="AO750">
        <f t="shared" si="320"/>
        <v>0.73621676569257399</v>
      </c>
      <c r="AP750">
        <f t="shared" si="321"/>
        <v>1.8540369627482975</v>
      </c>
      <c r="AR750">
        <f t="shared" si="322"/>
        <v>0.7003426600657443</v>
      </c>
      <c r="AS750">
        <f t="shared" si="323"/>
        <v>1.5944304644278069</v>
      </c>
      <c r="AT750">
        <f t="shared" si="324"/>
        <v>0.89408780436206259</v>
      </c>
      <c r="AU750">
        <f t="shared" si="325"/>
        <v>4.2948992135861124</v>
      </c>
    </row>
    <row r="751" spans="1:47" x14ac:dyDescent="0.25">
      <c r="A751" s="4">
        <f>DATE(2021,9,14)</f>
        <v>44453</v>
      </c>
      <c r="B751">
        <v>-0.11295745264070844</v>
      </c>
      <c r="C751">
        <v>53.721997362757747</v>
      </c>
      <c r="D751">
        <v>0.55258902320161318</v>
      </c>
      <c r="E751">
        <f t="shared" si="301"/>
        <v>-0.41094687690951526</v>
      </c>
      <c r="F751">
        <f t="shared" si="302"/>
        <v>-0.64751276548814629</v>
      </c>
      <c r="G751">
        <f t="shared" si="303"/>
        <v>-0.58461391225291548</v>
      </c>
      <c r="H751" s="2" t="str">
        <f t="shared" si="304"/>
        <v>Higher</v>
      </c>
      <c r="I751" s="2" t="str">
        <f t="shared" si="305"/>
        <v>Lower</v>
      </c>
      <c r="J751" s="2" t="str">
        <f t="shared" si="306"/>
        <v>Lower</v>
      </c>
      <c r="K751" s="2" t="str">
        <f t="shared" si="307"/>
        <v>Higher</v>
      </c>
      <c r="L751" s="2" t="str">
        <f t="shared" si="308"/>
        <v>Higher</v>
      </c>
      <c r="M751" s="2" t="str">
        <f t="shared" si="309"/>
        <v>Lower</v>
      </c>
      <c r="N751" s="2" t="str">
        <f t="shared" si="310"/>
        <v>Higher</v>
      </c>
      <c r="O751" s="2" t="str">
        <f t="shared" si="311"/>
        <v>Lower</v>
      </c>
      <c r="P751" s="2" t="str">
        <f t="shared" si="312"/>
        <v>Lower</v>
      </c>
      <c r="X751" s="4">
        <f>DATE(2021,9,14)</f>
        <v>44453</v>
      </c>
      <c r="Y751">
        <v>20.084995143547605</v>
      </c>
      <c r="Z751">
        <v>54.090212670810253</v>
      </c>
      <c r="AA751">
        <v>60.239999999999995</v>
      </c>
      <c r="AB751">
        <v>65.618249999999989</v>
      </c>
      <c r="AC751">
        <f t="shared" si="313"/>
        <v>-3.0691169291307992E-2</v>
      </c>
      <c r="AD751">
        <f t="shared" si="313"/>
        <v>0.20751423153095383</v>
      </c>
      <c r="AE751">
        <f t="shared" si="314"/>
        <v>0.23820540082226183</v>
      </c>
      <c r="AF751">
        <f t="shared" si="315"/>
        <v>2.4654975940445865</v>
      </c>
      <c r="AH751">
        <f t="shared" si="316"/>
        <v>4.7900370909865465E-2</v>
      </c>
      <c r="AI751">
        <f t="shared" si="316"/>
        <v>0.33079560321653095</v>
      </c>
      <c r="AJ751">
        <f t="shared" si="317"/>
        <v>0.28289523230666547</v>
      </c>
      <c r="AK751">
        <f t="shared" si="318"/>
        <v>1.1851448529612771</v>
      </c>
      <c r="AM751">
        <f t="shared" si="319"/>
        <v>0.12545368980672947</v>
      </c>
      <c r="AN751">
        <f t="shared" si="319"/>
        <v>0.76371206081567866</v>
      </c>
      <c r="AO751">
        <f t="shared" si="320"/>
        <v>0.63825837100894922</v>
      </c>
      <c r="AP751">
        <f t="shared" si="321"/>
        <v>1.5622066425732568</v>
      </c>
      <c r="AR751">
        <f t="shared" si="322"/>
        <v>0.70879014457034428</v>
      </c>
      <c r="AS751">
        <f t="shared" si="323"/>
        <v>1.5128134830104625</v>
      </c>
      <c r="AT751">
        <f t="shared" si="324"/>
        <v>0.8040233384401182</v>
      </c>
      <c r="AU751">
        <f t="shared" si="325"/>
        <v>3.9476182494476428</v>
      </c>
    </row>
    <row r="752" spans="1:47" x14ac:dyDescent="0.25">
      <c r="A752" s="4">
        <f>DATE(2021,9,13)</f>
        <v>44452</v>
      </c>
      <c r="B752">
        <v>6.1105137266908915E-2</v>
      </c>
      <c r="C752">
        <v>59.580640042425991</v>
      </c>
      <c r="D752">
        <v>0.67125016818274696</v>
      </c>
      <c r="E752">
        <f t="shared" si="301"/>
        <v>0.14475127084359798</v>
      </c>
      <c r="F752">
        <f t="shared" si="302"/>
        <v>-8.1780569323294569E-2</v>
      </c>
      <c r="G752">
        <f t="shared" si="303"/>
        <v>-0.15178929893773963</v>
      </c>
      <c r="H752" s="2" t="str">
        <f t="shared" si="304"/>
        <v>Higher</v>
      </c>
      <c r="I752" s="2" t="str">
        <f t="shared" si="305"/>
        <v>Lower</v>
      </c>
      <c r="J752" s="2" t="str">
        <f t="shared" si="306"/>
        <v>Lower</v>
      </c>
      <c r="K752" s="2" t="str">
        <f t="shared" si="307"/>
        <v>Higher</v>
      </c>
      <c r="L752" s="2" t="str">
        <f t="shared" si="308"/>
        <v>Higher</v>
      </c>
      <c r="M752" s="2" t="str">
        <f t="shared" si="309"/>
        <v>Lower</v>
      </c>
      <c r="N752" s="2" t="str">
        <f t="shared" si="310"/>
        <v>Higher</v>
      </c>
      <c r="O752" s="2" t="str">
        <f t="shared" si="311"/>
        <v>Lower</v>
      </c>
      <c r="P752" s="2" t="str">
        <f t="shared" si="312"/>
        <v>Lower</v>
      </c>
      <c r="X752" s="4">
        <f>DATE(2021,9,13)</f>
        <v>44452</v>
      </c>
      <c r="Y752">
        <v>22.326276996071755</v>
      </c>
      <c r="Z752">
        <v>49.667032369543243</v>
      </c>
      <c r="AA752">
        <v>61.422499999999999</v>
      </c>
      <c r="AB752">
        <v>61.039500000000004</v>
      </c>
      <c r="AC752">
        <f t="shared" si="313"/>
        <v>-1.4225335860925614E-2</v>
      </c>
      <c r="AD752" t="str">
        <f t="shared" si="313"/>
        <v/>
      </c>
      <c r="AE752" t="str">
        <f t="shared" si="314"/>
        <v/>
      </c>
      <c r="AF752" t="str">
        <f t="shared" si="315"/>
        <v/>
      </c>
      <c r="AH752">
        <f t="shared" si="316"/>
        <v>6.7862584770684325E-2</v>
      </c>
      <c r="AI752">
        <f t="shared" si="316"/>
        <v>0.24847312140238742</v>
      </c>
      <c r="AJ752">
        <f t="shared" si="317"/>
        <v>0.18061053663170309</v>
      </c>
      <c r="AK752">
        <f t="shared" si="318"/>
        <v>0.6130284634863713</v>
      </c>
      <c r="AM752">
        <f t="shared" si="319"/>
        <v>0.15963327649657441</v>
      </c>
      <c r="AN752">
        <f t="shared" si="319"/>
        <v>0.72092143756584293</v>
      </c>
      <c r="AO752">
        <f t="shared" si="320"/>
        <v>0.56128816106926849</v>
      </c>
      <c r="AP752">
        <f t="shared" si="321"/>
        <v>1.3299100967240618</v>
      </c>
      <c r="AR752">
        <f t="shared" si="322"/>
        <v>0.72797688082848755</v>
      </c>
      <c r="AS752">
        <f t="shared" si="323"/>
        <v>1.4510868484321711</v>
      </c>
      <c r="AT752">
        <f t="shared" si="324"/>
        <v>0.72310996760368351</v>
      </c>
      <c r="AU752">
        <f t="shared" si="325"/>
        <v>3.5805888085803055</v>
      </c>
    </row>
    <row r="753" spans="1:47" x14ac:dyDescent="0.25">
      <c r="A753" s="4">
        <f>DATE(2021,9,10)</f>
        <v>44449</v>
      </c>
      <c r="B753">
        <v>0.18505630588210775</v>
      </c>
      <c r="C753">
        <v>59.071087324221551</v>
      </c>
      <c r="D753">
        <v>0.67260904155013501</v>
      </c>
      <c r="E753">
        <f t="shared" si="301"/>
        <v>0.53787721689846091</v>
      </c>
      <c r="F753">
        <f t="shared" si="302"/>
        <v>-0.13825307366267339</v>
      </c>
      <c r="G753">
        <f t="shared" si="303"/>
        <v>-0.15488980023291141</v>
      </c>
      <c r="H753" s="2" t="str">
        <f t="shared" si="304"/>
        <v>Higher</v>
      </c>
      <c r="I753" s="2" t="str">
        <f t="shared" si="305"/>
        <v>Lower</v>
      </c>
      <c r="J753" s="2" t="str">
        <f t="shared" si="306"/>
        <v>Lower</v>
      </c>
      <c r="K753" s="2" t="str">
        <f t="shared" si="307"/>
        <v>Higher</v>
      </c>
      <c r="L753" s="2" t="str">
        <f t="shared" si="308"/>
        <v>Higher</v>
      </c>
      <c r="M753" s="2" t="str">
        <f t="shared" si="309"/>
        <v>Lower</v>
      </c>
      <c r="N753" s="2" t="str">
        <f t="shared" si="310"/>
        <v>Higher</v>
      </c>
      <c r="O753" s="2" t="str">
        <f t="shared" si="311"/>
        <v>Lower</v>
      </c>
      <c r="P753" s="2" t="str">
        <f t="shared" si="312"/>
        <v>Lower</v>
      </c>
      <c r="X753" s="4">
        <f>DATE(2021,9,10)</f>
        <v>44449</v>
      </c>
      <c r="Y753">
        <v>24.012709681364552</v>
      </c>
      <c r="Z753">
        <v>42.469464902860501</v>
      </c>
      <c r="AA753">
        <v>61.397500000000001</v>
      </c>
      <c r="AB753">
        <v>57.400499999999994</v>
      </c>
      <c r="AC753">
        <f t="shared" si="313"/>
        <v>-2.5213514780641202E-3</v>
      </c>
      <c r="AD753">
        <f t="shared" si="313"/>
        <v>0.10435348230144559</v>
      </c>
      <c r="AE753">
        <f t="shared" si="314"/>
        <v>0.10687483377950971</v>
      </c>
      <c r="AF753">
        <f t="shared" si="315"/>
        <v>0.95935927870685322</v>
      </c>
      <c r="AH753">
        <f t="shared" si="316"/>
        <v>9.9545693397417465E-2</v>
      </c>
      <c r="AI753">
        <f t="shared" si="316"/>
        <v>0.24878840000524888</v>
      </c>
      <c r="AJ753">
        <f t="shared" si="317"/>
        <v>0.1492427066078314</v>
      </c>
      <c r="AK753">
        <f t="shared" si="318"/>
        <v>0.43764463726934605</v>
      </c>
      <c r="AM753">
        <f t="shared" si="319"/>
        <v>0.17050999744817197</v>
      </c>
      <c r="AN753">
        <f t="shared" si="319"/>
        <v>0.67229486416058304</v>
      </c>
      <c r="AO753">
        <f t="shared" si="320"/>
        <v>0.50178486671241107</v>
      </c>
      <c r="AP753">
        <f t="shared" si="321"/>
        <v>1.1490202405491696</v>
      </c>
      <c r="AR753">
        <f t="shared" si="322"/>
        <v>0.72084932560073078</v>
      </c>
      <c r="AS753">
        <f t="shared" si="323"/>
        <v>1.3687746690397544</v>
      </c>
      <c r="AT753">
        <f t="shared" si="324"/>
        <v>0.64792534343902364</v>
      </c>
      <c r="AU753">
        <f t="shared" si="325"/>
        <v>3.1941731382236882</v>
      </c>
    </row>
    <row r="754" spans="1:47" x14ac:dyDescent="0.25">
      <c r="A754" s="4">
        <f>DATE(2021,9,9)</f>
        <v>44448</v>
      </c>
      <c r="B754">
        <v>0.35840311737152786</v>
      </c>
      <c r="C754">
        <v>68.913814301260615</v>
      </c>
      <c r="D754">
        <v>0.85194360916186607</v>
      </c>
      <c r="E754">
        <f t="shared" si="301"/>
        <v>1.0914976069672251</v>
      </c>
      <c r="F754">
        <f t="shared" si="302"/>
        <v>0.81005476493613893</v>
      </c>
      <c r="G754">
        <f t="shared" si="303"/>
        <v>0.49217304420354818</v>
      </c>
      <c r="H754" s="2" t="str">
        <f t="shared" si="304"/>
        <v>Higher</v>
      </c>
      <c r="I754" s="2" t="str">
        <f t="shared" si="305"/>
        <v>Lower</v>
      </c>
      <c r="J754" s="2" t="str">
        <f t="shared" si="306"/>
        <v>Lower</v>
      </c>
      <c r="K754" s="2" t="str">
        <f t="shared" si="307"/>
        <v>Higher</v>
      </c>
      <c r="L754" s="2" t="str">
        <f t="shared" si="308"/>
        <v>Higher</v>
      </c>
      <c r="M754" s="2" t="str">
        <f t="shared" si="309"/>
        <v>Lower</v>
      </c>
      <c r="N754" s="2" t="str">
        <f t="shared" si="310"/>
        <v>Higher</v>
      </c>
      <c r="O754" s="2" t="str">
        <f t="shared" si="311"/>
        <v>Lower</v>
      </c>
      <c r="P754" s="2" t="str">
        <f t="shared" si="312"/>
        <v>Lower</v>
      </c>
      <c r="X754" s="4">
        <f>DATE(2021,9,9)</f>
        <v>44448</v>
      </c>
      <c r="Y754">
        <v>26.613873573318024</v>
      </c>
      <c r="Z754">
        <v>43.077666294069573</v>
      </c>
      <c r="AA754">
        <v>62.625</v>
      </c>
      <c r="AB754">
        <v>56.280500000000004</v>
      </c>
      <c r="AC754">
        <f t="shared" si="313"/>
        <v>2.4898222549005578E-2</v>
      </c>
      <c r="AD754">
        <f t="shared" si="313"/>
        <v>8.8077225771535303E-2</v>
      </c>
      <c r="AE754">
        <f t="shared" si="314"/>
        <v>6.3179003222529728E-2</v>
      </c>
      <c r="AF754">
        <f t="shared" si="315"/>
        <v>0.45129711424147512</v>
      </c>
      <c r="AH754">
        <f t="shared" si="316"/>
        <v>0.10027257193101367</v>
      </c>
      <c r="AI754">
        <f t="shared" si="316"/>
        <v>0.20392657322497998</v>
      </c>
      <c r="AJ754">
        <f t="shared" si="317"/>
        <v>0.10365400129396631</v>
      </c>
      <c r="AK754">
        <f t="shared" si="318"/>
        <v>0.18211103189058295</v>
      </c>
      <c r="AM754">
        <f t="shared" si="319"/>
        <v>0.20744899444596471</v>
      </c>
      <c r="AN754">
        <f t="shared" si="319"/>
        <v>0.68934315825613535</v>
      </c>
      <c r="AO754">
        <f t="shared" si="320"/>
        <v>0.48189416381017064</v>
      </c>
      <c r="AP754">
        <f t="shared" si="321"/>
        <v>1.0905651565187147</v>
      </c>
      <c r="AR754">
        <f t="shared" si="322"/>
        <v>0.76428092205748055</v>
      </c>
      <c r="AS754">
        <f t="shared" si="323"/>
        <v>1.3755228987147343</v>
      </c>
      <c r="AT754">
        <f t="shared" si="324"/>
        <v>0.61124197665725377</v>
      </c>
      <c r="AU754">
        <f t="shared" si="325"/>
        <v>3.0060430663608195</v>
      </c>
    </row>
    <row r="755" spans="1:47" x14ac:dyDescent="0.25">
      <c r="A755" s="4">
        <f>DATE(2021,9,8)</f>
        <v>44447</v>
      </c>
      <c r="B755">
        <v>0.39513375846729959</v>
      </c>
      <c r="C755">
        <v>68.104693049717596</v>
      </c>
      <c r="D755">
        <v>0.86826238774571307</v>
      </c>
      <c r="E755">
        <f t="shared" si="301"/>
        <v>1.2168554261052142</v>
      </c>
      <c r="F755">
        <f t="shared" si="302"/>
        <v>0.73100577879629358</v>
      </c>
      <c r="G755">
        <f t="shared" si="303"/>
        <v>0.5419019167824668</v>
      </c>
      <c r="H755" s="2" t="str">
        <f t="shared" si="304"/>
        <v>Higher</v>
      </c>
      <c r="I755" s="2" t="str">
        <f t="shared" si="305"/>
        <v>Lower</v>
      </c>
      <c r="J755" s="2" t="str">
        <f t="shared" si="306"/>
        <v>Lower</v>
      </c>
      <c r="K755" s="2" t="str">
        <f t="shared" si="307"/>
        <v>Higher</v>
      </c>
      <c r="L755" s="2" t="str">
        <f t="shared" si="308"/>
        <v>Higher</v>
      </c>
      <c r="M755" s="2" t="str">
        <f t="shared" si="309"/>
        <v>Lower</v>
      </c>
      <c r="N755" s="2" t="str">
        <f t="shared" si="310"/>
        <v>Higher</v>
      </c>
      <c r="O755" s="2" t="str">
        <f t="shared" si="311"/>
        <v>Lower</v>
      </c>
      <c r="P755" s="2" t="str">
        <f t="shared" si="312"/>
        <v>Lower</v>
      </c>
      <c r="X755" s="4">
        <f>DATE(2021,9,8)</f>
        <v>44447</v>
      </c>
      <c r="Y755">
        <v>27.982579416346997</v>
      </c>
      <c r="Z755">
        <v>41.08341195529475</v>
      </c>
      <c r="AA755">
        <v>62.547499999999999</v>
      </c>
      <c r="AB755">
        <v>54.927750000000003</v>
      </c>
      <c r="AC755">
        <f t="shared" si="313"/>
        <v>3.4357860777177437E-2</v>
      </c>
      <c r="AD755">
        <f t="shared" si="313"/>
        <v>7.9284422998380871E-2</v>
      </c>
      <c r="AE755">
        <f t="shared" si="314"/>
        <v>4.4926562221203434E-2</v>
      </c>
      <c r="AF755">
        <f t="shared" si="315"/>
        <v>0.23897713050575015</v>
      </c>
      <c r="AH755">
        <f t="shared" si="316"/>
        <v>8.5402985415346605E-2</v>
      </c>
      <c r="AI755">
        <f t="shared" si="316"/>
        <v>0.18243352832599247</v>
      </c>
      <c r="AJ755">
        <f t="shared" si="317"/>
        <v>9.7030542910645862E-2</v>
      </c>
      <c r="AK755">
        <f t="shared" si="318"/>
        <v>0.14521747810122729</v>
      </c>
      <c r="AM755">
        <f t="shared" si="319"/>
        <v>0.19507288099257455</v>
      </c>
      <c r="AN755">
        <f t="shared" si="319"/>
        <v>0.66869338022447533</v>
      </c>
      <c r="AO755">
        <f t="shared" si="320"/>
        <v>0.47362049923190075</v>
      </c>
      <c r="AP755">
        <f t="shared" si="321"/>
        <v>1.0680825862335268</v>
      </c>
      <c r="AR755">
        <f t="shared" si="322"/>
        <v>0.7574858735490585</v>
      </c>
      <c r="AS755">
        <f t="shared" si="323"/>
        <v>1.3112225998684262</v>
      </c>
      <c r="AT755">
        <f t="shared" si="324"/>
        <v>0.55373672631936766</v>
      </c>
      <c r="AU755">
        <f t="shared" si="325"/>
        <v>2.6771333485144679</v>
      </c>
    </row>
    <row r="756" spans="1:47" x14ac:dyDescent="0.25">
      <c r="A756" s="4">
        <f>DATE(2021,9,7)</f>
        <v>44446</v>
      </c>
      <c r="B756">
        <v>0.42900204311792622</v>
      </c>
      <c r="C756">
        <v>66.877363575002789</v>
      </c>
      <c r="D756">
        <v>0.86929799768761074</v>
      </c>
      <c r="E756">
        <f t="shared" si="301"/>
        <v>1.3400611003915901</v>
      </c>
      <c r="F756">
        <f t="shared" si="302"/>
        <v>0.61176712084467955</v>
      </c>
      <c r="G756">
        <f t="shared" si="303"/>
        <v>0.53327648376587722</v>
      </c>
      <c r="H756" s="2" t="str">
        <f t="shared" si="304"/>
        <v>Higher</v>
      </c>
      <c r="I756" s="2" t="str">
        <f t="shared" si="305"/>
        <v>Lower</v>
      </c>
      <c r="J756" s="2" t="str">
        <f t="shared" si="306"/>
        <v>Higher</v>
      </c>
      <c r="K756" s="2" t="str">
        <f t="shared" si="307"/>
        <v>Higher</v>
      </c>
      <c r="L756" s="2" t="str">
        <f t="shared" si="308"/>
        <v>Higher</v>
      </c>
      <c r="M756" s="2" t="str">
        <f t="shared" si="309"/>
        <v>Lower</v>
      </c>
      <c r="N756" s="2" t="str">
        <f t="shared" si="310"/>
        <v>Higher</v>
      </c>
      <c r="O756" s="2" t="str">
        <f t="shared" si="311"/>
        <v>Lower</v>
      </c>
      <c r="P756" s="2" t="str">
        <f t="shared" si="312"/>
        <v>Lower</v>
      </c>
      <c r="X756" s="4">
        <f>DATE(2021,9,7)</f>
        <v>44446</v>
      </c>
      <c r="Y756">
        <v>27.675345221097736</v>
      </c>
      <c r="Z756">
        <v>39.158231835945763</v>
      </c>
      <c r="AA756">
        <v>62.117500000000007</v>
      </c>
      <c r="AB756">
        <v>53.3215</v>
      </c>
      <c r="AC756">
        <f t="shared" si="313"/>
        <v>2.4856629743109607E-2</v>
      </c>
      <c r="AD756">
        <f t="shared" si="313"/>
        <v>6.5687560827671132E-2</v>
      </c>
      <c r="AE756">
        <f t="shared" si="314"/>
        <v>4.0830931084561525E-2</v>
      </c>
      <c r="AF756">
        <f t="shared" si="315"/>
        <v>0.19162276913803636</v>
      </c>
      <c r="AH756">
        <f t="shared" si="316"/>
        <v>8.155644317975097E-2</v>
      </c>
      <c r="AI756">
        <f t="shared" si="316"/>
        <v>0.17776531402725104</v>
      </c>
      <c r="AJ756">
        <f t="shared" si="317"/>
        <v>9.6208870847500072E-2</v>
      </c>
      <c r="AK756">
        <f t="shared" si="318"/>
        <v>0.14083019897954899</v>
      </c>
      <c r="AM756">
        <f t="shared" si="319"/>
        <v>0.18502170150174913</v>
      </c>
      <c r="AN756">
        <f t="shared" si="319"/>
        <v>0.63626438667777274</v>
      </c>
      <c r="AO756">
        <f t="shared" si="320"/>
        <v>0.45124268517602362</v>
      </c>
      <c r="AP756">
        <f t="shared" si="321"/>
        <v>1.0012306239815973</v>
      </c>
      <c r="AR756">
        <f t="shared" si="322"/>
        <v>0.75803187985391196</v>
      </c>
      <c r="AS756">
        <f t="shared" si="323"/>
        <v>1.2671234392056385</v>
      </c>
      <c r="AT756">
        <f t="shared" si="324"/>
        <v>0.50909155935172656</v>
      </c>
      <c r="AU756">
        <f t="shared" si="325"/>
        <v>2.4123545638943771</v>
      </c>
    </row>
    <row r="757" spans="1:47" x14ac:dyDescent="0.25">
      <c r="A757" s="4">
        <f>DATE(2021,9,6)</f>
        <v>44445</v>
      </c>
      <c r="B757">
        <v>0.47319947810156382</v>
      </c>
      <c r="C757">
        <v>68.58203723597704</v>
      </c>
      <c r="D757">
        <v>0.94811748053032674</v>
      </c>
      <c r="E757">
        <f t="shared" si="301"/>
        <v>1.5051644470823511</v>
      </c>
      <c r="F757">
        <f t="shared" si="302"/>
        <v>0.77942387566275939</v>
      </c>
      <c r="G757">
        <f t="shared" si="303"/>
        <v>0.80841824223864156</v>
      </c>
      <c r="H757" s="2" t="str">
        <f t="shared" si="304"/>
        <v>Higher</v>
      </c>
      <c r="I757" s="2" t="str">
        <f t="shared" si="305"/>
        <v>Lower</v>
      </c>
      <c r="J757" s="2" t="str">
        <f t="shared" si="306"/>
        <v>Higher</v>
      </c>
      <c r="K757" s="2" t="str">
        <f t="shared" si="307"/>
        <v>Higher</v>
      </c>
      <c r="L757" s="2" t="str">
        <f t="shared" si="308"/>
        <v>Higher</v>
      </c>
      <c r="M757" s="2" t="str">
        <f t="shared" si="309"/>
        <v>Lower</v>
      </c>
      <c r="N757" s="2" t="str">
        <f t="shared" si="310"/>
        <v>Higher</v>
      </c>
      <c r="O757" s="2" t="str">
        <f t="shared" si="311"/>
        <v>Lower</v>
      </c>
      <c r="P757" s="2" t="str">
        <f t="shared" si="312"/>
        <v>Lower</v>
      </c>
      <c r="X757" s="4">
        <f>DATE(2021,9,6)</f>
        <v>44445</v>
      </c>
      <c r="Y757">
        <v>29.0714830003933</v>
      </c>
      <c r="AA757">
        <v>62.302500000000002</v>
      </c>
      <c r="AC757">
        <f t="shared" si="313"/>
        <v>2.7706660323930557E-2</v>
      </c>
      <c r="AD757" t="str">
        <f t="shared" si="313"/>
        <v/>
      </c>
      <c r="AE757" t="str">
        <f t="shared" si="314"/>
        <v/>
      </c>
      <c r="AF757" t="str">
        <f t="shared" si="315"/>
        <v/>
      </c>
      <c r="AH757">
        <f t="shared" si="316"/>
        <v>9.5374384746522226E-2</v>
      </c>
      <c r="AI757" t="str">
        <f t="shared" si="316"/>
        <v/>
      </c>
      <c r="AJ757" t="str">
        <f t="shared" si="317"/>
        <v/>
      </c>
      <c r="AK757" t="str">
        <f t="shared" si="318"/>
        <v/>
      </c>
      <c r="AM757">
        <f t="shared" si="319"/>
        <v>0.16095520752159231</v>
      </c>
      <c r="AN757" t="str">
        <f t="shared" si="319"/>
        <v/>
      </c>
      <c r="AO757" t="str">
        <f t="shared" si="320"/>
        <v/>
      </c>
      <c r="AP757" t="str">
        <f t="shared" si="321"/>
        <v/>
      </c>
      <c r="AR757">
        <f t="shared" si="322"/>
        <v>0.76712243441115557</v>
      </c>
      <c r="AS757" t="str">
        <f t="shared" si="323"/>
        <v/>
      </c>
      <c r="AT757" t="str">
        <f t="shared" si="324"/>
        <v/>
      </c>
      <c r="AU757" t="str">
        <f t="shared" si="325"/>
        <v/>
      </c>
    </row>
    <row r="758" spans="1:47" x14ac:dyDescent="0.25">
      <c r="A758" s="4">
        <f>DATE(2021,9,3)</f>
        <v>44442</v>
      </c>
      <c r="B758">
        <v>0.45232255911718666</v>
      </c>
      <c r="C758">
        <v>66.099615573387069</v>
      </c>
      <c r="D758">
        <v>0.91037437283800915</v>
      </c>
      <c r="E758">
        <f t="shared" si="301"/>
        <v>1.4641657513224511</v>
      </c>
      <c r="F758">
        <f t="shared" si="302"/>
        <v>0.5461243995644659</v>
      </c>
      <c r="G758">
        <f t="shared" si="303"/>
        <v>0.6806785164752478</v>
      </c>
      <c r="H758" s="2" t="str">
        <f t="shared" si="304"/>
        <v>Higher</v>
      </c>
      <c r="I758" s="2" t="str">
        <f t="shared" si="305"/>
        <v>Lower</v>
      </c>
      <c r="J758" s="2" t="str">
        <f t="shared" si="306"/>
        <v>Higher</v>
      </c>
      <c r="K758" s="2" t="str">
        <f t="shared" si="307"/>
        <v>Higher</v>
      </c>
      <c r="L758" s="2" t="str">
        <f t="shared" si="308"/>
        <v>Higher</v>
      </c>
      <c r="M758" s="2" t="str">
        <f t="shared" si="309"/>
        <v>Lower</v>
      </c>
      <c r="N758" s="2" t="str">
        <f t="shared" si="310"/>
        <v>Higher</v>
      </c>
      <c r="O758" s="2" t="str">
        <f t="shared" si="311"/>
        <v>Lower</v>
      </c>
      <c r="P758" s="2" t="str">
        <f t="shared" si="312"/>
        <v>Lower</v>
      </c>
      <c r="X758" s="4">
        <f>DATE(2021,9,3)</f>
        <v>44442</v>
      </c>
      <c r="Y758">
        <v>28.29353723798868</v>
      </c>
      <c r="Z758">
        <v>37.408807535989645</v>
      </c>
      <c r="AA758">
        <v>61.552499999999995</v>
      </c>
      <c r="AB758">
        <v>51.712500000000006</v>
      </c>
      <c r="AC758">
        <f t="shared" si="313"/>
        <v>4.7365567107664215E-2</v>
      </c>
      <c r="AD758">
        <f t="shared" si="313"/>
        <v>7.8548377154921703E-2</v>
      </c>
      <c r="AE758">
        <f t="shared" si="314"/>
        <v>3.1182810047257488E-2</v>
      </c>
      <c r="AF758">
        <f t="shared" si="315"/>
        <v>7.8672958809148777E-2</v>
      </c>
      <c r="AH758">
        <f t="shared" si="316"/>
        <v>8.392565456751544E-2</v>
      </c>
      <c r="AI758">
        <f t="shared" si="316"/>
        <v>0.17592580960362936</v>
      </c>
      <c r="AJ758">
        <f t="shared" si="317"/>
        <v>9.2000155036113918E-2</v>
      </c>
      <c r="AK758">
        <f t="shared" si="318"/>
        <v>0.11614306388755677</v>
      </c>
      <c r="AM758">
        <f t="shared" si="319"/>
        <v>0.15162891731450381</v>
      </c>
      <c r="AN758">
        <f t="shared" si="319"/>
        <v>0.61362895915298665</v>
      </c>
      <c r="AO758">
        <f t="shared" si="320"/>
        <v>0.46200004183848287</v>
      </c>
      <c r="AP758">
        <f t="shared" si="321"/>
        <v>1.0363431811914539</v>
      </c>
      <c r="AR758">
        <f t="shared" si="322"/>
        <v>0.78047984269290094</v>
      </c>
      <c r="AS758">
        <f t="shared" si="323"/>
        <v>1.282472374293641</v>
      </c>
      <c r="AT758">
        <f t="shared" si="324"/>
        <v>0.50199253160074009</v>
      </c>
      <c r="AU758">
        <f t="shared" si="325"/>
        <v>2.3684568745416454</v>
      </c>
    </row>
    <row r="759" spans="1:47" x14ac:dyDescent="0.25">
      <c r="A759" s="4">
        <f>DATE(2021,9,2)</f>
        <v>44441</v>
      </c>
      <c r="B759">
        <v>0.46447066555485783</v>
      </c>
      <c r="C759">
        <v>67.094083695313017</v>
      </c>
      <c r="D759">
        <v>0.99339280785739636</v>
      </c>
      <c r="E759">
        <f t="shared" si="301"/>
        <v>1.5311470254022272</v>
      </c>
      <c r="F759">
        <f t="shared" si="302"/>
        <v>0.64932714757115717</v>
      </c>
      <c r="G759">
        <f t="shared" si="303"/>
        <v>0.98804614431276194</v>
      </c>
      <c r="H759" s="2" t="str">
        <f t="shared" si="304"/>
        <v>Higher</v>
      </c>
      <c r="I759" s="2" t="str">
        <f t="shared" si="305"/>
        <v>Lower</v>
      </c>
      <c r="J759" s="2" t="str">
        <f t="shared" si="306"/>
        <v>Higher</v>
      </c>
      <c r="K759" s="2" t="str">
        <f t="shared" si="307"/>
        <v>Higher</v>
      </c>
      <c r="L759" s="2" t="str">
        <f t="shared" si="308"/>
        <v>Higher</v>
      </c>
      <c r="M759" s="2" t="str">
        <f t="shared" si="309"/>
        <v>Lower</v>
      </c>
      <c r="N759" s="2" t="str">
        <f t="shared" si="310"/>
        <v>Higher</v>
      </c>
      <c r="O759" s="2" t="str">
        <f t="shared" si="311"/>
        <v>Lower</v>
      </c>
      <c r="P759" s="2" t="str">
        <f t="shared" si="312"/>
        <v>Lower</v>
      </c>
      <c r="X759" s="4">
        <f>DATE(2021,9,2)</f>
        <v>44441</v>
      </c>
      <c r="Y759">
        <v>27.041474517970936</v>
      </c>
      <c r="Z759">
        <v>39.007528084417395</v>
      </c>
      <c r="AA759">
        <v>61.085000000000001</v>
      </c>
      <c r="AB759">
        <v>51.535499999999999</v>
      </c>
      <c r="AC759">
        <f t="shared" si="313"/>
        <v>7.3786907475317895E-2</v>
      </c>
      <c r="AD759">
        <f t="shared" si="313"/>
        <v>0.12664315345768923</v>
      </c>
      <c r="AE759">
        <f t="shared" si="314"/>
        <v>5.2856245982371333E-2</v>
      </c>
      <c r="AF759">
        <f t="shared" si="315"/>
        <v>0.33055557107321554</v>
      </c>
      <c r="AH759">
        <f t="shared" si="316"/>
        <v>9.2331074233481414E-2</v>
      </c>
      <c r="AI759">
        <f t="shared" si="316"/>
        <v>0.19163216449687032</v>
      </c>
      <c r="AJ759">
        <f t="shared" si="317"/>
        <v>9.9301090263388903E-2</v>
      </c>
      <c r="AK759">
        <f t="shared" si="318"/>
        <v>0.15703991683618429</v>
      </c>
      <c r="AM759">
        <f t="shared" si="319"/>
        <v>0.1317906057934348</v>
      </c>
      <c r="AN759">
        <f t="shared" si="319"/>
        <v>0.59412273001352456</v>
      </c>
      <c r="AO759">
        <f t="shared" si="320"/>
        <v>0.46233212422008974</v>
      </c>
      <c r="AP759">
        <f t="shared" si="321"/>
        <v>1.0404910134508034</v>
      </c>
      <c r="AR759">
        <f t="shared" si="322"/>
        <v>0.78149141949041356</v>
      </c>
      <c r="AS759" t="str">
        <f t="shared" si="323"/>
        <v/>
      </c>
      <c r="AT759" t="str">
        <f t="shared" si="324"/>
        <v/>
      </c>
      <c r="AU759" t="str">
        <f t="shared" si="325"/>
        <v/>
      </c>
    </row>
    <row r="760" spans="1:47" x14ac:dyDescent="0.25">
      <c r="A760" s="4">
        <f>DATE(2021,9,1)</f>
        <v>44440</v>
      </c>
      <c r="B760">
        <v>0.40877349518733896</v>
      </c>
      <c r="C760">
        <v>63.527307391540319</v>
      </c>
      <c r="D760">
        <v>0.89848196581029716</v>
      </c>
      <c r="E760">
        <f t="shared" si="301"/>
        <v>1.3734997761054768</v>
      </c>
      <c r="F760">
        <f t="shared" si="302"/>
        <v>0.31027522810951447</v>
      </c>
      <c r="G760">
        <f t="shared" si="303"/>
        <v>0.66052807936549462</v>
      </c>
      <c r="H760" s="2" t="str">
        <f t="shared" si="304"/>
        <v>Higher</v>
      </c>
      <c r="I760" s="2" t="str">
        <f t="shared" si="305"/>
        <v>Lower</v>
      </c>
      <c r="J760" s="2" t="str">
        <f t="shared" si="306"/>
        <v>Higher</v>
      </c>
      <c r="K760" s="2" t="str">
        <f t="shared" si="307"/>
        <v>Higher</v>
      </c>
      <c r="L760" s="2" t="str">
        <f t="shared" si="308"/>
        <v>Higher</v>
      </c>
      <c r="M760" s="2" t="str">
        <f t="shared" si="309"/>
        <v>Lower</v>
      </c>
      <c r="N760" s="2" t="str">
        <f t="shared" si="310"/>
        <v>Higher</v>
      </c>
      <c r="O760" s="2" t="str">
        <f t="shared" si="311"/>
        <v>Lower</v>
      </c>
      <c r="P760" s="2" t="str">
        <f t="shared" si="312"/>
        <v>Lower</v>
      </c>
      <c r="X760" s="4">
        <f>DATE(2021,9,1)</f>
        <v>44440</v>
      </c>
      <c r="Y760">
        <v>29.361554029211685</v>
      </c>
      <c r="Z760">
        <v>42.898681993913179</v>
      </c>
      <c r="AA760">
        <v>60.435000000000002</v>
      </c>
      <c r="AB760">
        <v>50.741</v>
      </c>
      <c r="AC760">
        <f t="shared" si="313"/>
        <v>6.7283522350318981E-2</v>
      </c>
      <c r="AD760">
        <f t="shared" si="313"/>
        <v>0.11191072024282551</v>
      </c>
      <c r="AE760">
        <f t="shared" si="314"/>
        <v>4.4627197892506534E-2</v>
      </c>
      <c r="AF760">
        <f t="shared" si="315"/>
        <v>0.23571736405379223</v>
      </c>
      <c r="AH760">
        <f t="shared" si="316"/>
        <v>9.1058455168620281E-2</v>
      </c>
      <c r="AI760">
        <f t="shared" si="316"/>
        <v>0.18724487222855213</v>
      </c>
      <c r="AJ760">
        <f t="shared" si="317"/>
        <v>9.6186417059931847E-2</v>
      </c>
      <c r="AK760">
        <f t="shared" si="318"/>
        <v>0.13993684121433769</v>
      </c>
      <c r="AM760">
        <f t="shared" si="319"/>
        <v>0.12394494479932538</v>
      </c>
      <c r="AN760">
        <f t="shared" si="319"/>
        <v>0.58714636226337502</v>
      </c>
      <c r="AO760">
        <f t="shared" si="320"/>
        <v>0.46320141746404964</v>
      </c>
      <c r="AP760">
        <f t="shared" si="321"/>
        <v>1.0463639886606477</v>
      </c>
      <c r="AR760">
        <f t="shared" si="322"/>
        <v>0.77932404946618627</v>
      </c>
      <c r="AS760">
        <f t="shared" si="323"/>
        <v>1.288838321114836</v>
      </c>
      <c r="AT760">
        <f t="shared" si="324"/>
        <v>0.50951427164864971</v>
      </c>
      <c r="AU760">
        <f t="shared" si="325"/>
        <v>2.4132327897421457</v>
      </c>
    </row>
    <row r="761" spans="1:47" x14ac:dyDescent="0.25">
      <c r="A761" s="4">
        <f>DATE(2021,8,31)</f>
        <v>44439</v>
      </c>
      <c r="B761">
        <v>0.41408842066484197</v>
      </c>
      <c r="C761">
        <v>66.591348972339958</v>
      </c>
      <c r="D761">
        <v>1.0434336338031835</v>
      </c>
      <c r="E761">
        <f t="shared" si="301"/>
        <v>1.4145945317674711</v>
      </c>
      <c r="F761">
        <f t="shared" si="302"/>
        <v>0.61708861829518913</v>
      </c>
      <c r="G761">
        <f t="shared" si="303"/>
        <v>1.1906256187192075</v>
      </c>
      <c r="H761" s="2" t="str">
        <f t="shared" si="304"/>
        <v>Higher</v>
      </c>
      <c r="I761" s="2" t="str">
        <f t="shared" si="305"/>
        <v>Lower</v>
      </c>
      <c r="J761" s="2" t="str">
        <f t="shared" si="306"/>
        <v>Higher</v>
      </c>
      <c r="K761" s="2" t="str">
        <f t="shared" si="307"/>
        <v>Higher</v>
      </c>
      <c r="L761" s="2" t="str">
        <f t="shared" si="308"/>
        <v>Higher</v>
      </c>
      <c r="M761" s="2" t="str">
        <f t="shared" si="309"/>
        <v>Lower</v>
      </c>
      <c r="N761" s="2" t="str">
        <f t="shared" si="310"/>
        <v>Higher</v>
      </c>
      <c r="O761" s="2" t="str">
        <f t="shared" si="311"/>
        <v>Lower</v>
      </c>
      <c r="P761" s="2" t="str">
        <f t="shared" si="312"/>
        <v>Lower</v>
      </c>
      <c r="X761" s="4">
        <f>DATE(2021,8,31)</f>
        <v>44439</v>
      </c>
      <c r="Y761">
        <v>28.27645590185065</v>
      </c>
      <c r="Z761">
        <v>39.248905162579824</v>
      </c>
      <c r="AA761">
        <v>60.592500000000001</v>
      </c>
      <c r="AB761">
        <v>49.9315</v>
      </c>
      <c r="AC761">
        <f t="shared" si="313"/>
        <v>7.2544517965857966E-2</v>
      </c>
      <c r="AD761">
        <f t="shared" si="313"/>
        <v>0.11272203799573691</v>
      </c>
      <c r="AE761">
        <f t="shared" si="314"/>
        <v>4.0177520029878941E-2</v>
      </c>
      <c r="AF761">
        <f t="shared" si="315"/>
        <v>0.18460908923427705</v>
      </c>
      <c r="AH761">
        <f t="shared" si="316"/>
        <v>0.1080367749930377</v>
      </c>
      <c r="AI761">
        <f t="shared" si="316"/>
        <v>0.18624862718725566</v>
      </c>
      <c r="AJ761">
        <f t="shared" si="317"/>
        <v>7.821185219421796E-2</v>
      </c>
      <c r="AK761">
        <f t="shared" si="318"/>
        <v>4.0282619592721294E-2</v>
      </c>
      <c r="AM761">
        <f t="shared" si="319"/>
        <v>0.1504784824402976</v>
      </c>
      <c r="AN761">
        <f t="shared" si="319"/>
        <v>0.58921965292685385</v>
      </c>
      <c r="AO761">
        <f t="shared" si="320"/>
        <v>0.43874117048655625</v>
      </c>
      <c r="AP761">
        <f t="shared" si="321"/>
        <v>0.97304308824647723</v>
      </c>
      <c r="AR761">
        <f t="shared" si="322"/>
        <v>0.79162282230900038</v>
      </c>
      <c r="AS761">
        <f t="shared" si="323"/>
        <v>1.2868896815405257</v>
      </c>
      <c r="AT761">
        <f t="shared" si="324"/>
        <v>0.49526685923152536</v>
      </c>
      <c r="AU761">
        <f t="shared" si="325"/>
        <v>2.3287562967252144</v>
      </c>
    </row>
    <row r="762" spans="1:47" x14ac:dyDescent="0.25">
      <c r="A762" s="4">
        <f>DATE(2021,8,30)</f>
        <v>44438</v>
      </c>
      <c r="B762">
        <v>0.31007826116720616</v>
      </c>
      <c r="C762">
        <v>66.591374519069589</v>
      </c>
      <c r="D762">
        <v>1.1413864260494844</v>
      </c>
      <c r="E762">
        <f t="shared" si="301"/>
        <v>1.0893827218424648</v>
      </c>
      <c r="F762">
        <f t="shared" si="302"/>
        <v>0.62519880934530248</v>
      </c>
      <c r="G762">
        <f t="shared" si="303"/>
        <v>1.5612715501018473</v>
      </c>
      <c r="H762" s="2" t="str">
        <f t="shared" si="304"/>
        <v>Higher</v>
      </c>
      <c r="I762" s="2" t="str">
        <f t="shared" si="305"/>
        <v>Lower</v>
      </c>
      <c r="J762" s="2" t="str">
        <f t="shared" si="306"/>
        <v>Higher</v>
      </c>
      <c r="K762" s="2" t="str">
        <f t="shared" si="307"/>
        <v>Higher</v>
      </c>
      <c r="L762" s="2" t="str">
        <f t="shared" si="308"/>
        <v>Higher</v>
      </c>
      <c r="M762" s="2" t="str">
        <f t="shared" si="309"/>
        <v>Lower</v>
      </c>
      <c r="N762" s="2" t="str">
        <f t="shared" si="310"/>
        <v>Higher</v>
      </c>
      <c r="O762" s="2" t="str">
        <f t="shared" si="311"/>
        <v>Lower</v>
      </c>
      <c r="P762" s="2" t="str">
        <f t="shared" si="312"/>
        <v>Lower</v>
      </c>
      <c r="X762" s="4">
        <f>DATE(2021,8,30)</f>
        <v>44438</v>
      </c>
      <c r="Y762">
        <v>29.409180675638208</v>
      </c>
      <c r="Z762">
        <v>39.073452345113033</v>
      </c>
      <c r="AA762">
        <v>60.599999999999994</v>
      </c>
      <c r="AB762">
        <v>49.434250000000006</v>
      </c>
      <c r="AC762">
        <f t="shared" si="313"/>
        <v>9.1476777612228E-2</v>
      </c>
      <c r="AD762">
        <f t="shared" si="313"/>
        <v>0.16592466335079367</v>
      </c>
      <c r="AE762">
        <f t="shared" si="314"/>
        <v>7.4447885738565672E-2</v>
      </c>
      <c r="AF762">
        <f t="shared" si="315"/>
        <v>0.58087064277656975</v>
      </c>
      <c r="AH762">
        <f t="shared" si="316"/>
        <v>0.11000089521432849</v>
      </c>
      <c r="AI762">
        <f t="shared" si="316"/>
        <v>0.15815811900122839</v>
      </c>
      <c r="AJ762">
        <f t="shared" si="317"/>
        <v>4.8157223786899905E-2</v>
      </c>
      <c r="AK762">
        <f t="shared" si="318"/>
        <v>-0.12630129911778698</v>
      </c>
      <c r="AM762">
        <f t="shared" si="319"/>
        <v>0.17129348126193095</v>
      </c>
      <c r="AN762">
        <f t="shared" si="319"/>
        <v>0.6278004626586251</v>
      </c>
      <c r="AO762">
        <f t="shared" si="320"/>
        <v>0.45650698139669416</v>
      </c>
      <c r="AP762">
        <f t="shared" si="321"/>
        <v>1.0312874508744121</v>
      </c>
      <c r="AR762">
        <f t="shared" si="322"/>
        <v>0.79804942207016083</v>
      </c>
      <c r="AS762">
        <f t="shared" si="323"/>
        <v>1.2980464152319355</v>
      </c>
      <c r="AT762">
        <f t="shared" si="324"/>
        <v>0.49999699316177471</v>
      </c>
      <c r="AU762">
        <f t="shared" si="325"/>
        <v>2.3581010500788198</v>
      </c>
    </row>
    <row r="763" spans="1:47" x14ac:dyDescent="0.25">
      <c r="A763" s="4">
        <f>DATE(2021,8,27)</f>
        <v>44435</v>
      </c>
      <c r="B763">
        <v>0.10701288875371839</v>
      </c>
      <c r="C763">
        <v>62.277193594028276</v>
      </c>
      <c r="D763">
        <v>0.99633636869509856</v>
      </c>
      <c r="E763">
        <f t="shared" si="301"/>
        <v>0.42315006187991527</v>
      </c>
      <c r="F763">
        <f t="shared" si="302"/>
        <v>0.21567964181868632</v>
      </c>
      <c r="G763">
        <f t="shared" si="303"/>
        <v>1.0651265790148403</v>
      </c>
      <c r="H763" s="2" t="str">
        <f t="shared" si="304"/>
        <v>Higher</v>
      </c>
      <c r="I763" s="2" t="str">
        <f t="shared" si="305"/>
        <v>Lower</v>
      </c>
      <c r="J763" s="2" t="str">
        <f t="shared" si="306"/>
        <v>Higher</v>
      </c>
      <c r="K763" s="2" t="str">
        <f t="shared" si="307"/>
        <v>Higher</v>
      </c>
      <c r="L763" s="2" t="str">
        <f t="shared" si="308"/>
        <v>Higher</v>
      </c>
      <c r="M763" s="2" t="str">
        <f t="shared" si="309"/>
        <v>Lower</v>
      </c>
      <c r="N763" s="2" t="str">
        <f t="shared" si="310"/>
        <v>Higher</v>
      </c>
      <c r="O763" s="2" t="str">
        <f t="shared" si="311"/>
        <v>Lower</v>
      </c>
      <c r="P763" s="2" t="str">
        <f t="shared" si="312"/>
        <v>Lower</v>
      </c>
      <c r="X763" s="4">
        <f>DATE(2021,8,27)</f>
        <v>44435</v>
      </c>
      <c r="Y763">
        <v>27.620793156001827</v>
      </c>
      <c r="Z763">
        <v>35.044469137689013</v>
      </c>
      <c r="AA763">
        <v>58.704999999999998</v>
      </c>
      <c r="AB763">
        <v>47.805999999999997</v>
      </c>
      <c r="AC763">
        <f t="shared" si="313"/>
        <v>7.8507249101401638E-2</v>
      </c>
      <c r="AD763">
        <f t="shared" si="313"/>
        <v>0.13298170240890914</v>
      </c>
      <c r="AE763">
        <f t="shared" si="314"/>
        <v>5.4474453307507498E-2</v>
      </c>
      <c r="AF763">
        <f t="shared" si="315"/>
        <v>0.35168470615423902</v>
      </c>
      <c r="AH763">
        <f t="shared" si="316"/>
        <v>9.5369801716246955E-2</v>
      </c>
      <c r="AI763">
        <f t="shared" si="316"/>
        <v>0.167164860462333</v>
      </c>
      <c r="AJ763">
        <f t="shared" si="317"/>
        <v>7.1795058746086049E-2</v>
      </c>
      <c r="AK763">
        <f t="shared" si="318"/>
        <v>4.3103612044591072E-3</v>
      </c>
      <c r="AM763">
        <f t="shared" si="319"/>
        <v>0.1570080073997733</v>
      </c>
      <c r="AN763">
        <f t="shared" si="319"/>
        <v>0.61808565860135012</v>
      </c>
      <c r="AO763">
        <f t="shared" si="320"/>
        <v>0.46107765120157684</v>
      </c>
      <c r="AP763">
        <f t="shared" si="321"/>
        <v>1.0486938908931416</v>
      </c>
      <c r="AR763">
        <f t="shared" si="322"/>
        <v>0.78898556388825225</v>
      </c>
      <c r="AS763">
        <f t="shared" si="323"/>
        <v>1.3157547635757751</v>
      </c>
      <c r="AT763">
        <f t="shared" si="324"/>
        <v>0.52676919968752289</v>
      </c>
      <c r="AU763">
        <f t="shared" si="325"/>
        <v>2.5215268099118195</v>
      </c>
    </row>
    <row r="764" spans="1:47" x14ac:dyDescent="0.25">
      <c r="A764" s="4">
        <f>DATE(2021,8,26)</f>
        <v>44434</v>
      </c>
      <c r="B764">
        <v>-5.6780481928268234E-2</v>
      </c>
      <c r="C764">
        <v>55.838554626072735</v>
      </c>
      <c r="D764">
        <v>0.66299925308540153</v>
      </c>
      <c r="E764">
        <f t="shared" si="301"/>
        <v>-0.11779823444906164</v>
      </c>
      <c r="F764">
        <f t="shared" si="302"/>
        <v>-0.40272975473871298</v>
      </c>
      <c r="G764">
        <f t="shared" si="303"/>
        <v>-0.11352267801281846</v>
      </c>
      <c r="H764" s="2" t="str">
        <f t="shared" si="304"/>
        <v>Higher</v>
      </c>
      <c r="I764" s="2" t="str">
        <f t="shared" si="305"/>
        <v>Lower</v>
      </c>
      <c r="J764" s="2" t="str">
        <f t="shared" si="306"/>
        <v>Higher</v>
      </c>
      <c r="K764" s="2" t="str">
        <f t="shared" si="307"/>
        <v>Higher</v>
      </c>
      <c r="L764" s="2" t="str">
        <f t="shared" si="308"/>
        <v>Higher</v>
      </c>
      <c r="M764" s="2" t="str">
        <f t="shared" si="309"/>
        <v>Lower</v>
      </c>
      <c r="N764" s="2" t="str">
        <f t="shared" si="310"/>
        <v>Higher</v>
      </c>
      <c r="O764" s="2" t="str">
        <f t="shared" si="311"/>
        <v>Lower</v>
      </c>
      <c r="P764" s="2" t="str">
        <f t="shared" si="312"/>
        <v>Lower</v>
      </c>
      <c r="X764" s="4">
        <f>DATE(2021,8,26)</f>
        <v>44434</v>
      </c>
      <c r="Y764">
        <v>21.66914353522067</v>
      </c>
      <c r="Z764">
        <v>30.6427445281502</v>
      </c>
      <c r="AA764">
        <v>56.74</v>
      </c>
      <c r="AB764">
        <v>45.405249999999995</v>
      </c>
      <c r="AC764">
        <f t="shared" si="313"/>
        <v>4.6675288947709087E-2</v>
      </c>
      <c r="AD764">
        <f t="shared" si="313"/>
        <v>9.3736710585960878E-2</v>
      </c>
      <c r="AE764">
        <f t="shared" si="314"/>
        <v>4.7061421638251791E-2</v>
      </c>
      <c r="AF764">
        <f t="shared" si="315"/>
        <v>0.26693492355506149</v>
      </c>
      <c r="AH764">
        <f t="shared" si="316"/>
        <v>5.195210178445403E-2</v>
      </c>
      <c r="AI764">
        <f t="shared" si="316"/>
        <v>0.10503571610858915</v>
      </c>
      <c r="AJ764">
        <f t="shared" si="317"/>
        <v>5.3083614324135123E-2</v>
      </c>
      <c r="AK764">
        <f t="shared" si="318"/>
        <v>-9.9020987094370835E-2</v>
      </c>
      <c r="AM764">
        <f t="shared" si="319"/>
        <v>0.1102386459297254</v>
      </c>
      <c r="AN764">
        <f t="shared" si="319"/>
        <v>0.56394596053479717</v>
      </c>
      <c r="AO764">
        <f t="shared" si="320"/>
        <v>0.45370731460507174</v>
      </c>
      <c r="AP764">
        <f t="shared" si="321"/>
        <v>1.0289410654863289</v>
      </c>
      <c r="AR764">
        <f t="shared" si="322"/>
        <v>0.75982640047664385</v>
      </c>
      <c r="AS764">
        <f t="shared" si="323"/>
        <v>1.2408232551733271</v>
      </c>
      <c r="AT764">
        <f t="shared" si="324"/>
        <v>0.4809968546966833</v>
      </c>
      <c r="AU764">
        <f t="shared" si="325"/>
        <v>2.2501917735989823</v>
      </c>
    </row>
    <row r="765" spans="1:47" x14ac:dyDescent="0.25">
      <c r="A765" s="4">
        <f>DATE(2021,8,25)</f>
        <v>44433</v>
      </c>
      <c r="B765">
        <v>-0.10513668550131716</v>
      </c>
      <c r="C765">
        <v>54.766552781925121</v>
      </c>
      <c r="D765">
        <v>0.62628778495888227</v>
      </c>
      <c r="E765">
        <f t="shared" si="301"/>
        <v>-0.27665218981997902</v>
      </c>
      <c r="F765">
        <f t="shared" si="302"/>
        <v>-0.50806944738903848</v>
      </c>
      <c r="G765">
        <f t="shared" si="303"/>
        <v>-0.24232290454072319</v>
      </c>
      <c r="H765" s="2" t="str">
        <f t="shared" si="304"/>
        <v>Higher</v>
      </c>
      <c r="I765" s="2" t="str">
        <f t="shared" si="305"/>
        <v>Lower</v>
      </c>
      <c r="J765" s="2" t="str">
        <f t="shared" si="306"/>
        <v>Higher</v>
      </c>
      <c r="K765" s="2" t="str">
        <f t="shared" si="307"/>
        <v>Higher</v>
      </c>
      <c r="L765" s="2" t="str">
        <f t="shared" si="308"/>
        <v>Higher</v>
      </c>
      <c r="M765" s="2" t="str">
        <f t="shared" si="309"/>
        <v>Lower</v>
      </c>
      <c r="N765" s="2" t="str">
        <f t="shared" si="310"/>
        <v>Higher</v>
      </c>
      <c r="O765" s="2" t="str">
        <f t="shared" si="311"/>
        <v>Lower</v>
      </c>
      <c r="P765" s="2" t="str">
        <f t="shared" si="312"/>
        <v>Lower</v>
      </c>
      <c r="X765" s="4">
        <f>DATE(2021,8,25)</f>
        <v>44433</v>
      </c>
      <c r="Y765">
        <v>21.449056902220267</v>
      </c>
      <c r="Z765">
        <v>32.379099366525558</v>
      </c>
      <c r="AA765">
        <v>56.502499999999998</v>
      </c>
      <c r="AB765">
        <v>45.368749999999999</v>
      </c>
      <c r="AC765">
        <f t="shared" si="313"/>
        <v>-7.361888260550258E-3</v>
      </c>
      <c r="AD765">
        <f t="shared" si="313"/>
        <v>2.1237579176533955E-3</v>
      </c>
      <c r="AE765">
        <f t="shared" si="314"/>
        <v>9.4856461782036536E-3</v>
      </c>
      <c r="AF765">
        <f t="shared" si="315"/>
        <v>-0.16466121305070686</v>
      </c>
      <c r="AH765">
        <f t="shared" si="316"/>
        <v>5.0499513306064635E-2</v>
      </c>
      <c r="AI765">
        <f t="shared" si="316"/>
        <v>0.14152737916423613</v>
      </c>
      <c r="AJ765">
        <f t="shared" si="317"/>
        <v>9.1027865858171492E-2</v>
      </c>
      <c r="AK765">
        <f t="shared" si="318"/>
        <v>0.10996418261992129</v>
      </c>
      <c r="AM765">
        <f t="shared" si="319"/>
        <v>9.3285771296438169E-2</v>
      </c>
      <c r="AN765">
        <f t="shared" si="319"/>
        <v>0.56804076392980496</v>
      </c>
      <c r="AO765">
        <f t="shared" si="320"/>
        <v>0.47475499263336679</v>
      </c>
      <c r="AP765">
        <f t="shared" si="321"/>
        <v>1.0977869287889312</v>
      </c>
      <c r="AR765">
        <f t="shared" si="322"/>
        <v>0.72355940646302153</v>
      </c>
      <c r="AS765">
        <f t="shared" si="323"/>
        <v>1.1956045546554193</v>
      </c>
      <c r="AT765">
        <f t="shared" si="324"/>
        <v>0.47204514819239773</v>
      </c>
      <c r="AU765">
        <f t="shared" si="325"/>
        <v>2.19546725154391</v>
      </c>
    </row>
    <row r="766" spans="1:47" x14ac:dyDescent="0.25">
      <c r="A766" s="4">
        <f>DATE(2021,8,24)</f>
        <v>44432</v>
      </c>
      <c r="B766">
        <v>-0.15078947404634901</v>
      </c>
      <c r="C766">
        <v>55.155037859684818</v>
      </c>
      <c r="D766">
        <v>0.66167977112198229</v>
      </c>
      <c r="E766">
        <f t="shared" si="301"/>
        <v>-0.42885703683821796</v>
      </c>
      <c r="F766">
        <f t="shared" si="302"/>
        <v>-0.4766278093054479</v>
      </c>
      <c r="G766">
        <f t="shared" si="303"/>
        <v>-0.11745458566209736</v>
      </c>
      <c r="H766" s="2" t="str">
        <f t="shared" si="304"/>
        <v>Higher</v>
      </c>
      <c r="I766" s="2" t="str">
        <f t="shared" si="305"/>
        <v>Lower</v>
      </c>
      <c r="J766" s="2" t="str">
        <f t="shared" si="306"/>
        <v>Higher</v>
      </c>
      <c r="K766" s="2" t="str">
        <f t="shared" si="307"/>
        <v>Higher</v>
      </c>
      <c r="L766" s="2" t="str">
        <f t="shared" si="308"/>
        <v>Lower</v>
      </c>
      <c r="M766" s="2" t="str">
        <f t="shared" si="309"/>
        <v>Lower</v>
      </c>
      <c r="N766" s="2" t="str">
        <f t="shared" si="310"/>
        <v>Higher</v>
      </c>
      <c r="O766" s="2" t="str">
        <f t="shared" si="311"/>
        <v>Lower</v>
      </c>
      <c r="P766" s="2" t="str">
        <f t="shared" si="312"/>
        <v>Lower</v>
      </c>
      <c r="X766" s="4">
        <f>DATE(2021,8,24)</f>
        <v>44432</v>
      </c>
      <c r="Y766">
        <v>21.530569812490373</v>
      </c>
      <c r="Z766">
        <v>30.301887935528317</v>
      </c>
      <c r="AA766">
        <v>56.352499999999999</v>
      </c>
      <c r="AB766">
        <v>44.608750000000001</v>
      </c>
      <c r="AC766">
        <f t="shared" si="313"/>
        <v>-1.8809607507794299E-2</v>
      </c>
      <c r="AD766">
        <f t="shared" si="313"/>
        <v>-5.5128227137831103E-2</v>
      </c>
      <c r="AE766">
        <f t="shared" si="314"/>
        <v>-3.6318619630036804E-2</v>
      </c>
      <c r="AF766">
        <f t="shared" si="315"/>
        <v>-0.69063580254628276</v>
      </c>
      <c r="AH766">
        <f t="shared" si="316"/>
        <v>5.9496758913713754E-2</v>
      </c>
      <c r="AI766">
        <f t="shared" si="316"/>
        <v>0.17262289540271938</v>
      </c>
      <c r="AJ766">
        <f t="shared" si="317"/>
        <v>0.11312613648900563</v>
      </c>
      <c r="AK766">
        <f t="shared" si="318"/>
        <v>0.23168260525415338</v>
      </c>
      <c r="AM766">
        <f t="shared" si="319"/>
        <v>7.1670945890529525E-2</v>
      </c>
      <c r="AN766">
        <f t="shared" si="319"/>
        <v>0.54600634921000868</v>
      </c>
      <c r="AO766">
        <f t="shared" si="320"/>
        <v>0.47433540331947915</v>
      </c>
      <c r="AP766">
        <f t="shared" si="321"/>
        <v>1.1001775051862188</v>
      </c>
      <c r="AR766">
        <f t="shared" si="322"/>
        <v>0.74219912425483292</v>
      </c>
      <c r="AS766">
        <f t="shared" si="323"/>
        <v>1.1563758183105639</v>
      </c>
      <c r="AT766">
        <f t="shared" si="324"/>
        <v>0.41417669405573099</v>
      </c>
      <c r="AU766">
        <f t="shared" si="325"/>
        <v>1.8466133054486631</v>
      </c>
    </row>
    <row r="767" spans="1:47" x14ac:dyDescent="0.25">
      <c r="A767" s="4">
        <f>DATE(2021,8,23)</f>
        <v>44431</v>
      </c>
      <c r="B767">
        <v>-0.23145687867317621</v>
      </c>
      <c r="C767">
        <v>50.955028716797379</v>
      </c>
      <c r="D767">
        <v>0.47423357557370321</v>
      </c>
      <c r="E767">
        <f t="shared" si="301"/>
        <v>-0.69886031356929212</v>
      </c>
      <c r="F767">
        <f t="shared" si="302"/>
        <v>-0.8903671582837972</v>
      </c>
      <c r="G767">
        <f t="shared" si="303"/>
        <v>-0.789199913246319</v>
      </c>
      <c r="H767" s="2" t="str">
        <f t="shared" si="304"/>
        <v>Higher</v>
      </c>
      <c r="I767" s="2" t="str">
        <f t="shared" si="305"/>
        <v>Lower</v>
      </c>
      <c r="J767" s="2" t="str">
        <f t="shared" si="306"/>
        <v>Higher</v>
      </c>
      <c r="K767" s="2" t="str">
        <f t="shared" si="307"/>
        <v>Higher</v>
      </c>
      <c r="L767" s="2" t="str">
        <f t="shared" si="308"/>
        <v>Lower</v>
      </c>
      <c r="M767" s="2" t="str">
        <f t="shared" si="309"/>
        <v>Lower</v>
      </c>
      <c r="N767" s="2" t="str">
        <f t="shared" si="310"/>
        <v>Higher</v>
      </c>
      <c r="O767" s="2" t="str">
        <f t="shared" si="311"/>
        <v>Lower</v>
      </c>
      <c r="P767" s="2" t="str">
        <f t="shared" si="312"/>
        <v>Higher</v>
      </c>
      <c r="X767" s="4">
        <f>DATE(2021,8,23)</f>
        <v>44431</v>
      </c>
      <c r="Y767">
        <v>21.042014298502622</v>
      </c>
      <c r="Z767">
        <v>28.539986626080104</v>
      </c>
      <c r="AA767">
        <v>55.302500000000002</v>
      </c>
      <c r="AB767">
        <v>41.876249999999999</v>
      </c>
      <c r="AC767">
        <f t="shared" si="313"/>
        <v>-3.7095517304548589E-2</v>
      </c>
      <c r="AD767">
        <f t="shared" si="313"/>
        <v>-0.12832923374435606</v>
      </c>
      <c r="AE767">
        <f t="shared" si="314"/>
        <v>-9.1233716439807475E-2</v>
      </c>
      <c r="AF767">
        <f t="shared" si="315"/>
        <v>-1.3221080148988718</v>
      </c>
      <c r="AH767">
        <f t="shared" si="316"/>
        <v>5.0482296161305562E-2</v>
      </c>
      <c r="AI767">
        <f t="shared" si="316"/>
        <v>0.13219416075050563</v>
      </c>
      <c r="AJ767">
        <f t="shared" si="317"/>
        <v>8.1711864589200073E-2</v>
      </c>
      <c r="AK767">
        <f t="shared" si="318"/>
        <v>5.9596541225497422E-2</v>
      </c>
      <c r="AM767">
        <f t="shared" si="319"/>
        <v>6.7940773163947379E-2</v>
      </c>
      <c r="AN767" t="str">
        <f t="shared" si="319"/>
        <v/>
      </c>
      <c r="AO767" t="str">
        <f t="shared" si="320"/>
        <v/>
      </c>
      <c r="AP767" t="str">
        <f t="shared" si="321"/>
        <v/>
      </c>
      <c r="AR767">
        <f t="shared" si="322"/>
        <v>0.70978498258811662</v>
      </c>
      <c r="AS767">
        <f t="shared" si="323"/>
        <v>1.0603977920878922</v>
      </c>
      <c r="AT767">
        <f t="shared" si="324"/>
        <v>0.35061280949977558</v>
      </c>
      <c r="AU767">
        <f t="shared" si="325"/>
        <v>1.4628673288954819</v>
      </c>
    </row>
    <row r="768" spans="1:47" x14ac:dyDescent="0.25">
      <c r="A768" s="4">
        <f>DATE(2021,8,20)</f>
        <v>44428</v>
      </c>
      <c r="B768">
        <v>-0.2192446620854791</v>
      </c>
      <c r="C768">
        <v>47.589189971252267</v>
      </c>
      <c r="D768">
        <v>0.34622045247701655</v>
      </c>
      <c r="E768">
        <f t="shared" si="301"/>
        <v>-0.660153630725546</v>
      </c>
      <c r="F768">
        <f t="shared" si="302"/>
        <v>-1.2269436963316287</v>
      </c>
      <c r="G768">
        <f t="shared" si="303"/>
        <v>-1.2541676460859186</v>
      </c>
      <c r="H768" s="2" t="str">
        <f t="shared" si="304"/>
        <v>Higher</v>
      </c>
      <c r="I768" s="2" t="str">
        <f t="shared" si="305"/>
        <v>Lower</v>
      </c>
      <c r="J768" s="2" t="str">
        <f t="shared" si="306"/>
        <v>Higher</v>
      </c>
      <c r="K768" s="2" t="str">
        <f t="shared" si="307"/>
        <v>Higher</v>
      </c>
      <c r="L768" s="2" t="str">
        <f t="shared" si="308"/>
        <v>Lower</v>
      </c>
      <c r="M768" s="2" t="str">
        <f t="shared" si="309"/>
        <v>Lower</v>
      </c>
      <c r="N768" s="2" t="str">
        <f t="shared" si="310"/>
        <v>Higher</v>
      </c>
      <c r="O768" s="2" t="str">
        <f t="shared" si="311"/>
        <v>Lower</v>
      </c>
      <c r="P768" s="2" t="str">
        <f t="shared" si="312"/>
        <v>Higher</v>
      </c>
      <c r="X768" s="4">
        <f>DATE(2021,8,20)</f>
        <v>44428</v>
      </c>
      <c r="Y768">
        <v>17.038501064992129</v>
      </c>
      <c r="Z768">
        <v>28.272458035637694</v>
      </c>
      <c r="AA768">
        <v>54.272500000000008</v>
      </c>
      <c r="AB768">
        <v>41.853250000000003</v>
      </c>
      <c r="AC768">
        <f t="shared" si="313"/>
        <v>-2.3805771333584108E-2</v>
      </c>
      <c r="AD768">
        <f t="shared" si="313"/>
        <v>-6.7095161860027452E-2</v>
      </c>
      <c r="AE768">
        <f t="shared" si="314"/>
        <v>-4.3289390526443344E-2</v>
      </c>
      <c r="AF768">
        <f t="shared" si="315"/>
        <v>-0.77834609839151458</v>
      </c>
      <c r="AH768">
        <f t="shared" si="316"/>
        <v>6.8387644146410451E-2</v>
      </c>
      <c r="AI768">
        <f t="shared" si="316"/>
        <v>0.16403130526164991</v>
      </c>
      <c r="AJ768">
        <f t="shared" si="317"/>
        <v>9.5643661115239462E-2</v>
      </c>
      <c r="AK768">
        <f t="shared" si="318"/>
        <v>0.13600909825961677</v>
      </c>
      <c r="AM768">
        <f t="shared" si="319"/>
        <v>5.8864230163773137E-2</v>
      </c>
      <c r="AN768">
        <f t="shared" si="319"/>
        <v>0.51849875830444681</v>
      </c>
      <c r="AO768">
        <f t="shared" si="320"/>
        <v>0.45963452814067368</v>
      </c>
      <c r="AP768">
        <f t="shared" si="321"/>
        <v>1.0566849758778893</v>
      </c>
      <c r="AR768">
        <f t="shared" si="322"/>
        <v>0.72978612639177554</v>
      </c>
      <c r="AS768">
        <f t="shared" si="323"/>
        <v>1.0777634842738275</v>
      </c>
      <c r="AT768">
        <f t="shared" si="324"/>
        <v>0.34797735788205197</v>
      </c>
      <c r="AU768">
        <f t="shared" si="325"/>
        <v>1.4431803116967161</v>
      </c>
    </row>
    <row r="769" spans="1:47" x14ac:dyDescent="0.25">
      <c r="A769" s="4">
        <f>DATE(2021,8,19)</f>
        <v>44427</v>
      </c>
      <c r="B769">
        <v>-9.532801685086234E-2</v>
      </c>
      <c r="C769">
        <v>44.337618711291654</v>
      </c>
      <c r="D769">
        <v>0.27503432595753202</v>
      </c>
      <c r="E769">
        <f t="shared" si="301"/>
        <v>-0.24741667561801239</v>
      </c>
      <c r="F769">
        <f t="shared" si="302"/>
        <v>-1.5582699291065225</v>
      </c>
      <c r="G769">
        <f t="shared" si="303"/>
        <v>-1.5241227284810066</v>
      </c>
      <c r="H769" s="2" t="str">
        <f t="shared" si="304"/>
        <v>Higher</v>
      </c>
      <c r="I769" s="2" t="str">
        <f t="shared" si="305"/>
        <v>Lower</v>
      </c>
      <c r="J769" s="2" t="str">
        <f t="shared" si="306"/>
        <v>Higher</v>
      </c>
      <c r="K769" s="2" t="str">
        <f t="shared" si="307"/>
        <v>Higher</v>
      </c>
      <c r="L769" s="2" t="str">
        <f t="shared" si="308"/>
        <v>Lower</v>
      </c>
      <c r="M769" s="2" t="str">
        <f t="shared" si="309"/>
        <v>Lower</v>
      </c>
      <c r="N769" s="2" t="str">
        <f t="shared" si="310"/>
        <v>Higher</v>
      </c>
      <c r="O769" s="2" t="str">
        <f t="shared" si="311"/>
        <v>Lower</v>
      </c>
      <c r="P769" s="2" t="str">
        <f t="shared" si="312"/>
        <v>Higher</v>
      </c>
      <c r="X769" s="4">
        <f>DATE(2021,8,19)</f>
        <v>44427</v>
      </c>
      <c r="Y769">
        <v>17.959581733338936</v>
      </c>
      <c r="Z769">
        <v>30.520667409018827</v>
      </c>
      <c r="AA769">
        <v>54.152500000000003</v>
      </c>
      <c r="AB769">
        <v>41.342500000000001</v>
      </c>
      <c r="AC769">
        <f t="shared" si="313"/>
        <v>-4.5087847041019133E-2</v>
      </c>
      <c r="AD769">
        <f t="shared" si="313"/>
        <v>-0.10453051659020549</v>
      </c>
      <c r="AE769">
        <f t="shared" si="314"/>
        <v>-5.9442669549186353E-2</v>
      </c>
      <c r="AF769">
        <f t="shared" si="315"/>
        <v>-0.96598501206515375</v>
      </c>
      <c r="AH769">
        <f t="shared" si="316"/>
        <v>6.037074148502667E-2</v>
      </c>
      <c r="AI769">
        <f t="shared" si="316"/>
        <v>0.13599297597457996</v>
      </c>
      <c r="AJ769">
        <f t="shared" si="317"/>
        <v>7.5622234489553297E-2</v>
      </c>
      <c r="AK769">
        <f t="shared" si="318"/>
        <v>2.6760441485775065E-2</v>
      </c>
      <c r="AM769">
        <f t="shared" si="319"/>
        <v>3.9263186701961821E-2</v>
      </c>
      <c r="AN769">
        <f t="shared" si="319"/>
        <v>0.48615808460759086</v>
      </c>
      <c r="AO769">
        <f t="shared" si="320"/>
        <v>0.44689489790562903</v>
      </c>
      <c r="AP769">
        <f t="shared" si="321"/>
        <v>1.0203517844331893</v>
      </c>
      <c r="AR769">
        <f t="shared" si="322"/>
        <v>0.73717514585897759</v>
      </c>
      <c r="AS769">
        <f t="shared" si="323"/>
        <v>1.0810495751334543</v>
      </c>
      <c r="AT769">
        <f t="shared" si="324"/>
        <v>0.34387442927447676</v>
      </c>
      <c r="AU769">
        <f t="shared" si="325"/>
        <v>1.4149579453843024</v>
      </c>
    </row>
    <row r="770" spans="1:47" x14ac:dyDescent="0.25">
      <c r="A770" s="4">
        <f>DATE(2021,8,18)</f>
        <v>44426</v>
      </c>
      <c r="B770">
        <v>0.18750155517835043</v>
      </c>
      <c r="C770">
        <v>58.158103712047655</v>
      </c>
      <c r="D770">
        <v>0.74179442628644565</v>
      </c>
      <c r="E770">
        <f t="shared" si="301"/>
        <v>0.70002728520717361</v>
      </c>
      <c r="F770">
        <f t="shared" si="302"/>
        <v>-0.2159685170188585</v>
      </c>
      <c r="G770">
        <f t="shared" si="303"/>
        <v>0.15138357198843291</v>
      </c>
      <c r="H770" s="2" t="str">
        <f t="shared" si="304"/>
        <v>Higher</v>
      </c>
      <c r="I770" s="2" t="str">
        <f t="shared" si="305"/>
        <v>Lower</v>
      </c>
      <c r="J770" s="2" t="str">
        <f t="shared" si="306"/>
        <v>Higher</v>
      </c>
      <c r="K770" s="2" t="str">
        <f t="shared" si="307"/>
        <v>Higher</v>
      </c>
      <c r="L770" s="2" t="str">
        <f t="shared" si="308"/>
        <v>Lower</v>
      </c>
      <c r="M770" s="2" t="str">
        <f t="shared" si="309"/>
        <v>Lower</v>
      </c>
      <c r="N770" s="2" t="str">
        <f t="shared" si="310"/>
        <v>Higher</v>
      </c>
      <c r="O770" s="2" t="str">
        <f t="shared" si="311"/>
        <v>Lower</v>
      </c>
      <c r="P770" s="2" t="str">
        <f t="shared" si="312"/>
        <v>Higher</v>
      </c>
      <c r="X770" s="4">
        <f>DATE(2021,8,18)</f>
        <v>44426</v>
      </c>
      <c r="Y770">
        <v>21.435976781581527</v>
      </c>
      <c r="Z770">
        <v>36.994562803274746</v>
      </c>
      <c r="AA770">
        <v>56.92</v>
      </c>
      <c r="AB770">
        <v>45.272499999999994</v>
      </c>
      <c r="AC770">
        <f t="shared" si="313"/>
        <v>-8.8765094515994986E-3</v>
      </c>
      <c r="AD770">
        <f t="shared" si="313"/>
        <v>-1.0885372832867337E-2</v>
      </c>
      <c r="AE770">
        <f t="shared" si="314"/>
        <v>-2.0088633812678381E-3</v>
      </c>
      <c r="AF770">
        <f t="shared" si="315"/>
        <v>-0.31033010076030271</v>
      </c>
      <c r="AH770">
        <f t="shared" si="316"/>
        <v>9.2954383436494134E-2</v>
      </c>
      <c r="AI770">
        <f t="shared" si="316"/>
        <v>0.23225501052811845</v>
      </c>
      <c r="AJ770">
        <f t="shared" si="317"/>
        <v>0.13930062709162433</v>
      </c>
      <c r="AK770">
        <f t="shared" si="318"/>
        <v>0.37420936815378947</v>
      </c>
      <c r="AM770">
        <f t="shared" si="319"/>
        <v>5.8932339670972625E-2</v>
      </c>
      <c r="AN770">
        <f t="shared" si="319"/>
        <v>0.53399965761949397</v>
      </c>
      <c r="AO770">
        <f t="shared" si="320"/>
        <v>0.47506731794852136</v>
      </c>
      <c r="AP770">
        <f t="shared" si="321"/>
        <v>1.1113417038436331</v>
      </c>
      <c r="AR770">
        <f t="shared" si="322"/>
        <v>0.76998876291448148</v>
      </c>
      <c r="AS770">
        <f t="shared" si="323"/>
        <v>1.1631618540988184</v>
      </c>
      <c r="AT770">
        <f t="shared" si="324"/>
        <v>0.39317309118433696</v>
      </c>
      <c r="AU770">
        <f t="shared" si="325"/>
        <v>1.699323448063373</v>
      </c>
    </row>
    <row r="771" spans="1:47" x14ac:dyDescent="0.25">
      <c r="A771" s="4">
        <f>DATE(2021,8,17)</f>
        <v>44425</v>
      </c>
      <c r="B771">
        <v>0.24066618168640619</v>
      </c>
      <c r="C771">
        <v>58.625567362863713</v>
      </c>
      <c r="D771">
        <v>0.77811500112136756</v>
      </c>
      <c r="E771">
        <f t="shared" si="301"/>
        <v>0.88131136881641214</v>
      </c>
      <c r="F771">
        <f t="shared" si="302"/>
        <v>-0.17095884772927841</v>
      </c>
      <c r="G771">
        <f t="shared" si="303"/>
        <v>0.28580336233653331</v>
      </c>
      <c r="H771" s="2" t="str">
        <f t="shared" si="304"/>
        <v>Lower</v>
      </c>
      <c r="I771" s="2" t="str">
        <f t="shared" si="305"/>
        <v>Lower</v>
      </c>
      <c r="J771" s="2" t="str">
        <f t="shared" si="306"/>
        <v>Higher</v>
      </c>
      <c r="K771" s="2" t="str">
        <f t="shared" si="307"/>
        <v>Higher</v>
      </c>
      <c r="L771" s="2" t="str">
        <f t="shared" si="308"/>
        <v>Lower</v>
      </c>
      <c r="M771" s="2" t="str">
        <f t="shared" si="309"/>
        <v>Lower</v>
      </c>
      <c r="N771" s="2" t="str">
        <f t="shared" si="310"/>
        <v>Higher</v>
      </c>
      <c r="O771" s="2" t="str">
        <f t="shared" si="311"/>
        <v>Lower</v>
      </c>
      <c r="P771" s="2" t="str">
        <f t="shared" si="312"/>
        <v>Higher</v>
      </c>
      <c r="X771" s="4">
        <f>DATE(2021,8,17)</f>
        <v>44425</v>
      </c>
      <c r="Y771">
        <v>23.993700786068121</v>
      </c>
      <c r="Z771">
        <v>44.911579409274601</v>
      </c>
      <c r="AA771">
        <v>57.422499999999999</v>
      </c>
      <c r="AB771">
        <v>47.137</v>
      </c>
      <c r="AC771">
        <f t="shared" si="313"/>
        <v>2.964902978577484E-3</v>
      </c>
      <c r="AD771">
        <f t="shared" si="313"/>
        <v>5.448394234167394E-2</v>
      </c>
      <c r="AE771">
        <f t="shared" si="314"/>
        <v>5.1519039363096458E-2</v>
      </c>
      <c r="AF771">
        <f t="shared" si="315"/>
        <v>0.30230202816001606</v>
      </c>
      <c r="AH771">
        <f t="shared" si="316"/>
        <v>0.11128453976537384</v>
      </c>
      <c r="AI771">
        <f t="shared" si="316"/>
        <v>0.29578347965055152</v>
      </c>
      <c r="AJ771">
        <f t="shared" si="317"/>
        <v>0.18449893988517768</v>
      </c>
      <c r="AK771">
        <f t="shared" si="318"/>
        <v>0.62098481354313839</v>
      </c>
      <c r="AM771">
        <f t="shared" si="319"/>
        <v>7.6988905166627181E-2</v>
      </c>
      <c r="AN771">
        <f t="shared" si="319"/>
        <v>0.59669398598304857</v>
      </c>
      <c r="AO771">
        <f t="shared" si="320"/>
        <v>0.51970508081642142</v>
      </c>
      <c r="AP771">
        <f t="shared" si="321"/>
        <v>1.2544266979996153</v>
      </c>
      <c r="AR771">
        <f t="shared" si="322"/>
        <v>0.78039210113917235</v>
      </c>
      <c r="AS771">
        <f t="shared" si="323"/>
        <v>1.2154305184565766</v>
      </c>
      <c r="AT771">
        <f t="shared" si="324"/>
        <v>0.43503841731740422</v>
      </c>
      <c r="AU771">
        <f t="shared" si="325"/>
        <v>1.9372741844726087</v>
      </c>
    </row>
    <row r="772" spans="1:47" x14ac:dyDescent="0.25">
      <c r="A772" s="4">
        <f>DATE(2021,8,16)</f>
        <v>44424</v>
      </c>
      <c r="B772">
        <v>0.28306546489486062</v>
      </c>
      <c r="C772">
        <v>62.998390739238467</v>
      </c>
      <c r="D772">
        <v>0.90891995471071863</v>
      </c>
      <c r="E772">
        <f t="shared" si="301"/>
        <v>1.0224620949292618</v>
      </c>
      <c r="F772">
        <f t="shared" si="302"/>
        <v>0.25789580909401583</v>
      </c>
      <c r="G772">
        <f t="shared" si="303"/>
        <v>0.76300582969674269</v>
      </c>
      <c r="H772" s="2" t="str">
        <f t="shared" si="304"/>
        <v>Lower</v>
      </c>
      <c r="I772" s="2" t="str">
        <f t="shared" si="305"/>
        <v>Lower</v>
      </c>
      <c r="J772" s="2" t="str">
        <f t="shared" si="306"/>
        <v>Higher</v>
      </c>
      <c r="K772" s="2" t="str">
        <f t="shared" si="307"/>
        <v>Higher</v>
      </c>
      <c r="L772" s="2" t="str">
        <f t="shared" si="308"/>
        <v>Lower</v>
      </c>
      <c r="M772" s="2" t="str">
        <f t="shared" si="309"/>
        <v>Lower</v>
      </c>
      <c r="N772" s="2" t="str">
        <f t="shared" si="310"/>
        <v>Lower</v>
      </c>
      <c r="O772" s="2" t="str">
        <f t="shared" si="311"/>
        <v>Lower</v>
      </c>
      <c r="P772" s="2" t="str">
        <f t="shared" si="312"/>
        <v>Higher</v>
      </c>
      <c r="X772" s="4">
        <f>DATE(2021,8,16)</f>
        <v>44424</v>
      </c>
      <c r="Y772">
        <v>25.292596863413447</v>
      </c>
      <c r="Z772">
        <v>47.533645816198607</v>
      </c>
      <c r="AA772">
        <v>57.392499999999998</v>
      </c>
      <c r="AB772">
        <v>47.610250000000001</v>
      </c>
      <c r="AC772">
        <f t="shared" si="313"/>
        <v>1.3286464114912182E-2</v>
      </c>
      <c r="AD772">
        <f t="shared" si="313"/>
        <v>0.10422286938972733</v>
      </c>
      <c r="AE772">
        <f t="shared" si="314"/>
        <v>9.0936405274815141E-2</v>
      </c>
      <c r="AF772">
        <f t="shared" si="315"/>
        <v>0.7535930163948642</v>
      </c>
      <c r="AH772">
        <f t="shared" si="316"/>
        <v>8.5487948546394854E-2</v>
      </c>
      <c r="AI772">
        <f t="shared" si="316"/>
        <v>0.28145459936124634</v>
      </c>
      <c r="AJ772">
        <f t="shared" si="317"/>
        <v>0.19596665081485148</v>
      </c>
      <c r="AK772">
        <f t="shared" si="318"/>
        <v>0.68471034996749636</v>
      </c>
      <c r="AM772">
        <f t="shared" si="319"/>
        <v>9.3443212604148104E-2</v>
      </c>
      <c r="AN772">
        <f t="shared" si="319"/>
        <v>0.65599182612747198</v>
      </c>
      <c r="AO772">
        <f t="shared" si="320"/>
        <v>0.56254861352332386</v>
      </c>
      <c r="AP772">
        <f t="shared" si="321"/>
        <v>1.3934796277361714</v>
      </c>
      <c r="AR772">
        <f t="shared" si="322"/>
        <v>0.77702321959315013</v>
      </c>
      <c r="AS772">
        <f t="shared" si="323"/>
        <v>1.2349433632652087</v>
      </c>
      <c r="AT772">
        <f t="shared" si="324"/>
        <v>0.45792014367205858</v>
      </c>
      <c r="AU772">
        <f t="shared" si="325"/>
        <v>2.0646098085139721</v>
      </c>
    </row>
    <row r="773" spans="1:47" x14ac:dyDescent="0.25">
      <c r="A773" s="4">
        <f>DATE(2021,8,13)</f>
        <v>44421</v>
      </c>
      <c r="B773">
        <v>0.22111012033322797</v>
      </c>
      <c r="C773">
        <v>53.337315420295255</v>
      </c>
      <c r="D773">
        <v>0.63505376946615066</v>
      </c>
      <c r="E773">
        <f t="shared" ref="E773:E836" si="326">(B773-AVERAGE(B773:B902))/_xlfn.STDEV.S(B773:B902)</f>
        <v>0.80905226661428076</v>
      </c>
      <c r="F773">
        <f t="shared" ref="F773:F836" si="327">(C773-AVERAGE(C773:C902))/_xlfn.STDEV.S(C773:C902)</f>
        <v>-0.70221279440660966</v>
      </c>
      <c r="G773">
        <f t="shared" ref="G773:G836" si="328">(D773-AVERAGE(D773:D902))/_xlfn.STDEV.S(D773:D902)</f>
        <v>-0.2337143785394292</v>
      </c>
      <c r="H773" s="2" t="str">
        <f t="shared" ref="H773:H836" si="329">IF(AVERAGEA(C773:C793)&gt;AVERAGE(C794:C814),"Higher","Lower")</f>
        <v>Lower</v>
      </c>
      <c r="I773" s="2" t="str">
        <f t="shared" ref="I773:I836" si="330">IF(AVERAGEA(C773:C828)&gt;AVERAGE(C829:C884),"Higher","Lower")</f>
        <v>Lower</v>
      </c>
      <c r="J773" s="2" t="str">
        <f t="shared" ref="J773:J836" si="331">IF(AVERAGEA(C773:C885)&gt;AVERAGE(C886:C998),"Higher","Lower")</f>
        <v>Higher</v>
      </c>
      <c r="K773" s="2" t="str">
        <f t="shared" ref="K773:K836" si="332">IF(AVERAGEA(B773:B793)&gt;AVERAGE(B794:B814),"Higher","Lower")</f>
        <v>Higher</v>
      </c>
      <c r="L773" s="2" t="str">
        <f t="shared" ref="L773:L836" si="333">IF(AVERAGEA(B773:B828)&gt;AVERAGE(B829:B884),"Higher","Lower")</f>
        <v>Lower</v>
      </c>
      <c r="M773" s="2" t="str">
        <f t="shared" ref="M773:M836" si="334">IF(AVERAGEA(B773:B885)&gt;AVERAGE(B886:B998),"Higher","Lower")</f>
        <v>Lower</v>
      </c>
      <c r="N773" s="2" t="str">
        <f t="shared" ref="N773:N836" si="335">IF(AVERAGEA(D773:D793)&gt;AVERAGE(D794:D814),"Higher","Lower")</f>
        <v>Lower</v>
      </c>
      <c r="O773" s="2" t="str">
        <f t="shared" ref="O773:O836" si="336">IF(AVERAGEA(D773:D828)&gt;AVERAGE(D829:D884),"Higher","Lower")</f>
        <v>Lower</v>
      </c>
      <c r="P773" s="2" t="str">
        <f t="shared" ref="P773:P836" si="337">IF(AVERAGEA(D773:D885)&gt;AVERAGE(D886:D998),"Higher","Lower")</f>
        <v>Higher</v>
      </c>
      <c r="X773" s="4">
        <f>DATE(2021,8,13)</f>
        <v>44421</v>
      </c>
      <c r="Y773">
        <v>20.668445684626764</v>
      </c>
      <c r="Z773">
        <v>42.153930613071871</v>
      </c>
      <c r="AA773">
        <v>55.58</v>
      </c>
      <c r="AB773">
        <v>44.757750000000001</v>
      </c>
      <c r="AC773">
        <f t="shared" ref="AC773:AD836" si="338">IFERROR(LN(AA773/AA778),"")</f>
        <v>-1.8141390307966122E-2</v>
      </c>
      <c r="AD773">
        <f t="shared" si="338"/>
        <v>3.1490891899826172E-2</v>
      </c>
      <c r="AE773">
        <f t="shared" ref="AE773:AE836" si="339">IFERROR(AD773-AC773,"")</f>
        <v>4.9632282207792297E-2</v>
      </c>
      <c r="AF773">
        <f t="shared" ref="AF773:AF836" si="340">IFERROR((AE773-AVERAGEA(AE773:AE1295))/_xlfn.STDEV.S(AE773:AE1290),"")</f>
        <v>0.28376319305106168</v>
      </c>
      <c r="AH773">
        <f t="shared" ref="AH773:AI836" si="341">IFERROR(LN(AA773/AA793),"")</f>
        <v>4.8853138444461472E-2</v>
      </c>
      <c r="AI773">
        <f t="shared" si="341"/>
        <v>0.24728176979365801</v>
      </c>
      <c r="AJ773">
        <f t="shared" ref="AJ773:AJ836" si="342">IFERROR(AI773-AH773,"")</f>
        <v>0.19842863134919653</v>
      </c>
      <c r="AK773">
        <f t="shared" ref="AK773:AK836" si="343">IFERROR((AJ773-AVERAGEA(AJ773:AJ1295))/_xlfn.STDEV.S(AJ773:AJ1290),"")</f>
        <v>0.69970448139757557</v>
      </c>
      <c r="AM773">
        <f t="shared" ref="AM773:AN836" si="344">IFERROR(LN(AA773/AA833),"")</f>
        <v>6.6387416529376492E-2</v>
      </c>
      <c r="AN773">
        <f t="shared" si="344"/>
        <v>0.58499217508564072</v>
      </c>
      <c r="AO773">
        <f t="shared" ref="AO773:AO836" si="345">IFERROR(AN773-AM773,"")</f>
        <v>0.5186047585562642</v>
      </c>
      <c r="AP773">
        <f t="shared" ref="AP773:AP836" si="346">IFERROR((AO773-AVERAGEA(AO773:AO1295))/_xlfn.STDEV.S(AO773:AO1290),"")</f>
        <v>1.2633594360368572</v>
      </c>
      <c r="AR773">
        <f t="shared" ref="AR773:AR836" si="347">IFERROR(LN(AA773/AA973),"")</f>
        <v>0.77914497214997724</v>
      </c>
      <c r="AS773">
        <f t="shared" ref="AS773:AS836" si="348">IFERROR(LN(AB773/AB973),"")</f>
        <v>1.1651580623058619</v>
      </c>
      <c r="AT773">
        <f t="shared" ref="AT773:AT836" si="349">IFERROR(AS773-AR773,"")</f>
        <v>0.3860130901558847</v>
      </c>
      <c r="AU773">
        <f t="shared" ref="AU773:AU836" si="350">IFERROR((AT773-AVERAGEA(AT773:AT1295))/_xlfn.STDEV.S(AT773:AT1290),"")</f>
        <v>1.6479392444680709</v>
      </c>
    </row>
    <row r="774" spans="1:47" x14ac:dyDescent="0.25">
      <c r="A774" s="4">
        <f>DATE(2021,8,12)</f>
        <v>44420</v>
      </c>
      <c r="B774">
        <v>0.37661886357493801</v>
      </c>
      <c r="C774">
        <v>57.771007729960218</v>
      </c>
      <c r="D774">
        <v>0.75443230339141809</v>
      </c>
      <c r="E774">
        <f t="shared" si="326"/>
        <v>1.3155373954282088</v>
      </c>
      <c r="F774">
        <f t="shared" si="327"/>
        <v>-0.27753607352850551</v>
      </c>
      <c r="G774">
        <f t="shared" si="328"/>
        <v>0.19279505851669196</v>
      </c>
      <c r="H774" s="2" t="str">
        <f t="shared" si="329"/>
        <v>Lower</v>
      </c>
      <c r="I774" s="2" t="str">
        <f t="shared" si="330"/>
        <v>Lower</v>
      </c>
      <c r="J774" s="2" t="str">
        <f t="shared" si="331"/>
        <v>Higher</v>
      </c>
      <c r="K774" s="2" t="str">
        <f t="shared" si="332"/>
        <v>Higher</v>
      </c>
      <c r="L774" s="2" t="str">
        <f t="shared" si="333"/>
        <v>Lower</v>
      </c>
      <c r="M774" s="2" t="str">
        <f t="shared" si="334"/>
        <v>Lower</v>
      </c>
      <c r="N774" s="2" t="str">
        <f t="shared" si="335"/>
        <v>Lower</v>
      </c>
      <c r="O774" s="2" t="str">
        <f t="shared" si="336"/>
        <v>Lower</v>
      </c>
      <c r="P774" s="2" t="str">
        <f t="shared" si="337"/>
        <v>Higher</v>
      </c>
      <c r="X774" s="4">
        <f>DATE(2021,8,12)</f>
        <v>44420</v>
      </c>
      <c r="Y774">
        <v>21.828558111692431</v>
      </c>
      <c r="Z774">
        <v>45.196951231238899</v>
      </c>
      <c r="AA774">
        <v>56.65</v>
      </c>
      <c r="AB774">
        <v>45.897999999999996</v>
      </c>
      <c r="AC774">
        <f t="shared" si="338"/>
        <v>1.6956724851473627E-2</v>
      </c>
      <c r="AD774">
        <f t="shared" si="338"/>
        <v>7.5782817043425932E-2</v>
      </c>
      <c r="AE774">
        <f t="shared" si="339"/>
        <v>5.8826092191952305E-2</v>
      </c>
      <c r="AF774">
        <f t="shared" si="340"/>
        <v>0.38911648114062281</v>
      </c>
      <c r="AH774">
        <f t="shared" si="341"/>
        <v>6.9481579966311269E-2</v>
      </c>
      <c r="AI774">
        <f t="shared" si="341"/>
        <v>0.30146641739148144</v>
      </c>
      <c r="AJ774">
        <f t="shared" si="342"/>
        <v>0.23198483742517018</v>
      </c>
      <c r="AK774">
        <f t="shared" si="343"/>
        <v>0.88340719004387436</v>
      </c>
      <c r="AM774">
        <f t="shared" si="344"/>
        <v>8.6562147891282595E-2</v>
      </c>
      <c r="AN774">
        <f t="shared" si="344"/>
        <v>0.63692303697489594</v>
      </c>
      <c r="AO774">
        <f t="shared" si="345"/>
        <v>0.55036088908361336</v>
      </c>
      <c r="AP774">
        <f t="shared" si="346"/>
        <v>1.3682009314678265</v>
      </c>
      <c r="AR774">
        <f t="shared" si="347"/>
        <v>0.78865155397591069</v>
      </c>
      <c r="AS774">
        <f t="shared" si="348"/>
        <v>1.1572854355294353</v>
      </c>
      <c r="AT774">
        <f t="shared" si="349"/>
        <v>0.36863388155352461</v>
      </c>
      <c r="AU774">
        <f t="shared" si="350"/>
        <v>1.5432399388762448</v>
      </c>
    </row>
    <row r="775" spans="1:47" x14ac:dyDescent="0.25">
      <c r="A775" s="4">
        <f>DATE(2021,8,11)</f>
        <v>44419</v>
      </c>
      <c r="B775">
        <v>0.49422431106805809</v>
      </c>
      <c r="C775">
        <v>66.658167088070499</v>
      </c>
      <c r="D775">
        <v>0.96501906006495564</v>
      </c>
      <c r="E775">
        <f t="shared" si="326"/>
        <v>1.7023092543932723</v>
      </c>
      <c r="F775">
        <f t="shared" si="327"/>
        <v>0.58850712562995366</v>
      </c>
      <c r="G775">
        <f t="shared" si="328"/>
        <v>0.95448911787292356</v>
      </c>
      <c r="H775" s="2" t="str">
        <f t="shared" si="329"/>
        <v>Lower</v>
      </c>
      <c r="I775" s="2" t="str">
        <f t="shared" si="330"/>
        <v>Lower</v>
      </c>
      <c r="J775" s="2" t="str">
        <f t="shared" si="331"/>
        <v>Higher</v>
      </c>
      <c r="K775" s="2" t="str">
        <f t="shared" si="332"/>
        <v>Lower</v>
      </c>
      <c r="L775" s="2" t="str">
        <f t="shared" si="333"/>
        <v>Lower</v>
      </c>
      <c r="M775" s="2" t="str">
        <f t="shared" si="334"/>
        <v>Lower</v>
      </c>
      <c r="N775" s="2" t="str">
        <f t="shared" si="335"/>
        <v>Lower</v>
      </c>
      <c r="O775" s="2" t="str">
        <f t="shared" si="336"/>
        <v>Lower</v>
      </c>
      <c r="P775" s="2" t="str">
        <f t="shared" si="337"/>
        <v>Higher</v>
      </c>
      <c r="X775" s="4">
        <f>DATE(2021,8,11)</f>
        <v>44419</v>
      </c>
      <c r="Y775">
        <v>24.101651611120047</v>
      </c>
      <c r="Z775">
        <v>47.765237907768906</v>
      </c>
      <c r="AA775">
        <v>57.427500000000002</v>
      </c>
      <c r="AB775">
        <v>45.768000000000001</v>
      </c>
      <c r="AC775">
        <f t="shared" si="338"/>
        <v>4.0013330530451217E-2</v>
      </c>
      <c r="AD775">
        <f t="shared" si="338"/>
        <v>8.4095766900940588E-2</v>
      </c>
      <c r="AE775">
        <f t="shared" si="339"/>
        <v>4.4082436370489371E-2</v>
      </c>
      <c r="AF775">
        <f t="shared" si="340"/>
        <v>0.22203438447259793</v>
      </c>
      <c r="AH775">
        <f t="shared" si="341"/>
        <v>7.1589571962478449E-2</v>
      </c>
      <c r="AI775">
        <f t="shared" si="341"/>
        <v>0.28168424737424991</v>
      </c>
      <c r="AJ775">
        <f t="shared" si="342"/>
        <v>0.21009467541177146</v>
      </c>
      <c r="AK775">
        <f t="shared" si="343"/>
        <v>0.76741001502813699</v>
      </c>
      <c r="AM775">
        <f t="shared" si="344"/>
        <v>0.13361224317232903</v>
      </c>
      <c r="AN775">
        <f t="shared" si="344"/>
        <v>0.68781923882103335</v>
      </c>
      <c r="AO775">
        <f t="shared" si="345"/>
        <v>0.55420699564870435</v>
      </c>
      <c r="AP775">
        <f t="shared" si="346"/>
        <v>1.3871527606596763</v>
      </c>
      <c r="AR775">
        <f t="shared" si="347"/>
        <v>0.83857137287787464</v>
      </c>
      <c r="AS775">
        <f t="shared" si="348"/>
        <v>1.1943978042897423</v>
      </c>
      <c r="AT775">
        <f t="shared" si="349"/>
        <v>0.35582643141186765</v>
      </c>
      <c r="AU775">
        <f t="shared" si="350"/>
        <v>1.4653326035753336</v>
      </c>
    </row>
    <row r="776" spans="1:47" x14ac:dyDescent="0.25">
      <c r="A776" s="4">
        <f>DATE(2021,8,10)</f>
        <v>44418</v>
      </c>
      <c r="B776">
        <v>0.47772710655652867</v>
      </c>
      <c r="C776">
        <v>65.457091224989298</v>
      </c>
      <c r="D776">
        <v>0.99356575013628468</v>
      </c>
      <c r="E776">
        <f t="shared" si="326"/>
        <v>1.6484101082430291</v>
      </c>
      <c r="F776">
        <f t="shared" si="327"/>
        <v>0.46401862326567561</v>
      </c>
      <c r="G776">
        <f t="shared" si="328"/>
        <v>1.0574556089620135</v>
      </c>
      <c r="H776" s="2" t="str">
        <f t="shared" si="329"/>
        <v>Lower</v>
      </c>
      <c r="I776" s="2" t="str">
        <f t="shared" si="330"/>
        <v>Lower</v>
      </c>
      <c r="J776" s="2" t="str">
        <f t="shared" si="331"/>
        <v>Higher</v>
      </c>
      <c r="K776" s="2" t="str">
        <f t="shared" si="332"/>
        <v>Lower</v>
      </c>
      <c r="L776" s="2" t="str">
        <f t="shared" si="333"/>
        <v>Lower</v>
      </c>
      <c r="M776" s="2" t="str">
        <f t="shared" si="334"/>
        <v>Lower</v>
      </c>
      <c r="N776" s="2" t="str">
        <f t="shared" si="335"/>
        <v>Lower</v>
      </c>
      <c r="O776" s="2" t="str">
        <f t="shared" si="336"/>
        <v>Lower</v>
      </c>
      <c r="P776" s="2" t="str">
        <f t="shared" si="337"/>
        <v>Higher</v>
      </c>
      <c r="X776" s="4">
        <f>DATE(2021,8,10)</f>
        <v>44418</v>
      </c>
      <c r="Y776">
        <v>26.644138236984936</v>
      </c>
      <c r="Z776">
        <v>45.030651159909063</v>
      </c>
      <c r="AA776">
        <v>57.252499999999998</v>
      </c>
      <c r="AB776">
        <v>44.637500000000003</v>
      </c>
      <c r="AC776">
        <f t="shared" si="338"/>
        <v>5.1336961556396409E-2</v>
      </c>
      <c r="AD776">
        <f t="shared" si="338"/>
        <v>7.4170873987675856E-2</v>
      </c>
      <c r="AE776">
        <f t="shared" si="339"/>
        <v>2.2833912431279448E-2</v>
      </c>
      <c r="AF776">
        <f t="shared" si="340"/>
        <v>-1.8997699171891144E-2</v>
      </c>
      <c r="AH776">
        <f t="shared" si="341"/>
        <v>8.5468371870028204E-2</v>
      </c>
      <c r="AI776">
        <f t="shared" si="341"/>
        <v>0.23677567264999294</v>
      </c>
      <c r="AJ776">
        <f t="shared" si="342"/>
        <v>0.15130730077996474</v>
      </c>
      <c r="AK776">
        <f t="shared" si="343"/>
        <v>0.45111692920528051</v>
      </c>
      <c r="AM776">
        <f t="shared" si="344"/>
        <v>6.2895111493340206E-2</v>
      </c>
      <c r="AN776">
        <f t="shared" si="344"/>
        <v>0.5792985680310393</v>
      </c>
      <c r="AO776">
        <f t="shared" si="345"/>
        <v>0.51640345653769915</v>
      </c>
      <c r="AP776">
        <f t="shared" si="346"/>
        <v>1.275819484770526</v>
      </c>
      <c r="AR776">
        <f t="shared" si="347"/>
        <v>0.85853936110806628</v>
      </c>
      <c r="AS776">
        <f t="shared" si="348"/>
        <v>1.1804488193463438</v>
      </c>
      <c r="AT776">
        <f t="shared" si="349"/>
        <v>0.32190945823827755</v>
      </c>
      <c r="AU776">
        <f t="shared" si="350"/>
        <v>1.2695398509414906</v>
      </c>
    </row>
    <row r="777" spans="1:47" x14ac:dyDescent="0.25">
      <c r="A777" s="4">
        <f>DATE(2021,8,9)</f>
        <v>44417</v>
      </c>
      <c r="B777">
        <v>0.44288778766124576</v>
      </c>
      <c r="C777">
        <v>62.800175179308674</v>
      </c>
      <c r="D777">
        <v>0.96694858924725535</v>
      </c>
      <c r="E777">
        <f t="shared" si="326"/>
        <v>1.5344931046462349</v>
      </c>
      <c r="F777">
        <f t="shared" si="327"/>
        <v>0.20033316780693478</v>
      </c>
      <c r="G777">
        <f t="shared" si="328"/>
        <v>0.96371197498851502</v>
      </c>
      <c r="H777" s="2" t="str">
        <f t="shared" si="329"/>
        <v>Lower</v>
      </c>
      <c r="I777" s="2" t="str">
        <f t="shared" si="330"/>
        <v>Lower</v>
      </c>
      <c r="J777" s="2" t="str">
        <f t="shared" si="331"/>
        <v>Higher</v>
      </c>
      <c r="K777" s="2" t="str">
        <f t="shared" si="332"/>
        <v>Lower</v>
      </c>
      <c r="L777" s="2" t="str">
        <f t="shared" si="333"/>
        <v>Lower</v>
      </c>
      <c r="M777" s="2" t="str">
        <f t="shared" si="334"/>
        <v>Lower</v>
      </c>
      <c r="N777" s="2" t="str">
        <f t="shared" si="335"/>
        <v>Lower</v>
      </c>
      <c r="O777" s="2" t="str">
        <f t="shared" si="336"/>
        <v>Lower</v>
      </c>
      <c r="P777" s="2" t="str">
        <f t="shared" si="337"/>
        <v>Higher</v>
      </c>
      <c r="X777" s="4">
        <f>DATE(2021,8,9)</f>
        <v>44417</v>
      </c>
      <c r="Y777">
        <v>27.049902572748557</v>
      </c>
      <c r="Z777">
        <v>42.813732875185465</v>
      </c>
      <c r="AA777">
        <v>56.635000000000005</v>
      </c>
      <c r="AB777">
        <v>42.898000000000003</v>
      </c>
      <c r="AC777">
        <f t="shared" si="338"/>
        <v>4.2333170791736811E-2</v>
      </c>
      <c r="AD777">
        <f t="shared" si="338"/>
        <v>1.6339820005063347E-2</v>
      </c>
      <c r="AE777">
        <f t="shared" si="339"/>
        <v>-2.5993350786673464E-2</v>
      </c>
      <c r="AF777">
        <f t="shared" si="340"/>
        <v>-0.57268547887598709</v>
      </c>
      <c r="AH777">
        <f t="shared" si="341"/>
        <v>7.9774211306738882E-2</v>
      </c>
      <c r="AI777">
        <f t="shared" si="341"/>
        <v>0.20459920115413774</v>
      </c>
      <c r="AJ777">
        <f t="shared" si="342"/>
        <v>0.12482498984739886</v>
      </c>
      <c r="AK777">
        <f t="shared" si="343"/>
        <v>0.30883574835768618</v>
      </c>
      <c r="AM777">
        <f t="shared" si="344"/>
        <v>8.0663469765793593E-3</v>
      </c>
      <c r="AN777">
        <f t="shared" si="344"/>
        <v>0.49163551965385194</v>
      </c>
      <c r="AO777">
        <f t="shared" si="345"/>
        <v>0.48356917267727256</v>
      </c>
      <c r="AP777">
        <f t="shared" si="346"/>
        <v>1.1785547270098</v>
      </c>
      <c r="AR777">
        <f t="shared" si="347"/>
        <v>0.88047817369278136</v>
      </c>
      <c r="AS777">
        <f t="shared" si="348"/>
        <v>1.1463685569825235</v>
      </c>
      <c r="AT777">
        <f t="shared" si="349"/>
        <v>0.26589038328974213</v>
      </c>
      <c r="AU777">
        <f t="shared" si="350"/>
        <v>0.95293324502618537</v>
      </c>
    </row>
    <row r="778" spans="1:47" x14ac:dyDescent="0.25">
      <c r="A778" s="4">
        <f>DATE(2021,8,6)</f>
        <v>44414</v>
      </c>
      <c r="B778">
        <v>0.42619988943279924</v>
      </c>
      <c r="C778">
        <v>63.028083405438309</v>
      </c>
      <c r="D778">
        <v>1.0490330241204955</v>
      </c>
      <c r="E778">
        <f t="shared" si="326"/>
        <v>1.4768077549972964</v>
      </c>
      <c r="F778">
        <f t="shared" si="327"/>
        <v>0.21466496611051641</v>
      </c>
      <c r="G778">
        <f t="shared" si="328"/>
        <v>1.2569142461009535</v>
      </c>
      <c r="H778" s="2" t="str">
        <f t="shared" si="329"/>
        <v>Lower</v>
      </c>
      <c r="I778" s="2" t="str">
        <f t="shared" si="330"/>
        <v>Lower</v>
      </c>
      <c r="J778" s="2" t="str">
        <f t="shared" si="331"/>
        <v>Higher</v>
      </c>
      <c r="K778" s="2" t="str">
        <f t="shared" si="332"/>
        <v>Lower</v>
      </c>
      <c r="L778" s="2" t="str">
        <f t="shared" si="333"/>
        <v>Lower</v>
      </c>
      <c r="M778" s="2" t="str">
        <f t="shared" si="334"/>
        <v>Lower</v>
      </c>
      <c r="N778" s="2" t="str">
        <f t="shared" si="335"/>
        <v>Lower</v>
      </c>
      <c r="O778" s="2" t="str">
        <f t="shared" si="336"/>
        <v>Lower</v>
      </c>
      <c r="P778" s="2" t="str">
        <f t="shared" si="337"/>
        <v>Higher</v>
      </c>
      <c r="X778" s="4">
        <f>DATE(2021,8,6)</f>
        <v>44414</v>
      </c>
      <c r="Y778">
        <v>26.898694900795601</v>
      </c>
      <c r="Z778">
        <v>45.143430063561759</v>
      </c>
      <c r="AA778">
        <v>56.597499999999997</v>
      </c>
      <c r="AB778">
        <v>43.370249999999999</v>
      </c>
      <c r="AC778">
        <f t="shared" si="338"/>
        <v>5.8809714256395543E-2</v>
      </c>
      <c r="AD778">
        <f t="shared" si="338"/>
        <v>6.9787428013625211E-2</v>
      </c>
      <c r="AE778">
        <f t="shared" si="339"/>
        <v>1.0977713757229668E-2</v>
      </c>
      <c r="AF778">
        <f t="shared" si="340"/>
        <v>-0.15539479572585041</v>
      </c>
      <c r="AH778">
        <f t="shared" si="341"/>
        <v>4.9019882676918335E-2</v>
      </c>
      <c r="AI778">
        <f t="shared" si="341"/>
        <v>0.17466251226824039</v>
      </c>
      <c r="AJ778">
        <f t="shared" si="342"/>
        <v>0.12564262959132205</v>
      </c>
      <c r="AK778">
        <f t="shared" si="343"/>
        <v>0.31377083253755367</v>
      </c>
      <c r="AM778">
        <f t="shared" si="344"/>
        <v>7.1815185854786833E-3</v>
      </c>
      <c r="AN778">
        <f t="shared" si="344"/>
        <v>0.48431459317254721</v>
      </c>
      <c r="AO778">
        <f t="shared" si="345"/>
        <v>0.47713307458706855</v>
      </c>
      <c r="AP778">
        <f t="shared" si="346"/>
        <v>1.1630643625244144</v>
      </c>
      <c r="AR778">
        <f t="shared" si="347"/>
        <v>0.87027881826824194</v>
      </c>
      <c r="AS778">
        <f t="shared" si="348"/>
        <v>1.1230671513227424</v>
      </c>
      <c r="AT778">
        <f t="shared" si="349"/>
        <v>0.25278833305450044</v>
      </c>
      <c r="AU778">
        <f t="shared" si="350"/>
        <v>0.87926789186343357</v>
      </c>
    </row>
    <row r="779" spans="1:47" x14ac:dyDescent="0.25">
      <c r="A779" s="4">
        <f>DATE(2021,8,5)</f>
        <v>44413</v>
      </c>
      <c r="B779">
        <v>0.35696752216266031</v>
      </c>
      <c r="C779">
        <v>60.781134271104101</v>
      </c>
      <c r="D779">
        <v>1.0212990095438064</v>
      </c>
      <c r="E779">
        <f t="shared" si="326"/>
        <v>1.248768886170428</v>
      </c>
      <c r="F779">
        <f t="shared" si="327"/>
        <v>-9.8024860684570222E-3</v>
      </c>
      <c r="G779">
        <f t="shared" si="328"/>
        <v>1.1525308728082169</v>
      </c>
      <c r="H779" s="2" t="str">
        <f t="shared" si="329"/>
        <v>Lower</v>
      </c>
      <c r="I779" s="2" t="str">
        <f t="shared" si="330"/>
        <v>Lower</v>
      </c>
      <c r="J779" s="2" t="str">
        <f t="shared" si="331"/>
        <v>Higher</v>
      </c>
      <c r="K779" s="2" t="str">
        <f t="shared" si="332"/>
        <v>Lower</v>
      </c>
      <c r="L779" s="2" t="str">
        <f t="shared" si="333"/>
        <v>Lower</v>
      </c>
      <c r="M779" s="2" t="str">
        <f t="shared" si="334"/>
        <v>Lower</v>
      </c>
      <c r="N779" s="2" t="str">
        <f t="shared" si="335"/>
        <v>Lower</v>
      </c>
      <c r="O779" s="2" t="str">
        <f t="shared" si="336"/>
        <v>Lower</v>
      </c>
      <c r="P779" s="2" t="str">
        <f t="shared" si="337"/>
        <v>Higher</v>
      </c>
      <c r="X779" s="4">
        <f>DATE(2021,8,5)</f>
        <v>44413</v>
      </c>
      <c r="Y779">
        <v>24.691368388865847</v>
      </c>
      <c r="Z779">
        <v>42.605162241436048</v>
      </c>
      <c r="AA779">
        <v>55.697500000000005</v>
      </c>
      <c r="AB779">
        <v>42.548250000000003</v>
      </c>
      <c r="AC779">
        <f t="shared" si="338"/>
        <v>3.3407935026290393E-2</v>
      </c>
      <c r="AD779">
        <f t="shared" si="338"/>
        <v>4.0046705069407877E-2</v>
      </c>
      <c r="AE779">
        <f t="shared" si="339"/>
        <v>6.638770043117484E-3</v>
      </c>
      <c r="AF779">
        <f t="shared" si="340"/>
        <v>-0.20470799177530863</v>
      </c>
      <c r="AH779">
        <f t="shared" si="341"/>
        <v>6.4756986880467979E-2</v>
      </c>
      <c r="AI779">
        <f t="shared" si="341"/>
        <v>0.25436604068858615</v>
      </c>
      <c r="AJ779">
        <f t="shared" si="342"/>
        <v>0.18960905380811816</v>
      </c>
      <c r="AK779">
        <f t="shared" si="343"/>
        <v>0.65864995343418042</v>
      </c>
      <c r="AM779">
        <f t="shared" si="344"/>
        <v>2.4674658624339998E-2</v>
      </c>
      <c r="AN779">
        <f t="shared" si="344"/>
        <v>0.4947079932697821</v>
      </c>
      <c r="AO779">
        <f t="shared" si="345"/>
        <v>0.47003333464544211</v>
      </c>
      <c r="AP779">
        <f t="shared" si="346"/>
        <v>1.1453498637166708</v>
      </c>
      <c r="AR779">
        <f t="shared" si="347"/>
        <v>0.85953636751331697</v>
      </c>
      <c r="AS779">
        <f t="shared" si="348"/>
        <v>1.0946716048570093</v>
      </c>
      <c r="AT779">
        <f t="shared" si="349"/>
        <v>0.23513523734369235</v>
      </c>
      <c r="AU779">
        <f t="shared" si="350"/>
        <v>0.78141248451374379</v>
      </c>
    </row>
    <row r="780" spans="1:47" x14ac:dyDescent="0.25">
      <c r="A780" s="4">
        <f>DATE(2021,8,4)</f>
        <v>44412</v>
      </c>
      <c r="B780">
        <v>0.28455222068322333</v>
      </c>
      <c r="C780">
        <v>59.01227389376961</v>
      </c>
      <c r="D780">
        <v>1.0191944162797113</v>
      </c>
      <c r="E780">
        <f t="shared" si="326"/>
        <v>1.0119531774590165</v>
      </c>
      <c r="F780">
        <f t="shared" si="327"/>
        <v>-0.18648434831571395</v>
      </c>
      <c r="G780">
        <f t="shared" si="328"/>
        <v>1.1409488059463941</v>
      </c>
      <c r="H780" s="2" t="str">
        <f t="shared" si="329"/>
        <v>Lower</v>
      </c>
      <c r="I780" s="2" t="str">
        <f t="shared" si="330"/>
        <v>Lower</v>
      </c>
      <c r="J780" s="2" t="str">
        <f t="shared" si="331"/>
        <v>Higher</v>
      </c>
      <c r="K780" s="2" t="str">
        <f t="shared" si="332"/>
        <v>Lower</v>
      </c>
      <c r="L780" s="2" t="str">
        <f t="shared" si="333"/>
        <v>Lower</v>
      </c>
      <c r="M780" s="2" t="str">
        <f t="shared" si="334"/>
        <v>Lower</v>
      </c>
      <c r="N780" s="2" t="str">
        <f t="shared" si="335"/>
        <v>Lower</v>
      </c>
      <c r="O780" s="2" t="str">
        <f t="shared" si="336"/>
        <v>Lower</v>
      </c>
      <c r="P780" s="2" t="str">
        <f t="shared" si="337"/>
        <v>Higher</v>
      </c>
      <c r="X780" s="4">
        <f>DATE(2021,8,4)</f>
        <v>44412</v>
      </c>
      <c r="Y780">
        <v>23.898729807566514</v>
      </c>
      <c r="Z780">
        <v>42.172549017801018</v>
      </c>
      <c r="AA780">
        <v>55.174999999999997</v>
      </c>
      <c r="AB780">
        <v>42.076499999999996</v>
      </c>
      <c r="AC780">
        <f t="shared" si="338"/>
        <v>2.6724580487763144E-2</v>
      </c>
      <c r="AD780">
        <f t="shared" si="338"/>
        <v>6.6193227178509562E-2</v>
      </c>
      <c r="AE780">
        <f t="shared" si="339"/>
        <v>3.9468646690746415E-2</v>
      </c>
      <c r="AF780">
        <f t="shared" si="340"/>
        <v>0.16525335512745368</v>
      </c>
      <c r="AH780">
        <f t="shared" si="341"/>
        <v>3.7297778402231425E-2</v>
      </c>
      <c r="AI780">
        <f t="shared" si="341"/>
        <v>0.23360171729561019</v>
      </c>
      <c r="AJ780">
        <f t="shared" si="342"/>
        <v>0.19630393889337877</v>
      </c>
      <c r="AK780">
        <f t="shared" si="343"/>
        <v>0.69619548690205968</v>
      </c>
      <c r="AM780">
        <f t="shared" si="344"/>
        <v>7.0022565924756346E-3</v>
      </c>
      <c r="AN780">
        <f t="shared" si="344"/>
        <v>0.47096662530767253</v>
      </c>
      <c r="AO780">
        <f t="shared" si="345"/>
        <v>0.46396436871519692</v>
      </c>
      <c r="AP780">
        <f t="shared" si="346"/>
        <v>1.1307137466109747</v>
      </c>
      <c r="AR780">
        <f t="shared" si="347"/>
        <v>0.86700443429937579</v>
      </c>
      <c r="AS780">
        <f t="shared" si="348"/>
        <v>1.0649959724919198</v>
      </c>
      <c r="AT780">
        <f t="shared" si="349"/>
        <v>0.197991538192544</v>
      </c>
      <c r="AU780">
        <f t="shared" si="350"/>
        <v>0.57715283078426149</v>
      </c>
    </row>
    <row r="781" spans="1:47" x14ac:dyDescent="0.25">
      <c r="A781" s="4">
        <f>DATE(2021,8,3)</f>
        <v>44411</v>
      </c>
      <c r="B781">
        <v>0.19812340036633933</v>
      </c>
      <c r="C781">
        <v>54.342122946823736</v>
      </c>
      <c r="D781">
        <v>0.82350894743404945</v>
      </c>
      <c r="E781">
        <f t="shared" si="326"/>
        <v>0.72888924790919674</v>
      </c>
      <c r="F781">
        <f t="shared" si="327"/>
        <v>-0.6444594863951193</v>
      </c>
      <c r="G781">
        <f t="shared" si="328"/>
        <v>0.42401789950281771</v>
      </c>
      <c r="H781" s="2" t="str">
        <f t="shared" si="329"/>
        <v>Lower</v>
      </c>
      <c r="I781" s="2" t="str">
        <f t="shared" si="330"/>
        <v>Lower</v>
      </c>
      <c r="J781" s="2" t="str">
        <f t="shared" si="331"/>
        <v>Higher</v>
      </c>
      <c r="K781" s="2" t="str">
        <f t="shared" si="332"/>
        <v>Lower</v>
      </c>
      <c r="L781" s="2" t="str">
        <f t="shared" si="333"/>
        <v>Lower</v>
      </c>
      <c r="M781" s="2" t="str">
        <f t="shared" si="334"/>
        <v>Lower</v>
      </c>
      <c r="N781" s="2" t="str">
        <f t="shared" si="335"/>
        <v>Lower</v>
      </c>
      <c r="O781" s="2" t="str">
        <f t="shared" si="336"/>
        <v>Lower</v>
      </c>
      <c r="P781" s="2" t="str">
        <f t="shared" si="337"/>
        <v>Higher</v>
      </c>
      <c r="X781" s="4">
        <f>DATE(2021,8,3)</f>
        <v>44411</v>
      </c>
      <c r="Y781">
        <v>23.442410406321681</v>
      </c>
      <c r="Z781">
        <v>43.888428745650302</v>
      </c>
      <c r="AA781">
        <v>54.387500000000003</v>
      </c>
      <c r="AB781">
        <v>41.4465</v>
      </c>
      <c r="AC781">
        <f t="shared" si="338"/>
        <v>2.4004501886533833E-2</v>
      </c>
      <c r="AD781">
        <f t="shared" si="338"/>
        <v>9.9096306211200788E-2</v>
      </c>
      <c r="AE781">
        <f t="shared" si="339"/>
        <v>7.5091804324666958E-2</v>
      </c>
      <c r="AF781">
        <f t="shared" si="340"/>
        <v>0.56657898795510786</v>
      </c>
      <c r="AH781">
        <f t="shared" si="341"/>
        <v>-4.5861121426344189E-3</v>
      </c>
      <c r="AI781">
        <f t="shared" si="341"/>
        <v>0.17152270450733448</v>
      </c>
      <c r="AJ781">
        <f t="shared" si="342"/>
        <v>0.17610881664996889</v>
      </c>
      <c r="AK781">
        <f t="shared" si="343"/>
        <v>0.5894919416432326</v>
      </c>
      <c r="AM781">
        <f t="shared" si="344"/>
        <v>3.1044621681960323E-2</v>
      </c>
      <c r="AN781">
        <f t="shared" si="344"/>
        <v>0.48225063716019706</v>
      </c>
      <c r="AO781">
        <f t="shared" si="345"/>
        <v>0.45120601547823674</v>
      </c>
      <c r="AP781">
        <f t="shared" si="346"/>
        <v>1.0949466810433675</v>
      </c>
      <c r="AR781">
        <f t="shared" si="347"/>
        <v>0.81964423967503575</v>
      </c>
      <c r="AS781">
        <f t="shared" si="348"/>
        <v>1.0380025692357371</v>
      </c>
      <c r="AT781">
        <f t="shared" si="349"/>
        <v>0.21835832956070134</v>
      </c>
      <c r="AU781">
        <f t="shared" si="350"/>
        <v>0.69208635914612815</v>
      </c>
    </row>
    <row r="782" spans="1:47" x14ac:dyDescent="0.25">
      <c r="A782" s="4">
        <f>DATE(2021,8,2)</f>
        <v>44410</v>
      </c>
      <c r="B782">
        <v>0.17396217808706788</v>
      </c>
      <c r="C782">
        <v>55.450774925275304</v>
      </c>
      <c r="D782">
        <v>0.88600456321580257</v>
      </c>
      <c r="E782">
        <f t="shared" si="326"/>
        <v>0.65643401783732014</v>
      </c>
      <c r="F782">
        <f t="shared" si="327"/>
        <v>-0.54325305128520329</v>
      </c>
      <c r="G782">
        <f t="shared" si="328"/>
        <v>0.64613619655503007</v>
      </c>
      <c r="H782" s="2" t="str">
        <f t="shared" si="329"/>
        <v>Lower</v>
      </c>
      <c r="I782" s="2" t="str">
        <f t="shared" si="330"/>
        <v>Lower</v>
      </c>
      <c r="J782" s="2" t="str">
        <f t="shared" si="331"/>
        <v>Higher</v>
      </c>
      <c r="K782" s="2" t="str">
        <f t="shared" si="332"/>
        <v>Lower</v>
      </c>
      <c r="L782" s="2" t="str">
        <f t="shared" si="333"/>
        <v>Lower</v>
      </c>
      <c r="M782" s="2" t="str">
        <f t="shared" si="334"/>
        <v>Lower</v>
      </c>
      <c r="N782" s="2" t="str">
        <f t="shared" si="335"/>
        <v>Lower</v>
      </c>
      <c r="O782" s="2" t="str">
        <f t="shared" si="336"/>
        <v>Lower</v>
      </c>
      <c r="P782" s="2" t="str">
        <f t="shared" si="337"/>
        <v>Higher</v>
      </c>
      <c r="X782" s="4">
        <f>DATE(2021,8,2)</f>
        <v>44410</v>
      </c>
      <c r="Y782">
        <v>24.5892140886153</v>
      </c>
      <c r="Z782">
        <v>46.121032570300677</v>
      </c>
      <c r="AA782">
        <v>54.287499999999994</v>
      </c>
      <c r="AB782">
        <v>42.202749999999995</v>
      </c>
      <c r="AC782">
        <f t="shared" si="338"/>
        <v>3.1958178559204992E-2</v>
      </c>
      <c r="AD782">
        <f t="shared" si="338"/>
        <v>0.13996070510007078</v>
      </c>
      <c r="AE782">
        <f t="shared" si="339"/>
        <v>0.10800252654086578</v>
      </c>
      <c r="AF782">
        <f t="shared" si="340"/>
        <v>0.93785946168788603</v>
      </c>
      <c r="AH782">
        <f t="shared" si="341"/>
        <v>-6.4207473945930238E-2</v>
      </c>
      <c r="AI782" t="str">
        <f t="shared" si="341"/>
        <v/>
      </c>
      <c r="AJ782" t="str">
        <f t="shared" si="342"/>
        <v/>
      </c>
      <c r="AK782" t="str">
        <f t="shared" si="343"/>
        <v/>
      </c>
      <c r="AM782">
        <f t="shared" si="344"/>
        <v>4.252157291551116E-2</v>
      </c>
      <c r="AN782">
        <f t="shared" si="344"/>
        <v>0.51956773910100718</v>
      </c>
      <c r="AO782">
        <f t="shared" si="345"/>
        <v>0.477046166185496</v>
      </c>
      <c r="AP782">
        <f t="shared" si="346"/>
        <v>1.1800650185087287</v>
      </c>
      <c r="AR782">
        <f t="shared" si="347"/>
        <v>0.80949215332649094</v>
      </c>
      <c r="AS782">
        <f t="shared" si="348"/>
        <v>1.034685214948539</v>
      </c>
      <c r="AT782">
        <f t="shared" si="349"/>
        <v>0.22519306162204811</v>
      </c>
      <c r="AU782">
        <f t="shared" si="350"/>
        <v>0.73166538155625294</v>
      </c>
    </row>
    <row r="783" spans="1:47" x14ac:dyDescent="0.25">
      <c r="A783" s="4">
        <f>DATE(2021,7,30)</f>
        <v>44407</v>
      </c>
      <c r="B783">
        <v>9.8143287690370673E-2</v>
      </c>
      <c r="C783">
        <v>51.214825798223337</v>
      </c>
      <c r="D783">
        <v>0.55809670205304418</v>
      </c>
      <c r="E783">
        <f t="shared" si="326"/>
        <v>0.4122796741825715</v>
      </c>
      <c r="F783">
        <f t="shared" si="327"/>
        <v>-0.9457769524858044</v>
      </c>
      <c r="G783">
        <f t="shared" si="328"/>
        <v>-0.50890041813829123</v>
      </c>
      <c r="H783" s="2" t="str">
        <f t="shared" si="329"/>
        <v>Lower</v>
      </c>
      <c r="I783" s="2" t="str">
        <f t="shared" si="330"/>
        <v>Lower</v>
      </c>
      <c r="J783" s="2" t="str">
        <f t="shared" si="331"/>
        <v>Higher</v>
      </c>
      <c r="K783" s="2" t="str">
        <f t="shared" si="332"/>
        <v>Lower</v>
      </c>
      <c r="L783" s="2" t="str">
        <f t="shared" si="333"/>
        <v>Lower</v>
      </c>
      <c r="M783" s="2" t="str">
        <f t="shared" si="334"/>
        <v>Lower</v>
      </c>
      <c r="N783" s="2" t="str">
        <f t="shared" si="335"/>
        <v>Lower</v>
      </c>
      <c r="O783" s="2" t="str">
        <f t="shared" si="336"/>
        <v>Lower</v>
      </c>
      <c r="P783" s="2" t="str">
        <f t="shared" si="337"/>
        <v>Higher</v>
      </c>
      <c r="X783" s="4">
        <f>DATE(2021,7,30)</f>
        <v>44407</v>
      </c>
      <c r="Y783">
        <v>21.684613705569017</v>
      </c>
      <c r="Z783">
        <v>41.522343796713699</v>
      </c>
      <c r="AA783">
        <v>53.364999999999995</v>
      </c>
      <c r="AB783">
        <v>40.446750000000002</v>
      </c>
      <c r="AC783">
        <f t="shared" si="338"/>
        <v>5.1525091531565183E-2</v>
      </c>
      <c r="AD783">
        <f t="shared" si="338"/>
        <v>0.12984814720822616</v>
      </c>
      <c r="AE783">
        <f t="shared" si="339"/>
        <v>7.832305567666098E-2</v>
      </c>
      <c r="AF783">
        <f t="shared" si="340"/>
        <v>0.60756907019613215</v>
      </c>
      <c r="AH783">
        <f t="shared" si="341"/>
        <v>-7.5107993976663831E-2</v>
      </c>
      <c r="AI783">
        <f t="shared" si="341"/>
        <v>0.12030108395714965</v>
      </c>
      <c r="AJ783">
        <f t="shared" si="342"/>
        <v>0.19540907793381349</v>
      </c>
      <c r="AK783">
        <f t="shared" si="343"/>
        <v>0.69291296462814256</v>
      </c>
      <c r="AM783">
        <f t="shared" si="344"/>
        <v>5.8106830001028835E-2</v>
      </c>
      <c r="AN783">
        <f t="shared" si="344"/>
        <v>0.52214081886006647</v>
      </c>
      <c r="AO783">
        <f t="shared" si="345"/>
        <v>0.46403398885903763</v>
      </c>
      <c r="AP783">
        <f t="shared" si="346"/>
        <v>1.1440486887658863</v>
      </c>
      <c r="AR783">
        <f t="shared" si="347"/>
        <v>0.75130366176130225</v>
      </c>
      <c r="AS783">
        <f t="shared" si="348"/>
        <v>0.96375364209427394</v>
      </c>
      <c r="AT783">
        <f t="shared" si="349"/>
        <v>0.21244998033297169</v>
      </c>
      <c r="AU783">
        <f t="shared" si="350"/>
        <v>0.66315510391834298</v>
      </c>
    </row>
    <row r="784" spans="1:47" x14ac:dyDescent="0.25">
      <c r="A784" s="4">
        <f>DATE(2021,7,29)</f>
        <v>44406</v>
      </c>
      <c r="B784">
        <v>8.3317777995754433E-2</v>
      </c>
      <c r="C784">
        <v>54.356163924798828</v>
      </c>
      <c r="D784">
        <v>0.62235835312488086</v>
      </c>
      <c r="E784">
        <f t="shared" si="326"/>
        <v>0.36950551145588462</v>
      </c>
      <c r="F784">
        <f t="shared" si="327"/>
        <v>-0.64247445861394947</v>
      </c>
      <c r="G784">
        <f t="shared" si="328"/>
        <v>-0.27237990047782246</v>
      </c>
      <c r="H784" s="2" t="str">
        <f t="shared" si="329"/>
        <v>Lower</v>
      </c>
      <c r="I784" s="2" t="str">
        <f t="shared" si="330"/>
        <v>Lower</v>
      </c>
      <c r="J784" s="2" t="str">
        <f t="shared" si="331"/>
        <v>Higher</v>
      </c>
      <c r="K784" s="2" t="str">
        <f t="shared" si="332"/>
        <v>Lower</v>
      </c>
      <c r="L784" s="2" t="str">
        <f t="shared" si="333"/>
        <v>Lower</v>
      </c>
      <c r="M784" s="2" t="str">
        <f t="shared" si="334"/>
        <v>Lower</v>
      </c>
      <c r="N784" s="2" t="str">
        <f t="shared" si="335"/>
        <v>Lower</v>
      </c>
      <c r="O784" s="2" t="str">
        <f t="shared" si="336"/>
        <v>Lower</v>
      </c>
      <c r="P784" s="2" t="str">
        <f t="shared" si="337"/>
        <v>Higher</v>
      </c>
      <c r="X784" s="4">
        <f>DATE(2021,7,29)</f>
        <v>44406</v>
      </c>
      <c r="Y784">
        <v>22.804981717129262</v>
      </c>
      <c r="Z784">
        <v>45.060465405603452</v>
      </c>
      <c r="AA784">
        <v>53.8675</v>
      </c>
      <c r="AB784">
        <v>40.878</v>
      </c>
      <c r="AC784">
        <f t="shared" si="338"/>
        <v>5.5093928648281713E-2</v>
      </c>
      <c r="AD784">
        <f t="shared" si="338"/>
        <v>0.12469397045195169</v>
      </c>
      <c r="AE784">
        <f t="shared" si="339"/>
        <v>6.9600041803669965E-2</v>
      </c>
      <c r="AF784">
        <f t="shared" si="340"/>
        <v>0.51115552810136611</v>
      </c>
      <c r="AH784">
        <f t="shared" si="341"/>
        <v>-6.7515937852323682E-2</v>
      </c>
      <c r="AI784">
        <f t="shared" si="341"/>
        <v>0.12228594808670362</v>
      </c>
      <c r="AJ784">
        <f t="shared" si="342"/>
        <v>0.1898018859390273</v>
      </c>
      <c r="AK784">
        <f t="shared" si="343"/>
        <v>0.66462684881730594</v>
      </c>
      <c r="AM784">
        <f t="shared" si="344"/>
        <v>7.6756857221399064E-2</v>
      </c>
      <c r="AN784">
        <f t="shared" si="344"/>
        <v>0.51457549029746796</v>
      </c>
      <c r="AO784">
        <f t="shared" si="345"/>
        <v>0.43781863307606889</v>
      </c>
      <c r="AP784">
        <f t="shared" si="346"/>
        <v>1.0661968130759409</v>
      </c>
      <c r="AR784">
        <f t="shared" si="347"/>
        <v>0.81149890250832657</v>
      </c>
      <c r="AS784">
        <f t="shared" si="348"/>
        <v>0.99176674674941756</v>
      </c>
      <c r="AT784">
        <f t="shared" si="349"/>
        <v>0.18026784424109099</v>
      </c>
      <c r="AU784">
        <f t="shared" si="350"/>
        <v>0.48828384703343797</v>
      </c>
    </row>
    <row r="785" spans="1:47" x14ac:dyDescent="0.25">
      <c r="A785" s="4">
        <f>DATE(2021,7,28)</f>
        <v>44405</v>
      </c>
      <c r="B785">
        <v>-1.7908695170091943E-2</v>
      </c>
      <c r="C785">
        <v>53.58513819705361</v>
      </c>
      <c r="D785">
        <v>0.5590035252276182</v>
      </c>
      <c r="E785">
        <f t="shared" si="326"/>
        <v>3.6111870556017306E-2</v>
      </c>
      <c r="F785">
        <f t="shared" si="327"/>
        <v>-0.71970101598735714</v>
      </c>
      <c r="G785">
        <f t="shared" si="328"/>
        <v>-0.49653360728146084</v>
      </c>
      <c r="H785" s="2" t="str">
        <f t="shared" si="329"/>
        <v>Lower</v>
      </c>
      <c r="I785" s="2" t="str">
        <f t="shared" si="330"/>
        <v>Lower</v>
      </c>
      <c r="J785" s="2" t="str">
        <f t="shared" si="331"/>
        <v>Higher</v>
      </c>
      <c r="K785" s="2" t="str">
        <f t="shared" si="332"/>
        <v>Higher</v>
      </c>
      <c r="L785" s="2" t="str">
        <f t="shared" si="333"/>
        <v>Lower</v>
      </c>
      <c r="M785" s="2" t="str">
        <f t="shared" si="334"/>
        <v>Lower</v>
      </c>
      <c r="N785" s="2" t="str">
        <f t="shared" si="335"/>
        <v>Lower</v>
      </c>
      <c r="O785" s="2" t="str">
        <f t="shared" si="336"/>
        <v>Lower</v>
      </c>
      <c r="P785" s="2" t="str">
        <f t="shared" si="337"/>
        <v>Higher</v>
      </c>
      <c r="X785" s="4">
        <f>DATE(2021,7,28)</f>
        <v>44405</v>
      </c>
      <c r="Y785">
        <v>23.748594825865833</v>
      </c>
      <c r="Z785">
        <v>41.233704527875304</v>
      </c>
      <c r="AA785">
        <v>53.72</v>
      </c>
      <c r="AB785">
        <v>39.381500000000003</v>
      </c>
      <c r="AC785">
        <f t="shared" si="338"/>
        <v>3.5092981869879178E-2</v>
      </c>
      <c r="AD785">
        <f t="shared" si="338"/>
        <v>9.2851389281535746E-2</v>
      </c>
      <c r="AE785">
        <f t="shared" si="339"/>
        <v>5.7758407411656568E-2</v>
      </c>
      <c r="AF785">
        <f t="shared" si="340"/>
        <v>0.37961310866494324</v>
      </c>
      <c r="AH785">
        <f t="shared" si="341"/>
        <v>-4.4419388062518772E-2</v>
      </c>
      <c r="AI785">
        <f t="shared" si="341"/>
        <v>0.13299647665250494</v>
      </c>
      <c r="AJ785">
        <f t="shared" si="342"/>
        <v>0.17741586471502371</v>
      </c>
      <c r="AK785">
        <f t="shared" si="343"/>
        <v>0.60002503135452545</v>
      </c>
      <c r="AM785">
        <f t="shared" si="344"/>
        <v>8.7129843358012576E-2</v>
      </c>
      <c r="AN785">
        <f t="shared" si="344"/>
        <v>0.50350554570906803</v>
      </c>
      <c r="AO785">
        <f t="shared" si="345"/>
        <v>0.41637570235105548</v>
      </c>
      <c r="AP785">
        <f t="shared" si="346"/>
        <v>1.0026309870453201</v>
      </c>
      <c r="AR785">
        <f t="shared" si="347"/>
        <v>0.81715065863252656</v>
      </c>
      <c r="AS785">
        <f t="shared" si="348"/>
        <v>0.97378229280685391</v>
      </c>
      <c r="AT785">
        <f t="shared" si="349"/>
        <v>0.15663163417432735</v>
      </c>
      <c r="AU785">
        <f t="shared" si="350"/>
        <v>0.36118149006871814</v>
      </c>
    </row>
    <row r="786" spans="1:47" x14ac:dyDescent="0.25">
      <c r="A786" s="4">
        <f>DATE(2021,7,27)</f>
        <v>44404</v>
      </c>
      <c r="B786">
        <v>-0.15352430905446374</v>
      </c>
      <c r="C786">
        <v>50.120108141238298</v>
      </c>
      <c r="D786">
        <v>0.43127643326092996</v>
      </c>
      <c r="E786">
        <f t="shared" si="326"/>
        <v>-0.41356920760184568</v>
      </c>
      <c r="F786">
        <f t="shared" si="327"/>
        <v>-1.0538331408653225</v>
      </c>
      <c r="G786">
        <f t="shared" si="328"/>
        <v>-0.94394265257994259</v>
      </c>
      <c r="H786" s="2" t="str">
        <f t="shared" si="329"/>
        <v>Lower</v>
      </c>
      <c r="I786" s="2" t="str">
        <f t="shared" si="330"/>
        <v>Lower</v>
      </c>
      <c r="J786" s="2" t="str">
        <f t="shared" si="331"/>
        <v>Higher</v>
      </c>
      <c r="K786" s="2" t="str">
        <f t="shared" si="332"/>
        <v>Higher</v>
      </c>
      <c r="L786" s="2" t="str">
        <f t="shared" si="333"/>
        <v>Lower</v>
      </c>
      <c r="M786" s="2" t="str">
        <f t="shared" si="334"/>
        <v>Lower</v>
      </c>
      <c r="N786" s="2" t="str">
        <f t="shared" si="335"/>
        <v>Lower</v>
      </c>
      <c r="O786" s="2" t="str">
        <f t="shared" si="336"/>
        <v>Lower</v>
      </c>
      <c r="P786" s="2" t="str">
        <f t="shared" si="337"/>
        <v>Higher</v>
      </c>
      <c r="X786" s="4">
        <f>DATE(2021,7,27)</f>
        <v>44404</v>
      </c>
      <c r="Y786">
        <v>23.057116261445366</v>
      </c>
      <c r="Z786">
        <v>35.538537707646462</v>
      </c>
      <c r="AA786">
        <v>53.097499999999997</v>
      </c>
      <c r="AB786">
        <v>37.536250000000003</v>
      </c>
      <c r="AC786">
        <f t="shared" si="338"/>
        <v>3.2978173343865928E-2</v>
      </c>
      <c r="AD786">
        <f t="shared" si="338"/>
        <v>6.8032357110000913E-2</v>
      </c>
      <c r="AE786">
        <f t="shared" si="339"/>
        <v>3.5054183766134984E-2</v>
      </c>
      <c r="AF786">
        <f t="shared" si="340"/>
        <v>0.1264434598134597</v>
      </c>
      <c r="AH786">
        <f t="shared" si="341"/>
        <v>-4.6862380265123856E-2</v>
      </c>
      <c r="AI786">
        <f t="shared" si="341"/>
        <v>0.11636208690921053</v>
      </c>
      <c r="AJ786">
        <f t="shared" si="342"/>
        <v>0.16322446717433439</v>
      </c>
      <c r="AK786">
        <f t="shared" si="343"/>
        <v>0.52563758416398088</v>
      </c>
      <c r="AM786">
        <f t="shared" si="344"/>
        <v>8.1994640490147888E-2</v>
      </c>
      <c r="AN786">
        <f t="shared" si="344"/>
        <v>0.47685377215003544</v>
      </c>
      <c r="AO786">
        <f t="shared" si="345"/>
        <v>0.39485913165988756</v>
      </c>
      <c r="AP786">
        <f t="shared" si="346"/>
        <v>0.93835059254606623</v>
      </c>
      <c r="AR786">
        <f t="shared" si="347"/>
        <v>0.77468196870568429</v>
      </c>
      <c r="AS786">
        <f t="shared" si="348"/>
        <v>0.92848641357102912</v>
      </c>
      <c r="AT786">
        <f t="shared" si="349"/>
        <v>0.15380444486534484</v>
      </c>
      <c r="AU786">
        <f t="shared" si="350"/>
        <v>0.34935197361502829</v>
      </c>
    </row>
    <row r="787" spans="1:47" x14ac:dyDescent="0.25">
      <c r="A787" s="4">
        <f>DATE(2021,7,26)</f>
        <v>44403</v>
      </c>
      <c r="B787">
        <v>-0.25941969152493188</v>
      </c>
      <c r="C787">
        <v>51.227479031215374</v>
      </c>
      <c r="D787">
        <v>0.45048633677551131</v>
      </c>
      <c r="E787">
        <f t="shared" si="326"/>
        <v>-0.7671241508288279</v>
      </c>
      <c r="F787">
        <f t="shared" si="327"/>
        <v>-0.95235423124633545</v>
      </c>
      <c r="G787">
        <f t="shared" si="328"/>
        <v>-0.87843913930588502</v>
      </c>
      <c r="H787" s="2" t="str">
        <f t="shared" si="329"/>
        <v>Lower</v>
      </c>
      <c r="I787" s="2" t="str">
        <f t="shared" si="330"/>
        <v>Lower</v>
      </c>
      <c r="J787" s="2" t="str">
        <f t="shared" si="331"/>
        <v>Higher</v>
      </c>
      <c r="K787" s="2" t="str">
        <f t="shared" si="332"/>
        <v>Higher</v>
      </c>
      <c r="L787" s="2" t="str">
        <f t="shared" si="333"/>
        <v>Lower</v>
      </c>
      <c r="M787" s="2" t="str">
        <f t="shared" si="334"/>
        <v>Lower</v>
      </c>
      <c r="N787" s="2" t="str">
        <f t="shared" si="335"/>
        <v>Lower</v>
      </c>
      <c r="O787" s="2" t="str">
        <f t="shared" si="336"/>
        <v>Lower</v>
      </c>
      <c r="P787" s="2" t="str">
        <f t="shared" si="337"/>
        <v>Higher</v>
      </c>
      <c r="X787" s="4">
        <f>DATE(2021,7,26)</f>
        <v>44403</v>
      </c>
      <c r="Y787">
        <v>22.325564434087788</v>
      </c>
      <c r="Z787">
        <v>33.606700119136264</v>
      </c>
      <c r="AA787">
        <v>52.58</v>
      </c>
      <c r="AB787">
        <v>36.690750000000001</v>
      </c>
      <c r="AC787">
        <f t="shared" si="338"/>
        <v>-2.0898649194592421E-3</v>
      </c>
      <c r="AD787">
        <f t="shared" si="338"/>
        <v>2.0931204866384594E-2</v>
      </c>
      <c r="AE787">
        <f t="shared" si="339"/>
        <v>2.3021069785843836E-2</v>
      </c>
      <c r="AF787">
        <f t="shared" si="340"/>
        <v>-7.6360939397851369E-3</v>
      </c>
      <c r="AH787">
        <f t="shared" si="341"/>
        <v>-5.1882698441080594E-2</v>
      </c>
      <c r="AI787">
        <f t="shared" si="341"/>
        <v>0.13127276808297511</v>
      </c>
      <c r="AJ787">
        <f t="shared" si="342"/>
        <v>0.1831554665240557</v>
      </c>
      <c r="AK787">
        <f t="shared" si="343"/>
        <v>0.63295202443133769</v>
      </c>
      <c r="AM787">
        <f t="shared" si="344"/>
        <v>6.2385395107858392E-2</v>
      </c>
      <c r="AN787">
        <f t="shared" si="344"/>
        <v>0.43220904544264521</v>
      </c>
      <c r="AO787">
        <f t="shared" si="345"/>
        <v>0.36982365033478681</v>
      </c>
      <c r="AP787">
        <f t="shared" si="346"/>
        <v>0.86262110304869666</v>
      </c>
      <c r="AR787">
        <f t="shared" si="347"/>
        <v>0.74616364600784923</v>
      </c>
      <c r="AS787">
        <f t="shared" si="348"/>
        <v>0.91399714508212271</v>
      </c>
      <c r="AT787">
        <f t="shared" si="349"/>
        <v>0.16783349907427347</v>
      </c>
      <c r="AU787">
        <f t="shared" si="350"/>
        <v>0.4323294075170801</v>
      </c>
    </row>
    <row r="788" spans="1:47" x14ac:dyDescent="0.25">
      <c r="A788" s="4">
        <f>DATE(2021,7,23)</f>
        <v>44400</v>
      </c>
      <c r="B788">
        <v>-0.43381796367376224</v>
      </c>
      <c r="C788">
        <v>41.7002853205124</v>
      </c>
      <c r="D788">
        <v>0.17521922919817776</v>
      </c>
      <c r="E788">
        <f t="shared" si="326"/>
        <v>-1.354590049255658</v>
      </c>
      <c r="F788">
        <f t="shared" si="327"/>
        <v>-1.8770262025790563</v>
      </c>
      <c r="G788">
        <f t="shared" si="328"/>
        <v>-1.8500813090244754</v>
      </c>
      <c r="H788" s="2" t="str">
        <f t="shared" si="329"/>
        <v>Lower</v>
      </c>
      <c r="I788" s="2" t="str">
        <f t="shared" si="330"/>
        <v>Lower</v>
      </c>
      <c r="J788" s="2" t="str">
        <f t="shared" si="331"/>
        <v>Higher</v>
      </c>
      <c r="K788" s="2" t="str">
        <f t="shared" si="332"/>
        <v>Higher</v>
      </c>
      <c r="L788" s="2" t="str">
        <f t="shared" si="333"/>
        <v>Lower</v>
      </c>
      <c r="M788" s="2" t="str">
        <f t="shared" si="334"/>
        <v>Lower</v>
      </c>
      <c r="N788" s="2" t="str">
        <f t="shared" si="335"/>
        <v>Higher</v>
      </c>
      <c r="O788" s="2" t="str">
        <f t="shared" si="336"/>
        <v>Lower</v>
      </c>
      <c r="P788" s="2" t="str">
        <f t="shared" si="337"/>
        <v>Higher</v>
      </c>
      <c r="X788" s="4">
        <f>DATE(2021,7,23)</f>
        <v>44400</v>
      </c>
      <c r="Y788">
        <v>15.384178992027971</v>
      </c>
      <c r="Z788">
        <v>30.808332961698653</v>
      </c>
      <c r="AA788">
        <v>50.685000000000002</v>
      </c>
      <c r="AB788">
        <v>35.521500000000003</v>
      </c>
      <c r="AC788">
        <f t="shared" si="338"/>
        <v>-4.3340277035533226E-2</v>
      </c>
      <c r="AD788">
        <f t="shared" si="338"/>
        <v>1.6155302671980527E-2</v>
      </c>
      <c r="AE788">
        <f t="shared" si="339"/>
        <v>5.9495579707513749E-2</v>
      </c>
      <c r="AF788">
        <f t="shared" si="340"/>
        <v>0.39859115421473174</v>
      </c>
      <c r="AH788">
        <f t="shared" si="341"/>
        <v>-8.5242360635952044E-2</v>
      </c>
      <c r="AI788">
        <f t="shared" si="341"/>
        <v>9.5690303560301199E-2</v>
      </c>
      <c r="AJ788">
        <f t="shared" si="342"/>
        <v>0.18093266419625326</v>
      </c>
      <c r="AK788">
        <f t="shared" si="343"/>
        <v>0.62262713036333484</v>
      </c>
      <c r="AM788">
        <f t="shared" si="344"/>
        <v>4.0259034403643423E-2</v>
      </c>
      <c r="AN788">
        <f t="shared" si="344"/>
        <v>0.42792740702933385</v>
      </c>
      <c r="AO788">
        <f t="shared" si="345"/>
        <v>0.38766837262569043</v>
      </c>
      <c r="AP788">
        <f t="shared" si="346"/>
        <v>0.92080546848514544</v>
      </c>
      <c r="AR788">
        <f t="shared" si="347"/>
        <v>0.70565478852286134</v>
      </c>
      <c r="AS788">
        <f t="shared" si="348"/>
        <v>0.89469722942546681</v>
      </c>
      <c r="AT788">
        <f t="shared" si="349"/>
        <v>0.18904244090260547</v>
      </c>
      <c r="AU788">
        <f t="shared" si="350"/>
        <v>0.55707849492277417</v>
      </c>
    </row>
    <row r="789" spans="1:47" x14ac:dyDescent="0.25">
      <c r="A789" s="4">
        <f>DATE(2021,7,22)</f>
        <v>44399</v>
      </c>
      <c r="B789">
        <v>-0.43913935040946644</v>
      </c>
      <c r="C789">
        <v>41.238886582351739</v>
      </c>
      <c r="D789">
        <v>0.12572222928517601</v>
      </c>
      <c r="E789">
        <f t="shared" si="326"/>
        <v>-1.3887967323999029</v>
      </c>
      <c r="F789">
        <f t="shared" si="327"/>
        <v>-1.9626167944455351</v>
      </c>
      <c r="G789">
        <f t="shared" si="328"/>
        <v>-2.0680486039750132</v>
      </c>
      <c r="H789" s="2" t="str">
        <f t="shared" si="329"/>
        <v>Higher</v>
      </c>
      <c r="I789" s="2" t="str">
        <f t="shared" si="330"/>
        <v>Lower</v>
      </c>
      <c r="J789" s="2" t="str">
        <f t="shared" si="331"/>
        <v>Higher</v>
      </c>
      <c r="K789" s="2" t="str">
        <f t="shared" si="332"/>
        <v>Higher</v>
      </c>
      <c r="L789" s="2" t="str">
        <f t="shared" si="333"/>
        <v>Lower</v>
      </c>
      <c r="M789" s="2" t="str">
        <f t="shared" si="334"/>
        <v>Lower</v>
      </c>
      <c r="N789" s="2" t="str">
        <f t="shared" si="335"/>
        <v>Higher</v>
      </c>
      <c r="O789" s="2" t="str">
        <f t="shared" si="336"/>
        <v>Lower</v>
      </c>
      <c r="P789" s="2" t="str">
        <f t="shared" si="337"/>
        <v>Higher</v>
      </c>
      <c r="X789" s="4">
        <f>DATE(2021,7,22)</f>
        <v>44399</v>
      </c>
      <c r="Y789">
        <v>15.9552255054671</v>
      </c>
      <c r="Z789">
        <v>32.296643780992241</v>
      </c>
      <c r="AA789">
        <v>50.980000000000004</v>
      </c>
      <c r="AB789">
        <v>36.085750000000004</v>
      </c>
      <c r="AC789">
        <f t="shared" si="338"/>
        <v>-3.5977008559734479E-2</v>
      </c>
      <c r="AD789">
        <f t="shared" si="338"/>
        <v>6.0942924826696186E-2</v>
      </c>
      <c r="AE789">
        <f t="shared" si="339"/>
        <v>9.6919933386430665E-2</v>
      </c>
      <c r="AF789">
        <f t="shared" si="340"/>
        <v>0.81547375338771155</v>
      </c>
      <c r="AH789">
        <f t="shared" si="341"/>
        <v>-7.5035776772122087E-2</v>
      </c>
      <c r="AI789">
        <f t="shared" si="341"/>
        <v>0.12435059457767866</v>
      </c>
      <c r="AJ789">
        <f t="shared" si="342"/>
        <v>0.19938637134980075</v>
      </c>
      <c r="AK789">
        <f t="shared" si="343"/>
        <v>0.72213151366865247</v>
      </c>
      <c r="AM789">
        <f t="shared" si="344"/>
        <v>6.3675809817838755E-2</v>
      </c>
      <c r="AN789">
        <f t="shared" si="344"/>
        <v>0.48187206737837573</v>
      </c>
      <c r="AO789">
        <f t="shared" si="345"/>
        <v>0.41819625756053697</v>
      </c>
      <c r="AP789">
        <f t="shared" si="346"/>
        <v>1.0190184823275525</v>
      </c>
      <c r="AR789">
        <f t="shared" si="347"/>
        <v>0.7094623691724663</v>
      </c>
      <c r="AS789">
        <f t="shared" si="348"/>
        <v>0.93583013200377152</v>
      </c>
      <c r="AT789">
        <f t="shared" si="349"/>
        <v>0.22636776283130522</v>
      </c>
      <c r="AU789">
        <f t="shared" si="350"/>
        <v>0.77437265224030782</v>
      </c>
    </row>
    <row r="790" spans="1:47" x14ac:dyDescent="0.25">
      <c r="A790" s="4">
        <f>DATE(2021,7,21)</f>
        <v>44398</v>
      </c>
      <c r="B790">
        <v>-0.40085787307872106</v>
      </c>
      <c r="C790">
        <v>45.780903268727791</v>
      </c>
      <c r="D790">
        <v>0.24602047549478037</v>
      </c>
      <c r="E790">
        <f t="shared" si="326"/>
        <v>-1.2727016844731891</v>
      </c>
      <c r="F790">
        <f t="shared" si="327"/>
        <v>-1.5539760842452759</v>
      </c>
      <c r="G790">
        <f t="shared" si="328"/>
        <v>-1.6819679653878665</v>
      </c>
      <c r="H790" s="2" t="str">
        <f t="shared" si="329"/>
        <v>Higher</v>
      </c>
      <c r="I790" s="2" t="str">
        <f t="shared" si="330"/>
        <v>Lower</v>
      </c>
      <c r="J790" s="2" t="str">
        <f t="shared" si="331"/>
        <v>Higher</v>
      </c>
      <c r="K790" s="2" t="str">
        <f t="shared" si="332"/>
        <v>Higher</v>
      </c>
      <c r="L790" s="2" t="str">
        <f t="shared" si="333"/>
        <v>Lower</v>
      </c>
      <c r="M790" s="2" t="str">
        <f t="shared" si="334"/>
        <v>Lower</v>
      </c>
      <c r="N790" s="2" t="str">
        <f t="shared" si="335"/>
        <v>Higher</v>
      </c>
      <c r="O790" s="2" t="str">
        <f t="shared" si="336"/>
        <v>Lower</v>
      </c>
      <c r="P790" s="2" t="str">
        <f t="shared" si="337"/>
        <v>Higher</v>
      </c>
      <c r="X790" s="4">
        <f>DATE(2021,7,21)</f>
        <v>44398</v>
      </c>
      <c r="Y790">
        <v>17.319751472824823</v>
      </c>
      <c r="Z790">
        <v>32.38027823471748</v>
      </c>
      <c r="AA790">
        <v>51.8675</v>
      </c>
      <c r="AB790">
        <v>35.889499999999998</v>
      </c>
      <c r="AC790">
        <f t="shared" si="338"/>
        <v>-3.0241320925615326E-2</v>
      </c>
      <c r="AD790">
        <f t="shared" si="338"/>
        <v>3.8543864013263887E-2</v>
      </c>
      <c r="AE790">
        <f t="shared" si="339"/>
        <v>6.878518493887921E-2</v>
      </c>
      <c r="AF790">
        <f t="shared" si="340"/>
        <v>0.50546262149536914</v>
      </c>
      <c r="AH790">
        <f t="shared" si="341"/>
        <v>-4.8085281507796722E-2</v>
      </c>
      <c r="AI790">
        <f t="shared" si="341"/>
        <v>0.13570908992860301</v>
      </c>
      <c r="AJ790">
        <f t="shared" si="342"/>
        <v>0.18379437143639973</v>
      </c>
      <c r="AK790">
        <f t="shared" si="343"/>
        <v>0.6413088281093875</v>
      </c>
      <c r="AM790">
        <f t="shared" si="344"/>
        <v>8.1352991983651674E-2</v>
      </c>
      <c r="AN790">
        <f t="shared" si="344"/>
        <v>0.50451595805697391</v>
      </c>
      <c r="AO790">
        <f t="shared" si="345"/>
        <v>0.42316296607332227</v>
      </c>
      <c r="AP790">
        <f t="shared" si="346"/>
        <v>1.0380096483491505</v>
      </c>
      <c r="AR790">
        <f t="shared" si="347"/>
        <v>0.70580711245660477</v>
      </c>
      <c r="AS790">
        <f t="shared" si="348"/>
        <v>0.95170837922275731</v>
      </c>
      <c r="AT790">
        <f t="shared" si="349"/>
        <v>0.24590126676615254</v>
      </c>
      <c r="AU790">
        <f t="shared" si="350"/>
        <v>0.88967521415437978</v>
      </c>
    </row>
    <row r="791" spans="1:47" x14ac:dyDescent="0.25">
      <c r="A791" s="4">
        <f>DATE(2021,7,20)</f>
        <v>44397</v>
      </c>
      <c r="B791">
        <v>-0.44544409434115045</v>
      </c>
      <c r="C791">
        <v>41.671406929194688</v>
      </c>
      <c r="D791">
        <v>0.10302993927714409</v>
      </c>
      <c r="E791">
        <f t="shared" si="326"/>
        <v>-1.4294523819175415</v>
      </c>
      <c r="F791">
        <f t="shared" si="327"/>
        <v>-1.9833748906743429</v>
      </c>
      <c r="G791">
        <f t="shared" si="328"/>
        <v>-2.2260524186992012</v>
      </c>
      <c r="H791" s="2" t="str">
        <f t="shared" si="329"/>
        <v>Higher</v>
      </c>
      <c r="I791" s="2" t="str">
        <f t="shared" si="330"/>
        <v>Lower</v>
      </c>
      <c r="J791" s="2" t="str">
        <f t="shared" si="331"/>
        <v>Higher</v>
      </c>
      <c r="K791" s="2" t="str">
        <f t="shared" si="332"/>
        <v>Higher</v>
      </c>
      <c r="L791" s="2" t="str">
        <f t="shared" si="333"/>
        <v>Lower</v>
      </c>
      <c r="M791" s="2" t="str">
        <f t="shared" si="334"/>
        <v>Lower</v>
      </c>
      <c r="N791" s="2" t="str">
        <f t="shared" si="335"/>
        <v>Higher</v>
      </c>
      <c r="O791" s="2" t="str">
        <f t="shared" si="336"/>
        <v>Lower</v>
      </c>
      <c r="P791" s="2" t="str">
        <f t="shared" si="337"/>
        <v>Higher</v>
      </c>
      <c r="X791" s="4">
        <f>DATE(2021,7,20)</f>
        <v>44397</v>
      </c>
      <c r="Y791">
        <v>18.231082392921234</v>
      </c>
      <c r="Z791">
        <v>29.971036080324755</v>
      </c>
      <c r="AA791">
        <v>51.375</v>
      </c>
      <c r="AB791">
        <v>35.067499999999995</v>
      </c>
      <c r="AC791">
        <f t="shared" si="338"/>
        <v>-2.2851264916768133E-2</v>
      </c>
      <c r="AD791">
        <f t="shared" si="338"/>
        <v>-4.5238646588846671E-3</v>
      </c>
      <c r="AE791">
        <f t="shared" si="339"/>
        <v>1.8327400257883465E-2</v>
      </c>
      <c r="AF791">
        <f t="shared" si="340"/>
        <v>-5.2997622464164534E-2</v>
      </c>
      <c r="AH791">
        <f t="shared" si="341"/>
        <v>-3.3731220868509895E-2</v>
      </c>
      <c r="AI791">
        <f t="shared" si="341"/>
        <v>0.13713297794859608</v>
      </c>
      <c r="AJ791">
        <f t="shared" si="342"/>
        <v>0.17086419881710596</v>
      </c>
      <c r="AK791">
        <f t="shared" si="343"/>
        <v>0.57435546463830378</v>
      </c>
      <c r="AM791">
        <f t="shared" si="344"/>
        <v>8.4545938258203293E-2</v>
      </c>
      <c r="AN791">
        <f t="shared" si="344"/>
        <v>0.51203830715460918</v>
      </c>
      <c r="AO791">
        <f t="shared" si="345"/>
        <v>0.42749236889640591</v>
      </c>
      <c r="AP791">
        <f t="shared" si="346"/>
        <v>1.0551851257364886</v>
      </c>
      <c r="AR791">
        <f t="shared" si="347"/>
        <v>0.7064715669718008</v>
      </c>
      <c r="AS791">
        <f t="shared" si="348"/>
        <v>0.94757269752725526</v>
      </c>
      <c r="AT791">
        <f t="shared" si="349"/>
        <v>0.24110113055545446</v>
      </c>
      <c r="AU791">
        <f t="shared" si="350"/>
        <v>0.86556383647550494</v>
      </c>
    </row>
    <row r="792" spans="1:47" x14ac:dyDescent="0.25">
      <c r="A792" s="4">
        <f>DATE(2021,7,19)</f>
        <v>44396</v>
      </c>
      <c r="B792">
        <v>-0.38782471547923397</v>
      </c>
      <c r="C792">
        <v>45.833739903263442</v>
      </c>
      <c r="D792">
        <v>0.22662945424737241</v>
      </c>
      <c r="E792">
        <f t="shared" si="326"/>
        <v>-1.2407004951679066</v>
      </c>
      <c r="F792">
        <f t="shared" si="327"/>
        <v>-1.5973195549124941</v>
      </c>
      <c r="G792">
        <f t="shared" si="328"/>
        <v>-1.8158499293656996</v>
      </c>
      <c r="H792" s="2" t="str">
        <f t="shared" si="329"/>
        <v>Higher</v>
      </c>
      <c r="I792" s="2" t="str">
        <f t="shared" si="330"/>
        <v>Lower</v>
      </c>
      <c r="J792" s="2" t="str">
        <f t="shared" si="331"/>
        <v>Higher</v>
      </c>
      <c r="K792" s="2" t="str">
        <f t="shared" si="332"/>
        <v>Higher</v>
      </c>
      <c r="L792" s="2" t="str">
        <f t="shared" si="333"/>
        <v>Lower</v>
      </c>
      <c r="M792" s="2" t="str">
        <f t="shared" si="334"/>
        <v>Lower</v>
      </c>
      <c r="N792" s="2" t="str">
        <f t="shared" si="335"/>
        <v>Higher</v>
      </c>
      <c r="O792" s="2" t="str">
        <f t="shared" si="336"/>
        <v>Lower</v>
      </c>
      <c r="P792" s="2" t="str">
        <f t="shared" si="337"/>
        <v>Higher</v>
      </c>
      <c r="X792" s="4">
        <f>DATE(2021,7,19)</f>
        <v>44396</v>
      </c>
      <c r="Y792">
        <v>19.647187195706739</v>
      </c>
      <c r="Z792">
        <v>31.273970595957007</v>
      </c>
      <c r="AA792">
        <v>52.69</v>
      </c>
      <c r="AB792">
        <v>35.930750000000003</v>
      </c>
      <c r="AC792">
        <f t="shared" si="338"/>
        <v>7.5727268752563354E-3</v>
      </c>
      <c r="AD792">
        <f t="shared" si="338"/>
        <v>2.7367471182618692E-2</v>
      </c>
      <c r="AE792">
        <f t="shared" si="339"/>
        <v>1.9794744307362357E-2</v>
      </c>
      <c r="AF792">
        <f t="shared" si="340"/>
        <v>-3.6853221980757321E-2</v>
      </c>
      <c r="AH792">
        <f t="shared" si="341"/>
        <v>6.282743179495209E-3</v>
      </c>
      <c r="AI792">
        <f t="shared" si="341"/>
        <v>0.1909937168022092</v>
      </c>
      <c r="AJ792">
        <f t="shared" si="342"/>
        <v>0.18471097362271399</v>
      </c>
      <c r="AK792">
        <f t="shared" si="343"/>
        <v>0.64889573083552532</v>
      </c>
      <c r="AM792">
        <f t="shared" si="344"/>
        <v>0.10892012162822015</v>
      </c>
      <c r="AN792">
        <f t="shared" si="344"/>
        <v>0.58043843110670357</v>
      </c>
      <c r="AO792">
        <f t="shared" si="345"/>
        <v>0.47151830947848339</v>
      </c>
      <c r="AP792">
        <f t="shared" si="346"/>
        <v>1.1966021683058319</v>
      </c>
      <c r="AR792">
        <f t="shared" si="347"/>
        <v>0.71725399019814617</v>
      </c>
      <c r="AS792">
        <f t="shared" si="348"/>
        <v>0.95819380334738269</v>
      </c>
      <c r="AT792">
        <f t="shared" si="349"/>
        <v>0.24093981314923651</v>
      </c>
      <c r="AU792">
        <f t="shared" si="350"/>
        <v>0.86853344397573595</v>
      </c>
    </row>
    <row r="793" spans="1:47" x14ac:dyDescent="0.25">
      <c r="A793" s="4">
        <f>DATE(2021,7,16)</f>
        <v>44393</v>
      </c>
      <c r="B793">
        <v>-0.39045314602408904</v>
      </c>
      <c r="C793">
        <v>47.599690789958963</v>
      </c>
      <c r="D793">
        <v>0.29235457993711617</v>
      </c>
      <c r="E793">
        <f t="shared" si="326"/>
        <v>-1.250646624793992</v>
      </c>
      <c r="F793">
        <f t="shared" si="327"/>
        <v>-1.4182889420980334</v>
      </c>
      <c r="G793">
        <f t="shared" si="328"/>
        <v>-1.5716231828470122</v>
      </c>
      <c r="H793" s="2" t="str">
        <f t="shared" si="329"/>
        <v>Higher</v>
      </c>
      <c r="I793" s="2" t="str">
        <f t="shared" si="330"/>
        <v>Lower</v>
      </c>
      <c r="J793" s="2" t="str">
        <f t="shared" si="331"/>
        <v>Higher</v>
      </c>
      <c r="K793" s="2" t="str">
        <f t="shared" si="332"/>
        <v>Higher</v>
      </c>
      <c r="L793" s="2" t="str">
        <f t="shared" si="333"/>
        <v>Lower</v>
      </c>
      <c r="M793" s="2" t="str">
        <f t="shared" si="334"/>
        <v>Lower</v>
      </c>
      <c r="N793" s="2" t="str">
        <f t="shared" si="335"/>
        <v>Higher</v>
      </c>
      <c r="O793" s="2" t="str">
        <f t="shared" si="336"/>
        <v>Lower</v>
      </c>
      <c r="P793" s="2" t="str">
        <f t="shared" si="337"/>
        <v>Higher</v>
      </c>
      <c r="X793" s="4">
        <f>DATE(2021,7,16)</f>
        <v>44393</v>
      </c>
      <c r="Y793">
        <v>21.111306064023815</v>
      </c>
      <c r="Z793">
        <v>28.412572936251358</v>
      </c>
      <c r="AA793">
        <v>52.93</v>
      </c>
      <c r="AB793">
        <v>34.952249999999999</v>
      </c>
      <c r="AC793">
        <f t="shared" si="338"/>
        <v>-1.7974646075509186E-2</v>
      </c>
      <c r="AD793">
        <f t="shared" si="338"/>
        <v>-4.1128365625591697E-2</v>
      </c>
      <c r="AE793">
        <f t="shared" si="339"/>
        <v>-2.315371955008251E-2</v>
      </c>
      <c r="AF793">
        <f t="shared" si="340"/>
        <v>-0.51121192133584781</v>
      </c>
      <c r="AH793">
        <f t="shared" si="341"/>
        <v>2.2111165606292806E-2</v>
      </c>
      <c r="AI793">
        <f t="shared" si="341"/>
        <v>0.17622469436167607</v>
      </c>
      <c r="AJ793">
        <f t="shared" si="342"/>
        <v>0.15411352875538326</v>
      </c>
      <c r="AK793">
        <f t="shared" si="343"/>
        <v>0.4888873294446453</v>
      </c>
      <c r="AM793">
        <f t="shared" si="344"/>
        <v>0.12260642924802434</v>
      </c>
      <c r="AN793">
        <f t="shared" si="344"/>
        <v>0.55077855589737656</v>
      </c>
      <c r="AO793">
        <f t="shared" si="345"/>
        <v>0.42817212664935222</v>
      </c>
      <c r="AP793">
        <f t="shared" si="346"/>
        <v>1.0663716114462811</v>
      </c>
      <c r="AR793">
        <f t="shared" si="347"/>
        <v>0.71559642059412798</v>
      </c>
      <c r="AS793">
        <f t="shared" si="348"/>
        <v>0.9313997586179309</v>
      </c>
      <c r="AT793">
        <f t="shared" si="349"/>
        <v>0.21580333802380292</v>
      </c>
      <c r="AU793">
        <f t="shared" si="350"/>
        <v>0.72959261274015752</v>
      </c>
    </row>
    <row r="794" spans="1:47" x14ac:dyDescent="0.25">
      <c r="A794" s="4">
        <f>DATE(2021,7,15)</f>
        <v>44392</v>
      </c>
      <c r="B794">
        <v>-0.41708547401064777</v>
      </c>
      <c r="C794">
        <v>47.885183210078807</v>
      </c>
      <c r="D794">
        <v>0.31550703342129954</v>
      </c>
      <c r="E794">
        <f t="shared" si="326"/>
        <v>-1.3497358219916038</v>
      </c>
      <c r="F794">
        <f t="shared" si="327"/>
        <v>-1.387189791668701</v>
      </c>
      <c r="G794">
        <f t="shared" si="328"/>
        <v>-1.4815451212816293</v>
      </c>
      <c r="H794" s="2" t="str">
        <f t="shared" si="329"/>
        <v>Higher</v>
      </c>
      <c r="I794" s="2" t="str">
        <f t="shared" si="330"/>
        <v>Lower</v>
      </c>
      <c r="J794" s="2" t="str">
        <f t="shared" si="331"/>
        <v>Higher</v>
      </c>
      <c r="K794" s="2" t="str">
        <f t="shared" si="332"/>
        <v>Higher</v>
      </c>
      <c r="L794" s="2" t="str">
        <f t="shared" si="333"/>
        <v>Lower</v>
      </c>
      <c r="M794" s="2" t="str">
        <f t="shared" si="334"/>
        <v>Lower</v>
      </c>
      <c r="N794" s="2" t="str">
        <f t="shared" si="335"/>
        <v>Higher</v>
      </c>
      <c r="O794" s="2" t="str">
        <f t="shared" si="336"/>
        <v>Lower</v>
      </c>
      <c r="P794" s="2" t="str">
        <f t="shared" si="337"/>
        <v>Higher</v>
      </c>
      <c r="X794" s="4">
        <f>DATE(2021,7,15)</f>
        <v>44392</v>
      </c>
      <c r="Y794">
        <v>21.863278143209879</v>
      </c>
      <c r="Z794">
        <v>26.58462369101024</v>
      </c>
      <c r="AA794">
        <v>52.847499999999997</v>
      </c>
      <c r="AB794">
        <v>33.952249999999999</v>
      </c>
      <c r="AC794">
        <f t="shared" si="338"/>
        <v>1.2232131765630386E-2</v>
      </c>
      <c r="AD794">
        <f t="shared" si="338"/>
        <v>2.868244034053051E-2</v>
      </c>
      <c r="AE794">
        <f t="shared" si="339"/>
        <v>1.6450308574900124E-2</v>
      </c>
      <c r="AF794">
        <f t="shared" si="340"/>
        <v>-7.5756445081862897E-2</v>
      </c>
      <c r="AH794">
        <f t="shared" si="341"/>
        <v>3.7694842548639758E-2</v>
      </c>
      <c r="AI794">
        <f t="shared" si="341"/>
        <v>0.18395016763967403</v>
      </c>
      <c r="AJ794">
        <f t="shared" si="342"/>
        <v>0.14625532509103428</v>
      </c>
      <c r="AK794">
        <f t="shared" si="343"/>
        <v>0.4484808778962896</v>
      </c>
      <c r="AM794">
        <f t="shared" si="344"/>
        <v>0.11891310295943609</v>
      </c>
      <c r="AN794">
        <f t="shared" si="344"/>
        <v>0.46179787587215809</v>
      </c>
      <c r="AO794">
        <f t="shared" si="345"/>
        <v>0.34288477291272201</v>
      </c>
      <c r="AP794">
        <f t="shared" si="346"/>
        <v>0.80369751167285319</v>
      </c>
      <c r="AR794">
        <f t="shared" si="347"/>
        <v>0.69130394918523153</v>
      </c>
      <c r="AS794">
        <f t="shared" si="348"/>
        <v>0.89306628560429224</v>
      </c>
      <c r="AT794">
        <f t="shared" si="349"/>
        <v>0.20176233641906072</v>
      </c>
      <c r="AU794">
        <f t="shared" si="350"/>
        <v>0.65561239037119112</v>
      </c>
    </row>
    <row r="795" spans="1:47" x14ac:dyDescent="0.25">
      <c r="A795" s="4">
        <f>DATE(2021,7,14)</f>
        <v>44391</v>
      </c>
      <c r="B795">
        <v>-0.44047947372376728</v>
      </c>
      <c r="C795">
        <v>49.257046579071314</v>
      </c>
      <c r="D795">
        <v>0.3899539334651968</v>
      </c>
      <c r="E795">
        <f t="shared" si="326"/>
        <v>-1.4485640231722363</v>
      </c>
      <c r="F795">
        <f t="shared" si="327"/>
        <v>-1.2648311205341223</v>
      </c>
      <c r="G795">
        <f t="shared" si="328"/>
        <v>-1.2223546320321761</v>
      </c>
      <c r="H795" s="2" t="str">
        <f t="shared" si="329"/>
        <v>Higher</v>
      </c>
      <c r="I795" s="2" t="str">
        <f t="shared" si="330"/>
        <v>Lower</v>
      </c>
      <c r="J795" s="2" t="str">
        <f t="shared" si="331"/>
        <v>Higher</v>
      </c>
      <c r="K795" s="2" t="str">
        <f t="shared" si="332"/>
        <v>Higher</v>
      </c>
      <c r="L795" s="2" t="str">
        <f t="shared" si="333"/>
        <v>Lower</v>
      </c>
      <c r="M795" s="2" t="str">
        <f t="shared" si="334"/>
        <v>Lower</v>
      </c>
      <c r="N795" s="2" t="str">
        <f t="shared" si="335"/>
        <v>Higher</v>
      </c>
      <c r="O795" s="2" t="str">
        <f t="shared" si="336"/>
        <v>Lower</v>
      </c>
      <c r="P795" s="2" t="str">
        <f t="shared" si="337"/>
        <v>Higher</v>
      </c>
      <c r="X795" s="4">
        <f>DATE(2021,7,14)</f>
        <v>44391</v>
      </c>
      <c r="Y795">
        <v>23.184236658829612</v>
      </c>
      <c r="Z795">
        <v>27.869150011154968</v>
      </c>
      <c r="AA795">
        <v>53.459999999999994</v>
      </c>
      <c r="AB795">
        <v>34.532499999999999</v>
      </c>
      <c r="AC795">
        <f t="shared" si="338"/>
        <v>5.7215369702043753E-3</v>
      </c>
      <c r="AD795">
        <f t="shared" si="338"/>
        <v>3.6013236822300815E-2</v>
      </c>
      <c r="AE795">
        <f t="shared" si="339"/>
        <v>3.029169985209644E-2</v>
      </c>
      <c r="AF795">
        <f t="shared" si="340"/>
        <v>7.6397839776304474E-2</v>
      </c>
      <c r="AH795">
        <f t="shared" si="341"/>
        <v>3.8080323614749556E-2</v>
      </c>
      <c r="AI795">
        <f t="shared" si="341"/>
        <v>0.20457560452423312</v>
      </c>
      <c r="AJ795">
        <f t="shared" si="342"/>
        <v>0.16649528090948357</v>
      </c>
      <c r="AK795">
        <f t="shared" si="343"/>
        <v>0.55588044983779195</v>
      </c>
      <c r="AM795">
        <f t="shared" si="344"/>
        <v>0.15519562015019853</v>
      </c>
      <c r="AN795">
        <f t="shared" si="344"/>
        <v>0.49357618591881625</v>
      </c>
      <c r="AO795">
        <f t="shared" si="345"/>
        <v>0.33838056576861775</v>
      </c>
      <c r="AP795">
        <f t="shared" si="346"/>
        <v>0.79164908594409966</v>
      </c>
      <c r="AR795">
        <f t="shared" si="347"/>
        <v>0.68124670541828236</v>
      </c>
      <c r="AS795">
        <f t="shared" si="348"/>
        <v>0.92898590360480626</v>
      </c>
      <c r="AT795">
        <f t="shared" si="349"/>
        <v>0.2477391981865239</v>
      </c>
      <c r="AU795">
        <f t="shared" si="350"/>
        <v>0.928716410745271</v>
      </c>
    </row>
    <row r="796" spans="1:47" x14ac:dyDescent="0.25">
      <c r="A796" s="4">
        <f>DATE(2021,7,13)</f>
        <v>44390</v>
      </c>
      <c r="B796">
        <v>-0.49084900088100747</v>
      </c>
      <c r="C796">
        <v>47.439299392771247</v>
      </c>
      <c r="D796">
        <v>0.34475185043646994</v>
      </c>
      <c r="E796">
        <f t="shared" si="326"/>
        <v>-1.6473564500529831</v>
      </c>
      <c r="F796">
        <f t="shared" si="327"/>
        <v>-1.467702107838891</v>
      </c>
      <c r="G796">
        <f t="shared" si="328"/>
        <v>-1.408482189938532</v>
      </c>
      <c r="H796" s="2" t="str">
        <f t="shared" si="329"/>
        <v>Higher</v>
      </c>
      <c r="I796" s="2" t="str">
        <f t="shared" si="330"/>
        <v>Lower</v>
      </c>
      <c r="J796" s="2" t="str">
        <f t="shared" si="331"/>
        <v>Higher</v>
      </c>
      <c r="K796" s="2" t="str">
        <f t="shared" si="332"/>
        <v>Higher</v>
      </c>
      <c r="L796" s="2" t="str">
        <f t="shared" si="333"/>
        <v>Lower</v>
      </c>
      <c r="M796" s="2" t="str">
        <f t="shared" si="334"/>
        <v>Lower</v>
      </c>
      <c r="N796" s="2" t="str">
        <f t="shared" si="335"/>
        <v>Higher</v>
      </c>
      <c r="O796" s="2" t="str">
        <f t="shared" si="336"/>
        <v>Lower</v>
      </c>
      <c r="P796" s="2" t="str">
        <f t="shared" si="337"/>
        <v>Higher</v>
      </c>
      <c r="X796" s="4">
        <f>DATE(2021,7,13)</f>
        <v>44390</v>
      </c>
      <c r="Y796">
        <v>18.339281572700454</v>
      </c>
      <c r="Z796">
        <v>30.268158350984592</v>
      </c>
      <c r="AA796">
        <v>52.5625</v>
      </c>
      <c r="AB796">
        <v>35.226500000000001</v>
      </c>
      <c r="AC796">
        <f t="shared" si="338"/>
        <v>-3.8717522456266154E-2</v>
      </c>
      <c r="AD796">
        <f t="shared" si="338"/>
        <v>8.9179058450173914E-3</v>
      </c>
      <c r="AE796">
        <f t="shared" si="339"/>
        <v>4.7635428301283547E-2</v>
      </c>
      <c r="AF796">
        <f t="shared" si="340"/>
        <v>0.26694827831966284</v>
      </c>
      <c r="AH796">
        <f t="shared" si="341"/>
        <v>1.7996886451970066E-2</v>
      </c>
      <c r="AI796">
        <f t="shared" si="341"/>
        <v>0.22172340000052868</v>
      </c>
      <c r="AJ796">
        <f t="shared" si="342"/>
        <v>0.20372651354855861</v>
      </c>
      <c r="AK796">
        <f t="shared" si="343"/>
        <v>0.75268928438577376</v>
      </c>
      <c r="AM796">
        <f t="shared" si="344"/>
        <v>0.16169392193502224</v>
      </c>
      <c r="AN796">
        <f t="shared" si="344"/>
        <v>0.51561092322808966</v>
      </c>
      <c r="AO796">
        <f t="shared" si="345"/>
        <v>0.35391700129306741</v>
      </c>
      <c r="AP796">
        <f t="shared" si="346"/>
        <v>0.84203064325539811</v>
      </c>
      <c r="AR796">
        <f t="shared" si="347"/>
        <v>0.67444095507651913</v>
      </c>
      <c r="AS796">
        <f t="shared" si="348"/>
        <v>0.97403460504286588</v>
      </c>
      <c r="AT796">
        <f t="shared" si="349"/>
        <v>0.29959364996634674</v>
      </c>
      <c r="AU796">
        <f t="shared" si="350"/>
        <v>1.2342693579148285</v>
      </c>
    </row>
    <row r="797" spans="1:47" x14ac:dyDescent="0.25">
      <c r="A797" s="4">
        <f>DATE(2021,7,12)</f>
        <v>44389</v>
      </c>
      <c r="B797">
        <v>-0.48797334014311078</v>
      </c>
      <c r="C797">
        <v>43.30494707893812</v>
      </c>
      <c r="D797">
        <v>0.22604970374295835</v>
      </c>
      <c r="E797">
        <f t="shared" si="326"/>
        <v>-1.6699600592345059</v>
      </c>
      <c r="F797">
        <f t="shared" si="327"/>
        <v>-1.9235702963817718</v>
      </c>
      <c r="G797">
        <f t="shared" si="328"/>
        <v>-1.8858672542016413</v>
      </c>
      <c r="H797" s="2" t="str">
        <f t="shared" si="329"/>
        <v>Lower</v>
      </c>
      <c r="I797" s="2" t="str">
        <f t="shared" si="330"/>
        <v>Lower</v>
      </c>
      <c r="J797" s="2" t="str">
        <f t="shared" si="331"/>
        <v>Higher</v>
      </c>
      <c r="K797" s="2" t="str">
        <f t="shared" si="332"/>
        <v>Higher</v>
      </c>
      <c r="L797" s="2" t="str">
        <f t="shared" si="333"/>
        <v>Lower</v>
      </c>
      <c r="M797" s="2" t="str">
        <f t="shared" si="334"/>
        <v>Lower</v>
      </c>
      <c r="N797" s="2" t="str">
        <f t="shared" si="335"/>
        <v>Higher</v>
      </c>
      <c r="O797" s="2" t="str">
        <f t="shared" si="336"/>
        <v>Lower</v>
      </c>
      <c r="P797" s="2" t="str">
        <f t="shared" si="337"/>
        <v>Higher</v>
      </c>
      <c r="X797" s="4">
        <f>DATE(2021,7,12)</f>
        <v>44389</v>
      </c>
      <c r="Y797">
        <v>19.77005945203986</v>
      </c>
      <c r="Z797">
        <v>32.394517468670877</v>
      </c>
      <c r="AA797">
        <v>52.292500000000004</v>
      </c>
      <c r="AB797">
        <v>34.960750000000004</v>
      </c>
      <c r="AC797">
        <f t="shared" si="338"/>
        <v>-0.10164851446093237</v>
      </c>
      <c r="AD797" t="str">
        <f t="shared" si="338"/>
        <v/>
      </c>
      <c r="AE797" t="str">
        <f t="shared" si="339"/>
        <v/>
      </c>
      <c r="AF797" t="str">
        <f t="shared" si="340"/>
        <v/>
      </c>
      <c r="AH797">
        <f t="shared" si="341"/>
        <v>-1.4193388531669059E-2</v>
      </c>
      <c r="AI797">
        <f t="shared" si="341"/>
        <v>0.19116325846576726</v>
      </c>
      <c r="AJ797">
        <f t="shared" si="342"/>
        <v>0.20535664699743633</v>
      </c>
      <c r="AK797">
        <f t="shared" si="343"/>
        <v>0.7633605109571534</v>
      </c>
      <c r="AM797">
        <f t="shared" si="344"/>
        <v>0.1641767095503581</v>
      </c>
      <c r="AN797">
        <f t="shared" si="344"/>
        <v>0.51149087649713831</v>
      </c>
      <c r="AO797">
        <f t="shared" si="345"/>
        <v>0.34731416694678019</v>
      </c>
      <c r="AP797">
        <f t="shared" si="346"/>
        <v>0.82373576477617994</v>
      </c>
      <c r="AR797">
        <f t="shared" si="347"/>
        <v>0.66064578954141395</v>
      </c>
      <c r="AS797">
        <f t="shared" si="348"/>
        <v>0.96027812036106619</v>
      </c>
      <c r="AT797">
        <f t="shared" si="349"/>
        <v>0.29963233081965224</v>
      </c>
      <c r="AU797">
        <f t="shared" si="350"/>
        <v>1.2351122281037792</v>
      </c>
    </row>
    <row r="798" spans="1:47" x14ac:dyDescent="0.25">
      <c r="A798" s="4">
        <f>DATE(2021,7,9)</f>
        <v>44386</v>
      </c>
      <c r="B798">
        <v>-0.33904574046422464</v>
      </c>
      <c r="C798">
        <v>51.761836195637677</v>
      </c>
      <c r="D798">
        <v>0.5146961458343372</v>
      </c>
      <c r="E798">
        <f t="shared" si="326"/>
        <v>-1.1747439578857337</v>
      </c>
      <c r="F798">
        <f t="shared" si="327"/>
        <v>-1.0793562102056837</v>
      </c>
      <c r="G798">
        <f t="shared" si="328"/>
        <v>-0.81535823449824718</v>
      </c>
      <c r="H798" s="2" t="str">
        <f t="shared" si="329"/>
        <v>Lower</v>
      </c>
      <c r="I798" s="2" t="str">
        <f t="shared" si="330"/>
        <v>Higher</v>
      </c>
      <c r="J798" s="2" t="str">
        <f t="shared" si="331"/>
        <v>Higher</v>
      </c>
      <c r="K798" s="2" t="str">
        <f t="shared" si="332"/>
        <v>Higher</v>
      </c>
      <c r="L798" s="2" t="str">
        <f t="shared" si="333"/>
        <v>Lower</v>
      </c>
      <c r="M798" s="2" t="str">
        <f t="shared" si="334"/>
        <v>Lower</v>
      </c>
      <c r="N798" s="2" t="str">
        <f t="shared" si="335"/>
        <v>Higher</v>
      </c>
      <c r="O798" s="2" t="str">
        <f t="shared" si="336"/>
        <v>Lower</v>
      </c>
      <c r="P798" s="2" t="str">
        <f t="shared" si="337"/>
        <v>Higher</v>
      </c>
      <c r="X798" s="4">
        <f>DATE(2021,7,9)</f>
        <v>44386</v>
      </c>
      <c r="Y798">
        <v>21.90673285070865</v>
      </c>
      <c r="Z798">
        <v>35.456021986799357</v>
      </c>
      <c r="AA798">
        <v>53.89</v>
      </c>
      <c r="AB798">
        <v>36.419749999999993</v>
      </c>
      <c r="AC798">
        <f t="shared" si="338"/>
        <v>-6.5318162397186727E-2</v>
      </c>
      <c r="AD798">
        <f t="shared" si="338"/>
        <v>1.5425999702534509E-2</v>
      </c>
      <c r="AE798">
        <f t="shared" si="339"/>
        <v>8.0744162099721239E-2</v>
      </c>
      <c r="AF798">
        <f t="shared" si="340"/>
        <v>0.62918851072147275</v>
      </c>
      <c r="AH798">
        <f t="shared" si="341"/>
        <v>1.86833800700698E-2</v>
      </c>
      <c r="AI798">
        <f t="shared" si="341"/>
        <v>0.26304063728111682</v>
      </c>
      <c r="AJ798">
        <f t="shared" si="342"/>
        <v>0.24435725721104701</v>
      </c>
      <c r="AK798">
        <f t="shared" si="343"/>
        <v>0.969920453023985</v>
      </c>
      <c r="AM798">
        <f t="shared" si="344"/>
        <v>0.19123104891764237</v>
      </c>
      <c r="AN798">
        <f t="shared" si="344"/>
        <v>0.57006288202761624</v>
      </c>
      <c r="AO798">
        <f t="shared" si="345"/>
        <v>0.37883183310997387</v>
      </c>
      <c r="AP798">
        <f t="shared" si="346"/>
        <v>0.92387022935567309</v>
      </c>
      <c r="AR798">
        <f t="shared" si="347"/>
        <v>0.69649290858798263</v>
      </c>
      <c r="AS798">
        <f t="shared" si="348"/>
        <v>1.0302580109233548</v>
      </c>
      <c r="AT798">
        <f t="shared" si="349"/>
        <v>0.33376510233537215</v>
      </c>
      <c r="AU798">
        <f t="shared" si="350"/>
        <v>1.4320138350590188</v>
      </c>
    </row>
    <row r="799" spans="1:47" x14ac:dyDescent="0.25">
      <c r="A799" s="4">
        <f>DATE(2021,7,8)</f>
        <v>44385</v>
      </c>
      <c r="B799">
        <v>-0.34703784128493664</v>
      </c>
      <c r="C799">
        <v>44.180042857259011</v>
      </c>
      <c r="D799">
        <v>0.29999341723560485</v>
      </c>
      <c r="E799">
        <f t="shared" si="326"/>
        <v>-1.2214515442537703</v>
      </c>
      <c r="F799">
        <f t="shared" si="327"/>
        <v>-1.8958489156367135</v>
      </c>
      <c r="G799">
        <f t="shared" si="328"/>
        <v>-1.6554358962671145</v>
      </c>
      <c r="H799" s="2" t="str">
        <f t="shared" si="329"/>
        <v>Lower</v>
      </c>
      <c r="I799" s="2" t="str">
        <f t="shared" si="330"/>
        <v>Higher</v>
      </c>
      <c r="J799" s="2" t="str">
        <f t="shared" si="331"/>
        <v>Higher</v>
      </c>
      <c r="K799" s="2" t="str">
        <f t="shared" si="332"/>
        <v>Higher</v>
      </c>
      <c r="L799" s="2" t="str">
        <f t="shared" si="333"/>
        <v>Lower</v>
      </c>
      <c r="M799" s="2" t="str">
        <f t="shared" si="334"/>
        <v>Lower</v>
      </c>
      <c r="N799" s="2" t="str">
        <f t="shared" si="335"/>
        <v>Higher</v>
      </c>
      <c r="O799" s="2" t="str">
        <f t="shared" si="336"/>
        <v>Lower</v>
      </c>
      <c r="P799" s="2" t="str">
        <f t="shared" si="337"/>
        <v>Higher</v>
      </c>
      <c r="X799" s="4">
        <f>DATE(2021,7,8)</f>
        <v>44385</v>
      </c>
      <c r="Y799">
        <v>18.993739062495663</v>
      </c>
      <c r="Z799">
        <v>27.618538767748412</v>
      </c>
      <c r="AA799">
        <v>52.204999999999998</v>
      </c>
      <c r="AB799">
        <v>32.992249999999999</v>
      </c>
      <c r="AC799">
        <f t="shared" si="338"/>
        <v>-9.8864989706501302E-2</v>
      </c>
      <c r="AD799">
        <f t="shared" si="338"/>
        <v>-9.2033387532474559E-2</v>
      </c>
      <c r="AE799">
        <f t="shared" si="339"/>
        <v>6.8316021740267435E-3</v>
      </c>
      <c r="AF799">
        <f t="shared" si="340"/>
        <v>-0.17782725135960228</v>
      </c>
      <c r="AH799">
        <f t="shared" si="341"/>
        <v>-2.5297455320514653E-2</v>
      </c>
      <c r="AI799">
        <f t="shared" si="341"/>
        <v>0.14812452482806795</v>
      </c>
      <c r="AJ799">
        <f t="shared" si="342"/>
        <v>0.17342198014858262</v>
      </c>
      <c r="AK799">
        <f t="shared" si="343"/>
        <v>0.60189462627538426</v>
      </c>
      <c r="AM799">
        <f t="shared" si="344"/>
        <v>0.16730226305681009</v>
      </c>
      <c r="AN799">
        <f t="shared" si="344"/>
        <v>0.49114716682982212</v>
      </c>
      <c r="AO799">
        <f t="shared" si="345"/>
        <v>0.32384490377301201</v>
      </c>
      <c r="AP799">
        <f t="shared" si="346"/>
        <v>0.75594199462778544</v>
      </c>
      <c r="AR799">
        <f t="shared" si="347"/>
        <v>0.67220152546734924</v>
      </c>
      <c r="AS799">
        <f t="shared" si="348"/>
        <v>0.91463640915385658</v>
      </c>
      <c r="AT799">
        <f t="shared" si="349"/>
        <v>0.24243488368650734</v>
      </c>
      <c r="AU799">
        <f t="shared" si="350"/>
        <v>0.90743052180810424</v>
      </c>
    </row>
    <row r="800" spans="1:47" x14ac:dyDescent="0.25">
      <c r="A800" s="4">
        <f>DATE(2021,7,7)</f>
        <v>44384</v>
      </c>
      <c r="B800">
        <v>-0.15184416609036999</v>
      </c>
      <c r="C800">
        <v>45.110719493171246</v>
      </c>
      <c r="D800">
        <v>0.3203340718881787</v>
      </c>
      <c r="E800">
        <f t="shared" si="326"/>
        <v>-0.53961303516275338</v>
      </c>
      <c r="F800">
        <f t="shared" si="327"/>
        <v>-1.8405019828536464</v>
      </c>
      <c r="G800">
        <f t="shared" si="328"/>
        <v>-1.607371558371349</v>
      </c>
      <c r="H800" s="2" t="str">
        <f t="shared" si="329"/>
        <v>Lower</v>
      </c>
      <c r="I800" s="2" t="str">
        <f t="shared" si="330"/>
        <v>Higher</v>
      </c>
      <c r="J800" s="2" t="str">
        <f t="shared" si="331"/>
        <v>Higher</v>
      </c>
      <c r="K800" s="2" t="str">
        <f t="shared" si="332"/>
        <v>Higher</v>
      </c>
      <c r="L800" s="2" t="str">
        <f t="shared" si="333"/>
        <v>Lower</v>
      </c>
      <c r="M800" s="2" t="str">
        <f t="shared" si="334"/>
        <v>Lower</v>
      </c>
      <c r="N800" s="2" t="str">
        <f t="shared" si="335"/>
        <v>Higher</v>
      </c>
      <c r="O800" s="2" t="str">
        <f t="shared" si="336"/>
        <v>Lower</v>
      </c>
      <c r="P800" s="2" t="str">
        <f t="shared" si="337"/>
        <v>Higher</v>
      </c>
      <c r="X800" s="4">
        <f>DATE(2021,7,7)</f>
        <v>44384</v>
      </c>
      <c r="Y800">
        <v>20.803684665953792</v>
      </c>
      <c r="Z800">
        <v>30.746264910945794</v>
      </c>
      <c r="AA800">
        <v>53.155000000000001</v>
      </c>
      <c r="AB800">
        <v>33.311</v>
      </c>
      <c r="AC800">
        <f t="shared" si="338"/>
        <v>-5.499258597698712E-2</v>
      </c>
      <c r="AD800">
        <f t="shared" si="338"/>
        <v>-3.4412013464595714E-2</v>
      </c>
      <c r="AE800">
        <f t="shared" si="339"/>
        <v>2.0580572512391405E-2</v>
      </c>
      <c r="AF800">
        <f t="shared" si="340"/>
        <v>-2.8060085371334142E-2</v>
      </c>
      <c r="AH800">
        <f t="shared" si="341"/>
        <v>-4.411288771526382E-3</v>
      </c>
      <c r="AI800">
        <f t="shared" si="341"/>
        <v>0.16629977273921265</v>
      </c>
      <c r="AJ800">
        <f t="shared" si="342"/>
        <v>0.17071106151073903</v>
      </c>
      <c r="AK800">
        <f t="shared" si="343"/>
        <v>0.58916182926110428</v>
      </c>
      <c r="AM800">
        <f t="shared" si="344"/>
        <v>0.19317889277537456</v>
      </c>
      <c r="AN800">
        <f t="shared" si="344"/>
        <v>0.52609425051719472</v>
      </c>
      <c r="AO800">
        <f t="shared" si="345"/>
        <v>0.33291535774182013</v>
      </c>
      <c r="AP800">
        <f t="shared" si="346"/>
        <v>0.78585888829205452</v>
      </c>
      <c r="AR800">
        <f t="shared" si="347"/>
        <v>0.68173665645802417</v>
      </c>
      <c r="AS800">
        <f t="shared" si="348"/>
        <v>0.92113568801196044</v>
      </c>
      <c r="AT800">
        <f t="shared" si="349"/>
        <v>0.23939903155393627</v>
      </c>
      <c r="AU800">
        <f t="shared" si="350"/>
        <v>0.89795483760060713</v>
      </c>
    </row>
    <row r="801" spans="1:47" x14ac:dyDescent="0.25">
      <c r="A801" s="4">
        <f>DATE(2021,7,6)</f>
        <v>44383</v>
      </c>
      <c r="B801">
        <v>0.1279729791080888</v>
      </c>
      <c r="C801">
        <v>50.202676769730722</v>
      </c>
      <c r="D801">
        <v>0.48162824204519816</v>
      </c>
      <c r="E801">
        <f t="shared" si="326"/>
        <v>0.46057250201753436</v>
      </c>
      <c r="F801">
        <f t="shared" si="327"/>
        <v>-1.3309546710047147</v>
      </c>
      <c r="G801">
        <f t="shared" si="328"/>
        <v>-1.009276671158966</v>
      </c>
      <c r="H801" s="2" t="str">
        <f t="shared" si="329"/>
        <v>Lower</v>
      </c>
      <c r="I801" s="2" t="str">
        <f t="shared" si="330"/>
        <v>Higher</v>
      </c>
      <c r="J801" s="2" t="str">
        <f t="shared" si="331"/>
        <v>Higher</v>
      </c>
      <c r="K801" s="2" t="str">
        <f t="shared" si="332"/>
        <v>Higher</v>
      </c>
      <c r="L801" s="2" t="str">
        <f t="shared" si="333"/>
        <v>Lower</v>
      </c>
      <c r="M801" s="2" t="str">
        <f t="shared" si="334"/>
        <v>Lower</v>
      </c>
      <c r="N801" s="2" t="str">
        <f t="shared" si="335"/>
        <v>Higher</v>
      </c>
      <c r="O801" s="2" t="str">
        <f t="shared" si="336"/>
        <v>Lower</v>
      </c>
      <c r="P801" s="2" t="str">
        <f t="shared" si="337"/>
        <v>Higher</v>
      </c>
      <c r="X801" s="4">
        <f>DATE(2021,7,6)</f>
        <v>44383</v>
      </c>
      <c r="Y801">
        <v>23.029855030486562</v>
      </c>
      <c r="Z801">
        <v>37.051593185596602</v>
      </c>
      <c r="AA801">
        <v>54.637500000000003</v>
      </c>
      <c r="AB801">
        <v>34.913749999999993</v>
      </c>
      <c r="AC801">
        <f t="shared" si="338"/>
        <v>-1.8271766235955476E-2</v>
      </c>
      <c r="AD801">
        <f t="shared" si="338"/>
        <v>4.3935688613076909E-2</v>
      </c>
      <c r="AE801">
        <f t="shared" si="339"/>
        <v>6.2207454849032381E-2</v>
      </c>
      <c r="AF801">
        <f t="shared" si="340"/>
        <v>0.42536002957937025</v>
      </c>
      <c r="AH801">
        <f t="shared" si="341"/>
        <v>4.7027819589894326E-2</v>
      </c>
      <c r="AI801">
        <f t="shared" si="341"/>
        <v>0.2314483212322638</v>
      </c>
      <c r="AJ801">
        <f t="shared" si="342"/>
        <v>0.18442050164236948</v>
      </c>
      <c r="AK801">
        <f t="shared" si="343"/>
        <v>0.66213954087378768</v>
      </c>
      <c r="AM801">
        <f t="shared" si="344"/>
        <v>0.21590602150232971</v>
      </c>
      <c r="AN801">
        <f t="shared" si="344"/>
        <v>0.57811676730776196</v>
      </c>
      <c r="AO801">
        <f t="shared" si="345"/>
        <v>0.36221074580543222</v>
      </c>
      <c r="AP801">
        <f t="shared" si="346"/>
        <v>0.87851238073653226</v>
      </c>
      <c r="AR801">
        <f t="shared" si="347"/>
        <v>0.70534666434850712</v>
      </c>
      <c r="AS801">
        <f t="shared" si="348"/>
        <v>1.0379097467702614</v>
      </c>
      <c r="AT801">
        <f t="shared" si="349"/>
        <v>0.33256308242175425</v>
      </c>
      <c r="AU801">
        <f t="shared" si="350"/>
        <v>1.4446780240710599</v>
      </c>
    </row>
    <row r="802" spans="1:47" x14ac:dyDescent="0.25">
      <c r="A802" s="4">
        <f>DATE(2021,7,5)</f>
        <v>44382</v>
      </c>
      <c r="B802">
        <v>0.40379387218406682</v>
      </c>
      <c r="C802">
        <v>70.533221756854672</v>
      </c>
      <c r="D802">
        <v>0.94679381441582477</v>
      </c>
      <c r="E802">
        <f t="shared" si="326"/>
        <v>1.4563096143752978</v>
      </c>
      <c r="F802">
        <f t="shared" si="327"/>
        <v>0.8641043659750699</v>
      </c>
      <c r="G802">
        <f t="shared" si="328"/>
        <v>0.80091994088397189</v>
      </c>
      <c r="H802" s="2" t="str">
        <f t="shared" si="329"/>
        <v>Lower</v>
      </c>
      <c r="I802" s="2" t="str">
        <f t="shared" si="330"/>
        <v>Higher</v>
      </c>
      <c r="J802" s="2" t="str">
        <f t="shared" si="331"/>
        <v>Higher</v>
      </c>
      <c r="K802" s="2" t="str">
        <f t="shared" si="332"/>
        <v>Higher</v>
      </c>
      <c r="L802" s="2" t="str">
        <f t="shared" si="333"/>
        <v>Lower</v>
      </c>
      <c r="M802" s="2" t="str">
        <f t="shared" si="334"/>
        <v>Lower</v>
      </c>
      <c r="N802" s="2" t="str">
        <f t="shared" si="335"/>
        <v>Higher</v>
      </c>
      <c r="O802" s="2" t="str">
        <f t="shared" si="336"/>
        <v>Lower</v>
      </c>
      <c r="P802" s="2" t="str">
        <f t="shared" si="337"/>
        <v>Higher</v>
      </c>
      <c r="X802" s="4">
        <f>DATE(2021,7,5)</f>
        <v>44382</v>
      </c>
      <c r="Y802">
        <v>30.04579661774175</v>
      </c>
      <c r="AA802">
        <v>57.887500000000003</v>
      </c>
      <c r="AC802">
        <f t="shared" si="338"/>
        <v>4.4282954064054796E-2</v>
      </c>
      <c r="AD802" t="str">
        <f t="shared" si="338"/>
        <v/>
      </c>
      <c r="AE802" t="str">
        <f t="shared" si="339"/>
        <v/>
      </c>
      <c r="AF802" t="str">
        <f t="shared" si="340"/>
        <v/>
      </c>
      <c r="AH802">
        <f t="shared" si="341"/>
        <v>0.12550005999353259</v>
      </c>
      <c r="AI802" t="str">
        <f t="shared" si="341"/>
        <v/>
      </c>
      <c r="AJ802" t="str">
        <f t="shared" si="342"/>
        <v/>
      </c>
      <c r="AK802" t="str">
        <f t="shared" si="343"/>
        <v/>
      </c>
      <c r="AM802">
        <f t="shared" si="344"/>
        <v>0.26802482445822012</v>
      </c>
      <c r="AN802" t="str">
        <f t="shared" si="344"/>
        <v/>
      </c>
      <c r="AO802" t="str">
        <f t="shared" si="345"/>
        <v/>
      </c>
      <c r="AP802" t="str">
        <f t="shared" si="346"/>
        <v/>
      </c>
      <c r="AR802">
        <f t="shared" si="347"/>
        <v>0.7519811370866234</v>
      </c>
      <c r="AS802" t="str">
        <f t="shared" si="348"/>
        <v/>
      </c>
      <c r="AT802" t="str">
        <f t="shared" si="349"/>
        <v/>
      </c>
      <c r="AU802" t="str">
        <f t="shared" si="350"/>
        <v/>
      </c>
    </row>
    <row r="803" spans="1:47" x14ac:dyDescent="0.25">
      <c r="A803" s="4">
        <f>DATE(2021,7,2)</f>
        <v>44379</v>
      </c>
      <c r="B803">
        <v>0.4011803654322208</v>
      </c>
      <c r="C803">
        <v>68.956481435937221</v>
      </c>
      <c r="D803">
        <v>0.94778717323907946</v>
      </c>
      <c r="E803">
        <f t="shared" si="326"/>
        <v>1.469303315330631</v>
      </c>
      <c r="F803">
        <f t="shared" si="327"/>
        <v>0.69571252075419088</v>
      </c>
      <c r="G803">
        <f t="shared" si="328"/>
        <v>0.80342107507805238</v>
      </c>
      <c r="H803" s="2" t="str">
        <f t="shared" si="329"/>
        <v>Lower</v>
      </c>
      <c r="I803" s="2" t="str">
        <f t="shared" si="330"/>
        <v>Higher</v>
      </c>
      <c r="J803" s="2" t="str">
        <f t="shared" si="331"/>
        <v>Higher</v>
      </c>
      <c r="K803" s="2" t="str">
        <f t="shared" si="332"/>
        <v>Lower</v>
      </c>
      <c r="L803" s="2" t="str">
        <f t="shared" si="333"/>
        <v>Lower</v>
      </c>
      <c r="M803" s="2" t="str">
        <f t="shared" si="334"/>
        <v>Lower</v>
      </c>
      <c r="N803" s="2" t="str">
        <f t="shared" si="335"/>
        <v>Lower</v>
      </c>
      <c r="O803" s="2" t="str">
        <f t="shared" si="336"/>
        <v>Lower</v>
      </c>
      <c r="P803" s="2" t="str">
        <f t="shared" si="337"/>
        <v>Higher</v>
      </c>
      <c r="X803" s="4">
        <f>DATE(2021,7,2)</f>
        <v>44379</v>
      </c>
      <c r="Y803">
        <v>31.581065697642497</v>
      </c>
      <c r="Z803">
        <v>49.974131180689042</v>
      </c>
      <c r="AA803">
        <v>57.527500000000003</v>
      </c>
      <c r="AB803">
        <v>35.862249999999996</v>
      </c>
      <c r="AC803">
        <f t="shared" si="338"/>
        <v>4.1390724872277122E-2</v>
      </c>
      <c r="AD803">
        <f t="shared" si="338"/>
        <v>0.10523736681137767</v>
      </c>
      <c r="AE803">
        <f t="shared" si="339"/>
        <v>6.3846641939100557E-2</v>
      </c>
      <c r="AF803">
        <f t="shared" si="340"/>
        <v>0.44309918758688321</v>
      </c>
      <c r="AH803">
        <f t="shared" si="341"/>
        <v>0.13674619966019033</v>
      </c>
      <c r="AI803">
        <f t="shared" si="341"/>
        <v>0.33061971418186747</v>
      </c>
      <c r="AJ803">
        <f t="shared" si="342"/>
        <v>0.19387351452167714</v>
      </c>
      <c r="AK803">
        <f t="shared" si="343"/>
        <v>0.71191440765432734</v>
      </c>
      <c r="AM803">
        <f t="shared" si="344"/>
        <v>0.27812379627783229</v>
      </c>
      <c r="AN803">
        <f t="shared" si="344"/>
        <v>0.63334015402936206</v>
      </c>
      <c r="AO803">
        <f t="shared" si="345"/>
        <v>0.35521635775152977</v>
      </c>
      <c r="AP803">
        <f t="shared" si="346"/>
        <v>0.85846300635288841</v>
      </c>
      <c r="AR803">
        <f t="shared" si="347"/>
        <v>0.78269415515887308</v>
      </c>
      <c r="AS803">
        <f t="shared" si="348"/>
        <v>1.1281414640942469</v>
      </c>
      <c r="AT803">
        <f t="shared" si="349"/>
        <v>0.34544730893537379</v>
      </c>
      <c r="AU803">
        <f t="shared" si="350"/>
        <v>1.5145675582292069</v>
      </c>
    </row>
    <row r="804" spans="1:47" x14ac:dyDescent="0.25">
      <c r="A804" s="4">
        <f>DATE(2021,7,1)</f>
        <v>44378</v>
      </c>
      <c r="B804">
        <v>0.40097007352699487</v>
      </c>
      <c r="C804">
        <v>70.991472126807381</v>
      </c>
      <c r="D804">
        <v>1.0354046595864066</v>
      </c>
      <c r="E804">
        <f t="shared" si="326"/>
        <v>1.4869183518048561</v>
      </c>
      <c r="F804">
        <f t="shared" si="327"/>
        <v>0.92130588980967409</v>
      </c>
      <c r="G804">
        <f t="shared" si="328"/>
        <v>1.1513078676112345</v>
      </c>
      <c r="H804" s="2" t="str">
        <f t="shared" si="329"/>
        <v>Lower</v>
      </c>
      <c r="I804" s="2" t="str">
        <f t="shared" si="330"/>
        <v>Higher</v>
      </c>
      <c r="J804" s="2" t="str">
        <f t="shared" si="331"/>
        <v>Higher</v>
      </c>
      <c r="K804" s="2" t="str">
        <f t="shared" si="332"/>
        <v>Lower</v>
      </c>
      <c r="L804" s="2" t="str">
        <f t="shared" si="333"/>
        <v>Lower</v>
      </c>
      <c r="M804" s="2" t="str">
        <f t="shared" si="334"/>
        <v>Lower</v>
      </c>
      <c r="N804" s="2" t="str">
        <f t="shared" si="335"/>
        <v>Lower</v>
      </c>
      <c r="O804" s="2" t="str">
        <f t="shared" si="336"/>
        <v>Lower</v>
      </c>
      <c r="P804" s="2" t="str">
        <f t="shared" si="337"/>
        <v>Higher</v>
      </c>
      <c r="X804" s="4">
        <f>DATE(2021,7,1)</f>
        <v>44378</v>
      </c>
      <c r="Y804">
        <v>33.730208331563389</v>
      </c>
      <c r="Z804">
        <v>56.736403933883771</v>
      </c>
      <c r="AA804">
        <v>57.629999999999995</v>
      </c>
      <c r="AB804">
        <v>36.172750000000001</v>
      </c>
      <c r="AC804">
        <f t="shared" si="338"/>
        <v>4.7574089728483412E-2</v>
      </c>
      <c r="AD804">
        <f t="shared" si="338"/>
        <v>0.12675861694292687</v>
      </c>
      <c r="AE804">
        <f t="shared" si="339"/>
        <v>7.9184527214443454E-2</v>
      </c>
      <c r="AF804">
        <f t="shared" si="340"/>
        <v>0.61057494588627581</v>
      </c>
      <c r="AH804">
        <f t="shared" si="341"/>
        <v>0.12580248199759494</v>
      </c>
      <c r="AI804">
        <f t="shared" si="341"/>
        <v>0.33662429633950436</v>
      </c>
      <c r="AJ804">
        <f t="shared" si="342"/>
        <v>0.21082181434190941</v>
      </c>
      <c r="AK804">
        <f t="shared" si="343"/>
        <v>0.802125698992317</v>
      </c>
      <c r="AM804">
        <f t="shared" si="344"/>
        <v>0.27938757181334173</v>
      </c>
      <c r="AN804">
        <f t="shared" si="344"/>
        <v>0.63855229499555255</v>
      </c>
      <c r="AO804">
        <f t="shared" si="345"/>
        <v>0.35916472318221082</v>
      </c>
      <c r="AP804">
        <f t="shared" si="346"/>
        <v>0.87310713270176221</v>
      </c>
      <c r="AR804">
        <f t="shared" si="347"/>
        <v>0.77294409740024228</v>
      </c>
      <c r="AS804">
        <f t="shared" si="348"/>
        <v>1.1275427074769862</v>
      </c>
      <c r="AT804">
        <f t="shared" si="349"/>
        <v>0.35459861007674387</v>
      </c>
      <c r="AU804">
        <f t="shared" si="350"/>
        <v>1.5627796480500162</v>
      </c>
    </row>
    <row r="805" spans="1:47" x14ac:dyDescent="0.25">
      <c r="A805" s="4">
        <f>DATE(2021,6,30)</f>
        <v>44377</v>
      </c>
      <c r="B805">
        <v>0.32257815222890174</v>
      </c>
      <c r="C805">
        <v>67.150805022565436</v>
      </c>
      <c r="D805">
        <v>0.95365861214257019</v>
      </c>
      <c r="E805">
        <f t="shared" si="326"/>
        <v>1.2236043052578842</v>
      </c>
      <c r="F805">
        <f t="shared" si="327"/>
        <v>0.51103795160437082</v>
      </c>
      <c r="G805">
        <f t="shared" si="328"/>
        <v>0.84262285079441379</v>
      </c>
      <c r="H805" s="2" t="str">
        <f t="shared" si="329"/>
        <v>Lower</v>
      </c>
      <c r="I805" s="2" t="str">
        <f t="shared" si="330"/>
        <v>Higher</v>
      </c>
      <c r="J805" s="2" t="str">
        <f t="shared" si="331"/>
        <v>Higher</v>
      </c>
      <c r="K805" s="2" t="str">
        <f t="shared" si="332"/>
        <v>Lower</v>
      </c>
      <c r="L805" s="2" t="str">
        <f t="shared" si="333"/>
        <v>Lower</v>
      </c>
      <c r="M805" s="2" t="str">
        <f t="shared" si="334"/>
        <v>Lower</v>
      </c>
      <c r="N805" s="2" t="str">
        <f t="shared" si="335"/>
        <v>Lower</v>
      </c>
      <c r="O805" s="2" t="str">
        <f t="shared" si="336"/>
        <v>Lower</v>
      </c>
      <c r="P805" s="2" t="str">
        <f t="shared" si="337"/>
        <v>Higher</v>
      </c>
      <c r="X805" s="4">
        <f>DATE(2021,6,30)</f>
        <v>44377</v>
      </c>
      <c r="Y805">
        <v>27.771498679349378</v>
      </c>
      <c r="Z805">
        <v>51.363564847569251</v>
      </c>
      <c r="AA805">
        <v>56.16</v>
      </c>
      <c r="AB805">
        <v>34.477249999999998</v>
      </c>
      <c r="AC805">
        <f t="shared" si="338"/>
        <v>3.1427088424601318E-2</v>
      </c>
      <c r="AD805">
        <f t="shared" si="338"/>
        <v>9.5564002557633726E-2</v>
      </c>
      <c r="AE805">
        <f t="shared" si="339"/>
        <v>6.4136914133032408E-2</v>
      </c>
      <c r="AF805">
        <f t="shared" si="340"/>
        <v>0.44912116887428361</v>
      </c>
      <c r="AH805">
        <f t="shared" si="341"/>
        <v>8.7205646052892535E-2</v>
      </c>
      <c r="AI805">
        <f t="shared" si="341"/>
        <v>0.29351690811306391</v>
      </c>
      <c r="AJ805">
        <f t="shared" si="342"/>
        <v>0.20631126206017136</v>
      </c>
      <c r="AK805">
        <f t="shared" si="343"/>
        <v>0.78114860073209602</v>
      </c>
      <c r="AM805">
        <f t="shared" si="344"/>
        <v>0.24623349364968294</v>
      </c>
      <c r="AN805">
        <f t="shared" si="344"/>
        <v>0.57670328271035209</v>
      </c>
      <c r="AO805">
        <f t="shared" si="345"/>
        <v>0.33046978906066915</v>
      </c>
      <c r="AP805">
        <f t="shared" si="346"/>
        <v>0.78716151563801495</v>
      </c>
      <c r="AR805">
        <f t="shared" si="347"/>
        <v>0.73459258873533773</v>
      </c>
      <c r="AS805">
        <f t="shared" si="348"/>
        <v>1.0585229294552001</v>
      </c>
      <c r="AT805">
        <f t="shared" si="349"/>
        <v>0.32393034071986238</v>
      </c>
      <c r="AU805">
        <f t="shared" si="350"/>
        <v>1.3840038583351661</v>
      </c>
    </row>
    <row r="806" spans="1:47" x14ac:dyDescent="0.25">
      <c r="A806" s="4">
        <f>DATE(2021,6,29)</f>
        <v>44376</v>
      </c>
      <c r="B806">
        <v>0.28833956582755449</v>
      </c>
      <c r="C806">
        <v>64.67393583430885</v>
      </c>
      <c r="D806">
        <v>0.91990424913638935</v>
      </c>
      <c r="E806">
        <f t="shared" si="326"/>
        <v>1.1132236068737213</v>
      </c>
      <c r="F806">
        <f t="shared" si="327"/>
        <v>0.2458635231124757</v>
      </c>
      <c r="G806">
        <f t="shared" si="328"/>
        <v>0.71896151309660383</v>
      </c>
      <c r="H806" s="2" t="str">
        <f t="shared" si="329"/>
        <v>Lower</v>
      </c>
      <c r="I806" s="2" t="str">
        <f t="shared" si="330"/>
        <v>Higher</v>
      </c>
      <c r="J806" s="2" t="str">
        <f t="shared" si="331"/>
        <v>Higher</v>
      </c>
      <c r="K806" s="2" t="str">
        <f t="shared" si="332"/>
        <v>Lower</v>
      </c>
      <c r="L806" s="2" t="str">
        <f t="shared" si="333"/>
        <v>Lower</v>
      </c>
      <c r="M806" s="2" t="str">
        <f t="shared" si="334"/>
        <v>Lower</v>
      </c>
      <c r="N806" s="2" t="str">
        <f t="shared" si="335"/>
        <v>Lower</v>
      </c>
      <c r="O806" s="2" t="str">
        <f t="shared" si="336"/>
        <v>Lower</v>
      </c>
      <c r="P806" s="2" t="str">
        <f t="shared" si="337"/>
        <v>Higher</v>
      </c>
      <c r="X806" s="4">
        <f>DATE(2021,6,29)</f>
        <v>44376</v>
      </c>
      <c r="Y806">
        <v>27.401134658161602</v>
      </c>
      <c r="Z806">
        <v>48.526200581438367</v>
      </c>
      <c r="AA806">
        <v>55.645000000000003</v>
      </c>
      <c r="AB806">
        <v>33.412999999999997</v>
      </c>
      <c r="AC806">
        <f t="shared" si="338"/>
        <v>4.6109332740480014E-2</v>
      </c>
      <c r="AD806">
        <f t="shared" si="338"/>
        <v>8.8803248149386532E-2</v>
      </c>
      <c r="AE806">
        <f t="shared" si="339"/>
        <v>4.2693915408906519E-2</v>
      </c>
      <c r="AF806">
        <f t="shared" si="340"/>
        <v>0.21819189823146409</v>
      </c>
      <c r="AH806">
        <f t="shared" si="341"/>
        <v>5.9036567241939661E-2</v>
      </c>
      <c r="AI806">
        <f t="shared" si="341"/>
        <v>0.25702136689807875</v>
      </c>
      <c r="AJ806">
        <f t="shared" si="342"/>
        <v>0.19798479965613908</v>
      </c>
      <c r="AK806">
        <f t="shared" si="343"/>
        <v>0.7402595851870355</v>
      </c>
      <c r="AM806">
        <f t="shared" si="344"/>
        <v>0.23776151124726586</v>
      </c>
      <c r="AN806">
        <f t="shared" si="344"/>
        <v>0.52598144591131002</v>
      </c>
      <c r="AO806">
        <f t="shared" si="345"/>
        <v>0.28821993466404416</v>
      </c>
      <c r="AP806">
        <f t="shared" si="346"/>
        <v>0.65907241518411386</v>
      </c>
      <c r="AR806">
        <f t="shared" si="347"/>
        <v>0.709727401829507</v>
      </c>
      <c r="AS806">
        <f t="shared" si="348"/>
        <v>1.0565400659230677</v>
      </c>
      <c r="AT806">
        <f t="shared" si="349"/>
        <v>0.34681266409356071</v>
      </c>
      <c r="AU806">
        <f t="shared" si="350"/>
        <v>1.5125890362189969</v>
      </c>
    </row>
    <row r="807" spans="1:47" x14ac:dyDescent="0.25">
      <c r="A807" s="4">
        <f>DATE(2021,6,28)</f>
        <v>44375</v>
      </c>
      <c r="B807">
        <v>0.27258181884772847</v>
      </c>
      <c r="C807">
        <v>64.193125994750716</v>
      </c>
      <c r="D807">
        <v>0.95825934480445363</v>
      </c>
      <c r="E807">
        <f t="shared" si="326"/>
        <v>1.065886247664559</v>
      </c>
      <c r="F807">
        <f t="shared" si="327"/>
        <v>0.19005601614602555</v>
      </c>
      <c r="G807">
        <f t="shared" si="328"/>
        <v>0.87015088568651111</v>
      </c>
      <c r="H807" s="2" t="str">
        <f t="shared" si="329"/>
        <v>Lower</v>
      </c>
      <c r="I807" s="2" t="str">
        <f t="shared" si="330"/>
        <v>Higher</v>
      </c>
      <c r="J807" s="2" t="str">
        <f t="shared" si="331"/>
        <v>Higher</v>
      </c>
      <c r="K807" s="2" t="str">
        <f t="shared" si="332"/>
        <v>Lower</v>
      </c>
      <c r="L807" s="2" t="str">
        <f t="shared" si="333"/>
        <v>Lower</v>
      </c>
      <c r="M807" s="2" t="str">
        <f t="shared" si="334"/>
        <v>Lower</v>
      </c>
      <c r="N807" s="2" t="str">
        <f t="shared" si="335"/>
        <v>Lower</v>
      </c>
      <c r="O807" s="2" t="str">
        <f t="shared" si="336"/>
        <v>Lower</v>
      </c>
      <c r="P807" s="2" t="str">
        <f t="shared" si="337"/>
        <v>Higher</v>
      </c>
      <c r="X807" s="4">
        <f>DATE(2021,6,28)</f>
        <v>44375</v>
      </c>
      <c r="Y807">
        <v>27.602426670238948</v>
      </c>
      <c r="Z807">
        <v>42.773139813267655</v>
      </c>
      <c r="AA807">
        <v>55.379999999999995</v>
      </c>
      <c r="AB807">
        <v>32.177</v>
      </c>
      <c r="AC807">
        <f t="shared" si="338"/>
        <v>5.607557670111659E-2</v>
      </c>
      <c r="AD807">
        <f t="shared" si="338"/>
        <v>8.0652153585618863E-2</v>
      </c>
      <c r="AE807">
        <f t="shared" si="339"/>
        <v>2.4576576884502273E-2</v>
      </c>
      <c r="AF807">
        <f t="shared" si="340"/>
        <v>2.3063816105269044E-2</v>
      </c>
      <c r="AH807">
        <f t="shared" si="341"/>
        <v>6.9341175443722536E-2</v>
      </c>
      <c r="AI807" t="str">
        <f t="shared" si="341"/>
        <v/>
      </c>
      <c r="AJ807" t="str">
        <f t="shared" si="342"/>
        <v/>
      </c>
      <c r="AK807" t="str">
        <f t="shared" si="343"/>
        <v/>
      </c>
      <c r="AM807">
        <f t="shared" si="344"/>
        <v>0.26542057341763592</v>
      </c>
      <c r="AN807">
        <f t="shared" si="344"/>
        <v>0.51790535455494058</v>
      </c>
      <c r="AO807">
        <f t="shared" si="345"/>
        <v>0.25248478113730466</v>
      </c>
      <c r="AP807">
        <f t="shared" si="346"/>
        <v>0.55063211045364924</v>
      </c>
      <c r="AR807">
        <f t="shared" si="347"/>
        <v>0.73011690795690765</v>
      </c>
      <c r="AS807">
        <f t="shared" si="348"/>
        <v>1.0305366416311952</v>
      </c>
      <c r="AT807">
        <f t="shared" si="349"/>
        <v>0.30041973367428754</v>
      </c>
      <c r="AU807">
        <f t="shared" si="350"/>
        <v>1.2492711078170511</v>
      </c>
    </row>
    <row r="808" spans="1:47" x14ac:dyDescent="0.25">
      <c r="A808" s="4">
        <f>DATE(2021,6,25)</f>
        <v>44372</v>
      </c>
      <c r="B808">
        <v>0.22860259027863106</v>
      </c>
      <c r="C808">
        <v>62.676937665150106</v>
      </c>
      <c r="D808">
        <v>0.95660348751823709</v>
      </c>
      <c r="E808">
        <f t="shared" si="326"/>
        <v>0.91230093276088498</v>
      </c>
      <c r="F808">
        <f t="shared" si="327"/>
        <v>1.7678194710648035E-2</v>
      </c>
      <c r="G808">
        <f t="shared" si="328"/>
        <v>0.85722089701367765</v>
      </c>
      <c r="H808" s="2" t="str">
        <f t="shared" si="329"/>
        <v>Lower</v>
      </c>
      <c r="I808" s="2" t="str">
        <f t="shared" si="330"/>
        <v>Higher</v>
      </c>
      <c r="J808" s="2" t="str">
        <f t="shared" si="331"/>
        <v>Higher</v>
      </c>
      <c r="K808" s="2" t="str">
        <f t="shared" si="332"/>
        <v>Lower</v>
      </c>
      <c r="L808" s="2" t="str">
        <f t="shared" si="333"/>
        <v>Lower</v>
      </c>
      <c r="M808" s="2" t="str">
        <f t="shared" si="334"/>
        <v>Lower</v>
      </c>
      <c r="N808" s="2" t="str">
        <f t="shared" si="335"/>
        <v>Lower</v>
      </c>
      <c r="O808" s="2" t="str">
        <f t="shared" si="336"/>
        <v>Lower</v>
      </c>
      <c r="P808" s="2" t="str">
        <f t="shared" si="337"/>
        <v>Higher</v>
      </c>
      <c r="X808" s="4">
        <f>DATE(2021,6,25)</f>
        <v>44372</v>
      </c>
      <c r="Y808">
        <v>29.407565501373124</v>
      </c>
      <c r="Z808">
        <v>44.952707077330516</v>
      </c>
      <c r="AA808">
        <v>55.195</v>
      </c>
      <c r="AB808">
        <v>32.28</v>
      </c>
      <c r="AC808">
        <f t="shared" si="338"/>
        <v>6.4013249206711809E-2</v>
      </c>
      <c r="AD808">
        <f t="shared" si="338"/>
        <v>9.6689693473355529E-2</v>
      </c>
      <c r="AE808">
        <f t="shared" si="339"/>
        <v>3.267644426664372E-2</v>
      </c>
      <c r="AF808">
        <f t="shared" si="340"/>
        <v>0.11033943875360325</v>
      </c>
      <c r="AH808">
        <f t="shared" si="341"/>
        <v>7.5718946653314634E-2</v>
      </c>
      <c r="AI808">
        <f t="shared" si="341"/>
        <v>0.25877714948249569</v>
      </c>
      <c r="AJ808">
        <f t="shared" si="342"/>
        <v>0.18305820282918106</v>
      </c>
      <c r="AK808">
        <f t="shared" si="343"/>
        <v>0.66376777896943717</v>
      </c>
      <c r="AM808" t="str">
        <f t="shared" si="344"/>
        <v/>
      </c>
      <c r="AN808" t="str">
        <f t="shared" si="344"/>
        <v/>
      </c>
      <c r="AO808" t="str">
        <f t="shared" si="345"/>
        <v/>
      </c>
      <c r="AP808" t="str">
        <f t="shared" si="346"/>
        <v/>
      </c>
      <c r="AR808">
        <f t="shared" si="347"/>
        <v>0.67288106371195211</v>
      </c>
      <c r="AS808">
        <f t="shared" si="348"/>
        <v>1.0423707551749479</v>
      </c>
      <c r="AT808">
        <f t="shared" si="349"/>
        <v>0.36948969146299582</v>
      </c>
      <c r="AU808">
        <f t="shared" si="350"/>
        <v>1.6397552542732501</v>
      </c>
    </row>
    <row r="809" spans="1:47" x14ac:dyDescent="0.25">
      <c r="A809" s="4">
        <f>DATE(2021,6,24)</f>
        <v>44371</v>
      </c>
      <c r="B809">
        <v>0.1758310658711395</v>
      </c>
      <c r="C809">
        <v>62.89677978583569</v>
      </c>
      <c r="D809">
        <v>1.0373825490211104</v>
      </c>
      <c r="E809">
        <f t="shared" si="326"/>
        <v>0.72221078048787168</v>
      </c>
      <c r="F809">
        <f t="shared" si="327"/>
        <v>4.155986420036125E-2</v>
      </c>
      <c r="G809">
        <f t="shared" si="328"/>
        <v>1.1800574649146076</v>
      </c>
      <c r="H809" s="2" t="str">
        <f t="shared" si="329"/>
        <v>Lower</v>
      </c>
      <c r="I809" s="2" t="str">
        <f t="shared" si="330"/>
        <v>Higher</v>
      </c>
      <c r="J809" s="2" t="str">
        <f t="shared" si="331"/>
        <v>Higher</v>
      </c>
      <c r="K809" s="2" t="str">
        <f t="shared" si="332"/>
        <v>Lower</v>
      </c>
      <c r="L809" s="2" t="str">
        <f t="shared" si="333"/>
        <v>Lower</v>
      </c>
      <c r="M809" s="2" t="str">
        <f t="shared" si="334"/>
        <v>Lower</v>
      </c>
      <c r="N809" s="2" t="str">
        <f t="shared" si="335"/>
        <v>Lower</v>
      </c>
      <c r="O809" s="2" t="str">
        <f t="shared" si="336"/>
        <v>Higher</v>
      </c>
      <c r="P809" s="2" t="str">
        <f t="shared" si="337"/>
        <v>Higher</v>
      </c>
      <c r="X809" s="4">
        <f>DATE(2021,6,24)</f>
        <v>44371</v>
      </c>
      <c r="Y809">
        <v>28.531970714502393</v>
      </c>
      <c r="Z809">
        <v>43.621095182629603</v>
      </c>
      <c r="AA809">
        <v>54.952500000000001</v>
      </c>
      <c r="AB809">
        <v>31.866250000000001</v>
      </c>
      <c r="AC809">
        <f t="shared" si="338"/>
        <v>7.6753610761027435E-2</v>
      </c>
      <c r="AD809">
        <f t="shared" si="338"/>
        <v>0.12054249788869144</v>
      </c>
      <c r="AE809">
        <f t="shared" si="339"/>
        <v>4.3788887127664003E-2</v>
      </c>
      <c r="AF809">
        <f t="shared" si="340"/>
        <v>0.22995632266622468</v>
      </c>
      <c r="AH809">
        <f t="shared" si="341"/>
        <v>5.3928221989057362E-2</v>
      </c>
      <c r="AI809">
        <f t="shared" si="341"/>
        <v>0.22581451405533218</v>
      </c>
      <c r="AJ809">
        <f t="shared" si="342"/>
        <v>0.17188629206627482</v>
      </c>
      <c r="AK809">
        <f t="shared" si="343"/>
        <v>0.60767319722497248</v>
      </c>
      <c r="AM809">
        <f t="shared" si="344"/>
        <v>0.25743579878640815</v>
      </c>
      <c r="AN809">
        <f t="shared" si="344"/>
        <v>0.50904893707970666</v>
      </c>
      <c r="AO809">
        <f t="shared" si="345"/>
        <v>0.25161313829329851</v>
      </c>
      <c r="AP809">
        <f t="shared" si="346"/>
        <v>0.5480025536456008</v>
      </c>
      <c r="AR809">
        <f t="shared" si="347"/>
        <v>0.64739672035860729</v>
      </c>
      <c r="AS809">
        <f t="shared" si="348"/>
        <v>1.0439609703014034</v>
      </c>
      <c r="AT809">
        <f t="shared" si="349"/>
        <v>0.39656424994279615</v>
      </c>
      <c r="AU809">
        <f t="shared" si="350"/>
        <v>1.7824931648898907</v>
      </c>
    </row>
    <row r="810" spans="1:47" x14ac:dyDescent="0.25">
      <c r="A810" s="4">
        <f>DATE(2021,6,23)</f>
        <v>44370</v>
      </c>
      <c r="B810">
        <v>6.438626085023369E-2</v>
      </c>
      <c r="C810">
        <v>61.58301536454227</v>
      </c>
      <c r="D810">
        <v>1.061786940774736</v>
      </c>
      <c r="E810">
        <f t="shared" si="326"/>
        <v>0.31304286029022554</v>
      </c>
      <c r="F810">
        <f t="shared" si="327"/>
        <v>-0.10399716248828028</v>
      </c>
      <c r="G810">
        <f t="shared" si="328"/>
        <v>1.2870808070299928</v>
      </c>
      <c r="H810" s="2" t="str">
        <f t="shared" si="329"/>
        <v>Lower</v>
      </c>
      <c r="I810" s="2" t="str">
        <f t="shared" si="330"/>
        <v>Higher</v>
      </c>
      <c r="J810" s="2" t="str">
        <f t="shared" si="331"/>
        <v>Higher</v>
      </c>
      <c r="K810" s="2" t="str">
        <f t="shared" si="332"/>
        <v>Lower</v>
      </c>
      <c r="L810" s="2" t="str">
        <f t="shared" si="333"/>
        <v>Lower</v>
      </c>
      <c r="M810" s="2" t="str">
        <f t="shared" si="334"/>
        <v>Lower</v>
      </c>
      <c r="N810" s="2" t="str">
        <f t="shared" si="335"/>
        <v>Lower</v>
      </c>
      <c r="O810" s="2" t="str">
        <f t="shared" si="336"/>
        <v>Higher</v>
      </c>
      <c r="P810" s="2" t="str">
        <f t="shared" si="337"/>
        <v>Higher</v>
      </c>
      <c r="X810" s="4">
        <f>DATE(2021,6,23)</f>
        <v>44370</v>
      </c>
      <c r="Y810">
        <v>27.647510672776303</v>
      </c>
      <c r="Z810">
        <v>43.083900721479949</v>
      </c>
      <c r="AA810">
        <v>54.422499999999999</v>
      </c>
      <c r="AB810">
        <v>31.335000000000001</v>
      </c>
      <c r="AC810">
        <f t="shared" si="338"/>
        <v>5.5924284196931143E-2</v>
      </c>
      <c r="AD810">
        <f t="shared" si="338"/>
        <v>0.10741037860889412</v>
      </c>
      <c r="AE810">
        <f t="shared" si="339"/>
        <v>5.1486094411962974E-2</v>
      </c>
      <c r="AF810">
        <f t="shared" si="340"/>
        <v>0.31294535437100046</v>
      </c>
      <c r="AH810">
        <f t="shared" si="341"/>
        <v>1.4063237742275301E-2</v>
      </c>
      <c r="AI810">
        <f t="shared" si="341"/>
        <v>0.16603555716277246</v>
      </c>
      <c r="AJ810">
        <f t="shared" si="342"/>
        <v>0.15197231942049716</v>
      </c>
      <c r="AK810">
        <f t="shared" si="343"/>
        <v>0.50621755615845709</v>
      </c>
      <c r="AM810">
        <f t="shared" si="344"/>
        <v>0.24827409569616676</v>
      </c>
      <c r="AN810">
        <f t="shared" si="344"/>
        <v>0.50214050853577641</v>
      </c>
      <c r="AO810">
        <f t="shared" si="345"/>
        <v>0.25386641283960965</v>
      </c>
      <c r="AP810">
        <f t="shared" si="346"/>
        <v>0.5558770540357324</v>
      </c>
      <c r="AR810">
        <f t="shared" si="347"/>
        <v>0.60176604871788519</v>
      </c>
      <c r="AS810">
        <f t="shared" si="348"/>
        <v>1.0180541929696176</v>
      </c>
      <c r="AT810">
        <f t="shared" si="349"/>
        <v>0.41628814425173244</v>
      </c>
      <c r="AU810">
        <f t="shared" si="350"/>
        <v>1.8784963843395377</v>
      </c>
    </row>
    <row r="811" spans="1:47" x14ac:dyDescent="0.25">
      <c r="A811" s="4">
        <f>DATE(2021,6,22)</f>
        <v>44369</v>
      </c>
      <c r="B811">
        <v>-8.3872473243522205E-2</v>
      </c>
      <c r="C811">
        <v>57.379216516585636</v>
      </c>
      <c r="D811">
        <v>0.82874965501618669</v>
      </c>
      <c r="E811">
        <f t="shared" si="326"/>
        <v>-0.23803896436141994</v>
      </c>
      <c r="F811">
        <f t="shared" si="327"/>
        <v>-0.56209851733034799</v>
      </c>
      <c r="G811">
        <f t="shared" si="328"/>
        <v>0.37778046021362766</v>
      </c>
      <c r="H811" s="2" t="str">
        <f t="shared" si="329"/>
        <v>Lower</v>
      </c>
      <c r="I811" s="2" t="str">
        <f t="shared" si="330"/>
        <v>Higher</v>
      </c>
      <c r="J811" s="2" t="str">
        <f t="shared" si="331"/>
        <v>Higher</v>
      </c>
      <c r="K811" s="2" t="str">
        <f t="shared" si="332"/>
        <v>Lower</v>
      </c>
      <c r="L811" s="2" t="str">
        <f t="shared" si="333"/>
        <v>Lower</v>
      </c>
      <c r="M811" s="2" t="str">
        <f t="shared" si="334"/>
        <v>Lower</v>
      </c>
      <c r="N811" s="2" t="str">
        <f t="shared" si="335"/>
        <v>Lower</v>
      </c>
      <c r="O811" s="2" t="str">
        <f t="shared" si="336"/>
        <v>Higher</v>
      </c>
      <c r="P811" s="2" t="str">
        <f t="shared" si="337"/>
        <v>Higher</v>
      </c>
      <c r="X811" s="4">
        <f>DATE(2021,6,22)</f>
        <v>44369</v>
      </c>
      <c r="Y811">
        <v>23.327930104958146</v>
      </c>
      <c r="Z811">
        <v>40.3127123264833</v>
      </c>
      <c r="AA811">
        <v>53.137500000000003</v>
      </c>
      <c r="AB811">
        <v>30.57375</v>
      </c>
      <c r="AC811">
        <f t="shared" si="338"/>
        <v>2.8876842403711748E-2</v>
      </c>
      <c r="AD811">
        <f t="shared" si="338"/>
        <v>8.0066557393048007E-2</v>
      </c>
      <c r="AE811">
        <f t="shared" si="339"/>
        <v>5.1189714989336263E-2</v>
      </c>
      <c r="AF811">
        <f t="shared" si="340"/>
        <v>0.31043744296941328</v>
      </c>
      <c r="AH811">
        <f t="shared" si="341"/>
        <v>-5.6441373023674698E-4</v>
      </c>
      <c r="AI811">
        <f t="shared" si="341"/>
        <v>0.163777528383901</v>
      </c>
      <c r="AJ811">
        <f t="shared" si="342"/>
        <v>0.16434194211413775</v>
      </c>
      <c r="AK811">
        <f t="shared" si="343"/>
        <v>0.57122818511235052</v>
      </c>
      <c r="AM811">
        <f t="shared" si="344"/>
        <v>0.23485619630472709</v>
      </c>
      <c r="AN811">
        <f t="shared" si="344"/>
        <v>0.49349168529654608</v>
      </c>
      <c r="AO811">
        <f t="shared" si="345"/>
        <v>0.25863548899181898</v>
      </c>
      <c r="AP811">
        <f t="shared" si="346"/>
        <v>0.57144022409984496</v>
      </c>
      <c r="AR811">
        <f t="shared" si="347"/>
        <v>0.57276943258579072</v>
      </c>
      <c r="AS811">
        <f t="shared" si="348"/>
        <v>1.0336752206883455</v>
      </c>
      <c r="AT811">
        <f t="shared" si="349"/>
        <v>0.46090578810255478</v>
      </c>
      <c r="AU811">
        <f t="shared" si="350"/>
        <v>2.1043927870759269</v>
      </c>
    </row>
    <row r="812" spans="1:47" x14ac:dyDescent="0.25">
      <c r="A812" s="4">
        <f>DATE(2021,6,21)</f>
        <v>44368</v>
      </c>
      <c r="B812">
        <v>-0.19270596686580022</v>
      </c>
      <c r="C812">
        <v>53.681229866127424</v>
      </c>
      <c r="D812">
        <v>0.59835854755523088</v>
      </c>
      <c r="E812">
        <f t="shared" si="326"/>
        <v>-0.64607418394869631</v>
      </c>
      <c r="F812">
        <f t="shared" si="327"/>
        <v>-0.96684253407619913</v>
      </c>
      <c r="G812">
        <f t="shared" si="328"/>
        <v>-0.53214457556315542</v>
      </c>
      <c r="H812" s="2" t="str">
        <f t="shared" si="329"/>
        <v>Lower</v>
      </c>
      <c r="I812" s="2" t="str">
        <f t="shared" si="330"/>
        <v>Higher</v>
      </c>
      <c r="J812" s="2" t="str">
        <f t="shared" si="331"/>
        <v>Higher</v>
      </c>
      <c r="K812" s="2" t="str">
        <f t="shared" si="332"/>
        <v>Lower</v>
      </c>
      <c r="L812" s="2" t="str">
        <f t="shared" si="333"/>
        <v>Lower</v>
      </c>
      <c r="M812" s="2" t="str">
        <f t="shared" si="334"/>
        <v>Lower</v>
      </c>
      <c r="N812" s="2" t="str">
        <f t="shared" si="335"/>
        <v>Lower</v>
      </c>
      <c r="O812" s="2" t="str">
        <f t="shared" si="336"/>
        <v>Higher</v>
      </c>
      <c r="P812" s="2" t="str">
        <f t="shared" si="337"/>
        <v>Higher</v>
      </c>
      <c r="X812" s="4">
        <f>DATE(2021,6,21)</f>
        <v>44368</v>
      </c>
      <c r="Y812">
        <v>22.411101360892648</v>
      </c>
      <c r="Z812">
        <v>39.216359559789851</v>
      </c>
      <c r="AA812">
        <v>52.36</v>
      </c>
      <c r="AB812">
        <v>29.683749999999996</v>
      </c>
      <c r="AC812">
        <f t="shared" si="338"/>
        <v>-1.2903404835907841E-2</v>
      </c>
      <c r="AD812">
        <f t="shared" si="338"/>
        <v>2.7537012846176746E-2</v>
      </c>
      <c r="AE812">
        <f t="shared" si="339"/>
        <v>4.044041768208459E-2</v>
      </c>
      <c r="AF812">
        <f t="shared" si="340"/>
        <v>0.19633507574110318</v>
      </c>
      <c r="AH812">
        <f t="shared" si="341"/>
        <v>1.6725208782580479E-3</v>
      </c>
      <c r="AI812">
        <f t="shared" si="341"/>
        <v>0.18354350996401639</v>
      </c>
      <c r="AJ812">
        <f t="shared" si="342"/>
        <v>0.18187098908575833</v>
      </c>
      <c r="AK812">
        <f t="shared" si="343"/>
        <v>0.66295523069451467</v>
      </c>
      <c r="AM812">
        <f t="shared" si="344"/>
        <v>0.22758186199562569</v>
      </c>
      <c r="AN812">
        <f t="shared" si="344"/>
        <v>0.47811323307615106</v>
      </c>
      <c r="AO812">
        <f t="shared" si="345"/>
        <v>0.25053137108052537</v>
      </c>
      <c r="AP812">
        <f t="shared" si="346"/>
        <v>0.54784067909434231</v>
      </c>
      <c r="AR812">
        <f t="shared" si="347"/>
        <v>0.55853014750978214</v>
      </c>
      <c r="AS812">
        <f t="shared" si="348"/>
        <v>1.0189551291013346</v>
      </c>
      <c r="AT812">
        <f t="shared" si="349"/>
        <v>0.46042498159155243</v>
      </c>
      <c r="AU812">
        <f t="shared" si="350"/>
        <v>2.080002961611533</v>
      </c>
    </row>
    <row r="813" spans="1:47" x14ac:dyDescent="0.25">
      <c r="A813" s="4">
        <f>DATE(2021,6,18)</f>
        <v>44365</v>
      </c>
      <c r="B813">
        <v>-0.25733022160637897</v>
      </c>
      <c r="C813">
        <v>51.634592664112745</v>
      </c>
      <c r="D813">
        <v>0.47198230964897414</v>
      </c>
      <c r="E813">
        <f t="shared" si="326"/>
        <v>-0.89486405819587633</v>
      </c>
      <c r="F813">
        <f t="shared" si="327"/>
        <v>-1.1980475760786946</v>
      </c>
      <c r="G813">
        <f t="shared" si="328"/>
        <v>-1.0367114413494805</v>
      </c>
      <c r="H813" s="2" t="str">
        <f t="shared" si="329"/>
        <v>Lower</v>
      </c>
      <c r="I813" s="2" t="str">
        <f t="shared" si="330"/>
        <v>Higher</v>
      </c>
      <c r="J813" s="2" t="str">
        <f t="shared" si="331"/>
        <v>Higher</v>
      </c>
      <c r="K813" s="2" t="str">
        <f t="shared" si="332"/>
        <v>Lower</v>
      </c>
      <c r="L813" s="2" t="str">
        <f t="shared" si="333"/>
        <v>Lower</v>
      </c>
      <c r="M813" s="2" t="str">
        <f t="shared" si="334"/>
        <v>Lower</v>
      </c>
      <c r="N813" s="2" t="str">
        <f t="shared" si="335"/>
        <v>Lower</v>
      </c>
      <c r="O813" s="2" t="str">
        <f t="shared" si="336"/>
        <v>Higher</v>
      </c>
      <c r="P813" s="2" t="str">
        <f t="shared" si="337"/>
        <v>Higher</v>
      </c>
      <c r="X813" s="4">
        <f>DATE(2021,6,18)</f>
        <v>44365</v>
      </c>
      <c r="Y813">
        <v>19.853752373272759</v>
      </c>
      <c r="Z813">
        <v>37.401481249568718</v>
      </c>
      <c r="AA813">
        <v>51.772500000000001</v>
      </c>
      <c r="AB813">
        <v>29.305</v>
      </c>
      <c r="AC813">
        <f t="shared" si="338"/>
        <v>-2.1402431611732203E-2</v>
      </c>
      <c r="AD813">
        <f t="shared" si="338"/>
        <v>4.568757729384914E-2</v>
      </c>
      <c r="AE813">
        <f t="shared" si="339"/>
        <v>6.7090008905581339E-2</v>
      </c>
      <c r="AF813">
        <f t="shared" si="340"/>
        <v>0.48060344871811428</v>
      </c>
      <c r="AH813">
        <f t="shared" si="341"/>
        <v>-4.5768875213777491E-3</v>
      </c>
      <c r="AI813">
        <f t="shared" si="341"/>
        <v>0.16148571093030659</v>
      </c>
      <c r="AJ813">
        <f t="shared" si="342"/>
        <v>0.16606259845168433</v>
      </c>
      <c r="AK813">
        <f t="shared" si="343"/>
        <v>0.58343330636981428</v>
      </c>
      <c r="AM813">
        <f t="shared" si="344"/>
        <v>0.22424271135264201</v>
      </c>
      <c r="AN813">
        <f t="shared" si="344"/>
        <v>0.44930147322185904</v>
      </c>
      <c r="AO813">
        <f t="shared" si="345"/>
        <v>0.22505876186921703</v>
      </c>
      <c r="AP813">
        <f t="shared" si="346"/>
        <v>0.47148439826516414</v>
      </c>
      <c r="AR813">
        <f t="shared" si="347"/>
        <v>0.6090453713238887</v>
      </c>
      <c r="AS813">
        <f t="shared" si="348"/>
        <v>1.0298412469362637</v>
      </c>
      <c r="AT813">
        <f t="shared" si="349"/>
        <v>0.42079587561237497</v>
      </c>
      <c r="AU813">
        <f t="shared" si="350"/>
        <v>1.8493915824132667</v>
      </c>
    </row>
    <row r="814" spans="1:47" x14ac:dyDescent="0.25">
      <c r="A814" s="4">
        <f>DATE(2021,6,17)</f>
        <v>44364</v>
      </c>
      <c r="B814">
        <v>-0.29457236487424954</v>
      </c>
      <c r="C814">
        <v>47.536338980292413</v>
      </c>
      <c r="D814">
        <v>0.24290891030868242</v>
      </c>
      <c r="E814">
        <f t="shared" si="326"/>
        <v>-1.0471580889643342</v>
      </c>
      <c r="F814">
        <f t="shared" si="327"/>
        <v>-1.6616714547340994</v>
      </c>
      <c r="G814">
        <f t="shared" si="328"/>
        <v>-1.9628247702816659</v>
      </c>
      <c r="H814" s="2" t="str">
        <f t="shared" si="329"/>
        <v>Lower</v>
      </c>
      <c r="I814" s="2" t="str">
        <f t="shared" si="330"/>
        <v>Higher</v>
      </c>
      <c r="J814" s="2" t="str">
        <f t="shared" si="331"/>
        <v>Higher</v>
      </c>
      <c r="K814" s="2" t="str">
        <f t="shared" si="332"/>
        <v>Lower</v>
      </c>
      <c r="L814" s="2" t="str">
        <f t="shared" si="333"/>
        <v>Lower</v>
      </c>
      <c r="M814" s="2" t="str">
        <f t="shared" si="334"/>
        <v>Lower</v>
      </c>
      <c r="N814" s="2" t="str">
        <f t="shared" si="335"/>
        <v>Lower</v>
      </c>
      <c r="O814" s="2" t="str">
        <f t="shared" si="336"/>
        <v>Higher</v>
      </c>
      <c r="P814" s="2" t="str">
        <f t="shared" si="337"/>
        <v>Higher</v>
      </c>
      <c r="X814" s="4">
        <f>DATE(2021,6,17)</f>
        <v>44364</v>
      </c>
      <c r="Y814">
        <v>17.930534441517405</v>
      </c>
      <c r="Z814">
        <v>33.879089680622535</v>
      </c>
      <c r="AA814">
        <v>50.892499999999998</v>
      </c>
      <c r="AB814">
        <v>28.247500000000002</v>
      </c>
      <c r="AC814">
        <f t="shared" si="338"/>
        <v>-5.0760166103524088E-2</v>
      </c>
      <c r="AD814">
        <f t="shared" si="338"/>
        <v>-7.1432024710755973E-3</v>
      </c>
      <c r="AE814">
        <f t="shared" si="339"/>
        <v>4.3616963632448491E-2</v>
      </c>
      <c r="AF814">
        <f t="shared" si="340"/>
        <v>0.23219995071332006</v>
      </c>
      <c r="AH814">
        <f t="shared" si="341"/>
        <v>-2.0614274623668577E-2</v>
      </c>
      <c r="AI814">
        <f t="shared" si="341"/>
        <v>0.15150645194374035</v>
      </c>
      <c r="AJ814">
        <f t="shared" si="342"/>
        <v>0.17212072656740893</v>
      </c>
      <c r="AK814">
        <f t="shared" si="343"/>
        <v>0.61601064205276779</v>
      </c>
      <c r="AM814">
        <f t="shared" si="344"/>
        <v>0.22829014167660969</v>
      </c>
      <c r="AN814">
        <f t="shared" si="344"/>
        <v>0.42858636101117875</v>
      </c>
      <c r="AO814">
        <f t="shared" si="345"/>
        <v>0.20029621933456906</v>
      </c>
      <c r="AP814">
        <f t="shared" si="346"/>
        <v>0.39725526204176548</v>
      </c>
      <c r="AR814">
        <f t="shared" si="347"/>
        <v>0.59190181601934966</v>
      </c>
      <c r="AS814">
        <f t="shared" si="348"/>
        <v>0.98097676957072755</v>
      </c>
      <c r="AT814">
        <f t="shared" si="349"/>
        <v>0.38907495355137789</v>
      </c>
      <c r="AU814">
        <f t="shared" si="350"/>
        <v>1.6671958457116101</v>
      </c>
    </row>
    <row r="815" spans="1:47" x14ac:dyDescent="0.25">
      <c r="A815" s="4">
        <f>DATE(2021,6,16)</f>
        <v>44363</v>
      </c>
      <c r="B815">
        <v>-0.238092806088543</v>
      </c>
      <c r="C815">
        <v>49.218356372655329</v>
      </c>
      <c r="D815">
        <v>0.31871327823725154</v>
      </c>
      <c r="E815">
        <f t="shared" si="326"/>
        <v>-0.85108796232084738</v>
      </c>
      <c r="F815">
        <f t="shared" si="327"/>
        <v>-1.5103129020182133</v>
      </c>
      <c r="G815">
        <f t="shared" si="328"/>
        <v>-1.7048078982095978</v>
      </c>
      <c r="H815" s="2" t="str">
        <f t="shared" si="329"/>
        <v>Lower</v>
      </c>
      <c r="I815" s="2" t="str">
        <f t="shared" si="330"/>
        <v>Higher</v>
      </c>
      <c r="J815" s="2" t="str">
        <f t="shared" si="331"/>
        <v>Higher</v>
      </c>
      <c r="K815" s="2" t="str">
        <f t="shared" si="332"/>
        <v>Lower</v>
      </c>
      <c r="L815" s="2" t="str">
        <f t="shared" si="333"/>
        <v>Lower</v>
      </c>
      <c r="M815" s="2" t="str">
        <f t="shared" si="334"/>
        <v>Lower</v>
      </c>
      <c r="N815" s="2" t="str">
        <f t="shared" si="335"/>
        <v>Lower</v>
      </c>
      <c r="O815" s="2" t="str">
        <f t="shared" si="336"/>
        <v>Higher</v>
      </c>
      <c r="P815" s="2" t="str">
        <f t="shared" si="337"/>
        <v>Higher</v>
      </c>
      <c r="X815" s="4">
        <f>DATE(2021,6,16)</f>
        <v>44363</v>
      </c>
      <c r="Y815">
        <v>18.699963942755833</v>
      </c>
      <c r="Z815">
        <v>36.425853711911287</v>
      </c>
      <c r="AA815">
        <v>51.462500000000006</v>
      </c>
      <c r="AB815">
        <v>28.143750000000001</v>
      </c>
      <c r="AC815">
        <f t="shared" si="338"/>
        <v>-3.677007541607169E-2</v>
      </c>
      <c r="AD815">
        <f t="shared" si="338"/>
        <v>-2.2625949627194425E-3</v>
      </c>
      <c r="AE815">
        <f t="shared" si="339"/>
        <v>3.4507480453352245E-2</v>
      </c>
      <c r="AF815">
        <f t="shared" si="340"/>
        <v>0.13603846102788419</v>
      </c>
      <c r="AH815">
        <f t="shared" si="341"/>
        <v>2.3942347595101169E-2</v>
      </c>
      <c r="AI815">
        <f t="shared" si="341"/>
        <v>0.20155938692255054</v>
      </c>
      <c r="AJ815">
        <f t="shared" si="342"/>
        <v>0.17761703932744938</v>
      </c>
      <c r="AK815">
        <f t="shared" si="343"/>
        <v>0.64579951033929284</v>
      </c>
      <c r="AM815">
        <f t="shared" si="344"/>
        <v>0.21745174061035974</v>
      </c>
      <c r="AN815">
        <f t="shared" si="344"/>
        <v>0.4191492497326284</v>
      </c>
      <c r="AO815">
        <f t="shared" si="345"/>
        <v>0.20169750912226866</v>
      </c>
      <c r="AP815">
        <f t="shared" si="346"/>
        <v>0.40206576419474477</v>
      </c>
      <c r="AR815">
        <f t="shared" si="347"/>
        <v>0.64705563571056313</v>
      </c>
      <c r="AS815">
        <f t="shared" si="348"/>
        <v>0.96195454234805144</v>
      </c>
      <c r="AT815">
        <f t="shared" si="349"/>
        <v>0.31489890663748832</v>
      </c>
      <c r="AU815">
        <f t="shared" si="350"/>
        <v>1.2747114960748109</v>
      </c>
    </row>
    <row r="816" spans="1:47" x14ac:dyDescent="0.25">
      <c r="A816" s="4">
        <f>DATE(2021,6,15)</f>
        <v>44362</v>
      </c>
      <c r="B816">
        <v>-0.18246332745939342</v>
      </c>
      <c r="C816">
        <v>49.445023414623002</v>
      </c>
      <c r="D816">
        <v>0.36738139631122885</v>
      </c>
      <c r="E816">
        <f t="shared" si="326"/>
        <v>-0.6548941052301942</v>
      </c>
      <c r="F816">
        <f t="shared" si="327"/>
        <v>-1.5137473458253652</v>
      </c>
      <c r="G816">
        <f t="shared" si="328"/>
        <v>-1.5419969096332569</v>
      </c>
      <c r="H816" s="2" t="str">
        <f t="shared" si="329"/>
        <v>Lower</v>
      </c>
      <c r="I816" s="2" t="str">
        <f t="shared" si="330"/>
        <v>Higher</v>
      </c>
      <c r="J816" s="2" t="str">
        <f t="shared" si="331"/>
        <v>Higher</v>
      </c>
      <c r="K816" s="2" t="str">
        <f t="shared" si="332"/>
        <v>Lower</v>
      </c>
      <c r="L816" s="2" t="str">
        <f t="shared" si="333"/>
        <v>Lower</v>
      </c>
      <c r="M816" s="2" t="str">
        <f t="shared" si="334"/>
        <v>Lower</v>
      </c>
      <c r="N816" s="2" t="str">
        <f t="shared" si="335"/>
        <v>Lower</v>
      </c>
      <c r="O816" s="2" t="str">
        <f t="shared" si="336"/>
        <v>Higher</v>
      </c>
      <c r="P816" s="2" t="str">
        <f t="shared" si="337"/>
        <v>Higher</v>
      </c>
      <c r="X816" s="4">
        <f>DATE(2021,6,15)</f>
        <v>44362</v>
      </c>
      <c r="Y816">
        <v>19.965264848826063</v>
      </c>
      <c r="Z816">
        <v>39.357186174080553</v>
      </c>
      <c r="AA816">
        <v>51.625</v>
      </c>
      <c r="AB816">
        <v>28.221249999999998</v>
      </c>
      <c r="AC816">
        <f t="shared" si="338"/>
        <v>-9.6865893183418622E-3</v>
      </c>
      <c r="AD816">
        <f t="shared" si="338"/>
        <v>1.8642827076752383E-2</v>
      </c>
      <c r="AE816">
        <f t="shared" si="339"/>
        <v>2.8329416395094245E-2</v>
      </c>
      <c r="AF816">
        <f t="shared" si="340"/>
        <v>7.0921144946886935E-2</v>
      </c>
      <c r="AH816">
        <f t="shared" si="341"/>
        <v>-4.0570146828657914E-2</v>
      </c>
      <c r="AI816">
        <f t="shared" si="341"/>
        <v>0.12079949538051768</v>
      </c>
      <c r="AJ816">
        <f t="shared" si="342"/>
        <v>0.1613696422091756</v>
      </c>
      <c r="AK816">
        <f t="shared" si="343"/>
        <v>0.56438364938063301</v>
      </c>
      <c r="AM816">
        <f t="shared" si="344"/>
        <v>0.21212697539923131</v>
      </c>
      <c r="AN816">
        <f t="shared" si="344"/>
        <v>0.43858496722706802</v>
      </c>
      <c r="AO816">
        <f t="shared" si="345"/>
        <v>0.22645799182783671</v>
      </c>
      <c r="AP816">
        <f t="shared" si="346"/>
        <v>0.47721384523336519</v>
      </c>
      <c r="AR816">
        <f t="shared" si="347"/>
        <v>0.64539525839414247</v>
      </c>
      <c r="AS816">
        <f t="shared" si="348"/>
        <v>0.94696412057662893</v>
      </c>
      <c r="AT816">
        <f t="shared" si="349"/>
        <v>0.30156886218248646</v>
      </c>
      <c r="AU816">
        <f t="shared" si="350"/>
        <v>1.2086094253332162</v>
      </c>
    </row>
    <row r="817" spans="1:47" x14ac:dyDescent="0.25">
      <c r="A817" s="4">
        <f>DATE(2021,6,14)</f>
        <v>44361</v>
      </c>
      <c r="B817">
        <v>-9.6034759624657795E-2</v>
      </c>
      <c r="C817">
        <v>55.364712864066078</v>
      </c>
      <c r="D817">
        <v>0.66906457100453631</v>
      </c>
      <c r="E817">
        <f t="shared" si="326"/>
        <v>-0.34066772960075209</v>
      </c>
      <c r="F817">
        <f t="shared" si="327"/>
        <v>-0.88031546641312386</v>
      </c>
      <c r="G817">
        <f t="shared" si="328"/>
        <v>-0.33121921883135924</v>
      </c>
      <c r="H817" s="2" t="str">
        <f t="shared" si="329"/>
        <v>Lower</v>
      </c>
      <c r="I817" s="2" t="str">
        <f t="shared" si="330"/>
        <v>Higher</v>
      </c>
      <c r="J817" s="2" t="str">
        <f t="shared" si="331"/>
        <v>Higher</v>
      </c>
      <c r="K817" s="2" t="str">
        <f t="shared" si="332"/>
        <v>Lower</v>
      </c>
      <c r="L817" s="2" t="str">
        <f t="shared" si="333"/>
        <v>Lower</v>
      </c>
      <c r="M817" s="2" t="str">
        <f t="shared" si="334"/>
        <v>Lower</v>
      </c>
      <c r="N817" s="2" t="str">
        <f t="shared" si="335"/>
        <v>Lower</v>
      </c>
      <c r="O817" s="2" t="str">
        <f t="shared" si="336"/>
        <v>Higher</v>
      </c>
      <c r="P817" s="2" t="str">
        <f t="shared" si="337"/>
        <v>Higher</v>
      </c>
      <c r="X817" s="4">
        <f>DATE(2021,6,14)</f>
        <v>44361</v>
      </c>
      <c r="Y817">
        <v>21.458849854901022</v>
      </c>
      <c r="Z817">
        <v>42.092308002689819</v>
      </c>
      <c r="AA817">
        <v>53.04</v>
      </c>
      <c r="AB817">
        <v>28.877499999999998</v>
      </c>
      <c r="AC817">
        <f t="shared" si="338"/>
        <v>3.8044934064269231E-2</v>
      </c>
      <c r="AD817">
        <f t="shared" si="338"/>
        <v>9.0219704042555249E-2</v>
      </c>
      <c r="AE817">
        <f t="shared" si="339"/>
        <v>5.2174769978286017E-2</v>
      </c>
      <c r="AF817">
        <f t="shared" si="340"/>
        <v>0.3228401918300296</v>
      </c>
      <c r="AH817">
        <f t="shared" si="341"/>
        <v>-5.7514475798490498E-2</v>
      </c>
      <c r="AI817">
        <f t="shared" si="341"/>
        <v>9.5873060033947022E-2</v>
      </c>
      <c r="AJ817">
        <f t="shared" si="342"/>
        <v>0.15338753583243753</v>
      </c>
      <c r="AK817">
        <f t="shared" si="343"/>
        <v>0.52500533545153594</v>
      </c>
      <c r="AM817">
        <f t="shared" si="344"/>
        <v>0.21936816444004678</v>
      </c>
      <c r="AN817">
        <f t="shared" si="344"/>
        <v>0.48056916098346747</v>
      </c>
      <c r="AO817">
        <f t="shared" si="345"/>
        <v>0.26120099654342066</v>
      </c>
      <c r="AP817">
        <f t="shared" si="346"/>
        <v>0.58232894945480773</v>
      </c>
      <c r="AR817">
        <f t="shared" si="347"/>
        <v>0.67178940906259377</v>
      </c>
      <c r="AS817" t="str">
        <f t="shared" si="348"/>
        <v/>
      </c>
      <c r="AT817" t="str">
        <f t="shared" si="349"/>
        <v/>
      </c>
      <c r="AU817" t="str">
        <f t="shared" si="350"/>
        <v/>
      </c>
    </row>
    <row r="818" spans="1:47" x14ac:dyDescent="0.25">
      <c r="A818" s="4">
        <f>DATE(2021,6,11)</f>
        <v>44358</v>
      </c>
      <c r="B818">
        <v>-0.11497744227176931</v>
      </c>
      <c r="C818">
        <v>54.590653669811736</v>
      </c>
      <c r="D818">
        <v>0.56625402608598374</v>
      </c>
      <c r="E818">
        <f t="shared" si="326"/>
        <v>-0.41890807300263538</v>
      </c>
      <c r="F818">
        <f t="shared" si="327"/>
        <v>-0.97975670219176236</v>
      </c>
      <c r="G818">
        <f t="shared" si="328"/>
        <v>-0.75991139394897944</v>
      </c>
      <c r="H818" s="2" t="str">
        <f t="shared" si="329"/>
        <v>Lower</v>
      </c>
      <c r="I818" s="2" t="str">
        <f t="shared" si="330"/>
        <v>Higher</v>
      </c>
      <c r="J818" s="2" t="str">
        <f t="shared" si="331"/>
        <v>Higher</v>
      </c>
      <c r="K818" s="2" t="str">
        <f t="shared" si="332"/>
        <v>Lower</v>
      </c>
      <c r="L818" s="2" t="str">
        <f t="shared" si="333"/>
        <v>Lower</v>
      </c>
      <c r="M818" s="2" t="str">
        <f t="shared" si="334"/>
        <v>Lower</v>
      </c>
      <c r="N818" s="2" t="str">
        <f t="shared" si="335"/>
        <v>Lower</v>
      </c>
      <c r="O818" s="2" t="str">
        <f t="shared" si="336"/>
        <v>Higher</v>
      </c>
      <c r="P818" s="2" t="str">
        <f t="shared" si="337"/>
        <v>Higher</v>
      </c>
      <c r="X818" s="4">
        <f>DATE(2021,6,11)</f>
        <v>44358</v>
      </c>
      <c r="Y818">
        <v>22.288999384448825</v>
      </c>
      <c r="Z818">
        <v>41.280858100708755</v>
      </c>
      <c r="AA818">
        <v>52.892499999999998</v>
      </c>
      <c r="AB818">
        <v>27.99625</v>
      </c>
      <c r="AC818">
        <f t="shared" si="338"/>
        <v>5.2744657192933773E-2</v>
      </c>
      <c r="AD818">
        <f t="shared" si="338"/>
        <v>8.3005076603285086E-2</v>
      </c>
      <c r="AE818">
        <f t="shared" si="339"/>
        <v>3.0260419410351312E-2</v>
      </c>
      <c r="AF818">
        <f t="shared" si="340"/>
        <v>9.2658770760687556E-2</v>
      </c>
      <c r="AH818">
        <f t="shared" si="341"/>
        <v>-6.0521744161509745E-2</v>
      </c>
      <c r="AI818">
        <f t="shared" si="341"/>
        <v>4.6611443623190002E-2</v>
      </c>
      <c r="AJ818">
        <f t="shared" si="342"/>
        <v>0.10713318778469974</v>
      </c>
      <c r="AK818">
        <f t="shared" si="343"/>
        <v>0.29039874204876936</v>
      </c>
      <c r="AM818">
        <f t="shared" si="344"/>
        <v>0.23381139621894023</v>
      </c>
      <c r="AN818">
        <f t="shared" si="344"/>
        <v>0.48042520564459168</v>
      </c>
      <c r="AO818">
        <f t="shared" si="345"/>
        <v>0.24661380942565145</v>
      </c>
      <c r="AP818">
        <f t="shared" si="346"/>
        <v>0.53975615493808171</v>
      </c>
      <c r="AR818">
        <f t="shared" si="347"/>
        <v>0.6460171940301016</v>
      </c>
      <c r="AS818">
        <f t="shared" si="348"/>
        <v>0.86513697483679342</v>
      </c>
      <c r="AT818">
        <f t="shared" si="349"/>
        <v>0.21911978080669181</v>
      </c>
      <c r="AU818">
        <f t="shared" si="350"/>
        <v>0.79200210571873719</v>
      </c>
    </row>
    <row r="819" spans="1:47" x14ac:dyDescent="0.25">
      <c r="A819" s="4">
        <f>DATE(2021,6,10)</f>
        <v>44357</v>
      </c>
      <c r="B819">
        <v>-0.12465468342871466</v>
      </c>
      <c r="C819">
        <v>59.190635635461234</v>
      </c>
      <c r="D819">
        <v>0.68441406868090493</v>
      </c>
      <c r="E819">
        <f t="shared" si="326"/>
        <v>-0.4631221992492533</v>
      </c>
      <c r="F819">
        <f t="shared" si="327"/>
        <v>-0.47686481230068578</v>
      </c>
      <c r="G819">
        <f t="shared" si="328"/>
        <v>-0.28529077298758404</v>
      </c>
      <c r="H819" s="2" t="str">
        <f t="shared" si="329"/>
        <v>Lower</v>
      </c>
      <c r="I819" s="2" t="str">
        <f t="shared" si="330"/>
        <v>Higher</v>
      </c>
      <c r="J819" s="2" t="str">
        <f t="shared" si="331"/>
        <v>Higher</v>
      </c>
      <c r="K819" s="2" t="str">
        <f t="shared" si="332"/>
        <v>Lower</v>
      </c>
      <c r="L819" s="2" t="str">
        <f t="shared" si="333"/>
        <v>Lower</v>
      </c>
      <c r="M819" s="2" t="str">
        <f t="shared" si="334"/>
        <v>Lower</v>
      </c>
      <c r="N819" s="2" t="str">
        <f t="shared" si="335"/>
        <v>Lower</v>
      </c>
      <c r="O819" s="2" t="str">
        <f t="shared" si="336"/>
        <v>Higher</v>
      </c>
      <c r="P819" s="2" t="str">
        <f t="shared" si="337"/>
        <v>Higher</v>
      </c>
      <c r="X819" s="4">
        <f>DATE(2021,6,10)</f>
        <v>44357</v>
      </c>
      <c r="Y819">
        <v>23.575616977911757</v>
      </c>
      <c r="Z819">
        <v>44.546441904012099</v>
      </c>
      <c r="AA819">
        <v>53.542500000000004</v>
      </c>
      <c r="AB819">
        <v>28.45</v>
      </c>
      <c r="AC819">
        <f t="shared" si="338"/>
        <v>5.2234947611608518E-2</v>
      </c>
      <c r="AD819">
        <f t="shared" si="338"/>
        <v>9.6466383978961803E-2</v>
      </c>
      <c r="AE819">
        <f t="shared" si="339"/>
        <v>4.4231436367353286E-2</v>
      </c>
      <c r="AF819">
        <f t="shared" si="340"/>
        <v>0.23969094493221205</v>
      </c>
      <c r="AH819">
        <f t="shared" si="341"/>
        <v>-1.478487293561348E-2</v>
      </c>
      <c r="AI819">
        <f t="shared" si="341"/>
        <v>9.2217427753127967E-2</v>
      </c>
      <c r="AJ819">
        <f t="shared" si="342"/>
        <v>0.10700230068874145</v>
      </c>
      <c r="AK819">
        <f t="shared" si="343"/>
        <v>0.29030362570781909</v>
      </c>
      <c r="AM819">
        <f t="shared" si="344"/>
        <v>0.22645247028333143</v>
      </c>
      <c r="AN819">
        <f t="shared" si="344"/>
        <v>0.46586457952592808</v>
      </c>
      <c r="AO819">
        <f t="shared" si="345"/>
        <v>0.23941210924259665</v>
      </c>
      <c r="AP819">
        <f t="shared" si="346"/>
        <v>0.51921480612263637</v>
      </c>
      <c r="AR819">
        <f t="shared" si="347"/>
        <v>0.62506054205556072</v>
      </c>
      <c r="AS819">
        <f t="shared" si="348"/>
        <v>0.88920054995443576</v>
      </c>
      <c r="AT819">
        <f t="shared" si="349"/>
        <v>0.26414000789887504</v>
      </c>
      <c r="AU819">
        <f t="shared" si="350"/>
        <v>1.0484951865867662</v>
      </c>
    </row>
    <row r="820" spans="1:47" x14ac:dyDescent="0.25">
      <c r="A820" s="4">
        <f>DATE(2021,6,9)</f>
        <v>44356</v>
      </c>
      <c r="B820">
        <v>-0.25559497225306171</v>
      </c>
      <c r="C820">
        <v>58.398886232733595</v>
      </c>
      <c r="D820">
        <v>0.63873522217933121</v>
      </c>
      <c r="E820">
        <f t="shared" si="326"/>
        <v>-0.96299877458145045</v>
      </c>
      <c r="F820">
        <f t="shared" si="327"/>
        <v>-0.57462359713013234</v>
      </c>
      <c r="G820">
        <f t="shared" si="328"/>
        <v>-0.4813027664396603</v>
      </c>
      <c r="H820" s="2" t="str">
        <f t="shared" si="329"/>
        <v>Lower</v>
      </c>
      <c r="I820" s="2" t="str">
        <f t="shared" si="330"/>
        <v>Higher</v>
      </c>
      <c r="J820" s="2" t="str">
        <f t="shared" si="331"/>
        <v>Higher</v>
      </c>
      <c r="K820" s="2" t="str">
        <f t="shared" si="332"/>
        <v>Lower</v>
      </c>
      <c r="L820" s="2" t="str">
        <f t="shared" si="333"/>
        <v>Lower</v>
      </c>
      <c r="M820" s="2" t="str">
        <f t="shared" si="334"/>
        <v>Lower</v>
      </c>
      <c r="N820" s="2" t="str">
        <f t="shared" si="335"/>
        <v>Lower</v>
      </c>
      <c r="O820" s="2" t="str">
        <f t="shared" si="336"/>
        <v>Higher</v>
      </c>
      <c r="P820" s="2" t="str">
        <f t="shared" si="337"/>
        <v>Higher</v>
      </c>
      <c r="X820" s="4">
        <f>DATE(2021,6,9)</f>
        <v>44356</v>
      </c>
      <c r="Y820">
        <v>24.777220317631258</v>
      </c>
      <c r="Z820">
        <v>45.79245283356321</v>
      </c>
      <c r="AA820">
        <v>53.39</v>
      </c>
      <c r="AB820">
        <v>28.207500000000003</v>
      </c>
      <c r="AC820">
        <f t="shared" si="338"/>
        <v>3.6624348847431626E-2</v>
      </c>
      <c r="AD820">
        <f t="shared" si="338"/>
        <v>9.2805121909255481E-2</v>
      </c>
      <c r="AE820">
        <f t="shared" si="339"/>
        <v>5.6180773061823855E-2</v>
      </c>
      <c r="AF820">
        <f t="shared" si="340"/>
        <v>0.36550549101366492</v>
      </c>
      <c r="AH820">
        <f t="shared" si="341"/>
        <v>-2.5884233038229523E-2</v>
      </c>
      <c r="AI820">
        <f t="shared" si="341"/>
        <v>7.1065135272849744E-2</v>
      </c>
      <c r="AJ820">
        <f t="shared" si="342"/>
        <v>9.6949368311079268E-2</v>
      </c>
      <c r="AK820">
        <f t="shared" si="343"/>
        <v>0.23986049208328791</v>
      </c>
      <c r="AM820">
        <f t="shared" si="344"/>
        <v>0.22401019383159065</v>
      </c>
      <c r="AN820">
        <f t="shared" si="344"/>
        <v>0.45618481145039286</v>
      </c>
      <c r="AO820">
        <f t="shared" si="345"/>
        <v>0.2321746176188022</v>
      </c>
      <c r="AP820">
        <f t="shared" si="346"/>
        <v>0.49855830337453488</v>
      </c>
      <c r="AR820">
        <f t="shared" si="347"/>
        <v>0.63963215675373197</v>
      </c>
      <c r="AS820">
        <f t="shared" si="348"/>
        <v>0.92781213579824018</v>
      </c>
      <c r="AT820">
        <f t="shared" si="349"/>
        <v>0.28817997904450821</v>
      </c>
      <c r="AU820">
        <f t="shared" si="350"/>
        <v>1.196149445767636</v>
      </c>
    </row>
    <row r="821" spans="1:47" x14ac:dyDescent="0.25">
      <c r="A821" s="4">
        <f>DATE(2021,6,8)</f>
        <v>44355</v>
      </c>
      <c r="B821">
        <v>-0.42899769148388356</v>
      </c>
      <c r="C821">
        <v>54.313962469642327</v>
      </c>
      <c r="D821">
        <v>0.44333338921380866</v>
      </c>
      <c r="E821">
        <f t="shared" si="326"/>
        <v>-1.6296689229987602</v>
      </c>
      <c r="F821">
        <f t="shared" si="327"/>
        <v>-1.0395534942580067</v>
      </c>
      <c r="G821">
        <f t="shared" si="328"/>
        <v>-1.2885541167975698</v>
      </c>
      <c r="H821" s="2" t="str">
        <f t="shared" si="329"/>
        <v>Lower</v>
      </c>
      <c r="I821" s="2" t="str">
        <f t="shared" si="330"/>
        <v>Higher</v>
      </c>
      <c r="J821" s="2" t="str">
        <f t="shared" si="331"/>
        <v>Higher</v>
      </c>
      <c r="K821" s="2" t="str">
        <f t="shared" si="332"/>
        <v>Lower</v>
      </c>
      <c r="L821" s="2" t="str">
        <f t="shared" si="333"/>
        <v>Lower</v>
      </c>
      <c r="M821" s="2" t="str">
        <f t="shared" si="334"/>
        <v>Lower</v>
      </c>
      <c r="N821" s="2" t="str">
        <f t="shared" si="335"/>
        <v>Lower</v>
      </c>
      <c r="O821" s="2" t="str">
        <f t="shared" si="336"/>
        <v>Higher</v>
      </c>
      <c r="P821" s="2" t="str">
        <f t="shared" si="337"/>
        <v>Higher</v>
      </c>
      <c r="X821" s="4">
        <f>DATE(2021,6,8)</f>
        <v>44355</v>
      </c>
      <c r="Y821">
        <v>20.715035063104317</v>
      </c>
      <c r="Z821">
        <v>43.521565793575739</v>
      </c>
      <c r="AA821">
        <v>52.127499999999998</v>
      </c>
      <c r="AB821">
        <v>27.700000000000003</v>
      </c>
      <c r="AC821">
        <f t="shared" si="338"/>
        <v>-6.2630185839101463E-3</v>
      </c>
      <c r="AD821">
        <f t="shared" si="338"/>
        <v>6.9508734278891871E-2</v>
      </c>
      <c r="AE821">
        <f t="shared" si="339"/>
        <v>7.5771752862802022E-2</v>
      </c>
      <c r="AF821">
        <f t="shared" si="340"/>
        <v>0.5713497042726734</v>
      </c>
      <c r="AH821">
        <f t="shared" si="341"/>
        <v>-1.1397085765299525E-2</v>
      </c>
      <c r="AI821">
        <f t="shared" si="341"/>
        <v>7.9279611420598875E-2</v>
      </c>
      <c r="AJ821">
        <f t="shared" si="342"/>
        <v>9.0676697185898394E-2</v>
      </c>
      <c r="AK821">
        <f t="shared" si="343"/>
        <v>0.20856857759143194</v>
      </c>
      <c r="AM821">
        <f t="shared" si="344"/>
        <v>0.21978007119388268</v>
      </c>
      <c r="AN821">
        <f t="shared" si="344"/>
        <v>0.45317846055074723</v>
      </c>
      <c r="AO821">
        <f t="shared" si="345"/>
        <v>0.23339838935686455</v>
      </c>
      <c r="AP821">
        <f t="shared" si="346"/>
        <v>0.50304574498940291</v>
      </c>
      <c r="AR821">
        <f t="shared" si="347"/>
        <v>0.62122030914879733</v>
      </c>
      <c r="AS821">
        <f t="shared" si="348"/>
        <v>0.88727096241052794</v>
      </c>
      <c r="AT821">
        <f t="shared" si="349"/>
        <v>0.26605065326173061</v>
      </c>
      <c r="AU821">
        <f t="shared" si="350"/>
        <v>1.0974956710559725</v>
      </c>
    </row>
    <row r="822" spans="1:47" x14ac:dyDescent="0.25">
      <c r="A822" s="4">
        <f>DATE(2021,6,7)</f>
        <v>44354</v>
      </c>
      <c r="B822">
        <v>-0.5476281165359862</v>
      </c>
      <c r="C822">
        <v>52.029095070703974</v>
      </c>
      <c r="D822">
        <v>0.34520832458296102</v>
      </c>
      <c r="E822">
        <f t="shared" si="326"/>
        <v>-2.1130154070541618</v>
      </c>
      <c r="F822">
        <f t="shared" si="327"/>
        <v>-1.3102218242892985</v>
      </c>
      <c r="G822">
        <f t="shared" si="328"/>
        <v>-1.7141537610430095</v>
      </c>
      <c r="H822" s="2" t="str">
        <f t="shared" si="329"/>
        <v>Lower</v>
      </c>
      <c r="I822" s="2" t="str">
        <f t="shared" si="330"/>
        <v>Higher</v>
      </c>
      <c r="J822" s="2" t="str">
        <f t="shared" si="331"/>
        <v>Higher</v>
      </c>
      <c r="K822" s="2" t="str">
        <f t="shared" si="332"/>
        <v>Lower</v>
      </c>
      <c r="L822" s="2" t="str">
        <f t="shared" si="333"/>
        <v>Lower</v>
      </c>
      <c r="M822" s="2" t="str">
        <f t="shared" si="334"/>
        <v>Lower</v>
      </c>
      <c r="N822" s="2" t="str">
        <f t="shared" si="335"/>
        <v>Lower</v>
      </c>
      <c r="O822" s="2" t="str">
        <f t="shared" si="336"/>
        <v>Higher</v>
      </c>
      <c r="P822" s="2" t="str">
        <f t="shared" si="337"/>
        <v>Higher</v>
      </c>
      <c r="X822" s="4">
        <f>DATE(2021,6,7)</f>
        <v>44354</v>
      </c>
      <c r="Y822">
        <v>19.267834811722398</v>
      </c>
      <c r="Z822">
        <v>38.713510495093068</v>
      </c>
      <c r="AA822">
        <v>51.06</v>
      </c>
      <c r="AB822">
        <v>26.386249999999997</v>
      </c>
      <c r="AC822">
        <f t="shared" si="338"/>
        <v>-1.1875930485755429E-2</v>
      </c>
      <c r="AD822" t="str">
        <f t="shared" si="338"/>
        <v/>
      </c>
      <c r="AE822" t="str">
        <f t="shared" si="339"/>
        <v/>
      </c>
      <c r="AF822" t="str">
        <f t="shared" si="340"/>
        <v/>
      </c>
      <c r="AH822">
        <f t="shared" si="341"/>
        <v>-1.8771013132091275E-2</v>
      </c>
      <c r="AI822">
        <f t="shared" si="341"/>
        <v>4.9925395443610653E-2</v>
      </c>
      <c r="AJ822">
        <f t="shared" si="342"/>
        <v>6.8696408575701931E-2</v>
      </c>
      <c r="AK822">
        <f t="shared" si="343"/>
        <v>9.7981166050282009E-2</v>
      </c>
      <c r="AM822">
        <f t="shared" si="344"/>
        <v>0.18232155679395479</v>
      </c>
      <c r="AN822">
        <f t="shared" si="344"/>
        <v>0.37403474886587829</v>
      </c>
      <c r="AO822">
        <f t="shared" si="345"/>
        <v>0.1917131920719235</v>
      </c>
      <c r="AP822">
        <f t="shared" si="346"/>
        <v>0.38035340340570134</v>
      </c>
      <c r="AR822">
        <f t="shared" si="347"/>
        <v>0.56760393428236977</v>
      </c>
      <c r="AS822">
        <f t="shared" si="348"/>
        <v>0.85336419667259789</v>
      </c>
      <c r="AT822">
        <f t="shared" si="349"/>
        <v>0.28576026239022811</v>
      </c>
      <c r="AU822">
        <f t="shared" si="350"/>
        <v>1.2370298808119988</v>
      </c>
    </row>
    <row r="823" spans="1:47" x14ac:dyDescent="0.25">
      <c r="A823" s="4">
        <f>DATE(2021,6,4)</f>
        <v>44351</v>
      </c>
      <c r="B823">
        <v>-0.63567373901766233</v>
      </c>
      <c r="C823">
        <v>46.72768474478211</v>
      </c>
      <c r="D823">
        <v>0.13922440636707659</v>
      </c>
      <c r="E823">
        <f t="shared" si="326"/>
        <v>-2.5090800916304756</v>
      </c>
      <c r="F823">
        <f t="shared" si="327"/>
        <v>-1.9324264217922162</v>
      </c>
      <c r="G823">
        <f t="shared" si="328"/>
        <v>-2.6098022819879634</v>
      </c>
      <c r="H823" s="2" t="str">
        <f t="shared" si="329"/>
        <v>Lower</v>
      </c>
      <c r="I823" s="2" t="str">
        <f t="shared" si="330"/>
        <v>Higher</v>
      </c>
      <c r="J823" s="2" t="str">
        <f t="shared" si="331"/>
        <v>Higher</v>
      </c>
      <c r="K823" s="2" t="str">
        <f t="shared" si="332"/>
        <v>Lower</v>
      </c>
      <c r="L823" s="2" t="str">
        <f t="shared" si="333"/>
        <v>Lower</v>
      </c>
      <c r="M823" s="2" t="str">
        <f t="shared" si="334"/>
        <v>Lower</v>
      </c>
      <c r="N823" s="2" t="str">
        <f t="shared" si="335"/>
        <v>Lower</v>
      </c>
      <c r="O823" s="2" t="str">
        <f t="shared" si="336"/>
        <v>Higher</v>
      </c>
      <c r="P823" s="2" t="str">
        <f t="shared" si="337"/>
        <v>Higher</v>
      </c>
      <c r="X823" s="4">
        <f>DATE(2021,6,4)</f>
        <v>44351</v>
      </c>
      <c r="Y823">
        <v>19.344757572502555</v>
      </c>
      <c r="Z823">
        <v>36.271277302583542</v>
      </c>
      <c r="AA823">
        <v>50.174999999999997</v>
      </c>
      <c r="AB823">
        <v>25.766249999999999</v>
      </c>
      <c r="AC823">
        <f t="shared" si="338"/>
        <v>-1.9636528134598655E-2</v>
      </c>
      <c r="AD823">
        <f t="shared" si="338"/>
        <v>3.339480211200594E-2</v>
      </c>
      <c r="AE823">
        <f t="shared" si="339"/>
        <v>5.3031330246604599E-2</v>
      </c>
      <c r="AF823">
        <f t="shared" si="340"/>
        <v>0.33437892613515469</v>
      </c>
      <c r="AH823">
        <f t="shared" si="341"/>
        <v>-3.5313756824974156E-3</v>
      </c>
      <c r="AI823">
        <f t="shared" si="341"/>
        <v>7.1220020721049451E-2</v>
      </c>
      <c r="AJ823">
        <f t="shared" si="342"/>
        <v>7.475139640354686E-2</v>
      </c>
      <c r="AK823">
        <f t="shared" si="343"/>
        <v>0.12865441386086035</v>
      </c>
      <c r="AM823">
        <f t="shared" si="344"/>
        <v>0.16542475640047627</v>
      </c>
      <c r="AN823">
        <f t="shared" si="344"/>
        <v>0.3395040437419522</v>
      </c>
      <c r="AO823">
        <f t="shared" si="345"/>
        <v>0.17407928734147593</v>
      </c>
      <c r="AP823">
        <f t="shared" si="346"/>
        <v>0.32878931903789632</v>
      </c>
      <c r="AR823">
        <f t="shared" si="347"/>
        <v>0.53613917316017201</v>
      </c>
      <c r="AS823">
        <f t="shared" si="348"/>
        <v>0.83672953907809344</v>
      </c>
      <c r="AT823">
        <f t="shared" si="349"/>
        <v>0.30059036591792143</v>
      </c>
      <c r="AU823">
        <f t="shared" si="350"/>
        <v>1.3558103573502001</v>
      </c>
    </row>
    <row r="824" spans="1:47" x14ac:dyDescent="0.25">
      <c r="A824" s="4">
        <f>DATE(2021,6,3)</f>
        <v>44350</v>
      </c>
      <c r="B824">
        <v>-0.58809583028186241</v>
      </c>
      <c r="C824">
        <v>47.607040205166648</v>
      </c>
      <c r="D824">
        <v>0.16628328450560492</v>
      </c>
      <c r="E824">
        <f t="shared" si="326"/>
        <v>-2.4058901327893012</v>
      </c>
      <c r="F824">
        <f t="shared" si="327"/>
        <v>-1.8781906902241619</v>
      </c>
      <c r="G824">
        <f t="shared" si="328"/>
        <v>-2.5855189706281725</v>
      </c>
      <c r="H824" s="2" t="str">
        <f t="shared" si="329"/>
        <v>Lower</v>
      </c>
      <c r="I824" s="2" t="str">
        <f t="shared" si="330"/>
        <v>Higher</v>
      </c>
      <c r="J824" s="2" t="str">
        <f t="shared" si="331"/>
        <v>Higher</v>
      </c>
      <c r="K824" s="2" t="str">
        <f t="shared" si="332"/>
        <v>Lower</v>
      </c>
      <c r="L824" s="2" t="str">
        <f t="shared" si="333"/>
        <v>Higher</v>
      </c>
      <c r="M824" s="2" t="str">
        <f t="shared" si="334"/>
        <v>Higher</v>
      </c>
      <c r="N824" s="2" t="str">
        <f t="shared" si="335"/>
        <v>Lower</v>
      </c>
      <c r="O824" s="2" t="str">
        <f t="shared" si="336"/>
        <v>Higher</v>
      </c>
      <c r="P824" s="2" t="str">
        <f t="shared" si="337"/>
        <v>Higher</v>
      </c>
      <c r="X824" s="4">
        <f>DATE(2021,6,3)</f>
        <v>44350</v>
      </c>
      <c r="Y824">
        <v>21.006089543023378</v>
      </c>
      <c r="Z824">
        <v>37.901351482883079</v>
      </c>
      <c r="AA824">
        <v>50.817499999999995</v>
      </c>
      <c r="AB824">
        <v>25.833749999999998</v>
      </c>
      <c r="AC824">
        <f t="shared" si="338"/>
        <v>-2.4300170280054479E-2</v>
      </c>
      <c r="AD824">
        <f t="shared" si="338"/>
        <v>1.5948834658754549E-2</v>
      </c>
      <c r="AE824">
        <f t="shared" si="339"/>
        <v>4.0249004938809028E-2</v>
      </c>
      <c r="AF824">
        <f t="shared" si="340"/>
        <v>0.20189951850460225</v>
      </c>
      <c r="AH824">
        <f t="shared" si="341"/>
        <v>1.847031307612761E-2</v>
      </c>
      <c r="AI824">
        <f t="shared" si="341"/>
        <v>5.5665245871260143E-2</v>
      </c>
      <c r="AJ824">
        <f t="shared" si="342"/>
        <v>3.7194932795132529E-2</v>
      </c>
      <c r="AK824">
        <f t="shared" si="343"/>
        <v>-5.9746973968645041E-2</v>
      </c>
      <c r="AM824">
        <f t="shared" si="344"/>
        <v>0.19325333038755094</v>
      </c>
      <c r="AN824">
        <f t="shared" si="344"/>
        <v>0.36297807579791053</v>
      </c>
      <c r="AO824">
        <f t="shared" si="345"/>
        <v>0.16972474541035959</v>
      </c>
      <c r="AP824">
        <f t="shared" si="346"/>
        <v>0.31640386438026558</v>
      </c>
      <c r="AR824">
        <f t="shared" si="347"/>
        <v>0.57938988216103371</v>
      </c>
      <c r="AS824">
        <f t="shared" si="348"/>
        <v>1.0576567568312336</v>
      </c>
      <c r="AT824">
        <f t="shared" si="349"/>
        <v>0.4782668746701999</v>
      </c>
      <c r="AU824">
        <f t="shared" si="350"/>
        <v>2.4224824462186589</v>
      </c>
    </row>
    <row r="825" spans="1:47" x14ac:dyDescent="0.25">
      <c r="A825" s="4">
        <f>DATE(2021,6,2)</f>
        <v>44349</v>
      </c>
      <c r="B825">
        <v>-0.51064551472635356</v>
      </c>
      <c r="C825">
        <v>51.471365366750028</v>
      </c>
      <c r="D825">
        <v>0.32735880763399344</v>
      </c>
      <c r="E825">
        <f t="shared" si="326"/>
        <v>-2.1710824780083713</v>
      </c>
      <c r="F825">
        <f t="shared" si="327"/>
        <v>-1.4679753270107558</v>
      </c>
      <c r="G825">
        <f t="shared" si="328"/>
        <v>-1.9737105582515653</v>
      </c>
      <c r="H825" s="2" t="str">
        <f t="shared" si="329"/>
        <v>Lower</v>
      </c>
      <c r="I825" s="2" t="str">
        <f t="shared" si="330"/>
        <v>Higher</v>
      </c>
      <c r="J825" s="2" t="str">
        <f t="shared" si="331"/>
        <v>Higher</v>
      </c>
      <c r="K825" s="2" t="str">
        <f t="shared" si="332"/>
        <v>Lower</v>
      </c>
      <c r="L825" s="2" t="str">
        <f t="shared" si="333"/>
        <v>Higher</v>
      </c>
      <c r="M825" s="2" t="str">
        <f t="shared" si="334"/>
        <v>Higher</v>
      </c>
      <c r="N825" s="2" t="str">
        <f t="shared" si="335"/>
        <v>Lower</v>
      </c>
      <c r="O825" s="2" t="str">
        <f t="shared" si="336"/>
        <v>Higher</v>
      </c>
      <c r="P825" s="2" t="str">
        <f t="shared" si="337"/>
        <v>Higher</v>
      </c>
      <c r="X825" s="4">
        <f>DATE(2021,6,2)</f>
        <v>44349</v>
      </c>
      <c r="Y825">
        <v>23.085394419331283</v>
      </c>
      <c r="Z825">
        <v>38.415844941358941</v>
      </c>
      <c r="AA825">
        <v>51.47</v>
      </c>
      <c r="AB825">
        <v>25.707500000000003</v>
      </c>
      <c r="AC825">
        <f t="shared" si="338"/>
        <v>-4.1715319886015921E-2</v>
      </c>
      <c r="AD825">
        <f t="shared" si="338"/>
        <v>-3.1917348392657689E-2</v>
      </c>
      <c r="AE825">
        <f t="shared" si="339"/>
        <v>9.7979714933582318E-3</v>
      </c>
      <c r="AF825">
        <f t="shared" si="340"/>
        <v>-0.11433433044963856</v>
      </c>
      <c r="AH825">
        <f t="shared" si="341"/>
        <v>4.4343585367638924E-2</v>
      </c>
      <c r="AI825">
        <f t="shared" si="341"/>
        <v>7.6992160943499352E-2</v>
      </c>
      <c r="AJ825">
        <f t="shared" si="342"/>
        <v>3.2648575575860428E-2</v>
      </c>
      <c r="AK825">
        <f t="shared" si="343"/>
        <v>-8.2634589046728824E-2</v>
      </c>
      <c r="AM825">
        <f t="shared" si="344"/>
        <v>0.21874533016562911</v>
      </c>
      <c r="AN825">
        <f t="shared" si="344"/>
        <v>0.38301170202222323</v>
      </c>
      <c r="AO825">
        <f t="shared" si="345"/>
        <v>0.16426637185659412</v>
      </c>
      <c r="AP825">
        <f t="shared" si="346"/>
        <v>0.30079456505908519</v>
      </c>
      <c r="AR825">
        <f t="shared" si="347"/>
        <v>0.58445048367138974</v>
      </c>
      <c r="AS825">
        <f t="shared" si="348"/>
        <v>1.0278510701244161</v>
      </c>
      <c r="AT825">
        <f t="shared" si="349"/>
        <v>0.44340058645302638</v>
      </c>
      <c r="AU825">
        <f t="shared" si="350"/>
        <v>2.1936914562608001</v>
      </c>
    </row>
    <row r="826" spans="1:47" x14ac:dyDescent="0.25">
      <c r="A826" s="4">
        <f>DATE(2021,6,1)</f>
        <v>44348</v>
      </c>
      <c r="B826">
        <v>-0.48477001377706719</v>
      </c>
      <c r="C826">
        <v>55.086504953488685</v>
      </c>
      <c r="D826">
        <v>0.47701588080595009</v>
      </c>
      <c r="E826">
        <f t="shared" si="326"/>
        <v>-2.1240926814071139</v>
      </c>
      <c r="F826">
        <f t="shared" si="327"/>
        <v>-1.0691897287521199</v>
      </c>
      <c r="G826">
        <f t="shared" si="328"/>
        <v>-1.3563964920712239</v>
      </c>
      <c r="H826" s="2" t="str">
        <f t="shared" si="329"/>
        <v>Lower</v>
      </c>
      <c r="I826" s="2" t="str">
        <f t="shared" si="330"/>
        <v>Higher</v>
      </c>
      <c r="J826" s="2" t="str">
        <f t="shared" si="331"/>
        <v>Higher</v>
      </c>
      <c r="K826" s="2" t="str">
        <f t="shared" si="332"/>
        <v>Lower</v>
      </c>
      <c r="L826" s="2" t="str">
        <f t="shared" si="333"/>
        <v>Higher</v>
      </c>
      <c r="M826" s="2" t="str">
        <f t="shared" si="334"/>
        <v>Higher</v>
      </c>
      <c r="N826" s="2" t="str">
        <f t="shared" si="335"/>
        <v>Lower</v>
      </c>
      <c r="O826" s="2" t="str">
        <f t="shared" si="336"/>
        <v>Higher</v>
      </c>
      <c r="P826" s="2" t="str">
        <f t="shared" si="337"/>
        <v>Higher</v>
      </c>
      <c r="X826" s="4">
        <f>DATE(2021,6,1)</f>
        <v>44348</v>
      </c>
      <c r="Y826">
        <v>24.491234148353495</v>
      </c>
      <c r="Z826">
        <v>40.766766283541841</v>
      </c>
      <c r="AA826">
        <v>52.454999999999998</v>
      </c>
      <c r="AB826">
        <v>25.84</v>
      </c>
      <c r="AC826">
        <f t="shared" si="338"/>
        <v>-1.3491648231696431E-2</v>
      </c>
      <c r="AD826">
        <f t="shared" si="338"/>
        <v>-4.4405903647911698E-3</v>
      </c>
      <c r="AE826">
        <f t="shared" si="339"/>
        <v>9.0510578669052606E-3</v>
      </c>
      <c r="AF826">
        <f t="shared" si="340"/>
        <v>-0.12232188275703586</v>
      </c>
      <c r="AH826">
        <f t="shared" si="341"/>
        <v>6.982045351333209E-2</v>
      </c>
      <c r="AI826">
        <f t="shared" si="341"/>
        <v>0.10347031834274609</v>
      </c>
      <c r="AJ826">
        <f t="shared" si="342"/>
        <v>3.3649864829413997E-2</v>
      </c>
      <c r="AK826">
        <f t="shared" si="343"/>
        <v>-7.7787941974634414E-2</v>
      </c>
      <c r="AM826">
        <f t="shared" si="344"/>
        <v>0.26397646795428964</v>
      </c>
      <c r="AN826">
        <f t="shared" si="344"/>
        <v>0.43054479250518779</v>
      </c>
      <c r="AO826">
        <f t="shared" si="345"/>
        <v>0.16656832455089815</v>
      </c>
      <c r="AP826">
        <f t="shared" si="346"/>
        <v>0.30792463220368177</v>
      </c>
      <c r="AR826">
        <f t="shared" si="347"/>
        <v>0.61532862900968766</v>
      </c>
      <c r="AS826">
        <f t="shared" si="348"/>
        <v>1.0834415704438356</v>
      </c>
      <c r="AT826">
        <f t="shared" si="349"/>
        <v>0.46811294143414794</v>
      </c>
      <c r="AU826">
        <f t="shared" si="350"/>
        <v>2.3161944461527115</v>
      </c>
    </row>
    <row r="827" spans="1:47" x14ac:dyDescent="0.25">
      <c r="A827" s="4">
        <f>DATE(2021,5,31)</f>
        <v>44347</v>
      </c>
      <c r="B827">
        <v>-0.52992772926586684</v>
      </c>
      <c r="C827">
        <v>52.928414143743282</v>
      </c>
      <c r="D827">
        <v>0.41882292152749179</v>
      </c>
      <c r="E827">
        <f t="shared" si="326"/>
        <v>-2.3681968464179084</v>
      </c>
      <c r="F827">
        <f t="shared" si="327"/>
        <v>-1.3387447211848857</v>
      </c>
      <c r="G827">
        <f t="shared" si="328"/>
        <v>-1.639491460351393</v>
      </c>
      <c r="H827" s="2" t="str">
        <f t="shared" si="329"/>
        <v>Higher</v>
      </c>
      <c r="I827" s="2" t="str">
        <f t="shared" si="330"/>
        <v>Higher</v>
      </c>
      <c r="J827" s="2" t="str">
        <f t="shared" si="331"/>
        <v>Higher</v>
      </c>
      <c r="K827" s="2" t="str">
        <f t="shared" si="332"/>
        <v>Lower</v>
      </c>
      <c r="L827" s="2" t="str">
        <f t="shared" si="333"/>
        <v>Higher</v>
      </c>
      <c r="M827" s="2" t="str">
        <f t="shared" si="334"/>
        <v>Higher</v>
      </c>
      <c r="N827" s="2" t="str">
        <f t="shared" si="335"/>
        <v>Lower</v>
      </c>
      <c r="O827" s="2" t="str">
        <f t="shared" si="336"/>
        <v>Higher</v>
      </c>
      <c r="P827" s="2" t="str">
        <f t="shared" si="337"/>
        <v>Higher</v>
      </c>
      <c r="X827" s="4">
        <f>DATE(2021,5,31)</f>
        <v>44347</v>
      </c>
      <c r="Y827">
        <v>21.157506325127535</v>
      </c>
      <c r="AA827">
        <v>51.67</v>
      </c>
      <c r="AC827">
        <f t="shared" si="338"/>
        <v>-1.1593077864347845E-2</v>
      </c>
      <c r="AD827" t="str">
        <f t="shared" si="338"/>
        <v/>
      </c>
      <c r="AE827" t="str">
        <f t="shared" si="339"/>
        <v/>
      </c>
      <c r="AF827" t="str">
        <f t="shared" si="340"/>
        <v/>
      </c>
      <c r="AH827">
        <f t="shared" si="341"/>
        <v>4.4926918105216533E-2</v>
      </c>
      <c r="AI827" t="str">
        <f t="shared" si="341"/>
        <v/>
      </c>
      <c r="AJ827" t="str">
        <f t="shared" si="342"/>
        <v/>
      </c>
      <c r="AK827" t="str">
        <f t="shared" si="343"/>
        <v/>
      </c>
      <c r="AM827">
        <f t="shared" si="344"/>
        <v>0.28125159565982594</v>
      </c>
      <c r="AN827" t="str">
        <f t="shared" si="344"/>
        <v/>
      </c>
      <c r="AO827" t="str">
        <f t="shared" si="345"/>
        <v/>
      </c>
      <c r="AP827" t="str">
        <f t="shared" si="346"/>
        <v/>
      </c>
      <c r="AR827">
        <f t="shared" si="347"/>
        <v>0.64497467878851922</v>
      </c>
      <c r="AS827" t="str">
        <f t="shared" si="348"/>
        <v/>
      </c>
      <c r="AT827" t="str">
        <f t="shared" si="349"/>
        <v/>
      </c>
      <c r="AU827" t="str">
        <f t="shared" si="350"/>
        <v/>
      </c>
    </row>
    <row r="828" spans="1:47" x14ac:dyDescent="0.25">
      <c r="A828" s="4">
        <f>DATE(2021,5,28)</f>
        <v>44344</v>
      </c>
      <c r="B828">
        <v>-0.51127444049109205</v>
      </c>
      <c r="C828">
        <v>50.859412821064367</v>
      </c>
      <c r="D828">
        <v>0.36047645398671835</v>
      </c>
      <c r="E828">
        <f t="shared" si="326"/>
        <v>-2.3624857086253614</v>
      </c>
      <c r="F828">
        <f t="shared" si="327"/>
        <v>-1.6078778614092901</v>
      </c>
      <c r="G828">
        <f t="shared" si="328"/>
        <v>-1.9320812114125769</v>
      </c>
      <c r="H828" s="2" t="str">
        <f t="shared" si="329"/>
        <v>Higher</v>
      </c>
      <c r="I828" s="2" t="str">
        <f t="shared" si="330"/>
        <v>Higher</v>
      </c>
      <c r="J828" s="2" t="str">
        <f t="shared" si="331"/>
        <v>Higher</v>
      </c>
      <c r="K828" s="2" t="str">
        <f t="shared" si="332"/>
        <v>Higher</v>
      </c>
      <c r="L828" s="2" t="str">
        <f t="shared" si="333"/>
        <v>Higher</v>
      </c>
      <c r="M828" s="2" t="str">
        <f t="shared" si="334"/>
        <v>Higher</v>
      </c>
      <c r="N828" s="2" t="str">
        <f t="shared" si="335"/>
        <v>Lower</v>
      </c>
      <c r="O828" s="2" t="str">
        <f t="shared" si="336"/>
        <v>Higher</v>
      </c>
      <c r="P828" s="2" t="str">
        <f t="shared" si="337"/>
        <v>Higher</v>
      </c>
      <c r="X828" s="4">
        <f>DATE(2021,5,28)</f>
        <v>44344</v>
      </c>
      <c r="Y828">
        <v>21.930622334857468</v>
      </c>
      <c r="Z828">
        <v>36.958477941608599</v>
      </c>
      <c r="AA828">
        <v>51.17</v>
      </c>
      <c r="AB828">
        <v>24.92</v>
      </c>
      <c r="AC828">
        <f t="shared" si="338"/>
        <v>-1.6282584967980598E-2</v>
      </c>
      <c r="AD828">
        <f t="shared" si="338"/>
        <v>-6.0174507883346319E-4</v>
      </c>
      <c r="AE828">
        <f t="shared" si="339"/>
        <v>1.5680839889147133E-2</v>
      </c>
      <c r="AF828">
        <f t="shared" si="340"/>
        <v>-5.4957382674116401E-2</v>
      </c>
      <c r="AH828">
        <f t="shared" si="341"/>
        <v>4.9782448386280903E-2</v>
      </c>
      <c r="AI828">
        <f t="shared" si="341"/>
        <v>7.3459953986537152E-2</v>
      </c>
      <c r="AJ828">
        <f t="shared" si="342"/>
        <v>2.3677505600256249E-2</v>
      </c>
      <c r="AK828">
        <f t="shared" si="343"/>
        <v>-0.12875287874551528</v>
      </c>
      <c r="AM828">
        <f t="shared" si="344"/>
        <v>0.2786034808186193</v>
      </c>
      <c r="AN828">
        <f t="shared" si="344"/>
        <v>0.42827033259144687</v>
      </c>
      <c r="AO828">
        <f t="shared" si="345"/>
        <v>0.14966685177282757</v>
      </c>
      <c r="AP828">
        <f t="shared" si="346"/>
        <v>0.25820312700160442</v>
      </c>
      <c r="AR828">
        <f t="shared" si="347"/>
        <v>0.69119481758133672</v>
      </c>
      <c r="AS828">
        <f t="shared" si="348"/>
        <v>1.1781911191980827</v>
      </c>
      <c r="AT828">
        <f t="shared" si="349"/>
        <v>0.48699630161674601</v>
      </c>
      <c r="AU828">
        <f t="shared" si="350"/>
        <v>2.3917222204793385</v>
      </c>
    </row>
    <row r="829" spans="1:47" x14ac:dyDescent="0.25">
      <c r="A829" s="4">
        <f>DATE(2021,5,27)</f>
        <v>44343</v>
      </c>
      <c r="B829">
        <v>-0.39837331739483162</v>
      </c>
      <c r="C829">
        <v>53.499264022801157</v>
      </c>
      <c r="D829">
        <v>0.46418912095180648</v>
      </c>
      <c r="E829">
        <f t="shared" si="326"/>
        <v>-1.9490318360030079</v>
      </c>
      <c r="F829">
        <f t="shared" si="327"/>
        <v>-1.3180115198111222</v>
      </c>
      <c r="G829">
        <f t="shared" si="328"/>
        <v>-1.5074435368493524</v>
      </c>
      <c r="H829" s="2" t="str">
        <f t="shared" si="329"/>
        <v>Higher</v>
      </c>
      <c r="I829" s="2" t="str">
        <f t="shared" si="330"/>
        <v>Higher</v>
      </c>
      <c r="J829" s="2" t="str">
        <f t="shared" si="331"/>
        <v>Higher</v>
      </c>
      <c r="K829" s="2" t="str">
        <f t="shared" si="332"/>
        <v>Higher</v>
      </c>
      <c r="L829" s="2" t="str">
        <f t="shared" si="333"/>
        <v>Higher</v>
      </c>
      <c r="M829" s="2" t="str">
        <f t="shared" si="334"/>
        <v>Higher</v>
      </c>
      <c r="N829" s="2" t="str">
        <f t="shared" si="335"/>
        <v>Lower</v>
      </c>
      <c r="O829" s="2" t="str">
        <f t="shared" si="336"/>
        <v>Higher</v>
      </c>
      <c r="P829" s="2" t="str">
        <f t="shared" si="337"/>
        <v>Higher</v>
      </c>
      <c r="X829" s="4">
        <f>DATE(2021,5,27)</f>
        <v>44343</v>
      </c>
      <c r="Y829">
        <v>23.682339756340717</v>
      </c>
      <c r="Z829">
        <v>38.53927451225335</v>
      </c>
      <c r="AA829">
        <v>52.067500000000003</v>
      </c>
      <c r="AB829">
        <v>25.424999999999997</v>
      </c>
      <c r="AC829">
        <f t="shared" si="338"/>
        <v>2.2111141483015205E-3</v>
      </c>
      <c r="AD829">
        <f t="shared" si="338"/>
        <v>4.62344357770995E-2</v>
      </c>
      <c r="AE829">
        <f t="shared" si="339"/>
        <v>4.4023321628797976E-2</v>
      </c>
      <c r="AF829">
        <f t="shared" si="340"/>
        <v>0.23750801961745752</v>
      </c>
      <c r="AH829">
        <f t="shared" si="341"/>
        <v>8.4783364600903646E-2</v>
      </c>
      <c r="AI829">
        <f t="shared" si="341"/>
        <v>0.13170695874536459</v>
      </c>
      <c r="AJ829">
        <f t="shared" si="342"/>
        <v>4.6923594144460942E-2</v>
      </c>
      <c r="AK829">
        <f t="shared" si="343"/>
        <v>-1.3464414959142698E-2</v>
      </c>
      <c r="AM829">
        <f t="shared" si="344"/>
        <v>0.31890997384757658</v>
      </c>
      <c r="AN829">
        <f t="shared" si="344"/>
        <v>0.47240572534257391</v>
      </c>
      <c r="AO829">
        <f t="shared" si="345"/>
        <v>0.15349575149499733</v>
      </c>
      <c r="AP829">
        <f t="shared" si="346"/>
        <v>0.26966499811011402</v>
      </c>
      <c r="AR829">
        <f t="shared" si="347"/>
        <v>0.69694754592767083</v>
      </c>
      <c r="AS829">
        <f t="shared" si="348"/>
        <v>1.1308368828656541</v>
      </c>
      <c r="AT829">
        <f t="shared" si="349"/>
        <v>0.43388933693798326</v>
      </c>
      <c r="AU829">
        <f t="shared" si="350"/>
        <v>2.0684907949916611</v>
      </c>
    </row>
    <row r="830" spans="1:47" x14ac:dyDescent="0.25">
      <c r="A830" s="4">
        <f>DATE(2021,5,26)</f>
        <v>44342</v>
      </c>
      <c r="B830">
        <v>-0.29709670297604251</v>
      </c>
      <c r="C830">
        <v>60.036715891191974</v>
      </c>
      <c r="D830">
        <v>0.66617929532104936</v>
      </c>
      <c r="E830">
        <f t="shared" si="326"/>
        <v>-1.553076011390119</v>
      </c>
      <c r="F830">
        <f t="shared" si="327"/>
        <v>-0.54354248462948729</v>
      </c>
      <c r="G830">
        <f t="shared" si="328"/>
        <v>-0.60945283456861399</v>
      </c>
      <c r="H830" s="2" t="str">
        <f t="shared" si="329"/>
        <v>Higher</v>
      </c>
      <c r="I830" s="2" t="str">
        <f t="shared" si="330"/>
        <v>Higher</v>
      </c>
      <c r="J830" s="2" t="str">
        <f t="shared" si="331"/>
        <v>Higher</v>
      </c>
      <c r="K830" s="2" t="str">
        <f t="shared" si="332"/>
        <v>Higher</v>
      </c>
      <c r="L830" s="2" t="str">
        <f t="shared" si="333"/>
        <v>Higher</v>
      </c>
      <c r="M830" s="2" t="str">
        <f t="shared" si="334"/>
        <v>Higher</v>
      </c>
      <c r="N830" s="2" t="str">
        <f t="shared" si="335"/>
        <v>Lower</v>
      </c>
      <c r="O830" s="2" t="str">
        <f t="shared" si="336"/>
        <v>Higher</v>
      </c>
      <c r="P830" s="2" t="str">
        <f t="shared" si="337"/>
        <v>Higher</v>
      </c>
      <c r="X830" s="4">
        <f>DATE(2021,5,26)</f>
        <v>44342</v>
      </c>
      <c r="Y830">
        <v>26.097477669319417</v>
      </c>
      <c r="Z830">
        <v>42.068196923745347</v>
      </c>
      <c r="AA830">
        <v>53.662500000000001</v>
      </c>
      <c r="AB830">
        <v>26.541249999999998</v>
      </c>
      <c r="AC830">
        <f t="shared" si="338"/>
        <v>6.5803394049756922E-2</v>
      </c>
      <c r="AD830">
        <f t="shared" si="338"/>
        <v>0.14293420836867207</v>
      </c>
      <c r="AE830">
        <f t="shared" si="339"/>
        <v>7.713081431891515E-2</v>
      </c>
      <c r="AF830">
        <f t="shared" si="340"/>
        <v>0.57898980771005859</v>
      </c>
      <c r="AH830">
        <f t="shared" si="341"/>
        <v>0.11537503574917299</v>
      </c>
      <c r="AI830">
        <f t="shared" si="341"/>
        <v>0.20277131096559872</v>
      </c>
      <c r="AJ830">
        <f t="shared" si="342"/>
        <v>8.7396275216425734E-2</v>
      </c>
      <c r="AK830">
        <f t="shared" si="343"/>
        <v>0.18713053532230065</v>
      </c>
      <c r="AM830">
        <f t="shared" si="344"/>
        <v>0.35504571048163919</v>
      </c>
      <c r="AN830">
        <f t="shared" si="344"/>
        <v>0.53415728905263049</v>
      </c>
      <c r="AO830">
        <f t="shared" si="345"/>
        <v>0.1791115785709913</v>
      </c>
      <c r="AP830">
        <f t="shared" si="346"/>
        <v>0.34425673983540545</v>
      </c>
      <c r="AR830">
        <f t="shared" si="347"/>
        <v>0.71172065442037169</v>
      </c>
      <c r="AS830">
        <f t="shared" si="348"/>
        <v>1.1448295869075584</v>
      </c>
      <c r="AT830">
        <f t="shared" si="349"/>
        <v>0.43310893248718674</v>
      </c>
      <c r="AU830">
        <f t="shared" si="350"/>
        <v>2.0553414699420887</v>
      </c>
    </row>
    <row r="831" spans="1:47" x14ac:dyDescent="0.25">
      <c r="A831" s="4">
        <f>DATE(2021,5,25)</f>
        <v>44341</v>
      </c>
      <c r="B831">
        <v>-0.32814087107579759</v>
      </c>
      <c r="C831">
        <v>59.150180567482217</v>
      </c>
      <c r="D831">
        <v>0.65303855929615662</v>
      </c>
      <c r="E831">
        <f t="shared" si="326"/>
        <v>-1.7202296874433582</v>
      </c>
      <c r="F831">
        <f t="shared" si="327"/>
        <v>-0.65085121003725588</v>
      </c>
      <c r="G831">
        <f t="shared" si="328"/>
        <v>-0.67636862755608806</v>
      </c>
      <c r="H831" s="2" t="str">
        <f t="shared" si="329"/>
        <v>Higher</v>
      </c>
      <c r="I831" s="2" t="str">
        <f t="shared" si="330"/>
        <v>Higher</v>
      </c>
      <c r="J831" s="2" t="str">
        <f t="shared" si="331"/>
        <v>Higher</v>
      </c>
      <c r="K831" s="2" t="str">
        <f t="shared" si="332"/>
        <v>Higher</v>
      </c>
      <c r="L831" s="2" t="str">
        <f t="shared" si="333"/>
        <v>Higher</v>
      </c>
      <c r="M831" s="2" t="str">
        <f t="shared" si="334"/>
        <v>Higher</v>
      </c>
      <c r="N831" s="2" t="str">
        <f t="shared" si="335"/>
        <v>Higher</v>
      </c>
      <c r="O831" s="2" t="str">
        <f t="shared" si="336"/>
        <v>Higher</v>
      </c>
      <c r="P831" s="2" t="str">
        <f t="shared" si="337"/>
        <v>Higher</v>
      </c>
      <c r="X831" s="4">
        <f>DATE(2021,5,25)</f>
        <v>44341</v>
      </c>
      <c r="Y831">
        <v>24.766212440562576</v>
      </c>
      <c r="Z831">
        <v>38.998501853593247</v>
      </c>
      <c r="AA831">
        <v>53.167500000000004</v>
      </c>
      <c r="AB831">
        <v>25.954999999999998</v>
      </c>
      <c r="AC831">
        <f t="shared" si="338"/>
        <v>-1.1128890694709405E-2</v>
      </c>
      <c r="AD831">
        <f t="shared" si="338"/>
        <v>3.7088524389664722E-2</v>
      </c>
      <c r="AE831">
        <f t="shared" si="339"/>
        <v>4.8217415084374125E-2</v>
      </c>
      <c r="AF831">
        <f t="shared" si="340"/>
        <v>0.2834180087608959</v>
      </c>
      <c r="AH831">
        <f t="shared" si="341"/>
        <v>0.11884157285694995</v>
      </c>
      <c r="AI831">
        <f t="shared" si="341"/>
        <v>0.2111278008221123</v>
      </c>
      <c r="AJ831">
        <f t="shared" si="342"/>
        <v>9.2286227965162351E-2</v>
      </c>
      <c r="AK831">
        <f t="shared" si="343"/>
        <v>0.21167063739309988</v>
      </c>
      <c r="AM831">
        <f t="shared" si="344"/>
        <v>0.33599273529339702</v>
      </c>
      <c r="AN831">
        <f t="shared" si="344"/>
        <v>0.49051696945076556</v>
      </c>
      <c r="AO831">
        <f t="shared" si="345"/>
        <v>0.15452423415736855</v>
      </c>
      <c r="AP831">
        <f t="shared" si="346"/>
        <v>0.27370014734803128</v>
      </c>
      <c r="AR831">
        <f t="shared" si="347"/>
        <v>0.6969631699266311</v>
      </c>
      <c r="AS831">
        <f t="shared" si="348"/>
        <v>1.1149754514641528</v>
      </c>
      <c r="AT831">
        <f t="shared" si="349"/>
        <v>0.41801228153752168</v>
      </c>
      <c r="AU831">
        <f t="shared" si="350"/>
        <v>1.969798999802006</v>
      </c>
    </row>
    <row r="832" spans="1:47" x14ac:dyDescent="0.25">
      <c r="A832" s="4">
        <f>DATE(2021,5,24)</f>
        <v>44340</v>
      </c>
      <c r="B832">
        <v>-0.34681574554340866</v>
      </c>
      <c r="C832">
        <v>57.783725076938403</v>
      </c>
      <c r="D832">
        <v>0.62329047136076887</v>
      </c>
      <c r="E832">
        <f t="shared" si="326"/>
        <v>-1.8401581167859888</v>
      </c>
      <c r="F832">
        <f t="shared" si="327"/>
        <v>-0.81766226728093783</v>
      </c>
      <c r="G832">
        <f t="shared" si="328"/>
        <v>-0.82127180440877801</v>
      </c>
      <c r="H832" s="2" t="str">
        <f t="shared" si="329"/>
        <v>Higher</v>
      </c>
      <c r="I832" s="2" t="str">
        <f t="shared" si="330"/>
        <v>Higher</v>
      </c>
      <c r="J832" s="2" t="str">
        <f t="shared" si="331"/>
        <v>Higher</v>
      </c>
      <c r="K832" s="2" t="str">
        <f t="shared" si="332"/>
        <v>Higher</v>
      </c>
      <c r="L832" s="2" t="str">
        <f t="shared" si="333"/>
        <v>Higher</v>
      </c>
      <c r="M832" s="2" t="str">
        <f t="shared" si="334"/>
        <v>Higher</v>
      </c>
      <c r="N832" s="2" t="str">
        <f t="shared" si="335"/>
        <v>Higher</v>
      </c>
      <c r="O832" s="2" t="str">
        <f t="shared" si="336"/>
        <v>Higher</v>
      </c>
      <c r="P832" s="2" t="str">
        <f t="shared" si="337"/>
        <v>Higher</v>
      </c>
      <c r="X832" s="4">
        <f>DATE(2021,5,24)</f>
        <v>44340</v>
      </c>
      <c r="Y832">
        <v>22.880833900224104</v>
      </c>
      <c r="Z832">
        <v>33.118500306199316</v>
      </c>
      <c r="AA832">
        <v>52.272500000000001</v>
      </c>
      <c r="AB832">
        <v>24.706250000000001</v>
      </c>
      <c r="AC832">
        <f t="shared" si="338"/>
        <v>-7.2090401512656513E-2</v>
      </c>
      <c r="AD832">
        <f t="shared" si="338"/>
        <v>-6.0133437083892641E-2</v>
      </c>
      <c r="AE832">
        <f t="shared" si="339"/>
        <v>1.1956964428763872E-2</v>
      </c>
      <c r="AF832">
        <f t="shared" si="340"/>
        <v>-8.7839828827901451E-2</v>
      </c>
      <c r="AH832">
        <f t="shared" si="341"/>
        <v>0.10096485757046691</v>
      </c>
      <c r="AI832">
        <f t="shared" si="341"/>
        <v>0.20590120434047801</v>
      </c>
      <c r="AJ832">
        <f t="shared" si="342"/>
        <v>0.1049363467700111</v>
      </c>
      <c r="AK832">
        <f t="shared" si="343"/>
        <v>0.2744625733892998</v>
      </c>
      <c r="AM832">
        <f t="shared" si="344"/>
        <v>0.3353346181360245</v>
      </c>
      <c r="AN832">
        <f t="shared" si="344"/>
        <v>0.43158107064585938</v>
      </c>
      <c r="AO832">
        <f t="shared" si="345"/>
        <v>9.6246452509834879E-2</v>
      </c>
      <c r="AP832">
        <f t="shared" si="346"/>
        <v>0.10624330560319795</v>
      </c>
      <c r="AR832">
        <f t="shared" si="347"/>
        <v>0.69798934070288099</v>
      </c>
      <c r="AS832">
        <f t="shared" si="348"/>
        <v>1.0962371706907674</v>
      </c>
      <c r="AT832">
        <f t="shared" si="349"/>
        <v>0.39824782998788644</v>
      </c>
      <c r="AU832">
        <f t="shared" si="350"/>
        <v>1.8745872445307261</v>
      </c>
    </row>
    <row r="833" spans="1:47" x14ac:dyDescent="0.25">
      <c r="A833" s="4">
        <f>DATE(2021,5,21)</f>
        <v>44337</v>
      </c>
      <c r="B833">
        <v>-0.3250245937982803</v>
      </c>
      <c r="C833">
        <v>55.203103147411639</v>
      </c>
      <c r="D833">
        <v>0.55450967381250893</v>
      </c>
      <c r="E833">
        <f t="shared" si="326"/>
        <v>-1.7840654127138349</v>
      </c>
      <c r="F833">
        <f t="shared" si="327"/>
        <v>-1.1310022435743177</v>
      </c>
      <c r="G833">
        <f t="shared" si="328"/>
        <v>-1.1475822996957736</v>
      </c>
      <c r="H833" s="2" t="str">
        <f t="shared" si="329"/>
        <v>Higher</v>
      </c>
      <c r="I833" s="2" t="str">
        <f t="shared" si="330"/>
        <v>Higher</v>
      </c>
      <c r="J833" s="2" t="str">
        <f t="shared" si="331"/>
        <v>Higher</v>
      </c>
      <c r="K833" s="2" t="str">
        <f t="shared" si="332"/>
        <v>Higher</v>
      </c>
      <c r="L833" s="2" t="str">
        <f t="shared" si="333"/>
        <v>Higher</v>
      </c>
      <c r="M833" s="2" t="str">
        <f t="shared" si="334"/>
        <v>Higher</v>
      </c>
      <c r="N833" s="2" t="str">
        <f t="shared" si="335"/>
        <v>Higher</v>
      </c>
      <c r="O833" s="2" t="str">
        <f t="shared" si="336"/>
        <v>Higher</v>
      </c>
      <c r="P833" s="2" t="str">
        <f t="shared" si="337"/>
        <v>Higher</v>
      </c>
      <c r="X833" s="4">
        <f>DATE(2021,5,21)</f>
        <v>44337</v>
      </c>
      <c r="Y833">
        <v>24.791254702683222</v>
      </c>
      <c r="Z833">
        <v>34.057402537614642</v>
      </c>
      <c r="AA833">
        <v>52.01</v>
      </c>
      <c r="AB833">
        <v>24.935000000000002</v>
      </c>
      <c r="AC833">
        <f t="shared" si="338"/>
        <v>-7.7347288251864099E-2</v>
      </c>
      <c r="AD833">
        <f t="shared" si="338"/>
        <v>-6.9186690013267368E-2</v>
      </c>
      <c r="AE833">
        <f t="shared" si="339"/>
        <v>8.1605982385967307E-3</v>
      </c>
      <c r="AF833">
        <f t="shared" si="340"/>
        <v>-0.12686829514179804</v>
      </c>
      <c r="AH833">
        <f t="shared" si="341"/>
        <v>0.10507215116310911</v>
      </c>
      <c r="AI833">
        <f t="shared" si="341"/>
        <v>0.21306815060539386</v>
      </c>
      <c r="AJ833">
        <f t="shared" si="342"/>
        <v>0.10799599944228475</v>
      </c>
      <c r="AK833">
        <f t="shared" si="343"/>
        <v>0.29007404562693506</v>
      </c>
      <c r="AM833">
        <f t="shared" si="344"/>
        <v>0.32789539497938514</v>
      </c>
      <c r="AN833">
        <f t="shared" si="344"/>
        <v>0.46078219107404539</v>
      </c>
      <c r="AO833">
        <f t="shared" si="345"/>
        <v>0.13288679609466025</v>
      </c>
      <c r="AP833">
        <f t="shared" si="346"/>
        <v>0.21150059538312216</v>
      </c>
      <c r="AR833">
        <f t="shared" si="347"/>
        <v>0.71796718061388021</v>
      </c>
      <c r="AS833">
        <f t="shared" si="348"/>
        <v>1.1503594975480762</v>
      </c>
      <c r="AT833">
        <f t="shared" si="349"/>
        <v>0.432392316934196</v>
      </c>
      <c r="AU833">
        <f t="shared" si="350"/>
        <v>2.0944402947745533</v>
      </c>
    </row>
    <row r="834" spans="1:47" x14ac:dyDescent="0.25">
      <c r="A834" s="4">
        <f>DATE(2021,5,20)</f>
        <v>44336</v>
      </c>
      <c r="B834">
        <v>-0.19390019500214217</v>
      </c>
      <c r="C834">
        <v>58.284404976162421</v>
      </c>
      <c r="D834">
        <v>0.64971233879584844</v>
      </c>
      <c r="E834">
        <f t="shared" si="326"/>
        <v>-1.2252265226063488</v>
      </c>
      <c r="F834">
        <f t="shared" si="327"/>
        <v>-0.7577049225041026</v>
      </c>
      <c r="G834">
        <f t="shared" si="328"/>
        <v>-0.7192270708455295</v>
      </c>
      <c r="H834" s="2" t="str">
        <f t="shared" si="329"/>
        <v>Higher</v>
      </c>
      <c r="I834" s="2" t="str">
        <f t="shared" si="330"/>
        <v>Higher</v>
      </c>
      <c r="J834" s="2" t="str">
        <f t="shared" si="331"/>
        <v>Higher</v>
      </c>
      <c r="K834" s="2" t="str">
        <f t="shared" si="332"/>
        <v>Higher</v>
      </c>
      <c r="L834" s="2" t="str">
        <f t="shared" si="333"/>
        <v>Higher</v>
      </c>
      <c r="M834" s="2" t="str">
        <f t="shared" si="334"/>
        <v>Higher</v>
      </c>
      <c r="N834" s="2" t="str">
        <f t="shared" si="335"/>
        <v>Higher</v>
      </c>
      <c r="O834" s="2" t="str">
        <f t="shared" si="336"/>
        <v>Higher</v>
      </c>
      <c r="P834" s="2" t="str">
        <f t="shared" si="337"/>
        <v>Higher</v>
      </c>
      <c r="X834" s="4">
        <f>DATE(2021,5,20)</f>
        <v>44336</v>
      </c>
      <c r="Y834">
        <v>24.217752412059269</v>
      </c>
      <c r="Z834">
        <v>30.205010756900396</v>
      </c>
      <c r="AA834">
        <v>51.952500000000001</v>
      </c>
      <c r="AB834">
        <v>24.276249999999997</v>
      </c>
      <c r="AC834">
        <f t="shared" si="338"/>
        <v>-4.4930764415469004E-2</v>
      </c>
      <c r="AD834">
        <f t="shared" si="338"/>
        <v>-6.6432226661687951E-2</v>
      </c>
      <c r="AE834">
        <f t="shared" si="339"/>
        <v>-2.1501462246218947E-2</v>
      </c>
      <c r="AF834">
        <f t="shared" si="340"/>
        <v>-0.42985211964444181</v>
      </c>
      <c r="AH834">
        <f t="shared" si="341"/>
        <v>0.10183253503446503</v>
      </c>
      <c r="AI834">
        <f t="shared" si="341"/>
        <v>0.12634125628874374</v>
      </c>
      <c r="AJ834">
        <f t="shared" si="342"/>
        <v>2.4508721254278706E-2</v>
      </c>
      <c r="AK834">
        <f t="shared" si="343"/>
        <v>-0.11882509736617641</v>
      </c>
      <c r="AM834">
        <f t="shared" si="344"/>
        <v>0.29753103378988333</v>
      </c>
      <c r="AN834">
        <f t="shared" si="344"/>
        <v>0.41371177799417741</v>
      </c>
      <c r="AO834">
        <f t="shared" si="345"/>
        <v>0.11618074420429408</v>
      </c>
      <c r="AP834">
        <f t="shared" si="346"/>
        <v>0.16398675230994</v>
      </c>
      <c r="AR834">
        <f t="shared" si="347"/>
        <v>0.70783514911589795</v>
      </c>
      <c r="AS834">
        <f t="shared" si="348"/>
        <v>1.1953085272128008</v>
      </c>
      <c r="AT834">
        <f t="shared" si="349"/>
        <v>0.48747337809690283</v>
      </c>
      <c r="AU834">
        <f t="shared" si="350"/>
        <v>2.4186341300289911</v>
      </c>
    </row>
    <row r="835" spans="1:47" x14ac:dyDescent="0.25">
      <c r="A835" s="4">
        <f>DATE(2021,5,19)</f>
        <v>44335</v>
      </c>
      <c r="B835">
        <v>-0.10107101921150186</v>
      </c>
      <c r="C835">
        <v>50.055157156610065</v>
      </c>
      <c r="D835">
        <v>0.42692904480607469</v>
      </c>
      <c r="E835">
        <f t="shared" si="326"/>
        <v>-0.82041531836305914</v>
      </c>
      <c r="F835">
        <f t="shared" si="327"/>
        <v>-1.7416368889274056</v>
      </c>
      <c r="G835">
        <f t="shared" si="328"/>
        <v>-1.7552087305120634</v>
      </c>
      <c r="H835" s="2" t="str">
        <f t="shared" si="329"/>
        <v>Higher</v>
      </c>
      <c r="I835" s="2" t="str">
        <f t="shared" si="330"/>
        <v>Higher</v>
      </c>
      <c r="J835" s="2" t="str">
        <f t="shared" si="331"/>
        <v>Higher</v>
      </c>
      <c r="K835" s="2" t="str">
        <f t="shared" si="332"/>
        <v>Higher</v>
      </c>
      <c r="L835" s="2" t="str">
        <f t="shared" si="333"/>
        <v>Higher</v>
      </c>
      <c r="M835" s="2" t="str">
        <f t="shared" si="334"/>
        <v>Higher</v>
      </c>
      <c r="N835" s="2" t="str">
        <f t="shared" si="335"/>
        <v>Higher</v>
      </c>
      <c r="O835" s="2" t="str">
        <f t="shared" si="336"/>
        <v>Higher</v>
      </c>
      <c r="P835" s="2" t="str">
        <f t="shared" si="337"/>
        <v>Higher</v>
      </c>
      <c r="X835" s="4">
        <f>DATE(2021,5,19)</f>
        <v>44335</v>
      </c>
      <c r="Y835">
        <v>27.315866175973131</v>
      </c>
      <c r="Z835">
        <v>30.587327728735303</v>
      </c>
      <c r="AA835">
        <v>50.245000000000005</v>
      </c>
      <c r="AB835">
        <v>23.006250000000001</v>
      </c>
      <c r="AC835">
        <f t="shared" si="338"/>
        <v>-8.659665604940224E-2</v>
      </c>
      <c r="AD835">
        <f t="shared" si="338"/>
        <v>-0.13275684661242029</v>
      </c>
      <c r="AE835">
        <f t="shared" si="339"/>
        <v>-4.6160190563018053E-2</v>
      </c>
      <c r="AF835">
        <f t="shared" si="340"/>
        <v>-0.68212490482087307</v>
      </c>
      <c r="AH835">
        <f t="shared" si="341"/>
        <v>9.3172948940347722E-2</v>
      </c>
      <c r="AI835">
        <f t="shared" si="341"/>
        <v>8.7441194472032774E-2</v>
      </c>
      <c r="AJ835">
        <f t="shared" si="342"/>
        <v>-5.7317544683149479E-3</v>
      </c>
      <c r="AK835">
        <f t="shared" si="343"/>
        <v>-0.26698951859071668</v>
      </c>
      <c r="AM835">
        <f t="shared" si="344"/>
        <v>0.25424723220539774</v>
      </c>
      <c r="AN835">
        <f t="shared" si="344"/>
        <v>0.34475419632863691</v>
      </c>
      <c r="AO835">
        <f t="shared" si="345"/>
        <v>9.0506964123239164E-2</v>
      </c>
      <c r="AP835">
        <f t="shared" si="346"/>
        <v>9.1026037610423077E-2</v>
      </c>
      <c r="AR835">
        <f t="shared" si="347"/>
        <v>0.66276460055080211</v>
      </c>
      <c r="AS835">
        <f t="shared" si="348"/>
        <v>1.1716300146565826</v>
      </c>
      <c r="AT835">
        <f t="shared" si="349"/>
        <v>0.50886541410578046</v>
      </c>
      <c r="AU835">
        <f t="shared" si="350"/>
        <v>2.5202929689127966</v>
      </c>
    </row>
    <row r="836" spans="1:47" x14ac:dyDescent="0.25">
      <c r="A836" s="4">
        <f>DATE(2021,5,18)</f>
        <v>44334</v>
      </c>
      <c r="B836">
        <v>0.32641066827179976</v>
      </c>
      <c r="C836">
        <v>63.011726887979066</v>
      </c>
      <c r="D836">
        <v>0.70285042028125599</v>
      </c>
      <c r="E836">
        <f t="shared" si="326"/>
        <v>1.1198602181284991</v>
      </c>
      <c r="F836">
        <f t="shared" si="327"/>
        <v>-0.18904579033185881</v>
      </c>
      <c r="G836">
        <f t="shared" si="328"/>
        <v>-0.49737109030943844</v>
      </c>
      <c r="H836" s="2" t="str">
        <f t="shared" si="329"/>
        <v>Higher</v>
      </c>
      <c r="I836" s="2" t="str">
        <f t="shared" si="330"/>
        <v>Higher</v>
      </c>
      <c r="J836" s="2" t="str">
        <f t="shared" si="331"/>
        <v>Higher</v>
      </c>
      <c r="K836" s="2" t="str">
        <f t="shared" si="332"/>
        <v>Higher</v>
      </c>
      <c r="L836" s="2" t="str">
        <f t="shared" si="333"/>
        <v>Higher</v>
      </c>
      <c r="M836" s="2" t="str">
        <f t="shared" si="334"/>
        <v>Higher</v>
      </c>
      <c r="N836" s="2" t="str">
        <f t="shared" si="335"/>
        <v>Higher</v>
      </c>
      <c r="O836" s="2" t="str">
        <f t="shared" si="336"/>
        <v>Higher</v>
      </c>
      <c r="P836" s="2" t="str">
        <f t="shared" si="337"/>
        <v>Higher</v>
      </c>
      <c r="X836" s="4">
        <f>DATE(2021,5,18)</f>
        <v>44334</v>
      </c>
      <c r="Y836">
        <v>32.715454980683653</v>
      </c>
      <c r="Z836">
        <v>36.352140493923649</v>
      </c>
      <c r="AA836">
        <v>53.762500000000003</v>
      </c>
      <c r="AB836">
        <v>25.009999999999998</v>
      </c>
      <c r="AC836">
        <f t="shared" si="338"/>
        <v>1.9486471745016498E-2</v>
      </c>
      <c r="AD836">
        <f t="shared" si="338"/>
        <v>-2.2877056883166425E-2</v>
      </c>
      <c r="AE836">
        <f t="shared" si="339"/>
        <v>-4.236352862818292E-2</v>
      </c>
      <c r="AF836">
        <f t="shared" si="340"/>
        <v>-0.64584443081239462</v>
      </c>
      <c r="AH836">
        <f t="shared" si="341"/>
        <v>0.18426718231171027</v>
      </c>
      <c r="AI836">
        <f t="shared" si="341"/>
        <v>0.1730880278470433</v>
      </c>
      <c r="AJ836">
        <f t="shared" si="342"/>
        <v>-1.1179154464666968E-2</v>
      </c>
      <c r="AK836">
        <f t="shared" si="343"/>
        <v>-0.29415616744415335</v>
      </c>
      <c r="AM836">
        <f t="shared" si="344"/>
        <v>0.33716999220249355</v>
      </c>
      <c r="AN836">
        <f t="shared" si="344"/>
        <v>0.43195236289280969</v>
      </c>
      <c r="AO836">
        <f t="shared" si="345"/>
        <v>9.4782370690316142E-2</v>
      </c>
      <c r="AP836">
        <f t="shared" si="346"/>
        <v>0.10326863404182453</v>
      </c>
      <c r="AR836">
        <f t="shared" si="347"/>
        <v>0.71073881516767967</v>
      </c>
      <c r="AS836">
        <f t="shared" si="348"/>
        <v>1.1983906526697155</v>
      </c>
      <c r="AT836">
        <f t="shared" si="349"/>
        <v>0.48765183750203578</v>
      </c>
      <c r="AU836">
        <f t="shared" si="350"/>
        <v>2.3806923770937956</v>
      </c>
    </row>
    <row r="837" spans="1:47" x14ac:dyDescent="0.25">
      <c r="A837" s="4">
        <f>DATE(2021,5,17)</f>
        <v>44333</v>
      </c>
      <c r="B837">
        <v>0.59903964875852855</v>
      </c>
      <c r="C837">
        <v>82.030128884950841</v>
      </c>
      <c r="D837">
        <v>0.96197827094846788</v>
      </c>
      <c r="E837">
        <f t="shared" ref="E837:E900" si="351">(B837-AVERAGE(B837:B966))/_xlfn.STDEV.S(B837:B966)</f>
        <v>2.365897251249983</v>
      </c>
      <c r="F837">
        <f t="shared" ref="F837:F900" si="352">(C837-AVERAGE(C837:C966))/_xlfn.STDEV.S(C837:C966)</f>
        <v>2.1269910587531879</v>
      </c>
      <c r="G837">
        <f t="shared" ref="G837:G900" si="353">(D837-AVERAGE(D837:D966))/_xlfn.STDEV.S(D837:D966)</f>
        <v>0.71618741097191119</v>
      </c>
      <c r="H837" s="2" t="str">
        <f t="shared" ref="H837:H900" si="354">IF(AVERAGEA(C837:C857)&gt;AVERAGE(C858:C878),"Higher","Lower")</f>
        <v>Higher</v>
      </c>
      <c r="I837" s="2" t="str">
        <f t="shared" ref="I837:I900" si="355">IF(AVERAGEA(C837:C892)&gt;AVERAGE(C893:C948),"Higher","Lower")</f>
        <v>Higher</v>
      </c>
      <c r="J837" s="2" t="str">
        <f t="shared" ref="J837:J900" si="356">IF(AVERAGEA(C837:C949)&gt;AVERAGE(C950:C1062),"Higher","Lower")</f>
        <v>Higher</v>
      </c>
      <c r="K837" s="2" t="str">
        <f t="shared" ref="K837:K900" si="357">IF(AVERAGEA(B837:B857)&gt;AVERAGE(B858:B878),"Higher","Lower")</f>
        <v>Higher</v>
      </c>
      <c r="L837" s="2" t="str">
        <f t="shared" ref="L837:L900" si="358">IF(AVERAGEA(B837:B892)&gt;AVERAGE(B893:B948),"Higher","Lower")</f>
        <v>Higher</v>
      </c>
      <c r="M837" s="2" t="str">
        <f t="shared" ref="M837:M900" si="359">IF(AVERAGEA(B837:B949)&gt;AVERAGE(B950:B1062),"Higher","Lower")</f>
        <v>Higher</v>
      </c>
      <c r="N837" s="2" t="str">
        <f t="shared" ref="N837:N900" si="360">IF(AVERAGEA(D837:D857)&gt;AVERAGE(D858:D878),"Higher","Lower")</f>
        <v>Higher</v>
      </c>
      <c r="O837" s="2" t="str">
        <f t="shared" ref="O837:O900" si="361">IF(AVERAGEA(D837:D892)&gt;AVERAGE(D893:D948),"Higher","Lower")</f>
        <v>Higher</v>
      </c>
      <c r="P837" s="2" t="str">
        <f t="shared" ref="P837:P900" si="362">IF(AVERAGEA(D837:D949)&gt;AVERAGE(D950:D1062),"Higher","Lower")</f>
        <v>Higher</v>
      </c>
      <c r="X837" s="4">
        <f>DATE(2021,5,17)</f>
        <v>44333</v>
      </c>
      <c r="Y837">
        <v>39.33684121917107</v>
      </c>
      <c r="Z837">
        <v>41.788138994747001</v>
      </c>
      <c r="AA837">
        <v>56.18</v>
      </c>
      <c r="AB837">
        <v>26.237499999999997</v>
      </c>
      <c r="AC837">
        <f t="shared" ref="AC837:AD900" si="363">IFERROR(LN(AA837/AA842),"")</f>
        <v>7.6788396730668562E-2</v>
      </c>
      <c r="AD837">
        <f t="shared" si="363"/>
        <v>4.4272039452218755E-2</v>
      </c>
      <c r="AE837">
        <f t="shared" ref="AE837:AE900" si="364">IFERROR(AD837-AC837,"")</f>
        <v>-3.2516357278449808E-2</v>
      </c>
      <c r="AF837">
        <f t="shared" ref="AF837:AF900" si="365">IFERROR((AE837-AVERAGEA(AE837:AE1359))/_xlfn.STDEV.S(AE837:AE1354),"")</f>
        <v>-0.54797238169662621</v>
      </c>
      <c r="AH837">
        <f t="shared" ref="AH837:AI900" si="366">IFERROR(LN(AA837/AA857),"")</f>
        <v>0.23588457388051767</v>
      </c>
      <c r="AI837">
        <f t="shared" si="366"/>
        <v>0.22445455799742414</v>
      </c>
      <c r="AJ837">
        <f t="shared" ref="AJ837:AJ900" si="367">IFERROR(AI837-AH837,"")</f>
        <v>-1.1430015883093531E-2</v>
      </c>
      <c r="AK837">
        <f t="shared" ref="AK837:AK900" si="368">IFERROR((AJ837-AVERAGEA(AJ837:AJ1359))/_xlfn.STDEV.S(AJ837:AJ1354),"")</f>
        <v>-0.29604110076407925</v>
      </c>
      <c r="AM837">
        <f t="shared" ref="AM837:AN900" si="369">IFERROR(LN(AA837/AA897),"")</f>
        <v>0.40042709046103631</v>
      </c>
      <c r="AN837">
        <f t="shared" si="369"/>
        <v>0.49467909095888679</v>
      </c>
      <c r="AO837">
        <f t="shared" ref="AO837:AO900" si="370">IFERROR(AN837-AM837,"")</f>
        <v>9.4252000497850486E-2</v>
      </c>
      <c r="AP837">
        <f t="shared" ref="AP837:AP900" si="371">IFERROR((AO837-AVERAGEA(AO837:AO1359))/_xlfn.STDEV.S(AO837:AO1354),"")</f>
        <v>0.10188625369275561</v>
      </c>
      <c r="AR837">
        <f t="shared" ref="AR837:AR900" si="372">IFERROR(LN(AA837/AA1037),"")</f>
        <v>0.74193289475707835</v>
      </c>
      <c r="AS837">
        <f t="shared" ref="AS837:AS900" si="373">IFERROR(LN(AB837/AB1037),"")</f>
        <v>1.2178852378871543</v>
      </c>
      <c r="AT837">
        <f t="shared" ref="AT837:AT900" si="374">IFERROR(AS837-AR837,"")</f>
        <v>0.47595234313007595</v>
      </c>
      <c r="AU837">
        <f t="shared" ref="AU837:AU900" si="375">IFERROR((AT837-AVERAGEA(AT837:AT1359))/_xlfn.STDEV.S(AT837:AT1354),"")</f>
        <v>2.3256660587822768</v>
      </c>
    </row>
    <row r="838" spans="1:47" x14ac:dyDescent="0.25">
      <c r="A838" s="4">
        <f>DATE(2021,5,14)</f>
        <v>44330</v>
      </c>
      <c r="B838">
        <v>0.61521207626590213</v>
      </c>
      <c r="C838">
        <v>84.2691120312777</v>
      </c>
      <c r="D838">
        <v>1.0465528657505998</v>
      </c>
      <c r="E838">
        <f t="shared" si="351"/>
        <v>2.4878033798614294</v>
      </c>
      <c r="F838">
        <f t="shared" si="352"/>
        <v>2.4621690850867544</v>
      </c>
      <c r="G838">
        <f t="shared" si="353"/>
        <v>1.1109258432383713</v>
      </c>
      <c r="H838" s="2" t="str">
        <f t="shared" si="354"/>
        <v>Higher</v>
      </c>
      <c r="I838" s="2" t="str">
        <f t="shared" si="355"/>
        <v>Higher</v>
      </c>
      <c r="J838" s="2" t="str">
        <f t="shared" si="356"/>
        <v>Higher</v>
      </c>
      <c r="K838" s="2" t="str">
        <f t="shared" si="357"/>
        <v>Higher</v>
      </c>
      <c r="L838" s="2" t="str">
        <f t="shared" si="358"/>
        <v>Higher</v>
      </c>
      <c r="M838" s="2" t="str">
        <f t="shared" si="359"/>
        <v>Higher</v>
      </c>
      <c r="N838" s="2" t="str">
        <f t="shared" si="360"/>
        <v>Higher</v>
      </c>
      <c r="O838" s="2" t="str">
        <f t="shared" si="361"/>
        <v>Higher</v>
      </c>
      <c r="P838" s="2" t="str">
        <f t="shared" si="362"/>
        <v>Higher</v>
      </c>
      <c r="X838" s="4">
        <f>DATE(2021,5,14)</f>
        <v>44330</v>
      </c>
      <c r="Y838">
        <v>42.124122935327826</v>
      </c>
      <c r="Z838">
        <v>46.135926541878163</v>
      </c>
      <c r="AA838">
        <v>56.192499999999995</v>
      </c>
      <c r="AB838">
        <v>26.721249999999998</v>
      </c>
      <c r="AC838">
        <f t="shared" si="363"/>
        <v>0.10973502567194583</v>
      </c>
      <c r="AD838">
        <f t="shared" si="363"/>
        <v>0.10761365370114445</v>
      </c>
      <c r="AE838">
        <f t="shared" si="364"/>
        <v>-2.1213719708013806E-3</v>
      </c>
      <c r="AF838">
        <f t="shared" si="365"/>
        <v>-0.24146854067895346</v>
      </c>
      <c r="AH838">
        <f t="shared" si="366"/>
        <v>0.23306941300908227</v>
      </c>
      <c r="AI838">
        <f t="shared" si="366"/>
        <v>0.26041080112330928</v>
      </c>
      <c r="AJ838">
        <f t="shared" si="367"/>
        <v>2.7341388114227011E-2</v>
      </c>
      <c r="AK838">
        <f t="shared" si="368"/>
        <v>-0.10847847945429895</v>
      </c>
      <c r="AM838">
        <f t="shared" si="369"/>
        <v>0.39885798476657958</v>
      </c>
      <c r="AN838">
        <f t="shared" si="369"/>
        <v>0.46668780600922088</v>
      </c>
      <c r="AO838">
        <f t="shared" si="370"/>
        <v>6.7829821242641308E-2</v>
      </c>
      <c r="AP838">
        <f t="shared" si="371"/>
        <v>2.7527960578563264E-2</v>
      </c>
      <c r="AR838">
        <f t="shared" si="372"/>
        <v>0.7559876291792138</v>
      </c>
      <c r="AS838">
        <f t="shared" si="373"/>
        <v>1.2151214015809879</v>
      </c>
      <c r="AT838">
        <f t="shared" si="374"/>
        <v>0.45913377240177411</v>
      </c>
      <c r="AU838">
        <f t="shared" si="375"/>
        <v>2.2854290674045918</v>
      </c>
    </row>
    <row r="839" spans="1:47" x14ac:dyDescent="0.25">
      <c r="A839" s="4">
        <f>DATE(2021,5,13)</f>
        <v>44329</v>
      </c>
      <c r="B839">
        <v>0.52442674853544347</v>
      </c>
      <c r="C839">
        <v>80.895146446941553</v>
      </c>
      <c r="D839">
        <v>0.9691575037022232</v>
      </c>
      <c r="E839">
        <f t="shared" si="351"/>
        <v>2.119883997832261</v>
      </c>
      <c r="F839">
        <f t="shared" si="352"/>
        <v>2.1153638876680154</v>
      </c>
      <c r="G839">
        <f t="shared" si="353"/>
        <v>0.75903345638455177</v>
      </c>
      <c r="H839" s="2" t="str">
        <f t="shared" si="354"/>
        <v>Higher</v>
      </c>
      <c r="I839" s="2" t="str">
        <f t="shared" si="355"/>
        <v>Higher</v>
      </c>
      <c r="J839" s="2" t="str">
        <f t="shared" si="356"/>
        <v>Higher</v>
      </c>
      <c r="K839" s="2" t="str">
        <f t="shared" si="357"/>
        <v>Higher</v>
      </c>
      <c r="L839" s="2" t="str">
        <f t="shared" si="358"/>
        <v>Higher</v>
      </c>
      <c r="M839" s="2" t="str">
        <f t="shared" si="359"/>
        <v>Higher</v>
      </c>
      <c r="N839" s="2" t="str">
        <f t="shared" si="360"/>
        <v>Higher</v>
      </c>
      <c r="O839" s="2" t="str">
        <f t="shared" si="361"/>
        <v>Higher</v>
      </c>
      <c r="P839" s="2" t="str">
        <f t="shared" si="362"/>
        <v>Higher</v>
      </c>
      <c r="X839" s="4">
        <f>DATE(2021,5,13)</f>
        <v>44329</v>
      </c>
      <c r="Y839">
        <v>38.453913937185682</v>
      </c>
      <c r="Z839">
        <v>43.546796331235292</v>
      </c>
      <c r="AA839">
        <v>54.34</v>
      </c>
      <c r="AB839">
        <v>25.943750000000001</v>
      </c>
      <c r="AC839">
        <f t="shared" si="363"/>
        <v>8.5490133623349521E-2</v>
      </c>
      <c r="AD839">
        <f t="shared" si="363"/>
        <v>5.9914202097093867E-2</v>
      </c>
      <c r="AE839">
        <f t="shared" si="364"/>
        <v>-2.5575931526255653E-2</v>
      </c>
      <c r="AF839">
        <f t="shared" si="365"/>
        <v>-0.47924502405476965</v>
      </c>
      <c r="AH839">
        <f t="shared" si="366"/>
        <v>0.20738459131293835</v>
      </c>
      <c r="AI839">
        <f t="shared" si="366"/>
        <v>0.25080521424862612</v>
      </c>
      <c r="AJ839">
        <f t="shared" si="367"/>
        <v>4.3420622935687769E-2</v>
      </c>
      <c r="AK839">
        <f t="shared" si="368"/>
        <v>-3.0849567078159012E-2</v>
      </c>
      <c r="AM839">
        <f t="shared" si="369"/>
        <v>0.34948439030177153</v>
      </c>
      <c r="AN839">
        <f t="shared" si="369"/>
        <v>0.41029486876443866</v>
      </c>
      <c r="AO839">
        <f t="shared" si="370"/>
        <v>6.0810478462667128E-2</v>
      </c>
      <c r="AP839">
        <f t="shared" si="371"/>
        <v>7.8466838588509506E-3</v>
      </c>
      <c r="AR839">
        <f t="shared" si="372"/>
        <v>0.71359779103123611</v>
      </c>
      <c r="AS839">
        <f t="shared" si="373"/>
        <v>1.1897010851116065</v>
      </c>
      <c r="AT839">
        <f t="shared" si="374"/>
        <v>0.47610329408037044</v>
      </c>
      <c r="AU839">
        <f t="shared" si="375"/>
        <v>2.5318516170884906</v>
      </c>
    </row>
    <row r="840" spans="1:47" x14ac:dyDescent="0.25">
      <c r="A840" s="4">
        <f>DATE(2021,5,12)</f>
        <v>44328</v>
      </c>
      <c r="B840">
        <v>0.52431699908260487</v>
      </c>
      <c r="C840">
        <v>87.598855914177292</v>
      </c>
      <c r="D840">
        <v>1.1076295898442028</v>
      </c>
      <c r="E840">
        <f t="shared" si="351"/>
        <v>2.1533515356697897</v>
      </c>
      <c r="F840">
        <f t="shared" si="352"/>
        <v>3.0209885945977626</v>
      </c>
      <c r="G840">
        <f t="shared" si="353"/>
        <v>1.4225176596779476</v>
      </c>
      <c r="H840" s="2" t="str">
        <f t="shared" si="354"/>
        <v>Higher</v>
      </c>
      <c r="I840" s="2" t="str">
        <f t="shared" si="355"/>
        <v>Higher</v>
      </c>
      <c r="J840" s="2" t="str">
        <f t="shared" si="356"/>
        <v>Higher</v>
      </c>
      <c r="K840" s="2" t="str">
        <f t="shared" si="357"/>
        <v>Higher</v>
      </c>
      <c r="L840" s="2" t="str">
        <f t="shared" si="358"/>
        <v>Lower</v>
      </c>
      <c r="M840" s="2" t="str">
        <f t="shared" si="359"/>
        <v>Higher</v>
      </c>
      <c r="N840" s="2" t="str">
        <f t="shared" si="360"/>
        <v>Higher</v>
      </c>
      <c r="O840" s="2" t="str">
        <f t="shared" si="361"/>
        <v>Higher</v>
      </c>
      <c r="P840" s="2" t="str">
        <f t="shared" si="362"/>
        <v>Higher</v>
      </c>
      <c r="X840" s="4">
        <f>DATE(2021,5,12)</f>
        <v>44328</v>
      </c>
      <c r="Y840">
        <v>42.755087433336605</v>
      </c>
      <c r="Z840">
        <v>49.552267519596214</v>
      </c>
      <c r="AA840">
        <v>54.79</v>
      </c>
      <c r="AB840">
        <v>26.272500000000001</v>
      </c>
      <c r="AC840">
        <f t="shared" si="363"/>
        <v>0.10685216725330007</v>
      </c>
      <c r="AD840">
        <f t="shared" si="363"/>
        <v>9.8732147579905047E-2</v>
      </c>
      <c r="AE840">
        <f t="shared" si="364"/>
        <v>-8.1200196733950264E-3</v>
      </c>
      <c r="AF840">
        <f t="shared" si="365"/>
        <v>-0.3044162266981314</v>
      </c>
      <c r="AH840">
        <f t="shared" si="366"/>
        <v>0.22347441458513045</v>
      </c>
      <c r="AI840">
        <f t="shared" si="366"/>
        <v>0.28872934250513244</v>
      </c>
      <c r="AJ840">
        <f t="shared" si="367"/>
        <v>6.5254927920001982E-2</v>
      </c>
      <c r="AK840">
        <f t="shared" si="368"/>
        <v>7.4499493745238135E-2</v>
      </c>
      <c r="AM840">
        <f t="shared" si="369"/>
        <v>0.3551898531925109</v>
      </c>
      <c r="AN840">
        <f t="shared" si="369"/>
        <v>0.45341349136199666</v>
      </c>
      <c r="AO840">
        <f t="shared" si="370"/>
        <v>9.8223638169485761E-2</v>
      </c>
      <c r="AP840">
        <f t="shared" si="371"/>
        <v>0.1125404674895979</v>
      </c>
      <c r="AR840">
        <f t="shared" si="372"/>
        <v>0.71716015556711099</v>
      </c>
      <c r="AS840">
        <f t="shared" si="373"/>
        <v>1.2763767313379659</v>
      </c>
      <c r="AT840">
        <f t="shared" si="374"/>
        <v>0.55921657577085493</v>
      </c>
      <c r="AU840">
        <f t="shared" si="375"/>
        <v>3.3519548299056541</v>
      </c>
    </row>
    <row r="841" spans="1:47" x14ac:dyDescent="0.25">
      <c r="A841" s="4">
        <f>DATE(2021,5,11)</f>
        <v>44327</v>
      </c>
      <c r="B841">
        <v>0.36635589089854603</v>
      </c>
      <c r="C841">
        <v>84.274876903612565</v>
      </c>
      <c r="D841">
        <v>1.0206829685627088</v>
      </c>
      <c r="E841">
        <f t="shared" si="351"/>
        <v>1.417023539193369</v>
      </c>
      <c r="F841">
        <f t="shared" si="352"/>
        <v>2.7169352473517749</v>
      </c>
      <c r="G841">
        <f t="shared" si="353"/>
        <v>1.0288161803476192</v>
      </c>
      <c r="H841" s="2" t="str">
        <f t="shared" si="354"/>
        <v>Higher</v>
      </c>
      <c r="I841" s="2" t="str">
        <f t="shared" si="355"/>
        <v>Higher</v>
      </c>
      <c r="J841" s="2" t="str">
        <f t="shared" si="356"/>
        <v>Higher</v>
      </c>
      <c r="K841" s="2" t="str">
        <f t="shared" si="357"/>
        <v>Higher</v>
      </c>
      <c r="L841" s="2" t="str">
        <f t="shared" si="358"/>
        <v>Lower</v>
      </c>
      <c r="M841" s="2" t="str">
        <f t="shared" si="359"/>
        <v>Higher</v>
      </c>
      <c r="N841" s="2" t="str">
        <f t="shared" si="360"/>
        <v>Higher</v>
      </c>
      <c r="O841" s="2" t="str">
        <f t="shared" si="361"/>
        <v>Higher</v>
      </c>
      <c r="P841" s="2" t="str">
        <f t="shared" si="362"/>
        <v>Higher</v>
      </c>
      <c r="X841" s="4">
        <f>DATE(2021,5,11)</f>
        <v>44327</v>
      </c>
      <c r="Y841">
        <v>37.26980864643258</v>
      </c>
      <c r="Z841">
        <v>48.302393945576185</v>
      </c>
      <c r="AA841">
        <v>52.724999999999994</v>
      </c>
      <c r="AB841">
        <v>25.588750000000001</v>
      </c>
      <c r="AC841">
        <f t="shared" si="363"/>
        <v>7.4954520694721458E-2</v>
      </c>
      <c r="AD841">
        <f t="shared" si="363"/>
        <v>9.3699441201039138E-2</v>
      </c>
      <c r="AE841">
        <f t="shared" si="364"/>
        <v>1.874492050631768E-2</v>
      </c>
      <c r="AF841">
        <f t="shared" si="365"/>
        <v>-3.4649864090502122E-2</v>
      </c>
      <c r="AH841">
        <f t="shared" si="366"/>
        <v>0.18027528767773487</v>
      </c>
      <c r="AI841">
        <f t="shared" si="366"/>
        <v>0.26738883465489932</v>
      </c>
      <c r="AJ841">
        <f t="shared" si="367"/>
        <v>8.7113546977164447E-2</v>
      </c>
      <c r="AK841">
        <f t="shared" si="368"/>
        <v>0.17986979655809793</v>
      </c>
      <c r="AM841">
        <f t="shared" si="369"/>
        <v>0.29513828213642074</v>
      </c>
      <c r="AN841">
        <f t="shared" si="369"/>
        <v>0.42779253597706957</v>
      </c>
      <c r="AO841">
        <f t="shared" si="370"/>
        <v>0.13265425384064883</v>
      </c>
      <c r="AP841">
        <f t="shared" si="371"/>
        <v>0.20864966013409003</v>
      </c>
      <c r="AR841">
        <f t="shared" si="372"/>
        <v>0.68220677152234499</v>
      </c>
      <c r="AS841">
        <f t="shared" si="373"/>
        <v>1.2520549001494004</v>
      </c>
      <c r="AT841">
        <f t="shared" si="374"/>
        <v>0.56984812862705536</v>
      </c>
      <c r="AU841">
        <f t="shared" si="375"/>
        <v>3.7071215126410029</v>
      </c>
    </row>
    <row r="842" spans="1:47" x14ac:dyDescent="0.25">
      <c r="A842" s="4">
        <f>DATE(2021,5,10)</f>
        <v>44326</v>
      </c>
      <c r="B842">
        <v>0.28832150306273507</v>
      </c>
      <c r="C842">
        <v>82.72898027303296</v>
      </c>
      <c r="D842">
        <v>1.0226502843191114</v>
      </c>
      <c r="E842">
        <f t="shared" si="351"/>
        <v>1.0378968401505935</v>
      </c>
      <c r="F842">
        <f t="shared" si="352"/>
        <v>2.6097043931195252</v>
      </c>
      <c r="G842">
        <f t="shared" si="353"/>
        <v>1.0464874612884938</v>
      </c>
      <c r="H842" s="2" t="str">
        <f t="shared" si="354"/>
        <v>Higher</v>
      </c>
      <c r="I842" s="2" t="str">
        <f t="shared" si="355"/>
        <v>Higher</v>
      </c>
      <c r="J842" s="2" t="str">
        <f t="shared" si="356"/>
        <v>Higher</v>
      </c>
      <c r="K842" s="2" t="str">
        <f t="shared" si="357"/>
        <v>Higher</v>
      </c>
      <c r="L842" s="2" t="str">
        <f t="shared" si="358"/>
        <v>Lower</v>
      </c>
      <c r="M842" s="2" t="str">
        <f t="shared" si="359"/>
        <v>Higher</v>
      </c>
      <c r="N842" s="2" t="str">
        <f t="shared" si="360"/>
        <v>Higher</v>
      </c>
      <c r="O842" s="2" t="str">
        <f t="shared" si="361"/>
        <v>Higher</v>
      </c>
      <c r="P842" s="2" t="str">
        <f t="shared" si="362"/>
        <v>Higher</v>
      </c>
      <c r="X842" s="4">
        <f>DATE(2021,5,10)</f>
        <v>44326</v>
      </c>
      <c r="Y842">
        <v>37.82399723898282</v>
      </c>
      <c r="Z842">
        <v>46.405291471565093</v>
      </c>
      <c r="AA842">
        <v>52.027500000000003</v>
      </c>
      <c r="AB842">
        <v>25.10125</v>
      </c>
      <c r="AC842">
        <f t="shared" si="363"/>
        <v>5.182200075155223E-2</v>
      </c>
      <c r="AD842">
        <f t="shared" si="363"/>
        <v>5.2602011441708681E-2</v>
      </c>
      <c r="AE842">
        <f t="shared" si="364"/>
        <v>7.8001069015645047E-4</v>
      </c>
      <c r="AF842">
        <f t="shared" si="365"/>
        <v>-0.21514556484899433</v>
      </c>
      <c r="AH842">
        <f t="shared" si="366"/>
        <v>0.16129577759677879</v>
      </c>
      <c r="AI842">
        <f t="shared" si="366"/>
        <v>0.24885599305093684</v>
      </c>
      <c r="AJ842">
        <f t="shared" si="367"/>
        <v>8.7560215454158041E-2</v>
      </c>
      <c r="AK842">
        <f t="shared" si="368"/>
        <v>0.18237781026376459</v>
      </c>
      <c r="AM842">
        <f t="shared" si="369"/>
        <v>0.26847099914555439</v>
      </c>
      <c r="AN842" t="str">
        <f t="shared" si="369"/>
        <v/>
      </c>
      <c r="AO842" t="str">
        <f t="shared" si="370"/>
        <v/>
      </c>
      <c r="AP842" t="str">
        <f t="shared" si="371"/>
        <v/>
      </c>
      <c r="AR842">
        <f t="shared" si="372"/>
        <v>0.69098719700001865</v>
      </c>
      <c r="AS842">
        <f t="shared" si="373"/>
        <v>1.3159710999909155</v>
      </c>
      <c r="AT842">
        <f t="shared" si="374"/>
        <v>0.6249839029908969</v>
      </c>
      <c r="AU842">
        <f t="shared" si="375"/>
        <v>4.9797064320087863</v>
      </c>
    </row>
    <row r="843" spans="1:47" x14ac:dyDescent="0.25">
      <c r="A843" s="4">
        <f>DATE(2021,5,7)</f>
        <v>44323</v>
      </c>
      <c r="B843">
        <v>0.19701030683905829</v>
      </c>
      <c r="C843">
        <v>78.490423355012524</v>
      </c>
      <c r="D843">
        <v>0.91661756028235519</v>
      </c>
      <c r="E843">
        <f t="shared" si="351"/>
        <v>0.59080083844531373</v>
      </c>
      <c r="F843">
        <f t="shared" si="352"/>
        <v>2.1170613566933327</v>
      </c>
      <c r="G843">
        <f t="shared" si="353"/>
        <v>0.53934578470142702</v>
      </c>
      <c r="H843" s="2" t="str">
        <f t="shared" si="354"/>
        <v>Higher</v>
      </c>
      <c r="I843" s="2" t="str">
        <f t="shared" si="355"/>
        <v>Higher</v>
      </c>
      <c r="J843" s="2" t="str">
        <f t="shared" si="356"/>
        <v>Higher</v>
      </c>
      <c r="K843" s="2" t="str">
        <f t="shared" si="357"/>
        <v>Higher</v>
      </c>
      <c r="L843" s="2" t="str">
        <f t="shared" si="358"/>
        <v>Lower</v>
      </c>
      <c r="M843" s="2" t="str">
        <f t="shared" si="359"/>
        <v>Higher</v>
      </c>
      <c r="N843" s="2" t="str">
        <f t="shared" si="360"/>
        <v>Higher</v>
      </c>
      <c r="O843" s="2" t="str">
        <f t="shared" si="361"/>
        <v>Higher</v>
      </c>
      <c r="P843" s="2" t="str">
        <f t="shared" si="362"/>
        <v>Higher</v>
      </c>
      <c r="X843" s="4">
        <f>DATE(2021,5,7)</f>
        <v>44323</v>
      </c>
      <c r="Y843">
        <v>32.926874165825673</v>
      </c>
      <c r="Z843">
        <v>42.394908021424484</v>
      </c>
      <c r="AA843">
        <v>50.352499999999999</v>
      </c>
      <c r="AB843">
        <v>23.995000000000001</v>
      </c>
      <c r="AC843">
        <f t="shared" si="363"/>
        <v>3.367729593417973E-2</v>
      </c>
      <c r="AD843">
        <f t="shared" si="363"/>
        <v>3.5634735377493523E-2</v>
      </c>
      <c r="AE843">
        <f t="shared" si="364"/>
        <v>1.9574394433137937E-3</v>
      </c>
      <c r="AF843">
        <f t="shared" si="365"/>
        <v>-0.20385859814735424</v>
      </c>
      <c r="AH843">
        <f t="shared" si="366"/>
        <v>0.14490897230013955</v>
      </c>
      <c r="AI843">
        <f t="shared" si="366"/>
        <v>0.23150041912644514</v>
      </c>
      <c r="AJ843">
        <f t="shared" si="367"/>
        <v>8.6591446826305596E-2</v>
      </c>
      <c r="AK843">
        <f t="shared" si="368"/>
        <v>0.17811153627789805</v>
      </c>
      <c r="AM843">
        <f t="shared" si="369"/>
        <v>0.24687000797437378</v>
      </c>
      <c r="AN843">
        <f t="shared" si="369"/>
        <v>0.31793292489875269</v>
      </c>
      <c r="AO843">
        <f t="shared" si="370"/>
        <v>7.106291692437891E-2</v>
      </c>
      <c r="AP843">
        <f t="shared" si="371"/>
        <v>3.7047557150318336E-2</v>
      </c>
      <c r="AR843">
        <f t="shared" si="372"/>
        <v>0.6532888595978481</v>
      </c>
      <c r="AS843">
        <f t="shared" si="373"/>
        <v>1.38296587874591</v>
      </c>
      <c r="AT843">
        <f t="shared" si="374"/>
        <v>0.72967701914806193</v>
      </c>
      <c r="AU843">
        <f t="shared" si="375"/>
        <v>9.030148054509084</v>
      </c>
    </row>
    <row r="844" spans="1:47" x14ac:dyDescent="0.25">
      <c r="A844" s="4">
        <f>DATE(2021,5,6)</f>
        <v>44322</v>
      </c>
      <c r="B844">
        <v>0.18993038451878919</v>
      </c>
      <c r="C844">
        <v>76.978885986668857</v>
      </c>
      <c r="D844">
        <v>0.90811644215395493</v>
      </c>
      <c r="E844">
        <f t="shared" si="351"/>
        <v>0.55272365149689084</v>
      </c>
      <c r="F844">
        <f t="shared" si="352"/>
        <v>1.9525002996361931</v>
      </c>
      <c r="G844">
        <f t="shared" si="353"/>
        <v>0.50581160538503245</v>
      </c>
      <c r="H844" s="2" t="str">
        <f t="shared" si="354"/>
        <v>Higher</v>
      </c>
      <c r="I844" s="2" t="str">
        <f t="shared" si="355"/>
        <v>Higher</v>
      </c>
      <c r="J844" s="2" t="str">
        <f t="shared" si="356"/>
        <v>Higher</v>
      </c>
      <c r="K844" s="2" t="str">
        <f t="shared" si="357"/>
        <v>Higher</v>
      </c>
      <c r="L844" s="2" t="str">
        <f t="shared" si="358"/>
        <v>Lower</v>
      </c>
      <c r="M844" s="2" t="str">
        <f t="shared" si="359"/>
        <v>Higher</v>
      </c>
      <c r="N844" s="2" t="str">
        <f t="shared" si="360"/>
        <v>Higher</v>
      </c>
      <c r="O844" s="2" t="str">
        <f t="shared" si="361"/>
        <v>Lower</v>
      </c>
      <c r="P844" s="2" t="str">
        <f t="shared" si="362"/>
        <v>Higher</v>
      </c>
      <c r="X844" s="4">
        <f>DATE(2021,5,6)</f>
        <v>44322</v>
      </c>
      <c r="Y844">
        <v>32.523143704265664</v>
      </c>
      <c r="Z844">
        <v>44.318933681828334</v>
      </c>
      <c r="AA844">
        <v>49.887499999999996</v>
      </c>
      <c r="AB844">
        <v>24.434999999999999</v>
      </c>
      <c r="AC844">
        <f t="shared" si="363"/>
        <v>4.2012881244721516E-2</v>
      </c>
      <c r="AD844">
        <f t="shared" si="363"/>
        <v>9.199054753285929E-2</v>
      </c>
      <c r="AE844">
        <f t="shared" si="364"/>
        <v>4.9977666288137775E-2</v>
      </c>
      <c r="AF844">
        <f t="shared" si="365"/>
        <v>0.27547213511347807</v>
      </c>
      <c r="AH844">
        <f t="shared" si="366"/>
        <v>0.13511477673961911</v>
      </c>
      <c r="AI844">
        <f t="shared" si="366"/>
        <v>0.24626275278478826</v>
      </c>
      <c r="AJ844">
        <f t="shared" si="367"/>
        <v>0.11114797604516916</v>
      </c>
      <c r="AK844">
        <f t="shared" si="368"/>
        <v>0.29567505256978865</v>
      </c>
      <c r="AM844">
        <f t="shared" si="369"/>
        <v>0.24659351361328899</v>
      </c>
      <c r="AN844">
        <f t="shared" si="369"/>
        <v>0.329894775049413</v>
      </c>
      <c r="AO844">
        <f t="shared" si="370"/>
        <v>8.3301261436124013E-2</v>
      </c>
      <c r="AP844">
        <f t="shared" si="371"/>
        <v>7.0953624506183172E-2</v>
      </c>
      <c r="AR844">
        <f t="shared" si="372"/>
        <v>0.66610447669943273</v>
      </c>
      <c r="AS844">
        <f t="shared" si="373"/>
        <v>1.5373123769850996</v>
      </c>
      <c r="AT844">
        <f t="shared" si="374"/>
        <v>0.87120790028566686</v>
      </c>
      <c r="AU844">
        <f t="shared" si="375"/>
        <v>36.890989643206296</v>
      </c>
    </row>
    <row r="845" spans="1:47" x14ac:dyDescent="0.25">
      <c r="A845" s="4">
        <f>DATE(2021,5,5)</f>
        <v>44321</v>
      </c>
      <c r="B845">
        <v>0.19025388239419572</v>
      </c>
      <c r="C845">
        <v>75.43900804592657</v>
      </c>
      <c r="D845">
        <v>0.89904682401748481</v>
      </c>
      <c r="E845">
        <f t="shared" si="351"/>
        <v>0.5519494742273735</v>
      </c>
      <c r="F845">
        <f t="shared" si="352"/>
        <v>1.7803686603703646</v>
      </c>
      <c r="G845">
        <f t="shared" si="353"/>
        <v>0.46318917252352726</v>
      </c>
      <c r="H845" s="2" t="str">
        <f t="shared" si="354"/>
        <v>Higher</v>
      </c>
      <c r="I845" s="2" t="str">
        <f t="shared" si="355"/>
        <v>Higher</v>
      </c>
      <c r="J845" s="2" t="str">
        <f t="shared" si="356"/>
        <v>Higher</v>
      </c>
      <c r="K845" s="2" t="str">
        <f t="shared" si="357"/>
        <v>Higher</v>
      </c>
      <c r="L845" s="2" t="str">
        <f t="shared" si="358"/>
        <v>Lower</v>
      </c>
      <c r="M845" s="2" t="str">
        <f t="shared" si="359"/>
        <v>Higher</v>
      </c>
      <c r="N845" s="2" t="str">
        <f t="shared" si="360"/>
        <v>Higher</v>
      </c>
      <c r="O845" s="2" t="str">
        <f t="shared" si="361"/>
        <v>Lower</v>
      </c>
      <c r="P845" s="2" t="str">
        <f t="shared" si="362"/>
        <v>Higher</v>
      </c>
      <c r="X845" s="4">
        <f>DATE(2021,5,5)</f>
        <v>44321</v>
      </c>
      <c r="Y845">
        <v>28.94379173593315</v>
      </c>
      <c r="Z845">
        <v>38.748965556449328</v>
      </c>
      <c r="AA845">
        <v>49.237499999999997</v>
      </c>
      <c r="AB845">
        <v>23.802500000000002</v>
      </c>
      <c r="AC845">
        <f t="shared" si="363"/>
        <v>2.9316130495518226E-2</v>
      </c>
      <c r="AD845">
        <f t="shared" si="363"/>
        <v>9.3861801629441674E-2</v>
      </c>
      <c r="AE845">
        <f t="shared" si="364"/>
        <v>6.4545671133923455E-2</v>
      </c>
      <c r="AF845">
        <f t="shared" si="365"/>
        <v>0.42132858472977891</v>
      </c>
      <c r="AH845">
        <f t="shared" si="366"/>
        <v>0.11468426222915157</v>
      </c>
      <c r="AI845">
        <f t="shared" si="366"/>
        <v>0.20619421365378893</v>
      </c>
      <c r="AJ845">
        <f t="shared" si="367"/>
        <v>9.1509951424637359E-2</v>
      </c>
      <c r="AK845">
        <f t="shared" si="368"/>
        <v>0.20285138671079384</v>
      </c>
      <c r="AM845">
        <f t="shared" si="369"/>
        <v>0.23347857153546089</v>
      </c>
      <c r="AN845">
        <f t="shared" si="369"/>
        <v>0.2440114974627885</v>
      </c>
      <c r="AO845">
        <f t="shared" si="370"/>
        <v>1.0532925927327602E-2</v>
      </c>
      <c r="AP845">
        <f t="shared" si="371"/>
        <v>-0.12955158579416318</v>
      </c>
      <c r="AR845">
        <f t="shared" si="372"/>
        <v>0.63721374168216183</v>
      </c>
      <c r="AS845">
        <f t="shared" si="373"/>
        <v>1.5295810460768555</v>
      </c>
      <c r="AT845">
        <f t="shared" si="374"/>
        <v>0.89236730439469369</v>
      </c>
      <c r="AU845">
        <f t="shared" si="375"/>
        <v>52.722893043194652</v>
      </c>
    </row>
    <row r="846" spans="1:47" x14ac:dyDescent="0.25">
      <c r="A846" s="4">
        <f>DATE(2021,5,4)</f>
        <v>44320</v>
      </c>
      <c r="B846">
        <v>0.20101751181100935</v>
      </c>
      <c r="C846">
        <v>72.512070224484518</v>
      </c>
      <c r="D846">
        <v>0.8449455242056807</v>
      </c>
      <c r="E846">
        <f t="shared" si="351"/>
        <v>0.60729974820006816</v>
      </c>
      <c r="F846">
        <f t="shared" si="352"/>
        <v>1.3955185098912906</v>
      </c>
      <c r="G846">
        <f t="shared" si="353"/>
        <v>0.21389942760772979</v>
      </c>
      <c r="H846" s="2" t="str">
        <f t="shared" si="354"/>
        <v>Higher</v>
      </c>
      <c r="I846" s="2" t="str">
        <f t="shared" si="355"/>
        <v>Lower</v>
      </c>
      <c r="J846" s="2" t="str">
        <f t="shared" si="356"/>
        <v>Higher</v>
      </c>
      <c r="K846" s="2" t="str">
        <f t="shared" si="357"/>
        <v>Higher</v>
      </c>
      <c r="L846" s="2" t="str">
        <f t="shared" si="358"/>
        <v>Lower</v>
      </c>
      <c r="M846" s="2" t="str">
        <f t="shared" si="359"/>
        <v>Higher</v>
      </c>
      <c r="N846" s="2" t="str">
        <f t="shared" si="360"/>
        <v>Higher</v>
      </c>
      <c r="O846" s="2" t="str">
        <f t="shared" si="361"/>
        <v>Lower</v>
      </c>
      <c r="P846" s="2" t="str">
        <f t="shared" si="362"/>
        <v>Higher</v>
      </c>
      <c r="X846" s="4">
        <f>DATE(2021,5,4)</f>
        <v>44320</v>
      </c>
      <c r="Y846">
        <v>30.671787297165036</v>
      </c>
      <c r="Z846">
        <v>42.424505954976901</v>
      </c>
      <c r="AA846">
        <v>48.917499999999997</v>
      </c>
      <c r="AB846">
        <v>23.3</v>
      </c>
      <c r="AC846">
        <f t="shared" si="363"/>
        <v>3.5529471111921382E-2</v>
      </c>
      <c r="AD846">
        <f t="shared" si="363"/>
        <v>0.10321689211457478</v>
      </c>
      <c r="AE846">
        <f t="shared" si="364"/>
        <v>6.7687421002653403E-2</v>
      </c>
      <c r="AF846">
        <f t="shared" si="365"/>
        <v>0.45369915811872641</v>
      </c>
      <c r="AH846">
        <f t="shared" si="366"/>
        <v>0.10890449049199405</v>
      </c>
      <c r="AI846">
        <f t="shared" si="366"/>
        <v>0.16548976067048501</v>
      </c>
      <c r="AJ846">
        <f t="shared" si="367"/>
        <v>5.6585270178490965E-2</v>
      </c>
      <c r="AK846">
        <f t="shared" si="368"/>
        <v>3.7526896229908756E-2</v>
      </c>
      <c r="AM846">
        <f t="shared" si="369"/>
        <v>0.24729969005758717</v>
      </c>
      <c r="AN846">
        <f t="shared" si="369"/>
        <v>0.20210830438789126</v>
      </c>
      <c r="AO846">
        <f t="shared" si="370"/>
        <v>-4.519138566969591E-2</v>
      </c>
      <c r="AP846">
        <f t="shared" si="371"/>
        <v>-0.28276453868628909</v>
      </c>
      <c r="AR846">
        <f t="shared" si="372"/>
        <v>0.64783586585832786</v>
      </c>
      <c r="AS846">
        <f t="shared" si="373"/>
        <v>1.5556530892905778</v>
      </c>
      <c r="AT846">
        <f t="shared" si="374"/>
        <v>0.90781722343224991</v>
      </c>
      <c r="AU846">
        <f t="shared" si="375"/>
        <v>71.166559918966811</v>
      </c>
    </row>
    <row r="847" spans="1:47" x14ac:dyDescent="0.25">
      <c r="A847" s="4">
        <f>DATE(2021,5,3)</f>
        <v>44319</v>
      </c>
      <c r="B847">
        <v>0.26386541682471254</v>
      </c>
      <c r="C847">
        <v>81.173835729652495</v>
      </c>
      <c r="D847">
        <v>0.99407106513928722</v>
      </c>
      <c r="E847">
        <f t="shared" si="351"/>
        <v>0.91868863020900793</v>
      </c>
      <c r="F847">
        <f t="shared" si="352"/>
        <v>2.6119093746382225</v>
      </c>
      <c r="G847">
        <f t="shared" si="353"/>
        <v>0.9307250319308138</v>
      </c>
      <c r="H847" s="2" t="str">
        <f t="shared" si="354"/>
        <v>Higher</v>
      </c>
      <c r="I847" s="2" t="str">
        <f t="shared" si="355"/>
        <v>Lower</v>
      </c>
      <c r="J847" s="2" t="str">
        <f t="shared" si="356"/>
        <v>Higher</v>
      </c>
      <c r="K847" s="2" t="str">
        <f t="shared" si="357"/>
        <v>Higher</v>
      </c>
      <c r="L847" s="2" t="str">
        <f t="shared" si="358"/>
        <v>Lower</v>
      </c>
      <c r="M847" s="2" t="str">
        <f t="shared" si="359"/>
        <v>Higher</v>
      </c>
      <c r="N847" s="2" t="str">
        <f t="shared" si="360"/>
        <v>Higher</v>
      </c>
      <c r="O847" s="2" t="str">
        <f t="shared" si="361"/>
        <v>Lower</v>
      </c>
      <c r="P847" s="2" t="str">
        <f t="shared" si="362"/>
        <v>Higher</v>
      </c>
      <c r="X847" s="4">
        <f>DATE(2021,5,3)</f>
        <v>44319</v>
      </c>
      <c r="Y847">
        <v>33.93971963162614</v>
      </c>
      <c r="Z847">
        <v>47.499903009157897</v>
      </c>
      <c r="AA847">
        <v>49.4</v>
      </c>
      <c r="AB847">
        <v>23.815000000000001</v>
      </c>
      <c r="AC847">
        <f t="shared" si="363"/>
        <v>4.4444861600902434E-2</v>
      </c>
      <c r="AD847">
        <f t="shared" si="363"/>
        <v>0.16916059053044316</v>
      </c>
      <c r="AE847">
        <f t="shared" si="364"/>
        <v>0.12471572892954072</v>
      </c>
      <c r="AF847">
        <f t="shared" si="365"/>
        <v>1.020775100258059</v>
      </c>
      <c r="AH847">
        <f t="shared" si="366"/>
        <v>0.15115247986869704</v>
      </c>
      <c r="AI847">
        <f t="shared" si="366"/>
        <v>0.21696907719527056</v>
      </c>
      <c r="AJ847">
        <f t="shared" si="367"/>
        <v>6.5816597326573523E-2</v>
      </c>
      <c r="AK847">
        <f t="shared" si="368"/>
        <v>8.128142500736095E-2</v>
      </c>
      <c r="AM847">
        <f t="shared" si="369"/>
        <v>0.23972767932974506</v>
      </c>
      <c r="AN847">
        <f t="shared" si="369"/>
        <v>0.17040460387741596</v>
      </c>
      <c r="AO847">
        <f t="shared" si="370"/>
        <v>-6.9323075452329103E-2</v>
      </c>
      <c r="AP847">
        <f t="shared" si="371"/>
        <v>-0.34928703416816337</v>
      </c>
      <c r="AR847">
        <f t="shared" si="372"/>
        <v>0.66746759591945914</v>
      </c>
      <c r="AS847">
        <f t="shared" si="373"/>
        <v>1.5931426824059987</v>
      </c>
      <c r="AT847">
        <f t="shared" si="374"/>
        <v>0.92567508648653951</v>
      </c>
      <c r="AU847" t="str">
        <f t="shared" si="375"/>
        <v/>
      </c>
    </row>
    <row r="848" spans="1:47" x14ac:dyDescent="0.25">
      <c r="A848" s="4">
        <f>DATE(2021,4,30)</f>
        <v>44316</v>
      </c>
      <c r="B848">
        <v>0.23728687620183697</v>
      </c>
      <c r="C848">
        <v>79.54944912982009</v>
      </c>
      <c r="D848">
        <v>0.98417511281218772</v>
      </c>
      <c r="E848">
        <f t="shared" si="351"/>
        <v>0.80397622768731025</v>
      </c>
      <c r="F848">
        <f t="shared" si="352"/>
        <v>2.4097209404464484</v>
      </c>
      <c r="G848">
        <f t="shared" si="353"/>
        <v>0.89100085944595431</v>
      </c>
      <c r="H848" s="2" t="str">
        <f t="shared" si="354"/>
        <v>Higher</v>
      </c>
      <c r="I848" s="2" t="str">
        <f t="shared" si="355"/>
        <v>Lower</v>
      </c>
      <c r="J848" s="2" t="str">
        <f t="shared" si="356"/>
        <v>Higher</v>
      </c>
      <c r="K848" s="2" t="str">
        <f t="shared" si="357"/>
        <v>Higher</v>
      </c>
      <c r="L848" s="2" t="str">
        <f t="shared" si="358"/>
        <v>Lower</v>
      </c>
      <c r="M848" s="2" t="str">
        <f t="shared" si="359"/>
        <v>Higher</v>
      </c>
      <c r="N848" s="2" t="str">
        <f t="shared" si="360"/>
        <v>Higher</v>
      </c>
      <c r="O848" s="2" t="str">
        <f t="shared" si="361"/>
        <v>Lower</v>
      </c>
      <c r="P848" s="2" t="str">
        <f t="shared" si="362"/>
        <v>Higher</v>
      </c>
      <c r="X848" s="4">
        <f>DATE(2021,4,30)</f>
        <v>44316</v>
      </c>
      <c r="Y848">
        <v>33.105806684186994</v>
      </c>
      <c r="Z848">
        <v>44.929082248968903</v>
      </c>
      <c r="AA848">
        <v>48.685000000000002</v>
      </c>
      <c r="AB848">
        <v>23.155000000000001</v>
      </c>
      <c r="AC848">
        <f t="shared" si="363"/>
        <v>3.9007117808847726E-2</v>
      </c>
      <c r="AD848">
        <f t="shared" si="363"/>
        <v>0.13900645154002317</v>
      </c>
      <c r="AE848">
        <f t="shared" si="364"/>
        <v>9.9999333731175449E-2</v>
      </c>
      <c r="AF848">
        <f t="shared" si="365"/>
        <v>0.78068962583698931</v>
      </c>
      <c r="AH848" t="str">
        <f t="shared" si="366"/>
        <v/>
      </c>
      <c r="AI848" t="str">
        <f t="shared" si="366"/>
        <v/>
      </c>
      <c r="AJ848" t="str">
        <f t="shared" si="367"/>
        <v/>
      </c>
      <c r="AK848" t="str">
        <f t="shared" si="368"/>
        <v/>
      </c>
      <c r="AM848">
        <f t="shared" si="369"/>
        <v>0.24561611540200037</v>
      </c>
      <c r="AN848">
        <f t="shared" si="369"/>
        <v>0.22498069453368169</v>
      </c>
      <c r="AO848">
        <f t="shared" si="370"/>
        <v>-2.0635420868318682E-2</v>
      </c>
      <c r="AP848">
        <f t="shared" si="371"/>
        <v>-0.21708491664202578</v>
      </c>
      <c r="AR848" t="str">
        <f t="shared" si="372"/>
        <v/>
      </c>
      <c r="AS848" t="str">
        <f t="shared" si="373"/>
        <v/>
      </c>
      <c r="AT848" t="str">
        <f t="shared" si="374"/>
        <v/>
      </c>
      <c r="AU848" t="str">
        <f t="shared" si="375"/>
        <v/>
      </c>
    </row>
    <row r="849" spans="1:47" x14ac:dyDescent="0.25">
      <c r="A849" s="4">
        <f>DATE(2021,4,29)</f>
        <v>44315</v>
      </c>
      <c r="B849">
        <v>0.21274188853589004</v>
      </c>
      <c r="C849">
        <v>76.937308538054069</v>
      </c>
      <c r="D849">
        <v>0.93553623454437207</v>
      </c>
      <c r="E849">
        <f t="shared" si="351"/>
        <v>0.69775593014373649</v>
      </c>
      <c r="F849">
        <f t="shared" si="352"/>
        <v>2.0696881811520149</v>
      </c>
      <c r="G849">
        <f t="shared" si="353"/>
        <v>0.67852819431965872</v>
      </c>
      <c r="H849" s="2" t="str">
        <f t="shared" si="354"/>
        <v>Higher</v>
      </c>
      <c r="I849" s="2" t="str">
        <f t="shared" si="355"/>
        <v>Lower</v>
      </c>
      <c r="J849" s="2" t="str">
        <f t="shared" si="356"/>
        <v>Higher</v>
      </c>
      <c r="K849" s="2" t="str">
        <f t="shared" si="357"/>
        <v>Higher</v>
      </c>
      <c r="L849" s="2" t="str">
        <f t="shared" si="358"/>
        <v>Lower</v>
      </c>
      <c r="M849" s="2" t="str">
        <f t="shared" si="359"/>
        <v>Higher</v>
      </c>
      <c r="N849" s="2" t="str">
        <f t="shared" si="360"/>
        <v>Higher</v>
      </c>
      <c r="O849" s="2" t="str">
        <f t="shared" si="361"/>
        <v>Lower</v>
      </c>
      <c r="P849" s="2" t="str">
        <f t="shared" si="362"/>
        <v>Higher</v>
      </c>
      <c r="X849" s="4">
        <f>DATE(2021,4,29)</f>
        <v>44315</v>
      </c>
      <c r="Y849">
        <v>28.807129855834951</v>
      </c>
      <c r="Z849">
        <v>40.910002118988757</v>
      </c>
      <c r="AA849">
        <v>47.835000000000001</v>
      </c>
      <c r="AB849">
        <v>22.287500000000001</v>
      </c>
      <c r="AC849">
        <f t="shared" si="363"/>
        <v>1.9260284581862817E-2</v>
      </c>
      <c r="AD849">
        <f t="shared" si="363"/>
        <v>4.0868733320478481E-2</v>
      </c>
      <c r="AE849">
        <f t="shared" si="364"/>
        <v>2.1608448738615664E-2</v>
      </c>
      <c r="AF849">
        <f t="shared" si="365"/>
        <v>6.8358847291076618E-3</v>
      </c>
      <c r="AH849">
        <f t="shared" si="366"/>
        <v>0.11872421219644709</v>
      </c>
      <c r="AI849">
        <f t="shared" si="366"/>
        <v>0.15152746427900987</v>
      </c>
      <c r="AJ849">
        <f t="shared" si="367"/>
        <v>3.2803252082562781E-2</v>
      </c>
      <c r="AK849">
        <f t="shared" si="368"/>
        <v>-7.5450995301819646E-2</v>
      </c>
      <c r="AM849">
        <f t="shared" si="369"/>
        <v>0.24769245101655393</v>
      </c>
      <c r="AN849">
        <f t="shared" si="369"/>
        <v>0.2089431177851975</v>
      </c>
      <c r="AO849">
        <f t="shared" si="370"/>
        <v>-3.8749333231356431E-2</v>
      </c>
      <c r="AP849">
        <f t="shared" si="371"/>
        <v>-0.26665821895791259</v>
      </c>
      <c r="AR849" t="str">
        <f t="shared" si="372"/>
        <v/>
      </c>
      <c r="AS849" t="str">
        <f t="shared" si="373"/>
        <v/>
      </c>
      <c r="AT849" t="str">
        <f t="shared" si="374"/>
        <v/>
      </c>
      <c r="AU849" t="str">
        <f t="shared" si="375"/>
        <v/>
      </c>
    </row>
    <row r="850" spans="1:47" x14ac:dyDescent="0.25">
      <c r="A850" s="4">
        <f>DATE(2021,4,28)</f>
        <v>44314</v>
      </c>
      <c r="B850">
        <v>0.21879392690840938</v>
      </c>
      <c r="C850">
        <v>76.143708748630843</v>
      </c>
      <c r="D850">
        <v>0.95920979467432776</v>
      </c>
      <c r="E850">
        <f t="shared" si="351"/>
        <v>0.73878849770803401</v>
      </c>
      <c r="F850">
        <f t="shared" si="352"/>
        <v>1.9696919869104861</v>
      </c>
      <c r="G850">
        <f t="shared" si="353"/>
        <v>0.79084346484406964</v>
      </c>
      <c r="H850" s="2" t="str">
        <f t="shared" si="354"/>
        <v>Higher</v>
      </c>
      <c r="I850" s="2" t="str">
        <f t="shared" si="355"/>
        <v>Higher</v>
      </c>
      <c r="J850" s="2" t="str">
        <f t="shared" si="356"/>
        <v>Higher</v>
      </c>
      <c r="K850" s="2" t="str">
        <f t="shared" si="357"/>
        <v>Higher</v>
      </c>
      <c r="L850" s="2" t="str">
        <f t="shared" si="358"/>
        <v>Lower</v>
      </c>
      <c r="M850" s="2" t="str">
        <f t="shared" si="359"/>
        <v>Higher</v>
      </c>
      <c r="N850" s="2" t="str">
        <f t="shared" si="360"/>
        <v>Higher</v>
      </c>
      <c r="O850" s="2" t="str">
        <f t="shared" si="361"/>
        <v>Lower</v>
      </c>
      <c r="P850" s="2" t="str">
        <f t="shared" si="362"/>
        <v>Higher</v>
      </c>
      <c r="X850" s="4">
        <f>DATE(2021,4,28)</f>
        <v>44314</v>
      </c>
      <c r="Y850">
        <v>30.821683604526299</v>
      </c>
      <c r="Z850">
        <v>39.391719100921236</v>
      </c>
      <c r="AA850">
        <v>47.814999999999998</v>
      </c>
      <c r="AB850">
        <v>21.67</v>
      </c>
      <c r="AC850">
        <f t="shared" si="363"/>
        <v>4.3601307240931655E-2</v>
      </c>
      <c r="AD850">
        <f t="shared" si="363"/>
        <v>2.7604091875106183E-2</v>
      </c>
      <c r="AE850">
        <f t="shared" si="364"/>
        <v>-1.5997215365825473E-2</v>
      </c>
      <c r="AF850">
        <f t="shared" si="365"/>
        <v>-0.36480042671184293</v>
      </c>
      <c r="AH850">
        <f t="shared" si="366"/>
        <v>0.11883582220471835</v>
      </c>
      <c r="AI850">
        <f t="shared" si="366"/>
        <v>0.13333364040740539</v>
      </c>
      <c r="AJ850">
        <f t="shared" si="367"/>
        <v>1.4497818202687043E-2</v>
      </c>
      <c r="AK850">
        <f t="shared" si="368"/>
        <v>-0.16170692521554</v>
      </c>
      <c r="AM850">
        <f t="shared" si="369"/>
        <v>0.25987338204998545</v>
      </c>
      <c r="AN850">
        <f t="shared" si="369"/>
        <v>0.20074119992158757</v>
      </c>
      <c r="AO850">
        <f t="shared" si="370"/>
        <v>-5.9132182128397881E-2</v>
      </c>
      <c r="AP850">
        <f t="shared" si="371"/>
        <v>-0.32231783500206262</v>
      </c>
      <c r="AR850" t="str">
        <f t="shared" si="372"/>
        <v/>
      </c>
      <c r="AS850" t="str">
        <f t="shared" si="373"/>
        <v/>
      </c>
      <c r="AT850" t="str">
        <f t="shared" si="374"/>
        <v/>
      </c>
      <c r="AU850" t="str">
        <f t="shared" si="375"/>
        <v/>
      </c>
    </row>
    <row r="851" spans="1:47" x14ac:dyDescent="0.25">
      <c r="A851" s="4">
        <f>DATE(2021,4,27)</f>
        <v>44313</v>
      </c>
      <c r="B851">
        <v>0.21385673837065022</v>
      </c>
      <c r="C851">
        <v>74.400888621550038</v>
      </c>
      <c r="D851">
        <v>0.94355561579880531</v>
      </c>
      <c r="E851">
        <f t="shared" si="351"/>
        <v>0.72742083130074597</v>
      </c>
      <c r="F851">
        <f t="shared" si="352"/>
        <v>1.7271464437232558</v>
      </c>
      <c r="G851">
        <f t="shared" si="353"/>
        <v>0.72527135346391458</v>
      </c>
      <c r="H851" s="2" t="str">
        <f t="shared" si="354"/>
        <v>Higher</v>
      </c>
      <c r="I851" s="2" t="str">
        <f t="shared" si="355"/>
        <v>Higher</v>
      </c>
      <c r="J851" s="2" t="str">
        <f t="shared" si="356"/>
        <v>Higher</v>
      </c>
      <c r="K851" s="2" t="str">
        <f t="shared" si="357"/>
        <v>Higher</v>
      </c>
      <c r="L851" s="2" t="str">
        <f t="shared" si="358"/>
        <v>Lower</v>
      </c>
      <c r="M851" s="2" t="str">
        <f t="shared" si="359"/>
        <v>Higher</v>
      </c>
      <c r="N851" s="2" t="str">
        <f t="shared" si="360"/>
        <v>Higher</v>
      </c>
      <c r="O851" s="2" t="str">
        <f t="shared" si="361"/>
        <v>Lower</v>
      </c>
      <c r="P851" s="2" t="str">
        <f t="shared" si="362"/>
        <v>Higher</v>
      </c>
      <c r="X851" s="4">
        <f>DATE(2021,4,27)</f>
        <v>44313</v>
      </c>
      <c r="Y851">
        <v>29.737725039837198</v>
      </c>
      <c r="Z851">
        <v>36.357429302357261</v>
      </c>
      <c r="AA851">
        <v>47.21</v>
      </c>
      <c r="AB851">
        <v>21.015000000000001</v>
      </c>
      <c r="AC851">
        <f t="shared" si="363"/>
        <v>5.4296718760050891E-2</v>
      </c>
      <c r="AD851">
        <f t="shared" si="363"/>
        <v>-9.5124858540437973E-4</v>
      </c>
      <c r="AE851">
        <f t="shared" si="364"/>
        <v>-5.5247967345455271E-2</v>
      </c>
      <c r="AF851">
        <f t="shared" si="365"/>
        <v>-0.75277343122477125</v>
      </c>
      <c r="AH851">
        <f t="shared" si="366"/>
        <v>0.11657903717801377</v>
      </c>
      <c r="AI851">
        <f t="shared" si="366"/>
        <v>0.1185863560905329</v>
      </c>
      <c r="AJ851">
        <f t="shared" si="367"/>
        <v>2.0073189125191376E-3</v>
      </c>
      <c r="AK851">
        <f t="shared" si="368"/>
        <v>-0.22063686650802045</v>
      </c>
      <c r="AM851">
        <f t="shared" si="369"/>
        <v>0.31263243201725921</v>
      </c>
      <c r="AN851">
        <f t="shared" si="369"/>
        <v>0.13963406570756937</v>
      </c>
      <c r="AO851">
        <f t="shared" si="370"/>
        <v>-0.17299836630968984</v>
      </c>
      <c r="AP851">
        <f t="shared" si="371"/>
        <v>-0.63040893689559285</v>
      </c>
      <c r="AR851" t="str">
        <f t="shared" si="372"/>
        <v/>
      </c>
      <c r="AS851" t="str">
        <f t="shared" si="373"/>
        <v/>
      </c>
      <c r="AT851" t="str">
        <f t="shared" si="374"/>
        <v/>
      </c>
      <c r="AU851" t="str">
        <f t="shared" si="375"/>
        <v/>
      </c>
    </row>
    <row r="852" spans="1:47" x14ac:dyDescent="0.25">
      <c r="A852" s="4">
        <f>DATE(2021,4,26)</f>
        <v>44312</v>
      </c>
      <c r="B852">
        <v>0.21906736251457293</v>
      </c>
      <c r="C852">
        <v>74.041466693934453</v>
      </c>
      <c r="D852">
        <v>0.98363146289241143</v>
      </c>
      <c r="E852">
        <f t="shared" si="351"/>
        <v>0.76428052705430627</v>
      </c>
      <c r="F852">
        <f t="shared" si="352"/>
        <v>1.6879169322580945</v>
      </c>
      <c r="G852">
        <f t="shared" si="353"/>
        <v>0.89943382687864715</v>
      </c>
      <c r="H852" s="2" t="str">
        <f t="shared" si="354"/>
        <v>Higher</v>
      </c>
      <c r="I852" s="2" t="str">
        <f t="shared" si="355"/>
        <v>Higher</v>
      </c>
      <c r="J852" s="2" t="str">
        <f t="shared" si="356"/>
        <v>Higher</v>
      </c>
      <c r="K852" s="2" t="str">
        <f t="shared" si="357"/>
        <v>Higher</v>
      </c>
      <c r="L852" s="2" t="str">
        <f t="shared" si="358"/>
        <v>Lower</v>
      </c>
      <c r="M852" s="2" t="str">
        <f t="shared" si="359"/>
        <v>Higher</v>
      </c>
      <c r="N852" s="2" t="str">
        <f t="shared" si="360"/>
        <v>Higher</v>
      </c>
      <c r="O852" s="2" t="str">
        <f t="shared" si="361"/>
        <v>Lower</v>
      </c>
      <c r="P852" s="2" t="str">
        <f t="shared" si="362"/>
        <v>Higher</v>
      </c>
      <c r="X852" s="4">
        <f>DATE(2021,4,26)</f>
        <v>44312</v>
      </c>
      <c r="Y852">
        <v>32.825192307733694</v>
      </c>
      <c r="Z852">
        <v>31.377517190609282</v>
      </c>
      <c r="AA852">
        <v>47.252499999999998</v>
      </c>
      <c r="AB852">
        <v>20.108750000000001</v>
      </c>
      <c r="AC852">
        <f t="shared" si="363"/>
        <v>6.2829314797394439E-2</v>
      </c>
      <c r="AD852">
        <f t="shared" si="363"/>
        <v>-4.1580083426946503E-2</v>
      </c>
      <c r="AE852">
        <f t="shared" si="364"/>
        <v>-0.10440939822434095</v>
      </c>
      <c r="AF852">
        <f t="shared" si="365"/>
        <v>-1.2399322529235433</v>
      </c>
      <c r="AH852">
        <f t="shared" si="366"/>
        <v>0.12494448354690076</v>
      </c>
      <c r="AI852">
        <f t="shared" si="366"/>
        <v>8.866851877165674E-2</v>
      </c>
      <c r="AJ852">
        <f t="shared" si="367"/>
        <v>-3.6275964775244016E-2</v>
      </c>
      <c r="AK852">
        <f t="shared" si="368"/>
        <v>-0.40016796960876472</v>
      </c>
      <c r="AM852">
        <f t="shared" si="369"/>
        <v>0.36157708167313413</v>
      </c>
      <c r="AN852">
        <f t="shared" si="369"/>
        <v>9.4185680196825758E-2</v>
      </c>
      <c r="AO852">
        <f t="shared" si="370"/>
        <v>-0.26739140147630835</v>
      </c>
      <c r="AP852">
        <f t="shared" si="371"/>
        <v>-0.88686672487915941</v>
      </c>
      <c r="AR852" t="str">
        <f t="shared" si="372"/>
        <v/>
      </c>
      <c r="AS852" t="str">
        <f t="shared" si="373"/>
        <v/>
      </c>
      <c r="AT852" t="str">
        <f t="shared" si="374"/>
        <v/>
      </c>
      <c r="AU852" t="str">
        <f t="shared" si="375"/>
        <v/>
      </c>
    </row>
    <row r="853" spans="1:47" x14ac:dyDescent="0.25">
      <c r="A853" s="4">
        <f>DATE(2021,4,23)</f>
        <v>44309</v>
      </c>
      <c r="B853">
        <v>0.20110114875969298</v>
      </c>
      <c r="C853">
        <v>73.167095549586023</v>
      </c>
      <c r="D853">
        <v>1.0119524546169691</v>
      </c>
      <c r="E853">
        <f t="shared" si="351"/>
        <v>0.68995602044551207</v>
      </c>
      <c r="F853">
        <f t="shared" si="352"/>
        <v>1.5808360908237857</v>
      </c>
      <c r="G853">
        <f t="shared" si="353"/>
        <v>1.0176530648530893</v>
      </c>
      <c r="H853" s="2" t="str">
        <f t="shared" si="354"/>
        <v>Higher</v>
      </c>
      <c r="I853" s="2" t="str">
        <f t="shared" si="355"/>
        <v>Higher</v>
      </c>
      <c r="J853" s="2" t="str">
        <f t="shared" si="356"/>
        <v>Higher</v>
      </c>
      <c r="K853" s="2" t="str">
        <f t="shared" si="357"/>
        <v>Lower</v>
      </c>
      <c r="L853" s="2" t="str">
        <f t="shared" si="358"/>
        <v>Lower</v>
      </c>
      <c r="M853" s="2" t="str">
        <f t="shared" si="359"/>
        <v>Higher</v>
      </c>
      <c r="N853" s="2" t="str">
        <f t="shared" si="360"/>
        <v>Higher</v>
      </c>
      <c r="O853" s="2" t="str">
        <f t="shared" si="361"/>
        <v>Lower</v>
      </c>
      <c r="P853" s="2" t="str">
        <f t="shared" si="362"/>
        <v>Higher</v>
      </c>
      <c r="X853" s="4">
        <f>DATE(2021,4,23)</f>
        <v>44309</v>
      </c>
      <c r="Y853">
        <v>31.760745967044151</v>
      </c>
      <c r="Z853">
        <v>33.223009378927173</v>
      </c>
      <c r="AA853">
        <v>46.822500000000005</v>
      </c>
      <c r="AB853">
        <v>20.150000000000002</v>
      </c>
      <c r="AC853">
        <f t="shared" si="363"/>
        <v>5.0649973594108957E-2</v>
      </c>
      <c r="AD853">
        <f t="shared" si="363"/>
        <v>-2.1844039495351911E-2</v>
      </c>
      <c r="AE853">
        <f t="shared" si="364"/>
        <v>-7.2494013089460865E-2</v>
      </c>
      <c r="AF853">
        <f t="shared" si="365"/>
        <v>-0.9335991714284253</v>
      </c>
      <c r="AH853">
        <f t="shared" si="366"/>
        <v>0.12374744771091059</v>
      </c>
      <c r="AI853">
        <f t="shared" si="366"/>
        <v>7.4747611686158635E-2</v>
      </c>
      <c r="AJ853">
        <f t="shared" si="367"/>
        <v>-4.8999836024751955E-2</v>
      </c>
      <c r="AK853">
        <f t="shared" si="368"/>
        <v>-0.46059459600676905</v>
      </c>
      <c r="AM853">
        <f t="shared" si="369"/>
        <v>0.3441152308899888</v>
      </c>
      <c r="AN853">
        <f t="shared" si="369"/>
        <v>9.5366447209179681E-3</v>
      </c>
      <c r="AO853">
        <f t="shared" si="370"/>
        <v>-0.33457858616907082</v>
      </c>
      <c r="AP853">
        <f t="shared" si="371"/>
        <v>-1.0724020960487979</v>
      </c>
      <c r="AR853" t="str">
        <f t="shared" si="372"/>
        <v/>
      </c>
      <c r="AS853" t="str">
        <f t="shared" si="373"/>
        <v/>
      </c>
      <c r="AT853" t="str">
        <f t="shared" si="374"/>
        <v/>
      </c>
      <c r="AU853" t="str">
        <f t="shared" si="375"/>
        <v/>
      </c>
    </row>
    <row r="854" spans="1:47" x14ac:dyDescent="0.25">
      <c r="A854" s="4">
        <f>DATE(2021,4,22)</f>
        <v>44308</v>
      </c>
      <c r="B854">
        <v>0.1637295954406377</v>
      </c>
      <c r="C854">
        <v>74.471581072455592</v>
      </c>
      <c r="D854">
        <v>1.08267571425041</v>
      </c>
      <c r="E854">
        <f t="shared" si="351"/>
        <v>0.52082252417121244</v>
      </c>
      <c r="F854">
        <f t="shared" si="352"/>
        <v>1.7695695500980069</v>
      </c>
      <c r="G854">
        <f t="shared" si="353"/>
        <v>1.316100241210755</v>
      </c>
      <c r="H854" s="2" t="str">
        <f t="shared" si="354"/>
        <v>Higher</v>
      </c>
      <c r="I854" s="2" t="str">
        <f t="shared" si="355"/>
        <v>Higher</v>
      </c>
      <c r="J854" s="2" t="str">
        <f t="shared" si="356"/>
        <v>Higher</v>
      </c>
      <c r="K854" s="2" t="str">
        <f t="shared" si="357"/>
        <v>Lower</v>
      </c>
      <c r="L854" s="2" t="str">
        <f t="shared" si="358"/>
        <v>Lower</v>
      </c>
      <c r="M854" s="2" t="str">
        <f t="shared" si="359"/>
        <v>Higher</v>
      </c>
      <c r="N854" s="2" t="str">
        <f t="shared" si="360"/>
        <v>Higher</v>
      </c>
      <c r="O854" s="2" t="str">
        <f t="shared" si="361"/>
        <v>Higher</v>
      </c>
      <c r="P854" s="2" t="str">
        <f t="shared" si="362"/>
        <v>Higher</v>
      </c>
      <c r="X854" s="4">
        <f>DATE(2021,4,22)</f>
        <v>44308</v>
      </c>
      <c r="Y854">
        <v>34.264199565580675</v>
      </c>
      <c r="Z854">
        <v>40.861095989347291</v>
      </c>
      <c r="AA854">
        <v>46.922499999999999</v>
      </c>
      <c r="AB854">
        <v>21.395000000000003</v>
      </c>
      <c r="AC854">
        <f t="shared" si="363"/>
        <v>6.0621291863004391E-2</v>
      </c>
      <c r="AD854">
        <f t="shared" si="363"/>
        <v>5.8031731298194555E-2</v>
      </c>
      <c r="AE854">
        <f t="shared" si="364"/>
        <v>-2.5895605648098355E-3</v>
      </c>
      <c r="AF854">
        <f t="shared" si="365"/>
        <v>-0.24877354723800912</v>
      </c>
      <c r="AH854">
        <f t="shared" si="366"/>
        <v>0.14707188126581339</v>
      </c>
      <c r="AI854">
        <f t="shared" si="366"/>
        <v>0.15073865277869469</v>
      </c>
      <c r="AJ854">
        <f t="shared" si="367"/>
        <v>3.6667715128813061E-3</v>
      </c>
      <c r="AK854">
        <f t="shared" si="368"/>
        <v>-0.21679593391034155</v>
      </c>
      <c r="AM854">
        <f t="shared" si="369"/>
        <v>0.33129624712980638</v>
      </c>
      <c r="AN854">
        <f t="shared" si="369"/>
        <v>2.9647611980759121E-2</v>
      </c>
      <c r="AO854">
        <f t="shared" si="370"/>
        <v>-0.30164863514904727</v>
      </c>
      <c r="AP854">
        <f t="shared" si="371"/>
        <v>-0.9907393696461716</v>
      </c>
      <c r="AR854" t="str">
        <f t="shared" si="372"/>
        <v/>
      </c>
      <c r="AS854" t="str">
        <f t="shared" si="373"/>
        <v/>
      </c>
      <c r="AT854" t="str">
        <f t="shared" si="374"/>
        <v/>
      </c>
      <c r="AU854" t="str">
        <f t="shared" si="375"/>
        <v/>
      </c>
    </row>
    <row r="855" spans="1:47" x14ac:dyDescent="0.25">
      <c r="A855" s="4">
        <f>DATE(2021,4,21)</f>
        <v>44307</v>
      </c>
      <c r="B855">
        <v>5.9545432908006068E-2</v>
      </c>
      <c r="C855">
        <v>70.331716269057495</v>
      </c>
      <c r="D855">
        <v>0.98879341679568966</v>
      </c>
      <c r="E855">
        <f t="shared" si="351"/>
        <v>3.2507949382984118E-2</v>
      </c>
      <c r="F855">
        <f t="shared" si="352"/>
        <v>1.2591868670318422</v>
      </c>
      <c r="G855">
        <f t="shared" si="353"/>
        <v>0.95331587064570167</v>
      </c>
      <c r="H855" s="2" t="str">
        <f t="shared" si="354"/>
        <v>Higher</v>
      </c>
      <c r="I855" s="2" t="str">
        <f t="shared" si="355"/>
        <v>Higher</v>
      </c>
      <c r="J855" s="2" t="str">
        <f t="shared" si="356"/>
        <v>Higher</v>
      </c>
      <c r="K855" s="2" t="str">
        <f t="shared" si="357"/>
        <v>Lower</v>
      </c>
      <c r="L855" s="2" t="str">
        <f t="shared" si="358"/>
        <v>Lower</v>
      </c>
      <c r="M855" s="2" t="str">
        <f t="shared" si="359"/>
        <v>Higher</v>
      </c>
      <c r="N855" s="2" t="str">
        <f t="shared" si="360"/>
        <v>Higher</v>
      </c>
      <c r="O855" s="2" t="str">
        <f t="shared" si="361"/>
        <v>Higher</v>
      </c>
      <c r="P855" s="2" t="str">
        <f t="shared" si="362"/>
        <v>Higher</v>
      </c>
      <c r="X855" s="4">
        <f>DATE(2021,4,21)</f>
        <v>44307</v>
      </c>
      <c r="Y855">
        <v>31.811770490748152</v>
      </c>
      <c r="Z855">
        <v>39.305166123904314</v>
      </c>
      <c r="AA855">
        <v>45.774999999999999</v>
      </c>
      <c r="AB855">
        <v>21.08</v>
      </c>
      <c r="AC855">
        <f t="shared" si="363"/>
        <v>4.3704809595380374E-2</v>
      </c>
      <c r="AD855">
        <f t="shared" si="363"/>
        <v>6.8531301420679314E-2</v>
      </c>
      <c r="AE855">
        <f t="shared" si="364"/>
        <v>2.4826491825298939E-2</v>
      </c>
      <c r="AF855">
        <f t="shared" si="365"/>
        <v>2.0270108009081602E-2</v>
      </c>
      <c r="AH855">
        <f t="shared" si="366"/>
        <v>0.10033644407491094</v>
      </c>
      <c r="AI855">
        <f t="shared" si="366"/>
        <v>0.13014866833804503</v>
      </c>
      <c r="AJ855">
        <f t="shared" si="367"/>
        <v>2.9812224263134096E-2</v>
      </c>
      <c r="AK855">
        <f t="shared" si="368"/>
        <v>-9.5960759387553621E-2</v>
      </c>
      <c r="AM855">
        <f t="shared" si="369"/>
        <v>0.32548962111173341</v>
      </c>
      <c r="AN855">
        <f t="shared" si="369"/>
        <v>7.534943724178679E-2</v>
      </c>
      <c r="AO855">
        <f t="shared" si="370"/>
        <v>-0.25014018386994663</v>
      </c>
      <c r="AP855">
        <f t="shared" si="371"/>
        <v>-0.85757158040397685</v>
      </c>
      <c r="AR855" t="str">
        <f t="shared" si="372"/>
        <v/>
      </c>
      <c r="AS855" t="str">
        <f t="shared" si="373"/>
        <v/>
      </c>
      <c r="AT855" t="str">
        <f t="shared" si="374"/>
        <v/>
      </c>
      <c r="AU855" t="str">
        <f t="shared" si="375"/>
        <v/>
      </c>
    </row>
    <row r="856" spans="1:47" x14ac:dyDescent="0.25">
      <c r="A856" s="4">
        <f>DATE(2021,4,20)</f>
        <v>44306</v>
      </c>
      <c r="B856">
        <v>-7.5271943991022106E-3</v>
      </c>
      <c r="C856">
        <v>65.892091522350299</v>
      </c>
      <c r="D856">
        <v>0.8615869081024381</v>
      </c>
      <c r="E856">
        <f t="shared" si="351"/>
        <v>-0.27578176454809616</v>
      </c>
      <c r="F856">
        <f t="shared" si="352"/>
        <v>0.71800682965114337</v>
      </c>
      <c r="G856">
        <f t="shared" si="353"/>
        <v>0.46940274650721336</v>
      </c>
      <c r="H856" s="2" t="str">
        <f t="shared" si="354"/>
        <v>Lower</v>
      </c>
      <c r="I856" s="2" t="str">
        <f t="shared" si="355"/>
        <v>Higher</v>
      </c>
      <c r="J856" s="2" t="str">
        <f t="shared" si="356"/>
        <v>Higher</v>
      </c>
      <c r="K856" s="2" t="str">
        <f t="shared" si="357"/>
        <v>Lower</v>
      </c>
      <c r="L856" s="2" t="str">
        <f t="shared" si="358"/>
        <v>Lower</v>
      </c>
      <c r="M856" s="2" t="str">
        <f t="shared" si="359"/>
        <v>Higher</v>
      </c>
      <c r="N856" s="2" t="str">
        <f t="shared" si="360"/>
        <v>Higher</v>
      </c>
      <c r="O856" s="2" t="str">
        <f t="shared" si="361"/>
        <v>Higher</v>
      </c>
      <c r="P856" s="2" t="str">
        <f t="shared" si="362"/>
        <v>Higher</v>
      </c>
      <c r="X856" s="4">
        <f>DATE(2021,4,20)</f>
        <v>44306</v>
      </c>
      <c r="Y856">
        <v>26.450113285242654</v>
      </c>
      <c r="Z856">
        <v>41.398389167784529</v>
      </c>
      <c r="AA856">
        <v>44.715000000000003</v>
      </c>
      <c r="AB856">
        <v>21.035000000000004</v>
      </c>
      <c r="AC856">
        <f t="shared" si="363"/>
        <v>1.5494577111041321E-2</v>
      </c>
      <c r="AD856">
        <f t="shared" si="363"/>
        <v>7.1423749924689806E-2</v>
      </c>
      <c r="AE856">
        <f t="shared" si="364"/>
        <v>5.5929172813648481E-2</v>
      </c>
      <c r="AF856">
        <f t="shared" si="365"/>
        <v>0.32537670348193226</v>
      </c>
      <c r="AH856">
        <f t="shared" si="366"/>
        <v>6.842993991617885E-2</v>
      </c>
      <c r="AI856">
        <f t="shared" si="366"/>
        <v>0.1446974439995071</v>
      </c>
      <c r="AJ856">
        <f t="shared" si="367"/>
        <v>7.6267504083328247E-2</v>
      </c>
      <c r="AK856">
        <f t="shared" si="368"/>
        <v>0.11875596336042567</v>
      </c>
      <c r="AM856">
        <f t="shared" si="369"/>
        <v>0.29542752285910723</v>
      </c>
      <c r="AN856">
        <f t="shared" si="369"/>
        <v>7.2317690345628155E-2</v>
      </c>
      <c r="AO856">
        <f t="shared" si="370"/>
        <v>-0.22310983251347907</v>
      </c>
      <c r="AP856">
        <f t="shared" si="371"/>
        <v>-0.78881643600725948</v>
      </c>
      <c r="AR856" t="str">
        <f t="shared" si="372"/>
        <v/>
      </c>
      <c r="AS856" t="str">
        <f t="shared" si="373"/>
        <v/>
      </c>
      <c r="AT856" t="str">
        <f t="shared" si="374"/>
        <v/>
      </c>
      <c r="AU856" t="str">
        <f t="shared" si="375"/>
        <v/>
      </c>
    </row>
    <row r="857" spans="1:47" x14ac:dyDescent="0.25">
      <c r="A857" s="4">
        <f>DATE(2021,4,19)</f>
        <v>44305</v>
      </c>
      <c r="B857">
        <v>-2.5854183045902035E-2</v>
      </c>
      <c r="C857">
        <v>63.18382061512073</v>
      </c>
      <c r="D857">
        <v>0.79031191133177658</v>
      </c>
      <c r="E857">
        <f t="shared" si="351"/>
        <v>-0.35435013264632786</v>
      </c>
      <c r="F857">
        <f t="shared" si="352"/>
        <v>0.4108592000893122</v>
      </c>
      <c r="G857">
        <f t="shared" si="353"/>
        <v>0.21909619185953447</v>
      </c>
      <c r="H857" s="2" t="str">
        <f t="shared" si="354"/>
        <v>Lower</v>
      </c>
      <c r="I857" s="2" t="str">
        <f t="shared" si="355"/>
        <v>Higher</v>
      </c>
      <c r="J857" s="2" t="str">
        <f t="shared" si="356"/>
        <v>Higher</v>
      </c>
      <c r="K857" s="2" t="str">
        <f t="shared" si="357"/>
        <v>Lower</v>
      </c>
      <c r="L857" s="2" t="str">
        <f t="shared" si="358"/>
        <v>Lower</v>
      </c>
      <c r="M857" s="2" t="str">
        <f t="shared" si="359"/>
        <v>Higher</v>
      </c>
      <c r="N857" s="2" t="str">
        <f t="shared" si="360"/>
        <v>Higher</v>
      </c>
      <c r="O857" s="2" t="str">
        <f t="shared" si="361"/>
        <v>Lower</v>
      </c>
      <c r="P857" s="2" t="str">
        <f t="shared" si="362"/>
        <v>Higher</v>
      </c>
      <c r="X857" s="4">
        <f>DATE(2021,4,19)</f>
        <v>44305</v>
      </c>
      <c r="Y857">
        <v>27.190746710825803</v>
      </c>
      <c r="Z857">
        <v>42.182234441898551</v>
      </c>
      <c r="AA857">
        <v>44.375</v>
      </c>
      <c r="AB857">
        <v>20.962499999999999</v>
      </c>
      <c r="AC857">
        <f t="shared" si="363"/>
        <v>2.1996004469295592E-3</v>
      </c>
      <c r="AD857">
        <f t="shared" si="363"/>
        <v>6.8673474505731677E-2</v>
      </c>
      <c r="AE857">
        <f t="shared" si="364"/>
        <v>6.6473874058802118E-2</v>
      </c>
      <c r="AF857">
        <f t="shared" si="365"/>
        <v>0.42938198200254618</v>
      </c>
      <c r="AH857">
        <f t="shared" si="366"/>
        <v>4.0998066358019683E-2</v>
      </c>
      <c r="AI857">
        <f t="shared" si="366"/>
        <v>0.16024154295209633</v>
      </c>
      <c r="AJ857">
        <f t="shared" si="367"/>
        <v>0.11924347659407665</v>
      </c>
      <c r="AK857">
        <f t="shared" si="368"/>
        <v>0.3172105497432321</v>
      </c>
      <c r="AM857">
        <f t="shared" si="369"/>
        <v>0.28045939262391989</v>
      </c>
      <c r="AN857">
        <f t="shared" si="369"/>
        <v>1.5988800066166507E-2</v>
      </c>
      <c r="AO857">
        <f t="shared" si="370"/>
        <v>-0.2644705925577534</v>
      </c>
      <c r="AP857">
        <f t="shared" si="371"/>
        <v>-0.90395649697306701</v>
      </c>
      <c r="AR857" t="str">
        <f t="shared" si="372"/>
        <v/>
      </c>
      <c r="AS857" t="str">
        <f t="shared" si="373"/>
        <v/>
      </c>
      <c r="AT857" t="str">
        <f t="shared" si="374"/>
        <v/>
      </c>
      <c r="AU857" t="str">
        <f t="shared" si="375"/>
        <v/>
      </c>
    </row>
    <row r="858" spans="1:47" x14ac:dyDescent="0.25">
      <c r="A858" s="4">
        <f>DATE(2021,4,16)</f>
        <v>44302</v>
      </c>
      <c r="B858">
        <v>-1.3776691158758236E-2</v>
      </c>
      <c r="C858">
        <v>63.793551877104825</v>
      </c>
      <c r="D858">
        <v>0.83736266333273868</v>
      </c>
      <c r="E858">
        <f t="shared" si="351"/>
        <v>-0.29022957871951788</v>
      </c>
      <c r="F858">
        <f t="shared" si="352"/>
        <v>0.49316496746527627</v>
      </c>
      <c r="G858">
        <f t="shared" si="353"/>
        <v>0.40358750596608312</v>
      </c>
      <c r="H858" s="2" t="str">
        <f t="shared" si="354"/>
        <v>Lower</v>
      </c>
      <c r="I858" s="2" t="str">
        <f t="shared" si="355"/>
        <v>Higher</v>
      </c>
      <c r="J858" s="2" t="str">
        <f t="shared" si="356"/>
        <v>Higher</v>
      </c>
      <c r="K858" s="2" t="str">
        <f t="shared" si="357"/>
        <v>Lower</v>
      </c>
      <c r="L858" s="2" t="str">
        <f t="shared" si="358"/>
        <v>Lower</v>
      </c>
      <c r="M858" s="2" t="str">
        <f t="shared" si="359"/>
        <v>Higher</v>
      </c>
      <c r="N858" s="2" t="str">
        <f t="shared" si="360"/>
        <v>Higher</v>
      </c>
      <c r="O858" s="2" t="str">
        <f t="shared" si="361"/>
        <v>Lower</v>
      </c>
      <c r="P858" s="2" t="str">
        <f t="shared" si="362"/>
        <v>Higher</v>
      </c>
      <c r="X858" s="4">
        <f>DATE(2021,4,16)</f>
        <v>44302</v>
      </c>
      <c r="Y858">
        <v>29.32704792311495</v>
      </c>
      <c r="Z858">
        <v>41.16683904586543</v>
      </c>
      <c r="AA858">
        <v>44.51</v>
      </c>
      <c r="AB858">
        <v>20.594999999999999</v>
      </c>
      <c r="AC858">
        <f t="shared" si="363"/>
        <v>2.1574584963003168E-2</v>
      </c>
      <c r="AD858">
        <f t="shared" si="363"/>
        <v>7.8703271704280361E-2</v>
      </c>
      <c r="AE858">
        <f t="shared" si="364"/>
        <v>5.712868674127719E-2</v>
      </c>
      <c r="AF858">
        <f t="shared" si="365"/>
        <v>0.3394103193507626</v>
      </c>
      <c r="AH858">
        <f t="shared" si="366"/>
        <v>6.1263727371367656E-2</v>
      </c>
      <c r="AI858">
        <f t="shared" si="366"/>
        <v>0.17340296089809223</v>
      </c>
      <c r="AJ858">
        <f t="shared" si="367"/>
        <v>0.11213923352672459</v>
      </c>
      <c r="AK858">
        <f t="shared" si="368"/>
        <v>0.28528466430166599</v>
      </c>
      <c r="AM858">
        <f t="shared" si="369"/>
        <v>0.26707654056490193</v>
      </c>
      <c r="AN858">
        <f t="shared" si="369"/>
        <v>-3.3893459063831358E-2</v>
      </c>
      <c r="AO858">
        <f t="shared" si="370"/>
        <v>-0.30096999962873328</v>
      </c>
      <c r="AP858">
        <f t="shared" si="371"/>
        <v>-1.0074044960408044</v>
      </c>
      <c r="AR858" t="str">
        <f t="shared" si="372"/>
        <v/>
      </c>
      <c r="AS858" t="str">
        <f t="shared" si="373"/>
        <v/>
      </c>
      <c r="AT858" t="str">
        <f t="shared" si="374"/>
        <v/>
      </c>
      <c r="AU858" t="str">
        <f t="shared" si="375"/>
        <v/>
      </c>
    </row>
    <row r="859" spans="1:47" x14ac:dyDescent="0.25">
      <c r="A859" s="4">
        <f>DATE(2021,4,15)</f>
        <v>44301</v>
      </c>
      <c r="B859">
        <v>-1.6404153816489853E-2</v>
      </c>
      <c r="C859">
        <v>62.546944913821179</v>
      </c>
      <c r="D859">
        <v>0.81765298736762015</v>
      </c>
      <c r="E859">
        <f t="shared" si="351"/>
        <v>-0.29444294341546029</v>
      </c>
      <c r="F859">
        <f t="shared" si="352"/>
        <v>0.36619510879346939</v>
      </c>
      <c r="G859">
        <f t="shared" si="353"/>
        <v>0.34732678812266543</v>
      </c>
      <c r="H859" s="2" t="str">
        <f t="shared" si="354"/>
        <v>Lower</v>
      </c>
      <c r="I859" s="2" t="str">
        <f t="shared" si="355"/>
        <v>Higher</v>
      </c>
      <c r="J859" s="2" t="str">
        <f t="shared" si="356"/>
        <v>Higher</v>
      </c>
      <c r="K859" s="2" t="str">
        <f t="shared" si="357"/>
        <v>Higher</v>
      </c>
      <c r="L859" s="2" t="str">
        <f t="shared" si="358"/>
        <v>Lower</v>
      </c>
      <c r="M859" s="2" t="str">
        <f t="shared" si="359"/>
        <v>Higher</v>
      </c>
      <c r="N859" s="2" t="str">
        <f t="shared" si="360"/>
        <v>Higher</v>
      </c>
      <c r="O859" s="2" t="str">
        <f t="shared" si="361"/>
        <v>Lower</v>
      </c>
      <c r="P859" s="2" t="str">
        <f t="shared" si="362"/>
        <v>Higher</v>
      </c>
      <c r="X859" s="4">
        <f>DATE(2021,4,15)</f>
        <v>44301</v>
      </c>
      <c r="Y859">
        <v>28.399566278288802</v>
      </c>
      <c r="Z859">
        <v>38.580583194586026</v>
      </c>
      <c r="AA859">
        <v>44.162499999999994</v>
      </c>
      <c r="AB859">
        <v>20.188749999999999</v>
      </c>
      <c r="AC859">
        <f t="shared" si="363"/>
        <v>1.3220319050030268E-2</v>
      </c>
      <c r="AD859">
        <f t="shared" si="363"/>
        <v>5.5371740633255798E-2</v>
      </c>
      <c r="AE859">
        <f t="shared" si="364"/>
        <v>4.2151421583225532E-2</v>
      </c>
      <c r="AF859">
        <f t="shared" si="365"/>
        <v>0.19454479313936884</v>
      </c>
      <c r="AH859">
        <f t="shared" si="366"/>
        <v>3.3852751906006472E-2</v>
      </c>
      <c r="AI859">
        <f t="shared" si="366"/>
        <v>0.12284193752417397</v>
      </c>
      <c r="AJ859">
        <f t="shared" si="367"/>
        <v>8.8989185618167488E-2</v>
      </c>
      <c r="AK859">
        <f t="shared" si="368"/>
        <v>0.1798063042154649</v>
      </c>
      <c r="AM859">
        <f t="shared" si="369"/>
        <v>0.26904375448989348</v>
      </c>
      <c r="AN859">
        <f t="shared" si="369"/>
        <v>7.1457724761153536E-3</v>
      </c>
      <c r="AO859">
        <f t="shared" si="370"/>
        <v>-0.26189798201377812</v>
      </c>
      <c r="AP859">
        <f t="shared" si="371"/>
        <v>-0.90835151143306436</v>
      </c>
      <c r="AR859" t="str">
        <f t="shared" si="372"/>
        <v/>
      </c>
      <c r="AS859" t="str">
        <f t="shared" si="373"/>
        <v/>
      </c>
      <c r="AT859" t="str">
        <f t="shared" si="374"/>
        <v/>
      </c>
      <c r="AU859" t="str">
        <f t="shared" si="375"/>
        <v/>
      </c>
    </row>
    <row r="860" spans="1:47" x14ac:dyDescent="0.25">
      <c r="A860" s="4">
        <f>DATE(2021,4,14)</f>
        <v>44300</v>
      </c>
      <c r="B860">
        <v>-8.7226264030593192E-3</v>
      </c>
      <c r="C860">
        <v>60.912774247849896</v>
      </c>
      <c r="D860">
        <v>0.76469266097704303</v>
      </c>
      <c r="E860">
        <f t="shared" si="351"/>
        <v>-0.25085314508624507</v>
      </c>
      <c r="F860">
        <f t="shared" si="352"/>
        <v>0.20068099612931833</v>
      </c>
      <c r="G860">
        <f t="shared" si="353"/>
        <v>0.17959284003876688</v>
      </c>
      <c r="H860" s="2" t="str">
        <f t="shared" si="354"/>
        <v>Higher</v>
      </c>
      <c r="I860" s="2" t="str">
        <f t="shared" si="355"/>
        <v>Lower</v>
      </c>
      <c r="J860" s="2" t="str">
        <f t="shared" si="356"/>
        <v>Higher</v>
      </c>
      <c r="K860" s="2" t="str">
        <f t="shared" si="357"/>
        <v>Higher</v>
      </c>
      <c r="L860" s="2" t="str">
        <f t="shared" si="358"/>
        <v>Lower</v>
      </c>
      <c r="M860" s="2" t="str">
        <f t="shared" si="359"/>
        <v>Higher</v>
      </c>
      <c r="N860" s="2" t="str">
        <f t="shared" si="360"/>
        <v>Higher</v>
      </c>
      <c r="O860" s="2" t="str">
        <f t="shared" si="361"/>
        <v>Lower</v>
      </c>
      <c r="P860" s="2" t="str">
        <f t="shared" si="362"/>
        <v>Higher</v>
      </c>
      <c r="X860" s="4">
        <f>DATE(2021,4,14)</f>
        <v>44300</v>
      </c>
      <c r="Y860">
        <v>27.368084192819154</v>
      </c>
      <c r="Z860">
        <v>33.962402861539474</v>
      </c>
      <c r="AA860">
        <v>43.817499999999995</v>
      </c>
      <c r="AB860">
        <v>19.68375</v>
      </c>
      <c r="AC860">
        <f t="shared" si="363"/>
        <v>-1.9379851026787994E-3</v>
      </c>
      <c r="AD860">
        <f t="shared" si="363"/>
        <v>1.6197018728561711E-2</v>
      </c>
      <c r="AE860">
        <f t="shared" si="364"/>
        <v>1.8135003831240511E-2</v>
      </c>
      <c r="AF860">
        <f t="shared" si="365"/>
        <v>-3.8056243408129006E-2</v>
      </c>
      <c r="AH860">
        <f t="shared" si="366"/>
        <v>2.6420012284689771E-2</v>
      </c>
      <c r="AI860">
        <f t="shared" si="366"/>
        <v>9.6390333672410913E-2</v>
      </c>
      <c r="AJ860">
        <f t="shared" si="367"/>
        <v>6.9970321387721135E-2</v>
      </c>
      <c r="AK860">
        <f t="shared" si="368"/>
        <v>9.3278926224884859E-2</v>
      </c>
      <c r="AM860">
        <f t="shared" si="369"/>
        <v>0.2820117146674988</v>
      </c>
      <c r="AN860">
        <f t="shared" si="369"/>
        <v>-4.1301970759218522E-2</v>
      </c>
      <c r="AO860">
        <f t="shared" si="370"/>
        <v>-0.32331368542671735</v>
      </c>
      <c r="AP860">
        <f t="shared" si="371"/>
        <v>-1.079468611746853</v>
      </c>
      <c r="AR860" t="str">
        <f t="shared" si="372"/>
        <v/>
      </c>
      <c r="AS860" t="str">
        <f t="shared" si="373"/>
        <v/>
      </c>
      <c r="AT860" t="str">
        <f t="shared" si="374"/>
        <v/>
      </c>
      <c r="AU860" t="str">
        <f t="shared" si="375"/>
        <v/>
      </c>
    </row>
    <row r="861" spans="1:47" x14ac:dyDescent="0.25">
      <c r="A861" s="4">
        <f>DATE(2021,4,13)</f>
        <v>44299</v>
      </c>
      <c r="B861">
        <v>2.2849752744602991E-2</v>
      </c>
      <c r="C861">
        <v>61.131330083891555</v>
      </c>
      <c r="D861">
        <v>0.79998232472072928</v>
      </c>
      <c r="E861">
        <f t="shared" si="351"/>
        <v>-9.7170395469759599E-2</v>
      </c>
      <c r="F861">
        <f t="shared" si="352"/>
        <v>0.23712487246771197</v>
      </c>
      <c r="G861">
        <f t="shared" si="353"/>
        <v>0.31224269789108744</v>
      </c>
      <c r="H861" s="2" t="str">
        <f t="shared" si="354"/>
        <v>Higher</v>
      </c>
      <c r="I861" s="2" t="str">
        <f t="shared" si="355"/>
        <v>Lower</v>
      </c>
      <c r="J861" s="2" t="str">
        <f t="shared" si="356"/>
        <v>Higher</v>
      </c>
      <c r="K861" s="2" t="str">
        <f t="shared" si="357"/>
        <v>Higher</v>
      </c>
      <c r="L861" s="2" t="str">
        <f t="shared" si="358"/>
        <v>Lower</v>
      </c>
      <c r="M861" s="2" t="str">
        <f t="shared" si="359"/>
        <v>Higher</v>
      </c>
      <c r="N861" s="2" t="str">
        <f t="shared" si="360"/>
        <v>Higher</v>
      </c>
      <c r="O861" s="2" t="str">
        <f t="shared" si="361"/>
        <v>Lower</v>
      </c>
      <c r="P861" s="2" t="str">
        <f t="shared" si="362"/>
        <v>Higher</v>
      </c>
      <c r="X861" s="4">
        <f>DATE(2021,4,13)</f>
        <v>44299</v>
      </c>
      <c r="Y861">
        <v>28.693896235951883</v>
      </c>
      <c r="Z861">
        <v>35.143966297172071</v>
      </c>
      <c r="AA861">
        <v>44.027500000000003</v>
      </c>
      <c r="AB861">
        <v>19.585000000000001</v>
      </c>
      <c r="AC861">
        <f t="shared" si="363"/>
        <v>3.5837235089805071E-3</v>
      </c>
      <c r="AD861">
        <f t="shared" si="363"/>
        <v>-8.1996327833752432E-3</v>
      </c>
      <c r="AE861">
        <f t="shared" si="364"/>
        <v>-1.1783356292355751E-2</v>
      </c>
      <c r="AF861">
        <f t="shared" si="365"/>
        <v>-0.32765231603367856</v>
      </c>
      <c r="AH861">
        <f t="shared" si="366"/>
        <v>5.0901869281447298E-2</v>
      </c>
      <c r="AI861">
        <f t="shared" si="366"/>
        <v>0.10651001447524909</v>
      </c>
      <c r="AJ861">
        <f t="shared" si="367"/>
        <v>5.5608145193801792E-2</v>
      </c>
      <c r="AK861">
        <f t="shared" si="368"/>
        <v>2.8052342502106101E-2</v>
      </c>
      <c r="AM861">
        <f t="shared" si="369"/>
        <v>0.29583514364141472</v>
      </c>
      <c r="AN861">
        <f t="shared" si="369"/>
        <v>-2.0343111042277838E-2</v>
      </c>
      <c r="AO861">
        <f t="shared" si="370"/>
        <v>-0.31617825468369254</v>
      </c>
      <c r="AP861">
        <f t="shared" si="371"/>
        <v>-1.0681159866003689</v>
      </c>
      <c r="AR861" t="str">
        <f t="shared" si="372"/>
        <v/>
      </c>
      <c r="AS861" t="str">
        <f t="shared" si="373"/>
        <v/>
      </c>
      <c r="AT861" t="str">
        <f t="shared" si="374"/>
        <v/>
      </c>
      <c r="AU861" t="str">
        <f t="shared" si="375"/>
        <v/>
      </c>
    </row>
    <row r="862" spans="1:47" x14ac:dyDescent="0.25">
      <c r="A862" s="4">
        <f>DATE(2021,4,12)</f>
        <v>44298</v>
      </c>
      <c r="B862">
        <v>5.2194871332960524E-2</v>
      </c>
      <c r="C862">
        <v>65.729858596214029</v>
      </c>
      <c r="D862">
        <v>0.98627083460671561</v>
      </c>
      <c r="E862">
        <f t="shared" si="351"/>
        <v>4.7076095445201298E-2</v>
      </c>
      <c r="F862">
        <f t="shared" si="352"/>
        <v>0.74027553288069425</v>
      </c>
      <c r="G862">
        <f t="shared" si="353"/>
        <v>0.94626766539744178</v>
      </c>
      <c r="H862" s="2" t="str">
        <f t="shared" si="354"/>
        <v>Higher</v>
      </c>
      <c r="I862" s="2" t="str">
        <f t="shared" si="355"/>
        <v>Lower</v>
      </c>
      <c r="J862" s="2" t="str">
        <f t="shared" si="356"/>
        <v>Higher</v>
      </c>
      <c r="K862" s="2" t="str">
        <f t="shared" si="357"/>
        <v>Higher</v>
      </c>
      <c r="L862" s="2" t="str">
        <f t="shared" si="358"/>
        <v>Lower</v>
      </c>
      <c r="M862" s="2" t="str">
        <f t="shared" si="359"/>
        <v>Higher</v>
      </c>
      <c r="N862" s="2" t="str">
        <f t="shared" si="360"/>
        <v>Higher</v>
      </c>
      <c r="O862" s="2" t="str">
        <f t="shared" si="361"/>
        <v>Lower</v>
      </c>
      <c r="P862" s="2" t="str">
        <f t="shared" si="362"/>
        <v>Higher</v>
      </c>
      <c r="X862" s="4">
        <f>DATE(2021,4,12)</f>
        <v>44298</v>
      </c>
      <c r="Y862">
        <v>30.059256196810622</v>
      </c>
      <c r="Z862">
        <v>35.253213874825121</v>
      </c>
      <c r="AA862">
        <v>44.277500000000003</v>
      </c>
      <c r="AB862">
        <v>19.571249999999999</v>
      </c>
      <c r="AC862">
        <f t="shared" si="363"/>
        <v>4.1678703023470473E-2</v>
      </c>
      <c r="AD862">
        <f t="shared" si="363"/>
        <v>2.0715095586042443E-2</v>
      </c>
      <c r="AE862">
        <f t="shared" si="364"/>
        <v>-2.096360743742803E-2</v>
      </c>
      <c r="AF862">
        <f t="shared" si="365"/>
        <v>-0.41716153902774972</v>
      </c>
      <c r="AH862">
        <f t="shared" si="366"/>
        <v>3.9796792329267285E-2</v>
      </c>
      <c r="AI862">
        <f t="shared" si="366"/>
        <v>7.5253360371330874E-2</v>
      </c>
      <c r="AJ862">
        <f t="shared" si="367"/>
        <v>3.545656804206359E-2</v>
      </c>
      <c r="AK862">
        <f t="shared" si="368"/>
        <v>-6.3388221586497484E-2</v>
      </c>
      <c r="AM862">
        <f t="shared" si="369"/>
        <v>0.33376572242325009</v>
      </c>
      <c r="AN862" t="str">
        <f t="shared" si="369"/>
        <v/>
      </c>
      <c r="AO862" t="str">
        <f t="shared" si="370"/>
        <v/>
      </c>
      <c r="AP862" t="str">
        <f t="shared" si="371"/>
        <v/>
      </c>
      <c r="AR862" t="str">
        <f t="shared" si="372"/>
        <v/>
      </c>
      <c r="AS862" t="str">
        <f t="shared" si="373"/>
        <v/>
      </c>
      <c r="AT862" t="str">
        <f t="shared" si="374"/>
        <v/>
      </c>
      <c r="AU862" t="str">
        <f t="shared" si="375"/>
        <v/>
      </c>
    </row>
    <row r="863" spans="1:47" x14ac:dyDescent="0.25">
      <c r="A863" s="4">
        <f>DATE(2021,4,9)</f>
        <v>44295</v>
      </c>
      <c r="B863">
        <v>1.4523755695201146E-2</v>
      </c>
      <c r="C863">
        <v>62.210380477366044</v>
      </c>
      <c r="D863">
        <v>0.83133074654606032</v>
      </c>
      <c r="E863">
        <f t="shared" si="351"/>
        <v>-0.1195513162389699</v>
      </c>
      <c r="F863">
        <f t="shared" si="352"/>
        <v>0.3818868363851235</v>
      </c>
      <c r="G863">
        <f t="shared" si="353"/>
        <v>0.44748646270642772</v>
      </c>
      <c r="H863" s="2" t="str">
        <f t="shared" si="354"/>
        <v>Higher</v>
      </c>
      <c r="I863" s="2" t="str">
        <f t="shared" si="355"/>
        <v>Lower</v>
      </c>
      <c r="J863" s="2" t="str">
        <f t="shared" si="356"/>
        <v>Higher</v>
      </c>
      <c r="K863" s="2" t="str">
        <f t="shared" si="357"/>
        <v>Higher</v>
      </c>
      <c r="L863" s="2" t="str">
        <f t="shared" si="358"/>
        <v>Lower</v>
      </c>
      <c r="M863" s="2" t="str">
        <f t="shared" si="359"/>
        <v>Higher</v>
      </c>
      <c r="N863" s="2" t="str">
        <f t="shared" si="360"/>
        <v>Higher</v>
      </c>
      <c r="O863" s="2" t="str">
        <f t="shared" si="361"/>
        <v>Lower</v>
      </c>
      <c r="P863" s="2" t="str">
        <f t="shared" si="362"/>
        <v>Higher</v>
      </c>
      <c r="X863" s="4">
        <f>DATE(2021,4,9)</f>
        <v>44295</v>
      </c>
      <c r="Y863">
        <v>26.85004914388368</v>
      </c>
      <c r="Z863">
        <v>34.163348913282796</v>
      </c>
      <c r="AA863">
        <v>43.56</v>
      </c>
      <c r="AB863">
        <v>19.036250000000003</v>
      </c>
      <c r="AC863" t="str">
        <f t="shared" si="363"/>
        <v/>
      </c>
      <c r="AD863" t="str">
        <f t="shared" si="363"/>
        <v/>
      </c>
      <c r="AE863" t="str">
        <f t="shared" si="364"/>
        <v/>
      </c>
      <c r="AF863" t="str">
        <f t="shared" si="365"/>
        <v/>
      </c>
      <c r="AH863">
        <f t="shared" si="366"/>
        <v>2.4047159782834251E-2</v>
      </c>
      <c r="AI863">
        <f t="shared" si="366"/>
        <v>3.6783603894457555E-2</v>
      </c>
      <c r="AJ863">
        <f t="shared" si="367"/>
        <v>1.2736444111623304E-2</v>
      </c>
      <c r="AK863">
        <f t="shared" si="368"/>
        <v>-0.16635614568904031</v>
      </c>
      <c r="AM863">
        <f t="shared" si="369"/>
        <v>0.30380461090230271</v>
      </c>
      <c r="AN863">
        <f t="shared" si="369"/>
        <v>-5.4685655821435718E-2</v>
      </c>
      <c r="AO863">
        <f t="shared" si="370"/>
        <v>-0.3584902667237384</v>
      </c>
      <c r="AP863">
        <f t="shared" si="371"/>
        <v>-1.1919855981606418</v>
      </c>
      <c r="AR863" t="str">
        <f t="shared" si="372"/>
        <v/>
      </c>
      <c r="AS863" t="str">
        <f t="shared" si="373"/>
        <v/>
      </c>
      <c r="AT863" t="str">
        <f t="shared" si="374"/>
        <v/>
      </c>
      <c r="AU863" t="str">
        <f t="shared" si="375"/>
        <v/>
      </c>
    </row>
    <row r="864" spans="1:47" x14ac:dyDescent="0.25">
      <c r="A864" s="4">
        <f>DATE(2021,4,8)</f>
        <v>44294</v>
      </c>
      <c r="B864">
        <v>2.2944863170109242E-2</v>
      </c>
      <c r="C864">
        <v>61.511218126585177</v>
      </c>
      <c r="D864">
        <v>0.82420661586431176</v>
      </c>
      <c r="E864">
        <f t="shared" si="351"/>
        <v>-7.4476972551978396E-2</v>
      </c>
      <c r="F864">
        <f t="shared" si="352"/>
        <v>0.32154999382268523</v>
      </c>
      <c r="G864">
        <f t="shared" si="353"/>
        <v>0.43631605673789309</v>
      </c>
      <c r="H864" s="2" t="str">
        <f t="shared" si="354"/>
        <v>Higher</v>
      </c>
      <c r="I864" s="2" t="str">
        <f t="shared" si="355"/>
        <v>Lower</v>
      </c>
      <c r="J864" s="2" t="str">
        <f t="shared" si="356"/>
        <v>Higher</v>
      </c>
      <c r="K864" s="2" t="str">
        <f t="shared" si="357"/>
        <v>Higher</v>
      </c>
      <c r="L864" s="2" t="str">
        <f t="shared" si="358"/>
        <v>Lower</v>
      </c>
      <c r="M864" s="2" t="str">
        <f t="shared" si="359"/>
        <v>Higher</v>
      </c>
      <c r="N864" s="2" t="str">
        <f t="shared" si="360"/>
        <v>Higher</v>
      </c>
      <c r="O864" s="2" t="str">
        <f t="shared" si="361"/>
        <v>Lower</v>
      </c>
      <c r="P864" s="2" t="str">
        <f t="shared" si="362"/>
        <v>Higher</v>
      </c>
      <c r="X864" s="4">
        <f>DATE(2021,4,8)</f>
        <v>44294</v>
      </c>
      <c r="Y864">
        <v>27.932017156194121</v>
      </c>
      <c r="Z864">
        <v>36.209855435610926</v>
      </c>
      <c r="AA864">
        <v>43.582499999999996</v>
      </c>
      <c r="AB864">
        <v>19.10125</v>
      </c>
      <c r="AC864">
        <f t="shared" si="363"/>
        <v>2.5622316701549623E-2</v>
      </c>
      <c r="AD864">
        <f t="shared" si="363"/>
        <v>-2.7447409729190967E-3</v>
      </c>
      <c r="AE864">
        <f t="shared" si="364"/>
        <v>-2.8367057674468718E-2</v>
      </c>
      <c r="AF864">
        <f t="shared" si="365"/>
        <v>-0.4908764086376366</v>
      </c>
      <c r="AH864">
        <f t="shared" si="366"/>
        <v>3.9668240571804236E-2</v>
      </c>
      <c r="AI864">
        <f t="shared" si="366"/>
        <v>6.1050077141862329E-2</v>
      </c>
      <c r="AJ864">
        <f t="shared" si="367"/>
        <v>2.1381836570058092E-2</v>
      </c>
      <c r="AK864">
        <f t="shared" si="368"/>
        <v>-0.12773356272999092</v>
      </c>
      <c r="AM864">
        <f t="shared" si="369"/>
        <v>0.26505243812929125</v>
      </c>
      <c r="AN864">
        <f t="shared" si="369"/>
        <v>-9.863024189049345E-2</v>
      </c>
      <c r="AO864">
        <f t="shared" si="370"/>
        <v>-0.36368268001978471</v>
      </c>
      <c r="AP864">
        <f t="shared" si="371"/>
        <v>-1.2167258543782054</v>
      </c>
      <c r="AR864" t="str">
        <f t="shared" si="372"/>
        <v/>
      </c>
      <c r="AS864" t="str">
        <f t="shared" si="373"/>
        <v/>
      </c>
      <c r="AT864" t="str">
        <f t="shared" si="374"/>
        <v/>
      </c>
      <c r="AU864" t="str">
        <f t="shared" si="375"/>
        <v/>
      </c>
    </row>
    <row r="865" spans="1:47" x14ac:dyDescent="0.25">
      <c r="A865" s="4">
        <f>DATE(2021,4,7)</f>
        <v>44293</v>
      </c>
      <c r="B865">
        <v>3.501459666732698E-2</v>
      </c>
      <c r="C865">
        <v>64.127598198578426</v>
      </c>
      <c r="D865">
        <v>0.97406727373371627</v>
      </c>
      <c r="E865">
        <f t="shared" si="351"/>
        <v>-1.413401200502333E-2</v>
      </c>
      <c r="F865">
        <f t="shared" si="352"/>
        <v>0.60308748817710378</v>
      </c>
      <c r="G865">
        <f t="shared" si="353"/>
        <v>0.93475707372642991</v>
      </c>
      <c r="H865" s="2" t="str">
        <f t="shared" si="354"/>
        <v>Higher</v>
      </c>
      <c r="I865" s="2" t="str">
        <f t="shared" si="355"/>
        <v>Lower</v>
      </c>
      <c r="J865" s="2" t="str">
        <f t="shared" si="356"/>
        <v>Higher</v>
      </c>
      <c r="K865" s="2" t="str">
        <f t="shared" si="357"/>
        <v>Higher</v>
      </c>
      <c r="L865" s="2" t="str">
        <f t="shared" si="358"/>
        <v>Lower</v>
      </c>
      <c r="M865" s="2" t="str">
        <f t="shared" si="359"/>
        <v>Higher</v>
      </c>
      <c r="N865" s="2" t="str">
        <f t="shared" si="360"/>
        <v>Higher</v>
      </c>
      <c r="O865" s="2" t="str">
        <f t="shared" si="361"/>
        <v>Lower</v>
      </c>
      <c r="P865" s="2" t="str">
        <f t="shared" si="362"/>
        <v>Higher</v>
      </c>
      <c r="X865" s="4">
        <f>DATE(2021,4,7)</f>
        <v>44293</v>
      </c>
      <c r="Y865">
        <v>29.177332223750902</v>
      </c>
      <c r="Z865">
        <v>38.39129682804456</v>
      </c>
      <c r="AA865">
        <v>43.902500000000003</v>
      </c>
      <c r="AB865">
        <v>19.3675</v>
      </c>
      <c r="AC865">
        <f t="shared" si="363"/>
        <v>3.3467690471085144E-2</v>
      </c>
      <c r="AD865">
        <f t="shared" si="363"/>
        <v>2.1001228383058058E-2</v>
      </c>
      <c r="AE865">
        <f t="shared" si="364"/>
        <v>-1.2466462088027087E-2</v>
      </c>
      <c r="AF865">
        <f t="shared" si="365"/>
        <v>-0.33972820277961924</v>
      </c>
      <c r="AH865">
        <f t="shared" si="366"/>
        <v>5.9717482568838715E-2</v>
      </c>
      <c r="AI865">
        <f t="shared" si="366"/>
        <v>9.9825327424935023E-2</v>
      </c>
      <c r="AJ865">
        <f t="shared" si="367"/>
        <v>4.0107844856096309E-2</v>
      </c>
      <c r="AK865">
        <f t="shared" si="368"/>
        <v>-4.3808216615768135E-2</v>
      </c>
      <c r="AM865">
        <f t="shared" si="369"/>
        <v>0.26276865121481258</v>
      </c>
      <c r="AN865">
        <f t="shared" si="369"/>
        <v>-0.13198120499978672</v>
      </c>
      <c r="AO865">
        <f t="shared" si="370"/>
        <v>-0.39474985621459929</v>
      </c>
      <c r="AP865">
        <f t="shared" si="371"/>
        <v>-1.3129901131133428</v>
      </c>
      <c r="AR865" t="str">
        <f t="shared" si="372"/>
        <v/>
      </c>
      <c r="AS865" t="str">
        <f t="shared" si="373"/>
        <v/>
      </c>
      <c r="AT865" t="str">
        <f t="shared" si="374"/>
        <v/>
      </c>
      <c r="AU865" t="str">
        <f t="shared" si="375"/>
        <v/>
      </c>
    </row>
    <row r="866" spans="1:47" x14ac:dyDescent="0.25">
      <c r="A866" s="4">
        <f>DATE(2021,4,6)</f>
        <v>44292</v>
      </c>
      <c r="B866">
        <v>-3.0004475504026296E-3</v>
      </c>
      <c r="C866">
        <v>66.764563045822953</v>
      </c>
      <c r="D866">
        <v>1.1454078053854788</v>
      </c>
      <c r="E866">
        <f t="shared" si="351"/>
        <v>-0.18400036247563761</v>
      </c>
      <c r="F866">
        <f t="shared" si="352"/>
        <v>0.88598617265208413</v>
      </c>
      <c r="G866">
        <f t="shared" si="353"/>
        <v>1.5058818212083129</v>
      </c>
      <c r="H866" s="2" t="str">
        <f t="shared" si="354"/>
        <v>Higher</v>
      </c>
      <c r="I866" s="2" t="str">
        <f t="shared" si="355"/>
        <v>Lower</v>
      </c>
      <c r="J866" s="2" t="str">
        <f t="shared" si="356"/>
        <v>Higher</v>
      </c>
      <c r="K866" s="2" t="str">
        <f t="shared" si="357"/>
        <v>Higher</v>
      </c>
      <c r="L866" s="2" t="str">
        <f t="shared" si="358"/>
        <v>Lower</v>
      </c>
      <c r="M866" s="2" t="str">
        <f t="shared" si="359"/>
        <v>Higher</v>
      </c>
      <c r="N866" s="2" t="str">
        <f t="shared" si="360"/>
        <v>Higher</v>
      </c>
      <c r="O866" s="2" t="str">
        <f t="shared" si="361"/>
        <v>Lower</v>
      </c>
      <c r="P866" s="2" t="str">
        <f t="shared" si="362"/>
        <v>Higher</v>
      </c>
      <c r="X866" s="4">
        <f>DATE(2021,4,6)</f>
        <v>44292</v>
      </c>
      <c r="Y866">
        <v>30.582138343615206</v>
      </c>
      <c r="Z866">
        <v>41.336586394892322</v>
      </c>
      <c r="AA866">
        <v>43.870000000000005</v>
      </c>
      <c r="AB866">
        <v>19.74625</v>
      </c>
      <c r="AC866">
        <f t="shared" si="363"/>
        <v>4.3204017797941231E-2</v>
      </c>
      <c r="AD866">
        <f t="shared" si="363"/>
        <v>5.631348753462271E-2</v>
      </c>
      <c r="AE866">
        <f t="shared" si="364"/>
        <v>1.3109469736681478E-2</v>
      </c>
      <c r="AF866">
        <f t="shared" si="365"/>
        <v>-9.5659613939455101E-2</v>
      </c>
      <c r="AH866">
        <f t="shared" si="366"/>
        <v>8.5251523948963501E-2</v>
      </c>
      <c r="AI866">
        <f t="shared" si="366"/>
        <v>0.16158471349195661</v>
      </c>
      <c r="AJ866">
        <f t="shared" si="367"/>
        <v>7.6333189542993105E-2</v>
      </c>
      <c r="AK866">
        <f t="shared" si="368"/>
        <v>0.11846759815905455</v>
      </c>
      <c r="AM866">
        <f t="shared" si="369"/>
        <v>0.23434694638657574</v>
      </c>
      <c r="AN866">
        <f t="shared" si="369"/>
        <v>-0.25242513334124456</v>
      </c>
      <c r="AO866">
        <f t="shared" si="370"/>
        <v>-0.48677207972782033</v>
      </c>
      <c r="AP866">
        <f t="shared" si="371"/>
        <v>-1.5798913658858624</v>
      </c>
      <c r="AR866" t="str">
        <f t="shared" si="372"/>
        <v/>
      </c>
      <c r="AS866" t="str">
        <f t="shared" si="373"/>
        <v/>
      </c>
      <c r="AT866" t="str">
        <f t="shared" si="374"/>
        <v/>
      </c>
      <c r="AU866" t="str">
        <f t="shared" si="375"/>
        <v/>
      </c>
    </row>
    <row r="867" spans="1:47" x14ac:dyDescent="0.25">
      <c r="A867" s="4">
        <f>DATE(2021,4,5)</f>
        <v>44291</v>
      </c>
      <c r="B867">
        <v>-0.11761726277021944</v>
      </c>
      <c r="C867">
        <v>59.574632008795298</v>
      </c>
      <c r="D867">
        <v>0.67254106686736792</v>
      </c>
      <c r="E867">
        <f t="shared" si="351"/>
        <v>-0.70471123596610774</v>
      </c>
      <c r="F867">
        <f t="shared" si="352"/>
        <v>0.16142026500759662</v>
      </c>
      <c r="G867">
        <f t="shared" si="353"/>
        <v>-8.2971672274950222E-3</v>
      </c>
      <c r="H867" s="2" t="str">
        <f t="shared" si="354"/>
        <v>Higher</v>
      </c>
      <c r="I867" s="2" t="str">
        <f t="shared" si="355"/>
        <v>Lower</v>
      </c>
      <c r="J867" s="2" t="str">
        <f t="shared" si="356"/>
        <v>Higher</v>
      </c>
      <c r="K867" s="2" t="str">
        <f t="shared" si="357"/>
        <v>Lower</v>
      </c>
      <c r="L867" s="2" t="str">
        <f t="shared" si="358"/>
        <v>Lower</v>
      </c>
      <c r="M867" s="2" t="str">
        <f t="shared" si="359"/>
        <v>Higher</v>
      </c>
      <c r="N867" s="2" t="str">
        <f t="shared" si="360"/>
        <v>Higher</v>
      </c>
      <c r="O867" s="2" t="str">
        <f t="shared" si="361"/>
        <v>Lower</v>
      </c>
      <c r="P867" s="2" t="str">
        <f t="shared" si="362"/>
        <v>Higher</v>
      </c>
      <c r="X867" s="4">
        <f>DATE(2021,4,5)</f>
        <v>44291</v>
      </c>
      <c r="Y867">
        <v>22.544815102435003</v>
      </c>
      <c r="Z867">
        <v>36.434037275254077</v>
      </c>
      <c r="AA867">
        <v>42.47</v>
      </c>
      <c r="AB867">
        <v>19.170000000000002</v>
      </c>
      <c r="AC867">
        <f t="shared" si="363"/>
        <v>1.8236865279106309E-2</v>
      </c>
      <c r="AD867">
        <f t="shared" si="363"/>
        <v>4.0860032106829244E-2</v>
      </c>
      <c r="AE867">
        <f t="shared" si="364"/>
        <v>2.2623166827722935E-2</v>
      </c>
      <c r="AF867">
        <f t="shared" si="365"/>
        <v>-5.0247245355268932E-3</v>
      </c>
      <c r="AH867">
        <f t="shared" si="366"/>
        <v>8.5172197685912485E-2</v>
      </c>
      <c r="AI867">
        <f t="shared" si="366"/>
        <v>0.16563833764988992</v>
      </c>
      <c r="AJ867">
        <f t="shared" si="367"/>
        <v>8.0466139963977432E-2</v>
      </c>
      <c r="AK867">
        <f t="shared" si="368"/>
        <v>0.1371904977029634</v>
      </c>
      <c r="AM867">
        <f t="shared" si="369"/>
        <v>0.20487201053645979</v>
      </c>
      <c r="AN867">
        <f t="shared" si="369"/>
        <v>-0.13758225348002545</v>
      </c>
      <c r="AO867">
        <f t="shared" si="370"/>
        <v>-0.34245426401648527</v>
      </c>
      <c r="AP867">
        <f t="shared" si="371"/>
        <v>-1.2032519581142802</v>
      </c>
      <c r="AR867" t="str">
        <f t="shared" si="372"/>
        <v/>
      </c>
      <c r="AS867" t="str">
        <f t="shared" si="373"/>
        <v/>
      </c>
      <c r="AT867" t="str">
        <f t="shared" si="374"/>
        <v/>
      </c>
      <c r="AU867" t="str">
        <f t="shared" si="375"/>
        <v/>
      </c>
    </row>
    <row r="868" spans="1:47" x14ac:dyDescent="0.25">
      <c r="A868" s="4">
        <f>DATE(2021,4,2)</f>
        <v>44288</v>
      </c>
      <c r="E868">
        <f t="shared" si="351"/>
        <v>-0.164959575083613</v>
      </c>
      <c r="F868">
        <f t="shared" si="352"/>
        <v>-5.9254415139835821</v>
      </c>
      <c r="G868">
        <f t="shared" si="353"/>
        <v>-2.1827512360580643</v>
      </c>
      <c r="H868" s="2" t="str">
        <f t="shared" si="354"/>
        <v>Lower</v>
      </c>
      <c r="I868" s="2" t="str">
        <f t="shared" si="355"/>
        <v>Lower</v>
      </c>
      <c r="J868" s="2" t="str">
        <f t="shared" si="356"/>
        <v>Higher</v>
      </c>
      <c r="K868" s="2" t="str">
        <f t="shared" si="357"/>
        <v>Lower</v>
      </c>
      <c r="L868" s="2" t="str">
        <f t="shared" si="358"/>
        <v>Lower</v>
      </c>
      <c r="M868" s="2" t="str">
        <f t="shared" si="359"/>
        <v>Higher</v>
      </c>
      <c r="N868" s="2" t="str">
        <f t="shared" si="360"/>
        <v>Higher</v>
      </c>
      <c r="O868" s="2" t="str">
        <f t="shared" si="361"/>
        <v>Lower</v>
      </c>
      <c r="P868" s="2" t="str">
        <f t="shared" si="362"/>
        <v>Higher</v>
      </c>
      <c r="X868" s="4">
        <f>DATE(2021,4,2)</f>
        <v>44288</v>
      </c>
      <c r="AC868" t="str">
        <f t="shared" si="363"/>
        <v/>
      </c>
      <c r="AD868" t="str">
        <f t="shared" si="363"/>
        <v/>
      </c>
      <c r="AE868" t="str">
        <f t="shared" si="364"/>
        <v/>
      </c>
      <c r="AF868" t="str">
        <f t="shared" si="365"/>
        <v/>
      </c>
      <c r="AH868" t="str">
        <f t="shared" si="366"/>
        <v/>
      </c>
      <c r="AI868" t="str">
        <f t="shared" si="366"/>
        <v/>
      </c>
      <c r="AJ868" t="str">
        <f t="shared" si="367"/>
        <v/>
      </c>
      <c r="AK868" t="str">
        <f t="shared" si="368"/>
        <v/>
      </c>
      <c r="AM868" t="str">
        <f t="shared" si="369"/>
        <v/>
      </c>
      <c r="AN868" t="str">
        <f t="shared" si="369"/>
        <v/>
      </c>
      <c r="AO868" t="str">
        <f t="shared" si="370"/>
        <v/>
      </c>
      <c r="AP868" t="str">
        <f t="shared" si="371"/>
        <v/>
      </c>
      <c r="AR868" t="str">
        <f t="shared" si="372"/>
        <v/>
      </c>
      <c r="AS868" t="str">
        <f t="shared" si="373"/>
        <v/>
      </c>
      <c r="AT868" t="str">
        <f t="shared" si="374"/>
        <v/>
      </c>
      <c r="AU868" t="str">
        <f t="shared" si="375"/>
        <v/>
      </c>
    </row>
    <row r="869" spans="1:47" x14ac:dyDescent="0.25">
      <c r="A869" s="4">
        <f>DATE(2021,4,1)</f>
        <v>44287</v>
      </c>
      <c r="B869">
        <v>-0.12596431220919468</v>
      </c>
      <c r="C869">
        <v>59.574629192579749</v>
      </c>
      <c r="D869">
        <v>0.68461606366566508</v>
      </c>
      <c r="E869">
        <f t="shared" si="351"/>
        <v>-0.7350360641177448</v>
      </c>
      <c r="F869">
        <f t="shared" si="352"/>
        <v>0.17804353077037918</v>
      </c>
      <c r="G869">
        <f t="shared" si="353"/>
        <v>4.6654630086784728E-2</v>
      </c>
      <c r="H869" s="2" t="str">
        <f t="shared" si="354"/>
        <v>Lower</v>
      </c>
      <c r="I869" s="2" t="str">
        <f t="shared" si="355"/>
        <v>Lower</v>
      </c>
      <c r="J869" s="2" t="str">
        <f t="shared" si="356"/>
        <v>Higher</v>
      </c>
      <c r="K869" s="2" t="str">
        <f t="shared" si="357"/>
        <v>Lower</v>
      </c>
      <c r="L869" s="2" t="str">
        <f t="shared" si="358"/>
        <v>Lower</v>
      </c>
      <c r="M869" s="2" t="str">
        <f t="shared" si="359"/>
        <v>Higher</v>
      </c>
      <c r="N869" s="2" t="str">
        <f t="shared" si="360"/>
        <v>Higher</v>
      </c>
      <c r="O869" s="2" t="str">
        <f t="shared" si="361"/>
        <v>Lower</v>
      </c>
      <c r="P869" s="2" t="str">
        <f t="shared" si="362"/>
        <v>Higher</v>
      </c>
      <c r="X869" s="4">
        <f>DATE(2021,4,1)</f>
        <v>44287</v>
      </c>
      <c r="Y869">
        <v>22.544807209889555</v>
      </c>
      <c r="Z869">
        <v>36.434033695001105</v>
      </c>
      <c r="AA869">
        <v>42.480000000000004</v>
      </c>
      <c r="AB869">
        <v>19.153750000000002</v>
      </c>
      <c r="AC869">
        <f t="shared" si="363"/>
        <v>4.7607953651229079E-2</v>
      </c>
      <c r="AD869">
        <f t="shared" si="363"/>
        <v>4.0079921820163518E-2</v>
      </c>
      <c r="AE869">
        <f t="shared" si="364"/>
        <v>-7.5280318310655611E-3</v>
      </c>
      <c r="AF869">
        <f t="shared" si="365"/>
        <v>-0.29340171814322485</v>
      </c>
      <c r="AH869">
        <f t="shared" si="366"/>
        <v>0.1154023970502258</v>
      </c>
      <c r="AI869">
        <f t="shared" si="366"/>
        <v>0.1891713023181994</v>
      </c>
      <c r="AJ869">
        <f t="shared" si="367"/>
        <v>7.3768905267973597E-2</v>
      </c>
      <c r="AK869">
        <f t="shared" si="368"/>
        <v>0.1064356163402804</v>
      </c>
      <c r="AM869">
        <f t="shared" si="369"/>
        <v>0.20662582672000471</v>
      </c>
      <c r="AN869">
        <f t="shared" si="369"/>
        <v>4.0544130873016015E-3</v>
      </c>
      <c r="AO869">
        <f t="shared" si="370"/>
        <v>-0.20257141363270312</v>
      </c>
      <c r="AP869">
        <f t="shared" si="371"/>
        <v>-0.8268487067547251</v>
      </c>
      <c r="AR869" t="str">
        <f t="shared" si="372"/>
        <v/>
      </c>
      <c r="AS869" t="str">
        <f t="shared" si="373"/>
        <v/>
      </c>
      <c r="AT869" t="str">
        <f t="shared" si="374"/>
        <v/>
      </c>
      <c r="AU869" t="str">
        <f t="shared" si="375"/>
        <v/>
      </c>
    </row>
    <row r="870" spans="1:47" x14ac:dyDescent="0.25">
      <c r="A870" s="4">
        <f>DATE(2021,3,31)</f>
        <v>44286</v>
      </c>
      <c r="B870">
        <v>-0.14471147196639755</v>
      </c>
      <c r="C870">
        <v>60.081136346681113</v>
      </c>
      <c r="D870">
        <v>0.70947921966752092</v>
      </c>
      <c r="E870">
        <f t="shared" si="351"/>
        <v>-0.81559626941064967</v>
      </c>
      <c r="F870">
        <f t="shared" si="352"/>
        <v>0.23963912457131598</v>
      </c>
      <c r="G870">
        <f t="shared" si="353"/>
        <v>0.13715970018252338</v>
      </c>
      <c r="H870" s="2" t="str">
        <f t="shared" si="354"/>
        <v>Lower</v>
      </c>
      <c r="I870" s="2" t="str">
        <f t="shared" si="355"/>
        <v>Lower</v>
      </c>
      <c r="J870" s="2" t="str">
        <f t="shared" si="356"/>
        <v>Higher</v>
      </c>
      <c r="K870" s="2" t="str">
        <f t="shared" si="357"/>
        <v>Lower</v>
      </c>
      <c r="L870" s="2" t="str">
        <f t="shared" si="358"/>
        <v>Lower</v>
      </c>
      <c r="M870" s="2" t="str">
        <f t="shared" si="359"/>
        <v>Higher</v>
      </c>
      <c r="N870" s="2" t="str">
        <f t="shared" si="360"/>
        <v>Lower</v>
      </c>
      <c r="O870" s="2" t="str">
        <f t="shared" si="361"/>
        <v>Lower</v>
      </c>
      <c r="P870" s="2" t="str">
        <f t="shared" si="362"/>
        <v>Higher</v>
      </c>
      <c r="X870" s="4">
        <f>DATE(2021,3,31)</f>
        <v>44286</v>
      </c>
      <c r="Y870">
        <v>22.964984295278743</v>
      </c>
      <c r="Z870">
        <v>36.400148130107169</v>
      </c>
      <c r="AA870">
        <v>42.457499999999996</v>
      </c>
      <c r="AB870">
        <v>18.965000000000003</v>
      </c>
      <c r="AC870">
        <f t="shared" si="363"/>
        <v>2.5101929111124122E-2</v>
      </c>
      <c r="AD870">
        <f t="shared" si="363"/>
        <v>2.441911980574599E-2</v>
      </c>
      <c r="AE870">
        <f t="shared" si="364"/>
        <v>-6.82809305378132E-4</v>
      </c>
      <c r="AF870">
        <f t="shared" si="365"/>
        <v>-0.22923274878831065</v>
      </c>
      <c r="AH870">
        <f t="shared" si="366"/>
        <v>0.12083485252774781</v>
      </c>
      <c r="AI870">
        <f t="shared" si="366"/>
        <v>0.19805233767962649</v>
      </c>
      <c r="AJ870">
        <f t="shared" si="367"/>
        <v>7.7217485151878679E-2</v>
      </c>
      <c r="AK870">
        <f t="shared" si="368"/>
        <v>0.12197561173796205</v>
      </c>
      <c r="AM870">
        <f t="shared" si="369"/>
        <v>0.23845178902255004</v>
      </c>
      <c r="AN870">
        <f t="shared" si="369"/>
        <v>6.5857608520501251E-2</v>
      </c>
      <c r="AO870">
        <f t="shared" si="370"/>
        <v>-0.17259418050204878</v>
      </c>
      <c r="AP870">
        <f t="shared" si="371"/>
        <v>-0.74801872924846369</v>
      </c>
      <c r="AR870" t="str">
        <f t="shared" si="372"/>
        <v/>
      </c>
      <c r="AS870" t="str">
        <f t="shared" si="373"/>
        <v/>
      </c>
      <c r="AT870" t="str">
        <f t="shared" si="374"/>
        <v/>
      </c>
      <c r="AU870" t="str">
        <f t="shared" si="375"/>
        <v/>
      </c>
    </row>
    <row r="871" spans="1:47" x14ac:dyDescent="0.25">
      <c r="A871" s="4">
        <f>DATE(2021,3,30)</f>
        <v>44285</v>
      </c>
      <c r="B871">
        <v>-0.18708714690156358</v>
      </c>
      <c r="C871">
        <v>58.00908709774459</v>
      </c>
      <c r="D871">
        <v>0.63796134838282192</v>
      </c>
      <c r="E871">
        <f t="shared" si="351"/>
        <v>-1.0046582078510429</v>
      </c>
      <c r="F871">
        <f t="shared" si="352"/>
        <v>3.8826603056742008E-2</v>
      </c>
      <c r="G871">
        <f t="shared" si="353"/>
        <v>-8.3293073079073937E-2</v>
      </c>
      <c r="H871" s="2" t="str">
        <f t="shared" si="354"/>
        <v>Lower</v>
      </c>
      <c r="I871" s="2" t="str">
        <f t="shared" si="355"/>
        <v>Higher</v>
      </c>
      <c r="J871" s="2" t="str">
        <f t="shared" si="356"/>
        <v>Higher</v>
      </c>
      <c r="K871" s="2" t="str">
        <f t="shared" si="357"/>
        <v>Lower</v>
      </c>
      <c r="L871" s="2" t="str">
        <f t="shared" si="358"/>
        <v>Lower</v>
      </c>
      <c r="M871" s="2" t="str">
        <f t="shared" si="359"/>
        <v>Higher</v>
      </c>
      <c r="N871" s="2" t="str">
        <f t="shared" si="360"/>
        <v>Lower</v>
      </c>
      <c r="O871" s="2" t="str">
        <f t="shared" si="361"/>
        <v>Lower</v>
      </c>
      <c r="P871" s="2" t="str">
        <f t="shared" si="362"/>
        <v>Higher</v>
      </c>
      <c r="X871" s="4">
        <f>DATE(2021,3,30)</f>
        <v>44285</v>
      </c>
      <c r="Y871">
        <v>22.5383759692916</v>
      </c>
      <c r="Z871">
        <v>34.748699083484908</v>
      </c>
      <c r="AA871">
        <v>42.015000000000001</v>
      </c>
      <c r="AB871">
        <v>18.664999999999999</v>
      </c>
      <c r="AC871">
        <f t="shared" si="363"/>
        <v>6.1476214982159275E-3</v>
      </c>
      <c r="AD871">
        <f t="shared" si="363"/>
        <v>2.515983932356974E-2</v>
      </c>
      <c r="AE871">
        <f t="shared" si="364"/>
        <v>1.9012217825353811E-2</v>
      </c>
      <c r="AF871">
        <f t="shared" si="365"/>
        <v>-4.3377815603754456E-2</v>
      </c>
      <c r="AH871">
        <f t="shared" si="366"/>
        <v>0.10057212525843315</v>
      </c>
      <c r="AI871">
        <f t="shared" si="366"/>
        <v>0.16080281253812029</v>
      </c>
      <c r="AJ871">
        <f t="shared" si="367"/>
        <v>6.023068727968714E-2</v>
      </c>
      <c r="AK871">
        <f t="shared" si="368"/>
        <v>4.7133848420837274E-2</v>
      </c>
      <c r="AM871">
        <f t="shared" si="369"/>
        <v>0.23834236900337197</v>
      </c>
      <c r="AN871">
        <f t="shared" si="369"/>
        <v>2.4061616960461819E-2</v>
      </c>
      <c r="AO871">
        <f t="shared" si="370"/>
        <v>-0.21428075204291014</v>
      </c>
      <c r="AP871">
        <f t="shared" si="371"/>
        <v>-0.86769230745954939</v>
      </c>
      <c r="AR871" t="str">
        <f t="shared" si="372"/>
        <v/>
      </c>
      <c r="AS871" t="str">
        <f t="shared" si="373"/>
        <v/>
      </c>
      <c r="AT871" t="str">
        <f t="shared" si="374"/>
        <v/>
      </c>
      <c r="AU871" t="str">
        <f t="shared" si="375"/>
        <v/>
      </c>
    </row>
    <row r="872" spans="1:47" x14ac:dyDescent="0.25">
      <c r="A872" s="4">
        <f>DATE(2021,3,29)</f>
        <v>44284</v>
      </c>
      <c r="B872">
        <v>-0.20508971277756216</v>
      </c>
      <c r="C872">
        <v>57.18364354700509</v>
      </c>
      <c r="D872">
        <v>0.62692171019836751</v>
      </c>
      <c r="E872">
        <f t="shared" si="351"/>
        <v>-1.0830457703221201</v>
      </c>
      <c r="F872">
        <f t="shared" si="352"/>
        <v>-3.5679197560945737E-2</v>
      </c>
      <c r="G872">
        <f t="shared" si="353"/>
        <v>-0.10905846947361726</v>
      </c>
      <c r="H872" s="2" t="str">
        <f t="shared" si="354"/>
        <v>Lower</v>
      </c>
      <c r="I872" s="2" t="str">
        <f t="shared" si="355"/>
        <v>Higher</v>
      </c>
      <c r="J872" s="2" t="str">
        <f t="shared" si="356"/>
        <v>Higher</v>
      </c>
      <c r="K872" s="2" t="str">
        <f t="shared" si="357"/>
        <v>Lower</v>
      </c>
      <c r="L872" s="2" t="str">
        <f t="shared" si="358"/>
        <v>Lower</v>
      </c>
      <c r="M872" s="2" t="str">
        <f t="shared" si="359"/>
        <v>Higher</v>
      </c>
      <c r="N872" s="2" t="str">
        <f t="shared" si="360"/>
        <v>Lower</v>
      </c>
      <c r="O872" s="2" t="str">
        <f t="shared" si="361"/>
        <v>Lower</v>
      </c>
      <c r="P872" s="2" t="str">
        <f t="shared" si="362"/>
        <v>Higher</v>
      </c>
      <c r="X872" s="4">
        <f>DATE(2021,3,29)</f>
        <v>44284</v>
      </c>
      <c r="Y872">
        <v>22.74335280217403</v>
      </c>
      <c r="Z872">
        <v>34.427178721502223</v>
      </c>
      <c r="AA872">
        <v>41.702500000000001</v>
      </c>
      <c r="AB872">
        <v>18.4025</v>
      </c>
      <c r="AC872">
        <f t="shared" si="363"/>
        <v>-2.1117102391486817E-2</v>
      </c>
      <c r="AD872">
        <f t="shared" si="363"/>
        <v>2.9992940753493104E-2</v>
      </c>
      <c r="AE872">
        <f t="shared" si="364"/>
        <v>5.1110043144979925E-2</v>
      </c>
      <c r="AF872">
        <f t="shared" si="365"/>
        <v>0.25948581036772755</v>
      </c>
      <c r="AH872">
        <f t="shared" si="366"/>
        <v>0.10942527701865674</v>
      </c>
      <c r="AI872">
        <f t="shared" si="366"/>
        <v>0.13701134753372465</v>
      </c>
      <c r="AJ872">
        <f t="shared" si="367"/>
        <v>2.7586070515067909E-2</v>
      </c>
      <c r="AK872">
        <f t="shared" si="368"/>
        <v>-9.6618069894536238E-2</v>
      </c>
      <c r="AM872">
        <f t="shared" si="369"/>
        <v>0.21655598109104227</v>
      </c>
      <c r="AN872">
        <f t="shared" si="369"/>
        <v>-7.6221133666302565E-2</v>
      </c>
      <c r="AO872">
        <f t="shared" si="370"/>
        <v>-0.2927771147573448</v>
      </c>
      <c r="AP872">
        <f t="shared" si="371"/>
        <v>-1.0914785908431808</v>
      </c>
      <c r="AR872" t="str">
        <f t="shared" si="372"/>
        <v/>
      </c>
      <c r="AS872" t="str">
        <f t="shared" si="373"/>
        <v/>
      </c>
      <c r="AT872" t="str">
        <f t="shared" si="374"/>
        <v/>
      </c>
      <c r="AU872" t="str">
        <f t="shared" si="375"/>
        <v/>
      </c>
    </row>
    <row r="873" spans="1:47" x14ac:dyDescent="0.25">
      <c r="A873" s="4">
        <f>DATE(2021,3,26)</f>
        <v>44281</v>
      </c>
      <c r="B873">
        <v>-0.21392475153204504</v>
      </c>
      <c r="C873">
        <v>56.70949418122661</v>
      </c>
      <c r="D873">
        <v>0.62957779760369226</v>
      </c>
      <c r="E873">
        <f t="shared" si="351"/>
        <v>-1.1203604942408885</v>
      </c>
      <c r="F873">
        <f t="shared" si="352"/>
        <v>-7.8093478165333061E-2</v>
      </c>
      <c r="G873">
        <f t="shared" si="353"/>
        <v>-9.6291548453637896E-2</v>
      </c>
      <c r="H873" s="2" t="str">
        <f t="shared" si="354"/>
        <v>Lower</v>
      </c>
      <c r="I873" s="2" t="str">
        <f t="shared" si="355"/>
        <v>Higher</v>
      </c>
      <c r="J873" s="2" t="str">
        <f t="shared" si="356"/>
        <v>Higher</v>
      </c>
      <c r="K873" s="2" t="str">
        <f t="shared" si="357"/>
        <v>Lower</v>
      </c>
      <c r="L873" s="2" t="str">
        <f t="shared" si="358"/>
        <v>Lower</v>
      </c>
      <c r="M873" s="2" t="str">
        <f t="shared" si="359"/>
        <v>Higher</v>
      </c>
      <c r="N873" s="2" t="str">
        <f t="shared" si="360"/>
        <v>Lower</v>
      </c>
      <c r="O873" s="2" t="str">
        <f t="shared" si="361"/>
        <v>Lower</v>
      </c>
      <c r="P873" s="2" t="str">
        <f t="shared" si="362"/>
        <v>Higher</v>
      </c>
      <c r="X873" s="4">
        <f>DATE(2021,3,26)</f>
        <v>44281</v>
      </c>
      <c r="Y873">
        <v>22.127588710740614</v>
      </c>
      <c r="Z873">
        <v>36.58281613138422</v>
      </c>
      <c r="AA873">
        <v>41.372500000000002</v>
      </c>
      <c r="AB873">
        <v>18.698749999999997</v>
      </c>
      <c r="AC873">
        <f t="shared" si="363"/>
        <v>-1.1833746745433865E-2</v>
      </c>
      <c r="AD873">
        <f t="shared" si="363"/>
        <v>7.6811309716581747E-2</v>
      </c>
      <c r="AE873">
        <f t="shared" si="364"/>
        <v>8.8645056462015606E-2</v>
      </c>
      <c r="AF873">
        <f t="shared" si="365"/>
        <v>0.61344757662628857</v>
      </c>
      <c r="AH873">
        <f t="shared" si="366"/>
        <v>9.9075796105365418E-2</v>
      </c>
      <c r="AI873">
        <f t="shared" si="366"/>
        <v>0.17296642878249294</v>
      </c>
      <c r="AJ873">
        <f t="shared" si="367"/>
        <v>7.3890632677127518E-2</v>
      </c>
      <c r="AK873">
        <f t="shared" si="368"/>
        <v>0.10651621135969122</v>
      </c>
      <c r="AM873" t="str">
        <f t="shared" si="369"/>
        <v/>
      </c>
      <c r="AN873" t="str">
        <f t="shared" si="369"/>
        <v/>
      </c>
      <c r="AO873" t="str">
        <f t="shared" si="370"/>
        <v/>
      </c>
      <c r="AP873" t="str">
        <f t="shared" si="371"/>
        <v/>
      </c>
      <c r="AR873" t="str">
        <f t="shared" si="372"/>
        <v/>
      </c>
      <c r="AS873" t="str">
        <f t="shared" si="373"/>
        <v/>
      </c>
      <c r="AT873" t="str">
        <f t="shared" si="374"/>
        <v/>
      </c>
      <c r="AU873" t="str">
        <f t="shared" si="375"/>
        <v/>
      </c>
    </row>
    <row r="874" spans="1:47" x14ac:dyDescent="0.25">
      <c r="A874" s="4">
        <f>DATE(2021,3,25)</f>
        <v>44280</v>
      </c>
      <c r="B874">
        <v>-0.21628652466475118</v>
      </c>
      <c r="C874">
        <v>50.903717948959091</v>
      </c>
      <c r="D874">
        <v>0.47417694706897107</v>
      </c>
      <c r="E874">
        <f t="shared" si="351"/>
        <v>-1.120935713085401</v>
      </c>
      <c r="F874">
        <f t="shared" si="352"/>
        <v>-0.64668299316793609</v>
      </c>
      <c r="G874">
        <f t="shared" si="353"/>
        <v>-0.57221721452176821</v>
      </c>
      <c r="H874" s="2" t="str">
        <f t="shared" si="354"/>
        <v>Lower</v>
      </c>
      <c r="I874" s="2" t="str">
        <f t="shared" si="355"/>
        <v>Higher</v>
      </c>
      <c r="J874" s="2" t="str">
        <f t="shared" si="356"/>
        <v>Higher</v>
      </c>
      <c r="K874" s="2" t="str">
        <f t="shared" si="357"/>
        <v>Lower</v>
      </c>
      <c r="L874" s="2" t="str">
        <f t="shared" si="358"/>
        <v>Lower</v>
      </c>
      <c r="M874" s="2" t="str">
        <f t="shared" si="359"/>
        <v>Higher</v>
      </c>
      <c r="N874" s="2" t="str">
        <f t="shared" si="360"/>
        <v>Lower</v>
      </c>
      <c r="O874" s="2" t="str">
        <f t="shared" si="361"/>
        <v>Lower</v>
      </c>
      <c r="P874" s="2" t="str">
        <f t="shared" si="362"/>
        <v>Higher</v>
      </c>
      <c r="X874" s="4">
        <f>DATE(2021,3,25)</f>
        <v>44280</v>
      </c>
      <c r="Y874">
        <v>23.247012757397794</v>
      </c>
      <c r="Z874">
        <v>36.015247905677903</v>
      </c>
      <c r="AA874">
        <v>40.504999999999995</v>
      </c>
      <c r="AB874">
        <v>18.401249999999997</v>
      </c>
      <c r="AC874">
        <f t="shared" si="363"/>
        <v>-5.259783749680242E-2</v>
      </c>
      <c r="AD874">
        <f t="shared" si="363"/>
        <v>3.0135016043673954E-2</v>
      </c>
      <c r="AE874">
        <f t="shared" si="364"/>
        <v>8.2732853540476381E-2</v>
      </c>
      <c r="AF874">
        <f t="shared" si="365"/>
        <v>0.56020084580924545</v>
      </c>
      <c r="AH874">
        <f t="shared" si="366"/>
        <v>4.8626617489605076E-2</v>
      </c>
      <c r="AI874">
        <f t="shared" si="366"/>
        <v>0.13663186892673893</v>
      </c>
      <c r="AJ874">
        <f t="shared" si="367"/>
        <v>8.800525143713385E-2</v>
      </c>
      <c r="AK874">
        <f t="shared" si="368"/>
        <v>0.16852973181605935</v>
      </c>
      <c r="AM874">
        <f t="shared" si="369"/>
        <v>0.21672977281960779</v>
      </c>
      <c r="AN874">
        <f t="shared" si="369"/>
        <v>-3.8577782622513858E-2</v>
      </c>
      <c r="AO874">
        <f t="shared" si="370"/>
        <v>-0.25530755544212164</v>
      </c>
      <c r="AP874">
        <f t="shared" si="371"/>
        <v>-0.99806283271751051</v>
      </c>
      <c r="AR874" t="str">
        <f t="shared" si="372"/>
        <v/>
      </c>
      <c r="AS874" t="str">
        <f t="shared" si="373"/>
        <v/>
      </c>
      <c r="AT874" t="str">
        <f t="shared" si="374"/>
        <v/>
      </c>
      <c r="AU874" t="str">
        <f t="shared" si="375"/>
        <v/>
      </c>
    </row>
    <row r="875" spans="1:47" x14ac:dyDescent="0.25">
      <c r="A875" s="4">
        <f>DATE(2021,3,24)</f>
        <v>44279</v>
      </c>
      <c r="B875">
        <v>-8.060976001176523E-2</v>
      </c>
      <c r="C875">
        <v>57.375779762235247</v>
      </c>
      <c r="D875">
        <v>0.64117825295340591</v>
      </c>
      <c r="E875">
        <f t="shared" si="351"/>
        <v>-0.50390988574339357</v>
      </c>
      <c r="F875">
        <f t="shared" si="352"/>
        <v>3.4394854558374446E-3</v>
      </c>
      <c r="G875">
        <f t="shared" si="353"/>
        <v>-3.9598673600861369E-2</v>
      </c>
      <c r="H875" s="2" t="str">
        <f t="shared" si="354"/>
        <v>Lower</v>
      </c>
      <c r="I875" s="2" t="str">
        <f t="shared" si="355"/>
        <v>Higher</v>
      </c>
      <c r="J875" s="2" t="str">
        <f t="shared" si="356"/>
        <v>Higher</v>
      </c>
      <c r="K875" s="2" t="str">
        <f t="shared" si="357"/>
        <v>Lower</v>
      </c>
      <c r="L875" s="2" t="str">
        <f t="shared" si="358"/>
        <v>Lower</v>
      </c>
      <c r="M875" s="2" t="str">
        <f t="shared" si="359"/>
        <v>Higher</v>
      </c>
      <c r="N875" s="2" t="str">
        <f t="shared" si="360"/>
        <v>Lower</v>
      </c>
      <c r="O875" s="2" t="str">
        <f t="shared" si="361"/>
        <v>Higher</v>
      </c>
      <c r="P875" s="2" t="str">
        <f t="shared" si="362"/>
        <v>Higher</v>
      </c>
      <c r="X875" s="4">
        <f>DATE(2021,3,24)</f>
        <v>44279</v>
      </c>
      <c r="Y875">
        <v>25.893085483827178</v>
      </c>
      <c r="Z875">
        <v>37.205349051296565</v>
      </c>
      <c r="AA875">
        <v>41.405000000000001</v>
      </c>
      <c r="AB875">
        <v>18.5075</v>
      </c>
      <c r="AC875">
        <f t="shared" si="363"/>
        <v>-3.0211622194840821E-2</v>
      </c>
      <c r="AD875">
        <f t="shared" si="363"/>
        <v>3.4772966755044973E-2</v>
      </c>
      <c r="AE875">
        <f t="shared" si="364"/>
        <v>6.4984588949885791E-2</v>
      </c>
      <c r="AF875">
        <f t="shared" si="365"/>
        <v>0.39587411878397832</v>
      </c>
      <c r="AH875">
        <f t="shared" si="366"/>
        <v>6.0737839190139066E-2</v>
      </c>
      <c r="AI875">
        <f t="shared" si="366"/>
        <v>0.12716433351855908</v>
      </c>
      <c r="AJ875">
        <f t="shared" si="367"/>
        <v>6.6426494328420016E-2</v>
      </c>
      <c r="AK875">
        <f t="shared" si="368"/>
        <v>7.4810820943220752E-2</v>
      </c>
      <c r="AM875">
        <f t="shared" si="369"/>
        <v>0.24370120333556447</v>
      </c>
      <c r="AN875">
        <f t="shared" si="369"/>
        <v>-2.9874814147726407E-2</v>
      </c>
      <c r="AO875">
        <f t="shared" si="370"/>
        <v>-0.27357601748329086</v>
      </c>
      <c r="AP875">
        <f t="shared" si="371"/>
        <v>-1.0569038413599137</v>
      </c>
      <c r="AR875" t="str">
        <f t="shared" si="372"/>
        <v/>
      </c>
      <c r="AS875" t="str">
        <f t="shared" si="373"/>
        <v/>
      </c>
      <c r="AT875" t="str">
        <f t="shared" si="374"/>
        <v/>
      </c>
      <c r="AU875" t="str">
        <f t="shared" si="375"/>
        <v/>
      </c>
    </row>
    <row r="876" spans="1:47" x14ac:dyDescent="0.25">
      <c r="A876" s="4">
        <f>DATE(2021,3,23)</f>
        <v>44278</v>
      </c>
      <c r="B876">
        <v>-4.6138242877777902E-3</v>
      </c>
      <c r="C876">
        <v>56.680238572487546</v>
      </c>
      <c r="D876">
        <v>0.63529661387721026</v>
      </c>
      <c r="E876">
        <f t="shared" si="351"/>
        <v>-0.15441769614063014</v>
      </c>
      <c r="F876">
        <f t="shared" si="352"/>
        <v>-5.5333477060570936E-2</v>
      </c>
      <c r="G876">
        <f t="shared" si="353"/>
        <v>-4.480205641019315E-2</v>
      </c>
      <c r="H876" s="2" t="str">
        <f t="shared" si="354"/>
        <v>Lower</v>
      </c>
      <c r="I876" s="2" t="str">
        <f t="shared" si="355"/>
        <v>Higher</v>
      </c>
      <c r="J876" s="2" t="str">
        <f t="shared" si="356"/>
        <v>Higher</v>
      </c>
      <c r="K876" s="2" t="str">
        <f t="shared" si="357"/>
        <v>Lower</v>
      </c>
      <c r="L876" s="2" t="str">
        <f t="shared" si="358"/>
        <v>Lower</v>
      </c>
      <c r="M876" s="2" t="str">
        <f t="shared" si="359"/>
        <v>Higher</v>
      </c>
      <c r="N876" s="2" t="str">
        <f t="shared" si="360"/>
        <v>Lower</v>
      </c>
      <c r="O876" s="2" t="str">
        <f t="shared" si="361"/>
        <v>Higher</v>
      </c>
      <c r="P876" s="2" t="str">
        <f t="shared" si="362"/>
        <v>Higher</v>
      </c>
      <c r="X876" s="4">
        <f>DATE(2021,3,23)</f>
        <v>44278</v>
      </c>
      <c r="Y876">
        <v>27.234537594420111</v>
      </c>
      <c r="Z876">
        <v>35.904706061554897</v>
      </c>
      <c r="AA876">
        <v>41.7575</v>
      </c>
      <c r="AB876">
        <v>18.201250000000002</v>
      </c>
      <c r="AC876">
        <f t="shared" si="363"/>
        <v>-2.0334935236904846E-3</v>
      </c>
      <c r="AD876">
        <f t="shared" si="363"/>
        <v>3.3236320400431743E-2</v>
      </c>
      <c r="AE876">
        <f t="shared" si="364"/>
        <v>3.5269813924122227E-2</v>
      </c>
      <c r="AF876">
        <f t="shared" si="365"/>
        <v>0.11941480434164636</v>
      </c>
      <c r="AH876">
        <f t="shared" si="366"/>
        <v>8.4472869974604445E-2</v>
      </c>
      <c r="AI876">
        <f t="shared" si="366"/>
        <v>0.11416689104625942</v>
      </c>
      <c r="AJ876">
        <f t="shared" si="367"/>
        <v>2.9694021071654975E-2</v>
      </c>
      <c r="AK876">
        <f t="shared" si="368"/>
        <v>-8.4648881038411672E-2</v>
      </c>
      <c r="AM876">
        <f t="shared" si="369"/>
        <v>0.23491707223543098</v>
      </c>
      <c r="AN876">
        <f t="shared" si="369"/>
        <v>-3.4027450853496836E-2</v>
      </c>
      <c r="AO876">
        <f t="shared" si="370"/>
        <v>-0.2689445230889278</v>
      </c>
      <c r="AP876">
        <f t="shared" si="371"/>
        <v>-1.0529984270278985</v>
      </c>
      <c r="AR876" t="str">
        <f t="shared" si="372"/>
        <v/>
      </c>
      <c r="AS876" t="str">
        <f t="shared" si="373"/>
        <v/>
      </c>
      <c r="AT876" t="str">
        <f t="shared" si="374"/>
        <v/>
      </c>
      <c r="AU876" t="str">
        <f t="shared" si="375"/>
        <v/>
      </c>
    </row>
    <row r="877" spans="1:47" x14ac:dyDescent="0.25">
      <c r="A877" s="4">
        <f>DATE(2021,3,22)</f>
        <v>44277</v>
      </c>
      <c r="B877">
        <v>0.11409631570588163</v>
      </c>
      <c r="C877">
        <v>64.827809880621984</v>
      </c>
      <c r="D877">
        <v>0.82295399896818122</v>
      </c>
      <c r="E877">
        <f t="shared" si="351"/>
        <v>0.38213812825035021</v>
      </c>
      <c r="F877">
        <f t="shared" si="352"/>
        <v>0.75369939666096009</v>
      </c>
      <c r="G877">
        <f t="shared" si="353"/>
        <v>0.54076267973729109</v>
      </c>
      <c r="H877" s="2" t="str">
        <f t="shared" si="354"/>
        <v>Lower</v>
      </c>
      <c r="I877" s="2" t="str">
        <f t="shared" si="355"/>
        <v>Higher</v>
      </c>
      <c r="J877" s="2" t="str">
        <f t="shared" si="356"/>
        <v>Higher</v>
      </c>
      <c r="K877" s="2" t="str">
        <f t="shared" si="357"/>
        <v>Lower</v>
      </c>
      <c r="L877" s="2" t="str">
        <f t="shared" si="358"/>
        <v>Lower</v>
      </c>
      <c r="M877" s="2" t="str">
        <f t="shared" si="359"/>
        <v>Higher</v>
      </c>
      <c r="N877" s="2" t="str">
        <f t="shared" si="360"/>
        <v>Lower</v>
      </c>
      <c r="O877" s="2" t="str">
        <f t="shared" si="361"/>
        <v>Higher</v>
      </c>
      <c r="P877" s="2" t="str">
        <f t="shared" si="362"/>
        <v>Higher</v>
      </c>
      <c r="X877" s="4">
        <f>DATE(2021,3,22)</f>
        <v>44277</v>
      </c>
      <c r="Y877">
        <v>29.49599789829065</v>
      </c>
      <c r="Z877">
        <v>35.426319244085121</v>
      </c>
      <c r="AA877">
        <v>42.592500000000001</v>
      </c>
      <c r="AB877">
        <v>17.858750000000001</v>
      </c>
      <c r="AC877">
        <f t="shared" si="363"/>
        <v>9.9832641817713605E-4</v>
      </c>
      <c r="AD877">
        <f t="shared" si="363"/>
        <v>-1.6314708075033931E-2</v>
      </c>
      <c r="AE877">
        <f t="shared" si="364"/>
        <v>-1.7313034493211067E-2</v>
      </c>
      <c r="AF877">
        <f t="shared" si="365"/>
        <v>-0.37006788732672025</v>
      </c>
      <c r="AH877">
        <f t="shared" si="366"/>
        <v>0.12354445022249895</v>
      </c>
      <c r="AI877">
        <f t="shared" si="366"/>
        <v>0.10998299000936639</v>
      </c>
      <c r="AJ877">
        <f t="shared" si="367"/>
        <v>-1.3561460213132565E-2</v>
      </c>
      <c r="AK877">
        <f t="shared" si="368"/>
        <v>-0.27216366484683496</v>
      </c>
      <c r="AM877">
        <f t="shared" si="369"/>
        <v>0.24980624610829308</v>
      </c>
      <c r="AN877">
        <f t="shared" si="369"/>
        <v>-6.9809131429424118E-2</v>
      </c>
      <c r="AO877">
        <f t="shared" si="370"/>
        <v>-0.31961537753771718</v>
      </c>
      <c r="AP877">
        <f t="shared" si="371"/>
        <v>-1.2046421873400568</v>
      </c>
      <c r="AR877" t="str">
        <f t="shared" si="372"/>
        <v/>
      </c>
      <c r="AS877" t="str">
        <f t="shared" si="373"/>
        <v/>
      </c>
      <c r="AT877" t="str">
        <f t="shared" si="374"/>
        <v/>
      </c>
      <c r="AU877" t="str">
        <f t="shared" si="375"/>
        <v/>
      </c>
    </row>
    <row r="878" spans="1:47" x14ac:dyDescent="0.25">
      <c r="A878" s="4">
        <f>DATE(2021,3,19)</f>
        <v>44274</v>
      </c>
      <c r="B878">
        <v>0.1301380766379503</v>
      </c>
      <c r="C878">
        <v>61.671001303036995</v>
      </c>
      <c r="D878">
        <v>0.75159445749881759</v>
      </c>
      <c r="E878">
        <f t="shared" si="351"/>
        <v>0.46237393755982598</v>
      </c>
      <c r="F878">
        <f t="shared" si="352"/>
        <v>0.45671607624842031</v>
      </c>
      <c r="G878">
        <f t="shared" si="353"/>
        <v>0.33509061246799476</v>
      </c>
      <c r="H878" s="2" t="str">
        <f t="shared" si="354"/>
        <v>Lower</v>
      </c>
      <c r="I878" s="2" t="str">
        <f t="shared" si="355"/>
        <v>Higher</v>
      </c>
      <c r="J878" s="2" t="str">
        <f t="shared" si="356"/>
        <v>Higher</v>
      </c>
      <c r="K878" s="2" t="str">
        <f t="shared" si="357"/>
        <v>Lower</v>
      </c>
      <c r="L878" s="2" t="str">
        <f t="shared" si="358"/>
        <v>Lower</v>
      </c>
      <c r="M878" s="2" t="str">
        <f t="shared" si="359"/>
        <v>Higher</v>
      </c>
      <c r="N878" s="2" t="str">
        <f t="shared" si="360"/>
        <v>Lower</v>
      </c>
      <c r="O878" s="2" t="str">
        <f t="shared" si="361"/>
        <v>Higher</v>
      </c>
      <c r="P878" s="2" t="str">
        <f t="shared" si="362"/>
        <v>Higher</v>
      </c>
      <c r="X878" s="4">
        <f>DATE(2021,3,19)</f>
        <v>44274</v>
      </c>
      <c r="Y878">
        <v>27.911783222803603</v>
      </c>
      <c r="Z878">
        <v>32.460324980686934</v>
      </c>
      <c r="AA878">
        <v>41.865000000000002</v>
      </c>
      <c r="AB878">
        <v>17.31625</v>
      </c>
      <c r="AC878">
        <f t="shared" si="363"/>
        <v>-1.5641982625530321E-2</v>
      </c>
      <c r="AD878">
        <f t="shared" si="363"/>
        <v>-5.7916085299354339E-2</v>
      </c>
      <c r="AE878">
        <f t="shared" si="364"/>
        <v>-4.2274102673824018E-2</v>
      </c>
      <c r="AF878">
        <f t="shared" si="365"/>
        <v>-0.60309954741961624</v>
      </c>
      <c r="AH878">
        <f t="shared" si="366"/>
        <v>0.10452484438612974</v>
      </c>
      <c r="AI878">
        <f t="shared" si="366"/>
        <v>3.2874043987819179E-2</v>
      </c>
      <c r="AJ878">
        <f t="shared" si="367"/>
        <v>-7.1650800398310566E-2</v>
      </c>
      <c r="AK878">
        <f t="shared" si="368"/>
        <v>-0.52362659897078101</v>
      </c>
      <c r="AM878" t="str">
        <f t="shared" si="369"/>
        <v/>
      </c>
      <c r="AN878" t="str">
        <f t="shared" si="369"/>
        <v/>
      </c>
      <c r="AO878" t="str">
        <f t="shared" si="370"/>
        <v/>
      </c>
      <c r="AP878" t="str">
        <f t="shared" si="371"/>
        <v/>
      </c>
      <c r="AR878" t="str">
        <f t="shared" si="372"/>
        <v/>
      </c>
      <c r="AS878" t="str">
        <f t="shared" si="373"/>
        <v/>
      </c>
      <c r="AT878" t="str">
        <f t="shared" si="374"/>
        <v/>
      </c>
      <c r="AU878" t="str">
        <f t="shared" si="375"/>
        <v/>
      </c>
    </row>
    <row r="879" spans="1:47" x14ac:dyDescent="0.25">
      <c r="A879" s="4">
        <f>DATE(2021,3,18)</f>
        <v>44273</v>
      </c>
      <c r="B879">
        <v>0.2135942205476975</v>
      </c>
      <c r="C879">
        <v>64.320361891992718</v>
      </c>
      <c r="D879">
        <v>0.83070014191433661</v>
      </c>
      <c r="E879">
        <f t="shared" si="351"/>
        <v>0.83933369629283439</v>
      </c>
      <c r="F879">
        <f t="shared" si="352"/>
        <v>0.72482426090780017</v>
      </c>
      <c r="G879">
        <f t="shared" si="353"/>
        <v>0.58383001450769034</v>
      </c>
      <c r="H879" s="2" t="str">
        <f t="shared" si="354"/>
        <v>Lower</v>
      </c>
      <c r="I879" s="2" t="str">
        <f t="shared" si="355"/>
        <v>Higher</v>
      </c>
      <c r="J879" s="2" t="str">
        <f t="shared" si="356"/>
        <v>Higher</v>
      </c>
      <c r="K879" s="2" t="str">
        <f t="shared" si="357"/>
        <v>Lower</v>
      </c>
      <c r="L879" s="2" t="str">
        <f t="shared" si="358"/>
        <v>Lower</v>
      </c>
      <c r="M879" s="2" t="str">
        <f t="shared" si="359"/>
        <v>Higher</v>
      </c>
      <c r="N879" s="2" t="str">
        <f t="shared" si="360"/>
        <v>Lower</v>
      </c>
      <c r="O879" s="2" t="str">
        <f t="shared" si="361"/>
        <v>Higher</v>
      </c>
      <c r="P879" s="2" t="str">
        <f t="shared" si="362"/>
        <v>Higher</v>
      </c>
      <c r="X879" s="4">
        <f>DATE(2021,3,18)</f>
        <v>44273</v>
      </c>
      <c r="Y879">
        <v>29.697347045253832</v>
      </c>
      <c r="Z879">
        <v>34.175867131594437</v>
      </c>
      <c r="AA879">
        <v>42.692499999999995</v>
      </c>
      <c r="AB879">
        <v>17.855</v>
      </c>
      <c r="AC879">
        <f t="shared" si="363"/>
        <v>1.9035807715828031E-2</v>
      </c>
      <c r="AD879">
        <f t="shared" si="363"/>
        <v>-6.4201197490558427E-3</v>
      </c>
      <c r="AE879">
        <f t="shared" si="364"/>
        <v>-2.5455927464883874E-2</v>
      </c>
      <c r="AF879">
        <f t="shared" si="365"/>
        <v>-0.44956338513996014</v>
      </c>
      <c r="AH879">
        <f t="shared" si="366"/>
        <v>0.10824704708282676</v>
      </c>
      <c r="AI879">
        <f t="shared" si="366"/>
        <v>3.664771699163874E-2</v>
      </c>
      <c r="AJ879">
        <f t="shared" si="367"/>
        <v>-7.1599330091188018E-2</v>
      </c>
      <c r="AK879">
        <f t="shared" si="368"/>
        <v>-0.52523299954878078</v>
      </c>
      <c r="AM879">
        <f t="shared" si="369"/>
        <v>0.28384411880299004</v>
      </c>
      <c r="AN879">
        <f t="shared" si="369"/>
        <v>1.1547797667106119E-2</v>
      </c>
      <c r="AO879">
        <f t="shared" si="370"/>
        <v>-0.27229632113588392</v>
      </c>
      <c r="AP879">
        <f t="shared" si="371"/>
        <v>-1.0858931869498749</v>
      </c>
      <c r="AR879" t="str">
        <f t="shared" si="372"/>
        <v/>
      </c>
      <c r="AS879" t="str">
        <f t="shared" si="373"/>
        <v/>
      </c>
      <c r="AT879" t="str">
        <f t="shared" si="374"/>
        <v/>
      </c>
      <c r="AU879" t="str">
        <f t="shared" si="375"/>
        <v/>
      </c>
    </row>
    <row r="880" spans="1:47" x14ac:dyDescent="0.25">
      <c r="A880" s="4">
        <f>DATE(2021,3,17)</f>
        <v>44272</v>
      </c>
      <c r="B880">
        <v>0.26573662358532424</v>
      </c>
      <c r="C880">
        <v>68.044853750024998</v>
      </c>
      <c r="D880">
        <v>0.94532074824561674</v>
      </c>
      <c r="E880">
        <f t="shared" si="351"/>
        <v>1.0780934370392301</v>
      </c>
      <c r="F880">
        <f t="shared" si="352"/>
        <v>1.1004987009807836</v>
      </c>
      <c r="G880">
        <f t="shared" si="353"/>
        <v>0.94080885751882748</v>
      </c>
      <c r="H880" s="2" t="str">
        <f t="shared" si="354"/>
        <v>Lower</v>
      </c>
      <c r="I880" s="2" t="str">
        <f t="shared" si="355"/>
        <v>Higher</v>
      </c>
      <c r="J880" s="2" t="str">
        <f t="shared" si="356"/>
        <v>Higher</v>
      </c>
      <c r="K880" s="2" t="str">
        <f t="shared" si="357"/>
        <v>Lower</v>
      </c>
      <c r="L880" s="2" t="str">
        <f t="shared" si="358"/>
        <v>Lower</v>
      </c>
      <c r="M880" s="2" t="str">
        <f t="shared" si="359"/>
        <v>Higher</v>
      </c>
      <c r="N880" s="2" t="str">
        <f t="shared" si="360"/>
        <v>Lower</v>
      </c>
      <c r="O880" s="2" t="str">
        <f t="shared" si="361"/>
        <v>Higher</v>
      </c>
      <c r="P880" s="2" t="str">
        <f t="shared" si="362"/>
        <v>Higher</v>
      </c>
      <c r="X880" s="4">
        <f>DATE(2021,3,17)</f>
        <v>44272</v>
      </c>
      <c r="Y880">
        <v>28.442738993980377</v>
      </c>
      <c r="Z880">
        <v>34.355323343589227</v>
      </c>
      <c r="AA880">
        <v>42.674999999999997</v>
      </c>
      <c r="AB880">
        <v>17.875</v>
      </c>
      <c r="AC880">
        <f t="shared" si="363"/>
        <v>3.1359485181470172E-2</v>
      </c>
      <c r="AD880">
        <f t="shared" si="363"/>
        <v>1.9632012481085953E-2</v>
      </c>
      <c r="AE880">
        <f t="shared" si="364"/>
        <v>-1.1727472700384219E-2</v>
      </c>
      <c r="AF880">
        <f t="shared" si="365"/>
        <v>-0.32415081856292005</v>
      </c>
      <c r="AH880">
        <f t="shared" si="366"/>
        <v>0.10529542632269077</v>
      </c>
      <c r="AI880">
        <f t="shared" si="366"/>
        <v>6.8293815184453419E-2</v>
      </c>
      <c r="AJ880">
        <f t="shared" si="367"/>
        <v>-3.7001611138237356E-2</v>
      </c>
      <c r="AK880">
        <f t="shared" si="368"/>
        <v>-0.3784734388760384</v>
      </c>
      <c r="AM880">
        <f t="shared" si="369"/>
        <v>0.29713887152850921</v>
      </c>
      <c r="AN880">
        <f t="shared" si="369"/>
        <v>1.8919101636034392E-2</v>
      </c>
      <c r="AO880">
        <f t="shared" si="370"/>
        <v>-0.27821976989247482</v>
      </c>
      <c r="AP880">
        <f t="shared" si="371"/>
        <v>-1.1129380709642527</v>
      </c>
      <c r="AR880" t="str">
        <f t="shared" si="372"/>
        <v/>
      </c>
      <c r="AS880" t="str">
        <f t="shared" si="373"/>
        <v/>
      </c>
      <c r="AT880" t="str">
        <f t="shared" si="374"/>
        <v/>
      </c>
      <c r="AU880" t="str">
        <f t="shared" si="375"/>
        <v/>
      </c>
    </row>
    <row r="881" spans="1:47" x14ac:dyDescent="0.25">
      <c r="A881" s="4">
        <f>DATE(2021,3,16)</f>
        <v>44271</v>
      </c>
      <c r="B881">
        <v>0.24804572796558988</v>
      </c>
      <c r="C881">
        <v>63.409780227980079</v>
      </c>
      <c r="D881">
        <v>0.82357114098396966</v>
      </c>
      <c r="E881">
        <f t="shared" si="351"/>
        <v>1.0031803371319057</v>
      </c>
      <c r="F881">
        <f t="shared" si="352"/>
        <v>0.65303318422082202</v>
      </c>
      <c r="G881">
        <f t="shared" si="353"/>
        <v>0.57232358429399255</v>
      </c>
      <c r="H881" s="2" t="str">
        <f t="shared" si="354"/>
        <v>Lower</v>
      </c>
      <c r="I881" s="2" t="str">
        <f t="shared" si="355"/>
        <v>Higher</v>
      </c>
      <c r="J881" s="2" t="str">
        <f t="shared" si="356"/>
        <v>Higher</v>
      </c>
      <c r="K881" s="2" t="str">
        <f t="shared" si="357"/>
        <v>Lower</v>
      </c>
      <c r="L881" s="2" t="str">
        <f t="shared" si="358"/>
        <v>Lower</v>
      </c>
      <c r="M881" s="2" t="str">
        <f t="shared" si="359"/>
        <v>Higher</v>
      </c>
      <c r="N881" s="2" t="str">
        <f t="shared" si="360"/>
        <v>Lower</v>
      </c>
      <c r="O881" s="2" t="str">
        <f t="shared" si="361"/>
        <v>Higher</v>
      </c>
      <c r="P881" s="2" t="str">
        <f t="shared" si="362"/>
        <v>Higher</v>
      </c>
      <c r="X881" s="4">
        <f>DATE(2021,3,16)</f>
        <v>44271</v>
      </c>
      <c r="Y881">
        <v>28.378781774511232</v>
      </c>
      <c r="Z881">
        <v>33.816933313683514</v>
      </c>
      <c r="AA881">
        <v>41.842500000000001</v>
      </c>
      <c r="AB881">
        <v>17.606249999999999</v>
      </c>
      <c r="AC881">
        <f t="shared" si="363"/>
        <v>3.7933378176496793E-2</v>
      </c>
      <c r="AD881">
        <f t="shared" si="363"/>
        <v>4.6875066233332409E-2</v>
      </c>
      <c r="AE881">
        <f t="shared" si="364"/>
        <v>8.9416880568356158E-3</v>
      </c>
      <c r="AF881">
        <f t="shared" si="365"/>
        <v>-0.13458440347982428</v>
      </c>
      <c r="AH881">
        <f t="shared" si="366"/>
        <v>6.3961125177238606E-2</v>
      </c>
      <c r="AI881">
        <f t="shared" si="366"/>
        <v>5.389368684692121E-2</v>
      </c>
      <c r="AJ881">
        <f t="shared" si="367"/>
        <v>-1.0067438330317396E-2</v>
      </c>
      <c r="AK881">
        <f t="shared" si="368"/>
        <v>-0.26426456763312939</v>
      </c>
      <c r="AM881">
        <f t="shared" si="369"/>
        <v>0.29911923831498521</v>
      </c>
      <c r="AN881">
        <f t="shared" si="369"/>
        <v>3.2712303385218772E-3</v>
      </c>
      <c r="AO881">
        <f t="shared" si="370"/>
        <v>-0.29584800797646332</v>
      </c>
      <c r="AP881">
        <f t="shared" si="371"/>
        <v>-1.1742207946132179</v>
      </c>
      <c r="AR881" t="str">
        <f t="shared" si="372"/>
        <v/>
      </c>
      <c r="AS881" t="str">
        <f t="shared" si="373"/>
        <v/>
      </c>
      <c r="AT881" t="str">
        <f t="shared" si="374"/>
        <v/>
      </c>
      <c r="AU881" t="str">
        <f t="shared" si="375"/>
        <v/>
      </c>
    </row>
    <row r="882" spans="1:47" x14ac:dyDescent="0.25">
      <c r="A882" s="4">
        <f>DATE(2021,3,15)</f>
        <v>44270</v>
      </c>
      <c r="B882">
        <v>0.32298427391704942</v>
      </c>
      <c r="C882">
        <v>68.666192747386006</v>
      </c>
      <c r="D882">
        <v>0.97321582172557364</v>
      </c>
      <c r="E882">
        <f t="shared" si="351"/>
        <v>1.3443849532804273</v>
      </c>
      <c r="F882">
        <f t="shared" si="352"/>
        <v>1.1742280128061293</v>
      </c>
      <c r="G882">
        <f t="shared" si="353"/>
        <v>1.0272435156139144</v>
      </c>
      <c r="H882" s="2" t="str">
        <f t="shared" si="354"/>
        <v>Higher</v>
      </c>
      <c r="I882" s="2" t="str">
        <f t="shared" si="355"/>
        <v>Higher</v>
      </c>
      <c r="J882" s="2" t="str">
        <f t="shared" si="356"/>
        <v>Higher</v>
      </c>
      <c r="K882" s="2" t="str">
        <f t="shared" si="357"/>
        <v>Lower</v>
      </c>
      <c r="L882" s="2" t="str">
        <f t="shared" si="358"/>
        <v>Lower</v>
      </c>
      <c r="M882" s="2" t="str">
        <f t="shared" si="359"/>
        <v>Higher</v>
      </c>
      <c r="N882" s="2" t="str">
        <f t="shared" si="360"/>
        <v>Higher</v>
      </c>
      <c r="O882" s="2" t="str">
        <f t="shared" si="361"/>
        <v>Higher</v>
      </c>
      <c r="P882" s="2" t="str">
        <f t="shared" si="362"/>
        <v>Higher</v>
      </c>
      <c r="X882" s="4">
        <f>DATE(2021,3,15)</f>
        <v>44270</v>
      </c>
      <c r="Y882">
        <v>30.044155984024478</v>
      </c>
      <c r="Z882">
        <v>36.032521192589037</v>
      </c>
      <c r="AA882">
        <v>42.55</v>
      </c>
      <c r="AB882">
        <v>18.1525</v>
      </c>
      <c r="AC882">
        <f t="shared" si="363"/>
        <v>8.7054108380115638E-2</v>
      </c>
      <c r="AD882">
        <f t="shared" si="363"/>
        <v>0.11110007286460151</v>
      </c>
      <c r="AE882">
        <f t="shared" si="364"/>
        <v>2.4045964484485871E-2</v>
      </c>
      <c r="AF882">
        <f t="shared" si="365"/>
        <v>3.8467545747563189E-3</v>
      </c>
      <c r="AH882">
        <f t="shared" si="366"/>
        <v>6.7378429219508415E-2</v>
      </c>
      <c r="AI882" t="str">
        <f t="shared" si="366"/>
        <v/>
      </c>
      <c r="AJ882" t="str">
        <f t="shared" si="367"/>
        <v/>
      </c>
      <c r="AK882" t="str">
        <f t="shared" si="368"/>
        <v/>
      </c>
      <c r="AM882">
        <f t="shared" si="369"/>
        <v>0.32918977008946526</v>
      </c>
      <c r="AN882">
        <f t="shared" si="369"/>
        <v>8.5047636747940566E-2</v>
      </c>
      <c r="AO882">
        <f t="shared" si="370"/>
        <v>-0.24414213334152468</v>
      </c>
      <c r="AP882">
        <f t="shared" si="371"/>
        <v>-1.0392435668297035</v>
      </c>
      <c r="AR882" t="str">
        <f t="shared" si="372"/>
        <v/>
      </c>
      <c r="AS882" t="str">
        <f t="shared" si="373"/>
        <v/>
      </c>
      <c r="AT882" t="str">
        <f t="shared" si="374"/>
        <v/>
      </c>
      <c r="AU882" t="str">
        <f t="shared" si="375"/>
        <v/>
      </c>
    </row>
    <row r="883" spans="1:47" x14ac:dyDescent="0.25">
      <c r="A883" s="4">
        <f>DATE(2021,3,12)</f>
        <v>44267</v>
      </c>
      <c r="B883">
        <v>0.31837788376841636</v>
      </c>
      <c r="C883">
        <v>71.888151629582183</v>
      </c>
      <c r="D883">
        <v>1.1206741307842851</v>
      </c>
      <c r="E883">
        <f t="shared" si="351"/>
        <v>1.3388944603954214</v>
      </c>
      <c r="F883">
        <f t="shared" si="352"/>
        <v>1.4987309830173827</v>
      </c>
      <c r="G883">
        <f t="shared" si="353"/>
        <v>1.4714803851343188</v>
      </c>
      <c r="H883" s="2" t="str">
        <f t="shared" si="354"/>
        <v>Higher</v>
      </c>
      <c r="I883" s="2" t="str">
        <f t="shared" si="355"/>
        <v>Higher</v>
      </c>
      <c r="J883" s="2" t="str">
        <f t="shared" si="356"/>
        <v>Higher</v>
      </c>
      <c r="K883" s="2" t="str">
        <f t="shared" si="357"/>
        <v>Lower</v>
      </c>
      <c r="L883" s="2" t="str">
        <f t="shared" si="358"/>
        <v>Lower</v>
      </c>
      <c r="M883" s="2" t="str">
        <f t="shared" si="359"/>
        <v>Higher</v>
      </c>
      <c r="N883" s="2" t="str">
        <f t="shared" si="360"/>
        <v>Higher</v>
      </c>
      <c r="O883" s="2" t="str">
        <f t="shared" si="361"/>
        <v>Higher</v>
      </c>
      <c r="P883" s="2" t="str">
        <f t="shared" si="362"/>
        <v>Higher</v>
      </c>
      <c r="X883" s="4">
        <f>DATE(2021,3,12)</f>
        <v>44267</v>
      </c>
      <c r="Y883">
        <v>29.680101644242917</v>
      </c>
      <c r="Z883">
        <v>36.534021494003959</v>
      </c>
      <c r="AA883">
        <v>42.525000000000006</v>
      </c>
      <c r="AB883">
        <v>18.348750000000003</v>
      </c>
      <c r="AC883">
        <f t="shared" si="363"/>
        <v>9.3542196283544501E-2</v>
      </c>
      <c r="AD883">
        <f t="shared" si="363"/>
        <v>0.12216109096150053</v>
      </c>
      <c r="AE883">
        <f t="shared" si="364"/>
        <v>2.861889467795603E-2</v>
      </c>
      <c r="AF883">
        <f t="shared" si="365"/>
        <v>4.5740455184600542E-2</v>
      </c>
      <c r="AH883">
        <f t="shared" si="366"/>
        <v>7.7913875891400183E-2</v>
      </c>
      <c r="AI883">
        <f t="shared" si="366"/>
        <v>4.9648901877849851E-2</v>
      </c>
      <c r="AJ883">
        <f t="shared" si="367"/>
        <v>-2.8264974013550333E-2</v>
      </c>
      <c r="AK883">
        <f t="shared" si="368"/>
        <v>-0.34399822654625706</v>
      </c>
      <c r="AM883">
        <f t="shared" si="369"/>
        <v>0.30823277490088047</v>
      </c>
      <c r="AN883">
        <f t="shared" si="369"/>
        <v>0.14584005381663515</v>
      </c>
      <c r="AO883">
        <f t="shared" si="370"/>
        <v>-0.16239272108424532</v>
      </c>
      <c r="AP883">
        <f t="shared" si="371"/>
        <v>-0.81430578513192375</v>
      </c>
      <c r="AR883" t="str">
        <f t="shared" si="372"/>
        <v/>
      </c>
      <c r="AS883" t="str">
        <f t="shared" si="373"/>
        <v/>
      </c>
      <c r="AT883" t="str">
        <f t="shared" si="374"/>
        <v/>
      </c>
      <c r="AU883" t="str">
        <f t="shared" si="375"/>
        <v/>
      </c>
    </row>
    <row r="884" spans="1:47" x14ac:dyDescent="0.25">
      <c r="A884" s="4">
        <f>DATE(2021,3,11)</f>
        <v>44266</v>
      </c>
      <c r="B884">
        <v>0.2220220873841241</v>
      </c>
      <c r="C884">
        <v>69.204570520726236</v>
      </c>
      <c r="D884">
        <v>1.0899986352979911</v>
      </c>
      <c r="E884">
        <f t="shared" si="351"/>
        <v>0.92220632656971757</v>
      </c>
      <c r="F884">
        <f t="shared" si="352"/>
        <v>1.2571822618491051</v>
      </c>
      <c r="G884">
        <f t="shared" si="353"/>
        <v>1.401186267490885</v>
      </c>
      <c r="H884" s="2" t="str">
        <f t="shared" si="354"/>
        <v>Higher</v>
      </c>
      <c r="I884" s="2" t="str">
        <f t="shared" si="355"/>
        <v>Higher</v>
      </c>
      <c r="J884" s="2" t="str">
        <f t="shared" si="356"/>
        <v>Higher</v>
      </c>
      <c r="K884" s="2" t="str">
        <f t="shared" si="357"/>
        <v>Higher</v>
      </c>
      <c r="L884" s="2" t="str">
        <f t="shared" si="358"/>
        <v>Lower</v>
      </c>
      <c r="M884" s="2" t="str">
        <f t="shared" si="359"/>
        <v>Higher</v>
      </c>
      <c r="N884" s="2" t="str">
        <f t="shared" si="360"/>
        <v>Higher</v>
      </c>
      <c r="O884" s="2" t="str">
        <f t="shared" si="361"/>
        <v>Higher</v>
      </c>
      <c r="P884" s="2" t="str">
        <f t="shared" si="362"/>
        <v>Higher</v>
      </c>
      <c r="X884" s="4">
        <f>DATE(2021,3,11)</f>
        <v>44266</v>
      </c>
      <c r="Y884">
        <v>30.649550592582305</v>
      </c>
      <c r="Z884">
        <v>34.730835086129836</v>
      </c>
      <c r="AA884">
        <v>41.887500000000003</v>
      </c>
      <c r="AB884">
        <v>17.97</v>
      </c>
      <c r="AC884">
        <f t="shared" si="363"/>
        <v>0.10135647317997123</v>
      </c>
      <c r="AD884">
        <f t="shared" si="363"/>
        <v>0.12537648420341804</v>
      </c>
      <c r="AE884">
        <f t="shared" si="364"/>
        <v>2.4020011023446808E-2</v>
      </c>
      <c r="AF884">
        <f t="shared" si="365"/>
        <v>3.8869243743520753E-3</v>
      </c>
      <c r="AH884">
        <f t="shared" si="366"/>
        <v>7.1810496301865631E-2</v>
      </c>
      <c r="AI884">
        <f t="shared" si="366"/>
        <v>2.2581945122762657E-2</v>
      </c>
      <c r="AJ884">
        <f t="shared" si="367"/>
        <v>-4.9228551179102978E-2</v>
      </c>
      <c r="AK884">
        <f t="shared" si="368"/>
        <v>-0.43420471951279066</v>
      </c>
      <c r="AM884">
        <f t="shared" si="369"/>
        <v>0.2707370280396964</v>
      </c>
      <c r="AN884">
        <f t="shared" si="369"/>
        <v>0.11447569791069415</v>
      </c>
      <c r="AO884">
        <f t="shared" si="370"/>
        <v>-0.15626133012900226</v>
      </c>
      <c r="AP884">
        <f t="shared" si="371"/>
        <v>-0.80216888435288658</v>
      </c>
      <c r="AR884" t="str">
        <f t="shared" si="372"/>
        <v/>
      </c>
      <c r="AS884" t="str">
        <f t="shared" si="373"/>
        <v/>
      </c>
      <c r="AT884" t="str">
        <f t="shared" si="374"/>
        <v/>
      </c>
      <c r="AU884" t="str">
        <f t="shared" si="375"/>
        <v/>
      </c>
    </row>
    <row r="885" spans="1:47" x14ac:dyDescent="0.25">
      <c r="A885" s="4">
        <f>DATE(2021,3,10)</f>
        <v>44265</v>
      </c>
      <c r="B885">
        <v>0.12900967768695581</v>
      </c>
      <c r="C885">
        <v>68.002032658970066</v>
      </c>
      <c r="D885">
        <v>1.1490071503235189</v>
      </c>
      <c r="E885">
        <f t="shared" si="351"/>
        <v>0.51057053077148407</v>
      </c>
      <c r="F885">
        <f t="shared" si="352"/>
        <v>1.1543117949946442</v>
      </c>
      <c r="G885">
        <f t="shared" si="353"/>
        <v>1.6035178066299425</v>
      </c>
      <c r="H885" s="2" t="str">
        <f t="shared" si="354"/>
        <v>Higher</v>
      </c>
      <c r="I885" s="2" t="str">
        <f t="shared" si="355"/>
        <v>Higher</v>
      </c>
      <c r="J885" s="2" t="str">
        <f t="shared" si="356"/>
        <v>Higher</v>
      </c>
      <c r="K885" s="2" t="str">
        <f t="shared" si="357"/>
        <v>Higher</v>
      </c>
      <c r="L885" s="2" t="str">
        <f t="shared" si="358"/>
        <v>Lower</v>
      </c>
      <c r="M885" s="2" t="str">
        <f t="shared" si="359"/>
        <v>Higher</v>
      </c>
      <c r="N885" s="2" t="str">
        <f t="shared" si="360"/>
        <v>Higher</v>
      </c>
      <c r="O885" s="2" t="str">
        <f t="shared" si="361"/>
        <v>Higher</v>
      </c>
      <c r="P885" s="2" t="str">
        <f t="shared" si="362"/>
        <v>Higher</v>
      </c>
      <c r="X885" s="4">
        <f>DATE(2021,3,10)</f>
        <v>44265</v>
      </c>
      <c r="Y885">
        <v>28.991858841035061</v>
      </c>
      <c r="Z885">
        <v>32.531820281172394</v>
      </c>
      <c r="AA885">
        <v>41.357500000000002</v>
      </c>
      <c r="AB885">
        <v>17.527499999999996</v>
      </c>
      <c r="AC885">
        <f t="shared" si="363"/>
        <v>9.4585060429994303E-2</v>
      </c>
      <c r="AD885">
        <f t="shared" si="363"/>
        <v>0.11922823863774944</v>
      </c>
      <c r="AE885">
        <f t="shared" si="364"/>
        <v>2.4643178207755134E-2</v>
      </c>
      <c r="AF885">
        <f t="shared" si="365"/>
        <v>9.566476997678184E-3</v>
      </c>
      <c r="AH885">
        <f t="shared" si="366"/>
        <v>5.9076826737470688E-2</v>
      </c>
      <c r="AI885">
        <f t="shared" si="366"/>
        <v>-6.2008043615935517E-2</v>
      </c>
      <c r="AJ885">
        <f t="shared" si="367"/>
        <v>-0.1210848703534062</v>
      </c>
      <c r="AK885">
        <f t="shared" si="368"/>
        <v>-0.74045852548624913</v>
      </c>
      <c r="AM885">
        <f t="shared" si="369"/>
        <v>0.2605886550697889</v>
      </c>
      <c r="AN885">
        <f t="shared" si="369"/>
        <v>5.9350651177081867E-2</v>
      </c>
      <c r="AO885">
        <f t="shared" si="370"/>
        <v>-0.20123800389270702</v>
      </c>
      <c r="AP885">
        <f t="shared" si="371"/>
        <v>-0.93677073388141041</v>
      </c>
      <c r="AR885" t="str">
        <f t="shared" si="372"/>
        <v/>
      </c>
      <c r="AS885" t="str">
        <f t="shared" si="373"/>
        <v/>
      </c>
      <c r="AT885" t="str">
        <f t="shared" si="374"/>
        <v/>
      </c>
      <c r="AU885" t="str">
        <f t="shared" si="375"/>
        <v/>
      </c>
    </row>
    <row r="886" spans="1:47" x14ac:dyDescent="0.25">
      <c r="A886" s="4">
        <f>DATE(2021,3,9)</f>
        <v>44264</v>
      </c>
      <c r="B886">
        <v>-4.0451358146041949E-3</v>
      </c>
      <c r="C886">
        <v>65.115784514584604</v>
      </c>
      <c r="D886">
        <v>1.0762380822606246</v>
      </c>
      <c r="E886">
        <f t="shared" si="351"/>
        <v>-8.723280112982626E-2</v>
      </c>
      <c r="F886">
        <f t="shared" si="352"/>
        <v>0.88191520089378905</v>
      </c>
      <c r="G886">
        <f t="shared" si="353"/>
        <v>1.4079086882514698</v>
      </c>
      <c r="H886" s="2" t="str">
        <f t="shared" si="354"/>
        <v>Higher</v>
      </c>
      <c r="I886" s="2" t="str">
        <f t="shared" si="355"/>
        <v>Higher</v>
      </c>
      <c r="J886" s="2" t="str">
        <f t="shared" si="356"/>
        <v>Higher</v>
      </c>
      <c r="K886" s="2" t="str">
        <f t="shared" si="357"/>
        <v>Higher</v>
      </c>
      <c r="L886" s="2" t="str">
        <f t="shared" si="358"/>
        <v>Lower</v>
      </c>
      <c r="M886" s="2" t="str">
        <f t="shared" si="359"/>
        <v>Higher</v>
      </c>
      <c r="N886" s="2" t="str">
        <f t="shared" si="360"/>
        <v>Higher</v>
      </c>
      <c r="O886" s="2" t="str">
        <f t="shared" si="361"/>
        <v>Higher</v>
      </c>
      <c r="P886" s="2" t="str">
        <f t="shared" si="362"/>
        <v>Higher</v>
      </c>
      <c r="X886" s="4">
        <f>DATE(2021,3,9)</f>
        <v>44264</v>
      </c>
      <c r="Y886">
        <v>25.695092933095182</v>
      </c>
      <c r="Z886">
        <v>27.775340760244493</v>
      </c>
      <c r="AA886">
        <v>40.284999999999997</v>
      </c>
      <c r="AB886">
        <v>16.8</v>
      </c>
      <c r="AC886">
        <f t="shared" si="363"/>
        <v>5.8524619107410761E-2</v>
      </c>
      <c r="AD886">
        <f t="shared" si="363"/>
        <v>5.5531586580786607E-2</v>
      </c>
      <c r="AE886">
        <f t="shared" si="364"/>
        <v>-2.9930325266241536E-3</v>
      </c>
      <c r="AF886">
        <f t="shared" si="365"/>
        <v>-0.24094822864136664</v>
      </c>
      <c r="AH886">
        <f t="shared" si="366"/>
        <v>5.3143675616629645E-2</v>
      </c>
      <c r="AI886">
        <f t="shared" si="366"/>
        <v>-0.12496616977455047</v>
      </c>
      <c r="AJ886">
        <f t="shared" si="367"/>
        <v>-0.1781098453911801</v>
      </c>
      <c r="AK886">
        <f t="shared" si="368"/>
        <v>-0.98557740117470338</v>
      </c>
      <c r="AM886">
        <f t="shared" si="369"/>
        <v>0.23274641864755116</v>
      </c>
      <c r="AN886">
        <f t="shared" si="369"/>
        <v>-1.7334013213041347E-2</v>
      </c>
      <c r="AO886">
        <f t="shared" si="370"/>
        <v>-0.25008043186059253</v>
      </c>
      <c r="AP886">
        <f t="shared" si="371"/>
        <v>-1.0853262312179721</v>
      </c>
      <c r="AR886" t="str">
        <f t="shared" si="372"/>
        <v/>
      </c>
      <c r="AS886" t="str">
        <f t="shared" si="373"/>
        <v/>
      </c>
      <c r="AT886" t="str">
        <f t="shared" si="374"/>
        <v/>
      </c>
      <c r="AU886" t="str">
        <f t="shared" si="375"/>
        <v/>
      </c>
    </row>
    <row r="887" spans="1:47" x14ac:dyDescent="0.25">
      <c r="A887" s="4">
        <f>DATE(2021,3,8)</f>
        <v>44263</v>
      </c>
      <c r="B887">
        <v>-0.13848086322039221</v>
      </c>
      <c r="C887">
        <v>59.292814858287223</v>
      </c>
      <c r="D887">
        <v>0.71997486344998596</v>
      </c>
      <c r="E887">
        <f t="shared" si="351"/>
        <v>-0.69553511157417869</v>
      </c>
      <c r="F887">
        <f t="shared" si="352"/>
        <v>0.30917429935034124</v>
      </c>
      <c r="G887">
        <f t="shared" si="353"/>
        <v>0.31367207603901825</v>
      </c>
      <c r="H887" s="2" t="str">
        <f t="shared" si="354"/>
        <v>Higher</v>
      </c>
      <c r="I887" s="2" t="str">
        <f t="shared" si="355"/>
        <v>Higher</v>
      </c>
      <c r="J887" s="2" t="str">
        <f t="shared" si="356"/>
        <v>Higher</v>
      </c>
      <c r="K887" s="2" t="str">
        <f t="shared" si="357"/>
        <v>Higher</v>
      </c>
      <c r="L887" s="2" t="str">
        <f t="shared" si="358"/>
        <v>Lower</v>
      </c>
      <c r="M887" s="2" t="str">
        <f t="shared" si="359"/>
        <v>Higher</v>
      </c>
      <c r="N887" s="2" t="str">
        <f t="shared" si="360"/>
        <v>Higher</v>
      </c>
      <c r="O887" s="2" t="str">
        <f t="shared" si="361"/>
        <v>Higher</v>
      </c>
      <c r="P887" s="2" t="str">
        <f t="shared" si="362"/>
        <v>Higher</v>
      </c>
      <c r="X887" s="4">
        <f>DATE(2021,3,8)</f>
        <v>44263</v>
      </c>
      <c r="Y887">
        <v>20.766492170397452</v>
      </c>
      <c r="Z887">
        <v>25.793324370360338</v>
      </c>
      <c r="AA887">
        <v>39.002499999999998</v>
      </c>
      <c r="AB887">
        <v>16.243749999999999</v>
      </c>
      <c r="AC887">
        <f t="shared" si="363"/>
        <v>4.2489944611850718E-2</v>
      </c>
      <c r="AD887">
        <f t="shared" si="363"/>
        <v>1.2233041990664013E-2</v>
      </c>
      <c r="AE887">
        <f t="shared" si="364"/>
        <v>-3.0256902621186705E-2</v>
      </c>
      <c r="AF887">
        <f t="shared" si="365"/>
        <v>-0.4880456230209736</v>
      </c>
      <c r="AH887">
        <f t="shared" si="366"/>
        <v>3.4030017751357196E-3</v>
      </c>
      <c r="AI887">
        <f t="shared" si="366"/>
        <v>-0.2122028109677446</v>
      </c>
      <c r="AJ887">
        <f t="shared" si="367"/>
        <v>-0.21560581274288032</v>
      </c>
      <c r="AK887">
        <f t="shared" si="368"/>
        <v>-1.1509443944477651</v>
      </c>
      <c r="AM887">
        <f t="shared" si="369"/>
        <v>0.23448899628787043</v>
      </c>
      <c r="AN887">
        <f t="shared" si="369"/>
        <v>-2.4476746426554539E-2</v>
      </c>
      <c r="AO887">
        <f t="shared" si="370"/>
        <v>-0.25896574271442496</v>
      </c>
      <c r="AP887">
        <f t="shared" si="371"/>
        <v>-1.1226083015399959</v>
      </c>
      <c r="AR887" t="str">
        <f t="shared" si="372"/>
        <v/>
      </c>
      <c r="AS887" t="str">
        <f t="shared" si="373"/>
        <v/>
      </c>
      <c r="AT887" t="str">
        <f t="shared" si="374"/>
        <v/>
      </c>
      <c r="AU887" t="str">
        <f t="shared" si="375"/>
        <v/>
      </c>
    </row>
    <row r="888" spans="1:47" x14ac:dyDescent="0.25">
      <c r="A888" s="4">
        <f>DATE(2021,3,5)</f>
        <v>44260</v>
      </c>
      <c r="B888">
        <v>-0.19974260123516785</v>
      </c>
      <c r="C888">
        <v>58.831053752187366</v>
      </c>
      <c r="D888">
        <v>0.69627071115879502</v>
      </c>
      <c r="E888">
        <f t="shared" si="351"/>
        <v>-0.97993746863536491</v>
      </c>
      <c r="F888">
        <f t="shared" si="352"/>
        <v>0.27056945277924799</v>
      </c>
      <c r="G888">
        <f t="shared" si="353"/>
        <v>0.24523038031839517</v>
      </c>
      <c r="H888" s="2" t="str">
        <f t="shared" si="354"/>
        <v>Higher</v>
      </c>
      <c r="I888" s="2" t="str">
        <f t="shared" si="355"/>
        <v>Higher</v>
      </c>
      <c r="J888" s="2" t="str">
        <f t="shared" si="356"/>
        <v>Higher</v>
      </c>
      <c r="K888" s="2" t="str">
        <f t="shared" si="357"/>
        <v>Higher</v>
      </c>
      <c r="L888" s="2" t="str">
        <f t="shared" si="358"/>
        <v>Lower</v>
      </c>
      <c r="M888" s="2" t="str">
        <f t="shared" si="359"/>
        <v>Higher</v>
      </c>
      <c r="N888" s="2" t="str">
        <f t="shared" si="360"/>
        <v>Higher</v>
      </c>
      <c r="O888" s="2" t="str">
        <f t="shared" si="361"/>
        <v>Higher</v>
      </c>
      <c r="P888" s="2" t="str">
        <f t="shared" si="362"/>
        <v>Higher</v>
      </c>
      <c r="X888" s="4">
        <f>DATE(2021,3,5)</f>
        <v>44260</v>
      </c>
      <c r="Y888">
        <v>20.317912038886547</v>
      </c>
      <c r="Z888">
        <v>25.887500407935171</v>
      </c>
      <c r="AA888">
        <v>38.727500000000006</v>
      </c>
      <c r="AB888">
        <v>16.23875</v>
      </c>
      <c r="AC888">
        <f t="shared" si="363"/>
        <v>3.3009329192785077E-2</v>
      </c>
      <c r="AD888">
        <f t="shared" si="363"/>
        <v>3.1910113403764949E-2</v>
      </c>
      <c r="AE888">
        <f t="shared" si="364"/>
        <v>-1.0992157890201276E-3</v>
      </c>
      <c r="AF888">
        <f t="shared" si="365"/>
        <v>-0.22704560422679934</v>
      </c>
      <c r="AH888">
        <f t="shared" si="366"/>
        <v>1.6795082969662041E-2</v>
      </c>
      <c r="AI888">
        <f t="shared" si="366"/>
        <v>-0.12982968407122802</v>
      </c>
      <c r="AJ888">
        <f t="shared" si="367"/>
        <v>-0.14662476704089006</v>
      </c>
      <c r="AK888">
        <f t="shared" si="368"/>
        <v>-0.86741418609706789</v>
      </c>
      <c r="AM888">
        <f t="shared" si="369"/>
        <v>0.23359106855471301</v>
      </c>
      <c r="AN888">
        <f t="shared" si="369"/>
        <v>2.7706927073756948E-2</v>
      </c>
      <c r="AO888">
        <f t="shared" si="370"/>
        <v>-0.20588414148095607</v>
      </c>
      <c r="AP888">
        <f t="shared" si="371"/>
        <v>-0.98115745854102254</v>
      </c>
      <c r="AR888" t="str">
        <f t="shared" si="372"/>
        <v/>
      </c>
      <c r="AS888" t="str">
        <f t="shared" si="373"/>
        <v/>
      </c>
      <c r="AT888" t="str">
        <f t="shared" si="374"/>
        <v/>
      </c>
      <c r="AU888" t="str">
        <f t="shared" si="375"/>
        <v/>
      </c>
    </row>
    <row r="889" spans="1:47" x14ac:dyDescent="0.25">
      <c r="A889" s="4">
        <f>DATE(2021,3,4)</f>
        <v>44259</v>
      </c>
      <c r="B889">
        <v>-0.28320303924294576</v>
      </c>
      <c r="C889">
        <v>55.136214713270412</v>
      </c>
      <c r="D889">
        <v>0.42221913626700974</v>
      </c>
      <c r="E889">
        <f t="shared" si="351"/>
        <v>-1.3749648216441028</v>
      </c>
      <c r="F889">
        <f t="shared" si="352"/>
        <v>-9.4197568529937645E-2</v>
      </c>
      <c r="G889">
        <f t="shared" si="353"/>
        <v>-0.61140663417536778</v>
      </c>
      <c r="H889" s="2" t="str">
        <f t="shared" si="354"/>
        <v>Higher</v>
      </c>
      <c r="I889" s="2" t="str">
        <f t="shared" si="355"/>
        <v>Higher</v>
      </c>
      <c r="J889" s="2" t="str">
        <f t="shared" si="356"/>
        <v>Higher</v>
      </c>
      <c r="K889" s="2" t="str">
        <f t="shared" si="357"/>
        <v>Higher</v>
      </c>
      <c r="L889" s="2" t="str">
        <f t="shared" si="358"/>
        <v>Lower</v>
      </c>
      <c r="M889" s="2" t="str">
        <f t="shared" si="359"/>
        <v>Higher</v>
      </c>
      <c r="N889" s="2" t="str">
        <f t="shared" si="360"/>
        <v>Higher</v>
      </c>
      <c r="O889" s="2" t="str">
        <f t="shared" si="361"/>
        <v>Higher</v>
      </c>
      <c r="P889" s="2" t="str">
        <f t="shared" si="362"/>
        <v>Higher</v>
      </c>
      <c r="X889" s="4">
        <f>DATE(2021,3,4)</f>
        <v>44259</v>
      </c>
      <c r="Y889">
        <v>18.164631645551218</v>
      </c>
      <c r="Z889">
        <v>22.980133842726428</v>
      </c>
      <c r="AA889">
        <v>37.849999999999994</v>
      </c>
      <c r="AB889">
        <v>15.852499999999999</v>
      </c>
      <c r="AC889">
        <f t="shared" si="363"/>
        <v>-1.9167825909391752E-2</v>
      </c>
      <c r="AD889">
        <f t="shared" si="363"/>
        <v>-1.2459511571297077E-2</v>
      </c>
      <c r="AE889">
        <f t="shared" si="364"/>
        <v>6.7083143380946755E-3</v>
      </c>
      <c r="AF889">
        <f t="shared" si="365"/>
        <v>-0.15759167219223028</v>
      </c>
      <c r="AH889">
        <f t="shared" si="366"/>
        <v>1.3565841769881095E-2</v>
      </c>
      <c r="AI889">
        <f t="shared" si="366"/>
        <v>-0.13175564881201174</v>
      </c>
      <c r="AJ889">
        <f t="shared" si="367"/>
        <v>-0.14532149058189284</v>
      </c>
      <c r="AK889">
        <f t="shared" si="368"/>
        <v>-0.8668866769540996</v>
      </c>
      <c r="AM889">
        <f t="shared" si="369"/>
        <v>0.2124675855804245</v>
      </c>
      <c r="AN889">
        <f t="shared" si="369"/>
        <v>2.4020625839285405E-2</v>
      </c>
      <c r="AO889">
        <f t="shared" si="370"/>
        <v>-0.18844695974113909</v>
      </c>
      <c r="AP889">
        <f t="shared" si="371"/>
        <v>-0.93970608405804645</v>
      </c>
      <c r="AR889" t="str">
        <f t="shared" si="372"/>
        <v/>
      </c>
      <c r="AS889" t="str">
        <f t="shared" si="373"/>
        <v/>
      </c>
      <c r="AT889" t="str">
        <f t="shared" si="374"/>
        <v/>
      </c>
      <c r="AU889" t="str">
        <f t="shared" si="375"/>
        <v/>
      </c>
    </row>
    <row r="890" spans="1:47" x14ac:dyDescent="0.25">
      <c r="A890" s="4">
        <f>DATE(2021,3,3)</f>
        <v>44258</v>
      </c>
      <c r="B890">
        <v>-0.31946340610758428</v>
      </c>
      <c r="C890">
        <v>51.92143732015009</v>
      </c>
      <c r="D890">
        <v>0.21850935040831701</v>
      </c>
      <c r="E890">
        <f t="shared" si="351"/>
        <v>-1.5660804948765226</v>
      </c>
      <c r="F890">
        <f t="shared" si="352"/>
        <v>-0.42012791082732592</v>
      </c>
      <c r="G890">
        <f t="shared" si="353"/>
        <v>-1.260743936030843</v>
      </c>
      <c r="H890" s="2" t="str">
        <f t="shared" si="354"/>
        <v>Higher</v>
      </c>
      <c r="I890" s="2" t="str">
        <f t="shared" si="355"/>
        <v>Higher</v>
      </c>
      <c r="J890" s="2" t="str">
        <f t="shared" si="356"/>
        <v>Higher</v>
      </c>
      <c r="K890" s="2" t="str">
        <f t="shared" si="357"/>
        <v>Higher</v>
      </c>
      <c r="L890" s="2" t="str">
        <f t="shared" si="358"/>
        <v>Lower</v>
      </c>
      <c r="M890" s="2" t="str">
        <f t="shared" si="359"/>
        <v>Higher</v>
      </c>
      <c r="N890" s="2" t="str">
        <f t="shared" si="360"/>
        <v>Higher</v>
      </c>
      <c r="O890" s="2" t="str">
        <f t="shared" si="361"/>
        <v>Higher</v>
      </c>
      <c r="P890" s="2" t="str">
        <f t="shared" si="362"/>
        <v>Higher</v>
      </c>
      <c r="X890" s="4">
        <f>DATE(2021,3,3)</f>
        <v>44258</v>
      </c>
      <c r="Y890">
        <v>19.883765547270713</v>
      </c>
      <c r="Z890">
        <v>21.184874718916113</v>
      </c>
      <c r="AA890">
        <v>37.625</v>
      </c>
      <c r="AB890">
        <v>15.557500000000001</v>
      </c>
      <c r="AC890">
        <f t="shared" si="363"/>
        <v>-3.499508422648457E-2</v>
      </c>
      <c r="AD890">
        <f t="shared" si="363"/>
        <v>-4.6468884355321385E-2</v>
      </c>
      <c r="AE890">
        <f t="shared" si="364"/>
        <v>-1.1473800128836815E-2</v>
      </c>
      <c r="AF890">
        <f t="shared" si="365"/>
        <v>-0.32083982640955255</v>
      </c>
      <c r="AH890">
        <f t="shared" si="366"/>
        <v>2.0202707317519469E-2</v>
      </c>
      <c r="AI890">
        <f t="shared" si="366"/>
        <v>-0.1306447781654442</v>
      </c>
      <c r="AJ890">
        <f t="shared" si="367"/>
        <v>-0.15084748548296367</v>
      </c>
      <c r="AK890">
        <f t="shared" si="368"/>
        <v>-0.89535667714625755</v>
      </c>
      <c r="AM890">
        <f t="shared" si="369"/>
        <v>0.23408357440902589</v>
      </c>
      <c r="AN890">
        <f t="shared" si="369"/>
        <v>6.0870715087025913E-2</v>
      </c>
      <c r="AO890">
        <f t="shared" si="370"/>
        <v>-0.17321285932199998</v>
      </c>
      <c r="AP890">
        <f t="shared" si="371"/>
        <v>-0.90379199344567296</v>
      </c>
      <c r="AR890" t="str">
        <f t="shared" si="372"/>
        <v/>
      </c>
      <c r="AS890" t="str">
        <f t="shared" si="373"/>
        <v/>
      </c>
      <c r="AT890" t="str">
        <f t="shared" si="374"/>
        <v/>
      </c>
      <c r="AU890" t="str">
        <f t="shared" si="375"/>
        <v/>
      </c>
    </row>
    <row r="891" spans="1:47" x14ac:dyDescent="0.25">
      <c r="A891" s="4">
        <f>DATE(2021,3,2)</f>
        <v>44257</v>
      </c>
      <c r="B891">
        <v>-0.29572458172017901</v>
      </c>
      <c r="C891">
        <v>56.736048260945729</v>
      </c>
      <c r="D891">
        <v>0.50208372252643918</v>
      </c>
      <c r="E891">
        <f t="shared" si="351"/>
        <v>-1.486223358651003</v>
      </c>
      <c r="F891">
        <f t="shared" si="352"/>
        <v>5.9810220490555829E-2</v>
      </c>
      <c r="G891">
        <f t="shared" si="353"/>
        <v>-0.38538966290020366</v>
      </c>
      <c r="H891" s="2" t="str">
        <f t="shared" si="354"/>
        <v>Higher</v>
      </c>
      <c r="I891" s="2" t="str">
        <f t="shared" si="355"/>
        <v>Higher</v>
      </c>
      <c r="J891" s="2" t="str">
        <f t="shared" si="356"/>
        <v>Higher</v>
      </c>
      <c r="K891" s="2" t="str">
        <f t="shared" si="357"/>
        <v>Higher</v>
      </c>
      <c r="L891" s="2" t="str">
        <f t="shared" si="358"/>
        <v>Lower</v>
      </c>
      <c r="M891" s="2" t="str">
        <f t="shared" si="359"/>
        <v>Higher</v>
      </c>
      <c r="N891" s="2" t="str">
        <f t="shared" si="360"/>
        <v>Higher</v>
      </c>
      <c r="O891" s="2" t="str">
        <f t="shared" si="361"/>
        <v>Higher</v>
      </c>
      <c r="P891" s="2" t="str">
        <f t="shared" si="362"/>
        <v>Higher</v>
      </c>
      <c r="X891" s="4">
        <f>DATE(2021,3,2)</f>
        <v>44257</v>
      </c>
      <c r="Y891">
        <v>21.29245137915121</v>
      </c>
      <c r="Z891">
        <v>21.889584382244479</v>
      </c>
      <c r="AA891">
        <v>37.995000000000005</v>
      </c>
      <c r="AB891">
        <v>15.8925</v>
      </c>
      <c r="AC891">
        <f t="shared" si="363"/>
        <v>-9.9516337856128696E-3</v>
      </c>
      <c r="AD891">
        <f t="shared" si="363"/>
        <v>-2.1476082168291187E-2</v>
      </c>
      <c r="AE891">
        <f t="shared" si="364"/>
        <v>-1.1524448382678317E-2</v>
      </c>
      <c r="AF891">
        <f t="shared" si="365"/>
        <v>-0.32233743344640869</v>
      </c>
      <c r="AH891">
        <f t="shared" si="366"/>
        <v>9.5481269580812239E-2</v>
      </c>
      <c r="AI891">
        <f t="shared" si="366"/>
        <v>-0.1397551029210839</v>
      </c>
      <c r="AJ891">
        <f t="shared" si="367"/>
        <v>-0.23523637250189613</v>
      </c>
      <c r="AK891">
        <f t="shared" si="368"/>
        <v>-1.2585234235352938</v>
      </c>
      <c r="AM891">
        <f t="shared" si="369"/>
        <v>0.24790813320045463</v>
      </c>
      <c r="AN891">
        <f t="shared" si="369"/>
        <v>9.4806924360117395E-2</v>
      </c>
      <c r="AO891">
        <f t="shared" si="370"/>
        <v>-0.15310120884033723</v>
      </c>
      <c r="AP891">
        <f t="shared" si="371"/>
        <v>-0.85285605333447068</v>
      </c>
      <c r="AR891" t="str">
        <f t="shared" si="372"/>
        <v/>
      </c>
      <c r="AS891" t="str">
        <f t="shared" si="373"/>
        <v/>
      </c>
      <c r="AT891" t="str">
        <f t="shared" si="374"/>
        <v/>
      </c>
      <c r="AU891" t="str">
        <f t="shared" si="375"/>
        <v/>
      </c>
    </row>
    <row r="892" spans="1:47" x14ac:dyDescent="0.25">
      <c r="A892" s="4">
        <f>DATE(2021,3,1)</f>
        <v>44256</v>
      </c>
      <c r="B892">
        <v>-0.33926151203628385</v>
      </c>
      <c r="C892">
        <v>50.871427254048591</v>
      </c>
      <c r="D892">
        <v>0.25635501451368214</v>
      </c>
      <c r="E892">
        <f t="shared" si="351"/>
        <v>-1.7167376453632015</v>
      </c>
      <c r="F892">
        <f t="shared" si="352"/>
        <v>-0.52720075868391625</v>
      </c>
      <c r="G892">
        <f t="shared" si="353"/>
        <v>-1.1661510439951557</v>
      </c>
      <c r="H892" s="2" t="str">
        <f t="shared" si="354"/>
        <v>Higher</v>
      </c>
      <c r="I892" s="2" t="str">
        <f t="shared" si="355"/>
        <v>Higher</v>
      </c>
      <c r="J892" s="2" t="str">
        <f t="shared" si="356"/>
        <v>Higher</v>
      </c>
      <c r="K892" s="2" t="str">
        <f t="shared" si="357"/>
        <v>Higher</v>
      </c>
      <c r="L892" s="2" t="str">
        <f t="shared" si="358"/>
        <v>Lower</v>
      </c>
      <c r="M892" s="2" t="str">
        <f t="shared" si="359"/>
        <v>Higher</v>
      </c>
      <c r="N892" s="2" t="str">
        <f t="shared" si="360"/>
        <v>Higher</v>
      </c>
      <c r="O892" s="2" t="str">
        <f t="shared" si="361"/>
        <v>Higher</v>
      </c>
      <c r="P892" s="2" t="str">
        <f t="shared" si="362"/>
        <v>Higher</v>
      </c>
      <c r="X892" s="4">
        <f>DATE(2021,3,1)</f>
        <v>44256</v>
      </c>
      <c r="Y892">
        <v>21.852128018270736</v>
      </c>
      <c r="Z892">
        <v>22.413505293374751</v>
      </c>
      <c r="AA892">
        <v>37.379999999999995</v>
      </c>
      <c r="AB892">
        <v>16.046250000000001</v>
      </c>
      <c r="AC892">
        <f t="shared" si="363"/>
        <v>-6.9979291876446663E-3</v>
      </c>
      <c r="AD892">
        <f t="shared" si="363"/>
        <v>2.964583229134695E-3</v>
      </c>
      <c r="AE892">
        <f t="shared" si="364"/>
        <v>9.9625124167793608E-3</v>
      </c>
      <c r="AF892">
        <f t="shared" si="365"/>
        <v>-0.13222763729827475</v>
      </c>
      <c r="AH892">
        <f t="shared" si="366"/>
        <v>0.12720732110757646</v>
      </c>
      <c r="AI892">
        <f t="shared" si="366"/>
        <v>-0.13149418610855562</v>
      </c>
      <c r="AJ892">
        <f t="shared" si="367"/>
        <v>-0.25870150721613205</v>
      </c>
      <c r="AK892">
        <f t="shared" si="368"/>
        <v>-1.3702373988268801</v>
      </c>
      <c r="AM892">
        <f t="shared" si="369"/>
        <v>0.23133646531763052</v>
      </c>
      <c r="AN892">
        <f t="shared" si="369"/>
        <v>0.11504083025645247</v>
      </c>
      <c r="AO892">
        <f t="shared" si="370"/>
        <v>-0.11629563506117806</v>
      </c>
      <c r="AP892">
        <f t="shared" si="371"/>
        <v>-0.7518782326027228</v>
      </c>
      <c r="AR892" t="str">
        <f t="shared" si="372"/>
        <v/>
      </c>
      <c r="AS892" t="str">
        <f t="shared" si="373"/>
        <v/>
      </c>
      <c r="AT892" t="str">
        <f t="shared" si="374"/>
        <v/>
      </c>
      <c r="AU892" t="str">
        <f t="shared" si="375"/>
        <v/>
      </c>
    </row>
    <row r="893" spans="1:47" x14ac:dyDescent="0.25">
      <c r="A893" s="4">
        <f>DATE(2021,2,26)</f>
        <v>44253</v>
      </c>
      <c r="B893">
        <v>-0.27374875206764515</v>
      </c>
      <c r="C893">
        <v>51.671196373088137</v>
      </c>
      <c r="D893">
        <v>0.39166000884698687</v>
      </c>
      <c r="E893">
        <f t="shared" si="351"/>
        <v>-1.4417072228382932</v>
      </c>
      <c r="F893">
        <f t="shared" si="352"/>
        <v>-0.45439188168058864</v>
      </c>
      <c r="G893">
        <f t="shared" si="353"/>
        <v>-0.75609870054222295</v>
      </c>
      <c r="H893" s="2" t="str">
        <f t="shared" si="354"/>
        <v>Higher</v>
      </c>
      <c r="I893" s="2" t="str">
        <f t="shared" si="355"/>
        <v>Higher</v>
      </c>
      <c r="J893" s="2" t="str">
        <f t="shared" si="356"/>
        <v>Higher</v>
      </c>
      <c r="K893" s="2" t="str">
        <f t="shared" si="357"/>
        <v>Higher</v>
      </c>
      <c r="L893" s="2" t="str">
        <f t="shared" si="358"/>
        <v>Lower</v>
      </c>
      <c r="M893" s="2" t="str">
        <f t="shared" si="359"/>
        <v>Higher</v>
      </c>
      <c r="N893" s="2" t="str">
        <f t="shared" si="360"/>
        <v>Higher</v>
      </c>
      <c r="O893" s="2" t="str">
        <f t="shared" si="361"/>
        <v>Higher</v>
      </c>
      <c r="P893" s="2" t="str">
        <f t="shared" si="362"/>
        <v>Higher</v>
      </c>
      <c r="X893" s="4">
        <f>DATE(2021,2,26)</f>
        <v>44253</v>
      </c>
      <c r="Y893">
        <v>23.184049633658592</v>
      </c>
      <c r="Z893">
        <v>22.132817573228404</v>
      </c>
      <c r="AA893">
        <v>37.47</v>
      </c>
      <c r="AB893">
        <v>15.72875</v>
      </c>
      <c r="AC893">
        <f t="shared" si="363"/>
        <v>-6.3846984646696563E-3</v>
      </c>
      <c r="AD893">
        <f t="shared" si="363"/>
        <v>-6.3281075078091872E-2</v>
      </c>
      <c r="AE893">
        <f t="shared" si="364"/>
        <v>-5.6896376613422214E-2</v>
      </c>
      <c r="AF893">
        <f t="shared" si="365"/>
        <v>-0.72536499286879563</v>
      </c>
      <c r="AH893">
        <f t="shared" si="366"/>
        <v>0.12129198707371283</v>
      </c>
      <c r="AI893">
        <f t="shared" si="366"/>
        <v>-0.23817739574773358</v>
      </c>
      <c r="AJ893">
        <f t="shared" si="367"/>
        <v>-0.35946938282144641</v>
      </c>
      <c r="AK893">
        <f t="shared" si="368"/>
        <v>-1.8154210245510796</v>
      </c>
      <c r="AM893">
        <f t="shared" si="369"/>
        <v>0.22702082069455168</v>
      </c>
      <c r="AN893">
        <f t="shared" si="369"/>
        <v>7.4211902874819463E-2</v>
      </c>
      <c r="AO893">
        <f t="shared" si="370"/>
        <v>-0.15280891781973222</v>
      </c>
      <c r="AP893">
        <f t="shared" si="371"/>
        <v>-0.86465829387905602</v>
      </c>
      <c r="AR893" t="str">
        <f t="shared" si="372"/>
        <v/>
      </c>
      <c r="AS893" t="str">
        <f t="shared" si="373"/>
        <v/>
      </c>
      <c r="AT893" t="str">
        <f t="shared" si="374"/>
        <v/>
      </c>
      <c r="AU893" t="str">
        <f t="shared" si="375"/>
        <v/>
      </c>
    </row>
    <row r="894" spans="1:47" x14ac:dyDescent="0.25">
      <c r="A894" s="4">
        <f>DATE(2021,2,25)</f>
        <v>44252</v>
      </c>
      <c r="B894">
        <v>-0.18045608637055621</v>
      </c>
      <c r="C894">
        <v>57.118245955509899</v>
      </c>
      <c r="D894">
        <v>0.56751212401509177</v>
      </c>
      <c r="E894">
        <f t="shared" si="351"/>
        <v>-1.0267398745023188</v>
      </c>
      <c r="F894">
        <f t="shared" si="352"/>
        <v>8.0732501492607384E-2</v>
      </c>
      <c r="G894">
        <f t="shared" si="353"/>
        <v>-0.21504577232354452</v>
      </c>
      <c r="H894" s="2" t="str">
        <f t="shared" si="354"/>
        <v>Higher</v>
      </c>
      <c r="I894" s="2" t="str">
        <f t="shared" si="355"/>
        <v>Higher</v>
      </c>
      <c r="J894" s="2" t="str">
        <f t="shared" si="356"/>
        <v>Higher</v>
      </c>
      <c r="K894" s="2" t="str">
        <f t="shared" si="357"/>
        <v>Higher</v>
      </c>
      <c r="L894" s="2" t="str">
        <f t="shared" si="358"/>
        <v>Higher</v>
      </c>
      <c r="M894" s="2" t="str">
        <f t="shared" si="359"/>
        <v>Higher</v>
      </c>
      <c r="N894" s="2" t="str">
        <f t="shared" si="360"/>
        <v>Higher</v>
      </c>
      <c r="O894" s="2" t="str">
        <f t="shared" si="361"/>
        <v>Higher</v>
      </c>
      <c r="P894" s="2" t="str">
        <f t="shared" si="362"/>
        <v>Higher</v>
      </c>
      <c r="X894" s="4">
        <f>DATE(2021,2,25)</f>
        <v>44252</v>
      </c>
      <c r="Y894">
        <v>24.42334397295215</v>
      </c>
      <c r="Z894">
        <v>22.873113986367315</v>
      </c>
      <c r="AA894">
        <v>38.582499999999996</v>
      </c>
      <c r="AB894">
        <v>16.05125</v>
      </c>
      <c r="AC894">
        <f t="shared" si="363"/>
        <v>7.0225920964192235E-3</v>
      </c>
      <c r="AD894">
        <f t="shared" si="363"/>
        <v>-6.9849135891426467E-2</v>
      </c>
      <c r="AE894">
        <f t="shared" si="364"/>
        <v>-7.6871727987845695E-2</v>
      </c>
      <c r="AF894">
        <f t="shared" si="365"/>
        <v>-0.90576456616037848</v>
      </c>
      <c r="AH894">
        <f t="shared" si="366"/>
        <v>0.13559774837438787</v>
      </c>
      <c r="AI894">
        <f t="shared" si="366"/>
        <v>-0.25772290972467443</v>
      </c>
      <c r="AJ894">
        <f t="shared" si="367"/>
        <v>-0.3933206580990623</v>
      </c>
      <c r="AK894">
        <f t="shared" si="368"/>
        <v>-1.9927254588919858</v>
      </c>
      <c r="AM894">
        <f t="shared" si="369"/>
        <v>0.27991516844530095</v>
      </c>
      <c r="AN894">
        <f t="shared" si="369"/>
        <v>0.12096151052068112</v>
      </c>
      <c r="AO894">
        <f t="shared" si="370"/>
        <v>-0.15895365792461985</v>
      </c>
      <c r="AP894">
        <f t="shared" si="371"/>
        <v>-0.89044398603907349</v>
      </c>
      <c r="AR894" t="str">
        <f t="shared" si="372"/>
        <v/>
      </c>
      <c r="AS894" t="str">
        <f t="shared" si="373"/>
        <v/>
      </c>
      <c r="AT894" t="str">
        <f t="shared" si="374"/>
        <v/>
      </c>
      <c r="AU894" t="str">
        <f t="shared" si="375"/>
        <v/>
      </c>
    </row>
    <row r="895" spans="1:47" x14ac:dyDescent="0.25">
      <c r="A895" s="4">
        <f>DATE(2021,2,24)</f>
        <v>44251</v>
      </c>
      <c r="B895">
        <v>-0.13614911030276589</v>
      </c>
      <c r="C895">
        <v>62.691336678361317</v>
      </c>
      <c r="D895">
        <v>0.6952395561759912</v>
      </c>
      <c r="E895">
        <f t="shared" si="351"/>
        <v>-0.83516339463847356</v>
      </c>
      <c r="F895">
        <f t="shared" si="352"/>
        <v>0.63455252520509486</v>
      </c>
      <c r="G895">
        <f t="shared" si="353"/>
        <v>0.17646453163505263</v>
      </c>
      <c r="H895" s="2" t="str">
        <f t="shared" si="354"/>
        <v>Higher</v>
      </c>
      <c r="I895" s="2" t="str">
        <f t="shared" si="355"/>
        <v>Higher</v>
      </c>
      <c r="J895" s="2" t="str">
        <f t="shared" si="356"/>
        <v>Higher</v>
      </c>
      <c r="K895" s="2" t="str">
        <f t="shared" si="357"/>
        <v>Higher</v>
      </c>
      <c r="L895" s="2" t="str">
        <f t="shared" si="358"/>
        <v>Higher</v>
      </c>
      <c r="M895" s="2" t="str">
        <f t="shared" si="359"/>
        <v>Higher</v>
      </c>
      <c r="N895" s="2" t="str">
        <f t="shared" si="360"/>
        <v>Higher</v>
      </c>
      <c r="O895" s="2" t="str">
        <f t="shared" si="361"/>
        <v>Higher</v>
      </c>
      <c r="P895" s="2" t="str">
        <f t="shared" si="362"/>
        <v>Higher</v>
      </c>
      <c r="X895" s="4">
        <f>DATE(2021,2,24)</f>
        <v>44251</v>
      </c>
      <c r="Y895">
        <v>24.725167043872002</v>
      </c>
      <c r="Z895">
        <v>23.677729371718968</v>
      </c>
      <c r="AA895">
        <v>38.965000000000003</v>
      </c>
      <c r="AB895">
        <v>16.297499999999999</v>
      </c>
      <c r="AC895">
        <f t="shared" si="363"/>
        <v>1.4345964937710752E-2</v>
      </c>
      <c r="AD895">
        <f t="shared" si="363"/>
        <v>-2.409755157906053E-2</v>
      </c>
      <c r="AE895">
        <f t="shared" si="364"/>
        <v>-3.8443516516771283E-2</v>
      </c>
      <c r="AF895">
        <f t="shared" si="365"/>
        <v>-0.57130266021968823</v>
      </c>
      <c r="AH895">
        <f t="shared" si="366"/>
        <v>0.16441533784668336</v>
      </c>
      <c r="AI895">
        <f t="shared" si="366"/>
        <v>-0.1819635646148173</v>
      </c>
      <c r="AJ895">
        <f t="shared" si="367"/>
        <v>-0.34637890246150066</v>
      </c>
      <c r="AK895">
        <f t="shared" si="368"/>
        <v>-1.8280417033020082</v>
      </c>
      <c r="AM895">
        <f t="shared" si="369"/>
        <v>0.28422341275598506</v>
      </c>
      <c r="AN895">
        <f t="shared" si="369"/>
        <v>9.6215636392763357E-2</v>
      </c>
      <c r="AO895">
        <f t="shared" si="370"/>
        <v>-0.18800777636322169</v>
      </c>
      <c r="AP895">
        <f t="shared" si="371"/>
        <v>-0.98471318884916725</v>
      </c>
      <c r="AR895" t="str">
        <f t="shared" si="372"/>
        <v/>
      </c>
      <c r="AS895" t="str">
        <f t="shared" si="373"/>
        <v/>
      </c>
      <c r="AT895" t="str">
        <f t="shared" si="374"/>
        <v/>
      </c>
      <c r="AU895" t="str">
        <f t="shared" si="375"/>
        <v/>
      </c>
    </row>
    <row r="896" spans="1:47" x14ac:dyDescent="0.25">
      <c r="A896" s="4">
        <f>DATE(2021,2,23)</f>
        <v>44250</v>
      </c>
      <c r="B896">
        <v>-0.16519551623977002</v>
      </c>
      <c r="C896">
        <v>60.774677568431038</v>
      </c>
      <c r="D896">
        <v>0.66050393835109045</v>
      </c>
      <c r="E896">
        <f t="shared" si="351"/>
        <v>-0.98457142994481239</v>
      </c>
      <c r="F896">
        <f t="shared" si="352"/>
        <v>0.44172420105766419</v>
      </c>
      <c r="G896">
        <f t="shared" si="353"/>
        <v>5.6660096179326602E-2</v>
      </c>
      <c r="H896" s="2" t="str">
        <f t="shared" si="354"/>
        <v>Higher</v>
      </c>
      <c r="I896" s="2" t="str">
        <f t="shared" si="355"/>
        <v>Higher</v>
      </c>
      <c r="J896" s="2" t="str">
        <f t="shared" si="356"/>
        <v>Higher</v>
      </c>
      <c r="K896" s="2" t="str">
        <f t="shared" si="357"/>
        <v>Higher</v>
      </c>
      <c r="L896" s="2" t="str">
        <f t="shared" si="358"/>
        <v>Higher</v>
      </c>
      <c r="M896" s="2" t="str">
        <f t="shared" si="359"/>
        <v>Higher</v>
      </c>
      <c r="N896" s="2" t="str">
        <f t="shared" si="360"/>
        <v>Higher</v>
      </c>
      <c r="O896" s="2" t="str">
        <f t="shared" si="361"/>
        <v>Higher</v>
      </c>
      <c r="P896" s="2" t="str">
        <f t="shared" si="362"/>
        <v>Higher</v>
      </c>
      <c r="X896" s="4">
        <f>DATE(2021,2,23)</f>
        <v>44250</v>
      </c>
      <c r="Y896">
        <v>23.087497864687819</v>
      </c>
      <c r="Z896">
        <v>24.239637696422875</v>
      </c>
      <c r="AA896">
        <v>38.375</v>
      </c>
      <c r="AB896">
        <v>16.237500000000001</v>
      </c>
      <c r="AC896">
        <f t="shared" si="363"/>
        <v>-2.2545238321056208E-2</v>
      </c>
      <c r="AD896">
        <f t="shared" si="363"/>
        <v>-2.7036883798906487E-2</v>
      </c>
      <c r="AE896">
        <f t="shared" si="364"/>
        <v>-4.4916454778502792E-3</v>
      </c>
      <c r="AF896">
        <f t="shared" si="365"/>
        <v>-0.27404885719097122</v>
      </c>
      <c r="AH896">
        <f t="shared" si="366"/>
        <v>0.14252471296832397</v>
      </c>
      <c r="AI896">
        <f t="shared" si="366"/>
        <v>-0.18654664470013835</v>
      </c>
      <c r="AJ896">
        <f t="shared" si="367"/>
        <v>-0.32907135766846229</v>
      </c>
      <c r="AK896">
        <f t="shared" si="368"/>
        <v>-1.7840477787173012</v>
      </c>
      <c r="AM896">
        <f t="shared" si="369"/>
        <v>0.27641033297832723</v>
      </c>
      <c r="AN896">
        <f t="shared" si="369"/>
        <v>7.8107194254538492E-2</v>
      </c>
      <c r="AO896">
        <f t="shared" si="370"/>
        <v>-0.19830313872378874</v>
      </c>
      <c r="AP896">
        <f t="shared" si="371"/>
        <v>-1.0262310495579923</v>
      </c>
      <c r="AR896" t="str">
        <f t="shared" si="372"/>
        <v/>
      </c>
      <c r="AS896" t="str">
        <f t="shared" si="373"/>
        <v/>
      </c>
      <c r="AT896" t="str">
        <f t="shared" si="374"/>
        <v/>
      </c>
      <c r="AU896" t="str">
        <f t="shared" si="375"/>
        <v/>
      </c>
    </row>
    <row r="897" spans="1:47" x14ac:dyDescent="0.25">
      <c r="A897" s="4">
        <f>DATE(2021,2,22)</f>
        <v>44249</v>
      </c>
      <c r="B897">
        <v>-0.16984826679419185</v>
      </c>
      <c r="C897">
        <v>57.796692415509639</v>
      </c>
      <c r="D897">
        <v>0.60491075176898745</v>
      </c>
      <c r="E897">
        <f t="shared" si="351"/>
        <v>-1.0213809247845378</v>
      </c>
      <c r="F897">
        <f t="shared" si="352"/>
        <v>0.14151710447038679</v>
      </c>
      <c r="G897">
        <f t="shared" si="353"/>
        <v>-0.12942554912708626</v>
      </c>
      <c r="H897" s="2" t="str">
        <f t="shared" si="354"/>
        <v>Higher</v>
      </c>
      <c r="I897" s="2" t="str">
        <f t="shared" si="355"/>
        <v>Higher</v>
      </c>
      <c r="J897" s="2" t="str">
        <f t="shared" si="356"/>
        <v>Higher</v>
      </c>
      <c r="K897" s="2" t="str">
        <f t="shared" si="357"/>
        <v>Higher</v>
      </c>
      <c r="L897" s="2" t="str">
        <f t="shared" si="358"/>
        <v>Higher</v>
      </c>
      <c r="M897" s="2" t="str">
        <f t="shared" si="359"/>
        <v>Higher</v>
      </c>
      <c r="N897" s="2" t="str">
        <f t="shared" si="360"/>
        <v>Higher</v>
      </c>
      <c r="O897" s="2" t="str">
        <f t="shared" si="361"/>
        <v>Higher</v>
      </c>
      <c r="P897" s="2" t="str">
        <f t="shared" si="362"/>
        <v>Higher</v>
      </c>
      <c r="X897" s="4">
        <f>DATE(2021,2,22)</f>
        <v>44249</v>
      </c>
      <c r="Y897">
        <v>21.62799173553158</v>
      </c>
      <c r="Z897">
        <v>23.941426906847564</v>
      </c>
      <c r="AA897">
        <v>37.642499999999998</v>
      </c>
      <c r="AB897">
        <v>15.998750000000001</v>
      </c>
      <c r="AC897">
        <f t="shared" si="363"/>
        <v>-5.5167694584813312E-2</v>
      </c>
      <c r="AD897" t="str">
        <f t="shared" si="363"/>
        <v/>
      </c>
      <c r="AE897" t="str">
        <f t="shared" si="364"/>
        <v/>
      </c>
      <c r="AF897" t="str">
        <f t="shared" si="365"/>
        <v/>
      </c>
      <c r="AH897">
        <f t="shared" si="366"/>
        <v>0.11591687604340142</v>
      </c>
      <c r="AI897">
        <f t="shared" si="366"/>
        <v>-0.25423573289529605</v>
      </c>
      <c r="AJ897">
        <f t="shared" si="367"/>
        <v>-0.3701526089386975</v>
      </c>
      <c r="AK897">
        <f t="shared" si="368"/>
        <v>-1.9985576760121573</v>
      </c>
      <c r="AM897">
        <f t="shared" si="369"/>
        <v>0.26325461222701763</v>
      </c>
      <c r="AN897">
        <f t="shared" si="369"/>
        <v>5.7319284934288013E-2</v>
      </c>
      <c r="AO897">
        <f t="shared" si="370"/>
        <v>-0.20593532729272962</v>
      </c>
      <c r="AP897">
        <f t="shared" si="371"/>
        <v>-1.0614216189101358</v>
      </c>
      <c r="AR897" t="str">
        <f t="shared" si="372"/>
        <v/>
      </c>
      <c r="AS897" t="str">
        <f t="shared" si="373"/>
        <v/>
      </c>
      <c r="AT897" t="str">
        <f t="shared" si="374"/>
        <v/>
      </c>
      <c r="AU897" t="str">
        <f t="shared" si="375"/>
        <v/>
      </c>
    </row>
    <row r="898" spans="1:47" x14ac:dyDescent="0.25">
      <c r="A898" s="4">
        <f>DATE(2021,2,19)</f>
        <v>44246</v>
      </c>
      <c r="B898">
        <v>-0.11237483650925939</v>
      </c>
      <c r="C898">
        <v>55.311961198001342</v>
      </c>
      <c r="D898">
        <v>0.56739421681782831</v>
      </c>
      <c r="E898">
        <f t="shared" si="351"/>
        <v>-0.76269513381994469</v>
      </c>
      <c r="F898">
        <f t="shared" si="352"/>
        <v>-0.10678173129356121</v>
      </c>
      <c r="G898">
        <f t="shared" si="353"/>
        <v>-0.25468475998999857</v>
      </c>
      <c r="H898" s="2" t="str">
        <f t="shared" si="354"/>
        <v>Higher</v>
      </c>
      <c r="I898" s="2" t="str">
        <f t="shared" si="355"/>
        <v>Higher</v>
      </c>
      <c r="J898" s="2" t="str">
        <f t="shared" si="356"/>
        <v>Higher</v>
      </c>
      <c r="K898" s="2" t="str">
        <f t="shared" si="357"/>
        <v>Higher</v>
      </c>
      <c r="L898" s="2" t="str">
        <f t="shared" si="358"/>
        <v>Higher</v>
      </c>
      <c r="M898" s="2" t="str">
        <f t="shared" si="359"/>
        <v>Higher</v>
      </c>
      <c r="N898" s="2" t="str">
        <f t="shared" si="360"/>
        <v>Higher</v>
      </c>
      <c r="O898" s="2" t="str">
        <f t="shared" si="361"/>
        <v>Higher</v>
      </c>
      <c r="P898" s="2" t="str">
        <f t="shared" si="362"/>
        <v>Higher</v>
      </c>
      <c r="X898" s="4">
        <f>DATE(2021,2,19)</f>
        <v>44246</v>
      </c>
      <c r="Y898">
        <v>23.430819988164441</v>
      </c>
      <c r="Z898">
        <v>25.112563686768034</v>
      </c>
      <c r="AA898">
        <v>37.709999999999994</v>
      </c>
      <c r="AB898">
        <v>16.756250000000001</v>
      </c>
      <c r="AC898">
        <f t="shared" si="363"/>
        <v>-4.2252951120259834E-2</v>
      </c>
      <c r="AD898">
        <f t="shared" si="363"/>
        <v>-4.1141227409323737E-2</v>
      </c>
      <c r="AE898">
        <f t="shared" si="364"/>
        <v>1.1117237109360967E-3</v>
      </c>
      <c r="AF898">
        <f t="shared" si="365"/>
        <v>-0.22723344218345459</v>
      </c>
      <c r="AH898">
        <f t="shared" si="366"/>
        <v>0.10128796880740455</v>
      </c>
      <c r="AI898">
        <f t="shared" si="366"/>
        <v>-0.2401704639497429</v>
      </c>
      <c r="AJ898">
        <f t="shared" si="367"/>
        <v>-0.34145843275714743</v>
      </c>
      <c r="AK898">
        <f t="shared" si="368"/>
        <v>-1.910926890979155</v>
      </c>
      <c r="AM898">
        <f t="shared" si="369"/>
        <v>0.29051468477332731</v>
      </c>
      <c r="AN898">
        <f t="shared" si="369"/>
        <v>0.1555441655082434</v>
      </c>
      <c r="AO898">
        <f t="shared" si="370"/>
        <v>-0.13497051926508391</v>
      </c>
      <c r="AP898">
        <f t="shared" si="371"/>
        <v>-0.86214337145939979</v>
      </c>
      <c r="AR898" t="str">
        <f t="shared" si="372"/>
        <v/>
      </c>
      <c r="AS898" t="str">
        <f t="shared" si="373"/>
        <v/>
      </c>
      <c r="AT898" t="str">
        <f t="shared" si="374"/>
        <v/>
      </c>
      <c r="AU898" t="str">
        <f t="shared" si="375"/>
        <v/>
      </c>
    </row>
    <row r="899" spans="1:47" x14ac:dyDescent="0.25">
      <c r="A899" s="4">
        <f>DATE(2021,2,18)</f>
        <v>44245</v>
      </c>
      <c r="B899">
        <v>2.3520558625038213E-2</v>
      </c>
      <c r="C899">
        <v>60.770192355922639</v>
      </c>
      <c r="D899">
        <v>0.67206262636207414</v>
      </c>
      <c r="E899">
        <f t="shared" si="351"/>
        <v>-0.12428580706924641</v>
      </c>
      <c r="F899">
        <f t="shared" si="352"/>
        <v>0.44376578360779084</v>
      </c>
      <c r="G899">
        <f t="shared" si="353"/>
        <v>6.9597727421763136E-2</v>
      </c>
      <c r="H899" s="2" t="str">
        <f t="shared" si="354"/>
        <v>Higher</v>
      </c>
      <c r="I899" s="2" t="str">
        <f t="shared" si="355"/>
        <v>Higher</v>
      </c>
      <c r="J899" s="2" t="str">
        <f t="shared" si="356"/>
        <v>Higher</v>
      </c>
      <c r="K899" s="2" t="str">
        <f t="shared" si="357"/>
        <v>Higher</v>
      </c>
      <c r="L899" s="2" t="str">
        <f t="shared" si="358"/>
        <v>Higher</v>
      </c>
      <c r="M899" s="2" t="str">
        <f t="shared" si="359"/>
        <v>Higher</v>
      </c>
      <c r="N899" s="2" t="str">
        <f t="shared" si="360"/>
        <v>Higher</v>
      </c>
      <c r="O899" s="2" t="str">
        <f t="shared" si="361"/>
        <v>Higher</v>
      </c>
      <c r="P899" s="2" t="str">
        <f t="shared" si="362"/>
        <v>Higher</v>
      </c>
      <c r="X899" s="4">
        <f>DATE(2021,2,18)</f>
        <v>44245</v>
      </c>
      <c r="Y899">
        <v>25.002475288831793</v>
      </c>
      <c r="Z899">
        <v>26.752192965862953</v>
      </c>
      <c r="AA899">
        <v>38.3125</v>
      </c>
      <c r="AB899">
        <v>17.212499999999999</v>
      </c>
      <c r="AC899">
        <f t="shared" si="363"/>
        <v>-1.7400743065133083E-2</v>
      </c>
      <c r="AD899">
        <f t="shared" si="363"/>
        <v>-2.0485891617931854E-2</v>
      </c>
      <c r="AE899">
        <f t="shared" si="364"/>
        <v>-3.0851485527987714E-3</v>
      </c>
      <c r="AF899">
        <f t="shared" si="365"/>
        <v>-0.26475728694765549</v>
      </c>
      <c r="AH899">
        <f t="shared" si="366"/>
        <v>0.1269439555010603</v>
      </c>
      <c r="AI899">
        <f t="shared" si="366"/>
        <v>-0.15234388203969723</v>
      </c>
      <c r="AJ899">
        <f t="shared" si="367"/>
        <v>-0.27928783754075753</v>
      </c>
      <c r="AK899">
        <f t="shared" si="368"/>
        <v>-1.6633860906423603</v>
      </c>
      <c r="AM899">
        <f t="shared" si="369"/>
        <v>0.31500129633082058</v>
      </c>
      <c r="AN899" t="str">
        <f t="shared" si="369"/>
        <v/>
      </c>
      <c r="AO899" t="str">
        <f t="shared" si="370"/>
        <v/>
      </c>
      <c r="AP899" t="str">
        <f t="shared" si="371"/>
        <v/>
      </c>
      <c r="AR899" t="str">
        <f t="shared" si="372"/>
        <v/>
      </c>
      <c r="AS899" t="str">
        <f t="shared" si="373"/>
        <v/>
      </c>
      <c r="AT899" t="str">
        <f t="shared" si="374"/>
        <v/>
      </c>
      <c r="AU899" t="str">
        <f t="shared" si="375"/>
        <v/>
      </c>
    </row>
    <row r="900" spans="1:47" x14ac:dyDescent="0.25">
      <c r="A900" s="4">
        <f>DATE(2021,2,17)</f>
        <v>44244</v>
      </c>
      <c r="B900">
        <v>0.12206940589202775</v>
      </c>
      <c r="C900">
        <v>59.850411894203475</v>
      </c>
      <c r="D900">
        <v>0.66877041268845694</v>
      </c>
      <c r="E900">
        <f t="shared" si="351"/>
        <v>0.34290369488538058</v>
      </c>
      <c r="F900">
        <f t="shared" si="352"/>
        <v>0.36203063567247595</v>
      </c>
      <c r="G900">
        <f t="shared" si="353"/>
        <v>6.6323515805861294E-2</v>
      </c>
      <c r="H900" s="2" t="str">
        <f t="shared" si="354"/>
        <v>Lower</v>
      </c>
      <c r="I900" s="2" t="str">
        <f t="shared" si="355"/>
        <v>Higher</v>
      </c>
      <c r="J900" s="2" t="str">
        <f t="shared" si="356"/>
        <v>Higher</v>
      </c>
      <c r="K900" s="2" t="str">
        <f t="shared" si="357"/>
        <v>Higher</v>
      </c>
      <c r="L900" s="2" t="str">
        <f t="shared" si="358"/>
        <v>Higher</v>
      </c>
      <c r="M900" s="2" t="str">
        <f t="shared" si="359"/>
        <v>Higher</v>
      </c>
      <c r="N900" s="2" t="str">
        <f t="shared" si="360"/>
        <v>Lower</v>
      </c>
      <c r="O900" s="2" t="str">
        <f t="shared" si="361"/>
        <v>Higher</v>
      </c>
      <c r="P900" s="2" t="str">
        <f t="shared" si="362"/>
        <v>Higher</v>
      </c>
      <c r="X900" s="4">
        <f>DATE(2021,2,17)</f>
        <v>44244</v>
      </c>
      <c r="Y900">
        <v>26.362655231346537</v>
      </c>
      <c r="Z900">
        <v>27.832037122701241</v>
      </c>
      <c r="AA900">
        <v>38.410000000000004</v>
      </c>
      <c r="AB900">
        <v>16.695</v>
      </c>
      <c r="AC900">
        <f t="shared" si="363"/>
        <v>-1.4859114403749716E-2</v>
      </c>
      <c r="AD900">
        <f t="shared" si="363"/>
        <v>-0.11066984631930309</v>
      </c>
      <c r="AE900">
        <f t="shared" si="364"/>
        <v>-9.5810731915553365E-2</v>
      </c>
      <c r="AF900">
        <f t="shared" si="365"/>
        <v>-1.0756575316474584</v>
      </c>
      <c r="AH900">
        <f t="shared" si="366"/>
        <v>0.15029627606011836</v>
      </c>
      <c r="AI900">
        <f t="shared" si="366"/>
        <v>-0.20598611961608274</v>
      </c>
      <c r="AJ900">
        <f t="shared" si="367"/>
        <v>-0.35628239567620112</v>
      </c>
      <c r="AK900">
        <f t="shared" si="368"/>
        <v>-2.0469644020503548</v>
      </c>
      <c r="AM900">
        <f t="shared" si="369"/>
        <v>0.3260734845125795</v>
      </c>
      <c r="AN900">
        <f t="shared" si="369"/>
        <v>0.1772133322166147</v>
      </c>
      <c r="AO900">
        <f t="shared" si="370"/>
        <v>-0.1488601522959648</v>
      </c>
      <c r="AP900">
        <f t="shared" si="371"/>
        <v>-0.91577005041633119</v>
      </c>
      <c r="AR900" t="str">
        <f t="shared" si="372"/>
        <v/>
      </c>
      <c r="AS900" t="str">
        <f t="shared" si="373"/>
        <v/>
      </c>
      <c r="AT900" t="str">
        <f t="shared" si="374"/>
        <v/>
      </c>
      <c r="AU900" t="str">
        <f t="shared" si="375"/>
        <v/>
      </c>
    </row>
    <row r="901" spans="1:47" x14ac:dyDescent="0.25">
      <c r="A901" s="4">
        <f>DATE(2021,2,16)</f>
        <v>44243</v>
      </c>
      <c r="B901">
        <v>0.2699668430156581</v>
      </c>
      <c r="C901">
        <v>64.555492724383242</v>
      </c>
      <c r="D901">
        <v>0.76173936369054618</v>
      </c>
      <c r="E901">
        <f t="shared" ref="E901:E964" si="376">(B901-AVERAGE(B901:B1030))/_xlfn.STDEV.S(B901:B1030)</f>
        <v>1.04567426918398</v>
      </c>
      <c r="F901">
        <f t="shared" ref="F901:F964" si="377">(C901-AVERAGE(C901:C1030))/_xlfn.STDEV.S(C901:C1030)</f>
        <v>0.83541551573985617</v>
      </c>
      <c r="G901">
        <f t="shared" ref="G901:G964" si="378">(D901-AVERAGE(D901:D1030))/_xlfn.STDEV.S(D901:D1030)</f>
        <v>0.34972868379608446</v>
      </c>
      <c r="H901" s="2" t="str">
        <f t="shared" ref="H901:H964" si="379">IF(AVERAGEA(C901:C921)&gt;AVERAGE(C922:C942),"Higher","Lower")</f>
        <v>Lower</v>
      </c>
      <c r="I901" s="2" t="str">
        <f t="shared" ref="I901:I964" si="380">IF(AVERAGEA(C901:C956)&gt;AVERAGE(C957:C1012),"Higher","Lower")</f>
        <v>Higher</v>
      </c>
      <c r="J901" s="2" t="str">
        <f t="shared" ref="J901:J964" si="381">IF(AVERAGEA(C901:C1013)&gt;AVERAGE(C1014:C1126),"Higher","Lower")</f>
        <v>Higher</v>
      </c>
      <c r="K901" s="2" t="str">
        <f t="shared" ref="K901:K964" si="382">IF(AVERAGEA(B901:B921)&gt;AVERAGE(B922:B942),"Higher","Lower")</f>
        <v>Higher</v>
      </c>
      <c r="L901" s="2" t="str">
        <f t="shared" ref="L901:L964" si="383">IF(AVERAGEA(B901:B956)&gt;AVERAGE(B957:B1012),"Higher","Lower")</f>
        <v>Higher</v>
      </c>
      <c r="M901" s="2" t="str">
        <f t="shared" ref="M901:M964" si="384">IF(AVERAGEA(B901:B1013)&gt;AVERAGE(B1014:B1126),"Higher","Lower")</f>
        <v>Higher</v>
      </c>
      <c r="N901" s="2" t="str">
        <f t="shared" ref="N901:N964" si="385">IF(AVERAGEA(D901:D921)&gt;AVERAGE(D922:D942),"Higher","Lower")</f>
        <v>Lower</v>
      </c>
      <c r="O901" s="2" t="str">
        <f t="shared" ref="O901:O964" si="386">IF(AVERAGEA(D901:D956)&gt;AVERAGE(D957:D1012),"Higher","Lower")</f>
        <v>Higher</v>
      </c>
      <c r="P901" s="2" t="str">
        <f t="shared" ref="P901:P964" si="387">IF(AVERAGEA(D901:D1013)&gt;AVERAGE(D1014:D1126),"Higher","Lower")</f>
        <v>Higher</v>
      </c>
      <c r="X901" s="4">
        <f>DATE(2021,2,16)</f>
        <v>44243</v>
      </c>
      <c r="Y901">
        <v>28.129258087341064</v>
      </c>
      <c r="Z901">
        <v>27.199179711967673</v>
      </c>
      <c r="AA901">
        <v>39.25</v>
      </c>
      <c r="AB901">
        <v>16.682499999999997</v>
      </c>
      <c r="AC901">
        <f t="shared" ref="AC901:AD964" si="388">IFERROR(LN(AA901/AA906),"")</f>
        <v>2.7115928615887956E-2</v>
      </c>
      <c r="AD901">
        <f t="shared" si="388"/>
        <v>-0.13198479038813934</v>
      </c>
      <c r="AE901">
        <f t="shared" ref="AE901:AE964" si="389">IFERROR(AD901-AC901,"")</f>
        <v>-0.15910071900402731</v>
      </c>
      <c r="AF901">
        <f t="shared" ref="AF901:AF964" si="390">IFERROR((AE901-AVERAGEA(AE901:AE1423))/_xlfn.STDEV.S(AE901:AE1418),"")</f>
        <v>-1.6372856249559797</v>
      </c>
      <c r="AH901">
        <f t="shared" ref="AH901:AI964" si="391">IFERROR(LN(AA901/AA921),"")</f>
        <v>0.1809721491827288</v>
      </c>
      <c r="AI901">
        <f t="shared" si="391"/>
        <v>-0.18074681236444803</v>
      </c>
      <c r="AJ901">
        <f t="shared" ref="AJ901:AJ964" si="392">IFERROR(AI901-AH901,"")</f>
        <v>-0.36171896154717686</v>
      </c>
      <c r="AK901">
        <f t="shared" ref="AK901:AK964" si="393">IFERROR((AJ901-AVERAGEA(AJ901:AJ1423))/_xlfn.STDEV.S(AJ901:AJ1418),"")</f>
        <v>-2.1196780096849315</v>
      </c>
      <c r="AM901">
        <f t="shared" ref="AM901:AN964" si="394">IFERROR(LN(AA901/AA961),"")</f>
        <v>0.35740314349758151</v>
      </c>
      <c r="AN901">
        <f t="shared" si="394"/>
        <v>0.19059788121600349</v>
      </c>
      <c r="AO901">
        <f t="shared" ref="AO901:AO964" si="395">IFERROR(AN901-AM901,"")</f>
        <v>-0.16680526228157802</v>
      </c>
      <c r="AP901">
        <f t="shared" ref="AP901:AP964" si="396">IFERROR((AO901-AVERAGEA(AO901:AO1423))/_xlfn.STDEV.S(AO901:AO1418),"")</f>
        <v>-0.98024740153212708</v>
      </c>
      <c r="AR901" t="str">
        <f t="shared" ref="AR901:AR964" si="397">IFERROR(LN(AA901/AA1101),"")</f>
        <v/>
      </c>
      <c r="AS901" t="str">
        <f t="shared" ref="AS901:AS964" si="398">IFERROR(LN(AB901/AB1101),"")</f>
        <v/>
      </c>
      <c r="AT901" t="str">
        <f t="shared" ref="AT901:AT964" si="399">IFERROR(AS901-AR901,"")</f>
        <v/>
      </c>
      <c r="AU901" t="str">
        <f t="shared" ref="AU901:AU964" si="400">IFERROR((AT901-AVERAGEA(AT901:AT1423))/_xlfn.STDEV.S(AT901:AT1418),"")</f>
        <v/>
      </c>
    </row>
    <row r="902" spans="1:47" x14ac:dyDescent="0.25">
      <c r="A902" s="4">
        <f>DATE(2021,2,15)</f>
        <v>44242</v>
      </c>
      <c r="B902">
        <v>0.38285549626378002</v>
      </c>
      <c r="C902">
        <v>68.864394304458898</v>
      </c>
      <c r="D902">
        <v>0.85199722382961818</v>
      </c>
      <c r="E902">
        <f t="shared" si="376"/>
        <v>1.5950823230837603</v>
      </c>
      <c r="F902">
        <f t="shared" si="377"/>
        <v>1.2744995903689116</v>
      </c>
      <c r="G902">
        <f t="shared" si="378"/>
        <v>0.62426316395343329</v>
      </c>
      <c r="H902" s="2" t="str">
        <f t="shared" si="379"/>
        <v>Lower</v>
      </c>
      <c r="I902" s="2" t="str">
        <f t="shared" si="380"/>
        <v>Higher</v>
      </c>
      <c r="J902" s="2" t="str">
        <f t="shared" si="381"/>
        <v>Higher</v>
      </c>
      <c r="K902" s="2" t="str">
        <f t="shared" si="382"/>
        <v>Higher</v>
      </c>
      <c r="L902" s="2" t="str">
        <f t="shared" si="383"/>
        <v>Higher</v>
      </c>
      <c r="M902" s="2" t="str">
        <f t="shared" si="384"/>
        <v>Higher</v>
      </c>
      <c r="N902" s="2" t="str">
        <f t="shared" si="385"/>
        <v>Lower</v>
      </c>
      <c r="O902" s="2" t="str">
        <f t="shared" si="386"/>
        <v>Higher</v>
      </c>
      <c r="P902" s="2" t="str">
        <f t="shared" si="387"/>
        <v>Higher</v>
      </c>
      <c r="X902" s="4">
        <f>DATE(2021,2,15)</f>
        <v>44242</v>
      </c>
      <c r="Y902">
        <v>30.58397363134565</v>
      </c>
      <c r="AA902">
        <v>39.777500000000003</v>
      </c>
      <c r="AC902">
        <f t="shared" si="388"/>
        <v>2.3078680935742842E-2</v>
      </c>
      <c r="AD902" t="str">
        <f t="shared" si="388"/>
        <v/>
      </c>
      <c r="AE902" t="str">
        <f t="shared" si="389"/>
        <v/>
      </c>
      <c r="AF902" t="str">
        <f t="shared" si="390"/>
        <v/>
      </c>
      <c r="AH902">
        <f t="shared" si="391"/>
        <v>0.22659050087447441</v>
      </c>
      <c r="AI902" t="str">
        <f t="shared" si="391"/>
        <v/>
      </c>
      <c r="AJ902" t="str">
        <f t="shared" si="392"/>
        <v/>
      </c>
      <c r="AK902" t="str">
        <f t="shared" si="393"/>
        <v/>
      </c>
      <c r="AM902">
        <f t="shared" si="394"/>
        <v>0.37705595479476689</v>
      </c>
      <c r="AN902" t="str">
        <f t="shared" si="394"/>
        <v/>
      </c>
      <c r="AO902" t="str">
        <f t="shared" si="395"/>
        <v/>
      </c>
      <c r="AP902" t="str">
        <f t="shared" si="396"/>
        <v/>
      </c>
      <c r="AR902" t="str">
        <f t="shared" si="397"/>
        <v/>
      </c>
      <c r="AS902" t="str">
        <f t="shared" si="398"/>
        <v/>
      </c>
      <c r="AT902" t="str">
        <f t="shared" si="399"/>
        <v/>
      </c>
      <c r="AU902" t="str">
        <f t="shared" si="400"/>
        <v/>
      </c>
    </row>
    <row r="903" spans="1:47" x14ac:dyDescent="0.25">
      <c r="A903" s="4">
        <f>DATE(2021,2,12)</f>
        <v>44239</v>
      </c>
      <c r="B903">
        <v>0.44262867838506947</v>
      </c>
      <c r="C903">
        <v>72.257161105983414</v>
      </c>
      <c r="D903">
        <v>0.93585311684423378</v>
      </c>
      <c r="E903">
        <f t="shared" si="376"/>
        <v>1.9113320736482533</v>
      </c>
      <c r="F903">
        <f t="shared" si="377"/>
        <v>1.6341441678432342</v>
      </c>
      <c r="G903">
        <f t="shared" si="378"/>
        <v>0.88523425132303202</v>
      </c>
      <c r="H903" s="2" t="str">
        <f t="shared" si="379"/>
        <v>Lower</v>
      </c>
      <c r="I903" s="2" t="str">
        <f t="shared" si="380"/>
        <v>Higher</v>
      </c>
      <c r="J903" s="2" t="str">
        <f t="shared" si="381"/>
        <v>Higher</v>
      </c>
      <c r="K903" s="2" t="str">
        <f t="shared" si="382"/>
        <v>Lower</v>
      </c>
      <c r="L903" s="2" t="str">
        <f t="shared" si="383"/>
        <v>Higher</v>
      </c>
      <c r="M903" s="2" t="str">
        <f t="shared" si="384"/>
        <v>Higher</v>
      </c>
      <c r="N903" s="2" t="str">
        <f t="shared" si="385"/>
        <v>Lower</v>
      </c>
      <c r="O903" s="2" t="str">
        <f t="shared" si="386"/>
        <v>Higher</v>
      </c>
      <c r="P903" s="2" t="str">
        <f t="shared" si="387"/>
        <v>Higher</v>
      </c>
      <c r="X903" s="4">
        <f>DATE(2021,2,12)</f>
        <v>44239</v>
      </c>
      <c r="Y903">
        <v>30.487937489519091</v>
      </c>
      <c r="Z903">
        <v>29.404461776294578</v>
      </c>
      <c r="AA903">
        <v>39.337500000000006</v>
      </c>
      <c r="AB903">
        <v>17.46</v>
      </c>
      <c r="AC903">
        <f t="shared" si="388"/>
        <v>3.2423403361806283E-2</v>
      </c>
      <c r="AD903">
        <f t="shared" si="388"/>
        <v>-5.7317494987577336E-2</v>
      </c>
      <c r="AE903">
        <f t="shared" si="389"/>
        <v>-8.9740898349383619E-2</v>
      </c>
      <c r="AF903">
        <f t="shared" si="390"/>
        <v>-1.0512050366394865</v>
      </c>
      <c r="AH903">
        <f t="shared" si="391"/>
        <v>0.20184357522806837</v>
      </c>
      <c r="AI903">
        <f t="shared" si="391"/>
        <v>-0.14111816159374313</v>
      </c>
      <c r="AJ903">
        <f t="shared" si="392"/>
        <v>-0.34296173682181152</v>
      </c>
      <c r="AK903">
        <f t="shared" si="393"/>
        <v>-2.0853615758344879</v>
      </c>
      <c r="AM903">
        <f t="shared" si="394"/>
        <v>0.38863892419660245</v>
      </c>
      <c r="AN903">
        <f t="shared" si="394"/>
        <v>0.30851615935462307</v>
      </c>
      <c r="AO903">
        <f t="shared" si="395"/>
        <v>-8.0122764841979388E-2</v>
      </c>
      <c r="AP903">
        <f t="shared" si="396"/>
        <v>-0.73218409296136033</v>
      </c>
      <c r="AR903" t="str">
        <f t="shared" si="397"/>
        <v/>
      </c>
      <c r="AS903" t="str">
        <f t="shared" si="398"/>
        <v/>
      </c>
      <c r="AT903" t="str">
        <f t="shared" si="399"/>
        <v/>
      </c>
      <c r="AU903" t="str">
        <f t="shared" si="400"/>
        <v/>
      </c>
    </row>
    <row r="904" spans="1:47" x14ac:dyDescent="0.25">
      <c r="A904" s="4">
        <f>DATE(2021,2,11)</f>
        <v>44238</v>
      </c>
      <c r="B904">
        <v>0.43034292243821382</v>
      </c>
      <c r="C904">
        <v>68.642017235408829</v>
      </c>
      <c r="D904">
        <v>0.87077212247106717</v>
      </c>
      <c r="E904">
        <f t="shared" si="376"/>
        <v>1.8960650102754064</v>
      </c>
      <c r="F904">
        <f t="shared" si="377"/>
        <v>1.3023838304551607</v>
      </c>
      <c r="G904">
        <f t="shared" si="378"/>
        <v>0.70370584880313292</v>
      </c>
      <c r="H904" s="2" t="str">
        <f t="shared" si="379"/>
        <v>Lower</v>
      </c>
      <c r="I904" s="2" t="str">
        <f t="shared" si="380"/>
        <v>Higher</v>
      </c>
      <c r="J904" s="2" t="str">
        <f t="shared" si="381"/>
        <v>Higher</v>
      </c>
      <c r="K904" s="2" t="str">
        <f t="shared" si="382"/>
        <v>Lower</v>
      </c>
      <c r="L904" s="2" t="str">
        <f t="shared" si="383"/>
        <v>Higher</v>
      </c>
      <c r="M904" s="2" t="str">
        <f t="shared" si="384"/>
        <v>Higher</v>
      </c>
      <c r="N904" s="2" t="str">
        <f t="shared" si="385"/>
        <v>Lower</v>
      </c>
      <c r="O904" s="2" t="str">
        <f t="shared" si="386"/>
        <v>Higher</v>
      </c>
      <c r="P904" s="2" t="str">
        <f t="shared" si="387"/>
        <v>Higher</v>
      </c>
      <c r="X904" s="4">
        <f>DATE(2021,2,11)</f>
        <v>44238</v>
      </c>
      <c r="Y904">
        <v>35.563100202838584</v>
      </c>
      <c r="Z904">
        <v>30.677489282584276</v>
      </c>
      <c r="AA904">
        <v>38.984999999999999</v>
      </c>
      <c r="AB904">
        <v>17.568750000000001</v>
      </c>
      <c r="AC904">
        <f t="shared" si="388"/>
        <v>4.3111818647986716E-2</v>
      </c>
      <c r="AD904">
        <f t="shared" si="388"/>
        <v>-2.8961109731356325E-2</v>
      </c>
      <c r="AE904">
        <f t="shared" si="389"/>
        <v>-7.2072928379343038E-2</v>
      </c>
      <c r="AF904">
        <f t="shared" si="390"/>
        <v>-0.90360361011285095</v>
      </c>
      <c r="AH904">
        <f t="shared" si="391"/>
        <v>0.15357370125562131</v>
      </c>
      <c r="AI904">
        <f t="shared" si="391"/>
        <v>-0.18226226415511829</v>
      </c>
      <c r="AJ904">
        <f t="shared" si="392"/>
        <v>-0.33583596541073957</v>
      </c>
      <c r="AK904">
        <f t="shared" si="393"/>
        <v>-2.1015344183206341</v>
      </c>
      <c r="AM904">
        <f t="shared" si="394"/>
        <v>0.38452392785750183</v>
      </c>
      <c r="AN904">
        <f t="shared" si="394"/>
        <v>0.29131727371785698</v>
      </c>
      <c r="AO904">
        <f t="shared" si="395"/>
        <v>-9.3206654139644851E-2</v>
      </c>
      <c r="AP904">
        <f t="shared" si="396"/>
        <v>-0.7784937397374011</v>
      </c>
      <c r="AR904" t="str">
        <f t="shared" si="397"/>
        <v/>
      </c>
      <c r="AS904" t="str">
        <f t="shared" si="398"/>
        <v/>
      </c>
      <c r="AT904" t="str">
        <f t="shared" si="399"/>
        <v/>
      </c>
      <c r="AU904" t="str">
        <f t="shared" si="400"/>
        <v/>
      </c>
    </row>
    <row r="905" spans="1:47" x14ac:dyDescent="0.25">
      <c r="A905" s="4">
        <f>DATE(2021,2,10)</f>
        <v>44237</v>
      </c>
      <c r="B905">
        <v>0.48492654882410102</v>
      </c>
      <c r="C905">
        <v>72.616983417263924</v>
      </c>
      <c r="D905">
        <v>0.97833406484517937</v>
      </c>
      <c r="E905">
        <f t="shared" si="376"/>
        <v>2.2057822014421844</v>
      </c>
      <c r="F905">
        <f t="shared" si="377"/>
        <v>1.7226529652297848</v>
      </c>
      <c r="G905">
        <f t="shared" si="378"/>
        <v>1.0367584181731104</v>
      </c>
      <c r="H905" s="2" t="str">
        <f t="shared" si="379"/>
        <v>Lower</v>
      </c>
      <c r="I905" s="2" t="str">
        <f t="shared" si="380"/>
        <v>Higher</v>
      </c>
      <c r="J905" s="2" t="str">
        <f t="shared" si="381"/>
        <v>Higher</v>
      </c>
      <c r="K905" s="2" t="str">
        <f t="shared" si="382"/>
        <v>Lower</v>
      </c>
      <c r="L905" s="2" t="str">
        <f t="shared" si="383"/>
        <v>Higher</v>
      </c>
      <c r="M905" s="2" t="str">
        <f t="shared" si="384"/>
        <v>Higher</v>
      </c>
      <c r="N905" s="2" t="str">
        <f t="shared" si="385"/>
        <v>Lower</v>
      </c>
      <c r="O905" s="2" t="str">
        <f t="shared" si="386"/>
        <v>Higher</v>
      </c>
      <c r="P905" s="2" t="str">
        <f t="shared" si="387"/>
        <v>Higher</v>
      </c>
      <c r="X905" s="4">
        <f>DATE(2021,2,10)</f>
        <v>44237</v>
      </c>
      <c r="Y905">
        <v>36.877046524698166</v>
      </c>
      <c r="Z905">
        <v>32.917704385855053</v>
      </c>
      <c r="AA905">
        <v>38.984999999999999</v>
      </c>
      <c r="AB905">
        <v>18.64875</v>
      </c>
      <c r="AC905">
        <f t="shared" si="388"/>
        <v>5.5710941010042814E-2</v>
      </c>
      <c r="AD905">
        <f t="shared" si="388"/>
        <v>5.059150408824075E-2</v>
      </c>
      <c r="AE905">
        <f t="shared" si="389"/>
        <v>-5.1194369218020633E-3</v>
      </c>
      <c r="AF905">
        <f t="shared" si="390"/>
        <v>-0.31997684151849309</v>
      </c>
      <c r="AH905">
        <f t="shared" si="391"/>
        <v>0.14397434190850311</v>
      </c>
      <c r="AI905">
        <f t="shared" si="391"/>
        <v>-0.16979848880878631</v>
      </c>
      <c r="AJ905">
        <f t="shared" si="392"/>
        <v>-0.31377283071728945</v>
      </c>
      <c r="AK905">
        <f t="shared" si="393"/>
        <v>-2.0447506590715427</v>
      </c>
      <c r="AM905">
        <f t="shared" si="394"/>
        <v>0.35245147826348344</v>
      </c>
      <c r="AN905">
        <f t="shared" si="394"/>
        <v>0.30656013231932666</v>
      </c>
      <c r="AO905">
        <f t="shared" si="395"/>
        <v>-4.5891345944156781E-2</v>
      </c>
      <c r="AP905">
        <f t="shared" si="396"/>
        <v>-0.64146945898214391</v>
      </c>
      <c r="AR905" t="str">
        <f t="shared" si="397"/>
        <v/>
      </c>
      <c r="AS905" t="str">
        <f t="shared" si="398"/>
        <v/>
      </c>
      <c r="AT905" t="str">
        <f t="shared" si="399"/>
        <v/>
      </c>
      <c r="AU905" t="str">
        <f t="shared" si="400"/>
        <v/>
      </c>
    </row>
    <row r="906" spans="1:47" x14ac:dyDescent="0.25">
      <c r="A906" s="4">
        <f>DATE(2021,2,9)</f>
        <v>44236</v>
      </c>
      <c r="B906">
        <v>0.45686992085328648</v>
      </c>
      <c r="C906">
        <v>69.542607296090623</v>
      </c>
      <c r="D906">
        <v>0.93952410966390243</v>
      </c>
      <c r="E906">
        <f t="shared" si="376"/>
        <v>2.1292879864727903</v>
      </c>
      <c r="F906">
        <f t="shared" si="377"/>
        <v>1.4472033111900762</v>
      </c>
      <c r="G906">
        <f t="shared" si="378"/>
        <v>0.93729568936565433</v>
      </c>
      <c r="H906" s="2" t="str">
        <f t="shared" si="379"/>
        <v>Lower</v>
      </c>
      <c r="I906" s="2" t="str">
        <f t="shared" si="380"/>
        <v>Higher</v>
      </c>
      <c r="J906" s="2" t="str">
        <f t="shared" si="381"/>
        <v>Higher</v>
      </c>
      <c r="K906" s="2" t="str">
        <f t="shared" si="382"/>
        <v>Lower</v>
      </c>
      <c r="L906" s="2" t="str">
        <f t="shared" si="383"/>
        <v>Higher</v>
      </c>
      <c r="M906" s="2" t="str">
        <f t="shared" si="384"/>
        <v>Higher</v>
      </c>
      <c r="N906" s="2" t="str">
        <f t="shared" si="385"/>
        <v>Lower</v>
      </c>
      <c r="O906" s="2" t="str">
        <f t="shared" si="386"/>
        <v>Higher</v>
      </c>
      <c r="P906" s="2" t="str">
        <f t="shared" si="387"/>
        <v>Higher</v>
      </c>
      <c r="X906" s="4">
        <f>DATE(2021,2,9)</f>
        <v>44236</v>
      </c>
      <c r="Y906">
        <v>35.808509446114094</v>
      </c>
      <c r="Z906">
        <v>34.077970371946371</v>
      </c>
      <c r="AA906">
        <v>38.200000000000003</v>
      </c>
      <c r="AB906">
        <v>19.036250000000003</v>
      </c>
      <c r="AC906">
        <f t="shared" si="388"/>
        <v>0.10086221307159335</v>
      </c>
      <c r="AD906">
        <f t="shared" si="388"/>
        <v>4.0742653434252978E-2</v>
      </c>
      <c r="AE906">
        <f t="shared" si="389"/>
        <v>-6.0119559637340371E-2</v>
      </c>
      <c r="AF906">
        <f t="shared" si="390"/>
        <v>-0.80375782154286035</v>
      </c>
      <c r="AH906">
        <f t="shared" si="391"/>
        <v>9.5951746820982675E-2</v>
      </c>
      <c r="AI906">
        <f t="shared" si="391"/>
        <v>-0.28904367705865069</v>
      </c>
      <c r="AJ906">
        <f t="shared" si="392"/>
        <v>-0.38499542387963337</v>
      </c>
      <c r="AK906">
        <f t="shared" si="393"/>
        <v>-2.4540176024431508</v>
      </c>
      <c r="AM906">
        <f t="shared" si="394"/>
        <v>0.35340803479338406</v>
      </c>
      <c r="AN906">
        <f t="shared" si="394"/>
        <v>0.30479084636991793</v>
      </c>
      <c r="AO906">
        <f t="shared" si="395"/>
        <v>-4.8617188423466129E-2</v>
      </c>
      <c r="AP906">
        <f t="shared" si="396"/>
        <v>-0.6548774449718634</v>
      </c>
      <c r="AR906" t="str">
        <f t="shared" si="397"/>
        <v/>
      </c>
      <c r="AS906" t="str">
        <f t="shared" si="398"/>
        <v/>
      </c>
      <c r="AT906" t="str">
        <f t="shared" si="399"/>
        <v/>
      </c>
      <c r="AU906" t="str">
        <f t="shared" si="400"/>
        <v/>
      </c>
    </row>
    <row r="907" spans="1:47" x14ac:dyDescent="0.25">
      <c r="A907" s="4">
        <f>DATE(2021,2,8)</f>
        <v>44235</v>
      </c>
      <c r="B907">
        <v>0.46805746412008731</v>
      </c>
      <c r="C907">
        <v>71.997852732007345</v>
      </c>
      <c r="D907">
        <v>1.0467585610309633</v>
      </c>
      <c r="E907">
        <f t="shared" si="376"/>
        <v>2.2437462597680415</v>
      </c>
      <c r="F907">
        <f t="shared" si="377"/>
        <v>1.7239740456862684</v>
      </c>
      <c r="G907">
        <f t="shared" si="378"/>
        <v>1.2721530839348545</v>
      </c>
      <c r="H907" s="2" t="str">
        <f t="shared" si="379"/>
        <v>Lower</v>
      </c>
      <c r="I907" s="2" t="str">
        <f t="shared" si="380"/>
        <v>Higher</v>
      </c>
      <c r="J907" s="2" t="str">
        <f t="shared" si="381"/>
        <v>Higher</v>
      </c>
      <c r="K907" s="2" t="str">
        <f t="shared" si="382"/>
        <v>Lower</v>
      </c>
      <c r="L907" s="2" t="str">
        <f t="shared" si="383"/>
        <v>Higher</v>
      </c>
      <c r="M907" s="2" t="str">
        <f t="shared" si="384"/>
        <v>Higher</v>
      </c>
      <c r="N907" s="2" t="str">
        <f t="shared" si="385"/>
        <v>Lower</v>
      </c>
      <c r="O907" s="2" t="str">
        <f t="shared" si="386"/>
        <v>Higher</v>
      </c>
      <c r="P907" s="2" t="str">
        <f t="shared" si="387"/>
        <v>Higher</v>
      </c>
      <c r="X907" s="4">
        <f>DATE(2021,2,8)</f>
        <v>44235</v>
      </c>
      <c r="Y907">
        <v>38.115270232725244</v>
      </c>
      <c r="Z907">
        <v>36.98746075317846</v>
      </c>
      <c r="AA907">
        <v>38.869999999999997</v>
      </c>
      <c r="AB907">
        <v>20.083750000000002</v>
      </c>
      <c r="AC907">
        <f t="shared" si="388"/>
        <v>0.16629426394429159</v>
      </c>
      <c r="AD907">
        <f t="shared" si="388"/>
        <v>9.2941666849853014E-2</v>
      </c>
      <c r="AE907">
        <f t="shared" si="389"/>
        <v>-7.3352597094438574E-2</v>
      </c>
      <c r="AF907">
        <f t="shared" si="390"/>
        <v>-0.92450776310356586</v>
      </c>
      <c r="AH907">
        <f t="shared" si="391"/>
        <v>0.11629681107541176</v>
      </c>
      <c r="AI907">
        <f t="shared" si="391"/>
        <v>-9.1017780162170756E-2</v>
      </c>
      <c r="AJ907">
        <f t="shared" si="392"/>
        <v>-0.2073145912375825</v>
      </c>
      <c r="AK907">
        <f t="shared" si="393"/>
        <v>-1.6165450279549562</v>
      </c>
      <c r="AM907">
        <f t="shared" si="394"/>
        <v>0.35718961198920768</v>
      </c>
      <c r="AN907">
        <f t="shared" si="394"/>
        <v>0.32558998201732564</v>
      </c>
      <c r="AO907">
        <f t="shared" si="395"/>
        <v>-3.1599629971882037E-2</v>
      </c>
      <c r="AP907">
        <f t="shared" si="396"/>
        <v>-0.6082072922462507</v>
      </c>
      <c r="AR907" t="str">
        <f t="shared" si="397"/>
        <v/>
      </c>
      <c r="AS907" t="str">
        <f t="shared" si="398"/>
        <v/>
      </c>
      <c r="AT907" t="str">
        <f t="shared" si="399"/>
        <v/>
      </c>
      <c r="AU907" t="str">
        <f t="shared" si="400"/>
        <v/>
      </c>
    </row>
    <row r="908" spans="1:47" x14ac:dyDescent="0.25">
      <c r="A908" s="4">
        <f>DATE(2021,2,5)</f>
        <v>44232</v>
      </c>
      <c r="B908">
        <v>0.39799984311520242</v>
      </c>
      <c r="C908">
        <v>70.879515860880872</v>
      </c>
      <c r="D908">
        <v>1.1008998422965681</v>
      </c>
      <c r="E908">
        <f t="shared" si="376"/>
        <v>1.9492154365651853</v>
      </c>
      <c r="F908">
        <f t="shared" si="377"/>
        <v>1.6447847991593962</v>
      </c>
      <c r="G908">
        <f t="shared" si="378"/>
        <v>1.4554041880565458</v>
      </c>
      <c r="H908" s="2" t="str">
        <f t="shared" si="379"/>
        <v>Lower</v>
      </c>
      <c r="I908" s="2" t="str">
        <f t="shared" si="380"/>
        <v>Higher</v>
      </c>
      <c r="J908" s="2" t="str">
        <f t="shared" si="381"/>
        <v>Higher</v>
      </c>
      <c r="K908" s="2" t="str">
        <f t="shared" si="382"/>
        <v>Lower</v>
      </c>
      <c r="L908" s="2" t="str">
        <f t="shared" si="383"/>
        <v>Higher</v>
      </c>
      <c r="M908" s="2" t="str">
        <f t="shared" si="384"/>
        <v>Higher</v>
      </c>
      <c r="N908" s="2" t="str">
        <f t="shared" si="385"/>
        <v>Lower</v>
      </c>
      <c r="O908" s="2" t="str">
        <f t="shared" si="386"/>
        <v>Higher</v>
      </c>
      <c r="P908" s="2" t="str">
        <f t="shared" si="387"/>
        <v>Higher</v>
      </c>
      <c r="X908" s="4">
        <f>DATE(2021,2,5)</f>
        <v>44232</v>
      </c>
      <c r="Y908">
        <v>35.576695707025507</v>
      </c>
      <c r="Z908">
        <v>32.392803302688208</v>
      </c>
      <c r="AA908">
        <v>38.082500000000003</v>
      </c>
      <c r="AB908">
        <v>18.490000000000002</v>
      </c>
      <c r="AC908">
        <f t="shared" si="388"/>
        <v>0.13750623329683603</v>
      </c>
      <c r="AD908">
        <f t="shared" si="388"/>
        <v>-7.6437598272740492E-2</v>
      </c>
      <c r="AE908">
        <f t="shared" si="389"/>
        <v>-0.21394383156957653</v>
      </c>
      <c r="AF908">
        <f t="shared" si="390"/>
        <v>-2.1626265775661602</v>
      </c>
      <c r="AH908">
        <f t="shared" si="391"/>
        <v>8.9204000023109284E-2</v>
      </c>
      <c r="AI908">
        <f t="shared" si="391"/>
        <v>-8.8823777226828979E-2</v>
      </c>
      <c r="AJ908">
        <f t="shared" si="392"/>
        <v>-0.17802777724993826</v>
      </c>
      <c r="AK908">
        <f t="shared" si="393"/>
        <v>-1.4906071091076467</v>
      </c>
      <c r="AM908">
        <f t="shared" si="394"/>
        <v>0.37552333243972125</v>
      </c>
      <c r="AN908">
        <f t="shared" si="394"/>
        <v>0.26082407744916186</v>
      </c>
      <c r="AO908">
        <f t="shared" si="395"/>
        <v>-0.11469925499055939</v>
      </c>
      <c r="AP908">
        <f t="shared" si="396"/>
        <v>-0.86757529965749181</v>
      </c>
      <c r="AR908" t="str">
        <f t="shared" si="397"/>
        <v/>
      </c>
      <c r="AS908" t="str">
        <f t="shared" si="398"/>
        <v/>
      </c>
      <c r="AT908" t="str">
        <f t="shared" si="399"/>
        <v/>
      </c>
      <c r="AU908" t="str">
        <f t="shared" si="400"/>
        <v/>
      </c>
    </row>
    <row r="909" spans="1:47" x14ac:dyDescent="0.25">
      <c r="A909" s="4">
        <f>DATE(2021,2,4)</f>
        <v>44231</v>
      </c>
      <c r="B909">
        <v>0.28326255459543215</v>
      </c>
      <c r="C909">
        <v>68.204912662405533</v>
      </c>
      <c r="D909">
        <v>1.0790403682502276</v>
      </c>
      <c r="E909">
        <f t="shared" si="376"/>
        <v>1.3984982325647064</v>
      </c>
      <c r="F909">
        <f t="shared" si="377"/>
        <v>1.3993441906462916</v>
      </c>
      <c r="G909">
        <f t="shared" si="378"/>
        <v>1.4157639268325901</v>
      </c>
      <c r="H909" s="2" t="str">
        <f t="shared" si="379"/>
        <v>Lower</v>
      </c>
      <c r="I909" s="2" t="str">
        <f t="shared" si="380"/>
        <v>Higher</v>
      </c>
      <c r="J909" s="2" t="str">
        <f t="shared" si="381"/>
        <v>Higher</v>
      </c>
      <c r="K909" s="2" t="str">
        <f t="shared" si="382"/>
        <v>Lower</v>
      </c>
      <c r="L909" s="2" t="str">
        <f t="shared" si="383"/>
        <v>Higher</v>
      </c>
      <c r="M909" s="2" t="str">
        <f t="shared" si="384"/>
        <v>Higher</v>
      </c>
      <c r="N909" s="2" t="str">
        <f t="shared" si="385"/>
        <v>Lower</v>
      </c>
      <c r="O909" s="2" t="str">
        <f t="shared" si="386"/>
        <v>Higher</v>
      </c>
      <c r="P909" s="2" t="str">
        <f t="shared" si="387"/>
        <v>Higher</v>
      </c>
      <c r="X909" s="4">
        <f>DATE(2021,2,4)</f>
        <v>44231</v>
      </c>
      <c r="Y909">
        <v>35.934232721192693</v>
      </c>
      <c r="Z909">
        <v>30.590393723790843</v>
      </c>
      <c r="AA909">
        <v>37.340000000000003</v>
      </c>
      <c r="AB909">
        <v>18.085000000000001</v>
      </c>
      <c r="AC909">
        <f t="shared" si="388"/>
        <v>0.10286408069511523</v>
      </c>
      <c r="AD909">
        <f t="shared" si="388"/>
        <v>-0.13842677248395982</v>
      </c>
      <c r="AE909">
        <f t="shared" si="389"/>
        <v>-0.24129085317907506</v>
      </c>
      <c r="AF909">
        <f t="shared" si="390"/>
        <v>-2.4562777475733513</v>
      </c>
      <c r="AH909">
        <f t="shared" si="391"/>
        <v>7.7657587899897851E-2</v>
      </c>
      <c r="AI909">
        <f t="shared" si="391"/>
        <v>-5.3361240418886201E-2</v>
      </c>
      <c r="AJ909">
        <f t="shared" si="392"/>
        <v>-0.13101882831878406</v>
      </c>
      <c r="AK909">
        <f t="shared" si="393"/>
        <v>-1.2651457031953175</v>
      </c>
      <c r="AM909">
        <f t="shared" si="394"/>
        <v>0.36543614353955794</v>
      </c>
      <c r="AN909">
        <f t="shared" si="394"/>
        <v>0.25424141399530131</v>
      </c>
      <c r="AO909">
        <f t="shared" si="395"/>
        <v>-0.11119472954425663</v>
      </c>
      <c r="AP909">
        <f t="shared" si="396"/>
        <v>-0.86749737295770135</v>
      </c>
      <c r="AR909" t="str">
        <f t="shared" si="397"/>
        <v/>
      </c>
      <c r="AS909" t="str">
        <f t="shared" si="398"/>
        <v/>
      </c>
      <c r="AT909" t="str">
        <f t="shared" si="399"/>
        <v/>
      </c>
      <c r="AU909" t="str">
        <f t="shared" si="400"/>
        <v/>
      </c>
    </row>
    <row r="910" spans="1:47" x14ac:dyDescent="0.25">
      <c r="A910" s="4">
        <f>DATE(2021,2,3)</f>
        <v>44230</v>
      </c>
      <c r="B910">
        <v>0.16122982051759993</v>
      </c>
      <c r="C910">
        <v>69.220512056960061</v>
      </c>
      <c r="D910">
        <v>1.2296178100825359</v>
      </c>
      <c r="E910">
        <f t="shared" si="376"/>
        <v>0.78423773393279994</v>
      </c>
      <c r="F910">
        <f t="shared" si="377"/>
        <v>1.5305391518239302</v>
      </c>
      <c r="G910">
        <f t="shared" si="378"/>
        <v>1.8999689334613399</v>
      </c>
      <c r="H910" s="2" t="str">
        <f t="shared" si="379"/>
        <v>Lower</v>
      </c>
      <c r="I910" s="2" t="str">
        <f t="shared" si="380"/>
        <v>Higher</v>
      </c>
      <c r="J910" s="2" t="str">
        <f t="shared" si="381"/>
        <v>Higher</v>
      </c>
      <c r="K910" s="2" t="str">
        <f t="shared" si="382"/>
        <v>Lower</v>
      </c>
      <c r="L910" s="2" t="str">
        <f t="shared" si="383"/>
        <v>Higher</v>
      </c>
      <c r="M910" s="2" t="str">
        <f t="shared" si="384"/>
        <v>Higher</v>
      </c>
      <c r="N910" s="2" t="str">
        <f t="shared" si="385"/>
        <v>Lower</v>
      </c>
      <c r="O910" s="2" t="str">
        <f t="shared" si="386"/>
        <v>Higher</v>
      </c>
      <c r="P910" s="2" t="str">
        <f t="shared" si="387"/>
        <v>Higher</v>
      </c>
      <c r="X910" s="4">
        <f>DATE(2021,2,3)</f>
        <v>44230</v>
      </c>
      <c r="Y910">
        <v>37.085387142421929</v>
      </c>
      <c r="Z910">
        <v>28.775960356351931</v>
      </c>
      <c r="AA910">
        <v>36.872500000000002</v>
      </c>
      <c r="AB910">
        <v>17.728749999999998</v>
      </c>
      <c r="AC910">
        <f t="shared" si="388"/>
        <v>0.10921754630267932</v>
      </c>
      <c r="AD910">
        <f t="shared" si="388"/>
        <v>-9.7787670804694485E-2</v>
      </c>
      <c r="AE910">
        <f t="shared" si="389"/>
        <v>-0.2070052171073738</v>
      </c>
      <c r="AF910">
        <f t="shared" si="390"/>
        <v>-2.2167989296260138</v>
      </c>
      <c r="AH910">
        <f t="shared" si="391"/>
        <v>9.7414229177282805E-2</v>
      </c>
      <c r="AI910">
        <f t="shared" si="391"/>
        <v>-1.5499509936809815E-3</v>
      </c>
      <c r="AJ910">
        <f t="shared" si="392"/>
        <v>-9.8964180170963784E-2</v>
      </c>
      <c r="AK910">
        <f t="shared" si="393"/>
        <v>-1.1104689662959832</v>
      </c>
      <c r="AM910">
        <f t="shared" si="394"/>
        <v>0.33580800544435035</v>
      </c>
      <c r="AN910">
        <f t="shared" si="394"/>
        <v>0.22564968559213819</v>
      </c>
      <c r="AO910">
        <f t="shared" si="395"/>
        <v>-0.11015831985221217</v>
      </c>
      <c r="AP910">
        <f t="shared" si="396"/>
        <v>-0.87533501506899691</v>
      </c>
      <c r="AR910" t="str">
        <f t="shared" si="397"/>
        <v/>
      </c>
      <c r="AS910" t="str">
        <f t="shared" si="398"/>
        <v/>
      </c>
      <c r="AT910" t="str">
        <f t="shared" si="399"/>
        <v/>
      </c>
      <c r="AU910" t="str">
        <f t="shared" si="400"/>
        <v/>
      </c>
    </row>
    <row r="911" spans="1:47" x14ac:dyDescent="0.25">
      <c r="A911" s="4">
        <f>DATE(2021,2,2)</f>
        <v>44229</v>
      </c>
      <c r="B911">
        <v>-7.218786664751764E-2</v>
      </c>
      <c r="C911">
        <v>60.910103375503581</v>
      </c>
      <c r="D911">
        <v>0.87053408019596945</v>
      </c>
      <c r="E911">
        <f t="shared" si="376"/>
        <v>-0.42363327983527443</v>
      </c>
      <c r="F911">
        <f t="shared" si="377"/>
        <v>0.67866212595430364</v>
      </c>
      <c r="G911">
        <f t="shared" si="378"/>
        <v>0.83574973750938641</v>
      </c>
      <c r="H911" s="2" t="str">
        <f t="shared" si="379"/>
        <v>Lower</v>
      </c>
      <c r="I911" s="2" t="str">
        <f t="shared" si="380"/>
        <v>Higher</v>
      </c>
      <c r="J911" s="2" t="str">
        <f t="shared" si="381"/>
        <v>Higher</v>
      </c>
      <c r="K911" s="2" t="str">
        <f t="shared" si="382"/>
        <v>Lower</v>
      </c>
      <c r="L911" s="2" t="str">
        <f t="shared" si="383"/>
        <v>Higher</v>
      </c>
      <c r="M911" s="2" t="str">
        <f t="shared" si="384"/>
        <v>Higher</v>
      </c>
      <c r="N911" s="2" t="str">
        <f t="shared" si="385"/>
        <v>Lower</v>
      </c>
      <c r="O911" s="2" t="str">
        <f t="shared" si="386"/>
        <v>Higher</v>
      </c>
      <c r="P911" s="2" t="str">
        <f t="shared" si="387"/>
        <v>Higher</v>
      </c>
      <c r="X911" s="4">
        <f>DATE(2021,2,2)</f>
        <v>44229</v>
      </c>
      <c r="Y911">
        <v>27.63031406034882</v>
      </c>
      <c r="Z911">
        <v>30.248630854493769</v>
      </c>
      <c r="AA911">
        <v>34.534999999999997</v>
      </c>
      <c r="AB911">
        <v>18.276250000000001</v>
      </c>
      <c r="AC911">
        <f t="shared" si="388"/>
        <v>3.7091809601898895E-2</v>
      </c>
      <c r="AD911">
        <f t="shared" si="388"/>
        <v>-6.8267623947345493E-2</v>
      </c>
      <c r="AE911">
        <f t="shared" si="389"/>
        <v>-0.10535943354924439</v>
      </c>
      <c r="AF911">
        <f t="shared" si="390"/>
        <v>-1.3311066319476215</v>
      </c>
      <c r="AH911">
        <f t="shared" si="391"/>
        <v>4.2288974164126511E-2</v>
      </c>
      <c r="AI911">
        <f t="shared" si="391"/>
        <v>3.0139073434254484E-3</v>
      </c>
      <c r="AJ911">
        <f t="shared" si="392"/>
        <v>-3.927506682070106E-2</v>
      </c>
      <c r="AK911">
        <f t="shared" si="393"/>
        <v>-0.80451800542449992</v>
      </c>
      <c r="AM911">
        <f t="shared" si="394"/>
        <v>0.27192919109833602</v>
      </c>
      <c r="AN911">
        <f t="shared" si="394"/>
        <v>0.26797466594384656</v>
      </c>
      <c r="AO911">
        <f t="shared" si="395"/>
        <v>-3.9545251544894633E-3</v>
      </c>
      <c r="AP911">
        <f t="shared" si="396"/>
        <v>-0.55623050709274524</v>
      </c>
      <c r="AR911" t="str">
        <f t="shared" si="397"/>
        <v/>
      </c>
      <c r="AS911" t="str">
        <f t="shared" si="398"/>
        <v/>
      </c>
      <c r="AT911" t="str">
        <f t="shared" si="399"/>
        <v/>
      </c>
      <c r="AU911" t="str">
        <f t="shared" si="400"/>
        <v/>
      </c>
    </row>
    <row r="912" spans="1:47" x14ac:dyDescent="0.25">
      <c r="A912" s="4">
        <f>DATE(2021,2,1)</f>
        <v>44228</v>
      </c>
      <c r="B912">
        <v>-0.19644207921059142</v>
      </c>
      <c r="C912">
        <v>50.13649105205058</v>
      </c>
      <c r="D912">
        <v>0.31711403530214527</v>
      </c>
      <c r="E912">
        <f t="shared" si="376"/>
        <v>-1.0603785958515604</v>
      </c>
      <c r="F912">
        <f t="shared" si="377"/>
        <v>-0.45603250656886218</v>
      </c>
      <c r="G912">
        <f t="shared" si="378"/>
        <v>-0.86475544195242149</v>
      </c>
      <c r="H912" s="2" t="str">
        <f t="shared" si="379"/>
        <v>Lower</v>
      </c>
      <c r="I912" s="2" t="str">
        <f t="shared" si="380"/>
        <v>Higher</v>
      </c>
      <c r="J912" s="2" t="str">
        <f t="shared" si="381"/>
        <v>Higher</v>
      </c>
      <c r="K912" s="2" t="str">
        <f t="shared" si="382"/>
        <v>Lower</v>
      </c>
      <c r="L912" s="2" t="str">
        <f t="shared" si="383"/>
        <v>Higher</v>
      </c>
      <c r="M912" s="2" t="str">
        <f t="shared" si="384"/>
        <v>Higher</v>
      </c>
      <c r="N912" s="2" t="str">
        <f t="shared" si="385"/>
        <v>Lower</v>
      </c>
      <c r="O912" s="2" t="str">
        <f t="shared" si="386"/>
        <v>Higher</v>
      </c>
      <c r="P912" s="2" t="str">
        <f t="shared" si="387"/>
        <v>Higher</v>
      </c>
      <c r="X912" s="4">
        <f>DATE(2021,2,1)</f>
        <v>44228</v>
      </c>
      <c r="Y912">
        <v>19.889706163928324</v>
      </c>
      <c r="Z912">
        <v>30.892956073346816</v>
      </c>
      <c r="AA912">
        <v>32.915000000000006</v>
      </c>
      <c r="AB912">
        <v>18.30125</v>
      </c>
      <c r="AC912">
        <f t="shared" si="388"/>
        <v>-1.8288374251819655E-2</v>
      </c>
      <c r="AD912">
        <f t="shared" si="388"/>
        <v>-0.11977696355760578</v>
      </c>
      <c r="AE912">
        <f t="shared" si="389"/>
        <v>-0.10148858930578612</v>
      </c>
      <c r="AF912">
        <f t="shared" si="390"/>
        <v>-1.3099671026443305</v>
      </c>
      <c r="AH912">
        <f t="shared" si="391"/>
        <v>-2.0076617035190945E-2</v>
      </c>
      <c r="AI912">
        <f t="shared" si="391"/>
        <v>-8.1738295091471666E-2</v>
      </c>
      <c r="AJ912">
        <f t="shared" si="392"/>
        <v>-6.1661678056280721E-2</v>
      </c>
      <c r="AK912">
        <f t="shared" si="393"/>
        <v>-0.92916392754566601</v>
      </c>
      <c r="AM912">
        <f t="shared" si="394"/>
        <v>0.22103806774540113</v>
      </c>
      <c r="AN912">
        <f t="shared" si="394"/>
        <v>0.27886465260043292</v>
      </c>
      <c r="AO912">
        <f t="shared" si="395"/>
        <v>5.7826584855031782E-2</v>
      </c>
      <c r="AP912">
        <f t="shared" si="396"/>
        <v>-0.36820207133216548</v>
      </c>
      <c r="AR912" t="str">
        <f t="shared" si="397"/>
        <v/>
      </c>
      <c r="AS912" t="str">
        <f t="shared" si="398"/>
        <v/>
      </c>
      <c r="AT912" t="str">
        <f t="shared" si="399"/>
        <v/>
      </c>
      <c r="AU912" t="str">
        <f t="shared" si="400"/>
        <v/>
      </c>
    </row>
    <row r="913" spans="1:47" x14ac:dyDescent="0.25">
      <c r="A913" s="4">
        <f>DATE(2021,1,29)</f>
        <v>44225</v>
      </c>
      <c r="B913">
        <v>-0.17102090934925873</v>
      </c>
      <c r="C913">
        <v>50.749083817554649</v>
      </c>
      <c r="D913">
        <v>0.33131644087091577</v>
      </c>
      <c r="E913">
        <f t="shared" si="376"/>
        <v>-0.91560756696890344</v>
      </c>
      <c r="F913">
        <f t="shared" si="377"/>
        <v>-0.38972232873871798</v>
      </c>
      <c r="G913">
        <f t="shared" si="378"/>
        <v>-0.81993026020568538</v>
      </c>
      <c r="H913" s="2" t="str">
        <f t="shared" si="379"/>
        <v>Lower</v>
      </c>
      <c r="I913" s="2" t="str">
        <f t="shared" si="380"/>
        <v>Higher</v>
      </c>
      <c r="J913" s="2" t="str">
        <f t="shared" si="381"/>
        <v>Higher</v>
      </c>
      <c r="K913" s="2" t="str">
        <f t="shared" si="382"/>
        <v>Lower</v>
      </c>
      <c r="L913" s="2" t="str">
        <f t="shared" si="383"/>
        <v>Higher</v>
      </c>
      <c r="M913" s="2" t="str">
        <f t="shared" si="384"/>
        <v>Higher</v>
      </c>
      <c r="N913" s="2" t="str">
        <f t="shared" si="385"/>
        <v>Lower</v>
      </c>
      <c r="O913" s="2" t="str">
        <f t="shared" si="386"/>
        <v>Higher</v>
      </c>
      <c r="P913" s="2" t="str">
        <f t="shared" si="387"/>
        <v>Higher</v>
      </c>
      <c r="X913" s="4">
        <f>DATE(2021,1,29)</f>
        <v>44225</v>
      </c>
      <c r="Y913">
        <v>20.991109770779783</v>
      </c>
      <c r="Z913">
        <v>34.226445088916805</v>
      </c>
      <c r="AA913">
        <v>33.19</v>
      </c>
      <c r="AB913">
        <v>19.958750000000002</v>
      </c>
      <c r="AC913">
        <f t="shared" si="388"/>
        <v>-2.6388716730977944E-2</v>
      </c>
      <c r="AD913">
        <f t="shared" si="388"/>
        <v>-6.5274143280101213E-2</v>
      </c>
      <c r="AE913">
        <f t="shared" si="389"/>
        <v>-3.8885426549123268E-2</v>
      </c>
      <c r="AF913">
        <f t="shared" si="390"/>
        <v>-0.74087342886702434</v>
      </c>
      <c r="AH913" t="str">
        <f t="shared" si="391"/>
        <v/>
      </c>
      <c r="AI913" t="str">
        <f t="shared" si="391"/>
        <v/>
      </c>
      <c r="AJ913" t="str">
        <f t="shared" si="392"/>
        <v/>
      </c>
      <c r="AK913" t="str">
        <f t="shared" si="393"/>
        <v/>
      </c>
      <c r="AM913">
        <f t="shared" si="394"/>
        <v>0.26357017356750273</v>
      </c>
      <c r="AN913">
        <f t="shared" si="394"/>
        <v>0.35756109189390928</v>
      </c>
      <c r="AO913">
        <f t="shared" si="395"/>
        <v>9.3990918326406547E-2</v>
      </c>
      <c r="AP913">
        <f t="shared" si="396"/>
        <v>-0.25778960124220007</v>
      </c>
      <c r="AR913" t="str">
        <f t="shared" si="397"/>
        <v/>
      </c>
      <c r="AS913" t="str">
        <f t="shared" si="398"/>
        <v/>
      </c>
      <c r="AT913" t="str">
        <f t="shared" si="399"/>
        <v/>
      </c>
      <c r="AU913" t="str">
        <f t="shared" si="400"/>
        <v/>
      </c>
    </row>
    <row r="914" spans="1:47" x14ac:dyDescent="0.25">
      <c r="A914" s="4">
        <f>DATE(2021,1,28)</f>
        <v>44224</v>
      </c>
      <c r="B914">
        <v>-0.1356753641642342</v>
      </c>
      <c r="C914">
        <v>57.24441737256447</v>
      </c>
      <c r="D914">
        <v>0.62096025099322971</v>
      </c>
      <c r="E914">
        <f t="shared" si="376"/>
        <v>-0.71553093600599482</v>
      </c>
      <c r="F914">
        <f t="shared" si="377"/>
        <v>0.29969460219834232</v>
      </c>
      <c r="G914">
        <f t="shared" si="378"/>
        <v>7.6679270517430315E-2</v>
      </c>
      <c r="H914" s="2" t="str">
        <f t="shared" si="379"/>
        <v>Lower</v>
      </c>
      <c r="I914" s="2" t="str">
        <f t="shared" si="380"/>
        <v>Higher</v>
      </c>
      <c r="J914" s="2" t="str">
        <f t="shared" si="381"/>
        <v>Higher</v>
      </c>
      <c r="K914" s="2" t="str">
        <f t="shared" si="382"/>
        <v>Lower</v>
      </c>
      <c r="L914" s="2" t="str">
        <f t="shared" si="383"/>
        <v>Higher</v>
      </c>
      <c r="M914" s="2" t="str">
        <f t="shared" si="384"/>
        <v>Higher</v>
      </c>
      <c r="N914" s="2" t="str">
        <f t="shared" si="385"/>
        <v>Lower</v>
      </c>
      <c r="O914" s="2" t="str">
        <f t="shared" si="386"/>
        <v>Higher</v>
      </c>
      <c r="P914" s="2" t="str">
        <f t="shared" si="387"/>
        <v>Higher</v>
      </c>
      <c r="X914" s="4">
        <f>DATE(2021,1,28)</f>
        <v>44224</v>
      </c>
      <c r="Y914">
        <v>22.418351706144097</v>
      </c>
      <c r="Z914">
        <v>36.713508846884913</v>
      </c>
      <c r="AA914">
        <v>33.69</v>
      </c>
      <c r="AB914">
        <v>20.770000000000003</v>
      </c>
      <c r="AC914">
        <f t="shared" si="388"/>
        <v>-1.6312007769085266E-3</v>
      </c>
      <c r="AD914">
        <f t="shared" si="388"/>
        <v>3.5529891793550643E-2</v>
      </c>
      <c r="AE914">
        <f t="shared" si="389"/>
        <v>3.7161092570459173E-2</v>
      </c>
      <c r="AF914">
        <f t="shared" si="390"/>
        <v>-3.7599863897734564E-2</v>
      </c>
      <c r="AH914">
        <f t="shared" si="391"/>
        <v>3.2505406955614803E-2</v>
      </c>
      <c r="AI914">
        <f t="shared" si="391"/>
        <v>8.2513258175421614E-2</v>
      </c>
      <c r="AJ914">
        <f t="shared" si="392"/>
        <v>5.0007851219806811E-2</v>
      </c>
      <c r="AK914">
        <f t="shared" si="393"/>
        <v>-0.34758650010170722</v>
      </c>
      <c r="AM914">
        <f t="shared" si="394"/>
        <v>0.26896062392035691</v>
      </c>
      <c r="AN914">
        <f t="shared" si="394"/>
        <v>0.36437353028503661</v>
      </c>
      <c r="AO914">
        <f t="shared" si="395"/>
        <v>9.5412906364679695E-2</v>
      </c>
      <c r="AP914">
        <f t="shared" si="396"/>
        <v>-0.25453289129887235</v>
      </c>
      <c r="AR914" t="str">
        <f t="shared" si="397"/>
        <v/>
      </c>
      <c r="AS914" t="str">
        <f t="shared" si="398"/>
        <v/>
      </c>
      <c r="AT914" t="str">
        <f t="shared" si="399"/>
        <v/>
      </c>
      <c r="AU914" t="str">
        <f t="shared" si="400"/>
        <v/>
      </c>
    </row>
    <row r="915" spans="1:47" x14ac:dyDescent="0.25">
      <c r="A915" s="4">
        <f>DATE(2021,1,27)</f>
        <v>44223</v>
      </c>
      <c r="B915">
        <v>-0.17971104734375254</v>
      </c>
      <c r="C915">
        <v>53.545376094338572</v>
      </c>
      <c r="D915">
        <v>0.45727383529425064</v>
      </c>
      <c r="E915">
        <f t="shared" si="376"/>
        <v>-0.90882853926996521</v>
      </c>
      <c r="F915">
        <f t="shared" si="377"/>
        <v>-8.2428401963975717E-2</v>
      </c>
      <c r="G915">
        <f t="shared" si="378"/>
        <v>-0.41521914099200635</v>
      </c>
      <c r="H915" s="2" t="str">
        <f t="shared" si="379"/>
        <v>Lower</v>
      </c>
      <c r="I915" s="2" t="str">
        <f t="shared" si="380"/>
        <v>Higher</v>
      </c>
      <c r="J915" s="2" t="str">
        <f t="shared" si="381"/>
        <v>Higher</v>
      </c>
      <c r="K915" s="2" t="str">
        <f t="shared" si="382"/>
        <v>Lower</v>
      </c>
      <c r="L915" s="2" t="str">
        <f t="shared" si="383"/>
        <v>Higher</v>
      </c>
      <c r="M915" s="2" t="str">
        <f t="shared" si="384"/>
        <v>Higher</v>
      </c>
      <c r="N915" s="2" t="str">
        <f t="shared" si="385"/>
        <v>Lower</v>
      </c>
      <c r="O915" s="2" t="str">
        <f t="shared" si="386"/>
        <v>Higher</v>
      </c>
      <c r="P915" s="2" t="str">
        <f t="shared" si="387"/>
        <v>Higher</v>
      </c>
      <c r="X915" s="4">
        <f>DATE(2021,1,27)</f>
        <v>44223</v>
      </c>
      <c r="Y915">
        <v>20.613055358733284</v>
      </c>
      <c r="Z915">
        <v>33.618304302995753</v>
      </c>
      <c r="AA915">
        <v>33.057500000000005</v>
      </c>
      <c r="AB915">
        <v>19.549999999999997</v>
      </c>
      <c r="AC915">
        <f t="shared" si="388"/>
        <v>2.2690315114580223E-4</v>
      </c>
      <c r="AD915">
        <f t="shared" si="388"/>
        <v>-4.8120106580326033E-2</v>
      </c>
      <c r="AE915">
        <f t="shared" si="389"/>
        <v>-4.8347009731471838E-2</v>
      </c>
      <c r="AF915">
        <f t="shared" si="390"/>
        <v>-0.83008287568372729</v>
      </c>
      <c r="AH915">
        <f t="shared" si="391"/>
        <v>1.8548026298742148E-2</v>
      </c>
      <c r="AI915">
        <f t="shared" si="391"/>
        <v>2.4924416948531838E-2</v>
      </c>
      <c r="AJ915">
        <f t="shared" si="392"/>
        <v>6.3763906497896899E-3</v>
      </c>
      <c r="AK915">
        <f t="shared" si="393"/>
        <v>-0.58021529270967642</v>
      </c>
      <c r="AM915">
        <f t="shared" si="394"/>
        <v>0.28629655965346446</v>
      </c>
      <c r="AN915">
        <f t="shared" si="394"/>
        <v>0.34378793375488914</v>
      </c>
      <c r="AO915">
        <f t="shared" si="395"/>
        <v>5.7491374101424686E-2</v>
      </c>
      <c r="AP915">
        <f t="shared" si="396"/>
        <v>-0.37294523830571275</v>
      </c>
      <c r="AR915" t="str">
        <f t="shared" si="397"/>
        <v/>
      </c>
      <c r="AS915" t="str">
        <f t="shared" si="398"/>
        <v/>
      </c>
      <c r="AT915" t="str">
        <f t="shared" si="399"/>
        <v/>
      </c>
      <c r="AU915" t="str">
        <f t="shared" si="400"/>
        <v/>
      </c>
    </row>
    <row r="916" spans="1:47" x14ac:dyDescent="0.25">
      <c r="A916" s="4">
        <f>DATE(2021,1,26)</f>
        <v>44222</v>
      </c>
      <c r="B916">
        <v>-0.17717047276879327</v>
      </c>
      <c r="C916">
        <v>53.998595732802265</v>
      </c>
      <c r="D916">
        <v>0.47994801128267434</v>
      </c>
      <c r="E916">
        <f t="shared" si="376"/>
        <v>-0.86817375647393591</v>
      </c>
      <c r="F916">
        <f t="shared" si="377"/>
        <v>-3.0543625232278864E-2</v>
      </c>
      <c r="G916">
        <f t="shared" si="378"/>
        <v>-0.33908592520758951</v>
      </c>
      <c r="H916" s="2" t="str">
        <f t="shared" si="379"/>
        <v>Lower</v>
      </c>
      <c r="I916" s="2" t="str">
        <f t="shared" si="380"/>
        <v>Higher</v>
      </c>
      <c r="J916" s="2" t="str">
        <f t="shared" si="381"/>
        <v>Higher</v>
      </c>
      <c r="K916" s="2" t="str">
        <f t="shared" si="382"/>
        <v>Lower</v>
      </c>
      <c r="L916" s="2" t="str">
        <f t="shared" si="383"/>
        <v>Higher</v>
      </c>
      <c r="M916" s="2" t="str">
        <f t="shared" si="384"/>
        <v>Higher</v>
      </c>
      <c r="N916" s="2" t="str">
        <f t="shared" si="385"/>
        <v>Lower</v>
      </c>
      <c r="O916" s="2" t="str">
        <f t="shared" si="386"/>
        <v>Higher</v>
      </c>
      <c r="P916" s="2" t="str">
        <f t="shared" si="387"/>
        <v>Higher</v>
      </c>
      <c r="X916" s="4">
        <f>DATE(2021,1,26)</f>
        <v>44222</v>
      </c>
      <c r="Y916">
        <v>22.265148077737678</v>
      </c>
      <c r="Z916">
        <v>35.417530151151759</v>
      </c>
      <c r="AA916">
        <v>33.277500000000003</v>
      </c>
      <c r="AB916">
        <v>19.567500000000003</v>
      </c>
      <c r="AC916">
        <f t="shared" si="388"/>
        <v>1.5902197893348648E-2</v>
      </c>
      <c r="AD916">
        <f t="shared" si="388"/>
        <v>-2.123705146321625E-2</v>
      </c>
      <c r="AE916">
        <f t="shared" si="389"/>
        <v>-3.7139249356564902E-2</v>
      </c>
      <c r="AF916">
        <f t="shared" si="390"/>
        <v>-0.73183336221747253</v>
      </c>
      <c r="AH916">
        <f t="shared" si="391"/>
        <v>7.9194892925027027E-3</v>
      </c>
      <c r="AI916">
        <f t="shared" si="391"/>
        <v>3.8352302800382029E-2</v>
      </c>
      <c r="AJ916">
        <f t="shared" si="392"/>
        <v>3.0432813507879325E-2</v>
      </c>
      <c r="AK916">
        <f t="shared" si="393"/>
        <v>-0.45615320937515308</v>
      </c>
      <c r="AM916">
        <f t="shared" si="394"/>
        <v>0.31594954444390855</v>
      </c>
      <c r="AN916">
        <f t="shared" si="394"/>
        <v>0.3557445331226331</v>
      </c>
      <c r="AO916">
        <f t="shared" si="395"/>
        <v>3.9794988678724552E-2</v>
      </c>
      <c r="AP916">
        <f t="shared" si="396"/>
        <v>-0.42988070548241109</v>
      </c>
      <c r="AR916" t="str">
        <f t="shared" si="397"/>
        <v/>
      </c>
      <c r="AS916" t="str">
        <f t="shared" si="398"/>
        <v/>
      </c>
      <c r="AT916" t="str">
        <f t="shared" si="399"/>
        <v/>
      </c>
      <c r="AU916" t="str">
        <f t="shared" si="400"/>
        <v/>
      </c>
    </row>
    <row r="917" spans="1:47" x14ac:dyDescent="0.25">
      <c r="A917" s="4">
        <f>DATE(2021,1,25)</f>
        <v>44221</v>
      </c>
      <c r="B917">
        <v>-0.17653177251987606</v>
      </c>
      <c r="C917">
        <v>52.995875807753144</v>
      </c>
      <c r="D917">
        <v>0.42723177472785773</v>
      </c>
      <c r="E917">
        <f t="shared" si="376"/>
        <v>-0.83171361967486823</v>
      </c>
      <c r="F917">
        <f t="shared" si="377"/>
        <v>-0.12973507362907796</v>
      </c>
      <c r="G917">
        <f t="shared" si="378"/>
        <v>-0.48864801546983816</v>
      </c>
      <c r="H917" s="2" t="str">
        <f t="shared" si="379"/>
        <v>Lower</v>
      </c>
      <c r="I917" s="2" t="str">
        <f t="shared" si="380"/>
        <v>Higher</v>
      </c>
      <c r="J917" s="2" t="str">
        <f t="shared" si="381"/>
        <v>Higher</v>
      </c>
      <c r="K917" s="2" t="str">
        <f t="shared" si="382"/>
        <v>Lower</v>
      </c>
      <c r="L917" s="2" t="str">
        <f t="shared" si="383"/>
        <v>Higher</v>
      </c>
      <c r="M917" s="2" t="str">
        <f t="shared" si="384"/>
        <v>Higher</v>
      </c>
      <c r="N917" s="2" t="str">
        <f t="shared" si="385"/>
        <v>Lower</v>
      </c>
      <c r="O917" s="2" t="str">
        <f t="shared" si="386"/>
        <v>Higher</v>
      </c>
      <c r="P917" s="2" t="str">
        <f t="shared" si="387"/>
        <v>Higher</v>
      </c>
      <c r="X917" s="4">
        <f>DATE(2021,1,25)</f>
        <v>44221</v>
      </c>
      <c r="Y917">
        <v>23.382849705814735</v>
      </c>
      <c r="Z917">
        <v>37.24048871199679</v>
      </c>
      <c r="AA917">
        <v>33.522499999999994</v>
      </c>
      <c r="AB917">
        <v>20.630000000000003</v>
      </c>
      <c r="AC917">
        <f t="shared" si="388"/>
        <v>5.5505930246259591E-2</v>
      </c>
      <c r="AD917" t="str">
        <f t="shared" si="388"/>
        <v/>
      </c>
      <c r="AE917" t="str">
        <f t="shared" si="389"/>
        <v/>
      </c>
      <c r="AF917" t="str">
        <f t="shared" si="390"/>
        <v/>
      </c>
      <c r="AH917">
        <f t="shared" si="391"/>
        <v>1.034491984239273E-2</v>
      </c>
      <c r="AI917">
        <f t="shared" si="391"/>
        <v>7.4443611456505576E-2</v>
      </c>
      <c r="AJ917">
        <f t="shared" si="392"/>
        <v>6.4098691614112843E-2</v>
      </c>
      <c r="AK917">
        <f t="shared" si="393"/>
        <v>-0.28077862353839944</v>
      </c>
      <c r="AM917">
        <f t="shared" si="394"/>
        <v>0.35606786021176412</v>
      </c>
      <c r="AN917">
        <f t="shared" si="394"/>
        <v>0.41428967926508103</v>
      </c>
      <c r="AO917">
        <f t="shared" si="395"/>
        <v>5.8221819053316914E-2</v>
      </c>
      <c r="AP917">
        <f t="shared" si="396"/>
        <v>-0.37609482660970189</v>
      </c>
      <c r="AR917" t="str">
        <f t="shared" si="397"/>
        <v/>
      </c>
      <c r="AS917" t="str">
        <f t="shared" si="398"/>
        <v/>
      </c>
      <c r="AT917" t="str">
        <f t="shared" si="399"/>
        <v/>
      </c>
      <c r="AU917" t="str">
        <f t="shared" si="400"/>
        <v/>
      </c>
    </row>
    <row r="918" spans="1:47" x14ac:dyDescent="0.25">
      <c r="A918" s="4">
        <f>DATE(2021,1,22)</f>
        <v>44218</v>
      </c>
      <c r="B918">
        <v>-0.15315186906444345</v>
      </c>
      <c r="C918">
        <v>59.886226089643436</v>
      </c>
      <c r="D918">
        <v>0.72395225832201959</v>
      </c>
      <c r="E918">
        <f t="shared" si="376"/>
        <v>-0.68946635553123192</v>
      </c>
      <c r="F918">
        <f t="shared" si="377"/>
        <v>0.60040474502140495</v>
      </c>
      <c r="G918">
        <f t="shared" si="378"/>
        <v>0.41770403989498028</v>
      </c>
      <c r="H918" s="2" t="str">
        <f t="shared" si="379"/>
        <v>Lower</v>
      </c>
      <c r="I918" s="2" t="str">
        <f t="shared" si="380"/>
        <v>Higher</v>
      </c>
      <c r="J918" s="2" t="str">
        <f t="shared" si="381"/>
        <v>Higher</v>
      </c>
      <c r="K918" s="2" t="str">
        <f t="shared" si="382"/>
        <v>Lower</v>
      </c>
      <c r="L918" s="2" t="str">
        <f t="shared" si="383"/>
        <v>Higher</v>
      </c>
      <c r="M918" s="2" t="str">
        <f t="shared" si="384"/>
        <v>Higher</v>
      </c>
      <c r="N918" s="2" t="str">
        <f t="shared" si="385"/>
        <v>Lower</v>
      </c>
      <c r="O918" s="2" t="str">
        <f t="shared" si="386"/>
        <v>Higher</v>
      </c>
      <c r="P918" s="2" t="str">
        <f t="shared" si="387"/>
        <v>Higher</v>
      </c>
      <c r="X918" s="4">
        <f>DATE(2021,1,22)</f>
        <v>44218</v>
      </c>
      <c r="Y918">
        <v>25.83735226951206</v>
      </c>
      <c r="Z918">
        <v>41.46567264695161</v>
      </c>
      <c r="AA918">
        <v>34.077500000000001</v>
      </c>
      <c r="AB918">
        <v>21.305</v>
      </c>
      <c r="AC918">
        <f t="shared" si="388"/>
        <v>5.8302655300404044E-2</v>
      </c>
      <c r="AD918">
        <f t="shared" si="388"/>
        <v>5.7911074946676036E-2</v>
      </c>
      <c r="AE918">
        <f t="shared" si="389"/>
        <v>-3.915803537280077E-4</v>
      </c>
      <c r="AF918">
        <f t="shared" si="390"/>
        <v>-0.39965353843790147</v>
      </c>
      <c r="AH918" t="str">
        <f t="shared" si="391"/>
        <v/>
      </c>
      <c r="AI918" t="str">
        <f t="shared" si="391"/>
        <v/>
      </c>
      <c r="AJ918" t="str">
        <f t="shared" si="392"/>
        <v/>
      </c>
      <c r="AK918" t="str">
        <f t="shared" si="393"/>
        <v/>
      </c>
      <c r="AM918">
        <f t="shared" si="394"/>
        <v>0.36295134610877938</v>
      </c>
      <c r="AN918">
        <f t="shared" si="394"/>
        <v>0.41223521609071717</v>
      </c>
      <c r="AO918">
        <f t="shared" si="395"/>
        <v>4.9283869981937789E-2</v>
      </c>
      <c r="AP918">
        <f t="shared" si="396"/>
        <v>-0.40611720332036716</v>
      </c>
      <c r="AR918" t="str">
        <f t="shared" si="397"/>
        <v/>
      </c>
      <c r="AS918" t="str">
        <f t="shared" si="398"/>
        <v/>
      </c>
      <c r="AT918" t="str">
        <f t="shared" si="399"/>
        <v/>
      </c>
      <c r="AU918" t="str">
        <f t="shared" si="400"/>
        <v/>
      </c>
    </row>
    <row r="919" spans="1:47" x14ac:dyDescent="0.25">
      <c r="A919" s="4">
        <f>DATE(2021,1,21)</f>
        <v>44217</v>
      </c>
      <c r="B919">
        <v>-0.22539533145005108</v>
      </c>
      <c r="C919">
        <v>59.294686054593164</v>
      </c>
      <c r="D919">
        <v>0.71388813207462298</v>
      </c>
      <c r="E919">
        <f t="shared" si="376"/>
        <v>-1.0307077027974805</v>
      </c>
      <c r="F919">
        <f t="shared" si="377"/>
        <v>0.54188631211555582</v>
      </c>
      <c r="G919">
        <f t="shared" si="378"/>
        <v>0.38955032953135094</v>
      </c>
      <c r="H919" s="2" t="str">
        <f t="shared" si="379"/>
        <v>Lower</v>
      </c>
      <c r="I919" s="2" t="str">
        <f t="shared" si="380"/>
        <v>Higher</v>
      </c>
      <c r="J919" s="2" t="str">
        <f t="shared" si="381"/>
        <v>Higher</v>
      </c>
      <c r="K919" s="2" t="str">
        <f t="shared" si="382"/>
        <v>Lower</v>
      </c>
      <c r="L919" s="2" t="str">
        <f t="shared" si="383"/>
        <v>Higher</v>
      </c>
      <c r="M919" s="2" t="str">
        <f t="shared" si="384"/>
        <v>Higher</v>
      </c>
      <c r="N919" s="2" t="str">
        <f t="shared" si="385"/>
        <v>Lower</v>
      </c>
      <c r="O919" s="2" t="str">
        <f t="shared" si="386"/>
        <v>Higher</v>
      </c>
      <c r="P919" s="2" t="str">
        <f t="shared" si="387"/>
        <v>Higher</v>
      </c>
      <c r="X919" s="4">
        <f>DATE(2021,1,21)</f>
        <v>44217</v>
      </c>
      <c r="Y919">
        <v>26.495537103323979</v>
      </c>
      <c r="Z919">
        <v>39.276427705626176</v>
      </c>
      <c r="AA919">
        <v>33.745000000000005</v>
      </c>
      <c r="AB919">
        <v>20.045000000000002</v>
      </c>
      <c r="AC919">
        <f t="shared" si="388"/>
        <v>9.2290026894279523E-3</v>
      </c>
      <c r="AD919">
        <f t="shared" si="388"/>
        <v>-5.0404273733352968E-2</v>
      </c>
      <c r="AE919">
        <f t="shared" si="389"/>
        <v>-5.963327642278092E-2</v>
      </c>
      <c r="AF919">
        <f t="shared" si="390"/>
        <v>-0.94695165024573813</v>
      </c>
      <c r="AH919">
        <f t="shared" si="391"/>
        <v>4.8653116219103239E-2</v>
      </c>
      <c r="AI919">
        <f t="shared" si="391"/>
        <v>0.12724396271516472</v>
      </c>
      <c r="AJ919">
        <f t="shared" si="392"/>
        <v>7.8590846496061489E-2</v>
      </c>
      <c r="AK919">
        <f t="shared" si="393"/>
        <v>-0.21056308575079422</v>
      </c>
      <c r="AM919">
        <f t="shared" si="394"/>
        <v>0.35843336308614515</v>
      </c>
      <c r="AN919">
        <f t="shared" si="394"/>
        <v>0.34201262486248563</v>
      </c>
      <c r="AO919">
        <f t="shared" si="395"/>
        <v>-1.6420738223659526E-2</v>
      </c>
      <c r="AP919">
        <f t="shared" si="396"/>
        <v>-0.61146209955513242</v>
      </c>
      <c r="AR919" t="str">
        <f t="shared" si="397"/>
        <v/>
      </c>
      <c r="AS919" t="str">
        <f t="shared" si="398"/>
        <v/>
      </c>
      <c r="AT919" t="str">
        <f t="shared" si="399"/>
        <v/>
      </c>
      <c r="AU919" t="str">
        <f t="shared" si="400"/>
        <v/>
      </c>
    </row>
    <row r="920" spans="1:47" x14ac:dyDescent="0.25">
      <c r="A920" s="4">
        <f>DATE(2021,1,20)</f>
        <v>44216</v>
      </c>
      <c r="B920">
        <v>-0.32151711219809775</v>
      </c>
      <c r="C920">
        <v>53.405067444933131</v>
      </c>
      <c r="D920">
        <v>0.4518408414312523</v>
      </c>
      <c r="E920">
        <f t="shared" si="376"/>
        <v>-1.4880216765993823</v>
      </c>
      <c r="F920">
        <f t="shared" si="377"/>
        <v>-6.816056309173435E-2</v>
      </c>
      <c r="G920">
        <f t="shared" si="378"/>
        <v>-0.38906525982725709</v>
      </c>
      <c r="H920" s="2" t="str">
        <f t="shared" si="379"/>
        <v>Lower</v>
      </c>
      <c r="I920" s="2" t="str">
        <f t="shared" si="380"/>
        <v>Higher</v>
      </c>
      <c r="J920" s="2" t="str">
        <f t="shared" si="381"/>
        <v>Higher</v>
      </c>
      <c r="K920" s="2" t="str">
        <f t="shared" si="382"/>
        <v>Lower</v>
      </c>
      <c r="L920" s="2" t="str">
        <f t="shared" si="383"/>
        <v>Higher</v>
      </c>
      <c r="M920" s="2" t="str">
        <f t="shared" si="384"/>
        <v>Higher</v>
      </c>
      <c r="N920" s="2" t="str">
        <f t="shared" si="385"/>
        <v>Lower</v>
      </c>
      <c r="O920" s="2" t="str">
        <f t="shared" si="386"/>
        <v>Higher</v>
      </c>
      <c r="P920" s="2" t="str">
        <f t="shared" si="387"/>
        <v>Higher</v>
      </c>
      <c r="X920" s="4">
        <f>DATE(2021,1,20)</f>
        <v>44216</v>
      </c>
      <c r="Y920">
        <v>26.068730973272601</v>
      </c>
      <c r="Z920">
        <v>41.243253611391836</v>
      </c>
      <c r="AA920">
        <v>33.049999999999997</v>
      </c>
      <c r="AB920">
        <v>20.513750000000002</v>
      </c>
      <c r="AC920">
        <f t="shared" si="388"/>
        <v>-2.1181048555365033E-2</v>
      </c>
      <c r="AD920">
        <f t="shared" si="388"/>
        <v>-7.4482215512006539E-2</v>
      </c>
      <c r="AE920">
        <f t="shared" si="389"/>
        <v>-5.3301166956641506E-2</v>
      </c>
      <c r="AF920">
        <f t="shared" si="390"/>
        <v>-0.8960337649686041</v>
      </c>
      <c r="AH920">
        <f t="shared" si="391"/>
        <v>4.1547169145700301E-2</v>
      </c>
      <c r="AI920">
        <f t="shared" si="391"/>
        <v>0.15661140606766369</v>
      </c>
      <c r="AJ920">
        <f t="shared" si="392"/>
        <v>0.11506423692196338</v>
      </c>
      <c r="AK920">
        <f t="shared" si="393"/>
        <v>-2.0588158673572752E-2</v>
      </c>
      <c r="AM920">
        <f t="shared" si="394"/>
        <v>0.35451604845427087</v>
      </c>
      <c r="AN920">
        <f t="shared" si="394"/>
        <v>0.34660197543833332</v>
      </c>
      <c r="AO920">
        <f t="shared" si="395"/>
        <v>-7.9140730159375505E-3</v>
      </c>
      <c r="AP920">
        <f t="shared" si="396"/>
        <v>-0.59196578568186975</v>
      </c>
      <c r="AR920" t="str">
        <f t="shared" si="397"/>
        <v/>
      </c>
      <c r="AS920" t="str">
        <f t="shared" si="398"/>
        <v/>
      </c>
      <c r="AT920" t="str">
        <f t="shared" si="399"/>
        <v/>
      </c>
      <c r="AU920" t="str">
        <f t="shared" si="400"/>
        <v/>
      </c>
    </row>
    <row r="921" spans="1:47" x14ac:dyDescent="0.25">
      <c r="A921" s="4">
        <f>DATE(2021,1,19)</f>
        <v>44215</v>
      </c>
      <c r="B921">
        <v>-0.33956973264140133</v>
      </c>
      <c r="C921">
        <v>54.503463274637895</v>
      </c>
      <c r="D921">
        <v>0.51596693292926443</v>
      </c>
      <c r="E921">
        <f t="shared" si="376"/>
        <v>-1.5921509735547654</v>
      </c>
      <c r="F921">
        <f t="shared" si="377"/>
        <v>4.5400595489424878E-2</v>
      </c>
      <c r="G921">
        <f t="shared" si="378"/>
        <v>-0.20052458888471009</v>
      </c>
      <c r="H921" s="2" t="str">
        <f t="shared" si="379"/>
        <v>Lower</v>
      </c>
      <c r="I921" s="2" t="str">
        <f t="shared" si="380"/>
        <v>Higher</v>
      </c>
      <c r="J921" s="2" t="str">
        <f t="shared" si="381"/>
        <v>Higher</v>
      </c>
      <c r="K921" s="2" t="str">
        <f t="shared" si="382"/>
        <v>Lower</v>
      </c>
      <c r="L921" s="2" t="str">
        <f t="shared" si="383"/>
        <v>Higher</v>
      </c>
      <c r="M921" s="2" t="str">
        <f t="shared" si="384"/>
        <v>Higher</v>
      </c>
      <c r="N921" s="2" t="str">
        <f t="shared" si="385"/>
        <v>Lower</v>
      </c>
      <c r="O921" s="2" t="str">
        <f t="shared" si="386"/>
        <v>Higher</v>
      </c>
      <c r="P921" s="2" t="str">
        <f t="shared" si="387"/>
        <v>Higher</v>
      </c>
      <c r="X921" s="4">
        <f>DATE(2021,1,19)</f>
        <v>44215</v>
      </c>
      <c r="Y921">
        <v>24.042333271300329</v>
      </c>
      <c r="Z921">
        <v>38.507883886739357</v>
      </c>
      <c r="AA921">
        <v>32.752499999999998</v>
      </c>
      <c r="AB921">
        <v>19.987499999999997</v>
      </c>
      <c r="AC921">
        <f t="shared" si="388"/>
        <v>-5.7904473745858435E-2</v>
      </c>
      <c r="AD921">
        <f t="shared" si="388"/>
        <v>-0.24028165508234195</v>
      </c>
      <c r="AE921">
        <f t="shared" si="389"/>
        <v>-0.18237718133648351</v>
      </c>
      <c r="AF921">
        <f t="shared" si="390"/>
        <v>-2.090737382476608</v>
      </c>
      <c r="AH921">
        <f t="shared" si="391"/>
        <v>5.4185963955017673E-2</v>
      </c>
      <c r="AI921">
        <f t="shared" si="391"/>
        <v>0.13012435585604876</v>
      </c>
      <c r="AJ921">
        <f t="shared" si="392"/>
        <v>7.5938391901031077E-2</v>
      </c>
      <c r="AK921">
        <f t="shared" si="393"/>
        <v>-0.22425296217779722</v>
      </c>
      <c r="AM921">
        <f t="shared" si="394"/>
        <v>0.31248918667392583</v>
      </c>
      <c r="AN921">
        <f t="shared" si="394"/>
        <v>0.30870620846291852</v>
      </c>
      <c r="AO921">
        <f t="shared" si="395"/>
        <v>-3.7829782110073151E-3</v>
      </c>
      <c r="AP921">
        <f t="shared" si="396"/>
        <v>-0.58575977826273939</v>
      </c>
      <c r="AR921" t="str">
        <f t="shared" si="397"/>
        <v/>
      </c>
      <c r="AS921" t="str">
        <f t="shared" si="398"/>
        <v/>
      </c>
      <c r="AT921" t="str">
        <f t="shared" si="399"/>
        <v/>
      </c>
      <c r="AU921" t="str">
        <f t="shared" si="400"/>
        <v/>
      </c>
    </row>
    <row r="922" spans="1:47" x14ac:dyDescent="0.25">
      <c r="A922" s="4">
        <f>DATE(2021,1,18)</f>
        <v>44214</v>
      </c>
      <c r="B922">
        <v>-0.37323623158832642</v>
      </c>
      <c r="C922">
        <v>46.095994180319998</v>
      </c>
      <c r="D922">
        <v>0.24003880908992609</v>
      </c>
      <c r="E922">
        <f t="shared" si="376"/>
        <v>-1.7742366539833092</v>
      </c>
      <c r="F922">
        <f t="shared" si="377"/>
        <v>-0.82221343135490199</v>
      </c>
      <c r="G922">
        <f t="shared" si="378"/>
        <v>-1.0171100333039869</v>
      </c>
      <c r="H922" s="2" t="str">
        <f t="shared" si="379"/>
        <v>Lower</v>
      </c>
      <c r="I922" s="2" t="str">
        <f t="shared" si="380"/>
        <v>Higher</v>
      </c>
      <c r="J922" s="2" t="str">
        <f t="shared" si="381"/>
        <v>Higher</v>
      </c>
      <c r="K922" s="2" t="str">
        <f t="shared" si="382"/>
        <v>Lower</v>
      </c>
      <c r="L922" s="2" t="str">
        <f t="shared" si="383"/>
        <v>Higher</v>
      </c>
      <c r="M922" s="2" t="str">
        <f t="shared" si="384"/>
        <v>Higher</v>
      </c>
      <c r="N922" s="2" t="str">
        <f t="shared" si="385"/>
        <v>Lower</v>
      </c>
      <c r="O922" s="2" t="str">
        <f t="shared" si="386"/>
        <v>Higher</v>
      </c>
      <c r="P922" s="2" t="str">
        <f t="shared" si="387"/>
        <v>Higher</v>
      </c>
      <c r="X922" s="4">
        <f>DATE(2021,1,18)</f>
        <v>44214</v>
      </c>
      <c r="Y922">
        <v>21.150379897527905</v>
      </c>
      <c r="AA922">
        <v>31.712499999999999</v>
      </c>
      <c r="AC922">
        <f t="shared" si="388"/>
        <v>-8.721500886331969E-2</v>
      </c>
      <c r="AD922" t="str">
        <f t="shared" si="388"/>
        <v/>
      </c>
      <c r="AE922" t="str">
        <f t="shared" si="389"/>
        <v/>
      </c>
      <c r="AF922" t="str">
        <f t="shared" si="390"/>
        <v/>
      </c>
      <c r="AH922">
        <f t="shared" si="391"/>
        <v>3.5220839995482353E-2</v>
      </c>
      <c r="AI922" t="str">
        <f t="shared" si="391"/>
        <v/>
      </c>
      <c r="AJ922" t="str">
        <f t="shared" si="392"/>
        <v/>
      </c>
      <c r="AK922" t="str">
        <f t="shared" si="393"/>
        <v/>
      </c>
      <c r="AM922">
        <f t="shared" si="394"/>
        <v>0.2719090803909508</v>
      </c>
      <c r="AN922" t="str">
        <f t="shared" si="394"/>
        <v/>
      </c>
      <c r="AO922" t="str">
        <f t="shared" si="395"/>
        <v/>
      </c>
      <c r="AP922" t="str">
        <f t="shared" si="396"/>
        <v/>
      </c>
      <c r="AR922" t="str">
        <f t="shared" si="397"/>
        <v/>
      </c>
      <c r="AS922" t="str">
        <f t="shared" si="398"/>
        <v/>
      </c>
      <c r="AT922" t="str">
        <f t="shared" si="399"/>
        <v/>
      </c>
      <c r="AU922" t="str">
        <f t="shared" si="400"/>
        <v/>
      </c>
    </row>
    <row r="923" spans="1:47" x14ac:dyDescent="0.25">
      <c r="A923" s="4">
        <f>DATE(2021,1,15)</f>
        <v>44211</v>
      </c>
      <c r="B923">
        <v>-0.26223219628152417</v>
      </c>
      <c r="C923">
        <v>46.750872944190107</v>
      </c>
      <c r="D923">
        <v>0.25767870484106009</v>
      </c>
      <c r="E923">
        <f t="shared" si="376"/>
        <v>-1.2758259261678846</v>
      </c>
      <c r="F923">
        <f t="shared" si="377"/>
        <v>-0.76031161283122617</v>
      </c>
      <c r="G923">
        <f t="shared" si="378"/>
        <v>-0.9733999976265556</v>
      </c>
      <c r="H923" s="2" t="str">
        <f t="shared" si="379"/>
        <v>Lower</v>
      </c>
      <c r="I923" s="2" t="str">
        <f t="shared" si="380"/>
        <v>Higher</v>
      </c>
      <c r="J923" s="2" t="str">
        <f t="shared" si="381"/>
        <v>Higher</v>
      </c>
      <c r="K923" s="2" t="str">
        <f t="shared" si="382"/>
        <v>Lower</v>
      </c>
      <c r="L923" s="2" t="str">
        <f t="shared" si="383"/>
        <v>Higher</v>
      </c>
      <c r="M923" s="2" t="str">
        <f t="shared" si="384"/>
        <v>Higher</v>
      </c>
      <c r="N923" s="2" t="str">
        <f t="shared" si="385"/>
        <v>Lower</v>
      </c>
      <c r="O923" s="2" t="str">
        <f t="shared" si="386"/>
        <v>Higher</v>
      </c>
      <c r="P923" s="2" t="str">
        <f t="shared" si="387"/>
        <v>Higher</v>
      </c>
      <c r="X923" s="4">
        <f>DATE(2021,1,15)</f>
        <v>44211</v>
      </c>
      <c r="Y923">
        <v>22.571317548954202</v>
      </c>
      <c r="Z923">
        <v>41.595304513682557</v>
      </c>
      <c r="AA923">
        <v>32.147500000000001</v>
      </c>
      <c r="AB923">
        <v>20.106249999999999</v>
      </c>
      <c r="AC923">
        <f t="shared" si="388"/>
        <v>-8.02161718431528E-2</v>
      </c>
      <c r="AD923">
        <f t="shared" si="388"/>
        <v>-5.0231106206631293E-3</v>
      </c>
      <c r="AE923">
        <f t="shared" si="389"/>
        <v>7.5193061222489671E-2</v>
      </c>
      <c r="AF923">
        <f t="shared" si="390"/>
        <v>0.26407366349202105</v>
      </c>
      <c r="AH923">
        <f t="shared" si="391"/>
        <v>2.8475323781411915E-2</v>
      </c>
      <c r="AI923">
        <f t="shared" si="391"/>
        <v>0.23730931353252832</v>
      </c>
      <c r="AJ923">
        <f t="shared" si="392"/>
        <v>0.20883398975111642</v>
      </c>
      <c r="AK923">
        <f t="shared" si="393"/>
        <v>0.45851747777966084</v>
      </c>
      <c r="AM923">
        <f t="shared" si="394"/>
        <v>0.24448324855783113</v>
      </c>
      <c r="AN923">
        <f t="shared" si="394"/>
        <v>0.26479805992919786</v>
      </c>
      <c r="AO923">
        <f t="shared" si="395"/>
        <v>2.0314811371366731E-2</v>
      </c>
      <c r="AP923">
        <f t="shared" si="396"/>
        <v>-0.52219433304925256</v>
      </c>
      <c r="AR923" t="str">
        <f t="shared" si="397"/>
        <v/>
      </c>
      <c r="AS923" t="str">
        <f t="shared" si="398"/>
        <v/>
      </c>
      <c r="AT923" t="str">
        <f t="shared" si="399"/>
        <v/>
      </c>
      <c r="AU923" t="str">
        <f t="shared" si="400"/>
        <v/>
      </c>
    </row>
    <row r="924" spans="1:47" x14ac:dyDescent="0.25">
      <c r="A924" s="4">
        <f>DATE(2021,1,14)</f>
        <v>44210</v>
      </c>
      <c r="B924">
        <v>-9.2944563381418766E-2</v>
      </c>
      <c r="C924">
        <v>58.204292648946328</v>
      </c>
      <c r="D924">
        <v>0.62119631704601297</v>
      </c>
      <c r="E924">
        <f t="shared" si="376"/>
        <v>-0.48082656262164003</v>
      </c>
      <c r="F924">
        <f t="shared" si="377"/>
        <v>0.41339449356709057</v>
      </c>
      <c r="G924">
        <f t="shared" si="378"/>
        <v>9.3494278864994063E-2</v>
      </c>
      <c r="H924" s="2" t="str">
        <f t="shared" si="379"/>
        <v>Higher</v>
      </c>
      <c r="I924" s="2" t="str">
        <f t="shared" si="380"/>
        <v>Higher</v>
      </c>
      <c r="J924" s="2" t="str">
        <f t="shared" si="381"/>
        <v>Higher</v>
      </c>
      <c r="K924" s="2" t="str">
        <f t="shared" si="382"/>
        <v>Lower</v>
      </c>
      <c r="L924" s="2" t="str">
        <f t="shared" si="383"/>
        <v>Higher</v>
      </c>
      <c r="M924" s="2" t="str">
        <f t="shared" si="384"/>
        <v>Higher</v>
      </c>
      <c r="N924" s="2" t="str">
        <f t="shared" si="385"/>
        <v>Lower</v>
      </c>
      <c r="O924" s="2" t="str">
        <f t="shared" si="386"/>
        <v>Higher</v>
      </c>
      <c r="P924" s="2" t="str">
        <f t="shared" si="387"/>
        <v>Higher</v>
      </c>
      <c r="X924" s="4">
        <f>DATE(2021,1,14)</f>
        <v>44210</v>
      </c>
      <c r="Y924">
        <v>25.523989641727486</v>
      </c>
      <c r="Z924">
        <v>45.453008985390269</v>
      </c>
      <c r="AA924">
        <v>33.435000000000002</v>
      </c>
      <c r="AB924">
        <v>21.081250000000001</v>
      </c>
      <c r="AC924">
        <f t="shared" si="388"/>
        <v>-3.280429470773686E-2</v>
      </c>
      <c r="AD924">
        <f t="shared" si="388"/>
        <v>9.9939914004875785E-2</v>
      </c>
      <c r="AE924">
        <f t="shared" si="389"/>
        <v>0.13274420871261264</v>
      </c>
      <c r="AF924">
        <f t="shared" si="390"/>
        <v>0.8012193483767539</v>
      </c>
      <c r="AH924">
        <f t="shared" si="391"/>
        <v>4.535283048220963E-2</v>
      </c>
      <c r="AI924">
        <f t="shared" si="391"/>
        <v>0.27415601694304997</v>
      </c>
      <c r="AJ924">
        <f t="shared" si="392"/>
        <v>0.22880318646084036</v>
      </c>
      <c r="AK924">
        <f t="shared" si="393"/>
        <v>0.56308208435261897</v>
      </c>
      <c r="AM924">
        <f t="shared" si="394"/>
        <v>0.33457483041801744</v>
      </c>
      <c r="AN924">
        <f t="shared" si="394"/>
        <v>0.3295587455576548</v>
      </c>
      <c r="AO924">
        <f t="shared" si="395"/>
        <v>-5.0160848603626462E-3</v>
      </c>
      <c r="AP924">
        <f t="shared" si="396"/>
        <v>-0.6067413494027033</v>
      </c>
      <c r="AR924" t="str">
        <f t="shared" si="397"/>
        <v/>
      </c>
      <c r="AS924" t="str">
        <f t="shared" si="398"/>
        <v/>
      </c>
      <c r="AT924" t="str">
        <f t="shared" si="399"/>
        <v/>
      </c>
      <c r="AU924" t="str">
        <f t="shared" si="400"/>
        <v/>
      </c>
    </row>
    <row r="925" spans="1:47" x14ac:dyDescent="0.25">
      <c r="A925" s="4">
        <f>DATE(2021,1,13)</f>
        <v>44209</v>
      </c>
      <c r="B925">
        <v>-1.5817338070208686E-2</v>
      </c>
      <c r="C925">
        <v>59.105684831158747</v>
      </c>
      <c r="D925">
        <v>0.65903122765608479</v>
      </c>
      <c r="E925">
        <f t="shared" si="376"/>
        <v>-0.11590679205015827</v>
      </c>
      <c r="F925">
        <f t="shared" si="377"/>
        <v>0.50782088669104053</v>
      </c>
      <c r="G925">
        <f t="shared" si="378"/>
        <v>0.20527482719169279</v>
      </c>
      <c r="H925" s="2" t="str">
        <f t="shared" si="379"/>
        <v>Higher</v>
      </c>
      <c r="I925" s="2" t="str">
        <f t="shared" si="380"/>
        <v>Higher</v>
      </c>
      <c r="J925" s="2" t="str">
        <f t="shared" si="381"/>
        <v>Higher</v>
      </c>
      <c r="K925" s="2" t="str">
        <f t="shared" si="382"/>
        <v>Lower</v>
      </c>
      <c r="L925" s="2" t="str">
        <f t="shared" si="383"/>
        <v>Higher</v>
      </c>
      <c r="M925" s="2" t="str">
        <f t="shared" si="384"/>
        <v>Higher</v>
      </c>
      <c r="N925" s="2" t="str">
        <f t="shared" si="385"/>
        <v>Lower</v>
      </c>
      <c r="O925" s="2" t="str">
        <f t="shared" si="386"/>
        <v>Higher</v>
      </c>
      <c r="P925" s="2" t="str">
        <f t="shared" si="387"/>
        <v>Higher</v>
      </c>
      <c r="X925" s="4">
        <f>DATE(2021,1,13)</f>
        <v>44209</v>
      </c>
      <c r="Y925">
        <v>27.556951476194442</v>
      </c>
      <c r="Z925">
        <v>48.324821744340987</v>
      </c>
      <c r="AA925">
        <v>33.757499999999993</v>
      </c>
      <c r="AB925">
        <v>22.1</v>
      </c>
      <c r="AC925">
        <f t="shared" si="388"/>
        <v>9.1508282788227129E-3</v>
      </c>
      <c r="AD925">
        <f t="shared" si="388"/>
        <v>0.21884004190334611</v>
      </c>
      <c r="AE925">
        <f t="shared" si="389"/>
        <v>0.20968921362452339</v>
      </c>
      <c r="AF925">
        <f t="shared" si="390"/>
        <v>1.5216869992848236</v>
      </c>
      <c r="AH925">
        <f t="shared" si="391"/>
        <v>5.7537486423815211E-2</v>
      </c>
      <c r="AI925">
        <f t="shared" si="391"/>
        <v>0.29115718360180365</v>
      </c>
      <c r="AJ925">
        <f t="shared" si="392"/>
        <v>0.23361969717798844</v>
      </c>
      <c r="AK925">
        <f t="shared" si="393"/>
        <v>0.58998120493451522</v>
      </c>
      <c r="AM925">
        <f t="shared" si="394"/>
        <v>0.35256790183054998</v>
      </c>
      <c r="AN925">
        <f t="shared" si="394"/>
        <v>0.39606373844378362</v>
      </c>
      <c r="AO925">
        <f t="shared" si="395"/>
        <v>4.349583661323364E-2</v>
      </c>
      <c r="AP925">
        <f t="shared" si="396"/>
        <v>-0.46254703347923443</v>
      </c>
      <c r="AR925" t="str">
        <f t="shared" si="397"/>
        <v/>
      </c>
      <c r="AS925" t="str">
        <f t="shared" si="398"/>
        <v/>
      </c>
      <c r="AT925" t="str">
        <f t="shared" si="399"/>
        <v/>
      </c>
      <c r="AU925" t="str">
        <f t="shared" si="400"/>
        <v/>
      </c>
    </row>
    <row r="926" spans="1:47" x14ac:dyDescent="0.25">
      <c r="A926" s="4">
        <f>DATE(2021,1,12)</f>
        <v>44208</v>
      </c>
      <c r="B926">
        <v>7.752006171783532E-2</v>
      </c>
      <c r="C926">
        <v>67.244862039170911</v>
      </c>
      <c r="D926">
        <v>0.87585786393052978</v>
      </c>
      <c r="E926">
        <f t="shared" si="376"/>
        <v>0.32633729275057582</v>
      </c>
      <c r="F926">
        <f t="shared" si="377"/>
        <v>1.3425775656336063</v>
      </c>
      <c r="G926">
        <f t="shared" si="378"/>
        <v>0.84199289489845131</v>
      </c>
      <c r="H926" s="2" t="str">
        <f t="shared" si="379"/>
        <v>Higher</v>
      </c>
      <c r="I926" s="2" t="str">
        <f t="shared" si="380"/>
        <v>Higher</v>
      </c>
      <c r="J926" s="2" t="str">
        <f t="shared" si="381"/>
        <v>Higher</v>
      </c>
      <c r="K926" s="2" t="str">
        <f t="shared" si="382"/>
        <v>Lower</v>
      </c>
      <c r="L926" s="2" t="str">
        <f t="shared" si="383"/>
        <v>Higher</v>
      </c>
      <c r="M926" s="2" t="str">
        <f t="shared" si="384"/>
        <v>Higher</v>
      </c>
      <c r="N926" s="2" t="str">
        <f t="shared" si="385"/>
        <v>Lower</v>
      </c>
      <c r="O926" s="2" t="str">
        <f t="shared" si="386"/>
        <v>Higher</v>
      </c>
      <c r="P926" s="2" t="str">
        <f t="shared" si="387"/>
        <v>Higher</v>
      </c>
      <c r="X926" s="4">
        <f>DATE(2021,1,12)</f>
        <v>44208</v>
      </c>
      <c r="Y926">
        <v>30.665721042014827</v>
      </c>
      <c r="Z926">
        <v>62.877448324379948</v>
      </c>
      <c r="AA926">
        <v>34.704999999999998</v>
      </c>
      <c r="AB926">
        <v>25.416250000000002</v>
      </c>
      <c r="AC926">
        <f t="shared" si="388"/>
        <v>4.7199440414737538E-2</v>
      </c>
      <c r="AD926">
        <f t="shared" si="388"/>
        <v>0.33280023783632912</v>
      </c>
      <c r="AE926">
        <f t="shared" si="389"/>
        <v>0.28560079742159156</v>
      </c>
      <c r="AF926">
        <f t="shared" si="390"/>
        <v>2.2526091188254962</v>
      </c>
      <c r="AH926">
        <f t="shared" si="391"/>
        <v>8.3650996209938808E-2</v>
      </c>
      <c r="AI926">
        <f t="shared" si="391"/>
        <v>0.3966758336201599</v>
      </c>
      <c r="AJ926">
        <f t="shared" si="392"/>
        <v>0.31302483741022108</v>
      </c>
      <c r="AK926">
        <f t="shared" si="393"/>
        <v>0.99835239521208041</v>
      </c>
      <c r="AM926">
        <f t="shared" si="394"/>
        <v>0.34943589133696673</v>
      </c>
      <c r="AN926">
        <f t="shared" si="394"/>
        <v>0.53856801409175326</v>
      </c>
      <c r="AO926">
        <f t="shared" si="395"/>
        <v>0.18913212275478652</v>
      </c>
      <c r="AP926">
        <f t="shared" si="396"/>
        <v>-1.0097664683061608E-2</v>
      </c>
      <c r="AR926" t="str">
        <f t="shared" si="397"/>
        <v/>
      </c>
      <c r="AS926" t="str">
        <f t="shared" si="398"/>
        <v/>
      </c>
      <c r="AT926" t="str">
        <f t="shared" si="399"/>
        <v/>
      </c>
      <c r="AU926" t="str">
        <f t="shared" si="400"/>
        <v/>
      </c>
    </row>
    <row r="927" spans="1:47" x14ac:dyDescent="0.25">
      <c r="A927" s="4">
        <f>DATE(2021,1,11)</f>
        <v>44207</v>
      </c>
      <c r="B927">
        <v>9.823736635290703E-2</v>
      </c>
      <c r="C927">
        <v>66.696706540592459</v>
      </c>
      <c r="D927">
        <v>0.89146443462967961</v>
      </c>
      <c r="E927">
        <f t="shared" si="376"/>
        <v>0.425741073472795</v>
      </c>
      <c r="F927">
        <f t="shared" si="377"/>
        <v>1.3023390219390305</v>
      </c>
      <c r="G927">
        <f t="shared" si="378"/>
        <v>0.89375507787519459</v>
      </c>
      <c r="H927" s="2" t="str">
        <f t="shared" si="379"/>
        <v>Higher</v>
      </c>
      <c r="I927" s="2" t="str">
        <f t="shared" si="380"/>
        <v>Higher</v>
      </c>
      <c r="J927" s="2" t="str">
        <f t="shared" si="381"/>
        <v>Higher</v>
      </c>
      <c r="K927" s="2" t="str">
        <f t="shared" si="382"/>
        <v>Lower</v>
      </c>
      <c r="L927" s="2" t="str">
        <f t="shared" si="383"/>
        <v>Higher</v>
      </c>
      <c r="M927" s="2" t="str">
        <f t="shared" si="384"/>
        <v>Higher</v>
      </c>
      <c r="N927" s="2" t="str">
        <f t="shared" si="385"/>
        <v>Lower</v>
      </c>
      <c r="O927" s="2" t="str">
        <f t="shared" si="386"/>
        <v>Higher</v>
      </c>
      <c r="P927" s="2" t="str">
        <f t="shared" si="387"/>
        <v>Higher</v>
      </c>
      <c r="X927" s="4">
        <f>DATE(2021,1,11)</f>
        <v>44207</v>
      </c>
      <c r="Y927">
        <v>32.045369935050196</v>
      </c>
      <c r="Z927">
        <v>54.309263993133861</v>
      </c>
      <c r="AA927">
        <v>34.602499999999999</v>
      </c>
      <c r="AB927">
        <v>21.997499999999999</v>
      </c>
      <c r="AC927">
        <f t="shared" si="388"/>
        <v>2.9920835833688729E-2</v>
      </c>
      <c r="AD927">
        <f t="shared" si="388"/>
        <v>0.10222115192055216</v>
      </c>
      <c r="AE927">
        <f t="shared" si="389"/>
        <v>7.2300316086863436E-2</v>
      </c>
      <c r="AF927">
        <f t="shared" si="390"/>
        <v>0.28221051917960849</v>
      </c>
      <c r="AH927">
        <f t="shared" si="391"/>
        <v>0.11478918343732306</v>
      </c>
      <c r="AI927">
        <f t="shared" si="391"/>
        <v>0.278743844703361</v>
      </c>
      <c r="AJ927">
        <f t="shared" si="392"/>
        <v>0.16395466126603794</v>
      </c>
      <c r="AK927">
        <f t="shared" si="393"/>
        <v>0.24407193480205269</v>
      </c>
      <c r="AM927">
        <f t="shared" si="394"/>
        <v>0.32775376049483407</v>
      </c>
      <c r="AN927">
        <f t="shared" si="394"/>
        <v>0.40240127592423247</v>
      </c>
      <c r="AO927">
        <f t="shared" si="395"/>
        <v>7.4647515429398403E-2</v>
      </c>
      <c r="AP927">
        <f t="shared" si="396"/>
        <v>-0.36781877065291746</v>
      </c>
      <c r="AR927" t="str">
        <f t="shared" si="397"/>
        <v/>
      </c>
      <c r="AS927" t="str">
        <f t="shared" si="398"/>
        <v/>
      </c>
      <c r="AT927" t="str">
        <f t="shared" si="399"/>
        <v/>
      </c>
      <c r="AU927" t="str">
        <f t="shared" si="400"/>
        <v/>
      </c>
    </row>
    <row r="928" spans="1:47" x14ac:dyDescent="0.25">
      <c r="A928" s="4">
        <f>DATE(2021,1,8)</f>
        <v>44204</v>
      </c>
      <c r="B928">
        <v>0.11771587508640136</v>
      </c>
      <c r="C928">
        <v>69.957856294973809</v>
      </c>
      <c r="D928">
        <v>1.0222883598230204</v>
      </c>
      <c r="E928">
        <f t="shared" si="376"/>
        <v>0.51958283798248694</v>
      </c>
      <c r="F928">
        <f t="shared" si="377"/>
        <v>1.6529671994608222</v>
      </c>
      <c r="G928">
        <f t="shared" si="378"/>
        <v>1.283436477490101</v>
      </c>
      <c r="H928" s="2" t="str">
        <f t="shared" si="379"/>
        <v>Higher</v>
      </c>
      <c r="I928" s="2" t="str">
        <f t="shared" si="380"/>
        <v>Higher</v>
      </c>
      <c r="J928" s="2" t="str">
        <f t="shared" si="381"/>
        <v>Higher</v>
      </c>
      <c r="K928" s="2" t="str">
        <f t="shared" si="382"/>
        <v>Lower</v>
      </c>
      <c r="L928" s="2" t="str">
        <f t="shared" si="383"/>
        <v>Higher</v>
      </c>
      <c r="M928" s="2" t="str">
        <f t="shared" si="384"/>
        <v>Higher</v>
      </c>
      <c r="N928" s="2" t="str">
        <f t="shared" si="385"/>
        <v>Lower</v>
      </c>
      <c r="O928" s="2" t="str">
        <f t="shared" si="386"/>
        <v>Higher</v>
      </c>
      <c r="P928" s="2" t="str">
        <f t="shared" si="387"/>
        <v>Higher</v>
      </c>
      <c r="X928" s="4">
        <f>DATE(2021,1,8)</f>
        <v>44204</v>
      </c>
      <c r="Y928">
        <v>34.474308886960046</v>
      </c>
      <c r="Z928">
        <v>49.601681124822115</v>
      </c>
      <c r="AA928">
        <v>34.832500000000003</v>
      </c>
      <c r="AB928">
        <v>20.207500000000003</v>
      </c>
      <c r="AC928" t="str">
        <f t="shared" si="388"/>
        <v/>
      </c>
      <c r="AD928" t="str">
        <f t="shared" si="388"/>
        <v/>
      </c>
      <c r="AE928" t="str">
        <f t="shared" si="389"/>
        <v/>
      </c>
      <c r="AF928" t="str">
        <f t="shared" si="390"/>
        <v/>
      </c>
      <c r="AH928">
        <f t="shared" si="391"/>
        <v>0.12759198556194173</v>
      </c>
      <c r="AI928">
        <f t="shared" si="391"/>
        <v>0.24636038837181398</v>
      </c>
      <c r="AJ928">
        <f t="shared" si="392"/>
        <v>0.11876840280987225</v>
      </c>
      <c r="AK928">
        <f t="shared" si="393"/>
        <v>1.5341997133360765E-2</v>
      </c>
      <c r="AM928">
        <f t="shared" si="394"/>
        <v>0.33057563869410822</v>
      </c>
      <c r="AN928">
        <f t="shared" si="394"/>
        <v>0.33061290508928026</v>
      </c>
      <c r="AO928">
        <f t="shared" si="395"/>
        <v>3.7266395172041999E-5</v>
      </c>
      <c r="AP928">
        <f t="shared" si="396"/>
        <v>-0.60447941241125691</v>
      </c>
      <c r="AR928" t="str">
        <f t="shared" si="397"/>
        <v/>
      </c>
      <c r="AS928" t="str">
        <f t="shared" si="398"/>
        <v/>
      </c>
      <c r="AT928" t="str">
        <f t="shared" si="399"/>
        <v/>
      </c>
      <c r="AU928" t="str">
        <f t="shared" si="400"/>
        <v/>
      </c>
    </row>
    <row r="929" spans="1:47" x14ac:dyDescent="0.25">
      <c r="A929" s="4">
        <f>DATE(2021,1,7)</f>
        <v>44203</v>
      </c>
      <c r="B929">
        <v>8.0999868711969292E-2</v>
      </c>
      <c r="C929">
        <v>69.387664657821546</v>
      </c>
      <c r="D929">
        <v>1.0569465032728083</v>
      </c>
      <c r="E929">
        <f t="shared" si="376"/>
        <v>0.35002969827881364</v>
      </c>
      <c r="F929">
        <f t="shared" si="377"/>
        <v>1.6207316952611366</v>
      </c>
      <c r="G929">
        <f t="shared" si="378"/>
        <v>1.399828550193071</v>
      </c>
      <c r="H929" s="2" t="str">
        <f t="shared" si="379"/>
        <v>Higher</v>
      </c>
      <c r="I929" s="2" t="str">
        <f t="shared" si="380"/>
        <v>Higher</v>
      </c>
      <c r="J929" s="2" t="str">
        <f t="shared" si="381"/>
        <v>Higher</v>
      </c>
      <c r="K929" s="2" t="str">
        <f t="shared" si="382"/>
        <v>Lower</v>
      </c>
      <c r="L929" s="2" t="str">
        <f t="shared" si="383"/>
        <v>Higher</v>
      </c>
      <c r="M929" s="2" t="str">
        <f t="shared" si="384"/>
        <v>Higher</v>
      </c>
      <c r="N929" s="2" t="str">
        <f t="shared" si="385"/>
        <v>Lower</v>
      </c>
      <c r="O929" s="2" t="str">
        <f t="shared" si="386"/>
        <v>Higher</v>
      </c>
      <c r="P929" s="2" t="str">
        <f t="shared" si="387"/>
        <v>Higher</v>
      </c>
      <c r="X929" s="4">
        <f>DATE(2021,1,7)</f>
        <v>44203</v>
      </c>
      <c r="Y929">
        <v>34.286673668681253</v>
      </c>
      <c r="Z929">
        <v>44.070393380494764</v>
      </c>
      <c r="AA929">
        <v>34.549999999999997</v>
      </c>
      <c r="AB929">
        <v>19.076250000000002</v>
      </c>
      <c r="AC929">
        <f t="shared" si="388"/>
        <v>5.7711899750832067E-2</v>
      </c>
      <c r="AD929">
        <f t="shared" si="388"/>
        <v>-2.5522738896520225E-3</v>
      </c>
      <c r="AE929">
        <f t="shared" si="389"/>
        <v>-6.0264173640484087E-2</v>
      </c>
      <c r="AF929">
        <f t="shared" si="390"/>
        <v>-0.9772315051549697</v>
      </c>
      <c r="AH929">
        <f t="shared" si="391"/>
        <v>0.12124415591064566</v>
      </c>
      <c r="AI929">
        <f t="shared" si="391"/>
        <v>0.20913751507018322</v>
      </c>
      <c r="AJ929">
        <f t="shared" si="392"/>
        <v>8.7893359159537554E-2</v>
      </c>
      <c r="AK929">
        <f t="shared" si="393"/>
        <v>-0.14058026120512429</v>
      </c>
      <c r="AM929">
        <f t="shared" si="394"/>
        <v>0.32043652043817561</v>
      </c>
      <c r="AN929">
        <f t="shared" si="394"/>
        <v>0.29837618725908444</v>
      </c>
      <c r="AO929">
        <f t="shared" si="395"/>
        <v>-2.2060333179091174E-2</v>
      </c>
      <c r="AP929">
        <f t="shared" si="396"/>
        <v>-0.68301122603608566</v>
      </c>
      <c r="AR929" t="str">
        <f t="shared" si="397"/>
        <v/>
      </c>
      <c r="AS929" t="str">
        <f t="shared" si="398"/>
        <v/>
      </c>
      <c r="AT929" t="str">
        <f t="shared" si="399"/>
        <v/>
      </c>
      <c r="AU929" t="str">
        <f t="shared" si="400"/>
        <v/>
      </c>
    </row>
    <row r="930" spans="1:47" x14ac:dyDescent="0.25">
      <c r="A930" s="4">
        <f>DATE(2021,1,6)</f>
        <v>44202</v>
      </c>
      <c r="B930">
        <v>1.4127650382011803E-2</v>
      </c>
      <c r="C930">
        <v>65.035590088837637</v>
      </c>
      <c r="D930">
        <v>0.89097895704437613</v>
      </c>
      <c r="E930">
        <f t="shared" si="376"/>
        <v>3.8976999472979681E-2</v>
      </c>
      <c r="F930">
        <f t="shared" si="377"/>
        <v>1.1920085789300066</v>
      </c>
      <c r="G930">
        <f t="shared" si="378"/>
        <v>0.92875414631440323</v>
      </c>
      <c r="H930" s="2" t="str">
        <f t="shared" si="379"/>
        <v>Higher</v>
      </c>
      <c r="I930" s="2" t="str">
        <f t="shared" si="380"/>
        <v>Higher</v>
      </c>
      <c r="J930" s="2" t="str">
        <f t="shared" si="381"/>
        <v>Higher</v>
      </c>
      <c r="K930" s="2" t="str">
        <f t="shared" si="382"/>
        <v>Lower</v>
      </c>
      <c r="L930" s="2" t="str">
        <f t="shared" si="383"/>
        <v>Higher</v>
      </c>
      <c r="M930" s="2" t="str">
        <f t="shared" si="384"/>
        <v>Higher</v>
      </c>
      <c r="N930" s="2" t="str">
        <f t="shared" si="385"/>
        <v>Lower</v>
      </c>
      <c r="O930" s="2" t="str">
        <f t="shared" si="386"/>
        <v>Higher</v>
      </c>
      <c r="P930" s="2" t="str">
        <f t="shared" si="387"/>
        <v>Higher</v>
      </c>
      <c r="X930" s="4">
        <f>DATE(2021,1,6)</f>
        <v>44202</v>
      </c>
      <c r="Y930">
        <v>29.030642762264634</v>
      </c>
      <c r="Z930">
        <v>43.210564908777734</v>
      </c>
      <c r="AA930">
        <v>33.450000000000003</v>
      </c>
      <c r="AB930">
        <v>17.756250000000001</v>
      </c>
      <c r="AC930">
        <f t="shared" si="388"/>
        <v>3.0351343424138727E-2</v>
      </c>
      <c r="AD930">
        <f t="shared" si="388"/>
        <v>-7.1313302862481762E-2</v>
      </c>
      <c r="AE930">
        <f t="shared" si="389"/>
        <v>-0.10166464628662049</v>
      </c>
      <c r="AF930">
        <f t="shared" si="390"/>
        <v>-1.3784571486587558</v>
      </c>
      <c r="AH930">
        <f t="shared" si="391"/>
        <v>0.11646663791422367</v>
      </c>
      <c r="AI930">
        <f t="shared" si="391"/>
        <v>0.19306544424615113</v>
      </c>
      <c r="AJ930">
        <f t="shared" si="392"/>
        <v>7.6598806331927463E-2</v>
      </c>
      <c r="AK930">
        <f t="shared" si="393"/>
        <v>-0.19785093423909111</v>
      </c>
      <c r="AM930">
        <f t="shared" si="394"/>
        <v>0.26716650924568491</v>
      </c>
      <c r="AN930">
        <f t="shared" si="394"/>
        <v>0.24800117223787665</v>
      </c>
      <c r="AO930">
        <f t="shared" si="395"/>
        <v>-1.9165337007808259E-2</v>
      </c>
      <c r="AP930">
        <f t="shared" si="396"/>
        <v>-0.68595532277141835</v>
      </c>
      <c r="AR930" t="str">
        <f t="shared" si="397"/>
        <v/>
      </c>
      <c r="AS930" t="str">
        <f t="shared" si="398"/>
        <v/>
      </c>
      <c r="AT930" t="str">
        <f t="shared" si="399"/>
        <v/>
      </c>
      <c r="AU930" t="str">
        <f t="shared" si="400"/>
        <v/>
      </c>
    </row>
    <row r="931" spans="1:47" x14ac:dyDescent="0.25">
      <c r="A931" s="4">
        <f>DATE(2021,1,5)</f>
        <v>44201</v>
      </c>
      <c r="B931">
        <v>3.7926150989666674E-3</v>
      </c>
      <c r="C931">
        <v>62.066418238097448</v>
      </c>
      <c r="D931">
        <v>0.7827704472495266</v>
      </c>
      <c r="E931">
        <f t="shared" si="376"/>
        <v>-8.9773467128086582E-3</v>
      </c>
      <c r="F931">
        <f t="shared" si="377"/>
        <v>0.89396365135958389</v>
      </c>
      <c r="G931">
        <f t="shared" si="378"/>
        <v>0.61754377267730398</v>
      </c>
      <c r="H931" s="2" t="str">
        <f t="shared" si="379"/>
        <v>Higher</v>
      </c>
      <c r="I931" s="2" t="str">
        <f t="shared" si="380"/>
        <v>Higher</v>
      </c>
      <c r="J931" s="2" t="str">
        <f t="shared" si="381"/>
        <v>Higher</v>
      </c>
      <c r="K931" s="2" t="str">
        <f t="shared" si="382"/>
        <v>Lower</v>
      </c>
      <c r="L931" s="2" t="str">
        <f t="shared" si="383"/>
        <v>Higher</v>
      </c>
      <c r="M931" s="2" t="str">
        <f t="shared" si="384"/>
        <v>Higher</v>
      </c>
      <c r="N931" s="2" t="str">
        <f t="shared" si="385"/>
        <v>Lower</v>
      </c>
      <c r="O931" s="2" t="str">
        <f t="shared" si="386"/>
        <v>Higher</v>
      </c>
      <c r="P931" s="2" t="str">
        <f t="shared" si="387"/>
        <v>Higher</v>
      </c>
      <c r="X931" s="4">
        <f>DATE(2021,1,5)</f>
        <v>44201</v>
      </c>
      <c r="Y931">
        <v>30.849990656614217</v>
      </c>
      <c r="Z931">
        <v>48.595845520782021</v>
      </c>
      <c r="AA931">
        <v>33.105000000000004</v>
      </c>
      <c r="AB931">
        <v>18.221249999999998</v>
      </c>
      <c r="AC931">
        <f t="shared" si="388"/>
        <v>2.7223247302748861E-3</v>
      </c>
      <c r="AD931">
        <f t="shared" si="388"/>
        <v>-3.292922849038895E-2</v>
      </c>
      <c r="AE931">
        <f t="shared" si="389"/>
        <v>-3.5651553220663837E-2</v>
      </c>
      <c r="AF931">
        <f t="shared" si="390"/>
        <v>-0.76796211659501501</v>
      </c>
      <c r="AH931">
        <f t="shared" si="391"/>
        <v>0.11013788945551578</v>
      </c>
      <c r="AI931">
        <f t="shared" si="391"/>
        <v>0.23154811993777588</v>
      </c>
      <c r="AJ931">
        <f t="shared" si="392"/>
        <v>0.1214102304822601</v>
      </c>
      <c r="AK931">
        <f t="shared" si="393"/>
        <v>2.5568527795546386E-2</v>
      </c>
      <c r="AM931">
        <f t="shared" si="394"/>
        <v>0.26700422253221173</v>
      </c>
      <c r="AN931">
        <f t="shared" si="394"/>
        <v>0.29288641732165138</v>
      </c>
      <c r="AO931">
        <f t="shared" si="395"/>
        <v>2.588219478943965E-2</v>
      </c>
      <c r="AP931">
        <f t="shared" si="396"/>
        <v>-0.55440163813966248</v>
      </c>
      <c r="AR931" t="str">
        <f t="shared" si="397"/>
        <v/>
      </c>
      <c r="AS931" t="str">
        <f t="shared" si="398"/>
        <v/>
      </c>
      <c r="AT931" t="str">
        <f t="shared" si="399"/>
        <v/>
      </c>
      <c r="AU931" t="str">
        <f t="shared" si="400"/>
        <v/>
      </c>
    </row>
    <row r="932" spans="1:47" x14ac:dyDescent="0.25">
      <c r="A932" s="4">
        <f>DATE(2021,1,4)</f>
        <v>44200</v>
      </c>
      <c r="B932">
        <v>3.7740319435907832E-2</v>
      </c>
      <c r="C932">
        <v>67.900052102576993</v>
      </c>
      <c r="D932">
        <v>0.97389698381181156</v>
      </c>
      <c r="E932">
        <f t="shared" si="376"/>
        <v>0.1483570265110018</v>
      </c>
      <c r="F932">
        <f t="shared" si="377"/>
        <v>1.5109560405808748</v>
      </c>
      <c r="G932">
        <f t="shared" si="378"/>
        <v>1.1827524344906859</v>
      </c>
      <c r="H932" s="2" t="str">
        <f t="shared" si="379"/>
        <v>Higher</v>
      </c>
      <c r="I932" s="2" t="str">
        <f t="shared" si="380"/>
        <v>Higher</v>
      </c>
      <c r="J932" s="2" t="str">
        <f t="shared" si="381"/>
        <v>Higher</v>
      </c>
      <c r="K932" s="2" t="str">
        <f t="shared" si="382"/>
        <v>Lower</v>
      </c>
      <c r="L932" s="2" t="str">
        <f t="shared" si="383"/>
        <v>Higher</v>
      </c>
      <c r="M932" s="2" t="str">
        <f t="shared" si="384"/>
        <v>Higher</v>
      </c>
      <c r="N932" s="2" t="str">
        <f t="shared" si="385"/>
        <v>Lower</v>
      </c>
      <c r="O932" s="2" t="str">
        <f t="shared" si="386"/>
        <v>Higher</v>
      </c>
      <c r="P932" s="2" t="str">
        <f t="shared" si="387"/>
        <v>Higher</v>
      </c>
      <c r="X932" s="4">
        <f>DATE(2021,1,4)</f>
        <v>44200</v>
      </c>
      <c r="Y932">
        <v>33.034522550869468</v>
      </c>
      <c r="Z932">
        <v>60.296881144353939</v>
      </c>
      <c r="AA932">
        <v>33.582499999999996</v>
      </c>
      <c r="AB932">
        <v>19.86</v>
      </c>
      <c r="AC932">
        <f t="shared" si="388"/>
        <v>1.2133162625763919E-2</v>
      </c>
      <c r="AD932">
        <f t="shared" si="388"/>
        <v>3.6404942990371524E-2</v>
      </c>
      <c r="AE932">
        <f t="shared" si="389"/>
        <v>2.4271780364607604E-2</v>
      </c>
      <c r="AF932">
        <f t="shared" si="390"/>
        <v>-0.20312491420528278</v>
      </c>
      <c r="AH932">
        <f t="shared" si="391"/>
        <v>0.12420576124524504</v>
      </c>
      <c r="AI932">
        <f t="shared" si="391"/>
        <v>0.32827331145647975</v>
      </c>
      <c r="AJ932">
        <f t="shared" si="392"/>
        <v>0.20406755021123471</v>
      </c>
      <c r="AK932">
        <f t="shared" si="393"/>
        <v>0.43687460953409085</v>
      </c>
      <c r="AM932">
        <f t="shared" si="394"/>
        <v>0.26683340393198307</v>
      </c>
      <c r="AN932">
        <f t="shared" si="394"/>
        <v>0.36530798713532492</v>
      </c>
      <c r="AO932">
        <f t="shared" si="395"/>
        <v>9.8474583203341848E-2</v>
      </c>
      <c r="AP932">
        <f t="shared" si="396"/>
        <v>-0.32881462409060841</v>
      </c>
      <c r="AR932" t="str">
        <f t="shared" si="397"/>
        <v/>
      </c>
      <c r="AS932" t="str">
        <f t="shared" si="398"/>
        <v/>
      </c>
      <c r="AT932" t="str">
        <f t="shared" si="399"/>
        <v/>
      </c>
      <c r="AU932" t="str">
        <f t="shared" si="400"/>
        <v/>
      </c>
    </row>
    <row r="933" spans="1:47" x14ac:dyDescent="0.25">
      <c r="A933" s="4">
        <f>DATE(2021,1,1)</f>
        <v>44197</v>
      </c>
      <c r="E933">
        <f t="shared" si="376"/>
        <v>-2.517538471207903E-2</v>
      </c>
      <c r="F933">
        <f t="shared" si="377"/>
        <v>-5.6075351979464356</v>
      </c>
      <c r="G933">
        <f t="shared" si="378"/>
        <v>-1.6709110835506427</v>
      </c>
      <c r="H933" s="2" t="str">
        <f t="shared" si="379"/>
        <v>Higher</v>
      </c>
      <c r="I933" s="2" t="str">
        <f t="shared" si="380"/>
        <v>Higher</v>
      </c>
      <c r="J933" s="2" t="str">
        <f t="shared" si="381"/>
        <v>Higher</v>
      </c>
      <c r="K933" s="2" t="str">
        <f t="shared" si="382"/>
        <v>Lower</v>
      </c>
      <c r="L933" s="2" t="str">
        <f t="shared" si="383"/>
        <v>Higher</v>
      </c>
      <c r="M933" s="2" t="str">
        <f t="shared" si="384"/>
        <v>Higher</v>
      </c>
      <c r="N933" s="2" t="str">
        <f t="shared" si="385"/>
        <v>Lower</v>
      </c>
      <c r="O933" s="2" t="str">
        <f t="shared" si="386"/>
        <v>Higher</v>
      </c>
      <c r="P933" s="2" t="str">
        <f t="shared" si="387"/>
        <v>Higher</v>
      </c>
      <c r="X933" s="4">
        <f>DATE(2021,1,1)</f>
        <v>44197</v>
      </c>
      <c r="AC933" t="str">
        <f t="shared" si="388"/>
        <v/>
      </c>
      <c r="AD933" t="str">
        <f t="shared" si="388"/>
        <v/>
      </c>
      <c r="AE933" t="str">
        <f t="shared" si="389"/>
        <v/>
      </c>
      <c r="AF933" t="str">
        <f t="shared" si="390"/>
        <v/>
      </c>
      <c r="AH933" t="str">
        <f t="shared" si="391"/>
        <v/>
      </c>
      <c r="AI933" t="str">
        <f t="shared" si="391"/>
        <v/>
      </c>
      <c r="AJ933" t="str">
        <f t="shared" si="392"/>
        <v/>
      </c>
      <c r="AK933" t="str">
        <f t="shared" si="393"/>
        <v/>
      </c>
      <c r="AM933" t="str">
        <f t="shared" si="394"/>
        <v/>
      </c>
      <c r="AN933" t="str">
        <f t="shared" si="394"/>
        <v/>
      </c>
      <c r="AO933" t="str">
        <f t="shared" si="395"/>
        <v/>
      </c>
      <c r="AP933" t="str">
        <f t="shared" si="396"/>
        <v/>
      </c>
      <c r="AR933" t="str">
        <f t="shared" si="397"/>
        <v/>
      </c>
      <c r="AS933" t="str">
        <f t="shared" si="398"/>
        <v/>
      </c>
      <c r="AT933" t="str">
        <f t="shared" si="399"/>
        <v/>
      </c>
      <c r="AU933" t="str">
        <f t="shared" si="400"/>
        <v/>
      </c>
    </row>
    <row r="934" spans="1:47" x14ac:dyDescent="0.25">
      <c r="A934" s="4">
        <f>DATE(2020,12,31)</f>
        <v>44196</v>
      </c>
      <c r="B934">
        <v>-3.0314230294112843E-3</v>
      </c>
      <c r="C934">
        <v>63.68898918948063</v>
      </c>
      <c r="D934">
        <v>0.8101206882392441</v>
      </c>
      <c r="E934">
        <f t="shared" si="376"/>
        <v>-3.9167381571179119E-2</v>
      </c>
      <c r="F934">
        <f t="shared" si="377"/>
        <v>1.0904111127103975</v>
      </c>
      <c r="G934">
        <f t="shared" si="378"/>
        <v>0.71339757486794564</v>
      </c>
      <c r="H934" s="2" t="str">
        <f t="shared" si="379"/>
        <v>Higher</v>
      </c>
      <c r="I934" s="2" t="str">
        <f t="shared" si="380"/>
        <v>Higher</v>
      </c>
      <c r="J934" s="2" t="str">
        <f t="shared" si="381"/>
        <v>Higher</v>
      </c>
      <c r="K934" s="2" t="str">
        <f t="shared" si="382"/>
        <v>Lower</v>
      </c>
      <c r="L934" s="2" t="str">
        <f t="shared" si="383"/>
        <v>Higher</v>
      </c>
      <c r="M934" s="2" t="str">
        <f t="shared" si="384"/>
        <v>Higher</v>
      </c>
      <c r="N934" s="2" t="str">
        <f t="shared" si="385"/>
        <v>Higher</v>
      </c>
      <c r="O934" s="2" t="str">
        <f t="shared" si="386"/>
        <v>Higher</v>
      </c>
      <c r="P934" s="2" t="str">
        <f t="shared" si="387"/>
        <v>Higher</v>
      </c>
      <c r="X934" s="4">
        <f>DATE(2020,12,31)</f>
        <v>44196</v>
      </c>
      <c r="Y934">
        <v>27.485013648968522</v>
      </c>
      <c r="Z934">
        <v>54.003200074871124</v>
      </c>
      <c r="AA934">
        <v>32.612499999999997</v>
      </c>
      <c r="AB934">
        <v>19.125</v>
      </c>
      <c r="AC934">
        <f t="shared" si="388"/>
        <v>1.4516508486579937E-2</v>
      </c>
      <c r="AD934">
        <f t="shared" si="388"/>
        <v>8.026059633329384E-2</v>
      </c>
      <c r="AE934">
        <f t="shared" si="389"/>
        <v>6.57440878467139E-2</v>
      </c>
      <c r="AF934">
        <f t="shared" si="390"/>
        <v>0.1850581892366861</v>
      </c>
      <c r="AH934">
        <f t="shared" si="391"/>
        <v>0.11181201311529841</v>
      </c>
      <c r="AI934">
        <f t="shared" si="391"/>
        <v>0.29617116206993416</v>
      </c>
      <c r="AJ934">
        <f t="shared" si="392"/>
        <v>0.18435914895463573</v>
      </c>
      <c r="AK934">
        <f t="shared" si="393"/>
        <v>0.33581576082604098</v>
      </c>
      <c r="AM934">
        <f t="shared" si="394"/>
        <v>0.20858919214037422</v>
      </c>
      <c r="AN934">
        <f t="shared" si="394"/>
        <v>0.31910753957595339</v>
      </c>
      <c r="AO934">
        <f t="shared" si="395"/>
        <v>0.11051834743557917</v>
      </c>
      <c r="AP934">
        <f t="shared" si="396"/>
        <v>-0.29931617437527841</v>
      </c>
      <c r="AR934" t="str">
        <f t="shared" si="397"/>
        <v/>
      </c>
      <c r="AS934" t="str">
        <f t="shared" si="398"/>
        <v/>
      </c>
      <c r="AT934" t="str">
        <f t="shared" si="399"/>
        <v/>
      </c>
      <c r="AU934" t="str">
        <f t="shared" si="400"/>
        <v/>
      </c>
    </row>
    <row r="935" spans="1:47" x14ac:dyDescent="0.25">
      <c r="A935" s="4">
        <f>DATE(2020,12,30)</f>
        <v>44195</v>
      </c>
      <c r="B935">
        <v>1.3622584420589501E-2</v>
      </c>
      <c r="C935">
        <v>61.09983094786562</v>
      </c>
      <c r="D935">
        <v>0.72546075400106214</v>
      </c>
      <c r="E935">
        <f t="shared" si="376"/>
        <v>3.7185162366291484E-2</v>
      </c>
      <c r="F935">
        <f t="shared" si="377"/>
        <v>0.82859966286807862</v>
      </c>
      <c r="G935">
        <f t="shared" si="378"/>
        <v>0.46957214969343369</v>
      </c>
      <c r="H935" s="2" t="str">
        <f t="shared" si="379"/>
        <v>Higher</v>
      </c>
      <c r="I935" s="2" t="str">
        <f t="shared" si="380"/>
        <v>Higher</v>
      </c>
      <c r="J935" s="2" t="e">
        <f t="shared" si="381"/>
        <v>#DIV/0!</v>
      </c>
      <c r="K935" s="2" t="str">
        <f t="shared" si="382"/>
        <v>Lower</v>
      </c>
      <c r="L935" s="2" t="str">
        <f t="shared" si="383"/>
        <v>Higher</v>
      </c>
      <c r="M935" s="2" t="e">
        <f t="shared" si="384"/>
        <v>#DIV/0!</v>
      </c>
      <c r="N935" s="2" t="str">
        <f t="shared" si="385"/>
        <v>Higher</v>
      </c>
      <c r="O935" s="2" t="str">
        <f t="shared" si="386"/>
        <v>Higher</v>
      </c>
      <c r="P935" s="2" t="e">
        <f t="shared" si="387"/>
        <v>#DIV/0!</v>
      </c>
      <c r="X935" s="4">
        <f>DATE(2020,12,30)</f>
        <v>44195</v>
      </c>
      <c r="Y935">
        <v>29.382750958833938</v>
      </c>
      <c r="Z935">
        <v>54.862295779828884</v>
      </c>
      <c r="AA935">
        <v>32.449999999999996</v>
      </c>
      <c r="AB935">
        <v>19.068750000000001</v>
      </c>
      <c r="AC935">
        <f t="shared" si="388"/>
        <v>2.3226045998103972E-2</v>
      </c>
      <c r="AD935">
        <f t="shared" si="388"/>
        <v>8.3566882538805912E-2</v>
      </c>
      <c r="AE935">
        <f t="shared" si="389"/>
        <v>6.0340836540701936E-2</v>
      </c>
      <c r="AF935">
        <f t="shared" si="390"/>
        <v>0.13487911196939706</v>
      </c>
      <c r="AH935">
        <f t="shared" si="391"/>
        <v>0.10126004861055952</v>
      </c>
      <c r="AI935">
        <f t="shared" si="391"/>
        <v>0.25325478405904872</v>
      </c>
      <c r="AJ935">
        <f t="shared" si="392"/>
        <v>0.15199473544848918</v>
      </c>
      <c r="AK935">
        <f t="shared" si="393"/>
        <v>0.17765233770630329</v>
      </c>
      <c r="AM935">
        <f t="shared" si="394"/>
        <v>0.18201343785760835</v>
      </c>
      <c r="AN935">
        <f t="shared" si="394"/>
        <v>0.33513586349567126</v>
      </c>
      <c r="AO935">
        <f t="shared" si="395"/>
        <v>0.15312242563806291</v>
      </c>
      <c r="AP935">
        <f t="shared" si="396"/>
        <v>-0.16433266907350635</v>
      </c>
      <c r="AR935" t="str">
        <f t="shared" si="397"/>
        <v/>
      </c>
      <c r="AS935" t="str">
        <f t="shared" si="398"/>
        <v/>
      </c>
      <c r="AT935" t="str">
        <f t="shared" si="399"/>
        <v/>
      </c>
      <c r="AU935" t="str">
        <f t="shared" si="400"/>
        <v/>
      </c>
    </row>
    <row r="936" spans="1:47" x14ac:dyDescent="0.25">
      <c r="A936" s="4">
        <f>DATE(2020,12,29)</f>
        <v>44194</v>
      </c>
      <c r="B936">
        <v>7.5694046446483698E-2</v>
      </c>
      <c r="C936">
        <v>68.168170164588261</v>
      </c>
      <c r="D936">
        <v>0.92017202593444336</v>
      </c>
      <c r="E936">
        <f t="shared" si="376"/>
        <v>0.32128552231084667</v>
      </c>
      <c r="F936">
        <f t="shared" si="377"/>
        <v>1.5778840858831815</v>
      </c>
      <c r="G936">
        <f t="shared" si="378"/>
        <v>1.0419398038904009</v>
      </c>
      <c r="H936" s="2" t="str">
        <f t="shared" si="379"/>
        <v>Higher</v>
      </c>
      <c r="I936" s="2" t="str">
        <f t="shared" si="380"/>
        <v>Higher</v>
      </c>
      <c r="J936" s="2" t="e">
        <f t="shared" si="381"/>
        <v>#DIV/0!</v>
      </c>
      <c r="K936" s="2" t="str">
        <f t="shared" si="382"/>
        <v>Lower</v>
      </c>
      <c r="L936" s="2" t="str">
        <f t="shared" si="383"/>
        <v>Higher</v>
      </c>
      <c r="M936" s="2" t="e">
        <f t="shared" si="384"/>
        <v>#DIV/0!</v>
      </c>
      <c r="N936" s="2" t="str">
        <f t="shared" si="385"/>
        <v>Higher</v>
      </c>
      <c r="O936" s="2" t="str">
        <f t="shared" si="386"/>
        <v>Higher</v>
      </c>
      <c r="P936" s="2" t="e">
        <f t="shared" si="387"/>
        <v>#DIV/0!</v>
      </c>
      <c r="X936" s="4">
        <f>DATE(2020,12,29)</f>
        <v>44194</v>
      </c>
      <c r="Y936">
        <v>32.448674128574851</v>
      </c>
      <c r="Z936">
        <v>54.853648182043237</v>
      </c>
      <c r="AA936">
        <v>33.015000000000001</v>
      </c>
      <c r="AB936">
        <v>18.831249999999997</v>
      </c>
      <c r="AC936">
        <f t="shared" si="388"/>
        <v>6.2168672555863932E-2</v>
      </c>
      <c r="AD936">
        <f t="shared" si="388"/>
        <v>7.0535001592450297E-2</v>
      </c>
      <c r="AE936">
        <f t="shared" si="389"/>
        <v>8.3663290365863646E-3</v>
      </c>
      <c r="AF936">
        <f t="shared" si="390"/>
        <v>-0.35220519757254937</v>
      </c>
      <c r="AH936">
        <f t="shared" si="391"/>
        <v>0.12596613071750057</v>
      </c>
      <c r="AI936">
        <f t="shared" si="391"/>
        <v>0.22630153615429463</v>
      </c>
      <c r="AJ936">
        <f t="shared" si="392"/>
        <v>0.10033540543679406</v>
      </c>
      <c r="AK936">
        <f t="shared" si="393"/>
        <v>-7.4576739980389647E-2</v>
      </c>
      <c r="AM936">
        <f t="shared" si="394"/>
        <v>0.20940002098988705</v>
      </c>
      <c r="AN936">
        <f t="shared" si="394"/>
        <v>0.34775368866876605</v>
      </c>
      <c r="AO936">
        <f t="shared" si="395"/>
        <v>0.13835366767887899</v>
      </c>
      <c r="AP936">
        <f t="shared" si="396"/>
        <v>-0.21375604900958389</v>
      </c>
      <c r="AR936" t="str">
        <f t="shared" si="397"/>
        <v/>
      </c>
      <c r="AS936" t="str">
        <f t="shared" si="398"/>
        <v/>
      </c>
      <c r="AT936" t="str">
        <f t="shared" si="399"/>
        <v/>
      </c>
      <c r="AU936" t="str">
        <f t="shared" si="400"/>
        <v/>
      </c>
    </row>
    <row r="937" spans="1:47" x14ac:dyDescent="0.25">
      <c r="A937" s="4">
        <f>DATE(2020,12,28)</f>
        <v>44193</v>
      </c>
      <c r="B937">
        <v>6.661180879653239E-2</v>
      </c>
      <c r="C937">
        <v>72.08663619142304</v>
      </c>
      <c r="D937">
        <v>1.065862597629009</v>
      </c>
      <c r="E937">
        <f t="shared" si="376"/>
        <v>0.28150682828544205</v>
      </c>
      <c r="F937">
        <f t="shared" si="377"/>
        <v>2.0181656720715448</v>
      </c>
      <c r="G937">
        <f t="shared" si="378"/>
        <v>1.4784086293095469</v>
      </c>
      <c r="H937" s="2" t="str">
        <f t="shared" si="379"/>
        <v>Higher</v>
      </c>
      <c r="I937" s="2" t="str">
        <f t="shared" si="380"/>
        <v>Higher</v>
      </c>
      <c r="J937" s="2" t="e">
        <f t="shared" si="381"/>
        <v>#DIV/0!</v>
      </c>
      <c r="K937" s="2" t="str">
        <f t="shared" si="382"/>
        <v>Lower</v>
      </c>
      <c r="L937" s="2" t="str">
        <f t="shared" si="383"/>
        <v>Higher</v>
      </c>
      <c r="M937" s="2" t="e">
        <f t="shared" si="384"/>
        <v>#DIV/0!</v>
      </c>
      <c r="N937" s="2" t="str">
        <f t="shared" si="385"/>
        <v>Higher</v>
      </c>
      <c r="O937" s="2" t="str">
        <f t="shared" si="386"/>
        <v>Higher</v>
      </c>
      <c r="P937" s="2" t="e">
        <f t="shared" si="387"/>
        <v>#DIV/0!</v>
      </c>
      <c r="X937" s="4">
        <f>DATE(2020,12,28)</f>
        <v>44193</v>
      </c>
      <c r="Y937">
        <v>34.451503027308505</v>
      </c>
      <c r="Z937">
        <v>57.362366322317484</v>
      </c>
      <c r="AA937">
        <v>33.177499999999995</v>
      </c>
      <c r="AB937">
        <v>19.149999999999999</v>
      </c>
      <c r="AC937">
        <f t="shared" si="388"/>
        <v>8.0381850399349211E-2</v>
      </c>
      <c r="AD937">
        <f t="shared" si="388"/>
        <v>0.13854206010233061</v>
      </c>
      <c r="AE937">
        <f t="shared" si="389"/>
        <v>5.81602097029814E-2</v>
      </c>
      <c r="AF937">
        <f t="shared" si="390"/>
        <v>0.11130081523396036</v>
      </c>
      <c r="AH937">
        <f t="shared" si="391"/>
        <v>0.13699281634122348</v>
      </c>
      <c r="AI937">
        <f t="shared" si="391"/>
        <v>0.23711140637307837</v>
      </c>
      <c r="AJ937">
        <f t="shared" si="392"/>
        <v>0.10011859003185489</v>
      </c>
      <c r="AK937">
        <f t="shared" si="393"/>
        <v>-7.5894451154403852E-2</v>
      </c>
      <c r="AM937">
        <f t="shared" si="394"/>
        <v>0.20566476752474294</v>
      </c>
      <c r="AN937">
        <f t="shared" si="394"/>
        <v>0.35835483234125559</v>
      </c>
      <c r="AO937">
        <f t="shared" si="395"/>
        <v>0.15269006481651265</v>
      </c>
      <c r="AP937">
        <f t="shared" si="396"/>
        <v>-0.16937921702627534</v>
      </c>
      <c r="AR937" t="str">
        <f t="shared" si="397"/>
        <v/>
      </c>
      <c r="AS937" t="str">
        <f t="shared" si="398"/>
        <v/>
      </c>
      <c r="AT937" t="str">
        <f t="shared" si="399"/>
        <v/>
      </c>
      <c r="AU937" t="str">
        <f t="shared" si="400"/>
        <v/>
      </c>
    </row>
    <row r="938" spans="1:47" x14ac:dyDescent="0.25">
      <c r="A938" s="4">
        <f>DATE(2020,12,25)</f>
        <v>44190</v>
      </c>
      <c r="E938">
        <f t="shared" si="376"/>
        <v>-1.9287594326394944E-2</v>
      </c>
      <c r="F938">
        <f t="shared" si="377"/>
        <v>-5.6761200764988367</v>
      </c>
      <c r="G938">
        <f t="shared" si="378"/>
        <v>-1.6377026118442599</v>
      </c>
      <c r="H938" s="2" t="str">
        <f t="shared" si="379"/>
        <v>Higher</v>
      </c>
      <c r="I938" s="2" t="str">
        <f t="shared" si="380"/>
        <v>Higher</v>
      </c>
      <c r="J938" s="2" t="e">
        <f t="shared" si="381"/>
        <v>#DIV/0!</v>
      </c>
      <c r="K938" s="2" t="str">
        <f t="shared" si="382"/>
        <v>Lower</v>
      </c>
      <c r="L938" s="2" t="str">
        <f t="shared" si="383"/>
        <v>Higher</v>
      </c>
      <c r="M938" s="2" t="e">
        <f t="shared" si="384"/>
        <v>#DIV/0!</v>
      </c>
      <c r="N938" s="2" t="str">
        <f t="shared" si="385"/>
        <v>Higher</v>
      </c>
      <c r="O938" s="2" t="str">
        <f t="shared" si="386"/>
        <v>Higher</v>
      </c>
      <c r="P938" s="2" t="e">
        <f t="shared" si="387"/>
        <v>#DIV/0!</v>
      </c>
      <c r="X938" s="4">
        <f>DATE(2020,12,25)</f>
        <v>44190</v>
      </c>
      <c r="AC938" t="str">
        <f t="shared" si="388"/>
        <v/>
      </c>
      <c r="AD938" t="str">
        <f t="shared" si="388"/>
        <v/>
      </c>
      <c r="AE938" t="str">
        <f t="shared" si="389"/>
        <v/>
      </c>
      <c r="AF938" t="str">
        <f t="shared" si="390"/>
        <v/>
      </c>
      <c r="AH938" t="str">
        <f t="shared" si="391"/>
        <v/>
      </c>
      <c r="AI938" t="str">
        <f t="shared" si="391"/>
        <v/>
      </c>
      <c r="AJ938" t="str">
        <f t="shared" si="392"/>
        <v/>
      </c>
      <c r="AK938" t="str">
        <f t="shared" si="393"/>
        <v/>
      </c>
      <c r="AM938" t="str">
        <f t="shared" si="394"/>
        <v/>
      </c>
      <c r="AN938" t="str">
        <f t="shared" si="394"/>
        <v/>
      </c>
      <c r="AO938" t="str">
        <f t="shared" si="395"/>
        <v/>
      </c>
      <c r="AP938" t="str">
        <f t="shared" si="396"/>
        <v/>
      </c>
      <c r="AR938" t="str">
        <f t="shared" si="397"/>
        <v/>
      </c>
      <c r="AS938" t="str">
        <f t="shared" si="398"/>
        <v/>
      </c>
      <c r="AT938" t="str">
        <f t="shared" si="399"/>
        <v/>
      </c>
      <c r="AU938" t="str">
        <f t="shared" si="400"/>
        <v/>
      </c>
    </row>
    <row r="939" spans="1:47" x14ac:dyDescent="0.25">
      <c r="A939" s="4">
        <f>DATE(2020,12,24)</f>
        <v>44189</v>
      </c>
      <c r="B939">
        <v>-1.321248120571239E-2</v>
      </c>
      <c r="C939">
        <v>66.814852084614003</v>
      </c>
      <c r="D939">
        <v>0.86331229065649784</v>
      </c>
      <c r="E939">
        <f t="shared" si="376"/>
        <v>-7.9224074267806338E-2</v>
      </c>
      <c r="F939">
        <f t="shared" si="377"/>
        <v>1.5004190025806905</v>
      </c>
      <c r="G939">
        <f t="shared" si="378"/>
        <v>0.90402965515526545</v>
      </c>
      <c r="H939" s="2" t="str">
        <f t="shared" si="379"/>
        <v>Higher</v>
      </c>
      <c r="I939" s="2" t="str">
        <f t="shared" si="380"/>
        <v>Higher</v>
      </c>
      <c r="J939" s="2" t="e">
        <f t="shared" si="381"/>
        <v>#DIV/0!</v>
      </c>
      <c r="K939" s="2" t="str">
        <f t="shared" si="382"/>
        <v>Lower</v>
      </c>
      <c r="L939" s="2" t="str">
        <f t="shared" si="383"/>
        <v>Higher</v>
      </c>
      <c r="M939" s="2" t="e">
        <f t="shared" si="384"/>
        <v>#DIV/0!</v>
      </c>
      <c r="N939" s="2" t="str">
        <f t="shared" si="385"/>
        <v>Higher</v>
      </c>
      <c r="O939" s="2" t="str">
        <f t="shared" si="386"/>
        <v>Higher</v>
      </c>
      <c r="P939" s="2" t="e">
        <f t="shared" si="387"/>
        <v>#DIV/0!</v>
      </c>
      <c r="X939" s="4">
        <f>DATE(2020,12,24)</f>
        <v>44189</v>
      </c>
      <c r="Y939">
        <v>29.591063089482468</v>
      </c>
      <c r="Z939">
        <v>48.637281367951616</v>
      </c>
      <c r="AA939">
        <v>32.142499999999998</v>
      </c>
      <c r="AB939">
        <v>17.649999999999999</v>
      </c>
      <c r="AC939">
        <f t="shared" si="388"/>
        <v>5.9287169525343922E-3</v>
      </c>
      <c r="AD939">
        <f t="shared" si="388"/>
        <v>9.6507780494532319E-2</v>
      </c>
      <c r="AE939">
        <f t="shared" si="389"/>
        <v>9.0579063541997934E-2</v>
      </c>
      <c r="AF939">
        <f t="shared" si="390"/>
        <v>0.40916279544673811</v>
      </c>
      <c r="AH939">
        <f t="shared" si="391"/>
        <v>0.13940422461065724</v>
      </c>
      <c r="AI939" t="str">
        <f t="shared" si="391"/>
        <v/>
      </c>
      <c r="AJ939" t="str">
        <f t="shared" si="392"/>
        <v/>
      </c>
      <c r="AK939" t="str">
        <f t="shared" si="393"/>
        <v/>
      </c>
      <c r="AM939">
        <f t="shared" si="394"/>
        <v>0.18720239170154232</v>
      </c>
      <c r="AN939">
        <f t="shared" si="394"/>
        <v>0.28909950713275429</v>
      </c>
      <c r="AO939">
        <f t="shared" si="395"/>
        <v>0.10189711543121197</v>
      </c>
      <c r="AP939">
        <f t="shared" si="396"/>
        <v>-0.34259975787159158</v>
      </c>
      <c r="AR939" t="str">
        <f t="shared" si="397"/>
        <v/>
      </c>
      <c r="AS939" t="str">
        <f t="shared" si="398"/>
        <v/>
      </c>
      <c r="AT939" t="str">
        <f t="shared" si="399"/>
        <v/>
      </c>
      <c r="AU939" t="str">
        <f t="shared" si="400"/>
        <v/>
      </c>
    </row>
    <row r="940" spans="1:47" x14ac:dyDescent="0.25">
      <c r="A940" s="4">
        <f>DATE(2020,12,23)</f>
        <v>44188</v>
      </c>
      <c r="B940">
        <v>-2.894786253290671E-2</v>
      </c>
      <c r="C940">
        <v>65.508318758183393</v>
      </c>
      <c r="D940">
        <v>0.83436397499515913</v>
      </c>
      <c r="E940">
        <f t="shared" si="376"/>
        <v>-0.15064102172759425</v>
      </c>
      <c r="F940">
        <f t="shared" si="377"/>
        <v>1.3822189235299307</v>
      </c>
      <c r="G940">
        <f t="shared" si="378"/>
        <v>0.82649550908921365</v>
      </c>
      <c r="H940" s="2" t="str">
        <f t="shared" si="379"/>
        <v>Higher</v>
      </c>
      <c r="I940" s="2" t="str">
        <f t="shared" si="380"/>
        <v>Higher</v>
      </c>
      <c r="J940" s="2" t="e">
        <f t="shared" si="381"/>
        <v>#DIV/0!</v>
      </c>
      <c r="K940" s="2" t="str">
        <f t="shared" si="382"/>
        <v>Lower</v>
      </c>
      <c r="L940" s="2" t="str">
        <f t="shared" si="383"/>
        <v>Higher</v>
      </c>
      <c r="M940" s="2" t="e">
        <f t="shared" si="384"/>
        <v>#DIV/0!</v>
      </c>
      <c r="N940" s="2" t="str">
        <f t="shared" si="385"/>
        <v>Higher</v>
      </c>
      <c r="O940" s="2" t="str">
        <f t="shared" si="386"/>
        <v>Higher</v>
      </c>
      <c r="P940" s="2" t="e">
        <f t="shared" si="387"/>
        <v>#DIV/0!</v>
      </c>
      <c r="X940" s="4">
        <f>DATE(2020,12,23)</f>
        <v>44188</v>
      </c>
      <c r="Y940">
        <v>27.850904583858739</v>
      </c>
      <c r="Z940">
        <v>49.547381842324008</v>
      </c>
      <c r="AA940">
        <v>31.705000000000002</v>
      </c>
      <c r="AB940">
        <v>17.54</v>
      </c>
      <c r="AC940">
        <f t="shared" si="388"/>
        <v>-5.1907312772500828E-3</v>
      </c>
      <c r="AD940">
        <f t="shared" si="388"/>
        <v>6.0063562022133289E-2</v>
      </c>
      <c r="AE940">
        <f t="shared" si="389"/>
        <v>6.525429329938337E-2</v>
      </c>
      <c r="AF940">
        <f t="shared" si="390"/>
        <v>0.17679002935609572</v>
      </c>
      <c r="AH940">
        <f t="shared" si="391"/>
        <v>0.134230039306761</v>
      </c>
      <c r="AI940">
        <f t="shared" si="391"/>
        <v>0.22658804576503364</v>
      </c>
      <c r="AJ940">
        <f t="shared" si="392"/>
        <v>9.2358006458272635E-2</v>
      </c>
      <c r="AK940">
        <f t="shared" si="393"/>
        <v>-0.12419980612742007</v>
      </c>
      <c r="AM940">
        <f t="shared" si="394"/>
        <v>0.16499887986945064</v>
      </c>
      <c r="AN940">
        <f t="shared" si="394"/>
        <v>0.27973200218632049</v>
      </c>
      <c r="AO940">
        <f t="shared" si="395"/>
        <v>0.11473312231686986</v>
      </c>
      <c r="AP940">
        <f t="shared" si="396"/>
        <v>-0.30577635552811749</v>
      </c>
      <c r="AR940" t="str">
        <f t="shared" si="397"/>
        <v/>
      </c>
      <c r="AS940" t="str">
        <f t="shared" si="398"/>
        <v/>
      </c>
      <c r="AT940" t="str">
        <f t="shared" si="399"/>
        <v/>
      </c>
      <c r="AU940" t="str">
        <f t="shared" si="400"/>
        <v/>
      </c>
    </row>
    <row r="941" spans="1:47" x14ac:dyDescent="0.25">
      <c r="A941" s="4">
        <f>DATE(2020,12,22)</f>
        <v>44187</v>
      </c>
      <c r="B941">
        <v>-4.0945702907908554E-2</v>
      </c>
      <c r="C941">
        <v>61.493505048945877</v>
      </c>
      <c r="D941">
        <v>0.69955295470866641</v>
      </c>
      <c r="E941">
        <f t="shared" si="376"/>
        <v>-0.20528039593436104</v>
      </c>
      <c r="F941">
        <f t="shared" si="377"/>
        <v>0.96555954133032873</v>
      </c>
      <c r="G941">
        <f t="shared" si="378"/>
        <v>0.43699898520085984</v>
      </c>
      <c r="H941" s="2" t="str">
        <f t="shared" si="379"/>
        <v>Higher</v>
      </c>
      <c r="I941" s="2" t="str">
        <f t="shared" si="380"/>
        <v>Higher</v>
      </c>
      <c r="J941" s="2" t="e">
        <f t="shared" si="381"/>
        <v>#DIV/0!</v>
      </c>
      <c r="K941" s="2" t="str">
        <f t="shared" si="382"/>
        <v>Higher</v>
      </c>
      <c r="L941" s="2" t="str">
        <f t="shared" si="383"/>
        <v>Higher</v>
      </c>
      <c r="M941" s="2" t="e">
        <f t="shared" si="384"/>
        <v>#DIV/0!</v>
      </c>
      <c r="N941" s="2" t="str">
        <f t="shared" si="385"/>
        <v>Higher</v>
      </c>
      <c r="O941" s="2" t="str">
        <f t="shared" si="386"/>
        <v>Higher</v>
      </c>
      <c r="P941" s="2" t="e">
        <f t="shared" si="387"/>
        <v>#DIV/0!</v>
      </c>
      <c r="X941" s="4">
        <f>DATE(2020,12,22)</f>
        <v>44187</v>
      </c>
      <c r="Y941">
        <v>25.415767766855208</v>
      </c>
      <c r="Z941">
        <v>50.454275993730668</v>
      </c>
      <c r="AA941">
        <v>31.024999999999999</v>
      </c>
      <c r="AB941">
        <v>17.548749999999998</v>
      </c>
      <c r="AC941">
        <f t="shared" si="388"/>
        <v>-2.8439441490937214E-2</v>
      </c>
      <c r="AD941">
        <f t="shared" si="388"/>
        <v>2.6269822681769247E-2</v>
      </c>
      <c r="AE941">
        <f t="shared" si="389"/>
        <v>5.4709264172706461E-2</v>
      </c>
      <c r="AF941">
        <f t="shared" si="390"/>
        <v>8.0450409975011836E-2</v>
      </c>
      <c r="AH941">
        <f t="shared" si="391"/>
        <v>0.12224503035983492</v>
      </c>
      <c r="AI941">
        <f t="shared" si="391"/>
        <v>0.24122033772440291</v>
      </c>
      <c r="AJ941">
        <f t="shared" si="392"/>
        <v>0.11897530736456799</v>
      </c>
      <c r="AK941">
        <f t="shared" si="393"/>
        <v>3.4207017543204533E-3</v>
      </c>
      <c r="AM941">
        <f t="shared" si="394"/>
        <v>0.13941953524974512</v>
      </c>
      <c r="AN941">
        <f t="shared" si="394"/>
        <v>0.35001173464872842</v>
      </c>
      <c r="AO941">
        <f t="shared" si="395"/>
        <v>0.2105921993989833</v>
      </c>
      <c r="AP941">
        <f t="shared" si="396"/>
        <v>5.1832932392298177E-3</v>
      </c>
      <c r="AR941" t="str">
        <f t="shared" si="397"/>
        <v/>
      </c>
      <c r="AS941" t="str">
        <f t="shared" si="398"/>
        <v/>
      </c>
      <c r="AT941" t="str">
        <f t="shared" si="399"/>
        <v/>
      </c>
      <c r="AU941" t="str">
        <f t="shared" si="400"/>
        <v/>
      </c>
    </row>
    <row r="942" spans="1:47" x14ac:dyDescent="0.25">
      <c r="A942" s="4">
        <f>DATE(2020,12,21)</f>
        <v>44186</v>
      </c>
      <c r="B942">
        <v>4.826277910036314E-3</v>
      </c>
      <c r="C942">
        <v>60.034899331280634</v>
      </c>
      <c r="D942">
        <v>0.66935682879640579</v>
      </c>
      <c r="E942">
        <f t="shared" si="376"/>
        <v>-1.4759256247187068E-3</v>
      </c>
      <c r="F942">
        <f t="shared" si="377"/>
        <v>0.81613740338067697</v>
      </c>
      <c r="G942">
        <f t="shared" si="378"/>
        <v>0.35107486761049511</v>
      </c>
      <c r="H942" s="2" t="str">
        <f t="shared" si="379"/>
        <v>Higher</v>
      </c>
      <c r="I942" s="2" t="str">
        <f t="shared" si="380"/>
        <v>Higher</v>
      </c>
      <c r="J942" s="2" t="e">
        <f t="shared" si="381"/>
        <v>#DIV/0!</v>
      </c>
      <c r="K942" s="2" t="str">
        <f t="shared" si="382"/>
        <v>Higher</v>
      </c>
      <c r="L942" s="2" t="str">
        <f t="shared" si="383"/>
        <v>Higher</v>
      </c>
      <c r="M942" s="2" t="e">
        <f t="shared" si="384"/>
        <v>#DIV/0!</v>
      </c>
      <c r="N942" s="2" t="str">
        <f t="shared" si="385"/>
        <v>Higher</v>
      </c>
      <c r="O942" s="2" t="str">
        <f t="shared" si="386"/>
        <v>Higher</v>
      </c>
      <c r="P942" s="2" t="e">
        <f t="shared" si="387"/>
        <v>#DIV/0!</v>
      </c>
      <c r="X942" s="4">
        <f>DATE(2020,12,21)</f>
        <v>44186</v>
      </c>
      <c r="Y942">
        <v>24.262343696404169</v>
      </c>
      <c r="Z942">
        <v>45.14126064273308</v>
      </c>
      <c r="AA942">
        <v>30.615000000000002</v>
      </c>
      <c r="AB942">
        <v>16.672499999999999</v>
      </c>
      <c r="AC942">
        <f t="shared" si="388"/>
        <v>-7.6466654214789433E-3</v>
      </c>
      <c r="AD942">
        <f t="shared" si="388"/>
        <v>1.5756896901064103E-3</v>
      </c>
      <c r="AE942">
        <f t="shared" si="389"/>
        <v>9.2223551115853536E-3</v>
      </c>
      <c r="AF942">
        <f t="shared" si="390"/>
        <v>-0.33594796286041495</v>
      </c>
      <c r="AH942">
        <f t="shared" si="391"/>
        <v>0.1152446139248101</v>
      </c>
      <c r="AI942">
        <f t="shared" si="391"/>
        <v>0.21116356695949173</v>
      </c>
      <c r="AJ942">
        <f t="shared" si="392"/>
        <v>9.5918953034681634E-2</v>
      </c>
      <c r="AK942">
        <f t="shared" si="393"/>
        <v>-0.10687270488960257</v>
      </c>
      <c r="AM942">
        <f t="shared" si="394"/>
        <v>0.11496975020967078</v>
      </c>
      <c r="AN942">
        <f t="shared" si="394"/>
        <v>0.3082347185335883</v>
      </c>
      <c r="AO942">
        <f t="shared" si="395"/>
        <v>0.19326496832391754</v>
      </c>
      <c r="AP942">
        <f t="shared" si="396"/>
        <v>-5.1741417301740505E-2</v>
      </c>
      <c r="AR942" t="str">
        <f t="shared" si="397"/>
        <v/>
      </c>
      <c r="AS942" t="str">
        <f t="shared" si="398"/>
        <v/>
      </c>
      <c r="AT942" t="str">
        <f t="shared" si="399"/>
        <v/>
      </c>
      <c r="AU942" t="str">
        <f t="shared" si="400"/>
        <v/>
      </c>
    </row>
    <row r="943" spans="1:47" x14ac:dyDescent="0.25">
      <c r="A943" s="4">
        <f>DATE(2020,12,18)</f>
        <v>44183</v>
      </c>
      <c r="B943">
        <v>8.6863012353650904E-2</v>
      </c>
      <c r="C943">
        <v>61.790277561598117</v>
      </c>
      <c r="D943">
        <v>0.72608092338265162</v>
      </c>
      <c r="E943">
        <f t="shared" si="376"/>
        <v>0.36383119648513745</v>
      </c>
      <c r="F943">
        <f t="shared" si="377"/>
        <v>1.0127739863853462</v>
      </c>
      <c r="G943">
        <f t="shared" si="378"/>
        <v>0.51822928648674771</v>
      </c>
      <c r="H943" s="2" t="str">
        <f t="shared" si="379"/>
        <v>Higher</v>
      </c>
      <c r="I943" s="2" t="str">
        <f t="shared" si="380"/>
        <v>Higher</v>
      </c>
      <c r="J943" s="2" t="e">
        <f t="shared" si="381"/>
        <v>#DIV/0!</v>
      </c>
      <c r="K943" s="2" t="str">
        <f t="shared" si="382"/>
        <v>Higher</v>
      </c>
      <c r="L943" s="2" t="str">
        <f t="shared" si="383"/>
        <v>Higher</v>
      </c>
      <c r="M943" s="2" t="e">
        <f t="shared" si="384"/>
        <v>#DIV/0!</v>
      </c>
      <c r="N943" s="2" t="str">
        <f t="shared" si="385"/>
        <v>Higher</v>
      </c>
      <c r="O943" s="2" t="str">
        <f t="shared" si="386"/>
        <v>Higher</v>
      </c>
      <c r="P943" s="2" t="e">
        <f t="shared" si="387"/>
        <v>#DIV/0!</v>
      </c>
      <c r="X943" s="4">
        <f>DATE(2020,12,18)</f>
        <v>44183</v>
      </c>
      <c r="Y943">
        <v>26.732895950840852</v>
      </c>
      <c r="Z943">
        <v>39.291301958671866</v>
      </c>
      <c r="AA943">
        <v>31.245000000000001</v>
      </c>
      <c r="AB943">
        <v>15.858750000000001</v>
      </c>
      <c r="AC943">
        <f t="shared" si="388"/>
        <v>1.8900489937377061E-2</v>
      </c>
      <c r="AD943">
        <f t="shared" si="388"/>
        <v>4.0279642186224944E-3</v>
      </c>
      <c r="AE943">
        <f t="shared" si="389"/>
        <v>-1.4872525718754567E-2</v>
      </c>
      <c r="AF943">
        <f t="shared" si="390"/>
        <v>-0.55741184052497628</v>
      </c>
      <c r="AH943">
        <f t="shared" si="391"/>
        <v>0.15832002518712199</v>
      </c>
      <c r="AI943">
        <f t="shared" si="391"/>
        <v>0.21232500741583782</v>
      </c>
      <c r="AJ943">
        <f t="shared" si="392"/>
        <v>5.4004982228715831E-2</v>
      </c>
      <c r="AK943">
        <f t="shared" si="393"/>
        <v>-0.30666244145906363</v>
      </c>
      <c r="AM943">
        <f t="shared" si="394"/>
        <v>0.17229042419732615</v>
      </c>
      <c r="AN943">
        <f t="shared" si="394"/>
        <v>0.31217765235379219</v>
      </c>
      <c r="AO943">
        <f t="shared" si="395"/>
        <v>0.13988722815646604</v>
      </c>
      <c r="AP943">
        <f t="shared" si="396"/>
        <v>-0.2278164749236653</v>
      </c>
      <c r="AR943" t="str">
        <f t="shared" si="397"/>
        <v/>
      </c>
      <c r="AS943" t="str">
        <f t="shared" si="398"/>
        <v/>
      </c>
      <c r="AT943" t="str">
        <f t="shared" si="399"/>
        <v/>
      </c>
      <c r="AU943" t="str">
        <f t="shared" si="400"/>
        <v/>
      </c>
    </row>
    <row r="944" spans="1:47" x14ac:dyDescent="0.25">
      <c r="A944" s="4">
        <f>DATE(2020,12,17)</f>
        <v>44182</v>
      </c>
      <c r="B944">
        <v>0.17206076588996799</v>
      </c>
      <c r="C944">
        <v>69.520136883816093</v>
      </c>
      <c r="D944">
        <v>0.88871268820607863</v>
      </c>
      <c r="E944">
        <f t="shared" si="376"/>
        <v>0.74359909733766505</v>
      </c>
      <c r="F944">
        <f t="shared" si="377"/>
        <v>1.8602013208948454</v>
      </c>
      <c r="G944">
        <f t="shared" si="378"/>
        <v>0.99361017474005775</v>
      </c>
      <c r="H944" s="2" t="str">
        <f t="shared" si="379"/>
        <v>Higher</v>
      </c>
      <c r="I944" s="2" t="str">
        <f t="shared" si="380"/>
        <v>Higher</v>
      </c>
      <c r="J944" s="2" t="e">
        <f t="shared" si="381"/>
        <v>#DIV/0!</v>
      </c>
      <c r="K944" s="2" t="str">
        <f t="shared" si="382"/>
        <v>Higher</v>
      </c>
      <c r="L944" s="2" t="str">
        <f t="shared" si="383"/>
        <v>Higher</v>
      </c>
      <c r="M944" s="2" t="e">
        <f t="shared" si="384"/>
        <v>#DIV/0!</v>
      </c>
      <c r="N944" s="2" t="str">
        <f t="shared" si="385"/>
        <v>Higher</v>
      </c>
      <c r="O944" s="2" t="str">
        <f t="shared" si="386"/>
        <v>Higher</v>
      </c>
      <c r="P944" s="2" t="e">
        <f t="shared" si="387"/>
        <v>#DIV/0!</v>
      </c>
      <c r="X944" s="4">
        <f>DATE(2020,12,17)</f>
        <v>44182</v>
      </c>
      <c r="Y944">
        <v>29.15224878677002</v>
      </c>
      <c r="Z944">
        <v>40.726264323783774</v>
      </c>
      <c r="AA944">
        <v>31.952500000000001</v>
      </c>
      <c r="AB944">
        <v>16.026250000000001</v>
      </c>
      <c r="AC944">
        <f t="shared" si="388"/>
        <v>4.308703072069929E-2</v>
      </c>
      <c r="AD944">
        <f t="shared" si="388"/>
        <v>3.4921412132009097E-2</v>
      </c>
      <c r="AE944">
        <f t="shared" si="389"/>
        <v>-8.1656185886901933E-3</v>
      </c>
      <c r="AF944">
        <f t="shared" si="390"/>
        <v>-0.49993959555428624</v>
      </c>
      <c r="AH944">
        <f t="shared" si="391"/>
        <v>0.18559739611967102</v>
      </c>
      <c r="AI944">
        <f t="shared" si="391"/>
        <v>0.1994235209299253</v>
      </c>
      <c r="AJ944">
        <f t="shared" si="392"/>
        <v>1.3826124810254276E-2</v>
      </c>
      <c r="AK944">
        <f t="shared" si="393"/>
        <v>-0.49831694901960499</v>
      </c>
      <c r="AM944">
        <f t="shared" si="394"/>
        <v>0.1831512569753998</v>
      </c>
      <c r="AN944">
        <f t="shared" si="394"/>
        <v>0.31346463742887698</v>
      </c>
      <c r="AO944">
        <f t="shared" si="395"/>
        <v>0.13031338045347718</v>
      </c>
      <c r="AP944">
        <f t="shared" si="396"/>
        <v>-0.263071545816217</v>
      </c>
      <c r="AR944" t="str">
        <f t="shared" si="397"/>
        <v/>
      </c>
      <c r="AS944" t="str">
        <f t="shared" si="398"/>
        <v/>
      </c>
      <c r="AT944" t="str">
        <f t="shared" si="399"/>
        <v/>
      </c>
      <c r="AU944" t="str">
        <f t="shared" si="400"/>
        <v/>
      </c>
    </row>
    <row r="945" spans="1:47" x14ac:dyDescent="0.25">
      <c r="A945" s="4">
        <f>DATE(2020,12,16)</f>
        <v>44181</v>
      </c>
      <c r="B945">
        <v>0.18930933711339337</v>
      </c>
      <c r="C945">
        <v>68.760581106764647</v>
      </c>
      <c r="D945">
        <v>0.8927022446336359</v>
      </c>
      <c r="E945">
        <f t="shared" si="376"/>
        <v>0.82552088199383977</v>
      </c>
      <c r="F945">
        <f t="shared" si="377"/>
        <v>1.8183324834343177</v>
      </c>
      <c r="G945">
        <f t="shared" si="378"/>
        <v>1.0148257964017369</v>
      </c>
      <c r="H945" s="2" t="str">
        <f t="shared" si="379"/>
        <v>Higher</v>
      </c>
      <c r="I945" s="2" t="str">
        <f t="shared" si="380"/>
        <v>Higher</v>
      </c>
      <c r="J945" s="2" t="e">
        <f t="shared" si="381"/>
        <v>#DIV/0!</v>
      </c>
      <c r="K945" s="2" t="str">
        <f t="shared" si="382"/>
        <v>Higher</v>
      </c>
      <c r="L945" s="2" t="str">
        <f t="shared" si="383"/>
        <v>Higher</v>
      </c>
      <c r="M945" s="2" t="e">
        <f t="shared" si="384"/>
        <v>#DIV/0!</v>
      </c>
      <c r="N945" s="2" t="str">
        <f t="shared" si="385"/>
        <v>Higher</v>
      </c>
      <c r="O945" s="2" t="str">
        <f t="shared" si="386"/>
        <v>Higher</v>
      </c>
      <c r="P945" s="2" t="e">
        <f t="shared" si="387"/>
        <v>#DIV/0!</v>
      </c>
      <c r="X945" s="4">
        <f>DATE(2020,12,16)</f>
        <v>44181</v>
      </c>
      <c r="Y945">
        <v>31.101816933902033</v>
      </c>
      <c r="Z945">
        <v>43.193280364930708</v>
      </c>
      <c r="AA945">
        <v>31.87</v>
      </c>
      <c r="AB945">
        <v>16.517499999999998</v>
      </c>
      <c r="AC945">
        <f t="shared" si="388"/>
        <v>6.8079979769231178E-2</v>
      </c>
      <c r="AD945">
        <f t="shared" si="388"/>
        <v>0.12074830254769361</v>
      </c>
      <c r="AE945">
        <f t="shared" si="389"/>
        <v>5.2668322778462437E-2</v>
      </c>
      <c r="AF945">
        <f t="shared" si="390"/>
        <v>4.7926289551105006E-2</v>
      </c>
      <c r="AH945">
        <f t="shared" si="391"/>
        <v>0.15093964993116538</v>
      </c>
      <c r="AI945">
        <f t="shared" si="391"/>
        <v>0.18520143752630927</v>
      </c>
      <c r="AJ945">
        <f t="shared" si="392"/>
        <v>3.4261787595143894E-2</v>
      </c>
      <c r="AK945">
        <f t="shared" si="393"/>
        <v>-0.40500887923395218</v>
      </c>
      <c r="AM945">
        <f t="shared" si="394"/>
        <v>0.16805295744702725</v>
      </c>
      <c r="AN945">
        <f t="shared" si="394"/>
        <v>0.32264366814283107</v>
      </c>
      <c r="AO945">
        <f t="shared" si="395"/>
        <v>0.15459071069580382</v>
      </c>
      <c r="AP945">
        <f t="shared" si="396"/>
        <v>-0.18686654109208398</v>
      </c>
      <c r="AR945" t="str">
        <f t="shared" si="397"/>
        <v/>
      </c>
      <c r="AS945" t="str">
        <f t="shared" si="398"/>
        <v/>
      </c>
      <c r="AT945" t="str">
        <f t="shared" si="399"/>
        <v/>
      </c>
      <c r="AU945" t="str">
        <f t="shared" si="400"/>
        <v/>
      </c>
    </row>
    <row r="946" spans="1:47" x14ac:dyDescent="0.25">
      <c r="A946" s="4">
        <f>DATE(2020,12,15)</f>
        <v>44180</v>
      </c>
      <c r="B946">
        <v>0.20322221383528105</v>
      </c>
      <c r="C946">
        <v>72.487907589291822</v>
      </c>
      <c r="D946">
        <v>1.0092346883698062</v>
      </c>
      <c r="E946">
        <f t="shared" si="376"/>
        <v>0.89379822879481496</v>
      </c>
      <c r="F946">
        <f t="shared" si="377"/>
        <v>2.2714893254167281</v>
      </c>
      <c r="G946">
        <f t="shared" si="378"/>
        <v>1.363418822924467</v>
      </c>
      <c r="H946" s="2" t="str">
        <f t="shared" si="379"/>
        <v>Higher</v>
      </c>
      <c r="I946" s="2" t="str">
        <f t="shared" si="380"/>
        <v>Higher</v>
      </c>
      <c r="J946" s="2" t="e">
        <f t="shared" si="381"/>
        <v>#DIV/0!</v>
      </c>
      <c r="K946" s="2" t="str">
        <f t="shared" si="382"/>
        <v>Higher</v>
      </c>
      <c r="L946" s="2" t="str">
        <f t="shared" si="383"/>
        <v>Higher</v>
      </c>
      <c r="M946" s="2" t="e">
        <f t="shared" si="384"/>
        <v>#DIV/0!</v>
      </c>
      <c r="N946" s="2" t="str">
        <f t="shared" si="385"/>
        <v>Higher</v>
      </c>
      <c r="O946" s="2" t="str">
        <f t="shared" si="386"/>
        <v>Higher</v>
      </c>
      <c r="P946" s="2" t="e">
        <f t="shared" si="387"/>
        <v>#DIV/0!</v>
      </c>
      <c r="X946" s="4">
        <f>DATE(2020,12,15)</f>
        <v>44180</v>
      </c>
      <c r="Y946">
        <v>32.839644158519299</v>
      </c>
      <c r="Z946">
        <v>48.70049733180754</v>
      </c>
      <c r="AA946">
        <v>31.92</v>
      </c>
      <c r="AB946">
        <v>17.09375</v>
      </c>
      <c r="AC946">
        <f t="shared" si="388"/>
        <v>7.3686333660314213E-2</v>
      </c>
      <c r="AD946">
        <f t="shared" si="388"/>
        <v>0.16767252415394518</v>
      </c>
      <c r="AE946">
        <f t="shared" si="389"/>
        <v>9.3986190493630967E-2</v>
      </c>
      <c r="AF946">
        <f t="shared" si="390"/>
        <v>0.42025665758737024</v>
      </c>
      <c r="AH946">
        <f t="shared" si="391"/>
        <v>0.17380529176246251</v>
      </c>
      <c r="AI946">
        <f t="shared" si="391"/>
        <v>0.19715868980840887</v>
      </c>
      <c r="AJ946">
        <f t="shared" si="392"/>
        <v>2.3353398045946355E-2</v>
      </c>
      <c r="AK946">
        <f t="shared" si="393"/>
        <v>-0.45847092536742501</v>
      </c>
      <c r="AM946">
        <f t="shared" si="394"/>
        <v>0.15396794798572644</v>
      </c>
      <c r="AN946">
        <f t="shared" si="394"/>
        <v>0.38630791973284251</v>
      </c>
      <c r="AO946">
        <f t="shared" si="395"/>
        <v>0.23233997174711607</v>
      </c>
      <c r="AP946">
        <f t="shared" si="396"/>
        <v>7.1162553927712688E-2</v>
      </c>
      <c r="AR946" t="str">
        <f t="shared" si="397"/>
        <v/>
      </c>
      <c r="AS946" t="str">
        <f t="shared" si="398"/>
        <v/>
      </c>
      <c r="AT946" t="str">
        <f t="shared" si="399"/>
        <v/>
      </c>
      <c r="AU946" t="str">
        <f t="shared" si="400"/>
        <v/>
      </c>
    </row>
    <row r="947" spans="1:47" x14ac:dyDescent="0.25">
      <c r="A947" s="4">
        <f>DATE(2020,12,14)</f>
        <v>44179</v>
      </c>
      <c r="B947">
        <v>0.15228346167727813</v>
      </c>
      <c r="C947">
        <v>67.737962601420676</v>
      </c>
      <c r="D947">
        <v>0.88188544841192285</v>
      </c>
      <c r="E947">
        <f t="shared" si="376"/>
        <v>0.67694364052287692</v>
      </c>
      <c r="F947">
        <f t="shared" si="377"/>
        <v>1.8051996241613115</v>
      </c>
      <c r="G947">
        <f t="shared" si="378"/>
        <v>1.0115091026371323</v>
      </c>
      <c r="H947" s="2" t="str">
        <f t="shared" si="379"/>
        <v>Higher</v>
      </c>
      <c r="I947" s="2" t="str">
        <f t="shared" si="380"/>
        <v>Lower</v>
      </c>
      <c r="J947" s="2" t="e">
        <f t="shared" si="381"/>
        <v>#DIV/0!</v>
      </c>
      <c r="K947" s="2" t="str">
        <f t="shared" si="382"/>
        <v>Higher</v>
      </c>
      <c r="L947" s="2" t="str">
        <f t="shared" si="383"/>
        <v>Higher</v>
      </c>
      <c r="M947" s="2" t="e">
        <f t="shared" si="384"/>
        <v>#DIV/0!</v>
      </c>
      <c r="N947" s="2" t="str">
        <f t="shared" si="385"/>
        <v>Higher</v>
      </c>
      <c r="O947" s="2" t="str">
        <f t="shared" si="386"/>
        <v>Higher</v>
      </c>
      <c r="P947" s="2" t="e">
        <f t="shared" si="387"/>
        <v>#DIV/0!</v>
      </c>
      <c r="X947" s="4">
        <f>DATE(2020,12,14)</f>
        <v>44179</v>
      </c>
      <c r="Y947">
        <v>29.325456471421536</v>
      </c>
      <c r="Z947">
        <v>48.45250092448024</v>
      </c>
      <c r="AA947">
        <v>30.85</v>
      </c>
      <c r="AB947">
        <v>16.646250000000002</v>
      </c>
      <c r="AC947">
        <f t="shared" si="388"/>
        <v>3.9337413641610607E-2</v>
      </c>
      <c r="AD947">
        <f t="shared" si="388"/>
        <v>0.15175061867367096</v>
      </c>
      <c r="AE947">
        <f t="shared" si="389"/>
        <v>0.11241320503206034</v>
      </c>
      <c r="AF947">
        <f t="shared" si="390"/>
        <v>0.58767420491075406</v>
      </c>
      <c r="AH947">
        <f t="shared" si="391"/>
        <v>0.12610361747647281</v>
      </c>
      <c r="AI947">
        <f t="shared" si="391"/>
        <v>0.13786391747613538</v>
      </c>
      <c r="AJ947">
        <f t="shared" si="392"/>
        <v>1.1760299999662577E-2</v>
      </c>
      <c r="AK947">
        <f t="shared" si="393"/>
        <v>-0.51544462653782219</v>
      </c>
      <c r="AM947">
        <f t="shared" si="394"/>
        <v>0.1450351405654888</v>
      </c>
      <c r="AN947">
        <f t="shared" si="394"/>
        <v>0.37146969585291906</v>
      </c>
      <c r="AO947">
        <f t="shared" si="395"/>
        <v>0.22643455528743026</v>
      </c>
      <c r="AP947">
        <f t="shared" si="396"/>
        <v>5.2064712662659877E-2</v>
      </c>
      <c r="AR947" t="str">
        <f t="shared" si="397"/>
        <v/>
      </c>
      <c r="AS947" t="str">
        <f t="shared" si="398"/>
        <v/>
      </c>
      <c r="AT947" t="str">
        <f t="shared" si="399"/>
        <v/>
      </c>
      <c r="AU947" t="str">
        <f t="shared" si="400"/>
        <v/>
      </c>
    </row>
    <row r="948" spans="1:47" x14ac:dyDescent="0.25">
      <c r="A948" s="4">
        <f>DATE(2020,12,11)</f>
        <v>44176</v>
      </c>
      <c r="B948">
        <v>0.16273045037412559</v>
      </c>
      <c r="C948">
        <v>66.402968174880385</v>
      </c>
      <c r="D948">
        <v>0.87798423918885249</v>
      </c>
      <c r="E948">
        <f t="shared" si="376"/>
        <v>0.7278520070193516</v>
      </c>
      <c r="F948">
        <f t="shared" si="377"/>
        <v>1.6915492911970134</v>
      </c>
      <c r="G948">
        <f t="shared" si="378"/>
        <v>1.0104143909174952</v>
      </c>
      <c r="H948" s="2" t="str">
        <f t="shared" si="379"/>
        <v>Higher</v>
      </c>
      <c r="I948" s="2" t="str">
        <f t="shared" si="380"/>
        <v>Lower</v>
      </c>
      <c r="J948" s="2" t="e">
        <f t="shared" si="381"/>
        <v>#DIV/0!</v>
      </c>
      <c r="K948" s="2" t="str">
        <f t="shared" si="382"/>
        <v>Higher</v>
      </c>
      <c r="L948" s="2" t="str">
        <f t="shared" si="383"/>
        <v>Higher</v>
      </c>
      <c r="M948" s="2" t="e">
        <f t="shared" si="384"/>
        <v>#DIV/0!</v>
      </c>
      <c r="N948" s="2" t="str">
        <f t="shared" si="385"/>
        <v>Higher</v>
      </c>
      <c r="O948" s="2" t="str">
        <f t="shared" si="386"/>
        <v>Higher</v>
      </c>
      <c r="P948" s="2" t="e">
        <f t="shared" si="387"/>
        <v>#DIV/0!</v>
      </c>
      <c r="X948" s="4">
        <f>DATE(2020,12,11)</f>
        <v>44176</v>
      </c>
      <c r="Y948">
        <v>30.796827774383718</v>
      </c>
      <c r="Z948">
        <v>41.448300859498154</v>
      </c>
      <c r="AA948">
        <v>30.66</v>
      </c>
      <c r="AB948">
        <v>15.795000000000002</v>
      </c>
      <c r="AC948">
        <f t="shared" si="388"/>
        <v>2.6439081332623671E-2</v>
      </c>
      <c r="AD948">
        <f t="shared" si="388"/>
        <v>7.8415089204827523E-2</v>
      </c>
      <c r="AE948">
        <f t="shared" si="389"/>
        <v>5.1976007872203855E-2</v>
      </c>
      <c r="AF948">
        <f t="shared" si="390"/>
        <v>5.1630943964446008E-2</v>
      </c>
      <c r="AH948">
        <f t="shared" si="391"/>
        <v>0.15872734685467005</v>
      </c>
      <c r="AI948">
        <f t="shared" si="391"/>
        <v>0.10328746630417687</v>
      </c>
      <c r="AJ948">
        <f t="shared" si="392"/>
        <v>-5.5439880550493176E-2</v>
      </c>
      <c r="AK948">
        <f t="shared" si="393"/>
        <v>-0.83204742579808344</v>
      </c>
      <c r="AM948">
        <f t="shared" si="394"/>
        <v>8.4967567685305223E-2</v>
      </c>
      <c r="AN948">
        <f t="shared" si="394"/>
        <v>0.32761634602724843</v>
      </c>
      <c r="AO948">
        <f t="shared" si="395"/>
        <v>0.24264877834194321</v>
      </c>
      <c r="AP948">
        <f t="shared" si="396"/>
        <v>0.10731896907289025</v>
      </c>
      <c r="AR948" t="str">
        <f t="shared" si="397"/>
        <v/>
      </c>
      <c r="AS948" t="str">
        <f t="shared" si="398"/>
        <v/>
      </c>
      <c r="AT948" t="str">
        <f t="shared" si="399"/>
        <v/>
      </c>
      <c r="AU948" t="str">
        <f t="shared" si="400"/>
        <v/>
      </c>
    </row>
    <row r="949" spans="1:47" x14ac:dyDescent="0.25">
      <c r="A949" s="4">
        <f>DATE(2020,12,10)</f>
        <v>44175</v>
      </c>
      <c r="B949">
        <v>0.18119625598297806</v>
      </c>
      <c r="C949">
        <v>69.923543707539679</v>
      </c>
      <c r="D949">
        <v>0.98910700463664125</v>
      </c>
      <c r="E949">
        <f t="shared" si="376"/>
        <v>0.81455842840317561</v>
      </c>
      <c r="F949">
        <f t="shared" si="377"/>
        <v>2.133254448005391</v>
      </c>
      <c r="G949">
        <f t="shared" si="378"/>
        <v>1.3450445913654379</v>
      </c>
      <c r="H949" s="2" t="str">
        <f t="shared" si="379"/>
        <v>Higher</v>
      </c>
      <c r="I949" s="2" t="str">
        <f t="shared" si="380"/>
        <v>Lower</v>
      </c>
      <c r="J949" s="2" t="e">
        <f t="shared" si="381"/>
        <v>#DIV/0!</v>
      </c>
      <c r="K949" s="2" t="str">
        <f t="shared" si="382"/>
        <v>Higher</v>
      </c>
      <c r="L949" s="2" t="str">
        <f t="shared" si="383"/>
        <v>Higher</v>
      </c>
      <c r="M949" s="2" t="e">
        <f t="shared" si="384"/>
        <v>#DIV/0!</v>
      </c>
      <c r="N949" s="2" t="str">
        <f t="shared" si="385"/>
        <v>Higher</v>
      </c>
      <c r="O949" s="2" t="str">
        <f t="shared" si="386"/>
        <v>Lower</v>
      </c>
      <c r="P949" s="2" t="e">
        <f t="shared" si="387"/>
        <v>#DIV/0!</v>
      </c>
      <c r="X949" s="4">
        <f>DATE(2020,12,10)</f>
        <v>44175</v>
      </c>
      <c r="Y949">
        <v>30.858279334010064</v>
      </c>
      <c r="Z949">
        <v>39.495858321779096</v>
      </c>
      <c r="AA949">
        <v>30.605</v>
      </c>
      <c r="AB949">
        <v>15.47625</v>
      </c>
      <c r="AC949">
        <f t="shared" si="388"/>
        <v>4.8279756955484705E-2</v>
      </c>
      <c r="AD949">
        <f t="shared" si="388"/>
        <v>8.4481373110098845E-2</v>
      </c>
      <c r="AE949">
        <f t="shared" si="389"/>
        <v>3.620161615461414E-2</v>
      </c>
      <c r="AF949">
        <f t="shared" si="390"/>
        <v>-8.8214290724179592E-2</v>
      </c>
      <c r="AH949">
        <f t="shared" si="391"/>
        <v>0.16653439972901454</v>
      </c>
      <c r="AI949">
        <f t="shared" si="391"/>
        <v>9.8465139344004235E-2</v>
      </c>
      <c r="AJ949">
        <f t="shared" si="392"/>
        <v>-6.8069260385010308E-2</v>
      </c>
      <c r="AK949">
        <f t="shared" si="393"/>
        <v>-0.89943384176303975</v>
      </c>
      <c r="AM949">
        <f t="shared" si="394"/>
        <v>6.2090938941548934E-2</v>
      </c>
      <c r="AN949">
        <f t="shared" si="394"/>
        <v>0.32172010506421189</v>
      </c>
      <c r="AO949">
        <f t="shared" si="395"/>
        <v>0.25962916612266296</v>
      </c>
      <c r="AP949">
        <f t="shared" si="396"/>
        <v>0.16583784693309875</v>
      </c>
      <c r="AR949" t="str">
        <f t="shared" si="397"/>
        <v/>
      </c>
      <c r="AS949" t="str">
        <f t="shared" si="398"/>
        <v/>
      </c>
      <c r="AT949" t="str">
        <f t="shared" si="399"/>
        <v/>
      </c>
      <c r="AU949" t="str">
        <f t="shared" si="400"/>
        <v/>
      </c>
    </row>
    <row r="950" spans="1:47" x14ac:dyDescent="0.25">
      <c r="A950" s="4">
        <f>DATE(2020,12,9)</f>
        <v>44174</v>
      </c>
      <c r="B950">
        <v>0.1432842945119932</v>
      </c>
      <c r="C950">
        <v>64.386603834395757</v>
      </c>
      <c r="D950">
        <v>0.82227086526606596</v>
      </c>
      <c r="E950">
        <f t="shared" si="376"/>
        <v>0.65526834514442778</v>
      </c>
      <c r="F950">
        <f t="shared" si="377"/>
        <v>1.5423749577546424</v>
      </c>
      <c r="G950">
        <f t="shared" si="378"/>
        <v>0.87567782461697874</v>
      </c>
      <c r="H950" s="2" t="str">
        <f t="shared" si="379"/>
        <v>Higher</v>
      </c>
      <c r="I950" s="2" t="str">
        <f t="shared" si="380"/>
        <v>Lower</v>
      </c>
      <c r="J950" s="2" t="e">
        <f t="shared" si="381"/>
        <v>#DIV/0!</v>
      </c>
      <c r="K950" s="2" t="str">
        <f t="shared" si="382"/>
        <v>Higher</v>
      </c>
      <c r="L950" s="2" t="str">
        <f t="shared" si="383"/>
        <v>Higher</v>
      </c>
      <c r="M950" s="2" t="e">
        <f t="shared" si="384"/>
        <v>#DIV/0!</v>
      </c>
      <c r="N950" s="2" t="str">
        <f t="shared" si="385"/>
        <v>Higher</v>
      </c>
      <c r="O950" s="2" t="str">
        <f t="shared" si="386"/>
        <v>Lower</v>
      </c>
      <c r="P950" s="2" t="e">
        <f t="shared" si="387"/>
        <v>#DIV/0!</v>
      </c>
      <c r="X950" s="4">
        <f>DATE(2020,12,9)</f>
        <v>44174</v>
      </c>
      <c r="Y950">
        <v>27.56767649094094</v>
      </c>
      <c r="Z950">
        <v>32.147857884835048</v>
      </c>
      <c r="AA950">
        <v>29.772500000000001</v>
      </c>
      <c r="AB950">
        <v>14.63875</v>
      </c>
      <c r="AC950">
        <f t="shared" si="388"/>
        <v>1.5144754120474623E-2</v>
      </c>
      <c r="AD950">
        <f t="shared" si="388"/>
        <v>-1.1123963049584063E-2</v>
      </c>
      <c r="AE950">
        <f t="shared" si="389"/>
        <v>-2.6268717170058686E-2</v>
      </c>
      <c r="AF950">
        <f t="shared" si="390"/>
        <v>-0.64030896914764102</v>
      </c>
      <c r="AH950">
        <f t="shared" si="391"/>
        <v>0.12192713835284383</v>
      </c>
      <c r="AI950">
        <f t="shared" si="391"/>
        <v>3.4134192339668128E-2</v>
      </c>
      <c r="AJ950">
        <f t="shared" si="392"/>
        <v>-8.7792946013175693E-2</v>
      </c>
      <c r="AK950">
        <f t="shared" si="393"/>
        <v>-1.0016974001731851</v>
      </c>
      <c r="AM950">
        <f t="shared" si="394"/>
        <v>-1.4264739150553398E-3</v>
      </c>
      <c r="AN950">
        <f t="shared" si="394"/>
        <v>0.25699063166718888</v>
      </c>
      <c r="AO950">
        <f t="shared" si="395"/>
        <v>0.25841710558224423</v>
      </c>
      <c r="AP950">
        <f t="shared" si="396"/>
        <v>0.16354620277878951</v>
      </c>
      <c r="AR950" t="str">
        <f t="shared" si="397"/>
        <v/>
      </c>
      <c r="AS950" t="str">
        <f t="shared" si="398"/>
        <v/>
      </c>
      <c r="AT950" t="str">
        <f t="shared" si="399"/>
        <v/>
      </c>
      <c r="AU950" t="str">
        <f t="shared" si="400"/>
        <v/>
      </c>
    </row>
    <row r="951" spans="1:47" x14ac:dyDescent="0.25">
      <c r="A951" s="4">
        <f>DATE(2020,12,8)</f>
        <v>44173</v>
      </c>
      <c r="B951">
        <v>0.18012665741596745</v>
      </c>
      <c r="C951">
        <v>63.714697265403643</v>
      </c>
      <c r="D951">
        <v>0.83043310131474357</v>
      </c>
      <c r="E951">
        <f t="shared" si="376"/>
        <v>0.82112356057648273</v>
      </c>
      <c r="F951">
        <f t="shared" si="377"/>
        <v>1.4898733730088018</v>
      </c>
      <c r="G951">
        <f t="shared" si="378"/>
        <v>0.90756120249965244</v>
      </c>
      <c r="H951" s="2" t="str">
        <f t="shared" si="379"/>
        <v>Higher</v>
      </c>
      <c r="I951" s="2" t="str">
        <f t="shared" si="380"/>
        <v>Lower</v>
      </c>
      <c r="J951" s="2" t="e">
        <f t="shared" si="381"/>
        <v>#DIV/0!</v>
      </c>
      <c r="K951" s="2" t="str">
        <f t="shared" si="382"/>
        <v>Higher</v>
      </c>
      <c r="L951" s="2" t="str">
        <f t="shared" si="383"/>
        <v>Higher</v>
      </c>
      <c r="M951" s="2" t="e">
        <f t="shared" si="384"/>
        <v>#DIV/0!</v>
      </c>
      <c r="N951" s="2" t="str">
        <f t="shared" si="385"/>
        <v>Higher</v>
      </c>
      <c r="O951" s="2" t="str">
        <f t="shared" si="386"/>
        <v>Lower</v>
      </c>
      <c r="P951" s="2" t="e">
        <f t="shared" si="387"/>
        <v>#DIV/0!</v>
      </c>
      <c r="X951" s="4">
        <f>DATE(2020,12,8)</f>
        <v>44173</v>
      </c>
      <c r="Y951">
        <v>27.67348132999587</v>
      </c>
      <c r="Z951">
        <v>32.422181842372098</v>
      </c>
      <c r="AA951">
        <v>29.6525</v>
      </c>
      <c r="AB951">
        <v>14.455</v>
      </c>
      <c r="AC951">
        <f t="shared" si="388"/>
        <v>1.8550565992259769E-2</v>
      </c>
      <c r="AD951">
        <f t="shared" si="388"/>
        <v>-3.8175812273870048E-2</v>
      </c>
      <c r="AE951">
        <f t="shared" si="389"/>
        <v>-5.672637826612982E-2</v>
      </c>
      <c r="AF951">
        <f t="shared" si="390"/>
        <v>-0.91314151598029969</v>
      </c>
      <c r="AH951">
        <f t="shared" si="391"/>
        <v>0.11950232747869358</v>
      </c>
      <c r="AI951">
        <f t="shared" si="391"/>
        <v>3.3412638662645114E-2</v>
      </c>
      <c r="AJ951">
        <f t="shared" si="392"/>
        <v>-8.6089688816048462E-2</v>
      </c>
      <c r="AK951">
        <f t="shared" si="393"/>
        <v>-1.0069476927255268</v>
      </c>
      <c r="AM951">
        <f t="shared" si="394"/>
        <v>-1.0567022177824063E-2</v>
      </c>
      <c r="AN951">
        <f t="shared" si="394"/>
        <v>0.28457379849356162</v>
      </c>
      <c r="AO951">
        <f t="shared" si="395"/>
        <v>0.2951408206713857</v>
      </c>
      <c r="AP951">
        <f t="shared" si="396"/>
        <v>0.28965095551767434</v>
      </c>
      <c r="AR951" t="str">
        <f t="shared" si="397"/>
        <v/>
      </c>
      <c r="AS951" t="str">
        <f t="shared" si="398"/>
        <v/>
      </c>
      <c r="AT951" t="str">
        <f t="shared" si="399"/>
        <v/>
      </c>
      <c r="AU951" t="str">
        <f t="shared" si="400"/>
        <v/>
      </c>
    </row>
    <row r="952" spans="1:47" x14ac:dyDescent="0.25">
      <c r="A952" s="4">
        <f>DATE(2020,12,7)</f>
        <v>44172</v>
      </c>
      <c r="B952">
        <v>0.22473150460405855</v>
      </c>
      <c r="C952">
        <v>64.147072178193184</v>
      </c>
      <c r="D952">
        <v>0.87703190134258102</v>
      </c>
      <c r="E952">
        <f t="shared" si="376"/>
        <v>1.0229368916008754</v>
      </c>
      <c r="F952">
        <f t="shared" si="377"/>
        <v>1.5671058791655199</v>
      </c>
      <c r="G952">
        <f t="shared" si="378"/>
        <v>1.0524873860752573</v>
      </c>
      <c r="H952" s="2" t="str">
        <f t="shared" si="379"/>
        <v>Higher</v>
      </c>
      <c r="I952" s="2" t="str">
        <f t="shared" si="380"/>
        <v>Lower</v>
      </c>
      <c r="J952" s="2" t="e">
        <f t="shared" si="381"/>
        <v>#DIV/0!</v>
      </c>
      <c r="K952" s="2" t="str">
        <f t="shared" si="382"/>
        <v>Higher</v>
      </c>
      <c r="L952" s="2" t="str">
        <f t="shared" si="383"/>
        <v>Higher</v>
      </c>
      <c r="M952" s="2" t="e">
        <f t="shared" si="384"/>
        <v>#DIV/0!</v>
      </c>
      <c r="N952" s="2" t="str">
        <f t="shared" si="385"/>
        <v>Higher</v>
      </c>
      <c r="O952" s="2" t="str">
        <f t="shared" si="386"/>
        <v>Lower</v>
      </c>
      <c r="P952" s="2" t="e">
        <f t="shared" si="387"/>
        <v>#DIV/0!</v>
      </c>
      <c r="X952" s="4">
        <f>DATE(2020,12,7)</f>
        <v>44172</v>
      </c>
      <c r="Y952">
        <v>28.470196625913353</v>
      </c>
      <c r="Z952">
        <v>30.674506796144978</v>
      </c>
      <c r="AA952">
        <v>29.660000000000004</v>
      </c>
      <c r="AB952">
        <v>14.3025</v>
      </c>
      <c r="AC952">
        <f t="shared" si="388"/>
        <v>2.4920217721742528E-2</v>
      </c>
      <c r="AD952">
        <f t="shared" si="388"/>
        <v>-5.4756962093029715E-2</v>
      </c>
      <c r="AE952">
        <f t="shared" si="389"/>
        <v>-7.9677179814772237E-2</v>
      </c>
      <c r="AF952">
        <f t="shared" si="390"/>
        <v>-1.1242516600109802</v>
      </c>
      <c r="AH952">
        <f t="shared" si="391"/>
        <v>0.11690892353534708</v>
      </c>
      <c r="AI952">
        <f t="shared" si="391"/>
        <v>3.23296362354248E-2</v>
      </c>
      <c r="AJ952">
        <f t="shared" si="392"/>
        <v>-8.4579287299922284E-2</v>
      </c>
      <c r="AK952">
        <f t="shared" si="393"/>
        <v>-1.0134911776910982</v>
      </c>
      <c r="AM952">
        <f t="shared" si="394"/>
        <v>-9.8134568221309136E-3</v>
      </c>
      <c r="AN952">
        <f t="shared" si="394"/>
        <v>0.28878971823500649</v>
      </c>
      <c r="AO952">
        <f t="shared" si="395"/>
        <v>0.2986031750571374</v>
      </c>
      <c r="AP952">
        <f t="shared" si="396"/>
        <v>0.30402700345991468</v>
      </c>
      <c r="AR952" t="str">
        <f t="shared" si="397"/>
        <v/>
      </c>
      <c r="AS952" t="str">
        <f t="shared" si="398"/>
        <v/>
      </c>
      <c r="AT952" t="str">
        <f t="shared" si="399"/>
        <v/>
      </c>
      <c r="AU952" t="str">
        <f t="shared" si="400"/>
        <v/>
      </c>
    </row>
    <row r="953" spans="1:47" x14ac:dyDescent="0.25">
      <c r="A953" s="4">
        <f>DATE(2020,12,4)</f>
        <v>44169</v>
      </c>
      <c r="B953">
        <v>0.26031728132237097</v>
      </c>
      <c r="C953">
        <v>68.3679814235458</v>
      </c>
      <c r="D953">
        <v>1.0267254080456949</v>
      </c>
      <c r="E953">
        <f t="shared" si="376"/>
        <v>1.1893584612423447</v>
      </c>
      <c r="F953">
        <f t="shared" si="377"/>
        <v>2.1056305975090095</v>
      </c>
      <c r="G953">
        <f t="shared" si="378"/>
        <v>1.5023082073144689</v>
      </c>
      <c r="H953" s="2" t="str">
        <f t="shared" si="379"/>
        <v>Higher</v>
      </c>
      <c r="I953" s="2" t="str">
        <f t="shared" si="380"/>
        <v>Lower</v>
      </c>
      <c r="J953" s="2" t="e">
        <f t="shared" si="381"/>
        <v>#DIV/0!</v>
      </c>
      <c r="K953" s="2" t="str">
        <f t="shared" si="382"/>
        <v>Higher</v>
      </c>
      <c r="L953" s="2" t="str">
        <f t="shared" si="383"/>
        <v>Higher</v>
      </c>
      <c r="M953" s="2" t="e">
        <f t="shared" si="384"/>
        <v>#DIV/0!</v>
      </c>
      <c r="N953" s="2" t="str">
        <f t="shared" si="385"/>
        <v>Higher</v>
      </c>
      <c r="O953" s="2" t="str">
        <f t="shared" si="386"/>
        <v>Lower</v>
      </c>
      <c r="P953" s="2" t="e">
        <f t="shared" si="387"/>
        <v>#DIV/0!</v>
      </c>
      <c r="X953" s="4">
        <f>DATE(2020,12,4)</f>
        <v>44169</v>
      </c>
      <c r="Y953">
        <v>29.857641026786492</v>
      </c>
      <c r="Z953">
        <v>33.050949362152096</v>
      </c>
      <c r="AA953">
        <v>29.86</v>
      </c>
      <c r="AB953">
        <v>14.60375</v>
      </c>
      <c r="AC953">
        <f t="shared" si="388"/>
        <v>5.710916561410586E-2</v>
      </c>
      <c r="AD953">
        <f t="shared" si="388"/>
        <v>1.8051187555332002E-2</v>
      </c>
      <c r="AE953">
        <f t="shared" si="389"/>
        <v>-3.9057978058773854E-2</v>
      </c>
      <c r="AF953">
        <f t="shared" si="390"/>
        <v>-0.78047424791281961</v>
      </c>
      <c r="AH953">
        <f t="shared" si="391"/>
        <v>0.1578413399466638</v>
      </c>
      <c r="AI953">
        <f t="shared" si="391"/>
        <v>4.5171793271356321E-2</v>
      </c>
      <c r="AJ953">
        <f t="shared" si="392"/>
        <v>-0.11266954667530749</v>
      </c>
      <c r="AK953">
        <f t="shared" si="393"/>
        <v>-1.1598478754652743</v>
      </c>
      <c r="AM953">
        <f t="shared" si="394"/>
        <v>5.8706043171329908E-2</v>
      </c>
      <c r="AN953">
        <f t="shared" si="394"/>
        <v>0.33336144205709212</v>
      </c>
      <c r="AO953">
        <f t="shared" si="395"/>
        <v>0.27465539888576218</v>
      </c>
      <c r="AP953">
        <f t="shared" si="396"/>
        <v>0.22622454556895893</v>
      </c>
      <c r="AR953" t="str">
        <f t="shared" si="397"/>
        <v/>
      </c>
      <c r="AS953" t="str">
        <f t="shared" si="398"/>
        <v/>
      </c>
      <c r="AT953" t="str">
        <f t="shared" si="399"/>
        <v/>
      </c>
      <c r="AU953" t="str">
        <f t="shared" si="400"/>
        <v/>
      </c>
    </row>
    <row r="954" spans="1:47" x14ac:dyDescent="0.25">
      <c r="A954" s="4">
        <f>DATE(2020,12,3)</f>
        <v>44168</v>
      </c>
      <c r="B954">
        <v>0.23455398973857511</v>
      </c>
      <c r="C954">
        <v>63.286251499867106</v>
      </c>
      <c r="D954">
        <v>0.86762845323185633</v>
      </c>
      <c r="E954">
        <f t="shared" si="376"/>
        <v>1.0920754461877118</v>
      </c>
      <c r="F954">
        <f t="shared" si="377"/>
        <v>1.5439132106140285</v>
      </c>
      <c r="G954">
        <f t="shared" si="378"/>
        <v>1.0600313453252965</v>
      </c>
      <c r="H954" s="2" t="str">
        <f t="shared" si="379"/>
        <v>Higher</v>
      </c>
      <c r="I954" s="2" t="str">
        <f t="shared" si="380"/>
        <v>Lower</v>
      </c>
      <c r="J954" s="2" t="e">
        <f t="shared" si="381"/>
        <v>#DIV/0!</v>
      </c>
      <c r="K954" s="2" t="str">
        <f t="shared" si="382"/>
        <v>Higher</v>
      </c>
      <c r="L954" s="2" t="str">
        <f t="shared" si="383"/>
        <v>Higher</v>
      </c>
      <c r="M954" s="2" t="e">
        <f t="shared" si="384"/>
        <v>#DIV/0!</v>
      </c>
      <c r="N954" s="2" t="str">
        <f t="shared" si="385"/>
        <v>Higher</v>
      </c>
      <c r="O954" s="2" t="str">
        <f t="shared" si="386"/>
        <v>Lower</v>
      </c>
      <c r="P954" s="2" t="e">
        <f t="shared" si="387"/>
        <v>#DIV/0!</v>
      </c>
      <c r="X954" s="4">
        <f>DATE(2020,12,3)</f>
        <v>44168</v>
      </c>
      <c r="Y954">
        <v>28.766804090031567</v>
      </c>
      <c r="Z954">
        <v>34.611843110612753</v>
      </c>
      <c r="AA954">
        <v>29.162500000000001</v>
      </c>
      <c r="AB954">
        <v>14.2225</v>
      </c>
      <c r="AC954">
        <f t="shared" si="388"/>
        <v>4.2108719981938957E-2</v>
      </c>
      <c r="AD954" t="str">
        <f t="shared" si="388"/>
        <v/>
      </c>
      <c r="AE954" t="str">
        <f t="shared" si="389"/>
        <v/>
      </c>
      <c r="AF954" t="str">
        <f t="shared" si="390"/>
        <v/>
      </c>
      <c r="AH954">
        <f t="shared" si="391"/>
        <v>0.12464320384944377</v>
      </c>
      <c r="AI954">
        <f t="shared" si="391"/>
        <v>-1.4310889960319021E-2</v>
      </c>
      <c r="AJ954">
        <f t="shared" si="392"/>
        <v>-0.13895409380976279</v>
      </c>
      <c r="AK954">
        <f t="shared" si="393"/>
        <v>-1.304050639274694</v>
      </c>
      <c r="AM954">
        <f t="shared" si="394"/>
        <v>3.5069888407833996E-2</v>
      </c>
      <c r="AN954">
        <f t="shared" si="394"/>
        <v>0.29479702911212857</v>
      </c>
      <c r="AO954">
        <f t="shared" si="395"/>
        <v>0.25972714070429459</v>
      </c>
      <c r="AP954">
        <f t="shared" si="396"/>
        <v>0.17880772537550296</v>
      </c>
      <c r="AR954" t="str">
        <f t="shared" si="397"/>
        <v/>
      </c>
      <c r="AS954" t="str">
        <f t="shared" si="398"/>
        <v/>
      </c>
      <c r="AT954" t="str">
        <f t="shared" si="399"/>
        <v/>
      </c>
      <c r="AU954" t="str">
        <f t="shared" si="400"/>
        <v/>
      </c>
    </row>
    <row r="955" spans="1:47" x14ac:dyDescent="0.25">
      <c r="A955" s="4">
        <f>DATE(2020,12,2)</f>
        <v>44167</v>
      </c>
      <c r="B955">
        <v>0.27692136747113705</v>
      </c>
      <c r="C955">
        <v>68.337412686708902</v>
      </c>
      <c r="D955">
        <v>1.0358201961978022</v>
      </c>
      <c r="E955">
        <f t="shared" si="376"/>
        <v>1.290629587018312</v>
      </c>
      <c r="F955">
        <f t="shared" si="377"/>
        <v>2.1987561421106356</v>
      </c>
      <c r="G955">
        <f t="shared" si="378"/>
        <v>1.5682115547163142</v>
      </c>
      <c r="H955" s="2" t="str">
        <f t="shared" si="379"/>
        <v>Higher</v>
      </c>
      <c r="I955" s="2" t="str">
        <f t="shared" si="380"/>
        <v>Lower</v>
      </c>
      <c r="J955" s="2" t="e">
        <f t="shared" si="381"/>
        <v>#DIV/0!</v>
      </c>
      <c r="K955" s="2" t="str">
        <f t="shared" si="382"/>
        <v>Higher</v>
      </c>
      <c r="L955" s="2" t="str">
        <f t="shared" si="383"/>
        <v>Higher</v>
      </c>
      <c r="M955" s="2" t="e">
        <f t="shared" si="384"/>
        <v>#DIV/0!</v>
      </c>
      <c r="N955" s="2" t="str">
        <f t="shared" si="385"/>
        <v>Higher</v>
      </c>
      <c r="O955" s="2" t="str">
        <f t="shared" si="386"/>
        <v>Lower</v>
      </c>
      <c r="P955" s="2" t="e">
        <f t="shared" si="387"/>
        <v>#DIV/0!</v>
      </c>
      <c r="X955" s="4">
        <f>DATE(2020,12,2)</f>
        <v>44167</v>
      </c>
      <c r="Y955">
        <v>29.832114460167396</v>
      </c>
      <c r="Z955">
        <v>39.28772705909941</v>
      </c>
      <c r="AA955">
        <v>29.325000000000003</v>
      </c>
      <c r="AB955">
        <v>14.802499999999998</v>
      </c>
      <c r="AC955">
        <f t="shared" si="388"/>
        <v>5.6196036694305361E-2</v>
      </c>
      <c r="AD955">
        <f t="shared" si="388"/>
        <v>5.6900144244790833E-2</v>
      </c>
      <c r="AE955">
        <f t="shared" si="389"/>
        <v>7.0410755048547213E-4</v>
      </c>
      <c r="AF955">
        <f t="shared" si="390"/>
        <v>-0.44221000991377646</v>
      </c>
      <c r="AH955">
        <f t="shared" si="391"/>
        <v>0.16648848474416272</v>
      </c>
      <c r="AI955">
        <f t="shared" si="391"/>
        <v>6.5608732747308482E-2</v>
      </c>
      <c r="AJ955">
        <f t="shared" si="392"/>
        <v>-0.10087975199685424</v>
      </c>
      <c r="AK955">
        <f t="shared" si="393"/>
        <v>-1.1486909519412325</v>
      </c>
      <c r="AM955">
        <f t="shared" si="394"/>
        <v>8.4642643154079253E-2</v>
      </c>
      <c r="AN955">
        <f t="shared" si="394"/>
        <v>0.31942532270410084</v>
      </c>
      <c r="AO955">
        <f t="shared" si="395"/>
        <v>0.23478267955002158</v>
      </c>
      <c r="AP955">
        <f t="shared" si="396"/>
        <v>9.6972751941722224E-2</v>
      </c>
      <c r="AR955" t="str">
        <f t="shared" si="397"/>
        <v/>
      </c>
      <c r="AS955" t="str">
        <f t="shared" si="398"/>
        <v/>
      </c>
      <c r="AT955" t="str">
        <f t="shared" si="399"/>
        <v/>
      </c>
      <c r="AU955" t="str">
        <f t="shared" si="400"/>
        <v/>
      </c>
    </row>
    <row r="956" spans="1:47" x14ac:dyDescent="0.25">
      <c r="A956" s="4">
        <f>DATE(2020,12,1)</f>
        <v>44166</v>
      </c>
      <c r="B956">
        <v>0.25628079140167626</v>
      </c>
      <c r="C956">
        <v>65.091711162236621</v>
      </c>
      <c r="D956">
        <v>0.95486567960469948</v>
      </c>
      <c r="E956">
        <f t="shared" si="376"/>
        <v>1.2188368799517846</v>
      </c>
      <c r="F956">
        <f t="shared" si="377"/>
        <v>1.8604821650300309</v>
      </c>
      <c r="G956">
        <f t="shared" si="378"/>
        <v>1.3576565308812762</v>
      </c>
      <c r="H956" s="2" t="str">
        <f t="shared" si="379"/>
        <v>Higher</v>
      </c>
      <c r="I956" s="2" t="str">
        <f t="shared" si="380"/>
        <v>Lower</v>
      </c>
      <c r="J956" s="2" t="e">
        <f t="shared" si="381"/>
        <v>#DIV/0!</v>
      </c>
      <c r="K956" s="2" t="str">
        <f t="shared" si="382"/>
        <v>Higher</v>
      </c>
      <c r="L956" s="2" t="str">
        <f t="shared" si="383"/>
        <v>Higher</v>
      </c>
      <c r="M956" s="2" t="e">
        <f t="shared" si="384"/>
        <v>#DIV/0!</v>
      </c>
      <c r="N956" s="2" t="str">
        <f t="shared" si="385"/>
        <v>Higher</v>
      </c>
      <c r="O956" s="2" t="str">
        <f t="shared" si="386"/>
        <v>Lower</v>
      </c>
      <c r="P956" s="2" t="e">
        <f t="shared" si="387"/>
        <v>#DIV/0!</v>
      </c>
      <c r="X956" s="4">
        <f>DATE(2020,12,1)</f>
        <v>44166</v>
      </c>
      <c r="Y956">
        <v>32.261244652144534</v>
      </c>
      <c r="Z956">
        <v>42.213402150467218</v>
      </c>
      <c r="AA956">
        <v>29.107500000000002</v>
      </c>
      <c r="AB956">
        <v>15.0175</v>
      </c>
      <c r="AC956">
        <f t="shared" si="388"/>
        <v>5.844757219819819E-2</v>
      </c>
      <c r="AD956">
        <f t="shared" si="388"/>
        <v>8.5453803162558475E-2</v>
      </c>
      <c r="AE956">
        <f t="shared" si="389"/>
        <v>2.7006230964360285E-2</v>
      </c>
      <c r="AF956">
        <f t="shared" si="390"/>
        <v>-0.21456597750676806</v>
      </c>
      <c r="AH956">
        <f t="shared" si="391"/>
        <v>0.1820639244339054</v>
      </c>
      <c r="AI956">
        <f t="shared" si="391"/>
        <v>9.1090694167956385E-2</v>
      </c>
      <c r="AJ956">
        <f t="shared" si="392"/>
        <v>-9.0973230265949015E-2</v>
      </c>
      <c r="AK956">
        <f t="shared" si="393"/>
        <v>-1.1211433530404282</v>
      </c>
      <c r="AM956">
        <f t="shared" si="394"/>
        <v>7.2385080041979799E-2</v>
      </c>
      <c r="AN956">
        <f t="shared" si="394"/>
        <v>0.31610506804876304</v>
      </c>
      <c r="AO956">
        <f t="shared" si="395"/>
        <v>0.24371998800678324</v>
      </c>
      <c r="AP956">
        <f t="shared" si="396"/>
        <v>0.13006144820476193</v>
      </c>
      <c r="AR956" t="str">
        <f t="shared" si="397"/>
        <v/>
      </c>
      <c r="AS956" t="str">
        <f t="shared" si="398"/>
        <v/>
      </c>
      <c r="AT956" t="str">
        <f t="shared" si="399"/>
        <v/>
      </c>
      <c r="AU956" t="str">
        <f t="shared" si="400"/>
        <v/>
      </c>
    </row>
    <row r="957" spans="1:47" x14ac:dyDescent="0.25">
      <c r="A957" s="4">
        <f>DATE(2020,11,30)</f>
        <v>44165</v>
      </c>
      <c r="B957">
        <v>0.26410129760276113</v>
      </c>
      <c r="C957">
        <v>67.707067674459196</v>
      </c>
      <c r="D957">
        <v>1.0525177163640513</v>
      </c>
      <c r="E957">
        <f t="shared" si="376"/>
        <v>1.2701618701619173</v>
      </c>
      <c r="F957">
        <f t="shared" si="377"/>
        <v>2.2436593760976176</v>
      </c>
      <c r="G957">
        <f t="shared" si="378"/>
        <v>1.6709634059729774</v>
      </c>
      <c r="H957" s="2" t="str">
        <f t="shared" si="379"/>
        <v>Higher</v>
      </c>
      <c r="I957" s="2" t="str">
        <f t="shared" si="380"/>
        <v>Lower</v>
      </c>
      <c r="J957" s="2" t="e">
        <f t="shared" si="381"/>
        <v>#DIV/0!</v>
      </c>
      <c r="K957" s="2" t="str">
        <f t="shared" si="382"/>
        <v>Higher</v>
      </c>
      <c r="L957" s="2" t="str">
        <f t="shared" si="383"/>
        <v>Higher</v>
      </c>
      <c r="M957" s="2" t="e">
        <f t="shared" si="384"/>
        <v>#DIV/0!</v>
      </c>
      <c r="N957" s="2" t="str">
        <f t="shared" si="385"/>
        <v>Higher</v>
      </c>
      <c r="O957" s="2" t="str">
        <f t="shared" si="386"/>
        <v>Lower</v>
      </c>
      <c r="P957" s="2" t="e">
        <f t="shared" si="387"/>
        <v>#DIV/0!</v>
      </c>
      <c r="X957" s="4">
        <f>DATE(2020,11,30)</f>
        <v>44165</v>
      </c>
      <c r="Y957">
        <v>30.874691519578541</v>
      </c>
      <c r="Z957">
        <v>42.52720535315229</v>
      </c>
      <c r="AA957">
        <v>28.93</v>
      </c>
      <c r="AB957">
        <v>15.1075</v>
      </c>
      <c r="AC957">
        <f t="shared" si="388"/>
        <v>5.8633647982935952E-2</v>
      </c>
      <c r="AD957">
        <f t="shared" si="388"/>
        <v>0.11259422068874397</v>
      </c>
      <c r="AE957">
        <f t="shared" si="389"/>
        <v>5.3960572705808021E-2</v>
      </c>
      <c r="AF957">
        <f t="shared" si="390"/>
        <v>1.9105946017057712E-2</v>
      </c>
      <c r="AH957">
        <f t="shared" si="391"/>
        <v>0.20873012402814806</v>
      </c>
      <c r="AI957">
        <f t="shared" si="391"/>
        <v>0.10273466143549692</v>
      </c>
      <c r="AJ957">
        <f t="shared" si="392"/>
        <v>-0.10599546259265114</v>
      </c>
      <c r="AK957">
        <f t="shared" si="393"/>
        <v>-1.2133459340051842</v>
      </c>
      <c r="AM957">
        <f t="shared" si="394"/>
        <v>6.5622182173030522E-2</v>
      </c>
      <c r="AN957" t="str">
        <f t="shared" si="394"/>
        <v/>
      </c>
      <c r="AO957" t="str">
        <f t="shared" si="395"/>
        <v/>
      </c>
      <c r="AP957" t="str">
        <f t="shared" si="396"/>
        <v/>
      </c>
      <c r="AR957" t="str">
        <f t="shared" si="397"/>
        <v/>
      </c>
      <c r="AS957" t="str">
        <f t="shared" si="398"/>
        <v/>
      </c>
      <c r="AT957" t="str">
        <f t="shared" si="399"/>
        <v/>
      </c>
      <c r="AU957" t="str">
        <f t="shared" si="400"/>
        <v/>
      </c>
    </row>
    <row r="958" spans="1:47" x14ac:dyDescent="0.25">
      <c r="A958" s="4">
        <f>DATE(2020,11,27)</f>
        <v>44162</v>
      </c>
      <c r="B958">
        <v>0.21884452795890208</v>
      </c>
      <c r="C958">
        <v>62.685339738529883</v>
      </c>
      <c r="D958">
        <v>0.87126504126649051</v>
      </c>
      <c r="E958">
        <f t="shared" si="376"/>
        <v>1.0886030678162726</v>
      </c>
      <c r="F958">
        <f t="shared" si="377"/>
        <v>1.6619637945233001</v>
      </c>
      <c r="G958">
        <f t="shared" si="378"/>
        <v>1.1599423941381262</v>
      </c>
      <c r="H958" s="2" t="str">
        <f t="shared" si="379"/>
        <v>Higher</v>
      </c>
      <c r="I958" s="2" t="str">
        <f t="shared" si="380"/>
        <v>Lower</v>
      </c>
      <c r="J958" s="2" t="e">
        <f t="shared" si="381"/>
        <v>#DIV/0!</v>
      </c>
      <c r="K958" s="2" t="str">
        <f t="shared" si="382"/>
        <v>Higher</v>
      </c>
      <c r="L958" s="2" t="str">
        <f t="shared" si="383"/>
        <v>Higher</v>
      </c>
      <c r="M958" s="2" t="e">
        <f t="shared" si="384"/>
        <v>#DIV/0!</v>
      </c>
      <c r="N958" s="2" t="str">
        <f t="shared" si="385"/>
        <v>Higher</v>
      </c>
      <c r="O958" s="2" t="str">
        <f t="shared" si="386"/>
        <v>Lower</v>
      </c>
      <c r="P958" s="2" t="e">
        <f t="shared" si="387"/>
        <v>#DIV/0!</v>
      </c>
      <c r="X958" s="4">
        <f>DATE(2020,11,27)</f>
        <v>44162</v>
      </c>
      <c r="Y958">
        <v>28.474116021180958</v>
      </c>
      <c r="Z958">
        <v>37.843392901516161</v>
      </c>
      <c r="AA958">
        <v>28.202500000000001</v>
      </c>
      <c r="AB958">
        <v>14.342499999999999</v>
      </c>
      <c r="AC958">
        <f t="shared" si="388"/>
        <v>5.5871288303015465E-2</v>
      </c>
      <c r="AD958">
        <f t="shared" si="388"/>
        <v>0.11183076643705595</v>
      </c>
      <c r="AE958">
        <f t="shared" si="389"/>
        <v>5.595947813404048E-2</v>
      </c>
      <c r="AF958">
        <f t="shared" si="390"/>
        <v>3.6510668757204788E-2</v>
      </c>
      <c r="AH958">
        <f t="shared" si="391"/>
        <v>0.17372463014285669</v>
      </c>
      <c r="AI958">
        <f t="shared" si="391"/>
        <v>1.6520586632730795E-2</v>
      </c>
      <c r="AJ958">
        <f t="shared" si="392"/>
        <v>-0.1572040435101259</v>
      </c>
      <c r="AK958">
        <f t="shared" si="393"/>
        <v>-1.487467620171381</v>
      </c>
      <c r="AM958">
        <f t="shared" si="394"/>
        <v>1.7166268651704397E-2</v>
      </c>
      <c r="AN958">
        <f t="shared" si="394"/>
        <v>0.19629355969613921</v>
      </c>
      <c r="AO958">
        <f t="shared" si="395"/>
        <v>0.17912729104443481</v>
      </c>
      <c r="AP958">
        <f t="shared" si="396"/>
        <v>-0.10052130209881849</v>
      </c>
      <c r="AR958" t="str">
        <f t="shared" si="397"/>
        <v/>
      </c>
      <c r="AS958" t="str">
        <f t="shared" si="398"/>
        <v/>
      </c>
      <c r="AT958" t="str">
        <f t="shared" si="399"/>
        <v/>
      </c>
      <c r="AU958" t="str">
        <f t="shared" si="400"/>
        <v/>
      </c>
    </row>
    <row r="959" spans="1:47" x14ac:dyDescent="0.25">
      <c r="A959" s="4">
        <f>DATE(2020,11,26)</f>
        <v>44161</v>
      </c>
      <c r="B959">
        <v>0.22499568928045899</v>
      </c>
      <c r="C959">
        <v>62.524749926495794</v>
      </c>
      <c r="D959">
        <v>0.88731081562115421</v>
      </c>
      <c r="E959">
        <f t="shared" si="376"/>
        <v>1.1293255888084328</v>
      </c>
      <c r="F959">
        <f t="shared" si="377"/>
        <v>1.6766822410319171</v>
      </c>
      <c r="G959">
        <f t="shared" si="378"/>
        <v>1.2239242867167008</v>
      </c>
      <c r="H959" s="2" t="str">
        <f t="shared" si="379"/>
        <v>Higher</v>
      </c>
      <c r="I959" s="2" t="str">
        <f t="shared" si="380"/>
        <v>Lower</v>
      </c>
      <c r="J959" s="2" t="e">
        <f t="shared" si="381"/>
        <v>#DIV/0!</v>
      </c>
      <c r="K959" s="2" t="str">
        <f t="shared" si="382"/>
        <v>Higher</v>
      </c>
      <c r="L959" s="2" t="str">
        <f t="shared" si="383"/>
        <v>Higher</v>
      </c>
      <c r="M959" s="2" t="e">
        <f t="shared" si="384"/>
        <v>#DIV/0!</v>
      </c>
      <c r="N959" s="2" t="str">
        <f t="shared" si="385"/>
        <v>Higher</v>
      </c>
      <c r="O959" s="2" t="str">
        <f t="shared" si="386"/>
        <v>Lower</v>
      </c>
      <c r="P959" s="2" t="e">
        <f t="shared" si="387"/>
        <v>#DIV/0!</v>
      </c>
      <c r="X959" s="4">
        <f>DATE(2020,11,26)</f>
        <v>44161</v>
      </c>
      <c r="Y959">
        <v>27.521068847572099</v>
      </c>
      <c r="AA959">
        <v>27.96</v>
      </c>
      <c r="AC959">
        <f t="shared" si="388"/>
        <v>5.2121888461548152E-2</v>
      </c>
      <c r="AD959" t="str">
        <f t="shared" si="388"/>
        <v/>
      </c>
      <c r="AE959" t="str">
        <f t="shared" si="389"/>
        <v/>
      </c>
      <c r="AF959" t="str">
        <f t="shared" si="390"/>
        <v/>
      </c>
      <c r="AH959">
        <f t="shared" si="391"/>
        <v>0.17037602225638468</v>
      </c>
      <c r="AI959" t="str">
        <f t="shared" si="391"/>
        <v/>
      </c>
      <c r="AJ959" t="str">
        <f t="shared" si="392"/>
        <v/>
      </c>
      <c r="AK959" t="str">
        <f t="shared" si="393"/>
        <v/>
      </c>
      <c r="AM959">
        <f t="shared" si="394"/>
        <v>-2.4640271641418032E-2</v>
      </c>
      <c r="AN959" t="str">
        <f t="shared" si="394"/>
        <v/>
      </c>
      <c r="AO959" t="str">
        <f t="shared" si="395"/>
        <v/>
      </c>
      <c r="AP959" t="str">
        <f t="shared" si="396"/>
        <v/>
      </c>
      <c r="AR959" t="str">
        <f t="shared" si="397"/>
        <v/>
      </c>
      <c r="AS959" t="str">
        <f t="shared" si="398"/>
        <v/>
      </c>
      <c r="AT959" t="str">
        <f t="shared" si="399"/>
        <v/>
      </c>
      <c r="AU959" t="str">
        <f t="shared" si="400"/>
        <v/>
      </c>
    </row>
    <row r="960" spans="1:47" x14ac:dyDescent="0.25">
      <c r="A960" s="4">
        <f>DATE(2020,11,25)</f>
        <v>44160</v>
      </c>
      <c r="B960">
        <v>0.2136656681886519</v>
      </c>
      <c r="C960">
        <v>59.962426099125793</v>
      </c>
      <c r="D960">
        <v>0.82374532648417575</v>
      </c>
      <c r="E960">
        <f t="shared" si="376"/>
        <v>1.093793263535531</v>
      </c>
      <c r="F960">
        <f t="shared" si="377"/>
        <v>1.369756231702125</v>
      </c>
      <c r="G960">
        <f t="shared" si="378"/>
        <v>1.0486561966756538</v>
      </c>
      <c r="H960" s="2" t="str">
        <f t="shared" si="379"/>
        <v>Higher</v>
      </c>
      <c r="I960" s="2" t="str">
        <f t="shared" si="380"/>
        <v>Lower</v>
      </c>
      <c r="J960" s="2" t="e">
        <f t="shared" si="381"/>
        <v>#DIV/0!</v>
      </c>
      <c r="K960" s="2" t="str">
        <f t="shared" si="382"/>
        <v>Higher</v>
      </c>
      <c r="L960" s="2" t="str">
        <f t="shared" si="383"/>
        <v>Higher</v>
      </c>
      <c r="M960" s="2" t="e">
        <f t="shared" si="384"/>
        <v>#DIV/0!</v>
      </c>
      <c r="N960" s="2" t="str">
        <f t="shared" si="385"/>
        <v>Higher</v>
      </c>
      <c r="O960" s="2" t="str">
        <f t="shared" si="386"/>
        <v>Lower</v>
      </c>
      <c r="P960" s="2" t="e">
        <f t="shared" si="387"/>
        <v>#DIV/0!</v>
      </c>
      <c r="X960" s="4">
        <f>DATE(2020,11,25)</f>
        <v>44160</v>
      </c>
      <c r="Y960">
        <v>29.616912032299009</v>
      </c>
      <c r="Z960">
        <v>37.472769278985567</v>
      </c>
      <c r="AA960">
        <v>27.722500000000004</v>
      </c>
      <c r="AB960">
        <v>13.983750000000001</v>
      </c>
      <c r="AC960">
        <f t="shared" si="388"/>
        <v>1.1518879347154277E-2</v>
      </c>
      <c r="AD960">
        <f t="shared" si="388"/>
        <v>1.8676953783408858E-2</v>
      </c>
      <c r="AE960">
        <f t="shared" si="389"/>
        <v>7.1580744362545815E-3</v>
      </c>
      <c r="AF960">
        <f t="shared" si="390"/>
        <v>-0.38836267254557538</v>
      </c>
      <c r="AH960">
        <f t="shared" si="391"/>
        <v>0.17873884000180976</v>
      </c>
      <c r="AI960">
        <f t="shared" si="391"/>
        <v>-3.6597476394364073E-2</v>
      </c>
      <c r="AJ960">
        <f t="shared" si="392"/>
        <v>-0.21533631639617384</v>
      </c>
      <c r="AK960">
        <f t="shared" si="393"/>
        <v>-1.8252829942879907</v>
      </c>
      <c r="AM960">
        <f t="shared" si="394"/>
        <v>-1.574694791312892E-2</v>
      </c>
      <c r="AN960">
        <f t="shared" si="394"/>
        <v>0.22612017694677916</v>
      </c>
      <c r="AO960">
        <f t="shared" si="395"/>
        <v>0.24186712485990808</v>
      </c>
      <c r="AP960">
        <f t="shared" si="396"/>
        <v>0.11286342805898966</v>
      </c>
      <c r="AR960" t="str">
        <f t="shared" si="397"/>
        <v/>
      </c>
      <c r="AS960" t="str">
        <f t="shared" si="398"/>
        <v/>
      </c>
      <c r="AT960" t="str">
        <f t="shared" si="399"/>
        <v/>
      </c>
      <c r="AU960" t="str">
        <f t="shared" si="400"/>
        <v/>
      </c>
    </row>
    <row r="961" spans="1:47" x14ac:dyDescent="0.25">
      <c r="A961" s="4">
        <f>DATE(2020,11,24)</f>
        <v>44159</v>
      </c>
      <c r="B961">
        <v>0.22202963131606201</v>
      </c>
      <c r="C961">
        <v>60.041893930960889</v>
      </c>
      <c r="D961">
        <v>0.8446853424613826</v>
      </c>
      <c r="E961">
        <f t="shared" si="376"/>
        <v>1.1448773852576797</v>
      </c>
      <c r="F961">
        <f t="shared" si="377"/>
        <v>1.4035218490766903</v>
      </c>
      <c r="G961">
        <f t="shared" si="378"/>
        <v>1.124976193165093</v>
      </c>
      <c r="H961" s="2" t="str">
        <f t="shared" si="379"/>
        <v>Higher</v>
      </c>
      <c r="I961" s="2" t="str">
        <f t="shared" si="380"/>
        <v>Lower</v>
      </c>
      <c r="J961" s="2" t="e">
        <f t="shared" si="381"/>
        <v>#DIV/0!</v>
      </c>
      <c r="K961" s="2" t="str">
        <f t="shared" si="382"/>
        <v>Higher</v>
      </c>
      <c r="L961" s="2" t="str">
        <f t="shared" si="383"/>
        <v>Higher</v>
      </c>
      <c r="M961" s="2" t="e">
        <f t="shared" si="384"/>
        <v>#DIV/0!</v>
      </c>
      <c r="N961" s="2" t="str">
        <f t="shared" si="385"/>
        <v>Higher</v>
      </c>
      <c r="O961" s="2" t="str">
        <f t="shared" si="386"/>
        <v>Lower</v>
      </c>
      <c r="P961" s="2" t="e">
        <f t="shared" si="387"/>
        <v>#DIV/0!</v>
      </c>
      <c r="X961" s="4">
        <f>DATE(2020,11,24)</f>
        <v>44159</v>
      </c>
      <c r="Y961">
        <v>27.807034448631075</v>
      </c>
      <c r="Z961">
        <v>34.184444567205745</v>
      </c>
      <c r="AA961">
        <v>27.454999999999998</v>
      </c>
      <c r="AB961">
        <v>13.787500000000001</v>
      </c>
      <c r="AC961">
        <f t="shared" si="388"/>
        <v>2.312081991169046E-2</v>
      </c>
      <c r="AD961">
        <f t="shared" si="388"/>
        <v>-1.7791825234224814E-2</v>
      </c>
      <c r="AE961">
        <f t="shared" si="389"/>
        <v>-4.0912645145915277E-2</v>
      </c>
      <c r="AF961">
        <f t="shared" si="390"/>
        <v>-0.80238396383229893</v>
      </c>
      <c r="AH961">
        <f t="shared" si="391"/>
        <v>0.13605819235907304</v>
      </c>
      <c r="AI961">
        <f t="shared" si="391"/>
        <v>-6.2638485117532977E-2</v>
      </c>
      <c r="AJ961">
        <f t="shared" si="392"/>
        <v>-0.19869667747660602</v>
      </c>
      <c r="AK961">
        <f t="shared" si="393"/>
        <v>-1.811780720437894</v>
      </c>
      <c r="AM961">
        <f t="shared" si="394"/>
        <v>-1.992403071990546E-2</v>
      </c>
      <c r="AN961">
        <f t="shared" si="394"/>
        <v>0.18960093379685597</v>
      </c>
      <c r="AO961">
        <f t="shared" si="395"/>
        <v>0.20952496451676142</v>
      </c>
      <c r="AP961">
        <f t="shared" si="396"/>
        <v>-2.6266322767850422E-3</v>
      </c>
      <c r="AR961" t="str">
        <f t="shared" si="397"/>
        <v/>
      </c>
      <c r="AS961" t="str">
        <f t="shared" si="398"/>
        <v/>
      </c>
      <c r="AT961" t="str">
        <f t="shared" si="399"/>
        <v/>
      </c>
      <c r="AU961" t="str">
        <f t="shared" si="400"/>
        <v/>
      </c>
    </row>
    <row r="962" spans="1:47" x14ac:dyDescent="0.25">
      <c r="A962" s="4">
        <f>DATE(2020,11,23)</f>
        <v>44158</v>
      </c>
      <c r="B962">
        <v>0.21200015852949822</v>
      </c>
      <c r="C962">
        <v>58.082879763083824</v>
      </c>
      <c r="D962">
        <v>0.81273652131367791</v>
      </c>
      <c r="E962">
        <f t="shared" si="376"/>
        <v>1.1157747242907232</v>
      </c>
      <c r="F962">
        <f t="shared" si="377"/>
        <v>1.1620817128621519</v>
      </c>
      <c r="G962">
        <f t="shared" si="378"/>
        <v>1.0427825534696931</v>
      </c>
      <c r="H962" s="2" t="str">
        <f t="shared" si="379"/>
        <v>Higher</v>
      </c>
      <c r="I962" s="2" t="str">
        <f t="shared" si="380"/>
        <v>Lower</v>
      </c>
      <c r="J962" s="2" t="e">
        <f t="shared" si="381"/>
        <v>#DIV/0!</v>
      </c>
      <c r="K962" s="2" t="str">
        <f t="shared" si="382"/>
        <v>Higher</v>
      </c>
      <c r="L962" s="2" t="str">
        <f t="shared" si="383"/>
        <v>Higher</v>
      </c>
      <c r="M962" s="2" t="e">
        <f t="shared" si="384"/>
        <v>#DIV/0!</v>
      </c>
      <c r="N962" s="2" t="str">
        <f t="shared" si="385"/>
        <v>Higher</v>
      </c>
      <c r="O962" s="2" t="str">
        <f t="shared" si="386"/>
        <v>Lower</v>
      </c>
      <c r="P962" s="2" t="e">
        <f t="shared" si="387"/>
        <v>#DIV/0!</v>
      </c>
      <c r="X962" s="4">
        <f>DATE(2020,11,23)</f>
        <v>44158</v>
      </c>
      <c r="Y962">
        <v>29.505337562498113</v>
      </c>
      <c r="Z962">
        <v>32.165574719947237</v>
      </c>
      <c r="AA962">
        <v>27.282499999999999</v>
      </c>
      <c r="AB962">
        <v>13.498750000000001</v>
      </c>
      <c r="AC962">
        <f t="shared" si="388"/>
        <v>3.2123381301837994E-3</v>
      </c>
      <c r="AD962">
        <f t="shared" si="388"/>
        <v>-7.1723959793249775E-2</v>
      </c>
      <c r="AE962">
        <f t="shared" si="389"/>
        <v>-7.4936297923433579E-2</v>
      </c>
      <c r="AF962">
        <f t="shared" si="390"/>
        <v>-1.101039536434131</v>
      </c>
      <c r="AH962">
        <f t="shared" si="391"/>
        <v>0.12144362647065843</v>
      </c>
      <c r="AI962">
        <f t="shared" si="391"/>
        <v>-0.10520308128216822</v>
      </c>
      <c r="AJ962">
        <f t="shared" si="392"/>
        <v>-0.22664670775282664</v>
      </c>
      <c r="AK962">
        <f t="shared" si="393"/>
        <v>-2.0302750194714578</v>
      </c>
      <c r="AM962">
        <f t="shared" si="394"/>
        <v>-5.9152006525860126E-2</v>
      </c>
      <c r="AN962">
        <f t="shared" si="394"/>
        <v>0.18311824409928756</v>
      </c>
      <c r="AO962">
        <f t="shared" si="395"/>
        <v>0.24227025062514768</v>
      </c>
      <c r="AP962">
        <f t="shared" si="396"/>
        <v>0.12368939954014345</v>
      </c>
      <c r="AR962" t="str">
        <f t="shared" si="397"/>
        <v/>
      </c>
      <c r="AS962" t="str">
        <f t="shared" si="398"/>
        <v/>
      </c>
      <c r="AT962" t="str">
        <f t="shared" si="399"/>
        <v/>
      </c>
      <c r="AU962" t="str">
        <f t="shared" si="400"/>
        <v/>
      </c>
    </row>
    <row r="963" spans="1:47" x14ac:dyDescent="0.25">
      <c r="A963" s="4">
        <f>DATE(2020,11,20)</f>
        <v>44155</v>
      </c>
      <c r="B963">
        <v>0.21398184152941691</v>
      </c>
      <c r="C963">
        <v>55.355217785045248</v>
      </c>
      <c r="D963">
        <v>0.75001583172617325</v>
      </c>
      <c r="E963">
        <f t="shared" si="376"/>
        <v>1.139484351850373</v>
      </c>
      <c r="F963">
        <f t="shared" si="377"/>
        <v>0.8069714553803814</v>
      </c>
      <c r="G963">
        <f t="shared" si="378"/>
        <v>0.86483401539698113</v>
      </c>
      <c r="H963" s="2" t="str">
        <f t="shared" si="379"/>
        <v>Higher</v>
      </c>
      <c r="I963" s="2" t="str">
        <f t="shared" si="380"/>
        <v>Lower</v>
      </c>
      <c r="J963" s="2" t="e">
        <f t="shared" si="381"/>
        <v>#DIV/0!</v>
      </c>
      <c r="K963" s="2" t="str">
        <f t="shared" si="382"/>
        <v>Higher</v>
      </c>
      <c r="L963" s="2" t="str">
        <f t="shared" si="383"/>
        <v>Higher</v>
      </c>
      <c r="M963" s="2" t="e">
        <f t="shared" si="384"/>
        <v>#DIV/0!</v>
      </c>
      <c r="N963" s="2" t="str">
        <f t="shared" si="385"/>
        <v>Higher</v>
      </c>
      <c r="O963" s="2" t="str">
        <f t="shared" si="386"/>
        <v>Lower</v>
      </c>
      <c r="P963" s="2" t="e">
        <f t="shared" si="387"/>
        <v>#DIV/0!</v>
      </c>
      <c r="X963" s="4">
        <f>DATE(2020,11,20)</f>
        <v>44155</v>
      </c>
      <c r="Y963">
        <v>27.284118852961122</v>
      </c>
      <c r="Z963">
        <v>23.790469205447067</v>
      </c>
      <c r="AA963">
        <v>26.67</v>
      </c>
      <c r="AB963">
        <v>12.824999999999999</v>
      </c>
      <c r="AC963">
        <f t="shared" si="388"/>
        <v>1.9307811604925024E-2</v>
      </c>
      <c r="AD963">
        <f t="shared" si="388"/>
        <v>-0.10500957689303846</v>
      </c>
      <c r="AE963">
        <f t="shared" si="389"/>
        <v>-0.12431738849796348</v>
      </c>
      <c r="AF963">
        <f t="shared" si="390"/>
        <v>-1.539177791028018</v>
      </c>
      <c r="AH963">
        <f t="shared" si="391"/>
        <v>5.7687899589297098E-2</v>
      </c>
      <c r="AI963">
        <f t="shared" si="391"/>
        <v>-0.18483626101916828</v>
      </c>
      <c r="AJ963">
        <f t="shared" si="392"/>
        <v>-0.24252416060846538</v>
      </c>
      <c r="AK963">
        <f t="shared" si="393"/>
        <v>-2.2178676453322987</v>
      </c>
      <c r="AM963">
        <f t="shared" si="394"/>
        <v>-9.5838383328306895E-2</v>
      </c>
      <c r="AN963">
        <f t="shared" si="394"/>
        <v>0.13906043410366833</v>
      </c>
      <c r="AO963">
        <f t="shared" si="395"/>
        <v>0.23489881743197522</v>
      </c>
      <c r="AP963">
        <f t="shared" si="396"/>
        <v>0.101160062580847</v>
      </c>
      <c r="AR963" t="str">
        <f t="shared" si="397"/>
        <v/>
      </c>
      <c r="AS963" t="str">
        <f t="shared" si="398"/>
        <v/>
      </c>
      <c r="AT963" t="str">
        <f t="shared" si="399"/>
        <v/>
      </c>
      <c r="AU963" t="str">
        <f t="shared" si="400"/>
        <v/>
      </c>
    </row>
    <row r="964" spans="1:47" x14ac:dyDescent="0.25">
      <c r="A964" s="4">
        <f>DATE(2020,11,19)</f>
        <v>44154</v>
      </c>
      <c r="B964">
        <v>0.2489676171226361</v>
      </c>
      <c r="C964">
        <v>53.192373383219227</v>
      </c>
      <c r="D964">
        <v>0.69327278303421436</v>
      </c>
      <c r="E964">
        <f t="shared" si="376"/>
        <v>1.3114993109696651</v>
      </c>
      <c r="F964">
        <f t="shared" si="377"/>
        <v>0.52105127126403872</v>
      </c>
      <c r="G964">
        <f t="shared" si="378"/>
        <v>0.70144535386205542</v>
      </c>
      <c r="H964" s="2" t="str">
        <f t="shared" si="379"/>
        <v>Higher</v>
      </c>
      <c r="I964" s="2" t="str">
        <f t="shared" si="380"/>
        <v>Lower</v>
      </c>
      <c r="J964" s="2" t="e">
        <f t="shared" si="381"/>
        <v>#DIV/0!</v>
      </c>
      <c r="K964" s="2" t="str">
        <f t="shared" si="382"/>
        <v>Higher</v>
      </c>
      <c r="L964" s="2" t="str">
        <f t="shared" si="383"/>
        <v>Higher</v>
      </c>
      <c r="M964" s="2" t="e">
        <f t="shared" si="384"/>
        <v>#DIV/0!</v>
      </c>
      <c r="N964" s="2" t="str">
        <f t="shared" si="385"/>
        <v>Higher</v>
      </c>
      <c r="O964" s="2" t="str">
        <f t="shared" si="386"/>
        <v>Lower</v>
      </c>
      <c r="P964" s="2" t="e">
        <f t="shared" si="387"/>
        <v>#DIV/0!</v>
      </c>
      <c r="X964" s="4">
        <f>DATE(2020,11,19)</f>
        <v>44154</v>
      </c>
      <c r="Y964">
        <v>28.812808372957676</v>
      </c>
      <c r="Z964">
        <v>25.526819350925201</v>
      </c>
      <c r="AA964">
        <v>26.54</v>
      </c>
      <c r="AB964">
        <v>13.12875</v>
      </c>
      <c r="AC964">
        <f t="shared" si="388"/>
        <v>2.4024034330042868E-2</v>
      </c>
      <c r="AD964">
        <f t="shared" si="388"/>
        <v>-6.6036969453912006E-2</v>
      </c>
      <c r="AE964">
        <f t="shared" si="389"/>
        <v>-9.0061003783954874E-2</v>
      </c>
      <c r="AF964">
        <f t="shared" si="390"/>
        <v>-1.2772128875847724</v>
      </c>
      <c r="AH964">
        <f t="shared" si="391"/>
        <v>0.10362460381613689</v>
      </c>
      <c r="AI964">
        <f t="shared" si="391"/>
        <v>-0.14402079231532058</v>
      </c>
      <c r="AJ964">
        <f t="shared" si="392"/>
        <v>-0.24764539613145747</v>
      </c>
      <c r="AK964">
        <f t="shared" si="393"/>
        <v>-2.3811101018886727</v>
      </c>
      <c r="AM964">
        <f t="shared" si="394"/>
        <v>-7.019787238588468E-2</v>
      </c>
      <c r="AN964">
        <f t="shared" si="394"/>
        <v>0.38077946219270353</v>
      </c>
      <c r="AO964">
        <f t="shared" si="395"/>
        <v>0.45097733457858824</v>
      </c>
      <c r="AP964">
        <f t="shared" si="396"/>
        <v>1.0397931420095801</v>
      </c>
      <c r="AR964" t="str">
        <f t="shared" si="397"/>
        <v/>
      </c>
      <c r="AS964" t="str">
        <f t="shared" si="398"/>
        <v/>
      </c>
      <c r="AT964" t="str">
        <f t="shared" si="399"/>
        <v/>
      </c>
      <c r="AU964" t="str">
        <f t="shared" si="400"/>
        <v/>
      </c>
    </row>
    <row r="965" spans="1:47" x14ac:dyDescent="0.25">
      <c r="A965" s="4">
        <f>DATE(2020,11,18)</f>
        <v>44153</v>
      </c>
      <c r="B965">
        <v>0.32224441691007655</v>
      </c>
      <c r="C965">
        <v>58.89916122365991</v>
      </c>
      <c r="D965">
        <v>0.87639496600264655</v>
      </c>
      <c r="E965">
        <f t="shared" ref="E965:E1028" si="401">(B965-AVERAGE(B965:B1094))/_xlfn.STDEV.S(B965:B1094)</f>
        <v>1.6621142144847212</v>
      </c>
      <c r="F965">
        <f t="shared" ref="F965:F1028" si="402">(C965-AVERAGE(C965:C1094))/_xlfn.STDEV.S(C965:C1094)</f>
        <v>1.2969580351886087</v>
      </c>
      <c r="G965">
        <f t="shared" ref="G965:G1028" si="403">(D965-AVERAGE(D965:D1094))/_xlfn.STDEV.S(D965:D1094)</f>
        <v>1.2624269902257255</v>
      </c>
      <c r="H965" s="2" t="str">
        <f t="shared" ref="H965:H1028" si="404">IF(AVERAGEA(C965:C985)&gt;AVERAGE(C986:C1006),"Higher","Lower")</f>
        <v>Higher</v>
      </c>
      <c r="I965" s="2" t="str">
        <f t="shared" ref="I965:I1028" si="405">IF(AVERAGEA(C965:C1020)&gt;AVERAGE(C1021:C1076),"Higher","Lower")</f>
        <v>Lower</v>
      </c>
      <c r="J965" s="2" t="e">
        <f t="shared" ref="J965:J1028" si="406">IF(AVERAGEA(C965:C1077)&gt;AVERAGE(C1078:C1190),"Higher","Lower")</f>
        <v>#DIV/0!</v>
      </c>
      <c r="K965" s="2" t="str">
        <f t="shared" ref="K965:K1028" si="407">IF(AVERAGEA(B965:B985)&gt;AVERAGE(B986:B1006),"Higher","Lower")</f>
        <v>Higher</v>
      </c>
      <c r="L965" s="2" t="str">
        <f t="shared" ref="L965:L1028" si="408">IF(AVERAGEA(B965:B1020)&gt;AVERAGE(B1021:B1076),"Higher","Lower")</f>
        <v>Higher</v>
      </c>
      <c r="M965" s="2" t="e">
        <f t="shared" ref="M965:M1028" si="409">IF(AVERAGEA(B965:B1077)&gt;AVERAGE(B1078:B1190),"Higher","Lower")</f>
        <v>#DIV/0!</v>
      </c>
      <c r="N965" s="2" t="str">
        <f t="shared" ref="N965:N1028" si="410">IF(AVERAGEA(D965:D985)&gt;AVERAGE(D986:D1006),"Higher","Lower")</f>
        <v>Higher</v>
      </c>
      <c r="O965" s="2" t="str">
        <f t="shared" ref="O965:O1028" si="411">IF(AVERAGEA(D965:D1020)&gt;AVERAGE(D1021:D1076),"Higher","Lower")</f>
        <v>Lower</v>
      </c>
      <c r="P965" s="2" t="e">
        <f t="shared" ref="P965:P1028" si="412">IF(AVERAGEA(D965:D1077)&gt;AVERAGE(D1078:D1190),"Higher","Lower")</f>
        <v>#DIV/0!</v>
      </c>
      <c r="X965" s="4">
        <f>DATE(2020,11,18)</f>
        <v>44153</v>
      </c>
      <c r="Y965">
        <v>30.561807575412569</v>
      </c>
      <c r="Z965">
        <v>28.672989571414437</v>
      </c>
      <c r="AA965">
        <v>27.405000000000001</v>
      </c>
      <c r="AB965">
        <v>13.725</v>
      </c>
      <c r="AC965">
        <f t="shared" ref="AC965:AD1028" si="413">IFERROR(LN(AA965/AA970),"")</f>
        <v>3.9067468190909706E-2</v>
      </c>
      <c r="AD965">
        <f t="shared" si="413"/>
        <v>-3.0318942638947598E-2</v>
      </c>
      <c r="AE965">
        <f t="shared" ref="AE965:AE1028" si="414">IFERROR(AD965-AC965,"")</f>
        <v>-6.9386410829857303E-2</v>
      </c>
      <c r="AF965">
        <f t="shared" ref="AF965:AF1028" si="415">IFERROR((AE965-AVERAGEA(AE965:AE1487))/_xlfn.STDEV.S(AE965:AE1482),"")</f>
        <v>-1.1196289166336799</v>
      </c>
      <c r="AH965">
        <f t="shared" ref="AH965:AI1028" si="416">IFERROR(LN(AA965/AA985),"")</f>
        <v>0.14409076547556965</v>
      </c>
      <c r="AI965">
        <f t="shared" si="416"/>
        <v>-8.0294882684329327E-2</v>
      </c>
      <c r="AJ965">
        <f t="shared" ref="AJ965:AJ1028" si="417">IFERROR(AI965-AH965,"")</f>
        <v>-0.22438564815989898</v>
      </c>
      <c r="AK965">
        <f t="shared" ref="AK965:AK1028" si="418">IFERROR((AJ965-AVERAGEA(AJ965:AJ1487))/_xlfn.STDEV.S(AJ965:AJ1482),"")</f>
        <v>-2.4113162538201496</v>
      </c>
      <c r="AM965">
        <f t="shared" ref="AM965:AN1028" si="419">IFERROR(LN(AA965/AA1025),"")</f>
        <v>-4.5823151495193552E-2</v>
      </c>
      <c r="AN965">
        <f t="shared" si="419"/>
        <v>0.40028727939880177</v>
      </c>
      <c r="AO965">
        <f t="shared" ref="AO965:AO1028" si="420">IFERROR(AN965-AM965,"")</f>
        <v>0.44611043089399532</v>
      </c>
      <c r="AP965">
        <f t="shared" ref="AP965:AP1028" si="421">IFERROR((AO965-AVERAGEA(AO965:AO1487))/_xlfn.STDEV.S(AO965:AO1482),"")</f>
        <v>1.0422403145270587</v>
      </c>
      <c r="AR965" t="str">
        <f t="shared" ref="AR965:AR1028" si="422">IFERROR(LN(AA965/AA1165),"")</f>
        <v/>
      </c>
      <c r="AS965" t="str">
        <f t="shared" ref="AS965:AS1028" si="423">IFERROR(LN(AB965/AB1165),"")</f>
        <v/>
      </c>
      <c r="AT965" t="str">
        <f t="shared" ref="AT965:AT1028" si="424">IFERROR(AS965-AR965,"")</f>
        <v/>
      </c>
      <c r="AU965" t="str">
        <f t="shared" ref="AU965:AU1028" si="425">IFERROR((AT965-AVERAGEA(AT965:AT1487))/_xlfn.STDEV.S(AT965:AT1482),"")</f>
        <v/>
      </c>
    </row>
    <row r="966" spans="1:47" x14ac:dyDescent="0.25">
      <c r="A966" s="4">
        <f>DATE(2020,11,17)</f>
        <v>44152</v>
      </c>
      <c r="B966">
        <v>0.32615217498478588</v>
      </c>
      <c r="C966">
        <v>56.031049877433439</v>
      </c>
      <c r="D966">
        <v>0.81268215221096629</v>
      </c>
      <c r="E966">
        <f t="shared" si="401"/>
        <v>1.7190859041021853</v>
      </c>
      <c r="F966">
        <f t="shared" si="402"/>
        <v>0.92884829322214768</v>
      </c>
      <c r="G966">
        <f t="shared" si="403"/>
        <v>1.0889599971079931</v>
      </c>
      <c r="H966" s="2" t="str">
        <f t="shared" si="404"/>
        <v>Higher</v>
      </c>
      <c r="I966" s="2" t="str">
        <f t="shared" si="405"/>
        <v>Lower</v>
      </c>
      <c r="J966" s="2" t="e">
        <f t="shared" si="406"/>
        <v>#DIV/0!</v>
      </c>
      <c r="K966" s="2" t="str">
        <f t="shared" si="407"/>
        <v>Higher</v>
      </c>
      <c r="L966" s="2" t="str">
        <f t="shared" si="408"/>
        <v>Higher</v>
      </c>
      <c r="M966" s="2" t="e">
        <f t="shared" si="409"/>
        <v>#DIV/0!</v>
      </c>
      <c r="N966" s="2" t="str">
        <f t="shared" si="410"/>
        <v>Higher</v>
      </c>
      <c r="O966" s="2" t="str">
        <f t="shared" si="411"/>
        <v>Lower</v>
      </c>
      <c r="P966" s="2" t="e">
        <f t="shared" si="412"/>
        <v>#DIV/0!</v>
      </c>
      <c r="X966" s="4">
        <f>DATE(2020,11,17)</f>
        <v>44152</v>
      </c>
      <c r="Y966">
        <v>29.133446801825585</v>
      </c>
      <c r="Z966">
        <v>30.632068030771066</v>
      </c>
      <c r="AA966">
        <v>26.827500000000001</v>
      </c>
      <c r="AB966">
        <v>14.035</v>
      </c>
      <c r="AC966">
        <f t="shared" si="413"/>
        <v>1.9383369376545362E-2</v>
      </c>
      <c r="AD966">
        <f t="shared" si="413"/>
        <v>3.9264730081816027E-3</v>
      </c>
      <c r="AE966">
        <f t="shared" si="414"/>
        <v>-1.5456896368363759E-2</v>
      </c>
      <c r="AF966">
        <f t="shared" si="415"/>
        <v>-0.66631147341024466</v>
      </c>
      <c r="AH966">
        <f t="shared" si="416"/>
        <v>9.1979603364565191E-2</v>
      </c>
      <c r="AI966">
        <f t="shared" si="416"/>
        <v>-5.52665093368154E-2</v>
      </c>
      <c r="AJ966">
        <f t="shared" si="417"/>
        <v>-0.1472461127013806</v>
      </c>
      <c r="AK966">
        <f t="shared" si="418"/>
        <v>-2.1015581647305419</v>
      </c>
      <c r="AM966">
        <f t="shared" si="419"/>
        <v>-5.5199549354615629E-2</v>
      </c>
      <c r="AN966">
        <f t="shared" si="419"/>
        <v>0.47307210134328037</v>
      </c>
      <c r="AO966">
        <f t="shared" si="420"/>
        <v>0.52827165069789594</v>
      </c>
      <c r="AP966">
        <f t="shared" si="421"/>
        <v>1.4357863512667397</v>
      </c>
      <c r="AR966" t="str">
        <f t="shared" si="422"/>
        <v/>
      </c>
      <c r="AS966" t="str">
        <f t="shared" si="423"/>
        <v/>
      </c>
      <c r="AT966" t="str">
        <f t="shared" si="424"/>
        <v/>
      </c>
      <c r="AU966" t="str">
        <f t="shared" si="425"/>
        <v/>
      </c>
    </row>
    <row r="967" spans="1:47" x14ac:dyDescent="0.25">
      <c r="A967" s="4">
        <f>DATE(2020,11,16)</f>
        <v>44151</v>
      </c>
      <c r="B967">
        <v>0.36175738676789387</v>
      </c>
      <c r="C967">
        <v>61.461871073454923</v>
      </c>
      <c r="D967">
        <v>1.0021223415346416</v>
      </c>
      <c r="E967">
        <f t="shared" si="401"/>
        <v>1.9259903038310893</v>
      </c>
      <c r="F967">
        <f t="shared" si="402"/>
        <v>1.6768125790077526</v>
      </c>
      <c r="G967">
        <f t="shared" si="403"/>
        <v>1.6805267721284394</v>
      </c>
      <c r="H967" s="2" t="str">
        <f t="shared" si="404"/>
        <v>Higher</v>
      </c>
      <c r="I967" s="2" t="str">
        <f t="shared" si="405"/>
        <v>Lower</v>
      </c>
      <c r="J967" s="2" t="e">
        <f t="shared" si="406"/>
        <v>#DIV/0!</v>
      </c>
      <c r="K967" s="2" t="str">
        <f t="shared" si="407"/>
        <v>Higher</v>
      </c>
      <c r="L967" s="2" t="str">
        <f t="shared" si="408"/>
        <v>Higher</v>
      </c>
      <c r="M967" s="2" t="e">
        <f t="shared" si="409"/>
        <v>#DIV/0!</v>
      </c>
      <c r="N967" s="2" t="str">
        <f t="shared" si="410"/>
        <v>Higher</v>
      </c>
      <c r="O967" s="2" t="str">
        <f t="shared" si="411"/>
        <v>Lower</v>
      </c>
      <c r="P967" s="2" t="e">
        <f t="shared" si="412"/>
        <v>#DIV/0!</v>
      </c>
      <c r="X967" s="4">
        <f>DATE(2020,11,16)</f>
        <v>44151</v>
      </c>
      <c r="Y967">
        <v>30.82216832144039</v>
      </c>
      <c r="Z967">
        <v>34.328904423689792</v>
      </c>
      <c r="AA967">
        <v>27.195</v>
      </c>
      <c r="AB967">
        <v>14.5025</v>
      </c>
      <c r="AC967">
        <f t="shared" si="413"/>
        <v>3.0142719700484964E-2</v>
      </c>
      <c r="AD967">
        <f t="shared" si="413"/>
        <v>4.6216337432960317E-2</v>
      </c>
      <c r="AE967">
        <f t="shared" si="414"/>
        <v>1.6073617732475353E-2</v>
      </c>
      <c r="AF967">
        <f t="shared" si="415"/>
        <v>-0.39854604710806762</v>
      </c>
      <c r="AH967">
        <f t="shared" si="416"/>
        <v>8.6860959581038164E-2</v>
      </c>
      <c r="AI967">
        <f t="shared" si="416"/>
        <v>-1.4206486255263853E-2</v>
      </c>
      <c r="AJ967">
        <f t="shared" si="417"/>
        <v>-0.10106744583630202</v>
      </c>
      <c r="AK967">
        <f t="shared" si="418"/>
        <v>-1.9233572644052321</v>
      </c>
      <c r="AM967">
        <f t="shared" si="419"/>
        <v>3.130469364349919E-3</v>
      </c>
      <c r="AN967">
        <f t="shared" si="419"/>
        <v>0.56002528393778284</v>
      </c>
      <c r="AO967">
        <f t="shared" si="420"/>
        <v>0.55689481457343293</v>
      </c>
      <c r="AP967">
        <f t="shared" si="421"/>
        <v>1.5805776148838229</v>
      </c>
      <c r="AR967" t="str">
        <f t="shared" si="422"/>
        <v/>
      </c>
      <c r="AS967" t="str">
        <f t="shared" si="423"/>
        <v/>
      </c>
      <c r="AT967" t="str">
        <f t="shared" si="424"/>
        <v/>
      </c>
      <c r="AU967" t="str">
        <f t="shared" si="425"/>
        <v/>
      </c>
    </row>
    <row r="968" spans="1:47" x14ac:dyDescent="0.25">
      <c r="A968" s="4">
        <f>DATE(2020,11,13)</f>
        <v>44148</v>
      </c>
      <c r="B968">
        <v>0.31377963936818543</v>
      </c>
      <c r="C968">
        <v>55.539723127539752</v>
      </c>
      <c r="D968">
        <v>0.83597089293471971</v>
      </c>
      <c r="E968">
        <f t="shared" si="401"/>
        <v>1.7605905521273795</v>
      </c>
      <c r="F968">
        <f t="shared" si="402"/>
        <v>0.90446924685391794</v>
      </c>
      <c r="G968">
        <f t="shared" si="403"/>
        <v>1.2100208418360396</v>
      </c>
      <c r="H968" s="2" t="str">
        <f t="shared" si="404"/>
        <v>Lower</v>
      </c>
      <c r="I968" s="2" t="str">
        <f t="shared" si="405"/>
        <v>Lower</v>
      </c>
      <c r="J968" s="2" t="e">
        <f t="shared" si="406"/>
        <v>#DIV/0!</v>
      </c>
      <c r="K968" s="2" t="str">
        <f t="shared" si="407"/>
        <v>Higher</v>
      </c>
      <c r="L968" s="2" t="str">
        <f t="shared" si="408"/>
        <v>Higher</v>
      </c>
      <c r="M968" s="2" t="e">
        <f t="shared" si="409"/>
        <v>#DIV/0!</v>
      </c>
      <c r="N968" s="2" t="str">
        <f t="shared" si="410"/>
        <v>Higher</v>
      </c>
      <c r="O968" s="2" t="str">
        <f t="shared" si="411"/>
        <v>Lower</v>
      </c>
      <c r="P968" s="2" t="e">
        <f t="shared" si="412"/>
        <v>#DIV/0!</v>
      </c>
      <c r="X968" s="4">
        <f>DATE(2020,11,13)</f>
        <v>44148</v>
      </c>
      <c r="Y968">
        <v>26.881549229402058</v>
      </c>
      <c r="Z968">
        <v>31.52261803658498</v>
      </c>
      <c r="AA968">
        <v>26.16</v>
      </c>
      <c r="AB968">
        <v>14.245000000000001</v>
      </c>
      <c r="AC968">
        <f t="shared" si="413"/>
        <v>2.5553074424617486E-2</v>
      </c>
      <c r="AD968">
        <f t="shared" si="413"/>
        <v>2.0299416172006854E-2</v>
      </c>
      <c r="AE968">
        <f t="shared" si="414"/>
        <v>-5.2536582526106317E-3</v>
      </c>
      <c r="AF968">
        <f t="shared" si="415"/>
        <v>-0.58556385028793156</v>
      </c>
      <c r="AH968">
        <f t="shared" si="416"/>
        <v>4.425630627749625E-2</v>
      </c>
      <c r="AI968">
        <f t="shared" si="416"/>
        <v>-1.9034949586710544E-2</v>
      </c>
      <c r="AJ968">
        <f t="shared" si="417"/>
        <v>-6.3291255864206794E-2</v>
      </c>
      <c r="AK968">
        <f t="shared" si="418"/>
        <v>-1.7677868828185517</v>
      </c>
      <c r="AM968">
        <f t="shared" si="419"/>
        <v>2.0272921353334139E-2</v>
      </c>
      <c r="AN968">
        <f t="shared" si="419"/>
        <v>0.61892639322870191</v>
      </c>
      <c r="AO968">
        <f t="shared" si="420"/>
        <v>0.59865347187536777</v>
      </c>
      <c r="AP968">
        <f t="shared" si="421"/>
        <v>1.7783489636599581</v>
      </c>
      <c r="AR968" t="str">
        <f t="shared" si="422"/>
        <v/>
      </c>
      <c r="AS968" t="str">
        <f t="shared" si="423"/>
        <v/>
      </c>
      <c r="AT968" t="str">
        <f t="shared" si="424"/>
        <v/>
      </c>
      <c r="AU968" t="str">
        <f t="shared" si="425"/>
        <v/>
      </c>
    </row>
    <row r="969" spans="1:47" x14ac:dyDescent="0.25">
      <c r="A969" s="4">
        <f>DATE(2020,11,12)</f>
        <v>44147</v>
      </c>
      <c r="B969">
        <v>0.32715816721463087</v>
      </c>
      <c r="C969">
        <v>53.382216261194166</v>
      </c>
      <c r="D969">
        <v>0.78222943646513465</v>
      </c>
      <c r="E969">
        <f t="shared" si="401"/>
        <v>1.8712867632681598</v>
      </c>
      <c r="F969">
        <f t="shared" si="402"/>
        <v>0.61886921845895526</v>
      </c>
      <c r="G969">
        <f t="shared" si="403"/>
        <v>1.063059164964024</v>
      </c>
      <c r="H969" s="2" t="str">
        <f t="shared" si="404"/>
        <v>Lower</v>
      </c>
      <c r="I969" s="2" t="str">
        <f t="shared" si="405"/>
        <v>Lower</v>
      </c>
      <c r="J969" s="2" t="e">
        <f t="shared" si="406"/>
        <v>#DIV/0!</v>
      </c>
      <c r="K969" s="2" t="str">
        <f t="shared" si="407"/>
        <v>Higher</v>
      </c>
      <c r="L969" s="2" t="str">
        <f t="shared" si="408"/>
        <v>Higher</v>
      </c>
      <c r="M969" s="2" t="e">
        <f t="shared" si="409"/>
        <v>#DIV/0!</v>
      </c>
      <c r="N969" s="2" t="str">
        <f t="shared" si="410"/>
        <v>Higher</v>
      </c>
      <c r="O969" s="2" t="str">
        <f t="shared" si="411"/>
        <v>Lower</v>
      </c>
      <c r="P969" s="2" t="e">
        <f t="shared" si="412"/>
        <v>#DIV/0!</v>
      </c>
      <c r="X969" s="4">
        <f>DATE(2020,11,12)</f>
        <v>44147</v>
      </c>
      <c r="Y969">
        <v>26.416324425766817</v>
      </c>
      <c r="Z969">
        <v>30.200047972934037</v>
      </c>
      <c r="AA969">
        <v>25.91</v>
      </c>
      <c r="AB969">
        <v>14.025</v>
      </c>
      <c r="AC969">
        <f t="shared" si="413"/>
        <v>6.3885610759140668E-3</v>
      </c>
      <c r="AD969">
        <f t="shared" si="413"/>
        <v>-2.8294656194224423E-2</v>
      </c>
      <c r="AE969">
        <f t="shared" si="414"/>
        <v>-3.468321727013849E-2</v>
      </c>
      <c r="AF969">
        <f t="shared" si="415"/>
        <v>-0.84370774718347374</v>
      </c>
      <c r="AH969">
        <f t="shared" si="416"/>
        <v>3.2657964798515321E-2</v>
      </c>
      <c r="AI969">
        <f t="shared" si="416"/>
        <v>-9.2264671551029673E-3</v>
      </c>
      <c r="AJ969">
        <f t="shared" si="417"/>
        <v>-4.1884431953618288E-2</v>
      </c>
      <c r="AK969">
        <f t="shared" si="418"/>
        <v>-1.7041943546993679</v>
      </c>
      <c r="AM969">
        <f t="shared" si="419"/>
        <v>-9.6441322934487275E-4</v>
      </c>
      <c r="AN969">
        <f t="shared" si="419"/>
        <v>0.53594539233979066</v>
      </c>
      <c r="AO969">
        <f t="shared" si="420"/>
        <v>0.53690980556913548</v>
      </c>
      <c r="AP969">
        <f t="shared" si="421"/>
        <v>1.5125287447640723</v>
      </c>
      <c r="AR969" t="str">
        <f t="shared" si="422"/>
        <v/>
      </c>
      <c r="AS969" t="str">
        <f t="shared" si="423"/>
        <v/>
      </c>
      <c r="AT969" t="str">
        <f t="shared" si="424"/>
        <v/>
      </c>
      <c r="AU969" t="str">
        <f t="shared" si="425"/>
        <v/>
      </c>
    </row>
    <row r="970" spans="1:47" x14ac:dyDescent="0.25">
      <c r="A970" s="4">
        <f>DATE(2020,11,11)</f>
        <v>44146</v>
      </c>
      <c r="B970">
        <v>0.36208630739095005</v>
      </c>
      <c r="C970">
        <v>54.823171923729355</v>
      </c>
      <c r="D970">
        <v>0.85672255097934091</v>
      </c>
      <c r="E970">
        <f t="shared" si="401"/>
        <v>2.0958820706088654</v>
      </c>
      <c r="F970">
        <f t="shared" si="402"/>
        <v>0.82126705767996988</v>
      </c>
      <c r="G970">
        <f t="shared" si="403"/>
        <v>1.3081370803088597</v>
      </c>
      <c r="H970" s="2" t="str">
        <f t="shared" si="404"/>
        <v>Lower</v>
      </c>
      <c r="I970" s="2" t="str">
        <f t="shared" si="405"/>
        <v>Lower</v>
      </c>
      <c r="J970" s="2" t="e">
        <f t="shared" si="406"/>
        <v>#DIV/0!</v>
      </c>
      <c r="K970" s="2" t="str">
        <f t="shared" si="407"/>
        <v>Higher</v>
      </c>
      <c r="L970" s="2" t="str">
        <f t="shared" si="408"/>
        <v>Higher</v>
      </c>
      <c r="M970" s="2" t="e">
        <f t="shared" si="409"/>
        <v>#DIV/0!</v>
      </c>
      <c r="N970" s="2" t="str">
        <f t="shared" si="410"/>
        <v>Higher</v>
      </c>
      <c r="O970" s="2" t="str">
        <f t="shared" si="411"/>
        <v>Higher</v>
      </c>
      <c r="P970" s="2" t="e">
        <f t="shared" si="412"/>
        <v>#DIV/0!</v>
      </c>
      <c r="X970" s="4">
        <f>DATE(2020,11,11)</f>
        <v>44146</v>
      </c>
      <c r="Y970">
        <v>27.486713017609315</v>
      </c>
      <c r="Z970">
        <v>31.258284620778586</v>
      </c>
      <c r="AA970">
        <v>26.354999999999997</v>
      </c>
      <c r="AB970">
        <v>14.147500000000001</v>
      </c>
      <c r="AC970">
        <f t="shared" si="413"/>
        <v>5.9706100511793501E-2</v>
      </c>
      <c r="AD970">
        <f t="shared" si="413"/>
        <v>2.0350577358056392E-2</v>
      </c>
      <c r="AE970">
        <f t="shared" si="414"/>
        <v>-3.935552315373711E-2</v>
      </c>
      <c r="AF970">
        <f t="shared" si="415"/>
        <v>-0.89358588549574991</v>
      </c>
      <c r="AH970">
        <f t="shared" si="416"/>
        <v>2.8772732978617415E-2</v>
      </c>
      <c r="AI970">
        <f t="shared" si="416"/>
        <v>2.0801535652057508E-2</v>
      </c>
      <c r="AJ970">
        <f t="shared" si="417"/>
        <v>-7.9711973265599069E-3</v>
      </c>
      <c r="AK970">
        <f t="shared" si="418"/>
        <v>-1.5358224405547898</v>
      </c>
      <c r="AM970">
        <f t="shared" si="419"/>
        <v>6.6423117686276601E-4</v>
      </c>
      <c r="AN970">
        <f t="shared" si="419"/>
        <v>0.51566739042823406</v>
      </c>
      <c r="AO970">
        <f t="shared" si="420"/>
        <v>0.5150031592513713</v>
      </c>
      <c r="AP970">
        <f t="shared" si="421"/>
        <v>1.4444064789029352</v>
      </c>
      <c r="AR970" t="str">
        <f t="shared" si="422"/>
        <v/>
      </c>
      <c r="AS970" t="str">
        <f t="shared" si="423"/>
        <v/>
      </c>
      <c r="AT970" t="str">
        <f t="shared" si="424"/>
        <v/>
      </c>
      <c r="AU970" t="str">
        <f t="shared" si="425"/>
        <v/>
      </c>
    </row>
    <row r="971" spans="1:47" x14ac:dyDescent="0.25">
      <c r="A971" s="4">
        <f>DATE(2020,11,10)</f>
        <v>44145</v>
      </c>
      <c r="B971">
        <v>0.37162771518083026</v>
      </c>
      <c r="C971">
        <v>55.485497625116523</v>
      </c>
      <c r="D971">
        <v>0.89626239018879084</v>
      </c>
      <c r="E971">
        <f t="shared" si="401"/>
        <v>2.22009307635919</v>
      </c>
      <c r="F971">
        <f t="shared" si="402"/>
        <v>0.92053873753186266</v>
      </c>
      <c r="G971">
        <f t="shared" si="403"/>
        <v>1.454473532192734</v>
      </c>
      <c r="H971" s="2" t="str">
        <f t="shared" si="404"/>
        <v>Lower</v>
      </c>
      <c r="I971" s="2" t="str">
        <f t="shared" si="405"/>
        <v>Lower</v>
      </c>
      <c r="J971" s="2" t="e">
        <f t="shared" si="406"/>
        <v>#DIV/0!</v>
      </c>
      <c r="K971" s="2" t="str">
        <f t="shared" si="407"/>
        <v>Higher</v>
      </c>
      <c r="L971" s="2" t="str">
        <f t="shared" si="408"/>
        <v>Higher</v>
      </c>
      <c r="M971" s="2" t="e">
        <f t="shared" si="409"/>
        <v>#DIV/0!</v>
      </c>
      <c r="N971" s="2" t="str">
        <f t="shared" si="410"/>
        <v>Lower</v>
      </c>
      <c r="O971" s="2" t="str">
        <f t="shared" si="411"/>
        <v>Higher</v>
      </c>
      <c r="P971" s="2" t="e">
        <f t="shared" si="412"/>
        <v>#DIV/0!</v>
      </c>
      <c r="X971" s="4">
        <f>DATE(2020,11,10)</f>
        <v>44145</v>
      </c>
      <c r="Y971">
        <v>26.389343115354073</v>
      </c>
      <c r="Z971">
        <v>29.517162474499102</v>
      </c>
      <c r="AA971">
        <v>26.3125</v>
      </c>
      <c r="AB971">
        <v>13.98</v>
      </c>
      <c r="AC971">
        <f t="shared" si="413"/>
        <v>8.1112162947471311E-2</v>
      </c>
      <c r="AD971">
        <f t="shared" si="413"/>
        <v>1.9502243231441101E-2</v>
      </c>
      <c r="AE971">
        <f t="shared" si="414"/>
        <v>-6.1609919716030206E-2</v>
      </c>
      <c r="AF971">
        <f t="shared" si="415"/>
        <v>-1.0956626850516835</v>
      </c>
      <c r="AH971">
        <f t="shared" si="416"/>
        <v>3.7364005598002459E-2</v>
      </c>
      <c r="AI971">
        <f t="shared" si="416"/>
        <v>2.7925658721230259E-2</v>
      </c>
      <c r="AJ971">
        <f t="shared" si="417"/>
        <v>-9.4383468767722002E-3</v>
      </c>
      <c r="AK971">
        <f t="shared" si="418"/>
        <v>-1.6196502625657663</v>
      </c>
      <c r="AM971">
        <f t="shared" si="419"/>
        <v>-6.4400260459139781E-3</v>
      </c>
      <c r="AN971">
        <f t="shared" si="419"/>
        <v>0.49623891899062483</v>
      </c>
      <c r="AO971">
        <f t="shared" si="420"/>
        <v>0.50267894503653876</v>
      </c>
      <c r="AP971">
        <f t="shared" si="421"/>
        <v>1.4353147287207866</v>
      </c>
      <c r="AR971" t="str">
        <f t="shared" si="422"/>
        <v/>
      </c>
      <c r="AS971" t="str">
        <f t="shared" si="423"/>
        <v/>
      </c>
      <c r="AT971" t="str">
        <f t="shared" si="424"/>
        <v/>
      </c>
      <c r="AU971" t="str">
        <f t="shared" si="425"/>
        <v/>
      </c>
    </row>
    <row r="972" spans="1:47" x14ac:dyDescent="0.25">
      <c r="A972" s="4">
        <f>DATE(2020,11,9)</f>
        <v>44144</v>
      </c>
      <c r="B972">
        <v>0.35238491930002203</v>
      </c>
      <c r="C972">
        <v>57.551121805109098</v>
      </c>
      <c r="D972">
        <v>1.0224915600000768</v>
      </c>
      <c r="E972">
        <f t="shared" si="401"/>
        <v>2.2140675079801202</v>
      </c>
      <c r="F972">
        <f t="shared" si="402"/>
        <v>1.2132366499448197</v>
      </c>
      <c r="G972">
        <f t="shared" si="403"/>
        <v>1.8803736328394134</v>
      </c>
      <c r="H972" s="2" t="str">
        <f t="shared" si="404"/>
        <v>Lower</v>
      </c>
      <c r="I972" s="2" t="str">
        <f t="shared" si="405"/>
        <v>Higher</v>
      </c>
      <c r="J972" s="2" t="e">
        <f t="shared" si="406"/>
        <v>#DIV/0!</v>
      </c>
      <c r="K972" s="2" t="str">
        <f t="shared" si="407"/>
        <v>Higher</v>
      </c>
      <c r="L972" s="2" t="str">
        <f t="shared" si="408"/>
        <v>Higher</v>
      </c>
      <c r="M972" s="2" t="e">
        <f t="shared" si="409"/>
        <v>#DIV/0!</v>
      </c>
      <c r="N972" s="2" t="str">
        <f t="shared" si="410"/>
        <v>Lower</v>
      </c>
      <c r="O972" s="2" t="str">
        <f t="shared" si="411"/>
        <v>Higher</v>
      </c>
      <c r="P972" s="2" t="e">
        <f t="shared" si="412"/>
        <v>#DIV/0!</v>
      </c>
      <c r="X972" s="4">
        <f>DATE(2020,11,9)</f>
        <v>44144</v>
      </c>
      <c r="Y972">
        <v>27.292833248409092</v>
      </c>
      <c r="Z972">
        <v>31.452365092510188</v>
      </c>
      <c r="AA972">
        <v>26.387500000000003</v>
      </c>
      <c r="AB972">
        <v>13.8475</v>
      </c>
      <c r="AC972">
        <f t="shared" si="413"/>
        <v>0.11674141821454334</v>
      </c>
      <c r="AD972">
        <f t="shared" si="413"/>
        <v>1.5648063107042295E-2</v>
      </c>
      <c r="AE972">
        <f t="shared" si="414"/>
        <v>-0.10109335510750105</v>
      </c>
      <c r="AF972">
        <f t="shared" si="415"/>
        <v>-1.4526384561201902</v>
      </c>
      <c r="AH972">
        <f t="shared" si="416"/>
        <v>2.5718719151391064E-2</v>
      </c>
      <c r="AI972">
        <f t="shared" si="416"/>
        <v>4.7050394434203615E-3</v>
      </c>
      <c r="AJ972">
        <f t="shared" si="417"/>
        <v>-2.1013679707970703E-2</v>
      </c>
      <c r="AK972">
        <f t="shared" si="418"/>
        <v>-1.8007851788362734</v>
      </c>
      <c r="AM972">
        <f t="shared" si="419"/>
        <v>1.4409333713878926E-2</v>
      </c>
      <c r="AN972">
        <f t="shared" si="419"/>
        <v>0.51728563355303081</v>
      </c>
      <c r="AO972">
        <f t="shared" si="420"/>
        <v>0.50287629983915183</v>
      </c>
      <c r="AP972">
        <f t="shared" si="421"/>
        <v>1.5059527729843072</v>
      </c>
      <c r="AR972" t="str">
        <f t="shared" si="422"/>
        <v/>
      </c>
      <c r="AS972" t="str">
        <f t="shared" si="423"/>
        <v/>
      </c>
      <c r="AT972" t="str">
        <f t="shared" si="424"/>
        <v/>
      </c>
      <c r="AU972" t="str">
        <f t="shared" si="425"/>
        <v/>
      </c>
    </row>
    <row r="973" spans="1:47" x14ac:dyDescent="0.25">
      <c r="A973" s="4">
        <f>DATE(2020,11,6)</f>
        <v>44141</v>
      </c>
      <c r="B973">
        <v>0.26777868804542426</v>
      </c>
      <c r="C973">
        <v>51.6480197498812</v>
      </c>
      <c r="D973">
        <v>0.73789819843191418</v>
      </c>
      <c r="E973">
        <f t="shared" si="401"/>
        <v>1.8650302800085978</v>
      </c>
      <c r="F973">
        <f t="shared" si="402"/>
        <v>0.42646983472948158</v>
      </c>
      <c r="G973">
        <f t="shared" si="403"/>
        <v>1.0321590500508615</v>
      </c>
      <c r="H973" s="2" t="str">
        <f t="shared" si="404"/>
        <v>Lower</v>
      </c>
      <c r="I973" s="2" t="str">
        <f t="shared" si="405"/>
        <v>Higher</v>
      </c>
      <c r="J973" s="2" t="e">
        <f t="shared" si="406"/>
        <v>#DIV/0!</v>
      </c>
      <c r="K973" s="2" t="str">
        <f t="shared" si="407"/>
        <v>Higher</v>
      </c>
      <c r="L973" s="2" t="str">
        <f t="shared" si="408"/>
        <v>Higher</v>
      </c>
      <c r="M973" s="2" t="e">
        <f t="shared" si="409"/>
        <v>#DIV/0!</v>
      </c>
      <c r="N973" s="2" t="str">
        <f t="shared" si="410"/>
        <v>Lower</v>
      </c>
      <c r="O973" s="2" t="str">
        <f t="shared" si="411"/>
        <v>Higher</v>
      </c>
      <c r="P973" s="2" t="e">
        <f t="shared" si="412"/>
        <v>#DIV/0!</v>
      </c>
      <c r="X973" s="4">
        <f>DATE(2020,11,6)</f>
        <v>44141</v>
      </c>
      <c r="Y973">
        <v>23.21508266441575</v>
      </c>
      <c r="Z973">
        <v>34.653491475271487</v>
      </c>
      <c r="AA973">
        <v>25.5</v>
      </c>
      <c r="AB973">
        <v>13.95875</v>
      </c>
      <c r="AC973">
        <f t="shared" si="413"/>
        <v>7.2992455810298784E-2</v>
      </c>
      <c r="AD973">
        <f t="shared" si="413"/>
        <v>-1.0600019083293359E-2</v>
      </c>
      <c r="AE973">
        <f t="shared" si="414"/>
        <v>-8.3592474893592145E-2</v>
      </c>
      <c r="AF973">
        <f t="shared" si="415"/>
        <v>-1.3346516063200002</v>
      </c>
      <c r="AH973">
        <f t="shared" si="416"/>
        <v>-1.4695413111387813E-2</v>
      </c>
      <c r="AI973">
        <f t="shared" si="416"/>
        <v>1.3523466105727227E-2</v>
      </c>
      <c r="AJ973">
        <f t="shared" si="417"/>
        <v>2.821887921711504E-2</v>
      </c>
      <c r="AK973">
        <f t="shared" si="418"/>
        <v>-1.4983937995761165</v>
      </c>
      <c r="AM973">
        <f t="shared" si="419"/>
        <v>5.2096249932796759E-3</v>
      </c>
      <c r="AN973">
        <f t="shared" si="419"/>
        <v>0.5701936103278552</v>
      </c>
      <c r="AO973">
        <f t="shared" si="420"/>
        <v>0.5649839853345755</v>
      </c>
      <c r="AP973">
        <f t="shared" si="421"/>
        <v>1.912240271947778</v>
      </c>
      <c r="AR973" t="str">
        <f t="shared" si="422"/>
        <v/>
      </c>
      <c r="AS973" t="str">
        <f t="shared" si="423"/>
        <v/>
      </c>
      <c r="AT973" t="str">
        <f t="shared" si="424"/>
        <v/>
      </c>
      <c r="AU973" t="str">
        <f t="shared" si="425"/>
        <v/>
      </c>
    </row>
    <row r="974" spans="1:47" x14ac:dyDescent="0.25">
      <c r="A974" s="4">
        <f>DATE(2020,11,5)</f>
        <v>44140</v>
      </c>
      <c r="B974">
        <v>0.2348814725335433</v>
      </c>
      <c r="C974">
        <v>55.178946476458833</v>
      </c>
      <c r="D974">
        <v>0.89086177089526686</v>
      </c>
      <c r="E974">
        <f t="shared" si="401"/>
        <v>1.7491913195671378</v>
      </c>
      <c r="F974">
        <f t="shared" si="402"/>
        <v>0.9098970631766331</v>
      </c>
      <c r="G974">
        <f t="shared" si="403"/>
        <v>1.5346761789703485</v>
      </c>
      <c r="H974" s="2" t="str">
        <f t="shared" si="404"/>
        <v>Lower</v>
      </c>
      <c r="I974" s="2" t="str">
        <f t="shared" si="405"/>
        <v>Lower</v>
      </c>
      <c r="J974" s="2" t="e">
        <f t="shared" si="406"/>
        <v>#DIV/0!</v>
      </c>
      <c r="K974" s="2" t="str">
        <f t="shared" si="407"/>
        <v>Lower</v>
      </c>
      <c r="L974" s="2" t="str">
        <f t="shared" si="408"/>
        <v>Higher</v>
      </c>
      <c r="M974" s="2" t="e">
        <f t="shared" si="409"/>
        <v>#DIV/0!</v>
      </c>
      <c r="N974" s="2" t="str">
        <f t="shared" si="410"/>
        <v>Lower</v>
      </c>
      <c r="O974" s="2" t="str">
        <f t="shared" si="411"/>
        <v>Higher</v>
      </c>
      <c r="P974" s="2" t="e">
        <f t="shared" si="412"/>
        <v>#DIV/0!</v>
      </c>
      <c r="X974" s="4">
        <f>DATE(2020,11,5)</f>
        <v>44140</v>
      </c>
      <c r="Y974">
        <v>24.598366902658771</v>
      </c>
      <c r="Z974">
        <v>38.201567119522437</v>
      </c>
      <c r="AA974">
        <v>25.744999999999997</v>
      </c>
      <c r="AB974">
        <v>14.4275</v>
      </c>
      <c r="AC974">
        <f t="shared" si="413"/>
        <v>8.7841538388879717E-2</v>
      </c>
      <c r="AD974">
        <f t="shared" si="413"/>
        <v>1.3168986370999659E-2</v>
      </c>
      <c r="AE974">
        <f t="shared" si="414"/>
        <v>-7.4672552017880062E-2</v>
      </c>
      <c r="AF974">
        <f t="shared" si="415"/>
        <v>-1.2847860728497371</v>
      </c>
      <c r="AH974">
        <f t="shared" si="416"/>
        <v>-2.7866024824367872E-2</v>
      </c>
      <c r="AI974">
        <f t="shared" si="416"/>
        <v>3.7247267466338288E-2</v>
      </c>
      <c r="AJ974">
        <f t="shared" si="417"/>
        <v>6.5113292290706157E-2</v>
      </c>
      <c r="AK974">
        <f t="shared" si="418"/>
        <v>-1.2510920667774181</v>
      </c>
      <c r="AM974">
        <f t="shared" si="419"/>
        <v>5.745743031269861E-3</v>
      </c>
      <c r="AN974">
        <f t="shared" si="419"/>
        <v>0.67494612865826142</v>
      </c>
      <c r="AO974">
        <f t="shared" si="420"/>
        <v>0.66920038562699158</v>
      </c>
      <c r="AP974">
        <f t="shared" si="421"/>
        <v>2.5533086718326636</v>
      </c>
      <c r="AR974" t="str">
        <f t="shared" si="422"/>
        <v/>
      </c>
      <c r="AS974" t="str">
        <f t="shared" si="423"/>
        <v/>
      </c>
      <c r="AT974" t="str">
        <f t="shared" si="424"/>
        <v/>
      </c>
      <c r="AU974" t="str">
        <f t="shared" si="425"/>
        <v/>
      </c>
    </row>
    <row r="975" spans="1:47" x14ac:dyDescent="0.25">
      <c r="A975" s="4">
        <f>DATE(2020,11,4)</f>
        <v>44139</v>
      </c>
      <c r="B975">
        <v>0.11613760871680667</v>
      </c>
      <c r="C975">
        <v>50.274620603053201</v>
      </c>
      <c r="D975">
        <v>0.63003879448169475</v>
      </c>
      <c r="E975">
        <f t="shared" si="401"/>
        <v>1.1599422643983039</v>
      </c>
      <c r="F975">
        <f t="shared" si="402"/>
        <v>0.25529269826927697</v>
      </c>
      <c r="G975">
        <f t="shared" si="403"/>
        <v>0.73067448775697186</v>
      </c>
      <c r="H975" s="2" t="str">
        <f t="shared" si="404"/>
        <v>Lower</v>
      </c>
      <c r="I975" s="2" t="str">
        <f t="shared" si="405"/>
        <v>Lower</v>
      </c>
      <c r="J975" s="2" t="e">
        <f t="shared" si="406"/>
        <v>#DIV/0!</v>
      </c>
      <c r="K975" s="2" t="str">
        <f t="shared" si="407"/>
        <v>Lower</v>
      </c>
      <c r="L975" s="2" t="str">
        <f t="shared" si="408"/>
        <v>Higher</v>
      </c>
      <c r="M975" s="2" t="e">
        <f t="shared" si="409"/>
        <v>#DIV/0!</v>
      </c>
      <c r="N975" s="2" t="str">
        <f t="shared" si="410"/>
        <v>Lower</v>
      </c>
      <c r="O975" s="2" t="str">
        <f t="shared" si="411"/>
        <v>Higher</v>
      </c>
      <c r="P975" s="2" t="e">
        <f t="shared" si="412"/>
        <v>#DIV/0!</v>
      </c>
      <c r="X975" s="4">
        <f>DATE(2020,11,4)</f>
        <v>44139</v>
      </c>
      <c r="Y975">
        <v>20.643013139427101</v>
      </c>
      <c r="Z975">
        <v>35.226654306592167</v>
      </c>
      <c r="AA975">
        <v>24.827500000000001</v>
      </c>
      <c r="AB975">
        <v>13.862500000000001</v>
      </c>
      <c r="AC975">
        <f t="shared" si="413"/>
        <v>6.8446391951952373E-2</v>
      </c>
      <c r="AD975">
        <f t="shared" si="413"/>
        <v>-4.5306064896881784E-2</v>
      </c>
      <c r="AE975">
        <f t="shared" si="414"/>
        <v>-0.11375245684883416</v>
      </c>
      <c r="AF975">
        <f t="shared" si="415"/>
        <v>-1.6551703056535922</v>
      </c>
      <c r="AH975">
        <f t="shared" si="416"/>
        <v>-8.5735095497113917E-2</v>
      </c>
      <c r="AI975">
        <f t="shared" si="416"/>
        <v>1.6272346689313953E-2</v>
      </c>
      <c r="AJ975">
        <f t="shared" si="417"/>
        <v>0.10200744218642788</v>
      </c>
      <c r="AK975">
        <f t="shared" si="418"/>
        <v>-0.96929923946063934</v>
      </c>
      <c r="AM975">
        <f t="shared" si="419"/>
        <v>-4.2194529154743449E-2</v>
      </c>
      <c r="AN975">
        <f t="shared" si="419"/>
        <v>0.66505144918787396</v>
      </c>
      <c r="AO975">
        <f t="shared" si="420"/>
        <v>0.70724597834261738</v>
      </c>
      <c r="AP975">
        <f t="shared" si="421"/>
        <v>2.7974473805791402</v>
      </c>
      <c r="AR975" t="str">
        <f t="shared" si="422"/>
        <v/>
      </c>
      <c r="AS975" t="str">
        <f t="shared" si="423"/>
        <v/>
      </c>
      <c r="AT975" t="str">
        <f t="shared" si="424"/>
        <v/>
      </c>
      <c r="AU975" t="str">
        <f t="shared" si="425"/>
        <v/>
      </c>
    </row>
    <row r="976" spans="1:47" x14ac:dyDescent="0.25">
      <c r="A976" s="4">
        <f>DATE(2020,11,3)</f>
        <v>44138</v>
      </c>
      <c r="B976">
        <v>1.6813040720791372E-2</v>
      </c>
      <c r="C976">
        <v>45.709474906997038</v>
      </c>
      <c r="D976">
        <v>0.41611230777359431</v>
      </c>
      <c r="E976">
        <f t="shared" si="401"/>
        <v>0.64264461495167757</v>
      </c>
      <c r="F976">
        <f t="shared" si="402"/>
        <v>-0.35878739824603301</v>
      </c>
      <c r="G976">
        <f t="shared" si="403"/>
        <v>5.1497920810304354E-2</v>
      </c>
      <c r="H976" s="2" t="str">
        <f t="shared" si="404"/>
        <v>Lower</v>
      </c>
      <c r="I976" s="2" t="str">
        <f t="shared" si="405"/>
        <v>Higher</v>
      </c>
      <c r="J976" s="2" t="e">
        <f t="shared" si="406"/>
        <v>#DIV/0!</v>
      </c>
      <c r="K976" s="2" t="str">
        <f t="shared" si="407"/>
        <v>Lower</v>
      </c>
      <c r="L976" s="2" t="str">
        <f t="shared" si="408"/>
        <v>Higher</v>
      </c>
      <c r="M976" s="2" t="e">
        <f t="shared" si="409"/>
        <v>#DIV/0!</v>
      </c>
      <c r="N976" s="2" t="str">
        <f t="shared" si="410"/>
        <v>Lower</v>
      </c>
      <c r="O976" s="2" t="str">
        <f t="shared" si="411"/>
        <v>Higher</v>
      </c>
      <c r="P976" s="2" t="e">
        <f t="shared" si="412"/>
        <v>#DIV/0!</v>
      </c>
      <c r="X976" s="4">
        <f>DATE(2020,11,3)</f>
        <v>44138</v>
      </c>
      <c r="Y976">
        <v>18.629912431806027</v>
      </c>
      <c r="Z976">
        <v>35.353952946583426</v>
      </c>
      <c r="AA976">
        <v>24.262500000000003</v>
      </c>
      <c r="AB976">
        <v>13.71</v>
      </c>
      <c r="AC976">
        <f t="shared" si="413"/>
        <v>1.2441840123365938E-2</v>
      </c>
      <c r="AD976">
        <f t="shared" si="413"/>
        <v>-6.8275376122930873E-2</v>
      </c>
      <c r="AE976">
        <f t="shared" si="414"/>
        <v>-8.0717216246296811E-2</v>
      </c>
      <c r="AF976">
        <f t="shared" si="415"/>
        <v>-1.4095700464101508</v>
      </c>
      <c r="AH976">
        <f t="shared" si="416"/>
        <v>-9.8630034161518956E-2</v>
      </c>
      <c r="AI976">
        <f t="shared" si="416"/>
        <v>3.036145834651488E-2</v>
      </c>
      <c r="AJ976">
        <f t="shared" si="417"/>
        <v>0.12899149250803382</v>
      </c>
      <c r="AK976">
        <f t="shared" si="418"/>
        <v>-0.75116900994017666</v>
      </c>
      <c r="AM976">
        <f t="shared" si="419"/>
        <v>-8.490543444704636E-2</v>
      </c>
      <c r="AN976">
        <f t="shared" si="419"/>
        <v>0.59724040135441081</v>
      </c>
      <c r="AO976">
        <f t="shared" si="420"/>
        <v>0.68214583580145716</v>
      </c>
      <c r="AP976">
        <f t="shared" si="421"/>
        <v>2.6971401002452731</v>
      </c>
      <c r="AR976" t="str">
        <f t="shared" si="422"/>
        <v/>
      </c>
      <c r="AS976" t="str">
        <f t="shared" si="423"/>
        <v/>
      </c>
      <c r="AT976" t="str">
        <f t="shared" si="424"/>
        <v/>
      </c>
      <c r="AU976" t="str">
        <f t="shared" si="425"/>
        <v/>
      </c>
    </row>
    <row r="977" spans="1:47" x14ac:dyDescent="0.25">
      <c r="A977" s="4">
        <f>DATE(2020,11,2)</f>
        <v>44137</v>
      </c>
      <c r="B977">
        <v>-5.8072042562743342E-2</v>
      </c>
      <c r="C977">
        <v>40.650002480854148</v>
      </c>
      <c r="D977">
        <v>0.23379524043170988</v>
      </c>
      <c r="E977">
        <f t="shared" si="401"/>
        <v>0.2462339167596494</v>
      </c>
      <c r="F977">
        <f t="shared" si="402"/>
        <v>-1.0400374063380169</v>
      </c>
      <c r="G977">
        <f t="shared" si="403"/>
        <v>-0.52946011059549025</v>
      </c>
      <c r="H977" s="2" t="str">
        <f t="shared" si="404"/>
        <v>Lower</v>
      </c>
      <c r="I977" s="2" t="str">
        <f t="shared" si="405"/>
        <v>Higher</v>
      </c>
      <c r="J977" s="2" t="e">
        <f t="shared" si="406"/>
        <v>#DIV/0!</v>
      </c>
      <c r="K977" s="2" t="str">
        <f t="shared" si="407"/>
        <v>Lower</v>
      </c>
      <c r="L977" s="2" t="str">
        <f t="shared" si="408"/>
        <v>Higher</v>
      </c>
      <c r="M977" s="2" t="e">
        <f t="shared" si="409"/>
        <v>#DIV/0!</v>
      </c>
      <c r="N977" s="2" t="str">
        <f t="shared" si="410"/>
        <v>Lower</v>
      </c>
      <c r="O977" s="2" t="str">
        <f t="shared" si="411"/>
        <v>Higher</v>
      </c>
      <c r="P977" s="2" t="e">
        <f t="shared" si="412"/>
        <v>#DIV/0!</v>
      </c>
      <c r="X977" s="4">
        <f>DATE(2020,11,2)</f>
        <v>44137</v>
      </c>
      <c r="Y977">
        <v>13.999831207301813</v>
      </c>
      <c r="Z977">
        <v>33.481298339711017</v>
      </c>
      <c r="AA977">
        <v>23.48</v>
      </c>
      <c r="AB977">
        <v>13.6325</v>
      </c>
      <c r="AC977">
        <f t="shared" si="413"/>
        <v>-2.8652849574553666E-2</v>
      </c>
      <c r="AD977">
        <f t="shared" si="413"/>
        <v>-9.5343522028921185E-2</v>
      </c>
      <c r="AE977">
        <f t="shared" si="414"/>
        <v>-6.6690672454367522E-2</v>
      </c>
      <c r="AF977">
        <f t="shared" si="415"/>
        <v>-1.3168533919818843</v>
      </c>
      <c r="AH977">
        <f t="shared" si="416"/>
        <v>-0.14005817284462838</v>
      </c>
      <c r="AI977">
        <f t="shared" si="416"/>
        <v>1.8508764532680275E-2</v>
      </c>
      <c r="AJ977">
        <f t="shared" si="417"/>
        <v>0.15856693737730865</v>
      </c>
      <c r="AK977">
        <f t="shared" si="418"/>
        <v>-0.49144104263392657</v>
      </c>
      <c r="AM977">
        <f t="shared" si="419"/>
        <v>-0.13047893195912352</v>
      </c>
      <c r="AN977">
        <f t="shared" si="419"/>
        <v>0.56315220055848247</v>
      </c>
      <c r="AO977">
        <f t="shared" si="420"/>
        <v>0.693631132517606</v>
      </c>
      <c r="AP977">
        <f t="shared" si="421"/>
        <v>2.8451940284064161</v>
      </c>
      <c r="AR977" t="str">
        <f t="shared" si="422"/>
        <v/>
      </c>
      <c r="AS977" t="str">
        <f t="shared" si="423"/>
        <v/>
      </c>
      <c r="AT977" t="str">
        <f t="shared" si="424"/>
        <v/>
      </c>
      <c r="AU977" t="str">
        <f t="shared" si="425"/>
        <v/>
      </c>
    </row>
    <row r="978" spans="1:47" x14ac:dyDescent="0.25">
      <c r="A978" s="4">
        <f>DATE(2020,10,30)</f>
        <v>44134</v>
      </c>
      <c r="B978">
        <v>-8.7640868078519896E-2</v>
      </c>
      <c r="C978">
        <v>40.846459072879874</v>
      </c>
      <c r="D978">
        <v>0.21945906119183961</v>
      </c>
      <c r="E978">
        <f t="shared" si="401"/>
        <v>9.0103370389089277E-2</v>
      </c>
      <c r="F978">
        <f t="shared" si="402"/>
        <v>-1.0292765050123782</v>
      </c>
      <c r="G978">
        <f t="shared" si="403"/>
        <v>-0.57973577006749089</v>
      </c>
      <c r="H978" s="2" t="str">
        <f t="shared" si="404"/>
        <v>Lower</v>
      </c>
      <c r="I978" s="2" t="str">
        <f t="shared" si="405"/>
        <v>Higher</v>
      </c>
      <c r="J978" s="2" t="e">
        <f t="shared" si="406"/>
        <v>#DIV/0!</v>
      </c>
      <c r="K978" s="2" t="str">
        <f t="shared" si="407"/>
        <v>Lower</v>
      </c>
      <c r="L978" s="2" t="str">
        <f t="shared" si="408"/>
        <v>Higher</v>
      </c>
      <c r="M978" s="2" t="e">
        <f t="shared" si="409"/>
        <v>#DIV/0!</v>
      </c>
      <c r="N978" s="2" t="str">
        <f t="shared" si="410"/>
        <v>Lower</v>
      </c>
      <c r="O978" s="2" t="str">
        <f t="shared" si="411"/>
        <v>Higher</v>
      </c>
      <c r="P978" s="2" t="e">
        <f t="shared" si="412"/>
        <v>#DIV/0!</v>
      </c>
      <c r="X978" s="4">
        <f>DATE(2020,10,30)</f>
        <v>44134</v>
      </c>
      <c r="Y978">
        <v>14.943756625710083</v>
      </c>
      <c r="Z978">
        <v>36.994392864123775</v>
      </c>
      <c r="AA978">
        <v>23.705000000000002</v>
      </c>
      <c r="AB978">
        <v>14.107500000000002</v>
      </c>
      <c r="AC978">
        <f t="shared" si="413"/>
        <v>-6.0165442250544182E-2</v>
      </c>
      <c r="AD978">
        <f t="shared" si="413"/>
        <v>-8.9526081214843192E-2</v>
      </c>
      <c r="AE978">
        <f t="shared" si="414"/>
        <v>-2.936063896429901E-2</v>
      </c>
      <c r="AF978">
        <f t="shared" si="415"/>
        <v>-1.0064152522520244</v>
      </c>
      <c r="AH978">
        <f t="shared" si="416"/>
        <v>-0.12476602700334097</v>
      </c>
      <c r="AI978">
        <f t="shared" si="416"/>
        <v>8.1853371868852637E-2</v>
      </c>
      <c r="AJ978">
        <f t="shared" si="417"/>
        <v>0.2066193988721936</v>
      </c>
      <c r="AK978">
        <f t="shared" si="418"/>
        <v>-3.9199924151361434E-2</v>
      </c>
      <c r="AM978">
        <f t="shared" si="419"/>
        <v>-0.10710967050354946</v>
      </c>
      <c r="AN978">
        <f t="shared" si="419"/>
        <v>0.57636884343079287</v>
      </c>
      <c r="AO978">
        <f t="shared" si="420"/>
        <v>0.68347851393434234</v>
      </c>
      <c r="AP978">
        <f t="shared" si="421"/>
        <v>2.9208646395344702</v>
      </c>
      <c r="AR978" t="str">
        <f t="shared" si="422"/>
        <v/>
      </c>
      <c r="AS978" t="str">
        <f t="shared" si="423"/>
        <v/>
      </c>
      <c r="AT978" t="str">
        <f t="shared" si="424"/>
        <v/>
      </c>
      <c r="AU978" t="str">
        <f t="shared" si="425"/>
        <v/>
      </c>
    </row>
    <row r="979" spans="1:47" x14ac:dyDescent="0.25">
      <c r="A979" s="4">
        <f>DATE(2020,10,29)</f>
        <v>44133</v>
      </c>
      <c r="B979">
        <v>-0.12003003769318288</v>
      </c>
      <c r="C979">
        <v>40.579924469385254</v>
      </c>
      <c r="D979">
        <v>0.18548624679283204</v>
      </c>
      <c r="E979">
        <f t="shared" si="401"/>
        <v>-8.1036032820835727E-2</v>
      </c>
      <c r="F979">
        <f t="shared" si="402"/>
        <v>-1.0805531112485502</v>
      </c>
      <c r="G979">
        <f t="shared" si="403"/>
        <v>-0.69255420707021609</v>
      </c>
      <c r="H979" s="2" t="str">
        <f t="shared" si="404"/>
        <v>Lower</v>
      </c>
      <c r="I979" s="2" t="str">
        <f t="shared" si="405"/>
        <v>Lower</v>
      </c>
      <c r="J979" s="2" t="e">
        <f t="shared" si="406"/>
        <v>#DIV/0!</v>
      </c>
      <c r="K979" s="2" t="str">
        <f t="shared" si="407"/>
        <v>Lower</v>
      </c>
      <c r="L979" s="2" t="str">
        <f t="shared" si="408"/>
        <v>Higher</v>
      </c>
      <c r="M979" s="2" t="e">
        <f t="shared" si="409"/>
        <v>#DIV/0!</v>
      </c>
      <c r="N979" s="2" t="str">
        <f t="shared" si="410"/>
        <v>Lower</v>
      </c>
      <c r="O979" s="2" t="str">
        <f t="shared" si="411"/>
        <v>Higher</v>
      </c>
      <c r="P979" s="2" t="e">
        <f t="shared" si="412"/>
        <v>#DIV/0!</v>
      </c>
      <c r="X979" s="4">
        <f>DATE(2020,10,29)</f>
        <v>44133</v>
      </c>
      <c r="Y979">
        <v>15.000114009645587</v>
      </c>
      <c r="Z979">
        <v>40.309284034599088</v>
      </c>
      <c r="AA979">
        <v>23.58</v>
      </c>
      <c r="AB979">
        <v>14.23875</v>
      </c>
      <c r="AC979">
        <f t="shared" si="413"/>
        <v>-1.4629529978699769E-2</v>
      </c>
      <c r="AD979">
        <f t="shared" si="413"/>
        <v>-6.28581530381839E-2</v>
      </c>
      <c r="AE979">
        <f t="shared" si="414"/>
        <v>-4.8228623059484131E-2</v>
      </c>
      <c r="AF979">
        <f t="shared" si="415"/>
        <v>-1.1947227715297903</v>
      </c>
      <c r="AH979">
        <f t="shared" si="416"/>
        <v>-0.12257785516549953</v>
      </c>
      <c r="AI979">
        <f t="shared" si="416"/>
        <v>7.4330844985433353E-2</v>
      </c>
      <c r="AJ979">
        <f t="shared" si="417"/>
        <v>0.19690870015093287</v>
      </c>
      <c r="AK979">
        <f t="shared" si="418"/>
        <v>-0.13337781652500821</v>
      </c>
      <c r="AM979">
        <f t="shared" si="419"/>
        <v>-0.12126391785774079</v>
      </c>
      <c r="AN979">
        <f t="shared" si="419"/>
        <v>0.58973747352437933</v>
      </c>
      <c r="AO979">
        <f t="shared" si="420"/>
        <v>0.71100139138212015</v>
      </c>
      <c r="AP979">
        <f t="shared" si="421"/>
        <v>3.3616571985415304</v>
      </c>
      <c r="AR979" t="str">
        <f t="shared" si="422"/>
        <v/>
      </c>
      <c r="AS979" t="str">
        <f t="shared" si="423"/>
        <v/>
      </c>
      <c r="AT979" t="str">
        <f t="shared" si="424"/>
        <v/>
      </c>
      <c r="AU979" t="str">
        <f t="shared" si="425"/>
        <v/>
      </c>
    </row>
    <row r="980" spans="1:47" x14ac:dyDescent="0.25">
      <c r="A980" s="4">
        <f>DATE(2020,10,28)</f>
        <v>44132</v>
      </c>
      <c r="B980">
        <v>-0.1463843568316785</v>
      </c>
      <c r="C980">
        <v>36.316592826902927</v>
      </c>
      <c r="D980">
        <v>1.4985899901997356E-2</v>
      </c>
      <c r="E980">
        <f t="shared" si="401"/>
        <v>-0.22037828258699491</v>
      </c>
      <c r="F980">
        <f t="shared" si="402"/>
        <v>-1.6711462151939922</v>
      </c>
      <c r="G980">
        <f t="shared" si="403"/>
        <v>-1.2362504782769856</v>
      </c>
      <c r="H980" s="2" t="str">
        <f t="shared" si="404"/>
        <v>Lower</v>
      </c>
      <c r="I980" s="2" t="str">
        <f t="shared" si="405"/>
        <v>Lower</v>
      </c>
      <c r="J980" s="2" t="e">
        <f t="shared" si="406"/>
        <v>#DIV/0!</v>
      </c>
      <c r="K980" s="2" t="str">
        <f t="shared" si="407"/>
        <v>Lower</v>
      </c>
      <c r="L980" s="2" t="str">
        <f t="shared" si="408"/>
        <v>Higher</v>
      </c>
      <c r="M980" s="2" t="e">
        <f t="shared" si="409"/>
        <v>#DIV/0!</v>
      </c>
      <c r="N980" s="2" t="str">
        <f t="shared" si="410"/>
        <v>Lower</v>
      </c>
      <c r="O980" s="2" t="str">
        <f t="shared" si="411"/>
        <v>Higher</v>
      </c>
      <c r="P980" s="2" t="e">
        <f t="shared" si="412"/>
        <v>#DIV/0!</v>
      </c>
      <c r="X980" s="4">
        <f>DATE(2020,10,28)</f>
        <v>44132</v>
      </c>
      <c r="Y980">
        <v>14.307909006663886</v>
      </c>
      <c r="Z980">
        <v>43.116922000776114</v>
      </c>
      <c r="AA980">
        <v>23.185000000000002</v>
      </c>
      <c r="AB980">
        <v>14.504999999999999</v>
      </c>
      <c r="AC980">
        <f t="shared" si="413"/>
        <v>-2.3129195179085963E-2</v>
      </c>
      <c r="AD980">
        <f t="shared" si="413"/>
        <v>-2.5020452506556361E-2</v>
      </c>
      <c r="AE980">
        <f t="shared" si="414"/>
        <v>-1.8912573274703984E-3</v>
      </c>
      <c r="AF980">
        <f t="shared" si="415"/>
        <v>-0.79431981607435309</v>
      </c>
      <c r="AH980">
        <f t="shared" si="416"/>
        <v>-0.14796999943912001</v>
      </c>
      <c r="AI980">
        <f t="shared" si="416"/>
        <v>8.9741432815650793E-2</v>
      </c>
      <c r="AJ980">
        <f t="shared" si="417"/>
        <v>0.23771143225477082</v>
      </c>
      <c r="AK980">
        <f t="shared" si="418"/>
        <v>0.25845417203434257</v>
      </c>
      <c r="AM980">
        <f t="shared" si="419"/>
        <v>-0.14284202213978908</v>
      </c>
      <c r="AN980">
        <f t="shared" si="419"/>
        <v>0.68234738415371865</v>
      </c>
      <c r="AO980">
        <f t="shared" si="420"/>
        <v>0.82518940629350768</v>
      </c>
      <c r="AP980">
        <f t="shared" si="421"/>
        <v>4.6216358848262038</v>
      </c>
      <c r="AR980" t="str">
        <f t="shared" si="422"/>
        <v/>
      </c>
      <c r="AS980" t="str">
        <f t="shared" si="423"/>
        <v/>
      </c>
      <c r="AT980" t="str">
        <f t="shared" si="424"/>
        <v/>
      </c>
      <c r="AU980" t="str">
        <f t="shared" si="425"/>
        <v/>
      </c>
    </row>
    <row r="981" spans="1:47" x14ac:dyDescent="0.25">
      <c r="A981" s="4">
        <f>DATE(2020,10,27)</f>
        <v>44131</v>
      </c>
      <c r="B981">
        <v>-0.10025224043560454</v>
      </c>
      <c r="C981">
        <v>40.725744512717547</v>
      </c>
      <c r="D981">
        <v>0.17283496853905156</v>
      </c>
      <c r="E981">
        <f t="shared" si="401"/>
        <v>1.9077510285494065E-2</v>
      </c>
      <c r="F981">
        <f t="shared" si="402"/>
        <v>-1.1189559067965325</v>
      </c>
      <c r="G981">
        <f t="shared" si="403"/>
        <v>-0.761485373618774</v>
      </c>
      <c r="H981" s="2" t="str">
        <f t="shared" si="404"/>
        <v>Lower</v>
      </c>
      <c r="I981" s="2" t="str">
        <f t="shared" si="405"/>
        <v>Higher</v>
      </c>
      <c r="J981" s="2" t="e">
        <f t="shared" si="406"/>
        <v>#DIV/0!</v>
      </c>
      <c r="K981" s="2" t="str">
        <f t="shared" si="407"/>
        <v>Lower</v>
      </c>
      <c r="L981" s="2" t="str">
        <f t="shared" si="408"/>
        <v>Higher</v>
      </c>
      <c r="M981" s="2" t="e">
        <f t="shared" si="409"/>
        <v>#DIV/0!</v>
      </c>
      <c r="N981" s="2" t="str">
        <f t="shared" si="410"/>
        <v>Lower</v>
      </c>
      <c r="O981" s="2" t="str">
        <f t="shared" si="411"/>
        <v>Higher</v>
      </c>
      <c r="P981" s="2" t="e">
        <f t="shared" si="412"/>
        <v>#DIV/0!</v>
      </c>
      <c r="X981" s="4">
        <f>DATE(2020,10,27)</f>
        <v>44131</v>
      </c>
      <c r="Y981">
        <v>15.45568745938836</v>
      </c>
      <c r="Z981">
        <v>45.966002145072352</v>
      </c>
      <c r="AA981">
        <v>23.962499999999999</v>
      </c>
      <c r="AB981">
        <v>14.678750000000001</v>
      </c>
      <c r="AC981">
        <f t="shared" si="413"/>
        <v>-2.0957769082817459E-2</v>
      </c>
      <c r="AD981">
        <f t="shared" si="413"/>
        <v>-1.0419849453507353E-2</v>
      </c>
      <c r="AE981">
        <f t="shared" si="414"/>
        <v>1.0537919629310106E-2</v>
      </c>
      <c r="AF981">
        <f t="shared" si="415"/>
        <v>-0.69109891625331787</v>
      </c>
      <c r="AH981">
        <f t="shared" si="416"/>
        <v>-0.11888368746916295</v>
      </c>
      <c r="AI981">
        <f t="shared" si="416"/>
        <v>0.17142988204185852</v>
      </c>
      <c r="AJ981">
        <f t="shared" si="417"/>
        <v>0.2903135695110215</v>
      </c>
      <c r="AK981">
        <f t="shared" si="418"/>
        <v>0.76561277727676624</v>
      </c>
      <c r="AM981">
        <f t="shared" si="419"/>
        <v>-0.10639284647073034</v>
      </c>
      <c r="AN981">
        <f t="shared" si="419"/>
        <v>0.69630296807386016</v>
      </c>
      <c r="AO981">
        <f t="shared" si="420"/>
        <v>0.80269581454459049</v>
      </c>
      <c r="AP981">
        <f t="shared" si="421"/>
        <v>4.7877425942895195</v>
      </c>
      <c r="AR981" t="str">
        <f t="shared" si="422"/>
        <v/>
      </c>
      <c r="AS981" t="str">
        <f t="shared" si="423"/>
        <v/>
      </c>
      <c r="AT981" t="str">
        <f t="shared" si="424"/>
        <v/>
      </c>
      <c r="AU981" t="str">
        <f t="shared" si="425"/>
        <v/>
      </c>
    </row>
    <row r="982" spans="1:47" x14ac:dyDescent="0.25">
      <c r="A982" s="4">
        <f>DATE(2020,10,26)</f>
        <v>44130</v>
      </c>
      <c r="B982">
        <v>-0.11391462416587095</v>
      </c>
      <c r="C982">
        <v>39.277691049273564</v>
      </c>
      <c r="D982">
        <v>8.5165974892999333E-2</v>
      </c>
      <c r="E982">
        <f t="shared" si="401"/>
        <v>-5.1656563656179454E-2</v>
      </c>
      <c r="F982">
        <f t="shared" si="402"/>
        <v>-1.336146588061556</v>
      </c>
      <c r="G982">
        <f t="shared" si="403"/>
        <v>-1.0465758000041863</v>
      </c>
      <c r="H982" s="2" t="str">
        <f t="shared" si="404"/>
        <v>Lower</v>
      </c>
      <c r="I982" s="2" t="str">
        <f t="shared" si="405"/>
        <v>Higher</v>
      </c>
      <c r="J982" s="2" t="e">
        <f t="shared" si="406"/>
        <v>#DIV/0!</v>
      </c>
      <c r="K982" s="2" t="str">
        <f t="shared" si="407"/>
        <v>Lower</v>
      </c>
      <c r="L982" s="2" t="str">
        <f t="shared" si="408"/>
        <v>Higher</v>
      </c>
      <c r="M982" s="2" t="e">
        <f t="shared" si="409"/>
        <v>#DIV/0!</v>
      </c>
      <c r="N982" s="2" t="str">
        <f t="shared" si="410"/>
        <v>Lower</v>
      </c>
      <c r="O982" s="2" t="str">
        <f t="shared" si="411"/>
        <v>Higher</v>
      </c>
      <c r="P982" s="2" t="e">
        <f t="shared" si="412"/>
        <v>#DIV/0!</v>
      </c>
      <c r="X982" s="4">
        <f>DATE(2020,10,26)</f>
        <v>44130</v>
      </c>
      <c r="Y982">
        <v>16.367543787275164</v>
      </c>
      <c r="Z982">
        <v>50.354185800790361</v>
      </c>
      <c r="AA982">
        <v>24.162500000000001</v>
      </c>
      <c r="AB982">
        <v>14.99625</v>
      </c>
      <c r="AC982">
        <f t="shared" si="413"/>
        <v>-3.1370328759436544E-2</v>
      </c>
      <c r="AD982">
        <f t="shared" si="413"/>
        <v>1.9272635233654602E-2</v>
      </c>
      <c r="AE982">
        <f t="shared" si="414"/>
        <v>5.064296399309115E-2</v>
      </c>
      <c r="AF982">
        <f t="shared" si="415"/>
        <v>-0.33373351154004571</v>
      </c>
      <c r="AH982">
        <f t="shared" si="416"/>
        <v>-0.12171849018579772</v>
      </c>
      <c r="AI982">
        <f t="shared" si="416"/>
        <v>0.20227423285626484</v>
      </c>
      <c r="AJ982">
        <f t="shared" si="417"/>
        <v>0.32399272304206256</v>
      </c>
      <c r="AK982">
        <f t="shared" si="418"/>
        <v>1.08843746398846</v>
      </c>
      <c r="AM982">
        <f t="shared" si="419"/>
        <v>-7.5983383410961072E-2</v>
      </c>
      <c r="AN982">
        <f t="shared" si="419"/>
        <v>0.80085362414338379</v>
      </c>
      <c r="AO982">
        <f t="shared" si="420"/>
        <v>0.8768370075543449</v>
      </c>
      <c r="AP982">
        <f t="shared" si="421"/>
        <v>6.8287004646358858</v>
      </c>
      <c r="AR982" t="str">
        <f t="shared" si="422"/>
        <v/>
      </c>
      <c r="AS982" t="str">
        <f t="shared" si="423"/>
        <v/>
      </c>
      <c r="AT982" t="str">
        <f t="shared" si="424"/>
        <v/>
      </c>
      <c r="AU982" t="str">
        <f t="shared" si="425"/>
        <v/>
      </c>
    </row>
    <row r="983" spans="1:47" x14ac:dyDescent="0.25">
      <c r="A983" s="4">
        <f>DATE(2020,10,23)</f>
        <v>44127</v>
      </c>
      <c r="B983">
        <v>-9.3906978520230888E-2</v>
      </c>
      <c r="C983">
        <v>47.271922837247487</v>
      </c>
      <c r="D983">
        <v>0.41810249280123712</v>
      </c>
      <c r="E983">
        <f t="shared" si="401"/>
        <v>5.0946328395971172E-2</v>
      </c>
      <c r="F983">
        <f t="shared" si="402"/>
        <v>-0.26607054574123212</v>
      </c>
      <c r="G983">
        <f t="shared" si="403"/>
        <v>-1.4585555772514802E-2</v>
      </c>
      <c r="H983" s="2" t="str">
        <f t="shared" si="404"/>
        <v>Lower</v>
      </c>
      <c r="I983" s="2" t="str">
        <f t="shared" si="405"/>
        <v>Higher</v>
      </c>
      <c r="J983" s="2" t="e">
        <f t="shared" si="406"/>
        <v>#DIV/0!</v>
      </c>
      <c r="K983" s="2" t="str">
        <f t="shared" si="407"/>
        <v>Lower</v>
      </c>
      <c r="L983" s="2" t="str">
        <f t="shared" si="408"/>
        <v>Higher</v>
      </c>
      <c r="M983" s="2" t="e">
        <f t="shared" si="409"/>
        <v>#DIV/0!</v>
      </c>
      <c r="N983" s="2" t="str">
        <f t="shared" si="410"/>
        <v>Lower</v>
      </c>
      <c r="O983" s="2" t="str">
        <f t="shared" si="411"/>
        <v>Higher</v>
      </c>
      <c r="P983" s="2" t="e">
        <f t="shared" si="412"/>
        <v>#DIV/0!</v>
      </c>
      <c r="X983" s="4">
        <f>DATE(2020,10,23)</f>
        <v>44127</v>
      </c>
      <c r="Y983">
        <v>18.368860838856463</v>
      </c>
      <c r="Z983">
        <v>55.862014077255104</v>
      </c>
      <c r="AA983">
        <v>25.174999999999997</v>
      </c>
      <c r="AB983">
        <v>15.428750000000001</v>
      </c>
      <c r="AC983">
        <f t="shared" si="413"/>
        <v>5.8762182931241516E-3</v>
      </c>
      <c r="AD983">
        <f t="shared" si="413"/>
        <v>6.0791734539419127E-2</v>
      </c>
      <c r="AE983">
        <f t="shared" si="414"/>
        <v>5.4915516246294975E-2</v>
      </c>
      <c r="AF983">
        <f t="shared" si="415"/>
        <v>-0.29785047354760913</v>
      </c>
      <c r="AH983">
        <f t="shared" si="416"/>
        <v>-4.3717500579093058E-2</v>
      </c>
      <c r="AI983">
        <f t="shared" si="416"/>
        <v>0.28468890595712271</v>
      </c>
      <c r="AJ983">
        <f t="shared" si="417"/>
        <v>0.32840640653621578</v>
      </c>
      <c r="AK983">
        <f t="shared" si="418"/>
        <v>1.1341807519490799</v>
      </c>
      <c r="AM983">
        <f t="shared" si="419"/>
        <v>-3.9907972162425288E-2</v>
      </c>
      <c r="AN983">
        <f t="shared" si="419"/>
        <v>0.94135305551170267</v>
      </c>
      <c r="AO983">
        <f t="shared" si="420"/>
        <v>0.98126102767412793</v>
      </c>
      <c r="AP983">
        <f t="shared" si="421"/>
        <v>12.499084413948092</v>
      </c>
      <c r="AR983" t="str">
        <f t="shared" si="422"/>
        <v/>
      </c>
      <c r="AS983" t="str">
        <f t="shared" si="423"/>
        <v/>
      </c>
      <c r="AT983" t="str">
        <f t="shared" si="424"/>
        <v/>
      </c>
      <c r="AU983" t="str">
        <f t="shared" si="425"/>
        <v/>
      </c>
    </row>
    <row r="984" spans="1:47" x14ac:dyDescent="0.25">
      <c r="A984" s="4">
        <f>DATE(2020,10,22)</f>
        <v>44126</v>
      </c>
      <c r="B984">
        <v>-0.21165053785607824</v>
      </c>
      <c r="C984">
        <v>37.896570049674132</v>
      </c>
      <c r="D984">
        <v>0.11025515175222701</v>
      </c>
      <c r="E984">
        <f t="shared" si="401"/>
        <v>-0.55003120059977384</v>
      </c>
      <c r="F984">
        <f t="shared" si="402"/>
        <v>-1.5481213099586801</v>
      </c>
      <c r="G984">
        <f t="shared" si="403"/>
        <v>-0.97706353582141359</v>
      </c>
      <c r="H984" s="2" t="str">
        <f t="shared" si="404"/>
        <v>Lower</v>
      </c>
      <c r="I984" s="2" t="str">
        <f t="shared" si="405"/>
        <v>Higher</v>
      </c>
      <c r="J984" s="2" t="e">
        <f t="shared" si="406"/>
        <v>#DIV/0!</v>
      </c>
      <c r="K984" s="2" t="str">
        <f t="shared" si="407"/>
        <v>Lower</v>
      </c>
      <c r="L984" s="2" t="str">
        <f t="shared" si="408"/>
        <v>Higher</v>
      </c>
      <c r="M984" s="2" t="e">
        <f t="shared" si="409"/>
        <v>#DIV/0!</v>
      </c>
      <c r="N984" s="2" t="str">
        <f t="shared" si="410"/>
        <v>Lower</v>
      </c>
      <c r="O984" s="2" t="str">
        <f t="shared" si="411"/>
        <v>Higher</v>
      </c>
      <c r="P984" s="2" t="e">
        <f t="shared" si="412"/>
        <v>#DIV/0!</v>
      </c>
      <c r="X984" s="4">
        <f>DATE(2020,10,22)</f>
        <v>44126</v>
      </c>
      <c r="Y984">
        <v>10.120021192938216</v>
      </c>
      <c r="Z984">
        <v>54.173608004429994</v>
      </c>
      <c r="AA984">
        <v>23.927500000000002</v>
      </c>
      <c r="AB984">
        <v>15.162500000000001</v>
      </c>
      <c r="AC984">
        <f t="shared" si="413"/>
        <v>-4.6942604687578639E-2</v>
      </c>
      <c r="AD984">
        <f t="shared" si="413"/>
        <v>6.8757355706305534E-2</v>
      </c>
      <c r="AE984">
        <f t="shared" si="414"/>
        <v>0.11569996039388417</v>
      </c>
      <c r="AF984">
        <f t="shared" si="415"/>
        <v>0.24571440987358575</v>
      </c>
      <c r="AH984">
        <f t="shared" si="416"/>
        <v>-0.10607074296040805</v>
      </c>
      <c r="AI984">
        <f t="shared" si="416"/>
        <v>0.25806190881427221</v>
      </c>
      <c r="AJ984">
        <f t="shared" si="417"/>
        <v>0.36413265177468024</v>
      </c>
      <c r="AK984">
        <f t="shared" si="418"/>
        <v>1.4701637248342365</v>
      </c>
      <c r="AM984">
        <f t="shared" si="419"/>
        <v>-6.8637568587494854E-2</v>
      </c>
      <c r="AN984">
        <f t="shared" si="419"/>
        <v>1.0601211205331504</v>
      </c>
      <c r="AO984">
        <f t="shared" si="420"/>
        <v>1.1287586891206454</v>
      </c>
      <c r="AP984">
        <f t="shared" si="421"/>
        <v>81.648070351479063</v>
      </c>
      <c r="AR984" t="str">
        <f t="shared" si="422"/>
        <v/>
      </c>
      <c r="AS984" t="str">
        <f t="shared" si="423"/>
        <v/>
      </c>
      <c r="AT984" t="str">
        <f t="shared" si="424"/>
        <v/>
      </c>
      <c r="AU984" t="str">
        <f t="shared" si="425"/>
        <v/>
      </c>
    </row>
    <row r="985" spans="1:47" x14ac:dyDescent="0.25">
      <c r="A985" s="4">
        <f>DATE(2020,10,21)</f>
        <v>44125</v>
      </c>
      <c r="B985">
        <v>-0.23930010024074977</v>
      </c>
      <c r="C985">
        <v>32.632374166240382</v>
      </c>
      <c r="D985">
        <v>-9.2384737538992262E-2</v>
      </c>
      <c r="E985">
        <f t="shared" si="401"/>
        <v>-0.69610285536741467</v>
      </c>
      <c r="F985">
        <f t="shared" si="402"/>
        <v>-2.3183090530523254</v>
      </c>
      <c r="G985">
        <f t="shared" si="403"/>
        <v>-1.6256523187908236</v>
      </c>
      <c r="H985" s="2" t="str">
        <f t="shared" si="404"/>
        <v>Lower</v>
      </c>
      <c r="I985" s="2" t="str">
        <f t="shared" si="405"/>
        <v>Higher</v>
      </c>
      <c r="J985" s="2" t="e">
        <f t="shared" si="406"/>
        <v>#DIV/0!</v>
      </c>
      <c r="K985" s="2" t="str">
        <f t="shared" si="407"/>
        <v>Lower</v>
      </c>
      <c r="L985" s="2" t="str">
        <f t="shared" si="408"/>
        <v>Higher</v>
      </c>
      <c r="M985" s="2" t="e">
        <f t="shared" si="409"/>
        <v>#DIV/0!</v>
      </c>
      <c r="N985" s="2" t="str">
        <f t="shared" si="410"/>
        <v>Lower</v>
      </c>
      <c r="O985" s="2" t="str">
        <f t="shared" si="411"/>
        <v>Higher</v>
      </c>
      <c r="P985" s="2" t="e">
        <f t="shared" si="412"/>
        <v>#DIV/0!</v>
      </c>
      <c r="X985" s="4">
        <f>DATE(2020,10,21)</f>
        <v>44125</v>
      </c>
      <c r="Y985">
        <v>10.980128131747952</v>
      </c>
      <c r="Z985">
        <v>52.144164266258656</v>
      </c>
      <c r="AA985">
        <v>23.727499999999999</v>
      </c>
      <c r="AB985">
        <v>14.872499999999999</v>
      </c>
      <c r="AC985">
        <f t="shared" si="413"/>
        <v>-7.6250564306042545E-2</v>
      </c>
      <c r="AD985">
        <f t="shared" si="413"/>
        <v>7.0777475697439085E-2</v>
      </c>
      <c r="AE985">
        <f t="shared" si="414"/>
        <v>0.14702804000348163</v>
      </c>
      <c r="AF985">
        <f t="shared" si="415"/>
        <v>0.52645386668936378</v>
      </c>
      <c r="AH985">
        <f t="shared" si="416"/>
        <v>-0.12697745795970766</v>
      </c>
      <c r="AI985">
        <f t="shared" si="416"/>
        <v>0.21773711330085102</v>
      </c>
      <c r="AJ985">
        <f t="shared" si="417"/>
        <v>0.34471457126055871</v>
      </c>
      <c r="AK985">
        <f t="shared" si="418"/>
        <v>1.3020307411009782</v>
      </c>
      <c r="AM985">
        <f t="shared" si="419"/>
        <v>-9.2807073592352199E-2</v>
      </c>
      <c r="AN985">
        <f t="shared" si="419"/>
        <v>1.0593042989790695</v>
      </c>
      <c r="AO985">
        <f t="shared" si="420"/>
        <v>1.1521113725714218</v>
      </c>
      <c r="AP985">
        <f t="shared" si="421"/>
        <v>82.603643000426203</v>
      </c>
      <c r="AR985" t="str">
        <f t="shared" si="422"/>
        <v/>
      </c>
      <c r="AS985" t="str">
        <f t="shared" si="423"/>
        <v/>
      </c>
      <c r="AT985" t="str">
        <f t="shared" si="424"/>
        <v/>
      </c>
      <c r="AU985" t="str">
        <f t="shared" si="425"/>
        <v/>
      </c>
    </row>
    <row r="986" spans="1:47" x14ac:dyDescent="0.25">
      <c r="A986" s="4">
        <f>DATE(2020,10,20)</f>
        <v>44124</v>
      </c>
      <c r="B986">
        <v>-0.19192027663661504</v>
      </c>
      <c r="C986">
        <v>36.579670007201507</v>
      </c>
      <c r="D986">
        <v>-1.4447124753233171E-3</v>
      </c>
      <c r="E986">
        <f t="shared" si="401"/>
        <v>-0.46475123384426814</v>
      </c>
      <c r="F986">
        <f t="shared" si="402"/>
        <v>-1.8805702845097836</v>
      </c>
      <c r="G986">
        <f t="shared" si="403"/>
        <v>-1.3869469216151704</v>
      </c>
      <c r="H986" s="2" t="str">
        <f t="shared" si="404"/>
        <v>Lower</v>
      </c>
      <c r="I986" s="2" t="str">
        <f t="shared" si="405"/>
        <v>Higher</v>
      </c>
      <c r="J986" s="2" t="e">
        <f t="shared" si="406"/>
        <v>#DIV/0!</v>
      </c>
      <c r="K986" s="2" t="str">
        <f t="shared" si="407"/>
        <v>Lower</v>
      </c>
      <c r="L986" s="2" t="str">
        <f t="shared" si="408"/>
        <v>Higher</v>
      </c>
      <c r="M986" s="2" t="e">
        <f t="shared" si="409"/>
        <v>#DIV/0!</v>
      </c>
      <c r="N986" s="2" t="str">
        <f t="shared" si="410"/>
        <v>Lower</v>
      </c>
      <c r="O986" s="2" t="str">
        <f t="shared" si="411"/>
        <v>Higher</v>
      </c>
      <c r="P986" s="2" t="e">
        <f t="shared" si="412"/>
        <v>#DIV/0!</v>
      </c>
      <c r="X986" s="4">
        <f>DATE(2020,10,20)</f>
        <v>44124</v>
      </c>
      <c r="Y986">
        <v>11.851493525358944</v>
      </c>
      <c r="Z986">
        <v>53.594961468210833</v>
      </c>
      <c r="AA986">
        <v>24.47</v>
      </c>
      <c r="AB986">
        <v>14.8325</v>
      </c>
      <c r="AC986">
        <f t="shared" si="413"/>
        <v>-3.523222839001753E-2</v>
      </c>
      <c r="AD986">
        <f t="shared" si="413"/>
        <v>8.7118641066227312E-2</v>
      </c>
      <c r="AE986">
        <f t="shared" si="414"/>
        <v>0.12235086945624485</v>
      </c>
      <c r="AF986">
        <f t="shared" si="415"/>
        <v>0.31303801126791997</v>
      </c>
      <c r="AH986">
        <f t="shared" si="416"/>
        <v>-0.11181694714130132</v>
      </c>
      <c r="AI986">
        <f t="shared" si="416"/>
        <v>0.24441573926124915</v>
      </c>
      <c r="AJ986">
        <f t="shared" si="417"/>
        <v>0.35623268640255046</v>
      </c>
      <c r="AK986">
        <f t="shared" si="418"/>
        <v>1.4134276305070579</v>
      </c>
      <c r="AM986">
        <f t="shared" si="419"/>
        <v>-4.4851462357208577E-2</v>
      </c>
      <c r="AN986">
        <f t="shared" si="419"/>
        <v>1.1040204478695841</v>
      </c>
      <c r="AO986">
        <f t="shared" si="420"/>
        <v>1.1488719102267926</v>
      </c>
      <c r="AP986">
        <f t="shared" si="421"/>
        <v>74.126263357468929</v>
      </c>
      <c r="AR986" t="str">
        <f t="shared" si="422"/>
        <v/>
      </c>
      <c r="AS986" t="str">
        <f t="shared" si="423"/>
        <v/>
      </c>
      <c r="AT986" t="str">
        <f t="shared" si="424"/>
        <v/>
      </c>
      <c r="AU986" t="str">
        <f t="shared" si="425"/>
        <v/>
      </c>
    </row>
    <row r="987" spans="1:47" x14ac:dyDescent="0.25">
      <c r="A987" s="4">
        <f>DATE(2020,10,19)</f>
        <v>44123</v>
      </c>
      <c r="B987">
        <v>-0.17933968881093554</v>
      </c>
      <c r="C987">
        <v>39.559402566231356</v>
      </c>
      <c r="D987">
        <v>0.1021012819471188</v>
      </c>
      <c r="E987">
        <f t="shared" si="401"/>
        <v>-0.40610290413101086</v>
      </c>
      <c r="F987">
        <f t="shared" si="402"/>
        <v>-1.5170697104000239</v>
      </c>
      <c r="G987">
        <f t="shared" si="403"/>
        <v>-1.0902129081486427</v>
      </c>
      <c r="H987" s="2" t="str">
        <f t="shared" si="404"/>
        <v>Lower</v>
      </c>
      <c r="I987" s="2" t="str">
        <f t="shared" si="405"/>
        <v>Higher</v>
      </c>
      <c r="J987" s="2" t="e">
        <f t="shared" si="406"/>
        <v>#DIV/0!</v>
      </c>
      <c r="K987" s="2" t="str">
        <f t="shared" si="407"/>
        <v>Lower</v>
      </c>
      <c r="L987" s="2" t="str">
        <f t="shared" si="408"/>
        <v>Higher</v>
      </c>
      <c r="M987" s="2" t="e">
        <f t="shared" si="409"/>
        <v>#DIV/0!</v>
      </c>
      <c r="N987" s="2" t="str">
        <f t="shared" si="410"/>
        <v>Lower</v>
      </c>
      <c r="O987" s="2" t="str">
        <f t="shared" si="411"/>
        <v>Higher</v>
      </c>
      <c r="P987" s="2" t="e">
        <f t="shared" si="412"/>
        <v>#DIV/0!</v>
      </c>
      <c r="X987" s="4">
        <f>DATE(2020,10,19)</f>
        <v>44123</v>
      </c>
      <c r="Y987">
        <v>12.511241863192756</v>
      </c>
      <c r="Z987">
        <v>53.496916804684723</v>
      </c>
      <c r="AA987">
        <v>24.932499999999997</v>
      </c>
      <c r="AB987">
        <v>14.71</v>
      </c>
      <c r="AC987">
        <f t="shared" si="413"/>
        <v>-3.0999520729162285E-2</v>
      </c>
      <c r="AD987">
        <f t="shared" si="413"/>
        <v>6.5127863131644648E-2</v>
      </c>
      <c r="AE987">
        <f t="shared" si="414"/>
        <v>9.6127383860806936E-2</v>
      </c>
      <c r="AF987">
        <f t="shared" si="415"/>
        <v>8.570196794312189E-2</v>
      </c>
      <c r="AH987">
        <f t="shared" si="416"/>
        <v>-6.7929436492022266E-2</v>
      </c>
      <c r="AI987">
        <f t="shared" si="416"/>
        <v>0.24781226463204761</v>
      </c>
      <c r="AJ987">
        <f t="shared" si="417"/>
        <v>0.31574170112406985</v>
      </c>
      <c r="AK987">
        <f t="shared" si="418"/>
        <v>1.0580634769353259</v>
      </c>
      <c r="AM987">
        <f t="shared" si="419"/>
        <v>-1.6310654980531882E-2</v>
      </c>
      <c r="AN987">
        <f t="shared" si="419"/>
        <v>1.1113545827665212</v>
      </c>
      <c r="AO987">
        <f t="shared" si="420"/>
        <v>1.1276652377470531</v>
      </c>
      <c r="AP987" t="str">
        <f t="shared" si="421"/>
        <v/>
      </c>
      <c r="AR987" t="str">
        <f t="shared" si="422"/>
        <v/>
      </c>
      <c r="AS987" t="str">
        <f t="shared" si="423"/>
        <v/>
      </c>
      <c r="AT987" t="str">
        <f t="shared" si="424"/>
        <v/>
      </c>
      <c r="AU987" t="str">
        <f t="shared" si="425"/>
        <v/>
      </c>
    </row>
    <row r="988" spans="1:47" x14ac:dyDescent="0.25">
      <c r="A988" s="4">
        <f>DATE(2020,10,16)</f>
        <v>44120</v>
      </c>
      <c r="B988">
        <v>-0.19552156191374581</v>
      </c>
      <c r="C988">
        <v>38.828814211603586</v>
      </c>
      <c r="D988">
        <v>2.1674411725751005E-2</v>
      </c>
      <c r="E988">
        <f t="shared" si="401"/>
        <v>-0.49074498521552123</v>
      </c>
      <c r="F988">
        <f t="shared" si="402"/>
        <v>-1.6685667620965221</v>
      </c>
      <c r="G988">
        <f t="shared" si="403"/>
        <v>-1.3677626549620645</v>
      </c>
      <c r="H988" s="2" t="str">
        <f t="shared" si="404"/>
        <v>Lower</v>
      </c>
      <c r="I988" s="2" t="str">
        <f t="shared" si="405"/>
        <v>Higher</v>
      </c>
      <c r="J988" s="2" t="e">
        <f t="shared" si="406"/>
        <v>#DIV/0!</v>
      </c>
      <c r="K988" s="2" t="str">
        <f t="shared" si="407"/>
        <v>Lower</v>
      </c>
      <c r="L988" s="2" t="str">
        <f t="shared" si="408"/>
        <v>Higher</v>
      </c>
      <c r="M988" s="2" t="e">
        <f t="shared" si="409"/>
        <v>#DIV/0!</v>
      </c>
      <c r="N988" s="2" t="str">
        <f t="shared" si="410"/>
        <v>Lower</v>
      </c>
      <c r="O988" s="2" t="str">
        <f t="shared" si="411"/>
        <v>Higher</v>
      </c>
      <c r="P988" s="2" t="e">
        <f t="shared" si="412"/>
        <v>#DIV/0!</v>
      </c>
      <c r="X988" s="4">
        <f>DATE(2020,10,16)</f>
        <v>44120</v>
      </c>
      <c r="Y988">
        <v>13.056364235832621</v>
      </c>
      <c r="Z988">
        <v>54.154220699829203</v>
      </c>
      <c r="AA988">
        <v>25.0275</v>
      </c>
      <c r="AB988">
        <v>14.518750000000001</v>
      </c>
      <c r="AC988">
        <f t="shared" si="413"/>
        <v>-3.3398644964266561E-2</v>
      </c>
      <c r="AD988">
        <f t="shared" si="413"/>
        <v>5.28578318644446E-2</v>
      </c>
      <c r="AE988">
        <f t="shared" si="414"/>
        <v>8.6256476828711154E-2</v>
      </c>
      <c r="AF988">
        <f t="shared" si="415"/>
        <v>6.6720763209311023E-4</v>
      </c>
      <c r="AH988">
        <f t="shared" si="416"/>
        <v>-0.11801608544686122</v>
      </c>
      <c r="AI988">
        <f t="shared" si="416"/>
        <v>0.24336382930978215</v>
      </c>
      <c r="AJ988">
        <f t="shared" si="417"/>
        <v>0.36137991475664338</v>
      </c>
      <c r="AK988">
        <f t="shared" si="418"/>
        <v>1.4670703550016351</v>
      </c>
      <c r="AM988" t="str">
        <f t="shared" si="419"/>
        <v/>
      </c>
      <c r="AN988" t="str">
        <f t="shared" si="419"/>
        <v/>
      </c>
      <c r="AO988" t="str">
        <f t="shared" si="420"/>
        <v/>
      </c>
      <c r="AP988" t="str">
        <f t="shared" si="421"/>
        <v/>
      </c>
      <c r="AR988" t="str">
        <f t="shared" si="422"/>
        <v/>
      </c>
      <c r="AS988" t="str">
        <f t="shared" si="423"/>
        <v/>
      </c>
      <c r="AT988" t="str">
        <f t="shared" si="424"/>
        <v/>
      </c>
      <c r="AU988" t="str">
        <f t="shared" si="425"/>
        <v/>
      </c>
    </row>
    <row r="989" spans="1:47" x14ac:dyDescent="0.25">
      <c r="A989" s="4">
        <f>DATE(2020,10,15)</f>
        <v>44119</v>
      </c>
      <c r="B989">
        <v>-0.18968960978610133</v>
      </c>
      <c r="C989">
        <v>39.170720901764618</v>
      </c>
      <c r="D989">
        <v>-1.0294845717940825E-2</v>
      </c>
      <c r="E989">
        <f t="shared" si="401"/>
        <v>-0.46692880415454524</v>
      </c>
      <c r="F989">
        <f t="shared" si="402"/>
        <v>-1.672739258027983</v>
      </c>
      <c r="G989">
        <f t="shared" si="403"/>
        <v>-1.5050220129359684</v>
      </c>
      <c r="H989" s="2" t="str">
        <f t="shared" si="404"/>
        <v>Lower</v>
      </c>
      <c r="I989" s="2" t="str">
        <f t="shared" si="405"/>
        <v>Higher</v>
      </c>
      <c r="J989" s="2" t="e">
        <f t="shared" si="406"/>
        <v>#DIV/0!</v>
      </c>
      <c r="K989" s="2" t="str">
        <f t="shared" si="407"/>
        <v>Lower</v>
      </c>
      <c r="L989" s="2" t="str">
        <f t="shared" si="408"/>
        <v>Higher</v>
      </c>
      <c r="M989" s="2" t="e">
        <f t="shared" si="409"/>
        <v>#DIV/0!</v>
      </c>
      <c r="N989" s="2" t="str">
        <f t="shared" si="410"/>
        <v>Lower</v>
      </c>
      <c r="O989" s="2" t="str">
        <f t="shared" si="411"/>
        <v>Higher</v>
      </c>
      <c r="P989" s="2" t="e">
        <f t="shared" si="412"/>
        <v>#DIV/0!</v>
      </c>
      <c r="X989" s="4">
        <f>DATE(2020,10,15)</f>
        <v>44119</v>
      </c>
      <c r="Y989">
        <v>13.772783171053332</v>
      </c>
      <c r="Z989">
        <v>50.481770566519387</v>
      </c>
      <c r="AA989">
        <v>25.077500000000001</v>
      </c>
      <c r="AB989">
        <v>14.155000000000001</v>
      </c>
      <c r="AC989">
        <f t="shared" si="413"/>
        <v>-5.4135428546969261E-2</v>
      </c>
      <c r="AD989">
        <f t="shared" si="413"/>
        <v>1.8179078427216826E-2</v>
      </c>
      <c r="AE989">
        <f t="shared" si="414"/>
        <v>7.2314506974186094E-2</v>
      </c>
      <c r="AF989">
        <f t="shared" si="415"/>
        <v>-0.11915757195956977</v>
      </c>
      <c r="AH989">
        <f t="shared" si="416"/>
        <v>-0.13710142558598107</v>
      </c>
      <c r="AI989">
        <f t="shared" si="416"/>
        <v>0.23248143287531076</v>
      </c>
      <c r="AJ989">
        <f t="shared" si="417"/>
        <v>0.3695828584612918</v>
      </c>
      <c r="AK989">
        <f t="shared" si="418"/>
        <v>1.5493844258053349</v>
      </c>
      <c r="AM989" t="str">
        <f t="shared" si="419"/>
        <v/>
      </c>
      <c r="AN989" t="str">
        <f t="shared" si="419"/>
        <v/>
      </c>
      <c r="AO989" t="str">
        <f t="shared" si="420"/>
        <v/>
      </c>
      <c r="AP989" t="str">
        <f t="shared" si="421"/>
        <v/>
      </c>
      <c r="AR989" t="str">
        <f t="shared" si="422"/>
        <v/>
      </c>
      <c r="AS989" t="str">
        <f t="shared" si="423"/>
        <v/>
      </c>
      <c r="AT989" t="str">
        <f t="shared" si="424"/>
        <v/>
      </c>
      <c r="AU989" t="str">
        <f t="shared" si="425"/>
        <v/>
      </c>
    </row>
    <row r="990" spans="1:47" x14ac:dyDescent="0.25">
      <c r="A990" s="4">
        <f>DATE(2020,10,14)</f>
        <v>44118</v>
      </c>
      <c r="B990">
        <v>-0.16622601889754363</v>
      </c>
      <c r="C990">
        <v>43.153379837348517</v>
      </c>
      <c r="D990">
        <v>0.19104567273425679</v>
      </c>
      <c r="E990">
        <f t="shared" si="401"/>
        <v>-0.35621584983433358</v>
      </c>
      <c r="F990">
        <f t="shared" si="402"/>
        <v>-1.1194061384557399</v>
      </c>
      <c r="G990">
        <f t="shared" si="403"/>
        <v>-0.89174070068895595</v>
      </c>
      <c r="H990" s="2" t="str">
        <f t="shared" si="404"/>
        <v>Lower</v>
      </c>
      <c r="I990" s="2" t="str">
        <f t="shared" si="405"/>
        <v>Higher</v>
      </c>
      <c r="J990" s="2" t="e">
        <f t="shared" si="406"/>
        <v>#DIV/0!</v>
      </c>
      <c r="K990" s="2" t="str">
        <f t="shared" si="407"/>
        <v>Lower</v>
      </c>
      <c r="L990" s="2" t="str">
        <f t="shared" si="408"/>
        <v>Higher</v>
      </c>
      <c r="M990" s="2" t="e">
        <f t="shared" si="409"/>
        <v>#DIV/0!</v>
      </c>
      <c r="N990" s="2" t="str">
        <f t="shared" si="410"/>
        <v>Lower</v>
      </c>
      <c r="O990" s="2" t="str">
        <f t="shared" si="411"/>
        <v>Higher</v>
      </c>
      <c r="P990" s="2" t="e">
        <f t="shared" si="412"/>
        <v>#DIV/0!</v>
      </c>
      <c r="X990" s="4">
        <f>DATE(2020,10,14)</f>
        <v>44118</v>
      </c>
      <c r="Y990">
        <v>14.866950369017221</v>
      </c>
      <c r="Z990">
        <v>48.377206087937424</v>
      </c>
      <c r="AA990">
        <v>25.607500000000002</v>
      </c>
      <c r="AB990">
        <v>13.856249999999999</v>
      </c>
      <c r="AC990">
        <f t="shared" si="413"/>
        <v>-5.480172796393791E-2</v>
      </c>
      <c r="AD990">
        <f t="shared" si="413"/>
        <v>1.5821388395312833E-2</v>
      </c>
      <c r="AE990">
        <f t="shared" si="414"/>
        <v>7.062311635925074E-2</v>
      </c>
      <c r="AF990">
        <f t="shared" si="415"/>
        <v>-0.13450386859938909</v>
      </c>
      <c r="AH990">
        <f t="shared" si="416"/>
        <v>-0.15212634524651653</v>
      </c>
      <c r="AI990">
        <f t="shared" si="416"/>
        <v>0.20205490367546339</v>
      </c>
      <c r="AJ990">
        <f t="shared" si="417"/>
        <v>0.35418124892197989</v>
      </c>
      <c r="AK990">
        <f t="shared" si="418"/>
        <v>1.4280498296297959</v>
      </c>
      <c r="AM990" t="str">
        <f t="shared" si="419"/>
        <v/>
      </c>
      <c r="AN990" t="str">
        <f t="shared" si="419"/>
        <v/>
      </c>
      <c r="AO990" t="str">
        <f t="shared" si="420"/>
        <v/>
      </c>
      <c r="AP990" t="str">
        <f t="shared" si="421"/>
        <v/>
      </c>
      <c r="AR990" t="str">
        <f t="shared" si="422"/>
        <v/>
      </c>
      <c r="AS990" t="str">
        <f t="shared" si="423"/>
        <v/>
      </c>
      <c r="AT990" t="str">
        <f t="shared" si="424"/>
        <v/>
      </c>
      <c r="AU990" t="str">
        <f t="shared" si="425"/>
        <v/>
      </c>
    </row>
    <row r="991" spans="1:47" x14ac:dyDescent="0.25">
      <c r="A991" s="4">
        <f>DATE(2020,10,13)</f>
        <v>44117</v>
      </c>
      <c r="B991">
        <v>-0.19059212886039612</v>
      </c>
      <c r="C991">
        <v>39.309250748315982</v>
      </c>
      <c r="D991">
        <v>8.3212141220318198E-2</v>
      </c>
      <c r="E991">
        <f t="shared" si="401"/>
        <v>-0.47875551185157605</v>
      </c>
      <c r="F991">
        <f t="shared" si="402"/>
        <v>-1.7324920576385823</v>
      </c>
      <c r="G991">
        <f t="shared" si="403"/>
        <v>-1.2571466214651392</v>
      </c>
      <c r="H991" s="2" t="str">
        <f t="shared" si="404"/>
        <v>Lower</v>
      </c>
      <c r="I991" s="2" t="str">
        <f t="shared" si="405"/>
        <v>Higher</v>
      </c>
      <c r="J991" s="2" t="e">
        <f t="shared" si="406"/>
        <v>#DIV/0!</v>
      </c>
      <c r="K991" s="2" t="str">
        <f t="shared" si="407"/>
        <v>Lower</v>
      </c>
      <c r="L991" s="2" t="str">
        <f t="shared" si="408"/>
        <v>Higher</v>
      </c>
      <c r="M991" s="2" t="e">
        <f t="shared" si="409"/>
        <v>#DIV/0!</v>
      </c>
      <c r="N991" s="2" t="str">
        <f t="shared" si="410"/>
        <v>Lower</v>
      </c>
      <c r="O991" s="2" t="str">
        <f t="shared" si="411"/>
        <v>Higher</v>
      </c>
      <c r="P991" s="2" t="e">
        <f t="shared" si="412"/>
        <v>#DIV/0!</v>
      </c>
      <c r="X991" s="4">
        <f>DATE(2020,10,13)</f>
        <v>44117</v>
      </c>
      <c r="Y991">
        <v>15.625560555711537</v>
      </c>
      <c r="Z991">
        <v>46.91834030248463</v>
      </c>
      <c r="AA991">
        <v>25.3475</v>
      </c>
      <c r="AB991">
        <v>13.594999999999999</v>
      </c>
      <c r="AC991">
        <f t="shared" si="413"/>
        <v>-5.4881876812049854E-2</v>
      </c>
      <c r="AD991">
        <f t="shared" si="413"/>
        <v>2.193804285672582E-2</v>
      </c>
      <c r="AE991">
        <f t="shared" si="414"/>
        <v>7.6819919668775674E-2</v>
      </c>
      <c r="AF991">
        <f t="shared" si="415"/>
        <v>-8.3343341498015658E-2</v>
      </c>
      <c r="AH991">
        <f t="shared" si="416"/>
        <v>-0.16743335525452011</v>
      </c>
      <c r="AI991">
        <f t="shared" si="416"/>
        <v>0.2232355011096861</v>
      </c>
      <c r="AJ991">
        <f t="shared" si="417"/>
        <v>0.39066885636420623</v>
      </c>
      <c r="AK991">
        <f t="shared" si="418"/>
        <v>1.7513080685745717</v>
      </c>
      <c r="AM991" t="str">
        <f t="shared" si="419"/>
        <v/>
      </c>
      <c r="AN991" t="str">
        <f t="shared" si="419"/>
        <v/>
      </c>
      <c r="AO991" t="str">
        <f t="shared" si="420"/>
        <v/>
      </c>
      <c r="AP991" t="str">
        <f t="shared" si="421"/>
        <v/>
      </c>
      <c r="AR991" t="str">
        <f t="shared" si="422"/>
        <v/>
      </c>
      <c r="AS991" t="str">
        <f t="shared" si="423"/>
        <v/>
      </c>
      <c r="AT991" t="str">
        <f t="shared" si="424"/>
        <v/>
      </c>
      <c r="AU991" t="str">
        <f t="shared" si="425"/>
        <v/>
      </c>
    </row>
    <row r="992" spans="1:47" x14ac:dyDescent="0.25">
      <c r="A992" s="4">
        <f>DATE(2020,10,12)</f>
        <v>44116</v>
      </c>
      <c r="B992">
        <v>-0.15543523200766568</v>
      </c>
      <c r="C992">
        <v>42.589077427602781</v>
      </c>
      <c r="D992">
        <v>0.21158764203303296</v>
      </c>
      <c r="E992">
        <f t="shared" si="401"/>
        <v>-0.31331803743427161</v>
      </c>
      <c r="F992">
        <f t="shared" si="402"/>
        <v>-1.2837050850099803</v>
      </c>
      <c r="G992">
        <f t="shared" si="403"/>
        <v>-0.86617574167867895</v>
      </c>
      <c r="H992" s="2" t="str">
        <f t="shared" si="404"/>
        <v>Lower</v>
      </c>
      <c r="I992" s="2" t="e">
        <f t="shared" si="405"/>
        <v>#DIV/0!</v>
      </c>
      <c r="J992" s="2" t="e">
        <f t="shared" si="406"/>
        <v>#DIV/0!</v>
      </c>
      <c r="K992" s="2" t="str">
        <f t="shared" si="407"/>
        <v>Lower</v>
      </c>
      <c r="L992" s="2" t="e">
        <f t="shared" si="408"/>
        <v>#DIV/0!</v>
      </c>
      <c r="M992" s="2" t="e">
        <f t="shared" si="409"/>
        <v>#DIV/0!</v>
      </c>
      <c r="N992" s="2" t="str">
        <f t="shared" si="410"/>
        <v>Lower</v>
      </c>
      <c r="O992" s="2" t="e">
        <f t="shared" si="411"/>
        <v>#DIV/0!</v>
      </c>
      <c r="P992" s="2" t="e">
        <f t="shared" si="412"/>
        <v>#DIV/0!</v>
      </c>
      <c r="X992" s="4">
        <f>DATE(2020,10,12)</f>
        <v>44116</v>
      </c>
      <c r="Y992">
        <v>16.402752765904655</v>
      </c>
      <c r="Z992">
        <v>50.054221165193965</v>
      </c>
      <c r="AA992">
        <v>25.717500000000001</v>
      </c>
      <c r="AB992">
        <v>13.782499999999999</v>
      </c>
      <c r="AC992">
        <f t="shared" si="413"/>
        <v>-4.9035473781476019E-2</v>
      </c>
      <c r="AD992">
        <f t="shared" si="413"/>
        <v>2.9451788196302113E-2</v>
      </c>
      <c r="AE992">
        <f t="shared" si="414"/>
        <v>7.8487261977778139E-2</v>
      </c>
      <c r="AF992">
        <f t="shared" si="415"/>
        <v>-7.0094154048341989E-2</v>
      </c>
      <c r="AH992">
        <f t="shared" si="416"/>
        <v>-0.15244109950886894</v>
      </c>
      <c r="AI992">
        <f t="shared" si="416"/>
        <v>0.25175504255616116</v>
      </c>
      <c r="AJ992">
        <f t="shared" si="417"/>
        <v>0.40419614206503007</v>
      </c>
      <c r="AK992">
        <f t="shared" si="418"/>
        <v>1.8891321901225648</v>
      </c>
      <c r="AM992" t="str">
        <f t="shared" si="419"/>
        <v/>
      </c>
      <c r="AN992" t="str">
        <f t="shared" si="419"/>
        <v/>
      </c>
      <c r="AO992" t="str">
        <f t="shared" si="420"/>
        <v/>
      </c>
      <c r="AP992" t="str">
        <f t="shared" si="421"/>
        <v/>
      </c>
      <c r="AR992" t="str">
        <f t="shared" si="422"/>
        <v/>
      </c>
      <c r="AS992" t="str">
        <f t="shared" si="423"/>
        <v/>
      </c>
      <c r="AT992" t="str">
        <f t="shared" si="424"/>
        <v/>
      </c>
      <c r="AU992" t="str">
        <f t="shared" si="425"/>
        <v/>
      </c>
    </row>
    <row r="993" spans="1:47" x14ac:dyDescent="0.25">
      <c r="A993" s="4">
        <f>DATE(2020,10,9)</f>
        <v>44113</v>
      </c>
      <c r="B993">
        <v>-0.14909140161212861</v>
      </c>
      <c r="C993">
        <v>41.47292549513957</v>
      </c>
      <c r="D993">
        <v>0.1736625555345484</v>
      </c>
      <c r="E993">
        <f t="shared" si="401"/>
        <v>-0.28585412628431112</v>
      </c>
      <c r="F993">
        <f t="shared" si="402"/>
        <v>-1.4912246662614934</v>
      </c>
      <c r="G993">
        <f t="shared" si="403"/>
        <v>-1.0039749386346317</v>
      </c>
      <c r="H993" s="2" t="str">
        <f t="shared" si="404"/>
        <v>Lower</v>
      </c>
      <c r="I993" s="2" t="e">
        <f t="shared" si="405"/>
        <v>#DIV/0!</v>
      </c>
      <c r="J993" s="2" t="e">
        <f t="shared" si="406"/>
        <v>#DIV/0!</v>
      </c>
      <c r="K993" s="2" t="str">
        <f t="shared" si="407"/>
        <v>Lower</v>
      </c>
      <c r="L993" s="2" t="e">
        <f t="shared" si="408"/>
        <v>#DIV/0!</v>
      </c>
      <c r="M993" s="2" t="e">
        <f t="shared" si="409"/>
        <v>#DIV/0!</v>
      </c>
      <c r="N993" s="2" t="str">
        <f t="shared" si="410"/>
        <v>Lower</v>
      </c>
      <c r="O993" s="2" t="e">
        <f t="shared" si="411"/>
        <v>#DIV/0!</v>
      </c>
      <c r="P993" s="2" t="e">
        <f t="shared" si="412"/>
        <v>#DIV/0!</v>
      </c>
      <c r="X993" s="4">
        <f>DATE(2020,10,9)</f>
        <v>44113</v>
      </c>
      <c r="Y993">
        <v>17.153859999298195</v>
      </c>
      <c r="Z993">
        <v>52.182440624204482</v>
      </c>
      <c r="AA993">
        <v>25.877500000000001</v>
      </c>
      <c r="AB993">
        <v>13.77125</v>
      </c>
      <c r="AC993">
        <f t="shared" si="413"/>
        <v>-3.7078158081654412E-2</v>
      </c>
      <c r="AD993">
        <f t="shared" si="413"/>
        <v>5.7729886679832046E-2</v>
      </c>
      <c r="AE993">
        <f t="shared" si="414"/>
        <v>9.4808044761486465E-2</v>
      </c>
      <c r="AF993">
        <f t="shared" si="415"/>
        <v>6.4199436816418293E-2</v>
      </c>
      <c r="AH993">
        <f t="shared" si="416"/>
        <v>-8.4439883663946252E-2</v>
      </c>
      <c r="AI993">
        <f t="shared" si="416"/>
        <v>0.27466618268000859</v>
      </c>
      <c r="AJ993">
        <f t="shared" si="417"/>
        <v>0.35910606634395481</v>
      </c>
      <c r="AK993">
        <f t="shared" si="418"/>
        <v>1.5348891402897173</v>
      </c>
      <c r="AM993" t="str">
        <f t="shared" si="419"/>
        <v/>
      </c>
      <c r="AN993" t="str">
        <f t="shared" si="419"/>
        <v/>
      </c>
      <c r="AO993" t="str">
        <f t="shared" si="420"/>
        <v/>
      </c>
      <c r="AP993" t="str">
        <f t="shared" si="421"/>
        <v/>
      </c>
      <c r="AR993" t="str">
        <f t="shared" si="422"/>
        <v/>
      </c>
      <c r="AS993" t="str">
        <f t="shared" si="423"/>
        <v/>
      </c>
      <c r="AT993" t="str">
        <f t="shared" si="424"/>
        <v/>
      </c>
      <c r="AU993" t="str">
        <f t="shared" si="425"/>
        <v/>
      </c>
    </row>
    <row r="994" spans="1:47" x14ac:dyDescent="0.25">
      <c r="A994" s="4">
        <f>DATE(2020,10,8)</f>
        <v>44112</v>
      </c>
      <c r="B994">
        <v>-0.10733967555473806</v>
      </c>
      <c r="C994">
        <v>44.646619527428037</v>
      </c>
      <c r="D994">
        <v>0.26175656890649351</v>
      </c>
      <c r="E994">
        <f t="shared" si="401"/>
        <v>-8.941394242477757E-2</v>
      </c>
      <c r="F994">
        <f t="shared" si="402"/>
        <v>-1.0310661636871215</v>
      </c>
      <c r="G994">
        <f t="shared" si="403"/>
        <v>-0.73478372234297595</v>
      </c>
      <c r="H994" s="2" t="str">
        <f t="shared" si="404"/>
        <v>Lower</v>
      </c>
      <c r="I994" s="2" t="e">
        <f t="shared" si="405"/>
        <v>#DIV/0!</v>
      </c>
      <c r="J994" s="2" t="e">
        <f t="shared" si="406"/>
        <v>#DIV/0!</v>
      </c>
      <c r="K994" s="2" t="str">
        <f t="shared" si="407"/>
        <v>Lower</v>
      </c>
      <c r="L994" s="2" t="e">
        <f t="shared" si="408"/>
        <v>#DIV/0!</v>
      </c>
      <c r="M994" s="2" t="e">
        <f t="shared" si="409"/>
        <v>#DIV/0!</v>
      </c>
      <c r="N994" s="2" t="str">
        <f t="shared" si="410"/>
        <v>Lower</v>
      </c>
      <c r="O994" s="2" t="e">
        <f t="shared" si="411"/>
        <v>#DIV/0!</v>
      </c>
      <c r="P994" s="2" t="e">
        <f t="shared" si="412"/>
        <v>#DIV/0!</v>
      </c>
      <c r="X994" s="4">
        <f>DATE(2020,10,8)</f>
        <v>44112</v>
      </c>
      <c r="Y994">
        <v>18.294041212353324</v>
      </c>
      <c r="Z994">
        <v>53.989649287717633</v>
      </c>
      <c r="AA994">
        <v>26.4725</v>
      </c>
      <c r="AB994">
        <v>13.9</v>
      </c>
      <c r="AC994">
        <f t="shared" si="413"/>
        <v>-6.8702919522519697E-3</v>
      </c>
      <c r="AD994">
        <f t="shared" si="413"/>
        <v>5.0252563890094616E-2</v>
      </c>
      <c r="AE994">
        <f t="shared" si="414"/>
        <v>5.7122855842346588E-2</v>
      </c>
      <c r="AF994">
        <f t="shared" si="415"/>
        <v>-0.24336286297142992</v>
      </c>
      <c r="AH994">
        <f t="shared" si="416"/>
        <v>-6.1707290617241985E-2</v>
      </c>
      <c r="AI994">
        <f t="shared" si="416"/>
        <v>0.27186065160610928</v>
      </c>
      <c r="AJ994">
        <f t="shared" si="417"/>
        <v>0.33356794222335129</v>
      </c>
      <c r="AK994">
        <f t="shared" si="418"/>
        <v>1.3311502217213564</v>
      </c>
      <c r="AM994" t="str">
        <f t="shared" si="419"/>
        <v/>
      </c>
      <c r="AN994" t="str">
        <f t="shared" si="419"/>
        <v/>
      </c>
      <c r="AO994" t="str">
        <f t="shared" si="420"/>
        <v/>
      </c>
      <c r="AP994" t="str">
        <f t="shared" si="421"/>
        <v/>
      </c>
      <c r="AR994" t="str">
        <f t="shared" si="422"/>
        <v/>
      </c>
      <c r="AS994" t="str">
        <f t="shared" si="423"/>
        <v/>
      </c>
      <c r="AT994" t="str">
        <f t="shared" si="424"/>
        <v/>
      </c>
      <c r="AU994" t="str">
        <f t="shared" si="425"/>
        <v/>
      </c>
    </row>
    <row r="995" spans="1:47" x14ac:dyDescent="0.25">
      <c r="A995" s="4">
        <f>DATE(2020,10,7)</f>
        <v>44111</v>
      </c>
      <c r="B995">
        <v>-9.3567350321328291E-2</v>
      </c>
      <c r="C995">
        <v>47.65670246358308</v>
      </c>
      <c r="D995">
        <v>0.35111370456214497</v>
      </c>
      <c r="E995">
        <f t="shared" si="401"/>
        <v>-2.5137994042642178E-2</v>
      </c>
      <c r="F995">
        <f t="shared" si="402"/>
        <v>-0.57084454140572527</v>
      </c>
      <c r="G995">
        <f t="shared" si="403"/>
        <v>-0.45451518391272056</v>
      </c>
      <c r="H995" s="2" t="str">
        <f t="shared" si="404"/>
        <v>Lower</v>
      </c>
      <c r="I995" s="2" t="e">
        <f t="shared" si="405"/>
        <v>#DIV/0!</v>
      </c>
      <c r="J995" s="2" t="e">
        <f t="shared" si="406"/>
        <v>#DIV/0!</v>
      </c>
      <c r="K995" s="2" t="str">
        <f t="shared" si="407"/>
        <v>Lower</v>
      </c>
      <c r="L995" s="2" t="e">
        <f t="shared" si="408"/>
        <v>#DIV/0!</v>
      </c>
      <c r="M995" s="2" t="e">
        <f t="shared" si="409"/>
        <v>#DIV/0!</v>
      </c>
      <c r="N995" s="2" t="str">
        <f t="shared" si="410"/>
        <v>Lower</v>
      </c>
      <c r="O995" s="2" t="e">
        <f t="shared" si="411"/>
        <v>#DIV/0!</v>
      </c>
      <c r="P995" s="2" t="e">
        <f t="shared" si="412"/>
        <v>#DIV/0!</v>
      </c>
      <c r="X995" s="4">
        <f>DATE(2020,10,7)</f>
        <v>44111</v>
      </c>
      <c r="Y995">
        <v>19.190679939296292</v>
      </c>
      <c r="Z995">
        <v>51.256520729427848</v>
      </c>
      <c r="AA995">
        <v>27.05</v>
      </c>
      <c r="AB995">
        <v>13.638750000000002</v>
      </c>
      <c r="AC995">
        <f t="shared" si="413"/>
        <v>6.2114880099462429E-3</v>
      </c>
      <c r="AD995">
        <f t="shared" si="413"/>
        <v>2.8163021229455097E-2</v>
      </c>
      <c r="AE995">
        <f t="shared" si="414"/>
        <v>2.1951533219508854E-2</v>
      </c>
      <c r="AF995">
        <f t="shared" si="415"/>
        <v>-0.53037097439013259</v>
      </c>
      <c r="AH995">
        <f t="shared" si="416"/>
        <v>3.8892539070306039E-3</v>
      </c>
      <c r="AI995">
        <f t="shared" si="416"/>
        <v>0.23754424326747831</v>
      </c>
      <c r="AJ995">
        <f t="shared" si="417"/>
        <v>0.23365498936044771</v>
      </c>
      <c r="AK995">
        <f t="shared" si="418"/>
        <v>0.50490175141470262</v>
      </c>
      <c r="AM995" t="str">
        <f t="shared" si="419"/>
        <v/>
      </c>
      <c r="AN995" t="str">
        <f t="shared" si="419"/>
        <v/>
      </c>
      <c r="AO995" t="str">
        <f t="shared" si="420"/>
        <v/>
      </c>
      <c r="AP995" t="str">
        <f t="shared" si="421"/>
        <v/>
      </c>
      <c r="AR995" t="str">
        <f t="shared" si="422"/>
        <v/>
      </c>
      <c r="AS995" t="str">
        <f t="shared" si="423"/>
        <v/>
      </c>
      <c r="AT995" t="str">
        <f t="shared" si="424"/>
        <v/>
      </c>
      <c r="AU995" t="str">
        <f t="shared" si="425"/>
        <v/>
      </c>
    </row>
    <row r="996" spans="1:47" x14ac:dyDescent="0.25">
      <c r="A996" s="4">
        <f>DATE(2020,10,6)</f>
        <v>44110</v>
      </c>
      <c r="B996">
        <v>-0.11884979687848569</v>
      </c>
      <c r="C996">
        <v>47.005041240668987</v>
      </c>
      <c r="D996">
        <v>0.32469580106342943</v>
      </c>
      <c r="E996">
        <f t="shared" si="401"/>
        <v>-0.14373856427503834</v>
      </c>
      <c r="F996">
        <f t="shared" si="402"/>
        <v>-0.68140356875622876</v>
      </c>
      <c r="G996">
        <f t="shared" si="403"/>
        <v>-0.54506064728115655</v>
      </c>
      <c r="H996" s="2" t="str">
        <f t="shared" si="404"/>
        <v>Lower</v>
      </c>
      <c r="I996" s="2" t="e">
        <f t="shared" si="405"/>
        <v>#DIV/0!</v>
      </c>
      <c r="J996" s="2" t="e">
        <f t="shared" si="406"/>
        <v>#DIV/0!</v>
      </c>
      <c r="K996" s="2" t="str">
        <f t="shared" si="407"/>
        <v>Lower</v>
      </c>
      <c r="L996" s="2" t="e">
        <f t="shared" si="408"/>
        <v>#DIV/0!</v>
      </c>
      <c r="M996" s="2" t="e">
        <f t="shared" si="409"/>
        <v>#DIV/0!</v>
      </c>
      <c r="N996" s="2" t="str">
        <f t="shared" si="410"/>
        <v>Lower</v>
      </c>
      <c r="O996" s="2" t="e">
        <f t="shared" si="411"/>
        <v>#DIV/0!</v>
      </c>
      <c r="P996" s="2" t="e">
        <f t="shared" si="412"/>
        <v>#DIV/0!</v>
      </c>
      <c r="X996" s="4">
        <f>DATE(2020,10,6)</f>
        <v>44110</v>
      </c>
      <c r="Y996">
        <v>16.052765569072101</v>
      </c>
      <c r="Z996">
        <v>48.870476417377276</v>
      </c>
      <c r="AA996">
        <v>26.7775</v>
      </c>
      <c r="AB996">
        <v>13.3</v>
      </c>
      <c r="AC996">
        <f t="shared" si="413"/>
        <v>-7.8118131842781291E-3</v>
      </c>
      <c r="AD996">
        <f t="shared" si="413"/>
        <v>7.2793047572412783E-2</v>
      </c>
      <c r="AE996">
        <f t="shared" si="414"/>
        <v>8.0604860756690919E-2</v>
      </c>
      <c r="AF996">
        <f t="shared" si="415"/>
        <v>-6.5486493801780357E-2</v>
      </c>
      <c r="AH996">
        <f t="shared" si="416"/>
        <v>-1.1048810230406669E-2</v>
      </c>
      <c r="AI996">
        <f t="shared" si="416"/>
        <v>0.19465291553429181</v>
      </c>
      <c r="AJ996">
        <f t="shared" si="417"/>
        <v>0.20570172576469847</v>
      </c>
      <c r="AK996">
        <f t="shared" si="418"/>
        <v>0.27819693674204732</v>
      </c>
      <c r="AM996" t="str">
        <f t="shared" si="419"/>
        <v/>
      </c>
      <c r="AN996" t="str">
        <f t="shared" si="419"/>
        <v/>
      </c>
      <c r="AO996" t="str">
        <f t="shared" si="420"/>
        <v/>
      </c>
      <c r="AP996" t="str">
        <f t="shared" si="421"/>
        <v/>
      </c>
      <c r="AR996" t="str">
        <f t="shared" si="422"/>
        <v/>
      </c>
      <c r="AS996" t="str">
        <f t="shared" si="423"/>
        <v/>
      </c>
      <c r="AT996" t="str">
        <f t="shared" si="424"/>
        <v/>
      </c>
      <c r="AU996" t="str">
        <f t="shared" si="425"/>
        <v/>
      </c>
    </row>
    <row r="997" spans="1:47" x14ac:dyDescent="0.25">
      <c r="A997" s="4">
        <f>DATE(2020,10,5)</f>
        <v>44109</v>
      </c>
      <c r="B997">
        <v>-0.13645014763702573</v>
      </c>
      <c r="C997">
        <v>47.757986756797855</v>
      </c>
      <c r="D997">
        <v>0.35534338829012124</v>
      </c>
      <c r="E997">
        <f t="shared" si="401"/>
        <v>-0.22674738397648495</v>
      </c>
      <c r="F997">
        <f t="shared" si="402"/>
        <v>-0.57234084777180805</v>
      </c>
      <c r="G997">
        <f t="shared" si="403"/>
        <v>-0.45358310919335548</v>
      </c>
      <c r="H997" s="2" t="str">
        <f t="shared" si="404"/>
        <v>Lower</v>
      </c>
      <c r="I997" s="2" t="e">
        <f t="shared" si="405"/>
        <v>#DIV/0!</v>
      </c>
      <c r="J997" s="2" t="e">
        <f t="shared" si="406"/>
        <v>#DIV/0!</v>
      </c>
      <c r="K997" s="2" t="str">
        <f t="shared" si="407"/>
        <v>Lower</v>
      </c>
      <c r="L997" s="2" t="e">
        <f t="shared" si="408"/>
        <v>#DIV/0!</v>
      </c>
      <c r="M997" s="2" t="e">
        <f t="shared" si="409"/>
        <v>#DIV/0!</v>
      </c>
      <c r="N997" s="2" t="str">
        <f t="shared" si="410"/>
        <v>Lower</v>
      </c>
      <c r="O997" s="2" t="e">
        <f t="shared" si="411"/>
        <v>#DIV/0!</v>
      </c>
      <c r="P997" s="2" t="e">
        <f t="shared" si="412"/>
        <v>#DIV/0!</v>
      </c>
      <c r="X997" s="4">
        <f>DATE(2020,10,5)</f>
        <v>44109</v>
      </c>
      <c r="Y997">
        <v>16.704682767164073</v>
      </c>
      <c r="Z997">
        <v>50.456930369241938</v>
      </c>
      <c r="AA997">
        <v>27.009999999999998</v>
      </c>
      <c r="AB997">
        <v>13.3825</v>
      </c>
      <c r="AC997">
        <f t="shared" si="413"/>
        <v>-1.0313166915722918E-2</v>
      </c>
      <c r="AD997">
        <f t="shared" si="413"/>
        <v>8.8421946294663406E-2</v>
      </c>
      <c r="AE997">
        <f t="shared" si="414"/>
        <v>9.8735113210386319E-2</v>
      </c>
      <c r="AF997">
        <f t="shared" si="415"/>
        <v>7.8104024246783157E-2</v>
      </c>
      <c r="AH997">
        <f t="shared" si="416"/>
        <v>-3.0497690104891156E-3</v>
      </c>
      <c r="AI997" t="str">
        <f t="shared" si="416"/>
        <v/>
      </c>
      <c r="AJ997" t="str">
        <f t="shared" si="417"/>
        <v/>
      </c>
      <c r="AK997" t="str">
        <f t="shared" si="418"/>
        <v/>
      </c>
      <c r="AM997" t="str">
        <f t="shared" si="419"/>
        <v/>
      </c>
      <c r="AN997" t="str">
        <f t="shared" si="419"/>
        <v/>
      </c>
      <c r="AO997" t="str">
        <f t="shared" si="420"/>
        <v/>
      </c>
      <c r="AP997" t="str">
        <f t="shared" si="421"/>
        <v/>
      </c>
      <c r="AR997" t="str">
        <f t="shared" si="422"/>
        <v/>
      </c>
      <c r="AS997" t="str">
        <f t="shared" si="423"/>
        <v/>
      </c>
      <c r="AT997" t="str">
        <f t="shared" si="424"/>
        <v/>
      </c>
      <c r="AU997" t="str">
        <f t="shared" si="425"/>
        <v/>
      </c>
    </row>
    <row r="998" spans="1:47" x14ac:dyDescent="0.25">
      <c r="A998" s="4">
        <f>DATE(2020,10,2)</f>
        <v>44106</v>
      </c>
      <c r="B998">
        <v>-0.1672254831016248</v>
      </c>
      <c r="C998">
        <v>48.188028586238907</v>
      </c>
      <c r="D998">
        <v>0.37230019960269917</v>
      </c>
      <c r="E998">
        <f t="shared" si="401"/>
        <v>-0.37040848613496985</v>
      </c>
      <c r="F998">
        <f t="shared" si="402"/>
        <v>-0.5124688287144783</v>
      </c>
      <c r="G998">
        <f t="shared" si="403"/>
        <v>-0.40499749351695374</v>
      </c>
      <c r="H998" s="2" t="str">
        <f t="shared" si="404"/>
        <v>Lower</v>
      </c>
      <c r="I998" s="2" t="e">
        <f t="shared" si="405"/>
        <v>#DIV/0!</v>
      </c>
      <c r="J998" s="2" t="e">
        <f t="shared" si="406"/>
        <v>#DIV/0!</v>
      </c>
      <c r="K998" s="2" t="str">
        <f t="shared" si="407"/>
        <v>Lower</v>
      </c>
      <c r="L998" s="2" t="e">
        <f t="shared" si="408"/>
        <v>#DIV/0!</v>
      </c>
      <c r="M998" s="2" t="e">
        <f t="shared" si="409"/>
        <v>#DIV/0!</v>
      </c>
      <c r="N998" s="2" t="str">
        <f t="shared" si="410"/>
        <v>Lower</v>
      </c>
      <c r="O998" s="2" t="e">
        <f t="shared" si="411"/>
        <v>#DIV/0!</v>
      </c>
      <c r="P998" s="2" t="e">
        <f t="shared" si="412"/>
        <v>#DIV/0!</v>
      </c>
      <c r="X998" s="4">
        <f>DATE(2020,10,2)</f>
        <v>44106</v>
      </c>
      <c r="Y998">
        <v>16.745695340896614</v>
      </c>
      <c r="Z998">
        <v>48.795162436230946</v>
      </c>
      <c r="AA998">
        <v>26.855</v>
      </c>
      <c r="AB998">
        <v>12.998750000000001</v>
      </c>
      <c r="AC998">
        <f t="shared" si="413"/>
        <v>2.0883084173703693E-2</v>
      </c>
      <c r="AD998">
        <f t="shared" si="413"/>
        <v>0.11330945287342668</v>
      </c>
      <c r="AE998">
        <f t="shared" si="414"/>
        <v>9.2426368699722983E-2</v>
      </c>
      <c r="AF998">
        <f t="shared" si="415"/>
        <v>2.9190761391834703E-2</v>
      </c>
      <c r="AH998">
        <f t="shared" si="416"/>
        <v>-3.1792334487811186E-2</v>
      </c>
      <c r="AI998">
        <f t="shared" si="416"/>
        <v>9.7919601194555742E-2</v>
      </c>
      <c r="AJ998">
        <f t="shared" si="417"/>
        <v>0.12971193568236694</v>
      </c>
      <c r="AK998">
        <f t="shared" si="418"/>
        <v>-0.36685576966702743</v>
      </c>
      <c r="AM998" t="str">
        <f t="shared" si="419"/>
        <v/>
      </c>
      <c r="AN998" t="str">
        <f t="shared" si="419"/>
        <v/>
      </c>
      <c r="AO998" t="str">
        <f t="shared" si="420"/>
        <v/>
      </c>
      <c r="AP998" t="str">
        <f t="shared" si="421"/>
        <v/>
      </c>
      <c r="AR998" t="str">
        <f t="shared" si="422"/>
        <v/>
      </c>
      <c r="AS998" t="str">
        <f t="shared" si="423"/>
        <v/>
      </c>
      <c r="AT998" t="str">
        <f t="shared" si="424"/>
        <v/>
      </c>
      <c r="AU998" t="str">
        <f t="shared" si="425"/>
        <v/>
      </c>
    </row>
    <row r="999" spans="1:47" x14ac:dyDescent="0.25">
      <c r="A999" s="4">
        <f>DATE(2020,10,1)</f>
        <v>44105</v>
      </c>
      <c r="B999">
        <v>-0.21083450429559294</v>
      </c>
      <c r="C999">
        <v>45.55793218201093</v>
      </c>
      <c r="D999">
        <v>0.2611813460749941</v>
      </c>
      <c r="E999">
        <f t="shared" si="401"/>
        <v>-0.57312343182456182</v>
      </c>
      <c r="F999">
        <f t="shared" si="402"/>
        <v>-0.92804210565481682</v>
      </c>
      <c r="G999">
        <f t="shared" si="403"/>
        <v>-0.76037442788960541</v>
      </c>
      <c r="H999" s="2" t="str">
        <f t="shared" si="404"/>
        <v>Lower</v>
      </c>
      <c r="I999" s="2" t="e">
        <f t="shared" si="405"/>
        <v>#DIV/0!</v>
      </c>
      <c r="J999" s="2" t="e">
        <f t="shared" si="406"/>
        <v>#DIV/0!</v>
      </c>
      <c r="K999" s="2" t="str">
        <f t="shared" si="407"/>
        <v>Lower</v>
      </c>
      <c r="L999" s="2" t="e">
        <f t="shared" si="408"/>
        <v>#DIV/0!</v>
      </c>
      <c r="M999" s="2" t="e">
        <f t="shared" si="409"/>
        <v>#DIV/0!</v>
      </c>
      <c r="N999" s="2" t="str">
        <f t="shared" si="410"/>
        <v>Lower</v>
      </c>
      <c r="O999" s="2" t="e">
        <f t="shared" si="411"/>
        <v>#DIV/0!</v>
      </c>
      <c r="P999" s="2" t="e">
        <f t="shared" si="412"/>
        <v>#DIV/0!</v>
      </c>
      <c r="X999" s="4">
        <f>DATE(2020,10,1)</f>
        <v>44105</v>
      </c>
      <c r="Y999">
        <v>18.239146339650969</v>
      </c>
      <c r="Z999">
        <v>51.688918221577026</v>
      </c>
      <c r="AA999">
        <v>26.655000000000001</v>
      </c>
      <c r="AB999">
        <v>13.21875</v>
      </c>
      <c r="AC999">
        <f t="shared" si="413"/>
        <v>1.8775822263917259E-3</v>
      </c>
      <c r="AD999">
        <f t="shared" si="413"/>
        <v>0.12087291079065504</v>
      </c>
      <c r="AE999">
        <f t="shared" si="414"/>
        <v>0.11899532856426331</v>
      </c>
      <c r="AF999">
        <f t="shared" si="415"/>
        <v>0.2357389848920122</v>
      </c>
      <c r="AH999">
        <f t="shared" si="416"/>
        <v>-7.2438438732303281E-2</v>
      </c>
      <c r="AI999">
        <f t="shared" si="416"/>
        <v>0.12268866562864721</v>
      </c>
      <c r="AJ999">
        <f t="shared" si="417"/>
        <v>0.19512710436095049</v>
      </c>
      <c r="AK999">
        <f t="shared" si="418"/>
        <v>0.16167213282165752</v>
      </c>
      <c r="AM999" t="str">
        <f t="shared" si="419"/>
        <v/>
      </c>
      <c r="AN999" t="str">
        <f t="shared" si="419"/>
        <v/>
      </c>
      <c r="AO999" t="str">
        <f t="shared" si="420"/>
        <v/>
      </c>
      <c r="AP999" t="str">
        <f t="shared" si="421"/>
        <v/>
      </c>
      <c r="AR999" t="str">
        <f t="shared" si="422"/>
        <v/>
      </c>
      <c r="AS999" t="str">
        <f t="shared" si="423"/>
        <v/>
      </c>
      <c r="AT999" t="str">
        <f t="shared" si="424"/>
        <v/>
      </c>
      <c r="AU999" t="str">
        <f t="shared" si="425"/>
        <v/>
      </c>
    </row>
    <row r="1000" spans="1:47" x14ac:dyDescent="0.25">
      <c r="A1000" s="4">
        <f>DATE(2020,9,30)</f>
        <v>44104</v>
      </c>
      <c r="B1000">
        <v>-0.2097712986201993</v>
      </c>
      <c r="C1000">
        <v>47.36102753189904</v>
      </c>
      <c r="D1000">
        <v>0.32334376191740949</v>
      </c>
      <c r="E1000">
        <f t="shared" si="401"/>
        <v>-0.57616424281624168</v>
      </c>
      <c r="F1000">
        <f t="shared" si="402"/>
        <v>-0.66608671734764224</v>
      </c>
      <c r="G1000">
        <f t="shared" si="403"/>
        <v>-0.57754166937689899</v>
      </c>
      <c r="H1000" s="2" t="str">
        <f t="shared" si="404"/>
        <v>Lower</v>
      </c>
      <c r="I1000" s="2" t="e">
        <f t="shared" si="405"/>
        <v>#DIV/0!</v>
      </c>
      <c r="J1000" s="2" t="e">
        <f t="shared" si="406"/>
        <v>#DIV/0!</v>
      </c>
      <c r="K1000" s="2" t="str">
        <f t="shared" si="407"/>
        <v>Lower</v>
      </c>
      <c r="L1000" s="2" t="e">
        <f t="shared" si="408"/>
        <v>#DIV/0!</v>
      </c>
      <c r="M1000" s="2" t="e">
        <f t="shared" si="409"/>
        <v>#DIV/0!</v>
      </c>
      <c r="N1000" s="2" t="str">
        <f t="shared" si="410"/>
        <v>Lower</v>
      </c>
      <c r="O1000" s="2" t="e">
        <f t="shared" si="411"/>
        <v>#DIV/0!</v>
      </c>
      <c r="P1000" s="2" t="e">
        <f t="shared" si="412"/>
        <v>#DIV/0!</v>
      </c>
      <c r="X1000" s="4">
        <f>DATE(2020,9,30)</f>
        <v>44104</v>
      </c>
      <c r="Y1000">
        <v>19.401928519660018</v>
      </c>
      <c r="Z1000">
        <v>52.596559653971212</v>
      </c>
      <c r="AA1000">
        <v>26.8825</v>
      </c>
      <c r="AB1000">
        <v>13.26</v>
      </c>
      <c r="AC1000">
        <f t="shared" si="413"/>
        <v>-2.1366536996735045E-3</v>
      </c>
      <c r="AD1000">
        <f t="shared" si="413"/>
        <v>0.10297522797864385</v>
      </c>
      <c r="AE1000">
        <f t="shared" si="414"/>
        <v>0.10511188167831735</v>
      </c>
      <c r="AF1000">
        <f t="shared" si="415"/>
        <v>0.13135592849782993</v>
      </c>
      <c r="AH1000">
        <f t="shared" si="416"/>
        <v>-4.6515788475818505E-2</v>
      </c>
      <c r="AI1000">
        <f t="shared" si="416"/>
        <v>0.17297622052549233</v>
      </c>
      <c r="AJ1000">
        <f t="shared" si="417"/>
        <v>0.21949200900131083</v>
      </c>
      <c r="AK1000">
        <f t="shared" si="418"/>
        <v>0.36576403895428394</v>
      </c>
      <c r="AM1000" t="str">
        <f t="shared" si="419"/>
        <v/>
      </c>
      <c r="AN1000" t="str">
        <f t="shared" si="419"/>
        <v/>
      </c>
      <c r="AO1000" t="str">
        <f t="shared" si="420"/>
        <v/>
      </c>
      <c r="AP1000" t="str">
        <f t="shared" si="421"/>
        <v/>
      </c>
      <c r="AR1000" t="str">
        <f t="shared" si="422"/>
        <v/>
      </c>
      <c r="AS1000" t="str">
        <f t="shared" si="423"/>
        <v/>
      </c>
      <c r="AT1000" t="str">
        <f t="shared" si="424"/>
        <v/>
      </c>
      <c r="AU1000" t="str">
        <f t="shared" si="425"/>
        <v/>
      </c>
    </row>
    <row r="1001" spans="1:47" x14ac:dyDescent="0.25">
      <c r="A1001" s="4">
        <f>DATE(2020,9,29)</f>
        <v>44103</v>
      </c>
      <c r="B1001">
        <v>-0.23399816582594396</v>
      </c>
      <c r="C1001">
        <v>46.708165868078247</v>
      </c>
      <c r="D1001">
        <v>0.27848087978067915</v>
      </c>
      <c r="E1001">
        <f t="shared" si="401"/>
        <v>-0.69296491605771682</v>
      </c>
      <c r="F1001">
        <f t="shared" si="402"/>
        <v>-0.77706212067321334</v>
      </c>
      <c r="G1001">
        <f t="shared" si="403"/>
        <v>-0.7256055137485492</v>
      </c>
      <c r="H1001" s="2" t="str">
        <f t="shared" si="404"/>
        <v>Lower</v>
      </c>
      <c r="I1001" s="2" t="e">
        <f t="shared" si="405"/>
        <v>#DIV/0!</v>
      </c>
      <c r="J1001" s="2" t="e">
        <f t="shared" si="406"/>
        <v>#DIV/0!</v>
      </c>
      <c r="K1001" s="2" t="str">
        <f t="shared" si="407"/>
        <v>Lower</v>
      </c>
      <c r="L1001" s="2" t="e">
        <f t="shared" si="408"/>
        <v>#DIV/0!</v>
      </c>
      <c r="M1001" s="2" t="e">
        <f t="shared" si="409"/>
        <v>#DIV/0!</v>
      </c>
      <c r="N1001" s="2" t="str">
        <f t="shared" si="410"/>
        <v>Lower</v>
      </c>
      <c r="O1001" s="2" t="e">
        <f t="shared" si="411"/>
        <v>#DIV/0!</v>
      </c>
      <c r="P1001" s="2" t="e">
        <f t="shared" si="412"/>
        <v>#DIV/0!</v>
      </c>
      <c r="X1001" s="4">
        <f>DATE(2020,9,29)</f>
        <v>44103</v>
      </c>
      <c r="Y1001">
        <v>20.286241661117639</v>
      </c>
      <c r="Z1001">
        <v>50.381561219001426</v>
      </c>
      <c r="AA1001">
        <v>26.987500000000001</v>
      </c>
      <c r="AB1001">
        <v>12.366250000000001</v>
      </c>
      <c r="AC1001">
        <f t="shared" si="413"/>
        <v>-1.3891028754955825E-2</v>
      </c>
      <c r="AD1001">
        <f t="shared" si="413"/>
        <v>6.2566007765883336E-2</v>
      </c>
      <c r="AE1001">
        <f t="shared" si="414"/>
        <v>7.6457036520839156E-2</v>
      </c>
      <c r="AF1001">
        <f t="shared" si="415"/>
        <v>-8.4525884911350421E-2</v>
      </c>
      <c r="AH1001">
        <f t="shared" si="416"/>
        <v>-3.7098535609815526E-2</v>
      </c>
      <c r="AI1001">
        <f t="shared" si="416"/>
        <v>8.0809536872530383E-2</v>
      </c>
      <c r="AJ1001">
        <f t="shared" si="417"/>
        <v>0.11790807248234592</v>
      </c>
      <c r="AK1001">
        <f t="shared" si="418"/>
        <v>-0.46106097683337122</v>
      </c>
      <c r="AM1001" t="str">
        <f t="shared" si="419"/>
        <v/>
      </c>
      <c r="AN1001" t="str">
        <f t="shared" si="419"/>
        <v/>
      </c>
      <c r="AO1001" t="str">
        <f t="shared" si="420"/>
        <v/>
      </c>
      <c r="AP1001" t="str">
        <f t="shared" si="421"/>
        <v/>
      </c>
      <c r="AR1001" t="str">
        <f t="shared" si="422"/>
        <v/>
      </c>
      <c r="AS1001" t="str">
        <f t="shared" si="423"/>
        <v/>
      </c>
      <c r="AT1001" t="str">
        <f t="shared" si="424"/>
        <v/>
      </c>
      <c r="AU1001" t="str">
        <f t="shared" si="425"/>
        <v/>
      </c>
    </row>
    <row r="1002" spans="1:47" x14ac:dyDescent="0.25">
      <c r="A1002" s="4">
        <f>DATE(2020,9,28)</f>
        <v>44102</v>
      </c>
      <c r="B1002">
        <v>-0.24029367235244797</v>
      </c>
      <c r="C1002">
        <v>50.53247579188487</v>
      </c>
      <c r="D1002">
        <v>0.46061557226245964</v>
      </c>
      <c r="E1002">
        <f t="shared" si="401"/>
        <v>-0.73215010072912434</v>
      </c>
      <c r="F1002">
        <f t="shared" si="402"/>
        <v>-0.20256501455210932</v>
      </c>
      <c r="G1002">
        <f t="shared" si="403"/>
        <v>-0.17229452508215176</v>
      </c>
      <c r="H1002" s="2" t="str">
        <f t="shared" si="404"/>
        <v>Higher</v>
      </c>
      <c r="I1002" s="2" t="e">
        <f t="shared" si="405"/>
        <v>#DIV/0!</v>
      </c>
      <c r="J1002" s="2" t="e">
        <f t="shared" si="406"/>
        <v>#DIV/0!</v>
      </c>
      <c r="K1002" s="2" t="str">
        <f t="shared" si="407"/>
        <v>Higher</v>
      </c>
      <c r="L1002" s="2" t="e">
        <f t="shared" si="408"/>
        <v>#DIV/0!</v>
      </c>
      <c r="M1002" s="2" t="e">
        <f t="shared" si="409"/>
        <v>#DIV/0!</v>
      </c>
      <c r="N1002" s="2" t="str">
        <f t="shared" si="410"/>
        <v>Lower</v>
      </c>
      <c r="O1002" s="2" t="e">
        <f t="shared" si="411"/>
        <v>#DIV/0!</v>
      </c>
      <c r="P1002" s="2" t="e">
        <f t="shared" si="412"/>
        <v>#DIV/0!</v>
      </c>
      <c r="X1002" s="4">
        <f>DATE(2020,9,28)</f>
        <v>44102</v>
      </c>
      <c r="Y1002">
        <v>21.451952447014381</v>
      </c>
      <c r="Z1002">
        <v>48.657045492739861</v>
      </c>
      <c r="AA1002">
        <v>27.29</v>
      </c>
      <c r="AB1002">
        <v>12.25</v>
      </c>
      <c r="AC1002">
        <f t="shared" si="413"/>
        <v>2.2418724934338989E-2</v>
      </c>
      <c r="AD1002">
        <f t="shared" si="413"/>
        <v>6.4810667009437425E-2</v>
      </c>
      <c r="AE1002">
        <f t="shared" si="414"/>
        <v>4.2391942075098436E-2</v>
      </c>
      <c r="AF1002">
        <f t="shared" si="415"/>
        <v>-0.34014305470507411</v>
      </c>
      <c r="AH1002">
        <f t="shared" si="416"/>
        <v>-5.8877142810720921E-2</v>
      </c>
      <c r="AI1002">
        <f t="shared" si="416"/>
        <v>8.6047092525190938E-2</v>
      </c>
      <c r="AJ1002">
        <f t="shared" si="417"/>
        <v>0.14492423533591187</v>
      </c>
      <c r="AK1002">
        <f t="shared" si="418"/>
        <v>-0.25858782897988503</v>
      </c>
      <c r="AM1002" t="str">
        <f t="shared" si="419"/>
        <v/>
      </c>
      <c r="AN1002" t="str">
        <f t="shared" si="419"/>
        <v/>
      </c>
      <c r="AO1002" t="str">
        <f t="shared" si="420"/>
        <v/>
      </c>
      <c r="AP1002" t="str">
        <f t="shared" si="421"/>
        <v/>
      </c>
      <c r="AR1002" t="str">
        <f t="shared" si="422"/>
        <v/>
      </c>
      <c r="AS1002" t="str">
        <f t="shared" si="423"/>
        <v/>
      </c>
      <c r="AT1002" t="str">
        <f t="shared" si="424"/>
        <v/>
      </c>
      <c r="AU1002" t="str">
        <f t="shared" si="425"/>
        <v/>
      </c>
    </row>
    <row r="1003" spans="1:47" x14ac:dyDescent="0.25">
      <c r="A1003" s="4">
        <f>DATE(2020,9,25)</f>
        <v>44099</v>
      </c>
      <c r="B1003">
        <v>-0.32623182848819138</v>
      </c>
      <c r="C1003">
        <v>43.319006036335949</v>
      </c>
      <c r="D1003">
        <v>0.12429787946145279</v>
      </c>
      <c r="E1003">
        <f t="shared" si="401"/>
        <v>-1.1261553772261832</v>
      </c>
      <c r="F1003">
        <f t="shared" si="402"/>
        <v>-1.3021213151104363</v>
      </c>
      <c r="G1003">
        <f t="shared" si="403"/>
        <v>-1.2067583559160178</v>
      </c>
      <c r="H1003" s="2" t="str">
        <f t="shared" si="404"/>
        <v>Higher</v>
      </c>
      <c r="I1003" s="2" t="e">
        <f t="shared" si="405"/>
        <v>#DIV/0!</v>
      </c>
      <c r="J1003" s="2" t="e">
        <f t="shared" si="406"/>
        <v>#DIV/0!</v>
      </c>
      <c r="K1003" s="2" t="str">
        <f t="shared" si="407"/>
        <v>Higher</v>
      </c>
      <c r="L1003" s="2" t="e">
        <f t="shared" si="408"/>
        <v>#DIV/0!</v>
      </c>
      <c r="M1003" s="2" t="e">
        <f t="shared" si="409"/>
        <v>#DIV/0!</v>
      </c>
      <c r="N1003" s="2" t="str">
        <f t="shared" si="410"/>
        <v>Higher</v>
      </c>
      <c r="O1003" s="2" t="e">
        <f t="shared" si="411"/>
        <v>#DIV/0!</v>
      </c>
      <c r="P1003" s="2" t="e">
        <f t="shared" si="412"/>
        <v>#DIV/0!</v>
      </c>
      <c r="X1003" s="4">
        <f>DATE(2020,9,25)</f>
        <v>44099</v>
      </c>
      <c r="Y1003">
        <v>18.610396985015377</v>
      </c>
      <c r="Z1003">
        <v>42.939524757513951</v>
      </c>
      <c r="AA1003">
        <v>26.3</v>
      </c>
      <c r="AB1003">
        <v>11.606249999999999</v>
      </c>
      <c r="AC1003">
        <f t="shared" si="413"/>
        <v>-6.8422366574643942E-2</v>
      </c>
      <c r="AD1003">
        <f t="shared" si="413"/>
        <v>1.9466657892078586E-2</v>
      </c>
      <c r="AE1003">
        <f t="shared" si="414"/>
        <v>8.7889024466722532E-2</v>
      </c>
      <c r="AF1003">
        <f t="shared" si="415"/>
        <v>-7.4633459744553963E-3</v>
      </c>
      <c r="AH1003">
        <f t="shared" si="416"/>
        <v>-0.10980878233851091</v>
      </c>
      <c r="AI1003">
        <f t="shared" si="416"/>
        <v>3.9207789165713824E-2</v>
      </c>
      <c r="AJ1003">
        <f t="shared" si="417"/>
        <v>0.14901657150422473</v>
      </c>
      <c r="AK1003">
        <f t="shared" si="418"/>
        <v>-0.23598135249234284</v>
      </c>
      <c r="AM1003" t="str">
        <f t="shared" si="419"/>
        <v/>
      </c>
      <c r="AN1003" t="str">
        <f t="shared" si="419"/>
        <v/>
      </c>
      <c r="AO1003" t="str">
        <f t="shared" si="420"/>
        <v/>
      </c>
      <c r="AP1003" t="str">
        <f t="shared" si="421"/>
        <v/>
      </c>
      <c r="AR1003" t="str">
        <f t="shared" si="422"/>
        <v/>
      </c>
      <c r="AS1003" t="str">
        <f t="shared" si="423"/>
        <v/>
      </c>
      <c r="AT1003" t="str">
        <f t="shared" si="424"/>
        <v/>
      </c>
      <c r="AU1003" t="str">
        <f t="shared" si="425"/>
        <v/>
      </c>
    </row>
    <row r="1004" spans="1:47" x14ac:dyDescent="0.25">
      <c r="A1004" s="4">
        <f>DATE(2020,9,24)</f>
        <v>44098</v>
      </c>
      <c r="B1004">
        <v>-0.28245095684617666</v>
      </c>
      <c r="C1004">
        <v>45.816629177942382</v>
      </c>
      <c r="D1004">
        <v>0.21398111956899357</v>
      </c>
      <c r="E1004">
        <f t="shared" si="401"/>
        <v>-0.96069442570988528</v>
      </c>
      <c r="F1004">
        <f t="shared" si="402"/>
        <v>-0.96001993497205873</v>
      </c>
      <c r="G1004">
        <f t="shared" si="403"/>
        <v>-0.9643471822605435</v>
      </c>
      <c r="H1004" s="2" t="str">
        <f t="shared" si="404"/>
        <v>Higher</v>
      </c>
      <c r="I1004" s="2" t="e">
        <f t="shared" si="405"/>
        <v>#DIV/0!</v>
      </c>
      <c r="J1004" s="2" t="e">
        <f t="shared" si="406"/>
        <v>#DIV/0!</v>
      </c>
      <c r="K1004" s="2" t="str">
        <f t="shared" si="407"/>
        <v>Higher</v>
      </c>
      <c r="L1004" s="2" t="e">
        <f t="shared" si="408"/>
        <v>#DIV/0!</v>
      </c>
      <c r="M1004" s="2" t="e">
        <f t="shared" si="409"/>
        <v>#DIV/0!</v>
      </c>
      <c r="N1004" s="2" t="str">
        <f t="shared" si="410"/>
        <v>Higher</v>
      </c>
      <c r="O1004" s="2" t="e">
        <f t="shared" si="411"/>
        <v>#DIV/0!</v>
      </c>
      <c r="P1004" s="2" t="e">
        <f t="shared" si="412"/>
        <v>#DIV/0!</v>
      </c>
      <c r="X1004" s="4">
        <f>DATE(2020,9,24)</f>
        <v>44098</v>
      </c>
      <c r="Y1004">
        <v>19.579732146652535</v>
      </c>
      <c r="Z1004">
        <v>45.13701993475663</v>
      </c>
      <c r="AA1004">
        <v>26.605</v>
      </c>
      <c r="AB1004">
        <v>11.713750000000001</v>
      </c>
      <c r="AC1004">
        <f t="shared" si="413"/>
        <v>-7.7973287313151646E-2</v>
      </c>
      <c r="AD1004">
        <f t="shared" si="413"/>
        <v>4.3176879767344155E-2</v>
      </c>
      <c r="AE1004">
        <f t="shared" si="414"/>
        <v>0.12115016708049581</v>
      </c>
      <c r="AF1004">
        <f t="shared" si="415"/>
        <v>0.23531280247057382</v>
      </c>
      <c r="AH1004">
        <f t="shared" si="416"/>
        <v>-6.7751733241613543E-2</v>
      </c>
      <c r="AI1004">
        <f t="shared" si="416"/>
        <v>0.26673834569375182</v>
      </c>
      <c r="AJ1004">
        <f t="shared" si="417"/>
        <v>0.33449007893536536</v>
      </c>
      <c r="AK1004">
        <f t="shared" si="418"/>
        <v>1.4136529438585619</v>
      </c>
      <c r="AM1004" t="str">
        <f t="shared" si="419"/>
        <v/>
      </c>
      <c r="AN1004" t="str">
        <f t="shared" si="419"/>
        <v/>
      </c>
      <c r="AO1004" t="str">
        <f t="shared" si="420"/>
        <v/>
      </c>
      <c r="AP1004" t="str">
        <f t="shared" si="421"/>
        <v/>
      </c>
      <c r="AR1004" t="str">
        <f t="shared" si="422"/>
        <v/>
      </c>
      <c r="AS1004" t="str">
        <f t="shared" si="423"/>
        <v/>
      </c>
      <c r="AT1004" t="str">
        <f t="shared" si="424"/>
        <v/>
      </c>
      <c r="AU1004" t="str">
        <f t="shared" si="425"/>
        <v/>
      </c>
    </row>
    <row r="1005" spans="1:47" x14ac:dyDescent="0.25">
      <c r="A1005" s="4">
        <f>DATE(2020,9,23)</f>
        <v>44097</v>
      </c>
      <c r="B1005">
        <v>-0.25648456475516845</v>
      </c>
      <c r="C1005">
        <v>44.424891372319749</v>
      </c>
      <c r="D1005">
        <v>0.12093283585971923</v>
      </c>
      <c r="E1005">
        <f t="shared" si="401"/>
        <v>-0.86677605961032966</v>
      </c>
      <c r="F1005">
        <f t="shared" si="402"/>
        <v>-1.1950702413962875</v>
      </c>
      <c r="G1005">
        <f t="shared" si="403"/>
        <v>-1.2733515869704972</v>
      </c>
      <c r="H1005" s="2" t="str">
        <f t="shared" si="404"/>
        <v>Higher</v>
      </c>
      <c r="I1005" s="2" t="e">
        <f t="shared" si="405"/>
        <v>#DIV/0!</v>
      </c>
      <c r="J1005" s="2" t="e">
        <f t="shared" si="406"/>
        <v>#DIV/0!</v>
      </c>
      <c r="K1005" s="2" t="str">
        <f t="shared" si="407"/>
        <v>Higher</v>
      </c>
      <c r="L1005" s="2" t="e">
        <f t="shared" si="408"/>
        <v>#DIV/0!</v>
      </c>
      <c r="M1005" s="2" t="e">
        <f t="shared" si="409"/>
        <v>#DIV/0!</v>
      </c>
      <c r="N1005" s="2" t="str">
        <f t="shared" si="410"/>
        <v>Higher</v>
      </c>
      <c r="O1005" s="2" t="e">
        <f t="shared" si="411"/>
        <v>#DIV/0!</v>
      </c>
      <c r="P1005" s="2" t="e">
        <f t="shared" si="412"/>
        <v>#DIV/0!</v>
      </c>
      <c r="X1005" s="4">
        <f>DATE(2020,9,23)</f>
        <v>44097</v>
      </c>
      <c r="Y1005">
        <v>20.597112976363697</v>
      </c>
      <c r="Z1005">
        <v>48.121464842538593</v>
      </c>
      <c r="AA1005">
        <v>26.939999999999998</v>
      </c>
      <c r="AB1005">
        <v>11.962499999999999</v>
      </c>
      <c r="AC1005">
        <f t="shared" si="413"/>
        <v>-0.10139945159285131</v>
      </c>
      <c r="AD1005">
        <f t="shared" si="413"/>
        <v>5.5095266072051334E-2</v>
      </c>
      <c r="AE1005">
        <f t="shared" si="414"/>
        <v>0.15649471766490264</v>
      </c>
      <c r="AF1005">
        <f t="shared" si="415"/>
        <v>0.49211381231437845</v>
      </c>
      <c r="AH1005">
        <f t="shared" si="416"/>
        <v>-6.2936459011055448E-2</v>
      </c>
      <c r="AI1005">
        <f t="shared" si="416"/>
        <v>0.26284504878227993</v>
      </c>
      <c r="AJ1005">
        <f t="shared" si="417"/>
        <v>0.32578150779333537</v>
      </c>
      <c r="AK1005">
        <f t="shared" si="418"/>
        <v>1.337782530750991</v>
      </c>
      <c r="AM1005" t="str">
        <f t="shared" si="419"/>
        <v/>
      </c>
      <c r="AN1005" t="str">
        <f t="shared" si="419"/>
        <v/>
      </c>
      <c r="AO1005" t="str">
        <f t="shared" si="420"/>
        <v/>
      </c>
      <c r="AP1005" t="str">
        <f t="shared" si="421"/>
        <v/>
      </c>
      <c r="AR1005" t="str">
        <f t="shared" si="422"/>
        <v/>
      </c>
      <c r="AS1005" t="str">
        <f t="shared" si="423"/>
        <v/>
      </c>
      <c r="AT1005" t="str">
        <f t="shared" si="424"/>
        <v/>
      </c>
      <c r="AU1005" t="str">
        <f t="shared" si="425"/>
        <v/>
      </c>
    </row>
    <row r="1006" spans="1:47" x14ac:dyDescent="0.25">
      <c r="A1006" s="4">
        <f>DATE(2020,9,22)</f>
        <v>44096</v>
      </c>
      <c r="B1006">
        <v>-0.16948519108237392</v>
      </c>
      <c r="C1006">
        <v>49.973452847896766</v>
      </c>
      <c r="D1006">
        <v>0.39392303750130409</v>
      </c>
      <c r="E1006">
        <f t="shared" si="401"/>
        <v>-0.49866505961797181</v>
      </c>
      <c r="F1006">
        <f t="shared" si="402"/>
        <v>-0.37490572955661561</v>
      </c>
      <c r="G1006">
        <f t="shared" si="403"/>
        <v>-0.46498287989386072</v>
      </c>
      <c r="H1006" s="2" t="str">
        <f t="shared" si="404"/>
        <v>Higher</v>
      </c>
      <c r="I1006" s="2" t="e">
        <f t="shared" si="405"/>
        <v>#DIV/0!</v>
      </c>
      <c r="J1006" s="2" t="e">
        <f t="shared" si="406"/>
        <v>#DIV/0!</v>
      </c>
      <c r="K1006" s="2" t="str">
        <f t="shared" si="407"/>
        <v>Higher</v>
      </c>
      <c r="L1006" s="2" t="e">
        <f t="shared" si="408"/>
        <v>#DIV/0!</v>
      </c>
      <c r="M1006" s="2" t="e">
        <f t="shared" si="409"/>
        <v>#DIV/0!</v>
      </c>
      <c r="N1006" s="2" t="str">
        <f t="shared" si="410"/>
        <v>Higher</v>
      </c>
      <c r="O1006" s="2" t="e">
        <f t="shared" si="411"/>
        <v>#DIV/0!</v>
      </c>
      <c r="P1006" s="2" t="e">
        <f t="shared" si="412"/>
        <v>#DIV/0!</v>
      </c>
      <c r="X1006" s="4">
        <f>DATE(2020,9,22)</f>
        <v>44096</v>
      </c>
      <c r="Y1006">
        <v>21.271380986707726</v>
      </c>
      <c r="Z1006">
        <v>46.709780344811357</v>
      </c>
      <c r="AA1006">
        <v>27.365000000000002</v>
      </c>
      <c r="AB1006">
        <v>11.616250000000001</v>
      </c>
      <c r="AC1006">
        <f t="shared" si="413"/>
        <v>-9.0848636503236324E-2</v>
      </c>
      <c r="AD1006">
        <f t="shared" si="413"/>
        <v>6.5938402914664296E-2</v>
      </c>
      <c r="AE1006">
        <f t="shared" si="414"/>
        <v>0.15678703941790062</v>
      </c>
      <c r="AF1006">
        <f t="shared" si="415"/>
        <v>0.50003515428080214</v>
      </c>
      <c r="AH1006">
        <f t="shared" si="416"/>
        <v>-3.5362205577879523E-2</v>
      </c>
      <c r="AI1006">
        <f t="shared" si="416"/>
        <v>0.28392287141884659</v>
      </c>
      <c r="AJ1006">
        <f t="shared" si="417"/>
        <v>0.31928507699672609</v>
      </c>
      <c r="AK1006">
        <f t="shared" si="418"/>
        <v>1.2818954344957074</v>
      </c>
      <c r="AM1006" t="str">
        <f t="shared" si="419"/>
        <v/>
      </c>
      <c r="AN1006" t="str">
        <f t="shared" si="419"/>
        <v/>
      </c>
      <c r="AO1006" t="str">
        <f t="shared" si="420"/>
        <v/>
      </c>
      <c r="AP1006" t="str">
        <f t="shared" si="421"/>
        <v/>
      </c>
      <c r="AR1006" t="str">
        <f t="shared" si="422"/>
        <v/>
      </c>
      <c r="AS1006" t="str">
        <f t="shared" si="423"/>
        <v/>
      </c>
      <c r="AT1006" t="str">
        <f t="shared" si="424"/>
        <v/>
      </c>
      <c r="AU1006" t="str">
        <f t="shared" si="425"/>
        <v/>
      </c>
    </row>
    <row r="1007" spans="1:47" x14ac:dyDescent="0.25">
      <c r="A1007" s="4">
        <f>DATE(2020,9,21)</f>
        <v>44095</v>
      </c>
      <c r="B1007">
        <v>-0.1603013888227382</v>
      </c>
      <c r="C1007">
        <v>42.855010653047778</v>
      </c>
      <c r="D1007">
        <v>3.7086548457895725E-2</v>
      </c>
      <c r="E1007">
        <f t="shared" si="401"/>
        <v>-0.4657345450270432</v>
      </c>
      <c r="F1007">
        <f t="shared" si="402"/>
        <v>-1.4660907743109513</v>
      </c>
      <c r="G1007">
        <f t="shared" si="403"/>
        <v>-1.5712720996098626</v>
      </c>
      <c r="H1007" s="2" t="str">
        <f t="shared" si="404"/>
        <v>Higher</v>
      </c>
      <c r="I1007" s="2" t="e">
        <f t="shared" si="405"/>
        <v>#DIV/0!</v>
      </c>
      <c r="J1007" s="2" t="e">
        <f t="shared" si="406"/>
        <v>#DIV/0!</v>
      </c>
      <c r="K1007" s="2" t="str">
        <f t="shared" si="407"/>
        <v>Higher</v>
      </c>
      <c r="L1007" s="2" t="e">
        <f t="shared" si="408"/>
        <v>#DIV/0!</v>
      </c>
      <c r="M1007" s="2" t="e">
        <f t="shared" si="409"/>
        <v>#DIV/0!</v>
      </c>
      <c r="N1007" s="2" t="str">
        <f t="shared" si="410"/>
        <v>Higher</v>
      </c>
      <c r="O1007" s="2" t="e">
        <f t="shared" si="411"/>
        <v>#DIV/0!</v>
      </c>
      <c r="P1007" s="2" t="e">
        <f t="shared" si="412"/>
        <v>#DIV/0!</v>
      </c>
      <c r="X1007" s="4">
        <f>DATE(2020,9,21)</f>
        <v>44095</v>
      </c>
      <c r="Y1007">
        <v>24.220715658203144</v>
      </c>
      <c r="Z1007">
        <v>46.110479610153128</v>
      </c>
      <c r="AA1007">
        <v>26.684999999999999</v>
      </c>
      <c r="AB1007">
        <v>11.481249999999999</v>
      </c>
      <c r="AC1007">
        <f t="shared" si="413"/>
        <v>-0.11551118374600899</v>
      </c>
      <c r="AD1007">
        <f t="shared" si="413"/>
        <v>6.9070641055758261E-2</v>
      </c>
      <c r="AE1007">
        <f t="shared" si="414"/>
        <v>0.18458182480176727</v>
      </c>
      <c r="AF1007">
        <f t="shared" si="415"/>
        <v>0.70136843733306309</v>
      </c>
      <c r="AH1007">
        <f t="shared" si="416"/>
        <v>-1.5801053724666041E-2</v>
      </c>
      <c r="AI1007">
        <f t="shared" si="416"/>
        <v>0.32641950556099908</v>
      </c>
      <c r="AJ1007">
        <f t="shared" si="417"/>
        <v>0.34222055928566514</v>
      </c>
      <c r="AK1007">
        <f t="shared" si="418"/>
        <v>1.4721702737821858</v>
      </c>
      <c r="AM1007" t="str">
        <f t="shared" si="419"/>
        <v/>
      </c>
      <c r="AN1007" t="str">
        <f t="shared" si="419"/>
        <v/>
      </c>
      <c r="AO1007" t="str">
        <f t="shared" si="420"/>
        <v/>
      </c>
      <c r="AP1007" t="str">
        <f t="shared" si="421"/>
        <v/>
      </c>
      <c r="AR1007" t="str">
        <f t="shared" si="422"/>
        <v/>
      </c>
      <c r="AS1007" t="str">
        <f t="shared" si="423"/>
        <v/>
      </c>
      <c r="AT1007" t="str">
        <f t="shared" si="424"/>
        <v/>
      </c>
      <c r="AU1007" t="str">
        <f t="shared" si="425"/>
        <v/>
      </c>
    </row>
    <row r="1008" spans="1:47" x14ac:dyDescent="0.25">
      <c r="A1008" s="4">
        <f>DATE(2020,9,18)</f>
        <v>44092</v>
      </c>
      <c r="B1008">
        <v>8.4377560444505173E-3</v>
      </c>
      <c r="C1008">
        <v>50.116145515360131</v>
      </c>
      <c r="D1008">
        <v>0.39763929654743252</v>
      </c>
      <c r="E1008">
        <f t="shared" si="401"/>
        <v>0.26230729051205814</v>
      </c>
      <c r="F1008">
        <f t="shared" si="402"/>
        <v>-0.40112212725002189</v>
      </c>
      <c r="G1008">
        <f t="shared" si="403"/>
        <v>-0.50968798134642612</v>
      </c>
      <c r="H1008" s="2" t="str">
        <f t="shared" si="404"/>
        <v>Higher</v>
      </c>
      <c r="I1008" s="2" t="e">
        <f t="shared" si="405"/>
        <v>#DIV/0!</v>
      </c>
      <c r="J1008" s="2" t="e">
        <f t="shared" si="406"/>
        <v>#DIV/0!</v>
      </c>
      <c r="K1008" s="2" t="str">
        <f t="shared" si="407"/>
        <v>Higher</v>
      </c>
      <c r="L1008" s="2" t="e">
        <f t="shared" si="408"/>
        <v>#DIV/0!</v>
      </c>
      <c r="M1008" s="2" t="e">
        <f t="shared" si="409"/>
        <v>#DIV/0!</v>
      </c>
      <c r="N1008" s="2" t="str">
        <f t="shared" si="410"/>
        <v>Higher</v>
      </c>
      <c r="O1008" s="2" t="e">
        <f t="shared" si="411"/>
        <v>#DIV/0!</v>
      </c>
      <c r="P1008" s="2" t="e">
        <f t="shared" si="412"/>
        <v>#DIV/0!</v>
      </c>
      <c r="X1008" s="4">
        <f>DATE(2020,9,18)</f>
        <v>44092</v>
      </c>
      <c r="Y1008">
        <v>27.021613511650351</v>
      </c>
      <c r="Z1008">
        <v>46.177875097590892</v>
      </c>
      <c r="AA1008">
        <v>28.162500000000001</v>
      </c>
      <c r="AB1008">
        <v>11.3825</v>
      </c>
      <c r="AC1008">
        <f t="shared" si="413"/>
        <v>1.7755681864835187E-4</v>
      </c>
      <c r="AD1008">
        <f t="shared" si="413"/>
        <v>8.4160185234671017E-2</v>
      </c>
      <c r="AE1008">
        <f t="shared" si="414"/>
        <v>8.3982628416022664E-2</v>
      </c>
      <c r="AF1008">
        <f t="shared" si="415"/>
        <v>1.2615438020909614E-2</v>
      </c>
      <c r="AH1008">
        <f t="shared" si="416"/>
        <v>9.4032700522698992E-2</v>
      </c>
      <c r="AI1008">
        <f t="shared" si="416"/>
        <v>0.39459751350563027</v>
      </c>
      <c r="AJ1008">
        <f t="shared" si="417"/>
        <v>0.30056481298293125</v>
      </c>
      <c r="AK1008">
        <f t="shared" si="418"/>
        <v>1.1319477631636623</v>
      </c>
      <c r="AM1008" t="str">
        <f t="shared" si="419"/>
        <v/>
      </c>
      <c r="AN1008" t="str">
        <f t="shared" si="419"/>
        <v/>
      </c>
      <c r="AO1008" t="str">
        <f t="shared" si="420"/>
        <v/>
      </c>
      <c r="AP1008" t="str">
        <f t="shared" si="421"/>
        <v/>
      </c>
      <c r="AR1008" t="str">
        <f t="shared" si="422"/>
        <v/>
      </c>
      <c r="AS1008" t="str">
        <f t="shared" si="423"/>
        <v/>
      </c>
      <c r="AT1008" t="str">
        <f t="shared" si="424"/>
        <v/>
      </c>
      <c r="AU1008" t="str">
        <f t="shared" si="425"/>
        <v/>
      </c>
    </row>
    <row r="1009" spans="1:47" x14ac:dyDescent="0.25">
      <c r="A1009" s="4">
        <f>DATE(2020,9,17)</f>
        <v>44091</v>
      </c>
      <c r="B1009">
        <v>0.10751753004034237</v>
      </c>
      <c r="C1009">
        <v>52.397464957395904</v>
      </c>
      <c r="D1009">
        <v>0.53546332588166501</v>
      </c>
      <c r="E1009">
        <f t="shared" si="401"/>
        <v>0.69219189881452625</v>
      </c>
      <c r="F1009">
        <f t="shared" si="402"/>
        <v>-5.721672355782223E-2</v>
      </c>
      <c r="G1009">
        <f t="shared" si="403"/>
        <v>-8.8642370894052608E-2</v>
      </c>
      <c r="H1009" s="2" t="str">
        <f t="shared" si="404"/>
        <v>Higher</v>
      </c>
      <c r="I1009" s="2" t="e">
        <f t="shared" si="405"/>
        <v>#DIV/0!</v>
      </c>
      <c r="J1009" s="2" t="e">
        <f t="shared" si="406"/>
        <v>#DIV/0!</v>
      </c>
      <c r="K1009" s="2" t="str">
        <f t="shared" si="407"/>
        <v>Higher</v>
      </c>
      <c r="L1009" s="2" t="e">
        <f t="shared" si="408"/>
        <v>#DIV/0!</v>
      </c>
      <c r="M1009" s="2" t="e">
        <f t="shared" si="409"/>
        <v>#DIV/0!</v>
      </c>
      <c r="N1009" s="2" t="str">
        <f t="shared" si="410"/>
        <v>Higher</v>
      </c>
      <c r="O1009" s="2" t="e">
        <f t="shared" si="411"/>
        <v>#DIV/0!</v>
      </c>
      <c r="P1009" s="2" t="e">
        <f t="shared" si="412"/>
        <v>#DIV/0!</v>
      </c>
      <c r="X1009" s="4">
        <f>DATE(2020,9,17)</f>
        <v>44091</v>
      </c>
      <c r="Y1009">
        <v>28.760841624297896</v>
      </c>
      <c r="Z1009">
        <v>48.876411671179106</v>
      </c>
      <c r="AA1009">
        <v>28.762499999999999</v>
      </c>
      <c r="AB1009">
        <v>11.21875</v>
      </c>
      <c r="AC1009">
        <f t="shared" si="413"/>
        <v>2.1258706421769861E-2</v>
      </c>
      <c r="AD1009">
        <f t="shared" si="413"/>
        <v>5.7558297158015435E-2</v>
      </c>
      <c r="AE1009">
        <f t="shared" si="414"/>
        <v>3.6299590736245571E-2</v>
      </c>
      <c r="AF1009">
        <f t="shared" si="415"/>
        <v>-0.31373541989185444</v>
      </c>
      <c r="AH1009">
        <f t="shared" si="416"/>
        <v>0.10347904755812078</v>
      </c>
      <c r="AI1009">
        <f t="shared" si="416"/>
        <v>0.31269042661958296</v>
      </c>
      <c r="AJ1009">
        <f t="shared" si="417"/>
        <v>0.2092113790614622</v>
      </c>
      <c r="AK1009">
        <f t="shared" si="418"/>
        <v>0.40926232385779615</v>
      </c>
      <c r="AM1009" t="str">
        <f t="shared" si="419"/>
        <v/>
      </c>
      <c r="AN1009" t="str">
        <f t="shared" si="419"/>
        <v/>
      </c>
      <c r="AO1009" t="str">
        <f t="shared" si="420"/>
        <v/>
      </c>
      <c r="AP1009" t="str">
        <f t="shared" si="421"/>
        <v/>
      </c>
      <c r="AR1009" t="str">
        <f t="shared" si="422"/>
        <v/>
      </c>
      <c r="AS1009" t="str">
        <f t="shared" si="423"/>
        <v/>
      </c>
      <c r="AT1009" t="str">
        <f t="shared" si="424"/>
        <v/>
      </c>
      <c r="AU1009" t="str">
        <f t="shared" si="425"/>
        <v/>
      </c>
    </row>
    <row r="1010" spans="1:47" x14ac:dyDescent="0.25">
      <c r="A1010" s="4">
        <f>DATE(2020,9,16)</f>
        <v>44090</v>
      </c>
      <c r="B1010">
        <v>0.20429374932901367</v>
      </c>
      <c r="C1010">
        <v>61.634100389683795</v>
      </c>
      <c r="D1010">
        <v>0.87081008731223297</v>
      </c>
      <c r="E1010">
        <f t="shared" si="401"/>
        <v>1.1192228089568363</v>
      </c>
      <c r="F1010">
        <f t="shared" si="402"/>
        <v>1.3394053755034203</v>
      </c>
      <c r="G1010">
        <f t="shared" si="403"/>
        <v>0.94066367154005526</v>
      </c>
      <c r="H1010" s="2" t="str">
        <f t="shared" si="404"/>
        <v>Higher</v>
      </c>
      <c r="I1010" s="2" t="e">
        <f t="shared" si="405"/>
        <v>#DIV/0!</v>
      </c>
      <c r="J1010" s="2" t="e">
        <f t="shared" si="406"/>
        <v>#DIV/0!</v>
      </c>
      <c r="K1010" s="2" t="str">
        <f t="shared" si="407"/>
        <v>Higher</v>
      </c>
      <c r="L1010" s="2" t="e">
        <f t="shared" si="408"/>
        <v>#DIV/0!</v>
      </c>
      <c r="M1010" s="2" t="e">
        <f t="shared" si="409"/>
        <v>#DIV/0!</v>
      </c>
      <c r="N1010" s="2" t="str">
        <f t="shared" si="410"/>
        <v>Higher</v>
      </c>
      <c r="O1010" s="2" t="e">
        <f t="shared" si="411"/>
        <v>#DIV/0!</v>
      </c>
      <c r="P1010" s="2" t="e">
        <f t="shared" si="412"/>
        <v>#DIV/0!</v>
      </c>
      <c r="X1010" s="4">
        <f>DATE(2020,9,16)</f>
        <v>44090</v>
      </c>
      <c r="Y1010">
        <v>31.661172368392602</v>
      </c>
      <c r="Z1010">
        <v>51.881943182785271</v>
      </c>
      <c r="AA1010">
        <v>29.814999999999998</v>
      </c>
      <c r="AB1010">
        <v>11.321249999999999</v>
      </c>
      <c r="AC1010">
        <f t="shared" si="413"/>
        <v>0.1012138711896091</v>
      </c>
      <c r="AD1010">
        <f t="shared" si="413"/>
        <v>5.1310727987327782E-2</v>
      </c>
      <c r="AE1010">
        <f t="shared" si="414"/>
        <v>-4.9903143202281321E-2</v>
      </c>
      <c r="AF1010">
        <f t="shared" si="415"/>
        <v>-0.90023555137436562</v>
      </c>
      <c r="AH1010">
        <f t="shared" si="416"/>
        <v>0.12401784344476172</v>
      </c>
      <c r="AI1010">
        <f t="shared" si="416"/>
        <v>0.29281095110071326</v>
      </c>
      <c r="AJ1010">
        <f t="shared" si="417"/>
        <v>0.16879310765595154</v>
      </c>
      <c r="AK1010">
        <f t="shared" si="418"/>
        <v>0.1010117500906362</v>
      </c>
      <c r="AM1010" t="str">
        <f t="shared" si="419"/>
        <v/>
      </c>
      <c r="AN1010" t="str">
        <f t="shared" si="419"/>
        <v/>
      </c>
      <c r="AO1010" t="str">
        <f t="shared" si="420"/>
        <v/>
      </c>
      <c r="AP1010" t="str">
        <f t="shared" si="421"/>
        <v/>
      </c>
      <c r="AR1010" t="str">
        <f t="shared" si="422"/>
        <v/>
      </c>
      <c r="AS1010" t="str">
        <f t="shared" si="423"/>
        <v/>
      </c>
      <c r="AT1010" t="str">
        <f t="shared" si="424"/>
        <v/>
      </c>
      <c r="AU1010" t="str">
        <f t="shared" si="425"/>
        <v/>
      </c>
    </row>
    <row r="1011" spans="1:47" x14ac:dyDescent="0.25">
      <c r="A1011" s="4">
        <f>DATE(2020,9,15)</f>
        <v>44089</v>
      </c>
      <c r="B1011">
        <v>0.17565474216270249</v>
      </c>
      <c r="C1011">
        <v>60.811692117077534</v>
      </c>
      <c r="D1011">
        <v>0.87117807233836198</v>
      </c>
      <c r="E1011">
        <f t="shared" si="401"/>
        <v>1.0311736514433623</v>
      </c>
      <c r="F1011">
        <f t="shared" si="402"/>
        <v>1.266091155228225</v>
      </c>
      <c r="G1011">
        <f t="shared" si="403"/>
        <v>0.96599443177650268</v>
      </c>
      <c r="H1011" s="2" t="str">
        <f t="shared" si="404"/>
        <v>Higher</v>
      </c>
      <c r="I1011" s="2" t="e">
        <f t="shared" si="405"/>
        <v>#DIV/0!</v>
      </c>
      <c r="J1011" s="2" t="e">
        <f t="shared" si="406"/>
        <v>#DIV/0!</v>
      </c>
      <c r="K1011" s="2" t="str">
        <f t="shared" si="407"/>
        <v>Higher</v>
      </c>
      <c r="L1011" s="2" t="e">
        <f t="shared" si="408"/>
        <v>#DIV/0!</v>
      </c>
      <c r="M1011" s="2" t="e">
        <f t="shared" si="409"/>
        <v>#DIV/0!</v>
      </c>
      <c r="N1011" s="2" t="str">
        <f t="shared" si="410"/>
        <v>Higher</v>
      </c>
      <c r="O1011" s="2" t="e">
        <f t="shared" si="411"/>
        <v>#DIV/0!</v>
      </c>
      <c r="P1011" s="2" t="e">
        <f t="shared" si="412"/>
        <v>#DIV/0!</v>
      </c>
      <c r="X1011" s="4">
        <f>DATE(2020,9,15)</f>
        <v>44089</v>
      </c>
      <c r="Y1011">
        <v>33.94845833109099</v>
      </c>
      <c r="Z1011">
        <v>47.725802325829193</v>
      </c>
      <c r="AA1011">
        <v>29.967500000000001</v>
      </c>
      <c r="AB1011">
        <v>10.875</v>
      </c>
      <c r="AC1011">
        <f t="shared" si="413"/>
        <v>0.10150266821206366</v>
      </c>
      <c r="AD1011">
        <f t="shared" si="413"/>
        <v>-6.6445427186686131E-3</v>
      </c>
      <c r="AE1011">
        <f t="shared" si="414"/>
        <v>-0.10814721093073228</v>
      </c>
      <c r="AF1011">
        <f t="shared" si="415"/>
        <v>-1.3198958485747891</v>
      </c>
      <c r="AH1011">
        <f t="shared" si="416"/>
        <v>0.12362932361060369</v>
      </c>
      <c r="AI1011">
        <f t="shared" si="416"/>
        <v>0.24507775915970836</v>
      </c>
      <c r="AJ1011">
        <f t="shared" si="417"/>
        <v>0.12144843554910467</v>
      </c>
      <c r="AK1011">
        <f t="shared" si="418"/>
        <v>-0.27905945670588206</v>
      </c>
      <c r="AM1011" t="str">
        <f t="shared" si="419"/>
        <v/>
      </c>
      <c r="AN1011" t="str">
        <f t="shared" si="419"/>
        <v/>
      </c>
      <c r="AO1011" t="str">
        <f t="shared" si="420"/>
        <v/>
      </c>
      <c r="AP1011" t="str">
        <f t="shared" si="421"/>
        <v/>
      </c>
      <c r="AR1011" t="str">
        <f t="shared" si="422"/>
        <v/>
      </c>
      <c r="AS1011" t="str">
        <f t="shared" si="423"/>
        <v/>
      </c>
      <c r="AT1011" t="str">
        <f t="shared" si="424"/>
        <v/>
      </c>
      <c r="AU1011" t="str">
        <f t="shared" si="425"/>
        <v/>
      </c>
    </row>
    <row r="1012" spans="1:47" x14ac:dyDescent="0.25">
      <c r="A1012" s="4">
        <f>DATE(2020,9,14)</f>
        <v>44088</v>
      </c>
      <c r="B1012">
        <v>0.12925988803521288</v>
      </c>
      <c r="C1012">
        <v>65.225889118047633</v>
      </c>
      <c r="D1012">
        <v>1.0593120780673275</v>
      </c>
      <c r="E1012">
        <f t="shared" si="401"/>
        <v>0.86186469050058179</v>
      </c>
      <c r="F1012">
        <f t="shared" si="402"/>
        <v>1.9955559252859749</v>
      </c>
      <c r="G1012">
        <f t="shared" si="403"/>
        <v>1.5692714560080734</v>
      </c>
      <c r="H1012" s="2" t="str">
        <f t="shared" si="404"/>
        <v>Higher</v>
      </c>
      <c r="I1012" s="2" t="e">
        <f t="shared" si="405"/>
        <v>#DIV/0!</v>
      </c>
      <c r="J1012" s="2" t="e">
        <f t="shared" si="406"/>
        <v>#DIV/0!</v>
      </c>
      <c r="K1012" s="2" t="str">
        <f t="shared" si="407"/>
        <v>Higher</v>
      </c>
      <c r="L1012" s="2" t="e">
        <f t="shared" si="408"/>
        <v>#DIV/0!</v>
      </c>
      <c r="M1012" s="2" t="e">
        <f t="shared" si="409"/>
        <v>#DIV/0!</v>
      </c>
      <c r="N1012" s="2" t="str">
        <f t="shared" si="410"/>
        <v>Higher</v>
      </c>
      <c r="O1012" s="2" t="e">
        <f t="shared" si="411"/>
        <v>#DIV/0!</v>
      </c>
      <c r="P1012" s="2" t="e">
        <f t="shared" si="412"/>
        <v>#DIV/0!</v>
      </c>
      <c r="X1012" s="4">
        <f>DATE(2020,9,14)</f>
        <v>44088</v>
      </c>
      <c r="Y1012">
        <v>35.058394390400068</v>
      </c>
      <c r="Z1012">
        <v>47.660995697667211</v>
      </c>
      <c r="AA1012">
        <v>29.952500000000001</v>
      </c>
      <c r="AB1012">
        <v>10.715</v>
      </c>
      <c r="AC1012">
        <f t="shared" si="413"/>
        <v>0.10035585671690374</v>
      </c>
      <c r="AD1012" t="str">
        <f t="shared" si="413"/>
        <v/>
      </c>
      <c r="AE1012" t="str">
        <f t="shared" si="414"/>
        <v/>
      </c>
      <c r="AF1012" t="str">
        <f t="shared" si="415"/>
        <v/>
      </c>
      <c r="AH1012">
        <f t="shared" si="416"/>
        <v>0.14113171407135708</v>
      </c>
      <c r="AI1012">
        <f t="shared" si="416"/>
        <v>0.26082555155344911</v>
      </c>
      <c r="AJ1012">
        <f t="shared" si="417"/>
        <v>0.11969383748209203</v>
      </c>
      <c r="AK1012">
        <f t="shared" si="418"/>
        <v>-0.33565870373424861</v>
      </c>
      <c r="AM1012" t="str">
        <f t="shared" si="419"/>
        <v/>
      </c>
      <c r="AN1012" t="str">
        <f t="shared" si="419"/>
        <v/>
      </c>
      <c r="AO1012" t="str">
        <f t="shared" si="420"/>
        <v/>
      </c>
      <c r="AP1012" t="str">
        <f t="shared" si="421"/>
        <v/>
      </c>
      <c r="AR1012" t="str">
        <f t="shared" si="422"/>
        <v/>
      </c>
      <c r="AS1012" t="str">
        <f t="shared" si="423"/>
        <v/>
      </c>
      <c r="AT1012" t="str">
        <f t="shared" si="424"/>
        <v/>
      </c>
      <c r="AU1012" t="str">
        <f t="shared" si="425"/>
        <v/>
      </c>
    </row>
    <row r="1013" spans="1:47" x14ac:dyDescent="0.25">
      <c r="A1013" s="4">
        <f>DATE(2020,9,11)</f>
        <v>44085</v>
      </c>
      <c r="B1013">
        <v>-3.0544371485176414E-2</v>
      </c>
      <c r="C1013">
        <v>55.471497653385448</v>
      </c>
      <c r="D1013">
        <v>0.6581620682831677</v>
      </c>
      <c r="E1013">
        <f t="shared" si="401"/>
        <v>0.19911163213073599</v>
      </c>
      <c r="F1013">
        <f t="shared" si="402"/>
        <v>0.57197023979384631</v>
      </c>
      <c r="G1013">
        <f t="shared" si="403"/>
        <v>0.39269964360174231</v>
      </c>
      <c r="H1013" s="2" t="str">
        <f t="shared" si="404"/>
        <v>Higher</v>
      </c>
      <c r="I1013" s="2" t="e">
        <f t="shared" si="405"/>
        <v>#DIV/0!</v>
      </c>
      <c r="J1013" s="2" t="e">
        <f t="shared" si="406"/>
        <v>#DIV/0!</v>
      </c>
      <c r="K1013" s="2" t="str">
        <f t="shared" si="407"/>
        <v>Higher</v>
      </c>
      <c r="L1013" s="2" t="e">
        <f t="shared" si="408"/>
        <v>#DIV/0!</v>
      </c>
      <c r="M1013" s="2" t="e">
        <f t="shared" si="409"/>
        <v>#DIV/0!</v>
      </c>
      <c r="N1013" s="2" t="str">
        <f t="shared" si="410"/>
        <v>Higher</v>
      </c>
      <c r="O1013" s="2" t="e">
        <f t="shared" si="411"/>
        <v>#DIV/0!</v>
      </c>
      <c r="P1013" s="2" t="e">
        <f t="shared" si="412"/>
        <v>#DIV/0!</v>
      </c>
      <c r="X1013" s="4">
        <f>DATE(2020,9,11)</f>
        <v>44085</v>
      </c>
      <c r="Y1013">
        <v>27.582911070504419</v>
      </c>
      <c r="Z1013">
        <v>45.339173470667724</v>
      </c>
      <c r="AA1013">
        <v>28.157499999999999</v>
      </c>
      <c r="AB1013">
        <v>10.463749999999999</v>
      </c>
      <c r="AC1013">
        <f t="shared" si="413"/>
        <v>1.556939109448059E-2</v>
      </c>
      <c r="AD1013">
        <f t="shared" si="413"/>
        <v>-0.11901669480562092</v>
      </c>
      <c r="AE1013">
        <f t="shared" si="414"/>
        <v>-0.13458608590010152</v>
      </c>
      <c r="AF1013">
        <f t="shared" si="415"/>
        <v>-1.5873893219794759</v>
      </c>
      <c r="AH1013">
        <f t="shared" si="416"/>
        <v>0.10434492176861364</v>
      </c>
      <c r="AI1013">
        <f t="shared" si="416"/>
        <v>0.28200396154211932</v>
      </c>
      <c r="AJ1013">
        <f t="shared" si="417"/>
        <v>0.17765903977350567</v>
      </c>
      <c r="AK1013">
        <f t="shared" si="418"/>
        <v>0.22210924053192896</v>
      </c>
      <c r="AM1013" t="str">
        <f t="shared" si="419"/>
        <v/>
      </c>
      <c r="AN1013" t="str">
        <f t="shared" si="419"/>
        <v/>
      </c>
      <c r="AO1013" t="str">
        <f t="shared" si="420"/>
        <v/>
      </c>
      <c r="AP1013" t="str">
        <f t="shared" si="421"/>
        <v/>
      </c>
      <c r="AR1013" t="str">
        <f t="shared" si="422"/>
        <v/>
      </c>
      <c r="AS1013" t="str">
        <f t="shared" si="423"/>
        <v/>
      </c>
      <c r="AT1013" t="str">
        <f t="shared" si="424"/>
        <v/>
      </c>
      <c r="AU1013" t="str">
        <f t="shared" si="425"/>
        <v/>
      </c>
    </row>
    <row r="1014" spans="1:47" x14ac:dyDescent="0.25">
      <c r="A1014" s="4">
        <f>DATE(2020,9,10)</f>
        <v>44084</v>
      </c>
      <c r="B1014">
        <v>-6.3198270284299085E-2</v>
      </c>
      <c r="C1014">
        <v>56.537654439828906</v>
      </c>
      <c r="D1014">
        <v>0.71208364966495019</v>
      </c>
      <c r="E1014">
        <f t="shared" si="401"/>
        <v>6.4210086747867018E-2</v>
      </c>
      <c r="F1014">
        <f t="shared" si="402"/>
        <v>0.75405276155315393</v>
      </c>
      <c r="G1014">
        <f t="shared" si="403"/>
        <v>0.56631831603177196</v>
      </c>
      <c r="H1014" s="2" t="str">
        <f t="shared" si="404"/>
        <v>Higher</v>
      </c>
      <c r="I1014" s="2" t="e">
        <f t="shared" si="405"/>
        <v>#DIV/0!</v>
      </c>
      <c r="J1014" s="2" t="e">
        <f t="shared" si="406"/>
        <v>#DIV/0!</v>
      </c>
      <c r="K1014" s="2" t="str">
        <f t="shared" si="407"/>
        <v>Higher</v>
      </c>
      <c r="L1014" s="2" t="e">
        <f t="shared" si="408"/>
        <v>#DIV/0!</v>
      </c>
      <c r="M1014" s="2" t="e">
        <f t="shared" si="409"/>
        <v>#DIV/0!</v>
      </c>
      <c r="N1014" s="2" t="str">
        <f t="shared" si="410"/>
        <v>Higher</v>
      </c>
      <c r="O1014" s="2" t="e">
        <f t="shared" si="411"/>
        <v>#DIV/0!</v>
      </c>
      <c r="P1014" s="2" t="e">
        <f t="shared" si="412"/>
        <v>#DIV/0!</v>
      </c>
      <c r="X1014" s="4">
        <f>DATE(2020,9,10)</f>
        <v>44084</v>
      </c>
      <c r="Y1014">
        <v>29.0435909364708</v>
      </c>
      <c r="Z1014">
        <v>46.244801609896804</v>
      </c>
      <c r="AA1014">
        <v>28.157499999999999</v>
      </c>
      <c r="AB1014">
        <v>10.59125</v>
      </c>
      <c r="AC1014">
        <f t="shared" si="413"/>
        <v>-1.7601440067313168E-2</v>
      </c>
      <c r="AD1014">
        <f t="shared" si="413"/>
        <v>-9.8919422087367356E-2</v>
      </c>
      <c r="AE1014">
        <f t="shared" si="414"/>
        <v>-8.1317982020054191E-2</v>
      </c>
      <c r="AF1014">
        <f t="shared" si="415"/>
        <v>-1.3174104000869147</v>
      </c>
      <c r="AH1014">
        <f t="shared" si="416"/>
        <v>9.5319058472879706E-2</v>
      </c>
      <c r="AI1014">
        <f t="shared" si="416"/>
        <v>0.36583820958581376</v>
      </c>
      <c r="AJ1014">
        <f t="shared" si="417"/>
        <v>0.27051915111293406</v>
      </c>
      <c r="AK1014">
        <f t="shared" si="418"/>
        <v>1.6121023832858656</v>
      </c>
      <c r="AM1014" t="str">
        <f t="shared" si="419"/>
        <v/>
      </c>
      <c r="AN1014" t="str">
        <f t="shared" si="419"/>
        <v/>
      </c>
      <c r="AO1014" t="str">
        <f t="shared" si="420"/>
        <v/>
      </c>
      <c r="AP1014" t="str">
        <f t="shared" si="421"/>
        <v/>
      </c>
      <c r="AR1014" t="str">
        <f t="shared" si="422"/>
        <v/>
      </c>
      <c r="AS1014" t="str">
        <f t="shared" si="423"/>
        <v/>
      </c>
      <c r="AT1014" t="str">
        <f t="shared" si="424"/>
        <v/>
      </c>
      <c r="AU1014" t="str">
        <f t="shared" si="425"/>
        <v/>
      </c>
    </row>
    <row r="1015" spans="1:47" x14ac:dyDescent="0.25">
      <c r="A1015" s="4">
        <f>DATE(2020,9,9)</f>
        <v>44083</v>
      </c>
      <c r="B1015">
        <v>-0.13167857979784958</v>
      </c>
      <c r="C1015">
        <v>49.691462891099839</v>
      </c>
      <c r="D1015">
        <v>0.48020048765286855</v>
      </c>
      <c r="E1015">
        <f t="shared" si="401"/>
        <v>-0.2195315624932532</v>
      </c>
      <c r="F1015">
        <f t="shared" si="402"/>
        <v>-0.31966080679736475</v>
      </c>
      <c r="G1015">
        <f t="shared" si="403"/>
        <v>-0.13382774134967407</v>
      </c>
      <c r="H1015" s="2" t="str">
        <f t="shared" si="404"/>
        <v>Higher</v>
      </c>
      <c r="I1015" s="2" t="e">
        <f t="shared" si="405"/>
        <v>#DIV/0!</v>
      </c>
      <c r="J1015" s="2" t="e">
        <f t="shared" si="406"/>
        <v>#DIV/0!</v>
      </c>
      <c r="K1015" s="2" t="str">
        <f t="shared" si="407"/>
        <v>Higher</v>
      </c>
      <c r="L1015" s="2" t="e">
        <f t="shared" si="408"/>
        <v>#DIV/0!</v>
      </c>
      <c r="M1015" s="2" t="e">
        <f t="shared" si="409"/>
        <v>#DIV/0!</v>
      </c>
      <c r="N1015" s="2" t="str">
        <f t="shared" si="410"/>
        <v>Higher</v>
      </c>
      <c r="O1015" s="2" t="e">
        <f t="shared" si="411"/>
        <v>#DIV/0!</v>
      </c>
      <c r="P1015" s="2" t="e">
        <f t="shared" si="412"/>
        <v>#DIV/0!</v>
      </c>
      <c r="X1015" s="4">
        <f>DATE(2020,9,9)</f>
        <v>44083</v>
      </c>
      <c r="Y1015">
        <v>23.502395200799469</v>
      </c>
      <c r="Z1015">
        <v>48.771446964481775</v>
      </c>
      <c r="AA1015">
        <v>26.945</v>
      </c>
      <c r="AB1015">
        <v>10.754999999999999</v>
      </c>
      <c r="AC1015">
        <f t="shared" si="413"/>
        <v>-4.4193554372902906E-2</v>
      </c>
      <c r="AD1015">
        <f t="shared" si="413"/>
        <v>-3.6405001512530712E-2</v>
      </c>
      <c r="AE1015">
        <f t="shared" si="414"/>
        <v>7.7885528603721943E-3</v>
      </c>
      <c r="AF1015">
        <f t="shared" si="415"/>
        <v>-0.73621371881218545</v>
      </c>
      <c r="AH1015">
        <f t="shared" si="416"/>
        <v>3.9651312435339994E-2</v>
      </c>
      <c r="AI1015">
        <f t="shared" si="416"/>
        <v>0.41123485923108172</v>
      </c>
      <c r="AJ1015">
        <f t="shared" si="417"/>
        <v>0.37158354679574174</v>
      </c>
      <c r="AK1015">
        <f t="shared" si="418"/>
        <v>3.547241390644027</v>
      </c>
      <c r="AM1015" t="str">
        <f t="shared" si="419"/>
        <v/>
      </c>
      <c r="AN1015" t="str">
        <f t="shared" si="419"/>
        <v/>
      </c>
      <c r="AO1015" t="str">
        <f t="shared" si="420"/>
        <v/>
      </c>
      <c r="AP1015" t="str">
        <f t="shared" si="421"/>
        <v/>
      </c>
      <c r="AR1015" t="str">
        <f t="shared" si="422"/>
        <v/>
      </c>
      <c r="AS1015" t="str">
        <f t="shared" si="423"/>
        <v/>
      </c>
      <c r="AT1015" t="str">
        <f t="shared" si="424"/>
        <v/>
      </c>
      <c r="AU1015" t="str">
        <f t="shared" si="425"/>
        <v/>
      </c>
    </row>
    <row r="1016" spans="1:47" x14ac:dyDescent="0.25">
      <c r="A1016" s="4">
        <f>DATE(2020,9,8)</f>
        <v>44082</v>
      </c>
      <c r="B1016">
        <v>-0.11131180888064052</v>
      </c>
      <c r="C1016">
        <v>47.090670724565413</v>
      </c>
      <c r="D1016">
        <v>0.41048544281468907</v>
      </c>
      <c r="E1016">
        <f t="shared" si="401"/>
        <v>-0.13960104321199285</v>
      </c>
      <c r="F1016">
        <f t="shared" si="402"/>
        <v>-0.7338176884646449</v>
      </c>
      <c r="G1016">
        <f t="shared" si="403"/>
        <v>-0.34641793425347406</v>
      </c>
      <c r="H1016" s="2" t="str">
        <f t="shared" si="404"/>
        <v>Higher</v>
      </c>
      <c r="I1016" s="2" t="e">
        <f t="shared" si="405"/>
        <v>#DIV/0!</v>
      </c>
      <c r="J1016" s="2" t="e">
        <f t="shared" si="406"/>
        <v>#DIV/0!</v>
      </c>
      <c r="K1016" s="2" t="str">
        <f t="shared" si="407"/>
        <v>Higher</v>
      </c>
      <c r="L1016" s="2" t="e">
        <f t="shared" si="408"/>
        <v>#DIV/0!</v>
      </c>
      <c r="M1016" s="2" t="e">
        <f t="shared" si="409"/>
        <v>#DIV/0!</v>
      </c>
      <c r="N1016" s="2" t="str">
        <f t="shared" si="410"/>
        <v>Higher</v>
      </c>
      <c r="O1016" s="2" t="e">
        <f t="shared" si="411"/>
        <v>#DIV/0!</v>
      </c>
      <c r="P1016" s="2" t="e">
        <f t="shared" si="412"/>
        <v>#DIV/0!</v>
      </c>
      <c r="X1016" s="4">
        <f>DATE(2020,9,8)</f>
        <v>44082</v>
      </c>
      <c r="Y1016">
        <v>25.351284519709061</v>
      </c>
      <c r="Z1016">
        <v>51.00783195798099</v>
      </c>
      <c r="AA1016">
        <v>27.074999999999999</v>
      </c>
      <c r="AB1016">
        <v>10.9475</v>
      </c>
      <c r="AC1016">
        <f t="shared" si="413"/>
        <v>-3.386153856368699E-2</v>
      </c>
      <c r="AD1016">
        <f t="shared" si="413"/>
        <v>-4.105033108934858E-2</v>
      </c>
      <c r="AE1016">
        <f t="shared" si="414"/>
        <v>-7.18879252566159E-3</v>
      </c>
      <c r="AF1016">
        <f t="shared" si="415"/>
        <v>-0.86662954016528537</v>
      </c>
      <c r="AH1016">
        <f t="shared" si="416"/>
        <v>2.477340994487913E-2</v>
      </c>
      <c r="AI1016">
        <f t="shared" si="416"/>
        <v>0.37222602747360417</v>
      </c>
      <c r="AJ1016">
        <f t="shared" si="417"/>
        <v>0.34745261752872503</v>
      </c>
      <c r="AK1016">
        <f t="shared" si="418"/>
        <v>3.1775024425822647</v>
      </c>
      <c r="AM1016" t="str">
        <f t="shared" si="419"/>
        <v/>
      </c>
      <c r="AN1016" t="str">
        <f t="shared" si="419"/>
        <v/>
      </c>
      <c r="AO1016" t="str">
        <f t="shared" si="420"/>
        <v/>
      </c>
      <c r="AP1016" t="str">
        <f t="shared" si="421"/>
        <v/>
      </c>
      <c r="AR1016" t="str">
        <f t="shared" si="422"/>
        <v/>
      </c>
      <c r="AS1016" t="str">
        <f t="shared" si="423"/>
        <v/>
      </c>
      <c r="AT1016" t="str">
        <f t="shared" si="424"/>
        <v/>
      </c>
      <c r="AU1016" t="str">
        <f t="shared" si="425"/>
        <v/>
      </c>
    </row>
    <row r="1017" spans="1:47" x14ac:dyDescent="0.25">
      <c r="A1017" s="4">
        <f>DATE(2020,9,7)</f>
        <v>44081</v>
      </c>
      <c r="B1017">
        <v>-3.384833851569985E-2</v>
      </c>
      <c r="C1017">
        <v>48.569264867256585</v>
      </c>
      <c r="D1017">
        <v>0.46938454725918288</v>
      </c>
      <c r="E1017">
        <f t="shared" si="401"/>
        <v>0.17033674537783838</v>
      </c>
      <c r="F1017">
        <f t="shared" si="402"/>
        <v>-0.5212220318410794</v>
      </c>
      <c r="G1017">
        <f t="shared" si="403"/>
        <v>-0.17714683145040327</v>
      </c>
      <c r="H1017" s="2" t="str">
        <f t="shared" si="404"/>
        <v>Higher</v>
      </c>
      <c r="I1017" s="2" t="e">
        <f t="shared" si="405"/>
        <v>#DIV/0!</v>
      </c>
      <c r="J1017" s="2" t="e">
        <f t="shared" si="406"/>
        <v>#DIV/0!</v>
      </c>
      <c r="K1017" s="2" t="str">
        <f t="shared" si="407"/>
        <v>Higher</v>
      </c>
      <c r="L1017" s="2" t="e">
        <f t="shared" si="408"/>
        <v>#DIV/0!</v>
      </c>
      <c r="M1017" s="2" t="e">
        <f t="shared" si="409"/>
        <v>#DIV/0!</v>
      </c>
      <c r="N1017" s="2" t="str">
        <f t="shared" si="410"/>
        <v>Higher</v>
      </c>
      <c r="O1017" s="2" t="e">
        <f t="shared" si="411"/>
        <v>#DIV/0!</v>
      </c>
      <c r="P1017" s="2" t="e">
        <f t="shared" si="412"/>
        <v>#DIV/0!</v>
      </c>
      <c r="X1017" s="4">
        <f>DATE(2020,9,7)</f>
        <v>44081</v>
      </c>
      <c r="Y1017">
        <v>25.017795749059246</v>
      </c>
      <c r="AA1017">
        <v>27.092500000000001</v>
      </c>
      <c r="AC1017">
        <f t="shared" si="413"/>
        <v>-6.614054071595471E-2</v>
      </c>
      <c r="AD1017" t="str">
        <f t="shared" si="413"/>
        <v/>
      </c>
      <c r="AE1017" t="str">
        <f t="shared" si="414"/>
        <v/>
      </c>
      <c r="AF1017" t="str">
        <f t="shared" si="415"/>
        <v/>
      </c>
      <c r="AH1017">
        <f t="shared" si="416"/>
        <v>1.2629009895993967E-2</v>
      </c>
      <c r="AI1017" t="str">
        <f t="shared" si="416"/>
        <v/>
      </c>
      <c r="AJ1017" t="str">
        <f t="shared" si="417"/>
        <v/>
      </c>
      <c r="AK1017" t="str">
        <f t="shared" si="418"/>
        <v/>
      </c>
      <c r="AM1017" t="str">
        <f t="shared" si="419"/>
        <v/>
      </c>
      <c r="AN1017" t="str">
        <f t="shared" si="419"/>
        <v/>
      </c>
      <c r="AO1017" t="str">
        <f t="shared" si="420"/>
        <v/>
      </c>
      <c r="AP1017" t="str">
        <f t="shared" si="421"/>
        <v/>
      </c>
      <c r="AR1017" t="str">
        <f t="shared" si="422"/>
        <v/>
      </c>
      <c r="AS1017" t="str">
        <f t="shared" si="423"/>
        <v/>
      </c>
      <c r="AT1017" t="str">
        <f t="shared" si="424"/>
        <v/>
      </c>
      <c r="AU1017" t="str">
        <f t="shared" si="425"/>
        <v/>
      </c>
    </row>
    <row r="1018" spans="1:47" x14ac:dyDescent="0.25">
      <c r="A1018" s="4">
        <f>DATE(2020,9,4)</f>
        <v>44078</v>
      </c>
      <c r="B1018">
        <v>5.9608461667256418E-2</v>
      </c>
      <c r="C1018">
        <v>50.318410470098229</v>
      </c>
      <c r="D1018">
        <v>0.53427662683806865</v>
      </c>
      <c r="E1018">
        <f t="shared" si="401"/>
        <v>0.54358804629541924</v>
      </c>
      <c r="F1018">
        <f t="shared" si="402"/>
        <v>-0.26242301127682921</v>
      </c>
      <c r="G1018">
        <f t="shared" si="403"/>
        <v>9.9598308530879625E-3</v>
      </c>
      <c r="H1018" s="2" t="str">
        <f t="shared" si="404"/>
        <v>Higher</v>
      </c>
      <c r="I1018" s="2" t="e">
        <f t="shared" si="405"/>
        <v>#DIV/0!</v>
      </c>
      <c r="J1018" s="2" t="e">
        <f t="shared" si="406"/>
        <v>#DIV/0!</v>
      </c>
      <c r="K1018" s="2" t="str">
        <f t="shared" si="407"/>
        <v>Higher</v>
      </c>
      <c r="L1018" s="2" t="e">
        <f t="shared" si="408"/>
        <v>#DIV/0!</v>
      </c>
      <c r="M1018" s="2" t="e">
        <f t="shared" si="409"/>
        <v>#DIV/0!</v>
      </c>
      <c r="N1018" s="2" t="str">
        <f t="shared" si="410"/>
        <v>Higher</v>
      </c>
      <c r="O1018" s="2" t="e">
        <f t="shared" si="411"/>
        <v>#DIV/0!</v>
      </c>
      <c r="P1018" s="2" t="e">
        <f t="shared" si="412"/>
        <v>#DIV/0!</v>
      </c>
      <c r="X1018" s="4">
        <f>DATE(2020,9,4)</f>
        <v>44078</v>
      </c>
      <c r="Y1018">
        <v>26.558393168159995</v>
      </c>
      <c r="Z1018">
        <v>57.201143367582205</v>
      </c>
      <c r="AA1018">
        <v>27.7225</v>
      </c>
      <c r="AB1018">
        <v>11.786249999999999</v>
      </c>
      <c r="AC1018">
        <f t="shared" si="413"/>
        <v>-5.7133363676995966E-2</v>
      </c>
      <c r="AD1018">
        <f t="shared" si="413"/>
        <v>5.4597640844584933E-2</v>
      </c>
      <c r="AE1018">
        <f t="shared" si="414"/>
        <v>0.1117310045215809</v>
      </c>
      <c r="AF1018">
        <f t="shared" si="415"/>
        <v>-5.4944302188264273E-2</v>
      </c>
      <c r="AH1018">
        <f t="shared" si="416"/>
        <v>4.9448690987602649E-2</v>
      </c>
      <c r="AI1018">
        <f t="shared" si="416"/>
        <v>0.39659587036738458</v>
      </c>
      <c r="AJ1018">
        <f t="shared" si="417"/>
        <v>0.34714717937978196</v>
      </c>
      <c r="AK1018">
        <f t="shared" si="418"/>
        <v>3.234973524896569</v>
      </c>
      <c r="AM1018" t="str">
        <f t="shared" si="419"/>
        <v/>
      </c>
      <c r="AN1018" t="str">
        <f t="shared" si="419"/>
        <v/>
      </c>
      <c r="AO1018" t="str">
        <f t="shared" si="420"/>
        <v/>
      </c>
      <c r="AP1018" t="str">
        <f t="shared" si="421"/>
        <v/>
      </c>
      <c r="AR1018" t="str">
        <f t="shared" si="422"/>
        <v/>
      </c>
      <c r="AS1018" t="str">
        <f t="shared" si="423"/>
        <v/>
      </c>
      <c r="AT1018" t="str">
        <f t="shared" si="424"/>
        <v/>
      </c>
      <c r="AU1018" t="str">
        <f t="shared" si="425"/>
        <v/>
      </c>
    </row>
    <row r="1019" spans="1:47" x14ac:dyDescent="0.25">
      <c r="A1019" s="4">
        <f>DATE(2020,9,3)</f>
        <v>44077</v>
      </c>
      <c r="B1019">
        <v>0.16555118983534567</v>
      </c>
      <c r="C1019">
        <v>59.119404147010435</v>
      </c>
      <c r="D1019">
        <v>0.81448037530968953</v>
      </c>
      <c r="E1019">
        <f t="shared" si="401"/>
        <v>0.97031278781114483</v>
      </c>
      <c r="F1019">
        <f t="shared" si="402"/>
        <v>1.067563361867252</v>
      </c>
      <c r="G1019">
        <f t="shared" si="403"/>
        <v>0.81641208712818436</v>
      </c>
      <c r="H1019" s="2" t="str">
        <f t="shared" si="404"/>
        <v>Higher</v>
      </c>
      <c r="I1019" s="2" t="e">
        <f t="shared" si="405"/>
        <v>#DIV/0!</v>
      </c>
      <c r="J1019" s="2" t="e">
        <f t="shared" si="406"/>
        <v>#DIV/0!</v>
      </c>
      <c r="K1019" s="2" t="str">
        <f t="shared" si="407"/>
        <v>Higher</v>
      </c>
      <c r="L1019" s="2" t="e">
        <f t="shared" si="408"/>
        <v>#DIV/0!</v>
      </c>
      <c r="M1019" s="2" t="e">
        <f t="shared" si="409"/>
        <v>#DIV/0!</v>
      </c>
      <c r="N1019" s="2" t="str">
        <f t="shared" si="410"/>
        <v>Higher</v>
      </c>
      <c r="O1019" s="2" t="e">
        <f t="shared" si="411"/>
        <v>#DIV/0!</v>
      </c>
      <c r="P1019" s="2" t="e">
        <f t="shared" si="412"/>
        <v>#DIV/0!</v>
      </c>
      <c r="X1019" s="4">
        <f>DATE(2020,9,3)</f>
        <v>44077</v>
      </c>
      <c r="Y1019">
        <v>29.685250317178884</v>
      </c>
      <c r="Z1019">
        <v>56.372432445328549</v>
      </c>
      <c r="AA1019">
        <v>28.657499999999999</v>
      </c>
      <c r="AB1019">
        <v>11.692499999999999</v>
      </c>
      <c r="AC1019">
        <f t="shared" si="413"/>
        <v>6.5642877170815515E-3</v>
      </c>
      <c r="AD1019">
        <f t="shared" si="413"/>
        <v>0.26492259085575953</v>
      </c>
      <c r="AE1019">
        <f t="shared" si="414"/>
        <v>0.25835830313867797</v>
      </c>
      <c r="AF1019">
        <f t="shared" si="415"/>
        <v>0.99686535697464862</v>
      </c>
      <c r="AH1019">
        <f t="shared" si="416"/>
        <v>7.3752376040061934E-2</v>
      </c>
      <c r="AI1019">
        <f t="shared" si="416"/>
        <v>0.39271796291029887</v>
      </c>
      <c r="AJ1019">
        <f t="shared" si="417"/>
        <v>0.31896558687023691</v>
      </c>
      <c r="AK1019">
        <f t="shared" si="418"/>
        <v>2.9924369247971621</v>
      </c>
      <c r="AM1019" t="str">
        <f t="shared" si="419"/>
        <v/>
      </c>
      <c r="AN1019" t="str">
        <f t="shared" si="419"/>
        <v/>
      </c>
      <c r="AO1019" t="str">
        <f t="shared" si="420"/>
        <v/>
      </c>
      <c r="AP1019" t="str">
        <f t="shared" si="421"/>
        <v/>
      </c>
      <c r="AR1019" t="str">
        <f t="shared" si="422"/>
        <v/>
      </c>
      <c r="AS1019" t="str">
        <f t="shared" si="423"/>
        <v/>
      </c>
      <c r="AT1019" t="str">
        <f t="shared" si="424"/>
        <v/>
      </c>
      <c r="AU1019" t="str">
        <f t="shared" si="425"/>
        <v/>
      </c>
    </row>
    <row r="1020" spans="1:47" x14ac:dyDescent="0.25">
      <c r="A1020" s="4">
        <f>DATE(2020,9,2)</f>
        <v>44076</v>
      </c>
      <c r="B1020">
        <v>0.17382526144801502</v>
      </c>
      <c r="C1020">
        <v>56.50895138077842</v>
      </c>
      <c r="D1020">
        <v>0.74613974964646335</v>
      </c>
      <c r="E1020">
        <f t="shared" si="401"/>
        <v>1.0368870719014023</v>
      </c>
      <c r="F1020">
        <f t="shared" si="402"/>
        <v>0.71220716767676928</v>
      </c>
      <c r="G1020">
        <f t="shared" si="403"/>
        <v>0.64522952991111504</v>
      </c>
      <c r="H1020" s="2" t="str">
        <f t="shared" si="404"/>
        <v>Higher</v>
      </c>
      <c r="I1020" s="2" t="e">
        <f t="shared" si="405"/>
        <v>#DIV/0!</v>
      </c>
      <c r="J1020" s="2" t="e">
        <f t="shared" si="406"/>
        <v>#DIV/0!</v>
      </c>
      <c r="K1020" s="2" t="str">
        <f t="shared" si="407"/>
        <v>Higher</v>
      </c>
      <c r="L1020" s="2" t="e">
        <f t="shared" si="408"/>
        <v>#DIV/0!</v>
      </c>
      <c r="M1020" s="2" t="e">
        <f t="shared" si="409"/>
        <v>#DIV/0!</v>
      </c>
      <c r="N1020" s="2" t="str">
        <f t="shared" si="410"/>
        <v>Higher</v>
      </c>
      <c r="O1020" s="2" t="e">
        <f t="shared" si="411"/>
        <v>#DIV/0!</v>
      </c>
      <c r="P1020" s="2" t="e">
        <f t="shared" si="412"/>
        <v>#DIV/0!</v>
      </c>
      <c r="X1020" s="4">
        <f>DATE(2020,9,2)</f>
        <v>44076</v>
      </c>
      <c r="Y1020">
        <v>28.07090272671492</v>
      </c>
      <c r="Z1020">
        <v>56.222430302492384</v>
      </c>
      <c r="AA1020">
        <v>28.162500000000001</v>
      </c>
      <c r="AB1020">
        <v>11.153749999999999</v>
      </c>
      <c r="AC1020">
        <f t="shared" si="413"/>
        <v>-1.8557324234910463E-2</v>
      </c>
      <c r="AD1020">
        <f t="shared" si="413"/>
        <v>0.19284405623543155</v>
      </c>
      <c r="AE1020">
        <f t="shared" si="414"/>
        <v>0.21140138047034202</v>
      </c>
      <c r="AF1020">
        <f t="shared" si="415"/>
        <v>0.69293180279511302</v>
      </c>
      <c r="AH1020">
        <f t="shared" si="416"/>
        <v>5.1643765775149536E-2</v>
      </c>
      <c r="AI1020">
        <f t="shared" si="416"/>
        <v>0.41962973081257543</v>
      </c>
      <c r="AJ1020">
        <f t="shared" si="417"/>
        <v>0.36798596503742587</v>
      </c>
      <c r="AK1020">
        <f t="shared" si="418"/>
        <v>4.9359049111424458</v>
      </c>
      <c r="AM1020" t="str">
        <f t="shared" si="419"/>
        <v/>
      </c>
      <c r="AN1020" t="str">
        <f t="shared" si="419"/>
        <v/>
      </c>
      <c r="AO1020" t="str">
        <f t="shared" si="420"/>
        <v/>
      </c>
      <c r="AP1020" t="str">
        <f t="shared" si="421"/>
        <v/>
      </c>
      <c r="AR1020" t="str">
        <f t="shared" si="422"/>
        <v/>
      </c>
      <c r="AS1020" t="str">
        <f t="shared" si="423"/>
        <v/>
      </c>
      <c r="AT1020" t="str">
        <f t="shared" si="424"/>
        <v/>
      </c>
      <c r="AU1020" t="str">
        <f t="shared" si="425"/>
        <v/>
      </c>
    </row>
    <row r="1021" spans="1:47" x14ac:dyDescent="0.25">
      <c r="A1021" s="4">
        <f>DATE(2020,9,1)</f>
        <v>44075</v>
      </c>
      <c r="B1021">
        <v>0.21862002287647847</v>
      </c>
      <c r="C1021">
        <v>53.881694384134285</v>
      </c>
      <c r="D1021">
        <v>0.66531408268328562</v>
      </c>
      <c r="E1021">
        <f t="shared" si="401"/>
        <v>1.2533801646460629</v>
      </c>
      <c r="F1021">
        <f t="shared" si="402"/>
        <v>0.33578573177031867</v>
      </c>
      <c r="G1021">
        <f t="shared" si="403"/>
        <v>0.43316486166699669</v>
      </c>
      <c r="H1021" s="2" t="str">
        <f t="shared" si="404"/>
        <v>Higher</v>
      </c>
      <c r="I1021" s="2" t="e">
        <f t="shared" si="405"/>
        <v>#DIV/0!</v>
      </c>
      <c r="J1021" s="2" t="e">
        <f t="shared" si="406"/>
        <v>#DIV/0!</v>
      </c>
      <c r="K1021" s="2" t="str">
        <f t="shared" si="407"/>
        <v>Higher</v>
      </c>
      <c r="L1021" s="2" t="e">
        <f t="shared" si="408"/>
        <v>#DIV/0!</v>
      </c>
      <c r="M1021" s="2" t="e">
        <f t="shared" si="409"/>
        <v>#DIV/0!</v>
      </c>
      <c r="N1021" s="2" t="str">
        <f t="shared" si="410"/>
        <v>Higher</v>
      </c>
      <c r="O1021" s="2" t="e">
        <f t="shared" si="411"/>
        <v>#DIV/0!</v>
      </c>
      <c r="P1021" s="2" t="e">
        <f t="shared" si="412"/>
        <v>#DIV/0!</v>
      </c>
      <c r="X1021" s="4">
        <f>DATE(2020,9,1)</f>
        <v>44075</v>
      </c>
      <c r="Y1021">
        <v>29.79827380889634</v>
      </c>
      <c r="Z1021">
        <v>59.252778263123176</v>
      </c>
      <c r="AA1021">
        <v>28.0075</v>
      </c>
      <c r="AB1021">
        <v>11.40625</v>
      </c>
      <c r="AC1021">
        <f t="shared" si="413"/>
        <v>-1.2154698723019783E-2</v>
      </c>
      <c r="AD1021">
        <f t="shared" si="413"/>
        <v>0.26567934231219953</v>
      </c>
      <c r="AE1021">
        <f t="shared" si="414"/>
        <v>0.2778340410352193</v>
      </c>
      <c r="AF1021">
        <f t="shared" si="415"/>
        <v>1.1749779863799281</v>
      </c>
      <c r="AH1021">
        <f t="shared" si="416"/>
        <v>4.9589376608248102E-2</v>
      </c>
      <c r="AI1021">
        <f t="shared" si="416"/>
        <v>0.44406354915947133</v>
      </c>
      <c r="AJ1021">
        <f t="shared" si="417"/>
        <v>0.39447417255122325</v>
      </c>
      <c r="AK1021">
        <f t="shared" si="418"/>
        <v>6.6636964237993785</v>
      </c>
      <c r="AM1021" t="str">
        <f t="shared" si="419"/>
        <v/>
      </c>
      <c r="AN1021" t="str">
        <f t="shared" si="419"/>
        <v/>
      </c>
      <c r="AO1021" t="str">
        <f t="shared" si="420"/>
        <v/>
      </c>
      <c r="AP1021" t="str">
        <f t="shared" si="421"/>
        <v/>
      </c>
      <c r="AR1021" t="str">
        <f t="shared" si="422"/>
        <v/>
      </c>
      <c r="AS1021" t="str">
        <f t="shared" si="423"/>
        <v/>
      </c>
      <c r="AT1021" t="str">
        <f t="shared" si="424"/>
        <v/>
      </c>
      <c r="AU1021" t="str">
        <f t="shared" si="425"/>
        <v/>
      </c>
    </row>
    <row r="1022" spans="1:47" x14ac:dyDescent="0.25">
      <c r="A1022" s="4">
        <f>DATE(2020,8,31)</f>
        <v>44074</v>
      </c>
      <c r="B1022">
        <v>0.31653127020825511</v>
      </c>
      <c r="C1022">
        <v>60.224584681015394</v>
      </c>
      <c r="D1022">
        <v>0.87148683559807627</v>
      </c>
      <c r="E1022">
        <f t="shared" si="401"/>
        <v>1.7073358150287843</v>
      </c>
      <c r="F1022">
        <f t="shared" si="402"/>
        <v>1.2826770865610044</v>
      </c>
      <c r="G1022">
        <f t="shared" si="403"/>
        <v>1.0171237186437554</v>
      </c>
      <c r="H1022" s="2" t="str">
        <f t="shared" si="404"/>
        <v>Higher</v>
      </c>
      <c r="I1022" s="2" t="e">
        <f t="shared" si="405"/>
        <v>#DIV/0!</v>
      </c>
      <c r="J1022" s="2" t="e">
        <f t="shared" si="406"/>
        <v>#DIV/0!</v>
      </c>
      <c r="K1022" s="2" t="str">
        <f t="shared" si="407"/>
        <v>Higher</v>
      </c>
      <c r="L1022" s="2" t="e">
        <f t="shared" si="408"/>
        <v>#DIV/0!</v>
      </c>
      <c r="M1022" s="2" t="e">
        <f t="shared" si="409"/>
        <v>#DIV/0!</v>
      </c>
      <c r="N1022" s="2" t="str">
        <f t="shared" si="410"/>
        <v>Higher</v>
      </c>
      <c r="O1022" s="2" t="e">
        <f t="shared" si="411"/>
        <v>#DIV/0!</v>
      </c>
      <c r="P1022" s="2" t="e">
        <f t="shared" si="412"/>
        <v>#DIV/0!</v>
      </c>
      <c r="X1022" s="4">
        <f>DATE(2020,8,31)</f>
        <v>44074</v>
      </c>
      <c r="Y1022">
        <v>32.320258045400294</v>
      </c>
      <c r="Z1022">
        <v>56.319368849709086</v>
      </c>
      <c r="AA1022">
        <v>28.945</v>
      </c>
      <c r="AB1022">
        <v>11.24</v>
      </c>
      <c r="AC1022">
        <f t="shared" si="413"/>
        <v>6.5494814020393838E-2</v>
      </c>
      <c r="AD1022">
        <f t="shared" si="413"/>
        <v>0.30518308004524553</v>
      </c>
      <c r="AE1022">
        <f t="shared" si="414"/>
        <v>0.23968826602485169</v>
      </c>
      <c r="AF1022">
        <f t="shared" si="415"/>
        <v>0.95678967443694929</v>
      </c>
      <c r="AH1022">
        <f t="shared" si="416"/>
        <v>0.10461224958555765</v>
      </c>
      <c r="AI1022">
        <f t="shared" si="416"/>
        <v>0.51253229876192807</v>
      </c>
      <c r="AJ1022">
        <f t="shared" si="417"/>
        <v>0.40792004917637043</v>
      </c>
      <c r="AK1022">
        <f t="shared" si="418"/>
        <v>8.4020158026991556</v>
      </c>
      <c r="AM1022" t="str">
        <f t="shared" si="419"/>
        <v/>
      </c>
      <c r="AN1022" t="str">
        <f t="shared" si="419"/>
        <v/>
      </c>
      <c r="AO1022" t="str">
        <f t="shared" si="420"/>
        <v/>
      </c>
      <c r="AP1022" t="str">
        <f t="shared" si="421"/>
        <v/>
      </c>
      <c r="AR1022" t="str">
        <f t="shared" si="422"/>
        <v/>
      </c>
      <c r="AS1022" t="str">
        <f t="shared" si="423"/>
        <v/>
      </c>
      <c r="AT1022" t="str">
        <f t="shared" si="424"/>
        <v/>
      </c>
      <c r="AU1022" t="str">
        <f t="shared" si="425"/>
        <v/>
      </c>
    </row>
    <row r="1023" spans="1:47" x14ac:dyDescent="0.25">
      <c r="A1023" s="4">
        <f>DATE(2020,8,28)</f>
        <v>44071</v>
      </c>
      <c r="B1023">
        <v>0.34822973662571927</v>
      </c>
      <c r="C1023">
        <v>67.078854787654976</v>
      </c>
      <c r="D1023">
        <v>1.1117072644167114</v>
      </c>
      <c r="E1023">
        <f t="shared" si="401"/>
        <v>1.9875476829619658</v>
      </c>
      <c r="F1023">
        <f t="shared" si="402"/>
        <v>2.385345016096367</v>
      </c>
      <c r="G1023">
        <f t="shared" si="403"/>
        <v>1.7297712771133953</v>
      </c>
      <c r="H1023" s="2" t="str">
        <f t="shared" si="404"/>
        <v>Higher</v>
      </c>
      <c r="I1023" s="2" t="e">
        <f t="shared" si="405"/>
        <v>#DIV/0!</v>
      </c>
      <c r="J1023" s="2" t="e">
        <f t="shared" si="406"/>
        <v>#DIV/0!</v>
      </c>
      <c r="K1023" s="2" t="str">
        <f t="shared" si="407"/>
        <v>Higher</v>
      </c>
      <c r="L1023" s="2" t="e">
        <f t="shared" si="408"/>
        <v>#DIV/0!</v>
      </c>
      <c r="M1023" s="2" t="e">
        <f t="shared" si="409"/>
        <v>#DIV/0!</v>
      </c>
      <c r="N1023" s="2" t="str">
        <f t="shared" si="410"/>
        <v>Higher</v>
      </c>
      <c r="O1023" s="2" t="e">
        <f t="shared" si="411"/>
        <v>#DIV/0!</v>
      </c>
      <c r="P1023" s="2" t="e">
        <f t="shared" si="412"/>
        <v>#DIV/0!</v>
      </c>
      <c r="X1023" s="4">
        <f>DATE(2020,8,28)</f>
        <v>44071</v>
      </c>
      <c r="Y1023">
        <v>34.845818390963736</v>
      </c>
      <c r="Z1023">
        <v>55.99808237294679</v>
      </c>
      <c r="AA1023">
        <v>29.352499999999999</v>
      </c>
      <c r="AB1023">
        <v>11.16</v>
      </c>
      <c r="AC1023">
        <f t="shared" si="413"/>
        <v>0.13541911628656605</v>
      </c>
      <c r="AD1023">
        <f t="shared" si="413"/>
        <v>0.37485638223199508</v>
      </c>
      <c r="AE1023">
        <f t="shared" si="414"/>
        <v>0.23943726594542902</v>
      </c>
      <c r="AF1023">
        <f t="shared" si="415"/>
        <v>0.98715794722014139</v>
      </c>
      <c r="AH1023">
        <f t="shared" si="416"/>
        <v>0.11361831075517875</v>
      </c>
      <c r="AI1023">
        <f t="shared" si="416"/>
        <v>0.61745636038886609</v>
      </c>
      <c r="AJ1023">
        <f t="shared" si="417"/>
        <v>0.50383804963368739</v>
      </c>
      <c r="AK1023">
        <f t="shared" si="418"/>
        <v>15.152677082223972</v>
      </c>
      <c r="AM1023" t="str">
        <f t="shared" si="419"/>
        <v/>
      </c>
      <c r="AN1023" t="str">
        <f t="shared" si="419"/>
        <v/>
      </c>
      <c r="AO1023" t="str">
        <f t="shared" si="420"/>
        <v/>
      </c>
      <c r="AP1023" t="str">
        <f t="shared" si="421"/>
        <v/>
      </c>
      <c r="AR1023" t="str">
        <f t="shared" si="422"/>
        <v/>
      </c>
      <c r="AS1023" t="str">
        <f t="shared" si="423"/>
        <v/>
      </c>
      <c r="AT1023" t="str">
        <f t="shared" si="424"/>
        <v/>
      </c>
      <c r="AU1023" t="str">
        <f t="shared" si="425"/>
        <v/>
      </c>
    </row>
    <row r="1024" spans="1:47" x14ac:dyDescent="0.25">
      <c r="A1024" s="4">
        <f>DATE(2020,8,27)</f>
        <v>44070</v>
      </c>
      <c r="B1024">
        <v>0.27889767535359539</v>
      </c>
      <c r="C1024">
        <v>61.660731443156266</v>
      </c>
      <c r="D1024">
        <v>0.97124635848439544</v>
      </c>
      <c r="E1024">
        <f t="shared" si="401"/>
        <v>1.9169872605353815</v>
      </c>
      <c r="F1024">
        <f t="shared" si="402"/>
        <v>1.8835208872890967</v>
      </c>
      <c r="G1024">
        <f t="shared" si="403"/>
        <v>1.4796500787370632</v>
      </c>
      <c r="H1024" s="2" t="str">
        <f t="shared" si="404"/>
        <v>Higher</v>
      </c>
      <c r="I1024" s="2" t="e">
        <f t="shared" si="405"/>
        <v>#DIV/0!</v>
      </c>
      <c r="J1024" s="2" t="e">
        <f t="shared" si="406"/>
        <v>#DIV/0!</v>
      </c>
      <c r="K1024" s="2" t="str">
        <f t="shared" si="407"/>
        <v>Higher</v>
      </c>
      <c r="L1024" s="2" t="e">
        <f t="shared" si="408"/>
        <v>#DIV/0!</v>
      </c>
      <c r="M1024" s="2" t="e">
        <f t="shared" si="409"/>
        <v>#DIV/0!</v>
      </c>
      <c r="N1024" s="2" t="str">
        <f t="shared" si="410"/>
        <v>Higher</v>
      </c>
      <c r="O1024" s="2" t="e">
        <f t="shared" si="411"/>
        <v>#DIV/0!</v>
      </c>
      <c r="P1024" s="2" t="e">
        <f t="shared" si="412"/>
        <v>#DIV/0!</v>
      </c>
      <c r="X1024" s="4">
        <f>DATE(2020,8,27)</f>
        <v>44070</v>
      </c>
      <c r="Y1024">
        <v>32.680552296408763</v>
      </c>
      <c r="Z1024">
        <v>46.278154387554956</v>
      </c>
      <c r="AA1024">
        <v>28.47</v>
      </c>
      <c r="AB1024">
        <v>8.9712499999999995</v>
      </c>
      <c r="AC1024">
        <f t="shared" si="413"/>
        <v>9.3257493486582715E-2</v>
      </c>
      <c r="AD1024">
        <f t="shared" si="413"/>
        <v>8.9128960693175163E-2</v>
      </c>
      <c r="AE1024">
        <f t="shared" si="414"/>
        <v>-4.1285327934075522E-3</v>
      </c>
      <c r="AF1024">
        <f t="shared" si="415"/>
        <v>-0.66877497033632949</v>
      </c>
      <c r="AH1024">
        <f t="shared" si="416"/>
        <v>0.10518490761452672</v>
      </c>
      <c r="AI1024">
        <f t="shared" si="416"/>
        <v>0.53532086602512619</v>
      </c>
      <c r="AJ1024">
        <f t="shared" si="417"/>
        <v>0.43013595841059948</v>
      </c>
      <c r="AK1024">
        <f t="shared" si="418"/>
        <v>15.244663549914327</v>
      </c>
      <c r="AM1024" t="str">
        <f t="shared" si="419"/>
        <v/>
      </c>
      <c r="AN1024" t="str">
        <f t="shared" si="419"/>
        <v/>
      </c>
      <c r="AO1024" t="str">
        <f t="shared" si="420"/>
        <v/>
      </c>
      <c r="AP1024" t="str">
        <f t="shared" si="421"/>
        <v/>
      </c>
      <c r="AR1024" t="str">
        <f t="shared" si="422"/>
        <v/>
      </c>
      <c r="AS1024" t="str">
        <f t="shared" si="423"/>
        <v/>
      </c>
      <c r="AT1024" t="str">
        <f t="shared" si="424"/>
        <v/>
      </c>
      <c r="AU1024" t="str">
        <f t="shared" si="425"/>
        <v/>
      </c>
    </row>
    <row r="1025" spans="1:47" x14ac:dyDescent="0.25">
      <c r="A1025" s="4">
        <f>DATE(2020,8,26)</f>
        <v>44069</v>
      </c>
      <c r="B1025">
        <v>0.26009577440067183</v>
      </c>
      <c r="C1025">
        <v>63.7796569392113</v>
      </c>
      <c r="D1025">
        <v>1.1193960919361039</v>
      </c>
      <c r="E1025">
        <f t="shared" si="401"/>
        <v>2.0531982943379701</v>
      </c>
      <c r="F1025">
        <f t="shared" si="402"/>
        <v>2.4824477052300957</v>
      </c>
      <c r="G1025">
        <f t="shared" si="403"/>
        <v>2.0382082561306261</v>
      </c>
      <c r="H1025" s="2" t="str">
        <f t="shared" si="404"/>
        <v>Higher</v>
      </c>
      <c r="I1025" s="2" t="e">
        <f t="shared" si="405"/>
        <v>#DIV/0!</v>
      </c>
      <c r="J1025" s="2" t="e">
        <f t="shared" si="406"/>
        <v>#DIV/0!</v>
      </c>
      <c r="K1025" s="2" t="str">
        <f t="shared" si="407"/>
        <v>Higher</v>
      </c>
      <c r="L1025" s="2" t="e">
        <f t="shared" si="408"/>
        <v>#DIV/0!</v>
      </c>
      <c r="M1025" s="2" t="e">
        <f t="shared" si="409"/>
        <v>#DIV/0!</v>
      </c>
      <c r="N1025" s="2" t="str">
        <f t="shared" si="410"/>
        <v>Higher</v>
      </c>
      <c r="O1025" s="2" t="e">
        <f t="shared" si="411"/>
        <v>#DIV/0!</v>
      </c>
      <c r="P1025" s="2" t="e">
        <f t="shared" si="412"/>
        <v>#DIV/0!</v>
      </c>
      <c r="X1025" s="4">
        <f>DATE(2020,8,26)</f>
        <v>44069</v>
      </c>
      <c r="Y1025">
        <v>35.079480008256134</v>
      </c>
      <c r="Z1025">
        <v>49.232012077890467</v>
      </c>
      <c r="AA1025">
        <v>28.689999999999998</v>
      </c>
      <c r="AB1025">
        <v>9.1975000000000016</v>
      </c>
      <c r="AC1025">
        <f t="shared" si="413"/>
        <v>8.5554850862966061E-2</v>
      </c>
      <c r="AD1025">
        <f t="shared" si="413"/>
        <v>8.5061168390484568E-2</v>
      </c>
      <c r="AE1025">
        <f t="shared" si="414"/>
        <v>-4.9368247248149366E-4</v>
      </c>
      <c r="AF1025">
        <f t="shared" si="415"/>
        <v>-0.66769741657479786</v>
      </c>
      <c r="AH1025">
        <f t="shared" si="416"/>
        <v>9.7106843378411023E-2</v>
      </c>
      <c r="AI1025">
        <f t="shared" si="416"/>
        <v>0.57872213689593854</v>
      </c>
      <c r="AJ1025">
        <f t="shared" si="417"/>
        <v>0.48161529351752752</v>
      </c>
      <c r="AK1025">
        <f t="shared" si="418"/>
        <v>68.3035116373958</v>
      </c>
      <c r="AM1025" t="str">
        <f t="shared" si="419"/>
        <v/>
      </c>
      <c r="AN1025" t="str">
        <f t="shared" si="419"/>
        <v/>
      </c>
      <c r="AO1025" t="str">
        <f t="shared" si="420"/>
        <v/>
      </c>
      <c r="AP1025" t="str">
        <f t="shared" si="421"/>
        <v/>
      </c>
      <c r="AR1025" t="str">
        <f t="shared" si="422"/>
        <v/>
      </c>
      <c r="AS1025" t="str">
        <f t="shared" si="423"/>
        <v/>
      </c>
      <c r="AT1025" t="str">
        <f t="shared" si="424"/>
        <v/>
      </c>
      <c r="AU1025" t="str">
        <f t="shared" si="425"/>
        <v/>
      </c>
    </row>
    <row r="1026" spans="1:47" x14ac:dyDescent="0.25">
      <c r="A1026" s="4">
        <f>DATE(2020,8,25)</f>
        <v>44068</v>
      </c>
      <c r="B1026">
        <v>0.18195334831836399</v>
      </c>
      <c r="C1026">
        <v>63.733351803754786</v>
      </c>
      <c r="D1026">
        <v>1.2908657752389023</v>
      </c>
      <c r="E1026">
        <f t="shared" si="401"/>
        <v>1.9366862397290721</v>
      </c>
      <c r="F1026">
        <f t="shared" si="402"/>
        <v>3.0055289938283654</v>
      </c>
      <c r="G1026">
        <f t="shared" si="403"/>
        <v>2.8881531536331027</v>
      </c>
      <c r="H1026" s="2" t="str">
        <f t="shared" si="404"/>
        <v>Higher</v>
      </c>
      <c r="I1026" s="2" t="e">
        <f t="shared" si="405"/>
        <v>#DIV/0!</v>
      </c>
      <c r="J1026" s="2" t="e">
        <f t="shared" si="406"/>
        <v>#DIV/0!</v>
      </c>
      <c r="K1026" s="2" t="str">
        <f t="shared" si="407"/>
        <v>Higher</v>
      </c>
      <c r="L1026" s="2" t="e">
        <f t="shared" si="408"/>
        <v>#DIV/0!</v>
      </c>
      <c r="M1026" s="2" t="e">
        <f t="shared" si="409"/>
        <v>#DIV/0!</v>
      </c>
      <c r="N1026" s="2" t="str">
        <f t="shared" si="410"/>
        <v>Higher</v>
      </c>
      <c r="O1026" s="2" t="e">
        <f t="shared" si="411"/>
        <v>#DIV/0!</v>
      </c>
      <c r="P1026" s="2" t="e">
        <f t="shared" si="412"/>
        <v>#DIV/0!</v>
      </c>
      <c r="X1026" s="4">
        <f>DATE(2020,8,25)</f>
        <v>44068</v>
      </c>
      <c r="Y1026">
        <v>34.266886235591613</v>
      </c>
      <c r="Z1026">
        <v>45.832514527864127</v>
      </c>
      <c r="AA1026">
        <v>28.35</v>
      </c>
      <c r="AB1026">
        <v>8.745000000000001</v>
      </c>
      <c r="AC1026">
        <f t="shared" si="413"/>
        <v>6.8142892685247036E-2</v>
      </c>
      <c r="AD1026">
        <f t="shared" si="413"/>
        <v>2.7093290655526018E-2</v>
      </c>
      <c r="AE1026">
        <f t="shared" si="414"/>
        <v>-4.1049602029721022E-2</v>
      </c>
      <c r="AF1026">
        <f t="shared" si="415"/>
        <v>-0.96969918370675734</v>
      </c>
      <c r="AH1026">
        <f t="shared" si="416"/>
        <v>0.10232769036197237</v>
      </c>
      <c r="AI1026">
        <f t="shared" si="416"/>
        <v>0.5756818371894884</v>
      </c>
      <c r="AJ1026">
        <f t="shared" si="417"/>
        <v>0.47335414682751603</v>
      </c>
      <c r="AK1026">
        <f t="shared" si="418"/>
        <v>165.95096054386559</v>
      </c>
      <c r="AM1026" t="str">
        <f t="shared" si="419"/>
        <v/>
      </c>
      <c r="AN1026" t="str">
        <f t="shared" si="419"/>
        <v/>
      </c>
      <c r="AO1026" t="str">
        <f t="shared" si="420"/>
        <v/>
      </c>
      <c r="AP1026" t="str">
        <f t="shared" si="421"/>
        <v/>
      </c>
      <c r="AR1026" t="str">
        <f t="shared" si="422"/>
        <v/>
      </c>
      <c r="AS1026" t="str">
        <f t="shared" si="423"/>
        <v/>
      </c>
      <c r="AT1026" t="str">
        <f t="shared" si="424"/>
        <v/>
      </c>
      <c r="AU1026" t="str">
        <f t="shared" si="425"/>
        <v/>
      </c>
    </row>
    <row r="1027" spans="1:47" x14ac:dyDescent="0.25">
      <c r="A1027" s="4">
        <f>DATE(2020,8,24)</f>
        <v>44067</v>
      </c>
      <c r="B1027">
        <v>4.3090632313039313E-2</v>
      </c>
      <c r="C1027">
        <v>58.11686841047613</v>
      </c>
      <c r="D1027">
        <v>1.1322222059342755</v>
      </c>
      <c r="E1027">
        <f t="shared" si="401"/>
        <v>1.4103449757628639</v>
      </c>
      <c r="F1027">
        <f t="shared" si="402"/>
        <v>2.5888756515782658</v>
      </c>
      <c r="G1027">
        <f t="shared" si="403"/>
        <v>3.197479158496519</v>
      </c>
      <c r="H1027" s="2" t="e">
        <f t="shared" si="404"/>
        <v>#DIV/0!</v>
      </c>
      <c r="I1027" s="2" t="e">
        <f t="shared" si="405"/>
        <v>#DIV/0!</v>
      </c>
      <c r="J1027" s="2" t="e">
        <f t="shared" si="406"/>
        <v>#DIV/0!</v>
      </c>
      <c r="K1027" s="2" t="e">
        <f t="shared" si="407"/>
        <v>#DIV/0!</v>
      </c>
      <c r="L1027" s="2" t="e">
        <f t="shared" si="408"/>
        <v>#DIV/0!</v>
      </c>
      <c r="M1027" s="2" t="e">
        <f t="shared" si="409"/>
        <v>#DIV/0!</v>
      </c>
      <c r="N1027" s="2" t="e">
        <f t="shared" si="410"/>
        <v>#DIV/0!</v>
      </c>
      <c r="O1027" s="2" t="e">
        <f t="shared" si="411"/>
        <v>#DIV/0!</v>
      </c>
      <c r="P1027" s="2" t="e">
        <f t="shared" si="412"/>
        <v>#DIV/0!</v>
      </c>
      <c r="X1027" s="4">
        <f>DATE(2020,8,24)</f>
        <v>44067</v>
      </c>
      <c r="Y1027">
        <v>29.71137901450626</v>
      </c>
      <c r="Z1027">
        <v>41.367213284267933</v>
      </c>
      <c r="AA1027">
        <v>27.11</v>
      </c>
      <c r="AB1027">
        <v>8.2837499999999995</v>
      </c>
      <c r="AC1027">
        <f t="shared" si="413"/>
        <v>4.142158405001399E-2</v>
      </c>
      <c r="AD1027">
        <f t="shared" si="413"/>
        <v>3.476687048208197E-3</v>
      </c>
      <c r="AE1027">
        <f t="shared" si="414"/>
        <v>-3.7944897001805797E-2</v>
      </c>
      <c r="AF1027">
        <f t="shared" si="415"/>
        <v>-1.0092453103749048</v>
      </c>
      <c r="AH1027">
        <f t="shared" si="416"/>
        <v>6.7419835236156397E-2</v>
      </c>
      <c r="AI1027">
        <f t="shared" si="416"/>
        <v>0.5371228125734745</v>
      </c>
      <c r="AJ1027">
        <f t="shared" si="417"/>
        <v>0.46970297733731808</v>
      </c>
      <c r="AK1027" t="str">
        <f t="shared" si="418"/>
        <v/>
      </c>
      <c r="AM1027" t="str">
        <f t="shared" si="419"/>
        <v/>
      </c>
      <c r="AN1027" t="str">
        <f t="shared" si="419"/>
        <v/>
      </c>
      <c r="AO1027" t="str">
        <f t="shared" si="420"/>
        <v/>
      </c>
      <c r="AP1027" t="str">
        <f t="shared" si="421"/>
        <v/>
      </c>
      <c r="AR1027" t="str">
        <f t="shared" si="422"/>
        <v/>
      </c>
      <c r="AS1027" t="str">
        <f t="shared" si="423"/>
        <v/>
      </c>
      <c r="AT1027" t="str">
        <f t="shared" si="424"/>
        <v/>
      </c>
      <c r="AU1027" t="str">
        <f t="shared" si="425"/>
        <v/>
      </c>
    </row>
    <row r="1028" spans="1:47" x14ac:dyDescent="0.25">
      <c r="A1028" s="4">
        <f>DATE(2020,8,21)</f>
        <v>44064</v>
      </c>
      <c r="B1028">
        <v>-6.6337074934742488E-2</v>
      </c>
      <c r="C1028">
        <v>45.40159503758602</v>
      </c>
      <c r="D1028">
        <v>0.2722134526490752</v>
      </c>
      <c r="E1028">
        <f t="shared" si="401"/>
        <v>0.88745927121394685</v>
      </c>
      <c r="F1028">
        <f t="shared" si="402"/>
        <v>-0.97610681986422154</v>
      </c>
      <c r="G1028">
        <f t="shared" si="403"/>
        <v>-0.36862983463893639</v>
      </c>
      <c r="H1028" s="2" t="e">
        <f t="shared" si="404"/>
        <v>#DIV/0!</v>
      </c>
      <c r="I1028" s="2" t="e">
        <f t="shared" si="405"/>
        <v>#DIV/0!</v>
      </c>
      <c r="J1028" s="2" t="e">
        <f t="shared" si="406"/>
        <v>#DIV/0!</v>
      </c>
      <c r="K1028" s="2" t="e">
        <f t="shared" si="407"/>
        <v>#DIV/0!</v>
      </c>
      <c r="L1028" s="2" t="e">
        <f t="shared" si="408"/>
        <v>#DIV/0!</v>
      </c>
      <c r="M1028" s="2" t="e">
        <f t="shared" si="409"/>
        <v>#DIV/0!</v>
      </c>
      <c r="N1028" s="2" t="e">
        <f t="shared" si="410"/>
        <v>#DIV/0!</v>
      </c>
      <c r="O1028" s="2" t="e">
        <f t="shared" si="411"/>
        <v>#DIV/0!</v>
      </c>
      <c r="P1028" s="2" t="e">
        <f t="shared" si="412"/>
        <v>#DIV/0!</v>
      </c>
      <c r="X1028" s="4">
        <f>DATE(2020,8,21)</f>
        <v>44064</v>
      </c>
      <c r="Y1028">
        <v>20.904399410299344</v>
      </c>
      <c r="Z1028">
        <v>40.016758566532367</v>
      </c>
      <c r="AA1028">
        <v>25.634999999999998</v>
      </c>
      <c r="AB1028">
        <v>7.6712500000000006</v>
      </c>
      <c r="AC1028">
        <f t="shared" si="413"/>
        <v>1.0489778064562957E-2</v>
      </c>
      <c r="AD1028">
        <f t="shared" si="413"/>
        <v>-2.8433366728839955E-2</v>
      </c>
      <c r="AE1028">
        <f t="shared" si="414"/>
        <v>-3.8923144793402913E-2</v>
      </c>
      <c r="AF1028">
        <f t="shared" si="415"/>
        <v>-1.089783260797712</v>
      </c>
      <c r="AH1028" t="str">
        <f t="shared" si="416"/>
        <v/>
      </c>
      <c r="AI1028" t="str">
        <f t="shared" si="416"/>
        <v/>
      </c>
      <c r="AJ1028" t="str">
        <f t="shared" si="417"/>
        <v/>
      </c>
      <c r="AK1028" t="str">
        <f t="shared" si="418"/>
        <v/>
      </c>
      <c r="AM1028" t="str">
        <f t="shared" si="419"/>
        <v/>
      </c>
      <c r="AN1028" t="str">
        <f t="shared" si="419"/>
        <v/>
      </c>
      <c r="AO1028" t="str">
        <f t="shared" si="420"/>
        <v/>
      </c>
      <c r="AP1028" t="str">
        <f t="shared" si="421"/>
        <v/>
      </c>
      <c r="AR1028" t="str">
        <f t="shared" si="422"/>
        <v/>
      </c>
      <c r="AS1028" t="str">
        <f t="shared" si="423"/>
        <v/>
      </c>
      <c r="AT1028" t="str">
        <f t="shared" si="424"/>
        <v/>
      </c>
      <c r="AU1028" t="str">
        <f t="shared" si="425"/>
        <v/>
      </c>
    </row>
    <row r="1029" spans="1:47" x14ac:dyDescent="0.25">
      <c r="A1029" s="4">
        <f>DATE(2020,8,20)</f>
        <v>44063</v>
      </c>
      <c r="B1029">
        <v>-4.8220548949689288E-2</v>
      </c>
      <c r="C1029">
        <v>47.220153936730682</v>
      </c>
      <c r="D1029">
        <v>0.38239965088746158</v>
      </c>
      <c r="E1029">
        <f t="shared" ref="E1029:E1046" si="426">(B1029-AVERAGE(B1029:B1158))/_xlfn.STDEV.S(B1029:B1158)</f>
        <v>1.0348466538690093</v>
      </c>
      <c r="F1029">
        <f t="shared" ref="F1029:F1046" si="427">(C1029-AVERAGE(C1029:C1158))/_xlfn.STDEV.S(C1029:C1158)</f>
        <v>-0.41722287133762281</v>
      </c>
      <c r="G1029">
        <f t="shared" ref="G1029:G1046" si="428">(D1029-AVERAGE(D1029:D1158))/_xlfn.STDEV.S(D1029:D1158)</f>
        <v>0.26886716880188827</v>
      </c>
      <c r="H1029" s="2" t="e">
        <f t="shared" ref="H1029:H1046" si="429">IF(AVERAGEA(C1029:C1049)&gt;AVERAGE(C1050:C1070),"Higher","Lower")</f>
        <v>#DIV/0!</v>
      </c>
      <c r="I1029" s="2" t="e">
        <f t="shared" ref="I1029:I1046" si="430">IF(AVERAGEA(C1029:C1084)&gt;AVERAGE(C1085:C1140),"Higher","Lower")</f>
        <v>#DIV/0!</v>
      </c>
      <c r="J1029" s="2" t="e">
        <f t="shared" ref="J1029:J1046" si="431">IF(AVERAGEA(C1029:C1141)&gt;AVERAGE(C1142:C1254),"Higher","Lower")</f>
        <v>#DIV/0!</v>
      </c>
      <c r="K1029" s="2" t="e">
        <f t="shared" ref="K1029:K1046" si="432">IF(AVERAGEA(B1029:B1049)&gt;AVERAGE(B1050:B1070),"Higher","Lower")</f>
        <v>#DIV/0!</v>
      </c>
      <c r="L1029" s="2" t="e">
        <f t="shared" ref="L1029:L1046" si="433">IF(AVERAGEA(B1029:B1084)&gt;AVERAGE(B1085:B1140),"Higher","Lower")</f>
        <v>#DIV/0!</v>
      </c>
      <c r="M1029" s="2" t="e">
        <f t="shared" ref="M1029:M1046" si="434">IF(AVERAGEA(B1029:B1141)&gt;AVERAGE(B1142:B1254),"Higher","Lower")</f>
        <v>#DIV/0!</v>
      </c>
      <c r="N1029" s="2" t="e">
        <f t="shared" ref="N1029:N1046" si="435">IF(AVERAGEA(D1029:D1049)&gt;AVERAGE(D1050:D1070),"Higher","Lower")</f>
        <v>#DIV/0!</v>
      </c>
      <c r="O1029" s="2" t="e">
        <f t="shared" ref="O1029:O1046" si="436">IF(AVERAGEA(D1029:D1084)&gt;AVERAGE(D1085:D1140),"Higher","Lower")</f>
        <v>#DIV/0!</v>
      </c>
      <c r="P1029" s="2" t="e">
        <f t="shared" ref="P1029:P1046" si="437">IF(AVERAGEA(D1029:D1141)&gt;AVERAGE(D1142:D1254),"Higher","Lower")</f>
        <v>#DIV/0!</v>
      </c>
      <c r="X1029" s="4">
        <f>DATE(2020,8,20)</f>
        <v>44063</v>
      </c>
      <c r="Y1029">
        <v>21.95605030581817</v>
      </c>
      <c r="Z1029">
        <v>44.672818925250553</v>
      </c>
      <c r="AA1029">
        <v>25.934999999999999</v>
      </c>
      <c r="AB1029">
        <v>8.2062500000000007</v>
      </c>
      <c r="AC1029">
        <f t="shared" ref="AC1029:AD1046" si="438">IFERROR(LN(AA1029/AA1034),"")</f>
        <v>1.3098717336528782E-2</v>
      </c>
      <c r="AD1029">
        <f t="shared" si="438"/>
        <v>0.1107060801242462</v>
      </c>
      <c r="AE1029">
        <f t="shared" ref="AE1029:AE1046" si="439">IFERROR(AD1029-AC1029,"")</f>
        <v>9.7607362787717408E-2</v>
      </c>
      <c r="AF1029">
        <f t="shared" ref="AF1029:AF1046" si="440">IFERROR((AE1029-AVERAGEA(AE1029:AE1551))/_xlfn.STDEV.S(AE1029:AE1546),"")</f>
        <v>-0.1959072962104414</v>
      </c>
      <c r="AH1029" t="str">
        <f t="shared" ref="AH1029:AI1046" si="441">IFERROR(LN(AA1029/AA1049),"")</f>
        <v/>
      </c>
      <c r="AI1029" t="str">
        <f t="shared" si="441"/>
        <v/>
      </c>
      <c r="AJ1029" t="str">
        <f t="shared" ref="AJ1029:AJ1046" si="442">IFERROR(AI1029-AH1029,"")</f>
        <v/>
      </c>
      <c r="AK1029" t="str">
        <f t="shared" ref="AK1029:AK1046" si="443">IFERROR((AJ1029-AVERAGEA(AJ1029:AJ1551))/_xlfn.STDEV.S(AJ1029:AJ1546),"")</f>
        <v/>
      </c>
      <c r="AM1029" t="str">
        <f t="shared" ref="AM1029:AN1046" si="444">IFERROR(LN(AA1029/AA1089),"")</f>
        <v/>
      </c>
      <c r="AN1029" t="str">
        <f t="shared" si="444"/>
        <v/>
      </c>
      <c r="AO1029" t="str">
        <f t="shared" ref="AO1029:AO1046" si="445">IFERROR(AN1029-AM1029,"")</f>
        <v/>
      </c>
      <c r="AP1029" t="str">
        <f t="shared" ref="AP1029:AP1046" si="446">IFERROR((AO1029-AVERAGEA(AO1029:AO1551))/_xlfn.STDEV.S(AO1029:AO1546),"")</f>
        <v/>
      </c>
      <c r="AR1029" t="str">
        <f t="shared" ref="AR1029:AR1045" si="447">IFERROR(LN(AA1029/AA1229),"")</f>
        <v/>
      </c>
      <c r="AS1029" t="str">
        <f t="shared" ref="AS1029:AS1045" si="448">IFERROR(LN(AB1029/AB1229),"")</f>
        <v/>
      </c>
      <c r="AT1029" t="str">
        <f t="shared" ref="AT1029:AT1045" si="449">IFERROR(AS1029-AR1029,"")</f>
        <v/>
      </c>
      <c r="AU1029" t="str">
        <f t="shared" ref="AU1029:AU1045" si="450">IFERROR((AT1029-AVERAGEA(AT1029:AT1551))/_xlfn.STDEV.S(AT1029:AT1546),"")</f>
        <v/>
      </c>
    </row>
    <row r="1030" spans="1:47" x14ac:dyDescent="0.25">
      <c r="A1030" s="4">
        <f>DATE(2020,8,19)</f>
        <v>44062</v>
      </c>
      <c r="B1030">
        <v>-4.0151263276453616E-2</v>
      </c>
      <c r="C1030">
        <v>49.65808801558159</v>
      </c>
      <c r="D1030">
        <v>0.51726091766717075</v>
      </c>
      <c r="E1030">
        <f t="shared" si="426"/>
        <v>1.143537958110753</v>
      </c>
      <c r="F1030">
        <f t="shared" si="427"/>
        <v>0.36905713200537671</v>
      </c>
      <c r="G1030">
        <f t="shared" si="428"/>
        <v>1.0487757003103599</v>
      </c>
      <c r="H1030" s="2" t="e">
        <f t="shared" si="429"/>
        <v>#DIV/0!</v>
      </c>
      <c r="I1030" s="2" t="e">
        <f t="shared" si="430"/>
        <v>#DIV/0!</v>
      </c>
      <c r="J1030" s="2" t="e">
        <f t="shared" si="431"/>
        <v>#DIV/0!</v>
      </c>
      <c r="K1030" s="2" t="e">
        <f t="shared" si="432"/>
        <v>#DIV/0!</v>
      </c>
      <c r="L1030" s="2" t="e">
        <f t="shared" si="433"/>
        <v>#DIV/0!</v>
      </c>
      <c r="M1030" s="2" t="e">
        <f t="shared" si="434"/>
        <v>#DIV/0!</v>
      </c>
      <c r="N1030" s="2" t="e">
        <f t="shared" si="435"/>
        <v>#DIV/0!</v>
      </c>
      <c r="O1030" s="2" t="e">
        <f t="shared" si="436"/>
        <v>#DIV/0!</v>
      </c>
      <c r="P1030" s="2" t="e">
        <f t="shared" si="437"/>
        <v>#DIV/0!</v>
      </c>
      <c r="X1030" s="4">
        <f>DATE(2020,8,19)</f>
        <v>44062</v>
      </c>
      <c r="Y1030">
        <v>22.963764093984139</v>
      </c>
      <c r="Z1030">
        <v>46.329042417270976</v>
      </c>
      <c r="AA1030">
        <v>26.337499999999999</v>
      </c>
      <c r="AB1030">
        <v>8.4474999999999998</v>
      </c>
      <c r="AC1030">
        <f t="shared" si="438"/>
        <v>1.684734018018735E-2</v>
      </c>
      <c r="AD1030">
        <f t="shared" si="438"/>
        <v>0.16973463611769629</v>
      </c>
      <c r="AE1030">
        <f t="shared" si="439"/>
        <v>0.15288729593750894</v>
      </c>
      <c r="AF1030">
        <f t="shared" si="440"/>
        <v>0.18863571921281783</v>
      </c>
      <c r="AH1030" t="str">
        <f t="shared" si="441"/>
        <v/>
      </c>
      <c r="AI1030" t="str">
        <f t="shared" si="441"/>
        <v/>
      </c>
      <c r="AJ1030" t="str">
        <f t="shared" si="442"/>
        <v/>
      </c>
      <c r="AK1030" t="str">
        <f t="shared" si="443"/>
        <v/>
      </c>
      <c r="AM1030" t="str">
        <f t="shared" si="444"/>
        <v/>
      </c>
      <c r="AN1030" t="str">
        <f t="shared" si="444"/>
        <v/>
      </c>
      <c r="AO1030" t="str">
        <f t="shared" si="445"/>
        <v/>
      </c>
      <c r="AP1030" t="str">
        <f t="shared" si="446"/>
        <v/>
      </c>
      <c r="AR1030" t="str">
        <f t="shared" si="447"/>
        <v/>
      </c>
      <c r="AS1030" t="str">
        <f t="shared" si="448"/>
        <v/>
      </c>
      <c r="AT1030" t="str">
        <f t="shared" si="449"/>
        <v/>
      </c>
      <c r="AU1030" t="str">
        <f t="shared" si="450"/>
        <v/>
      </c>
    </row>
    <row r="1031" spans="1:47" x14ac:dyDescent="0.25">
      <c r="A1031" s="4">
        <f>DATE(2020,8,18)</f>
        <v>44061</v>
      </c>
      <c r="B1031">
        <v>-5.7107507942736516E-2</v>
      </c>
      <c r="C1031">
        <v>52.079142848514053</v>
      </c>
      <c r="D1031">
        <v>0.65478635285882592</v>
      </c>
      <c r="E1031">
        <f t="shared" si="426"/>
        <v>1.1256832788215043</v>
      </c>
      <c r="F1031">
        <f t="shared" si="427"/>
        <v>1.1540245214074947</v>
      </c>
      <c r="G1031">
        <f t="shared" si="428"/>
        <v>1.9079490964080199</v>
      </c>
      <c r="H1031" s="2" t="e">
        <f t="shared" si="429"/>
        <v>#DIV/0!</v>
      </c>
      <c r="I1031" s="2" t="e">
        <f t="shared" si="430"/>
        <v>#DIV/0!</v>
      </c>
      <c r="J1031" s="2" t="e">
        <f t="shared" si="431"/>
        <v>#DIV/0!</v>
      </c>
      <c r="K1031" s="2" t="e">
        <f t="shared" si="432"/>
        <v>#DIV/0!</v>
      </c>
      <c r="L1031" s="2" t="e">
        <f t="shared" si="433"/>
        <v>#DIV/0!</v>
      </c>
      <c r="M1031" s="2" t="e">
        <f t="shared" si="434"/>
        <v>#DIV/0!</v>
      </c>
      <c r="N1031" s="2" t="e">
        <f t="shared" si="435"/>
        <v>#DIV/0!</v>
      </c>
      <c r="O1031" s="2" t="e">
        <f t="shared" si="436"/>
        <v>#DIV/0!</v>
      </c>
      <c r="P1031" s="2" t="e">
        <f t="shared" si="437"/>
        <v>#DIV/0!</v>
      </c>
      <c r="X1031" s="4">
        <f>DATE(2020,8,18)</f>
        <v>44061</v>
      </c>
      <c r="Y1031">
        <v>24.209720231405917</v>
      </c>
      <c r="Z1031">
        <v>48.987058527074197</v>
      </c>
      <c r="AA1031">
        <v>26.482500000000002</v>
      </c>
      <c r="AB1031">
        <v>8.5112500000000004</v>
      </c>
      <c r="AC1031">
        <f t="shared" si="438"/>
        <v>2.6467545463390975E-3</v>
      </c>
      <c r="AD1031">
        <f t="shared" si="438"/>
        <v>0.12050372559522712</v>
      </c>
      <c r="AE1031">
        <f t="shared" si="439"/>
        <v>0.11785697104888802</v>
      </c>
      <c r="AF1031">
        <f t="shared" si="440"/>
        <v>-4.4532010847697291E-2</v>
      </c>
      <c r="AH1031" t="str">
        <f t="shared" si="441"/>
        <v/>
      </c>
      <c r="AI1031" t="str">
        <f t="shared" si="441"/>
        <v/>
      </c>
      <c r="AJ1031" t="str">
        <f t="shared" si="442"/>
        <v/>
      </c>
      <c r="AK1031" t="str">
        <f t="shared" si="443"/>
        <v/>
      </c>
      <c r="AM1031" t="str">
        <f t="shared" si="444"/>
        <v/>
      </c>
      <c r="AN1031" t="str">
        <f t="shared" si="444"/>
        <v/>
      </c>
      <c r="AO1031" t="str">
        <f t="shared" si="445"/>
        <v/>
      </c>
      <c r="AP1031" t="str">
        <f t="shared" si="446"/>
        <v/>
      </c>
      <c r="AR1031" t="str">
        <f t="shared" si="447"/>
        <v/>
      </c>
      <c r="AS1031" t="str">
        <f t="shared" si="448"/>
        <v/>
      </c>
      <c r="AT1031" t="str">
        <f t="shared" si="449"/>
        <v/>
      </c>
      <c r="AU1031" t="str">
        <f t="shared" si="450"/>
        <v/>
      </c>
    </row>
    <row r="1032" spans="1:47" x14ac:dyDescent="0.25">
      <c r="A1032" s="4">
        <f>DATE(2020,8,17)</f>
        <v>44060</v>
      </c>
      <c r="B1032">
        <v>-0.11170148508092537</v>
      </c>
      <c r="C1032">
        <v>50.322083768538981</v>
      </c>
      <c r="D1032">
        <v>0.53843975339126993</v>
      </c>
      <c r="E1032">
        <f t="shared" si="426"/>
        <v>0.88452811031826928</v>
      </c>
      <c r="F1032">
        <f t="shared" si="427"/>
        <v>0.67432401016959287</v>
      </c>
      <c r="G1032">
        <f t="shared" si="428"/>
        <v>1.5093247970582953</v>
      </c>
      <c r="H1032" s="2" t="e">
        <f t="shared" si="429"/>
        <v>#DIV/0!</v>
      </c>
      <c r="I1032" s="2" t="e">
        <f t="shared" si="430"/>
        <v>#DIV/0!</v>
      </c>
      <c r="J1032" s="2" t="e">
        <f t="shared" si="431"/>
        <v>#DIV/0!</v>
      </c>
      <c r="K1032" s="2" t="e">
        <f t="shared" si="432"/>
        <v>#DIV/0!</v>
      </c>
      <c r="L1032" s="2" t="e">
        <f t="shared" si="433"/>
        <v>#DIV/0!</v>
      </c>
      <c r="M1032" s="2" t="e">
        <f t="shared" si="434"/>
        <v>#DIV/0!</v>
      </c>
      <c r="N1032" s="2" t="e">
        <f t="shared" si="435"/>
        <v>#DIV/0!</v>
      </c>
      <c r="O1032" s="2" t="e">
        <f t="shared" si="436"/>
        <v>#DIV/0!</v>
      </c>
      <c r="P1032" s="2" t="e">
        <f t="shared" si="437"/>
        <v>#DIV/0!</v>
      </c>
      <c r="X1032" s="4">
        <f>DATE(2020,8,17)</f>
        <v>44060</v>
      </c>
      <c r="Y1032">
        <v>22.428922711936863</v>
      </c>
      <c r="Z1032">
        <v>49.922275340537901</v>
      </c>
      <c r="AA1032">
        <v>26.009999999999998</v>
      </c>
      <c r="AB1032">
        <v>8.254999999999999</v>
      </c>
      <c r="AC1032">
        <f t="shared" si="438"/>
        <v>-2.8146847458459127E-2</v>
      </c>
      <c r="AD1032">
        <f t="shared" si="438"/>
        <v>6.1514630112494154E-2</v>
      </c>
      <c r="AE1032">
        <f t="shared" si="439"/>
        <v>8.9661477570953274E-2</v>
      </c>
      <c r="AF1032">
        <f t="shared" si="440"/>
        <v>-0.22797198780194658</v>
      </c>
      <c r="AH1032" t="str">
        <f t="shared" si="441"/>
        <v/>
      </c>
      <c r="AI1032" t="str">
        <f t="shared" si="441"/>
        <v/>
      </c>
      <c r="AJ1032" t="str">
        <f t="shared" si="442"/>
        <v/>
      </c>
      <c r="AK1032" t="str">
        <f t="shared" si="443"/>
        <v/>
      </c>
      <c r="AM1032" t="str">
        <f t="shared" si="444"/>
        <v/>
      </c>
      <c r="AN1032" t="str">
        <f t="shared" si="444"/>
        <v/>
      </c>
      <c r="AO1032" t="str">
        <f t="shared" si="445"/>
        <v/>
      </c>
      <c r="AP1032" t="str">
        <f t="shared" si="446"/>
        <v/>
      </c>
      <c r="AR1032" t="str">
        <f t="shared" si="447"/>
        <v/>
      </c>
      <c r="AS1032" t="str">
        <f t="shared" si="448"/>
        <v/>
      </c>
      <c r="AT1032" t="str">
        <f t="shared" si="449"/>
        <v/>
      </c>
      <c r="AU1032" t="str">
        <f t="shared" si="450"/>
        <v/>
      </c>
    </row>
    <row r="1033" spans="1:47" x14ac:dyDescent="0.25">
      <c r="A1033" s="4">
        <f>DATE(2020,8,14)</f>
        <v>44057</v>
      </c>
      <c r="B1033">
        <v>-0.16394923668408073</v>
      </c>
      <c r="C1033">
        <v>44.076925546074534</v>
      </c>
      <c r="D1033">
        <v>0.16600716077860064</v>
      </c>
      <c r="E1033">
        <f t="shared" si="426"/>
        <v>0.62822387546473146</v>
      </c>
      <c r="F1033">
        <f t="shared" si="427"/>
        <v>-1.2803278464751207</v>
      </c>
      <c r="G1033">
        <f t="shared" si="428"/>
        <v>-0.81693754787742434</v>
      </c>
      <c r="H1033" s="2" t="e">
        <f t="shared" si="429"/>
        <v>#DIV/0!</v>
      </c>
      <c r="I1033" s="2" t="e">
        <f t="shared" si="430"/>
        <v>#DIV/0!</v>
      </c>
      <c r="J1033" s="2" t="e">
        <f t="shared" si="431"/>
        <v>#DIV/0!</v>
      </c>
      <c r="K1033" s="2" t="e">
        <f t="shared" si="432"/>
        <v>#DIV/0!</v>
      </c>
      <c r="L1033" s="2" t="e">
        <f t="shared" si="433"/>
        <v>#DIV/0!</v>
      </c>
      <c r="M1033" s="2" t="e">
        <f t="shared" si="434"/>
        <v>#DIV/0!</v>
      </c>
      <c r="N1033" s="2" t="e">
        <f t="shared" si="435"/>
        <v>#DIV/0!</v>
      </c>
      <c r="O1033" s="2" t="e">
        <f t="shared" si="436"/>
        <v>#DIV/0!</v>
      </c>
      <c r="P1033" s="2" t="e">
        <f t="shared" si="437"/>
        <v>#DIV/0!</v>
      </c>
      <c r="X1033" s="4">
        <f>DATE(2020,8,14)</f>
        <v>44057</v>
      </c>
      <c r="Y1033">
        <v>18.688926508056657</v>
      </c>
      <c r="Z1033">
        <v>47.929261470536375</v>
      </c>
      <c r="AA1033">
        <v>25.3675</v>
      </c>
      <c r="AB1033">
        <v>7.8925000000000001</v>
      </c>
      <c r="AC1033">
        <f t="shared" si="438"/>
        <v>-3.9326839686530377E-2</v>
      </c>
      <c r="AD1033">
        <f t="shared" si="438"/>
        <v>-4.4247859803556947E-3</v>
      </c>
      <c r="AE1033">
        <f t="shared" si="439"/>
        <v>3.4902053706174684E-2</v>
      </c>
      <c r="AF1033">
        <f t="shared" si="440"/>
        <v>-0.57656874473949282</v>
      </c>
      <c r="AH1033" t="str">
        <f t="shared" si="441"/>
        <v/>
      </c>
      <c r="AI1033" t="str">
        <f t="shared" si="441"/>
        <v/>
      </c>
      <c r="AJ1033" t="str">
        <f t="shared" si="442"/>
        <v/>
      </c>
      <c r="AK1033" t="str">
        <f t="shared" si="443"/>
        <v/>
      </c>
      <c r="AM1033" t="str">
        <f t="shared" si="444"/>
        <v/>
      </c>
      <c r="AN1033" t="str">
        <f t="shared" si="444"/>
        <v/>
      </c>
      <c r="AO1033" t="str">
        <f t="shared" si="445"/>
        <v/>
      </c>
      <c r="AP1033" t="str">
        <f t="shared" si="446"/>
        <v/>
      </c>
      <c r="AR1033" t="str">
        <f t="shared" si="447"/>
        <v/>
      </c>
      <c r="AS1033" t="str">
        <f t="shared" si="448"/>
        <v/>
      </c>
      <c r="AT1033" t="str">
        <f t="shared" si="449"/>
        <v/>
      </c>
      <c r="AU1033" t="str">
        <f t="shared" si="450"/>
        <v/>
      </c>
    </row>
    <row r="1034" spans="1:47" x14ac:dyDescent="0.25">
      <c r="A1034" s="4">
        <f>DATE(2020,8,13)</f>
        <v>44056</v>
      </c>
      <c r="B1034">
        <v>-0.15045392024902696</v>
      </c>
      <c r="C1034">
        <v>43.67604745187068</v>
      </c>
      <c r="D1034">
        <v>0.13998143947461492</v>
      </c>
      <c r="E1034">
        <f t="shared" si="426"/>
        <v>0.73692245070046625</v>
      </c>
      <c r="F1034">
        <f t="shared" si="427"/>
        <v>-1.5449230930859463</v>
      </c>
      <c r="G1034">
        <f t="shared" si="428"/>
        <v>-1.0397749912050502</v>
      </c>
      <c r="H1034" s="2" t="e">
        <f t="shared" si="429"/>
        <v>#DIV/0!</v>
      </c>
      <c r="I1034" s="2" t="e">
        <f t="shared" si="430"/>
        <v>#DIV/0!</v>
      </c>
      <c r="J1034" s="2" t="e">
        <f t="shared" si="431"/>
        <v>#DIV/0!</v>
      </c>
      <c r="K1034" s="2" t="e">
        <f t="shared" si="432"/>
        <v>#DIV/0!</v>
      </c>
      <c r="L1034" s="2" t="e">
        <f t="shared" si="433"/>
        <v>#DIV/0!</v>
      </c>
      <c r="M1034" s="2" t="e">
        <f t="shared" si="434"/>
        <v>#DIV/0!</v>
      </c>
      <c r="N1034" s="2" t="e">
        <f t="shared" si="435"/>
        <v>#DIV/0!</v>
      </c>
      <c r="O1034" s="2" t="e">
        <f t="shared" si="436"/>
        <v>#DIV/0!</v>
      </c>
      <c r="P1034" s="2" t="e">
        <f t="shared" si="437"/>
        <v>#DIV/0!</v>
      </c>
      <c r="X1034" s="4">
        <f>DATE(2020,8,13)</f>
        <v>44056</v>
      </c>
      <c r="Y1034">
        <v>19.519907245213677</v>
      </c>
      <c r="Z1034">
        <v>42.972553717989719</v>
      </c>
      <c r="AA1034">
        <v>25.5975</v>
      </c>
      <c r="AB1034">
        <v>7.3462499999999995</v>
      </c>
      <c r="AC1034">
        <f t="shared" si="438"/>
        <v>-3.9168122500130881E-2</v>
      </c>
      <c r="AD1034">
        <f t="shared" si="438"/>
        <v>-7.2039668762882231E-2</v>
      </c>
      <c r="AE1034">
        <f t="shared" si="439"/>
        <v>-3.287154626275135E-2</v>
      </c>
      <c r="AF1034">
        <f t="shared" si="440"/>
        <v>-1.0361315874015122</v>
      </c>
      <c r="AH1034" t="str">
        <f t="shared" si="441"/>
        <v/>
      </c>
      <c r="AI1034" t="str">
        <f t="shared" si="441"/>
        <v/>
      </c>
      <c r="AJ1034" t="str">
        <f t="shared" si="442"/>
        <v/>
      </c>
      <c r="AK1034" t="str">
        <f t="shared" si="443"/>
        <v/>
      </c>
      <c r="AM1034" t="str">
        <f t="shared" si="444"/>
        <v/>
      </c>
      <c r="AN1034" t="str">
        <f t="shared" si="444"/>
        <v/>
      </c>
      <c r="AO1034" t="str">
        <f t="shared" si="445"/>
        <v/>
      </c>
      <c r="AP1034" t="str">
        <f t="shared" si="446"/>
        <v/>
      </c>
      <c r="AR1034" t="str">
        <f t="shared" si="447"/>
        <v/>
      </c>
      <c r="AS1034" t="str">
        <f t="shared" si="448"/>
        <v/>
      </c>
      <c r="AT1034" t="str">
        <f t="shared" si="449"/>
        <v/>
      </c>
      <c r="AU1034" t="str">
        <f t="shared" si="450"/>
        <v/>
      </c>
    </row>
    <row r="1035" spans="1:47" x14ac:dyDescent="0.25">
      <c r="A1035" s="4">
        <f>DATE(2020,8,12)</f>
        <v>44055</v>
      </c>
      <c r="B1035">
        <v>-0.1121934011011911</v>
      </c>
      <c r="C1035">
        <v>47.05938699888933</v>
      </c>
      <c r="D1035">
        <v>0.32389128116843535</v>
      </c>
      <c r="E1035">
        <f t="shared" si="426"/>
        <v>0.9984349986975305</v>
      </c>
      <c r="F1035">
        <f t="shared" si="427"/>
        <v>-0.59499436572199649</v>
      </c>
      <c r="G1035">
        <f t="shared" si="428"/>
        <v>0.11001516933147937</v>
      </c>
      <c r="H1035" s="2" t="e">
        <f t="shared" si="429"/>
        <v>#DIV/0!</v>
      </c>
      <c r="I1035" s="2" t="e">
        <f t="shared" si="430"/>
        <v>#DIV/0!</v>
      </c>
      <c r="J1035" s="2" t="e">
        <f t="shared" si="431"/>
        <v>#DIV/0!</v>
      </c>
      <c r="K1035" s="2" t="e">
        <f t="shared" si="432"/>
        <v>#DIV/0!</v>
      </c>
      <c r="L1035" s="2" t="e">
        <f t="shared" si="433"/>
        <v>#DIV/0!</v>
      </c>
      <c r="M1035" s="2" t="e">
        <f t="shared" si="434"/>
        <v>#DIV/0!</v>
      </c>
      <c r="N1035" s="2" t="e">
        <f t="shared" si="435"/>
        <v>#DIV/0!</v>
      </c>
      <c r="O1035" s="2" t="e">
        <f t="shared" si="436"/>
        <v>#DIV/0!</v>
      </c>
      <c r="P1035" s="2" t="e">
        <f t="shared" si="437"/>
        <v>#DIV/0!</v>
      </c>
      <c r="X1035" s="4">
        <f>DATE(2020,8,12)</f>
        <v>44055</v>
      </c>
      <c r="Y1035">
        <v>20.903552813831265</v>
      </c>
      <c r="Z1035">
        <v>39.848939564302547</v>
      </c>
      <c r="AA1035">
        <v>25.897500000000001</v>
      </c>
      <c r="AB1035">
        <v>7.1287500000000001</v>
      </c>
      <c r="AC1035">
        <f t="shared" si="438"/>
        <v>-3.2201101033093212E-2</v>
      </c>
      <c r="AD1035">
        <f t="shared" si="438"/>
        <v>-2.8010129931037062E-2</v>
      </c>
      <c r="AE1035">
        <f t="shared" si="439"/>
        <v>4.1909711020561499E-3</v>
      </c>
      <c r="AF1035">
        <f t="shared" si="440"/>
        <v>-0.98320480099923746</v>
      </c>
      <c r="AH1035" t="str">
        <f t="shared" si="441"/>
        <v/>
      </c>
      <c r="AI1035" t="str">
        <f t="shared" si="441"/>
        <v/>
      </c>
      <c r="AJ1035" t="str">
        <f t="shared" si="442"/>
        <v/>
      </c>
      <c r="AK1035" t="str">
        <f t="shared" si="443"/>
        <v/>
      </c>
      <c r="AM1035" t="str">
        <f t="shared" si="444"/>
        <v/>
      </c>
      <c r="AN1035" t="str">
        <f t="shared" si="444"/>
        <v/>
      </c>
      <c r="AO1035" t="str">
        <f t="shared" si="445"/>
        <v/>
      </c>
      <c r="AP1035" t="str">
        <f t="shared" si="446"/>
        <v/>
      </c>
      <c r="AR1035" t="str">
        <f t="shared" si="447"/>
        <v/>
      </c>
      <c r="AS1035" t="str">
        <f t="shared" si="448"/>
        <v/>
      </c>
      <c r="AT1035" t="str">
        <f t="shared" si="449"/>
        <v/>
      </c>
      <c r="AU1035" t="str">
        <f t="shared" si="450"/>
        <v/>
      </c>
    </row>
    <row r="1036" spans="1:47" x14ac:dyDescent="0.25">
      <c r="A1036" s="4">
        <f>DATE(2020,8,11)</f>
        <v>44054</v>
      </c>
      <c r="B1036">
        <v>-9.8240756490906161E-2</v>
      </c>
      <c r="C1036">
        <v>48.480089753077813</v>
      </c>
      <c r="D1036">
        <v>0.39240151750400487</v>
      </c>
      <c r="E1036">
        <f t="shared" si="426"/>
        <v>1.1654558607225183</v>
      </c>
      <c r="F1036">
        <f t="shared" si="427"/>
        <v>-0.1411349684075007</v>
      </c>
      <c r="G1036">
        <f t="shared" si="428"/>
        <v>0.55578785394002184</v>
      </c>
      <c r="H1036" s="2" t="e">
        <f t="shared" si="429"/>
        <v>#DIV/0!</v>
      </c>
      <c r="I1036" s="2" t="e">
        <f t="shared" si="430"/>
        <v>#DIV/0!</v>
      </c>
      <c r="J1036" s="2" t="e">
        <f t="shared" si="431"/>
        <v>#DIV/0!</v>
      </c>
      <c r="K1036" s="2" t="e">
        <f t="shared" si="432"/>
        <v>#DIV/0!</v>
      </c>
      <c r="L1036" s="2" t="e">
        <f t="shared" si="433"/>
        <v>#DIV/0!</v>
      </c>
      <c r="M1036" s="2" t="e">
        <f t="shared" si="434"/>
        <v>#DIV/0!</v>
      </c>
      <c r="N1036" s="2" t="e">
        <f t="shared" si="435"/>
        <v>#DIV/0!</v>
      </c>
      <c r="O1036" s="2" t="e">
        <f t="shared" si="436"/>
        <v>#DIV/0!</v>
      </c>
      <c r="P1036" s="2" t="e">
        <f t="shared" si="437"/>
        <v>#DIV/0!</v>
      </c>
      <c r="X1036" s="4">
        <f>DATE(2020,8,11)</f>
        <v>44054</v>
      </c>
      <c r="Y1036">
        <v>21.768950744130272</v>
      </c>
      <c r="Z1036">
        <v>42.851571493940746</v>
      </c>
      <c r="AA1036">
        <v>26.412500000000001</v>
      </c>
      <c r="AB1036">
        <v>7.5449999999999999</v>
      </c>
      <c r="AC1036">
        <f t="shared" si="438"/>
        <v>-9.045571900318003E-3</v>
      </c>
      <c r="AD1036">
        <f t="shared" si="438"/>
        <v>3.0787190596518639E-2</v>
      </c>
      <c r="AE1036">
        <f t="shared" si="439"/>
        <v>3.9832762496836642E-2</v>
      </c>
      <c r="AF1036">
        <f t="shared" si="440"/>
        <v>-0.96172411717376538</v>
      </c>
      <c r="AH1036" t="str">
        <f t="shared" si="441"/>
        <v/>
      </c>
      <c r="AI1036" t="str">
        <f t="shared" si="441"/>
        <v/>
      </c>
      <c r="AJ1036" t="str">
        <f t="shared" si="442"/>
        <v/>
      </c>
      <c r="AK1036" t="str">
        <f t="shared" si="443"/>
        <v/>
      </c>
      <c r="AM1036" t="str">
        <f t="shared" si="444"/>
        <v/>
      </c>
      <c r="AN1036" t="str">
        <f t="shared" si="444"/>
        <v/>
      </c>
      <c r="AO1036" t="str">
        <f t="shared" si="445"/>
        <v/>
      </c>
      <c r="AP1036" t="str">
        <f t="shared" si="446"/>
        <v/>
      </c>
      <c r="AR1036" t="str">
        <f t="shared" si="447"/>
        <v/>
      </c>
      <c r="AS1036" t="str">
        <f t="shared" si="448"/>
        <v/>
      </c>
      <c r="AT1036" t="str">
        <f t="shared" si="449"/>
        <v/>
      </c>
      <c r="AU1036" t="str">
        <f t="shared" si="450"/>
        <v/>
      </c>
    </row>
    <row r="1037" spans="1:47" x14ac:dyDescent="0.25">
      <c r="A1037" s="4">
        <f>DATE(2020,8,10)</f>
        <v>44053</v>
      </c>
      <c r="B1037">
        <v>-9.2063873544682762E-2</v>
      </c>
      <c r="C1037">
        <v>51.920343641211929</v>
      </c>
      <c r="D1037">
        <v>0.50193305208827033</v>
      </c>
      <c r="E1037">
        <f t="shared" si="426"/>
        <v>1.339426168774988</v>
      </c>
      <c r="F1037">
        <f t="shared" si="427"/>
        <v>0.97649686905789179</v>
      </c>
      <c r="G1037">
        <f t="shared" si="428"/>
        <v>1.270897951106803</v>
      </c>
      <c r="H1037" s="2" t="e">
        <f t="shared" si="429"/>
        <v>#DIV/0!</v>
      </c>
      <c r="I1037" s="2" t="e">
        <f t="shared" si="430"/>
        <v>#DIV/0!</v>
      </c>
      <c r="J1037" s="2" t="e">
        <f t="shared" si="431"/>
        <v>#DIV/0!</v>
      </c>
      <c r="K1037" s="2" t="e">
        <f t="shared" si="432"/>
        <v>#DIV/0!</v>
      </c>
      <c r="L1037" s="2" t="e">
        <f t="shared" si="433"/>
        <v>#DIV/0!</v>
      </c>
      <c r="M1037" s="2" t="e">
        <f t="shared" si="434"/>
        <v>#DIV/0!</v>
      </c>
      <c r="N1037" s="2" t="e">
        <f t="shared" si="435"/>
        <v>#DIV/0!</v>
      </c>
      <c r="O1037" s="2" t="e">
        <f t="shared" si="436"/>
        <v>#DIV/0!</v>
      </c>
      <c r="P1037" s="2" t="e">
        <f t="shared" si="437"/>
        <v>#DIV/0!</v>
      </c>
      <c r="X1037" s="4">
        <f>DATE(2020,8,10)</f>
        <v>44053</v>
      </c>
      <c r="Y1037">
        <v>23.342981844662816</v>
      </c>
      <c r="Z1037">
        <v>46.969427541645445</v>
      </c>
      <c r="AA1037">
        <v>26.752500000000001</v>
      </c>
      <c r="AB1037">
        <v>7.7624999999999993</v>
      </c>
      <c r="AC1037">
        <f t="shared" si="438"/>
        <v>2.5842698973608903E-2</v>
      </c>
      <c r="AD1037">
        <f t="shared" si="438"/>
        <v>0.14235790155598016</v>
      </c>
      <c r="AE1037">
        <f t="shared" si="439"/>
        <v>0.11651520258237126</v>
      </c>
      <c r="AF1037">
        <f t="shared" si="440"/>
        <v>-0.61956855574047598</v>
      </c>
      <c r="AH1037" t="str">
        <f t="shared" si="441"/>
        <v/>
      </c>
      <c r="AI1037" t="str">
        <f t="shared" si="441"/>
        <v/>
      </c>
      <c r="AJ1037" t="str">
        <f t="shared" si="442"/>
        <v/>
      </c>
      <c r="AK1037" t="str">
        <f t="shared" si="443"/>
        <v/>
      </c>
      <c r="AM1037" t="str">
        <f t="shared" si="444"/>
        <v/>
      </c>
      <c r="AN1037" t="str">
        <f t="shared" si="444"/>
        <v/>
      </c>
      <c r="AO1037" t="str">
        <f t="shared" si="445"/>
        <v/>
      </c>
      <c r="AP1037" t="str">
        <f t="shared" si="446"/>
        <v/>
      </c>
      <c r="AR1037" t="str">
        <f t="shared" si="447"/>
        <v/>
      </c>
      <c r="AS1037" t="str">
        <f t="shared" si="448"/>
        <v/>
      </c>
      <c r="AT1037" t="str">
        <f t="shared" si="449"/>
        <v/>
      </c>
      <c r="AU1037" t="str">
        <f t="shared" si="450"/>
        <v/>
      </c>
    </row>
    <row r="1038" spans="1:47" x14ac:dyDescent="0.25">
      <c r="A1038" s="4">
        <f>DATE(2020,8,7)</f>
        <v>44050</v>
      </c>
      <c r="B1038">
        <v>-0.12971220636062672</v>
      </c>
      <c r="C1038">
        <v>50.086093280614747</v>
      </c>
      <c r="D1038">
        <v>0.41263984215959865</v>
      </c>
      <c r="E1038">
        <f t="shared" si="426"/>
        <v>1.3262590336153763</v>
      </c>
      <c r="F1038">
        <f t="shared" si="427"/>
        <v>0.47645361727496521</v>
      </c>
      <c r="G1038">
        <f t="shared" si="428"/>
        <v>0.87938799835723036</v>
      </c>
      <c r="H1038" s="2" t="e">
        <f t="shared" si="429"/>
        <v>#DIV/0!</v>
      </c>
      <c r="I1038" s="2" t="e">
        <f t="shared" si="430"/>
        <v>#DIV/0!</v>
      </c>
      <c r="J1038" s="2" t="e">
        <f t="shared" si="431"/>
        <v>#DIV/0!</v>
      </c>
      <c r="K1038" s="2" t="e">
        <f t="shared" si="432"/>
        <v>#DIV/0!</v>
      </c>
      <c r="L1038" s="2" t="e">
        <f t="shared" si="433"/>
        <v>#DIV/0!</v>
      </c>
      <c r="M1038" s="2" t="e">
        <f t="shared" si="434"/>
        <v>#DIV/0!</v>
      </c>
      <c r="N1038" s="2" t="e">
        <f t="shared" si="435"/>
        <v>#DIV/0!</v>
      </c>
      <c r="O1038" s="2" t="e">
        <f t="shared" si="436"/>
        <v>#DIV/0!</v>
      </c>
      <c r="P1038" s="2" t="e">
        <f t="shared" si="437"/>
        <v>#DIV/0!</v>
      </c>
      <c r="X1038" s="4">
        <f>DATE(2020,8,7)</f>
        <v>44050</v>
      </c>
      <c r="Y1038">
        <v>21.237760485880905</v>
      </c>
      <c r="Z1038">
        <v>53.277708177238992</v>
      </c>
      <c r="AA1038">
        <v>26.385000000000002</v>
      </c>
      <c r="AB1038">
        <v>7.9275000000000002</v>
      </c>
      <c r="AC1038">
        <f t="shared" si="438"/>
        <v>7.0362560905800012E-3</v>
      </c>
      <c r="AD1038">
        <f t="shared" si="438"/>
        <v>0.27545813086606663</v>
      </c>
      <c r="AE1038">
        <f t="shared" si="439"/>
        <v>0.26842187477548662</v>
      </c>
      <c r="AF1038">
        <f t="shared" si="440"/>
        <v>2.1508593386833832</v>
      </c>
      <c r="AH1038" t="str">
        <f t="shared" si="441"/>
        <v/>
      </c>
      <c r="AI1038" t="str">
        <f t="shared" si="441"/>
        <v/>
      </c>
      <c r="AJ1038" t="str">
        <f t="shared" si="442"/>
        <v/>
      </c>
      <c r="AK1038" t="str">
        <f t="shared" si="443"/>
        <v/>
      </c>
      <c r="AM1038" t="str">
        <f t="shared" si="444"/>
        <v/>
      </c>
      <c r="AN1038" t="str">
        <f t="shared" si="444"/>
        <v/>
      </c>
      <c r="AO1038" t="str">
        <f t="shared" si="445"/>
        <v/>
      </c>
      <c r="AP1038" t="str">
        <f t="shared" si="446"/>
        <v/>
      </c>
      <c r="AR1038" t="str">
        <f t="shared" si="447"/>
        <v/>
      </c>
      <c r="AS1038" t="str">
        <f t="shared" si="448"/>
        <v/>
      </c>
      <c r="AT1038" t="str">
        <f t="shared" si="449"/>
        <v/>
      </c>
      <c r="AU1038" t="str">
        <f t="shared" si="450"/>
        <v/>
      </c>
    </row>
    <row r="1039" spans="1:47" x14ac:dyDescent="0.25">
      <c r="A1039" s="4">
        <f>DATE(2020,8,6)</f>
        <v>44049</v>
      </c>
      <c r="B1039">
        <v>-0.15199450766714234</v>
      </c>
      <c r="C1039">
        <v>49.902502077638495</v>
      </c>
      <c r="D1039">
        <v>0.38715449401375135</v>
      </c>
      <c r="E1039">
        <f t="shared" si="426"/>
        <v>1.4227485064097869</v>
      </c>
      <c r="F1039">
        <f t="shared" si="427"/>
        <v>0.44877108620464978</v>
      </c>
      <c r="G1039">
        <f t="shared" si="428"/>
        <v>0.80362652329898532</v>
      </c>
      <c r="H1039" s="2" t="e">
        <f t="shared" si="429"/>
        <v>#DIV/0!</v>
      </c>
      <c r="I1039" s="2" t="e">
        <f t="shared" si="430"/>
        <v>#DIV/0!</v>
      </c>
      <c r="J1039" s="2" t="e">
        <f t="shared" si="431"/>
        <v>#DIV/0!</v>
      </c>
      <c r="K1039" s="2" t="e">
        <f t="shared" si="432"/>
        <v>#DIV/0!</v>
      </c>
      <c r="L1039" s="2" t="e">
        <f t="shared" si="433"/>
        <v>#DIV/0!</v>
      </c>
      <c r="M1039" s="2" t="e">
        <f t="shared" si="434"/>
        <v>#DIV/0!</v>
      </c>
      <c r="N1039" s="2" t="e">
        <f t="shared" si="435"/>
        <v>#DIV/0!</v>
      </c>
      <c r="O1039" s="2" t="e">
        <f t="shared" si="436"/>
        <v>#DIV/0!</v>
      </c>
      <c r="P1039" s="2" t="e">
        <f t="shared" si="437"/>
        <v>#DIV/0!</v>
      </c>
      <c r="X1039" s="4">
        <f>DATE(2020,8,6)</f>
        <v>44049</v>
      </c>
      <c r="Y1039">
        <v>22.350080518658586</v>
      </c>
      <c r="Z1039">
        <v>54.314417372127011</v>
      </c>
      <c r="AA1039">
        <v>26.62</v>
      </c>
      <c r="AB1039">
        <v>7.8949999999999996</v>
      </c>
      <c r="AC1039">
        <f t="shared" si="438"/>
        <v>3.7996819291546149E-2</v>
      </c>
      <c r="AD1039">
        <f t="shared" si="438"/>
        <v>0.40752549397058696</v>
      </c>
      <c r="AE1039">
        <f t="shared" si="439"/>
        <v>0.36952867467904082</v>
      </c>
      <c r="AF1039">
        <f t="shared" si="440"/>
        <v>6.5067700333076557</v>
      </c>
      <c r="AH1039" t="str">
        <f t="shared" si="441"/>
        <v/>
      </c>
      <c r="AI1039" t="str">
        <f t="shared" si="441"/>
        <v/>
      </c>
      <c r="AJ1039" t="str">
        <f t="shared" si="442"/>
        <v/>
      </c>
      <c r="AK1039" t="str">
        <f t="shared" si="443"/>
        <v/>
      </c>
      <c r="AM1039" t="str">
        <f t="shared" si="444"/>
        <v/>
      </c>
      <c r="AN1039" t="str">
        <f t="shared" si="444"/>
        <v/>
      </c>
      <c r="AO1039" t="str">
        <f t="shared" si="445"/>
        <v/>
      </c>
      <c r="AP1039" t="str">
        <f t="shared" si="446"/>
        <v/>
      </c>
      <c r="AR1039" t="str">
        <f t="shared" si="447"/>
        <v/>
      </c>
      <c r="AS1039" t="str">
        <f t="shared" si="448"/>
        <v/>
      </c>
      <c r="AT1039" t="str">
        <f t="shared" si="449"/>
        <v/>
      </c>
      <c r="AU1039" t="str">
        <f t="shared" si="450"/>
        <v/>
      </c>
    </row>
    <row r="1040" spans="1:47" x14ac:dyDescent="0.25">
      <c r="A1040" s="4">
        <f>DATE(2020,8,5)</f>
        <v>44048</v>
      </c>
      <c r="B1040">
        <v>-0.17484172520558747</v>
      </c>
      <c r="C1040">
        <v>52.159012390097331</v>
      </c>
      <c r="D1040">
        <v>0.44192344874908002</v>
      </c>
      <c r="E1040">
        <f t="shared" si="426"/>
        <v>1.6029365585072148</v>
      </c>
      <c r="F1040">
        <f t="shared" si="427"/>
        <v>1.1496255635761217</v>
      </c>
      <c r="G1040">
        <f t="shared" si="428"/>
        <v>1.2347570414587914</v>
      </c>
      <c r="H1040" s="2" t="e">
        <f t="shared" si="429"/>
        <v>#DIV/0!</v>
      </c>
      <c r="I1040" s="2" t="e">
        <f t="shared" si="430"/>
        <v>#DIV/0!</v>
      </c>
      <c r="J1040" s="2" t="e">
        <f t="shared" si="431"/>
        <v>#DIV/0!</v>
      </c>
      <c r="K1040" s="2" t="e">
        <f t="shared" si="432"/>
        <v>#DIV/0!</v>
      </c>
      <c r="L1040" s="2" t="e">
        <f t="shared" si="433"/>
        <v>#DIV/0!</v>
      </c>
      <c r="M1040" s="2" t="e">
        <f t="shared" si="434"/>
        <v>#DIV/0!</v>
      </c>
      <c r="N1040" s="2" t="e">
        <f t="shared" si="435"/>
        <v>#DIV/0!</v>
      </c>
      <c r="O1040" s="2" t="e">
        <f t="shared" si="436"/>
        <v>#DIV/0!</v>
      </c>
      <c r="P1040" s="2" t="e">
        <f t="shared" si="437"/>
        <v>#DIV/0!</v>
      </c>
      <c r="X1040" s="4">
        <f>DATE(2020,8,5)</f>
        <v>44048</v>
      </c>
      <c r="Y1040">
        <v>20.802767895448866</v>
      </c>
      <c r="Z1040">
        <v>49.827875581532865</v>
      </c>
      <c r="AA1040">
        <v>26.744999999999997</v>
      </c>
      <c r="AB1040">
        <v>7.3312500000000007</v>
      </c>
      <c r="AC1040">
        <f t="shared" si="438"/>
        <v>2.6905753368350844E-2</v>
      </c>
      <c r="AD1040">
        <f t="shared" si="438"/>
        <v>0.3519364623187945</v>
      </c>
      <c r="AE1040">
        <f t="shared" si="439"/>
        <v>0.32503070895044367</v>
      </c>
      <c r="AF1040">
        <f t="shared" si="440"/>
        <v>6.658227177483325</v>
      </c>
      <c r="AH1040" t="str">
        <f t="shared" si="441"/>
        <v/>
      </c>
      <c r="AI1040" t="str">
        <f t="shared" si="441"/>
        <v/>
      </c>
      <c r="AJ1040" t="str">
        <f t="shared" si="442"/>
        <v/>
      </c>
      <c r="AK1040" t="str">
        <f t="shared" si="443"/>
        <v/>
      </c>
      <c r="AM1040" t="str">
        <f t="shared" si="444"/>
        <v/>
      </c>
      <c r="AN1040" t="str">
        <f t="shared" si="444"/>
        <v/>
      </c>
      <c r="AO1040" t="str">
        <f t="shared" si="445"/>
        <v/>
      </c>
      <c r="AP1040" t="str">
        <f t="shared" si="446"/>
        <v/>
      </c>
      <c r="AR1040" t="str">
        <f t="shared" si="447"/>
        <v/>
      </c>
      <c r="AS1040" t="str">
        <f t="shared" si="448"/>
        <v/>
      </c>
      <c r="AT1040" t="str">
        <f t="shared" si="449"/>
        <v/>
      </c>
      <c r="AU1040" t="str">
        <f t="shared" si="450"/>
        <v/>
      </c>
    </row>
    <row r="1041" spans="1:47" x14ac:dyDescent="0.25">
      <c r="A1041" s="4">
        <f>DATE(2020,8,4)</f>
        <v>44047</v>
      </c>
      <c r="B1041">
        <v>-0.23897754456601583</v>
      </c>
      <c r="C1041">
        <v>52.507122140086921</v>
      </c>
      <c r="D1041">
        <v>0.43339472979612931</v>
      </c>
      <c r="E1041">
        <f t="shared" si="426"/>
        <v>1.6554229040633632</v>
      </c>
      <c r="F1041">
        <f t="shared" si="427"/>
        <v>1.4817293316243283</v>
      </c>
      <c r="G1041">
        <f t="shared" si="428"/>
        <v>1.4496334573620124</v>
      </c>
      <c r="H1041" s="2" t="e">
        <f t="shared" si="429"/>
        <v>#DIV/0!</v>
      </c>
      <c r="I1041" s="2" t="e">
        <f t="shared" si="430"/>
        <v>#DIV/0!</v>
      </c>
      <c r="J1041" s="2" t="e">
        <f t="shared" si="431"/>
        <v>#DIV/0!</v>
      </c>
      <c r="K1041" s="2" t="e">
        <f t="shared" si="432"/>
        <v>#DIV/0!</v>
      </c>
      <c r="L1041" s="2" t="e">
        <f t="shared" si="433"/>
        <v>#DIV/0!</v>
      </c>
      <c r="M1041" s="2" t="e">
        <f t="shared" si="434"/>
        <v>#DIV/0!</v>
      </c>
      <c r="N1041" s="2" t="e">
        <f t="shared" si="435"/>
        <v>#DIV/0!</v>
      </c>
      <c r="O1041" s="2" t="e">
        <f t="shared" si="436"/>
        <v>#DIV/0!</v>
      </c>
      <c r="P1041" s="2" t="e">
        <f t="shared" si="437"/>
        <v>#DIV/0!</v>
      </c>
      <c r="X1041" s="4">
        <f>DATE(2020,8,4)</f>
        <v>44047</v>
      </c>
      <c r="Y1041">
        <v>21.124759961518969</v>
      </c>
      <c r="Z1041">
        <v>51.140973260088693</v>
      </c>
      <c r="AA1041">
        <v>26.6525</v>
      </c>
      <c r="AB1041">
        <v>7.3162500000000001</v>
      </c>
      <c r="AC1041">
        <f t="shared" si="438"/>
        <v>4.0583615030704269E-2</v>
      </c>
      <c r="AD1041">
        <f t="shared" si="438"/>
        <v>0.39729763034221643</v>
      </c>
      <c r="AE1041">
        <f t="shared" si="439"/>
        <v>0.35671401531151214</v>
      </c>
      <c r="AF1041">
        <f t="shared" si="440"/>
        <v>6.3236100109683395</v>
      </c>
      <c r="AH1041" t="str">
        <f t="shared" si="441"/>
        <v/>
      </c>
      <c r="AI1041" t="str">
        <f t="shared" si="441"/>
        <v/>
      </c>
      <c r="AJ1041" t="str">
        <f t="shared" si="442"/>
        <v/>
      </c>
      <c r="AK1041" t="str">
        <f t="shared" si="443"/>
        <v/>
      </c>
      <c r="AM1041" t="str">
        <f t="shared" si="444"/>
        <v/>
      </c>
      <c r="AN1041" t="str">
        <f t="shared" si="444"/>
        <v/>
      </c>
      <c r="AO1041" t="str">
        <f t="shared" si="445"/>
        <v/>
      </c>
      <c r="AP1041" t="str">
        <f t="shared" si="446"/>
        <v/>
      </c>
      <c r="AR1041" t="str">
        <f t="shared" si="447"/>
        <v/>
      </c>
      <c r="AS1041" t="str">
        <f t="shared" si="448"/>
        <v/>
      </c>
      <c r="AT1041" t="str">
        <f t="shared" si="449"/>
        <v/>
      </c>
      <c r="AU1041" t="str">
        <f t="shared" si="450"/>
        <v/>
      </c>
    </row>
    <row r="1042" spans="1:47" x14ac:dyDescent="0.25">
      <c r="A1042" s="4">
        <f>DATE(2020,8,3)</f>
        <v>44046</v>
      </c>
      <c r="B1042">
        <v>-0.3316773345784772</v>
      </c>
      <c r="C1042">
        <v>48.805682317492419</v>
      </c>
      <c r="D1042">
        <v>0.29629917319262755</v>
      </c>
      <c r="E1042">
        <f t="shared" si="426"/>
        <v>1.4779864843512847</v>
      </c>
      <c r="F1042">
        <f t="shared" si="427"/>
        <v>0.69793253348282591</v>
      </c>
      <c r="G1042">
        <f t="shared" si="428"/>
        <v>0.90347897722294546</v>
      </c>
      <c r="H1042" s="2" t="e">
        <f t="shared" si="429"/>
        <v>#DIV/0!</v>
      </c>
      <c r="I1042" s="2" t="e">
        <f t="shared" si="430"/>
        <v>#DIV/0!</v>
      </c>
      <c r="J1042" s="2" t="e">
        <f t="shared" si="431"/>
        <v>#DIV/0!</v>
      </c>
      <c r="K1042" s="2" t="e">
        <f t="shared" si="432"/>
        <v>#DIV/0!</v>
      </c>
      <c r="L1042" s="2" t="e">
        <f t="shared" si="433"/>
        <v>#DIV/0!</v>
      </c>
      <c r="M1042" s="2" t="e">
        <f t="shared" si="434"/>
        <v>#DIV/0!</v>
      </c>
      <c r="N1042" s="2" t="e">
        <f t="shared" si="435"/>
        <v>#DIV/0!</v>
      </c>
      <c r="O1042" s="2" t="e">
        <f t="shared" si="436"/>
        <v>#DIV/0!</v>
      </c>
      <c r="P1042" s="2" t="e">
        <f t="shared" si="437"/>
        <v>#DIV/0!</v>
      </c>
      <c r="X1042" s="4">
        <f>DATE(2020,8,3)</f>
        <v>44046</v>
      </c>
      <c r="Y1042">
        <v>19.779407625989069</v>
      </c>
      <c r="Z1042">
        <v>48.790680497521571</v>
      </c>
      <c r="AA1042">
        <v>26.07</v>
      </c>
      <c r="AB1042">
        <v>6.7324999999999999</v>
      </c>
      <c r="AC1042">
        <f t="shared" si="438"/>
        <v>2.8302399670992746E-2</v>
      </c>
      <c r="AD1042">
        <f t="shared" si="438"/>
        <v>0.32977359385679189</v>
      </c>
      <c r="AE1042">
        <f t="shared" si="439"/>
        <v>0.30147119418579915</v>
      </c>
      <c r="AF1042" t="str">
        <f t="shared" si="440"/>
        <v/>
      </c>
      <c r="AH1042" t="str">
        <f t="shared" si="441"/>
        <v/>
      </c>
      <c r="AI1042" t="str">
        <f t="shared" si="441"/>
        <v/>
      </c>
      <c r="AJ1042" t="str">
        <f t="shared" si="442"/>
        <v/>
      </c>
      <c r="AK1042" t="str">
        <f t="shared" si="443"/>
        <v/>
      </c>
      <c r="AM1042" t="str">
        <f t="shared" si="444"/>
        <v/>
      </c>
      <c r="AN1042" t="str">
        <f t="shared" si="444"/>
        <v/>
      </c>
      <c r="AO1042" t="str">
        <f t="shared" si="445"/>
        <v/>
      </c>
      <c r="AP1042" t="str">
        <f t="shared" si="446"/>
        <v/>
      </c>
      <c r="AR1042" t="str">
        <f t="shared" si="447"/>
        <v/>
      </c>
      <c r="AS1042" t="str">
        <f t="shared" si="448"/>
        <v/>
      </c>
      <c r="AT1042" t="str">
        <f t="shared" si="449"/>
        <v/>
      </c>
      <c r="AU1042" t="str">
        <f t="shared" si="450"/>
        <v/>
      </c>
    </row>
    <row r="1043" spans="1:47" x14ac:dyDescent="0.25">
      <c r="A1043" s="4">
        <f>DATE(2020,7,31)</f>
        <v>44043</v>
      </c>
      <c r="B1043">
        <v>-0.38568375912860964</v>
      </c>
      <c r="C1043">
        <v>49.574474325194323</v>
      </c>
      <c r="D1043">
        <v>0.29946973227429452</v>
      </c>
      <c r="E1043">
        <f t="shared" si="426"/>
        <v>1.467718654269021</v>
      </c>
      <c r="F1043">
        <f t="shared" si="427"/>
        <v>1.0712605975519043</v>
      </c>
      <c r="G1043">
        <f t="shared" si="428"/>
        <v>1.1068807689860094</v>
      </c>
      <c r="H1043" s="2" t="e">
        <f t="shared" si="429"/>
        <v>#DIV/0!</v>
      </c>
      <c r="I1043" s="2" t="e">
        <f t="shared" si="430"/>
        <v>#DIV/0!</v>
      </c>
      <c r="J1043" s="2" t="e">
        <f t="shared" si="431"/>
        <v>#DIV/0!</v>
      </c>
      <c r="K1043" s="2" t="e">
        <f t="shared" si="432"/>
        <v>#DIV/0!</v>
      </c>
      <c r="L1043" s="2" t="e">
        <f t="shared" si="433"/>
        <v>#DIV/0!</v>
      </c>
      <c r="M1043" s="2" t="e">
        <f t="shared" si="434"/>
        <v>#DIV/0!</v>
      </c>
      <c r="N1043" s="2" t="e">
        <f t="shared" si="435"/>
        <v>#DIV/0!</v>
      </c>
      <c r="O1043" s="2" t="e">
        <f t="shared" si="436"/>
        <v>#DIV/0!</v>
      </c>
      <c r="P1043" s="2" t="e">
        <f t="shared" si="437"/>
        <v>#DIV/0!</v>
      </c>
      <c r="X1043" s="4">
        <f>DATE(2020,7,31)</f>
        <v>44043</v>
      </c>
      <c r="Y1043">
        <v>20.942499701949956</v>
      </c>
      <c r="Z1043">
        <v>35.83248231728173</v>
      </c>
      <c r="AA1043">
        <v>26.2</v>
      </c>
      <c r="AB1043">
        <v>6.0187500000000007</v>
      </c>
      <c r="AC1043" t="str">
        <f t="shared" si="438"/>
        <v/>
      </c>
      <c r="AD1043" t="str">
        <f t="shared" si="438"/>
        <v/>
      </c>
      <c r="AE1043" t="str">
        <f t="shared" si="439"/>
        <v/>
      </c>
      <c r="AF1043" t="str">
        <f t="shared" si="440"/>
        <v/>
      </c>
      <c r="AH1043" t="str">
        <f t="shared" si="441"/>
        <v/>
      </c>
      <c r="AI1043" t="str">
        <f t="shared" si="441"/>
        <v/>
      </c>
      <c r="AJ1043" t="str">
        <f t="shared" si="442"/>
        <v/>
      </c>
      <c r="AK1043" t="str">
        <f t="shared" si="443"/>
        <v/>
      </c>
      <c r="AM1043" t="str">
        <f t="shared" si="444"/>
        <v/>
      </c>
      <c r="AN1043" t="str">
        <f t="shared" si="444"/>
        <v/>
      </c>
      <c r="AO1043" t="str">
        <f t="shared" si="445"/>
        <v/>
      </c>
      <c r="AP1043" t="str">
        <f t="shared" si="446"/>
        <v/>
      </c>
      <c r="AR1043" t="str">
        <f t="shared" si="447"/>
        <v/>
      </c>
      <c r="AS1043" t="str">
        <f t="shared" si="448"/>
        <v/>
      </c>
      <c r="AT1043" t="str">
        <f t="shared" si="449"/>
        <v/>
      </c>
      <c r="AU1043" t="str">
        <f t="shared" si="450"/>
        <v/>
      </c>
    </row>
    <row r="1044" spans="1:47" x14ac:dyDescent="0.25">
      <c r="A1044" s="4">
        <f>DATE(2020,7,30)</f>
        <v>44042</v>
      </c>
      <c r="B1044">
        <v>-0.46119133085447062</v>
      </c>
      <c r="C1044">
        <v>45.652800998921698</v>
      </c>
      <c r="D1044">
        <v>0.1600189469569312</v>
      </c>
      <c r="E1044">
        <f t="shared" si="426"/>
        <v>1.016662593961265</v>
      </c>
      <c r="F1044">
        <f t="shared" si="427"/>
        <v>-6.4039603311765295E-2</v>
      </c>
      <c r="G1044">
        <f t="shared" si="428"/>
        <v>0.29033998581919224</v>
      </c>
      <c r="H1044" s="2" t="e">
        <f t="shared" si="429"/>
        <v>#DIV/0!</v>
      </c>
      <c r="I1044" s="2" t="e">
        <f t="shared" si="430"/>
        <v>#DIV/0!</v>
      </c>
      <c r="J1044" s="2" t="e">
        <f t="shared" si="431"/>
        <v>#DIV/0!</v>
      </c>
      <c r="K1044" s="2" t="e">
        <f t="shared" si="432"/>
        <v>#DIV/0!</v>
      </c>
      <c r="L1044" s="2" t="e">
        <f t="shared" si="433"/>
        <v>#DIV/0!</v>
      </c>
      <c r="M1044" s="2" t="e">
        <f t="shared" si="434"/>
        <v>#DIV/0!</v>
      </c>
      <c r="N1044" s="2" t="e">
        <f t="shared" si="435"/>
        <v>#DIV/0!</v>
      </c>
      <c r="O1044" s="2" t="e">
        <f t="shared" si="436"/>
        <v>#DIV/0!</v>
      </c>
      <c r="P1044" s="2" t="e">
        <f t="shared" si="437"/>
        <v>#DIV/0!</v>
      </c>
      <c r="X1044" s="4">
        <f>DATE(2020,7,30)</f>
        <v>44042</v>
      </c>
      <c r="Y1044">
        <v>19.935253211936459</v>
      </c>
      <c r="Z1044">
        <v>26.626870333374452</v>
      </c>
      <c r="AA1044">
        <v>25.627499999999998</v>
      </c>
      <c r="AB1044">
        <v>5.2524999999999995</v>
      </c>
      <c r="AC1044" t="str">
        <f t="shared" si="438"/>
        <v/>
      </c>
      <c r="AD1044" t="str">
        <f t="shared" si="438"/>
        <v/>
      </c>
      <c r="AE1044" t="str">
        <f t="shared" si="439"/>
        <v/>
      </c>
      <c r="AF1044" t="str">
        <f t="shared" si="440"/>
        <v/>
      </c>
      <c r="AH1044" t="str">
        <f t="shared" si="441"/>
        <v/>
      </c>
      <c r="AI1044" t="str">
        <f t="shared" si="441"/>
        <v/>
      </c>
      <c r="AJ1044" t="str">
        <f t="shared" si="442"/>
        <v/>
      </c>
      <c r="AK1044" t="str">
        <f t="shared" si="443"/>
        <v/>
      </c>
      <c r="AM1044" t="str">
        <f t="shared" si="444"/>
        <v/>
      </c>
      <c r="AN1044" t="str">
        <f t="shared" si="444"/>
        <v/>
      </c>
      <c r="AO1044" t="str">
        <f t="shared" si="445"/>
        <v/>
      </c>
      <c r="AP1044" t="str">
        <f t="shared" si="446"/>
        <v/>
      </c>
      <c r="AR1044" t="str">
        <f t="shared" si="447"/>
        <v/>
      </c>
      <c r="AS1044" t="str">
        <f t="shared" si="448"/>
        <v/>
      </c>
      <c r="AT1044" t="str">
        <f t="shared" si="449"/>
        <v/>
      </c>
      <c r="AU1044" t="str">
        <f t="shared" si="450"/>
        <v/>
      </c>
    </row>
    <row r="1045" spans="1:47" x14ac:dyDescent="0.25">
      <c r="A1045" s="4">
        <f>DATE(2020,7,29)</f>
        <v>44041</v>
      </c>
      <c r="B1045">
        <v>-0.47547213142683098</v>
      </c>
      <c r="C1045">
        <v>48.744852311281008</v>
      </c>
      <c r="D1045">
        <v>0.23994848664613108</v>
      </c>
      <c r="E1045">
        <f t="shared" si="426"/>
        <v>1.1351067884269614</v>
      </c>
      <c r="F1045">
        <f t="shared" si="427"/>
        <v>0.90453440902013793</v>
      </c>
      <c r="G1045">
        <f t="shared" si="428"/>
        <v>0.91126678338140299</v>
      </c>
      <c r="H1045" s="2" t="e">
        <f t="shared" si="429"/>
        <v>#DIV/0!</v>
      </c>
      <c r="I1045" s="2" t="e">
        <f t="shared" si="430"/>
        <v>#DIV/0!</v>
      </c>
      <c r="J1045" s="2" t="e">
        <f t="shared" si="431"/>
        <v>#DIV/0!</v>
      </c>
      <c r="K1045" s="2" t="e">
        <f t="shared" si="432"/>
        <v>#DIV/0!</v>
      </c>
      <c r="L1045" s="2" t="e">
        <f t="shared" si="433"/>
        <v>#DIV/0!</v>
      </c>
      <c r="M1045" s="2" t="e">
        <f t="shared" si="434"/>
        <v>#DIV/0!</v>
      </c>
      <c r="N1045" s="2" t="e">
        <f t="shared" si="435"/>
        <v>#DIV/0!</v>
      </c>
      <c r="O1045" s="2" t="e">
        <f t="shared" si="436"/>
        <v>#DIV/0!</v>
      </c>
      <c r="P1045" s="2" t="e">
        <f t="shared" si="437"/>
        <v>#DIV/0!</v>
      </c>
      <c r="X1045" s="4">
        <f>DATE(2020,7,29)</f>
        <v>44041</v>
      </c>
      <c r="Y1045">
        <v>21.318163833924014</v>
      </c>
      <c r="Z1045">
        <v>22.692362346790734</v>
      </c>
      <c r="AA1045">
        <v>26.035</v>
      </c>
      <c r="AB1045">
        <v>5.15625</v>
      </c>
      <c r="AC1045" t="str">
        <f t="shared" si="438"/>
        <v/>
      </c>
      <c r="AD1045" t="str">
        <f t="shared" si="438"/>
        <v/>
      </c>
      <c r="AE1045" t="str">
        <f t="shared" si="439"/>
        <v/>
      </c>
      <c r="AF1045" t="str">
        <f t="shared" si="440"/>
        <v/>
      </c>
      <c r="AH1045" t="str">
        <f t="shared" si="441"/>
        <v/>
      </c>
      <c r="AI1045" t="str">
        <f t="shared" si="441"/>
        <v/>
      </c>
      <c r="AJ1045" t="str">
        <f t="shared" si="442"/>
        <v/>
      </c>
      <c r="AK1045" t="str">
        <f t="shared" si="443"/>
        <v/>
      </c>
      <c r="AM1045" t="str">
        <f t="shared" si="444"/>
        <v/>
      </c>
      <c r="AN1045" t="str">
        <f t="shared" si="444"/>
        <v/>
      </c>
      <c r="AO1045" t="str">
        <f t="shared" si="445"/>
        <v/>
      </c>
      <c r="AP1045" t="str">
        <f t="shared" si="446"/>
        <v/>
      </c>
      <c r="AR1045" t="str">
        <f t="shared" si="447"/>
        <v/>
      </c>
      <c r="AS1045" t="str">
        <f t="shared" si="448"/>
        <v/>
      </c>
      <c r="AT1045" t="str">
        <f t="shared" si="449"/>
        <v/>
      </c>
      <c r="AU1045" t="str">
        <f t="shared" si="450"/>
        <v/>
      </c>
    </row>
    <row r="1046" spans="1:47" x14ac:dyDescent="0.25">
      <c r="A1046" s="4">
        <f>DATE(2020,7,28)</f>
        <v>44040</v>
      </c>
      <c r="B1046">
        <v>-0.5340783395413472</v>
      </c>
      <c r="C1046">
        <v>46.411584141184335</v>
      </c>
      <c r="D1046">
        <v>0.13781493833927641</v>
      </c>
      <c r="E1046">
        <f t="shared" si="426"/>
        <v>0.70710678118654757</v>
      </c>
      <c r="F1046">
        <f t="shared" si="427"/>
        <v>0.70710678118654757</v>
      </c>
      <c r="G1046">
        <f t="shared" si="428"/>
        <v>0.70710678118654757</v>
      </c>
      <c r="H1046" s="2" t="e">
        <f t="shared" si="429"/>
        <v>#DIV/0!</v>
      </c>
      <c r="I1046" s="2" t="e">
        <f t="shared" si="430"/>
        <v>#DIV/0!</v>
      </c>
      <c r="J1046" s="2" t="e">
        <f t="shared" si="431"/>
        <v>#DIV/0!</v>
      </c>
      <c r="K1046" s="2" t="e">
        <f t="shared" si="432"/>
        <v>#DIV/0!</v>
      </c>
      <c r="L1046" s="2" t="e">
        <f t="shared" si="433"/>
        <v>#DIV/0!</v>
      </c>
      <c r="M1046" s="2" t="e">
        <f t="shared" si="434"/>
        <v>#DIV/0!</v>
      </c>
      <c r="N1046" s="2" t="e">
        <f t="shared" si="435"/>
        <v>#DIV/0!</v>
      </c>
      <c r="O1046" s="2" t="e">
        <f t="shared" si="436"/>
        <v>#DIV/0!</v>
      </c>
      <c r="P1046" s="2" t="e">
        <f t="shared" si="437"/>
        <v>#DIV/0!</v>
      </c>
      <c r="X1046" s="4">
        <f>DATE(2020,7,28)</f>
        <v>44040</v>
      </c>
      <c r="Y1046">
        <v>19.892012873029604</v>
      </c>
      <c r="Z1046">
        <v>17.05861027651034</v>
      </c>
      <c r="AA1046">
        <v>25.592500000000001</v>
      </c>
      <c r="AB1046">
        <v>4.9175000000000004</v>
      </c>
      <c r="AC1046" t="str">
        <f t="shared" si="438"/>
        <v/>
      </c>
      <c r="AD1046" t="str">
        <f t="shared" si="438"/>
        <v/>
      </c>
      <c r="AE1046" t="str">
        <f t="shared" si="439"/>
        <v/>
      </c>
      <c r="AF1046" t="str">
        <f t="shared" si="440"/>
        <v/>
      </c>
      <c r="AH1046" t="str">
        <f t="shared" si="441"/>
        <v/>
      </c>
      <c r="AI1046" t="str">
        <f t="shared" si="441"/>
        <v/>
      </c>
      <c r="AJ1046" t="str">
        <f t="shared" si="442"/>
        <v/>
      </c>
      <c r="AK1046" t="str">
        <f t="shared" si="443"/>
        <v/>
      </c>
      <c r="AM1046" t="str">
        <f t="shared" si="444"/>
        <v/>
      </c>
      <c r="AN1046" t="str">
        <f t="shared" si="444"/>
        <v/>
      </c>
      <c r="AO1046" t="str">
        <f t="shared" si="445"/>
        <v/>
      </c>
      <c r="AP1046" t="str">
        <f t="shared" si="446"/>
        <v/>
      </c>
    </row>
    <row r="1047" spans="1:47" x14ac:dyDescent="0.25">
      <c r="A1047" s="4">
        <f>DATE(2020,7,27)</f>
        <v>44039</v>
      </c>
      <c r="B1047">
        <v>-0.54823110003373599</v>
      </c>
      <c r="C1047">
        <v>42.466330742204946</v>
      </c>
      <c r="D1047">
        <v>-2.8847248549661652E-2</v>
      </c>
      <c r="X1047" s="4">
        <f>DATE(2020,7,27)</f>
        <v>44039</v>
      </c>
      <c r="Y1047">
        <v>20.943314490335961</v>
      </c>
      <c r="Z1047">
        <v>18.07536824413322</v>
      </c>
      <c r="AA1047">
        <v>25.342500000000001</v>
      </c>
      <c r="AB1047">
        <v>4.8412500000000005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9B25-63B0-4B83-81C0-CB41374BF3DB}">
  <dimension ref="A1:Q265"/>
  <sheetViews>
    <sheetView topLeftCell="A256" workbookViewId="0">
      <selection activeCell="M271" sqref="M271"/>
    </sheetView>
  </sheetViews>
  <sheetFormatPr defaultRowHeight="15" x14ac:dyDescent="0.25"/>
  <cols>
    <col min="1" max="1" width="10.5703125" bestFit="1" customWidth="1"/>
    <col min="2" max="3" width="26.140625" bestFit="1" customWidth="1"/>
    <col min="4" max="4" width="27.140625" bestFit="1" customWidth="1"/>
    <col min="5" max="5" width="16.85546875" bestFit="1" customWidth="1"/>
    <col min="11" max="11" width="13.7109375" style="2" customWidth="1"/>
  </cols>
  <sheetData>
    <row r="1" spans="1:17" x14ac:dyDescent="0.25">
      <c r="A1" t="str">
        <f ca="1">_xll.ICEFormulas(B1:E1,B2:E2,"",EDATE(TODAY(),-12),TODAY(),,"Fill=Forward","DayOfWeek=12345")</f>
        <v>Formula</v>
      </c>
      <c r="B1" t="s">
        <v>435</v>
      </c>
      <c r="C1" t="s">
        <v>436</v>
      </c>
      <c r="D1" t="s">
        <v>437</v>
      </c>
      <c r="E1" t="s">
        <v>438</v>
      </c>
      <c r="G1" cm="1">
        <f t="array" ref="G1:G262">_xlfn._xlws.FILTER(_xlfn.SORTBY(B3:B265,A3:A265),_xlfn.SORTBY(B3:B265,A3:A265)&gt;0)</f>
        <v>91.099500000000006</v>
      </c>
      <c r="H1" cm="1">
        <f t="array" ref="H1:H262">_xlfn._xlws.FILTER(_xlfn.SORTBY(C3:C265,A3:A265),_xlfn.SORTBY(C3:C265,A3:A265)&gt;0)</f>
        <v>90.20059999999998</v>
      </c>
      <c r="I1" cm="1">
        <f t="array" ref="I1:I262">_xlfn._xlws.FILTER(_xlfn.SORTBY(D3:D265,A3:A265),_xlfn.SORTBY(D3:D265,A3:A265)&gt;0)</f>
        <v>90.278549999999996</v>
      </c>
      <c r="J1" cm="1">
        <f t="array" ref="J1:J262">_xlfn._xlws.FILTER(_xlfn.SORTBY(E3:E265,A3:A265),_xlfn.SORTBY(E3:E265,A3:A265)&gt;0)</f>
        <v>90.77</v>
      </c>
      <c r="K1" s="2" cm="1">
        <f t="array" ref="K1:K262">_xlfn._xlws.FILTER(_xlfn.SORTBY(A3:A265,A3:A265),_xlfn.SORTBY(B3:B265,B3:B265)&gt;0)</f>
        <v>45133</v>
      </c>
      <c r="M1" t="s">
        <v>46</v>
      </c>
      <c r="N1" t="s">
        <v>47</v>
      </c>
      <c r="O1" t="s">
        <v>49</v>
      </c>
      <c r="P1" t="s">
        <v>439</v>
      </c>
      <c r="Q1" s="2" t="s">
        <v>66</v>
      </c>
    </row>
    <row r="2" spans="1:17" x14ac:dyDescent="0.25">
      <c r="B2" t="s">
        <v>440</v>
      </c>
      <c r="C2" t="s">
        <v>441</v>
      </c>
      <c r="D2" t="s">
        <v>442</v>
      </c>
      <c r="E2" t="s">
        <v>443</v>
      </c>
      <c r="G2">
        <v>91.239000000000004</v>
      </c>
      <c r="H2">
        <v>90.225999999999985</v>
      </c>
      <c r="I2">
        <v>90.379349999999974</v>
      </c>
      <c r="J2">
        <v>90.92</v>
      </c>
      <c r="K2" s="2">
        <v>45134</v>
      </c>
    </row>
    <row r="3" spans="1:17" x14ac:dyDescent="0.25">
      <c r="A3" s="4">
        <f>DATE(2024,7,26)</f>
        <v>45499</v>
      </c>
      <c r="G3">
        <v>91.19550000000001</v>
      </c>
      <c r="H3">
        <v>90.211399999999998</v>
      </c>
      <c r="I3">
        <v>90.469449999999995</v>
      </c>
      <c r="J3">
        <v>88.7</v>
      </c>
      <c r="K3" s="2">
        <v>45135</v>
      </c>
    </row>
    <row r="4" spans="1:17" x14ac:dyDescent="0.25">
      <c r="A4" s="4">
        <f>DATE(2024,7,25)</f>
        <v>45498</v>
      </c>
      <c r="B4">
        <v>68.102999999999994</v>
      </c>
      <c r="C4">
        <v>70.253599999999992</v>
      </c>
      <c r="D4">
        <v>69.32050251256284</v>
      </c>
      <c r="E4">
        <v>67.08</v>
      </c>
      <c r="G4">
        <v>91.156999999999996</v>
      </c>
      <c r="H4">
        <v>90.20259999999999</v>
      </c>
      <c r="I4">
        <v>90.550449999999984</v>
      </c>
      <c r="J4">
        <v>86.81</v>
      </c>
      <c r="K4" s="2">
        <v>45138</v>
      </c>
    </row>
    <row r="5" spans="1:17" x14ac:dyDescent="0.25">
      <c r="A5" s="4">
        <f>DATE(2024,7,24)</f>
        <v>45497</v>
      </c>
      <c r="B5">
        <v>68.073499999999996</v>
      </c>
      <c r="C5">
        <v>70.327799999999996</v>
      </c>
      <c r="D5">
        <v>69.42854271356785</v>
      </c>
      <c r="E5">
        <v>68.900000000000006</v>
      </c>
      <c r="G5">
        <v>91.003500000000003</v>
      </c>
      <c r="H5">
        <v>90.178999999999974</v>
      </c>
      <c r="I5">
        <v>90.623799999999989</v>
      </c>
      <c r="J5">
        <v>84.62</v>
      </c>
      <c r="K5" s="2">
        <v>45139</v>
      </c>
    </row>
    <row r="6" spans="1:17" x14ac:dyDescent="0.25">
      <c r="A6" s="4">
        <f>DATE(2024,7,23)</f>
        <v>45496</v>
      </c>
      <c r="B6">
        <v>67.989999999999995</v>
      </c>
      <c r="C6">
        <v>70.33359999999999</v>
      </c>
      <c r="D6">
        <v>69.526381909547752</v>
      </c>
      <c r="E6">
        <v>65.790000000000006</v>
      </c>
      <c r="G6">
        <v>90.873000000000005</v>
      </c>
      <c r="H6">
        <v>90.147199999999998</v>
      </c>
      <c r="I6">
        <v>90.678199999999975</v>
      </c>
      <c r="J6">
        <v>83.2</v>
      </c>
      <c r="K6" s="2">
        <v>45140</v>
      </c>
    </row>
    <row r="7" spans="1:17" x14ac:dyDescent="0.25">
      <c r="A7" s="4">
        <f>DATE(2024,7,22)</f>
        <v>45495</v>
      </c>
      <c r="B7">
        <v>68.090499999999992</v>
      </c>
      <c r="C7">
        <v>70.419799999999981</v>
      </c>
      <c r="D7">
        <v>69.631457286432195</v>
      </c>
      <c r="E7">
        <v>64.790000000000006</v>
      </c>
      <c r="G7">
        <v>90.778999999999968</v>
      </c>
      <c r="H7">
        <v>90.182799999999986</v>
      </c>
      <c r="I7">
        <v>90.722099999999998</v>
      </c>
      <c r="J7">
        <v>84.41</v>
      </c>
      <c r="K7" s="2">
        <v>45141</v>
      </c>
    </row>
    <row r="8" spans="1:17" x14ac:dyDescent="0.25">
      <c r="A8" s="4">
        <f>DATE(2024,7,19)</f>
        <v>45492</v>
      </c>
      <c r="B8">
        <v>68.228999999999999</v>
      </c>
      <c r="C8">
        <v>70.525399999999991</v>
      </c>
      <c r="D8">
        <v>69.746381909547765</v>
      </c>
      <c r="E8">
        <v>66</v>
      </c>
      <c r="G8">
        <v>90.641999999999996</v>
      </c>
      <c r="H8">
        <v>90.188400000000001</v>
      </c>
      <c r="I8">
        <v>90.738849999999999</v>
      </c>
      <c r="J8">
        <v>83.41</v>
      </c>
      <c r="K8" s="2">
        <v>45142</v>
      </c>
    </row>
    <row r="9" spans="1:17" x14ac:dyDescent="0.25">
      <c r="A9" s="4">
        <f>DATE(2024,7,18)</f>
        <v>45491</v>
      </c>
      <c r="B9">
        <v>68.331499999999977</v>
      </c>
      <c r="C9">
        <v>70.637199999999993</v>
      </c>
      <c r="D9">
        <v>69.839597989949766</v>
      </c>
      <c r="E9">
        <v>66.11</v>
      </c>
      <c r="G9">
        <v>90.460999999999984</v>
      </c>
      <c r="H9">
        <v>90.18119999999999</v>
      </c>
      <c r="I9">
        <v>90.759749999999983</v>
      </c>
      <c r="J9">
        <v>82.64</v>
      </c>
      <c r="K9" s="2">
        <v>45145</v>
      </c>
    </row>
    <row r="10" spans="1:17" x14ac:dyDescent="0.25">
      <c r="A10" s="4">
        <f>DATE(2024,7,17)</f>
        <v>45490</v>
      </c>
      <c r="B10">
        <v>68.485500000000002</v>
      </c>
      <c r="C10">
        <v>70.787399999999991</v>
      </c>
      <c r="D10">
        <v>69.92718592964826</v>
      </c>
      <c r="E10">
        <v>66.42</v>
      </c>
      <c r="G10">
        <v>90.306999999999974</v>
      </c>
      <c r="H10">
        <v>90.253000000000014</v>
      </c>
      <c r="I10">
        <v>90.758499999999984</v>
      </c>
      <c r="J10">
        <v>83.97</v>
      </c>
      <c r="K10" s="2">
        <v>45146</v>
      </c>
    </row>
    <row r="11" spans="1:17" x14ac:dyDescent="0.25">
      <c r="A11" s="4">
        <f>DATE(2024,7,16)</f>
        <v>45489</v>
      </c>
      <c r="B11">
        <v>68.70150000000001</v>
      </c>
      <c r="C11">
        <v>70.89739999999999</v>
      </c>
      <c r="D11">
        <v>70.014422110552772</v>
      </c>
      <c r="E11">
        <v>67.94</v>
      </c>
      <c r="G11">
        <v>90.210499999999982</v>
      </c>
      <c r="H11">
        <v>90.315600000000018</v>
      </c>
      <c r="I11">
        <v>90.753899999999973</v>
      </c>
      <c r="J11">
        <v>83.9</v>
      </c>
      <c r="K11" s="2">
        <v>45147</v>
      </c>
    </row>
    <row r="12" spans="1:17" x14ac:dyDescent="0.25">
      <c r="A12" s="4">
        <f>DATE(2024,7,15)</f>
        <v>45488</v>
      </c>
      <c r="B12">
        <v>68.723499999999973</v>
      </c>
      <c r="C12">
        <v>70.95559999999999</v>
      </c>
      <c r="D12">
        <v>70.098844221105551</v>
      </c>
      <c r="E12">
        <v>67.58</v>
      </c>
      <c r="G12">
        <v>90.144000000000005</v>
      </c>
      <c r="H12">
        <v>90.427600000000027</v>
      </c>
      <c r="I12">
        <v>90.762499999999989</v>
      </c>
      <c r="J12">
        <v>84.55</v>
      </c>
      <c r="K12" s="2">
        <v>45148</v>
      </c>
    </row>
    <row r="13" spans="1:17" x14ac:dyDescent="0.25">
      <c r="A13" s="4">
        <f>DATE(2024,7,12)</f>
        <v>45485</v>
      </c>
      <c r="B13">
        <v>68.752499999999984</v>
      </c>
      <c r="C13">
        <v>71.077399999999983</v>
      </c>
      <c r="D13">
        <v>70.174924623115587</v>
      </c>
      <c r="E13">
        <v>69.349999999999994</v>
      </c>
      <c r="G13">
        <v>90.166499999999999</v>
      </c>
      <c r="H13">
        <v>90.593200000000039</v>
      </c>
      <c r="I13">
        <v>90.794499999999985</v>
      </c>
      <c r="J13">
        <v>86.8</v>
      </c>
      <c r="K13" s="2">
        <v>45149</v>
      </c>
    </row>
    <row r="14" spans="1:17" x14ac:dyDescent="0.25">
      <c r="A14" s="4">
        <f>DATE(2024,7,11)</f>
        <v>45484</v>
      </c>
      <c r="B14">
        <v>68.711500000000001</v>
      </c>
      <c r="C14">
        <v>71.127199999999988</v>
      </c>
      <c r="D14">
        <v>70.246633165829152</v>
      </c>
      <c r="E14">
        <v>68.52</v>
      </c>
      <c r="G14">
        <v>90.224999999999994</v>
      </c>
      <c r="H14">
        <v>90.694999999999993</v>
      </c>
      <c r="I14">
        <v>90.833699999999993</v>
      </c>
      <c r="J14">
        <v>87.95</v>
      </c>
      <c r="K14" s="2">
        <v>45152</v>
      </c>
    </row>
    <row r="15" spans="1:17" x14ac:dyDescent="0.25">
      <c r="A15" s="4">
        <f>DATE(2024,7,10)</f>
        <v>45483</v>
      </c>
      <c r="B15">
        <v>68.829000000000008</v>
      </c>
      <c r="C15">
        <v>71.210599999999999</v>
      </c>
      <c r="D15">
        <v>70.326281407035168</v>
      </c>
      <c r="E15">
        <v>67.959999999999994</v>
      </c>
      <c r="G15">
        <v>90.159500000000008</v>
      </c>
      <c r="H15">
        <v>90.799599999999998</v>
      </c>
      <c r="I15">
        <v>90.86869999999999</v>
      </c>
      <c r="J15">
        <v>86.87</v>
      </c>
      <c r="K15" s="2">
        <v>45153</v>
      </c>
    </row>
    <row r="16" spans="1:17" x14ac:dyDescent="0.25">
      <c r="A16" s="4">
        <f>DATE(2024,7,9)</f>
        <v>45482</v>
      </c>
      <c r="B16">
        <v>68.945999999999998</v>
      </c>
      <c r="C16">
        <v>71.20959999999998</v>
      </c>
      <c r="D16">
        <v>70.417085427135675</v>
      </c>
      <c r="E16">
        <v>68.52</v>
      </c>
      <c r="G16">
        <v>90.139499999999998</v>
      </c>
      <c r="H16">
        <v>90.893999999999991</v>
      </c>
      <c r="I16">
        <v>90.913200000000003</v>
      </c>
      <c r="J16">
        <v>88.58</v>
      </c>
      <c r="K16" s="2">
        <v>45154</v>
      </c>
    </row>
    <row r="17" spans="1:11" x14ac:dyDescent="0.25">
      <c r="A17" s="4">
        <f>DATE(2024,7,8)</f>
        <v>45481</v>
      </c>
      <c r="B17">
        <v>69.04049999999998</v>
      </c>
      <c r="C17">
        <v>71.223199999999991</v>
      </c>
      <c r="D17">
        <v>70.49879396984926</v>
      </c>
      <c r="E17">
        <v>69.040000000000006</v>
      </c>
      <c r="G17">
        <v>90.039999999999992</v>
      </c>
      <c r="H17">
        <v>91.003999999999991</v>
      </c>
      <c r="I17">
        <v>90.95235000000001</v>
      </c>
      <c r="J17">
        <v>88.85</v>
      </c>
      <c r="K17" s="2">
        <v>45155</v>
      </c>
    </row>
    <row r="18" spans="1:11" x14ac:dyDescent="0.25">
      <c r="A18" s="4">
        <f>DATE(2024,7,5)</f>
        <v>45478</v>
      </c>
      <c r="B18">
        <v>69.133999999999986</v>
      </c>
      <c r="C18">
        <v>71.158399999999986</v>
      </c>
      <c r="D18">
        <v>70.581155778894484</v>
      </c>
      <c r="E18">
        <v>70.349999999999994</v>
      </c>
      <c r="G18">
        <v>89.851500000000016</v>
      </c>
      <c r="H18">
        <v>91.042200000000008</v>
      </c>
      <c r="I18">
        <v>90.994599999999991</v>
      </c>
      <c r="J18">
        <v>88.05</v>
      </c>
      <c r="K18" s="2">
        <v>45156</v>
      </c>
    </row>
    <row r="19" spans="1:11" x14ac:dyDescent="0.25">
      <c r="A19" s="4">
        <f>DATE(2024,7,4)</f>
        <v>45477</v>
      </c>
      <c r="B19">
        <v>69.1875</v>
      </c>
      <c r="C19">
        <v>71.101599999999991</v>
      </c>
      <c r="D19">
        <v>70.668894472361828</v>
      </c>
      <c r="E19">
        <v>70.180000000000007</v>
      </c>
      <c r="G19">
        <v>89.67949999999999</v>
      </c>
      <c r="H19">
        <v>91.034800000000018</v>
      </c>
      <c r="I19">
        <v>91.054699999999997</v>
      </c>
      <c r="J19">
        <v>87.85</v>
      </c>
      <c r="K19" s="2">
        <v>45159</v>
      </c>
    </row>
    <row r="20" spans="1:11" x14ac:dyDescent="0.25">
      <c r="A20" s="4">
        <f>DATE(2024,7,3)</f>
        <v>45476</v>
      </c>
      <c r="B20">
        <v>69.254999999999995</v>
      </c>
      <c r="C20">
        <v>71.066199999999995</v>
      </c>
      <c r="D20">
        <v>70.759547738693485</v>
      </c>
      <c r="E20">
        <v>70.91</v>
      </c>
      <c r="G20">
        <v>89.563000000000002</v>
      </c>
      <c r="H20">
        <v>91.020600000000016</v>
      </c>
      <c r="I20">
        <v>91.122799999999984</v>
      </c>
      <c r="J20">
        <v>90.01</v>
      </c>
      <c r="K20" s="2">
        <v>45160</v>
      </c>
    </row>
    <row r="21" spans="1:11" x14ac:dyDescent="0.25">
      <c r="A21" s="4">
        <f>DATE(2024,7,2)</f>
        <v>45475</v>
      </c>
      <c r="B21">
        <v>69.309499999999986</v>
      </c>
      <c r="C21">
        <v>70.984999999999999</v>
      </c>
      <c r="D21">
        <v>70.842160804020097</v>
      </c>
      <c r="E21">
        <v>70.930000000000007</v>
      </c>
      <c r="G21">
        <v>89.424500000000009</v>
      </c>
      <c r="H21">
        <v>90.908200000000022</v>
      </c>
      <c r="I21">
        <v>91.167749999999998</v>
      </c>
      <c r="J21">
        <v>88</v>
      </c>
      <c r="K21" s="2">
        <v>45161</v>
      </c>
    </row>
    <row r="22" spans="1:11" x14ac:dyDescent="0.25">
      <c r="A22" s="4">
        <f>DATE(2024,7,1)</f>
        <v>45474</v>
      </c>
      <c r="B22">
        <v>69.391999999999982</v>
      </c>
      <c r="C22">
        <v>70.893999999999991</v>
      </c>
      <c r="D22">
        <v>70.916281407035186</v>
      </c>
      <c r="E22">
        <v>68.33</v>
      </c>
      <c r="G22">
        <v>89.139000000000024</v>
      </c>
      <c r="H22">
        <v>90.753800000000012</v>
      </c>
      <c r="I22">
        <v>91.202550000000016</v>
      </c>
      <c r="J22">
        <v>85.21</v>
      </c>
      <c r="K22" s="2">
        <v>45162</v>
      </c>
    </row>
    <row r="23" spans="1:11" x14ac:dyDescent="0.25">
      <c r="A23" s="4">
        <f>DATE(2024,6,28)</f>
        <v>45471</v>
      </c>
      <c r="B23">
        <v>69.706999999999979</v>
      </c>
      <c r="C23">
        <v>70.855399999999989</v>
      </c>
      <c r="D23">
        <v>70.996130653266334</v>
      </c>
      <c r="E23">
        <v>67.36</v>
      </c>
      <c r="G23">
        <v>88.966500000000025</v>
      </c>
      <c r="H23">
        <v>90.620400000000004</v>
      </c>
      <c r="I23">
        <v>91.226949999999974</v>
      </c>
      <c r="J23">
        <v>85.25</v>
      </c>
      <c r="K23" s="2">
        <v>45163</v>
      </c>
    </row>
    <row r="24" spans="1:11" x14ac:dyDescent="0.25">
      <c r="A24" s="4">
        <f>DATE(2024,6,27)</f>
        <v>45470</v>
      </c>
      <c r="B24">
        <v>70.04249999999999</v>
      </c>
      <c r="C24">
        <v>70.878599999999992</v>
      </c>
      <c r="D24">
        <v>71.07874371859296</v>
      </c>
      <c r="E24">
        <v>66.489999999999995</v>
      </c>
      <c r="G24">
        <v>88.90600000000002</v>
      </c>
      <c r="H24">
        <v>90.467800000000011</v>
      </c>
      <c r="I24">
        <v>91.271799999999999</v>
      </c>
      <c r="J24">
        <v>85.6</v>
      </c>
      <c r="K24" s="2">
        <v>45166</v>
      </c>
    </row>
    <row r="25" spans="1:11" x14ac:dyDescent="0.25">
      <c r="A25" s="4">
        <f>DATE(2024,6,26)</f>
        <v>45469</v>
      </c>
      <c r="B25">
        <v>70.47799999999998</v>
      </c>
      <c r="C25">
        <v>70.979799999999997</v>
      </c>
      <c r="D25">
        <v>71.17185929648241</v>
      </c>
      <c r="E25">
        <v>67.23</v>
      </c>
      <c r="G25">
        <v>88.925000000000026</v>
      </c>
      <c r="H25">
        <v>90.277599999999978</v>
      </c>
      <c r="I25">
        <v>91.320700000000002</v>
      </c>
      <c r="J25">
        <v>85</v>
      </c>
      <c r="K25" s="2">
        <v>45167</v>
      </c>
    </row>
    <row r="26" spans="1:11" x14ac:dyDescent="0.25">
      <c r="A26" s="4">
        <f>DATE(2024,6,25)</f>
        <v>45468</v>
      </c>
      <c r="B26">
        <v>70.813999999999993</v>
      </c>
      <c r="C26">
        <v>71.041800000000009</v>
      </c>
      <c r="D26">
        <v>71.265427135678394</v>
      </c>
      <c r="E26">
        <v>67.8</v>
      </c>
      <c r="G26">
        <v>89.065000000000026</v>
      </c>
      <c r="H26">
        <v>90.18059999999997</v>
      </c>
      <c r="I26">
        <v>91.373799999999989</v>
      </c>
      <c r="J26">
        <v>86</v>
      </c>
      <c r="K26" s="2">
        <v>45168</v>
      </c>
    </row>
    <row r="27" spans="1:11" x14ac:dyDescent="0.25">
      <c r="A27" s="4">
        <f>DATE(2024,6,24)</f>
        <v>45467</v>
      </c>
      <c r="B27">
        <v>71.153999999999982</v>
      </c>
      <c r="C27">
        <v>71.170800000000014</v>
      </c>
      <c r="D27">
        <v>71.360301507537699</v>
      </c>
      <c r="E27">
        <v>67.56</v>
      </c>
      <c r="G27">
        <v>89.146000000000015</v>
      </c>
      <c r="H27">
        <v>90.0822</v>
      </c>
      <c r="I27">
        <v>91.416449999999998</v>
      </c>
      <c r="J27">
        <v>86.03</v>
      </c>
      <c r="K27" s="2">
        <v>45169</v>
      </c>
    </row>
    <row r="28" spans="1:11" x14ac:dyDescent="0.25">
      <c r="A28" s="4">
        <f>DATE(2024,6,21)</f>
        <v>45464</v>
      </c>
      <c r="B28">
        <v>71.601500000000001</v>
      </c>
      <c r="C28">
        <v>71.222800000000007</v>
      </c>
      <c r="D28">
        <v>71.443115577889472</v>
      </c>
      <c r="E28">
        <v>68.05</v>
      </c>
      <c r="G28">
        <v>89.257500000000022</v>
      </c>
      <c r="H28">
        <v>90.043999999999997</v>
      </c>
      <c r="I28">
        <v>91.459200000000024</v>
      </c>
      <c r="J28">
        <v>85.64</v>
      </c>
      <c r="K28" s="2">
        <v>45170</v>
      </c>
    </row>
    <row r="29" spans="1:11" x14ac:dyDescent="0.25">
      <c r="A29" s="4">
        <f>DATE(2024,6,20)</f>
        <v>45463</v>
      </c>
      <c r="B29">
        <v>71.988000000000028</v>
      </c>
      <c r="C29">
        <v>71.294600000000003</v>
      </c>
      <c r="D29">
        <v>71.526532663316601</v>
      </c>
      <c r="E29">
        <v>69.19</v>
      </c>
      <c r="G29">
        <v>89.329500000000024</v>
      </c>
      <c r="H29">
        <v>89.995800000000003</v>
      </c>
      <c r="I29">
        <v>91.484150000000014</v>
      </c>
      <c r="J29">
        <v>84.08</v>
      </c>
      <c r="K29" s="2">
        <v>45173</v>
      </c>
    </row>
    <row r="30" spans="1:11" x14ac:dyDescent="0.25">
      <c r="A30" s="4">
        <f>DATE(2024,6,19)</f>
        <v>45462</v>
      </c>
      <c r="B30">
        <v>72.333499999999987</v>
      </c>
      <c r="C30">
        <v>71.287399999999991</v>
      </c>
      <c r="D30">
        <v>71.60366834170857</v>
      </c>
      <c r="E30">
        <v>70.739999999999995</v>
      </c>
      <c r="G30">
        <v>89.32650000000001</v>
      </c>
      <c r="H30">
        <v>89.892199999999974</v>
      </c>
      <c r="I30">
        <v>91.494149999999991</v>
      </c>
      <c r="J30">
        <v>83.91</v>
      </c>
      <c r="K30" s="2">
        <v>45174</v>
      </c>
    </row>
    <row r="31" spans="1:11" x14ac:dyDescent="0.25">
      <c r="A31" s="4">
        <f>DATE(2024,6,18)</f>
        <v>45461</v>
      </c>
      <c r="B31">
        <v>72.630000000000024</v>
      </c>
      <c r="C31">
        <v>71.129599999999996</v>
      </c>
      <c r="D31">
        <v>71.68140703517588</v>
      </c>
      <c r="E31">
        <v>68.38</v>
      </c>
      <c r="G31">
        <v>89.316500000000005</v>
      </c>
      <c r="H31">
        <v>89.801999999999964</v>
      </c>
      <c r="I31">
        <v>91.501699999999985</v>
      </c>
      <c r="J31">
        <v>83.7</v>
      </c>
      <c r="K31" s="2">
        <v>45175</v>
      </c>
    </row>
    <row r="32" spans="1:11" x14ac:dyDescent="0.25">
      <c r="A32" s="4">
        <f>DATE(2024,6,17)</f>
        <v>45460</v>
      </c>
      <c r="B32">
        <v>73.021000000000015</v>
      </c>
      <c r="C32">
        <v>71.041200000000003</v>
      </c>
      <c r="D32">
        <v>71.773065326633187</v>
      </c>
      <c r="E32">
        <v>68.16</v>
      </c>
      <c r="G32">
        <v>89.253500000000003</v>
      </c>
      <c r="H32">
        <v>89.705199999999991</v>
      </c>
      <c r="I32">
        <v>91.509099999999975</v>
      </c>
      <c r="J32">
        <v>83.29</v>
      </c>
      <c r="K32" s="2">
        <v>45176</v>
      </c>
    </row>
    <row r="33" spans="1:11" x14ac:dyDescent="0.25">
      <c r="A33" s="4">
        <f>DATE(2024,6,14)</f>
        <v>45457</v>
      </c>
      <c r="B33">
        <v>73.325000000000017</v>
      </c>
      <c r="C33">
        <v>70.945799999999991</v>
      </c>
      <c r="D33">
        <v>71.866884422110573</v>
      </c>
      <c r="E33">
        <v>68.53</v>
      </c>
      <c r="G33">
        <v>88.994500000000002</v>
      </c>
      <c r="H33">
        <v>89.546199999999985</v>
      </c>
      <c r="I33">
        <v>91.494149999999991</v>
      </c>
      <c r="J33">
        <v>81.62</v>
      </c>
      <c r="K33" s="2">
        <v>45177</v>
      </c>
    </row>
    <row r="34" spans="1:11" x14ac:dyDescent="0.25">
      <c r="A34" s="4">
        <f>DATE(2024,6,13)</f>
        <v>45456</v>
      </c>
      <c r="B34">
        <v>73.424500000000009</v>
      </c>
      <c r="C34">
        <v>70.795400000000001</v>
      </c>
      <c r="D34">
        <v>71.959698492462323</v>
      </c>
      <c r="E34">
        <v>70.87</v>
      </c>
      <c r="G34">
        <v>88.683500000000009</v>
      </c>
      <c r="H34">
        <v>89.429199999999966</v>
      </c>
      <c r="I34">
        <v>91.462199999999996</v>
      </c>
      <c r="J34">
        <v>81.73</v>
      </c>
      <c r="K34" s="2">
        <v>45180</v>
      </c>
    </row>
    <row r="35" spans="1:11" x14ac:dyDescent="0.25">
      <c r="A35" s="4">
        <f>DATE(2024,6,12)</f>
        <v>45455</v>
      </c>
      <c r="B35">
        <v>73.420500000000018</v>
      </c>
      <c r="C35">
        <v>70.545799999999986</v>
      </c>
      <c r="D35">
        <v>72.048592964824124</v>
      </c>
      <c r="E35">
        <v>70.3</v>
      </c>
      <c r="G35">
        <v>88.396000000000001</v>
      </c>
      <c r="H35">
        <v>89.297799999999967</v>
      </c>
      <c r="I35">
        <v>91.427299999999974</v>
      </c>
      <c r="J35">
        <v>81.12</v>
      </c>
      <c r="K35" s="2">
        <v>45181</v>
      </c>
    </row>
    <row r="36" spans="1:11" x14ac:dyDescent="0.25">
      <c r="A36" s="4">
        <f>DATE(2024,6,11)</f>
        <v>45454</v>
      </c>
      <c r="B36">
        <v>73.365000000000023</v>
      </c>
      <c r="C36">
        <v>70.29079999999999</v>
      </c>
      <c r="D36">
        <v>72.142311557788958</v>
      </c>
      <c r="E36">
        <v>70.41</v>
      </c>
      <c r="G36">
        <v>88.154999999999987</v>
      </c>
      <c r="H36">
        <v>89.256799999999984</v>
      </c>
      <c r="I36">
        <v>91.39009999999999</v>
      </c>
      <c r="J36">
        <v>83.76</v>
      </c>
      <c r="K36" s="2">
        <v>45182</v>
      </c>
    </row>
    <row r="37" spans="1:11" x14ac:dyDescent="0.25">
      <c r="A37" s="4">
        <f>DATE(2024,6,10)</f>
        <v>45453</v>
      </c>
      <c r="B37">
        <v>73.349500000000006</v>
      </c>
      <c r="C37">
        <v>70.060599999999994</v>
      </c>
      <c r="D37">
        <v>72.23532663316584</v>
      </c>
      <c r="E37">
        <v>70.91</v>
      </c>
      <c r="G37">
        <v>87.859000000000009</v>
      </c>
      <c r="H37">
        <v>89.18959999999997</v>
      </c>
      <c r="I37">
        <v>91.352799999999974</v>
      </c>
      <c r="J37">
        <v>82.93</v>
      </c>
      <c r="K37" s="2">
        <v>45183</v>
      </c>
    </row>
    <row r="38" spans="1:11" x14ac:dyDescent="0.25">
      <c r="A38" s="4">
        <f>DATE(2024,6,7)</f>
        <v>45450</v>
      </c>
      <c r="B38">
        <v>73.307500000000005</v>
      </c>
      <c r="C38">
        <v>70.04326530612245</v>
      </c>
      <c r="D38">
        <v>72.32080402010051</v>
      </c>
      <c r="E38">
        <v>71.42</v>
      </c>
      <c r="G38">
        <v>87.561499999999995</v>
      </c>
      <c r="H38">
        <v>89.10860000000001</v>
      </c>
      <c r="I38">
        <v>91.304149999999979</v>
      </c>
      <c r="J38">
        <v>82.1</v>
      </c>
      <c r="K38" s="2">
        <v>45184</v>
      </c>
    </row>
    <row r="39" spans="1:11" x14ac:dyDescent="0.25">
      <c r="A39" s="4">
        <f>DATE(2024,6,6)</f>
        <v>45449</v>
      </c>
      <c r="B39">
        <v>73.315999999999988</v>
      </c>
      <c r="C39">
        <v>69.849591836734703</v>
      </c>
      <c r="D39">
        <v>72.406733668341715</v>
      </c>
      <c r="E39">
        <v>71.53</v>
      </c>
      <c r="G39">
        <v>87.212999999999994</v>
      </c>
      <c r="H39">
        <v>89.000999999999991</v>
      </c>
      <c r="I39">
        <v>91.251499999999965</v>
      </c>
      <c r="J39">
        <v>80.88</v>
      </c>
      <c r="K39" s="2">
        <v>45187</v>
      </c>
    </row>
    <row r="40" spans="1:11" x14ac:dyDescent="0.25">
      <c r="A40" s="4">
        <f>DATE(2024,6,5)</f>
        <v>45448</v>
      </c>
      <c r="B40">
        <v>73.42049999999999</v>
      </c>
      <c r="C40">
        <v>69.667551020408169</v>
      </c>
      <c r="D40">
        <v>72.490351758793977</v>
      </c>
      <c r="E40">
        <v>72</v>
      </c>
      <c r="G40">
        <v>86.777500000000003</v>
      </c>
      <c r="H40">
        <v>88.88600000000001</v>
      </c>
      <c r="I40">
        <v>91.197249999999983</v>
      </c>
      <c r="J40">
        <v>81.3</v>
      </c>
      <c r="K40" s="2">
        <v>45188</v>
      </c>
    </row>
    <row r="41" spans="1:11" x14ac:dyDescent="0.25">
      <c r="A41" s="4">
        <f>DATE(2024,6,4)</f>
        <v>45447</v>
      </c>
      <c r="B41">
        <v>73.416499999999999</v>
      </c>
      <c r="C41">
        <v>69.483877551020413</v>
      </c>
      <c r="D41">
        <v>72.571407035175881</v>
      </c>
      <c r="E41">
        <v>72.58</v>
      </c>
      <c r="G41">
        <v>86.515500000000003</v>
      </c>
      <c r="H41">
        <v>88.824600000000004</v>
      </c>
      <c r="I41">
        <v>91.156299999999973</v>
      </c>
      <c r="J41">
        <v>82.76</v>
      </c>
      <c r="K41" s="2">
        <v>45189</v>
      </c>
    </row>
    <row r="42" spans="1:11" x14ac:dyDescent="0.25">
      <c r="A42" s="4">
        <f>DATE(2024,6,3)</f>
        <v>45446</v>
      </c>
      <c r="B42">
        <v>73.33</v>
      </c>
      <c r="C42">
        <v>69.325918367346929</v>
      </c>
      <c r="D42">
        <v>72.663567839195991</v>
      </c>
      <c r="E42">
        <v>74.63</v>
      </c>
      <c r="G42">
        <v>86.476500000000016</v>
      </c>
      <c r="H42">
        <v>88.795600000000007</v>
      </c>
      <c r="I42">
        <v>91.113299999999967</v>
      </c>
      <c r="J42">
        <v>84.43</v>
      </c>
      <c r="K42" s="2">
        <v>45190</v>
      </c>
    </row>
    <row r="43" spans="1:11" x14ac:dyDescent="0.25">
      <c r="A43" s="4">
        <f>DATE(2024,5,31)</f>
        <v>45443</v>
      </c>
      <c r="B43">
        <v>73.281999999999996</v>
      </c>
      <c r="C43">
        <v>69.057959183673475</v>
      </c>
      <c r="D43">
        <v>72.755527638190955</v>
      </c>
      <c r="E43">
        <v>74.069999999999993</v>
      </c>
      <c r="G43">
        <v>86.478999999999999</v>
      </c>
      <c r="H43">
        <v>88.774600000000007</v>
      </c>
      <c r="I43">
        <v>91.078749999999985</v>
      </c>
      <c r="J43">
        <v>85.3</v>
      </c>
      <c r="K43" s="2">
        <v>45191</v>
      </c>
    </row>
    <row r="44" spans="1:11" x14ac:dyDescent="0.25">
      <c r="A44" s="4">
        <f>DATE(2024,5,30)</f>
        <v>45442</v>
      </c>
      <c r="B44">
        <v>73.17049999999999</v>
      </c>
      <c r="C44">
        <v>68.757959183673464</v>
      </c>
      <c r="D44">
        <v>72.839447236180916</v>
      </c>
      <c r="E44">
        <v>75.2</v>
      </c>
      <c r="G44">
        <v>86.4435</v>
      </c>
      <c r="H44">
        <v>88.736800000000017</v>
      </c>
      <c r="I44">
        <v>91.056149999999974</v>
      </c>
      <c r="J44">
        <v>84.89</v>
      </c>
      <c r="K44" s="2">
        <v>45194</v>
      </c>
    </row>
    <row r="45" spans="1:11" x14ac:dyDescent="0.25">
      <c r="A45" s="4">
        <f>DATE(2024,5,29)</f>
        <v>45441</v>
      </c>
      <c r="B45">
        <v>73.044999999999987</v>
      </c>
      <c r="C45">
        <v>68.447959183673476</v>
      </c>
      <c r="D45">
        <v>72.918693467336681</v>
      </c>
      <c r="E45">
        <v>73.95</v>
      </c>
      <c r="G45">
        <v>86.318999999999988</v>
      </c>
      <c r="H45">
        <v>88.623400000000004</v>
      </c>
      <c r="I45">
        <v>91.026600000000002</v>
      </c>
      <c r="J45">
        <v>82.51</v>
      </c>
      <c r="K45" s="2">
        <v>45195</v>
      </c>
    </row>
    <row r="46" spans="1:11" x14ac:dyDescent="0.25">
      <c r="A46" s="4">
        <f>DATE(2024,5,28)</f>
        <v>45440</v>
      </c>
      <c r="B46">
        <v>72.742999999999995</v>
      </c>
      <c r="C46">
        <v>68.19</v>
      </c>
      <c r="D46">
        <v>73.008241206030135</v>
      </c>
      <c r="E46">
        <v>74.599999999999994</v>
      </c>
      <c r="G46">
        <v>86.111999999999995</v>
      </c>
      <c r="H46">
        <v>88.481000000000009</v>
      </c>
      <c r="I46">
        <v>91.001399999999975</v>
      </c>
      <c r="J46">
        <v>81.86</v>
      </c>
      <c r="K46" s="2">
        <v>45196</v>
      </c>
    </row>
    <row r="47" spans="1:11" x14ac:dyDescent="0.25">
      <c r="A47" s="4">
        <f>DATE(2024,5,27)</f>
        <v>45439</v>
      </c>
      <c r="B47">
        <v>72.472999999999999</v>
      </c>
      <c r="C47">
        <v>67.921020408163272</v>
      </c>
      <c r="D47">
        <v>73.093165829145704</v>
      </c>
      <c r="E47">
        <v>76.510000000000005</v>
      </c>
      <c r="G47">
        <v>85.965999999999994</v>
      </c>
      <c r="H47">
        <v>88.326399999999992</v>
      </c>
      <c r="I47">
        <v>90.980949999999993</v>
      </c>
      <c r="J47">
        <v>83.11</v>
      </c>
      <c r="K47" s="2">
        <v>45197</v>
      </c>
    </row>
    <row r="48" spans="1:11" x14ac:dyDescent="0.25">
      <c r="A48" s="4">
        <f>DATE(2024,5,24)</f>
        <v>45436</v>
      </c>
      <c r="B48">
        <v>71.937499999999986</v>
      </c>
      <c r="C48">
        <v>67.571428571428555</v>
      </c>
      <c r="D48">
        <v>73.159899497487416</v>
      </c>
      <c r="E48">
        <v>75.78</v>
      </c>
      <c r="G48">
        <v>85.756500000000003</v>
      </c>
      <c r="H48">
        <v>88.119</v>
      </c>
      <c r="I48">
        <v>90.941699999999983</v>
      </c>
      <c r="J48">
        <v>81.45</v>
      </c>
      <c r="K48" s="2">
        <v>45198</v>
      </c>
    </row>
    <row r="49" spans="1:11" x14ac:dyDescent="0.25">
      <c r="A49" s="4">
        <f>DATE(2024,5,23)</f>
        <v>45435</v>
      </c>
      <c r="B49">
        <v>71.523999999999987</v>
      </c>
      <c r="C49">
        <v>67.224897959183679</v>
      </c>
      <c r="D49">
        <v>73.235728643216063</v>
      </c>
      <c r="E49">
        <v>76.099999999999994</v>
      </c>
      <c r="G49">
        <v>85.587499999999977</v>
      </c>
      <c r="H49">
        <v>87.907199999999975</v>
      </c>
      <c r="I49">
        <v>90.906699999999987</v>
      </c>
      <c r="J49">
        <v>80.7</v>
      </c>
      <c r="K49" s="2">
        <v>45201</v>
      </c>
    </row>
    <row r="50" spans="1:11" x14ac:dyDescent="0.25">
      <c r="A50" s="4">
        <f>DATE(2024,5,22)</f>
        <v>45434</v>
      </c>
      <c r="B50">
        <v>71.139499999999998</v>
      </c>
      <c r="C50">
        <v>66.81204081632653</v>
      </c>
      <c r="D50">
        <v>73.304170854271348</v>
      </c>
      <c r="E50">
        <v>76.67</v>
      </c>
      <c r="G50">
        <v>85.381999999999977</v>
      </c>
      <c r="H50">
        <v>87.656399999999977</v>
      </c>
      <c r="I50">
        <v>90.859899999999982</v>
      </c>
      <c r="J50">
        <v>79.8</v>
      </c>
      <c r="K50" s="2">
        <v>45202</v>
      </c>
    </row>
    <row r="51" spans="1:11" x14ac:dyDescent="0.25">
      <c r="A51" s="4">
        <f>DATE(2024,5,21)</f>
        <v>45433</v>
      </c>
      <c r="B51">
        <v>70.648499999999984</v>
      </c>
      <c r="C51">
        <v>66.410612244897962</v>
      </c>
      <c r="D51">
        <v>73.358442211055262</v>
      </c>
      <c r="E51">
        <v>76.2</v>
      </c>
      <c r="G51">
        <v>85.287999999999982</v>
      </c>
      <c r="H51">
        <v>87.477400000000003</v>
      </c>
      <c r="I51">
        <v>90.822149999999979</v>
      </c>
      <c r="J51">
        <v>81.819999999999993</v>
      </c>
      <c r="K51" s="2">
        <v>45203</v>
      </c>
    </row>
    <row r="52" spans="1:11" x14ac:dyDescent="0.25">
      <c r="A52" s="4">
        <f>DATE(2024,5,20)</f>
        <v>45432</v>
      </c>
      <c r="B52">
        <v>70.157499999999985</v>
      </c>
      <c r="C52">
        <v>66.001020408163271</v>
      </c>
      <c r="D52">
        <v>73.411809045226121</v>
      </c>
      <c r="E52">
        <v>74.239999999999995</v>
      </c>
      <c r="G52">
        <v>85.166499999999985</v>
      </c>
      <c r="H52">
        <v>87.276199999999989</v>
      </c>
      <c r="I52">
        <v>90.784449999999978</v>
      </c>
      <c r="J52">
        <v>80.86</v>
      </c>
      <c r="K52" s="2">
        <v>45204</v>
      </c>
    </row>
    <row r="53" spans="1:11" x14ac:dyDescent="0.25">
      <c r="A53" s="4">
        <f>DATE(2024,5,17)</f>
        <v>45429</v>
      </c>
      <c r="B53">
        <v>69.765499999999975</v>
      </c>
      <c r="C53">
        <v>65.679795918367361</v>
      </c>
      <c r="D53">
        <v>73.47537688442209</v>
      </c>
      <c r="E53">
        <v>70.52</v>
      </c>
      <c r="G53">
        <v>85.116500000000002</v>
      </c>
      <c r="H53">
        <v>87.114599999999996</v>
      </c>
      <c r="I53">
        <v>90.756599999999978</v>
      </c>
      <c r="J53">
        <v>80.62</v>
      </c>
      <c r="K53" s="2">
        <v>45205</v>
      </c>
    </row>
    <row r="54" spans="1:11" x14ac:dyDescent="0.25">
      <c r="A54" s="4">
        <f>DATE(2024,5,16)</f>
        <v>45428</v>
      </c>
      <c r="B54">
        <v>69.66549999999998</v>
      </c>
      <c r="C54">
        <v>65.453673469387766</v>
      </c>
      <c r="D54">
        <v>73.550954773869321</v>
      </c>
      <c r="E54">
        <v>70.790000000000006</v>
      </c>
      <c r="G54">
        <v>85.111500000000007</v>
      </c>
      <c r="H54">
        <v>87.010999999999981</v>
      </c>
      <c r="I54">
        <v>90.743699999999976</v>
      </c>
      <c r="J54">
        <v>81.63</v>
      </c>
      <c r="K54" s="2">
        <v>45208</v>
      </c>
    </row>
    <row r="55" spans="1:11" x14ac:dyDescent="0.25">
      <c r="A55" s="4">
        <f>DATE(2024,5,15)</f>
        <v>45427</v>
      </c>
      <c r="B55">
        <v>69.703499999999991</v>
      </c>
      <c r="C55">
        <v>65.208775510204092</v>
      </c>
      <c r="D55">
        <v>73.629045226130629</v>
      </c>
      <c r="E55">
        <v>69.19</v>
      </c>
      <c r="G55">
        <v>85.292500000000004</v>
      </c>
      <c r="H55">
        <v>87.01339999999999</v>
      </c>
      <c r="I55">
        <v>90.756099999999975</v>
      </c>
      <c r="J55">
        <v>84.74</v>
      </c>
      <c r="K55" s="2">
        <v>45209</v>
      </c>
    </row>
    <row r="56" spans="1:11" x14ac:dyDescent="0.25">
      <c r="A56" s="4">
        <f>DATE(2024,5,14)</f>
        <v>45426</v>
      </c>
      <c r="B56">
        <v>69.760499999999979</v>
      </c>
      <c r="C56">
        <v>65.021224489795927</v>
      </c>
      <c r="D56">
        <v>73.720201005025103</v>
      </c>
      <c r="E56">
        <v>70.099999999999994</v>
      </c>
      <c r="G56">
        <v>85.293500000000009</v>
      </c>
      <c r="H56">
        <v>87.024999999999977</v>
      </c>
      <c r="I56">
        <v>90.748399999999961</v>
      </c>
      <c r="J56">
        <v>83.78</v>
      </c>
      <c r="K56" s="2">
        <v>45210</v>
      </c>
    </row>
    <row r="57" spans="1:11" x14ac:dyDescent="0.25">
      <c r="A57" s="4">
        <f>DATE(2024,5,13)</f>
        <v>45425</v>
      </c>
      <c r="B57">
        <v>69.967999999999989</v>
      </c>
      <c r="C57">
        <v>64.759591836734714</v>
      </c>
      <c r="D57">
        <v>73.800703517587905</v>
      </c>
      <c r="E57">
        <v>70.069999999999993</v>
      </c>
      <c r="G57">
        <v>85.419499999999999</v>
      </c>
      <c r="H57">
        <v>87.045799999999986</v>
      </c>
      <c r="I57">
        <v>90.76094999999998</v>
      </c>
      <c r="J57">
        <v>85.45</v>
      </c>
      <c r="K57" s="2">
        <v>45211</v>
      </c>
    </row>
    <row r="58" spans="1:11" x14ac:dyDescent="0.25">
      <c r="A58" s="4">
        <f>DATE(2024,5,10)</f>
        <v>45422</v>
      </c>
      <c r="B58">
        <v>69.972499999999997</v>
      </c>
      <c r="C58">
        <v>64.478775510204088</v>
      </c>
      <c r="D58">
        <v>73.888492462311532</v>
      </c>
      <c r="E58">
        <v>71.59</v>
      </c>
      <c r="G58">
        <v>85.597500000000011</v>
      </c>
      <c r="H58">
        <v>87.090799999999987</v>
      </c>
      <c r="I58">
        <v>90.801749999999998</v>
      </c>
      <c r="J58">
        <v>85.66</v>
      </c>
      <c r="K58" s="2">
        <v>45212</v>
      </c>
    </row>
    <row r="59" spans="1:11" x14ac:dyDescent="0.25">
      <c r="A59" s="4">
        <f>DATE(2024,5,9)</f>
        <v>45421</v>
      </c>
      <c r="B59">
        <v>69.974999999999994</v>
      </c>
      <c r="C59">
        <v>64.169591836734696</v>
      </c>
      <c r="D59">
        <v>73.979648241205993</v>
      </c>
      <c r="E59">
        <v>73.62</v>
      </c>
      <c r="G59">
        <v>85.72399999999999</v>
      </c>
      <c r="H59">
        <v>87.106199999999973</v>
      </c>
      <c r="I59">
        <v>90.826149999999998</v>
      </c>
      <c r="J59">
        <v>83.41</v>
      </c>
      <c r="K59" s="2">
        <v>45215</v>
      </c>
    </row>
    <row r="60" spans="1:11" x14ac:dyDescent="0.25">
      <c r="A60" s="4">
        <f>DATE(2024,5,8)</f>
        <v>45420</v>
      </c>
      <c r="B60">
        <v>69.735500000000002</v>
      </c>
      <c r="C60">
        <v>63.834693877551025</v>
      </c>
      <c r="D60">
        <v>74.070100502512517</v>
      </c>
      <c r="E60">
        <v>71.92</v>
      </c>
      <c r="G60">
        <v>85.791499999999999</v>
      </c>
      <c r="H60">
        <v>87.079799999999977</v>
      </c>
      <c r="I60">
        <v>90.851300000000009</v>
      </c>
      <c r="J60">
        <v>82.65</v>
      </c>
      <c r="K60" s="2">
        <v>45216</v>
      </c>
    </row>
    <row r="61" spans="1:11" x14ac:dyDescent="0.25">
      <c r="A61" s="4">
        <f>DATE(2024,5,7)</f>
        <v>45419</v>
      </c>
      <c r="B61">
        <v>69.281999999999996</v>
      </c>
      <c r="C61">
        <v>63.508979591836734</v>
      </c>
      <c r="D61">
        <v>74.180251256281366</v>
      </c>
      <c r="E61">
        <v>70.849999999999994</v>
      </c>
      <c r="G61">
        <v>85.742999999999981</v>
      </c>
      <c r="H61">
        <v>87.037599999999983</v>
      </c>
      <c r="I61">
        <v>90.855249999999998</v>
      </c>
      <c r="J61">
        <v>81.790000000000006</v>
      </c>
      <c r="K61" s="2">
        <v>45217</v>
      </c>
    </row>
    <row r="62" spans="1:11" x14ac:dyDescent="0.25">
      <c r="A62" s="4">
        <f>DATE(2024,5,6)</f>
        <v>45418</v>
      </c>
      <c r="B62">
        <v>68.9375</v>
      </c>
      <c r="C62">
        <v>63.161632653061226</v>
      </c>
      <c r="D62">
        <v>74.295025125628086</v>
      </c>
      <c r="E62">
        <v>73.67</v>
      </c>
      <c r="G62">
        <v>85.621499999999997</v>
      </c>
      <c r="H62">
        <v>86.986599999999967</v>
      </c>
      <c r="I62">
        <v>90.86124999999997</v>
      </c>
      <c r="J62">
        <v>82</v>
      </c>
      <c r="K62" s="2">
        <v>45218</v>
      </c>
    </row>
    <row r="63" spans="1:11" x14ac:dyDescent="0.25">
      <c r="A63" s="4">
        <f>DATE(2024,5,3)</f>
        <v>45415</v>
      </c>
      <c r="B63">
        <v>68.423500000000004</v>
      </c>
      <c r="C63">
        <v>62.729795918367344</v>
      </c>
      <c r="D63">
        <v>74.40351758793966</v>
      </c>
      <c r="E63">
        <v>71.84</v>
      </c>
      <c r="G63">
        <v>85.44</v>
      </c>
      <c r="H63">
        <v>86.883999999999972</v>
      </c>
      <c r="I63">
        <v>90.874449999999982</v>
      </c>
      <c r="J63">
        <v>81.67</v>
      </c>
      <c r="K63" s="2">
        <v>45219</v>
      </c>
    </row>
    <row r="64" spans="1:11" x14ac:dyDescent="0.25">
      <c r="A64" s="4">
        <f>DATE(2024,5,2)</f>
        <v>45414</v>
      </c>
      <c r="B64">
        <v>67.882000000000005</v>
      </c>
      <c r="C64">
        <v>62.336938775510191</v>
      </c>
      <c r="D64">
        <v>74.515929648241155</v>
      </c>
      <c r="E64">
        <v>72.69</v>
      </c>
      <c r="G64">
        <v>85.210499999999996</v>
      </c>
      <c r="H64">
        <v>86.73099999999998</v>
      </c>
      <c r="I64">
        <v>90.875100000000003</v>
      </c>
      <c r="J64">
        <v>80.3</v>
      </c>
      <c r="K64" s="2">
        <v>45222</v>
      </c>
    </row>
    <row r="65" spans="1:11" x14ac:dyDescent="0.25">
      <c r="A65" s="4">
        <f>DATE(2024,5,1)</f>
        <v>45413</v>
      </c>
      <c r="B65">
        <v>67.167000000000002</v>
      </c>
      <c r="C65">
        <v>61.965918367346937</v>
      </c>
      <c r="D65">
        <v>74.626733668341657</v>
      </c>
      <c r="E65">
        <v>67.91</v>
      </c>
      <c r="G65">
        <v>85.117999999999981</v>
      </c>
      <c r="H65">
        <v>86.606799999999978</v>
      </c>
      <c r="I65">
        <v>90.880250000000018</v>
      </c>
      <c r="J65">
        <v>80.66</v>
      </c>
      <c r="K65" s="2">
        <v>45223</v>
      </c>
    </row>
    <row r="66" spans="1:11" x14ac:dyDescent="0.25">
      <c r="A66" s="4">
        <f>DATE(2024,4,30)</f>
        <v>45412</v>
      </c>
      <c r="B66">
        <v>66.648999999999987</v>
      </c>
      <c r="C66">
        <v>61.686326530612249</v>
      </c>
      <c r="D66">
        <v>74.756633165829101</v>
      </c>
      <c r="E66">
        <v>69.2</v>
      </c>
      <c r="G66">
        <v>85.021499999999975</v>
      </c>
      <c r="H66">
        <v>86.433799999999977</v>
      </c>
      <c r="I66">
        <v>90.892299999999992</v>
      </c>
      <c r="J66">
        <v>79.930000000000007</v>
      </c>
      <c r="K66" s="2">
        <v>45224</v>
      </c>
    </row>
    <row r="67" spans="1:11" x14ac:dyDescent="0.25">
      <c r="A67" s="4">
        <f>DATE(2024,4,29)</f>
        <v>45411</v>
      </c>
      <c r="B67">
        <v>66.133999999999986</v>
      </c>
      <c r="C67">
        <v>61.358571428571423</v>
      </c>
      <c r="D67">
        <v>74.870703517587884</v>
      </c>
      <c r="E67">
        <v>65.8</v>
      </c>
      <c r="G67">
        <v>84.844999999999985</v>
      </c>
      <c r="H67">
        <v>86.24839999999999</v>
      </c>
      <c r="I67">
        <v>90.893099999999976</v>
      </c>
      <c r="J67">
        <v>79.58</v>
      </c>
      <c r="K67" s="2">
        <v>45225</v>
      </c>
    </row>
    <row r="68" spans="1:11" x14ac:dyDescent="0.25">
      <c r="A68" s="4">
        <f>DATE(2024,4,26)</f>
        <v>45408</v>
      </c>
      <c r="B68">
        <v>66.151578947368421</v>
      </c>
      <c r="C68">
        <v>61.181224489795909</v>
      </c>
      <c r="D68">
        <v>74.997839195979864</v>
      </c>
      <c r="E68">
        <v>67.510000000000005</v>
      </c>
      <c r="G68">
        <v>84.740499999999997</v>
      </c>
      <c r="H68">
        <v>86.07459999999999</v>
      </c>
      <c r="I68">
        <v>90.870799999999974</v>
      </c>
      <c r="J68">
        <v>79.36</v>
      </c>
      <c r="K68" s="2">
        <v>45226</v>
      </c>
    </row>
    <row r="69" spans="1:11" x14ac:dyDescent="0.25">
      <c r="A69" s="4">
        <f>DATE(2024,4,25)</f>
        <v>45407</v>
      </c>
      <c r="B69">
        <v>65.857894736842113</v>
      </c>
      <c r="C69">
        <v>60.986122448979579</v>
      </c>
      <c r="D69">
        <v>75.109346733668303</v>
      </c>
      <c r="E69">
        <v>68.41</v>
      </c>
      <c r="G69">
        <v>84.644499999999994</v>
      </c>
      <c r="H69">
        <v>85.893199999999965</v>
      </c>
      <c r="I69">
        <v>90.843400000000003</v>
      </c>
      <c r="J69">
        <v>78.78</v>
      </c>
      <c r="K69" s="2">
        <v>45229</v>
      </c>
    </row>
    <row r="70" spans="1:11" x14ac:dyDescent="0.25">
      <c r="A70" s="4">
        <f>DATE(2024,4,24)</f>
        <v>45406</v>
      </c>
      <c r="B70">
        <v>65.55263157894737</v>
      </c>
      <c r="C70">
        <v>60.741836734693877</v>
      </c>
      <c r="D70">
        <v>75.21417085427133</v>
      </c>
      <c r="E70">
        <v>66.849999999999994</v>
      </c>
      <c r="G70">
        <v>84.625</v>
      </c>
      <c r="H70">
        <v>85.681199999999976</v>
      </c>
      <c r="I70">
        <v>90.81500000000004</v>
      </c>
      <c r="J70">
        <v>79.41</v>
      </c>
      <c r="K70" s="2">
        <v>45230</v>
      </c>
    </row>
    <row r="71" spans="1:11" x14ac:dyDescent="0.25">
      <c r="A71" s="4">
        <f>DATE(2024,4,23)</f>
        <v>45405</v>
      </c>
      <c r="B71">
        <v>65.350000000000023</v>
      </c>
      <c r="C71">
        <v>60.533673469387757</v>
      </c>
      <c r="D71">
        <v>75.324472361809001</v>
      </c>
      <c r="E71">
        <v>66.38</v>
      </c>
      <c r="G71">
        <v>84.466999999999985</v>
      </c>
      <c r="H71">
        <v>85.494399999999985</v>
      </c>
      <c r="I71">
        <v>90.786000000000044</v>
      </c>
      <c r="J71">
        <v>78.66</v>
      </c>
      <c r="K71" s="2">
        <v>45231</v>
      </c>
    </row>
    <row r="72" spans="1:11" x14ac:dyDescent="0.25">
      <c r="A72" s="4">
        <f>DATE(2024,4,22)</f>
        <v>45404</v>
      </c>
      <c r="B72">
        <v>65.268947368421053</v>
      </c>
      <c r="C72">
        <v>60.346326530612238</v>
      </c>
      <c r="D72">
        <v>75.436884422110523</v>
      </c>
      <c r="E72">
        <v>66.400000000000006</v>
      </c>
      <c r="G72">
        <v>84.376999999999981</v>
      </c>
      <c r="H72">
        <v>85.37139999999998</v>
      </c>
      <c r="I72">
        <v>90.771450000000044</v>
      </c>
      <c r="J72">
        <v>79.06</v>
      </c>
      <c r="K72" s="2">
        <v>45232</v>
      </c>
    </row>
    <row r="73" spans="1:11" x14ac:dyDescent="0.25">
      <c r="A73" s="4">
        <f>DATE(2024,4,19)</f>
        <v>45401</v>
      </c>
      <c r="B73">
        <v>65.011052631578949</v>
      </c>
      <c r="C73">
        <v>60.191224489795907</v>
      </c>
      <c r="D73">
        <v>75.555326633165791</v>
      </c>
      <c r="E73">
        <v>68.52</v>
      </c>
      <c r="G73">
        <v>84.205999999999989</v>
      </c>
      <c r="H73">
        <v>85.210399999999979</v>
      </c>
      <c r="I73">
        <v>90.733950000000036</v>
      </c>
      <c r="J73">
        <v>77.2</v>
      </c>
      <c r="K73" s="2">
        <v>45233</v>
      </c>
    </row>
    <row r="74" spans="1:11" x14ac:dyDescent="0.25">
      <c r="A74" s="4">
        <f>DATE(2024,4,18)</f>
        <v>45400</v>
      </c>
      <c r="B74">
        <v>64.529473684210529</v>
      </c>
      <c r="C74">
        <v>60.031836734693869</v>
      </c>
      <c r="D74">
        <v>75.659145728643182</v>
      </c>
      <c r="E74">
        <v>71.55</v>
      </c>
      <c r="G74">
        <v>83.918499999999995</v>
      </c>
      <c r="H74">
        <v>85.015999999999963</v>
      </c>
      <c r="I74">
        <v>90.666400000000024</v>
      </c>
      <c r="J74">
        <v>75.88</v>
      </c>
      <c r="K74" s="2">
        <v>45236</v>
      </c>
    </row>
    <row r="75" spans="1:11" x14ac:dyDescent="0.25">
      <c r="A75" s="4">
        <f>DATE(2024,4,17)</f>
        <v>45399</v>
      </c>
      <c r="B75">
        <v>63.922105263157903</v>
      </c>
      <c r="C75">
        <v>59.8434693877551</v>
      </c>
      <c r="D75">
        <v>75.747185929648211</v>
      </c>
      <c r="E75">
        <v>70.33</v>
      </c>
      <c r="G75">
        <v>83.4495</v>
      </c>
      <c r="H75">
        <v>84.823199999999986</v>
      </c>
      <c r="I75">
        <v>90.595450000000042</v>
      </c>
      <c r="J75">
        <v>75.36</v>
      </c>
      <c r="K75" s="2">
        <v>45237</v>
      </c>
    </row>
    <row r="76" spans="1:11" x14ac:dyDescent="0.25">
      <c r="A76" s="4">
        <f>DATE(2024,4,16)</f>
        <v>45398</v>
      </c>
      <c r="B76">
        <v>63.44736842105263</v>
      </c>
      <c r="C76">
        <v>59.703877551020405</v>
      </c>
      <c r="D76">
        <v>75.842060301507502</v>
      </c>
      <c r="E76">
        <v>74.25</v>
      </c>
      <c r="G76">
        <v>83.030499999999989</v>
      </c>
      <c r="H76">
        <v>84.611199999999968</v>
      </c>
      <c r="I76">
        <v>90.523400000000038</v>
      </c>
      <c r="J76">
        <v>75.400000000000006</v>
      </c>
      <c r="K76" s="2">
        <v>45238</v>
      </c>
    </row>
    <row r="77" spans="1:11" x14ac:dyDescent="0.25">
      <c r="A77" s="4">
        <f>DATE(2024,4,15)</f>
        <v>45397</v>
      </c>
      <c r="B77">
        <v>62.77210526315789</v>
      </c>
      <c r="C77">
        <v>59.465918367346944</v>
      </c>
      <c r="D77">
        <v>75.914824120602972</v>
      </c>
      <c r="E77">
        <v>70.16</v>
      </c>
      <c r="G77">
        <v>82.623000000000005</v>
      </c>
      <c r="H77">
        <v>84.436599999999984</v>
      </c>
      <c r="I77">
        <v>90.444900000000032</v>
      </c>
      <c r="J77">
        <v>77.3</v>
      </c>
      <c r="K77" s="2">
        <v>45239</v>
      </c>
    </row>
    <row r="78" spans="1:11" x14ac:dyDescent="0.25">
      <c r="A78" s="4">
        <f>DATE(2024,4,12)</f>
        <v>45394</v>
      </c>
      <c r="B78">
        <v>62.204736842105255</v>
      </c>
      <c r="C78">
        <v>59.33</v>
      </c>
      <c r="D78">
        <v>76.017587939698444</v>
      </c>
      <c r="E78">
        <v>71.64</v>
      </c>
      <c r="G78">
        <v>82.265000000000015</v>
      </c>
      <c r="H78">
        <v>84.29379999999999</v>
      </c>
      <c r="I78">
        <v>90.359400000000022</v>
      </c>
      <c r="J78">
        <v>78.5</v>
      </c>
      <c r="K78" s="2">
        <v>45240</v>
      </c>
    </row>
    <row r="79" spans="1:11" x14ac:dyDescent="0.25">
      <c r="A79" s="4">
        <f>DATE(2024,4,11)</f>
        <v>45393</v>
      </c>
      <c r="B79">
        <v>61.528947368421051</v>
      </c>
      <c r="C79">
        <v>59.139795918367355</v>
      </c>
      <c r="D79">
        <v>76.112361809045183</v>
      </c>
      <c r="E79">
        <v>68.83</v>
      </c>
      <c r="G79">
        <v>81.946500000000015</v>
      </c>
      <c r="H79">
        <v>84.152999999999992</v>
      </c>
      <c r="I79">
        <v>90.276650000000032</v>
      </c>
      <c r="J79">
        <v>77.040000000000006</v>
      </c>
      <c r="K79" s="2">
        <v>45243</v>
      </c>
    </row>
    <row r="80" spans="1:11" x14ac:dyDescent="0.25">
      <c r="A80" s="4">
        <f>DATE(2024,4,10)</f>
        <v>45392</v>
      </c>
      <c r="B80">
        <v>60.846842105263157</v>
      </c>
      <c r="C80">
        <v>59.049387755102053</v>
      </c>
      <c r="D80">
        <v>76.231256281406999</v>
      </c>
      <c r="E80">
        <v>62.85</v>
      </c>
      <c r="G80">
        <v>81.742499999999993</v>
      </c>
      <c r="H80">
        <v>84.04619999999997</v>
      </c>
      <c r="I80">
        <v>90.201150000000013</v>
      </c>
      <c r="J80">
        <v>78.569999999999993</v>
      </c>
      <c r="K80" s="2">
        <v>45244</v>
      </c>
    </row>
    <row r="81" spans="1:11" x14ac:dyDescent="0.25">
      <c r="A81" s="4">
        <f>DATE(2024,4,9)</f>
        <v>45391</v>
      </c>
      <c r="B81">
        <v>60.538947368421056</v>
      </c>
      <c r="C81">
        <v>59.073265306122458</v>
      </c>
      <c r="D81">
        <v>76.372964824120558</v>
      </c>
      <c r="E81">
        <v>63.96</v>
      </c>
      <c r="G81">
        <v>81.643000000000001</v>
      </c>
      <c r="H81">
        <v>83.968199999999982</v>
      </c>
      <c r="I81">
        <v>90.144250000000028</v>
      </c>
      <c r="J81">
        <v>79.8</v>
      </c>
      <c r="K81" s="2">
        <v>45245</v>
      </c>
    </row>
    <row r="82" spans="1:11" x14ac:dyDescent="0.25">
      <c r="A82" s="4">
        <f>DATE(2024,4,8)</f>
        <v>45390</v>
      </c>
      <c r="B82">
        <v>60.126842105263165</v>
      </c>
      <c r="C82">
        <v>59.028571428571439</v>
      </c>
      <c r="D82">
        <v>76.509497487437145</v>
      </c>
      <c r="E82">
        <v>63.39</v>
      </c>
      <c r="G82">
        <v>81.402999999999992</v>
      </c>
      <c r="H82">
        <v>83.846399999999988</v>
      </c>
      <c r="I82">
        <v>90.077750000000037</v>
      </c>
      <c r="J82">
        <v>77.2</v>
      </c>
      <c r="K82" s="2">
        <v>45246</v>
      </c>
    </row>
    <row r="83" spans="1:11" x14ac:dyDescent="0.25">
      <c r="A83" s="4">
        <f>DATE(2024,4,5)</f>
        <v>45387</v>
      </c>
      <c r="B83">
        <v>59.869473684210526</v>
      </c>
      <c r="C83">
        <v>59.02265306122451</v>
      </c>
      <c r="D83">
        <v>76.653316582914542</v>
      </c>
      <c r="E83">
        <v>61.01</v>
      </c>
      <c r="G83">
        <v>81.131000000000029</v>
      </c>
      <c r="H83">
        <v>83.738599999999991</v>
      </c>
      <c r="I83">
        <v>90.006950000000032</v>
      </c>
      <c r="J83">
        <v>76.23</v>
      </c>
      <c r="K83" s="2">
        <v>45247</v>
      </c>
    </row>
    <row r="84" spans="1:11" x14ac:dyDescent="0.25">
      <c r="A84" s="4">
        <f>DATE(2024,4,4)</f>
        <v>45386</v>
      </c>
      <c r="B84">
        <v>59.786842105263169</v>
      </c>
      <c r="C84">
        <v>59.071632653061236</v>
      </c>
      <c r="D84">
        <v>76.796030150753737</v>
      </c>
      <c r="E84">
        <v>58.39</v>
      </c>
      <c r="G84">
        <v>80.949000000000012</v>
      </c>
      <c r="H84">
        <v>83.637199999999993</v>
      </c>
      <c r="I84">
        <v>89.933650000000029</v>
      </c>
      <c r="J84">
        <v>76.66</v>
      </c>
      <c r="K84" s="2">
        <v>45250</v>
      </c>
    </row>
    <row r="85" spans="1:11" x14ac:dyDescent="0.25">
      <c r="A85" s="4">
        <f>DATE(2024,4,3)</f>
        <v>45385</v>
      </c>
      <c r="B85">
        <v>59.807894736842115</v>
      </c>
      <c r="C85">
        <v>59.222857142857151</v>
      </c>
      <c r="D85">
        <v>76.957236180904488</v>
      </c>
      <c r="E85">
        <v>57.55</v>
      </c>
      <c r="G85">
        <v>80.676500000000004</v>
      </c>
      <c r="H85">
        <v>83.518999999999991</v>
      </c>
      <c r="I85">
        <v>89.843100000000035</v>
      </c>
      <c r="J85">
        <v>75.209999999999994</v>
      </c>
      <c r="K85" s="2">
        <v>45251</v>
      </c>
    </row>
    <row r="86" spans="1:11" x14ac:dyDescent="0.25">
      <c r="A86" s="4">
        <f>DATE(2024,4,2)</f>
        <v>45384</v>
      </c>
      <c r="B86">
        <v>59.936842105263153</v>
      </c>
      <c r="C86">
        <v>59.339591836734719</v>
      </c>
      <c r="D86">
        <v>77.139748743718556</v>
      </c>
      <c r="E86">
        <v>58.9</v>
      </c>
      <c r="G86">
        <v>80.435000000000016</v>
      </c>
      <c r="H86">
        <v>83.345799999999997</v>
      </c>
      <c r="I86">
        <v>89.756400000000028</v>
      </c>
      <c r="J86">
        <v>75.099999999999994</v>
      </c>
      <c r="K86" s="2">
        <v>45252</v>
      </c>
    </row>
    <row r="87" spans="1:11" x14ac:dyDescent="0.25">
      <c r="A87" s="4">
        <f>DATE(2024,4,1)</f>
        <v>45383</v>
      </c>
      <c r="B87">
        <v>59.851578947368409</v>
      </c>
      <c r="C87">
        <v>59.411224489795927</v>
      </c>
      <c r="D87">
        <v>77.314974874371842</v>
      </c>
      <c r="E87">
        <v>61.93</v>
      </c>
      <c r="G87">
        <v>80.284499999999994</v>
      </c>
      <c r="H87">
        <v>83.218599999999981</v>
      </c>
      <c r="I87">
        <v>89.682300000000055</v>
      </c>
      <c r="J87">
        <v>76.569999999999993</v>
      </c>
      <c r="K87" s="2">
        <v>45253</v>
      </c>
    </row>
    <row r="88" spans="1:11" x14ac:dyDescent="0.25">
      <c r="A88" s="4">
        <f>DATE(2024,3,29)</f>
        <v>45380</v>
      </c>
      <c r="B88">
        <v>59.674499999999988</v>
      </c>
      <c r="C88">
        <v>59.491400000000013</v>
      </c>
      <c r="D88">
        <v>77.415549999999982</v>
      </c>
      <c r="E88">
        <v>61.93</v>
      </c>
      <c r="G88">
        <v>80.139499999999984</v>
      </c>
      <c r="H88">
        <v>83.105799999999988</v>
      </c>
      <c r="I88">
        <v>89.591650000000087</v>
      </c>
      <c r="J88">
        <v>76.459999999999994</v>
      </c>
      <c r="K88" s="2">
        <v>45254</v>
      </c>
    </row>
    <row r="89" spans="1:11" x14ac:dyDescent="0.25">
      <c r="A89" s="4">
        <f>DATE(2024,3,28)</f>
        <v>45379</v>
      </c>
      <c r="B89">
        <v>59.674499999999988</v>
      </c>
      <c r="C89">
        <v>59.491400000000013</v>
      </c>
      <c r="D89">
        <v>77.415549999999982</v>
      </c>
      <c r="E89">
        <v>61.93</v>
      </c>
      <c r="G89">
        <v>79.853999999999999</v>
      </c>
      <c r="H89">
        <v>82.949599999999975</v>
      </c>
      <c r="I89">
        <v>89.467750000000066</v>
      </c>
      <c r="J89">
        <v>73.069999999999993</v>
      </c>
      <c r="K89" s="2">
        <v>45257</v>
      </c>
    </row>
    <row r="90" spans="1:11" x14ac:dyDescent="0.25">
      <c r="A90" s="4">
        <f>DATE(2024,3,27)</f>
        <v>45378</v>
      </c>
      <c r="B90">
        <v>59.399999999999977</v>
      </c>
      <c r="C90">
        <v>59.518400000000021</v>
      </c>
      <c r="D90">
        <v>77.586649999999992</v>
      </c>
      <c r="E90">
        <v>62.61</v>
      </c>
      <c r="G90">
        <v>79.508500000000012</v>
      </c>
      <c r="H90">
        <v>82.773599999999988</v>
      </c>
      <c r="I90">
        <v>89.350100000000054</v>
      </c>
      <c r="J90">
        <v>72.5</v>
      </c>
      <c r="K90" s="2">
        <v>45258</v>
      </c>
    </row>
    <row r="91" spans="1:11" x14ac:dyDescent="0.25">
      <c r="A91" s="4">
        <f>DATE(2024,3,26)</f>
        <v>45377</v>
      </c>
      <c r="B91">
        <v>59.129999999999981</v>
      </c>
      <c r="C91">
        <v>59.532400000000024</v>
      </c>
      <c r="D91">
        <v>77.747799999999984</v>
      </c>
      <c r="E91">
        <v>63</v>
      </c>
      <c r="G91">
        <v>79.114499999999992</v>
      </c>
      <c r="H91">
        <v>82.533999999999963</v>
      </c>
      <c r="I91">
        <v>89.212500000000048</v>
      </c>
      <c r="J91">
        <v>70.78</v>
      </c>
      <c r="K91" s="2">
        <v>45259</v>
      </c>
    </row>
    <row r="92" spans="1:11" x14ac:dyDescent="0.25">
      <c r="A92" s="4">
        <f>DATE(2024,3,25)</f>
        <v>45376</v>
      </c>
      <c r="B92">
        <v>58.777999999999984</v>
      </c>
      <c r="C92">
        <v>59.582200000000022</v>
      </c>
      <c r="D92">
        <v>77.912049999999979</v>
      </c>
      <c r="E92">
        <v>64.84</v>
      </c>
      <c r="G92">
        <v>78.688999999999993</v>
      </c>
      <c r="H92">
        <v>82.256399999999999</v>
      </c>
      <c r="I92">
        <v>89.064650000000057</v>
      </c>
      <c r="J92">
        <v>70.55</v>
      </c>
      <c r="K92" s="2">
        <v>45260</v>
      </c>
    </row>
    <row r="93" spans="1:11" x14ac:dyDescent="0.25">
      <c r="A93" s="4">
        <f>DATE(2024,3,22)</f>
        <v>45373</v>
      </c>
      <c r="B93">
        <v>58.227499999999999</v>
      </c>
      <c r="C93">
        <v>59.623400000000011</v>
      </c>
      <c r="D93">
        <v>78.070549999999983</v>
      </c>
      <c r="E93">
        <v>61.5</v>
      </c>
      <c r="G93">
        <v>78.45150000000001</v>
      </c>
      <c r="H93">
        <v>81.99939999999998</v>
      </c>
      <c r="I93">
        <v>88.945400000000063</v>
      </c>
      <c r="J93">
        <v>72.45</v>
      </c>
      <c r="K93" s="2">
        <v>45261</v>
      </c>
    </row>
    <row r="94" spans="1:11" x14ac:dyDescent="0.25">
      <c r="A94" s="4">
        <f>DATE(2024,3,21)</f>
        <v>45372</v>
      </c>
      <c r="B94">
        <v>57.777999999999984</v>
      </c>
      <c r="C94">
        <v>59.709600000000009</v>
      </c>
      <c r="D94">
        <v>78.231249999999989</v>
      </c>
      <c r="E94">
        <v>59.37</v>
      </c>
      <c r="G94">
        <v>78.179000000000002</v>
      </c>
      <c r="H94">
        <v>81.710199999999972</v>
      </c>
      <c r="I94">
        <v>88.814100000000067</v>
      </c>
      <c r="J94">
        <v>70.430000000000007</v>
      </c>
      <c r="K94" s="2">
        <v>45264</v>
      </c>
    </row>
    <row r="95" spans="1:11" x14ac:dyDescent="0.25">
      <c r="A95" s="4">
        <f>DATE(2024,3,20)</f>
        <v>45371</v>
      </c>
      <c r="B95">
        <v>57.438999999999986</v>
      </c>
      <c r="C95">
        <v>59.880200000000016</v>
      </c>
      <c r="D95">
        <v>78.39009999999999</v>
      </c>
      <c r="E95">
        <v>60.01</v>
      </c>
      <c r="G95">
        <v>77.856499999999997</v>
      </c>
      <c r="H95">
        <v>81.438199999999966</v>
      </c>
      <c r="I95">
        <v>88.669400000000081</v>
      </c>
      <c r="J95">
        <v>68.91</v>
      </c>
      <c r="K95" s="2">
        <v>45265</v>
      </c>
    </row>
    <row r="96" spans="1:11" x14ac:dyDescent="0.25">
      <c r="A96" s="4">
        <f>DATE(2024,3,19)</f>
        <v>45370</v>
      </c>
      <c r="B96">
        <v>57.164000000000001</v>
      </c>
      <c r="C96">
        <v>60.080200000000012</v>
      </c>
      <c r="D96">
        <v>78.53534999999998</v>
      </c>
      <c r="E96">
        <v>61.31</v>
      </c>
      <c r="G96">
        <v>77.534500000000008</v>
      </c>
      <c r="H96">
        <v>81.180199999999957</v>
      </c>
      <c r="I96">
        <v>88.512750000000082</v>
      </c>
      <c r="J96">
        <v>68.959999999999994</v>
      </c>
      <c r="K96" s="2">
        <v>45266</v>
      </c>
    </row>
    <row r="97" spans="1:11" x14ac:dyDescent="0.25">
      <c r="A97" s="4">
        <f>DATE(2024,3,18)</f>
        <v>45369</v>
      </c>
      <c r="B97">
        <v>56.80899999999999</v>
      </c>
      <c r="C97">
        <v>60.295200000000015</v>
      </c>
      <c r="D97">
        <v>78.660149999999973</v>
      </c>
      <c r="E97">
        <v>61.42</v>
      </c>
      <c r="G97">
        <v>77.168000000000006</v>
      </c>
      <c r="H97">
        <v>80.917399999999972</v>
      </c>
      <c r="I97">
        <v>88.364900000000091</v>
      </c>
      <c r="J97">
        <v>69.97</v>
      </c>
      <c r="K97" s="2">
        <v>45267</v>
      </c>
    </row>
    <row r="98" spans="1:11" x14ac:dyDescent="0.25">
      <c r="A98" s="4">
        <f>DATE(2024,3,15)</f>
        <v>45366</v>
      </c>
      <c r="B98">
        <v>56.395000000000003</v>
      </c>
      <c r="C98">
        <v>60.507800000000024</v>
      </c>
      <c r="D98">
        <v>78.78694999999999</v>
      </c>
      <c r="E98">
        <v>59.38</v>
      </c>
      <c r="G98">
        <v>76.674000000000007</v>
      </c>
      <c r="H98">
        <v>80.660799999999981</v>
      </c>
      <c r="I98">
        <v>88.22245000000008</v>
      </c>
      <c r="J98">
        <v>68.62</v>
      </c>
      <c r="K98" s="2">
        <v>45268</v>
      </c>
    </row>
    <row r="99" spans="1:11" x14ac:dyDescent="0.25">
      <c r="A99" s="4">
        <f>DATE(2024,3,14)</f>
        <v>45365</v>
      </c>
      <c r="B99">
        <v>56.28149999999998</v>
      </c>
      <c r="C99">
        <v>60.843000000000018</v>
      </c>
      <c r="D99">
        <v>78.912849999999992</v>
      </c>
      <c r="E99">
        <v>58.8</v>
      </c>
      <c r="G99">
        <v>76.188999999999993</v>
      </c>
      <c r="H99">
        <v>80.393599999999992</v>
      </c>
      <c r="I99">
        <v>88.094150000000084</v>
      </c>
      <c r="J99">
        <v>67.34</v>
      </c>
      <c r="K99" s="2">
        <v>45271</v>
      </c>
    </row>
    <row r="100" spans="1:11" x14ac:dyDescent="0.25">
      <c r="A100" s="4">
        <f>DATE(2024,3,13)</f>
        <v>45364</v>
      </c>
      <c r="B100">
        <v>56.23899999999999</v>
      </c>
      <c r="C100">
        <v>61.184400000000011</v>
      </c>
      <c r="D100">
        <v>79.047750000000008</v>
      </c>
      <c r="E100">
        <v>55.87</v>
      </c>
      <c r="G100">
        <v>75.672500000000014</v>
      </c>
      <c r="H100">
        <v>80.162399999999991</v>
      </c>
      <c r="I100">
        <v>87.974000000000089</v>
      </c>
      <c r="J100">
        <v>68.239999999999995</v>
      </c>
      <c r="K100" s="2">
        <v>45272</v>
      </c>
    </row>
    <row r="101" spans="1:11" x14ac:dyDescent="0.25">
      <c r="A101" s="4">
        <f>DATE(2024,3,12)</f>
        <v>45363</v>
      </c>
      <c r="B101">
        <v>56.267500000000005</v>
      </c>
      <c r="C101">
        <v>61.616800000000012</v>
      </c>
      <c r="D101">
        <v>79.175599999999989</v>
      </c>
      <c r="E101">
        <v>57</v>
      </c>
      <c r="G101">
        <v>75.126499999999993</v>
      </c>
      <c r="H101">
        <v>79.903599999999983</v>
      </c>
      <c r="I101">
        <v>87.853650000000073</v>
      </c>
      <c r="J101">
        <v>68.88</v>
      </c>
      <c r="K101" s="2">
        <v>45273</v>
      </c>
    </row>
    <row r="102" spans="1:11" x14ac:dyDescent="0.25">
      <c r="A102" s="4">
        <f>DATE(2024,3,11)</f>
        <v>45362</v>
      </c>
      <c r="B102">
        <v>56.25</v>
      </c>
      <c r="C102">
        <v>62.000200000000014</v>
      </c>
      <c r="D102">
        <v>79.299949999999995</v>
      </c>
      <c r="E102">
        <v>56.13</v>
      </c>
      <c r="G102">
        <v>74.603000000000023</v>
      </c>
      <c r="H102">
        <v>79.620999999999967</v>
      </c>
      <c r="I102">
        <v>87.707600000000056</v>
      </c>
      <c r="J102">
        <v>66.73</v>
      </c>
      <c r="K102" s="2">
        <v>45274</v>
      </c>
    </row>
    <row r="103" spans="1:11" x14ac:dyDescent="0.25">
      <c r="A103" s="4">
        <f>DATE(2024,3,8)</f>
        <v>45359</v>
      </c>
      <c r="B103">
        <v>56.303500000000007</v>
      </c>
      <c r="C103">
        <v>62.481400000000022</v>
      </c>
      <c r="D103">
        <v>79.437750000000008</v>
      </c>
      <c r="E103">
        <v>58.5</v>
      </c>
      <c r="G103">
        <v>74.170000000000016</v>
      </c>
      <c r="H103">
        <v>79.359999999999971</v>
      </c>
      <c r="I103">
        <v>87.556300000000064</v>
      </c>
      <c r="J103">
        <v>67.569999999999993</v>
      </c>
      <c r="K103" s="2">
        <v>45275</v>
      </c>
    </row>
    <row r="104" spans="1:11" x14ac:dyDescent="0.25">
      <c r="A104" s="4">
        <f>DATE(2024,3,7)</f>
        <v>45358</v>
      </c>
      <c r="B104">
        <v>56.318499999999993</v>
      </c>
      <c r="C104">
        <v>62.916200000000011</v>
      </c>
      <c r="D104">
        <v>79.561750000000004</v>
      </c>
      <c r="E104">
        <v>59.44</v>
      </c>
      <c r="G104">
        <v>73.778500000000022</v>
      </c>
      <c r="H104">
        <v>79.103999999999971</v>
      </c>
      <c r="I104">
        <v>87.403950000000066</v>
      </c>
      <c r="J104">
        <v>68.83</v>
      </c>
      <c r="K104" s="2">
        <v>45278</v>
      </c>
    </row>
    <row r="105" spans="1:11" x14ac:dyDescent="0.25">
      <c r="A105" s="4">
        <f>DATE(2024,3,6)</f>
        <v>45357</v>
      </c>
      <c r="B105">
        <v>56.382000000000005</v>
      </c>
      <c r="C105">
        <v>63.328200000000024</v>
      </c>
      <c r="D105">
        <v>79.694150000000008</v>
      </c>
      <c r="E105">
        <v>58.79</v>
      </c>
      <c r="G105">
        <v>73.46850000000002</v>
      </c>
      <c r="H105">
        <v>78.789399999999972</v>
      </c>
      <c r="I105">
        <v>87.248150000000038</v>
      </c>
      <c r="J105">
        <v>71.930000000000007</v>
      </c>
      <c r="K105" s="2">
        <v>45279</v>
      </c>
    </row>
    <row r="106" spans="1:11" x14ac:dyDescent="0.25">
      <c r="A106" s="4">
        <f>DATE(2024,3,5)</f>
        <v>45356</v>
      </c>
      <c r="B106">
        <v>56.558500000000002</v>
      </c>
      <c r="C106">
        <v>63.73520000000002</v>
      </c>
      <c r="D106">
        <v>79.830449999999999</v>
      </c>
      <c r="E106">
        <v>60</v>
      </c>
      <c r="G106">
        <v>73.33550000000001</v>
      </c>
      <c r="H106">
        <v>78.562599999999975</v>
      </c>
      <c r="I106">
        <v>87.132800000000046</v>
      </c>
      <c r="J106">
        <v>75.36</v>
      </c>
      <c r="K106" s="2">
        <v>45280</v>
      </c>
    </row>
    <row r="107" spans="1:11" x14ac:dyDescent="0.25">
      <c r="A107" s="4">
        <f>DATE(2024,3,4)</f>
        <v>45355</v>
      </c>
      <c r="B107">
        <v>56.733000000000004</v>
      </c>
      <c r="C107">
        <v>64.098000000000013</v>
      </c>
      <c r="D107">
        <v>79.958200000000005</v>
      </c>
      <c r="E107">
        <v>57.28</v>
      </c>
      <c r="G107">
        <v>73.268000000000001</v>
      </c>
      <c r="H107">
        <v>78.35799999999999</v>
      </c>
      <c r="I107">
        <v>87.044550000000029</v>
      </c>
      <c r="J107">
        <v>78.14</v>
      </c>
      <c r="K107" s="2">
        <v>45281</v>
      </c>
    </row>
    <row r="108" spans="1:11" x14ac:dyDescent="0.25">
      <c r="A108" s="4">
        <f>DATE(2024,3,1)</f>
        <v>45352</v>
      </c>
      <c r="B108">
        <v>56.998500000000014</v>
      </c>
      <c r="C108">
        <v>64.459600000000023</v>
      </c>
      <c r="D108">
        <v>80.110349999999997</v>
      </c>
      <c r="E108">
        <v>56.31</v>
      </c>
      <c r="G108">
        <v>73.256000000000014</v>
      </c>
      <c r="H108">
        <v>78.169199999999989</v>
      </c>
      <c r="I108">
        <v>86.97950000000003</v>
      </c>
      <c r="J108">
        <v>79.14</v>
      </c>
      <c r="K108" s="2">
        <v>45282</v>
      </c>
    </row>
    <row r="109" spans="1:11" x14ac:dyDescent="0.25">
      <c r="A109" s="4">
        <f>DATE(2024,2,29)</f>
        <v>45351</v>
      </c>
      <c r="B109">
        <v>57.358000000000018</v>
      </c>
      <c r="C109">
        <v>64.77200000000002</v>
      </c>
      <c r="D109">
        <v>80.272400000000005</v>
      </c>
      <c r="E109">
        <v>56.44</v>
      </c>
      <c r="G109">
        <v>73.256000000000014</v>
      </c>
      <c r="H109">
        <v>78.169199999999989</v>
      </c>
      <c r="I109">
        <v>86.97950000000003</v>
      </c>
      <c r="J109">
        <v>79.14</v>
      </c>
      <c r="K109" s="2">
        <v>45285</v>
      </c>
    </row>
    <row r="110" spans="1:11" x14ac:dyDescent="0.25">
      <c r="A110" s="4">
        <f>DATE(2024,2,28)</f>
        <v>45350</v>
      </c>
      <c r="B110">
        <v>57.652000000000008</v>
      </c>
      <c r="C110">
        <v>65.078200000000024</v>
      </c>
      <c r="D110">
        <v>80.441050000000004</v>
      </c>
      <c r="E110">
        <v>57.21</v>
      </c>
      <c r="G110">
        <v>73.256000000000014</v>
      </c>
      <c r="H110">
        <v>78.169199999999989</v>
      </c>
      <c r="I110">
        <v>86.97950000000003</v>
      </c>
      <c r="J110">
        <v>79.14</v>
      </c>
      <c r="K110" s="2">
        <v>45286</v>
      </c>
    </row>
    <row r="111" spans="1:11" x14ac:dyDescent="0.25">
      <c r="A111" s="4">
        <f>DATE(2024,2,27)</f>
        <v>45349</v>
      </c>
      <c r="B111">
        <v>58.011499999999998</v>
      </c>
      <c r="C111">
        <v>65.343800000000016</v>
      </c>
      <c r="D111">
        <v>80.616749999999996</v>
      </c>
      <c r="E111">
        <v>55.96</v>
      </c>
      <c r="G111">
        <v>73.458500000000001</v>
      </c>
      <c r="H111">
        <v>78.043399999999977</v>
      </c>
      <c r="I111">
        <v>86.925800000000052</v>
      </c>
      <c r="J111">
        <v>80.040000000000006</v>
      </c>
      <c r="K111" s="2">
        <v>45287</v>
      </c>
    </row>
    <row r="112" spans="1:11" x14ac:dyDescent="0.25">
      <c r="A112" s="4">
        <f>DATE(2024,2,26)</f>
        <v>45348</v>
      </c>
      <c r="B112">
        <v>58.414499999999997</v>
      </c>
      <c r="C112">
        <v>65.61760000000001</v>
      </c>
      <c r="D112">
        <v>80.799800000000005</v>
      </c>
      <c r="E112">
        <v>53.83</v>
      </c>
      <c r="G112">
        <v>73.6995</v>
      </c>
      <c r="H112">
        <v>77.936799999999963</v>
      </c>
      <c r="I112">
        <v>86.870400000000046</v>
      </c>
      <c r="J112">
        <v>80.239999999999995</v>
      </c>
      <c r="K112" s="2">
        <v>45288</v>
      </c>
    </row>
    <row r="113" spans="1:11" x14ac:dyDescent="0.25">
      <c r="A113" s="4">
        <f>DATE(2024,2,23)</f>
        <v>45345</v>
      </c>
      <c r="B113">
        <v>58.811500000000009</v>
      </c>
      <c r="C113">
        <v>65.977000000000018</v>
      </c>
      <c r="D113">
        <v>80.98545</v>
      </c>
      <c r="E113">
        <v>52.51</v>
      </c>
      <c r="G113">
        <v>74.024000000000001</v>
      </c>
      <c r="H113">
        <v>77.846399999999974</v>
      </c>
      <c r="I113">
        <v>86.817500000000038</v>
      </c>
      <c r="J113">
        <v>80.19</v>
      </c>
      <c r="K113" s="2">
        <v>45289</v>
      </c>
    </row>
    <row r="114" spans="1:11" x14ac:dyDescent="0.25">
      <c r="A114" s="4">
        <f>DATE(2024,2,22)</f>
        <v>45344</v>
      </c>
      <c r="B114">
        <v>59.340999999999994</v>
      </c>
      <c r="C114">
        <v>66.350000000000009</v>
      </c>
      <c r="D114">
        <v>81.182150000000007</v>
      </c>
      <c r="E114">
        <v>52.59</v>
      </c>
      <c r="G114">
        <v>74.024000000000001</v>
      </c>
      <c r="H114">
        <v>77.846399999999974</v>
      </c>
      <c r="I114">
        <v>86.817500000000038</v>
      </c>
      <c r="J114">
        <v>80.19</v>
      </c>
      <c r="K114" s="2">
        <v>45292</v>
      </c>
    </row>
    <row r="115" spans="1:11" x14ac:dyDescent="0.25">
      <c r="A115" s="4">
        <f>DATE(2024,2,21)</f>
        <v>45343</v>
      </c>
      <c r="B115">
        <v>59.882000000000005</v>
      </c>
      <c r="C115">
        <v>66.703400000000016</v>
      </c>
      <c r="D115">
        <v>81.369500000000002</v>
      </c>
      <c r="E115">
        <v>54.51</v>
      </c>
      <c r="G115">
        <v>74.159000000000006</v>
      </c>
      <c r="H115">
        <v>77.671399999999977</v>
      </c>
      <c r="I115">
        <v>86.731550000000027</v>
      </c>
      <c r="J115">
        <v>76.17</v>
      </c>
      <c r="K115" s="2">
        <v>45293</v>
      </c>
    </row>
    <row r="116" spans="1:11" x14ac:dyDescent="0.25">
      <c r="A116" s="4">
        <f>DATE(2024,2,20)</f>
        <v>45342</v>
      </c>
      <c r="B116">
        <v>60.4465</v>
      </c>
      <c r="C116">
        <v>67.044000000000011</v>
      </c>
      <c r="D116">
        <v>81.556200000000004</v>
      </c>
      <c r="E116">
        <v>54.21</v>
      </c>
      <c r="G116">
        <v>74.265000000000015</v>
      </c>
      <c r="H116">
        <v>77.529399999999981</v>
      </c>
      <c r="I116">
        <v>86.655850000000044</v>
      </c>
      <c r="J116">
        <v>77.489999999999995</v>
      </c>
      <c r="K116" s="2">
        <v>45294</v>
      </c>
    </row>
    <row r="117" spans="1:11" x14ac:dyDescent="0.25">
      <c r="A117" s="4">
        <f>DATE(2024,2,19)</f>
        <v>45341</v>
      </c>
      <c r="B117">
        <v>60.89950000000001</v>
      </c>
      <c r="C117">
        <v>67.417600000000007</v>
      </c>
      <c r="D117">
        <v>81.742599999999982</v>
      </c>
      <c r="E117">
        <v>53.14</v>
      </c>
      <c r="G117">
        <v>74.391000000000005</v>
      </c>
      <c r="H117">
        <v>77.382399999999976</v>
      </c>
      <c r="I117">
        <v>86.555100000000039</v>
      </c>
      <c r="J117">
        <v>75.87</v>
      </c>
      <c r="K117" s="2">
        <v>45295</v>
      </c>
    </row>
    <row r="118" spans="1:11" x14ac:dyDescent="0.25">
      <c r="A118" s="4">
        <f>DATE(2024,2,16)</f>
        <v>45338</v>
      </c>
      <c r="B118">
        <v>61.363</v>
      </c>
      <c r="C118">
        <v>67.792400000000015</v>
      </c>
      <c r="D118">
        <v>81.936799999999991</v>
      </c>
      <c r="E118">
        <v>57.11</v>
      </c>
      <c r="G118">
        <v>74.606500000000011</v>
      </c>
      <c r="H118">
        <v>77.233599999999967</v>
      </c>
      <c r="I118">
        <v>86.482000000000042</v>
      </c>
      <c r="J118">
        <v>76.14</v>
      </c>
      <c r="K118" s="2">
        <v>45296</v>
      </c>
    </row>
    <row r="119" spans="1:11" x14ac:dyDescent="0.25">
      <c r="A119" s="4">
        <f>DATE(2024,2,15)</f>
        <v>45337</v>
      </c>
      <c r="B119">
        <v>61.678500000000021</v>
      </c>
      <c r="C119">
        <v>68.086799999999997</v>
      </c>
      <c r="D119">
        <v>82.103400000000008</v>
      </c>
      <c r="E119">
        <v>57.95</v>
      </c>
      <c r="G119">
        <v>74.615000000000009</v>
      </c>
      <c r="H119">
        <v>77.017599999999987</v>
      </c>
      <c r="I119">
        <v>86.387</v>
      </c>
      <c r="J119">
        <v>72.05</v>
      </c>
      <c r="K119" s="2">
        <v>45299</v>
      </c>
    </row>
    <row r="120" spans="1:11" x14ac:dyDescent="0.25">
      <c r="A120" s="4">
        <f>DATE(2024,2,14)</f>
        <v>45336</v>
      </c>
      <c r="B120">
        <v>61.945000000000014</v>
      </c>
      <c r="C120">
        <v>68.394800000000018</v>
      </c>
      <c r="D120">
        <v>82.256199999999993</v>
      </c>
      <c r="E120">
        <v>56.44</v>
      </c>
      <c r="G120">
        <v>74.573499999999996</v>
      </c>
      <c r="H120">
        <v>76.808799999999977</v>
      </c>
      <c r="I120">
        <v>86.28570000000002</v>
      </c>
      <c r="J120">
        <v>72.06</v>
      </c>
      <c r="K120" s="2">
        <v>45300</v>
      </c>
    </row>
    <row r="121" spans="1:11" x14ac:dyDescent="0.25">
      <c r="A121" s="4">
        <f>DATE(2024,2,13)</f>
        <v>45335</v>
      </c>
      <c r="B121">
        <v>62.288500000000013</v>
      </c>
      <c r="C121">
        <v>68.773400000000009</v>
      </c>
      <c r="D121">
        <v>82.413400000000024</v>
      </c>
      <c r="E121">
        <v>56.65</v>
      </c>
      <c r="G121">
        <v>74.496999999999986</v>
      </c>
      <c r="H121">
        <v>76.563399999999987</v>
      </c>
      <c r="I121">
        <v>86.171050000000008</v>
      </c>
      <c r="J121">
        <v>70.010000000000005</v>
      </c>
      <c r="K121" s="2">
        <v>45301</v>
      </c>
    </row>
    <row r="122" spans="1:11" x14ac:dyDescent="0.25">
      <c r="A122" s="4">
        <f>DATE(2024,2,12)</f>
        <v>45334</v>
      </c>
      <c r="B122">
        <v>62.730499999999992</v>
      </c>
      <c r="C122">
        <v>69.109800000000007</v>
      </c>
      <c r="D122">
        <v>82.567250000000001</v>
      </c>
      <c r="E122">
        <v>57.2</v>
      </c>
      <c r="G122">
        <v>74.378999999999991</v>
      </c>
      <c r="H122">
        <v>76.287399999999991</v>
      </c>
      <c r="I122">
        <v>86.041950000000014</v>
      </c>
      <c r="J122">
        <v>67.900000000000006</v>
      </c>
      <c r="K122" s="2">
        <v>45302</v>
      </c>
    </row>
    <row r="123" spans="1:11" x14ac:dyDescent="0.25">
      <c r="A123" s="4">
        <f>DATE(2024,2,9)</f>
        <v>45331</v>
      </c>
      <c r="B123">
        <v>63.215499999999999</v>
      </c>
      <c r="C123">
        <v>69.43980000000002</v>
      </c>
      <c r="D123">
        <v>82.721600000000024</v>
      </c>
      <c r="E123">
        <v>58.8</v>
      </c>
      <c r="G123">
        <v>74.111499999999978</v>
      </c>
      <c r="H123">
        <v>75.956999999999994</v>
      </c>
      <c r="I123">
        <v>85.897650000000027</v>
      </c>
      <c r="J123">
        <v>65.81</v>
      </c>
      <c r="K123" s="2">
        <v>45303</v>
      </c>
    </row>
    <row r="124" spans="1:11" x14ac:dyDescent="0.25">
      <c r="A124" s="4">
        <f>DATE(2024,2,8)</f>
        <v>45330</v>
      </c>
      <c r="B124">
        <v>63.565999999999988</v>
      </c>
      <c r="C124">
        <v>69.772200000000026</v>
      </c>
      <c r="D124">
        <v>82.884800000000013</v>
      </c>
      <c r="E124">
        <v>60.71</v>
      </c>
      <c r="G124">
        <v>73.866500000000002</v>
      </c>
      <c r="H124">
        <v>75.663399999999996</v>
      </c>
      <c r="I124">
        <v>85.737550000000027</v>
      </c>
      <c r="J124">
        <v>66.900000000000006</v>
      </c>
      <c r="K124" s="2">
        <v>45306</v>
      </c>
    </row>
    <row r="125" spans="1:11" x14ac:dyDescent="0.25">
      <c r="A125" s="4">
        <f>DATE(2024,2,7)</f>
        <v>45329</v>
      </c>
      <c r="B125">
        <v>63.925499999999985</v>
      </c>
      <c r="C125">
        <v>70.077800000000011</v>
      </c>
      <c r="D125">
        <v>83.024000000000029</v>
      </c>
      <c r="E125">
        <v>62.32</v>
      </c>
      <c r="G125">
        <v>73.658500000000004</v>
      </c>
      <c r="H125">
        <v>75.33359999999999</v>
      </c>
      <c r="I125">
        <v>85.575500000000034</v>
      </c>
      <c r="J125">
        <v>65.489999999999995</v>
      </c>
      <c r="K125" s="2">
        <v>45307</v>
      </c>
    </row>
    <row r="126" spans="1:11" x14ac:dyDescent="0.25">
      <c r="A126" s="4">
        <f>DATE(2024,2,6)</f>
        <v>45328</v>
      </c>
      <c r="B126">
        <v>64.309999999999988</v>
      </c>
      <c r="C126">
        <v>70.419000000000011</v>
      </c>
      <c r="D126">
        <v>83.165250000000029</v>
      </c>
      <c r="E126">
        <v>63.49</v>
      </c>
      <c r="G126">
        <v>73.299499999999995</v>
      </c>
      <c r="H126">
        <v>74.997399999999985</v>
      </c>
      <c r="I126">
        <v>85.392400000000052</v>
      </c>
      <c r="J126">
        <v>63.31</v>
      </c>
      <c r="K126" s="2">
        <v>45308</v>
      </c>
    </row>
    <row r="127" spans="1:11" x14ac:dyDescent="0.25">
      <c r="A127" s="4">
        <f>DATE(2024,2,5)</f>
        <v>45327</v>
      </c>
      <c r="B127">
        <v>64.738499999999988</v>
      </c>
      <c r="C127">
        <v>70.739000000000019</v>
      </c>
      <c r="D127">
        <v>83.295800000000014</v>
      </c>
      <c r="E127">
        <v>62.59</v>
      </c>
      <c r="G127">
        <v>72.876000000000005</v>
      </c>
      <c r="H127">
        <v>74.686999999999983</v>
      </c>
      <c r="I127">
        <v>85.210450000000051</v>
      </c>
      <c r="J127">
        <v>63.28</v>
      </c>
      <c r="K127" s="2">
        <v>45309</v>
      </c>
    </row>
    <row r="128" spans="1:11" x14ac:dyDescent="0.25">
      <c r="A128" s="4">
        <f>DATE(2024,2,2)</f>
        <v>45324</v>
      </c>
      <c r="B128">
        <v>65.211499999999987</v>
      </c>
      <c r="C128">
        <v>71.047600000000003</v>
      </c>
      <c r="D128">
        <v>83.428650000000019</v>
      </c>
      <c r="E128">
        <v>63.5</v>
      </c>
      <c r="G128">
        <v>72.450500000000005</v>
      </c>
      <c r="H128">
        <v>74.38979999999998</v>
      </c>
      <c r="I128">
        <v>85.025600000000054</v>
      </c>
      <c r="J128">
        <v>63.42</v>
      </c>
      <c r="K128" s="2">
        <v>45310</v>
      </c>
    </row>
    <row r="129" spans="1:11" x14ac:dyDescent="0.25">
      <c r="A129" s="4">
        <f>DATE(2024,2,1)</f>
        <v>45323</v>
      </c>
      <c r="B129">
        <v>65.843499999999992</v>
      </c>
      <c r="C129">
        <v>71.34020000000001</v>
      </c>
      <c r="D129">
        <v>83.55980000000001</v>
      </c>
      <c r="E129">
        <v>62.32</v>
      </c>
      <c r="G129">
        <v>71.803000000000011</v>
      </c>
      <c r="H129">
        <v>74.071599999999989</v>
      </c>
      <c r="I129">
        <v>84.84170000000006</v>
      </c>
      <c r="J129">
        <v>62.41</v>
      </c>
      <c r="K129" s="2">
        <v>45313</v>
      </c>
    </row>
    <row r="130" spans="1:11" x14ac:dyDescent="0.25">
      <c r="A130" s="4">
        <f>DATE(2024,1,31)</f>
        <v>45322</v>
      </c>
      <c r="B130">
        <v>66.520999999999987</v>
      </c>
      <c r="C130">
        <v>71.685400000000016</v>
      </c>
      <c r="D130">
        <v>83.705600000000018</v>
      </c>
      <c r="E130">
        <v>64.400000000000006</v>
      </c>
      <c r="G130">
        <v>71.0595</v>
      </c>
      <c r="H130">
        <v>73.732599999999991</v>
      </c>
      <c r="I130">
        <v>84.671500000000009</v>
      </c>
      <c r="J130">
        <v>63.27</v>
      </c>
      <c r="K130" s="2">
        <v>45314</v>
      </c>
    </row>
    <row r="131" spans="1:11" x14ac:dyDescent="0.25">
      <c r="A131" s="4">
        <f>DATE(2024,1,30)</f>
        <v>45321</v>
      </c>
      <c r="B131">
        <v>67.175499999999985</v>
      </c>
      <c r="C131">
        <v>71.980400000000003</v>
      </c>
      <c r="D131">
        <v>83.847499999999997</v>
      </c>
      <c r="E131">
        <v>64.02</v>
      </c>
      <c r="G131">
        <v>70.392500000000013</v>
      </c>
      <c r="H131">
        <v>73.420200000000008</v>
      </c>
      <c r="I131">
        <v>84.515350000000041</v>
      </c>
      <c r="J131">
        <v>65.8</v>
      </c>
      <c r="K131" s="2">
        <v>45315</v>
      </c>
    </row>
    <row r="132" spans="1:11" x14ac:dyDescent="0.25">
      <c r="A132" s="4">
        <f>DATE(2024,1,29)</f>
        <v>45320</v>
      </c>
      <c r="B132">
        <v>67.783000000000001</v>
      </c>
      <c r="C132">
        <v>72.302399999999992</v>
      </c>
      <c r="D132">
        <v>84.000699999999981</v>
      </c>
      <c r="E132">
        <v>61.77</v>
      </c>
      <c r="G132">
        <v>69.561000000000007</v>
      </c>
      <c r="H132">
        <v>73.089199999999991</v>
      </c>
      <c r="I132">
        <v>84.353250000000003</v>
      </c>
      <c r="J132">
        <v>63.41</v>
      </c>
      <c r="K132" s="2">
        <v>45316</v>
      </c>
    </row>
    <row r="133" spans="1:11" x14ac:dyDescent="0.25">
      <c r="A133" s="4">
        <f>DATE(2024,1,26)</f>
        <v>45317</v>
      </c>
      <c r="B133">
        <v>68.704000000000008</v>
      </c>
      <c r="C133">
        <v>72.721400000000003</v>
      </c>
      <c r="D133">
        <v>84.178399999999996</v>
      </c>
      <c r="E133">
        <v>63.1</v>
      </c>
      <c r="G133">
        <v>68.704000000000008</v>
      </c>
      <c r="H133">
        <v>72.721400000000003</v>
      </c>
      <c r="I133">
        <v>84.178399999999996</v>
      </c>
      <c r="J133">
        <v>63.1</v>
      </c>
      <c r="K133" s="2">
        <v>45317</v>
      </c>
    </row>
    <row r="134" spans="1:11" x14ac:dyDescent="0.25">
      <c r="A134" s="4">
        <f>DATE(2024,1,25)</f>
        <v>45316</v>
      </c>
      <c r="B134">
        <v>69.561000000000007</v>
      </c>
      <c r="C134">
        <v>73.089199999999991</v>
      </c>
      <c r="D134">
        <v>84.353250000000003</v>
      </c>
      <c r="E134">
        <v>63.41</v>
      </c>
      <c r="G134">
        <v>67.783000000000001</v>
      </c>
      <c r="H134">
        <v>72.302399999999992</v>
      </c>
      <c r="I134">
        <v>84.000699999999981</v>
      </c>
      <c r="J134">
        <v>61.77</v>
      </c>
      <c r="K134" s="2">
        <v>45320</v>
      </c>
    </row>
    <row r="135" spans="1:11" x14ac:dyDescent="0.25">
      <c r="A135" s="4">
        <f>DATE(2024,1,24)</f>
        <v>45315</v>
      </c>
      <c r="B135">
        <v>70.392500000000013</v>
      </c>
      <c r="C135">
        <v>73.420200000000008</v>
      </c>
      <c r="D135">
        <v>84.515350000000041</v>
      </c>
      <c r="E135">
        <v>65.8</v>
      </c>
      <c r="G135">
        <v>67.175499999999985</v>
      </c>
      <c r="H135">
        <v>71.980400000000003</v>
      </c>
      <c r="I135">
        <v>83.847499999999997</v>
      </c>
      <c r="J135">
        <v>64.02</v>
      </c>
      <c r="K135" s="2">
        <v>45321</v>
      </c>
    </row>
    <row r="136" spans="1:11" x14ac:dyDescent="0.25">
      <c r="A136" s="4">
        <f>DATE(2024,1,23)</f>
        <v>45314</v>
      </c>
      <c r="B136">
        <v>71.0595</v>
      </c>
      <c r="C136">
        <v>73.732599999999991</v>
      </c>
      <c r="D136">
        <v>84.671500000000009</v>
      </c>
      <c r="E136">
        <v>63.27</v>
      </c>
      <c r="G136">
        <v>66.520999999999987</v>
      </c>
      <c r="H136">
        <v>71.685400000000016</v>
      </c>
      <c r="I136">
        <v>83.705600000000018</v>
      </c>
      <c r="J136">
        <v>64.400000000000006</v>
      </c>
      <c r="K136" s="2">
        <v>45322</v>
      </c>
    </row>
    <row r="137" spans="1:11" x14ac:dyDescent="0.25">
      <c r="A137" s="4">
        <f>DATE(2024,1,22)</f>
        <v>45313</v>
      </c>
      <c r="B137">
        <v>71.803000000000011</v>
      </c>
      <c r="C137">
        <v>74.071599999999989</v>
      </c>
      <c r="D137">
        <v>84.84170000000006</v>
      </c>
      <c r="E137">
        <v>62.41</v>
      </c>
      <c r="G137">
        <v>65.843499999999992</v>
      </c>
      <c r="H137">
        <v>71.34020000000001</v>
      </c>
      <c r="I137">
        <v>83.55980000000001</v>
      </c>
      <c r="J137">
        <v>62.32</v>
      </c>
      <c r="K137" s="2">
        <v>45323</v>
      </c>
    </row>
    <row r="138" spans="1:11" x14ac:dyDescent="0.25">
      <c r="A138" s="4">
        <f>DATE(2024,1,19)</f>
        <v>45310</v>
      </c>
      <c r="B138">
        <v>72.450500000000005</v>
      </c>
      <c r="C138">
        <v>74.38979999999998</v>
      </c>
      <c r="D138">
        <v>85.025600000000054</v>
      </c>
      <c r="E138">
        <v>63.42</v>
      </c>
      <c r="G138">
        <v>65.211499999999987</v>
      </c>
      <c r="H138">
        <v>71.047600000000003</v>
      </c>
      <c r="I138">
        <v>83.428650000000019</v>
      </c>
      <c r="J138">
        <v>63.5</v>
      </c>
      <c r="K138" s="2">
        <v>45324</v>
      </c>
    </row>
    <row r="139" spans="1:11" x14ac:dyDescent="0.25">
      <c r="A139" s="4">
        <f>DATE(2024,1,18)</f>
        <v>45309</v>
      </c>
      <c r="B139">
        <v>72.876000000000005</v>
      </c>
      <c r="C139">
        <v>74.686999999999983</v>
      </c>
      <c r="D139">
        <v>85.210450000000051</v>
      </c>
      <c r="E139">
        <v>63.28</v>
      </c>
      <c r="G139">
        <v>64.738499999999988</v>
      </c>
      <c r="H139">
        <v>70.739000000000019</v>
      </c>
      <c r="I139">
        <v>83.295800000000014</v>
      </c>
      <c r="J139">
        <v>62.59</v>
      </c>
      <c r="K139" s="2">
        <v>45327</v>
      </c>
    </row>
    <row r="140" spans="1:11" x14ac:dyDescent="0.25">
      <c r="A140" s="4">
        <f>DATE(2024,1,17)</f>
        <v>45308</v>
      </c>
      <c r="B140">
        <v>73.299499999999995</v>
      </c>
      <c r="C140">
        <v>74.997399999999985</v>
      </c>
      <c r="D140">
        <v>85.392400000000052</v>
      </c>
      <c r="E140">
        <v>63.31</v>
      </c>
      <c r="G140">
        <v>64.309999999999988</v>
      </c>
      <c r="H140">
        <v>70.419000000000011</v>
      </c>
      <c r="I140">
        <v>83.165250000000029</v>
      </c>
      <c r="J140">
        <v>63.49</v>
      </c>
      <c r="K140" s="2">
        <v>45328</v>
      </c>
    </row>
    <row r="141" spans="1:11" x14ac:dyDescent="0.25">
      <c r="A141" s="4">
        <f>DATE(2024,1,16)</f>
        <v>45307</v>
      </c>
      <c r="B141">
        <v>73.658500000000004</v>
      </c>
      <c r="C141">
        <v>75.33359999999999</v>
      </c>
      <c r="D141">
        <v>85.575500000000034</v>
      </c>
      <c r="E141">
        <v>65.489999999999995</v>
      </c>
      <c r="G141">
        <v>63.925499999999985</v>
      </c>
      <c r="H141">
        <v>70.077800000000011</v>
      </c>
      <c r="I141">
        <v>83.024000000000029</v>
      </c>
      <c r="J141">
        <v>62.32</v>
      </c>
      <c r="K141" s="2">
        <v>45329</v>
      </c>
    </row>
    <row r="142" spans="1:11" x14ac:dyDescent="0.25">
      <c r="A142" s="4">
        <f>DATE(2024,1,15)</f>
        <v>45306</v>
      </c>
      <c r="B142">
        <v>73.866500000000002</v>
      </c>
      <c r="C142">
        <v>75.663399999999996</v>
      </c>
      <c r="D142">
        <v>85.737550000000027</v>
      </c>
      <c r="E142">
        <v>66.900000000000006</v>
      </c>
      <c r="G142">
        <v>63.565999999999988</v>
      </c>
      <c r="H142">
        <v>69.772200000000026</v>
      </c>
      <c r="I142">
        <v>82.884800000000013</v>
      </c>
      <c r="J142">
        <v>60.71</v>
      </c>
      <c r="K142" s="2">
        <v>45330</v>
      </c>
    </row>
    <row r="143" spans="1:11" x14ac:dyDescent="0.25">
      <c r="A143" s="4">
        <f>DATE(2024,1,12)</f>
        <v>45303</v>
      </c>
      <c r="B143">
        <v>74.111499999999978</v>
      </c>
      <c r="C143">
        <v>75.956999999999994</v>
      </c>
      <c r="D143">
        <v>85.897650000000027</v>
      </c>
      <c r="E143">
        <v>65.81</v>
      </c>
      <c r="G143">
        <v>63.215499999999999</v>
      </c>
      <c r="H143">
        <v>69.43980000000002</v>
      </c>
      <c r="I143">
        <v>82.721600000000024</v>
      </c>
      <c r="J143">
        <v>58.8</v>
      </c>
      <c r="K143" s="2">
        <v>45331</v>
      </c>
    </row>
    <row r="144" spans="1:11" x14ac:dyDescent="0.25">
      <c r="A144" s="4">
        <f>DATE(2024,1,11)</f>
        <v>45302</v>
      </c>
      <c r="B144">
        <v>74.378999999999991</v>
      </c>
      <c r="C144">
        <v>76.287399999999991</v>
      </c>
      <c r="D144">
        <v>86.041950000000014</v>
      </c>
      <c r="E144">
        <v>67.900000000000006</v>
      </c>
      <c r="G144">
        <v>62.730499999999992</v>
      </c>
      <c r="H144">
        <v>69.109800000000007</v>
      </c>
      <c r="I144">
        <v>82.567250000000001</v>
      </c>
      <c r="J144">
        <v>57.2</v>
      </c>
      <c r="K144" s="2">
        <v>45334</v>
      </c>
    </row>
    <row r="145" spans="1:11" x14ac:dyDescent="0.25">
      <c r="A145" s="4">
        <f>DATE(2024,1,10)</f>
        <v>45301</v>
      </c>
      <c r="B145">
        <v>74.496999999999986</v>
      </c>
      <c r="C145">
        <v>76.563399999999987</v>
      </c>
      <c r="D145">
        <v>86.171050000000008</v>
      </c>
      <c r="E145">
        <v>70.010000000000005</v>
      </c>
      <c r="G145">
        <v>62.288500000000013</v>
      </c>
      <c r="H145">
        <v>68.773400000000009</v>
      </c>
      <c r="I145">
        <v>82.413400000000024</v>
      </c>
      <c r="J145">
        <v>56.65</v>
      </c>
      <c r="K145" s="2">
        <v>45335</v>
      </c>
    </row>
    <row r="146" spans="1:11" x14ac:dyDescent="0.25">
      <c r="A146" s="4">
        <f>DATE(2024,1,9)</f>
        <v>45300</v>
      </c>
      <c r="B146">
        <v>74.573499999999996</v>
      </c>
      <c r="C146">
        <v>76.808799999999977</v>
      </c>
      <c r="D146">
        <v>86.28570000000002</v>
      </c>
      <c r="E146">
        <v>72.06</v>
      </c>
      <c r="G146">
        <v>61.945000000000014</v>
      </c>
      <c r="H146">
        <v>68.394800000000018</v>
      </c>
      <c r="I146">
        <v>82.256199999999993</v>
      </c>
      <c r="J146">
        <v>56.44</v>
      </c>
      <c r="K146" s="2">
        <v>45336</v>
      </c>
    </row>
    <row r="147" spans="1:11" x14ac:dyDescent="0.25">
      <c r="A147" s="4">
        <f>DATE(2024,1,8)</f>
        <v>45299</v>
      </c>
      <c r="B147">
        <v>74.615000000000009</v>
      </c>
      <c r="C147">
        <v>77.017599999999987</v>
      </c>
      <c r="D147">
        <v>86.387</v>
      </c>
      <c r="E147">
        <v>72.05</v>
      </c>
      <c r="G147">
        <v>61.678500000000021</v>
      </c>
      <c r="H147">
        <v>68.086799999999997</v>
      </c>
      <c r="I147">
        <v>82.103400000000008</v>
      </c>
      <c r="J147">
        <v>57.95</v>
      </c>
      <c r="K147" s="2">
        <v>45337</v>
      </c>
    </row>
    <row r="148" spans="1:11" x14ac:dyDescent="0.25">
      <c r="A148" s="4">
        <f>DATE(2024,1,5)</f>
        <v>45296</v>
      </c>
      <c r="B148">
        <v>74.606500000000011</v>
      </c>
      <c r="C148">
        <v>77.233599999999967</v>
      </c>
      <c r="D148">
        <v>86.482000000000042</v>
      </c>
      <c r="E148">
        <v>76.14</v>
      </c>
      <c r="G148">
        <v>61.363</v>
      </c>
      <c r="H148">
        <v>67.792400000000015</v>
      </c>
      <c r="I148">
        <v>81.936799999999991</v>
      </c>
      <c r="J148">
        <v>57.11</v>
      </c>
      <c r="K148" s="2">
        <v>45338</v>
      </c>
    </row>
    <row r="149" spans="1:11" x14ac:dyDescent="0.25">
      <c r="A149" s="4">
        <f>DATE(2024,1,4)</f>
        <v>45295</v>
      </c>
      <c r="B149">
        <v>74.391000000000005</v>
      </c>
      <c r="C149">
        <v>77.382399999999976</v>
      </c>
      <c r="D149">
        <v>86.555100000000039</v>
      </c>
      <c r="E149">
        <v>75.87</v>
      </c>
      <c r="G149">
        <v>60.89950000000001</v>
      </c>
      <c r="H149">
        <v>67.417600000000007</v>
      </c>
      <c r="I149">
        <v>81.742599999999982</v>
      </c>
      <c r="J149">
        <v>53.14</v>
      </c>
      <c r="K149" s="2">
        <v>45341</v>
      </c>
    </row>
    <row r="150" spans="1:11" x14ac:dyDescent="0.25">
      <c r="A150" s="4">
        <f>DATE(2024,1,3)</f>
        <v>45294</v>
      </c>
      <c r="B150">
        <v>74.265000000000015</v>
      </c>
      <c r="C150">
        <v>77.529399999999981</v>
      </c>
      <c r="D150">
        <v>86.655850000000044</v>
      </c>
      <c r="E150">
        <v>77.489999999999995</v>
      </c>
      <c r="G150">
        <v>60.4465</v>
      </c>
      <c r="H150">
        <v>67.044000000000011</v>
      </c>
      <c r="I150">
        <v>81.556200000000004</v>
      </c>
      <c r="J150">
        <v>54.21</v>
      </c>
      <c r="K150" s="2">
        <v>45342</v>
      </c>
    </row>
    <row r="151" spans="1:11" x14ac:dyDescent="0.25">
      <c r="A151" s="4">
        <f>DATE(2024,1,2)</f>
        <v>45293</v>
      </c>
      <c r="B151">
        <v>74.159000000000006</v>
      </c>
      <c r="C151">
        <v>77.671399999999977</v>
      </c>
      <c r="D151">
        <v>86.731550000000027</v>
      </c>
      <c r="E151">
        <v>76.17</v>
      </c>
      <c r="G151">
        <v>59.882000000000005</v>
      </c>
      <c r="H151">
        <v>66.703400000000016</v>
      </c>
      <c r="I151">
        <v>81.369500000000002</v>
      </c>
      <c r="J151">
        <v>54.51</v>
      </c>
      <c r="K151" s="2">
        <v>45343</v>
      </c>
    </row>
    <row r="152" spans="1:11" x14ac:dyDescent="0.25">
      <c r="A152" s="4">
        <f>DATE(2024,1,1)</f>
        <v>45292</v>
      </c>
      <c r="B152">
        <v>74.024000000000001</v>
      </c>
      <c r="C152">
        <v>77.846399999999974</v>
      </c>
      <c r="D152">
        <v>86.817500000000038</v>
      </c>
      <c r="E152">
        <v>80.19</v>
      </c>
      <c r="G152">
        <v>59.340999999999994</v>
      </c>
      <c r="H152">
        <v>66.350000000000009</v>
      </c>
      <c r="I152">
        <v>81.182150000000007</v>
      </c>
      <c r="J152">
        <v>52.59</v>
      </c>
      <c r="K152" s="2">
        <v>45344</v>
      </c>
    </row>
    <row r="153" spans="1:11" x14ac:dyDescent="0.25">
      <c r="A153" s="4">
        <f>DATE(2023,12,29)</f>
        <v>45289</v>
      </c>
      <c r="B153">
        <v>74.024000000000001</v>
      </c>
      <c r="C153">
        <v>77.846399999999974</v>
      </c>
      <c r="D153">
        <v>86.817500000000038</v>
      </c>
      <c r="E153">
        <v>80.19</v>
      </c>
      <c r="G153">
        <v>58.811500000000009</v>
      </c>
      <c r="H153">
        <v>65.977000000000018</v>
      </c>
      <c r="I153">
        <v>80.98545</v>
      </c>
      <c r="J153">
        <v>52.51</v>
      </c>
      <c r="K153" s="2">
        <v>45345</v>
      </c>
    </row>
    <row r="154" spans="1:11" x14ac:dyDescent="0.25">
      <c r="A154" s="4">
        <f>DATE(2023,12,28)</f>
        <v>45288</v>
      </c>
      <c r="B154">
        <v>73.6995</v>
      </c>
      <c r="C154">
        <v>77.936799999999963</v>
      </c>
      <c r="D154">
        <v>86.870400000000046</v>
      </c>
      <c r="E154">
        <v>80.239999999999995</v>
      </c>
      <c r="G154">
        <v>58.414499999999997</v>
      </c>
      <c r="H154">
        <v>65.61760000000001</v>
      </c>
      <c r="I154">
        <v>80.799800000000005</v>
      </c>
      <c r="J154">
        <v>53.83</v>
      </c>
      <c r="K154" s="2">
        <v>45348</v>
      </c>
    </row>
    <row r="155" spans="1:11" x14ac:dyDescent="0.25">
      <c r="A155" s="4">
        <f>DATE(2023,12,27)</f>
        <v>45287</v>
      </c>
      <c r="B155">
        <v>73.458500000000001</v>
      </c>
      <c r="C155">
        <v>78.043399999999977</v>
      </c>
      <c r="D155">
        <v>86.925800000000052</v>
      </c>
      <c r="E155">
        <v>80.040000000000006</v>
      </c>
      <c r="G155">
        <v>58.011499999999998</v>
      </c>
      <c r="H155">
        <v>65.343800000000016</v>
      </c>
      <c r="I155">
        <v>80.616749999999996</v>
      </c>
      <c r="J155">
        <v>55.96</v>
      </c>
      <c r="K155" s="2">
        <v>45349</v>
      </c>
    </row>
    <row r="156" spans="1:11" x14ac:dyDescent="0.25">
      <c r="A156" s="4">
        <f>DATE(2023,12,26)</f>
        <v>45286</v>
      </c>
      <c r="B156">
        <v>73.256000000000014</v>
      </c>
      <c r="C156">
        <v>78.169199999999989</v>
      </c>
      <c r="D156">
        <v>86.97950000000003</v>
      </c>
      <c r="E156">
        <v>79.14</v>
      </c>
      <c r="G156">
        <v>57.652000000000008</v>
      </c>
      <c r="H156">
        <v>65.078200000000024</v>
      </c>
      <c r="I156">
        <v>80.441050000000004</v>
      </c>
      <c r="J156">
        <v>57.21</v>
      </c>
      <c r="K156" s="2">
        <v>45350</v>
      </c>
    </row>
    <row r="157" spans="1:11" x14ac:dyDescent="0.25">
      <c r="A157" s="4">
        <f>DATE(2023,12,25)</f>
        <v>45285</v>
      </c>
      <c r="B157">
        <v>73.256000000000014</v>
      </c>
      <c r="C157">
        <v>78.169199999999989</v>
      </c>
      <c r="D157">
        <v>86.97950000000003</v>
      </c>
      <c r="E157">
        <v>79.14</v>
      </c>
      <c r="G157">
        <v>57.358000000000018</v>
      </c>
      <c r="H157">
        <v>64.77200000000002</v>
      </c>
      <c r="I157">
        <v>80.272400000000005</v>
      </c>
      <c r="J157">
        <v>56.44</v>
      </c>
      <c r="K157" s="2">
        <v>45351</v>
      </c>
    </row>
    <row r="158" spans="1:11" x14ac:dyDescent="0.25">
      <c r="A158" s="4">
        <f>DATE(2023,12,22)</f>
        <v>45282</v>
      </c>
      <c r="B158">
        <v>73.256000000000014</v>
      </c>
      <c r="C158">
        <v>78.169199999999989</v>
      </c>
      <c r="D158">
        <v>86.97950000000003</v>
      </c>
      <c r="E158">
        <v>79.14</v>
      </c>
      <c r="G158">
        <v>56.998500000000014</v>
      </c>
      <c r="H158">
        <v>64.459600000000023</v>
      </c>
      <c r="I158">
        <v>80.110349999999997</v>
      </c>
      <c r="J158">
        <v>56.31</v>
      </c>
      <c r="K158" s="2">
        <v>45352</v>
      </c>
    </row>
    <row r="159" spans="1:11" x14ac:dyDescent="0.25">
      <c r="A159" s="4">
        <f>DATE(2023,12,21)</f>
        <v>45281</v>
      </c>
      <c r="B159">
        <v>73.268000000000001</v>
      </c>
      <c r="C159">
        <v>78.35799999999999</v>
      </c>
      <c r="D159">
        <v>87.044550000000029</v>
      </c>
      <c r="E159">
        <v>78.14</v>
      </c>
      <c r="G159">
        <v>56.733000000000004</v>
      </c>
      <c r="H159">
        <v>64.098000000000013</v>
      </c>
      <c r="I159">
        <v>79.958200000000005</v>
      </c>
      <c r="J159">
        <v>57.28</v>
      </c>
      <c r="K159" s="2">
        <v>45355</v>
      </c>
    </row>
    <row r="160" spans="1:11" x14ac:dyDescent="0.25">
      <c r="A160" s="4">
        <f>DATE(2023,12,20)</f>
        <v>45280</v>
      </c>
      <c r="B160">
        <v>73.33550000000001</v>
      </c>
      <c r="C160">
        <v>78.562599999999975</v>
      </c>
      <c r="D160">
        <v>87.132800000000046</v>
      </c>
      <c r="E160">
        <v>75.36</v>
      </c>
      <c r="G160">
        <v>56.558500000000002</v>
      </c>
      <c r="H160">
        <v>63.73520000000002</v>
      </c>
      <c r="I160">
        <v>79.830449999999999</v>
      </c>
      <c r="J160">
        <v>60</v>
      </c>
      <c r="K160" s="2">
        <v>45356</v>
      </c>
    </row>
    <row r="161" spans="1:11" x14ac:dyDescent="0.25">
      <c r="A161" s="4">
        <f>DATE(2023,12,19)</f>
        <v>45279</v>
      </c>
      <c r="B161">
        <v>73.46850000000002</v>
      </c>
      <c r="C161">
        <v>78.789399999999972</v>
      </c>
      <c r="D161">
        <v>87.248150000000038</v>
      </c>
      <c r="E161">
        <v>71.930000000000007</v>
      </c>
      <c r="G161">
        <v>56.382000000000005</v>
      </c>
      <c r="H161">
        <v>63.328200000000024</v>
      </c>
      <c r="I161">
        <v>79.694150000000008</v>
      </c>
      <c r="J161">
        <v>58.79</v>
      </c>
      <c r="K161" s="2">
        <v>45357</v>
      </c>
    </row>
    <row r="162" spans="1:11" x14ac:dyDescent="0.25">
      <c r="A162" s="4">
        <f>DATE(2023,12,18)</f>
        <v>45278</v>
      </c>
      <c r="B162">
        <v>73.778500000000022</v>
      </c>
      <c r="C162">
        <v>79.103999999999971</v>
      </c>
      <c r="D162">
        <v>87.403950000000066</v>
      </c>
      <c r="E162">
        <v>68.83</v>
      </c>
      <c r="G162">
        <v>56.318499999999993</v>
      </c>
      <c r="H162">
        <v>62.916200000000011</v>
      </c>
      <c r="I162">
        <v>79.561750000000004</v>
      </c>
      <c r="J162">
        <v>59.44</v>
      </c>
      <c r="K162" s="2">
        <v>45358</v>
      </c>
    </row>
    <row r="163" spans="1:11" x14ac:dyDescent="0.25">
      <c r="A163" s="4">
        <f>DATE(2023,12,15)</f>
        <v>45275</v>
      </c>
      <c r="B163">
        <v>74.170000000000016</v>
      </c>
      <c r="C163">
        <v>79.359999999999971</v>
      </c>
      <c r="D163">
        <v>87.556300000000064</v>
      </c>
      <c r="E163">
        <v>67.569999999999993</v>
      </c>
      <c r="G163">
        <v>56.303500000000007</v>
      </c>
      <c r="H163">
        <v>62.481400000000022</v>
      </c>
      <c r="I163">
        <v>79.437750000000008</v>
      </c>
      <c r="J163">
        <v>58.5</v>
      </c>
      <c r="K163" s="2">
        <v>45359</v>
      </c>
    </row>
    <row r="164" spans="1:11" x14ac:dyDescent="0.25">
      <c r="A164" s="4">
        <f>DATE(2023,12,14)</f>
        <v>45274</v>
      </c>
      <c r="B164">
        <v>74.603000000000023</v>
      </c>
      <c r="C164">
        <v>79.620999999999967</v>
      </c>
      <c r="D164">
        <v>87.707600000000056</v>
      </c>
      <c r="E164">
        <v>66.73</v>
      </c>
      <c r="G164">
        <v>56.25</v>
      </c>
      <c r="H164">
        <v>62.000200000000014</v>
      </c>
      <c r="I164">
        <v>79.299949999999995</v>
      </c>
      <c r="J164">
        <v>56.13</v>
      </c>
      <c r="K164" s="2">
        <v>45362</v>
      </c>
    </row>
    <row r="165" spans="1:11" x14ac:dyDescent="0.25">
      <c r="A165" s="4">
        <f>DATE(2023,12,13)</f>
        <v>45273</v>
      </c>
      <c r="B165">
        <v>75.126499999999993</v>
      </c>
      <c r="C165">
        <v>79.903599999999983</v>
      </c>
      <c r="D165">
        <v>87.853650000000073</v>
      </c>
      <c r="E165">
        <v>68.88</v>
      </c>
      <c r="G165">
        <v>56.267500000000005</v>
      </c>
      <c r="H165">
        <v>61.616800000000012</v>
      </c>
      <c r="I165">
        <v>79.175599999999989</v>
      </c>
      <c r="J165">
        <v>57</v>
      </c>
      <c r="K165" s="2">
        <v>45363</v>
      </c>
    </row>
    <row r="166" spans="1:11" x14ac:dyDescent="0.25">
      <c r="A166" s="4">
        <f>DATE(2023,12,12)</f>
        <v>45272</v>
      </c>
      <c r="B166">
        <v>75.672500000000014</v>
      </c>
      <c r="C166">
        <v>80.162399999999991</v>
      </c>
      <c r="D166">
        <v>87.974000000000089</v>
      </c>
      <c r="E166">
        <v>68.239999999999995</v>
      </c>
      <c r="G166">
        <v>56.23899999999999</v>
      </c>
      <c r="H166">
        <v>61.184400000000011</v>
      </c>
      <c r="I166">
        <v>79.047750000000008</v>
      </c>
      <c r="J166">
        <v>55.87</v>
      </c>
      <c r="K166" s="2">
        <v>45364</v>
      </c>
    </row>
    <row r="167" spans="1:11" x14ac:dyDescent="0.25">
      <c r="A167" s="4">
        <f>DATE(2023,12,11)</f>
        <v>45271</v>
      </c>
      <c r="B167">
        <v>76.188999999999993</v>
      </c>
      <c r="C167">
        <v>80.393599999999992</v>
      </c>
      <c r="D167">
        <v>88.094150000000084</v>
      </c>
      <c r="E167">
        <v>67.34</v>
      </c>
      <c r="G167">
        <v>56.28149999999998</v>
      </c>
      <c r="H167">
        <v>60.843000000000018</v>
      </c>
      <c r="I167">
        <v>78.912849999999992</v>
      </c>
      <c r="J167">
        <v>58.8</v>
      </c>
      <c r="K167" s="2">
        <v>45365</v>
      </c>
    </row>
    <row r="168" spans="1:11" x14ac:dyDescent="0.25">
      <c r="A168" s="4">
        <f>DATE(2023,12,8)</f>
        <v>45268</v>
      </c>
      <c r="B168">
        <v>76.674000000000007</v>
      </c>
      <c r="C168">
        <v>80.660799999999981</v>
      </c>
      <c r="D168">
        <v>88.22245000000008</v>
      </c>
      <c r="E168">
        <v>68.62</v>
      </c>
      <c r="G168">
        <v>56.395000000000003</v>
      </c>
      <c r="H168">
        <v>60.507800000000024</v>
      </c>
      <c r="I168">
        <v>78.78694999999999</v>
      </c>
      <c r="J168">
        <v>59.38</v>
      </c>
      <c r="K168" s="2">
        <v>45366</v>
      </c>
    </row>
    <row r="169" spans="1:11" x14ac:dyDescent="0.25">
      <c r="A169" s="4">
        <f>DATE(2023,12,7)</f>
        <v>45267</v>
      </c>
      <c r="B169">
        <v>77.168000000000006</v>
      </c>
      <c r="C169">
        <v>80.917399999999972</v>
      </c>
      <c r="D169">
        <v>88.364900000000091</v>
      </c>
      <c r="E169">
        <v>69.97</v>
      </c>
      <c r="G169">
        <v>56.80899999999999</v>
      </c>
      <c r="H169">
        <v>60.295200000000015</v>
      </c>
      <c r="I169">
        <v>78.660149999999973</v>
      </c>
      <c r="J169">
        <v>61.42</v>
      </c>
      <c r="K169" s="2">
        <v>45369</v>
      </c>
    </row>
    <row r="170" spans="1:11" x14ac:dyDescent="0.25">
      <c r="A170" s="4">
        <f>DATE(2023,12,6)</f>
        <v>45266</v>
      </c>
      <c r="B170">
        <v>77.534500000000008</v>
      </c>
      <c r="C170">
        <v>81.180199999999957</v>
      </c>
      <c r="D170">
        <v>88.512750000000082</v>
      </c>
      <c r="E170">
        <v>68.959999999999994</v>
      </c>
      <c r="G170">
        <v>57.164000000000001</v>
      </c>
      <c r="H170">
        <v>60.080200000000012</v>
      </c>
      <c r="I170">
        <v>78.53534999999998</v>
      </c>
      <c r="J170">
        <v>61.31</v>
      </c>
      <c r="K170" s="2">
        <v>45370</v>
      </c>
    </row>
    <row r="171" spans="1:11" x14ac:dyDescent="0.25">
      <c r="A171" s="4">
        <f>DATE(2023,12,5)</f>
        <v>45265</v>
      </c>
      <c r="B171">
        <v>77.856499999999997</v>
      </c>
      <c r="C171">
        <v>81.438199999999966</v>
      </c>
      <c r="D171">
        <v>88.669400000000081</v>
      </c>
      <c r="E171">
        <v>68.91</v>
      </c>
      <c r="G171">
        <v>57.438999999999986</v>
      </c>
      <c r="H171">
        <v>59.880200000000016</v>
      </c>
      <c r="I171">
        <v>78.39009999999999</v>
      </c>
      <c r="J171">
        <v>60.01</v>
      </c>
      <c r="K171" s="2">
        <v>45371</v>
      </c>
    </row>
    <row r="172" spans="1:11" x14ac:dyDescent="0.25">
      <c r="A172" s="4">
        <f>DATE(2023,12,4)</f>
        <v>45264</v>
      </c>
      <c r="B172">
        <v>78.179000000000002</v>
      </c>
      <c r="C172">
        <v>81.710199999999972</v>
      </c>
      <c r="D172">
        <v>88.814100000000067</v>
      </c>
      <c r="E172">
        <v>70.430000000000007</v>
      </c>
      <c r="G172">
        <v>57.777999999999984</v>
      </c>
      <c r="H172">
        <v>59.709600000000009</v>
      </c>
      <c r="I172">
        <v>78.231249999999989</v>
      </c>
      <c r="J172">
        <v>59.37</v>
      </c>
      <c r="K172" s="2">
        <v>45372</v>
      </c>
    </row>
    <row r="173" spans="1:11" x14ac:dyDescent="0.25">
      <c r="A173" s="4">
        <f>DATE(2023,12,1)</f>
        <v>45261</v>
      </c>
      <c r="B173">
        <v>78.45150000000001</v>
      </c>
      <c r="C173">
        <v>81.99939999999998</v>
      </c>
      <c r="D173">
        <v>88.945400000000063</v>
      </c>
      <c r="E173">
        <v>72.45</v>
      </c>
      <c r="G173">
        <v>58.227499999999999</v>
      </c>
      <c r="H173">
        <v>59.623400000000011</v>
      </c>
      <c r="I173">
        <v>78.070549999999983</v>
      </c>
      <c r="J173">
        <v>61.5</v>
      </c>
      <c r="K173" s="2">
        <v>45373</v>
      </c>
    </row>
    <row r="174" spans="1:11" x14ac:dyDescent="0.25">
      <c r="A174" s="4">
        <f>DATE(2023,11,30)</f>
        <v>45260</v>
      </c>
      <c r="B174">
        <v>78.688999999999993</v>
      </c>
      <c r="C174">
        <v>82.256399999999999</v>
      </c>
      <c r="D174">
        <v>89.064650000000057</v>
      </c>
      <c r="E174">
        <v>70.55</v>
      </c>
      <c r="G174">
        <v>58.777999999999984</v>
      </c>
      <c r="H174">
        <v>59.582200000000022</v>
      </c>
      <c r="I174">
        <v>77.912049999999979</v>
      </c>
      <c r="J174">
        <v>64.84</v>
      </c>
      <c r="K174" s="2">
        <v>45376</v>
      </c>
    </row>
    <row r="175" spans="1:11" x14ac:dyDescent="0.25">
      <c r="A175" s="4">
        <f>DATE(2023,11,29)</f>
        <v>45259</v>
      </c>
      <c r="B175">
        <v>79.114499999999992</v>
      </c>
      <c r="C175">
        <v>82.533999999999963</v>
      </c>
      <c r="D175">
        <v>89.212500000000048</v>
      </c>
      <c r="E175">
        <v>70.78</v>
      </c>
      <c r="G175">
        <v>59.129999999999981</v>
      </c>
      <c r="H175">
        <v>59.532400000000024</v>
      </c>
      <c r="I175">
        <v>77.747799999999984</v>
      </c>
      <c r="J175">
        <v>63</v>
      </c>
      <c r="K175" s="2">
        <v>45377</v>
      </c>
    </row>
    <row r="176" spans="1:11" x14ac:dyDescent="0.25">
      <c r="A176" s="4">
        <f>DATE(2023,11,28)</f>
        <v>45258</v>
      </c>
      <c r="B176">
        <v>79.508500000000012</v>
      </c>
      <c r="C176">
        <v>82.773599999999988</v>
      </c>
      <c r="D176">
        <v>89.350100000000054</v>
      </c>
      <c r="E176">
        <v>72.5</v>
      </c>
      <c r="G176">
        <v>59.399999999999977</v>
      </c>
      <c r="H176">
        <v>59.518400000000021</v>
      </c>
      <c r="I176">
        <v>77.586649999999992</v>
      </c>
      <c r="J176">
        <v>62.61</v>
      </c>
      <c r="K176" s="2">
        <v>45378</v>
      </c>
    </row>
    <row r="177" spans="1:11" x14ac:dyDescent="0.25">
      <c r="A177" s="4">
        <f>DATE(2023,11,27)</f>
        <v>45257</v>
      </c>
      <c r="B177">
        <v>79.853999999999999</v>
      </c>
      <c r="C177">
        <v>82.949599999999975</v>
      </c>
      <c r="D177">
        <v>89.467750000000066</v>
      </c>
      <c r="E177">
        <v>73.069999999999993</v>
      </c>
      <c r="G177">
        <v>59.674499999999988</v>
      </c>
      <c r="H177">
        <v>59.491400000000013</v>
      </c>
      <c r="I177">
        <v>77.415549999999982</v>
      </c>
      <c r="J177">
        <v>61.93</v>
      </c>
      <c r="K177" s="2">
        <v>45379</v>
      </c>
    </row>
    <row r="178" spans="1:11" x14ac:dyDescent="0.25">
      <c r="A178" s="4">
        <f>DATE(2023,11,24)</f>
        <v>45254</v>
      </c>
      <c r="B178">
        <v>80.139499999999984</v>
      </c>
      <c r="C178">
        <v>83.105799999999988</v>
      </c>
      <c r="D178">
        <v>89.591650000000087</v>
      </c>
      <c r="E178">
        <v>76.459999999999994</v>
      </c>
      <c r="G178">
        <v>59.674499999999988</v>
      </c>
      <c r="H178">
        <v>59.491400000000013</v>
      </c>
      <c r="I178">
        <v>77.415549999999982</v>
      </c>
      <c r="J178">
        <v>61.93</v>
      </c>
      <c r="K178" s="2">
        <v>45380</v>
      </c>
    </row>
    <row r="179" spans="1:11" x14ac:dyDescent="0.25">
      <c r="A179" s="4">
        <f>DATE(2023,11,23)</f>
        <v>45253</v>
      </c>
      <c r="B179">
        <v>80.284499999999994</v>
      </c>
      <c r="C179">
        <v>83.218599999999981</v>
      </c>
      <c r="D179">
        <v>89.682300000000055</v>
      </c>
      <c r="E179">
        <v>76.569999999999993</v>
      </c>
      <c r="G179">
        <v>59.851578947368409</v>
      </c>
      <c r="H179">
        <v>59.411224489795927</v>
      </c>
      <c r="I179">
        <v>77.314974874371842</v>
      </c>
      <c r="J179">
        <v>61.93</v>
      </c>
      <c r="K179" s="2">
        <v>45383</v>
      </c>
    </row>
    <row r="180" spans="1:11" x14ac:dyDescent="0.25">
      <c r="A180" s="4">
        <f>DATE(2023,11,22)</f>
        <v>45252</v>
      </c>
      <c r="B180">
        <v>80.435000000000016</v>
      </c>
      <c r="C180">
        <v>83.345799999999997</v>
      </c>
      <c r="D180">
        <v>89.756400000000028</v>
      </c>
      <c r="E180">
        <v>75.099999999999994</v>
      </c>
      <c r="G180">
        <v>59.936842105263153</v>
      </c>
      <c r="H180">
        <v>59.339591836734719</v>
      </c>
      <c r="I180">
        <v>77.139748743718556</v>
      </c>
      <c r="J180">
        <v>58.9</v>
      </c>
      <c r="K180" s="2">
        <v>45384</v>
      </c>
    </row>
    <row r="181" spans="1:11" x14ac:dyDescent="0.25">
      <c r="A181" s="4">
        <f>DATE(2023,11,21)</f>
        <v>45251</v>
      </c>
      <c r="B181">
        <v>80.676500000000004</v>
      </c>
      <c r="C181">
        <v>83.518999999999991</v>
      </c>
      <c r="D181">
        <v>89.843100000000035</v>
      </c>
      <c r="E181">
        <v>75.209999999999994</v>
      </c>
      <c r="G181">
        <v>59.807894736842115</v>
      </c>
      <c r="H181">
        <v>59.222857142857151</v>
      </c>
      <c r="I181">
        <v>76.957236180904488</v>
      </c>
      <c r="J181">
        <v>57.55</v>
      </c>
      <c r="K181" s="2">
        <v>45385</v>
      </c>
    </row>
    <row r="182" spans="1:11" x14ac:dyDescent="0.25">
      <c r="A182" s="4">
        <f>DATE(2023,11,20)</f>
        <v>45250</v>
      </c>
      <c r="B182">
        <v>80.949000000000012</v>
      </c>
      <c r="C182">
        <v>83.637199999999993</v>
      </c>
      <c r="D182">
        <v>89.933650000000029</v>
      </c>
      <c r="E182">
        <v>76.66</v>
      </c>
      <c r="G182">
        <v>59.786842105263169</v>
      </c>
      <c r="H182">
        <v>59.071632653061236</v>
      </c>
      <c r="I182">
        <v>76.796030150753737</v>
      </c>
      <c r="J182">
        <v>58.39</v>
      </c>
      <c r="K182" s="2">
        <v>45386</v>
      </c>
    </row>
    <row r="183" spans="1:11" x14ac:dyDescent="0.25">
      <c r="A183" s="4">
        <f>DATE(2023,11,17)</f>
        <v>45247</v>
      </c>
      <c r="B183">
        <v>81.131000000000029</v>
      </c>
      <c r="C183">
        <v>83.738599999999991</v>
      </c>
      <c r="D183">
        <v>90.006950000000032</v>
      </c>
      <c r="E183">
        <v>76.23</v>
      </c>
      <c r="G183">
        <v>59.869473684210526</v>
      </c>
      <c r="H183">
        <v>59.02265306122451</v>
      </c>
      <c r="I183">
        <v>76.653316582914542</v>
      </c>
      <c r="J183">
        <v>61.01</v>
      </c>
      <c r="K183" s="2">
        <v>45387</v>
      </c>
    </row>
    <row r="184" spans="1:11" x14ac:dyDescent="0.25">
      <c r="A184" s="4">
        <f>DATE(2023,11,16)</f>
        <v>45246</v>
      </c>
      <c r="B184">
        <v>81.402999999999992</v>
      </c>
      <c r="C184">
        <v>83.846399999999988</v>
      </c>
      <c r="D184">
        <v>90.077750000000037</v>
      </c>
      <c r="E184">
        <v>77.2</v>
      </c>
      <c r="G184">
        <v>60.126842105263165</v>
      </c>
      <c r="H184">
        <v>59.028571428571439</v>
      </c>
      <c r="I184">
        <v>76.509497487437145</v>
      </c>
      <c r="J184">
        <v>63.39</v>
      </c>
      <c r="K184" s="2">
        <v>45390</v>
      </c>
    </row>
    <row r="185" spans="1:11" x14ac:dyDescent="0.25">
      <c r="A185" s="4">
        <f>DATE(2023,11,15)</f>
        <v>45245</v>
      </c>
      <c r="B185">
        <v>81.643000000000001</v>
      </c>
      <c r="C185">
        <v>83.968199999999982</v>
      </c>
      <c r="D185">
        <v>90.144250000000028</v>
      </c>
      <c r="E185">
        <v>79.8</v>
      </c>
      <c r="G185">
        <v>60.538947368421056</v>
      </c>
      <c r="H185">
        <v>59.073265306122458</v>
      </c>
      <c r="I185">
        <v>76.372964824120558</v>
      </c>
      <c r="J185">
        <v>63.96</v>
      </c>
      <c r="K185" s="2">
        <v>45391</v>
      </c>
    </row>
    <row r="186" spans="1:11" x14ac:dyDescent="0.25">
      <c r="A186" s="4">
        <f>DATE(2023,11,14)</f>
        <v>45244</v>
      </c>
      <c r="B186">
        <v>81.742499999999993</v>
      </c>
      <c r="C186">
        <v>84.04619999999997</v>
      </c>
      <c r="D186">
        <v>90.201150000000013</v>
      </c>
      <c r="E186">
        <v>78.569999999999993</v>
      </c>
      <c r="G186">
        <v>60.846842105263157</v>
      </c>
      <c r="H186">
        <v>59.049387755102053</v>
      </c>
      <c r="I186">
        <v>76.231256281406999</v>
      </c>
      <c r="J186">
        <v>62.85</v>
      </c>
      <c r="K186" s="2">
        <v>45392</v>
      </c>
    </row>
    <row r="187" spans="1:11" x14ac:dyDescent="0.25">
      <c r="A187" s="4">
        <f>DATE(2023,11,13)</f>
        <v>45243</v>
      </c>
      <c r="B187">
        <v>81.946500000000015</v>
      </c>
      <c r="C187">
        <v>84.152999999999992</v>
      </c>
      <c r="D187">
        <v>90.276650000000032</v>
      </c>
      <c r="E187">
        <v>77.040000000000006</v>
      </c>
      <c r="G187">
        <v>61.528947368421051</v>
      </c>
      <c r="H187">
        <v>59.139795918367355</v>
      </c>
      <c r="I187">
        <v>76.112361809045183</v>
      </c>
      <c r="J187">
        <v>68.83</v>
      </c>
      <c r="K187" s="2">
        <v>45393</v>
      </c>
    </row>
    <row r="188" spans="1:11" x14ac:dyDescent="0.25">
      <c r="A188" s="4">
        <f>DATE(2023,11,10)</f>
        <v>45240</v>
      </c>
      <c r="B188">
        <v>82.265000000000015</v>
      </c>
      <c r="C188">
        <v>84.29379999999999</v>
      </c>
      <c r="D188">
        <v>90.359400000000022</v>
      </c>
      <c r="E188">
        <v>78.5</v>
      </c>
      <c r="G188">
        <v>62.204736842105255</v>
      </c>
      <c r="H188">
        <v>59.33</v>
      </c>
      <c r="I188">
        <v>76.017587939698444</v>
      </c>
      <c r="J188">
        <v>71.64</v>
      </c>
      <c r="K188" s="2">
        <v>45394</v>
      </c>
    </row>
    <row r="189" spans="1:11" x14ac:dyDescent="0.25">
      <c r="A189" s="4">
        <f>DATE(2023,11,9)</f>
        <v>45239</v>
      </c>
      <c r="B189">
        <v>82.623000000000005</v>
      </c>
      <c r="C189">
        <v>84.436599999999984</v>
      </c>
      <c r="D189">
        <v>90.444900000000032</v>
      </c>
      <c r="E189">
        <v>77.3</v>
      </c>
      <c r="G189">
        <v>62.77210526315789</v>
      </c>
      <c r="H189">
        <v>59.465918367346944</v>
      </c>
      <c r="I189">
        <v>75.914824120602972</v>
      </c>
      <c r="J189">
        <v>70.16</v>
      </c>
      <c r="K189" s="2">
        <v>45397</v>
      </c>
    </row>
    <row r="190" spans="1:11" x14ac:dyDescent="0.25">
      <c r="A190" s="4">
        <f>DATE(2023,11,8)</f>
        <v>45238</v>
      </c>
      <c r="B190">
        <v>83.030499999999989</v>
      </c>
      <c r="C190">
        <v>84.611199999999968</v>
      </c>
      <c r="D190">
        <v>90.523400000000038</v>
      </c>
      <c r="E190">
        <v>75.400000000000006</v>
      </c>
      <c r="G190">
        <v>63.44736842105263</v>
      </c>
      <c r="H190">
        <v>59.703877551020405</v>
      </c>
      <c r="I190">
        <v>75.842060301507502</v>
      </c>
      <c r="J190">
        <v>74.25</v>
      </c>
      <c r="K190" s="2">
        <v>45398</v>
      </c>
    </row>
    <row r="191" spans="1:11" x14ac:dyDescent="0.25">
      <c r="A191" s="4">
        <f>DATE(2023,11,7)</f>
        <v>45237</v>
      </c>
      <c r="B191">
        <v>83.4495</v>
      </c>
      <c r="C191">
        <v>84.823199999999986</v>
      </c>
      <c r="D191">
        <v>90.595450000000042</v>
      </c>
      <c r="E191">
        <v>75.36</v>
      </c>
      <c r="G191">
        <v>63.922105263157903</v>
      </c>
      <c r="H191">
        <v>59.8434693877551</v>
      </c>
      <c r="I191">
        <v>75.747185929648211</v>
      </c>
      <c r="J191">
        <v>70.33</v>
      </c>
      <c r="K191" s="2">
        <v>45399</v>
      </c>
    </row>
    <row r="192" spans="1:11" x14ac:dyDescent="0.25">
      <c r="A192" s="4">
        <f>DATE(2023,11,6)</f>
        <v>45236</v>
      </c>
      <c r="B192">
        <v>83.918499999999995</v>
      </c>
      <c r="C192">
        <v>85.015999999999963</v>
      </c>
      <c r="D192">
        <v>90.666400000000024</v>
      </c>
      <c r="E192">
        <v>75.88</v>
      </c>
      <c r="G192">
        <v>64.529473684210529</v>
      </c>
      <c r="H192">
        <v>60.031836734693869</v>
      </c>
      <c r="I192">
        <v>75.659145728643182</v>
      </c>
      <c r="J192">
        <v>71.55</v>
      </c>
      <c r="K192" s="2">
        <v>45400</v>
      </c>
    </row>
    <row r="193" spans="1:11" x14ac:dyDescent="0.25">
      <c r="A193" s="4">
        <f>DATE(2023,11,3)</f>
        <v>45233</v>
      </c>
      <c r="B193">
        <v>84.205999999999989</v>
      </c>
      <c r="C193">
        <v>85.210399999999979</v>
      </c>
      <c r="D193">
        <v>90.733950000000036</v>
      </c>
      <c r="E193">
        <v>77.2</v>
      </c>
      <c r="G193">
        <v>65.011052631578949</v>
      </c>
      <c r="H193">
        <v>60.191224489795907</v>
      </c>
      <c r="I193">
        <v>75.555326633165791</v>
      </c>
      <c r="J193">
        <v>68.52</v>
      </c>
      <c r="K193" s="2">
        <v>45401</v>
      </c>
    </row>
    <row r="194" spans="1:11" x14ac:dyDescent="0.25">
      <c r="A194" s="4">
        <f>DATE(2023,11,2)</f>
        <v>45232</v>
      </c>
      <c r="B194">
        <v>84.376999999999981</v>
      </c>
      <c r="C194">
        <v>85.37139999999998</v>
      </c>
      <c r="D194">
        <v>90.771450000000044</v>
      </c>
      <c r="E194">
        <v>79.06</v>
      </c>
      <c r="G194">
        <v>65.268947368421053</v>
      </c>
      <c r="H194">
        <v>60.346326530612238</v>
      </c>
      <c r="I194">
        <v>75.436884422110523</v>
      </c>
      <c r="J194">
        <v>66.400000000000006</v>
      </c>
      <c r="K194" s="2">
        <v>45404</v>
      </c>
    </row>
    <row r="195" spans="1:11" x14ac:dyDescent="0.25">
      <c r="A195" s="4">
        <f>DATE(2023,11,1)</f>
        <v>45231</v>
      </c>
      <c r="B195">
        <v>84.466999999999985</v>
      </c>
      <c r="C195">
        <v>85.494399999999985</v>
      </c>
      <c r="D195">
        <v>90.786000000000044</v>
      </c>
      <c r="E195">
        <v>78.66</v>
      </c>
      <c r="G195">
        <v>65.350000000000023</v>
      </c>
      <c r="H195">
        <v>60.533673469387757</v>
      </c>
      <c r="I195">
        <v>75.324472361809001</v>
      </c>
      <c r="J195">
        <v>66.38</v>
      </c>
      <c r="K195" s="2">
        <v>45405</v>
      </c>
    </row>
    <row r="196" spans="1:11" x14ac:dyDescent="0.25">
      <c r="A196" s="4">
        <f>DATE(2023,10,31)</f>
        <v>45230</v>
      </c>
      <c r="B196">
        <v>84.625</v>
      </c>
      <c r="C196">
        <v>85.681199999999976</v>
      </c>
      <c r="D196">
        <v>90.81500000000004</v>
      </c>
      <c r="E196">
        <v>79.41</v>
      </c>
      <c r="G196">
        <v>65.55263157894737</v>
      </c>
      <c r="H196">
        <v>60.741836734693877</v>
      </c>
      <c r="I196">
        <v>75.21417085427133</v>
      </c>
      <c r="J196">
        <v>66.849999999999994</v>
      </c>
      <c r="K196" s="2">
        <v>45406</v>
      </c>
    </row>
    <row r="197" spans="1:11" x14ac:dyDescent="0.25">
      <c r="A197" s="4">
        <f>DATE(2023,10,30)</f>
        <v>45229</v>
      </c>
      <c r="B197">
        <v>84.644499999999994</v>
      </c>
      <c r="C197">
        <v>85.893199999999965</v>
      </c>
      <c r="D197">
        <v>90.843400000000003</v>
      </c>
      <c r="E197">
        <v>78.78</v>
      </c>
      <c r="G197">
        <v>65.857894736842113</v>
      </c>
      <c r="H197">
        <v>60.986122448979579</v>
      </c>
      <c r="I197">
        <v>75.109346733668303</v>
      </c>
      <c r="J197">
        <v>68.41</v>
      </c>
      <c r="K197" s="2">
        <v>45407</v>
      </c>
    </row>
    <row r="198" spans="1:11" x14ac:dyDescent="0.25">
      <c r="A198" s="4">
        <f>DATE(2023,10,27)</f>
        <v>45226</v>
      </c>
      <c r="B198">
        <v>84.740499999999997</v>
      </c>
      <c r="C198">
        <v>86.07459999999999</v>
      </c>
      <c r="D198">
        <v>90.870799999999974</v>
      </c>
      <c r="E198">
        <v>79.36</v>
      </c>
      <c r="G198">
        <v>66.151578947368421</v>
      </c>
      <c r="H198">
        <v>61.181224489795909</v>
      </c>
      <c r="I198">
        <v>74.997839195979864</v>
      </c>
      <c r="J198">
        <v>67.510000000000005</v>
      </c>
      <c r="K198" s="2">
        <v>45408</v>
      </c>
    </row>
    <row r="199" spans="1:11" x14ac:dyDescent="0.25">
      <c r="A199" s="4">
        <f>DATE(2023,10,26)</f>
        <v>45225</v>
      </c>
      <c r="B199">
        <v>84.844999999999985</v>
      </c>
      <c r="C199">
        <v>86.24839999999999</v>
      </c>
      <c r="D199">
        <v>90.893099999999976</v>
      </c>
      <c r="E199">
        <v>79.58</v>
      </c>
      <c r="G199">
        <v>66.133999999999986</v>
      </c>
      <c r="H199">
        <v>61.358571428571423</v>
      </c>
      <c r="I199">
        <v>74.870703517587884</v>
      </c>
      <c r="J199">
        <v>65.8</v>
      </c>
      <c r="K199" s="2">
        <v>45411</v>
      </c>
    </row>
    <row r="200" spans="1:11" x14ac:dyDescent="0.25">
      <c r="A200" s="4">
        <f>DATE(2023,10,25)</f>
        <v>45224</v>
      </c>
      <c r="B200">
        <v>85.021499999999975</v>
      </c>
      <c r="C200">
        <v>86.433799999999977</v>
      </c>
      <c r="D200">
        <v>90.892299999999992</v>
      </c>
      <c r="E200">
        <v>79.930000000000007</v>
      </c>
      <c r="G200">
        <v>66.648999999999987</v>
      </c>
      <c r="H200">
        <v>61.686326530612249</v>
      </c>
      <c r="I200">
        <v>74.756633165829101</v>
      </c>
      <c r="J200">
        <v>69.2</v>
      </c>
      <c r="K200" s="2">
        <v>45412</v>
      </c>
    </row>
    <row r="201" spans="1:11" x14ac:dyDescent="0.25">
      <c r="A201" s="4">
        <f>DATE(2023,10,24)</f>
        <v>45223</v>
      </c>
      <c r="B201">
        <v>85.117999999999981</v>
      </c>
      <c r="C201">
        <v>86.606799999999978</v>
      </c>
      <c r="D201">
        <v>90.880250000000018</v>
      </c>
      <c r="E201">
        <v>80.66</v>
      </c>
      <c r="G201">
        <v>67.167000000000002</v>
      </c>
      <c r="H201">
        <v>61.965918367346937</v>
      </c>
      <c r="I201">
        <v>74.626733668341657</v>
      </c>
      <c r="J201">
        <v>67.91</v>
      </c>
      <c r="K201" s="2">
        <v>45413</v>
      </c>
    </row>
    <row r="202" spans="1:11" x14ac:dyDescent="0.25">
      <c r="A202" s="4">
        <f>DATE(2023,10,23)</f>
        <v>45222</v>
      </c>
      <c r="B202">
        <v>85.210499999999996</v>
      </c>
      <c r="C202">
        <v>86.73099999999998</v>
      </c>
      <c r="D202">
        <v>90.875100000000003</v>
      </c>
      <c r="E202">
        <v>80.3</v>
      </c>
      <c r="G202">
        <v>67.882000000000005</v>
      </c>
      <c r="H202">
        <v>62.336938775510191</v>
      </c>
      <c r="I202">
        <v>74.515929648241155</v>
      </c>
      <c r="J202">
        <v>72.69</v>
      </c>
      <c r="K202" s="2">
        <v>45414</v>
      </c>
    </row>
    <row r="203" spans="1:11" x14ac:dyDescent="0.25">
      <c r="A203" s="4">
        <f>DATE(2023,10,20)</f>
        <v>45219</v>
      </c>
      <c r="B203">
        <v>85.44</v>
      </c>
      <c r="C203">
        <v>86.883999999999972</v>
      </c>
      <c r="D203">
        <v>90.874449999999982</v>
      </c>
      <c r="E203">
        <v>81.67</v>
      </c>
      <c r="G203">
        <v>68.423500000000004</v>
      </c>
      <c r="H203">
        <v>62.729795918367344</v>
      </c>
      <c r="I203">
        <v>74.40351758793966</v>
      </c>
      <c r="J203">
        <v>71.84</v>
      </c>
      <c r="K203" s="2">
        <v>45415</v>
      </c>
    </row>
    <row r="204" spans="1:11" x14ac:dyDescent="0.25">
      <c r="A204" s="4">
        <f>DATE(2023,10,19)</f>
        <v>45218</v>
      </c>
      <c r="B204">
        <v>85.621499999999997</v>
      </c>
      <c r="C204">
        <v>86.986599999999967</v>
      </c>
      <c r="D204">
        <v>90.86124999999997</v>
      </c>
      <c r="E204">
        <v>82</v>
      </c>
      <c r="G204">
        <v>68.9375</v>
      </c>
      <c r="H204">
        <v>63.161632653061226</v>
      </c>
      <c r="I204">
        <v>74.295025125628086</v>
      </c>
      <c r="J204">
        <v>73.67</v>
      </c>
      <c r="K204" s="2">
        <v>45418</v>
      </c>
    </row>
    <row r="205" spans="1:11" x14ac:dyDescent="0.25">
      <c r="A205" s="4">
        <f>DATE(2023,10,18)</f>
        <v>45217</v>
      </c>
      <c r="B205">
        <v>85.742999999999981</v>
      </c>
      <c r="C205">
        <v>87.037599999999983</v>
      </c>
      <c r="D205">
        <v>90.855249999999998</v>
      </c>
      <c r="E205">
        <v>81.790000000000006</v>
      </c>
      <c r="G205">
        <v>69.281999999999996</v>
      </c>
      <c r="H205">
        <v>63.508979591836734</v>
      </c>
      <c r="I205">
        <v>74.180251256281366</v>
      </c>
      <c r="J205">
        <v>70.849999999999994</v>
      </c>
      <c r="K205" s="2">
        <v>45419</v>
      </c>
    </row>
    <row r="206" spans="1:11" x14ac:dyDescent="0.25">
      <c r="A206" s="4">
        <f>DATE(2023,10,17)</f>
        <v>45216</v>
      </c>
      <c r="B206">
        <v>85.791499999999999</v>
      </c>
      <c r="C206">
        <v>87.079799999999977</v>
      </c>
      <c r="D206">
        <v>90.851300000000009</v>
      </c>
      <c r="E206">
        <v>82.65</v>
      </c>
      <c r="G206">
        <v>69.735500000000002</v>
      </c>
      <c r="H206">
        <v>63.834693877551025</v>
      </c>
      <c r="I206">
        <v>74.070100502512517</v>
      </c>
      <c r="J206">
        <v>71.92</v>
      </c>
      <c r="K206" s="2">
        <v>45420</v>
      </c>
    </row>
    <row r="207" spans="1:11" x14ac:dyDescent="0.25">
      <c r="A207" s="4">
        <f>DATE(2023,10,16)</f>
        <v>45215</v>
      </c>
      <c r="B207">
        <v>85.72399999999999</v>
      </c>
      <c r="C207">
        <v>87.106199999999973</v>
      </c>
      <c r="D207">
        <v>90.826149999999998</v>
      </c>
      <c r="E207">
        <v>83.41</v>
      </c>
      <c r="G207">
        <v>69.974999999999994</v>
      </c>
      <c r="H207">
        <v>64.169591836734696</v>
      </c>
      <c r="I207">
        <v>73.979648241205993</v>
      </c>
      <c r="J207">
        <v>73.62</v>
      </c>
      <c r="K207" s="2">
        <v>45421</v>
      </c>
    </row>
    <row r="208" spans="1:11" x14ac:dyDescent="0.25">
      <c r="A208" s="4">
        <f>DATE(2023,10,13)</f>
        <v>45212</v>
      </c>
      <c r="B208">
        <v>85.597500000000011</v>
      </c>
      <c r="C208">
        <v>87.090799999999987</v>
      </c>
      <c r="D208">
        <v>90.801749999999998</v>
      </c>
      <c r="E208">
        <v>85.66</v>
      </c>
      <c r="G208">
        <v>69.972499999999997</v>
      </c>
      <c r="H208">
        <v>64.478775510204088</v>
      </c>
      <c r="I208">
        <v>73.888492462311532</v>
      </c>
      <c r="J208">
        <v>71.59</v>
      </c>
      <c r="K208" s="2">
        <v>45422</v>
      </c>
    </row>
    <row r="209" spans="1:11" x14ac:dyDescent="0.25">
      <c r="A209" s="4">
        <f>DATE(2023,10,12)</f>
        <v>45211</v>
      </c>
      <c r="B209">
        <v>85.419499999999999</v>
      </c>
      <c r="C209">
        <v>87.045799999999986</v>
      </c>
      <c r="D209">
        <v>90.76094999999998</v>
      </c>
      <c r="E209">
        <v>85.45</v>
      </c>
      <c r="G209">
        <v>69.967999999999989</v>
      </c>
      <c r="H209">
        <v>64.759591836734714</v>
      </c>
      <c r="I209">
        <v>73.800703517587905</v>
      </c>
      <c r="J209">
        <v>70.069999999999993</v>
      </c>
      <c r="K209" s="2">
        <v>45425</v>
      </c>
    </row>
    <row r="210" spans="1:11" x14ac:dyDescent="0.25">
      <c r="A210" s="4">
        <f>DATE(2023,10,11)</f>
        <v>45210</v>
      </c>
      <c r="B210">
        <v>85.293500000000009</v>
      </c>
      <c r="C210">
        <v>87.024999999999977</v>
      </c>
      <c r="D210">
        <v>90.748399999999961</v>
      </c>
      <c r="E210">
        <v>83.78</v>
      </c>
      <c r="G210">
        <v>69.760499999999979</v>
      </c>
      <c r="H210">
        <v>65.021224489795927</v>
      </c>
      <c r="I210">
        <v>73.720201005025103</v>
      </c>
      <c r="J210">
        <v>70.099999999999994</v>
      </c>
      <c r="K210" s="2">
        <v>45426</v>
      </c>
    </row>
    <row r="211" spans="1:11" x14ac:dyDescent="0.25">
      <c r="A211" s="4">
        <f>DATE(2023,10,10)</f>
        <v>45209</v>
      </c>
      <c r="B211">
        <v>85.292500000000004</v>
      </c>
      <c r="C211">
        <v>87.01339999999999</v>
      </c>
      <c r="D211">
        <v>90.756099999999975</v>
      </c>
      <c r="E211">
        <v>84.74</v>
      </c>
      <c r="G211">
        <v>69.703499999999991</v>
      </c>
      <c r="H211">
        <v>65.208775510204092</v>
      </c>
      <c r="I211">
        <v>73.629045226130629</v>
      </c>
      <c r="J211">
        <v>69.19</v>
      </c>
      <c r="K211" s="2">
        <v>45427</v>
      </c>
    </row>
    <row r="212" spans="1:11" x14ac:dyDescent="0.25">
      <c r="A212" s="4">
        <f>DATE(2023,10,9)</f>
        <v>45208</v>
      </c>
      <c r="B212">
        <v>85.111500000000007</v>
      </c>
      <c r="C212">
        <v>87.010999999999981</v>
      </c>
      <c r="D212">
        <v>90.743699999999976</v>
      </c>
      <c r="E212">
        <v>81.63</v>
      </c>
      <c r="G212">
        <v>69.66549999999998</v>
      </c>
      <c r="H212">
        <v>65.453673469387766</v>
      </c>
      <c r="I212">
        <v>73.550954773869321</v>
      </c>
      <c r="J212">
        <v>70.790000000000006</v>
      </c>
      <c r="K212" s="2">
        <v>45428</v>
      </c>
    </row>
    <row r="213" spans="1:11" x14ac:dyDescent="0.25">
      <c r="A213" s="4">
        <f>DATE(2023,10,6)</f>
        <v>45205</v>
      </c>
      <c r="B213">
        <v>85.116500000000002</v>
      </c>
      <c r="C213">
        <v>87.114599999999996</v>
      </c>
      <c r="D213">
        <v>90.756599999999978</v>
      </c>
      <c r="E213">
        <v>80.62</v>
      </c>
      <c r="G213">
        <v>69.765499999999975</v>
      </c>
      <c r="H213">
        <v>65.679795918367361</v>
      </c>
      <c r="I213">
        <v>73.47537688442209</v>
      </c>
      <c r="J213">
        <v>70.52</v>
      </c>
      <c r="K213" s="2">
        <v>45429</v>
      </c>
    </row>
    <row r="214" spans="1:11" x14ac:dyDescent="0.25">
      <c r="A214" s="4">
        <f>DATE(2023,10,5)</f>
        <v>45204</v>
      </c>
      <c r="B214">
        <v>85.166499999999985</v>
      </c>
      <c r="C214">
        <v>87.276199999999989</v>
      </c>
      <c r="D214">
        <v>90.784449999999978</v>
      </c>
      <c r="E214">
        <v>80.86</v>
      </c>
      <c r="G214">
        <v>70.157499999999985</v>
      </c>
      <c r="H214">
        <v>66.001020408163271</v>
      </c>
      <c r="I214">
        <v>73.411809045226121</v>
      </c>
      <c r="J214">
        <v>74.239999999999995</v>
      </c>
      <c r="K214" s="2">
        <v>45432</v>
      </c>
    </row>
    <row r="215" spans="1:11" x14ac:dyDescent="0.25">
      <c r="A215" s="4">
        <f>DATE(2023,10,4)</f>
        <v>45203</v>
      </c>
      <c r="B215">
        <v>85.287999999999982</v>
      </c>
      <c r="C215">
        <v>87.477400000000003</v>
      </c>
      <c r="D215">
        <v>90.822149999999979</v>
      </c>
      <c r="E215">
        <v>81.819999999999993</v>
      </c>
      <c r="G215">
        <v>70.648499999999984</v>
      </c>
      <c r="H215">
        <v>66.410612244897962</v>
      </c>
      <c r="I215">
        <v>73.358442211055262</v>
      </c>
      <c r="J215">
        <v>76.2</v>
      </c>
      <c r="K215" s="2">
        <v>45433</v>
      </c>
    </row>
    <row r="216" spans="1:11" x14ac:dyDescent="0.25">
      <c r="A216" s="4">
        <f>DATE(2023,10,3)</f>
        <v>45202</v>
      </c>
      <c r="B216">
        <v>85.381999999999977</v>
      </c>
      <c r="C216">
        <v>87.656399999999977</v>
      </c>
      <c r="D216">
        <v>90.859899999999982</v>
      </c>
      <c r="E216">
        <v>79.8</v>
      </c>
      <c r="G216">
        <v>71.139499999999998</v>
      </c>
      <c r="H216">
        <v>66.81204081632653</v>
      </c>
      <c r="I216">
        <v>73.304170854271348</v>
      </c>
      <c r="J216">
        <v>76.67</v>
      </c>
      <c r="K216" s="2">
        <v>45434</v>
      </c>
    </row>
    <row r="217" spans="1:11" x14ac:dyDescent="0.25">
      <c r="A217" s="4">
        <f>DATE(2023,10,2)</f>
        <v>45201</v>
      </c>
      <c r="B217">
        <v>85.587499999999977</v>
      </c>
      <c r="C217">
        <v>87.907199999999975</v>
      </c>
      <c r="D217">
        <v>90.906699999999987</v>
      </c>
      <c r="E217">
        <v>80.7</v>
      </c>
      <c r="G217">
        <v>71.523999999999987</v>
      </c>
      <c r="H217">
        <v>67.224897959183679</v>
      </c>
      <c r="I217">
        <v>73.235728643216063</v>
      </c>
      <c r="J217">
        <v>76.099999999999994</v>
      </c>
      <c r="K217" s="2">
        <v>45435</v>
      </c>
    </row>
    <row r="218" spans="1:11" x14ac:dyDescent="0.25">
      <c r="A218" s="4">
        <f>DATE(2023,9,29)</f>
        <v>45198</v>
      </c>
      <c r="B218">
        <v>85.756500000000003</v>
      </c>
      <c r="C218">
        <v>88.119</v>
      </c>
      <c r="D218">
        <v>90.941699999999983</v>
      </c>
      <c r="E218">
        <v>81.45</v>
      </c>
      <c r="G218">
        <v>71.937499999999986</v>
      </c>
      <c r="H218">
        <v>67.571428571428555</v>
      </c>
      <c r="I218">
        <v>73.159899497487416</v>
      </c>
      <c r="J218">
        <v>75.78</v>
      </c>
      <c r="K218" s="2">
        <v>45436</v>
      </c>
    </row>
    <row r="219" spans="1:11" x14ac:dyDescent="0.25">
      <c r="A219" s="4">
        <f>DATE(2023,9,28)</f>
        <v>45197</v>
      </c>
      <c r="B219">
        <v>85.965999999999994</v>
      </c>
      <c r="C219">
        <v>88.326399999999992</v>
      </c>
      <c r="D219">
        <v>90.980949999999993</v>
      </c>
      <c r="E219">
        <v>83.11</v>
      </c>
      <c r="G219">
        <v>72.472999999999999</v>
      </c>
      <c r="H219">
        <v>67.921020408163272</v>
      </c>
      <c r="I219">
        <v>73.093165829145704</v>
      </c>
      <c r="J219">
        <v>76.510000000000005</v>
      </c>
      <c r="K219" s="2">
        <v>45439</v>
      </c>
    </row>
    <row r="220" spans="1:11" x14ac:dyDescent="0.25">
      <c r="A220" s="4">
        <f>DATE(2023,9,27)</f>
        <v>45196</v>
      </c>
      <c r="B220">
        <v>86.111999999999995</v>
      </c>
      <c r="C220">
        <v>88.481000000000009</v>
      </c>
      <c r="D220">
        <v>91.001399999999975</v>
      </c>
      <c r="E220">
        <v>81.86</v>
      </c>
      <c r="G220">
        <v>72.742999999999995</v>
      </c>
      <c r="H220">
        <v>68.19</v>
      </c>
      <c r="I220">
        <v>73.008241206030135</v>
      </c>
      <c r="J220">
        <v>74.599999999999994</v>
      </c>
      <c r="K220" s="2">
        <v>45440</v>
      </c>
    </row>
    <row r="221" spans="1:11" x14ac:dyDescent="0.25">
      <c r="A221" s="4">
        <f>DATE(2023,9,26)</f>
        <v>45195</v>
      </c>
      <c r="B221">
        <v>86.318999999999988</v>
      </c>
      <c r="C221">
        <v>88.623400000000004</v>
      </c>
      <c r="D221">
        <v>91.026600000000002</v>
      </c>
      <c r="E221">
        <v>82.51</v>
      </c>
      <c r="G221">
        <v>73.044999999999987</v>
      </c>
      <c r="H221">
        <v>68.447959183673476</v>
      </c>
      <c r="I221">
        <v>72.918693467336681</v>
      </c>
      <c r="J221">
        <v>73.95</v>
      </c>
      <c r="K221" s="2">
        <v>45441</v>
      </c>
    </row>
    <row r="222" spans="1:11" x14ac:dyDescent="0.25">
      <c r="A222" s="4">
        <f>DATE(2023,9,25)</f>
        <v>45194</v>
      </c>
      <c r="B222">
        <v>86.4435</v>
      </c>
      <c r="C222">
        <v>88.736800000000017</v>
      </c>
      <c r="D222">
        <v>91.056149999999974</v>
      </c>
      <c r="E222">
        <v>84.89</v>
      </c>
      <c r="G222">
        <v>73.17049999999999</v>
      </c>
      <c r="H222">
        <v>68.757959183673464</v>
      </c>
      <c r="I222">
        <v>72.839447236180916</v>
      </c>
      <c r="J222">
        <v>75.2</v>
      </c>
      <c r="K222" s="2">
        <v>45442</v>
      </c>
    </row>
    <row r="223" spans="1:11" x14ac:dyDescent="0.25">
      <c r="A223" s="4">
        <f>DATE(2023,9,22)</f>
        <v>45191</v>
      </c>
      <c r="B223">
        <v>86.478999999999999</v>
      </c>
      <c r="C223">
        <v>88.774600000000007</v>
      </c>
      <c r="D223">
        <v>91.078749999999985</v>
      </c>
      <c r="E223">
        <v>85.3</v>
      </c>
      <c r="G223">
        <v>73.281999999999996</v>
      </c>
      <c r="H223">
        <v>69.057959183673475</v>
      </c>
      <c r="I223">
        <v>72.755527638190955</v>
      </c>
      <c r="J223">
        <v>74.069999999999993</v>
      </c>
      <c r="K223" s="2">
        <v>45443</v>
      </c>
    </row>
    <row r="224" spans="1:11" x14ac:dyDescent="0.25">
      <c r="A224" s="4">
        <f>DATE(2023,9,21)</f>
        <v>45190</v>
      </c>
      <c r="B224">
        <v>86.476500000000016</v>
      </c>
      <c r="C224">
        <v>88.795600000000007</v>
      </c>
      <c r="D224">
        <v>91.113299999999967</v>
      </c>
      <c r="E224">
        <v>84.43</v>
      </c>
      <c r="G224">
        <v>73.33</v>
      </c>
      <c r="H224">
        <v>69.325918367346929</v>
      </c>
      <c r="I224">
        <v>72.663567839195991</v>
      </c>
      <c r="J224">
        <v>74.63</v>
      </c>
      <c r="K224" s="2">
        <v>45446</v>
      </c>
    </row>
    <row r="225" spans="1:11" x14ac:dyDescent="0.25">
      <c r="A225" s="4">
        <f>DATE(2023,9,20)</f>
        <v>45189</v>
      </c>
      <c r="B225">
        <v>86.515500000000003</v>
      </c>
      <c r="C225">
        <v>88.824600000000004</v>
      </c>
      <c r="D225">
        <v>91.156299999999973</v>
      </c>
      <c r="E225">
        <v>82.76</v>
      </c>
      <c r="G225">
        <v>73.416499999999999</v>
      </c>
      <c r="H225">
        <v>69.483877551020413</v>
      </c>
      <c r="I225">
        <v>72.571407035175881</v>
      </c>
      <c r="J225">
        <v>72.58</v>
      </c>
      <c r="K225" s="2">
        <v>45447</v>
      </c>
    </row>
    <row r="226" spans="1:11" x14ac:dyDescent="0.25">
      <c r="A226" s="4">
        <f>DATE(2023,9,19)</f>
        <v>45188</v>
      </c>
      <c r="B226">
        <v>86.777500000000003</v>
      </c>
      <c r="C226">
        <v>88.88600000000001</v>
      </c>
      <c r="D226">
        <v>91.197249999999983</v>
      </c>
      <c r="E226">
        <v>81.3</v>
      </c>
      <c r="G226">
        <v>73.42049999999999</v>
      </c>
      <c r="H226">
        <v>69.667551020408169</v>
      </c>
      <c r="I226">
        <v>72.490351758793977</v>
      </c>
      <c r="J226">
        <v>72</v>
      </c>
      <c r="K226" s="2">
        <v>45448</v>
      </c>
    </row>
    <row r="227" spans="1:11" x14ac:dyDescent="0.25">
      <c r="A227" s="4">
        <f>DATE(2023,9,18)</f>
        <v>45187</v>
      </c>
      <c r="B227">
        <v>87.212999999999994</v>
      </c>
      <c r="C227">
        <v>89.000999999999991</v>
      </c>
      <c r="D227">
        <v>91.251499999999965</v>
      </c>
      <c r="E227">
        <v>80.88</v>
      </c>
      <c r="G227">
        <v>73.315999999999988</v>
      </c>
      <c r="H227">
        <v>69.849591836734703</v>
      </c>
      <c r="I227">
        <v>72.406733668341715</v>
      </c>
      <c r="J227">
        <v>71.53</v>
      </c>
      <c r="K227" s="2">
        <v>45449</v>
      </c>
    </row>
    <row r="228" spans="1:11" x14ac:dyDescent="0.25">
      <c r="A228" s="4">
        <f>DATE(2023,9,15)</f>
        <v>45184</v>
      </c>
      <c r="B228">
        <v>87.561499999999995</v>
      </c>
      <c r="C228">
        <v>89.10860000000001</v>
      </c>
      <c r="D228">
        <v>91.304149999999979</v>
      </c>
      <c r="E228">
        <v>82.1</v>
      </c>
      <c r="G228">
        <v>73.307500000000005</v>
      </c>
      <c r="H228">
        <v>70.04326530612245</v>
      </c>
      <c r="I228">
        <v>72.32080402010051</v>
      </c>
      <c r="J228">
        <v>71.42</v>
      </c>
      <c r="K228" s="2">
        <v>45450</v>
      </c>
    </row>
    <row r="229" spans="1:11" x14ac:dyDescent="0.25">
      <c r="A229" s="4">
        <f>DATE(2023,9,14)</f>
        <v>45183</v>
      </c>
      <c r="B229">
        <v>87.859000000000009</v>
      </c>
      <c r="C229">
        <v>89.18959999999997</v>
      </c>
      <c r="D229">
        <v>91.352799999999974</v>
      </c>
      <c r="E229">
        <v>82.93</v>
      </c>
      <c r="G229">
        <v>73.349500000000006</v>
      </c>
      <c r="H229">
        <v>70.060599999999994</v>
      </c>
      <c r="I229">
        <v>72.23532663316584</v>
      </c>
      <c r="J229">
        <v>70.91</v>
      </c>
      <c r="K229" s="2">
        <v>45453</v>
      </c>
    </row>
    <row r="230" spans="1:11" x14ac:dyDescent="0.25">
      <c r="A230" s="4">
        <f>DATE(2023,9,13)</f>
        <v>45182</v>
      </c>
      <c r="B230">
        <v>88.154999999999987</v>
      </c>
      <c r="C230">
        <v>89.256799999999984</v>
      </c>
      <c r="D230">
        <v>91.39009999999999</v>
      </c>
      <c r="E230">
        <v>83.76</v>
      </c>
      <c r="G230">
        <v>73.365000000000023</v>
      </c>
      <c r="H230">
        <v>70.29079999999999</v>
      </c>
      <c r="I230">
        <v>72.142311557788958</v>
      </c>
      <c r="J230">
        <v>70.41</v>
      </c>
      <c r="K230" s="2">
        <v>45454</v>
      </c>
    </row>
    <row r="231" spans="1:11" x14ac:dyDescent="0.25">
      <c r="A231" s="4">
        <f>DATE(2023,9,12)</f>
        <v>45181</v>
      </c>
      <c r="B231">
        <v>88.396000000000001</v>
      </c>
      <c r="C231">
        <v>89.297799999999967</v>
      </c>
      <c r="D231">
        <v>91.427299999999974</v>
      </c>
      <c r="E231">
        <v>81.12</v>
      </c>
      <c r="G231">
        <v>73.420500000000018</v>
      </c>
      <c r="H231">
        <v>70.545799999999986</v>
      </c>
      <c r="I231">
        <v>72.048592964824124</v>
      </c>
      <c r="J231">
        <v>70.3</v>
      </c>
      <c r="K231" s="2">
        <v>45455</v>
      </c>
    </row>
    <row r="232" spans="1:11" x14ac:dyDescent="0.25">
      <c r="A232" s="4">
        <f>DATE(2023,9,11)</f>
        <v>45180</v>
      </c>
      <c r="B232">
        <v>88.683500000000009</v>
      </c>
      <c r="C232">
        <v>89.429199999999966</v>
      </c>
      <c r="D232">
        <v>91.462199999999996</v>
      </c>
      <c r="E232">
        <v>81.73</v>
      </c>
      <c r="G232">
        <v>73.424500000000009</v>
      </c>
      <c r="H232">
        <v>70.795400000000001</v>
      </c>
      <c r="I232">
        <v>71.959698492462323</v>
      </c>
      <c r="J232">
        <v>70.87</v>
      </c>
      <c r="K232" s="2">
        <v>45456</v>
      </c>
    </row>
    <row r="233" spans="1:11" x14ac:dyDescent="0.25">
      <c r="A233" s="4">
        <f>DATE(2023,9,8)</f>
        <v>45177</v>
      </c>
      <c r="B233">
        <v>88.994500000000002</v>
      </c>
      <c r="C233">
        <v>89.546199999999985</v>
      </c>
      <c r="D233">
        <v>91.494149999999991</v>
      </c>
      <c r="E233">
        <v>81.62</v>
      </c>
      <c r="G233">
        <v>73.325000000000017</v>
      </c>
      <c r="H233">
        <v>70.945799999999991</v>
      </c>
      <c r="I233">
        <v>71.866884422110573</v>
      </c>
      <c r="J233">
        <v>68.53</v>
      </c>
      <c r="K233" s="2">
        <v>45457</v>
      </c>
    </row>
    <row r="234" spans="1:11" x14ac:dyDescent="0.25">
      <c r="A234" s="4">
        <f>DATE(2023,9,7)</f>
        <v>45176</v>
      </c>
      <c r="B234">
        <v>89.253500000000003</v>
      </c>
      <c r="C234">
        <v>89.705199999999991</v>
      </c>
      <c r="D234">
        <v>91.509099999999975</v>
      </c>
      <c r="E234">
        <v>83.29</v>
      </c>
      <c r="G234">
        <v>73.021000000000015</v>
      </c>
      <c r="H234">
        <v>71.041200000000003</v>
      </c>
      <c r="I234">
        <v>71.773065326633187</v>
      </c>
      <c r="J234">
        <v>68.16</v>
      </c>
      <c r="K234" s="2">
        <v>45460</v>
      </c>
    </row>
    <row r="235" spans="1:11" x14ac:dyDescent="0.25">
      <c r="A235" s="4">
        <f>DATE(2023,9,6)</f>
        <v>45175</v>
      </c>
      <c r="B235">
        <v>89.316500000000005</v>
      </c>
      <c r="C235">
        <v>89.801999999999964</v>
      </c>
      <c r="D235">
        <v>91.501699999999985</v>
      </c>
      <c r="E235">
        <v>83.7</v>
      </c>
      <c r="G235">
        <v>72.630000000000024</v>
      </c>
      <c r="H235">
        <v>71.129599999999996</v>
      </c>
      <c r="I235">
        <v>71.68140703517588</v>
      </c>
      <c r="J235">
        <v>68.38</v>
      </c>
      <c r="K235" s="2">
        <v>45461</v>
      </c>
    </row>
    <row r="236" spans="1:11" x14ac:dyDescent="0.25">
      <c r="A236" s="4">
        <f>DATE(2023,9,5)</f>
        <v>45174</v>
      </c>
      <c r="B236">
        <v>89.32650000000001</v>
      </c>
      <c r="C236">
        <v>89.892199999999974</v>
      </c>
      <c r="D236">
        <v>91.494149999999991</v>
      </c>
      <c r="E236">
        <v>83.91</v>
      </c>
      <c r="G236">
        <v>72.333499999999987</v>
      </c>
      <c r="H236">
        <v>71.287399999999991</v>
      </c>
      <c r="I236">
        <v>71.60366834170857</v>
      </c>
      <c r="J236">
        <v>70.739999999999995</v>
      </c>
      <c r="K236" s="2">
        <v>45462</v>
      </c>
    </row>
    <row r="237" spans="1:11" x14ac:dyDescent="0.25">
      <c r="A237" s="4">
        <f>DATE(2023,9,4)</f>
        <v>45173</v>
      </c>
      <c r="B237">
        <v>89.329500000000024</v>
      </c>
      <c r="C237">
        <v>89.995800000000003</v>
      </c>
      <c r="D237">
        <v>91.484150000000014</v>
      </c>
      <c r="E237">
        <v>84.08</v>
      </c>
      <c r="G237">
        <v>71.988000000000028</v>
      </c>
      <c r="H237">
        <v>71.294600000000003</v>
      </c>
      <c r="I237">
        <v>71.526532663316601</v>
      </c>
      <c r="J237">
        <v>69.19</v>
      </c>
      <c r="K237" s="2">
        <v>45463</v>
      </c>
    </row>
    <row r="238" spans="1:11" x14ac:dyDescent="0.25">
      <c r="A238" s="4">
        <f>DATE(2023,9,1)</f>
        <v>45170</v>
      </c>
      <c r="B238">
        <v>89.257500000000022</v>
      </c>
      <c r="C238">
        <v>90.043999999999997</v>
      </c>
      <c r="D238">
        <v>91.459200000000024</v>
      </c>
      <c r="E238">
        <v>85.64</v>
      </c>
      <c r="G238">
        <v>71.601500000000001</v>
      </c>
      <c r="H238">
        <v>71.222800000000007</v>
      </c>
      <c r="I238">
        <v>71.443115577889472</v>
      </c>
      <c r="J238">
        <v>68.05</v>
      </c>
      <c r="K238" s="2">
        <v>45464</v>
      </c>
    </row>
    <row r="239" spans="1:11" x14ac:dyDescent="0.25">
      <c r="A239" s="4">
        <f>DATE(2023,8,31)</f>
        <v>45169</v>
      </c>
      <c r="B239">
        <v>89.146000000000015</v>
      </c>
      <c r="C239">
        <v>90.0822</v>
      </c>
      <c r="D239">
        <v>91.416449999999998</v>
      </c>
      <c r="E239">
        <v>86.03</v>
      </c>
      <c r="G239">
        <v>71.153999999999982</v>
      </c>
      <c r="H239">
        <v>71.170800000000014</v>
      </c>
      <c r="I239">
        <v>71.360301507537699</v>
      </c>
      <c r="J239">
        <v>67.56</v>
      </c>
      <c r="K239" s="2">
        <v>45467</v>
      </c>
    </row>
    <row r="240" spans="1:11" x14ac:dyDescent="0.25">
      <c r="A240" s="4">
        <f>DATE(2023,8,30)</f>
        <v>45168</v>
      </c>
      <c r="B240">
        <v>89.065000000000026</v>
      </c>
      <c r="C240">
        <v>90.18059999999997</v>
      </c>
      <c r="D240">
        <v>91.373799999999989</v>
      </c>
      <c r="E240">
        <v>86</v>
      </c>
      <c r="G240">
        <v>70.813999999999993</v>
      </c>
      <c r="H240">
        <v>71.041800000000009</v>
      </c>
      <c r="I240">
        <v>71.265427135678394</v>
      </c>
      <c r="J240">
        <v>67.8</v>
      </c>
      <c r="K240" s="2">
        <v>45468</v>
      </c>
    </row>
    <row r="241" spans="1:11" x14ac:dyDescent="0.25">
      <c r="A241" s="4">
        <f>DATE(2023,8,29)</f>
        <v>45167</v>
      </c>
      <c r="B241">
        <v>88.925000000000026</v>
      </c>
      <c r="C241">
        <v>90.277599999999978</v>
      </c>
      <c r="D241">
        <v>91.320700000000002</v>
      </c>
      <c r="E241">
        <v>85</v>
      </c>
      <c r="G241">
        <v>70.47799999999998</v>
      </c>
      <c r="H241">
        <v>70.979799999999997</v>
      </c>
      <c r="I241">
        <v>71.17185929648241</v>
      </c>
      <c r="J241">
        <v>67.23</v>
      </c>
      <c r="K241" s="2">
        <v>45469</v>
      </c>
    </row>
    <row r="242" spans="1:11" x14ac:dyDescent="0.25">
      <c r="A242" s="4">
        <f>DATE(2023,8,28)</f>
        <v>45166</v>
      </c>
      <c r="B242">
        <v>88.90600000000002</v>
      </c>
      <c r="C242">
        <v>90.467800000000011</v>
      </c>
      <c r="D242">
        <v>91.271799999999999</v>
      </c>
      <c r="E242">
        <v>85.6</v>
      </c>
      <c r="G242">
        <v>70.04249999999999</v>
      </c>
      <c r="H242">
        <v>70.878599999999992</v>
      </c>
      <c r="I242">
        <v>71.07874371859296</v>
      </c>
      <c r="J242">
        <v>66.489999999999995</v>
      </c>
      <c r="K242" s="2">
        <v>45470</v>
      </c>
    </row>
    <row r="243" spans="1:11" x14ac:dyDescent="0.25">
      <c r="A243" s="4">
        <f>DATE(2023,8,25)</f>
        <v>45163</v>
      </c>
      <c r="B243">
        <v>88.966500000000025</v>
      </c>
      <c r="C243">
        <v>90.620400000000004</v>
      </c>
      <c r="D243">
        <v>91.226949999999974</v>
      </c>
      <c r="E243">
        <v>85.25</v>
      </c>
      <c r="G243">
        <v>69.706999999999979</v>
      </c>
      <c r="H243">
        <v>70.855399999999989</v>
      </c>
      <c r="I243">
        <v>70.996130653266334</v>
      </c>
      <c r="J243">
        <v>67.36</v>
      </c>
      <c r="K243" s="2">
        <v>45471</v>
      </c>
    </row>
    <row r="244" spans="1:11" x14ac:dyDescent="0.25">
      <c r="A244" s="4">
        <f>DATE(2023,8,24)</f>
        <v>45162</v>
      </c>
      <c r="B244">
        <v>89.139000000000024</v>
      </c>
      <c r="C244">
        <v>90.753800000000012</v>
      </c>
      <c r="D244">
        <v>91.202550000000016</v>
      </c>
      <c r="E244">
        <v>85.21</v>
      </c>
      <c r="G244">
        <v>69.391999999999982</v>
      </c>
      <c r="H244">
        <v>70.893999999999991</v>
      </c>
      <c r="I244">
        <v>70.916281407035186</v>
      </c>
      <c r="J244">
        <v>68.33</v>
      </c>
      <c r="K244" s="2">
        <v>45474</v>
      </c>
    </row>
    <row r="245" spans="1:11" x14ac:dyDescent="0.25">
      <c r="A245" s="4">
        <f>DATE(2023,8,23)</f>
        <v>45161</v>
      </c>
      <c r="B245">
        <v>89.424500000000009</v>
      </c>
      <c r="C245">
        <v>90.908200000000022</v>
      </c>
      <c r="D245">
        <v>91.167749999999998</v>
      </c>
      <c r="E245">
        <v>88</v>
      </c>
      <c r="G245">
        <v>69.309499999999986</v>
      </c>
      <c r="H245">
        <v>70.984999999999999</v>
      </c>
      <c r="I245">
        <v>70.842160804020097</v>
      </c>
      <c r="J245">
        <v>70.930000000000007</v>
      </c>
      <c r="K245" s="2">
        <v>45475</v>
      </c>
    </row>
    <row r="246" spans="1:11" x14ac:dyDescent="0.25">
      <c r="A246" s="4">
        <f>DATE(2023,8,22)</f>
        <v>45160</v>
      </c>
      <c r="B246">
        <v>89.563000000000002</v>
      </c>
      <c r="C246">
        <v>91.020600000000016</v>
      </c>
      <c r="D246">
        <v>91.122799999999984</v>
      </c>
      <c r="E246">
        <v>90.01</v>
      </c>
      <c r="G246">
        <v>69.254999999999995</v>
      </c>
      <c r="H246">
        <v>71.066199999999995</v>
      </c>
      <c r="I246">
        <v>70.759547738693485</v>
      </c>
      <c r="J246">
        <v>70.91</v>
      </c>
      <c r="K246" s="2">
        <v>45476</v>
      </c>
    </row>
    <row r="247" spans="1:11" x14ac:dyDescent="0.25">
      <c r="A247" s="4">
        <f>DATE(2023,8,21)</f>
        <v>45159</v>
      </c>
      <c r="B247">
        <v>89.67949999999999</v>
      </c>
      <c r="C247">
        <v>91.034800000000018</v>
      </c>
      <c r="D247">
        <v>91.054699999999997</v>
      </c>
      <c r="E247">
        <v>87.85</v>
      </c>
      <c r="G247">
        <v>69.1875</v>
      </c>
      <c r="H247">
        <v>71.101599999999991</v>
      </c>
      <c r="I247">
        <v>70.668894472361828</v>
      </c>
      <c r="J247">
        <v>70.180000000000007</v>
      </c>
      <c r="K247" s="2">
        <v>45477</v>
      </c>
    </row>
    <row r="248" spans="1:11" x14ac:dyDescent="0.25">
      <c r="A248" s="4">
        <f>DATE(2023,8,18)</f>
        <v>45156</v>
      </c>
      <c r="B248">
        <v>89.851500000000016</v>
      </c>
      <c r="C248">
        <v>91.042200000000008</v>
      </c>
      <c r="D248">
        <v>90.994599999999991</v>
      </c>
      <c r="E248">
        <v>88.05</v>
      </c>
      <c r="G248">
        <v>69.133999999999986</v>
      </c>
      <c r="H248">
        <v>71.158399999999986</v>
      </c>
      <c r="I248">
        <v>70.581155778894484</v>
      </c>
      <c r="J248">
        <v>70.349999999999994</v>
      </c>
      <c r="K248" s="2">
        <v>45478</v>
      </c>
    </row>
    <row r="249" spans="1:11" x14ac:dyDescent="0.25">
      <c r="A249" s="4">
        <f>DATE(2023,8,17)</f>
        <v>45155</v>
      </c>
      <c r="B249">
        <v>90.039999999999992</v>
      </c>
      <c r="C249">
        <v>91.003999999999991</v>
      </c>
      <c r="D249">
        <v>90.95235000000001</v>
      </c>
      <c r="E249">
        <v>88.85</v>
      </c>
      <c r="G249">
        <v>69.04049999999998</v>
      </c>
      <c r="H249">
        <v>71.223199999999991</v>
      </c>
      <c r="I249">
        <v>70.49879396984926</v>
      </c>
      <c r="J249">
        <v>69.040000000000006</v>
      </c>
      <c r="K249" s="2">
        <v>45481</v>
      </c>
    </row>
    <row r="250" spans="1:11" x14ac:dyDescent="0.25">
      <c r="A250" s="4">
        <f>DATE(2023,8,16)</f>
        <v>45154</v>
      </c>
      <c r="B250">
        <v>90.139499999999998</v>
      </c>
      <c r="C250">
        <v>90.893999999999991</v>
      </c>
      <c r="D250">
        <v>90.913200000000003</v>
      </c>
      <c r="E250">
        <v>88.58</v>
      </c>
      <c r="G250">
        <v>68.945999999999998</v>
      </c>
      <c r="H250">
        <v>71.20959999999998</v>
      </c>
      <c r="I250">
        <v>70.417085427135675</v>
      </c>
      <c r="J250">
        <v>68.52</v>
      </c>
      <c r="K250" s="2">
        <v>45482</v>
      </c>
    </row>
    <row r="251" spans="1:11" x14ac:dyDescent="0.25">
      <c r="A251" s="4">
        <f>DATE(2023,8,15)</f>
        <v>45153</v>
      </c>
      <c r="B251">
        <v>90.159500000000008</v>
      </c>
      <c r="C251">
        <v>90.799599999999998</v>
      </c>
      <c r="D251">
        <v>90.86869999999999</v>
      </c>
      <c r="E251">
        <v>86.87</v>
      </c>
      <c r="G251">
        <v>68.829000000000008</v>
      </c>
      <c r="H251">
        <v>71.210599999999999</v>
      </c>
      <c r="I251">
        <v>70.326281407035168</v>
      </c>
      <c r="J251">
        <v>67.959999999999994</v>
      </c>
      <c r="K251" s="2">
        <v>45483</v>
      </c>
    </row>
    <row r="252" spans="1:11" x14ac:dyDescent="0.25">
      <c r="A252" s="4">
        <f>DATE(2023,8,14)</f>
        <v>45152</v>
      </c>
      <c r="B252">
        <v>90.224999999999994</v>
      </c>
      <c r="C252">
        <v>90.694999999999993</v>
      </c>
      <c r="D252">
        <v>90.833699999999993</v>
      </c>
      <c r="E252">
        <v>87.95</v>
      </c>
      <c r="G252">
        <v>68.711500000000001</v>
      </c>
      <c r="H252">
        <v>71.127199999999988</v>
      </c>
      <c r="I252">
        <v>70.246633165829152</v>
      </c>
      <c r="J252">
        <v>68.52</v>
      </c>
      <c r="K252" s="2">
        <v>45484</v>
      </c>
    </row>
    <row r="253" spans="1:11" x14ac:dyDescent="0.25">
      <c r="A253" s="4">
        <f>DATE(2023,8,11)</f>
        <v>45149</v>
      </c>
      <c r="B253">
        <v>90.166499999999999</v>
      </c>
      <c r="C253">
        <v>90.593200000000039</v>
      </c>
      <c r="D253">
        <v>90.794499999999985</v>
      </c>
      <c r="E253">
        <v>86.8</v>
      </c>
      <c r="G253">
        <v>68.752499999999984</v>
      </c>
      <c r="H253">
        <v>71.077399999999983</v>
      </c>
      <c r="I253">
        <v>70.174924623115587</v>
      </c>
      <c r="J253">
        <v>69.349999999999994</v>
      </c>
      <c r="K253" s="2">
        <v>45485</v>
      </c>
    </row>
    <row r="254" spans="1:11" x14ac:dyDescent="0.25">
      <c r="A254" s="4">
        <f>DATE(2023,8,10)</f>
        <v>45148</v>
      </c>
      <c r="B254">
        <v>90.144000000000005</v>
      </c>
      <c r="C254">
        <v>90.427600000000027</v>
      </c>
      <c r="D254">
        <v>90.762499999999989</v>
      </c>
      <c r="E254">
        <v>84.55</v>
      </c>
      <c r="G254">
        <v>68.723499999999973</v>
      </c>
      <c r="H254">
        <v>70.95559999999999</v>
      </c>
      <c r="I254">
        <v>70.098844221105551</v>
      </c>
      <c r="J254">
        <v>67.58</v>
      </c>
      <c r="K254" s="2">
        <v>45488</v>
      </c>
    </row>
    <row r="255" spans="1:11" x14ac:dyDescent="0.25">
      <c r="A255" s="4">
        <f>DATE(2023,8,9)</f>
        <v>45147</v>
      </c>
      <c r="B255">
        <v>90.210499999999982</v>
      </c>
      <c r="C255">
        <v>90.315600000000018</v>
      </c>
      <c r="D255">
        <v>90.753899999999973</v>
      </c>
      <c r="E255">
        <v>83.9</v>
      </c>
      <c r="G255">
        <v>68.70150000000001</v>
      </c>
      <c r="H255">
        <v>70.89739999999999</v>
      </c>
      <c r="I255">
        <v>70.014422110552772</v>
      </c>
      <c r="J255">
        <v>67.94</v>
      </c>
      <c r="K255" s="2">
        <v>45489</v>
      </c>
    </row>
    <row r="256" spans="1:11" x14ac:dyDescent="0.25">
      <c r="A256" s="4">
        <f>DATE(2023,8,8)</f>
        <v>45146</v>
      </c>
      <c r="B256">
        <v>90.306999999999974</v>
      </c>
      <c r="C256">
        <v>90.253000000000014</v>
      </c>
      <c r="D256">
        <v>90.758499999999984</v>
      </c>
      <c r="E256">
        <v>83.97</v>
      </c>
      <c r="G256">
        <v>68.485500000000002</v>
      </c>
      <c r="H256">
        <v>70.787399999999991</v>
      </c>
      <c r="I256">
        <v>69.92718592964826</v>
      </c>
      <c r="J256">
        <v>66.42</v>
      </c>
      <c r="K256" s="2">
        <v>45490</v>
      </c>
    </row>
    <row r="257" spans="1:11" x14ac:dyDescent="0.25">
      <c r="A257" s="4">
        <f>DATE(2023,8,7)</f>
        <v>45145</v>
      </c>
      <c r="B257">
        <v>90.460999999999984</v>
      </c>
      <c r="C257">
        <v>90.18119999999999</v>
      </c>
      <c r="D257">
        <v>90.759749999999983</v>
      </c>
      <c r="E257">
        <v>82.64</v>
      </c>
      <c r="G257">
        <v>68.331499999999977</v>
      </c>
      <c r="H257">
        <v>70.637199999999993</v>
      </c>
      <c r="I257">
        <v>69.839597989949766</v>
      </c>
      <c r="J257">
        <v>66.11</v>
      </c>
      <c r="K257" s="2">
        <v>45491</v>
      </c>
    </row>
    <row r="258" spans="1:11" x14ac:dyDescent="0.25">
      <c r="A258" s="4">
        <f>DATE(2023,8,4)</f>
        <v>45142</v>
      </c>
      <c r="B258">
        <v>90.641999999999996</v>
      </c>
      <c r="C258">
        <v>90.188400000000001</v>
      </c>
      <c r="D258">
        <v>90.738849999999999</v>
      </c>
      <c r="E258">
        <v>83.41</v>
      </c>
      <c r="G258">
        <v>68.228999999999999</v>
      </c>
      <c r="H258">
        <v>70.525399999999991</v>
      </c>
      <c r="I258">
        <v>69.746381909547765</v>
      </c>
      <c r="J258">
        <v>66</v>
      </c>
      <c r="K258" s="2">
        <v>45492</v>
      </c>
    </row>
    <row r="259" spans="1:11" x14ac:dyDescent="0.25">
      <c r="A259" s="4">
        <f>DATE(2023,8,3)</f>
        <v>45141</v>
      </c>
      <c r="B259">
        <v>90.778999999999968</v>
      </c>
      <c r="C259">
        <v>90.182799999999986</v>
      </c>
      <c r="D259">
        <v>90.722099999999998</v>
      </c>
      <c r="E259">
        <v>84.41</v>
      </c>
      <c r="G259">
        <v>68.090499999999992</v>
      </c>
      <c r="H259">
        <v>70.419799999999981</v>
      </c>
      <c r="I259">
        <v>69.631457286432195</v>
      </c>
      <c r="J259">
        <v>64.790000000000006</v>
      </c>
      <c r="K259" s="2">
        <v>45495</v>
      </c>
    </row>
    <row r="260" spans="1:11" x14ac:dyDescent="0.25">
      <c r="A260" s="4">
        <f>DATE(2023,8,2)</f>
        <v>45140</v>
      </c>
      <c r="B260">
        <v>90.873000000000005</v>
      </c>
      <c r="C260">
        <v>90.147199999999998</v>
      </c>
      <c r="D260">
        <v>90.678199999999975</v>
      </c>
      <c r="E260">
        <v>83.2</v>
      </c>
      <c r="G260">
        <v>67.989999999999995</v>
      </c>
      <c r="H260">
        <v>70.33359999999999</v>
      </c>
      <c r="I260">
        <v>69.526381909547752</v>
      </c>
      <c r="J260">
        <v>65.790000000000006</v>
      </c>
      <c r="K260" s="2">
        <v>45496</v>
      </c>
    </row>
    <row r="261" spans="1:11" x14ac:dyDescent="0.25">
      <c r="A261" s="4">
        <f>DATE(2023,8,1)</f>
        <v>45139</v>
      </c>
      <c r="B261">
        <v>91.003500000000003</v>
      </c>
      <c r="C261">
        <v>90.178999999999974</v>
      </c>
      <c r="D261">
        <v>90.623799999999989</v>
      </c>
      <c r="E261">
        <v>84.62</v>
      </c>
      <c r="G261">
        <v>68.073499999999996</v>
      </c>
      <c r="H261">
        <v>70.327799999999996</v>
      </c>
      <c r="I261">
        <v>69.42854271356785</v>
      </c>
      <c r="J261">
        <v>68.900000000000006</v>
      </c>
      <c r="K261" s="2">
        <v>45497</v>
      </c>
    </row>
    <row r="262" spans="1:11" x14ac:dyDescent="0.25">
      <c r="A262" s="4">
        <f>DATE(2023,7,31)</f>
        <v>45138</v>
      </c>
      <c r="B262">
        <v>91.156999999999996</v>
      </c>
      <c r="C262">
        <v>90.20259999999999</v>
      </c>
      <c r="D262">
        <v>90.550449999999984</v>
      </c>
      <c r="E262">
        <v>86.81</v>
      </c>
      <c r="G262">
        <v>68.102999999999994</v>
      </c>
      <c r="H262">
        <v>70.253599999999992</v>
      </c>
      <c r="I262">
        <v>69.32050251256284</v>
      </c>
      <c r="J262">
        <v>67.08</v>
      </c>
      <c r="K262" s="2">
        <v>45498</v>
      </c>
    </row>
    <row r="263" spans="1:11" x14ac:dyDescent="0.25">
      <c r="A263" s="4">
        <f>DATE(2023,7,28)</f>
        <v>45135</v>
      </c>
      <c r="B263">
        <v>91.19550000000001</v>
      </c>
      <c r="C263">
        <v>90.211399999999998</v>
      </c>
      <c r="D263">
        <v>90.469449999999995</v>
      </c>
      <c r="E263">
        <v>88.7</v>
      </c>
    </row>
    <row r="264" spans="1:11" x14ac:dyDescent="0.25">
      <c r="A264" s="4">
        <f>DATE(2023,7,27)</f>
        <v>45134</v>
      </c>
      <c r="B264">
        <v>91.239000000000004</v>
      </c>
      <c r="C264">
        <v>90.225999999999985</v>
      </c>
      <c r="D264">
        <v>90.379349999999974</v>
      </c>
      <c r="E264">
        <v>90.92</v>
      </c>
    </row>
    <row r="265" spans="1:11" x14ac:dyDescent="0.25">
      <c r="A265" s="4">
        <f>DATE(2023,7,26)</f>
        <v>45133</v>
      </c>
      <c r="B265">
        <v>91.099500000000006</v>
      </c>
      <c r="C265">
        <v>90.20059999999998</v>
      </c>
      <c r="D265">
        <v>90.278549999999996</v>
      </c>
      <c r="E265">
        <v>90.77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96194-A57A-4206-BB61-DCD411DD672D}">
  <dimension ref="A1:Z1051"/>
  <sheetViews>
    <sheetView topLeftCell="G1" workbookViewId="0">
      <selection sqref="A1:Z1048576"/>
    </sheetView>
  </sheetViews>
  <sheetFormatPr defaultRowHeight="15" x14ac:dyDescent="0.25"/>
  <cols>
    <col min="1" max="1" width="19.5703125" customWidth="1"/>
    <col min="2" max="2" width="12.5703125" bestFit="1" customWidth="1"/>
    <col min="3" max="6" width="9.140625" bestFit="1" customWidth="1"/>
    <col min="7" max="7" width="17.85546875" bestFit="1" customWidth="1"/>
    <col min="8" max="8" width="10.5703125" bestFit="1" customWidth="1"/>
    <col min="9" max="9" width="9.140625" customWidth="1"/>
    <col min="10" max="11" width="9.140625" bestFit="1" customWidth="1"/>
    <col min="12" max="12" width="13" bestFit="1" customWidth="1"/>
    <col min="13" max="13" width="24.7109375" bestFit="1" customWidth="1"/>
    <col min="23" max="23" width="13.28515625" customWidth="1"/>
    <col min="24" max="24" width="20" customWidth="1"/>
    <col min="25" max="25" width="17.85546875" customWidth="1"/>
    <col min="26" max="26" width="15.7109375" customWidth="1"/>
  </cols>
  <sheetData>
    <row r="1" spans="1:26" x14ac:dyDescent="0.25">
      <c r="A1" t="str">
        <f>_xll.ICEOptions(B1,A2:B2,A5:E5,G5:P5,"Precision=4","NumberOfDisplayedOptions=200")</f>
        <v>Options</v>
      </c>
      <c r="B1" t="s">
        <v>444</v>
      </c>
    </row>
    <row r="2" spans="1:26" x14ac:dyDescent="0.25">
      <c r="A2" s="1" t="s">
        <v>445</v>
      </c>
      <c r="B2" s="1" t="s">
        <v>2</v>
      </c>
      <c r="E2" s="1"/>
      <c r="F2" s="1"/>
      <c r="G2" s="1"/>
      <c r="H2" s="1"/>
      <c r="I2" s="1"/>
    </row>
    <row r="3" spans="1:26" x14ac:dyDescent="0.25">
      <c r="A3" t="str">
        <f>_xll.ICEOptionSymbol($B$1,"F")</f>
        <v>ECF 24Z-ICN</v>
      </c>
      <c r="B3" s="3">
        <f>_xll.ICEQuote($A$3,_xll.ICEFldID(B$2))</f>
        <v>0</v>
      </c>
    </row>
    <row r="4" spans="1:26" x14ac:dyDescent="0.25">
      <c r="A4" s="112" t="s">
        <v>446</v>
      </c>
      <c r="B4" s="112"/>
      <c r="C4" s="112"/>
      <c r="D4" s="112"/>
      <c r="E4" s="112"/>
      <c r="F4" s="1"/>
      <c r="G4" s="112" t="s">
        <v>447</v>
      </c>
      <c r="H4" s="112"/>
      <c r="I4" s="112"/>
      <c r="J4" s="112"/>
      <c r="K4" s="112"/>
      <c r="L4" t="str">
        <f ca="1">_xll.ICESeries(M4:W4,M5:W5,,EDATE(TODAY(),-48),TODAY(),,"IsSnapshot=false","Fill=Forward","DayOfWeek=12345")</f>
        <v>Time Series</v>
      </c>
      <c r="M4" s="113" t="s">
        <v>448</v>
      </c>
      <c r="N4" s="113"/>
      <c r="O4" s="113"/>
      <c r="P4" s="113"/>
      <c r="Q4" s="113"/>
      <c r="R4" s="113"/>
      <c r="S4" s="113" t="s">
        <v>449</v>
      </c>
      <c r="T4" s="113"/>
      <c r="U4" s="113"/>
      <c r="V4" s="113"/>
      <c r="W4" s="113"/>
    </row>
    <row r="5" spans="1:26" x14ac:dyDescent="0.25">
      <c r="A5" s="1" t="s">
        <v>445</v>
      </c>
      <c r="B5" s="1" t="s">
        <v>450</v>
      </c>
      <c r="C5" s="1" t="s">
        <v>451</v>
      </c>
      <c r="D5" s="1" t="s">
        <v>452</v>
      </c>
      <c r="E5" s="1" t="s">
        <v>453</v>
      </c>
      <c r="F5" s="1" t="s">
        <v>451</v>
      </c>
      <c r="G5" s="1" t="s">
        <v>445</v>
      </c>
      <c r="H5" s="1" t="s">
        <v>450</v>
      </c>
      <c r="I5" s="1" t="s">
        <v>451</v>
      </c>
      <c r="J5" s="1" t="s">
        <v>452</v>
      </c>
      <c r="K5" s="1" t="s">
        <v>453</v>
      </c>
      <c r="M5" t="s">
        <v>454</v>
      </c>
      <c r="N5" t="s">
        <v>455</v>
      </c>
      <c r="O5" t="s">
        <v>456</v>
      </c>
      <c r="P5" t="s">
        <v>457</v>
      </c>
      <c r="Q5" t="s">
        <v>48</v>
      </c>
      <c r="R5" t="s">
        <v>450</v>
      </c>
      <c r="S5" t="s">
        <v>454</v>
      </c>
      <c r="T5" t="s">
        <v>455</v>
      </c>
      <c r="U5" t="s">
        <v>456</v>
      </c>
      <c r="V5" t="s">
        <v>457</v>
      </c>
      <c r="W5" t="s">
        <v>48</v>
      </c>
      <c r="X5" t="s">
        <v>458</v>
      </c>
      <c r="Y5" t="s">
        <v>459</v>
      </c>
      <c r="Z5" t="s">
        <v>460</v>
      </c>
    </row>
    <row r="6" spans="1:26" x14ac:dyDescent="0.25">
      <c r="A6" s="3" t="str">
        <f>_xll.ICEOptionSymbol($B$1,"F","C",$F6)</f>
        <v/>
      </c>
      <c r="B6" s="3">
        <f>_xll.ICEQuote($A6,_xll.ICEFldID(B$5))</f>
        <v>0</v>
      </c>
      <c r="C6" s="3">
        <f>_xll.ICEQuote($A6,_xll.ICEFldID(C$5))</f>
        <v>0</v>
      </c>
      <c r="D6" s="3">
        <f>_xll.ICEQuote($A6,_xll.ICEFldID(D$5))</f>
        <v>0</v>
      </c>
      <c r="E6" s="3">
        <f>_xll.ICEQuote($A6,_xll.ICEFldID(E$5))</f>
        <v>0</v>
      </c>
      <c r="F6" s="3">
        <f>_xll.ICEOptionStrike($B$1,-100,"F")</f>
        <v>0</v>
      </c>
      <c r="G6" s="3" t="str">
        <f>_xll.ICEOptionSymbol($B$1,"F","P",$F6)</f>
        <v/>
      </c>
      <c r="H6" s="3">
        <f>_xll.ICEQuote($G6,_xll.ICEFldID(H$5))</f>
        <v>0</v>
      </c>
      <c r="I6" s="3">
        <f>_xll.ICEQuote($G6,_xll.ICEFldID(I$5))</f>
        <v>0</v>
      </c>
      <c r="J6" s="3">
        <f>_xll.ICEQuote($G6,_xll.ICEFldID(J$5))</f>
        <v>0</v>
      </c>
      <c r="K6" s="3">
        <f>_xll.ICEQuote($G6,_xll.ICEFldID(K$5))</f>
        <v>0</v>
      </c>
      <c r="M6" t="str">
        <f>_xll.ICEQuote(M4,"Description")</f>
        <v>EUA FUTURES - EUA - DEC24</v>
      </c>
      <c r="S6" t="str">
        <f>_xll.ICEQuote(S4,"Description")</f>
        <v>DUTCH TTF NATURAL GAS CALENDAR MONTH</v>
      </c>
    </row>
    <row r="7" spans="1:26" x14ac:dyDescent="0.25">
      <c r="A7" s="3" t="str">
        <f>_xll.ICEOptionSymbol($B$1,"F","C",$F7)</f>
        <v/>
      </c>
      <c r="B7" s="3">
        <f>_xll.ICEQuote($A7,_xll.ICEFldID(B$5))</f>
        <v>0</v>
      </c>
      <c r="C7" s="3">
        <f>_xll.ICEQuote($A7,_xll.ICEFldID(C$5))</f>
        <v>0</v>
      </c>
      <c r="D7" s="3">
        <f>_xll.ICEQuote($A7,_xll.ICEFldID(D$5))</f>
        <v>0</v>
      </c>
      <c r="E7" s="3">
        <f>_xll.ICEQuote($A7,_xll.ICEFldID(E$5))</f>
        <v>0</v>
      </c>
      <c r="F7" s="3">
        <f>_xll.ICEOptionStrike($B$1,-99,"F")</f>
        <v>0</v>
      </c>
      <c r="G7" s="3" t="str">
        <f>_xll.ICEOptionSymbol($B$1,"F","P",$F7)</f>
        <v/>
      </c>
      <c r="H7" s="3">
        <f>_xll.ICEQuote($G7,_xll.ICEFldID(H$5))</f>
        <v>0</v>
      </c>
      <c r="I7" s="3">
        <f>_xll.ICEQuote($G7,_xll.ICEFldID(I$5))</f>
        <v>0</v>
      </c>
      <c r="J7" s="3">
        <f>_xll.ICEQuote($G7,_xll.ICEFldID(J$5))</f>
        <v>0</v>
      </c>
      <c r="K7" s="3">
        <f>_xll.ICEQuote($G7,_xll.ICEFldID(K$5))</f>
        <v>0</v>
      </c>
      <c r="L7" s="4">
        <f>_xll.ICETimeline(_xll.ICEJoinRange(M4:W4),"DF[dow:12345][tl:Calendar]","2020-07-26;2024-07-26",1044,-1)</f>
        <v>45499.5</v>
      </c>
      <c r="M7">
        <f>_xll.ICEHistory(M$4,M$5,"DF[dow:12345][tl:Calendar]",$L7)</f>
        <v>0</v>
      </c>
      <c r="N7">
        <f>_xll.ICEHistory(M$4,N$5,"DF[dow:12345][tl:Calendar]",$L7)</f>
        <v>0</v>
      </c>
      <c r="O7">
        <f>_xll.ICEHistory(M$4,O$5,"DF[dow:12345][tl:Calendar]",$L7)</f>
        <v>0</v>
      </c>
      <c r="P7">
        <f>_xll.ICEHistory(M$4,P$5,"DF[dow:12345][tl:Calendar]",$L7)</f>
        <v>0</v>
      </c>
      <c r="Q7">
        <f>_xll.ICEHistory(M$4,Q$5,"DF[dow:12345][tl:Calendar]",$L7)</f>
        <v>0</v>
      </c>
      <c r="R7">
        <f>_xll.ICEHistory(M$4,R$5,"DF[dow:12345][tl:Calendar]",$L7)</f>
        <v>0</v>
      </c>
      <c r="S7">
        <f>_xll.ICEHistory(S$4,S$5,"DF[dow:12345][tl:Calendar]",$L7)</f>
        <v>0</v>
      </c>
      <c r="T7">
        <f>_xll.ICEHistory(S$4,T$5,"DF[dow:12345][tl:Calendar]",$L7)</f>
        <v>0</v>
      </c>
      <c r="U7">
        <f>_xll.ICEHistory(S$4,U$5,"DF[dow:12345][tl:Calendar]",$L7)</f>
        <v>0</v>
      </c>
      <c r="V7">
        <f>_xll.ICEHistory(S$4,V$5,"DF[dow:12345][tl:Calendar]",$L7)</f>
        <v>0</v>
      </c>
      <c r="W7">
        <f>_xll.ICEHistory(S$4,W$5,"DF[dow:12345][tl:Calendar]",$L7)</f>
        <v>0</v>
      </c>
    </row>
    <row r="8" spans="1:26" x14ac:dyDescent="0.25">
      <c r="A8" s="3" t="str">
        <f>_xll.ICEOptionSymbol($B$1,"F","C",$F8)</f>
        <v/>
      </c>
      <c r="B8" s="3">
        <f>_xll.ICEQuote($A8,_xll.ICEFldID(B$5))</f>
        <v>0</v>
      </c>
      <c r="C8" s="3">
        <f>_xll.ICEQuote($A8,_xll.ICEFldID(C$5))</f>
        <v>0</v>
      </c>
      <c r="D8" s="3">
        <f>_xll.ICEQuote($A8,_xll.ICEFldID(D$5))</f>
        <v>0</v>
      </c>
      <c r="E8" s="3">
        <f>_xll.ICEQuote($A8,_xll.ICEFldID(E$5))</f>
        <v>0</v>
      </c>
      <c r="F8" s="3">
        <f>_xll.ICEOptionStrike($B$1,-98,"F")</f>
        <v>0</v>
      </c>
      <c r="G8" s="3" t="str">
        <f>_xll.ICEOptionSymbol($B$1,"F","P",$F8)</f>
        <v/>
      </c>
      <c r="H8" s="3">
        <f>_xll.ICEQuote($G8,_xll.ICEFldID(H$5))</f>
        <v>0</v>
      </c>
      <c r="I8" s="3">
        <f>_xll.ICEQuote($G8,_xll.ICEFldID(I$5))</f>
        <v>0</v>
      </c>
      <c r="J8" s="3">
        <f>_xll.ICEQuote($G8,_xll.ICEFldID(J$5))</f>
        <v>0</v>
      </c>
      <c r="K8" s="3">
        <f>_xll.ICEQuote($G8,_xll.ICEFldID(K$5))</f>
        <v>0</v>
      </c>
      <c r="L8" s="4">
        <f>_xll.ICETimeline(_xll.ICEJoinRange(M4:W4),"DF[dow:12345][tl:Calendar]","2020-07-26;2024-07-26",1043,-1)</f>
        <v>45498.5</v>
      </c>
      <c r="M8">
        <f>_xll.ICEHistory(M$4,M$5,"DF[dow:12345][tl:Calendar]",$L8)</f>
        <v>68.91</v>
      </c>
      <c r="N8">
        <f>_xll.ICEHistory(M$4,N$5,"DF[dow:12345][tl:Calendar]",$L8)</f>
        <v>68.94</v>
      </c>
      <c r="O8">
        <f>_xll.ICEHistory(M$4,O$5,"DF[dow:12345][tl:Calendar]",$L8)</f>
        <v>66.599999999999994</v>
      </c>
      <c r="P8">
        <f>_xll.ICEHistory(M$4,P$5,"DF[dow:12345][tl:Calendar]",$L8)</f>
        <v>67.08</v>
      </c>
      <c r="Q8">
        <f>_xll.ICEHistory(M$4,Q$5,"DF[dow:12345][tl:Calendar]",$L8)</f>
        <v>26935</v>
      </c>
      <c r="R8">
        <f>_xll.ICEHistory(M$4,R$5,"DF[dow:12345][tl:Calendar]",$L8)</f>
        <v>0</v>
      </c>
      <c r="S8">
        <f>_xll.ICEHistory(S$4,S$5,"DF[dow:12345][tl:Calendar]",$L8)</f>
        <v>32.380000000000003</v>
      </c>
      <c r="T8">
        <f>_xll.ICEHistory(S$4,T$5,"DF[dow:12345][tl:Calendar]",$L8)</f>
        <v>32.380000000000003</v>
      </c>
      <c r="U8">
        <f>_xll.ICEHistory(S$4,U$5,"DF[dow:12345][tl:Calendar]",$L8)</f>
        <v>31.69</v>
      </c>
      <c r="V8">
        <f>_xll.ICEHistory(S$4,V$5,"DF[dow:12345][tl:Calendar]",$L8)</f>
        <v>31.779</v>
      </c>
      <c r="W8">
        <f>_xll.ICEHistory(S$4,W$5,"DF[dow:12345][tl:Calendar]",$L8)</f>
        <v>745</v>
      </c>
      <c r="X8">
        <f>IFERROR((N8-O8)/M9, "")</f>
        <v>3.5567715458276382E-2</v>
      </c>
      <c r="Y8">
        <f>IFERROR((X8-AVERAGE(X8:X72))/_xlfn.STDEV.S(X8:X72),"")</f>
        <v>0.13117974834285365</v>
      </c>
      <c r="Z8">
        <f>IFERROR((Q8-AVERAGE(Q8:Q73))/_xlfn.STDEV.S(Q8:Q73),"")</f>
        <v>5.3084849560616161E-2</v>
      </c>
    </row>
    <row r="9" spans="1:26" x14ac:dyDescent="0.25">
      <c r="A9" s="3" t="str">
        <f>_xll.ICEOptionSymbol($B$1,"F","C",$F9)</f>
        <v/>
      </c>
      <c r="B9" s="3">
        <f>_xll.ICEQuote($A9,_xll.ICEFldID(B$5))</f>
        <v>0</v>
      </c>
      <c r="C9" s="3">
        <f>_xll.ICEQuote($A9,_xll.ICEFldID(C$5))</f>
        <v>0</v>
      </c>
      <c r="D9" s="3">
        <f>_xll.ICEQuote($A9,_xll.ICEFldID(D$5))</f>
        <v>0</v>
      </c>
      <c r="E9" s="3">
        <f>_xll.ICEQuote($A9,_xll.ICEFldID(E$5))</f>
        <v>0</v>
      </c>
      <c r="F9" s="3">
        <f>_xll.ICEOptionStrike($B$1,-97,"F")</f>
        <v>0</v>
      </c>
      <c r="G9" s="3" t="str">
        <f>_xll.ICEOptionSymbol($B$1,"F","P",$F9)</f>
        <v/>
      </c>
      <c r="H9" s="3">
        <f>_xll.ICEQuote($G9,_xll.ICEFldID(H$5))</f>
        <v>0</v>
      </c>
      <c r="I9" s="3">
        <f>_xll.ICEQuote($G9,_xll.ICEFldID(I$5))</f>
        <v>0</v>
      </c>
      <c r="J9" s="3">
        <f>_xll.ICEQuote($G9,_xll.ICEFldID(J$5))</f>
        <v>0</v>
      </c>
      <c r="K9" s="3">
        <f>_xll.ICEQuote($G9,_xll.ICEFldID(K$5))</f>
        <v>0</v>
      </c>
      <c r="L9" s="4">
        <f>_xll.ICETimeline(_xll.ICEJoinRange(M4:W4),"DF[dow:12345][tl:Calendar]","2020-07-26;2024-07-26",1042,-1)</f>
        <v>45497.5</v>
      </c>
      <c r="M9">
        <f>_xll.ICEHistory(M$4,M$5,"DF[dow:12345][tl:Calendar]",$L9)</f>
        <v>65.790000000000006</v>
      </c>
      <c r="N9">
        <f>_xll.ICEHistory(M$4,N$5,"DF[dow:12345][tl:Calendar]",$L9)</f>
        <v>69.040000000000006</v>
      </c>
      <c r="O9">
        <f>_xll.ICEHistory(M$4,O$5,"DF[dow:12345][tl:Calendar]",$L9)</f>
        <v>65.55</v>
      </c>
      <c r="P9">
        <f>_xll.ICEHistory(M$4,P$5,"DF[dow:12345][tl:Calendar]",$L9)</f>
        <v>68.900000000000006</v>
      </c>
      <c r="Q9">
        <f>_xll.ICEHistory(M$4,Q$5,"DF[dow:12345][tl:Calendar]",$L9)</f>
        <v>32266</v>
      </c>
      <c r="R9">
        <f>_xll.ICEHistory(M$4,R$5,"DF[dow:12345][tl:Calendar]",$L9)</f>
        <v>372504</v>
      </c>
      <c r="S9">
        <f>_xll.ICEHistory(S$4,S$5,"DF[dow:12345][tl:Calendar]",$L9)</f>
        <v>31.524999999999999</v>
      </c>
      <c r="T9">
        <f>_xll.ICEHistory(S$4,T$5,"DF[dow:12345][tl:Calendar]",$L9)</f>
        <v>32.945</v>
      </c>
      <c r="U9">
        <f>_xll.ICEHistory(S$4,U$5,"DF[dow:12345][tl:Calendar]",$L9)</f>
        <v>31.52</v>
      </c>
      <c r="V9">
        <f>_xll.ICEHistory(S$4,V$5,"DF[dow:12345][tl:Calendar]",$L9)</f>
        <v>32.621000000000002</v>
      </c>
      <c r="W9">
        <f>_xll.ICEHistory(S$4,W$5,"DF[dow:12345][tl:Calendar]",$L9)</f>
        <v>655</v>
      </c>
      <c r="X9">
        <f t="shared" ref="X9:X72" si="0">IFERROR((N9-O9)/M10, "")</f>
        <v>5.3916267572995655E-2</v>
      </c>
      <c r="Y9">
        <f t="shared" ref="Y9:Y72" si="1">IFERROR((X9-AVERAGE(X9:X73))/_xlfn.STDEV.S(X9:X73),"")</f>
        <v>1.479550867060017</v>
      </c>
      <c r="Z9">
        <f t="shared" ref="Z9:Z72" si="2">IFERROR((Q9-AVERAGE(Q9:Q74))/_xlfn.STDEV.S(Q9:Q74),"")</f>
        <v>0.858740217384518</v>
      </c>
    </row>
    <row r="10" spans="1:26" x14ac:dyDescent="0.25">
      <c r="A10" s="3" t="str">
        <f>_xll.ICEOptionSymbol($B$1,"F","C",$F10)</f>
        <v/>
      </c>
      <c r="B10" s="3">
        <f>_xll.ICEQuote($A10,_xll.ICEFldID(B$5))</f>
        <v>0</v>
      </c>
      <c r="C10" s="3">
        <f>_xll.ICEQuote($A10,_xll.ICEFldID(C$5))</f>
        <v>0</v>
      </c>
      <c r="D10" s="3">
        <f>_xll.ICEQuote($A10,_xll.ICEFldID(D$5))</f>
        <v>0</v>
      </c>
      <c r="E10" s="3">
        <f>_xll.ICEQuote($A10,_xll.ICEFldID(E$5))</f>
        <v>0</v>
      </c>
      <c r="F10" s="3">
        <f>_xll.ICEOptionStrike($B$1,-96,"F")</f>
        <v>0</v>
      </c>
      <c r="G10" s="3" t="str">
        <f>_xll.ICEOptionSymbol($B$1,"F","P",$F10)</f>
        <v/>
      </c>
      <c r="H10" s="3">
        <f>_xll.ICEQuote($G10,_xll.ICEFldID(H$5))</f>
        <v>0</v>
      </c>
      <c r="I10" s="3">
        <f>_xll.ICEQuote($G10,_xll.ICEFldID(I$5))</f>
        <v>0</v>
      </c>
      <c r="J10" s="3">
        <f>_xll.ICEQuote($G10,_xll.ICEFldID(J$5))</f>
        <v>0</v>
      </c>
      <c r="K10" s="3">
        <f>_xll.ICEQuote($G10,_xll.ICEFldID(K$5))</f>
        <v>0</v>
      </c>
      <c r="L10" s="4">
        <f>_xll.ICETimeline(_xll.ICEJoinRange(M4:W4),"DF[dow:12345][tl:Calendar]","2020-07-26;2024-07-26",1041,-1)</f>
        <v>45496.5</v>
      </c>
      <c r="M10">
        <f>_xll.ICEHistory(M$4,M$5,"DF[dow:12345][tl:Calendar]",$L10)</f>
        <v>64.73</v>
      </c>
      <c r="N10">
        <f>_xll.ICEHistory(M$4,N$5,"DF[dow:12345][tl:Calendar]",$L10)</f>
        <v>66.239999999999995</v>
      </c>
      <c r="O10">
        <f>_xll.ICEHistory(M$4,O$5,"DF[dow:12345][tl:Calendar]",$L10)</f>
        <v>64.260000000000005</v>
      </c>
      <c r="P10">
        <f>_xll.ICEHistory(M$4,P$5,"DF[dow:12345][tl:Calendar]",$L10)</f>
        <v>65.790000000000006</v>
      </c>
      <c r="Q10">
        <f>_xll.ICEHistory(M$4,Q$5,"DF[dow:12345][tl:Calendar]",$L10)</f>
        <v>22544</v>
      </c>
      <c r="R10">
        <f>_xll.ICEHistory(M$4,R$5,"DF[dow:12345][tl:Calendar]",$L10)</f>
        <v>372909</v>
      </c>
      <c r="S10">
        <f>_xll.ICEHistory(S$4,S$5,"DF[dow:12345][tl:Calendar]",$L10)</f>
        <v>31.62</v>
      </c>
      <c r="T10">
        <f>_xll.ICEHistory(S$4,T$5,"DF[dow:12345][tl:Calendar]",$L10)</f>
        <v>31.83</v>
      </c>
      <c r="U10">
        <f>_xll.ICEHistory(S$4,U$5,"DF[dow:12345][tl:Calendar]",$L10)</f>
        <v>31.335000000000001</v>
      </c>
      <c r="V10">
        <f>_xll.ICEHistory(S$4,V$5,"DF[dow:12345][tl:Calendar]",$L10)</f>
        <v>31.622</v>
      </c>
      <c r="W10">
        <f>_xll.ICEHistory(S$4,W$5,"DF[dow:12345][tl:Calendar]",$L10)</f>
        <v>1115</v>
      </c>
      <c r="X10">
        <f t="shared" si="0"/>
        <v>2.9873264936632313E-2</v>
      </c>
      <c r="Y10">
        <f t="shared" si="1"/>
        <v>-0.30389638750600956</v>
      </c>
      <c r="Z10">
        <f t="shared" si="2"/>
        <v>-0.62298314010140499</v>
      </c>
    </row>
    <row r="11" spans="1:26" x14ac:dyDescent="0.25">
      <c r="A11" s="3" t="str">
        <f>_xll.ICEOptionSymbol($B$1,"F","C",$F11)</f>
        <v/>
      </c>
      <c r="B11" s="3">
        <f>_xll.ICEQuote($A11,_xll.ICEFldID(B$5))</f>
        <v>0</v>
      </c>
      <c r="C11" s="3">
        <f>_xll.ICEQuote($A11,_xll.ICEFldID(C$5))</f>
        <v>0</v>
      </c>
      <c r="D11" s="3">
        <f>_xll.ICEQuote($A11,_xll.ICEFldID(D$5))</f>
        <v>0</v>
      </c>
      <c r="E11" s="3">
        <f>_xll.ICEQuote($A11,_xll.ICEFldID(E$5))</f>
        <v>0</v>
      </c>
      <c r="F11" s="3">
        <f>_xll.ICEOptionStrike($B$1,-95,"F")</f>
        <v>0</v>
      </c>
      <c r="G11" s="3" t="str">
        <f>_xll.ICEOptionSymbol($B$1,"F","P",$F11)</f>
        <v/>
      </c>
      <c r="H11" s="3">
        <f>_xll.ICEQuote($G11,_xll.ICEFldID(H$5))</f>
        <v>0</v>
      </c>
      <c r="I11" s="3">
        <f>_xll.ICEQuote($G11,_xll.ICEFldID(I$5))</f>
        <v>0</v>
      </c>
      <c r="J11" s="3">
        <f>_xll.ICEQuote($G11,_xll.ICEFldID(J$5))</f>
        <v>0</v>
      </c>
      <c r="K11" s="3">
        <f>_xll.ICEQuote($G11,_xll.ICEFldID(K$5))</f>
        <v>0</v>
      </c>
      <c r="L11" s="4">
        <f>_xll.ICETimeline(_xll.ICEJoinRange(M4:W4),"DF[dow:12345][tl:Calendar]","2020-07-26;2024-07-26",1040,-1)</f>
        <v>45495.5</v>
      </c>
      <c r="M11">
        <f>_xll.ICEHistory(M$4,M$5,"DF[dow:12345][tl:Calendar]",$L11)</f>
        <v>66.28</v>
      </c>
      <c r="N11">
        <f>_xll.ICEHistory(M$4,N$5,"DF[dow:12345][tl:Calendar]",$L11)</f>
        <v>66.790000000000006</v>
      </c>
      <c r="O11">
        <f>_xll.ICEHistory(M$4,O$5,"DF[dow:12345][tl:Calendar]",$L11)</f>
        <v>64.239999999999995</v>
      </c>
      <c r="P11">
        <f>_xll.ICEHistory(M$4,P$5,"DF[dow:12345][tl:Calendar]",$L11)</f>
        <v>64.790000000000006</v>
      </c>
      <c r="Q11">
        <f>_xll.ICEHistory(M$4,Q$5,"DF[dow:12345][tl:Calendar]",$L11)</f>
        <v>29834</v>
      </c>
      <c r="R11">
        <f>_xll.ICEHistory(M$4,R$5,"DF[dow:12345][tl:Calendar]",$L11)</f>
        <v>372152</v>
      </c>
      <c r="S11">
        <f>_xll.ICEHistory(S$4,S$5,"DF[dow:12345][tl:Calendar]",$L11)</f>
        <v>31.8</v>
      </c>
      <c r="T11">
        <f>_xll.ICEHistory(S$4,T$5,"DF[dow:12345][tl:Calendar]",$L11)</f>
        <v>31.95</v>
      </c>
      <c r="U11">
        <f>_xll.ICEHistory(S$4,U$5,"DF[dow:12345][tl:Calendar]",$L11)</f>
        <v>31.195</v>
      </c>
      <c r="V11">
        <f>_xll.ICEHistory(S$4,V$5,"DF[dow:12345][tl:Calendar]",$L11)</f>
        <v>31.838999999999999</v>
      </c>
      <c r="W11">
        <f>_xll.ICEHistory(S$4,W$5,"DF[dow:12345][tl:Calendar]",$L11)</f>
        <v>347</v>
      </c>
      <c r="X11">
        <f t="shared" si="0"/>
        <v>3.8432554634514116E-2</v>
      </c>
      <c r="Y11">
        <f t="shared" si="1"/>
        <v>0.34646740368361312</v>
      </c>
      <c r="Z11">
        <f t="shared" si="2"/>
        <v>0.45664093487834351</v>
      </c>
    </row>
    <row r="12" spans="1:26" x14ac:dyDescent="0.25">
      <c r="A12" s="3" t="str">
        <f>_xll.ICEOptionSymbol($B$1,"F","C",$F12)</f>
        <v>EFO 24UC2000-ICN</v>
      </c>
      <c r="B12" s="3">
        <f>_xll.ICEQuote($A12,_xll.ICEFldID(B$5))</f>
        <v>0</v>
      </c>
      <c r="C12" s="3">
        <f>_xll.ICEQuote($A12,_xll.ICEFldID(C$5))</f>
        <v>20</v>
      </c>
      <c r="D12" s="3">
        <f>_xll.ICEQuote($A12,_xll.ICEFldID(D$5))</f>
        <v>1.4347321114028768</v>
      </c>
      <c r="E12" s="3">
        <f>_xll.ICEQuote($A12,_xll.ICEFldID(E$5))</f>
        <v>0.98687979099603018</v>
      </c>
      <c r="F12" s="3">
        <f>_xll.ICEOptionStrike($B$1,-94,"F")</f>
        <v>20</v>
      </c>
      <c r="G12" s="3" t="str">
        <f>_xll.ICEOptionSymbol($B$1,"F","P",$F12)</f>
        <v>EFO 24UP2000-ICN</v>
      </c>
      <c r="H12" s="3">
        <f>_xll.ICEQuote($G12,_xll.ICEFldID(H$5))</f>
        <v>0</v>
      </c>
      <c r="I12" s="3">
        <f>_xll.ICEQuote($G12,_xll.ICEFldID(I$5))</f>
        <v>20</v>
      </c>
      <c r="J12" s="3">
        <f>_xll.ICEQuote($G12,_xll.ICEFldID(J$5))</f>
        <v>0.85482774430532482</v>
      </c>
      <c r="K12" s="3">
        <f>_xll.ICEQuote($G12,_xll.ICEFldID(K$5))</f>
        <v>-1.5885261885892037E-4</v>
      </c>
      <c r="L12" s="4">
        <f>_xll.ICETimeline(_xll.ICEJoinRange(M4:W4),"DF[dow:12345][tl:Calendar]","2020-07-26;2024-07-26",1039,-1)</f>
        <v>45492.5</v>
      </c>
      <c r="M12">
        <f>_xll.ICEHistory(M$4,M$5,"DF[dow:12345][tl:Calendar]",$L12)</f>
        <v>66.349999999999994</v>
      </c>
      <c r="N12">
        <f>_xll.ICEHistory(M$4,N$5,"DF[dow:12345][tl:Calendar]",$L12)</f>
        <v>67.489999999999995</v>
      </c>
      <c r="O12">
        <f>_xll.ICEHistory(M$4,O$5,"DF[dow:12345][tl:Calendar]",$L12)</f>
        <v>65.72</v>
      </c>
      <c r="P12">
        <f>_xll.ICEHistory(M$4,P$5,"DF[dow:12345][tl:Calendar]",$L12)</f>
        <v>66</v>
      </c>
      <c r="Q12">
        <f>_xll.ICEHistory(M$4,Q$5,"DF[dow:12345][tl:Calendar]",$L12)</f>
        <v>17152</v>
      </c>
      <c r="R12">
        <f>_xll.ICEHistory(M$4,R$5,"DF[dow:12345][tl:Calendar]",$L12)</f>
        <v>368656</v>
      </c>
      <c r="S12">
        <f>_xll.ICEHistory(S$4,S$5,"DF[dow:12345][tl:Calendar]",$L12)</f>
        <v>32.53</v>
      </c>
      <c r="T12">
        <f>_xll.ICEHistory(S$4,T$5,"DF[dow:12345][tl:Calendar]",$L12)</f>
        <v>32.53</v>
      </c>
      <c r="U12">
        <f>_xll.ICEHistory(S$4,U$5,"DF[dow:12345][tl:Calendar]",$L12)</f>
        <v>31.725000000000001</v>
      </c>
      <c r="V12">
        <f>_xll.ICEHistory(S$4,V$5,"DF[dow:12345][tl:Calendar]",$L12)</f>
        <v>32.17</v>
      </c>
      <c r="W12">
        <f>_xll.ICEHistory(S$4,W$5,"DF[dow:12345][tl:Calendar]",$L12)</f>
        <v>223</v>
      </c>
      <c r="X12">
        <f t="shared" si="0"/>
        <v>2.6644588288423841E-2</v>
      </c>
      <c r="Y12">
        <f t="shared" si="1"/>
        <v>-0.53613796801162017</v>
      </c>
      <c r="Z12">
        <f t="shared" si="2"/>
        <v>-1.4618528816980871</v>
      </c>
    </row>
    <row r="13" spans="1:26" x14ac:dyDescent="0.25">
      <c r="A13" s="3" t="str">
        <f>_xll.ICEOptionSymbol($B$1,"F","C",$F13)</f>
        <v>EFO 24UC2050-ICN</v>
      </c>
      <c r="B13" s="3">
        <f>_xll.ICEQuote($A13,_xll.ICEFldID(B$5))</f>
        <v>0</v>
      </c>
      <c r="C13" s="3">
        <f>_xll.ICEQuote($A13,_xll.ICEFldID(C$5))</f>
        <v>20.5</v>
      </c>
      <c r="D13" s="3">
        <f>_xll.ICEQuote($A13,_xll.ICEFldID(D$5))</f>
        <v>1.40453527432629</v>
      </c>
      <c r="E13" s="3">
        <f>_xll.ICEQuote($A13,_xll.ICEFldID(E$5))</f>
        <v>0.98674829813280107</v>
      </c>
      <c r="F13" s="3">
        <f>_xll.ICEOptionStrike($B$1,-93,"F")</f>
        <v>20.5</v>
      </c>
      <c r="G13" s="3" t="str">
        <f>_xll.ICEOptionSymbol($B$1,"F","P",$F13)</f>
        <v>EFO 24UP2050-ICN</v>
      </c>
      <c r="H13" s="3">
        <f>_xll.ICEQuote($G13,_xll.ICEFldID(H$5))</f>
        <v>0</v>
      </c>
      <c r="I13" s="3">
        <f>_xll.ICEQuote($G13,_xll.ICEFldID(I$5))</f>
        <v>20.5</v>
      </c>
      <c r="J13" s="3">
        <f>_xll.ICEQuote($G13,_xll.ICEFldID(J$5))</f>
        <v>0.83778094700784389</v>
      </c>
      <c r="K13" s="3">
        <f>_xll.ICEQuote($G13,_xll.ICEFldID(K$5))</f>
        <v>-1.6216291237606775E-4</v>
      </c>
      <c r="L13" s="4">
        <f>_xll.ICETimeline(_xll.ICEJoinRange(M4:W4),"DF[dow:12345][tl:Calendar]","2020-07-26;2024-07-26",1038,-1)</f>
        <v>45491.5</v>
      </c>
      <c r="M13">
        <f>_xll.ICEHistory(M$4,M$5,"DF[dow:12345][tl:Calendar]",$L13)</f>
        <v>66.430000000000007</v>
      </c>
      <c r="N13">
        <f>_xll.ICEHistory(M$4,N$5,"DF[dow:12345][tl:Calendar]",$L13)</f>
        <v>66.98</v>
      </c>
      <c r="O13">
        <f>_xll.ICEHistory(M$4,O$5,"DF[dow:12345][tl:Calendar]",$L13)</f>
        <v>66.010000000000005</v>
      </c>
      <c r="P13">
        <f>_xll.ICEHistory(M$4,P$5,"DF[dow:12345][tl:Calendar]",$L13)</f>
        <v>66.11</v>
      </c>
      <c r="Q13">
        <f>_xll.ICEHistory(M$4,Q$5,"DF[dow:12345][tl:Calendar]",$L13)</f>
        <v>20688</v>
      </c>
      <c r="R13">
        <f>_xll.ICEHistory(M$4,R$5,"DF[dow:12345][tl:Calendar]",$L13)</f>
        <v>367825</v>
      </c>
      <c r="S13">
        <f>_xll.ICEHistory(S$4,S$5,"DF[dow:12345][tl:Calendar]",$L13)</f>
        <v>31.84</v>
      </c>
      <c r="T13">
        <f>_xll.ICEHistory(S$4,T$5,"DF[dow:12345][tl:Calendar]",$L13)</f>
        <v>32.755000000000003</v>
      </c>
      <c r="U13">
        <f>_xll.ICEHistory(S$4,U$5,"DF[dow:12345][tl:Calendar]",$L13)</f>
        <v>31.82</v>
      </c>
      <c r="V13">
        <f>_xll.ICEHistory(S$4,V$5,"DF[dow:12345][tl:Calendar]",$L13)</f>
        <v>32.673999999999999</v>
      </c>
      <c r="W13">
        <f>_xll.ICEHistory(S$4,W$5,"DF[dow:12345][tl:Calendar]",$L13)</f>
        <v>199</v>
      </c>
      <c r="X13">
        <f t="shared" si="0"/>
        <v>1.4262608439935286E-2</v>
      </c>
      <c r="Y13">
        <f t="shared" si="1"/>
        <v>-1.431922492810821</v>
      </c>
      <c r="Z13">
        <f t="shared" si="2"/>
        <v>-0.96750328710298228</v>
      </c>
    </row>
    <row r="14" spans="1:26" x14ac:dyDescent="0.25">
      <c r="A14" s="3" t="str">
        <f>_xll.ICEOptionSymbol($B$1,"F","C",$F14)</f>
        <v>EFO 24UC2100-ICN</v>
      </c>
      <c r="B14" s="3">
        <f>_xll.ICEQuote($A14,_xll.ICEFldID(B$5))</f>
        <v>0</v>
      </c>
      <c r="C14" s="3">
        <f>_xll.ICEQuote($A14,_xll.ICEFldID(C$5))</f>
        <v>21</v>
      </c>
      <c r="D14" s="3">
        <f>_xll.ICEQuote($A14,_xll.ICEFldID(D$5))</f>
        <v>1.3751166026201467</v>
      </c>
      <c r="E14" s="3">
        <f>_xll.ICEQuote($A14,_xll.ICEFldID(E$5))</f>
        <v>0.98661811134637578</v>
      </c>
      <c r="F14" s="3">
        <f>_xll.ICEOptionStrike($B$1,-92,"F")</f>
        <v>21</v>
      </c>
      <c r="G14" s="3" t="str">
        <f>_xll.ICEOptionSymbol($B$1,"F","P",$F14)</f>
        <v>EFO 24UP2100-ICN</v>
      </c>
      <c r="H14" s="3">
        <f>_xll.ICEQuote($G14,_xll.ICEFldID(H$5))</f>
        <v>0</v>
      </c>
      <c r="I14" s="3">
        <f>_xll.ICEQuote($G14,_xll.ICEFldID(I$5))</f>
        <v>21</v>
      </c>
      <c r="J14" s="3">
        <f>_xll.ICEQuote($G14,_xll.ICEFldID(J$5))</f>
        <v>0.82115202303517731</v>
      </c>
      <c r="K14" s="3">
        <f>_xll.ICEQuote($G14,_xll.ICEFldID(K$5))</f>
        <v>-1.6552045984601486E-4</v>
      </c>
      <c r="L14" s="4">
        <f>_xll.ICETimeline(_xll.ICEJoinRange(M4:W4),"DF[dow:12345][tl:Calendar]","2020-07-26;2024-07-26",1037,-1)</f>
        <v>45490.5</v>
      </c>
      <c r="M14">
        <f>_xll.ICEHistory(M$4,M$5,"DF[dow:12345][tl:Calendar]",$L14)</f>
        <v>68.010000000000005</v>
      </c>
      <c r="N14">
        <f>_xll.ICEHistory(M$4,N$5,"DF[dow:12345][tl:Calendar]",$L14)</f>
        <v>68.13</v>
      </c>
      <c r="O14">
        <f>_xll.ICEHistory(M$4,O$5,"DF[dow:12345][tl:Calendar]",$L14)</f>
        <v>66.41</v>
      </c>
      <c r="P14">
        <f>_xll.ICEHistory(M$4,P$5,"DF[dow:12345][tl:Calendar]",$L14)</f>
        <v>66.42</v>
      </c>
      <c r="Q14">
        <f>_xll.ICEHistory(M$4,Q$5,"DF[dow:12345][tl:Calendar]",$L14)</f>
        <v>26377</v>
      </c>
      <c r="R14">
        <f>_xll.ICEHistory(M$4,R$5,"DF[dow:12345][tl:Calendar]",$L14)</f>
        <v>366585</v>
      </c>
      <c r="S14">
        <f>_xll.ICEHistory(S$4,S$5,"DF[dow:12345][tl:Calendar]",$L14)</f>
        <v>32.905000000000001</v>
      </c>
      <c r="T14">
        <f>_xll.ICEHistory(S$4,T$5,"DF[dow:12345][tl:Calendar]",$L14)</f>
        <v>33.25</v>
      </c>
      <c r="U14">
        <f>_xll.ICEHistory(S$4,U$5,"DF[dow:12345][tl:Calendar]",$L14)</f>
        <v>31.6</v>
      </c>
      <c r="V14">
        <f>_xll.ICEHistory(S$4,V$5,"DF[dow:12345][tl:Calendar]",$L14)</f>
        <v>31.893000000000001</v>
      </c>
      <c r="W14">
        <f>_xll.ICEHistory(S$4,W$5,"DF[dow:12345][tl:Calendar]",$L14)</f>
        <v>751</v>
      </c>
      <c r="X14">
        <f t="shared" si="0"/>
        <v>2.5350036845983772E-2</v>
      </c>
      <c r="Y14">
        <f t="shared" si="1"/>
        <v>-0.69062391417119451</v>
      </c>
      <c r="Z14">
        <f t="shared" si="2"/>
        <v>-0.16844354439576326</v>
      </c>
    </row>
    <row r="15" spans="1:26" x14ac:dyDescent="0.25">
      <c r="A15" s="3" t="str">
        <f>_xll.ICEOptionSymbol($B$1,"F","C",$F15)</f>
        <v>EFO 24UC2150-ICN</v>
      </c>
      <c r="B15" s="3">
        <f>_xll.ICEQuote($A15,_xll.ICEFldID(B$5))</f>
        <v>0</v>
      </c>
      <c r="C15" s="3">
        <f>_xll.ICEQuote($A15,_xll.ICEFldID(C$5))</f>
        <v>21.5</v>
      </c>
      <c r="D15" s="3">
        <f>_xll.ICEQuote($A15,_xll.ICEFldID(D$5))</f>
        <v>1.3464371996532813</v>
      </c>
      <c r="E15" s="3">
        <f>_xll.ICEQuote($A15,_xll.ICEFldID(E$5))</f>
        <v>0.98648918166686983</v>
      </c>
      <c r="F15" s="3">
        <f>_xll.ICEOptionStrike($B$1,-91,"F")</f>
        <v>21.5</v>
      </c>
      <c r="G15" s="3" t="str">
        <f>_xll.ICEOptionSymbol($B$1,"F","P",$F15)</f>
        <v>EFO 24UP2150-ICN</v>
      </c>
      <c r="H15" s="3">
        <f>_xll.ICEQuote($G15,_xll.ICEFldID(H$5))</f>
        <v>0</v>
      </c>
      <c r="I15" s="3">
        <f>_xll.ICEQuote($G15,_xll.ICEFldID(I$5))</f>
        <v>21.5</v>
      </c>
      <c r="J15" s="3">
        <f>_xll.ICEQuote($G15,_xll.ICEFldID(J$5))</f>
        <v>0.80492052994334651</v>
      </c>
      <c r="K15" s="3">
        <f>_xll.ICEQuote($G15,_xll.ICEFldID(K$5))</f>
        <v>-1.6892704418539287E-4</v>
      </c>
      <c r="L15" s="4">
        <f>_xll.ICETimeline(_xll.ICEJoinRange(M4:W4),"DF[dow:12345][tl:Calendar]","2020-07-26;2024-07-26",1036,-1)</f>
        <v>45489.5</v>
      </c>
      <c r="M15">
        <f>_xll.ICEHistory(M$4,M$5,"DF[dow:12345][tl:Calendar]",$L15)</f>
        <v>67.849999999999994</v>
      </c>
      <c r="N15">
        <f>_xll.ICEHistory(M$4,N$5,"DF[dow:12345][tl:Calendar]",$L15)</f>
        <v>68.3</v>
      </c>
      <c r="O15">
        <f>_xll.ICEHistory(M$4,O$5,"DF[dow:12345][tl:Calendar]",$L15)</f>
        <v>67.16</v>
      </c>
      <c r="P15">
        <f>_xll.ICEHistory(M$4,P$5,"DF[dow:12345][tl:Calendar]",$L15)</f>
        <v>67.94</v>
      </c>
      <c r="Q15">
        <f>_xll.ICEHistory(M$4,Q$5,"DF[dow:12345][tl:Calendar]",$L15)</f>
        <v>21284</v>
      </c>
      <c r="R15">
        <f>_xll.ICEHistory(M$4,R$5,"DF[dow:12345][tl:Calendar]",$L15)</f>
        <v>363416</v>
      </c>
      <c r="S15">
        <f>_xll.ICEHistory(S$4,S$5,"DF[dow:12345][tl:Calendar]",$L15)</f>
        <v>31.495000000000001</v>
      </c>
      <c r="T15">
        <f>_xll.ICEHistory(S$4,T$5,"DF[dow:12345][tl:Calendar]",$L15)</f>
        <v>33.020000000000003</v>
      </c>
      <c r="U15">
        <f>_xll.ICEHistory(S$4,U$5,"DF[dow:12345][tl:Calendar]",$L15)</f>
        <v>31.495000000000001</v>
      </c>
      <c r="V15">
        <f>_xll.ICEHistory(S$4,V$5,"DF[dow:12345][tl:Calendar]",$L15)</f>
        <v>32.796999999999997</v>
      </c>
      <c r="W15">
        <f>_xll.ICEHistory(S$4,W$5,"DF[dow:12345][tl:Calendar]",$L15)</f>
        <v>386</v>
      </c>
      <c r="X15">
        <f t="shared" si="0"/>
        <v>1.6384018396090841E-2</v>
      </c>
      <c r="Y15">
        <f t="shared" si="1"/>
        <v>-1.3070294977214623</v>
      </c>
      <c r="Z15">
        <f t="shared" si="2"/>
        <v>-0.90156934876112615</v>
      </c>
    </row>
    <row r="16" spans="1:26" x14ac:dyDescent="0.25">
      <c r="A16" s="3" t="str">
        <f>_xll.ICEOptionSymbol($B$1,"F","C",$F16)</f>
        <v>EFO 24UC2200-ICN</v>
      </c>
      <c r="B16" s="3">
        <f>_xll.ICEQuote($A16,_xll.ICEFldID(B$5))</f>
        <v>0</v>
      </c>
      <c r="C16" s="3">
        <f>_xll.ICEQuote($A16,_xll.ICEFldID(C$5))</f>
        <v>22</v>
      </c>
      <c r="D16" s="3">
        <f>_xll.ICEQuote($A16,_xll.ICEFldID(D$5))</f>
        <v>1.3184609870643273</v>
      </c>
      <c r="E16" s="3">
        <f>_xll.ICEQuote($A16,_xll.ICEFldID(E$5))</f>
        <v>0.98636146309854511</v>
      </c>
      <c r="F16" s="3">
        <f>_xll.ICEOptionStrike($B$1,-90,"F")</f>
        <v>22</v>
      </c>
      <c r="G16" s="3" t="str">
        <f>_xll.ICEOptionSymbol($B$1,"F","P",$F16)</f>
        <v>EFO 24UP2200-ICN</v>
      </c>
      <c r="H16" s="3">
        <f>_xll.ICEQuote($G16,_xll.ICEFldID(H$5))</f>
        <v>0</v>
      </c>
      <c r="I16" s="3">
        <f>_xll.ICEQuote($G16,_xll.ICEFldID(I$5))</f>
        <v>22</v>
      </c>
      <c r="J16" s="3">
        <f>_xll.ICEQuote($G16,_xll.ICEFldID(J$5))</f>
        <v>0.78906778902240893</v>
      </c>
      <c r="K16" s="3">
        <f>_xll.ICEQuote($G16,_xll.ICEFldID(K$5))</f>
        <v>-1.7238536361987151E-4</v>
      </c>
      <c r="L16" s="4">
        <f>_xll.ICETimeline(_xll.ICEJoinRange(M4:W4),"DF[dow:12345][tl:Calendar]","2020-07-26;2024-07-26",1035,-1)</f>
        <v>45488.5</v>
      </c>
      <c r="M16">
        <f>_xll.ICEHistory(M$4,M$5,"DF[dow:12345][tl:Calendar]",$L16)</f>
        <v>69.58</v>
      </c>
      <c r="N16">
        <f>_xll.ICEHistory(M$4,N$5,"DF[dow:12345][tl:Calendar]",$L16)</f>
        <v>69.58</v>
      </c>
      <c r="O16">
        <f>_xll.ICEHistory(M$4,O$5,"DF[dow:12345][tl:Calendar]",$L16)</f>
        <v>67.09</v>
      </c>
      <c r="P16">
        <f>_xll.ICEHistory(M$4,P$5,"DF[dow:12345][tl:Calendar]",$L16)</f>
        <v>67.58</v>
      </c>
      <c r="Q16">
        <f>_xll.ICEHistory(M$4,Q$5,"DF[dow:12345][tl:Calendar]",$L16)</f>
        <v>27595</v>
      </c>
      <c r="R16">
        <f>_xll.ICEHistory(M$4,R$5,"DF[dow:12345][tl:Calendar]",$L16)</f>
        <v>363566</v>
      </c>
      <c r="S16">
        <f>_xll.ICEHistory(S$4,S$5,"DF[dow:12345][tl:Calendar]",$L16)</f>
        <v>31.86</v>
      </c>
      <c r="T16">
        <f>_xll.ICEHistory(S$4,T$5,"DF[dow:12345][tl:Calendar]",$L16)</f>
        <v>31.93</v>
      </c>
      <c r="U16">
        <f>_xll.ICEHistory(S$4,U$5,"DF[dow:12345][tl:Calendar]",$L16)</f>
        <v>31.074999999999999</v>
      </c>
      <c r="V16">
        <f>_xll.ICEHistory(S$4,V$5,"DF[dow:12345][tl:Calendar]",$L16)</f>
        <v>31.370999999999999</v>
      </c>
      <c r="W16">
        <f>_xll.ICEHistory(S$4,W$5,"DF[dow:12345][tl:Calendar]",$L16)</f>
        <v>796</v>
      </c>
      <c r="X16">
        <f t="shared" si="0"/>
        <v>3.6339754816112013E-2</v>
      </c>
      <c r="Y16">
        <f t="shared" si="1"/>
        <v>-2.4698112717155645E-2</v>
      </c>
      <c r="Z16">
        <f t="shared" si="2"/>
        <v>-5.9426953125606988E-2</v>
      </c>
    </row>
    <row r="17" spans="1:26" x14ac:dyDescent="0.25">
      <c r="A17" s="3" t="str">
        <f>_xll.ICEOptionSymbol($B$1,"F","C",$F17)</f>
        <v>EFO 24UC2250-ICN</v>
      </c>
      <c r="B17" s="3">
        <f>_xll.ICEQuote($A17,_xll.ICEFldID(B$5))</f>
        <v>0</v>
      </c>
      <c r="C17" s="3">
        <f>_xll.ICEQuote($A17,_xll.ICEFldID(C$5))</f>
        <v>22.5</v>
      </c>
      <c r="D17" s="3">
        <f>_xll.ICEQuote($A17,_xll.ICEFldID(D$5))</f>
        <v>1.291154440601709</v>
      </c>
      <c r="E17" s="3">
        <f>_xll.ICEQuote($A17,_xll.ICEFldID(E$5))</f>
        <v>0.98623491237435312</v>
      </c>
      <c r="F17" s="3">
        <f>_xll.ICEOptionStrike($B$1,-89,"F")</f>
        <v>22.5</v>
      </c>
      <c r="G17" s="3" t="str">
        <f>_xll.ICEOptionSymbol($B$1,"F","P",$F17)</f>
        <v>EFO 24UP2250-ICN</v>
      </c>
      <c r="H17" s="3">
        <f>_xll.ICEQuote($G17,_xll.ICEFldID(H$5))</f>
        <v>0</v>
      </c>
      <c r="I17" s="3">
        <f>_xll.ICEQuote($G17,_xll.ICEFldID(I$5))</f>
        <v>22.5</v>
      </c>
      <c r="J17" s="3">
        <f>_xll.ICEQuote($G17,_xll.ICEFldID(J$5))</f>
        <v>0.77357611918148672</v>
      </c>
      <c r="K17" s="3">
        <f>_xll.ICEQuote($G17,_xll.ICEFldID(K$5))</f>
        <v>-1.7589741873597054E-4</v>
      </c>
      <c r="L17" s="4">
        <f>_xll.ICETimeline(_xll.ICEJoinRange(M4:W4),"DF[dow:12345][tl:Calendar]","2020-07-26;2024-07-26",1034,-1)</f>
        <v>45485.5</v>
      </c>
      <c r="M17">
        <f>_xll.ICEHistory(M$4,M$5,"DF[dow:12345][tl:Calendar]",$L17)</f>
        <v>68.52</v>
      </c>
      <c r="N17">
        <f>_xll.ICEHistory(M$4,N$5,"DF[dow:12345][tl:Calendar]",$L17)</f>
        <v>69.53</v>
      </c>
      <c r="O17">
        <f>_xll.ICEHistory(M$4,O$5,"DF[dow:12345][tl:Calendar]",$L17)</f>
        <v>67.69</v>
      </c>
      <c r="P17">
        <f>_xll.ICEHistory(M$4,P$5,"DF[dow:12345][tl:Calendar]",$L17)</f>
        <v>69.349999999999994</v>
      </c>
      <c r="Q17">
        <f>_xll.ICEHistory(M$4,Q$5,"DF[dow:12345][tl:Calendar]",$L17)</f>
        <v>19468</v>
      </c>
      <c r="R17">
        <f>_xll.ICEHistory(M$4,R$5,"DF[dow:12345][tl:Calendar]",$L17)</f>
        <v>362207</v>
      </c>
      <c r="S17">
        <f>_xll.ICEHistory(S$4,S$5,"DF[dow:12345][tl:Calendar]",$L17)</f>
        <v>31.27</v>
      </c>
      <c r="T17">
        <f>_xll.ICEHistory(S$4,T$5,"DF[dow:12345][tl:Calendar]",$L17)</f>
        <v>32.284999999999997</v>
      </c>
      <c r="U17">
        <f>_xll.ICEHistory(S$4,U$5,"DF[dow:12345][tl:Calendar]",$L17)</f>
        <v>30.92</v>
      </c>
      <c r="V17">
        <f>_xll.ICEHistory(S$4,V$5,"DF[dow:12345][tl:Calendar]",$L17)</f>
        <v>31.719000000000001</v>
      </c>
      <c r="W17">
        <f>_xll.ICEHistory(S$4,W$5,"DF[dow:12345][tl:Calendar]",$L17)</f>
        <v>899</v>
      </c>
      <c r="X17">
        <f t="shared" si="0"/>
        <v>2.6999266324284715E-2</v>
      </c>
      <c r="Y17">
        <f t="shared" si="1"/>
        <v>-0.63367120367691721</v>
      </c>
      <c r="Z17">
        <f t="shared" si="2"/>
        <v>-1.1381211744288009</v>
      </c>
    </row>
    <row r="18" spans="1:26" x14ac:dyDescent="0.25">
      <c r="A18" s="3" t="str">
        <f>_xll.ICEOptionSymbol($B$1,"F","C",$F18)</f>
        <v>EFO 24UC2300-ICN</v>
      </c>
      <c r="B18" s="3">
        <f>_xll.ICEQuote($A18,_xll.ICEFldID(B$5))</f>
        <v>0</v>
      </c>
      <c r="C18" s="3">
        <f>_xll.ICEQuote($A18,_xll.ICEFldID(C$5))</f>
        <v>23</v>
      </c>
      <c r="D18" s="3">
        <f>_xll.ICEQuote($A18,_xll.ICEFldID(D$5))</f>
        <v>1.2644863560735704</v>
      </c>
      <c r="E18" s="3">
        <f>_xll.ICEQuote($A18,_xll.ICEFldID(E$5))</f>
        <v>0.9861094887357803</v>
      </c>
      <c r="F18" s="3">
        <f>_xll.ICEOptionStrike($B$1,-88,"F")</f>
        <v>23</v>
      </c>
      <c r="G18" s="3" t="str">
        <f>_xll.ICEOptionSymbol($B$1,"F","P",$F18)</f>
        <v>EFO 24UP2300-ICN</v>
      </c>
      <c r="H18" s="3">
        <f>_xll.ICEQuote($G18,_xll.ICEFldID(H$5))</f>
        <v>0</v>
      </c>
      <c r="I18" s="3">
        <f>_xll.ICEQuote($G18,_xll.ICEFldID(I$5))</f>
        <v>23</v>
      </c>
      <c r="J18" s="3">
        <f>_xll.ICEQuote($G18,_xll.ICEFldID(J$5))</f>
        <v>0.7584291788736035</v>
      </c>
      <c r="K18" s="3">
        <f>_xll.ICEQuote($G18,_xll.ICEFldID(K$5))</f>
        <v>-1.7946570445872987E-4</v>
      </c>
      <c r="L18" s="4">
        <f>_xll.ICETimeline(_xll.ICEJoinRange(M4:W4),"DF[dow:12345][tl:Calendar]","2020-07-26;2024-07-26",1033,-1)</f>
        <v>45484.5</v>
      </c>
      <c r="M18">
        <f>_xll.ICEHistory(M$4,M$5,"DF[dow:12345][tl:Calendar]",$L18)</f>
        <v>68.150000000000006</v>
      </c>
      <c r="N18">
        <f>_xll.ICEHistory(M$4,N$5,"DF[dow:12345][tl:Calendar]",$L18)</f>
        <v>68.83</v>
      </c>
      <c r="O18">
        <f>_xll.ICEHistory(M$4,O$5,"DF[dow:12345][tl:Calendar]",$L18)</f>
        <v>67.599999999999994</v>
      </c>
      <c r="P18">
        <f>_xll.ICEHistory(M$4,P$5,"DF[dow:12345][tl:Calendar]",$L18)</f>
        <v>68.52</v>
      </c>
      <c r="Q18">
        <f>_xll.ICEHistory(M$4,Q$5,"DF[dow:12345][tl:Calendar]",$L18)</f>
        <v>21974</v>
      </c>
      <c r="R18">
        <f>_xll.ICEHistory(M$4,R$5,"DF[dow:12345][tl:Calendar]",$L18)</f>
        <v>363359</v>
      </c>
      <c r="S18">
        <f>_xll.ICEHistory(S$4,S$5,"DF[dow:12345][tl:Calendar]",$L18)</f>
        <v>30.85</v>
      </c>
      <c r="T18">
        <f>_xll.ICEHistory(S$4,T$5,"DF[dow:12345][tl:Calendar]",$L18)</f>
        <v>31.405000000000001</v>
      </c>
      <c r="U18">
        <f>_xll.ICEHistory(S$4,U$5,"DF[dow:12345][tl:Calendar]",$L18)</f>
        <v>30.405000000000001</v>
      </c>
      <c r="V18">
        <f>_xll.ICEHistory(S$4,V$5,"DF[dow:12345][tl:Calendar]",$L18)</f>
        <v>31.111999999999998</v>
      </c>
      <c r="W18">
        <f>_xll.ICEHistory(S$4,W$5,"DF[dow:12345][tl:Calendar]",$L18)</f>
        <v>849</v>
      </c>
      <c r="X18">
        <f t="shared" si="0"/>
        <v>1.7914360617535742E-2</v>
      </c>
      <c r="Y18">
        <f t="shared" si="1"/>
        <v>-1.2406186773699095</v>
      </c>
      <c r="Z18">
        <f t="shared" si="2"/>
        <v>-0.827511929013522</v>
      </c>
    </row>
    <row r="19" spans="1:26" x14ac:dyDescent="0.25">
      <c r="A19" s="3" t="str">
        <f>_xll.ICEOptionSymbol($B$1,"F","C",$F19)</f>
        <v>EFO 24UC2350-ICN</v>
      </c>
      <c r="B19" s="3">
        <f>_xll.ICEQuote($A19,_xll.ICEFldID(B$5))</f>
        <v>0</v>
      </c>
      <c r="C19" s="3">
        <f>_xll.ICEQuote($A19,_xll.ICEFldID(C$5))</f>
        <v>23.5</v>
      </c>
      <c r="D19" s="3">
        <f>_xll.ICEQuote($A19,_xll.ICEFldID(D$5))</f>
        <v>1.2384276413937394</v>
      </c>
      <c r="E19" s="3">
        <f>_xll.ICEQuote($A19,_xll.ICEFldID(E$5))</f>
        <v>0.9859851537348816</v>
      </c>
      <c r="F19" s="3">
        <f>_xll.ICEOptionStrike($B$1,-87,"F")</f>
        <v>23.5</v>
      </c>
      <c r="G19" s="3" t="str">
        <f>_xll.ICEOptionSymbol($B$1,"F","P",$F19)</f>
        <v>EFO 24UP2350-ICN</v>
      </c>
      <c r="H19" s="3">
        <f>_xll.ICEQuote($G19,_xll.ICEFldID(H$5))</f>
        <v>0</v>
      </c>
      <c r="I19" s="3">
        <f>_xll.ICEQuote($G19,_xll.ICEFldID(I$5))</f>
        <v>23.5</v>
      </c>
      <c r="J19" s="3">
        <f>_xll.ICEQuote($G19,_xll.ICEFldID(J$5))</f>
        <v>0.74361162379986134</v>
      </c>
      <c r="K19" s="3">
        <f>_xll.ICEQuote($G19,_xll.ICEFldID(K$5))</f>
        <v>-1.8309257516940287E-4</v>
      </c>
      <c r="L19" s="4">
        <f>_xll.ICETimeline(_xll.ICEJoinRange(M4:W4),"DF[dow:12345][tl:Calendar]","2020-07-26;2024-07-26",1032,-1)</f>
        <v>45483.5</v>
      </c>
      <c r="M19">
        <f>_xll.ICEHistory(M$4,M$5,"DF[dow:12345][tl:Calendar]",$L19)</f>
        <v>68.66</v>
      </c>
      <c r="N19">
        <f>_xll.ICEHistory(M$4,N$5,"DF[dow:12345][tl:Calendar]",$L19)</f>
        <v>69.430000000000007</v>
      </c>
      <c r="O19">
        <f>_xll.ICEHistory(M$4,O$5,"DF[dow:12345][tl:Calendar]",$L19)</f>
        <v>67.86</v>
      </c>
      <c r="P19">
        <f>_xll.ICEHistory(M$4,P$5,"DF[dow:12345][tl:Calendar]",$L19)</f>
        <v>67.959999999999994</v>
      </c>
      <c r="Q19">
        <f>_xll.ICEHistory(M$4,Q$5,"DF[dow:12345][tl:Calendar]",$L19)</f>
        <v>20101</v>
      </c>
      <c r="R19">
        <f>_xll.ICEHistory(M$4,R$5,"DF[dow:12345][tl:Calendar]",$L19)</f>
        <v>363609</v>
      </c>
      <c r="S19">
        <f>_xll.ICEHistory(S$4,S$5,"DF[dow:12345][tl:Calendar]",$L19)</f>
        <v>31.25</v>
      </c>
      <c r="T19">
        <f>_xll.ICEHistory(S$4,T$5,"DF[dow:12345][tl:Calendar]",$L19)</f>
        <v>31.695</v>
      </c>
      <c r="U19">
        <f>_xll.ICEHistory(S$4,U$5,"DF[dow:12345][tl:Calendar]",$L19)</f>
        <v>30.635000000000002</v>
      </c>
      <c r="V19">
        <f>_xll.ICEHistory(S$4,V$5,"DF[dow:12345][tl:Calendar]",$L19)</f>
        <v>30.783999999999999</v>
      </c>
      <c r="W19">
        <f>_xll.ICEHistory(S$4,W$5,"DF[dow:12345][tl:Calendar]",$L19)</f>
        <v>1395</v>
      </c>
      <c r="X19">
        <f t="shared" si="0"/>
        <v>2.2760220353725824E-2</v>
      </c>
      <c r="Y19">
        <f t="shared" si="1"/>
        <v>-0.92123669169581102</v>
      </c>
      <c r="Z19">
        <f t="shared" si="2"/>
        <v>-1.068672012292506</v>
      </c>
    </row>
    <row r="20" spans="1:26" x14ac:dyDescent="0.25">
      <c r="A20" s="3" t="str">
        <f>_xll.ICEOptionSymbol($B$1,"F","C",$F20)</f>
        <v>EFO 24UC2400-ICN</v>
      </c>
      <c r="B20" s="3">
        <f>_xll.ICEQuote($A20,_xll.ICEFldID(B$5))</f>
        <v>0</v>
      </c>
      <c r="C20" s="3">
        <f>_xll.ICEQuote($A20,_xll.ICEFldID(C$5))</f>
        <v>24</v>
      </c>
      <c r="D20" s="3">
        <f>_xll.ICEQuote($A20,_xll.ICEFldID(D$5))</f>
        <v>1.2129511313186745</v>
      </c>
      <c r="E20" s="3">
        <f>_xll.ICEQuote($A20,_xll.ICEFldID(E$5))</f>
        <v>0.98586187105584944</v>
      </c>
      <c r="F20" s="3">
        <f>_xll.ICEOptionStrike($B$1,-86,"F")</f>
        <v>24</v>
      </c>
      <c r="G20" s="3" t="str">
        <f>_xll.ICEOptionSymbol($B$1,"F","P",$F20)</f>
        <v>EFO 24UP2400-ICN</v>
      </c>
      <c r="H20" s="3">
        <f>_xll.ICEQuote($G20,_xll.ICEFldID(H$5))</f>
        <v>0</v>
      </c>
      <c r="I20" s="3">
        <f>_xll.ICEQuote($G20,_xll.ICEFldID(I$5))</f>
        <v>24</v>
      </c>
      <c r="J20" s="3">
        <f>_xll.ICEQuote($G20,_xll.ICEFldID(J$5))</f>
        <v>0.72910921026681574</v>
      </c>
      <c r="K20" s="3">
        <f>_xll.ICEQuote($G20,_xll.ICEFldID(K$5))</f>
        <v>-1.867808271118972E-4</v>
      </c>
      <c r="L20" s="4">
        <f>_xll.ICETimeline(_xll.ICEJoinRange(M4:W4),"DF[dow:12345][tl:Calendar]","2020-07-26;2024-07-26",1031,-1)</f>
        <v>45482.5</v>
      </c>
      <c r="M20">
        <f>_xll.ICEHistory(M$4,M$5,"DF[dow:12345][tl:Calendar]",$L20)</f>
        <v>68.98</v>
      </c>
      <c r="N20">
        <f>_xll.ICEHistory(M$4,N$5,"DF[dow:12345][tl:Calendar]",$L20)</f>
        <v>69.2</v>
      </c>
      <c r="O20">
        <f>_xll.ICEHistory(M$4,O$5,"DF[dow:12345][tl:Calendar]",$L20)</f>
        <v>68.11</v>
      </c>
      <c r="P20">
        <f>_xll.ICEHistory(M$4,P$5,"DF[dow:12345][tl:Calendar]",$L20)</f>
        <v>68.52</v>
      </c>
      <c r="Q20">
        <f>_xll.ICEHistory(M$4,Q$5,"DF[dow:12345][tl:Calendar]",$L20)</f>
        <v>20433</v>
      </c>
      <c r="R20">
        <f>_xll.ICEHistory(M$4,R$5,"DF[dow:12345][tl:Calendar]",$L20)</f>
        <v>362325</v>
      </c>
      <c r="S20">
        <f>_xll.ICEHistory(S$4,S$5,"DF[dow:12345][tl:Calendar]",$L20)</f>
        <v>32.174999999999997</v>
      </c>
      <c r="T20">
        <f>_xll.ICEHistory(S$4,T$5,"DF[dow:12345][tl:Calendar]",$L20)</f>
        <v>32.174999999999997</v>
      </c>
      <c r="U20">
        <f>_xll.ICEHistory(S$4,U$5,"DF[dow:12345][tl:Calendar]",$L20)</f>
        <v>30.95</v>
      </c>
      <c r="V20">
        <f>_xll.ICEHistory(S$4,V$5,"DF[dow:12345][tl:Calendar]",$L20)</f>
        <v>31.335000000000001</v>
      </c>
      <c r="W20">
        <f>_xll.ICEHistory(S$4,W$5,"DF[dow:12345][tl:Calendar]",$L20)</f>
        <v>1054</v>
      </c>
      <c r="X20">
        <f t="shared" si="0"/>
        <v>1.5441280634650847E-2</v>
      </c>
      <c r="Y20">
        <f t="shared" si="1"/>
        <v>-1.3786646134951441</v>
      </c>
      <c r="Z20">
        <f t="shared" si="2"/>
        <v>-1.059951512529792</v>
      </c>
    </row>
    <row r="21" spans="1:26" x14ac:dyDescent="0.25">
      <c r="A21" s="3" t="str">
        <f>_xll.ICEOptionSymbol($B$1,"F","C",$F21)</f>
        <v>EFO 24UC2450-ICN</v>
      </c>
      <c r="B21" s="3">
        <f>_xll.ICEQuote($A21,_xll.ICEFldID(B$5))</f>
        <v>0</v>
      </c>
      <c r="C21" s="3">
        <f>_xll.ICEQuote($A21,_xll.ICEFldID(C$5))</f>
        <v>24.5</v>
      </c>
      <c r="D21" s="3">
        <f>_xll.ICEQuote($A21,_xll.ICEFldID(D$5))</f>
        <v>1.1880314219768964</v>
      </c>
      <c r="E21" s="3">
        <f>_xll.ICEQuote($A21,_xll.ICEFldID(E$5))</f>
        <v>0.98573960635381153</v>
      </c>
      <c r="F21" s="3">
        <f>_xll.ICEOptionStrike($B$1,-85,"F")</f>
        <v>24.5</v>
      </c>
      <c r="G21" s="3" t="str">
        <f>_xll.ICEOptionSymbol($B$1,"F","P",$F21)</f>
        <v>EFO 24UP2450-ICN</v>
      </c>
      <c r="H21" s="3">
        <f>_xll.ICEQuote($G21,_xll.ICEFldID(H$5))</f>
        <v>0</v>
      </c>
      <c r="I21" s="3">
        <f>_xll.ICEQuote($G21,_xll.ICEFldID(I$5))</f>
        <v>24.5</v>
      </c>
      <c r="J21" s="3">
        <f>_xll.ICEQuote($G21,_xll.ICEFldID(J$5))</f>
        <v>0.7149082256060959</v>
      </c>
      <c r="K21" s="3">
        <f>_xll.ICEQuote($G21,_xll.ICEFldID(K$5))</f>
        <v>-1.9053217036695295E-4</v>
      </c>
      <c r="L21" s="4">
        <f>_xll.ICETimeline(_xll.ICEJoinRange(M4:W4),"DF[dow:12345][tl:Calendar]","2020-07-26;2024-07-26",1030,-1)</f>
        <v>45481.5</v>
      </c>
      <c r="M21">
        <f>_xll.ICEHistory(M$4,M$5,"DF[dow:12345][tl:Calendar]",$L21)</f>
        <v>70.59</v>
      </c>
      <c r="N21">
        <f>_xll.ICEHistory(M$4,N$5,"DF[dow:12345][tl:Calendar]",$L21)</f>
        <v>71.849999999999994</v>
      </c>
      <c r="O21">
        <f>_xll.ICEHistory(M$4,O$5,"DF[dow:12345][tl:Calendar]",$L21)</f>
        <v>68.8</v>
      </c>
      <c r="P21">
        <f>_xll.ICEHistory(M$4,P$5,"DF[dow:12345][tl:Calendar]",$L21)</f>
        <v>69.040000000000006</v>
      </c>
      <c r="Q21">
        <f>_xll.ICEHistory(M$4,Q$5,"DF[dow:12345][tl:Calendar]",$L21)</f>
        <v>29961</v>
      </c>
      <c r="R21">
        <f>_xll.ICEHistory(M$4,R$5,"DF[dow:12345][tl:Calendar]",$L21)</f>
        <v>361404</v>
      </c>
      <c r="S21">
        <f>_xll.ICEHistory(S$4,S$5,"DF[dow:12345][tl:Calendar]",$L21)</f>
        <v>33.195</v>
      </c>
      <c r="T21">
        <f>_xll.ICEHistory(S$4,T$5,"DF[dow:12345][tl:Calendar]",$L21)</f>
        <v>33.700000000000003</v>
      </c>
      <c r="U21">
        <f>_xll.ICEHistory(S$4,U$5,"DF[dow:12345][tl:Calendar]",$L21)</f>
        <v>32.049999999999997</v>
      </c>
      <c r="V21">
        <f>_xll.ICEHistory(S$4,V$5,"DF[dow:12345][tl:Calendar]",$L21)</f>
        <v>32.286000000000001</v>
      </c>
      <c r="W21">
        <f>_xll.ICEHistory(S$4,W$5,"DF[dow:12345][tl:Calendar]",$L21)</f>
        <v>1010</v>
      </c>
      <c r="X21">
        <f t="shared" si="0"/>
        <v>4.3527900670757777E-2</v>
      </c>
      <c r="Y21">
        <f t="shared" si="1"/>
        <v>0.26652299076669889</v>
      </c>
      <c r="Z21">
        <f t="shared" si="2"/>
        <v>4.042701251531608E-2</v>
      </c>
    </row>
    <row r="22" spans="1:26" x14ac:dyDescent="0.25">
      <c r="A22" s="3" t="str">
        <f>_xll.ICEOptionSymbol($B$1,"F","C",$F22)</f>
        <v>EFO 24UC2500-ICN</v>
      </c>
      <c r="B22" s="3">
        <f>_xll.ICEQuote($A22,_xll.ICEFldID(B$5))</f>
        <v>0</v>
      </c>
      <c r="C22" s="3">
        <f>_xll.ICEQuote($A22,_xll.ICEFldID(C$5))</f>
        <v>25</v>
      </c>
      <c r="D22" s="3">
        <f>_xll.ICEQuote($A22,_xll.ICEFldID(D$5))</f>
        <v>1.1636447227143021</v>
      </c>
      <c r="E22" s="3">
        <f>_xll.ICEQuote($A22,_xll.ICEFldID(E$5))</f>
        <v>0.98561832710887132</v>
      </c>
      <c r="F22" s="3">
        <f>_xll.ICEOptionStrike($B$1,-84,"F")</f>
        <v>25</v>
      </c>
      <c r="G22" s="3" t="str">
        <f>_xll.ICEOptionSymbol($B$1,"F","P",$F22)</f>
        <v>EFO 24UP2500-ICN</v>
      </c>
      <c r="H22" s="3">
        <f>_xll.ICEQuote($G22,_xll.ICEFldID(H$5))</f>
        <v>0</v>
      </c>
      <c r="I22" s="3">
        <f>_xll.ICEQuote($G22,_xll.ICEFldID(I$5))</f>
        <v>25</v>
      </c>
      <c r="J22" s="3">
        <f>_xll.ICEQuote($G22,_xll.ICEFldID(J$5))</f>
        <v>0.7009963402426852</v>
      </c>
      <c r="K22" s="3">
        <f>_xll.ICEQuote($G22,_xll.ICEFldID(K$5))</f>
        <v>-1.9435017645025817E-4</v>
      </c>
      <c r="L22" s="4">
        <f>_xll.ICETimeline(_xll.ICEJoinRange(M4:W4),"DF[dow:12345][tl:Calendar]","2020-07-26;2024-07-26",1029,-1)</f>
        <v>45478.5</v>
      </c>
      <c r="M22">
        <f>_xll.ICEHistory(M$4,M$5,"DF[dow:12345][tl:Calendar]",$L22)</f>
        <v>70.069999999999993</v>
      </c>
      <c r="N22">
        <f>_xll.ICEHistory(M$4,N$5,"DF[dow:12345][tl:Calendar]",$L22)</f>
        <v>71.239999999999995</v>
      </c>
      <c r="O22">
        <f>_xll.ICEHistory(M$4,O$5,"DF[dow:12345][tl:Calendar]",$L22)</f>
        <v>69.94</v>
      </c>
      <c r="P22">
        <f>_xll.ICEHistory(M$4,P$5,"DF[dow:12345][tl:Calendar]",$L22)</f>
        <v>70.349999999999994</v>
      </c>
      <c r="Q22">
        <f>_xll.ICEHistory(M$4,Q$5,"DF[dow:12345][tl:Calendar]",$L22)</f>
        <v>16441</v>
      </c>
      <c r="R22">
        <f>_xll.ICEHistory(M$4,R$5,"DF[dow:12345][tl:Calendar]",$L22)</f>
        <v>359688</v>
      </c>
      <c r="S22">
        <f>_xll.ICEHistory(S$4,S$5,"DF[dow:12345][tl:Calendar]",$L22)</f>
        <v>32.505000000000003</v>
      </c>
      <c r="T22">
        <f>_xll.ICEHistory(S$4,T$5,"DF[dow:12345][tl:Calendar]",$L22)</f>
        <v>33.799999999999997</v>
      </c>
      <c r="U22">
        <f>_xll.ICEHistory(S$4,U$5,"DF[dow:12345][tl:Calendar]",$L22)</f>
        <v>32.414999999999999</v>
      </c>
      <c r="V22">
        <f>_xll.ICEHistory(S$4,V$5,"DF[dow:12345][tl:Calendar]",$L22)</f>
        <v>33.067</v>
      </c>
      <c r="W22">
        <f>_xll.ICEHistory(S$4,W$5,"DF[dow:12345][tl:Calendar]",$L22)</f>
        <v>790</v>
      </c>
      <c r="X22">
        <f t="shared" si="0"/>
        <v>1.8374558303886887E-2</v>
      </c>
      <c r="Y22">
        <f t="shared" si="1"/>
        <v>-1.2338838229530753</v>
      </c>
      <c r="Z22">
        <f t="shared" si="2"/>
        <v>-1.5689163347527495</v>
      </c>
    </row>
    <row r="23" spans="1:26" x14ac:dyDescent="0.25">
      <c r="A23" s="3" t="str">
        <f>_xll.ICEOptionSymbol($B$1,"F","C",$F23)</f>
        <v>EFO 24UC2550-ICN</v>
      </c>
      <c r="B23" s="3">
        <f>_xll.ICEQuote($A23,_xll.ICEFldID(B$5))</f>
        <v>0</v>
      </c>
      <c r="C23" s="3">
        <f>_xll.ICEQuote($A23,_xll.ICEFldID(C$5))</f>
        <v>25.5</v>
      </c>
      <c r="D23" s="3">
        <f>_xll.ICEQuote($A23,_xll.ICEFldID(D$5))</f>
        <v>1.1397687231318019</v>
      </c>
      <c r="E23" s="3">
        <f>_xll.ICEQuote($A23,_xll.ICEFldID(E$5))</f>
        <v>0.98549800249367703</v>
      </c>
      <c r="F23" s="3">
        <f>_xll.ICEOptionStrike($B$1,-83,"F")</f>
        <v>25.5</v>
      </c>
      <c r="G23" s="3" t="str">
        <f>_xll.ICEOptionSymbol($B$1,"F","P",$F23)</f>
        <v>EFO 24UP2550-ICN</v>
      </c>
      <c r="H23" s="3">
        <f>_xll.ICEQuote($G23,_xll.ICEFldID(H$5))</f>
        <v>0</v>
      </c>
      <c r="I23" s="3">
        <f>_xll.ICEQuote($G23,_xll.ICEFldID(I$5))</f>
        <v>25.5</v>
      </c>
      <c r="J23" s="3">
        <f>_xll.ICEQuote($G23,_xll.ICEFldID(J$5))</f>
        <v>0.68736168299741973</v>
      </c>
      <c r="K23" s="3">
        <f>_xll.ICEQuote($G23,_xll.ICEFldID(K$5))</f>
        <v>-1.9823758868427497E-4</v>
      </c>
      <c r="L23" s="4">
        <f>_xll.ICETimeline(_xll.ICEJoinRange(M4:W4),"DF[dow:12345][tl:Calendar]","2020-07-26;2024-07-26",1028,-1)</f>
        <v>45477.5</v>
      </c>
      <c r="M23">
        <f>_xll.ICEHistory(M$4,M$5,"DF[dow:12345][tl:Calendar]",$L23)</f>
        <v>70.75</v>
      </c>
      <c r="N23">
        <f>_xll.ICEHistory(M$4,N$5,"DF[dow:12345][tl:Calendar]",$L23)</f>
        <v>71.16</v>
      </c>
      <c r="O23">
        <f>_xll.ICEHistory(M$4,O$5,"DF[dow:12345][tl:Calendar]",$L23)</f>
        <v>69.81</v>
      </c>
      <c r="P23">
        <f>_xll.ICEHistory(M$4,P$5,"DF[dow:12345][tl:Calendar]",$L23)</f>
        <v>70.180000000000007</v>
      </c>
      <c r="Q23">
        <f>_xll.ICEHistory(M$4,Q$5,"DF[dow:12345][tl:Calendar]",$L23)</f>
        <v>24592</v>
      </c>
      <c r="R23">
        <f>_xll.ICEHistory(M$4,R$5,"DF[dow:12345][tl:Calendar]",$L23)</f>
        <v>359778</v>
      </c>
      <c r="S23">
        <f>_xll.ICEHistory(S$4,S$5,"DF[dow:12345][tl:Calendar]",$L23)</f>
        <v>33.25</v>
      </c>
      <c r="T23">
        <f>_xll.ICEHistory(S$4,T$5,"DF[dow:12345][tl:Calendar]",$L23)</f>
        <v>33.39</v>
      </c>
      <c r="U23">
        <f>_xll.ICEHistory(S$4,U$5,"DF[dow:12345][tl:Calendar]",$L23)</f>
        <v>32.645000000000003</v>
      </c>
      <c r="V23">
        <f>_xll.ICEHistory(S$4,V$5,"DF[dow:12345][tl:Calendar]",$L23)</f>
        <v>32.691000000000003</v>
      </c>
      <c r="W23">
        <f>_xll.ICEHistory(S$4,W$5,"DF[dow:12345][tl:Calendar]",$L23)</f>
        <v>0</v>
      </c>
      <c r="X23">
        <f t="shared" si="0"/>
        <v>1.9094766619519015E-2</v>
      </c>
      <c r="Y23">
        <f t="shared" si="1"/>
        <v>-1.231990090080763</v>
      </c>
      <c r="Z23">
        <f t="shared" si="2"/>
        <v>-0.6281386295648157</v>
      </c>
    </row>
    <row r="24" spans="1:26" x14ac:dyDescent="0.25">
      <c r="A24" s="3" t="str">
        <f>_xll.ICEOptionSymbol($B$1,"F","C",$F24)</f>
        <v>EFO 24UC2600-ICN</v>
      </c>
      <c r="B24" s="3">
        <f>_xll.ICEQuote($A24,_xll.ICEFldID(B$5))</f>
        <v>0</v>
      </c>
      <c r="C24" s="3">
        <f>_xll.ICEQuote($A24,_xll.ICEFldID(C$5))</f>
        <v>26</v>
      </c>
      <c r="D24" s="3">
        <f>_xll.ICEQuote($A24,_xll.ICEFldID(D$5))</f>
        <v>1.116382473489008</v>
      </c>
      <c r="E24" s="3">
        <f>_xll.ICEQuote($A24,_xll.ICEFldID(E$5))</f>
        <v>0.98537860325301985</v>
      </c>
      <c r="F24" s="3">
        <f>_xll.ICEOptionStrike($B$1,-82,"F")</f>
        <v>26</v>
      </c>
      <c r="G24" s="3" t="str">
        <f>_xll.ICEOptionSymbol($B$1,"F","P",$F24)</f>
        <v>EFO 24UP2600-ICN</v>
      </c>
      <c r="H24" s="3">
        <f>_xll.ICEQuote($G24,_xll.ICEFldID(H$5))</f>
        <v>0</v>
      </c>
      <c r="I24" s="3">
        <f>_xll.ICEQuote($G24,_xll.ICEFldID(I$5))</f>
        <v>26</v>
      </c>
      <c r="J24" s="3">
        <f>_xll.ICEQuote($G24,_xll.ICEFldID(J$5))</f>
        <v>0.67399279616993368</v>
      </c>
      <c r="K24" s="3">
        <f>_xll.ICEQuote($G24,_xll.ICEFldID(K$5))</f>
        <v>-2.021961904209451E-4</v>
      </c>
      <c r="L24" s="4">
        <f>_xll.ICETimeline(_xll.ICEJoinRange(M4:W4),"DF[dow:12345][tl:Calendar]","2020-07-26;2024-07-26",1027,-1)</f>
        <v>45476.5</v>
      </c>
      <c r="M24">
        <f>_xll.ICEHistory(M$4,M$5,"DF[dow:12345][tl:Calendar]",$L24)</f>
        <v>70.7</v>
      </c>
      <c r="N24">
        <f>_xll.ICEHistory(M$4,N$5,"DF[dow:12345][tl:Calendar]",$L24)</f>
        <v>71.95</v>
      </c>
      <c r="O24">
        <f>_xll.ICEHistory(M$4,O$5,"DF[dow:12345][tl:Calendar]",$L24)</f>
        <v>69.989999999999995</v>
      </c>
      <c r="P24">
        <f>_xll.ICEHistory(M$4,P$5,"DF[dow:12345][tl:Calendar]",$L24)</f>
        <v>70.91</v>
      </c>
      <c r="Q24">
        <f>_xll.ICEHistory(M$4,Q$5,"DF[dow:12345][tl:Calendar]",$L24)</f>
        <v>33400</v>
      </c>
      <c r="R24">
        <f>_xll.ICEHistory(M$4,R$5,"DF[dow:12345][tl:Calendar]",$L24)</f>
        <v>359447</v>
      </c>
      <c r="S24">
        <f>_xll.ICEHistory(S$4,S$5,"DF[dow:12345][tl:Calendar]",$L24)</f>
        <v>33.25</v>
      </c>
      <c r="T24">
        <f>_xll.ICEHistory(S$4,T$5,"DF[dow:12345][tl:Calendar]",$L24)</f>
        <v>33.39</v>
      </c>
      <c r="U24">
        <f>_xll.ICEHistory(S$4,U$5,"DF[dow:12345][tl:Calendar]",$L24)</f>
        <v>32.645000000000003</v>
      </c>
      <c r="V24">
        <f>_xll.ICEHistory(S$4,V$5,"DF[dow:12345][tl:Calendar]",$L24)</f>
        <v>32.691000000000003</v>
      </c>
      <c r="W24">
        <f>_xll.ICEHistory(S$4,W$5,"DF[dow:12345][tl:Calendar]",$L24)</f>
        <v>1244</v>
      </c>
      <c r="X24">
        <f t="shared" si="0"/>
        <v>2.8696925329429107E-2</v>
      </c>
      <c r="Y24">
        <f t="shared" si="1"/>
        <v>-0.68960464396032339</v>
      </c>
      <c r="Z24">
        <f t="shared" si="2"/>
        <v>0.43549916031745634</v>
      </c>
    </row>
    <row r="25" spans="1:26" x14ac:dyDescent="0.25">
      <c r="A25" s="3" t="str">
        <f>_xll.ICEOptionSymbol($B$1,"F","C",$F25)</f>
        <v>EFO 24UC2650-ICN</v>
      </c>
      <c r="B25" s="3">
        <f>_xll.ICEQuote($A25,_xll.ICEFldID(B$5))</f>
        <v>0</v>
      </c>
      <c r="C25" s="3">
        <f>_xll.ICEQuote($A25,_xll.ICEFldID(C$5))</f>
        <v>26.5</v>
      </c>
      <c r="D25" s="3">
        <f>_xll.ICEQuote($A25,_xll.ICEFldID(D$5))</f>
        <v>1.0934662768982828</v>
      </c>
      <c r="E25" s="3">
        <f>_xll.ICEQuote($A25,_xll.ICEFldID(E$5))</f>
        <v>0.98526010159415467</v>
      </c>
      <c r="F25" s="3">
        <f>_xll.ICEOptionStrike($B$1,-81,"F")</f>
        <v>26.5</v>
      </c>
      <c r="G25" s="3" t="str">
        <f>_xll.ICEOptionSymbol($B$1,"F","P",$F25)</f>
        <v>EFO 24UP2650-ICN</v>
      </c>
      <c r="H25" s="3">
        <f>_xll.ICEQuote($G25,_xll.ICEFldID(H$5))</f>
        <v>0</v>
      </c>
      <c r="I25" s="3">
        <f>_xll.ICEQuote($G25,_xll.ICEFldID(I$5))</f>
        <v>26.5</v>
      </c>
      <c r="J25" s="3">
        <f>_xll.ICEQuote($G25,_xll.ICEFldID(J$5))</f>
        <v>0.66087950344781865</v>
      </c>
      <c r="K25" s="3">
        <f>_xll.ICEQuote($G25,_xll.ICEFldID(K$5))</f>
        <v>-2.0623015136095733E-4</v>
      </c>
      <c r="L25" s="4">
        <f>_xll.ICETimeline(_xll.ICEJoinRange(M4:W4),"DF[dow:12345][tl:Calendar]","2020-07-26;2024-07-26",1026,-1)</f>
        <v>45475.5</v>
      </c>
      <c r="M25">
        <f>_xll.ICEHistory(M$4,M$5,"DF[dow:12345][tl:Calendar]",$L25)</f>
        <v>68.3</v>
      </c>
      <c r="N25">
        <f>_xll.ICEHistory(M$4,N$5,"DF[dow:12345][tl:Calendar]",$L25)</f>
        <v>71.03</v>
      </c>
      <c r="O25">
        <f>_xll.ICEHistory(M$4,O$5,"DF[dow:12345][tl:Calendar]",$L25)</f>
        <v>67.52</v>
      </c>
      <c r="P25">
        <f>_xll.ICEHistory(M$4,P$5,"DF[dow:12345][tl:Calendar]",$L25)</f>
        <v>70.930000000000007</v>
      </c>
      <c r="Q25">
        <f>_xll.ICEHistory(M$4,Q$5,"DF[dow:12345][tl:Calendar]",$L25)</f>
        <v>31350</v>
      </c>
      <c r="R25">
        <f>_xll.ICEHistory(M$4,R$5,"DF[dow:12345][tl:Calendar]",$L25)</f>
        <v>358571</v>
      </c>
      <c r="S25">
        <f>_xll.ICEHistory(S$4,S$5,"DF[dow:12345][tl:Calendar]",$L25)</f>
        <v>33.524999999999999</v>
      </c>
      <c r="T25">
        <f>_xll.ICEHistory(S$4,T$5,"DF[dow:12345][tl:Calendar]",$L25)</f>
        <v>33.869999999999997</v>
      </c>
      <c r="U25">
        <f>_xll.ICEHistory(S$4,U$5,"DF[dow:12345][tl:Calendar]",$L25)</f>
        <v>33.174999999999997</v>
      </c>
      <c r="V25">
        <f>_xll.ICEHistory(S$4,V$5,"DF[dow:12345][tl:Calendar]",$L25)</f>
        <v>33.685000000000002</v>
      </c>
      <c r="W25">
        <f>_xll.ICEHistory(S$4,W$5,"DF[dow:12345][tl:Calendar]",$L25)</f>
        <v>668</v>
      </c>
      <c r="X25">
        <f t="shared" si="0"/>
        <v>5.2069425901201678E-2</v>
      </c>
      <c r="Y25">
        <f t="shared" si="1"/>
        <v>0.69461141512458302</v>
      </c>
      <c r="Z25">
        <f t="shared" si="2"/>
        <v>0.18999027104900315</v>
      </c>
    </row>
    <row r="26" spans="1:26" x14ac:dyDescent="0.25">
      <c r="A26" s="3" t="str">
        <f>_xll.ICEOptionSymbol($B$1,"F","C",$F26)</f>
        <v>EFO 24UC2700-ICN</v>
      </c>
      <c r="B26" s="3">
        <f>_xll.ICEQuote($A26,_xll.ICEFldID(B$5))</f>
        <v>0</v>
      </c>
      <c r="C26" s="3">
        <f>_xll.ICEQuote($A26,_xll.ICEFldID(C$5))</f>
        <v>27</v>
      </c>
      <c r="D26" s="3">
        <f>_xll.ICEQuote($A26,_xll.ICEFldID(D$5))</f>
        <v>1.0710015919451883</v>
      </c>
      <c r="E26" s="3">
        <f>_xll.ICEQuote($A26,_xll.ICEFldID(E$5))</f>
        <v>0.98514247108670905</v>
      </c>
      <c r="F26" s="3">
        <f>_xll.ICEOptionStrike($B$1,-80,"F")</f>
        <v>27</v>
      </c>
      <c r="G26" s="3" t="str">
        <f>_xll.ICEOptionSymbol($B$1,"F","P",$F26)</f>
        <v>EFO 24UP2700-ICN</v>
      </c>
      <c r="H26" s="3">
        <f>_xll.ICEQuote($G26,_xll.ICEFldID(H$5))</f>
        <v>0</v>
      </c>
      <c r="I26" s="3">
        <f>_xll.ICEQuote($G26,_xll.ICEFldID(I$5))</f>
        <v>27</v>
      </c>
      <c r="J26" s="3">
        <f>_xll.ICEQuote($G26,_xll.ICEFldID(J$5))</f>
        <v>0.64801178177804175</v>
      </c>
      <c r="K26" s="3">
        <f>_xll.ICEQuote($G26,_xll.ICEFldID(K$5))</f>
        <v>-2.1034218534128187E-4</v>
      </c>
      <c r="L26" s="4">
        <f>_xll.ICETimeline(_xll.ICEJoinRange(M4:W4),"DF[dow:12345][tl:Calendar]","2020-07-26;2024-07-26",1025,-1)</f>
        <v>45474.5</v>
      </c>
      <c r="M26">
        <f>_xll.ICEHistory(M$4,M$5,"DF[dow:12345][tl:Calendar]",$L26)</f>
        <v>67.41</v>
      </c>
      <c r="N26">
        <f>_xll.ICEHistory(M$4,N$5,"DF[dow:12345][tl:Calendar]",$L26)</f>
        <v>69.680000000000007</v>
      </c>
      <c r="O26">
        <f>_xll.ICEHistory(M$4,O$5,"DF[dow:12345][tl:Calendar]",$L26)</f>
        <v>67.13</v>
      </c>
      <c r="P26">
        <f>_xll.ICEHistory(M$4,P$5,"DF[dow:12345][tl:Calendar]",$L26)</f>
        <v>68.33</v>
      </c>
      <c r="Q26">
        <f>_xll.ICEHistory(M$4,Q$5,"DF[dow:12345][tl:Calendar]",$L26)</f>
        <v>22342</v>
      </c>
      <c r="R26">
        <f>_xll.ICEHistory(M$4,R$5,"DF[dow:12345][tl:Calendar]",$L26)</f>
        <v>357779</v>
      </c>
      <c r="S26">
        <f>_xll.ICEHistory(S$4,S$5,"DF[dow:12345][tl:Calendar]",$L26)</f>
        <v>34.5</v>
      </c>
      <c r="T26">
        <f>_xll.ICEHistory(S$4,T$5,"DF[dow:12345][tl:Calendar]",$L26)</f>
        <v>34.945</v>
      </c>
      <c r="U26">
        <f>_xll.ICEHistory(S$4,U$5,"DF[dow:12345][tl:Calendar]",$L26)</f>
        <v>33.42</v>
      </c>
      <c r="V26">
        <f>_xll.ICEHistory(S$4,V$5,"DF[dow:12345][tl:Calendar]",$L26)</f>
        <v>33.484999999999999</v>
      </c>
      <c r="W26">
        <f>_xll.ICEHistory(S$4,W$5,"DF[dow:12345][tl:Calendar]",$L26)</f>
        <v>208</v>
      </c>
      <c r="X26">
        <f t="shared" si="0"/>
        <v>3.8345864661654308E-2</v>
      </c>
      <c r="Y26">
        <f t="shared" si="1"/>
        <v>-0.11560176797122629</v>
      </c>
      <c r="Z26">
        <f t="shared" si="2"/>
        <v>-0.77331798884826897</v>
      </c>
    </row>
    <row r="27" spans="1:26" x14ac:dyDescent="0.25">
      <c r="A27" s="3" t="str">
        <f>_xll.ICEOptionSymbol($B$1,"F","C",$F27)</f>
        <v>EFO 24UC2750-ICN</v>
      </c>
      <c r="B27" s="3">
        <f>_xll.ICEQuote($A27,_xll.ICEFldID(B$5))</f>
        <v>0</v>
      </c>
      <c r="C27" s="3">
        <f>_xll.ICEQuote($A27,_xll.ICEFldID(C$5))</f>
        <v>27.5</v>
      </c>
      <c r="D27" s="3">
        <f>_xll.ICEQuote($A27,_xll.ICEFldID(D$5))</f>
        <v>1.0489709279859221</v>
      </c>
      <c r="E27" s="3">
        <f>_xll.ICEQuote($A27,_xll.ICEFldID(E$5))</f>
        <v>0.98502568744953289</v>
      </c>
      <c r="F27" s="3">
        <f>_xll.ICEOptionStrike($B$1,-79,"F")</f>
        <v>27.5</v>
      </c>
      <c r="G27" s="3" t="str">
        <f>_xll.ICEOptionSymbol($B$1,"F","P",$F27)</f>
        <v>EFO 24UP2750-ICN</v>
      </c>
      <c r="H27" s="3">
        <f>_xll.ICEQuote($G27,_xll.ICEFldID(H$5))</f>
        <v>0</v>
      </c>
      <c r="I27" s="3">
        <f>_xll.ICEQuote($G27,_xll.ICEFldID(I$5))</f>
        <v>27.5</v>
      </c>
      <c r="J27" s="3">
        <f>_xll.ICEQuote($G27,_xll.ICEFldID(J$5))</f>
        <v>0.63538029435112808</v>
      </c>
      <c r="K27" s="3">
        <f>_xll.ICEQuote($G27,_xll.ICEFldID(K$5))</f>
        <v>-2.1453563013781887E-4</v>
      </c>
      <c r="L27" s="4">
        <f>_xll.ICETimeline(_xll.ICEJoinRange(M4:W4),"DF[dow:12345][tl:Calendar]","2020-07-26;2024-07-26",1024,-1)</f>
        <v>45471.5</v>
      </c>
      <c r="M27">
        <f>_xll.ICEHistory(M$4,M$5,"DF[dow:12345][tl:Calendar]",$L27)</f>
        <v>66.5</v>
      </c>
      <c r="N27">
        <f>_xll.ICEHistory(M$4,N$5,"DF[dow:12345][tl:Calendar]",$L27)</f>
        <v>68.400000000000006</v>
      </c>
      <c r="O27">
        <f>_xll.ICEHistory(M$4,O$5,"DF[dow:12345][tl:Calendar]",$L27)</f>
        <v>65.78</v>
      </c>
      <c r="P27">
        <f>_xll.ICEHistory(M$4,P$5,"DF[dow:12345][tl:Calendar]",$L27)</f>
        <v>67.36</v>
      </c>
      <c r="Q27">
        <f>_xll.ICEHistory(M$4,Q$5,"DF[dow:12345][tl:Calendar]",$L27)</f>
        <v>23985</v>
      </c>
      <c r="R27">
        <f>_xll.ICEHistory(M$4,R$5,"DF[dow:12345][tl:Calendar]",$L27)</f>
        <v>357843</v>
      </c>
      <c r="S27">
        <f>_xll.ICEHistory(S$4,S$5,"DF[dow:12345][tl:Calendar]",$L27)</f>
        <v>34.674999999999997</v>
      </c>
      <c r="T27">
        <f>_xll.ICEHistory(S$4,T$5,"DF[dow:12345][tl:Calendar]",$L27)</f>
        <v>34.744999999999997</v>
      </c>
      <c r="U27">
        <f>_xll.ICEHistory(S$4,U$5,"DF[dow:12345][tl:Calendar]",$L27)</f>
        <v>34.049999999999997</v>
      </c>
      <c r="V27">
        <f>_xll.ICEHistory(S$4,V$5,"DF[dow:12345][tl:Calendar]",$L27)</f>
        <v>34.479999999999997</v>
      </c>
      <c r="W27">
        <f>_xll.ICEHistory(S$4,W$5,"DF[dow:12345][tl:Calendar]",$L27)</f>
        <v>457</v>
      </c>
      <c r="X27">
        <f t="shared" si="0"/>
        <v>3.9081145584725599E-2</v>
      </c>
      <c r="Y27">
        <f t="shared" si="1"/>
        <v>-3.4518944900324193E-2</v>
      </c>
      <c r="Z27">
        <f t="shared" si="2"/>
        <v>-0.51558734035066855</v>
      </c>
    </row>
    <row r="28" spans="1:26" x14ac:dyDescent="0.25">
      <c r="A28" s="3" t="str">
        <f>_xll.ICEOptionSymbol($B$1,"F","C",$F28)</f>
        <v>EFO 24UC2800-ICN</v>
      </c>
      <c r="B28" s="3">
        <f>_xll.ICEQuote($A28,_xll.ICEFldID(B$5))</f>
        <v>0</v>
      </c>
      <c r="C28" s="3">
        <f>_xll.ICEQuote($A28,_xll.ICEFldID(C$5))</f>
        <v>28</v>
      </c>
      <c r="D28" s="3">
        <f>_xll.ICEQuote($A28,_xll.ICEFldID(D$5))</f>
        <v>1.0273578267919106</v>
      </c>
      <c r="E28" s="3">
        <f>_xll.ICEQuote($A28,_xll.ICEFldID(E$5))</f>
        <v>0.98490972523936238</v>
      </c>
      <c r="F28" s="3">
        <f>_xll.ICEOptionStrike($B$1,-78,"F")</f>
        <v>28</v>
      </c>
      <c r="G28" s="3" t="str">
        <f>_xll.ICEOptionSymbol($B$1,"F","P",$F28)</f>
        <v>EFO 24UP2800-ICN</v>
      </c>
      <c r="H28" s="3">
        <f>_xll.ICEQuote($G28,_xll.ICEFldID(H$5))</f>
        <v>0</v>
      </c>
      <c r="I28" s="3">
        <f>_xll.ICEQuote($G28,_xll.ICEFldID(I$5))</f>
        <v>28</v>
      </c>
      <c r="J28" s="3">
        <f>_xll.ICEQuote($G28,_xll.ICEFldID(J$5))</f>
        <v>0.62297605684634227</v>
      </c>
      <c r="K28" s="3">
        <f>_xll.ICEQuote($G28,_xll.ICEFldID(K$5))</f>
        <v>-2.1881329497049274E-4</v>
      </c>
      <c r="L28" s="4">
        <f>_xll.ICETimeline(_xll.ICEJoinRange(M4:W4),"DF[dow:12345][tl:Calendar]","2020-07-26;2024-07-26",1023,-1)</f>
        <v>45470.5</v>
      </c>
      <c r="M28">
        <f>_xll.ICEHistory(M$4,M$5,"DF[dow:12345][tl:Calendar]",$L28)</f>
        <v>67.040000000000006</v>
      </c>
      <c r="N28">
        <f>_xll.ICEHistory(M$4,N$5,"DF[dow:12345][tl:Calendar]",$L28)</f>
        <v>67.78</v>
      </c>
      <c r="O28">
        <f>_xll.ICEHistory(M$4,O$5,"DF[dow:12345][tl:Calendar]",$L28)</f>
        <v>66.42</v>
      </c>
      <c r="P28">
        <f>_xll.ICEHistory(M$4,P$5,"DF[dow:12345][tl:Calendar]",$L28)</f>
        <v>66.489999999999995</v>
      </c>
      <c r="Q28">
        <f>_xll.ICEHistory(M$4,Q$5,"DF[dow:12345][tl:Calendar]",$L28)</f>
        <v>24463</v>
      </c>
      <c r="R28">
        <f>_xll.ICEHistory(M$4,R$5,"DF[dow:12345][tl:Calendar]",$L28)</f>
        <v>358346</v>
      </c>
      <c r="S28">
        <f>_xll.ICEHistory(S$4,S$5,"DF[dow:12345][tl:Calendar]",$L28)</f>
        <v>34.125</v>
      </c>
      <c r="T28">
        <f>_xll.ICEHistory(S$4,T$5,"DF[dow:12345][tl:Calendar]",$L28)</f>
        <v>34.564999999999998</v>
      </c>
      <c r="U28">
        <f>_xll.ICEHistory(S$4,U$5,"DF[dow:12345][tl:Calendar]",$L28)</f>
        <v>34.125</v>
      </c>
      <c r="V28">
        <f>_xll.ICEHistory(S$4,V$5,"DF[dow:12345][tl:Calendar]",$L28)</f>
        <v>34.564999999999998</v>
      </c>
      <c r="W28">
        <f>_xll.ICEHistory(S$4,W$5,"DF[dow:12345][tl:Calendar]",$L28)</f>
        <v>3</v>
      </c>
      <c r="X28">
        <f t="shared" si="0"/>
        <v>1.9944273353864197E-2</v>
      </c>
      <c r="Y28">
        <f t="shared" si="1"/>
        <v>-1.1089176533291556</v>
      </c>
      <c r="Z28">
        <f t="shared" si="2"/>
        <v>-0.46114857518158175</v>
      </c>
    </row>
    <row r="29" spans="1:26" x14ac:dyDescent="0.25">
      <c r="A29" s="3" t="str">
        <f>_xll.ICEOptionSymbol($B$1,"F","C",$F29)</f>
        <v>EFO 24UC2850-ICN</v>
      </c>
      <c r="B29" s="3">
        <f>_xll.ICEQuote($A29,_xll.ICEFldID(B$5))</f>
        <v>0</v>
      </c>
      <c r="C29" s="3">
        <f>_xll.ICEQuote($A29,_xll.ICEFldID(C$5))</f>
        <v>28.5</v>
      </c>
      <c r="D29" s="3">
        <f>_xll.ICEQuote($A29,_xll.ICEFldID(D$5))</f>
        <v>1.0061467036876612</v>
      </c>
      <c r="E29" s="3">
        <f>_xll.ICEQuote($A29,_xll.ICEFldID(E$5))</f>
        <v>0.98479456225726392</v>
      </c>
      <c r="F29" s="3">
        <f>_xll.ICEOptionStrike($B$1,-77,"F")</f>
        <v>28.5</v>
      </c>
      <c r="G29" s="3" t="str">
        <f>_xll.ICEOptionSymbol($B$1,"F","P",$F29)</f>
        <v>EFO 24UP2850-ICN</v>
      </c>
      <c r="H29" s="3">
        <f>_xll.ICEQuote($G29,_xll.ICEFldID(H$5))</f>
        <v>0</v>
      </c>
      <c r="I29" s="3">
        <f>_xll.ICEQuote($G29,_xll.ICEFldID(I$5))</f>
        <v>28.5</v>
      </c>
      <c r="J29" s="3">
        <f>_xll.ICEQuote($G29,_xll.ICEFldID(J$5))</f>
        <v>0.61079085140764555</v>
      </c>
      <c r="K29" s="3">
        <f>_xll.ICEQuote($G29,_xll.ICEFldID(K$5))</f>
        <v>-2.2317935774423121E-4</v>
      </c>
      <c r="L29" s="4">
        <f>_xll.ICETimeline(_xll.ICEJoinRange(M4:W4),"DF[dow:12345][tl:Calendar]","2020-07-26;2024-07-26",1022,-1)</f>
        <v>45469.5</v>
      </c>
      <c r="M29">
        <f>_xll.ICEHistory(M$4,M$5,"DF[dow:12345][tl:Calendar]",$L29)</f>
        <v>68.19</v>
      </c>
      <c r="N29">
        <f>_xll.ICEHistory(M$4,N$5,"DF[dow:12345][tl:Calendar]",$L29)</f>
        <v>69.09</v>
      </c>
      <c r="O29">
        <f>_xll.ICEHistory(M$4,O$5,"DF[dow:12345][tl:Calendar]",$L29)</f>
        <v>66.790000000000006</v>
      </c>
      <c r="P29">
        <f>_xll.ICEHistory(M$4,P$5,"DF[dow:12345][tl:Calendar]",$L29)</f>
        <v>67.23</v>
      </c>
      <c r="Q29">
        <f>_xll.ICEHistory(M$4,Q$5,"DF[dow:12345][tl:Calendar]",$L29)</f>
        <v>25988</v>
      </c>
      <c r="R29">
        <f>_xll.ICEHistory(M$4,R$5,"DF[dow:12345][tl:Calendar]",$L29)</f>
        <v>355843</v>
      </c>
      <c r="S29">
        <f>_xll.ICEHistory(S$4,S$5,"DF[dow:12345][tl:Calendar]",$L29)</f>
        <v>35.15</v>
      </c>
      <c r="T29">
        <f>_xll.ICEHistory(S$4,T$5,"DF[dow:12345][tl:Calendar]",$L29)</f>
        <v>35.15</v>
      </c>
      <c r="U29">
        <f>_xll.ICEHistory(S$4,U$5,"DF[dow:12345][tl:Calendar]",$L29)</f>
        <v>33.823999999999998</v>
      </c>
      <c r="V29">
        <f>_xll.ICEHistory(S$4,V$5,"DF[dow:12345][tl:Calendar]",$L29)</f>
        <v>33.823999999999998</v>
      </c>
      <c r="W29">
        <f>_xll.ICEHistory(S$4,W$5,"DF[dow:12345][tl:Calendar]",$L29)</f>
        <v>77</v>
      </c>
      <c r="X29">
        <f t="shared" si="0"/>
        <v>3.4099332839140059E-2</v>
      </c>
      <c r="Y29">
        <f t="shared" si="1"/>
        <v>-0.31090587940266634</v>
      </c>
      <c r="Z29">
        <f t="shared" si="2"/>
        <v>-0.31231030902429574</v>
      </c>
    </row>
    <row r="30" spans="1:26" x14ac:dyDescent="0.25">
      <c r="A30" s="3" t="str">
        <f>_xll.ICEOptionSymbol($B$1,"F","C",$F30)</f>
        <v>EFO 24UC2900-ICN</v>
      </c>
      <c r="B30" s="3">
        <f>_xll.ICEQuote($A30,_xll.ICEFldID(B$5))</f>
        <v>0</v>
      </c>
      <c r="C30" s="3">
        <f>_xll.ICEQuote($A30,_xll.ICEFldID(C$5))</f>
        <v>29</v>
      </c>
      <c r="D30" s="3">
        <f>_xll.ICEQuote($A30,_xll.ICEFldID(D$5))</f>
        <v>0.98532283541345334</v>
      </c>
      <c r="E30" s="3">
        <f>_xll.ICEQuote($A30,_xll.ICEFldID(E$5))</f>
        <v>0.98468017669336116</v>
      </c>
      <c r="F30" s="3">
        <f>_xll.ICEOptionStrike($B$1,-76,"F")</f>
        <v>29</v>
      </c>
      <c r="G30" s="3" t="str">
        <f>_xll.ICEOptionSymbol($B$1,"F","P",$F30)</f>
        <v>EFO 24UP2900-ICN</v>
      </c>
      <c r="H30" s="3">
        <f>_xll.ICEQuote($G30,_xll.ICEFldID(H$5))</f>
        <v>0</v>
      </c>
      <c r="I30" s="3">
        <f>_xll.ICEQuote($G30,_xll.ICEFldID(I$5))</f>
        <v>29</v>
      </c>
      <c r="J30" s="3">
        <f>_xll.ICEQuote($G30,_xll.ICEFldID(J$5))</f>
        <v>0.59881668630230744</v>
      </c>
      <c r="K30" s="3">
        <f>_xll.ICEQuote($G30,_xll.ICEFldID(K$5))</f>
        <v>-2.276372641968032E-4</v>
      </c>
      <c r="L30" s="4">
        <f>_xll.ICETimeline(_xll.ICEJoinRange(M4:W4),"DF[dow:12345][tl:Calendar]","2020-07-26;2024-07-26",1021,-1)</f>
        <v>45468.5</v>
      </c>
      <c r="M30">
        <f>_xll.ICEHistory(M$4,M$5,"DF[dow:12345][tl:Calendar]",$L30)</f>
        <v>67.45</v>
      </c>
      <c r="N30">
        <f>_xll.ICEHistory(M$4,N$5,"DF[dow:12345][tl:Calendar]",$L30)</f>
        <v>68.069999999999993</v>
      </c>
      <c r="O30">
        <f>_xll.ICEHistory(M$4,O$5,"DF[dow:12345][tl:Calendar]",$L30)</f>
        <v>66.849999999999994</v>
      </c>
      <c r="P30">
        <f>_xll.ICEHistory(M$4,P$5,"DF[dow:12345][tl:Calendar]",$L30)</f>
        <v>67.8</v>
      </c>
      <c r="Q30">
        <f>_xll.ICEHistory(M$4,Q$5,"DF[dow:12345][tl:Calendar]",$L30)</f>
        <v>25633</v>
      </c>
      <c r="R30">
        <f>_xll.ICEHistory(M$4,R$5,"DF[dow:12345][tl:Calendar]",$L30)</f>
        <v>354577</v>
      </c>
      <c r="S30">
        <f>_xll.ICEHistory(S$4,S$5,"DF[dow:12345][tl:Calendar]",$L30)</f>
        <v>34.325000000000003</v>
      </c>
      <c r="T30">
        <f>_xll.ICEHistory(S$4,T$5,"DF[dow:12345][tl:Calendar]",$L30)</f>
        <v>34.875</v>
      </c>
      <c r="U30">
        <f>_xll.ICEHistory(S$4,U$5,"DF[dow:12345][tl:Calendar]",$L30)</f>
        <v>34.325000000000003</v>
      </c>
      <c r="V30">
        <f>_xll.ICEHistory(S$4,V$5,"DF[dow:12345][tl:Calendar]",$L30)</f>
        <v>34.853000000000002</v>
      </c>
      <c r="W30">
        <f>_xll.ICEHistory(S$4,W$5,"DF[dow:12345][tl:Calendar]",$L30)</f>
        <v>172</v>
      </c>
      <c r="X30">
        <f t="shared" si="0"/>
        <v>1.7935901205527769E-2</v>
      </c>
      <c r="Y30">
        <f t="shared" si="1"/>
        <v>-1.2343768164612785</v>
      </c>
      <c r="Z30">
        <f t="shared" si="2"/>
        <v>-0.36743686127036124</v>
      </c>
    </row>
    <row r="31" spans="1:26" x14ac:dyDescent="0.25">
      <c r="A31" s="3" t="str">
        <f>_xll.ICEOptionSymbol($B$1,"F","C",$F31)</f>
        <v>EFO 24UC2950-ICN</v>
      </c>
      <c r="B31" s="3">
        <f>_xll.ICEQuote($A31,_xll.ICEFldID(B$5))</f>
        <v>0</v>
      </c>
      <c r="C31" s="3">
        <f>_xll.ICEQuote($A31,_xll.ICEFldID(C$5))</f>
        <v>29.5</v>
      </c>
      <c r="D31" s="3">
        <f>_xll.ICEQuote($A31,_xll.ICEFldID(D$5))</f>
        <v>0.96487228718136253</v>
      </c>
      <c r="E31" s="3">
        <f>_xll.ICEQuote($A31,_xll.ICEFldID(E$5))</f>
        <v>0.98456654771382579</v>
      </c>
      <c r="F31" s="3">
        <f>_xll.ICEOptionStrike($B$1,-75,"F")</f>
        <v>29.5</v>
      </c>
      <c r="G31" s="3" t="str">
        <f>_xll.ICEOptionSymbol($B$1,"F","P",$F31)</f>
        <v>EFO 24UP2950-ICN</v>
      </c>
      <c r="H31" s="3">
        <f>_xll.ICEQuote($G31,_xll.ICEFldID(H$5))</f>
        <v>0</v>
      </c>
      <c r="I31" s="3">
        <f>_xll.ICEQuote($G31,_xll.ICEFldID(I$5))</f>
        <v>29.5</v>
      </c>
      <c r="J31" s="3">
        <f>_xll.ICEQuote($G31,_xll.ICEFldID(J$5))</f>
        <v>0.58704603845915571</v>
      </c>
      <c r="K31" s="3">
        <f>_xll.ICEQuote($G31,_xll.ICEFldID(K$5))</f>
        <v>-2.3219087623378593E-4</v>
      </c>
      <c r="L31" s="4">
        <f>_xll.ICETimeline(_xll.ICEJoinRange(M4:W4),"DF[dow:12345][tl:Calendar]","2020-07-26;2024-07-26",1020,-1)</f>
        <v>45467.5</v>
      </c>
      <c r="M31">
        <f>_xll.ICEHistory(M$4,M$5,"DF[dow:12345][tl:Calendar]",$L31)</f>
        <v>68.02</v>
      </c>
      <c r="N31">
        <f>_xll.ICEHistory(M$4,N$5,"DF[dow:12345][tl:Calendar]",$L31)</f>
        <v>68.28</v>
      </c>
      <c r="O31">
        <f>_xll.ICEHistory(M$4,O$5,"DF[dow:12345][tl:Calendar]",$L31)</f>
        <v>67.010000000000005</v>
      </c>
      <c r="P31">
        <f>_xll.ICEHistory(M$4,P$5,"DF[dow:12345][tl:Calendar]",$L31)</f>
        <v>67.56</v>
      </c>
      <c r="Q31">
        <f>_xll.ICEHistory(M$4,Q$5,"DF[dow:12345][tl:Calendar]",$L31)</f>
        <v>31837</v>
      </c>
      <c r="R31">
        <f>_xll.ICEHistory(M$4,R$5,"DF[dow:12345][tl:Calendar]",$L31)</f>
        <v>353485</v>
      </c>
      <c r="S31">
        <f>_xll.ICEHistory(S$4,S$5,"DF[dow:12345][tl:Calendar]",$L31)</f>
        <v>33.799999999999997</v>
      </c>
      <c r="T31">
        <f>_xll.ICEHistory(S$4,T$5,"DF[dow:12345][tl:Calendar]",$L31)</f>
        <v>34.549999999999997</v>
      </c>
      <c r="U31">
        <f>_xll.ICEHistory(S$4,U$5,"DF[dow:12345][tl:Calendar]",$L31)</f>
        <v>33.799999999999997</v>
      </c>
      <c r="V31">
        <f>_xll.ICEHistory(S$4,V$5,"DF[dow:12345][tl:Calendar]",$L31)</f>
        <v>34.08</v>
      </c>
      <c r="W31">
        <f>_xll.ICEHistory(S$4,W$5,"DF[dow:12345][tl:Calendar]",$L31)</f>
        <v>213</v>
      </c>
      <c r="X31">
        <f t="shared" si="0"/>
        <v>1.8265496907809521E-2</v>
      </c>
      <c r="Y31">
        <f t="shared" si="1"/>
        <v>-1.2560729221591613</v>
      </c>
      <c r="Z31">
        <f t="shared" si="2"/>
        <v>0.24984975233357046</v>
      </c>
    </row>
    <row r="32" spans="1:26" x14ac:dyDescent="0.25">
      <c r="A32" s="3" t="str">
        <f>_xll.ICEOptionSymbol($B$1,"F","C",$F32)</f>
        <v>EFO 24UC3000-ICN</v>
      </c>
      <c r="B32" s="3">
        <f>_xll.ICEQuote($A32,_xll.ICEFldID(B$5))</f>
        <v>0</v>
      </c>
      <c r="C32" s="3">
        <f>_xll.ICEQuote($A32,_xll.ICEFldID(C$5))</f>
        <v>30</v>
      </c>
      <c r="D32" s="3">
        <f>_xll.ICEQuote($A32,_xll.ICEFldID(D$5))</f>
        <v>0.94478185766286349</v>
      </c>
      <c r="E32" s="3">
        <f>_xll.ICEQuote($A32,_xll.ICEFldID(E$5))</f>
        <v>0.98445365540106833</v>
      </c>
      <c r="F32" s="3">
        <f>_xll.ICEOptionStrike($B$1,-74,"F")</f>
        <v>30</v>
      </c>
      <c r="G32" s="3" t="str">
        <f>_xll.ICEOptionSymbol($B$1,"F","P",$F32)</f>
        <v>EFO 24UP3000-ICN</v>
      </c>
      <c r="H32" s="3">
        <f>_xll.ICEQuote($G32,_xll.ICEFldID(H$5))</f>
        <v>750</v>
      </c>
      <c r="I32" s="3">
        <f>_xll.ICEQuote($G32,_xll.ICEFldID(I$5))</f>
        <v>30</v>
      </c>
      <c r="J32" s="3">
        <f>_xll.ICEQuote($G32,_xll.ICEFldID(J$5))</f>
        <v>0.57547177086934709</v>
      </c>
      <c r="K32" s="3">
        <f>_xll.ICEQuote($G32,_xll.ICEFldID(K$5))</f>
        <v>-2.3684426189743025E-4</v>
      </c>
      <c r="L32" s="4">
        <f>_xll.ICETimeline(_xll.ICEJoinRange(M4:W4),"DF[dow:12345][tl:Calendar]","2020-07-26;2024-07-26",1019,-1)</f>
        <v>45464.5</v>
      </c>
      <c r="M32">
        <f>_xll.ICEHistory(M$4,M$5,"DF[dow:12345][tl:Calendar]",$L32)</f>
        <v>69.53</v>
      </c>
      <c r="N32">
        <f>_xll.ICEHistory(M$4,N$5,"DF[dow:12345][tl:Calendar]",$L32)</f>
        <v>69.53</v>
      </c>
      <c r="O32">
        <f>_xll.ICEHistory(M$4,O$5,"DF[dow:12345][tl:Calendar]",$L32)</f>
        <v>67.94</v>
      </c>
      <c r="P32">
        <f>_xll.ICEHistory(M$4,P$5,"DF[dow:12345][tl:Calendar]",$L32)</f>
        <v>68.05</v>
      </c>
      <c r="Q32">
        <f>_xll.ICEHistory(M$4,Q$5,"DF[dow:12345][tl:Calendar]",$L32)</f>
        <v>28259</v>
      </c>
      <c r="R32">
        <f>_xll.ICEHistory(M$4,R$5,"DF[dow:12345][tl:Calendar]",$L32)</f>
        <v>349260</v>
      </c>
      <c r="S32">
        <f>_xll.ICEHistory(S$4,S$5,"DF[dow:12345][tl:Calendar]",$L32)</f>
        <v>34.4</v>
      </c>
      <c r="T32">
        <f>_xll.ICEHistory(S$4,T$5,"DF[dow:12345][tl:Calendar]",$L32)</f>
        <v>34.555</v>
      </c>
      <c r="U32">
        <f>_xll.ICEHistory(S$4,U$5,"DF[dow:12345][tl:Calendar]",$L32)</f>
        <v>33.869999999999997</v>
      </c>
      <c r="V32">
        <f>_xll.ICEHistory(S$4,V$5,"DF[dow:12345][tl:Calendar]",$L32)</f>
        <v>33.936</v>
      </c>
      <c r="W32">
        <f>_xll.ICEHistory(S$4,W$5,"DF[dow:12345][tl:Calendar]",$L32)</f>
        <v>522</v>
      </c>
      <c r="X32">
        <f t="shared" si="0"/>
        <v>2.2521246458923564E-2</v>
      </c>
      <c r="Y32">
        <f t="shared" si="1"/>
        <v>-1.0517050407510236</v>
      </c>
      <c r="Z32">
        <f t="shared" si="2"/>
        <v>-0.11411423187257612</v>
      </c>
    </row>
    <row r="33" spans="1:26" x14ac:dyDescent="0.25">
      <c r="A33" s="3" t="str">
        <f>_xll.ICEOptionSymbol($B$1,"F","C",$F33)</f>
        <v>EFO 24UC3050-ICN</v>
      </c>
      <c r="B33" s="3">
        <f>_xll.ICEQuote($A33,_xll.ICEFldID(B$5))</f>
        <v>0</v>
      </c>
      <c r="C33" s="3">
        <f>_xll.ICEQuote($A33,_xll.ICEFldID(C$5))</f>
        <v>30.5</v>
      </c>
      <c r="D33" s="3">
        <f>_xll.ICEQuote($A33,_xll.ICEFldID(D$5))</f>
        <v>0.93067311953576137</v>
      </c>
      <c r="E33" s="3">
        <f>_xll.ICEQuote($A33,_xll.ICEFldID(E$5))</f>
        <v>0.98397763705508756</v>
      </c>
      <c r="F33" s="3">
        <f>_xll.ICEOptionStrike($B$1,-73,"F")</f>
        <v>30.5</v>
      </c>
      <c r="G33" s="3" t="str">
        <f>_xll.ICEOptionSymbol($B$1,"F","P",$F33)</f>
        <v>EFO 24UP3050-ICN</v>
      </c>
      <c r="H33" s="3">
        <f>_xll.ICEQuote($G33,_xll.ICEFldID(H$5))</f>
        <v>0</v>
      </c>
      <c r="I33" s="3">
        <f>_xll.ICEQuote($G33,_xll.ICEFldID(I$5))</f>
        <v>30.5</v>
      </c>
      <c r="J33" s="3">
        <f>_xll.ICEQuote($G33,_xll.ICEFldID(J$5))</f>
        <v>0.64054466944552946</v>
      </c>
      <c r="K33" s="3">
        <f>_xll.ICEQuote($G33,_xll.ICEFldID(K$5))</f>
        <v>-9.5722567728263029E-4</v>
      </c>
      <c r="L33" s="4">
        <f>_xll.ICETimeline(_xll.ICEJoinRange(M4:W4),"DF[dow:12345][tl:Calendar]","2020-07-26;2024-07-26",1018,-1)</f>
        <v>45463.5</v>
      </c>
      <c r="M33">
        <f>_xll.ICEHistory(M$4,M$5,"DF[dow:12345][tl:Calendar]",$L33)</f>
        <v>70.599999999999994</v>
      </c>
      <c r="N33">
        <f>_xll.ICEHistory(M$4,N$5,"DF[dow:12345][tl:Calendar]",$L33)</f>
        <v>71.599999999999994</v>
      </c>
      <c r="O33">
        <f>_xll.ICEHistory(M$4,O$5,"DF[dow:12345][tl:Calendar]",$L33)</f>
        <v>69.05</v>
      </c>
      <c r="P33">
        <f>_xll.ICEHistory(M$4,P$5,"DF[dow:12345][tl:Calendar]",$L33)</f>
        <v>69.19</v>
      </c>
      <c r="Q33">
        <f>_xll.ICEHistory(M$4,Q$5,"DF[dow:12345][tl:Calendar]",$L33)</f>
        <v>25265</v>
      </c>
      <c r="R33">
        <f>_xll.ICEHistory(M$4,R$5,"DF[dow:12345][tl:Calendar]",$L33)</f>
        <v>342937</v>
      </c>
      <c r="S33">
        <f>_xll.ICEHistory(S$4,S$5,"DF[dow:12345][tl:Calendar]",$L33)</f>
        <v>34.53</v>
      </c>
      <c r="T33">
        <f>_xll.ICEHistory(S$4,T$5,"DF[dow:12345][tl:Calendar]",$L33)</f>
        <v>35.69</v>
      </c>
      <c r="U33">
        <f>_xll.ICEHistory(S$4,U$5,"DF[dow:12345][tl:Calendar]",$L33)</f>
        <v>34.25</v>
      </c>
      <c r="V33">
        <f>_xll.ICEHistory(S$4,V$5,"DF[dow:12345][tl:Calendar]",$L33)</f>
        <v>34.463999999999999</v>
      </c>
      <c r="W33">
        <f>_xll.ICEHistory(S$4,W$5,"DF[dow:12345][tl:Calendar]",$L33)</f>
        <v>894</v>
      </c>
      <c r="X33">
        <f t="shared" si="0"/>
        <v>3.7026281399738598E-2</v>
      </c>
      <c r="Y33">
        <f t="shared" si="1"/>
        <v>-0.25209466598573815</v>
      </c>
      <c r="Z33">
        <f t="shared" si="2"/>
        <v>-0.41950435993005614</v>
      </c>
    </row>
    <row r="34" spans="1:26" x14ac:dyDescent="0.25">
      <c r="A34" s="3" t="str">
        <f>_xll.ICEOptionSymbol($B$1,"F","C",$F34)</f>
        <v>EFO 24UC3100-ICN</v>
      </c>
      <c r="B34" s="3">
        <f>_xll.ICEQuote($A34,_xll.ICEFldID(B$5))</f>
        <v>0</v>
      </c>
      <c r="C34" s="3">
        <f>_xll.ICEQuote($A34,_xll.ICEFldID(C$5))</f>
        <v>31</v>
      </c>
      <c r="D34" s="3">
        <f>_xll.ICEQuote($A34,_xll.ICEFldID(D$5))</f>
        <v>0.91122103034271185</v>
      </c>
      <c r="E34" s="3">
        <f>_xll.ICEQuote($A34,_xll.ICEFldID(E$5))</f>
        <v>0.98385749460701499</v>
      </c>
      <c r="F34" s="3">
        <f>_xll.ICEOptionStrike($B$1,-72,"F")</f>
        <v>31</v>
      </c>
      <c r="G34" s="3" t="str">
        <f>_xll.ICEOptionSymbol($B$1,"F","P",$F34)</f>
        <v>EFO 24UP3100-ICN</v>
      </c>
      <c r="H34" s="3">
        <f>_xll.ICEQuote($G34,_xll.ICEFldID(H$5))</f>
        <v>0</v>
      </c>
      <c r="I34" s="3">
        <f>_xll.ICEQuote($G34,_xll.ICEFldID(I$5))</f>
        <v>31</v>
      </c>
      <c r="J34" s="3">
        <f>_xll.ICEQuote($G34,_xll.ICEFldID(J$5))</f>
        <v>0.62795098962285978</v>
      </c>
      <c r="K34" s="3">
        <f>_xll.ICEQuote($G34,_xll.ICEFldID(K$5))</f>
        <v>-9.763341306767816E-4</v>
      </c>
      <c r="L34" s="4">
        <f>_xll.ICETimeline(_xll.ICEJoinRange(M4:W4),"DF[dow:12345][tl:Calendar]","2020-07-26;2024-07-26",1017,-1)</f>
        <v>45462.5</v>
      </c>
      <c r="M34">
        <f>_xll.ICEHistory(M$4,M$5,"DF[dow:12345][tl:Calendar]",$L34)</f>
        <v>68.87</v>
      </c>
      <c r="N34">
        <f>_xll.ICEHistory(M$4,N$5,"DF[dow:12345][tl:Calendar]",$L34)</f>
        <v>70.81</v>
      </c>
      <c r="O34">
        <f>_xll.ICEHistory(M$4,O$5,"DF[dow:12345][tl:Calendar]",$L34)</f>
        <v>68.5</v>
      </c>
      <c r="P34">
        <f>_xll.ICEHistory(M$4,P$5,"DF[dow:12345][tl:Calendar]",$L34)</f>
        <v>70.739999999999995</v>
      </c>
      <c r="Q34">
        <f>_xll.ICEHistory(M$4,Q$5,"DF[dow:12345][tl:Calendar]",$L34)</f>
        <v>28076</v>
      </c>
      <c r="R34">
        <f>_xll.ICEHistory(M$4,R$5,"DF[dow:12345][tl:Calendar]",$L34)</f>
        <v>342582</v>
      </c>
      <c r="S34">
        <f>_xll.ICEHistory(S$4,S$5,"DF[dow:12345][tl:Calendar]",$L34)</f>
        <v>34.28</v>
      </c>
      <c r="T34">
        <f>_xll.ICEHistory(S$4,T$5,"DF[dow:12345][tl:Calendar]",$L34)</f>
        <v>35.049999999999997</v>
      </c>
      <c r="U34">
        <f>_xll.ICEHistory(S$4,U$5,"DF[dow:12345][tl:Calendar]",$L34)</f>
        <v>34.28</v>
      </c>
      <c r="V34">
        <f>_xll.ICEHistory(S$4,V$5,"DF[dow:12345][tl:Calendar]",$L34)</f>
        <v>34.700000000000003</v>
      </c>
      <c r="W34">
        <f>_xll.ICEHistory(S$4,W$5,"DF[dow:12345][tl:Calendar]",$L34)</f>
        <v>0</v>
      </c>
      <c r="X34">
        <f t="shared" si="0"/>
        <v>3.3841195429241168E-2</v>
      </c>
      <c r="Y34">
        <f t="shared" si="1"/>
        <v>-0.42081085458304801</v>
      </c>
      <c r="Z34">
        <f t="shared" si="2"/>
        <v>-0.13046084560752444</v>
      </c>
    </row>
    <row r="35" spans="1:26" x14ac:dyDescent="0.25">
      <c r="A35" s="3" t="str">
        <f>_xll.ICEOptionSymbol($B$1,"F","C",$F35)</f>
        <v>EFO 24UC3150-ICN</v>
      </c>
      <c r="B35" s="3">
        <f>_xll.ICEQuote($A35,_xll.ICEFldID(B$5))</f>
        <v>0</v>
      </c>
      <c r="C35" s="3">
        <f>_xll.ICEQuote($A35,_xll.ICEFldID(C$5))</f>
        <v>31.5</v>
      </c>
      <c r="D35" s="3">
        <f>_xll.ICEQuote($A35,_xll.ICEFldID(D$5))</f>
        <v>0.89209437302145012</v>
      </c>
      <c r="E35" s="3">
        <f>_xll.ICEQuote($A35,_xll.ICEFldID(E$5))</f>
        <v>0.9837378125749926</v>
      </c>
      <c r="F35" s="3">
        <f>_xll.ICEOptionStrike($B$1,-71,"F")</f>
        <v>31.5</v>
      </c>
      <c r="G35" s="3" t="str">
        <f>_xll.ICEOptionSymbol($B$1,"F","P",$F35)</f>
        <v>EFO 24UP3150-ICN</v>
      </c>
      <c r="H35" s="3">
        <f>_xll.ICEQuote($G35,_xll.ICEFldID(H$5))</f>
        <v>0</v>
      </c>
      <c r="I35" s="3">
        <f>_xll.ICEQuote($G35,_xll.ICEFldID(I$5))</f>
        <v>31.5</v>
      </c>
      <c r="J35" s="3">
        <f>_xll.ICEQuote($G35,_xll.ICEFldID(J$5))</f>
        <v>0.61555619048461463</v>
      </c>
      <c r="K35" s="3">
        <f>_xll.ICEQuote($G35,_xll.ICEFldID(K$5))</f>
        <v>-9.9587413187186944E-4</v>
      </c>
      <c r="L35" s="4">
        <f>_xll.ICETimeline(_xll.ICEJoinRange(M4:W4),"DF[dow:12345][tl:Calendar]","2020-07-26;2024-07-26",1016,-1)</f>
        <v>45461.5</v>
      </c>
      <c r="M35">
        <f>_xll.ICEHistory(M$4,M$5,"DF[dow:12345][tl:Calendar]",$L35)</f>
        <v>68.260000000000005</v>
      </c>
      <c r="N35">
        <f>_xll.ICEHistory(M$4,N$5,"DF[dow:12345][tl:Calendar]",$L35)</f>
        <v>69.25</v>
      </c>
      <c r="O35">
        <f>_xll.ICEHistory(M$4,O$5,"DF[dow:12345][tl:Calendar]",$L35)</f>
        <v>67.709999999999994</v>
      </c>
      <c r="P35">
        <f>_xll.ICEHistory(M$4,P$5,"DF[dow:12345][tl:Calendar]",$L35)</f>
        <v>68.38</v>
      </c>
      <c r="Q35">
        <f>_xll.ICEHistory(M$4,Q$5,"DF[dow:12345][tl:Calendar]",$L35)</f>
        <v>37155</v>
      </c>
      <c r="R35">
        <f>_xll.ICEHistory(M$4,R$5,"DF[dow:12345][tl:Calendar]",$L35)</f>
        <v>346400</v>
      </c>
      <c r="S35">
        <f>_xll.ICEHistory(S$4,S$5,"DF[dow:12345][tl:Calendar]",$L35)</f>
        <v>34.28</v>
      </c>
      <c r="T35">
        <f>_xll.ICEHistory(S$4,T$5,"DF[dow:12345][tl:Calendar]",$L35)</f>
        <v>35.049999999999997</v>
      </c>
      <c r="U35">
        <f>_xll.ICEHistory(S$4,U$5,"DF[dow:12345][tl:Calendar]",$L35)</f>
        <v>34.28</v>
      </c>
      <c r="V35">
        <f>_xll.ICEHistory(S$4,V$5,"DF[dow:12345][tl:Calendar]",$L35)</f>
        <v>34.700000000000003</v>
      </c>
      <c r="W35">
        <f>_xll.ICEHistory(S$4,W$5,"DF[dow:12345][tl:Calendar]",$L35)</f>
        <v>604</v>
      </c>
      <c r="X35">
        <f t="shared" si="0"/>
        <v>2.2481751824817611E-2</v>
      </c>
      <c r="Y35">
        <f t="shared" si="1"/>
        <v>-1.0537961245337302</v>
      </c>
      <c r="Z35">
        <f t="shared" si="2"/>
        <v>0.78863630419924358</v>
      </c>
    </row>
    <row r="36" spans="1:26" x14ac:dyDescent="0.25">
      <c r="A36" s="3" t="str">
        <f>_xll.ICEOptionSymbol($B$1,"F","C",$F36)</f>
        <v>EFO 24UC3200-ICN</v>
      </c>
      <c r="B36" s="3">
        <f>_xll.ICEQuote($A36,_xll.ICEFldID(B$5))</f>
        <v>0</v>
      </c>
      <c r="C36" s="3">
        <f>_xll.ICEQuote($A36,_xll.ICEFldID(C$5))</f>
        <v>32</v>
      </c>
      <c r="D36" s="3">
        <f>_xll.ICEQuote($A36,_xll.ICEFldID(D$5))</f>
        <v>0.8732823773546371</v>
      </c>
      <c r="E36" s="3">
        <f>_xll.ICEQuote($A36,_xll.ICEFldID(E$5))</f>
        <v>0.98361856414586946</v>
      </c>
      <c r="F36" s="3">
        <f>_xll.ICEOptionStrike($B$1,-70,"F")</f>
        <v>32</v>
      </c>
      <c r="G36" s="3" t="str">
        <f>_xll.ICEOptionSymbol($B$1,"F","P",$F36)</f>
        <v>EFO 24UP3200-ICN</v>
      </c>
      <c r="H36" s="3">
        <f>_xll.ICEQuote($G36,_xll.ICEFldID(H$5))</f>
        <v>0</v>
      </c>
      <c r="I36" s="3">
        <f>_xll.ICEQuote($G36,_xll.ICEFldID(I$5))</f>
        <v>32</v>
      </c>
      <c r="J36" s="3">
        <f>_xll.ICEQuote($G36,_xll.ICEFldID(J$5))</f>
        <v>0.603353632573564</v>
      </c>
      <c r="K36" s="3">
        <f>_xll.ICEQuote($G36,_xll.ICEFldID(K$5))</f>
        <v>-1.015864409940982E-3</v>
      </c>
      <c r="L36" s="4">
        <f>_xll.ICETimeline(_xll.ICEJoinRange(M4:W4),"DF[dow:12345][tl:Calendar]","2020-07-26;2024-07-26",1015,-1)</f>
        <v>45460.5</v>
      </c>
      <c r="M36">
        <f>_xll.ICEHistory(M$4,M$5,"DF[dow:12345][tl:Calendar]",$L36)</f>
        <v>68.5</v>
      </c>
      <c r="N36">
        <f>_xll.ICEHistory(M$4,N$5,"DF[dow:12345][tl:Calendar]",$L36)</f>
        <v>69.3</v>
      </c>
      <c r="O36">
        <f>_xll.ICEHistory(M$4,O$5,"DF[dow:12345][tl:Calendar]",$L36)</f>
        <v>67.510000000000005</v>
      </c>
      <c r="P36">
        <f>_xll.ICEHistory(M$4,P$5,"DF[dow:12345][tl:Calendar]",$L36)</f>
        <v>68.16</v>
      </c>
      <c r="Q36">
        <f>_xll.ICEHistory(M$4,Q$5,"DF[dow:12345][tl:Calendar]",$L36)</f>
        <v>26662</v>
      </c>
      <c r="R36">
        <f>_xll.ICEHistory(M$4,R$5,"DF[dow:12345][tl:Calendar]",$L36)</f>
        <v>338785</v>
      </c>
      <c r="S36">
        <f>_xll.ICEHistory(S$4,S$5,"DF[dow:12345][tl:Calendar]",$L36)</f>
        <v>35.4</v>
      </c>
      <c r="T36">
        <f>_xll.ICEHistory(S$4,T$5,"DF[dow:12345][tl:Calendar]",$L36)</f>
        <v>35.4</v>
      </c>
      <c r="U36">
        <f>_xll.ICEHistory(S$4,U$5,"DF[dow:12345][tl:Calendar]",$L36)</f>
        <v>34.200000000000003</v>
      </c>
      <c r="V36">
        <f>_xll.ICEHistory(S$4,V$5,"DF[dow:12345][tl:Calendar]",$L36)</f>
        <v>34.21</v>
      </c>
      <c r="W36">
        <f>_xll.ICEHistory(S$4,W$5,"DF[dow:12345][tl:Calendar]",$L36)</f>
        <v>412</v>
      </c>
      <c r="X36">
        <f t="shared" si="0"/>
        <v>2.5300353356890348E-2</v>
      </c>
      <c r="Y36">
        <f t="shared" si="1"/>
        <v>-0.92720445314911137</v>
      </c>
      <c r="Z36">
        <f t="shared" si="2"/>
        <v>-0.28482201263658091</v>
      </c>
    </row>
    <row r="37" spans="1:26" x14ac:dyDescent="0.25">
      <c r="A37" s="3" t="str">
        <f>_xll.ICEOptionSymbol($B$1,"F","C",$F37)</f>
        <v>EFO 24UC3250-ICN</v>
      </c>
      <c r="B37" s="3">
        <f>_xll.ICEQuote($A37,_xll.ICEFldID(B$5))</f>
        <v>0</v>
      </c>
      <c r="C37" s="3">
        <f>_xll.ICEQuote($A37,_xll.ICEFldID(C$5))</f>
        <v>32.5</v>
      </c>
      <c r="D37" s="3">
        <f>_xll.ICEQuote($A37,_xll.ICEFldID(D$5))</f>
        <v>0.85477479535828937</v>
      </c>
      <c r="E37" s="3">
        <f>_xll.ICEQuote($A37,_xll.ICEFldID(E$5))</f>
        <v>0.98349972262606711</v>
      </c>
      <c r="F37" s="3">
        <f>_xll.ICEOptionStrike($B$1,-69,"F")</f>
        <v>32.5</v>
      </c>
      <c r="G37" s="3" t="str">
        <f>_xll.ICEOptionSymbol($B$1,"F","P",$F37)</f>
        <v>EFO 24UP3250-ICN</v>
      </c>
      <c r="H37" s="3">
        <f>_xll.ICEQuote($G37,_xll.ICEFldID(H$5))</f>
        <v>0</v>
      </c>
      <c r="I37" s="3">
        <f>_xll.ICEQuote($G37,_xll.ICEFldID(I$5))</f>
        <v>32.5</v>
      </c>
      <c r="J37" s="3">
        <f>_xll.ICEQuote($G37,_xll.ICEFldID(J$5))</f>
        <v>0.59133700437413295</v>
      </c>
      <c r="K37" s="3">
        <f>_xll.ICEQuote($G37,_xll.ICEFldID(K$5))</f>
        <v>-1.03632499476273E-3</v>
      </c>
      <c r="L37" s="4">
        <f>_xll.ICETimeline(_xll.ICEJoinRange(M4:W4),"DF[dow:12345][tl:Calendar]","2020-07-26;2024-07-26",1014,-1)</f>
        <v>45457.5</v>
      </c>
      <c r="M37">
        <f>_xll.ICEHistory(M$4,M$5,"DF[dow:12345][tl:Calendar]",$L37)</f>
        <v>70.75</v>
      </c>
      <c r="N37">
        <f>_xll.ICEHistory(M$4,N$5,"DF[dow:12345][tl:Calendar]",$L37)</f>
        <v>71.09</v>
      </c>
      <c r="O37">
        <f>_xll.ICEHistory(M$4,O$5,"DF[dow:12345][tl:Calendar]",$L37)</f>
        <v>68.17</v>
      </c>
      <c r="P37">
        <f>_xll.ICEHistory(M$4,P$5,"DF[dow:12345][tl:Calendar]",$L37)</f>
        <v>68.53</v>
      </c>
      <c r="Q37">
        <f>_xll.ICEHistory(M$4,Q$5,"DF[dow:12345][tl:Calendar]",$L37)</f>
        <v>39670</v>
      </c>
      <c r="R37">
        <f>_xll.ICEHistory(M$4,R$5,"DF[dow:12345][tl:Calendar]",$L37)</f>
        <v>338682</v>
      </c>
      <c r="S37">
        <f>_xll.ICEHistory(S$4,S$5,"DF[dow:12345][tl:Calendar]",$L37)</f>
        <v>35.375</v>
      </c>
      <c r="T37">
        <f>_xll.ICEHistory(S$4,T$5,"DF[dow:12345][tl:Calendar]",$L37)</f>
        <v>36.045000000000002</v>
      </c>
      <c r="U37">
        <f>_xll.ICEHistory(S$4,U$5,"DF[dow:12345][tl:Calendar]",$L37)</f>
        <v>34.85</v>
      </c>
      <c r="V37">
        <f>_xll.ICEHistory(S$4,V$5,"DF[dow:12345][tl:Calendar]",$L37)</f>
        <v>35.36</v>
      </c>
      <c r="W37">
        <f>_xll.ICEHistory(S$4,W$5,"DF[dow:12345][tl:Calendar]",$L37)</f>
        <v>407</v>
      </c>
      <c r="X37">
        <f t="shared" si="0"/>
        <v>4.1536273115220512E-2</v>
      </c>
      <c r="Y37">
        <f t="shared" si="1"/>
        <v>-2.553673167931805E-2</v>
      </c>
      <c r="Z37">
        <f t="shared" si="2"/>
        <v>1.0132542180311597</v>
      </c>
    </row>
    <row r="38" spans="1:26" x14ac:dyDescent="0.25">
      <c r="A38" s="3" t="str">
        <f>_xll.ICEOptionSymbol($B$1,"F","C",$F38)</f>
        <v>EFO 24UC3300-ICN</v>
      </c>
      <c r="B38" s="3">
        <f>_xll.ICEQuote($A38,_xll.ICEFldID(B$5))</f>
        <v>0</v>
      </c>
      <c r="C38" s="3">
        <f>_xll.ICEQuote($A38,_xll.ICEFldID(C$5))</f>
        <v>33</v>
      </c>
      <c r="D38" s="3">
        <f>_xll.ICEQuote($A38,_xll.ICEFldID(D$5))</f>
        <v>0.8365618682160989</v>
      </c>
      <c r="E38" s="3">
        <f>_xll.ICEQuote($A38,_xll.ICEFldID(E$5))</f>
        <v>0.98338126136149984</v>
      </c>
      <c r="F38" s="3">
        <f>_xll.ICEOptionStrike($B$1,-68,"F")</f>
        <v>33</v>
      </c>
      <c r="G38" s="3" t="str">
        <f>_xll.ICEOptionSymbol($B$1,"F","P",$F38)</f>
        <v>EFO 24UP3300-ICN</v>
      </c>
      <c r="H38" s="3">
        <f>_xll.ICEQuote($G38,_xll.ICEFldID(H$5))</f>
        <v>0</v>
      </c>
      <c r="I38" s="3">
        <f>_xll.ICEQuote($G38,_xll.ICEFldID(I$5))</f>
        <v>33</v>
      </c>
      <c r="J38" s="3">
        <f>_xll.ICEQuote($G38,_xll.ICEFldID(J$5))</f>
        <v>0.57950008917554874</v>
      </c>
      <c r="K38" s="3">
        <f>_xll.ICEQuote($G38,_xll.ICEFldID(K$5))</f>
        <v>-1.0572736503044783E-3</v>
      </c>
      <c r="L38" s="4">
        <f>_xll.ICETimeline(_xll.ICEJoinRange(M4:W4),"DF[dow:12345][tl:Calendar]","2020-07-26;2024-07-26",1013,-1)</f>
        <v>45456.5</v>
      </c>
      <c r="M38">
        <f>_xll.ICEHistory(M$4,M$5,"DF[dow:12345][tl:Calendar]",$L38)</f>
        <v>70.3</v>
      </c>
      <c r="N38">
        <f>_xll.ICEHistory(M$4,N$5,"DF[dow:12345][tl:Calendar]",$L38)</f>
        <v>72</v>
      </c>
      <c r="O38">
        <f>_xll.ICEHistory(M$4,O$5,"DF[dow:12345][tl:Calendar]",$L38)</f>
        <v>70.3</v>
      </c>
      <c r="P38">
        <f>_xll.ICEHistory(M$4,P$5,"DF[dow:12345][tl:Calendar]",$L38)</f>
        <v>70.87</v>
      </c>
      <c r="Q38">
        <f>_xll.ICEHistory(M$4,Q$5,"DF[dow:12345][tl:Calendar]",$L38)</f>
        <v>24575</v>
      </c>
      <c r="R38">
        <f>_xll.ICEHistory(M$4,R$5,"DF[dow:12345][tl:Calendar]",$L38)</f>
        <v>334373</v>
      </c>
      <c r="S38">
        <f>_xll.ICEHistory(S$4,S$5,"DF[dow:12345][tl:Calendar]",$L38)</f>
        <v>35.664999999999999</v>
      </c>
      <c r="T38">
        <f>_xll.ICEHistory(S$4,T$5,"DF[dow:12345][tl:Calendar]",$L38)</f>
        <v>36.75</v>
      </c>
      <c r="U38">
        <f>_xll.ICEHistory(S$4,U$5,"DF[dow:12345][tl:Calendar]",$L38)</f>
        <v>35.56</v>
      </c>
      <c r="V38">
        <f>_xll.ICEHistory(S$4,V$5,"DF[dow:12345][tl:Calendar]",$L38)</f>
        <v>35.723999999999997</v>
      </c>
      <c r="W38">
        <f>_xll.ICEHistory(S$4,W$5,"DF[dow:12345][tl:Calendar]",$L38)</f>
        <v>396</v>
      </c>
      <c r="X38">
        <f t="shared" si="0"/>
        <v>2.4199288256227799E-2</v>
      </c>
      <c r="Y38">
        <f t="shared" si="1"/>
        <v>-1.0128095754887296</v>
      </c>
      <c r="Z38">
        <f t="shared" si="2"/>
        <v>-0.50936809351090073</v>
      </c>
    </row>
    <row r="39" spans="1:26" x14ac:dyDescent="0.25">
      <c r="A39" s="3" t="str">
        <f>_xll.ICEOptionSymbol($B$1,"F","C",$F39)</f>
        <v>EFO 24UC3350-ICN</v>
      </c>
      <c r="B39" s="3">
        <f>_xll.ICEQuote($A39,_xll.ICEFldID(B$5))</f>
        <v>0</v>
      </c>
      <c r="C39" s="3">
        <f>_xll.ICEQuote($A39,_xll.ICEFldID(C$5))</f>
        <v>33.5</v>
      </c>
      <c r="D39" s="3">
        <f>_xll.ICEQuote($A39,_xll.ICEFldID(D$5))</f>
        <v>0.81863429577931346</v>
      </c>
      <c r="E39" s="3">
        <f>_xll.ICEQuote($A39,_xll.ICEFldID(E$5))</f>
        <v>0.98326315365643568</v>
      </c>
      <c r="F39" s="3">
        <f>_xll.ICEOptionStrike($B$1,-67,"F")</f>
        <v>33.5</v>
      </c>
      <c r="G39" s="3" t="str">
        <f>_xll.ICEOptionSymbol($B$1,"F","P",$F39)</f>
        <v>EFO 24UP3350-ICN</v>
      </c>
      <c r="H39" s="3">
        <f>_xll.ICEQuote($G39,_xll.ICEFldID(H$5))</f>
        <v>0</v>
      </c>
      <c r="I39" s="3">
        <f>_xll.ICEQuote($G39,_xll.ICEFldID(I$5))</f>
        <v>33.5</v>
      </c>
      <c r="J39" s="3">
        <f>_xll.ICEQuote($G39,_xll.ICEFldID(J$5))</f>
        <v>0.56783731690756778</v>
      </c>
      <c r="K39" s="3">
        <f>_xll.ICEQuote($G39,_xll.ICEFldID(K$5))</f>
        <v>-1.0787355570363818E-3</v>
      </c>
      <c r="L39" s="4">
        <f>_xll.ICETimeline(_xll.ICEJoinRange(M4:W4),"DF[dow:12345][tl:Calendar]","2020-07-26;2024-07-26",1012,-1)</f>
        <v>45455.5</v>
      </c>
      <c r="M39">
        <f>_xll.ICEHistory(M$4,M$5,"DF[dow:12345][tl:Calendar]",$L39)</f>
        <v>70.25</v>
      </c>
      <c r="N39">
        <f>_xll.ICEHistory(M$4,N$5,"DF[dow:12345][tl:Calendar]",$L39)</f>
        <v>71.849999999999994</v>
      </c>
      <c r="O39">
        <f>_xll.ICEHistory(M$4,O$5,"DF[dow:12345][tl:Calendar]",$L39)</f>
        <v>69.97</v>
      </c>
      <c r="P39">
        <f>_xll.ICEHistory(M$4,P$5,"DF[dow:12345][tl:Calendar]",$L39)</f>
        <v>70.3</v>
      </c>
      <c r="Q39">
        <f>_xll.ICEHistory(M$4,Q$5,"DF[dow:12345][tl:Calendar]",$L39)</f>
        <v>23106</v>
      </c>
      <c r="R39">
        <f>_xll.ICEHistory(M$4,R$5,"DF[dow:12345][tl:Calendar]",$L39)</f>
        <v>333805</v>
      </c>
      <c r="S39">
        <f>_xll.ICEHistory(S$4,S$5,"DF[dow:12345][tl:Calendar]",$L39)</f>
        <v>34.055</v>
      </c>
      <c r="T39">
        <f>_xll.ICEHistory(S$4,T$5,"DF[dow:12345][tl:Calendar]",$L39)</f>
        <v>36.024999999999999</v>
      </c>
      <c r="U39">
        <f>_xll.ICEHistory(S$4,U$5,"DF[dow:12345][tl:Calendar]",$L39)</f>
        <v>33.93</v>
      </c>
      <c r="V39">
        <f>_xll.ICEHistory(S$4,V$5,"DF[dow:12345][tl:Calendar]",$L39)</f>
        <v>35.293999999999997</v>
      </c>
      <c r="W39">
        <f>_xll.ICEHistory(S$4,W$5,"DF[dow:12345][tl:Calendar]",$L39)</f>
        <v>426</v>
      </c>
      <c r="X39">
        <f t="shared" si="0"/>
        <v>2.6553672316384117E-2</v>
      </c>
      <c r="Y39">
        <f t="shared" si="1"/>
        <v>-0.90560884113309381</v>
      </c>
      <c r="Z39">
        <f t="shared" si="2"/>
        <v>-0.67213356620868392</v>
      </c>
    </row>
    <row r="40" spans="1:26" x14ac:dyDescent="0.25">
      <c r="A40" s="3" t="str">
        <f>_xll.ICEOptionSymbol($B$1,"F","C",$F40)</f>
        <v>EFO 24UC3400-ICN</v>
      </c>
      <c r="B40" s="3">
        <f>_xll.ICEQuote($A40,_xll.ICEFldID(B$5))</f>
        <v>0</v>
      </c>
      <c r="C40" s="3">
        <f>_xll.ICEQuote($A40,_xll.ICEFldID(C$5))</f>
        <v>34</v>
      </c>
      <c r="D40" s="3">
        <f>_xll.ICEQuote($A40,_xll.ICEFldID(D$5))</f>
        <v>0.80098320839753057</v>
      </c>
      <c r="E40" s="3">
        <f>_xll.ICEQuote($A40,_xll.ICEFldID(E$5))</f>
        <v>0.98314537269067381</v>
      </c>
      <c r="F40" s="3">
        <f>_xll.ICEOptionStrike($B$1,-66,"F")</f>
        <v>34</v>
      </c>
      <c r="G40" s="3" t="str">
        <f>_xll.ICEOptionSymbol($B$1,"F","P",$F40)</f>
        <v>EFO 24UP3400-ICN</v>
      </c>
      <c r="H40" s="3">
        <f>_xll.ICEQuote($G40,_xll.ICEFldID(H$5))</f>
        <v>0</v>
      </c>
      <c r="I40" s="3">
        <f>_xll.ICEQuote($G40,_xll.ICEFldID(I$5))</f>
        <v>34</v>
      </c>
      <c r="J40" s="3">
        <f>_xll.ICEQuote($G40,_xll.ICEFldID(J$5))</f>
        <v>0.55634309023522999</v>
      </c>
      <c r="K40" s="3">
        <f>_xll.ICEQuote($G40,_xll.ICEFldID(K$5))</f>
        <v>-1.1007323771487294E-3</v>
      </c>
      <c r="L40" s="4">
        <f>_xll.ICETimeline(_xll.ICEJoinRange(M4:W4),"DF[dow:12345][tl:Calendar]","2020-07-26;2024-07-26",1011,-1)</f>
        <v>45454.5</v>
      </c>
      <c r="M40">
        <f>_xll.ICEHistory(M$4,M$5,"DF[dow:12345][tl:Calendar]",$L40)</f>
        <v>70.8</v>
      </c>
      <c r="N40">
        <f>_xll.ICEHistory(M$4,N$5,"DF[dow:12345][tl:Calendar]",$L40)</f>
        <v>72.17</v>
      </c>
      <c r="O40">
        <f>_xll.ICEHistory(M$4,O$5,"DF[dow:12345][tl:Calendar]",$L40)</f>
        <v>69.87</v>
      </c>
      <c r="P40">
        <f>_xll.ICEHistory(M$4,P$5,"DF[dow:12345][tl:Calendar]",$L40)</f>
        <v>70.41</v>
      </c>
      <c r="Q40">
        <f>_xll.ICEHistory(M$4,Q$5,"DF[dow:12345][tl:Calendar]",$L40)</f>
        <v>29534</v>
      </c>
      <c r="R40">
        <f>_xll.ICEHistory(M$4,R$5,"DF[dow:12345][tl:Calendar]",$L40)</f>
        <v>333575</v>
      </c>
      <c r="S40">
        <f>_xll.ICEHistory(S$4,S$5,"DF[dow:12345][tl:Calendar]",$L40)</f>
        <v>33.674999999999997</v>
      </c>
      <c r="T40">
        <f>_xll.ICEHistory(S$4,T$5,"DF[dow:12345][tl:Calendar]",$L40)</f>
        <v>35.335000000000001</v>
      </c>
      <c r="U40">
        <f>_xll.ICEHistory(S$4,U$5,"DF[dow:12345][tl:Calendar]",$L40)</f>
        <v>33.58</v>
      </c>
      <c r="V40">
        <f>_xll.ICEHistory(S$4,V$5,"DF[dow:12345][tl:Calendar]",$L40)</f>
        <v>34.284999999999997</v>
      </c>
      <c r="W40">
        <f>_xll.ICEHistory(S$4,W$5,"DF[dow:12345][tl:Calendar]",$L40)</f>
        <v>263</v>
      </c>
      <c r="X40">
        <f t="shared" si="0"/>
        <v>3.2330615687376961E-2</v>
      </c>
      <c r="Y40">
        <f t="shared" si="1"/>
        <v>-0.60025534894057064</v>
      </c>
      <c r="Z40">
        <f t="shared" si="2"/>
        <v>-3.8366820773779758E-2</v>
      </c>
    </row>
    <row r="41" spans="1:26" x14ac:dyDescent="0.25">
      <c r="A41" s="3" t="str">
        <f>_xll.ICEOptionSymbol($B$1,"F","C",$F41)</f>
        <v>EFO 24UC3450-ICN</v>
      </c>
      <c r="B41" s="3">
        <f>_xll.ICEQuote($A41,_xll.ICEFldID(B$5))</f>
        <v>0</v>
      </c>
      <c r="C41" s="3">
        <f>_xll.ICEQuote($A41,_xll.ICEFldID(C$5))</f>
        <v>34.5</v>
      </c>
      <c r="D41" s="3">
        <f>_xll.ICEQuote($A41,_xll.ICEFldID(D$5))</f>
        <v>0.78360014087024954</v>
      </c>
      <c r="E41" s="3">
        <f>_xll.ICEQuote($A41,_xll.ICEFldID(E$5))</f>
        <v>0.9830278914343975</v>
      </c>
      <c r="F41" s="3">
        <f>_xll.ICEOptionStrike($B$1,-65,"F")</f>
        <v>34.5</v>
      </c>
      <c r="G41" s="3" t="str">
        <f>_xll.ICEOptionSymbol($B$1,"F","P",$F41)</f>
        <v>EFO 24UP3450-ICN</v>
      </c>
      <c r="H41" s="3">
        <f>_xll.ICEQuote($G41,_xll.ICEFldID(H$5))</f>
        <v>0</v>
      </c>
      <c r="I41" s="3">
        <f>_xll.ICEQuote($G41,_xll.ICEFldID(I$5))</f>
        <v>34.5</v>
      </c>
      <c r="J41" s="3">
        <f>_xll.ICEQuote($G41,_xll.ICEFldID(J$5))</f>
        <v>0.54501212775484642</v>
      </c>
      <c r="K41" s="3">
        <f>_xll.ICEQuote($G41,_xll.ICEFldID(K$5))</f>
        <v>-1.1232883407805848E-3</v>
      </c>
      <c r="L41" s="4">
        <f>_xll.ICETimeline(_xll.ICEJoinRange(M4:W4),"DF[dow:12345][tl:Calendar]","2020-07-26;2024-07-26",1010,-1)</f>
        <v>45453.5</v>
      </c>
      <c r="M41">
        <f>_xll.ICEHistory(M$4,M$5,"DF[dow:12345][tl:Calendar]",$L41)</f>
        <v>71.14</v>
      </c>
      <c r="N41">
        <f>_xll.ICEHistory(M$4,N$5,"DF[dow:12345][tl:Calendar]",$L41)</f>
        <v>71.2</v>
      </c>
      <c r="O41">
        <f>_xll.ICEHistory(M$4,O$5,"DF[dow:12345][tl:Calendar]",$L41)</f>
        <v>69.28</v>
      </c>
      <c r="P41">
        <f>_xll.ICEHistory(M$4,P$5,"DF[dow:12345][tl:Calendar]",$L41)</f>
        <v>70.91</v>
      </c>
      <c r="Q41">
        <f>_xll.ICEHistory(M$4,Q$5,"DF[dow:12345][tl:Calendar]",$L41)</f>
        <v>31210</v>
      </c>
      <c r="R41">
        <f>_xll.ICEHistory(M$4,R$5,"DF[dow:12345][tl:Calendar]",$L41)</f>
        <v>331242</v>
      </c>
      <c r="S41">
        <f>_xll.ICEHistory(S$4,S$5,"DF[dow:12345][tl:Calendar]",$L41)</f>
        <v>33.005000000000003</v>
      </c>
      <c r="T41">
        <f>_xll.ICEHistory(S$4,T$5,"DF[dow:12345][tl:Calendar]",$L41)</f>
        <v>34.674999999999997</v>
      </c>
      <c r="U41">
        <f>_xll.ICEHistory(S$4,U$5,"DF[dow:12345][tl:Calendar]",$L41)</f>
        <v>32.43</v>
      </c>
      <c r="V41">
        <f>_xll.ICEHistory(S$4,V$5,"DF[dow:12345][tl:Calendar]",$L41)</f>
        <v>34.258000000000003</v>
      </c>
      <c r="W41">
        <f>_xll.ICEHistory(S$4,W$5,"DF[dow:12345][tl:Calendar]",$L41)</f>
        <v>617</v>
      </c>
      <c r="X41">
        <f t="shared" si="0"/>
        <v>2.6707469745444454E-2</v>
      </c>
      <c r="Y41">
        <f t="shared" si="1"/>
        <v>-0.9168838426218584</v>
      </c>
      <c r="Z41">
        <f t="shared" si="2"/>
        <v>0.12667749643893086</v>
      </c>
    </row>
    <row r="42" spans="1:26" x14ac:dyDescent="0.25">
      <c r="A42" s="3" t="str">
        <f>_xll.ICEOptionSymbol($B$1,"F","C",$F42)</f>
        <v>EFO 24UC3500-ICN</v>
      </c>
      <c r="B42" s="3">
        <f>_xll.ICEQuote($A42,_xll.ICEFldID(B$5))</f>
        <v>0</v>
      </c>
      <c r="C42" s="3">
        <f>_xll.ICEQuote($A42,_xll.ICEFldID(C$5))</f>
        <v>35</v>
      </c>
      <c r="D42" s="3">
        <f>_xll.ICEQuote($A42,_xll.ICEFldID(D$5))</f>
        <v>0.7715928771772973</v>
      </c>
      <c r="E42" s="3">
        <f>_xll.ICEQuote($A42,_xll.ICEFldID(E$5))</f>
        <v>0.98246650592798246</v>
      </c>
      <c r="F42" s="3">
        <f>_xll.ICEOptionStrike($B$1,-64,"F")</f>
        <v>35</v>
      </c>
      <c r="G42" s="3" t="str">
        <f>_xll.ICEOptionSymbol($B$1,"F","P",$F42)</f>
        <v>EFO 24UP3500-ICN</v>
      </c>
      <c r="H42" s="3">
        <f>_xll.ICEQuote($G42,_xll.ICEFldID(H$5))</f>
        <v>1000</v>
      </c>
      <c r="I42" s="3">
        <f>_xll.ICEQuote($G42,_xll.ICEFldID(I$5))</f>
        <v>35</v>
      </c>
      <c r="J42" s="3">
        <f>_xll.ICEQuote($G42,_xll.ICEFldID(J$5))</f>
        <v>0.56971204777350526</v>
      </c>
      <c r="K42" s="3">
        <f>_xll.ICEQuote($G42,_xll.ICEFldID(K$5))</f>
        <v>-2.0403823816616384E-3</v>
      </c>
      <c r="L42" s="4">
        <f>_xll.ICETimeline(_xll.ICEJoinRange(M4:W4),"DF[dow:12345][tl:Calendar]","2020-07-26;2024-07-26",1009,-1)</f>
        <v>45450.5</v>
      </c>
      <c r="M42">
        <f>_xll.ICEHistory(M$4,M$5,"DF[dow:12345][tl:Calendar]",$L42)</f>
        <v>71.89</v>
      </c>
      <c r="N42">
        <f>_xll.ICEHistory(M$4,N$5,"DF[dow:12345][tl:Calendar]",$L42)</f>
        <v>71.89</v>
      </c>
      <c r="O42">
        <f>_xll.ICEHistory(M$4,O$5,"DF[dow:12345][tl:Calendar]",$L42)</f>
        <v>71.010000000000005</v>
      </c>
      <c r="P42">
        <f>_xll.ICEHistory(M$4,P$5,"DF[dow:12345][tl:Calendar]",$L42)</f>
        <v>71.42</v>
      </c>
      <c r="Q42">
        <f>_xll.ICEHistory(M$4,Q$5,"DF[dow:12345][tl:Calendar]",$L42)</f>
        <v>19731</v>
      </c>
      <c r="R42">
        <f>_xll.ICEHistory(M$4,R$5,"DF[dow:12345][tl:Calendar]",$L42)</f>
        <v>331118</v>
      </c>
      <c r="S42">
        <f>_xll.ICEHistory(S$4,S$5,"DF[dow:12345][tl:Calendar]",$L42)</f>
        <v>32.884999999999998</v>
      </c>
      <c r="T42">
        <f>_xll.ICEHistory(S$4,T$5,"DF[dow:12345][tl:Calendar]",$L42)</f>
        <v>33.405000000000001</v>
      </c>
      <c r="U42">
        <f>_xll.ICEHistory(S$4,U$5,"DF[dow:12345][tl:Calendar]",$L42)</f>
        <v>32.814999999999998</v>
      </c>
      <c r="V42">
        <f>_xll.ICEHistory(S$4,V$5,"DF[dow:12345][tl:Calendar]",$L42)</f>
        <v>33.109000000000002</v>
      </c>
      <c r="W42">
        <f>_xll.ICEHistory(S$4,W$5,"DF[dow:12345][tl:Calendar]",$L42)</f>
        <v>363</v>
      </c>
      <c r="X42">
        <f t="shared" si="0"/>
        <v>1.225626740947069E-2</v>
      </c>
      <c r="Y42">
        <f t="shared" si="1"/>
        <v>-1.7583558726447059</v>
      </c>
      <c r="Z42">
        <f t="shared" si="2"/>
        <v>-1.0400419462523165</v>
      </c>
    </row>
    <row r="43" spans="1:26" x14ac:dyDescent="0.25">
      <c r="A43" s="3" t="str">
        <f>_xll.ICEOptionSymbol($B$1,"F","C",$F43)</f>
        <v>EFO 24UC3550-ICN</v>
      </c>
      <c r="B43" s="3">
        <f>_xll.ICEQuote($A43,_xll.ICEFldID(B$5))</f>
        <v>0</v>
      </c>
      <c r="C43" s="3">
        <f>_xll.ICEQuote($A43,_xll.ICEFldID(C$5))</f>
        <v>35.5</v>
      </c>
      <c r="D43" s="3">
        <f>_xll.ICEQuote($A43,_xll.ICEFldID(D$5))</f>
        <v>0.7546835068627229</v>
      </c>
      <c r="E43" s="3">
        <f>_xll.ICEQuote($A43,_xll.ICEFldID(E$5))</f>
        <v>0.98233871610885626</v>
      </c>
      <c r="F43" s="3">
        <f>_xll.ICEOptionStrike($B$1,-63,"F")</f>
        <v>35.5</v>
      </c>
      <c r="G43" s="3" t="str">
        <f>_xll.ICEOptionSymbol($B$1,"F","P",$F43)</f>
        <v>EFO 24UP3550-ICN</v>
      </c>
      <c r="H43" s="3">
        <f>_xll.ICEQuote($G43,_xll.ICEFldID(H$5))</f>
        <v>0</v>
      </c>
      <c r="I43" s="3">
        <f>_xll.ICEQuote($G43,_xll.ICEFldID(I$5))</f>
        <v>35.5</v>
      </c>
      <c r="J43" s="3">
        <f>_xll.ICEQuote($G43,_xll.ICEFldID(J$5))</f>
        <v>0.55803039837557222</v>
      </c>
      <c r="K43" s="3">
        <f>_xll.ICEQuote($G43,_xll.ICEFldID(K$5))</f>
        <v>-2.0823584935487052E-3</v>
      </c>
      <c r="L43" s="4">
        <f>_xll.ICETimeline(_xll.ICEJoinRange(M4:W4),"DF[dow:12345][tl:Calendar]","2020-07-26;2024-07-26",1008,-1)</f>
        <v>45449.5</v>
      </c>
      <c r="M43">
        <f>_xll.ICEHistory(M$4,M$5,"DF[dow:12345][tl:Calendar]",$L43)</f>
        <v>71.8</v>
      </c>
      <c r="N43">
        <f>_xll.ICEHistory(M$4,N$5,"DF[dow:12345][tl:Calendar]",$L43)</f>
        <v>73.069999999999993</v>
      </c>
      <c r="O43">
        <f>_xll.ICEHistory(M$4,O$5,"DF[dow:12345][tl:Calendar]",$L43)</f>
        <v>71.25</v>
      </c>
      <c r="P43">
        <f>_xll.ICEHistory(M$4,P$5,"DF[dow:12345][tl:Calendar]",$L43)</f>
        <v>71.53</v>
      </c>
      <c r="Q43">
        <f>_xll.ICEHistory(M$4,Q$5,"DF[dow:12345][tl:Calendar]",$L43)</f>
        <v>23849</v>
      </c>
      <c r="R43">
        <f>_xll.ICEHistory(M$4,R$5,"DF[dow:12345][tl:Calendar]",$L43)</f>
        <v>330186</v>
      </c>
      <c r="S43">
        <f>_xll.ICEHistory(S$4,S$5,"DF[dow:12345][tl:Calendar]",$L43)</f>
        <v>33.225000000000001</v>
      </c>
      <c r="T43">
        <f>_xll.ICEHistory(S$4,T$5,"DF[dow:12345][tl:Calendar]",$L43)</f>
        <v>34.15</v>
      </c>
      <c r="U43">
        <f>_xll.ICEHistory(S$4,U$5,"DF[dow:12345][tl:Calendar]",$L43)</f>
        <v>32.96</v>
      </c>
      <c r="V43">
        <f>_xll.ICEHistory(S$4,V$5,"DF[dow:12345][tl:Calendar]",$L43)</f>
        <v>33.686</v>
      </c>
      <c r="W43">
        <f>_xll.ICEHistory(S$4,W$5,"DF[dow:12345][tl:Calendar]",$L43)</f>
        <v>428</v>
      </c>
      <c r="X43">
        <f t="shared" si="0"/>
        <v>2.5024061597689991E-2</v>
      </c>
      <c r="Y43">
        <f t="shared" si="1"/>
        <v>-1.0875123243719995</v>
      </c>
      <c r="Z43">
        <f t="shared" si="2"/>
        <v>-0.65532148136539825</v>
      </c>
    </row>
    <row r="44" spans="1:26" x14ac:dyDescent="0.25">
      <c r="A44" s="3" t="str">
        <f>_xll.ICEOptionSymbol($B$1,"F","C",$F44)</f>
        <v>EFO 24UC3600-ICN</v>
      </c>
      <c r="B44" s="3">
        <f>_xll.ICEQuote($A44,_xll.ICEFldID(B$5))</f>
        <v>0</v>
      </c>
      <c r="C44" s="3">
        <f>_xll.ICEQuote($A44,_xll.ICEFldID(C$5))</f>
        <v>36</v>
      </c>
      <c r="D44" s="3">
        <f>_xll.ICEQuote($A44,_xll.ICEFldID(D$5))</f>
        <v>0.73801960422604951</v>
      </c>
      <c r="E44" s="3">
        <f>_xll.ICEQuote($A44,_xll.ICEFldID(E$5))</f>
        <v>0.98221081903721719</v>
      </c>
      <c r="F44" s="3">
        <f>_xll.ICEOptionStrike($B$1,-62,"F")</f>
        <v>36</v>
      </c>
      <c r="G44" s="3" t="str">
        <f>_xll.ICEOptionSymbol($B$1,"F","P",$F44)</f>
        <v>EFO 24UP3600-ICN</v>
      </c>
      <c r="H44" s="3">
        <f>_xll.ICEQuote($G44,_xll.ICEFldID(H$5))</f>
        <v>0</v>
      </c>
      <c r="I44" s="3">
        <f>_xll.ICEQuote($G44,_xll.ICEFldID(I$5))</f>
        <v>36</v>
      </c>
      <c r="J44" s="3">
        <f>_xll.ICEQuote($G44,_xll.ICEFldID(J$5))</f>
        <v>0.54650613350504196</v>
      </c>
      <c r="K44" s="3">
        <f>_xll.ICEQuote($G44,_xll.ICEFldID(K$5))</f>
        <v>-2.1254509608367219E-3</v>
      </c>
      <c r="L44" s="4">
        <f>_xll.ICETimeline(_xll.ICEJoinRange(M4:W4),"DF[dow:12345][tl:Calendar]","2020-07-26;2024-07-26",1007,-1)</f>
        <v>45448.5</v>
      </c>
      <c r="M44">
        <f>_xll.ICEHistory(M$4,M$5,"DF[dow:12345][tl:Calendar]",$L44)</f>
        <v>72.73</v>
      </c>
      <c r="N44">
        <f>_xll.ICEHistory(M$4,N$5,"DF[dow:12345][tl:Calendar]",$L44)</f>
        <v>73.319999999999993</v>
      </c>
      <c r="O44">
        <f>_xll.ICEHistory(M$4,O$5,"DF[dow:12345][tl:Calendar]",$L44)</f>
        <v>70.94</v>
      </c>
      <c r="P44">
        <f>_xll.ICEHistory(M$4,P$5,"DF[dow:12345][tl:Calendar]",$L44)</f>
        <v>72</v>
      </c>
      <c r="Q44">
        <f>_xll.ICEHistory(M$4,Q$5,"DF[dow:12345][tl:Calendar]",$L44)</f>
        <v>31344</v>
      </c>
      <c r="R44">
        <f>_xll.ICEHistory(M$4,R$5,"DF[dow:12345][tl:Calendar]",$L44)</f>
        <v>330342</v>
      </c>
      <c r="S44">
        <f>_xll.ICEHistory(S$4,S$5,"DF[dow:12345][tl:Calendar]",$L44)</f>
        <v>33.75</v>
      </c>
      <c r="T44">
        <f>_xll.ICEHistory(S$4,T$5,"DF[dow:12345][tl:Calendar]",$L44)</f>
        <v>34.380000000000003</v>
      </c>
      <c r="U44">
        <f>_xll.ICEHistory(S$4,U$5,"DF[dow:12345][tl:Calendar]",$L44)</f>
        <v>33.174999999999997</v>
      </c>
      <c r="V44">
        <f>_xll.ICEHistory(S$4,V$5,"DF[dow:12345][tl:Calendar]",$L44)</f>
        <v>33.354999999999997</v>
      </c>
      <c r="W44">
        <f>_xll.ICEHistory(S$4,W$5,"DF[dow:12345][tl:Calendar]",$L44)</f>
        <v>1080</v>
      </c>
      <c r="X44">
        <f t="shared" si="0"/>
        <v>3.1916320236019792E-2</v>
      </c>
      <c r="Y44">
        <f t="shared" si="1"/>
        <v>-0.72071557110725137</v>
      </c>
      <c r="Z44">
        <f t="shared" si="2"/>
        <v>5.047480636091934E-2</v>
      </c>
    </row>
    <row r="45" spans="1:26" x14ac:dyDescent="0.25">
      <c r="A45" s="3" t="str">
        <f>_xll.ICEOptionSymbol($B$1,"F","C",$F45)</f>
        <v>EFO 24UC3650-ICN</v>
      </c>
      <c r="B45" s="3">
        <f>_xll.ICEQuote($A45,_xll.ICEFldID(B$5))</f>
        <v>0</v>
      </c>
      <c r="C45" s="3">
        <f>_xll.ICEQuote($A45,_xll.ICEFldID(C$5))</f>
        <v>36.5</v>
      </c>
      <c r="D45" s="3">
        <f>_xll.ICEQuote($A45,_xll.ICEFldID(D$5))</f>
        <v>0.72159406991139607</v>
      </c>
      <c r="E45" s="3">
        <f>_xll.ICEQuote($A45,_xll.ICEFldID(E$5))</f>
        <v>0.98208276977295716</v>
      </c>
      <c r="F45" s="3">
        <f>_xll.ICEOptionStrike($B$1,-61,"F")</f>
        <v>36.5</v>
      </c>
      <c r="G45" s="3" t="str">
        <f>_xll.ICEOptionSymbol($B$1,"F","P",$F45)</f>
        <v>EFO 24UP3650-ICN</v>
      </c>
      <c r="H45" s="3">
        <f>_xll.ICEQuote($G45,_xll.ICEFldID(H$5))</f>
        <v>0</v>
      </c>
      <c r="I45" s="3">
        <f>_xll.ICEQuote($G45,_xll.ICEFldID(I$5))</f>
        <v>36.5</v>
      </c>
      <c r="J45" s="3">
        <f>_xll.ICEQuote($G45,_xll.ICEFldID(J$5))</f>
        <v>0.53513445059123743</v>
      </c>
      <c r="K45" s="3">
        <f>_xll.ICEQuote($G45,_xll.ICEFldID(K$5))</f>
        <v>-2.1697110531334637E-3</v>
      </c>
      <c r="L45" s="4">
        <f>_xll.ICETimeline(_xll.ICEJoinRange(M4:W4),"DF[dow:12345][tl:Calendar]","2020-07-26;2024-07-26",1006,-1)</f>
        <v>45447.5</v>
      </c>
      <c r="M45">
        <f>_xll.ICEHistory(M$4,M$5,"DF[dow:12345][tl:Calendar]",$L45)</f>
        <v>74.569999999999993</v>
      </c>
      <c r="N45">
        <f>_xll.ICEHistory(M$4,N$5,"DF[dow:12345][tl:Calendar]",$L45)</f>
        <v>74.709999999999994</v>
      </c>
      <c r="O45">
        <f>_xll.ICEHistory(M$4,O$5,"DF[dow:12345][tl:Calendar]",$L45)</f>
        <v>72.27</v>
      </c>
      <c r="P45">
        <f>_xll.ICEHistory(M$4,P$5,"DF[dow:12345][tl:Calendar]",$L45)</f>
        <v>72.58</v>
      </c>
      <c r="Q45">
        <f>_xll.ICEHistory(M$4,Q$5,"DF[dow:12345][tl:Calendar]",$L45)</f>
        <v>34073</v>
      </c>
      <c r="R45">
        <f>_xll.ICEHistory(M$4,R$5,"DF[dow:12345][tl:Calendar]",$L45)</f>
        <v>330000</v>
      </c>
      <c r="S45">
        <f>_xll.ICEHistory(S$4,S$5,"DF[dow:12345][tl:Calendar]",$L45)</f>
        <v>36.075000000000003</v>
      </c>
      <c r="T45">
        <f>_xll.ICEHistory(S$4,T$5,"DF[dow:12345][tl:Calendar]",$L45)</f>
        <v>36.479999999999997</v>
      </c>
      <c r="U45">
        <f>_xll.ICEHistory(S$4,U$5,"DF[dow:12345][tl:Calendar]",$L45)</f>
        <v>33.69</v>
      </c>
      <c r="V45">
        <f>_xll.ICEHistory(S$4,V$5,"DF[dow:12345][tl:Calendar]",$L45)</f>
        <v>33.796999999999997</v>
      </c>
      <c r="W45">
        <f>_xll.ICEHistory(S$4,W$5,"DF[dow:12345][tl:Calendar]",$L45)</f>
        <v>931</v>
      </c>
      <c r="X45">
        <f t="shared" si="0"/>
        <v>3.2795698924731151E-2</v>
      </c>
      <c r="Y45">
        <f t="shared" si="1"/>
        <v>-0.69209062661400367</v>
      </c>
      <c r="Z45">
        <f t="shared" si="2"/>
        <v>0.25865077607155379</v>
      </c>
    </row>
    <row r="46" spans="1:26" x14ac:dyDescent="0.25">
      <c r="A46" s="3" t="str">
        <f>_xll.ICEOptionSymbol($B$1,"F","C",$F46)</f>
        <v>EFO 24UC3700-ICN</v>
      </c>
      <c r="B46" s="3">
        <f>_xll.ICEQuote($A46,_xll.ICEFldID(B$5))</f>
        <v>0</v>
      </c>
      <c r="C46" s="3">
        <f>_xll.ICEQuote($A46,_xll.ICEFldID(C$5))</f>
        <v>37</v>
      </c>
      <c r="D46" s="3">
        <f>_xll.ICEQuote($A46,_xll.ICEFldID(D$5))</f>
        <v>0.71022629343034893</v>
      </c>
      <c r="E46" s="3">
        <f>_xll.ICEQuote($A46,_xll.ICEFldID(E$5))</f>
        <v>0.98147229700068317</v>
      </c>
      <c r="F46" s="3">
        <f>_xll.ICEOptionStrike($B$1,-60,"F")</f>
        <v>37</v>
      </c>
      <c r="G46" s="3" t="str">
        <f>_xll.ICEOptionSymbol($B$1,"F","P",$F46)</f>
        <v>EFO 24UP3700-ICN</v>
      </c>
      <c r="H46" s="3">
        <f>_xll.ICEQuote($G46,_xll.ICEFldID(H$5))</f>
        <v>0</v>
      </c>
      <c r="I46" s="3">
        <f>_xll.ICEQuote($G46,_xll.ICEFldID(I$5))</f>
        <v>37</v>
      </c>
      <c r="J46" s="3">
        <f>_xll.ICEQuote($G46,_xll.ICEFldID(J$5))</f>
        <v>0.54624066797705684</v>
      </c>
      <c r="K46" s="3">
        <f>_xll.ICEQuote($G46,_xll.ICEFldID(K$5))</f>
        <v>-3.0856638400716969E-3</v>
      </c>
      <c r="L46" s="4">
        <f>_xll.ICETimeline(_xll.ICEJoinRange(M4:W4),"DF[dow:12345][tl:Calendar]","2020-07-26;2024-07-26",1005,-1)</f>
        <v>45446.5</v>
      </c>
      <c r="M46">
        <f>_xll.ICEHistory(M$4,M$5,"DF[dow:12345][tl:Calendar]",$L46)</f>
        <v>74.400000000000006</v>
      </c>
      <c r="N46">
        <f>_xll.ICEHistory(M$4,N$5,"DF[dow:12345][tl:Calendar]",$L46)</f>
        <v>77.81</v>
      </c>
      <c r="O46">
        <f>_xll.ICEHistory(M$4,O$5,"DF[dow:12345][tl:Calendar]",$L46)</f>
        <v>74.23</v>
      </c>
      <c r="P46">
        <f>_xll.ICEHistory(M$4,P$5,"DF[dow:12345][tl:Calendar]",$L46)</f>
        <v>74.63</v>
      </c>
      <c r="Q46">
        <f>_xll.ICEHistory(M$4,Q$5,"DF[dow:12345][tl:Calendar]",$L46)</f>
        <v>33956</v>
      </c>
      <c r="R46">
        <f>_xll.ICEHistory(M$4,R$5,"DF[dow:12345][tl:Calendar]",$L46)</f>
        <v>330170</v>
      </c>
      <c r="S46">
        <f>_xll.ICEHistory(S$4,S$5,"DF[dow:12345][tl:Calendar]",$L46)</f>
        <v>36.229999999999997</v>
      </c>
      <c r="T46">
        <f>_xll.ICEHistory(S$4,T$5,"DF[dow:12345][tl:Calendar]",$L46)</f>
        <v>38.5</v>
      </c>
      <c r="U46">
        <f>_xll.ICEHistory(S$4,U$5,"DF[dow:12345][tl:Calendar]",$L46)</f>
        <v>35.695</v>
      </c>
      <c r="V46">
        <f>_xll.ICEHistory(S$4,V$5,"DF[dow:12345][tl:Calendar]",$L46)</f>
        <v>36.014000000000003</v>
      </c>
      <c r="W46">
        <f>_xll.ICEHistory(S$4,W$5,"DF[dow:12345][tl:Calendar]",$L46)</f>
        <v>427</v>
      </c>
      <c r="X46">
        <f t="shared" si="0"/>
        <v>4.7429782723900346E-2</v>
      </c>
      <c r="Y46">
        <f t="shared" si="1"/>
        <v>8.5201466213149071E-2</v>
      </c>
      <c r="Z46">
        <f t="shared" si="2"/>
        <v>0.23809996511477491</v>
      </c>
    </row>
    <row r="47" spans="1:26" x14ac:dyDescent="0.25">
      <c r="A47" s="3" t="str">
        <f>_xll.ICEOptionSymbol($B$1,"F","C",$F47)</f>
        <v>EFO 24UC3750-ICN</v>
      </c>
      <c r="B47" s="3">
        <f>_xll.ICEQuote($A47,_xll.ICEFldID(B$5))</f>
        <v>0</v>
      </c>
      <c r="C47" s="3">
        <f>_xll.ICEQuote($A47,_xll.ICEFldID(C$5))</f>
        <v>37.5</v>
      </c>
      <c r="D47" s="3">
        <f>_xll.ICEQuote($A47,_xll.ICEFldID(D$5))</f>
        <v>0.69422025459169534</v>
      </c>
      <c r="E47" s="3">
        <f>_xll.ICEQuote($A47,_xll.ICEFldID(E$5))</f>
        <v>0.9813318626776304</v>
      </c>
      <c r="F47" s="3">
        <f>_xll.ICEOptionStrike($B$1,-59,"F")</f>
        <v>37.5</v>
      </c>
      <c r="G47" s="3" t="str">
        <f>_xll.ICEOptionSymbol($B$1,"F","P",$F47)</f>
        <v>EFO 24UP3750-ICN</v>
      </c>
      <c r="H47" s="3">
        <f>_xll.ICEQuote($G47,_xll.ICEFldID(H$5))</f>
        <v>0</v>
      </c>
      <c r="I47" s="3">
        <f>_xll.ICEQuote($G47,_xll.ICEFldID(I$5))</f>
        <v>37.5</v>
      </c>
      <c r="J47" s="3">
        <f>_xll.ICEQuote($G47,_xll.ICEFldID(J$5))</f>
        <v>0.53474429729879325</v>
      </c>
      <c r="K47" s="3">
        <f>_xll.ICEQuote($G47,_xll.ICEFldID(K$5))</f>
        <v>-3.1504601105091638E-3</v>
      </c>
      <c r="L47" s="4">
        <f>_xll.ICETimeline(_xll.ICEJoinRange(M4:W4),"DF[dow:12345][tl:Calendar]","2020-07-26;2024-07-26",1004,-1)</f>
        <v>45443.5</v>
      </c>
      <c r="M47">
        <f>_xll.ICEHistory(M$4,M$5,"DF[dow:12345][tl:Calendar]",$L47)</f>
        <v>75.48</v>
      </c>
      <c r="N47">
        <f>_xll.ICEHistory(M$4,N$5,"DF[dow:12345][tl:Calendar]",$L47)</f>
        <v>76.48</v>
      </c>
      <c r="O47">
        <f>_xll.ICEHistory(M$4,O$5,"DF[dow:12345][tl:Calendar]",$L47)</f>
        <v>73.849999999999994</v>
      </c>
      <c r="P47">
        <f>_xll.ICEHistory(M$4,P$5,"DF[dow:12345][tl:Calendar]",$L47)</f>
        <v>74.069999999999993</v>
      </c>
      <c r="Q47">
        <f>_xll.ICEHistory(M$4,Q$5,"DF[dow:12345][tl:Calendar]",$L47)</f>
        <v>24059</v>
      </c>
      <c r="R47">
        <f>_xll.ICEHistory(M$4,R$5,"DF[dow:12345][tl:Calendar]",$L47)</f>
        <v>329627</v>
      </c>
      <c r="S47">
        <f>_xll.ICEHistory(S$4,S$5,"DF[dow:12345][tl:Calendar]",$L47)</f>
        <v>35.28</v>
      </c>
      <c r="T47">
        <f>_xll.ICEHistory(S$4,T$5,"DF[dow:12345][tl:Calendar]",$L47)</f>
        <v>35.700000000000003</v>
      </c>
      <c r="U47">
        <f>_xll.ICEHistory(S$4,U$5,"DF[dow:12345][tl:Calendar]",$L47)</f>
        <v>34.130000000000003</v>
      </c>
      <c r="V47">
        <f>_xll.ICEHistory(S$4,V$5,"DF[dow:12345][tl:Calendar]",$L47)</f>
        <v>34.222999999999999</v>
      </c>
      <c r="W47">
        <f>_xll.ICEHistory(S$4,W$5,"DF[dow:12345][tl:Calendar]",$L47)</f>
        <v>370</v>
      </c>
      <c r="X47">
        <f t="shared" si="0"/>
        <v>3.5641685865293531E-2</v>
      </c>
      <c r="Y47">
        <f t="shared" si="1"/>
        <v>-0.57116975601274611</v>
      </c>
      <c r="Z47">
        <f t="shared" si="2"/>
        <v>-0.65052919901838224</v>
      </c>
    </row>
    <row r="48" spans="1:26" x14ac:dyDescent="0.25">
      <c r="A48" s="3" t="str">
        <f>_xll.ICEOptionSymbol($B$1,"F","C",$F48)</f>
        <v>EFO 24UC3800-ICN</v>
      </c>
      <c r="B48" s="3">
        <f>_xll.ICEQuote($A48,_xll.ICEFldID(B$5))</f>
        <v>0</v>
      </c>
      <c r="C48" s="3">
        <f>_xll.ICEQuote($A48,_xll.ICEFldID(C$5))</f>
        <v>38</v>
      </c>
      <c r="D48" s="3">
        <f>_xll.ICEQuote($A48,_xll.ICEFldID(D$5))</f>
        <v>0.67843352107779442</v>
      </c>
      <c r="E48" s="3">
        <f>_xll.ICEQuote($A48,_xll.ICEFldID(E$5))</f>
        <v>0.98119074975563558</v>
      </c>
      <c r="F48" s="3">
        <f>_xll.ICEOptionStrike($B$1,-58,"F")</f>
        <v>38</v>
      </c>
      <c r="G48" s="3" t="str">
        <f>_xll.ICEOptionSymbol($B$1,"F","P",$F48)</f>
        <v>EFO 24UP3800-ICN</v>
      </c>
      <c r="H48" s="3">
        <f>_xll.ICEQuote($G48,_xll.ICEFldID(H$5))</f>
        <v>0</v>
      </c>
      <c r="I48" s="3">
        <f>_xll.ICEQuote($G48,_xll.ICEFldID(I$5))</f>
        <v>38</v>
      </c>
      <c r="J48" s="3">
        <f>_xll.ICEQuote($G48,_xll.ICEFldID(J$5))</f>
        <v>0.52339228804119808</v>
      </c>
      <c r="K48" s="3">
        <f>_xll.ICEQuote($G48,_xll.ICEFldID(K$5))</f>
        <v>-3.2171026741931751E-3</v>
      </c>
      <c r="L48" s="4">
        <f>_xll.ICETimeline(_xll.ICEJoinRange(M4:W4),"DF[dow:12345][tl:Calendar]","2020-07-26;2024-07-26",1003,-1)</f>
        <v>45442.5</v>
      </c>
      <c r="M48">
        <f>_xll.ICEHistory(M$4,M$5,"DF[dow:12345][tl:Calendar]",$L48)</f>
        <v>73.790000000000006</v>
      </c>
      <c r="N48">
        <f>_xll.ICEHistory(M$4,N$5,"DF[dow:12345][tl:Calendar]",$L48)</f>
        <v>75.91</v>
      </c>
      <c r="O48">
        <f>_xll.ICEHistory(M$4,O$5,"DF[dow:12345][tl:Calendar]",$L48)</f>
        <v>73.37</v>
      </c>
      <c r="P48">
        <f>_xll.ICEHistory(M$4,P$5,"DF[dow:12345][tl:Calendar]",$L48)</f>
        <v>75.2</v>
      </c>
      <c r="Q48">
        <f>_xll.ICEHistory(M$4,Q$5,"DF[dow:12345][tl:Calendar]",$L48)</f>
        <v>24171</v>
      </c>
      <c r="R48">
        <f>_xll.ICEHistory(M$4,R$5,"DF[dow:12345][tl:Calendar]",$L48)</f>
        <v>329425</v>
      </c>
      <c r="S48">
        <f>_xll.ICEHistory(S$4,S$5,"DF[dow:12345][tl:Calendar]",$L48)</f>
        <v>33.875</v>
      </c>
      <c r="T48">
        <f>_xll.ICEHistory(S$4,T$5,"DF[dow:12345][tl:Calendar]",$L48)</f>
        <v>35.192</v>
      </c>
      <c r="U48">
        <f>_xll.ICEHistory(S$4,U$5,"DF[dow:12345][tl:Calendar]",$L48)</f>
        <v>33.6</v>
      </c>
      <c r="V48">
        <f>_xll.ICEHistory(S$4,V$5,"DF[dow:12345][tl:Calendar]",$L48)</f>
        <v>35.192</v>
      </c>
      <c r="W48">
        <f>_xll.ICEHistory(S$4,W$5,"DF[dow:12345][tl:Calendar]",$L48)</f>
        <v>62</v>
      </c>
      <c r="X48">
        <f t="shared" si="0"/>
        <v>3.409395973154352E-2</v>
      </c>
      <c r="Y48">
        <f t="shared" si="1"/>
        <v>-0.64845755509448622</v>
      </c>
      <c r="Z48">
        <f t="shared" si="2"/>
        <v>-0.65588701881670541</v>
      </c>
    </row>
    <row r="49" spans="1:26" x14ac:dyDescent="0.25">
      <c r="A49" s="3" t="str">
        <f>_xll.ICEOptionSymbol($B$1,"F","C",$F49)</f>
        <v>EFO 24UC3850-ICN</v>
      </c>
      <c r="B49" s="3">
        <f>_xll.ICEQuote($A49,_xll.ICEFldID(B$5))</f>
        <v>0</v>
      </c>
      <c r="C49" s="3">
        <f>_xll.ICEQuote($A49,_xll.ICEFldID(C$5))</f>
        <v>38.5</v>
      </c>
      <c r="D49" s="3">
        <f>_xll.ICEQuote($A49,_xll.ICEFldID(D$5))</f>
        <v>0.66744414276195885</v>
      </c>
      <c r="E49" s="3">
        <f>_xll.ICEQuote($A49,_xll.ICEFldID(E$5))</f>
        <v>0.98053743736894206</v>
      </c>
      <c r="F49" s="3">
        <f>_xll.ICEOptionStrike($B$1,-57,"F")</f>
        <v>38.5</v>
      </c>
      <c r="G49" s="3" t="str">
        <f>_xll.ICEOptionSymbol($B$1,"F","P",$F49)</f>
        <v>EFO 24UP3850-ICN</v>
      </c>
      <c r="H49" s="3">
        <f>_xll.ICEQuote($G49,_xll.ICEFldID(H$5))</f>
        <v>0</v>
      </c>
      <c r="I49" s="3">
        <f>_xll.ICEQuote($G49,_xll.ICEFldID(I$5))</f>
        <v>38.5</v>
      </c>
      <c r="J49" s="3">
        <f>_xll.ICEQuote($G49,_xll.ICEFldID(J$5))</f>
        <v>0.52860790329804541</v>
      </c>
      <c r="K49" s="3">
        <f>_xll.ICEQuote($G49,_xll.ICEFldID(K$5))</f>
        <v>-4.144234007420749E-3</v>
      </c>
      <c r="L49" s="4">
        <f>_xll.ICETimeline(_xll.ICEJoinRange(M4:W4),"DF[dow:12345][tl:Calendar]","2020-07-26;2024-07-26",1002,-1)</f>
        <v>45441.5</v>
      </c>
      <c r="M49">
        <f>_xll.ICEHistory(M$4,M$5,"DF[dow:12345][tl:Calendar]",$L49)</f>
        <v>74.5</v>
      </c>
      <c r="N49">
        <f>_xll.ICEHistory(M$4,N$5,"DF[dow:12345][tl:Calendar]",$L49)</f>
        <v>75.599999999999994</v>
      </c>
      <c r="O49">
        <f>_xll.ICEHistory(M$4,O$5,"DF[dow:12345][tl:Calendar]",$L49)</f>
        <v>72.95</v>
      </c>
      <c r="P49">
        <f>_xll.ICEHistory(M$4,P$5,"DF[dow:12345][tl:Calendar]",$L49)</f>
        <v>73.95</v>
      </c>
      <c r="Q49">
        <f>_xll.ICEHistory(M$4,Q$5,"DF[dow:12345][tl:Calendar]",$L49)</f>
        <v>21814</v>
      </c>
      <c r="R49">
        <f>_xll.ICEHistory(M$4,R$5,"DF[dow:12345][tl:Calendar]",$L49)</f>
        <v>329544</v>
      </c>
      <c r="S49">
        <f>_xll.ICEHistory(S$4,S$5,"DF[dow:12345][tl:Calendar]",$L49)</f>
        <v>34.134999999999998</v>
      </c>
      <c r="T49">
        <f>_xll.ICEHistory(S$4,T$5,"DF[dow:12345][tl:Calendar]",$L49)</f>
        <v>34.299999999999997</v>
      </c>
      <c r="U49">
        <f>_xll.ICEHistory(S$4,U$5,"DF[dow:12345][tl:Calendar]",$L49)</f>
        <v>33.4</v>
      </c>
      <c r="V49">
        <f>_xll.ICEHistory(S$4,V$5,"DF[dow:12345][tl:Calendar]",$L49)</f>
        <v>33.878999999999998</v>
      </c>
      <c r="W49">
        <f>_xll.ICEHistory(S$4,W$5,"DF[dow:12345][tl:Calendar]",$L49)</f>
        <v>167</v>
      </c>
      <c r="X49">
        <f t="shared" si="0"/>
        <v>3.4868421052631465E-2</v>
      </c>
      <c r="Y49">
        <f t="shared" si="1"/>
        <v>-0.61917232301532599</v>
      </c>
      <c r="Z49">
        <f t="shared" si="2"/>
        <v>-0.89232928261180111</v>
      </c>
    </row>
    <row r="50" spans="1:26" x14ac:dyDescent="0.25">
      <c r="A50" s="3" t="str">
        <f>_xll.ICEOptionSymbol($B$1,"F","C",$F50)</f>
        <v>EFO 24UC3900-ICN</v>
      </c>
      <c r="B50" s="3">
        <f>_xll.ICEQuote($A50,_xll.ICEFldID(B$5))</f>
        <v>0</v>
      </c>
      <c r="C50" s="3">
        <f>_xll.ICEQuote($A50,_xll.ICEFldID(C$5))</f>
        <v>39</v>
      </c>
      <c r="D50" s="3">
        <f>_xll.ICEQuote($A50,_xll.ICEFldID(D$5))</f>
        <v>0.65204148229001457</v>
      </c>
      <c r="E50" s="3">
        <f>_xll.ICEQuote($A50,_xll.ICEFldID(E$5))</f>
        <v>0.98038191053480306</v>
      </c>
      <c r="F50" s="3">
        <f>_xll.ICEOptionStrike($B$1,-56,"F")</f>
        <v>39</v>
      </c>
      <c r="G50" s="3" t="str">
        <f>_xll.ICEOptionSymbol($B$1,"F","P",$F50)</f>
        <v>EFO 24UP3900-ICN</v>
      </c>
      <c r="H50" s="3">
        <f>_xll.ICEQuote($G50,_xll.ICEFldID(H$5))</f>
        <v>0</v>
      </c>
      <c r="I50" s="3">
        <f>_xll.ICEQuote($G50,_xll.ICEFldID(I$5))</f>
        <v>39</v>
      </c>
      <c r="J50" s="3">
        <f>_xll.ICEQuote($G50,_xll.ICEFldID(J$5))</f>
        <v>0.51722244745276214</v>
      </c>
      <c r="K50" s="3">
        <f>_xll.ICEQuote($G50,_xll.ICEFldID(K$5))</f>
        <v>-4.2329000925690917E-3</v>
      </c>
      <c r="L50" s="4">
        <f>_xll.ICETimeline(_xll.ICEJoinRange(M4:W4),"DF[dow:12345][tl:Calendar]","2020-07-26;2024-07-26",1001,-1)</f>
        <v>45440.5</v>
      </c>
      <c r="M50">
        <f>_xll.ICEHistory(M$4,M$5,"DF[dow:12345][tl:Calendar]",$L50)</f>
        <v>76</v>
      </c>
      <c r="N50">
        <f>_xll.ICEHistory(M$4,N$5,"DF[dow:12345][tl:Calendar]",$L50)</f>
        <v>76.25</v>
      </c>
      <c r="O50">
        <f>_xll.ICEHistory(M$4,O$5,"DF[dow:12345][tl:Calendar]",$L50)</f>
        <v>74.09</v>
      </c>
      <c r="P50">
        <f>_xll.ICEHistory(M$4,P$5,"DF[dow:12345][tl:Calendar]",$L50)</f>
        <v>74.599999999999994</v>
      </c>
      <c r="Q50">
        <f>_xll.ICEHistory(M$4,Q$5,"DF[dow:12345][tl:Calendar]",$L50)</f>
        <v>27537</v>
      </c>
      <c r="R50">
        <f>_xll.ICEHistory(M$4,R$5,"DF[dow:12345][tl:Calendar]",$L50)</f>
        <v>329293</v>
      </c>
      <c r="S50">
        <f>_xll.ICEHistory(S$4,S$5,"DF[dow:12345][tl:Calendar]",$L50)</f>
        <v>34.409999999999997</v>
      </c>
      <c r="T50">
        <f>_xll.ICEHistory(S$4,T$5,"DF[dow:12345][tl:Calendar]",$L50)</f>
        <v>34.799999999999997</v>
      </c>
      <c r="U50">
        <f>_xll.ICEHistory(S$4,U$5,"DF[dow:12345][tl:Calendar]",$L50)</f>
        <v>33.380000000000003</v>
      </c>
      <c r="V50">
        <f>_xll.ICEHistory(S$4,V$5,"DF[dow:12345][tl:Calendar]",$L50)</f>
        <v>33.533999999999999</v>
      </c>
      <c r="W50">
        <f>_xll.ICEHistory(S$4,W$5,"DF[dow:12345][tl:Calendar]",$L50)</f>
        <v>159</v>
      </c>
      <c r="X50">
        <f t="shared" si="0"/>
        <v>2.8533685601056756E-2</v>
      </c>
      <c r="Y50">
        <f t="shared" si="1"/>
        <v>-0.97810695696409766</v>
      </c>
      <c r="Z50">
        <f t="shared" si="2"/>
        <v>-0.39702375987082827</v>
      </c>
    </row>
    <row r="51" spans="1:26" x14ac:dyDescent="0.25">
      <c r="A51" s="3" t="str">
        <f>_xll.ICEOptionSymbol($B$1,"F","C",$F51)</f>
        <v>EFO 24UC3950-ICN</v>
      </c>
      <c r="B51" s="3">
        <f>_xll.ICEQuote($A51,_xll.ICEFldID(B$5))</f>
        <v>0</v>
      </c>
      <c r="C51" s="3">
        <f>_xll.ICEQuote($A51,_xll.ICEFldID(C$5))</f>
        <v>39.5</v>
      </c>
      <c r="D51" s="3">
        <f>_xll.ICEQuote($A51,_xll.ICEFldID(D$5))</f>
        <v>0.63684116066861829</v>
      </c>
      <c r="E51" s="3">
        <f>_xll.ICEQuote($A51,_xll.ICEFldID(E$5))</f>
        <v>0.98022504545439637</v>
      </c>
      <c r="F51" s="3">
        <f>_xll.ICEOptionStrike($B$1,-55,"F")</f>
        <v>39.5</v>
      </c>
      <c r="G51" s="3" t="str">
        <f>_xll.ICEOptionSymbol($B$1,"F","P",$F51)</f>
        <v>EFO 24UP3950-ICN</v>
      </c>
      <c r="H51" s="3">
        <f>_xll.ICEQuote($G51,_xll.ICEFldID(H$5))</f>
        <v>0</v>
      </c>
      <c r="I51" s="3">
        <f>_xll.ICEQuote($G51,_xll.ICEFldID(I$5))</f>
        <v>39.5</v>
      </c>
      <c r="J51" s="3">
        <f>_xll.ICEQuote($G51,_xll.ICEFldID(J$5))</f>
        <v>0.50597253468593295</v>
      </c>
      <c r="K51" s="3">
        <f>_xll.ICEQuote($G51,_xll.ICEFldID(K$5))</f>
        <v>-4.3242329135721553E-3</v>
      </c>
      <c r="L51" s="4">
        <f>_xll.ICETimeline(_xll.ICEJoinRange(M4:W4),"DF[dow:12345][tl:Calendar]","2020-07-26;2024-07-26",1000,-1)</f>
        <v>45439.5</v>
      </c>
      <c r="M51">
        <f>_xll.ICEHistory(M$4,M$5,"DF[dow:12345][tl:Calendar]",$L51)</f>
        <v>75.7</v>
      </c>
      <c r="N51">
        <f>_xll.ICEHistory(M$4,N$5,"DF[dow:12345][tl:Calendar]",$L51)</f>
        <v>77</v>
      </c>
      <c r="O51">
        <f>_xll.ICEHistory(M$4,O$5,"DF[dow:12345][tl:Calendar]",$L51)</f>
        <v>75.5</v>
      </c>
      <c r="P51">
        <f>_xll.ICEHistory(M$4,P$5,"DF[dow:12345][tl:Calendar]",$L51)</f>
        <v>76.510000000000005</v>
      </c>
      <c r="Q51">
        <f>_xll.ICEHistory(M$4,Q$5,"DF[dow:12345][tl:Calendar]",$L51)</f>
        <v>11805</v>
      </c>
      <c r="R51">
        <f>_xll.ICEHistory(M$4,R$5,"DF[dow:12345][tl:Calendar]",$L51)</f>
        <v>326832</v>
      </c>
      <c r="S51">
        <f>_xll.ICEHistory(S$4,S$5,"DF[dow:12345][tl:Calendar]",$L51)</f>
        <v>35.6</v>
      </c>
      <c r="T51">
        <f>_xll.ICEHistory(S$4,T$5,"DF[dow:12345][tl:Calendar]",$L51)</f>
        <v>35.6</v>
      </c>
      <c r="U51">
        <f>_xll.ICEHistory(S$4,U$5,"DF[dow:12345][tl:Calendar]",$L51)</f>
        <v>33.5</v>
      </c>
      <c r="V51">
        <f>_xll.ICEHistory(S$4,V$5,"DF[dow:12345][tl:Calendar]",$L51)</f>
        <v>34.115000000000002</v>
      </c>
      <c r="W51">
        <f>_xll.ICEHistory(S$4,W$5,"DF[dow:12345][tl:Calendar]",$L51)</f>
        <v>0</v>
      </c>
      <c r="X51">
        <f t="shared" si="0"/>
        <v>1.9736842105263157E-2</v>
      </c>
      <c r="Y51">
        <f t="shared" si="1"/>
        <v>-1.472769309500811</v>
      </c>
      <c r="Z51">
        <f t="shared" si="2"/>
        <v>-1.8320929098395753</v>
      </c>
    </row>
    <row r="52" spans="1:26" x14ac:dyDescent="0.25">
      <c r="A52" s="3" t="str">
        <f>_xll.ICEOptionSymbol($B$1,"F","C",$F52)</f>
        <v>EFO 24UC4000-ICN</v>
      </c>
      <c r="B52" s="3">
        <f>_xll.ICEQuote($A52,_xll.ICEFldID(B$5))</f>
        <v>0</v>
      </c>
      <c r="C52" s="3">
        <f>_xll.ICEQuote($A52,_xll.ICEFldID(C$5))</f>
        <v>40</v>
      </c>
      <c r="D52" s="3">
        <f>_xll.ICEQuote($A52,_xll.ICEFldID(D$5))</f>
        <v>0.6261878867458831</v>
      </c>
      <c r="E52" s="3">
        <f>_xll.ICEQuote($A52,_xll.ICEFldID(E$5))</f>
        <v>0.97952377141642955</v>
      </c>
      <c r="F52" s="3">
        <f>_xll.ICEOptionStrike($B$1,-54,"F")</f>
        <v>40</v>
      </c>
      <c r="G52" s="3" t="str">
        <f>_xll.ICEOptionSymbol($B$1,"F","P",$F52)</f>
        <v>EFO 24UP4000-ICN</v>
      </c>
      <c r="H52" s="3">
        <f>_xll.ICEQuote($G52,_xll.ICEFldID(H$5))</f>
        <v>1550</v>
      </c>
      <c r="I52" s="3">
        <f>_xll.ICEQuote($G52,_xll.ICEFldID(I$5))</f>
        <v>40</v>
      </c>
      <c r="J52" s="3">
        <f>_xll.ICEQuote($G52,_xll.ICEFldID(J$5))</f>
        <v>0.5077843009092482</v>
      </c>
      <c r="K52" s="3">
        <f>_xll.ICEQuote($G52,_xll.ICEFldID(K$5))</f>
        <v>-5.2797330895192843E-3</v>
      </c>
      <c r="L52" s="4">
        <f>_xll.ICETimeline(_xll.ICEJoinRange(M4:W4),"DF[dow:12345][tl:Calendar]","2020-07-26;2024-07-26",999,-1)</f>
        <v>45436.5</v>
      </c>
      <c r="M52">
        <f>_xll.ICEHistory(M$4,M$5,"DF[dow:12345][tl:Calendar]",$L52)</f>
        <v>76</v>
      </c>
      <c r="N52">
        <f>_xll.ICEHistory(M$4,N$5,"DF[dow:12345][tl:Calendar]",$L52)</f>
        <v>76.7</v>
      </c>
      <c r="O52">
        <f>_xll.ICEHistory(M$4,O$5,"DF[dow:12345][tl:Calendar]",$L52)</f>
        <v>73.849999999999994</v>
      </c>
      <c r="P52">
        <f>_xll.ICEHistory(M$4,P$5,"DF[dow:12345][tl:Calendar]",$L52)</f>
        <v>75.78</v>
      </c>
      <c r="Q52">
        <f>_xll.ICEHistory(M$4,Q$5,"DF[dow:12345][tl:Calendar]",$L52)</f>
        <v>23462</v>
      </c>
      <c r="R52">
        <f>_xll.ICEHistory(M$4,R$5,"DF[dow:12345][tl:Calendar]",$L52)</f>
        <v>326226</v>
      </c>
      <c r="S52">
        <f>_xll.ICEHistory(S$4,S$5,"DF[dow:12345][tl:Calendar]",$L52)</f>
        <v>35.6</v>
      </c>
      <c r="T52">
        <f>_xll.ICEHistory(S$4,T$5,"DF[dow:12345][tl:Calendar]",$L52)</f>
        <v>35.6</v>
      </c>
      <c r="U52">
        <f>_xll.ICEHistory(S$4,U$5,"DF[dow:12345][tl:Calendar]",$L52)</f>
        <v>33.5</v>
      </c>
      <c r="V52">
        <f>_xll.ICEHistory(S$4,V$5,"DF[dow:12345][tl:Calendar]",$L52)</f>
        <v>34.115000000000002</v>
      </c>
      <c r="W52">
        <f>_xll.ICEHistory(S$4,W$5,"DF[dow:12345][tl:Calendar]",$L52)</f>
        <v>756</v>
      </c>
      <c r="X52">
        <f t="shared" si="0"/>
        <v>3.7303664921466077E-2</v>
      </c>
      <c r="Y52">
        <f t="shared" si="1"/>
        <v>-0.58464243886164025</v>
      </c>
      <c r="Z52">
        <f t="shared" si="2"/>
        <v>-0.81935727392747626</v>
      </c>
    </row>
    <row r="53" spans="1:26" x14ac:dyDescent="0.25">
      <c r="A53" s="3" t="str">
        <f>_xll.ICEOptionSymbol($B$1,"F","C",$F53)</f>
        <v>EFO 24UC4050-ICN</v>
      </c>
      <c r="B53" s="3">
        <f>_xll.ICEQuote($A53,_xll.ICEFldID(B$5))</f>
        <v>0</v>
      </c>
      <c r="C53" s="3">
        <f>_xll.ICEQuote($A53,_xll.ICEFldID(C$5))</f>
        <v>40.5</v>
      </c>
      <c r="D53" s="3">
        <f>_xll.ICEQuote($A53,_xll.ICEFldID(D$5))</f>
        <v>0.61553689468213335</v>
      </c>
      <c r="E53" s="3">
        <f>_xll.ICEQuote($A53,_xll.ICEFldID(E$5))</f>
        <v>0.9788014395531871</v>
      </c>
      <c r="F53" s="3">
        <f>_xll.ICEOptionStrike($B$1,-53,"F")</f>
        <v>40.5</v>
      </c>
      <c r="G53" s="3" t="str">
        <f>_xll.ICEOptionSymbol($B$1,"F","P",$F53)</f>
        <v>EFO 24UP4050-ICN</v>
      </c>
      <c r="H53" s="3">
        <f>_xll.ICEQuote($G53,_xll.ICEFldID(H$5))</f>
        <v>0</v>
      </c>
      <c r="I53" s="3">
        <f>_xll.ICEQuote($G53,_xll.ICEFldID(I$5))</f>
        <v>40.5</v>
      </c>
      <c r="J53" s="3">
        <f>_xll.ICEQuote($G53,_xll.ICEFldID(J$5))</f>
        <v>0.50754326350716616</v>
      </c>
      <c r="K53" s="3">
        <f>_xll.ICEQuote($G53,_xll.ICEFldID(K$5))</f>
        <v>-6.2324849657311027E-3</v>
      </c>
      <c r="L53" s="4">
        <f>_xll.ICETimeline(_xll.ICEJoinRange(M4:W4),"DF[dow:12345][tl:Calendar]","2020-07-26;2024-07-26",998,-1)</f>
        <v>45435.5</v>
      </c>
      <c r="M53">
        <f>_xll.ICEHistory(M$4,M$5,"DF[dow:12345][tl:Calendar]",$L53)</f>
        <v>76.400000000000006</v>
      </c>
      <c r="N53">
        <f>_xll.ICEHistory(M$4,N$5,"DF[dow:12345][tl:Calendar]",$L53)</f>
        <v>78.099999999999994</v>
      </c>
      <c r="O53">
        <f>_xll.ICEHistory(M$4,O$5,"DF[dow:12345][tl:Calendar]",$L53)</f>
        <v>75.5</v>
      </c>
      <c r="P53">
        <f>_xll.ICEHistory(M$4,P$5,"DF[dow:12345][tl:Calendar]",$L53)</f>
        <v>76.099999999999994</v>
      </c>
      <c r="Q53">
        <f>_xll.ICEHistory(M$4,Q$5,"DF[dow:12345][tl:Calendar]",$L53)</f>
        <v>32467</v>
      </c>
      <c r="R53">
        <f>_xll.ICEHistory(M$4,R$5,"DF[dow:12345][tl:Calendar]",$L53)</f>
        <v>326314</v>
      </c>
      <c r="S53">
        <f>_xll.ICEHistory(S$4,S$5,"DF[dow:12345][tl:Calendar]",$L53)</f>
        <v>34.619999999999997</v>
      </c>
      <c r="T53">
        <f>_xll.ICEHistory(S$4,T$5,"DF[dow:12345][tl:Calendar]",$L53)</f>
        <v>36.164999999999999</v>
      </c>
      <c r="U53">
        <f>_xll.ICEHistory(S$4,U$5,"DF[dow:12345][tl:Calendar]",$L53)</f>
        <v>33.854999999999997</v>
      </c>
      <c r="V53">
        <f>_xll.ICEHistory(S$4,V$5,"DF[dow:12345][tl:Calendar]",$L53)</f>
        <v>35.228000000000002</v>
      </c>
      <c r="W53">
        <f>_xll.ICEHistory(S$4,W$5,"DF[dow:12345][tl:Calendar]",$L53)</f>
        <v>1226</v>
      </c>
      <c r="X53">
        <f t="shared" si="0"/>
        <v>3.4219531455646143E-2</v>
      </c>
      <c r="Y53">
        <f t="shared" si="1"/>
        <v>-0.74802394694895125</v>
      </c>
      <c r="Z53">
        <f t="shared" si="2"/>
        <v>1.0608214753300444E-2</v>
      </c>
    </row>
    <row r="54" spans="1:26" x14ac:dyDescent="0.25">
      <c r="A54" s="3" t="str">
        <f>_xll.ICEOptionSymbol($B$1,"F","C",$F54)</f>
        <v>EFO 24UC4100-ICN</v>
      </c>
      <c r="B54" s="3">
        <f>_xll.ICEQuote($A54,_xll.ICEFldID(B$5))</f>
        <v>0</v>
      </c>
      <c r="C54" s="3">
        <f>_xll.ICEQuote($A54,_xll.ICEFldID(C$5))</f>
        <v>41</v>
      </c>
      <c r="D54" s="3">
        <f>_xll.ICEQuote($A54,_xll.ICEFldID(D$5))</f>
        <v>0.6008389517113002</v>
      </c>
      <c r="E54" s="3">
        <f>_xll.ICEQuote($A54,_xll.ICEFldID(E$5))</f>
        <v>0.97861152689734432</v>
      </c>
      <c r="F54" s="3">
        <f>_xll.ICEOptionStrike($B$1,-52,"F")</f>
        <v>41</v>
      </c>
      <c r="G54" s="3" t="str">
        <f>_xll.ICEOptionSymbol($B$1,"F","P",$F54)</f>
        <v>EFO 24UP4100-ICN</v>
      </c>
      <c r="H54" s="3">
        <f>_xll.ICEQuote($G54,_xll.ICEFldID(H$5))</f>
        <v>0</v>
      </c>
      <c r="I54" s="3">
        <f>_xll.ICEQuote($G54,_xll.ICEFldID(I$5))</f>
        <v>41</v>
      </c>
      <c r="J54" s="3">
        <f>_xll.ICEQuote($G54,_xll.ICEFldID(J$5))</f>
        <v>0.49622116773756897</v>
      </c>
      <c r="K54" s="3">
        <f>_xll.ICEQuote($G54,_xll.ICEFldID(K$5))</f>
        <v>-6.3697055899144548E-3</v>
      </c>
      <c r="L54" s="4">
        <f>_xll.ICETimeline(_xll.ICEJoinRange(M4:W4),"DF[dow:12345][tl:Calendar]","2020-07-26;2024-07-26",997,-1)</f>
        <v>45434.5</v>
      </c>
      <c r="M54">
        <f>_xll.ICEHistory(M$4,M$5,"DF[dow:12345][tl:Calendar]",$L54)</f>
        <v>75.98</v>
      </c>
      <c r="N54">
        <f>_xll.ICEHistory(M$4,N$5,"DF[dow:12345][tl:Calendar]",$L54)</f>
        <v>77.5</v>
      </c>
      <c r="O54">
        <f>_xll.ICEHistory(M$4,O$5,"DF[dow:12345][tl:Calendar]",$L54)</f>
        <v>75.5</v>
      </c>
      <c r="P54">
        <f>_xll.ICEHistory(M$4,P$5,"DF[dow:12345][tl:Calendar]",$L54)</f>
        <v>76.67</v>
      </c>
      <c r="Q54">
        <f>_xll.ICEHistory(M$4,Q$5,"DF[dow:12345][tl:Calendar]",$L54)</f>
        <v>29219</v>
      </c>
      <c r="R54">
        <f>_xll.ICEHistory(M$4,R$5,"DF[dow:12345][tl:Calendar]",$L54)</f>
        <v>325224</v>
      </c>
      <c r="S54">
        <f>_xll.ICEHistory(S$4,S$5,"DF[dow:12345][tl:Calendar]",$L54)</f>
        <v>32.880000000000003</v>
      </c>
      <c r="T54">
        <f>_xll.ICEHistory(S$4,T$5,"DF[dow:12345][tl:Calendar]",$L54)</f>
        <v>34.75</v>
      </c>
      <c r="U54">
        <f>_xll.ICEHistory(S$4,U$5,"DF[dow:12345][tl:Calendar]",$L54)</f>
        <v>32.83</v>
      </c>
      <c r="V54">
        <f>_xll.ICEHistory(S$4,V$5,"DF[dow:12345][tl:Calendar]",$L54)</f>
        <v>34.389000000000003</v>
      </c>
      <c r="W54">
        <f>_xll.ICEHistory(S$4,W$5,"DF[dow:12345][tl:Calendar]",$L54)</f>
        <v>1013</v>
      </c>
      <c r="X54">
        <f t="shared" si="0"/>
        <v>2.6961445133459151E-2</v>
      </c>
      <c r="Y54">
        <f t="shared" si="1"/>
        <v>-1.1445106894942314</v>
      </c>
      <c r="Z54">
        <f t="shared" si="2"/>
        <v>-0.28035915773938219</v>
      </c>
    </row>
    <row r="55" spans="1:26" x14ac:dyDescent="0.25">
      <c r="A55" s="3" t="str">
        <f>_xll.ICEOptionSymbol($B$1,"F","C",$F55)</f>
        <v>EFO 24UC4150-ICN</v>
      </c>
      <c r="B55" s="3">
        <f>_xll.ICEQuote($A55,_xll.ICEFldID(B$5))</f>
        <v>0</v>
      </c>
      <c r="C55" s="3">
        <f>_xll.ICEQuote($A55,_xll.ICEFldID(C$5))</f>
        <v>41.5</v>
      </c>
      <c r="D55" s="3">
        <f>_xll.ICEQuote($A55,_xll.ICEFldID(D$5))</f>
        <v>0.59033762572095205</v>
      </c>
      <c r="E55" s="3">
        <f>_xll.ICEQuote($A55,_xll.ICEFldID(E$5))</f>
        <v>0.97785014423886307</v>
      </c>
      <c r="F55" s="3">
        <f>_xll.ICEOptionStrike($B$1,-51,"F")</f>
        <v>41.5</v>
      </c>
      <c r="G55" s="3" t="str">
        <f>_xll.ICEOptionSymbol($B$1,"F","P",$F55)</f>
        <v>EFO 24UP4150-ICN</v>
      </c>
      <c r="H55" s="3">
        <f>_xll.ICEQuote($G55,_xll.ICEFldID(H$5))</f>
        <v>0</v>
      </c>
      <c r="I55" s="3">
        <f>_xll.ICEQuote($G55,_xll.ICEFldID(I$5))</f>
        <v>41.5</v>
      </c>
      <c r="J55" s="3">
        <f>_xll.ICEQuote($G55,_xll.ICEFldID(J$5))</f>
        <v>0.49443538788284563</v>
      </c>
      <c r="K55" s="3">
        <f>_xll.ICEQuote($G55,_xll.ICEFldID(K$5))</f>
        <v>-7.3484047782720026E-3</v>
      </c>
      <c r="L55" s="4">
        <f>_xll.ICETimeline(_xll.ICEJoinRange(M4:W4),"DF[dow:12345][tl:Calendar]","2020-07-26;2024-07-26",996,-1)</f>
        <v>45433.5</v>
      </c>
      <c r="M55">
        <f>_xll.ICEHistory(M$4,M$5,"DF[dow:12345][tl:Calendar]",$L55)</f>
        <v>74.180000000000007</v>
      </c>
      <c r="N55">
        <f>_xll.ICEHistory(M$4,N$5,"DF[dow:12345][tl:Calendar]",$L55)</f>
        <v>76.64</v>
      </c>
      <c r="O55">
        <f>_xll.ICEHistory(M$4,O$5,"DF[dow:12345][tl:Calendar]",$L55)</f>
        <v>73.05</v>
      </c>
      <c r="P55">
        <f>_xll.ICEHistory(M$4,P$5,"DF[dow:12345][tl:Calendar]",$L55)</f>
        <v>76.2</v>
      </c>
      <c r="Q55">
        <f>_xll.ICEHistory(M$4,Q$5,"DF[dow:12345][tl:Calendar]",$L55)</f>
        <v>34207</v>
      </c>
      <c r="R55">
        <f>_xll.ICEHistory(M$4,R$5,"DF[dow:12345][tl:Calendar]",$L55)</f>
        <v>325214</v>
      </c>
      <c r="S55">
        <f>_xll.ICEHistory(S$4,S$5,"DF[dow:12345][tl:Calendar]",$L55)</f>
        <v>31.625</v>
      </c>
      <c r="T55">
        <f>_xll.ICEHistory(S$4,T$5,"DF[dow:12345][tl:Calendar]",$L55)</f>
        <v>33.204999999999998</v>
      </c>
      <c r="U55">
        <f>_xll.ICEHistory(S$4,U$5,"DF[dow:12345][tl:Calendar]",$L55)</f>
        <v>31.33</v>
      </c>
      <c r="V55">
        <f>_xll.ICEHistory(S$4,V$5,"DF[dow:12345][tl:Calendar]",$L55)</f>
        <v>33.003999999999998</v>
      </c>
      <c r="W55">
        <f>_xll.ICEHistory(S$4,W$5,"DF[dow:12345][tl:Calendar]",$L55)</f>
        <v>785</v>
      </c>
      <c r="X55">
        <f t="shared" si="0"/>
        <v>5.056338028169019E-2</v>
      </c>
      <c r="Y55">
        <f t="shared" si="1"/>
        <v>0.12103343479558044</v>
      </c>
      <c r="Z55">
        <f t="shared" si="2"/>
        <v>0.17703496642068445</v>
      </c>
    </row>
    <row r="56" spans="1:26" x14ac:dyDescent="0.25">
      <c r="A56" s="3" t="str">
        <f>_xll.ICEOptionSymbol($B$1,"F","C",$F56)</f>
        <v>EFO 24UC4200-ICN</v>
      </c>
      <c r="B56" s="3">
        <f>_xll.ICEQuote($A56,_xll.ICEFldID(B$5))</f>
        <v>0</v>
      </c>
      <c r="C56" s="3">
        <f>_xll.ICEQuote($A56,_xll.ICEFldID(C$5))</f>
        <v>42</v>
      </c>
      <c r="D56" s="3">
        <f>_xll.ICEQuote($A56,_xll.ICEFldID(D$5))</f>
        <v>0.57596292541180827</v>
      </c>
      <c r="E56" s="3">
        <f>_xll.ICEQuote($A56,_xll.ICEFldID(E$5))</f>
        <v>0.97763969513309867</v>
      </c>
      <c r="F56" s="3">
        <f>_xll.ICEOptionStrike($B$1,-50,"F")</f>
        <v>42</v>
      </c>
      <c r="G56" s="3" t="str">
        <f>_xll.ICEOptionSymbol($B$1,"F","P",$F56)</f>
        <v>EFO 24UP4200-ICN</v>
      </c>
      <c r="H56" s="3">
        <f>_xll.ICEQuote($G56,_xll.ICEFldID(H$5))</f>
        <v>0</v>
      </c>
      <c r="I56" s="3">
        <f>_xll.ICEQuote($G56,_xll.ICEFldID(I$5))</f>
        <v>42</v>
      </c>
      <c r="J56" s="3">
        <f>_xll.ICEQuote($G56,_xll.ICEFldID(J$5))</f>
        <v>0.48317760835913343</v>
      </c>
      <c r="K56" s="3">
        <f>_xll.ICEQuote($G56,_xll.ICEFldID(K$5))</f>
        <v>-7.5130078555270003E-3</v>
      </c>
      <c r="L56" s="4">
        <f>_xll.ICETimeline(_xll.ICEJoinRange(M4:W4),"DF[dow:12345][tl:Calendar]","2020-07-26;2024-07-26",995,-1)</f>
        <v>45432.5</v>
      </c>
      <c r="M56">
        <f>_xll.ICEHistory(M$4,M$5,"DF[dow:12345][tl:Calendar]",$L56)</f>
        <v>71</v>
      </c>
      <c r="N56">
        <f>_xll.ICEHistory(M$4,N$5,"DF[dow:12345][tl:Calendar]",$L56)</f>
        <v>74.900000000000006</v>
      </c>
      <c r="O56">
        <f>_xll.ICEHistory(M$4,O$5,"DF[dow:12345][tl:Calendar]",$L56)</f>
        <v>71</v>
      </c>
      <c r="P56">
        <f>_xll.ICEHistory(M$4,P$5,"DF[dow:12345][tl:Calendar]",$L56)</f>
        <v>74.239999999999995</v>
      </c>
      <c r="Q56">
        <f>_xll.ICEHistory(M$4,Q$5,"DF[dow:12345][tl:Calendar]",$L56)</f>
        <v>35694</v>
      </c>
      <c r="R56">
        <f>_xll.ICEHistory(M$4,R$5,"DF[dow:12345][tl:Calendar]",$L56)</f>
        <v>323298</v>
      </c>
      <c r="S56">
        <f>_xll.ICEHistory(S$4,S$5,"DF[dow:12345][tl:Calendar]",$L56)</f>
        <v>31.32</v>
      </c>
      <c r="T56">
        <f>_xll.ICEHistory(S$4,T$5,"DF[dow:12345][tl:Calendar]",$L56)</f>
        <v>32.17</v>
      </c>
      <c r="U56">
        <f>_xll.ICEHistory(S$4,U$5,"DF[dow:12345][tl:Calendar]",$L56)</f>
        <v>31.245000000000001</v>
      </c>
      <c r="V56">
        <f>_xll.ICEHistory(S$4,V$5,"DF[dow:12345][tl:Calendar]",$L56)</f>
        <v>31.768000000000001</v>
      </c>
      <c r="W56">
        <f>_xll.ICEHistory(S$4,W$5,"DF[dow:12345][tl:Calendar]",$L56)</f>
        <v>838</v>
      </c>
      <c r="X56">
        <f t="shared" si="0"/>
        <v>5.5319148936170293E-2</v>
      </c>
      <c r="Y56">
        <f t="shared" si="1"/>
        <v>0.37019824072841367</v>
      </c>
      <c r="Z56">
        <f t="shared" si="2"/>
        <v>0.31067068627482464</v>
      </c>
    </row>
    <row r="57" spans="1:26" x14ac:dyDescent="0.25">
      <c r="A57" s="3" t="str">
        <f>_xll.ICEOptionSymbol($B$1,"F","C",$F57)</f>
        <v>EFO 24UC4250-ICN</v>
      </c>
      <c r="B57" s="3">
        <f>_xll.ICEQuote($A57,_xll.ICEFldID(B$5))</f>
        <v>0</v>
      </c>
      <c r="C57" s="3">
        <f>_xll.ICEQuote($A57,_xll.ICEFldID(C$5))</f>
        <v>42.5</v>
      </c>
      <c r="D57" s="3">
        <f>_xll.ICEQuote($A57,_xll.ICEFldID(D$5))</f>
        <v>0.56559921131544155</v>
      </c>
      <c r="E57" s="3">
        <f>_xll.ICEQuote($A57,_xll.ICEFldID(E$5))</f>
        <v>0.97683567539659766</v>
      </c>
      <c r="F57" s="3">
        <f>_xll.ICEOptionStrike($B$1,-49,"F")</f>
        <v>42.5</v>
      </c>
      <c r="G57" s="3" t="str">
        <f>_xll.ICEOptionSymbol($B$1,"F","P",$F57)</f>
        <v>EFO 24UP4250-ICN</v>
      </c>
      <c r="H57" s="3">
        <f>_xll.ICEQuote($G57,_xll.ICEFldID(H$5))</f>
        <v>0</v>
      </c>
      <c r="I57" s="3">
        <f>_xll.ICEQuote($G57,_xll.ICEFldID(I$5))</f>
        <v>42.5</v>
      </c>
      <c r="J57" s="3">
        <f>_xll.ICEQuote($G57,_xll.ICEFldID(J$5))</f>
        <v>0.48023728865565729</v>
      </c>
      <c r="K57" s="3">
        <f>_xll.ICEQuote($G57,_xll.ICEFldID(K$5))</f>
        <v>-8.5246126072736818E-3</v>
      </c>
      <c r="L57" s="4">
        <f>_xll.ICETimeline(_xll.ICEJoinRange(M4:W4),"DF[dow:12345][tl:Calendar]","2020-07-26;2024-07-26",994,-1)</f>
        <v>45429.5</v>
      </c>
      <c r="M57">
        <f>_xll.ICEHistory(M$4,M$5,"DF[dow:12345][tl:Calendar]",$L57)</f>
        <v>70.5</v>
      </c>
      <c r="N57">
        <f>_xll.ICEHistory(M$4,N$5,"DF[dow:12345][tl:Calendar]",$L57)</f>
        <v>71.55</v>
      </c>
      <c r="O57">
        <f>_xll.ICEHistory(M$4,O$5,"DF[dow:12345][tl:Calendar]",$L57)</f>
        <v>69.58</v>
      </c>
      <c r="P57">
        <f>_xll.ICEHistory(M$4,P$5,"DF[dow:12345][tl:Calendar]",$L57)</f>
        <v>70.52</v>
      </c>
      <c r="Q57">
        <f>_xll.ICEHistory(M$4,Q$5,"DF[dow:12345][tl:Calendar]",$L57)</f>
        <v>22618</v>
      </c>
      <c r="R57">
        <f>_xll.ICEHistory(M$4,R$5,"DF[dow:12345][tl:Calendar]",$L57)</f>
        <v>322522</v>
      </c>
      <c r="S57">
        <f>_xll.ICEHistory(S$4,S$5,"DF[dow:12345][tl:Calendar]",$L57)</f>
        <v>30.88</v>
      </c>
      <c r="T57">
        <f>_xll.ICEHistory(S$4,T$5,"DF[dow:12345][tl:Calendar]",$L57)</f>
        <v>31.02</v>
      </c>
      <c r="U57">
        <f>_xll.ICEHistory(S$4,U$5,"DF[dow:12345][tl:Calendar]",$L57)</f>
        <v>30.25</v>
      </c>
      <c r="V57">
        <f>_xll.ICEHistory(S$4,V$5,"DF[dow:12345][tl:Calendar]",$L57)</f>
        <v>30.75</v>
      </c>
      <c r="W57">
        <f>_xll.ICEHistory(S$4,W$5,"DF[dow:12345][tl:Calendar]",$L57)</f>
        <v>806</v>
      </c>
      <c r="X57">
        <f t="shared" si="0"/>
        <v>2.8513533072803573E-2</v>
      </c>
      <c r="Y57">
        <f t="shared" si="1"/>
        <v>-1.075612152462242</v>
      </c>
      <c r="Z57">
        <f t="shared" si="2"/>
        <v>-0.88703089743670183</v>
      </c>
    </row>
    <row r="58" spans="1:26" x14ac:dyDescent="0.25">
      <c r="A58" s="3" t="str">
        <f>_xll.ICEOptionSymbol($B$1,"F","C",$F58)</f>
        <v>EFO 24UC4300-ICN</v>
      </c>
      <c r="B58" s="3">
        <f>_xll.ICEQuote($A58,_xll.ICEFldID(B$5))</f>
        <v>0</v>
      </c>
      <c r="C58" s="3">
        <f>_xll.ICEQuote($A58,_xll.ICEFldID(C$5))</f>
        <v>43</v>
      </c>
      <c r="D58" s="3">
        <f>_xll.ICEQuote($A58,_xll.ICEFldID(D$5))</f>
        <v>0.55523430152459485</v>
      </c>
      <c r="E58" s="3">
        <f>_xll.ICEQuote($A58,_xll.ICEFldID(E$5))</f>
        <v>0.97600545478006506</v>
      </c>
      <c r="F58" s="3">
        <f>_xll.ICEOptionStrike($B$1,-48,"F")</f>
        <v>43</v>
      </c>
      <c r="G58" s="3" t="str">
        <f>_xll.ICEOptionSymbol($B$1,"F","P",$F58)</f>
        <v>EFO 24UP4300-ICN</v>
      </c>
      <c r="H58" s="3">
        <f>_xll.ICEQuote($G58,_xll.ICEFldID(H$5))</f>
        <v>0</v>
      </c>
      <c r="I58" s="3">
        <f>_xll.ICEQuote($G58,_xll.ICEFldID(I$5))</f>
        <v>43</v>
      </c>
      <c r="J58" s="3">
        <f>_xll.ICEQuote($G58,_xll.ICEFldID(J$5))</f>
        <v>0.47643391957037712</v>
      </c>
      <c r="K58" s="3">
        <f>_xll.ICEQuote($G58,_xll.ICEFldID(K$5))</f>
        <v>-9.550371807404057E-3</v>
      </c>
      <c r="L58" s="4">
        <f>_xll.ICETimeline(_xll.ICEJoinRange(M4:W4),"DF[dow:12345][tl:Calendar]","2020-07-26;2024-07-26",993,-1)</f>
        <v>45428.5</v>
      </c>
      <c r="M58">
        <f>_xll.ICEHistory(M$4,M$5,"DF[dow:12345][tl:Calendar]",$L58)</f>
        <v>69.09</v>
      </c>
      <c r="N58">
        <f>_xll.ICEHistory(M$4,N$5,"DF[dow:12345][tl:Calendar]",$L58)</f>
        <v>71.28</v>
      </c>
      <c r="O58">
        <f>_xll.ICEHistory(M$4,O$5,"DF[dow:12345][tl:Calendar]",$L58)</f>
        <v>68.88</v>
      </c>
      <c r="P58">
        <f>_xll.ICEHistory(M$4,P$5,"DF[dow:12345][tl:Calendar]",$L58)</f>
        <v>70.790000000000006</v>
      </c>
      <c r="Q58">
        <f>_xll.ICEHistory(M$4,Q$5,"DF[dow:12345][tl:Calendar]",$L58)</f>
        <v>25314</v>
      </c>
      <c r="R58">
        <f>_xll.ICEHistory(M$4,R$5,"DF[dow:12345][tl:Calendar]",$L58)</f>
        <v>321366</v>
      </c>
      <c r="S58">
        <f>_xll.ICEHistory(S$4,S$5,"DF[dow:12345][tl:Calendar]",$L58)</f>
        <v>29.51</v>
      </c>
      <c r="T58">
        <f>_xll.ICEHistory(S$4,T$5,"DF[dow:12345][tl:Calendar]",$L58)</f>
        <v>30.75</v>
      </c>
      <c r="U58">
        <f>_xll.ICEHistory(S$4,U$5,"DF[dow:12345][tl:Calendar]",$L58)</f>
        <v>29.51</v>
      </c>
      <c r="V58">
        <f>_xll.ICEHistory(S$4,V$5,"DF[dow:12345][tl:Calendar]",$L58)</f>
        <v>30.62</v>
      </c>
      <c r="W58">
        <f>_xll.ICEHistory(S$4,W$5,"DF[dow:12345][tl:Calendar]",$L58)</f>
        <v>1150</v>
      </c>
      <c r="X58">
        <f t="shared" si="0"/>
        <v>3.4188034188034268E-2</v>
      </c>
      <c r="Y58">
        <f t="shared" si="1"/>
        <v>-0.78202522543337938</v>
      </c>
      <c r="Z58">
        <f t="shared" si="2"/>
        <v>-0.65332564892312306</v>
      </c>
    </row>
    <row r="59" spans="1:26" x14ac:dyDescent="0.25">
      <c r="A59" s="3" t="str">
        <f>_xll.ICEOptionSymbol($B$1,"F","C",$F59)</f>
        <v>EFO 24UC4350-ICN</v>
      </c>
      <c r="B59" s="3">
        <f>_xll.ICEQuote($A59,_xll.ICEFldID(B$5))</f>
        <v>0</v>
      </c>
      <c r="C59" s="3">
        <f>_xll.ICEQuote($A59,_xll.ICEFldID(C$5))</f>
        <v>43.5</v>
      </c>
      <c r="D59" s="3">
        <f>_xll.ICEQuote($A59,_xll.ICEFldID(D$5))</f>
        <v>0.54486969030849963</v>
      </c>
      <c r="E59" s="3">
        <f>_xll.ICEQuote($A59,_xll.ICEFldID(E$5))</f>
        <v>0.97514768547445174</v>
      </c>
      <c r="F59" s="3">
        <f>_xll.ICEOptionStrike($B$1,-47,"F")</f>
        <v>43.5</v>
      </c>
      <c r="G59" s="3" t="str">
        <f>_xll.ICEOptionSymbol($B$1,"F","P",$F59)</f>
        <v>EFO 24UP4350-ICN</v>
      </c>
      <c r="H59" s="3">
        <f>_xll.ICEQuote($G59,_xll.ICEFldID(H$5))</f>
        <v>0</v>
      </c>
      <c r="I59" s="3">
        <f>_xll.ICEQuote($G59,_xll.ICEFldID(I$5))</f>
        <v>43.5</v>
      </c>
      <c r="J59" s="3">
        <f>_xll.ICEQuote($G59,_xll.ICEFldID(J$5))</f>
        <v>0.47193084929680829</v>
      </c>
      <c r="K59" s="3">
        <f>_xll.ICEQuote($G59,_xll.ICEFldID(K$5))</f>
        <v>-1.059383772702093E-2</v>
      </c>
      <c r="L59" s="4">
        <f>_xll.ICETimeline(_xll.ICEJoinRange(M4:W4),"DF[dow:12345][tl:Calendar]","2020-07-26;2024-07-26",992,-1)</f>
        <v>45427.5</v>
      </c>
      <c r="M59">
        <f>_xll.ICEHistory(M$4,M$5,"DF[dow:12345][tl:Calendar]",$L59)</f>
        <v>70.2</v>
      </c>
      <c r="N59">
        <f>_xll.ICEHistory(M$4,N$5,"DF[dow:12345][tl:Calendar]",$L59)</f>
        <v>71.849999999999994</v>
      </c>
      <c r="O59">
        <f>_xll.ICEHistory(M$4,O$5,"DF[dow:12345][tl:Calendar]",$L59)</f>
        <v>69.09</v>
      </c>
      <c r="P59">
        <f>_xll.ICEHistory(M$4,P$5,"DF[dow:12345][tl:Calendar]",$L59)</f>
        <v>69.19</v>
      </c>
      <c r="Q59">
        <f>_xll.ICEHistory(M$4,Q$5,"DF[dow:12345][tl:Calendar]",$L59)</f>
        <v>24297</v>
      </c>
      <c r="R59">
        <f>_xll.ICEHistory(M$4,R$5,"DF[dow:12345][tl:Calendar]",$L59)</f>
        <v>318191</v>
      </c>
      <c r="S59">
        <f>_xll.ICEHistory(S$4,S$5,"DF[dow:12345][tl:Calendar]",$L59)</f>
        <v>29.585000000000001</v>
      </c>
      <c r="T59">
        <f>_xll.ICEHistory(S$4,T$5,"DF[dow:12345][tl:Calendar]",$L59)</f>
        <v>30.55</v>
      </c>
      <c r="U59">
        <f>_xll.ICEHistory(S$4,U$5,"DF[dow:12345][tl:Calendar]",$L59)</f>
        <v>29.5</v>
      </c>
      <c r="V59">
        <f>_xll.ICEHistory(S$4,V$5,"DF[dow:12345][tl:Calendar]",$L59)</f>
        <v>29.515000000000001</v>
      </c>
      <c r="W59">
        <f>_xll.ICEHistory(S$4,W$5,"DF[dow:12345][tl:Calendar]",$L59)</f>
        <v>1354</v>
      </c>
      <c r="X59">
        <f t="shared" si="0"/>
        <v>3.9417309340188389E-2</v>
      </c>
      <c r="Y59">
        <f t="shared" si="1"/>
        <v>-0.51940204685300451</v>
      </c>
      <c r="Z59">
        <f t="shared" si="2"/>
        <v>-0.75605722289686161</v>
      </c>
    </row>
    <row r="60" spans="1:26" x14ac:dyDescent="0.25">
      <c r="A60" s="3" t="str">
        <f>_xll.ICEOptionSymbol($B$1,"F","C",$F60)</f>
        <v>EFO 24UC4400-ICN</v>
      </c>
      <c r="B60" s="3">
        <f>_xll.ICEQuote($A60,_xll.ICEFldID(B$5))</f>
        <v>0</v>
      </c>
      <c r="C60" s="3">
        <f>_xll.ICEQuote($A60,_xll.ICEFldID(C$5))</f>
        <v>44</v>
      </c>
      <c r="D60" s="3">
        <f>_xll.ICEQuote($A60,_xll.ICEFldID(D$5))</f>
        <v>0.53450668874799268</v>
      </c>
      <c r="E60" s="3">
        <f>_xll.ICEQuote($A60,_xll.ICEFldID(E$5))</f>
        <v>0.97426090548144306</v>
      </c>
      <c r="F60" s="3">
        <f>_xll.ICEOptionStrike($B$1,-46,"F")</f>
        <v>44</v>
      </c>
      <c r="G60" s="3" t="str">
        <f>_xll.ICEOptionSymbol($B$1,"F","P",$F60)</f>
        <v>EFO 24UP4400-ICN</v>
      </c>
      <c r="H60" s="3">
        <f>_xll.ICEQuote($G60,_xll.ICEFldID(H$5))</f>
        <v>0</v>
      </c>
      <c r="I60" s="3">
        <f>_xll.ICEQuote($G60,_xll.ICEFldID(I$5))</f>
        <v>44</v>
      </c>
      <c r="J60" s="3">
        <f>_xll.ICEQuote($G60,_xll.ICEFldID(J$5))</f>
        <v>0.46684863898312701</v>
      </c>
      <c r="K60" s="3">
        <f>_xll.ICEQuote($G60,_xll.ICEFldID(K$5))</f>
        <v>-1.1658193522778335E-2</v>
      </c>
      <c r="L60" s="4">
        <f>_xll.ICETimeline(_xll.ICEJoinRange(M4:W4),"DF[dow:12345][tl:Calendar]","2020-07-26;2024-07-26",991,-1)</f>
        <v>45426.5</v>
      </c>
      <c r="M60">
        <f>_xll.ICEHistory(M$4,M$5,"DF[dow:12345][tl:Calendar]",$L60)</f>
        <v>70.02</v>
      </c>
      <c r="N60">
        <f>_xll.ICEHistory(M$4,N$5,"DF[dow:12345][tl:Calendar]",$L60)</f>
        <v>71.319999999999993</v>
      </c>
      <c r="O60">
        <f>_xll.ICEHistory(M$4,O$5,"DF[dow:12345][tl:Calendar]",$L60)</f>
        <v>69.02</v>
      </c>
      <c r="P60">
        <f>_xll.ICEHistory(M$4,P$5,"DF[dow:12345][tl:Calendar]",$L60)</f>
        <v>70.099999999999994</v>
      </c>
      <c r="Q60">
        <f>_xll.ICEHistory(M$4,Q$5,"DF[dow:12345][tl:Calendar]",$L60)</f>
        <v>20492</v>
      </c>
      <c r="R60">
        <f>_xll.ICEHistory(M$4,R$5,"DF[dow:12345][tl:Calendar]",$L60)</f>
        <v>315931</v>
      </c>
      <c r="S60">
        <f>_xll.ICEHistory(S$4,S$5,"DF[dow:12345][tl:Calendar]",$L60)</f>
        <v>29.765000000000001</v>
      </c>
      <c r="T60">
        <f>_xll.ICEHistory(S$4,T$5,"DF[dow:12345][tl:Calendar]",$L60)</f>
        <v>30.2</v>
      </c>
      <c r="U60">
        <f>_xll.ICEHistory(S$4,U$5,"DF[dow:12345][tl:Calendar]",$L60)</f>
        <v>29.33</v>
      </c>
      <c r="V60">
        <f>_xll.ICEHistory(S$4,V$5,"DF[dow:12345][tl:Calendar]",$L60)</f>
        <v>29.67</v>
      </c>
      <c r="W60">
        <f>_xll.ICEHistory(S$4,W$5,"DF[dow:12345][tl:Calendar]",$L60)</f>
        <v>1493</v>
      </c>
      <c r="X60">
        <f t="shared" si="0"/>
        <v>3.2244497406420825E-2</v>
      </c>
      <c r="Y60">
        <f t="shared" si="1"/>
        <v>-0.90291741219060317</v>
      </c>
      <c r="Z60">
        <f t="shared" si="2"/>
        <v>-1.1290609309463446</v>
      </c>
    </row>
    <row r="61" spans="1:26" x14ac:dyDescent="0.25">
      <c r="A61" s="3" t="str">
        <f>_xll.ICEOptionSymbol($B$1,"F","C",$F61)</f>
        <v>EFO 24UC4450-ICN</v>
      </c>
      <c r="B61" s="3">
        <f>_xll.ICEQuote($A61,_xll.ICEFldID(B$5))</f>
        <v>0</v>
      </c>
      <c r="C61" s="3">
        <f>_xll.ICEQuote($A61,_xll.ICEFldID(C$5))</f>
        <v>44.5</v>
      </c>
      <c r="D61" s="3">
        <f>_xll.ICEQuote($A61,_xll.ICEFldID(D$5))</f>
        <v>0.52414631121663957</v>
      </c>
      <c r="E61" s="3">
        <f>_xll.ICEQuote($A61,_xll.ICEFldID(E$5))</f>
        <v>0.9733435504456619</v>
      </c>
      <c r="F61" s="3">
        <f>_xll.ICEOptionStrike($B$1,-45,"F")</f>
        <v>44.5</v>
      </c>
      <c r="G61" s="3" t="str">
        <f>_xll.ICEOptionSymbol($B$1,"F","P",$F61)</f>
        <v>EFO 24UP4450-ICN</v>
      </c>
      <c r="H61" s="3">
        <f>_xll.ICEQuote($G61,_xll.ICEFldID(H$5))</f>
        <v>0</v>
      </c>
      <c r="I61" s="3">
        <f>_xll.ICEQuote($G61,_xll.ICEFldID(I$5))</f>
        <v>44.5</v>
      </c>
      <c r="J61" s="3">
        <f>_xll.ICEQuote($G61,_xll.ICEFldID(J$5))</f>
        <v>0.4612789096048972</v>
      </c>
      <c r="K61" s="3">
        <f>_xll.ICEQuote($G61,_xll.ICEFldID(K$5))</f>
        <v>-1.2746382589826025E-2</v>
      </c>
      <c r="L61" s="4">
        <f>_xll.ICETimeline(_xll.ICEJoinRange(M4:W4),"DF[dow:12345][tl:Calendar]","2020-07-26;2024-07-26",990,-1)</f>
        <v>45425.5</v>
      </c>
      <c r="M61">
        <f>_xll.ICEHistory(M$4,M$5,"DF[dow:12345][tl:Calendar]",$L61)</f>
        <v>71.33</v>
      </c>
      <c r="N61">
        <f>_xll.ICEHistory(M$4,N$5,"DF[dow:12345][tl:Calendar]",$L61)</f>
        <v>71.489999999999995</v>
      </c>
      <c r="O61">
        <f>_xll.ICEHistory(M$4,O$5,"DF[dow:12345][tl:Calendar]",$L61)</f>
        <v>68.7</v>
      </c>
      <c r="P61">
        <f>_xll.ICEHistory(M$4,P$5,"DF[dow:12345][tl:Calendar]",$L61)</f>
        <v>70.069999999999993</v>
      </c>
      <c r="Q61">
        <f>_xll.ICEHistory(M$4,Q$5,"DF[dow:12345][tl:Calendar]",$L61)</f>
        <v>30747</v>
      </c>
      <c r="R61">
        <f>_xll.ICEHistory(M$4,R$5,"DF[dow:12345][tl:Calendar]",$L61)</f>
        <v>313456</v>
      </c>
      <c r="S61">
        <f>_xll.ICEHistory(S$4,S$5,"DF[dow:12345][tl:Calendar]",$L61)</f>
        <v>29.594999999999999</v>
      </c>
      <c r="T61">
        <f>_xll.ICEHistory(S$4,T$5,"DF[dow:12345][tl:Calendar]",$L61)</f>
        <v>29.875</v>
      </c>
      <c r="U61">
        <f>_xll.ICEHistory(S$4,U$5,"DF[dow:12345][tl:Calendar]",$L61)</f>
        <v>29.164999999999999</v>
      </c>
      <c r="V61">
        <f>_xll.ICEHistory(S$4,V$5,"DF[dow:12345][tl:Calendar]",$L61)</f>
        <v>29.754999999999999</v>
      </c>
      <c r="W61">
        <f>_xll.ICEHistory(S$4,W$5,"DF[dow:12345][tl:Calendar]",$L61)</f>
        <v>1212</v>
      </c>
      <c r="X61">
        <f t="shared" si="0"/>
        <v>3.7959183673469281E-2</v>
      </c>
      <c r="Y61">
        <f t="shared" si="1"/>
        <v>-0.60621479453907967</v>
      </c>
      <c r="Z61">
        <f t="shared" si="2"/>
        <v>-0.1764794037100185</v>
      </c>
    </row>
    <row r="62" spans="1:26" x14ac:dyDescent="0.25">
      <c r="A62" s="3" t="str">
        <f>_xll.ICEOptionSymbol($B$1,"F","C",$F62)</f>
        <v>EFO 24UC4500-ICN</v>
      </c>
      <c r="B62" s="3">
        <f>_xll.ICEQuote($A62,_xll.ICEFldID(B$5))</f>
        <v>0</v>
      </c>
      <c r="C62" s="3">
        <f>_xll.ICEQuote($A62,_xll.ICEFldID(C$5))</f>
        <v>45</v>
      </c>
      <c r="D62" s="3">
        <f>_xll.ICEQuote($A62,_xll.ICEFldID(D$5))</f>
        <v>0.51378933449709341</v>
      </c>
      <c r="E62" s="3">
        <f>_xll.ICEQuote($A62,_xll.ICEFldID(E$5))</f>
        <v>0.97239393672879837</v>
      </c>
      <c r="F62" s="3">
        <f>_xll.ICEOptionStrike($B$1,-44,"F")</f>
        <v>45</v>
      </c>
      <c r="G62" s="3" t="str">
        <f>_xll.ICEOptionSymbol($B$1,"F","P",$F62)</f>
        <v>EFO 24UP4500-ICN</v>
      </c>
      <c r="H62" s="3">
        <f>_xll.ICEQuote($G62,_xll.ICEFldID(H$5))</f>
        <v>800</v>
      </c>
      <c r="I62" s="3">
        <f>_xll.ICEQuote($G62,_xll.ICEFldID(I$5))</f>
        <v>45</v>
      </c>
      <c r="J62" s="3">
        <f>_xll.ICEQuote($G62,_xll.ICEFldID(J$5))</f>
        <v>0.45529305435754652</v>
      </c>
      <c r="K62" s="3">
        <f>_xll.ICEQuote($G62,_xll.ICEFldID(K$5))</f>
        <v>-1.3861218169175798E-2</v>
      </c>
      <c r="L62" s="4">
        <f>_xll.ICETimeline(_xll.ICEJoinRange(M4:W4),"DF[dow:12345][tl:Calendar]","2020-07-26;2024-07-26",989,-1)</f>
        <v>45422.5</v>
      </c>
      <c r="M62">
        <f>_xll.ICEHistory(M$4,M$5,"DF[dow:12345][tl:Calendar]",$L62)</f>
        <v>73.5</v>
      </c>
      <c r="N62">
        <f>_xll.ICEHistory(M$4,N$5,"DF[dow:12345][tl:Calendar]",$L62)</f>
        <v>75.5</v>
      </c>
      <c r="O62">
        <f>_xll.ICEHistory(M$4,O$5,"DF[dow:12345][tl:Calendar]",$L62)</f>
        <v>71.27</v>
      </c>
      <c r="P62">
        <f>_xll.ICEHistory(M$4,P$5,"DF[dow:12345][tl:Calendar]",$L62)</f>
        <v>71.59</v>
      </c>
      <c r="Q62">
        <f>_xll.ICEHistory(M$4,Q$5,"DF[dow:12345][tl:Calendar]",$L62)</f>
        <v>25330</v>
      </c>
      <c r="R62">
        <f>_xll.ICEHistory(M$4,R$5,"DF[dow:12345][tl:Calendar]",$L62)</f>
        <v>313285</v>
      </c>
      <c r="S62">
        <f>_xll.ICEHistory(S$4,S$5,"DF[dow:12345][tl:Calendar]",$L62)</f>
        <v>30.74</v>
      </c>
      <c r="T62">
        <f>_xll.ICEHistory(S$4,T$5,"DF[dow:12345][tl:Calendar]",$L62)</f>
        <v>31.565000000000001</v>
      </c>
      <c r="U62">
        <f>_xll.ICEHistory(S$4,U$5,"DF[dow:12345][tl:Calendar]",$L62)</f>
        <v>29.655000000000001</v>
      </c>
      <c r="V62">
        <f>_xll.ICEHistory(S$4,V$5,"DF[dow:12345][tl:Calendar]",$L62)</f>
        <v>29.85</v>
      </c>
      <c r="W62">
        <f>_xll.ICEHistory(S$4,W$5,"DF[dow:12345][tl:Calendar]",$L62)</f>
        <v>1249</v>
      </c>
      <c r="X62">
        <f t="shared" si="0"/>
        <v>5.9251996077882112E-2</v>
      </c>
      <c r="Y62">
        <f t="shared" si="1"/>
        <v>0.54345262913717429</v>
      </c>
      <c r="Z62">
        <f t="shared" si="2"/>
        <v>-0.69152055441505633</v>
      </c>
    </row>
    <row r="63" spans="1:26" x14ac:dyDescent="0.25">
      <c r="A63" s="3" t="str">
        <f>_xll.ICEOptionSymbol($B$1,"F","C",$F63)</f>
        <v>EFO 24UC4550-ICN</v>
      </c>
      <c r="B63" s="3">
        <f>_xll.ICEQuote($A63,_xll.ICEFldID(B$5))</f>
        <v>0</v>
      </c>
      <c r="C63" s="3">
        <f>_xll.ICEQuote($A63,_xll.ICEFldID(C$5))</f>
        <v>45.5</v>
      </c>
      <c r="D63" s="3">
        <f>_xll.ICEQuote($A63,_xll.ICEFldID(D$5))</f>
        <v>0.50649264371321057</v>
      </c>
      <c r="E63" s="3">
        <f>_xll.ICEQuote($A63,_xll.ICEFldID(E$5))</f>
        <v>0.970783949207079</v>
      </c>
      <c r="F63" s="3">
        <f>_xll.ICEOptionStrike($B$1,-43,"F")</f>
        <v>45.5</v>
      </c>
      <c r="G63" s="3" t="str">
        <f>_xll.ICEOptionSymbol($B$1,"F","P",$F63)</f>
        <v>EFO 24UP4550-ICN</v>
      </c>
      <c r="H63" s="3">
        <f>_xll.ICEQuote($G63,_xll.ICEFldID(H$5))</f>
        <v>0</v>
      </c>
      <c r="I63" s="3">
        <f>_xll.ICEQuote($G63,_xll.ICEFldID(I$5))</f>
        <v>45.5</v>
      </c>
      <c r="J63" s="3">
        <f>_xll.ICEQuote($G63,_xll.ICEFldID(J$5))</f>
        <v>0.45363745603474864</v>
      </c>
      <c r="K63" s="3">
        <f>_xll.ICEQuote($G63,_xll.ICEFldID(K$5))</f>
        <v>-1.5798964137628234E-2</v>
      </c>
      <c r="L63" s="4">
        <f>_xll.ICETimeline(_xll.ICEJoinRange(M4:W4),"DF[dow:12345][tl:Calendar]","2020-07-26;2024-07-26",988,-1)</f>
        <v>45421.5</v>
      </c>
      <c r="M63">
        <f>_xll.ICEHistory(M$4,M$5,"DF[dow:12345][tl:Calendar]",$L63)</f>
        <v>71.39</v>
      </c>
      <c r="N63">
        <f>_xll.ICEHistory(M$4,N$5,"DF[dow:12345][tl:Calendar]",$L63)</f>
        <v>74.08</v>
      </c>
      <c r="O63">
        <f>_xll.ICEHistory(M$4,O$5,"DF[dow:12345][tl:Calendar]",$L63)</f>
        <v>71.13</v>
      </c>
      <c r="P63">
        <f>_xll.ICEHistory(M$4,P$5,"DF[dow:12345][tl:Calendar]",$L63)</f>
        <v>73.62</v>
      </c>
      <c r="Q63">
        <f>_xll.ICEHistory(M$4,Q$5,"DF[dow:12345][tl:Calendar]",$L63)</f>
        <v>17421</v>
      </c>
      <c r="R63">
        <f>_xll.ICEHistory(M$4,R$5,"DF[dow:12345][tl:Calendar]",$L63)</f>
        <v>312377</v>
      </c>
      <c r="S63">
        <f>_xll.ICEHistory(S$4,S$5,"DF[dow:12345][tl:Calendar]",$L63)</f>
        <v>30.835000000000001</v>
      </c>
      <c r="T63">
        <f>_xll.ICEHistory(S$4,T$5,"DF[dow:12345][tl:Calendar]",$L63)</f>
        <v>31.5</v>
      </c>
      <c r="U63">
        <f>_xll.ICEHistory(S$4,U$5,"DF[dow:12345][tl:Calendar]",$L63)</f>
        <v>30.44</v>
      </c>
      <c r="V63">
        <f>_xll.ICEHistory(S$4,V$5,"DF[dow:12345][tl:Calendar]",$L63)</f>
        <v>30.954999999999998</v>
      </c>
      <c r="W63">
        <f>_xll.ICEHistory(S$4,W$5,"DF[dow:12345][tl:Calendar]",$L63)</f>
        <v>1087</v>
      </c>
      <c r="X63">
        <f t="shared" si="0"/>
        <v>4.1613767809282026E-2</v>
      </c>
      <c r="Y63">
        <f t="shared" si="1"/>
        <v>-0.39122309592264987</v>
      </c>
      <c r="Z63">
        <f t="shared" si="2"/>
        <v>-1.4521572837440051</v>
      </c>
    </row>
    <row r="64" spans="1:26" x14ac:dyDescent="0.25">
      <c r="A64" s="3" t="str">
        <f>_xll.ICEOptionSymbol($B$1,"F","C",$F64)</f>
        <v>EFO 24UC4600-ICN</v>
      </c>
      <c r="B64" s="3">
        <f>_xll.ICEQuote($A64,_xll.ICEFldID(B$5))</f>
        <v>0</v>
      </c>
      <c r="C64" s="3">
        <f>_xll.ICEQuote($A64,_xll.ICEFldID(C$5))</f>
        <v>46</v>
      </c>
      <c r="D64" s="3">
        <f>_xll.ICEQuote($A64,_xll.ICEFldID(D$5))</f>
        <v>0.49604498622018178</v>
      </c>
      <c r="E64" s="3">
        <f>_xll.ICEQuote($A64,_xll.ICEFldID(E$5))</f>
        <v>0.96975570825960589</v>
      </c>
      <c r="F64" s="3">
        <f>_xll.ICEOptionStrike($B$1,-42,"F")</f>
        <v>46</v>
      </c>
      <c r="G64" s="3" t="str">
        <f>_xll.ICEOptionSymbol($B$1,"F","P",$F64)</f>
        <v>EFO 24UP4600-ICN</v>
      </c>
      <c r="H64" s="3">
        <f>_xll.ICEQuote($G64,_xll.ICEFldID(H$5))</f>
        <v>0</v>
      </c>
      <c r="I64" s="3">
        <f>_xll.ICEQuote($G64,_xll.ICEFldID(I$5))</f>
        <v>46</v>
      </c>
      <c r="J64" s="3">
        <f>_xll.ICEQuote($G64,_xll.ICEFldID(J$5))</f>
        <v>0.44669181110587125</v>
      </c>
      <c r="K64" s="3">
        <f>_xll.ICEQuote($G64,_xll.ICEFldID(K$5))</f>
        <v>-1.6976635649440772E-2</v>
      </c>
      <c r="L64" s="4">
        <f>_xll.ICETimeline(_xll.ICEJoinRange(M4:W4),"DF[dow:12345][tl:Calendar]","2020-07-26;2024-07-26",987,-1)</f>
        <v>45420.5</v>
      </c>
      <c r="M64">
        <f>_xll.ICEHistory(M$4,M$5,"DF[dow:12345][tl:Calendar]",$L64)</f>
        <v>70.89</v>
      </c>
      <c r="N64">
        <f>_xll.ICEHistory(M$4,N$5,"DF[dow:12345][tl:Calendar]",$L64)</f>
        <v>72.8</v>
      </c>
      <c r="O64">
        <f>_xll.ICEHistory(M$4,O$5,"DF[dow:12345][tl:Calendar]",$L64)</f>
        <v>69.58</v>
      </c>
      <c r="P64">
        <f>_xll.ICEHistory(M$4,P$5,"DF[dow:12345][tl:Calendar]",$L64)</f>
        <v>71.92</v>
      </c>
      <c r="Q64">
        <f>_xll.ICEHistory(M$4,Q$5,"DF[dow:12345][tl:Calendar]",$L64)</f>
        <v>26168</v>
      </c>
      <c r="R64">
        <f>_xll.ICEHistory(M$4,R$5,"DF[dow:12345][tl:Calendar]",$L64)</f>
        <v>311572</v>
      </c>
      <c r="S64">
        <f>_xll.ICEHistory(S$4,S$5,"DF[dow:12345][tl:Calendar]",$L64)</f>
        <v>30.585000000000001</v>
      </c>
      <c r="T64">
        <f>_xll.ICEHistory(S$4,T$5,"DF[dow:12345][tl:Calendar]",$L64)</f>
        <v>31.05</v>
      </c>
      <c r="U64">
        <f>_xll.ICEHistory(S$4,U$5,"DF[dow:12345][tl:Calendar]",$L64)</f>
        <v>30.045000000000002</v>
      </c>
      <c r="V64">
        <f>_xll.ICEHistory(S$4,V$5,"DF[dow:12345][tl:Calendar]",$L64)</f>
        <v>30.695</v>
      </c>
      <c r="W64">
        <f>_xll.ICEHistory(S$4,W$5,"DF[dow:12345][tl:Calendar]",$L64)</f>
        <v>1373</v>
      </c>
      <c r="X64">
        <f t="shared" si="0"/>
        <v>4.3959044368600667E-2</v>
      </c>
      <c r="Y64">
        <f t="shared" si="1"/>
        <v>-0.25867876951334834</v>
      </c>
      <c r="Z64">
        <f t="shared" si="2"/>
        <v>-0.62476038635651554</v>
      </c>
    </row>
    <row r="65" spans="1:26" x14ac:dyDescent="0.25">
      <c r="A65" s="3" t="str">
        <f>_xll.ICEOptionSymbol($B$1,"F","C",$F65)</f>
        <v>EFO 24UC4650-ICN</v>
      </c>
      <c r="B65" s="3">
        <f>_xll.ICEQuote($A65,_xll.ICEFldID(B$5))</f>
        <v>0</v>
      </c>
      <c r="C65" s="3">
        <f>_xll.ICEQuote($A65,_xll.ICEFldID(C$5))</f>
        <v>46.5</v>
      </c>
      <c r="D65" s="3">
        <f>_xll.ICEQuote($A65,_xll.ICEFldID(D$5))</f>
        <v>0.48841345137756814</v>
      </c>
      <c r="E65" s="3">
        <f>_xll.ICEQuote($A65,_xll.ICEFldID(E$5))</f>
        <v>0.96805321573245917</v>
      </c>
      <c r="F65" s="3">
        <f>_xll.ICEOptionStrike($B$1,-41,"F")</f>
        <v>46.5</v>
      </c>
      <c r="G65" s="3" t="str">
        <f>_xll.ICEOptionSymbol($B$1,"F","P",$F65)</f>
        <v>EFO 24UP4650-ICN</v>
      </c>
      <c r="H65" s="3">
        <f>_xll.ICEQuote($G65,_xll.ICEFldID(H$5))</f>
        <v>0</v>
      </c>
      <c r="I65" s="3">
        <f>_xll.ICEQuote($G65,_xll.ICEFldID(I$5))</f>
        <v>46.5</v>
      </c>
      <c r="J65" s="3">
        <f>_xll.ICEQuote($G65,_xll.ICEFldID(J$5))</f>
        <v>0.44349393025655126</v>
      </c>
      <c r="K65" s="3">
        <f>_xll.ICEQuote($G65,_xll.ICEFldID(K$5))</f>
        <v>-1.8971903061769907E-2</v>
      </c>
      <c r="L65" s="4">
        <f>_xll.ICETimeline(_xll.ICEJoinRange(M4:W4),"DF[dow:12345][tl:Calendar]","2020-07-26;2024-07-26",986,-1)</f>
        <v>45419.5</v>
      </c>
      <c r="M65">
        <f>_xll.ICEHistory(M$4,M$5,"DF[dow:12345][tl:Calendar]",$L65)</f>
        <v>73.25</v>
      </c>
      <c r="N65">
        <f>_xll.ICEHistory(M$4,N$5,"DF[dow:12345][tl:Calendar]",$L65)</f>
        <v>74.3</v>
      </c>
      <c r="O65">
        <f>_xll.ICEHistory(M$4,O$5,"DF[dow:12345][tl:Calendar]",$L65)</f>
        <v>70.5</v>
      </c>
      <c r="P65">
        <f>_xll.ICEHistory(M$4,P$5,"DF[dow:12345][tl:Calendar]",$L65)</f>
        <v>70.849999999999994</v>
      </c>
      <c r="Q65">
        <f>_xll.ICEHistory(M$4,Q$5,"DF[dow:12345][tl:Calendar]",$L65)</f>
        <v>37056</v>
      </c>
      <c r="R65">
        <f>_xll.ICEHistory(M$4,R$5,"DF[dow:12345][tl:Calendar]",$L65)</f>
        <v>311125</v>
      </c>
      <c r="S65">
        <f>_xll.ICEHistory(S$4,S$5,"DF[dow:12345][tl:Calendar]",$L65)</f>
        <v>31.6</v>
      </c>
      <c r="T65">
        <f>_xll.ICEHistory(S$4,T$5,"DF[dow:12345][tl:Calendar]",$L65)</f>
        <v>32.145000000000003</v>
      </c>
      <c r="U65">
        <f>_xll.ICEHistory(S$4,U$5,"DF[dow:12345][tl:Calendar]",$L65)</f>
        <v>30.565000000000001</v>
      </c>
      <c r="V65">
        <f>_xll.ICEHistory(S$4,V$5,"DF[dow:12345][tl:Calendar]",$L65)</f>
        <v>30.675000000000001</v>
      </c>
      <c r="W65">
        <f>_xll.ICEHistory(S$4,W$5,"DF[dow:12345][tl:Calendar]",$L65)</f>
        <v>1814</v>
      </c>
      <c r="X65">
        <f t="shared" si="0"/>
        <v>5.2969054920546384E-2</v>
      </c>
      <c r="Y65">
        <f t="shared" si="1"/>
        <v>0.23987245484515785</v>
      </c>
      <c r="Z65">
        <f t="shared" si="2"/>
        <v>0.41912576812326929</v>
      </c>
    </row>
    <row r="66" spans="1:26" x14ac:dyDescent="0.25">
      <c r="A66" s="3" t="str">
        <f>_xll.ICEOptionSymbol($B$1,"F","C",$F66)</f>
        <v>EFO 24UC4700-ICN</v>
      </c>
      <c r="B66" s="3">
        <f>_xll.ICEQuote($A66,_xll.ICEFldID(B$5))</f>
        <v>0</v>
      </c>
      <c r="C66" s="3">
        <f>_xll.ICEQuote($A66,_xll.ICEFldID(C$5))</f>
        <v>47</v>
      </c>
      <c r="D66" s="3">
        <f>_xll.ICEQuote($A66,_xll.ICEFldID(D$5))</f>
        <v>0.48056402958802696</v>
      </c>
      <c r="E66" s="3">
        <f>_xll.ICEQuote($A66,_xll.ICEFldID(E$5))</f>
        <v>0.96629922131558554</v>
      </c>
      <c r="F66" s="3">
        <f>_xll.ICEOptionStrike($B$1,-40,"F")</f>
        <v>47</v>
      </c>
      <c r="G66" s="3" t="str">
        <f>_xll.ICEOptionSymbol($B$1,"F","P",$F66)</f>
        <v>EFO 24UP4700-ICN</v>
      </c>
      <c r="H66" s="3">
        <f>_xll.ICEQuote($G66,_xll.ICEFldID(H$5))</f>
        <v>0</v>
      </c>
      <c r="I66" s="3">
        <f>_xll.ICEQuote($G66,_xll.ICEFldID(I$5))</f>
        <v>47</v>
      </c>
      <c r="J66" s="3">
        <f>_xll.ICEQuote($G66,_xll.ICEFldID(J$5))</f>
        <v>0.43952308834848175</v>
      </c>
      <c r="K66" s="3">
        <f>_xll.ICEQuote($G66,_xll.ICEFldID(K$5))</f>
        <v>-2.0999259441934412E-2</v>
      </c>
      <c r="L66" s="4">
        <f>_xll.ICETimeline(_xll.ICEJoinRange(M4:W4),"DF[dow:12345][tl:Calendar]","2020-07-26;2024-07-26",985,-1)</f>
        <v>45418.5</v>
      </c>
      <c r="M66">
        <f>_xll.ICEHistory(M$4,M$5,"DF[dow:12345][tl:Calendar]",$L66)</f>
        <v>71.739999999999995</v>
      </c>
      <c r="N66">
        <f>_xll.ICEHistory(M$4,N$5,"DF[dow:12345][tl:Calendar]",$L66)</f>
        <v>74.489999999999995</v>
      </c>
      <c r="O66">
        <f>_xll.ICEHistory(M$4,O$5,"DF[dow:12345][tl:Calendar]",$L66)</f>
        <v>71.48</v>
      </c>
      <c r="P66">
        <f>_xll.ICEHistory(M$4,P$5,"DF[dow:12345][tl:Calendar]",$L66)</f>
        <v>73.67</v>
      </c>
      <c r="Q66">
        <f>_xll.ICEHistory(M$4,Q$5,"DF[dow:12345][tl:Calendar]",$L66)</f>
        <v>20614</v>
      </c>
      <c r="R66">
        <f>_xll.ICEHistory(M$4,R$5,"DF[dow:12345][tl:Calendar]",$L66)</f>
        <v>306017</v>
      </c>
      <c r="S66">
        <f>_xll.ICEHistory(S$4,S$5,"DF[dow:12345][tl:Calendar]",$L66)</f>
        <v>30.72</v>
      </c>
      <c r="T66">
        <f>_xll.ICEHistory(S$4,T$5,"DF[dow:12345][tl:Calendar]",$L66)</f>
        <v>32.174999999999997</v>
      </c>
      <c r="U66">
        <f>_xll.ICEHistory(S$4,U$5,"DF[dow:12345][tl:Calendar]",$L66)</f>
        <v>30.72</v>
      </c>
      <c r="V66">
        <f>_xll.ICEHistory(S$4,V$5,"DF[dow:12345][tl:Calendar]",$L66)</f>
        <v>31.79</v>
      </c>
      <c r="W66">
        <f>_xll.ICEHistory(S$4,W$5,"DF[dow:12345][tl:Calendar]",$L66)</f>
        <v>1101</v>
      </c>
      <c r="X66">
        <f t="shared" si="0"/>
        <v>4.1500068936991465E-2</v>
      </c>
      <c r="Y66">
        <f t="shared" si="1"/>
        <v>-0.34782941979124077</v>
      </c>
      <c r="Z66">
        <f t="shared" si="2"/>
        <v>-1.1173952016903017</v>
      </c>
    </row>
    <row r="67" spans="1:26" x14ac:dyDescent="0.25">
      <c r="A67" s="3" t="str">
        <f>_xll.ICEOptionSymbol($B$1,"F","C",$F67)</f>
        <v>EFO 24UC4750-ICN</v>
      </c>
      <c r="B67" s="3">
        <f>_xll.ICEQuote($A67,_xll.ICEFldID(B$5))</f>
        <v>0</v>
      </c>
      <c r="C67" s="3">
        <f>_xll.ICEQuote($A67,_xll.ICEFldID(C$5))</f>
        <v>47.5</v>
      </c>
      <c r="D67" s="3">
        <f>_xll.ICEQuote($A67,_xll.ICEFldID(D$5))</f>
        <v>0.47251582976959289</v>
      </c>
      <c r="E67" s="3">
        <f>_xll.ICEQuote($A67,_xll.ICEFldID(E$5))</f>
        <v>0.96448998378513806</v>
      </c>
      <c r="F67" s="3">
        <f>_xll.ICEOptionStrike($B$1,-39,"F")</f>
        <v>47.5</v>
      </c>
      <c r="G67" s="3" t="str">
        <f>_xll.ICEOptionSymbol($B$1,"F","P",$F67)</f>
        <v>EFO 24UP4750-ICN</v>
      </c>
      <c r="H67" s="3">
        <f>_xll.ICEQuote($G67,_xll.ICEFldID(H$5))</f>
        <v>0</v>
      </c>
      <c r="I67" s="3">
        <f>_xll.ICEQuote($G67,_xll.ICEFldID(I$5))</f>
        <v>47.5</v>
      </c>
      <c r="J67" s="3">
        <f>_xll.ICEQuote($G67,_xll.ICEFldID(J$5))</f>
        <v>0.43490420704446214</v>
      </c>
      <c r="K67" s="3">
        <f>_xll.ICEQuote($G67,_xll.ICEFldID(K$5))</f>
        <v>-2.3065855057203551E-2</v>
      </c>
      <c r="L67" s="4">
        <f>_xll.ICETimeline(_xll.ICEJoinRange(M4:W4),"DF[dow:12345][tl:Calendar]","2020-07-26;2024-07-26",984,-1)</f>
        <v>45415.5</v>
      </c>
      <c r="M67">
        <f>_xll.ICEHistory(M$4,M$5,"DF[dow:12345][tl:Calendar]",$L67)</f>
        <v>72.53</v>
      </c>
      <c r="N67">
        <f>_xll.ICEHistory(M$4,N$5,"DF[dow:12345][tl:Calendar]",$L67)</f>
        <v>74.56</v>
      </c>
      <c r="O67">
        <f>_xll.ICEHistory(M$4,O$5,"DF[dow:12345][tl:Calendar]",$L67)</f>
        <v>71.37</v>
      </c>
      <c r="P67">
        <f>_xll.ICEHistory(M$4,P$5,"DF[dow:12345][tl:Calendar]",$L67)</f>
        <v>71.84</v>
      </c>
      <c r="Q67">
        <f>_xll.ICEHistory(M$4,Q$5,"DF[dow:12345][tl:Calendar]",$L67)</f>
        <v>34658</v>
      </c>
      <c r="R67">
        <f>_xll.ICEHistory(M$4,R$5,"DF[dow:12345][tl:Calendar]",$L67)</f>
        <v>304693</v>
      </c>
      <c r="S67">
        <f>_xll.ICEHistory(S$4,S$5,"DF[dow:12345][tl:Calendar]",$L67)</f>
        <v>30.71</v>
      </c>
      <c r="T67">
        <f>_xll.ICEHistory(S$4,T$5,"DF[dow:12345][tl:Calendar]",$L67)</f>
        <v>31.78</v>
      </c>
      <c r="U67">
        <f>_xll.ICEHistory(S$4,U$5,"DF[dow:12345][tl:Calendar]",$L67)</f>
        <v>30.045000000000002</v>
      </c>
      <c r="V67">
        <f>_xll.ICEHistory(S$4,V$5,"DF[dow:12345][tl:Calendar]",$L67)</f>
        <v>30.045000000000002</v>
      </c>
      <c r="W67">
        <f>_xll.ICEHistory(S$4,W$5,"DF[dow:12345][tl:Calendar]",$L67)</f>
        <v>1085</v>
      </c>
      <c r="X67">
        <f t="shared" si="0"/>
        <v>4.6994696523276341E-2</v>
      </c>
      <c r="Y67">
        <f t="shared" si="1"/>
        <v>-5.5658213087713286E-2</v>
      </c>
      <c r="Z67">
        <f t="shared" si="2"/>
        <v>0.20497707949955832</v>
      </c>
    </row>
    <row r="68" spans="1:26" x14ac:dyDescent="0.25">
      <c r="A68" s="3" t="str">
        <f>_xll.ICEOptionSymbol($B$1,"F","C",$F68)</f>
        <v>EFO 24UC4800-ICN</v>
      </c>
      <c r="B68" s="3">
        <f>_xll.ICEQuote($A68,_xll.ICEFldID(B$5))</f>
        <v>0</v>
      </c>
      <c r="C68" s="3">
        <f>_xll.ICEQuote($A68,_xll.ICEFldID(C$5))</f>
        <v>48</v>
      </c>
      <c r="D68" s="3">
        <f>_xll.ICEQuote($A68,_xll.ICEFldID(D$5))</f>
        <v>0.46428527856057566</v>
      </c>
      <c r="E68" s="3">
        <f>_xll.ICEQuote($A68,_xll.ICEFldID(E$5))</f>
        <v>0.96262153306132503</v>
      </c>
      <c r="F68" s="3">
        <f>_xll.ICEOptionStrike($B$1,-38,"F")</f>
        <v>48</v>
      </c>
      <c r="G68" s="3" t="str">
        <f>_xll.ICEOptionSymbol($B$1,"F","P",$F68)</f>
        <v>EFO 24UP4800-ICN</v>
      </c>
      <c r="H68" s="3">
        <f>_xll.ICEQuote($G68,_xll.ICEFldID(H$5))</f>
        <v>0</v>
      </c>
      <c r="I68" s="3">
        <f>_xll.ICEQuote($G68,_xll.ICEFldID(I$5))</f>
        <v>48</v>
      </c>
      <c r="J68" s="3">
        <f>_xll.ICEQuote($G68,_xll.ICEFldID(J$5))</f>
        <v>0.42973251410070151</v>
      </c>
      <c r="K68" s="3">
        <f>_xll.ICEQuote($G68,_xll.ICEFldID(K$5))</f>
        <v>-2.5178341329333803E-2</v>
      </c>
      <c r="L68" s="4">
        <f>_xll.ICETimeline(_xll.ICEJoinRange(M4:W4),"DF[dow:12345][tl:Calendar]","2020-07-26;2024-07-26",983,-1)</f>
        <v>45414.5</v>
      </c>
      <c r="M68">
        <f>_xll.ICEHistory(M$4,M$5,"DF[dow:12345][tl:Calendar]",$L68)</f>
        <v>67.88</v>
      </c>
      <c r="N68">
        <f>_xll.ICEHistory(M$4,N$5,"DF[dow:12345][tl:Calendar]",$L68)</f>
        <v>73.19</v>
      </c>
      <c r="O68">
        <f>_xll.ICEHistory(M$4,O$5,"DF[dow:12345][tl:Calendar]",$L68)</f>
        <v>67.209999999999994</v>
      </c>
      <c r="P68">
        <f>_xll.ICEHistory(M$4,P$5,"DF[dow:12345][tl:Calendar]",$L68)</f>
        <v>72.69</v>
      </c>
      <c r="Q68">
        <f>_xll.ICEHistory(M$4,Q$5,"DF[dow:12345][tl:Calendar]",$L68)</f>
        <v>48552</v>
      </c>
      <c r="R68">
        <f>_xll.ICEHistory(M$4,R$5,"DF[dow:12345][tl:Calendar]",$L68)</f>
        <v>305873</v>
      </c>
      <c r="S68">
        <f>_xll.ICEHistory(S$4,S$5,"DF[dow:12345][tl:Calendar]",$L68)</f>
        <v>28.524999999999999</v>
      </c>
      <c r="T68">
        <f>_xll.ICEHistory(S$4,T$5,"DF[dow:12345][tl:Calendar]",$L68)</f>
        <v>31.175000000000001</v>
      </c>
      <c r="U68">
        <f>_xll.ICEHistory(S$4,U$5,"DF[dow:12345][tl:Calendar]",$L68)</f>
        <v>28.524999999999999</v>
      </c>
      <c r="V68">
        <f>_xll.ICEHistory(S$4,V$5,"DF[dow:12345][tl:Calendar]",$L68)</f>
        <v>30.835000000000001</v>
      </c>
      <c r="W68">
        <f>_xll.ICEHistory(S$4,W$5,"DF[dow:12345][tl:Calendar]",$L68)</f>
        <v>1619</v>
      </c>
      <c r="X68">
        <f t="shared" si="0"/>
        <v>8.6428674663968835E-2</v>
      </c>
      <c r="Y68">
        <f t="shared" si="1"/>
        <v>2.0232076017379286</v>
      </c>
      <c r="Z68">
        <f t="shared" si="2"/>
        <v>1.5358325139713016</v>
      </c>
    </row>
    <row r="69" spans="1:26" x14ac:dyDescent="0.25">
      <c r="A69" s="3" t="str">
        <f>_xll.ICEOptionSymbol($B$1,"F","C",$F69)</f>
        <v>EFO 24UC4850-ICN</v>
      </c>
      <c r="B69" s="3">
        <f>_xll.ICEQuote($A69,_xll.ICEFldID(B$5))</f>
        <v>0</v>
      </c>
      <c r="C69" s="3">
        <f>_xll.ICEQuote($A69,_xll.ICEFldID(C$5))</f>
        <v>48.5</v>
      </c>
      <c r="D69" s="3">
        <f>_xll.ICEQuote($A69,_xll.ICEFldID(D$5))</f>
        <v>0.45588653682313407</v>
      </c>
      <c r="E69" s="3">
        <f>_xll.ICEQuote($A69,_xll.ICEFldID(E$5))</f>
        <v>0.96068963035667099</v>
      </c>
      <c r="F69" s="3">
        <f>_xll.ICEOptionStrike($B$1,-37,"F")</f>
        <v>48.5</v>
      </c>
      <c r="G69" s="3" t="str">
        <f>_xll.ICEOptionSymbol($B$1,"F","P",$F69)</f>
        <v>EFO 24UP4850-ICN</v>
      </c>
      <c r="H69" s="3">
        <f>_xll.ICEQuote($G69,_xll.ICEFldID(H$5))</f>
        <v>0</v>
      </c>
      <c r="I69" s="3">
        <f>_xll.ICEQuote($G69,_xll.ICEFldID(I$5))</f>
        <v>48.5</v>
      </c>
      <c r="J69" s="3">
        <f>_xll.ICEQuote($G69,_xll.ICEFldID(J$5))</f>
        <v>0.42408236806709892</v>
      </c>
      <c r="K69" s="3">
        <f>_xll.ICEQuote($G69,_xll.ICEFldID(K$5))</f>
        <v>-2.7343112847266128E-2</v>
      </c>
      <c r="L69" s="4">
        <f>_xll.ICETimeline(_xll.ICEJoinRange(M4:W4),"DF[dow:12345][tl:Calendar]","2020-07-26;2024-07-26",982,-1)</f>
        <v>45413.5</v>
      </c>
      <c r="M69">
        <f>_xll.ICEHistory(M$4,M$5,"DF[dow:12345][tl:Calendar]",$L69)</f>
        <v>69.19</v>
      </c>
      <c r="N69">
        <f>_xll.ICEHistory(M$4,N$5,"DF[dow:12345][tl:Calendar]",$L69)</f>
        <v>69.260000000000005</v>
      </c>
      <c r="O69">
        <f>_xll.ICEHistory(M$4,O$5,"DF[dow:12345][tl:Calendar]",$L69)</f>
        <v>67.349999999999994</v>
      </c>
      <c r="P69">
        <f>_xll.ICEHistory(M$4,P$5,"DF[dow:12345][tl:Calendar]",$L69)</f>
        <v>67.91</v>
      </c>
      <c r="Q69">
        <f>_xll.ICEHistory(M$4,Q$5,"DF[dow:12345][tl:Calendar]",$L69)</f>
        <v>13200</v>
      </c>
      <c r="R69">
        <f>_xll.ICEHistory(M$4,R$5,"DF[dow:12345][tl:Calendar]",$L69)</f>
        <v>300835</v>
      </c>
      <c r="S69">
        <f>_xll.ICEHistory(S$4,S$5,"DF[dow:12345][tl:Calendar]",$L69)</f>
        <v>28.7</v>
      </c>
      <c r="T69">
        <f>_xll.ICEHistory(S$4,T$5,"DF[dow:12345][tl:Calendar]",$L69)</f>
        <v>29.055</v>
      </c>
      <c r="U69">
        <f>_xll.ICEHistory(S$4,U$5,"DF[dow:12345][tl:Calendar]",$L69)</f>
        <v>28.475000000000001</v>
      </c>
      <c r="V69">
        <f>_xll.ICEHistory(S$4,V$5,"DF[dow:12345][tl:Calendar]",$L69)</f>
        <v>28.824999999999999</v>
      </c>
      <c r="W69">
        <f>_xll.ICEHistory(S$4,W$5,"DF[dow:12345][tl:Calendar]",$L69)</f>
        <v>794</v>
      </c>
      <c r="X69">
        <f t="shared" si="0"/>
        <v>2.8961334344200316E-2</v>
      </c>
      <c r="Y69">
        <f t="shared" si="1"/>
        <v>-0.99427012873470555</v>
      </c>
      <c r="Z69">
        <f t="shared" si="2"/>
        <v>-1.8127863113790266</v>
      </c>
    </row>
    <row r="70" spans="1:26" x14ac:dyDescent="0.25">
      <c r="A70" s="3" t="str">
        <f>_xll.ICEOptionSymbol($B$1,"F","C",$F70)</f>
        <v>EFO 24UC4900-ICN</v>
      </c>
      <c r="B70" s="3">
        <f>_xll.ICEQuote($A70,_xll.ICEFldID(B$5))</f>
        <v>0</v>
      </c>
      <c r="C70" s="3">
        <f>_xll.ICEQuote($A70,_xll.ICEFldID(C$5))</f>
        <v>49</v>
      </c>
      <c r="D70" s="3">
        <f>_xll.ICEQuote($A70,_xll.ICEFldID(D$5))</f>
        <v>0.4473318317328947</v>
      </c>
      <c r="E70" s="3">
        <f>_xll.ICEQuote($A70,_xll.ICEFldID(E$5))</f>
        <v>0.9586897251991694</v>
      </c>
      <c r="F70" s="3">
        <f>_xll.ICEOptionStrike($B$1,-36,"F")</f>
        <v>49</v>
      </c>
      <c r="G70" s="3" t="str">
        <f>_xll.ICEOptionSymbol($B$1,"F","P",$F70)</f>
        <v>EFO 24UP4900-ICN</v>
      </c>
      <c r="H70" s="3">
        <f>_xll.ICEQuote($G70,_xll.ICEFldID(H$5))</f>
        <v>0</v>
      </c>
      <c r="I70" s="3">
        <f>_xll.ICEQuote($G70,_xll.ICEFldID(I$5))</f>
        <v>49</v>
      </c>
      <c r="J70" s="3">
        <f>_xll.ICEQuote($G70,_xll.ICEFldID(J$5))</f>
        <v>0.41801296723045084</v>
      </c>
      <c r="K70" s="3">
        <f>_xll.ICEQuote($G70,_xll.ICEFldID(K$5))</f>
        <v>-2.9566486695108956E-2</v>
      </c>
      <c r="L70" s="4">
        <f>_xll.ICETimeline(_xll.ICEJoinRange(M4:W4),"DF[dow:12345][tl:Calendar]","2020-07-26;2024-07-26",981,-1)</f>
        <v>45412.5</v>
      </c>
      <c r="M70">
        <f>_xll.ICEHistory(M$4,M$5,"DF[dow:12345][tl:Calendar]",$L70)</f>
        <v>65.95</v>
      </c>
      <c r="N70">
        <f>_xll.ICEHistory(M$4,N$5,"DF[dow:12345][tl:Calendar]",$L70)</f>
        <v>69.599999999999994</v>
      </c>
      <c r="O70">
        <f>_xll.ICEHistory(M$4,O$5,"DF[dow:12345][tl:Calendar]",$L70)</f>
        <v>65.38</v>
      </c>
      <c r="P70">
        <f>_xll.ICEHistory(M$4,P$5,"DF[dow:12345][tl:Calendar]",$L70)</f>
        <v>69.2</v>
      </c>
      <c r="Q70">
        <f>_xll.ICEHistory(M$4,Q$5,"DF[dow:12345][tl:Calendar]",$L70)</f>
        <v>31133</v>
      </c>
      <c r="R70">
        <f>_xll.ICEHistory(M$4,R$5,"DF[dow:12345][tl:Calendar]",$L70)</f>
        <v>300518</v>
      </c>
      <c r="S70">
        <f>_xll.ICEHistory(S$4,S$5,"DF[dow:12345][tl:Calendar]",$L70)</f>
        <v>28.45</v>
      </c>
      <c r="T70">
        <f>_xll.ICEHistory(S$4,T$5,"DF[dow:12345][tl:Calendar]",$L70)</f>
        <v>29.504999999999999</v>
      </c>
      <c r="U70">
        <f>_xll.ICEHistory(S$4,U$5,"DF[dow:12345][tl:Calendar]",$L70)</f>
        <v>28.45</v>
      </c>
      <c r="V70">
        <f>_xll.ICEHistory(S$4,V$5,"DF[dow:12345][tl:Calendar]",$L70)</f>
        <v>29.375</v>
      </c>
      <c r="W70">
        <f>_xll.ICEHistory(S$4,W$5,"DF[dow:12345][tl:Calendar]",$L70)</f>
        <v>425</v>
      </c>
      <c r="X70">
        <f t="shared" si="0"/>
        <v>6.2985074626865659E-2</v>
      </c>
      <c r="Y70">
        <f t="shared" si="1"/>
        <v>0.85321454594408963</v>
      </c>
      <c r="Z70">
        <f t="shared" si="2"/>
        <v>-0.11101687429381947</v>
      </c>
    </row>
    <row r="71" spans="1:26" x14ac:dyDescent="0.25">
      <c r="A71" s="3" t="str">
        <f>_xll.ICEOptionSymbol($B$1,"F","C",$F71)</f>
        <v>EFO 24UC4950-ICN</v>
      </c>
      <c r="B71" s="3">
        <f>_xll.ICEQuote($A71,_xll.ICEFldID(B$5))</f>
        <v>0</v>
      </c>
      <c r="C71" s="3">
        <f>_xll.ICEQuote($A71,_xll.ICEFldID(C$5))</f>
        <v>49.5</v>
      </c>
      <c r="D71" s="3">
        <f>_xll.ICEQuote($A71,_xll.ICEFldID(D$5))</f>
        <v>0.44072688973856511</v>
      </c>
      <c r="E71" s="3">
        <f>_xll.ICEQuote($A71,_xll.ICEFldID(E$5))</f>
        <v>0.95597088272359476</v>
      </c>
      <c r="F71" s="3">
        <f>_xll.ICEOptionStrike($B$1,-35,"F")</f>
        <v>49.5</v>
      </c>
      <c r="G71" s="3" t="str">
        <f>_xll.ICEOptionSymbol($B$1,"F","P",$F71)</f>
        <v>EFO 24UP4950-ICN</v>
      </c>
      <c r="H71" s="3">
        <f>_xll.ICEQuote($G71,_xll.ICEFldID(H$5))</f>
        <v>0</v>
      </c>
      <c r="I71" s="3">
        <f>_xll.ICEQuote($G71,_xll.ICEFldID(I$5))</f>
        <v>49.5</v>
      </c>
      <c r="J71" s="3">
        <f>_xll.ICEQuote($G71,_xll.ICEFldID(J$5))</f>
        <v>0.41408909517755188</v>
      </c>
      <c r="K71" s="3">
        <f>_xll.ICEQuote($G71,_xll.ICEFldID(K$5))</f>
        <v>-3.2592645097745405E-2</v>
      </c>
      <c r="L71" s="4">
        <f>_xll.ICETimeline(_xll.ICEJoinRange(M4:W4),"DF[dow:12345][tl:Calendar]","2020-07-26;2024-07-26",980,-1)</f>
        <v>45411.5</v>
      </c>
      <c r="M71">
        <f>_xll.ICEHistory(M$4,M$5,"DF[dow:12345][tl:Calendar]",$L71)</f>
        <v>67</v>
      </c>
      <c r="N71">
        <f>_xll.ICEHistory(M$4,N$5,"DF[dow:12345][tl:Calendar]",$L71)</f>
        <v>67.36</v>
      </c>
      <c r="O71">
        <f>_xll.ICEHistory(M$4,O$5,"DF[dow:12345][tl:Calendar]",$L71)</f>
        <v>65.010000000000005</v>
      </c>
      <c r="P71">
        <f>_xll.ICEHistory(M$4,P$5,"DF[dow:12345][tl:Calendar]",$L71)</f>
        <v>65.8</v>
      </c>
      <c r="Q71">
        <f>_xll.ICEHistory(M$4,Q$5,"DF[dow:12345][tl:Calendar]",$L71)</f>
        <v>21764</v>
      </c>
      <c r="R71">
        <f>_xll.ICEHistory(M$4,R$5,"DF[dow:12345][tl:Calendar]",$L71)</f>
        <v>299350</v>
      </c>
      <c r="S71">
        <f>_xll.ICEHistory(S$4,S$5,"DF[dow:12345][tl:Calendar]",$L71)</f>
        <v>27.994</v>
      </c>
      <c r="T71">
        <f>_xll.ICEHistory(S$4,T$5,"DF[dow:12345][tl:Calendar]",$L71)</f>
        <v>27.994</v>
      </c>
      <c r="U71">
        <f>_xll.ICEHistory(S$4,U$5,"DF[dow:12345][tl:Calendar]",$L71)</f>
        <v>27.994</v>
      </c>
      <c r="V71">
        <f>_xll.ICEHistory(S$4,V$5,"DF[dow:12345][tl:Calendar]",$L71)</f>
        <v>27.994</v>
      </c>
      <c r="W71">
        <f>_xll.ICEHistory(S$4,W$5,"DF[dow:12345][tl:Calendar]",$L71)</f>
        <v>4</v>
      </c>
      <c r="X71">
        <f t="shared" si="0"/>
        <v>3.4452426330450002E-2</v>
      </c>
      <c r="Y71">
        <f t="shared" si="1"/>
        <v>-0.69262626808228311</v>
      </c>
      <c r="Z71">
        <f t="shared" si="2"/>
        <v>-1.0317167546072605</v>
      </c>
    </row>
    <row r="72" spans="1:26" x14ac:dyDescent="0.25">
      <c r="A72" s="3" t="str">
        <f>_xll.ICEOptionSymbol($B$1,"F","C",$F72)</f>
        <v>EFO 24UC5000-ICN</v>
      </c>
      <c r="B72" s="3">
        <f>_xll.ICEQuote($A72,_xll.ICEFldID(B$5))</f>
        <v>0</v>
      </c>
      <c r="C72" s="3">
        <f>_xll.ICEQuote($A72,_xll.ICEFldID(C$5))</f>
        <v>50</v>
      </c>
      <c r="D72" s="3">
        <f>_xll.ICEQuote($A72,_xll.ICEFldID(D$5))</f>
        <v>0.43378825118620112</v>
      </c>
      <c r="E72" s="3">
        <f>_xll.ICEQuote($A72,_xll.ICEFldID(E$5))</f>
        <v>0.95317092618019217</v>
      </c>
      <c r="F72" s="3">
        <f>_xll.ICEOptionStrike($B$1,-34,"F")</f>
        <v>50</v>
      </c>
      <c r="G72" s="3" t="str">
        <f>_xll.ICEOptionSymbol($B$1,"F","P",$F72)</f>
        <v>EFO 24UP5000-ICN</v>
      </c>
      <c r="H72" s="3">
        <f>_xll.ICEQuote($G72,_xll.ICEFldID(H$5))</f>
        <v>6150</v>
      </c>
      <c r="I72" s="3">
        <f>_xll.ICEQuote($G72,_xll.ICEFldID(I$5))</f>
        <v>50</v>
      </c>
      <c r="J72" s="3">
        <f>_xll.ICEQuote($G72,_xll.ICEFldID(J$5))</f>
        <v>0.40950804859778928</v>
      </c>
      <c r="K72" s="3">
        <f>_xll.ICEQuote($G72,_xll.ICEFldID(K$5))</f>
        <v>-3.5680441281053049E-2</v>
      </c>
      <c r="L72" s="4">
        <f>_xll.ICETimeline(_xll.ICEJoinRange(M4:W4),"DF[dow:12345][tl:Calendar]","2020-07-26;2024-07-26",979,-1)</f>
        <v>45408.5</v>
      </c>
      <c r="M72">
        <f>_xll.ICEHistory(M$4,M$5,"DF[dow:12345][tl:Calendar]",$L72)</f>
        <v>68.209999999999994</v>
      </c>
      <c r="N72">
        <f>_xll.ICEHistory(M$4,N$5,"DF[dow:12345][tl:Calendar]",$L72)</f>
        <v>69.2</v>
      </c>
      <c r="O72">
        <f>_xll.ICEHistory(M$4,O$5,"DF[dow:12345][tl:Calendar]",$L72)</f>
        <v>66.569999999999993</v>
      </c>
      <c r="P72">
        <f>_xll.ICEHistory(M$4,P$5,"DF[dow:12345][tl:Calendar]",$L72)</f>
        <v>67.510000000000005</v>
      </c>
      <c r="Q72">
        <f>_xll.ICEHistory(M$4,Q$5,"DF[dow:12345][tl:Calendar]",$L72)</f>
        <v>21447</v>
      </c>
      <c r="R72">
        <f>_xll.ICEHistory(M$4,R$5,"DF[dow:12345][tl:Calendar]",$L72)</f>
        <v>297800</v>
      </c>
      <c r="S72">
        <f>_xll.ICEHistory(S$4,S$5,"DF[dow:12345][tl:Calendar]",$L72)</f>
        <v>29.864999999999998</v>
      </c>
      <c r="T72">
        <f>_xll.ICEHistory(S$4,T$5,"DF[dow:12345][tl:Calendar]",$L72)</f>
        <v>30.265000000000001</v>
      </c>
      <c r="U72">
        <f>_xll.ICEHistory(S$4,U$5,"DF[dow:12345][tl:Calendar]",$L72)</f>
        <v>28.885999999999999</v>
      </c>
      <c r="V72">
        <f>_xll.ICEHistory(S$4,V$5,"DF[dow:12345][tl:Calendar]",$L72)</f>
        <v>28.885999999999999</v>
      </c>
      <c r="W72">
        <f>_xll.ICEHistory(S$4,W$5,"DF[dow:12345][tl:Calendar]",$L72)</f>
        <v>66</v>
      </c>
      <c r="X72">
        <f t="shared" si="0"/>
        <v>3.9253731343283728E-2</v>
      </c>
      <c r="Y72">
        <f t="shared" si="1"/>
        <v>-0.43537076693903326</v>
      </c>
      <c r="Z72">
        <f t="shared" si="2"/>
        <v>-1.0749104902102309</v>
      </c>
    </row>
    <row r="73" spans="1:26" x14ac:dyDescent="0.25">
      <c r="A73" s="3" t="str">
        <f>_xll.ICEOptionSymbol($B$1,"F","C",$F73)</f>
        <v>EFO 24UC5050-ICN</v>
      </c>
      <c r="B73" s="3">
        <f>_xll.ICEQuote($A73,_xll.ICEFldID(B$5))</f>
        <v>0</v>
      </c>
      <c r="C73" s="3">
        <f>_xll.ICEQuote($A73,_xll.ICEFldID(C$5))</f>
        <v>50.5</v>
      </c>
      <c r="D73" s="3">
        <f>_xll.ICEQuote($A73,_xll.ICEFldID(D$5))</f>
        <v>0.42840820375246769</v>
      </c>
      <c r="E73" s="3">
        <f>_xll.ICEQuote($A73,_xll.ICEFldID(E$5))</f>
        <v>0.94964494706896119</v>
      </c>
      <c r="F73" s="3">
        <f>_xll.ICEOptionStrike($B$1,-33,"F")</f>
        <v>50.5</v>
      </c>
      <c r="G73" s="3" t="str">
        <f>_xll.ICEOptionSymbol($B$1,"F","P",$F73)</f>
        <v>EFO 24UP5050-ICN</v>
      </c>
      <c r="H73" s="3">
        <f>_xll.ICEQuote($G73,_xll.ICEFldID(H$5))</f>
        <v>0</v>
      </c>
      <c r="I73" s="3">
        <f>_xll.ICEQuote($G73,_xll.ICEFldID(I$5))</f>
        <v>50.5</v>
      </c>
      <c r="J73" s="3">
        <f>_xll.ICEQuote($G73,_xll.ICEFldID(J$5))</f>
        <v>0.40650200266221936</v>
      </c>
      <c r="K73" s="3">
        <f>_xll.ICEQuote($G73,_xll.ICEFldID(K$5))</f>
        <v>-3.9553500577757514E-2</v>
      </c>
      <c r="L73" s="4">
        <f>_xll.ICETimeline(_xll.ICEJoinRange(M4:W4),"DF[dow:12345][tl:Calendar]","2020-07-26;2024-07-26",978,-1)</f>
        <v>45407.5</v>
      </c>
      <c r="M73">
        <f>_xll.ICEHistory(M$4,M$5,"DF[dow:12345][tl:Calendar]",$L73)</f>
        <v>67</v>
      </c>
      <c r="N73">
        <f>_xll.ICEHistory(M$4,N$5,"DF[dow:12345][tl:Calendar]",$L73)</f>
        <v>69.97</v>
      </c>
      <c r="O73">
        <f>_xll.ICEHistory(M$4,O$5,"DF[dow:12345][tl:Calendar]",$L73)</f>
        <v>66.540000000000006</v>
      </c>
      <c r="P73">
        <f>_xll.ICEHistory(M$4,P$5,"DF[dow:12345][tl:Calendar]",$L73)</f>
        <v>68.41</v>
      </c>
      <c r="Q73">
        <f>_xll.ICEHistory(M$4,Q$5,"DF[dow:12345][tl:Calendar]",$L73)</f>
        <v>36435</v>
      </c>
      <c r="R73">
        <f>_xll.ICEHistory(M$4,R$5,"DF[dow:12345][tl:Calendar]",$L73)</f>
        <v>295607</v>
      </c>
      <c r="S73">
        <f>_xll.ICEHistory(S$4,S$5,"DF[dow:12345][tl:Calendar]",$L73)</f>
        <v>29.645</v>
      </c>
      <c r="T73">
        <f>_xll.ICEHistory(S$4,T$5,"DF[dow:12345][tl:Calendar]",$L73)</f>
        <v>30.65</v>
      </c>
      <c r="U73">
        <f>_xll.ICEHistory(S$4,U$5,"DF[dow:12345][tl:Calendar]",$L73)</f>
        <v>29.36</v>
      </c>
      <c r="V73">
        <f>_xll.ICEHistory(S$4,V$5,"DF[dow:12345][tl:Calendar]",$L73)</f>
        <v>29.9</v>
      </c>
      <c r="W73">
        <f>_xll.ICEHistory(S$4,W$5,"DF[dow:12345][tl:Calendar]",$L73)</f>
        <v>90</v>
      </c>
      <c r="X73">
        <f t="shared" ref="X73:X136" si="3">IFERROR((N73-O73)/M74, "")</f>
        <v>5.1773584905660266E-2</v>
      </c>
      <c r="Y73">
        <f t="shared" ref="Y73:Y136" si="4">IFERROR((X73-AVERAGE(X73:X137))/_xlfn.STDEV.S(X73:X137),"")</f>
        <v>0.2473649010476387</v>
      </c>
      <c r="Z73">
        <f t="shared" ref="Z73:Z136" si="5">IFERROR((Q73-AVERAGE(Q73:Q138))/_xlfn.STDEV.S(Q73:Q138),"")</f>
        <v>0.40181020775167092</v>
      </c>
    </row>
    <row r="74" spans="1:26" x14ac:dyDescent="0.25">
      <c r="A74" s="3" t="str">
        <f>_xll.ICEOptionSymbol($B$1,"F","C",$F74)</f>
        <v>EFO 24UC5100-ICN</v>
      </c>
      <c r="B74" s="3">
        <f>_xll.ICEQuote($A74,_xll.ICEFldID(B$5))</f>
        <v>0</v>
      </c>
      <c r="C74" s="3">
        <f>_xll.ICEQuote($A74,_xll.ICEFldID(C$5))</f>
        <v>51</v>
      </c>
      <c r="D74" s="3">
        <f>_xll.ICEQuote($A74,_xll.ICEFldID(D$5))</f>
        <v>0.42079665579653924</v>
      </c>
      <c r="E74" s="3">
        <f>_xll.ICEQuote($A74,_xll.ICEFldID(E$5))</f>
        <v>0.94665982956804151</v>
      </c>
      <c r="F74" s="3">
        <f>_xll.ICEOptionStrike($B$1,-32,"F")</f>
        <v>51</v>
      </c>
      <c r="G74" s="3" t="str">
        <f>_xll.ICEOptionSymbol($B$1,"F","P",$F74)</f>
        <v>EFO 24UP5100-ICN</v>
      </c>
      <c r="H74" s="3">
        <f>_xll.ICEQuote($G74,_xll.ICEFldID(H$5))</f>
        <v>0</v>
      </c>
      <c r="I74" s="3">
        <f>_xll.ICEQuote($G74,_xll.ICEFldID(I$5))</f>
        <v>51</v>
      </c>
      <c r="J74" s="3">
        <f>_xll.ICEQuote($G74,_xll.ICEFldID(J$5))</f>
        <v>0.40071966640266365</v>
      </c>
      <c r="K74" s="3">
        <f>_xll.ICEQuote($G74,_xll.ICEFldID(K$5))</f>
        <v>-4.2791368609138347E-2</v>
      </c>
      <c r="L74" s="4">
        <f>_xll.ICETimeline(_xll.ICEJoinRange(M4:W4),"DF[dow:12345][tl:Calendar]","2020-07-26;2024-07-26",977,-1)</f>
        <v>45406.5</v>
      </c>
      <c r="M74">
        <f>_xll.ICEHistory(M$4,M$5,"DF[dow:12345][tl:Calendar]",$L74)</f>
        <v>66.25</v>
      </c>
      <c r="N74">
        <f>_xll.ICEHistory(M$4,N$5,"DF[dow:12345][tl:Calendar]",$L74)</f>
        <v>67.47</v>
      </c>
      <c r="O74">
        <f>_xll.ICEHistory(M$4,O$5,"DF[dow:12345][tl:Calendar]",$L74)</f>
        <v>64.75</v>
      </c>
      <c r="P74">
        <f>_xll.ICEHistory(M$4,P$5,"DF[dow:12345][tl:Calendar]",$L74)</f>
        <v>66.849999999999994</v>
      </c>
      <c r="Q74">
        <f>_xll.ICEHistory(M$4,Q$5,"DF[dow:12345][tl:Calendar]",$L74)</f>
        <v>30108</v>
      </c>
      <c r="R74">
        <f>_xll.ICEHistory(M$4,R$5,"DF[dow:12345][tl:Calendar]",$L74)</f>
        <v>292075</v>
      </c>
      <c r="S74">
        <f>_xll.ICEHistory(S$4,S$5,"DF[dow:12345][tl:Calendar]",$L74)</f>
        <v>29.12</v>
      </c>
      <c r="T74">
        <f>_xll.ICEHistory(S$4,T$5,"DF[dow:12345][tl:Calendar]",$L74)</f>
        <v>29.33</v>
      </c>
      <c r="U74">
        <f>_xll.ICEHistory(S$4,U$5,"DF[dow:12345][tl:Calendar]",$L74)</f>
        <v>28.2</v>
      </c>
      <c r="V74">
        <f>_xll.ICEHistory(S$4,V$5,"DF[dow:12345][tl:Calendar]",$L74)</f>
        <v>29.105</v>
      </c>
      <c r="W74">
        <f>_xll.ICEHistory(S$4,W$5,"DF[dow:12345][tl:Calendar]",$L74)</f>
        <v>228</v>
      </c>
      <c r="X74">
        <f t="shared" si="3"/>
        <v>4.1062801932367138E-2</v>
      </c>
      <c r="Y74">
        <f t="shared" si="4"/>
        <v>-0.34665515991631562</v>
      </c>
      <c r="Z74">
        <f t="shared" si="5"/>
        <v>-0.21655512395971005</v>
      </c>
    </row>
    <row r="75" spans="1:26" x14ac:dyDescent="0.25">
      <c r="A75" s="3" t="str">
        <f>_xll.ICEOptionSymbol($B$1,"F","C",$F75)</f>
        <v>EFO 24UC5150-ICN</v>
      </c>
      <c r="B75" s="3">
        <f>_xll.ICEQuote($A75,_xll.ICEFldID(B$5))</f>
        <v>0</v>
      </c>
      <c r="C75" s="3">
        <f>_xll.ICEQuote($A75,_xll.ICEFldID(C$5))</f>
        <v>51.5</v>
      </c>
      <c r="D75" s="3">
        <f>_xll.ICEQuote($A75,_xll.ICEFldID(D$5))</f>
        <v>0.41460769253261054</v>
      </c>
      <c r="E75" s="3">
        <f>_xll.ICEQuote($A75,_xll.ICEFldID(E$5))</f>
        <v>0.94293661955925989</v>
      </c>
      <c r="F75" s="3">
        <f>_xll.ICEOptionStrike($B$1,-31,"F")</f>
        <v>51.5</v>
      </c>
      <c r="G75" s="3" t="str">
        <f>_xll.ICEOptionSymbol($B$1,"F","P",$F75)</f>
        <v>EFO 24UP5150-ICN</v>
      </c>
      <c r="H75" s="3">
        <f>_xll.ICEQuote($G75,_xll.ICEFldID(H$5))</f>
        <v>0</v>
      </c>
      <c r="I75" s="3">
        <f>_xll.ICEQuote($G75,_xll.ICEFldID(I$5))</f>
        <v>51.5</v>
      </c>
      <c r="J75" s="3">
        <f>_xll.ICEQuote($G75,_xll.ICEFldID(J$5))</f>
        <v>0.39637701942949649</v>
      </c>
      <c r="K75" s="3">
        <f>_xll.ICEQuote($G75,_xll.ICEFldID(K$5))</f>
        <v>-4.6820195351213428E-2</v>
      </c>
      <c r="L75" s="4">
        <f>_xll.ICETimeline(_xll.ICEJoinRange(M4:W4),"DF[dow:12345][tl:Calendar]","2020-07-26;2024-07-26",976,-1)</f>
        <v>45405.5</v>
      </c>
      <c r="M75">
        <f>_xll.ICEHistory(M$4,M$5,"DF[dow:12345][tl:Calendar]",$L75)</f>
        <v>66.239999999999995</v>
      </c>
      <c r="N75">
        <f>_xll.ICEHistory(M$4,N$5,"DF[dow:12345][tl:Calendar]",$L75)</f>
        <v>67.239999999999995</v>
      </c>
      <c r="O75">
        <f>_xll.ICEHistory(M$4,O$5,"DF[dow:12345][tl:Calendar]",$L75)</f>
        <v>65.34</v>
      </c>
      <c r="P75">
        <f>_xll.ICEHistory(M$4,P$5,"DF[dow:12345][tl:Calendar]",$L75)</f>
        <v>66.38</v>
      </c>
      <c r="Q75">
        <f>_xll.ICEHistory(M$4,Q$5,"DF[dow:12345][tl:Calendar]",$L75)</f>
        <v>31308</v>
      </c>
      <c r="R75">
        <f>_xll.ICEHistory(M$4,R$5,"DF[dow:12345][tl:Calendar]",$L75)</f>
        <v>288230</v>
      </c>
      <c r="S75">
        <f>_xll.ICEHistory(S$4,S$5,"DF[dow:12345][tl:Calendar]",$L75)</f>
        <v>28.965</v>
      </c>
      <c r="T75">
        <f>_xll.ICEHistory(S$4,T$5,"DF[dow:12345][tl:Calendar]",$L75)</f>
        <v>29.905000000000001</v>
      </c>
      <c r="U75">
        <f>_xll.ICEHistory(S$4,U$5,"DF[dow:12345][tl:Calendar]",$L75)</f>
        <v>28.4</v>
      </c>
      <c r="V75">
        <f>_xll.ICEHistory(S$4,V$5,"DF[dow:12345][tl:Calendar]",$L75)</f>
        <v>28.6</v>
      </c>
      <c r="W75">
        <f>_xll.ICEHistory(S$4,W$5,"DF[dow:12345][tl:Calendar]",$L75)</f>
        <v>171</v>
      </c>
      <c r="X75">
        <f t="shared" si="3"/>
        <v>2.7904244382434888E-2</v>
      </c>
      <c r="Y75">
        <f t="shared" si="4"/>
        <v>-1.0787767208425127</v>
      </c>
      <c r="Z75">
        <f t="shared" si="5"/>
        <v>-8.7553509415837394E-2</v>
      </c>
    </row>
    <row r="76" spans="1:26" x14ac:dyDescent="0.25">
      <c r="A76" s="3" t="str">
        <f>_xll.ICEOptionSymbol($B$1,"F","C",$F76)</f>
        <v>EFO 24UC5200-ICN</v>
      </c>
      <c r="B76" s="3">
        <f>_xll.ICEQuote($A76,_xll.ICEFldID(B$5))</f>
        <v>0</v>
      </c>
      <c r="C76" s="3">
        <f>_xll.ICEQuote($A76,_xll.ICEFldID(C$5))</f>
        <v>52</v>
      </c>
      <c r="D76" s="3">
        <f>_xll.ICEQuote($A76,_xll.ICEFldID(D$5))</f>
        <v>0.40802048320426682</v>
      </c>
      <c r="E76" s="3">
        <f>_xll.ICEQuote($A76,_xll.ICEFldID(E$5))</f>
        <v>0.93910127824485001</v>
      </c>
      <c r="F76" s="3">
        <f>_xll.ICEOptionStrike($B$1,-30,"F")</f>
        <v>52</v>
      </c>
      <c r="G76" s="3" t="str">
        <f>_xll.ICEOptionSymbol($B$1,"F","P",$F76)</f>
        <v>EFO 24UP5200-ICN</v>
      </c>
      <c r="H76" s="3">
        <f>_xll.ICEQuote($G76,_xll.ICEFldID(H$5))</f>
        <v>4125</v>
      </c>
      <c r="I76" s="3">
        <f>_xll.ICEQuote($G76,_xll.ICEFldID(I$5))</f>
        <v>52</v>
      </c>
      <c r="J76" s="3">
        <f>_xll.ICEQuote($G76,_xll.ICEFldID(J$5))</f>
        <v>0.39142211862178028</v>
      </c>
      <c r="K76" s="3">
        <f>_xll.ICEQuote($G76,_xll.ICEFldID(K$5))</f>
        <v>-5.0942613999535744E-2</v>
      </c>
      <c r="L76" s="4">
        <f>_xll.ICETimeline(_xll.ICEJoinRange(M4:W4),"DF[dow:12345][tl:Calendar]","2020-07-26;2024-07-26",975,-1)</f>
        <v>45404.5</v>
      </c>
      <c r="M76">
        <f>_xll.ICEHistory(M$4,M$5,"DF[dow:12345][tl:Calendar]",$L76)</f>
        <v>68.09</v>
      </c>
      <c r="N76">
        <f>_xll.ICEHistory(M$4,N$5,"DF[dow:12345][tl:Calendar]",$L76)</f>
        <v>68.19</v>
      </c>
      <c r="O76">
        <f>_xll.ICEHistory(M$4,O$5,"DF[dow:12345][tl:Calendar]",$L76)</f>
        <v>66.010000000000005</v>
      </c>
      <c r="P76">
        <f>_xll.ICEHistory(M$4,P$5,"DF[dow:12345][tl:Calendar]",$L76)</f>
        <v>66.400000000000006</v>
      </c>
      <c r="Q76">
        <f>_xll.ICEHistory(M$4,Q$5,"DF[dow:12345][tl:Calendar]",$L76)</f>
        <v>35334</v>
      </c>
      <c r="R76">
        <f>_xll.ICEHistory(M$4,R$5,"DF[dow:12345][tl:Calendar]",$L76)</f>
        <v>286331</v>
      </c>
      <c r="S76">
        <f>_xll.ICEHistory(S$4,S$5,"DF[dow:12345][tl:Calendar]",$L76)</f>
        <v>29.85</v>
      </c>
      <c r="T76">
        <f>_xll.ICEHistory(S$4,T$5,"DF[dow:12345][tl:Calendar]",$L76)</f>
        <v>30.425000000000001</v>
      </c>
      <c r="U76">
        <f>_xll.ICEHistory(S$4,U$5,"DF[dow:12345][tl:Calendar]",$L76)</f>
        <v>29.074999999999999</v>
      </c>
      <c r="V76">
        <f>_xll.ICEHistory(S$4,V$5,"DF[dow:12345][tl:Calendar]",$L76)</f>
        <v>29.074999999999999</v>
      </c>
      <c r="W76">
        <f>_xll.ICEHistory(S$4,W$5,"DF[dow:12345][tl:Calendar]",$L76)</f>
        <v>383</v>
      </c>
      <c r="X76">
        <f t="shared" si="3"/>
        <v>3.0064818645703938E-2</v>
      </c>
      <c r="Y76">
        <f t="shared" si="4"/>
        <v>-0.97087893212990273</v>
      </c>
      <c r="Z76">
        <f t="shared" si="5"/>
        <v>0.3212097264093981</v>
      </c>
    </row>
    <row r="77" spans="1:26" x14ac:dyDescent="0.25">
      <c r="A77" s="3" t="str">
        <f>_xll.ICEOptionSymbol($B$1,"F","C",$F77)</f>
        <v>EFO 24UC5250-ICN</v>
      </c>
      <c r="B77" s="3">
        <f>_xll.ICEQuote($A77,_xll.ICEFldID(B$5))</f>
        <v>0</v>
      </c>
      <c r="C77" s="3">
        <f>_xll.ICEQuote($A77,_xll.ICEFldID(C$5))</f>
        <v>52.5</v>
      </c>
      <c r="D77" s="3">
        <f>_xll.ICEQuote($A77,_xll.ICEFldID(D$5))</f>
        <v>0.40256056771539545</v>
      </c>
      <c r="E77" s="3">
        <f>_xll.ICEQuote($A77,_xll.ICEFldID(E$5))</f>
        <v>0.93452150959395108</v>
      </c>
      <c r="F77" s="3">
        <f>_xll.ICEOptionStrike($B$1,-29,"F")</f>
        <v>52.5</v>
      </c>
      <c r="G77" s="3" t="str">
        <f>_xll.ICEOptionSymbol($B$1,"F","P",$F77)</f>
        <v>EFO 24UP5250-ICN</v>
      </c>
      <c r="H77" s="3">
        <f>_xll.ICEQuote($G77,_xll.ICEFldID(H$5))</f>
        <v>0</v>
      </c>
      <c r="I77" s="3">
        <f>_xll.ICEQuote($G77,_xll.ICEFldID(I$5))</f>
        <v>52.5</v>
      </c>
      <c r="J77" s="3">
        <f>_xll.ICEQuote($G77,_xll.ICEFldID(J$5))</f>
        <v>0.38754851180390876</v>
      </c>
      <c r="K77" s="3">
        <f>_xll.ICEQuote($G77,_xll.ICEFldID(K$5))</f>
        <v>-5.5846332931552022E-2</v>
      </c>
      <c r="L77" s="4">
        <f>_xll.ICETimeline(_xll.ICEJoinRange(M4:W4),"DF[dow:12345][tl:Calendar]","2020-07-26;2024-07-26",974,-1)</f>
        <v>45401.5</v>
      </c>
      <c r="M77">
        <f>_xll.ICEHistory(M$4,M$5,"DF[dow:12345][tl:Calendar]",$L77)</f>
        <v>72.510000000000005</v>
      </c>
      <c r="N77">
        <f>_xll.ICEHistory(M$4,N$5,"DF[dow:12345][tl:Calendar]",$L77)</f>
        <v>73.3</v>
      </c>
      <c r="O77">
        <f>_xll.ICEHistory(M$4,O$5,"DF[dow:12345][tl:Calendar]",$L77)</f>
        <v>68.099999999999994</v>
      </c>
      <c r="P77">
        <f>_xll.ICEHistory(M$4,P$5,"DF[dow:12345][tl:Calendar]",$L77)</f>
        <v>68.52</v>
      </c>
      <c r="Q77">
        <f>_xll.ICEHistory(M$4,Q$5,"DF[dow:12345][tl:Calendar]",$L77)</f>
        <v>32412</v>
      </c>
      <c r="R77">
        <f>_xll.ICEHistory(M$4,R$5,"DF[dow:12345][tl:Calendar]",$L77)</f>
        <v>282241</v>
      </c>
      <c r="S77">
        <f>_xll.ICEHistory(S$4,S$5,"DF[dow:12345][tl:Calendar]",$L77)</f>
        <v>33.615000000000002</v>
      </c>
      <c r="T77">
        <f>_xll.ICEHistory(S$4,T$5,"DF[dow:12345][tl:Calendar]",$L77)</f>
        <v>33.715000000000003</v>
      </c>
      <c r="U77">
        <f>_xll.ICEHistory(S$4,U$5,"DF[dow:12345][tl:Calendar]",$L77)</f>
        <v>30.574999999999999</v>
      </c>
      <c r="V77">
        <f>_xll.ICEHistory(S$4,V$5,"DF[dow:12345][tl:Calendar]",$L77)</f>
        <v>30.72</v>
      </c>
      <c r="W77">
        <f>_xll.ICEHistory(S$4,W$5,"DF[dow:12345][tl:Calendar]",$L77)</f>
        <v>644</v>
      </c>
      <c r="X77">
        <f t="shared" si="3"/>
        <v>7.4391988555078725E-2</v>
      </c>
      <c r="Y77">
        <f t="shared" si="4"/>
        <v>1.4877662671073826</v>
      </c>
      <c r="Z77">
        <f t="shared" si="5"/>
        <v>5.3430972773477477E-2</v>
      </c>
    </row>
    <row r="78" spans="1:26" x14ac:dyDescent="0.25">
      <c r="A78" s="3" t="str">
        <f>_xll.ICEOptionSymbol($B$1,"F","C",$F78)</f>
        <v>EFO 24UC5300-ICN</v>
      </c>
      <c r="B78" s="3">
        <f>_xll.ICEQuote($A78,_xll.ICEFldID(B$5))</f>
        <v>0</v>
      </c>
      <c r="C78" s="3">
        <f>_xll.ICEQuote($A78,_xll.ICEFldID(C$5))</f>
        <v>53</v>
      </c>
      <c r="D78" s="3">
        <f>_xll.ICEQuote($A78,_xll.ICEFldID(D$5))</f>
        <v>0.39661009728562163</v>
      </c>
      <c r="E78" s="3">
        <f>_xll.ICEQuote($A78,_xll.ICEFldID(E$5))</f>
        <v>0.92981405786615601</v>
      </c>
      <c r="F78" s="3">
        <f>_xll.ICEOptionStrike($B$1,-28,"F")</f>
        <v>53</v>
      </c>
      <c r="G78" s="3" t="str">
        <f>_xll.ICEOptionSymbol($B$1,"F","P",$F78)</f>
        <v>EFO 24UP5300-ICN</v>
      </c>
      <c r="H78" s="3">
        <f>_xll.ICEQuote($G78,_xll.ICEFldID(H$5))</f>
        <v>0</v>
      </c>
      <c r="I78" s="3">
        <f>_xll.ICEQuote($G78,_xll.ICEFldID(I$5))</f>
        <v>53</v>
      </c>
      <c r="J78" s="3">
        <f>_xll.ICEQuote($G78,_xll.ICEFldID(J$5))</f>
        <v>0.38299190947144357</v>
      </c>
      <c r="K78" s="3">
        <f>_xll.ICEQuote($G78,_xll.ICEFldID(K$5))</f>
        <v>-6.0856005383943632E-2</v>
      </c>
      <c r="L78" s="4">
        <f>_xll.ICETimeline(_xll.ICEJoinRange(M4:W4),"DF[dow:12345][tl:Calendar]","2020-07-26;2024-07-26",973,-1)</f>
        <v>45400.5</v>
      </c>
      <c r="M78">
        <f>_xll.ICEHistory(M$4,M$5,"DF[dow:12345][tl:Calendar]",$L78)</f>
        <v>69.900000000000006</v>
      </c>
      <c r="N78">
        <f>_xll.ICEHistory(M$4,N$5,"DF[dow:12345][tl:Calendar]",$L78)</f>
        <v>72.290000000000006</v>
      </c>
      <c r="O78">
        <f>_xll.ICEHistory(M$4,O$5,"DF[dow:12345][tl:Calendar]",$L78)</f>
        <v>68.150000000000006</v>
      </c>
      <c r="P78">
        <f>_xll.ICEHistory(M$4,P$5,"DF[dow:12345][tl:Calendar]",$L78)</f>
        <v>71.55</v>
      </c>
      <c r="Q78">
        <f>_xll.ICEHistory(M$4,Q$5,"DF[dow:12345][tl:Calendar]",$L78)</f>
        <v>40868</v>
      </c>
      <c r="R78">
        <f>_xll.ICEHistory(M$4,R$5,"DF[dow:12345][tl:Calendar]",$L78)</f>
        <v>283273</v>
      </c>
      <c r="S78">
        <f>_xll.ICEHistory(S$4,S$5,"DF[dow:12345][tl:Calendar]",$L78)</f>
        <v>30.98</v>
      </c>
      <c r="T78">
        <f>_xll.ICEHistory(S$4,T$5,"DF[dow:12345][tl:Calendar]",$L78)</f>
        <v>32.615000000000002</v>
      </c>
      <c r="U78">
        <f>_xll.ICEHistory(S$4,U$5,"DF[dow:12345][tl:Calendar]",$L78)</f>
        <v>30.39</v>
      </c>
      <c r="V78">
        <f>_xll.ICEHistory(S$4,V$5,"DF[dow:12345][tl:Calendar]",$L78)</f>
        <v>32.15</v>
      </c>
      <c r="W78">
        <f>_xll.ICEHistory(S$4,W$5,"DF[dow:12345][tl:Calendar]",$L78)</f>
        <v>700</v>
      </c>
      <c r="X78">
        <f t="shared" si="3"/>
        <v>5.5847834884662093E-2</v>
      </c>
      <c r="Y78">
        <f t="shared" si="4"/>
        <v>0.50188935431931647</v>
      </c>
      <c r="Z78">
        <f t="shared" si="5"/>
        <v>0.89385836243891714</v>
      </c>
    </row>
    <row r="79" spans="1:26" x14ac:dyDescent="0.25">
      <c r="A79" s="3" t="str">
        <f>_xll.ICEOptionSymbol($B$1,"F","C",$F79)</f>
        <v>EFO 24UC5350-ICN</v>
      </c>
      <c r="B79" s="3">
        <f>_xll.ICEQuote($A79,_xll.ICEFldID(B$5))</f>
        <v>0</v>
      </c>
      <c r="C79" s="3">
        <f>_xll.ICEQuote($A79,_xll.ICEFldID(C$5))</f>
        <v>53.5</v>
      </c>
      <c r="D79" s="3">
        <f>_xll.ICEQuote($A79,_xll.ICEFldID(D$5))</f>
        <v>0.39153939742977961</v>
      </c>
      <c r="E79" s="3">
        <f>_xll.ICEQuote($A79,_xll.ICEFldID(E$5))</f>
        <v>0.92435955000860126</v>
      </c>
      <c r="F79" s="3">
        <f>_xll.ICEOptionStrike($B$1,-27,"F")</f>
        <v>53.5</v>
      </c>
      <c r="G79" s="3" t="str">
        <f>_xll.ICEOptionSymbol($B$1,"F","P",$F79)</f>
        <v>EFO 24UP5350-ICN</v>
      </c>
      <c r="H79" s="3">
        <f>_xll.ICEQuote($G79,_xll.ICEFldID(H$5))</f>
        <v>0</v>
      </c>
      <c r="I79" s="3">
        <f>_xll.ICEQuote($G79,_xll.ICEFldID(I$5))</f>
        <v>53.5</v>
      </c>
      <c r="J79" s="3">
        <f>_xll.ICEQuote($G79,_xll.ICEFldID(J$5))</f>
        <v>0.37924403749659752</v>
      </c>
      <c r="K79" s="3">
        <f>_xll.ICEQuote($G79,_xll.ICEFldID(K$5))</f>
        <v>-6.6637228137422524E-2</v>
      </c>
      <c r="L79" s="4">
        <f>_xll.ICETimeline(_xll.ICEJoinRange(M4:W4),"DF[dow:12345][tl:Calendar]","2020-07-26;2024-07-26",972,-1)</f>
        <v>45399.5</v>
      </c>
      <c r="M79">
        <f>_xll.ICEHistory(M$4,M$5,"DF[dow:12345][tl:Calendar]",$L79)</f>
        <v>74.13</v>
      </c>
      <c r="N79">
        <f>_xll.ICEHistory(M$4,N$5,"DF[dow:12345][tl:Calendar]",$L79)</f>
        <v>74.5</v>
      </c>
      <c r="O79">
        <f>_xll.ICEHistory(M$4,O$5,"DF[dow:12345][tl:Calendar]",$L79)</f>
        <v>69.23</v>
      </c>
      <c r="P79">
        <f>_xll.ICEHistory(M$4,P$5,"DF[dow:12345][tl:Calendar]",$L79)</f>
        <v>70.33</v>
      </c>
      <c r="Q79">
        <f>_xll.ICEHistory(M$4,Q$5,"DF[dow:12345][tl:Calendar]",$L79)</f>
        <v>42915</v>
      </c>
      <c r="R79">
        <f>_xll.ICEHistory(M$4,R$5,"DF[dow:12345][tl:Calendar]",$L79)</f>
        <v>285563</v>
      </c>
      <c r="S79">
        <f>_xll.ICEHistory(S$4,S$5,"DF[dow:12345][tl:Calendar]",$L79)</f>
        <v>33.700000000000003</v>
      </c>
      <c r="T79">
        <f>_xll.ICEHistory(S$4,T$5,"DF[dow:12345][tl:Calendar]",$L79)</f>
        <v>33.700000000000003</v>
      </c>
      <c r="U79">
        <f>_xll.ICEHistory(S$4,U$5,"DF[dow:12345][tl:Calendar]",$L79)</f>
        <v>31.2</v>
      </c>
      <c r="V79">
        <f>_xll.ICEHistory(S$4,V$5,"DF[dow:12345][tl:Calendar]",$L79)</f>
        <v>31.75</v>
      </c>
      <c r="W79">
        <f>_xll.ICEHistory(S$4,W$5,"DF[dow:12345][tl:Calendar]",$L79)</f>
        <v>543</v>
      </c>
      <c r="X79">
        <f t="shared" si="3"/>
        <v>7.5017793594305993E-2</v>
      </c>
      <c r="Y79">
        <f t="shared" si="4"/>
        <v>1.5849059594839938</v>
      </c>
      <c r="Z79">
        <f t="shared" si="5"/>
        <v>1.1168141608734796</v>
      </c>
    </row>
    <row r="80" spans="1:26" x14ac:dyDescent="0.25">
      <c r="A80" s="3" t="str">
        <f>_xll.ICEOptionSymbol($B$1,"F","C",$F80)</f>
        <v>EFO 24UC5400-ICN</v>
      </c>
      <c r="B80" s="3">
        <f>_xll.ICEQuote($A80,_xll.ICEFldID(B$5))</f>
        <v>0</v>
      </c>
      <c r="C80" s="3">
        <f>_xll.ICEQuote($A80,_xll.ICEFldID(C$5))</f>
        <v>54</v>
      </c>
      <c r="D80" s="3">
        <f>_xll.ICEQuote($A80,_xll.ICEFldID(D$5))</f>
        <v>0.38592001069904008</v>
      </c>
      <c r="E80" s="3">
        <f>_xll.ICEQuote($A80,_xll.ICEFldID(E$5))</f>
        <v>0.91875805002393907</v>
      </c>
      <c r="F80" s="3">
        <f>_xll.ICEOptionStrike($B$1,-26,"F")</f>
        <v>54</v>
      </c>
      <c r="G80" s="3" t="str">
        <f>_xll.ICEOptionSymbol($B$1,"F","P",$F80)</f>
        <v>EFO 24UP5400-ICN</v>
      </c>
      <c r="H80" s="3">
        <f>_xll.ICEQuote($G80,_xll.ICEFldID(H$5))</f>
        <v>0</v>
      </c>
      <c r="I80" s="3">
        <f>_xll.ICEQuote($G80,_xll.ICEFldID(I$5))</f>
        <v>54</v>
      </c>
      <c r="J80" s="3">
        <f>_xll.ICEQuote($G80,_xll.ICEFldID(J$5))</f>
        <v>0.37478677276397315</v>
      </c>
      <c r="K80" s="3">
        <f>_xll.ICEQuote($G80,_xll.ICEFldID(K$5))</f>
        <v>-7.2542819332969619E-2</v>
      </c>
      <c r="L80" s="4">
        <f>_xll.ICETimeline(_xll.ICEJoinRange(M4:W4),"DF[dow:12345][tl:Calendar]","2020-07-26;2024-07-26",971,-1)</f>
        <v>45398.5</v>
      </c>
      <c r="M80">
        <f>_xll.ICEHistory(M$4,M$5,"DF[dow:12345][tl:Calendar]",$L80)</f>
        <v>70.25</v>
      </c>
      <c r="N80">
        <f>_xll.ICEHistory(M$4,N$5,"DF[dow:12345][tl:Calendar]",$L80)</f>
        <v>74.900000000000006</v>
      </c>
      <c r="O80">
        <f>_xll.ICEHistory(M$4,O$5,"DF[dow:12345][tl:Calendar]",$L80)</f>
        <v>69.75</v>
      </c>
      <c r="P80">
        <f>_xll.ICEHistory(M$4,P$5,"DF[dow:12345][tl:Calendar]",$L80)</f>
        <v>74.25</v>
      </c>
      <c r="Q80">
        <f>_xll.ICEHistory(M$4,Q$5,"DF[dow:12345][tl:Calendar]",$L80)</f>
        <v>43720</v>
      </c>
      <c r="R80">
        <f>_xll.ICEHistory(M$4,R$5,"DF[dow:12345][tl:Calendar]",$L80)</f>
        <v>286818</v>
      </c>
      <c r="S80">
        <f>_xll.ICEHistory(S$4,S$5,"DF[dow:12345][tl:Calendar]",$L80)</f>
        <v>32.020000000000003</v>
      </c>
      <c r="T80">
        <f>_xll.ICEHistory(S$4,T$5,"DF[dow:12345][tl:Calendar]",$L80)</f>
        <v>33.71</v>
      </c>
      <c r="U80">
        <f>_xll.ICEHistory(S$4,U$5,"DF[dow:12345][tl:Calendar]",$L80)</f>
        <v>31.844999999999999</v>
      </c>
      <c r="V80">
        <f>_xll.ICEHistory(S$4,V$5,"DF[dow:12345][tl:Calendar]",$L80)</f>
        <v>33.354999999999997</v>
      </c>
      <c r="W80">
        <f>_xll.ICEHistory(S$4,W$5,"DF[dow:12345][tl:Calendar]",$L80)</f>
        <v>719</v>
      </c>
      <c r="X80">
        <f t="shared" si="3"/>
        <v>7.1927374301676061E-2</v>
      </c>
      <c r="Y80">
        <f t="shared" si="4"/>
        <v>1.466351158835232</v>
      </c>
      <c r="Z80">
        <f t="shared" si="5"/>
        <v>1.2304543802106436</v>
      </c>
    </row>
    <row r="81" spans="1:26" x14ac:dyDescent="0.25">
      <c r="A81" s="3" t="str">
        <f>_xll.ICEOptionSymbol($B$1,"F","C",$F81)</f>
        <v>EFO 24UC5450-ICN</v>
      </c>
      <c r="B81" s="3">
        <f>_xll.ICEQuote($A81,_xll.ICEFldID(B$5))</f>
        <v>0</v>
      </c>
      <c r="C81" s="3">
        <f>_xll.ICEQuote($A81,_xll.ICEFldID(C$5))</f>
        <v>54.5</v>
      </c>
      <c r="D81" s="3">
        <f>_xll.ICEQuote($A81,_xll.ICEFldID(D$5))</f>
        <v>0.38098161725607371</v>
      </c>
      <c r="E81" s="3">
        <f>_xll.ICEQuote($A81,_xll.ICEFldID(E$5))</f>
        <v>0.912406133528325</v>
      </c>
      <c r="F81" s="3">
        <f>_xll.ICEOptionStrike($B$1,-25,"F")</f>
        <v>54.5</v>
      </c>
      <c r="G81" s="3" t="str">
        <f>_xll.ICEOptionSymbol($B$1,"F","P",$F81)</f>
        <v>EFO 24UP5450-ICN</v>
      </c>
      <c r="H81" s="3">
        <f>_xll.ICEQuote($G81,_xll.ICEFldID(H$5))</f>
        <v>0</v>
      </c>
      <c r="I81" s="3">
        <f>_xll.ICEQuote($G81,_xll.ICEFldID(I$5))</f>
        <v>54.5</v>
      </c>
      <c r="J81" s="3">
        <f>_xll.ICEQuote($G81,_xll.ICEFldID(J$5))</f>
        <v>0.37093571351735594</v>
      </c>
      <c r="K81" s="3">
        <f>_xll.ICEQuote($G81,_xll.ICEFldID(K$5))</f>
        <v>-7.9214378611352693E-2</v>
      </c>
      <c r="L81" s="4">
        <f>_xll.ICETimeline(_xll.ICEJoinRange(M4:W4),"DF[dow:12345][tl:Calendar]","2020-07-26;2024-07-26",970,-1)</f>
        <v>45397.5</v>
      </c>
      <c r="M81">
        <f>_xll.ICEHistory(M$4,M$5,"DF[dow:12345][tl:Calendar]",$L81)</f>
        <v>71.599999999999994</v>
      </c>
      <c r="N81">
        <f>_xll.ICEHistory(M$4,N$5,"DF[dow:12345][tl:Calendar]",$L81)</f>
        <v>71.64</v>
      </c>
      <c r="O81">
        <f>_xll.ICEHistory(M$4,O$5,"DF[dow:12345][tl:Calendar]",$L81)</f>
        <v>69.099999999999994</v>
      </c>
      <c r="P81">
        <f>_xll.ICEHistory(M$4,P$5,"DF[dow:12345][tl:Calendar]",$L81)</f>
        <v>70.16</v>
      </c>
      <c r="Q81">
        <f>_xll.ICEHistory(M$4,Q$5,"DF[dow:12345][tl:Calendar]",$L81)</f>
        <v>35346</v>
      </c>
      <c r="R81">
        <f>_xll.ICEHistory(M$4,R$5,"DF[dow:12345][tl:Calendar]",$L81)</f>
        <v>287937</v>
      </c>
      <c r="S81">
        <f>_xll.ICEHistory(S$4,S$5,"DF[dow:12345][tl:Calendar]",$L81)</f>
        <v>31.23</v>
      </c>
      <c r="T81">
        <f>_xll.ICEHistory(S$4,T$5,"DF[dow:12345][tl:Calendar]",$L81)</f>
        <v>31.56</v>
      </c>
      <c r="U81">
        <f>_xll.ICEHistory(S$4,U$5,"DF[dow:12345][tl:Calendar]",$L81)</f>
        <v>29.85</v>
      </c>
      <c r="V81">
        <f>_xll.ICEHistory(S$4,V$5,"DF[dow:12345][tl:Calendar]",$L81)</f>
        <v>31.44</v>
      </c>
      <c r="W81">
        <f>_xll.ICEHistory(S$4,W$5,"DF[dow:12345][tl:Calendar]",$L81)</f>
        <v>530</v>
      </c>
      <c r="X81">
        <f t="shared" si="3"/>
        <v>3.7026239067055489E-2</v>
      </c>
      <c r="Y81">
        <f t="shared" si="4"/>
        <v>-0.48134204861974744</v>
      </c>
      <c r="Z81">
        <f t="shared" si="5"/>
        <v>0.43311421997427019</v>
      </c>
    </row>
    <row r="82" spans="1:26" x14ac:dyDescent="0.25">
      <c r="A82" s="3" t="str">
        <f>_xll.ICEOptionSymbol($B$1,"F","C",$F82)</f>
        <v>EFO 24UC5500-ICN</v>
      </c>
      <c r="B82" s="3">
        <f>_xll.ICEQuote($A82,_xll.ICEFldID(B$5))</f>
        <v>0</v>
      </c>
      <c r="C82" s="3">
        <f>_xll.ICEQuote($A82,_xll.ICEFldID(C$5))</f>
        <v>55</v>
      </c>
      <c r="D82" s="3">
        <f>_xll.ICEQuote($A82,_xll.ICEFldID(D$5))</f>
        <v>0.37546280773333857</v>
      </c>
      <c r="E82" s="3">
        <f>_xll.ICEQuote($A82,_xll.ICEFldID(E$5))</f>
        <v>0.9058818314547038</v>
      </c>
      <c r="F82" s="3">
        <f>_xll.ICEOptionStrike($B$1,-24,"F")</f>
        <v>55</v>
      </c>
      <c r="G82" s="3" t="str">
        <f>_xll.ICEOptionSymbol($B$1,"F","P",$F82)</f>
        <v>EFO 24UP5500-ICN</v>
      </c>
      <c r="H82" s="3">
        <f>_xll.ICEQuote($G82,_xll.ICEFldID(H$5))</f>
        <v>7500</v>
      </c>
      <c r="I82" s="3">
        <f>_xll.ICEQuote($G82,_xll.ICEFldID(I$5))</f>
        <v>55</v>
      </c>
      <c r="J82" s="3">
        <f>_xll.ICEQuote($G82,_xll.ICEFldID(J$5))</f>
        <v>0.36637554390474553</v>
      </c>
      <c r="K82" s="3">
        <f>_xll.ICEQuote($G82,_xll.ICEFldID(K$5))</f>
        <v>-8.6036366287480681E-2</v>
      </c>
      <c r="L82" s="4">
        <f>_xll.ICETimeline(_xll.ICEJoinRange(M4:W4),"DF[dow:12345][tl:Calendar]","2020-07-26;2024-07-26",969,-1)</f>
        <v>45394.5</v>
      </c>
      <c r="M82">
        <f>_xll.ICEHistory(M$4,M$5,"DF[dow:12345][tl:Calendar]",$L82)</f>
        <v>68.599999999999994</v>
      </c>
      <c r="N82">
        <f>_xll.ICEHistory(M$4,N$5,"DF[dow:12345][tl:Calendar]",$L82)</f>
        <v>71.87</v>
      </c>
      <c r="O82">
        <f>_xll.ICEHistory(M$4,O$5,"DF[dow:12345][tl:Calendar]",$L82)</f>
        <v>68.06</v>
      </c>
      <c r="P82">
        <f>_xll.ICEHistory(M$4,P$5,"DF[dow:12345][tl:Calendar]",$L82)</f>
        <v>71.64</v>
      </c>
      <c r="Q82">
        <f>_xll.ICEHistory(M$4,Q$5,"DF[dow:12345][tl:Calendar]",$L82)</f>
        <v>52417</v>
      </c>
      <c r="R82">
        <f>_xll.ICEHistory(M$4,R$5,"DF[dow:12345][tl:Calendar]",$L82)</f>
        <v>289544</v>
      </c>
      <c r="S82">
        <f>_xll.ICEHistory(S$4,S$5,"DF[dow:12345][tl:Calendar]",$L82)</f>
        <v>29.565000000000001</v>
      </c>
      <c r="T82">
        <f>_xll.ICEHistory(S$4,T$5,"DF[dow:12345][tl:Calendar]",$L82)</f>
        <v>30.98</v>
      </c>
      <c r="U82">
        <f>_xll.ICEHistory(S$4,U$5,"DF[dow:12345][tl:Calendar]",$L82)</f>
        <v>28.95</v>
      </c>
      <c r="V82">
        <f>_xll.ICEHistory(S$4,V$5,"DF[dow:12345][tl:Calendar]",$L82)</f>
        <v>30.67</v>
      </c>
      <c r="W82">
        <f>_xll.ICEHistory(S$4,W$5,"DF[dow:12345][tl:Calendar]",$L82)</f>
        <v>1278</v>
      </c>
      <c r="X82">
        <f t="shared" si="3"/>
        <v>6.0237154150197661E-2</v>
      </c>
      <c r="Y82">
        <f t="shared" si="4"/>
        <v>0.84667219767641566</v>
      </c>
      <c r="Z82">
        <f t="shared" si="5"/>
        <v>2.1501287788431083</v>
      </c>
    </row>
    <row r="83" spans="1:26" x14ac:dyDescent="0.25">
      <c r="A83" s="3" t="str">
        <f>_xll.ICEOptionSymbol($B$1,"F","C",$F83)</f>
        <v>EFO 24UC5550-ICN</v>
      </c>
      <c r="B83" s="3">
        <f>_xll.ICEQuote($A83,_xll.ICEFldID(B$5))</f>
        <v>0</v>
      </c>
      <c r="C83" s="3">
        <f>_xll.ICEQuote($A83,_xll.ICEFldID(C$5))</f>
        <v>55.5</v>
      </c>
      <c r="D83" s="3">
        <f>_xll.ICEQuote($A83,_xll.ICEFldID(D$5))</f>
        <v>0.3704678843327584</v>
      </c>
      <c r="E83" s="3">
        <f>_xll.ICEQuote($A83,_xll.ICEFldID(E$5))</f>
        <v>0.8985995823853834</v>
      </c>
      <c r="F83" s="3">
        <f>_xll.ICEOptionStrike($B$1,-23,"F")</f>
        <v>55.5</v>
      </c>
      <c r="G83" s="3" t="str">
        <f>_xll.ICEOptionSymbol($B$1,"F","P",$F83)</f>
        <v>EFO 24UP5550-ICN</v>
      </c>
      <c r="H83" s="3">
        <f>_xll.ICEQuote($G83,_xll.ICEFldID(H$5))</f>
        <v>0</v>
      </c>
      <c r="I83" s="3">
        <f>_xll.ICEQuote($G83,_xll.ICEFldID(I$5))</f>
        <v>55.5</v>
      </c>
      <c r="J83" s="3">
        <f>_xll.ICEQuote($G83,_xll.ICEFldID(J$5))</f>
        <v>0.36227039292797358</v>
      </c>
      <c r="K83" s="3">
        <f>_xll.ICEQuote($G83,_xll.ICEFldID(K$5))</f>
        <v>-9.362559322846245E-2</v>
      </c>
      <c r="L83" s="4">
        <f>_xll.ICETimeline(_xll.ICEJoinRange(M4:W4),"DF[dow:12345][tl:Calendar]","2020-07-26;2024-07-26",968,-1)</f>
        <v>45393.5</v>
      </c>
      <c r="M83">
        <f>_xll.ICEHistory(M$4,M$5,"DF[dow:12345][tl:Calendar]",$L83)</f>
        <v>63.25</v>
      </c>
      <c r="N83">
        <f>_xll.ICEHistory(M$4,N$5,"DF[dow:12345][tl:Calendar]",$L83)</f>
        <v>68.95</v>
      </c>
      <c r="O83">
        <f>_xll.ICEHistory(M$4,O$5,"DF[dow:12345][tl:Calendar]",$L83)</f>
        <v>62.8</v>
      </c>
      <c r="P83">
        <f>_xll.ICEHistory(M$4,P$5,"DF[dow:12345][tl:Calendar]",$L83)</f>
        <v>68.83</v>
      </c>
      <c r="Q83">
        <f>_xll.ICEHistory(M$4,Q$5,"DF[dow:12345][tl:Calendar]",$L83)</f>
        <v>54777</v>
      </c>
      <c r="R83">
        <f>_xll.ICEHistory(M$4,R$5,"DF[dow:12345][tl:Calendar]",$L83)</f>
        <v>290698</v>
      </c>
      <c r="S83">
        <f>_xll.ICEHistory(S$4,S$5,"DF[dow:12345][tl:Calendar]",$L83)</f>
        <v>27.75</v>
      </c>
      <c r="T83">
        <f>_xll.ICEHistory(S$4,T$5,"DF[dow:12345][tl:Calendar]",$L83)</f>
        <v>29.684999999999999</v>
      </c>
      <c r="U83">
        <f>_xll.ICEHistory(S$4,U$5,"DF[dow:12345][tl:Calendar]",$L83)</f>
        <v>27.645</v>
      </c>
      <c r="V83">
        <f>_xll.ICEHistory(S$4,V$5,"DF[dow:12345][tl:Calendar]",$L83)</f>
        <v>29.43</v>
      </c>
      <c r="W83">
        <f>_xll.ICEHistory(S$4,W$5,"DF[dow:12345][tl:Calendar]",$L83)</f>
        <v>1133</v>
      </c>
      <c r="X83">
        <f t="shared" si="3"/>
        <v>9.6364775932309715E-2</v>
      </c>
      <c r="Y83">
        <f t="shared" si="4"/>
        <v>2.8969629965456685</v>
      </c>
      <c r="Z83">
        <f t="shared" si="5"/>
        <v>2.5125688261980068</v>
      </c>
    </row>
    <row r="84" spans="1:26" x14ac:dyDescent="0.25">
      <c r="A84" s="3" t="str">
        <f>_xll.ICEOptionSymbol($B$1,"F","C",$F84)</f>
        <v>EFO 24UC5600-ICN</v>
      </c>
      <c r="B84" s="3">
        <f>_xll.ICEQuote($A84,_xll.ICEFldID(B$5))</f>
        <v>0</v>
      </c>
      <c r="C84" s="3">
        <f>_xll.ICEQuote($A84,_xll.ICEFldID(C$5))</f>
        <v>56</v>
      </c>
      <c r="D84" s="3">
        <f>_xll.ICEQuote($A84,_xll.ICEFldID(D$5))</f>
        <v>0.36587266109118538</v>
      </c>
      <c r="E84" s="3">
        <f>_xll.ICEQuote($A84,_xll.ICEFldID(E$5))</f>
        <v>0.89056635442527965</v>
      </c>
      <c r="F84" s="3">
        <f>_xll.ICEOptionStrike($B$1,-22,"F")</f>
        <v>56</v>
      </c>
      <c r="G84" s="3" t="str">
        <f>_xll.ICEOptionSymbol($B$1,"F","P",$F84)</f>
        <v>EFO 24UP5600-ICN</v>
      </c>
      <c r="H84" s="3">
        <f>_xll.ICEQuote($G84,_xll.ICEFldID(H$5))</f>
        <v>0</v>
      </c>
      <c r="I84" s="3">
        <f>_xll.ICEQuote($G84,_xll.ICEFldID(I$5))</f>
        <v>56</v>
      </c>
      <c r="J84" s="3">
        <f>_xll.ICEQuote($G84,_xll.ICEFldID(J$5))</f>
        <v>0.35849287566847754</v>
      </c>
      <c r="K84" s="3">
        <f>_xll.ICEQuote($G84,_xll.ICEFldID(K$5))</f>
        <v>-0.10196966811017678</v>
      </c>
      <c r="L84" s="4">
        <f>_xll.ICETimeline(_xll.ICEJoinRange(M4:W4),"DF[dow:12345][tl:Calendar]","2020-07-26;2024-07-26",967,-1)</f>
        <v>45392.5</v>
      </c>
      <c r="M84">
        <f>_xll.ICEHistory(M$4,M$5,"DF[dow:12345][tl:Calendar]",$L84)</f>
        <v>63.82</v>
      </c>
      <c r="N84">
        <f>_xll.ICEHistory(M$4,N$5,"DF[dow:12345][tl:Calendar]",$L84)</f>
        <v>65.099999999999994</v>
      </c>
      <c r="O84">
        <f>_xll.ICEHistory(M$4,O$5,"DF[dow:12345][tl:Calendar]",$L84)</f>
        <v>62.29</v>
      </c>
      <c r="P84">
        <f>_xll.ICEHistory(M$4,P$5,"DF[dow:12345][tl:Calendar]",$L84)</f>
        <v>62.85</v>
      </c>
      <c r="Q84">
        <f>_xll.ICEHistory(M$4,Q$5,"DF[dow:12345][tl:Calendar]",$L84)</f>
        <v>29104</v>
      </c>
      <c r="R84">
        <f>_xll.ICEHistory(M$4,R$5,"DF[dow:12345][tl:Calendar]",$L84)</f>
        <v>292220</v>
      </c>
      <c r="S84">
        <f>_xll.ICEHistory(S$4,S$5,"DF[dow:12345][tl:Calendar]",$L84)</f>
        <v>27.53</v>
      </c>
      <c r="T84">
        <f>_xll.ICEHistory(S$4,T$5,"DF[dow:12345][tl:Calendar]",$L84)</f>
        <v>27.87</v>
      </c>
      <c r="U84">
        <f>_xll.ICEHistory(S$4,U$5,"DF[dow:12345][tl:Calendar]",$L84)</f>
        <v>26.824999999999999</v>
      </c>
      <c r="V84">
        <f>_xll.ICEHistory(S$4,V$5,"DF[dow:12345][tl:Calendar]",$L84)</f>
        <v>27.344999999999999</v>
      </c>
      <c r="W84">
        <f>_xll.ICEHistory(S$4,W$5,"DF[dow:12345][tl:Calendar]",$L84)</f>
        <v>1460</v>
      </c>
      <c r="X84">
        <f t="shared" si="3"/>
        <v>4.4328758479255326E-2</v>
      </c>
      <c r="Y84">
        <f t="shared" si="4"/>
        <v>-3.1081794762909787E-2</v>
      </c>
      <c r="Z84">
        <f t="shared" si="5"/>
        <v>-0.11139153736415033</v>
      </c>
    </row>
    <row r="85" spans="1:26" x14ac:dyDescent="0.25">
      <c r="A85" s="3" t="str">
        <f>_xll.ICEOptionSymbol($B$1,"F","C",$F85)</f>
        <v>EFO 24UC5650-ICN</v>
      </c>
      <c r="B85" s="3">
        <f>_xll.ICEQuote($A85,_xll.ICEFldID(B$5))</f>
        <v>0</v>
      </c>
      <c r="C85" s="3">
        <f>_xll.ICEQuote($A85,_xll.ICEFldID(C$5))</f>
        <v>56.5</v>
      </c>
      <c r="D85" s="3">
        <f>_xll.ICEQuote($A85,_xll.ICEFldID(D$5))</f>
        <v>0.36156916189404531</v>
      </c>
      <c r="E85" s="3">
        <f>_xll.ICEQuote($A85,_xll.ICEFldID(E$5))</f>
        <v>0.88178997258775149</v>
      </c>
      <c r="F85" s="3">
        <f>_xll.ICEOptionStrike($B$1,-21,"F")</f>
        <v>56.5</v>
      </c>
      <c r="G85" s="3" t="str">
        <f>_xll.ICEOptionSymbol($B$1,"F","P",$F85)</f>
        <v>EFO 24UP5650-ICN</v>
      </c>
      <c r="H85" s="3">
        <f>_xll.ICEQuote($G85,_xll.ICEFldID(H$5))</f>
        <v>0</v>
      </c>
      <c r="I85" s="3">
        <f>_xll.ICEQuote($G85,_xll.ICEFldID(I$5))</f>
        <v>56.5</v>
      </c>
      <c r="J85" s="3">
        <f>_xll.ICEQuote($G85,_xll.ICEFldID(J$5))</f>
        <v>0.35493558355564131</v>
      </c>
      <c r="K85" s="3">
        <f>_xll.ICEQuote($G85,_xll.ICEFldID(K$5))</f>
        <v>-0.11105633267365754</v>
      </c>
      <c r="L85" s="4">
        <f>_xll.ICETimeline(_xll.ICEJoinRange(M4:W4),"DF[dow:12345][tl:Calendar]","2020-07-26;2024-07-26",966,-1)</f>
        <v>45391.5</v>
      </c>
      <c r="M85">
        <f>_xll.ICEHistory(M$4,M$5,"DF[dow:12345][tl:Calendar]",$L85)</f>
        <v>63.39</v>
      </c>
      <c r="N85">
        <f>_xll.ICEHistory(M$4,N$5,"DF[dow:12345][tl:Calendar]",$L85)</f>
        <v>64.64</v>
      </c>
      <c r="O85">
        <f>_xll.ICEHistory(M$4,O$5,"DF[dow:12345][tl:Calendar]",$L85)</f>
        <v>62.5</v>
      </c>
      <c r="P85">
        <f>_xll.ICEHistory(M$4,P$5,"DF[dow:12345][tl:Calendar]",$L85)</f>
        <v>63.96</v>
      </c>
      <c r="Q85">
        <f>_xll.ICEHistory(M$4,Q$5,"DF[dow:12345][tl:Calendar]",$L85)</f>
        <v>41382</v>
      </c>
      <c r="R85">
        <f>_xll.ICEHistory(M$4,R$5,"DF[dow:12345][tl:Calendar]",$L85)</f>
        <v>290662</v>
      </c>
      <c r="S85">
        <f>_xll.ICEHistory(S$4,S$5,"DF[dow:12345][tl:Calendar]",$L85)</f>
        <v>27.954999999999998</v>
      </c>
      <c r="T85">
        <f>_xll.ICEHistory(S$4,T$5,"DF[dow:12345][tl:Calendar]",$L85)</f>
        <v>28.57</v>
      </c>
      <c r="U85">
        <f>_xll.ICEHistory(S$4,U$5,"DF[dow:12345][tl:Calendar]",$L85)</f>
        <v>27.18</v>
      </c>
      <c r="V85">
        <f>_xll.ICEHistory(S$4,V$5,"DF[dow:12345][tl:Calendar]",$L85)</f>
        <v>27.25</v>
      </c>
      <c r="W85">
        <f>_xll.ICEHistory(S$4,W$5,"DF[dow:12345][tl:Calendar]",$L85)</f>
        <v>671</v>
      </c>
      <c r="X85">
        <f t="shared" si="3"/>
        <v>3.5139573070607562E-2</v>
      </c>
      <c r="Y85">
        <f t="shared" si="4"/>
        <v>-0.59959360662995675</v>
      </c>
      <c r="Z85">
        <f t="shared" si="5"/>
        <v>1.2294776221731913</v>
      </c>
    </row>
    <row r="86" spans="1:26" x14ac:dyDescent="0.25">
      <c r="A86" s="3" t="str">
        <f>_xll.ICEOptionSymbol($B$1,"F","C",$F86)</f>
        <v>EFO 24UC5700-ICN</v>
      </c>
      <c r="B86" s="3">
        <f>_xll.ICEQuote($A86,_xll.ICEFldID(B$5))</f>
        <v>0</v>
      </c>
      <c r="C86" s="3">
        <f>_xll.ICEQuote($A86,_xll.ICEFldID(C$5))</f>
        <v>57</v>
      </c>
      <c r="D86" s="3">
        <f>_xll.ICEQuote($A86,_xll.ICEFldID(D$5))</f>
        <v>0.35746478752398669</v>
      </c>
      <c r="E86" s="3">
        <f>_xll.ICEQuote($A86,_xll.ICEFldID(E$5))</f>
        <v>0.87227798022284275</v>
      </c>
      <c r="F86" s="3">
        <f>_xll.ICEOptionStrike($B$1,-20,"F")</f>
        <v>57</v>
      </c>
      <c r="G86" s="3" t="str">
        <f>_xll.ICEOptionSymbol($B$1,"F","P",$F86)</f>
        <v>EFO 24UP5700-ICN</v>
      </c>
      <c r="H86" s="3">
        <f>_xll.ICEQuote($G86,_xll.ICEFldID(H$5))</f>
        <v>0</v>
      </c>
      <c r="I86" s="3">
        <f>_xll.ICEQuote($G86,_xll.ICEFldID(I$5))</f>
        <v>57</v>
      </c>
      <c r="J86" s="3">
        <f>_xll.ICEQuote($G86,_xll.ICEFldID(J$5))</f>
        <v>0.35150904395613769</v>
      </c>
      <c r="K86" s="3">
        <f>_xll.ICEQuote($G86,_xll.ICEFldID(K$5))</f>
        <v>-0.12087456290916013</v>
      </c>
      <c r="L86" s="4">
        <f>_xll.ICETimeline(_xll.ICEJoinRange(M4:W4),"DF[dow:12345][tl:Calendar]","2020-07-26;2024-07-26",965,-1)</f>
        <v>45390.5</v>
      </c>
      <c r="M86">
        <f>_xll.ICEHistory(M$4,M$5,"DF[dow:12345][tl:Calendar]",$L86)</f>
        <v>60.9</v>
      </c>
      <c r="N86">
        <f>_xll.ICEHistory(M$4,N$5,"DF[dow:12345][tl:Calendar]",$L86)</f>
        <v>63.8</v>
      </c>
      <c r="O86">
        <f>_xll.ICEHistory(M$4,O$5,"DF[dow:12345][tl:Calendar]",$L86)</f>
        <v>59.69</v>
      </c>
      <c r="P86">
        <f>_xll.ICEHistory(M$4,P$5,"DF[dow:12345][tl:Calendar]",$L86)</f>
        <v>63.39</v>
      </c>
      <c r="Q86">
        <f>_xll.ICEHistory(M$4,Q$5,"DF[dow:12345][tl:Calendar]",$L86)</f>
        <v>37163</v>
      </c>
      <c r="R86">
        <f>_xll.ICEHistory(M$4,R$5,"DF[dow:12345][tl:Calendar]",$L86)</f>
        <v>301156</v>
      </c>
      <c r="S86">
        <f>_xll.ICEHistory(S$4,S$5,"DF[dow:12345][tl:Calendar]",$L86)</f>
        <v>26.495000000000001</v>
      </c>
      <c r="T86">
        <f>_xll.ICEHistory(S$4,T$5,"DF[dow:12345][tl:Calendar]",$L86)</f>
        <v>28.204999999999998</v>
      </c>
      <c r="U86">
        <f>_xll.ICEHistory(S$4,U$5,"DF[dow:12345][tl:Calendar]",$L86)</f>
        <v>26.46</v>
      </c>
      <c r="V86">
        <f>_xll.ICEHistory(S$4,V$5,"DF[dow:12345][tl:Calendar]",$L86)</f>
        <v>27.774999999999999</v>
      </c>
      <c r="W86">
        <f>_xll.ICEHistory(S$4,W$5,"DF[dow:12345][tl:Calendar]",$L86)</f>
        <v>895</v>
      </c>
      <c r="X86">
        <f t="shared" si="3"/>
        <v>7.0424948594928025E-2</v>
      </c>
      <c r="Y86">
        <f t="shared" si="4"/>
        <v>1.5588362034743479</v>
      </c>
      <c r="Z86">
        <f t="shared" si="5"/>
        <v>0.81250967451084399</v>
      </c>
    </row>
    <row r="87" spans="1:26" x14ac:dyDescent="0.25">
      <c r="A87" s="3" t="str">
        <f>_xll.ICEOptionSymbol($B$1,"F","C",$F87)</f>
        <v>EFO 24UC5750-ICN</v>
      </c>
      <c r="B87" s="3">
        <f>_xll.ICEQuote($A87,_xll.ICEFldID(B$5))</f>
        <v>0</v>
      </c>
      <c r="C87" s="3">
        <f>_xll.ICEQuote($A87,_xll.ICEFldID(C$5))</f>
        <v>57.5</v>
      </c>
      <c r="D87" s="3">
        <f>_xll.ICEQuote($A87,_xll.ICEFldID(D$5))</f>
        <v>0.35264068029183204</v>
      </c>
      <c r="E87" s="3">
        <f>_xll.ICEQuote($A87,_xll.ICEFldID(E$5))</f>
        <v>0.86252973287507129</v>
      </c>
      <c r="F87" s="3">
        <f>_xll.ICEOptionStrike($B$1,-19,"F")</f>
        <v>57.5</v>
      </c>
      <c r="G87" s="3" t="str">
        <f>_xll.ICEOptionSymbol($B$1,"F","P",$F87)</f>
        <v>EFO 24UP5750-ICN</v>
      </c>
      <c r="H87" s="3">
        <f>_xll.ICEQuote($G87,_xll.ICEFldID(H$5))</f>
        <v>0</v>
      </c>
      <c r="I87" s="3">
        <f>_xll.ICEQuote($G87,_xll.ICEFldID(I$5))</f>
        <v>57.5</v>
      </c>
      <c r="J87" s="3">
        <f>_xll.ICEQuote($G87,_xll.ICEFldID(J$5))</f>
        <v>0.34728510038514909</v>
      </c>
      <c r="K87" s="3">
        <f>_xll.ICEQuote($G87,_xll.ICEFldID(K$5))</f>
        <v>-0.13090587378589172</v>
      </c>
      <c r="L87" s="4">
        <f>_xll.ICETimeline(_xll.ICEJoinRange(M4:W4),"DF[dow:12345][tl:Calendar]","2020-07-26;2024-07-26",964,-1)</f>
        <v>45387.5</v>
      </c>
      <c r="M87">
        <f>_xll.ICEHistory(M$4,M$5,"DF[dow:12345][tl:Calendar]",$L87)</f>
        <v>58.36</v>
      </c>
      <c r="N87">
        <f>_xll.ICEHistory(M$4,N$5,"DF[dow:12345][tl:Calendar]",$L87)</f>
        <v>61.15</v>
      </c>
      <c r="O87">
        <f>_xll.ICEHistory(M$4,O$5,"DF[dow:12345][tl:Calendar]",$L87)</f>
        <v>58.25</v>
      </c>
      <c r="P87">
        <f>_xll.ICEHistory(M$4,P$5,"DF[dow:12345][tl:Calendar]",$L87)</f>
        <v>61.01</v>
      </c>
      <c r="Q87">
        <f>_xll.ICEHistory(M$4,Q$5,"DF[dow:12345][tl:Calendar]",$L87)</f>
        <v>30835</v>
      </c>
      <c r="R87">
        <f>_xll.ICEHistory(M$4,R$5,"DF[dow:12345][tl:Calendar]",$L87)</f>
        <v>301216</v>
      </c>
      <c r="S87">
        <f>_xll.ICEHistory(S$4,S$5,"DF[dow:12345][tl:Calendar]",$L87)</f>
        <v>26.56</v>
      </c>
      <c r="T87">
        <f>_xll.ICEHistory(S$4,T$5,"DF[dow:12345][tl:Calendar]",$L87)</f>
        <v>27.024999999999999</v>
      </c>
      <c r="U87">
        <f>_xll.ICEHistory(S$4,U$5,"DF[dow:12345][tl:Calendar]",$L87)</f>
        <v>26.07</v>
      </c>
      <c r="V87">
        <f>_xll.ICEHistory(S$4,V$5,"DF[dow:12345][tl:Calendar]",$L87)</f>
        <v>26.765000000000001</v>
      </c>
      <c r="W87">
        <f>_xll.ICEHistory(S$4,W$5,"DF[dow:12345][tl:Calendar]",$L87)</f>
        <v>460</v>
      </c>
      <c r="X87">
        <f t="shared" si="3"/>
        <v>5.0796987213172155E-2</v>
      </c>
      <c r="Y87">
        <f t="shared" si="4"/>
        <v>0.38798219710741949</v>
      </c>
      <c r="Z87">
        <f t="shared" si="5"/>
        <v>0.16481630932537589</v>
      </c>
    </row>
    <row r="88" spans="1:26" x14ac:dyDescent="0.25">
      <c r="A88" s="3" t="str">
        <f>_xll.ICEOptionSymbol($B$1,"F","C",$F88)</f>
        <v>EFO 24UC5800-ICN</v>
      </c>
      <c r="B88" s="3">
        <f>_xll.ICEQuote($A88,_xll.ICEFldID(B$5))</f>
        <v>0</v>
      </c>
      <c r="C88" s="3">
        <f>_xll.ICEQuote($A88,_xll.ICEFldID(C$5))</f>
        <v>58</v>
      </c>
      <c r="D88" s="3">
        <f>_xll.ICEQuote($A88,_xll.ICEFldID(D$5))</f>
        <v>0.34875401393494532</v>
      </c>
      <c r="E88" s="3">
        <f>_xll.ICEQuote($A88,_xll.ICEFldID(E$5))</f>
        <v>0.85154433010993735</v>
      </c>
      <c r="F88" s="3">
        <f>_xll.ICEOptionStrike($B$1,-18,"F")</f>
        <v>58</v>
      </c>
      <c r="G88" s="3" t="str">
        <f>_xll.ICEOptionSymbol($B$1,"F","P",$F88)</f>
        <v>EFO 24UP5800-ICN</v>
      </c>
      <c r="H88" s="3">
        <f>_xll.ICEQuote($G88,_xll.ICEFldID(H$5))</f>
        <v>0</v>
      </c>
      <c r="I88" s="3">
        <f>_xll.ICEQuote($G88,_xll.ICEFldID(I$5))</f>
        <v>58</v>
      </c>
      <c r="J88" s="3">
        <f>_xll.ICEQuote($G88,_xll.ICEFldID(J$5))</f>
        <v>0.34395716686514954</v>
      </c>
      <c r="K88" s="3">
        <f>_xll.ICEQuote($G88,_xll.ICEFldID(K$5))</f>
        <v>-0.14218415934830805</v>
      </c>
      <c r="L88" s="4">
        <f>_xll.ICETimeline(_xll.ICEJoinRange(M4:W4),"DF[dow:12345][tl:Calendar]","2020-07-26;2024-07-26",963,-1)</f>
        <v>45386.5</v>
      </c>
      <c r="M88">
        <f>_xll.ICEHistory(M$4,M$5,"DF[dow:12345][tl:Calendar]",$L88)</f>
        <v>57.09</v>
      </c>
      <c r="N88">
        <f>_xll.ICEHistory(M$4,N$5,"DF[dow:12345][tl:Calendar]",$L88)</f>
        <v>59.24</v>
      </c>
      <c r="O88">
        <f>_xll.ICEHistory(M$4,O$5,"DF[dow:12345][tl:Calendar]",$L88)</f>
        <v>57.09</v>
      </c>
      <c r="P88">
        <f>_xll.ICEHistory(M$4,P$5,"DF[dow:12345][tl:Calendar]",$L88)</f>
        <v>58.39</v>
      </c>
      <c r="Q88">
        <f>_xll.ICEHistory(M$4,Q$5,"DF[dow:12345][tl:Calendar]",$L88)</f>
        <v>26047</v>
      </c>
      <c r="R88">
        <f>_xll.ICEHistory(M$4,R$5,"DF[dow:12345][tl:Calendar]",$L88)</f>
        <v>303135</v>
      </c>
      <c r="S88">
        <f>_xll.ICEHistory(S$4,S$5,"DF[dow:12345][tl:Calendar]",$L88)</f>
        <v>25.684999999999999</v>
      </c>
      <c r="T88">
        <f>_xll.ICEHistory(S$4,T$5,"DF[dow:12345][tl:Calendar]",$L88)</f>
        <v>26.555</v>
      </c>
      <c r="U88">
        <f>_xll.ICEHistory(S$4,U$5,"DF[dow:12345][tl:Calendar]",$L88)</f>
        <v>25.52</v>
      </c>
      <c r="V88">
        <f>_xll.ICEHistory(S$4,V$5,"DF[dow:12345][tl:Calendar]",$L88)</f>
        <v>26</v>
      </c>
      <c r="W88">
        <f>_xll.ICEHistory(S$4,W$5,"DF[dow:12345][tl:Calendar]",$L88)</f>
        <v>1347</v>
      </c>
      <c r="X88">
        <f t="shared" si="3"/>
        <v>3.6262438859841435E-2</v>
      </c>
      <c r="Y88">
        <f t="shared" si="4"/>
        <v>-0.47029034485092985</v>
      </c>
      <c r="Z88">
        <f t="shared" si="5"/>
        <v>-0.31936342377990617</v>
      </c>
    </row>
    <row r="89" spans="1:26" x14ac:dyDescent="0.25">
      <c r="A89" s="3" t="str">
        <f>_xll.ICEOptionSymbol($B$1,"F","C",$F89)</f>
        <v>EFO 24UC5850-ICN</v>
      </c>
      <c r="B89" s="3">
        <f>_xll.ICEQuote($A89,_xll.ICEFldID(B$5))</f>
        <v>0</v>
      </c>
      <c r="C89" s="3">
        <f>_xll.ICEQuote($A89,_xll.ICEFldID(C$5))</f>
        <v>58.5</v>
      </c>
      <c r="D89" s="3">
        <f>_xll.ICEQuote($A89,_xll.ICEFldID(D$5))</f>
        <v>0.3448607583869569</v>
      </c>
      <c r="E89" s="3">
        <f>_xll.ICEQuote($A89,_xll.ICEFldID(E$5))</f>
        <v>0.83983537342652637</v>
      </c>
      <c r="F89" s="3">
        <f>_xll.ICEOptionStrike($B$1,-17,"F")</f>
        <v>58.5</v>
      </c>
      <c r="G89" s="3" t="str">
        <f>_xll.ICEOptionSymbol($B$1,"F","P",$F89)</f>
        <v>EFO 24UP5850-ICN</v>
      </c>
      <c r="H89" s="3">
        <f>_xll.ICEQuote($G89,_xll.ICEFldID(H$5))</f>
        <v>0</v>
      </c>
      <c r="I89" s="3">
        <f>_xll.ICEQuote($G89,_xll.ICEFldID(I$5))</f>
        <v>58.5</v>
      </c>
      <c r="J89" s="3">
        <f>_xll.ICEQuote($G89,_xll.ICEFldID(J$5))</f>
        <v>0.34056913312046994</v>
      </c>
      <c r="K89" s="3">
        <f>_xll.ICEQuote($G89,_xll.ICEFldID(K$5))</f>
        <v>-0.15417554692611929</v>
      </c>
      <c r="L89" s="4">
        <f>_xll.ICETimeline(_xll.ICEJoinRange(M4:W4),"DF[dow:12345][tl:Calendar]","2020-07-26;2024-07-26",962,-1)</f>
        <v>45385.5</v>
      </c>
      <c r="M89">
        <f>_xll.ICEHistory(M$4,M$5,"DF[dow:12345][tl:Calendar]",$L89)</f>
        <v>59.29</v>
      </c>
      <c r="N89">
        <f>_xll.ICEHistory(M$4,N$5,"DF[dow:12345][tl:Calendar]",$L89)</f>
        <v>59.49</v>
      </c>
      <c r="O89">
        <f>_xll.ICEHistory(M$4,O$5,"DF[dow:12345][tl:Calendar]",$L89)</f>
        <v>56.9</v>
      </c>
      <c r="P89">
        <f>_xll.ICEHistory(M$4,P$5,"DF[dow:12345][tl:Calendar]",$L89)</f>
        <v>57.55</v>
      </c>
      <c r="Q89">
        <f>_xll.ICEHistory(M$4,Q$5,"DF[dow:12345][tl:Calendar]",$L89)</f>
        <v>26576</v>
      </c>
      <c r="R89">
        <f>_xll.ICEHistory(M$4,R$5,"DF[dow:12345][tl:Calendar]",$L89)</f>
        <v>303974</v>
      </c>
      <c r="S89">
        <f>_xll.ICEHistory(S$4,S$5,"DF[dow:12345][tl:Calendar]",$L89)</f>
        <v>25.7</v>
      </c>
      <c r="T89">
        <f>_xll.ICEHistory(S$4,T$5,"DF[dow:12345][tl:Calendar]",$L89)</f>
        <v>25.954999999999998</v>
      </c>
      <c r="U89">
        <f>_xll.ICEHistory(S$4,U$5,"DF[dow:12345][tl:Calendar]",$L89)</f>
        <v>25.184999999999999</v>
      </c>
      <c r="V89">
        <f>_xll.ICEHistory(S$4,V$5,"DF[dow:12345][tl:Calendar]",$L89)</f>
        <v>25.864999999999998</v>
      </c>
      <c r="W89">
        <f>_xll.ICEHistory(S$4,W$5,"DF[dow:12345][tl:Calendar]",$L89)</f>
        <v>1769</v>
      </c>
      <c r="X89">
        <f t="shared" si="3"/>
        <v>4.2127521145087894E-2</v>
      </c>
      <c r="Y89">
        <f t="shared" si="4"/>
        <v>-0.12360944120394987</v>
      </c>
      <c r="Z89">
        <f t="shared" si="5"/>
        <v>-0.24416872851724067</v>
      </c>
    </row>
    <row r="90" spans="1:26" x14ac:dyDescent="0.25">
      <c r="A90" s="3" t="str">
        <f>_xll.ICEOptionSymbol($B$1,"F","C",$F90)</f>
        <v>EFO 24UC5900-ICN</v>
      </c>
      <c r="B90" s="3">
        <f>_xll.ICEQuote($A90,_xll.ICEFldID(B$5))</f>
        <v>0</v>
      </c>
      <c r="C90" s="3">
        <f>_xll.ICEQuote($A90,_xll.ICEFldID(C$5))</f>
        <v>59</v>
      </c>
      <c r="D90" s="3">
        <f>_xll.ICEQuote($A90,_xll.ICEFldID(D$5))</f>
        <v>0.34091289804583153</v>
      </c>
      <c r="E90" s="3">
        <f>_xll.ICEQuote($A90,_xll.ICEFldID(E$5))</f>
        <v>0.82740195818171314</v>
      </c>
      <c r="F90" s="3">
        <f>_xll.ICEOptionStrike($B$1,-16,"F")</f>
        <v>59</v>
      </c>
      <c r="G90" s="3" t="str">
        <f>_xll.ICEOptionSymbol($B$1,"F","P",$F90)</f>
        <v>EFO 24UP5900-ICN</v>
      </c>
      <c r="H90" s="3">
        <f>_xll.ICEQuote($G90,_xll.ICEFldID(H$5))</f>
        <v>0</v>
      </c>
      <c r="I90" s="3">
        <f>_xll.ICEQuote($G90,_xll.ICEFldID(I$5))</f>
        <v>59</v>
      </c>
      <c r="J90" s="3">
        <f>_xll.ICEQuote($G90,_xll.ICEFldID(J$5))</f>
        <v>0.33707856304254585</v>
      </c>
      <c r="K90" s="3">
        <f>_xll.ICEQuote($G90,_xll.ICEFldID(K$5))</f>
        <v>-0.16687988300507012</v>
      </c>
      <c r="L90" s="4">
        <f>_xll.ICETimeline(_xll.ICEJoinRange(M4:W4),"DF[dow:12345][tl:Calendar]","2020-07-26;2024-07-26",961,-1)</f>
        <v>45384.5</v>
      </c>
      <c r="M90">
        <f>_xll.ICEHistory(M$4,M$5,"DF[dow:12345][tl:Calendar]",$L90)</f>
        <v>61.48</v>
      </c>
      <c r="N90">
        <f>_xll.ICEHistory(M$4,N$5,"DF[dow:12345][tl:Calendar]",$L90)</f>
        <v>61.5</v>
      </c>
      <c r="O90">
        <f>_xll.ICEHistory(M$4,O$5,"DF[dow:12345][tl:Calendar]",$L90)</f>
        <v>58.56</v>
      </c>
      <c r="P90">
        <f>_xll.ICEHistory(M$4,P$5,"DF[dow:12345][tl:Calendar]",$L90)</f>
        <v>58.9</v>
      </c>
      <c r="Q90">
        <f>_xll.ICEHistory(M$4,Q$5,"DF[dow:12345][tl:Calendar]",$L90)</f>
        <v>31781</v>
      </c>
      <c r="R90">
        <f>_xll.ICEHistory(M$4,R$5,"DF[dow:12345][tl:Calendar]",$L90)</f>
        <v>305461</v>
      </c>
      <c r="S90">
        <f>_xll.ICEHistory(S$4,S$5,"DF[dow:12345][tl:Calendar]",$L90)</f>
        <v>27.35</v>
      </c>
      <c r="T90">
        <f>_xll.ICEHistory(S$4,T$5,"DF[dow:12345][tl:Calendar]",$L90)</f>
        <v>27.5</v>
      </c>
      <c r="U90">
        <f>_xll.ICEHistory(S$4,U$5,"DF[dow:12345][tl:Calendar]",$L90)</f>
        <v>26.045000000000002</v>
      </c>
      <c r="V90">
        <f>_xll.ICEHistory(S$4,V$5,"DF[dow:12345][tl:Calendar]",$L90)</f>
        <v>26.32</v>
      </c>
      <c r="W90">
        <f>_xll.ICEHistory(S$4,W$5,"DF[dow:12345][tl:Calendar]",$L90)</f>
        <v>714</v>
      </c>
      <c r="X90" t="str">
        <f t="shared" si="3"/>
        <v/>
      </c>
      <c r="Y90" t="str">
        <f t="shared" si="4"/>
        <v/>
      </c>
      <c r="Z90">
        <f t="shared" si="5"/>
        <v>0.30022667906955303</v>
      </c>
    </row>
    <row r="91" spans="1:26" x14ac:dyDescent="0.25">
      <c r="A91" s="3" t="str">
        <f>_xll.ICEOptionSymbol($B$1,"F","C",$F91)</f>
        <v>EFO 24UC5950-ICN</v>
      </c>
      <c r="B91" s="3">
        <f>_xll.ICEQuote($A91,_xll.ICEFldID(B$5))</f>
        <v>0</v>
      </c>
      <c r="C91" s="3">
        <f>_xll.ICEQuote($A91,_xll.ICEFldID(C$5))</f>
        <v>59.5</v>
      </c>
      <c r="D91" s="3">
        <f>_xll.ICEQuote($A91,_xll.ICEFldID(D$5))</f>
        <v>0.33755587850618735</v>
      </c>
      <c r="E91" s="3">
        <f>_xll.ICEQuote($A91,_xll.ICEFldID(E$5))</f>
        <v>0.81382819554545249</v>
      </c>
      <c r="F91" s="3">
        <f>_xll.ICEOptionStrike($B$1,-15,"F")</f>
        <v>59.5</v>
      </c>
      <c r="G91" s="3" t="str">
        <f>_xll.ICEOptionSymbol($B$1,"F","P",$F91)</f>
        <v>EFO 24UP5950-ICN</v>
      </c>
      <c r="H91" s="3">
        <f>_xll.ICEQuote($G91,_xll.ICEFldID(H$5))</f>
        <v>0</v>
      </c>
      <c r="I91" s="3">
        <f>_xll.ICEQuote($G91,_xll.ICEFldID(I$5))</f>
        <v>59.5</v>
      </c>
      <c r="J91" s="3">
        <f>_xll.ICEQuote($G91,_xll.ICEFldID(J$5))</f>
        <v>0.33414106482240691</v>
      </c>
      <c r="K91" s="3">
        <f>_xll.ICEQuote($G91,_xll.ICEFldID(K$5))</f>
        <v>-0.18072155097090073</v>
      </c>
      <c r="L91" s="4">
        <f>_xll.ICETimeline(_xll.ICEJoinRange(M4:W4),"DF[dow:12345][tl:Calendar]","2020-07-26;2024-07-26",960,-1)</f>
        <v>45383.5</v>
      </c>
      <c r="M91">
        <f>_xll.ICEHistory(M$4,M$5,"DF[dow:12345][tl:Calendar]",$L91)</f>
        <v>0</v>
      </c>
      <c r="N91">
        <f>_xll.ICEHistory(M$4,N$5,"DF[dow:12345][tl:Calendar]",$L91)</f>
        <v>0</v>
      </c>
      <c r="O91">
        <f>_xll.ICEHistory(M$4,O$5,"DF[dow:12345][tl:Calendar]",$L91)</f>
        <v>0</v>
      </c>
      <c r="P91">
        <f>_xll.ICEHistory(M$4,P$5,"DF[dow:12345][tl:Calendar]",$L91)</f>
        <v>0</v>
      </c>
      <c r="Q91">
        <f>_xll.ICEHistory(M$4,Q$5,"DF[dow:12345][tl:Calendar]",$L91)</f>
        <v>0</v>
      </c>
      <c r="R91">
        <f>_xll.ICEHistory(M$4,R$5,"DF[dow:12345][tl:Calendar]",$L91)</f>
        <v>305049</v>
      </c>
      <c r="S91">
        <f>_xll.ICEHistory(S$4,S$5,"DF[dow:12345][tl:Calendar]",$L91)</f>
        <v>27.55</v>
      </c>
      <c r="T91">
        <f>_xll.ICEHistory(S$4,T$5,"DF[dow:12345][tl:Calendar]",$L91)</f>
        <v>28.125</v>
      </c>
      <c r="U91">
        <f>_xll.ICEHistory(S$4,U$5,"DF[dow:12345][tl:Calendar]",$L91)</f>
        <v>27.195</v>
      </c>
      <c r="V91">
        <f>_xll.ICEHistory(S$4,V$5,"DF[dow:12345][tl:Calendar]",$L91)</f>
        <v>27.48</v>
      </c>
      <c r="W91">
        <f>_xll.ICEHistory(S$4,W$5,"DF[dow:12345][tl:Calendar]",$L91)</f>
        <v>0</v>
      </c>
      <c r="X91">
        <f t="shared" si="3"/>
        <v>0</v>
      </c>
      <c r="Y91">
        <f t="shared" si="4"/>
        <v>-2.5756265319150757</v>
      </c>
      <c r="Z91">
        <f t="shared" si="5"/>
        <v>-2.7531405120673385</v>
      </c>
    </row>
    <row r="92" spans="1:26" x14ac:dyDescent="0.25">
      <c r="A92" s="3" t="str">
        <f>_xll.ICEOptionSymbol($B$1,"F","C",$F92)</f>
        <v>EFO 24UC6000-ICN</v>
      </c>
      <c r="B92" s="3">
        <f>_xll.ICEQuote($A92,_xll.ICEFldID(B$5))</f>
        <v>300</v>
      </c>
      <c r="C92" s="3">
        <f>_xll.ICEQuote($A92,_xll.ICEFldID(C$5))</f>
        <v>60</v>
      </c>
      <c r="D92" s="3">
        <f>_xll.ICEQuote($A92,_xll.ICEFldID(D$5))</f>
        <v>0.33400555896783235</v>
      </c>
      <c r="E92" s="3">
        <f>_xll.ICEQuote($A92,_xll.ICEFldID(E$5))</f>
        <v>0.79956284033937375</v>
      </c>
      <c r="F92" s="3">
        <f>_xll.ICEOptionStrike($B$1,-14,"F")</f>
        <v>60</v>
      </c>
      <c r="G92" s="3" t="str">
        <f>_xll.ICEOptionSymbol($B$1,"F","P",$F92)</f>
        <v>EFO 24UP6000-ICN</v>
      </c>
      <c r="H92" s="3">
        <f>_xll.ICEQuote($G92,_xll.ICEFldID(H$5))</f>
        <v>15026</v>
      </c>
      <c r="I92" s="3">
        <f>_xll.ICEQuote($G92,_xll.ICEFldID(I$5))</f>
        <v>60</v>
      </c>
      <c r="J92" s="3">
        <f>_xll.ICEQuote($G92,_xll.ICEFldID(J$5))</f>
        <v>0.33097004233853533</v>
      </c>
      <c r="K92" s="3">
        <f>_xll.ICEQuote($G92,_xll.ICEFldID(K$5))</f>
        <v>-0.19523930747587878</v>
      </c>
      <c r="L92" s="4">
        <f>_xll.ICETimeline(_xll.ICEJoinRange(M4:W4),"DF[dow:12345][tl:Calendar]","2020-07-26;2024-07-26",959,-1)</f>
        <v>45380.5</v>
      </c>
      <c r="M92">
        <f>_xll.ICEHistory(M$4,M$5,"DF[dow:12345][tl:Calendar]",$L92)</f>
        <v>62.5</v>
      </c>
      <c r="N92">
        <f>_xll.ICEHistory(M$4,N$5,"DF[dow:12345][tl:Calendar]",$L92)</f>
        <v>62.89</v>
      </c>
      <c r="O92">
        <f>_xll.ICEHistory(M$4,O$5,"DF[dow:12345][tl:Calendar]",$L92)</f>
        <v>61.32</v>
      </c>
      <c r="P92">
        <f>_xll.ICEHistory(M$4,P$5,"DF[dow:12345][tl:Calendar]",$L92)</f>
        <v>61.93</v>
      </c>
      <c r="Q92">
        <f>_xll.ICEHistory(M$4,Q$5,"DF[dow:12345][tl:Calendar]",$L92)</f>
        <v>0</v>
      </c>
      <c r="R92">
        <f>_xll.ICEHistory(M$4,R$5,"DF[dow:12345][tl:Calendar]",$L92)</f>
        <v>0</v>
      </c>
      <c r="S92">
        <f>_xll.ICEHistory(S$4,S$5,"DF[dow:12345][tl:Calendar]",$L92)</f>
        <v>27.55</v>
      </c>
      <c r="T92">
        <f>_xll.ICEHistory(S$4,T$5,"DF[dow:12345][tl:Calendar]",$L92)</f>
        <v>28.125</v>
      </c>
      <c r="U92">
        <f>_xll.ICEHistory(S$4,U$5,"DF[dow:12345][tl:Calendar]",$L92)</f>
        <v>27.195</v>
      </c>
      <c r="V92">
        <f>_xll.ICEHistory(S$4,V$5,"DF[dow:12345][tl:Calendar]",$L92)</f>
        <v>27.48</v>
      </c>
      <c r="W92">
        <f>_xll.ICEHistory(S$4,W$5,"DF[dow:12345][tl:Calendar]",$L92)</f>
        <v>0</v>
      </c>
      <c r="X92">
        <f t="shared" si="3"/>
        <v>2.5120000000000003E-2</v>
      </c>
      <c r="Y92">
        <f t="shared" si="4"/>
        <v>-1.1793964953783487</v>
      </c>
      <c r="Z92">
        <f t="shared" si="5"/>
        <v>-2.8847751655426688</v>
      </c>
    </row>
    <row r="93" spans="1:26" x14ac:dyDescent="0.25">
      <c r="A93" s="3" t="str">
        <f>_xll.ICEOptionSymbol($B$1,"F","C",$F93)</f>
        <v>EFO 24UC6050-ICN</v>
      </c>
      <c r="B93" s="3">
        <f>_xll.ICEQuote($A93,_xll.ICEFldID(B$5))</f>
        <v>0</v>
      </c>
      <c r="C93" s="3">
        <f>_xll.ICEQuote($A93,_xll.ICEFldID(C$5))</f>
        <v>60.5</v>
      </c>
      <c r="D93" s="3">
        <f>_xll.ICEQuote($A93,_xll.ICEFldID(D$5))</f>
        <v>0.33086564360636894</v>
      </c>
      <c r="E93" s="3">
        <f>_xll.ICEQuote($A93,_xll.ICEFldID(E$5))</f>
        <v>0.78423204645512556</v>
      </c>
      <c r="F93" s="3">
        <f>_xll.ICEOptionStrike($B$1,-13,"F")</f>
        <v>60.5</v>
      </c>
      <c r="G93" s="3" t="str">
        <f>_xll.ICEOptionSymbol($B$1,"F","P",$F93)</f>
        <v>EFO 24UP6050-ICN</v>
      </c>
      <c r="H93" s="3">
        <f>_xll.ICEQuote($G93,_xll.ICEFldID(H$5))</f>
        <v>0</v>
      </c>
      <c r="I93" s="3">
        <f>_xll.ICEQuote($G93,_xll.ICEFldID(I$5))</f>
        <v>60.5</v>
      </c>
      <c r="J93" s="3">
        <f>_xll.ICEQuote($G93,_xll.ICEFldID(J$5))</f>
        <v>0.32817712047935982</v>
      </c>
      <c r="K93" s="3">
        <f>_xll.ICEQuote($G93,_xll.ICEFldID(K$5))</f>
        <v>-0.21081368697057368</v>
      </c>
      <c r="L93" s="4">
        <f>_xll.ICETimeline(_xll.ICEJoinRange(M4:W4),"DF[dow:12345][tl:Calendar]","2020-07-26;2024-07-26",958,-1)</f>
        <v>45379.5</v>
      </c>
      <c r="M93">
        <f>_xll.ICEHistory(M$4,M$5,"DF[dow:12345][tl:Calendar]",$L93)</f>
        <v>62.5</v>
      </c>
      <c r="N93">
        <f>_xll.ICEHistory(M$4,N$5,"DF[dow:12345][tl:Calendar]",$L93)</f>
        <v>62.89</v>
      </c>
      <c r="O93">
        <f>_xll.ICEHistory(M$4,O$5,"DF[dow:12345][tl:Calendar]",$L93)</f>
        <v>61.32</v>
      </c>
      <c r="P93">
        <f>_xll.ICEHistory(M$4,P$5,"DF[dow:12345][tl:Calendar]",$L93)</f>
        <v>61.93</v>
      </c>
      <c r="Q93">
        <f>_xll.ICEHistory(M$4,Q$5,"DF[dow:12345][tl:Calendar]",$L93)</f>
        <v>21520</v>
      </c>
      <c r="R93">
        <f>_xll.ICEHistory(M$4,R$5,"DF[dow:12345][tl:Calendar]",$L93)</f>
        <v>305054</v>
      </c>
      <c r="S93">
        <f>_xll.ICEHistory(S$4,S$5,"DF[dow:12345][tl:Calendar]",$L93)</f>
        <v>27.55</v>
      </c>
      <c r="T93">
        <f>_xll.ICEHistory(S$4,T$5,"DF[dow:12345][tl:Calendar]",$L93)</f>
        <v>28.125</v>
      </c>
      <c r="U93">
        <f>_xll.ICEHistory(S$4,U$5,"DF[dow:12345][tl:Calendar]",$L93)</f>
        <v>27.195</v>
      </c>
      <c r="V93">
        <f>_xll.ICEHistory(S$4,V$5,"DF[dow:12345][tl:Calendar]",$L93)</f>
        <v>27.48</v>
      </c>
      <c r="W93">
        <f>_xll.ICEHistory(S$4,W$5,"DF[dow:12345][tl:Calendar]",$L93)</f>
        <v>340</v>
      </c>
      <c r="X93">
        <f t="shared" si="3"/>
        <v>2.5120000000000003E-2</v>
      </c>
      <c r="Y93">
        <f t="shared" si="4"/>
        <v>-1.1647785087850917</v>
      </c>
      <c r="Z93">
        <f t="shared" si="5"/>
        <v>-0.76788770396681882</v>
      </c>
    </row>
    <row r="94" spans="1:26" x14ac:dyDescent="0.25">
      <c r="A94" s="3" t="str">
        <f>_xll.ICEOptionSymbol($B$1,"F","C",$F94)</f>
        <v>EFO 24UC6100-ICN</v>
      </c>
      <c r="B94" s="3">
        <f>_xll.ICEQuote($A94,_xll.ICEFldID(B$5))</f>
        <v>0</v>
      </c>
      <c r="C94" s="3">
        <f>_xll.ICEQuote($A94,_xll.ICEFldID(C$5))</f>
        <v>61</v>
      </c>
      <c r="D94" s="3">
        <f>_xll.ICEQuote($A94,_xll.ICEFldID(D$5))</f>
        <v>0.32743670355264198</v>
      </c>
      <c r="E94" s="3">
        <f>_xll.ICEQuote($A94,_xll.ICEFldID(E$5))</f>
        <v>0.76823212764982052</v>
      </c>
      <c r="F94" s="3">
        <f>_xll.ICEOptionStrike($B$1,-12,"F")</f>
        <v>61</v>
      </c>
      <c r="G94" s="3" t="str">
        <f>_xll.ICEOptionSymbol($B$1,"F","P",$F94)</f>
        <v>EFO 24UP6100-ICN</v>
      </c>
      <c r="H94" s="3">
        <f>_xll.ICEQuote($G94,_xll.ICEFldID(H$5))</f>
        <v>0</v>
      </c>
      <c r="I94" s="3">
        <f>_xll.ICEQuote($G94,_xll.ICEFldID(I$5))</f>
        <v>61</v>
      </c>
      <c r="J94" s="3">
        <f>_xll.ICEQuote($G94,_xll.ICEFldID(J$5))</f>
        <v>0.32506320647554005</v>
      </c>
      <c r="K94" s="3">
        <f>_xll.ICEQuote($G94,_xll.ICEFldID(K$5))</f>
        <v>-0.22703972663296496</v>
      </c>
      <c r="L94" s="4">
        <f>_xll.ICETimeline(_xll.ICEJoinRange(M4:W4),"DF[dow:12345][tl:Calendar]","2020-07-26;2024-07-26",957,-1)</f>
        <v>45378.5</v>
      </c>
      <c r="M94">
        <f>_xll.ICEHistory(M$4,M$5,"DF[dow:12345][tl:Calendar]",$L94)</f>
        <v>62.5</v>
      </c>
      <c r="N94">
        <f>_xll.ICEHistory(M$4,N$5,"DF[dow:12345][tl:Calendar]",$L94)</f>
        <v>63.31</v>
      </c>
      <c r="O94">
        <f>_xll.ICEHistory(M$4,O$5,"DF[dow:12345][tl:Calendar]",$L94)</f>
        <v>61.04</v>
      </c>
      <c r="P94">
        <f>_xll.ICEHistory(M$4,P$5,"DF[dow:12345][tl:Calendar]",$L94)</f>
        <v>62.61</v>
      </c>
      <c r="Q94">
        <f>_xll.ICEHistory(M$4,Q$5,"DF[dow:12345][tl:Calendar]",$L94)</f>
        <v>29533</v>
      </c>
      <c r="R94">
        <f>_xll.ICEHistory(M$4,R$5,"DF[dow:12345][tl:Calendar]",$L94)</f>
        <v>303156</v>
      </c>
      <c r="S94">
        <f>_xll.ICEHistory(S$4,S$5,"DF[dow:12345][tl:Calendar]",$L94)</f>
        <v>27.35</v>
      </c>
      <c r="T94">
        <f>_xll.ICEHistory(S$4,T$5,"DF[dow:12345][tl:Calendar]",$L94)</f>
        <v>27.687000000000001</v>
      </c>
      <c r="U94">
        <f>_xll.ICEHistory(S$4,U$5,"DF[dow:12345][tl:Calendar]",$L94)</f>
        <v>27.15</v>
      </c>
      <c r="V94">
        <f>_xll.ICEHistory(S$4,V$5,"DF[dow:12345][tl:Calendar]",$L94)</f>
        <v>27.687000000000001</v>
      </c>
      <c r="W94">
        <f>_xll.ICEHistory(S$4,W$5,"DF[dow:12345][tl:Calendar]",$L94)</f>
        <v>30</v>
      </c>
      <c r="X94">
        <f t="shared" si="3"/>
        <v>3.5117574257425788E-2</v>
      </c>
      <c r="Y94">
        <f t="shared" si="4"/>
        <v>-0.56130231053110236</v>
      </c>
      <c r="Z94">
        <f t="shared" si="5"/>
        <v>8.9762098563371848E-2</v>
      </c>
    </row>
    <row r="95" spans="1:26" x14ac:dyDescent="0.25">
      <c r="A95" s="3" t="str">
        <f>_xll.ICEOptionSymbol($B$1,"F","C",$F95)</f>
        <v>EFO 24UC6150-ICN</v>
      </c>
      <c r="B95" s="3">
        <f>_xll.ICEQuote($A95,_xll.ICEFldID(B$5))</f>
        <v>0</v>
      </c>
      <c r="C95" s="3">
        <f>_xll.ICEQuote($A95,_xll.ICEFldID(C$5))</f>
        <v>61.5</v>
      </c>
      <c r="D95" s="3">
        <f>_xll.ICEQuote($A95,_xll.ICEFldID(D$5))</f>
        <v>0.32428400641030947</v>
      </c>
      <c r="E95" s="3">
        <f>_xll.ICEQuote($A95,_xll.ICEFldID(E$5))</f>
        <v>0.75123290871556925</v>
      </c>
      <c r="F95" s="3">
        <f>_xll.ICEOptionStrike($B$1,-11,"F")</f>
        <v>61.5</v>
      </c>
      <c r="G95" s="3" t="str">
        <f>_xll.ICEOptionSymbol($B$1,"F","P",$F95)</f>
        <v>EFO 24UP6150-ICN</v>
      </c>
      <c r="H95" s="3">
        <f>_xll.ICEQuote($G95,_xll.ICEFldID(H$5))</f>
        <v>0</v>
      </c>
      <c r="I95" s="3">
        <f>_xll.ICEQuote($G95,_xll.ICEFldID(I$5))</f>
        <v>61.5</v>
      </c>
      <c r="J95" s="3">
        <f>_xll.ICEQuote($G95,_xll.ICEFldID(J$5))</f>
        <v>0.32219942886595565</v>
      </c>
      <c r="K95" s="3">
        <f>_xll.ICEQuote($G95,_xll.ICEFldID(K$5))</f>
        <v>-0.24425259173103217</v>
      </c>
      <c r="L95" s="4">
        <f>_xll.ICETimeline(_xll.ICEJoinRange(M4:W4),"DF[dow:12345][tl:Calendar]","2020-07-26;2024-07-26",956,-1)</f>
        <v>45377.5</v>
      </c>
      <c r="M95">
        <f>_xll.ICEHistory(M$4,M$5,"DF[dow:12345][tl:Calendar]",$L95)</f>
        <v>64.64</v>
      </c>
      <c r="N95">
        <f>_xll.ICEHistory(M$4,N$5,"DF[dow:12345][tl:Calendar]",$L95)</f>
        <v>65.78</v>
      </c>
      <c r="O95">
        <f>_xll.ICEHistory(M$4,O$5,"DF[dow:12345][tl:Calendar]",$L95)</f>
        <v>62.16</v>
      </c>
      <c r="P95">
        <f>_xll.ICEHistory(M$4,P$5,"DF[dow:12345][tl:Calendar]",$L95)</f>
        <v>63</v>
      </c>
      <c r="Q95">
        <f>_xll.ICEHistory(M$4,Q$5,"DF[dow:12345][tl:Calendar]",$L95)</f>
        <v>39770</v>
      </c>
      <c r="R95">
        <f>_xll.ICEHistory(M$4,R$5,"DF[dow:12345][tl:Calendar]",$L95)</f>
        <v>299462</v>
      </c>
      <c r="S95">
        <f>_xll.ICEHistory(S$4,S$5,"DF[dow:12345][tl:Calendar]",$L95)</f>
        <v>27.61</v>
      </c>
      <c r="T95">
        <f>_xll.ICEHistory(S$4,T$5,"DF[dow:12345][tl:Calendar]",$L95)</f>
        <v>28.105</v>
      </c>
      <c r="U95">
        <f>_xll.ICEHistory(S$4,U$5,"DF[dow:12345][tl:Calendar]",$L95)</f>
        <v>27.132000000000001</v>
      </c>
      <c r="V95">
        <f>_xll.ICEHistory(S$4,V$5,"DF[dow:12345][tl:Calendar]",$L95)</f>
        <v>27.132000000000001</v>
      </c>
      <c r="W95">
        <f>_xll.ICEHistory(S$4,W$5,"DF[dow:12345][tl:Calendar]",$L95)</f>
        <v>563</v>
      </c>
      <c r="X95">
        <f t="shared" si="3"/>
        <v>5.8680499270546353E-2</v>
      </c>
      <c r="Y95">
        <f t="shared" si="4"/>
        <v>0.83830936358455999</v>
      </c>
      <c r="Z95">
        <f t="shared" si="5"/>
        <v>1.1341788235803543</v>
      </c>
    </row>
    <row r="96" spans="1:26" x14ac:dyDescent="0.25">
      <c r="A96" s="3" t="str">
        <f>_xll.ICEOptionSymbol($B$1,"F","C",$F96)</f>
        <v>EFO 24UC6200-ICN</v>
      </c>
      <c r="B96" s="3">
        <f>_xll.ICEQuote($A96,_xll.ICEFldID(B$5))</f>
        <v>0</v>
      </c>
      <c r="C96" s="3">
        <f>_xll.ICEQuote($A96,_xll.ICEFldID(C$5))</f>
        <v>62</v>
      </c>
      <c r="D96" s="3">
        <f>_xll.ICEQuote($A96,_xll.ICEFldID(D$5))</f>
        <v>0.32133161710403246</v>
      </c>
      <c r="E96" s="3">
        <f>_xll.ICEQuote($A96,_xll.ICEFldID(E$5))</f>
        <v>0.73329031885713081</v>
      </c>
      <c r="F96" s="3">
        <f>_xll.ICEOptionStrike($B$1,-10,"F")</f>
        <v>62</v>
      </c>
      <c r="G96" s="3" t="str">
        <f>_xll.ICEOptionSymbol($B$1,"F","P",$F96)</f>
        <v>EFO 24UP6200-ICN</v>
      </c>
      <c r="H96" s="3">
        <f>_xll.ICEQuote($G96,_xll.ICEFldID(H$5))</f>
        <v>570</v>
      </c>
      <c r="I96" s="3">
        <f>_xll.ICEQuote($G96,_xll.ICEFldID(I$5))</f>
        <v>62</v>
      </c>
      <c r="J96" s="3">
        <f>_xll.ICEQuote($G96,_xll.ICEFldID(J$5))</f>
        <v>0.31951235924553673</v>
      </c>
      <c r="K96" s="3">
        <f>_xll.ICEQuote($G96,_xll.ICEFldID(K$5))</f>
        <v>-0.26239415315224401</v>
      </c>
      <c r="L96" s="4">
        <f>_xll.ICETimeline(_xll.ICEJoinRange(M4:W4),"DF[dow:12345][tl:Calendar]","2020-07-26;2024-07-26",955,-1)</f>
        <v>45376.5</v>
      </c>
      <c r="M96">
        <f>_xll.ICEHistory(M$4,M$5,"DF[dow:12345][tl:Calendar]",$L96)</f>
        <v>61.69</v>
      </c>
      <c r="N96">
        <f>_xll.ICEHistory(M$4,N$5,"DF[dow:12345][tl:Calendar]",$L96)</f>
        <v>65.489999999999995</v>
      </c>
      <c r="O96">
        <f>_xll.ICEHistory(M$4,O$5,"DF[dow:12345][tl:Calendar]",$L96)</f>
        <v>61.68</v>
      </c>
      <c r="P96">
        <f>_xll.ICEHistory(M$4,P$5,"DF[dow:12345][tl:Calendar]",$L96)</f>
        <v>64.84</v>
      </c>
      <c r="Q96">
        <f>_xll.ICEHistory(M$4,Q$5,"DF[dow:12345][tl:Calendar]",$L96)</f>
        <v>36801</v>
      </c>
      <c r="R96">
        <f>_xll.ICEHistory(M$4,R$5,"DF[dow:12345][tl:Calendar]",$L96)</f>
        <v>297131</v>
      </c>
      <c r="S96">
        <f>_xll.ICEHistory(S$4,S$5,"DF[dow:12345][tl:Calendar]",$L96)</f>
        <v>28.824999999999999</v>
      </c>
      <c r="T96">
        <f>_xll.ICEHistory(S$4,T$5,"DF[dow:12345][tl:Calendar]",$L96)</f>
        <v>29.07</v>
      </c>
      <c r="U96">
        <f>_xll.ICEHistory(S$4,U$5,"DF[dow:12345][tl:Calendar]",$L96)</f>
        <v>28.07</v>
      </c>
      <c r="V96">
        <f>_xll.ICEHistory(S$4,V$5,"DF[dow:12345][tl:Calendar]",$L96)</f>
        <v>28.489000000000001</v>
      </c>
      <c r="W96">
        <f>_xll.ICEHistory(S$4,W$5,"DF[dow:12345][tl:Calendar]",$L96)</f>
        <v>127</v>
      </c>
      <c r="X96">
        <f t="shared" si="3"/>
        <v>6.4412510566356634E-2</v>
      </c>
      <c r="Y96">
        <f t="shared" si="4"/>
        <v>1.2014638569988489</v>
      </c>
      <c r="Z96">
        <f t="shared" si="5"/>
        <v>0.86161120422440629</v>
      </c>
    </row>
    <row r="97" spans="1:26" x14ac:dyDescent="0.25">
      <c r="A97" s="3" t="str">
        <f>_xll.ICEOptionSymbol($B$1,"F","C",$F97)</f>
        <v>EFO 24UC6250-ICN</v>
      </c>
      <c r="B97" s="3">
        <f>_xll.ICEQuote($A97,_xll.ICEFldID(B$5))</f>
        <v>0</v>
      </c>
      <c r="C97" s="3">
        <f>_xll.ICEQuote($A97,_xll.ICEFldID(C$5))</f>
        <v>62.5</v>
      </c>
      <c r="D97" s="3">
        <f>_xll.ICEQuote($A97,_xll.ICEFldID(D$5))</f>
        <v>0.31905369625585756</v>
      </c>
      <c r="E97" s="3">
        <f>_xll.ICEQuote($A97,_xll.ICEFldID(E$5))</f>
        <v>0.714207358572721</v>
      </c>
      <c r="F97" s="3">
        <f>_xll.ICEOptionStrike($B$1,-9,"F")</f>
        <v>62.5</v>
      </c>
      <c r="G97" s="3" t="str">
        <f>_xll.ICEOptionSymbol($B$1,"F","P",$F97)</f>
        <v>EFO 24UP6250-ICN</v>
      </c>
      <c r="H97" s="3">
        <f>_xll.ICEQuote($G97,_xll.ICEFldID(H$5))</f>
        <v>0</v>
      </c>
      <c r="I97" s="3">
        <f>_xll.ICEQuote($G97,_xll.ICEFldID(I$5))</f>
        <v>62.5</v>
      </c>
      <c r="J97" s="3">
        <f>_xll.ICEQuote($G97,_xll.ICEFldID(J$5))</f>
        <v>0.31747942013024538</v>
      </c>
      <c r="K97" s="3">
        <f>_xll.ICEQuote($G97,_xll.ICEFldID(K$5))</f>
        <v>-0.28166256283861318</v>
      </c>
      <c r="L97" s="4">
        <f>_xll.ICETimeline(_xll.ICEJoinRange(M4:W4),"DF[dow:12345][tl:Calendar]","2020-07-26;2024-07-26",954,-1)</f>
        <v>45373.5</v>
      </c>
      <c r="M97">
        <f>_xll.ICEHistory(M$4,M$5,"DF[dow:12345][tl:Calendar]",$L97)</f>
        <v>59.15</v>
      </c>
      <c r="N97">
        <f>_xll.ICEHistory(M$4,N$5,"DF[dow:12345][tl:Calendar]",$L97)</f>
        <v>62.06</v>
      </c>
      <c r="O97">
        <f>_xll.ICEHistory(M$4,O$5,"DF[dow:12345][tl:Calendar]",$L97)</f>
        <v>58.8</v>
      </c>
      <c r="P97">
        <f>_xll.ICEHistory(M$4,P$5,"DF[dow:12345][tl:Calendar]",$L97)</f>
        <v>61.5</v>
      </c>
      <c r="Q97">
        <f>_xll.ICEHistory(M$4,Q$5,"DF[dow:12345][tl:Calendar]",$L97)</f>
        <v>30992</v>
      </c>
      <c r="R97">
        <f>_xll.ICEHistory(M$4,R$5,"DF[dow:12345][tl:Calendar]",$L97)</f>
        <v>297063</v>
      </c>
      <c r="S97">
        <f>_xll.ICEHistory(S$4,S$5,"DF[dow:12345][tl:Calendar]",$L97)</f>
        <v>26.524999999999999</v>
      </c>
      <c r="T97">
        <f>_xll.ICEHistory(S$4,T$5,"DF[dow:12345][tl:Calendar]",$L97)</f>
        <v>27.875</v>
      </c>
      <c r="U97">
        <f>_xll.ICEHistory(S$4,U$5,"DF[dow:12345][tl:Calendar]",$L97)</f>
        <v>26.524999999999999</v>
      </c>
      <c r="V97">
        <f>_xll.ICEHistory(S$4,V$5,"DF[dow:12345][tl:Calendar]",$L97)</f>
        <v>27.776</v>
      </c>
      <c r="W97">
        <f>_xll.ICEHistory(S$4,W$5,"DF[dow:12345][tl:Calendar]",$L97)</f>
        <v>398</v>
      </c>
      <c r="X97">
        <f t="shared" si="3"/>
        <v>5.4170820870721254E-2</v>
      </c>
      <c r="Y97">
        <f t="shared" si="4"/>
        <v>0.6316528880129606</v>
      </c>
      <c r="Z97">
        <f t="shared" si="5"/>
        <v>0.34561990942607651</v>
      </c>
    </row>
    <row r="98" spans="1:26" x14ac:dyDescent="0.25">
      <c r="A98" s="3" t="str">
        <f>_xll.ICEOptionSymbol($B$1,"F","C",$F98)</f>
        <v>EFO 24UC6300-ICN</v>
      </c>
      <c r="B98" s="3">
        <f>_xll.ICEQuote($A98,_xll.ICEFldID(B$5))</f>
        <v>0</v>
      </c>
      <c r="C98" s="3">
        <f>_xll.ICEQuote($A98,_xll.ICEFldID(C$5))</f>
        <v>63</v>
      </c>
      <c r="D98" s="3">
        <f>_xll.ICEQuote($A98,_xll.ICEFldID(D$5))</f>
        <v>0.31630293750424388</v>
      </c>
      <c r="E98" s="3">
        <f>_xll.ICEQuote($A98,_xll.ICEFldID(E$5))</f>
        <v>0.69457035611947182</v>
      </c>
      <c r="F98" s="3">
        <f>_xll.ICEOptionStrike($B$1,-8,"F")</f>
        <v>63</v>
      </c>
      <c r="G98" s="3" t="str">
        <f>_xll.ICEOptionSymbol($B$1,"F","P",$F98)</f>
        <v>EFO 24UP6300-ICN</v>
      </c>
      <c r="H98" s="3">
        <f>_xll.ICEQuote($G98,_xll.ICEFldID(H$5))</f>
        <v>30</v>
      </c>
      <c r="I98" s="3">
        <f>_xll.ICEQuote($G98,_xll.ICEFldID(I$5))</f>
        <v>63</v>
      </c>
      <c r="J98" s="3">
        <f>_xll.ICEQuote($G98,_xll.ICEFldID(J$5))</f>
        <v>0.31495427462730019</v>
      </c>
      <c r="K98" s="3">
        <f>_xll.ICEQuote($G98,_xll.ICEFldID(K$5))</f>
        <v>-0.30146373626903256</v>
      </c>
      <c r="L98" s="4">
        <f>_xll.ICETimeline(_xll.ICEJoinRange(M4:W4),"DF[dow:12345][tl:Calendar]","2020-07-26;2024-07-26",953,-1)</f>
        <v>45372.5</v>
      </c>
      <c r="M98">
        <f>_xll.ICEHistory(M$4,M$5,"DF[dow:12345][tl:Calendar]",$L98)</f>
        <v>60.18</v>
      </c>
      <c r="N98">
        <f>_xll.ICEHistory(M$4,N$5,"DF[dow:12345][tl:Calendar]",$L98)</f>
        <v>60.3</v>
      </c>
      <c r="O98">
        <f>_xll.ICEHistory(M$4,O$5,"DF[dow:12345][tl:Calendar]",$L98)</f>
        <v>58.8</v>
      </c>
      <c r="P98">
        <f>_xll.ICEHistory(M$4,P$5,"DF[dow:12345][tl:Calendar]",$L98)</f>
        <v>59.37</v>
      </c>
      <c r="Q98">
        <f>_xll.ICEHistory(M$4,Q$5,"DF[dow:12345][tl:Calendar]",$L98)</f>
        <v>28063</v>
      </c>
      <c r="R98">
        <f>_xll.ICEHistory(M$4,R$5,"DF[dow:12345][tl:Calendar]",$L98)</f>
        <v>294791</v>
      </c>
      <c r="S98">
        <f>_xll.ICEHistory(S$4,S$5,"DF[dow:12345][tl:Calendar]",$L98)</f>
        <v>27.045000000000002</v>
      </c>
      <c r="T98">
        <f>_xll.ICEHistory(S$4,T$5,"DF[dow:12345][tl:Calendar]",$L98)</f>
        <v>27.39</v>
      </c>
      <c r="U98">
        <f>_xll.ICEHistory(S$4,U$5,"DF[dow:12345][tl:Calendar]",$L98)</f>
        <v>26.35</v>
      </c>
      <c r="V98">
        <f>_xll.ICEHistory(S$4,V$5,"DF[dow:12345][tl:Calendar]",$L98)</f>
        <v>26.402000000000001</v>
      </c>
      <c r="W98">
        <f>_xll.ICEHistory(S$4,W$5,"DF[dow:12345][tl:Calendar]",$L98)</f>
        <v>290</v>
      </c>
      <c r="X98">
        <f t="shared" si="3"/>
        <v>2.4469820554649267E-2</v>
      </c>
      <c r="Y98">
        <f t="shared" si="4"/>
        <v>-1.1160451979868806</v>
      </c>
      <c r="Z98">
        <f t="shared" si="5"/>
        <v>7.9070522989298925E-2</v>
      </c>
    </row>
    <row r="99" spans="1:26" x14ac:dyDescent="0.25">
      <c r="A99" s="3" t="str">
        <f>_xll.ICEOptionSymbol($B$1,"F","C",$F99)</f>
        <v>EFO 24UC6350-ICN</v>
      </c>
      <c r="B99" s="3">
        <f>_xll.ICEQuote($A99,_xll.ICEFldID(B$5))</f>
        <v>0</v>
      </c>
      <c r="C99" s="3">
        <f>_xll.ICEQuote($A99,_xll.ICEFldID(C$5))</f>
        <v>63.5</v>
      </c>
      <c r="D99" s="3">
        <f>_xll.ICEQuote($A99,_xll.ICEFldID(D$5))</f>
        <v>0.31409725991577625</v>
      </c>
      <c r="E99" s="3">
        <f>_xll.ICEQuote($A99,_xll.ICEFldID(E$5))</f>
        <v>0.67395906866151989</v>
      </c>
      <c r="F99" s="3">
        <f>_xll.ICEOptionStrike($B$1,-7,"F")</f>
        <v>63.5</v>
      </c>
      <c r="G99" s="3" t="str">
        <f>_xll.ICEOptionSymbol($B$1,"F","P",$F99)</f>
        <v>EFO 24UP6350-ICN</v>
      </c>
      <c r="H99" s="3">
        <f>_xll.ICEQuote($G99,_xll.ICEFldID(H$5))</f>
        <v>0</v>
      </c>
      <c r="I99" s="3">
        <f>_xll.ICEQuote($G99,_xll.ICEFldID(I$5))</f>
        <v>63.5</v>
      </c>
      <c r="J99" s="3">
        <f>_xll.ICEQuote($G99,_xll.ICEFldID(J$5))</f>
        <v>0.31295854991376032</v>
      </c>
      <c r="K99" s="3">
        <f>_xll.ICEQuote($G99,_xll.ICEFldID(K$5))</f>
        <v>-0.32222211624479496</v>
      </c>
      <c r="L99" s="4">
        <f>_xll.ICETimeline(_xll.ICEJoinRange(M4:W4),"DF[dow:12345][tl:Calendar]","2020-07-26;2024-07-26",952,-1)</f>
        <v>45371.5</v>
      </c>
      <c r="M99">
        <f>_xll.ICEHistory(M$4,M$5,"DF[dow:12345][tl:Calendar]",$L99)</f>
        <v>61.3</v>
      </c>
      <c r="N99">
        <f>_xll.ICEHistory(M$4,N$5,"DF[dow:12345][tl:Calendar]",$L99)</f>
        <v>61.46</v>
      </c>
      <c r="O99">
        <f>_xll.ICEHistory(M$4,O$5,"DF[dow:12345][tl:Calendar]",$L99)</f>
        <v>59.97</v>
      </c>
      <c r="P99">
        <f>_xll.ICEHistory(M$4,P$5,"DF[dow:12345][tl:Calendar]",$L99)</f>
        <v>60.01</v>
      </c>
      <c r="Q99">
        <f>_xll.ICEHistory(M$4,Q$5,"DF[dow:12345][tl:Calendar]",$L99)</f>
        <v>24031</v>
      </c>
      <c r="R99">
        <f>_xll.ICEHistory(M$4,R$5,"DF[dow:12345][tl:Calendar]",$L99)</f>
        <v>292958</v>
      </c>
      <c r="S99">
        <f>_xll.ICEHistory(S$4,S$5,"DF[dow:12345][tl:Calendar]",$L99)</f>
        <v>28.385000000000002</v>
      </c>
      <c r="T99">
        <f>_xll.ICEHistory(S$4,T$5,"DF[dow:12345][tl:Calendar]",$L99)</f>
        <v>28.745000000000001</v>
      </c>
      <c r="U99">
        <f>_xll.ICEHistory(S$4,U$5,"DF[dow:12345][tl:Calendar]",$L99)</f>
        <v>27.414999999999999</v>
      </c>
      <c r="V99">
        <f>_xll.ICEHistory(S$4,V$5,"DF[dow:12345][tl:Calendar]",$L99)</f>
        <v>27.742000000000001</v>
      </c>
      <c r="W99">
        <f>_xll.ICEHistory(S$4,W$5,"DF[dow:12345][tl:Calendar]",$L99)</f>
        <v>621</v>
      </c>
      <c r="X99">
        <f t="shared" si="3"/>
        <v>2.426314932421433E-2</v>
      </c>
      <c r="Y99">
        <f t="shared" si="4"/>
        <v>-1.1606496256710062</v>
      </c>
      <c r="Z99">
        <f t="shared" si="5"/>
        <v>-0.2952380912278732</v>
      </c>
    </row>
    <row r="100" spans="1:26" x14ac:dyDescent="0.25">
      <c r="A100" s="3" t="str">
        <f>_xll.ICEOptionSymbol($B$1,"F","C",$F100)</f>
        <v>EFO 24UC6400-ICN</v>
      </c>
      <c r="B100" s="3">
        <f>_xll.ICEQuote($A100,_xll.ICEFldID(B$5))</f>
        <v>0</v>
      </c>
      <c r="C100" s="3">
        <f>_xll.ICEQuote($A100,_xll.ICEFldID(C$5))</f>
        <v>64</v>
      </c>
      <c r="D100" s="3">
        <f>_xll.ICEQuote($A100,_xll.ICEFldID(D$5))</f>
        <v>0.31186491573197067</v>
      </c>
      <c r="E100" s="3">
        <f>_xll.ICEQuote($A100,_xll.ICEFldID(E$5))</f>
        <v>0.65267542279246171</v>
      </c>
      <c r="F100" s="3">
        <f>_xll.ICEOptionStrike($B$1,-6,"F")</f>
        <v>64</v>
      </c>
      <c r="G100" s="3" t="str">
        <f>_xll.ICEOptionSymbol($B$1,"F","P",$F100)</f>
        <v>EFO 24UP6400-ICN</v>
      </c>
      <c r="H100" s="3">
        <f>_xll.ICEQuote($G100,_xll.ICEFldID(H$5))</f>
        <v>500</v>
      </c>
      <c r="I100" s="3">
        <f>_xll.ICEQuote($G100,_xll.ICEFldID(I$5))</f>
        <v>64</v>
      </c>
      <c r="J100" s="3">
        <f>_xll.ICEQuote($G100,_xll.ICEFldID(J$5))</f>
        <v>0.31092228555006107</v>
      </c>
      <c r="K100" s="3">
        <f>_xll.ICEQuote($G100,_xll.ICEFldID(K$5))</f>
        <v>-0.34363226628730725</v>
      </c>
      <c r="L100" s="4">
        <f>_xll.ICETimeline(_xll.ICEJoinRange(M4:W4),"DF[dow:12345][tl:Calendar]","2020-07-26;2024-07-26",951,-1)</f>
        <v>45370.5</v>
      </c>
      <c r="M100">
        <f>_xll.ICEHistory(M$4,M$5,"DF[dow:12345][tl:Calendar]",$L100)</f>
        <v>61.41</v>
      </c>
      <c r="N100">
        <f>_xll.ICEHistory(M$4,N$5,"DF[dow:12345][tl:Calendar]",$L100)</f>
        <v>62.89</v>
      </c>
      <c r="O100">
        <f>_xll.ICEHistory(M$4,O$5,"DF[dow:12345][tl:Calendar]",$L100)</f>
        <v>59.5</v>
      </c>
      <c r="P100">
        <f>_xll.ICEHistory(M$4,P$5,"DF[dow:12345][tl:Calendar]",$L100)</f>
        <v>61.31</v>
      </c>
      <c r="Q100">
        <f>_xll.ICEHistory(M$4,Q$5,"DF[dow:12345][tl:Calendar]",$L100)</f>
        <v>32342</v>
      </c>
      <c r="R100">
        <f>_xll.ICEHistory(M$4,R$5,"DF[dow:12345][tl:Calendar]",$L100)</f>
        <v>293112</v>
      </c>
      <c r="S100">
        <f>_xll.ICEHistory(S$4,S$5,"DF[dow:12345][tl:Calendar]",$L100)</f>
        <v>28.9</v>
      </c>
      <c r="T100">
        <f>_xll.ICEHistory(S$4,T$5,"DF[dow:12345][tl:Calendar]",$L100)</f>
        <v>29.675000000000001</v>
      </c>
      <c r="U100">
        <f>_xll.ICEHistory(S$4,U$5,"DF[dow:12345][tl:Calendar]",$L100)</f>
        <v>27.8</v>
      </c>
      <c r="V100">
        <f>_xll.ICEHistory(S$4,V$5,"DF[dow:12345][tl:Calendar]",$L100)</f>
        <v>28.866</v>
      </c>
      <c r="W100">
        <f>_xll.ICEHistory(S$4,W$5,"DF[dow:12345][tl:Calendar]",$L100)</f>
        <v>368</v>
      </c>
      <c r="X100">
        <f t="shared" si="3"/>
        <v>5.7022708158116074E-2</v>
      </c>
      <c r="Y100">
        <f t="shared" si="4"/>
        <v>0.7856086596329771</v>
      </c>
      <c r="Z100">
        <f t="shared" si="5"/>
        <v>0.49098070280612094</v>
      </c>
    </row>
    <row r="101" spans="1:26" x14ac:dyDescent="0.25">
      <c r="A101" s="3" t="str">
        <f>_xll.ICEOptionSymbol($B$1,"F","C",$F101)</f>
        <v>EFO 24UC6450-ICN</v>
      </c>
      <c r="B101" s="3">
        <f>_xll.ICEQuote($A101,_xll.ICEFldID(B$5))</f>
        <v>0</v>
      </c>
      <c r="C101" s="3">
        <f>_xll.ICEQuote($A101,_xll.ICEFldID(C$5))</f>
        <v>64.5</v>
      </c>
      <c r="D101" s="3">
        <f>_xll.ICEQuote($A101,_xll.ICEFldID(D$5))</f>
        <v>0.3095772640362634</v>
      </c>
      <c r="E101" s="3">
        <f>_xll.ICEQuote($A101,_xll.ICEFldID(E$5))</f>
        <v>0.63076706289005835</v>
      </c>
      <c r="F101" s="3">
        <f>_xll.ICEOptionStrike($B$1,-5,"F")</f>
        <v>64.5</v>
      </c>
      <c r="G101" s="3" t="str">
        <f>_xll.ICEOptionSymbol($B$1,"F","P",$F101)</f>
        <v>EFO 24UP6450-ICN</v>
      </c>
      <c r="H101" s="3">
        <f>_xll.ICEQuote($G101,_xll.ICEFldID(H$5))</f>
        <v>0</v>
      </c>
      <c r="I101" s="3">
        <f>_xll.ICEQuote($G101,_xll.ICEFldID(I$5))</f>
        <v>64.5</v>
      </c>
      <c r="J101" s="3">
        <f>_xll.ICEQuote($G101,_xll.ICEFldID(J$5))</f>
        <v>0.30881910778632804</v>
      </c>
      <c r="K101" s="3">
        <f>_xll.ICEQuote($G101,_xll.ICEFldID(K$5))</f>
        <v>-0.36564598666060816</v>
      </c>
      <c r="L101" s="4">
        <f>_xll.ICETimeline(_xll.ICEJoinRange(M4:W4),"DF[dow:12345][tl:Calendar]","2020-07-26;2024-07-26",950,-1)</f>
        <v>45369.5</v>
      </c>
      <c r="M101">
        <f>_xll.ICEHistory(M$4,M$5,"DF[dow:12345][tl:Calendar]",$L101)</f>
        <v>59.45</v>
      </c>
      <c r="N101">
        <f>_xll.ICEHistory(M$4,N$5,"DF[dow:12345][tl:Calendar]",$L101)</f>
        <v>62.34</v>
      </c>
      <c r="O101">
        <f>_xll.ICEHistory(M$4,O$5,"DF[dow:12345][tl:Calendar]",$L101)</f>
        <v>59.45</v>
      </c>
      <c r="P101">
        <f>_xll.ICEHistory(M$4,P$5,"DF[dow:12345][tl:Calendar]",$L101)</f>
        <v>61.42</v>
      </c>
      <c r="Q101">
        <f>_xll.ICEHistory(M$4,Q$5,"DF[dow:12345][tl:Calendar]",$L101)</f>
        <v>40447</v>
      </c>
      <c r="R101">
        <f>_xll.ICEHistory(M$4,R$5,"DF[dow:12345][tl:Calendar]",$L101)</f>
        <v>295129</v>
      </c>
      <c r="S101">
        <f>_xll.ICEHistory(S$4,S$5,"DF[dow:12345][tl:Calendar]",$L101)</f>
        <v>28.024999999999999</v>
      </c>
      <c r="T101">
        <f>_xll.ICEHistory(S$4,T$5,"DF[dow:12345][tl:Calendar]",$L101)</f>
        <v>29.15</v>
      </c>
      <c r="U101">
        <f>_xll.ICEHistory(S$4,U$5,"DF[dow:12345][tl:Calendar]",$L101)</f>
        <v>28.024999999999999</v>
      </c>
      <c r="V101">
        <f>_xll.ICEHistory(S$4,V$5,"DF[dow:12345][tl:Calendar]",$L101)</f>
        <v>28.821999999999999</v>
      </c>
      <c r="W101">
        <f>_xll.ICEHistory(S$4,W$5,"DF[dow:12345][tl:Calendar]",$L101)</f>
        <v>756</v>
      </c>
      <c r="X101">
        <f t="shared" si="3"/>
        <v>4.9149659863945587E-2</v>
      </c>
      <c r="Y101">
        <f t="shared" si="4"/>
        <v>0.33943608595976488</v>
      </c>
      <c r="Z101">
        <f t="shared" si="5"/>
        <v>1.2567473063497738</v>
      </c>
    </row>
    <row r="102" spans="1:26" x14ac:dyDescent="0.25">
      <c r="A102" s="3" t="str">
        <f>_xll.ICEOptionSymbol($B$1,"F","C",$F102)</f>
        <v>EFO 24UC6500-ICN</v>
      </c>
      <c r="B102" s="3">
        <f>_xll.ICEQuote($A102,_xll.ICEFldID(B$5))</f>
        <v>2525</v>
      </c>
      <c r="C102" s="3">
        <f>_xll.ICEQuote($A102,_xll.ICEFldID(C$5))</f>
        <v>65</v>
      </c>
      <c r="D102" s="3">
        <f>_xll.ICEQuote($A102,_xll.ICEFldID(D$5))</f>
        <v>0.30768435311050613</v>
      </c>
      <c r="E102" s="3">
        <f>_xll.ICEQuote($A102,_xll.ICEFldID(E$5))</f>
        <v>0.60818856061906557</v>
      </c>
      <c r="F102" s="3">
        <f>_xll.ICEOptionStrike($B$1,-4,"F")</f>
        <v>65</v>
      </c>
      <c r="G102" s="3" t="str">
        <f>_xll.ICEOptionSymbol($B$1,"F","P",$F102)</f>
        <v>EFO 24UP6500-ICN</v>
      </c>
      <c r="H102" s="3">
        <f>_xll.ICEQuote($G102,_xll.ICEFldID(H$5))</f>
        <v>9680</v>
      </c>
      <c r="I102" s="3">
        <f>_xll.ICEQuote($G102,_xll.ICEFldID(I$5))</f>
        <v>65</v>
      </c>
      <c r="J102" s="3">
        <f>_xll.ICEQuote($G102,_xll.ICEFldID(J$5))</f>
        <v>0.30710119370434291</v>
      </c>
      <c r="K102" s="3">
        <f>_xll.ICEQuote($G102,_xll.ICEFldID(K$5))</f>
        <v>-0.38830865554342248</v>
      </c>
      <c r="L102" s="4">
        <f>_xll.ICETimeline(_xll.ICEJoinRange(M4:W4),"DF[dow:12345][tl:Calendar]","2020-07-26;2024-07-26",949,-1)</f>
        <v>45366.5</v>
      </c>
      <c r="M102">
        <f>_xll.ICEHistory(M$4,M$5,"DF[dow:12345][tl:Calendar]",$L102)</f>
        <v>58.8</v>
      </c>
      <c r="N102">
        <f>_xll.ICEHistory(M$4,N$5,"DF[dow:12345][tl:Calendar]",$L102)</f>
        <v>60.25</v>
      </c>
      <c r="O102">
        <f>_xll.ICEHistory(M$4,O$5,"DF[dow:12345][tl:Calendar]",$L102)</f>
        <v>58.14</v>
      </c>
      <c r="P102">
        <f>_xll.ICEHistory(M$4,P$5,"DF[dow:12345][tl:Calendar]",$L102)</f>
        <v>59.38</v>
      </c>
      <c r="Q102">
        <f>_xll.ICEHistory(M$4,Q$5,"DF[dow:12345][tl:Calendar]",$L102)</f>
        <v>37703</v>
      </c>
      <c r="R102">
        <f>_xll.ICEHistory(M$4,R$5,"DF[dow:12345][tl:Calendar]",$L102)</f>
        <v>294097</v>
      </c>
      <c r="S102">
        <f>_xll.ICEHistory(S$4,S$5,"DF[dow:12345][tl:Calendar]",$L102)</f>
        <v>26.254999999999999</v>
      </c>
      <c r="T102">
        <f>_xll.ICEHistory(S$4,T$5,"DF[dow:12345][tl:Calendar]",$L102)</f>
        <v>27.295000000000002</v>
      </c>
      <c r="U102">
        <f>_xll.ICEHistory(S$4,U$5,"DF[dow:12345][tl:Calendar]",$L102)</f>
        <v>26</v>
      </c>
      <c r="V102">
        <f>_xll.ICEHistory(S$4,V$5,"DF[dow:12345][tl:Calendar]",$L102)</f>
        <v>27.026</v>
      </c>
      <c r="W102">
        <f>_xll.ICEHistory(S$4,W$5,"DF[dow:12345][tl:Calendar]",$L102)</f>
        <v>1147</v>
      </c>
      <c r="X102">
        <f t="shared" si="3"/>
        <v>3.7718984626385406E-2</v>
      </c>
      <c r="Y102">
        <f t="shared" si="4"/>
        <v>-0.35557578610673674</v>
      </c>
      <c r="Z102">
        <f t="shared" si="5"/>
        <v>1.043506442002073</v>
      </c>
    </row>
    <row r="103" spans="1:26" x14ac:dyDescent="0.25">
      <c r="A103" s="3" t="str">
        <f>_xll.ICEOptionSymbol($B$1,"F","C",$F103)</f>
        <v>EFO 24UC6550-ICN</v>
      </c>
      <c r="B103" s="3">
        <f>_xll.ICEQuote($A103,_xll.ICEFldID(B$5))</f>
        <v>0</v>
      </c>
      <c r="C103" s="3">
        <f>_xll.ICEQuote($A103,_xll.ICEFldID(C$5))</f>
        <v>65.5</v>
      </c>
      <c r="D103" s="3">
        <f>_xll.ICEQuote($A103,_xll.ICEFldID(D$5))</f>
        <v>0.30614278072118695</v>
      </c>
      <c r="E103" s="3">
        <f>_xll.ICEQuote($A103,_xll.ICEFldID(E$5))</f>
        <v>0.58508624582403257</v>
      </c>
      <c r="F103" s="3">
        <f>_xll.ICEOptionStrike($B$1,-3,"F")</f>
        <v>65.5</v>
      </c>
      <c r="G103" s="3" t="str">
        <f>_xll.ICEOptionSymbol($B$1,"F","P",$F103)</f>
        <v>EFO 24UP6550-ICN</v>
      </c>
      <c r="H103" s="3">
        <f>_xll.ICEQuote($G103,_xll.ICEFldID(H$5))</f>
        <v>0</v>
      </c>
      <c r="I103" s="3">
        <f>_xll.ICEQuote($G103,_xll.ICEFldID(I$5))</f>
        <v>65.5</v>
      </c>
      <c r="J103" s="3">
        <f>_xll.ICEQuote($G103,_xll.ICEFldID(J$5))</f>
        <v>0.30572700699295574</v>
      </c>
      <c r="K103" s="3">
        <f>_xll.ICEQuote($G103,_xll.ICEFldID(K$5))</f>
        <v>-0.41147267808377735</v>
      </c>
      <c r="L103" s="4">
        <f>_xll.ICETimeline(_xll.ICEJoinRange(M4:W4),"DF[dow:12345][tl:Calendar]","2020-07-26;2024-07-26",948,-1)</f>
        <v>45365.5</v>
      </c>
      <c r="M103">
        <f>_xll.ICEHistory(M$4,M$5,"DF[dow:12345][tl:Calendar]",$L103)</f>
        <v>55.94</v>
      </c>
      <c r="N103">
        <f>_xll.ICEHistory(M$4,N$5,"DF[dow:12345][tl:Calendar]",$L103)</f>
        <v>59.36</v>
      </c>
      <c r="O103">
        <f>_xll.ICEHistory(M$4,O$5,"DF[dow:12345][tl:Calendar]",$L103)</f>
        <v>55.02</v>
      </c>
      <c r="P103">
        <f>_xll.ICEHistory(M$4,P$5,"DF[dow:12345][tl:Calendar]",$L103)</f>
        <v>58.8</v>
      </c>
      <c r="Q103">
        <f>_xll.ICEHistory(M$4,Q$5,"DF[dow:12345][tl:Calendar]",$L103)</f>
        <v>37445</v>
      </c>
      <c r="R103">
        <f>_xll.ICEHistory(M$4,R$5,"DF[dow:12345][tl:Calendar]",$L103)</f>
        <v>289989</v>
      </c>
      <c r="S103">
        <f>_xll.ICEHistory(S$4,S$5,"DF[dow:12345][tl:Calendar]",$L103)</f>
        <v>24.675000000000001</v>
      </c>
      <c r="T103">
        <f>_xll.ICEHistory(S$4,T$5,"DF[dow:12345][tl:Calendar]",$L103)</f>
        <v>26.6</v>
      </c>
      <c r="U103">
        <f>_xll.ICEHistory(S$4,U$5,"DF[dow:12345][tl:Calendar]",$L103)</f>
        <v>24.675000000000001</v>
      </c>
      <c r="V103">
        <f>_xll.ICEHistory(S$4,V$5,"DF[dow:12345][tl:Calendar]",$L103)</f>
        <v>26.048999999999999</v>
      </c>
      <c r="W103">
        <f>_xll.ICEHistory(S$4,W$5,"DF[dow:12345][tl:Calendar]",$L103)</f>
        <v>511</v>
      </c>
      <c r="X103">
        <f t="shared" si="3"/>
        <v>7.6327822722476193E-2</v>
      </c>
      <c r="Y103">
        <f t="shared" si="4"/>
        <v>1.9254215933639531</v>
      </c>
      <c r="Z103">
        <f t="shared" si="5"/>
        <v>1.0412299225607187</v>
      </c>
    </row>
    <row r="104" spans="1:26" x14ac:dyDescent="0.25">
      <c r="A104" s="3" t="str">
        <f>_xll.ICEOptionSymbol($B$1,"F","C",$F104)</f>
        <v>EFO 24UC6600-ICN</v>
      </c>
      <c r="B104" s="3">
        <f>_xll.ICEQuote($A104,_xll.ICEFldID(B$5))</f>
        <v>0</v>
      </c>
      <c r="C104" s="3">
        <f>_xll.ICEQuote($A104,_xll.ICEFldID(C$5))</f>
        <v>66</v>
      </c>
      <c r="D104" s="3">
        <f>_xll.ICEQuote($A104,_xll.ICEFldID(D$5))</f>
        <v>0.30445882763490811</v>
      </c>
      <c r="E104" s="3">
        <f>_xll.ICEQuote($A104,_xll.ICEFldID(E$5))</f>
        <v>0.56162879566014901</v>
      </c>
      <c r="F104" s="3">
        <f>_xll.ICEOptionStrike($B$1,-2,"F")</f>
        <v>66</v>
      </c>
      <c r="G104" s="3" t="str">
        <f>_xll.ICEOptionSymbol($B$1,"F","P",$F104)</f>
        <v>EFO 24UP6600-ICN</v>
      </c>
      <c r="H104" s="3">
        <f>_xll.ICEQuote($G104,_xll.ICEFldID(H$5))</f>
        <v>70</v>
      </c>
      <c r="I104" s="3">
        <f>_xll.ICEQuote($G104,_xll.ICEFldID(I$5))</f>
        <v>66</v>
      </c>
      <c r="J104" s="3">
        <f>_xll.ICEQuote($G104,_xll.ICEFldID(J$5))</f>
        <v>0.30420466839548821</v>
      </c>
      <c r="K104" s="3">
        <f>_xll.ICEQuote($G104,_xll.ICEFldID(K$5))</f>
        <v>-0.43496838647692915</v>
      </c>
      <c r="L104" s="4">
        <f>_xll.ICETimeline(_xll.ICEJoinRange(M4:W4),"DF[dow:12345][tl:Calendar]","2020-07-26;2024-07-26",947,-1)</f>
        <v>45364.5</v>
      </c>
      <c r="M104">
        <f>_xll.ICEHistory(M$4,M$5,"DF[dow:12345][tl:Calendar]",$L104)</f>
        <v>56.86</v>
      </c>
      <c r="N104">
        <f>_xll.ICEHistory(M$4,N$5,"DF[dow:12345][tl:Calendar]",$L104)</f>
        <v>57.92</v>
      </c>
      <c r="O104">
        <f>_xll.ICEHistory(M$4,O$5,"DF[dow:12345][tl:Calendar]",$L104)</f>
        <v>55.53</v>
      </c>
      <c r="P104">
        <f>_xll.ICEHistory(M$4,P$5,"DF[dow:12345][tl:Calendar]",$L104)</f>
        <v>55.87</v>
      </c>
      <c r="Q104">
        <f>_xll.ICEHistory(M$4,Q$5,"DF[dow:12345][tl:Calendar]",$L104)</f>
        <v>33194</v>
      </c>
      <c r="R104">
        <f>_xll.ICEHistory(M$4,R$5,"DF[dow:12345][tl:Calendar]",$L104)</f>
        <v>293878</v>
      </c>
      <c r="S104">
        <f>_xll.ICEHistory(S$4,S$5,"DF[dow:12345][tl:Calendar]",$L104)</f>
        <v>25.1</v>
      </c>
      <c r="T104">
        <f>_xll.ICEHistory(S$4,T$5,"DF[dow:12345][tl:Calendar]",$L104)</f>
        <v>25.425000000000001</v>
      </c>
      <c r="U104">
        <f>_xll.ICEHistory(S$4,U$5,"DF[dow:12345][tl:Calendar]",$L104)</f>
        <v>24.555</v>
      </c>
      <c r="V104">
        <f>_xll.ICEHistory(S$4,V$5,"DF[dow:12345][tl:Calendar]",$L104)</f>
        <v>24.902999999999999</v>
      </c>
      <c r="W104">
        <f>_xll.ICEHistory(S$4,W$5,"DF[dow:12345][tl:Calendar]",$L104)</f>
        <v>235</v>
      </c>
      <c r="X104">
        <f t="shared" si="3"/>
        <v>4.2481336651262011E-2</v>
      </c>
      <c r="Y104">
        <f t="shared" si="4"/>
        <v>-4.6811973647814385E-2</v>
      </c>
      <c r="Z104">
        <f t="shared" si="5"/>
        <v>0.65155784858489263</v>
      </c>
    </row>
    <row r="105" spans="1:26" x14ac:dyDescent="0.25">
      <c r="A105" s="3" t="str">
        <f>_xll.ICEOptionSymbol($B$1,"F","C",$F105)</f>
        <v>EFO 24UC6650-ICN</v>
      </c>
      <c r="B105" s="3">
        <f>_xll.ICEQuote($A105,_xll.ICEFldID(B$5))</f>
        <v>0</v>
      </c>
      <c r="C105" s="3">
        <f>_xll.ICEQuote($A105,_xll.ICEFldID(C$5))</f>
        <v>66.5</v>
      </c>
      <c r="D105" s="3">
        <f>_xll.ICEQuote($A105,_xll.ICEFldID(D$5))</f>
        <v>0.30354159958141363</v>
      </c>
      <c r="E105" s="3">
        <f>_xll.ICEQuote($A105,_xll.ICEFldID(E$5))</f>
        <v>0.53788924415155281</v>
      </c>
      <c r="F105" s="3">
        <f>_xll.ICEOptionStrike($B$1,-1,"F")</f>
        <v>66.5</v>
      </c>
      <c r="G105" s="3" t="str">
        <f>_xll.ICEOptionSymbol($B$1,"F","P",$F105)</f>
        <v>EFO 24UP6650-ICN</v>
      </c>
      <c r="H105" s="3">
        <f>_xll.ICEQuote($G105,_xll.ICEFldID(H$5))</f>
        <v>0</v>
      </c>
      <c r="I105" s="3">
        <f>_xll.ICEQuote($G105,_xll.ICEFldID(I$5))</f>
        <v>66.5</v>
      </c>
      <c r="J105" s="3">
        <f>_xll.ICEQuote($G105,_xll.ICEFldID(J$5))</f>
        <v>0.30344508654517843</v>
      </c>
      <c r="K105" s="3">
        <f>_xll.ICEQuote($G105,_xll.ICEFldID(K$5))</f>
        <v>-0.45872245020665731</v>
      </c>
      <c r="L105" s="4">
        <f>_xll.ICETimeline(_xll.ICEJoinRange(M4:W4),"DF[dow:12345][tl:Calendar]","2020-07-26;2024-07-26",946,-1)</f>
        <v>45363.5</v>
      </c>
      <c r="M105">
        <f>_xll.ICEHistory(M$4,M$5,"DF[dow:12345][tl:Calendar]",$L105)</f>
        <v>56.26</v>
      </c>
      <c r="N105">
        <f>_xll.ICEHistory(M$4,N$5,"DF[dow:12345][tl:Calendar]",$L105)</f>
        <v>57.08</v>
      </c>
      <c r="O105">
        <f>_xll.ICEHistory(M$4,O$5,"DF[dow:12345][tl:Calendar]",$L105)</f>
        <v>55.21</v>
      </c>
      <c r="P105">
        <f>_xll.ICEHistory(M$4,P$5,"DF[dow:12345][tl:Calendar]",$L105)</f>
        <v>57</v>
      </c>
      <c r="Q105">
        <f>_xll.ICEHistory(M$4,Q$5,"DF[dow:12345][tl:Calendar]",$L105)</f>
        <v>34862</v>
      </c>
      <c r="R105">
        <f>_xll.ICEHistory(M$4,R$5,"DF[dow:12345][tl:Calendar]",$L105)</f>
        <v>289607</v>
      </c>
      <c r="S105">
        <f>_xll.ICEHistory(S$4,S$5,"DF[dow:12345][tl:Calendar]",$L105)</f>
        <v>25.01</v>
      </c>
      <c r="T105">
        <f>_xll.ICEHistory(S$4,T$5,"DF[dow:12345][tl:Calendar]",$L105)</f>
        <v>25.01</v>
      </c>
      <c r="U105">
        <f>_xll.ICEHistory(S$4,U$5,"DF[dow:12345][tl:Calendar]",$L105)</f>
        <v>24.355</v>
      </c>
      <c r="V105">
        <f>_xll.ICEHistory(S$4,V$5,"DF[dow:12345][tl:Calendar]",$L105)</f>
        <v>24.774999999999999</v>
      </c>
      <c r="W105">
        <f>_xll.ICEHistory(S$4,W$5,"DF[dow:12345][tl:Calendar]",$L105)</f>
        <v>301</v>
      </c>
      <c r="X105">
        <f t="shared" si="3"/>
        <v>3.2241379310344785E-2</v>
      </c>
      <c r="Y105">
        <f t="shared" si="4"/>
        <v>-0.64679449512826959</v>
      </c>
      <c r="Z105">
        <f t="shared" si="5"/>
        <v>0.81261848896355016</v>
      </c>
    </row>
    <row r="106" spans="1:26" x14ac:dyDescent="0.25">
      <c r="A106" s="3" t="str">
        <f>_xll.ICEOptionSymbol($B$1,"F","C",$F106)</f>
        <v>EFO 24UC6700-ICN</v>
      </c>
      <c r="B106" s="3">
        <f>_xll.ICEQuote($A106,_xll.ICEFldID(B$5))</f>
        <v>0</v>
      </c>
      <c r="C106" s="3">
        <f>_xll.ICEQuote($A106,_xll.ICEFldID(C$5))</f>
        <v>67</v>
      </c>
      <c r="D106" s="3">
        <f>_xll.ICEQuote($A106,_xll.ICEFldID(D$5))</f>
        <v>0.30245874109499471</v>
      </c>
      <c r="E106" s="3">
        <f>_xll.ICEQuote($A106,_xll.ICEFldID(E$5))</f>
        <v>0.51402366885476025</v>
      </c>
      <c r="F106" s="3">
        <f>_xll.ICEOptionStrike($B$1,0,"F")</f>
        <v>67</v>
      </c>
      <c r="G106" s="3" t="str">
        <f>_xll.ICEOptionSymbol($B$1,"F","P",$F106)</f>
        <v>EFO 24UP6700-ICN</v>
      </c>
      <c r="H106" s="3">
        <f>_xll.ICEQuote($G106,_xll.ICEFldID(H$5))</f>
        <v>30</v>
      </c>
      <c r="I106" s="3">
        <f>_xll.ICEQuote($G106,_xll.ICEFldID(I$5))</f>
        <v>67</v>
      </c>
      <c r="J106" s="3">
        <f>_xll.ICEQuote($G106,_xll.ICEFldID(J$5))</f>
        <v>0.30251764698706474</v>
      </c>
      <c r="K106" s="3">
        <f>_xll.ICEQuote($G106,_xll.ICEFldID(K$5))</f>
        <v>-0.48257825019799161</v>
      </c>
      <c r="L106" s="4">
        <f>_xll.ICETimeline(_xll.ICEJoinRange(M4:W4),"DF[dow:12345][tl:Calendar]","2020-07-26;2024-07-26",945,-1)</f>
        <v>45362.5</v>
      </c>
      <c r="M106">
        <f>_xll.ICEHistory(M$4,M$5,"DF[dow:12345][tl:Calendar]",$L106)</f>
        <v>58</v>
      </c>
      <c r="N106">
        <f>_xll.ICEHistory(M$4,N$5,"DF[dow:12345][tl:Calendar]",$L106)</f>
        <v>58.39</v>
      </c>
      <c r="O106">
        <f>_xll.ICEHistory(M$4,O$5,"DF[dow:12345][tl:Calendar]",$L106)</f>
        <v>55.77</v>
      </c>
      <c r="P106">
        <f>_xll.ICEHistory(M$4,P$5,"DF[dow:12345][tl:Calendar]",$L106)</f>
        <v>56.13</v>
      </c>
      <c r="Q106">
        <f>_xll.ICEHistory(M$4,Q$5,"DF[dow:12345][tl:Calendar]",$L106)</f>
        <v>32853</v>
      </c>
      <c r="R106">
        <f>_xll.ICEHistory(M$4,R$5,"DF[dow:12345][tl:Calendar]",$L106)</f>
        <v>289219</v>
      </c>
      <c r="S106">
        <f>_xll.ICEHistory(S$4,S$5,"DF[dow:12345][tl:Calendar]",$L106)</f>
        <v>25.97</v>
      </c>
      <c r="T106">
        <f>_xll.ICEHistory(S$4,T$5,"DF[dow:12345][tl:Calendar]",$L106)</f>
        <v>26.465</v>
      </c>
      <c r="U106">
        <f>_xll.ICEHistory(S$4,U$5,"DF[dow:12345][tl:Calendar]",$L106)</f>
        <v>24.76</v>
      </c>
      <c r="V106">
        <f>_xll.ICEHistory(S$4,V$5,"DF[dow:12345][tl:Calendar]",$L106)</f>
        <v>24.93</v>
      </c>
      <c r="W106">
        <f>_xll.ICEHistory(S$4,W$5,"DF[dow:12345][tl:Calendar]",$L106)</f>
        <v>446</v>
      </c>
      <c r="X106">
        <f t="shared" si="3"/>
        <v>4.4406779661016908E-2</v>
      </c>
      <c r="Y106">
        <f t="shared" si="4"/>
        <v>8.4405274765124605E-2</v>
      </c>
      <c r="Z106">
        <f t="shared" si="5"/>
        <v>0.62187930298590266</v>
      </c>
    </row>
    <row r="107" spans="1:26" x14ac:dyDescent="0.25">
      <c r="A107" s="3" t="str">
        <f>_xll.ICEOptionSymbol($B$1,"F","C",$F107)</f>
        <v>EFO 24UC6750-ICN</v>
      </c>
      <c r="B107" s="3">
        <f>_xll.ICEQuote($A107,_xll.ICEFldID(B$5))</f>
        <v>0</v>
      </c>
      <c r="C107" s="3">
        <f>_xll.ICEQuote($A107,_xll.ICEFldID(C$5))</f>
        <v>67.5</v>
      </c>
      <c r="D107" s="3">
        <f>_xll.ICEQuote($A107,_xll.ICEFldID(D$5))</f>
        <v>0.30121260019477802</v>
      </c>
      <c r="E107" s="3">
        <f>_xll.ICEQuote($A107,_xll.ICEFldID(E$5))</f>
        <v>0.49007690067844251</v>
      </c>
      <c r="F107" s="3">
        <f>_xll.ICEOptionStrike($B$1,1,"F")</f>
        <v>67.5</v>
      </c>
      <c r="G107" s="3" t="str">
        <f>_xll.ICEOptionSymbol($B$1,"F","P",$F107)</f>
        <v>EFO 24UP6750-ICN</v>
      </c>
      <c r="H107" s="3">
        <f>_xll.ICEQuote($G107,_xll.ICEFldID(H$5))</f>
        <v>0</v>
      </c>
      <c r="I107" s="3">
        <f>_xll.ICEQuote($G107,_xll.ICEFldID(I$5))</f>
        <v>67.5</v>
      </c>
      <c r="J107" s="3">
        <f>_xll.ICEQuote($G107,_xll.ICEFldID(J$5))</f>
        <v>0.30142639906817942</v>
      </c>
      <c r="K107" s="3">
        <f>_xll.ICEQuote($G107,_xll.ICEFldID(K$5))</f>
        <v>-0.50649075423508227</v>
      </c>
      <c r="L107" s="4">
        <f>_xll.ICETimeline(_xll.ICEJoinRange(M4:W4),"DF[dow:12345][tl:Calendar]","2020-07-26;2024-07-26",944,-1)</f>
        <v>45359.5</v>
      </c>
      <c r="M107">
        <f>_xll.ICEHistory(M$4,M$5,"DF[dow:12345][tl:Calendar]",$L107)</f>
        <v>59</v>
      </c>
      <c r="N107">
        <f>_xll.ICEHistory(M$4,N$5,"DF[dow:12345][tl:Calendar]",$L107)</f>
        <v>60.24</v>
      </c>
      <c r="O107">
        <f>_xll.ICEHistory(M$4,O$5,"DF[dow:12345][tl:Calendar]",$L107)</f>
        <v>57.8</v>
      </c>
      <c r="P107">
        <f>_xll.ICEHistory(M$4,P$5,"DF[dow:12345][tl:Calendar]",$L107)</f>
        <v>58.5</v>
      </c>
      <c r="Q107">
        <f>_xll.ICEHistory(M$4,Q$5,"DF[dow:12345][tl:Calendar]",$L107)</f>
        <v>32458</v>
      </c>
      <c r="R107">
        <f>_xll.ICEHistory(M$4,R$5,"DF[dow:12345][tl:Calendar]",$L107)</f>
        <v>287330</v>
      </c>
      <c r="S107">
        <f>_xll.ICEHistory(S$4,S$5,"DF[dow:12345][tl:Calendar]",$L107)</f>
        <v>26.335000000000001</v>
      </c>
      <c r="T107">
        <f>_xll.ICEHistory(S$4,T$5,"DF[dow:12345][tl:Calendar]",$L107)</f>
        <v>26.79</v>
      </c>
      <c r="U107">
        <f>_xll.ICEHistory(S$4,U$5,"DF[dow:12345][tl:Calendar]",$L107)</f>
        <v>25.975000000000001</v>
      </c>
      <c r="V107">
        <f>_xll.ICEHistory(S$4,V$5,"DF[dow:12345][tl:Calendar]",$L107)</f>
        <v>26.391999999999999</v>
      </c>
      <c r="W107">
        <f>_xll.ICEHistory(S$4,W$5,"DF[dow:12345][tl:Calendar]",$L107)</f>
        <v>355</v>
      </c>
      <c r="X107">
        <f t="shared" si="3"/>
        <v>4.1503657084538272E-2</v>
      </c>
      <c r="Y107">
        <f t="shared" si="4"/>
        <v>-7.631612479849828E-2</v>
      </c>
      <c r="Z107">
        <f t="shared" si="5"/>
        <v>0.59371697063417117</v>
      </c>
    </row>
    <row r="108" spans="1:26" x14ac:dyDescent="0.25">
      <c r="A108" s="3" t="str">
        <f>_xll.ICEOptionSymbol($B$1,"F","C",$F108)</f>
        <v>EFO 24UC6800-ICN</v>
      </c>
      <c r="B108" s="3">
        <f>_xll.ICEQuote($A108,_xll.ICEFldID(B$5))</f>
        <v>30</v>
      </c>
      <c r="C108" s="3">
        <f>_xll.ICEQuote($A108,_xll.ICEFldID(C$5))</f>
        <v>68</v>
      </c>
      <c r="D108" s="3">
        <f>_xll.ICEQuote($A108,_xll.ICEFldID(D$5))</f>
        <v>0.30026217215922574</v>
      </c>
      <c r="E108" s="3">
        <f>_xll.ICEQuote($A108,_xll.ICEFldID(E$5))</f>
        <v>0.46621830333538261</v>
      </c>
      <c r="F108" s="3">
        <f>_xll.ICEOptionStrike($B$1,2,"F")</f>
        <v>68</v>
      </c>
      <c r="G108" s="3" t="str">
        <f>_xll.ICEOptionSymbol($B$1,"F","P",$F108)</f>
        <v>EFO 24UP6800-ICN</v>
      </c>
      <c r="H108" s="3">
        <f>_xll.ICEQuote($G108,_xll.ICEFldID(H$5))</f>
        <v>100</v>
      </c>
      <c r="I108" s="3">
        <f>_xll.ICEQuote($G108,_xll.ICEFldID(I$5))</f>
        <v>68</v>
      </c>
      <c r="J108" s="3">
        <f>_xll.ICEQuote($G108,_xll.ICEFldID(J$5))</f>
        <v>0.30063202231361436</v>
      </c>
      <c r="K108" s="3">
        <f>_xll.ICEQuote($G108,_xll.ICEFldID(K$5))</f>
        <v>-0.53029044144204884</v>
      </c>
      <c r="L108" s="4">
        <f>_xll.ICETimeline(_xll.ICEJoinRange(M4:W4),"DF[dow:12345][tl:Calendar]","2020-07-26;2024-07-26",943,-1)</f>
        <v>45358.5</v>
      </c>
      <c r="M108">
        <f>_xll.ICEHistory(M$4,M$5,"DF[dow:12345][tl:Calendar]",$L108)</f>
        <v>58.79</v>
      </c>
      <c r="N108">
        <f>_xll.ICEHistory(M$4,N$5,"DF[dow:12345][tl:Calendar]",$L108)</f>
        <v>61.09</v>
      </c>
      <c r="O108">
        <f>_xll.ICEHistory(M$4,O$5,"DF[dow:12345][tl:Calendar]",$L108)</f>
        <v>57.4</v>
      </c>
      <c r="P108">
        <f>_xll.ICEHistory(M$4,P$5,"DF[dow:12345][tl:Calendar]",$L108)</f>
        <v>59.44</v>
      </c>
      <c r="Q108">
        <f>_xll.ICEHistory(M$4,Q$5,"DF[dow:12345][tl:Calendar]",$L108)</f>
        <v>45252</v>
      </c>
      <c r="R108">
        <f>_xll.ICEHistory(M$4,R$5,"DF[dow:12345][tl:Calendar]",$L108)</f>
        <v>285313</v>
      </c>
      <c r="S108">
        <f>_xll.ICEHistory(S$4,S$5,"DF[dow:12345][tl:Calendar]",$L108)</f>
        <v>26.015000000000001</v>
      </c>
      <c r="T108">
        <f>_xll.ICEHistory(S$4,T$5,"DF[dow:12345][tl:Calendar]",$L108)</f>
        <v>26.925000000000001</v>
      </c>
      <c r="U108">
        <f>_xll.ICEHistory(S$4,U$5,"DF[dow:12345][tl:Calendar]",$L108)</f>
        <v>25.76</v>
      </c>
      <c r="V108">
        <f>_xll.ICEHistory(S$4,V$5,"DF[dow:12345][tl:Calendar]",$L108)</f>
        <v>25.992000000000001</v>
      </c>
      <c r="W108">
        <f>_xll.ICEHistory(S$4,W$5,"DF[dow:12345][tl:Calendar]",$L108)</f>
        <v>183</v>
      </c>
      <c r="X108">
        <f t="shared" si="3"/>
        <v>6.1244813278008382E-2</v>
      </c>
      <c r="Y108">
        <f t="shared" si="4"/>
        <v>1.0963023732270756</v>
      </c>
      <c r="Z108">
        <f t="shared" si="5"/>
        <v>1.8050343033544234</v>
      </c>
    </row>
    <row r="109" spans="1:26" x14ac:dyDescent="0.25">
      <c r="A109" s="3" t="str">
        <f>_xll.ICEOptionSymbol($B$1,"F","C",$F109)</f>
        <v>EFO 24UC6850-ICN</v>
      </c>
      <c r="B109" s="3">
        <f>_xll.ICEQuote($A109,_xll.ICEFldID(B$5))</f>
        <v>0</v>
      </c>
      <c r="C109" s="3">
        <f>_xll.ICEQuote($A109,_xll.ICEFldID(C$5))</f>
        <v>68.5</v>
      </c>
      <c r="D109" s="3">
        <f>_xll.ICEQuote($A109,_xll.ICEFldID(D$5))</f>
        <v>0.29961896674527128</v>
      </c>
      <c r="E109" s="3">
        <f>_xll.ICEQuote($A109,_xll.ICEFldID(E$5))</f>
        <v>0.44260474520597587</v>
      </c>
      <c r="F109" s="3">
        <f>_xll.ICEOptionStrike($B$1,3,"F")</f>
        <v>68.5</v>
      </c>
      <c r="G109" s="3" t="str">
        <f>_xll.ICEOptionSymbol($B$1,"F","P",$F109)</f>
        <v>EFO 24UP6850-ICN</v>
      </c>
      <c r="H109" s="3">
        <f>_xll.ICEQuote($G109,_xll.ICEFldID(H$5))</f>
        <v>0</v>
      </c>
      <c r="I109" s="3">
        <f>_xll.ICEQuote($G109,_xll.ICEFldID(I$5))</f>
        <v>68.5</v>
      </c>
      <c r="J109" s="3">
        <f>_xll.ICEQuote($G109,_xll.ICEFldID(J$5))</f>
        <v>0.30014769163031491</v>
      </c>
      <c r="K109" s="3">
        <f>_xll.ICEQuote($G109,_xll.ICEFldID(K$5))</f>
        <v>-0.55382056822055525</v>
      </c>
      <c r="L109" s="4">
        <f>_xll.ICETimeline(_xll.ICEJoinRange(M4:W4),"DF[dow:12345][tl:Calendar]","2020-07-26;2024-07-26",942,-1)</f>
        <v>45357.5</v>
      </c>
      <c r="M109">
        <f>_xll.ICEHistory(M$4,M$5,"DF[dow:12345][tl:Calendar]",$L109)</f>
        <v>60.25</v>
      </c>
      <c r="N109">
        <f>_xll.ICEHistory(M$4,N$5,"DF[dow:12345][tl:Calendar]",$L109)</f>
        <v>62.8</v>
      </c>
      <c r="O109">
        <f>_xll.ICEHistory(M$4,O$5,"DF[dow:12345][tl:Calendar]",$L109)</f>
        <v>58.05</v>
      </c>
      <c r="P109">
        <f>_xll.ICEHistory(M$4,P$5,"DF[dow:12345][tl:Calendar]",$L109)</f>
        <v>58.79</v>
      </c>
      <c r="Q109">
        <f>_xll.ICEHistory(M$4,Q$5,"DF[dow:12345][tl:Calendar]",$L109)</f>
        <v>53896</v>
      </c>
      <c r="R109">
        <f>_xll.ICEHistory(M$4,R$5,"DF[dow:12345][tl:Calendar]",$L109)</f>
        <v>282480</v>
      </c>
      <c r="S109">
        <f>_xll.ICEHistory(S$4,S$5,"DF[dow:12345][tl:Calendar]",$L109)</f>
        <v>27.065000000000001</v>
      </c>
      <c r="T109">
        <f>_xll.ICEHistory(S$4,T$5,"DF[dow:12345][tl:Calendar]",$L109)</f>
        <v>28.56</v>
      </c>
      <c r="U109">
        <f>_xll.ICEHistory(S$4,U$5,"DF[dow:12345][tl:Calendar]",$L109)</f>
        <v>26.15</v>
      </c>
      <c r="V109">
        <f>_xll.ICEHistory(S$4,V$5,"DF[dow:12345][tl:Calendar]",$L109)</f>
        <v>26.571999999999999</v>
      </c>
      <c r="W109">
        <f>_xll.ICEHistory(S$4,W$5,"DF[dow:12345][tl:Calendar]",$L109)</f>
        <v>287</v>
      </c>
      <c r="X109">
        <f t="shared" si="3"/>
        <v>8.2925977653631286E-2</v>
      </c>
      <c r="Y109">
        <f t="shared" si="4"/>
        <v>2.4083701238644259</v>
      </c>
      <c r="Z109">
        <f t="shared" si="5"/>
        <v>2.7030344919864779</v>
      </c>
    </row>
    <row r="110" spans="1:26" x14ac:dyDescent="0.25">
      <c r="A110" s="3" t="str">
        <f>_xll.ICEOptionSymbol($B$1,"F","C",$F110)</f>
        <v>EFO 24UC6900-ICN</v>
      </c>
      <c r="B110" s="3">
        <f>_xll.ICEQuote($A110,_xll.ICEFldID(B$5))</f>
        <v>30</v>
      </c>
      <c r="C110" s="3">
        <f>_xll.ICEQuote($A110,_xll.ICEFldID(C$5))</f>
        <v>69</v>
      </c>
      <c r="D110" s="3">
        <f>_xll.ICEQuote($A110,_xll.ICEFldID(D$5))</f>
        <v>0.29883933848717714</v>
      </c>
      <c r="E110" s="3">
        <f>_xll.ICEQuote($A110,_xll.ICEFldID(E$5))</f>
        <v>0.41919966167810968</v>
      </c>
      <c r="F110" s="3">
        <f>_xll.ICEOptionStrike($B$1,4,"F")</f>
        <v>69</v>
      </c>
      <c r="G110" s="3" t="str">
        <f>_xll.ICEOptionSymbol($B$1,"F","P",$F110)</f>
        <v>EFO 24UP6900-ICN</v>
      </c>
      <c r="H110" s="3">
        <f>_xll.ICEQuote($G110,_xll.ICEFldID(H$5))</f>
        <v>0</v>
      </c>
      <c r="I110" s="3">
        <f>_xll.ICEQuote($G110,_xll.ICEFldID(I$5))</f>
        <v>69</v>
      </c>
      <c r="J110" s="3">
        <f>_xll.ICEQuote($G110,_xll.ICEFldID(J$5))</f>
        <v>0.29953147366254612</v>
      </c>
      <c r="K110" s="3">
        <f>_xll.ICEQuote($G110,_xll.ICEFldID(K$5))</f>
        <v>-0.57711742767757379</v>
      </c>
      <c r="L110" s="4">
        <f>_xll.ICETimeline(_xll.ICEJoinRange(M4:W4),"DF[dow:12345][tl:Calendar]","2020-07-26;2024-07-26",941,-1)</f>
        <v>45356.5</v>
      </c>
      <c r="M110">
        <f>_xll.ICEHistory(M$4,M$5,"DF[dow:12345][tl:Calendar]",$L110)</f>
        <v>57.28</v>
      </c>
      <c r="N110">
        <f>_xll.ICEHistory(M$4,N$5,"DF[dow:12345][tl:Calendar]",$L110)</f>
        <v>61.39</v>
      </c>
      <c r="O110">
        <f>_xll.ICEHistory(M$4,O$5,"DF[dow:12345][tl:Calendar]",$L110)</f>
        <v>56.7</v>
      </c>
      <c r="P110">
        <f>_xll.ICEHistory(M$4,P$5,"DF[dow:12345][tl:Calendar]",$L110)</f>
        <v>60</v>
      </c>
      <c r="Q110">
        <f>_xll.ICEHistory(M$4,Q$5,"DF[dow:12345][tl:Calendar]",$L110)</f>
        <v>59549</v>
      </c>
      <c r="R110">
        <f>_xll.ICEHistory(M$4,R$5,"DF[dow:12345][tl:Calendar]",$L110)</f>
        <v>282222</v>
      </c>
      <c r="S110">
        <f>_xll.ICEHistory(S$4,S$5,"DF[dow:12345][tl:Calendar]",$L110)</f>
        <v>26.66</v>
      </c>
      <c r="T110">
        <f>_xll.ICEHistory(S$4,T$5,"DF[dow:12345][tl:Calendar]",$L110)</f>
        <v>28.684999999999999</v>
      </c>
      <c r="U110">
        <f>_xll.ICEHistory(S$4,U$5,"DF[dow:12345][tl:Calendar]",$L110)</f>
        <v>26.66</v>
      </c>
      <c r="V110">
        <f>_xll.ICEHistory(S$4,V$5,"DF[dow:12345][tl:Calendar]",$L110)</f>
        <v>27.468</v>
      </c>
      <c r="W110">
        <f>_xll.ICEHistory(S$4,W$5,"DF[dow:12345][tl:Calendar]",$L110)</f>
        <v>465</v>
      </c>
      <c r="X110">
        <f t="shared" si="3"/>
        <v>8.3229813664596225E-2</v>
      </c>
      <c r="Y110">
        <f t="shared" si="4"/>
        <v>2.578571427094706</v>
      </c>
      <c r="Z110">
        <f t="shared" si="5"/>
        <v>3.4392872177668292</v>
      </c>
    </row>
    <row r="111" spans="1:26" x14ac:dyDescent="0.25">
      <c r="A111" s="3" t="str">
        <f>_xll.ICEOptionSymbol($B$1,"F","C",$F111)</f>
        <v>EFO 24UC6950-ICN</v>
      </c>
      <c r="B111" s="3">
        <f>_xll.ICEQuote($A111,_xll.ICEFldID(B$5))</f>
        <v>0</v>
      </c>
      <c r="C111" s="3">
        <f>_xll.ICEQuote($A111,_xll.ICEFldID(C$5))</f>
        <v>69.5</v>
      </c>
      <c r="D111" s="3">
        <f>_xll.ICEQuote($A111,_xll.ICEFldID(D$5))</f>
        <v>0.29793726231113993</v>
      </c>
      <c r="E111" s="3">
        <f>_xll.ICEQuote($A111,_xll.ICEFldID(E$5))</f>
        <v>0.39605689992175924</v>
      </c>
      <c r="F111" s="3">
        <f>_xll.ICEOptionStrike($B$1,5,"F")</f>
        <v>69.5</v>
      </c>
      <c r="G111" s="3" t="str">
        <f>_xll.ICEOptionSymbol($B$1,"F","P",$F111)</f>
        <v>EFO 24UP6950-ICN</v>
      </c>
      <c r="H111" s="3">
        <f>_xll.ICEQuote($G111,_xll.ICEFldID(H$5))</f>
        <v>0</v>
      </c>
      <c r="I111" s="3">
        <f>_xll.ICEQuote($G111,_xll.ICEFldID(I$5))</f>
        <v>69.5</v>
      </c>
      <c r="J111" s="3">
        <f>_xll.ICEQuote($G111,_xll.ICEFldID(J$5))</f>
        <v>0.29879913873016117</v>
      </c>
      <c r="K111" s="3">
        <f>_xll.ICEQuote($G111,_xll.ICEFldID(K$5))</f>
        <v>-0.60012686624702649</v>
      </c>
      <c r="L111" s="4">
        <f>_xll.ICETimeline(_xll.ICEJoinRange(M4:W4),"DF[dow:12345][tl:Calendar]","2020-07-26;2024-07-26",940,-1)</f>
        <v>45355.5</v>
      </c>
      <c r="M111">
        <f>_xll.ICEHistory(M$4,M$5,"DF[dow:12345][tl:Calendar]",$L111)</f>
        <v>56.35</v>
      </c>
      <c r="N111">
        <f>_xll.ICEHistory(M$4,N$5,"DF[dow:12345][tl:Calendar]",$L111)</f>
        <v>57.8</v>
      </c>
      <c r="O111">
        <f>_xll.ICEHistory(M$4,O$5,"DF[dow:12345][tl:Calendar]",$L111)</f>
        <v>53.42</v>
      </c>
      <c r="P111">
        <f>_xll.ICEHistory(M$4,P$5,"DF[dow:12345][tl:Calendar]",$L111)</f>
        <v>57.28</v>
      </c>
      <c r="Q111">
        <f>_xll.ICEHistory(M$4,Q$5,"DF[dow:12345][tl:Calendar]",$L111)</f>
        <v>40336</v>
      </c>
      <c r="R111">
        <f>_xll.ICEHistory(M$4,R$5,"DF[dow:12345][tl:Calendar]",$L111)</f>
        <v>286353</v>
      </c>
      <c r="S111">
        <f>_xll.ICEHistory(S$4,S$5,"DF[dow:12345][tl:Calendar]",$L111)</f>
        <v>25.2</v>
      </c>
      <c r="T111">
        <f>_xll.ICEHistory(S$4,T$5,"DF[dow:12345][tl:Calendar]",$L111)</f>
        <v>27.28</v>
      </c>
      <c r="U111">
        <f>_xll.ICEHistory(S$4,U$5,"DF[dow:12345][tl:Calendar]",$L111)</f>
        <v>24.87</v>
      </c>
      <c r="V111">
        <f>_xll.ICEHistory(S$4,V$5,"DF[dow:12345][tl:Calendar]",$L111)</f>
        <v>26.885000000000002</v>
      </c>
      <c r="W111">
        <f>_xll.ICEHistory(S$4,W$5,"DF[dow:12345][tl:Calendar]",$L111)</f>
        <v>381</v>
      </c>
      <c r="X111">
        <f t="shared" si="3"/>
        <v>7.817240763876486E-2</v>
      </c>
      <c r="Y111">
        <f t="shared" si="4"/>
        <v>2.4444246163373191</v>
      </c>
      <c r="Z111">
        <f t="shared" si="5"/>
        <v>1.6425324267152197</v>
      </c>
    </row>
    <row r="112" spans="1:26" x14ac:dyDescent="0.25">
      <c r="A112" s="3" t="str">
        <f>_xll.ICEOptionSymbol($B$1,"F","C",$F112)</f>
        <v>EFO 24UC7000-ICN</v>
      </c>
      <c r="B112" s="3">
        <f>_xll.ICEQuote($A112,_xll.ICEFldID(B$5))</f>
        <v>4925</v>
      </c>
      <c r="C112" s="3">
        <f>_xll.ICEQuote($A112,_xll.ICEFldID(C$5))</f>
        <v>70</v>
      </c>
      <c r="D112" s="3">
        <f>_xll.ICEQuote($A112,_xll.ICEFldID(D$5))</f>
        <v>0.29740869878174392</v>
      </c>
      <c r="E112" s="3">
        <f>_xll.ICEQuote($A112,_xll.ICEFldID(E$5))</f>
        <v>0.37350385701196703</v>
      </c>
      <c r="F112" s="3">
        <f>_xll.ICEOptionStrike($B$1,6,"F")</f>
        <v>70</v>
      </c>
      <c r="G112" s="3" t="str">
        <f>_xll.ICEOptionSymbol($B$1,"F","P",$F112)</f>
        <v>EFO 24UP7000-ICN</v>
      </c>
      <c r="H112" s="3">
        <f>_xll.ICEQuote($G112,_xll.ICEFldID(H$5))</f>
        <v>2675</v>
      </c>
      <c r="I112" s="3">
        <f>_xll.ICEQuote($G112,_xll.ICEFldID(I$5))</f>
        <v>70</v>
      </c>
      <c r="J112" s="3">
        <f>_xll.ICEQuote($G112,_xll.ICEFldID(J$5))</f>
        <v>0.29844833332605852</v>
      </c>
      <c r="K112" s="3">
        <f>_xll.ICEQuote($G112,_xll.ICEFldID(K$5))</f>
        <v>-0.62252272053600699</v>
      </c>
      <c r="L112" s="4">
        <f>_xll.ICETimeline(_xll.ICEJoinRange(M4:W4),"DF[dow:12345][tl:Calendar]","2020-07-26;2024-07-26",939,-1)</f>
        <v>45352.5</v>
      </c>
      <c r="M112">
        <f>_xll.ICEHistory(M$4,M$5,"DF[dow:12345][tl:Calendar]",$L112)</f>
        <v>56.03</v>
      </c>
      <c r="N112">
        <f>_xll.ICEHistory(M$4,N$5,"DF[dow:12345][tl:Calendar]",$L112)</f>
        <v>56.85</v>
      </c>
      <c r="O112">
        <f>_xll.ICEHistory(M$4,O$5,"DF[dow:12345][tl:Calendar]",$L112)</f>
        <v>55.05</v>
      </c>
      <c r="P112">
        <f>_xll.ICEHistory(M$4,P$5,"DF[dow:12345][tl:Calendar]",$L112)</f>
        <v>56.31</v>
      </c>
      <c r="Q112">
        <f>_xll.ICEHistory(M$4,Q$5,"DF[dow:12345][tl:Calendar]",$L112)</f>
        <v>24889</v>
      </c>
      <c r="R112">
        <f>_xll.ICEHistory(M$4,R$5,"DF[dow:12345][tl:Calendar]",$L112)</f>
        <v>282907</v>
      </c>
      <c r="S112">
        <f>_xll.ICEHistory(S$4,S$5,"DF[dow:12345][tl:Calendar]",$L112)</f>
        <v>25.274999999999999</v>
      </c>
      <c r="T112">
        <f>_xll.ICEHistory(S$4,T$5,"DF[dow:12345][tl:Calendar]",$L112)</f>
        <v>25.9</v>
      </c>
      <c r="U112">
        <f>_xll.ICEHistory(S$4,U$5,"DF[dow:12345][tl:Calendar]",$L112)</f>
        <v>25.125</v>
      </c>
      <c r="V112">
        <f>_xll.ICEHistory(S$4,V$5,"DF[dow:12345][tl:Calendar]",$L112)</f>
        <v>25.809000000000001</v>
      </c>
      <c r="W112">
        <f>_xll.ICEHistory(S$4,W$5,"DF[dow:12345][tl:Calendar]",$L112)</f>
        <v>577</v>
      </c>
      <c r="X112">
        <f t="shared" si="3"/>
        <v>3.1288023639840158E-2</v>
      </c>
      <c r="Y112">
        <f t="shared" si="4"/>
        <v>-0.56402055620155511</v>
      </c>
      <c r="Z112">
        <f t="shared" si="5"/>
        <v>-3.1280238891157545E-2</v>
      </c>
    </row>
    <row r="113" spans="1:26" x14ac:dyDescent="0.25">
      <c r="A113" s="3" t="str">
        <f>_xll.ICEOptionSymbol($B$1,"F","C",$F113)</f>
        <v>EFO 24UC7050-ICN</v>
      </c>
      <c r="B113" s="3">
        <f>_xll.ICEQuote($A113,_xll.ICEFldID(B$5))</f>
        <v>0</v>
      </c>
      <c r="C113" s="3">
        <f>_xll.ICEQuote($A113,_xll.ICEFldID(C$5))</f>
        <v>70.5</v>
      </c>
      <c r="D113" s="3">
        <f>_xll.ICEQuote($A113,_xll.ICEFldID(D$5))</f>
        <v>0.29730099753138756</v>
      </c>
      <c r="E113" s="3">
        <f>_xll.ICEQuote($A113,_xll.ICEFldID(E$5))</f>
        <v>0.35171149737221846</v>
      </c>
      <c r="F113" s="3">
        <f>_xll.ICEOptionStrike($B$1,7,"F")</f>
        <v>70.5</v>
      </c>
      <c r="G113" s="3" t="str">
        <f>_xll.ICEOptionSymbol($B$1,"F","P",$F113)</f>
        <v>EFO 24UP7050-ICN</v>
      </c>
      <c r="H113" s="3">
        <f>_xll.ICEQuote($G113,_xll.ICEFldID(H$5))</f>
        <v>0</v>
      </c>
      <c r="I113" s="3">
        <f>_xll.ICEQuote($G113,_xll.ICEFldID(I$5))</f>
        <v>70.5</v>
      </c>
      <c r="J113" s="3">
        <f>_xll.ICEQuote($G113,_xll.ICEFldID(J$5))</f>
        <v>0.29852805745419747</v>
      </c>
      <c r="K113" s="3">
        <f>_xll.ICEQuote($G113,_xll.ICEFldID(K$5))</f>
        <v>-0.64413538064355336</v>
      </c>
      <c r="L113" s="4">
        <f>_xll.ICETimeline(_xll.ICEJoinRange(M4:W4),"DF[dow:12345][tl:Calendar]","2020-07-26;2024-07-26",938,-1)</f>
        <v>45351.5</v>
      </c>
      <c r="M113">
        <f>_xll.ICEHistory(M$4,M$5,"DF[dow:12345][tl:Calendar]",$L113)</f>
        <v>57.53</v>
      </c>
      <c r="N113">
        <f>_xll.ICEHistory(M$4,N$5,"DF[dow:12345][tl:Calendar]",$L113)</f>
        <v>57.83</v>
      </c>
      <c r="O113">
        <f>_xll.ICEHistory(M$4,O$5,"DF[dow:12345][tl:Calendar]",$L113)</f>
        <v>55.25</v>
      </c>
      <c r="P113">
        <f>_xll.ICEHistory(M$4,P$5,"DF[dow:12345][tl:Calendar]",$L113)</f>
        <v>56.44</v>
      </c>
      <c r="Q113">
        <f>_xll.ICEHistory(M$4,Q$5,"DF[dow:12345][tl:Calendar]",$L113)</f>
        <v>33973</v>
      </c>
      <c r="R113">
        <f>_xll.ICEHistory(M$4,R$5,"DF[dow:12345][tl:Calendar]",$L113)</f>
        <v>281610</v>
      </c>
      <c r="S113">
        <f>_xll.ICEHistory(S$4,S$5,"DF[dow:12345][tl:Calendar]",$L113)</f>
        <v>25.55</v>
      </c>
      <c r="T113">
        <f>_xll.ICEHistory(S$4,T$5,"DF[dow:12345][tl:Calendar]",$L113)</f>
        <v>25.55</v>
      </c>
      <c r="U113">
        <f>_xll.ICEHistory(S$4,U$5,"DF[dow:12345][tl:Calendar]",$L113)</f>
        <v>24.795000000000002</v>
      </c>
      <c r="V113">
        <f>_xll.ICEHistory(S$4,V$5,"DF[dow:12345][tl:Calendar]",$L113)</f>
        <v>24.864999999999998</v>
      </c>
      <c r="W113">
        <f>_xll.ICEHistory(S$4,W$5,"DF[dow:12345][tl:Calendar]",$L113)</f>
        <v>169</v>
      </c>
      <c r="X113">
        <f t="shared" si="3"/>
        <v>4.590747330960851E-2</v>
      </c>
      <c r="Y113">
        <f t="shared" si="4"/>
        <v>0.42026460738425403</v>
      </c>
      <c r="Z113">
        <f t="shared" si="5"/>
        <v>0.95811545899281614</v>
      </c>
    </row>
    <row r="114" spans="1:26" x14ac:dyDescent="0.25">
      <c r="A114" s="3" t="str">
        <f>_xll.ICEOptionSymbol($B$1,"F","C",$F114)</f>
        <v>EFO 24UC7100-ICN</v>
      </c>
      <c r="B114" s="3">
        <f>_xll.ICEQuote($A114,_xll.ICEFldID(B$5))</f>
        <v>30</v>
      </c>
      <c r="C114" s="3">
        <f>_xll.ICEQuote($A114,_xll.ICEFldID(C$5))</f>
        <v>71</v>
      </c>
      <c r="D114" s="3">
        <f>_xll.ICEQuote($A114,_xll.ICEFldID(D$5))</f>
        <v>0.29717323764272791</v>
      </c>
      <c r="E114" s="3">
        <f>_xll.ICEQuote($A114,_xll.ICEFldID(E$5))</f>
        <v>0.33051253712013556</v>
      </c>
      <c r="F114" s="3">
        <f>_xll.ICEOptionStrike($B$1,8,"F")</f>
        <v>71</v>
      </c>
      <c r="G114" s="3" t="str">
        <f>_xll.ICEOptionSymbol($B$1,"F","P",$F114)</f>
        <v>EFO 24UP7100-ICN</v>
      </c>
      <c r="H114" s="3">
        <f>_xll.ICEQuote($G114,_xll.ICEFldID(H$5))</f>
        <v>0</v>
      </c>
      <c r="I114" s="3">
        <f>_xll.ICEQuote($G114,_xll.ICEFldID(I$5))</f>
        <v>71</v>
      </c>
      <c r="J114" s="3">
        <f>_xll.ICEQuote($G114,_xll.ICEFldID(J$5))</f>
        <v>0.2985994753508715</v>
      </c>
      <c r="K114" s="3">
        <f>_xll.ICEQuote($G114,_xll.ICEFldID(K$5))</f>
        <v>-0.66513127034984076</v>
      </c>
      <c r="L114" s="4">
        <f>_xll.ICETimeline(_xll.ICEJoinRange(M4:W4),"DF[dow:12345][tl:Calendar]","2020-07-26;2024-07-26",937,-1)</f>
        <v>45350.5</v>
      </c>
      <c r="M114">
        <f>_xll.ICEHistory(M$4,M$5,"DF[dow:12345][tl:Calendar]",$L114)</f>
        <v>56.2</v>
      </c>
      <c r="N114">
        <f>_xll.ICEHistory(M$4,N$5,"DF[dow:12345][tl:Calendar]",$L114)</f>
        <v>58.88</v>
      </c>
      <c r="O114">
        <f>_xll.ICEHistory(M$4,O$5,"DF[dow:12345][tl:Calendar]",$L114)</f>
        <v>55.45</v>
      </c>
      <c r="P114">
        <f>_xll.ICEHistory(M$4,P$5,"DF[dow:12345][tl:Calendar]",$L114)</f>
        <v>57.21</v>
      </c>
      <c r="Q114">
        <f>_xll.ICEHistory(M$4,Q$5,"DF[dow:12345][tl:Calendar]",$L114)</f>
        <v>45987</v>
      </c>
      <c r="R114">
        <f>_xll.ICEHistory(M$4,R$5,"DF[dow:12345][tl:Calendar]",$L114)</f>
        <v>283709</v>
      </c>
      <c r="S114">
        <f>_xll.ICEHistory(S$4,S$5,"DF[dow:12345][tl:Calendar]",$L114)</f>
        <v>25.625</v>
      </c>
      <c r="T114">
        <f>_xll.ICEHistory(S$4,T$5,"DF[dow:12345][tl:Calendar]",$L114)</f>
        <v>25.65</v>
      </c>
      <c r="U114">
        <f>_xll.ICEHistory(S$4,U$5,"DF[dow:12345][tl:Calendar]",$L114)</f>
        <v>25.32</v>
      </c>
      <c r="V114">
        <f>_xll.ICEHistory(S$4,V$5,"DF[dow:12345][tl:Calendar]",$L114)</f>
        <v>25.619</v>
      </c>
      <c r="W114">
        <f>_xll.ICEHistory(S$4,W$5,"DF[dow:12345][tl:Calendar]",$L114)</f>
        <v>10</v>
      </c>
      <c r="X114">
        <f t="shared" si="3"/>
        <v>6.3802083333333329E-2</v>
      </c>
      <c r="Y114">
        <f t="shared" si="4"/>
        <v>1.6381290600735128</v>
      </c>
      <c r="Z114">
        <f t="shared" si="5"/>
        <v>2.303284317784235</v>
      </c>
    </row>
    <row r="115" spans="1:26" x14ac:dyDescent="0.25">
      <c r="A115" s="3" t="str">
        <f>_xll.ICEOptionSymbol($B$1,"F","C",$F115)</f>
        <v>EFO 24UC7150-ICN</v>
      </c>
      <c r="B115" s="3">
        <f>_xll.ICEQuote($A115,_xll.ICEFldID(B$5))</f>
        <v>0</v>
      </c>
      <c r="C115" s="3">
        <f>_xll.ICEQuote($A115,_xll.ICEFldID(C$5))</f>
        <v>71.5</v>
      </c>
      <c r="D115" s="3">
        <f>_xll.ICEQuote($A115,_xll.ICEFldID(D$5))</f>
        <v>0.29706149212251398</v>
      </c>
      <c r="E115" s="3">
        <f>_xll.ICEQuote($A115,_xll.ICEFldID(E$5))</f>
        <v>0.30997807870943223</v>
      </c>
      <c r="F115" s="3">
        <f>_xll.ICEOptionStrike($B$1,9,"F")</f>
        <v>71.5</v>
      </c>
      <c r="G115" s="3" t="str">
        <f>_xll.ICEOptionSymbol($B$1,"F","P",$F115)</f>
        <v>EFO 24UP7150-ICN</v>
      </c>
      <c r="H115" s="3">
        <f>_xll.ICEQuote($G115,_xll.ICEFldID(H$5))</f>
        <v>0</v>
      </c>
      <c r="I115" s="3">
        <f>_xll.ICEQuote($G115,_xll.ICEFldID(I$5))</f>
        <v>71.5</v>
      </c>
      <c r="J115" s="3">
        <f>_xll.ICEQuote($G115,_xll.ICEFldID(J$5))</f>
        <v>0.29870071091693329</v>
      </c>
      <c r="K115" s="3">
        <f>_xll.ICEQuote($G115,_xll.ICEFldID(K$5))</f>
        <v>-0.68543972905142558</v>
      </c>
      <c r="L115" s="4">
        <f>_xll.ICETimeline(_xll.ICEJoinRange(M4:W4),"DF[dow:12345][tl:Calendar]","2020-07-26;2024-07-26",936,-1)</f>
        <v>45349.5</v>
      </c>
      <c r="M115">
        <f>_xll.ICEHistory(M$4,M$5,"DF[dow:12345][tl:Calendar]",$L115)</f>
        <v>53.76</v>
      </c>
      <c r="N115">
        <f>_xll.ICEHistory(M$4,N$5,"DF[dow:12345][tl:Calendar]",$L115)</f>
        <v>56.26</v>
      </c>
      <c r="O115">
        <f>_xll.ICEHistory(M$4,O$5,"DF[dow:12345][tl:Calendar]",$L115)</f>
        <v>52.45</v>
      </c>
      <c r="P115">
        <f>_xll.ICEHistory(M$4,P$5,"DF[dow:12345][tl:Calendar]",$L115)</f>
        <v>55.96</v>
      </c>
      <c r="Q115">
        <f>_xll.ICEHistory(M$4,Q$5,"DF[dow:12345][tl:Calendar]",$L115)</f>
        <v>36340</v>
      </c>
      <c r="R115">
        <f>_xll.ICEHistory(M$4,R$5,"DF[dow:12345][tl:Calendar]",$L115)</f>
        <v>287829</v>
      </c>
      <c r="S115">
        <f>_xll.ICEHistory(S$4,S$5,"DF[dow:12345][tl:Calendar]",$L115)</f>
        <v>23.25</v>
      </c>
      <c r="T115">
        <f>_xll.ICEHistory(S$4,T$5,"DF[dow:12345][tl:Calendar]",$L115)</f>
        <v>24.75</v>
      </c>
      <c r="U115">
        <f>_xll.ICEHistory(S$4,U$5,"DF[dow:12345][tl:Calendar]",$L115)</f>
        <v>23.25</v>
      </c>
      <c r="V115">
        <f>_xll.ICEHistory(S$4,V$5,"DF[dow:12345][tl:Calendar]",$L115)</f>
        <v>24.391999999999999</v>
      </c>
      <c r="W115">
        <f>_xll.ICEHistory(S$4,W$5,"DF[dow:12345][tl:Calendar]",$L115)</f>
        <v>110</v>
      </c>
      <c r="X115">
        <f t="shared" si="3"/>
        <v>7.3044478527607273E-2</v>
      </c>
      <c r="Y115">
        <f t="shared" si="4"/>
        <v>2.3330149437516989</v>
      </c>
      <c r="Z115">
        <f t="shared" si="5"/>
        <v>1.277576267402426</v>
      </c>
    </row>
    <row r="116" spans="1:26" x14ac:dyDescent="0.25">
      <c r="A116" s="3" t="str">
        <f>_xll.ICEOptionSymbol($B$1,"F","C",$F116)</f>
        <v>EFO 24UC7200-ICN</v>
      </c>
      <c r="B116" s="3">
        <f>_xll.ICEQuote($A116,_xll.ICEFldID(B$5))</f>
        <v>40</v>
      </c>
      <c r="C116" s="3">
        <f>_xll.ICEQuote($A116,_xll.ICEFldID(C$5))</f>
        <v>72</v>
      </c>
      <c r="D116" s="3">
        <f>_xll.ICEQuote($A116,_xll.ICEFldID(D$5))</f>
        <v>0.29700759433668283</v>
      </c>
      <c r="E116" s="3">
        <f>_xll.ICEQuote($A116,_xll.ICEFldID(E$5))</f>
        <v>0.29018410459457922</v>
      </c>
      <c r="F116" s="3">
        <f>_xll.ICEOptionStrike($B$1,10,"F")</f>
        <v>72</v>
      </c>
      <c r="G116" s="3" t="str">
        <f>_xll.ICEOptionSymbol($B$1,"F","P",$F116)</f>
        <v>EFO 24UP7200-ICN</v>
      </c>
      <c r="H116" s="3">
        <f>_xll.ICEQuote($G116,_xll.ICEFldID(H$5))</f>
        <v>0</v>
      </c>
      <c r="I116" s="3">
        <f>_xll.ICEQuote($G116,_xll.ICEFldID(I$5))</f>
        <v>72</v>
      </c>
      <c r="J116" s="3">
        <f>_xll.ICEQuote($G116,_xll.ICEFldID(J$5))</f>
        <v>0.29887573008635965</v>
      </c>
      <c r="K116" s="3">
        <f>_xll.ICEQuote($G116,_xll.ICEFldID(K$5))</f>
        <v>-0.70498548284139273</v>
      </c>
      <c r="L116" s="4">
        <f>_xll.ICETimeline(_xll.ICEJoinRange(M4:W4),"DF[dow:12345][tl:Calendar]","2020-07-26;2024-07-26",935,-1)</f>
        <v>45348.5</v>
      </c>
      <c r="M116">
        <f>_xll.ICEHistory(M$4,M$5,"DF[dow:12345][tl:Calendar]",$L116)</f>
        <v>52.16</v>
      </c>
      <c r="N116">
        <f>_xll.ICEHistory(M$4,N$5,"DF[dow:12345][tl:Calendar]",$L116)</f>
        <v>54.55</v>
      </c>
      <c r="O116">
        <f>_xll.ICEHistory(M$4,O$5,"DF[dow:12345][tl:Calendar]",$L116)</f>
        <v>51.55</v>
      </c>
      <c r="P116">
        <f>_xll.ICEHistory(M$4,P$5,"DF[dow:12345][tl:Calendar]",$L116)</f>
        <v>53.83</v>
      </c>
      <c r="Q116">
        <f>_xll.ICEHistory(M$4,Q$5,"DF[dow:12345][tl:Calendar]",$L116)</f>
        <v>30626</v>
      </c>
      <c r="R116">
        <f>_xll.ICEHistory(M$4,R$5,"DF[dow:12345][tl:Calendar]",$L116)</f>
        <v>289628</v>
      </c>
      <c r="S116">
        <f>_xll.ICEHistory(S$4,S$5,"DF[dow:12345][tl:Calendar]",$L116)</f>
        <v>23.2</v>
      </c>
      <c r="T116">
        <f>_xll.ICEHistory(S$4,T$5,"DF[dow:12345][tl:Calendar]",$L116)</f>
        <v>24.2</v>
      </c>
      <c r="U116">
        <f>_xll.ICEHistory(S$4,U$5,"DF[dow:12345][tl:Calendar]",$L116)</f>
        <v>23.074999999999999</v>
      </c>
      <c r="V116">
        <f>_xll.ICEHistory(S$4,V$5,"DF[dow:12345][tl:Calendar]",$L116)</f>
        <v>24.009</v>
      </c>
      <c r="W116">
        <f>_xll.ICEHistory(S$4,W$5,"DF[dow:12345][tl:Calendar]",$L116)</f>
        <v>117</v>
      </c>
      <c r="X116">
        <f t="shared" si="3"/>
        <v>5.6818181818181823E-2</v>
      </c>
      <c r="Y116">
        <f t="shared" si="4"/>
        <v>1.3244556363786113</v>
      </c>
      <c r="Z116">
        <f t="shared" si="5"/>
        <v>0.63278300071138183</v>
      </c>
    </row>
    <row r="117" spans="1:26" x14ac:dyDescent="0.25">
      <c r="A117" s="3" t="str">
        <f>_xll.ICEOptionSymbol($B$1,"F","C",$F117)</f>
        <v>EFO 24UC7250-ICN</v>
      </c>
      <c r="B117" s="3">
        <f>_xll.ICEQuote($A117,_xll.ICEFldID(B$5))</f>
        <v>3000</v>
      </c>
      <c r="C117" s="3">
        <f>_xll.ICEQuote($A117,_xll.ICEFldID(C$5))</f>
        <v>72.5</v>
      </c>
      <c r="D117" s="3">
        <f>_xll.ICEQuote($A117,_xll.ICEFldID(D$5))</f>
        <v>0.29706054143545624</v>
      </c>
      <c r="E117" s="3">
        <f>_xll.ICEQuote($A117,_xll.ICEFldID(E$5))</f>
        <v>0.27121149413298523</v>
      </c>
      <c r="F117" s="3">
        <f>_xll.ICEOptionStrike($B$1,11,"F")</f>
        <v>72.5</v>
      </c>
      <c r="G117" s="3" t="str">
        <f>_xll.ICEOptionSymbol($B$1,"F","P",$F117)</f>
        <v>EFO 24UP7250-ICN</v>
      </c>
      <c r="H117" s="3">
        <f>_xll.ICEQuote($G117,_xll.ICEFldID(H$5))</f>
        <v>0</v>
      </c>
      <c r="I117" s="3">
        <f>_xll.ICEQuote($G117,_xll.ICEFldID(I$5))</f>
        <v>72.5</v>
      </c>
      <c r="J117" s="3">
        <f>_xll.ICEQuote($G117,_xll.ICEFldID(J$5))</f>
        <v>0.29917567764709402</v>
      </c>
      <c r="K117" s="3">
        <f>_xll.ICEQuote($G117,_xll.ICEFldID(K$5))</f>
        <v>-0.72368875851061376</v>
      </c>
      <c r="L117" s="4">
        <f>_xll.ICETimeline(_xll.ICEJoinRange(M4:W4),"DF[dow:12345][tl:Calendar]","2020-07-26;2024-07-26",934,-1)</f>
        <v>45345.5</v>
      </c>
      <c r="M117">
        <f>_xll.ICEHistory(M$4,M$5,"DF[dow:12345][tl:Calendar]",$L117)</f>
        <v>52.8</v>
      </c>
      <c r="N117">
        <f>_xll.ICEHistory(M$4,N$5,"DF[dow:12345][tl:Calendar]",$L117)</f>
        <v>53.01</v>
      </c>
      <c r="O117">
        <f>_xll.ICEHistory(M$4,O$5,"DF[dow:12345][tl:Calendar]",$L117)</f>
        <v>51.08</v>
      </c>
      <c r="P117">
        <f>_xll.ICEHistory(M$4,P$5,"DF[dow:12345][tl:Calendar]",$L117)</f>
        <v>52.51</v>
      </c>
      <c r="Q117">
        <f>_xll.ICEHistory(M$4,Q$5,"DF[dow:12345][tl:Calendar]",$L117)</f>
        <v>30354</v>
      </c>
      <c r="R117">
        <f>_xll.ICEHistory(M$4,R$5,"DF[dow:12345][tl:Calendar]",$L117)</f>
        <v>289803</v>
      </c>
      <c r="S117">
        <f>_xll.ICEHistory(S$4,S$5,"DF[dow:12345][tl:Calendar]",$L117)</f>
        <v>22.77</v>
      </c>
      <c r="T117">
        <f>_xll.ICEHistory(S$4,T$5,"DF[dow:12345][tl:Calendar]",$L117)</f>
        <v>23.45</v>
      </c>
      <c r="U117">
        <f>_xll.ICEHistory(S$4,U$5,"DF[dow:12345][tl:Calendar]",$L117)</f>
        <v>22.65</v>
      </c>
      <c r="V117">
        <f>_xll.ICEHistory(S$4,V$5,"DF[dow:12345][tl:Calendar]",$L117)</f>
        <v>22.934000000000001</v>
      </c>
      <c r="W117">
        <f>_xll.ICEHistory(S$4,W$5,"DF[dow:12345][tl:Calendar]",$L117)</f>
        <v>122</v>
      </c>
      <c r="X117">
        <f t="shared" si="3"/>
        <v>3.5536733566562319E-2</v>
      </c>
      <c r="Y117">
        <f t="shared" si="4"/>
        <v>-0.17271196689979462</v>
      </c>
      <c r="Z117">
        <f t="shared" si="5"/>
        <v>0.62126983818557524</v>
      </c>
    </row>
    <row r="118" spans="1:26" x14ac:dyDescent="0.25">
      <c r="A118" s="3" t="str">
        <f>_xll.ICEOptionSymbol($B$1,"F","C",$F118)</f>
        <v>EFO 24UC7300-ICN</v>
      </c>
      <c r="B118" s="3">
        <f>_xll.ICEQuote($A118,_xll.ICEFldID(B$5))</f>
        <v>70</v>
      </c>
      <c r="C118" s="3">
        <f>_xll.ICEQuote($A118,_xll.ICEFldID(C$5))</f>
        <v>73</v>
      </c>
      <c r="D118" s="3">
        <f>_xll.ICEQuote($A118,_xll.ICEFldID(D$5))</f>
        <v>0.29727806472456908</v>
      </c>
      <c r="E118" s="3">
        <f>_xll.ICEQuote($A118,_xll.ICEFldID(E$5))</f>
        <v>0.2531458228605637</v>
      </c>
      <c r="F118" s="3">
        <f>_xll.ICEOptionStrike($B$1,12,"F")</f>
        <v>73</v>
      </c>
      <c r="G118" s="3" t="str">
        <f>_xll.ICEOptionSymbol($B$1,"F","P",$F118)</f>
        <v>EFO 24UP7300-ICN</v>
      </c>
      <c r="H118" s="3">
        <f>_xll.ICEQuote($G118,_xll.ICEFldID(H$5))</f>
        <v>0</v>
      </c>
      <c r="I118" s="3">
        <f>_xll.ICEQuote($G118,_xll.ICEFldID(I$5))</f>
        <v>73</v>
      </c>
      <c r="J118" s="3">
        <f>_xll.ICEQuote($G118,_xll.ICEFldID(J$5))</f>
        <v>0.29966038841764703</v>
      </c>
      <c r="K118" s="3">
        <f>_xll.ICEQuote($G118,_xll.ICEFldID(K$5))</f>
        <v>-0.74146559942947021</v>
      </c>
      <c r="L118" s="4">
        <f>_xll.ICETimeline(_xll.ICEJoinRange(M4:W4),"DF[dow:12345][tl:Calendar]","2020-07-26;2024-07-26",933,-1)</f>
        <v>45344.5</v>
      </c>
      <c r="M118">
        <f>_xll.ICEHistory(M$4,M$5,"DF[dow:12345][tl:Calendar]",$L118)</f>
        <v>54.31</v>
      </c>
      <c r="N118">
        <f>_xll.ICEHistory(M$4,N$5,"DF[dow:12345][tl:Calendar]",$L118)</f>
        <v>54.49</v>
      </c>
      <c r="O118">
        <f>_xll.ICEHistory(M$4,O$5,"DF[dow:12345][tl:Calendar]",$L118)</f>
        <v>52.37</v>
      </c>
      <c r="P118">
        <f>_xll.ICEHistory(M$4,P$5,"DF[dow:12345][tl:Calendar]",$L118)</f>
        <v>52.59</v>
      </c>
      <c r="Q118">
        <f>_xll.ICEHistory(M$4,Q$5,"DF[dow:12345][tl:Calendar]",$L118)</f>
        <v>31221</v>
      </c>
      <c r="R118">
        <f>_xll.ICEHistory(M$4,R$5,"DF[dow:12345][tl:Calendar]",$L118)</f>
        <v>289539</v>
      </c>
      <c r="S118">
        <f>_xll.ICEHistory(S$4,S$5,"DF[dow:12345][tl:Calendar]",$L118)</f>
        <v>23.975000000000001</v>
      </c>
      <c r="T118">
        <f>_xll.ICEHistory(S$4,T$5,"DF[dow:12345][tl:Calendar]",$L118)</f>
        <v>23.975000000000001</v>
      </c>
      <c r="U118">
        <f>_xll.ICEHistory(S$4,U$5,"DF[dow:12345][tl:Calendar]",$L118)</f>
        <v>22.75</v>
      </c>
      <c r="V118">
        <f>_xll.ICEHistory(S$4,V$5,"DF[dow:12345][tl:Calendar]",$L118)</f>
        <v>23.193000000000001</v>
      </c>
      <c r="W118">
        <f>_xll.ICEHistory(S$4,W$5,"DF[dow:12345][tl:Calendar]",$L118)</f>
        <v>349</v>
      </c>
      <c r="X118">
        <f t="shared" si="3"/>
        <v>3.922294172062913E-2</v>
      </c>
      <c r="Y118">
        <f t="shared" si="4"/>
        <v>0.11003644880957578</v>
      </c>
      <c r="Z118">
        <f t="shared" si="5"/>
        <v>0.73075417918047603</v>
      </c>
    </row>
    <row r="119" spans="1:26" x14ac:dyDescent="0.25">
      <c r="A119" s="3" t="str">
        <f>_xll.ICEOptionSymbol($B$1,"F","C",$F119)</f>
        <v>EFO 24UC7350-ICN</v>
      </c>
      <c r="B119" s="3">
        <f>_xll.ICEQuote($A119,_xll.ICEFldID(B$5))</f>
        <v>0</v>
      </c>
      <c r="C119" s="3">
        <f>_xll.ICEQuote($A119,_xll.ICEFldID(C$5))</f>
        <v>73.5</v>
      </c>
      <c r="D119" s="3">
        <f>_xll.ICEQuote($A119,_xll.ICEFldID(D$5))</f>
        <v>0.29772832229643831</v>
      </c>
      <c r="E119" s="3">
        <f>_xll.ICEQuote($A119,_xll.ICEFldID(E$5))</f>
        <v>0.2360768330479428</v>
      </c>
      <c r="F119" s="3">
        <f>_xll.ICEOptionStrike($B$1,13,"F")</f>
        <v>73.5</v>
      </c>
      <c r="G119" s="3" t="str">
        <f>_xll.ICEOptionSymbol($B$1,"F","P",$F119)</f>
        <v>EFO 24UP7350-ICN</v>
      </c>
      <c r="H119" s="3">
        <f>_xll.ICEQuote($G119,_xll.ICEFldID(H$5))</f>
        <v>0</v>
      </c>
      <c r="I119" s="3">
        <f>_xll.ICEQuote($G119,_xll.ICEFldID(I$5))</f>
        <v>73.5</v>
      </c>
      <c r="J119" s="3">
        <f>_xll.ICEQuote($G119,_xll.ICEFldID(J$5))</f>
        <v>0.30039988883148827</v>
      </c>
      <c r="K119" s="3">
        <f>_xll.ICEQuote($G119,_xll.ICEFldID(K$5))</f>
        <v>-0.75822858817351901</v>
      </c>
      <c r="L119" s="4">
        <f>_xll.ICETimeline(_xll.ICEJoinRange(M4:W4),"DF[dow:12345][tl:Calendar]","2020-07-26;2024-07-26",932,-1)</f>
        <v>45343.5</v>
      </c>
      <c r="M119">
        <f>_xll.ICEHistory(M$4,M$5,"DF[dow:12345][tl:Calendar]",$L119)</f>
        <v>54.05</v>
      </c>
      <c r="N119">
        <f>_xll.ICEHistory(M$4,N$5,"DF[dow:12345][tl:Calendar]",$L119)</f>
        <v>54.98</v>
      </c>
      <c r="O119">
        <f>_xll.ICEHistory(M$4,O$5,"DF[dow:12345][tl:Calendar]",$L119)</f>
        <v>53.27</v>
      </c>
      <c r="P119">
        <f>_xll.ICEHistory(M$4,P$5,"DF[dow:12345][tl:Calendar]",$L119)</f>
        <v>54.51</v>
      </c>
      <c r="Q119">
        <f>_xll.ICEHistory(M$4,Q$5,"DF[dow:12345][tl:Calendar]",$L119)</f>
        <v>23676</v>
      </c>
      <c r="R119">
        <f>_xll.ICEHistory(M$4,R$5,"DF[dow:12345][tl:Calendar]",$L119)</f>
        <v>288096</v>
      </c>
      <c r="S119">
        <f>_xll.ICEHistory(S$4,S$5,"DF[dow:12345][tl:Calendar]",$L119)</f>
        <v>24.1</v>
      </c>
      <c r="T119">
        <f>_xll.ICEHistory(S$4,T$5,"DF[dow:12345][tl:Calendar]",$L119)</f>
        <v>24.25</v>
      </c>
      <c r="U119">
        <f>_xll.ICEHistory(S$4,U$5,"DF[dow:12345][tl:Calendar]",$L119)</f>
        <v>23.655000000000001</v>
      </c>
      <c r="V119">
        <f>_xll.ICEHistory(S$4,V$5,"DF[dow:12345][tl:Calendar]",$L119)</f>
        <v>23.977</v>
      </c>
      <c r="W119">
        <f>_xll.ICEHistory(S$4,W$5,"DF[dow:12345][tl:Calendar]",$L119)</f>
        <v>476</v>
      </c>
      <c r="X119">
        <f t="shared" si="3"/>
        <v>3.196261682242979E-2</v>
      </c>
      <c r="Y119">
        <f t="shared" si="4"/>
        <v>-0.39572984662104016</v>
      </c>
      <c r="Z119">
        <f t="shared" si="5"/>
        <v>-0.12647338055447757</v>
      </c>
    </row>
    <row r="120" spans="1:26" x14ac:dyDescent="0.25">
      <c r="A120" s="3" t="str">
        <f>_xll.ICEOptionSymbol($B$1,"F","C",$F120)</f>
        <v>EFO 24UC7400-ICN</v>
      </c>
      <c r="B120" s="3">
        <f>_xll.ICEQuote($A120,_xll.ICEFldID(B$5))</f>
        <v>30</v>
      </c>
      <c r="C120" s="3">
        <f>_xll.ICEQuote($A120,_xll.ICEFldID(C$5))</f>
        <v>74</v>
      </c>
      <c r="D120" s="3">
        <f>_xll.ICEQuote($A120,_xll.ICEFldID(D$5))</f>
        <v>0.29787717408981917</v>
      </c>
      <c r="E120" s="3">
        <f>_xll.ICEQuote($A120,_xll.ICEFldID(E$5))</f>
        <v>0.21955353675891476</v>
      </c>
      <c r="F120" s="3">
        <f>_xll.ICEOptionStrike($B$1,14,"F")</f>
        <v>74</v>
      </c>
      <c r="G120" s="3" t="str">
        <f>_xll.ICEOptionSymbol($B$1,"F","P",$F120)</f>
        <v>EFO 24UP7400-ICN</v>
      </c>
      <c r="H120" s="3">
        <f>_xll.ICEQuote($G120,_xll.ICEFldID(H$5))</f>
        <v>0</v>
      </c>
      <c r="I120" s="3">
        <f>_xll.ICEQuote($G120,_xll.ICEFldID(I$5))</f>
        <v>74</v>
      </c>
      <c r="J120" s="3">
        <f>_xll.ICEQuote($G120,_xll.ICEFldID(J$5))</f>
        <v>0.30086562107184234</v>
      </c>
      <c r="K120" s="3">
        <f>_xll.ICEQuote($G120,_xll.ICEFldID(K$5))</f>
        <v>-0.77442191023446294</v>
      </c>
      <c r="L120" s="4">
        <f>_xll.ICETimeline(_xll.ICEJoinRange(M4:W4),"DF[dow:12345][tl:Calendar]","2020-07-26;2024-07-26",931,-1)</f>
        <v>45342.5</v>
      </c>
      <c r="M120">
        <f>_xll.ICEHistory(M$4,M$5,"DF[dow:12345][tl:Calendar]",$L120)</f>
        <v>53.5</v>
      </c>
      <c r="N120">
        <f>_xll.ICEHistory(M$4,N$5,"DF[dow:12345][tl:Calendar]",$L120)</f>
        <v>55.07</v>
      </c>
      <c r="O120">
        <f>_xll.ICEHistory(M$4,O$5,"DF[dow:12345][tl:Calendar]",$L120)</f>
        <v>51.72</v>
      </c>
      <c r="P120">
        <f>_xll.ICEHistory(M$4,P$5,"DF[dow:12345][tl:Calendar]",$L120)</f>
        <v>54.21</v>
      </c>
      <c r="Q120">
        <f>_xll.ICEHistory(M$4,Q$5,"DF[dow:12345][tl:Calendar]",$L120)</f>
        <v>35211</v>
      </c>
      <c r="R120">
        <f>_xll.ICEHistory(M$4,R$5,"DF[dow:12345][tl:Calendar]",$L120)</f>
        <v>288407</v>
      </c>
      <c r="S120">
        <f>_xll.ICEHistory(S$4,S$5,"DF[dow:12345][tl:Calendar]",$L120)</f>
        <v>24.355</v>
      </c>
      <c r="T120">
        <f>_xll.ICEHistory(S$4,T$5,"DF[dow:12345][tl:Calendar]",$L120)</f>
        <v>24.69</v>
      </c>
      <c r="U120">
        <f>_xll.ICEHistory(S$4,U$5,"DF[dow:12345][tl:Calendar]",$L120)</f>
        <v>23.425000000000001</v>
      </c>
      <c r="V120">
        <f>_xll.ICEHistory(S$4,V$5,"DF[dow:12345][tl:Calendar]",$L120)</f>
        <v>24.167999999999999</v>
      </c>
      <c r="W120">
        <f>_xll.ICEHistory(S$4,W$5,"DF[dow:12345][tl:Calendar]",$L120)</f>
        <v>578</v>
      </c>
      <c r="X120">
        <f t="shared" si="3"/>
        <v>5.8658728769042226E-2</v>
      </c>
      <c r="Y120">
        <f t="shared" si="4"/>
        <v>1.4705815211452433</v>
      </c>
      <c r="Z120">
        <f t="shared" si="5"/>
        <v>1.2128577617391882</v>
      </c>
    </row>
    <row r="121" spans="1:26" x14ac:dyDescent="0.25">
      <c r="A121" s="3" t="str">
        <f>_xll.ICEOptionSymbol($B$1,"F","C",$F121)</f>
        <v>EFO 24UC7450-ICN</v>
      </c>
      <c r="B121" s="3">
        <f>_xll.ICEQuote($A121,_xll.ICEFldID(B$5))</f>
        <v>0</v>
      </c>
      <c r="C121" s="3">
        <f>_xll.ICEQuote($A121,_xll.ICEFldID(C$5))</f>
        <v>74.5</v>
      </c>
      <c r="D121" s="3">
        <f>_xll.ICEQuote($A121,_xll.ICEFldID(D$5))</f>
        <v>0.29838090715267945</v>
      </c>
      <c r="E121" s="3">
        <f>_xll.ICEQuote($A121,_xll.ICEFldID(E$5))</f>
        <v>0.20415357036250872</v>
      </c>
      <c r="F121" s="3">
        <f>_xll.ICEOptionStrike($B$1,15,"F")</f>
        <v>74.5</v>
      </c>
      <c r="G121" s="3" t="str">
        <f>_xll.ICEOptionSymbol($B$1,"F","P",$F121)</f>
        <v>EFO 24UP7450-ICN</v>
      </c>
      <c r="H121" s="3">
        <f>_xll.ICEQuote($G121,_xll.ICEFldID(H$5))</f>
        <v>0</v>
      </c>
      <c r="I121" s="3">
        <f>_xll.ICEQuote($G121,_xll.ICEFldID(I$5))</f>
        <v>74.5</v>
      </c>
      <c r="J121" s="3">
        <f>_xll.ICEQuote($G121,_xll.ICEFldID(J$5))</f>
        <v>0.30171292471054512</v>
      </c>
      <c r="K121" s="3">
        <f>_xll.ICEQuote($G121,_xll.ICEFldID(K$5))</f>
        <v>-0.78947865006133977</v>
      </c>
      <c r="L121" s="4">
        <f>_xll.ICETimeline(_xll.ICEJoinRange(M4:W4),"DF[dow:12345][tl:Calendar]","2020-07-26;2024-07-26",930,-1)</f>
        <v>45341.5</v>
      </c>
      <c r="M121">
        <f>_xll.ICEHistory(M$4,M$5,"DF[dow:12345][tl:Calendar]",$L121)</f>
        <v>57.11</v>
      </c>
      <c r="N121">
        <f>_xll.ICEHistory(M$4,N$5,"DF[dow:12345][tl:Calendar]",$L121)</f>
        <v>57.11</v>
      </c>
      <c r="O121">
        <f>_xll.ICEHistory(M$4,O$5,"DF[dow:12345][tl:Calendar]",$L121)</f>
        <v>52.9</v>
      </c>
      <c r="P121">
        <f>_xll.ICEHistory(M$4,P$5,"DF[dow:12345][tl:Calendar]",$L121)</f>
        <v>53.14</v>
      </c>
      <c r="Q121">
        <f>_xll.ICEHistory(M$4,Q$5,"DF[dow:12345][tl:Calendar]",$L121)</f>
        <v>37567</v>
      </c>
      <c r="R121">
        <f>_xll.ICEHistory(M$4,R$5,"DF[dow:12345][tl:Calendar]",$L121)</f>
        <v>290705</v>
      </c>
      <c r="S121">
        <f>_xll.ICEHistory(S$4,S$5,"DF[dow:12345][tl:Calendar]",$L121)</f>
        <v>25.2</v>
      </c>
      <c r="T121">
        <f>_xll.ICEHistory(S$4,T$5,"DF[dow:12345][tl:Calendar]",$L121)</f>
        <v>25.2</v>
      </c>
      <c r="U121">
        <f>_xll.ICEHistory(S$4,U$5,"DF[dow:12345][tl:Calendar]",$L121)</f>
        <v>24.414999999999999</v>
      </c>
      <c r="V121">
        <f>_xll.ICEHistory(S$4,V$5,"DF[dow:12345][tl:Calendar]",$L121)</f>
        <v>24.821999999999999</v>
      </c>
      <c r="W121">
        <f>_xll.ICEHistory(S$4,W$5,"DF[dow:12345][tl:Calendar]",$L121)</f>
        <v>0</v>
      </c>
      <c r="X121">
        <f t="shared" si="3"/>
        <v>7.2761838921534761E-2</v>
      </c>
      <c r="Y121">
        <f t="shared" si="4"/>
        <v>2.5081069984220732</v>
      </c>
      <c r="Z121">
        <f t="shared" si="5"/>
        <v>1.5260169256351388</v>
      </c>
    </row>
    <row r="122" spans="1:26" x14ac:dyDescent="0.25">
      <c r="A122" s="3" t="str">
        <f>_xll.ICEOptionSymbol($B$1,"F","C",$F122)</f>
        <v>EFO 24UC7500-ICN</v>
      </c>
      <c r="B122" s="3">
        <f>_xll.ICEQuote($A122,_xll.ICEFldID(B$5))</f>
        <v>10165</v>
      </c>
      <c r="C122" s="3">
        <f>_xll.ICEQuote($A122,_xll.ICEFldID(C$5))</f>
        <v>75</v>
      </c>
      <c r="D122" s="3">
        <f>_xll.ICEQuote($A122,_xll.ICEFldID(D$5))</f>
        <v>0.2993433813531266</v>
      </c>
      <c r="E122" s="3">
        <f>_xll.ICEQuote($A122,_xll.ICEFldID(E$5))</f>
        <v>0.18997767064642346</v>
      </c>
      <c r="F122" s="3">
        <f>_xll.ICEOptionStrike($B$1,16,"F")</f>
        <v>75</v>
      </c>
      <c r="G122" s="3" t="str">
        <f>_xll.ICEOptionSymbol($B$1,"F","P",$F122)</f>
        <v>EFO 24UP7500-ICN</v>
      </c>
      <c r="H122" s="3">
        <f>_xll.ICEQuote($G122,_xll.ICEFldID(H$5))</f>
        <v>2175</v>
      </c>
      <c r="I122" s="3">
        <f>_xll.ICEQuote($G122,_xll.ICEFldID(I$5))</f>
        <v>75</v>
      </c>
      <c r="J122" s="3">
        <f>_xll.ICEQuote($G122,_xll.ICEFldID(J$5))</f>
        <v>0.30304599543279992</v>
      </c>
      <c r="K122" s="3">
        <f>_xll.ICEQuote($G122,_xll.ICEFldID(K$5))</f>
        <v>-0.80330307813665291</v>
      </c>
      <c r="L122" s="4">
        <f>_xll.ICETimeline(_xll.ICEJoinRange(M4:W4),"DF[dow:12345][tl:Calendar]","2020-07-26;2024-07-26",929,-1)</f>
        <v>45338.5</v>
      </c>
      <c r="M122">
        <f>_xll.ICEHistory(M$4,M$5,"DF[dow:12345][tl:Calendar]",$L122)</f>
        <v>57.86</v>
      </c>
      <c r="N122">
        <f>_xll.ICEHistory(M$4,N$5,"DF[dow:12345][tl:Calendar]",$L122)</f>
        <v>58.21</v>
      </c>
      <c r="O122">
        <f>_xll.ICEHistory(M$4,O$5,"DF[dow:12345][tl:Calendar]",$L122)</f>
        <v>56.27</v>
      </c>
      <c r="P122">
        <f>_xll.ICEHistory(M$4,P$5,"DF[dow:12345][tl:Calendar]",$L122)</f>
        <v>57.11</v>
      </c>
      <c r="Q122">
        <f>_xll.ICEHistory(M$4,Q$5,"DF[dow:12345][tl:Calendar]",$L122)</f>
        <v>23266</v>
      </c>
      <c r="R122">
        <f>_xll.ICEHistory(M$4,R$5,"DF[dow:12345][tl:Calendar]",$L122)</f>
        <v>286053</v>
      </c>
      <c r="S122">
        <f>_xll.ICEHistory(S$4,S$5,"DF[dow:12345][tl:Calendar]",$L122)</f>
        <v>25.2</v>
      </c>
      <c r="T122">
        <f>_xll.ICEHistory(S$4,T$5,"DF[dow:12345][tl:Calendar]",$L122)</f>
        <v>25.2</v>
      </c>
      <c r="U122">
        <f>_xll.ICEHistory(S$4,U$5,"DF[dow:12345][tl:Calendar]",$L122)</f>
        <v>24.414999999999999</v>
      </c>
      <c r="V122">
        <f>_xll.ICEHistory(S$4,V$5,"DF[dow:12345][tl:Calendar]",$L122)</f>
        <v>24.821999999999999</v>
      </c>
      <c r="W122">
        <f>_xll.ICEHistory(S$4,W$5,"DF[dow:12345][tl:Calendar]",$L122)</f>
        <v>445</v>
      </c>
      <c r="X122">
        <f t="shared" si="3"/>
        <v>3.4372785258681746E-2</v>
      </c>
      <c r="Y122">
        <f t="shared" si="4"/>
        <v>-0.12395487170577191</v>
      </c>
      <c r="Z122">
        <f t="shared" si="5"/>
        <v>-0.10486285604154415</v>
      </c>
    </row>
    <row r="123" spans="1:26" x14ac:dyDescent="0.25">
      <c r="A123" s="3" t="str">
        <f>_xll.ICEOptionSymbol($B$1,"F","C",$F123)</f>
        <v>EFO 24UC7550-ICN</v>
      </c>
      <c r="B123" s="3">
        <f>_xll.ICEQuote($A123,_xll.ICEFldID(B$5))</f>
        <v>0</v>
      </c>
      <c r="C123" s="3">
        <f>_xll.ICEQuote($A123,_xll.ICEFldID(C$5))</f>
        <v>75.5</v>
      </c>
      <c r="D123" s="3">
        <f>_xll.ICEQuote($A123,_xll.ICEFldID(D$5))</f>
        <v>0.29948226797398692</v>
      </c>
      <c r="E123" s="3">
        <f>_xll.ICEQuote($A123,_xll.ICEFldID(E$5))</f>
        <v>0.17585448987946034</v>
      </c>
      <c r="F123" s="3">
        <f>_xll.ICEOptionStrike($B$1,17,"F")</f>
        <v>75.5</v>
      </c>
      <c r="G123" s="3" t="str">
        <f>_xll.ICEOptionSymbol($B$1,"F","P",$F123)</f>
        <v>EFO 24UP7550-ICN</v>
      </c>
      <c r="H123" s="3">
        <f>_xll.ICEQuote($G123,_xll.ICEFldID(H$5))</f>
        <v>0</v>
      </c>
      <c r="I123" s="3">
        <f>_xll.ICEQuote($G123,_xll.ICEFldID(I$5))</f>
        <v>75.5</v>
      </c>
      <c r="J123" s="3">
        <f>_xll.ICEQuote($G123,_xll.ICEFldID(J$5))</f>
        <v>0.30359942550192959</v>
      </c>
      <c r="K123" s="3">
        <f>_xll.ICEQuote($G123,_xll.ICEFldID(K$5))</f>
        <v>-0.81704091892175756</v>
      </c>
      <c r="L123" s="4">
        <f>_xll.ICETimeline(_xll.ICEJoinRange(M4:W4),"DF[dow:12345][tl:Calendar]","2020-07-26;2024-07-26",928,-1)</f>
        <v>45337.5</v>
      </c>
      <c r="M123">
        <f>_xll.ICEHistory(M$4,M$5,"DF[dow:12345][tl:Calendar]",$L123)</f>
        <v>56.44</v>
      </c>
      <c r="N123">
        <f>_xll.ICEHistory(M$4,N$5,"DF[dow:12345][tl:Calendar]",$L123)</f>
        <v>59.05</v>
      </c>
      <c r="O123">
        <f>_xll.ICEHistory(M$4,O$5,"DF[dow:12345][tl:Calendar]",$L123)</f>
        <v>56.13</v>
      </c>
      <c r="P123">
        <f>_xll.ICEHistory(M$4,P$5,"DF[dow:12345][tl:Calendar]",$L123)</f>
        <v>57.95</v>
      </c>
      <c r="Q123">
        <f>_xll.ICEHistory(M$4,Q$5,"DF[dow:12345][tl:Calendar]",$L123)</f>
        <v>31537</v>
      </c>
      <c r="R123">
        <f>_xll.ICEHistory(M$4,R$5,"DF[dow:12345][tl:Calendar]",$L123)</f>
        <v>285842</v>
      </c>
      <c r="S123">
        <f>_xll.ICEHistory(S$4,S$5,"DF[dow:12345][tl:Calendar]",$L123)</f>
        <v>24.85</v>
      </c>
      <c r="T123">
        <f>_xll.ICEHistory(S$4,T$5,"DF[dow:12345][tl:Calendar]",$L123)</f>
        <v>25.7</v>
      </c>
      <c r="U123">
        <f>_xll.ICEHistory(S$4,U$5,"DF[dow:12345][tl:Calendar]",$L123)</f>
        <v>24.805</v>
      </c>
      <c r="V123">
        <f>_xll.ICEHistory(S$4,V$5,"DF[dow:12345][tl:Calendar]",$L123)</f>
        <v>24.966000000000001</v>
      </c>
      <c r="W123">
        <f>_xll.ICEHistory(S$4,W$5,"DF[dow:12345][tl:Calendar]",$L123)</f>
        <v>425</v>
      </c>
      <c r="X123">
        <f t="shared" si="3"/>
        <v>5.1544571932921356E-2</v>
      </c>
      <c r="Y123">
        <f t="shared" si="4"/>
        <v>1.1349509305729799</v>
      </c>
      <c r="Z123">
        <f t="shared" si="5"/>
        <v>0.86216501659658396</v>
      </c>
    </row>
    <row r="124" spans="1:26" x14ac:dyDescent="0.25">
      <c r="A124" s="3" t="str">
        <f>_xll.ICEOptionSymbol($B$1,"F","C",$F124)</f>
        <v>EFO 24UC7600-ICN</v>
      </c>
      <c r="B124" s="3">
        <f>_xll.ICEQuote($A124,_xll.ICEFldID(B$5))</f>
        <v>0</v>
      </c>
      <c r="C124" s="3">
        <f>_xll.ICEQuote($A124,_xll.ICEFldID(C$5))</f>
        <v>76</v>
      </c>
      <c r="D124" s="3">
        <f>_xll.ICEQuote($A124,_xll.ICEFldID(D$5))</f>
        <v>0.3002072420985864</v>
      </c>
      <c r="E124" s="3">
        <f>_xll.ICEQuote($A124,_xll.ICEFldID(E$5))</f>
        <v>0.1630440541957596</v>
      </c>
      <c r="F124" s="3">
        <f>_xll.ICEOptionStrike($B$1,18,"F")</f>
        <v>76</v>
      </c>
      <c r="G124" s="3" t="str">
        <f>_xll.ICEOptionSymbol($B$1,"F","P",$F124)</f>
        <v>EFO 24UP7600-ICN</v>
      </c>
      <c r="H124" s="3">
        <f>_xll.ICEQuote($G124,_xll.ICEFldID(H$5))</f>
        <v>0</v>
      </c>
      <c r="I124" s="3">
        <f>_xll.ICEQuote($G124,_xll.ICEFldID(I$5))</f>
        <v>76</v>
      </c>
      <c r="J124" s="3">
        <f>_xll.ICEQuote($G124,_xll.ICEFldID(J$5))</f>
        <v>0.30477090468549523</v>
      </c>
      <c r="K124" s="3">
        <f>_xll.ICEQuote($G124,_xll.ICEFldID(K$5))</f>
        <v>-0.82946270378490128</v>
      </c>
      <c r="L124" s="4">
        <f>_xll.ICETimeline(_xll.ICEJoinRange(M4:W4),"DF[dow:12345][tl:Calendar]","2020-07-26;2024-07-26",927,-1)</f>
        <v>45336.5</v>
      </c>
      <c r="M124">
        <f>_xll.ICEHistory(M$4,M$5,"DF[dow:12345][tl:Calendar]",$L124)</f>
        <v>56.65</v>
      </c>
      <c r="N124">
        <f>_xll.ICEHistory(M$4,N$5,"DF[dow:12345][tl:Calendar]",$L124)</f>
        <v>57.58</v>
      </c>
      <c r="O124">
        <f>_xll.ICEHistory(M$4,O$5,"DF[dow:12345][tl:Calendar]",$L124)</f>
        <v>55.41</v>
      </c>
      <c r="P124">
        <f>_xll.ICEHistory(M$4,P$5,"DF[dow:12345][tl:Calendar]",$L124)</f>
        <v>56.44</v>
      </c>
      <c r="Q124">
        <f>_xll.ICEHistory(M$4,Q$5,"DF[dow:12345][tl:Calendar]",$L124)</f>
        <v>29341</v>
      </c>
      <c r="R124">
        <f>_xll.ICEHistory(M$4,R$5,"DF[dow:12345][tl:Calendar]",$L124)</f>
        <v>286484</v>
      </c>
      <c r="S124">
        <f>_xll.ICEHistory(S$4,S$5,"DF[dow:12345][tl:Calendar]",$L124)</f>
        <v>25.105</v>
      </c>
      <c r="T124">
        <f>_xll.ICEHistory(S$4,T$5,"DF[dow:12345][tl:Calendar]",$L124)</f>
        <v>25.414999999999999</v>
      </c>
      <c r="U124">
        <f>_xll.ICEHistory(S$4,U$5,"DF[dow:12345][tl:Calendar]",$L124)</f>
        <v>24.555</v>
      </c>
      <c r="V124">
        <f>_xll.ICEHistory(S$4,V$5,"DF[dow:12345][tl:Calendar]",$L124)</f>
        <v>24.856999999999999</v>
      </c>
      <c r="W124">
        <f>_xll.ICEHistory(S$4,W$5,"DF[dow:12345][tl:Calendar]",$L124)</f>
        <v>820</v>
      </c>
      <c r="X124">
        <f t="shared" si="3"/>
        <v>3.7937062937062963E-2</v>
      </c>
      <c r="Y124">
        <f t="shared" si="4"/>
        <v>0.15646400228089535</v>
      </c>
      <c r="Z124">
        <f t="shared" si="5"/>
        <v>0.62324272304988693</v>
      </c>
    </row>
    <row r="125" spans="1:26" x14ac:dyDescent="0.25">
      <c r="A125" s="3" t="str">
        <f>_xll.ICEOptionSymbol($B$1,"F","C",$F125)</f>
        <v>EFO 24UC7650-ICN</v>
      </c>
      <c r="B125" s="3">
        <f>_xll.ICEQuote($A125,_xll.ICEFldID(B$5))</f>
        <v>0</v>
      </c>
      <c r="C125" s="3">
        <f>_xll.ICEQuote($A125,_xll.ICEFldID(C$5))</f>
        <v>76.5</v>
      </c>
      <c r="D125" s="3">
        <f>_xll.ICEQuote($A125,_xll.ICEFldID(D$5))</f>
        <v>0.30089296707673324</v>
      </c>
      <c r="E125" s="3">
        <f>_xll.ICEQuote($A125,_xll.ICEFldID(E$5))</f>
        <v>0.15095937546752122</v>
      </c>
      <c r="F125" s="3">
        <f>_xll.ICEOptionStrike($B$1,19,"F")</f>
        <v>76.5</v>
      </c>
      <c r="G125" s="3" t="str">
        <f>_xll.ICEOptionSymbol($B$1,"F","P",$F125)</f>
        <v>EFO 24UP7650-ICN</v>
      </c>
      <c r="H125" s="3">
        <f>_xll.ICEQuote($G125,_xll.ICEFldID(H$5))</f>
        <v>0</v>
      </c>
      <c r="I125" s="3">
        <f>_xll.ICEQuote($G125,_xll.ICEFldID(I$5))</f>
        <v>76.5</v>
      </c>
      <c r="J125" s="3">
        <f>_xll.ICEQuote($G125,_xll.ICEFldID(J$5))</f>
        <v>0.30594602116596298</v>
      </c>
      <c r="K125" s="3">
        <f>_xll.ICEQuote($G125,_xll.ICEFldID(K$5))</f>
        <v>-0.84114291202182623</v>
      </c>
      <c r="L125" s="4">
        <f>_xll.ICETimeline(_xll.ICEJoinRange(M4:W4),"DF[dow:12345][tl:Calendar]","2020-07-26;2024-07-26",926,-1)</f>
        <v>45335.5</v>
      </c>
      <c r="M125">
        <f>_xll.ICEHistory(M$4,M$5,"DF[dow:12345][tl:Calendar]",$L125)</f>
        <v>57.2</v>
      </c>
      <c r="N125">
        <f>_xll.ICEHistory(M$4,N$5,"DF[dow:12345][tl:Calendar]",$L125)</f>
        <v>58</v>
      </c>
      <c r="O125">
        <f>_xll.ICEHistory(M$4,O$5,"DF[dow:12345][tl:Calendar]",$L125)</f>
        <v>55.61</v>
      </c>
      <c r="P125">
        <f>_xll.ICEHistory(M$4,P$5,"DF[dow:12345][tl:Calendar]",$L125)</f>
        <v>56.65</v>
      </c>
      <c r="Q125">
        <f>_xll.ICEHistory(M$4,Q$5,"DF[dow:12345][tl:Calendar]",$L125)</f>
        <v>32485</v>
      </c>
      <c r="R125">
        <f>_xll.ICEHistory(M$4,R$5,"DF[dow:12345][tl:Calendar]",$L125)</f>
        <v>287140</v>
      </c>
      <c r="S125">
        <f>_xll.ICEHistory(S$4,S$5,"DF[dow:12345][tl:Calendar]",$L125)</f>
        <v>26.15</v>
      </c>
      <c r="T125">
        <f>_xll.ICEHistory(S$4,T$5,"DF[dow:12345][tl:Calendar]",$L125)</f>
        <v>26.495000000000001</v>
      </c>
      <c r="U125">
        <f>_xll.ICEHistory(S$4,U$5,"DF[dow:12345][tl:Calendar]",$L125)</f>
        <v>25.25</v>
      </c>
      <c r="V125">
        <f>_xll.ICEHistory(S$4,V$5,"DF[dow:12345][tl:Calendar]",$L125)</f>
        <v>25.436</v>
      </c>
      <c r="W125">
        <f>_xll.ICEHistory(S$4,W$5,"DF[dow:12345][tl:Calendar]",$L125)</f>
        <v>808</v>
      </c>
      <c r="X125">
        <f t="shared" si="3"/>
        <v>4.0757162346521159E-2</v>
      </c>
      <c r="Y125">
        <f t="shared" si="4"/>
        <v>0.37789784792746456</v>
      </c>
      <c r="Z125">
        <f t="shared" si="5"/>
        <v>1.0063353573081042</v>
      </c>
    </row>
    <row r="126" spans="1:26" x14ac:dyDescent="0.25">
      <c r="A126" s="3" t="str">
        <f>_xll.ICEOptionSymbol($B$1,"F","C",$F126)</f>
        <v>EFO 24UC7700-ICN</v>
      </c>
      <c r="B126" s="3">
        <f>_xll.ICEQuote($A126,_xll.ICEFldID(B$5))</f>
        <v>40</v>
      </c>
      <c r="C126" s="3">
        <f>_xll.ICEQuote($A126,_xll.ICEFldID(C$5))</f>
        <v>77</v>
      </c>
      <c r="D126" s="3">
        <f>_xll.ICEQuote($A126,_xll.ICEFldID(D$5))</f>
        <v>0.30159234430348364</v>
      </c>
      <c r="E126" s="3">
        <f>_xll.ICEQuote($A126,_xll.ICEFldID(E$5))</f>
        <v>0.13962483420509642</v>
      </c>
      <c r="F126" s="3">
        <f>_xll.ICEOptionStrike($B$1,20,"F")</f>
        <v>77</v>
      </c>
      <c r="G126" s="3" t="str">
        <f>_xll.ICEOptionSymbol($B$1,"F","P",$F126)</f>
        <v>EFO 24UP7700-ICN</v>
      </c>
      <c r="H126" s="3">
        <f>_xll.ICEQuote($G126,_xll.ICEFldID(H$5))</f>
        <v>0</v>
      </c>
      <c r="I126" s="3">
        <f>_xll.ICEQuote($G126,_xll.ICEFldID(I$5))</f>
        <v>77</v>
      </c>
      <c r="J126" s="3">
        <f>_xll.ICEQuote($G126,_xll.ICEFldID(J$5))</f>
        <v>0.30718111619140365</v>
      </c>
      <c r="K126" s="3">
        <f>_xll.ICEQuote($G126,_xll.ICEFldID(K$5))</f>
        <v>-0.85205923414041895</v>
      </c>
      <c r="L126" s="4">
        <f>_xll.ICETimeline(_xll.ICEJoinRange(M4:W4),"DF[dow:12345][tl:Calendar]","2020-07-26;2024-07-26",925,-1)</f>
        <v>45334.5</v>
      </c>
      <c r="M126">
        <f>_xll.ICEHistory(M$4,M$5,"DF[dow:12345][tl:Calendar]",$L126)</f>
        <v>58.64</v>
      </c>
      <c r="N126">
        <f>_xll.ICEHistory(M$4,N$5,"DF[dow:12345][tl:Calendar]",$L126)</f>
        <v>58.81</v>
      </c>
      <c r="O126">
        <f>_xll.ICEHistory(M$4,O$5,"DF[dow:12345][tl:Calendar]",$L126)</f>
        <v>56.59</v>
      </c>
      <c r="P126">
        <f>_xll.ICEHistory(M$4,P$5,"DF[dow:12345][tl:Calendar]",$L126)</f>
        <v>57.2</v>
      </c>
      <c r="Q126">
        <f>_xll.ICEHistory(M$4,Q$5,"DF[dow:12345][tl:Calendar]",$L126)</f>
        <v>27933</v>
      </c>
      <c r="R126">
        <f>_xll.ICEHistory(M$4,R$5,"DF[dow:12345][tl:Calendar]",$L126)</f>
        <v>286130</v>
      </c>
      <c r="S126">
        <f>_xll.ICEHistory(S$4,S$5,"DF[dow:12345][tl:Calendar]",$L126)</f>
        <v>26.18</v>
      </c>
      <c r="T126">
        <f>_xll.ICEHistory(S$4,T$5,"DF[dow:12345][tl:Calendar]",$L126)</f>
        <v>26.324999999999999</v>
      </c>
      <c r="U126">
        <f>_xll.ICEHistory(S$4,U$5,"DF[dow:12345][tl:Calendar]",$L126)</f>
        <v>25.63</v>
      </c>
      <c r="V126">
        <f>_xll.ICEHistory(S$4,V$5,"DF[dow:12345][tl:Calendar]",$L126)</f>
        <v>25.728999999999999</v>
      </c>
      <c r="W126">
        <f>_xll.ICEHistory(S$4,W$5,"DF[dow:12345][tl:Calendar]",$L126)</f>
        <v>520</v>
      </c>
      <c r="X126">
        <f t="shared" si="3"/>
        <v>3.6585365853658521E-2</v>
      </c>
      <c r="Y126">
        <f t="shared" si="4"/>
        <v>8.4487578978610547E-2</v>
      </c>
      <c r="Z126">
        <f t="shared" si="5"/>
        <v>0.48689803299599482</v>
      </c>
    </row>
    <row r="127" spans="1:26" x14ac:dyDescent="0.25">
      <c r="A127" s="3" t="str">
        <f>_xll.ICEOptionSymbol($B$1,"F","C",$F127)</f>
        <v>EFO 24UC7750-ICN</v>
      </c>
      <c r="B127" s="3">
        <f>_xll.ICEQuote($A127,_xll.ICEFldID(B$5))</f>
        <v>0</v>
      </c>
      <c r="C127" s="3">
        <f>_xll.ICEQuote($A127,_xll.ICEFldID(C$5))</f>
        <v>77.5</v>
      </c>
      <c r="D127" s="3">
        <f>_xll.ICEQuote($A127,_xll.ICEFldID(D$5))</f>
        <v>0.30236739220070064</v>
      </c>
      <c r="E127" s="3">
        <f>_xll.ICEQuote($A127,_xll.ICEFldID(E$5))</f>
        <v>0.12906842988532014</v>
      </c>
      <c r="F127" s="3">
        <f>_xll.ICEOptionStrike($B$1,21,"F")</f>
        <v>77.5</v>
      </c>
      <c r="G127" s="3" t="str">
        <f>_xll.ICEOptionSymbol($B$1,"F","P",$F127)</f>
        <v>EFO 24UP7750-ICN</v>
      </c>
      <c r="H127" s="3">
        <f>_xll.ICEQuote($G127,_xll.ICEFldID(H$5))</f>
        <v>0</v>
      </c>
      <c r="I127" s="3">
        <f>_xll.ICEQuote($G127,_xll.ICEFldID(I$5))</f>
        <v>77.5</v>
      </c>
      <c r="J127" s="3">
        <f>_xll.ICEQuote($G127,_xll.ICEFldID(J$5))</f>
        <v>0.30854095499219969</v>
      </c>
      <c r="K127" s="3">
        <f>_xll.ICEQuote($G127,_xll.ICEFldID(K$5))</f>
        <v>-0.86218654715581577</v>
      </c>
      <c r="L127" s="4">
        <f>_xll.ICETimeline(_xll.ICEJoinRange(M4:W4),"DF[dow:12345][tl:Calendar]","2020-07-26;2024-07-26",924,-1)</f>
        <v>45331.5</v>
      </c>
      <c r="M127">
        <f>_xll.ICEHistory(M$4,M$5,"DF[dow:12345][tl:Calendar]",$L127)</f>
        <v>60.68</v>
      </c>
      <c r="N127">
        <f>_xll.ICEHistory(M$4,N$5,"DF[dow:12345][tl:Calendar]",$L127)</f>
        <v>60.68</v>
      </c>
      <c r="O127">
        <f>_xll.ICEHistory(M$4,O$5,"DF[dow:12345][tl:Calendar]",$L127)</f>
        <v>58.2</v>
      </c>
      <c r="P127">
        <f>_xll.ICEHistory(M$4,P$5,"DF[dow:12345][tl:Calendar]",$L127)</f>
        <v>58.8</v>
      </c>
      <c r="Q127">
        <f>_xll.ICEHistory(M$4,Q$5,"DF[dow:12345][tl:Calendar]",$L127)</f>
        <v>31446</v>
      </c>
      <c r="R127">
        <f>_xll.ICEHistory(M$4,R$5,"DF[dow:12345][tl:Calendar]",$L127)</f>
        <v>284512</v>
      </c>
      <c r="S127">
        <f>_xll.ICEHistory(S$4,S$5,"DF[dow:12345][tl:Calendar]",$L127)</f>
        <v>27.254999999999999</v>
      </c>
      <c r="T127">
        <f>_xll.ICEHistory(S$4,T$5,"DF[dow:12345][tl:Calendar]",$L127)</f>
        <v>27.45</v>
      </c>
      <c r="U127">
        <f>_xll.ICEHistory(S$4,U$5,"DF[dow:12345][tl:Calendar]",$L127)</f>
        <v>26.65</v>
      </c>
      <c r="V127">
        <f>_xll.ICEHistory(S$4,V$5,"DF[dow:12345][tl:Calendar]",$L127)</f>
        <v>27.117000000000001</v>
      </c>
      <c r="W127">
        <f>_xll.ICEHistory(S$4,W$5,"DF[dow:12345][tl:Calendar]",$L127)</f>
        <v>266</v>
      </c>
      <c r="X127">
        <f t="shared" si="3"/>
        <v>3.9679999999999951E-2</v>
      </c>
      <c r="Y127">
        <f t="shared" si="4"/>
        <v>0.30974074344948188</v>
      </c>
      <c r="Z127">
        <f t="shared" si="5"/>
        <v>0.92003954652488373</v>
      </c>
    </row>
    <row r="128" spans="1:26" x14ac:dyDescent="0.25">
      <c r="A128" s="3" t="str">
        <f>_xll.ICEOptionSymbol($B$1,"F","C",$F128)</f>
        <v>EFO 24UC7800-ICN</v>
      </c>
      <c r="B128" s="3">
        <f>_xll.ICEQuote($A128,_xll.ICEFldID(B$5))</f>
        <v>0</v>
      </c>
      <c r="C128" s="3">
        <f>_xll.ICEQuote($A128,_xll.ICEFldID(C$5))</f>
        <v>78</v>
      </c>
      <c r="D128" s="3">
        <f>_xll.ICEQuote($A128,_xll.ICEFldID(D$5))</f>
        <v>0.30329109577526403</v>
      </c>
      <c r="E128" s="3">
        <f>_xll.ICEQuote($A128,_xll.ICEFldID(E$5))</f>
        <v>0.11932127080213471</v>
      </c>
      <c r="F128" s="3">
        <f>_xll.ICEOptionStrike($B$1,22,"F")</f>
        <v>78</v>
      </c>
      <c r="G128" s="3" t="str">
        <f>_xll.ICEOptionSymbol($B$1,"F","P",$F128)</f>
        <v>EFO 24UP7800-ICN</v>
      </c>
      <c r="H128" s="3">
        <f>_xll.ICEQuote($G128,_xll.ICEFldID(H$5))</f>
        <v>0</v>
      </c>
      <c r="I128" s="3">
        <f>_xll.ICEQuote($G128,_xll.ICEFldID(I$5))</f>
        <v>78</v>
      </c>
      <c r="J128" s="3">
        <f>_xll.ICEQuote($G128,_xll.ICEFldID(J$5))</f>
        <v>0.31009990817114103</v>
      </c>
      <c r="K128" s="3">
        <f>_xll.ICEQuote($G128,_xll.ICEFldID(K$5))</f>
        <v>-0.87149767945771017</v>
      </c>
      <c r="L128" s="4">
        <f>_xll.ICETimeline(_xll.ICEJoinRange(M4:W4),"DF[dow:12345][tl:Calendar]","2020-07-26;2024-07-26",923,-1)</f>
        <v>45330.5</v>
      </c>
      <c r="M128">
        <f>_xll.ICEHistory(M$4,M$5,"DF[dow:12345][tl:Calendar]",$L128)</f>
        <v>62.5</v>
      </c>
      <c r="N128">
        <f>_xll.ICEHistory(M$4,N$5,"DF[dow:12345][tl:Calendar]",$L128)</f>
        <v>62.5</v>
      </c>
      <c r="O128">
        <f>_xll.ICEHistory(M$4,O$5,"DF[dow:12345][tl:Calendar]",$L128)</f>
        <v>60.26</v>
      </c>
      <c r="P128">
        <f>_xll.ICEHistory(M$4,P$5,"DF[dow:12345][tl:Calendar]",$L128)</f>
        <v>60.71</v>
      </c>
      <c r="Q128">
        <f>_xll.ICEHistory(M$4,Q$5,"DF[dow:12345][tl:Calendar]",$L128)</f>
        <v>29391</v>
      </c>
      <c r="R128">
        <f>_xll.ICEHistory(M$4,R$5,"DF[dow:12345][tl:Calendar]",$L128)</f>
        <v>280639</v>
      </c>
      <c r="S128">
        <f>_xll.ICEHistory(S$4,S$5,"DF[dow:12345][tl:Calendar]",$L128)</f>
        <v>28.15</v>
      </c>
      <c r="T128">
        <f>_xll.ICEHistory(S$4,T$5,"DF[dow:12345][tl:Calendar]",$L128)</f>
        <v>28.504999999999999</v>
      </c>
      <c r="U128">
        <f>_xll.ICEHistory(S$4,U$5,"DF[dow:12345][tl:Calendar]",$L128)</f>
        <v>27.664999999999999</v>
      </c>
      <c r="V128">
        <f>_xll.ICEHistory(S$4,V$5,"DF[dow:12345][tl:Calendar]",$L128)</f>
        <v>27.812000000000001</v>
      </c>
      <c r="W128">
        <f>_xll.ICEHistory(S$4,W$5,"DF[dow:12345][tl:Calendar]",$L128)</f>
        <v>585</v>
      </c>
      <c r="X128">
        <f t="shared" si="3"/>
        <v>3.5359116022099478E-2</v>
      </c>
      <c r="Y128">
        <f t="shared" si="4"/>
        <v>-4.0376061986618851E-4</v>
      </c>
      <c r="Z128">
        <f t="shared" si="5"/>
        <v>0.68234759716029458</v>
      </c>
    </row>
    <row r="129" spans="1:26" x14ac:dyDescent="0.25">
      <c r="A129" s="3" t="str">
        <f>_xll.ICEOptionSymbol($B$1,"F","C",$F129)</f>
        <v>EFO 24UC7850-ICN</v>
      </c>
      <c r="B129" s="3">
        <f>_xll.ICEQuote($A129,_xll.ICEFldID(B$5))</f>
        <v>0</v>
      </c>
      <c r="C129" s="3">
        <f>_xll.ICEQuote($A129,_xll.ICEFldID(C$5))</f>
        <v>78.5</v>
      </c>
      <c r="D129" s="3">
        <f>_xll.ICEQuote($A129,_xll.ICEFldID(D$5))</f>
        <v>0.30444905064366046</v>
      </c>
      <c r="E129" s="3">
        <f>_xll.ICEQuote($A129,_xll.ICEFldID(E$5))</f>
        <v>0.11041672030722388</v>
      </c>
      <c r="F129" s="3">
        <f>_xll.ICEOptionStrike($B$1,23,"F")</f>
        <v>78.5</v>
      </c>
      <c r="G129" s="3" t="str">
        <f>_xll.ICEOptionSymbol($B$1,"F","P",$F129)</f>
        <v>EFO 24UP7850-ICN</v>
      </c>
      <c r="H129" s="3">
        <f>_xll.ICEQuote($G129,_xll.ICEFldID(H$5))</f>
        <v>0</v>
      </c>
      <c r="I129" s="3">
        <f>_xll.ICEQuote($G129,_xll.ICEFldID(I$5))</f>
        <v>78.5</v>
      </c>
      <c r="J129" s="3">
        <f>_xll.ICEQuote($G129,_xll.ICEFldID(J$5))</f>
        <v>0.31194280919251738</v>
      </c>
      <c r="K129" s="3">
        <f>_xll.ICEQuote($G129,_xll.ICEFldID(K$5))</f>
        <v>-0.87996443853624073</v>
      </c>
      <c r="L129" s="4">
        <f>_xll.ICETimeline(_xll.ICEJoinRange(M4:W4),"DF[dow:12345][tl:Calendar]","2020-07-26;2024-07-26",922,-1)</f>
        <v>45329.5</v>
      </c>
      <c r="M129">
        <f>_xll.ICEHistory(M$4,M$5,"DF[dow:12345][tl:Calendar]",$L129)</f>
        <v>63.35</v>
      </c>
      <c r="N129">
        <f>_xll.ICEHistory(M$4,N$5,"DF[dow:12345][tl:Calendar]",$L129)</f>
        <v>63.7</v>
      </c>
      <c r="O129">
        <f>_xll.ICEHistory(M$4,O$5,"DF[dow:12345][tl:Calendar]",$L129)</f>
        <v>62.24</v>
      </c>
      <c r="P129">
        <f>_xll.ICEHistory(M$4,P$5,"DF[dow:12345][tl:Calendar]",$L129)</f>
        <v>62.32</v>
      </c>
      <c r="Q129">
        <f>_xll.ICEHistory(M$4,Q$5,"DF[dow:12345][tl:Calendar]",$L129)</f>
        <v>19305</v>
      </c>
      <c r="R129">
        <f>_xll.ICEHistory(M$4,R$5,"DF[dow:12345][tl:Calendar]",$L129)</f>
        <v>277076</v>
      </c>
      <c r="S129">
        <f>_xll.ICEHistory(S$4,S$5,"DF[dow:12345][tl:Calendar]",$L129)</f>
        <v>28.225000000000001</v>
      </c>
      <c r="T129">
        <f>_xll.ICEHistory(S$4,T$5,"DF[dow:12345][tl:Calendar]",$L129)</f>
        <v>28.844999999999999</v>
      </c>
      <c r="U129">
        <f>_xll.ICEHistory(S$4,U$5,"DF[dow:12345][tl:Calendar]",$L129)</f>
        <v>28.004999999999999</v>
      </c>
      <c r="V129">
        <f>_xll.ICEHistory(S$4,V$5,"DF[dow:12345][tl:Calendar]",$L129)</f>
        <v>28.186</v>
      </c>
      <c r="W129">
        <f>_xll.ICEHistory(S$4,W$5,"DF[dow:12345][tl:Calendar]",$L129)</f>
        <v>284</v>
      </c>
      <c r="X129">
        <f t="shared" si="3"/>
        <v>2.3252110208631962E-2</v>
      </c>
      <c r="Y129">
        <f t="shared" si="4"/>
        <v>-0.87951878608801037</v>
      </c>
      <c r="Z129">
        <f t="shared" si="5"/>
        <v>-0.52413162998002949</v>
      </c>
    </row>
    <row r="130" spans="1:26" x14ac:dyDescent="0.25">
      <c r="A130" s="3" t="str">
        <f>_xll.ICEOptionSymbol($B$1,"F","C",$F130)</f>
        <v>EFO 24UC7900-ICN</v>
      </c>
      <c r="B130" s="3">
        <f>_xll.ICEQuote($A130,_xll.ICEFldID(B$5))</f>
        <v>40</v>
      </c>
      <c r="C130" s="3">
        <f>_xll.ICEQuote($A130,_xll.ICEFldID(C$5))</f>
        <v>79</v>
      </c>
      <c r="D130" s="3">
        <f>_xll.ICEQuote($A130,_xll.ICEFldID(D$5))</f>
        <v>0.30491967564682465</v>
      </c>
      <c r="E130" s="3">
        <f>_xll.ICEQuote($A130,_xll.ICEFldID(E$5))</f>
        <v>0.10156021799275526</v>
      </c>
      <c r="F130" s="3">
        <f>_xll.ICEOptionStrike($B$1,24,"F")</f>
        <v>79</v>
      </c>
      <c r="G130" s="3" t="str">
        <f>_xll.ICEOptionSymbol($B$1,"F","P",$F130)</f>
        <v>EFO 24UP7900-ICN</v>
      </c>
      <c r="H130" s="3">
        <f>_xll.ICEQuote($G130,_xll.ICEFldID(H$5))</f>
        <v>0</v>
      </c>
      <c r="I130" s="3">
        <f>_xll.ICEQuote($G130,_xll.ICEFldID(I$5))</f>
        <v>79</v>
      </c>
      <c r="J130" s="3">
        <f>_xll.ICEQuote($G130,_xll.ICEFldID(J$5))</f>
        <v>0.31318998804547704</v>
      </c>
      <c r="K130" s="3">
        <f>_xll.ICEQuote($G130,_xll.ICEFldID(K$5))</f>
        <v>-0.88834684872684366</v>
      </c>
      <c r="L130" s="4">
        <f>_xll.ICETimeline(_xll.ICEJoinRange(M4:W4),"DF[dow:12345][tl:Calendar]","2020-07-26;2024-07-26",921,-1)</f>
        <v>45328.5</v>
      </c>
      <c r="M130">
        <f>_xll.ICEHistory(M$4,M$5,"DF[dow:12345][tl:Calendar]",$L130)</f>
        <v>62.79</v>
      </c>
      <c r="N130">
        <f>_xll.ICEHistory(M$4,N$5,"DF[dow:12345][tl:Calendar]",$L130)</f>
        <v>63.97</v>
      </c>
      <c r="O130">
        <f>_xll.ICEHistory(M$4,O$5,"DF[dow:12345][tl:Calendar]",$L130)</f>
        <v>62</v>
      </c>
      <c r="P130">
        <f>_xll.ICEHistory(M$4,P$5,"DF[dow:12345][tl:Calendar]",$L130)</f>
        <v>63.49</v>
      </c>
      <c r="Q130">
        <f>_xll.ICEHistory(M$4,Q$5,"DF[dow:12345][tl:Calendar]",$L130)</f>
        <v>22237</v>
      </c>
      <c r="R130">
        <f>_xll.ICEHistory(M$4,R$5,"DF[dow:12345][tl:Calendar]",$L130)</f>
        <v>278078</v>
      </c>
      <c r="S130">
        <f>_xll.ICEHistory(S$4,S$5,"DF[dow:12345][tl:Calendar]",$L130)</f>
        <v>28.42</v>
      </c>
      <c r="T130">
        <f>_xll.ICEHistory(S$4,T$5,"DF[dow:12345][tl:Calendar]",$L130)</f>
        <v>29.2</v>
      </c>
      <c r="U130">
        <f>_xll.ICEHistory(S$4,U$5,"DF[dow:12345][tl:Calendar]",$L130)</f>
        <v>27.8</v>
      </c>
      <c r="V130">
        <f>_xll.ICEHistory(S$4,V$5,"DF[dow:12345][tl:Calendar]",$L130)</f>
        <v>28.606999999999999</v>
      </c>
      <c r="W130">
        <f>_xll.ICEHistory(S$4,W$5,"DF[dow:12345][tl:Calendar]",$L130)</f>
        <v>334</v>
      </c>
      <c r="X130">
        <f t="shared" si="3"/>
        <v>3.0877742946708447E-2</v>
      </c>
      <c r="Y130">
        <f t="shared" si="4"/>
        <v>-0.32112649128831067</v>
      </c>
      <c r="Z130">
        <f t="shared" si="5"/>
        <v>-0.18460814565593714</v>
      </c>
    </row>
    <row r="131" spans="1:26" x14ac:dyDescent="0.25">
      <c r="A131" s="3" t="str">
        <f>_xll.ICEOptionSymbol($B$1,"F","C",$F131)</f>
        <v>EFO 24UC7950-ICN</v>
      </c>
      <c r="B131" s="3">
        <f>_xll.ICEQuote($A131,_xll.ICEFldID(B$5))</f>
        <v>0</v>
      </c>
      <c r="C131" s="3">
        <f>_xll.ICEQuote($A131,_xll.ICEFldID(C$5))</f>
        <v>79.5</v>
      </c>
      <c r="D131" s="3">
        <f>_xll.ICEQuote($A131,_xll.ICEFldID(D$5))</f>
        <v>0.30571909121675034</v>
      </c>
      <c r="E131" s="3">
        <f>_xll.ICEQuote($A131,_xll.ICEFldID(E$5))</f>
        <v>9.3569495874171946E-2</v>
      </c>
      <c r="F131" s="3">
        <f>_xll.ICEOptionStrike($B$1,25,"F")</f>
        <v>79.5</v>
      </c>
      <c r="G131" s="3" t="str">
        <f>_xll.ICEOptionSymbol($B$1,"F","P",$F131)</f>
        <v>EFO 24UP7950-ICN</v>
      </c>
      <c r="H131" s="3">
        <f>_xll.ICEQuote($G131,_xll.ICEFldID(H$5))</f>
        <v>0</v>
      </c>
      <c r="I131" s="3">
        <f>_xll.ICEQuote($G131,_xll.ICEFldID(I$5))</f>
        <v>79.5</v>
      </c>
      <c r="J131" s="3">
        <f>_xll.ICEQuote($G131,_xll.ICEFldID(J$5))</f>
        <v>0.31482430362349906</v>
      </c>
      <c r="K131" s="3">
        <f>_xll.ICEQuote($G131,_xll.ICEFldID(K$5))</f>
        <v>-0.89586639235246335</v>
      </c>
      <c r="L131" s="4">
        <f>_xll.ICETimeline(_xll.ICEJoinRange(M4:W4),"DF[dow:12345][tl:Calendar]","2020-07-26;2024-07-26",920,-1)</f>
        <v>45327.5</v>
      </c>
      <c r="M131">
        <f>_xll.ICEHistory(M$4,M$5,"DF[dow:12345][tl:Calendar]",$L131)</f>
        <v>63.8</v>
      </c>
      <c r="N131">
        <f>_xll.ICEHistory(M$4,N$5,"DF[dow:12345][tl:Calendar]",$L131)</f>
        <v>64.45</v>
      </c>
      <c r="O131">
        <f>_xll.ICEHistory(M$4,O$5,"DF[dow:12345][tl:Calendar]",$L131)</f>
        <v>62.07</v>
      </c>
      <c r="P131">
        <f>_xll.ICEHistory(M$4,P$5,"DF[dow:12345][tl:Calendar]",$L131)</f>
        <v>62.59</v>
      </c>
      <c r="Q131">
        <f>_xll.ICEHistory(M$4,Q$5,"DF[dow:12345][tl:Calendar]",$L131)</f>
        <v>22594</v>
      </c>
      <c r="R131">
        <f>_xll.ICEHistory(M$4,R$5,"DF[dow:12345][tl:Calendar]",$L131)</f>
        <v>277917</v>
      </c>
      <c r="S131">
        <f>_xll.ICEHistory(S$4,S$5,"DF[dow:12345][tl:Calendar]",$L131)</f>
        <v>29.85</v>
      </c>
      <c r="T131">
        <f>_xll.ICEHistory(S$4,T$5,"DF[dow:12345][tl:Calendar]",$L131)</f>
        <v>29.85</v>
      </c>
      <c r="U131">
        <f>_xll.ICEHistory(S$4,U$5,"DF[dow:12345][tl:Calendar]",$L131)</f>
        <v>28.08</v>
      </c>
      <c r="V131">
        <f>_xll.ICEHistory(S$4,V$5,"DF[dow:12345][tl:Calendar]",$L131)</f>
        <v>28.341000000000001</v>
      </c>
      <c r="W131">
        <f>_xll.ICEHistory(S$4,W$5,"DF[dow:12345][tl:Calendar]",$L131)</f>
        <v>477</v>
      </c>
      <c r="X131">
        <f t="shared" si="3"/>
        <v>3.8405680167823184E-2</v>
      </c>
      <c r="Y131">
        <f t="shared" si="4"/>
        <v>0.23480140847168102</v>
      </c>
      <c r="Z131">
        <f t="shared" si="5"/>
        <v>-0.14131444420655823</v>
      </c>
    </row>
    <row r="132" spans="1:26" x14ac:dyDescent="0.25">
      <c r="A132" s="3" t="str">
        <f>_xll.ICEOptionSymbol($B$1,"F","C",$F132)</f>
        <v>EFO 24UC8000-ICN</v>
      </c>
      <c r="B132" s="3">
        <f>_xll.ICEQuote($A132,_xll.ICEFldID(B$5))</f>
        <v>7525</v>
      </c>
      <c r="C132" s="3">
        <f>_xll.ICEQuote($A132,_xll.ICEFldID(C$5))</f>
        <v>80</v>
      </c>
      <c r="D132" s="3">
        <f>_xll.ICEQuote($A132,_xll.ICEFldID(D$5))</f>
        <v>0.30697144096197859</v>
      </c>
      <c r="E132" s="3">
        <f>_xll.ICEQuote($A132,_xll.ICEFldID(E$5))</f>
        <v>8.6485569674090587E-2</v>
      </c>
      <c r="F132" s="3">
        <f>_xll.ICEOptionStrike($B$1,26,"F")</f>
        <v>80</v>
      </c>
      <c r="G132" s="3" t="str">
        <f>_xll.ICEOptionSymbol($B$1,"F","P",$F132)</f>
        <v>EFO 24UP8000-ICN</v>
      </c>
      <c r="H132" s="3">
        <f>_xll.ICEQuote($G132,_xll.ICEFldID(H$5))</f>
        <v>0</v>
      </c>
      <c r="I132" s="3">
        <f>_xll.ICEQuote($G132,_xll.ICEFldID(I$5))</f>
        <v>80</v>
      </c>
      <c r="J132" s="3">
        <f>_xll.ICEQuote($G132,_xll.ICEFldID(J$5))</f>
        <v>0.31696071937571213</v>
      </c>
      <c r="K132" s="3">
        <f>_xll.ICEQuote($G132,_xll.ICEFldID(K$5))</f>
        <v>-0.90249114760243287</v>
      </c>
      <c r="L132" s="4">
        <f>_xll.ICETimeline(_xll.ICEJoinRange(M4:W4),"DF[dow:12345][tl:Calendar]","2020-07-26;2024-07-26",919,-1)</f>
        <v>45324.5</v>
      </c>
      <c r="M132">
        <f>_xll.ICEHistory(M$4,M$5,"DF[dow:12345][tl:Calendar]",$L132)</f>
        <v>61.97</v>
      </c>
      <c r="N132">
        <f>_xll.ICEHistory(M$4,N$5,"DF[dow:12345][tl:Calendar]",$L132)</f>
        <v>64.38</v>
      </c>
      <c r="O132">
        <f>_xll.ICEHistory(M$4,O$5,"DF[dow:12345][tl:Calendar]",$L132)</f>
        <v>61.9</v>
      </c>
      <c r="P132">
        <f>_xll.ICEHistory(M$4,P$5,"DF[dow:12345][tl:Calendar]",$L132)</f>
        <v>63.5</v>
      </c>
      <c r="Q132">
        <f>_xll.ICEHistory(M$4,Q$5,"DF[dow:12345][tl:Calendar]",$L132)</f>
        <v>25593</v>
      </c>
      <c r="R132">
        <f>_xll.ICEHistory(M$4,R$5,"DF[dow:12345][tl:Calendar]",$L132)</f>
        <v>275630</v>
      </c>
      <c r="S132">
        <f>_xll.ICEHistory(S$4,S$5,"DF[dow:12345][tl:Calendar]",$L132)</f>
        <v>28.63</v>
      </c>
      <c r="T132">
        <f>_xll.ICEHistory(S$4,T$5,"DF[dow:12345][tl:Calendar]",$L132)</f>
        <v>29.54</v>
      </c>
      <c r="U132">
        <f>_xll.ICEHistory(S$4,U$5,"DF[dow:12345][tl:Calendar]",$L132)</f>
        <v>28.63</v>
      </c>
      <c r="V132">
        <f>_xll.ICEHistory(S$4,V$5,"DF[dow:12345][tl:Calendar]",$L132)</f>
        <v>29.303999999999998</v>
      </c>
      <c r="W132">
        <f>_xll.ICEHistory(S$4,W$5,"DF[dow:12345][tl:Calendar]",$L132)</f>
        <v>1461</v>
      </c>
      <c r="X132">
        <f t="shared" si="3"/>
        <v>3.8653366583541099E-2</v>
      </c>
      <c r="Y132">
        <f t="shared" si="4"/>
        <v>0.26752781641615886</v>
      </c>
      <c r="Z132">
        <f t="shared" si="5"/>
        <v>0.22355908163489374</v>
      </c>
    </row>
    <row r="133" spans="1:26" x14ac:dyDescent="0.25">
      <c r="A133" s="3" t="str">
        <f>_xll.ICEOptionSymbol($B$1,"F","C",$F133)</f>
        <v>EFO 24UC8050-ICN</v>
      </c>
      <c r="B133" s="3">
        <f>_xll.ICEQuote($A133,_xll.ICEFldID(B$5))</f>
        <v>0</v>
      </c>
      <c r="C133" s="3">
        <f>_xll.ICEQuote($A133,_xll.ICEFldID(C$5))</f>
        <v>80.5</v>
      </c>
      <c r="D133" s="3">
        <f>_xll.ICEQuote($A133,_xll.ICEFldID(D$5))</f>
        <v>0.30759479009428514</v>
      </c>
      <c r="E133" s="3">
        <f>_xll.ICEQuote($A133,_xll.ICEFldID(E$5))</f>
        <v>7.9445282656168154E-2</v>
      </c>
      <c r="F133" s="3">
        <f>_xll.ICEOptionStrike($B$1,27,"F")</f>
        <v>80.5</v>
      </c>
      <c r="G133" s="3" t="str">
        <f>_xll.ICEOptionSymbol($B$1,"F","P",$F133)</f>
        <v>EFO 24UP8050-ICN</v>
      </c>
      <c r="H133" s="3">
        <f>_xll.ICEQuote($G133,_xll.ICEFldID(H$5))</f>
        <v>0</v>
      </c>
      <c r="I133" s="3">
        <f>_xll.ICEQuote($G133,_xll.ICEFldID(I$5))</f>
        <v>80.5</v>
      </c>
      <c r="J133" s="3">
        <f>_xll.ICEQuote($G133,_xll.ICEFldID(J$5))</f>
        <v>0.31858682933834759</v>
      </c>
      <c r="K133" s="3">
        <f>_xll.ICEQuote($G133,_xll.ICEFldID(K$5))</f>
        <v>-0.90903675209634038</v>
      </c>
      <c r="L133" s="4">
        <f>_xll.ICETimeline(_xll.ICEJoinRange(M4:W4),"DF[dow:12345][tl:Calendar]","2020-07-26;2024-07-26",918,-1)</f>
        <v>45323.5</v>
      </c>
      <c r="M133">
        <f>_xll.ICEHistory(M$4,M$5,"DF[dow:12345][tl:Calendar]",$L133)</f>
        <v>64.16</v>
      </c>
      <c r="N133">
        <f>_xll.ICEHistory(M$4,N$5,"DF[dow:12345][tl:Calendar]",$L133)</f>
        <v>64.88</v>
      </c>
      <c r="O133">
        <f>_xll.ICEHistory(M$4,O$5,"DF[dow:12345][tl:Calendar]",$L133)</f>
        <v>62.08</v>
      </c>
      <c r="P133">
        <f>_xll.ICEHistory(M$4,P$5,"DF[dow:12345][tl:Calendar]",$L133)</f>
        <v>62.32</v>
      </c>
      <c r="Q133">
        <f>_xll.ICEHistory(M$4,Q$5,"DF[dow:12345][tl:Calendar]",$L133)</f>
        <v>27170</v>
      </c>
      <c r="R133">
        <f>_xll.ICEHistory(M$4,R$5,"DF[dow:12345][tl:Calendar]",$L133)</f>
        <v>275328</v>
      </c>
      <c r="S133">
        <f>_xll.ICEHistory(S$4,S$5,"DF[dow:12345][tl:Calendar]",$L133)</f>
        <v>30.14</v>
      </c>
      <c r="T133">
        <f>_xll.ICEHistory(S$4,T$5,"DF[dow:12345][tl:Calendar]",$L133)</f>
        <v>30.715</v>
      </c>
      <c r="U133">
        <f>_xll.ICEHistory(S$4,U$5,"DF[dow:12345][tl:Calendar]",$L133)</f>
        <v>28.8</v>
      </c>
      <c r="V133">
        <f>_xll.ICEHistory(S$4,V$5,"DF[dow:12345][tl:Calendar]",$L133)</f>
        <v>28.991</v>
      </c>
      <c r="W133">
        <f>_xll.ICEHistory(S$4,W$5,"DF[dow:12345][tl:Calendar]",$L133)</f>
        <v>1041</v>
      </c>
      <c r="X133">
        <f t="shared" si="3"/>
        <v>4.3763676148796456E-2</v>
      </c>
      <c r="Y133">
        <f t="shared" si="4"/>
        <v>0.64014130348601561</v>
      </c>
      <c r="Z133">
        <f t="shared" si="5"/>
        <v>0.36590276106957054</v>
      </c>
    </row>
    <row r="134" spans="1:26" x14ac:dyDescent="0.25">
      <c r="A134" s="3" t="str">
        <f>_xll.ICEOptionSymbol($B$1,"F","C",$F134)</f>
        <v>EFO 24UC8100-ICN</v>
      </c>
      <c r="B134" s="3">
        <f>_xll.ICEQuote($A134,_xll.ICEFldID(B$5))</f>
        <v>40</v>
      </c>
      <c r="C134" s="3">
        <f>_xll.ICEQuote($A134,_xll.ICEFldID(C$5))</f>
        <v>81</v>
      </c>
      <c r="D134" s="3">
        <f>_xll.ICEQuote($A134,_xll.ICEFldID(D$5))</f>
        <v>0.308828879757029</v>
      </c>
      <c r="E134" s="3">
        <f>_xll.ICEQuote($A134,_xll.ICEFldID(E$5))</f>
        <v>7.3348752286942265E-2</v>
      </c>
      <c r="F134" s="3">
        <f>_xll.ICEOptionStrike($B$1,28,"F")</f>
        <v>81</v>
      </c>
      <c r="G134" s="3" t="str">
        <f>_xll.ICEOptionSymbol($B$1,"F","P",$F134)</f>
        <v>EFO 24UP8100-ICN</v>
      </c>
      <c r="H134" s="3">
        <f>_xll.ICEQuote($G134,_xll.ICEFldID(H$5))</f>
        <v>0</v>
      </c>
      <c r="I134" s="3">
        <f>_xll.ICEQuote($G134,_xll.ICEFldID(I$5))</f>
        <v>81</v>
      </c>
      <c r="J134" s="3">
        <f>_xll.ICEQuote($G134,_xll.ICEFldID(J$5))</f>
        <v>0.32086667053049961</v>
      </c>
      <c r="K134" s="3">
        <f>_xll.ICEQuote($G134,_xll.ICEFldID(K$5))</f>
        <v>-0.91466178635218121</v>
      </c>
      <c r="L134" s="4">
        <f>_xll.ICETimeline(_xll.ICEJoinRange(M4:W4),"DF[dow:12345][tl:Calendar]","2020-07-26;2024-07-26",917,-1)</f>
        <v>45322.5</v>
      </c>
      <c r="M134">
        <f>_xll.ICEHistory(M$4,M$5,"DF[dow:12345][tl:Calendar]",$L134)</f>
        <v>63.98</v>
      </c>
      <c r="N134">
        <f>_xll.ICEHistory(M$4,N$5,"DF[dow:12345][tl:Calendar]",$L134)</f>
        <v>65.150000000000006</v>
      </c>
      <c r="O134">
        <f>_xll.ICEHistory(M$4,O$5,"DF[dow:12345][tl:Calendar]",$L134)</f>
        <v>62.94</v>
      </c>
      <c r="P134">
        <f>_xll.ICEHistory(M$4,P$5,"DF[dow:12345][tl:Calendar]",$L134)</f>
        <v>64.400000000000006</v>
      </c>
      <c r="Q134">
        <f>_xll.ICEHistory(M$4,Q$5,"DF[dow:12345][tl:Calendar]",$L134)</f>
        <v>23711</v>
      </c>
      <c r="R134">
        <f>_xll.ICEHistory(M$4,R$5,"DF[dow:12345][tl:Calendar]",$L134)</f>
        <v>272614</v>
      </c>
      <c r="S134">
        <f>_xll.ICEHistory(S$4,S$5,"DF[dow:12345][tl:Calendar]",$L134)</f>
        <v>29.49</v>
      </c>
      <c r="T134">
        <f>_xll.ICEHistory(S$4,T$5,"DF[dow:12345][tl:Calendar]",$L134)</f>
        <v>31.05</v>
      </c>
      <c r="U134">
        <f>_xll.ICEHistory(S$4,U$5,"DF[dow:12345][tl:Calendar]",$L134)</f>
        <v>29.18</v>
      </c>
      <c r="V134">
        <f>_xll.ICEHistory(S$4,V$5,"DF[dow:12345][tl:Calendar]",$L134)</f>
        <v>30.234999999999999</v>
      </c>
      <c r="W134">
        <f>_xll.ICEHistory(S$4,W$5,"DF[dow:12345][tl:Calendar]",$L134)</f>
        <v>204</v>
      </c>
      <c r="X134">
        <f t="shared" si="3"/>
        <v>3.5812672176308666E-2</v>
      </c>
      <c r="Y134">
        <f t="shared" si="4"/>
        <v>7.632202809037307E-2</v>
      </c>
      <c r="Z134">
        <f t="shared" si="5"/>
        <v>-2.8866415851881582E-2</v>
      </c>
    </row>
    <row r="135" spans="1:26" x14ac:dyDescent="0.25">
      <c r="A135" s="3" t="str">
        <f>_xll.ICEOptionSymbol($B$1,"F","C",$F135)</f>
        <v>EFO 24UC8150-ICN</v>
      </c>
      <c r="B135" s="3">
        <f>_xll.ICEQuote($A135,_xll.ICEFldID(B$5))</f>
        <v>0</v>
      </c>
      <c r="C135" s="3">
        <f>_xll.ICEQuote($A135,_xll.ICEFldID(C$5))</f>
        <v>81.5</v>
      </c>
      <c r="D135" s="3">
        <f>_xll.ICEQuote($A135,_xll.ICEFldID(D$5))</f>
        <v>0.30946128348823954</v>
      </c>
      <c r="E135" s="3">
        <f>_xll.ICEQuote($A135,_xll.ICEFldID(E$5))</f>
        <v>6.728938114621251E-2</v>
      </c>
      <c r="F135" s="3">
        <f>_xll.ICEOptionStrike($B$1,29,"F")</f>
        <v>81.5</v>
      </c>
      <c r="G135" s="3" t="str">
        <f>_xll.ICEOptionSymbol($B$1,"F","P",$F135)</f>
        <v>EFO 24UP8150-ICN</v>
      </c>
      <c r="H135" s="3">
        <f>_xll.ICEQuote($G135,_xll.ICEFldID(H$5))</f>
        <v>0</v>
      </c>
      <c r="I135" s="3">
        <f>_xll.ICEQuote($G135,_xll.ICEFldID(I$5))</f>
        <v>81.5</v>
      </c>
      <c r="J135" s="3">
        <f>_xll.ICEQuote($G135,_xll.ICEFldID(J$5))</f>
        <v>0.32268560905342897</v>
      </c>
      <c r="K135" s="3">
        <f>_xll.ICEQuote($G135,_xll.ICEFldID(K$5))</f>
        <v>-0.92021445848570849</v>
      </c>
      <c r="L135" s="4">
        <f>_xll.ICETimeline(_xll.ICEJoinRange(M4:W4),"DF[dow:12345][tl:Calendar]","2020-07-26;2024-07-26",916,-1)</f>
        <v>45321.5</v>
      </c>
      <c r="M135">
        <f>_xll.ICEHistory(M$4,M$5,"DF[dow:12345][tl:Calendar]",$L135)</f>
        <v>61.71</v>
      </c>
      <c r="N135">
        <f>_xll.ICEHistory(M$4,N$5,"DF[dow:12345][tl:Calendar]",$L135)</f>
        <v>64.02</v>
      </c>
      <c r="O135">
        <f>_xll.ICEHistory(M$4,O$5,"DF[dow:12345][tl:Calendar]",$L135)</f>
        <v>61.23</v>
      </c>
      <c r="P135">
        <f>_xll.ICEHistory(M$4,P$5,"DF[dow:12345][tl:Calendar]",$L135)</f>
        <v>64.02</v>
      </c>
      <c r="Q135">
        <f>_xll.ICEHistory(M$4,Q$5,"DF[dow:12345][tl:Calendar]",$L135)</f>
        <v>29131</v>
      </c>
      <c r="R135">
        <f>_xll.ICEHistory(M$4,R$5,"DF[dow:12345][tl:Calendar]",$L135)</f>
        <v>272609</v>
      </c>
      <c r="S135">
        <f>_xll.ICEHistory(S$4,S$5,"DF[dow:12345][tl:Calendar]",$L135)</f>
        <v>28.05</v>
      </c>
      <c r="T135">
        <f>_xll.ICEHistory(S$4,T$5,"DF[dow:12345][tl:Calendar]",$L135)</f>
        <v>29.390999999999998</v>
      </c>
      <c r="U135">
        <f>_xll.ICEHistory(S$4,U$5,"DF[dow:12345][tl:Calendar]",$L135)</f>
        <v>28.05</v>
      </c>
      <c r="V135">
        <f>_xll.ICEHistory(S$4,V$5,"DF[dow:12345][tl:Calendar]",$L135)</f>
        <v>29.390999999999998</v>
      </c>
      <c r="W135">
        <f>_xll.ICEHistory(S$4,W$5,"DF[dow:12345][tl:Calendar]",$L135)</f>
        <v>88</v>
      </c>
      <c r="X135">
        <f t="shared" si="3"/>
        <v>4.386792452830187E-2</v>
      </c>
      <c r="Y135">
        <f t="shared" si="4"/>
        <v>0.66720550900997233</v>
      </c>
      <c r="Z135">
        <f t="shared" si="5"/>
        <v>0.59851189587771125</v>
      </c>
    </row>
    <row r="136" spans="1:26" x14ac:dyDescent="0.25">
      <c r="A136" s="3" t="str">
        <f>_xll.ICEOptionSymbol($B$1,"F","C",$F136)</f>
        <v>EFO 24UC8200-ICN</v>
      </c>
      <c r="B136" s="3">
        <f>_xll.ICEQuote($A136,_xll.ICEFldID(B$5))</f>
        <v>0</v>
      </c>
      <c r="C136" s="3">
        <f>_xll.ICEQuote($A136,_xll.ICEFldID(C$5))</f>
        <v>82</v>
      </c>
      <c r="D136" s="3">
        <f>_xll.ICEQuote($A136,_xll.ICEFldID(D$5))</f>
        <v>0.31091132559667334</v>
      </c>
      <c r="E136" s="3">
        <f>_xll.ICEQuote($A136,_xll.ICEFldID(E$5))</f>
        <v>6.2217551966027781E-2</v>
      </c>
      <c r="F136" s="3">
        <f>_xll.ICEOptionStrike($B$1,30,"F")</f>
        <v>82</v>
      </c>
      <c r="G136" s="3" t="str">
        <f>_xll.ICEOptionSymbol($B$1,"F","P",$F136)</f>
        <v>EFO 24UP8200-ICN</v>
      </c>
      <c r="H136" s="3">
        <f>_xll.ICEQuote($G136,_xll.ICEFldID(H$5))</f>
        <v>0</v>
      </c>
      <c r="I136" s="3">
        <f>_xll.ICEQuote($G136,_xll.ICEFldID(I$5))</f>
        <v>82</v>
      </c>
      <c r="J136" s="3">
        <f>_xll.ICEQuote($G136,_xll.ICEFldID(J$5))</f>
        <v>0.32534155114861929</v>
      </c>
      <c r="K136" s="3">
        <f>_xll.ICEQuote($G136,_xll.ICEFldID(K$5))</f>
        <v>-0.92481904092757783</v>
      </c>
      <c r="L136" s="4">
        <f>_xll.ICETimeline(_xll.ICEJoinRange(M4:W4),"DF[dow:12345][tl:Calendar]","2020-07-26;2024-07-26",915,-1)</f>
        <v>45320.5</v>
      </c>
      <c r="M136">
        <f>_xll.ICEHistory(M$4,M$5,"DF[dow:12345][tl:Calendar]",$L136)</f>
        <v>63.6</v>
      </c>
      <c r="N136">
        <f>_xll.ICEHistory(M$4,N$5,"DF[dow:12345][tl:Calendar]",$L136)</f>
        <v>64.13</v>
      </c>
      <c r="O136">
        <f>_xll.ICEHistory(M$4,O$5,"DF[dow:12345][tl:Calendar]",$L136)</f>
        <v>61.57</v>
      </c>
      <c r="P136">
        <f>_xll.ICEHistory(M$4,P$5,"DF[dow:12345][tl:Calendar]",$L136)</f>
        <v>61.77</v>
      </c>
      <c r="Q136">
        <f>_xll.ICEHistory(M$4,Q$5,"DF[dow:12345][tl:Calendar]",$L136)</f>
        <v>28272</v>
      </c>
      <c r="R136">
        <f>_xll.ICEHistory(M$4,R$5,"DF[dow:12345][tl:Calendar]",$L136)</f>
        <v>269994</v>
      </c>
      <c r="S136">
        <f>_xll.ICEHistory(S$4,S$5,"DF[dow:12345][tl:Calendar]",$L136)</f>
        <v>28.54</v>
      </c>
      <c r="T136">
        <f>_xll.ICEHistory(S$4,T$5,"DF[dow:12345][tl:Calendar]",$L136)</f>
        <v>28.95</v>
      </c>
      <c r="U136">
        <f>_xll.ICEHistory(S$4,U$5,"DF[dow:12345][tl:Calendar]",$L136)</f>
        <v>28.155000000000001</v>
      </c>
      <c r="V136">
        <f>_xll.ICEHistory(S$4,V$5,"DF[dow:12345][tl:Calendar]",$L136)</f>
        <v>28.173999999999999</v>
      </c>
      <c r="W136">
        <f>_xll.ICEHistory(S$4,W$5,"DF[dow:12345][tl:Calendar]",$L136)</f>
        <v>205</v>
      </c>
      <c r="X136">
        <f t="shared" si="3"/>
        <v>4.0538400633412436E-2</v>
      </c>
      <c r="Y136">
        <f t="shared" si="4"/>
        <v>0.45433713571897083</v>
      </c>
      <c r="Z136">
        <f t="shared" si="5"/>
        <v>0.50188050393728811</v>
      </c>
    </row>
    <row r="137" spans="1:26" x14ac:dyDescent="0.25">
      <c r="A137" s="3" t="str">
        <f>_xll.ICEOptionSymbol($B$1,"F","C",$F137)</f>
        <v>EFO 24UC8250-ICN</v>
      </c>
      <c r="B137" s="3">
        <f>_xll.ICEQuote($A137,_xll.ICEFldID(B$5))</f>
        <v>0</v>
      </c>
      <c r="C137" s="3">
        <f>_xll.ICEQuote($A137,_xll.ICEFldID(C$5))</f>
        <v>82.5</v>
      </c>
      <c r="D137" s="3">
        <f>_xll.ICEQuote($A137,_xll.ICEFldID(D$5))</f>
        <v>0.31181805701261311</v>
      </c>
      <c r="E137" s="3">
        <f>_xll.ICEQuote($A137,_xll.ICEFldID(E$5))</f>
        <v>5.718445500245526E-2</v>
      </c>
      <c r="F137" s="3">
        <f>_xll.ICEOptionStrike($B$1,31,"F")</f>
        <v>82.5</v>
      </c>
      <c r="G137" s="3" t="str">
        <f>_xll.ICEOptionSymbol($B$1,"F","P",$F137)</f>
        <v>EFO 24UP8250-ICN</v>
      </c>
      <c r="H137" s="3">
        <f>_xll.ICEQuote($G137,_xll.ICEFldID(H$5))</f>
        <v>0</v>
      </c>
      <c r="I137" s="3">
        <f>_xll.ICEQuote($G137,_xll.ICEFldID(I$5))</f>
        <v>82.5</v>
      </c>
      <c r="J137" s="3">
        <f>_xll.ICEQuote($G137,_xll.ICEFldID(J$5))</f>
        <v>0.32760830410878239</v>
      </c>
      <c r="K137" s="3">
        <f>_xll.ICEQuote($G137,_xll.ICEFldID(K$5))</f>
        <v>-0.92935332794979453</v>
      </c>
      <c r="L137" s="4">
        <f>_xll.ICETimeline(_xll.ICEJoinRange(M4:W4),"DF[dow:12345][tl:Calendar]","2020-07-26;2024-07-26",914,-1)</f>
        <v>45317.5</v>
      </c>
      <c r="M137">
        <f>_xll.ICEHistory(M$4,M$5,"DF[dow:12345][tl:Calendar]",$L137)</f>
        <v>63.15</v>
      </c>
      <c r="N137">
        <f>_xll.ICEHistory(M$4,N$5,"DF[dow:12345][tl:Calendar]",$L137)</f>
        <v>65.150000000000006</v>
      </c>
      <c r="O137">
        <f>_xll.ICEHistory(M$4,O$5,"DF[dow:12345][tl:Calendar]",$L137)</f>
        <v>62</v>
      </c>
      <c r="P137">
        <f>_xll.ICEHistory(M$4,P$5,"DF[dow:12345][tl:Calendar]",$L137)</f>
        <v>63.1</v>
      </c>
      <c r="Q137">
        <f>_xll.ICEHistory(M$4,Q$5,"DF[dow:12345][tl:Calendar]",$L137)</f>
        <v>25932</v>
      </c>
      <c r="R137">
        <f>_xll.ICEHistory(M$4,R$5,"DF[dow:12345][tl:Calendar]",$L137)</f>
        <v>269839</v>
      </c>
      <c r="S137">
        <f>_xll.ICEHistory(S$4,S$5,"DF[dow:12345][tl:Calendar]",$L137)</f>
        <v>27.14</v>
      </c>
      <c r="T137">
        <f>_xll.ICEHistory(S$4,T$5,"DF[dow:12345][tl:Calendar]",$L137)</f>
        <v>28.079000000000001</v>
      </c>
      <c r="U137">
        <f>_xll.ICEHistory(S$4,U$5,"DF[dow:12345][tl:Calendar]",$L137)</f>
        <v>26.84</v>
      </c>
      <c r="V137">
        <f>_xll.ICEHistory(S$4,V$5,"DF[dow:12345][tl:Calendar]",$L137)</f>
        <v>28.079000000000001</v>
      </c>
      <c r="W137">
        <f>_xll.ICEHistory(S$4,W$5,"DF[dow:12345][tl:Calendar]",$L137)</f>
        <v>62</v>
      </c>
      <c r="X137">
        <f t="shared" ref="X137:X200" si="6">IFERROR((N137-O137)/M138, "")</f>
        <v>4.76190476190477E-2</v>
      </c>
      <c r="Y137">
        <f t="shared" ref="Y137:Y200" si="7">IFERROR((X137-AVERAGE(X137:X201))/_xlfn.STDEV.S(X137:X201),"")</f>
        <v>0.96876962480708917</v>
      </c>
      <c r="Z137">
        <f t="shared" ref="Z137:Z200" si="8">IFERROR((Q137-AVERAGE(Q137:Q202))/_xlfn.STDEV.S(Q137:Q202),"")</f>
        <v>0.24598833065244785</v>
      </c>
    </row>
    <row r="138" spans="1:26" x14ac:dyDescent="0.25">
      <c r="A138" s="3" t="str">
        <f>_xll.ICEOptionSymbol($B$1,"F","C",$F138)</f>
        <v>EFO 24UC8300-ICN</v>
      </c>
      <c r="B138" s="3">
        <f>_xll.ICEQuote($A138,_xll.ICEFldID(B$5))</f>
        <v>0</v>
      </c>
      <c r="C138" s="3">
        <f>_xll.ICEQuote($A138,_xll.ICEFldID(C$5))</f>
        <v>83</v>
      </c>
      <c r="D138" s="3">
        <f>_xll.ICEQuote($A138,_xll.ICEFldID(D$5))</f>
        <v>0.31380814014569003</v>
      </c>
      <c r="E138" s="3">
        <f>_xll.ICEQuote($A138,_xll.ICEFldID(E$5))</f>
        <v>5.3184554036552825E-2</v>
      </c>
      <c r="F138" s="3">
        <f>_xll.ICEOptionStrike($B$1,32,"F")</f>
        <v>83</v>
      </c>
      <c r="G138" s="3" t="str">
        <f>_xll.ICEOptionSymbol($B$1,"F","P",$F138)</f>
        <v>EFO 24UP8300-ICN</v>
      </c>
      <c r="H138" s="3">
        <f>_xll.ICEQuote($G138,_xll.ICEFldID(H$5))</f>
        <v>0</v>
      </c>
      <c r="I138" s="3">
        <f>_xll.ICEQuote($G138,_xll.ICEFldID(I$5))</f>
        <v>83</v>
      </c>
      <c r="J138" s="3">
        <f>_xll.ICEQuote($G138,_xll.ICEFldID(J$5))</f>
        <v>0.33092396925764389</v>
      </c>
      <c r="K138" s="3">
        <f>_xll.ICEQuote($G138,_xll.ICEFldID(K$5))</f>
        <v>-0.93291588257515623</v>
      </c>
      <c r="L138" s="4">
        <f>_xll.ICETimeline(_xll.ICEJoinRange(M4:W4),"DF[dow:12345][tl:Calendar]","2020-07-26;2024-07-26",913,-1)</f>
        <v>45316.5</v>
      </c>
      <c r="M138">
        <f>_xll.ICEHistory(M$4,M$5,"DF[dow:12345][tl:Calendar]",$L138)</f>
        <v>66.150000000000006</v>
      </c>
      <c r="N138">
        <f>_xll.ICEHistory(M$4,N$5,"DF[dow:12345][tl:Calendar]",$L138)</f>
        <v>66.430000000000007</v>
      </c>
      <c r="O138">
        <f>_xll.ICEHistory(M$4,O$5,"DF[dow:12345][tl:Calendar]",$L138)</f>
        <v>62.88</v>
      </c>
      <c r="P138">
        <f>_xll.ICEHistory(M$4,P$5,"DF[dow:12345][tl:Calendar]",$L138)</f>
        <v>63.41</v>
      </c>
      <c r="Q138">
        <f>_xll.ICEHistory(M$4,Q$5,"DF[dow:12345][tl:Calendar]",$L138)</f>
        <v>31173</v>
      </c>
      <c r="R138">
        <f>_xll.ICEHistory(M$4,R$5,"DF[dow:12345][tl:Calendar]",$L138)</f>
        <v>268418</v>
      </c>
      <c r="S138">
        <f>_xll.ICEHistory(S$4,S$5,"DF[dow:12345][tl:Calendar]",$L138)</f>
        <v>28.8</v>
      </c>
      <c r="T138">
        <f>_xll.ICEHistory(S$4,T$5,"DF[dow:12345][tl:Calendar]",$L138)</f>
        <v>29.215</v>
      </c>
      <c r="U138">
        <f>_xll.ICEHistory(S$4,U$5,"DF[dow:12345][tl:Calendar]",$L138)</f>
        <v>27.484999999999999</v>
      </c>
      <c r="V138">
        <f>_xll.ICEHistory(S$4,V$5,"DF[dow:12345][tl:Calendar]",$L138)</f>
        <v>27.783999999999999</v>
      </c>
      <c r="W138">
        <f>_xll.ICEHistory(S$4,W$5,"DF[dow:12345][tl:Calendar]",$L138)</f>
        <v>123</v>
      </c>
      <c r="X138">
        <f t="shared" si="6"/>
        <v>5.602904040404047E-2</v>
      </c>
      <c r="Y138">
        <f t="shared" si="7"/>
        <v>1.5908308749613826</v>
      </c>
      <c r="Z138">
        <f t="shared" si="8"/>
        <v>0.86321480043244259</v>
      </c>
    </row>
    <row r="139" spans="1:26" x14ac:dyDescent="0.25">
      <c r="A139" s="3" t="str">
        <f>_xll.ICEOptionSymbol($B$1,"F","C",$F139)</f>
        <v>EFO 24UC8350-ICN</v>
      </c>
      <c r="B139" s="3">
        <f>_xll.ICEQuote($A139,_xll.ICEFldID(B$5))</f>
        <v>0</v>
      </c>
      <c r="C139" s="3">
        <f>_xll.ICEQuote($A139,_xll.ICEFldID(C$5))</f>
        <v>83.5</v>
      </c>
      <c r="D139" s="3">
        <f>_xll.ICEQuote($A139,_xll.ICEFldID(D$5))</f>
        <v>0.31355632501388486</v>
      </c>
      <c r="E139" s="3">
        <f>_xll.ICEQuote($A139,_xll.ICEFldID(E$5))</f>
        <v>4.8199079145609232E-2</v>
      </c>
      <c r="F139" s="3">
        <f>_xll.ICEOptionStrike($B$1,33,"F")</f>
        <v>83.5</v>
      </c>
      <c r="G139" s="3" t="str">
        <f>_xll.ICEOptionSymbol($B$1,"F","P",$F139)</f>
        <v>EFO 24UP8350-ICN</v>
      </c>
      <c r="H139" s="3">
        <f>_xll.ICEQuote($G139,_xll.ICEFldID(H$5))</f>
        <v>0</v>
      </c>
      <c r="I139" s="3">
        <f>_xll.ICEQuote($G139,_xll.ICEFldID(I$5))</f>
        <v>83.5</v>
      </c>
      <c r="J139" s="3">
        <f>_xll.ICEQuote($G139,_xll.ICEFldID(J$5))</f>
        <v>0.33241279921441141</v>
      </c>
      <c r="K139" s="3">
        <f>_xll.ICEQuote($G139,_xll.ICEFldID(K$5))</f>
        <v>-0.93733175126178991</v>
      </c>
      <c r="L139" s="4">
        <f>_xll.ICETimeline(_xll.ICEJoinRange(M4:W4),"DF[dow:12345][tl:Calendar]","2020-07-26;2024-07-26",912,-1)</f>
        <v>45315.5</v>
      </c>
      <c r="M139">
        <f>_xll.ICEHistory(M$4,M$5,"DF[dow:12345][tl:Calendar]",$L139)</f>
        <v>63.36</v>
      </c>
      <c r="N139">
        <f>_xll.ICEHistory(M$4,N$5,"DF[dow:12345][tl:Calendar]",$L139)</f>
        <v>66.11</v>
      </c>
      <c r="O139">
        <f>_xll.ICEHistory(M$4,O$5,"DF[dow:12345][tl:Calendar]",$L139)</f>
        <v>63.11</v>
      </c>
      <c r="P139">
        <f>_xll.ICEHistory(M$4,P$5,"DF[dow:12345][tl:Calendar]",$L139)</f>
        <v>65.8</v>
      </c>
      <c r="Q139">
        <f>_xll.ICEHistory(M$4,Q$5,"DF[dow:12345][tl:Calendar]",$L139)</f>
        <v>26517</v>
      </c>
      <c r="R139">
        <f>_xll.ICEHistory(M$4,R$5,"DF[dow:12345][tl:Calendar]",$L139)</f>
        <v>263929</v>
      </c>
      <c r="S139">
        <f>_xll.ICEHistory(S$4,S$5,"DF[dow:12345][tl:Calendar]",$L139)</f>
        <v>27.454999999999998</v>
      </c>
      <c r="T139">
        <f>_xll.ICEHistory(S$4,T$5,"DF[dow:12345][tl:Calendar]",$L139)</f>
        <v>29.13</v>
      </c>
      <c r="U139">
        <f>_xll.ICEHistory(S$4,U$5,"DF[dow:12345][tl:Calendar]",$L139)</f>
        <v>27.445</v>
      </c>
      <c r="V139">
        <f>_xll.ICEHistory(S$4,V$5,"DF[dow:12345][tl:Calendar]",$L139)</f>
        <v>28.928999999999998</v>
      </c>
      <c r="W139">
        <f>_xll.ICEHistory(S$4,W$5,"DF[dow:12345][tl:Calendar]",$L139)</f>
        <v>629</v>
      </c>
      <c r="X139">
        <f t="shared" si="6"/>
        <v>4.8301400740621475E-2</v>
      </c>
      <c r="Y139">
        <f t="shared" si="7"/>
        <v>1.0989037190684949</v>
      </c>
      <c r="Z139">
        <f t="shared" si="8"/>
        <v>0.33736444937539412</v>
      </c>
    </row>
    <row r="140" spans="1:26" x14ac:dyDescent="0.25">
      <c r="A140" s="3" t="str">
        <f>_xll.ICEOptionSymbol($B$1,"F","C",$F140)</f>
        <v>EFO 24UC8400-ICN</v>
      </c>
      <c r="B140" s="3">
        <f>_xll.ICEQuote($A140,_xll.ICEFldID(B$5))</f>
        <v>0</v>
      </c>
      <c r="C140" s="3">
        <f>_xll.ICEQuote($A140,_xll.ICEFldID(C$5))</f>
        <v>84</v>
      </c>
      <c r="D140" s="3">
        <f>_xll.ICEQuote($A140,_xll.ICEFldID(D$5))</f>
        <v>0.31449087596329744</v>
      </c>
      <c r="E140" s="3">
        <f>_xll.ICEQuote($A140,_xll.ICEFldID(E$5))</f>
        <v>4.4257370430314823E-2</v>
      </c>
      <c r="F140" s="3">
        <f>_xll.ICEOptionStrike($B$1,34,"F")</f>
        <v>84</v>
      </c>
      <c r="G140" s="3" t="str">
        <f>_xll.ICEOptionSymbol($B$1,"F","P",$F140)</f>
        <v>EFO 24UP8400-ICN</v>
      </c>
      <c r="H140" s="3">
        <f>_xll.ICEQuote($G140,_xll.ICEFldID(H$5))</f>
        <v>0</v>
      </c>
      <c r="I140" s="3">
        <f>_xll.ICEQuote($G140,_xll.ICEFldID(I$5))</f>
        <v>84</v>
      </c>
      <c r="J140" s="3">
        <f>_xll.ICEQuote($G140,_xll.ICEFldID(J$5))</f>
        <v>0.33504958651397565</v>
      </c>
      <c r="K140" s="3">
        <f>_xll.ICEQuote($G140,_xll.ICEFldID(K$5))</f>
        <v>-0.94077374504905931</v>
      </c>
      <c r="L140" s="4">
        <f>_xll.ICETimeline(_xll.ICEJoinRange(M4:W4),"DF[dow:12345][tl:Calendar]","2020-07-26;2024-07-26",911,-1)</f>
        <v>45314.5</v>
      </c>
      <c r="M140">
        <f>_xll.ICEHistory(M$4,M$5,"DF[dow:12345][tl:Calendar]",$L140)</f>
        <v>62.11</v>
      </c>
      <c r="N140">
        <f>_xll.ICEHistory(M$4,N$5,"DF[dow:12345][tl:Calendar]",$L140)</f>
        <v>63.8</v>
      </c>
      <c r="O140">
        <f>_xll.ICEHistory(M$4,O$5,"DF[dow:12345][tl:Calendar]",$L140)</f>
        <v>61.6</v>
      </c>
      <c r="P140">
        <f>_xll.ICEHistory(M$4,P$5,"DF[dow:12345][tl:Calendar]",$L140)</f>
        <v>63.27</v>
      </c>
      <c r="Q140">
        <f>_xll.ICEHistory(M$4,Q$5,"DF[dow:12345][tl:Calendar]",$L140)</f>
        <v>24438</v>
      </c>
      <c r="R140">
        <f>_xll.ICEHistory(M$4,R$5,"DF[dow:12345][tl:Calendar]",$L140)</f>
        <v>264950</v>
      </c>
      <c r="S140">
        <f>_xll.ICEHistory(S$4,S$5,"DF[dow:12345][tl:Calendar]",$L140)</f>
        <v>27.375</v>
      </c>
      <c r="T140">
        <f>_xll.ICEHistory(S$4,T$5,"DF[dow:12345][tl:Calendar]",$L140)</f>
        <v>27.78</v>
      </c>
      <c r="U140">
        <f>_xll.ICEHistory(S$4,U$5,"DF[dow:12345][tl:Calendar]",$L140)</f>
        <v>26.725000000000001</v>
      </c>
      <c r="V140">
        <f>_xll.ICEHistory(S$4,V$5,"DF[dow:12345][tl:Calendar]",$L140)</f>
        <v>27.227</v>
      </c>
      <c r="W140">
        <f>_xll.ICEHistory(S$4,W$5,"DF[dow:12345][tl:Calendar]",$L140)</f>
        <v>921</v>
      </c>
      <c r="X140">
        <f t="shared" si="6"/>
        <v>3.4837688044338809E-2</v>
      </c>
      <c r="Y140">
        <f t="shared" si="7"/>
        <v>0.17593198049131292</v>
      </c>
      <c r="Z140">
        <f t="shared" si="8"/>
        <v>0.10518903705135139</v>
      </c>
    </row>
    <row r="141" spans="1:26" x14ac:dyDescent="0.25">
      <c r="A141" s="3" t="str">
        <f>_xll.ICEOptionSymbol($B$1,"F","C",$F141)</f>
        <v>EFO 24UC8450-ICN</v>
      </c>
      <c r="B141" s="3">
        <f>_xll.ICEQuote($A141,_xll.ICEFldID(B$5))</f>
        <v>0</v>
      </c>
      <c r="C141" s="3">
        <f>_xll.ICEQuote($A141,_xll.ICEFldID(C$5))</f>
        <v>84.5</v>
      </c>
      <c r="D141" s="3">
        <f>_xll.ICEQuote($A141,_xll.ICEFldID(D$5))</f>
        <v>0.31693196474767799</v>
      </c>
      <c r="E141" s="3">
        <f>_xll.ICEQuote($A141,_xll.ICEFldID(E$5))</f>
        <v>4.1406699611585142E-2</v>
      </c>
      <c r="F141" s="3">
        <f>_xll.ICEOptionStrike($B$1,35,"F")</f>
        <v>84.5</v>
      </c>
      <c r="G141" s="3" t="str">
        <f>_xll.ICEOptionSymbol($B$1,"F","P",$F141)</f>
        <v>EFO 24UP8450-ICN</v>
      </c>
      <c r="H141" s="3">
        <f>_xll.ICEQuote($G141,_xll.ICEFldID(H$5))</f>
        <v>0</v>
      </c>
      <c r="I141" s="3">
        <f>_xll.ICEQuote($G141,_xll.ICEFldID(I$5))</f>
        <v>84.5</v>
      </c>
      <c r="J141" s="3">
        <f>_xll.ICEQuote($G141,_xll.ICEFldID(J$5))</f>
        <v>0.33903643584179743</v>
      </c>
      <c r="K141" s="3">
        <f>_xll.ICEQuote($G141,_xll.ICEFldID(K$5))</f>
        <v>-0.94322219437029853</v>
      </c>
      <c r="L141" s="4">
        <f>_xll.ICETimeline(_xll.ICEJoinRange(M4:W4),"DF[dow:12345][tl:Calendar]","2020-07-26;2024-07-26",910,-1)</f>
        <v>45313.5</v>
      </c>
      <c r="M141">
        <f>_xll.ICEHistory(M$4,M$5,"DF[dow:12345][tl:Calendar]",$L141)</f>
        <v>63.15</v>
      </c>
      <c r="N141">
        <f>_xll.ICEHistory(M$4,N$5,"DF[dow:12345][tl:Calendar]",$L141)</f>
        <v>63.15</v>
      </c>
      <c r="O141">
        <f>_xll.ICEHistory(M$4,O$5,"DF[dow:12345][tl:Calendar]",$L141)</f>
        <v>60.86</v>
      </c>
      <c r="P141">
        <f>_xll.ICEHistory(M$4,P$5,"DF[dow:12345][tl:Calendar]",$L141)</f>
        <v>62.41</v>
      </c>
      <c r="Q141">
        <f>_xll.ICEHistory(M$4,Q$5,"DF[dow:12345][tl:Calendar]",$L141)</f>
        <v>25424</v>
      </c>
      <c r="R141">
        <f>_xll.ICEHistory(M$4,R$5,"DF[dow:12345][tl:Calendar]",$L141)</f>
        <v>265672</v>
      </c>
      <c r="S141">
        <f>_xll.ICEHistory(S$4,S$5,"DF[dow:12345][tl:Calendar]",$L141)</f>
        <v>27.105</v>
      </c>
      <c r="T141">
        <f>_xll.ICEHistory(S$4,T$5,"DF[dow:12345][tl:Calendar]",$L141)</f>
        <v>27.8</v>
      </c>
      <c r="U141">
        <f>_xll.ICEHistory(S$4,U$5,"DF[dow:12345][tl:Calendar]",$L141)</f>
        <v>26.754999999999999</v>
      </c>
      <c r="V141">
        <f>_xll.ICEHistory(S$4,V$5,"DF[dow:12345][tl:Calendar]",$L141)</f>
        <v>27.263999999999999</v>
      </c>
      <c r="W141">
        <f>_xll.ICEHistory(S$4,W$5,"DF[dow:12345][tl:Calendar]",$L141)</f>
        <v>349</v>
      </c>
      <c r="X141">
        <f t="shared" si="6"/>
        <v>3.6136973331229276E-2</v>
      </c>
      <c r="Y141">
        <f t="shared" si="7"/>
        <v>0.28746399900083813</v>
      </c>
      <c r="Z141">
        <f t="shared" si="8"/>
        <v>0.22679199372704512</v>
      </c>
    </row>
    <row r="142" spans="1:26" x14ac:dyDescent="0.25">
      <c r="A142" s="3" t="str">
        <f>_xll.ICEOptionSymbol($B$1,"F","C",$F142)</f>
        <v>EFO 24UC8500-ICN</v>
      </c>
      <c r="B142" s="3">
        <f>_xll.ICEQuote($A142,_xll.ICEFldID(B$5))</f>
        <v>4625</v>
      </c>
      <c r="C142" s="3">
        <f>_xll.ICEQuote($A142,_xll.ICEFldID(C$5))</f>
        <v>85</v>
      </c>
      <c r="D142" s="3">
        <f>_xll.ICEQuote($A142,_xll.ICEFldID(D$5))</f>
        <v>0.31683044810936045</v>
      </c>
      <c r="E142" s="3">
        <f>_xll.ICEQuote($A142,_xll.ICEFldID(E$5))</f>
        <v>3.7510207169800289E-2</v>
      </c>
      <c r="F142" s="3">
        <f>_xll.ICEOptionStrike($B$1,36,"F")</f>
        <v>85</v>
      </c>
      <c r="G142" s="3" t="str">
        <f>_xll.ICEOptionSymbol($B$1,"F","P",$F142)</f>
        <v>EFO 24UP8500-ICN</v>
      </c>
      <c r="H142" s="3">
        <f>_xll.ICEQuote($G142,_xll.ICEFldID(H$5))</f>
        <v>0</v>
      </c>
      <c r="I142" s="3">
        <f>_xll.ICEQuote($G142,_xll.ICEFldID(I$5))</f>
        <v>85</v>
      </c>
      <c r="J142" s="3">
        <f>_xll.ICEQuote($G142,_xll.ICEFldID(J$5))</f>
        <v>0.34107255171159584</v>
      </c>
      <c r="K142" s="3">
        <f>_xll.ICEQuote($G142,_xll.ICEFldID(K$5))</f>
        <v>-0.94655791136845291</v>
      </c>
      <c r="L142" s="4">
        <f>_xll.ICETimeline(_xll.ICEJoinRange(M4:W4),"DF[dow:12345][tl:Calendar]","2020-07-26;2024-07-26",909,-1)</f>
        <v>45310.5</v>
      </c>
      <c r="M142">
        <f>_xll.ICEHistory(M$4,M$5,"DF[dow:12345][tl:Calendar]",$L142)</f>
        <v>63.37</v>
      </c>
      <c r="N142">
        <f>_xll.ICEHistory(M$4,N$5,"DF[dow:12345][tl:Calendar]",$L142)</f>
        <v>64.349999999999994</v>
      </c>
      <c r="O142">
        <f>_xll.ICEHistory(M$4,O$5,"DF[dow:12345][tl:Calendar]",$L142)</f>
        <v>62.93</v>
      </c>
      <c r="P142">
        <f>_xll.ICEHistory(M$4,P$5,"DF[dow:12345][tl:Calendar]",$L142)</f>
        <v>63.42</v>
      </c>
      <c r="Q142">
        <f>_xll.ICEHistory(M$4,Q$5,"DF[dow:12345][tl:Calendar]",$L142)</f>
        <v>20192</v>
      </c>
      <c r="R142">
        <f>_xll.ICEHistory(M$4,R$5,"DF[dow:12345][tl:Calendar]",$L142)</f>
        <v>264703</v>
      </c>
      <c r="S142">
        <f>_xll.ICEHistory(S$4,S$5,"DF[dow:12345][tl:Calendar]",$L142)</f>
        <v>28.6</v>
      </c>
      <c r="T142">
        <f>_xll.ICEHistory(S$4,T$5,"DF[dow:12345][tl:Calendar]",$L142)</f>
        <v>29.13</v>
      </c>
      <c r="U142">
        <f>_xll.ICEHistory(S$4,U$5,"DF[dow:12345][tl:Calendar]",$L142)</f>
        <v>28.175000000000001</v>
      </c>
      <c r="V142">
        <f>_xll.ICEHistory(S$4,V$5,"DF[dow:12345][tl:Calendar]",$L142)</f>
        <v>28.428999999999998</v>
      </c>
      <c r="W142">
        <f>_xll.ICEHistory(S$4,W$5,"DF[dow:12345][tl:Calendar]",$L142)</f>
        <v>290</v>
      </c>
      <c r="X142">
        <f t="shared" si="6"/>
        <v>2.2500396133734665E-2</v>
      </c>
      <c r="Y142">
        <f t="shared" si="7"/>
        <v>-0.64455227770625123</v>
      </c>
      <c r="Z142">
        <f t="shared" si="8"/>
        <v>-0.3750783488405105</v>
      </c>
    </row>
    <row r="143" spans="1:26" x14ac:dyDescent="0.25">
      <c r="A143" s="3" t="str">
        <f>_xll.ICEOptionSymbol($B$1,"F","C",$F143)</f>
        <v>EFO 24UC8550-ICN</v>
      </c>
      <c r="B143" s="3">
        <f>_xll.ICEQuote($A143,_xll.ICEFldID(B$5))</f>
        <v>0</v>
      </c>
      <c r="C143" s="3">
        <f>_xll.ICEQuote($A143,_xll.ICEFldID(C$5))</f>
        <v>85.5</v>
      </c>
      <c r="D143" s="3">
        <f>_xll.ICEQuote($A143,_xll.ICEFldID(D$5))</f>
        <v>0.31840871358962947</v>
      </c>
      <c r="E143" s="3">
        <f>_xll.ICEQuote($A143,_xll.ICEFldID(E$5))</f>
        <v>3.4720061917455199E-2</v>
      </c>
      <c r="F143" s="3">
        <f>_xll.ICEOptionStrike($B$1,37,"F")</f>
        <v>85.5</v>
      </c>
      <c r="G143" s="3" t="str">
        <f>_xll.ICEOptionSymbol($B$1,"F","P",$F143)</f>
        <v>EFO 24UP8550-ICN</v>
      </c>
      <c r="H143" s="3">
        <f>_xll.ICEQuote($G143,_xll.ICEFldID(H$5))</f>
        <v>0</v>
      </c>
      <c r="I143" s="3">
        <f>_xll.ICEQuote($G143,_xll.ICEFldID(I$5))</f>
        <v>85.5</v>
      </c>
      <c r="J143" s="3">
        <f>_xll.ICEQuote($G143,_xll.ICEFldID(J$5))</f>
        <v>0.34458034103204466</v>
      </c>
      <c r="K143" s="3">
        <f>_xll.ICEQuote($G143,_xll.ICEFldID(K$5))</f>
        <v>-0.94889953102482028</v>
      </c>
      <c r="L143" s="4">
        <f>_xll.ICETimeline(_xll.ICEJoinRange(M4:W4),"DF[dow:12345][tl:Calendar]","2020-07-26;2024-07-26",908,-1)</f>
        <v>45309.5</v>
      </c>
      <c r="M143">
        <f>_xll.ICEHistory(M$4,M$5,"DF[dow:12345][tl:Calendar]",$L143)</f>
        <v>63.11</v>
      </c>
      <c r="N143">
        <f>_xll.ICEHistory(M$4,N$5,"DF[dow:12345][tl:Calendar]",$L143)</f>
        <v>64.13</v>
      </c>
      <c r="O143">
        <f>_xll.ICEHistory(M$4,O$5,"DF[dow:12345][tl:Calendar]",$L143)</f>
        <v>62.46</v>
      </c>
      <c r="P143">
        <f>_xll.ICEHistory(M$4,P$5,"DF[dow:12345][tl:Calendar]",$L143)</f>
        <v>63.28</v>
      </c>
      <c r="Q143">
        <f>_xll.ICEHistory(M$4,Q$5,"DF[dow:12345][tl:Calendar]",$L143)</f>
        <v>22370</v>
      </c>
      <c r="R143">
        <f>_xll.ICEHistory(M$4,R$5,"DF[dow:12345][tl:Calendar]",$L143)</f>
        <v>263531</v>
      </c>
      <c r="S143">
        <f>_xll.ICEHistory(S$4,S$5,"DF[dow:12345][tl:Calendar]",$L143)</f>
        <v>27.675000000000001</v>
      </c>
      <c r="T143">
        <f>_xll.ICEHistory(S$4,T$5,"DF[dow:12345][tl:Calendar]",$L143)</f>
        <v>28.704999999999998</v>
      </c>
      <c r="U143">
        <f>_xll.ICEHistory(S$4,U$5,"DF[dow:12345][tl:Calendar]",$L143)</f>
        <v>27.55</v>
      </c>
      <c r="V143">
        <f>_xll.ICEHistory(S$4,V$5,"DF[dow:12345][tl:Calendar]",$L143)</f>
        <v>27.893000000000001</v>
      </c>
      <c r="W143">
        <f>_xll.ICEHistory(S$4,W$5,"DF[dow:12345][tl:Calendar]",$L143)</f>
        <v>381</v>
      </c>
      <c r="X143">
        <f t="shared" si="6"/>
        <v>2.5539073252790864E-2</v>
      </c>
      <c r="Y143">
        <f t="shared" si="7"/>
        <v>-0.42620660005788447</v>
      </c>
      <c r="Z143">
        <f t="shared" si="8"/>
        <v>-0.11950854119723302</v>
      </c>
    </row>
    <row r="144" spans="1:26" x14ac:dyDescent="0.25">
      <c r="A144" s="3" t="str">
        <f>_xll.ICEOptionSymbol($B$1,"F","C",$F144)</f>
        <v>EFO 24UC8600-ICN</v>
      </c>
      <c r="B144" s="3">
        <f>_xll.ICEQuote($A144,_xll.ICEFldID(B$5))</f>
        <v>0</v>
      </c>
      <c r="C144" s="3">
        <f>_xll.ICEQuote($A144,_xll.ICEFldID(C$5))</f>
        <v>86</v>
      </c>
      <c r="D144" s="3">
        <f>_xll.ICEQuote($A144,_xll.ICEFldID(D$5))</f>
        <v>0.31955439696970994</v>
      </c>
      <c r="E144" s="3">
        <f>_xll.ICEQuote($A144,_xll.ICEFldID(E$5))</f>
        <v>3.1953964737409329E-2</v>
      </c>
      <c r="F144" s="3">
        <f>_xll.ICEOptionStrike($B$1,38,"F")</f>
        <v>86</v>
      </c>
      <c r="G144" s="3" t="str">
        <f>_xll.ICEOptionSymbol($B$1,"F","P",$F144)</f>
        <v>EFO 24UP8600-ICN</v>
      </c>
      <c r="H144" s="3">
        <f>_xll.ICEQuote($G144,_xll.ICEFldID(H$5))</f>
        <v>0</v>
      </c>
      <c r="I144" s="3">
        <f>_xll.ICEQuote($G144,_xll.ICEFldID(I$5))</f>
        <v>86</v>
      </c>
      <c r="J144" s="3">
        <f>_xll.ICEQuote($G144,_xll.ICEFldID(J$5))</f>
        <v>0.34786914394931617</v>
      </c>
      <c r="K144" s="3">
        <f>_xll.ICEQuote($G144,_xll.ICEFldID(K$5))</f>
        <v>-0.95119402489119498</v>
      </c>
      <c r="L144" s="4">
        <f>_xll.ICETimeline(_xll.ICEJoinRange(M4:W4),"DF[dow:12345][tl:Calendar]","2020-07-26;2024-07-26",907,-1)</f>
        <v>45308.5</v>
      </c>
      <c r="M144">
        <f>_xll.ICEHistory(M$4,M$5,"DF[dow:12345][tl:Calendar]",$L144)</f>
        <v>65.39</v>
      </c>
      <c r="N144">
        <f>_xll.ICEHistory(M$4,N$5,"DF[dow:12345][tl:Calendar]",$L144)</f>
        <v>66.12</v>
      </c>
      <c r="O144">
        <f>_xll.ICEHistory(M$4,O$5,"DF[dow:12345][tl:Calendar]",$L144)</f>
        <v>62.86</v>
      </c>
      <c r="P144">
        <f>_xll.ICEHistory(M$4,P$5,"DF[dow:12345][tl:Calendar]",$L144)</f>
        <v>63.31</v>
      </c>
      <c r="Q144">
        <f>_xll.ICEHistory(M$4,Q$5,"DF[dow:12345][tl:Calendar]",$L144)</f>
        <v>29878</v>
      </c>
      <c r="R144">
        <f>_xll.ICEHistory(M$4,R$5,"DF[dow:12345][tl:Calendar]",$L144)</f>
        <v>261762</v>
      </c>
      <c r="S144">
        <f>_xll.ICEHistory(S$4,S$5,"DF[dow:12345][tl:Calendar]",$L144)</f>
        <v>29.135000000000002</v>
      </c>
      <c r="T144">
        <f>_xll.ICEHistory(S$4,T$5,"DF[dow:12345][tl:Calendar]",$L144)</f>
        <v>29.6</v>
      </c>
      <c r="U144">
        <f>_xll.ICEHistory(S$4,U$5,"DF[dow:12345][tl:Calendar]",$L144)</f>
        <v>27.44</v>
      </c>
      <c r="V144">
        <f>_xll.ICEHistory(S$4,V$5,"DF[dow:12345][tl:Calendar]",$L144)</f>
        <v>27.707999999999998</v>
      </c>
      <c r="W144">
        <f>_xll.ICEHistory(S$4,W$5,"DF[dow:12345][tl:Calendar]",$L144)</f>
        <v>218</v>
      </c>
      <c r="X144">
        <f t="shared" si="6"/>
        <v>4.8671245147805388E-2</v>
      </c>
      <c r="Y144">
        <f t="shared" si="7"/>
        <v>1.1799223164958828</v>
      </c>
      <c r="Z144">
        <f t="shared" si="8"/>
        <v>0.75870145284375612</v>
      </c>
    </row>
    <row r="145" spans="1:26" x14ac:dyDescent="0.25">
      <c r="A145" s="3" t="str">
        <f>_xll.ICEOptionSymbol($B$1,"F","C",$F145)</f>
        <v>EFO 24UC8650-ICN</v>
      </c>
      <c r="B145" s="3">
        <f>_xll.ICEQuote($A145,_xll.ICEFldID(B$5))</f>
        <v>0</v>
      </c>
      <c r="C145" s="3">
        <f>_xll.ICEQuote($A145,_xll.ICEFldID(C$5))</f>
        <v>86.5</v>
      </c>
      <c r="D145" s="3">
        <f>_xll.ICEQuote($A145,_xll.ICEFldID(D$5))</f>
        <v>0.32021576789209943</v>
      </c>
      <c r="E145" s="3">
        <f>_xll.ICEQuote($A145,_xll.ICEFldID(E$5))</f>
        <v>2.9203653601019196E-2</v>
      </c>
      <c r="F145" s="3">
        <f>_xll.ICEOptionStrike($B$1,39,"F")</f>
        <v>86.5</v>
      </c>
      <c r="G145" s="3" t="str">
        <f>_xll.ICEOptionSymbol($B$1,"F","P",$F145)</f>
        <v>EFO 24UP8650-ICN</v>
      </c>
      <c r="H145" s="3">
        <f>_xll.ICEQuote($G145,_xll.ICEFldID(H$5))</f>
        <v>0</v>
      </c>
      <c r="I145" s="3">
        <f>_xll.ICEQuote($G145,_xll.ICEFldID(I$5))</f>
        <v>86.5</v>
      </c>
      <c r="J145" s="3">
        <f>_xll.ICEQuote($G145,_xll.ICEFldID(J$5))</f>
        <v>0.35093119642820086</v>
      </c>
      <c r="K145" s="3">
        <f>_xll.ICEQuote($G145,_xll.ICEFldID(K$5))</f>
        <v>-0.95344587175872764</v>
      </c>
      <c r="L145" s="4">
        <f>_xll.ICETimeline(_xll.ICEJoinRange(M4:W4),"DF[dow:12345][tl:Calendar]","2020-07-26;2024-07-26",906,-1)</f>
        <v>45307.5</v>
      </c>
      <c r="M145">
        <f>_xll.ICEHistory(M$4,M$5,"DF[dow:12345][tl:Calendar]",$L145)</f>
        <v>66.98</v>
      </c>
      <c r="N145">
        <f>_xll.ICEHistory(M$4,N$5,"DF[dow:12345][tl:Calendar]",$L145)</f>
        <v>67.400000000000006</v>
      </c>
      <c r="O145">
        <f>_xll.ICEHistory(M$4,O$5,"DF[dow:12345][tl:Calendar]",$L145)</f>
        <v>65.02</v>
      </c>
      <c r="P145">
        <f>_xll.ICEHistory(M$4,P$5,"DF[dow:12345][tl:Calendar]",$L145)</f>
        <v>65.489999999999995</v>
      </c>
      <c r="Q145">
        <f>_xll.ICEHistory(M$4,Q$5,"DF[dow:12345][tl:Calendar]",$L145)</f>
        <v>26136</v>
      </c>
      <c r="R145">
        <f>_xll.ICEHistory(M$4,R$5,"DF[dow:12345][tl:Calendar]",$L145)</f>
        <v>260611</v>
      </c>
      <c r="S145">
        <f>_xll.ICEHistory(S$4,S$5,"DF[dow:12345][tl:Calendar]",$L145)</f>
        <v>31.31</v>
      </c>
      <c r="T145">
        <f>_xll.ICEHistory(S$4,T$5,"DF[dow:12345][tl:Calendar]",$L145)</f>
        <v>31.535</v>
      </c>
      <c r="U145">
        <f>_xll.ICEHistory(S$4,U$5,"DF[dow:12345][tl:Calendar]",$L145)</f>
        <v>29.32</v>
      </c>
      <c r="V145">
        <f>_xll.ICEHistory(S$4,V$5,"DF[dow:12345][tl:Calendar]",$L145)</f>
        <v>29.655999999999999</v>
      </c>
      <c r="W145">
        <f>_xll.ICEHistory(S$4,W$5,"DF[dow:12345][tl:Calendar]",$L145)</f>
        <v>899</v>
      </c>
      <c r="X145">
        <f t="shared" si="6"/>
        <v>3.606060606060621E-2</v>
      </c>
      <c r="Y145">
        <f t="shared" si="7"/>
        <v>0.34153576399469038</v>
      </c>
      <c r="Z145">
        <f t="shared" si="8"/>
        <v>0.33924198426851176</v>
      </c>
    </row>
    <row r="146" spans="1:26" x14ac:dyDescent="0.25">
      <c r="A146" s="3" t="str">
        <f>_xll.ICEOptionSymbol($B$1,"F","C",$F146)</f>
        <v>EFO 24UC8700-ICN</v>
      </c>
      <c r="B146" s="3">
        <f>_xll.ICEQuote($A146,_xll.ICEFldID(B$5))</f>
        <v>0</v>
      </c>
      <c r="C146" s="3">
        <f>_xll.ICEQuote($A146,_xll.ICEFldID(C$5))</f>
        <v>87</v>
      </c>
      <c r="D146" s="3">
        <f>_xll.ICEQuote($A146,_xll.ICEFldID(D$5))</f>
        <v>0.32323637397383448</v>
      </c>
      <c r="E146" s="3">
        <f>_xll.ICEQuote($A146,_xll.ICEFldID(E$5))</f>
        <v>2.7621027404178145E-2</v>
      </c>
      <c r="F146" s="3">
        <f>_xll.ICEOptionStrike($B$1,40,"F")</f>
        <v>87</v>
      </c>
      <c r="G146" s="3" t="str">
        <f>_xll.ICEOptionSymbol($B$1,"F","P",$F146)</f>
        <v>EFO 24UP8700-ICN</v>
      </c>
      <c r="H146" s="3">
        <f>_xll.ICEQuote($G146,_xll.ICEFldID(H$5))</f>
        <v>0</v>
      </c>
      <c r="I146" s="3">
        <f>_xll.ICEQuote($G146,_xll.ICEFldID(I$5))</f>
        <v>87</v>
      </c>
      <c r="J146" s="3">
        <f>_xll.ICEQuote($G146,_xll.ICEFldID(J$5))</f>
        <v>0.35580665005987899</v>
      </c>
      <c r="K146" s="3">
        <f>_xll.ICEQuote($G146,_xll.ICEFldID(K$5))</f>
        <v>-0.95469760708342399</v>
      </c>
      <c r="L146" s="4">
        <f>_xll.ICETimeline(_xll.ICEJoinRange(M4:W4),"DF[dow:12345][tl:Calendar]","2020-07-26;2024-07-26",905,-1)</f>
        <v>45306.5</v>
      </c>
      <c r="M146">
        <f>_xll.ICEHistory(M$4,M$5,"DF[dow:12345][tl:Calendar]",$L146)</f>
        <v>66</v>
      </c>
      <c r="N146">
        <f>_xll.ICEHistory(M$4,N$5,"DF[dow:12345][tl:Calendar]",$L146)</f>
        <v>67.52</v>
      </c>
      <c r="O146">
        <f>_xll.ICEHistory(M$4,O$5,"DF[dow:12345][tl:Calendar]",$L146)</f>
        <v>64.61</v>
      </c>
      <c r="P146">
        <f>_xll.ICEHistory(M$4,P$5,"DF[dow:12345][tl:Calendar]",$L146)</f>
        <v>66.900000000000006</v>
      </c>
      <c r="Q146">
        <f>_xll.ICEHistory(M$4,Q$5,"DF[dow:12345][tl:Calendar]",$L146)</f>
        <v>25043</v>
      </c>
      <c r="R146">
        <f>_xll.ICEHistory(M$4,R$5,"DF[dow:12345][tl:Calendar]",$L146)</f>
        <v>259218</v>
      </c>
      <c r="S146">
        <f>_xll.ICEHistory(S$4,S$5,"DF[dow:12345][tl:Calendar]",$L146)</f>
        <v>31.46</v>
      </c>
      <c r="T146">
        <f>_xll.ICEHistory(S$4,T$5,"DF[dow:12345][tl:Calendar]",$L146)</f>
        <v>32.200000000000003</v>
      </c>
      <c r="U146">
        <f>_xll.ICEHistory(S$4,U$5,"DF[dow:12345][tl:Calendar]",$L146)</f>
        <v>30.93</v>
      </c>
      <c r="V146">
        <f>_xll.ICEHistory(S$4,V$5,"DF[dow:12345][tl:Calendar]",$L146)</f>
        <v>31.991</v>
      </c>
      <c r="W146">
        <f>_xll.ICEHistory(S$4,W$5,"DF[dow:12345][tl:Calendar]",$L146)</f>
        <v>0</v>
      </c>
      <c r="X146">
        <f t="shared" si="6"/>
        <v>4.2762674504041101E-2</v>
      </c>
      <c r="Y146">
        <f t="shared" si="7"/>
        <v>0.81757872254010122</v>
      </c>
      <c r="Z146">
        <f t="shared" si="8"/>
        <v>0.21334313994343418</v>
      </c>
    </row>
    <row r="147" spans="1:26" x14ac:dyDescent="0.25">
      <c r="A147" s="3" t="str">
        <f>_xll.ICEOptionSymbol($B$1,"F","C",$F147)</f>
        <v>EFO 24UC8750-ICN</v>
      </c>
      <c r="B147" s="3">
        <f>_xll.ICEQuote($A147,_xll.ICEFldID(B$5))</f>
        <v>0</v>
      </c>
      <c r="C147" s="3">
        <f>_xll.ICEQuote($A147,_xll.ICEFldID(C$5))</f>
        <v>87.5</v>
      </c>
      <c r="D147" s="3">
        <f>_xll.ICEQuote($A147,_xll.ICEFldID(D$5))</f>
        <v>0.32297427784114263</v>
      </c>
      <c r="E147" s="3">
        <f>_xll.ICEQuote($A147,_xll.ICEFldID(E$5))</f>
        <v>2.4901228648018251E-2</v>
      </c>
      <c r="F147" s="3">
        <f>_xll.ICEOptionStrike($B$1,41,"F")</f>
        <v>87.5</v>
      </c>
      <c r="G147" s="3" t="str">
        <f>_xll.ICEOptionSymbol($B$1,"F","P",$F147)</f>
        <v>EFO 24UP8750-ICN</v>
      </c>
      <c r="H147" s="3">
        <f>_xll.ICEQuote($G147,_xll.ICEFldID(H$5))</f>
        <v>0</v>
      </c>
      <c r="I147" s="3">
        <f>_xll.ICEQuote($G147,_xll.ICEFldID(I$5))</f>
        <v>87.5</v>
      </c>
      <c r="J147" s="3">
        <f>_xll.ICEQuote($G147,_xll.ICEFldID(J$5))</f>
        <v>0.35847765710878005</v>
      </c>
      <c r="K147" s="3">
        <f>_xll.ICEQuote($G147,_xll.ICEFldID(K$5))</f>
        <v>-0.95687044407540311</v>
      </c>
      <c r="L147" s="4">
        <f>_xll.ICETimeline(_xll.ICEJoinRange(M4:W4),"DF[dow:12345][tl:Calendar]","2020-07-26;2024-07-26",904,-1)</f>
        <v>45303.5</v>
      </c>
      <c r="M147">
        <f>_xll.ICEHistory(M$4,M$5,"DF[dow:12345][tl:Calendar]",$L147)</f>
        <v>68.05</v>
      </c>
      <c r="N147">
        <f>_xll.ICEHistory(M$4,N$5,"DF[dow:12345][tl:Calendar]",$L147)</f>
        <v>69.45</v>
      </c>
      <c r="O147">
        <f>_xll.ICEHistory(M$4,O$5,"DF[dow:12345][tl:Calendar]",$L147)</f>
        <v>64.73</v>
      </c>
      <c r="P147">
        <f>_xll.ICEHistory(M$4,P$5,"DF[dow:12345][tl:Calendar]",$L147)</f>
        <v>65.81</v>
      </c>
      <c r="Q147">
        <f>_xll.ICEHistory(M$4,Q$5,"DF[dow:12345][tl:Calendar]",$L147)</f>
        <v>30251</v>
      </c>
      <c r="R147">
        <f>_xll.ICEHistory(M$4,R$5,"DF[dow:12345][tl:Calendar]",$L147)</f>
        <v>260801</v>
      </c>
      <c r="S147">
        <f>_xll.ICEHistory(S$4,S$5,"DF[dow:12345][tl:Calendar]",$L147)</f>
        <v>31.46</v>
      </c>
      <c r="T147">
        <f>_xll.ICEHistory(S$4,T$5,"DF[dow:12345][tl:Calendar]",$L147)</f>
        <v>32.200000000000003</v>
      </c>
      <c r="U147">
        <f>_xll.ICEHistory(S$4,U$5,"DF[dow:12345][tl:Calendar]",$L147)</f>
        <v>30.93</v>
      </c>
      <c r="V147">
        <f>_xll.ICEHistory(S$4,V$5,"DF[dow:12345][tl:Calendar]",$L147)</f>
        <v>31.991</v>
      </c>
      <c r="W147">
        <f>_xll.ICEHistory(S$4,W$5,"DF[dow:12345][tl:Calendar]",$L147)</f>
        <v>1418</v>
      </c>
      <c r="X147">
        <f t="shared" si="6"/>
        <v>6.7351598173515964E-2</v>
      </c>
      <c r="Y147">
        <f t="shared" si="7"/>
        <v>2.5455361131015075</v>
      </c>
      <c r="Z147">
        <f t="shared" si="8"/>
        <v>0.81997475305178469</v>
      </c>
    </row>
    <row r="148" spans="1:26" x14ac:dyDescent="0.25">
      <c r="A148" s="3" t="str">
        <f>_xll.ICEOptionSymbol($B$1,"F","C",$F148)</f>
        <v>EFO 24UC8800-ICN</v>
      </c>
      <c r="B148" s="3">
        <f>_xll.ICEQuote($A148,_xll.ICEFldID(B$5))</f>
        <v>0</v>
      </c>
      <c r="C148" s="3">
        <f>_xll.ICEQuote($A148,_xll.ICEFldID(C$5))</f>
        <v>88</v>
      </c>
      <c r="D148" s="3">
        <f>_xll.ICEQuote($A148,_xll.ICEFldID(D$5))</f>
        <v>0.32537202410113752</v>
      </c>
      <c r="E148" s="3">
        <f>_xll.ICEQuote($A148,_xll.ICEFldID(E$5))</f>
        <v>2.3366991949183926E-2</v>
      </c>
      <c r="F148" s="3">
        <f>_xll.ICEOptionStrike($B$1,42,"F")</f>
        <v>88</v>
      </c>
      <c r="G148" s="3" t="str">
        <f>_xll.ICEOptionSymbol($B$1,"F","P",$F148)</f>
        <v>EFO 24UP8800-ICN</v>
      </c>
      <c r="H148" s="3">
        <f>_xll.ICEQuote($G148,_xll.ICEFldID(H$5))</f>
        <v>0</v>
      </c>
      <c r="I148" s="3">
        <f>_xll.ICEQuote($G148,_xll.ICEFldID(I$5))</f>
        <v>88</v>
      </c>
      <c r="J148" s="3">
        <f>_xll.ICEQuote($G148,_xll.ICEFldID(J$5))</f>
        <v>0.36309199619742821</v>
      </c>
      <c r="K148" s="3">
        <f>_xll.ICEQuote($G148,_xll.ICEFldID(K$5))</f>
        <v>-0.95804835105583075</v>
      </c>
      <c r="L148" s="4">
        <f>_xll.ICETimeline(_xll.ICEJoinRange(M4:W4),"DF[dow:12345][tl:Calendar]","2020-07-26;2024-07-26",903,-1)</f>
        <v>45302.5</v>
      </c>
      <c r="M148">
        <f>_xll.ICEHistory(M$4,M$5,"DF[dow:12345][tl:Calendar]",$L148)</f>
        <v>70.08</v>
      </c>
      <c r="N148">
        <f>_xll.ICEHistory(M$4,N$5,"DF[dow:12345][tl:Calendar]",$L148)</f>
        <v>70.31</v>
      </c>
      <c r="O148">
        <f>_xll.ICEHistory(M$4,O$5,"DF[dow:12345][tl:Calendar]",$L148)</f>
        <v>66.98</v>
      </c>
      <c r="P148">
        <f>_xll.ICEHistory(M$4,P$5,"DF[dow:12345][tl:Calendar]",$L148)</f>
        <v>67.900000000000006</v>
      </c>
      <c r="Q148">
        <f>_xll.ICEHistory(M$4,Q$5,"DF[dow:12345][tl:Calendar]",$L148)</f>
        <v>30098</v>
      </c>
      <c r="R148">
        <f>_xll.ICEHistory(M$4,R$5,"DF[dow:12345][tl:Calendar]",$L148)</f>
        <v>256467</v>
      </c>
      <c r="S148">
        <f>_xll.ICEHistory(S$4,S$5,"DF[dow:12345][tl:Calendar]",$L148)</f>
        <v>30.7</v>
      </c>
      <c r="T148">
        <f>_xll.ICEHistory(S$4,T$5,"DF[dow:12345][tl:Calendar]",$L148)</f>
        <v>31</v>
      </c>
      <c r="U148">
        <f>_xll.ICEHistory(S$4,U$5,"DF[dow:12345][tl:Calendar]",$L148)</f>
        <v>30.234999999999999</v>
      </c>
      <c r="V148">
        <f>_xll.ICEHistory(S$4,V$5,"DF[dow:12345][tl:Calendar]",$L148)</f>
        <v>30.817</v>
      </c>
      <c r="W148">
        <f>_xll.ICEHistory(S$4,W$5,"DF[dow:12345][tl:Calendar]",$L148)</f>
        <v>410</v>
      </c>
      <c r="X148">
        <f t="shared" si="6"/>
        <v>4.6365914786967402E-2</v>
      </c>
      <c r="Y148">
        <f t="shared" si="7"/>
        <v>1.1886579190583364</v>
      </c>
      <c r="Z148">
        <f t="shared" si="8"/>
        <v>0.82476605946535075</v>
      </c>
    </row>
    <row r="149" spans="1:26" x14ac:dyDescent="0.25">
      <c r="A149" s="3" t="str">
        <f>_xll.ICEOptionSymbol($B$1,"F","C",$F149)</f>
        <v>EFO 24UC8850-ICN</v>
      </c>
      <c r="B149" s="3">
        <f>_xll.ICEQuote($A149,_xll.ICEFldID(B$5))</f>
        <v>0</v>
      </c>
      <c r="C149" s="3">
        <f>_xll.ICEQuote($A149,_xll.ICEFldID(C$5))</f>
        <v>88.5</v>
      </c>
      <c r="D149" s="3">
        <f>_xll.ICEQuote($A149,_xll.ICEFldID(D$5))</f>
        <v>0.32393599593477057</v>
      </c>
      <c r="E149" s="3">
        <f>_xll.ICEQuote($A149,_xll.ICEFldID(E$5))</f>
        <v>2.0649484296155176E-2</v>
      </c>
      <c r="F149" s="3">
        <f>_xll.ICEOptionStrike($B$1,43,"F")</f>
        <v>88.5</v>
      </c>
      <c r="G149" s="3" t="str">
        <f>_xll.ICEOptionSymbol($B$1,"F","P",$F149)</f>
        <v>EFO 24UP8850-ICN</v>
      </c>
      <c r="H149" s="3">
        <f>_xll.ICEQuote($G149,_xll.ICEFldID(H$5))</f>
        <v>0</v>
      </c>
      <c r="I149" s="3">
        <f>_xll.ICEQuote($G149,_xll.ICEFldID(I$5))</f>
        <v>88.5</v>
      </c>
      <c r="J149" s="3">
        <f>_xll.ICEQuote($G149,_xll.ICEFldID(J$5))</f>
        <v>0.36535062938868379</v>
      </c>
      <c r="K149" s="3">
        <f>_xll.ICEQuote($G149,_xll.ICEFldID(K$5))</f>
        <v>-0.96015477194060428</v>
      </c>
      <c r="L149" s="4">
        <f>_xll.ICETimeline(_xll.ICEJoinRange(M4:W4),"DF[dow:12345][tl:Calendar]","2020-07-26;2024-07-26",902,-1)</f>
        <v>45301.5</v>
      </c>
      <c r="M149">
        <f>_xll.ICEHistory(M$4,M$5,"DF[dow:12345][tl:Calendar]",$L149)</f>
        <v>71.819999999999993</v>
      </c>
      <c r="N149">
        <f>_xll.ICEHistory(M$4,N$5,"DF[dow:12345][tl:Calendar]",$L149)</f>
        <v>72.8</v>
      </c>
      <c r="O149">
        <f>_xll.ICEHistory(M$4,O$5,"DF[dow:12345][tl:Calendar]",$L149)</f>
        <v>69.25</v>
      </c>
      <c r="P149">
        <f>_xll.ICEHistory(M$4,P$5,"DF[dow:12345][tl:Calendar]",$L149)</f>
        <v>70.010000000000005</v>
      </c>
      <c r="Q149">
        <f>_xll.ICEHistory(M$4,Q$5,"DF[dow:12345][tl:Calendar]",$L149)</f>
        <v>23655</v>
      </c>
      <c r="R149">
        <f>_xll.ICEHistory(M$4,R$5,"DF[dow:12345][tl:Calendar]",$L149)</f>
        <v>252367</v>
      </c>
      <c r="S149">
        <f>_xll.ICEHistory(S$4,S$5,"DF[dow:12345][tl:Calendar]",$L149)</f>
        <v>31.145</v>
      </c>
      <c r="T149">
        <f>_xll.ICEHistory(S$4,T$5,"DF[dow:12345][tl:Calendar]",$L149)</f>
        <v>31.45</v>
      </c>
      <c r="U149">
        <f>_xll.ICEHistory(S$4,U$5,"DF[dow:12345][tl:Calendar]",$L149)</f>
        <v>30.324999999999999</v>
      </c>
      <c r="V149">
        <f>_xll.ICEHistory(S$4,V$5,"DF[dow:12345][tl:Calendar]",$L149)</f>
        <v>30.942</v>
      </c>
      <c r="W149">
        <f>_xll.ICEHistory(S$4,W$5,"DF[dow:12345][tl:Calendar]",$L149)</f>
        <v>490</v>
      </c>
      <c r="X149">
        <f t="shared" si="6"/>
        <v>4.9312404500625052E-2</v>
      </c>
      <c r="Y149">
        <f t="shared" si="7"/>
        <v>1.4431421612195388</v>
      </c>
      <c r="Z149">
        <f t="shared" si="8"/>
        <v>6.6313780481651846E-2</v>
      </c>
    </row>
    <row r="150" spans="1:26" x14ac:dyDescent="0.25">
      <c r="A150" s="3" t="str">
        <f>_xll.ICEOptionSymbol($B$1,"F","C",$F150)</f>
        <v>EFO 24UC8900-ICN</v>
      </c>
      <c r="B150" s="3">
        <f>_xll.ICEQuote($A150,_xll.ICEFldID(B$5))</f>
        <v>0</v>
      </c>
      <c r="C150" s="3">
        <f>_xll.ICEQuote($A150,_xll.ICEFldID(C$5))</f>
        <v>89</v>
      </c>
      <c r="D150" s="3">
        <f>_xll.ICEQuote($A150,_xll.ICEFldID(D$5))</f>
        <v>0.3255452194175833</v>
      </c>
      <c r="E150" s="3">
        <f>_xll.ICEQuote($A150,_xll.ICEFldID(E$5))</f>
        <v>1.9144461137480046E-2</v>
      </c>
      <c r="F150" s="3">
        <f>_xll.ICEOptionStrike($B$1,44,"F")</f>
        <v>89</v>
      </c>
      <c r="G150" s="3" t="str">
        <f>_xll.ICEOptionSymbol($B$1,"F","P",$F150)</f>
        <v>EFO 24UP8900-ICN</v>
      </c>
      <c r="H150" s="3">
        <f>_xll.ICEQuote($G150,_xll.ICEFldID(H$5))</f>
        <v>0</v>
      </c>
      <c r="I150" s="3">
        <f>_xll.ICEQuote($G150,_xll.ICEFldID(I$5))</f>
        <v>89</v>
      </c>
      <c r="J150" s="3">
        <f>_xll.ICEQuote($G150,_xll.ICEFldID(J$5))</f>
        <v>0.36969685487735471</v>
      </c>
      <c r="K150" s="3">
        <f>_xll.ICEQuote($G150,_xll.ICEFldID(K$5))</f>
        <v>-0.96126863944219132</v>
      </c>
      <c r="L150" s="4">
        <f>_xll.ICETimeline(_xll.ICEJoinRange(M4:W4),"DF[dow:12345][tl:Calendar]","2020-07-26;2024-07-26",901,-1)</f>
        <v>45300.5</v>
      </c>
      <c r="M150">
        <f>_xll.ICEHistory(M$4,M$5,"DF[dow:12345][tl:Calendar]",$L150)</f>
        <v>71.989999999999995</v>
      </c>
      <c r="N150">
        <f>_xll.ICEHistory(M$4,N$5,"DF[dow:12345][tl:Calendar]",$L150)</f>
        <v>72.849999999999994</v>
      </c>
      <c r="O150">
        <f>_xll.ICEHistory(M$4,O$5,"DF[dow:12345][tl:Calendar]",$L150)</f>
        <v>71.12</v>
      </c>
      <c r="P150">
        <f>_xll.ICEHistory(M$4,P$5,"DF[dow:12345][tl:Calendar]",$L150)</f>
        <v>72.06</v>
      </c>
      <c r="Q150">
        <f>_xll.ICEHistory(M$4,Q$5,"DF[dow:12345][tl:Calendar]",$L150)</f>
        <v>18041</v>
      </c>
      <c r="R150">
        <f>_xll.ICEHistory(M$4,R$5,"DF[dow:12345][tl:Calendar]",$L150)</f>
        <v>247917</v>
      </c>
      <c r="S150">
        <f>_xll.ICEHistory(S$4,S$5,"DF[dow:12345][tl:Calendar]",$L150)</f>
        <v>30.405000000000001</v>
      </c>
      <c r="T150">
        <f>_xll.ICEHistory(S$4,T$5,"DF[dow:12345][tl:Calendar]",$L150)</f>
        <v>31.8</v>
      </c>
      <c r="U150">
        <f>_xll.ICEHistory(S$4,U$5,"DF[dow:12345][tl:Calendar]",$L150)</f>
        <v>30.23</v>
      </c>
      <c r="V150">
        <f>_xll.ICEHistory(S$4,V$5,"DF[dow:12345][tl:Calendar]",$L150)</f>
        <v>30.640999999999998</v>
      </c>
      <c r="W150">
        <f>_xll.ICEHistory(S$4,W$5,"DF[dow:12345][tl:Calendar]",$L150)</f>
        <v>504</v>
      </c>
      <c r="X150">
        <f t="shared" si="6"/>
        <v>2.2766153441242134E-2</v>
      </c>
      <c r="Y150">
        <f t="shared" si="7"/>
        <v>-0.50184773472694122</v>
      </c>
      <c r="Z150">
        <f t="shared" si="8"/>
        <v>-0.60096303842245424</v>
      </c>
    </row>
    <row r="151" spans="1:26" x14ac:dyDescent="0.25">
      <c r="A151" s="3" t="str">
        <f>_xll.ICEOptionSymbol($B$1,"F","C",$F151)</f>
        <v>EFO 24UC8950-ICN</v>
      </c>
      <c r="B151" s="3">
        <f>_xll.ICEQuote($A151,_xll.ICEFldID(B$5))</f>
        <v>0</v>
      </c>
      <c r="C151" s="3">
        <f>_xll.ICEQuote($A151,_xll.ICEFldID(C$5))</f>
        <v>89.5</v>
      </c>
      <c r="D151" s="3">
        <f>_xll.ICEQuote($A151,_xll.ICEFldID(D$5))</f>
        <v>0.3268035542722475</v>
      </c>
      <c r="E151" s="3">
        <f>_xll.ICEQuote($A151,_xll.ICEFldID(E$5))</f>
        <v>1.765279810788974E-2</v>
      </c>
      <c r="F151" s="3">
        <f>_xll.ICEOptionStrike($B$1,45,"F")</f>
        <v>89.5</v>
      </c>
      <c r="G151" s="3" t="str">
        <f>_xll.ICEOptionSymbol($B$1,"F","P",$F151)</f>
        <v>EFO 24UP8950-ICN</v>
      </c>
      <c r="H151" s="3">
        <f>_xll.ICEQuote($G151,_xll.ICEFldID(H$5))</f>
        <v>0</v>
      </c>
      <c r="I151" s="3">
        <f>_xll.ICEQuote($G151,_xll.ICEFldID(I$5))</f>
        <v>89.5</v>
      </c>
      <c r="J151" s="3">
        <f>_xll.ICEQuote($G151,_xll.ICEFldID(J$5))</f>
        <v>0.3739358787329245</v>
      </c>
      <c r="K151" s="3">
        <f>_xll.ICEQuote($G151,_xll.ICEFldID(K$5))</f>
        <v>-0.96235535058978317</v>
      </c>
      <c r="L151" s="4">
        <f>_xll.ICETimeline(_xll.ICEJoinRange(M4:W4),"DF[dow:12345][tl:Calendar]","2020-07-26;2024-07-26",900,-1)</f>
        <v>45299.5</v>
      </c>
      <c r="M151">
        <f>_xll.ICEHistory(M$4,M$5,"DF[dow:12345][tl:Calendar]",$L151)</f>
        <v>75.989999999999995</v>
      </c>
      <c r="N151">
        <f>_xll.ICEHistory(M$4,N$5,"DF[dow:12345][tl:Calendar]",$L151)</f>
        <v>76.2</v>
      </c>
      <c r="O151">
        <f>_xll.ICEHistory(M$4,O$5,"DF[dow:12345][tl:Calendar]",$L151)</f>
        <v>71.930000000000007</v>
      </c>
      <c r="P151">
        <f>_xll.ICEHistory(M$4,P$5,"DF[dow:12345][tl:Calendar]",$L151)</f>
        <v>72.05</v>
      </c>
      <c r="Q151">
        <f>_xll.ICEHistory(M$4,Q$5,"DF[dow:12345][tl:Calendar]",$L151)</f>
        <v>21593</v>
      </c>
      <c r="R151">
        <f>_xll.ICEHistory(M$4,R$5,"DF[dow:12345][tl:Calendar]",$L151)</f>
        <v>247220</v>
      </c>
      <c r="S151">
        <f>_xll.ICEHistory(S$4,S$5,"DF[dow:12345][tl:Calendar]",$L151)</f>
        <v>33.75</v>
      </c>
      <c r="T151">
        <f>_xll.ICEHistory(S$4,T$5,"DF[dow:12345][tl:Calendar]",$L151)</f>
        <v>33.950000000000003</v>
      </c>
      <c r="U151">
        <f>_xll.ICEHistory(S$4,U$5,"DF[dow:12345][tl:Calendar]",$L151)</f>
        <v>31.315000000000001</v>
      </c>
      <c r="V151">
        <f>_xll.ICEHistory(S$4,V$5,"DF[dow:12345][tl:Calendar]",$L151)</f>
        <v>31.58</v>
      </c>
      <c r="W151">
        <f>_xll.ICEHistory(S$4,W$5,"DF[dow:12345][tl:Calendar]",$L151)</f>
        <v>1341</v>
      </c>
      <c r="X151">
        <f t="shared" si="6"/>
        <v>5.6295319709953807E-2</v>
      </c>
      <c r="Y151">
        <f t="shared" si="7"/>
        <v>1.9854285676930816</v>
      </c>
      <c r="Z151">
        <f t="shared" si="8"/>
        <v>-0.21611300063045785</v>
      </c>
    </row>
    <row r="152" spans="1:26" x14ac:dyDescent="0.25">
      <c r="A152" s="3" t="str">
        <f>_xll.ICEOptionSymbol($B$1,"F","C",$F152)</f>
        <v>EFO 24UC9000-ICN</v>
      </c>
      <c r="B152" s="3">
        <f>_xll.ICEQuote($A152,_xll.ICEFldID(B$5))</f>
        <v>13400</v>
      </c>
      <c r="C152" s="3">
        <f>_xll.ICEQuote($A152,_xll.ICEFldID(C$5))</f>
        <v>90</v>
      </c>
      <c r="D152" s="3">
        <f>_xll.ICEQuote($A152,_xll.ICEFldID(D$5))</f>
        <v>0.32766883876810254</v>
      </c>
      <c r="E152" s="3">
        <f>_xll.ICEQuote($A152,_xll.ICEFldID(E$5))</f>
        <v>1.6170905055357E-2</v>
      </c>
      <c r="F152" s="3">
        <f>_xll.ICEOptionStrike($B$1,46,"F")</f>
        <v>90</v>
      </c>
      <c r="G152" s="3" t="str">
        <f>_xll.ICEOptionSymbol($B$1,"F","P",$F152)</f>
        <v>EFO 24UP9000-ICN</v>
      </c>
      <c r="H152" s="3">
        <f>_xll.ICEQuote($G152,_xll.ICEFldID(H$5))</f>
        <v>0</v>
      </c>
      <c r="I152" s="3">
        <f>_xll.ICEQuote($G152,_xll.ICEFldID(I$5))</f>
        <v>90</v>
      </c>
      <c r="J152" s="3">
        <f>_xll.ICEQuote($G152,_xll.ICEFldID(J$5))</f>
        <v>0.37806748933948431</v>
      </c>
      <c r="K152" s="3">
        <f>_xll.ICEQuote($G152,_xll.ICEFldID(K$5))</f>
        <v>-0.96341655046043018</v>
      </c>
      <c r="L152" s="4">
        <f>_xll.ICETimeline(_xll.ICEJoinRange(M4:W4),"DF[dow:12345][tl:Calendar]","2020-07-26;2024-07-26",899,-1)</f>
        <v>45296.5</v>
      </c>
      <c r="M152">
        <f>_xll.ICEHistory(M$4,M$5,"DF[dow:12345][tl:Calendar]",$L152)</f>
        <v>75.849999999999994</v>
      </c>
      <c r="N152">
        <f>_xll.ICEHistory(M$4,N$5,"DF[dow:12345][tl:Calendar]",$L152)</f>
        <v>76.77</v>
      </c>
      <c r="O152">
        <f>_xll.ICEHistory(M$4,O$5,"DF[dow:12345][tl:Calendar]",$L152)</f>
        <v>75.209999999999994</v>
      </c>
      <c r="P152">
        <f>_xll.ICEHistory(M$4,P$5,"DF[dow:12345][tl:Calendar]",$L152)</f>
        <v>76.14</v>
      </c>
      <c r="Q152">
        <f>_xll.ICEHistory(M$4,Q$5,"DF[dow:12345][tl:Calendar]",$L152)</f>
        <v>12216</v>
      </c>
      <c r="R152">
        <f>_xll.ICEHistory(M$4,R$5,"DF[dow:12345][tl:Calendar]",$L152)</f>
        <v>246559</v>
      </c>
      <c r="S152">
        <f>_xll.ICEHistory(S$4,S$5,"DF[dow:12345][tl:Calendar]",$L152)</f>
        <v>32.46</v>
      </c>
      <c r="T152">
        <f>_xll.ICEHistory(S$4,T$5,"DF[dow:12345][tl:Calendar]",$L152)</f>
        <v>35.045000000000002</v>
      </c>
      <c r="U152">
        <f>_xll.ICEHistory(S$4,U$5,"DF[dow:12345][tl:Calendar]",$L152)</f>
        <v>32.46</v>
      </c>
      <c r="V152">
        <f>_xll.ICEHistory(S$4,V$5,"DF[dow:12345][tl:Calendar]",$L152)</f>
        <v>34.551000000000002</v>
      </c>
      <c r="W152">
        <f>_xll.ICEHistory(S$4,W$5,"DF[dow:12345][tl:Calendar]",$L152)</f>
        <v>478</v>
      </c>
      <c r="X152">
        <f t="shared" si="6"/>
        <v>2.013162988772748E-2</v>
      </c>
      <c r="Y152">
        <f t="shared" si="7"/>
        <v>-0.70456574661934745</v>
      </c>
      <c r="Z152">
        <f t="shared" si="8"/>
        <v>-1.2763476180381947</v>
      </c>
    </row>
    <row r="153" spans="1:26" x14ac:dyDescent="0.25">
      <c r="A153" s="3" t="str">
        <f>_xll.ICEOptionSymbol($B$1,"F","C",$F153)</f>
        <v>EFO 24UC9050-ICN</v>
      </c>
      <c r="B153" s="3">
        <f>_xll.ICEQuote($A153,_xll.ICEFldID(B$5))</f>
        <v>0</v>
      </c>
      <c r="C153" s="3">
        <f>_xll.ICEQuote($A153,_xll.ICEFldID(C$5))</f>
        <v>90.5</v>
      </c>
      <c r="D153" s="3">
        <f>_xll.ICEQuote($A153,_xll.ICEFldID(D$5))</f>
        <v>0.32808656828736682</v>
      </c>
      <c r="E153" s="3">
        <f>_xll.ICEQuote($A153,_xll.ICEFldID(E$5))</f>
        <v>1.4694880166149E-2</v>
      </c>
      <c r="F153" s="3">
        <f>_xll.ICEOptionStrike($B$1,47,"F")</f>
        <v>90.5</v>
      </c>
      <c r="G153" s="3" t="str">
        <f>_xll.ICEOptionSymbol($B$1,"F","P",$F153)</f>
        <v>EFO 24UP9050-ICN</v>
      </c>
      <c r="H153" s="3">
        <f>_xll.ICEQuote($G153,_xll.ICEFldID(H$5))</f>
        <v>0</v>
      </c>
      <c r="I153" s="3">
        <f>_xll.ICEQuote($G153,_xll.ICEFldID(I$5))</f>
        <v>90.5</v>
      </c>
      <c r="J153" s="3">
        <f>_xll.ICEQuote($G153,_xll.ICEFldID(J$5))</f>
        <v>0.38209130573761085</v>
      </c>
      <c r="K153" s="3">
        <f>_xll.ICEQuote($G153,_xll.ICEFldID(K$5))</f>
        <v>-0.96445377177852587</v>
      </c>
      <c r="L153" s="4">
        <f>_xll.ICETimeline(_xll.ICEJoinRange(M4:W4),"DF[dow:12345][tl:Calendar]","2020-07-26;2024-07-26",898,-1)</f>
        <v>45295.5</v>
      </c>
      <c r="M153">
        <f>_xll.ICEHistory(M$4,M$5,"DF[dow:12345][tl:Calendar]",$L153)</f>
        <v>77.489999999999995</v>
      </c>
      <c r="N153">
        <f>_xll.ICEHistory(M$4,N$5,"DF[dow:12345][tl:Calendar]",$L153)</f>
        <v>78.290000000000006</v>
      </c>
      <c r="O153">
        <f>_xll.ICEHistory(M$4,O$5,"DF[dow:12345][tl:Calendar]",$L153)</f>
        <v>74.83</v>
      </c>
      <c r="P153">
        <f>_xll.ICEHistory(M$4,P$5,"DF[dow:12345][tl:Calendar]",$L153)</f>
        <v>75.87</v>
      </c>
      <c r="Q153">
        <f>_xll.ICEHistory(M$4,Q$5,"DF[dow:12345][tl:Calendar]",$L153)</f>
        <v>18261</v>
      </c>
      <c r="R153">
        <f>_xll.ICEHistory(M$4,R$5,"DF[dow:12345][tl:Calendar]",$L153)</f>
        <v>247085</v>
      </c>
      <c r="S153">
        <f>_xll.ICEHistory(S$4,S$5,"DF[dow:12345][tl:Calendar]",$L153)</f>
        <v>33.575000000000003</v>
      </c>
      <c r="T153">
        <f>_xll.ICEHistory(S$4,T$5,"DF[dow:12345][tl:Calendar]",$L153)</f>
        <v>33.92</v>
      </c>
      <c r="U153">
        <f>_xll.ICEHistory(S$4,U$5,"DF[dow:12345][tl:Calendar]",$L153)</f>
        <v>32.125</v>
      </c>
      <c r="V153">
        <f>_xll.ICEHistory(S$4,V$5,"DF[dow:12345][tl:Calendar]",$L153)</f>
        <v>33.409999999999997</v>
      </c>
      <c r="W153">
        <f>_xll.ICEHistory(S$4,W$5,"DF[dow:12345][tl:Calendar]",$L153)</f>
        <v>1119</v>
      </c>
      <c r="X153">
        <f t="shared" si="6"/>
        <v>4.5424707890245608E-2</v>
      </c>
      <c r="Y153">
        <f t="shared" si="7"/>
        <v>1.24654620560673</v>
      </c>
      <c r="Z153">
        <f t="shared" si="8"/>
        <v>-0.61495477862880532</v>
      </c>
    </row>
    <row r="154" spans="1:26" x14ac:dyDescent="0.25">
      <c r="A154" s="3" t="str">
        <f>_xll.ICEOptionSymbol($B$1,"F","C",$F154)</f>
        <v>EFO 24UC9100-ICN</v>
      </c>
      <c r="B154" s="3">
        <f>_xll.ICEQuote($A154,_xll.ICEFldID(B$5))</f>
        <v>0</v>
      </c>
      <c r="C154" s="3">
        <f>_xll.ICEQuote($A154,_xll.ICEFldID(C$5))</f>
        <v>91</v>
      </c>
      <c r="D154" s="3">
        <f>_xll.ICEQuote($A154,_xll.ICEFldID(D$5))</f>
        <v>0.33312057582954491</v>
      </c>
      <c r="E154" s="3">
        <f>_xll.ICEQuote($A154,_xll.ICEFldID(E$5))</f>
        <v>1.4503501252627412E-2</v>
      </c>
      <c r="F154" s="3">
        <f>_xll.ICEOptionStrike($B$1,48,"F")</f>
        <v>91</v>
      </c>
      <c r="G154" s="3" t="str">
        <f>_xll.ICEOptionSymbol($B$1,"F","P",$F154)</f>
        <v>EFO 24UP9100-ICN</v>
      </c>
      <c r="H154" s="3">
        <f>_xll.ICEQuote($G154,_xll.ICEFldID(H$5))</f>
        <v>0</v>
      </c>
      <c r="I154" s="3">
        <f>_xll.ICEQuote($G154,_xll.ICEFldID(I$5))</f>
        <v>91</v>
      </c>
      <c r="J154" s="3">
        <f>_xll.ICEQuote($G154,_xll.ICEFldID(J$5))</f>
        <v>0.38856378943614517</v>
      </c>
      <c r="K154" s="3">
        <f>_xll.ICEQuote($G154,_xll.ICEFldID(K$5))</f>
        <v>-0.96452338245155589</v>
      </c>
      <c r="L154" s="4">
        <f>_xll.ICETimeline(_xll.ICEJoinRange(M4:W4),"DF[dow:12345][tl:Calendar]","2020-07-26;2024-07-26",897,-1)</f>
        <v>45294.5</v>
      </c>
      <c r="M154">
        <f>_xll.ICEHistory(M$4,M$5,"DF[dow:12345][tl:Calendar]",$L154)</f>
        <v>76.17</v>
      </c>
      <c r="N154">
        <f>_xll.ICEHistory(M$4,N$5,"DF[dow:12345][tl:Calendar]",$L154)</f>
        <v>77.8</v>
      </c>
      <c r="O154">
        <f>_xll.ICEHistory(M$4,O$5,"DF[dow:12345][tl:Calendar]",$L154)</f>
        <v>76.010000000000005</v>
      </c>
      <c r="P154">
        <f>_xll.ICEHistory(M$4,P$5,"DF[dow:12345][tl:Calendar]",$L154)</f>
        <v>77.489999999999995</v>
      </c>
      <c r="Q154">
        <f>_xll.ICEHistory(M$4,Q$5,"DF[dow:12345][tl:Calendar]",$L154)</f>
        <v>15814</v>
      </c>
      <c r="R154">
        <f>_xll.ICEHistory(M$4,R$5,"DF[dow:12345][tl:Calendar]",$L154)</f>
        <v>245981</v>
      </c>
      <c r="S154">
        <f>_xll.ICEHistory(S$4,S$5,"DF[dow:12345][tl:Calendar]",$L154)</f>
        <v>30.484999999999999</v>
      </c>
      <c r="T154">
        <f>_xll.ICEHistory(S$4,T$5,"DF[dow:12345][tl:Calendar]",$L154)</f>
        <v>33.204999999999998</v>
      </c>
      <c r="U154">
        <f>_xll.ICEHistory(S$4,U$5,"DF[dow:12345][tl:Calendar]",$L154)</f>
        <v>30.484999999999999</v>
      </c>
      <c r="V154">
        <f>_xll.ICEHistory(S$4,V$5,"DF[dow:12345][tl:Calendar]",$L154)</f>
        <v>32.795000000000002</v>
      </c>
      <c r="W154">
        <f>_xll.ICEHistory(S$4,W$5,"DF[dow:12345][tl:Calendar]",$L154)</f>
        <v>1717</v>
      </c>
      <c r="X154">
        <f t="shared" si="6"/>
        <v>2.2236024844720398E-2</v>
      </c>
      <c r="Y154">
        <f t="shared" si="7"/>
        <v>-0.51678655434691234</v>
      </c>
      <c r="Z154">
        <f t="shared" si="8"/>
        <v>-0.91828002479376081</v>
      </c>
    </row>
    <row r="155" spans="1:26" x14ac:dyDescent="0.25">
      <c r="A155" s="3" t="str">
        <f>_xll.ICEOptionSymbol($B$1,"F","C",$F155)</f>
        <v>EFO 24UC9150-ICN</v>
      </c>
      <c r="B155" s="3">
        <f>_xll.ICEQuote($A155,_xll.ICEFldID(B$5))</f>
        <v>0</v>
      </c>
      <c r="C155" s="3">
        <f>_xll.ICEQuote($A155,_xll.ICEFldID(C$5))</f>
        <v>91.5</v>
      </c>
      <c r="D155" s="3">
        <f>_xll.ICEQuote($A155,_xll.ICEFldID(D$5))</f>
        <v>0.33292152202863695</v>
      </c>
      <c r="E155" s="3">
        <f>_xll.ICEQuote($A155,_xll.ICEFldID(E$5))</f>
        <v>1.3050925150398317E-2</v>
      </c>
      <c r="F155" s="3">
        <f>_xll.ICEOptionStrike($B$1,49,"F")</f>
        <v>91.5</v>
      </c>
      <c r="G155" s="3" t="str">
        <f>_xll.ICEOptionSymbol($B$1,"F","P",$F155)</f>
        <v>EFO 24UP9150-ICN</v>
      </c>
      <c r="H155" s="3">
        <f>_xll.ICEQuote($G155,_xll.ICEFldID(H$5))</f>
        <v>0</v>
      </c>
      <c r="I155" s="3">
        <f>_xll.ICEQuote($G155,_xll.ICEFldID(I$5))</f>
        <v>91.5</v>
      </c>
      <c r="J155" s="3">
        <f>_xll.ICEQuote($G155,_xll.ICEFldID(J$5))</f>
        <v>0.39243866088438595</v>
      </c>
      <c r="K155" s="3">
        <f>_xll.ICEQuote($G155,_xll.ICEFldID(K$5))</f>
        <v>-0.96551880895464315</v>
      </c>
      <c r="L155" s="4">
        <f>_xll.ICETimeline(_xll.ICEJoinRange(M4:W4),"DF[dow:12345][tl:Calendar]","2020-07-26;2024-07-26",896,-1)</f>
        <v>45293.5</v>
      </c>
      <c r="M155">
        <f>_xll.ICEHistory(M$4,M$5,"DF[dow:12345][tl:Calendar]",$L155)</f>
        <v>80.5</v>
      </c>
      <c r="N155">
        <f>_xll.ICEHistory(M$4,N$5,"DF[dow:12345][tl:Calendar]",$L155)</f>
        <v>81.25</v>
      </c>
      <c r="O155">
        <f>_xll.ICEHistory(M$4,O$5,"DF[dow:12345][tl:Calendar]",$L155)</f>
        <v>74.59</v>
      </c>
      <c r="P155">
        <f>_xll.ICEHistory(M$4,P$5,"DF[dow:12345][tl:Calendar]",$L155)</f>
        <v>76.17</v>
      </c>
      <c r="Q155">
        <f>_xll.ICEHistory(M$4,Q$5,"DF[dow:12345][tl:Calendar]",$L155)</f>
        <v>22440</v>
      </c>
      <c r="R155">
        <f>_xll.ICEHistory(M$4,R$5,"DF[dow:12345][tl:Calendar]",$L155)</f>
        <v>246427</v>
      </c>
      <c r="S155">
        <f>_xll.ICEHistory(S$4,S$5,"DF[dow:12345][tl:Calendar]",$L155)</f>
        <v>33.395000000000003</v>
      </c>
      <c r="T155">
        <f>_xll.ICEHistory(S$4,T$5,"DF[dow:12345][tl:Calendar]",$L155)</f>
        <v>33.395000000000003</v>
      </c>
      <c r="U155">
        <f>_xll.ICEHistory(S$4,U$5,"DF[dow:12345][tl:Calendar]",$L155)</f>
        <v>30.07</v>
      </c>
      <c r="V155">
        <f>_xll.ICEHistory(S$4,V$5,"DF[dow:12345][tl:Calendar]",$L155)</f>
        <v>30.571999999999999</v>
      </c>
      <c r="W155">
        <f>_xll.ICEHistory(S$4,W$5,"DF[dow:12345][tl:Calendar]",$L155)</f>
        <v>317</v>
      </c>
      <c r="X155">
        <f t="shared" si="6"/>
        <v>8.3073468878632858E-2</v>
      </c>
      <c r="Y155">
        <f t="shared" si="7"/>
        <v>4.1919695632307805</v>
      </c>
      <c r="Z155">
        <f t="shared" si="8"/>
        <v>-0.18017126320429025</v>
      </c>
    </row>
    <row r="156" spans="1:26" x14ac:dyDescent="0.25">
      <c r="A156" s="3" t="str">
        <f>_xll.ICEOptionSymbol($B$1,"F","C",$F156)</f>
        <v>EFO 24UC9200-ICN</v>
      </c>
      <c r="B156" s="3">
        <f>_xll.ICEQuote($A156,_xll.ICEFldID(B$5))</f>
        <v>0</v>
      </c>
      <c r="C156" s="3">
        <f>_xll.ICEQuote($A156,_xll.ICEFldID(C$5))</f>
        <v>92</v>
      </c>
      <c r="D156" s="3">
        <f>_xll.ICEQuote($A156,_xll.ICEFldID(D$5))</f>
        <v>0.33210038827727772</v>
      </c>
      <c r="E156" s="3">
        <f>_xll.ICEQuote($A156,_xll.ICEFldID(E$5))</f>
        <v>1.1593985095407449E-2</v>
      </c>
      <c r="F156" s="3">
        <f>_xll.ICEOptionStrike($B$1,50,"F")</f>
        <v>92</v>
      </c>
      <c r="G156" s="3" t="str">
        <f>_xll.ICEOptionSymbol($B$1,"F","P",$F156)</f>
        <v>EFO 24UP9200-ICN</v>
      </c>
      <c r="H156" s="3">
        <f>_xll.ICEQuote($G156,_xll.ICEFldID(H$5))</f>
        <v>0</v>
      </c>
      <c r="I156" s="3">
        <f>_xll.ICEQuote($G156,_xll.ICEFldID(I$5))</f>
        <v>92</v>
      </c>
      <c r="J156" s="3">
        <f>_xll.ICEQuote($G156,_xll.ICEFldID(J$5))</f>
        <v>0.39620632038224818</v>
      </c>
      <c r="K156" s="3">
        <f>_xll.ICEQuote($G156,_xll.ICEFldID(K$5))</f>
        <v>-0.96649396834788093</v>
      </c>
      <c r="L156" s="4">
        <f>_xll.ICETimeline(_xll.ICEJoinRange(M4:W4),"DF[dow:12345][tl:Calendar]","2020-07-26;2024-07-26",895,-1)</f>
        <v>45292.5</v>
      </c>
      <c r="M156">
        <f>_xll.ICEHistory(M$4,M$5,"DF[dow:12345][tl:Calendar]",$L156)</f>
        <v>80.17</v>
      </c>
      <c r="N156">
        <f>_xll.ICEHistory(M$4,N$5,"DF[dow:12345][tl:Calendar]",$L156)</f>
        <v>80.91</v>
      </c>
      <c r="O156">
        <f>_xll.ICEHistory(M$4,O$5,"DF[dow:12345][tl:Calendar]",$L156)</f>
        <v>79.38</v>
      </c>
      <c r="P156">
        <f>_xll.ICEHistory(M$4,P$5,"DF[dow:12345][tl:Calendar]",$L156)</f>
        <v>80.19</v>
      </c>
      <c r="Q156">
        <f>_xll.ICEHistory(M$4,Q$5,"DF[dow:12345][tl:Calendar]",$L156)</f>
        <v>0</v>
      </c>
      <c r="R156">
        <f>_xll.ICEHistory(M$4,R$5,"DF[dow:12345][tl:Calendar]",$L156)</f>
        <v>0</v>
      </c>
      <c r="S156">
        <f>_xll.ICEHistory(S$4,S$5,"DF[dow:12345][tl:Calendar]",$L156)</f>
        <v>33.549999999999997</v>
      </c>
      <c r="T156">
        <f>_xll.ICEHistory(S$4,T$5,"DF[dow:12345][tl:Calendar]",$L156)</f>
        <v>34.064999999999998</v>
      </c>
      <c r="U156">
        <f>_xll.ICEHistory(S$4,U$5,"DF[dow:12345][tl:Calendar]",$L156)</f>
        <v>31.635000000000002</v>
      </c>
      <c r="V156">
        <f>_xll.ICEHistory(S$4,V$5,"DF[dow:12345][tl:Calendar]",$L156)</f>
        <v>32.35</v>
      </c>
      <c r="W156">
        <f>_xll.ICEHistory(S$4,W$5,"DF[dow:12345][tl:Calendar]",$L156)</f>
        <v>0</v>
      </c>
      <c r="X156">
        <f t="shared" si="6"/>
        <v>1.9084445553199464E-2</v>
      </c>
      <c r="Y156">
        <f t="shared" si="7"/>
        <v>-0.81759092498987329</v>
      </c>
      <c r="Z156">
        <f t="shared" si="8"/>
        <v>-2.7716709861518645</v>
      </c>
    </row>
    <row r="157" spans="1:26" x14ac:dyDescent="0.25">
      <c r="A157" s="3" t="str">
        <f>_xll.ICEOptionSymbol($B$1,"F","C",$F157)</f>
        <v>EFO 24UC9250-ICN</v>
      </c>
      <c r="B157" s="3">
        <f>_xll.ICEQuote($A157,_xll.ICEFldID(B$5))</f>
        <v>0</v>
      </c>
      <c r="C157" s="3">
        <f>_xll.ICEQuote($A157,_xll.ICEFldID(C$5))</f>
        <v>92.5</v>
      </c>
      <c r="D157" s="3">
        <f>_xll.ICEQuote($A157,_xll.ICEFldID(D$5))</f>
        <v>0.3368996070965824</v>
      </c>
      <c r="E157" s="3">
        <f>_xll.ICEQuote($A157,_xll.ICEFldID(E$5))</f>
        <v>1.1450877325226554E-2</v>
      </c>
      <c r="F157" s="3">
        <f>_xll.ICEOptionStrike($B$1,51,"F")</f>
        <v>92.5</v>
      </c>
      <c r="G157" s="3" t="str">
        <f>_xll.ICEOptionSymbol($B$1,"F","P",$F157)</f>
        <v>EFO 24UP9250-ICN</v>
      </c>
      <c r="H157" s="3">
        <f>_xll.ICEQuote($G157,_xll.ICEFldID(H$5))</f>
        <v>0</v>
      </c>
      <c r="I157" s="3">
        <f>_xll.ICEQuote($G157,_xll.ICEFldID(I$5))</f>
        <v>92.5</v>
      </c>
      <c r="J157" s="3">
        <f>_xll.ICEQuote($G157,_xll.ICEFldID(J$5))</f>
        <v>0.40256431637606643</v>
      </c>
      <c r="K157" s="3">
        <f>_xll.ICEQuote($G157,_xll.ICEFldID(K$5))</f>
        <v>-0.96652216975222349</v>
      </c>
      <c r="L157" s="4">
        <f>_xll.ICETimeline(_xll.ICEJoinRange(M4:W4),"DF[dow:12345][tl:Calendar]","2020-07-26;2024-07-26",894,-1)</f>
        <v>45289.5</v>
      </c>
      <c r="M157">
        <f>_xll.ICEHistory(M$4,M$5,"DF[dow:12345][tl:Calendar]",$L157)</f>
        <v>80.17</v>
      </c>
      <c r="N157">
        <f>_xll.ICEHistory(M$4,N$5,"DF[dow:12345][tl:Calendar]",$L157)</f>
        <v>80.91</v>
      </c>
      <c r="O157">
        <f>_xll.ICEHistory(M$4,O$5,"DF[dow:12345][tl:Calendar]",$L157)</f>
        <v>79.38</v>
      </c>
      <c r="P157">
        <f>_xll.ICEHistory(M$4,P$5,"DF[dow:12345][tl:Calendar]",$L157)</f>
        <v>80.19</v>
      </c>
      <c r="Q157">
        <f>_xll.ICEHistory(M$4,Q$5,"DF[dow:12345][tl:Calendar]",$L157)</f>
        <v>11899</v>
      </c>
      <c r="R157">
        <f>_xll.ICEHistory(M$4,R$5,"DF[dow:12345][tl:Calendar]",$L157)</f>
        <v>246338</v>
      </c>
      <c r="S157">
        <f>_xll.ICEHistory(S$4,S$5,"DF[dow:12345][tl:Calendar]",$L157)</f>
        <v>33.549999999999997</v>
      </c>
      <c r="T157">
        <f>_xll.ICEHistory(S$4,T$5,"DF[dow:12345][tl:Calendar]",$L157)</f>
        <v>34.064999999999998</v>
      </c>
      <c r="U157">
        <f>_xll.ICEHistory(S$4,U$5,"DF[dow:12345][tl:Calendar]",$L157)</f>
        <v>31.635000000000002</v>
      </c>
      <c r="V157">
        <f>_xll.ICEHistory(S$4,V$5,"DF[dow:12345][tl:Calendar]",$L157)</f>
        <v>32.35</v>
      </c>
      <c r="W157">
        <f>_xll.ICEHistory(S$4,W$5,"DF[dow:12345][tl:Calendar]",$L157)</f>
        <v>209</v>
      </c>
      <c r="X157">
        <f t="shared" si="6"/>
        <v>1.9041692594897339E-2</v>
      </c>
      <c r="Y157">
        <f t="shared" si="7"/>
        <v>-0.80476955737529987</v>
      </c>
      <c r="Z157">
        <f t="shared" si="8"/>
        <v>-1.5035301045292833</v>
      </c>
    </row>
    <row r="158" spans="1:26" x14ac:dyDescent="0.25">
      <c r="A158" s="3" t="str">
        <f>_xll.ICEOptionSymbol($B$1,"F","C",$F158)</f>
        <v>EFO 24UC9300-ICN</v>
      </c>
      <c r="B158" s="3">
        <f>_xll.ICEQuote($A158,_xll.ICEFldID(B$5))</f>
        <v>0</v>
      </c>
      <c r="C158" s="3">
        <f>_xll.ICEQuote($A158,_xll.ICEFldID(C$5))</f>
        <v>93</v>
      </c>
      <c r="D158" s="3">
        <f>_xll.ICEQuote($A158,_xll.ICEFldID(D$5))</f>
        <v>0.33521039294868826</v>
      </c>
      <c r="E158" s="3">
        <f>_xll.ICEQuote($A158,_xll.ICEFldID(E$5))</f>
        <v>1.0003322478105817E-2</v>
      </c>
      <c r="F158" s="3">
        <f>_xll.ICEOptionStrike($B$1,52,"F")</f>
        <v>93</v>
      </c>
      <c r="G158" s="3" t="str">
        <f>_xll.ICEOptionSymbol($B$1,"F","P",$F158)</f>
        <v>EFO 24UP9300-ICN</v>
      </c>
      <c r="H158" s="3">
        <f>_xll.ICEQuote($G158,_xll.ICEFldID(H$5))</f>
        <v>0</v>
      </c>
      <c r="I158" s="3">
        <f>_xll.ICEQuote($G158,_xll.ICEFldID(I$5))</f>
        <v>93</v>
      </c>
      <c r="J158" s="3">
        <f>_xll.ICEQuote($G158,_xll.ICEFldID(J$5))</f>
        <v>0.40618774500365756</v>
      </c>
      <c r="K158" s="3">
        <f>_xll.ICEQuote($G158,_xll.ICEFldID(K$5))</f>
        <v>-0.96746149273219839</v>
      </c>
      <c r="L158" s="4">
        <f>_xll.ICETimeline(_xll.ICEJoinRange(M4:W4),"DF[dow:12345][tl:Calendar]","2020-07-26;2024-07-26",893,-1)</f>
        <v>45288.5</v>
      </c>
      <c r="M158">
        <f>_xll.ICEHistory(M$4,M$5,"DF[dow:12345][tl:Calendar]",$L158)</f>
        <v>80.349999999999994</v>
      </c>
      <c r="N158">
        <f>_xll.ICEHistory(M$4,N$5,"DF[dow:12345][tl:Calendar]",$L158)</f>
        <v>80.5</v>
      </c>
      <c r="O158">
        <f>_xll.ICEHistory(M$4,O$5,"DF[dow:12345][tl:Calendar]",$L158)</f>
        <v>78.88</v>
      </c>
      <c r="P158">
        <f>_xll.ICEHistory(M$4,P$5,"DF[dow:12345][tl:Calendar]",$L158)</f>
        <v>80.239999999999995</v>
      </c>
      <c r="Q158">
        <f>_xll.ICEHistory(M$4,Q$5,"DF[dow:12345][tl:Calendar]",$L158)</f>
        <v>13157</v>
      </c>
      <c r="R158">
        <f>_xll.ICEHistory(M$4,R$5,"DF[dow:12345][tl:Calendar]",$L158)</f>
        <v>247527</v>
      </c>
      <c r="S158">
        <f>_xll.ICEHistory(S$4,S$5,"DF[dow:12345][tl:Calendar]",$L158)</f>
        <v>34.015000000000001</v>
      </c>
      <c r="T158">
        <f>_xll.ICEHistory(S$4,T$5,"DF[dow:12345][tl:Calendar]",$L158)</f>
        <v>34.015000000000001</v>
      </c>
      <c r="U158">
        <f>_xll.ICEHistory(S$4,U$5,"DF[dow:12345][tl:Calendar]",$L158)</f>
        <v>33.104999999999997</v>
      </c>
      <c r="V158">
        <f>_xll.ICEHistory(S$4,V$5,"DF[dow:12345][tl:Calendar]",$L158)</f>
        <v>33.104999999999997</v>
      </c>
      <c r="W158">
        <f>_xll.ICEHistory(S$4,W$5,"DF[dow:12345][tl:Calendar]",$L158)</f>
        <v>1002</v>
      </c>
      <c r="X158">
        <f t="shared" si="6"/>
        <v>2.0490766506450854E-2</v>
      </c>
      <c r="Y158">
        <f t="shared" si="7"/>
        <v>-0.68143171151754112</v>
      </c>
      <c r="Z158">
        <f t="shared" si="8"/>
        <v>-1.3638263046769015</v>
      </c>
    </row>
    <row r="159" spans="1:26" x14ac:dyDescent="0.25">
      <c r="A159" s="3" t="str">
        <f>_xll.ICEOptionSymbol($B$1,"F","C",$F159)</f>
        <v>EFO 24UC9350-ICN</v>
      </c>
      <c r="B159" s="3">
        <f>_xll.ICEQuote($A159,_xll.ICEFldID(B$5))</f>
        <v>0</v>
      </c>
      <c r="C159" s="3">
        <f>_xll.ICEQuote($A159,_xll.ICEFldID(C$5))</f>
        <v>93.5</v>
      </c>
      <c r="D159" s="3">
        <f>_xll.ICEQuote($A159,_xll.ICEFldID(D$5))</f>
        <v>0.33987006340888948</v>
      </c>
      <c r="E159" s="3">
        <f>_xll.ICEQuote($A159,_xll.ICEFldID(E$5))</f>
        <v>9.8841297061094801E-3</v>
      </c>
      <c r="F159" s="3">
        <f>_xll.ICEOptionStrike($B$1,53,"F")</f>
        <v>93.5</v>
      </c>
      <c r="G159" s="3" t="str">
        <f>_xll.ICEOptionSymbol($B$1,"F","P",$F159)</f>
        <v>EFO 24UP9350-ICN</v>
      </c>
      <c r="H159" s="3">
        <f>_xll.ICEQuote($G159,_xll.ICEFldID(H$5))</f>
        <v>0</v>
      </c>
      <c r="I159" s="3">
        <f>_xll.ICEQuote($G159,_xll.ICEFldID(I$5))</f>
        <v>93.5</v>
      </c>
      <c r="J159" s="3">
        <f>_xll.ICEQuote($G159,_xll.ICEFldID(J$5))</f>
        <v>0.41247557678414254</v>
      </c>
      <c r="K159" s="3">
        <f>_xll.ICEQuote($G159,_xll.ICEFldID(K$5))</f>
        <v>-0.96746995521812951</v>
      </c>
      <c r="L159" s="4">
        <f>_xll.ICETimeline(_xll.ICEJoinRange(M4:W4),"DF[dow:12345][tl:Calendar]","2020-07-26;2024-07-26",892,-1)</f>
        <v>45287.5</v>
      </c>
      <c r="M159">
        <f>_xll.ICEHistory(M$4,M$5,"DF[dow:12345][tl:Calendar]",$L159)</f>
        <v>79.06</v>
      </c>
      <c r="N159">
        <f>_xll.ICEHistory(M$4,N$5,"DF[dow:12345][tl:Calendar]",$L159)</f>
        <v>80.98</v>
      </c>
      <c r="O159">
        <f>_xll.ICEHistory(M$4,O$5,"DF[dow:12345][tl:Calendar]",$L159)</f>
        <v>79.03</v>
      </c>
      <c r="P159">
        <f>_xll.ICEHistory(M$4,P$5,"DF[dow:12345][tl:Calendar]",$L159)</f>
        <v>80.040000000000006</v>
      </c>
      <c r="Q159">
        <f>_xll.ICEHistory(M$4,Q$5,"DF[dow:12345][tl:Calendar]",$L159)</f>
        <v>15318</v>
      </c>
      <c r="R159">
        <f>_xll.ICEHistory(M$4,R$5,"DF[dow:12345][tl:Calendar]",$L159)</f>
        <v>249272</v>
      </c>
      <c r="S159">
        <f>_xll.ICEHistory(S$4,S$5,"DF[dow:12345][tl:Calendar]",$L159)</f>
        <v>36.875</v>
      </c>
      <c r="T159">
        <f>_xll.ICEHistory(S$4,T$5,"DF[dow:12345][tl:Calendar]",$L159)</f>
        <v>36.875</v>
      </c>
      <c r="U159">
        <f>_xll.ICEHistory(S$4,U$5,"DF[dow:12345][tl:Calendar]",$L159)</f>
        <v>35.5</v>
      </c>
      <c r="V159">
        <f>_xll.ICEHistory(S$4,V$5,"DF[dow:12345][tl:Calendar]",$L159)</f>
        <v>35.512999999999998</v>
      </c>
      <c r="W159">
        <f>_xll.ICEHistory(S$4,W$5,"DF[dow:12345][tl:Calendar]",$L159)</f>
        <v>628</v>
      </c>
      <c r="X159">
        <f t="shared" si="6"/>
        <v>2.5064267352185126E-2</v>
      </c>
      <c r="Y159">
        <f t="shared" si="7"/>
        <v>-0.26341886848008605</v>
      </c>
      <c r="Z159">
        <f t="shared" si="8"/>
        <v>-1.1326267505149257</v>
      </c>
    </row>
    <row r="160" spans="1:26" x14ac:dyDescent="0.25">
      <c r="A160" s="3" t="str">
        <f>_xll.ICEOptionSymbol($B$1,"F","C",$F160)</f>
        <v>EFO 24UC9400-ICN</v>
      </c>
      <c r="B160" s="3">
        <f>_xll.ICEQuote($A160,_xll.ICEFldID(B$5))</f>
        <v>0</v>
      </c>
      <c r="C160" s="3">
        <f>_xll.ICEQuote($A160,_xll.ICEFldID(C$5))</f>
        <v>94</v>
      </c>
      <c r="D160" s="3">
        <f>_xll.ICEQuote($A160,_xll.ICEFldID(D$5))</f>
        <v>0.33708794766095174</v>
      </c>
      <c r="E160" s="3">
        <f>_xll.ICEQuote($A160,_xll.ICEFldID(E$5))</f>
        <v>8.4366170613163639E-3</v>
      </c>
      <c r="F160" s="3">
        <f>_xll.ICEOptionStrike($B$1,54,"F")</f>
        <v>94</v>
      </c>
      <c r="G160" s="3" t="str">
        <f>_xll.ICEOptionSymbol($B$1,"F","P",$F160)</f>
        <v>EFO 24UP9400-ICN</v>
      </c>
      <c r="H160" s="3">
        <f>_xll.ICEQuote($G160,_xll.ICEFldID(H$5))</f>
        <v>0</v>
      </c>
      <c r="I160" s="3">
        <f>_xll.ICEQuote($G160,_xll.ICEFldID(I$5))</f>
        <v>94</v>
      </c>
      <c r="J160" s="3">
        <f>_xll.ICEQuote($G160,_xll.ICEFldID(J$5))</f>
        <v>0.41595803784241669</v>
      </c>
      <c r="K160" s="3">
        <f>_xll.ICEQuote($G160,_xll.ICEFldID(K$5))</f>
        <v>-0.96837665923507066</v>
      </c>
      <c r="L160" s="4">
        <f>_xll.ICETimeline(_xll.ICEJoinRange(M4:W4),"DF[dow:12345][tl:Calendar]","2020-07-26;2024-07-26",891,-1)</f>
        <v>45286.5</v>
      </c>
      <c r="M160">
        <f>_xll.ICEHistory(M$4,M$5,"DF[dow:12345][tl:Calendar]",$L160)</f>
        <v>77.8</v>
      </c>
      <c r="N160">
        <f>_xll.ICEHistory(M$4,N$5,"DF[dow:12345][tl:Calendar]",$L160)</f>
        <v>79.349999999999994</v>
      </c>
      <c r="O160">
        <f>_xll.ICEHistory(M$4,O$5,"DF[dow:12345][tl:Calendar]",$L160)</f>
        <v>76.8</v>
      </c>
      <c r="P160">
        <f>_xll.ICEHistory(M$4,P$5,"DF[dow:12345][tl:Calendar]",$L160)</f>
        <v>79.14</v>
      </c>
      <c r="Q160">
        <f>_xll.ICEHistory(M$4,Q$5,"DF[dow:12345][tl:Calendar]",$L160)</f>
        <v>0</v>
      </c>
      <c r="R160">
        <f>_xll.ICEHistory(M$4,R$5,"DF[dow:12345][tl:Calendar]",$L160)</f>
        <v>0</v>
      </c>
      <c r="S160">
        <f>_xll.ICEHistory(S$4,S$5,"DF[dow:12345][tl:Calendar]",$L160)</f>
        <v>34.173999999999999</v>
      </c>
      <c r="T160">
        <f>_xll.ICEHistory(S$4,T$5,"DF[dow:12345][tl:Calendar]",$L160)</f>
        <v>34.173999999999999</v>
      </c>
      <c r="U160">
        <f>_xll.ICEHistory(S$4,U$5,"DF[dow:12345][tl:Calendar]",$L160)</f>
        <v>34.173999999999999</v>
      </c>
      <c r="V160">
        <f>_xll.ICEHistory(S$4,V$5,"DF[dow:12345][tl:Calendar]",$L160)</f>
        <v>34.173999999999999</v>
      </c>
      <c r="W160">
        <f>_xll.ICEHistory(S$4,W$5,"DF[dow:12345][tl:Calendar]",$L160)</f>
        <v>0</v>
      </c>
      <c r="X160">
        <f t="shared" si="6"/>
        <v>3.277634961439585E-2</v>
      </c>
      <c r="Y160">
        <f t="shared" si="7"/>
        <v>0.43736809944102023</v>
      </c>
      <c r="Z160">
        <f t="shared" si="8"/>
        <v>-3.0622841816913859</v>
      </c>
    </row>
    <row r="161" spans="1:26" x14ac:dyDescent="0.25">
      <c r="A161" s="3" t="str">
        <f>_xll.ICEOptionSymbol($B$1,"F","C",$F161)</f>
        <v>EFO 24UC9450-ICN</v>
      </c>
      <c r="B161" s="3">
        <f>_xll.ICEQuote($A161,_xll.ICEFldID(B$5))</f>
        <v>0</v>
      </c>
      <c r="C161" s="3">
        <f>_xll.ICEQuote($A161,_xll.ICEFldID(C$5))</f>
        <v>94.5</v>
      </c>
      <c r="D161" s="3">
        <f>_xll.ICEQuote($A161,_xll.ICEFldID(D$5))</f>
        <v>0.34160403167744385</v>
      </c>
      <c r="E161" s="3">
        <f>_xll.ICEQuote($A161,_xll.ICEFldID(E$5))</f>
        <v>8.339340131148518E-3</v>
      </c>
      <c r="F161" s="3">
        <f>_xll.ICEOptionStrike($B$1,55,"F")</f>
        <v>94.5</v>
      </c>
      <c r="G161" s="3" t="str">
        <f>_xll.ICEOptionSymbol($B$1,"F","P",$F161)</f>
        <v>EFO 24UP9450-ICN</v>
      </c>
      <c r="H161" s="3">
        <f>_xll.ICEQuote($G161,_xll.ICEFldID(H$5))</f>
        <v>0</v>
      </c>
      <c r="I161" s="3">
        <f>_xll.ICEQuote($G161,_xll.ICEFldID(I$5))</f>
        <v>94.5</v>
      </c>
      <c r="J161" s="3">
        <f>_xll.ICEQuote($G161,_xll.ICEFldID(J$5))</f>
        <v>0.42217921971938382</v>
      </c>
      <c r="K161" s="3">
        <f>_xll.ICEQuote($G161,_xll.ICEFldID(K$5))</f>
        <v>-0.9683674736276523</v>
      </c>
      <c r="L161" s="4">
        <f>_xll.ICETimeline(_xll.ICEJoinRange(M4:W4),"DF[dow:12345][tl:Calendar]","2020-07-26;2024-07-26",890,-1)</f>
        <v>45285.5</v>
      </c>
      <c r="M161">
        <f>_xll.ICEHistory(M$4,M$5,"DF[dow:12345][tl:Calendar]",$L161)</f>
        <v>77.8</v>
      </c>
      <c r="N161">
        <f>_xll.ICEHistory(M$4,N$5,"DF[dow:12345][tl:Calendar]",$L161)</f>
        <v>79.349999999999994</v>
      </c>
      <c r="O161">
        <f>_xll.ICEHistory(M$4,O$5,"DF[dow:12345][tl:Calendar]",$L161)</f>
        <v>76.8</v>
      </c>
      <c r="P161">
        <f>_xll.ICEHistory(M$4,P$5,"DF[dow:12345][tl:Calendar]",$L161)</f>
        <v>79.14</v>
      </c>
      <c r="Q161">
        <f>_xll.ICEHistory(M$4,Q$5,"DF[dow:12345][tl:Calendar]",$L161)</f>
        <v>0</v>
      </c>
      <c r="R161">
        <f>_xll.ICEHistory(M$4,R$5,"DF[dow:12345][tl:Calendar]",$L161)</f>
        <v>0</v>
      </c>
      <c r="S161">
        <f>_xll.ICEHistory(S$4,S$5,"DF[dow:12345][tl:Calendar]",$L161)</f>
        <v>34.56</v>
      </c>
      <c r="T161">
        <f>_xll.ICEHistory(S$4,T$5,"DF[dow:12345][tl:Calendar]",$L161)</f>
        <v>34.664999999999999</v>
      </c>
      <c r="U161">
        <f>_xll.ICEHistory(S$4,U$5,"DF[dow:12345][tl:Calendar]",$L161)</f>
        <v>33.479999999999997</v>
      </c>
      <c r="V161">
        <f>_xll.ICEHistory(S$4,V$5,"DF[dow:12345][tl:Calendar]",$L161)</f>
        <v>34.173999999999999</v>
      </c>
      <c r="W161">
        <f>_xll.ICEHistory(S$4,W$5,"DF[dow:12345][tl:Calendar]",$L161)</f>
        <v>0</v>
      </c>
      <c r="X161">
        <f t="shared" si="6"/>
        <v>3.277634961439585E-2</v>
      </c>
      <c r="Y161">
        <f t="shared" si="7"/>
        <v>0.44099071093365833</v>
      </c>
      <c r="Z161">
        <f t="shared" si="8"/>
        <v>-3.3296720355696245</v>
      </c>
    </row>
    <row r="162" spans="1:26" x14ac:dyDescent="0.25">
      <c r="A162" s="3" t="str">
        <f>_xll.ICEOptionSymbol($B$1,"F","C",$F162)</f>
        <v>EFO 24UC9500-ICN</v>
      </c>
      <c r="B162" s="3">
        <f>_xll.ICEQuote($A162,_xll.ICEFldID(B$5))</f>
        <v>6737</v>
      </c>
      <c r="C162" s="3">
        <f>_xll.ICEQuote($A162,_xll.ICEFldID(C$5))</f>
        <v>95</v>
      </c>
      <c r="D162" s="3">
        <f>_xll.ICEQuote($A162,_xll.ICEFldID(D$5))</f>
        <v>0.33736588056559941</v>
      </c>
      <c r="E162" s="3">
        <f>_xll.ICEQuote($A162,_xll.ICEFldID(E$5))</f>
        <v>6.8803143525175319E-3</v>
      </c>
      <c r="F162" s="3">
        <f>_xll.ICEOptionStrike($B$1,56,"F")</f>
        <v>95</v>
      </c>
      <c r="G162" s="3" t="str">
        <f>_xll.ICEOptionSymbol($B$1,"F","P",$F162)</f>
        <v>EFO 24UP9500-ICN</v>
      </c>
      <c r="H162" s="3">
        <f>_xll.ICEQuote($G162,_xll.ICEFldID(H$5))</f>
        <v>0</v>
      </c>
      <c r="I162" s="3">
        <f>_xll.ICEQuote($G162,_xll.ICEFldID(I$5))</f>
        <v>95</v>
      </c>
      <c r="J162" s="3">
        <f>_xll.ICEQuote($G162,_xll.ICEFldID(J$5))</f>
        <v>0.42552369364470299</v>
      </c>
      <c r="K162" s="3">
        <f>_xll.ICEQuote($G162,_xll.ICEFldID(K$5))</f>
        <v>-0.9692443876802237</v>
      </c>
      <c r="L162" s="4">
        <f>_xll.ICETimeline(_xll.ICEJoinRange(M4:W4),"DF[dow:12345][tl:Calendar]","2020-07-26;2024-07-26",889,-1)</f>
        <v>45282.5</v>
      </c>
      <c r="M162">
        <f>_xll.ICEHistory(M$4,M$5,"DF[dow:12345][tl:Calendar]",$L162)</f>
        <v>77.8</v>
      </c>
      <c r="N162">
        <f>_xll.ICEHistory(M$4,N$5,"DF[dow:12345][tl:Calendar]",$L162)</f>
        <v>79.349999999999994</v>
      </c>
      <c r="O162">
        <f>_xll.ICEHistory(M$4,O$5,"DF[dow:12345][tl:Calendar]",$L162)</f>
        <v>76.8</v>
      </c>
      <c r="P162">
        <f>_xll.ICEHistory(M$4,P$5,"DF[dow:12345][tl:Calendar]",$L162)</f>
        <v>79.14</v>
      </c>
      <c r="Q162">
        <f>_xll.ICEHistory(M$4,Q$5,"DF[dow:12345][tl:Calendar]",$L162)</f>
        <v>14877</v>
      </c>
      <c r="R162">
        <f>_xll.ICEHistory(M$4,R$5,"DF[dow:12345][tl:Calendar]",$L162)</f>
        <v>250381</v>
      </c>
      <c r="S162">
        <f>_xll.ICEHistory(S$4,S$5,"DF[dow:12345][tl:Calendar]",$L162)</f>
        <v>34.56</v>
      </c>
      <c r="T162">
        <f>_xll.ICEHistory(S$4,T$5,"DF[dow:12345][tl:Calendar]",$L162)</f>
        <v>34.664999999999999</v>
      </c>
      <c r="U162">
        <f>_xll.ICEHistory(S$4,U$5,"DF[dow:12345][tl:Calendar]",$L162)</f>
        <v>33.479999999999997</v>
      </c>
      <c r="V162">
        <f>_xll.ICEHistory(S$4,V$5,"DF[dow:12345][tl:Calendar]",$L162)</f>
        <v>34.173999999999999</v>
      </c>
      <c r="W162">
        <f>_xll.ICEHistory(S$4,W$5,"DF[dow:12345][tl:Calendar]",$L162)</f>
        <v>704</v>
      </c>
      <c r="X162">
        <f t="shared" si="6"/>
        <v>3.3860045146726823E-2</v>
      </c>
      <c r="Y162">
        <f t="shared" si="7"/>
        <v>0.55755398307614901</v>
      </c>
      <c r="Z162">
        <f t="shared" si="8"/>
        <v>-1.5153131722066107</v>
      </c>
    </row>
    <row r="163" spans="1:26" x14ac:dyDescent="0.25">
      <c r="A163" s="3" t="str">
        <f>_xll.ICEOptionSymbol($B$1,"F","C",$F163)</f>
        <v>EFO 24UC9550-ICN</v>
      </c>
      <c r="B163" s="3">
        <f>_xll.ICEQuote($A163,_xll.ICEFldID(B$5))</f>
        <v>0</v>
      </c>
      <c r="C163" s="3">
        <f>_xll.ICEQuote($A163,_xll.ICEFldID(C$5))</f>
        <v>95.5</v>
      </c>
      <c r="D163" s="3">
        <f>_xll.ICEQuote($A163,_xll.ICEFldID(D$5))</f>
        <v>0.34173100654258698</v>
      </c>
      <c r="E163" s="3">
        <f>_xll.ICEQuote($A163,_xll.ICEFldID(E$5))</f>
        <v>6.803344852101329E-3</v>
      </c>
      <c r="F163" s="3">
        <f>_xll.ICEOptionStrike($B$1,57,"F")</f>
        <v>95.5</v>
      </c>
      <c r="G163" s="3" t="str">
        <f>_xll.ICEOptionSymbol($B$1,"F","P",$F163)</f>
        <v>EFO 24UP9550-ICN</v>
      </c>
      <c r="H163" s="3">
        <f>_xll.ICEQuote($G163,_xll.ICEFldID(H$5))</f>
        <v>0</v>
      </c>
      <c r="I163" s="3">
        <f>_xll.ICEQuote($G163,_xll.ICEFldID(I$5))</f>
        <v>95.5</v>
      </c>
      <c r="J163" s="3">
        <f>_xll.ICEQuote($G163,_xll.ICEFldID(J$5))</f>
        <v>0.43168154782251145</v>
      </c>
      <c r="K163" s="3">
        <f>_xll.ICEQuote($G163,_xll.ICEFldID(K$5))</f>
        <v>-0.96921936707963641</v>
      </c>
      <c r="L163" s="4">
        <f>_xll.ICETimeline(_xll.ICEJoinRange(M4:W4),"DF[dow:12345][tl:Calendar]","2020-07-26;2024-07-26",888,-1)</f>
        <v>45281.5</v>
      </c>
      <c r="M163">
        <f>_xll.ICEHistory(M$4,M$5,"DF[dow:12345][tl:Calendar]",$L163)</f>
        <v>75.31</v>
      </c>
      <c r="N163">
        <f>_xll.ICEHistory(M$4,N$5,"DF[dow:12345][tl:Calendar]",$L163)</f>
        <v>78.75</v>
      </c>
      <c r="O163">
        <f>_xll.ICEHistory(M$4,O$5,"DF[dow:12345][tl:Calendar]",$L163)</f>
        <v>75.31</v>
      </c>
      <c r="P163">
        <f>_xll.ICEHistory(M$4,P$5,"DF[dow:12345][tl:Calendar]",$L163)</f>
        <v>78.14</v>
      </c>
      <c r="Q163">
        <f>_xll.ICEHistory(M$4,Q$5,"DF[dow:12345][tl:Calendar]",$L163)</f>
        <v>25956</v>
      </c>
      <c r="R163">
        <f>_xll.ICEHistory(M$4,R$5,"DF[dow:12345][tl:Calendar]",$L163)</f>
        <v>251461</v>
      </c>
      <c r="S163">
        <f>_xll.ICEHistory(S$4,S$5,"DF[dow:12345][tl:Calendar]",$L163)</f>
        <v>34.270000000000003</v>
      </c>
      <c r="T163">
        <f>_xll.ICEHistory(S$4,T$5,"DF[dow:12345][tl:Calendar]",$L163)</f>
        <v>36.244999999999997</v>
      </c>
      <c r="U163">
        <f>_xll.ICEHistory(S$4,U$5,"DF[dow:12345][tl:Calendar]",$L163)</f>
        <v>33.97</v>
      </c>
      <c r="V163">
        <f>_xll.ICEHistory(S$4,V$5,"DF[dow:12345][tl:Calendar]",$L163)</f>
        <v>34.203000000000003</v>
      </c>
      <c r="W163">
        <f>_xll.ICEHistory(S$4,W$5,"DF[dow:12345][tl:Calendar]",$L163)</f>
        <v>655</v>
      </c>
      <c r="X163">
        <f t="shared" si="6"/>
        <v>4.7824273599332646E-2</v>
      </c>
      <c r="Y163">
        <f t="shared" si="7"/>
        <v>1.799257583190055</v>
      </c>
      <c r="Z163">
        <f t="shared" si="8"/>
        <v>0.10735311620863051</v>
      </c>
    </row>
    <row r="164" spans="1:26" x14ac:dyDescent="0.25">
      <c r="A164" s="3" t="str">
        <f>_xll.ICEOptionSymbol($B$1,"F","C",$F164)</f>
        <v>EFO 24UC9600-ICN</v>
      </c>
      <c r="B164" s="3">
        <f>_xll.ICEQuote($A164,_xll.ICEFldID(B$5))</f>
        <v>0</v>
      </c>
      <c r="C164" s="3">
        <f>_xll.ICEQuote($A164,_xll.ICEFldID(C$5))</f>
        <v>96</v>
      </c>
      <c r="D164" s="3">
        <f>_xll.ICEQuote($A164,_xll.ICEFldID(D$5))</f>
        <v>0.34606547605094451</v>
      </c>
      <c r="E164" s="3">
        <f>_xll.ICEQuote($A164,_xll.ICEFldID(E$5))</f>
        <v>6.7287381462961034E-3</v>
      </c>
      <c r="F164" s="3">
        <f>_xll.ICEOptionStrike($B$1,58,"F")</f>
        <v>96</v>
      </c>
      <c r="G164" s="3" t="str">
        <f>_xll.ICEOptionSymbol($B$1,"F","P",$F164)</f>
        <v>EFO 24UP9600-ICN</v>
      </c>
      <c r="H164" s="3">
        <f>_xll.ICEQuote($G164,_xll.ICEFldID(H$5))</f>
        <v>0</v>
      </c>
      <c r="I164" s="3">
        <f>_xll.ICEQuote($G164,_xll.ICEFldID(I$5))</f>
        <v>96</v>
      </c>
      <c r="J164" s="3">
        <f>_xll.ICEQuote($G164,_xll.ICEFldID(J$5))</f>
        <v>0.43780761984417227</v>
      </c>
      <c r="K164" s="3">
        <f>_xll.ICEQuote($G164,_xll.ICEFldID(K$5))</f>
        <v>-0.9691928096296617</v>
      </c>
      <c r="L164" s="4">
        <f>_xll.ICETimeline(_xll.ICEJoinRange(M4:W4),"DF[dow:12345][tl:Calendar]","2020-07-26;2024-07-26",887,-1)</f>
        <v>45280.5</v>
      </c>
      <c r="M164">
        <f>_xll.ICEHistory(M$4,M$5,"DF[dow:12345][tl:Calendar]",$L164)</f>
        <v>71.930000000000007</v>
      </c>
      <c r="N164">
        <f>_xll.ICEHistory(M$4,N$5,"DF[dow:12345][tl:Calendar]",$L164)</f>
        <v>75.739999999999995</v>
      </c>
      <c r="O164">
        <f>_xll.ICEHistory(M$4,O$5,"DF[dow:12345][tl:Calendar]",$L164)</f>
        <v>71.87</v>
      </c>
      <c r="P164">
        <f>_xll.ICEHistory(M$4,P$5,"DF[dow:12345][tl:Calendar]",$L164)</f>
        <v>75.36</v>
      </c>
      <c r="Q164">
        <f>_xll.ICEHistory(M$4,Q$5,"DF[dow:12345][tl:Calendar]",$L164)</f>
        <v>26070</v>
      </c>
      <c r="R164">
        <f>_xll.ICEHistory(M$4,R$5,"DF[dow:12345][tl:Calendar]",$L164)</f>
        <v>256416</v>
      </c>
      <c r="S164">
        <f>_xll.ICEHistory(S$4,S$5,"DF[dow:12345][tl:Calendar]",$L164)</f>
        <v>34.56</v>
      </c>
      <c r="T164">
        <f>_xll.ICEHistory(S$4,T$5,"DF[dow:12345][tl:Calendar]",$L164)</f>
        <v>34.56</v>
      </c>
      <c r="U164">
        <f>_xll.ICEHistory(S$4,U$5,"DF[dow:12345][tl:Calendar]",$L164)</f>
        <v>32.905000000000001</v>
      </c>
      <c r="V164">
        <f>_xll.ICEHistory(S$4,V$5,"DF[dow:12345][tl:Calendar]",$L164)</f>
        <v>33.521000000000001</v>
      </c>
      <c r="W164">
        <f>_xll.ICEHistory(S$4,W$5,"DF[dow:12345][tl:Calendar]",$L164)</f>
        <v>694</v>
      </c>
      <c r="X164">
        <f t="shared" si="6"/>
        <v>5.3757466314765807E-2</v>
      </c>
      <c r="Y164">
        <f t="shared" si="7"/>
        <v>2.3896244116949776</v>
      </c>
      <c r="Z164">
        <f t="shared" si="8"/>
        <v>0.13799349209638659</v>
      </c>
    </row>
    <row r="165" spans="1:26" x14ac:dyDescent="0.25">
      <c r="A165" s="3" t="str">
        <f>_xll.ICEOptionSymbol($B$1,"F","C",$F165)</f>
        <v>EFO 24UC9650-ICN</v>
      </c>
      <c r="B165" s="3">
        <f>_xll.ICEQuote($A165,_xll.ICEFldID(B$5))</f>
        <v>0</v>
      </c>
      <c r="C165" s="3">
        <f>_xll.ICEQuote($A165,_xll.ICEFldID(C$5))</f>
        <v>96.5</v>
      </c>
      <c r="D165" s="3">
        <f>_xll.ICEQuote($A165,_xll.ICEFldID(D$5))</f>
        <v>0.33958799946851553</v>
      </c>
      <c r="E165" s="3">
        <f>_xll.ICEQuote($A165,_xll.ICEFldID(E$5))</f>
        <v>5.2589203212015517E-3</v>
      </c>
      <c r="F165" s="3">
        <f>_xll.ICEOptionStrike($B$1,59,"F")</f>
        <v>96.5</v>
      </c>
      <c r="G165" s="3" t="str">
        <f>_xll.ICEOptionSymbol($B$1,"F","P",$F165)</f>
        <v>EFO 24UP9650-ICN</v>
      </c>
      <c r="H165" s="3">
        <f>_xll.ICEQuote($G165,_xll.ICEFldID(H$5))</f>
        <v>0</v>
      </c>
      <c r="I165" s="3">
        <f>_xll.ICEQuote($G165,_xll.ICEFldID(I$5))</f>
        <v>96.5</v>
      </c>
      <c r="J165" s="3">
        <f>_xll.ICEQuote($G165,_xll.ICEFldID(J$5))</f>
        <v>0.44098843342889504</v>
      </c>
      <c r="K165" s="3">
        <f>_xll.ICEQuote($G165,_xll.ICEFldID(K$5))</f>
        <v>-0.97002971437003105</v>
      </c>
      <c r="L165" s="4">
        <f>_xll.ICETimeline(_xll.ICEJoinRange(M4:W4),"DF[dow:12345][tl:Calendar]","2020-07-26;2024-07-26",886,-1)</f>
        <v>45279.5</v>
      </c>
      <c r="M165">
        <f>_xll.ICEHistory(M$4,M$5,"DF[dow:12345][tl:Calendar]",$L165)</f>
        <v>71.989999999999995</v>
      </c>
      <c r="N165">
        <f>_xll.ICEHistory(M$4,N$5,"DF[dow:12345][tl:Calendar]",$L165)</f>
        <v>72.040000000000006</v>
      </c>
      <c r="O165">
        <f>_xll.ICEHistory(M$4,O$5,"DF[dow:12345][tl:Calendar]",$L165)</f>
        <v>70.650000000000006</v>
      </c>
      <c r="P165">
        <f>_xll.ICEHistory(M$4,P$5,"DF[dow:12345][tl:Calendar]",$L165)</f>
        <v>71.930000000000007</v>
      </c>
      <c r="Q165">
        <f>_xll.ICEHistory(M$4,Q$5,"DF[dow:12345][tl:Calendar]",$L165)</f>
        <v>14040</v>
      </c>
      <c r="R165">
        <f>_xll.ICEHistory(M$4,R$5,"DF[dow:12345][tl:Calendar]",$L165)</f>
        <v>253872</v>
      </c>
      <c r="S165">
        <f>_xll.ICEHistory(S$4,S$5,"DF[dow:12345][tl:Calendar]",$L165)</f>
        <v>34.33</v>
      </c>
      <c r="T165">
        <f>_xll.ICEHistory(S$4,T$5,"DF[dow:12345][tl:Calendar]",$L165)</f>
        <v>34.33</v>
      </c>
      <c r="U165">
        <f>_xll.ICEHistory(S$4,U$5,"DF[dow:12345][tl:Calendar]",$L165)</f>
        <v>32.18</v>
      </c>
      <c r="V165">
        <f>_xll.ICEHistory(S$4,V$5,"DF[dow:12345][tl:Calendar]",$L165)</f>
        <v>32.567999999999998</v>
      </c>
      <c r="W165">
        <f>_xll.ICEHistory(S$4,W$5,"DF[dow:12345][tl:Calendar]",$L165)</f>
        <v>584</v>
      </c>
      <c r="X165">
        <f t="shared" si="6"/>
        <v>2.0613970043007569E-2</v>
      </c>
      <c r="Y165">
        <f t="shared" si="7"/>
        <v>-0.60586132489215483</v>
      </c>
      <c r="Z165">
        <f t="shared" si="8"/>
        <v>-1.6110585944388327</v>
      </c>
    </row>
    <row r="166" spans="1:26" x14ac:dyDescent="0.25">
      <c r="A166" s="3" t="str">
        <f>_xll.ICEOptionSymbol($B$1,"F","C",$F166)</f>
        <v>EFO 24UC9700-ICN</v>
      </c>
      <c r="B166" s="3">
        <f>_xll.ICEQuote($A166,_xll.ICEFldID(B$5))</f>
        <v>0</v>
      </c>
      <c r="C166" s="3">
        <f>_xll.ICEQuote($A166,_xll.ICEFldID(C$5))</f>
        <v>97</v>
      </c>
      <c r="D166" s="3">
        <f>_xll.ICEQuote($A166,_xll.ICEFldID(D$5))</f>
        <v>0.34376004073534011</v>
      </c>
      <c r="E166" s="3">
        <f>_xll.ICEQuote($A166,_xll.ICEFldID(E$5))</f>
        <v>5.2027536407480745E-3</v>
      </c>
      <c r="F166" s="3">
        <f>_xll.ICEOptionStrike($B$1,60,"F")</f>
        <v>97</v>
      </c>
      <c r="G166" s="3" t="str">
        <f>_xll.ICEOptionSymbol($B$1,"F","P",$F166)</f>
        <v>EFO 24UP9700-ICN</v>
      </c>
      <c r="H166" s="3">
        <f>_xll.ICEQuote($G166,_xll.ICEFldID(H$5))</f>
        <v>0</v>
      </c>
      <c r="I166" s="3">
        <f>_xll.ICEQuote($G166,_xll.ICEFldID(I$5))</f>
        <v>97</v>
      </c>
      <c r="J166" s="3">
        <f>_xll.ICEQuote($G166,_xll.ICEFldID(J$5))</f>
        <v>0.44705512777781536</v>
      </c>
      <c r="K166" s="3">
        <f>_xll.ICEQuote($G166,_xll.ICEFldID(K$5))</f>
        <v>-0.96998940990067095</v>
      </c>
      <c r="L166" s="4">
        <f>_xll.ICETimeline(_xll.ICEJoinRange(M4:W4),"DF[dow:12345][tl:Calendar]","2020-07-26;2024-07-26",885,-1)</f>
        <v>45278.5</v>
      </c>
      <c r="M166">
        <f>_xll.ICEHistory(M$4,M$5,"DF[dow:12345][tl:Calendar]",$L166)</f>
        <v>67.430000000000007</v>
      </c>
      <c r="N166">
        <f>_xll.ICEHistory(M$4,N$5,"DF[dow:12345][tl:Calendar]",$L166)</f>
        <v>70.599999999999994</v>
      </c>
      <c r="O166">
        <f>_xll.ICEHistory(M$4,O$5,"DF[dow:12345][tl:Calendar]",$L166)</f>
        <v>66.3</v>
      </c>
      <c r="P166">
        <f>_xll.ICEHistory(M$4,P$5,"DF[dow:12345][tl:Calendar]",$L166)</f>
        <v>68.83</v>
      </c>
      <c r="Q166">
        <f>_xll.ICEHistory(M$4,Q$5,"DF[dow:12345][tl:Calendar]",$L166)</f>
        <v>16832</v>
      </c>
      <c r="R166">
        <f>_xll.ICEHistory(M$4,R$5,"DF[dow:12345][tl:Calendar]",$L166)</f>
        <v>245343</v>
      </c>
      <c r="S166">
        <f>_xll.ICEHistory(S$4,S$5,"DF[dow:12345][tl:Calendar]",$L166)</f>
        <v>33.634999999999998</v>
      </c>
      <c r="T166">
        <f>_xll.ICEHistory(S$4,T$5,"DF[dow:12345][tl:Calendar]",$L166)</f>
        <v>37.384999999999998</v>
      </c>
      <c r="U166">
        <f>_xll.ICEHistory(S$4,U$5,"DF[dow:12345][tl:Calendar]",$L166)</f>
        <v>32.465000000000003</v>
      </c>
      <c r="V166">
        <f>_xll.ICEHistory(S$4,V$5,"DF[dow:12345][tl:Calendar]",$L166)</f>
        <v>35.521999999999998</v>
      </c>
      <c r="W166">
        <f>_xll.ICEHistory(S$4,W$5,"DF[dow:12345][tl:Calendar]",$L166)</f>
        <v>2614</v>
      </c>
      <c r="X166">
        <f t="shared" si="6"/>
        <v>6.4409826243259388E-2</v>
      </c>
      <c r="Y166">
        <f t="shared" si="7"/>
        <v>3.5254555036815152</v>
      </c>
      <c r="Z166">
        <f t="shared" si="8"/>
        <v>-1.2372432790978167</v>
      </c>
    </row>
    <row r="167" spans="1:26" x14ac:dyDescent="0.25">
      <c r="A167" s="3" t="str">
        <f>_xll.ICEOptionSymbol($B$1,"F","C",$F167)</f>
        <v>EFO 24UC9750-ICN</v>
      </c>
      <c r="B167" s="3">
        <f>_xll.ICEQuote($A167,_xll.ICEFldID(B$5))</f>
        <v>0</v>
      </c>
      <c r="C167" s="3">
        <f>_xll.ICEQuote($A167,_xll.ICEFldID(C$5))</f>
        <v>97.5</v>
      </c>
      <c r="D167" s="3">
        <f>_xll.ICEQuote($A167,_xll.ICEFldID(D$5))</f>
        <v>0.34790377846933823</v>
      </c>
      <c r="E167" s="3">
        <f>_xll.ICEQuote($A167,_xll.ICEFldID(E$5))</f>
        <v>5.1482360469073778E-3</v>
      </c>
      <c r="F167" s="3">
        <f>_xll.ICEOptionStrike($B$1,61,"F")</f>
        <v>97.5</v>
      </c>
      <c r="G167" s="3" t="str">
        <f>_xll.ICEOptionSymbol($B$1,"F","P",$F167)</f>
        <v>EFO 24UP9750-ICN</v>
      </c>
      <c r="H167" s="3">
        <f>_xll.ICEQuote($G167,_xll.ICEFldID(H$5))</f>
        <v>0</v>
      </c>
      <c r="I167" s="3">
        <f>_xll.ICEQuote($G167,_xll.ICEFldID(I$5))</f>
        <v>97.5</v>
      </c>
      <c r="J167" s="3">
        <f>_xll.ICEQuote($G167,_xll.ICEFldID(J$5))</f>
        <v>0.45309117192112947</v>
      </c>
      <c r="K167" s="3">
        <f>_xll.ICEQuote($G167,_xll.ICEFldID(K$5))</f>
        <v>-0.96994813140510783</v>
      </c>
      <c r="L167" s="4">
        <f>_xll.ICETimeline(_xll.ICEJoinRange(M4:W4),"DF[dow:12345][tl:Calendar]","2020-07-26;2024-07-26",884,-1)</f>
        <v>45275.5</v>
      </c>
      <c r="M167">
        <f>_xll.ICEHistory(M$4,M$5,"DF[dow:12345][tl:Calendar]",$L167)</f>
        <v>66.760000000000005</v>
      </c>
      <c r="N167">
        <f>_xll.ICEHistory(M$4,N$5,"DF[dow:12345][tl:Calendar]",$L167)</f>
        <v>67.819999999999993</v>
      </c>
      <c r="O167">
        <f>_xll.ICEHistory(M$4,O$5,"DF[dow:12345][tl:Calendar]",$L167)</f>
        <v>66.209999999999994</v>
      </c>
      <c r="P167">
        <f>_xll.ICEHistory(M$4,P$5,"DF[dow:12345][tl:Calendar]",$L167)</f>
        <v>67.569999999999993</v>
      </c>
      <c r="Q167">
        <f>_xll.ICEHistory(M$4,Q$5,"DF[dow:12345][tl:Calendar]",$L167)</f>
        <v>16621</v>
      </c>
      <c r="R167">
        <f>_xll.ICEHistory(M$4,R$5,"DF[dow:12345][tl:Calendar]",$L167)</f>
        <v>240613</v>
      </c>
      <c r="S167">
        <f>_xll.ICEHistory(S$4,S$5,"DF[dow:12345][tl:Calendar]",$L167)</f>
        <v>33.895000000000003</v>
      </c>
      <c r="T167">
        <f>_xll.ICEHistory(S$4,T$5,"DF[dow:12345][tl:Calendar]",$L167)</f>
        <v>34.43</v>
      </c>
      <c r="U167">
        <f>_xll.ICEHistory(S$4,U$5,"DF[dow:12345][tl:Calendar]",$L167)</f>
        <v>33.01</v>
      </c>
      <c r="V167">
        <f>_xll.ICEHistory(S$4,V$5,"DF[dow:12345][tl:Calendar]",$L167)</f>
        <v>33.189</v>
      </c>
      <c r="W167">
        <f>_xll.ICEHistory(S$4,W$5,"DF[dow:12345][tl:Calendar]",$L167)</f>
        <v>215</v>
      </c>
      <c r="X167">
        <f t="shared" si="6"/>
        <v>2.3218921257571377E-2</v>
      </c>
      <c r="Y167">
        <f t="shared" si="7"/>
        <v>-0.31893263304859804</v>
      </c>
      <c r="Z167">
        <f t="shared" si="8"/>
        <v>-1.2759689082227168</v>
      </c>
    </row>
    <row r="168" spans="1:26" x14ac:dyDescent="0.25">
      <c r="A168" s="3" t="str">
        <f>_xll.ICEOptionSymbol($B$1,"F","C",$F168)</f>
        <v>EFO 24UC9800-ICN</v>
      </c>
      <c r="B168" s="3">
        <f>_xll.ICEQuote($A168,_xll.ICEFldID(B$5))</f>
        <v>0</v>
      </c>
      <c r="C168" s="3">
        <f>_xll.ICEQuote($A168,_xll.ICEFldID(C$5))</f>
        <v>98</v>
      </c>
      <c r="D168" s="3">
        <f>_xll.ICEQuote($A168,_xll.ICEFldID(D$5))</f>
        <v>0.35201963038480655</v>
      </c>
      <c r="E168" s="3">
        <f>_xll.ICEQuote($A168,_xll.ICEFldID(E$5))</f>
        <v>5.0952937299358243E-3</v>
      </c>
      <c r="F168" s="3">
        <f>_xll.ICEOptionStrike($B$1,62,"F")</f>
        <v>98</v>
      </c>
      <c r="G168" s="3" t="str">
        <f>_xll.ICEOptionSymbol($B$1,"F","P",$F168)</f>
        <v>EFO 24UP9800-ICN</v>
      </c>
      <c r="H168" s="3">
        <f>_xll.ICEQuote($G168,_xll.ICEFldID(H$5))</f>
        <v>0</v>
      </c>
      <c r="I168" s="3">
        <f>_xll.ICEQuote($G168,_xll.ICEFldID(I$5))</f>
        <v>98</v>
      </c>
      <c r="J168" s="3">
        <f>_xll.ICEQuote($G168,_xll.ICEFldID(J$5))</f>
        <v>0.45909689323267139</v>
      </c>
      <c r="K168" s="3">
        <f>_xll.ICEQuote($G168,_xll.ICEFldID(K$5))</f>
        <v>-0.96990592956602983</v>
      </c>
      <c r="L168" s="4">
        <f>_xll.ICETimeline(_xll.ICEJoinRange(M4:W4),"DF[dow:12345][tl:Calendar]","2020-07-26;2024-07-26",883,-1)</f>
        <v>45274.5</v>
      </c>
      <c r="M168">
        <f>_xll.ICEHistory(M$4,M$5,"DF[dow:12345][tl:Calendar]",$L168)</f>
        <v>69.34</v>
      </c>
      <c r="N168">
        <f>_xll.ICEHistory(M$4,N$5,"DF[dow:12345][tl:Calendar]",$L168)</f>
        <v>70.16</v>
      </c>
      <c r="O168">
        <f>_xll.ICEHistory(M$4,O$5,"DF[dow:12345][tl:Calendar]",$L168)</f>
        <v>65.989999999999995</v>
      </c>
      <c r="P168">
        <f>_xll.ICEHistory(M$4,P$5,"DF[dow:12345][tl:Calendar]",$L168)</f>
        <v>66.73</v>
      </c>
      <c r="Q168">
        <f>_xll.ICEHistory(M$4,Q$5,"DF[dow:12345][tl:Calendar]",$L168)</f>
        <v>28409</v>
      </c>
      <c r="R168">
        <f>_xll.ICEHistory(M$4,R$5,"DF[dow:12345][tl:Calendar]",$L168)</f>
        <v>245111</v>
      </c>
      <c r="S168">
        <f>_xll.ICEHistory(S$4,S$5,"DF[dow:12345][tl:Calendar]",$L168)</f>
        <v>36.65</v>
      </c>
      <c r="T168">
        <f>_xll.ICEHistory(S$4,T$5,"DF[dow:12345][tl:Calendar]",$L168)</f>
        <v>36.65</v>
      </c>
      <c r="U168">
        <f>_xll.ICEHistory(S$4,U$5,"DF[dow:12345][tl:Calendar]",$L168)</f>
        <v>34.585000000000001</v>
      </c>
      <c r="V168">
        <f>_xll.ICEHistory(S$4,V$5,"DF[dow:12345][tl:Calendar]",$L168)</f>
        <v>34.85</v>
      </c>
      <c r="W168">
        <f>_xll.ICEHistory(S$4,W$5,"DF[dow:12345][tl:Calendar]",$L168)</f>
        <v>413</v>
      </c>
      <c r="X168">
        <f t="shared" si="6"/>
        <v>6.1134730977862511E-2</v>
      </c>
      <c r="Y168">
        <f t="shared" si="7"/>
        <v>3.6492255485917537</v>
      </c>
      <c r="Z168">
        <f t="shared" si="8"/>
        <v>0.49195977459365797</v>
      </c>
    </row>
    <row r="169" spans="1:26" x14ac:dyDescent="0.25">
      <c r="A169" s="3" t="str">
        <f>_xll.ICEOptionSymbol($B$1,"F","C",$F169)</f>
        <v>EFO 24UC9850-ICN</v>
      </c>
      <c r="B169" s="3">
        <f>_xll.ICEQuote($A169,_xll.ICEFldID(B$5))</f>
        <v>0</v>
      </c>
      <c r="C169" s="3">
        <f>_xll.ICEQuote($A169,_xll.ICEFldID(C$5))</f>
        <v>98.5</v>
      </c>
      <c r="D169" s="3">
        <f>_xll.ICEQuote($A169,_xll.ICEFldID(D$5))</f>
        <v>0.34171974259600163</v>
      </c>
      <c r="E169" s="3">
        <f>_xll.ICEQuote($A169,_xll.ICEFldID(E$5))</f>
        <v>3.6037780138172405E-3</v>
      </c>
      <c r="F169" s="3">
        <f>_xll.ICEOptionStrike($B$1,63,"F")</f>
        <v>98.5</v>
      </c>
      <c r="G169" s="3" t="str">
        <f>_xll.ICEOptionSymbol($B$1,"F","P",$F169)</f>
        <v>EFO 24UP9850-ICN</v>
      </c>
      <c r="H169" s="3">
        <f>_xll.ICEQuote($G169,_xll.ICEFldID(H$5))</f>
        <v>0</v>
      </c>
      <c r="I169" s="3">
        <f>_xll.ICEQuote($G169,_xll.ICEFldID(I$5))</f>
        <v>98.5</v>
      </c>
      <c r="J169" s="3">
        <f>_xll.ICEQuote($G169,_xll.ICEFldID(J$5))</f>
        <v>0.46209587514587785</v>
      </c>
      <c r="K169" s="3">
        <f>_xll.ICEQuote($G169,_xll.ICEFldID(K$5))</f>
        <v>-0.9706960759301837</v>
      </c>
      <c r="L169" s="4">
        <f>_xll.ICETimeline(_xll.ICEJoinRange(M4:W4),"DF[dow:12345][tl:Calendar]","2020-07-26;2024-07-26",882,-1)</f>
        <v>45273.5</v>
      </c>
      <c r="M169">
        <f>_xll.ICEHistory(M$4,M$5,"DF[dow:12345][tl:Calendar]",$L169)</f>
        <v>68.209999999999994</v>
      </c>
      <c r="N169">
        <f>_xll.ICEHistory(M$4,N$5,"DF[dow:12345][tl:Calendar]",$L169)</f>
        <v>70</v>
      </c>
      <c r="O169">
        <f>_xll.ICEHistory(M$4,O$5,"DF[dow:12345][tl:Calendar]",$L169)</f>
        <v>67.92</v>
      </c>
      <c r="P169">
        <f>_xll.ICEHistory(M$4,P$5,"DF[dow:12345][tl:Calendar]",$L169)</f>
        <v>68.88</v>
      </c>
      <c r="Q169">
        <f>_xll.ICEHistory(M$4,Q$5,"DF[dow:12345][tl:Calendar]",$L169)</f>
        <v>34131</v>
      </c>
      <c r="R169">
        <f>_xll.ICEHistory(M$4,R$5,"DF[dow:12345][tl:Calendar]",$L169)</f>
        <v>249154</v>
      </c>
      <c r="S169">
        <f>_xll.ICEHistory(S$4,S$5,"DF[dow:12345][tl:Calendar]",$L169)</f>
        <v>34.674999999999997</v>
      </c>
      <c r="T169">
        <f>_xll.ICEHistory(S$4,T$5,"DF[dow:12345][tl:Calendar]",$L169)</f>
        <v>36.25</v>
      </c>
      <c r="U169">
        <f>_xll.ICEHistory(S$4,U$5,"DF[dow:12345][tl:Calendar]",$L169)</f>
        <v>34.674999999999997</v>
      </c>
      <c r="V169">
        <f>_xll.ICEHistory(S$4,V$5,"DF[dow:12345][tl:Calendar]",$L169)</f>
        <v>35.811999999999998</v>
      </c>
      <c r="W169">
        <f>_xll.ICEHistory(S$4,W$5,"DF[dow:12345][tl:Calendar]",$L169)</f>
        <v>2335</v>
      </c>
      <c r="X169">
        <f t="shared" si="6"/>
        <v>3.0906389301634449E-2</v>
      </c>
      <c r="Y169">
        <f t="shared" si="7"/>
        <v>0.61211408308213089</v>
      </c>
      <c r="Z169">
        <f t="shared" si="8"/>
        <v>1.3596306739042401</v>
      </c>
    </row>
    <row r="170" spans="1:26" x14ac:dyDescent="0.25">
      <c r="A170" s="3" t="str">
        <f>_xll.ICEOptionSymbol($B$1,"F","C",$F170)</f>
        <v>EFO 24UC9900-ICN</v>
      </c>
      <c r="B170" s="3">
        <f>_xll.ICEQuote($A170,_xll.ICEFldID(B$5))</f>
        <v>0</v>
      </c>
      <c r="C170" s="3">
        <f>_xll.ICEQuote($A170,_xll.ICEFldID(C$5))</f>
        <v>99</v>
      </c>
      <c r="D170" s="3">
        <f>_xll.ICEQuote($A170,_xll.ICEFldID(D$5))</f>
        <v>0.34565123898510564</v>
      </c>
      <c r="E170" s="3">
        <f>_xll.ICEQuote($A170,_xll.ICEFldID(E$5))</f>
        <v>3.5674823618155223E-3</v>
      </c>
      <c r="F170" s="3">
        <f>_xll.ICEOptionStrike($B$1,64,"F")</f>
        <v>99</v>
      </c>
      <c r="G170" s="3" t="str">
        <f>_xll.ICEOptionSymbol($B$1,"F","P",$F170)</f>
        <v>EFO 24UP9900-ICN</v>
      </c>
      <c r="H170" s="3">
        <f>_xll.ICEQuote($G170,_xll.ICEFldID(H$5))</f>
        <v>0</v>
      </c>
      <c r="I170" s="3">
        <f>_xll.ICEQuote($G170,_xll.ICEFldID(I$5))</f>
        <v>99</v>
      </c>
      <c r="J170" s="3">
        <f>_xll.ICEQuote($G170,_xll.ICEFldID(J$5))</f>
        <v>0.46804652313062872</v>
      </c>
      <c r="K170" s="3">
        <f>_xll.ICEQuote($G170,_xll.ICEFldID(K$5))</f>
        <v>-0.97064224977870217</v>
      </c>
      <c r="L170" s="4">
        <f>_xll.ICETimeline(_xll.ICEJoinRange(M4:W4),"DF[dow:12345][tl:Calendar]","2020-07-26;2024-07-26",881,-1)</f>
        <v>45272.5</v>
      </c>
      <c r="M170">
        <f>_xll.ICEHistory(M$4,M$5,"DF[dow:12345][tl:Calendar]",$L170)</f>
        <v>67.3</v>
      </c>
      <c r="N170">
        <f>_xll.ICEHistory(M$4,N$5,"DF[dow:12345][tl:Calendar]",$L170)</f>
        <v>68.63</v>
      </c>
      <c r="O170">
        <f>_xll.ICEHistory(M$4,O$5,"DF[dow:12345][tl:Calendar]",$L170)</f>
        <v>66.87</v>
      </c>
      <c r="P170">
        <f>_xll.ICEHistory(M$4,P$5,"DF[dow:12345][tl:Calendar]",$L170)</f>
        <v>68.239999999999995</v>
      </c>
      <c r="Q170">
        <f>_xll.ICEHistory(M$4,Q$5,"DF[dow:12345][tl:Calendar]",$L170)</f>
        <v>30981</v>
      </c>
      <c r="R170">
        <f>_xll.ICEHistory(M$4,R$5,"DF[dow:12345][tl:Calendar]",$L170)</f>
        <v>263377</v>
      </c>
      <c r="S170">
        <f>_xll.ICEHistory(S$4,S$5,"DF[dow:12345][tl:Calendar]",$L170)</f>
        <v>36.43</v>
      </c>
      <c r="T170">
        <f>_xll.ICEHistory(S$4,T$5,"DF[dow:12345][tl:Calendar]",$L170)</f>
        <v>36.534999999999997</v>
      </c>
      <c r="U170">
        <f>_xll.ICEHistory(S$4,U$5,"DF[dow:12345][tl:Calendar]",$L170)</f>
        <v>34.534999999999997</v>
      </c>
      <c r="V170">
        <f>_xll.ICEHistory(S$4,V$5,"DF[dow:12345][tl:Calendar]",$L170)</f>
        <v>34.703000000000003</v>
      </c>
      <c r="W170">
        <f>_xll.ICEHistory(S$4,W$5,"DF[dow:12345][tl:Calendar]",$L170)</f>
        <v>850</v>
      </c>
      <c r="X170">
        <f t="shared" si="6"/>
        <v>2.5727232860692749E-2</v>
      </c>
      <c r="Y170">
        <f t="shared" si="7"/>
        <v>-1.4378341158146157E-2</v>
      </c>
      <c r="Z170">
        <f t="shared" si="8"/>
        <v>0.92730932939822897</v>
      </c>
    </row>
    <row r="171" spans="1:26" x14ac:dyDescent="0.25">
      <c r="A171" s="3" t="str">
        <f>_xll.ICEOptionSymbol($B$1,"F","C",$F171)</f>
        <v>EFO 24UC9950-ICN</v>
      </c>
      <c r="B171" s="3">
        <f>_xll.ICEQuote($A171,_xll.ICEFldID(B$5))</f>
        <v>0</v>
      </c>
      <c r="C171" s="3">
        <f>_xll.ICEQuote($A171,_xll.ICEFldID(C$5))</f>
        <v>99.5</v>
      </c>
      <c r="D171" s="3">
        <f>_xll.ICEQuote($A171,_xll.ICEFldID(D$5))</f>
        <v>0.34955719859044071</v>
      </c>
      <c r="E171" s="3">
        <f>_xll.ICEQuote($A171,_xll.ICEFldID(E$5))</f>
        <v>3.5321939310945277E-3</v>
      </c>
      <c r="F171" s="3">
        <f>_xll.ICEOptionStrike($B$1,65,"F")</f>
        <v>99.5</v>
      </c>
      <c r="G171" s="3" t="str">
        <f>_xll.ICEOptionSymbol($B$1,"F","P",$F171)</f>
        <v>EFO 24UP9950-ICN</v>
      </c>
      <c r="H171" s="3">
        <f>_xll.ICEQuote($G171,_xll.ICEFldID(H$5))</f>
        <v>0</v>
      </c>
      <c r="I171" s="3">
        <f>_xll.ICEQuote($G171,_xll.ICEFldID(I$5))</f>
        <v>99.5</v>
      </c>
      <c r="J171" s="3">
        <f>_xll.ICEQuote($G171,_xll.ICEFldID(J$5))</f>
        <v>0.47396784176796308</v>
      </c>
      <c r="K171" s="3">
        <f>_xll.ICEQuote($G171,_xll.ICEFldID(K$5))</f>
        <v>-0.97058792435836538</v>
      </c>
      <c r="L171" s="4">
        <f>_xll.ICETimeline(_xll.ICEJoinRange(M4:W4),"DF[dow:12345][tl:Calendar]","2020-07-26;2024-07-26",880,-1)</f>
        <v>45271.5</v>
      </c>
      <c r="M171">
        <f>_xll.ICEHistory(M$4,M$5,"DF[dow:12345][tl:Calendar]",$L171)</f>
        <v>68.41</v>
      </c>
      <c r="N171">
        <f>_xll.ICEHistory(M$4,N$5,"DF[dow:12345][tl:Calendar]",$L171)</f>
        <v>68.5</v>
      </c>
      <c r="O171">
        <f>_xll.ICEHistory(M$4,O$5,"DF[dow:12345][tl:Calendar]",$L171)</f>
        <v>66.260000000000005</v>
      </c>
      <c r="P171">
        <f>_xll.ICEHistory(M$4,P$5,"DF[dow:12345][tl:Calendar]",$L171)</f>
        <v>67.34</v>
      </c>
      <c r="Q171">
        <f>_xll.ICEHistory(M$4,Q$5,"DF[dow:12345][tl:Calendar]",$L171)</f>
        <v>35742</v>
      </c>
      <c r="R171">
        <f>_xll.ICEHistory(M$4,R$5,"DF[dow:12345][tl:Calendar]",$L171)</f>
        <v>266457</v>
      </c>
      <c r="S171">
        <f>_xll.ICEHistory(S$4,S$5,"DF[dow:12345][tl:Calendar]",$L171)</f>
        <v>36.344999999999999</v>
      </c>
      <c r="T171">
        <f>_xll.ICEHistory(S$4,T$5,"DF[dow:12345][tl:Calendar]",$L171)</f>
        <v>37.155000000000001</v>
      </c>
      <c r="U171">
        <f>_xll.ICEHistory(S$4,U$5,"DF[dow:12345][tl:Calendar]",$L171)</f>
        <v>35.950000000000003</v>
      </c>
      <c r="V171">
        <f>_xll.ICEHistory(S$4,V$5,"DF[dow:12345][tl:Calendar]",$L171)</f>
        <v>36.118000000000002</v>
      </c>
      <c r="W171">
        <f>_xll.ICEHistory(S$4,W$5,"DF[dow:12345][tl:Calendar]",$L171)</f>
        <v>1187</v>
      </c>
      <c r="X171">
        <f t="shared" si="6"/>
        <v>3.1999999999999924E-2</v>
      </c>
      <c r="Y171">
        <f t="shared" si="7"/>
        <v>0.71871928175183231</v>
      </c>
      <c r="Z171">
        <f t="shared" si="8"/>
        <v>1.6794984073144743</v>
      </c>
    </row>
    <row r="172" spans="1:26" x14ac:dyDescent="0.25">
      <c r="A172" s="3" t="str">
        <f>_xll.ICEOptionSymbol($B$1,"F","C",$F172)</f>
        <v>EFO 24UC10000-ICN</v>
      </c>
      <c r="B172" s="3">
        <f>_xll.ICEQuote($A172,_xll.ICEFldID(B$5))</f>
        <v>9300</v>
      </c>
      <c r="C172" s="3">
        <f>_xll.ICEQuote($A172,_xll.ICEFldID(C$5))</f>
        <v>100</v>
      </c>
      <c r="D172" s="3">
        <f>_xll.ICEQuote($A172,_xll.ICEFldID(D$5))</f>
        <v>0.35343797708896013</v>
      </c>
      <c r="E172" s="3">
        <f>_xll.ICEQuote($A172,_xll.ICEFldID(E$5))</f>
        <v>3.4978701145199306E-3</v>
      </c>
      <c r="F172" s="3">
        <f>_xll.ICEOptionStrike($B$1,66,"F")</f>
        <v>100</v>
      </c>
      <c r="G172" s="3" t="str">
        <f>_xll.ICEOptionSymbol($B$1,"F","P",$F172)</f>
        <v>EFO 24UP10000-ICN</v>
      </c>
      <c r="H172" s="3">
        <f>_xll.ICEQuote($G172,_xll.ICEFldID(H$5))</f>
        <v>0</v>
      </c>
      <c r="I172" s="3">
        <f>_xll.ICEQuote($G172,_xll.ICEFldID(I$5))</f>
        <v>100</v>
      </c>
      <c r="J172" s="3">
        <f>_xll.ICEQuote($G172,_xll.ICEFldID(J$5))</f>
        <v>0.47986013340109968</v>
      </c>
      <c r="K172" s="3">
        <f>_xll.ICEQuote($G172,_xll.ICEFldID(K$5))</f>
        <v>-0.9705331262797019</v>
      </c>
      <c r="L172" s="4">
        <f>_xll.ICETimeline(_xll.ICEJoinRange(M4:W4),"DF[dow:12345][tl:Calendar]","2020-07-26;2024-07-26",879,-1)</f>
        <v>45268.5</v>
      </c>
      <c r="M172">
        <f>_xll.ICEHistory(M$4,M$5,"DF[dow:12345][tl:Calendar]",$L172)</f>
        <v>70</v>
      </c>
      <c r="N172">
        <f>_xll.ICEHistory(M$4,N$5,"DF[dow:12345][tl:Calendar]",$L172)</f>
        <v>70.760000000000005</v>
      </c>
      <c r="O172">
        <f>_xll.ICEHistory(M$4,O$5,"DF[dow:12345][tl:Calendar]",$L172)</f>
        <v>68.45</v>
      </c>
      <c r="P172">
        <f>_xll.ICEHistory(M$4,P$5,"DF[dow:12345][tl:Calendar]",$L172)</f>
        <v>68.62</v>
      </c>
      <c r="Q172">
        <f>_xll.ICEHistory(M$4,Q$5,"DF[dow:12345][tl:Calendar]",$L172)</f>
        <v>27769</v>
      </c>
      <c r="R172">
        <f>_xll.ICEHistory(M$4,R$5,"DF[dow:12345][tl:Calendar]",$L172)</f>
        <v>272838</v>
      </c>
      <c r="S172">
        <f>_xll.ICEHistory(S$4,S$5,"DF[dow:12345][tl:Calendar]",$L172)</f>
        <v>41.274999999999999</v>
      </c>
      <c r="T172">
        <f>_xll.ICEHistory(S$4,T$5,"DF[dow:12345][tl:Calendar]",$L172)</f>
        <v>41.65</v>
      </c>
      <c r="U172">
        <f>_xll.ICEHistory(S$4,U$5,"DF[dow:12345][tl:Calendar]",$L172)</f>
        <v>38.594999999999999</v>
      </c>
      <c r="V172">
        <f>_xll.ICEHistory(S$4,V$5,"DF[dow:12345][tl:Calendar]",$L172)</f>
        <v>38.597999999999999</v>
      </c>
      <c r="W172">
        <f>_xll.ICEHistory(S$4,W$5,"DF[dow:12345][tl:Calendar]",$L172)</f>
        <v>143</v>
      </c>
      <c r="X172">
        <f t="shared" si="6"/>
        <v>3.3546325878594282E-2</v>
      </c>
      <c r="Y172">
        <f t="shared" si="7"/>
        <v>0.91920968878182185</v>
      </c>
      <c r="Z172">
        <f t="shared" si="8"/>
        <v>0.51371690896729549</v>
      </c>
    </row>
    <row r="173" spans="1:26" x14ac:dyDescent="0.25">
      <c r="A173" s="3" t="str">
        <f>_xll.ICEOptionSymbol($B$1,"F","C",$F173)</f>
        <v>EFO 24UC10050-ICN</v>
      </c>
      <c r="B173" s="3">
        <f>_xll.ICEQuote($A173,_xll.ICEFldID(B$5))</f>
        <v>0</v>
      </c>
      <c r="C173" s="3">
        <f>_xll.ICEQuote($A173,_xll.ICEFldID(C$5))</f>
        <v>100.5</v>
      </c>
      <c r="D173" s="3">
        <f>_xll.ICEQuote($A173,_xll.ICEFldID(D$5))</f>
        <v>0.35729392162074597</v>
      </c>
      <c r="E173" s="3">
        <f>_xll.ICEQuote($A173,_xll.ICEFldID(E$5))</f>
        <v>3.4644707055529675E-3</v>
      </c>
      <c r="F173" s="3">
        <f>_xll.ICEOptionStrike($B$1,67,"F")</f>
        <v>100.5</v>
      </c>
      <c r="G173" s="3" t="str">
        <f>_xll.ICEOptionSymbol($B$1,"F","P",$F173)</f>
        <v>EFO 24UP10050-ICN</v>
      </c>
      <c r="H173" s="3">
        <f>_xll.ICEQuote($G173,_xll.ICEFldID(H$5))</f>
        <v>0</v>
      </c>
      <c r="I173" s="3">
        <f>_xll.ICEQuote($G173,_xll.ICEFldID(I$5))</f>
        <v>100.5</v>
      </c>
      <c r="J173" s="3">
        <f>_xll.ICEQuote($G173,_xll.ICEFldID(J$5))</f>
        <v>0.48572369558682355</v>
      </c>
      <c r="K173" s="3">
        <f>_xll.ICEQuote($G173,_xll.ICEFldID(K$5))</f>
        <v>-0.97047788055288176</v>
      </c>
      <c r="L173" s="4">
        <f>_xll.ICETimeline(_xll.ICEJoinRange(M4:W4),"DF[dow:12345][tl:Calendar]","2020-07-26;2024-07-26",878,-1)</f>
        <v>45267.5</v>
      </c>
      <c r="M173">
        <f>_xll.ICEHistory(M$4,M$5,"DF[dow:12345][tl:Calendar]",$L173)</f>
        <v>68.86</v>
      </c>
      <c r="N173">
        <f>_xll.ICEHistory(M$4,N$5,"DF[dow:12345][tl:Calendar]",$L173)</f>
        <v>70.19</v>
      </c>
      <c r="O173">
        <f>_xll.ICEHistory(M$4,O$5,"DF[dow:12345][tl:Calendar]",$L173)</f>
        <v>68.650000000000006</v>
      </c>
      <c r="P173">
        <f>_xll.ICEHistory(M$4,P$5,"DF[dow:12345][tl:Calendar]",$L173)</f>
        <v>69.97</v>
      </c>
      <c r="Q173">
        <f>_xll.ICEHistory(M$4,Q$5,"DF[dow:12345][tl:Calendar]",$L173)</f>
        <v>29921</v>
      </c>
      <c r="R173">
        <f>_xll.ICEHistory(M$4,R$5,"DF[dow:12345][tl:Calendar]",$L173)</f>
        <v>280249</v>
      </c>
      <c r="S173">
        <f>_xll.ICEHistory(S$4,S$5,"DF[dow:12345][tl:Calendar]",$L173)</f>
        <v>39.799999999999997</v>
      </c>
      <c r="T173">
        <f>_xll.ICEHistory(S$4,T$5,"DF[dow:12345][tl:Calendar]",$L173)</f>
        <v>40.884999999999998</v>
      </c>
      <c r="U173">
        <f>_xll.ICEHistory(S$4,U$5,"DF[dow:12345][tl:Calendar]",$L173)</f>
        <v>39.61</v>
      </c>
      <c r="V173">
        <f>_xll.ICEHistory(S$4,V$5,"DF[dow:12345][tl:Calendar]",$L173)</f>
        <v>39.968000000000004</v>
      </c>
      <c r="W173">
        <f>_xll.ICEHistory(S$4,W$5,"DF[dow:12345][tl:Calendar]",$L173)</f>
        <v>82</v>
      </c>
      <c r="X173">
        <f t="shared" si="6"/>
        <v>2.2318840579710029E-2</v>
      </c>
      <c r="Y173">
        <f t="shared" si="7"/>
        <v>-0.35891976912021045</v>
      </c>
      <c r="Z173">
        <f t="shared" si="8"/>
        <v>0.86537377905452528</v>
      </c>
    </row>
    <row r="174" spans="1:26" x14ac:dyDescent="0.25">
      <c r="A174" s="3" t="str">
        <f>_xll.ICEOptionSymbol($B$1,"F","C",$F174)</f>
        <v>EFO 24UC10100-ICN</v>
      </c>
      <c r="B174" s="3">
        <f>_xll.ICEQuote($A174,_xll.ICEFldID(B$5))</f>
        <v>0</v>
      </c>
      <c r="C174" s="3">
        <f>_xll.ICEQuote($A174,_xll.ICEFldID(C$5))</f>
        <v>101</v>
      </c>
      <c r="D174" s="3">
        <f>_xll.ICEQuote($A174,_xll.ICEFldID(D$5))</f>
        <v>0.36112537110972304</v>
      </c>
      <c r="E174" s="3">
        <f>_xll.ICEQuote($A174,_xll.ICEFldID(E$5))</f>
        <v>3.4319577302495585E-3</v>
      </c>
      <c r="F174" s="3">
        <f>_xll.ICEOptionStrike($B$1,68,"F")</f>
        <v>101</v>
      </c>
      <c r="G174" s="3" t="str">
        <f>_xll.ICEOptionSymbol($B$1,"F","P",$F174)</f>
        <v>EFO 24UP10100-ICN</v>
      </c>
      <c r="H174" s="3">
        <f>_xll.ICEQuote($G174,_xll.ICEFldID(H$5))</f>
        <v>0</v>
      </c>
      <c r="I174" s="3">
        <f>_xll.ICEQuote($G174,_xll.ICEFldID(I$5))</f>
        <v>101</v>
      </c>
      <c r="J174" s="3">
        <f>_xll.ICEQuote($G174,_xll.ICEFldID(J$5))</f>
        <v>0.49155882120395866</v>
      </c>
      <c r="K174" s="3">
        <f>_xll.ICEQuote($G174,_xll.ICEFldID(K$5))</f>
        <v>-0.97042221070398393</v>
      </c>
      <c r="L174" s="4">
        <f>_xll.ICETimeline(_xll.ICEJoinRange(M4:W4),"DF[dow:12345][tl:Calendar]","2020-07-26;2024-07-26",877,-1)</f>
        <v>45266.5</v>
      </c>
      <c r="M174">
        <f>_xll.ICEHistory(M$4,M$5,"DF[dow:12345][tl:Calendar]",$L174)</f>
        <v>69</v>
      </c>
      <c r="N174">
        <f>_xll.ICEHistory(M$4,N$5,"DF[dow:12345][tl:Calendar]",$L174)</f>
        <v>70</v>
      </c>
      <c r="O174">
        <f>_xll.ICEHistory(M$4,O$5,"DF[dow:12345][tl:Calendar]",$L174)</f>
        <v>68.34</v>
      </c>
      <c r="P174">
        <f>_xll.ICEHistory(M$4,P$5,"DF[dow:12345][tl:Calendar]",$L174)</f>
        <v>68.959999999999994</v>
      </c>
      <c r="Q174">
        <f>_xll.ICEHistory(M$4,Q$5,"DF[dow:12345][tl:Calendar]",$L174)</f>
        <v>31656</v>
      </c>
      <c r="R174">
        <f>_xll.ICEHistory(M$4,R$5,"DF[dow:12345][tl:Calendar]",$L174)</f>
        <v>285145</v>
      </c>
      <c r="S174">
        <f>_xll.ICEHistory(S$4,S$5,"DF[dow:12345][tl:Calendar]",$L174)</f>
        <v>38.994999999999997</v>
      </c>
      <c r="T174">
        <f>_xll.ICEHistory(S$4,T$5,"DF[dow:12345][tl:Calendar]",$L174)</f>
        <v>39.78</v>
      </c>
      <c r="U174">
        <f>_xll.ICEHistory(S$4,U$5,"DF[dow:12345][tl:Calendar]",$L174)</f>
        <v>38.92</v>
      </c>
      <c r="V174">
        <f>_xll.ICEHistory(S$4,V$5,"DF[dow:12345][tl:Calendar]",$L174)</f>
        <v>39.313000000000002</v>
      </c>
      <c r="W174">
        <f>_xll.ICEHistory(S$4,W$5,"DF[dow:12345][tl:Calendar]",$L174)</f>
        <v>1323</v>
      </c>
      <c r="X174">
        <f t="shared" si="6"/>
        <v>2.3509417929471699E-2</v>
      </c>
      <c r="Y174">
        <f t="shared" si="7"/>
        <v>-0.21711330740061205</v>
      </c>
      <c r="Z174">
        <f t="shared" si="8"/>
        <v>1.1587210726779866</v>
      </c>
    </row>
    <row r="175" spans="1:26" x14ac:dyDescent="0.25">
      <c r="A175" s="3" t="str">
        <f>_xll.ICEOptionSymbol($B$1,"F","C",$F175)</f>
        <v>EFO 24UC10150-ICN</v>
      </c>
      <c r="B175" s="3">
        <f>_xll.ICEQuote($A175,_xll.ICEFldID(B$5))</f>
        <v>0</v>
      </c>
      <c r="C175" s="3">
        <f>_xll.ICEQuote($A175,_xll.ICEFldID(C$5))</f>
        <v>101.5</v>
      </c>
      <c r="D175" s="3">
        <f>_xll.ICEQuote($A175,_xll.ICEFldID(D$5))</f>
        <v>0.34228973365729243</v>
      </c>
      <c r="E175" s="3">
        <f>_xll.ICEQuote($A175,_xll.ICEFldID(E$5))</f>
        <v>1.8958602555131689E-3</v>
      </c>
      <c r="F175" s="3">
        <f>_xll.ICEOptionStrike($B$1,69,"F")</f>
        <v>101.5</v>
      </c>
      <c r="G175" s="3" t="str">
        <f>_xll.ICEOptionSymbol($B$1,"F","P",$F175)</f>
        <v>EFO 24UP10150-ICN</v>
      </c>
      <c r="H175" s="3">
        <f>_xll.ICEQuote($G175,_xll.ICEFldID(H$5))</f>
        <v>0</v>
      </c>
      <c r="I175" s="3">
        <f>_xll.ICEQuote($G175,_xll.ICEFldID(I$5))</f>
        <v>101.5</v>
      </c>
      <c r="J175" s="3">
        <f>_xll.ICEQuote($G175,_xll.ICEFldID(J$5))</f>
        <v>0.4943429157083612</v>
      </c>
      <c r="K175" s="3">
        <f>_xll.ICEQuote($G175,_xll.ICEFldID(K$5))</f>
        <v>-0.97115291047471675</v>
      </c>
      <c r="L175" s="4">
        <f>_xll.ICETimeline(_xll.ICEJoinRange(M4:W4),"DF[dow:12345][tl:Calendar]","2020-07-26;2024-07-26",876,-1)</f>
        <v>45265.5</v>
      </c>
      <c r="M175">
        <f>_xll.ICEHistory(M$4,M$5,"DF[dow:12345][tl:Calendar]",$L175)</f>
        <v>70.61</v>
      </c>
      <c r="N175">
        <f>_xll.ICEHistory(M$4,N$5,"DF[dow:12345][tl:Calendar]",$L175)</f>
        <v>70.88</v>
      </c>
      <c r="O175">
        <f>_xll.ICEHistory(M$4,O$5,"DF[dow:12345][tl:Calendar]",$L175)</f>
        <v>68.41</v>
      </c>
      <c r="P175">
        <f>_xll.ICEHistory(M$4,P$5,"DF[dow:12345][tl:Calendar]",$L175)</f>
        <v>68.91</v>
      </c>
      <c r="Q175">
        <f>_xll.ICEHistory(M$4,Q$5,"DF[dow:12345][tl:Calendar]",$L175)</f>
        <v>37340</v>
      </c>
      <c r="R175">
        <f>_xll.ICEHistory(M$4,R$5,"DF[dow:12345][tl:Calendar]",$L175)</f>
        <v>291063</v>
      </c>
      <c r="S175">
        <f>_xll.ICEHistory(S$4,S$5,"DF[dow:12345][tl:Calendar]",$L175)</f>
        <v>39.454999999999998</v>
      </c>
      <c r="T175">
        <f>_xll.ICEHistory(S$4,T$5,"DF[dow:12345][tl:Calendar]",$L175)</f>
        <v>39.92</v>
      </c>
      <c r="U175">
        <f>_xll.ICEHistory(S$4,U$5,"DF[dow:12345][tl:Calendar]",$L175)</f>
        <v>37.94</v>
      </c>
      <c r="V175">
        <f>_xll.ICEHistory(S$4,V$5,"DF[dow:12345][tl:Calendar]",$L175)</f>
        <v>38.195</v>
      </c>
      <c r="W175">
        <f>_xll.ICEHistory(S$4,W$5,"DF[dow:12345][tl:Calendar]",$L175)</f>
        <v>2351</v>
      </c>
      <c r="X175">
        <f t="shared" si="6"/>
        <v>3.4281748785565565E-2</v>
      </c>
      <c r="Y175">
        <f t="shared" si="7"/>
        <v>1.0121010645667545</v>
      </c>
      <c r="Z175">
        <f t="shared" si="8"/>
        <v>2.0754771965618271</v>
      </c>
    </row>
    <row r="176" spans="1:26" x14ac:dyDescent="0.25">
      <c r="A176" s="3" t="str">
        <f>_xll.ICEOptionSymbol($B$1,"F","C",$F176)</f>
        <v>EFO 24UC10200-ICN</v>
      </c>
      <c r="B176" s="3">
        <f>_xll.ICEQuote($A176,_xll.ICEFldID(B$5))</f>
        <v>0</v>
      </c>
      <c r="C176" s="3">
        <f>_xll.ICEQuote($A176,_xll.ICEFldID(C$5))</f>
        <v>102</v>
      </c>
      <c r="D176" s="3">
        <f>_xll.ICEQuote($A176,_xll.ICEFldID(D$5))</f>
        <v>0.34588362494505387</v>
      </c>
      <c r="E176" s="3">
        <f>_xll.ICEQuote($A176,_xll.ICEFldID(E$5))</f>
        <v>1.8782546057143441E-3</v>
      </c>
      <c r="F176" s="3">
        <f>_xll.ICEOptionStrike($B$1,70,"F")</f>
        <v>102</v>
      </c>
      <c r="G176" s="3" t="str">
        <f>_xll.ICEOptionSymbol($B$1,"F","P",$F176)</f>
        <v>EFO 24UP10200-ICN</v>
      </c>
      <c r="H176" s="3">
        <f>_xll.ICEQuote($G176,_xll.ICEFldID(H$5))</f>
        <v>0</v>
      </c>
      <c r="I176" s="3">
        <f>_xll.ICEQuote($G176,_xll.ICEFldID(I$5))</f>
        <v>102</v>
      </c>
      <c r="J176" s="3">
        <f>_xll.ICEQuote($G176,_xll.ICEFldID(J$5))</f>
        <v>0.50012796076485455</v>
      </c>
      <c r="K176" s="3">
        <f>_xll.ICEQuote($G176,_xll.ICEFldID(K$5))</f>
        <v>-0.97108788595446416</v>
      </c>
      <c r="L176" s="4">
        <f>_xll.ICETimeline(_xll.ICEJoinRange(M4:W4),"DF[dow:12345][tl:Calendar]","2020-07-26;2024-07-26",875,-1)</f>
        <v>45264.5</v>
      </c>
      <c r="M176">
        <f>_xll.ICEHistory(M$4,M$5,"DF[dow:12345][tl:Calendar]",$L176)</f>
        <v>72.05</v>
      </c>
      <c r="N176">
        <f>_xll.ICEHistory(M$4,N$5,"DF[dow:12345][tl:Calendar]",$L176)</f>
        <v>72.08</v>
      </c>
      <c r="O176">
        <f>_xll.ICEHistory(M$4,O$5,"DF[dow:12345][tl:Calendar]",$L176)</f>
        <v>70.14</v>
      </c>
      <c r="P176">
        <f>_xll.ICEHistory(M$4,P$5,"DF[dow:12345][tl:Calendar]",$L176)</f>
        <v>70.430000000000007</v>
      </c>
      <c r="Q176">
        <f>_xll.ICEHistory(M$4,Q$5,"DF[dow:12345][tl:Calendar]",$L176)</f>
        <v>40967</v>
      </c>
      <c r="R176">
        <f>_xll.ICEHistory(M$4,R$5,"DF[dow:12345][tl:Calendar]",$L176)</f>
        <v>299357</v>
      </c>
      <c r="S176">
        <f>_xll.ICEHistory(S$4,S$5,"DF[dow:12345][tl:Calendar]",$L176)</f>
        <v>41.814999999999998</v>
      </c>
      <c r="T176">
        <f>_xll.ICEHistory(S$4,T$5,"DF[dow:12345][tl:Calendar]",$L176)</f>
        <v>41.9</v>
      </c>
      <c r="U176">
        <f>_xll.ICEHistory(S$4,U$5,"DF[dow:12345][tl:Calendar]",$L176)</f>
        <v>39.905000000000001</v>
      </c>
      <c r="V176">
        <f>_xll.ICEHistory(S$4,V$5,"DF[dow:12345][tl:Calendar]",$L176)</f>
        <v>40.103999999999999</v>
      </c>
      <c r="W176">
        <f>_xll.ICEHistory(S$4,W$5,"DF[dow:12345][tl:Calendar]",$L176)</f>
        <v>852</v>
      </c>
      <c r="X176">
        <f t="shared" si="6"/>
        <v>2.7405000706314415E-2</v>
      </c>
      <c r="Y176">
        <f t="shared" si="7"/>
        <v>0.26470938426301283</v>
      </c>
      <c r="Z176">
        <f t="shared" si="8"/>
        <v>2.7528629979708725</v>
      </c>
    </row>
    <row r="177" spans="1:26" x14ac:dyDescent="0.25">
      <c r="A177" s="3" t="str">
        <f>_xll.ICEOptionSymbol($B$1,"F","C",$F177)</f>
        <v>EFO 24UC10250-ICN</v>
      </c>
      <c r="B177" s="3">
        <f>_xll.ICEQuote($A177,_xll.ICEFldID(B$5))</f>
        <v>0</v>
      </c>
      <c r="C177" s="3">
        <f>_xll.ICEQuote($A177,_xll.ICEFldID(C$5))</f>
        <v>102.5</v>
      </c>
      <c r="D177" s="3">
        <f>_xll.ICEQuote($A177,_xll.ICEFldID(D$5))</f>
        <v>0.34945555452314064</v>
      </c>
      <c r="E177" s="3">
        <f>_xll.ICEQuote($A177,_xll.ICEFldID(E$5))</f>
        <v>1.8611005329353789E-3</v>
      </c>
      <c r="F177" s="3">
        <f>_xll.ICEOptionStrike($B$1,71,"F")</f>
        <v>102.5</v>
      </c>
      <c r="G177" s="3" t="str">
        <f>_xll.ICEOptionSymbol($B$1,"F","P",$F177)</f>
        <v>EFO 24UP10250-ICN</v>
      </c>
      <c r="H177" s="3">
        <f>_xll.ICEQuote($G177,_xll.ICEFldID(H$5))</f>
        <v>0</v>
      </c>
      <c r="I177" s="3">
        <f>_xll.ICEQuote($G177,_xll.ICEFldID(I$5))</f>
        <v>102.5</v>
      </c>
      <c r="J177" s="3">
        <f>_xll.ICEQuote($G177,_xll.ICEFldID(J$5))</f>
        <v>0.50588541823378141</v>
      </c>
      <c r="K177" s="3">
        <f>_xll.ICEQuote($G177,_xll.ICEFldID(K$5))</f>
        <v>-0.97102273238785186</v>
      </c>
      <c r="L177" s="4">
        <f>_xll.ICETimeline(_xll.ICEJoinRange(M4:W4),"DF[dow:12345][tl:Calendar]","2020-07-26;2024-07-26",874,-1)</f>
        <v>45261.5</v>
      </c>
      <c r="M177">
        <f>_xll.ICEHistory(M$4,M$5,"DF[dow:12345][tl:Calendar]",$L177)</f>
        <v>70.790000000000006</v>
      </c>
      <c r="N177">
        <f>_xll.ICEHistory(M$4,N$5,"DF[dow:12345][tl:Calendar]",$L177)</f>
        <v>73.17</v>
      </c>
      <c r="O177">
        <f>_xll.ICEHistory(M$4,O$5,"DF[dow:12345][tl:Calendar]",$L177)</f>
        <v>70.569999999999993</v>
      </c>
      <c r="P177">
        <f>_xll.ICEHistory(M$4,P$5,"DF[dow:12345][tl:Calendar]",$L177)</f>
        <v>72.45</v>
      </c>
      <c r="Q177">
        <f>_xll.ICEHistory(M$4,Q$5,"DF[dow:12345][tl:Calendar]",$L177)</f>
        <v>26668</v>
      </c>
      <c r="R177">
        <f>_xll.ICEHistory(M$4,R$5,"DF[dow:12345][tl:Calendar]",$L177)</f>
        <v>304826</v>
      </c>
      <c r="S177">
        <f>_xll.ICEHistory(S$4,S$5,"DF[dow:12345][tl:Calendar]",$L177)</f>
        <v>42.795000000000002</v>
      </c>
      <c r="T177">
        <f>_xll.ICEHistory(S$4,T$5,"DF[dow:12345][tl:Calendar]",$L177)</f>
        <v>44.12</v>
      </c>
      <c r="U177">
        <f>_xll.ICEHistory(S$4,U$5,"DF[dow:12345][tl:Calendar]",$L177)</f>
        <v>41.744999999999997</v>
      </c>
      <c r="V177">
        <f>_xll.ICEHistory(S$4,V$5,"DF[dow:12345][tl:Calendar]",$L177)</f>
        <v>43.496000000000002</v>
      </c>
      <c r="W177">
        <f>_xll.ICEHistory(S$4,W$5,"DF[dow:12345][tl:Calendar]",$L177)</f>
        <v>1009</v>
      </c>
      <c r="X177">
        <f t="shared" si="6"/>
        <v>3.6853295535081626E-2</v>
      </c>
      <c r="Y177">
        <f t="shared" si="7"/>
        <v>1.3433888799266522</v>
      </c>
      <c r="Z177">
        <f t="shared" si="8"/>
        <v>0.57092140739203068</v>
      </c>
    </row>
    <row r="178" spans="1:26" x14ac:dyDescent="0.25">
      <c r="A178" s="3" t="str">
        <f>_xll.ICEOptionSymbol($B$1,"F","C",$F178)</f>
        <v>EFO 24UC10300-ICN</v>
      </c>
      <c r="B178" s="3">
        <f>_xll.ICEQuote($A178,_xll.ICEFldID(B$5))</f>
        <v>0</v>
      </c>
      <c r="C178" s="3">
        <f>_xll.ICEQuote($A178,_xll.ICEFldID(C$5))</f>
        <v>103</v>
      </c>
      <c r="D178" s="3">
        <f>_xll.ICEQuote($A178,_xll.ICEFldID(D$5))</f>
        <v>0.35300580506689139</v>
      </c>
      <c r="E178" s="3">
        <f>_xll.ICEQuote($A178,_xll.ICEFldID(E$5))</f>
        <v>1.8443803840066998E-3</v>
      </c>
      <c r="F178" s="3">
        <f>_xll.ICEOptionStrike($B$1,72,"F")</f>
        <v>103</v>
      </c>
      <c r="G178" s="3" t="str">
        <f>_xll.ICEOptionSymbol($B$1,"F","P",$F178)</f>
        <v>EFO 24UP10300-ICN</v>
      </c>
      <c r="H178" s="3">
        <f>_xll.ICEQuote($G178,_xll.ICEFldID(H$5))</f>
        <v>0</v>
      </c>
      <c r="I178" s="3">
        <f>_xll.ICEQuote($G178,_xll.ICEFldID(I$5))</f>
        <v>103</v>
      </c>
      <c r="J178" s="3">
        <f>_xll.ICEQuote($G178,_xll.ICEFldID(J$5))</f>
        <v>0.51161556182777101</v>
      </c>
      <c r="K178" s="3">
        <f>_xll.ICEQuote($G178,_xll.ICEFldID(K$5))</f>
        <v>-0.97095745889810758</v>
      </c>
      <c r="L178" s="4">
        <f>_xll.ICETimeline(_xll.ICEJoinRange(M4:W4),"DF[dow:12345][tl:Calendar]","2020-07-26;2024-07-26",873,-1)</f>
        <v>45260.5</v>
      </c>
      <c r="M178">
        <f>_xll.ICEHistory(M$4,M$5,"DF[dow:12345][tl:Calendar]",$L178)</f>
        <v>70.55</v>
      </c>
      <c r="N178">
        <f>_xll.ICEHistory(M$4,N$5,"DF[dow:12345][tl:Calendar]",$L178)</f>
        <v>71.73</v>
      </c>
      <c r="O178">
        <f>_xll.ICEHistory(M$4,O$5,"DF[dow:12345][tl:Calendar]",$L178)</f>
        <v>70.430000000000007</v>
      </c>
      <c r="P178">
        <f>_xll.ICEHistory(M$4,P$5,"DF[dow:12345][tl:Calendar]",$L178)</f>
        <v>70.55</v>
      </c>
      <c r="Q178">
        <f>_xll.ICEHistory(M$4,Q$5,"DF[dow:12345][tl:Calendar]",$L178)</f>
        <v>35966</v>
      </c>
      <c r="R178">
        <f>_xll.ICEHistory(M$4,R$5,"DF[dow:12345][tl:Calendar]",$L178)</f>
        <v>305946</v>
      </c>
      <c r="S178">
        <f>_xll.ICEHistory(S$4,S$5,"DF[dow:12345][tl:Calendar]",$L178)</f>
        <v>40.44</v>
      </c>
      <c r="T178">
        <f>_xll.ICEHistory(S$4,T$5,"DF[dow:12345][tl:Calendar]",$L178)</f>
        <v>43.03</v>
      </c>
      <c r="U178">
        <f>_xll.ICEHistory(S$4,U$5,"DF[dow:12345][tl:Calendar]",$L178)</f>
        <v>40.375</v>
      </c>
      <c r="V178">
        <f>_xll.ICEHistory(S$4,V$5,"DF[dow:12345][tl:Calendar]",$L178)</f>
        <v>42.091000000000001</v>
      </c>
      <c r="W178">
        <f>_xll.ICEHistory(S$4,W$5,"DF[dow:12345][tl:Calendar]",$L178)</f>
        <v>1661</v>
      </c>
      <c r="X178">
        <f t="shared" si="6"/>
        <v>1.7926089354660744E-2</v>
      </c>
      <c r="Y178">
        <f t="shared" si="7"/>
        <v>-0.76840832629752709</v>
      </c>
      <c r="Z178">
        <f t="shared" si="8"/>
        <v>2.1151329410748057</v>
      </c>
    </row>
    <row r="179" spans="1:26" x14ac:dyDescent="0.25">
      <c r="A179" s="3" t="str">
        <f>_xll.ICEOptionSymbol($B$1,"F","C",$F179)</f>
        <v>EFO 24UC10350-ICN</v>
      </c>
      <c r="B179" s="3">
        <f>_xll.ICEQuote($A179,_xll.ICEFldID(B$5))</f>
        <v>0</v>
      </c>
      <c r="C179" s="3">
        <f>_xll.ICEQuote($A179,_xll.ICEFldID(C$5))</f>
        <v>103.5</v>
      </c>
      <c r="D179" s="3">
        <f>_xll.ICEQuote($A179,_xll.ICEFldID(D$5))</f>
        <v>0.35653465312476829</v>
      </c>
      <c r="E179" s="3">
        <f>_xll.ICEQuote($A179,_xll.ICEFldID(E$5))</f>
        <v>1.8280774249123397E-3</v>
      </c>
      <c r="F179" s="3">
        <f>_xll.ICEOptionStrike($B$1,73,"F")</f>
        <v>103.5</v>
      </c>
      <c r="G179" s="3" t="str">
        <f>_xll.ICEOptionSymbol($B$1,"F","P",$F179)</f>
        <v>EFO 24UP10350-ICN</v>
      </c>
      <c r="H179" s="3">
        <f>_xll.ICEQuote($G179,_xll.ICEFldID(H$5))</f>
        <v>0</v>
      </c>
      <c r="I179" s="3">
        <f>_xll.ICEQuote($G179,_xll.ICEFldID(I$5))</f>
        <v>103.5</v>
      </c>
      <c r="J179" s="3">
        <f>_xll.ICEQuote($G179,_xll.ICEFldID(J$5))</f>
        <v>0.51731866117245762</v>
      </c>
      <c r="K179" s="3">
        <f>_xll.ICEQuote($G179,_xll.ICEFldID(K$5))</f>
        <v>-0.97089207408050004</v>
      </c>
      <c r="L179" s="4">
        <f>_xll.ICETimeline(_xll.ICEJoinRange(M4:W4),"DF[dow:12345][tl:Calendar]","2020-07-26;2024-07-26",872,-1)</f>
        <v>45259.5</v>
      </c>
      <c r="M179">
        <f>_xll.ICEHistory(M$4,M$5,"DF[dow:12345][tl:Calendar]",$L179)</f>
        <v>72.52</v>
      </c>
      <c r="N179">
        <f>_xll.ICEHistory(M$4,N$5,"DF[dow:12345][tl:Calendar]",$L179)</f>
        <v>73.25</v>
      </c>
      <c r="O179">
        <f>_xll.ICEHistory(M$4,O$5,"DF[dow:12345][tl:Calendar]",$L179)</f>
        <v>70.55</v>
      </c>
      <c r="P179">
        <f>_xll.ICEHistory(M$4,P$5,"DF[dow:12345][tl:Calendar]",$L179)</f>
        <v>70.78</v>
      </c>
      <c r="Q179">
        <f>_xll.ICEHistory(M$4,Q$5,"DF[dow:12345][tl:Calendar]",$L179)</f>
        <v>31430</v>
      </c>
      <c r="R179">
        <f>_xll.ICEHistory(M$4,R$5,"DF[dow:12345][tl:Calendar]",$L179)</f>
        <v>310122</v>
      </c>
      <c r="S179">
        <f>_xll.ICEHistory(S$4,S$5,"DF[dow:12345][tl:Calendar]",$L179)</f>
        <v>41.274999999999999</v>
      </c>
      <c r="T179">
        <f>_xll.ICEHistory(S$4,T$5,"DF[dow:12345][tl:Calendar]",$L179)</f>
        <v>41.274999999999999</v>
      </c>
      <c r="U179">
        <f>_xll.ICEHistory(S$4,U$5,"DF[dow:12345][tl:Calendar]",$L179)</f>
        <v>39.57</v>
      </c>
      <c r="V179">
        <f>_xll.ICEHistory(S$4,V$5,"DF[dow:12345][tl:Calendar]",$L179)</f>
        <v>40.36</v>
      </c>
      <c r="W179">
        <f>_xll.ICEHistory(S$4,W$5,"DF[dow:12345][tl:Calendar]",$L179)</f>
        <v>219</v>
      </c>
      <c r="X179">
        <f t="shared" si="6"/>
        <v>3.6966046002190618E-2</v>
      </c>
      <c r="Y179">
        <f t="shared" si="7"/>
        <v>1.401640136525345</v>
      </c>
      <c r="Z179">
        <f t="shared" si="8"/>
        <v>1.4613715866424646</v>
      </c>
    </row>
    <row r="180" spans="1:26" x14ac:dyDescent="0.25">
      <c r="A180" s="3" t="str">
        <f>_xll.ICEOptionSymbol($B$1,"F","C",$F180)</f>
        <v>EFO 24UC10400-ICN</v>
      </c>
      <c r="B180" s="3">
        <f>_xll.ICEQuote($A180,_xll.ICEFldID(B$5))</f>
        <v>0</v>
      </c>
      <c r="C180" s="3">
        <f>_xll.ICEQuote($A180,_xll.ICEFldID(C$5))</f>
        <v>104</v>
      </c>
      <c r="D180" s="3">
        <f>_xll.ICEQuote($A180,_xll.ICEFldID(D$5))</f>
        <v>0.36004236932294892</v>
      </c>
      <c r="E180" s="3">
        <f>_xll.ICEQuote($A180,_xll.ICEFldID(E$5))</f>
        <v>1.8121757813198301E-3</v>
      </c>
      <c r="F180" s="3">
        <f>_xll.ICEOptionStrike($B$1,74,"F")</f>
        <v>104</v>
      </c>
      <c r="G180" s="3" t="str">
        <f>_xll.ICEOptionSymbol($B$1,"F","P",$F180)</f>
        <v>EFO 24UP10400-ICN</v>
      </c>
      <c r="H180" s="3">
        <f>_xll.ICEQuote($G180,_xll.ICEFldID(H$5))</f>
        <v>0</v>
      </c>
      <c r="I180" s="3">
        <f>_xll.ICEQuote($G180,_xll.ICEFldID(I$5))</f>
        <v>104</v>
      </c>
      <c r="J180" s="3">
        <f>_xll.ICEQuote($G180,_xll.ICEFldID(J$5))</f>
        <v>0.5229949818888181</v>
      </c>
      <c r="K180" s="3">
        <f>_xll.ICEQuote($G180,_xll.ICEFldID(K$5))</f>
        <v>-0.97082658603810013</v>
      </c>
      <c r="L180" s="4">
        <f>_xll.ICETimeline(_xll.ICEJoinRange(M4:W4),"DF[dow:12345][tl:Calendar]","2020-07-26;2024-07-26",871,-1)</f>
        <v>45258.5</v>
      </c>
      <c r="M180">
        <f>_xll.ICEHistory(M$4,M$5,"DF[dow:12345][tl:Calendar]",$L180)</f>
        <v>73.040000000000006</v>
      </c>
      <c r="N180">
        <f>_xll.ICEHistory(M$4,N$5,"DF[dow:12345][tl:Calendar]",$L180)</f>
        <v>73.709999999999994</v>
      </c>
      <c r="O180">
        <f>_xll.ICEHistory(M$4,O$5,"DF[dow:12345][tl:Calendar]",$L180)</f>
        <v>72.010000000000005</v>
      </c>
      <c r="P180">
        <f>_xll.ICEHistory(M$4,P$5,"DF[dow:12345][tl:Calendar]",$L180)</f>
        <v>72.5</v>
      </c>
      <c r="Q180">
        <f>_xll.ICEHistory(M$4,Q$5,"DF[dow:12345][tl:Calendar]",$L180)</f>
        <v>37641</v>
      </c>
      <c r="R180">
        <f>_xll.ICEHistory(M$4,R$5,"DF[dow:12345][tl:Calendar]",$L180)</f>
        <v>314934</v>
      </c>
      <c r="S180">
        <f>_xll.ICEHistory(S$4,S$5,"DF[dow:12345][tl:Calendar]",$L180)</f>
        <v>44.094999999999999</v>
      </c>
      <c r="T180">
        <f>_xll.ICEHistory(S$4,T$5,"DF[dow:12345][tl:Calendar]",$L180)</f>
        <v>44.094999999999999</v>
      </c>
      <c r="U180">
        <f>_xll.ICEHistory(S$4,U$5,"DF[dow:12345][tl:Calendar]",$L180)</f>
        <v>42.07</v>
      </c>
      <c r="V180">
        <f>_xll.ICEHistory(S$4,V$5,"DF[dow:12345][tl:Calendar]",$L180)</f>
        <v>42.774000000000001</v>
      </c>
      <c r="W180">
        <f>_xll.ICEHistory(S$4,W$5,"DF[dow:12345][tl:Calendar]",$L180)</f>
        <v>4863</v>
      </c>
      <c r="X180">
        <f t="shared" si="6"/>
        <v>2.2262964903090474E-2</v>
      </c>
      <c r="Y180">
        <f t="shared" si="7"/>
        <v>-0.26058921722555495</v>
      </c>
      <c r="Z180">
        <f t="shared" si="8"/>
        <v>2.5613539489223016</v>
      </c>
    </row>
    <row r="181" spans="1:26" x14ac:dyDescent="0.25">
      <c r="A181" s="3" t="str">
        <f>_xll.ICEOptionSymbol($B$1,"F","C",$F181)</f>
        <v>EFO 24UC10450-ICN</v>
      </c>
      <c r="B181" s="3">
        <f>_xll.ICEQuote($A181,_xll.ICEFldID(B$5))</f>
        <v>0</v>
      </c>
      <c r="C181" s="3">
        <f>_xll.ICEQuote($A181,_xll.ICEFldID(C$5))</f>
        <v>104.5</v>
      </c>
      <c r="D181" s="3">
        <f>_xll.ICEQuote($A181,_xll.ICEFldID(D$5))</f>
        <v>0.36352921856020087</v>
      </c>
      <c r="E181" s="3">
        <f>_xll.ICEQuote($A181,_xll.ICEFldID(E$5))</f>
        <v>1.7966603836915163E-3</v>
      </c>
      <c r="F181" s="3">
        <f>_xll.ICEOptionStrike($B$1,75,"F")</f>
        <v>104.5</v>
      </c>
      <c r="G181" s="3" t="str">
        <f>_xll.ICEOptionSymbol($B$1,"F","P",$F181)</f>
        <v>EFO 24UP10450-ICN</v>
      </c>
      <c r="H181" s="3">
        <f>_xll.ICEQuote($G181,_xll.ICEFldID(H$5))</f>
        <v>0</v>
      </c>
      <c r="I181" s="3">
        <f>_xll.ICEQuote($G181,_xll.ICEFldID(I$5))</f>
        <v>104.5</v>
      </c>
      <c r="J181" s="3">
        <f>_xll.ICEQuote($G181,_xll.ICEFldID(J$5))</f>
        <v>0.52864478567329487</v>
      </c>
      <c r="K181" s="3">
        <f>_xll.ICEQuote($G181,_xll.ICEFldID(K$5))</f>
        <v>-0.97076100241471441</v>
      </c>
      <c r="L181" s="4">
        <f>_xll.ICETimeline(_xll.ICEJoinRange(M4:W4),"DF[dow:12345][tl:Calendar]","2020-07-26;2024-07-26",870,-1)</f>
        <v>45257.5</v>
      </c>
      <c r="M181">
        <f>_xll.ICEHistory(M$4,M$5,"DF[dow:12345][tl:Calendar]",$L181)</f>
        <v>76.36</v>
      </c>
      <c r="N181">
        <f>_xll.ICEHistory(M$4,N$5,"DF[dow:12345][tl:Calendar]",$L181)</f>
        <v>76.5</v>
      </c>
      <c r="O181">
        <f>_xll.ICEHistory(M$4,O$5,"DF[dow:12345][tl:Calendar]",$L181)</f>
        <v>72.790000000000006</v>
      </c>
      <c r="P181">
        <f>_xll.ICEHistory(M$4,P$5,"DF[dow:12345][tl:Calendar]",$L181)</f>
        <v>73.069999999999993</v>
      </c>
      <c r="Q181">
        <f>_xll.ICEHistory(M$4,Q$5,"DF[dow:12345][tl:Calendar]",$L181)</f>
        <v>33383</v>
      </c>
      <c r="R181">
        <f>_xll.ICEHistory(M$4,R$5,"DF[dow:12345][tl:Calendar]",$L181)</f>
        <v>327759</v>
      </c>
      <c r="S181">
        <f>_xll.ICEHistory(S$4,S$5,"DF[dow:12345][tl:Calendar]",$L181)</f>
        <v>45.045000000000002</v>
      </c>
      <c r="T181">
        <f>_xll.ICEHistory(S$4,T$5,"DF[dow:12345][tl:Calendar]",$L181)</f>
        <v>45.045000000000002</v>
      </c>
      <c r="U181">
        <f>_xll.ICEHistory(S$4,U$5,"DF[dow:12345][tl:Calendar]",$L181)</f>
        <v>43.74</v>
      </c>
      <c r="V181">
        <f>_xll.ICEHistory(S$4,V$5,"DF[dow:12345][tl:Calendar]",$L181)</f>
        <v>43.984000000000002</v>
      </c>
      <c r="W181">
        <f>_xll.ICEHistory(S$4,W$5,"DF[dow:12345][tl:Calendar]",$L181)</f>
        <v>1244</v>
      </c>
      <c r="X181">
        <f t="shared" si="6"/>
        <v>4.8420777864787178E-2</v>
      </c>
      <c r="Y181">
        <f t="shared" si="7"/>
        <v>2.7696353589364784</v>
      </c>
      <c r="Z181">
        <f t="shared" si="8"/>
        <v>1.9406438558614494</v>
      </c>
    </row>
    <row r="182" spans="1:26" x14ac:dyDescent="0.25">
      <c r="A182" s="3" t="str">
        <f>_xll.ICEOptionSymbol($B$1,"F","C",$F182)</f>
        <v>EFO 24UC10500-ICN</v>
      </c>
      <c r="B182" s="3">
        <f>_xll.ICEQuote($A182,_xll.ICEFldID(B$5))</f>
        <v>3750</v>
      </c>
      <c r="C182" s="3">
        <f>_xll.ICEQuote($A182,_xll.ICEFldID(C$5))</f>
        <v>105</v>
      </c>
      <c r="D182" s="3">
        <f>_xll.ICEQuote($A182,_xll.ICEFldID(D$5))</f>
        <v>0.36699546019360668</v>
      </c>
      <c r="E182" s="3">
        <f>_xll.ICEQuote($A182,_xll.ICEFldID(E$5))</f>
        <v>1.7815169165675551E-3</v>
      </c>
      <c r="F182" s="3">
        <f>_xll.ICEOptionStrike($B$1,76,"F")</f>
        <v>105</v>
      </c>
      <c r="G182" s="3" t="str">
        <f>_xll.ICEOptionSymbol($B$1,"F","P",$F182)</f>
        <v>EFO 24UP10500-ICN</v>
      </c>
      <c r="H182" s="3">
        <f>_xll.ICEQuote($G182,_xll.ICEFldID(H$5))</f>
        <v>0</v>
      </c>
      <c r="I182" s="3">
        <f>_xll.ICEQuote($G182,_xll.ICEFldID(I$5))</f>
        <v>105</v>
      </c>
      <c r="J182" s="3">
        <f>_xll.ICEQuote($G182,_xll.ICEFldID(J$5))</f>
        <v>0.5342683303757837</v>
      </c>
      <c r="K182" s="3">
        <f>_xll.ICEQuote($G182,_xll.ICEFldID(K$5))</f>
        <v>-0.97069533042525025</v>
      </c>
      <c r="L182" s="4">
        <f>_xll.ICETimeline(_xll.ICEJoinRange(M4:W4),"DF[dow:12345][tl:Calendar]","2020-07-26;2024-07-26",869,-1)</f>
        <v>45254.5</v>
      </c>
      <c r="M182">
        <f>_xll.ICEHistory(M$4,M$5,"DF[dow:12345][tl:Calendar]",$L182)</f>
        <v>76.62</v>
      </c>
      <c r="N182">
        <f>_xll.ICEHistory(M$4,N$5,"DF[dow:12345][tl:Calendar]",$L182)</f>
        <v>77.19</v>
      </c>
      <c r="O182">
        <f>_xll.ICEHistory(M$4,O$5,"DF[dow:12345][tl:Calendar]",$L182)</f>
        <v>76</v>
      </c>
      <c r="P182">
        <f>_xll.ICEHistory(M$4,P$5,"DF[dow:12345][tl:Calendar]",$L182)</f>
        <v>76.459999999999994</v>
      </c>
      <c r="Q182">
        <f>_xll.ICEHistory(M$4,Q$5,"DF[dow:12345][tl:Calendar]",$L182)</f>
        <v>19155</v>
      </c>
      <c r="R182">
        <f>_xll.ICEHistory(M$4,R$5,"DF[dow:12345][tl:Calendar]",$L182)</f>
        <v>331346</v>
      </c>
      <c r="S182">
        <f>_xll.ICEHistory(S$4,S$5,"DF[dow:12345][tl:Calendar]",$L182)</f>
        <v>46.25</v>
      </c>
      <c r="T182">
        <f>_xll.ICEHistory(S$4,T$5,"DF[dow:12345][tl:Calendar]",$L182)</f>
        <v>47.18</v>
      </c>
      <c r="U182">
        <f>_xll.ICEHistory(S$4,U$5,"DF[dow:12345][tl:Calendar]",$L182)</f>
        <v>44.93</v>
      </c>
      <c r="V182">
        <f>_xll.ICEHistory(S$4,V$5,"DF[dow:12345][tl:Calendar]",$L182)</f>
        <v>46.656999999999996</v>
      </c>
      <c r="W182">
        <f>_xll.ICEHistory(S$4,W$5,"DF[dow:12345][tl:Calendar]",$L182)</f>
        <v>355</v>
      </c>
      <c r="X182">
        <f t="shared" si="6"/>
        <v>1.5803452855245655E-2</v>
      </c>
      <c r="Y182">
        <f t="shared" si="7"/>
        <v>-1.0322087664356772</v>
      </c>
      <c r="Z182">
        <f t="shared" si="8"/>
        <v>-0.46128065213626457</v>
      </c>
    </row>
    <row r="183" spans="1:26" x14ac:dyDescent="0.25">
      <c r="A183" s="3" t="str">
        <f>_xll.ICEOptionSymbol($B$1,"F","C",$F183)</f>
        <v>EFO 24UC10550-ICN</v>
      </c>
      <c r="B183" s="3">
        <f>_xll.ICEQuote($A183,_xll.ICEFldID(B$5))</f>
        <v>0</v>
      </c>
      <c r="C183" s="3">
        <f>_xll.ICEQuote($A183,_xll.ICEFldID(C$5))</f>
        <v>105.5</v>
      </c>
      <c r="D183" s="3">
        <f>_xll.ICEQuote($A183,_xll.ICEFldID(D$5))</f>
        <v>0.37044134821570673</v>
      </c>
      <c r="E183" s="3">
        <f>_xll.ICEQuote($A183,_xll.ICEFldID(E$5))</f>
        <v>1.7667317716539579E-3</v>
      </c>
      <c r="F183" s="3">
        <f>_xll.ICEOptionStrike($B$1,77,"F")</f>
        <v>105.5</v>
      </c>
      <c r="G183" s="3" t="str">
        <f>_xll.ICEOptionSymbol($B$1,"F","P",$F183)</f>
        <v>EFO 24UP10550-ICN</v>
      </c>
      <c r="H183" s="3">
        <f>_xll.ICEQuote($G183,_xll.ICEFldID(H$5))</f>
        <v>0</v>
      </c>
      <c r="I183" s="3">
        <f>_xll.ICEQuote($G183,_xll.ICEFldID(I$5))</f>
        <v>105.5</v>
      </c>
      <c r="J183" s="3">
        <f>_xll.ICEQuote($G183,_xll.ICEFldID(J$5))</f>
        <v>0.53986587007573106</v>
      </c>
      <c r="K183" s="3">
        <f>_xll.ICEQuote($G183,_xll.ICEFldID(K$5))</f>
        <v>-0.97062957688370111</v>
      </c>
      <c r="L183" s="4">
        <f>_xll.ICETimeline(_xll.ICEJoinRange(M4:W4),"DF[dow:12345][tl:Calendar]","2020-07-26;2024-07-26",868,-1)</f>
        <v>45253.5</v>
      </c>
      <c r="M183">
        <f>_xll.ICEHistory(M$4,M$5,"DF[dow:12345][tl:Calendar]",$L183)</f>
        <v>75.3</v>
      </c>
      <c r="N183">
        <f>_xll.ICEHistory(M$4,N$5,"DF[dow:12345][tl:Calendar]",$L183)</f>
        <v>77.400000000000006</v>
      </c>
      <c r="O183">
        <f>_xll.ICEHistory(M$4,O$5,"DF[dow:12345][tl:Calendar]",$L183)</f>
        <v>74.650000000000006</v>
      </c>
      <c r="P183">
        <f>_xll.ICEHistory(M$4,P$5,"DF[dow:12345][tl:Calendar]",$L183)</f>
        <v>76.569999999999993</v>
      </c>
      <c r="Q183">
        <f>_xll.ICEHistory(M$4,Q$5,"DF[dow:12345][tl:Calendar]",$L183)</f>
        <v>25963</v>
      </c>
      <c r="R183">
        <f>_xll.ICEHistory(M$4,R$5,"DF[dow:12345][tl:Calendar]",$L183)</f>
        <v>330259</v>
      </c>
      <c r="S183">
        <f>_xll.ICEHistory(S$4,S$5,"DF[dow:12345][tl:Calendar]",$L183)</f>
        <v>44.05</v>
      </c>
      <c r="T183">
        <f>_xll.ICEHistory(S$4,T$5,"DF[dow:12345][tl:Calendar]",$L183)</f>
        <v>45.13</v>
      </c>
      <c r="U183">
        <f>_xll.ICEHistory(S$4,U$5,"DF[dow:12345][tl:Calendar]",$L183)</f>
        <v>43.354999999999997</v>
      </c>
      <c r="V183">
        <f>_xll.ICEHistory(S$4,V$5,"DF[dow:12345][tl:Calendar]",$L183)</f>
        <v>44.616</v>
      </c>
      <c r="W183">
        <f>_xll.ICEHistory(S$4,W$5,"DF[dow:12345][tl:Calendar]",$L183)</f>
        <v>0</v>
      </c>
      <c r="X183">
        <f t="shared" si="6"/>
        <v>3.6486665782141436E-2</v>
      </c>
      <c r="Y183">
        <f t="shared" si="7"/>
        <v>1.5262259232211011</v>
      </c>
      <c r="Z183">
        <f t="shared" si="8"/>
        <v>0.72426633142863484</v>
      </c>
    </row>
    <row r="184" spans="1:26" x14ac:dyDescent="0.25">
      <c r="A184" s="3" t="str">
        <f>_xll.ICEOptionSymbol($B$1,"F","C",$F184)</f>
        <v>EFO 24UC10600-ICN</v>
      </c>
      <c r="B184" s="3">
        <f>_xll.ICEQuote($A184,_xll.ICEFldID(B$5))</f>
        <v>0</v>
      </c>
      <c r="C184" s="3">
        <f>_xll.ICEQuote($A184,_xll.ICEFldID(C$5))</f>
        <v>106</v>
      </c>
      <c r="D184" s="3">
        <f>_xll.ICEQuote($A184,_xll.ICEFldID(D$5))</f>
        <v>0.37386713142362765</v>
      </c>
      <c r="E184" s="3">
        <f>_xll.ICEQuote($A184,_xll.ICEFldID(E$5))</f>
        <v>1.7522920043878669E-3</v>
      </c>
      <c r="F184" s="3">
        <f>_xll.ICEOptionStrike($B$1,78,"F")</f>
        <v>106</v>
      </c>
      <c r="G184" s="3" t="str">
        <f>_xll.ICEOptionSymbol($B$1,"F","P",$F184)</f>
        <v>EFO 24UP10600-ICN</v>
      </c>
      <c r="H184" s="3">
        <f>_xll.ICEQuote($G184,_xll.ICEFldID(H$5))</f>
        <v>0</v>
      </c>
      <c r="I184" s="3">
        <f>_xll.ICEQuote($G184,_xll.ICEFldID(I$5))</f>
        <v>106</v>
      </c>
      <c r="J184" s="3">
        <f>_xll.ICEQuote($G184,_xll.ICEFldID(J$5))</f>
        <v>0.54543765518770804</v>
      </c>
      <c r="K184" s="3">
        <f>_xll.ICEQuote($G184,_xll.ICEFldID(K$5))</f>
        <v>-0.97056374822144964</v>
      </c>
      <c r="L184" s="4">
        <f>_xll.ICETimeline(_xll.ICEJoinRange(M4:W4),"DF[dow:12345][tl:Calendar]","2020-07-26;2024-07-26",867,-1)</f>
        <v>45252.5</v>
      </c>
      <c r="M184">
        <f>_xll.ICEHistory(M$4,M$5,"DF[dow:12345][tl:Calendar]",$L184)</f>
        <v>75.37</v>
      </c>
      <c r="N184">
        <f>_xll.ICEHistory(M$4,N$5,"DF[dow:12345][tl:Calendar]",$L184)</f>
        <v>76.2</v>
      </c>
      <c r="O184">
        <f>_xll.ICEHistory(M$4,O$5,"DF[dow:12345][tl:Calendar]",$L184)</f>
        <v>74.8</v>
      </c>
      <c r="P184">
        <f>_xll.ICEHistory(M$4,P$5,"DF[dow:12345][tl:Calendar]",$L184)</f>
        <v>75.099999999999994</v>
      </c>
      <c r="Q184">
        <f>_xll.ICEHistory(M$4,Q$5,"DF[dow:12345][tl:Calendar]",$L184)</f>
        <v>23464</v>
      </c>
      <c r="R184">
        <f>_xll.ICEHistory(M$4,R$5,"DF[dow:12345][tl:Calendar]",$L184)</f>
        <v>326829</v>
      </c>
      <c r="S184">
        <f>_xll.ICEHistory(S$4,S$5,"DF[dow:12345][tl:Calendar]",$L184)</f>
        <v>44.05</v>
      </c>
      <c r="T184">
        <f>_xll.ICEHistory(S$4,T$5,"DF[dow:12345][tl:Calendar]",$L184)</f>
        <v>45.13</v>
      </c>
      <c r="U184">
        <f>_xll.ICEHistory(S$4,U$5,"DF[dow:12345][tl:Calendar]",$L184)</f>
        <v>43.354999999999997</v>
      </c>
      <c r="V184">
        <f>_xll.ICEHistory(S$4,V$5,"DF[dow:12345][tl:Calendar]",$L184)</f>
        <v>44.616</v>
      </c>
      <c r="W184">
        <f>_xll.ICEHistory(S$4,W$5,"DF[dow:12345][tl:Calendar]",$L184)</f>
        <v>248</v>
      </c>
      <c r="X184">
        <f t="shared" si="6"/>
        <v>1.8274376713222892E-2</v>
      </c>
      <c r="Y184">
        <f t="shared" si="7"/>
        <v>-0.73977078947761488</v>
      </c>
      <c r="Z184">
        <f t="shared" si="8"/>
        <v>0.29844140618533627</v>
      </c>
    </row>
    <row r="185" spans="1:26" x14ac:dyDescent="0.25">
      <c r="A185" s="3" t="str">
        <f>_xll.ICEOptionSymbol($B$1,"F","C",$F185)</f>
        <v>EFO 24UC10650-ICN</v>
      </c>
      <c r="B185" s="3">
        <f>_xll.ICEQuote($A185,_xll.ICEFldID(B$5))</f>
        <v>0</v>
      </c>
      <c r="C185" s="3">
        <f>_xll.ICEQuote($A185,_xll.ICEFldID(C$5))</f>
        <v>106.5</v>
      </c>
      <c r="D185" s="3">
        <f>_xll.ICEQuote($A185,_xll.ICEFldID(D$5))</f>
        <v>0.37727305358061508</v>
      </c>
      <c r="E185" s="3">
        <f>_xll.ICEQuote($A185,_xll.ICEFldID(E$5))</f>
        <v>1.7381852936790574E-3</v>
      </c>
      <c r="F185" s="3">
        <f>_xll.ICEOptionStrike($B$1,79,"F")</f>
        <v>106.5</v>
      </c>
      <c r="G185" s="3" t="str">
        <f>_xll.ICEOptionSymbol($B$1,"F","P",$F185)</f>
        <v>EFO 24UP10650-ICN</v>
      </c>
      <c r="H185" s="3">
        <f>_xll.ICEQuote($G185,_xll.ICEFldID(H$5))</f>
        <v>0</v>
      </c>
      <c r="I185" s="3">
        <f>_xll.ICEQuote($G185,_xll.ICEFldID(I$5))</f>
        <v>106.5</v>
      </c>
      <c r="J185" s="3">
        <f>_xll.ICEQuote($G185,_xll.ICEFldID(J$5))</f>
        <v>0.55098393274608104</v>
      </c>
      <c r="K185" s="3">
        <f>_xll.ICEQuote($G185,_xll.ICEFldID(K$5))</f>
        <v>-0.97049785046084125</v>
      </c>
      <c r="L185" s="4">
        <f>_xll.ICETimeline(_xll.ICEJoinRange(M4:W4),"DF[dow:12345][tl:Calendar]","2020-07-26;2024-07-26",866,-1)</f>
        <v>45251.5</v>
      </c>
      <c r="M185">
        <f>_xll.ICEHistory(M$4,M$5,"DF[dow:12345][tl:Calendar]",$L185)</f>
        <v>76.61</v>
      </c>
      <c r="N185">
        <f>_xll.ICEHistory(M$4,N$5,"DF[dow:12345][tl:Calendar]",$L185)</f>
        <v>76.8</v>
      </c>
      <c r="O185">
        <f>_xll.ICEHistory(M$4,O$5,"DF[dow:12345][tl:Calendar]",$L185)</f>
        <v>75.08</v>
      </c>
      <c r="P185">
        <f>_xll.ICEHistory(M$4,P$5,"DF[dow:12345][tl:Calendar]",$L185)</f>
        <v>75.209999999999994</v>
      </c>
      <c r="Q185">
        <f>_xll.ICEHistory(M$4,Q$5,"DF[dow:12345][tl:Calendar]",$L185)</f>
        <v>20476</v>
      </c>
      <c r="R185">
        <f>_xll.ICEHistory(M$4,R$5,"DF[dow:12345][tl:Calendar]",$L185)</f>
        <v>325105</v>
      </c>
      <c r="S185">
        <f>_xll.ICEHistory(S$4,S$5,"DF[dow:12345][tl:Calendar]",$L185)</f>
        <v>46.174999999999997</v>
      </c>
      <c r="T185">
        <f>_xll.ICEHistory(S$4,T$5,"DF[dow:12345][tl:Calendar]",$L185)</f>
        <v>46.174999999999997</v>
      </c>
      <c r="U185">
        <f>_xll.ICEHistory(S$4,U$5,"DF[dow:12345][tl:Calendar]",$L185)</f>
        <v>43.204999999999998</v>
      </c>
      <c r="V185">
        <f>_xll.ICEHistory(S$4,V$5,"DF[dow:12345][tl:Calendar]",$L185)</f>
        <v>44.064999999999998</v>
      </c>
      <c r="W185">
        <f>_xll.ICEHistory(S$4,W$5,"DF[dow:12345][tl:Calendar]",$L185)</f>
        <v>1487</v>
      </c>
      <c r="X185">
        <f t="shared" si="6"/>
        <v>2.2445517421375426E-2</v>
      </c>
      <c r="Y185">
        <f t="shared" si="7"/>
        <v>-0.23718605955812283</v>
      </c>
      <c r="Z185">
        <f t="shared" si="8"/>
        <v>-0.22131004689992112</v>
      </c>
    </row>
    <row r="186" spans="1:26" x14ac:dyDescent="0.25">
      <c r="A186" s="3" t="str">
        <f>_xll.ICEOptionSymbol($B$1,"F","C",$F186)</f>
        <v>EFO 24UC10700-ICN</v>
      </c>
      <c r="B186" s="3">
        <f>_xll.ICEQuote($A186,_xll.ICEFldID(B$5))</f>
        <v>0</v>
      </c>
      <c r="C186" s="3">
        <f>_xll.ICEQuote($A186,_xll.ICEFldID(C$5))</f>
        <v>107</v>
      </c>
      <c r="D186" s="3">
        <f>_xll.ICEQuote($A186,_xll.ICEFldID(D$5))</f>
        <v>0.38065935357045649</v>
      </c>
      <c r="E186" s="3">
        <f>_xll.ICEQuote($A186,_xll.ICEFldID(E$5))</f>
        <v>1.7243999045608801E-3</v>
      </c>
      <c r="F186" s="3">
        <f>_xll.ICEOptionStrike($B$1,80,"F")</f>
        <v>107</v>
      </c>
      <c r="G186" s="3" t="str">
        <f>_xll.ICEOptionSymbol($B$1,"F","P",$F186)</f>
        <v>EFO 24UP10700-ICN</v>
      </c>
      <c r="H186" s="3">
        <f>_xll.ICEQuote($G186,_xll.ICEFldID(H$5))</f>
        <v>0</v>
      </c>
      <c r="I186" s="3">
        <f>_xll.ICEQuote($G186,_xll.ICEFldID(I$5))</f>
        <v>107</v>
      </c>
      <c r="J186" s="3">
        <f>_xll.ICEQuote($G186,_xll.ICEFldID(J$5))</f>
        <v>0.55650494568296194</v>
      </c>
      <c r="K186" s="3">
        <f>_xll.ICEQuote($G186,_xll.ICEFldID(K$5))</f>
        <v>-0.97043188942683023</v>
      </c>
      <c r="L186" s="4">
        <f>_xll.ICETimeline(_xll.ICEJoinRange(M4:W4),"DF[dow:12345][tl:Calendar]","2020-07-26;2024-07-26",865,-1)</f>
        <v>45250.5</v>
      </c>
      <c r="M186">
        <f>_xll.ICEHistory(M$4,M$5,"DF[dow:12345][tl:Calendar]",$L186)</f>
        <v>76.63</v>
      </c>
      <c r="N186">
        <f>_xll.ICEHistory(M$4,N$5,"DF[dow:12345][tl:Calendar]",$L186)</f>
        <v>77.8</v>
      </c>
      <c r="O186">
        <f>_xll.ICEHistory(M$4,O$5,"DF[dow:12345][tl:Calendar]",$L186)</f>
        <v>76.06</v>
      </c>
      <c r="P186">
        <f>_xll.ICEHistory(M$4,P$5,"DF[dow:12345][tl:Calendar]",$L186)</f>
        <v>76.66</v>
      </c>
      <c r="Q186">
        <f>_xll.ICEHistory(M$4,Q$5,"DF[dow:12345][tl:Calendar]",$L186)</f>
        <v>17296</v>
      </c>
      <c r="R186">
        <f>_xll.ICEHistory(M$4,R$5,"DF[dow:12345][tl:Calendar]",$L186)</f>
        <v>325696</v>
      </c>
      <c r="S186">
        <f>_xll.ICEHistory(S$4,S$5,"DF[dow:12345][tl:Calendar]",$L186)</f>
        <v>47.034999999999997</v>
      </c>
      <c r="T186">
        <f>_xll.ICEHistory(S$4,T$5,"DF[dow:12345][tl:Calendar]",$L186)</f>
        <v>47.52</v>
      </c>
      <c r="U186">
        <f>_xll.ICEHistory(S$4,U$5,"DF[dow:12345][tl:Calendar]",$L186)</f>
        <v>45.21</v>
      </c>
      <c r="V186">
        <f>_xll.ICEHistory(S$4,V$5,"DF[dow:12345][tl:Calendar]",$L186)</f>
        <v>45.820999999999998</v>
      </c>
      <c r="W186">
        <f>_xll.ICEHistory(S$4,W$5,"DF[dow:12345][tl:Calendar]",$L186)</f>
        <v>849</v>
      </c>
      <c r="X186">
        <f t="shared" si="6"/>
        <v>2.2553467271548864E-2</v>
      </c>
      <c r="Y186">
        <f t="shared" si="7"/>
        <v>-0.23783325749723869</v>
      </c>
      <c r="Z186">
        <f t="shared" si="8"/>
        <v>-0.74701786392496017</v>
      </c>
    </row>
    <row r="187" spans="1:26" x14ac:dyDescent="0.25">
      <c r="A187" s="3" t="str">
        <f>_xll.ICEOptionSymbol($B$1,"F","C",$F187)</f>
        <v>EFO 24UC10750-ICN</v>
      </c>
      <c r="B187" s="3">
        <f>_xll.ICEQuote($A187,_xll.ICEFldID(B$5))</f>
        <v>0</v>
      </c>
      <c r="C187" s="3">
        <f>_xll.ICEQuote($A187,_xll.ICEFldID(C$5))</f>
        <v>107.5</v>
      </c>
      <c r="D187" s="3">
        <f>_xll.ICEQuote($A187,_xll.ICEFldID(D$5))</f>
        <v>0.3840262655452012</v>
      </c>
      <c r="E187" s="3">
        <f>_xll.ICEQuote($A187,_xll.ICEFldID(E$5))</f>
        <v>1.7109246535069913E-3</v>
      </c>
      <c r="F187" s="3">
        <f>_xll.ICEOptionStrike($B$1,81,"F")</f>
        <v>107.5</v>
      </c>
      <c r="G187" s="3" t="str">
        <f>_xll.ICEOptionSymbol($B$1,"F","P",$F187)</f>
        <v>EFO 24UP10750-ICN</v>
      </c>
      <c r="H187" s="3">
        <f>_xll.ICEQuote($G187,_xll.ICEFldID(H$5))</f>
        <v>0</v>
      </c>
      <c r="I187" s="3">
        <f>_xll.ICEQuote($G187,_xll.ICEFldID(I$5))</f>
        <v>107.5</v>
      </c>
      <c r="J187" s="3">
        <f>_xll.ICEQuote($G187,_xll.ICEFldID(J$5))</f>
        <v>0.56200093372011173</v>
      </c>
      <c r="K187" s="3">
        <f>_xll.ICEQuote($G187,_xll.ICEFldID(K$5))</f>
        <v>-0.97036587056939982</v>
      </c>
      <c r="L187" s="4">
        <f>_xll.ICETimeline(_xll.ICEJoinRange(M4:W4),"DF[dow:12345][tl:Calendar]","2020-07-26;2024-07-26",864,-1)</f>
        <v>45247.5</v>
      </c>
      <c r="M187">
        <f>_xll.ICEHistory(M$4,M$5,"DF[dow:12345][tl:Calendar]",$L187)</f>
        <v>77.150000000000006</v>
      </c>
      <c r="N187">
        <f>_xll.ICEHistory(M$4,N$5,"DF[dow:12345][tl:Calendar]",$L187)</f>
        <v>77.88</v>
      </c>
      <c r="O187">
        <f>_xll.ICEHistory(M$4,O$5,"DF[dow:12345][tl:Calendar]",$L187)</f>
        <v>75.87</v>
      </c>
      <c r="P187">
        <f>_xll.ICEHistory(M$4,P$5,"DF[dow:12345][tl:Calendar]",$L187)</f>
        <v>76.23</v>
      </c>
      <c r="Q187">
        <f>_xll.ICEHistory(M$4,Q$5,"DF[dow:12345][tl:Calendar]",$L187)</f>
        <v>18178</v>
      </c>
      <c r="R187">
        <f>_xll.ICEHistory(M$4,R$5,"DF[dow:12345][tl:Calendar]",$L187)</f>
        <v>325823</v>
      </c>
      <c r="S187">
        <f>_xll.ICEHistory(S$4,S$5,"DF[dow:12345][tl:Calendar]",$L187)</f>
        <v>46.1</v>
      </c>
      <c r="T187">
        <f>_xll.ICEHistory(S$4,T$5,"DF[dow:12345][tl:Calendar]",$L187)</f>
        <v>46.75</v>
      </c>
      <c r="U187">
        <f>_xll.ICEHistory(S$4,U$5,"DF[dow:12345][tl:Calendar]",$L187)</f>
        <v>44.85</v>
      </c>
      <c r="V187">
        <f>_xll.ICEHistory(S$4,V$5,"DF[dow:12345][tl:Calendar]",$L187)</f>
        <v>45.064</v>
      </c>
      <c r="W187">
        <f>_xll.ICEHistory(S$4,W$5,"DF[dow:12345][tl:Calendar]",$L187)</f>
        <v>285</v>
      </c>
      <c r="X187">
        <f t="shared" si="6"/>
        <v>2.5162744116174147E-2</v>
      </c>
      <c r="Y187">
        <f t="shared" si="7"/>
        <v>9.398391753121163E-2</v>
      </c>
      <c r="Z187">
        <f t="shared" si="8"/>
        <v>-0.58163935976379821</v>
      </c>
    </row>
    <row r="188" spans="1:26" x14ac:dyDescent="0.25">
      <c r="A188" s="3" t="str">
        <f>_xll.ICEOptionSymbol($B$1,"F","C",$F188)</f>
        <v>EFO 24UC10800-ICN</v>
      </c>
      <c r="B188" s="3">
        <f>_xll.ICEQuote($A188,_xll.ICEFldID(B$5))</f>
        <v>0</v>
      </c>
      <c r="C188" s="3">
        <f>_xll.ICEQuote($A188,_xll.ICEFldID(C$5))</f>
        <v>108</v>
      </c>
      <c r="D188" s="3">
        <f>_xll.ICEQuote($A188,_xll.ICEFldID(D$5))</f>
        <v>0.38737401906654761</v>
      </c>
      <c r="E188" s="3">
        <f>_xll.ICEQuote($A188,_xll.ICEFldID(E$5))</f>
        <v>1.6977488761932456E-3</v>
      </c>
      <c r="F188" s="3">
        <f>_xll.ICEOptionStrike($B$1,82,"F")</f>
        <v>108</v>
      </c>
      <c r="G188" s="3" t="str">
        <f>_xll.ICEOptionSymbol($B$1,"F","P",$F188)</f>
        <v>EFO 24UP10800-ICN</v>
      </c>
      <c r="H188" s="3">
        <f>_xll.ICEQuote($G188,_xll.ICEFldID(H$5))</f>
        <v>0</v>
      </c>
      <c r="I188" s="3">
        <f>_xll.ICEQuote($G188,_xll.ICEFldID(I$5))</f>
        <v>108</v>
      </c>
      <c r="J188" s="3">
        <f>_xll.ICEQuote($G188,_xll.ICEFldID(J$5))</f>
        <v>0.5674721331610677</v>
      </c>
      <c r="K188" s="3">
        <f>_xll.ICEQuote($G188,_xll.ICEFldID(K$5))</f>
        <v>-0.97029979904902919</v>
      </c>
      <c r="L188" s="4">
        <f>_xll.ICETimeline(_xll.ICEJoinRange(M4:W4),"DF[dow:12345][tl:Calendar]","2020-07-26;2024-07-26",863,-1)</f>
        <v>45246.5</v>
      </c>
      <c r="M188">
        <f>_xll.ICEHistory(M$4,M$5,"DF[dow:12345][tl:Calendar]",$L188)</f>
        <v>79.88</v>
      </c>
      <c r="N188">
        <f>_xll.ICEHistory(M$4,N$5,"DF[dow:12345][tl:Calendar]",$L188)</f>
        <v>79.89</v>
      </c>
      <c r="O188">
        <f>_xll.ICEHistory(M$4,O$5,"DF[dow:12345][tl:Calendar]",$L188)</f>
        <v>76.489999999999995</v>
      </c>
      <c r="P188">
        <f>_xll.ICEHistory(M$4,P$5,"DF[dow:12345][tl:Calendar]",$L188)</f>
        <v>77.2</v>
      </c>
      <c r="Q188">
        <f>_xll.ICEHistory(M$4,Q$5,"DF[dow:12345][tl:Calendar]",$L188)</f>
        <v>27807</v>
      </c>
      <c r="R188">
        <f>_xll.ICEHistory(M$4,R$5,"DF[dow:12345][tl:Calendar]",$L188)</f>
        <v>327916</v>
      </c>
      <c r="S188">
        <f>_xll.ICEHistory(S$4,S$5,"DF[dow:12345][tl:Calendar]",$L188)</f>
        <v>46.47</v>
      </c>
      <c r="T188">
        <f>_xll.ICEHistory(S$4,T$5,"DF[dow:12345][tl:Calendar]",$L188)</f>
        <v>47.82</v>
      </c>
      <c r="U188">
        <f>_xll.ICEHistory(S$4,U$5,"DF[dow:12345][tl:Calendar]",$L188)</f>
        <v>45.484999999999999</v>
      </c>
      <c r="V188">
        <f>_xll.ICEHistory(S$4,V$5,"DF[dow:12345][tl:Calendar]",$L188)</f>
        <v>45.848999999999997</v>
      </c>
      <c r="W188">
        <f>_xll.ICEHistory(S$4,W$5,"DF[dow:12345][tl:Calendar]",$L188)</f>
        <v>239</v>
      </c>
      <c r="X188">
        <f t="shared" si="6"/>
        <v>4.3273514063892148E-2</v>
      </c>
      <c r="Y188">
        <f t="shared" si="7"/>
        <v>2.3768710907991757</v>
      </c>
      <c r="Z188">
        <f t="shared" si="8"/>
        <v>1.0701301375450993</v>
      </c>
    </row>
    <row r="189" spans="1:26" x14ac:dyDescent="0.25">
      <c r="A189" s="3" t="str">
        <f>_xll.ICEOptionSymbol($B$1,"F","C",$F189)</f>
        <v>EFO 24UC10850-ICN</v>
      </c>
      <c r="B189" s="3">
        <f>_xll.ICEQuote($A189,_xll.ICEFldID(B$5))</f>
        <v>0</v>
      </c>
      <c r="C189" s="3">
        <f>_xll.ICEQuote($A189,_xll.ICEFldID(C$5))</f>
        <v>108.5</v>
      </c>
      <c r="D189" s="3">
        <f>_xll.ICEQuote($A189,_xll.ICEFldID(D$5))</f>
        <v>0.39070283924127586</v>
      </c>
      <c r="E189" s="3">
        <f>_xll.ICEQuote($A189,_xll.ICEFldID(E$5))</f>
        <v>1.6848623975061008E-3</v>
      </c>
      <c r="F189" s="3">
        <f>_xll.ICEOptionStrike($B$1,83,"F")</f>
        <v>108.5</v>
      </c>
      <c r="G189" s="3" t="str">
        <f>_xll.ICEOptionSymbol($B$1,"F","P",$F189)</f>
        <v>EFO 24UP10850-ICN</v>
      </c>
      <c r="H189" s="3">
        <f>_xll.ICEQuote($G189,_xll.ICEFldID(H$5))</f>
        <v>0</v>
      </c>
      <c r="I189" s="3">
        <f>_xll.ICEQuote($G189,_xll.ICEFldID(I$5))</f>
        <v>108.5</v>
      </c>
      <c r="J189" s="3">
        <f>_xll.ICEQuote($G189,_xll.ICEFldID(J$5))</f>
        <v>0.57291877695648974</v>
      </c>
      <c r="K189" s="3">
        <f>_xll.ICEQuote($G189,_xll.ICEFldID(K$5))</f>
        <v>-0.97023367975431574</v>
      </c>
      <c r="L189" s="4">
        <f>_xll.ICETimeline(_xll.ICEJoinRange(M4:W4),"DF[dow:12345][tl:Calendar]","2020-07-26;2024-07-26",862,-1)</f>
        <v>45245.5</v>
      </c>
      <c r="M189">
        <f>_xll.ICEHistory(M$4,M$5,"DF[dow:12345][tl:Calendar]",$L189)</f>
        <v>78.569999999999993</v>
      </c>
      <c r="N189">
        <f>_xll.ICEHistory(M$4,N$5,"DF[dow:12345][tl:Calendar]",$L189)</f>
        <v>80.3</v>
      </c>
      <c r="O189">
        <f>_xll.ICEHistory(M$4,O$5,"DF[dow:12345][tl:Calendar]",$L189)</f>
        <v>78.569999999999993</v>
      </c>
      <c r="P189">
        <f>_xll.ICEHistory(M$4,P$5,"DF[dow:12345][tl:Calendar]",$L189)</f>
        <v>79.8</v>
      </c>
      <c r="Q189">
        <f>_xll.ICEHistory(M$4,Q$5,"DF[dow:12345][tl:Calendar]",$L189)</f>
        <v>22277</v>
      </c>
      <c r="R189">
        <f>_xll.ICEHistory(M$4,R$5,"DF[dow:12345][tl:Calendar]",$L189)</f>
        <v>332217</v>
      </c>
      <c r="S189">
        <f>_xll.ICEHistory(S$4,S$5,"DF[dow:12345][tl:Calendar]",$L189)</f>
        <v>48.494999999999997</v>
      </c>
      <c r="T189">
        <f>_xll.ICEHistory(S$4,T$5,"DF[dow:12345][tl:Calendar]",$L189)</f>
        <v>49.38</v>
      </c>
      <c r="U189">
        <f>_xll.ICEHistory(S$4,U$5,"DF[dow:12345][tl:Calendar]",$L189)</f>
        <v>46.484999999999999</v>
      </c>
      <c r="V189">
        <f>_xll.ICEHistory(S$4,V$5,"DF[dow:12345][tl:Calendar]",$L189)</f>
        <v>47.036999999999999</v>
      </c>
      <c r="W189">
        <f>_xll.ICEHistory(S$4,W$5,"DF[dow:12345][tl:Calendar]",$L189)</f>
        <v>349</v>
      </c>
      <c r="X189">
        <f t="shared" si="6"/>
        <v>2.2354309342292336E-2</v>
      </c>
      <c r="Y189">
        <f t="shared" si="7"/>
        <v>-0.22486872835642094</v>
      </c>
      <c r="Z189">
        <f t="shared" si="8"/>
        <v>0.15059961661753368</v>
      </c>
    </row>
    <row r="190" spans="1:26" x14ac:dyDescent="0.25">
      <c r="A190" s="3" t="str">
        <f>_xll.ICEOptionSymbol($B$1,"F","C",$F190)</f>
        <v>EFO 24UC10900-ICN</v>
      </c>
      <c r="B190" s="3">
        <f>_xll.ICEQuote($A190,_xll.ICEFldID(B$5))</f>
        <v>0</v>
      </c>
      <c r="C190" s="3">
        <f>_xll.ICEQuote($A190,_xll.ICEFldID(C$5))</f>
        <v>109</v>
      </c>
      <c r="D190" s="3">
        <f>_xll.ICEQuote($A190,_xll.ICEFldID(D$5))</f>
        <v>0.34795414332385322</v>
      </c>
      <c r="E190" s="3">
        <f>_xll.ICEQuote($A190,_xll.ICEFldID(E$5))</f>
        <v>4.1510439494700838E-4</v>
      </c>
      <c r="F190" s="3">
        <f>_xll.ICEOptionStrike($B$1,84,"F")</f>
        <v>109</v>
      </c>
      <c r="G190" s="3" t="str">
        <f>_xll.ICEOptionSymbol($B$1,"F","P",$F190)</f>
        <v>EFO 24UP10900-ICN</v>
      </c>
      <c r="H190" s="3">
        <f>_xll.ICEQuote($G190,_xll.ICEFldID(H$5))</f>
        <v>0</v>
      </c>
      <c r="I190" s="3">
        <f>_xll.ICEQuote($G190,_xll.ICEFldID(I$5))</f>
        <v>109</v>
      </c>
      <c r="J190" s="3">
        <f>_xll.ICEQuote($G190,_xll.ICEFldID(J$5))</f>
        <v>0.57534240785715929</v>
      </c>
      <c r="K190" s="3">
        <f>_xll.ICEQuote($G190,_xll.ICEFldID(K$5))</f>
        <v>-0.97085303387637478</v>
      </c>
      <c r="L190" s="4">
        <f>_xll.ICETimeline(_xll.ICEJoinRange(M4:W4),"DF[dow:12345][tl:Calendar]","2020-07-26;2024-07-26",861,-1)</f>
        <v>45244.5</v>
      </c>
      <c r="M190">
        <f>_xll.ICEHistory(M$4,M$5,"DF[dow:12345][tl:Calendar]",$L190)</f>
        <v>77.39</v>
      </c>
      <c r="N190">
        <f>_xll.ICEHistory(M$4,N$5,"DF[dow:12345][tl:Calendar]",$L190)</f>
        <v>79.09</v>
      </c>
      <c r="O190">
        <f>_xll.ICEHistory(M$4,O$5,"DF[dow:12345][tl:Calendar]",$L190)</f>
        <v>76.59</v>
      </c>
      <c r="P190">
        <f>_xll.ICEHistory(M$4,P$5,"DF[dow:12345][tl:Calendar]",$L190)</f>
        <v>78.569999999999993</v>
      </c>
      <c r="Q190">
        <f>_xll.ICEHistory(M$4,Q$5,"DF[dow:12345][tl:Calendar]",$L190)</f>
        <v>25154</v>
      </c>
      <c r="R190">
        <f>_xll.ICEHistory(M$4,R$5,"DF[dow:12345][tl:Calendar]",$L190)</f>
        <v>333644</v>
      </c>
      <c r="S190">
        <f>_xll.ICEHistory(S$4,S$5,"DF[dow:12345][tl:Calendar]",$L190)</f>
        <v>46.895000000000003</v>
      </c>
      <c r="T190">
        <f>_xll.ICEHistory(S$4,T$5,"DF[dow:12345][tl:Calendar]",$L190)</f>
        <v>48</v>
      </c>
      <c r="U190">
        <f>_xll.ICEHistory(S$4,U$5,"DF[dow:12345][tl:Calendar]",$L190)</f>
        <v>46.064999999999998</v>
      </c>
      <c r="V190">
        <f>_xll.ICEHistory(S$4,V$5,"DF[dow:12345][tl:Calendar]",$L190)</f>
        <v>47.607999999999997</v>
      </c>
      <c r="W190">
        <f>_xll.ICEHistory(S$4,W$5,"DF[dow:12345][tl:Calendar]",$L190)</f>
        <v>1538</v>
      </c>
      <c r="X190">
        <f t="shared" si="6"/>
        <v>3.1847133757961783E-2</v>
      </c>
      <c r="Y190">
        <f t="shared" si="7"/>
        <v>1.0230289156775925</v>
      </c>
      <c r="Z190">
        <f t="shared" si="8"/>
        <v>0.6590850458122246</v>
      </c>
    </row>
    <row r="191" spans="1:26" x14ac:dyDescent="0.25">
      <c r="A191" s="3" t="str">
        <f>_xll.ICEOptionSymbol($B$1,"F","C",$F191)</f>
        <v>EFO 24UC10950-ICN</v>
      </c>
      <c r="B191" s="3">
        <f>_xll.ICEQuote($A191,_xll.ICEFldID(B$5))</f>
        <v>0</v>
      </c>
      <c r="C191" s="3">
        <f>_xll.ICEQuote($A191,_xll.ICEFldID(C$5))</f>
        <v>109.5</v>
      </c>
      <c r="D191" s="3">
        <f>_xll.ICEQuote($A191,_xll.ICEFldID(D$5))</f>
        <v>0.35092430807549291</v>
      </c>
      <c r="E191" s="3">
        <f>_xll.ICEQuote($A191,_xll.ICEFldID(E$5))</f>
        <v>4.1191337774988982E-4</v>
      </c>
      <c r="F191" s="3">
        <f>_xll.ICEOptionStrike($B$1,85,"F")</f>
        <v>109.5</v>
      </c>
      <c r="G191" s="3" t="str">
        <f>_xll.ICEOptionSymbol($B$1,"F","P",$F191)</f>
        <v>EFO 24UP10950-ICN</v>
      </c>
      <c r="H191" s="3">
        <f>_xll.ICEQuote($G191,_xll.ICEFldID(H$5))</f>
        <v>0</v>
      </c>
      <c r="I191" s="3">
        <f>_xll.ICEQuote($G191,_xll.ICEFldID(I$5))</f>
        <v>109.5</v>
      </c>
      <c r="J191" s="3">
        <f>_xll.ICEQuote($G191,_xll.ICEFldID(J$5))</f>
        <v>0.58074726083044814</v>
      </c>
      <c r="K191" s="3">
        <f>_xll.ICEQuote($G191,_xll.ICEFldID(K$5))</f>
        <v>-0.97078081133342187</v>
      </c>
      <c r="L191" s="4">
        <f>_xll.ICETimeline(_xll.ICEJoinRange(M4:W4),"DF[dow:12345][tl:Calendar]","2020-07-26;2024-07-26",860,-1)</f>
        <v>45243.5</v>
      </c>
      <c r="M191">
        <f>_xll.ICEHistory(M$4,M$5,"DF[dow:12345][tl:Calendar]",$L191)</f>
        <v>78.5</v>
      </c>
      <c r="N191">
        <f>_xll.ICEHistory(M$4,N$5,"DF[dow:12345][tl:Calendar]",$L191)</f>
        <v>79.010000000000005</v>
      </c>
      <c r="O191">
        <f>_xll.ICEHistory(M$4,O$5,"DF[dow:12345][tl:Calendar]",$L191)</f>
        <v>76.17</v>
      </c>
      <c r="P191">
        <f>_xll.ICEHistory(M$4,P$5,"DF[dow:12345][tl:Calendar]",$L191)</f>
        <v>77.040000000000006</v>
      </c>
      <c r="Q191">
        <f>_xll.ICEHistory(M$4,Q$5,"DF[dow:12345][tl:Calendar]",$L191)</f>
        <v>22543</v>
      </c>
      <c r="R191">
        <f>_xll.ICEHistory(M$4,R$5,"DF[dow:12345][tl:Calendar]",$L191)</f>
        <v>334761</v>
      </c>
      <c r="S191">
        <f>_xll.ICEHistory(S$4,S$5,"DF[dow:12345][tl:Calendar]",$L191)</f>
        <v>45.94</v>
      </c>
      <c r="T191">
        <f>_xll.ICEHistory(S$4,T$5,"DF[dow:12345][tl:Calendar]",$L191)</f>
        <v>47.994999999999997</v>
      </c>
      <c r="U191">
        <f>_xll.ICEHistory(S$4,U$5,"DF[dow:12345][tl:Calendar]",$L191)</f>
        <v>44.564999999999998</v>
      </c>
      <c r="V191">
        <f>_xll.ICEHistory(S$4,V$5,"DF[dow:12345][tl:Calendar]",$L191)</f>
        <v>47.872999999999998</v>
      </c>
      <c r="W191">
        <f>_xll.ICEHistory(S$4,W$5,"DF[dow:12345][tl:Calendar]",$L191)</f>
        <v>195</v>
      </c>
      <c r="X191">
        <f t="shared" si="6"/>
        <v>3.6555541253700648E-2</v>
      </c>
      <c r="Y191">
        <f t="shared" si="7"/>
        <v>1.6758936128823707</v>
      </c>
      <c r="Z191">
        <f t="shared" si="8"/>
        <v>0.23984944853306683</v>
      </c>
    </row>
    <row r="192" spans="1:26" x14ac:dyDescent="0.25">
      <c r="A192" s="3" t="str">
        <f>_xll.ICEOptionSymbol($B$1,"F","C",$F192)</f>
        <v>EFO 24UC11000-ICN</v>
      </c>
      <c r="B192" s="3">
        <f>_xll.ICEQuote($A192,_xll.ICEFldID(B$5))</f>
        <v>0</v>
      </c>
      <c r="C192" s="3">
        <f>_xll.ICEQuote($A192,_xll.ICEFldID(C$5))</f>
        <v>110</v>
      </c>
      <c r="D192" s="3">
        <f>_xll.ICEQuote($A192,_xll.ICEFldID(D$5))</f>
        <v>0.35387844837434052</v>
      </c>
      <c r="E192" s="3">
        <f>_xll.ICEQuote($A192,_xll.ICEFldID(E$5))</f>
        <v>4.0879093171682779E-4</v>
      </c>
      <c r="F192" s="3">
        <f>_xll.ICEOptionStrike($B$1,86,"F")</f>
        <v>110</v>
      </c>
      <c r="G192" s="3" t="str">
        <f>_xll.ICEOptionSymbol($B$1,"F","P",$F192)</f>
        <v>EFO 24UP11000-ICN</v>
      </c>
      <c r="H192" s="3">
        <f>_xll.ICEQuote($G192,_xll.ICEFldID(H$5))</f>
        <v>0</v>
      </c>
      <c r="I192" s="3">
        <f>_xll.ICEQuote($G192,_xll.ICEFldID(I$5))</f>
        <v>110</v>
      </c>
      <c r="J192" s="3">
        <f>_xll.ICEQuote($G192,_xll.ICEFldID(J$5))</f>
        <v>0.58612820113118214</v>
      </c>
      <c r="K192" s="3">
        <f>_xll.ICEQuote($G192,_xll.ICEFldID(K$5))</f>
        <v>-0.97070869019511541</v>
      </c>
      <c r="L192" s="4">
        <f>_xll.ICETimeline(_xll.ICEJoinRange(M4:W4),"DF[dow:12345][tl:Calendar]","2020-07-26;2024-07-26",859,-1)</f>
        <v>45240.5</v>
      </c>
      <c r="M192">
        <f>_xll.ICEHistory(M$4,M$5,"DF[dow:12345][tl:Calendar]",$L192)</f>
        <v>77.69</v>
      </c>
      <c r="N192">
        <f>_xll.ICEHistory(M$4,N$5,"DF[dow:12345][tl:Calendar]",$L192)</f>
        <v>78.86</v>
      </c>
      <c r="O192">
        <f>_xll.ICEHistory(M$4,O$5,"DF[dow:12345][tl:Calendar]",$L192)</f>
        <v>76.150000000000006</v>
      </c>
      <c r="P192">
        <f>_xll.ICEHistory(M$4,P$5,"DF[dow:12345][tl:Calendar]",$L192)</f>
        <v>78.5</v>
      </c>
      <c r="Q192">
        <f>_xll.ICEHistory(M$4,Q$5,"DF[dow:12345][tl:Calendar]",$L192)</f>
        <v>21911</v>
      </c>
      <c r="R192">
        <f>_xll.ICEHistory(M$4,R$5,"DF[dow:12345][tl:Calendar]",$L192)</f>
        <v>333953</v>
      </c>
      <c r="S192">
        <f>_xll.ICEHistory(S$4,S$5,"DF[dow:12345][tl:Calendar]",$L192)</f>
        <v>47.045000000000002</v>
      </c>
      <c r="T192">
        <f>_xll.ICEHistory(S$4,T$5,"DF[dow:12345][tl:Calendar]",$L192)</f>
        <v>47.354999999999997</v>
      </c>
      <c r="U192">
        <f>_xll.ICEHistory(S$4,U$5,"DF[dow:12345][tl:Calendar]",$L192)</f>
        <v>45.734999999999999</v>
      </c>
      <c r="V192">
        <f>_xll.ICEHistory(S$4,V$5,"DF[dow:12345][tl:Calendar]",$L192)</f>
        <v>46.631999999999998</v>
      </c>
      <c r="W192">
        <f>_xll.ICEHistory(S$4,W$5,"DF[dow:12345][tl:Calendar]",$L192)</f>
        <v>268</v>
      </c>
      <c r="X192">
        <f t="shared" si="6"/>
        <v>3.5822868473231906E-2</v>
      </c>
      <c r="Y192">
        <f t="shared" si="7"/>
        <v>1.6375783707176004</v>
      </c>
      <c r="Z192">
        <f t="shared" si="8"/>
        <v>0.15607994954208287</v>
      </c>
    </row>
    <row r="193" spans="1:26" x14ac:dyDescent="0.25">
      <c r="A193" s="3" t="str">
        <f>_xll.ICEOptionSymbol($B$1,"F","C",$F193)</f>
        <v>EFO 24UC11050-ICN</v>
      </c>
      <c r="B193" s="3">
        <f>_xll.ICEQuote($A193,_xll.ICEFldID(B$5))</f>
        <v>0</v>
      </c>
      <c r="C193" s="3">
        <f>_xll.ICEQuote($A193,_xll.ICEFldID(C$5))</f>
        <v>110.5</v>
      </c>
      <c r="D193" s="3">
        <f>_xll.ICEQuote($A193,_xll.ICEFldID(D$5))</f>
        <v>0.35681674109200689</v>
      </c>
      <c r="E193" s="3">
        <f>_xll.ICEQuote($A193,_xll.ICEFldID(E$5))</f>
        <v>4.0573480894572078E-4</v>
      </c>
      <c r="F193" s="3">
        <f>_xll.ICEOptionStrike($B$1,87,"F")</f>
        <v>110.5</v>
      </c>
      <c r="G193" s="3" t="str">
        <f>_xll.ICEOptionSymbol($B$1,"F","P",$F193)</f>
        <v>EFO 24UP11050-ICN</v>
      </c>
      <c r="H193" s="3">
        <f>_xll.ICEQuote($G193,_xll.ICEFldID(H$5))</f>
        <v>0</v>
      </c>
      <c r="I193" s="3">
        <f>_xll.ICEQuote($G193,_xll.ICEFldID(I$5))</f>
        <v>110.5</v>
      </c>
      <c r="J193" s="3">
        <f>_xll.ICEQuote($G193,_xll.ICEFldID(J$5))</f>
        <v>0.59148544906909328</v>
      </c>
      <c r="K193" s="3">
        <f>_xll.ICEQuote($G193,_xll.ICEFldID(K$5))</f>
        <v>-0.97063666978710084</v>
      </c>
      <c r="L193" s="4">
        <f>_xll.ICETimeline(_xll.ICEJoinRange(M4:W4),"DF[dow:12345][tl:Calendar]","2020-07-26;2024-07-26",858,-1)</f>
        <v>45239.5</v>
      </c>
      <c r="M193">
        <f>_xll.ICEHistory(M$4,M$5,"DF[dow:12345][tl:Calendar]",$L193)</f>
        <v>75.650000000000006</v>
      </c>
      <c r="N193">
        <f>_xll.ICEHistory(M$4,N$5,"DF[dow:12345][tl:Calendar]",$L193)</f>
        <v>77.69</v>
      </c>
      <c r="O193">
        <f>_xll.ICEHistory(M$4,O$5,"DF[dow:12345][tl:Calendar]",$L193)</f>
        <v>75.19</v>
      </c>
      <c r="P193">
        <f>_xll.ICEHistory(M$4,P$5,"DF[dow:12345][tl:Calendar]",$L193)</f>
        <v>77.3</v>
      </c>
      <c r="Q193">
        <f>_xll.ICEHistory(M$4,Q$5,"DF[dow:12345][tl:Calendar]",$L193)</f>
        <v>28209</v>
      </c>
      <c r="R193">
        <f>_xll.ICEHistory(M$4,R$5,"DF[dow:12345][tl:Calendar]",$L193)</f>
        <v>335381</v>
      </c>
      <c r="S193">
        <f>_xll.ICEHistory(S$4,S$5,"DF[dow:12345][tl:Calendar]",$L193)</f>
        <v>45.01</v>
      </c>
      <c r="T193">
        <f>_xll.ICEHistory(S$4,T$5,"DF[dow:12345][tl:Calendar]",$L193)</f>
        <v>49.06</v>
      </c>
      <c r="U193">
        <f>_xll.ICEHistory(S$4,U$5,"DF[dow:12345][tl:Calendar]",$L193)</f>
        <v>45.01</v>
      </c>
      <c r="V193">
        <f>_xll.ICEHistory(S$4,V$5,"DF[dow:12345][tl:Calendar]",$L193)</f>
        <v>48.128999999999998</v>
      </c>
      <c r="W193">
        <f>_xll.ICEHistory(S$4,W$5,"DF[dow:12345][tl:Calendar]",$L193)</f>
        <v>1555</v>
      </c>
      <c r="X193">
        <f t="shared" si="6"/>
        <v>3.3138918345705197E-2</v>
      </c>
      <c r="Y193">
        <f t="shared" si="7"/>
        <v>1.280810355796455</v>
      </c>
      <c r="Z193">
        <f t="shared" si="8"/>
        <v>1.2147233397210138</v>
      </c>
    </row>
    <row r="194" spans="1:26" x14ac:dyDescent="0.25">
      <c r="A194" s="3" t="str">
        <f>_xll.ICEOptionSymbol($B$1,"F","C",$F194)</f>
        <v>EFO 24UC11100-ICN</v>
      </c>
      <c r="B194" s="3">
        <f>_xll.ICEQuote($A194,_xll.ICEFldID(B$5))</f>
        <v>0</v>
      </c>
      <c r="C194" s="3">
        <f>_xll.ICEQuote($A194,_xll.ICEFldID(C$5))</f>
        <v>111</v>
      </c>
      <c r="D194" s="3">
        <f>_xll.ICEQuote($A194,_xll.ICEFldID(D$5))</f>
        <v>0.35973935995392559</v>
      </c>
      <c r="E194" s="3">
        <f>_xll.ICEQuote($A194,_xll.ICEFldID(E$5))</f>
        <v>4.0274285974122931E-4</v>
      </c>
      <c r="F194" s="3">
        <f>_xll.ICEOptionStrike($B$1,88,"F")</f>
        <v>111</v>
      </c>
      <c r="G194" s="3" t="str">
        <f>_xll.ICEOptionSymbol($B$1,"F","P",$F194)</f>
        <v>EFO 24UP11100-ICN</v>
      </c>
      <c r="H194" s="3">
        <f>_xll.ICEQuote($G194,_xll.ICEFldID(H$5))</f>
        <v>0</v>
      </c>
      <c r="I194" s="3">
        <f>_xll.ICEQuote($G194,_xll.ICEFldID(I$5))</f>
        <v>111</v>
      </c>
      <c r="J194" s="3">
        <f>_xll.ICEQuote($G194,_xll.ICEFldID(J$5))</f>
        <v>0.59681922191321735</v>
      </c>
      <c r="K194" s="3">
        <f>_xll.ICEQuote($G194,_xll.ICEFldID(K$5))</f>
        <v>-0.97056474944267546</v>
      </c>
      <c r="L194" s="4">
        <f>_xll.ICETimeline(_xll.ICEJoinRange(M4:W4),"DF[dow:12345][tl:Calendar]","2020-07-26;2024-07-26",857,-1)</f>
        <v>45238.5</v>
      </c>
      <c r="M194">
        <f>_xll.ICEHistory(M$4,M$5,"DF[dow:12345][tl:Calendar]",$L194)</f>
        <v>75.44</v>
      </c>
      <c r="N194">
        <f>_xll.ICEHistory(M$4,N$5,"DF[dow:12345][tl:Calendar]",$L194)</f>
        <v>76.44</v>
      </c>
      <c r="O194">
        <f>_xll.ICEHistory(M$4,O$5,"DF[dow:12345][tl:Calendar]",$L194)</f>
        <v>74.84</v>
      </c>
      <c r="P194">
        <f>_xll.ICEHistory(M$4,P$5,"DF[dow:12345][tl:Calendar]",$L194)</f>
        <v>75.400000000000006</v>
      </c>
      <c r="Q194">
        <f>_xll.ICEHistory(M$4,Q$5,"DF[dow:12345][tl:Calendar]",$L194)</f>
        <v>23461</v>
      </c>
      <c r="R194">
        <f>_xll.ICEHistory(M$4,R$5,"DF[dow:12345][tl:Calendar]",$L194)</f>
        <v>335876</v>
      </c>
      <c r="S194">
        <f>_xll.ICEHistory(S$4,S$5,"DF[dow:12345][tl:Calendar]",$L194)</f>
        <v>45.75</v>
      </c>
      <c r="T194">
        <f>_xll.ICEHistory(S$4,T$5,"DF[dow:12345][tl:Calendar]",$L194)</f>
        <v>46.21</v>
      </c>
      <c r="U194">
        <f>_xll.ICEHistory(S$4,U$5,"DF[dow:12345][tl:Calendar]",$L194)</f>
        <v>45</v>
      </c>
      <c r="V194">
        <f>_xll.ICEHistory(S$4,V$5,"DF[dow:12345][tl:Calendar]",$L194)</f>
        <v>45.777000000000001</v>
      </c>
      <c r="W194">
        <f>_xll.ICEHistory(S$4,W$5,"DF[dow:12345][tl:Calendar]",$L194)</f>
        <v>908</v>
      </c>
      <c r="X194">
        <f t="shared" si="6"/>
        <v>2.1133271694624152E-2</v>
      </c>
      <c r="Y194">
        <f t="shared" si="7"/>
        <v>-0.345995345891979</v>
      </c>
      <c r="Z194">
        <f t="shared" si="8"/>
        <v>0.45985397954358542</v>
      </c>
    </row>
    <row r="195" spans="1:26" x14ac:dyDescent="0.25">
      <c r="A195" s="3" t="str">
        <f>_xll.ICEOptionSymbol($B$1,"F","C",$F195)</f>
        <v>EFO 24UC11150-ICN</v>
      </c>
      <c r="B195" s="3">
        <f>_xll.ICEQuote($A195,_xll.ICEFldID(B$5))</f>
        <v>0</v>
      </c>
      <c r="C195" s="3">
        <f>_xll.ICEQuote($A195,_xll.ICEFldID(C$5))</f>
        <v>111.5</v>
      </c>
      <c r="D195" s="3">
        <f>_xll.ICEQuote($A195,_xll.ICEFldID(D$5))</f>
        <v>0.36264647562219315</v>
      </c>
      <c r="E195" s="3">
        <f>_xll.ICEQuote($A195,_xll.ICEFldID(E$5))</f>
        <v>3.9981302727840149E-4</v>
      </c>
      <c r="F195" s="3">
        <f>_xll.ICEOptionStrike($B$1,89,"F")</f>
        <v>111.5</v>
      </c>
      <c r="G195" s="3" t="str">
        <f>_xll.ICEOptionSymbol($B$1,"F","P",$F195)</f>
        <v>EFO 24UP11150-ICN</v>
      </c>
      <c r="H195" s="3">
        <f>_xll.ICEQuote($G195,_xll.ICEFldID(H$5))</f>
        <v>0</v>
      </c>
      <c r="I195" s="3">
        <f>_xll.ICEQuote($G195,_xll.ICEFldID(I$5))</f>
        <v>111.5</v>
      </c>
      <c r="J195" s="3">
        <f>_xll.ICEQuote($G195,_xll.ICEFldID(J$5))</f>
        <v>0.60212973394759928</v>
      </c>
      <c r="K195" s="3">
        <f>_xll.ICEQuote($G195,_xll.ICEFldID(K$5))</f>
        <v>-0.97049292850266222</v>
      </c>
      <c r="L195" s="4">
        <f>_xll.ICETimeline(_xll.ICEJoinRange(M4:W4),"DF[dow:12345][tl:Calendar]","2020-07-26;2024-07-26",856,-1)</f>
        <v>45237.5</v>
      </c>
      <c r="M195">
        <f>_xll.ICEHistory(M$4,M$5,"DF[dow:12345][tl:Calendar]",$L195)</f>
        <v>75.709999999999994</v>
      </c>
      <c r="N195">
        <f>_xll.ICEHistory(M$4,N$5,"DF[dow:12345][tl:Calendar]",$L195)</f>
        <v>76.5</v>
      </c>
      <c r="O195">
        <f>_xll.ICEHistory(M$4,O$5,"DF[dow:12345][tl:Calendar]",$L195)</f>
        <v>74.849999999999994</v>
      </c>
      <c r="P195">
        <f>_xll.ICEHistory(M$4,P$5,"DF[dow:12345][tl:Calendar]",$L195)</f>
        <v>75.36</v>
      </c>
      <c r="Q195">
        <f>_xll.ICEHistory(M$4,Q$5,"DF[dow:12345][tl:Calendar]",$L195)</f>
        <v>27479</v>
      </c>
      <c r="R195">
        <f>_xll.ICEHistory(M$4,R$5,"DF[dow:12345][tl:Calendar]",$L195)</f>
        <v>335835</v>
      </c>
      <c r="S195">
        <f>_xll.ICEHistory(S$4,S$5,"DF[dow:12345][tl:Calendar]",$L195)</f>
        <v>45.24</v>
      </c>
      <c r="T195">
        <f>_xll.ICEHistory(S$4,T$5,"DF[dow:12345][tl:Calendar]",$L195)</f>
        <v>47.05</v>
      </c>
      <c r="U195">
        <f>_xll.ICEHistory(S$4,U$5,"DF[dow:12345][tl:Calendar]",$L195)</f>
        <v>45.005000000000003</v>
      </c>
      <c r="V195">
        <f>_xll.ICEHistory(S$4,V$5,"DF[dow:12345][tl:Calendar]",$L195)</f>
        <v>46.057000000000002</v>
      </c>
      <c r="W195">
        <f>_xll.ICEHistory(S$4,W$5,"DF[dow:12345][tl:Calendar]",$L195)</f>
        <v>2222</v>
      </c>
      <c r="X195">
        <f t="shared" si="6"/>
        <v>2.1295818275684119E-2</v>
      </c>
      <c r="Y195">
        <f t="shared" si="7"/>
        <v>-0.33765399337735391</v>
      </c>
      <c r="Z195">
        <f t="shared" si="8"/>
        <v>1.1426652807392592</v>
      </c>
    </row>
    <row r="196" spans="1:26" x14ac:dyDescent="0.25">
      <c r="A196" s="3" t="str">
        <f>_xll.ICEOptionSymbol($B$1,"F","C",$F196)</f>
        <v>EFO 24UC11200-ICN</v>
      </c>
      <c r="B196" s="3">
        <f>_xll.ICEQuote($A196,_xll.ICEFldID(B$5))</f>
        <v>0</v>
      </c>
      <c r="C196" s="3">
        <f>_xll.ICEQuote($A196,_xll.ICEFldID(C$5))</f>
        <v>112</v>
      </c>
      <c r="D196" s="3">
        <f>_xll.ICEQuote($A196,_xll.ICEFldID(D$5))</f>
        <v>0.36553825577534732</v>
      </c>
      <c r="E196" s="3">
        <f>_xll.ICEQuote($A196,_xll.ICEFldID(E$5))</f>
        <v>3.9694334261191353E-4</v>
      </c>
      <c r="F196" s="3">
        <f>_xll.ICEOptionStrike($B$1,90,"F")</f>
        <v>112</v>
      </c>
      <c r="G196" s="3" t="str">
        <f>_xll.ICEOptionSymbol($B$1,"F","P",$F196)</f>
        <v>EFO 24UP11200-ICN</v>
      </c>
      <c r="H196" s="3">
        <f>_xll.ICEQuote($G196,_xll.ICEFldID(H$5))</f>
        <v>0</v>
      </c>
      <c r="I196" s="3">
        <f>_xll.ICEQuote($G196,_xll.ICEFldID(I$5))</f>
        <v>112</v>
      </c>
      <c r="J196" s="3">
        <f>_xll.ICEQuote($G196,_xll.ICEFldID(J$5))</f>
        <v>0.60741719652568427</v>
      </c>
      <c r="K196" s="3">
        <f>_xll.ICEQuote($G196,_xll.ICEFldID(K$5))</f>
        <v>-0.97042120631529527</v>
      </c>
      <c r="L196" s="4">
        <f>_xll.ICETimeline(_xll.ICEJoinRange(M4:W4),"DF[dow:12345][tl:Calendar]","2020-07-26;2024-07-26",855,-1)</f>
        <v>45236.5</v>
      </c>
      <c r="M196">
        <f>_xll.ICEHistory(M$4,M$5,"DF[dow:12345][tl:Calendar]",$L196)</f>
        <v>77.48</v>
      </c>
      <c r="N196">
        <f>_xll.ICEHistory(M$4,N$5,"DF[dow:12345][tl:Calendar]",$L196)</f>
        <v>77.48</v>
      </c>
      <c r="O196">
        <f>_xll.ICEHistory(M$4,O$5,"DF[dow:12345][tl:Calendar]",$L196)</f>
        <v>75.599999999999994</v>
      </c>
      <c r="P196">
        <f>_xll.ICEHistory(M$4,P$5,"DF[dow:12345][tl:Calendar]",$L196)</f>
        <v>75.88</v>
      </c>
      <c r="Q196">
        <f>_xll.ICEHistory(M$4,Q$5,"DF[dow:12345][tl:Calendar]",$L196)</f>
        <v>22188</v>
      </c>
      <c r="R196">
        <f>_xll.ICEHistory(M$4,R$5,"DF[dow:12345][tl:Calendar]",$L196)</f>
        <v>338083</v>
      </c>
      <c r="S196">
        <f>_xll.ICEHistory(S$4,S$5,"DF[dow:12345][tl:Calendar]",$L196)</f>
        <v>47</v>
      </c>
      <c r="T196">
        <f>_xll.ICEHistory(S$4,T$5,"DF[dow:12345][tl:Calendar]",$L196)</f>
        <v>47</v>
      </c>
      <c r="U196">
        <f>_xll.ICEHistory(S$4,U$5,"DF[dow:12345][tl:Calendar]",$L196)</f>
        <v>44.695</v>
      </c>
      <c r="V196">
        <f>_xll.ICEHistory(S$4,V$5,"DF[dow:12345][tl:Calendar]",$L196)</f>
        <v>44.832000000000001</v>
      </c>
      <c r="W196">
        <f>_xll.ICEHistory(S$4,W$5,"DF[dow:12345][tl:Calendar]",$L196)</f>
        <v>2335</v>
      </c>
      <c r="X196">
        <f t="shared" si="6"/>
        <v>2.3915532375016025E-2</v>
      </c>
      <c r="Y196">
        <f t="shared" si="7"/>
        <v>6.2508042833304975E-3</v>
      </c>
      <c r="Z196">
        <f t="shared" si="8"/>
        <v>0.29034686391826053</v>
      </c>
    </row>
    <row r="197" spans="1:26" x14ac:dyDescent="0.25">
      <c r="A197" s="3" t="str">
        <f>_xll.ICEOptionSymbol($B$1,"F","C",$F197)</f>
        <v>EFO 24UC11250-ICN</v>
      </c>
      <c r="B197" s="3">
        <f>_xll.ICEQuote($A197,_xll.ICEFldID(B$5))</f>
        <v>0</v>
      </c>
      <c r="C197" s="3">
        <f>_xll.ICEQuote($A197,_xll.ICEFldID(C$5))</f>
        <v>112.5</v>
      </c>
      <c r="D197" s="3">
        <f>_xll.ICEQuote($A197,_xll.ICEFldID(D$5))</f>
        <v>0.36841486518523692</v>
      </c>
      <c r="E197" s="3">
        <f>_xll.ICEQuote($A197,_xll.ICEFldID(E$5))</f>
        <v>3.9413192000501134E-4</v>
      </c>
      <c r="F197" s="3">
        <f>_xll.ICEOptionStrike($B$1,91,"F")</f>
        <v>112.5</v>
      </c>
      <c r="G197" s="3" t="str">
        <f>_xll.ICEOptionSymbol($B$1,"F","P",$F197)</f>
        <v>EFO 24UP11250-ICN</v>
      </c>
      <c r="H197" s="3">
        <f>_xll.ICEQuote($G197,_xll.ICEFldID(H$5))</f>
        <v>0</v>
      </c>
      <c r="I197" s="3">
        <f>_xll.ICEQuote($G197,_xll.ICEFldID(I$5))</f>
        <v>112.5</v>
      </c>
      <c r="J197" s="3">
        <f>_xll.ICEQuote($G197,_xll.ICEFldID(J$5))</f>
        <v>0.6126818181235083</v>
      </c>
      <c r="K197" s="3">
        <f>_xll.ICEQuote($G197,_xll.ICEFldID(K$5))</f>
        <v>-0.97034958223610179</v>
      </c>
      <c r="L197" s="4">
        <f>_xll.ICETimeline(_xll.ICEJoinRange(M4:W4),"DF[dow:12345][tl:Calendar]","2020-07-26;2024-07-26",854,-1)</f>
        <v>45233.5</v>
      </c>
      <c r="M197">
        <f>_xll.ICEHistory(M$4,M$5,"DF[dow:12345][tl:Calendar]",$L197)</f>
        <v>78.61</v>
      </c>
      <c r="N197">
        <f>_xll.ICEHistory(M$4,N$5,"DF[dow:12345][tl:Calendar]",$L197)</f>
        <v>79.75</v>
      </c>
      <c r="O197">
        <f>_xll.ICEHistory(M$4,O$5,"DF[dow:12345][tl:Calendar]",$L197)</f>
        <v>77.099999999999994</v>
      </c>
      <c r="P197">
        <f>_xll.ICEHistory(M$4,P$5,"DF[dow:12345][tl:Calendar]",$L197)</f>
        <v>77.2</v>
      </c>
      <c r="Q197">
        <f>_xll.ICEHistory(M$4,Q$5,"DF[dow:12345][tl:Calendar]",$L197)</f>
        <v>21470</v>
      </c>
      <c r="R197">
        <f>_xll.ICEHistory(M$4,R$5,"DF[dow:12345][tl:Calendar]",$L197)</f>
        <v>338875</v>
      </c>
      <c r="S197">
        <f>_xll.ICEHistory(S$4,S$5,"DF[dow:12345][tl:Calendar]",$L197)</f>
        <v>49.225000000000001</v>
      </c>
      <c r="T197">
        <f>_xll.ICEHistory(S$4,T$5,"DF[dow:12345][tl:Calendar]",$L197)</f>
        <v>50.37</v>
      </c>
      <c r="U197">
        <f>_xll.ICEHistory(S$4,U$5,"DF[dow:12345][tl:Calendar]",$L197)</f>
        <v>46.96</v>
      </c>
      <c r="V197">
        <f>_xll.ICEHistory(S$4,V$5,"DF[dow:12345][tl:Calendar]",$L197)</f>
        <v>48.057000000000002</v>
      </c>
      <c r="W197">
        <f>_xll.ICEHistory(S$4,W$5,"DF[dow:12345][tl:Calendar]",$L197)</f>
        <v>2334</v>
      </c>
      <c r="X197">
        <f t="shared" si="6"/>
        <v>3.3822590938098349E-2</v>
      </c>
      <c r="Y197">
        <f t="shared" si="7"/>
        <v>1.3636464988401373</v>
      </c>
      <c r="Z197">
        <f t="shared" si="8"/>
        <v>0.19129480352291792</v>
      </c>
    </row>
    <row r="198" spans="1:26" x14ac:dyDescent="0.25">
      <c r="A198" s="3" t="str">
        <f>_xll.ICEOptionSymbol($B$1,"F","C",$F198)</f>
        <v>EFO 24UC11300-ICN</v>
      </c>
      <c r="B198" s="3">
        <f>_xll.ICEQuote($A198,_xll.ICEFldID(B$5))</f>
        <v>0</v>
      </c>
      <c r="C198" s="3">
        <f>_xll.ICEQuote($A198,_xll.ICEFldID(C$5))</f>
        <v>113</v>
      </c>
      <c r="D198" s="3">
        <f>_xll.ICEQuote($A198,_xll.ICEFldID(D$5))</f>
        <v>0.37127646579112794</v>
      </c>
      <c r="E198" s="3">
        <f>_xll.ICEQuote($A198,_xll.ICEFldID(E$5))</f>
        <v>3.9137695255451056E-4</v>
      </c>
      <c r="F198" s="3">
        <f>_xll.ICEOptionStrike($B$1,92,"F")</f>
        <v>113</v>
      </c>
      <c r="G198" s="3" t="str">
        <f>_xll.ICEOptionSymbol($B$1,"F","P",$F198)</f>
        <v>EFO 24UP11300-ICN</v>
      </c>
      <c r="H198" s="3">
        <f>_xll.ICEQuote($G198,_xll.ICEFldID(H$5))</f>
        <v>0</v>
      </c>
      <c r="I198" s="3">
        <f>_xll.ICEQuote($G198,_xll.ICEFldID(I$5))</f>
        <v>113</v>
      </c>
      <c r="J198" s="3">
        <f>_xll.ICEQuote($G198,_xll.ICEFldID(J$5))</f>
        <v>0.61792380439165107</v>
      </c>
      <c r="K198" s="3">
        <f>_xll.ICEQuote($G198,_xll.ICEFldID(K$5))</f>
        <v>-0.97027805562779335</v>
      </c>
      <c r="L198" s="4">
        <f>_xll.ICETimeline(_xll.ICEJoinRange(M4:W4),"DF[dow:12345][tl:Calendar]","2020-07-26;2024-07-26",853,-1)</f>
        <v>45232.5</v>
      </c>
      <c r="M198">
        <f>_xll.ICEHistory(M$4,M$5,"DF[dow:12345][tl:Calendar]",$L198)</f>
        <v>78.349999999999994</v>
      </c>
      <c r="N198">
        <f>_xll.ICEHistory(M$4,N$5,"DF[dow:12345][tl:Calendar]",$L198)</f>
        <v>79.2</v>
      </c>
      <c r="O198">
        <f>_xll.ICEHistory(M$4,O$5,"DF[dow:12345][tl:Calendar]",$L198)</f>
        <v>76.239999999999995</v>
      </c>
      <c r="P198">
        <f>_xll.ICEHistory(M$4,P$5,"DF[dow:12345][tl:Calendar]",$L198)</f>
        <v>79.06</v>
      </c>
      <c r="Q198">
        <f>_xll.ICEHistory(M$4,Q$5,"DF[dow:12345][tl:Calendar]",$L198)</f>
        <v>43554</v>
      </c>
      <c r="R198">
        <f>_xll.ICEHistory(M$4,R$5,"DF[dow:12345][tl:Calendar]",$L198)</f>
        <v>337427</v>
      </c>
      <c r="S198">
        <f>_xll.ICEHistory(S$4,S$5,"DF[dow:12345][tl:Calendar]",$L198)</f>
        <v>48.174999999999997</v>
      </c>
      <c r="T198">
        <f>_xll.ICEHistory(S$4,T$5,"DF[dow:12345][tl:Calendar]",$L198)</f>
        <v>49.344999999999999</v>
      </c>
      <c r="U198">
        <f>_xll.ICEHistory(S$4,U$5,"DF[dow:12345][tl:Calendar]",$L198)</f>
        <v>46.225000000000001</v>
      </c>
      <c r="V198">
        <f>_xll.ICEHistory(S$4,V$5,"DF[dow:12345][tl:Calendar]",$L198)</f>
        <v>48.564</v>
      </c>
      <c r="W198">
        <f>_xll.ICEHistory(S$4,W$5,"DF[dow:12345][tl:Calendar]",$L198)</f>
        <v>2264</v>
      </c>
      <c r="X198">
        <f t="shared" si="6"/>
        <v>3.7279596977330069E-2</v>
      </c>
      <c r="Y198">
        <f t="shared" si="7"/>
        <v>1.8697272138609744</v>
      </c>
      <c r="Z198">
        <f t="shared" si="8"/>
        <v>3.862293869908052</v>
      </c>
    </row>
    <row r="199" spans="1:26" x14ac:dyDescent="0.25">
      <c r="A199" s="3" t="str">
        <f>_xll.ICEOptionSymbol($B$1,"F","C",$F199)</f>
        <v>EFO 24UC11350-ICN</v>
      </c>
      <c r="B199" s="3">
        <f>_xll.ICEQuote($A199,_xll.ICEFldID(B$5))</f>
        <v>0</v>
      </c>
      <c r="C199" s="3">
        <f>_xll.ICEQuote($A199,_xll.ICEFldID(C$5))</f>
        <v>113.5</v>
      </c>
      <c r="D199" s="3">
        <f>_xll.ICEQuote($A199,_xll.ICEFldID(D$5))</f>
        <v>0.37412321677117732</v>
      </c>
      <c r="E199" s="3">
        <f>_xll.ICEQuote($A199,_xll.ICEFldID(E$5))</f>
        <v>3.8867670809011727E-4</v>
      </c>
      <c r="F199" s="3">
        <f>_xll.ICEOptionStrike($B$1,93,"F")</f>
        <v>113.5</v>
      </c>
      <c r="G199" s="3" t="str">
        <f>_xll.ICEOptionSymbol($B$1,"F","P",$F199)</f>
        <v>EFO 24UP11350-ICN</v>
      </c>
      <c r="H199" s="3">
        <f>_xll.ICEQuote($G199,_xll.ICEFldID(H$5))</f>
        <v>0</v>
      </c>
      <c r="I199" s="3">
        <f>_xll.ICEQuote($G199,_xll.ICEFldID(I$5))</f>
        <v>113.5</v>
      </c>
      <c r="J199" s="3">
        <f>_xll.ICEQuote($G199,_xll.ICEFldID(J$5))</f>
        <v>0.62314335820609534</v>
      </c>
      <c r="K199" s="3">
        <f>_xll.ICEQuote($G199,_xll.ICEFldID(K$5))</f>
        <v>-0.97020662586014417</v>
      </c>
      <c r="L199" s="4">
        <f>_xll.ICETimeline(_xll.ICEJoinRange(M4:W4),"DF[dow:12345][tl:Calendar]","2020-07-26;2024-07-26",852,-1)</f>
        <v>45231.5</v>
      </c>
      <c r="M199">
        <f>_xll.ICEHistory(M$4,M$5,"DF[dow:12345][tl:Calendar]",$L199)</f>
        <v>79.400000000000006</v>
      </c>
      <c r="N199">
        <f>_xll.ICEHistory(M$4,N$5,"DF[dow:12345][tl:Calendar]",$L199)</f>
        <v>80.2</v>
      </c>
      <c r="O199">
        <f>_xll.ICEHistory(M$4,O$5,"DF[dow:12345][tl:Calendar]",$L199)</f>
        <v>78.37</v>
      </c>
      <c r="P199">
        <f>_xll.ICEHistory(M$4,P$5,"DF[dow:12345][tl:Calendar]",$L199)</f>
        <v>78.66</v>
      </c>
      <c r="Q199">
        <f>_xll.ICEHistory(M$4,Q$5,"DF[dow:12345][tl:Calendar]",$L199)</f>
        <v>23382</v>
      </c>
      <c r="R199">
        <f>_xll.ICEHistory(M$4,R$5,"DF[dow:12345][tl:Calendar]",$L199)</f>
        <v>334301</v>
      </c>
      <c r="S199">
        <f>_xll.ICEHistory(S$4,S$5,"DF[dow:12345][tl:Calendar]",$L199)</f>
        <v>46.59</v>
      </c>
      <c r="T199">
        <f>_xll.ICEHistory(S$4,T$5,"DF[dow:12345][tl:Calendar]",$L199)</f>
        <v>48.945</v>
      </c>
      <c r="U199">
        <f>_xll.ICEHistory(S$4,U$5,"DF[dow:12345][tl:Calendar]",$L199)</f>
        <v>46.45</v>
      </c>
      <c r="V199">
        <f>_xll.ICEHistory(S$4,V$5,"DF[dow:12345][tl:Calendar]",$L199)</f>
        <v>47.756999999999998</v>
      </c>
      <c r="W199">
        <f>_xll.ICEHistory(S$4,W$5,"DF[dow:12345][tl:Calendar]",$L199)</f>
        <v>3915</v>
      </c>
      <c r="X199">
        <f t="shared" si="6"/>
        <v>2.3267641449459607E-2</v>
      </c>
      <c r="Y199">
        <f t="shared" si="7"/>
        <v>-6.2984575620227218E-2</v>
      </c>
      <c r="Z199">
        <f t="shared" si="8"/>
        <v>0.63674760522286455</v>
      </c>
    </row>
    <row r="200" spans="1:26" x14ac:dyDescent="0.25">
      <c r="A200" s="3" t="str">
        <f>_xll.ICEOptionSymbol($B$1,"F","C",$F200)</f>
        <v>EFO 24UC11400-ICN</v>
      </c>
      <c r="B200" s="3">
        <f>_xll.ICEQuote($A200,_xll.ICEFldID(B$5))</f>
        <v>0</v>
      </c>
      <c r="C200" s="3">
        <f>_xll.ICEQuote($A200,_xll.ICEFldID(C$5))</f>
        <v>114</v>
      </c>
      <c r="D200" s="3">
        <f>_xll.ICEQuote($A200,_xll.ICEFldID(D$5))</f>
        <v>0.37695527461135475</v>
      </c>
      <c r="E200" s="3">
        <f>_xll.ICEQuote($A200,_xll.ICEFldID(E$5))</f>
        <v>3.8602952532759818E-4</v>
      </c>
      <c r="F200" s="3">
        <f>_xll.ICEOptionStrike($B$1,94,"F")</f>
        <v>114</v>
      </c>
      <c r="G200" s="3" t="str">
        <f>_xll.ICEOptionSymbol($B$1,"F","P",$F200)</f>
        <v>EFO 24UP11400-ICN</v>
      </c>
      <c r="H200" s="3">
        <f>_xll.ICEQuote($G200,_xll.ICEFldID(H$5))</f>
        <v>0</v>
      </c>
      <c r="I200" s="3">
        <f>_xll.ICEQuote($G200,_xll.ICEFldID(I$5))</f>
        <v>114</v>
      </c>
      <c r="J200" s="3">
        <f>_xll.ICEQuote($G200,_xll.ICEFldID(J$5))</f>
        <v>0.62834067971790597</v>
      </c>
      <c r="K200" s="3">
        <f>_xll.ICEQuote($G200,_xll.ICEFldID(K$5))</f>
        <v>-0.97013529230988138</v>
      </c>
      <c r="L200" s="4">
        <f>_xll.ICETimeline(_xll.ICEJoinRange(M4:W4),"DF[dow:12345][tl:Calendar]","2020-07-26;2024-07-26",851,-1)</f>
        <v>45230.5</v>
      </c>
      <c r="M200">
        <f>_xll.ICEHistory(M$4,M$5,"DF[dow:12345][tl:Calendar]",$L200)</f>
        <v>78.650000000000006</v>
      </c>
      <c r="N200">
        <f>_xll.ICEHistory(M$4,N$5,"DF[dow:12345][tl:Calendar]",$L200)</f>
        <v>79.5</v>
      </c>
      <c r="O200">
        <f>_xll.ICEHistory(M$4,O$5,"DF[dow:12345][tl:Calendar]",$L200)</f>
        <v>78.150000000000006</v>
      </c>
      <c r="P200">
        <f>_xll.ICEHistory(M$4,P$5,"DF[dow:12345][tl:Calendar]",$L200)</f>
        <v>79.41</v>
      </c>
      <c r="Q200">
        <f>_xll.ICEHistory(M$4,Q$5,"DF[dow:12345][tl:Calendar]",$L200)</f>
        <v>24943</v>
      </c>
      <c r="R200">
        <f>_xll.ICEHistory(M$4,R$5,"DF[dow:12345][tl:Calendar]",$L200)</f>
        <v>336041</v>
      </c>
      <c r="S200">
        <f>_xll.ICEHistory(S$4,S$5,"DF[dow:12345][tl:Calendar]",$L200)</f>
        <v>51.49</v>
      </c>
      <c r="T200">
        <f>_xll.ICEHistory(S$4,T$5,"DF[dow:12345][tl:Calendar]",$L200)</f>
        <v>51.96</v>
      </c>
      <c r="U200">
        <f>_xll.ICEHistory(S$4,U$5,"DF[dow:12345][tl:Calendar]",$L200)</f>
        <v>47.65</v>
      </c>
      <c r="V200">
        <f>_xll.ICEHistory(S$4,V$5,"DF[dow:12345][tl:Calendar]",$L200)</f>
        <v>48.006</v>
      </c>
      <c r="W200">
        <f>_xll.ICEHistory(S$4,W$5,"DF[dow:12345][tl:Calendar]",$L200)</f>
        <v>2901</v>
      </c>
      <c r="X200">
        <f t="shared" si="6"/>
        <v>1.699181875393322E-2</v>
      </c>
      <c r="Y200">
        <f t="shared" si="7"/>
        <v>-0.94696228634290025</v>
      </c>
      <c r="Z200">
        <f t="shared" si="8"/>
        <v>0.923582819060775</v>
      </c>
    </row>
    <row r="201" spans="1:26" x14ac:dyDescent="0.25">
      <c r="A201" s="3" t="str">
        <f>_xll.ICEOptionSymbol($B$1,"F","C",$F201)</f>
        <v>EFO 24UC11450-ICN</v>
      </c>
      <c r="B201" s="3">
        <f>_xll.ICEQuote($A201,_xll.ICEFldID(B$5))</f>
        <v>0</v>
      </c>
      <c r="C201" s="3">
        <f>_xll.ICEQuote($A201,_xll.ICEFldID(C$5))</f>
        <v>114.5</v>
      </c>
      <c r="D201" s="3">
        <f>_xll.ICEQuote($A201,_xll.ICEFldID(D$5))</f>
        <v>0.37977279317203722</v>
      </c>
      <c r="E201" s="3">
        <f>_xll.ICEQuote($A201,_xll.ICEFldID(E$5))</f>
        <v>3.8343381025892427E-4</v>
      </c>
      <c r="F201" s="3">
        <f>_xll.ICEOptionStrike($B$1,95,"F")</f>
        <v>114.5</v>
      </c>
      <c r="G201" s="3" t="str">
        <f>_xll.ICEOptionSymbol($B$1,"F","P",$F201)</f>
        <v>EFO 24UP11450-ICN</v>
      </c>
      <c r="H201" s="3">
        <f>_xll.ICEQuote($G201,_xll.ICEFldID(H$5))</f>
        <v>0</v>
      </c>
      <c r="I201" s="3">
        <f>_xll.ICEQuote($G201,_xll.ICEFldID(I$5))</f>
        <v>114.5</v>
      </c>
      <c r="J201" s="3">
        <f>_xll.ICEQuote($G201,_xll.ICEFldID(J$5))</f>
        <v>0.63351596640172381</v>
      </c>
      <c r="K201" s="3">
        <f>_xll.ICEQuote($G201,_xll.ICEFldID(K$5))</f>
        <v>-0.97006405436059362</v>
      </c>
      <c r="L201" s="4">
        <f>_xll.ICETimeline(_xll.ICEJoinRange(M4:W4),"DF[dow:12345][tl:Calendar]","2020-07-26;2024-07-26",850,-1)</f>
        <v>45229.5</v>
      </c>
      <c r="M201">
        <f>_xll.ICEHistory(M$4,M$5,"DF[dow:12345][tl:Calendar]",$L201)</f>
        <v>79.45</v>
      </c>
      <c r="N201">
        <f>_xll.ICEHistory(M$4,N$5,"DF[dow:12345][tl:Calendar]",$L201)</f>
        <v>81</v>
      </c>
      <c r="O201">
        <f>_xll.ICEHistory(M$4,O$5,"DF[dow:12345][tl:Calendar]",$L201)</f>
        <v>78.48</v>
      </c>
      <c r="P201">
        <f>_xll.ICEHistory(M$4,P$5,"DF[dow:12345][tl:Calendar]",$L201)</f>
        <v>78.78</v>
      </c>
      <c r="Q201">
        <f>_xll.ICEHistory(M$4,Q$5,"DF[dow:12345][tl:Calendar]",$L201)</f>
        <v>27718</v>
      </c>
      <c r="R201">
        <f>_xll.ICEHistory(M$4,R$5,"DF[dow:12345][tl:Calendar]",$L201)</f>
        <v>337361</v>
      </c>
      <c r="S201">
        <f>_xll.ICEHistory(S$4,S$5,"DF[dow:12345][tl:Calendar]",$L201)</f>
        <v>54.424999999999997</v>
      </c>
      <c r="T201">
        <f>_xll.ICEHistory(S$4,T$5,"DF[dow:12345][tl:Calendar]",$L201)</f>
        <v>54.424999999999997</v>
      </c>
      <c r="U201">
        <f>_xll.ICEHistory(S$4,U$5,"DF[dow:12345][tl:Calendar]",$L201)</f>
        <v>50.546999999999997</v>
      </c>
      <c r="V201">
        <f>_xll.ICEHistory(S$4,V$5,"DF[dow:12345][tl:Calendar]",$L201)</f>
        <v>50.546999999999997</v>
      </c>
      <c r="W201">
        <f>_xll.ICEHistory(S$4,W$5,"DF[dow:12345][tl:Calendar]",$L201)</f>
        <v>0</v>
      </c>
      <c r="X201">
        <f t="shared" ref="X201:X264" si="9">IFERROR((N201-O201)/M202, "")</f>
        <v>3.1642390758412811E-2</v>
      </c>
      <c r="Y201">
        <f t="shared" ref="Y201:Y264" si="10">IFERROR((X201-AVERAGE(X201:X265))/_xlfn.STDEV.S(X201:X265),"")</f>
        <v>1.0421893101061757</v>
      </c>
      <c r="Z201">
        <f t="shared" ref="Z201:Z264" si="11">IFERROR((Q201-AVERAGE(Q201:Q266))/_xlfn.STDEV.S(Q201:Q266),"")</f>
        <v>1.4624615675817412</v>
      </c>
    </row>
    <row r="202" spans="1:26" x14ac:dyDescent="0.25">
      <c r="A202" s="3" t="str">
        <f>_xll.ICEOptionSymbol($B$1,"F","C",$F202)</f>
        <v>EFO 24UC11500-ICN</v>
      </c>
      <c r="B202" s="3">
        <f>_xll.ICEQuote($A202,_xll.ICEFldID(B$5))</f>
        <v>600</v>
      </c>
      <c r="C202" s="3">
        <f>_xll.ICEQuote($A202,_xll.ICEFldID(C$5))</f>
        <v>115</v>
      </c>
      <c r="D202" s="3">
        <f>_xll.ICEQuote($A202,_xll.ICEFldID(D$5))</f>
        <v>0.38257592375225974</v>
      </c>
      <c r="E202" s="3">
        <f>_xll.ICEQuote($A202,_xll.ICEFldID(E$5))</f>
        <v>3.8088803276094745E-4</v>
      </c>
      <c r="F202" s="3">
        <f>_xll.ICEOptionStrike($B$1,96,"F")</f>
        <v>115</v>
      </c>
      <c r="G202" s="3" t="str">
        <f>_xll.ICEOptionSymbol($B$1,"F","P",$F202)</f>
        <v>EFO 24UP11500-ICN</v>
      </c>
      <c r="H202" s="3">
        <f>_xll.ICEQuote($G202,_xll.ICEFldID(H$5))</f>
        <v>0</v>
      </c>
      <c r="I202" s="3">
        <f>_xll.ICEQuote($G202,_xll.ICEFldID(I$5))</f>
        <v>115</v>
      </c>
      <c r="J202" s="3">
        <f>_xll.ICEQuote($G202,_xll.ICEFldID(J$5))</f>
        <v>0.63866941310336833</v>
      </c>
      <c r="K202" s="3">
        <f>_xll.ICEQuote($G202,_xll.ICEFldID(K$5))</f>
        <v>-0.96999291140260291</v>
      </c>
      <c r="L202" s="4">
        <f>_xll.ICETimeline(_xll.ICEJoinRange(M4:W4),"DF[dow:12345][tl:Calendar]","2020-07-26;2024-07-26",849,-1)</f>
        <v>45226.5</v>
      </c>
      <c r="M202">
        <f>_xll.ICEHistory(M$4,M$5,"DF[dow:12345][tl:Calendar]",$L202)</f>
        <v>79.64</v>
      </c>
      <c r="N202">
        <f>_xll.ICEHistory(M$4,N$5,"DF[dow:12345][tl:Calendar]",$L202)</f>
        <v>80.36</v>
      </c>
      <c r="O202">
        <f>_xll.ICEHistory(M$4,O$5,"DF[dow:12345][tl:Calendar]",$L202)</f>
        <v>79.3</v>
      </c>
      <c r="P202">
        <f>_xll.ICEHistory(M$4,P$5,"DF[dow:12345][tl:Calendar]",$L202)</f>
        <v>79.36</v>
      </c>
      <c r="Q202">
        <f>_xll.ICEHistory(M$4,Q$5,"DF[dow:12345][tl:Calendar]",$L202)</f>
        <v>18974</v>
      </c>
      <c r="R202">
        <f>_xll.ICEHistory(M$4,R$5,"DF[dow:12345][tl:Calendar]",$L202)</f>
        <v>335256</v>
      </c>
      <c r="S202">
        <f>_xll.ICEHistory(S$4,S$5,"DF[dow:12345][tl:Calendar]",$L202)</f>
        <v>51</v>
      </c>
      <c r="T202">
        <f>_xll.ICEHistory(S$4,T$5,"DF[dow:12345][tl:Calendar]",$L202)</f>
        <v>51.594999999999999</v>
      </c>
      <c r="U202">
        <f>_xll.ICEHistory(S$4,U$5,"DF[dow:12345][tl:Calendar]",$L202)</f>
        <v>49.85</v>
      </c>
      <c r="V202">
        <f>_xll.ICEHistory(S$4,V$5,"DF[dow:12345][tl:Calendar]",$L202)</f>
        <v>50.531999999999996</v>
      </c>
      <c r="W202">
        <f>_xll.ICEHistory(S$4,W$5,"DF[dow:12345][tl:Calendar]",$L202)</f>
        <v>226</v>
      </c>
      <c r="X202">
        <f t="shared" si="9"/>
        <v>1.3259944958719069E-2</v>
      </c>
      <c r="Y202">
        <f t="shared" si="10"/>
        <v>-1.4753341853150641</v>
      </c>
      <c r="Z202">
        <f t="shared" si="11"/>
        <v>-0.15990633614569535</v>
      </c>
    </row>
    <row r="203" spans="1:26" x14ac:dyDescent="0.25">
      <c r="A203" s="3" t="str">
        <f>_xll.ICEOptionSymbol($B$1,"F","C",$F203)</f>
        <v>EFO 24UC11550-ICN</v>
      </c>
      <c r="B203" s="3">
        <f>_xll.ICEQuote($A203,_xll.ICEFldID(B$5))</f>
        <v>0</v>
      </c>
      <c r="C203" s="3">
        <f>_xll.ICEQuote($A203,_xll.ICEFldID(C$5))</f>
        <v>115.5</v>
      </c>
      <c r="D203" s="3">
        <f>_xll.ICEQuote($A203,_xll.ICEFldID(D$5))</f>
        <v>0.38536481515180526</v>
      </c>
      <c r="E203" s="3">
        <f>_xll.ICEQuote($A203,_xll.ICEFldID(E$5))</f>
        <v>3.7839072340822854E-4</v>
      </c>
      <c r="F203" s="3">
        <f>_xll.ICEOptionStrike($B$1,97,"F")</f>
        <v>115.5</v>
      </c>
      <c r="G203" s="3" t="str">
        <f>_xll.ICEOptionSymbol($B$1,"F","P",$F203)</f>
        <v>EFO 24UP11550-ICN</v>
      </c>
      <c r="H203" s="3">
        <f>_xll.ICEQuote($G203,_xll.ICEFldID(H$5))</f>
        <v>0</v>
      </c>
      <c r="I203" s="3">
        <f>_xll.ICEQuote($G203,_xll.ICEFldID(I$5))</f>
        <v>115.5</v>
      </c>
      <c r="J203" s="3">
        <f>_xll.ICEQuote($G203,_xll.ICEFldID(J$5))</f>
        <v>0.64380121208619301</v>
      </c>
      <c r="K203" s="3">
        <f>_xll.ICEQuote($G203,_xll.ICEFldID(K$5))</f>
        <v>-0.96992186283288118</v>
      </c>
      <c r="L203" s="4">
        <f>_xll.ICETimeline(_xll.ICEJoinRange(M4:W4),"DF[dow:12345][tl:Calendar]","2020-07-26;2024-07-26",848,-1)</f>
        <v>45225.5</v>
      </c>
      <c r="M203">
        <f>_xll.ICEHistory(M$4,M$5,"DF[dow:12345][tl:Calendar]",$L203)</f>
        <v>79.94</v>
      </c>
      <c r="N203">
        <f>_xll.ICEHistory(M$4,N$5,"DF[dow:12345][tl:Calendar]",$L203)</f>
        <v>80.709999999999994</v>
      </c>
      <c r="O203">
        <f>_xll.ICEHistory(M$4,O$5,"DF[dow:12345][tl:Calendar]",$L203)</f>
        <v>79.400000000000006</v>
      </c>
      <c r="P203">
        <f>_xll.ICEHistory(M$4,P$5,"DF[dow:12345][tl:Calendar]",$L203)</f>
        <v>79.58</v>
      </c>
      <c r="Q203">
        <f>_xll.ICEHistory(M$4,Q$5,"DF[dow:12345][tl:Calendar]",$L203)</f>
        <v>21326</v>
      </c>
      <c r="R203">
        <f>_xll.ICEHistory(M$4,R$5,"DF[dow:12345][tl:Calendar]",$L203)</f>
        <v>331998</v>
      </c>
      <c r="S203">
        <f>_xll.ICEHistory(S$4,S$5,"DF[dow:12345][tl:Calendar]",$L203)</f>
        <v>51</v>
      </c>
      <c r="T203">
        <f>_xll.ICEHistory(S$4,T$5,"DF[dow:12345][tl:Calendar]",$L203)</f>
        <v>52.2</v>
      </c>
      <c r="U203">
        <f>_xll.ICEHistory(S$4,U$5,"DF[dow:12345][tl:Calendar]",$L203)</f>
        <v>49.51</v>
      </c>
      <c r="V203">
        <f>_xll.ICEHistory(S$4,V$5,"DF[dow:12345][tl:Calendar]",$L203)</f>
        <v>50.808999999999997</v>
      </c>
      <c r="W203">
        <f>_xll.ICEHistory(S$4,W$5,"DF[dow:12345][tl:Calendar]",$L203)</f>
        <v>2153</v>
      </c>
      <c r="X203">
        <f t="shared" si="9"/>
        <v>1.6224919494674115E-2</v>
      </c>
      <c r="Y203">
        <f t="shared" si="10"/>
        <v>-1.1206774149653911</v>
      </c>
      <c r="Z203">
        <f t="shared" si="11"/>
        <v>0.27967828951732354</v>
      </c>
    </row>
    <row r="204" spans="1:26" x14ac:dyDescent="0.25">
      <c r="A204" s="3" t="str">
        <f>_xll.ICEOptionSymbol($B$1,"F","C",$F204)</f>
        <v>EFO 24UC11600-ICN</v>
      </c>
      <c r="B204" s="3">
        <f>_xll.ICEQuote($A204,_xll.ICEFldID(B$5))</f>
        <v>0</v>
      </c>
      <c r="C204" s="3">
        <f>_xll.ICEQuote($A204,_xll.ICEFldID(C$5))</f>
        <v>116</v>
      </c>
      <c r="D204" s="3">
        <f>_xll.ICEQuote($A204,_xll.ICEFldID(D$5))</f>
        <v>0.38813961373120826</v>
      </c>
      <c r="E204" s="3">
        <f>_xll.ICEQuote($A204,_xll.ICEFldID(E$5))</f>
        <v>3.7594047047550204E-4</v>
      </c>
      <c r="F204" s="3">
        <f>_xll.ICEOptionStrike($B$1,98,"F")</f>
        <v>116</v>
      </c>
      <c r="G204" s="3" t="str">
        <f>_xll.ICEOptionSymbol($B$1,"F","P",$F204)</f>
        <v>EFO 24UP11600-ICN</v>
      </c>
      <c r="H204" s="3">
        <f>_xll.ICEQuote($G204,_xll.ICEFldID(H$5))</f>
        <v>0</v>
      </c>
      <c r="I204" s="3">
        <f>_xll.ICEQuote($G204,_xll.ICEFldID(I$5))</f>
        <v>116</v>
      </c>
      <c r="J204" s="3">
        <f>_xll.ICEQuote($G204,_xll.ICEFldID(J$5))</f>
        <v>0.64891155307658011</v>
      </c>
      <c r="K204" s="3">
        <f>_xll.ICEQuote($G204,_xll.ICEFldID(K$5))</f>
        <v>-0.96985090805493379</v>
      </c>
      <c r="L204" s="4">
        <f>_xll.ICETimeline(_xll.ICEJoinRange(M4:W4),"DF[dow:12345][tl:Calendar]","2020-07-26;2024-07-26",847,-1)</f>
        <v>45224.5</v>
      </c>
      <c r="M204">
        <f>_xll.ICEHistory(M$4,M$5,"DF[dow:12345][tl:Calendar]",$L204)</f>
        <v>80.739999999999995</v>
      </c>
      <c r="N204">
        <f>_xll.ICEHistory(M$4,N$5,"DF[dow:12345][tl:Calendar]",$L204)</f>
        <v>80.98</v>
      </c>
      <c r="O204">
        <f>_xll.ICEHistory(M$4,O$5,"DF[dow:12345][tl:Calendar]",$L204)</f>
        <v>79.75</v>
      </c>
      <c r="P204">
        <f>_xll.ICEHistory(M$4,P$5,"DF[dow:12345][tl:Calendar]",$L204)</f>
        <v>79.930000000000007</v>
      </c>
      <c r="Q204">
        <f>_xll.ICEHistory(M$4,Q$5,"DF[dow:12345][tl:Calendar]",$L204)</f>
        <v>23599</v>
      </c>
      <c r="R204">
        <f>_xll.ICEHistory(M$4,R$5,"DF[dow:12345][tl:Calendar]",$L204)</f>
        <v>331051</v>
      </c>
      <c r="S204">
        <f>_xll.ICEHistory(S$4,S$5,"DF[dow:12345][tl:Calendar]",$L204)</f>
        <v>50.28</v>
      </c>
      <c r="T204">
        <f>_xll.ICEHistory(S$4,T$5,"DF[dow:12345][tl:Calendar]",$L204)</f>
        <v>51.104999999999997</v>
      </c>
      <c r="U204">
        <f>_xll.ICEHistory(S$4,U$5,"DF[dow:12345][tl:Calendar]",$L204)</f>
        <v>48.91</v>
      </c>
      <c r="V204">
        <f>_xll.ICEHistory(S$4,V$5,"DF[dow:12345][tl:Calendar]",$L204)</f>
        <v>49.923999999999999</v>
      </c>
      <c r="W204">
        <f>_xll.ICEHistory(S$4,W$5,"DF[dow:12345][tl:Calendar]",$L204)</f>
        <v>797</v>
      </c>
      <c r="X204">
        <f t="shared" si="9"/>
        <v>1.5325193122352403E-2</v>
      </c>
      <c r="Y204">
        <f t="shared" si="10"/>
        <v>-1.272737432275072</v>
      </c>
      <c r="Z204">
        <f t="shared" si="11"/>
        <v>0.72057465548176935</v>
      </c>
    </row>
    <row r="205" spans="1:26" x14ac:dyDescent="0.25">
      <c r="A205" s="3" t="str">
        <f>_xll.ICEOptionSymbol($B$1,"F","C",$F205)</f>
        <v>EFO 24UC11650-ICN</v>
      </c>
      <c r="B205" s="3">
        <f>_xll.ICEQuote($A205,_xll.ICEFldID(B$5))</f>
        <v>0</v>
      </c>
      <c r="C205" s="3">
        <f>_xll.ICEQuote($A205,_xll.ICEFldID(C$5))</f>
        <v>116.5</v>
      </c>
      <c r="D205" s="3">
        <f>_xll.ICEQuote($A205,_xll.ICEFldID(D$5))</f>
        <v>0.39090046346977314</v>
      </c>
      <c r="E205" s="3">
        <f>_xll.ICEQuote($A205,_xll.ICEFldID(E$5))</f>
        <v>3.7353591711680837E-4</v>
      </c>
      <c r="F205" s="3">
        <f>_xll.ICEOptionStrike($B$1,99,"F")</f>
        <v>116.5</v>
      </c>
      <c r="G205" s="3" t="str">
        <f>_xll.ICEOptionSymbol($B$1,"F","P",$F205)</f>
        <v>EFO 24UP11650-ICN</v>
      </c>
      <c r="H205" s="3">
        <f>_xll.ICEQuote($G205,_xll.ICEFldID(H$5))</f>
        <v>0</v>
      </c>
      <c r="I205" s="3">
        <f>_xll.ICEQuote($G205,_xll.ICEFldID(I$5))</f>
        <v>116.5</v>
      </c>
      <c r="J205" s="3">
        <f>_xll.ICEQuote($G205,_xll.ICEFldID(J$5))</f>
        <v>0.65400062330834285</v>
      </c>
      <c r="K205" s="3">
        <f>_xll.ICEQuote($G205,_xll.ICEFldID(K$5))</f>
        <v>-0.96978004647870764</v>
      </c>
      <c r="L205" s="4">
        <f>_xll.ICETimeline(_xll.ICEJoinRange(M4:W4),"DF[dow:12345][tl:Calendar]","2020-07-26;2024-07-26",846,-1)</f>
        <v>45223.5</v>
      </c>
      <c r="M205">
        <f>_xll.ICEHistory(M$4,M$5,"DF[dow:12345][tl:Calendar]",$L205)</f>
        <v>80.260000000000005</v>
      </c>
      <c r="N205">
        <f>_xll.ICEHistory(M$4,N$5,"DF[dow:12345][tl:Calendar]",$L205)</f>
        <v>81.34</v>
      </c>
      <c r="O205">
        <f>_xll.ICEHistory(M$4,O$5,"DF[dow:12345][tl:Calendar]",$L205)</f>
        <v>80.209999999999994</v>
      </c>
      <c r="P205">
        <f>_xll.ICEHistory(M$4,P$5,"DF[dow:12345][tl:Calendar]",$L205)</f>
        <v>80.66</v>
      </c>
      <c r="Q205">
        <f>_xll.ICEHistory(M$4,Q$5,"DF[dow:12345][tl:Calendar]",$L205)</f>
        <v>20363</v>
      </c>
      <c r="R205">
        <f>_xll.ICEHistory(M$4,R$5,"DF[dow:12345][tl:Calendar]",$L205)</f>
        <v>328461</v>
      </c>
      <c r="S205">
        <f>_xll.ICEHistory(S$4,S$5,"DF[dow:12345][tl:Calendar]",$L205)</f>
        <v>50.6</v>
      </c>
      <c r="T205">
        <f>_xll.ICEHistory(S$4,T$5,"DF[dow:12345][tl:Calendar]",$L205)</f>
        <v>53.024999999999999</v>
      </c>
      <c r="U205">
        <f>_xll.ICEHistory(S$4,U$5,"DF[dow:12345][tl:Calendar]",$L205)</f>
        <v>48.49</v>
      </c>
      <c r="V205">
        <f>_xll.ICEHistory(S$4,V$5,"DF[dow:12345][tl:Calendar]",$L205)</f>
        <v>49.264000000000003</v>
      </c>
      <c r="W205">
        <f>_xll.ICEHistory(S$4,W$5,"DF[dow:12345][tl:Calendar]",$L205)</f>
        <v>2201</v>
      </c>
      <c r="X205">
        <f t="shared" si="9"/>
        <v>1.3883769504853295E-2</v>
      </c>
      <c r="Y205">
        <f t="shared" si="10"/>
        <v>-1.5099532371090791</v>
      </c>
      <c r="Z205">
        <f t="shared" si="11"/>
        <v>0.12023651376925944</v>
      </c>
    </row>
    <row r="206" spans="1:2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>
        <f>_xll.ICETimeline(_xll.ICEJoinRange(M4:W4),"DF[dow:12345][tl:Calendar]","2020-07-26;2024-07-26",845,-1)</f>
        <v>45222.5</v>
      </c>
      <c r="M206">
        <f>_xll.ICEHistory(M$4,M$5,"DF[dow:12345][tl:Calendar]",$L206)</f>
        <v>81.39</v>
      </c>
      <c r="N206">
        <f>_xll.ICEHistory(M$4,N$5,"DF[dow:12345][tl:Calendar]",$L206)</f>
        <v>81.5</v>
      </c>
      <c r="O206">
        <f>_xll.ICEHistory(M$4,O$5,"DF[dow:12345][tl:Calendar]",$L206)</f>
        <v>80.06</v>
      </c>
      <c r="P206">
        <f>_xll.ICEHistory(M$4,P$5,"DF[dow:12345][tl:Calendar]",$L206)</f>
        <v>80.3</v>
      </c>
      <c r="Q206">
        <f>_xll.ICEHistory(M$4,Q$5,"DF[dow:12345][tl:Calendar]",$L206)</f>
        <v>20762</v>
      </c>
      <c r="R206">
        <f>_xll.ICEHistory(M$4,R$5,"DF[dow:12345][tl:Calendar]",$L206)</f>
        <v>327172</v>
      </c>
      <c r="S206">
        <f>_xll.ICEHistory(S$4,S$5,"DF[dow:12345][tl:Calendar]",$L206)</f>
        <v>48.23</v>
      </c>
      <c r="T206">
        <f>_xll.ICEHistory(S$4,T$5,"DF[dow:12345][tl:Calendar]",$L206)</f>
        <v>51.61</v>
      </c>
      <c r="U206">
        <f>_xll.ICEHistory(S$4,U$5,"DF[dow:12345][tl:Calendar]",$L206)</f>
        <v>48.23</v>
      </c>
      <c r="V206">
        <f>_xll.ICEHistory(S$4,V$5,"DF[dow:12345][tl:Calendar]",$L206)</f>
        <v>51.276000000000003</v>
      </c>
      <c r="W206">
        <f>_xll.ICEHistory(S$4,W$5,"DF[dow:12345][tl:Calendar]",$L206)</f>
        <v>192</v>
      </c>
      <c r="X206">
        <f t="shared" si="9"/>
        <v>1.7565259819468135E-2</v>
      </c>
      <c r="Y206">
        <f t="shared" si="10"/>
        <v>-1.0087341058118109</v>
      </c>
      <c r="Z206">
        <f t="shared" si="11"/>
        <v>0.20482385107933412</v>
      </c>
    </row>
    <row r="207" spans="1:2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">
        <f>_xll.ICETimeline(_xll.ICEJoinRange(M4:W4),"DF[dow:12345][tl:Calendar]","2020-07-26;2024-07-26",844,-1)</f>
        <v>45219.5</v>
      </c>
      <c r="M207">
        <f>_xll.ICEHistory(M$4,M$5,"DF[dow:12345][tl:Calendar]",$L207)</f>
        <v>81.98</v>
      </c>
      <c r="N207">
        <f>_xll.ICEHistory(M$4,N$5,"DF[dow:12345][tl:Calendar]",$L207)</f>
        <v>82.5</v>
      </c>
      <c r="O207">
        <f>_xll.ICEHistory(M$4,O$5,"DF[dow:12345][tl:Calendar]",$L207)</f>
        <v>81.040000000000006</v>
      </c>
      <c r="P207">
        <f>_xll.ICEHistory(M$4,P$5,"DF[dow:12345][tl:Calendar]",$L207)</f>
        <v>81.67</v>
      </c>
      <c r="Q207">
        <f>_xll.ICEHistory(M$4,Q$5,"DF[dow:12345][tl:Calendar]",$L207)</f>
        <v>20321</v>
      </c>
      <c r="R207">
        <f>_xll.ICEHistory(M$4,R$5,"DF[dow:12345][tl:Calendar]",$L207)</f>
        <v>324672</v>
      </c>
      <c r="S207">
        <f>_xll.ICEHistory(S$4,S$5,"DF[dow:12345][tl:Calendar]",$L207)</f>
        <v>52.844999999999999</v>
      </c>
      <c r="T207">
        <f>_xll.ICEHistory(S$4,T$5,"DF[dow:12345][tl:Calendar]",$L207)</f>
        <v>52.844999999999999</v>
      </c>
      <c r="U207">
        <f>_xll.ICEHistory(S$4,U$5,"DF[dow:12345][tl:Calendar]",$L207)</f>
        <v>49.51</v>
      </c>
      <c r="V207">
        <f>_xll.ICEHistory(S$4,V$5,"DF[dow:12345][tl:Calendar]",$L207)</f>
        <v>51.112000000000002</v>
      </c>
      <c r="W207">
        <f>_xll.ICEHistory(S$4,W$5,"DF[dow:12345][tl:Calendar]",$L207)</f>
        <v>1686</v>
      </c>
      <c r="X207">
        <f t="shared" si="9"/>
        <v>1.7870257037943621E-2</v>
      </c>
      <c r="Y207">
        <f t="shared" si="10"/>
        <v>-0.98444085846022522</v>
      </c>
      <c r="Z207">
        <f t="shared" si="11"/>
        <v>0.12550428623455992</v>
      </c>
    </row>
    <row r="208" spans="1:2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">
        <f>_xll.ICETimeline(_xll.ICEJoinRange(M4:W4),"DF[dow:12345][tl:Calendar]","2020-07-26;2024-07-26",843,-1)</f>
        <v>45218.5</v>
      </c>
      <c r="M208">
        <f>_xll.ICEHistory(M$4,M$5,"DF[dow:12345][tl:Calendar]",$L208)</f>
        <v>81.7</v>
      </c>
      <c r="N208">
        <f>_xll.ICEHistory(M$4,N$5,"DF[dow:12345][tl:Calendar]",$L208)</f>
        <v>82.25</v>
      </c>
      <c r="O208">
        <f>_xll.ICEHistory(M$4,O$5,"DF[dow:12345][tl:Calendar]",$L208)</f>
        <v>80.84</v>
      </c>
      <c r="P208">
        <f>_xll.ICEHistory(M$4,P$5,"DF[dow:12345][tl:Calendar]",$L208)</f>
        <v>82</v>
      </c>
      <c r="Q208">
        <f>_xll.ICEHistory(M$4,Q$5,"DF[dow:12345][tl:Calendar]",$L208)</f>
        <v>19481</v>
      </c>
      <c r="R208">
        <f>_xll.ICEHistory(M$4,R$5,"DF[dow:12345][tl:Calendar]",$L208)</f>
        <v>327814</v>
      </c>
      <c r="S208">
        <f>_xll.ICEHistory(S$4,S$5,"DF[dow:12345][tl:Calendar]",$L208)</f>
        <v>48.93</v>
      </c>
      <c r="T208">
        <f>_xll.ICEHistory(S$4,T$5,"DF[dow:12345][tl:Calendar]",$L208)</f>
        <v>50.61</v>
      </c>
      <c r="U208">
        <f>_xll.ICEHistory(S$4,U$5,"DF[dow:12345][tl:Calendar]",$L208)</f>
        <v>46.835000000000001</v>
      </c>
      <c r="V208">
        <f>_xll.ICEHistory(S$4,V$5,"DF[dow:12345][tl:Calendar]",$L208)</f>
        <v>50.171999999999997</v>
      </c>
      <c r="W208">
        <f>_xll.ICEHistory(S$4,W$5,"DF[dow:12345][tl:Calendar]",$L208)</f>
        <v>581</v>
      </c>
      <c r="X208">
        <f t="shared" si="9"/>
        <v>1.7090909090909049E-2</v>
      </c>
      <c r="Y208">
        <f t="shared" si="10"/>
        <v>-1.1107063799110479</v>
      </c>
      <c r="Z208">
        <f t="shared" si="11"/>
        <v>-4.0170617628249576E-2</v>
      </c>
    </row>
    <row r="209" spans="1:2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">
        <f>_xll.ICETimeline(_xll.ICEJoinRange(M4:W4),"DF[dow:12345][tl:Calendar]","2020-07-26;2024-07-26",842,-1)</f>
        <v>45217.5</v>
      </c>
      <c r="M209">
        <f>_xll.ICEHistory(M$4,M$5,"DF[dow:12345][tl:Calendar]",$L209)</f>
        <v>82.5</v>
      </c>
      <c r="N209">
        <f>_xll.ICEHistory(M$4,N$5,"DF[dow:12345][tl:Calendar]",$L209)</f>
        <v>83.35</v>
      </c>
      <c r="O209">
        <f>_xll.ICEHistory(M$4,O$5,"DF[dow:12345][tl:Calendar]",$L209)</f>
        <v>81.5</v>
      </c>
      <c r="P209">
        <f>_xll.ICEHistory(M$4,P$5,"DF[dow:12345][tl:Calendar]",$L209)</f>
        <v>81.790000000000006</v>
      </c>
      <c r="Q209">
        <f>_xll.ICEHistory(M$4,Q$5,"DF[dow:12345][tl:Calendar]",$L209)</f>
        <v>20872</v>
      </c>
      <c r="R209">
        <f>_xll.ICEHistory(M$4,R$5,"DF[dow:12345][tl:Calendar]",$L209)</f>
        <v>327174</v>
      </c>
      <c r="S209">
        <f>_xll.ICEHistory(S$4,S$5,"DF[dow:12345][tl:Calendar]",$L209)</f>
        <v>48.9</v>
      </c>
      <c r="T209">
        <f>_xll.ICEHistory(S$4,T$5,"DF[dow:12345][tl:Calendar]",$L209)</f>
        <v>51.575000000000003</v>
      </c>
      <c r="U209">
        <f>_xll.ICEHistory(S$4,U$5,"DF[dow:12345][tl:Calendar]",$L209)</f>
        <v>47.65</v>
      </c>
      <c r="V209">
        <f>_xll.ICEHistory(S$4,V$5,"DF[dow:12345][tl:Calendar]",$L209)</f>
        <v>50.832999999999998</v>
      </c>
      <c r="W209">
        <f>_xll.ICEHistory(S$4,W$5,"DF[dow:12345][tl:Calendar]",$L209)</f>
        <v>390</v>
      </c>
      <c r="X209">
        <f t="shared" si="9"/>
        <v>2.2211550006003052E-2</v>
      </c>
      <c r="Y209">
        <f t="shared" si="10"/>
        <v>-0.41456750409253101</v>
      </c>
      <c r="Z209">
        <f t="shared" si="11"/>
        <v>0.2266957968640208</v>
      </c>
    </row>
    <row r="210" spans="1:2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">
        <f>_xll.ICETimeline(_xll.ICEJoinRange(M4:W4),"DF[dow:12345][tl:Calendar]","2020-07-26;2024-07-26",841,-1)</f>
        <v>45216.5</v>
      </c>
      <c r="M210">
        <f>_xll.ICEHistory(M$4,M$5,"DF[dow:12345][tl:Calendar]",$L210)</f>
        <v>83.29</v>
      </c>
      <c r="N210">
        <f>_xll.ICEHistory(M$4,N$5,"DF[dow:12345][tl:Calendar]",$L210)</f>
        <v>83.71</v>
      </c>
      <c r="O210">
        <f>_xll.ICEHistory(M$4,O$5,"DF[dow:12345][tl:Calendar]",$L210)</f>
        <v>81.45</v>
      </c>
      <c r="P210">
        <f>_xll.ICEHistory(M$4,P$5,"DF[dow:12345][tl:Calendar]",$L210)</f>
        <v>82.65</v>
      </c>
      <c r="Q210">
        <f>_xll.ICEHistory(M$4,Q$5,"DF[dow:12345][tl:Calendar]",$L210)</f>
        <v>21089</v>
      </c>
      <c r="R210">
        <f>_xll.ICEHistory(M$4,R$5,"DF[dow:12345][tl:Calendar]",$L210)</f>
        <v>325279</v>
      </c>
      <c r="S210">
        <f>_xll.ICEHistory(S$4,S$5,"DF[dow:12345][tl:Calendar]",$L210)</f>
        <v>48.21</v>
      </c>
      <c r="T210">
        <f>_xll.ICEHistory(S$4,T$5,"DF[dow:12345][tl:Calendar]",$L210)</f>
        <v>49.39</v>
      </c>
      <c r="U210">
        <f>_xll.ICEHistory(S$4,U$5,"DF[dow:12345][tl:Calendar]",$L210)</f>
        <v>46.405000000000001</v>
      </c>
      <c r="V210">
        <f>_xll.ICEHistory(S$4,V$5,"DF[dow:12345][tl:Calendar]",$L210)</f>
        <v>48.896000000000001</v>
      </c>
      <c r="W210">
        <f>_xll.ICEHistory(S$4,W$5,"DF[dow:12345][tl:Calendar]",$L210)</f>
        <v>203</v>
      </c>
      <c r="X210">
        <f t="shared" si="9"/>
        <v>2.6507154585972213E-2</v>
      </c>
      <c r="Y210">
        <f t="shared" si="10"/>
        <v>0.18600937552059266</v>
      </c>
      <c r="Z210">
        <f t="shared" si="11"/>
        <v>0.27737173495200046</v>
      </c>
    </row>
    <row r="211" spans="1:26" x14ac:dyDescent="0.25">
      <c r="L211" s="4">
        <f>_xll.ICETimeline(_xll.ICEJoinRange(M4:W4),"DF[dow:12345][tl:Calendar]","2020-07-26;2024-07-26",840,-1)</f>
        <v>45215.5</v>
      </c>
      <c r="M211">
        <f>_xll.ICEHistory(M$4,M$5,"DF[dow:12345][tl:Calendar]",$L211)</f>
        <v>85.26</v>
      </c>
      <c r="N211">
        <f>_xll.ICEHistory(M$4,N$5,"DF[dow:12345][tl:Calendar]",$L211)</f>
        <v>85.98</v>
      </c>
      <c r="O211">
        <f>_xll.ICEHistory(M$4,O$5,"DF[dow:12345][tl:Calendar]",$L211)</f>
        <v>82.95</v>
      </c>
      <c r="P211">
        <f>_xll.ICEHistory(M$4,P$5,"DF[dow:12345][tl:Calendar]",$L211)</f>
        <v>83.41</v>
      </c>
      <c r="Q211">
        <f>_xll.ICEHistory(M$4,Q$5,"DF[dow:12345][tl:Calendar]",$L211)</f>
        <v>25036</v>
      </c>
      <c r="R211">
        <f>_xll.ICEHistory(M$4,R$5,"DF[dow:12345][tl:Calendar]",$L211)</f>
        <v>324123</v>
      </c>
      <c r="S211">
        <f>_xll.ICEHistory(S$4,S$5,"DF[dow:12345][tl:Calendar]",$L211)</f>
        <v>52.664999999999999</v>
      </c>
      <c r="T211">
        <f>_xll.ICEHistory(S$4,T$5,"DF[dow:12345][tl:Calendar]",$L211)</f>
        <v>52.984999999999999</v>
      </c>
      <c r="U211">
        <f>_xll.ICEHistory(S$4,U$5,"DF[dow:12345][tl:Calendar]",$L211)</f>
        <v>48.26</v>
      </c>
      <c r="V211">
        <f>_xll.ICEHistory(S$4,V$5,"DF[dow:12345][tl:Calendar]",$L211)</f>
        <v>48.466999999999999</v>
      </c>
      <c r="W211">
        <f>_xll.ICEHistory(S$4,W$5,"DF[dow:12345][tl:Calendar]",$L211)</f>
        <v>691</v>
      </c>
      <c r="X211">
        <f t="shared" si="9"/>
        <v>3.5563380281690156E-2</v>
      </c>
      <c r="Y211">
        <f t="shared" si="10"/>
        <v>1.4821808948768849</v>
      </c>
      <c r="Z211">
        <f t="shared" si="11"/>
        <v>1.0432899482168076</v>
      </c>
    </row>
    <row r="212" spans="1:26" x14ac:dyDescent="0.25">
      <c r="L212" s="4">
        <f>_xll.ICETimeline(_xll.ICEJoinRange(M4:W4),"DF[dow:12345][tl:Calendar]","2020-07-26;2024-07-26",839,-1)</f>
        <v>45212.5</v>
      </c>
      <c r="M212">
        <f>_xll.ICEHistory(M$4,M$5,"DF[dow:12345][tl:Calendar]",$L212)</f>
        <v>85.2</v>
      </c>
      <c r="N212">
        <f>_xll.ICEHistory(M$4,N$5,"DF[dow:12345][tl:Calendar]",$L212)</f>
        <v>86.6</v>
      </c>
      <c r="O212">
        <f>_xll.ICEHistory(M$4,O$5,"DF[dow:12345][tl:Calendar]",$L212)</f>
        <v>84.73</v>
      </c>
      <c r="P212">
        <f>_xll.ICEHistory(M$4,P$5,"DF[dow:12345][tl:Calendar]",$L212)</f>
        <v>85.66</v>
      </c>
      <c r="Q212">
        <f>_xll.ICEHistory(M$4,Q$5,"DF[dow:12345][tl:Calendar]",$L212)</f>
        <v>26594</v>
      </c>
      <c r="R212">
        <f>_xll.ICEHistory(M$4,R$5,"DF[dow:12345][tl:Calendar]",$L212)</f>
        <v>329794</v>
      </c>
      <c r="S212">
        <f>_xll.ICEHistory(S$4,S$5,"DF[dow:12345][tl:Calendar]",$L212)</f>
        <v>53.31</v>
      </c>
      <c r="T212">
        <f>_xll.ICEHistory(S$4,T$5,"DF[dow:12345][tl:Calendar]",$L212)</f>
        <v>55.67</v>
      </c>
      <c r="U212">
        <f>_xll.ICEHistory(S$4,U$5,"DF[dow:12345][tl:Calendar]",$L212)</f>
        <v>51.185000000000002</v>
      </c>
      <c r="V212">
        <f>_xll.ICEHistory(S$4,V$5,"DF[dow:12345][tl:Calendar]",$L212)</f>
        <v>53.981999999999999</v>
      </c>
      <c r="W212">
        <f>_xll.ICEHistory(S$4,W$5,"DF[dow:12345][tl:Calendar]",$L212)</f>
        <v>520</v>
      </c>
      <c r="X212">
        <f t="shared" si="9"/>
        <v>2.2320362855096566E-2</v>
      </c>
      <c r="Y212">
        <f t="shared" si="10"/>
        <v>-0.37494859980486245</v>
      </c>
      <c r="Z212">
        <f t="shared" si="11"/>
        <v>1.370728011008012</v>
      </c>
    </row>
    <row r="213" spans="1:26" x14ac:dyDescent="0.25">
      <c r="L213" s="4">
        <f>_xll.ICETimeline(_xll.ICEJoinRange(M4:W4),"DF[dow:12345][tl:Calendar]","2020-07-26;2024-07-26",838,-1)</f>
        <v>45211.5</v>
      </c>
      <c r="M213">
        <f>_xll.ICEHistory(M$4,M$5,"DF[dow:12345][tl:Calendar]",$L213)</f>
        <v>83.78</v>
      </c>
      <c r="N213">
        <f>_xll.ICEHistory(M$4,N$5,"DF[dow:12345][tl:Calendar]",$L213)</f>
        <v>85.7</v>
      </c>
      <c r="O213">
        <f>_xll.ICEHistory(M$4,O$5,"DF[dow:12345][tl:Calendar]",$L213)</f>
        <v>83.45</v>
      </c>
      <c r="P213">
        <f>_xll.ICEHistory(M$4,P$5,"DF[dow:12345][tl:Calendar]",$L213)</f>
        <v>85.45</v>
      </c>
      <c r="Q213">
        <f>_xll.ICEHistory(M$4,Q$5,"DF[dow:12345][tl:Calendar]",$L213)</f>
        <v>19116</v>
      </c>
      <c r="R213">
        <f>_xll.ICEHistory(M$4,R$5,"DF[dow:12345][tl:Calendar]",$L213)</f>
        <v>330049</v>
      </c>
      <c r="S213">
        <f>_xll.ICEHistory(S$4,S$5,"DF[dow:12345][tl:Calendar]",$L213)</f>
        <v>45.795000000000002</v>
      </c>
      <c r="T213">
        <f>_xll.ICEHistory(S$4,T$5,"DF[dow:12345][tl:Calendar]",$L213)</f>
        <v>53.164999999999999</v>
      </c>
      <c r="U213">
        <f>_xll.ICEHistory(S$4,U$5,"DF[dow:12345][tl:Calendar]",$L213)</f>
        <v>45.344999999999999</v>
      </c>
      <c r="V213">
        <f>_xll.ICEHistory(S$4,V$5,"DF[dow:12345][tl:Calendar]",$L213)</f>
        <v>53.002000000000002</v>
      </c>
      <c r="W213">
        <f>_xll.ICEHistory(S$4,W$5,"DF[dow:12345][tl:Calendar]",$L213)</f>
        <v>1726</v>
      </c>
      <c r="X213">
        <f t="shared" si="9"/>
        <v>2.6661926768574474E-2</v>
      </c>
      <c r="Y213">
        <f t="shared" si="10"/>
        <v>0.25374864642279837</v>
      </c>
      <c r="Z213">
        <f t="shared" si="11"/>
        <v>-1.2316354307683594E-2</v>
      </c>
    </row>
    <row r="214" spans="1:26" x14ac:dyDescent="0.25">
      <c r="L214" s="4">
        <f>_xll.ICETimeline(_xll.ICEJoinRange(M4:W4),"DF[dow:12345][tl:Calendar]","2020-07-26;2024-07-26",837,-1)</f>
        <v>45210.5</v>
      </c>
      <c r="M214">
        <f>_xll.ICEHistory(M$4,M$5,"DF[dow:12345][tl:Calendar]",$L214)</f>
        <v>84.39</v>
      </c>
      <c r="N214">
        <f>_xll.ICEHistory(M$4,N$5,"DF[dow:12345][tl:Calendar]",$L214)</f>
        <v>85.03</v>
      </c>
      <c r="O214">
        <f>_xll.ICEHistory(M$4,O$5,"DF[dow:12345][tl:Calendar]",$L214)</f>
        <v>83.42</v>
      </c>
      <c r="P214">
        <f>_xll.ICEHistory(M$4,P$5,"DF[dow:12345][tl:Calendar]",$L214)</f>
        <v>83.78</v>
      </c>
      <c r="Q214">
        <f>_xll.ICEHistory(M$4,Q$5,"DF[dow:12345][tl:Calendar]",$L214)</f>
        <v>30964</v>
      </c>
      <c r="R214">
        <f>_xll.ICEHistory(M$4,R$5,"DF[dow:12345][tl:Calendar]",$L214)</f>
        <v>328918</v>
      </c>
      <c r="S214">
        <f>_xll.ICEHistory(S$4,S$5,"DF[dow:12345][tl:Calendar]",$L214)</f>
        <v>48.685000000000002</v>
      </c>
      <c r="T214">
        <f>_xll.ICEHistory(S$4,T$5,"DF[dow:12345][tl:Calendar]",$L214)</f>
        <v>49.53</v>
      </c>
      <c r="U214">
        <f>_xll.ICEHistory(S$4,U$5,"DF[dow:12345][tl:Calendar]",$L214)</f>
        <v>45.674999999999997</v>
      </c>
      <c r="V214">
        <f>_xll.ICEHistory(S$4,V$5,"DF[dow:12345][tl:Calendar]",$L214)</f>
        <v>46.067999999999998</v>
      </c>
      <c r="W214">
        <f>_xll.ICEHistory(S$4,W$5,"DF[dow:12345][tl:Calendar]",$L214)</f>
        <v>3008</v>
      </c>
      <c r="X214">
        <f t="shared" si="9"/>
        <v>1.9665323073164764E-2</v>
      </c>
      <c r="Y214">
        <f t="shared" si="10"/>
        <v>-0.73398211178427852</v>
      </c>
      <c r="Z214">
        <f t="shared" si="11"/>
        <v>2.2459435601521625</v>
      </c>
    </row>
    <row r="215" spans="1:26" x14ac:dyDescent="0.25">
      <c r="L215" s="4">
        <f>_xll.ICETimeline(_xll.ICEJoinRange(M4:W4),"DF[dow:12345][tl:Calendar]","2020-07-26;2024-07-26",836,-1)</f>
        <v>45209.5</v>
      </c>
      <c r="M215">
        <f>_xll.ICEHistory(M$4,M$5,"DF[dow:12345][tl:Calendar]",$L215)</f>
        <v>81.87</v>
      </c>
      <c r="N215">
        <f>_xll.ICEHistory(M$4,N$5,"DF[dow:12345][tl:Calendar]",$L215)</f>
        <v>85.06</v>
      </c>
      <c r="O215">
        <f>_xll.ICEHistory(M$4,O$5,"DF[dow:12345][tl:Calendar]",$L215)</f>
        <v>81.58</v>
      </c>
      <c r="P215">
        <f>_xll.ICEHistory(M$4,P$5,"DF[dow:12345][tl:Calendar]",$L215)</f>
        <v>84.74</v>
      </c>
      <c r="Q215">
        <f>_xll.ICEHistory(M$4,Q$5,"DF[dow:12345][tl:Calendar]",$L215)</f>
        <v>30485</v>
      </c>
      <c r="R215">
        <f>_xll.ICEHistory(M$4,R$5,"DF[dow:12345][tl:Calendar]",$L215)</f>
        <v>324524</v>
      </c>
      <c r="S215">
        <f>_xll.ICEHistory(S$4,S$5,"DF[dow:12345][tl:Calendar]",$L215)</f>
        <v>46.01</v>
      </c>
      <c r="T215">
        <f>_xll.ICEHistory(S$4,T$5,"DF[dow:12345][tl:Calendar]",$L215)</f>
        <v>49.73</v>
      </c>
      <c r="U215">
        <f>_xll.ICEHistory(S$4,U$5,"DF[dow:12345][tl:Calendar]",$L215)</f>
        <v>45.23</v>
      </c>
      <c r="V215">
        <f>_xll.ICEHistory(S$4,V$5,"DF[dow:12345][tl:Calendar]",$L215)</f>
        <v>49.454999999999998</v>
      </c>
      <c r="W215">
        <f>_xll.ICEHistory(S$4,W$5,"DF[dow:12345][tl:Calendar]",$L215)</f>
        <v>2089</v>
      </c>
      <c r="X215">
        <f t="shared" si="9"/>
        <v>4.3149411035337926E-2</v>
      </c>
      <c r="Y215">
        <f t="shared" si="10"/>
        <v>2.6083465920260727</v>
      </c>
      <c r="Z215">
        <f t="shared" si="11"/>
        <v>2.2753952488553582</v>
      </c>
    </row>
    <row r="216" spans="1:26" x14ac:dyDescent="0.25">
      <c r="L216" s="4">
        <f>_xll.ICETimeline(_xll.ICEJoinRange(M4:W4),"DF[dow:12345][tl:Calendar]","2020-07-26;2024-07-26",835,-1)</f>
        <v>45208.5</v>
      </c>
      <c r="M216">
        <f>_xll.ICEHistory(M$4,M$5,"DF[dow:12345][tl:Calendar]",$L216)</f>
        <v>80.650000000000006</v>
      </c>
      <c r="N216">
        <f>_xll.ICEHistory(M$4,N$5,"DF[dow:12345][tl:Calendar]",$L216)</f>
        <v>81.99</v>
      </c>
      <c r="O216">
        <f>_xll.ICEHistory(M$4,O$5,"DF[dow:12345][tl:Calendar]",$L216)</f>
        <v>80</v>
      </c>
      <c r="P216">
        <f>_xll.ICEHistory(M$4,P$5,"DF[dow:12345][tl:Calendar]",$L216)</f>
        <v>81.63</v>
      </c>
      <c r="Q216">
        <f>_xll.ICEHistory(M$4,Q$5,"DF[dow:12345][tl:Calendar]",$L216)</f>
        <v>36589</v>
      </c>
      <c r="R216">
        <f>_xll.ICEHistory(M$4,R$5,"DF[dow:12345][tl:Calendar]",$L216)</f>
        <v>325268</v>
      </c>
      <c r="S216">
        <f>_xll.ICEHistory(S$4,S$5,"DF[dow:12345][tl:Calendar]",$L216)</f>
        <v>41.17</v>
      </c>
      <c r="T216">
        <f>_xll.ICEHistory(S$4,T$5,"DF[dow:12345][tl:Calendar]",$L216)</f>
        <v>44.534999999999997</v>
      </c>
      <c r="U216">
        <f>_xll.ICEHistory(S$4,U$5,"DF[dow:12345][tl:Calendar]",$L216)</f>
        <v>40.619999999999997</v>
      </c>
      <c r="V216">
        <f>_xll.ICEHistory(S$4,V$5,"DF[dow:12345][tl:Calendar]",$L216)</f>
        <v>43.953000000000003</v>
      </c>
      <c r="W216">
        <f>_xll.ICEHistory(S$4,W$5,"DF[dow:12345][tl:Calendar]",$L216)</f>
        <v>864</v>
      </c>
      <c r="X216">
        <f t="shared" si="9"/>
        <v>2.4613481756338838E-2</v>
      </c>
      <c r="Y216">
        <f t="shared" si="10"/>
        <v>-8.842934545737766E-3</v>
      </c>
      <c r="Z216">
        <f t="shared" si="11"/>
        <v>3.6776636024677511</v>
      </c>
    </row>
    <row r="217" spans="1:26" x14ac:dyDescent="0.25">
      <c r="L217" s="4">
        <f>_xll.ICETimeline(_xll.ICEJoinRange(M4:W4),"DF[dow:12345][tl:Calendar]","2020-07-26;2024-07-26",834,-1)</f>
        <v>45205.5</v>
      </c>
      <c r="M217">
        <f>_xll.ICEHistory(M$4,M$5,"DF[dow:12345][tl:Calendar]",$L217)</f>
        <v>80.849999999999994</v>
      </c>
      <c r="N217">
        <f>_xll.ICEHistory(M$4,N$5,"DF[dow:12345][tl:Calendar]",$L217)</f>
        <v>81.25</v>
      </c>
      <c r="O217">
        <f>_xll.ICEHistory(M$4,O$5,"DF[dow:12345][tl:Calendar]",$L217)</f>
        <v>80</v>
      </c>
      <c r="P217">
        <f>_xll.ICEHistory(M$4,P$5,"DF[dow:12345][tl:Calendar]",$L217)</f>
        <v>80.62</v>
      </c>
      <c r="Q217">
        <f>_xll.ICEHistory(M$4,Q$5,"DF[dow:12345][tl:Calendar]",$L217)</f>
        <v>15846</v>
      </c>
      <c r="R217">
        <f>_xll.ICEHistory(M$4,R$5,"DF[dow:12345][tl:Calendar]",$L217)</f>
        <v>322957</v>
      </c>
      <c r="S217">
        <f>_xll.ICEHistory(S$4,S$5,"DF[dow:12345][tl:Calendar]",$L217)</f>
        <v>36</v>
      </c>
      <c r="T217">
        <f>_xll.ICEHistory(S$4,T$5,"DF[dow:12345][tl:Calendar]",$L217)</f>
        <v>38.515000000000001</v>
      </c>
      <c r="U217">
        <f>_xll.ICEHistory(S$4,U$5,"DF[dow:12345][tl:Calendar]",$L217)</f>
        <v>35.914999999999999</v>
      </c>
      <c r="V217">
        <f>_xll.ICEHistory(S$4,V$5,"DF[dow:12345][tl:Calendar]",$L217)</f>
        <v>38.231000000000002</v>
      </c>
      <c r="W217">
        <f>_xll.ICEHistory(S$4,W$5,"DF[dow:12345][tl:Calendar]",$L217)</f>
        <v>2784</v>
      </c>
      <c r="X217">
        <f t="shared" si="9"/>
        <v>1.5271838729383019E-2</v>
      </c>
      <c r="Y217">
        <f t="shared" si="10"/>
        <v>-1.4103861440471284</v>
      </c>
      <c r="Z217">
        <f t="shared" si="11"/>
        <v>-0.64520886369766095</v>
      </c>
    </row>
    <row r="218" spans="1:26" x14ac:dyDescent="0.25">
      <c r="L218" s="4">
        <f>_xll.ICETimeline(_xll.ICEJoinRange(M4:W4),"DF[dow:12345][tl:Calendar]","2020-07-26;2024-07-26",833,-1)</f>
        <v>45204.5</v>
      </c>
      <c r="M218">
        <f>_xll.ICEHistory(M$4,M$5,"DF[dow:12345][tl:Calendar]",$L218)</f>
        <v>81.849999999999994</v>
      </c>
      <c r="N218">
        <f>_xll.ICEHistory(M$4,N$5,"DF[dow:12345][tl:Calendar]",$L218)</f>
        <v>82.37</v>
      </c>
      <c r="O218">
        <f>_xll.ICEHistory(M$4,O$5,"DF[dow:12345][tl:Calendar]",$L218)</f>
        <v>80.3</v>
      </c>
      <c r="P218">
        <f>_xll.ICEHistory(M$4,P$5,"DF[dow:12345][tl:Calendar]",$L218)</f>
        <v>80.86</v>
      </c>
      <c r="Q218">
        <f>_xll.ICEHistory(M$4,Q$5,"DF[dow:12345][tl:Calendar]",$L218)</f>
        <v>24617</v>
      </c>
      <c r="R218">
        <f>_xll.ICEHistory(M$4,R$5,"DF[dow:12345][tl:Calendar]",$L218)</f>
        <v>322524</v>
      </c>
      <c r="S218">
        <f>_xll.ICEHistory(S$4,S$5,"DF[dow:12345][tl:Calendar]",$L218)</f>
        <v>37.619999999999997</v>
      </c>
      <c r="T218">
        <f>_xll.ICEHistory(S$4,T$5,"DF[dow:12345][tl:Calendar]",$L218)</f>
        <v>37.619999999999997</v>
      </c>
      <c r="U218">
        <f>_xll.ICEHistory(S$4,U$5,"DF[dow:12345][tl:Calendar]",$L218)</f>
        <v>36.049999999999997</v>
      </c>
      <c r="V218">
        <f>_xll.ICEHistory(S$4,V$5,"DF[dow:12345][tl:Calendar]",$L218)</f>
        <v>36.207000000000001</v>
      </c>
      <c r="W218">
        <f>_xll.ICEHistory(S$4,W$5,"DF[dow:12345][tl:Calendar]",$L218)</f>
        <v>1067</v>
      </c>
      <c r="X218">
        <f t="shared" si="9"/>
        <v>2.5917115312382714E-2</v>
      </c>
      <c r="Y218">
        <f t="shared" si="10"/>
        <v>0.18242375995955259</v>
      </c>
      <c r="Z218">
        <f t="shared" si="11"/>
        <v>1.3794856151062165</v>
      </c>
    </row>
    <row r="219" spans="1:26" x14ac:dyDescent="0.25">
      <c r="L219" s="4">
        <f>_xll.ICETimeline(_xll.ICEJoinRange(M4:W4),"DF[dow:12345][tl:Calendar]","2020-07-26;2024-07-26",832,-1)</f>
        <v>45203.5</v>
      </c>
      <c r="M219">
        <f>_xll.ICEHistory(M$4,M$5,"DF[dow:12345][tl:Calendar]",$L219)</f>
        <v>79.87</v>
      </c>
      <c r="N219">
        <f>_xll.ICEHistory(M$4,N$5,"DF[dow:12345][tl:Calendar]",$L219)</f>
        <v>82.49</v>
      </c>
      <c r="O219">
        <f>_xll.ICEHistory(M$4,O$5,"DF[dow:12345][tl:Calendar]",$L219)</f>
        <v>79.56</v>
      </c>
      <c r="P219">
        <f>_xll.ICEHistory(M$4,P$5,"DF[dow:12345][tl:Calendar]",$L219)</f>
        <v>81.819999999999993</v>
      </c>
      <c r="Q219">
        <f>_xll.ICEHistory(M$4,Q$5,"DF[dow:12345][tl:Calendar]",$L219)</f>
        <v>34912</v>
      </c>
      <c r="R219">
        <f>_xll.ICEHistory(M$4,R$5,"DF[dow:12345][tl:Calendar]",$L219)</f>
        <v>319395</v>
      </c>
      <c r="S219">
        <f>_xll.ICEHistory(S$4,S$5,"DF[dow:12345][tl:Calendar]",$L219)</f>
        <v>37.6</v>
      </c>
      <c r="T219">
        <f>_xll.ICEHistory(S$4,T$5,"DF[dow:12345][tl:Calendar]",$L219)</f>
        <v>38.645000000000003</v>
      </c>
      <c r="U219">
        <f>_xll.ICEHistory(S$4,U$5,"DF[dow:12345][tl:Calendar]",$L219)</f>
        <v>36.965000000000003</v>
      </c>
      <c r="V219">
        <f>_xll.ICEHistory(S$4,V$5,"DF[dow:12345][tl:Calendar]",$L219)</f>
        <v>38.441000000000003</v>
      </c>
      <c r="W219">
        <f>_xll.ICEHistory(S$4,W$5,"DF[dow:12345][tl:Calendar]",$L219)</f>
        <v>1342</v>
      </c>
      <c r="X219">
        <f t="shared" si="9"/>
        <v>3.630731102850053E-2</v>
      </c>
      <c r="Y219">
        <f t="shared" si="10"/>
        <v>1.7650093091070851</v>
      </c>
      <c r="Z219">
        <f t="shared" si="11"/>
        <v>3.8408134956674149</v>
      </c>
    </row>
    <row r="220" spans="1:26" x14ac:dyDescent="0.25">
      <c r="L220" s="4">
        <f>_xll.ICETimeline(_xll.ICEJoinRange(M4:W4),"DF[dow:12345][tl:Calendar]","2020-07-26;2024-07-26",831,-1)</f>
        <v>45202.5</v>
      </c>
      <c r="M220">
        <f>_xll.ICEHistory(M$4,M$5,"DF[dow:12345][tl:Calendar]",$L220)</f>
        <v>80.7</v>
      </c>
      <c r="N220">
        <f>_xll.ICEHistory(M$4,N$5,"DF[dow:12345][tl:Calendar]",$L220)</f>
        <v>80.91</v>
      </c>
      <c r="O220">
        <f>_xll.ICEHistory(M$4,O$5,"DF[dow:12345][tl:Calendar]",$L220)</f>
        <v>79.5</v>
      </c>
      <c r="P220">
        <f>_xll.ICEHistory(M$4,P$5,"DF[dow:12345][tl:Calendar]",$L220)</f>
        <v>79.8</v>
      </c>
      <c r="Q220">
        <f>_xll.ICEHistory(M$4,Q$5,"DF[dow:12345][tl:Calendar]",$L220)</f>
        <v>27463</v>
      </c>
      <c r="R220">
        <f>_xll.ICEHistory(M$4,R$5,"DF[dow:12345][tl:Calendar]",$L220)</f>
        <v>313183</v>
      </c>
      <c r="S220">
        <f>_xll.ICEHistory(S$4,S$5,"DF[dow:12345][tl:Calendar]",$L220)</f>
        <v>37.89</v>
      </c>
      <c r="T220">
        <f>_xll.ICEHistory(S$4,T$5,"DF[dow:12345][tl:Calendar]",$L220)</f>
        <v>37.89</v>
      </c>
      <c r="U220">
        <f>_xll.ICEHistory(S$4,U$5,"DF[dow:12345][tl:Calendar]",$L220)</f>
        <v>35.880000000000003</v>
      </c>
      <c r="V220">
        <f>_xll.ICEHistory(S$4,V$5,"DF[dow:12345][tl:Calendar]",$L220)</f>
        <v>36.987000000000002</v>
      </c>
      <c r="W220">
        <f>_xll.ICEHistory(S$4,W$5,"DF[dow:12345][tl:Calendar]",$L220)</f>
        <v>1976</v>
      </c>
      <c r="X220">
        <f t="shared" si="9"/>
        <v>1.7317612380250511E-2</v>
      </c>
      <c r="Y220">
        <f t="shared" si="10"/>
        <v>-1.059737247136475</v>
      </c>
      <c r="Z220">
        <f t="shared" si="11"/>
        <v>2.4403442968173992</v>
      </c>
    </row>
    <row r="221" spans="1:26" x14ac:dyDescent="0.25">
      <c r="L221" s="4">
        <f>_xll.ICETimeline(_xll.ICEJoinRange(M4:W4),"DF[dow:12345][tl:Calendar]","2020-07-26;2024-07-26",830,-1)</f>
        <v>45201.5</v>
      </c>
      <c r="M221">
        <f>_xll.ICEHistory(M$4,M$5,"DF[dow:12345][tl:Calendar]",$L221)</f>
        <v>81.42</v>
      </c>
      <c r="N221">
        <f>_xll.ICEHistory(M$4,N$5,"DF[dow:12345][tl:Calendar]",$L221)</f>
        <v>81.66</v>
      </c>
      <c r="O221">
        <f>_xll.ICEHistory(M$4,O$5,"DF[dow:12345][tl:Calendar]",$L221)</f>
        <v>80.599999999999994</v>
      </c>
      <c r="P221">
        <f>_xll.ICEHistory(M$4,P$5,"DF[dow:12345][tl:Calendar]",$L221)</f>
        <v>80.7</v>
      </c>
      <c r="Q221">
        <f>_xll.ICEHistory(M$4,Q$5,"DF[dow:12345][tl:Calendar]",$L221)</f>
        <v>27763</v>
      </c>
      <c r="R221">
        <f>_xll.ICEHistory(M$4,R$5,"DF[dow:12345][tl:Calendar]",$L221)</f>
        <v>313620</v>
      </c>
      <c r="S221">
        <f>_xll.ICEHistory(S$4,S$5,"DF[dow:12345][tl:Calendar]",$L221)</f>
        <v>40.61</v>
      </c>
      <c r="T221">
        <f>_xll.ICEHistory(S$4,T$5,"DF[dow:12345][tl:Calendar]",$L221)</f>
        <v>40.61</v>
      </c>
      <c r="U221">
        <f>_xll.ICEHistory(S$4,U$5,"DF[dow:12345][tl:Calendar]",$L221)</f>
        <v>38.555</v>
      </c>
      <c r="V221">
        <f>_xll.ICEHistory(S$4,V$5,"DF[dow:12345][tl:Calendar]",$L221)</f>
        <v>39.335000000000001</v>
      </c>
      <c r="W221">
        <f>_xll.ICEHistory(S$4,W$5,"DF[dow:12345][tl:Calendar]",$L221)</f>
        <v>1432</v>
      </c>
      <c r="X221">
        <f t="shared" si="9"/>
        <v>1.2771084337349425E-2</v>
      </c>
      <c r="Y221">
        <f t="shared" si="10"/>
        <v>-1.7442955971846961</v>
      </c>
      <c r="Z221">
        <f t="shared" si="11"/>
        <v>2.6830732321491659</v>
      </c>
    </row>
    <row r="222" spans="1:26" x14ac:dyDescent="0.25">
      <c r="L222" s="4">
        <f>_xll.ICETimeline(_xll.ICEJoinRange(M4:W4),"DF[dow:12345][tl:Calendar]","2020-07-26;2024-07-26",829,-1)</f>
        <v>45198.5</v>
      </c>
      <c r="M222">
        <f>_xll.ICEHistory(M$4,M$5,"DF[dow:12345][tl:Calendar]",$L222)</f>
        <v>83</v>
      </c>
      <c r="N222">
        <f>_xll.ICEHistory(M$4,N$5,"DF[dow:12345][tl:Calendar]",$L222)</f>
        <v>83.24</v>
      </c>
      <c r="O222">
        <f>_xll.ICEHistory(M$4,O$5,"DF[dow:12345][tl:Calendar]",$L222)</f>
        <v>81.400000000000006</v>
      </c>
      <c r="P222">
        <f>_xll.ICEHistory(M$4,P$5,"DF[dow:12345][tl:Calendar]",$L222)</f>
        <v>81.45</v>
      </c>
      <c r="Q222">
        <f>_xll.ICEHistory(M$4,Q$5,"DF[dow:12345][tl:Calendar]",$L222)</f>
        <v>14233</v>
      </c>
      <c r="R222">
        <f>_xll.ICEHistory(M$4,R$5,"DF[dow:12345][tl:Calendar]",$L222)</f>
        <v>312544</v>
      </c>
      <c r="S222">
        <f>_xll.ICEHistory(S$4,S$5,"DF[dow:12345][tl:Calendar]",$L222)</f>
        <v>43</v>
      </c>
      <c r="T222">
        <f>_xll.ICEHistory(S$4,T$5,"DF[dow:12345][tl:Calendar]",$L222)</f>
        <v>43</v>
      </c>
      <c r="U222">
        <f>_xll.ICEHistory(S$4,U$5,"DF[dow:12345][tl:Calendar]",$L222)</f>
        <v>41.23</v>
      </c>
      <c r="V222">
        <f>_xll.ICEHistory(S$4,V$5,"DF[dow:12345][tl:Calendar]",$L222)</f>
        <v>41.859000000000002</v>
      </c>
      <c r="W222">
        <f>_xll.ICEHistory(S$4,W$5,"DF[dow:12345][tl:Calendar]",$L222)</f>
        <v>2016</v>
      </c>
      <c r="X222">
        <f t="shared" si="9"/>
        <v>2.2485640962971884E-2</v>
      </c>
      <c r="Y222">
        <f t="shared" si="10"/>
        <v>-0.31271954135210855</v>
      </c>
      <c r="Z222">
        <f t="shared" si="11"/>
        <v>-1.0792621539300657</v>
      </c>
    </row>
    <row r="223" spans="1:26" x14ac:dyDescent="0.25">
      <c r="L223" s="4">
        <f>_xll.ICETimeline(_xll.ICEJoinRange(M4:W4),"DF[dow:12345][tl:Calendar]","2020-07-26;2024-07-26",828,-1)</f>
        <v>45197.5</v>
      </c>
      <c r="M223">
        <f>_xll.ICEHistory(M$4,M$5,"DF[dow:12345][tl:Calendar]",$L223)</f>
        <v>81.83</v>
      </c>
      <c r="N223">
        <f>_xll.ICEHistory(M$4,N$5,"DF[dow:12345][tl:Calendar]",$L223)</f>
        <v>83.24</v>
      </c>
      <c r="O223">
        <f>_xll.ICEHistory(M$4,O$5,"DF[dow:12345][tl:Calendar]",$L223)</f>
        <v>81.819999999999993</v>
      </c>
      <c r="P223">
        <f>_xll.ICEHistory(M$4,P$5,"DF[dow:12345][tl:Calendar]",$L223)</f>
        <v>83.11</v>
      </c>
      <c r="Q223">
        <f>_xll.ICEHistory(M$4,Q$5,"DF[dow:12345][tl:Calendar]",$L223)</f>
        <v>14315</v>
      </c>
      <c r="R223">
        <f>_xll.ICEHistory(M$4,R$5,"DF[dow:12345][tl:Calendar]",$L223)</f>
        <v>312145</v>
      </c>
      <c r="S223">
        <f>_xll.ICEHistory(S$4,S$5,"DF[dow:12345][tl:Calendar]",$L223)</f>
        <v>40.630000000000003</v>
      </c>
      <c r="T223">
        <f>_xll.ICEHistory(S$4,T$5,"DF[dow:12345][tl:Calendar]",$L223)</f>
        <v>41.6</v>
      </c>
      <c r="U223">
        <f>_xll.ICEHistory(S$4,U$5,"DF[dow:12345][tl:Calendar]",$L223)</f>
        <v>39.5</v>
      </c>
      <c r="V223">
        <f>_xll.ICEHistory(S$4,V$5,"DF[dow:12345][tl:Calendar]",$L223)</f>
        <v>39.735999999999997</v>
      </c>
      <c r="W223">
        <f>_xll.ICEHistory(S$4,W$5,"DF[dow:12345][tl:Calendar]",$L223)</f>
        <v>1780</v>
      </c>
      <c r="X223">
        <f t="shared" si="9"/>
        <v>1.7180883242589252E-2</v>
      </c>
      <c r="Y223">
        <f t="shared" si="10"/>
        <v>-1.146865813449732</v>
      </c>
      <c r="Z223">
        <f t="shared" si="11"/>
        <v>-1.0639902843330495</v>
      </c>
    </row>
    <row r="224" spans="1:26" x14ac:dyDescent="0.25">
      <c r="L224" s="4">
        <f>_xll.ICETimeline(_xll.ICEJoinRange(M4:W4),"DF[dow:12345][tl:Calendar]","2020-07-26;2024-07-26",827,-1)</f>
        <v>45196.5</v>
      </c>
      <c r="M224">
        <f>_xll.ICEHistory(M$4,M$5,"DF[dow:12345][tl:Calendar]",$L224)</f>
        <v>82.65</v>
      </c>
      <c r="N224">
        <f>_xll.ICEHistory(M$4,N$5,"DF[dow:12345][tl:Calendar]",$L224)</f>
        <v>83.05</v>
      </c>
      <c r="O224">
        <f>_xll.ICEHistory(M$4,O$5,"DF[dow:12345][tl:Calendar]",$L224)</f>
        <v>81.599999999999994</v>
      </c>
      <c r="P224">
        <f>_xll.ICEHistory(M$4,P$5,"DF[dow:12345][tl:Calendar]",$L224)</f>
        <v>81.86</v>
      </c>
      <c r="Q224">
        <f>_xll.ICEHistory(M$4,Q$5,"DF[dow:12345][tl:Calendar]",$L224)</f>
        <v>22128</v>
      </c>
      <c r="R224">
        <f>_xll.ICEHistory(M$4,R$5,"DF[dow:12345][tl:Calendar]",$L224)</f>
        <v>311418</v>
      </c>
      <c r="S224">
        <f>_xll.ICEHistory(S$4,S$5,"DF[dow:12345][tl:Calendar]",$L224)</f>
        <v>40.32</v>
      </c>
      <c r="T224">
        <f>_xll.ICEHistory(S$4,T$5,"DF[dow:12345][tl:Calendar]",$L224)</f>
        <v>40.32</v>
      </c>
      <c r="U224">
        <f>_xll.ICEHistory(S$4,U$5,"DF[dow:12345][tl:Calendar]",$L224)</f>
        <v>38.72</v>
      </c>
      <c r="V224">
        <f>_xll.ICEHistory(S$4,V$5,"DF[dow:12345][tl:Calendar]",$L224)</f>
        <v>39.295999999999999</v>
      </c>
      <c r="W224">
        <f>_xll.ICEHistory(S$4,W$5,"DF[dow:12345][tl:Calendar]",$L224)</f>
        <v>339</v>
      </c>
      <c r="X224">
        <f t="shared" si="9"/>
        <v>1.7060830685963087E-2</v>
      </c>
      <c r="Y224">
        <f t="shared" si="10"/>
        <v>-1.1764493669913609</v>
      </c>
      <c r="Z224">
        <f t="shared" si="11"/>
        <v>1.2343707689091772</v>
      </c>
    </row>
    <row r="225" spans="12:26" x14ac:dyDescent="0.25">
      <c r="L225" s="4">
        <f>_xll.ICETimeline(_xll.ICEJoinRange(M4:W4),"DF[dow:12345][tl:Calendar]","2020-07-26;2024-07-26",826,-1)</f>
        <v>45195.5</v>
      </c>
      <c r="M225">
        <f>_xll.ICEHistory(M$4,M$5,"DF[dow:12345][tl:Calendar]",$L225)</f>
        <v>84.99</v>
      </c>
      <c r="N225">
        <f>_xll.ICEHistory(M$4,N$5,"DF[dow:12345][tl:Calendar]",$L225)</f>
        <v>85.13</v>
      </c>
      <c r="O225">
        <f>_xll.ICEHistory(M$4,O$5,"DF[dow:12345][tl:Calendar]",$L225)</f>
        <v>82.51</v>
      </c>
      <c r="P225">
        <f>_xll.ICEHistory(M$4,P$5,"DF[dow:12345][tl:Calendar]",$L225)</f>
        <v>82.51</v>
      </c>
      <c r="Q225">
        <f>_xll.ICEHistory(M$4,Q$5,"DF[dow:12345][tl:Calendar]",$L225)</f>
        <v>20500</v>
      </c>
      <c r="R225">
        <f>_xll.ICEHistory(M$4,R$5,"DF[dow:12345][tl:Calendar]",$L225)</f>
        <v>309458</v>
      </c>
      <c r="S225">
        <f>_xll.ICEHistory(S$4,S$5,"DF[dow:12345][tl:Calendar]",$L225)</f>
        <v>42.85</v>
      </c>
      <c r="T225">
        <f>_xll.ICEHistory(S$4,T$5,"DF[dow:12345][tl:Calendar]",$L225)</f>
        <v>42.98</v>
      </c>
      <c r="U225">
        <f>_xll.ICEHistory(S$4,U$5,"DF[dow:12345][tl:Calendar]",$L225)</f>
        <v>39.299999999999997</v>
      </c>
      <c r="V225">
        <f>_xll.ICEHistory(S$4,V$5,"DF[dow:12345][tl:Calendar]",$L225)</f>
        <v>40.322000000000003</v>
      </c>
      <c r="W225">
        <f>_xll.ICEHistory(S$4,W$5,"DF[dow:12345][tl:Calendar]",$L225)</f>
        <v>828</v>
      </c>
      <c r="X225">
        <f t="shared" si="9"/>
        <v>3.0482838859802096E-2</v>
      </c>
      <c r="Y225">
        <f t="shared" si="10"/>
        <v>0.87472025229066508</v>
      </c>
      <c r="Z225">
        <f t="shared" si="11"/>
        <v>0.77537434905662006</v>
      </c>
    </row>
    <row r="226" spans="12:26" x14ac:dyDescent="0.25">
      <c r="L226" s="4">
        <f>_xll.ICETimeline(_xll.ICEJoinRange(M4:W4),"DF[dow:12345][tl:Calendar]","2020-07-26;2024-07-26",825,-1)</f>
        <v>45194.5</v>
      </c>
      <c r="M226">
        <f>_xll.ICEHistory(M$4,M$5,"DF[dow:12345][tl:Calendar]",$L226)</f>
        <v>85.95</v>
      </c>
      <c r="N226">
        <f>_xll.ICEHistory(M$4,N$5,"DF[dow:12345][tl:Calendar]",$L226)</f>
        <v>85.96</v>
      </c>
      <c r="O226">
        <f>_xll.ICEHistory(M$4,O$5,"DF[dow:12345][tl:Calendar]",$L226)</f>
        <v>84.71</v>
      </c>
      <c r="P226">
        <f>_xll.ICEHistory(M$4,P$5,"DF[dow:12345][tl:Calendar]",$L226)</f>
        <v>84.89</v>
      </c>
      <c r="Q226">
        <f>_xll.ICEHistory(M$4,Q$5,"DF[dow:12345][tl:Calendar]",$L226)</f>
        <v>18021</v>
      </c>
      <c r="R226">
        <f>_xll.ICEHistory(M$4,R$5,"DF[dow:12345][tl:Calendar]",$L226)</f>
        <v>306618</v>
      </c>
      <c r="S226">
        <f>_xll.ICEHistory(S$4,S$5,"DF[dow:12345][tl:Calendar]",$L226)</f>
        <v>39.475000000000001</v>
      </c>
      <c r="T226">
        <f>_xll.ICEHistory(S$4,T$5,"DF[dow:12345][tl:Calendar]",$L226)</f>
        <v>44.73</v>
      </c>
      <c r="U226">
        <f>_xll.ICEHistory(S$4,U$5,"DF[dow:12345][tl:Calendar]",$L226)</f>
        <v>39.475000000000001</v>
      </c>
      <c r="V226">
        <f>_xll.ICEHistory(S$4,V$5,"DF[dow:12345][tl:Calendar]",$L226)</f>
        <v>44.442</v>
      </c>
      <c r="W226">
        <f>_xll.ICEHistory(S$4,W$5,"DF[dow:12345][tl:Calendar]",$L226)</f>
        <v>486</v>
      </c>
      <c r="X226">
        <f t="shared" si="9"/>
        <v>1.4902241297091083E-2</v>
      </c>
      <c r="Y226">
        <f t="shared" si="10"/>
        <v>-1.5242547489595937</v>
      </c>
      <c r="Z226">
        <f t="shared" si="11"/>
        <v>2.9314222147651576E-2</v>
      </c>
    </row>
    <row r="227" spans="12:26" x14ac:dyDescent="0.25">
      <c r="L227" s="4">
        <f>_xll.ICETimeline(_xll.ICEJoinRange(M4:W4),"DF[dow:12345][tl:Calendar]","2020-07-26;2024-07-26",824,-1)</f>
        <v>45191.5</v>
      </c>
      <c r="M227">
        <f>_xll.ICEHistory(M$4,M$5,"DF[dow:12345][tl:Calendar]",$L227)</f>
        <v>83.88</v>
      </c>
      <c r="N227">
        <f>_xll.ICEHistory(M$4,N$5,"DF[dow:12345][tl:Calendar]",$L227)</f>
        <v>86.13</v>
      </c>
      <c r="O227">
        <f>_xll.ICEHistory(M$4,O$5,"DF[dow:12345][tl:Calendar]",$L227)</f>
        <v>83.5</v>
      </c>
      <c r="P227">
        <f>_xll.ICEHistory(M$4,P$5,"DF[dow:12345][tl:Calendar]",$L227)</f>
        <v>85.3</v>
      </c>
      <c r="Q227">
        <f>_xll.ICEHistory(M$4,Q$5,"DF[dow:12345][tl:Calendar]",$L227)</f>
        <v>22372</v>
      </c>
      <c r="R227">
        <f>_xll.ICEHistory(M$4,R$5,"DF[dow:12345][tl:Calendar]",$L227)</f>
        <v>305227</v>
      </c>
      <c r="S227">
        <f>_xll.ICEHistory(S$4,S$5,"DF[dow:12345][tl:Calendar]",$L227)</f>
        <v>39.914999999999999</v>
      </c>
      <c r="T227">
        <f>_xll.ICEHistory(S$4,T$5,"DF[dow:12345][tl:Calendar]",$L227)</f>
        <v>41.734999999999999</v>
      </c>
      <c r="U227">
        <f>_xll.ICEHistory(S$4,U$5,"DF[dow:12345][tl:Calendar]",$L227)</f>
        <v>39.454999999999998</v>
      </c>
      <c r="V227">
        <f>_xll.ICEHistory(S$4,V$5,"DF[dow:12345][tl:Calendar]",$L227)</f>
        <v>39.790999999999997</v>
      </c>
      <c r="W227">
        <f>_xll.ICEHistory(S$4,W$5,"DF[dow:12345][tl:Calendar]",$L227)</f>
        <v>2931</v>
      </c>
      <c r="X227">
        <f t="shared" si="9"/>
        <v>3.1801692865779871E-2</v>
      </c>
      <c r="Y227">
        <f t="shared" si="10"/>
        <v>0.931959191053777</v>
      </c>
      <c r="Z227">
        <f t="shared" si="11"/>
        <v>1.3374974909506274</v>
      </c>
    </row>
    <row r="228" spans="12:26" x14ac:dyDescent="0.25">
      <c r="L228" s="4">
        <f>_xll.ICETimeline(_xll.ICEJoinRange(M4:W4),"DF[dow:12345][tl:Calendar]","2020-07-26;2024-07-26",823,-1)</f>
        <v>45190.5</v>
      </c>
      <c r="M228">
        <f>_xll.ICEHistory(M$4,M$5,"DF[dow:12345][tl:Calendar]",$L228)</f>
        <v>82.7</v>
      </c>
      <c r="N228">
        <f>_xll.ICEHistory(M$4,N$5,"DF[dow:12345][tl:Calendar]",$L228)</f>
        <v>84.61</v>
      </c>
      <c r="O228">
        <f>_xll.ICEHistory(M$4,O$5,"DF[dow:12345][tl:Calendar]",$L228)</f>
        <v>81.62</v>
      </c>
      <c r="P228">
        <f>_xll.ICEHistory(M$4,P$5,"DF[dow:12345][tl:Calendar]",$L228)</f>
        <v>84.43</v>
      </c>
      <c r="Q228">
        <f>_xll.ICEHistory(M$4,Q$5,"DF[dow:12345][tl:Calendar]",$L228)</f>
        <v>19727</v>
      </c>
      <c r="R228">
        <f>_xll.ICEHistory(M$4,R$5,"DF[dow:12345][tl:Calendar]",$L228)</f>
        <v>307449</v>
      </c>
      <c r="S228">
        <f>_xll.ICEHistory(S$4,S$5,"DF[dow:12345][tl:Calendar]",$L228)</f>
        <v>35.695</v>
      </c>
      <c r="T228">
        <f>_xll.ICEHistory(S$4,T$5,"DF[dow:12345][tl:Calendar]",$L228)</f>
        <v>39.335000000000001</v>
      </c>
      <c r="U228">
        <f>_xll.ICEHistory(S$4,U$5,"DF[dow:12345][tl:Calendar]",$L228)</f>
        <v>35.695</v>
      </c>
      <c r="V228">
        <f>_xll.ICEHistory(S$4,V$5,"DF[dow:12345][tl:Calendar]",$L228)</f>
        <v>39.104999999999997</v>
      </c>
      <c r="W228">
        <f>_xll.ICEHistory(S$4,W$5,"DF[dow:12345][tl:Calendar]",$L228)</f>
        <v>4217</v>
      </c>
      <c r="X228">
        <f t="shared" si="9"/>
        <v>3.6642156862745037E-2</v>
      </c>
      <c r="Y228">
        <f t="shared" si="10"/>
        <v>1.6012361973414928</v>
      </c>
      <c r="Z228">
        <f t="shared" si="11"/>
        <v>0.53894953323559036</v>
      </c>
    </row>
    <row r="229" spans="12:26" x14ac:dyDescent="0.25">
      <c r="L229" s="4">
        <f>_xll.ICETimeline(_xll.ICEJoinRange(M4:W4),"DF[dow:12345][tl:Calendar]","2020-07-26;2024-07-26",822,-1)</f>
        <v>45189.5</v>
      </c>
      <c r="M229">
        <f>_xll.ICEHistory(M$4,M$5,"DF[dow:12345][tl:Calendar]",$L229)</f>
        <v>81.599999999999994</v>
      </c>
      <c r="N229">
        <f>_xll.ICEHistory(M$4,N$5,"DF[dow:12345][tl:Calendar]",$L229)</f>
        <v>82.97</v>
      </c>
      <c r="O229">
        <f>_xll.ICEHistory(M$4,O$5,"DF[dow:12345][tl:Calendar]",$L229)</f>
        <v>80.5</v>
      </c>
      <c r="P229">
        <f>_xll.ICEHistory(M$4,P$5,"DF[dow:12345][tl:Calendar]",$L229)</f>
        <v>82.76</v>
      </c>
      <c r="Q229">
        <f>_xll.ICEHistory(M$4,Q$5,"DF[dow:12345][tl:Calendar]",$L229)</f>
        <v>19611</v>
      </c>
      <c r="R229">
        <f>_xll.ICEHistory(M$4,R$5,"DF[dow:12345][tl:Calendar]",$L229)</f>
        <v>307483</v>
      </c>
      <c r="S229">
        <f>_xll.ICEHistory(S$4,S$5,"DF[dow:12345][tl:Calendar]",$L229)</f>
        <v>38.575000000000003</v>
      </c>
      <c r="T229">
        <f>_xll.ICEHistory(S$4,T$5,"DF[dow:12345][tl:Calendar]",$L229)</f>
        <v>39.270000000000003</v>
      </c>
      <c r="U229">
        <f>_xll.ICEHistory(S$4,U$5,"DF[dow:12345][tl:Calendar]",$L229)</f>
        <v>35.674999999999997</v>
      </c>
      <c r="V229">
        <f>_xll.ICEHistory(S$4,V$5,"DF[dow:12345][tl:Calendar]",$L229)</f>
        <v>37.283999999999999</v>
      </c>
      <c r="W229">
        <f>_xll.ICEHistory(S$4,W$5,"DF[dow:12345][tl:Calendar]",$L229)</f>
        <v>2595</v>
      </c>
      <c r="X229">
        <f t="shared" si="9"/>
        <v>3.0505125355069766E-2</v>
      </c>
      <c r="Y229">
        <f t="shared" si="10"/>
        <v>0.74206982146690137</v>
      </c>
      <c r="Z229">
        <f t="shared" si="11"/>
        <v>0.39604338303340592</v>
      </c>
    </row>
    <row r="230" spans="12:26" x14ac:dyDescent="0.25">
      <c r="L230" s="4">
        <f>_xll.ICETimeline(_xll.ICEJoinRange(M4:W4),"DF[dow:12345][tl:Calendar]","2020-07-26;2024-07-26",821,-1)</f>
        <v>45188.5</v>
      </c>
      <c r="M230">
        <f>_xll.ICEHistory(M$4,M$5,"DF[dow:12345][tl:Calendar]",$L230)</f>
        <v>80.97</v>
      </c>
      <c r="N230">
        <f>_xll.ICEHistory(M$4,N$5,"DF[dow:12345][tl:Calendar]",$L230)</f>
        <v>81.69</v>
      </c>
      <c r="O230">
        <f>_xll.ICEHistory(M$4,O$5,"DF[dow:12345][tl:Calendar]",$L230)</f>
        <v>80.55</v>
      </c>
      <c r="P230">
        <f>_xll.ICEHistory(M$4,P$5,"DF[dow:12345][tl:Calendar]",$L230)</f>
        <v>81.3</v>
      </c>
      <c r="Q230">
        <f>_xll.ICEHistory(M$4,Q$5,"DF[dow:12345][tl:Calendar]",$L230)</f>
        <v>17135</v>
      </c>
      <c r="R230">
        <f>_xll.ICEHistory(M$4,R$5,"DF[dow:12345][tl:Calendar]",$L230)</f>
        <v>307583</v>
      </c>
      <c r="S230">
        <f>_xll.ICEHistory(S$4,S$5,"DF[dow:12345][tl:Calendar]",$L230)</f>
        <v>34.25</v>
      </c>
      <c r="T230">
        <f>_xll.ICEHistory(S$4,T$5,"DF[dow:12345][tl:Calendar]",$L230)</f>
        <v>37.49</v>
      </c>
      <c r="U230">
        <f>_xll.ICEHistory(S$4,U$5,"DF[dow:12345][tl:Calendar]",$L230)</f>
        <v>34.049999999999997</v>
      </c>
      <c r="V230">
        <f>_xll.ICEHistory(S$4,V$5,"DF[dow:12345][tl:Calendar]",$L230)</f>
        <v>36.781999999999996</v>
      </c>
      <c r="W230">
        <f>_xll.ICEHistory(S$4,W$5,"DF[dow:12345][tl:Calendar]",$L230)</f>
        <v>1535</v>
      </c>
      <c r="X230">
        <f t="shared" si="9"/>
        <v>1.3871988318325633E-2</v>
      </c>
      <c r="Y230">
        <f t="shared" si="10"/>
        <v>-1.5482969196806953</v>
      </c>
      <c r="Z230">
        <f t="shared" si="11"/>
        <v>-0.2792571026111127</v>
      </c>
    </row>
    <row r="231" spans="12:26" x14ac:dyDescent="0.25">
      <c r="L231" s="4">
        <f>_xll.ICETimeline(_xll.ICEJoinRange(M4:W4),"DF[dow:12345][tl:Calendar]","2020-07-26;2024-07-26",820,-1)</f>
        <v>45187.5</v>
      </c>
      <c r="M231">
        <f>_xll.ICEHistory(M$4,M$5,"DF[dow:12345][tl:Calendar]",$L231)</f>
        <v>82.18</v>
      </c>
      <c r="N231">
        <f>_xll.ICEHistory(M$4,N$5,"DF[dow:12345][tl:Calendar]",$L231)</f>
        <v>82.65</v>
      </c>
      <c r="O231">
        <f>_xll.ICEHistory(M$4,O$5,"DF[dow:12345][tl:Calendar]",$L231)</f>
        <v>80.739999999999995</v>
      </c>
      <c r="P231">
        <f>_xll.ICEHistory(M$4,P$5,"DF[dow:12345][tl:Calendar]",$L231)</f>
        <v>80.88</v>
      </c>
      <c r="Q231">
        <f>_xll.ICEHistory(M$4,Q$5,"DF[dow:12345][tl:Calendar]",$L231)</f>
        <v>20789</v>
      </c>
      <c r="R231">
        <f>_xll.ICEHistory(M$4,R$5,"DF[dow:12345][tl:Calendar]",$L231)</f>
        <v>304447</v>
      </c>
      <c r="S231">
        <f>_xll.ICEHistory(S$4,S$5,"DF[dow:12345][tl:Calendar]",$L231)</f>
        <v>34.494999999999997</v>
      </c>
      <c r="T231">
        <f>_xll.ICEHistory(S$4,T$5,"DF[dow:12345][tl:Calendar]",$L231)</f>
        <v>36.484999999999999</v>
      </c>
      <c r="U231">
        <f>_xll.ICEHistory(S$4,U$5,"DF[dow:12345][tl:Calendar]",$L231)</f>
        <v>33.950000000000003</v>
      </c>
      <c r="V231">
        <f>_xll.ICEHistory(S$4,V$5,"DF[dow:12345][tl:Calendar]",$L231)</f>
        <v>34.475000000000001</v>
      </c>
      <c r="W231">
        <f>_xll.ICEHistory(S$4,W$5,"DF[dow:12345][tl:Calendar]",$L231)</f>
        <v>2546</v>
      </c>
      <c r="X231">
        <f t="shared" si="9"/>
        <v>2.3062062303791486E-2</v>
      </c>
      <c r="Y231">
        <f t="shared" si="10"/>
        <v>-0.39778950871574714</v>
      </c>
      <c r="Z231">
        <f t="shared" si="11"/>
        <v>0.65422811517674984</v>
      </c>
    </row>
    <row r="232" spans="12:26" x14ac:dyDescent="0.25">
      <c r="L232" s="4">
        <f>_xll.ICETimeline(_xll.ICEJoinRange(M4:W4),"DF[dow:12345][tl:Calendar]","2020-07-26;2024-07-26",819,-1)</f>
        <v>45184.5</v>
      </c>
      <c r="M232">
        <f>_xll.ICEHistory(M$4,M$5,"DF[dow:12345][tl:Calendar]",$L232)</f>
        <v>82.82</v>
      </c>
      <c r="N232">
        <f>_xll.ICEHistory(M$4,N$5,"DF[dow:12345][tl:Calendar]",$L232)</f>
        <v>84.09</v>
      </c>
      <c r="O232">
        <f>_xll.ICEHistory(M$4,O$5,"DF[dow:12345][tl:Calendar]",$L232)</f>
        <v>81.75</v>
      </c>
      <c r="P232">
        <f>_xll.ICEHistory(M$4,P$5,"DF[dow:12345][tl:Calendar]",$L232)</f>
        <v>82.1</v>
      </c>
      <c r="Q232">
        <f>_xll.ICEHistory(M$4,Q$5,"DF[dow:12345][tl:Calendar]",$L232)</f>
        <v>18108</v>
      </c>
      <c r="R232">
        <f>_xll.ICEHistory(M$4,R$5,"DF[dow:12345][tl:Calendar]",$L232)</f>
        <v>302658</v>
      </c>
      <c r="S232">
        <f>_xll.ICEHistory(S$4,S$5,"DF[dow:12345][tl:Calendar]",$L232)</f>
        <v>35.130000000000003</v>
      </c>
      <c r="T232">
        <f>_xll.ICEHistory(S$4,T$5,"DF[dow:12345][tl:Calendar]",$L232)</f>
        <v>36.71</v>
      </c>
      <c r="U232">
        <f>_xll.ICEHistory(S$4,U$5,"DF[dow:12345][tl:Calendar]",$L232)</f>
        <v>34.814999999999998</v>
      </c>
      <c r="V232">
        <f>_xll.ICEHistory(S$4,V$5,"DF[dow:12345][tl:Calendar]",$L232)</f>
        <v>36.482999999999997</v>
      </c>
      <c r="W232">
        <f>_xll.ICEHistory(S$4,W$5,"DF[dow:12345][tl:Calendar]",$L232)</f>
        <v>2236</v>
      </c>
      <c r="X232">
        <f t="shared" si="9"/>
        <v>2.793696275071637E-2</v>
      </c>
      <c r="Y232">
        <f t="shared" si="10"/>
        <v>0.20946386986233897</v>
      </c>
      <c r="Z232">
        <f t="shared" si="11"/>
        <v>-3.5841351813968893E-2</v>
      </c>
    </row>
    <row r="233" spans="12:26" x14ac:dyDescent="0.25">
      <c r="L233" s="4">
        <f>_xll.ICETimeline(_xll.ICEJoinRange(M4:W4),"DF[dow:12345][tl:Calendar]","2020-07-26;2024-07-26",818,-1)</f>
        <v>45183.5</v>
      </c>
      <c r="M233">
        <f>_xll.ICEHistory(M$4,M$5,"DF[dow:12345][tl:Calendar]",$L233)</f>
        <v>83.76</v>
      </c>
      <c r="N233">
        <f>_xll.ICEHistory(M$4,N$5,"DF[dow:12345][tl:Calendar]",$L233)</f>
        <v>84.08</v>
      </c>
      <c r="O233">
        <f>_xll.ICEHistory(M$4,O$5,"DF[dow:12345][tl:Calendar]",$L233)</f>
        <v>82.44</v>
      </c>
      <c r="P233">
        <f>_xll.ICEHistory(M$4,P$5,"DF[dow:12345][tl:Calendar]",$L233)</f>
        <v>82.93</v>
      </c>
      <c r="Q233">
        <f>_xll.ICEHistory(M$4,Q$5,"DF[dow:12345][tl:Calendar]",$L233)</f>
        <v>17111</v>
      </c>
      <c r="R233">
        <f>_xll.ICEHistory(M$4,R$5,"DF[dow:12345][tl:Calendar]",$L233)</f>
        <v>301244</v>
      </c>
      <c r="S233">
        <f>_xll.ICEHistory(S$4,S$5,"DF[dow:12345][tl:Calendar]",$L233)</f>
        <v>37.450000000000003</v>
      </c>
      <c r="T233">
        <f>_xll.ICEHistory(S$4,T$5,"DF[dow:12345][tl:Calendar]",$L233)</f>
        <v>37.72</v>
      </c>
      <c r="U233">
        <f>_xll.ICEHistory(S$4,U$5,"DF[dow:12345][tl:Calendar]",$L233)</f>
        <v>35.18</v>
      </c>
      <c r="V233">
        <f>_xll.ICEHistory(S$4,V$5,"DF[dow:12345][tl:Calendar]",$L233)</f>
        <v>35.521000000000001</v>
      </c>
      <c r="W233">
        <f>_xll.ICEHistory(S$4,W$5,"DF[dow:12345][tl:Calendar]",$L233)</f>
        <v>2223</v>
      </c>
      <c r="X233">
        <f t="shared" si="9"/>
        <v>2.0216962524654838E-2</v>
      </c>
      <c r="Y233">
        <f t="shared" si="10"/>
        <v>-0.7897063077362465</v>
      </c>
      <c r="Z233">
        <f t="shared" si="11"/>
        <v>-0.31497971558562804</v>
      </c>
    </row>
    <row r="234" spans="12:26" x14ac:dyDescent="0.25">
      <c r="L234" s="4">
        <f>_xll.ICETimeline(_xll.ICEJoinRange(M4:W4),"DF[dow:12345][tl:Calendar]","2020-07-26;2024-07-26",817,-1)</f>
        <v>45182.5</v>
      </c>
      <c r="M234">
        <f>_xll.ICEHistory(M$4,M$5,"DF[dow:12345][tl:Calendar]",$L234)</f>
        <v>81.12</v>
      </c>
      <c r="N234">
        <f>_xll.ICEHistory(M$4,N$5,"DF[dow:12345][tl:Calendar]",$L234)</f>
        <v>83.88</v>
      </c>
      <c r="O234">
        <f>_xll.ICEHistory(M$4,O$5,"DF[dow:12345][tl:Calendar]",$L234)</f>
        <v>80.569999999999993</v>
      </c>
      <c r="P234">
        <f>_xll.ICEHistory(M$4,P$5,"DF[dow:12345][tl:Calendar]",$L234)</f>
        <v>83.76</v>
      </c>
      <c r="Q234">
        <f>_xll.ICEHistory(M$4,Q$5,"DF[dow:12345][tl:Calendar]",$L234)</f>
        <v>25914</v>
      </c>
      <c r="R234">
        <f>_xll.ICEHistory(M$4,R$5,"DF[dow:12345][tl:Calendar]",$L234)</f>
        <v>302096</v>
      </c>
      <c r="S234">
        <f>_xll.ICEHistory(S$4,S$5,"DF[dow:12345][tl:Calendar]",$L234)</f>
        <v>35.270000000000003</v>
      </c>
      <c r="T234">
        <f>_xll.ICEHistory(S$4,T$5,"DF[dow:12345][tl:Calendar]",$L234)</f>
        <v>37.975000000000001</v>
      </c>
      <c r="U234">
        <f>_xll.ICEHistory(S$4,U$5,"DF[dow:12345][tl:Calendar]",$L234)</f>
        <v>35.270000000000003</v>
      </c>
      <c r="V234">
        <f>_xll.ICEHistory(S$4,V$5,"DF[dow:12345][tl:Calendar]",$L234)</f>
        <v>36.817</v>
      </c>
      <c r="W234">
        <f>_xll.ICEHistory(S$4,W$5,"DF[dow:12345][tl:Calendar]",$L234)</f>
        <v>1868</v>
      </c>
      <c r="X234">
        <f t="shared" si="9"/>
        <v>4.0439828955406258E-2</v>
      </c>
      <c r="Y234">
        <f t="shared" si="10"/>
        <v>1.7292559838910595</v>
      </c>
      <c r="Z234">
        <f t="shared" si="11"/>
        <v>1.4847488827703395</v>
      </c>
    </row>
    <row r="235" spans="12:26" x14ac:dyDescent="0.25">
      <c r="L235" s="4">
        <f>_xll.ICETimeline(_xll.ICEJoinRange(M4:W4),"DF[dow:12345][tl:Calendar]","2020-07-26;2024-07-26",816,-1)</f>
        <v>45181.5</v>
      </c>
      <c r="M235">
        <f>_xll.ICEHistory(M$4,M$5,"DF[dow:12345][tl:Calendar]",$L235)</f>
        <v>81.849999999999994</v>
      </c>
      <c r="N235">
        <f>_xll.ICEHistory(M$4,N$5,"DF[dow:12345][tl:Calendar]",$L235)</f>
        <v>82.41</v>
      </c>
      <c r="O235">
        <f>_xll.ICEHistory(M$4,O$5,"DF[dow:12345][tl:Calendar]",$L235)</f>
        <v>80.98</v>
      </c>
      <c r="P235">
        <f>_xll.ICEHistory(M$4,P$5,"DF[dow:12345][tl:Calendar]",$L235)</f>
        <v>81.12</v>
      </c>
      <c r="Q235">
        <f>_xll.ICEHistory(M$4,Q$5,"DF[dow:12345][tl:Calendar]",$L235)</f>
        <v>20036</v>
      </c>
      <c r="R235">
        <f>_xll.ICEHistory(M$4,R$5,"DF[dow:12345][tl:Calendar]",$L235)</f>
        <v>301437</v>
      </c>
      <c r="S235">
        <f>_xll.ICEHistory(S$4,S$5,"DF[dow:12345][tl:Calendar]",$L235)</f>
        <v>35.130000000000003</v>
      </c>
      <c r="T235">
        <f>_xll.ICEHistory(S$4,T$5,"DF[dow:12345][tl:Calendar]",$L235)</f>
        <v>36.575000000000003</v>
      </c>
      <c r="U235">
        <f>_xll.ICEHistory(S$4,U$5,"DF[dow:12345][tl:Calendar]",$L235)</f>
        <v>34.335000000000001</v>
      </c>
      <c r="V235">
        <f>_xll.ICEHistory(S$4,V$5,"DF[dow:12345][tl:Calendar]",$L235)</f>
        <v>34.701000000000001</v>
      </c>
      <c r="W235">
        <f>_xll.ICEHistory(S$4,W$5,"DF[dow:12345][tl:Calendar]",$L235)</f>
        <v>1240</v>
      </c>
      <c r="X235">
        <f t="shared" si="9"/>
        <v>1.748379997554704E-2</v>
      </c>
      <c r="Y235">
        <f t="shared" si="10"/>
        <v>-1.1339147557527578</v>
      </c>
      <c r="Z235">
        <f t="shared" si="11"/>
        <v>0.22373841925204344</v>
      </c>
    </row>
    <row r="236" spans="12:26" x14ac:dyDescent="0.25">
      <c r="L236" s="4">
        <f>_xll.ICETimeline(_xll.ICEJoinRange(M4:W4),"DF[dow:12345][tl:Calendar]","2020-07-26;2024-07-26",815,-1)</f>
        <v>45180.5</v>
      </c>
      <c r="M236">
        <f>_xll.ICEHistory(M$4,M$5,"DF[dow:12345][tl:Calendar]",$L236)</f>
        <v>81.790000000000006</v>
      </c>
      <c r="N236">
        <f>_xll.ICEHistory(M$4,N$5,"DF[dow:12345][tl:Calendar]",$L236)</f>
        <v>82.7</v>
      </c>
      <c r="O236">
        <f>_xll.ICEHistory(M$4,O$5,"DF[dow:12345][tl:Calendar]",$L236)</f>
        <v>81.36</v>
      </c>
      <c r="P236">
        <f>_xll.ICEHistory(M$4,P$5,"DF[dow:12345][tl:Calendar]",$L236)</f>
        <v>81.73</v>
      </c>
      <c r="Q236">
        <f>_xll.ICEHistory(M$4,Q$5,"DF[dow:12345][tl:Calendar]",$L236)</f>
        <v>18374</v>
      </c>
      <c r="R236">
        <f>_xll.ICEHistory(M$4,R$5,"DF[dow:12345][tl:Calendar]",$L236)</f>
        <v>296990</v>
      </c>
      <c r="S236">
        <f>_xll.ICEHistory(S$4,S$5,"DF[dow:12345][tl:Calendar]",$L236)</f>
        <v>36.54</v>
      </c>
      <c r="T236">
        <f>_xll.ICEHistory(S$4,T$5,"DF[dow:12345][tl:Calendar]",$L236)</f>
        <v>37.71</v>
      </c>
      <c r="U236">
        <f>_xll.ICEHistory(S$4,U$5,"DF[dow:12345][tl:Calendar]",$L236)</f>
        <v>35.604999999999997</v>
      </c>
      <c r="V236">
        <f>_xll.ICEHistory(S$4,V$5,"DF[dow:12345][tl:Calendar]",$L236)</f>
        <v>35.847999999999999</v>
      </c>
      <c r="W236">
        <f>_xll.ICEHistory(S$4,W$5,"DF[dow:12345][tl:Calendar]",$L236)</f>
        <v>1664</v>
      </c>
      <c r="X236">
        <f t="shared" si="9"/>
        <v>1.6044061302682034E-2</v>
      </c>
      <c r="Y236">
        <f t="shared" si="10"/>
        <v>-1.3150249574963571</v>
      </c>
      <c r="Z236">
        <f t="shared" si="11"/>
        <v>-0.1023052831917954</v>
      </c>
    </row>
    <row r="237" spans="12:26" x14ac:dyDescent="0.25">
      <c r="L237" s="4">
        <f>_xll.ICETimeline(_xll.ICEJoinRange(M4:W4),"DF[dow:12345][tl:Calendar]","2020-07-26;2024-07-26",814,-1)</f>
        <v>45177.5</v>
      </c>
      <c r="M237">
        <f>_xll.ICEHistory(M$4,M$5,"DF[dow:12345][tl:Calendar]",$L237)</f>
        <v>83.52</v>
      </c>
      <c r="N237">
        <f>_xll.ICEHistory(M$4,N$5,"DF[dow:12345][tl:Calendar]",$L237)</f>
        <v>84</v>
      </c>
      <c r="O237">
        <f>_xll.ICEHistory(M$4,O$5,"DF[dow:12345][tl:Calendar]",$L237)</f>
        <v>81.28</v>
      </c>
      <c r="P237">
        <f>_xll.ICEHistory(M$4,P$5,"DF[dow:12345][tl:Calendar]",$L237)</f>
        <v>81.62</v>
      </c>
      <c r="Q237">
        <f>_xll.ICEHistory(M$4,Q$5,"DF[dow:12345][tl:Calendar]",$L237)</f>
        <v>19866</v>
      </c>
      <c r="R237">
        <f>_xll.ICEHistory(M$4,R$5,"DF[dow:12345][tl:Calendar]",$L237)</f>
        <v>295606</v>
      </c>
      <c r="S237">
        <f>_xll.ICEHistory(S$4,S$5,"DF[dow:12345][tl:Calendar]",$L237)</f>
        <v>35.090000000000003</v>
      </c>
      <c r="T237">
        <f>_xll.ICEHistory(S$4,T$5,"DF[dow:12345][tl:Calendar]",$L237)</f>
        <v>36.86</v>
      </c>
      <c r="U237">
        <f>_xll.ICEHistory(S$4,U$5,"DF[dow:12345][tl:Calendar]",$L237)</f>
        <v>33.984999999999999</v>
      </c>
      <c r="V237">
        <f>_xll.ICEHistory(S$4,V$5,"DF[dow:12345][tl:Calendar]",$L237)</f>
        <v>34.508000000000003</v>
      </c>
      <c r="W237">
        <f>_xll.ICEHistory(S$4,W$5,"DF[dow:12345][tl:Calendar]",$L237)</f>
        <v>1926</v>
      </c>
      <c r="X237">
        <f t="shared" si="9"/>
        <v>3.2508664993426542E-2</v>
      </c>
      <c r="Y237">
        <f t="shared" si="10"/>
        <v>0.56143209776729874</v>
      </c>
      <c r="Z237">
        <f t="shared" si="11"/>
        <v>0.17976870713381632</v>
      </c>
    </row>
    <row r="238" spans="12:26" x14ac:dyDescent="0.25">
      <c r="L238" s="4">
        <f>_xll.ICETimeline(_xll.ICEJoinRange(M4:W4),"DF[dow:12345][tl:Calendar]","2020-07-26;2024-07-26",813,-1)</f>
        <v>45176.5</v>
      </c>
      <c r="M238">
        <f>_xll.ICEHistory(M$4,M$5,"DF[dow:12345][tl:Calendar]",$L238)</f>
        <v>83.67</v>
      </c>
      <c r="N238">
        <f>_xll.ICEHistory(M$4,N$5,"DF[dow:12345][tl:Calendar]",$L238)</f>
        <v>84.29</v>
      </c>
      <c r="O238">
        <f>_xll.ICEHistory(M$4,O$5,"DF[dow:12345][tl:Calendar]",$L238)</f>
        <v>82.67</v>
      </c>
      <c r="P238">
        <f>_xll.ICEHistory(M$4,P$5,"DF[dow:12345][tl:Calendar]",$L238)</f>
        <v>83.29</v>
      </c>
      <c r="Q238">
        <f>_xll.ICEHistory(M$4,Q$5,"DF[dow:12345][tl:Calendar]",$L238)</f>
        <v>17273</v>
      </c>
      <c r="R238">
        <f>_xll.ICEHistory(M$4,R$5,"DF[dow:12345][tl:Calendar]",$L238)</f>
        <v>296115</v>
      </c>
      <c r="S238">
        <f>_xll.ICEHistory(S$4,S$5,"DF[dow:12345][tl:Calendar]",$L238)</f>
        <v>30.954999999999998</v>
      </c>
      <c r="T238">
        <f>_xll.ICEHistory(S$4,T$5,"DF[dow:12345][tl:Calendar]",$L238)</f>
        <v>33.11</v>
      </c>
      <c r="U238">
        <f>_xll.ICEHistory(S$4,U$5,"DF[dow:12345][tl:Calendar]",$L238)</f>
        <v>30.57</v>
      </c>
      <c r="V238">
        <f>_xll.ICEHistory(S$4,V$5,"DF[dow:12345][tl:Calendar]",$L238)</f>
        <v>32.755000000000003</v>
      </c>
      <c r="W238">
        <f>_xll.ICEHistory(S$4,W$5,"DF[dow:12345][tl:Calendar]",$L238)</f>
        <v>187</v>
      </c>
      <c r="X238">
        <f t="shared" si="9"/>
        <v>1.929720071471119E-2</v>
      </c>
      <c r="Y238">
        <f t="shared" si="10"/>
        <v>-0.9639181873416871</v>
      </c>
      <c r="Z238">
        <f t="shared" si="11"/>
        <v>-0.31636661184753567</v>
      </c>
    </row>
    <row r="239" spans="12:26" x14ac:dyDescent="0.25">
      <c r="L239" s="4">
        <f>_xll.ICETimeline(_xll.ICEJoinRange(M4:W4),"DF[dow:12345][tl:Calendar]","2020-07-26;2024-07-26",812,-1)</f>
        <v>45175.5</v>
      </c>
      <c r="M239">
        <f>_xll.ICEHistory(M$4,M$5,"DF[dow:12345][tl:Calendar]",$L239)</f>
        <v>83.95</v>
      </c>
      <c r="N239">
        <f>_xll.ICEHistory(M$4,N$5,"DF[dow:12345][tl:Calendar]",$L239)</f>
        <v>84.81</v>
      </c>
      <c r="O239">
        <f>_xll.ICEHistory(M$4,O$5,"DF[dow:12345][tl:Calendar]",$L239)</f>
        <v>83.09</v>
      </c>
      <c r="P239">
        <f>_xll.ICEHistory(M$4,P$5,"DF[dow:12345][tl:Calendar]",$L239)</f>
        <v>83.7</v>
      </c>
      <c r="Q239">
        <f>_xll.ICEHistory(M$4,Q$5,"DF[dow:12345][tl:Calendar]",$L239)</f>
        <v>18272</v>
      </c>
      <c r="R239">
        <f>_xll.ICEHistory(M$4,R$5,"DF[dow:12345][tl:Calendar]",$L239)</f>
        <v>295128</v>
      </c>
      <c r="S239">
        <f>_xll.ICEHistory(S$4,S$5,"DF[dow:12345][tl:Calendar]",$L239)</f>
        <v>33.68</v>
      </c>
      <c r="T239">
        <f>_xll.ICEHistory(S$4,T$5,"DF[dow:12345][tl:Calendar]",$L239)</f>
        <v>34.1</v>
      </c>
      <c r="U239">
        <f>_xll.ICEHistory(S$4,U$5,"DF[dow:12345][tl:Calendar]",$L239)</f>
        <v>30.8</v>
      </c>
      <c r="V239">
        <f>_xll.ICEHistory(S$4,V$5,"DF[dow:12345][tl:Calendar]",$L239)</f>
        <v>31.074999999999999</v>
      </c>
      <c r="W239">
        <f>_xll.ICEHistory(S$4,W$5,"DF[dow:12345][tl:Calendar]",$L239)</f>
        <v>2975</v>
      </c>
      <c r="X239">
        <f t="shared" si="9"/>
        <v>2.0432406747445935E-2</v>
      </c>
      <c r="Y239">
        <f t="shared" si="10"/>
        <v>-0.86000419488650559</v>
      </c>
      <c r="Z239">
        <f t="shared" si="11"/>
        <v>-0.13939003256837718</v>
      </c>
    </row>
    <row r="240" spans="12:26" x14ac:dyDescent="0.25">
      <c r="L240" s="4">
        <f>_xll.ICETimeline(_xll.ICEJoinRange(M4:W4),"DF[dow:12345][tl:Calendar]","2020-07-26;2024-07-26",811,-1)</f>
        <v>45174.5</v>
      </c>
      <c r="M240">
        <f>_xll.ICEHistory(M$4,M$5,"DF[dow:12345][tl:Calendar]",$L240)</f>
        <v>84.18</v>
      </c>
      <c r="N240">
        <f>_xll.ICEHistory(M$4,N$5,"DF[dow:12345][tl:Calendar]",$L240)</f>
        <v>84.81</v>
      </c>
      <c r="O240">
        <f>_xll.ICEHistory(M$4,O$5,"DF[dow:12345][tl:Calendar]",$L240)</f>
        <v>83.56</v>
      </c>
      <c r="P240">
        <f>_xll.ICEHistory(M$4,P$5,"DF[dow:12345][tl:Calendar]",$L240)</f>
        <v>83.91</v>
      </c>
      <c r="Q240">
        <f>_xll.ICEHistory(M$4,Q$5,"DF[dow:12345][tl:Calendar]",$L240)</f>
        <v>21166</v>
      </c>
      <c r="R240">
        <f>_xll.ICEHistory(M$4,R$5,"DF[dow:12345][tl:Calendar]",$L240)</f>
        <v>293464</v>
      </c>
      <c r="S240">
        <f>_xll.ICEHistory(S$4,S$5,"DF[dow:12345][tl:Calendar]",$L240)</f>
        <v>36.25</v>
      </c>
      <c r="T240">
        <f>_xll.ICEHistory(S$4,T$5,"DF[dow:12345][tl:Calendar]",$L240)</f>
        <v>37</v>
      </c>
      <c r="U240">
        <f>_xll.ICEHistory(S$4,U$5,"DF[dow:12345][tl:Calendar]",$L240)</f>
        <v>32.924999999999997</v>
      </c>
      <c r="V240">
        <f>_xll.ICEHistory(S$4,V$5,"DF[dow:12345][tl:Calendar]",$L240)</f>
        <v>34.448999999999998</v>
      </c>
      <c r="W240">
        <f>_xll.ICEHistory(S$4,W$5,"DF[dow:12345][tl:Calendar]",$L240)</f>
        <v>3024</v>
      </c>
      <c r="X240">
        <f t="shared" si="9"/>
        <v>1.459598318542737E-2</v>
      </c>
      <c r="Y240">
        <f t="shared" si="10"/>
        <v>-1.5132195830580202</v>
      </c>
      <c r="Z240">
        <f t="shared" si="11"/>
        <v>0.40993328564961257</v>
      </c>
    </row>
    <row r="241" spans="12:26" x14ac:dyDescent="0.25">
      <c r="L241" s="4">
        <f>_xll.ICETimeline(_xll.ICEJoinRange(M4:W4),"DF[dow:12345][tl:Calendar]","2020-07-26;2024-07-26",810,-1)</f>
        <v>45173.5</v>
      </c>
      <c r="M241">
        <f>_xll.ICEHistory(M$4,M$5,"DF[dow:12345][tl:Calendar]",$L241)</f>
        <v>85.64</v>
      </c>
      <c r="N241">
        <f>_xll.ICEHistory(M$4,N$5,"DF[dow:12345][tl:Calendar]",$L241)</f>
        <v>85.64</v>
      </c>
      <c r="O241">
        <f>_xll.ICEHistory(M$4,O$5,"DF[dow:12345][tl:Calendar]",$L241)</f>
        <v>83.75</v>
      </c>
      <c r="P241">
        <f>_xll.ICEHistory(M$4,P$5,"DF[dow:12345][tl:Calendar]",$L241)</f>
        <v>84.08</v>
      </c>
      <c r="Q241">
        <f>_xll.ICEHistory(M$4,Q$5,"DF[dow:12345][tl:Calendar]",$L241)</f>
        <v>16284</v>
      </c>
      <c r="R241">
        <f>_xll.ICEHistory(M$4,R$5,"DF[dow:12345][tl:Calendar]",$L241)</f>
        <v>292444</v>
      </c>
      <c r="S241">
        <f>_xll.ICEHistory(S$4,S$5,"DF[dow:12345][tl:Calendar]",$L241)</f>
        <v>35.75</v>
      </c>
      <c r="T241">
        <f>_xll.ICEHistory(S$4,T$5,"DF[dow:12345][tl:Calendar]",$L241)</f>
        <v>37.155000000000001</v>
      </c>
      <c r="U241">
        <f>_xll.ICEHistory(S$4,U$5,"DF[dow:12345][tl:Calendar]",$L241)</f>
        <v>34.314999999999998</v>
      </c>
      <c r="V241">
        <f>_xll.ICEHistory(S$4,V$5,"DF[dow:12345][tl:Calendar]",$L241)</f>
        <v>35.616999999999997</v>
      </c>
      <c r="W241">
        <f>_xll.ICEHistory(S$4,W$5,"DF[dow:12345][tl:Calendar]",$L241)</f>
        <v>0</v>
      </c>
      <c r="X241">
        <f t="shared" si="9"/>
        <v>2.1971634503603822E-2</v>
      </c>
      <c r="Y241">
        <f t="shared" si="10"/>
        <v>-0.7567217456620744</v>
      </c>
      <c r="Z241">
        <f t="shared" si="11"/>
        <v>-0.54091429903171884</v>
      </c>
    </row>
    <row r="242" spans="12:26" x14ac:dyDescent="0.25">
      <c r="L242" s="4">
        <f>_xll.ICETimeline(_xll.ICEJoinRange(M4:W4),"DF[dow:12345][tl:Calendar]","2020-07-26;2024-07-26",809,-1)</f>
        <v>45170.5</v>
      </c>
      <c r="M242">
        <f>_xll.ICEHistory(M$4,M$5,"DF[dow:12345][tl:Calendar]",$L242)</f>
        <v>86.02</v>
      </c>
      <c r="N242">
        <f>_xll.ICEHistory(M$4,N$5,"DF[dow:12345][tl:Calendar]",$L242)</f>
        <v>86.4</v>
      </c>
      <c r="O242">
        <f>_xll.ICEHistory(M$4,O$5,"DF[dow:12345][tl:Calendar]",$L242)</f>
        <v>85</v>
      </c>
      <c r="P242">
        <f>_xll.ICEHistory(M$4,P$5,"DF[dow:12345][tl:Calendar]",$L242)</f>
        <v>85.64</v>
      </c>
      <c r="Q242">
        <f>_xll.ICEHistory(M$4,Q$5,"DF[dow:12345][tl:Calendar]",$L242)</f>
        <v>14352</v>
      </c>
      <c r="R242">
        <f>_xll.ICEHistory(M$4,R$5,"DF[dow:12345][tl:Calendar]",$L242)</f>
        <v>289890</v>
      </c>
      <c r="S242">
        <f>_xll.ICEHistory(S$4,S$5,"DF[dow:12345][tl:Calendar]",$L242)</f>
        <v>35.75</v>
      </c>
      <c r="T242">
        <f>_xll.ICEHistory(S$4,T$5,"DF[dow:12345][tl:Calendar]",$L242)</f>
        <v>37.155000000000001</v>
      </c>
      <c r="U242">
        <f>_xll.ICEHistory(S$4,U$5,"DF[dow:12345][tl:Calendar]",$L242)</f>
        <v>34.314999999999998</v>
      </c>
      <c r="V242">
        <f>_xll.ICEHistory(S$4,V$5,"DF[dow:12345][tl:Calendar]",$L242)</f>
        <v>35.616999999999997</v>
      </c>
      <c r="W242">
        <f>_xll.ICEHistory(S$4,W$5,"DF[dow:12345][tl:Calendar]",$L242)</f>
        <v>3052</v>
      </c>
      <c r="X242">
        <f t="shared" si="9"/>
        <v>1.6277177072433504E-2</v>
      </c>
      <c r="Y242">
        <f t="shared" si="10"/>
        <v>-1.2997322342140181</v>
      </c>
      <c r="Z242">
        <f t="shared" si="11"/>
        <v>-0.91768385107248507</v>
      </c>
    </row>
    <row r="243" spans="12:26" x14ac:dyDescent="0.25">
      <c r="L243" s="4">
        <f>_xll.ICETimeline(_xll.ICEJoinRange(M4:W4),"DF[dow:12345][tl:Calendar]","2020-07-26;2024-07-26",808,-1)</f>
        <v>45169.5</v>
      </c>
      <c r="M243">
        <f>_xll.ICEHistory(M$4,M$5,"DF[dow:12345][tl:Calendar]",$L243)</f>
        <v>86.01</v>
      </c>
      <c r="N243">
        <f>_xll.ICEHistory(M$4,N$5,"DF[dow:12345][tl:Calendar]",$L243)</f>
        <v>87.3</v>
      </c>
      <c r="O243">
        <f>_xll.ICEHistory(M$4,O$5,"DF[dow:12345][tl:Calendar]",$L243)</f>
        <v>85.57</v>
      </c>
      <c r="P243">
        <f>_xll.ICEHistory(M$4,P$5,"DF[dow:12345][tl:Calendar]",$L243)</f>
        <v>86.03</v>
      </c>
      <c r="Q243">
        <f>_xll.ICEHistory(M$4,Q$5,"DF[dow:12345][tl:Calendar]",$L243)</f>
        <v>13640</v>
      </c>
      <c r="R243">
        <f>_xll.ICEHistory(M$4,R$5,"DF[dow:12345][tl:Calendar]",$L243)</f>
        <v>289505</v>
      </c>
      <c r="S243">
        <f>_xll.ICEHistory(S$4,S$5,"DF[dow:12345][tl:Calendar]",$L243)</f>
        <v>39</v>
      </c>
      <c r="T243">
        <f>_xll.ICEHistory(S$4,T$5,"DF[dow:12345][tl:Calendar]",$L243)</f>
        <v>39</v>
      </c>
      <c r="U243">
        <f>_xll.ICEHistory(S$4,U$5,"DF[dow:12345][tl:Calendar]",$L243)</f>
        <v>34.82</v>
      </c>
      <c r="V243">
        <f>_xll.ICEHistory(S$4,V$5,"DF[dow:12345][tl:Calendar]",$L243)</f>
        <v>35.029000000000003</v>
      </c>
      <c r="W243">
        <f>_xll.ICEHistory(S$4,W$5,"DF[dow:12345][tl:Calendar]",$L243)</f>
        <v>2848</v>
      </c>
      <c r="X243">
        <f t="shared" si="9"/>
        <v>2.0350546994471284E-2</v>
      </c>
      <c r="Y243">
        <f t="shared" si="10"/>
        <v>-0.92636675845359784</v>
      </c>
      <c r="Z243">
        <f t="shared" si="11"/>
        <v>-1.0772663209840916</v>
      </c>
    </row>
    <row r="244" spans="12:26" x14ac:dyDescent="0.25">
      <c r="L244" s="4">
        <f>_xll.ICETimeline(_xll.ICEJoinRange(M4:W4),"DF[dow:12345][tl:Calendar]","2020-07-26;2024-07-26",807,-1)</f>
        <v>45168.5</v>
      </c>
      <c r="M244">
        <f>_xll.ICEHistory(M$4,M$5,"DF[dow:12345][tl:Calendar]",$L244)</f>
        <v>85.01</v>
      </c>
      <c r="N244">
        <f>_xll.ICEHistory(M$4,N$5,"DF[dow:12345][tl:Calendar]",$L244)</f>
        <v>86.7</v>
      </c>
      <c r="O244">
        <f>_xll.ICEHistory(M$4,O$5,"DF[dow:12345][tl:Calendar]",$L244)</f>
        <v>84.63</v>
      </c>
      <c r="P244">
        <f>_xll.ICEHistory(M$4,P$5,"DF[dow:12345][tl:Calendar]",$L244)</f>
        <v>86</v>
      </c>
      <c r="Q244">
        <f>_xll.ICEHistory(M$4,Q$5,"DF[dow:12345][tl:Calendar]",$L244)</f>
        <v>16779</v>
      </c>
      <c r="R244">
        <f>_xll.ICEHistory(M$4,R$5,"DF[dow:12345][tl:Calendar]",$L244)</f>
        <v>290520</v>
      </c>
      <c r="S244">
        <f>_xll.ICEHistory(S$4,S$5,"DF[dow:12345][tl:Calendar]",$L244)</f>
        <v>34.424999999999997</v>
      </c>
      <c r="T244">
        <f>_xll.ICEHistory(S$4,T$5,"DF[dow:12345][tl:Calendar]",$L244)</f>
        <v>36.1</v>
      </c>
      <c r="U244">
        <f>_xll.ICEHistory(S$4,U$5,"DF[dow:12345][tl:Calendar]",$L244)</f>
        <v>34.424999999999997</v>
      </c>
      <c r="V244">
        <f>_xll.ICEHistory(S$4,V$5,"DF[dow:12345][tl:Calendar]",$L244)</f>
        <v>35.991999999999997</v>
      </c>
      <c r="W244">
        <f>_xll.ICEHistory(S$4,W$5,"DF[dow:12345][tl:Calendar]",$L244)</f>
        <v>3143</v>
      </c>
      <c r="X244">
        <f t="shared" si="9"/>
        <v>2.4148390107326265E-2</v>
      </c>
      <c r="Y244">
        <f t="shared" si="10"/>
        <v>-0.57353760199901538</v>
      </c>
      <c r="Z244">
        <f t="shared" si="11"/>
        <v>-0.51992854499136631</v>
      </c>
    </row>
    <row r="245" spans="12:26" x14ac:dyDescent="0.25">
      <c r="L245" s="4">
        <f>_xll.ICETimeline(_xll.ICEJoinRange(M4:W4),"DF[dow:12345][tl:Calendar]","2020-07-26;2024-07-26",806,-1)</f>
        <v>45167.5</v>
      </c>
      <c r="M245">
        <f>_xll.ICEHistory(M$4,M$5,"DF[dow:12345][tl:Calendar]",$L245)</f>
        <v>85.72</v>
      </c>
      <c r="N245">
        <f>_xll.ICEHistory(M$4,N$5,"DF[dow:12345][tl:Calendar]",$L245)</f>
        <v>86.79</v>
      </c>
      <c r="O245">
        <f>_xll.ICEHistory(M$4,O$5,"DF[dow:12345][tl:Calendar]",$L245)</f>
        <v>84.52</v>
      </c>
      <c r="P245">
        <f>_xll.ICEHistory(M$4,P$5,"DF[dow:12345][tl:Calendar]",$L245)</f>
        <v>85</v>
      </c>
      <c r="Q245">
        <f>_xll.ICEHistory(M$4,Q$5,"DF[dow:12345][tl:Calendar]",$L245)</f>
        <v>15342</v>
      </c>
      <c r="R245">
        <f>_xll.ICEHistory(M$4,R$5,"DF[dow:12345][tl:Calendar]",$L245)</f>
        <v>290511</v>
      </c>
      <c r="S245">
        <f>_xll.ICEHistory(S$4,S$5,"DF[dow:12345][tl:Calendar]",$L245)</f>
        <v>36.884999999999998</v>
      </c>
      <c r="T245">
        <f>_xll.ICEHistory(S$4,T$5,"DF[dow:12345][tl:Calendar]",$L245)</f>
        <v>36.884999999999998</v>
      </c>
      <c r="U245">
        <f>_xll.ICEHistory(S$4,U$5,"DF[dow:12345][tl:Calendar]",$L245)</f>
        <v>34.805</v>
      </c>
      <c r="V245">
        <f>_xll.ICEHistory(S$4,V$5,"DF[dow:12345][tl:Calendar]",$L245)</f>
        <v>35.195</v>
      </c>
      <c r="W245">
        <f>_xll.ICEHistory(S$4,W$5,"DF[dow:12345][tl:Calendar]",$L245)</f>
        <v>1953</v>
      </c>
      <c r="X245">
        <f t="shared" si="9"/>
        <v>2.6611957796014187E-2</v>
      </c>
      <c r="Y245">
        <f t="shared" si="10"/>
        <v>-0.34174949572936469</v>
      </c>
      <c r="Z245">
        <f t="shared" si="11"/>
        <v>-0.80752094138076014</v>
      </c>
    </row>
    <row r="246" spans="12:26" x14ac:dyDescent="0.25">
      <c r="L246" s="4">
        <f>_xll.ICETimeline(_xll.ICEJoinRange(M4:W4),"DF[dow:12345][tl:Calendar]","2020-07-26;2024-07-26",805,-1)</f>
        <v>45166.5</v>
      </c>
      <c r="M246">
        <f>_xll.ICEHistory(M$4,M$5,"DF[dow:12345][tl:Calendar]",$L246)</f>
        <v>85.3</v>
      </c>
      <c r="N246">
        <f>_xll.ICEHistory(M$4,N$5,"DF[dow:12345][tl:Calendar]",$L246)</f>
        <v>86.5</v>
      </c>
      <c r="O246">
        <f>_xll.ICEHistory(M$4,O$5,"DF[dow:12345][tl:Calendar]",$L246)</f>
        <v>84.75</v>
      </c>
      <c r="P246">
        <f>_xll.ICEHistory(M$4,P$5,"DF[dow:12345][tl:Calendar]",$L246)</f>
        <v>85.6</v>
      </c>
      <c r="Q246">
        <f>_xll.ICEHistory(M$4,Q$5,"DF[dow:12345][tl:Calendar]",$L246)</f>
        <v>9092</v>
      </c>
      <c r="R246">
        <f>_xll.ICEHistory(M$4,R$5,"DF[dow:12345][tl:Calendar]",$L246)</f>
        <v>289825</v>
      </c>
      <c r="S246">
        <f>_xll.ICEHistory(S$4,S$5,"DF[dow:12345][tl:Calendar]",$L246)</f>
        <v>35.494999999999997</v>
      </c>
      <c r="T246">
        <f>_xll.ICEHistory(S$4,T$5,"DF[dow:12345][tl:Calendar]",$L246)</f>
        <v>38.479999999999997</v>
      </c>
      <c r="U246">
        <f>_xll.ICEHistory(S$4,U$5,"DF[dow:12345][tl:Calendar]",$L246)</f>
        <v>35.494999999999997</v>
      </c>
      <c r="V246">
        <f>_xll.ICEHistory(S$4,V$5,"DF[dow:12345][tl:Calendar]",$L246)</f>
        <v>38.414000000000001</v>
      </c>
      <c r="W246">
        <f>_xll.ICEHistory(S$4,W$5,"DF[dow:12345][tl:Calendar]",$L246)</f>
        <v>105</v>
      </c>
      <c r="X246">
        <f t="shared" si="9"/>
        <v>2.0573712673407005E-2</v>
      </c>
      <c r="Y246">
        <f t="shared" si="10"/>
        <v>-0.95675748260187277</v>
      </c>
      <c r="Z246">
        <f t="shared" si="11"/>
        <v>-1.8332391477792316</v>
      </c>
    </row>
    <row r="247" spans="12:26" x14ac:dyDescent="0.25">
      <c r="L247" s="4">
        <f>_xll.ICETimeline(_xll.ICEJoinRange(M4:W4),"DF[dow:12345][tl:Calendar]","2020-07-26;2024-07-26",804,-1)</f>
        <v>45163.5</v>
      </c>
      <c r="M247">
        <f>_xll.ICEHistory(M$4,M$5,"DF[dow:12345][tl:Calendar]",$L247)</f>
        <v>85.06</v>
      </c>
      <c r="N247">
        <f>_xll.ICEHistory(M$4,N$5,"DF[dow:12345][tl:Calendar]",$L247)</f>
        <v>86.5</v>
      </c>
      <c r="O247">
        <f>_xll.ICEHistory(M$4,O$5,"DF[dow:12345][tl:Calendar]",$L247)</f>
        <v>84.5</v>
      </c>
      <c r="P247">
        <f>_xll.ICEHistory(M$4,P$5,"DF[dow:12345][tl:Calendar]",$L247)</f>
        <v>85.25</v>
      </c>
      <c r="Q247">
        <f>_xll.ICEHistory(M$4,Q$5,"DF[dow:12345][tl:Calendar]",$L247)</f>
        <v>15061</v>
      </c>
      <c r="R247">
        <f>_xll.ICEHistory(M$4,R$5,"DF[dow:12345][tl:Calendar]",$L247)</f>
        <v>289588</v>
      </c>
      <c r="S247">
        <f>_xll.ICEHistory(S$4,S$5,"DF[dow:12345][tl:Calendar]",$L247)</f>
        <v>34.299999999999997</v>
      </c>
      <c r="T247">
        <f>_xll.ICEHistory(S$4,T$5,"DF[dow:12345][tl:Calendar]",$L247)</f>
        <v>35.700000000000003</v>
      </c>
      <c r="U247">
        <f>_xll.ICEHistory(S$4,U$5,"DF[dow:12345][tl:Calendar]",$L247)</f>
        <v>33.56</v>
      </c>
      <c r="V247">
        <f>_xll.ICEHistory(S$4,V$5,"DF[dow:12345][tl:Calendar]",$L247)</f>
        <v>34.777000000000001</v>
      </c>
      <c r="W247">
        <f>_xll.ICEHistory(S$4,W$5,"DF[dow:12345][tl:Calendar]",$L247)</f>
        <v>449</v>
      </c>
      <c r="X247">
        <f t="shared" si="9"/>
        <v>2.2870211549456832E-2</v>
      </c>
      <c r="Y247">
        <f t="shared" si="10"/>
        <v>-0.73151192589822533</v>
      </c>
      <c r="Z247">
        <f t="shared" si="11"/>
        <v>-0.83551674220896266</v>
      </c>
    </row>
    <row r="248" spans="12:26" x14ac:dyDescent="0.25">
      <c r="L248" s="4">
        <f>_xll.ICETimeline(_xll.ICEJoinRange(M4:W4),"DF[dow:12345][tl:Calendar]","2020-07-26;2024-07-26",803,-1)</f>
        <v>45162.5</v>
      </c>
      <c r="M248">
        <f>_xll.ICEHistory(M$4,M$5,"DF[dow:12345][tl:Calendar]",$L248)</f>
        <v>87.45</v>
      </c>
      <c r="N248">
        <f>_xll.ICEHistory(M$4,N$5,"DF[dow:12345][tl:Calendar]",$L248)</f>
        <v>87.45</v>
      </c>
      <c r="O248">
        <f>_xll.ICEHistory(M$4,O$5,"DF[dow:12345][tl:Calendar]",$L248)</f>
        <v>85.09</v>
      </c>
      <c r="P248">
        <f>_xll.ICEHistory(M$4,P$5,"DF[dow:12345][tl:Calendar]",$L248)</f>
        <v>85.21</v>
      </c>
      <c r="Q248">
        <f>_xll.ICEHistory(M$4,Q$5,"DF[dow:12345][tl:Calendar]",$L248)</f>
        <v>21549</v>
      </c>
      <c r="R248">
        <f>_xll.ICEHistory(M$4,R$5,"DF[dow:12345][tl:Calendar]",$L248)</f>
        <v>289316</v>
      </c>
      <c r="S248">
        <f>_xll.ICEHistory(S$4,S$5,"DF[dow:12345][tl:Calendar]",$L248)</f>
        <v>33.164999999999999</v>
      </c>
      <c r="T248">
        <f>_xll.ICEHistory(S$4,T$5,"DF[dow:12345][tl:Calendar]",$L248)</f>
        <v>33.479999999999997</v>
      </c>
      <c r="U248">
        <f>_xll.ICEHistory(S$4,U$5,"DF[dow:12345][tl:Calendar]",$L248)</f>
        <v>31.725000000000001</v>
      </c>
      <c r="V248">
        <f>_xll.ICEHistory(S$4,V$5,"DF[dow:12345][tl:Calendar]",$L248)</f>
        <v>31.937999999999999</v>
      </c>
      <c r="W248">
        <f>_xll.ICEHistory(S$4,W$5,"DF[dow:12345][tl:Calendar]",$L248)</f>
        <v>499</v>
      </c>
      <c r="X248">
        <f t="shared" si="9"/>
        <v>2.6233881725211201E-2</v>
      </c>
      <c r="Y248">
        <f t="shared" si="10"/>
        <v>-0.3836293980147476</v>
      </c>
      <c r="Z248">
        <f t="shared" si="11"/>
        <v>0.30224571981728715</v>
      </c>
    </row>
    <row r="249" spans="12:26" x14ac:dyDescent="0.25">
      <c r="L249" s="4">
        <f>_xll.ICETimeline(_xll.ICEJoinRange(M4:W4),"DF[dow:12345][tl:Calendar]","2020-07-26;2024-07-26",802,-1)</f>
        <v>45161.5</v>
      </c>
      <c r="M249">
        <f>_xll.ICEHistory(M$4,M$5,"DF[dow:12345][tl:Calendar]",$L249)</f>
        <v>89.96</v>
      </c>
      <c r="N249">
        <f>_xll.ICEHistory(M$4,N$5,"DF[dow:12345][tl:Calendar]",$L249)</f>
        <v>90.24</v>
      </c>
      <c r="O249">
        <f>_xll.ICEHistory(M$4,O$5,"DF[dow:12345][tl:Calendar]",$L249)</f>
        <v>87.35</v>
      </c>
      <c r="P249">
        <f>_xll.ICEHistory(M$4,P$5,"DF[dow:12345][tl:Calendar]",$L249)</f>
        <v>88</v>
      </c>
      <c r="Q249">
        <f>_xll.ICEHistory(M$4,Q$5,"DF[dow:12345][tl:Calendar]",$L249)</f>
        <v>21917</v>
      </c>
      <c r="R249">
        <f>_xll.ICEHistory(M$4,R$5,"DF[dow:12345][tl:Calendar]",$L249)</f>
        <v>287644</v>
      </c>
      <c r="S249">
        <f>_xll.ICEHistory(S$4,S$5,"DF[dow:12345][tl:Calendar]",$L249)</f>
        <v>41.65</v>
      </c>
      <c r="T249">
        <f>_xll.ICEHistory(S$4,T$5,"DF[dow:12345][tl:Calendar]",$L249)</f>
        <v>42.494999999999997</v>
      </c>
      <c r="U249">
        <f>_xll.ICEHistory(S$4,U$5,"DF[dow:12345][tl:Calendar]",$L249)</f>
        <v>36.475000000000001</v>
      </c>
      <c r="V249">
        <f>_xll.ICEHistory(S$4,V$5,"DF[dow:12345][tl:Calendar]",$L249)</f>
        <v>36.786000000000001</v>
      </c>
      <c r="W249">
        <f>_xll.ICEHistory(S$4,W$5,"DF[dow:12345][tl:Calendar]",$L249)</f>
        <v>719</v>
      </c>
      <c r="X249">
        <f t="shared" si="9"/>
        <v>3.2923217133743458E-2</v>
      </c>
      <c r="Y249">
        <f t="shared" si="10"/>
        <v>0.27292935116872258</v>
      </c>
      <c r="Z249">
        <f t="shared" si="11"/>
        <v>0.38035150229549858</v>
      </c>
    </row>
    <row r="250" spans="12:26" x14ac:dyDescent="0.25">
      <c r="L250" s="4">
        <f>_xll.ICETimeline(_xll.ICEJoinRange(M4:W4),"DF[dow:12345][tl:Calendar]","2020-07-26;2024-07-26",801,-1)</f>
        <v>45160.5</v>
      </c>
      <c r="M250">
        <f>_xll.ICEHistory(M$4,M$5,"DF[dow:12345][tl:Calendar]",$L250)</f>
        <v>87.78</v>
      </c>
      <c r="N250">
        <f>_xll.ICEHistory(M$4,N$5,"DF[dow:12345][tl:Calendar]",$L250)</f>
        <v>90.44</v>
      </c>
      <c r="O250">
        <f>_xll.ICEHistory(M$4,O$5,"DF[dow:12345][tl:Calendar]",$L250)</f>
        <v>87.76</v>
      </c>
      <c r="P250">
        <f>_xll.ICEHistory(M$4,P$5,"DF[dow:12345][tl:Calendar]",$L250)</f>
        <v>90.01</v>
      </c>
      <c r="Q250">
        <f>_xll.ICEHistory(M$4,Q$5,"DF[dow:12345][tl:Calendar]",$L250)</f>
        <v>21214</v>
      </c>
      <c r="R250">
        <f>_xll.ICEHistory(M$4,R$5,"DF[dow:12345][tl:Calendar]",$L250)</f>
        <v>287456</v>
      </c>
      <c r="S250">
        <f>_xll.ICEHistory(S$4,S$5,"DF[dow:12345][tl:Calendar]",$L250)</f>
        <v>39.354999999999997</v>
      </c>
      <c r="T250">
        <f>_xll.ICEHistory(S$4,T$5,"DF[dow:12345][tl:Calendar]",$L250)</f>
        <v>44.7</v>
      </c>
      <c r="U250">
        <f>_xll.ICEHistory(S$4,U$5,"DF[dow:12345][tl:Calendar]",$L250)</f>
        <v>39.354999999999997</v>
      </c>
      <c r="V250">
        <f>_xll.ICEHistory(S$4,V$5,"DF[dow:12345][tl:Calendar]",$L250)</f>
        <v>42.908000000000001</v>
      </c>
      <c r="W250">
        <f>_xll.ICEHistory(S$4,W$5,"DF[dow:12345][tl:Calendar]",$L250)</f>
        <v>5920</v>
      </c>
      <c r="X250">
        <f t="shared" si="9"/>
        <v>3.0265386787125835E-2</v>
      </c>
      <c r="Y250">
        <f t="shared" si="10"/>
        <v>3.0094138246109372E-2</v>
      </c>
      <c r="Z250">
        <f t="shared" si="11"/>
        <v>0.26649671308429818</v>
      </c>
    </row>
    <row r="251" spans="12:26" x14ac:dyDescent="0.25">
      <c r="L251" s="4">
        <f>_xll.ICETimeline(_xll.ICEJoinRange(M4:W4),"DF[dow:12345][tl:Calendar]","2020-07-26;2024-07-26",800,-1)</f>
        <v>45159.5</v>
      </c>
      <c r="M251">
        <f>_xll.ICEHistory(M$4,M$5,"DF[dow:12345][tl:Calendar]",$L251)</f>
        <v>88.55</v>
      </c>
      <c r="N251">
        <f>_xll.ICEHistory(M$4,N$5,"DF[dow:12345][tl:Calendar]",$L251)</f>
        <v>88.71</v>
      </c>
      <c r="O251">
        <f>_xll.ICEHistory(M$4,O$5,"DF[dow:12345][tl:Calendar]",$L251)</f>
        <v>86.86</v>
      </c>
      <c r="P251">
        <f>_xll.ICEHistory(M$4,P$5,"DF[dow:12345][tl:Calendar]",$L251)</f>
        <v>87.85</v>
      </c>
      <c r="Q251">
        <f>_xll.ICEHistory(M$4,Q$5,"DF[dow:12345][tl:Calendar]",$L251)</f>
        <v>12815</v>
      </c>
      <c r="R251">
        <f>_xll.ICEHistory(M$4,R$5,"DF[dow:12345][tl:Calendar]",$L251)</f>
        <v>287750</v>
      </c>
      <c r="S251">
        <f>_xll.ICEHistory(S$4,S$5,"DF[dow:12345][tl:Calendar]",$L251)</f>
        <v>38.575000000000003</v>
      </c>
      <c r="T251">
        <f>_xll.ICEHistory(S$4,T$5,"DF[dow:12345][tl:Calendar]",$L251)</f>
        <v>40.869999999999997</v>
      </c>
      <c r="U251">
        <f>_xll.ICEHistory(S$4,U$5,"DF[dow:12345][tl:Calendar]",$L251)</f>
        <v>38.479999999999997</v>
      </c>
      <c r="V251">
        <f>_xll.ICEHistory(S$4,V$5,"DF[dow:12345][tl:Calendar]",$L251)</f>
        <v>40.781999999999996</v>
      </c>
      <c r="W251">
        <f>_xll.ICEHistory(S$4,W$5,"DF[dow:12345][tl:Calendar]",$L251)</f>
        <v>430</v>
      </c>
      <c r="X251">
        <f t="shared" si="9"/>
        <v>2.083333333333327E-2</v>
      </c>
      <c r="Y251">
        <f t="shared" si="10"/>
        <v>-0.88991518007419779</v>
      </c>
      <c r="Z251">
        <f t="shared" si="11"/>
        <v>-1.2274068632554054</v>
      </c>
    </row>
    <row r="252" spans="12:26" x14ac:dyDescent="0.25">
      <c r="L252" s="4">
        <f>_xll.ICETimeline(_xll.ICEJoinRange(M4:W4),"DF[dow:12345][tl:Calendar]","2020-07-26;2024-07-26",799,-1)</f>
        <v>45156.5</v>
      </c>
      <c r="M252">
        <f>_xll.ICEHistory(M$4,M$5,"DF[dow:12345][tl:Calendar]",$L252)</f>
        <v>88.8</v>
      </c>
      <c r="N252">
        <f>_xll.ICEHistory(M$4,N$5,"DF[dow:12345][tl:Calendar]",$L252)</f>
        <v>89.09</v>
      </c>
      <c r="O252">
        <f>_xll.ICEHistory(M$4,O$5,"DF[dow:12345][tl:Calendar]",$L252)</f>
        <v>87.27</v>
      </c>
      <c r="P252">
        <f>_xll.ICEHistory(M$4,P$5,"DF[dow:12345][tl:Calendar]",$L252)</f>
        <v>88.05</v>
      </c>
      <c r="Q252">
        <f>_xll.ICEHistory(M$4,Q$5,"DF[dow:12345][tl:Calendar]",$L252)</f>
        <v>14205</v>
      </c>
      <c r="R252">
        <f>_xll.ICEHistory(M$4,R$5,"DF[dow:12345][tl:Calendar]",$L252)</f>
        <v>287371</v>
      </c>
      <c r="S252">
        <f>_xll.ICEHistory(S$4,S$5,"DF[dow:12345][tl:Calendar]",$L252)</f>
        <v>36.265000000000001</v>
      </c>
      <c r="T252">
        <f>_xll.ICEHistory(S$4,T$5,"DF[dow:12345][tl:Calendar]",$L252)</f>
        <v>37.75</v>
      </c>
      <c r="U252">
        <f>_xll.ICEHistory(S$4,U$5,"DF[dow:12345][tl:Calendar]",$L252)</f>
        <v>35.685000000000002</v>
      </c>
      <c r="V252">
        <f>_xll.ICEHistory(S$4,V$5,"DF[dow:12345][tl:Calendar]",$L252)</f>
        <v>36.409999999999997</v>
      </c>
      <c r="W252">
        <f>_xll.ICEHistory(S$4,W$5,"DF[dow:12345][tl:Calendar]",$L252)</f>
        <v>545</v>
      </c>
      <c r="X252">
        <f t="shared" si="9"/>
        <v>2.054407946720857E-2</v>
      </c>
      <c r="Y252">
        <f t="shared" si="10"/>
        <v>-0.94409064638477425</v>
      </c>
      <c r="Z252">
        <f t="shared" si="11"/>
        <v>-0.98678580664772075</v>
      </c>
    </row>
    <row r="253" spans="12:26" x14ac:dyDescent="0.25">
      <c r="L253" s="4">
        <f>_xll.ICETimeline(_xll.ICEJoinRange(M4:W4),"DF[dow:12345][tl:Calendar]","2020-07-26;2024-07-26",798,-1)</f>
        <v>45155.5</v>
      </c>
      <c r="M253">
        <f>_xll.ICEHistory(M$4,M$5,"DF[dow:12345][tl:Calendar]",$L253)</f>
        <v>88.59</v>
      </c>
      <c r="N253">
        <f>_xll.ICEHistory(M$4,N$5,"DF[dow:12345][tl:Calendar]",$L253)</f>
        <v>89.87</v>
      </c>
      <c r="O253">
        <f>_xll.ICEHistory(M$4,O$5,"DF[dow:12345][tl:Calendar]",$L253)</f>
        <v>87.7</v>
      </c>
      <c r="P253">
        <f>_xll.ICEHistory(M$4,P$5,"DF[dow:12345][tl:Calendar]",$L253)</f>
        <v>88.85</v>
      </c>
      <c r="Q253">
        <f>_xll.ICEHistory(M$4,Q$5,"DF[dow:12345][tl:Calendar]",$L253)</f>
        <v>16867</v>
      </c>
      <c r="R253">
        <f>_xll.ICEHistory(M$4,R$5,"DF[dow:12345][tl:Calendar]",$L253)</f>
        <v>287265</v>
      </c>
      <c r="S253">
        <f>_xll.ICEHistory(S$4,S$5,"DF[dow:12345][tl:Calendar]",$L253)</f>
        <v>37.15</v>
      </c>
      <c r="T253">
        <f>_xll.ICEHistory(S$4,T$5,"DF[dow:12345][tl:Calendar]",$L253)</f>
        <v>39.325000000000003</v>
      </c>
      <c r="U253">
        <f>_xll.ICEHistory(S$4,U$5,"DF[dow:12345][tl:Calendar]",$L253)</f>
        <v>36.325000000000003</v>
      </c>
      <c r="V253">
        <f>_xll.ICEHistory(S$4,V$5,"DF[dow:12345][tl:Calendar]",$L253)</f>
        <v>36.825000000000003</v>
      </c>
      <c r="W253">
        <f>_xll.ICEHistory(S$4,W$5,"DF[dow:12345][tl:Calendar]",$L253)</f>
        <v>594</v>
      </c>
      <c r="X253">
        <f t="shared" si="9"/>
        <v>2.498560736902708E-2</v>
      </c>
      <c r="Y253">
        <f t="shared" si="10"/>
        <v>-0.50907995555993868</v>
      </c>
      <c r="Z253">
        <f t="shared" si="11"/>
        <v>-0.49490739547607604</v>
      </c>
    </row>
    <row r="254" spans="12:26" x14ac:dyDescent="0.25">
      <c r="L254" s="4">
        <f>_xll.ICETimeline(_xll.ICEJoinRange(M4:W4),"DF[dow:12345][tl:Calendar]","2020-07-26;2024-07-26",797,-1)</f>
        <v>45154.5</v>
      </c>
      <c r="M254">
        <f>_xll.ICEHistory(M$4,M$5,"DF[dow:12345][tl:Calendar]",$L254)</f>
        <v>86.85</v>
      </c>
      <c r="N254">
        <f>_xll.ICEHistory(M$4,N$5,"DF[dow:12345][tl:Calendar]",$L254)</f>
        <v>88.89</v>
      </c>
      <c r="O254">
        <f>_xll.ICEHistory(M$4,O$5,"DF[dow:12345][tl:Calendar]",$L254)</f>
        <v>86.85</v>
      </c>
      <c r="P254">
        <f>_xll.ICEHistory(M$4,P$5,"DF[dow:12345][tl:Calendar]",$L254)</f>
        <v>88.58</v>
      </c>
      <c r="Q254">
        <f>_xll.ICEHistory(M$4,Q$5,"DF[dow:12345][tl:Calendar]",$L254)</f>
        <v>18010</v>
      </c>
      <c r="R254">
        <f>_xll.ICEHistory(M$4,R$5,"DF[dow:12345][tl:Calendar]",$L254)</f>
        <v>287412</v>
      </c>
      <c r="S254">
        <f>_xll.ICEHistory(S$4,S$5,"DF[dow:12345][tl:Calendar]",$L254)</f>
        <v>41.83</v>
      </c>
      <c r="T254">
        <f>_xll.ICEHistory(S$4,T$5,"DF[dow:12345][tl:Calendar]",$L254)</f>
        <v>41.83</v>
      </c>
      <c r="U254">
        <f>_xll.ICEHistory(S$4,U$5,"DF[dow:12345][tl:Calendar]",$L254)</f>
        <v>37.159999999999997</v>
      </c>
      <c r="V254">
        <f>_xll.ICEHistory(S$4,V$5,"DF[dow:12345][tl:Calendar]",$L254)</f>
        <v>37.783999999999999</v>
      </c>
      <c r="W254">
        <f>_xll.ICEHistory(S$4,W$5,"DF[dow:12345][tl:Calendar]",$L254)</f>
        <v>1424</v>
      </c>
      <c r="X254">
        <f t="shared" si="9"/>
        <v>2.3118766999093453E-2</v>
      </c>
      <c r="Y254">
        <f t="shared" si="10"/>
        <v>-0.69482679551012305</v>
      </c>
      <c r="Z254">
        <f t="shared" si="11"/>
        <v>-0.28080935061779477</v>
      </c>
    </row>
    <row r="255" spans="12:26" x14ac:dyDescent="0.25">
      <c r="L255" s="4">
        <f>_xll.ICETimeline(_xll.ICEJoinRange(M4:W4),"DF[dow:12345][tl:Calendar]","2020-07-26;2024-07-26",796,-1)</f>
        <v>45153.5</v>
      </c>
      <c r="M255">
        <f>_xll.ICEHistory(M$4,M$5,"DF[dow:12345][tl:Calendar]",$L255)</f>
        <v>88.24</v>
      </c>
      <c r="N255">
        <f>_xll.ICEHistory(M$4,N$5,"DF[dow:12345][tl:Calendar]",$L255)</f>
        <v>88.6</v>
      </c>
      <c r="O255">
        <f>_xll.ICEHistory(M$4,O$5,"DF[dow:12345][tl:Calendar]",$L255)</f>
        <v>86.7</v>
      </c>
      <c r="P255">
        <f>_xll.ICEHistory(M$4,P$5,"DF[dow:12345][tl:Calendar]",$L255)</f>
        <v>86.87</v>
      </c>
      <c r="Q255">
        <f>_xll.ICEHistory(M$4,Q$5,"DF[dow:12345][tl:Calendar]",$L255)</f>
        <v>14757</v>
      </c>
      <c r="R255">
        <f>_xll.ICEHistory(M$4,R$5,"DF[dow:12345][tl:Calendar]",$L255)</f>
        <v>287875</v>
      </c>
      <c r="S255">
        <f>_xll.ICEHistory(S$4,S$5,"DF[dow:12345][tl:Calendar]",$L255)</f>
        <v>36.835000000000001</v>
      </c>
      <c r="T255">
        <f>_xll.ICEHistory(S$4,T$5,"DF[dow:12345][tl:Calendar]",$L255)</f>
        <v>40.5</v>
      </c>
      <c r="U255">
        <f>_xll.ICEHistory(S$4,U$5,"DF[dow:12345][tl:Calendar]",$L255)</f>
        <v>36.200000000000003</v>
      </c>
      <c r="V255">
        <f>_xll.ICEHistory(S$4,V$5,"DF[dow:12345][tl:Calendar]",$L255)</f>
        <v>38.813000000000002</v>
      </c>
      <c r="W255">
        <f>_xll.ICEHistory(S$4,W$5,"DF[dow:12345][tl:Calendar]",$L255)</f>
        <v>1701</v>
      </c>
      <c r="X255">
        <f t="shared" si="9"/>
        <v>2.1950092421441674E-2</v>
      </c>
      <c r="Y255">
        <f t="shared" si="10"/>
        <v>-0.81510863374711262</v>
      </c>
      <c r="Z255">
        <f t="shared" si="11"/>
        <v>-0.8492635938865738</v>
      </c>
    </row>
    <row r="256" spans="12:26" x14ac:dyDescent="0.25">
      <c r="L256" s="4">
        <f>_xll.ICETimeline(_xll.ICEJoinRange(M4:W4),"DF[dow:12345][tl:Calendar]","2020-07-26;2024-07-26",795,-1)</f>
        <v>45152.5</v>
      </c>
      <c r="M256">
        <f>_xll.ICEHistory(M$4,M$5,"DF[dow:12345][tl:Calendar]",$L256)</f>
        <v>86.56</v>
      </c>
      <c r="N256">
        <f>_xll.ICEHistory(M$4,N$5,"DF[dow:12345][tl:Calendar]",$L256)</f>
        <v>88.16</v>
      </c>
      <c r="O256">
        <f>_xll.ICEHistory(M$4,O$5,"DF[dow:12345][tl:Calendar]",$L256)</f>
        <v>86</v>
      </c>
      <c r="P256">
        <f>_xll.ICEHistory(M$4,P$5,"DF[dow:12345][tl:Calendar]",$L256)</f>
        <v>87.95</v>
      </c>
      <c r="Q256">
        <f>_xll.ICEHistory(M$4,Q$5,"DF[dow:12345][tl:Calendar]",$L256)</f>
        <v>14519</v>
      </c>
      <c r="R256">
        <f>_xll.ICEHistory(M$4,R$5,"DF[dow:12345][tl:Calendar]",$L256)</f>
        <v>288171</v>
      </c>
      <c r="S256">
        <f>_xll.ICEHistory(S$4,S$5,"DF[dow:12345][tl:Calendar]",$L256)</f>
        <v>36.65</v>
      </c>
      <c r="T256">
        <f>_xll.ICEHistory(S$4,T$5,"DF[dow:12345][tl:Calendar]",$L256)</f>
        <v>36.655000000000001</v>
      </c>
      <c r="U256">
        <f>_xll.ICEHistory(S$4,U$5,"DF[dow:12345][tl:Calendar]",$L256)</f>
        <v>33.725000000000001</v>
      </c>
      <c r="V256">
        <f>_xll.ICEHistory(S$4,V$5,"DF[dow:12345][tl:Calendar]",$L256)</f>
        <v>34.433999999999997</v>
      </c>
      <c r="W256">
        <f>_xll.ICEHistory(S$4,W$5,"DF[dow:12345][tl:Calendar]",$L256)</f>
        <v>461</v>
      </c>
      <c r="X256">
        <f t="shared" si="9"/>
        <v>2.545668827342365E-2</v>
      </c>
      <c r="Y256">
        <f t="shared" si="10"/>
        <v>-0.48150456164507005</v>
      </c>
      <c r="Z256">
        <f t="shared" si="11"/>
        <v>-0.90733232743000702</v>
      </c>
    </row>
    <row r="257" spans="12:26" x14ac:dyDescent="0.25">
      <c r="L257" s="4">
        <f>_xll.ICETimeline(_xll.ICEJoinRange(M4:W4),"DF[dow:12345][tl:Calendar]","2020-07-26;2024-07-26",794,-1)</f>
        <v>45149.5</v>
      </c>
      <c r="M257">
        <f>_xll.ICEHistory(M$4,M$5,"DF[dow:12345][tl:Calendar]",$L257)</f>
        <v>84.85</v>
      </c>
      <c r="N257">
        <f>_xll.ICEHistory(M$4,N$5,"DF[dow:12345][tl:Calendar]",$L257)</f>
        <v>86.92</v>
      </c>
      <c r="O257">
        <f>_xll.ICEHistory(M$4,O$5,"DF[dow:12345][tl:Calendar]",$L257)</f>
        <v>84</v>
      </c>
      <c r="P257">
        <f>_xll.ICEHistory(M$4,P$5,"DF[dow:12345][tl:Calendar]",$L257)</f>
        <v>86.8</v>
      </c>
      <c r="Q257">
        <f>_xll.ICEHistory(M$4,Q$5,"DF[dow:12345][tl:Calendar]",$L257)</f>
        <v>12534</v>
      </c>
      <c r="R257">
        <f>_xll.ICEHistory(M$4,R$5,"DF[dow:12345][tl:Calendar]",$L257)</f>
        <v>288647</v>
      </c>
      <c r="S257">
        <f>_xll.ICEHistory(S$4,S$5,"DF[dow:12345][tl:Calendar]",$L257)</f>
        <v>37</v>
      </c>
      <c r="T257">
        <f>_xll.ICEHistory(S$4,T$5,"DF[dow:12345][tl:Calendar]",$L257)</f>
        <v>37.024999999999999</v>
      </c>
      <c r="U257">
        <f>_xll.ICEHistory(S$4,U$5,"DF[dow:12345][tl:Calendar]",$L257)</f>
        <v>35.18</v>
      </c>
      <c r="V257">
        <f>_xll.ICEHistory(S$4,V$5,"DF[dow:12345][tl:Calendar]",$L257)</f>
        <v>35.299999999999997</v>
      </c>
      <c r="W257">
        <f>_xll.ICEHistory(S$4,W$5,"DF[dow:12345][tl:Calendar]",$L257)</f>
        <v>665</v>
      </c>
      <c r="X257">
        <f t="shared" si="9"/>
        <v>3.4662867996201351E-2</v>
      </c>
      <c r="Y257">
        <f t="shared" si="10"/>
        <v>0.4201987754628223</v>
      </c>
      <c r="Z257">
        <f t="shared" si="11"/>
        <v>-1.2352765916043902</v>
      </c>
    </row>
    <row r="258" spans="12:26" x14ac:dyDescent="0.25">
      <c r="L258" s="4">
        <f>_xll.ICETimeline(_xll.ICEJoinRange(M4:W4),"DF[dow:12345][tl:Calendar]","2020-07-26;2024-07-26",793,-1)</f>
        <v>45148.5</v>
      </c>
      <c r="M258">
        <f>_xll.ICEHistory(M$4,M$5,"DF[dow:12345][tl:Calendar]",$L258)</f>
        <v>84.24</v>
      </c>
      <c r="N258">
        <f>_xll.ICEHistory(M$4,N$5,"DF[dow:12345][tl:Calendar]",$L258)</f>
        <v>85.34</v>
      </c>
      <c r="O258">
        <f>_xll.ICEHistory(M$4,O$5,"DF[dow:12345][tl:Calendar]",$L258)</f>
        <v>83.03</v>
      </c>
      <c r="P258">
        <f>_xll.ICEHistory(M$4,P$5,"DF[dow:12345][tl:Calendar]",$L258)</f>
        <v>84.55</v>
      </c>
      <c r="Q258">
        <f>_xll.ICEHistory(M$4,Q$5,"DF[dow:12345][tl:Calendar]",$L258)</f>
        <v>14140</v>
      </c>
      <c r="R258">
        <f>_xll.ICEHistory(M$4,R$5,"DF[dow:12345][tl:Calendar]",$L258)</f>
        <v>289906</v>
      </c>
      <c r="S258">
        <f>_xll.ICEHistory(S$4,S$5,"DF[dow:12345][tl:Calendar]",$L258)</f>
        <v>37.094999999999999</v>
      </c>
      <c r="T258">
        <f>_xll.ICEHistory(S$4,T$5,"DF[dow:12345][tl:Calendar]",$L258)</f>
        <v>39.465000000000003</v>
      </c>
      <c r="U258">
        <f>_xll.ICEHistory(S$4,U$5,"DF[dow:12345][tl:Calendar]",$L258)</f>
        <v>36.590000000000003</v>
      </c>
      <c r="V258">
        <f>_xll.ICEHistory(S$4,V$5,"DF[dow:12345][tl:Calendar]",$L258)</f>
        <v>37.055999999999997</v>
      </c>
      <c r="W258">
        <f>_xll.ICEHistory(S$4,W$5,"DF[dow:12345][tl:Calendar]",$L258)</f>
        <v>1296</v>
      </c>
      <c r="X258">
        <f t="shared" si="9"/>
        <v>2.7411890352438618E-2</v>
      </c>
      <c r="Y258">
        <f t="shared" si="10"/>
        <v>-0.27297255476002635</v>
      </c>
      <c r="Z258">
        <f t="shared" si="11"/>
        <v>-0.97973612729665926</v>
      </c>
    </row>
    <row r="259" spans="12:26" x14ac:dyDescent="0.25">
      <c r="L259" s="4">
        <f>_xll.ICETimeline(_xll.ICEJoinRange(M4:W4),"DF[dow:12345][tl:Calendar]","2020-07-26;2024-07-26",792,-1)</f>
        <v>45147.5</v>
      </c>
      <c r="M259">
        <f>_xll.ICEHistory(M$4,M$5,"DF[dow:12345][tl:Calendar]",$L259)</f>
        <v>84.27</v>
      </c>
      <c r="N259">
        <f>_xll.ICEHistory(M$4,N$5,"DF[dow:12345][tl:Calendar]",$L259)</f>
        <v>85.82</v>
      </c>
      <c r="O259">
        <f>_xll.ICEHistory(M$4,O$5,"DF[dow:12345][tl:Calendar]",$L259)</f>
        <v>83.5</v>
      </c>
      <c r="P259">
        <f>_xll.ICEHistory(M$4,P$5,"DF[dow:12345][tl:Calendar]",$L259)</f>
        <v>83.9</v>
      </c>
      <c r="Q259">
        <f>_xll.ICEHistory(M$4,Q$5,"DF[dow:12345][tl:Calendar]",$L259)</f>
        <v>18243</v>
      </c>
      <c r="R259">
        <f>_xll.ICEHistory(M$4,R$5,"DF[dow:12345][tl:Calendar]",$L259)</f>
        <v>289556</v>
      </c>
      <c r="S259">
        <f>_xll.ICEHistory(S$4,S$5,"DF[dow:12345][tl:Calendar]",$L259)</f>
        <v>33.15</v>
      </c>
      <c r="T259">
        <f>_xll.ICEHistory(S$4,T$5,"DF[dow:12345][tl:Calendar]",$L259)</f>
        <v>43.244999999999997</v>
      </c>
      <c r="U259">
        <f>_xll.ICEHistory(S$4,U$5,"DF[dow:12345][tl:Calendar]",$L259)</f>
        <v>33.15</v>
      </c>
      <c r="V259">
        <f>_xll.ICEHistory(S$4,V$5,"DF[dow:12345][tl:Calendar]",$L259)</f>
        <v>39.823</v>
      </c>
      <c r="W259">
        <f>_xll.ICEHistory(S$4,W$5,"DF[dow:12345][tl:Calendar]",$L259)</f>
        <v>668</v>
      </c>
      <c r="X259">
        <f t="shared" si="9"/>
        <v>2.8053204353083349E-2</v>
      </c>
      <c r="Y259">
        <f t="shared" si="10"/>
        <v>-0.21065168206625842</v>
      </c>
      <c r="Z259">
        <f t="shared" si="11"/>
        <v>-0.26937446821228156</v>
      </c>
    </row>
    <row r="260" spans="12:26" x14ac:dyDescent="0.25">
      <c r="L260" s="4">
        <f>_xll.ICETimeline(_xll.ICEJoinRange(M4:W4),"DF[dow:12345][tl:Calendar]","2020-07-26;2024-07-26",791,-1)</f>
        <v>45146.5</v>
      </c>
      <c r="M260">
        <f>_xll.ICEHistory(M$4,M$5,"DF[dow:12345][tl:Calendar]",$L260)</f>
        <v>82.7</v>
      </c>
      <c r="N260">
        <f>_xll.ICEHistory(M$4,N$5,"DF[dow:12345][tl:Calendar]",$L260)</f>
        <v>84.72</v>
      </c>
      <c r="O260">
        <f>_xll.ICEHistory(M$4,O$5,"DF[dow:12345][tl:Calendar]",$L260)</f>
        <v>82.3</v>
      </c>
      <c r="P260">
        <f>_xll.ICEHistory(M$4,P$5,"DF[dow:12345][tl:Calendar]",$L260)</f>
        <v>83.97</v>
      </c>
      <c r="Q260">
        <f>_xll.ICEHistory(M$4,Q$5,"DF[dow:12345][tl:Calendar]",$L260)</f>
        <v>19288</v>
      </c>
      <c r="R260">
        <f>_xll.ICEHistory(M$4,R$5,"DF[dow:12345][tl:Calendar]",$L260)</f>
        <v>290400</v>
      </c>
      <c r="S260">
        <f>_xll.ICEHistory(S$4,S$5,"DF[dow:12345][tl:Calendar]",$L260)</f>
        <v>29.81</v>
      </c>
      <c r="T260">
        <f>_xll.ICEHistory(S$4,T$5,"DF[dow:12345][tl:Calendar]",$L260)</f>
        <v>31.695</v>
      </c>
      <c r="U260">
        <f>_xll.ICEHistory(S$4,U$5,"DF[dow:12345][tl:Calendar]",$L260)</f>
        <v>29.785</v>
      </c>
      <c r="V260">
        <f>_xll.ICEHistory(S$4,V$5,"DF[dow:12345][tl:Calendar]",$L260)</f>
        <v>31.065999999999999</v>
      </c>
      <c r="W260">
        <f>_xll.ICEHistory(S$4,W$5,"DF[dow:12345][tl:Calendar]",$L260)</f>
        <v>821</v>
      </c>
      <c r="X260">
        <f t="shared" si="9"/>
        <v>2.8933524629363962E-2</v>
      </c>
      <c r="Y260">
        <f t="shared" si="10"/>
        <v>-0.12668661606480441</v>
      </c>
      <c r="Z260">
        <f t="shared" si="11"/>
        <v>-8.1814985050671571E-2</v>
      </c>
    </row>
    <row r="261" spans="12:26" x14ac:dyDescent="0.25">
      <c r="L261" s="4">
        <f>_xll.ICETimeline(_xll.ICEJoinRange(M4:W4),"DF[dow:12345][tl:Calendar]","2020-07-26;2024-07-26",790,-1)</f>
        <v>45145.5</v>
      </c>
      <c r="M261">
        <f>_xll.ICEHistory(M$4,M$5,"DF[dow:12345][tl:Calendar]",$L261)</f>
        <v>83.64</v>
      </c>
      <c r="N261">
        <f>_xll.ICEHistory(M$4,N$5,"DF[dow:12345][tl:Calendar]",$L261)</f>
        <v>84.6</v>
      </c>
      <c r="O261">
        <f>_xll.ICEHistory(M$4,O$5,"DF[dow:12345][tl:Calendar]",$L261)</f>
        <v>82.56</v>
      </c>
      <c r="P261">
        <f>_xll.ICEHistory(M$4,P$5,"DF[dow:12345][tl:Calendar]",$L261)</f>
        <v>82.64</v>
      </c>
      <c r="Q261">
        <f>_xll.ICEHistory(M$4,Q$5,"DF[dow:12345][tl:Calendar]",$L261)</f>
        <v>15288</v>
      </c>
      <c r="R261">
        <f>_xll.ICEHistory(M$4,R$5,"DF[dow:12345][tl:Calendar]",$L261)</f>
        <v>286080</v>
      </c>
      <c r="S261">
        <f>_xll.ICEHistory(S$4,S$5,"DF[dow:12345][tl:Calendar]",$L261)</f>
        <v>29.8</v>
      </c>
      <c r="T261">
        <f>_xll.ICEHistory(S$4,T$5,"DF[dow:12345][tl:Calendar]",$L261)</f>
        <v>31.07</v>
      </c>
      <c r="U261">
        <f>_xll.ICEHistory(S$4,U$5,"DF[dow:12345][tl:Calendar]",$L261)</f>
        <v>29.55</v>
      </c>
      <c r="V261">
        <f>_xll.ICEHistory(S$4,V$5,"DF[dow:12345][tl:Calendar]",$L261)</f>
        <v>30.486999999999998</v>
      </c>
      <c r="W261">
        <f>_xll.ICEHistory(S$4,W$5,"DF[dow:12345][tl:Calendar]",$L261)</f>
        <v>1380</v>
      </c>
      <c r="X261">
        <f t="shared" si="9"/>
        <v>2.4065117376430249E-2</v>
      </c>
      <c r="Y261">
        <f t="shared" si="10"/>
        <v>-0.60812276452707059</v>
      </c>
      <c r="Z261">
        <f t="shared" si="11"/>
        <v>-0.74665301723973221</v>
      </c>
    </row>
    <row r="262" spans="12:26" x14ac:dyDescent="0.25">
      <c r="L262" s="4">
        <f>_xll.ICETimeline(_xll.ICEJoinRange(M4:W4),"DF[dow:12345][tl:Calendar]","2020-07-26;2024-07-26",789,-1)</f>
        <v>45142.5</v>
      </c>
      <c r="M262">
        <f>_xll.ICEHistory(M$4,M$5,"DF[dow:12345][tl:Calendar]",$L262)</f>
        <v>84.77</v>
      </c>
      <c r="N262">
        <f>_xll.ICEHistory(M$4,N$5,"DF[dow:12345][tl:Calendar]",$L262)</f>
        <v>85.63</v>
      </c>
      <c r="O262">
        <f>_xll.ICEHistory(M$4,O$5,"DF[dow:12345][tl:Calendar]",$L262)</f>
        <v>83.25</v>
      </c>
      <c r="P262">
        <f>_xll.ICEHistory(M$4,P$5,"DF[dow:12345][tl:Calendar]",$L262)</f>
        <v>83.41</v>
      </c>
      <c r="Q262">
        <f>_xll.ICEHistory(M$4,Q$5,"DF[dow:12345][tl:Calendar]",$L262)</f>
        <v>12874</v>
      </c>
      <c r="R262">
        <f>_xll.ICEHistory(M$4,R$5,"DF[dow:12345][tl:Calendar]",$L262)</f>
        <v>284844</v>
      </c>
      <c r="S262">
        <f>_xll.ICEHistory(S$4,S$5,"DF[dow:12345][tl:Calendar]",$L262)</f>
        <v>29.5</v>
      </c>
      <c r="T262">
        <f>_xll.ICEHistory(S$4,T$5,"DF[dow:12345][tl:Calendar]",$L262)</f>
        <v>29.785</v>
      </c>
      <c r="U262">
        <f>_xll.ICEHistory(S$4,U$5,"DF[dow:12345][tl:Calendar]",$L262)</f>
        <v>28.645</v>
      </c>
      <c r="V262">
        <f>_xll.ICEHistory(S$4,V$5,"DF[dow:12345][tl:Calendar]",$L262)</f>
        <v>28.853000000000002</v>
      </c>
      <c r="W262">
        <f>_xll.ICEHistory(S$4,W$5,"DF[dow:12345][tl:Calendar]",$L262)</f>
        <v>1454</v>
      </c>
      <c r="X262">
        <f t="shared" si="9"/>
        <v>2.859202306583368E-2</v>
      </c>
      <c r="Y262">
        <f t="shared" si="10"/>
        <v>-0.15079525429755672</v>
      </c>
      <c r="Z262">
        <f t="shared" si="11"/>
        <v>-1.1587358595461361</v>
      </c>
    </row>
    <row r="263" spans="12:26" x14ac:dyDescent="0.25">
      <c r="L263" s="4">
        <f>_xll.ICETimeline(_xll.ICEJoinRange(M4:W4),"DF[dow:12345][tl:Calendar]","2020-07-26;2024-07-26",788,-1)</f>
        <v>45141.5</v>
      </c>
      <c r="M263">
        <f>_xll.ICEHistory(M$4,M$5,"DF[dow:12345][tl:Calendar]",$L263)</f>
        <v>83.24</v>
      </c>
      <c r="N263">
        <f>_xll.ICEHistory(M$4,N$5,"DF[dow:12345][tl:Calendar]",$L263)</f>
        <v>85.83</v>
      </c>
      <c r="O263">
        <f>_xll.ICEHistory(M$4,O$5,"DF[dow:12345][tl:Calendar]",$L263)</f>
        <v>83.1</v>
      </c>
      <c r="P263">
        <f>_xll.ICEHistory(M$4,P$5,"DF[dow:12345][tl:Calendar]",$L263)</f>
        <v>84.41</v>
      </c>
      <c r="Q263">
        <f>_xll.ICEHistory(M$4,Q$5,"DF[dow:12345][tl:Calendar]",$L263)</f>
        <v>17738</v>
      </c>
      <c r="R263">
        <f>_xll.ICEHistory(M$4,R$5,"DF[dow:12345][tl:Calendar]",$L263)</f>
        <v>284457</v>
      </c>
      <c r="S263">
        <f>_xll.ICEHistory(S$4,S$5,"DF[dow:12345][tl:Calendar]",$L263)</f>
        <v>29.875</v>
      </c>
      <c r="T263">
        <f>_xll.ICEHistory(S$4,T$5,"DF[dow:12345][tl:Calendar]",$L263)</f>
        <v>31.35</v>
      </c>
      <c r="U263">
        <f>_xll.ICEHistory(S$4,U$5,"DF[dow:12345][tl:Calendar]",$L263)</f>
        <v>29.68</v>
      </c>
      <c r="V263">
        <f>_xll.ICEHistory(S$4,V$5,"DF[dow:12345][tl:Calendar]",$L263)</f>
        <v>30.472999999999999</v>
      </c>
      <c r="W263">
        <f>_xll.ICEHistory(S$4,W$5,"DF[dow:12345][tl:Calendar]",$L263)</f>
        <v>2083</v>
      </c>
      <c r="X263">
        <f t="shared" si="9"/>
        <v>3.2250443000590712E-2</v>
      </c>
      <c r="Y263">
        <f t="shared" si="10"/>
        <v>0.20369196980408397</v>
      </c>
      <c r="Z263">
        <f t="shared" si="11"/>
        <v>-0.33875590050491111</v>
      </c>
    </row>
    <row r="264" spans="12:26" x14ac:dyDescent="0.25">
      <c r="L264" s="4">
        <f>_xll.ICETimeline(_xll.ICEJoinRange(M4:W4),"DF[dow:12345][tl:Calendar]","2020-07-26;2024-07-26",787,-1)</f>
        <v>45140.5</v>
      </c>
      <c r="M264">
        <f>_xll.ICEHistory(M$4,M$5,"DF[dow:12345][tl:Calendar]",$L264)</f>
        <v>84.65</v>
      </c>
      <c r="N264">
        <f>_xll.ICEHistory(M$4,N$5,"DF[dow:12345][tl:Calendar]",$L264)</f>
        <v>84.99</v>
      </c>
      <c r="O264">
        <f>_xll.ICEHistory(M$4,O$5,"DF[dow:12345][tl:Calendar]",$L264)</f>
        <v>83</v>
      </c>
      <c r="P264">
        <f>_xll.ICEHistory(M$4,P$5,"DF[dow:12345][tl:Calendar]",$L264)</f>
        <v>83.2</v>
      </c>
      <c r="Q264">
        <f>_xll.ICEHistory(M$4,Q$5,"DF[dow:12345][tl:Calendar]",$L264)</f>
        <v>25616</v>
      </c>
      <c r="R264">
        <f>_xll.ICEHistory(M$4,R$5,"DF[dow:12345][tl:Calendar]",$L264)</f>
        <v>284554</v>
      </c>
      <c r="S264">
        <f>_xll.ICEHistory(S$4,S$5,"DF[dow:12345][tl:Calendar]",$L264)</f>
        <v>27.3</v>
      </c>
      <c r="T264">
        <f>_xll.ICEHistory(S$4,T$5,"DF[dow:12345][tl:Calendar]",$L264)</f>
        <v>29.155000000000001</v>
      </c>
      <c r="U264">
        <f>_xll.ICEHistory(S$4,U$5,"DF[dow:12345][tl:Calendar]",$L264)</f>
        <v>27.3</v>
      </c>
      <c r="V264">
        <f>_xll.ICEHistory(S$4,V$5,"DF[dow:12345][tl:Calendar]",$L264)</f>
        <v>28.742000000000001</v>
      </c>
      <c r="W264">
        <f>_xll.ICEHistory(S$4,W$5,"DF[dow:12345][tl:Calendar]",$L264)</f>
        <v>2301</v>
      </c>
      <c r="X264">
        <f t="shared" si="9"/>
        <v>2.2913068508923374E-2</v>
      </c>
      <c r="Y264">
        <f t="shared" si="10"/>
        <v>-0.70135862175951624</v>
      </c>
      <c r="Z264">
        <f t="shared" si="11"/>
        <v>0.9878441673759305</v>
      </c>
    </row>
    <row r="265" spans="12:26" x14ac:dyDescent="0.25">
      <c r="L265" s="4">
        <f>_xll.ICETimeline(_xll.ICEJoinRange(M4:W4),"DF[dow:12345][tl:Calendar]","2020-07-26;2024-07-26",786,-1)</f>
        <v>45139.5</v>
      </c>
      <c r="M265">
        <f>_xll.ICEHistory(M$4,M$5,"DF[dow:12345][tl:Calendar]",$L265)</f>
        <v>86.85</v>
      </c>
      <c r="N265">
        <f>_xll.ICEHistory(M$4,N$5,"DF[dow:12345][tl:Calendar]",$L265)</f>
        <v>87.84</v>
      </c>
      <c r="O265">
        <f>_xll.ICEHistory(M$4,O$5,"DF[dow:12345][tl:Calendar]",$L265)</f>
        <v>84.4</v>
      </c>
      <c r="P265">
        <f>_xll.ICEHistory(M$4,P$5,"DF[dow:12345][tl:Calendar]",$L265)</f>
        <v>84.62</v>
      </c>
      <c r="Q265">
        <f>_xll.ICEHistory(M$4,Q$5,"DF[dow:12345][tl:Calendar]",$L265)</f>
        <v>24646</v>
      </c>
      <c r="R265">
        <f>_xll.ICEHistory(M$4,R$5,"DF[dow:12345][tl:Calendar]",$L265)</f>
        <v>282469</v>
      </c>
      <c r="S265">
        <f>_xll.ICEHistory(S$4,S$5,"DF[dow:12345][tl:Calendar]",$L265)</f>
        <v>29.114999999999998</v>
      </c>
      <c r="T265">
        <f>_xll.ICEHistory(S$4,T$5,"DF[dow:12345][tl:Calendar]",$L265)</f>
        <v>29.114999999999998</v>
      </c>
      <c r="U265">
        <f>_xll.ICEHistory(S$4,U$5,"DF[dow:12345][tl:Calendar]",$L265)</f>
        <v>26.98</v>
      </c>
      <c r="V265">
        <f>_xll.ICEHistory(S$4,V$5,"DF[dow:12345][tl:Calendar]",$L265)</f>
        <v>27.123000000000001</v>
      </c>
      <c r="W265">
        <f>_xll.ICEHistory(S$4,W$5,"DF[dow:12345][tl:Calendar]",$L265)</f>
        <v>2036</v>
      </c>
      <c r="X265">
        <f t="shared" ref="X265:X328" si="12">IFERROR((N265-O265)/M266, "")</f>
        <v>3.8940457323975525E-2</v>
      </c>
      <c r="Y265">
        <f t="shared" ref="Y265:Y328" si="13">IFERROR((X265-AVERAGE(X265:X329))/_xlfn.STDEV.S(X265:X329),"")</f>
        <v>0.74931739018320442</v>
      </c>
      <c r="Z265">
        <f t="shared" ref="Z265:Z328" si="14">IFERROR((Q265-AVERAGE(Q265:Q330))/_xlfn.STDEV.S(Q265:Q330),"")</f>
        <v>0.83155565273655563</v>
      </c>
    </row>
    <row r="266" spans="12:26" x14ac:dyDescent="0.25">
      <c r="L266" s="4">
        <f>_xll.ICETimeline(_xll.ICEJoinRange(M4:W4),"DF[dow:12345][tl:Calendar]","2020-07-26;2024-07-26",785,-1)</f>
        <v>45138.5</v>
      </c>
      <c r="M266">
        <f>_xll.ICEHistory(M$4,M$5,"DF[dow:12345][tl:Calendar]",$L266)</f>
        <v>88.34</v>
      </c>
      <c r="N266">
        <f>_xll.ICEHistory(M$4,N$5,"DF[dow:12345][tl:Calendar]",$L266)</f>
        <v>89.42</v>
      </c>
      <c r="O266">
        <f>_xll.ICEHistory(M$4,O$5,"DF[dow:12345][tl:Calendar]",$L266)</f>
        <v>86.3</v>
      </c>
      <c r="P266">
        <f>_xll.ICEHistory(M$4,P$5,"DF[dow:12345][tl:Calendar]",$L266)</f>
        <v>86.81</v>
      </c>
      <c r="Q266">
        <f>_xll.ICEHistory(M$4,Q$5,"DF[dow:12345][tl:Calendar]",$L266)</f>
        <v>21269</v>
      </c>
      <c r="R266">
        <f>_xll.ICEHistory(M$4,R$5,"DF[dow:12345][tl:Calendar]",$L266)</f>
        <v>282085</v>
      </c>
      <c r="S266">
        <f>_xll.ICEHistory(S$4,S$5,"DF[dow:12345][tl:Calendar]",$L266)</f>
        <v>27.805</v>
      </c>
      <c r="T266">
        <f>_xll.ICEHistory(S$4,T$5,"DF[dow:12345][tl:Calendar]",$L266)</f>
        <v>28.925000000000001</v>
      </c>
      <c r="U266">
        <f>_xll.ICEHistory(S$4,U$5,"DF[dow:12345][tl:Calendar]",$L266)</f>
        <v>27.17</v>
      </c>
      <c r="V266">
        <f>_xll.ICEHistory(S$4,V$5,"DF[dow:12345][tl:Calendar]",$L266)</f>
        <v>28.366</v>
      </c>
      <c r="W266">
        <f>_xll.ICEHistory(S$4,W$5,"DF[dow:12345][tl:Calendar]",$L266)</f>
        <v>622</v>
      </c>
      <c r="X266">
        <f t="shared" si="12"/>
        <v>3.431588209414875E-2</v>
      </c>
      <c r="Y266">
        <f t="shared" si="13"/>
        <v>0.27966253594994089</v>
      </c>
      <c r="Z266">
        <f t="shared" si="14"/>
        <v>0.28933567038363162</v>
      </c>
    </row>
    <row r="267" spans="12:26" x14ac:dyDescent="0.25">
      <c r="L267" s="4">
        <f>_xll.ICETimeline(_xll.ICEJoinRange(M4:W4),"DF[dow:12345][tl:Calendar]","2020-07-26;2024-07-26",784,-1)</f>
        <v>45135.5</v>
      </c>
      <c r="M267">
        <f>_xll.ICEHistory(M$4,M$5,"DF[dow:12345][tl:Calendar]",$L267)</f>
        <v>90.92</v>
      </c>
      <c r="N267">
        <f>_xll.ICEHistory(M$4,N$5,"DF[dow:12345][tl:Calendar]",$L267)</f>
        <v>90.92</v>
      </c>
      <c r="O267">
        <f>_xll.ICEHistory(M$4,O$5,"DF[dow:12345][tl:Calendar]",$L267)</f>
        <v>88.15</v>
      </c>
      <c r="P267">
        <f>_xll.ICEHistory(M$4,P$5,"DF[dow:12345][tl:Calendar]",$L267)</f>
        <v>88.7</v>
      </c>
      <c r="Q267">
        <f>_xll.ICEHistory(M$4,Q$5,"DF[dow:12345][tl:Calendar]",$L267)</f>
        <v>18254</v>
      </c>
      <c r="R267">
        <f>_xll.ICEHistory(M$4,R$5,"DF[dow:12345][tl:Calendar]",$L267)</f>
        <v>280934</v>
      </c>
      <c r="S267">
        <f>_xll.ICEHistory(S$4,S$5,"DF[dow:12345][tl:Calendar]",$L267)</f>
        <v>27.274999999999999</v>
      </c>
      <c r="T267">
        <f>_xll.ICEHistory(S$4,T$5,"DF[dow:12345][tl:Calendar]",$L267)</f>
        <v>27.274999999999999</v>
      </c>
      <c r="U267">
        <f>_xll.ICEHistory(S$4,U$5,"DF[dow:12345][tl:Calendar]",$L267)</f>
        <v>25.841000000000001</v>
      </c>
      <c r="V267">
        <f>_xll.ICEHistory(S$4,V$5,"DF[dow:12345][tl:Calendar]",$L267)</f>
        <v>25.841000000000001</v>
      </c>
      <c r="W267">
        <f>_xll.ICEHistory(S$4,W$5,"DF[dow:12345][tl:Calendar]",$L267)</f>
        <v>1286</v>
      </c>
      <c r="X267">
        <f t="shared" si="12"/>
        <v>3.0513328927076405E-2</v>
      </c>
      <c r="Y267">
        <f t="shared" si="13"/>
        <v>-4.6390420529433742E-2</v>
      </c>
      <c r="Z267">
        <f t="shared" si="14"/>
        <v>-0.18660474452180453</v>
      </c>
    </row>
    <row r="268" spans="12:26" x14ac:dyDescent="0.25">
      <c r="L268" s="4">
        <f>_xll.ICETimeline(_xll.ICEJoinRange(M4:W4),"DF[dow:12345][tl:Calendar]","2020-07-26;2024-07-26",783,-1)</f>
        <v>45134.5</v>
      </c>
      <c r="M268">
        <f>_xll.ICEHistory(M$4,M$5,"DF[dow:12345][tl:Calendar]",$L268)</f>
        <v>90.78</v>
      </c>
      <c r="N268">
        <f>_xll.ICEHistory(M$4,N$5,"DF[dow:12345][tl:Calendar]",$L268)</f>
        <v>91.28</v>
      </c>
      <c r="O268">
        <f>_xll.ICEHistory(M$4,O$5,"DF[dow:12345][tl:Calendar]",$L268)</f>
        <v>89.11</v>
      </c>
      <c r="P268">
        <f>_xll.ICEHistory(M$4,P$5,"DF[dow:12345][tl:Calendar]",$L268)</f>
        <v>90.92</v>
      </c>
      <c r="Q268">
        <f>_xll.ICEHistory(M$4,Q$5,"DF[dow:12345][tl:Calendar]",$L268)</f>
        <v>22478</v>
      </c>
      <c r="R268">
        <f>_xll.ICEHistory(M$4,R$5,"DF[dow:12345][tl:Calendar]",$L268)</f>
        <v>279040</v>
      </c>
      <c r="S268">
        <f>_xll.ICEHistory(S$4,S$5,"DF[dow:12345][tl:Calendar]",$L268)</f>
        <v>29.25</v>
      </c>
      <c r="T268">
        <f>_xll.ICEHistory(S$4,T$5,"DF[dow:12345][tl:Calendar]",$L268)</f>
        <v>29.45</v>
      </c>
      <c r="U268">
        <f>_xll.ICEHistory(S$4,U$5,"DF[dow:12345][tl:Calendar]",$L268)</f>
        <v>28.105</v>
      </c>
      <c r="V268">
        <f>_xll.ICEHistory(S$4,V$5,"DF[dow:12345][tl:Calendar]",$L268)</f>
        <v>28.434000000000001</v>
      </c>
      <c r="W268">
        <f>_xll.ICEHistory(S$4,W$5,"DF[dow:12345][tl:Calendar]",$L268)</f>
        <v>448</v>
      </c>
      <c r="X268">
        <f t="shared" si="12"/>
        <v>2.3505199306759119E-2</v>
      </c>
      <c r="Y268">
        <f t="shared" si="13"/>
        <v>-0.638944570144791</v>
      </c>
      <c r="Z268">
        <f t="shared" si="14"/>
        <v>0.49519062939132219</v>
      </c>
    </row>
    <row r="269" spans="12:26" x14ac:dyDescent="0.25">
      <c r="L269" s="4">
        <f>_xll.ICETimeline(_xll.ICEJoinRange(M4:W4),"DF[dow:12345][tl:Calendar]","2020-07-26;2024-07-26",782,-1)</f>
        <v>45133.5</v>
      </c>
      <c r="M269">
        <f>_xll.ICEHistory(M$4,M$5,"DF[dow:12345][tl:Calendar]",$L269)</f>
        <v>92.32</v>
      </c>
      <c r="N269">
        <f>_xll.ICEHistory(M$4,N$5,"DF[dow:12345][tl:Calendar]",$L269)</f>
        <v>93.53</v>
      </c>
      <c r="O269">
        <f>_xll.ICEHistory(M$4,O$5,"DF[dow:12345][tl:Calendar]",$L269)</f>
        <v>90.31</v>
      </c>
      <c r="P269">
        <f>_xll.ICEHistory(M$4,P$5,"DF[dow:12345][tl:Calendar]",$L269)</f>
        <v>90.77</v>
      </c>
      <c r="Q269">
        <f>_xll.ICEHistory(M$4,Q$5,"DF[dow:12345][tl:Calendar]",$L269)</f>
        <v>19189</v>
      </c>
      <c r="R269">
        <f>_xll.ICEHistory(M$4,R$5,"DF[dow:12345][tl:Calendar]",$L269)</f>
        <v>273466</v>
      </c>
      <c r="S269">
        <f>_xll.ICEHistory(S$4,S$5,"DF[dow:12345][tl:Calendar]",$L269)</f>
        <v>32.78</v>
      </c>
      <c r="T269">
        <f>_xll.ICEHistory(S$4,T$5,"DF[dow:12345][tl:Calendar]",$L269)</f>
        <v>32.78</v>
      </c>
      <c r="U269">
        <f>_xll.ICEHistory(S$4,U$5,"DF[dow:12345][tl:Calendar]",$L269)</f>
        <v>29.065000000000001</v>
      </c>
      <c r="V269">
        <f>_xll.ICEHistory(S$4,V$5,"DF[dow:12345][tl:Calendar]",$L269)</f>
        <v>29.274999999999999</v>
      </c>
      <c r="W269">
        <f>_xll.ICEHistory(S$4,W$5,"DF[dow:12345][tl:Calendar]",$L269)</f>
        <v>639</v>
      </c>
      <c r="X269">
        <f t="shared" si="12"/>
        <v>3.5287671232876697E-2</v>
      </c>
      <c r="Y269">
        <f t="shared" si="13"/>
        <v>0.36700298754347094</v>
      </c>
      <c r="Z269">
        <f t="shared" si="14"/>
        <v>-4.5119072988184725E-2</v>
      </c>
    </row>
    <row r="270" spans="12:26" x14ac:dyDescent="0.25">
      <c r="L270" s="4">
        <f>_xll.ICETimeline(_xll.ICEJoinRange(M4:W4),"DF[dow:12345][tl:Calendar]","2020-07-26;2024-07-26",781,-1)</f>
        <v>45132.5</v>
      </c>
      <c r="M270">
        <f>_xll.ICEHistory(M$4,M$5,"DF[dow:12345][tl:Calendar]",$L270)</f>
        <v>91.25</v>
      </c>
      <c r="N270">
        <f>_xll.ICEHistory(M$4,N$5,"DF[dow:12345][tl:Calendar]",$L270)</f>
        <v>92.55</v>
      </c>
      <c r="O270">
        <f>_xll.ICEHistory(M$4,O$5,"DF[dow:12345][tl:Calendar]",$L270)</f>
        <v>91.11</v>
      </c>
      <c r="P270">
        <f>_xll.ICEHistory(M$4,P$5,"DF[dow:12345][tl:Calendar]",$L270)</f>
        <v>92.34</v>
      </c>
      <c r="Q270">
        <f>_xll.ICEHistory(M$4,Q$5,"DF[dow:12345][tl:Calendar]",$L270)</f>
        <v>17369</v>
      </c>
      <c r="R270">
        <f>_xll.ICEHistory(M$4,R$5,"DF[dow:12345][tl:Calendar]",$L270)</f>
        <v>272188</v>
      </c>
      <c r="S270">
        <f>_xll.ICEHistory(S$4,S$5,"DF[dow:12345][tl:Calendar]",$L270)</f>
        <v>30.22</v>
      </c>
      <c r="T270">
        <f>_xll.ICEHistory(S$4,T$5,"DF[dow:12345][tl:Calendar]",$L270)</f>
        <v>32.869999999999997</v>
      </c>
      <c r="U270">
        <f>_xll.ICEHistory(S$4,U$5,"DF[dow:12345][tl:Calendar]",$L270)</f>
        <v>30.22</v>
      </c>
      <c r="V270">
        <f>_xll.ICEHistory(S$4,V$5,"DF[dow:12345][tl:Calendar]",$L270)</f>
        <v>32.648000000000003</v>
      </c>
      <c r="W270">
        <f>_xll.ICEHistory(S$4,W$5,"DF[dow:12345][tl:Calendar]",$L270)</f>
        <v>283</v>
      </c>
      <c r="X270">
        <f t="shared" si="12"/>
        <v>1.5682857765192744E-2</v>
      </c>
      <c r="Y270">
        <f t="shared" si="13"/>
        <v>-1.2963418958662893</v>
      </c>
      <c r="Z270">
        <f t="shared" si="14"/>
        <v>-0.35541705855425643</v>
      </c>
    </row>
    <row r="271" spans="12:26" x14ac:dyDescent="0.25">
      <c r="L271" s="4">
        <f>_xll.ICETimeline(_xll.ICEJoinRange(M4:W4),"DF[dow:12345][tl:Calendar]","2020-07-26;2024-07-26",780,-1)</f>
        <v>45131.5</v>
      </c>
      <c r="M271">
        <f>_xll.ICEHistory(M$4,M$5,"DF[dow:12345][tl:Calendar]",$L271)</f>
        <v>91.82</v>
      </c>
      <c r="N271">
        <f>_xll.ICEHistory(M$4,N$5,"DF[dow:12345][tl:Calendar]",$L271)</f>
        <v>92.59</v>
      </c>
      <c r="O271">
        <f>_xll.ICEHistory(M$4,O$5,"DF[dow:12345][tl:Calendar]",$L271)</f>
        <v>90.53</v>
      </c>
      <c r="P271">
        <f>_xll.ICEHistory(M$4,P$5,"DF[dow:12345][tl:Calendar]",$L271)</f>
        <v>91.29</v>
      </c>
      <c r="Q271">
        <f>_xll.ICEHistory(M$4,Q$5,"DF[dow:12345][tl:Calendar]",$L271)</f>
        <v>17477</v>
      </c>
      <c r="R271">
        <f>_xll.ICEHistory(M$4,R$5,"DF[dow:12345][tl:Calendar]",$L271)</f>
        <v>268869</v>
      </c>
      <c r="S271">
        <f>_xll.ICEHistory(S$4,S$5,"DF[dow:12345][tl:Calendar]",$L271)</f>
        <v>28.15</v>
      </c>
      <c r="T271">
        <f>_xll.ICEHistory(S$4,T$5,"DF[dow:12345][tl:Calendar]",$L271)</f>
        <v>30.556999999999999</v>
      </c>
      <c r="U271">
        <f>_xll.ICEHistory(S$4,U$5,"DF[dow:12345][tl:Calendar]",$L271)</f>
        <v>28.15</v>
      </c>
      <c r="V271">
        <f>_xll.ICEHistory(S$4,V$5,"DF[dow:12345][tl:Calendar]",$L271)</f>
        <v>30.556999999999999</v>
      </c>
      <c r="W271">
        <f>_xll.ICEHistory(S$4,W$5,"DF[dow:12345][tl:Calendar]",$L271)</f>
        <v>281</v>
      </c>
      <c r="X271">
        <f t="shared" si="12"/>
        <v>2.2687224669603549E-2</v>
      </c>
      <c r="Y271">
        <f t="shared" si="13"/>
        <v>-0.71900222432560124</v>
      </c>
      <c r="Z271">
        <f t="shared" si="14"/>
        <v>-0.34551598649233806</v>
      </c>
    </row>
    <row r="272" spans="12:26" x14ac:dyDescent="0.25">
      <c r="L272" s="4">
        <f>_xll.ICETimeline(_xll.ICEJoinRange(M4:W4),"DF[dow:12345][tl:Calendar]","2020-07-26;2024-07-26",779,-1)</f>
        <v>45128.5</v>
      </c>
      <c r="M272">
        <f>_xll.ICEHistory(M$4,M$5,"DF[dow:12345][tl:Calendar]",$L272)</f>
        <v>90.8</v>
      </c>
      <c r="N272">
        <f>_xll.ICEHistory(M$4,N$5,"DF[dow:12345][tl:Calendar]",$L272)</f>
        <v>92.3</v>
      </c>
      <c r="O272">
        <f>_xll.ICEHistory(M$4,O$5,"DF[dow:12345][tl:Calendar]",$L272)</f>
        <v>90.32</v>
      </c>
      <c r="P272">
        <f>_xll.ICEHistory(M$4,P$5,"DF[dow:12345][tl:Calendar]",$L272)</f>
        <v>91.82</v>
      </c>
      <c r="Q272">
        <f>_xll.ICEHistory(M$4,Q$5,"DF[dow:12345][tl:Calendar]",$L272)</f>
        <v>19015</v>
      </c>
      <c r="R272">
        <f>_xll.ICEHistory(M$4,R$5,"DF[dow:12345][tl:Calendar]",$L272)</f>
        <v>267524</v>
      </c>
      <c r="S272">
        <f>_xll.ICEHistory(S$4,S$5,"DF[dow:12345][tl:Calendar]",$L272)</f>
        <v>30</v>
      </c>
      <c r="T272">
        <f>_xll.ICEHistory(S$4,T$5,"DF[dow:12345][tl:Calendar]",$L272)</f>
        <v>30.53</v>
      </c>
      <c r="U272">
        <f>_xll.ICEHistory(S$4,U$5,"DF[dow:12345][tl:Calendar]",$L272)</f>
        <v>28.164000000000001</v>
      </c>
      <c r="V272">
        <f>_xll.ICEHistory(S$4,V$5,"DF[dow:12345][tl:Calendar]",$L272)</f>
        <v>28.164000000000001</v>
      </c>
      <c r="W272">
        <f>_xll.ICEHistory(S$4,W$5,"DF[dow:12345][tl:Calendar]",$L272)</f>
        <v>221</v>
      </c>
      <c r="X272">
        <f t="shared" si="12"/>
        <v>2.2259696458684697E-2</v>
      </c>
      <c r="Y272">
        <f t="shared" si="13"/>
        <v>-0.76530534231683089</v>
      </c>
      <c r="Z272">
        <f t="shared" si="14"/>
        <v>-0.10029919431223833</v>
      </c>
    </row>
    <row r="273" spans="12:26" x14ac:dyDescent="0.25">
      <c r="L273" s="4">
        <f>_xll.ICETimeline(_xll.ICEJoinRange(M4:W4),"DF[dow:12345][tl:Calendar]","2020-07-26;2024-07-26",778,-1)</f>
        <v>45127.5</v>
      </c>
      <c r="M273">
        <f>_xll.ICEHistory(M$4,M$5,"DF[dow:12345][tl:Calendar]",$L273)</f>
        <v>88.95</v>
      </c>
      <c r="N273">
        <f>_xll.ICEHistory(M$4,N$5,"DF[dow:12345][tl:Calendar]",$L273)</f>
        <v>91.25</v>
      </c>
      <c r="O273">
        <f>_xll.ICEHistory(M$4,O$5,"DF[dow:12345][tl:Calendar]",$L273)</f>
        <v>88.75</v>
      </c>
      <c r="P273">
        <f>_xll.ICEHistory(M$4,P$5,"DF[dow:12345][tl:Calendar]",$L273)</f>
        <v>90.84</v>
      </c>
      <c r="Q273">
        <f>_xll.ICEHistory(M$4,Q$5,"DF[dow:12345][tl:Calendar]",$L273)</f>
        <v>22015</v>
      </c>
      <c r="R273">
        <f>_xll.ICEHistory(M$4,R$5,"DF[dow:12345][tl:Calendar]",$L273)</f>
        <v>267109</v>
      </c>
      <c r="S273">
        <f>_xll.ICEHistory(S$4,S$5,"DF[dow:12345][tl:Calendar]",$L273)</f>
        <v>25.54</v>
      </c>
      <c r="T273">
        <f>_xll.ICEHistory(S$4,T$5,"DF[dow:12345][tl:Calendar]",$L273)</f>
        <v>28.018000000000001</v>
      </c>
      <c r="U273">
        <f>_xll.ICEHistory(S$4,U$5,"DF[dow:12345][tl:Calendar]",$L273)</f>
        <v>25.54</v>
      </c>
      <c r="V273">
        <f>_xll.ICEHistory(S$4,V$5,"DF[dow:12345][tl:Calendar]",$L273)</f>
        <v>28.018000000000001</v>
      </c>
      <c r="W273">
        <f>_xll.ICEHistory(S$4,W$5,"DF[dow:12345][tl:Calendar]",$L273)</f>
        <v>483</v>
      </c>
      <c r="X273">
        <f t="shared" si="12"/>
        <v>2.8357531760435574E-2</v>
      </c>
      <c r="Y273">
        <f t="shared" si="13"/>
        <v>-0.25066280267811897</v>
      </c>
      <c r="Z273">
        <f t="shared" si="14"/>
        <v>0.37667521057824671</v>
      </c>
    </row>
    <row r="274" spans="12:26" x14ac:dyDescent="0.25">
      <c r="L274" s="4">
        <f>_xll.ICETimeline(_xll.ICEJoinRange(M4:W4),"DF[dow:12345][tl:Calendar]","2020-07-26;2024-07-26",777,-1)</f>
        <v>45126.5</v>
      </c>
      <c r="M274">
        <f>_xll.ICEHistory(M$4,M$5,"DF[dow:12345][tl:Calendar]",$L274)</f>
        <v>88.16</v>
      </c>
      <c r="N274">
        <f>_xll.ICEHistory(M$4,N$5,"DF[dow:12345][tl:Calendar]",$L274)</f>
        <v>89.45</v>
      </c>
      <c r="O274">
        <f>_xll.ICEHistory(M$4,O$5,"DF[dow:12345][tl:Calendar]",$L274)</f>
        <v>87.05</v>
      </c>
      <c r="P274">
        <f>_xll.ICEHistory(M$4,P$5,"DF[dow:12345][tl:Calendar]",$L274)</f>
        <v>88.98</v>
      </c>
      <c r="Q274">
        <f>_xll.ICEHistory(M$4,Q$5,"DF[dow:12345][tl:Calendar]",$L274)</f>
        <v>19152</v>
      </c>
      <c r="R274">
        <f>_xll.ICEHistory(M$4,R$5,"DF[dow:12345][tl:Calendar]",$L274)</f>
        <v>267249</v>
      </c>
      <c r="S274">
        <f>_xll.ICEHistory(S$4,S$5,"DF[dow:12345][tl:Calendar]",$L274)</f>
        <v>27.155000000000001</v>
      </c>
      <c r="T274">
        <f>_xll.ICEHistory(S$4,T$5,"DF[dow:12345][tl:Calendar]",$L274)</f>
        <v>28.13</v>
      </c>
      <c r="U274">
        <f>_xll.ICEHistory(S$4,U$5,"DF[dow:12345][tl:Calendar]",$L274)</f>
        <v>25.59</v>
      </c>
      <c r="V274">
        <f>_xll.ICEHistory(S$4,V$5,"DF[dow:12345][tl:Calendar]",$L274)</f>
        <v>26.963000000000001</v>
      </c>
      <c r="W274">
        <f>_xll.ICEHistory(S$4,W$5,"DF[dow:12345][tl:Calendar]",$L274)</f>
        <v>881</v>
      </c>
      <c r="X274">
        <f t="shared" si="12"/>
        <v>2.7624309392265262E-2</v>
      </c>
      <c r="Y274">
        <f t="shared" si="13"/>
        <v>-0.32669727063831927</v>
      </c>
      <c r="Z274">
        <f t="shared" si="14"/>
        <v>-7.5166806564031546E-2</v>
      </c>
    </row>
    <row r="275" spans="12:26" x14ac:dyDescent="0.25">
      <c r="L275" s="4">
        <f>_xll.ICETimeline(_xll.ICEJoinRange(M4:W4),"DF[dow:12345][tl:Calendar]","2020-07-26;2024-07-26",776,-1)</f>
        <v>45125.5</v>
      </c>
      <c r="M275">
        <f>_xll.ICEHistory(M$4,M$5,"DF[dow:12345][tl:Calendar]",$L275)</f>
        <v>86.88</v>
      </c>
      <c r="N275">
        <f>_xll.ICEHistory(M$4,N$5,"DF[dow:12345][tl:Calendar]",$L275)</f>
        <v>88.32</v>
      </c>
      <c r="O275">
        <f>_xll.ICEHistory(M$4,O$5,"DF[dow:12345][tl:Calendar]",$L275)</f>
        <v>86.21</v>
      </c>
      <c r="P275">
        <f>_xll.ICEHistory(M$4,P$5,"DF[dow:12345][tl:Calendar]",$L275)</f>
        <v>88.18</v>
      </c>
      <c r="Q275">
        <f>_xll.ICEHistory(M$4,Q$5,"DF[dow:12345][tl:Calendar]",$L275)</f>
        <v>17626</v>
      </c>
      <c r="R275">
        <f>_xll.ICEHistory(M$4,R$5,"DF[dow:12345][tl:Calendar]",$L275)</f>
        <v>265208</v>
      </c>
      <c r="S275">
        <f>_xll.ICEHistory(S$4,S$5,"DF[dow:12345][tl:Calendar]",$L275)</f>
        <v>26</v>
      </c>
      <c r="T275">
        <f>_xll.ICEHistory(S$4,T$5,"DF[dow:12345][tl:Calendar]",$L275)</f>
        <v>27.495000000000001</v>
      </c>
      <c r="U275">
        <f>_xll.ICEHistory(S$4,U$5,"DF[dow:12345][tl:Calendar]",$L275)</f>
        <v>25.265000000000001</v>
      </c>
      <c r="V275">
        <f>_xll.ICEHistory(S$4,V$5,"DF[dow:12345][tl:Calendar]",$L275)</f>
        <v>27.068999999999999</v>
      </c>
      <c r="W275">
        <f>_xll.ICEHistory(S$4,W$5,"DF[dow:12345][tl:Calendar]",$L275)</f>
        <v>1764</v>
      </c>
      <c r="X275">
        <f t="shared" si="12"/>
        <v>2.4554870243221217E-2</v>
      </c>
      <c r="Y275">
        <f t="shared" si="13"/>
        <v>-0.58952079534519897</v>
      </c>
      <c r="Z275">
        <f t="shared" si="14"/>
        <v>-0.31916555290279075</v>
      </c>
    </row>
    <row r="276" spans="12:26" x14ac:dyDescent="0.25">
      <c r="L276" s="4">
        <f>_xll.ICETimeline(_xll.ICEJoinRange(M4:W4),"DF[dow:12345][tl:Calendar]","2020-07-26;2024-07-26",775,-1)</f>
        <v>45124.5</v>
      </c>
      <c r="M276">
        <f>_xll.ICEHistory(M$4,M$5,"DF[dow:12345][tl:Calendar]",$L276)</f>
        <v>85.93</v>
      </c>
      <c r="N276">
        <f>_xll.ICEHistory(M$4,N$5,"DF[dow:12345][tl:Calendar]",$L276)</f>
        <v>86.81</v>
      </c>
      <c r="O276">
        <f>_xll.ICEHistory(M$4,O$5,"DF[dow:12345][tl:Calendar]",$L276)</f>
        <v>85.18</v>
      </c>
      <c r="P276">
        <f>_xll.ICEHistory(M$4,P$5,"DF[dow:12345][tl:Calendar]",$L276)</f>
        <v>86.78</v>
      </c>
      <c r="Q276">
        <f>_xll.ICEHistory(M$4,Q$5,"DF[dow:12345][tl:Calendar]",$L276)</f>
        <v>15446</v>
      </c>
      <c r="R276">
        <f>_xll.ICEHistory(M$4,R$5,"DF[dow:12345][tl:Calendar]",$L276)</f>
        <v>264630</v>
      </c>
      <c r="S276">
        <f>_xll.ICEHistory(S$4,S$5,"DF[dow:12345][tl:Calendar]",$L276)</f>
        <v>24.465</v>
      </c>
      <c r="T276">
        <f>_xll.ICEHistory(S$4,T$5,"DF[dow:12345][tl:Calendar]",$L276)</f>
        <v>25.785</v>
      </c>
      <c r="U276">
        <f>_xll.ICEHistory(S$4,U$5,"DF[dow:12345][tl:Calendar]",$L276)</f>
        <v>24.465</v>
      </c>
      <c r="V276">
        <f>_xll.ICEHistory(S$4,V$5,"DF[dow:12345][tl:Calendar]",$L276)</f>
        <v>25.100999999999999</v>
      </c>
      <c r="W276">
        <f>_xll.ICEHistory(S$4,W$5,"DF[dow:12345][tl:Calendar]",$L276)</f>
        <v>3052</v>
      </c>
      <c r="X276">
        <f t="shared" si="12"/>
        <v>1.8984393198229622E-2</v>
      </c>
      <c r="Y276">
        <f t="shared" si="13"/>
        <v>-1.0908007153407548</v>
      </c>
      <c r="Z276">
        <f t="shared" si="14"/>
        <v>-0.65634591711723123</v>
      </c>
    </row>
    <row r="277" spans="12:26" x14ac:dyDescent="0.25">
      <c r="L277" s="4">
        <f>_xll.ICETimeline(_xll.ICEJoinRange(M4:W4),"DF[dow:12345][tl:Calendar]","2020-07-26;2024-07-26",774,-1)</f>
        <v>45121.5</v>
      </c>
      <c r="M277">
        <f>_xll.ICEHistory(M$4,M$5,"DF[dow:12345][tl:Calendar]",$L277)</f>
        <v>85.86</v>
      </c>
      <c r="N277">
        <f>_xll.ICEHistory(M$4,N$5,"DF[dow:12345][tl:Calendar]",$L277)</f>
        <v>87.65</v>
      </c>
      <c r="O277">
        <f>_xll.ICEHistory(M$4,O$5,"DF[dow:12345][tl:Calendar]",$L277)</f>
        <v>85.82</v>
      </c>
      <c r="P277">
        <f>_xll.ICEHistory(M$4,P$5,"DF[dow:12345][tl:Calendar]",$L277)</f>
        <v>86.35</v>
      </c>
      <c r="Q277">
        <f>_xll.ICEHistory(M$4,Q$5,"DF[dow:12345][tl:Calendar]",$L277)</f>
        <v>13232</v>
      </c>
      <c r="R277">
        <f>_xll.ICEHistory(M$4,R$5,"DF[dow:12345][tl:Calendar]",$L277)</f>
        <v>263361</v>
      </c>
      <c r="S277">
        <f>_xll.ICEHistory(S$4,S$5,"DF[dow:12345][tl:Calendar]",$L277)</f>
        <v>27.57</v>
      </c>
      <c r="T277">
        <f>_xll.ICEHistory(S$4,T$5,"DF[dow:12345][tl:Calendar]",$L277)</f>
        <v>28.7</v>
      </c>
      <c r="U277">
        <f>_xll.ICEHistory(S$4,U$5,"DF[dow:12345][tl:Calendar]",$L277)</f>
        <v>25.11</v>
      </c>
      <c r="V277">
        <f>_xll.ICEHistory(S$4,V$5,"DF[dow:12345][tl:Calendar]",$L277)</f>
        <v>25.957000000000001</v>
      </c>
      <c r="W277">
        <f>_xll.ICEHistory(S$4,W$5,"DF[dow:12345][tl:Calendar]",$L277)</f>
        <v>1817</v>
      </c>
      <c r="X277">
        <f t="shared" si="12"/>
        <v>2.1313766596785612E-2</v>
      </c>
      <c r="Y277">
        <f t="shared" si="13"/>
        <v>-0.90659039164262678</v>
      </c>
      <c r="Z277">
        <f t="shared" si="14"/>
        <v>-1.0051804467844041</v>
      </c>
    </row>
    <row r="278" spans="12:26" x14ac:dyDescent="0.25">
      <c r="L278" s="4">
        <f>_xll.ICETimeline(_xll.ICEJoinRange(M4:W4),"DF[dow:12345][tl:Calendar]","2020-07-26;2024-07-26",773,-1)</f>
        <v>45120.5</v>
      </c>
      <c r="M278">
        <f>_xll.ICEHistory(M$4,M$5,"DF[dow:12345][tl:Calendar]",$L278)</f>
        <v>85.86</v>
      </c>
      <c r="N278">
        <f>_xll.ICEHistory(M$4,N$5,"DF[dow:12345][tl:Calendar]",$L278)</f>
        <v>86.96</v>
      </c>
      <c r="O278">
        <f>_xll.ICEHistory(M$4,O$5,"DF[dow:12345][tl:Calendar]",$L278)</f>
        <v>85.32</v>
      </c>
      <c r="P278">
        <f>_xll.ICEHistory(M$4,P$5,"DF[dow:12345][tl:Calendar]",$L278)</f>
        <v>85.88</v>
      </c>
      <c r="Q278">
        <f>_xll.ICEHistory(M$4,Q$5,"DF[dow:12345][tl:Calendar]",$L278)</f>
        <v>13911</v>
      </c>
      <c r="R278">
        <f>_xll.ICEHistory(M$4,R$5,"DF[dow:12345][tl:Calendar]",$L278)</f>
        <v>262685</v>
      </c>
      <c r="S278">
        <f>_xll.ICEHistory(S$4,S$5,"DF[dow:12345][tl:Calendar]",$L278)</f>
        <v>26.885000000000002</v>
      </c>
      <c r="T278">
        <f>_xll.ICEHistory(S$4,T$5,"DF[dow:12345][tl:Calendar]",$L278)</f>
        <v>27.545000000000002</v>
      </c>
      <c r="U278">
        <f>_xll.ICEHistory(S$4,U$5,"DF[dow:12345][tl:Calendar]",$L278)</f>
        <v>26.23</v>
      </c>
      <c r="V278">
        <f>_xll.ICEHistory(S$4,V$5,"DF[dow:12345][tl:Calendar]",$L278)</f>
        <v>26.606999999999999</v>
      </c>
      <c r="W278">
        <f>_xll.ICEHistory(S$4,W$5,"DF[dow:12345][tl:Calendar]",$L278)</f>
        <v>370</v>
      </c>
      <c r="X278">
        <f t="shared" si="12"/>
        <v>1.8844076755141912E-2</v>
      </c>
      <c r="Y278">
        <f t="shared" si="13"/>
        <v>-1.1181434671930353</v>
      </c>
      <c r="Z278">
        <f t="shared" si="14"/>
        <v>-0.91558818296246736</v>
      </c>
    </row>
    <row r="279" spans="12:26" x14ac:dyDescent="0.25">
      <c r="L279" s="4">
        <f>_xll.ICETimeline(_xll.ICEJoinRange(M4:W4),"DF[dow:12345][tl:Calendar]","2020-07-26;2024-07-26",772,-1)</f>
        <v>45119.5</v>
      </c>
      <c r="M279">
        <f>_xll.ICEHistory(M$4,M$5,"DF[dow:12345][tl:Calendar]",$L279)</f>
        <v>87.03</v>
      </c>
      <c r="N279">
        <f>_xll.ICEHistory(M$4,N$5,"DF[dow:12345][tl:Calendar]",$L279)</f>
        <v>88.32</v>
      </c>
      <c r="O279">
        <f>_xll.ICEHistory(M$4,O$5,"DF[dow:12345][tl:Calendar]",$L279)</f>
        <v>85.68</v>
      </c>
      <c r="P279">
        <f>_xll.ICEHistory(M$4,P$5,"DF[dow:12345][tl:Calendar]",$L279)</f>
        <v>85.83</v>
      </c>
      <c r="Q279">
        <f>_xll.ICEHistory(M$4,Q$5,"DF[dow:12345][tl:Calendar]",$L279)</f>
        <v>20750</v>
      </c>
      <c r="R279">
        <f>_xll.ICEHistory(M$4,R$5,"DF[dow:12345][tl:Calendar]",$L279)</f>
        <v>261209</v>
      </c>
      <c r="S279">
        <f>_xll.ICEHistory(S$4,S$5,"DF[dow:12345][tl:Calendar]",$L279)</f>
        <v>28.454999999999998</v>
      </c>
      <c r="T279">
        <f>_xll.ICEHistory(S$4,T$5,"DF[dow:12345][tl:Calendar]",$L279)</f>
        <v>28.58</v>
      </c>
      <c r="U279">
        <f>_xll.ICEHistory(S$4,U$5,"DF[dow:12345][tl:Calendar]",$L279)</f>
        <v>26.32</v>
      </c>
      <c r="V279">
        <f>_xll.ICEHistory(S$4,V$5,"DF[dow:12345][tl:Calendar]",$L279)</f>
        <v>26.638999999999999</v>
      </c>
      <c r="W279">
        <f>_xll.ICEHistory(S$4,W$5,"DF[dow:12345][tl:Calendar]",$L279)</f>
        <v>1543</v>
      </c>
      <c r="X279">
        <f t="shared" si="12"/>
        <v>3.0576789437108943E-2</v>
      </c>
      <c r="Y279">
        <f t="shared" si="13"/>
        <v>-0.1105125677003499</v>
      </c>
      <c r="Z279">
        <f t="shared" si="14"/>
        <v>0.17262616873410661</v>
      </c>
    </row>
    <row r="280" spans="12:26" x14ac:dyDescent="0.25">
      <c r="L280" s="4">
        <f>_xll.ICETimeline(_xll.ICEJoinRange(M4:W4),"DF[dow:12345][tl:Calendar]","2020-07-26;2024-07-26",771,-1)</f>
        <v>45118.5</v>
      </c>
      <c r="M280">
        <f>_xll.ICEHistory(M$4,M$5,"DF[dow:12345][tl:Calendar]",$L280)</f>
        <v>86.34</v>
      </c>
      <c r="N280">
        <f>_xll.ICEHistory(M$4,N$5,"DF[dow:12345][tl:Calendar]",$L280)</f>
        <v>87.22</v>
      </c>
      <c r="O280">
        <f>_xll.ICEHistory(M$4,O$5,"DF[dow:12345][tl:Calendar]",$L280)</f>
        <v>85.06</v>
      </c>
      <c r="P280">
        <f>_xll.ICEHistory(M$4,P$5,"DF[dow:12345][tl:Calendar]",$L280)</f>
        <v>87.05</v>
      </c>
      <c r="Q280">
        <f>_xll.ICEHistory(M$4,Q$5,"DF[dow:12345][tl:Calendar]",$L280)</f>
        <v>20374</v>
      </c>
      <c r="R280">
        <f>_xll.ICEHistory(M$4,R$5,"DF[dow:12345][tl:Calendar]",$L280)</f>
        <v>258565</v>
      </c>
      <c r="S280">
        <f>_xll.ICEHistory(S$4,S$5,"DF[dow:12345][tl:Calendar]",$L280)</f>
        <v>29.93</v>
      </c>
      <c r="T280">
        <f>_xll.ICEHistory(S$4,T$5,"DF[dow:12345][tl:Calendar]",$L280)</f>
        <v>29.93</v>
      </c>
      <c r="U280">
        <f>_xll.ICEHistory(S$4,U$5,"DF[dow:12345][tl:Calendar]",$L280)</f>
        <v>28.91</v>
      </c>
      <c r="V280">
        <f>_xll.ICEHistory(S$4,V$5,"DF[dow:12345][tl:Calendar]",$L280)</f>
        <v>29.061</v>
      </c>
      <c r="W280">
        <f>_xll.ICEHistory(S$4,W$5,"DF[dow:12345][tl:Calendar]",$L280)</f>
        <v>540</v>
      </c>
      <c r="X280">
        <f t="shared" si="12"/>
        <v>2.5069637883008318E-2</v>
      </c>
      <c r="Y280">
        <f t="shared" si="13"/>
        <v>-0.60132781322965112</v>
      </c>
      <c r="Z280">
        <f t="shared" si="14"/>
        <v>0.12735420100355513</v>
      </c>
    </row>
    <row r="281" spans="12:26" x14ac:dyDescent="0.25">
      <c r="L281" s="4">
        <f>_xll.ICETimeline(_xll.ICEJoinRange(M4:W4),"DF[dow:12345][tl:Calendar]","2020-07-26;2024-07-26",770,-1)</f>
        <v>45117.5</v>
      </c>
      <c r="M281">
        <f>_xll.ICEHistory(M$4,M$5,"DF[dow:12345][tl:Calendar]",$L281)</f>
        <v>86.16</v>
      </c>
      <c r="N281">
        <f>_xll.ICEHistory(M$4,N$5,"DF[dow:12345][tl:Calendar]",$L281)</f>
        <v>87.2</v>
      </c>
      <c r="O281">
        <f>_xll.ICEHistory(M$4,O$5,"DF[dow:12345][tl:Calendar]",$L281)</f>
        <v>85.47</v>
      </c>
      <c r="P281">
        <f>_xll.ICEHistory(M$4,P$5,"DF[dow:12345][tl:Calendar]",$L281)</f>
        <v>86.26</v>
      </c>
      <c r="Q281">
        <f>_xll.ICEHistory(M$4,Q$5,"DF[dow:12345][tl:Calendar]",$L281)</f>
        <v>16824</v>
      </c>
      <c r="R281">
        <f>_xll.ICEHistory(M$4,R$5,"DF[dow:12345][tl:Calendar]",$L281)</f>
        <v>258266</v>
      </c>
      <c r="S281">
        <f>_xll.ICEHistory(S$4,S$5,"DF[dow:12345][tl:Calendar]",$L281)</f>
        <v>32.83</v>
      </c>
      <c r="T281">
        <f>_xll.ICEHistory(S$4,T$5,"DF[dow:12345][tl:Calendar]",$L281)</f>
        <v>32.83</v>
      </c>
      <c r="U281">
        <f>_xll.ICEHistory(S$4,U$5,"DF[dow:12345][tl:Calendar]",$L281)</f>
        <v>29.555</v>
      </c>
      <c r="V281">
        <f>_xll.ICEHistory(S$4,V$5,"DF[dow:12345][tl:Calendar]",$L281)</f>
        <v>30.227</v>
      </c>
      <c r="W281">
        <f>_xll.ICEHistory(S$4,W$5,"DF[dow:12345][tl:Calendar]",$L281)</f>
        <v>767</v>
      </c>
      <c r="X281">
        <f t="shared" si="12"/>
        <v>2.00533209690507E-2</v>
      </c>
      <c r="Y281">
        <f t="shared" si="13"/>
        <v>-1.0283656164958592</v>
      </c>
      <c r="Z281">
        <f t="shared" si="14"/>
        <v>-0.36902540194291039</v>
      </c>
    </row>
    <row r="282" spans="12:26" x14ac:dyDescent="0.25">
      <c r="L282" s="4">
        <f>_xll.ICETimeline(_xll.ICEJoinRange(M4:W4),"DF[dow:12345][tl:Calendar]","2020-07-26;2024-07-26",769,-1)</f>
        <v>45114.5</v>
      </c>
      <c r="M282">
        <f>_xll.ICEHistory(M$4,M$5,"DF[dow:12345][tl:Calendar]",$L282)</f>
        <v>86.27</v>
      </c>
      <c r="N282">
        <f>_xll.ICEHistory(M$4,N$5,"DF[dow:12345][tl:Calendar]",$L282)</f>
        <v>87.85</v>
      </c>
      <c r="O282">
        <f>_xll.ICEHistory(M$4,O$5,"DF[dow:12345][tl:Calendar]",$L282)</f>
        <v>85.83</v>
      </c>
      <c r="P282">
        <f>_xll.ICEHistory(M$4,P$5,"DF[dow:12345][tl:Calendar]",$L282)</f>
        <v>86.15</v>
      </c>
      <c r="Q282">
        <f>_xll.ICEHistory(M$4,Q$5,"DF[dow:12345][tl:Calendar]",$L282)</f>
        <v>23495</v>
      </c>
      <c r="R282">
        <f>_xll.ICEHistory(M$4,R$5,"DF[dow:12345][tl:Calendar]",$L282)</f>
        <v>256575</v>
      </c>
      <c r="S282">
        <f>_xll.ICEHistory(S$4,S$5,"DF[dow:12345][tl:Calendar]",$L282)</f>
        <v>33.299999999999997</v>
      </c>
      <c r="T282">
        <f>_xll.ICEHistory(S$4,T$5,"DF[dow:12345][tl:Calendar]",$L282)</f>
        <v>33.585000000000001</v>
      </c>
      <c r="U282">
        <f>_xll.ICEHistory(S$4,U$5,"DF[dow:12345][tl:Calendar]",$L282)</f>
        <v>32.704999999999998</v>
      </c>
      <c r="V282">
        <f>_xll.ICEHistory(S$4,V$5,"DF[dow:12345][tl:Calendar]",$L282)</f>
        <v>33.478000000000002</v>
      </c>
      <c r="W282">
        <f>_xll.ICEHistory(S$4,W$5,"DF[dow:12345][tl:Calendar]",$L282)</f>
        <v>256</v>
      </c>
      <c r="X282">
        <f t="shared" si="12"/>
        <v>2.3570595099183151E-2</v>
      </c>
      <c r="Y282">
        <f t="shared" si="13"/>
        <v>-0.72042687954226003</v>
      </c>
      <c r="Z282">
        <f t="shared" si="14"/>
        <v>0.63440501114114389</v>
      </c>
    </row>
    <row r="283" spans="12:26" x14ac:dyDescent="0.25">
      <c r="L283" s="4">
        <f>_xll.ICETimeline(_xll.ICEJoinRange(M4:W4),"DF[dow:12345][tl:Calendar]","2020-07-26;2024-07-26",768,-1)</f>
        <v>45113.5</v>
      </c>
      <c r="M283">
        <f>_xll.ICEHistory(M$4,M$5,"DF[dow:12345][tl:Calendar]",$L283)</f>
        <v>85.7</v>
      </c>
      <c r="N283">
        <f>_xll.ICEHistory(M$4,N$5,"DF[dow:12345][tl:Calendar]",$L283)</f>
        <v>86.45</v>
      </c>
      <c r="O283">
        <f>_xll.ICEHistory(M$4,O$5,"DF[dow:12345][tl:Calendar]",$L283)</f>
        <v>85.33</v>
      </c>
      <c r="P283">
        <f>_xll.ICEHistory(M$4,P$5,"DF[dow:12345][tl:Calendar]",$L283)</f>
        <v>86.29</v>
      </c>
      <c r="Q283">
        <f>_xll.ICEHistory(M$4,Q$5,"DF[dow:12345][tl:Calendar]",$L283)</f>
        <v>17058</v>
      </c>
      <c r="R283">
        <f>_xll.ICEHistory(M$4,R$5,"DF[dow:12345][tl:Calendar]",$L283)</f>
        <v>265501</v>
      </c>
      <c r="S283">
        <f>_xll.ICEHistory(S$4,S$5,"DF[dow:12345][tl:Calendar]",$L283)</f>
        <v>33.24</v>
      </c>
      <c r="T283">
        <f>_xll.ICEHistory(S$4,T$5,"DF[dow:12345][tl:Calendar]",$L283)</f>
        <v>33.24</v>
      </c>
      <c r="U283">
        <f>_xll.ICEHistory(S$4,U$5,"DF[dow:12345][tl:Calendar]",$L283)</f>
        <v>32.299999999999997</v>
      </c>
      <c r="V283">
        <f>_xll.ICEHistory(S$4,V$5,"DF[dow:12345][tl:Calendar]",$L283)</f>
        <v>32.347999999999999</v>
      </c>
      <c r="W283">
        <f>_xll.ICEHistory(S$4,W$5,"DF[dow:12345][tl:Calendar]",$L283)</f>
        <v>1410</v>
      </c>
      <c r="X283">
        <f t="shared" si="12"/>
        <v>1.2861736334405197E-2</v>
      </c>
      <c r="Y283">
        <f t="shared" si="13"/>
        <v>-1.6530866621279299</v>
      </c>
      <c r="Z283">
        <f t="shared" si="14"/>
        <v>-0.25488789831895958</v>
      </c>
    </row>
    <row r="284" spans="12:26" x14ac:dyDescent="0.25">
      <c r="L284" s="4">
        <f>_xll.ICETimeline(_xll.ICEJoinRange(M4:W4),"DF[dow:12345][tl:Calendar]","2020-07-26;2024-07-26",767,-1)</f>
        <v>45112.5</v>
      </c>
      <c r="M284">
        <f>_xll.ICEHistory(M$4,M$5,"DF[dow:12345][tl:Calendar]",$L284)</f>
        <v>87.08</v>
      </c>
      <c r="N284">
        <f>_xll.ICEHistory(M$4,N$5,"DF[dow:12345][tl:Calendar]",$L284)</f>
        <v>87.32</v>
      </c>
      <c r="O284">
        <f>_xll.ICEHistory(M$4,O$5,"DF[dow:12345][tl:Calendar]",$L284)</f>
        <v>85.7</v>
      </c>
      <c r="P284">
        <f>_xll.ICEHistory(M$4,P$5,"DF[dow:12345][tl:Calendar]",$L284)</f>
        <v>85.81</v>
      </c>
      <c r="Q284">
        <f>_xll.ICEHistory(M$4,Q$5,"DF[dow:12345][tl:Calendar]",$L284)</f>
        <v>18715</v>
      </c>
      <c r="R284">
        <f>_xll.ICEHistory(M$4,R$5,"DF[dow:12345][tl:Calendar]",$L284)</f>
        <v>263768</v>
      </c>
      <c r="S284">
        <f>_xll.ICEHistory(S$4,S$5,"DF[dow:12345][tl:Calendar]",$L284)</f>
        <v>33.825000000000003</v>
      </c>
      <c r="T284">
        <f>_xll.ICEHistory(S$4,T$5,"DF[dow:12345][tl:Calendar]",$L284)</f>
        <v>36.11</v>
      </c>
      <c r="U284">
        <f>_xll.ICEHistory(S$4,U$5,"DF[dow:12345][tl:Calendar]",$L284)</f>
        <v>33.805</v>
      </c>
      <c r="V284">
        <f>_xll.ICEHistory(S$4,V$5,"DF[dow:12345][tl:Calendar]",$L284)</f>
        <v>34.372999999999998</v>
      </c>
      <c r="W284">
        <f>_xll.ICEHistory(S$4,W$5,"DF[dow:12345][tl:Calendar]",$L284)</f>
        <v>303</v>
      </c>
      <c r="X284">
        <f t="shared" si="12"/>
        <v>1.8533348587118068E-2</v>
      </c>
      <c r="Y284">
        <f t="shared" si="13"/>
        <v>-1.1841847337649312</v>
      </c>
      <c r="Z284">
        <f t="shared" si="14"/>
        <v>-2.3910874661436703E-2</v>
      </c>
    </row>
    <row r="285" spans="12:26" x14ac:dyDescent="0.25">
      <c r="L285" s="4">
        <f>_xll.ICETimeline(_xll.ICEJoinRange(M4:W4),"DF[dow:12345][tl:Calendar]","2020-07-26;2024-07-26",766,-1)</f>
        <v>45111.5</v>
      </c>
      <c r="M285">
        <f>_xll.ICEHistory(M$4,M$5,"DF[dow:12345][tl:Calendar]",$L285)</f>
        <v>87.41</v>
      </c>
      <c r="N285">
        <f>_xll.ICEHistory(M$4,N$5,"DF[dow:12345][tl:Calendar]",$L285)</f>
        <v>88.1</v>
      </c>
      <c r="O285">
        <f>_xll.ICEHistory(M$4,O$5,"DF[dow:12345][tl:Calendar]",$L285)</f>
        <v>86.68</v>
      </c>
      <c r="P285">
        <f>_xll.ICEHistory(M$4,P$5,"DF[dow:12345][tl:Calendar]",$L285)</f>
        <v>87.69</v>
      </c>
      <c r="Q285">
        <f>_xll.ICEHistory(M$4,Q$5,"DF[dow:12345][tl:Calendar]",$L285)</f>
        <v>13649</v>
      </c>
      <c r="R285">
        <f>_xll.ICEHistory(M$4,R$5,"DF[dow:12345][tl:Calendar]",$L285)</f>
        <v>261735</v>
      </c>
      <c r="S285">
        <f>_xll.ICEHistory(S$4,S$5,"DF[dow:12345][tl:Calendar]",$L285)</f>
        <v>37.82</v>
      </c>
      <c r="T285">
        <f>_xll.ICEHistory(S$4,T$5,"DF[dow:12345][tl:Calendar]",$L285)</f>
        <v>37.82</v>
      </c>
      <c r="U285">
        <f>_xll.ICEHistory(S$4,U$5,"DF[dow:12345][tl:Calendar]",$L285)</f>
        <v>33.929000000000002</v>
      </c>
      <c r="V285">
        <f>_xll.ICEHistory(S$4,V$5,"DF[dow:12345][tl:Calendar]",$L285)</f>
        <v>33.929000000000002</v>
      </c>
      <c r="W285">
        <f>_xll.ICEHistory(S$4,W$5,"DF[dow:12345][tl:Calendar]",$L285)</f>
        <v>0</v>
      </c>
      <c r="X285">
        <f t="shared" si="12"/>
        <v>1.5931785033097584E-2</v>
      </c>
      <c r="Y285">
        <f t="shared" si="13"/>
        <v>-1.4529937808186362</v>
      </c>
      <c r="Z285">
        <f t="shared" si="14"/>
        <v>-0.73793854745610021</v>
      </c>
    </row>
    <row r="286" spans="12:26" x14ac:dyDescent="0.25">
      <c r="L286" s="4">
        <f>_xll.ICETimeline(_xll.ICEJoinRange(M4:W4),"DF[dow:12345][tl:Calendar]","2020-07-26;2024-07-26",765,-1)</f>
        <v>45110.5</v>
      </c>
      <c r="M286">
        <f>_xll.ICEHistory(M$4,M$5,"DF[dow:12345][tl:Calendar]",$L286)</f>
        <v>89.13</v>
      </c>
      <c r="N286">
        <f>_xll.ICEHistory(M$4,N$5,"DF[dow:12345][tl:Calendar]",$L286)</f>
        <v>89.85</v>
      </c>
      <c r="O286">
        <f>_xll.ICEHistory(M$4,O$5,"DF[dow:12345][tl:Calendar]",$L286)</f>
        <v>87.18</v>
      </c>
      <c r="P286">
        <f>_xll.ICEHistory(M$4,P$5,"DF[dow:12345][tl:Calendar]",$L286)</f>
        <v>87.58</v>
      </c>
      <c r="Q286">
        <f>_xll.ICEHistory(M$4,Q$5,"DF[dow:12345][tl:Calendar]",$L286)</f>
        <v>14968</v>
      </c>
      <c r="R286">
        <f>_xll.ICEHistory(M$4,R$5,"DF[dow:12345][tl:Calendar]",$L286)</f>
        <v>260370</v>
      </c>
      <c r="S286">
        <f>_xll.ICEHistory(S$4,S$5,"DF[dow:12345][tl:Calendar]",$L286)</f>
        <v>37.82</v>
      </c>
      <c r="T286">
        <f>_xll.ICEHistory(S$4,T$5,"DF[dow:12345][tl:Calendar]",$L286)</f>
        <v>37.82</v>
      </c>
      <c r="U286">
        <f>_xll.ICEHistory(S$4,U$5,"DF[dow:12345][tl:Calendar]",$L286)</f>
        <v>33.929000000000002</v>
      </c>
      <c r="V286">
        <f>_xll.ICEHistory(S$4,V$5,"DF[dow:12345][tl:Calendar]",$L286)</f>
        <v>33.929000000000002</v>
      </c>
      <c r="W286">
        <f>_xll.ICEHistory(S$4,W$5,"DF[dow:12345][tl:Calendar]",$L286)</f>
        <v>401</v>
      </c>
      <c r="X286">
        <f t="shared" si="12"/>
        <v>3.0306469920544695E-2</v>
      </c>
      <c r="Y286">
        <f t="shared" si="13"/>
        <v>-0.18241120240045303</v>
      </c>
      <c r="Z286">
        <f t="shared" si="14"/>
        <v>-0.5624545147561274</v>
      </c>
    </row>
    <row r="287" spans="12:26" x14ac:dyDescent="0.25">
      <c r="L287" s="4">
        <f>_xll.ICETimeline(_xll.ICEJoinRange(M4:W4),"DF[dow:12345][tl:Calendar]","2020-07-26;2024-07-26",764,-1)</f>
        <v>45107.5</v>
      </c>
      <c r="M287">
        <f>_xll.ICEHistory(M$4,M$5,"DF[dow:12345][tl:Calendar]",$L287)</f>
        <v>88.1</v>
      </c>
      <c r="N287">
        <f>_xll.ICEHistory(M$4,N$5,"DF[dow:12345][tl:Calendar]",$L287)</f>
        <v>89.61</v>
      </c>
      <c r="O287">
        <f>_xll.ICEHistory(M$4,O$5,"DF[dow:12345][tl:Calendar]",$L287)</f>
        <v>87.11</v>
      </c>
      <c r="P287">
        <f>_xll.ICEHistory(M$4,P$5,"DF[dow:12345][tl:Calendar]",$L287)</f>
        <v>89.57</v>
      </c>
      <c r="Q287">
        <f>_xll.ICEHistory(M$4,Q$5,"DF[dow:12345][tl:Calendar]",$L287)</f>
        <v>18164</v>
      </c>
      <c r="R287">
        <f>_xll.ICEHistory(M$4,R$5,"DF[dow:12345][tl:Calendar]",$L287)</f>
        <v>259282</v>
      </c>
      <c r="S287">
        <f>_xll.ICEHistory(S$4,S$5,"DF[dow:12345][tl:Calendar]",$L287)</f>
        <v>35.195</v>
      </c>
      <c r="T287">
        <f>_xll.ICEHistory(S$4,T$5,"DF[dow:12345][tl:Calendar]",$L287)</f>
        <v>37.65</v>
      </c>
      <c r="U287">
        <f>_xll.ICEHistory(S$4,U$5,"DF[dow:12345][tl:Calendar]",$L287)</f>
        <v>35.195</v>
      </c>
      <c r="V287">
        <f>_xll.ICEHistory(S$4,V$5,"DF[dow:12345][tl:Calendar]",$L287)</f>
        <v>37.103000000000002</v>
      </c>
      <c r="W287">
        <f>_xll.ICEHistory(S$4,W$5,"DF[dow:12345][tl:Calendar]",$L287)</f>
        <v>132</v>
      </c>
      <c r="X287">
        <f t="shared" si="12"/>
        <v>2.8659864725438494E-2</v>
      </c>
      <c r="Y287">
        <f t="shared" si="13"/>
        <v>-0.35333220564322071</v>
      </c>
      <c r="Z287">
        <f t="shared" si="14"/>
        <v>-0.11173046623219028</v>
      </c>
    </row>
    <row r="288" spans="12:26" x14ac:dyDescent="0.25">
      <c r="L288" s="4">
        <f>_xll.ICETimeline(_xll.ICEJoinRange(M4:W4),"DF[dow:12345][tl:Calendar]","2020-07-26;2024-07-26",763,-1)</f>
        <v>45106.5</v>
      </c>
      <c r="M288">
        <f>_xll.ICEHistory(M$4,M$5,"DF[dow:12345][tl:Calendar]",$L288)</f>
        <v>87.23</v>
      </c>
      <c r="N288">
        <f>_xll.ICEHistory(M$4,N$5,"DF[dow:12345][tl:Calendar]",$L288)</f>
        <v>88.82</v>
      </c>
      <c r="O288">
        <f>_xll.ICEHistory(M$4,O$5,"DF[dow:12345][tl:Calendar]",$L288)</f>
        <v>87.1</v>
      </c>
      <c r="P288">
        <f>_xll.ICEHistory(M$4,P$5,"DF[dow:12345][tl:Calendar]",$L288)</f>
        <v>88.13</v>
      </c>
      <c r="Q288">
        <f>_xll.ICEHistory(M$4,Q$5,"DF[dow:12345][tl:Calendar]",$L288)</f>
        <v>15214</v>
      </c>
      <c r="R288">
        <f>_xll.ICEHistory(M$4,R$5,"DF[dow:12345][tl:Calendar]",$L288)</f>
        <v>259229</v>
      </c>
      <c r="S288">
        <f>_xll.ICEHistory(S$4,S$5,"DF[dow:12345][tl:Calendar]",$L288)</f>
        <v>32.299999999999997</v>
      </c>
      <c r="T288">
        <f>_xll.ICEHistory(S$4,T$5,"DF[dow:12345][tl:Calendar]",$L288)</f>
        <v>35.18</v>
      </c>
      <c r="U288">
        <f>_xll.ICEHistory(S$4,U$5,"DF[dow:12345][tl:Calendar]",$L288)</f>
        <v>32.299999999999997</v>
      </c>
      <c r="V288">
        <f>_xll.ICEHistory(S$4,V$5,"DF[dow:12345][tl:Calendar]",$L288)</f>
        <v>35.18</v>
      </c>
      <c r="W288">
        <f>_xll.ICEHistory(S$4,W$5,"DF[dow:12345][tl:Calendar]",$L288)</f>
        <v>40</v>
      </c>
      <c r="X288">
        <f t="shared" si="12"/>
        <v>1.9306319452239293E-2</v>
      </c>
      <c r="Y288">
        <f t="shared" si="13"/>
        <v>-1.1840643479017787</v>
      </c>
      <c r="Z288">
        <f t="shared" si="14"/>
        <v>-0.53297985317367458</v>
      </c>
    </row>
    <row r="289" spans="12:26" x14ac:dyDescent="0.25">
      <c r="L289" s="4">
        <f>_xll.ICETimeline(_xll.ICEJoinRange(M4:W4),"DF[dow:12345][tl:Calendar]","2020-07-26;2024-07-26",762,-1)</f>
        <v>45105.5</v>
      </c>
      <c r="M289">
        <f>_xll.ICEHistory(M$4,M$5,"DF[dow:12345][tl:Calendar]",$L289)</f>
        <v>89.09</v>
      </c>
      <c r="N289">
        <f>_xll.ICEHistory(M$4,N$5,"DF[dow:12345][tl:Calendar]",$L289)</f>
        <v>89.7</v>
      </c>
      <c r="O289">
        <f>_xll.ICEHistory(M$4,O$5,"DF[dow:12345][tl:Calendar]",$L289)</f>
        <v>86.93</v>
      </c>
      <c r="P289">
        <f>_xll.ICEHistory(M$4,P$5,"DF[dow:12345][tl:Calendar]",$L289)</f>
        <v>88.21</v>
      </c>
      <c r="Q289">
        <f>_xll.ICEHistory(M$4,Q$5,"DF[dow:12345][tl:Calendar]",$L289)</f>
        <v>17543</v>
      </c>
      <c r="R289">
        <f>_xll.ICEHistory(M$4,R$5,"DF[dow:12345][tl:Calendar]",$L289)</f>
        <v>259376</v>
      </c>
      <c r="S289">
        <f>_xll.ICEHistory(S$4,S$5,"DF[dow:12345][tl:Calendar]",$L289)</f>
        <v>33.799999999999997</v>
      </c>
      <c r="T289">
        <f>_xll.ICEHistory(S$4,T$5,"DF[dow:12345][tl:Calendar]",$L289)</f>
        <v>34.4</v>
      </c>
      <c r="U289">
        <f>_xll.ICEHistory(S$4,U$5,"DF[dow:12345][tl:Calendar]",$L289)</f>
        <v>33.799999999999997</v>
      </c>
      <c r="V289">
        <f>_xll.ICEHistory(S$4,V$5,"DF[dow:12345][tl:Calendar]",$L289)</f>
        <v>34.125</v>
      </c>
      <c r="W289">
        <f>_xll.ICEHistory(S$4,W$5,"DF[dow:12345][tl:Calendar]",$L289)</f>
        <v>30</v>
      </c>
      <c r="X289">
        <f t="shared" si="12"/>
        <v>3.2000924214417699E-2</v>
      </c>
      <c r="Y289">
        <f t="shared" si="13"/>
        <v>-5.447609233564913E-2</v>
      </c>
      <c r="Z289">
        <f t="shared" si="14"/>
        <v>-0.23126434767082546</v>
      </c>
    </row>
    <row r="290" spans="12:26" x14ac:dyDescent="0.25">
      <c r="L290" s="4">
        <f>_xll.ICETimeline(_xll.ICEJoinRange(M4:W4),"DF[dow:12345][tl:Calendar]","2020-07-26;2024-07-26",761,-1)</f>
        <v>45104.5</v>
      </c>
      <c r="M290">
        <f>_xll.ICEHistory(M$4,M$5,"DF[dow:12345][tl:Calendar]",$L290)</f>
        <v>86.56</v>
      </c>
      <c r="N290">
        <f>_xll.ICEHistory(M$4,N$5,"DF[dow:12345][tl:Calendar]",$L290)</f>
        <v>89.19</v>
      </c>
      <c r="O290">
        <f>_xll.ICEHistory(M$4,O$5,"DF[dow:12345][tl:Calendar]",$L290)</f>
        <v>85.8</v>
      </c>
      <c r="P290">
        <f>_xll.ICEHistory(M$4,P$5,"DF[dow:12345][tl:Calendar]",$L290)</f>
        <v>89.09</v>
      </c>
      <c r="Q290">
        <f>_xll.ICEHistory(M$4,Q$5,"DF[dow:12345][tl:Calendar]",$L290)</f>
        <v>18604</v>
      </c>
      <c r="R290">
        <f>_xll.ICEHistory(M$4,R$5,"DF[dow:12345][tl:Calendar]",$L290)</f>
        <v>256360</v>
      </c>
      <c r="S290">
        <f>_xll.ICEHistory(S$4,S$5,"DF[dow:12345][tl:Calendar]",$L290)</f>
        <v>32.905000000000001</v>
      </c>
      <c r="T290">
        <f>_xll.ICEHistory(S$4,T$5,"DF[dow:12345][tl:Calendar]",$L290)</f>
        <v>34.506</v>
      </c>
      <c r="U290">
        <f>_xll.ICEHistory(S$4,U$5,"DF[dow:12345][tl:Calendar]",$L290)</f>
        <v>32.35</v>
      </c>
      <c r="V290">
        <f>_xll.ICEHistory(S$4,V$5,"DF[dow:12345][tl:Calendar]",$L290)</f>
        <v>34.506</v>
      </c>
      <c r="W290">
        <f>_xll.ICEHistory(S$4,W$5,"DF[dow:12345][tl:Calendar]",$L290)</f>
        <v>57</v>
      </c>
      <c r="X290">
        <f t="shared" si="12"/>
        <v>3.8658912076633606E-2</v>
      </c>
      <c r="Y290">
        <f t="shared" si="13"/>
        <v>0.55735780755429398</v>
      </c>
      <c r="Z290">
        <f t="shared" si="14"/>
        <v>-0.10463423768522194</v>
      </c>
    </row>
    <row r="291" spans="12:26" x14ac:dyDescent="0.25">
      <c r="L291" s="4">
        <f>_xll.ICETimeline(_xll.ICEJoinRange(M4:W4),"DF[dow:12345][tl:Calendar]","2020-07-26;2024-07-26",760,-1)</f>
        <v>45103.5</v>
      </c>
      <c r="M291">
        <f>_xll.ICEHistory(M$4,M$5,"DF[dow:12345][tl:Calendar]",$L291)</f>
        <v>87.69</v>
      </c>
      <c r="N291">
        <f>_xll.ICEHistory(M$4,N$5,"DF[dow:12345][tl:Calendar]",$L291)</f>
        <v>89.74</v>
      </c>
      <c r="O291">
        <f>_xll.ICEHistory(M$4,O$5,"DF[dow:12345][tl:Calendar]",$L291)</f>
        <v>85.85</v>
      </c>
      <c r="P291">
        <f>_xll.ICEHistory(M$4,P$5,"DF[dow:12345][tl:Calendar]",$L291)</f>
        <v>86.49</v>
      </c>
      <c r="Q291">
        <f>_xll.ICEHistory(M$4,Q$5,"DF[dow:12345][tl:Calendar]",$L291)</f>
        <v>20614</v>
      </c>
      <c r="R291">
        <f>_xll.ICEHistory(M$4,R$5,"DF[dow:12345][tl:Calendar]",$L291)</f>
        <v>257719</v>
      </c>
      <c r="S291">
        <f>_xll.ICEHistory(S$4,S$5,"DF[dow:12345][tl:Calendar]",$L291)</f>
        <v>34.305</v>
      </c>
      <c r="T291">
        <f>_xll.ICEHistory(S$4,T$5,"DF[dow:12345][tl:Calendar]",$L291)</f>
        <v>34.305</v>
      </c>
      <c r="U291">
        <f>_xll.ICEHistory(S$4,U$5,"DF[dow:12345][tl:Calendar]",$L291)</f>
        <v>31.975000000000001</v>
      </c>
      <c r="V291">
        <f>_xll.ICEHistory(S$4,V$5,"DF[dow:12345][tl:Calendar]",$L291)</f>
        <v>31.975000000000001</v>
      </c>
      <c r="W291">
        <f>_xll.ICEHistory(S$4,W$5,"DF[dow:12345][tl:Calendar]",$L291)</f>
        <v>77</v>
      </c>
      <c r="X291">
        <f t="shared" si="12"/>
        <v>4.2794279427942797E-2</v>
      </c>
      <c r="Y291">
        <f t="shared" si="13"/>
        <v>0.93420813581273698</v>
      </c>
      <c r="Z291">
        <f t="shared" si="14"/>
        <v>0.15147230651405363</v>
      </c>
    </row>
    <row r="292" spans="12:26" x14ac:dyDescent="0.25">
      <c r="L292" s="4">
        <f>_xll.ICETimeline(_xll.ICEJoinRange(M4:W4),"DF[dow:12345][tl:Calendar]","2020-07-26;2024-07-26",759,-1)</f>
        <v>45100.5</v>
      </c>
      <c r="M292">
        <f>_xll.ICEHistory(M$4,M$5,"DF[dow:12345][tl:Calendar]",$L292)</f>
        <v>90.9</v>
      </c>
      <c r="N292">
        <f>_xll.ICEHistory(M$4,N$5,"DF[dow:12345][tl:Calendar]",$L292)</f>
        <v>90.9</v>
      </c>
      <c r="O292">
        <f>_xll.ICEHistory(M$4,O$5,"DF[dow:12345][tl:Calendar]",$L292)</f>
        <v>87.55</v>
      </c>
      <c r="P292">
        <f>_xll.ICEHistory(M$4,P$5,"DF[dow:12345][tl:Calendar]",$L292)</f>
        <v>87.55</v>
      </c>
      <c r="Q292">
        <f>_xll.ICEHistory(M$4,Q$5,"DF[dow:12345][tl:Calendar]",$L292)</f>
        <v>17974</v>
      </c>
      <c r="R292">
        <f>_xll.ICEHistory(M$4,R$5,"DF[dow:12345][tl:Calendar]",$L292)</f>
        <v>256407</v>
      </c>
      <c r="S292">
        <f>_xll.ICEHistory(S$4,S$5,"DF[dow:12345][tl:Calendar]",$L292)</f>
        <v>32.64</v>
      </c>
      <c r="T292">
        <f>_xll.ICEHistory(S$4,T$5,"DF[dow:12345][tl:Calendar]",$L292)</f>
        <v>33</v>
      </c>
      <c r="U292">
        <f>_xll.ICEHistory(S$4,U$5,"DF[dow:12345][tl:Calendar]",$L292)</f>
        <v>32.384999999999998</v>
      </c>
      <c r="V292">
        <f>_xll.ICEHistory(S$4,V$5,"DF[dow:12345][tl:Calendar]",$L292)</f>
        <v>32.506999999999998</v>
      </c>
      <c r="W292">
        <f>_xll.ICEHistory(S$4,W$5,"DF[dow:12345][tl:Calendar]",$L292)</f>
        <v>274</v>
      </c>
      <c r="X292">
        <f t="shared" si="12"/>
        <v>3.7106778910057696E-2</v>
      </c>
      <c r="Y292">
        <f t="shared" si="13"/>
        <v>0.4493165419574498</v>
      </c>
      <c r="Z292">
        <f t="shared" si="14"/>
        <v>-0.22715736123757968</v>
      </c>
    </row>
    <row r="293" spans="12:26" x14ac:dyDescent="0.25">
      <c r="L293" s="4">
        <f>_xll.ICETimeline(_xll.ICEJoinRange(M4:W4),"DF[dow:12345][tl:Calendar]","2020-07-26;2024-07-26",758,-1)</f>
        <v>45099.5</v>
      </c>
      <c r="M293">
        <f>_xll.ICEHistory(M$4,M$5,"DF[dow:12345][tl:Calendar]",$L293)</f>
        <v>90.28</v>
      </c>
      <c r="N293">
        <f>_xll.ICEHistory(M$4,N$5,"DF[dow:12345][tl:Calendar]",$L293)</f>
        <v>91.29</v>
      </c>
      <c r="O293">
        <f>_xll.ICEHistory(M$4,O$5,"DF[dow:12345][tl:Calendar]",$L293)</f>
        <v>88.33</v>
      </c>
      <c r="P293">
        <f>_xll.ICEHistory(M$4,P$5,"DF[dow:12345][tl:Calendar]",$L293)</f>
        <v>90.95</v>
      </c>
      <c r="Q293">
        <f>_xll.ICEHistory(M$4,Q$5,"DF[dow:12345][tl:Calendar]",$L293)</f>
        <v>22798</v>
      </c>
      <c r="R293">
        <f>_xll.ICEHistory(M$4,R$5,"DF[dow:12345][tl:Calendar]",$L293)</f>
        <v>256521</v>
      </c>
      <c r="S293">
        <f>_xll.ICEHistory(S$4,S$5,"DF[dow:12345][tl:Calendar]",$L293)</f>
        <v>36.9</v>
      </c>
      <c r="T293">
        <f>_xll.ICEHistory(S$4,T$5,"DF[dow:12345][tl:Calendar]",$L293)</f>
        <v>36.935000000000002</v>
      </c>
      <c r="U293">
        <f>_xll.ICEHistory(S$4,U$5,"DF[dow:12345][tl:Calendar]",$L293)</f>
        <v>34.055</v>
      </c>
      <c r="V293">
        <f>_xll.ICEHistory(S$4,V$5,"DF[dow:12345][tl:Calendar]",$L293)</f>
        <v>34.097000000000001</v>
      </c>
      <c r="W293">
        <f>_xll.ICEHistory(S$4,W$5,"DF[dow:12345][tl:Calendar]",$L293)</f>
        <v>531</v>
      </c>
      <c r="X293">
        <f t="shared" si="12"/>
        <v>3.1352610952229722E-2</v>
      </c>
      <c r="Y293">
        <f t="shared" si="13"/>
        <v>-0.11555329439221279</v>
      </c>
      <c r="Z293">
        <f t="shared" si="14"/>
        <v>0.40339982319057716</v>
      </c>
    </row>
    <row r="294" spans="12:26" x14ac:dyDescent="0.25">
      <c r="L294" s="4">
        <f>_xll.ICETimeline(_xll.ICEJoinRange(M4:W4),"DF[dow:12345][tl:Calendar]","2020-07-26;2024-07-26",757,-1)</f>
        <v>45098.5</v>
      </c>
      <c r="M294">
        <f>_xll.ICEHistory(M$4,M$5,"DF[dow:12345][tl:Calendar]",$L294)</f>
        <v>94.41</v>
      </c>
      <c r="N294">
        <f>_xll.ICEHistory(M$4,N$5,"DF[dow:12345][tl:Calendar]",$L294)</f>
        <v>95.4</v>
      </c>
      <c r="O294">
        <f>_xll.ICEHistory(M$4,O$5,"DF[dow:12345][tl:Calendar]",$L294)</f>
        <v>90.39</v>
      </c>
      <c r="P294">
        <f>_xll.ICEHistory(M$4,P$5,"DF[dow:12345][tl:Calendar]",$L294)</f>
        <v>90.85</v>
      </c>
      <c r="Q294">
        <f>_xll.ICEHistory(M$4,Q$5,"DF[dow:12345][tl:Calendar]",$L294)</f>
        <v>32246</v>
      </c>
      <c r="R294">
        <f>_xll.ICEHistory(M$4,R$5,"DF[dow:12345][tl:Calendar]",$L294)</f>
        <v>254157</v>
      </c>
      <c r="S294">
        <f>_xll.ICEHistory(S$4,S$5,"DF[dow:12345][tl:Calendar]",$L294)</f>
        <v>36.799999999999997</v>
      </c>
      <c r="T294">
        <f>_xll.ICEHistory(S$4,T$5,"DF[dow:12345][tl:Calendar]",$L294)</f>
        <v>38.96</v>
      </c>
      <c r="U294">
        <f>_xll.ICEHistory(S$4,U$5,"DF[dow:12345][tl:Calendar]",$L294)</f>
        <v>36.743000000000002</v>
      </c>
      <c r="V294">
        <f>_xll.ICEHistory(S$4,V$5,"DF[dow:12345][tl:Calendar]",$L294)</f>
        <v>36.743000000000002</v>
      </c>
      <c r="W294">
        <f>_xll.ICEHistory(S$4,W$5,"DF[dow:12345][tl:Calendar]",$L294)</f>
        <v>2087</v>
      </c>
      <c r="X294">
        <f t="shared" si="12"/>
        <v>5.3818884950048392E-2</v>
      </c>
      <c r="Y294">
        <f t="shared" si="13"/>
        <v>1.6190511460617762</v>
      </c>
      <c r="Z294">
        <f t="shared" si="14"/>
        <v>1.6741791923395835</v>
      </c>
    </row>
    <row r="295" spans="12:26" x14ac:dyDescent="0.25">
      <c r="L295" s="4">
        <f>_xll.ICETimeline(_xll.ICEJoinRange(M4:W4),"DF[dow:12345][tl:Calendar]","2020-07-26;2024-07-26",756,-1)</f>
        <v>45097.5</v>
      </c>
      <c r="M295">
        <f>_xll.ICEHistory(M$4,M$5,"DF[dow:12345][tl:Calendar]",$L295)</f>
        <v>93.09</v>
      </c>
      <c r="N295">
        <f>_xll.ICEHistory(M$4,N$5,"DF[dow:12345][tl:Calendar]",$L295)</f>
        <v>96</v>
      </c>
      <c r="O295">
        <f>_xll.ICEHistory(M$4,O$5,"DF[dow:12345][tl:Calendar]",$L295)</f>
        <v>92.85</v>
      </c>
      <c r="P295">
        <f>_xll.ICEHistory(M$4,P$5,"DF[dow:12345][tl:Calendar]",$L295)</f>
        <v>94.51</v>
      </c>
      <c r="Q295">
        <f>_xll.ICEHistory(M$4,Q$5,"DF[dow:12345][tl:Calendar]",$L295)</f>
        <v>26755</v>
      </c>
      <c r="R295">
        <f>_xll.ICEHistory(M$4,R$5,"DF[dow:12345][tl:Calendar]",$L295)</f>
        <v>249934</v>
      </c>
      <c r="S295">
        <f>_xll.ICEHistory(S$4,S$5,"DF[dow:12345][tl:Calendar]",$L295)</f>
        <v>32.65</v>
      </c>
      <c r="T295">
        <f>_xll.ICEHistory(S$4,T$5,"DF[dow:12345][tl:Calendar]",$L295)</f>
        <v>39.35</v>
      </c>
      <c r="U295">
        <f>_xll.ICEHistory(S$4,U$5,"DF[dow:12345][tl:Calendar]",$L295)</f>
        <v>31.88</v>
      </c>
      <c r="V295">
        <f>_xll.ICEHistory(S$4,V$5,"DF[dow:12345][tl:Calendar]",$L295)</f>
        <v>38.707999999999998</v>
      </c>
      <c r="W295">
        <f>_xll.ICEHistory(S$4,W$5,"DF[dow:12345][tl:Calendar]",$L295)</f>
        <v>310</v>
      </c>
      <c r="X295">
        <f t="shared" si="12"/>
        <v>3.4351145038168003E-2</v>
      </c>
      <c r="Y295">
        <f t="shared" si="13"/>
        <v>0.13598711257550811</v>
      </c>
      <c r="Z295">
        <f t="shared" si="14"/>
        <v>0.97237409725317925</v>
      </c>
    </row>
    <row r="296" spans="12:26" x14ac:dyDescent="0.25">
      <c r="L296" s="4">
        <f>_xll.ICETimeline(_xll.ICEJoinRange(M4:W4),"DF[dow:12345][tl:Calendar]","2020-07-26;2024-07-26",755,-1)</f>
        <v>45096.5</v>
      </c>
      <c r="M296">
        <f>_xll.ICEHistory(M$4,M$5,"DF[dow:12345][tl:Calendar]",$L296)</f>
        <v>91.7</v>
      </c>
      <c r="N296">
        <f>_xll.ICEHistory(M$4,N$5,"DF[dow:12345][tl:Calendar]",$L296)</f>
        <v>93.81</v>
      </c>
      <c r="O296">
        <f>_xll.ICEHistory(M$4,O$5,"DF[dow:12345][tl:Calendar]",$L296)</f>
        <v>90.3</v>
      </c>
      <c r="P296">
        <f>_xll.ICEHistory(M$4,P$5,"DF[dow:12345][tl:Calendar]",$L296)</f>
        <v>93.23</v>
      </c>
      <c r="Q296">
        <f>_xll.ICEHistory(M$4,Q$5,"DF[dow:12345][tl:Calendar]",$L296)</f>
        <v>17389</v>
      </c>
      <c r="R296">
        <f>_xll.ICEHistory(M$4,R$5,"DF[dow:12345][tl:Calendar]",$L296)</f>
        <v>250280</v>
      </c>
      <c r="S296">
        <f>_xll.ICEHistory(S$4,S$5,"DF[dow:12345][tl:Calendar]",$L296)</f>
        <v>34.549999999999997</v>
      </c>
      <c r="T296">
        <f>_xll.ICEHistory(S$4,T$5,"DF[dow:12345][tl:Calendar]",$L296)</f>
        <v>37.049999999999997</v>
      </c>
      <c r="U296">
        <f>_xll.ICEHistory(S$4,U$5,"DF[dow:12345][tl:Calendar]",$L296)</f>
        <v>32.4</v>
      </c>
      <c r="V296">
        <f>_xll.ICEHistory(S$4,V$5,"DF[dow:12345][tl:Calendar]",$L296)</f>
        <v>35.008000000000003</v>
      </c>
      <c r="W296">
        <f>_xll.ICEHistory(S$4,W$5,"DF[dow:12345][tl:Calendar]",$L296)</f>
        <v>0</v>
      </c>
      <c r="X296">
        <f t="shared" si="12"/>
        <v>3.7774429616874786E-2</v>
      </c>
      <c r="Y296">
        <f t="shared" si="13"/>
        <v>0.39388471999651509</v>
      </c>
      <c r="Z296">
        <f t="shared" si="14"/>
        <v>-0.29844957514163623</v>
      </c>
    </row>
    <row r="297" spans="12:26" x14ac:dyDescent="0.25">
      <c r="L297" s="4">
        <f>_xll.ICETimeline(_xll.ICEJoinRange(M4:W4),"DF[dow:12345][tl:Calendar]","2020-07-26;2024-07-26",754,-1)</f>
        <v>45093.5</v>
      </c>
      <c r="M297">
        <f>_xll.ICEHistory(M$4,M$5,"DF[dow:12345][tl:Calendar]",$L297)</f>
        <v>92.92</v>
      </c>
      <c r="N297">
        <f>_xll.ICEHistory(M$4,N$5,"DF[dow:12345][tl:Calendar]",$L297)</f>
        <v>93.2</v>
      </c>
      <c r="O297">
        <f>_xll.ICEHistory(M$4,O$5,"DF[dow:12345][tl:Calendar]",$L297)</f>
        <v>90.5</v>
      </c>
      <c r="P297">
        <f>_xll.ICEHistory(M$4,P$5,"DF[dow:12345][tl:Calendar]",$L297)</f>
        <v>91.92</v>
      </c>
      <c r="Q297">
        <f>_xll.ICEHistory(M$4,Q$5,"DF[dow:12345][tl:Calendar]",$L297)</f>
        <v>21954</v>
      </c>
      <c r="R297">
        <f>_xll.ICEHistory(M$4,R$5,"DF[dow:12345][tl:Calendar]",$L297)</f>
        <v>249414</v>
      </c>
      <c r="S297">
        <f>_xll.ICEHistory(S$4,S$5,"DF[dow:12345][tl:Calendar]",$L297)</f>
        <v>34.549999999999997</v>
      </c>
      <c r="T297">
        <f>_xll.ICEHistory(S$4,T$5,"DF[dow:12345][tl:Calendar]",$L297)</f>
        <v>37.049999999999997</v>
      </c>
      <c r="U297">
        <f>_xll.ICEHistory(S$4,U$5,"DF[dow:12345][tl:Calendar]",$L297)</f>
        <v>32.4</v>
      </c>
      <c r="V297">
        <f>_xll.ICEHistory(S$4,V$5,"DF[dow:12345][tl:Calendar]",$L297)</f>
        <v>35.008000000000003</v>
      </c>
      <c r="W297">
        <f>_xll.ICEHistory(S$4,W$5,"DF[dow:12345][tl:Calendar]",$L297)</f>
        <v>100</v>
      </c>
      <c r="X297">
        <f t="shared" si="12"/>
        <v>2.8877005347593614E-2</v>
      </c>
      <c r="Y297">
        <f t="shared" si="13"/>
        <v>-0.31956385574720558</v>
      </c>
      <c r="Z297">
        <f t="shared" si="14"/>
        <v>0.30205417855219674</v>
      </c>
    </row>
    <row r="298" spans="12:26" x14ac:dyDescent="0.25">
      <c r="L298" s="4">
        <f>_xll.ICETimeline(_xll.ICEJoinRange(M4:W4),"DF[dow:12345][tl:Calendar]","2020-07-26;2024-07-26",753,-1)</f>
        <v>45092.5</v>
      </c>
      <c r="M298">
        <f>_xll.ICEHistory(M$4,M$5,"DF[dow:12345][tl:Calendar]",$L298)</f>
        <v>93.5</v>
      </c>
      <c r="N298">
        <f>_xll.ICEHistory(M$4,N$5,"DF[dow:12345][tl:Calendar]",$L298)</f>
        <v>95.25</v>
      </c>
      <c r="O298">
        <f>_xll.ICEHistory(M$4,O$5,"DF[dow:12345][tl:Calendar]",$L298)</f>
        <v>91.4</v>
      </c>
      <c r="P298">
        <f>_xll.ICEHistory(M$4,P$5,"DF[dow:12345][tl:Calendar]",$L298)</f>
        <v>92.93</v>
      </c>
      <c r="Q298">
        <f>_xll.ICEHistory(M$4,Q$5,"DF[dow:12345][tl:Calendar]",$L298)</f>
        <v>33891</v>
      </c>
      <c r="R298">
        <f>_xll.ICEHistory(M$4,R$5,"DF[dow:12345][tl:Calendar]",$L298)</f>
        <v>247372</v>
      </c>
      <c r="S298">
        <f>_xll.ICEHistory(S$4,S$5,"DF[dow:12345][tl:Calendar]",$L298)</f>
        <v>37.35</v>
      </c>
      <c r="T298">
        <f>_xll.ICEHistory(S$4,T$5,"DF[dow:12345][tl:Calendar]",$L298)</f>
        <v>43.53</v>
      </c>
      <c r="U298">
        <f>_xll.ICEHistory(S$4,U$5,"DF[dow:12345][tl:Calendar]",$L298)</f>
        <v>37.35</v>
      </c>
      <c r="V298">
        <f>_xll.ICEHistory(S$4,V$5,"DF[dow:12345][tl:Calendar]",$L298)</f>
        <v>41.145000000000003</v>
      </c>
      <c r="W298">
        <f>_xll.ICEHistory(S$4,W$5,"DF[dow:12345][tl:Calendar]",$L298)</f>
        <v>184</v>
      </c>
      <c r="X298">
        <f t="shared" si="12"/>
        <v>4.259320721318724E-2</v>
      </c>
      <c r="Y298">
        <f t="shared" si="13"/>
        <v>0.72730150362739787</v>
      </c>
      <c r="Z298">
        <f t="shared" si="14"/>
        <v>1.8531287956064209</v>
      </c>
    </row>
    <row r="299" spans="12:26" x14ac:dyDescent="0.25">
      <c r="L299" s="4">
        <f>_xll.ICETimeline(_xll.ICEJoinRange(M4:W4),"DF[dow:12345][tl:Calendar]","2020-07-26;2024-07-26",752,-1)</f>
        <v>45091.5</v>
      </c>
      <c r="M299">
        <f>_xll.ICEHistory(M$4,M$5,"DF[dow:12345][tl:Calendar]",$L299)</f>
        <v>90.39</v>
      </c>
      <c r="N299">
        <f>_xll.ICEHistory(M$4,N$5,"DF[dow:12345][tl:Calendar]",$L299)</f>
        <v>94.11</v>
      </c>
      <c r="O299">
        <f>_xll.ICEHistory(M$4,O$5,"DF[dow:12345][tl:Calendar]",$L299)</f>
        <v>89.91</v>
      </c>
      <c r="P299">
        <f>_xll.ICEHistory(M$4,P$5,"DF[dow:12345][tl:Calendar]",$L299)</f>
        <v>93.62</v>
      </c>
      <c r="Q299">
        <f>_xll.ICEHistory(M$4,Q$5,"DF[dow:12345][tl:Calendar]",$L299)</f>
        <v>35045</v>
      </c>
      <c r="R299">
        <f>_xll.ICEHistory(M$4,R$5,"DF[dow:12345][tl:Calendar]",$L299)</f>
        <v>248701</v>
      </c>
      <c r="S299">
        <f>_xll.ICEHistory(S$4,S$5,"DF[dow:12345][tl:Calendar]",$L299)</f>
        <v>34.125</v>
      </c>
      <c r="T299">
        <f>_xll.ICEHistory(S$4,T$5,"DF[dow:12345][tl:Calendar]",$L299)</f>
        <v>40.055</v>
      </c>
      <c r="U299">
        <f>_xll.ICEHistory(S$4,U$5,"DF[dow:12345][tl:Calendar]",$L299)</f>
        <v>34.125</v>
      </c>
      <c r="V299">
        <f>_xll.ICEHistory(S$4,V$5,"DF[dow:12345][tl:Calendar]",$L299)</f>
        <v>38.311999999999998</v>
      </c>
      <c r="W299">
        <f>_xll.ICEHistory(S$4,W$5,"DF[dow:12345][tl:Calendar]",$L299)</f>
        <v>190</v>
      </c>
      <c r="X299">
        <f t="shared" si="12"/>
        <v>4.7727272727272757E-2</v>
      </c>
      <c r="Y299">
        <f t="shared" si="13"/>
        <v>1.0746276103110552</v>
      </c>
      <c r="Z299">
        <f t="shared" si="14"/>
        <v>1.9487306777540057</v>
      </c>
    </row>
    <row r="300" spans="12:26" x14ac:dyDescent="0.25">
      <c r="L300" s="4">
        <f>_xll.ICETimeline(_xll.ICEJoinRange(M4:W4),"DF[dow:12345][tl:Calendar]","2020-07-26;2024-07-26",751,-1)</f>
        <v>45090.5</v>
      </c>
      <c r="M300">
        <f>_xll.ICEHistory(M$4,M$5,"DF[dow:12345][tl:Calendar]",$L300)</f>
        <v>88</v>
      </c>
      <c r="N300">
        <f>_xll.ICEHistory(M$4,N$5,"DF[dow:12345][tl:Calendar]",$L300)</f>
        <v>91.05</v>
      </c>
      <c r="O300">
        <f>_xll.ICEHistory(M$4,O$5,"DF[dow:12345][tl:Calendar]",$L300)</f>
        <v>86.91</v>
      </c>
      <c r="P300">
        <f>_xll.ICEHistory(M$4,P$5,"DF[dow:12345][tl:Calendar]",$L300)</f>
        <v>90.72</v>
      </c>
      <c r="Q300">
        <f>_xll.ICEHistory(M$4,Q$5,"DF[dow:12345][tl:Calendar]",$L300)</f>
        <v>34523</v>
      </c>
      <c r="R300">
        <f>_xll.ICEHistory(M$4,R$5,"DF[dow:12345][tl:Calendar]",$L300)</f>
        <v>249516</v>
      </c>
      <c r="S300">
        <f>_xll.ICEHistory(S$4,S$5,"DF[dow:12345][tl:Calendar]",$L300)</f>
        <v>31.035</v>
      </c>
      <c r="T300">
        <f>_xll.ICEHistory(S$4,T$5,"DF[dow:12345][tl:Calendar]",$L300)</f>
        <v>36.051000000000002</v>
      </c>
      <c r="U300">
        <f>_xll.ICEHistory(S$4,U$5,"DF[dow:12345][tl:Calendar]",$L300)</f>
        <v>31.035</v>
      </c>
      <c r="V300">
        <f>_xll.ICEHistory(S$4,V$5,"DF[dow:12345][tl:Calendar]",$L300)</f>
        <v>36.051000000000002</v>
      </c>
      <c r="W300">
        <f>_xll.ICEHistory(S$4,W$5,"DF[dow:12345][tl:Calendar]",$L300)</f>
        <v>35</v>
      </c>
      <c r="X300">
        <f t="shared" si="12"/>
        <v>4.7844678146307648E-2</v>
      </c>
      <c r="Y300">
        <f t="shared" si="13"/>
        <v>1.0177775095244082</v>
      </c>
      <c r="Z300">
        <f t="shared" si="14"/>
        <v>1.9338022072045913</v>
      </c>
    </row>
    <row r="301" spans="12:26" x14ac:dyDescent="0.25">
      <c r="L301" s="4">
        <f>_xll.ICETimeline(_xll.ICEJoinRange(M4:W4),"DF[dow:12345][tl:Calendar]","2020-07-26;2024-07-26",750,-1)</f>
        <v>45089.5</v>
      </c>
      <c r="M301">
        <f>_xll.ICEHistory(M$4,M$5,"DF[dow:12345][tl:Calendar]",$L301)</f>
        <v>86.53</v>
      </c>
      <c r="N301">
        <f>_xll.ICEHistory(M$4,N$5,"DF[dow:12345][tl:Calendar]",$L301)</f>
        <v>88.46</v>
      </c>
      <c r="O301">
        <f>_xll.ICEHistory(M$4,O$5,"DF[dow:12345][tl:Calendar]",$L301)</f>
        <v>84.88</v>
      </c>
      <c r="P301">
        <f>_xll.ICEHistory(M$4,P$5,"DF[dow:12345][tl:Calendar]",$L301)</f>
        <v>88.22</v>
      </c>
      <c r="Q301">
        <f>_xll.ICEHistory(M$4,Q$5,"DF[dow:12345][tl:Calendar]",$L301)</f>
        <v>20585</v>
      </c>
      <c r="R301">
        <f>_xll.ICEHistory(M$4,R$5,"DF[dow:12345][tl:Calendar]",$L301)</f>
        <v>252269</v>
      </c>
      <c r="S301">
        <f>_xll.ICEHistory(S$4,S$5,"DF[dow:12345][tl:Calendar]",$L301)</f>
        <v>31.605</v>
      </c>
      <c r="T301">
        <f>_xll.ICEHistory(S$4,T$5,"DF[dow:12345][tl:Calendar]",$L301)</f>
        <v>32.045000000000002</v>
      </c>
      <c r="U301">
        <f>_xll.ICEHistory(S$4,U$5,"DF[dow:12345][tl:Calendar]",$L301)</f>
        <v>29.4</v>
      </c>
      <c r="V301">
        <f>_xll.ICEHistory(S$4,V$5,"DF[dow:12345][tl:Calendar]",$L301)</f>
        <v>31.036000000000001</v>
      </c>
      <c r="W301">
        <f>_xll.ICEHistory(S$4,W$5,"DF[dow:12345][tl:Calendar]",$L301)</f>
        <v>203</v>
      </c>
      <c r="X301">
        <f t="shared" si="12"/>
        <v>4.2905081495685504E-2</v>
      </c>
      <c r="Y301">
        <f t="shared" si="13"/>
        <v>0.66555255815839764</v>
      </c>
      <c r="Z301">
        <f t="shared" si="14"/>
        <v>9.3337354668465169E-2</v>
      </c>
    </row>
    <row r="302" spans="12:26" x14ac:dyDescent="0.25">
      <c r="L302" s="4">
        <f>_xll.ICETimeline(_xll.ICEJoinRange(M4:W4),"DF[dow:12345][tl:Calendar]","2020-07-26;2024-07-26",749,-1)</f>
        <v>45086.5</v>
      </c>
      <c r="M302">
        <f>_xll.ICEHistory(M$4,M$5,"DF[dow:12345][tl:Calendar]",$L302)</f>
        <v>83.44</v>
      </c>
      <c r="N302">
        <f>_xll.ICEHistory(M$4,N$5,"DF[dow:12345][tl:Calendar]",$L302)</f>
        <v>87.3</v>
      </c>
      <c r="O302">
        <f>_xll.ICEHistory(M$4,O$5,"DF[dow:12345][tl:Calendar]",$L302)</f>
        <v>83.44</v>
      </c>
      <c r="P302">
        <f>_xll.ICEHistory(M$4,P$5,"DF[dow:12345][tl:Calendar]",$L302)</f>
        <v>86.14</v>
      </c>
      <c r="Q302">
        <f>_xll.ICEHistory(M$4,Q$5,"DF[dow:12345][tl:Calendar]",$L302)</f>
        <v>21343</v>
      </c>
      <c r="R302">
        <f>_xll.ICEHistory(M$4,R$5,"DF[dow:12345][tl:Calendar]",$L302)</f>
        <v>253915</v>
      </c>
      <c r="S302">
        <f>_xll.ICEHistory(S$4,S$5,"DF[dow:12345][tl:Calendar]",$L302)</f>
        <v>27.15</v>
      </c>
      <c r="T302">
        <f>_xll.ICEHistory(S$4,T$5,"DF[dow:12345][tl:Calendar]",$L302)</f>
        <v>33.015000000000001</v>
      </c>
      <c r="U302">
        <f>_xll.ICEHistory(S$4,U$5,"DF[dow:12345][tl:Calendar]",$L302)</f>
        <v>27.15</v>
      </c>
      <c r="V302">
        <f>_xll.ICEHistory(S$4,V$5,"DF[dow:12345][tl:Calendar]",$L302)</f>
        <v>32.048999999999999</v>
      </c>
      <c r="W302">
        <f>_xll.ICEHistory(S$4,W$5,"DF[dow:12345][tl:Calendar]",$L302)</f>
        <v>284</v>
      </c>
      <c r="X302">
        <f t="shared" si="12"/>
        <v>4.5957852125253003E-2</v>
      </c>
      <c r="Y302">
        <f t="shared" si="13"/>
        <v>0.87142052495464162</v>
      </c>
      <c r="Z302">
        <f t="shared" si="14"/>
        <v>0.19244619409641203</v>
      </c>
    </row>
    <row r="303" spans="12:26" x14ac:dyDescent="0.25">
      <c r="L303" s="4">
        <f>_xll.ICETimeline(_xll.ICEJoinRange(M4:W4),"DF[dow:12345][tl:Calendar]","2020-07-26;2024-07-26",748,-1)</f>
        <v>45085.5</v>
      </c>
      <c r="M303">
        <f>_xll.ICEHistory(M$4,M$5,"DF[dow:12345][tl:Calendar]",$L303)</f>
        <v>83.99</v>
      </c>
      <c r="N303">
        <f>_xll.ICEHistory(M$4,N$5,"DF[dow:12345][tl:Calendar]",$L303)</f>
        <v>84.95</v>
      </c>
      <c r="O303">
        <f>_xll.ICEHistory(M$4,O$5,"DF[dow:12345][tl:Calendar]",$L303)</f>
        <v>82.55</v>
      </c>
      <c r="P303">
        <f>_xll.ICEHistory(M$4,P$5,"DF[dow:12345][tl:Calendar]",$L303)</f>
        <v>83.35</v>
      </c>
      <c r="Q303">
        <f>_xll.ICEHistory(M$4,Q$5,"DF[dow:12345][tl:Calendar]",$L303)</f>
        <v>16905</v>
      </c>
      <c r="R303">
        <f>_xll.ICEHistory(M$4,R$5,"DF[dow:12345][tl:Calendar]",$L303)</f>
        <v>256590</v>
      </c>
      <c r="S303">
        <f>_xll.ICEHistory(S$4,S$5,"DF[dow:12345][tl:Calendar]",$L303)</f>
        <v>26.55</v>
      </c>
      <c r="T303">
        <f>_xll.ICEHistory(S$4,T$5,"DF[dow:12345][tl:Calendar]",$L303)</f>
        <v>28.5</v>
      </c>
      <c r="U303">
        <f>_xll.ICEHistory(S$4,U$5,"DF[dow:12345][tl:Calendar]",$L303)</f>
        <v>26.05</v>
      </c>
      <c r="V303">
        <f>_xll.ICEHistory(S$4,V$5,"DF[dow:12345][tl:Calendar]",$L303)</f>
        <v>26.945</v>
      </c>
      <c r="W303">
        <f>_xll.ICEHistory(S$4,W$5,"DF[dow:12345][tl:Calendar]",$L303)</f>
        <v>417</v>
      </c>
      <c r="X303">
        <f t="shared" si="12"/>
        <v>2.939735423811864E-2</v>
      </c>
      <c r="Y303">
        <f t="shared" si="13"/>
        <v>-0.29340438650848505</v>
      </c>
      <c r="Z303">
        <f t="shared" si="14"/>
        <v>-0.39618705867900067</v>
      </c>
    </row>
    <row r="304" spans="12:26" x14ac:dyDescent="0.25">
      <c r="L304" s="4">
        <f>_xll.ICETimeline(_xll.ICEJoinRange(M4:W4),"DF[dow:12345][tl:Calendar]","2020-07-26;2024-07-26",747,-1)</f>
        <v>45084.5</v>
      </c>
      <c r="M304">
        <f>_xll.ICEHistory(M$4,M$5,"DF[dow:12345][tl:Calendar]",$L304)</f>
        <v>81.64</v>
      </c>
      <c r="N304">
        <f>_xll.ICEHistory(M$4,N$5,"DF[dow:12345][tl:Calendar]",$L304)</f>
        <v>84.19</v>
      </c>
      <c r="O304">
        <f>_xll.ICEHistory(M$4,O$5,"DF[dow:12345][tl:Calendar]",$L304)</f>
        <v>80.08</v>
      </c>
      <c r="P304">
        <f>_xll.ICEHistory(M$4,P$5,"DF[dow:12345][tl:Calendar]",$L304)</f>
        <v>83.86</v>
      </c>
      <c r="Q304">
        <f>_xll.ICEHistory(M$4,Q$5,"DF[dow:12345][tl:Calendar]",$L304)</f>
        <v>23435</v>
      </c>
      <c r="R304">
        <f>_xll.ICEHistory(M$4,R$5,"DF[dow:12345][tl:Calendar]",$L304)</f>
        <v>255965</v>
      </c>
      <c r="S304">
        <f>_xll.ICEHistory(S$4,S$5,"DF[dow:12345][tl:Calendar]",$L304)</f>
        <v>25.35</v>
      </c>
      <c r="T304">
        <f>_xll.ICEHistory(S$4,T$5,"DF[dow:12345][tl:Calendar]",$L304)</f>
        <v>26.99</v>
      </c>
      <c r="U304">
        <f>_xll.ICEHistory(S$4,U$5,"DF[dow:12345][tl:Calendar]",$L304)</f>
        <v>25.2</v>
      </c>
      <c r="V304">
        <f>_xll.ICEHistory(S$4,V$5,"DF[dow:12345][tl:Calendar]",$L304)</f>
        <v>26.331</v>
      </c>
      <c r="W304">
        <f>_xll.ICEHistory(S$4,W$5,"DF[dow:12345][tl:Calendar]",$L304)</f>
        <v>735</v>
      </c>
      <c r="X304">
        <f t="shared" si="12"/>
        <v>4.9518072289156619E-2</v>
      </c>
      <c r="Y304">
        <f t="shared" si="13"/>
        <v>1.1500908199419662</v>
      </c>
      <c r="Z304">
        <f t="shared" si="14"/>
        <v>0.45796965714597676</v>
      </c>
    </row>
    <row r="305" spans="12:26" x14ac:dyDescent="0.25">
      <c r="L305" s="4">
        <f>_xll.ICETimeline(_xll.ICEJoinRange(M4:W4),"DF[dow:12345][tl:Calendar]","2020-07-26;2024-07-26",746,-1)</f>
        <v>45083.5</v>
      </c>
      <c r="M305">
        <f>_xll.ICEHistory(M$4,M$5,"DF[dow:12345][tl:Calendar]",$L305)</f>
        <v>83</v>
      </c>
      <c r="N305">
        <f>_xll.ICEHistory(M$4,N$5,"DF[dow:12345][tl:Calendar]",$L305)</f>
        <v>83.48</v>
      </c>
      <c r="O305">
        <f>_xll.ICEHistory(M$4,O$5,"DF[dow:12345][tl:Calendar]",$L305)</f>
        <v>80.209999999999994</v>
      </c>
      <c r="P305">
        <f>_xll.ICEHistory(M$4,P$5,"DF[dow:12345][tl:Calendar]",$L305)</f>
        <v>81.64</v>
      </c>
      <c r="Q305">
        <f>_xll.ICEHistory(M$4,Q$5,"DF[dow:12345][tl:Calendar]",$L305)</f>
        <v>21782</v>
      </c>
      <c r="R305">
        <f>_xll.ICEHistory(M$4,R$5,"DF[dow:12345][tl:Calendar]",$L305)</f>
        <v>259133</v>
      </c>
      <c r="S305">
        <f>_xll.ICEHistory(S$4,S$5,"DF[dow:12345][tl:Calendar]",$L305)</f>
        <v>28.3</v>
      </c>
      <c r="T305">
        <f>_xll.ICEHistory(S$4,T$5,"DF[dow:12345][tl:Calendar]",$L305)</f>
        <v>28.3</v>
      </c>
      <c r="U305">
        <f>_xll.ICEHistory(S$4,U$5,"DF[dow:12345][tl:Calendar]",$L305)</f>
        <v>24.774999999999999</v>
      </c>
      <c r="V305">
        <f>_xll.ICEHistory(S$4,V$5,"DF[dow:12345][tl:Calendar]",$L305)</f>
        <v>24.86</v>
      </c>
      <c r="W305">
        <f>_xll.ICEHistory(S$4,W$5,"DF[dow:12345][tl:Calendar]",$L305)</f>
        <v>329</v>
      </c>
      <c r="X305">
        <f t="shared" si="12"/>
        <v>4.1366223908918538E-2</v>
      </c>
      <c r="Y305">
        <f t="shared" si="13"/>
        <v>0.58712246786619138</v>
      </c>
      <c r="Z305">
        <f t="shared" si="14"/>
        <v>0.24445719003575631</v>
      </c>
    </row>
    <row r="306" spans="12:26" x14ac:dyDescent="0.25">
      <c r="L306" s="4">
        <f>_xll.ICETimeline(_xll.ICEJoinRange(M4:W4),"DF[dow:12345][tl:Calendar]","2020-07-26;2024-07-26",745,-1)</f>
        <v>45082.5</v>
      </c>
      <c r="M306">
        <f>_xll.ICEHistory(M$4,M$5,"DF[dow:12345][tl:Calendar]",$L306)</f>
        <v>79.05</v>
      </c>
      <c r="N306">
        <f>_xll.ICEHistory(M$4,N$5,"DF[dow:12345][tl:Calendar]",$L306)</f>
        <v>83.28</v>
      </c>
      <c r="O306">
        <f>_xll.ICEHistory(M$4,O$5,"DF[dow:12345][tl:Calendar]",$L306)</f>
        <v>78.010000000000005</v>
      </c>
      <c r="P306">
        <f>_xll.ICEHistory(M$4,P$5,"DF[dow:12345][tl:Calendar]",$L306)</f>
        <v>82.86</v>
      </c>
      <c r="Q306">
        <f>_xll.ICEHistory(M$4,Q$5,"DF[dow:12345][tl:Calendar]",$L306)</f>
        <v>25856</v>
      </c>
      <c r="R306">
        <f>_xll.ICEHistory(M$4,R$5,"DF[dow:12345][tl:Calendar]",$L306)</f>
        <v>261342</v>
      </c>
      <c r="S306">
        <f>_xll.ICEHistory(S$4,S$5,"DF[dow:12345][tl:Calendar]",$L306)</f>
        <v>24.25</v>
      </c>
      <c r="T306">
        <f>_xll.ICEHistory(S$4,T$5,"DF[dow:12345][tl:Calendar]",$L306)</f>
        <v>28.695</v>
      </c>
      <c r="U306">
        <f>_xll.ICEHistory(S$4,U$5,"DF[dow:12345][tl:Calendar]",$L306)</f>
        <v>24.25</v>
      </c>
      <c r="V306">
        <f>_xll.ICEHistory(S$4,V$5,"DF[dow:12345][tl:Calendar]",$L306)</f>
        <v>28.478000000000002</v>
      </c>
      <c r="W306">
        <f>_xll.ICEHistory(S$4,W$5,"DF[dow:12345][tl:Calendar]",$L306)</f>
        <v>78</v>
      </c>
      <c r="X306">
        <f t="shared" si="12"/>
        <v>6.6742654508611915E-2</v>
      </c>
      <c r="Y306">
        <f t="shared" si="13"/>
        <v>2.4267508219957961</v>
      </c>
      <c r="Z306">
        <f t="shared" si="14"/>
        <v>0.79013300413902876</v>
      </c>
    </row>
    <row r="307" spans="12:26" x14ac:dyDescent="0.25">
      <c r="L307" s="4">
        <f>_xll.ICETimeline(_xll.ICEJoinRange(M4:W4),"DF[dow:12345][tl:Calendar]","2020-07-26;2024-07-26",744,-1)</f>
        <v>45079.5</v>
      </c>
      <c r="M307">
        <f>_xll.ICEHistory(M$4,M$5,"DF[dow:12345][tl:Calendar]",$L307)</f>
        <v>78.959999999999994</v>
      </c>
      <c r="N307">
        <f>_xll.ICEHistory(M$4,N$5,"DF[dow:12345][tl:Calendar]",$L307)</f>
        <v>80.55</v>
      </c>
      <c r="O307">
        <f>_xll.ICEHistory(M$4,O$5,"DF[dow:12345][tl:Calendar]",$L307)</f>
        <v>78.5</v>
      </c>
      <c r="P307">
        <f>_xll.ICEHistory(M$4,P$5,"DF[dow:12345][tl:Calendar]",$L307)</f>
        <v>78.52</v>
      </c>
      <c r="Q307">
        <f>_xll.ICEHistory(M$4,Q$5,"DF[dow:12345][tl:Calendar]",$L307)</f>
        <v>18303</v>
      </c>
      <c r="R307">
        <f>_xll.ICEHistory(M$4,R$5,"DF[dow:12345][tl:Calendar]",$L307)</f>
        <v>262029</v>
      </c>
      <c r="S307">
        <f>_xll.ICEHistory(S$4,S$5,"DF[dow:12345][tl:Calendar]",$L307)</f>
        <v>23.75</v>
      </c>
      <c r="T307">
        <f>_xll.ICEHistory(S$4,T$5,"DF[dow:12345][tl:Calendar]",$L307)</f>
        <v>23.844999999999999</v>
      </c>
      <c r="U307">
        <f>_xll.ICEHistory(S$4,U$5,"DF[dow:12345][tl:Calendar]",$L307)</f>
        <v>23.125</v>
      </c>
      <c r="V307">
        <f>_xll.ICEHistory(S$4,V$5,"DF[dow:12345][tl:Calendar]",$L307)</f>
        <v>23.689</v>
      </c>
      <c r="W307">
        <f>_xll.ICEHistory(S$4,W$5,"DF[dow:12345][tl:Calendar]",$L307)</f>
        <v>299</v>
      </c>
      <c r="X307">
        <f t="shared" si="12"/>
        <v>2.5302394470501078E-2</v>
      </c>
      <c r="Y307">
        <f t="shared" si="13"/>
        <v>-0.56635787162287843</v>
      </c>
      <c r="Z307">
        <f t="shared" si="14"/>
        <v>-0.19113321960256691</v>
      </c>
    </row>
    <row r="308" spans="12:26" x14ac:dyDescent="0.25">
      <c r="L308" s="4">
        <f>_xll.ICETimeline(_xll.ICEJoinRange(M4:W4),"DF[dow:12345][tl:Calendar]","2020-07-26;2024-07-26",743,-1)</f>
        <v>45078.5</v>
      </c>
      <c r="M308">
        <f>_xll.ICEHistory(M$4,M$5,"DF[dow:12345][tl:Calendar]",$L308)</f>
        <v>81.02</v>
      </c>
      <c r="N308">
        <f>_xll.ICEHistory(M$4,N$5,"DF[dow:12345][tl:Calendar]",$L308)</f>
        <v>81.11</v>
      </c>
      <c r="O308">
        <f>_xll.ICEHistory(M$4,O$5,"DF[dow:12345][tl:Calendar]",$L308)</f>
        <v>78.45</v>
      </c>
      <c r="P308">
        <f>_xll.ICEHistory(M$4,P$5,"DF[dow:12345][tl:Calendar]",$L308)</f>
        <v>78.95</v>
      </c>
      <c r="Q308">
        <f>_xll.ICEHistory(M$4,Q$5,"DF[dow:12345][tl:Calendar]",$L308)</f>
        <v>28185</v>
      </c>
      <c r="R308">
        <f>_xll.ICEHistory(M$4,R$5,"DF[dow:12345][tl:Calendar]",$L308)</f>
        <v>262073</v>
      </c>
      <c r="S308">
        <f>_xll.ICEHistory(S$4,S$5,"DF[dow:12345][tl:Calendar]",$L308)</f>
        <v>25.2</v>
      </c>
      <c r="T308">
        <f>_xll.ICEHistory(S$4,T$5,"DF[dow:12345][tl:Calendar]",$L308)</f>
        <v>25.2</v>
      </c>
      <c r="U308">
        <f>_xll.ICEHistory(S$4,U$5,"DF[dow:12345][tl:Calendar]",$L308)</f>
        <v>23.103000000000002</v>
      </c>
      <c r="V308">
        <f>_xll.ICEHistory(S$4,V$5,"DF[dow:12345][tl:Calendar]",$L308)</f>
        <v>23.103000000000002</v>
      </c>
      <c r="W308">
        <f>_xll.ICEHistory(S$4,W$5,"DF[dow:12345][tl:Calendar]",$L308)</f>
        <v>195</v>
      </c>
      <c r="X308">
        <f t="shared" si="12"/>
        <v>3.3051689860834947E-2</v>
      </c>
      <c r="Y308">
        <f t="shared" si="13"/>
        <v>2.9874957170918447E-2</v>
      </c>
      <c r="Z308">
        <f t="shared" si="14"/>
        <v>1.0964981512997642</v>
      </c>
    </row>
    <row r="309" spans="12:26" x14ac:dyDescent="0.25">
      <c r="L309" s="4">
        <f>_xll.ICETimeline(_xll.ICEJoinRange(M4:W4),"DF[dow:12345][tl:Calendar]","2020-07-26;2024-07-26",742,-1)</f>
        <v>45077.5</v>
      </c>
      <c r="M309">
        <f>_xll.ICEHistory(M$4,M$5,"DF[dow:12345][tl:Calendar]",$L309)</f>
        <v>80.48</v>
      </c>
      <c r="N309">
        <f>_xll.ICEHistory(M$4,N$5,"DF[dow:12345][tl:Calendar]",$L309)</f>
        <v>82</v>
      </c>
      <c r="O309">
        <f>_xll.ICEHistory(M$4,O$5,"DF[dow:12345][tl:Calendar]",$L309)</f>
        <v>79.31</v>
      </c>
      <c r="P309">
        <f>_xll.ICEHistory(M$4,P$5,"DF[dow:12345][tl:Calendar]",$L309)</f>
        <v>80.77</v>
      </c>
      <c r="Q309">
        <f>_xll.ICEHistory(M$4,Q$5,"DF[dow:12345][tl:Calendar]",$L309)</f>
        <v>26242</v>
      </c>
      <c r="R309">
        <f>_xll.ICEHistory(M$4,R$5,"DF[dow:12345][tl:Calendar]",$L309)</f>
        <v>262879</v>
      </c>
      <c r="S309">
        <f>_xll.ICEHistory(S$4,S$5,"DF[dow:12345][tl:Calendar]",$L309)</f>
        <v>25.495000000000001</v>
      </c>
      <c r="T309">
        <f>_xll.ICEHistory(S$4,T$5,"DF[dow:12345][tl:Calendar]",$L309)</f>
        <v>27.95</v>
      </c>
      <c r="U309">
        <f>_xll.ICEHistory(S$4,U$5,"DF[dow:12345][tl:Calendar]",$L309)</f>
        <v>25.495000000000001</v>
      </c>
      <c r="V309">
        <f>_xll.ICEHistory(S$4,V$5,"DF[dow:12345][tl:Calendar]",$L309)</f>
        <v>26.852</v>
      </c>
      <c r="W309">
        <f>_xll.ICEHistory(S$4,W$5,"DF[dow:12345][tl:Calendar]",$L309)</f>
        <v>38</v>
      </c>
      <c r="X309">
        <f t="shared" si="12"/>
        <v>3.2390126429861506E-2</v>
      </c>
      <c r="Y309">
        <f t="shared" si="13"/>
        <v>-4.5212243844743948E-2</v>
      </c>
      <c r="Z309">
        <f t="shared" si="14"/>
        <v>0.86681595932383149</v>
      </c>
    </row>
    <row r="310" spans="12:26" x14ac:dyDescent="0.25">
      <c r="L310" s="4">
        <f>_xll.ICETimeline(_xll.ICEJoinRange(M4:W4),"DF[dow:12345][tl:Calendar]","2020-07-26;2024-07-26",741,-1)</f>
        <v>45076.5</v>
      </c>
      <c r="M310">
        <f>_xll.ICEHistory(M$4,M$5,"DF[dow:12345][tl:Calendar]",$L310)</f>
        <v>83.05</v>
      </c>
      <c r="N310">
        <f>_xll.ICEHistory(M$4,N$5,"DF[dow:12345][tl:Calendar]",$L310)</f>
        <v>83.35</v>
      </c>
      <c r="O310">
        <f>_xll.ICEHistory(M$4,O$5,"DF[dow:12345][tl:Calendar]",$L310)</f>
        <v>80.349999999999994</v>
      </c>
      <c r="P310">
        <f>_xll.ICEHistory(M$4,P$5,"DF[dow:12345][tl:Calendar]",$L310)</f>
        <v>80.38</v>
      </c>
      <c r="Q310">
        <f>_xll.ICEHistory(M$4,Q$5,"DF[dow:12345][tl:Calendar]",$L310)</f>
        <v>28884</v>
      </c>
      <c r="R310">
        <f>_xll.ICEHistory(M$4,R$5,"DF[dow:12345][tl:Calendar]",$L310)</f>
        <v>262178</v>
      </c>
      <c r="S310">
        <f>_xll.ICEHistory(S$4,S$5,"DF[dow:12345][tl:Calendar]",$L310)</f>
        <v>24.681000000000001</v>
      </c>
      <c r="T310">
        <f>_xll.ICEHistory(S$4,T$5,"DF[dow:12345][tl:Calendar]",$L310)</f>
        <v>24.681000000000001</v>
      </c>
      <c r="U310">
        <f>_xll.ICEHistory(S$4,U$5,"DF[dow:12345][tl:Calendar]",$L310)</f>
        <v>24.681000000000001</v>
      </c>
      <c r="V310">
        <f>_xll.ICEHistory(S$4,V$5,"DF[dow:12345][tl:Calendar]",$L310)</f>
        <v>24.681000000000001</v>
      </c>
      <c r="W310">
        <f>_xll.ICEHistory(S$4,W$5,"DF[dow:12345][tl:Calendar]",$L310)</f>
        <v>0</v>
      </c>
      <c r="X310">
        <f t="shared" si="12"/>
        <v>3.6140224069389229E-2</v>
      </c>
      <c r="Y310">
        <f t="shared" si="13"/>
        <v>0.23159733122030879</v>
      </c>
      <c r="Z310">
        <f t="shared" si="14"/>
        <v>1.2398491371854066</v>
      </c>
    </row>
    <row r="311" spans="12:26" x14ac:dyDescent="0.25">
      <c r="L311" s="4">
        <f>_xll.ICETimeline(_xll.ICEJoinRange(M4:W4),"DF[dow:12345][tl:Calendar]","2020-07-26;2024-07-26",740,-1)</f>
        <v>45075.5</v>
      </c>
      <c r="M311">
        <f>_xll.ICEHistory(M$4,M$5,"DF[dow:12345][tl:Calendar]",$L311)</f>
        <v>83.01</v>
      </c>
      <c r="N311">
        <f>_xll.ICEHistory(M$4,N$5,"DF[dow:12345][tl:Calendar]",$L311)</f>
        <v>84.46</v>
      </c>
      <c r="O311">
        <f>_xll.ICEHistory(M$4,O$5,"DF[dow:12345][tl:Calendar]",$L311)</f>
        <v>82.65</v>
      </c>
      <c r="P311">
        <f>_xll.ICEHistory(M$4,P$5,"DF[dow:12345][tl:Calendar]",$L311)</f>
        <v>83</v>
      </c>
      <c r="Q311">
        <f>_xll.ICEHistory(M$4,Q$5,"DF[dow:12345][tl:Calendar]",$L311)</f>
        <v>4744</v>
      </c>
      <c r="R311">
        <f>_xll.ICEHistory(M$4,R$5,"DF[dow:12345][tl:Calendar]",$L311)</f>
        <v>259977</v>
      </c>
      <c r="S311">
        <f>_xll.ICEHistory(S$4,S$5,"DF[dow:12345][tl:Calendar]",$L311)</f>
        <v>25.434999999999999</v>
      </c>
      <c r="T311">
        <f>_xll.ICEHistory(S$4,T$5,"DF[dow:12345][tl:Calendar]",$L311)</f>
        <v>25.434999999999999</v>
      </c>
      <c r="U311">
        <f>_xll.ICEHistory(S$4,U$5,"DF[dow:12345][tl:Calendar]",$L311)</f>
        <v>23.79</v>
      </c>
      <c r="V311">
        <f>_xll.ICEHistory(S$4,V$5,"DF[dow:12345][tl:Calendar]",$L311)</f>
        <v>24.52</v>
      </c>
      <c r="W311">
        <f>_xll.ICEHistory(S$4,W$5,"DF[dow:12345][tl:Calendar]",$L311)</f>
        <v>0</v>
      </c>
      <c r="X311">
        <f t="shared" si="12"/>
        <v>2.1888982948361207E-2</v>
      </c>
      <c r="Y311">
        <f t="shared" si="13"/>
        <v>-0.79876408191641612</v>
      </c>
      <c r="Z311">
        <f t="shared" si="14"/>
        <v>-1.9868344080688154</v>
      </c>
    </row>
    <row r="312" spans="12:26" x14ac:dyDescent="0.25">
      <c r="L312" s="4">
        <f>_xll.ICETimeline(_xll.ICEJoinRange(M4:W4),"DF[dow:12345][tl:Calendar]","2020-07-26;2024-07-26",739,-1)</f>
        <v>45072.5</v>
      </c>
      <c r="M312">
        <f>_xll.ICEHistory(M$4,M$5,"DF[dow:12345][tl:Calendar]",$L312)</f>
        <v>82.69</v>
      </c>
      <c r="N312">
        <f>_xll.ICEHistory(M$4,N$5,"DF[dow:12345][tl:Calendar]",$L312)</f>
        <v>83.37</v>
      </c>
      <c r="O312">
        <f>_xll.ICEHistory(M$4,O$5,"DF[dow:12345][tl:Calendar]",$L312)</f>
        <v>81.92</v>
      </c>
      <c r="P312">
        <f>_xll.ICEHistory(M$4,P$5,"DF[dow:12345][tl:Calendar]",$L312)</f>
        <v>83.13</v>
      </c>
      <c r="Q312">
        <f>_xll.ICEHistory(M$4,Q$5,"DF[dow:12345][tl:Calendar]",$L312)</f>
        <v>18423</v>
      </c>
      <c r="R312">
        <f>_xll.ICEHistory(M$4,R$5,"DF[dow:12345][tl:Calendar]",$L312)</f>
        <v>260070</v>
      </c>
      <c r="S312">
        <f>_xll.ICEHistory(S$4,S$5,"DF[dow:12345][tl:Calendar]",$L312)</f>
        <v>25.434999999999999</v>
      </c>
      <c r="T312">
        <f>_xll.ICEHistory(S$4,T$5,"DF[dow:12345][tl:Calendar]",$L312)</f>
        <v>25.434999999999999</v>
      </c>
      <c r="U312">
        <f>_xll.ICEHistory(S$4,U$5,"DF[dow:12345][tl:Calendar]",$L312)</f>
        <v>23.79</v>
      </c>
      <c r="V312">
        <f>_xll.ICEHistory(S$4,V$5,"DF[dow:12345][tl:Calendar]",$L312)</f>
        <v>24.52</v>
      </c>
      <c r="W312">
        <f>_xll.ICEHistory(S$4,W$5,"DF[dow:12345][tl:Calendar]",$L312)</f>
        <v>100</v>
      </c>
      <c r="X312">
        <f t="shared" si="12"/>
        <v>1.7052804892390954E-2</v>
      </c>
      <c r="Y312">
        <f t="shared" si="13"/>
        <v>-1.1739671013358304</v>
      </c>
      <c r="Z312">
        <f t="shared" si="14"/>
        <v>-0.16827465528118493</v>
      </c>
    </row>
    <row r="313" spans="12:26" x14ac:dyDescent="0.25">
      <c r="L313" s="4">
        <f>_xll.ICETimeline(_xll.ICEJoinRange(M4:W4),"DF[dow:12345][tl:Calendar]","2020-07-26;2024-07-26",738,-1)</f>
        <v>45071.5</v>
      </c>
      <c r="M313">
        <f>_xll.ICEHistory(M$4,M$5,"DF[dow:12345][tl:Calendar]",$L313)</f>
        <v>85.03</v>
      </c>
      <c r="N313">
        <f>_xll.ICEHistory(M$4,N$5,"DF[dow:12345][tl:Calendar]",$L313)</f>
        <v>85.15</v>
      </c>
      <c r="O313">
        <f>_xll.ICEHistory(M$4,O$5,"DF[dow:12345][tl:Calendar]",$L313)</f>
        <v>82.63</v>
      </c>
      <c r="P313">
        <f>_xll.ICEHistory(M$4,P$5,"DF[dow:12345][tl:Calendar]",$L313)</f>
        <v>82.63</v>
      </c>
      <c r="Q313">
        <f>_xll.ICEHistory(M$4,Q$5,"DF[dow:12345][tl:Calendar]",$L313)</f>
        <v>25144</v>
      </c>
      <c r="R313">
        <f>_xll.ICEHistory(M$4,R$5,"DF[dow:12345][tl:Calendar]",$L313)</f>
        <v>258395</v>
      </c>
      <c r="S313">
        <f>_xll.ICEHistory(S$4,S$5,"DF[dow:12345][tl:Calendar]",$L313)</f>
        <v>26.9</v>
      </c>
      <c r="T313">
        <f>_xll.ICEHistory(S$4,T$5,"DF[dow:12345][tl:Calendar]",$L313)</f>
        <v>26.9</v>
      </c>
      <c r="U313">
        <f>_xll.ICEHistory(S$4,U$5,"DF[dow:12345][tl:Calendar]",$L313)</f>
        <v>25.29</v>
      </c>
      <c r="V313">
        <f>_xll.ICEHistory(S$4,V$5,"DF[dow:12345][tl:Calendar]",$L313)</f>
        <v>25.452000000000002</v>
      </c>
      <c r="W313">
        <f>_xll.ICEHistory(S$4,W$5,"DF[dow:12345][tl:Calendar]",$L313)</f>
        <v>43</v>
      </c>
      <c r="X313">
        <f t="shared" si="12"/>
        <v>2.9367206619275263E-2</v>
      </c>
      <c r="Y313">
        <f t="shared" si="13"/>
        <v>-0.28696836517235358</v>
      </c>
      <c r="Z313">
        <f t="shared" si="14"/>
        <v>0.77303400704198189</v>
      </c>
    </row>
    <row r="314" spans="12:26" x14ac:dyDescent="0.25">
      <c r="L314" s="4">
        <f>_xll.ICETimeline(_xll.ICEJoinRange(M4:W4),"DF[dow:12345][tl:Calendar]","2020-07-26;2024-07-26",737,-1)</f>
        <v>45070.5</v>
      </c>
      <c r="M314">
        <f>_xll.ICEHistory(M$4,M$5,"DF[dow:12345][tl:Calendar]",$L314)</f>
        <v>85.81</v>
      </c>
      <c r="N314">
        <f>_xll.ICEHistory(M$4,N$5,"DF[dow:12345][tl:Calendar]",$L314)</f>
        <v>86.26</v>
      </c>
      <c r="O314">
        <f>_xll.ICEHistory(M$4,O$5,"DF[dow:12345][tl:Calendar]",$L314)</f>
        <v>84.55</v>
      </c>
      <c r="P314">
        <f>_xll.ICEHistory(M$4,P$5,"DF[dow:12345][tl:Calendar]",$L314)</f>
        <v>84.79</v>
      </c>
      <c r="Q314">
        <f>_xll.ICEHistory(M$4,Q$5,"DF[dow:12345][tl:Calendar]",$L314)</f>
        <v>16907</v>
      </c>
      <c r="R314">
        <f>_xll.ICEHistory(M$4,R$5,"DF[dow:12345][tl:Calendar]",$L314)</f>
        <v>256489</v>
      </c>
      <c r="S314">
        <f>_xll.ICEHistory(S$4,S$5,"DF[dow:12345][tl:Calendar]",$L314)</f>
        <v>28.63</v>
      </c>
      <c r="T314">
        <f>_xll.ICEHistory(S$4,T$5,"DF[dow:12345][tl:Calendar]",$L314)</f>
        <v>28.63</v>
      </c>
      <c r="U314">
        <f>_xll.ICEHistory(S$4,U$5,"DF[dow:12345][tl:Calendar]",$L314)</f>
        <v>27.785</v>
      </c>
      <c r="V314">
        <f>_xll.ICEHistory(S$4,V$5,"DF[dow:12345][tl:Calendar]",$L314)</f>
        <v>27.785</v>
      </c>
      <c r="W314">
        <f>_xll.ICEHistory(S$4,W$5,"DF[dow:12345][tl:Calendar]",$L314)</f>
        <v>51</v>
      </c>
      <c r="X314">
        <f t="shared" si="12"/>
        <v>1.9565217391304436E-2</v>
      </c>
      <c r="Y314">
        <f t="shared" si="13"/>
        <v>-1.0076862031177967</v>
      </c>
      <c r="Z314">
        <f t="shared" si="14"/>
        <v>-0.36019008264933383</v>
      </c>
    </row>
    <row r="315" spans="12:26" x14ac:dyDescent="0.25">
      <c r="L315" s="4">
        <f>_xll.ICETimeline(_xll.ICEJoinRange(M4:W4),"DF[dow:12345][tl:Calendar]","2020-07-26;2024-07-26",736,-1)</f>
        <v>45069.5</v>
      </c>
      <c r="M315">
        <f>_xll.ICEHistory(M$4,M$5,"DF[dow:12345][tl:Calendar]",$L315)</f>
        <v>87.4</v>
      </c>
      <c r="N315">
        <f>_xll.ICEHistory(M$4,N$5,"DF[dow:12345][tl:Calendar]",$L315)</f>
        <v>87.76</v>
      </c>
      <c r="O315">
        <f>_xll.ICEHistory(M$4,O$5,"DF[dow:12345][tl:Calendar]",$L315)</f>
        <v>85.35</v>
      </c>
      <c r="P315">
        <f>_xll.ICEHistory(M$4,P$5,"DF[dow:12345][tl:Calendar]",$L315)</f>
        <v>85.8</v>
      </c>
      <c r="Q315">
        <f>_xll.ICEHistory(M$4,Q$5,"DF[dow:12345][tl:Calendar]",$L315)</f>
        <v>17450</v>
      </c>
      <c r="R315">
        <f>_xll.ICEHistory(M$4,R$5,"DF[dow:12345][tl:Calendar]",$L315)</f>
        <v>255496</v>
      </c>
      <c r="S315">
        <f>_xll.ICEHistory(S$4,S$5,"DF[dow:12345][tl:Calendar]",$L315)</f>
        <v>29.126999999999999</v>
      </c>
      <c r="T315">
        <f>_xll.ICEHistory(S$4,T$5,"DF[dow:12345][tl:Calendar]",$L315)</f>
        <v>29.126999999999999</v>
      </c>
      <c r="U315">
        <f>_xll.ICEHistory(S$4,U$5,"DF[dow:12345][tl:Calendar]",$L315)</f>
        <v>29.126999999999999</v>
      </c>
      <c r="V315">
        <f>_xll.ICEHistory(S$4,V$5,"DF[dow:12345][tl:Calendar]",$L315)</f>
        <v>29.126999999999999</v>
      </c>
      <c r="W315">
        <f>_xll.ICEHistory(S$4,W$5,"DF[dow:12345][tl:Calendar]",$L315)</f>
        <v>40</v>
      </c>
      <c r="X315">
        <f t="shared" si="12"/>
        <v>2.6798621149783281E-2</v>
      </c>
      <c r="Y315">
        <f t="shared" si="13"/>
        <v>-0.50090300366962037</v>
      </c>
      <c r="Z315">
        <f t="shared" si="14"/>
        <v>-0.29639282315275683</v>
      </c>
    </row>
    <row r="316" spans="12:26" x14ac:dyDescent="0.25">
      <c r="L316" s="4">
        <f>_xll.ICETimeline(_xll.ICEJoinRange(M4:W4),"DF[dow:12345][tl:Calendar]","2020-07-26;2024-07-26",735,-1)</f>
        <v>45068.5</v>
      </c>
      <c r="M316">
        <f>_xll.ICEHistory(M$4,M$5,"DF[dow:12345][tl:Calendar]",$L316)</f>
        <v>89.93</v>
      </c>
      <c r="N316">
        <f>_xll.ICEHistory(M$4,N$5,"DF[dow:12345][tl:Calendar]",$L316)</f>
        <v>89.93</v>
      </c>
      <c r="O316">
        <f>_xll.ICEHistory(M$4,O$5,"DF[dow:12345][tl:Calendar]",$L316)</f>
        <v>86.77</v>
      </c>
      <c r="P316">
        <f>_xll.ICEHistory(M$4,P$5,"DF[dow:12345][tl:Calendar]",$L316)</f>
        <v>87.25</v>
      </c>
      <c r="Q316">
        <f>_xll.ICEHistory(M$4,Q$5,"DF[dow:12345][tl:Calendar]",$L316)</f>
        <v>17605</v>
      </c>
      <c r="R316">
        <f>_xll.ICEHistory(M$4,R$5,"DF[dow:12345][tl:Calendar]",$L316)</f>
        <v>254943</v>
      </c>
      <c r="S316">
        <f>_xll.ICEHistory(S$4,S$5,"DF[dow:12345][tl:Calendar]",$L316)</f>
        <v>30.2</v>
      </c>
      <c r="T316">
        <f>_xll.ICEHistory(S$4,T$5,"DF[dow:12345][tl:Calendar]",$L316)</f>
        <v>30.2</v>
      </c>
      <c r="U316">
        <f>_xll.ICEHistory(S$4,U$5,"DF[dow:12345][tl:Calendar]",$L316)</f>
        <v>29.710999999999999</v>
      </c>
      <c r="V316">
        <f>_xll.ICEHistory(S$4,V$5,"DF[dow:12345][tl:Calendar]",$L316)</f>
        <v>29.710999999999999</v>
      </c>
      <c r="W316">
        <f>_xll.ICEHistory(S$4,W$5,"DF[dow:12345][tl:Calendar]",$L316)</f>
        <v>171</v>
      </c>
      <c r="X316">
        <f t="shared" si="12"/>
        <v>3.5244256078518971E-2</v>
      </c>
      <c r="Y316">
        <f t="shared" si="13"/>
        <v>0.1023446066269345</v>
      </c>
      <c r="Z316">
        <f t="shared" si="14"/>
        <v>-0.27733129639923831</v>
      </c>
    </row>
    <row r="317" spans="12:26" x14ac:dyDescent="0.25">
      <c r="L317" s="4">
        <f>_xll.ICETimeline(_xll.ICEJoinRange(M4:W4),"DF[dow:12345][tl:Calendar]","2020-07-26;2024-07-26",734,-1)</f>
        <v>45065.5</v>
      </c>
      <c r="M317">
        <f>_xll.ICEHistory(M$4,M$5,"DF[dow:12345][tl:Calendar]",$L317)</f>
        <v>89.66</v>
      </c>
      <c r="N317">
        <f>_xll.ICEHistory(M$4,N$5,"DF[dow:12345][tl:Calendar]",$L317)</f>
        <v>91.25</v>
      </c>
      <c r="O317">
        <f>_xll.ICEHistory(M$4,O$5,"DF[dow:12345][tl:Calendar]",$L317)</f>
        <v>89.33</v>
      </c>
      <c r="P317">
        <f>_xll.ICEHistory(M$4,P$5,"DF[dow:12345][tl:Calendar]",$L317)</f>
        <v>89.43</v>
      </c>
      <c r="Q317">
        <f>_xll.ICEHistory(M$4,Q$5,"DF[dow:12345][tl:Calendar]",$L317)</f>
        <v>14253</v>
      </c>
      <c r="R317">
        <f>_xll.ICEHistory(M$4,R$5,"DF[dow:12345][tl:Calendar]",$L317)</f>
        <v>253073</v>
      </c>
      <c r="S317">
        <f>_xll.ICEHistory(S$4,S$5,"DF[dow:12345][tl:Calendar]",$L317)</f>
        <v>30.175999999999998</v>
      </c>
      <c r="T317">
        <f>_xll.ICEHistory(S$4,T$5,"DF[dow:12345][tl:Calendar]",$L317)</f>
        <v>30.175999999999998</v>
      </c>
      <c r="U317">
        <f>_xll.ICEHistory(S$4,U$5,"DF[dow:12345][tl:Calendar]",$L317)</f>
        <v>30.175999999999998</v>
      </c>
      <c r="V317">
        <f>_xll.ICEHistory(S$4,V$5,"DF[dow:12345][tl:Calendar]",$L317)</f>
        <v>30.175999999999998</v>
      </c>
      <c r="W317">
        <f>_xll.ICEHistory(S$4,W$5,"DF[dow:12345][tl:Calendar]",$L317)</f>
        <v>0</v>
      </c>
      <c r="X317">
        <f t="shared" si="12"/>
        <v>2.169736693411687E-2</v>
      </c>
      <c r="Y317">
        <f t="shared" si="13"/>
        <v>-0.9037699497586269</v>
      </c>
      <c r="Z317">
        <f t="shared" si="14"/>
        <v>-0.74349720685787035</v>
      </c>
    </row>
    <row r="318" spans="12:26" x14ac:dyDescent="0.25">
      <c r="L318" s="4">
        <f>_xll.ICETimeline(_xll.ICEJoinRange(M4:W4),"DF[dow:12345][tl:Calendar]","2020-07-26;2024-07-26",733,-1)</f>
        <v>45064.5</v>
      </c>
      <c r="M318">
        <f>_xll.ICEHistory(M$4,M$5,"DF[dow:12345][tl:Calendar]",$L318)</f>
        <v>88.49</v>
      </c>
      <c r="N318">
        <f>_xll.ICEHistory(M$4,N$5,"DF[dow:12345][tl:Calendar]",$L318)</f>
        <v>90.21</v>
      </c>
      <c r="O318">
        <f>_xll.ICEHistory(M$4,O$5,"DF[dow:12345][tl:Calendar]",$L318)</f>
        <v>87.92</v>
      </c>
      <c r="P318">
        <f>_xll.ICEHistory(M$4,P$5,"DF[dow:12345][tl:Calendar]",$L318)</f>
        <v>89.65</v>
      </c>
      <c r="Q318">
        <f>_xll.ICEHistory(M$4,Q$5,"DF[dow:12345][tl:Calendar]",$L318)</f>
        <v>11214</v>
      </c>
      <c r="R318">
        <f>_xll.ICEHistory(M$4,R$5,"DF[dow:12345][tl:Calendar]",$L318)</f>
        <v>254562</v>
      </c>
      <c r="S318">
        <f>_xll.ICEHistory(S$4,S$5,"DF[dow:12345][tl:Calendar]",$L318)</f>
        <v>29.984999999999999</v>
      </c>
      <c r="T318">
        <f>_xll.ICEHistory(S$4,T$5,"DF[dow:12345][tl:Calendar]",$L318)</f>
        <v>29.984999999999999</v>
      </c>
      <c r="U318">
        <f>_xll.ICEHistory(S$4,U$5,"DF[dow:12345][tl:Calendar]",$L318)</f>
        <v>29.785</v>
      </c>
      <c r="V318">
        <f>_xll.ICEHistory(S$4,V$5,"DF[dow:12345][tl:Calendar]",$L318)</f>
        <v>29.785</v>
      </c>
      <c r="W318">
        <f>_xll.ICEHistory(S$4,W$5,"DF[dow:12345][tl:Calendar]",$L318)</f>
        <v>94</v>
      </c>
      <c r="X318">
        <f t="shared" si="12"/>
        <v>2.5747695075331596E-2</v>
      </c>
      <c r="Y318">
        <f t="shared" si="13"/>
        <v>-0.61950645712542385</v>
      </c>
      <c r="Z318">
        <f t="shared" si="14"/>
        <v>-1.1895762326323576</v>
      </c>
    </row>
    <row r="319" spans="12:26" x14ac:dyDescent="0.25">
      <c r="L319" s="4">
        <f>_xll.ICETimeline(_xll.ICEJoinRange(M4:W4),"DF[dow:12345][tl:Calendar]","2020-07-26;2024-07-26",732,-1)</f>
        <v>45063.5</v>
      </c>
      <c r="M319">
        <f>_xll.ICEHistory(M$4,M$5,"DF[dow:12345][tl:Calendar]",$L319)</f>
        <v>88.94</v>
      </c>
      <c r="N319">
        <f>_xll.ICEHistory(M$4,N$5,"DF[dow:12345][tl:Calendar]",$L319)</f>
        <v>89.75</v>
      </c>
      <c r="O319">
        <f>_xll.ICEHistory(M$4,O$5,"DF[dow:12345][tl:Calendar]",$L319)</f>
        <v>87.55</v>
      </c>
      <c r="P319">
        <f>_xll.ICEHistory(M$4,P$5,"DF[dow:12345][tl:Calendar]",$L319)</f>
        <v>88.04</v>
      </c>
      <c r="Q319">
        <f>_xll.ICEHistory(M$4,Q$5,"DF[dow:12345][tl:Calendar]",$L319)</f>
        <v>13624</v>
      </c>
      <c r="R319">
        <f>_xll.ICEHistory(M$4,R$5,"DF[dow:12345][tl:Calendar]",$L319)</f>
        <v>254597</v>
      </c>
      <c r="S319">
        <f>_xll.ICEHistory(S$4,S$5,"DF[dow:12345][tl:Calendar]",$L319)</f>
        <v>32.6</v>
      </c>
      <c r="T319">
        <f>_xll.ICEHistory(S$4,T$5,"DF[dow:12345][tl:Calendar]",$L319)</f>
        <v>32.6</v>
      </c>
      <c r="U319">
        <f>_xll.ICEHistory(S$4,U$5,"DF[dow:12345][tl:Calendar]",$L319)</f>
        <v>31.952999999999999</v>
      </c>
      <c r="V319">
        <f>_xll.ICEHistory(S$4,V$5,"DF[dow:12345][tl:Calendar]",$L319)</f>
        <v>31.952999999999999</v>
      </c>
      <c r="W319">
        <f>_xll.ICEHistory(S$4,W$5,"DF[dow:12345][tl:Calendar]",$L319)</f>
        <v>153</v>
      </c>
      <c r="X319">
        <f t="shared" si="12"/>
        <v>2.5287356321839115E-2</v>
      </c>
      <c r="Y319">
        <f t="shared" si="13"/>
        <v>-0.67430772660761629</v>
      </c>
      <c r="Z319">
        <f t="shared" si="14"/>
        <v>-0.8828382321120295</v>
      </c>
    </row>
    <row r="320" spans="12:26" x14ac:dyDescent="0.25">
      <c r="L320" s="4">
        <f>_xll.ICETimeline(_xll.ICEJoinRange(M4:W4),"DF[dow:12345][tl:Calendar]","2020-07-26;2024-07-26",731,-1)</f>
        <v>45062.5</v>
      </c>
      <c r="M320">
        <f>_xll.ICEHistory(M$4,M$5,"DF[dow:12345][tl:Calendar]",$L320)</f>
        <v>87</v>
      </c>
      <c r="N320">
        <f>_xll.ICEHistory(M$4,N$5,"DF[dow:12345][tl:Calendar]",$L320)</f>
        <v>89.23</v>
      </c>
      <c r="O320">
        <f>_xll.ICEHistory(M$4,O$5,"DF[dow:12345][tl:Calendar]",$L320)</f>
        <v>86.66</v>
      </c>
      <c r="P320">
        <f>_xll.ICEHistory(M$4,P$5,"DF[dow:12345][tl:Calendar]",$L320)</f>
        <v>88.93</v>
      </c>
      <c r="Q320">
        <f>_xll.ICEHistory(M$4,Q$5,"DF[dow:12345][tl:Calendar]",$L320)</f>
        <v>16241</v>
      </c>
      <c r="R320">
        <f>_xll.ICEHistory(M$4,R$5,"DF[dow:12345][tl:Calendar]",$L320)</f>
        <v>256205</v>
      </c>
      <c r="S320">
        <f>_xll.ICEHistory(S$4,S$5,"DF[dow:12345][tl:Calendar]",$L320)</f>
        <v>32.35</v>
      </c>
      <c r="T320">
        <f>_xll.ICEHistory(S$4,T$5,"DF[dow:12345][tl:Calendar]",$L320)</f>
        <v>32.93</v>
      </c>
      <c r="U320">
        <f>_xll.ICEHistory(S$4,U$5,"DF[dow:12345][tl:Calendar]",$L320)</f>
        <v>31.635000000000002</v>
      </c>
      <c r="V320">
        <f>_xll.ICEHistory(S$4,V$5,"DF[dow:12345][tl:Calendar]",$L320)</f>
        <v>31.821000000000002</v>
      </c>
      <c r="W320">
        <f>_xll.ICEHistory(S$4,W$5,"DF[dow:12345][tl:Calendar]",$L320)</f>
        <v>443</v>
      </c>
      <c r="X320">
        <f t="shared" si="12"/>
        <v>2.9039548022598952E-2</v>
      </c>
      <c r="Y320">
        <f t="shared" si="13"/>
        <v>-0.4215554555421509</v>
      </c>
      <c r="Z320">
        <f t="shared" si="14"/>
        <v>-0.53046090357237519</v>
      </c>
    </row>
    <row r="321" spans="12:26" x14ac:dyDescent="0.25">
      <c r="L321" s="4">
        <f>_xll.ICETimeline(_xll.ICEJoinRange(M4:W4),"DF[dow:12345][tl:Calendar]","2020-07-26;2024-07-26",730,-1)</f>
        <v>45061.5</v>
      </c>
      <c r="M321">
        <f>_xll.ICEHistory(M$4,M$5,"DF[dow:12345][tl:Calendar]",$L321)</f>
        <v>88.5</v>
      </c>
      <c r="N321">
        <f>_xll.ICEHistory(M$4,N$5,"DF[dow:12345][tl:Calendar]",$L321)</f>
        <v>89.19</v>
      </c>
      <c r="O321">
        <f>_xll.ICEHistory(M$4,O$5,"DF[dow:12345][tl:Calendar]",$L321)</f>
        <v>86.13</v>
      </c>
      <c r="P321">
        <f>_xll.ICEHistory(M$4,P$5,"DF[dow:12345][tl:Calendar]",$L321)</f>
        <v>87.14</v>
      </c>
      <c r="Q321">
        <f>_xll.ICEHistory(M$4,Q$5,"DF[dow:12345][tl:Calendar]",$L321)</f>
        <v>18904</v>
      </c>
      <c r="R321">
        <f>_xll.ICEHistory(M$4,R$5,"DF[dow:12345][tl:Calendar]",$L321)</f>
        <v>255691</v>
      </c>
      <c r="S321">
        <f>_xll.ICEHistory(S$4,S$5,"DF[dow:12345][tl:Calendar]",$L321)</f>
        <v>32.305</v>
      </c>
      <c r="T321">
        <f>_xll.ICEHistory(S$4,T$5,"DF[dow:12345][tl:Calendar]",$L321)</f>
        <v>33.6</v>
      </c>
      <c r="U321">
        <f>_xll.ICEHistory(S$4,U$5,"DF[dow:12345][tl:Calendar]",$L321)</f>
        <v>32</v>
      </c>
      <c r="V321">
        <f>_xll.ICEHistory(S$4,V$5,"DF[dow:12345][tl:Calendar]",$L321)</f>
        <v>32.314</v>
      </c>
      <c r="W321">
        <f>_xll.ICEHistory(S$4,W$5,"DF[dow:12345][tl:Calendar]",$L321)</f>
        <v>278</v>
      </c>
      <c r="X321">
        <f t="shared" si="12"/>
        <v>3.4560650553422202E-2</v>
      </c>
      <c r="Y321">
        <f t="shared" si="13"/>
        <v>-2.5897017978672481E-2</v>
      </c>
      <c r="Z321">
        <f t="shared" si="14"/>
        <v>-0.1464516010440966</v>
      </c>
    </row>
    <row r="322" spans="12:26" x14ac:dyDescent="0.25">
      <c r="L322" s="4">
        <f>_xll.ICETimeline(_xll.ICEJoinRange(M4:W4),"DF[dow:12345][tl:Calendar]","2020-07-26;2024-07-26",729,-1)</f>
        <v>45058.5</v>
      </c>
      <c r="M322">
        <f>_xll.ICEHistory(M$4,M$5,"DF[dow:12345][tl:Calendar]",$L322)</f>
        <v>88.54</v>
      </c>
      <c r="N322">
        <f>_xll.ICEHistory(M$4,N$5,"DF[dow:12345][tl:Calendar]",$L322)</f>
        <v>89.75</v>
      </c>
      <c r="O322">
        <f>_xll.ICEHistory(M$4,O$5,"DF[dow:12345][tl:Calendar]",$L322)</f>
        <v>88.14</v>
      </c>
      <c r="P322">
        <f>_xll.ICEHistory(M$4,P$5,"DF[dow:12345][tl:Calendar]",$L322)</f>
        <v>88.93</v>
      </c>
      <c r="Q322">
        <f>_xll.ICEHistory(M$4,Q$5,"DF[dow:12345][tl:Calendar]",$L322)</f>
        <v>10957</v>
      </c>
      <c r="R322">
        <f>_xll.ICEHistory(M$4,R$5,"DF[dow:12345][tl:Calendar]",$L322)</f>
        <v>255914</v>
      </c>
      <c r="S322">
        <f>_xll.ICEHistory(S$4,S$5,"DF[dow:12345][tl:Calendar]",$L322)</f>
        <v>33.950000000000003</v>
      </c>
      <c r="T322">
        <f>_xll.ICEHistory(S$4,T$5,"DF[dow:12345][tl:Calendar]",$L322)</f>
        <v>33.950000000000003</v>
      </c>
      <c r="U322">
        <f>_xll.ICEHistory(S$4,U$5,"DF[dow:12345][tl:Calendar]",$L322)</f>
        <v>32.35</v>
      </c>
      <c r="V322">
        <f>_xll.ICEHistory(S$4,V$5,"DF[dow:12345][tl:Calendar]",$L322)</f>
        <v>32.767000000000003</v>
      </c>
      <c r="W322">
        <f>_xll.ICEHistory(S$4,W$5,"DF[dow:12345][tl:Calendar]",$L322)</f>
        <v>429</v>
      </c>
      <c r="X322">
        <f t="shared" si="12"/>
        <v>1.8045281327056708E-2</v>
      </c>
      <c r="Y322">
        <f t="shared" si="13"/>
        <v>-1.2274839441675784</v>
      </c>
      <c r="Z322">
        <f t="shared" si="14"/>
        <v>-1.2624233686879631</v>
      </c>
    </row>
    <row r="323" spans="12:26" x14ac:dyDescent="0.25">
      <c r="L323" s="4">
        <f>_xll.ICETimeline(_xll.ICEJoinRange(M4:W4),"DF[dow:12345][tl:Calendar]","2020-07-26;2024-07-26",728,-1)</f>
        <v>45057.5</v>
      </c>
      <c r="M323">
        <f>_xll.ICEHistory(M$4,M$5,"DF[dow:12345][tl:Calendar]",$L323)</f>
        <v>89.22</v>
      </c>
      <c r="N323">
        <f>_xll.ICEHistory(M$4,N$5,"DF[dow:12345][tl:Calendar]",$L323)</f>
        <v>90.12</v>
      </c>
      <c r="O323">
        <f>_xll.ICEHistory(M$4,O$5,"DF[dow:12345][tl:Calendar]",$L323)</f>
        <v>87.67</v>
      </c>
      <c r="P323">
        <f>_xll.ICEHistory(M$4,P$5,"DF[dow:12345][tl:Calendar]",$L323)</f>
        <v>88.57</v>
      </c>
      <c r="Q323">
        <f>_xll.ICEHistory(M$4,Q$5,"DF[dow:12345][tl:Calendar]",$L323)</f>
        <v>18111</v>
      </c>
      <c r="R323">
        <f>_xll.ICEHistory(M$4,R$5,"DF[dow:12345][tl:Calendar]",$L323)</f>
        <v>255709</v>
      </c>
      <c r="S323">
        <f>_xll.ICEHistory(S$4,S$5,"DF[dow:12345][tl:Calendar]",$L323)</f>
        <v>34.9</v>
      </c>
      <c r="T323">
        <f>_xll.ICEHistory(S$4,T$5,"DF[dow:12345][tl:Calendar]",$L323)</f>
        <v>35.159999999999997</v>
      </c>
      <c r="U323">
        <f>_xll.ICEHistory(S$4,U$5,"DF[dow:12345][tl:Calendar]",$L323)</f>
        <v>34.67</v>
      </c>
      <c r="V323">
        <f>_xll.ICEHistory(S$4,V$5,"DF[dow:12345][tl:Calendar]",$L323)</f>
        <v>34.993000000000002</v>
      </c>
      <c r="W323">
        <f>_xll.ICEHistory(S$4,W$5,"DF[dow:12345][tl:Calendar]",$L323)</f>
        <v>426</v>
      </c>
      <c r="X323">
        <f t="shared" si="12"/>
        <v>2.7939331736800126E-2</v>
      </c>
      <c r="Y323">
        <f t="shared" si="13"/>
        <v>-0.52167614800993189</v>
      </c>
      <c r="Z323">
        <f t="shared" si="14"/>
        <v>-0.27115668344277977</v>
      </c>
    </row>
    <row r="324" spans="12:26" x14ac:dyDescent="0.25">
      <c r="L324" s="4">
        <f>_xll.ICETimeline(_xll.ICEJoinRange(M4:W4),"DF[dow:12345][tl:Calendar]","2020-07-26;2024-07-26",727,-1)</f>
        <v>45056.5</v>
      </c>
      <c r="M324">
        <f>_xll.ICEHistory(M$4,M$5,"DF[dow:12345][tl:Calendar]",$L324)</f>
        <v>87.69</v>
      </c>
      <c r="N324">
        <f>_xll.ICEHistory(M$4,N$5,"DF[dow:12345][tl:Calendar]",$L324)</f>
        <v>89.75</v>
      </c>
      <c r="O324">
        <f>_xll.ICEHistory(M$4,O$5,"DF[dow:12345][tl:Calendar]",$L324)</f>
        <v>87.2</v>
      </c>
      <c r="P324">
        <f>_xll.ICEHistory(M$4,P$5,"DF[dow:12345][tl:Calendar]",$L324)</f>
        <v>89.06</v>
      </c>
      <c r="Q324">
        <f>_xll.ICEHistory(M$4,Q$5,"DF[dow:12345][tl:Calendar]",$L324)</f>
        <v>19778</v>
      </c>
      <c r="R324">
        <f>_xll.ICEHistory(M$4,R$5,"DF[dow:12345][tl:Calendar]",$L324)</f>
        <v>256586</v>
      </c>
      <c r="S324">
        <f>_xll.ICEHistory(S$4,S$5,"DF[dow:12345][tl:Calendar]",$L324)</f>
        <v>35.700000000000003</v>
      </c>
      <c r="T324">
        <f>_xll.ICEHistory(S$4,T$5,"DF[dow:12345][tl:Calendar]",$L324)</f>
        <v>36</v>
      </c>
      <c r="U324">
        <f>_xll.ICEHistory(S$4,U$5,"DF[dow:12345][tl:Calendar]",$L324)</f>
        <v>34.74</v>
      </c>
      <c r="V324">
        <f>_xll.ICEHistory(S$4,V$5,"DF[dow:12345][tl:Calendar]",$L324)</f>
        <v>34.993000000000002</v>
      </c>
      <c r="W324">
        <f>_xll.ICEHistory(S$4,W$5,"DF[dow:12345][tl:Calendar]",$L324)</f>
        <v>213</v>
      </c>
      <c r="X324">
        <f t="shared" si="12"/>
        <v>2.9842012873025126E-2</v>
      </c>
      <c r="Y324">
        <f t="shared" si="13"/>
        <v>-0.38829916970979145</v>
      </c>
      <c r="Z324">
        <f t="shared" si="14"/>
        <v>-3.0446359880775944E-2</v>
      </c>
    </row>
    <row r="325" spans="12:26" x14ac:dyDescent="0.25">
      <c r="L325" s="4">
        <f>_xll.ICETimeline(_xll.ICEJoinRange(M4:W4),"DF[dow:12345][tl:Calendar]","2020-07-26;2024-07-26",726,-1)</f>
        <v>45055.5</v>
      </c>
      <c r="M325">
        <f>_xll.ICEHistory(M$4,M$5,"DF[dow:12345][tl:Calendar]",$L325)</f>
        <v>85.45</v>
      </c>
      <c r="N325">
        <f>_xll.ICEHistory(M$4,N$5,"DF[dow:12345][tl:Calendar]",$L325)</f>
        <v>87.75</v>
      </c>
      <c r="O325">
        <f>_xll.ICEHistory(M$4,O$5,"DF[dow:12345][tl:Calendar]",$L325)</f>
        <v>85.2</v>
      </c>
      <c r="P325">
        <f>_xll.ICEHistory(M$4,P$5,"DF[dow:12345][tl:Calendar]",$L325)</f>
        <v>87.51</v>
      </c>
      <c r="Q325">
        <f>_xll.ICEHistory(M$4,Q$5,"DF[dow:12345][tl:Calendar]",$L325)</f>
        <v>17934</v>
      </c>
      <c r="R325">
        <f>_xll.ICEHistory(M$4,R$5,"DF[dow:12345][tl:Calendar]",$L325)</f>
        <v>257311</v>
      </c>
      <c r="S325">
        <f>_xll.ICEHistory(S$4,S$5,"DF[dow:12345][tl:Calendar]",$L325)</f>
        <v>36.625</v>
      </c>
      <c r="T325">
        <f>_xll.ICEHistory(S$4,T$5,"DF[dow:12345][tl:Calendar]",$L325)</f>
        <v>36.909999999999997</v>
      </c>
      <c r="U325">
        <f>_xll.ICEHistory(S$4,U$5,"DF[dow:12345][tl:Calendar]",$L325)</f>
        <v>35.799999999999997</v>
      </c>
      <c r="V325">
        <f>_xll.ICEHistory(S$4,V$5,"DF[dow:12345][tl:Calendar]",$L325)</f>
        <v>35.950000000000003</v>
      </c>
      <c r="W325">
        <f>_xll.ICEHistory(S$4,W$5,"DF[dow:12345][tl:Calendar]",$L325)</f>
        <v>262</v>
      </c>
      <c r="X325">
        <f t="shared" si="12"/>
        <v>2.9999999999999968E-2</v>
      </c>
      <c r="Y325">
        <f t="shared" si="13"/>
        <v>-0.37920414204204617</v>
      </c>
      <c r="Z325">
        <f t="shared" si="14"/>
        <v>-0.29338452179821611</v>
      </c>
    </row>
    <row r="326" spans="12:26" x14ac:dyDescent="0.25">
      <c r="L326" s="4">
        <f>_xll.ICETimeline(_xll.ICEJoinRange(M4:W4),"DF[dow:12345][tl:Calendar]","2020-07-26;2024-07-26",725,-1)</f>
        <v>45054.5</v>
      </c>
      <c r="M326">
        <f>_xll.ICEHistory(M$4,M$5,"DF[dow:12345][tl:Calendar]",$L326)</f>
        <v>85</v>
      </c>
      <c r="N326">
        <f>_xll.ICEHistory(M$4,N$5,"DF[dow:12345][tl:Calendar]",$L326)</f>
        <v>85.99</v>
      </c>
      <c r="O326">
        <f>_xll.ICEHistory(M$4,O$5,"DF[dow:12345][tl:Calendar]",$L326)</f>
        <v>84.5</v>
      </c>
      <c r="P326">
        <f>_xll.ICEHistory(M$4,P$5,"DF[dow:12345][tl:Calendar]",$L326)</f>
        <v>85.59</v>
      </c>
      <c r="Q326">
        <f>_xll.ICEHistory(M$4,Q$5,"DF[dow:12345][tl:Calendar]",$L326)</f>
        <v>8809</v>
      </c>
      <c r="R326">
        <f>_xll.ICEHistory(M$4,R$5,"DF[dow:12345][tl:Calendar]",$L326)</f>
        <v>256698</v>
      </c>
      <c r="S326">
        <f>_xll.ICEHistory(S$4,S$5,"DF[dow:12345][tl:Calendar]",$L326)</f>
        <v>36.85</v>
      </c>
      <c r="T326">
        <f>_xll.ICEHistory(S$4,T$5,"DF[dow:12345][tl:Calendar]",$L326)</f>
        <v>37.25</v>
      </c>
      <c r="U326">
        <f>_xll.ICEHistory(S$4,U$5,"DF[dow:12345][tl:Calendar]",$L326)</f>
        <v>36.85</v>
      </c>
      <c r="V326">
        <f>_xll.ICEHistory(S$4,V$5,"DF[dow:12345][tl:Calendar]",$L326)</f>
        <v>36.874000000000002</v>
      </c>
      <c r="W326">
        <f>_xll.ICEHistory(S$4,W$5,"DF[dow:12345][tl:Calendar]",$L326)</f>
        <v>33</v>
      </c>
      <c r="X326">
        <f t="shared" si="12"/>
        <v>1.7599811008740786E-2</v>
      </c>
      <c r="Y326">
        <f t="shared" si="13"/>
        <v>-1.3082224261428903</v>
      </c>
      <c r="Z326">
        <f t="shared" si="14"/>
        <v>-1.6080378419657966</v>
      </c>
    </row>
    <row r="327" spans="12:26" x14ac:dyDescent="0.25">
      <c r="L327" s="4">
        <f>_xll.ICETimeline(_xll.ICEJoinRange(M4:W4),"DF[dow:12345][tl:Calendar]","2020-07-26;2024-07-26",724,-1)</f>
        <v>45051.5</v>
      </c>
      <c r="M327">
        <f>_xll.ICEHistory(M$4,M$5,"DF[dow:12345][tl:Calendar]",$L327)</f>
        <v>84.66</v>
      </c>
      <c r="N327">
        <f>_xll.ICEHistory(M$4,N$5,"DF[dow:12345][tl:Calendar]",$L327)</f>
        <v>86.9</v>
      </c>
      <c r="O327">
        <f>_xll.ICEHistory(M$4,O$5,"DF[dow:12345][tl:Calendar]",$L327)</f>
        <v>84.3</v>
      </c>
      <c r="P327">
        <f>_xll.ICEHistory(M$4,P$5,"DF[dow:12345][tl:Calendar]",$L327)</f>
        <v>84.96</v>
      </c>
      <c r="Q327">
        <f>_xll.ICEHistory(M$4,Q$5,"DF[dow:12345][tl:Calendar]",$L327)</f>
        <v>13937</v>
      </c>
      <c r="R327">
        <f>_xll.ICEHistory(M$4,R$5,"DF[dow:12345][tl:Calendar]",$L327)</f>
        <v>256889</v>
      </c>
      <c r="S327">
        <f>_xll.ICEHistory(S$4,S$5,"DF[dow:12345][tl:Calendar]",$L327)</f>
        <v>35.924999999999997</v>
      </c>
      <c r="T327">
        <f>_xll.ICEHistory(S$4,T$5,"DF[dow:12345][tl:Calendar]",$L327)</f>
        <v>36.79</v>
      </c>
      <c r="U327">
        <f>_xll.ICEHistory(S$4,U$5,"DF[dow:12345][tl:Calendar]",$L327)</f>
        <v>35.924999999999997</v>
      </c>
      <c r="V327">
        <f>_xll.ICEHistory(S$4,V$5,"DF[dow:12345][tl:Calendar]",$L327)</f>
        <v>36.573999999999998</v>
      </c>
      <c r="W327">
        <f>_xll.ICEHistory(S$4,W$5,"DF[dow:12345][tl:Calendar]",$L327)</f>
        <v>337</v>
      </c>
      <c r="X327">
        <f t="shared" si="12"/>
        <v>3.0480656506447931E-2</v>
      </c>
      <c r="Y327">
        <f t="shared" si="13"/>
        <v>-0.39134853290758798</v>
      </c>
      <c r="Z327">
        <f t="shared" si="14"/>
        <v>-0.91026003788965071</v>
      </c>
    </row>
    <row r="328" spans="12:26" x14ac:dyDescent="0.25">
      <c r="L328" s="4">
        <f>_xll.ICETimeline(_xll.ICEJoinRange(M4:W4),"DF[dow:12345][tl:Calendar]","2020-07-26;2024-07-26",723,-1)</f>
        <v>45050.5</v>
      </c>
      <c r="M328">
        <f>_xll.ICEHistory(M$4,M$5,"DF[dow:12345][tl:Calendar]",$L328)</f>
        <v>85.3</v>
      </c>
      <c r="N328">
        <f>_xll.ICEHistory(M$4,N$5,"DF[dow:12345][tl:Calendar]",$L328)</f>
        <v>85.71</v>
      </c>
      <c r="O328">
        <f>_xll.ICEHistory(M$4,O$5,"DF[dow:12345][tl:Calendar]",$L328)</f>
        <v>83.25</v>
      </c>
      <c r="P328">
        <f>_xll.ICEHistory(M$4,P$5,"DF[dow:12345][tl:Calendar]",$L328)</f>
        <v>84.5</v>
      </c>
      <c r="Q328">
        <f>_xll.ICEHistory(M$4,Q$5,"DF[dow:12345][tl:Calendar]",$L328)</f>
        <v>19952</v>
      </c>
      <c r="R328">
        <f>_xll.ICEHistory(M$4,R$5,"DF[dow:12345][tl:Calendar]",$L328)</f>
        <v>257443</v>
      </c>
      <c r="S328">
        <f>_xll.ICEHistory(S$4,S$5,"DF[dow:12345][tl:Calendar]",$L328)</f>
        <v>36.950000000000003</v>
      </c>
      <c r="T328">
        <f>_xll.ICEHistory(S$4,T$5,"DF[dow:12345][tl:Calendar]",$L328)</f>
        <v>36.950000000000003</v>
      </c>
      <c r="U328">
        <f>_xll.ICEHistory(S$4,U$5,"DF[dow:12345][tl:Calendar]",$L328)</f>
        <v>35.652999999999999</v>
      </c>
      <c r="V328">
        <f>_xll.ICEHistory(S$4,V$5,"DF[dow:12345][tl:Calendar]",$L328)</f>
        <v>35.652999999999999</v>
      </c>
      <c r="W328">
        <f>_xll.ICEHistory(S$4,W$5,"DF[dow:12345][tl:Calendar]",$L328)</f>
        <v>452</v>
      </c>
      <c r="X328">
        <f t="shared" si="12"/>
        <v>2.7640449438202177E-2</v>
      </c>
      <c r="Y328">
        <f t="shared" si="13"/>
        <v>-0.60473007741781948</v>
      </c>
      <c r="Z328">
        <f t="shared" si="14"/>
        <v>-5.877587504848613E-2</v>
      </c>
    </row>
    <row r="329" spans="12:26" x14ac:dyDescent="0.25">
      <c r="L329" s="4">
        <f>_xll.ICETimeline(_xll.ICEJoinRange(M4:W4),"DF[dow:12345][tl:Calendar]","2020-07-26;2024-07-26",722,-1)</f>
        <v>45049.5</v>
      </c>
      <c r="M329">
        <f>_xll.ICEHistory(M$4,M$5,"DF[dow:12345][tl:Calendar]",$L329)</f>
        <v>89</v>
      </c>
      <c r="N329">
        <f>_xll.ICEHistory(M$4,N$5,"DF[dow:12345][tl:Calendar]",$L329)</f>
        <v>89.4</v>
      </c>
      <c r="O329">
        <f>_xll.ICEHistory(M$4,O$5,"DF[dow:12345][tl:Calendar]",$L329)</f>
        <v>84</v>
      </c>
      <c r="P329">
        <f>_xll.ICEHistory(M$4,P$5,"DF[dow:12345][tl:Calendar]",$L329)</f>
        <v>85.15</v>
      </c>
      <c r="Q329">
        <f>_xll.ICEHistory(M$4,Q$5,"DF[dow:12345][tl:Calendar]",$L329)</f>
        <v>29468</v>
      </c>
      <c r="R329">
        <f>_xll.ICEHistory(M$4,R$5,"DF[dow:12345][tl:Calendar]",$L329)</f>
        <v>257358</v>
      </c>
      <c r="S329">
        <f>_xll.ICEHistory(S$4,S$5,"DF[dow:12345][tl:Calendar]",$L329)</f>
        <v>37.494999999999997</v>
      </c>
      <c r="T329">
        <f>_xll.ICEHistory(S$4,T$5,"DF[dow:12345][tl:Calendar]",$L329)</f>
        <v>37.494999999999997</v>
      </c>
      <c r="U329">
        <f>_xll.ICEHistory(S$4,U$5,"DF[dow:12345][tl:Calendar]",$L329)</f>
        <v>36.4</v>
      </c>
      <c r="V329">
        <f>_xll.ICEHistory(S$4,V$5,"DF[dow:12345][tl:Calendar]",$L329)</f>
        <v>36.781999999999996</v>
      </c>
      <c r="W329">
        <f>_xll.ICEHistory(S$4,W$5,"DF[dow:12345][tl:Calendar]",$L329)</f>
        <v>407</v>
      </c>
      <c r="X329">
        <f t="shared" ref="X329:X392" si="15">IFERROR((N329-O329)/M330, "")</f>
        <v>6.3039925286014542E-2</v>
      </c>
      <c r="Y329">
        <f t="shared" ref="Y329:Y392" si="16">IFERROR((X329-AVERAGE(X329:X393))/_xlfn.STDEV.S(X329:X393),"")</f>
        <v>1.9456113968942264</v>
      </c>
      <c r="Z329">
        <f t="shared" ref="Z329:Z392" si="17">IFERROR((Q329-AVERAGE(Q329:Q394))/_xlfn.STDEV.S(Q329:Q394),"")</f>
        <v>1.2833635618592458</v>
      </c>
    </row>
    <row r="330" spans="12:26" x14ac:dyDescent="0.25">
      <c r="L330" s="4">
        <f>_xll.ICETimeline(_xll.ICEJoinRange(M4:W4),"DF[dow:12345][tl:Calendar]","2020-07-26;2024-07-26",721,-1)</f>
        <v>45048.5</v>
      </c>
      <c r="M330">
        <f>_xll.ICEHistory(M$4,M$5,"DF[dow:12345][tl:Calendar]",$L330)</f>
        <v>85.66</v>
      </c>
      <c r="N330">
        <f>_xll.ICEHistory(M$4,N$5,"DF[dow:12345][tl:Calendar]",$L330)</f>
        <v>90.85</v>
      </c>
      <c r="O330">
        <f>_xll.ICEHistory(M$4,O$5,"DF[dow:12345][tl:Calendar]",$L330)</f>
        <v>85.42</v>
      </c>
      <c r="P330">
        <f>_xll.ICEHistory(M$4,P$5,"DF[dow:12345][tl:Calendar]",$L330)</f>
        <v>88.52</v>
      </c>
      <c r="Q330">
        <f>_xll.ICEHistory(M$4,Q$5,"DF[dow:12345][tl:Calendar]",$L330)</f>
        <v>23326</v>
      </c>
      <c r="R330">
        <f>_xll.ICEHistory(M$4,R$5,"DF[dow:12345][tl:Calendar]",$L330)</f>
        <v>255909</v>
      </c>
      <c r="S330">
        <f>_xll.ICEHistory(S$4,S$5,"DF[dow:12345][tl:Calendar]",$L330)</f>
        <v>37.86</v>
      </c>
      <c r="T330">
        <f>_xll.ICEHistory(S$4,T$5,"DF[dow:12345][tl:Calendar]",$L330)</f>
        <v>38.049999999999997</v>
      </c>
      <c r="U330">
        <f>_xll.ICEHistory(S$4,U$5,"DF[dow:12345][tl:Calendar]",$L330)</f>
        <v>37.274999999999999</v>
      </c>
      <c r="V330">
        <f>_xll.ICEHistory(S$4,V$5,"DF[dow:12345][tl:Calendar]",$L330)</f>
        <v>37.529000000000003</v>
      </c>
      <c r="W330">
        <f>_xll.ICEHistory(S$4,W$5,"DF[dow:12345][tl:Calendar]",$L330)</f>
        <v>244</v>
      </c>
      <c r="X330">
        <f t="shared" si="15"/>
        <v>6.2135255750085737E-2</v>
      </c>
      <c r="Y330">
        <f t="shared" si="16"/>
        <v>1.9003403706687216</v>
      </c>
      <c r="Z330">
        <f t="shared" si="17"/>
        <v>0.40905350052650918</v>
      </c>
    </row>
    <row r="331" spans="12:26" x14ac:dyDescent="0.25">
      <c r="L331" s="4">
        <f>_xll.ICETimeline(_xll.ICEJoinRange(M4:W4),"DF[dow:12345][tl:Calendar]","2020-07-26;2024-07-26",720,-1)</f>
        <v>45047.5</v>
      </c>
      <c r="M331">
        <f>_xll.ICEHistory(M$4,M$5,"DF[dow:12345][tl:Calendar]",$L331)</f>
        <v>87.39</v>
      </c>
      <c r="N331">
        <f>_xll.ICEHistory(M$4,N$5,"DF[dow:12345][tl:Calendar]",$L331)</f>
        <v>88.37</v>
      </c>
      <c r="O331">
        <f>_xll.ICEHistory(M$4,O$5,"DF[dow:12345][tl:Calendar]",$L331)</f>
        <v>85.5</v>
      </c>
      <c r="P331">
        <f>_xll.ICEHistory(M$4,P$5,"DF[dow:12345][tl:Calendar]",$L331)</f>
        <v>85.63</v>
      </c>
      <c r="Q331">
        <f>_xll.ICEHistory(M$4,Q$5,"DF[dow:12345][tl:Calendar]",$L331)</f>
        <v>4524</v>
      </c>
      <c r="R331">
        <f>_xll.ICEHistory(M$4,R$5,"DF[dow:12345][tl:Calendar]",$L331)</f>
        <v>258439</v>
      </c>
      <c r="S331">
        <f>_xll.ICEHistory(S$4,S$5,"DF[dow:12345][tl:Calendar]",$L331)</f>
        <v>38.537999999999997</v>
      </c>
      <c r="T331">
        <f>_xll.ICEHistory(S$4,T$5,"DF[dow:12345][tl:Calendar]",$L331)</f>
        <v>38.834000000000003</v>
      </c>
      <c r="U331">
        <f>_xll.ICEHistory(S$4,U$5,"DF[dow:12345][tl:Calendar]",$L331)</f>
        <v>38.537999999999997</v>
      </c>
      <c r="V331">
        <f>_xll.ICEHistory(S$4,V$5,"DF[dow:12345][tl:Calendar]",$L331)</f>
        <v>38.834000000000003</v>
      </c>
      <c r="W331">
        <f>_xll.ICEHistory(S$4,W$5,"DF[dow:12345][tl:Calendar]",$L331)</f>
        <v>10</v>
      </c>
      <c r="X331">
        <f t="shared" si="15"/>
        <v>3.3240676395645173E-2</v>
      </c>
      <c r="Y331">
        <f t="shared" si="16"/>
        <v>-0.21201084319431066</v>
      </c>
      <c r="Z331">
        <f t="shared" si="17"/>
        <v>-2.2978906904167631</v>
      </c>
    </row>
    <row r="332" spans="12:26" x14ac:dyDescent="0.25">
      <c r="L332" s="4">
        <f>_xll.ICETimeline(_xll.ICEJoinRange(M4:W4),"DF[dow:12345][tl:Calendar]","2020-07-26;2024-07-26",719,-1)</f>
        <v>45044.5</v>
      </c>
      <c r="M332">
        <f>_xll.ICEHistory(M$4,M$5,"DF[dow:12345][tl:Calendar]",$L332)</f>
        <v>86.34</v>
      </c>
      <c r="N332">
        <f>_xll.ICEHistory(M$4,N$5,"DF[dow:12345][tl:Calendar]",$L332)</f>
        <v>88.16</v>
      </c>
      <c r="O332">
        <f>_xll.ICEHistory(M$4,O$5,"DF[dow:12345][tl:Calendar]",$L332)</f>
        <v>86.13</v>
      </c>
      <c r="P332">
        <f>_xll.ICEHistory(M$4,P$5,"DF[dow:12345][tl:Calendar]",$L332)</f>
        <v>87.65</v>
      </c>
      <c r="Q332">
        <f>_xll.ICEHistory(M$4,Q$5,"DF[dow:12345][tl:Calendar]",$L332)</f>
        <v>13507</v>
      </c>
      <c r="R332">
        <f>_xll.ICEHistory(M$4,R$5,"DF[dow:12345][tl:Calendar]",$L332)</f>
        <v>257999</v>
      </c>
      <c r="S332">
        <f>_xll.ICEHistory(S$4,S$5,"DF[dow:12345][tl:Calendar]",$L332)</f>
        <v>39.799999999999997</v>
      </c>
      <c r="T332">
        <f>_xll.ICEHistory(S$4,T$5,"DF[dow:12345][tl:Calendar]",$L332)</f>
        <v>39.799999999999997</v>
      </c>
      <c r="U332">
        <f>_xll.ICEHistory(S$4,U$5,"DF[dow:12345][tl:Calendar]",$L332)</f>
        <v>38.299999999999997</v>
      </c>
      <c r="V332">
        <f>_xll.ICEHistory(S$4,V$5,"DF[dow:12345][tl:Calendar]",$L332)</f>
        <v>38.537999999999997</v>
      </c>
      <c r="W332">
        <f>_xll.ICEHistory(S$4,W$5,"DF[dow:12345][tl:Calendar]",$L332)</f>
        <v>3</v>
      </c>
      <c r="X332">
        <f t="shared" si="15"/>
        <v>2.3607396208861511E-2</v>
      </c>
      <c r="Y332">
        <f t="shared" si="16"/>
        <v>-0.92701393811135069</v>
      </c>
      <c r="Z332">
        <f t="shared" si="17"/>
        <v>-1.08348373486246</v>
      </c>
    </row>
    <row r="333" spans="12:26" x14ac:dyDescent="0.25">
      <c r="L333" s="4">
        <f>_xll.ICETimeline(_xll.ICEJoinRange(M4:W4),"DF[dow:12345][tl:Calendar]","2020-07-26;2024-07-26",718,-1)</f>
        <v>45043.5</v>
      </c>
      <c r="M333">
        <f>_xll.ICEHistory(M$4,M$5,"DF[dow:12345][tl:Calendar]",$L333)</f>
        <v>85.99</v>
      </c>
      <c r="N333">
        <f>_xll.ICEHistory(M$4,N$5,"DF[dow:12345][tl:Calendar]",$L333)</f>
        <v>87.9</v>
      </c>
      <c r="O333">
        <f>_xll.ICEHistory(M$4,O$5,"DF[dow:12345][tl:Calendar]",$L333)</f>
        <v>85.4</v>
      </c>
      <c r="P333">
        <f>_xll.ICEHistory(M$4,P$5,"DF[dow:12345][tl:Calendar]",$L333)</f>
        <v>86.68</v>
      </c>
      <c r="Q333">
        <f>_xll.ICEHistory(M$4,Q$5,"DF[dow:12345][tl:Calendar]",$L333)</f>
        <v>21813</v>
      </c>
      <c r="R333">
        <f>_xll.ICEHistory(M$4,R$5,"DF[dow:12345][tl:Calendar]",$L333)</f>
        <v>257880</v>
      </c>
      <c r="S333">
        <f>_xll.ICEHistory(S$4,S$5,"DF[dow:12345][tl:Calendar]",$L333)</f>
        <v>39.039000000000001</v>
      </c>
      <c r="T333">
        <f>_xll.ICEHistory(S$4,T$5,"DF[dow:12345][tl:Calendar]",$L333)</f>
        <v>39.039000000000001</v>
      </c>
      <c r="U333">
        <f>_xll.ICEHistory(S$4,U$5,"DF[dow:12345][tl:Calendar]",$L333)</f>
        <v>39.039000000000001</v>
      </c>
      <c r="V333">
        <f>_xll.ICEHistory(S$4,V$5,"DF[dow:12345][tl:Calendar]",$L333)</f>
        <v>39.039000000000001</v>
      </c>
      <c r="W333">
        <f>_xll.ICEHistory(S$4,W$5,"DF[dow:12345][tl:Calendar]",$L333)</f>
        <v>0</v>
      </c>
      <c r="X333">
        <f t="shared" si="15"/>
        <v>2.8768699654775604E-2</v>
      </c>
      <c r="Y333">
        <f t="shared" si="16"/>
        <v>-0.54473394438403488</v>
      </c>
      <c r="Z333">
        <f t="shared" si="17"/>
        <v>0.14032158692463922</v>
      </c>
    </row>
    <row r="334" spans="12:26" x14ac:dyDescent="0.25">
      <c r="L334" s="4">
        <f>_xll.ICETimeline(_xll.ICEJoinRange(M4:W4),"DF[dow:12345][tl:Calendar]","2020-07-26;2024-07-26",717,-1)</f>
        <v>45042.5</v>
      </c>
      <c r="M334">
        <f>_xll.ICEHistory(M$4,M$5,"DF[dow:12345][tl:Calendar]",$L334)</f>
        <v>86.9</v>
      </c>
      <c r="N334">
        <f>_xll.ICEHistory(M$4,N$5,"DF[dow:12345][tl:Calendar]",$L334)</f>
        <v>87</v>
      </c>
      <c r="O334">
        <f>_xll.ICEHistory(M$4,O$5,"DF[dow:12345][tl:Calendar]",$L334)</f>
        <v>85.15</v>
      </c>
      <c r="P334">
        <f>_xll.ICEHistory(M$4,P$5,"DF[dow:12345][tl:Calendar]",$L334)</f>
        <v>86.24</v>
      </c>
      <c r="Q334">
        <f>_xll.ICEHistory(M$4,Q$5,"DF[dow:12345][tl:Calendar]",$L334)</f>
        <v>23598</v>
      </c>
      <c r="R334">
        <f>_xll.ICEHistory(M$4,R$5,"DF[dow:12345][tl:Calendar]",$L334)</f>
        <v>256586</v>
      </c>
      <c r="S334">
        <f>_xll.ICEHistory(S$4,S$5,"DF[dow:12345][tl:Calendar]",$L334)</f>
        <v>38.551000000000002</v>
      </c>
      <c r="T334">
        <f>_xll.ICEHistory(S$4,T$5,"DF[dow:12345][tl:Calendar]",$L334)</f>
        <v>38.551000000000002</v>
      </c>
      <c r="U334">
        <f>_xll.ICEHistory(S$4,U$5,"DF[dow:12345][tl:Calendar]",$L334)</f>
        <v>38.551000000000002</v>
      </c>
      <c r="V334">
        <f>_xll.ICEHistory(S$4,V$5,"DF[dow:12345][tl:Calendar]",$L334)</f>
        <v>38.551000000000002</v>
      </c>
      <c r="W334">
        <f>_xll.ICEHistory(S$4,W$5,"DF[dow:12345][tl:Calendar]",$L334)</f>
        <v>0</v>
      </c>
      <c r="X334">
        <f t="shared" si="15"/>
        <v>2.0885075637841435E-2</v>
      </c>
      <c r="Y334">
        <f t="shared" si="16"/>
        <v>-1.1314169833267012</v>
      </c>
      <c r="Z334">
        <f t="shared" si="17"/>
        <v>0.41670503223405192</v>
      </c>
    </row>
    <row r="335" spans="12:26" x14ac:dyDescent="0.25">
      <c r="L335" s="4">
        <f>_xll.ICETimeline(_xll.ICEJoinRange(M4:W4),"DF[dow:12345][tl:Calendar]","2020-07-26;2024-07-26",716,-1)</f>
        <v>45041.5</v>
      </c>
      <c r="M335">
        <f>_xll.ICEHistory(M$4,M$5,"DF[dow:12345][tl:Calendar]",$L335)</f>
        <v>88.58</v>
      </c>
      <c r="N335">
        <f>_xll.ICEHistory(M$4,N$5,"DF[dow:12345][tl:Calendar]",$L335)</f>
        <v>88.92</v>
      </c>
      <c r="O335">
        <f>_xll.ICEHistory(M$4,O$5,"DF[dow:12345][tl:Calendar]",$L335)</f>
        <v>86.53</v>
      </c>
      <c r="P335">
        <f>_xll.ICEHistory(M$4,P$5,"DF[dow:12345][tl:Calendar]",$L335)</f>
        <v>86.81</v>
      </c>
      <c r="Q335">
        <f>_xll.ICEHistory(M$4,Q$5,"DF[dow:12345][tl:Calendar]",$L335)</f>
        <v>25677</v>
      </c>
      <c r="R335">
        <f>_xll.ICEHistory(M$4,R$5,"DF[dow:12345][tl:Calendar]",$L335)</f>
        <v>255049</v>
      </c>
      <c r="S335">
        <f>_xll.ICEHistory(S$4,S$5,"DF[dow:12345][tl:Calendar]",$L335)</f>
        <v>39.832999999999998</v>
      </c>
      <c r="T335">
        <f>_xll.ICEHistory(S$4,T$5,"DF[dow:12345][tl:Calendar]",$L335)</f>
        <v>39.832999999999998</v>
      </c>
      <c r="U335">
        <f>_xll.ICEHistory(S$4,U$5,"DF[dow:12345][tl:Calendar]",$L335)</f>
        <v>39.832999999999998</v>
      </c>
      <c r="V335">
        <f>_xll.ICEHistory(S$4,V$5,"DF[dow:12345][tl:Calendar]",$L335)</f>
        <v>39.832999999999998</v>
      </c>
      <c r="W335">
        <f>_xll.ICEHistory(S$4,W$5,"DF[dow:12345][tl:Calendar]",$L335)</f>
        <v>0</v>
      </c>
      <c r="X335">
        <f t="shared" si="15"/>
        <v>2.6523138386416609E-2</v>
      </c>
      <c r="Y335">
        <f t="shared" si="16"/>
        <v>-0.76123039847061857</v>
      </c>
      <c r="Z335">
        <f t="shared" si="17"/>
        <v>0.73243637465375089</v>
      </c>
    </row>
    <row r="336" spans="12:26" x14ac:dyDescent="0.25">
      <c r="L336" s="4">
        <f>_xll.ICETimeline(_xll.ICEJoinRange(M4:W4),"DF[dow:12345][tl:Calendar]","2020-07-26;2024-07-26",715,-1)</f>
        <v>45040.5</v>
      </c>
      <c r="M336">
        <f>_xll.ICEHistory(M$4,M$5,"DF[dow:12345][tl:Calendar]",$L336)</f>
        <v>90.11</v>
      </c>
      <c r="N336">
        <f>_xll.ICEHistory(M$4,N$5,"DF[dow:12345][tl:Calendar]",$L336)</f>
        <v>90.11</v>
      </c>
      <c r="O336">
        <f>_xll.ICEHistory(M$4,O$5,"DF[dow:12345][tl:Calendar]",$L336)</f>
        <v>87.57</v>
      </c>
      <c r="P336">
        <f>_xll.ICEHistory(M$4,P$5,"DF[dow:12345][tl:Calendar]",$L336)</f>
        <v>88.56</v>
      </c>
      <c r="Q336">
        <f>_xll.ICEHistory(M$4,Q$5,"DF[dow:12345][tl:Calendar]",$L336)</f>
        <v>20338</v>
      </c>
      <c r="R336">
        <f>_xll.ICEHistory(M$4,R$5,"DF[dow:12345][tl:Calendar]",$L336)</f>
        <v>257542</v>
      </c>
      <c r="S336">
        <f>_xll.ICEHistory(S$4,S$5,"DF[dow:12345][tl:Calendar]",$L336)</f>
        <v>39.924999999999997</v>
      </c>
      <c r="T336">
        <f>_xll.ICEHistory(S$4,T$5,"DF[dow:12345][tl:Calendar]",$L336)</f>
        <v>39.924999999999997</v>
      </c>
      <c r="U336">
        <f>_xll.ICEHistory(S$4,U$5,"DF[dow:12345][tl:Calendar]",$L336)</f>
        <v>39.924999999999997</v>
      </c>
      <c r="V336">
        <f>_xll.ICEHistory(S$4,V$5,"DF[dow:12345][tl:Calendar]",$L336)</f>
        <v>39.924999999999997</v>
      </c>
      <c r="W336">
        <f>_xll.ICEHistory(S$4,W$5,"DF[dow:12345][tl:Calendar]",$L336)</f>
        <v>0</v>
      </c>
      <c r="X336">
        <f t="shared" si="15"/>
        <v>2.7623708537248572E-2</v>
      </c>
      <c r="Y336">
        <f t="shared" si="16"/>
        <v>-0.69934027123519071</v>
      </c>
      <c r="Z336">
        <f t="shared" si="17"/>
        <v>-6.5663353460386653E-2</v>
      </c>
    </row>
    <row r="337" spans="12:26" x14ac:dyDescent="0.25">
      <c r="L337" s="4">
        <f>_xll.ICETimeline(_xll.ICEJoinRange(M4:W4),"DF[dow:12345][tl:Calendar]","2020-07-26;2024-07-26",714,-1)</f>
        <v>45037.5</v>
      </c>
      <c r="M337">
        <f>_xll.ICEHistory(M$4,M$5,"DF[dow:12345][tl:Calendar]",$L337)</f>
        <v>91.95</v>
      </c>
      <c r="N337">
        <f>_xll.ICEHistory(M$4,N$5,"DF[dow:12345][tl:Calendar]",$L337)</f>
        <v>92.44</v>
      </c>
      <c r="O337">
        <f>_xll.ICEHistory(M$4,O$5,"DF[dow:12345][tl:Calendar]",$L337)</f>
        <v>89.25</v>
      </c>
      <c r="P337">
        <f>_xll.ICEHistory(M$4,P$5,"DF[dow:12345][tl:Calendar]",$L337)</f>
        <v>89.86</v>
      </c>
      <c r="Q337">
        <f>_xll.ICEHistory(M$4,Q$5,"DF[dow:12345][tl:Calendar]",$L337)</f>
        <v>19095</v>
      </c>
      <c r="R337">
        <f>_xll.ICEHistory(M$4,R$5,"DF[dow:12345][tl:Calendar]",$L337)</f>
        <v>258157</v>
      </c>
      <c r="S337">
        <f>_xll.ICEHistory(S$4,S$5,"DF[dow:12345][tl:Calendar]",$L337)</f>
        <v>40.65</v>
      </c>
      <c r="T337">
        <f>_xll.ICEHistory(S$4,T$5,"DF[dow:12345][tl:Calendar]",$L337)</f>
        <v>41.15</v>
      </c>
      <c r="U337">
        <f>_xll.ICEHistory(S$4,U$5,"DF[dow:12345][tl:Calendar]",$L337)</f>
        <v>39.950000000000003</v>
      </c>
      <c r="V337">
        <f>_xll.ICEHistory(S$4,V$5,"DF[dow:12345][tl:Calendar]",$L337)</f>
        <v>40.164000000000001</v>
      </c>
      <c r="W337">
        <f>_xll.ICEHistory(S$4,W$5,"DF[dow:12345][tl:Calendar]",$L337)</f>
        <v>26</v>
      </c>
      <c r="X337">
        <f t="shared" si="15"/>
        <v>3.3688879501531287E-2</v>
      </c>
      <c r="Y337">
        <f t="shared" si="16"/>
        <v>-0.25802155588145032</v>
      </c>
      <c r="Z337">
        <f t="shared" si="17"/>
        <v>-0.24271914893772614</v>
      </c>
    </row>
    <row r="338" spans="12:26" x14ac:dyDescent="0.25">
      <c r="L338" s="4">
        <f>_xll.ICETimeline(_xll.ICEJoinRange(M4:W4),"DF[dow:12345][tl:Calendar]","2020-07-26;2024-07-26",713,-1)</f>
        <v>45036.5</v>
      </c>
      <c r="M338">
        <f>_xll.ICEHistory(M$4,M$5,"DF[dow:12345][tl:Calendar]",$L338)</f>
        <v>94.69</v>
      </c>
      <c r="N338">
        <f>_xll.ICEHistory(M$4,N$5,"DF[dow:12345][tl:Calendar]",$L338)</f>
        <v>94.69</v>
      </c>
      <c r="O338">
        <f>_xll.ICEHistory(M$4,O$5,"DF[dow:12345][tl:Calendar]",$L338)</f>
        <v>91.1</v>
      </c>
      <c r="P338">
        <f>_xll.ICEHistory(M$4,P$5,"DF[dow:12345][tl:Calendar]",$L338)</f>
        <v>91.74</v>
      </c>
      <c r="Q338">
        <f>_xll.ICEHistory(M$4,Q$5,"DF[dow:12345][tl:Calendar]",$L338)</f>
        <v>22686</v>
      </c>
      <c r="R338">
        <f>_xll.ICEHistory(M$4,R$5,"DF[dow:12345][tl:Calendar]",$L338)</f>
        <v>259099</v>
      </c>
      <c r="S338">
        <f>_xll.ICEHistory(S$4,S$5,"DF[dow:12345][tl:Calendar]",$L338)</f>
        <v>40.4</v>
      </c>
      <c r="T338">
        <f>_xll.ICEHistory(S$4,T$5,"DF[dow:12345][tl:Calendar]",$L338)</f>
        <v>41.02</v>
      </c>
      <c r="U338">
        <f>_xll.ICEHistory(S$4,U$5,"DF[dow:12345][tl:Calendar]",$L338)</f>
        <v>40.4</v>
      </c>
      <c r="V338">
        <f>_xll.ICEHistory(S$4,V$5,"DF[dow:12345][tl:Calendar]",$L338)</f>
        <v>40.564999999999998</v>
      </c>
      <c r="W338">
        <f>_xll.ICEHistory(S$4,W$5,"DF[dow:12345][tl:Calendar]",$L338)</f>
        <v>326</v>
      </c>
      <c r="X338">
        <f t="shared" si="15"/>
        <v>3.7670514165792271E-2</v>
      </c>
      <c r="Y338">
        <f t="shared" si="16"/>
        <v>4.1813539893825032E-2</v>
      </c>
      <c r="Z338">
        <f t="shared" si="17"/>
        <v>0.29771921840563048</v>
      </c>
    </row>
    <row r="339" spans="12:26" x14ac:dyDescent="0.25">
      <c r="L339" s="4">
        <f>_xll.ICETimeline(_xll.ICEJoinRange(M4:W4),"DF[dow:12345][tl:Calendar]","2020-07-26;2024-07-26",712,-1)</f>
        <v>45035.5</v>
      </c>
      <c r="M339">
        <f>_xll.ICEHistory(M$4,M$5,"DF[dow:12345][tl:Calendar]",$L339)</f>
        <v>95.3</v>
      </c>
      <c r="N339">
        <f>_xll.ICEHistory(M$4,N$5,"DF[dow:12345][tl:Calendar]",$L339)</f>
        <v>96.47</v>
      </c>
      <c r="O339">
        <f>_xll.ICEHistory(M$4,O$5,"DF[dow:12345][tl:Calendar]",$L339)</f>
        <v>94.18</v>
      </c>
      <c r="P339">
        <f>_xll.ICEHistory(M$4,P$5,"DF[dow:12345][tl:Calendar]",$L339)</f>
        <v>94.39</v>
      </c>
      <c r="Q339">
        <f>_xll.ICEHistory(M$4,Q$5,"DF[dow:12345][tl:Calendar]",$L339)</f>
        <v>17217</v>
      </c>
      <c r="R339">
        <f>_xll.ICEHistory(M$4,R$5,"DF[dow:12345][tl:Calendar]",$L339)</f>
        <v>262545</v>
      </c>
      <c r="S339">
        <f>_xll.ICEHistory(S$4,S$5,"DF[dow:12345][tl:Calendar]",$L339)</f>
        <v>42.424999999999997</v>
      </c>
      <c r="T339">
        <f>_xll.ICEHistory(S$4,T$5,"DF[dow:12345][tl:Calendar]",$L339)</f>
        <v>42.424999999999997</v>
      </c>
      <c r="U339">
        <f>_xll.ICEHistory(S$4,U$5,"DF[dow:12345][tl:Calendar]",$L339)</f>
        <v>39.805</v>
      </c>
      <c r="V339">
        <f>_xll.ICEHistory(S$4,V$5,"DF[dow:12345][tl:Calendar]",$L339)</f>
        <v>40.298000000000002</v>
      </c>
      <c r="W339">
        <f>_xll.ICEHistory(S$4,W$5,"DF[dow:12345][tl:Calendar]",$L339)</f>
        <v>212</v>
      </c>
      <c r="X339">
        <f t="shared" si="15"/>
        <v>2.4628952462895159E-2</v>
      </c>
      <c r="Y339">
        <f t="shared" si="16"/>
        <v>-0.88047551933479662</v>
      </c>
      <c r="Z339">
        <f t="shared" si="17"/>
        <v>-0.5343274559082799</v>
      </c>
    </row>
    <row r="340" spans="12:26" x14ac:dyDescent="0.25">
      <c r="L340" s="4">
        <f>_xll.ICETimeline(_xll.ICEJoinRange(M4:W4),"DF[dow:12345][tl:Calendar]","2020-07-26;2024-07-26",711,-1)</f>
        <v>45034.5</v>
      </c>
      <c r="M340">
        <f>_xll.ICEHistory(M$4,M$5,"DF[dow:12345][tl:Calendar]",$L340)</f>
        <v>92.98</v>
      </c>
      <c r="N340">
        <f>_xll.ICEHistory(M$4,N$5,"DF[dow:12345][tl:Calendar]",$L340)</f>
        <v>95.6</v>
      </c>
      <c r="O340">
        <f>_xll.ICEHistory(M$4,O$5,"DF[dow:12345][tl:Calendar]",$L340)</f>
        <v>92.33</v>
      </c>
      <c r="P340">
        <f>_xll.ICEHistory(M$4,P$5,"DF[dow:12345][tl:Calendar]",$L340)</f>
        <v>95.15</v>
      </c>
      <c r="Q340">
        <f>_xll.ICEHistory(M$4,Q$5,"DF[dow:12345][tl:Calendar]",$L340)</f>
        <v>17956</v>
      </c>
      <c r="R340">
        <f>_xll.ICEHistory(M$4,R$5,"DF[dow:12345][tl:Calendar]",$L340)</f>
        <v>264073</v>
      </c>
      <c r="S340">
        <f>_xll.ICEHistory(S$4,S$5,"DF[dow:12345][tl:Calendar]",$L340)</f>
        <v>41.505000000000003</v>
      </c>
      <c r="T340">
        <f>_xll.ICEHistory(S$4,T$5,"DF[dow:12345][tl:Calendar]",$L340)</f>
        <v>42.99</v>
      </c>
      <c r="U340">
        <f>_xll.ICEHistory(S$4,U$5,"DF[dow:12345][tl:Calendar]",$L340)</f>
        <v>41.505000000000003</v>
      </c>
      <c r="V340">
        <f>_xll.ICEHistory(S$4,V$5,"DF[dow:12345][tl:Calendar]",$L340)</f>
        <v>42.722000000000001</v>
      </c>
      <c r="W340">
        <f>_xll.ICEHistory(S$4,W$5,"DF[dow:12345][tl:Calendar]",$L340)</f>
        <v>137</v>
      </c>
      <c r="X340">
        <f t="shared" si="15"/>
        <v>3.4687599448392871E-2</v>
      </c>
      <c r="Y340">
        <f t="shared" si="16"/>
        <v>-0.20514076787369559</v>
      </c>
      <c r="Z340">
        <f t="shared" si="17"/>
        <v>-0.42930619697686601</v>
      </c>
    </row>
    <row r="341" spans="12:26" x14ac:dyDescent="0.25">
      <c r="L341" s="4">
        <f>_xll.ICETimeline(_xll.ICEJoinRange(M4:W4),"DF[dow:12345][tl:Calendar]","2020-07-26;2024-07-26",710,-1)</f>
        <v>45033.5</v>
      </c>
      <c r="M341">
        <f>_xll.ICEHistory(M$4,M$5,"DF[dow:12345][tl:Calendar]",$L341)</f>
        <v>94.27</v>
      </c>
      <c r="N341">
        <f>_xll.ICEHistory(M$4,N$5,"DF[dow:12345][tl:Calendar]",$L341)</f>
        <v>94.75</v>
      </c>
      <c r="O341">
        <f>_xll.ICEHistory(M$4,O$5,"DF[dow:12345][tl:Calendar]",$L341)</f>
        <v>92.15</v>
      </c>
      <c r="P341">
        <f>_xll.ICEHistory(M$4,P$5,"DF[dow:12345][tl:Calendar]",$L341)</f>
        <v>92.91</v>
      </c>
      <c r="Q341">
        <f>_xll.ICEHistory(M$4,Q$5,"DF[dow:12345][tl:Calendar]",$L341)</f>
        <v>13215</v>
      </c>
      <c r="R341">
        <f>_xll.ICEHistory(M$4,R$5,"DF[dow:12345][tl:Calendar]",$L341)</f>
        <v>265414</v>
      </c>
      <c r="S341">
        <f>_xll.ICEHistory(S$4,S$5,"DF[dow:12345][tl:Calendar]",$L341)</f>
        <v>42.185000000000002</v>
      </c>
      <c r="T341">
        <f>_xll.ICEHistory(S$4,T$5,"DF[dow:12345][tl:Calendar]",$L341)</f>
        <v>42.185000000000002</v>
      </c>
      <c r="U341">
        <f>_xll.ICEHistory(S$4,U$5,"DF[dow:12345][tl:Calendar]",$L341)</f>
        <v>41.05</v>
      </c>
      <c r="V341">
        <f>_xll.ICEHistory(S$4,V$5,"DF[dow:12345][tl:Calendar]",$L341)</f>
        <v>41.127000000000002</v>
      </c>
      <c r="W341">
        <f>_xll.ICEHistory(S$4,W$5,"DF[dow:12345][tl:Calendar]",$L341)</f>
        <v>269</v>
      </c>
      <c r="X341">
        <f t="shared" si="15"/>
        <v>2.7545290814704887E-2</v>
      </c>
      <c r="Y341">
        <f t="shared" si="16"/>
        <v>-0.70110665639927616</v>
      </c>
      <c r="Z341">
        <f t="shared" si="17"/>
        <v>-1.156204376355549</v>
      </c>
    </row>
    <row r="342" spans="12:26" x14ac:dyDescent="0.25">
      <c r="L342" s="4">
        <f>_xll.ICETimeline(_xll.ICEJoinRange(M4:W4),"DF[dow:12345][tl:Calendar]","2020-07-26;2024-07-26",709,-1)</f>
        <v>45030.5</v>
      </c>
      <c r="M342">
        <f>_xll.ICEHistory(M$4,M$5,"DF[dow:12345][tl:Calendar]",$L342)</f>
        <v>94.39</v>
      </c>
      <c r="N342">
        <f>_xll.ICEHistory(M$4,N$5,"DF[dow:12345][tl:Calendar]",$L342)</f>
        <v>95</v>
      </c>
      <c r="O342">
        <f>_xll.ICEHistory(M$4,O$5,"DF[dow:12345][tl:Calendar]",$L342)</f>
        <v>93.15</v>
      </c>
      <c r="P342">
        <f>_xll.ICEHistory(M$4,P$5,"DF[dow:12345][tl:Calendar]",$L342)</f>
        <v>94.11</v>
      </c>
      <c r="Q342">
        <f>_xll.ICEHistory(M$4,Q$5,"DF[dow:12345][tl:Calendar]",$L342)</f>
        <v>13874</v>
      </c>
      <c r="R342">
        <f>_xll.ICEHistory(M$4,R$5,"DF[dow:12345][tl:Calendar]",$L342)</f>
        <v>265267</v>
      </c>
      <c r="S342">
        <f>_xll.ICEHistory(S$4,S$5,"DF[dow:12345][tl:Calendar]",$L342)</f>
        <v>41.05</v>
      </c>
      <c r="T342">
        <f>_xll.ICEHistory(S$4,T$5,"DF[dow:12345][tl:Calendar]",$L342)</f>
        <v>41.88</v>
      </c>
      <c r="U342">
        <f>_xll.ICEHistory(S$4,U$5,"DF[dow:12345][tl:Calendar]",$L342)</f>
        <v>41.05</v>
      </c>
      <c r="V342">
        <f>_xll.ICEHistory(S$4,V$5,"DF[dow:12345][tl:Calendar]",$L342)</f>
        <v>41.149000000000001</v>
      </c>
      <c r="W342">
        <f>_xll.ICEHistory(S$4,W$5,"DF[dow:12345][tl:Calendar]",$L342)</f>
        <v>283</v>
      </c>
      <c r="X342">
        <f t="shared" si="15"/>
        <v>1.9254787676935829E-2</v>
      </c>
      <c r="Y342">
        <f t="shared" si="16"/>
        <v>-1.2750163086879076</v>
      </c>
      <c r="Z342">
        <f t="shared" si="17"/>
        <v>-1.0747917390234503</v>
      </c>
    </row>
    <row r="343" spans="12:26" x14ac:dyDescent="0.25">
      <c r="L343" s="4">
        <f>_xll.ICETimeline(_xll.ICEJoinRange(M4:W4),"DF[dow:12345][tl:Calendar]","2020-07-26;2024-07-26",708,-1)</f>
        <v>45029.5</v>
      </c>
      <c r="M343">
        <f>_xll.ICEHistory(M$4,M$5,"DF[dow:12345][tl:Calendar]",$L343)</f>
        <v>96.08</v>
      </c>
      <c r="N343">
        <f>_xll.ICEHistory(M$4,N$5,"DF[dow:12345][tl:Calendar]",$L343)</f>
        <v>96.5</v>
      </c>
      <c r="O343">
        <f>_xll.ICEHistory(M$4,O$5,"DF[dow:12345][tl:Calendar]",$L343)</f>
        <v>93.1</v>
      </c>
      <c r="P343">
        <f>_xll.ICEHistory(M$4,P$5,"DF[dow:12345][tl:Calendar]",$L343)</f>
        <v>94.39</v>
      </c>
      <c r="Q343">
        <f>_xll.ICEHistory(M$4,Q$5,"DF[dow:12345][tl:Calendar]",$L343)</f>
        <v>18272</v>
      </c>
      <c r="R343">
        <f>_xll.ICEHistory(M$4,R$5,"DF[dow:12345][tl:Calendar]",$L343)</f>
        <v>264577</v>
      </c>
      <c r="S343">
        <f>_xll.ICEHistory(S$4,S$5,"DF[dow:12345][tl:Calendar]",$L343)</f>
        <v>42.6</v>
      </c>
      <c r="T343">
        <f>_xll.ICEHistory(S$4,T$5,"DF[dow:12345][tl:Calendar]",$L343)</f>
        <v>42.604999999999997</v>
      </c>
      <c r="U343">
        <f>_xll.ICEHistory(S$4,U$5,"DF[dow:12345][tl:Calendar]",$L343)</f>
        <v>41.945</v>
      </c>
      <c r="V343">
        <f>_xll.ICEHistory(S$4,V$5,"DF[dow:12345][tl:Calendar]",$L343)</f>
        <v>42.093000000000004</v>
      </c>
      <c r="W343">
        <f>_xll.ICEHistory(S$4,W$5,"DF[dow:12345][tl:Calendar]",$L343)</f>
        <v>159</v>
      </c>
      <c r="X343">
        <f t="shared" si="15"/>
        <v>3.4882527957320261E-2</v>
      </c>
      <c r="Y343">
        <f t="shared" si="16"/>
        <v>-0.21262390427203923</v>
      </c>
      <c r="Z343">
        <f t="shared" si="17"/>
        <v>-0.41159744317732927</v>
      </c>
    </row>
    <row r="344" spans="12:26" x14ac:dyDescent="0.25">
      <c r="L344" s="4">
        <f>_xll.ICETimeline(_xll.ICEJoinRange(M4:W4),"DF[dow:12345][tl:Calendar]","2020-07-26;2024-07-26",707,-1)</f>
        <v>45028.5</v>
      </c>
      <c r="M344">
        <f>_xll.ICEHistory(M$4,M$5,"DF[dow:12345][tl:Calendar]",$L344)</f>
        <v>97.47</v>
      </c>
      <c r="N344">
        <f>_xll.ICEHistory(M$4,N$5,"DF[dow:12345][tl:Calendar]",$L344)</f>
        <v>98.23</v>
      </c>
      <c r="O344">
        <f>_xll.ICEHistory(M$4,O$5,"DF[dow:12345][tl:Calendar]",$L344)</f>
        <v>95.09</v>
      </c>
      <c r="P344">
        <f>_xll.ICEHistory(M$4,P$5,"DF[dow:12345][tl:Calendar]",$L344)</f>
        <v>96.27</v>
      </c>
      <c r="Q344">
        <f>_xll.ICEHistory(M$4,Q$5,"DF[dow:12345][tl:Calendar]",$L344)</f>
        <v>20737</v>
      </c>
      <c r="R344">
        <f>_xll.ICEHistory(M$4,R$5,"DF[dow:12345][tl:Calendar]",$L344)</f>
        <v>263927</v>
      </c>
      <c r="S344">
        <f>_xll.ICEHistory(S$4,S$5,"DF[dow:12345][tl:Calendar]",$L344)</f>
        <v>43.295000000000002</v>
      </c>
      <c r="T344">
        <f>_xll.ICEHistory(S$4,T$5,"DF[dow:12345][tl:Calendar]",$L344)</f>
        <v>43.9</v>
      </c>
      <c r="U344">
        <f>_xll.ICEHistory(S$4,U$5,"DF[dow:12345][tl:Calendar]",$L344)</f>
        <v>42.88</v>
      </c>
      <c r="V344">
        <f>_xll.ICEHistory(S$4,V$5,"DF[dow:12345][tl:Calendar]",$L344)</f>
        <v>42.88</v>
      </c>
      <c r="W344">
        <f>_xll.ICEHistory(S$4,W$5,"DF[dow:12345][tl:Calendar]",$L344)</f>
        <v>94</v>
      </c>
      <c r="X344">
        <f t="shared" si="15"/>
        <v>3.2454780361757113E-2</v>
      </c>
      <c r="Y344">
        <f t="shared" si="16"/>
        <v>-0.37457385802961735</v>
      </c>
      <c r="Z344">
        <f t="shared" si="17"/>
        <v>-3.60123780101178E-2</v>
      </c>
    </row>
    <row r="345" spans="12:26" x14ac:dyDescent="0.25">
      <c r="L345" s="4">
        <f>_xll.ICETimeline(_xll.ICEJoinRange(M4:W4),"DF[dow:12345][tl:Calendar]","2020-07-26;2024-07-26",706,-1)</f>
        <v>45027.5</v>
      </c>
      <c r="M345">
        <f>_xll.ICEHistory(M$4,M$5,"DF[dow:12345][tl:Calendar]",$L345)</f>
        <v>96.75</v>
      </c>
      <c r="N345">
        <f>_xll.ICEHistory(M$4,N$5,"DF[dow:12345][tl:Calendar]",$L345)</f>
        <v>98.5</v>
      </c>
      <c r="O345">
        <f>_xll.ICEHistory(M$4,O$5,"DF[dow:12345][tl:Calendar]",$L345)</f>
        <v>96.72</v>
      </c>
      <c r="P345">
        <f>_xll.ICEHistory(M$4,P$5,"DF[dow:12345][tl:Calendar]",$L345)</f>
        <v>97.47</v>
      </c>
      <c r="Q345">
        <f>_xll.ICEHistory(M$4,Q$5,"DF[dow:12345][tl:Calendar]",$L345)</f>
        <v>14011</v>
      </c>
      <c r="R345">
        <f>_xll.ICEHistory(M$4,R$5,"DF[dow:12345][tl:Calendar]",$L345)</f>
        <v>264247</v>
      </c>
      <c r="S345">
        <f>_xll.ICEHistory(S$4,S$5,"DF[dow:12345][tl:Calendar]",$L345)</f>
        <v>43.1</v>
      </c>
      <c r="T345">
        <f>_xll.ICEHistory(S$4,T$5,"DF[dow:12345][tl:Calendar]",$L345)</f>
        <v>44.365000000000002</v>
      </c>
      <c r="U345">
        <f>_xll.ICEHistory(S$4,U$5,"DF[dow:12345][tl:Calendar]",$L345)</f>
        <v>42.424999999999997</v>
      </c>
      <c r="V345">
        <f>_xll.ICEHistory(S$4,V$5,"DF[dow:12345][tl:Calendar]",$L345)</f>
        <v>43.692</v>
      </c>
      <c r="W345">
        <f>_xll.ICEHistory(S$4,W$5,"DF[dow:12345][tl:Calendar]",$L345)</f>
        <v>94</v>
      </c>
      <c r="X345">
        <f t="shared" si="15"/>
        <v>1.8350515463917538E-2</v>
      </c>
      <c r="Y345">
        <f t="shared" si="16"/>
        <v>-1.3616057514529269</v>
      </c>
      <c r="Z345">
        <f t="shared" si="17"/>
        <v>-1.0581256769187177</v>
      </c>
    </row>
    <row r="346" spans="12:26" x14ac:dyDescent="0.25">
      <c r="L346" s="4">
        <f>_xll.ICETimeline(_xll.ICEJoinRange(M4:W4),"DF[dow:12345][tl:Calendar]","2020-07-26;2024-07-26",705,-1)</f>
        <v>45026.5</v>
      </c>
      <c r="M346">
        <f>_xll.ICEHistory(M$4,M$5,"DF[dow:12345][tl:Calendar]",$L346)</f>
        <v>97</v>
      </c>
      <c r="N346">
        <f>_xll.ICEHistory(M$4,N$5,"DF[dow:12345][tl:Calendar]",$L346)</f>
        <v>97.9</v>
      </c>
      <c r="O346">
        <f>_xll.ICEHistory(M$4,O$5,"DF[dow:12345][tl:Calendar]",$L346)</f>
        <v>95.9</v>
      </c>
      <c r="P346">
        <f>_xll.ICEHistory(M$4,P$5,"DF[dow:12345][tl:Calendar]",$L346)</f>
        <v>96.75</v>
      </c>
      <c r="Q346">
        <f>_xll.ICEHistory(M$4,Q$5,"DF[dow:12345][tl:Calendar]",$L346)</f>
        <v>0</v>
      </c>
      <c r="R346">
        <f>_xll.ICEHistory(M$4,R$5,"DF[dow:12345][tl:Calendar]",$L346)</f>
        <v>0</v>
      </c>
      <c r="S346">
        <f>_xll.ICEHistory(S$4,S$5,"DF[dow:12345][tl:Calendar]",$L346)</f>
        <v>43.125</v>
      </c>
      <c r="T346">
        <f>_xll.ICEHistory(S$4,T$5,"DF[dow:12345][tl:Calendar]",$L346)</f>
        <v>43.125</v>
      </c>
      <c r="U346">
        <f>_xll.ICEHistory(S$4,U$5,"DF[dow:12345][tl:Calendar]",$L346)</f>
        <v>43.125</v>
      </c>
      <c r="V346">
        <f>_xll.ICEHistory(S$4,V$5,"DF[dow:12345][tl:Calendar]",$L346)</f>
        <v>43.125</v>
      </c>
      <c r="W346">
        <f>_xll.ICEHistory(S$4,W$5,"DF[dow:12345][tl:Calendar]",$L346)</f>
        <v>0</v>
      </c>
      <c r="X346">
        <f t="shared" si="15"/>
        <v>2.0618556701030927E-2</v>
      </c>
      <c r="Y346">
        <f t="shared" si="16"/>
        <v>-1.2360452986637573</v>
      </c>
      <c r="Z346">
        <f t="shared" si="17"/>
        <v>-3.2396146326484199</v>
      </c>
    </row>
    <row r="347" spans="12:26" x14ac:dyDescent="0.25">
      <c r="L347" s="4">
        <f>_xll.ICETimeline(_xll.ICEJoinRange(M4:W4),"DF[dow:12345][tl:Calendar]","2020-07-26;2024-07-26",704,-1)</f>
        <v>45023.5</v>
      </c>
      <c r="M347">
        <f>_xll.ICEHistory(M$4,M$5,"DF[dow:12345][tl:Calendar]",$L347)</f>
        <v>97</v>
      </c>
      <c r="N347">
        <f>_xll.ICEHistory(M$4,N$5,"DF[dow:12345][tl:Calendar]",$L347)</f>
        <v>97.9</v>
      </c>
      <c r="O347">
        <f>_xll.ICEHistory(M$4,O$5,"DF[dow:12345][tl:Calendar]",$L347)</f>
        <v>95.9</v>
      </c>
      <c r="P347">
        <f>_xll.ICEHistory(M$4,P$5,"DF[dow:12345][tl:Calendar]",$L347)</f>
        <v>96.75</v>
      </c>
      <c r="Q347">
        <f>_xll.ICEHistory(M$4,Q$5,"DF[dow:12345][tl:Calendar]",$L347)</f>
        <v>0</v>
      </c>
      <c r="R347">
        <f>_xll.ICEHistory(M$4,R$5,"DF[dow:12345][tl:Calendar]",$L347)</f>
        <v>0</v>
      </c>
      <c r="S347">
        <f>_xll.ICEHistory(S$4,S$5,"DF[dow:12345][tl:Calendar]",$L347)</f>
        <v>43.765000000000001</v>
      </c>
      <c r="T347">
        <f>_xll.ICEHistory(S$4,T$5,"DF[dow:12345][tl:Calendar]",$L347)</f>
        <v>44</v>
      </c>
      <c r="U347">
        <f>_xll.ICEHistory(S$4,U$5,"DF[dow:12345][tl:Calendar]",$L347)</f>
        <v>42.895000000000003</v>
      </c>
      <c r="V347">
        <f>_xll.ICEHistory(S$4,V$5,"DF[dow:12345][tl:Calendar]",$L347)</f>
        <v>43.125</v>
      </c>
      <c r="W347">
        <f>_xll.ICEHistory(S$4,W$5,"DF[dow:12345][tl:Calendar]",$L347)</f>
        <v>0</v>
      </c>
      <c r="X347">
        <f t="shared" si="15"/>
        <v>2.0618556701030927E-2</v>
      </c>
      <c r="Y347">
        <f t="shared" si="16"/>
        <v>-1.2694975790817558</v>
      </c>
      <c r="Z347">
        <f t="shared" si="17"/>
        <v>-3.4823256453960014</v>
      </c>
    </row>
    <row r="348" spans="12:26" x14ac:dyDescent="0.25">
      <c r="L348" s="4">
        <f>_xll.ICETimeline(_xll.ICEJoinRange(M4:W4),"DF[dow:12345][tl:Calendar]","2020-07-26;2024-07-26",703,-1)</f>
        <v>45022.5</v>
      </c>
      <c r="M348">
        <f>_xll.ICEHistory(M$4,M$5,"DF[dow:12345][tl:Calendar]",$L348)</f>
        <v>97</v>
      </c>
      <c r="N348">
        <f>_xll.ICEHistory(M$4,N$5,"DF[dow:12345][tl:Calendar]",$L348)</f>
        <v>97.9</v>
      </c>
      <c r="O348">
        <f>_xll.ICEHistory(M$4,O$5,"DF[dow:12345][tl:Calendar]",$L348)</f>
        <v>95.9</v>
      </c>
      <c r="P348">
        <f>_xll.ICEHistory(M$4,P$5,"DF[dow:12345][tl:Calendar]",$L348)</f>
        <v>96.75</v>
      </c>
      <c r="Q348">
        <f>_xll.ICEHistory(M$4,Q$5,"DF[dow:12345][tl:Calendar]",$L348)</f>
        <v>12831</v>
      </c>
      <c r="R348">
        <f>_xll.ICEHistory(M$4,R$5,"DF[dow:12345][tl:Calendar]",$L348)</f>
        <v>262907</v>
      </c>
      <c r="S348">
        <f>_xll.ICEHistory(S$4,S$5,"DF[dow:12345][tl:Calendar]",$L348)</f>
        <v>43.765000000000001</v>
      </c>
      <c r="T348">
        <f>_xll.ICEHistory(S$4,T$5,"DF[dow:12345][tl:Calendar]",$L348)</f>
        <v>44</v>
      </c>
      <c r="U348">
        <f>_xll.ICEHistory(S$4,U$5,"DF[dow:12345][tl:Calendar]",$L348)</f>
        <v>42.895000000000003</v>
      </c>
      <c r="V348">
        <f>_xll.ICEHistory(S$4,V$5,"DF[dow:12345][tl:Calendar]",$L348)</f>
        <v>43.125</v>
      </c>
      <c r="W348">
        <f>_xll.ICEHistory(S$4,W$5,"DF[dow:12345][tl:Calendar]",$L348)</f>
        <v>74</v>
      </c>
      <c r="X348">
        <f t="shared" si="15"/>
        <v>2.1059281878487945E-2</v>
      </c>
      <c r="Y348">
        <f t="shared" si="16"/>
        <v>-1.2671987179989774</v>
      </c>
      <c r="Z348">
        <f t="shared" si="17"/>
        <v>-1.5570116483599934</v>
      </c>
    </row>
    <row r="349" spans="12:26" x14ac:dyDescent="0.25">
      <c r="L349" s="4">
        <f>_xll.ICETimeline(_xll.ICEJoinRange(M4:W4),"DF[dow:12345][tl:Calendar]","2020-07-26;2024-07-26",702,-1)</f>
        <v>45021.5</v>
      </c>
      <c r="M349">
        <f>_xll.ICEHistory(M$4,M$5,"DF[dow:12345][tl:Calendar]",$L349)</f>
        <v>94.97</v>
      </c>
      <c r="N349">
        <f>_xll.ICEHistory(M$4,N$5,"DF[dow:12345][tl:Calendar]",$L349)</f>
        <v>98</v>
      </c>
      <c r="O349">
        <f>_xll.ICEHistory(M$4,O$5,"DF[dow:12345][tl:Calendar]",$L349)</f>
        <v>94.72</v>
      </c>
      <c r="P349">
        <f>_xll.ICEHistory(M$4,P$5,"DF[dow:12345][tl:Calendar]",$L349)</f>
        <v>97.01</v>
      </c>
      <c r="Q349">
        <f>_xll.ICEHistory(M$4,Q$5,"DF[dow:12345][tl:Calendar]",$L349)</f>
        <v>18643</v>
      </c>
      <c r="R349">
        <f>_xll.ICEHistory(M$4,R$5,"DF[dow:12345][tl:Calendar]",$L349)</f>
        <v>261927</v>
      </c>
      <c r="S349">
        <f>_xll.ICEHistory(S$4,S$5,"DF[dow:12345][tl:Calendar]",$L349)</f>
        <v>46.6</v>
      </c>
      <c r="T349">
        <f>_xll.ICEHistory(S$4,T$5,"DF[dow:12345][tl:Calendar]",$L349)</f>
        <v>47.2</v>
      </c>
      <c r="U349">
        <f>_xll.ICEHistory(S$4,U$5,"DF[dow:12345][tl:Calendar]",$L349)</f>
        <v>44.4</v>
      </c>
      <c r="V349">
        <f>_xll.ICEHistory(S$4,V$5,"DF[dow:12345][tl:Calendar]",$L349)</f>
        <v>44.575000000000003</v>
      </c>
      <c r="W349">
        <f>_xll.ICEHistory(S$4,W$5,"DF[dow:12345][tl:Calendar]",$L349)</f>
        <v>105</v>
      </c>
      <c r="X349">
        <f t="shared" si="15"/>
        <v>3.4166666666666679E-2</v>
      </c>
      <c r="Y349">
        <f t="shared" si="16"/>
        <v>-0.35854348284383408</v>
      </c>
      <c r="Z349">
        <f t="shared" si="17"/>
        <v>-0.56157115233980981</v>
      </c>
    </row>
    <row r="350" spans="12:26" x14ac:dyDescent="0.25">
      <c r="L350" s="4">
        <f>_xll.ICETimeline(_xll.ICEJoinRange(M4:W4),"DF[dow:12345][tl:Calendar]","2020-07-26;2024-07-26",701,-1)</f>
        <v>45020.5</v>
      </c>
      <c r="M350">
        <f>_xll.ICEHistory(M$4,M$5,"DF[dow:12345][tl:Calendar]",$L350)</f>
        <v>96</v>
      </c>
      <c r="N350">
        <f>_xll.ICEHistory(M$4,N$5,"DF[dow:12345][tl:Calendar]",$L350)</f>
        <v>97.41</v>
      </c>
      <c r="O350">
        <f>_xll.ICEHistory(M$4,O$5,"DF[dow:12345][tl:Calendar]",$L350)</f>
        <v>94.63</v>
      </c>
      <c r="P350">
        <f>_xll.ICEHistory(M$4,P$5,"DF[dow:12345][tl:Calendar]",$L350)</f>
        <v>94.98</v>
      </c>
      <c r="Q350">
        <f>_xll.ICEHistory(M$4,Q$5,"DF[dow:12345][tl:Calendar]",$L350)</f>
        <v>17456</v>
      </c>
      <c r="R350">
        <f>_xll.ICEHistory(M$4,R$5,"DF[dow:12345][tl:Calendar]",$L350)</f>
        <v>260971</v>
      </c>
      <c r="S350">
        <f>_xll.ICEHistory(S$4,S$5,"DF[dow:12345][tl:Calendar]",$L350)</f>
        <v>48.945</v>
      </c>
      <c r="T350">
        <f>_xll.ICEHistory(S$4,T$5,"DF[dow:12345][tl:Calendar]",$L350)</f>
        <v>48.945</v>
      </c>
      <c r="U350">
        <f>_xll.ICEHistory(S$4,U$5,"DF[dow:12345][tl:Calendar]",$L350)</f>
        <v>45.825000000000003</v>
      </c>
      <c r="V350">
        <f>_xll.ICEHistory(S$4,V$5,"DF[dow:12345][tl:Calendar]",$L350)</f>
        <v>46.567999999999998</v>
      </c>
      <c r="W350">
        <f>_xll.ICEHistory(S$4,W$5,"DF[dow:12345][tl:Calendar]",$L350)</f>
        <v>132</v>
      </c>
      <c r="X350">
        <f t="shared" si="15"/>
        <v>3.0299727520435981E-2</v>
      </c>
      <c r="Y350">
        <f t="shared" si="16"/>
        <v>-0.64356233190501799</v>
      </c>
      <c r="Z350">
        <f t="shared" si="17"/>
        <v>-0.74829000470990781</v>
      </c>
    </row>
    <row r="351" spans="12:26" x14ac:dyDescent="0.25">
      <c r="L351" s="4">
        <f>_xll.ICETimeline(_xll.ICEJoinRange(M4:W4),"DF[dow:12345][tl:Calendar]","2020-07-26;2024-07-26",700,-1)</f>
        <v>45019.5</v>
      </c>
      <c r="M351">
        <f>_xll.ICEHistory(M$4,M$5,"DF[dow:12345][tl:Calendar]",$L351)</f>
        <v>91.75</v>
      </c>
      <c r="N351">
        <f>_xll.ICEHistory(M$4,N$5,"DF[dow:12345][tl:Calendar]",$L351)</f>
        <v>96.16</v>
      </c>
      <c r="O351">
        <f>_xll.ICEHistory(M$4,O$5,"DF[dow:12345][tl:Calendar]",$L351)</f>
        <v>91.69</v>
      </c>
      <c r="P351">
        <f>_xll.ICEHistory(M$4,P$5,"DF[dow:12345][tl:Calendar]",$L351)</f>
        <v>96</v>
      </c>
      <c r="Q351">
        <f>_xll.ICEHistory(M$4,Q$5,"DF[dow:12345][tl:Calendar]",$L351)</f>
        <v>17776</v>
      </c>
      <c r="R351">
        <f>_xll.ICEHistory(M$4,R$5,"DF[dow:12345][tl:Calendar]",$L351)</f>
        <v>262497</v>
      </c>
      <c r="S351">
        <f>_xll.ICEHistory(S$4,S$5,"DF[dow:12345][tl:Calendar]",$L351)</f>
        <v>49.9</v>
      </c>
      <c r="T351">
        <f>_xll.ICEHistory(S$4,T$5,"DF[dow:12345][tl:Calendar]",$L351)</f>
        <v>51.835000000000001</v>
      </c>
      <c r="U351">
        <f>_xll.ICEHistory(S$4,U$5,"DF[dow:12345][tl:Calendar]",$L351)</f>
        <v>49.9</v>
      </c>
      <c r="V351">
        <f>_xll.ICEHistory(S$4,V$5,"DF[dow:12345][tl:Calendar]",$L351)</f>
        <v>51.366999999999997</v>
      </c>
      <c r="W351">
        <f>_xll.ICEHistory(S$4,W$5,"DF[dow:12345][tl:Calendar]",$L351)</f>
        <v>79</v>
      </c>
      <c r="X351">
        <f t="shared" si="15"/>
        <v>4.9158693500494871E-2</v>
      </c>
      <c r="Y351">
        <f t="shared" si="16"/>
        <v>0.59401697221279526</v>
      </c>
      <c r="Z351">
        <f t="shared" si="17"/>
        <v>-0.60056516619975475</v>
      </c>
    </row>
    <row r="352" spans="12:26" x14ac:dyDescent="0.25">
      <c r="L352" s="4">
        <f>_xll.ICETimeline(_xll.ICEJoinRange(M4:W4),"DF[dow:12345][tl:Calendar]","2020-07-26;2024-07-26",699,-1)</f>
        <v>45016.5</v>
      </c>
      <c r="M352">
        <f>_xll.ICEHistory(M$4,M$5,"DF[dow:12345][tl:Calendar]",$L352)</f>
        <v>90.93</v>
      </c>
      <c r="N352">
        <f>_xll.ICEHistory(M$4,N$5,"DF[dow:12345][tl:Calendar]",$L352)</f>
        <v>92.9</v>
      </c>
      <c r="O352">
        <f>_xll.ICEHistory(M$4,O$5,"DF[dow:12345][tl:Calendar]",$L352)</f>
        <v>90.71</v>
      </c>
      <c r="P352">
        <f>_xll.ICEHistory(M$4,P$5,"DF[dow:12345][tl:Calendar]",$L352)</f>
        <v>91.75</v>
      </c>
      <c r="Q352">
        <f>_xll.ICEHistory(M$4,Q$5,"DF[dow:12345][tl:Calendar]",$L352)</f>
        <v>16418</v>
      </c>
      <c r="R352">
        <f>_xll.ICEHistory(M$4,R$5,"DF[dow:12345][tl:Calendar]",$L352)</f>
        <v>262035</v>
      </c>
      <c r="S352">
        <f>_xll.ICEHistory(S$4,S$5,"DF[dow:12345][tl:Calendar]",$L352)</f>
        <v>44.95</v>
      </c>
      <c r="T352">
        <f>_xll.ICEHistory(S$4,T$5,"DF[dow:12345][tl:Calendar]",$L352)</f>
        <v>47.843000000000004</v>
      </c>
      <c r="U352">
        <f>_xll.ICEHistory(S$4,U$5,"DF[dow:12345][tl:Calendar]",$L352)</f>
        <v>44.95</v>
      </c>
      <c r="V352">
        <f>_xll.ICEHistory(S$4,V$5,"DF[dow:12345][tl:Calendar]",$L352)</f>
        <v>47.843000000000004</v>
      </c>
      <c r="W352">
        <f>_xll.ICEHistory(S$4,W$5,"DF[dow:12345][tl:Calendar]",$L352)</f>
        <v>6</v>
      </c>
      <c r="X352">
        <f t="shared" si="15"/>
        <v>2.4217626893730086E-2</v>
      </c>
      <c r="Y352">
        <f t="shared" si="16"/>
        <v>-1.0720748565673583</v>
      </c>
      <c r="Z352">
        <f t="shared" si="17"/>
        <v>-0.77152677179181883</v>
      </c>
    </row>
    <row r="353" spans="12:26" x14ac:dyDescent="0.25">
      <c r="L353" s="4">
        <f>_xll.ICETimeline(_xll.ICEJoinRange(M4:W4),"DF[dow:12345][tl:Calendar]","2020-07-26;2024-07-26",698,-1)</f>
        <v>45015.5</v>
      </c>
      <c r="M353">
        <f>_xll.ICEHistory(M$4,M$5,"DF[dow:12345][tl:Calendar]",$L353)</f>
        <v>90.43</v>
      </c>
      <c r="N353">
        <f>_xll.ICEHistory(M$4,N$5,"DF[dow:12345][tl:Calendar]",$L353)</f>
        <v>91.76</v>
      </c>
      <c r="O353">
        <f>_xll.ICEHistory(M$4,O$5,"DF[dow:12345][tl:Calendar]",$L353)</f>
        <v>89.55</v>
      </c>
      <c r="P353">
        <f>_xll.ICEHistory(M$4,P$5,"DF[dow:12345][tl:Calendar]",$L353)</f>
        <v>90.8</v>
      </c>
      <c r="Q353">
        <f>_xll.ICEHistory(M$4,Q$5,"DF[dow:12345][tl:Calendar]",$L353)</f>
        <v>18870</v>
      </c>
      <c r="R353">
        <f>_xll.ICEHistory(M$4,R$5,"DF[dow:12345][tl:Calendar]",$L353)</f>
        <v>263021</v>
      </c>
      <c r="S353">
        <f>_xll.ICEHistory(S$4,S$5,"DF[dow:12345][tl:Calendar]",$L353)</f>
        <v>43.609000000000002</v>
      </c>
      <c r="T353">
        <f>_xll.ICEHistory(S$4,T$5,"DF[dow:12345][tl:Calendar]",$L353)</f>
        <v>43.609000000000002</v>
      </c>
      <c r="U353">
        <f>_xll.ICEHistory(S$4,U$5,"DF[dow:12345][tl:Calendar]",$L353)</f>
        <v>43.609000000000002</v>
      </c>
      <c r="V353">
        <f>_xll.ICEHistory(S$4,V$5,"DF[dow:12345][tl:Calendar]",$L353)</f>
        <v>43.609000000000002</v>
      </c>
      <c r="W353">
        <f>_xll.ICEHistory(S$4,W$5,"DF[dow:12345][tl:Calendar]",$L353)</f>
        <v>0</v>
      </c>
      <c r="X353">
        <f t="shared" si="15"/>
        <v>2.4701017100704235E-2</v>
      </c>
      <c r="Y353">
        <f t="shared" si="16"/>
        <v>-1.0712623029212982</v>
      </c>
      <c r="Z353">
        <f t="shared" si="17"/>
        <v>-0.34723854108748903</v>
      </c>
    </row>
    <row r="354" spans="12:26" x14ac:dyDescent="0.25">
      <c r="L354" s="4">
        <f>_xll.ICETimeline(_xll.ICEJoinRange(M4:W4),"DF[dow:12345][tl:Calendar]","2020-07-26;2024-07-26",697,-1)</f>
        <v>45014.5</v>
      </c>
      <c r="M354">
        <f>_xll.ICEHistory(M$4,M$5,"DF[dow:12345][tl:Calendar]",$L354)</f>
        <v>89.47</v>
      </c>
      <c r="N354">
        <f>_xll.ICEHistory(M$4,N$5,"DF[dow:12345][tl:Calendar]",$L354)</f>
        <v>91.1</v>
      </c>
      <c r="O354">
        <f>_xll.ICEHistory(M$4,O$5,"DF[dow:12345][tl:Calendar]",$L354)</f>
        <v>89.32</v>
      </c>
      <c r="P354">
        <f>_xll.ICEHistory(M$4,P$5,"DF[dow:12345][tl:Calendar]",$L354)</f>
        <v>90.02</v>
      </c>
      <c r="Q354">
        <f>_xll.ICEHistory(M$4,Q$5,"DF[dow:12345][tl:Calendar]",$L354)</f>
        <v>31115</v>
      </c>
      <c r="R354">
        <f>_xll.ICEHistory(M$4,R$5,"DF[dow:12345][tl:Calendar]",$L354)</f>
        <v>264196</v>
      </c>
      <c r="S354">
        <f>_xll.ICEHistory(S$4,S$5,"DF[dow:12345][tl:Calendar]",$L354)</f>
        <v>42.802999999999997</v>
      </c>
      <c r="T354">
        <f>_xll.ICEHistory(S$4,T$5,"DF[dow:12345][tl:Calendar]",$L354)</f>
        <v>42.802999999999997</v>
      </c>
      <c r="U354">
        <f>_xll.ICEHistory(S$4,U$5,"DF[dow:12345][tl:Calendar]",$L354)</f>
        <v>42.802999999999997</v>
      </c>
      <c r="V354">
        <f>_xll.ICEHistory(S$4,V$5,"DF[dow:12345][tl:Calendar]",$L354)</f>
        <v>42.802999999999997</v>
      </c>
      <c r="W354">
        <f>_xll.ICEHistory(S$4,W$5,"DF[dow:12345][tl:Calendar]",$L354)</f>
        <v>0</v>
      </c>
      <c r="X354">
        <f t="shared" si="15"/>
        <v>2.0314996576124185E-2</v>
      </c>
      <c r="Y354">
        <f t="shared" si="16"/>
        <v>-1.3689102744515638</v>
      </c>
      <c r="Z354">
        <f t="shared" si="17"/>
        <v>1.5020880579902565</v>
      </c>
    </row>
    <row r="355" spans="12:26" x14ac:dyDescent="0.25">
      <c r="L355" s="4">
        <f>_xll.ICETimeline(_xll.ICEJoinRange(M4:W4),"DF[dow:12345][tl:Calendar]","2020-07-26;2024-07-26",696,-1)</f>
        <v>45013.5</v>
      </c>
      <c r="M355">
        <f>_xll.ICEHistory(M$4,M$5,"DF[dow:12345][tl:Calendar]",$L355)</f>
        <v>87.62</v>
      </c>
      <c r="N355">
        <f>_xll.ICEHistory(M$4,N$5,"DF[dow:12345][tl:Calendar]",$L355)</f>
        <v>90.69</v>
      </c>
      <c r="O355">
        <f>_xll.ICEHistory(M$4,O$5,"DF[dow:12345][tl:Calendar]",$L355)</f>
        <v>87.62</v>
      </c>
      <c r="P355">
        <f>_xll.ICEHistory(M$4,P$5,"DF[dow:12345][tl:Calendar]",$L355)</f>
        <v>89.4</v>
      </c>
      <c r="Q355">
        <f>_xll.ICEHistory(M$4,Q$5,"DF[dow:12345][tl:Calendar]",$L355)</f>
        <v>28217</v>
      </c>
      <c r="R355">
        <f>_xll.ICEHistory(M$4,R$5,"DF[dow:12345][tl:Calendar]",$L355)</f>
        <v>271991</v>
      </c>
      <c r="S355">
        <f>_xll.ICEHistory(S$4,S$5,"DF[dow:12345][tl:Calendar]",$L355)</f>
        <v>42.83</v>
      </c>
      <c r="T355">
        <f>_xll.ICEHistory(S$4,T$5,"DF[dow:12345][tl:Calendar]",$L355)</f>
        <v>42.83</v>
      </c>
      <c r="U355">
        <f>_xll.ICEHistory(S$4,U$5,"DF[dow:12345][tl:Calendar]",$L355)</f>
        <v>42.752000000000002</v>
      </c>
      <c r="V355">
        <f>_xll.ICEHistory(S$4,V$5,"DF[dow:12345][tl:Calendar]",$L355)</f>
        <v>42.752000000000002</v>
      </c>
      <c r="W355">
        <f>_xll.ICEHistory(S$4,W$5,"DF[dow:12345][tl:Calendar]",$L355)</f>
        <v>10</v>
      </c>
      <c r="X355">
        <f t="shared" si="15"/>
        <v>3.4878436718927437E-2</v>
      </c>
      <c r="Y355">
        <f t="shared" si="16"/>
        <v>-0.41995765805895169</v>
      </c>
      <c r="Z355">
        <f t="shared" si="17"/>
        <v>1.1007210958327456</v>
      </c>
    </row>
    <row r="356" spans="12:26" x14ac:dyDescent="0.25">
      <c r="L356" s="4">
        <f>_xll.ICETimeline(_xll.ICEJoinRange(M4:W4),"DF[dow:12345][tl:Calendar]","2020-07-26;2024-07-26",695,-1)</f>
        <v>45012.5</v>
      </c>
      <c r="M356">
        <f>_xll.ICEHistory(M$4,M$5,"DF[dow:12345][tl:Calendar]",$L356)</f>
        <v>88.02</v>
      </c>
      <c r="N356">
        <f>_xll.ICEHistory(M$4,N$5,"DF[dow:12345][tl:Calendar]",$L356)</f>
        <v>89.19</v>
      </c>
      <c r="O356">
        <f>_xll.ICEHistory(M$4,O$5,"DF[dow:12345][tl:Calendar]",$L356)</f>
        <v>86.73</v>
      </c>
      <c r="P356">
        <f>_xll.ICEHistory(M$4,P$5,"DF[dow:12345][tl:Calendar]",$L356)</f>
        <v>88.13</v>
      </c>
      <c r="Q356">
        <f>_xll.ICEHistory(M$4,Q$5,"DF[dow:12345][tl:Calendar]",$L356)</f>
        <v>27940</v>
      </c>
      <c r="R356">
        <f>_xll.ICEHistory(M$4,R$5,"DF[dow:12345][tl:Calendar]",$L356)</f>
        <v>271774</v>
      </c>
      <c r="S356">
        <f>_xll.ICEHistory(S$4,S$5,"DF[dow:12345][tl:Calendar]",$L356)</f>
        <v>42.527999999999999</v>
      </c>
      <c r="T356">
        <f>_xll.ICEHistory(S$4,T$5,"DF[dow:12345][tl:Calendar]",$L356)</f>
        <v>42.527999999999999</v>
      </c>
      <c r="U356">
        <f>_xll.ICEHistory(S$4,U$5,"DF[dow:12345][tl:Calendar]",$L356)</f>
        <v>42.527999999999999</v>
      </c>
      <c r="V356">
        <f>_xll.ICEHistory(S$4,V$5,"DF[dow:12345][tl:Calendar]",$L356)</f>
        <v>42.527999999999999</v>
      </c>
      <c r="W356">
        <f>_xll.ICEHistory(S$4,W$5,"DF[dow:12345][tl:Calendar]",$L356)</f>
        <v>0</v>
      </c>
      <c r="X356">
        <f t="shared" si="15"/>
        <v>2.652291105121287E-2</v>
      </c>
      <c r="Y356">
        <f t="shared" si="16"/>
        <v>-0.98318337389739141</v>
      </c>
      <c r="Z356">
        <f t="shared" si="17"/>
        <v>1.0643749252748169</v>
      </c>
    </row>
    <row r="357" spans="12:26" x14ac:dyDescent="0.25">
      <c r="L357" s="4">
        <f>_xll.ICETimeline(_xll.ICEJoinRange(M4:W4),"DF[dow:12345][tl:Calendar]","2020-07-26;2024-07-26",694,-1)</f>
        <v>45009.5</v>
      </c>
      <c r="M357">
        <f>_xll.ICEHistory(M$4,M$5,"DF[dow:12345][tl:Calendar]",$L357)</f>
        <v>92.75</v>
      </c>
      <c r="N357">
        <f>_xll.ICEHistory(M$4,N$5,"DF[dow:12345][tl:Calendar]",$L357)</f>
        <v>94.14</v>
      </c>
      <c r="O357">
        <f>_xll.ICEHistory(M$4,O$5,"DF[dow:12345][tl:Calendar]",$L357)</f>
        <v>86.62</v>
      </c>
      <c r="P357">
        <f>_xll.ICEHistory(M$4,P$5,"DF[dow:12345][tl:Calendar]",$L357)</f>
        <v>87.84</v>
      </c>
      <c r="Q357">
        <f>_xll.ICEHistory(M$4,Q$5,"DF[dow:12345][tl:Calendar]",$L357)</f>
        <v>31761</v>
      </c>
      <c r="R357">
        <f>_xll.ICEHistory(M$4,R$5,"DF[dow:12345][tl:Calendar]",$L357)</f>
        <v>282024</v>
      </c>
      <c r="S357">
        <f>_xll.ICEHistory(S$4,S$5,"DF[dow:12345][tl:Calendar]",$L357)</f>
        <v>41.75</v>
      </c>
      <c r="T357">
        <f>_xll.ICEHistory(S$4,T$5,"DF[dow:12345][tl:Calendar]",$L357)</f>
        <v>41.75</v>
      </c>
      <c r="U357">
        <f>_xll.ICEHistory(S$4,U$5,"DF[dow:12345][tl:Calendar]",$L357)</f>
        <v>41.094000000000001</v>
      </c>
      <c r="V357">
        <f>_xll.ICEHistory(S$4,V$5,"DF[dow:12345][tl:Calendar]",$L357)</f>
        <v>41.094000000000001</v>
      </c>
      <c r="W357">
        <f>_xll.ICEHistory(S$4,W$5,"DF[dow:12345][tl:Calendar]",$L357)</f>
        <v>6</v>
      </c>
      <c r="X357">
        <f t="shared" si="15"/>
        <v>8.3629893238434116E-2</v>
      </c>
      <c r="Y357">
        <f t="shared" si="16"/>
        <v>2.8444286253135793</v>
      </c>
      <c r="Z357">
        <f t="shared" si="17"/>
        <v>1.6032343199944572</v>
      </c>
    </row>
    <row r="358" spans="12:26" x14ac:dyDescent="0.25">
      <c r="L358" s="4">
        <f>_xll.ICETimeline(_xll.ICEJoinRange(M4:W4),"DF[dow:12345][tl:Calendar]","2020-07-26;2024-07-26",693,-1)</f>
        <v>45008.5</v>
      </c>
      <c r="M358">
        <f>_xll.ICEHistory(M$4,M$5,"DF[dow:12345][tl:Calendar]",$L358)</f>
        <v>89.92</v>
      </c>
      <c r="N358">
        <f>_xll.ICEHistory(M$4,N$5,"DF[dow:12345][tl:Calendar]",$L358)</f>
        <v>93.34</v>
      </c>
      <c r="O358">
        <f>_xll.ICEHistory(M$4,O$5,"DF[dow:12345][tl:Calendar]",$L358)</f>
        <v>89.5</v>
      </c>
      <c r="P358">
        <f>_xll.ICEHistory(M$4,P$5,"DF[dow:12345][tl:Calendar]",$L358)</f>
        <v>93.1</v>
      </c>
      <c r="Q358">
        <f>_xll.ICEHistory(M$4,Q$5,"DF[dow:12345][tl:Calendar]",$L358)</f>
        <v>24528</v>
      </c>
      <c r="R358">
        <f>_xll.ICEHistory(M$4,R$5,"DF[dow:12345][tl:Calendar]",$L358)</f>
        <v>283752</v>
      </c>
      <c r="S358">
        <f>_xll.ICEHistory(S$4,S$5,"DF[dow:12345][tl:Calendar]",$L358)</f>
        <v>42.6</v>
      </c>
      <c r="T358">
        <f>_xll.ICEHistory(S$4,T$5,"DF[dow:12345][tl:Calendar]",$L358)</f>
        <v>43.81</v>
      </c>
      <c r="U358">
        <f>_xll.ICEHistory(S$4,U$5,"DF[dow:12345][tl:Calendar]",$L358)</f>
        <v>42.244999999999997</v>
      </c>
      <c r="V358">
        <f>_xll.ICEHistory(S$4,V$5,"DF[dow:12345][tl:Calendar]",$L358)</f>
        <v>43.186</v>
      </c>
      <c r="W358">
        <f>_xll.ICEHistory(S$4,W$5,"DF[dow:12345][tl:Calendar]",$L358)</f>
        <v>193</v>
      </c>
      <c r="X358">
        <f t="shared" si="15"/>
        <v>4.2459088898717419E-2</v>
      </c>
      <c r="Y358">
        <f t="shared" si="16"/>
        <v>0.15914011255866264</v>
      </c>
      <c r="Z358">
        <f t="shared" si="17"/>
        <v>0.68242363564660991</v>
      </c>
    </row>
    <row r="359" spans="12:26" x14ac:dyDescent="0.25">
      <c r="L359" s="4">
        <f>_xll.ICETimeline(_xll.ICEJoinRange(M4:W4),"DF[dow:12345][tl:Calendar]","2020-07-26;2024-07-26",692,-1)</f>
        <v>45007.5</v>
      </c>
      <c r="M359">
        <f>_xll.ICEHistory(M$4,M$5,"DF[dow:12345][tl:Calendar]",$L359)</f>
        <v>90.44</v>
      </c>
      <c r="N359">
        <f>_xll.ICEHistory(M$4,N$5,"DF[dow:12345][tl:Calendar]",$L359)</f>
        <v>90.95</v>
      </c>
      <c r="O359">
        <f>_xll.ICEHistory(M$4,O$5,"DF[dow:12345][tl:Calendar]",$L359)</f>
        <v>88.3</v>
      </c>
      <c r="P359">
        <f>_xll.ICEHistory(M$4,P$5,"DF[dow:12345][tl:Calendar]",$L359)</f>
        <v>89.71</v>
      </c>
      <c r="Q359">
        <f>_xll.ICEHistory(M$4,Q$5,"DF[dow:12345][tl:Calendar]",$L359)</f>
        <v>18042</v>
      </c>
      <c r="R359">
        <f>_xll.ICEHistory(M$4,R$5,"DF[dow:12345][tl:Calendar]",$L359)</f>
        <v>283952</v>
      </c>
      <c r="S359">
        <f>_xll.ICEHistory(S$4,S$5,"DF[dow:12345][tl:Calendar]",$L359)</f>
        <v>41.55</v>
      </c>
      <c r="T359">
        <f>_xll.ICEHistory(S$4,T$5,"DF[dow:12345][tl:Calendar]",$L359)</f>
        <v>41.55</v>
      </c>
      <c r="U359">
        <f>_xll.ICEHistory(S$4,U$5,"DF[dow:12345][tl:Calendar]",$L359)</f>
        <v>39.945</v>
      </c>
      <c r="V359">
        <f>_xll.ICEHistory(S$4,V$5,"DF[dow:12345][tl:Calendar]",$L359)</f>
        <v>39.973999999999997</v>
      </c>
      <c r="W359">
        <f>_xll.ICEHistory(S$4,W$5,"DF[dow:12345][tl:Calendar]",$L359)</f>
        <v>107</v>
      </c>
      <c r="X359">
        <f t="shared" si="15"/>
        <v>3.0165054069436606E-2</v>
      </c>
      <c r="Y359">
        <f t="shared" si="16"/>
        <v>-0.70749725614138248</v>
      </c>
      <c r="Z359">
        <f t="shared" si="17"/>
        <v>-0.15785274753640824</v>
      </c>
    </row>
    <row r="360" spans="12:26" x14ac:dyDescent="0.25">
      <c r="L360" s="4">
        <f>_xll.ICETimeline(_xll.ICEJoinRange(M4:W4),"DF[dow:12345][tl:Calendar]","2020-07-26;2024-07-26",691,-1)</f>
        <v>45006.5</v>
      </c>
      <c r="M360">
        <f>_xll.ICEHistory(M$4,M$5,"DF[dow:12345][tl:Calendar]",$L360)</f>
        <v>87.85</v>
      </c>
      <c r="N360">
        <f>_xll.ICEHistory(M$4,N$5,"DF[dow:12345][tl:Calendar]",$L360)</f>
        <v>91.5</v>
      </c>
      <c r="O360">
        <f>_xll.ICEHistory(M$4,O$5,"DF[dow:12345][tl:Calendar]",$L360)</f>
        <v>87.65</v>
      </c>
      <c r="P360">
        <f>_xll.ICEHistory(M$4,P$5,"DF[dow:12345][tl:Calendar]",$L360)</f>
        <v>90.44</v>
      </c>
      <c r="Q360">
        <f>_xll.ICEHistory(M$4,Q$5,"DF[dow:12345][tl:Calendar]",$L360)</f>
        <v>25336</v>
      </c>
      <c r="R360">
        <f>_xll.ICEHistory(M$4,R$5,"DF[dow:12345][tl:Calendar]",$L360)</f>
        <v>284188</v>
      </c>
      <c r="S360">
        <f>_xll.ICEHistory(S$4,S$5,"DF[dow:12345][tl:Calendar]",$L360)</f>
        <v>38.984999999999999</v>
      </c>
      <c r="T360">
        <f>_xll.ICEHistory(S$4,T$5,"DF[dow:12345][tl:Calendar]",$L360)</f>
        <v>42.4</v>
      </c>
      <c r="U360">
        <f>_xll.ICEHistory(S$4,U$5,"DF[dow:12345][tl:Calendar]",$L360)</f>
        <v>38.984999999999999</v>
      </c>
      <c r="V360">
        <f>_xll.ICEHistory(S$4,V$5,"DF[dow:12345][tl:Calendar]",$L360)</f>
        <v>42.4</v>
      </c>
      <c r="W360">
        <f>_xll.ICEHistory(S$4,W$5,"DF[dow:12345][tl:Calendar]",$L360)</f>
        <v>53</v>
      </c>
      <c r="X360">
        <f t="shared" si="15"/>
        <v>4.3874643874643807E-2</v>
      </c>
      <c r="Y360">
        <f t="shared" si="16"/>
        <v>0.25682660859810269</v>
      </c>
      <c r="Z360">
        <f t="shared" si="17"/>
        <v>0.82083245512667002</v>
      </c>
    </row>
    <row r="361" spans="12:26" x14ac:dyDescent="0.25">
      <c r="L361" s="4">
        <f>_xll.ICETimeline(_xll.ICEJoinRange(M4:W4),"DF[dow:12345][tl:Calendar]","2020-07-26;2024-07-26",690,-1)</f>
        <v>45005.5</v>
      </c>
      <c r="M361">
        <f>_xll.ICEHistory(M$4,M$5,"DF[dow:12345][tl:Calendar]",$L361)</f>
        <v>87.75</v>
      </c>
      <c r="N361">
        <f>_xll.ICEHistory(M$4,N$5,"DF[dow:12345][tl:Calendar]",$L361)</f>
        <v>89.2</v>
      </c>
      <c r="O361">
        <f>_xll.ICEHistory(M$4,O$5,"DF[dow:12345][tl:Calendar]",$L361)</f>
        <v>84.75</v>
      </c>
      <c r="P361">
        <f>_xll.ICEHistory(M$4,P$5,"DF[dow:12345][tl:Calendar]",$L361)</f>
        <v>87.85</v>
      </c>
      <c r="Q361">
        <f>_xll.ICEHistory(M$4,Q$5,"DF[dow:12345][tl:Calendar]",$L361)</f>
        <v>25914</v>
      </c>
      <c r="R361">
        <f>_xll.ICEHistory(M$4,R$5,"DF[dow:12345][tl:Calendar]",$L361)</f>
        <v>283335</v>
      </c>
      <c r="S361">
        <f>_xll.ICEHistory(S$4,S$5,"DF[dow:12345][tl:Calendar]",$L361)</f>
        <v>40.1</v>
      </c>
      <c r="T361">
        <f>_xll.ICEHistory(S$4,T$5,"DF[dow:12345][tl:Calendar]",$L361)</f>
        <v>40.700000000000003</v>
      </c>
      <c r="U361">
        <f>_xll.ICEHistory(S$4,U$5,"DF[dow:12345][tl:Calendar]",$L361)</f>
        <v>38.854999999999997</v>
      </c>
      <c r="V361">
        <f>_xll.ICEHistory(S$4,V$5,"DF[dow:12345][tl:Calendar]",$L361)</f>
        <v>39.325000000000003</v>
      </c>
      <c r="W361">
        <f>_xll.ICEHistory(S$4,W$5,"DF[dow:12345][tl:Calendar]",$L361)</f>
        <v>69</v>
      </c>
      <c r="X361">
        <f t="shared" si="15"/>
        <v>5.0424929178470287E-2</v>
      </c>
      <c r="Y361">
        <f t="shared" si="16"/>
        <v>0.7017656192088757</v>
      </c>
      <c r="Z361">
        <f t="shared" si="17"/>
        <v>0.91925632524840706</v>
      </c>
    </row>
    <row r="362" spans="12:26" x14ac:dyDescent="0.25">
      <c r="L362" s="4">
        <f>_xll.ICETimeline(_xll.ICEJoinRange(M4:W4),"DF[dow:12345][tl:Calendar]","2020-07-26;2024-07-26",689,-1)</f>
        <v>45002.5</v>
      </c>
      <c r="M362">
        <f>_xll.ICEHistory(M$4,M$5,"DF[dow:12345][tl:Calendar]",$L362)</f>
        <v>88.25</v>
      </c>
      <c r="N362">
        <f>_xll.ICEHistory(M$4,N$5,"DF[dow:12345][tl:Calendar]",$L362)</f>
        <v>89.95</v>
      </c>
      <c r="O362">
        <f>_xll.ICEHistory(M$4,O$5,"DF[dow:12345][tl:Calendar]",$L362)</f>
        <v>86.01</v>
      </c>
      <c r="P362">
        <f>_xll.ICEHistory(M$4,P$5,"DF[dow:12345][tl:Calendar]",$L362)</f>
        <v>88.4</v>
      </c>
      <c r="Q362">
        <f>_xll.ICEHistory(M$4,Q$5,"DF[dow:12345][tl:Calendar]",$L362)</f>
        <v>26476</v>
      </c>
      <c r="R362">
        <f>_xll.ICEHistory(M$4,R$5,"DF[dow:12345][tl:Calendar]",$L362)</f>
        <v>282384</v>
      </c>
      <c r="S362">
        <f>_xll.ICEHistory(S$4,S$5,"DF[dow:12345][tl:Calendar]",$L362)</f>
        <v>43.8</v>
      </c>
      <c r="T362">
        <f>_xll.ICEHistory(S$4,T$5,"DF[dow:12345][tl:Calendar]",$L362)</f>
        <v>44</v>
      </c>
      <c r="U362">
        <f>_xll.ICEHistory(S$4,U$5,"DF[dow:12345][tl:Calendar]",$L362)</f>
        <v>42.32</v>
      </c>
      <c r="V362">
        <f>_xll.ICEHistory(S$4,V$5,"DF[dow:12345][tl:Calendar]",$L362)</f>
        <v>42.856999999999999</v>
      </c>
      <c r="W362">
        <f>_xll.ICEHistory(S$4,W$5,"DF[dow:12345][tl:Calendar]",$L362)</f>
        <v>135</v>
      </c>
      <c r="X362">
        <f t="shared" si="15"/>
        <v>4.3894830659536511E-2</v>
      </c>
      <c r="Y362">
        <f t="shared" si="16"/>
        <v>0.26105801832171138</v>
      </c>
      <c r="Z362">
        <f t="shared" si="17"/>
        <v>1.014328633974285</v>
      </c>
    </row>
    <row r="363" spans="12:26" x14ac:dyDescent="0.25">
      <c r="L363" s="4">
        <f>_xll.ICETimeline(_xll.ICEJoinRange(M4:W4),"DF[dow:12345][tl:Calendar]","2020-07-26;2024-07-26",688,-1)</f>
        <v>45001.5</v>
      </c>
      <c r="M363">
        <f>_xll.ICEHistory(M$4,M$5,"DF[dow:12345][tl:Calendar]",$L363)</f>
        <v>89.76</v>
      </c>
      <c r="N363">
        <f>_xll.ICEHistory(M$4,N$5,"DF[dow:12345][tl:Calendar]",$L363)</f>
        <v>91.8</v>
      </c>
      <c r="O363">
        <f>_xll.ICEHistory(M$4,O$5,"DF[dow:12345][tl:Calendar]",$L363)</f>
        <v>86.25</v>
      </c>
      <c r="P363">
        <f>_xll.ICEHistory(M$4,P$5,"DF[dow:12345][tl:Calendar]",$L363)</f>
        <v>87.86</v>
      </c>
      <c r="Q363">
        <f>_xll.ICEHistory(M$4,Q$5,"DF[dow:12345][tl:Calendar]",$L363)</f>
        <v>32652</v>
      </c>
      <c r="R363">
        <f>_xll.ICEHistory(M$4,R$5,"DF[dow:12345][tl:Calendar]",$L363)</f>
        <v>284062</v>
      </c>
      <c r="S363">
        <f>_xll.ICEHistory(S$4,S$5,"DF[dow:12345][tl:Calendar]",$L363)</f>
        <v>42</v>
      </c>
      <c r="T363">
        <f>_xll.ICEHistory(S$4,T$5,"DF[dow:12345][tl:Calendar]",$L363)</f>
        <v>44.65</v>
      </c>
      <c r="U363">
        <f>_xll.ICEHistory(S$4,U$5,"DF[dow:12345][tl:Calendar]",$L363)</f>
        <v>42</v>
      </c>
      <c r="V363">
        <f>_xll.ICEHistory(S$4,V$5,"DF[dow:12345][tl:Calendar]",$L363)</f>
        <v>44.341000000000001</v>
      </c>
      <c r="W363">
        <f>_xll.ICEHistory(S$4,W$5,"DF[dow:12345][tl:Calendar]",$L363)</f>
        <v>42</v>
      </c>
      <c r="X363">
        <f t="shared" si="15"/>
        <v>5.9690255969025566E-2</v>
      </c>
      <c r="Y363">
        <f t="shared" si="16"/>
        <v>1.3835278099722594</v>
      </c>
      <c r="Z363">
        <f t="shared" si="17"/>
        <v>1.7887987903211069</v>
      </c>
    </row>
    <row r="364" spans="12:26" x14ac:dyDescent="0.25">
      <c r="L364" s="4">
        <f>_xll.ICETimeline(_xll.ICEJoinRange(M4:W4),"DF[dow:12345][tl:Calendar]","2020-07-26;2024-07-26",687,-1)</f>
        <v>45000.5</v>
      </c>
      <c r="M364">
        <f>_xll.ICEHistory(M$4,M$5,"DF[dow:12345][tl:Calendar]",$L364)</f>
        <v>92.98</v>
      </c>
      <c r="N364">
        <f>_xll.ICEHistory(M$4,N$5,"DF[dow:12345][tl:Calendar]",$L364)</f>
        <v>95.47</v>
      </c>
      <c r="O364">
        <f>_xll.ICEHistory(M$4,O$5,"DF[dow:12345][tl:Calendar]",$L364)</f>
        <v>89</v>
      </c>
      <c r="P364">
        <f>_xll.ICEHistory(M$4,P$5,"DF[dow:12345][tl:Calendar]",$L364)</f>
        <v>89.23</v>
      </c>
      <c r="Q364">
        <f>_xll.ICEHistory(M$4,Q$5,"DF[dow:12345][tl:Calendar]",$L364)</f>
        <v>39255</v>
      </c>
      <c r="R364">
        <f>_xll.ICEHistory(M$4,R$5,"DF[dow:12345][tl:Calendar]",$L364)</f>
        <v>283641</v>
      </c>
      <c r="S364">
        <f>_xll.ICEHistory(S$4,S$5,"DF[dow:12345][tl:Calendar]",$L364)</f>
        <v>43.85</v>
      </c>
      <c r="T364">
        <f>_xll.ICEHistory(S$4,T$5,"DF[dow:12345][tl:Calendar]",$L364)</f>
        <v>43.9</v>
      </c>
      <c r="U364">
        <f>_xll.ICEHistory(S$4,U$5,"DF[dow:12345][tl:Calendar]",$L364)</f>
        <v>42.65</v>
      </c>
      <c r="V364">
        <f>_xll.ICEHistory(S$4,V$5,"DF[dow:12345][tl:Calendar]",$L364)</f>
        <v>42.905000000000001</v>
      </c>
      <c r="W364">
        <f>_xll.ICEHistory(S$4,W$5,"DF[dow:12345][tl:Calendar]",$L364)</f>
        <v>15</v>
      </c>
      <c r="X364">
        <f t="shared" si="15"/>
        <v>6.7684904278690228E-2</v>
      </c>
      <c r="Y364">
        <f t="shared" si="16"/>
        <v>2.0041121565455033</v>
      </c>
      <c r="Z364">
        <f t="shared" si="17"/>
        <v>2.597534200618131</v>
      </c>
    </row>
    <row r="365" spans="12:26" x14ac:dyDescent="0.25">
      <c r="L365" s="4">
        <f>_xll.ICETimeline(_xll.ICEJoinRange(M4:W4),"DF[dow:12345][tl:Calendar]","2020-07-26;2024-07-26",686,-1)</f>
        <v>44999.5</v>
      </c>
      <c r="M365">
        <f>_xll.ICEHistory(M$4,M$5,"DF[dow:12345][tl:Calendar]",$L365)</f>
        <v>95.59</v>
      </c>
      <c r="N365">
        <f>_xll.ICEHistory(M$4,N$5,"DF[dow:12345][tl:Calendar]",$L365)</f>
        <v>96.9</v>
      </c>
      <c r="O365">
        <f>_xll.ICEHistory(M$4,O$5,"DF[dow:12345][tl:Calendar]",$L365)</f>
        <v>92.4</v>
      </c>
      <c r="P365">
        <f>_xll.ICEHistory(M$4,P$5,"DF[dow:12345][tl:Calendar]",$L365)</f>
        <v>92.87</v>
      </c>
      <c r="Q365">
        <f>_xll.ICEHistory(M$4,Q$5,"DF[dow:12345][tl:Calendar]",$L365)</f>
        <v>28379</v>
      </c>
      <c r="R365">
        <f>_xll.ICEHistory(M$4,R$5,"DF[dow:12345][tl:Calendar]",$L365)</f>
        <v>287405</v>
      </c>
      <c r="S365">
        <f>_xll.ICEHistory(S$4,S$5,"DF[dow:12345][tl:Calendar]",$L365)</f>
        <v>46.75</v>
      </c>
      <c r="T365">
        <f>_xll.ICEHistory(S$4,T$5,"DF[dow:12345][tl:Calendar]",$L365)</f>
        <v>46.75</v>
      </c>
      <c r="U365">
        <f>_xll.ICEHistory(S$4,U$5,"DF[dow:12345][tl:Calendar]",$L365)</f>
        <v>44.185000000000002</v>
      </c>
      <c r="V365">
        <f>_xll.ICEHistory(S$4,V$5,"DF[dow:12345][tl:Calendar]",$L365)</f>
        <v>44.185000000000002</v>
      </c>
      <c r="W365">
        <f>_xll.ICEHistory(S$4,W$5,"DF[dow:12345][tl:Calendar]",$L365)</f>
        <v>141</v>
      </c>
      <c r="X365">
        <f t="shared" si="15"/>
        <v>4.4928115015974442E-2</v>
      </c>
      <c r="Y365">
        <f t="shared" si="16"/>
        <v>0.40443982330848199</v>
      </c>
      <c r="Z365">
        <f t="shared" si="17"/>
        <v>1.3024916891863016</v>
      </c>
    </row>
    <row r="366" spans="12:26" x14ac:dyDescent="0.25">
      <c r="L366" s="4">
        <f>_xll.ICETimeline(_xll.ICEJoinRange(M4:W4),"DF[dow:12345][tl:Calendar]","2020-07-26;2024-07-26",685,-1)</f>
        <v>44998.5</v>
      </c>
      <c r="M366">
        <f>_xll.ICEHistory(M$4,M$5,"DF[dow:12345][tl:Calendar]",$L366)</f>
        <v>100.16</v>
      </c>
      <c r="N366">
        <f>_xll.ICEHistory(M$4,N$5,"DF[dow:12345][tl:Calendar]",$L366)</f>
        <v>100.16</v>
      </c>
      <c r="O366">
        <f>_xll.ICEHistory(M$4,O$5,"DF[dow:12345][tl:Calendar]",$L366)</f>
        <v>95.15</v>
      </c>
      <c r="P366">
        <f>_xll.ICEHistory(M$4,P$5,"DF[dow:12345][tl:Calendar]",$L366)</f>
        <v>95.51</v>
      </c>
      <c r="Q366">
        <f>_xll.ICEHistory(M$4,Q$5,"DF[dow:12345][tl:Calendar]",$L366)</f>
        <v>35328</v>
      </c>
      <c r="R366">
        <f>_xll.ICEHistory(M$4,R$5,"DF[dow:12345][tl:Calendar]",$L366)</f>
        <v>288045</v>
      </c>
      <c r="S366">
        <f>_xll.ICEHistory(S$4,S$5,"DF[dow:12345][tl:Calendar]",$L366)</f>
        <v>49.25</v>
      </c>
      <c r="T366">
        <f>_xll.ICEHistory(S$4,T$5,"DF[dow:12345][tl:Calendar]",$L366)</f>
        <v>51.825000000000003</v>
      </c>
      <c r="U366">
        <f>_xll.ICEHistory(S$4,U$5,"DF[dow:12345][tl:Calendar]",$L366)</f>
        <v>48.8</v>
      </c>
      <c r="V366">
        <f>_xll.ICEHistory(S$4,V$5,"DF[dow:12345][tl:Calendar]",$L366)</f>
        <v>49.584000000000003</v>
      </c>
      <c r="W366">
        <f>_xll.ICEHistory(S$4,W$5,"DF[dow:12345][tl:Calendar]",$L366)</f>
        <v>36</v>
      </c>
      <c r="X366">
        <f t="shared" si="15"/>
        <v>5.0606060606060516E-2</v>
      </c>
      <c r="Y366">
        <f t="shared" si="16"/>
        <v>0.83369529304815837</v>
      </c>
      <c r="Z366">
        <f t="shared" si="17"/>
        <v>2.2738526672473247</v>
      </c>
    </row>
    <row r="367" spans="12:26" x14ac:dyDescent="0.25">
      <c r="L367" s="4">
        <f>_xll.ICETimeline(_xll.ICEJoinRange(M4:W4),"DF[dow:12345][tl:Calendar]","2020-07-26;2024-07-26",684,-1)</f>
        <v>44995.5</v>
      </c>
      <c r="M367">
        <f>_xll.ICEHistory(M$4,M$5,"DF[dow:12345][tl:Calendar]",$L367)</f>
        <v>99</v>
      </c>
      <c r="N367">
        <f>_xll.ICEHistory(M$4,N$5,"DF[dow:12345][tl:Calendar]",$L367)</f>
        <v>100.34</v>
      </c>
      <c r="O367">
        <f>_xll.ICEHistory(M$4,O$5,"DF[dow:12345][tl:Calendar]",$L367)</f>
        <v>98.27</v>
      </c>
      <c r="P367">
        <f>_xll.ICEHistory(M$4,P$5,"DF[dow:12345][tl:Calendar]",$L367)</f>
        <v>100.17</v>
      </c>
      <c r="Q367">
        <f>_xll.ICEHistory(M$4,Q$5,"DF[dow:12345][tl:Calendar]",$L367)</f>
        <v>20858</v>
      </c>
      <c r="R367">
        <f>_xll.ICEHistory(M$4,R$5,"DF[dow:12345][tl:Calendar]",$L367)</f>
        <v>291404</v>
      </c>
      <c r="S367">
        <f>_xll.ICEHistory(S$4,S$5,"DF[dow:12345][tl:Calendar]",$L367)</f>
        <v>48</v>
      </c>
      <c r="T367">
        <f>_xll.ICEHistory(S$4,T$5,"DF[dow:12345][tl:Calendar]",$L367)</f>
        <v>54.23</v>
      </c>
      <c r="U367">
        <f>_xll.ICEHistory(S$4,U$5,"DF[dow:12345][tl:Calendar]",$L367)</f>
        <v>45.3</v>
      </c>
      <c r="V367">
        <f>_xll.ICEHistory(S$4,V$5,"DF[dow:12345][tl:Calendar]",$L367)</f>
        <v>52.856999999999999</v>
      </c>
      <c r="W367">
        <f>_xll.ICEHistory(S$4,W$5,"DF[dow:12345][tl:Calendar]",$L367)</f>
        <v>33</v>
      </c>
      <c r="X367">
        <f t="shared" si="15"/>
        <v>2.1154828819621947E-2</v>
      </c>
      <c r="Y367">
        <f t="shared" si="16"/>
        <v>-1.3173485449258322</v>
      </c>
      <c r="Z367">
        <f t="shared" si="17"/>
        <v>0.34970664827467057</v>
      </c>
    </row>
    <row r="368" spans="12:26" x14ac:dyDescent="0.25">
      <c r="L368" s="4">
        <f>_xll.ICETimeline(_xll.ICEJoinRange(M4:W4),"DF[dow:12345][tl:Calendar]","2020-07-26;2024-07-26",683,-1)</f>
        <v>44994.5</v>
      </c>
      <c r="M368">
        <f>_xll.ICEHistory(M$4,M$5,"DF[dow:12345][tl:Calendar]",$L368)</f>
        <v>97.85</v>
      </c>
      <c r="N368">
        <f>_xll.ICEHistory(M$4,N$5,"DF[dow:12345][tl:Calendar]",$L368)</f>
        <v>99.84</v>
      </c>
      <c r="O368">
        <f>_xll.ICEHistory(M$4,O$5,"DF[dow:12345][tl:Calendar]",$L368)</f>
        <v>96.53</v>
      </c>
      <c r="P368">
        <f>_xll.ICEHistory(M$4,P$5,"DF[dow:12345][tl:Calendar]",$L368)</f>
        <v>99.3</v>
      </c>
      <c r="Q368">
        <f>_xll.ICEHistory(M$4,Q$5,"DF[dow:12345][tl:Calendar]",$L368)</f>
        <v>24407</v>
      </c>
      <c r="R368">
        <f>_xll.ICEHistory(M$4,R$5,"DF[dow:12345][tl:Calendar]",$L368)</f>
        <v>289409</v>
      </c>
      <c r="S368">
        <f>_xll.ICEHistory(S$4,S$5,"DF[dow:12345][tl:Calendar]",$L368)</f>
        <v>41.15</v>
      </c>
      <c r="T368">
        <f>_xll.ICEHistory(S$4,T$5,"DF[dow:12345][tl:Calendar]",$L368)</f>
        <v>43.598999999999997</v>
      </c>
      <c r="U368">
        <f>_xll.ICEHistory(S$4,U$5,"DF[dow:12345][tl:Calendar]",$L368)</f>
        <v>41.15</v>
      </c>
      <c r="V368">
        <f>_xll.ICEHistory(S$4,V$5,"DF[dow:12345][tl:Calendar]",$L368)</f>
        <v>43.598999999999997</v>
      </c>
      <c r="W368">
        <f>_xll.ICEHistory(S$4,W$5,"DF[dow:12345][tl:Calendar]",$L368)</f>
        <v>4</v>
      </c>
      <c r="X368">
        <f t="shared" si="15"/>
        <v>3.4486351323192353E-2</v>
      </c>
      <c r="Y368">
        <f t="shared" si="16"/>
        <v>-0.34466364481260259</v>
      </c>
      <c r="Z368">
        <f t="shared" si="17"/>
        <v>0.81506833436042903</v>
      </c>
    </row>
    <row r="369" spans="12:26" x14ac:dyDescent="0.25">
      <c r="L369" s="4">
        <f>_xll.ICETimeline(_xll.ICEJoinRange(M4:W4),"DF[dow:12345][tl:Calendar]","2020-07-26;2024-07-26",682,-1)</f>
        <v>44993.5</v>
      </c>
      <c r="M369">
        <f>_xll.ICEHistory(M$4,M$5,"DF[dow:12345][tl:Calendar]",$L369)</f>
        <v>95.98</v>
      </c>
      <c r="N369">
        <f>_xll.ICEHistory(M$4,N$5,"DF[dow:12345][tl:Calendar]",$L369)</f>
        <v>99</v>
      </c>
      <c r="O369">
        <f>_xll.ICEHistory(M$4,O$5,"DF[dow:12345][tl:Calendar]",$L369)</f>
        <v>95.9</v>
      </c>
      <c r="P369">
        <f>_xll.ICEHistory(M$4,P$5,"DF[dow:12345][tl:Calendar]",$L369)</f>
        <v>97.83</v>
      </c>
      <c r="Q369">
        <f>_xll.ICEHistory(M$4,Q$5,"DF[dow:12345][tl:Calendar]",$L369)</f>
        <v>18260</v>
      </c>
      <c r="R369">
        <f>_xll.ICEHistory(M$4,R$5,"DF[dow:12345][tl:Calendar]",$L369)</f>
        <v>292231</v>
      </c>
      <c r="S369">
        <f>_xll.ICEHistory(S$4,S$5,"DF[dow:12345][tl:Calendar]",$L369)</f>
        <v>44.6</v>
      </c>
      <c r="T369">
        <f>_xll.ICEHistory(S$4,T$5,"DF[dow:12345][tl:Calendar]",$L369)</f>
        <v>44.6</v>
      </c>
      <c r="U369">
        <f>_xll.ICEHistory(S$4,U$5,"DF[dow:12345][tl:Calendar]",$L369)</f>
        <v>42.338999999999999</v>
      </c>
      <c r="V369">
        <f>_xll.ICEHistory(S$4,V$5,"DF[dow:12345][tl:Calendar]",$L369)</f>
        <v>42.338999999999999</v>
      </c>
      <c r="W369">
        <f>_xll.ICEHistory(S$4,W$5,"DF[dow:12345][tl:Calendar]",$L369)</f>
        <v>33</v>
      </c>
      <c r="X369">
        <f t="shared" si="15"/>
        <v>3.3251099431513401E-2</v>
      </c>
      <c r="Y369">
        <f t="shared" si="16"/>
        <v>-0.41744870247837879</v>
      </c>
      <c r="Z369">
        <f t="shared" si="17"/>
        <v>-3.0909665089999972E-2</v>
      </c>
    </row>
    <row r="370" spans="12:26" x14ac:dyDescent="0.25">
      <c r="L370" s="4">
        <f>_xll.ICETimeline(_xll.ICEJoinRange(M4:W4),"DF[dow:12345][tl:Calendar]","2020-07-26;2024-07-26",681,-1)</f>
        <v>44992.5</v>
      </c>
      <c r="M370">
        <f>_xll.ICEHistory(M$4,M$5,"DF[dow:12345][tl:Calendar]",$L370)</f>
        <v>93.23</v>
      </c>
      <c r="N370">
        <f>_xll.ICEHistory(M$4,N$5,"DF[dow:12345][tl:Calendar]",$L370)</f>
        <v>96.86</v>
      </c>
      <c r="O370">
        <f>_xll.ICEHistory(M$4,O$5,"DF[dow:12345][tl:Calendar]",$L370)</f>
        <v>92.8</v>
      </c>
      <c r="P370">
        <f>_xll.ICEHistory(M$4,P$5,"DF[dow:12345][tl:Calendar]",$L370)</f>
        <v>95.94</v>
      </c>
      <c r="Q370">
        <f>_xll.ICEHistory(M$4,Q$5,"DF[dow:12345][tl:Calendar]",$L370)</f>
        <v>21829</v>
      </c>
      <c r="R370">
        <f>_xll.ICEHistory(M$4,R$5,"DF[dow:12345][tl:Calendar]",$L370)</f>
        <v>294286</v>
      </c>
      <c r="S370">
        <f>_xll.ICEHistory(S$4,S$5,"DF[dow:12345][tl:Calendar]",$L370)</f>
        <v>42.8</v>
      </c>
      <c r="T370">
        <f>_xll.ICEHistory(S$4,T$5,"DF[dow:12345][tl:Calendar]",$L370)</f>
        <v>43.65</v>
      </c>
      <c r="U370">
        <f>_xll.ICEHistory(S$4,U$5,"DF[dow:12345][tl:Calendar]",$L370)</f>
        <v>42.8</v>
      </c>
      <c r="V370">
        <f>_xll.ICEHistory(S$4,V$5,"DF[dow:12345][tl:Calendar]",$L370)</f>
        <v>43.37</v>
      </c>
      <c r="W370">
        <f>_xll.ICEHistory(S$4,W$5,"DF[dow:12345][tl:Calendar]",$L370)</f>
        <v>24</v>
      </c>
      <c r="X370">
        <f t="shared" si="15"/>
        <v>4.3958423559982703E-2</v>
      </c>
      <c r="Y370">
        <f t="shared" si="16"/>
        <v>0.37379691679548577</v>
      </c>
      <c r="Z370">
        <f t="shared" si="17"/>
        <v>0.35446902698077337</v>
      </c>
    </row>
    <row r="371" spans="12:26" x14ac:dyDescent="0.25">
      <c r="L371" s="4">
        <f>_xll.ICETimeline(_xll.ICEJoinRange(M4:W4),"DF[dow:12345][tl:Calendar]","2020-07-26;2024-07-26",680,-1)</f>
        <v>44991.5</v>
      </c>
      <c r="M371">
        <f>_xll.ICEHistory(M$4,M$5,"DF[dow:12345][tl:Calendar]",$L371)</f>
        <v>92.36</v>
      </c>
      <c r="N371">
        <f>_xll.ICEHistory(M$4,N$5,"DF[dow:12345][tl:Calendar]",$L371)</f>
        <v>94.63</v>
      </c>
      <c r="O371">
        <f>_xll.ICEHistory(M$4,O$5,"DF[dow:12345][tl:Calendar]",$L371)</f>
        <v>92.09</v>
      </c>
      <c r="P371">
        <f>_xll.ICEHistory(M$4,P$5,"DF[dow:12345][tl:Calendar]",$L371)</f>
        <v>92.95</v>
      </c>
      <c r="Q371">
        <f>_xll.ICEHistory(M$4,Q$5,"DF[dow:12345][tl:Calendar]",$L371)</f>
        <v>16038</v>
      </c>
      <c r="R371">
        <f>_xll.ICEHistory(M$4,R$5,"DF[dow:12345][tl:Calendar]",$L371)</f>
        <v>294752</v>
      </c>
      <c r="S371">
        <f>_xll.ICEHistory(S$4,S$5,"DF[dow:12345][tl:Calendar]",$L371)</f>
        <v>43.3</v>
      </c>
      <c r="T371">
        <f>_xll.ICEHistory(S$4,T$5,"DF[dow:12345][tl:Calendar]",$L371)</f>
        <v>43.3</v>
      </c>
      <c r="U371">
        <f>_xll.ICEHistory(S$4,U$5,"DF[dow:12345][tl:Calendar]",$L371)</f>
        <v>41.7</v>
      </c>
      <c r="V371">
        <f>_xll.ICEHistory(S$4,V$5,"DF[dow:12345][tl:Calendar]",$L371)</f>
        <v>42.149000000000001</v>
      </c>
      <c r="W371">
        <f>_xll.ICEHistory(S$4,W$5,"DF[dow:12345][tl:Calendar]",$L371)</f>
        <v>14</v>
      </c>
      <c r="X371">
        <f t="shared" si="15"/>
        <v>2.7311827956989162E-2</v>
      </c>
      <c r="Y371">
        <f t="shared" si="16"/>
        <v>-0.84430129469279747</v>
      </c>
      <c r="Z371">
        <f t="shared" si="17"/>
        <v>-0.36382963349763375</v>
      </c>
    </row>
    <row r="372" spans="12:26" x14ac:dyDescent="0.25">
      <c r="L372" s="4">
        <f>_xll.ICETimeline(_xll.ICEJoinRange(M4:W4),"DF[dow:12345][tl:Calendar]","2020-07-26;2024-07-26",679,-1)</f>
        <v>44988.5</v>
      </c>
      <c r="M372">
        <f>_xll.ICEHistory(M$4,M$5,"DF[dow:12345][tl:Calendar]",$L372)</f>
        <v>93</v>
      </c>
      <c r="N372">
        <f>_xll.ICEHistory(M$4,N$5,"DF[dow:12345][tl:Calendar]",$L372)</f>
        <v>93.51</v>
      </c>
      <c r="O372">
        <f>_xll.ICEHistory(M$4,O$5,"DF[dow:12345][tl:Calendar]",$L372)</f>
        <v>91.54</v>
      </c>
      <c r="P372">
        <f>_xll.ICEHistory(M$4,P$5,"DF[dow:12345][tl:Calendar]",$L372)</f>
        <v>92.27</v>
      </c>
      <c r="Q372">
        <f>_xll.ICEHistory(M$4,Q$5,"DF[dow:12345][tl:Calendar]",$L372)</f>
        <v>20420</v>
      </c>
      <c r="R372">
        <f>_xll.ICEHistory(M$4,R$5,"DF[dow:12345][tl:Calendar]",$L372)</f>
        <v>294084</v>
      </c>
      <c r="S372">
        <f>_xll.ICEHistory(S$4,S$5,"DF[dow:12345][tl:Calendar]",$L372)</f>
        <v>45.65</v>
      </c>
      <c r="T372">
        <f>_xll.ICEHistory(S$4,T$5,"DF[dow:12345][tl:Calendar]",$L372)</f>
        <v>46.284999999999997</v>
      </c>
      <c r="U372">
        <f>_xll.ICEHistory(S$4,U$5,"DF[dow:12345][tl:Calendar]",$L372)</f>
        <v>44.98</v>
      </c>
      <c r="V372">
        <f>_xll.ICEHistory(S$4,V$5,"DF[dow:12345][tl:Calendar]",$L372)</f>
        <v>44.98</v>
      </c>
      <c r="W372">
        <f>_xll.ICEHistory(S$4,W$5,"DF[dow:12345][tl:Calendar]",$L372)</f>
        <v>8</v>
      </c>
      <c r="X372">
        <f t="shared" si="15"/>
        <v>2.0319752449716337E-2</v>
      </c>
      <c r="Y372">
        <f t="shared" si="16"/>
        <v>-1.3732339957387003</v>
      </c>
      <c r="Z372">
        <f t="shared" si="17"/>
        <v>0.14269181942108725</v>
      </c>
    </row>
    <row r="373" spans="12:26" x14ac:dyDescent="0.25">
      <c r="L373" s="4">
        <f>_xll.ICETimeline(_xll.ICEJoinRange(M4:W4),"DF[dow:12345][tl:Calendar]","2020-07-26;2024-07-26",678,-1)</f>
        <v>44987.5</v>
      </c>
      <c r="M373">
        <f>_xll.ICEHistory(M$4,M$5,"DF[dow:12345][tl:Calendar]",$L373)</f>
        <v>96.95</v>
      </c>
      <c r="N373">
        <f>_xll.ICEHistory(M$4,N$5,"DF[dow:12345][tl:Calendar]",$L373)</f>
        <v>98.41</v>
      </c>
      <c r="O373">
        <f>_xll.ICEHistory(M$4,O$5,"DF[dow:12345][tl:Calendar]",$L373)</f>
        <v>92.9</v>
      </c>
      <c r="P373">
        <f>_xll.ICEHistory(M$4,P$5,"DF[dow:12345][tl:Calendar]",$L373)</f>
        <v>93</v>
      </c>
      <c r="Q373">
        <f>_xll.ICEHistory(M$4,Q$5,"DF[dow:12345][tl:Calendar]",$L373)</f>
        <v>24544</v>
      </c>
      <c r="R373">
        <f>_xll.ICEHistory(M$4,R$5,"DF[dow:12345][tl:Calendar]",$L373)</f>
        <v>294581</v>
      </c>
      <c r="S373">
        <f>_xll.ICEHistory(S$4,S$5,"DF[dow:12345][tl:Calendar]",$L373)</f>
        <v>47.5</v>
      </c>
      <c r="T373">
        <f>_xll.ICEHistory(S$4,T$5,"DF[dow:12345][tl:Calendar]",$L373)</f>
        <v>47.5</v>
      </c>
      <c r="U373">
        <f>_xll.ICEHistory(S$4,U$5,"DF[dow:12345][tl:Calendar]",$L373)</f>
        <v>46.814999999999998</v>
      </c>
      <c r="V373">
        <f>_xll.ICEHistory(S$4,V$5,"DF[dow:12345][tl:Calendar]",$L373)</f>
        <v>46.814999999999998</v>
      </c>
      <c r="W373">
        <f>_xll.ICEHistory(S$4,W$5,"DF[dow:12345][tl:Calendar]",$L373)</f>
        <v>3</v>
      </c>
      <c r="X373">
        <f t="shared" si="15"/>
        <v>5.5249172766469373E-2</v>
      </c>
      <c r="Y373">
        <f t="shared" si="16"/>
        <v>1.1999357900897358</v>
      </c>
      <c r="Z373">
        <f t="shared" si="17"/>
        <v>0.6170888555407017</v>
      </c>
    </row>
    <row r="374" spans="12:26" x14ac:dyDescent="0.25">
      <c r="L374" s="4">
        <f>_xll.ICETimeline(_xll.ICEJoinRange(M4:W4),"DF[dow:12345][tl:Calendar]","2020-07-26;2024-07-26",677,-1)</f>
        <v>44986.5</v>
      </c>
      <c r="M374">
        <f>_xll.ICEHistory(M$4,M$5,"DF[dow:12345][tl:Calendar]",$L374)</f>
        <v>99.73</v>
      </c>
      <c r="N374">
        <f>_xll.ICEHistory(M$4,N$5,"DF[dow:12345][tl:Calendar]",$L374)</f>
        <v>99.79</v>
      </c>
      <c r="O374">
        <f>_xll.ICEHistory(M$4,O$5,"DF[dow:12345][tl:Calendar]",$L374)</f>
        <v>96.42</v>
      </c>
      <c r="P374">
        <f>_xll.ICEHistory(M$4,P$5,"DF[dow:12345][tl:Calendar]",$L374)</f>
        <v>97.11</v>
      </c>
      <c r="Q374">
        <f>_xll.ICEHistory(M$4,Q$5,"DF[dow:12345][tl:Calendar]",$L374)</f>
        <v>19314</v>
      </c>
      <c r="R374">
        <f>_xll.ICEHistory(M$4,R$5,"DF[dow:12345][tl:Calendar]",$L374)</f>
        <v>295467</v>
      </c>
      <c r="S374">
        <f>_xll.ICEHistory(S$4,S$5,"DF[dow:12345][tl:Calendar]",$L374)</f>
        <v>47.25</v>
      </c>
      <c r="T374">
        <f>_xll.ICEHistory(S$4,T$5,"DF[dow:12345][tl:Calendar]",$L374)</f>
        <v>48.2</v>
      </c>
      <c r="U374">
        <f>_xll.ICEHistory(S$4,U$5,"DF[dow:12345][tl:Calendar]",$L374)</f>
        <v>47</v>
      </c>
      <c r="V374">
        <f>_xll.ICEHistory(S$4,V$5,"DF[dow:12345][tl:Calendar]",$L374)</f>
        <v>47.084000000000003</v>
      </c>
      <c r="W374">
        <f>_xll.ICEHistory(S$4,W$5,"DF[dow:12345][tl:Calendar]",$L374)</f>
        <v>5</v>
      </c>
      <c r="X374">
        <f t="shared" si="15"/>
        <v>3.3679792124725209E-2</v>
      </c>
      <c r="Y374">
        <f t="shared" si="16"/>
        <v>-0.41929601451292936</v>
      </c>
      <c r="Z374">
        <f t="shared" si="17"/>
        <v>-2.0619150958695358E-2</v>
      </c>
    </row>
    <row r="375" spans="12:26" x14ac:dyDescent="0.25">
      <c r="L375" s="4">
        <f>_xll.ICETimeline(_xll.ICEJoinRange(M4:W4),"DF[dow:12345][tl:Calendar]","2020-07-26;2024-07-26",676,-1)</f>
        <v>44985.5</v>
      </c>
      <c r="M375">
        <f>_xll.ICEHistory(M$4,M$5,"DF[dow:12345][tl:Calendar]",$L375)</f>
        <v>100.06</v>
      </c>
      <c r="N375">
        <f>_xll.ICEHistory(M$4,N$5,"DF[dow:12345][tl:Calendar]",$L375)</f>
        <v>100.79</v>
      </c>
      <c r="O375">
        <f>_xll.ICEHistory(M$4,O$5,"DF[dow:12345][tl:Calendar]",$L375)</f>
        <v>99</v>
      </c>
      <c r="P375">
        <f>_xll.ICEHistory(M$4,P$5,"DF[dow:12345][tl:Calendar]",$L375)</f>
        <v>99.54</v>
      </c>
      <c r="Q375">
        <f>_xll.ICEHistory(M$4,Q$5,"DF[dow:12345][tl:Calendar]",$L375)</f>
        <v>18723</v>
      </c>
      <c r="R375">
        <f>_xll.ICEHistory(M$4,R$5,"DF[dow:12345][tl:Calendar]",$L375)</f>
        <v>295745</v>
      </c>
      <c r="S375">
        <f>_xll.ICEHistory(S$4,S$5,"DF[dow:12345][tl:Calendar]",$L375)</f>
        <v>48</v>
      </c>
      <c r="T375">
        <f>_xll.ICEHistory(S$4,T$5,"DF[dow:12345][tl:Calendar]",$L375)</f>
        <v>48</v>
      </c>
      <c r="U375">
        <f>_xll.ICEHistory(S$4,U$5,"DF[dow:12345][tl:Calendar]",$L375)</f>
        <v>46.664999999999999</v>
      </c>
      <c r="V375">
        <f>_xll.ICEHistory(S$4,V$5,"DF[dow:12345][tl:Calendar]",$L375)</f>
        <v>46.664999999999999</v>
      </c>
      <c r="W375">
        <f>_xll.ICEHistory(S$4,W$5,"DF[dow:12345][tl:Calendar]",$L375)</f>
        <v>4</v>
      </c>
      <c r="X375">
        <f t="shared" si="15"/>
        <v>1.834956432598674E-2</v>
      </c>
      <c r="Y375">
        <f t="shared" si="16"/>
        <v>-1.5685729421620447</v>
      </c>
      <c r="Z375">
        <f t="shared" si="17"/>
        <v>-8.5943715848064817E-2</v>
      </c>
    </row>
    <row r="376" spans="12:26" x14ac:dyDescent="0.25">
      <c r="L376" s="4">
        <f>_xll.ICETimeline(_xll.ICEJoinRange(M4:W4),"DF[dow:12345][tl:Calendar]","2020-07-26;2024-07-26",675,-1)</f>
        <v>44984.5</v>
      </c>
      <c r="M376">
        <f>_xll.ICEHistory(M$4,M$5,"DF[dow:12345][tl:Calendar]",$L376)</f>
        <v>97.55</v>
      </c>
      <c r="N376">
        <f>_xll.ICEHistory(M$4,N$5,"DF[dow:12345][tl:Calendar]",$L376)</f>
        <v>100.64</v>
      </c>
      <c r="O376">
        <f>_xll.ICEHistory(M$4,O$5,"DF[dow:12345][tl:Calendar]",$L376)</f>
        <v>97.36</v>
      </c>
      <c r="P376">
        <f>_xll.ICEHistory(M$4,P$5,"DF[dow:12345][tl:Calendar]",$L376)</f>
        <v>100.29</v>
      </c>
      <c r="Q376">
        <f>_xll.ICEHistory(M$4,Q$5,"DF[dow:12345][tl:Calendar]",$L376)</f>
        <v>18728</v>
      </c>
      <c r="R376">
        <f>_xll.ICEHistory(M$4,R$5,"DF[dow:12345][tl:Calendar]",$L376)</f>
        <v>296630</v>
      </c>
      <c r="S376">
        <f>_xll.ICEHistory(S$4,S$5,"DF[dow:12345][tl:Calendar]",$L376)</f>
        <v>47.298999999999999</v>
      </c>
      <c r="T376">
        <f>_xll.ICEHistory(S$4,T$5,"DF[dow:12345][tl:Calendar]",$L376)</f>
        <v>47.298999999999999</v>
      </c>
      <c r="U376">
        <f>_xll.ICEHistory(S$4,U$5,"DF[dow:12345][tl:Calendar]",$L376)</f>
        <v>47.298999999999999</v>
      </c>
      <c r="V376">
        <f>_xll.ICEHistory(S$4,V$5,"DF[dow:12345][tl:Calendar]",$L376)</f>
        <v>47.298999999999999</v>
      </c>
      <c r="W376">
        <f>_xll.ICEHistory(S$4,W$5,"DF[dow:12345][tl:Calendar]",$L376)</f>
        <v>0</v>
      </c>
      <c r="X376">
        <f t="shared" si="15"/>
        <v>3.3783087856627883E-2</v>
      </c>
      <c r="Y376">
        <f t="shared" si="16"/>
        <v>-0.47067081017080414</v>
      </c>
      <c r="Z376">
        <f t="shared" si="17"/>
        <v>-9.1591791144849985E-2</v>
      </c>
    </row>
    <row r="377" spans="12:26" x14ac:dyDescent="0.25">
      <c r="L377" s="4">
        <f>_xll.ICETimeline(_xll.ICEJoinRange(M4:W4),"DF[dow:12345][tl:Calendar]","2020-07-26;2024-07-26",674,-1)</f>
        <v>44981.5</v>
      </c>
      <c r="M377">
        <f>_xll.ICEHistory(M$4,M$5,"DF[dow:12345][tl:Calendar]",$L377)</f>
        <v>97.09</v>
      </c>
      <c r="N377">
        <f>_xll.ICEHistory(M$4,N$5,"DF[dow:12345][tl:Calendar]",$L377)</f>
        <v>100.2</v>
      </c>
      <c r="O377">
        <f>_xll.ICEHistory(M$4,O$5,"DF[dow:12345][tl:Calendar]",$L377)</f>
        <v>96.83</v>
      </c>
      <c r="P377">
        <f>_xll.ICEHistory(M$4,P$5,"DF[dow:12345][tl:Calendar]",$L377)</f>
        <v>97.85</v>
      </c>
      <c r="Q377">
        <f>_xll.ICEHistory(M$4,Q$5,"DF[dow:12345][tl:Calendar]",$L377)</f>
        <v>16989</v>
      </c>
      <c r="R377">
        <f>_xll.ICEHistory(M$4,R$5,"DF[dow:12345][tl:Calendar]",$L377)</f>
        <v>295182</v>
      </c>
      <c r="S377">
        <f>_xll.ICEHistory(S$4,S$5,"DF[dow:12345][tl:Calendar]",$L377)</f>
        <v>51.012999999999998</v>
      </c>
      <c r="T377">
        <f>_xll.ICEHistory(S$4,T$5,"DF[dow:12345][tl:Calendar]",$L377)</f>
        <v>51.012999999999998</v>
      </c>
      <c r="U377">
        <f>_xll.ICEHistory(S$4,U$5,"DF[dow:12345][tl:Calendar]",$L377)</f>
        <v>51.012999999999998</v>
      </c>
      <c r="V377">
        <f>_xll.ICEHistory(S$4,V$5,"DF[dow:12345][tl:Calendar]",$L377)</f>
        <v>51.012999999999998</v>
      </c>
      <c r="W377">
        <f>_xll.ICEHistory(S$4,W$5,"DF[dow:12345][tl:Calendar]",$L377)</f>
        <v>0</v>
      </c>
      <c r="X377">
        <f t="shared" si="15"/>
        <v>3.5078588529197513E-2</v>
      </c>
      <c r="Y377">
        <f t="shared" si="16"/>
        <v>-0.36445716189617661</v>
      </c>
      <c r="Z377">
        <f t="shared" si="17"/>
        <v>-0.28496400454660098</v>
      </c>
    </row>
    <row r="378" spans="12:26" x14ac:dyDescent="0.25">
      <c r="L378" s="4">
        <f>_xll.ICETimeline(_xll.ICEJoinRange(M4:W4),"DF[dow:12345][tl:Calendar]","2020-07-26;2024-07-26",673,-1)</f>
        <v>44980.5</v>
      </c>
      <c r="M378">
        <f>_xll.ICEHistory(M$4,M$5,"DF[dow:12345][tl:Calendar]",$L378)</f>
        <v>96.07</v>
      </c>
      <c r="N378">
        <f>_xll.ICEHistory(M$4,N$5,"DF[dow:12345][tl:Calendar]",$L378)</f>
        <v>98.17</v>
      </c>
      <c r="O378">
        <f>_xll.ICEHistory(M$4,O$5,"DF[dow:12345][tl:Calendar]",$L378)</f>
        <v>95.91</v>
      </c>
      <c r="P378">
        <f>_xll.ICEHistory(M$4,P$5,"DF[dow:12345][tl:Calendar]",$L378)</f>
        <v>96.69</v>
      </c>
      <c r="Q378">
        <f>_xll.ICEHistory(M$4,Q$5,"DF[dow:12345][tl:Calendar]",$L378)</f>
        <v>15334</v>
      </c>
      <c r="R378">
        <f>_xll.ICEHistory(M$4,R$5,"DF[dow:12345][tl:Calendar]",$L378)</f>
        <v>294648</v>
      </c>
      <c r="S378">
        <f>_xll.ICEHistory(S$4,S$5,"DF[dow:12345][tl:Calendar]",$L378)</f>
        <v>50.78</v>
      </c>
      <c r="T378">
        <f>_xll.ICEHistory(S$4,T$5,"DF[dow:12345][tl:Calendar]",$L378)</f>
        <v>50.78</v>
      </c>
      <c r="U378">
        <f>_xll.ICEHistory(S$4,U$5,"DF[dow:12345][tl:Calendar]",$L378)</f>
        <v>50.78</v>
      </c>
      <c r="V378">
        <f>_xll.ICEHistory(S$4,V$5,"DF[dow:12345][tl:Calendar]",$L378)</f>
        <v>50.78</v>
      </c>
      <c r="W378">
        <f>_xll.ICEHistory(S$4,W$5,"DF[dow:12345][tl:Calendar]",$L378)</f>
        <v>0</v>
      </c>
      <c r="X378">
        <f t="shared" si="15"/>
        <v>2.2593222033390033E-2</v>
      </c>
      <c r="Y378">
        <f t="shared" si="16"/>
        <v>-1.2654228447685734</v>
      </c>
      <c r="Z378">
        <f t="shared" si="17"/>
        <v>-0.47718601168633151</v>
      </c>
    </row>
    <row r="379" spans="12:26" x14ac:dyDescent="0.25">
      <c r="L379" s="4">
        <f>_xll.ICETimeline(_xll.ICEJoinRange(M4:W4),"DF[dow:12345][tl:Calendar]","2020-07-26;2024-07-26",672,-1)</f>
        <v>44979.5</v>
      </c>
      <c r="M379">
        <f>_xll.ICEHistory(M$4,M$5,"DF[dow:12345][tl:Calendar]",$L379)</f>
        <v>100.03</v>
      </c>
      <c r="N379">
        <f>_xll.ICEHistory(M$4,N$5,"DF[dow:12345][tl:Calendar]",$L379)</f>
        <v>100.6</v>
      </c>
      <c r="O379">
        <f>_xll.ICEHistory(M$4,O$5,"DF[dow:12345][tl:Calendar]",$L379)</f>
        <v>95.95</v>
      </c>
      <c r="P379">
        <f>_xll.ICEHistory(M$4,P$5,"DF[dow:12345][tl:Calendar]",$L379)</f>
        <v>96.3</v>
      </c>
      <c r="Q379">
        <f>_xll.ICEHistory(M$4,Q$5,"DF[dow:12345][tl:Calendar]",$L379)</f>
        <v>18703</v>
      </c>
      <c r="R379">
        <f>_xll.ICEHistory(M$4,R$5,"DF[dow:12345][tl:Calendar]",$L379)</f>
        <v>293873</v>
      </c>
      <c r="S379">
        <f>_xll.ICEHistory(S$4,S$5,"DF[dow:12345][tl:Calendar]",$L379)</f>
        <v>50.567999999999998</v>
      </c>
      <c r="T379">
        <f>_xll.ICEHistory(S$4,T$5,"DF[dow:12345][tl:Calendar]",$L379)</f>
        <v>50.567999999999998</v>
      </c>
      <c r="U379">
        <f>_xll.ICEHistory(S$4,U$5,"DF[dow:12345][tl:Calendar]",$L379)</f>
        <v>50.567999999999998</v>
      </c>
      <c r="V379">
        <f>_xll.ICEHistory(S$4,V$5,"DF[dow:12345][tl:Calendar]",$L379)</f>
        <v>50.567999999999998</v>
      </c>
      <c r="W379">
        <f>_xll.ICEHistory(S$4,W$5,"DF[dow:12345][tl:Calendar]",$L379)</f>
        <v>0</v>
      </c>
      <c r="X379">
        <f t="shared" si="15"/>
        <v>4.7424783273839789E-2</v>
      </c>
      <c r="Y379">
        <f t="shared" si="16"/>
        <v>0.54962036689138705</v>
      </c>
      <c r="Z379">
        <f t="shared" si="17"/>
        <v>-9.1865081354594827E-2</v>
      </c>
    </row>
    <row r="380" spans="12:26" x14ac:dyDescent="0.25">
      <c r="L380" s="4">
        <f>_xll.ICETimeline(_xll.ICEJoinRange(M4:W4),"DF[dow:12345][tl:Calendar]","2020-07-26;2024-07-26",671,-1)</f>
        <v>44978.5</v>
      </c>
      <c r="M380">
        <f>_xll.ICEHistory(M$4,M$5,"DF[dow:12345][tl:Calendar]",$L380)</f>
        <v>98.05</v>
      </c>
      <c r="N380">
        <f>_xll.ICEHistory(M$4,N$5,"DF[dow:12345][tl:Calendar]",$L380)</f>
        <v>101.25</v>
      </c>
      <c r="O380">
        <f>_xll.ICEHistory(M$4,O$5,"DF[dow:12345][tl:Calendar]",$L380)</f>
        <v>96.61</v>
      </c>
      <c r="P380">
        <f>_xll.ICEHistory(M$4,P$5,"DF[dow:12345][tl:Calendar]",$L380)</f>
        <v>100.12</v>
      </c>
      <c r="Q380">
        <f>_xll.ICEHistory(M$4,Q$5,"DF[dow:12345][tl:Calendar]",$L380)</f>
        <v>22658</v>
      </c>
      <c r="R380">
        <f>_xll.ICEHistory(M$4,R$5,"DF[dow:12345][tl:Calendar]",$L380)</f>
        <v>293884</v>
      </c>
      <c r="S380">
        <f>_xll.ICEHistory(S$4,S$5,"DF[dow:12345][tl:Calendar]",$L380)</f>
        <v>50.8</v>
      </c>
      <c r="T380">
        <f>_xll.ICEHistory(S$4,T$5,"DF[dow:12345][tl:Calendar]",$L380)</f>
        <v>50.8</v>
      </c>
      <c r="U380">
        <f>_xll.ICEHistory(S$4,U$5,"DF[dow:12345][tl:Calendar]",$L380)</f>
        <v>48.542000000000002</v>
      </c>
      <c r="V380">
        <f>_xll.ICEHistory(S$4,V$5,"DF[dow:12345][tl:Calendar]",$L380)</f>
        <v>48.542000000000002</v>
      </c>
      <c r="W380">
        <f>_xll.ICEHistory(S$4,W$5,"DF[dow:12345][tl:Calendar]",$L380)</f>
        <v>1</v>
      </c>
      <c r="X380">
        <f t="shared" si="15"/>
        <v>4.8182762201453795E-2</v>
      </c>
      <c r="Y380">
        <f t="shared" si="16"/>
        <v>0.61129392416703221</v>
      </c>
      <c r="Z380">
        <f t="shared" si="17"/>
        <v>0.3720989011452796</v>
      </c>
    </row>
    <row r="381" spans="12:26" x14ac:dyDescent="0.25">
      <c r="L381" s="4">
        <f>_xll.ICETimeline(_xll.ICEJoinRange(M4:W4),"DF[dow:12345][tl:Calendar]","2020-07-26;2024-07-26",670,-1)</f>
        <v>44977.5</v>
      </c>
      <c r="M381">
        <f>_xll.ICEHistory(M$4,M$5,"DF[dow:12345][tl:Calendar]",$L381)</f>
        <v>96.3</v>
      </c>
      <c r="N381">
        <f>_xll.ICEHistory(M$4,N$5,"DF[dow:12345][tl:Calendar]",$L381)</f>
        <v>99.99</v>
      </c>
      <c r="O381">
        <f>_xll.ICEHistory(M$4,O$5,"DF[dow:12345][tl:Calendar]",$L381)</f>
        <v>95.9</v>
      </c>
      <c r="P381">
        <f>_xll.ICEHistory(M$4,P$5,"DF[dow:12345][tl:Calendar]",$L381)</f>
        <v>98.3</v>
      </c>
      <c r="Q381">
        <f>_xll.ICEHistory(M$4,Q$5,"DF[dow:12345][tl:Calendar]",$L381)</f>
        <v>18598</v>
      </c>
      <c r="R381">
        <f>_xll.ICEHistory(M$4,R$5,"DF[dow:12345][tl:Calendar]",$L381)</f>
        <v>292375</v>
      </c>
      <c r="S381">
        <f>_xll.ICEHistory(S$4,S$5,"DF[dow:12345][tl:Calendar]",$L381)</f>
        <v>49.7</v>
      </c>
      <c r="T381">
        <f>_xll.ICEHistory(S$4,T$5,"DF[dow:12345][tl:Calendar]",$L381)</f>
        <v>49.7</v>
      </c>
      <c r="U381">
        <f>_xll.ICEHistory(S$4,U$5,"DF[dow:12345][tl:Calendar]",$L381)</f>
        <v>49.046999999999997</v>
      </c>
      <c r="V381">
        <f>_xll.ICEHistory(S$4,V$5,"DF[dow:12345][tl:Calendar]",$L381)</f>
        <v>49.046999999999997</v>
      </c>
      <c r="W381">
        <f>_xll.ICEHistory(S$4,W$5,"DF[dow:12345][tl:Calendar]",$L381)</f>
        <v>0</v>
      </c>
      <c r="X381">
        <f t="shared" si="15"/>
        <v>4.173469387755091E-2</v>
      </c>
      <c r="Y381">
        <f t="shared" si="16"/>
        <v>0.15993671561915371</v>
      </c>
      <c r="Z381">
        <f t="shared" si="17"/>
        <v>-9.4987580229535837E-2</v>
      </c>
    </row>
    <row r="382" spans="12:26" x14ac:dyDescent="0.25">
      <c r="L382" s="4">
        <f>_xll.ICETimeline(_xll.ICEJoinRange(M4:W4),"DF[dow:12345][tl:Calendar]","2020-07-26;2024-07-26",669,-1)</f>
        <v>44974.5</v>
      </c>
      <c r="M382">
        <f>_xll.ICEHistory(M$4,M$5,"DF[dow:12345][tl:Calendar]",$L382)</f>
        <v>98</v>
      </c>
      <c r="N382">
        <f>_xll.ICEHistory(M$4,N$5,"DF[dow:12345][tl:Calendar]",$L382)</f>
        <v>98.45</v>
      </c>
      <c r="O382">
        <f>_xll.ICEHistory(M$4,O$5,"DF[dow:12345][tl:Calendar]",$L382)</f>
        <v>95.53</v>
      </c>
      <c r="P382">
        <f>_xll.ICEHistory(M$4,P$5,"DF[dow:12345][tl:Calendar]",$L382)</f>
        <v>96.03</v>
      </c>
      <c r="Q382">
        <f>_xll.ICEHistory(M$4,Q$5,"DF[dow:12345][tl:Calendar]",$L382)</f>
        <v>16835</v>
      </c>
      <c r="R382">
        <f>_xll.ICEHistory(M$4,R$5,"DF[dow:12345][tl:Calendar]",$L382)</f>
        <v>290869</v>
      </c>
      <c r="S382">
        <f>_xll.ICEHistory(S$4,S$5,"DF[dow:12345][tl:Calendar]",$L382)</f>
        <v>49.7</v>
      </c>
      <c r="T382">
        <f>_xll.ICEHistory(S$4,T$5,"DF[dow:12345][tl:Calendar]",$L382)</f>
        <v>49.7</v>
      </c>
      <c r="U382">
        <f>_xll.ICEHistory(S$4,U$5,"DF[dow:12345][tl:Calendar]",$L382)</f>
        <v>49.046999999999997</v>
      </c>
      <c r="V382">
        <f>_xll.ICEHistory(S$4,V$5,"DF[dow:12345][tl:Calendar]",$L382)</f>
        <v>49.046999999999997</v>
      </c>
      <c r="W382">
        <f>_xll.ICEHistory(S$4,W$5,"DF[dow:12345][tl:Calendar]",$L382)</f>
        <v>2</v>
      </c>
      <c r="X382">
        <f t="shared" si="15"/>
        <v>3.0965005302226956E-2</v>
      </c>
      <c r="Y382">
        <f t="shared" si="16"/>
        <v>-0.63911205347900168</v>
      </c>
      <c r="Z382">
        <f t="shared" si="17"/>
        <v>-0.30227846106392198</v>
      </c>
    </row>
    <row r="383" spans="12:26" x14ac:dyDescent="0.25">
      <c r="L383" s="4">
        <f>_xll.ICETimeline(_xll.ICEJoinRange(M4:W4),"DF[dow:12345][tl:Calendar]","2020-07-26;2024-07-26",668,-1)</f>
        <v>44973.5</v>
      </c>
      <c r="M383">
        <f>_xll.ICEHistory(M$4,M$5,"DF[dow:12345][tl:Calendar]",$L383)</f>
        <v>94.3</v>
      </c>
      <c r="N383">
        <f>_xll.ICEHistory(M$4,N$5,"DF[dow:12345][tl:Calendar]",$L383)</f>
        <v>98.31</v>
      </c>
      <c r="O383">
        <f>_xll.ICEHistory(M$4,O$5,"DF[dow:12345][tl:Calendar]",$L383)</f>
        <v>94.19</v>
      </c>
      <c r="P383">
        <f>_xll.ICEHistory(M$4,P$5,"DF[dow:12345][tl:Calendar]",$L383)</f>
        <v>97.85</v>
      </c>
      <c r="Q383">
        <f>_xll.ICEHistory(M$4,Q$5,"DF[dow:12345][tl:Calendar]",$L383)</f>
        <v>23159</v>
      </c>
      <c r="R383">
        <f>_xll.ICEHistory(M$4,R$5,"DF[dow:12345][tl:Calendar]",$L383)</f>
        <v>288995</v>
      </c>
      <c r="S383">
        <f>_xll.ICEHistory(S$4,S$5,"DF[dow:12345][tl:Calendar]",$L383)</f>
        <v>54</v>
      </c>
      <c r="T383">
        <f>_xll.ICEHistory(S$4,T$5,"DF[dow:12345][tl:Calendar]",$L383)</f>
        <v>54</v>
      </c>
      <c r="U383">
        <f>_xll.ICEHistory(S$4,U$5,"DF[dow:12345][tl:Calendar]",$L383)</f>
        <v>52.011000000000003</v>
      </c>
      <c r="V383">
        <f>_xll.ICEHistory(S$4,V$5,"DF[dow:12345][tl:Calendar]",$L383)</f>
        <v>52.011000000000003</v>
      </c>
      <c r="W383">
        <f>_xll.ICEHistory(S$4,W$5,"DF[dow:12345][tl:Calendar]",$L383)</f>
        <v>11</v>
      </c>
      <c r="X383">
        <f t="shared" si="15"/>
        <v>4.4909526923915463E-2</v>
      </c>
      <c r="Y383">
        <f t="shared" si="16"/>
        <v>0.387296374579022</v>
      </c>
      <c r="Z383">
        <f t="shared" si="17"/>
        <v>0.42865976094320607</v>
      </c>
    </row>
    <row r="384" spans="12:26" x14ac:dyDescent="0.25">
      <c r="L384" s="4">
        <f>_xll.ICETimeline(_xll.ICEJoinRange(M4:W4),"DF[dow:12345][tl:Calendar]","2020-07-26;2024-07-26",667,-1)</f>
        <v>44972.5</v>
      </c>
      <c r="M384">
        <f>_xll.ICEHistory(M$4,M$5,"DF[dow:12345][tl:Calendar]",$L384)</f>
        <v>91.74</v>
      </c>
      <c r="N384">
        <f>_xll.ICEHistory(M$4,N$5,"DF[dow:12345][tl:Calendar]",$L384)</f>
        <v>95</v>
      </c>
      <c r="O384">
        <f>_xll.ICEHistory(M$4,O$5,"DF[dow:12345][tl:Calendar]",$L384)</f>
        <v>90.45</v>
      </c>
      <c r="P384">
        <f>_xll.ICEHistory(M$4,P$5,"DF[dow:12345][tl:Calendar]",$L384)</f>
        <v>94.59</v>
      </c>
      <c r="Q384">
        <f>_xll.ICEHistory(M$4,Q$5,"DF[dow:12345][tl:Calendar]",$L384)</f>
        <v>21091</v>
      </c>
      <c r="R384">
        <f>_xll.ICEHistory(M$4,R$5,"DF[dow:12345][tl:Calendar]",$L384)</f>
        <v>288398</v>
      </c>
      <c r="S384">
        <f>_xll.ICEHistory(S$4,S$5,"DF[dow:12345][tl:Calendar]",$L384)</f>
        <v>54.2</v>
      </c>
      <c r="T384">
        <f>_xll.ICEHistory(S$4,T$5,"DF[dow:12345][tl:Calendar]",$L384)</f>
        <v>54.716000000000001</v>
      </c>
      <c r="U384">
        <f>_xll.ICEHistory(S$4,U$5,"DF[dow:12345][tl:Calendar]",$L384)</f>
        <v>54.2</v>
      </c>
      <c r="V384">
        <f>_xll.ICEHistory(S$4,V$5,"DF[dow:12345][tl:Calendar]",$L384)</f>
        <v>54.716000000000001</v>
      </c>
      <c r="W384">
        <f>_xll.ICEHistory(S$4,W$5,"DF[dow:12345][tl:Calendar]",$L384)</f>
        <v>1</v>
      </c>
      <c r="X384">
        <f t="shared" si="15"/>
        <v>4.9306458604247913E-2</v>
      </c>
      <c r="Y384">
        <f t="shared" si="16"/>
        <v>0.71916896114429563</v>
      </c>
      <c r="Z384">
        <f t="shared" si="17"/>
        <v>0.1716198729818684</v>
      </c>
    </row>
    <row r="385" spans="12:26" x14ac:dyDescent="0.25">
      <c r="L385" s="4">
        <f>_xll.ICETimeline(_xll.ICEJoinRange(M4:W4),"DF[dow:12345][tl:Calendar]","2020-07-26;2024-07-26",666,-1)</f>
        <v>44971.5</v>
      </c>
      <c r="M385">
        <f>_xll.ICEHistory(M$4,M$5,"DF[dow:12345][tl:Calendar]",$L385)</f>
        <v>92.28</v>
      </c>
      <c r="N385">
        <f>_xll.ICEHistory(M$4,N$5,"DF[dow:12345][tl:Calendar]",$L385)</f>
        <v>93.5</v>
      </c>
      <c r="O385">
        <f>_xll.ICEHistory(M$4,O$5,"DF[dow:12345][tl:Calendar]",$L385)</f>
        <v>89.91</v>
      </c>
      <c r="P385">
        <f>_xll.ICEHistory(M$4,P$5,"DF[dow:12345][tl:Calendar]",$L385)</f>
        <v>91.39</v>
      </c>
      <c r="Q385">
        <f>_xll.ICEHistory(M$4,Q$5,"DF[dow:12345][tl:Calendar]",$L385)</f>
        <v>20478</v>
      </c>
      <c r="R385">
        <f>_xll.ICEHistory(M$4,R$5,"DF[dow:12345][tl:Calendar]",$L385)</f>
        <v>289439</v>
      </c>
      <c r="S385">
        <f>_xll.ICEHistory(S$4,S$5,"DF[dow:12345][tl:Calendar]",$L385)</f>
        <v>52</v>
      </c>
      <c r="T385">
        <f>_xll.ICEHistory(S$4,T$5,"DF[dow:12345][tl:Calendar]",$L385)</f>
        <v>52.386000000000003</v>
      </c>
      <c r="U385">
        <f>_xll.ICEHistory(S$4,U$5,"DF[dow:12345][tl:Calendar]",$L385)</f>
        <v>52</v>
      </c>
      <c r="V385">
        <f>_xll.ICEHistory(S$4,V$5,"DF[dow:12345][tl:Calendar]",$L385)</f>
        <v>52.386000000000003</v>
      </c>
      <c r="W385">
        <f>_xll.ICEHistory(S$4,W$5,"DF[dow:12345][tl:Calendar]",$L385)</f>
        <v>1</v>
      </c>
      <c r="X385">
        <f t="shared" si="15"/>
        <v>3.8539989264626977E-2</v>
      </c>
      <c r="Y385">
        <f t="shared" si="16"/>
        <v>-7.8498941393752283E-2</v>
      </c>
      <c r="Z385">
        <f t="shared" si="17"/>
        <v>0.10193693548818475</v>
      </c>
    </row>
    <row r="386" spans="12:26" x14ac:dyDescent="0.25">
      <c r="L386" s="4">
        <f>_xll.ICETimeline(_xll.ICEJoinRange(M4:W4),"DF[dow:12345][tl:Calendar]","2020-07-26;2024-07-26",665,-1)</f>
        <v>44970.5</v>
      </c>
      <c r="M386">
        <f>_xll.ICEHistory(M$4,M$5,"DF[dow:12345][tl:Calendar]",$L386)</f>
        <v>93.15</v>
      </c>
      <c r="N386">
        <f>_xll.ICEHistory(M$4,N$5,"DF[dow:12345][tl:Calendar]",$L386)</f>
        <v>93.99</v>
      </c>
      <c r="O386">
        <f>_xll.ICEHistory(M$4,O$5,"DF[dow:12345][tl:Calendar]",$L386)</f>
        <v>91.68</v>
      </c>
      <c r="P386">
        <f>_xll.ICEHistory(M$4,P$5,"DF[dow:12345][tl:Calendar]",$L386)</f>
        <v>92.44</v>
      </c>
      <c r="Q386">
        <f>_xll.ICEHistory(M$4,Q$5,"DF[dow:12345][tl:Calendar]",$L386)</f>
        <v>14171</v>
      </c>
      <c r="R386">
        <f>_xll.ICEHistory(M$4,R$5,"DF[dow:12345][tl:Calendar]",$L386)</f>
        <v>288219</v>
      </c>
      <c r="S386">
        <f>_xll.ICEHistory(S$4,S$5,"DF[dow:12345][tl:Calendar]",$L386)</f>
        <v>51.707000000000001</v>
      </c>
      <c r="T386">
        <f>_xll.ICEHistory(S$4,T$5,"DF[dow:12345][tl:Calendar]",$L386)</f>
        <v>51.707000000000001</v>
      </c>
      <c r="U386">
        <f>_xll.ICEHistory(S$4,U$5,"DF[dow:12345][tl:Calendar]",$L386)</f>
        <v>51.707000000000001</v>
      </c>
      <c r="V386">
        <f>_xll.ICEHistory(S$4,V$5,"DF[dow:12345][tl:Calendar]",$L386)</f>
        <v>51.707000000000001</v>
      </c>
      <c r="W386">
        <f>_xll.ICEHistory(S$4,W$5,"DF[dow:12345][tl:Calendar]",$L386)</f>
        <v>0</v>
      </c>
      <c r="X386">
        <f t="shared" si="15"/>
        <v>2.5295663600525497E-2</v>
      </c>
      <c r="Y386">
        <f t="shared" si="16"/>
        <v>-1.0441294951850359</v>
      </c>
      <c r="Z386">
        <f t="shared" si="17"/>
        <v>-0.62636881325871552</v>
      </c>
    </row>
    <row r="387" spans="12:26" x14ac:dyDescent="0.25">
      <c r="L387" s="4">
        <f>_xll.ICETimeline(_xll.ICEJoinRange(M4:W4),"DF[dow:12345][tl:Calendar]","2020-07-26;2024-07-26",664,-1)</f>
        <v>44967.5</v>
      </c>
      <c r="M387">
        <f>_xll.ICEHistory(M$4,M$5,"DF[dow:12345][tl:Calendar]",$L387)</f>
        <v>91.32</v>
      </c>
      <c r="N387">
        <f>_xll.ICEHistory(M$4,N$5,"DF[dow:12345][tl:Calendar]",$L387)</f>
        <v>93.42</v>
      </c>
      <c r="O387">
        <f>_xll.ICEHistory(M$4,O$5,"DF[dow:12345][tl:Calendar]",$L387)</f>
        <v>90.63</v>
      </c>
      <c r="P387">
        <f>_xll.ICEHistory(M$4,P$5,"DF[dow:12345][tl:Calendar]",$L387)</f>
        <v>93.32</v>
      </c>
      <c r="Q387">
        <f>_xll.ICEHistory(M$4,Q$5,"DF[dow:12345][tl:Calendar]",$L387)</f>
        <v>15252</v>
      </c>
      <c r="R387">
        <f>_xll.ICEHistory(M$4,R$5,"DF[dow:12345][tl:Calendar]",$L387)</f>
        <v>286853</v>
      </c>
      <c r="S387">
        <f>_xll.ICEHistory(S$4,S$5,"DF[dow:12345][tl:Calendar]",$L387)</f>
        <v>53.25</v>
      </c>
      <c r="T387">
        <f>_xll.ICEHistory(S$4,T$5,"DF[dow:12345][tl:Calendar]",$L387)</f>
        <v>53.947000000000003</v>
      </c>
      <c r="U387">
        <f>_xll.ICEHistory(S$4,U$5,"DF[dow:12345][tl:Calendar]",$L387)</f>
        <v>53.25</v>
      </c>
      <c r="V387">
        <f>_xll.ICEHistory(S$4,V$5,"DF[dow:12345][tl:Calendar]",$L387)</f>
        <v>53.947000000000003</v>
      </c>
      <c r="W387">
        <f>_xll.ICEHistory(S$4,W$5,"DF[dow:12345][tl:Calendar]",$L387)</f>
        <v>2</v>
      </c>
      <c r="X387">
        <f t="shared" si="15"/>
        <v>3.0862831858407148E-2</v>
      </c>
      <c r="Y387">
        <f t="shared" si="16"/>
        <v>-0.62808906691609445</v>
      </c>
      <c r="Z387">
        <f t="shared" si="17"/>
        <v>-0.51376744399599195</v>
      </c>
    </row>
    <row r="388" spans="12:26" x14ac:dyDescent="0.25">
      <c r="L388" s="4">
        <f>_xll.ICETimeline(_xll.ICEJoinRange(M4:W4),"DF[dow:12345][tl:Calendar]","2020-07-26;2024-07-26",663,-1)</f>
        <v>44966.5</v>
      </c>
      <c r="M388">
        <f>_xll.ICEHistory(M$4,M$5,"DF[dow:12345][tl:Calendar]",$L388)</f>
        <v>90.4</v>
      </c>
      <c r="N388">
        <f>_xll.ICEHistory(M$4,N$5,"DF[dow:12345][tl:Calendar]",$L388)</f>
        <v>92.99</v>
      </c>
      <c r="O388">
        <f>_xll.ICEHistory(M$4,O$5,"DF[dow:12345][tl:Calendar]",$L388)</f>
        <v>89.9</v>
      </c>
      <c r="P388">
        <f>_xll.ICEHistory(M$4,P$5,"DF[dow:12345][tl:Calendar]",$L388)</f>
        <v>91.32</v>
      </c>
      <c r="Q388">
        <f>_xll.ICEHistory(M$4,Q$5,"DF[dow:12345][tl:Calendar]",$L388)</f>
        <v>19099</v>
      </c>
      <c r="R388">
        <f>_xll.ICEHistory(M$4,R$5,"DF[dow:12345][tl:Calendar]",$L388)</f>
        <v>285536</v>
      </c>
      <c r="S388">
        <f>_xll.ICEHistory(S$4,S$5,"DF[dow:12345][tl:Calendar]",$L388)</f>
        <v>52.734000000000002</v>
      </c>
      <c r="T388">
        <f>_xll.ICEHistory(S$4,T$5,"DF[dow:12345][tl:Calendar]",$L388)</f>
        <v>52.734000000000002</v>
      </c>
      <c r="U388">
        <f>_xll.ICEHistory(S$4,U$5,"DF[dow:12345][tl:Calendar]",$L388)</f>
        <v>52.734000000000002</v>
      </c>
      <c r="V388">
        <f>_xll.ICEHistory(S$4,V$5,"DF[dow:12345][tl:Calendar]",$L388)</f>
        <v>52.734000000000002</v>
      </c>
      <c r="W388">
        <f>_xll.ICEHistory(S$4,W$5,"DF[dow:12345][tl:Calendar]",$L388)</f>
        <v>0</v>
      </c>
      <c r="X388">
        <f t="shared" si="15"/>
        <v>3.4105960264900544E-2</v>
      </c>
      <c r="Y388">
        <f t="shared" si="16"/>
        <v>-0.41409030296855803</v>
      </c>
      <c r="Z388">
        <f t="shared" si="17"/>
        <v>-8.8598519448231161E-2</v>
      </c>
    </row>
    <row r="389" spans="12:26" x14ac:dyDescent="0.25">
      <c r="L389" s="4">
        <f>_xll.ICETimeline(_xll.ICEJoinRange(M4:W4),"DF[dow:12345][tl:Calendar]","2020-07-26;2024-07-26",662,-1)</f>
        <v>44965.5</v>
      </c>
      <c r="M389">
        <f>_xll.ICEHistory(M$4,M$5,"DF[dow:12345][tl:Calendar]",$L389)</f>
        <v>90.6</v>
      </c>
      <c r="N389">
        <f>_xll.ICEHistory(M$4,N$5,"DF[dow:12345][tl:Calendar]",$L389)</f>
        <v>92.09</v>
      </c>
      <c r="O389">
        <f>_xll.ICEHistory(M$4,O$5,"DF[dow:12345][tl:Calendar]",$L389)</f>
        <v>89.18</v>
      </c>
      <c r="P389">
        <f>_xll.ICEHistory(M$4,P$5,"DF[dow:12345][tl:Calendar]",$L389)</f>
        <v>90.39</v>
      </c>
      <c r="Q389">
        <f>_xll.ICEHistory(M$4,Q$5,"DF[dow:12345][tl:Calendar]",$L389)</f>
        <v>17236</v>
      </c>
      <c r="R389">
        <f>_xll.ICEHistory(M$4,R$5,"DF[dow:12345][tl:Calendar]",$L389)</f>
        <v>283174</v>
      </c>
      <c r="S389">
        <f>_xll.ICEHistory(S$4,S$5,"DF[dow:12345][tl:Calendar]",$L389)</f>
        <v>53.686999999999998</v>
      </c>
      <c r="T389">
        <f>_xll.ICEHistory(S$4,T$5,"DF[dow:12345][tl:Calendar]",$L389)</f>
        <v>53.686999999999998</v>
      </c>
      <c r="U389">
        <f>_xll.ICEHistory(S$4,U$5,"DF[dow:12345][tl:Calendar]",$L389)</f>
        <v>53.686999999999998</v>
      </c>
      <c r="V389">
        <f>_xll.ICEHistory(S$4,V$5,"DF[dow:12345][tl:Calendar]",$L389)</f>
        <v>53.686999999999998</v>
      </c>
      <c r="W389">
        <f>_xll.ICEHistory(S$4,W$5,"DF[dow:12345][tl:Calendar]",$L389)</f>
        <v>0</v>
      </c>
      <c r="X389">
        <f t="shared" si="15"/>
        <v>3.1914893617021239E-2</v>
      </c>
      <c r="Y389">
        <f t="shared" si="16"/>
        <v>-0.58764296930712112</v>
      </c>
      <c r="Z389">
        <f t="shared" si="17"/>
        <v>-0.3261882189684101</v>
      </c>
    </row>
    <row r="390" spans="12:26" x14ac:dyDescent="0.25">
      <c r="L390" s="4">
        <f>_xll.ICETimeline(_xll.ICEJoinRange(M4:W4),"DF[dow:12345][tl:Calendar]","2020-07-26;2024-07-26",661,-1)</f>
        <v>44964.5</v>
      </c>
      <c r="M390">
        <f>_xll.ICEHistory(M$4,M$5,"DF[dow:12345][tl:Calendar]",$L390)</f>
        <v>91.18</v>
      </c>
      <c r="N390">
        <f>_xll.ICEHistory(M$4,N$5,"DF[dow:12345][tl:Calendar]",$L390)</f>
        <v>92.35</v>
      </c>
      <c r="O390">
        <f>_xll.ICEHistory(M$4,O$5,"DF[dow:12345][tl:Calendar]",$L390)</f>
        <v>89.18</v>
      </c>
      <c r="P390">
        <f>_xll.ICEHistory(M$4,P$5,"DF[dow:12345][tl:Calendar]",$L390)</f>
        <v>90.5</v>
      </c>
      <c r="Q390">
        <f>_xll.ICEHistory(M$4,Q$5,"DF[dow:12345][tl:Calendar]",$L390)</f>
        <v>19308</v>
      </c>
      <c r="R390">
        <f>_xll.ICEHistory(M$4,R$5,"DF[dow:12345][tl:Calendar]",$L390)</f>
        <v>283637</v>
      </c>
      <c r="S390">
        <f>_xll.ICEHistory(S$4,S$5,"DF[dow:12345][tl:Calendar]",$L390)</f>
        <v>57.4</v>
      </c>
      <c r="T390">
        <f>_xll.ICEHistory(S$4,T$5,"DF[dow:12345][tl:Calendar]",$L390)</f>
        <v>57.7</v>
      </c>
      <c r="U390">
        <f>_xll.ICEHistory(S$4,U$5,"DF[dow:12345][tl:Calendar]",$L390)</f>
        <v>55.402999999999999</v>
      </c>
      <c r="V390">
        <f>_xll.ICEHistory(S$4,V$5,"DF[dow:12345][tl:Calendar]",$L390)</f>
        <v>55.402999999999999</v>
      </c>
      <c r="W390">
        <f>_xll.ICEHistory(S$4,W$5,"DF[dow:12345][tl:Calendar]",$L390)</f>
        <v>6</v>
      </c>
      <c r="X390">
        <f t="shared" si="15"/>
        <v>3.3885622661678112E-2</v>
      </c>
      <c r="Y390">
        <f t="shared" si="16"/>
        <v>-0.46972023110518896</v>
      </c>
      <c r="Z390">
        <f t="shared" si="17"/>
        <v>-0.10390037761755294</v>
      </c>
    </row>
    <row r="391" spans="12:26" x14ac:dyDescent="0.25">
      <c r="L391" s="4">
        <f>_xll.ICETimeline(_xll.ICEJoinRange(M4:W4),"DF[dow:12345][tl:Calendar]","2020-07-26;2024-07-26",660,-1)</f>
        <v>44963.5</v>
      </c>
      <c r="M391">
        <f>_xll.ICEHistory(M$4,M$5,"DF[dow:12345][tl:Calendar]",$L391)</f>
        <v>93.55</v>
      </c>
      <c r="N391">
        <f>_xll.ICEHistory(M$4,N$5,"DF[dow:12345][tl:Calendar]",$L391)</f>
        <v>96</v>
      </c>
      <c r="O391">
        <f>_xll.ICEHistory(M$4,O$5,"DF[dow:12345][tl:Calendar]",$L391)</f>
        <v>90.54</v>
      </c>
      <c r="P391">
        <f>_xll.ICEHistory(M$4,P$5,"DF[dow:12345][tl:Calendar]",$L391)</f>
        <v>91.18</v>
      </c>
      <c r="Q391">
        <f>_xll.ICEHistory(M$4,Q$5,"DF[dow:12345][tl:Calendar]",$L391)</f>
        <v>21636</v>
      </c>
      <c r="R391">
        <f>_xll.ICEHistory(M$4,R$5,"DF[dow:12345][tl:Calendar]",$L391)</f>
        <v>283739</v>
      </c>
      <c r="S391">
        <f>_xll.ICEHistory(S$4,S$5,"DF[dow:12345][tl:Calendar]",$L391)</f>
        <v>58.109000000000002</v>
      </c>
      <c r="T391">
        <f>_xll.ICEHistory(S$4,T$5,"DF[dow:12345][tl:Calendar]",$L391)</f>
        <v>58.109000000000002</v>
      </c>
      <c r="U391">
        <f>_xll.ICEHistory(S$4,U$5,"DF[dow:12345][tl:Calendar]",$L391)</f>
        <v>58.109000000000002</v>
      </c>
      <c r="V391">
        <f>_xll.ICEHistory(S$4,V$5,"DF[dow:12345][tl:Calendar]",$L391)</f>
        <v>58.109000000000002</v>
      </c>
      <c r="W391">
        <f>_xll.ICEHistory(S$4,W$5,"DF[dow:12345][tl:Calendar]",$L391)</f>
        <v>0</v>
      </c>
      <c r="X391">
        <f t="shared" si="15"/>
        <v>5.7937181663836948E-2</v>
      </c>
      <c r="Y391">
        <f t="shared" si="16"/>
        <v>1.2441593406702813</v>
      </c>
      <c r="Z391">
        <f t="shared" si="17"/>
        <v>0.15957616761937696</v>
      </c>
    </row>
    <row r="392" spans="12:26" x14ac:dyDescent="0.25">
      <c r="L392" s="4">
        <f>_xll.ICETimeline(_xll.ICEJoinRange(M4:W4),"DF[dow:12345][tl:Calendar]","2020-07-26;2024-07-26",659,-1)</f>
        <v>44960.5</v>
      </c>
      <c r="M392">
        <f>_xll.ICEHistory(M$4,M$5,"DF[dow:12345][tl:Calendar]",$L392)</f>
        <v>94.24</v>
      </c>
      <c r="N392">
        <f>_xll.ICEHistory(M$4,N$5,"DF[dow:12345][tl:Calendar]",$L392)</f>
        <v>96.2</v>
      </c>
      <c r="O392">
        <f>_xll.ICEHistory(M$4,O$5,"DF[dow:12345][tl:Calendar]",$L392)</f>
        <v>93.05</v>
      </c>
      <c r="P392">
        <f>_xll.ICEHistory(M$4,P$5,"DF[dow:12345][tl:Calendar]",$L392)</f>
        <v>93.67</v>
      </c>
      <c r="Q392">
        <f>_xll.ICEHistory(M$4,Q$5,"DF[dow:12345][tl:Calendar]",$L392)</f>
        <v>17533</v>
      </c>
      <c r="R392">
        <f>_xll.ICEHistory(M$4,R$5,"DF[dow:12345][tl:Calendar]",$L392)</f>
        <v>282737</v>
      </c>
      <c r="S392">
        <f>_xll.ICEHistory(S$4,S$5,"DF[dow:12345][tl:Calendar]",$L392)</f>
        <v>58</v>
      </c>
      <c r="T392">
        <f>_xll.ICEHistory(S$4,T$5,"DF[dow:12345][tl:Calendar]",$L392)</f>
        <v>59.2</v>
      </c>
      <c r="U392">
        <f>_xll.ICEHistory(S$4,U$5,"DF[dow:12345][tl:Calendar]",$L392)</f>
        <v>57.889000000000003</v>
      </c>
      <c r="V392">
        <f>_xll.ICEHistory(S$4,V$5,"DF[dow:12345][tl:Calendar]",$L392)</f>
        <v>57.889000000000003</v>
      </c>
      <c r="W392">
        <f>_xll.ICEHistory(S$4,W$5,"DF[dow:12345][tl:Calendar]",$L392)</f>
        <v>8</v>
      </c>
      <c r="X392">
        <f t="shared" si="15"/>
        <v>3.3001571503404985E-2</v>
      </c>
      <c r="Y392">
        <f t="shared" si="16"/>
        <v>-0.50640461488544419</v>
      </c>
      <c r="Z392">
        <f t="shared" si="17"/>
        <v>-0.29760292833486213</v>
      </c>
    </row>
    <row r="393" spans="12:26" x14ac:dyDescent="0.25">
      <c r="L393" s="4">
        <f>_xll.ICETimeline(_xll.ICEJoinRange(M4:W4),"DF[dow:12345][tl:Calendar]","2020-07-26;2024-07-26",658,-1)</f>
        <v>44959.5</v>
      </c>
      <c r="M393">
        <f>_xll.ICEHistory(M$4,M$5,"DF[dow:12345][tl:Calendar]",$L393)</f>
        <v>95.45</v>
      </c>
      <c r="N393">
        <f>_xll.ICEHistory(M$4,N$5,"DF[dow:12345][tl:Calendar]",$L393)</f>
        <v>97.14</v>
      </c>
      <c r="O393">
        <f>_xll.ICEHistory(M$4,O$5,"DF[dow:12345][tl:Calendar]",$L393)</f>
        <v>91.75</v>
      </c>
      <c r="P393">
        <f>_xll.ICEHistory(M$4,P$5,"DF[dow:12345][tl:Calendar]",$L393)</f>
        <v>93.59</v>
      </c>
      <c r="Q393">
        <f>_xll.ICEHistory(M$4,Q$5,"DF[dow:12345][tl:Calendar]",$L393)</f>
        <v>25966</v>
      </c>
      <c r="R393">
        <f>_xll.ICEHistory(M$4,R$5,"DF[dow:12345][tl:Calendar]",$L393)</f>
        <v>281314</v>
      </c>
      <c r="S393">
        <f>_xll.ICEHistory(S$4,S$5,"DF[dow:12345][tl:Calendar]",$L393)</f>
        <v>57.1</v>
      </c>
      <c r="T393">
        <f>_xll.ICEHistory(S$4,T$5,"DF[dow:12345][tl:Calendar]",$L393)</f>
        <v>57.1</v>
      </c>
      <c r="U393">
        <f>_xll.ICEHistory(S$4,U$5,"DF[dow:12345][tl:Calendar]",$L393)</f>
        <v>56.7</v>
      </c>
      <c r="V393">
        <f>_xll.ICEHistory(S$4,V$5,"DF[dow:12345][tl:Calendar]",$L393)</f>
        <v>57.04</v>
      </c>
      <c r="W393">
        <f>_xll.ICEHistory(S$4,W$5,"DF[dow:12345][tl:Calendar]",$L393)</f>
        <v>3</v>
      </c>
      <c r="X393">
        <f t="shared" ref="X393:X456" si="18">IFERROR((N393-O393)/M394, "")</f>
        <v>5.8138280660122971E-2</v>
      </c>
      <c r="Y393">
        <f t="shared" ref="Y393:Y456" si="19">IFERROR((X393-AVERAGE(X393:X457))/_xlfn.STDEV.S(X393:X457),"")</f>
        <v>1.2888385995920684</v>
      </c>
      <c r="Z393">
        <f t="shared" ref="Z393:Z456" si="20">IFERROR((Q393-AVERAGE(Q393:Q458))/_xlfn.STDEV.S(Q393:Q458),"")</f>
        <v>0.62890532949986699</v>
      </c>
    </row>
    <row r="394" spans="12:26" x14ac:dyDescent="0.25">
      <c r="L394" s="4">
        <f>_xll.ICETimeline(_xll.ICEJoinRange(M4:W4),"DF[dow:12345][tl:Calendar]","2020-07-26;2024-07-26",657,-1)</f>
        <v>44958.5</v>
      </c>
      <c r="M394">
        <f>_xll.ICEHistory(M$4,M$5,"DF[dow:12345][tl:Calendar]",$L394)</f>
        <v>92.71</v>
      </c>
      <c r="N394">
        <f>_xll.ICEHistory(M$4,N$5,"DF[dow:12345][tl:Calendar]",$L394)</f>
        <v>97.55</v>
      </c>
      <c r="O394">
        <f>_xll.ICEHistory(M$4,O$5,"DF[dow:12345][tl:Calendar]",$L394)</f>
        <v>92.25</v>
      </c>
      <c r="P394">
        <f>_xll.ICEHistory(M$4,P$5,"DF[dow:12345][tl:Calendar]",$L394)</f>
        <v>95.6</v>
      </c>
      <c r="Q394">
        <f>_xll.ICEHistory(M$4,Q$5,"DF[dow:12345][tl:Calendar]",$L394)</f>
        <v>31171</v>
      </c>
      <c r="R394">
        <f>_xll.ICEHistory(M$4,R$5,"DF[dow:12345][tl:Calendar]",$L394)</f>
        <v>279732</v>
      </c>
      <c r="S394">
        <f>_xll.ICEHistory(S$4,S$5,"DF[dow:12345][tl:Calendar]",$L394)</f>
        <v>57.4</v>
      </c>
      <c r="T394">
        <f>_xll.ICEHistory(S$4,T$5,"DF[dow:12345][tl:Calendar]",$L394)</f>
        <v>59.527000000000001</v>
      </c>
      <c r="U394">
        <f>_xll.ICEHistory(S$4,U$5,"DF[dow:12345][tl:Calendar]",$L394)</f>
        <v>57.4</v>
      </c>
      <c r="V394">
        <f>_xll.ICEHistory(S$4,V$5,"DF[dow:12345][tl:Calendar]",$L394)</f>
        <v>59.527000000000001</v>
      </c>
      <c r="W394">
        <f>_xll.ICEHistory(S$4,W$5,"DF[dow:12345][tl:Calendar]",$L394)</f>
        <v>3</v>
      </c>
      <c r="X394">
        <f t="shared" si="18"/>
        <v>5.895439377085647E-2</v>
      </c>
      <c r="Y394">
        <f t="shared" si="19"/>
        <v>1.3890080546481123</v>
      </c>
      <c r="Z394">
        <f t="shared" si="20"/>
        <v>1.2289184493928462</v>
      </c>
    </row>
    <row r="395" spans="12:26" x14ac:dyDescent="0.25">
      <c r="L395" s="4">
        <f>_xll.ICETimeline(_xll.ICEJoinRange(M4:W4),"DF[dow:12345][tl:Calendar]","2020-07-26;2024-07-26",656,-1)</f>
        <v>44957.5</v>
      </c>
      <c r="M395">
        <f>_xll.ICEHistory(M$4,M$5,"DF[dow:12345][tl:Calendar]",$L395)</f>
        <v>89.9</v>
      </c>
      <c r="N395">
        <f>_xll.ICEHistory(M$4,N$5,"DF[dow:12345][tl:Calendar]",$L395)</f>
        <v>93.7</v>
      </c>
      <c r="O395">
        <f>_xll.ICEHistory(M$4,O$5,"DF[dow:12345][tl:Calendar]",$L395)</f>
        <v>88.91</v>
      </c>
      <c r="P395">
        <f>_xll.ICEHistory(M$4,P$5,"DF[dow:12345][tl:Calendar]",$L395)</f>
        <v>93</v>
      </c>
      <c r="Q395">
        <f>_xll.ICEHistory(M$4,Q$5,"DF[dow:12345][tl:Calendar]",$L395)</f>
        <v>27276</v>
      </c>
      <c r="R395">
        <f>_xll.ICEHistory(M$4,R$5,"DF[dow:12345][tl:Calendar]",$L395)</f>
        <v>277955</v>
      </c>
      <c r="S395">
        <f>_xll.ICEHistory(S$4,S$5,"DF[dow:12345][tl:Calendar]",$L395)</f>
        <v>60.2</v>
      </c>
      <c r="T395">
        <f>_xll.ICEHistory(S$4,T$5,"DF[dow:12345][tl:Calendar]",$L395)</f>
        <v>60.2</v>
      </c>
      <c r="U395">
        <f>_xll.ICEHistory(S$4,U$5,"DF[dow:12345][tl:Calendar]",$L395)</f>
        <v>57.351999999999997</v>
      </c>
      <c r="V395">
        <f>_xll.ICEHistory(S$4,V$5,"DF[dow:12345][tl:Calendar]",$L395)</f>
        <v>57.351999999999997</v>
      </c>
      <c r="W395">
        <f>_xll.ICEHistory(S$4,W$5,"DF[dow:12345][tl:Calendar]",$L395)</f>
        <v>9</v>
      </c>
      <c r="X395">
        <f t="shared" si="18"/>
        <v>5.3501619568859668E-2</v>
      </c>
      <c r="Y395">
        <f t="shared" si="19"/>
        <v>1.035839506422553</v>
      </c>
      <c r="Z395">
        <f t="shared" si="20"/>
        <v>0.82346286055915374</v>
      </c>
    </row>
    <row r="396" spans="12:26" x14ac:dyDescent="0.25">
      <c r="L396" s="4">
        <f>_xll.ICETimeline(_xll.ICEJoinRange(M4:W4),"DF[dow:12345][tl:Calendar]","2020-07-26;2024-07-26",655,-1)</f>
        <v>44956.5</v>
      </c>
      <c r="M396">
        <f>_xll.ICEHistory(M$4,M$5,"DF[dow:12345][tl:Calendar]",$L396)</f>
        <v>89.53</v>
      </c>
      <c r="N396">
        <f>_xll.ICEHistory(M$4,N$5,"DF[dow:12345][tl:Calendar]",$L396)</f>
        <v>90.32</v>
      </c>
      <c r="O396">
        <f>_xll.ICEHistory(M$4,O$5,"DF[dow:12345][tl:Calendar]",$L396)</f>
        <v>87.52</v>
      </c>
      <c r="P396">
        <f>_xll.ICEHistory(M$4,P$5,"DF[dow:12345][tl:Calendar]",$L396)</f>
        <v>89.81</v>
      </c>
      <c r="Q396">
        <f>_xll.ICEHistory(M$4,Q$5,"DF[dow:12345][tl:Calendar]",$L396)</f>
        <v>19457</v>
      </c>
      <c r="R396">
        <f>_xll.ICEHistory(M$4,R$5,"DF[dow:12345][tl:Calendar]",$L396)</f>
        <v>274011</v>
      </c>
      <c r="S396">
        <f>_xll.ICEHistory(S$4,S$5,"DF[dow:12345][tl:Calendar]",$L396)</f>
        <v>56.85</v>
      </c>
      <c r="T396">
        <f>_xll.ICEHistory(S$4,T$5,"DF[dow:12345][tl:Calendar]",$L396)</f>
        <v>56.85</v>
      </c>
      <c r="U396">
        <f>_xll.ICEHistory(S$4,U$5,"DF[dow:12345][tl:Calendar]",$L396)</f>
        <v>55.155999999999999</v>
      </c>
      <c r="V396">
        <f>_xll.ICEHistory(S$4,V$5,"DF[dow:12345][tl:Calendar]",$L396)</f>
        <v>55.155999999999999</v>
      </c>
      <c r="W396">
        <f>_xll.ICEHistory(S$4,W$5,"DF[dow:12345][tl:Calendar]",$L396)</f>
        <v>0</v>
      </c>
      <c r="X396">
        <f t="shared" si="18"/>
        <v>3.1351472399507301E-2</v>
      </c>
      <c r="Y396">
        <f t="shared" si="19"/>
        <v>-0.60002015288746458</v>
      </c>
      <c r="Z396">
        <f t="shared" si="20"/>
        <v>-3.5441015938600849E-2</v>
      </c>
    </row>
    <row r="397" spans="12:26" x14ac:dyDescent="0.25">
      <c r="L397" s="4">
        <f>_xll.ICETimeline(_xll.ICEJoinRange(M4:W4),"DF[dow:12345][tl:Calendar]","2020-07-26;2024-07-26",654,-1)</f>
        <v>44953.5</v>
      </c>
      <c r="M397">
        <f>_xll.ICEHistory(M$4,M$5,"DF[dow:12345][tl:Calendar]",$L397)</f>
        <v>89.31</v>
      </c>
      <c r="N397">
        <f>_xll.ICEHistory(M$4,N$5,"DF[dow:12345][tl:Calendar]",$L397)</f>
        <v>90.73</v>
      </c>
      <c r="O397">
        <f>_xll.ICEHistory(M$4,O$5,"DF[dow:12345][tl:Calendar]",$L397)</f>
        <v>88.63</v>
      </c>
      <c r="P397">
        <f>_xll.ICEHistory(M$4,P$5,"DF[dow:12345][tl:Calendar]",$L397)</f>
        <v>89.55</v>
      </c>
      <c r="Q397">
        <f>_xll.ICEHistory(M$4,Q$5,"DF[dow:12345][tl:Calendar]",$L397)</f>
        <v>21758</v>
      </c>
      <c r="R397">
        <f>_xll.ICEHistory(M$4,R$5,"DF[dow:12345][tl:Calendar]",$L397)</f>
        <v>272480</v>
      </c>
      <c r="S397">
        <f>_xll.ICEHistory(S$4,S$5,"DF[dow:12345][tl:Calendar]",$L397)</f>
        <v>53.5</v>
      </c>
      <c r="T397">
        <f>_xll.ICEHistory(S$4,T$5,"DF[dow:12345][tl:Calendar]",$L397)</f>
        <v>55.424999999999997</v>
      </c>
      <c r="U397">
        <f>_xll.ICEHistory(S$4,U$5,"DF[dow:12345][tl:Calendar]",$L397)</f>
        <v>53</v>
      </c>
      <c r="V397">
        <f>_xll.ICEHistory(S$4,V$5,"DF[dow:12345][tl:Calendar]",$L397)</f>
        <v>55.424999999999997</v>
      </c>
      <c r="W397">
        <f>_xll.ICEHistory(S$4,W$5,"DF[dow:12345][tl:Calendar]",$L397)</f>
        <v>6</v>
      </c>
      <c r="X397">
        <f t="shared" si="18"/>
        <v>2.4799244213509781E-2</v>
      </c>
      <c r="Y397">
        <f t="shared" si="19"/>
        <v>-1.0966122613702627</v>
      </c>
      <c r="Z397">
        <f t="shared" si="20"/>
        <v>0.22551927602287541</v>
      </c>
    </row>
    <row r="398" spans="12:26" x14ac:dyDescent="0.25">
      <c r="L398" s="4">
        <f>_xll.ICETimeline(_xll.ICEJoinRange(M4:W4),"DF[dow:12345][tl:Calendar]","2020-07-26;2024-07-26",653,-1)</f>
        <v>44952.5</v>
      </c>
      <c r="M398">
        <f>_xll.ICEHistory(M$4,M$5,"DF[dow:12345][tl:Calendar]",$L398)</f>
        <v>84.68</v>
      </c>
      <c r="N398">
        <f>_xll.ICEHistory(M$4,N$5,"DF[dow:12345][tl:Calendar]",$L398)</f>
        <v>89.6</v>
      </c>
      <c r="O398">
        <f>_xll.ICEHistory(M$4,O$5,"DF[dow:12345][tl:Calendar]",$L398)</f>
        <v>84.01</v>
      </c>
      <c r="P398">
        <f>_xll.ICEHistory(M$4,P$5,"DF[dow:12345][tl:Calendar]",$L398)</f>
        <v>89.39</v>
      </c>
      <c r="Q398">
        <f>_xll.ICEHistory(M$4,Q$5,"DF[dow:12345][tl:Calendar]",$L398)</f>
        <v>26229</v>
      </c>
      <c r="R398">
        <f>_xll.ICEHistory(M$4,R$5,"DF[dow:12345][tl:Calendar]",$L398)</f>
        <v>269451</v>
      </c>
      <c r="S398">
        <f>_xll.ICEHistory(S$4,S$5,"DF[dow:12345][tl:Calendar]",$L398)</f>
        <v>56.6</v>
      </c>
      <c r="T398">
        <f>_xll.ICEHistory(S$4,T$5,"DF[dow:12345][tl:Calendar]",$L398)</f>
        <v>56.6</v>
      </c>
      <c r="U398">
        <f>_xll.ICEHistory(S$4,U$5,"DF[dow:12345][tl:Calendar]",$L398)</f>
        <v>54.814999999999998</v>
      </c>
      <c r="V398">
        <f>_xll.ICEHistory(S$4,V$5,"DF[dow:12345][tl:Calendar]",$L398)</f>
        <v>54.814999999999998</v>
      </c>
      <c r="W398">
        <f>_xll.ICEHistory(S$4,W$5,"DF[dow:12345][tl:Calendar]",$L398)</f>
        <v>1</v>
      </c>
      <c r="X398">
        <f t="shared" si="18"/>
        <v>6.8370841487279704E-2</v>
      </c>
      <c r="Y398">
        <f t="shared" si="19"/>
        <v>2.0879500348768616</v>
      </c>
      <c r="Z398">
        <f t="shared" si="20"/>
        <v>0.71971970929206519</v>
      </c>
    </row>
    <row r="399" spans="12:26" x14ac:dyDescent="0.25">
      <c r="L399" s="4">
        <f>_xll.ICETimeline(_xll.ICEJoinRange(M4:W4),"DF[dow:12345][tl:Calendar]","2020-07-26;2024-07-26",652,-1)</f>
        <v>44951.5</v>
      </c>
      <c r="M399">
        <f>_xll.ICEHistory(M$4,M$5,"DF[dow:12345][tl:Calendar]",$L399)</f>
        <v>81.760000000000005</v>
      </c>
      <c r="N399">
        <f>_xll.ICEHistory(M$4,N$5,"DF[dow:12345][tl:Calendar]",$L399)</f>
        <v>85</v>
      </c>
      <c r="O399">
        <f>_xll.ICEHistory(M$4,O$5,"DF[dow:12345][tl:Calendar]",$L399)</f>
        <v>81</v>
      </c>
      <c r="P399">
        <f>_xll.ICEHistory(M$4,P$5,"DF[dow:12345][tl:Calendar]",$L399)</f>
        <v>84.7</v>
      </c>
      <c r="Q399">
        <f>_xll.ICEHistory(M$4,Q$5,"DF[dow:12345][tl:Calendar]",$L399)</f>
        <v>19056</v>
      </c>
      <c r="R399">
        <f>_xll.ICEHistory(M$4,R$5,"DF[dow:12345][tl:Calendar]",$L399)</f>
        <v>268049</v>
      </c>
      <c r="S399">
        <f>_xll.ICEHistory(S$4,S$5,"DF[dow:12345][tl:Calendar]",$L399)</f>
        <v>57.25</v>
      </c>
      <c r="T399">
        <f>_xll.ICEHistory(S$4,T$5,"DF[dow:12345][tl:Calendar]",$L399)</f>
        <v>57.25</v>
      </c>
      <c r="U399">
        <f>_xll.ICEHistory(S$4,U$5,"DF[dow:12345][tl:Calendar]",$L399)</f>
        <v>56.6</v>
      </c>
      <c r="V399">
        <f>_xll.ICEHistory(S$4,V$5,"DF[dow:12345][tl:Calendar]",$L399)</f>
        <v>56.66</v>
      </c>
      <c r="W399">
        <f>_xll.ICEHistory(S$4,W$5,"DF[dow:12345][tl:Calendar]",$L399)</f>
        <v>4</v>
      </c>
      <c r="X399">
        <f t="shared" si="18"/>
        <v>4.716981132075472E-2</v>
      </c>
      <c r="Y399">
        <f t="shared" si="19"/>
        <v>0.50201598265528513</v>
      </c>
      <c r="Z399">
        <f t="shared" si="20"/>
        <v>-8.2153736681317424E-2</v>
      </c>
    </row>
    <row r="400" spans="12:26" x14ac:dyDescent="0.25">
      <c r="L400" s="4">
        <f>_xll.ICETimeline(_xll.ICEJoinRange(M4:W4),"DF[dow:12345][tl:Calendar]","2020-07-26;2024-07-26",651,-1)</f>
        <v>44950.5</v>
      </c>
      <c r="M400">
        <f>_xll.ICEHistory(M$4,M$5,"DF[dow:12345][tl:Calendar]",$L400)</f>
        <v>84.8</v>
      </c>
      <c r="N400">
        <f>_xll.ICEHistory(M$4,N$5,"DF[dow:12345][tl:Calendar]",$L400)</f>
        <v>84.86</v>
      </c>
      <c r="O400">
        <f>_xll.ICEHistory(M$4,O$5,"DF[dow:12345][tl:Calendar]",$L400)</f>
        <v>81.510000000000005</v>
      </c>
      <c r="P400">
        <f>_xll.ICEHistory(M$4,P$5,"DF[dow:12345][tl:Calendar]",$L400)</f>
        <v>81.97</v>
      </c>
      <c r="Q400">
        <f>_xll.ICEHistory(M$4,Q$5,"DF[dow:12345][tl:Calendar]",$L400)</f>
        <v>23219</v>
      </c>
      <c r="R400">
        <f>_xll.ICEHistory(M$4,R$5,"DF[dow:12345][tl:Calendar]",$L400)</f>
        <v>268081</v>
      </c>
      <c r="S400">
        <f>_xll.ICEHistory(S$4,S$5,"DF[dow:12345][tl:Calendar]",$L400)</f>
        <v>66</v>
      </c>
      <c r="T400">
        <f>_xll.ICEHistory(S$4,T$5,"DF[dow:12345][tl:Calendar]",$L400)</f>
        <v>66</v>
      </c>
      <c r="U400">
        <f>_xll.ICEHistory(S$4,U$5,"DF[dow:12345][tl:Calendar]",$L400)</f>
        <v>58.268999999999998</v>
      </c>
      <c r="V400">
        <f>_xll.ICEHistory(S$4,V$5,"DF[dow:12345][tl:Calendar]",$L400)</f>
        <v>58.268999999999998</v>
      </c>
      <c r="W400">
        <f>_xll.ICEHistory(S$4,W$5,"DF[dow:12345][tl:Calendar]",$L400)</f>
        <v>0</v>
      </c>
      <c r="X400">
        <f t="shared" si="18"/>
        <v>3.9434961742201229E-2</v>
      </c>
      <c r="Y400">
        <f t="shared" si="19"/>
        <v>-5.8437603233954596E-2</v>
      </c>
      <c r="Z400">
        <f t="shared" si="20"/>
        <v>0.36175025963563801</v>
      </c>
    </row>
    <row r="401" spans="12:26" x14ac:dyDescent="0.25">
      <c r="L401" s="4">
        <f>_xll.ICETimeline(_xll.ICEJoinRange(M4:W4),"DF[dow:12345][tl:Calendar]","2020-07-26;2024-07-26",650,-1)</f>
        <v>44949.5</v>
      </c>
      <c r="M401">
        <f>_xll.ICEHistory(M$4,M$5,"DF[dow:12345][tl:Calendar]",$L401)</f>
        <v>84.95</v>
      </c>
      <c r="N401">
        <f>_xll.ICEHistory(M$4,N$5,"DF[dow:12345][tl:Calendar]",$L401)</f>
        <v>85.92</v>
      </c>
      <c r="O401">
        <f>_xll.ICEHistory(M$4,O$5,"DF[dow:12345][tl:Calendar]",$L401)</f>
        <v>83.75</v>
      </c>
      <c r="P401">
        <f>_xll.ICEHistory(M$4,P$5,"DF[dow:12345][tl:Calendar]",$L401)</f>
        <v>84.46</v>
      </c>
      <c r="Q401">
        <f>_xll.ICEHistory(M$4,Q$5,"DF[dow:12345][tl:Calendar]",$L401)</f>
        <v>21146</v>
      </c>
      <c r="R401">
        <f>_xll.ICEHistory(M$4,R$5,"DF[dow:12345][tl:Calendar]",$L401)</f>
        <v>265681</v>
      </c>
      <c r="S401">
        <f>_xll.ICEHistory(S$4,S$5,"DF[dow:12345][tl:Calendar]",$L401)</f>
        <v>65.2</v>
      </c>
      <c r="T401">
        <f>_xll.ICEHistory(S$4,T$5,"DF[dow:12345][tl:Calendar]",$L401)</f>
        <v>65.998999999999995</v>
      </c>
      <c r="U401">
        <f>_xll.ICEHistory(S$4,U$5,"DF[dow:12345][tl:Calendar]",$L401)</f>
        <v>64.599999999999994</v>
      </c>
      <c r="V401">
        <f>_xll.ICEHistory(S$4,V$5,"DF[dow:12345][tl:Calendar]",$L401)</f>
        <v>65.998999999999995</v>
      </c>
      <c r="W401">
        <f>_xll.ICEHistory(S$4,W$5,"DF[dow:12345][tl:Calendar]",$L401)</f>
        <v>2</v>
      </c>
      <c r="X401">
        <f t="shared" si="18"/>
        <v>2.581796549672816E-2</v>
      </c>
      <c r="Y401">
        <f t="shared" si="19"/>
        <v>-1.0012814931896146</v>
      </c>
      <c r="Z401">
        <f t="shared" si="20"/>
        <v>0.13060147006030201</v>
      </c>
    </row>
    <row r="402" spans="12:26" x14ac:dyDescent="0.25">
      <c r="L402" s="4">
        <f>_xll.ICETimeline(_xll.ICEJoinRange(M4:W4),"DF[dow:12345][tl:Calendar]","2020-07-26;2024-07-26",649,-1)</f>
        <v>44946.5</v>
      </c>
      <c r="M402">
        <f>_xll.ICEHistory(M$4,M$5,"DF[dow:12345][tl:Calendar]",$L402)</f>
        <v>84.05</v>
      </c>
      <c r="N402">
        <f>_xll.ICEHistory(M$4,N$5,"DF[dow:12345][tl:Calendar]",$L402)</f>
        <v>85.3</v>
      </c>
      <c r="O402">
        <f>_xll.ICEHistory(M$4,O$5,"DF[dow:12345][tl:Calendar]",$L402)</f>
        <v>83.43</v>
      </c>
      <c r="P402">
        <f>_xll.ICEHistory(M$4,P$5,"DF[dow:12345][tl:Calendar]",$L402)</f>
        <v>85.09</v>
      </c>
      <c r="Q402">
        <f>_xll.ICEHistory(M$4,Q$5,"DF[dow:12345][tl:Calendar]",$L402)</f>
        <v>15652</v>
      </c>
      <c r="R402">
        <f>_xll.ICEHistory(M$4,R$5,"DF[dow:12345][tl:Calendar]",$L402)</f>
        <v>260620</v>
      </c>
      <c r="S402">
        <f>_xll.ICEHistory(S$4,S$5,"DF[dow:12345][tl:Calendar]",$L402)</f>
        <v>66.5</v>
      </c>
      <c r="T402">
        <f>_xll.ICEHistory(S$4,T$5,"DF[dow:12345][tl:Calendar]",$L402)</f>
        <v>66.897999999999996</v>
      </c>
      <c r="U402">
        <f>_xll.ICEHistory(S$4,U$5,"DF[dow:12345][tl:Calendar]",$L402)</f>
        <v>66.5</v>
      </c>
      <c r="V402">
        <f>_xll.ICEHistory(S$4,V$5,"DF[dow:12345][tl:Calendar]",$L402)</f>
        <v>66.897999999999996</v>
      </c>
      <c r="W402">
        <f>_xll.ICEHistory(S$4,W$5,"DF[dow:12345][tl:Calendar]",$L402)</f>
        <v>1</v>
      </c>
      <c r="X402">
        <f t="shared" si="18"/>
        <v>2.2443590974555814E-2</v>
      </c>
      <c r="Y402">
        <f t="shared" si="19"/>
        <v>-1.2369868296702353</v>
      </c>
      <c r="Z402">
        <f t="shared" si="20"/>
        <v>-0.46530546957036961</v>
      </c>
    </row>
    <row r="403" spans="12:26" x14ac:dyDescent="0.25">
      <c r="L403" s="4">
        <f>_xll.ICETimeline(_xll.ICEJoinRange(M4:W4),"DF[dow:12345][tl:Calendar]","2020-07-26;2024-07-26",648,-1)</f>
        <v>44945.5</v>
      </c>
      <c r="M403">
        <f>_xll.ICEHistory(M$4,M$5,"DF[dow:12345][tl:Calendar]",$L403)</f>
        <v>83.32</v>
      </c>
      <c r="N403">
        <f>_xll.ICEHistory(M$4,N$5,"DF[dow:12345][tl:Calendar]",$L403)</f>
        <v>85.41</v>
      </c>
      <c r="O403">
        <f>_xll.ICEHistory(M$4,O$5,"DF[dow:12345][tl:Calendar]",$L403)</f>
        <v>83.13</v>
      </c>
      <c r="P403">
        <f>_xll.ICEHistory(M$4,P$5,"DF[dow:12345][tl:Calendar]",$L403)</f>
        <v>84.26</v>
      </c>
      <c r="Q403">
        <f>_xll.ICEHistory(M$4,Q$5,"DF[dow:12345][tl:Calendar]",$L403)</f>
        <v>20449</v>
      </c>
      <c r="R403">
        <f>_xll.ICEHistory(M$4,R$5,"DF[dow:12345][tl:Calendar]",$L403)</f>
        <v>260183</v>
      </c>
      <c r="S403">
        <f>_xll.ICEHistory(S$4,S$5,"DF[dow:12345][tl:Calendar]",$L403)</f>
        <v>60.3</v>
      </c>
      <c r="T403">
        <f>_xll.ICEHistory(S$4,T$5,"DF[dow:12345][tl:Calendar]",$L403)</f>
        <v>61.1</v>
      </c>
      <c r="U403">
        <f>_xll.ICEHistory(S$4,U$5,"DF[dow:12345][tl:Calendar]",$L403)</f>
        <v>60.3</v>
      </c>
      <c r="V403">
        <f>_xll.ICEHistory(S$4,V$5,"DF[dow:12345][tl:Calendar]",$L403)</f>
        <v>60.716999999999999</v>
      </c>
      <c r="W403">
        <f>_xll.ICEHistory(S$4,W$5,"DF[dow:12345][tl:Calendar]",$L403)</f>
        <v>17</v>
      </c>
      <c r="X403">
        <f t="shared" si="18"/>
        <v>2.8755202421490742E-2</v>
      </c>
      <c r="Y403">
        <f t="shared" si="19"/>
        <v>-0.8605789479046142</v>
      </c>
      <c r="Z403">
        <f t="shared" si="20"/>
        <v>6.2787549797877429E-2</v>
      </c>
    </row>
    <row r="404" spans="12:26" x14ac:dyDescent="0.25">
      <c r="L404" s="4">
        <f>_xll.ICETimeline(_xll.ICEJoinRange(M4:W4),"DF[dow:12345][tl:Calendar]","2020-07-26;2024-07-26",647,-1)</f>
        <v>44944.5</v>
      </c>
      <c r="M404">
        <f>_xll.ICEHistory(M$4,M$5,"DF[dow:12345][tl:Calendar]",$L404)</f>
        <v>79.290000000000006</v>
      </c>
      <c r="N404">
        <f>_xll.ICEHistory(M$4,N$5,"DF[dow:12345][tl:Calendar]",$L404)</f>
        <v>83.86</v>
      </c>
      <c r="O404">
        <f>_xll.ICEHistory(M$4,O$5,"DF[dow:12345][tl:Calendar]",$L404)</f>
        <v>78.31</v>
      </c>
      <c r="P404">
        <f>_xll.ICEHistory(M$4,P$5,"DF[dow:12345][tl:Calendar]",$L404)</f>
        <v>83.82</v>
      </c>
      <c r="Q404">
        <f>_xll.ICEHistory(M$4,Q$5,"DF[dow:12345][tl:Calendar]",$L404)</f>
        <v>25082</v>
      </c>
      <c r="R404">
        <f>_xll.ICEHistory(M$4,R$5,"DF[dow:12345][tl:Calendar]",$L404)</f>
        <v>259969</v>
      </c>
      <c r="S404">
        <f>_xll.ICEHistory(S$4,S$5,"DF[dow:12345][tl:Calendar]",$L404)</f>
        <v>60</v>
      </c>
      <c r="T404">
        <f>_xll.ICEHistory(S$4,T$5,"DF[dow:12345][tl:Calendar]",$L404)</f>
        <v>62.2</v>
      </c>
      <c r="U404">
        <f>_xll.ICEHistory(S$4,U$5,"DF[dow:12345][tl:Calendar]",$L404)</f>
        <v>60</v>
      </c>
      <c r="V404">
        <f>_xll.ICEHistory(S$4,V$5,"DF[dow:12345][tl:Calendar]",$L404)</f>
        <v>61.709000000000003</v>
      </c>
      <c r="W404">
        <f>_xll.ICEHistory(S$4,W$5,"DF[dow:12345][tl:Calendar]",$L404)</f>
        <v>11</v>
      </c>
      <c r="X404">
        <f t="shared" si="18"/>
        <v>7.1566731141199186E-2</v>
      </c>
      <c r="Y404">
        <f t="shared" si="19"/>
        <v>1.9116644383165595</v>
      </c>
      <c r="Z404">
        <f t="shared" si="20"/>
        <v>0.57947361693404786</v>
      </c>
    </row>
    <row r="405" spans="12:26" x14ac:dyDescent="0.25">
      <c r="L405" s="4">
        <f>_xll.ICETimeline(_xll.ICEJoinRange(M4:W4),"DF[dow:12345][tl:Calendar]","2020-07-26;2024-07-26",646,-1)</f>
        <v>44943.5</v>
      </c>
      <c r="M405">
        <f>_xll.ICEHistory(M$4,M$5,"DF[dow:12345][tl:Calendar]",$L405)</f>
        <v>77.55</v>
      </c>
      <c r="N405">
        <f>_xll.ICEHistory(M$4,N$5,"DF[dow:12345][tl:Calendar]",$L405)</f>
        <v>80.2</v>
      </c>
      <c r="O405">
        <f>_xll.ICEHistory(M$4,O$5,"DF[dow:12345][tl:Calendar]",$L405)</f>
        <v>77.069999999999993</v>
      </c>
      <c r="P405">
        <f>_xll.ICEHistory(M$4,P$5,"DF[dow:12345][tl:Calendar]",$L405)</f>
        <v>79.42</v>
      </c>
      <c r="Q405">
        <f>_xll.ICEHistory(M$4,Q$5,"DF[dow:12345][tl:Calendar]",$L405)</f>
        <v>19706</v>
      </c>
      <c r="R405">
        <f>_xll.ICEHistory(M$4,R$5,"DF[dow:12345][tl:Calendar]",$L405)</f>
        <v>260657</v>
      </c>
      <c r="S405">
        <f>_xll.ICEHistory(S$4,S$5,"DF[dow:12345][tl:Calendar]",$L405)</f>
        <v>65</v>
      </c>
      <c r="T405">
        <f>_xll.ICEHistory(S$4,T$5,"DF[dow:12345][tl:Calendar]",$L405)</f>
        <v>65</v>
      </c>
      <c r="U405">
        <f>_xll.ICEHistory(S$4,U$5,"DF[dow:12345][tl:Calendar]",$L405)</f>
        <v>54.5</v>
      </c>
      <c r="V405">
        <f>_xll.ICEHistory(S$4,V$5,"DF[dow:12345][tl:Calendar]",$L405)</f>
        <v>60.061</v>
      </c>
      <c r="W405">
        <f>_xll.ICEHistory(S$4,W$5,"DF[dow:12345][tl:Calendar]",$L405)</f>
        <v>7</v>
      </c>
      <c r="X405">
        <f t="shared" si="18"/>
        <v>3.9262418464626317E-2</v>
      </c>
      <c r="Y405">
        <f t="shared" si="19"/>
        <v>-0.14002344350526702</v>
      </c>
      <c r="Z405">
        <f t="shared" si="20"/>
        <v>-5.6090952148637298E-3</v>
      </c>
    </row>
    <row r="406" spans="12:26" x14ac:dyDescent="0.25">
      <c r="L406" s="4">
        <f>_xll.ICETimeline(_xll.ICEJoinRange(M4:W4),"DF[dow:12345][tl:Calendar]","2020-07-26;2024-07-26",645,-1)</f>
        <v>44942.5</v>
      </c>
      <c r="M406">
        <f>_xll.ICEHistory(M$4,M$5,"DF[dow:12345][tl:Calendar]",$L406)</f>
        <v>79.72</v>
      </c>
      <c r="N406">
        <f>_xll.ICEHistory(M$4,N$5,"DF[dow:12345][tl:Calendar]",$L406)</f>
        <v>79.75</v>
      </c>
      <c r="O406">
        <f>_xll.ICEHistory(M$4,O$5,"DF[dow:12345][tl:Calendar]",$L406)</f>
        <v>77.37</v>
      </c>
      <c r="P406">
        <f>_xll.ICEHistory(M$4,P$5,"DF[dow:12345][tl:Calendar]",$L406)</f>
        <v>77.52</v>
      </c>
      <c r="Q406">
        <f>_xll.ICEHistory(M$4,Q$5,"DF[dow:12345][tl:Calendar]",$L406)</f>
        <v>21447</v>
      </c>
      <c r="R406">
        <f>_xll.ICEHistory(M$4,R$5,"DF[dow:12345][tl:Calendar]",$L406)</f>
        <v>259966</v>
      </c>
      <c r="S406">
        <f>_xll.ICEHistory(S$4,S$5,"DF[dow:12345][tl:Calendar]",$L406)</f>
        <v>66.3</v>
      </c>
      <c r="T406">
        <f>_xll.ICEHistory(S$4,T$5,"DF[dow:12345][tl:Calendar]",$L406)</f>
        <v>66.3</v>
      </c>
      <c r="U406">
        <f>_xll.ICEHistory(S$4,U$5,"DF[dow:12345][tl:Calendar]",$L406)</f>
        <v>62.8</v>
      </c>
      <c r="V406">
        <f>_xll.ICEHistory(S$4,V$5,"DF[dow:12345][tl:Calendar]",$L406)</f>
        <v>64.811999999999998</v>
      </c>
      <c r="W406">
        <f>_xll.ICEHistory(S$4,W$5,"DF[dow:12345][tl:Calendar]",$L406)</f>
        <v>0</v>
      </c>
      <c r="X406">
        <f t="shared" si="18"/>
        <v>2.9565217391304292E-2</v>
      </c>
      <c r="Y406">
        <f t="shared" si="19"/>
        <v>-0.76627429779611589</v>
      </c>
      <c r="Z406">
        <f t="shared" si="20"/>
        <v>0.19328208213630663</v>
      </c>
    </row>
    <row r="407" spans="12:26" x14ac:dyDescent="0.25">
      <c r="L407" s="4">
        <f>_xll.ICETimeline(_xll.ICEJoinRange(M4:W4),"DF[dow:12345][tl:Calendar]","2020-07-26;2024-07-26",644,-1)</f>
        <v>44939.5</v>
      </c>
      <c r="M407">
        <f>_xll.ICEHistory(M$4,M$5,"DF[dow:12345][tl:Calendar]",$L407)</f>
        <v>80.5</v>
      </c>
      <c r="N407">
        <f>_xll.ICEHistory(M$4,N$5,"DF[dow:12345][tl:Calendar]",$L407)</f>
        <v>80.56</v>
      </c>
      <c r="O407">
        <f>_xll.ICEHistory(M$4,O$5,"DF[dow:12345][tl:Calendar]",$L407)</f>
        <v>78.2</v>
      </c>
      <c r="P407">
        <f>_xll.ICEHistory(M$4,P$5,"DF[dow:12345][tl:Calendar]",$L407)</f>
        <v>79.63</v>
      </c>
      <c r="Q407">
        <f>_xll.ICEHistory(M$4,Q$5,"DF[dow:12345][tl:Calendar]",$L407)</f>
        <v>17383</v>
      </c>
      <c r="R407">
        <f>_xll.ICEHistory(M$4,R$5,"DF[dow:12345][tl:Calendar]",$L407)</f>
        <v>258593</v>
      </c>
      <c r="S407">
        <f>_xll.ICEHistory(S$4,S$5,"DF[dow:12345][tl:Calendar]",$L407)</f>
        <v>66.3</v>
      </c>
      <c r="T407">
        <f>_xll.ICEHistory(S$4,T$5,"DF[dow:12345][tl:Calendar]",$L407)</f>
        <v>66.3</v>
      </c>
      <c r="U407">
        <f>_xll.ICEHistory(S$4,U$5,"DF[dow:12345][tl:Calendar]",$L407)</f>
        <v>62.8</v>
      </c>
      <c r="V407">
        <f>_xll.ICEHistory(S$4,V$5,"DF[dow:12345][tl:Calendar]",$L407)</f>
        <v>64.811999999999998</v>
      </c>
      <c r="W407">
        <f>_xll.ICEHistory(S$4,W$5,"DF[dow:12345][tl:Calendar]",$L407)</f>
        <v>7</v>
      </c>
      <c r="X407">
        <f t="shared" si="18"/>
        <v>2.9960644915576991E-2</v>
      </c>
      <c r="Y407">
        <f t="shared" si="19"/>
        <v>-0.74751268447082531</v>
      </c>
      <c r="Z407">
        <f t="shared" si="20"/>
        <v>-0.2441140492554674</v>
      </c>
    </row>
    <row r="408" spans="12:26" x14ac:dyDescent="0.25">
      <c r="L408" s="4">
        <f>_xll.ICETimeline(_xll.ICEJoinRange(M4:W4),"DF[dow:12345][tl:Calendar]","2020-07-26;2024-07-26",643,-1)</f>
        <v>44938.5</v>
      </c>
      <c r="M408">
        <f>_xll.ICEHistory(M$4,M$5,"DF[dow:12345][tl:Calendar]",$L408)</f>
        <v>78.77</v>
      </c>
      <c r="N408">
        <f>_xll.ICEHistory(M$4,N$5,"DF[dow:12345][tl:Calendar]",$L408)</f>
        <v>80.86</v>
      </c>
      <c r="O408">
        <f>_xll.ICEHistory(M$4,O$5,"DF[dow:12345][tl:Calendar]",$L408)</f>
        <v>78.5</v>
      </c>
      <c r="P408">
        <f>_xll.ICEHistory(M$4,P$5,"DF[dow:12345][tl:Calendar]",$L408)</f>
        <v>80.17</v>
      </c>
      <c r="Q408">
        <f>_xll.ICEHistory(M$4,Q$5,"DF[dow:12345][tl:Calendar]",$L408)</f>
        <v>16621</v>
      </c>
      <c r="R408">
        <f>_xll.ICEHistory(M$4,R$5,"DF[dow:12345][tl:Calendar]",$L408)</f>
        <v>258708</v>
      </c>
      <c r="S408">
        <f>_xll.ICEHistory(S$4,S$5,"DF[dow:12345][tl:Calendar]",$L408)</f>
        <v>69.599999999999994</v>
      </c>
      <c r="T408">
        <f>_xll.ICEHistory(S$4,T$5,"DF[dow:12345][tl:Calendar]",$L408)</f>
        <v>69.599999999999994</v>
      </c>
      <c r="U408">
        <f>_xll.ICEHistory(S$4,U$5,"DF[dow:12345][tl:Calendar]",$L408)</f>
        <v>66.808999999999997</v>
      </c>
      <c r="V408">
        <f>_xll.ICEHistory(S$4,V$5,"DF[dow:12345][tl:Calendar]",$L408)</f>
        <v>66.808999999999997</v>
      </c>
      <c r="W408">
        <f>_xll.ICEHistory(S$4,W$5,"DF[dow:12345][tl:Calendar]",$L408)</f>
        <v>5</v>
      </c>
      <c r="X408">
        <f t="shared" si="18"/>
        <v>2.9229625959871185E-2</v>
      </c>
      <c r="Y408">
        <f t="shared" si="19"/>
        <v>-0.79309115000512076</v>
      </c>
      <c r="Z408">
        <f t="shared" si="20"/>
        <v>-0.3419934729834353</v>
      </c>
    </row>
    <row r="409" spans="12:26" x14ac:dyDescent="0.25">
      <c r="L409" s="4">
        <f>_xll.ICETimeline(_xll.ICEJoinRange(M4:W4),"DF[dow:12345][tl:Calendar]","2020-07-26;2024-07-26",642,-1)</f>
        <v>44937.5</v>
      </c>
      <c r="M409">
        <f>_xll.ICEHistory(M$4,M$5,"DF[dow:12345][tl:Calendar]",$L409)</f>
        <v>80.739999999999995</v>
      </c>
      <c r="N409">
        <f>_xll.ICEHistory(M$4,N$5,"DF[dow:12345][tl:Calendar]",$L409)</f>
        <v>81.64</v>
      </c>
      <c r="O409">
        <f>_xll.ICEHistory(M$4,O$5,"DF[dow:12345][tl:Calendar]",$L409)</f>
        <v>78.510000000000005</v>
      </c>
      <c r="P409">
        <f>_xll.ICEHistory(M$4,P$5,"DF[dow:12345][tl:Calendar]",$L409)</f>
        <v>79.03</v>
      </c>
      <c r="Q409">
        <f>_xll.ICEHistory(M$4,Q$5,"DF[dow:12345][tl:Calendar]",$L409)</f>
        <v>19594</v>
      </c>
      <c r="R409">
        <f>_xll.ICEHistory(M$4,R$5,"DF[dow:12345][tl:Calendar]",$L409)</f>
        <v>257253</v>
      </c>
      <c r="S409">
        <f>_xll.ICEHistory(S$4,S$5,"DF[dow:12345][tl:Calendar]",$L409)</f>
        <v>67.594999999999999</v>
      </c>
      <c r="T409">
        <f>_xll.ICEHistory(S$4,T$5,"DF[dow:12345][tl:Calendar]",$L409)</f>
        <v>67.594999999999999</v>
      </c>
      <c r="U409">
        <f>_xll.ICEHistory(S$4,U$5,"DF[dow:12345][tl:Calendar]",$L409)</f>
        <v>65.346000000000004</v>
      </c>
      <c r="V409">
        <f>_xll.ICEHistory(S$4,V$5,"DF[dow:12345][tl:Calendar]",$L409)</f>
        <v>65.346000000000004</v>
      </c>
      <c r="W409">
        <f>_xll.ICEHistory(S$4,W$5,"DF[dow:12345][tl:Calendar]",$L409)</f>
        <v>6</v>
      </c>
      <c r="X409">
        <f t="shared" si="18"/>
        <v>3.8565795958600241E-2</v>
      </c>
      <c r="Y409">
        <f t="shared" si="19"/>
        <v>-0.20405182858726459</v>
      </c>
      <c r="Z409">
        <f t="shared" si="20"/>
        <v>-2.1040944328907945E-2</v>
      </c>
    </row>
    <row r="410" spans="12:26" x14ac:dyDescent="0.25">
      <c r="L410" s="4">
        <f>_xll.ICETimeline(_xll.ICEJoinRange(M4:W4),"DF[dow:12345][tl:Calendar]","2020-07-26;2024-07-26",641,-1)</f>
        <v>44936.5</v>
      </c>
      <c r="M410">
        <f>_xll.ICEHistory(M$4,M$5,"DF[dow:12345][tl:Calendar]",$L410)</f>
        <v>81.16</v>
      </c>
      <c r="N410">
        <f>_xll.ICEHistory(M$4,N$5,"DF[dow:12345][tl:Calendar]",$L410)</f>
        <v>82.58</v>
      </c>
      <c r="O410">
        <f>_xll.ICEHistory(M$4,O$5,"DF[dow:12345][tl:Calendar]",$L410)</f>
        <v>80.05</v>
      </c>
      <c r="P410">
        <f>_xll.ICEHistory(M$4,P$5,"DF[dow:12345][tl:Calendar]",$L410)</f>
        <v>80.8</v>
      </c>
      <c r="Q410">
        <f>_xll.ICEHistory(M$4,Q$5,"DF[dow:12345][tl:Calendar]",$L410)</f>
        <v>16865</v>
      </c>
      <c r="R410">
        <f>_xll.ICEHistory(M$4,R$5,"DF[dow:12345][tl:Calendar]",$L410)</f>
        <v>259681</v>
      </c>
      <c r="S410">
        <f>_xll.ICEHistory(S$4,S$5,"DF[dow:12345][tl:Calendar]",$L410)</f>
        <v>73</v>
      </c>
      <c r="T410">
        <f>_xll.ICEHistory(S$4,T$5,"DF[dow:12345][tl:Calendar]",$L410)</f>
        <v>76</v>
      </c>
      <c r="U410">
        <f>_xll.ICEHistory(S$4,U$5,"DF[dow:12345][tl:Calendar]",$L410)</f>
        <v>70.070999999999998</v>
      </c>
      <c r="V410">
        <f>_xll.ICEHistory(S$4,V$5,"DF[dow:12345][tl:Calendar]",$L410)</f>
        <v>70.070999999999998</v>
      </c>
      <c r="W410">
        <f>_xll.ICEHistory(S$4,W$5,"DF[dow:12345][tl:Calendar]",$L410)</f>
        <v>17</v>
      </c>
      <c r="X410">
        <f t="shared" si="18"/>
        <v>3.25862957238537E-2</v>
      </c>
      <c r="Y410">
        <f t="shared" si="19"/>
        <v>-0.61057346789422773</v>
      </c>
      <c r="Z410">
        <f t="shared" si="20"/>
        <v>-0.31756607467436593</v>
      </c>
    </row>
    <row r="411" spans="12:26" x14ac:dyDescent="0.25">
      <c r="L411" s="4">
        <f>_xll.ICETimeline(_xll.ICEJoinRange(M4:W4),"DF[dow:12345][tl:Calendar]","2020-07-26;2024-07-26",640,-1)</f>
        <v>44935.5</v>
      </c>
      <c r="M411">
        <f>_xll.ICEHistory(M$4,M$5,"DF[dow:12345][tl:Calendar]",$L411)</f>
        <v>77.64</v>
      </c>
      <c r="N411">
        <f>_xll.ICEHistory(M$4,N$5,"DF[dow:12345][tl:Calendar]",$L411)</f>
        <v>81.88</v>
      </c>
      <c r="O411">
        <f>_xll.ICEHistory(M$4,O$5,"DF[dow:12345][tl:Calendar]",$L411)</f>
        <v>77.010000000000005</v>
      </c>
      <c r="P411">
        <f>_xll.ICEHistory(M$4,P$5,"DF[dow:12345][tl:Calendar]",$L411)</f>
        <v>81</v>
      </c>
      <c r="Q411">
        <f>_xll.ICEHistory(M$4,Q$5,"DF[dow:12345][tl:Calendar]",$L411)</f>
        <v>18162</v>
      </c>
      <c r="R411">
        <f>_xll.ICEHistory(M$4,R$5,"DF[dow:12345][tl:Calendar]",$L411)</f>
        <v>260189</v>
      </c>
      <c r="S411">
        <f>_xll.ICEHistory(S$4,S$5,"DF[dow:12345][tl:Calendar]",$L411)</f>
        <v>71.05</v>
      </c>
      <c r="T411">
        <f>_xll.ICEHistory(S$4,T$5,"DF[dow:12345][tl:Calendar]",$L411)</f>
        <v>75.400000000000006</v>
      </c>
      <c r="U411">
        <f>_xll.ICEHistory(S$4,U$5,"DF[dow:12345][tl:Calendar]",$L411)</f>
        <v>70.099999999999994</v>
      </c>
      <c r="V411">
        <f>_xll.ICEHistory(S$4,V$5,"DF[dow:12345][tl:Calendar]",$L411)</f>
        <v>74.302000000000007</v>
      </c>
      <c r="W411">
        <f>_xll.ICEHistory(S$4,W$5,"DF[dow:12345][tl:Calendar]",$L411)</f>
        <v>6</v>
      </c>
      <c r="X411">
        <f t="shared" si="18"/>
        <v>6.1943525820401808E-2</v>
      </c>
      <c r="Y411">
        <f t="shared" si="19"/>
        <v>1.3116662709306808</v>
      </c>
      <c r="Z411">
        <f t="shared" si="20"/>
        <v>-0.17468612854015464</v>
      </c>
    </row>
    <row r="412" spans="12:26" x14ac:dyDescent="0.25">
      <c r="L412" s="4">
        <f>_xll.ICETimeline(_xll.ICEJoinRange(M4:W4),"DF[dow:12345][tl:Calendar]","2020-07-26;2024-07-26",639,-1)</f>
        <v>44932.5</v>
      </c>
      <c r="M412">
        <f>_xll.ICEHistory(M$4,M$5,"DF[dow:12345][tl:Calendar]",$L412)</f>
        <v>78.62</v>
      </c>
      <c r="N412">
        <f>_xll.ICEHistory(M$4,N$5,"DF[dow:12345][tl:Calendar]",$L412)</f>
        <v>79.66</v>
      </c>
      <c r="O412">
        <f>_xll.ICEHistory(M$4,O$5,"DF[dow:12345][tl:Calendar]",$L412)</f>
        <v>77.069999999999993</v>
      </c>
      <c r="P412">
        <f>_xll.ICEHistory(M$4,P$5,"DF[dow:12345][tl:Calendar]",$L412)</f>
        <v>77.62</v>
      </c>
      <c r="Q412">
        <f>_xll.ICEHistory(M$4,Q$5,"DF[dow:12345][tl:Calendar]",$L412)</f>
        <v>10451</v>
      </c>
      <c r="R412">
        <f>_xll.ICEHistory(M$4,R$5,"DF[dow:12345][tl:Calendar]",$L412)</f>
        <v>261327</v>
      </c>
      <c r="S412">
        <f>_xll.ICEHistory(S$4,S$5,"DF[dow:12345][tl:Calendar]",$L412)</f>
        <v>72</v>
      </c>
      <c r="T412">
        <f>_xll.ICEHistory(S$4,T$5,"DF[dow:12345][tl:Calendar]",$L412)</f>
        <v>76</v>
      </c>
      <c r="U412">
        <f>_xll.ICEHistory(S$4,U$5,"DF[dow:12345][tl:Calendar]",$L412)</f>
        <v>68</v>
      </c>
      <c r="V412">
        <f>_xll.ICEHistory(S$4,V$5,"DF[dow:12345][tl:Calendar]",$L412)</f>
        <v>69.534000000000006</v>
      </c>
      <c r="W412">
        <f>_xll.ICEHistory(S$4,W$5,"DF[dow:12345][tl:Calendar]",$L412)</f>
        <v>7</v>
      </c>
      <c r="X412">
        <f t="shared" si="18"/>
        <v>3.3393501805054196E-2</v>
      </c>
      <c r="Y412">
        <f t="shared" si="19"/>
        <v>-0.54334771597786069</v>
      </c>
      <c r="Z412">
        <f t="shared" si="20"/>
        <v>-1.0201369510478033</v>
      </c>
    </row>
    <row r="413" spans="12:26" x14ac:dyDescent="0.25">
      <c r="L413" s="4">
        <f>_xll.ICETimeline(_xll.ICEJoinRange(M4:W4),"DF[dow:12345][tl:Calendar]","2020-07-26;2024-07-26",638,-1)</f>
        <v>44931.5</v>
      </c>
      <c r="M413">
        <f>_xll.ICEHistory(M$4,M$5,"DF[dow:12345][tl:Calendar]",$L413)</f>
        <v>77.56</v>
      </c>
      <c r="N413">
        <f>_xll.ICEHistory(M$4,N$5,"DF[dow:12345][tl:Calendar]",$L413)</f>
        <v>79.75</v>
      </c>
      <c r="O413">
        <f>_xll.ICEHistory(M$4,O$5,"DF[dow:12345][tl:Calendar]",$L413)</f>
        <v>77</v>
      </c>
      <c r="P413">
        <f>_xll.ICEHistory(M$4,P$5,"DF[dow:12345][tl:Calendar]",$L413)</f>
        <v>78.53</v>
      </c>
      <c r="Q413">
        <f>_xll.ICEHistory(M$4,Q$5,"DF[dow:12345][tl:Calendar]",$L413)</f>
        <v>33372</v>
      </c>
      <c r="R413">
        <f>_xll.ICEHistory(M$4,R$5,"DF[dow:12345][tl:Calendar]",$L413)</f>
        <v>262025</v>
      </c>
      <c r="S413">
        <f>_xll.ICEHistory(S$4,S$5,"DF[dow:12345][tl:Calendar]",$L413)</f>
        <v>72.421999999999997</v>
      </c>
      <c r="T413">
        <f>_xll.ICEHistory(S$4,T$5,"DF[dow:12345][tl:Calendar]",$L413)</f>
        <v>72.421999999999997</v>
      </c>
      <c r="U413">
        <f>_xll.ICEHistory(S$4,U$5,"DF[dow:12345][tl:Calendar]",$L413)</f>
        <v>72.421999999999997</v>
      </c>
      <c r="V413">
        <f>_xll.ICEHistory(S$4,V$5,"DF[dow:12345][tl:Calendar]",$L413)</f>
        <v>72.421999999999997</v>
      </c>
      <c r="W413">
        <f>_xll.ICEHistory(S$4,W$5,"DF[dow:12345][tl:Calendar]",$L413)</f>
        <v>0</v>
      </c>
      <c r="X413">
        <f t="shared" si="18"/>
        <v>3.3244680851063829E-2</v>
      </c>
      <c r="Y413">
        <f t="shared" si="19"/>
        <v>-0.56239253314274729</v>
      </c>
      <c r="Z413">
        <f t="shared" si="20"/>
        <v>1.508512517737338</v>
      </c>
    </row>
    <row r="414" spans="12:26" x14ac:dyDescent="0.25">
      <c r="L414" s="4">
        <f>_xll.ICETimeline(_xll.ICEJoinRange(M4:W4),"DF[dow:12345][tl:Calendar]","2020-07-26;2024-07-26",637,-1)</f>
        <v>44930.5</v>
      </c>
      <c r="M414">
        <f>_xll.ICEHistory(M$4,M$5,"DF[dow:12345][tl:Calendar]",$L414)</f>
        <v>82.72</v>
      </c>
      <c r="N414">
        <f>_xll.ICEHistory(M$4,N$5,"DF[dow:12345][tl:Calendar]",$L414)</f>
        <v>84.12</v>
      </c>
      <c r="O414">
        <f>_xll.ICEHistory(M$4,O$5,"DF[dow:12345][tl:Calendar]",$L414)</f>
        <v>77.150000000000006</v>
      </c>
      <c r="P414">
        <f>_xll.ICEHistory(M$4,P$5,"DF[dow:12345][tl:Calendar]",$L414)</f>
        <v>77.5</v>
      </c>
      <c r="Q414">
        <f>_xll.ICEHistory(M$4,Q$5,"DF[dow:12345][tl:Calendar]",$L414)</f>
        <v>20788</v>
      </c>
      <c r="R414">
        <f>_xll.ICEHistory(M$4,R$5,"DF[dow:12345][tl:Calendar]",$L414)</f>
        <v>278833</v>
      </c>
      <c r="S414">
        <f>_xll.ICEHistory(S$4,S$5,"DF[dow:12345][tl:Calendar]",$L414)</f>
        <v>65.022000000000006</v>
      </c>
      <c r="T414">
        <f>_xll.ICEHistory(S$4,T$5,"DF[dow:12345][tl:Calendar]",$L414)</f>
        <v>65.022000000000006</v>
      </c>
      <c r="U414">
        <f>_xll.ICEHistory(S$4,U$5,"DF[dow:12345][tl:Calendar]",$L414)</f>
        <v>65.022000000000006</v>
      </c>
      <c r="V414">
        <f>_xll.ICEHistory(S$4,V$5,"DF[dow:12345][tl:Calendar]",$L414)</f>
        <v>65.022000000000006</v>
      </c>
      <c r="W414">
        <f>_xll.ICEHistory(S$4,W$5,"DF[dow:12345][tl:Calendar]",$L414)</f>
        <v>0</v>
      </c>
      <c r="X414">
        <f t="shared" si="18"/>
        <v>8.1884398496240587E-2</v>
      </c>
      <c r="Y414">
        <f t="shared" si="19"/>
        <v>2.5963593862185714</v>
      </c>
      <c r="Z414">
        <f t="shared" si="20"/>
        <v>0.13698283840109321</v>
      </c>
    </row>
    <row r="415" spans="12:26" x14ac:dyDescent="0.25">
      <c r="L415" s="4">
        <f>_xll.ICETimeline(_xll.ICEJoinRange(M4:W4),"DF[dow:12345][tl:Calendar]","2020-07-26;2024-07-26",636,-1)</f>
        <v>44929.5</v>
      </c>
      <c r="M415">
        <f>_xll.ICEHistory(M$4,M$5,"DF[dow:12345][tl:Calendar]",$L415)</f>
        <v>85.12</v>
      </c>
      <c r="N415">
        <f>_xll.ICEHistory(M$4,N$5,"DF[dow:12345][tl:Calendar]",$L415)</f>
        <v>86.21</v>
      </c>
      <c r="O415">
        <f>_xll.ICEHistory(M$4,O$5,"DF[dow:12345][tl:Calendar]",$L415)</f>
        <v>81.87</v>
      </c>
      <c r="P415">
        <f>_xll.ICEHistory(M$4,P$5,"DF[dow:12345][tl:Calendar]",$L415)</f>
        <v>82.94</v>
      </c>
      <c r="Q415">
        <f>_xll.ICEHistory(M$4,Q$5,"DF[dow:12345][tl:Calendar]",$L415)</f>
        <v>13101</v>
      </c>
      <c r="R415">
        <f>_xll.ICEHistory(M$4,R$5,"DF[dow:12345][tl:Calendar]",$L415)</f>
        <v>280176</v>
      </c>
      <c r="S415">
        <f>_xll.ICEHistory(S$4,S$5,"DF[dow:12345][tl:Calendar]",$L415)</f>
        <v>72.313999999999993</v>
      </c>
      <c r="T415">
        <f>_xll.ICEHistory(S$4,T$5,"DF[dow:12345][tl:Calendar]",$L415)</f>
        <v>72.313999999999993</v>
      </c>
      <c r="U415">
        <f>_xll.ICEHistory(S$4,U$5,"DF[dow:12345][tl:Calendar]",$L415)</f>
        <v>72.313999999999993</v>
      </c>
      <c r="V415">
        <f>_xll.ICEHistory(S$4,V$5,"DF[dow:12345][tl:Calendar]",$L415)</f>
        <v>72.313999999999993</v>
      </c>
      <c r="W415">
        <f>_xll.ICEHistory(S$4,W$5,"DF[dow:12345][tl:Calendar]",$L415)</f>
        <v>0</v>
      </c>
      <c r="X415">
        <f t="shared" si="18"/>
        <v>5.2637962401455296E-2</v>
      </c>
      <c r="Y415">
        <f t="shared" si="19"/>
        <v>0.7094929641519967</v>
      </c>
      <c r="Z415">
        <f t="shared" si="20"/>
        <v>-0.73038735786299791</v>
      </c>
    </row>
    <row r="416" spans="12:26" x14ac:dyDescent="0.25">
      <c r="L416" s="4">
        <f>_xll.ICETimeline(_xll.ICEJoinRange(M4:W4),"DF[dow:12345][tl:Calendar]","2020-07-26;2024-07-26",635,-1)</f>
        <v>44928.5</v>
      </c>
      <c r="M416">
        <f>_xll.ICEHistory(M$4,M$5,"DF[dow:12345][tl:Calendar]",$L416)</f>
        <v>82.45</v>
      </c>
      <c r="N416">
        <f>_xll.ICEHistory(M$4,N$5,"DF[dow:12345][tl:Calendar]",$L416)</f>
        <v>86.87</v>
      </c>
      <c r="O416">
        <f>_xll.ICEHistory(M$4,O$5,"DF[dow:12345][tl:Calendar]",$L416)</f>
        <v>82.4</v>
      </c>
      <c r="P416">
        <f>_xll.ICEHistory(M$4,P$5,"DF[dow:12345][tl:Calendar]",$L416)</f>
        <v>85.32</v>
      </c>
      <c r="Q416">
        <f>_xll.ICEHistory(M$4,Q$5,"DF[dow:12345][tl:Calendar]",$L416)</f>
        <v>2191</v>
      </c>
      <c r="R416">
        <f>_xll.ICEHistory(M$4,R$5,"DF[dow:12345][tl:Calendar]",$L416)</f>
        <v>279550</v>
      </c>
      <c r="S416">
        <f>_xll.ICEHistory(S$4,S$5,"DF[dow:12345][tl:Calendar]",$L416)</f>
        <v>76.314999999999998</v>
      </c>
      <c r="T416">
        <f>_xll.ICEHistory(S$4,T$5,"DF[dow:12345][tl:Calendar]",$L416)</f>
        <v>76.314999999999998</v>
      </c>
      <c r="U416">
        <f>_xll.ICEHistory(S$4,U$5,"DF[dow:12345][tl:Calendar]",$L416)</f>
        <v>76.314999999999998</v>
      </c>
      <c r="V416">
        <f>_xll.ICEHistory(S$4,V$5,"DF[dow:12345][tl:Calendar]",$L416)</f>
        <v>76.314999999999998</v>
      </c>
      <c r="W416">
        <f>_xll.ICEHistory(S$4,W$5,"DF[dow:12345][tl:Calendar]",$L416)</f>
        <v>0</v>
      </c>
      <c r="X416">
        <f t="shared" si="18"/>
        <v>5.3195287397358071E-2</v>
      </c>
      <c r="Y416">
        <f t="shared" si="19"/>
        <v>0.75820724834998443</v>
      </c>
      <c r="Z416">
        <f t="shared" si="20"/>
        <v>-1.9684872578839203</v>
      </c>
    </row>
    <row r="417" spans="12:26" x14ac:dyDescent="0.25">
      <c r="L417" s="4">
        <f>_xll.ICETimeline(_xll.ICEJoinRange(M4:W4),"DF[dow:12345][tl:Calendar]","2020-07-26;2024-07-26",634,-1)</f>
        <v>44925.5</v>
      </c>
      <c r="M417">
        <f>_xll.ICEHistory(M$4,M$5,"DF[dow:12345][tl:Calendar]",$L417)</f>
        <v>84.03</v>
      </c>
      <c r="N417">
        <f>_xll.ICEHistory(M$4,N$5,"DF[dow:12345][tl:Calendar]",$L417)</f>
        <v>85.97</v>
      </c>
      <c r="O417">
        <f>_xll.ICEHistory(M$4,O$5,"DF[dow:12345][tl:Calendar]",$L417)</f>
        <v>80.58</v>
      </c>
      <c r="P417">
        <f>_xll.ICEHistory(M$4,P$5,"DF[dow:12345][tl:Calendar]",$L417)</f>
        <v>82.26</v>
      </c>
      <c r="Q417">
        <f>_xll.ICEHistory(M$4,Q$5,"DF[dow:12345][tl:Calendar]",$L417)</f>
        <v>7825</v>
      </c>
      <c r="R417">
        <f>_xll.ICEHistory(M$4,R$5,"DF[dow:12345][tl:Calendar]",$L417)</f>
        <v>279929</v>
      </c>
      <c r="S417">
        <f>_xll.ICEHistory(S$4,S$5,"DF[dow:12345][tl:Calendar]",$L417)</f>
        <v>76.314999999999998</v>
      </c>
      <c r="T417">
        <f>_xll.ICEHistory(S$4,T$5,"DF[dow:12345][tl:Calendar]",$L417)</f>
        <v>76.314999999999998</v>
      </c>
      <c r="U417">
        <f>_xll.ICEHistory(S$4,U$5,"DF[dow:12345][tl:Calendar]",$L417)</f>
        <v>76.314999999999998</v>
      </c>
      <c r="V417">
        <f>_xll.ICEHistory(S$4,V$5,"DF[dow:12345][tl:Calendar]",$L417)</f>
        <v>76.314999999999998</v>
      </c>
      <c r="W417">
        <f>_xll.ICEHistory(S$4,W$5,"DF[dow:12345][tl:Calendar]",$L417)</f>
        <v>0</v>
      </c>
      <c r="X417">
        <f t="shared" si="18"/>
        <v>6.2652563059397884E-2</v>
      </c>
      <c r="Y417">
        <f t="shared" si="19"/>
        <v>1.4146314491928311</v>
      </c>
      <c r="Z417">
        <f t="shared" si="20"/>
        <v>-1.3956318882837817</v>
      </c>
    </row>
    <row r="418" spans="12:26" x14ac:dyDescent="0.25">
      <c r="L418" s="4">
        <f>_xll.ICETimeline(_xll.ICEJoinRange(M4:W4),"DF[dow:12345][tl:Calendar]","2020-07-26;2024-07-26",633,-1)</f>
        <v>44924.5</v>
      </c>
      <c r="M418">
        <f>_xll.ICEHistory(M$4,M$5,"DF[dow:12345][tl:Calendar]",$L418)</f>
        <v>86.03</v>
      </c>
      <c r="N418">
        <f>_xll.ICEHistory(M$4,N$5,"DF[dow:12345][tl:Calendar]",$L418)</f>
        <v>86.66</v>
      </c>
      <c r="O418">
        <f>_xll.ICEHistory(M$4,O$5,"DF[dow:12345][tl:Calendar]",$L418)</f>
        <v>84.19</v>
      </c>
      <c r="P418">
        <f>_xll.ICEHistory(M$4,P$5,"DF[dow:12345][tl:Calendar]",$L418)</f>
        <v>84.21</v>
      </c>
      <c r="Q418">
        <f>_xll.ICEHistory(M$4,Q$5,"DF[dow:12345][tl:Calendar]",$L418)</f>
        <v>6544</v>
      </c>
      <c r="R418">
        <f>_xll.ICEHistory(M$4,R$5,"DF[dow:12345][tl:Calendar]",$L418)</f>
        <v>279782</v>
      </c>
      <c r="S418">
        <f>_xll.ICEHistory(S$4,S$5,"DF[dow:12345][tl:Calendar]",$L418)</f>
        <v>83.83</v>
      </c>
      <c r="T418">
        <f>_xll.ICEHistory(S$4,T$5,"DF[dow:12345][tl:Calendar]",$L418)</f>
        <v>83.83</v>
      </c>
      <c r="U418">
        <f>_xll.ICEHistory(S$4,U$5,"DF[dow:12345][tl:Calendar]",$L418)</f>
        <v>83.83</v>
      </c>
      <c r="V418">
        <f>_xll.ICEHistory(S$4,V$5,"DF[dow:12345][tl:Calendar]",$L418)</f>
        <v>83.83</v>
      </c>
      <c r="W418">
        <f>_xll.ICEHistory(S$4,W$5,"DF[dow:12345][tl:Calendar]",$L418)</f>
        <v>0</v>
      </c>
      <c r="X418">
        <f t="shared" si="18"/>
        <v>2.8004535147392276E-2</v>
      </c>
      <c r="Y418">
        <f t="shared" si="19"/>
        <v>-0.92273581486970846</v>
      </c>
      <c r="Z418">
        <f t="shared" si="20"/>
        <v>-1.5908130644556409</v>
      </c>
    </row>
    <row r="419" spans="12:26" x14ac:dyDescent="0.25">
      <c r="L419" s="4">
        <f>_xll.ICETimeline(_xll.ICEJoinRange(M4:W4),"DF[dow:12345][tl:Calendar]","2020-07-26;2024-07-26",632,-1)</f>
        <v>44923.5</v>
      </c>
      <c r="M419">
        <f>_xll.ICEHistory(M$4,M$5,"DF[dow:12345][tl:Calendar]",$L419)</f>
        <v>88.2</v>
      </c>
      <c r="N419">
        <f>_xll.ICEHistory(M$4,N$5,"DF[dow:12345][tl:Calendar]",$L419)</f>
        <v>88.84</v>
      </c>
      <c r="O419">
        <f>_xll.ICEHistory(M$4,O$5,"DF[dow:12345][tl:Calendar]",$L419)</f>
        <v>86</v>
      </c>
      <c r="P419">
        <f>_xll.ICEHistory(M$4,P$5,"DF[dow:12345][tl:Calendar]",$L419)</f>
        <v>86.19</v>
      </c>
      <c r="Q419">
        <f>_xll.ICEHistory(M$4,Q$5,"DF[dow:12345][tl:Calendar]",$L419)</f>
        <v>7704</v>
      </c>
      <c r="R419">
        <f>_xll.ICEHistory(M$4,R$5,"DF[dow:12345][tl:Calendar]",$L419)</f>
        <v>279652</v>
      </c>
      <c r="S419">
        <f>_xll.ICEHistory(S$4,S$5,"DF[dow:12345][tl:Calendar]",$L419)</f>
        <v>81.350999999999999</v>
      </c>
      <c r="T419">
        <f>_xll.ICEHistory(S$4,T$5,"DF[dow:12345][tl:Calendar]",$L419)</f>
        <v>81.350999999999999</v>
      </c>
      <c r="U419">
        <f>_xll.ICEHistory(S$4,U$5,"DF[dow:12345][tl:Calendar]",$L419)</f>
        <v>81.350999999999999</v>
      </c>
      <c r="V419">
        <f>_xll.ICEHistory(S$4,V$5,"DF[dow:12345][tl:Calendar]",$L419)</f>
        <v>81.350999999999999</v>
      </c>
      <c r="W419">
        <f>_xll.ICEHistory(S$4,W$5,"DF[dow:12345][tl:Calendar]",$L419)</f>
        <v>0</v>
      </c>
      <c r="X419">
        <f t="shared" si="18"/>
        <v>3.1583629893238471E-2</v>
      </c>
      <c r="Y419">
        <f t="shared" si="19"/>
        <v>-0.69717289098662449</v>
      </c>
      <c r="Z419">
        <f t="shared" si="20"/>
        <v>-1.5126230280927764</v>
      </c>
    </row>
    <row r="420" spans="12:26" x14ac:dyDescent="0.25">
      <c r="L420" s="4">
        <f>_xll.ICETimeline(_xll.ICEJoinRange(M4:W4),"DF[dow:12345][tl:Calendar]","2020-07-26;2024-07-26",631,-1)</f>
        <v>44922.5</v>
      </c>
      <c r="M420">
        <f>_xll.ICEHistory(M$4,M$5,"DF[dow:12345][tl:Calendar]",$L420)</f>
        <v>89.92</v>
      </c>
      <c r="N420">
        <f>_xll.ICEHistory(M$4,N$5,"DF[dow:12345][tl:Calendar]",$L420)</f>
        <v>91.18</v>
      </c>
      <c r="O420">
        <f>_xll.ICEHistory(M$4,O$5,"DF[dow:12345][tl:Calendar]",$L420)</f>
        <v>87.89</v>
      </c>
      <c r="P420">
        <f>_xll.ICEHistory(M$4,P$5,"DF[dow:12345][tl:Calendar]",$L420)</f>
        <v>88.4</v>
      </c>
      <c r="Q420">
        <f>_xll.ICEHistory(M$4,Q$5,"DF[dow:12345][tl:Calendar]",$L420)</f>
        <v>3730</v>
      </c>
      <c r="R420">
        <f>_xll.ICEHistory(M$4,R$5,"DF[dow:12345][tl:Calendar]",$L420)</f>
        <v>280140</v>
      </c>
      <c r="S420">
        <f>_xll.ICEHistory(S$4,S$5,"DF[dow:12345][tl:Calendar]",$L420)</f>
        <v>80.043000000000006</v>
      </c>
      <c r="T420">
        <f>_xll.ICEHistory(S$4,T$5,"DF[dow:12345][tl:Calendar]",$L420)</f>
        <v>80.043000000000006</v>
      </c>
      <c r="U420">
        <f>_xll.ICEHistory(S$4,U$5,"DF[dow:12345][tl:Calendar]",$L420)</f>
        <v>80.043000000000006</v>
      </c>
      <c r="V420">
        <f>_xll.ICEHistory(S$4,V$5,"DF[dow:12345][tl:Calendar]",$L420)</f>
        <v>80.043000000000006</v>
      </c>
      <c r="W420">
        <f>_xll.ICEHistory(S$4,W$5,"DF[dow:12345][tl:Calendar]",$L420)</f>
        <v>0</v>
      </c>
      <c r="X420">
        <f t="shared" si="18"/>
        <v>3.6858615281201053E-2</v>
      </c>
      <c r="Y420">
        <f t="shared" si="19"/>
        <v>-0.36094393154903232</v>
      </c>
      <c r="Z420">
        <f t="shared" si="20"/>
        <v>-2.0415279323650366</v>
      </c>
    </row>
    <row r="421" spans="12:26" x14ac:dyDescent="0.25">
      <c r="L421" s="4">
        <f>_xll.ICETimeline(_xll.ICEJoinRange(M4:W4),"DF[dow:12345][tl:Calendar]","2020-07-26;2024-07-26",630,-1)</f>
        <v>44921.5</v>
      </c>
      <c r="M421">
        <f>_xll.ICEHistory(M$4,M$5,"DF[dow:12345][tl:Calendar]",$L421)</f>
        <v>89.26</v>
      </c>
      <c r="N421">
        <f>_xll.ICEHistory(M$4,N$5,"DF[dow:12345][tl:Calendar]",$L421)</f>
        <v>90.65</v>
      </c>
      <c r="O421">
        <f>_xll.ICEHistory(M$4,O$5,"DF[dow:12345][tl:Calendar]",$L421)</f>
        <v>88.52</v>
      </c>
      <c r="P421">
        <f>_xll.ICEHistory(M$4,P$5,"DF[dow:12345][tl:Calendar]",$L421)</f>
        <v>89.37</v>
      </c>
      <c r="Q421">
        <f>_xll.ICEHistory(M$4,Q$5,"DF[dow:12345][tl:Calendar]",$L421)</f>
        <v>0</v>
      </c>
      <c r="R421">
        <f>_xll.ICEHistory(M$4,R$5,"DF[dow:12345][tl:Calendar]",$L421)</f>
        <v>0</v>
      </c>
      <c r="S421">
        <f>_xll.ICEHistory(S$4,S$5,"DF[dow:12345][tl:Calendar]",$L421)</f>
        <v>82.977000000000004</v>
      </c>
      <c r="T421">
        <f>_xll.ICEHistory(S$4,T$5,"DF[dow:12345][tl:Calendar]",$L421)</f>
        <v>82.977000000000004</v>
      </c>
      <c r="U421">
        <f>_xll.ICEHistory(S$4,U$5,"DF[dow:12345][tl:Calendar]",$L421)</f>
        <v>82.977000000000004</v>
      </c>
      <c r="V421">
        <f>_xll.ICEHistory(S$4,V$5,"DF[dow:12345][tl:Calendar]",$L421)</f>
        <v>82.977000000000004</v>
      </c>
      <c r="W421">
        <f>_xll.ICEHistory(S$4,W$5,"DF[dow:12345][tl:Calendar]",$L421)</f>
        <v>0</v>
      </c>
      <c r="X421">
        <f t="shared" si="18"/>
        <v>2.3862872507282203E-2</v>
      </c>
      <c r="Y421">
        <f t="shared" si="19"/>
        <v>-1.2589081390877026</v>
      </c>
      <c r="Z421">
        <f t="shared" si="20"/>
        <v>-2.6169232399887696</v>
      </c>
    </row>
    <row r="422" spans="12:26" x14ac:dyDescent="0.25">
      <c r="L422" s="4">
        <f>_xll.ICETimeline(_xll.ICEJoinRange(M4:W4),"DF[dow:12345][tl:Calendar]","2020-07-26;2024-07-26",629,-1)</f>
        <v>44918.5</v>
      </c>
      <c r="M422">
        <f>_xll.ICEHistory(M$4,M$5,"DF[dow:12345][tl:Calendar]",$L422)</f>
        <v>89.26</v>
      </c>
      <c r="N422">
        <f>_xll.ICEHistory(M$4,N$5,"DF[dow:12345][tl:Calendar]",$L422)</f>
        <v>90.65</v>
      </c>
      <c r="O422">
        <f>_xll.ICEHistory(M$4,O$5,"DF[dow:12345][tl:Calendar]",$L422)</f>
        <v>88.52</v>
      </c>
      <c r="P422">
        <f>_xll.ICEHistory(M$4,P$5,"DF[dow:12345][tl:Calendar]",$L422)</f>
        <v>89.37</v>
      </c>
      <c r="Q422">
        <f>_xll.ICEHistory(M$4,Q$5,"DF[dow:12345][tl:Calendar]",$L422)</f>
        <v>6618</v>
      </c>
      <c r="R422">
        <f>_xll.ICEHistory(M$4,R$5,"DF[dow:12345][tl:Calendar]",$L422)</f>
        <v>280077</v>
      </c>
      <c r="S422">
        <f>_xll.ICEHistory(S$4,S$5,"DF[dow:12345][tl:Calendar]",$L422)</f>
        <v>82.977000000000004</v>
      </c>
      <c r="T422">
        <f>_xll.ICEHistory(S$4,T$5,"DF[dow:12345][tl:Calendar]",$L422)</f>
        <v>82.977000000000004</v>
      </c>
      <c r="U422">
        <f>_xll.ICEHistory(S$4,U$5,"DF[dow:12345][tl:Calendar]",$L422)</f>
        <v>82.977000000000004</v>
      </c>
      <c r="V422">
        <f>_xll.ICEHistory(S$4,V$5,"DF[dow:12345][tl:Calendar]",$L422)</f>
        <v>82.977000000000004</v>
      </c>
      <c r="W422">
        <f>_xll.ICEHistory(S$4,W$5,"DF[dow:12345][tl:Calendar]",$L422)</f>
        <v>0</v>
      </c>
      <c r="X422">
        <f t="shared" si="18"/>
        <v>2.4317844502797233E-2</v>
      </c>
      <c r="Y422">
        <f t="shared" si="19"/>
        <v>-1.1516670718528335</v>
      </c>
      <c r="Z422">
        <f t="shared" si="20"/>
        <v>-1.9261631605361895</v>
      </c>
    </row>
    <row r="423" spans="12:26" x14ac:dyDescent="0.25">
      <c r="L423" s="4">
        <f>_xll.ICETimeline(_xll.ICEJoinRange(M4:W4),"DF[dow:12345][tl:Calendar]","2020-07-26;2024-07-26",628,-1)</f>
        <v>44917.5</v>
      </c>
      <c r="M423">
        <f>_xll.ICEHistory(M$4,M$5,"DF[dow:12345][tl:Calendar]",$L423)</f>
        <v>87.59</v>
      </c>
      <c r="N423">
        <f>_xll.ICEHistory(M$4,N$5,"DF[dow:12345][tl:Calendar]",$L423)</f>
        <v>90.55</v>
      </c>
      <c r="O423">
        <f>_xll.ICEHistory(M$4,O$5,"DF[dow:12345][tl:Calendar]",$L423)</f>
        <v>87.22</v>
      </c>
      <c r="P423">
        <f>_xll.ICEHistory(M$4,P$5,"DF[dow:12345][tl:Calendar]",$L423)</f>
        <v>89.16</v>
      </c>
      <c r="Q423">
        <f>_xll.ICEHistory(M$4,Q$5,"DF[dow:12345][tl:Calendar]",$L423)</f>
        <v>8888</v>
      </c>
      <c r="R423">
        <f>_xll.ICEHistory(M$4,R$5,"DF[dow:12345][tl:Calendar]",$L423)</f>
        <v>278168</v>
      </c>
      <c r="S423">
        <f>_xll.ICEHistory(S$4,S$5,"DF[dow:12345][tl:Calendar]",$L423)</f>
        <v>91.938000000000002</v>
      </c>
      <c r="T423">
        <f>_xll.ICEHistory(S$4,T$5,"DF[dow:12345][tl:Calendar]",$L423)</f>
        <v>91.938000000000002</v>
      </c>
      <c r="U423">
        <f>_xll.ICEHistory(S$4,U$5,"DF[dow:12345][tl:Calendar]",$L423)</f>
        <v>91.938000000000002</v>
      </c>
      <c r="V423">
        <f>_xll.ICEHistory(S$4,V$5,"DF[dow:12345][tl:Calendar]",$L423)</f>
        <v>91.938000000000002</v>
      </c>
      <c r="W423">
        <f>_xll.ICEHistory(S$4,W$5,"DF[dow:12345][tl:Calendar]",$L423)</f>
        <v>0</v>
      </c>
      <c r="X423">
        <f t="shared" si="18"/>
        <v>3.7290033594624843E-2</v>
      </c>
      <c r="Y423">
        <f t="shared" si="19"/>
        <v>-0.42454680324975147</v>
      </c>
      <c r="Z423">
        <f t="shared" si="20"/>
        <v>-1.6648198722067014</v>
      </c>
    </row>
    <row r="424" spans="12:26" x14ac:dyDescent="0.25">
      <c r="L424" s="4">
        <f>_xll.ICETimeline(_xll.ICEJoinRange(M4:W4),"DF[dow:12345][tl:Calendar]","2020-07-26;2024-07-26",627,-1)</f>
        <v>44916.5</v>
      </c>
      <c r="M424">
        <f>_xll.ICEHistory(M$4,M$5,"DF[dow:12345][tl:Calendar]",$L424)</f>
        <v>89.3</v>
      </c>
      <c r="N424">
        <f>_xll.ICEHistory(M$4,N$5,"DF[dow:12345][tl:Calendar]",$L424)</f>
        <v>90.02</v>
      </c>
      <c r="O424">
        <f>_xll.ICEHistory(M$4,O$5,"DF[dow:12345][tl:Calendar]",$L424)</f>
        <v>86.63</v>
      </c>
      <c r="P424">
        <f>_xll.ICEHistory(M$4,P$5,"DF[dow:12345][tl:Calendar]",$L424)</f>
        <v>87.7</v>
      </c>
      <c r="Q424">
        <f>_xll.ICEHistory(M$4,Q$5,"DF[dow:12345][tl:Calendar]",$L424)</f>
        <v>8937</v>
      </c>
      <c r="R424">
        <f>_xll.ICEHistory(M$4,R$5,"DF[dow:12345][tl:Calendar]",$L424)</f>
        <v>278647</v>
      </c>
      <c r="S424">
        <f>_xll.ICEHistory(S$4,S$5,"DF[dow:12345][tl:Calendar]",$L424)</f>
        <v>97.751999999999995</v>
      </c>
      <c r="T424">
        <f>_xll.ICEHistory(S$4,T$5,"DF[dow:12345][tl:Calendar]",$L424)</f>
        <v>97.751999999999995</v>
      </c>
      <c r="U424">
        <f>_xll.ICEHistory(S$4,U$5,"DF[dow:12345][tl:Calendar]",$L424)</f>
        <v>97.751999999999995</v>
      </c>
      <c r="V424">
        <f>_xll.ICEHistory(S$4,V$5,"DF[dow:12345][tl:Calendar]",$L424)</f>
        <v>97.751999999999995</v>
      </c>
      <c r="W424">
        <f>_xll.ICEHistory(S$4,W$5,"DF[dow:12345][tl:Calendar]",$L424)</f>
        <v>0</v>
      </c>
      <c r="X424">
        <f t="shared" si="18"/>
        <v>3.8747285404046185E-2</v>
      </c>
      <c r="Y424">
        <f t="shared" si="19"/>
        <v>-0.33058817117545919</v>
      </c>
      <c r="Z424">
        <f t="shared" si="20"/>
        <v>-1.7066596825685632</v>
      </c>
    </row>
    <row r="425" spans="12:26" x14ac:dyDescent="0.25">
      <c r="L425" s="4">
        <f>_xll.ICETimeline(_xll.ICEJoinRange(M4:W4),"DF[dow:12345][tl:Calendar]","2020-07-26;2024-07-26",626,-1)</f>
        <v>44915.5</v>
      </c>
      <c r="M425">
        <f>_xll.ICEHistory(M$4,M$5,"DF[dow:12345][tl:Calendar]",$L425)</f>
        <v>87.49</v>
      </c>
      <c r="N425">
        <f>_xll.ICEHistory(M$4,N$5,"DF[dow:12345][tl:Calendar]",$L425)</f>
        <v>90.68</v>
      </c>
      <c r="O425">
        <f>_xll.ICEHistory(M$4,O$5,"DF[dow:12345][tl:Calendar]",$L425)</f>
        <v>85.86</v>
      </c>
      <c r="P425">
        <f>_xll.ICEHistory(M$4,P$5,"DF[dow:12345][tl:Calendar]",$L425)</f>
        <v>89.3</v>
      </c>
      <c r="Q425">
        <f>_xll.ICEHistory(M$4,Q$5,"DF[dow:12345][tl:Calendar]",$L425)</f>
        <v>10914</v>
      </c>
      <c r="R425">
        <f>_xll.ICEHistory(M$4,R$5,"DF[dow:12345][tl:Calendar]",$L425)</f>
        <v>278398</v>
      </c>
      <c r="S425">
        <f>_xll.ICEHistory(S$4,S$5,"DF[dow:12345][tl:Calendar]",$L425)</f>
        <v>105.688</v>
      </c>
      <c r="T425">
        <f>_xll.ICEHistory(S$4,T$5,"DF[dow:12345][tl:Calendar]",$L425)</f>
        <v>105.688</v>
      </c>
      <c r="U425">
        <f>_xll.ICEHistory(S$4,U$5,"DF[dow:12345][tl:Calendar]",$L425)</f>
        <v>105.688</v>
      </c>
      <c r="V425">
        <f>_xll.ICEHistory(S$4,V$5,"DF[dow:12345][tl:Calendar]",$L425)</f>
        <v>105.688</v>
      </c>
      <c r="W425">
        <f>_xll.ICEHistory(S$4,W$5,"DF[dow:12345][tl:Calendar]",$L425)</f>
        <v>0</v>
      </c>
      <c r="X425">
        <f t="shared" si="18"/>
        <v>5.6960529425667775E-2</v>
      </c>
      <c r="Y425">
        <f t="shared" si="19"/>
        <v>0.73085101401714991</v>
      </c>
      <c r="Z425">
        <f t="shared" si="20"/>
        <v>-1.4667383720828691</v>
      </c>
    </row>
    <row r="426" spans="12:26" x14ac:dyDescent="0.25">
      <c r="L426" s="4">
        <f>_xll.ICETimeline(_xll.ICEJoinRange(M4:W4),"DF[dow:12345][tl:Calendar]","2020-07-26;2024-07-26",625,-1)</f>
        <v>44914.5</v>
      </c>
      <c r="M426">
        <f>_xll.ICEHistory(M$4,M$5,"DF[dow:12345][tl:Calendar]",$L426)</f>
        <v>84.62</v>
      </c>
      <c r="N426">
        <f>_xll.ICEHistory(M$4,N$5,"DF[dow:12345][tl:Calendar]",$L426)</f>
        <v>85.83</v>
      </c>
      <c r="O426">
        <f>_xll.ICEHistory(M$4,O$5,"DF[dow:12345][tl:Calendar]",$L426)</f>
        <v>83.04</v>
      </c>
      <c r="P426">
        <f>_xll.ICEHistory(M$4,P$5,"DF[dow:12345][tl:Calendar]",$L426)</f>
        <v>83.98</v>
      </c>
      <c r="Q426">
        <f>_xll.ICEHistory(M$4,Q$5,"DF[dow:12345][tl:Calendar]",$L426)</f>
        <v>5208</v>
      </c>
      <c r="R426">
        <f>_xll.ICEHistory(M$4,R$5,"DF[dow:12345][tl:Calendar]",$L426)</f>
        <v>234836</v>
      </c>
      <c r="S426">
        <f>_xll.ICEHistory(S$4,S$5,"DF[dow:12345][tl:Calendar]",$L426)</f>
        <v>108.54300000000001</v>
      </c>
      <c r="T426">
        <f>_xll.ICEHistory(S$4,T$5,"DF[dow:12345][tl:Calendar]",$L426)</f>
        <v>108.54300000000001</v>
      </c>
      <c r="U426">
        <f>_xll.ICEHistory(S$4,U$5,"DF[dow:12345][tl:Calendar]",$L426)</f>
        <v>108.54300000000001</v>
      </c>
      <c r="V426">
        <f>_xll.ICEHistory(S$4,V$5,"DF[dow:12345][tl:Calendar]",$L426)</f>
        <v>108.54300000000001</v>
      </c>
      <c r="W426">
        <f>_xll.ICEHistory(S$4,W$5,"DF[dow:12345][tl:Calendar]",$L426)</f>
        <v>0</v>
      </c>
      <c r="X426">
        <f t="shared" si="18"/>
        <v>3.273111215391826E-2</v>
      </c>
      <c r="Y426">
        <f t="shared" si="19"/>
        <v>-0.66483156527278675</v>
      </c>
      <c r="Z426">
        <f t="shared" si="20"/>
        <v>-2.3283981384737773</v>
      </c>
    </row>
    <row r="427" spans="12:26" x14ac:dyDescent="0.25">
      <c r="L427" s="4">
        <f>_xll.ICETimeline(_xll.ICEJoinRange(M4:W4),"DF[dow:12345][tl:Calendar]","2020-07-26;2024-07-26",624,-1)</f>
        <v>44911.5</v>
      </c>
      <c r="M427">
        <f>_xll.ICEHistory(M$4,M$5,"DF[dow:12345][tl:Calendar]",$L427)</f>
        <v>85.24</v>
      </c>
      <c r="N427">
        <f>_xll.ICEHistory(M$4,N$5,"DF[dow:12345][tl:Calendar]",$L427)</f>
        <v>86.33</v>
      </c>
      <c r="O427">
        <f>_xll.ICEHistory(M$4,O$5,"DF[dow:12345][tl:Calendar]",$L427)</f>
        <v>83.07</v>
      </c>
      <c r="P427">
        <f>_xll.ICEHistory(M$4,P$5,"DF[dow:12345][tl:Calendar]",$L427)</f>
        <v>83.68</v>
      </c>
      <c r="Q427">
        <f>_xll.ICEHistory(M$4,Q$5,"DF[dow:12345][tl:Calendar]",$L427)</f>
        <v>17925</v>
      </c>
      <c r="R427">
        <f>_xll.ICEHistory(M$4,R$5,"DF[dow:12345][tl:Calendar]",$L427)</f>
        <v>237393</v>
      </c>
      <c r="S427">
        <f>_xll.ICEHistory(S$4,S$5,"DF[dow:12345][tl:Calendar]",$L427)</f>
        <v>115.45099999999999</v>
      </c>
      <c r="T427">
        <f>_xll.ICEHistory(S$4,T$5,"DF[dow:12345][tl:Calendar]",$L427)</f>
        <v>115.45099999999999</v>
      </c>
      <c r="U427">
        <f>_xll.ICEHistory(S$4,U$5,"DF[dow:12345][tl:Calendar]",$L427)</f>
        <v>115.45099999999999</v>
      </c>
      <c r="V427">
        <f>_xll.ICEHistory(S$4,V$5,"DF[dow:12345][tl:Calendar]",$L427)</f>
        <v>115.45099999999999</v>
      </c>
      <c r="W427">
        <f>_xll.ICEHistory(S$4,W$5,"DF[dow:12345][tl:Calendar]",$L427)</f>
        <v>0</v>
      </c>
      <c r="X427">
        <f t="shared" si="18"/>
        <v>3.7832192178252351E-2</v>
      </c>
      <c r="Y427">
        <f t="shared" si="19"/>
        <v>-0.38398267771244321</v>
      </c>
      <c r="Z427">
        <f t="shared" si="20"/>
        <v>-0.54016542822961877</v>
      </c>
    </row>
    <row r="428" spans="12:26" x14ac:dyDescent="0.25">
      <c r="L428" s="4">
        <f>_xll.ICETimeline(_xll.ICEJoinRange(M4:W4),"DF[dow:12345][tl:Calendar]","2020-07-26;2024-07-26",623,-1)</f>
        <v>44910.5</v>
      </c>
      <c r="M428">
        <f>_xll.ICEHistory(M$4,M$5,"DF[dow:12345][tl:Calendar]",$L428)</f>
        <v>86.17</v>
      </c>
      <c r="N428">
        <f>_xll.ICEHistory(M$4,N$5,"DF[dow:12345][tl:Calendar]",$L428)</f>
        <v>87.75</v>
      </c>
      <c r="O428">
        <f>_xll.ICEHistory(M$4,O$5,"DF[dow:12345][tl:Calendar]",$L428)</f>
        <v>85</v>
      </c>
      <c r="P428">
        <f>_xll.ICEHistory(M$4,P$5,"DF[dow:12345][tl:Calendar]",$L428)</f>
        <v>85.2</v>
      </c>
      <c r="Q428">
        <f>_xll.ICEHistory(M$4,Q$5,"DF[dow:12345][tl:Calendar]",$L428)</f>
        <v>31056</v>
      </c>
      <c r="R428">
        <f>_xll.ICEHistory(M$4,R$5,"DF[dow:12345][tl:Calendar]",$L428)</f>
        <v>245065</v>
      </c>
      <c r="S428">
        <f>_xll.ICEHistory(S$4,S$5,"DF[dow:12345][tl:Calendar]",$L428)</f>
        <v>134.767</v>
      </c>
      <c r="T428">
        <f>_xll.ICEHistory(S$4,T$5,"DF[dow:12345][tl:Calendar]",$L428)</f>
        <v>134.767</v>
      </c>
      <c r="U428">
        <f>_xll.ICEHistory(S$4,U$5,"DF[dow:12345][tl:Calendar]",$L428)</f>
        <v>134.767</v>
      </c>
      <c r="V428">
        <f>_xll.ICEHistory(S$4,V$5,"DF[dow:12345][tl:Calendar]",$L428)</f>
        <v>134.767</v>
      </c>
      <c r="W428">
        <f>_xll.ICEHistory(S$4,W$5,"DF[dow:12345][tl:Calendar]",$L428)</f>
        <v>0</v>
      </c>
      <c r="X428">
        <f t="shared" si="18"/>
        <v>3.109452736318408E-2</v>
      </c>
      <c r="Y428">
        <f t="shared" si="19"/>
        <v>-0.77984875772503892</v>
      </c>
      <c r="Z428">
        <f t="shared" si="20"/>
        <v>1.3977917569661888</v>
      </c>
    </row>
    <row r="429" spans="12:26" x14ac:dyDescent="0.25">
      <c r="L429" s="4">
        <f>_xll.ICETimeline(_xll.ICEJoinRange(M4:W4),"DF[dow:12345][tl:Calendar]","2020-07-26;2024-07-26",622,-1)</f>
        <v>44909.5</v>
      </c>
      <c r="M429">
        <f>_xll.ICEHistory(M$4,M$5,"DF[dow:12345][tl:Calendar]",$L429)</f>
        <v>88.44</v>
      </c>
      <c r="N429">
        <f>_xll.ICEHistory(M$4,N$5,"DF[dow:12345][tl:Calendar]",$L429)</f>
        <v>89.43</v>
      </c>
      <c r="O429">
        <f>_xll.ICEHistory(M$4,O$5,"DF[dow:12345][tl:Calendar]",$L429)</f>
        <v>84.76</v>
      </c>
      <c r="P429">
        <f>_xll.ICEHistory(M$4,P$5,"DF[dow:12345][tl:Calendar]",$L429)</f>
        <v>86.19</v>
      </c>
      <c r="Q429">
        <f>_xll.ICEHistory(M$4,Q$5,"DF[dow:12345][tl:Calendar]",$L429)</f>
        <v>36064</v>
      </c>
      <c r="R429">
        <f>_xll.ICEHistory(M$4,R$5,"DF[dow:12345][tl:Calendar]",$L429)</f>
        <v>265228</v>
      </c>
      <c r="S429">
        <f>_xll.ICEHistory(S$4,S$5,"DF[dow:12345][tl:Calendar]",$L429)</f>
        <v>131.511</v>
      </c>
      <c r="T429">
        <f>_xll.ICEHistory(S$4,T$5,"DF[dow:12345][tl:Calendar]",$L429)</f>
        <v>131.511</v>
      </c>
      <c r="U429">
        <f>_xll.ICEHistory(S$4,U$5,"DF[dow:12345][tl:Calendar]",$L429)</f>
        <v>131.511</v>
      </c>
      <c r="V429">
        <f>_xll.ICEHistory(S$4,V$5,"DF[dow:12345][tl:Calendar]",$L429)</f>
        <v>131.511</v>
      </c>
      <c r="W429">
        <f>_xll.ICEHistory(S$4,W$5,"DF[dow:12345][tl:Calendar]",$L429)</f>
        <v>0</v>
      </c>
      <c r="X429">
        <f t="shared" si="18"/>
        <v>5.1802551303383265E-2</v>
      </c>
      <c r="Y429">
        <f t="shared" si="19"/>
        <v>0.42996807534568232</v>
      </c>
      <c r="Z429">
        <f t="shared" si="20"/>
        <v>2.200133368069173</v>
      </c>
    </row>
    <row r="430" spans="12:26" x14ac:dyDescent="0.25">
      <c r="L430" s="4">
        <f>_xll.ICETimeline(_xll.ICEJoinRange(M4:W4),"DF[dow:12345][tl:Calendar]","2020-07-26;2024-07-26",621,-1)</f>
        <v>44908.5</v>
      </c>
      <c r="M430">
        <f>_xll.ICEHistory(M$4,M$5,"DF[dow:12345][tl:Calendar]",$L430)</f>
        <v>90.15</v>
      </c>
      <c r="N430">
        <f>_xll.ICEHistory(M$4,N$5,"DF[dow:12345][tl:Calendar]",$L430)</f>
        <v>90.15</v>
      </c>
      <c r="O430">
        <f>_xll.ICEHistory(M$4,O$5,"DF[dow:12345][tl:Calendar]",$L430)</f>
        <v>87.16</v>
      </c>
      <c r="P430">
        <f>_xll.ICEHistory(M$4,P$5,"DF[dow:12345][tl:Calendar]",$L430)</f>
        <v>88.99</v>
      </c>
      <c r="Q430">
        <f>_xll.ICEHistory(M$4,Q$5,"DF[dow:12345][tl:Calendar]",$L430)</f>
        <v>25913</v>
      </c>
      <c r="R430">
        <f>_xll.ICEHistory(M$4,R$5,"DF[dow:12345][tl:Calendar]",$L430)</f>
        <v>283072</v>
      </c>
      <c r="S430">
        <f>_xll.ICEHistory(S$4,S$5,"DF[dow:12345][tl:Calendar]",$L430)</f>
        <v>137.529</v>
      </c>
      <c r="T430">
        <f>_xll.ICEHistory(S$4,T$5,"DF[dow:12345][tl:Calendar]",$L430)</f>
        <v>137.529</v>
      </c>
      <c r="U430">
        <f>_xll.ICEHistory(S$4,U$5,"DF[dow:12345][tl:Calendar]",$L430)</f>
        <v>137.529</v>
      </c>
      <c r="V430">
        <f>_xll.ICEHistory(S$4,V$5,"DF[dow:12345][tl:Calendar]",$L430)</f>
        <v>137.529</v>
      </c>
      <c r="W430">
        <f>_xll.ICEHistory(S$4,W$5,"DF[dow:12345][tl:Calendar]",$L430)</f>
        <v>0</v>
      </c>
      <c r="X430">
        <f t="shared" si="18"/>
        <v>3.4171428571428672E-2</v>
      </c>
      <c r="Y430">
        <f t="shared" si="19"/>
        <v>-0.61273825893448297</v>
      </c>
      <c r="Z430">
        <f t="shared" si="20"/>
        <v>0.71731312924437651</v>
      </c>
    </row>
    <row r="431" spans="12:26" x14ac:dyDescent="0.25">
      <c r="L431" s="4">
        <f>_xll.ICETimeline(_xll.ICEJoinRange(M4:W4),"DF[dow:12345][tl:Calendar]","2020-07-26;2024-07-26",620,-1)</f>
        <v>44907.5</v>
      </c>
      <c r="M431">
        <f>_xll.ICEHistory(M$4,M$5,"DF[dow:12345][tl:Calendar]",$L431)</f>
        <v>87.5</v>
      </c>
      <c r="N431">
        <f>_xll.ICEHistory(M$4,N$5,"DF[dow:12345][tl:Calendar]",$L431)</f>
        <v>90.42</v>
      </c>
      <c r="O431">
        <f>_xll.ICEHistory(M$4,O$5,"DF[dow:12345][tl:Calendar]",$L431)</f>
        <v>87.36</v>
      </c>
      <c r="P431">
        <f>_xll.ICEHistory(M$4,P$5,"DF[dow:12345][tl:Calendar]",$L431)</f>
        <v>89.81</v>
      </c>
      <c r="Q431">
        <f>_xll.ICEHistory(M$4,Q$5,"DF[dow:12345][tl:Calendar]",$L431)</f>
        <v>20582</v>
      </c>
      <c r="R431">
        <f>_xll.ICEHistory(M$4,R$5,"DF[dow:12345][tl:Calendar]",$L431)</f>
        <v>289783</v>
      </c>
      <c r="S431">
        <f>_xll.ICEHistory(S$4,S$5,"DF[dow:12345][tl:Calendar]",$L431)</f>
        <v>136.59</v>
      </c>
      <c r="T431">
        <f>_xll.ICEHistory(S$4,T$5,"DF[dow:12345][tl:Calendar]",$L431)</f>
        <v>136.59</v>
      </c>
      <c r="U431">
        <f>_xll.ICEHistory(S$4,U$5,"DF[dow:12345][tl:Calendar]",$L431)</f>
        <v>136.59</v>
      </c>
      <c r="V431">
        <f>_xll.ICEHistory(S$4,V$5,"DF[dow:12345][tl:Calendar]",$L431)</f>
        <v>136.59</v>
      </c>
      <c r="W431">
        <f>_xll.ICEHistory(S$4,W$5,"DF[dow:12345][tl:Calendar]",$L431)</f>
        <v>0</v>
      </c>
      <c r="X431">
        <f t="shared" si="18"/>
        <v>3.4517766497461952E-2</v>
      </c>
      <c r="Y431">
        <f t="shared" si="19"/>
        <v>-0.61617896864572663</v>
      </c>
      <c r="Z431">
        <f t="shared" si="20"/>
        <v>-0.112391002975347</v>
      </c>
    </row>
    <row r="432" spans="12:26" x14ac:dyDescent="0.25">
      <c r="L432" s="4">
        <f>_xll.ICETimeline(_xll.ICEJoinRange(M4:W4),"DF[dow:12345][tl:Calendar]","2020-07-26;2024-07-26",619,-1)</f>
        <v>44904.5</v>
      </c>
      <c r="M432">
        <f>_xll.ICEHistory(M$4,M$5,"DF[dow:12345][tl:Calendar]",$L432)</f>
        <v>88.65</v>
      </c>
      <c r="N432">
        <f>_xll.ICEHistory(M$4,N$5,"DF[dow:12345][tl:Calendar]",$L432)</f>
        <v>89.19</v>
      </c>
      <c r="O432">
        <f>_xll.ICEHistory(M$4,O$5,"DF[dow:12345][tl:Calendar]",$L432)</f>
        <v>86.7</v>
      </c>
      <c r="P432">
        <f>_xll.ICEHistory(M$4,P$5,"DF[dow:12345][tl:Calendar]",$L432)</f>
        <v>87.73</v>
      </c>
      <c r="Q432">
        <f>_xll.ICEHistory(M$4,Q$5,"DF[dow:12345][tl:Calendar]",$L432)</f>
        <v>26049</v>
      </c>
      <c r="R432">
        <f>_xll.ICEHistory(M$4,R$5,"DF[dow:12345][tl:Calendar]",$L432)</f>
        <v>296159</v>
      </c>
      <c r="S432">
        <f>_xll.ICEHistory(S$4,S$5,"DF[dow:12345][tl:Calendar]",$L432)</f>
        <v>139.113</v>
      </c>
      <c r="T432">
        <f>_xll.ICEHistory(S$4,T$5,"DF[dow:12345][tl:Calendar]",$L432)</f>
        <v>139.113</v>
      </c>
      <c r="U432">
        <f>_xll.ICEHistory(S$4,U$5,"DF[dow:12345][tl:Calendar]",$L432)</f>
        <v>139.113</v>
      </c>
      <c r="V432">
        <f>_xll.ICEHistory(S$4,V$5,"DF[dow:12345][tl:Calendar]",$L432)</f>
        <v>139.113</v>
      </c>
      <c r="W432">
        <f>_xll.ICEHistory(S$4,W$5,"DF[dow:12345][tl:Calendar]",$L432)</f>
        <v>0</v>
      </c>
      <c r="X432">
        <f t="shared" si="18"/>
        <v>2.8247305728871182E-2</v>
      </c>
      <c r="Y432">
        <f t="shared" si="19"/>
        <v>-0.96001288448326272</v>
      </c>
      <c r="Z432">
        <f t="shared" si="20"/>
        <v>0.75178643843340975</v>
      </c>
    </row>
    <row r="433" spans="12:26" x14ac:dyDescent="0.25">
      <c r="L433" s="4">
        <f>_xll.ICETimeline(_xll.ICEJoinRange(M4:W4),"DF[dow:12345][tl:Calendar]","2020-07-26;2024-07-26",618,-1)</f>
        <v>44903.5</v>
      </c>
      <c r="M433">
        <f>_xll.ICEHistory(M$4,M$5,"DF[dow:12345][tl:Calendar]",$L433)</f>
        <v>88.15</v>
      </c>
      <c r="N433">
        <f>_xll.ICEHistory(M$4,N$5,"DF[dow:12345][tl:Calendar]",$L433)</f>
        <v>89.54</v>
      </c>
      <c r="O433">
        <f>_xll.ICEHistory(M$4,O$5,"DF[dow:12345][tl:Calendar]",$L433)</f>
        <v>87.6</v>
      </c>
      <c r="P433">
        <f>_xll.ICEHistory(M$4,P$5,"DF[dow:12345][tl:Calendar]",$L433)</f>
        <v>88.93</v>
      </c>
      <c r="Q433">
        <f>_xll.ICEHistory(M$4,Q$5,"DF[dow:12345][tl:Calendar]",$L433)</f>
        <v>29003</v>
      </c>
      <c r="R433">
        <f>_xll.ICEHistory(M$4,R$5,"DF[dow:12345][tl:Calendar]",$L433)</f>
        <v>303513</v>
      </c>
      <c r="S433">
        <f>_xll.ICEHistory(S$4,S$5,"DF[dow:12345][tl:Calendar]",$L433)</f>
        <v>138.893</v>
      </c>
      <c r="T433">
        <f>_xll.ICEHistory(S$4,T$5,"DF[dow:12345][tl:Calendar]",$L433)</f>
        <v>138.893</v>
      </c>
      <c r="U433">
        <f>_xll.ICEHistory(S$4,U$5,"DF[dow:12345][tl:Calendar]",$L433)</f>
        <v>138.893</v>
      </c>
      <c r="V433">
        <f>_xll.ICEHistory(S$4,V$5,"DF[dow:12345][tl:Calendar]",$L433)</f>
        <v>138.893</v>
      </c>
      <c r="W433">
        <f>_xll.ICEHistory(S$4,W$5,"DF[dow:12345][tl:Calendar]",$L433)</f>
        <v>0</v>
      </c>
      <c r="X433">
        <f t="shared" si="18"/>
        <v>2.1983002832861327E-2</v>
      </c>
      <c r="Y433">
        <f t="shared" si="19"/>
        <v>-1.3020200628391412</v>
      </c>
      <c r="Z433">
        <f t="shared" si="20"/>
        <v>1.2234993162783068</v>
      </c>
    </row>
    <row r="434" spans="12:26" x14ac:dyDescent="0.25">
      <c r="L434" s="4">
        <f>_xll.ICETimeline(_xll.ICEJoinRange(M4:W4),"DF[dow:12345][tl:Calendar]","2020-07-26;2024-07-26",617,-1)</f>
        <v>44902.5</v>
      </c>
      <c r="M434">
        <f>_xll.ICEHistory(M$4,M$5,"DF[dow:12345][tl:Calendar]",$L434)</f>
        <v>88.25</v>
      </c>
      <c r="N434">
        <f>_xll.ICEHistory(M$4,N$5,"DF[dow:12345][tl:Calendar]",$L434)</f>
        <v>88.67</v>
      </c>
      <c r="O434">
        <f>_xll.ICEHistory(M$4,O$5,"DF[dow:12345][tl:Calendar]",$L434)</f>
        <v>86.1</v>
      </c>
      <c r="P434">
        <f>_xll.ICEHistory(M$4,P$5,"DF[dow:12345][tl:Calendar]",$L434)</f>
        <v>88.19</v>
      </c>
      <c r="Q434">
        <f>_xll.ICEHistory(M$4,Q$5,"DF[dow:12345][tl:Calendar]",$L434)</f>
        <v>24981</v>
      </c>
      <c r="R434">
        <f>_xll.ICEHistory(M$4,R$5,"DF[dow:12345][tl:Calendar]",$L434)</f>
        <v>310038</v>
      </c>
      <c r="S434">
        <f>_xll.ICEHistory(S$4,S$5,"DF[dow:12345][tl:Calendar]",$L434)</f>
        <v>149.245</v>
      </c>
      <c r="T434">
        <f>_xll.ICEHistory(S$4,T$5,"DF[dow:12345][tl:Calendar]",$L434)</f>
        <v>149.245</v>
      </c>
      <c r="U434">
        <f>_xll.ICEHistory(S$4,U$5,"DF[dow:12345][tl:Calendar]",$L434)</f>
        <v>149.245</v>
      </c>
      <c r="V434">
        <f>_xll.ICEHistory(S$4,V$5,"DF[dow:12345][tl:Calendar]",$L434)</f>
        <v>149.245</v>
      </c>
      <c r="W434">
        <f>_xll.ICEHistory(S$4,W$5,"DF[dow:12345][tl:Calendar]",$L434)</f>
        <v>0</v>
      </c>
      <c r="X434">
        <f t="shared" si="18"/>
        <v>2.9496155170435068E-2</v>
      </c>
      <c r="Y434">
        <f t="shared" si="19"/>
        <v>-0.93655579191013949</v>
      </c>
      <c r="Z434">
        <f t="shared" si="20"/>
        <v>0.58820499162138951</v>
      </c>
    </row>
    <row r="435" spans="12:26" x14ac:dyDescent="0.25">
      <c r="L435" s="4">
        <f>_xll.ICETimeline(_xll.ICEJoinRange(M4:W4),"DF[dow:12345][tl:Calendar]","2020-07-26;2024-07-26",616,-1)</f>
        <v>44901.5</v>
      </c>
      <c r="M435">
        <f>_xll.ICEHistory(M$4,M$5,"DF[dow:12345][tl:Calendar]",$L435)</f>
        <v>87.13</v>
      </c>
      <c r="N435">
        <f>_xll.ICEHistory(M$4,N$5,"DF[dow:12345][tl:Calendar]",$L435)</f>
        <v>89.49</v>
      </c>
      <c r="O435">
        <f>_xll.ICEHistory(M$4,O$5,"DF[dow:12345][tl:Calendar]",$L435)</f>
        <v>86</v>
      </c>
      <c r="P435">
        <f>_xll.ICEHistory(M$4,P$5,"DF[dow:12345][tl:Calendar]",$L435)</f>
        <v>88.61</v>
      </c>
      <c r="Q435">
        <f>_xll.ICEHistory(M$4,Q$5,"DF[dow:12345][tl:Calendar]",$L435)</f>
        <v>48235</v>
      </c>
      <c r="R435">
        <f>_xll.ICEHistory(M$4,R$5,"DF[dow:12345][tl:Calendar]",$L435)</f>
        <v>320351</v>
      </c>
      <c r="S435">
        <f>_xll.ICEHistory(S$4,S$5,"DF[dow:12345][tl:Calendar]",$L435)</f>
        <v>138.488</v>
      </c>
      <c r="T435">
        <f>_xll.ICEHistory(S$4,T$5,"DF[dow:12345][tl:Calendar]",$L435)</f>
        <v>138.488</v>
      </c>
      <c r="U435">
        <f>_xll.ICEHistory(S$4,U$5,"DF[dow:12345][tl:Calendar]",$L435)</f>
        <v>138.488</v>
      </c>
      <c r="V435">
        <f>_xll.ICEHistory(S$4,V$5,"DF[dow:12345][tl:Calendar]",$L435)</f>
        <v>138.488</v>
      </c>
      <c r="W435">
        <f>_xll.ICEHistory(S$4,W$5,"DF[dow:12345][tl:Calendar]",$L435)</f>
        <v>0</v>
      </c>
      <c r="X435">
        <f t="shared" si="18"/>
        <v>3.9695177434030879E-2</v>
      </c>
      <c r="Y435">
        <f t="shared" si="19"/>
        <v>-0.40030899364424116</v>
      </c>
      <c r="Z435">
        <f t="shared" si="20"/>
        <v>4.0636170128732845</v>
      </c>
    </row>
    <row r="436" spans="12:26" x14ac:dyDescent="0.25">
      <c r="L436" s="4">
        <f>_xll.ICETimeline(_xll.ICEJoinRange(M4:W4),"DF[dow:12345][tl:Calendar]","2020-07-26;2024-07-26",615,-1)</f>
        <v>44900.5</v>
      </c>
      <c r="M436">
        <f>_xll.ICEHistory(M$4,M$5,"DF[dow:12345][tl:Calendar]",$L436)</f>
        <v>87.92</v>
      </c>
      <c r="N436">
        <f>_xll.ICEHistory(M$4,N$5,"DF[dow:12345][tl:Calendar]",$L436)</f>
        <v>88.34</v>
      </c>
      <c r="O436">
        <f>_xll.ICEHistory(M$4,O$5,"DF[dow:12345][tl:Calendar]",$L436)</f>
        <v>85.39</v>
      </c>
      <c r="P436">
        <f>_xll.ICEHistory(M$4,P$5,"DF[dow:12345][tl:Calendar]",$L436)</f>
        <v>87.17</v>
      </c>
      <c r="Q436">
        <f>_xll.ICEHistory(M$4,Q$5,"DF[dow:12345][tl:Calendar]",$L436)</f>
        <v>27588</v>
      </c>
      <c r="R436">
        <f>_xll.ICEHistory(M$4,R$5,"DF[dow:12345][tl:Calendar]",$L436)</f>
        <v>343565</v>
      </c>
      <c r="S436">
        <f>_xll.ICEHistory(S$4,S$5,"DF[dow:12345][tl:Calendar]",$L436)</f>
        <v>134.69900000000001</v>
      </c>
      <c r="T436">
        <f>_xll.ICEHistory(S$4,T$5,"DF[dow:12345][tl:Calendar]",$L436)</f>
        <v>134.69900000000001</v>
      </c>
      <c r="U436">
        <f>_xll.ICEHistory(S$4,U$5,"DF[dow:12345][tl:Calendar]",$L436)</f>
        <v>134.69900000000001</v>
      </c>
      <c r="V436">
        <f>_xll.ICEHistory(S$4,V$5,"DF[dow:12345][tl:Calendar]",$L436)</f>
        <v>134.69900000000001</v>
      </c>
      <c r="W436">
        <f>_xll.ICEHistory(S$4,W$5,"DF[dow:12345][tl:Calendar]",$L436)</f>
        <v>0</v>
      </c>
      <c r="X436">
        <f t="shared" si="18"/>
        <v>3.4705882352941211E-2</v>
      </c>
      <c r="Y436">
        <f t="shared" si="19"/>
        <v>-0.68890989186698504</v>
      </c>
      <c r="Z436">
        <f t="shared" si="20"/>
        <v>1.1127984343526371</v>
      </c>
    </row>
    <row r="437" spans="12:26" x14ac:dyDescent="0.25">
      <c r="L437" s="4">
        <f>_xll.ICETimeline(_xll.ICEJoinRange(M4:W4),"DF[dow:12345][tl:Calendar]","2020-07-26;2024-07-26",614,-1)</f>
        <v>44897.5</v>
      </c>
      <c r="M437">
        <f>_xll.ICEHistory(M$4,M$5,"DF[dow:12345][tl:Calendar]",$L437)</f>
        <v>85</v>
      </c>
      <c r="N437">
        <f>_xll.ICEHistory(M$4,N$5,"DF[dow:12345][tl:Calendar]",$L437)</f>
        <v>87.98</v>
      </c>
      <c r="O437">
        <f>_xll.ICEHistory(M$4,O$5,"DF[dow:12345][tl:Calendar]",$L437)</f>
        <v>84.45</v>
      </c>
      <c r="P437">
        <f>_xll.ICEHistory(M$4,P$5,"DF[dow:12345][tl:Calendar]",$L437)</f>
        <v>87.98</v>
      </c>
      <c r="Q437">
        <f>_xll.ICEHistory(M$4,Q$5,"DF[dow:12345][tl:Calendar]",$L437)</f>
        <v>29743</v>
      </c>
      <c r="R437">
        <f>_xll.ICEHistory(M$4,R$5,"DF[dow:12345][tl:Calendar]",$L437)</f>
        <v>353055</v>
      </c>
      <c r="S437">
        <f>_xll.ICEHistory(S$4,S$5,"DF[dow:12345][tl:Calendar]",$L437)</f>
        <v>135.56200000000001</v>
      </c>
      <c r="T437">
        <f>_xll.ICEHistory(S$4,T$5,"DF[dow:12345][tl:Calendar]",$L437)</f>
        <v>135.56200000000001</v>
      </c>
      <c r="U437">
        <f>_xll.ICEHistory(S$4,U$5,"DF[dow:12345][tl:Calendar]",$L437)</f>
        <v>135.56200000000001</v>
      </c>
      <c r="V437">
        <f>_xll.ICEHistory(S$4,V$5,"DF[dow:12345][tl:Calendar]",$L437)</f>
        <v>135.56200000000001</v>
      </c>
      <c r="W437">
        <f>_xll.ICEHistory(S$4,W$5,"DF[dow:12345][tl:Calendar]",$L437)</f>
        <v>0</v>
      </c>
      <c r="X437">
        <f t="shared" si="18"/>
        <v>4.1597925995757734E-2</v>
      </c>
      <c r="Y437">
        <f t="shared" si="19"/>
        <v>-0.33100372181869187</v>
      </c>
      <c r="Z437">
        <f t="shared" si="20"/>
        <v>1.5215181419948096</v>
      </c>
    </row>
    <row r="438" spans="12:26" x14ac:dyDescent="0.25">
      <c r="L438" s="4">
        <f>_xll.ICETimeline(_xll.ICEJoinRange(M4:W4),"DF[dow:12345][tl:Calendar]","2020-07-26;2024-07-26",613,-1)</f>
        <v>44896.5</v>
      </c>
      <c r="M438">
        <f>_xll.ICEHistory(M$4,M$5,"DF[dow:12345][tl:Calendar]",$L438)</f>
        <v>84.86</v>
      </c>
      <c r="N438">
        <f>_xll.ICEHistory(M$4,N$5,"DF[dow:12345][tl:Calendar]",$L438)</f>
        <v>88.75</v>
      </c>
      <c r="O438">
        <f>_xll.ICEHistory(M$4,O$5,"DF[dow:12345][tl:Calendar]",$L438)</f>
        <v>83.87</v>
      </c>
      <c r="P438">
        <f>_xll.ICEHistory(M$4,P$5,"DF[dow:12345][tl:Calendar]",$L438)</f>
        <v>84.88</v>
      </c>
      <c r="Q438">
        <f>_xll.ICEHistory(M$4,Q$5,"DF[dow:12345][tl:Calendar]",$L438)</f>
        <v>28959</v>
      </c>
      <c r="R438">
        <f>_xll.ICEHistory(M$4,R$5,"DF[dow:12345][tl:Calendar]",$L438)</f>
        <v>361440</v>
      </c>
      <c r="S438">
        <f>_xll.ICEHistory(S$4,S$5,"DF[dow:12345][tl:Calendar]",$L438)</f>
        <v>139.25800000000001</v>
      </c>
      <c r="T438">
        <f>_xll.ICEHistory(S$4,T$5,"DF[dow:12345][tl:Calendar]",$L438)</f>
        <v>139.25800000000001</v>
      </c>
      <c r="U438">
        <f>_xll.ICEHistory(S$4,U$5,"DF[dow:12345][tl:Calendar]",$L438)</f>
        <v>139.25800000000001</v>
      </c>
      <c r="V438">
        <f>_xll.ICEHistory(S$4,V$5,"DF[dow:12345][tl:Calendar]",$L438)</f>
        <v>139.25800000000001</v>
      </c>
      <c r="W438">
        <f>_xll.ICEHistory(S$4,W$5,"DF[dow:12345][tl:Calendar]",$L438)</f>
        <v>0</v>
      </c>
      <c r="X438">
        <f t="shared" si="18"/>
        <v>6.0157790927021636E-2</v>
      </c>
      <c r="Y438">
        <f t="shared" si="19"/>
        <v>0.66324815105969825</v>
      </c>
      <c r="Z438">
        <f t="shared" si="20"/>
        <v>1.3962984186840399</v>
      </c>
    </row>
    <row r="439" spans="12:26" x14ac:dyDescent="0.25">
      <c r="L439" s="4">
        <f>_xll.ICETimeline(_xll.ICEJoinRange(M4:W4),"DF[dow:12345][tl:Calendar]","2020-07-26;2024-07-26",612,-1)</f>
        <v>44895.5</v>
      </c>
      <c r="M439">
        <f>_xll.ICEHistory(M$4,M$5,"DF[dow:12345][tl:Calendar]",$L439)</f>
        <v>81.12</v>
      </c>
      <c r="N439">
        <f>_xll.ICEHistory(M$4,N$5,"DF[dow:12345][tl:Calendar]",$L439)</f>
        <v>85.25</v>
      </c>
      <c r="O439">
        <f>_xll.ICEHistory(M$4,O$5,"DF[dow:12345][tl:Calendar]",$L439)</f>
        <v>80.81</v>
      </c>
      <c r="P439">
        <f>_xll.ICEHistory(M$4,P$5,"DF[dow:12345][tl:Calendar]",$L439)</f>
        <v>84.9</v>
      </c>
      <c r="Q439">
        <f>_xll.ICEHistory(M$4,Q$5,"DF[dow:12345][tl:Calendar]",$L439)</f>
        <v>32887</v>
      </c>
      <c r="R439">
        <f>_xll.ICEHistory(M$4,R$5,"DF[dow:12345][tl:Calendar]",$L439)</f>
        <v>359098</v>
      </c>
      <c r="S439">
        <f>_xll.ICEHistory(S$4,S$5,"DF[dow:12345][tl:Calendar]",$L439)</f>
        <v>146.39699999999999</v>
      </c>
      <c r="T439">
        <f>_xll.ICEHistory(S$4,T$5,"DF[dow:12345][tl:Calendar]",$L439)</f>
        <v>146.39699999999999</v>
      </c>
      <c r="U439">
        <f>_xll.ICEHistory(S$4,U$5,"DF[dow:12345][tl:Calendar]",$L439)</f>
        <v>146.39699999999999</v>
      </c>
      <c r="V439">
        <f>_xll.ICEHistory(S$4,V$5,"DF[dow:12345][tl:Calendar]",$L439)</f>
        <v>146.39699999999999</v>
      </c>
      <c r="W439">
        <f>_xll.ICEHistory(S$4,W$5,"DF[dow:12345][tl:Calendar]",$L439)</f>
        <v>0</v>
      </c>
      <c r="X439">
        <f t="shared" si="18"/>
        <v>5.6302307887395354E-2</v>
      </c>
      <c r="Y439">
        <f t="shared" si="19"/>
        <v>0.46734761484095655</v>
      </c>
      <c r="Z439">
        <f t="shared" si="20"/>
        <v>2.1326927078659002</v>
      </c>
    </row>
    <row r="440" spans="12:26" x14ac:dyDescent="0.25">
      <c r="L440" s="4">
        <f>_xll.ICETimeline(_xll.ICEJoinRange(M4:W4),"DF[dow:12345][tl:Calendar]","2020-07-26;2024-07-26",611,-1)</f>
        <v>44894.5</v>
      </c>
      <c r="M440">
        <f>_xll.ICEHistory(M$4,M$5,"DF[dow:12345][tl:Calendar]",$L440)</f>
        <v>78.86</v>
      </c>
      <c r="N440">
        <f>_xll.ICEHistory(M$4,N$5,"DF[dow:12345][tl:Calendar]",$L440)</f>
        <v>81.5</v>
      </c>
      <c r="O440">
        <f>_xll.ICEHistory(M$4,O$5,"DF[dow:12345][tl:Calendar]",$L440)</f>
        <v>78.05</v>
      </c>
      <c r="P440">
        <f>_xll.ICEHistory(M$4,P$5,"DF[dow:12345][tl:Calendar]",$L440)</f>
        <v>81.39</v>
      </c>
      <c r="Q440">
        <f>_xll.ICEHistory(M$4,Q$5,"DF[dow:12345][tl:Calendar]",$L440)</f>
        <v>17137</v>
      </c>
      <c r="R440">
        <f>_xll.ICEHistory(M$4,R$5,"DF[dow:12345][tl:Calendar]",$L440)</f>
        <v>363750</v>
      </c>
      <c r="S440">
        <f>_xll.ICEHistory(S$4,S$5,"DF[dow:12345][tl:Calendar]",$L440)</f>
        <v>132.286</v>
      </c>
      <c r="T440">
        <f>_xll.ICEHistory(S$4,T$5,"DF[dow:12345][tl:Calendar]",$L440)</f>
        <v>132.286</v>
      </c>
      <c r="U440">
        <f>_xll.ICEHistory(S$4,U$5,"DF[dow:12345][tl:Calendar]",$L440)</f>
        <v>132.286</v>
      </c>
      <c r="V440">
        <f>_xll.ICEHistory(S$4,V$5,"DF[dow:12345][tl:Calendar]",$L440)</f>
        <v>132.286</v>
      </c>
      <c r="W440">
        <f>_xll.ICEHistory(S$4,W$5,"DF[dow:12345][tl:Calendar]",$L440)</f>
        <v>0</v>
      </c>
      <c r="X440">
        <f t="shared" si="18"/>
        <v>4.3798400406246073E-2</v>
      </c>
      <c r="Y440">
        <f t="shared" si="19"/>
        <v>-0.18541986557113102</v>
      </c>
      <c r="Z440">
        <f t="shared" si="20"/>
        <v>-0.6756499693325585</v>
      </c>
    </row>
    <row r="441" spans="12:26" x14ac:dyDescent="0.25">
      <c r="L441" s="4">
        <f>_xll.ICETimeline(_xll.ICEJoinRange(M4:W4),"DF[dow:12345][tl:Calendar]","2020-07-26;2024-07-26",610,-1)</f>
        <v>44893.5</v>
      </c>
      <c r="M441">
        <f>_xll.ICEHistory(M$4,M$5,"DF[dow:12345][tl:Calendar]",$L441)</f>
        <v>78.77</v>
      </c>
      <c r="N441">
        <f>_xll.ICEHistory(M$4,N$5,"DF[dow:12345][tl:Calendar]",$L441)</f>
        <v>79.040000000000006</v>
      </c>
      <c r="O441">
        <f>_xll.ICEHistory(M$4,O$5,"DF[dow:12345][tl:Calendar]",$L441)</f>
        <v>76.87</v>
      </c>
      <c r="P441">
        <f>_xll.ICEHistory(M$4,P$5,"DF[dow:12345][tl:Calendar]",$L441)</f>
        <v>78.59</v>
      </c>
      <c r="Q441">
        <f>_xll.ICEHistory(M$4,Q$5,"DF[dow:12345][tl:Calendar]",$L441)</f>
        <v>22276</v>
      </c>
      <c r="R441">
        <f>_xll.ICEHistory(M$4,R$5,"DF[dow:12345][tl:Calendar]",$L441)</f>
        <v>363822</v>
      </c>
      <c r="S441">
        <f>_xll.ICEHistory(S$4,S$5,"DF[dow:12345][tl:Calendar]",$L441)</f>
        <v>123.282</v>
      </c>
      <c r="T441">
        <f>_xll.ICEHistory(S$4,T$5,"DF[dow:12345][tl:Calendar]",$L441)</f>
        <v>123.282</v>
      </c>
      <c r="U441">
        <f>_xll.ICEHistory(S$4,U$5,"DF[dow:12345][tl:Calendar]",$L441)</f>
        <v>123.282</v>
      </c>
      <c r="V441">
        <f>_xll.ICEHistory(S$4,V$5,"DF[dow:12345][tl:Calendar]",$L441)</f>
        <v>123.282</v>
      </c>
      <c r="W441">
        <f>_xll.ICEHistory(S$4,W$5,"DF[dow:12345][tl:Calendar]",$L441)</f>
        <v>0</v>
      </c>
      <c r="X441">
        <f t="shared" si="18"/>
        <v>2.7569559141151084E-2</v>
      </c>
      <c r="Y441">
        <f t="shared" si="19"/>
        <v>-1.0646873465719775</v>
      </c>
      <c r="Z441">
        <f t="shared" si="20"/>
        <v>0.25811902712038498</v>
      </c>
    </row>
    <row r="442" spans="12:26" x14ac:dyDescent="0.25">
      <c r="L442" s="4">
        <f>_xll.ICETimeline(_xll.ICEJoinRange(M4:W4),"DF[dow:12345][tl:Calendar]","2020-07-26;2024-07-26",609,-1)</f>
        <v>44890.5</v>
      </c>
      <c r="M442">
        <f>_xll.ICEHistory(M$4,M$5,"DF[dow:12345][tl:Calendar]",$L442)</f>
        <v>78.709999999999994</v>
      </c>
      <c r="N442">
        <f>_xll.ICEHistory(M$4,N$5,"DF[dow:12345][tl:Calendar]",$L442)</f>
        <v>79.78</v>
      </c>
      <c r="O442">
        <f>_xll.ICEHistory(M$4,O$5,"DF[dow:12345][tl:Calendar]",$L442)</f>
        <v>78.099999999999994</v>
      </c>
      <c r="P442">
        <f>_xll.ICEHistory(M$4,P$5,"DF[dow:12345][tl:Calendar]",$L442)</f>
        <v>78.97</v>
      </c>
      <c r="Q442">
        <f>_xll.ICEHistory(M$4,Q$5,"DF[dow:12345][tl:Calendar]",$L442)</f>
        <v>13609</v>
      </c>
      <c r="R442">
        <f>_xll.ICEHistory(M$4,R$5,"DF[dow:12345][tl:Calendar]",$L442)</f>
        <v>364944</v>
      </c>
      <c r="S442">
        <f>_xll.ICEHistory(S$4,S$5,"DF[dow:12345][tl:Calendar]",$L442)</f>
        <v>124.37</v>
      </c>
      <c r="T442">
        <f>_xll.ICEHistory(S$4,T$5,"DF[dow:12345][tl:Calendar]",$L442)</f>
        <v>124.37</v>
      </c>
      <c r="U442">
        <f>_xll.ICEHistory(S$4,U$5,"DF[dow:12345][tl:Calendar]",$L442)</f>
        <v>124.37</v>
      </c>
      <c r="V442">
        <f>_xll.ICEHistory(S$4,V$5,"DF[dow:12345][tl:Calendar]",$L442)</f>
        <v>124.37</v>
      </c>
      <c r="W442">
        <f>_xll.ICEHistory(S$4,W$5,"DF[dow:12345][tl:Calendar]",$L442)</f>
        <v>0</v>
      </c>
      <c r="X442">
        <f t="shared" si="18"/>
        <v>2.2090729783037565E-2</v>
      </c>
      <c r="Y442">
        <f t="shared" si="19"/>
        <v>-1.3865346265264213</v>
      </c>
      <c r="Z442">
        <f t="shared" si="20"/>
        <v>-1.2442459306827487</v>
      </c>
    </row>
    <row r="443" spans="12:26" x14ac:dyDescent="0.25">
      <c r="L443" s="4">
        <f>_xll.ICETimeline(_xll.ICEJoinRange(M4:W4),"DF[dow:12345][tl:Calendar]","2020-07-26;2024-07-26",608,-1)</f>
        <v>44889.5</v>
      </c>
      <c r="M443">
        <f>_xll.ICEHistory(M$4,M$5,"DF[dow:12345][tl:Calendar]",$L443)</f>
        <v>76.05</v>
      </c>
      <c r="N443">
        <f>_xll.ICEHistory(M$4,N$5,"DF[dow:12345][tl:Calendar]",$L443)</f>
        <v>78.75</v>
      </c>
      <c r="O443">
        <f>_xll.ICEHistory(M$4,O$5,"DF[dow:12345][tl:Calendar]",$L443)</f>
        <v>75.63</v>
      </c>
      <c r="P443">
        <f>_xll.ICEHistory(M$4,P$5,"DF[dow:12345][tl:Calendar]",$L443)</f>
        <v>78.69</v>
      </c>
      <c r="Q443">
        <f>_xll.ICEHistory(M$4,Q$5,"DF[dow:12345][tl:Calendar]",$L443)</f>
        <v>16632</v>
      </c>
      <c r="R443">
        <f>_xll.ICEHistory(M$4,R$5,"DF[dow:12345][tl:Calendar]",$L443)</f>
        <v>366104</v>
      </c>
      <c r="S443">
        <f>_xll.ICEHistory(S$4,S$5,"DF[dow:12345][tl:Calendar]",$L443)</f>
        <v>129.62</v>
      </c>
      <c r="T443">
        <f>_xll.ICEHistory(S$4,T$5,"DF[dow:12345][tl:Calendar]",$L443)</f>
        <v>129.62</v>
      </c>
      <c r="U443">
        <f>_xll.ICEHistory(S$4,U$5,"DF[dow:12345][tl:Calendar]",$L443)</f>
        <v>129.62</v>
      </c>
      <c r="V443">
        <f>_xll.ICEHistory(S$4,V$5,"DF[dow:12345][tl:Calendar]",$L443)</f>
        <v>129.62</v>
      </c>
      <c r="W443">
        <f>_xll.ICEHistory(S$4,W$5,"DF[dow:12345][tl:Calendar]",$L443)</f>
        <v>0</v>
      </c>
      <c r="X443">
        <f t="shared" si="18"/>
        <v>4.2110946146578544E-2</v>
      </c>
      <c r="Y443">
        <f t="shared" si="19"/>
        <v>-0.32796748860766817</v>
      </c>
      <c r="Z443">
        <f t="shared" si="20"/>
        <v>-0.720697081419442</v>
      </c>
    </row>
    <row r="444" spans="12:26" x14ac:dyDescent="0.25">
      <c r="L444" s="4">
        <f>_xll.ICETimeline(_xll.ICEJoinRange(M4:W4),"DF[dow:12345][tl:Calendar]","2020-07-26;2024-07-26",607,-1)</f>
        <v>44888.5</v>
      </c>
      <c r="M444">
        <f>_xll.ICEHistory(M$4,M$5,"DF[dow:12345][tl:Calendar]",$L444)</f>
        <v>74.09</v>
      </c>
      <c r="N444">
        <f>_xll.ICEHistory(M$4,N$5,"DF[dow:12345][tl:Calendar]",$L444)</f>
        <v>76.88</v>
      </c>
      <c r="O444">
        <f>_xll.ICEHistory(M$4,O$5,"DF[dow:12345][tl:Calendar]",$L444)</f>
        <v>73.599999999999994</v>
      </c>
      <c r="P444">
        <f>_xll.ICEHistory(M$4,P$5,"DF[dow:12345][tl:Calendar]",$L444)</f>
        <v>75.87</v>
      </c>
      <c r="Q444">
        <f>_xll.ICEHistory(M$4,Q$5,"DF[dow:12345][tl:Calendar]",$L444)</f>
        <v>19416</v>
      </c>
      <c r="R444">
        <f>_xll.ICEHistory(M$4,R$5,"DF[dow:12345][tl:Calendar]",$L444)</f>
        <v>365206</v>
      </c>
      <c r="S444">
        <f>_xll.ICEHistory(S$4,S$5,"DF[dow:12345][tl:Calendar]",$L444)</f>
        <v>129.62</v>
      </c>
      <c r="T444">
        <f>_xll.ICEHistory(S$4,T$5,"DF[dow:12345][tl:Calendar]",$L444)</f>
        <v>129.62</v>
      </c>
      <c r="U444">
        <f>_xll.ICEHistory(S$4,U$5,"DF[dow:12345][tl:Calendar]",$L444)</f>
        <v>129.62</v>
      </c>
      <c r="V444">
        <f>_xll.ICEHistory(S$4,V$5,"DF[dow:12345][tl:Calendar]",$L444)</f>
        <v>129.62</v>
      </c>
      <c r="W444">
        <f>_xll.ICEHistory(S$4,W$5,"DF[dow:12345][tl:Calendar]",$L444)</f>
        <v>0</v>
      </c>
      <c r="X444">
        <f t="shared" si="18"/>
        <v>4.3908969210174044E-2</v>
      </c>
      <c r="Y444">
        <f t="shared" si="19"/>
        <v>-0.22853166125503496</v>
      </c>
      <c r="Z444">
        <f t="shared" si="20"/>
        <v>-0.22869928814434748</v>
      </c>
    </row>
    <row r="445" spans="12:26" x14ac:dyDescent="0.25">
      <c r="L445" s="4">
        <f>_xll.ICETimeline(_xll.ICEJoinRange(M4:W4),"DF[dow:12345][tl:Calendar]","2020-07-26;2024-07-26",606,-1)</f>
        <v>44887.5</v>
      </c>
      <c r="M445">
        <f>_xll.ICEHistory(M$4,M$5,"DF[dow:12345][tl:Calendar]",$L445)</f>
        <v>74.7</v>
      </c>
      <c r="N445">
        <f>_xll.ICEHistory(M$4,N$5,"DF[dow:12345][tl:Calendar]",$L445)</f>
        <v>74.7</v>
      </c>
      <c r="O445">
        <f>_xll.ICEHistory(M$4,O$5,"DF[dow:12345][tl:Calendar]",$L445)</f>
        <v>73.3</v>
      </c>
      <c r="P445">
        <f>_xll.ICEHistory(M$4,P$5,"DF[dow:12345][tl:Calendar]",$L445)</f>
        <v>73.87</v>
      </c>
      <c r="Q445">
        <f>_xll.ICEHistory(M$4,Q$5,"DF[dow:12345][tl:Calendar]",$L445)</f>
        <v>17410</v>
      </c>
      <c r="R445">
        <f>_xll.ICEHistory(M$4,R$5,"DF[dow:12345][tl:Calendar]",$L445)</f>
        <v>364274</v>
      </c>
      <c r="S445">
        <f>_xll.ICEHistory(S$4,S$5,"DF[dow:12345][tl:Calendar]",$L445)</f>
        <v>119.639</v>
      </c>
      <c r="T445">
        <f>_xll.ICEHistory(S$4,T$5,"DF[dow:12345][tl:Calendar]",$L445)</f>
        <v>119.639</v>
      </c>
      <c r="U445">
        <f>_xll.ICEHistory(S$4,U$5,"DF[dow:12345][tl:Calendar]",$L445)</f>
        <v>119.639</v>
      </c>
      <c r="V445">
        <f>_xll.ICEHistory(S$4,V$5,"DF[dow:12345][tl:Calendar]",$L445)</f>
        <v>119.639</v>
      </c>
      <c r="W445">
        <f>_xll.ICEHistory(S$4,W$5,"DF[dow:12345][tl:Calendar]",$L445)</f>
        <v>0</v>
      </c>
      <c r="X445">
        <f t="shared" si="18"/>
        <v>1.9299696719051636E-2</v>
      </c>
      <c r="Y445">
        <f t="shared" si="19"/>
        <v>-1.5256956935577624</v>
      </c>
      <c r="Z445">
        <f t="shared" si="20"/>
        <v>-0.58544233804360202</v>
      </c>
    </row>
    <row r="446" spans="12:26" x14ac:dyDescent="0.25">
      <c r="L446" s="4">
        <f>_xll.ICETimeline(_xll.ICEJoinRange(M4:W4),"DF[dow:12345][tl:Calendar]","2020-07-26;2024-07-26",605,-1)</f>
        <v>44886.5</v>
      </c>
      <c r="M446">
        <f>_xll.ICEHistory(M$4,M$5,"DF[dow:12345][tl:Calendar]",$L446)</f>
        <v>72.540000000000006</v>
      </c>
      <c r="N446">
        <f>_xll.ICEHistory(M$4,N$5,"DF[dow:12345][tl:Calendar]",$L446)</f>
        <v>75.2</v>
      </c>
      <c r="O446">
        <f>_xll.ICEHistory(M$4,O$5,"DF[dow:12345][tl:Calendar]",$L446)</f>
        <v>71.680000000000007</v>
      </c>
      <c r="P446">
        <f>_xll.ICEHistory(M$4,P$5,"DF[dow:12345][tl:Calendar]",$L446)</f>
        <v>74.28</v>
      </c>
      <c r="Q446">
        <f>_xll.ICEHistory(M$4,Q$5,"DF[dow:12345][tl:Calendar]",$L446)</f>
        <v>18751</v>
      </c>
      <c r="R446">
        <f>_xll.ICEHistory(M$4,R$5,"DF[dow:12345][tl:Calendar]",$L446)</f>
        <v>362965</v>
      </c>
      <c r="S446">
        <f>_xll.ICEHistory(S$4,S$5,"DF[dow:12345][tl:Calendar]",$L446)</f>
        <v>116.128</v>
      </c>
      <c r="T446">
        <f>_xll.ICEHistory(S$4,T$5,"DF[dow:12345][tl:Calendar]",$L446)</f>
        <v>116.128</v>
      </c>
      <c r="U446">
        <f>_xll.ICEHistory(S$4,U$5,"DF[dow:12345][tl:Calendar]",$L446)</f>
        <v>116.128</v>
      </c>
      <c r="V446">
        <f>_xll.ICEHistory(S$4,V$5,"DF[dow:12345][tl:Calendar]",$L446)</f>
        <v>116.128</v>
      </c>
      <c r="W446">
        <f>_xll.ICEHistory(S$4,W$5,"DF[dow:12345][tl:Calendar]",$L446)</f>
        <v>0</v>
      </c>
      <c r="X446">
        <f t="shared" si="18"/>
        <v>4.8632218844984754E-2</v>
      </c>
      <c r="Y446">
        <f t="shared" si="19"/>
        <v>4.2784049929333679E-3</v>
      </c>
      <c r="Z446">
        <f t="shared" si="20"/>
        <v>-0.35778772759558375</v>
      </c>
    </row>
    <row r="447" spans="12:26" x14ac:dyDescent="0.25">
      <c r="L447" s="4">
        <f>_xll.ICETimeline(_xll.ICEJoinRange(M4:W4),"DF[dow:12345][tl:Calendar]","2020-07-26;2024-07-26",604,-1)</f>
        <v>44883.5</v>
      </c>
      <c r="M447">
        <f>_xll.ICEHistory(M$4,M$5,"DF[dow:12345][tl:Calendar]",$L447)</f>
        <v>72.38</v>
      </c>
      <c r="N447">
        <f>_xll.ICEHistory(M$4,N$5,"DF[dow:12345][tl:Calendar]",$L447)</f>
        <v>73.989999999999995</v>
      </c>
      <c r="O447">
        <f>_xll.ICEHistory(M$4,O$5,"DF[dow:12345][tl:Calendar]",$L447)</f>
        <v>71.95</v>
      </c>
      <c r="P447">
        <f>_xll.ICEHistory(M$4,P$5,"DF[dow:12345][tl:Calendar]",$L447)</f>
        <v>72.16</v>
      </c>
      <c r="Q447">
        <f>_xll.ICEHistory(M$4,Q$5,"DF[dow:12345][tl:Calendar]",$L447)</f>
        <v>19317</v>
      </c>
      <c r="R447">
        <f>_xll.ICEHistory(M$4,R$5,"DF[dow:12345][tl:Calendar]",$L447)</f>
        <v>364594</v>
      </c>
      <c r="S447">
        <f>_xll.ICEHistory(S$4,S$5,"DF[dow:12345][tl:Calendar]",$L447)</f>
        <v>115.509</v>
      </c>
      <c r="T447">
        <f>_xll.ICEHistory(S$4,T$5,"DF[dow:12345][tl:Calendar]",$L447)</f>
        <v>115.509</v>
      </c>
      <c r="U447">
        <f>_xll.ICEHistory(S$4,U$5,"DF[dow:12345][tl:Calendar]",$L447)</f>
        <v>115.509</v>
      </c>
      <c r="V447">
        <f>_xll.ICEHistory(S$4,V$5,"DF[dow:12345][tl:Calendar]",$L447)</f>
        <v>115.509</v>
      </c>
      <c r="W447">
        <f>_xll.ICEHistory(S$4,W$5,"DF[dow:12345][tl:Calendar]",$L447)</f>
        <v>0</v>
      </c>
      <c r="X447">
        <f t="shared" si="18"/>
        <v>2.7736233854520627E-2</v>
      </c>
      <c r="Y447">
        <f t="shared" si="19"/>
        <v>-1.1263986460410218</v>
      </c>
      <c r="Z447">
        <f t="shared" si="20"/>
        <v>-0.24496961046337457</v>
      </c>
    </row>
    <row r="448" spans="12:26" x14ac:dyDescent="0.25">
      <c r="L448" s="4">
        <f>_xll.ICETimeline(_xll.ICEJoinRange(M4:W4),"DF[dow:12345][tl:Calendar]","2020-07-26;2024-07-26",603,-1)</f>
        <v>44882.5</v>
      </c>
      <c r="M448">
        <f>_xll.ICEHistory(M$4,M$5,"DF[dow:12345][tl:Calendar]",$L448)</f>
        <v>73.55</v>
      </c>
      <c r="N448">
        <f>_xll.ICEHistory(M$4,N$5,"DF[dow:12345][tl:Calendar]",$L448)</f>
        <v>74.709999999999994</v>
      </c>
      <c r="O448">
        <f>_xll.ICEHistory(M$4,O$5,"DF[dow:12345][tl:Calendar]",$L448)</f>
        <v>71.89</v>
      </c>
      <c r="P448">
        <f>_xll.ICEHistory(M$4,P$5,"DF[dow:12345][tl:Calendar]",$L448)</f>
        <v>72</v>
      </c>
      <c r="Q448">
        <f>_xll.ICEHistory(M$4,Q$5,"DF[dow:12345][tl:Calendar]",$L448)</f>
        <v>21449</v>
      </c>
      <c r="R448">
        <f>_xll.ICEHistory(M$4,R$5,"DF[dow:12345][tl:Calendar]",$L448)</f>
        <v>367158</v>
      </c>
      <c r="S448">
        <f>_xll.ICEHistory(S$4,S$5,"DF[dow:12345][tl:Calendar]",$L448)</f>
        <v>112.556</v>
      </c>
      <c r="T448">
        <f>_xll.ICEHistory(S$4,T$5,"DF[dow:12345][tl:Calendar]",$L448)</f>
        <v>112.556</v>
      </c>
      <c r="U448">
        <f>_xll.ICEHistory(S$4,U$5,"DF[dow:12345][tl:Calendar]",$L448)</f>
        <v>112.556</v>
      </c>
      <c r="V448">
        <f>_xll.ICEHistory(S$4,V$5,"DF[dow:12345][tl:Calendar]",$L448)</f>
        <v>112.556</v>
      </c>
      <c r="W448">
        <f>_xll.ICEHistory(S$4,W$5,"DF[dow:12345][tl:Calendar]",$L448)</f>
        <v>0</v>
      </c>
      <c r="X448">
        <f t="shared" si="18"/>
        <v>3.6623376623376537E-2</v>
      </c>
      <c r="Y448">
        <f t="shared" si="19"/>
        <v>-0.66968014449164515</v>
      </c>
      <c r="Z448">
        <f t="shared" si="20"/>
        <v>0.12885698358899772</v>
      </c>
    </row>
    <row r="449" spans="12:26" x14ac:dyDescent="0.25">
      <c r="L449" s="4">
        <f>_xll.ICETimeline(_xll.ICEJoinRange(M4:W4),"DF[dow:12345][tl:Calendar]","2020-07-26;2024-07-26",602,-1)</f>
        <v>44881.5</v>
      </c>
      <c r="M449">
        <f>_xll.ICEHistory(M$4,M$5,"DF[dow:12345][tl:Calendar]",$L449)</f>
        <v>77</v>
      </c>
      <c r="N449">
        <f>_xll.ICEHistory(M$4,N$5,"DF[dow:12345][tl:Calendar]",$L449)</f>
        <v>77.41</v>
      </c>
      <c r="O449">
        <f>_xll.ICEHistory(M$4,O$5,"DF[dow:12345][tl:Calendar]",$L449)</f>
        <v>73.08</v>
      </c>
      <c r="P449">
        <f>_xll.ICEHistory(M$4,P$5,"DF[dow:12345][tl:Calendar]",$L449)</f>
        <v>73.41</v>
      </c>
      <c r="Q449">
        <f>_xll.ICEHistory(M$4,Q$5,"DF[dow:12345][tl:Calendar]",$L449)</f>
        <v>30683</v>
      </c>
      <c r="R449">
        <f>_xll.ICEHistory(M$4,R$5,"DF[dow:12345][tl:Calendar]",$L449)</f>
        <v>373883</v>
      </c>
      <c r="S449">
        <f>_xll.ICEHistory(S$4,S$5,"DF[dow:12345][tl:Calendar]",$L449)</f>
        <v>113.9</v>
      </c>
      <c r="T449">
        <f>_xll.ICEHistory(S$4,T$5,"DF[dow:12345][tl:Calendar]",$L449)</f>
        <v>113.9</v>
      </c>
      <c r="U449">
        <f>_xll.ICEHistory(S$4,U$5,"DF[dow:12345][tl:Calendar]",$L449)</f>
        <v>113.9</v>
      </c>
      <c r="V449">
        <f>_xll.ICEHistory(S$4,V$5,"DF[dow:12345][tl:Calendar]",$L449)</f>
        <v>113.9</v>
      </c>
      <c r="W449">
        <f>_xll.ICEHistory(S$4,W$5,"DF[dow:12345][tl:Calendar]",$L449)</f>
        <v>0</v>
      </c>
      <c r="X449">
        <f t="shared" si="18"/>
        <v>5.7710249233639856E-2</v>
      </c>
      <c r="Y449">
        <f t="shared" si="19"/>
        <v>0.44135530730736322</v>
      </c>
      <c r="Z449">
        <f t="shared" si="20"/>
        <v>1.7606505807405799</v>
      </c>
    </row>
    <row r="450" spans="12:26" x14ac:dyDescent="0.25">
      <c r="L450" s="4">
        <f>_xll.ICETimeline(_xll.ICEJoinRange(M4:W4),"DF[dow:12345][tl:Calendar]","2020-07-26;2024-07-26",601,-1)</f>
        <v>44880.5</v>
      </c>
      <c r="M450">
        <f>_xll.ICEHistory(M$4,M$5,"DF[dow:12345][tl:Calendar]",$L450)</f>
        <v>75.03</v>
      </c>
      <c r="N450">
        <f>_xll.ICEHistory(M$4,N$5,"DF[dow:12345][tl:Calendar]",$L450)</f>
        <v>77.25</v>
      </c>
      <c r="O450">
        <f>_xll.ICEHistory(M$4,O$5,"DF[dow:12345][tl:Calendar]",$L450)</f>
        <v>74</v>
      </c>
      <c r="P450">
        <f>_xll.ICEHistory(M$4,P$5,"DF[dow:12345][tl:Calendar]",$L450)</f>
        <v>77.150000000000006</v>
      </c>
      <c r="Q450">
        <f>_xll.ICEHistory(M$4,Q$5,"DF[dow:12345][tl:Calendar]",$L450)</f>
        <v>20444</v>
      </c>
      <c r="R450">
        <f>_xll.ICEHistory(M$4,R$5,"DF[dow:12345][tl:Calendar]",$L450)</f>
        <v>376808</v>
      </c>
      <c r="S450">
        <f>_xll.ICEHistory(S$4,S$5,"DF[dow:12345][tl:Calendar]",$L450)</f>
        <v>113.705</v>
      </c>
      <c r="T450">
        <f>_xll.ICEHistory(S$4,T$5,"DF[dow:12345][tl:Calendar]",$L450)</f>
        <v>124.104</v>
      </c>
      <c r="U450">
        <f>_xll.ICEHistory(S$4,U$5,"DF[dow:12345][tl:Calendar]",$L450)</f>
        <v>113.705</v>
      </c>
      <c r="V450">
        <f>_xll.ICEHistory(S$4,V$5,"DF[dow:12345][tl:Calendar]",$L450)</f>
        <v>124.104</v>
      </c>
      <c r="W450">
        <f>_xll.ICEHistory(S$4,W$5,"DF[dow:12345][tl:Calendar]",$L450)</f>
        <v>0</v>
      </c>
      <c r="X450">
        <f t="shared" si="18"/>
        <v>4.2938300964460302E-2</v>
      </c>
      <c r="Y450">
        <f t="shared" si="19"/>
        <v>-0.33880898772335816</v>
      </c>
      <c r="Z450">
        <f t="shared" si="20"/>
        <v>-7.446756084158894E-3</v>
      </c>
    </row>
    <row r="451" spans="12:26" x14ac:dyDescent="0.25">
      <c r="L451" s="4">
        <f>_xll.ICETimeline(_xll.ICEJoinRange(M4:W4),"DF[dow:12345][tl:Calendar]","2020-07-26;2024-07-26",600,-1)</f>
        <v>44879.5</v>
      </c>
      <c r="M451">
        <f>_xll.ICEHistory(M$4,M$5,"DF[dow:12345][tl:Calendar]",$L451)</f>
        <v>75.69</v>
      </c>
      <c r="N451">
        <f>_xll.ICEHistory(M$4,N$5,"DF[dow:12345][tl:Calendar]",$L451)</f>
        <v>76</v>
      </c>
      <c r="O451">
        <f>_xll.ICEHistory(M$4,O$5,"DF[dow:12345][tl:Calendar]",$L451)</f>
        <v>74.59</v>
      </c>
      <c r="P451">
        <f>_xll.ICEHistory(M$4,P$5,"DF[dow:12345][tl:Calendar]",$L451)</f>
        <v>75.03</v>
      </c>
      <c r="Q451">
        <f>_xll.ICEHistory(M$4,Q$5,"DF[dow:12345][tl:Calendar]",$L451)</f>
        <v>20132</v>
      </c>
      <c r="R451">
        <f>_xll.ICEHistory(M$4,R$5,"DF[dow:12345][tl:Calendar]",$L451)</f>
        <v>377766</v>
      </c>
      <c r="S451">
        <f>_xll.ICEHistory(S$4,S$5,"DF[dow:12345][tl:Calendar]",$L451)</f>
        <v>113.70399999999999</v>
      </c>
      <c r="T451">
        <f>_xll.ICEHistory(S$4,T$5,"DF[dow:12345][tl:Calendar]",$L451)</f>
        <v>113.70399999999999</v>
      </c>
      <c r="U451">
        <f>_xll.ICEHistory(S$4,U$5,"DF[dow:12345][tl:Calendar]",$L451)</f>
        <v>113.70399999999999</v>
      </c>
      <c r="V451">
        <f>_xll.ICEHistory(S$4,V$5,"DF[dow:12345][tl:Calendar]",$L451)</f>
        <v>113.70399999999999</v>
      </c>
      <c r="W451">
        <f>_xll.ICEHistory(S$4,W$5,"DF[dow:12345][tl:Calendar]",$L451)</f>
        <v>0</v>
      </c>
      <c r="X451">
        <f t="shared" si="18"/>
        <v>1.9228146733942405E-2</v>
      </c>
      <c r="Y451">
        <f t="shared" si="19"/>
        <v>-1.5820697515553352</v>
      </c>
      <c r="Z451">
        <f t="shared" si="20"/>
        <v>-4.7559294323382975E-2</v>
      </c>
    </row>
    <row r="452" spans="12:26" x14ac:dyDescent="0.25">
      <c r="L452" s="4">
        <f>_xll.ICETimeline(_xll.ICEJoinRange(M4:W4),"DF[dow:12345][tl:Calendar]","2020-07-26;2024-07-26",599,-1)</f>
        <v>44876.5</v>
      </c>
      <c r="M452">
        <f>_xll.ICEHistory(M$4,M$5,"DF[dow:12345][tl:Calendar]",$L452)</f>
        <v>73.33</v>
      </c>
      <c r="N452">
        <f>_xll.ICEHistory(M$4,N$5,"DF[dow:12345][tl:Calendar]",$L452)</f>
        <v>76.540000000000006</v>
      </c>
      <c r="O452">
        <f>_xll.ICEHistory(M$4,O$5,"DF[dow:12345][tl:Calendar]",$L452)</f>
        <v>73.05</v>
      </c>
      <c r="P452">
        <f>_xll.ICEHistory(M$4,P$5,"DF[dow:12345][tl:Calendar]",$L452)</f>
        <v>75.790000000000006</v>
      </c>
      <c r="Q452">
        <f>_xll.ICEHistory(M$4,Q$5,"DF[dow:12345][tl:Calendar]",$L452)</f>
        <v>20326</v>
      </c>
      <c r="R452">
        <f>_xll.ICEHistory(M$4,R$5,"DF[dow:12345][tl:Calendar]",$L452)</f>
        <v>380681</v>
      </c>
      <c r="S452">
        <f>_xll.ICEHistory(S$4,S$5,"DF[dow:12345][tl:Calendar]",$L452)</f>
        <v>97.852999999999994</v>
      </c>
      <c r="T452">
        <f>_xll.ICEHistory(S$4,T$5,"DF[dow:12345][tl:Calendar]",$L452)</f>
        <v>97.852999999999994</v>
      </c>
      <c r="U452">
        <f>_xll.ICEHistory(S$4,U$5,"DF[dow:12345][tl:Calendar]",$L452)</f>
        <v>97.852999999999994</v>
      </c>
      <c r="V452">
        <f>_xll.ICEHistory(S$4,V$5,"DF[dow:12345][tl:Calendar]",$L452)</f>
        <v>97.852999999999994</v>
      </c>
      <c r="W452">
        <f>_xll.ICEHistory(S$4,W$5,"DF[dow:12345][tl:Calendar]",$L452)</f>
        <v>0</v>
      </c>
      <c r="X452">
        <f t="shared" si="18"/>
        <v>4.8137931034482884E-2</v>
      </c>
      <c r="Y452">
        <f t="shared" si="19"/>
        <v>-5.6003590910377897E-2</v>
      </c>
      <c r="Z452">
        <f t="shared" si="20"/>
        <v>-3.1850425504344809E-3</v>
      </c>
    </row>
    <row r="453" spans="12:26" x14ac:dyDescent="0.25">
      <c r="L453" s="4">
        <f>_xll.ICETimeline(_xll.ICEJoinRange(M4:W4),"DF[dow:12345][tl:Calendar]","2020-07-26;2024-07-26",598,-1)</f>
        <v>44875.5</v>
      </c>
      <c r="M453">
        <f>_xll.ICEHistory(M$4,M$5,"DF[dow:12345][tl:Calendar]",$L453)</f>
        <v>72.5</v>
      </c>
      <c r="N453">
        <f>_xll.ICEHistory(M$4,N$5,"DF[dow:12345][tl:Calendar]",$L453)</f>
        <v>74.290000000000006</v>
      </c>
      <c r="O453">
        <f>_xll.ICEHistory(M$4,O$5,"DF[dow:12345][tl:Calendar]",$L453)</f>
        <v>70.5</v>
      </c>
      <c r="P453">
        <f>_xll.ICEHistory(M$4,P$5,"DF[dow:12345][tl:Calendar]",$L453)</f>
        <v>73.17</v>
      </c>
      <c r="Q453">
        <f>_xll.ICEHistory(M$4,Q$5,"DF[dow:12345][tl:Calendar]",$L453)</f>
        <v>27274</v>
      </c>
      <c r="R453">
        <f>_xll.ICEHistory(M$4,R$5,"DF[dow:12345][tl:Calendar]",$L453)</f>
        <v>381085</v>
      </c>
      <c r="S453">
        <f>_xll.ICEHistory(S$4,S$5,"DF[dow:12345][tl:Calendar]",$L453)</f>
        <v>113.452</v>
      </c>
      <c r="T453">
        <f>_xll.ICEHistory(S$4,T$5,"DF[dow:12345][tl:Calendar]",$L453)</f>
        <v>113.452</v>
      </c>
      <c r="U453">
        <f>_xll.ICEHistory(S$4,U$5,"DF[dow:12345][tl:Calendar]",$L453)</f>
        <v>113.452</v>
      </c>
      <c r="V453">
        <f>_xll.ICEHistory(S$4,V$5,"DF[dow:12345][tl:Calendar]",$L453)</f>
        <v>113.452</v>
      </c>
      <c r="W453">
        <f>_xll.ICEHistory(S$4,W$5,"DF[dow:12345][tl:Calendar]",$L453)</f>
        <v>0</v>
      </c>
      <c r="X453">
        <f t="shared" si="18"/>
        <v>4.9829082303444731E-2</v>
      </c>
      <c r="Y453">
        <f t="shared" si="19"/>
        <v>5.0396315452755872E-2</v>
      </c>
      <c r="Z453">
        <f t="shared" si="20"/>
        <v>1.2395925435647992</v>
      </c>
    </row>
    <row r="454" spans="12:26" x14ac:dyDescent="0.25">
      <c r="L454" s="4">
        <f>_xll.ICETimeline(_xll.ICEJoinRange(M4:W4),"DF[dow:12345][tl:Calendar]","2020-07-26;2024-07-26",597,-1)</f>
        <v>44874.5</v>
      </c>
      <c r="M454">
        <f>_xll.ICEHistory(M$4,M$5,"DF[dow:12345][tl:Calendar]",$L454)</f>
        <v>76.06</v>
      </c>
      <c r="N454">
        <f>_xll.ICEHistory(M$4,N$5,"DF[dow:12345][tl:Calendar]",$L454)</f>
        <v>76.94</v>
      </c>
      <c r="O454">
        <f>_xll.ICEHistory(M$4,O$5,"DF[dow:12345][tl:Calendar]",$L454)</f>
        <v>72.55</v>
      </c>
      <c r="P454">
        <f>_xll.ICEHistory(M$4,P$5,"DF[dow:12345][tl:Calendar]",$L454)</f>
        <v>72.61</v>
      </c>
      <c r="Q454">
        <f>_xll.ICEHistory(M$4,Q$5,"DF[dow:12345][tl:Calendar]",$L454)</f>
        <v>37958</v>
      </c>
      <c r="R454">
        <f>_xll.ICEHistory(M$4,R$5,"DF[dow:12345][tl:Calendar]",$L454)</f>
        <v>381337</v>
      </c>
      <c r="S454">
        <f>_xll.ICEHistory(S$4,S$5,"DF[dow:12345][tl:Calendar]",$L454)</f>
        <v>113.14400000000001</v>
      </c>
      <c r="T454">
        <f>_xll.ICEHistory(S$4,T$5,"DF[dow:12345][tl:Calendar]",$L454)</f>
        <v>113.14400000000001</v>
      </c>
      <c r="U454">
        <f>_xll.ICEHistory(S$4,U$5,"DF[dow:12345][tl:Calendar]",$L454)</f>
        <v>113.14400000000001</v>
      </c>
      <c r="V454">
        <f>_xll.ICEHistory(S$4,V$5,"DF[dow:12345][tl:Calendar]",$L454)</f>
        <v>113.14400000000001</v>
      </c>
      <c r="W454">
        <f>_xll.ICEHistory(S$4,W$5,"DF[dow:12345][tl:Calendar]",$L454)</f>
        <v>0</v>
      </c>
      <c r="X454">
        <f t="shared" si="18"/>
        <v>5.6463022508038592E-2</v>
      </c>
      <c r="Y454">
        <f t="shared" si="19"/>
        <v>0.41444050315484093</v>
      </c>
      <c r="Z454">
        <f t="shared" si="20"/>
        <v>3.1791165415819833</v>
      </c>
    </row>
    <row r="455" spans="12:26" x14ac:dyDescent="0.25">
      <c r="L455" s="4">
        <f>_xll.ICETimeline(_xll.ICEJoinRange(M4:W4),"DF[dow:12345][tl:Calendar]","2020-07-26;2024-07-26",596,-1)</f>
        <v>44873.5</v>
      </c>
      <c r="M455">
        <f>_xll.ICEHistory(M$4,M$5,"DF[dow:12345][tl:Calendar]",$L455)</f>
        <v>77.75</v>
      </c>
      <c r="N455">
        <f>_xll.ICEHistory(M$4,N$5,"DF[dow:12345][tl:Calendar]",$L455)</f>
        <v>77.790000000000006</v>
      </c>
      <c r="O455">
        <f>_xll.ICEHistory(M$4,O$5,"DF[dow:12345][tl:Calendar]",$L455)</f>
        <v>75.55</v>
      </c>
      <c r="P455">
        <f>_xll.ICEHistory(M$4,P$5,"DF[dow:12345][tl:Calendar]",$L455)</f>
        <v>76.38</v>
      </c>
      <c r="Q455">
        <f>_xll.ICEHistory(M$4,Q$5,"DF[dow:12345][tl:Calendar]",$L455)</f>
        <v>22831</v>
      </c>
      <c r="R455">
        <f>_xll.ICEHistory(M$4,R$5,"DF[dow:12345][tl:Calendar]",$L455)</f>
        <v>381337</v>
      </c>
      <c r="S455">
        <f>_xll.ICEHistory(S$4,S$5,"DF[dow:12345][tl:Calendar]",$L455)</f>
        <v>118.14700000000001</v>
      </c>
      <c r="T455">
        <f>_xll.ICEHistory(S$4,T$5,"DF[dow:12345][tl:Calendar]",$L455)</f>
        <v>118.14700000000001</v>
      </c>
      <c r="U455">
        <f>_xll.ICEHistory(S$4,U$5,"DF[dow:12345][tl:Calendar]",$L455)</f>
        <v>118.14700000000001</v>
      </c>
      <c r="V455">
        <f>_xll.ICEHistory(S$4,V$5,"DF[dow:12345][tl:Calendar]",$L455)</f>
        <v>118.14700000000001</v>
      </c>
      <c r="W455">
        <f>_xll.ICEHistory(S$4,W$5,"DF[dow:12345][tl:Calendar]",$L455)</f>
        <v>0</v>
      </c>
      <c r="X455">
        <f t="shared" si="18"/>
        <v>2.9334730225248941E-2</v>
      </c>
      <c r="Y455">
        <f t="shared" si="19"/>
        <v>-0.97759390728274809</v>
      </c>
      <c r="Z455">
        <f t="shared" si="20"/>
        <v>0.59883858711663429</v>
      </c>
    </row>
    <row r="456" spans="12:26" x14ac:dyDescent="0.25">
      <c r="L456" s="4">
        <f>_xll.ICETimeline(_xll.ICEJoinRange(M4:W4),"DF[dow:12345][tl:Calendar]","2020-07-26;2024-07-26",595,-1)</f>
        <v>44872.5</v>
      </c>
      <c r="M456">
        <f>_xll.ICEHistory(M$4,M$5,"DF[dow:12345][tl:Calendar]",$L456)</f>
        <v>76.36</v>
      </c>
      <c r="N456">
        <f>_xll.ICEHistory(M$4,N$5,"DF[dow:12345][tl:Calendar]",$L456)</f>
        <v>78.2</v>
      </c>
      <c r="O456">
        <f>_xll.ICEHistory(M$4,O$5,"DF[dow:12345][tl:Calendar]",$L456)</f>
        <v>75.540000000000006</v>
      </c>
      <c r="P456">
        <f>_xll.ICEHistory(M$4,P$5,"DF[dow:12345][tl:Calendar]",$L456)</f>
        <v>77.8</v>
      </c>
      <c r="Q456">
        <f>_xll.ICEHistory(M$4,Q$5,"DF[dow:12345][tl:Calendar]",$L456)</f>
        <v>17475</v>
      </c>
      <c r="R456">
        <f>_xll.ICEHistory(M$4,R$5,"DF[dow:12345][tl:Calendar]",$L456)</f>
        <v>384557</v>
      </c>
      <c r="S456">
        <f>_xll.ICEHistory(S$4,S$5,"DF[dow:12345][tl:Calendar]",$L456)</f>
        <v>109.68300000000001</v>
      </c>
      <c r="T456">
        <f>_xll.ICEHistory(S$4,T$5,"DF[dow:12345][tl:Calendar]",$L456)</f>
        <v>109.68300000000001</v>
      </c>
      <c r="U456">
        <f>_xll.ICEHistory(S$4,U$5,"DF[dow:12345][tl:Calendar]",$L456)</f>
        <v>109.68300000000001</v>
      </c>
      <c r="V456">
        <f>_xll.ICEHistory(S$4,V$5,"DF[dow:12345][tl:Calendar]",$L456)</f>
        <v>109.68300000000001</v>
      </c>
      <c r="W456">
        <f>_xll.ICEHistory(S$4,W$5,"DF[dow:12345][tl:Calendar]",$L456)</f>
        <v>0</v>
      </c>
      <c r="X456">
        <f t="shared" si="18"/>
        <v>3.4771241830065316E-2</v>
      </c>
      <c r="Y456">
        <f t="shared" si="19"/>
        <v>-0.68834847347016737</v>
      </c>
      <c r="Z456">
        <f t="shared" si="20"/>
        <v>-0.39320303173378374</v>
      </c>
    </row>
    <row r="457" spans="12:26" x14ac:dyDescent="0.25">
      <c r="L457" s="4">
        <f>_xll.ICETimeline(_xll.ICEJoinRange(M4:W4),"DF[dow:12345][tl:Calendar]","2020-07-26;2024-07-26",594,-1)</f>
        <v>44869.5</v>
      </c>
      <c r="M457">
        <f>_xll.ICEHistory(M$4,M$5,"DF[dow:12345][tl:Calendar]",$L457)</f>
        <v>76.5</v>
      </c>
      <c r="N457">
        <f>_xll.ICEHistory(M$4,N$5,"DF[dow:12345][tl:Calendar]",$L457)</f>
        <v>79.5</v>
      </c>
      <c r="O457">
        <f>_xll.ICEHistory(M$4,O$5,"DF[dow:12345][tl:Calendar]",$L457)</f>
        <v>76.17</v>
      </c>
      <c r="P457">
        <f>_xll.ICEHistory(M$4,P$5,"DF[dow:12345][tl:Calendar]",$L457)</f>
        <v>76.459999999999994</v>
      </c>
      <c r="Q457">
        <f>_xll.ICEHistory(M$4,Q$5,"DF[dow:12345][tl:Calendar]",$L457)</f>
        <v>20663</v>
      </c>
      <c r="R457">
        <f>_xll.ICEHistory(M$4,R$5,"DF[dow:12345][tl:Calendar]",$L457)</f>
        <v>385136</v>
      </c>
      <c r="S457">
        <f>_xll.ICEHistory(S$4,S$5,"DF[dow:12345][tl:Calendar]",$L457)</f>
        <v>114.786</v>
      </c>
      <c r="T457">
        <f>_xll.ICEHistory(S$4,T$5,"DF[dow:12345][tl:Calendar]",$L457)</f>
        <v>114.786</v>
      </c>
      <c r="U457">
        <f>_xll.ICEHistory(S$4,U$5,"DF[dow:12345][tl:Calendar]",$L457)</f>
        <v>114.786</v>
      </c>
      <c r="V457">
        <f>_xll.ICEHistory(S$4,V$5,"DF[dow:12345][tl:Calendar]",$L457)</f>
        <v>114.786</v>
      </c>
      <c r="W457">
        <f>_xll.ICEHistory(S$4,W$5,"DF[dow:12345][tl:Calendar]",$L457)</f>
        <v>0</v>
      </c>
      <c r="X457">
        <f t="shared" ref="X457:X520" si="21">IFERROR((N457-O457)/M458, "")</f>
        <v>4.3455565705337318E-2</v>
      </c>
      <c r="Y457">
        <f t="shared" ref="Y457:Y520" si="22">IFERROR((X457-AVERAGE(X457:X521))/_xlfn.STDEV.S(X457:X521),"")</f>
        <v>-0.22502650715292885</v>
      </c>
      <c r="Z457">
        <f t="shared" ref="Z457:Z520" si="23">IFERROR((Q457-AVERAGE(Q457:Q522))/_xlfn.STDEV.S(Q457:Q522),"")</f>
        <v>0.22258951037770208</v>
      </c>
    </row>
    <row r="458" spans="12:26" x14ac:dyDescent="0.25">
      <c r="L458" s="4">
        <f>_xll.ICETimeline(_xll.ICEJoinRange(M4:W4),"DF[dow:12345][tl:Calendar]","2020-07-26;2024-07-26",593,-1)</f>
        <v>44868.5</v>
      </c>
      <c r="M458">
        <f>_xll.ICEHistory(M$4,M$5,"DF[dow:12345][tl:Calendar]",$L458)</f>
        <v>76.63</v>
      </c>
      <c r="N458">
        <f>_xll.ICEHistory(M$4,N$5,"DF[dow:12345][tl:Calendar]",$L458)</f>
        <v>78.2</v>
      </c>
      <c r="O458">
        <f>_xll.ICEHistory(M$4,O$5,"DF[dow:12345][tl:Calendar]",$L458)</f>
        <v>75.36</v>
      </c>
      <c r="P458">
        <f>_xll.ICEHistory(M$4,P$5,"DF[dow:12345][tl:Calendar]",$L458)</f>
        <v>76.650000000000006</v>
      </c>
      <c r="Q458">
        <f>_xll.ICEHistory(M$4,Q$5,"DF[dow:12345][tl:Calendar]",$L458)</f>
        <v>26292</v>
      </c>
      <c r="R458">
        <f>_xll.ICEHistory(M$4,R$5,"DF[dow:12345][tl:Calendar]",$L458)</f>
        <v>385150</v>
      </c>
      <c r="S458">
        <f>_xll.ICEHistory(S$4,S$5,"DF[dow:12345][tl:Calendar]",$L458)</f>
        <v>125.44499999999999</v>
      </c>
      <c r="T458">
        <f>_xll.ICEHistory(S$4,T$5,"DF[dow:12345][tl:Calendar]",$L458)</f>
        <v>125.44499999999999</v>
      </c>
      <c r="U458">
        <f>_xll.ICEHistory(S$4,U$5,"DF[dow:12345][tl:Calendar]",$L458)</f>
        <v>125.44499999999999</v>
      </c>
      <c r="V458">
        <f>_xll.ICEHistory(S$4,V$5,"DF[dow:12345][tl:Calendar]",$L458)</f>
        <v>125.44499999999999</v>
      </c>
      <c r="W458">
        <f>_xll.ICEHistory(S$4,W$5,"DF[dow:12345][tl:Calendar]",$L458)</f>
        <v>0</v>
      </c>
      <c r="X458">
        <f t="shared" si="21"/>
        <v>3.6806635562467646E-2</v>
      </c>
      <c r="Y458">
        <f t="shared" si="22"/>
        <v>-0.54419162682316324</v>
      </c>
      <c r="Z458">
        <f t="shared" si="23"/>
        <v>1.2834291771666977</v>
      </c>
    </row>
    <row r="459" spans="12:26" x14ac:dyDescent="0.25">
      <c r="L459" s="4">
        <f>_xll.ICETimeline(_xll.ICEJoinRange(M4:W4),"DF[dow:12345][tl:Calendar]","2020-07-26;2024-07-26",592,-1)</f>
        <v>44867.5</v>
      </c>
      <c r="M459">
        <f>_xll.ICEHistory(M$4,M$5,"DF[dow:12345][tl:Calendar]",$L459)</f>
        <v>77.16</v>
      </c>
      <c r="N459">
        <f>_xll.ICEHistory(M$4,N$5,"DF[dow:12345][tl:Calendar]",$L459)</f>
        <v>78.569999999999993</v>
      </c>
      <c r="O459">
        <f>_xll.ICEHistory(M$4,O$5,"DF[dow:12345][tl:Calendar]",$L459)</f>
        <v>76.08</v>
      </c>
      <c r="P459">
        <f>_xll.ICEHistory(M$4,P$5,"DF[dow:12345][tl:Calendar]",$L459)</f>
        <v>76.89</v>
      </c>
      <c r="Q459">
        <f>_xll.ICEHistory(M$4,Q$5,"DF[dow:12345][tl:Calendar]",$L459)</f>
        <v>13906</v>
      </c>
      <c r="R459">
        <f>_xll.ICEHistory(M$4,R$5,"DF[dow:12345][tl:Calendar]",$L459)</f>
        <v>392835</v>
      </c>
      <c r="S459">
        <f>_xll.ICEHistory(S$4,S$5,"DF[dow:12345][tl:Calendar]",$L459)</f>
        <v>125.863</v>
      </c>
      <c r="T459">
        <f>_xll.ICEHistory(S$4,T$5,"DF[dow:12345][tl:Calendar]",$L459)</f>
        <v>125.863</v>
      </c>
      <c r="U459">
        <f>_xll.ICEHistory(S$4,U$5,"DF[dow:12345][tl:Calendar]",$L459)</f>
        <v>125.863</v>
      </c>
      <c r="V459">
        <f>_xll.ICEHistory(S$4,V$5,"DF[dow:12345][tl:Calendar]",$L459)</f>
        <v>125.863</v>
      </c>
      <c r="W459">
        <f>_xll.ICEHistory(S$4,W$5,"DF[dow:12345][tl:Calendar]",$L459)</f>
        <v>0</v>
      </c>
      <c r="X459">
        <f t="shared" si="21"/>
        <v>3.1210829781900162E-2</v>
      </c>
      <c r="Y459">
        <f t="shared" si="22"/>
        <v>-0.80349993463865466</v>
      </c>
      <c r="Z459">
        <f t="shared" si="23"/>
        <v>-1.002987201210239</v>
      </c>
    </row>
    <row r="460" spans="12:26" x14ac:dyDescent="0.25">
      <c r="L460" s="4">
        <f>_xll.ICETimeline(_xll.ICEJoinRange(M4:W4),"DF[dow:12345][tl:Calendar]","2020-07-26;2024-07-26",591,-1)</f>
        <v>44866.5</v>
      </c>
      <c r="M460">
        <f>_xll.ICEHistory(M$4,M$5,"DF[dow:12345][tl:Calendar]",$L460)</f>
        <v>79.78</v>
      </c>
      <c r="N460">
        <f>_xll.ICEHistory(M$4,N$5,"DF[dow:12345][tl:Calendar]",$L460)</f>
        <v>80.69</v>
      </c>
      <c r="O460">
        <f>_xll.ICEHistory(M$4,O$5,"DF[dow:12345][tl:Calendar]",$L460)</f>
        <v>75.69</v>
      </c>
      <c r="P460">
        <f>_xll.ICEHistory(M$4,P$5,"DF[dow:12345][tl:Calendar]",$L460)</f>
        <v>77.180000000000007</v>
      </c>
      <c r="Q460">
        <f>_xll.ICEHistory(M$4,Q$5,"DF[dow:12345][tl:Calendar]",$L460)</f>
        <v>20002</v>
      </c>
      <c r="R460">
        <f>_xll.ICEHistory(M$4,R$5,"DF[dow:12345][tl:Calendar]",$L460)</f>
        <v>395296</v>
      </c>
      <c r="S460">
        <f>_xll.ICEHistory(S$4,S$5,"DF[dow:12345][tl:Calendar]",$L460)</f>
        <v>116.193</v>
      </c>
      <c r="T460">
        <f>_xll.ICEHistory(S$4,T$5,"DF[dow:12345][tl:Calendar]",$L460)</f>
        <v>116.193</v>
      </c>
      <c r="U460">
        <f>_xll.ICEHistory(S$4,U$5,"DF[dow:12345][tl:Calendar]",$L460)</f>
        <v>116.193</v>
      </c>
      <c r="V460">
        <f>_xll.ICEHistory(S$4,V$5,"DF[dow:12345][tl:Calendar]",$L460)</f>
        <v>116.193</v>
      </c>
      <c r="W460">
        <f>_xll.ICEHistory(S$4,W$5,"DF[dow:12345][tl:Calendar]",$L460)</f>
        <v>0</v>
      </c>
      <c r="X460">
        <f t="shared" si="21"/>
        <v>6.1147119970649387E-2</v>
      </c>
      <c r="Y460">
        <f t="shared" si="22"/>
        <v>0.69582226810841308</v>
      </c>
      <c r="Z460">
        <f t="shared" si="23"/>
        <v>0.12784835068765477</v>
      </c>
    </row>
    <row r="461" spans="12:26" x14ac:dyDescent="0.25">
      <c r="L461" s="4">
        <f>_xll.ICETimeline(_xll.ICEJoinRange(M4:W4),"DF[dow:12345][tl:Calendar]","2020-07-26;2024-07-26",590,-1)</f>
        <v>44865.5</v>
      </c>
      <c r="M461">
        <f>_xll.ICEHistory(M$4,M$5,"DF[dow:12345][tl:Calendar]",$L461)</f>
        <v>81.77</v>
      </c>
      <c r="N461">
        <f>_xll.ICEHistory(M$4,N$5,"DF[dow:12345][tl:Calendar]",$L461)</f>
        <v>82</v>
      </c>
      <c r="O461">
        <f>_xll.ICEHistory(M$4,O$5,"DF[dow:12345][tl:Calendar]",$L461)</f>
        <v>78.150000000000006</v>
      </c>
      <c r="P461">
        <f>_xll.ICEHistory(M$4,P$5,"DF[dow:12345][tl:Calendar]",$L461)</f>
        <v>79.61</v>
      </c>
      <c r="Q461">
        <f>_xll.ICEHistory(M$4,Q$5,"DF[dow:12345][tl:Calendar]",$L461)</f>
        <v>13800</v>
      </c>
      <c r="R461">
        <f>_xll.ICEHistory(M$4,R$5,"DF[dow:12345][tl:Calendar]",$L461)</f>
        <v>394901</v>
      </c>
      <c r="S461">
        <f>_xll.ICEHistory(S$4,S$5,"DF[dow:12345][tl:Calendar]",$L461)</f>
        <v>123.352</v>
      </c>
      <c r="T461">
        <f>_xll.ICEHistory(S$4,T$5,"DF[dow:12345][tl:Calendar]",$L461)</f>
        <v>123.352</v>
      </c>
      <c r="U461">
        <f>_xll.ICEHistory(S$4,U$5,"DF[dow:12345][tl:Calendar]",$L461)</f>
        <v>123.352</v>
      </c>
      <c r="V461">
        <f>_xll.ICEHistory(S$4,V$5,"DF[dow:12345][tl:Calendar]",$L461)</f>
        <v>123.352</v>
      </c>
      <c r="W461">
        <f>_xll.ICEHistory(S$4,W$5,"DF[dow:12345][tl:Calendar]",$L461)</f>
        <v>0</v>
      </c>
      <c r="X461">
        <f t="shared" si="21"/>
        <v>4.7963124454964423E-2</v>
      </c>
      <c r="Y461">
        <f t="shared" si="22"/>
        <v>5.7377101230339615E-2</v>
      </c>
      <c r="Z461">
        <f t="shared" si="23"/>
        <v>-1.0089630622623713</v>
      </c>
    </row>
    <row r="462" spans="12:26" x14ac:dyDescent="0.25">
      <c r="L462" s="4">
        <f>_xll.ICETimeline(_xll.ICEJoinRange(M4:W4),"DF[dow:12345][tl:Calendar]","2020-07-26;2024-07-26",589,-1)</f>
        <v>44862.5</v>
      </c>
      <c r="M462">
        <f>_xll.ICEHistory(M$4,M$5,"DF[dow:12345][tl:Calendar]",$L462)</f>
        <v>80.27</v>
      </c>
      <c r="N462">
        <f>_xll.ICEHistory(M$4,N$5,"DF[dow:12345][tl:Calendar]",$L462)</f>
        <v>82.58</v>
      </c>
      <c r="O462">
        <f>_xll.ICEHistory(M$4,O$5,"DF[dow:12345][tl:Calendar]",$L462)</f>
        <v>80.010000000000005</v>
      </c>
      <c r="P462">
        <f>_xll.ICEHistory(M$4,P$5,"DF[dow:12345][tl:Calendar]",$L462)</f>
        <v>81.599999999999994</v>
      </c>
      <c r="Q462">
        <f>_xll.ICEHistory(M$4,Q$5,"DF[dow:12345][tl:Calendar]",$L462)</f>
        <v>18873</v>
      </c>
      <c r="R462">
        <f>_xll.ICEHistory(M$4,R$5,"DF[dow:12345][tl:Calendar]",$L462)</f>
        <v>394668</v>
      </c>
      <c r="S462">
        <f>_xll.ICEHistory(S$4,S$5,"DF[dow:12345][tl:Calendar]",$L462)</f>
        <v>112.244</v>
      </c>
      <c r="T462">
        <f>_xll.ICEHistory(S$4,T$5,"DF[dow:12345][tl:Calendar]",$L462)</f>
        <v>112.244</v>
      </c>
      <c r="U462">
        <f>_xll.ICEHistory(S$4,U$5,"DF[dow:12345][tl:Calendar]",$L462)</f>
        <v>112.244</v>
      </c>
      <c r="V462">
        <f>_xll.ICEHistory(S$4,V$5,"DF[dow:12345][tl:Calendar]",$L462)</f>
        <v>112.244</v>
      </c>
      <c r="W462">
        <f>_xll.ICEHistory(S$4,W$5,"DF[dow:12345][tl:Calendar]",$L462)</f>
        <v>0</v>
      </c>
      <c r="X462">
        <f t="shared" si="21"/>
        <v>3.4148285942067404E-2</v>
      </c>
      <c r="Y462">
        <f t="shared" si="22"/>
        <v>-0.62271369955763178</v>
      </c>
      <c r="Z462">
        <f t="shared" si="23"/>
        <v>-7.5981325372364517E-2</v>
      </c>
    </row>
    <row r="463" spans="12:26" x14ac:dyDescent="0.25">
      <c r="L463" s="4">
        <f>_xll.ICETimeline(_xll.ICEJoinRange(M4:W4),"DF[dow:12345][tl:Calendar]","2020-07-26;2024-07-26",588,-1)</f>
        <v>44861.5</v>
      </c>
      <c r="M463">
        <f>_xll.ICEHistory(M$4,M$5,"DF[dow:12345][tl:Calendar]",$L463)</f>
        <v>75.260000000000005</v>
      </c>
      <c r="N463">
        <f>_xll.ICEHistory(M$4,N$5,"DF[dow:12345][tl:Calendar]",$L463)</f>
        <v>81</v>
      </c>
      <c r="O463">
        <f>_xll.ICEHistory(M$4,O$5,"DF[dow:12345][tl:Calendar]",$L463)</f>
        <v>74.900000000000006</v>
      </c>
      <c r="P463">
        <f>_xll.ICEHistory(M$4,P$5,"DF[dow:12345][tl:Calendar]",$L463)</f>
        <v>81</v>
      </c>
      <c r="Q463">
        <f>_xll.ICEHistory(M$4,Q$5,"DF[dow:12345][tl:Calendar]",$L463)</f>
        <v>26463</v>
      </c>
      <c r="R463">
        <f>_xll.ICEHistory(M$4,R$5,"DF[dow:12345][tl:Calendar]",$L463)</f>
        <v>394182</v>
      </c>
      <c r="S463">
        <f>_xll.ICEHistory(S$4,S$5,"DF[dow:12345][tl:Calendar]",$L463)</f>
        <v>107.384</v>
      </c>
      <c r="T463">
        <f>_xll.ICEHistory(S$4,T$5,"DF[dow:12345][tl:Calendar]",$L463)</f>
        <v>107.384</v>
      </c>
      <c r="U463">
        <f>_xll.ICEHistory(S$4,U$5,"DF[dow:12345][tl:Calendar]",$L463)</f>
        <v>107.384</v>
      </c>
      <c r="V463">
        <f>_xll.ICEHistory(S$4,V$5,"DF[dow:12345][tl:Calendar]",$L463)</f>
        <v>107.384</v>
      </c>
      <c r="W463">
        <f>_xll.ICEHistory(S$4,W$5,"DF[dow:12345][tl:Calendar]",$L463)</f>
        <v>0</v>
      </c>
      <c r="X463">
        <f t="shared" si="21"/>
        <v>7.8964401294498304E-2</v>
      </c>
      <c r="Y463">
        <f t="shared" si="22"/>
        <v>1.6128460377180469</v>
      </c>
      <c r="Z463">
        <f t="shared" si="23"/>
        <v>1.3563030918587171</v>
      </c>
    </row>
    <row r="464" spans="12:26" x14ac:dyDescent="0.25">
      <c r="L464" s="4">
        <f>_xll.ICETimeline(_xll.ICEJoinRange(M4:W4),"DF[dow:12345][tl:Calendar]","2020-07-26;2024-07-26",587,-1)</f>
        <v>44860.5</v>
      </c>
      <c r="M464">
        <f>_xll.ICEHistory(M$4,M$5,"DF[dow:12345][tl:Calendar]",$L464)</f>
        <v>77.25</v>
      </c>
      <c r="N464">
        <f>_xll.ICEHistory(M$4,N$5,"DF[dow:12345][tl:Calendar]",$L464)</f>
        <v>78.87</v>
      </c>
      <c r="O464">
        <f>_xll.ICEHistory(M$4,O$5,"DF[dow:12345][tl:Calendar]",$L464)</f>
        <v>74.900000000000006</v>
      </c>
      <c r="P464">
        <f>_xll.ICEHistory(M$4,P$5,"DF[dow:12345][tl:Calendar]",$L464)</f>
        <v>75.239999999999995</v>
      </c>
      <c r="Q464">
        <f>_xll.ICEHistory(M$4,Q$5,"DF[dow:12345][tl:Calendar]",$L464)</f>
        <v>22977</v>
      </c>
      <c r="R464">
        <f>_xll.ICEHistory(M$4,R$5,"DF[dow:12345][tl:Calendar]",$L464)</f>
        <v>390119</v>
      </c>
      <c r="S464">
        <f>_xll.ICEHistory(S$4,S$5,"DF[dow:12345][tl:Calendar]",$L464)</f>
        <v>104.32</v>
      </c>
      <c r="T464">
        <f>_xll.ICEHistory(S$4,T$5,"DF[dow:12345][tl:Calendar]",$L464)</f>
        <v>104.32</v>
      </c>
      <c r="U464">
        <f>_xll.ICEHistory(S$4,U$5,"DF[dow:12345][tl:Calendar]",$L464)</f>
        <v>104.32</v>
      </c>
      <c r="V464">
        <f>_xll.ICEHistory(S$4,V$5,"DF[dow:12345][tl:Calendar]",$L464)</f>
        <v>104.32</v>
      </c>
      <c r="W464">
        <f>_xll.ICEHistory(S$4,W$5,"DF[dow:12345][tl:Calendar]",$L464)</f>
        <v>0</v>
      </c>
      <c r="X464">
        <f t="shared" si="21"/>
        <v>5.4826681397597006E-2</v>
      </c>
      <c r="Y464">
        <f t="shared" si="22"/>
        <v>0.44285128659387479</v>
      </c>
      <c r="Z464">
        <f t="shared" si="23"/>
        <v>0.74203768075247201</v>
      </c>
    </row>
    <row r="465" spans="12:26" x14ac:dyDescent="0.25">
      <c r="L465" s="4">
        <f>_xll.ICETimeline(_xll.ICEJoinRange(M4:W4),"DF[dow:12345][tl:Calendar]","2020-07-26;2024-07-26",586,-1)</f>
        <v>44859.5</v>
      </c>
      <c r="M465">
        <f>_xll.ICEHistory(M$4,M$5,"DF[dow:12345][tl:Calendar]",$L465)</f>
        <v>72.41</v>
      </c>
      <c r="N465">
        <f>_xll.ICEHistory(M$4,N$5,"DF[dow:12345][tl:Calendar]",$L465)</f>
        <v>77.8</v>
      </c>
      <c r="O465">
        <f>_xll.ICEHistory(M$4,O$5,"DF[dow:12345][tl:Calendar]",$L465)</f>
        <v>71.989999999999995</v>
      </c>
      <c r="P465">
        <f>_xll.ICEHistory(M$4,P$5,"DF[dow:12345][tl:Calendar]",$L465)</f>
        <v>76.84</v>
      </c>
      <c r="Q465">
        <f>_xll.ICEHistory(M$4,Q$5,"DF[dow:12345][tl:Calendar]",$L465)</f>
        <v>31487</v>
      </c>
      <c r="R465">
        <f>_xll.ICEHistory(M$4,R$5,"DF[dow:12345][tl:Calendar]",$L465)</f>
        <v>388930</v>
      </c>
      <c r="S465">
        <f>_xll.ICEHistory(S$4,S$5,"DF[dow:12345][tl:Calendar]",$L465)</f>
        <v>99.793999999999997</v>
      </c>
      <c r="T465">
        <f>_xll.ICEHistory(S$4,T$5,"DF[dow:12345][tl:Calendar]",$L465)</f>
        <v>99.793999999999997</v>
      </c>
      <c r="U465">
        <f>_xll.ICEHistory(S$4,U$5,"DF[dow:12345][tl:Calendar]",$L465)</f>
        <v>99.793999999999997</v>
      </c>
      <c r="V465">
        <f>_xll.ICEHistory(S$4,V$5,"DF[dow:12345][tl:Calendar]",$L465)</f>
        <v>99.793999999999997</v>
      </c>
      <c r="W465">
        <f>_xll.ICEHistory(S$4,W$5,"DF[dow:12345][tl:Calendar]",$L465)</f>
        <v>0</v>
      </c>
      <c r="X465">
        <f t="shared" si="21"/>
        <v>8.4202898550724672E-2</v>
      </c>
      <c r="Y465">
        <f t="shared" si="22"/>
        <v>1.9418821852025572</v>
      </c>
      <c r="Z465">
        <f t="shared" si="23"/>
        <v>2.3743547804069727</v>
      </c>
    </row>
    <row r="466" spans="12:26" x14ac:dyDescent="0.25">
      <c r="L466" s="4">
        <f>_xll.ICETimeline(_xll.ICEJoinRange(M4:W4),"DF[dow:12345][tl:Calendar]","2020-07-26;2024-07-26",585,-1)</f>
        <v>44858.5</v>
      </c>
      <c r="M466">
        <f>_xll.ICEHistory(M$4,M$5,"DF[dow:12345][tl:Calendar]",$L466)</f>
        <v>69</v>
      </c>
      <c r="N466">
        <f>_xll.ICEHistory(M$4,N$5,"DF[dow:12345][tl:Calendar]",$L466)</f>
        <v>72.66</v>
      </c>
      <c r="O466">
        <f>_xll.ICEHistory(M$4,O$5,"DF[dow:12345][tl:Calendar]",$L466)</f>
        <v>67.64</v>
      </c>
      <c r="P466">
        <f>_xll.ICEHistory(M$4,P$5,"DF[dow:12345][tl:Calendar]",$L466)</f>
        <v>72.41</v>
      </c>
      <c r="Q466">
        <f>_xll.ICEHistory(M$4,Q$5,"DF[dow:12345][tl:Calendar]",$L466)</f>
        <v>23321</v>
      </c>
      <c r="R466">
        <f>_xll.ICEHistory(M$4,R$5,"DF[dow:12345][tl:Calendar]",$L466)</f>
        <v>391180</v>
      </c>
      <c r="S466">
        <f>_xll.ICEHistory(S$4,S$5,"DF[dow:12345][tl:Calendar]",$L466)</f>
        <v>99.17</v>
      </c>
      <c r="T466">
        <f>_xll.ICEHistory(S$4,T$5,"DF[dow:12345][tl:Calendar]",$L466)</f>
        <v>99.17</v>
      </c>
      <c r="U466">
        <f>_xll.ICEHistory(S$4,U$5,"DF[dow:12345][tl:Calendar]",$L466)</f>
        <v>99.17</v>
      </c>
      <c r="V466">
        <f>_xll.ICEHistory(S$4,V$5,"DF[dow:12345][tl:Calendar]",$L466)</f>
        <v>99.17</v>
      </c>
      <c r="W466">
        <f>_xll.ICEHistory(S$4,W$5,"DF[dow:12345][tl:Calendar]",$L466)</f>
        <v>0</v>
      </c>
      <c r="X466">
        <f t="shared" si="21"/>
        <v>7.5251086793584124E-2</v>
      </c>
      <c r="Y466">
        <f t="shared" si="22"/>
        <v>1.5700105156075095</v>
      </c>
      <c r="Z466">
        <f t="shared" si="23"/>
        <v>0.88452799496929346</v>
      </c>
    </row>
    <row r="467" spans="12:26" x14ac:dyDescent="0.25">
      <c r="L467" s="4">
        <f>_xll.ICETimeline(_xll.ICEJoinRange(M4:W4),"DF[dow:12345][tl:Calendar]","2020-07-26;2024-07-26",584,-1)</f>
        <v>44855.5</v>
      </c>
      <c r="M467">
        <f>_xll.ICEHistory(M$4,M$5,"DF[dow:12345][tl:Calendar]",$L467)</f>
        <v>66.709999999999994</v>
      </c>
      <c r="N467">
        <f>_xll.ICEHistory(M$4,N$5,"DF[dow:12345][tl:Calendar]",$L467)</f>
        <v>69.42</v>
      </c>
      <c r="O467">
        <f>_xll.ICEHistory(M$4,O$5,"DF[dow:12345][tl:Calendar]",$L467)</f>
        <v>66.66</v>
      </c>
      <c r="P467">
        <f>_xll.ICEHistory(M$4,P$5,"DF[dow:12345][tl:Calendar]",$L467)</f>
        <v>69.099999999999994</v>
      </c>
      <c r="Q467">
        <f>_xll.ICEHistory(M$4,Q$5,"DF[dow:12345][tl:Calendar]",$L467)</f>
        <v>12835</v>
      </c>
      <c r="R467">
        <f>_xll.ICEHistory(M$4,R$5,"DF[dow:12345][tl:Calendar]",$L467)</f>
        <v>389204</v>
      </c>
      <c r="S467">
        <f>_xll.ICEHistory(S$4,S$5,"DF[dow:12345][tl:Calendar]",$L467)</f>
        <v>113.57599999999999</v>
      </c>
      <c r="T467">
        <f>_xll.ICEHistory(S$4,T$5,"DF[dow:12345][tl:Calendar]",$L467)</f>
        <v>113.57599999999999</v>
      </c>
      <c r="U467">
        <f>_xll.ICEHistory(S$4,U$5,"DF[dow:12345][tl:Calendar]",$L467)</f>
        <v>113.57599999999999</v>
      </c>
      <c r="V467">
        <f>_xll.ICEHistory(S$4,V$5,"DF[dow:12345][tl:Calendar]",$L467)</f>
        <v>113.57599999999999</v>
      </c>
      <c r="W467">
        <f>_xll.ICEHistory(S$4,W$5,"DF[dow:12345][tl:Calendar]",$L467)</f>
        <v>0</v>
      </c>
      <c r="X467">
        <f t="shared" si="21"/>
        <v>4.1053101294065225E-2</v>
      </c>
      <c r="Y467">
        <f t="shared" si="22"/>
        <v>-0.15971257305629949</v>
      </c>
      <c r="Z467">
        <f t="shared" si="23"/>
        <v>-1.1873297658713062</v>
      </c>
    </row>
    <row r="468" spans="12:26" x14ac:dyDescent="0.25">
      <c r="L468" s="4">
        <f>_xll.ICETimeline(_xll.ICEJoinRange(M4:W4),"DF[dow:12345][tl:Calendar]","2020-07-26;2024-07-26",583,-1)</f>
        <v>44854.5</v>
      </c>
      <c r="M468">
        <f>_xll.ICEHistory(M$4,M$5,"DF[dow:12345][tl:Calendar]",$L468)</f>
        <v>67.23</v>
      </c>
      <c r="N468">
        <f>_xll.ICEHistory(M$4,N$5,"DF[dow:12345][tl:Calendar]",$L468)</f>
        <v>67.88</v>
      </c>
      <c r="O468">
        <f>_xll.ICEHistory(M$4,O$5,"DF[dow:12345][tl:Calendar]",$L468)</f>
        <v>66.540000000000006</v>
      </c>
      <c r="P468">
        <f>_xll.ICEHistory(M$4,P$5,"DF[dow:12345][tl:Calendar]",$L468)</f>
        <v>66.73</v>
      </c>
      <c r="Q468">
        <f>_xll.ICEHistory(M$4,Q$5,"DF[dow:12345][tl:Calendar]",$L468)</f>
        <v>18013</v>
      </c>
      <c r="R468">
        <f>_xll.ICEHistory(M$4,R$5,"DF[dow:12345][tl:Calendar]",$L468)</f>
        <v>389120</v>
      </c>
      <c r="S468">
        <f>_xll.ICEHistory(S$4,S$5,"DF[dow:12345][tl:Calendar]",$L468)</f>
        <v>127.14700000000001</v>
      </c>
      <c r="T468">
        <f>_xll.ICEHistory(S$4,T$5,"DF[dow:12345][tl:Calendar]",$L468)</f>
        <v>127.14700000000001</v>
      </c>
      <c r="U468">
        <f>_xll.ICEHistory(S$4,U$5,"DF[dow:12345][tl:Calendar]",$L468)</f>
        <v>127.14700000000001</v>
      </c>
      <c r="V468">
        <f>_xll.ICEHistory(S$4,V$5,"DF[dow:12345][tl:Calendar]",$L468)</f>
        <v>127.14700000000001</v>
      </c>
      <c r="W468">
        <f>_xll.ICEHistory(S$4,W$5,"DF[dow:12345][tl:Calendar]",$L468)</f>
        <v>0</v>
      </c>
      <c r="X468">
        <f t="shared" si="21"/>
        <v>1.9925650557620658E-2</v>
      </c>
      <c r="Y468">
        <f t="shared" si="22"/>
        <v>-1.2711727161760724</v>
      </c>
      <c r="Z468">
        <f t="shared" si="23"/>
        <v>-0.22922734059706165</v>
      </c>
    </row>
    <row r="469" spans="12:26" x14ac:dyDescent="0.25">
      <c r="L469" s="4">
        <f>_xll.ICETimeline(_xll.ICEJoinRange(M4:W4),"DF[dow:12345][tl:Calendar]","2020-07-26;2024-07-26",582,-1)</f>
        <v>44853.5</v>
      </c>
      <c r="M469">
        <f>_xll.ICEHistory(M$4,M$5,"DF[dow:12345][tl:Calendar]",$L469)</f>
        <v>67.25</v>
      </c>
      <c r="N469">
        <f>_xll.ICEHistory(M$4,N$5,"DF[dow:12345][tl:Calendar]",$L469)</f>
        <v>69.69</v>
      </c>
      <c r="O469">
        <f>_xll.ICEHistory(M$4,O$5,"DF[dow:12345][tl:Calendar]",$L469)</f>
        <v>66.989999999999995</v>
      </c>
      <c r="P469">
        <f>_xll.ICEHistory(M$4,P$5,"DF[dow:12345][tl:Calendar]",$L469)</f>
        <v>67.39</v>
      </c>
      <c r="Q469">
        <f>_xll.ICEHistory(M$4,Q$5,"DF[dow:12345][tl:Calendar]",$L469)</f>
        <v>19134</v>
      </c>
      <c r="R469">
        <f>_xll.ICEHistory(M$4,R$5,"DF[dow:12345][tl:Calendar]",$L469)</f>
        <v>388200</v>
      </c>
      <c r="S469">
        <f>_xll.ICEHistory(S$4,S$5,"DF[dow:12345][tl:Calendar]",$L469)</f>
        <v>112.51</v>
      </c>
      <c r="T469">
        <f>_xll.ICEHistory(S$4,T$5,"DF[dow:12345][tl:Calendar]",$L469)</f>
        <v>112.51</v>
      </c>
      <c r="U469">
        <f>_xll.ICEHistory(S$4,U$5,"DF[dow:12345][tl:Calendar]",$L469)</f>
        <v>112.51</v>
      </c>
      <c r="V469">
        <f>_xll.ICEHistory(S$4,V$5,"DF[dow:12345][tl:Calendar]",$L469)</f>
        <v>112.51</v>
      </c>
      <c r="W469">
        <f>_xll.ICEHistory(S$4,W$5,"DF[dow:12345][tl:Calendar]",$L469)</f>
        <v>0</v>
      </c>
      <c r="X469">
        <f t="shared" si="21"/>
        <v>4.0124832813196648E-2</v>
      </c>
      <c r="Y469">
        <f t="shared" si="22"/>
        <v>-0.21969811571169012</v>
      </c>
      <c r="Z469">
        <f t="shared" si="23"/>
        <v>-6.9874550618571243E-2</v>
      </c>
    </row>
    <row r="470" spans="12:26" x14ac:dyDescent="0.25">
      <c r="L470" s="4">
        <f>_xll.ICETimeline(_xll.ICEJoinRange(M4:W4),"DF[dow:12345][tl:Calendar]","2020-07-26;2024-07-26",581,-1)</f>
        <v>44852.5</v>
      </c>
      <c r="M470">
        <f>_xll.ICEHistory(M$4,M$5,"DF[dow:12345][tl:Calendar]",$L470)</f>
        <v>67.290000000000006</v>
      </c>
      <c r="N470">
        <f>_xll.ICEHistory(M$4,N$5,"DF[dow:12345][tl:Calendar]",$L470)</f>
        <v>68.39</v>
      </c>
      <c r="O470">
        <f>_xll.ICEHistory(M$4,O$5,"DF[dow:12345][tl:Calendar]",$L470)</f>
        <v>66.510000000000005</v>
      </c>
      <c r="P470">
        <f>_xll.ICEHistory(M$4,P$5,"DF[dow:12345][tl:Calendar]",$L470)</f>
        <v>67.459999999999994</v>
      </c>
      <c r="Q470">
        <f>_xll.ICEHistory(M$4,Q$5,"DF[dow:12345][tl:Calendar]",$L470)</f>
        <v>18002</v>
      </c>
      <c r="R470">
        <f>_xll.ICEHistory(M$4,R$5,"DF[dow:12345][tl:Calendar]",$L470)</f>
        <v>389934</v>
      </c>
      <c r="S470">
        <f>_xll.ICEHistory(S$4,S$5,"DF[dow:12345][tl:Calendar]",$L470)</f>
        <v>113.22199999999999</v>
      </c>
      <c r="T470">
        <f>_xll.ICEHistory(S$4,T$5,"DF[dow:12345][tl:Calendar]",$L470)</f>
        <v>113.22199999999999</v>
      </c>
      <c r="U470">
        <f>_xll.ICEHistory(S$4,U$5,"DF[dow:12345][tl:Calendar]",$L470)</f>
        <v>113.22199999999999</v>
      </c>
      <c r="V470">
        <f>_xll.ICEHistory(S$4,V$5,"DF[dow:12345][tl:Calendar]",$L470)</f>
        <v>113.22199999999999</v>
      </c>
      <c r="W470">
        <f>_xll.ICEHistory(S$4,W$5,"DF[dow:12345][tl:Calendar]",$L470)</f>
        <v>0</v>
      </c>
      <c r="X470">
        <f t="shared" si="21"/>
        <v>2.7642993677400314E-2</v>
      </c>
      <c r="Y470">
        <f t="shared" si="22"/>
        <v>-0.88784578742182596</v>
      </c>
      <c r="Z470">
        <f t="shared" si="23"/>
        <v>-0.26922645619133345</v>
      </c>
    </row>
    <row r="471" spans="12:26" x14ac:dyDescent="0.25">
      <c r="L471" s="4">
        <f>_xll.ICETimeline(_xll.ICEJoinRange(M4:W4),"DF[dow:12345][tl:Calendar]","2020-07-26;2024-07-26",580,-1)</f>
        <v>44851.5</v>
      </c>
      <c r="M471">
        <f>_xll.ICEHistory(M$4,M$5,"DF[dow:12345][tl:Calendar]",$L471)</f>
        <v>68.010000000000005</v>
      </c>
      <c r="N471">
        <f>_xll.ICEHistory(M$4,N$5,"DF[dow:12345][tl:Calendar]",$L471)</f>
        <v>68.63</v>
      </c>
      <c r="O471">
        <f>_xll.ICEHistory(M$4,O$5,"DF[dow:12345][tl:Calendar]",$L471)</f>
        <v>66.260000000000005</v>
      </c>
      <c r="P471">
        <f>_xll.ICEHistory(M$4,P$5,"DF[dow:12345][tl:Calendar]",$L471)</f>
        <v>67.540000000000006</v>
      </c>
      <c r="Q471">
        <f>_xll.ICEHistory(M$4,Q$5,"DF[dow:12345][tl:Calendar]",$L471)</f>
        <v>16567</v>
      </c>
      <c r="R471">
        <f>_xll.ICEHistory(M$4,R$5,"DF[dow:12345][tl:Calendar]",$L471)</f>
        <v>389577</v>
      </c>
      <c r="S471">
        <f>_xll.ICEHistory(S$4,S$5,"DF[dow:12345][tl:Calendar]",$L471)</f>
        <v>127.97799999999999</v>
      </c>
      <c r="T471">
        <f>_xll.ICEHistory(S$4,T$5,"DF[dow:12345][tl:Calendar]",$L471)</f>
        <v>127.97799999999999</v>
      </c>
      <c r="U471">
        <f>_xll.ICEHistory(S$4,U$5,"DF[dow:12345][tl:Calendar]",$L471)</f>
        <v>127.97799999999999</v>
      </c>
      <c r="V471">
        <f>_xll.ICEHistory(S$4,V$5,"DF[dow:12345][tl:Calendar]",$L471)</f>
        <v>127.97799999999999</v>
      </c>
      <c r="W471">
        <f>_xll.ICEHistory(S$4,W$5,"DF[dow:12345][tl:Calendar]",$L471)</f>
        <v>0</v>
      </c>
      <c r="X471">
        <f t="shared" si="21"/>
        <v>3.4487776484283909E-2</v>
      </c>
      <c r="Y471">
        <f t="shared" si="22"/>
        <v>-0.52942674367907172</v>
      </c>
      <c r="Z471">
        <f t="shared" si="23"/>
        <v>-0.49512200758463709</v>
      </c>
    </row>
    <row r="472" spans="12:26" x14ac:dyDescent="0.25">
      <c r="L472" s="4">
        <f>_xll.ICETimeline(_xll.ICEJoinRange(M4:W4),"DF[dow:12345][tl:Calendar]","2020-07-26;2024-07-26",579,-1)</f>
        <v>44848.5</v>
      </c>
      <c r="M472">
        <f>_xll.ICEHistory(M$4,M$5,"DF[dow:12345][tl:Calendar]",$L472)</f>
        <v>68.72</v>
      </c>
      <c r="N472">
        <f>_xll.ICEHistory(M$4,N$5,"DF[dow:12345][tl:Calendar]",$L472)</f>
        <v>69</v>
      </c>
      <c r="O472">
        <f>_xll.ICEHistory(M$4,O$5,"DF[dow:12345][tl:Calendar]",$L472)</f>
        <v>67.12</v>
      </c>
      <c r="P472">
        <f>_xll.ICEHistory(M$4,P$5,"DF[dow:12345][tl:Calendar]",$L472)</f>
        <v>68.05</v>
      </c>
      <c r="Q472">
        <f>_xll.ICEHistory(M$4,Q$5,"DF[dow:12345][tl:Calendar]",$L472)</f>
        <v>13335</v>
      </c>
      <c r="R472">
        <f>_xll.ICEHistory(M$4,R$5,"DF[dow:12345][tl:Calendar]",$L472)</f>
        <v>387888</v>
      </c>
      <c r="S472">
        <f>_xll.ICEHistory(S$4,S$5,"DF[dow:12345][tl:Calendar]",$L472)</f>
        <v>141.99700000000001</v>
      </c>
      <c r="T472">
        <f>_xll.ICEHistory(S$4,T$5,"DF[dow:12345][tl:Calendar]",$L472)</f>
        <v>141.99700000000001</v>
      </c>
      <c r="U472">
        <f>_xll.ICEHistory(S$4,U$5,"DF[dow:12345][tl:Calendar]",$L472)</f>
        <v>141.99700000000001</v>
      </c>
      <c r="V472">
        <f>_xll.ICEHistory(S$4,V$5,"DF[dow:12345][tl:Calendar]",$L472)</f>
        <v>141.99700000000001</v>
      </c>
      <c r="W472">
        <f>_xll.ICEHistory(S$4,W$5,"DF[dow:12345][tl:Calendar]",$L472)</f>
        <v>0</v>
      </c>
      <c r="X472">
        <f t="shared" si="21"/>
        <v>2.8326050926623405E-2</v>
      </c>
      <c r="Y472">
        <f t="shared" si="22"/>
        <v>-0.83458476293060491</v>
      </c>
      <c r="Z472">
        <f t="shared" si="23"/>
        <v>-1.0343387430092224</v>
      </c>
    </row>
    <row r="473" spans="12:26" x14ac:dyDescent="0.25">
      <c r="L473" s="4">
        <f>_xll.ICETimeline(_xll.ICEJoinRange(M4:W4),"DF[dow:12345][tl:Calendar]","2020-07-26;2024-07-26",578,-1)</f>
        <v>44847.5</v>
      </c>
      <c r="M473">
        <f>_xll.ICEHistory(M$4,M$5,"DF[dow:12345][tl:Calendar]",$L473)</f>
        <v>66.37</v>
      </c>
      <c r="N473">
        <f>_xll.ICEHistory(M$4,N$5,"DF[dow:12345][tl:Calendar]",$L473)</f>
        <v>69.5</v>
      </c>
      <c r="O473">
        <f>_xll.ICEHistory(M$4,O$5,"DF[dow:12345][tl:Calendar]",$L473)</f>
        <v>65.75</v>
      </c>
      <c r="P473">
        <f>_xll.ICEHistory(M$4,P$5,"DF[dow:12345][tl:Calendar]",$L473)</f>
        <v>68.849999999999994</v>
      </c>
      <c r="Q473">
        <f>_xll.ICEHistory(M$4,Q$5,"DF[dow:12345][tl:Calendar]",$L473)</f>
        <v>26083</v>
      </c>
      <c r="R473">
        <f>_xll.ICEHistory(M$4,R$5,"DF[dow:12345][tl:Calendar]",$L473)</f>
        <v>386805</v>
      </c>
      <c r="S473">
        <f>_xll.ICEHistory(S$4,S$5,"DF[dow:12345][tl:Calendar]",$L473)</f>
        <v>153.809</v>
      </c>
      <c r="T473">
        <f>_xll.ICEHistory(S$4,T$5,"DF[dow:12345][tl:Calendar]",$L473)</f>
        <v>153.809</v>
      </c>
      <c r="U473">
        <f>_xll.ICEHistory(S$4,U$5,"DF[dow:12345][tl:Calendar]",$L473)</f>
        <v>153.809</v>
      </c>
      <c r="V473">
        <f>_xll.ICEHistory(S$4,V$5,"DF[dow:12345][tl:Calendar]",$L473)</f>
        <v>153.809</v>
      </c>
      <c r="W473">
        <f>_xll.ICEHistory(S$4,W$5,"DF[dow:12345][tl:Calendar]",$L473)</f>
        <v>0</v>
      </c>
      <c r="X473">
        <f t="shared" si="21"/>
        <v>5.6475903614457826E-2</v>
      </c>
      <c r="Y473">
        <f t="shared" si="22"/>
        <v>0.62928256304584418</v>
      </c>
      <c r="Z473">
        <f t="shared" si="23"/>
        <v>1.1235457119167265</v>
      </c>
    </row>
    <row r="474" spans="12:26" x14ac:dyDescent="0.25">
      <c r="L474" s="4">
        <f>_xll.ICETimeline(_xll.ICEJoinRange(M4:W4),"DF[dow:12345][tl:Calendar]","2020-07-26;2024-07-26",577,-1)</f>
        <v>44846.5</v>
      </c>
      <c r="M474">
        <f>_xll.ICEHistory(M$4,M$5,"DF[dow:12345][tl:Calendar]",$L474)</f>
        <v>66.400000000000006</v>
      </c>
      <c r="N474">
        <f>_xll.ICEHistory(M$4,N$5,"DF[dow:12345][tl:Calendar]",$L474)</f>
        <v>68.64</v>
      </c>
      <c r="O474">
        <f>_xll.ICEHistory(M$4,O$5,"DF[dow:12345][tl:Calendar]",$L474)</f>
        <v>65.010000000000005</v>
      </c>
      <c r="P474">
        <f>_xll.ICEHistory(M$4,P$5,"DF[dow:12345][tl:Calendar]",$L474)</f>
        <v>66.48</v>
      </c>
      <c r="Q474">
        <f>_xll.ICEHistory(M$4,Q$5,"DF[dow:12345][tl:Calendar]",$L474)</f>
        <v>21019</v>
      </c>
      <c r="R474">
        <f>_xll.ICEHistory(M$4,R$5,"DF[dow:12345][tl:Calendar]",$L474)</f>
        <v>389406</v>
      </c>
      <c r="S474">
        <f>_xll.ICEHistory(S$4,S$5,"DF[dow:12345][tl:Calendar]",$L474)</f>
        <v>160.19</v>
      </c>
      <c r="T474">
        <f>_xll.ICEHistory(S$4,T$5,"DF[dow:12345][tl:Calendar]",$L474)</f>
        <v>160.19</v>
      </c>
      <c r="U474">
        <f>_xll.ICEHistory(S$4,U$5,"DF[dow:12345][tl:Calendar]",$L474)</f>
        <v>160.19</v>
      </c>
      <c r="V474">
        <f>_xll.ICEHistory(S$4,V$5,"DF[dow:12345][tl:Calendar]",$L474)</f>
        <v>160.19</v>
      </c>
      <c r="W474">
        <f>_xll.ICEHistory(S$4,W$5,"DF[dow:12345][tl:Calendar]",$L474)</f>
        <v>0</v>
      </c>
      <c r="X474">
        <f t="shared" si="21"/>
        <v>5.4260089686098585E-2</v>
      </c>
      <c r="Y474">
        <f t="shared" si="22"/>
        <v>0.53910390305107303</v>
      </c>
      <c r="Z474">
        <f t="shared" si="23"/>
        <v>0.29552055245305348</v>
      </c>
    </row>
    <row r="475" spans="12:26" x14ac:dyDescent="0.25">
      <c r="L475" s="4">
        <f>_xll.ICETimeline(_xll.ICEJoinRange(M4:W4),"DF[dow:12345][tl:Calendar]","2020-07-26;2024-07-26",576,-1)</f>
        <v>44845.5</v>
      </c>
      <c r="M475">
        <f>_xll.ICEHistory(M$4,M$5,"DF[dow:12345][tl:Calendar]",$L475)</f>
        <v>66.900000000000006</v>
      </c>
      <c r="N475">
        <f>_xll.ICEHistory(M$4,N$5,"DF[dow:12345][tl:Calendar]",$L475)</f>
        <v>67.400000000000006</v>
      </c>
      <c r="O475">
        <f>_xll.ICEHistory(M$4,O$5,"DF[dow:12345][tl:Calendar]",$L475)</f>
        <v>65.650000000000006</v>
      </c>
      <c r="P475">
        <f>_xll.ICEHistory(M$4,P$5,"DF[dow:12345][tl:Calendar]",$L475)</f>
        <v>66.41</v>
      </c>
      <c r="Q475">
        <f>_xll.ICEHistory(M$4,Q$5,"DF[dow:12345][tl:Calendar]",$L475)</f>
        <v>16720</v>
      </c>
      <c r="R475">
        <f>_xll.ICEHistory(M$4,R$5,"DF[dow:12345][tl:Calendar]",$L475)</f>
        <v>388546</v>
      </c>
      <c r="S475">
        <f>_xll.ICEHistory(S$4,S$5,"DF[dow:12345][tl:Calendar]",$L475)</f>
        <v>156.78100000000001</v>
      </c>
      <c r="T475">
        <f>_xll.ICEHistory(S$4,T$5,"DF[dow:12345][tl:Calendar]",$L475)</f>
        <v>156.78100000000001</v>
      </c>
      <c r="U475">
        <f>_xll.ICEHistory(S$4,U$5,"DF[dow:12345][tl:Calendar]",$L475)</f>
        <v>156.78100000000001</v>
      </c>
      <c r="V475">
        <f>_xll.ICEHistory(S$4,V$5,"DF[dow:12345][tl:Calendar]",$L475)</f>
        <v>156.78100000000001</v>
      </c>
      <c r="W475">
        <f>_xll.ICEHistory(S$4,W$5,"DF[dow:12345][tl:Calendar]",$L475)</f>
        <v>0</v>
      </c>
      <c r="X475">
        <f t="shared" si="21"/>
        <v>2.536967236880255E-2</v>
      </c>
      <c r="Y475">
        <f t="shared" si="22"/>
        <v>-0.93022724724471773</v>
      </c>
      <c r="Z475">
        <f t="shared" si="23"/>
        <v>-0.42666085552601879</v>
      </c>
    </row>
    <row r="476" spans="12:26" x14ac:dyDescent="0.25">
      <c r="L476" s="4">
        <f>_xll.ICETimeline(_xll.ICEJoinRange(M4:W4),"DF[dow:12345][tl:Calendar]","2020-07-26;2024-07-26",575,-1)</f>
        <v>44844.5</v>
      </c>
      <c r="M476">
        <f>_xll.ICEHistory(M$4,M$5,"DF[dow:12345][tl:Calendar]",$L476)</f>
        <v>68.98</v>
      </c>
      <c r="N476">
        <f>_xll.ICEHistory(M$4,N$5,"DF[dow:12345][tl:Calendar]",$L476)</f>
        <v>69.400000000000006</v>
      </c>
      <c r="O476">
        <f>_xll.ICEHistory(M$4,O$5,"DF[dow:12345][tl:Calendar]",$L476)</f>
        <v>65.709999999999994</v>
      </c>
      <c r="P476">
        <f>_xll.ICEHistory(M$4,P$5,"DF[dow:12345][tl:Calendar]",$L476)</f>
        <v>66.959999999999994</v>
      </c>
      <c r="Q476">
        <f>_xll.ICEHistory(M$4,Q$5,"DF[dow:12345][tl:Calendar]",$L476)</f>
        <v>17059</v>
      </c>
      <c r="R476">
        <f>_xll.ICEHistory(M$4,R$5,"DF[dow:12345][tl:Calendar]",$L476)</f>
        <v>388903</v>
      </c>
      <c r="S476">
        <f>_xll.ICEHistory(S$4,S$5,"DF[dow:12345][tl:Calendar]",$L476)</f>
        <v>154.11799999999999</v>
      </c>
      <c r="T476">
        <f>_xll.ICEHistory(S$4,T$5,"DF[dow:12345][tl:Calendar]",$L476)</f>
        <v>154.11799999999999</v>
      </c>
      <c r="U476">
        <f>_xll.ICEHistory(S$4,U$5,"DF[dow:12345][tl:Calendar]",$L476)</f>
        <v>154.11799999999999</v>
      </c>
      <c r="V476">
        <f>_xll.ICEHistory(S$4,V$5,"DF[dow:12345][tl:Calendar]",$L476)</f>
        <v>154.11799999999999</v>
      </c>
      <c r="W476">
        <f>_xll.ICEHistory(S$4,W$5,"DF[dow:12345][tl:Calendar]",$L476)</f>
        <v>0</v>
      </c>
      <c r="X476">
        <f t="shared" si="21"/>
        <v>5.3323699421965486E-2</v>
      </c>
      <c r="Y476">
        <f t="shared" si="22"/>
        <v>0.50254698503072481</v>
      </c>
      <c r="Z476">
        <f t="shared" si="23"/>
        <v>-0.35276503232544509</v>
      </c>
    </row>
    <row r="477" spans="12:26" x14ac:dyDescent="0.25">
      <c r="L477" s="4">
        <f>_xll.ICETimeline(_xll.ICEJoinRange(M4:W4),"DF[dow:12345][tl:Calendar]","2020-07-26;2024-07-26",574,-1)</f>
        <v>44841.5</v>
      </c>
      <c r="M477">
        <f>_xll.ICEHistory(M$4,M$5,"DF[dow:12345][tl:Calendar]",$L477)</f>
        <v>69.2</v>
      </c>
      <c r="N477">
        <f>_xll.ICEHistory(M$4,N$5,"DF[dow:12345][tl:Calendar]",$L477)</f>
        <v>70.39</v>
      </c>
      <c r="O477">
        <f>_xll.ICEHistory(M$4,O$5,"DF[dow:12345][tl:Calendar]",$L477)</f>
        <v>67.63</v>
      </c>
      <c r="P477">
        <f>_xll.ICEHistory(M$4,P$5,"DF[dow:12345][tl:Calendar]",$L477)</f>
        <v>68.66</v>
      </c>
      <c r="Q477">
        <f>_xll.ICEHistory(M$4,Q$5,"DF[dow:12345][tl:Calendar]",$L477)</f>
        <v>15419</v>
      </c>
      <c r="R477">
        <f>_xll.ICEHistory(M$4,R$5,"DF[dow:12345][tl:Calendar]",$L477)</f>
        <v>387900</v>
      </c>
      <c r="S477">
        <f>_xll.ICEHistory(S$4,S$5,"DF[dow:12345][tl:Calendar]",$L477)</f>
        <v>156.20699999999999</v>
      </c>
      <c r="T477">
        <f>_xll.ICEHistory(S$4,T$5,"DF[dow:12345][tl:Calendar]",$L477)</f>
        <v>156.20699999999999</v>
      </c>
      <c r="U477">
        <f>_xll.ICEHistory(S$4,U$5,"DF[dow:12345][tl:Calendar]",$L477)</f>
        <v>156.20699999999999</v>
      </c>
      <c r="V477">
        <f>_xll.ICEHistory(S$4,V$5,"DF[dow:12345][tl:Calendar]",$L477)</f>
        <v>156.20699999999999</v>
      </c>
      <c r="W477">
        <f>_xll.ICEHistory(S$4,W$5,"DF[dow:12345][tl:Calendar]",$L477)</f>
        <v>0</v>
      </c>
      <c r="X477">
        <f t="shared" si="21"/>
        <v>4.1261773060248245E-2</v>
      </c>
      <c r="Y477">
        <f t="shared" si="22"/>
        <v>-9.5068857570191706E-2</v>
      </c>
      <c r="Z477">
        <f t="shared" si="23"/>
        <v>-0.61837157905977302</v>
      </c>
    </row>
    <row r="478" spans="12:26" x14ac:dyDescent="0.25">
      <c r="L478" s="4">
        <f>_xll.ICETimeline(_xll.ICEJoinRange(M4:W4),"DF[dow:12345][tl:Calendar]","2020-07-26;2024-07-26",573,-1)</f>
        <v>44840.5</v>
      </c>
      <c r="M478">
        <f>_xll.ICEHistory(M$4,M$5,"DF[dow:12345][tl:Calendar]",$L478)</f>
        <v>66.89</v>
      </c>
      <c r="N478">
        <f>_xll.ICEHistory(M$4,N$5,"DF[dow:12345][tl:Calendar]",$L478)</f>
        <v>69.489999999999995</v>
      </c>
      <c r="O478">
        <f>_xll.ICEHistory(M$4,O$5,"DF[dow:12345][tl:Calendar]",$L478)</f>
        <v>65.5</v>
      </c>
      <c r="P478">
        <f>_xll.ICEHistory(M$4,P$5,"DF[dow:12345][tl:Calendar]",$L478)</f>
        <v>69.23</v>
      </c>
      <c r="Q478">
        <f>_xll.ICEHistory(M$4,Q$5,"DF[dow:12345][tl:Calendar]",$L478)</f>
        <v>15702</v>
      </c>
      <c r="R478">
        <f>_xll.ICEHistory(M$4,R$5,"DF[dow:12345][tl:Calendar]",$L478)</f>
        <v>386201</v>
      </c>
      <c r="S478">
        <f>_xll.ICEHistory(S$4,S$5,"DF[dow:12345][tl:Calendar]",$L478)</f>
        <v>175.71199999999999</v>
      </c>
      <c r="T478">
        <f>_xll.ICEHistory(S$4,T$5,"DF[dow:12345][tl:Calendar]",$L478)</f>
        <v>175.71199999999999</v>
      </c>
      <c r="U478">
        <f>_xll.ICEHistory(S$4,U$5,"DF[dow:12345][tl:Calendar]",$L478)</f>
        <v>175.71199999999999</v>
      </c>
      <c r="V478">
        <f>_xll.ICEHistory(S$4,V$5,"DF[dow:12345][tl:Calendar]",$L478)</f>
        <v>175.71199999999999</v>
      </c>
      <c r="W478">
        <f>_xll.ICEHistory(S$4,W$5,"DF[dow:12345][tl:Calendar]",$L478)</f>
        <v>0</v>
      </c>
      <c r="X478">
        <f t="shared" si="21"/>
        <v>5.8919078558771334E-2</v>
      </c>
      <c r="Y478">
        <f t="shared" si="22"/>
        <v>0.81673777521661517</v>
      </c>
      <c r="Z478">
        <f t="shared" si="23"/>
        <v>-0.569172251529665</v>
      </c>
    </row>
    <row r="479" spans="12:26" x14ac:dyDescent="0.25">
      <c r="L479" s="4">
        <f>_xll.ICETimeline(_xll.ICEJoinRange(M4:W4),"DF[dow:12345][tl:Calendar]","2020-07-26;2024-07-26",572,-1)</f>
        <v>44839.5</v>
      </c>
      <c r="M479">
        <f>_xll.ICEHistory(M$4,M$5,"DF[dow:12345][tl:Calendar]",$L479)</f>
        <v>67.72</v>
      </c>
      <c r="N479">
        <f>_xll.ICEHistory(M$4,N$5,"DF[dow:12345][tl:Calendar]",$L479)</f>
        <v>71.36</v>
      </c>
      <c r="O479">
        <f>_xll.ICEHistory(M$4,O$5,"DF[dow:12345][tl:Calendar]",$L479)</f>
        <v>66.540000000000006</v>
      </c>
      <c r="P479">
        <f>_xll.ICEHistory(M$4,P$5,"DF[dow:12345][tl:Calendar]",$L479)</f>
        <v>66.89</v>
      </c>
      <c r="Q479">
        <f>_xll.ICEHistory(M$4,Q$5,"DF[dow:12345][tl:Calendar]",$L479)</f>
        <v>19794</v>
      </c>
      <c r="R479">
        <f>_xll.ICEHistory(M$4,R$5,"DF[dow:12345][tl:Calendar]",$L479)</f>
        <v>386111</v>
      </c>
      <c r="S479">
        <f>_xll.ICEHistory(S$4,S$5,"DF[dow:12345][tl:Calendar]",$L479)</f>
        <v>173.69300000000001</v>
      </c>
      <c r="T479">
        <f>_xll.ICEHistory(S$4,T$5,"DF[dow:12345][tl:Calendar]",$L479)</f>
        <v>173.69300000000001</v>
      </c>
      <c r="U479">
        <f>_xll.ICEHistory(S$4,U$5,"DF[dow:12345][tl:Calendar]",$L479)</f>
        <v>173.69300000000001</v>
      </c>
      <c r="V479">
        <f>_xll.ICEHistory(S$4,V$5,"DF[dow:12345][tl:Calendar]",$L479)</f>
        <v>173.69300000000001</v>
      </c>
      <c r="W479">
        <f>_xll.ICEHistory(S$4,W$5,"DF[dow:12345][tl:Calendar]",$L479)</f>
        <v>0</v>
      </c>
      <c r="X479">
        <f t="shared" si="21"/>
        <v>7.2350645451816159E-2</v>
      </c>
      <c r="Y479">
        <f t="shared" si="22"/>
        <v>1.5282257120738463</v>
      </c>
      <c r="Z479">
        <f t="shared" si="23"/>
        <v>0.12128782224718779</v>
      </c>
    </row>
    <row r="480" spans="12:26" x14ac:dyDescent="0.25">
      <c r="L480" s="4">
        <f>_xll.ICETimeline(_xll.ICEJoinRange(M4:W4),"DF[dow:12345][tl:Calendar]","2020-07-26;2024-07-26",571,-1)</f>
        <v>44838.5</v>
      </c>
      <c r="M480">
        <f>_xll.ICEHistory(M$4,M$5,"DF[dow:12345][tl:Calendar]",$L480)</f>
        <v>66.62</v>
      </c>
      <c r="N480">
        <f>_xll.ICEHistory(M$4,N$5,"DF[dow:12345][tl:Calendar]",$L480)</f>
        <v>68.349999999999994</v>
      </c>
      <c r="O480">
        <f>_xll.ICEHistory(M$4,O$5,"DF[dow:12345][tl:Calendar]",$L480)</f>
        <v>65.400000000000006</v>
      </c>
      <c r="P480">
        <f>_xll.ICEHistory(M$4,P$5,"DF[dow:12345][tl:Calendar]",$L480)</f>
        <v>67.42</v>
      </c>
      <c r="Q480">
        <f>_xll.ICEHistory(M$4,Q$5,"DF[dow:12345][tl:Calendar]",$L480)</f>
        <v>19875</v>
      </c>
      <c r="R480">
        <f>_xll.ICEHistory(M$4,R$5,"DF[dow:12345][tl:Calendar]",$L480)</f>
        <v>386450</v>
      </c>
      <c r="S480">
        <f>_xll.ICEHistory(S$4,S$5,"DF[dow:12345][tl:Calendar]",$L480)</f>
        <v>161.94999999999999</v>
      </c>
      <c r="T480">
        <f>_xll.ICEHistory(S$4,T$5,"DF[dow:12345][tl:Calendar]",$L480)</f>
        <v>161.94999999999999</v>
      </c>
      <c r="U480">
        <f>_xll.ICEHistory(S$4,U$5,"DF[dow:12345][tl:Calendar]",$L480)</f>
        <v>161.94999999999999</v>
      </c>
      <c r="V480">
        <f>_xll.ICEHistory(S$4,V$5,"DF[dow:12345][tl:Calendar]",$L480)</f>
        <v>161.94999999999999</v>
      </c>
      <c r="W480">
        <f>_xll.ICEHistory(S$4,W$5,"DF[dow:12345][tl:Calendar]",$L480)</f>
        <v>0</v>
      </c>
      <c r="X480">
        <f t="shared" si="21"/>
        <v>4.432757325319292E-2</v>
      </c>
      <c r="Y480">
        <f t="shared" si="22"/>
        <v>0.13323144156354397</v>
      </c>
      <c r="Z480">
        <f t="shared" si="23"/>
        <v>0.14701623924515633</v>
      </c>
    </row>
    <row r="481" spans="12:26" x14ac:dyDescent="0.25">
      <c r="L481" s="4">
        <f>_xll.ICETimeline(_xll.ICEJoinRange(M4:W4),"DF[dow:12345][tl:Calendar]","2020-07-26;2024-07-26",570,-1)</f>
        <v>44837.5</v>
      </c>
      <c r="M481">
        <f>_xll.ICEHistory(M$4,M$5,"DF[dow:12345][tl:Calendar]",$L481)</f>
        <v>66.55</v>
      </c>
      <c r="N481">
        <f>_xll.ICEHistory(M$4,N$5,"DF[dow:12345][tl:Calendar]",$L481)</f>
        <v>66.73</v>
      </c>
      <c r="O481">
        <f>_xll.ICEHistory(M$4,O$5,"DF[dow:12345][tl:Calendar]",$L481)</f>
        <v>64.25</v>
      </c>
      <c r="P481">
        <f>_xll.ICEHistory(M$4,P$5,"DF[dow:12345][tl:Calendar]",$L481)</f>
        <v>65.760000000000005</v>
      </c>
      <c r="Q481">
        <f>_xll.ICEHistory(M$4,Q$5,"DF[dow:12345][tl:Calendar]",$L481)</f>
        <v>14309</v>
      </c>
      <c r="R481">
        <f>_xll.ICEHistory(M$4,R$5,"DF[dow:12345][tl:Calendar]",$L481)</f>
        <v>384074</v>
      </c>
      <c r="S481">
        <f>_xll.ICEHistory(S$4,S$5,"DF[dow:12345][tl:Calendar]",$L481)</f>
        <v>169.91200000000001</v>
      </c>
      <c r="T481">
        <f>_xll.ICEHistory(S$4,T$5,"DF[dow:12345][tl:Calendar]",$L481)</f>
        <v>169.91200000000001</v>
      </c>
      <c r="U481">
        <f>_xll.ICEHistory(S$4,U$5,"DF[dow:12345][tl:Calendar]",$L481)</f>
        <v>169.91200000000001</v>
      </c>
      <c r="V481">
        <f>_xll.ICEHistory(S$4,V$5,"DF[dow:12345][tl:Calendar]",$L481)</f>
        <v>169.91200000000001</v>
      </c>
      <c r="W481">
        <f>_xll.ICEHistory(S$4,W$5,"DF[dow:12345][tl:Calendar]",$L481)</f>
        <v>0</v>
      </c>
      <c r="X481">
        <f t="shared" si="21"/>
        <v>3.8236201048412029E-2</v>
      </c>
      <c r="Y481">
        <f t="shared" si="22"/>
        <v>-0.16943870249003484</v>
      </c>
      <c r="Z481">
        <f t="shared" si="23"/>
        <v>-0.76093736837443138</v>
      </c>
    </row>
    <row r="482" spans="12:26" x14ac:dyDescent="0.25">
      <c r="L482" s="4">
        <f>_xll.ICETimeline(_xll.ICEJoinRange(M4:W4),"DF[dow:12345][tl:Calendar]","2020-07-26;2024-07-26",569,-1)</f>
        <v>44834.5</v>
      </c>
      <c r="M482">
        <f>_xll.ICEHistory(M$4,M$5,"DF[dow:12345][tl:Calendar]",$L482)</f>
        <v>64.86</v>
      </c>
      <c r="N482">
        <f>_xll.ICEHistory(M$4,N$5,"DF[dow:12345][tl:Calendar]",$L482)</f>
        <v>68.66</v>
      </c>
      <c r="O482">
        <f>_xll.ICEHistory(M$4,O$5,"DF[dow:12345][tl:Calendar]",$L482)</f>
        <v>64.86</v>
      </c>
      <c r="P482">
        <f>_xll.ICEHistory(M$4,P$5,"DF[dow:12345][tl:Calendar]",$L482)</f>
        <v>66.13</v>
      </c>
      <c r="Q482">
        <f>_xll.ICEHistory(M$4,Q$5,"DF[dow:12345][tl:Calendar]",$L482)</f>
        <v>16143</v>
      </c>
      <c r="R482">
        <f>_xll.ICEHistory(M$4,R$5,"DF[dow:12345][tl:Calendar]",$L482)</f>
        <v>383191</v>
      </c>
      <c r="S482">
        <f>_xll.ICEHistory(S$4,S$5,"DF[dow:12345][tl:Calendar]",$L482)</f>
        <v>188.8</v>
      </c>
      <c r="T482">
        <f>_xll.ICEHistory(S$4,T$5,"DF[dow:12345][tl:Calendar]",$L482)</f>
        <v>188.8</v>
      </c>
      <c r="U482">
        <f>_xll.ICEHistory(S$4,U$5,"DF[dow:12345][tl:Calendar]",$L482)</f>
        <v>188.8</v>
      </c>
      <c r="V482">
        <f>_xll.ICEHistory(S$4,V$5,"DF[dow:12345][tl:Calendar]",$L482)</f>
        <v>188.8</v>
      </c>
      <c r="W482">
        <f>_xll.ICEHistory(S$4,W$5,"DF[dow:12345][tl:Calendar]",$L482)</f>
        <v>0</v>
      </c>
      <c r="X482">
        <f t="shared" si="21"/>
        <v>5.7988707462230997E-2</v>
      </c>
      <c r="Y482">
        <f t="shared" si="22"/>
        <v>0.84838663285281313</v>
      </c>
      <c r="Z482">
        <f t="shared" si="23"/>
        <v>-0.4691484384411353</v>
      </c>
    </row>
    <row r="483" spans="12:26" x14ac:dyDescent="0.25">
      <c r="L483" s="4">
        <f>_xll.ICETimeline(_xll.ICEJoinRange(M4:W4),"DF[dow:12345][tl:Calendar]","2020-07-26;2024-07-26",568,-1)</f>
        <v>44833.5</v>
      </c>
      <c r="M483">
        <f>_xll.ICEHistory(M$4,M$5,"DF[dow:12345][tl:Calendar]",$L483)</f>
        <v>65.53</v>
      </c>
      <c r="N483">
        <f>_xll.ICEHistory(M$4,N$5,"DF[dow:12345][tl:Calendar]",$L483)</f>
        <v>66.86</v>
      </c>
      <c r="O483">
        <f>_xll.ICEHistory(M$4,O$5,"DF[dow:12345][tl:Calendar]",$L483)</f>
        <v>64.14</v>
      </c>
      <c r="P483">
        <f>_xll.ICEHistory(M$4,P$5,"DF[dow:12345][tl:Calendar]",$L483)</f>
        <v>65.83</v>
      </c>
      <c r="Q483">
        <f>_xll.ICEHistory(M$4,Q$5,"DF[dow:12345][tl:Calendar]",$L483)</f>
        <v>19934</v>
      </c>
      <c r="R483">
        <f>_xll.ICEHistory(M$4,R$5,"DF[dow:12345][tl:Calendar]",$L483)</f>
        <v>382634</v>
      </c>
      <c r="S483">
        <f>_xll.ICEHistory(S$4,S$5,"DF[dow:12345][tl:Calendar]",$L483)</f>
        <v>187.66499999999999</v>
      </c>
      <c r="T483">
        <f>_xll.ICEHistory(S$4,T$5,"DF[dow:12345][tl:Calendar]",$L483)</f>
        <v>187.66499999999999</v>
      </c>
      <c r="U483">
        <f>_xll.ICEHistory(S$4,U$5,"DF[dow:12345][tl:Calendar]",$L483)</f>
        <v>187.66499999999999</v>
      </c>
      <c r="V483">
        <f>_xll.ICEHistory(S$4,V$5,"DF[dow:12345][tl:Calendar]",$L483)</f>
        <v>187.66499999999999</v>
      </c>
      <c r="W483">
        <f>_xll.ICEHistory(S$4,W$5,"DF[dow:12345][tl:Calendar]",$L483)</f>
        <v>0</v>
      </c>
      <c r="X483">
        <f t="shared" si="21"/>
        <v>4.0117994100294971E-2</v>
      </c>
      <c r="Y483">
        <f t="shared" si="22"/>
        <v>-7.6493307219811985E-2</v>
      </c>
      <c r="Z483">
        <f t="shared" si="23"/>
        <v>0.15450347560526223</v>
      </c>
    </row>
    <row r="484" spans="12:26" x14ac:dyDescent="0.25">
      <c r="L484" s="4">
        <f>_xll.ICETimeline(_xll.ICEJoinRange(M4:W4),"DF[dow:12345][tl:Calendar]","2020-07-26;2024-07-26",567,-1)</f>
        <v>44832.5</v>
      </c>
      <c r="M484">
        <f>_xll.ICEHistory(M$4,M$5,"DF[dow:12345][tl:Calendar]",$L484)</f>
        <v>67.8</v>
      </c>
      <c r="N484">
        <f>_xll.ICEHistory(M$4,N$5,"DF[dow:12345][tl:Calendar]",$L484)</f>
        <v>68.27</v>
      </c>
      <c r="O484">
        <f>_xll.ICEHistory(M$4,O$5,"DF[dow:12345][tl:Calendar]",$L484)</f>
        <v>64.37</v>
      </c>
      <c r="P484">
        <f>_xll.ICEHistory(M$4,P$5,"DF[dow:12345][tl:Calendar]",$L484)</f>
        <v>65.22</v>
      </c>
      <c r="Q484">
        <f>_xll.ICEHistory(M$4,Q$5,"DF[dow:12345][tl:Calendar]",$L484)</f>
        <v>24121</v>
      </c>
      <c r="R484">
        <f>_xll.ICEHistory(M$4,R$5,"DF[dow:12345][tl:Calendar]",$L484)</f>
        <v>382653</v>
      </c>
      <c r="S484">
        <f>_xll.ICEHistory(S$4,S$5,"DF[dow:12345][tl:Calendar]",$L484)</f>
        <v>207.18700000000001</v>
      </c>
      <c r="T484">
        <f>_xll.ICEHistory(S$4,T$5,"DF[dow:12345][tl:Calendar]",$L484)</f>
        <v>207.18700000000001</v>
      </c>
      <c r="U484">
        <f>_xll.ICEHistory(S$4,U$5,"DF[dow:12345][tl:Calendar]",$L484)</f>
        <v>207.18700000000001</v>
      </c>
      <c r="V484">
        <f>_xll.ICEHistory(S$4,V$5,"DF[dow:12345][tl:Calendar]",$L484)</f>
        <v>207.18700000000001</v>
      </c>
      <c r="W484">
        <f>_xll.ICEHistory(S$4,W$5,"DF[dow:12345][tl:Calendar]",$L484)</f>
        <v>0</v>
      </c>
      <c r="X484">
        <f t="shared" si="21"/>
        <v>5.5452865064694892E-2</v>
      </c>
      <c r="Y484">
        <f t="shared" si="22"/>
        <v>0.71760454798303952</v>
      </c>
      <c r="Z484">
        <f t="shared" si="23"/>
        <v>0.84960846755780739</v>
      </c>
    </row>
    <row r="485" spans="12:26" x14ac:dyDescent="0.25">
      <c r="L485" s="4">
        <f>_xll.ICETimeline(_xll.ICEJoinRange(M4:W4),"DF[dow:12345][tl:Calendar]","2020-07-26;2024-07-26",566,-1)</f>
        <v>44831.5</v>
      </c>
      <c r="M485">
        <f>_xll.ICEHistory(M$4,M$5,"DF[dow:12345][tl:Calendar]",$L485)</f>
        <v>70.33</v>
      </c>
      <c r="N485">
        <f>_xll.ICEHistory(M$4,N$5,"DF[dow:12345][tl:Calendar]",$L485)</f>
        <v>71.099999999999994</v>
      </c>
      <c r="O485">
        <f>_xll.ICEHistory(M$4,O$5,"DF[dow:12345][tl:Calendar]",$L485)</f>
        <v>67.37</v>
      </c>
      <c r="P485">
        <f>_xll.ICEHistory(M$4,P$5,"DF[dow:12345][tl:Calendar]",$L485)</f>
        <v>68.209999999999994</v>
      </c>
      <c r="Q485">
        <f>_xll.ICEHistory(M$4,Q$5,"DF[dow:12345][tl:Calendar]",$L485)</f>
        <v>16530</v>
      </c>
      <c r="R485">
        <f>_xll.ICEHistory(M$4,R$5,"DF[dow:12345][tl:Calendar]",$L485)</f>
        <v>378479</v>
      </c>
      <c r="S485">
        <f>_xll.ICEHistory(S$4,S$5,"DF[dow:12345][tl:Calendar]",$L485)</f>
        <v>186.09899999999999</v>
      </c>
      <c r="T485">
        <f>_xll.ICEHistory(S$4,T$5,"DF[dow:12345][tl:Calendar]",$L485)</f>
        <v>186.09899999999999</v>
      </c>
      <c r="U485">
        <f>_xll.ICEHistory(S$4,U$5,"DF[dow:12345][tl:Calendar]",$L485)</f>
        <v>186.09899999999999</v>
      </c>
      <c r="V485">
        <f>_xll.ICEHistory(S$4,V$5,"DF[dow:12345][tl:Calendar]",$L485)</f>
        <v>186.09899999999999</v>
      </c>
      <c r="W485">
        <f>_xll.ICEHistory(S$4,W$5,"DF[dow:12345][tl:Calendar]",$L485)</f>
        <v>0</v>
      </c>
      <c r="X485">
        <f t="shared" si="21"/>
        <v>5.7252494244052023E-2</v>
      </c>
      <c r="Y485">
        <f t="shared" si="22"/>
        <v>0.82872052965679666</v>
      </c>
      <c r="Z485">
        <f t="shared" si="23"/>
        <v>-0.39512274262000963</v>
      </c>
    </row>
    <row r="486" spans="12:26" x14ac:dyDescent="0.25">
      <c r="L486" s="4">
        <f>_xll.ICETimeline(_xll.ICEJoinRange(M4:W4),"DF[dow:12345][tl:Calendar]","2020-07-26;2024-07-26",565,-1)</f>
        <v>44830.5</v>
      </c>
      <c r="M486">
        <f>_xll.ICEHistory(M$4,M$5,"DF[dow:12345][tl:Calendar]",$L486)</f>
        <v>65.150000000000006</v>
      </c>
      <c r="N486">
        <f>_xll.ICEHistory(M$4,N$5,"DF[dow:12345][tl:Calendar]",$L486)</f>
        <v>71.95</v>
      </c>
      <c r="O486">
        <f>_xll.ICEHistory(M$4,O$5,"DF[dow:12345][tl:Calendar]",$L486)</f>
        <v>64.099999999999994</v>
      </c>
      <c r="P486">
        <f>_xll.ICEHistory(M$4,P$5,"DF[dow:12345][tl:Calendar]",$L486)</f>
        <v>70</v>
      </c>
      <c r="Q486">
        <f>_xll.ICEHistory(M$4,Q$5,"DF[dow:12345][tl:Calendar]",$L486)</f>
        <v>20571</v>
      </c>
      <c r="R486">
        <f>_xll.ICEHistory(M$4,R$5,"DF[dow:12345][tl:Calendar]",$L486)</f>
        <v>377489</v>
      </c>
      <c r="S486">
        <f>_xll.ICEHistory(S$4,S$5,"DF[dow:12345][tl:Calendar]",$L486)</f>
        <v>173.834</v>
      </c>
      <c r="T486">
        <f>_xll.ICEHistory(S$4,T$5,"DF[dow:12345][tl:Calendar]",$L486)</f>
        <v>173.834</v>
      </c>
      <c r="U486">
        <f>_xll.ICEHistory(S$4,U$5,"DF[dow:12345][tl:Calendar]",$L486)</f>
        <v>173.834</v>
      </c>
      <c r="V486">
        <f>_xll.ICEHistory(S$4,V$5,"DF[dow:12345][tl:Calendar]",$L486)</f>
        <v>173.834</v>
      </c>
      <c r="W486">
        <f>_xll.ICEHistory(S$4,W$5,"DF[dow:12345][tl:Calendar]",$L486)</f>
        <v>0</v>
      </c>
      <c r="X486">
        <f t="shared" si="21"/>
        <v>0.11212683902299683</v>
      </c>
      <c r="Y486">
        <f t="shared" si="22"/>
        <v>3.6811678187630834</v>
      </c>
      <c r="Z486">
        <f t="shared" si="23"/>
        <v>0.28225525676160412</v>
      </c>
    </row>
    <row r="487" spans="12:26" x14ac:dyDescent="0.25">
      <c r="L487" s="4">
        <f>_xll.ICETimeline(_xll.ICEJoinRange(M4:W4),"DF[dow:12345][tl:Calendar]","2020-07-26;2024-07-26",564,-1)</f>
        <v>44827.5</v>
      </c>
      <c r="M487">
        <f>_xll.ICEHistory(M$4,M$5,"DF[dow:12345][tl:Calendar]",$L487)</f>
        <v>70.010000000000005</v>
      </c>
      <c r="N487">
        <f>_xll.ICEHistory(M$4,N$5,"DF[dow:12345][tl:Calendar]",$L487)</f>
        <v>70.3</v>
      </c>
      <c r="O487">
        <f>_xll.ICEHistory(M$4,O$5,"DF[dow:12345][tl:Calendar]",$L487)</f>
        <v>65.349999999999994</v>
      </c>
      <c r="P487">
        <f>_xll.ICEHistory(M$4,P$5,"DF[dow:12345][tl:Calendar]",$L487)</f>
        <v>66</v>
      </c>
      <c r="Q487">
        <f>_xll.ICEHistory(M$4,Q$5,"DF[dow:12345][tl:Calendar]",$L487)</f>
        <v>22610</v>
      </c>
      <c r="R487">
        <f>_xll.ICEHistory(M$4,R$5,"DF[dow:12345][tl:Calendar]",$L487)</f>
        <v>377004</v>
      </c>
      <c r="S487">
        <f>_xll.ICEHistory(S$4,S$5,"DF[dow:12345][tl:Calendar]",$L487)</f>
        <v>185.495</v>
      </c>
      <c r="T487">
        <f>_xll.ICEHistory(S$4,T$5,"DF[dow:12345][tl:Calendar]",$L487)</f>
        <v>185.495</v>
      </c>
      <c r="U487">
        <f>_xll.ICEHistory(S$4,U$5,"DF[dow:12345][tl:Calendar]",$L487)</f>
        <v>185.495</v>
      </c>
      <c r="V487">
        <f>_xll.ICEHistory(S$4,V$5,"DF[dow:12345][tl:Calendar]",$L487)</f>
        <v>185.495</v>
      </c>
      <c r="W487">
        <f>_xll.ICEHistory(S$4,W$5,"DF[dow:12345][tl:Calendar]",$L487)</f>
        <v>0</v>
      </c>
      <c r="X487">
        <f t="shared" si="21"/>
        <v>7.0815450643776853E-2</v>
      </c>
      <c r="Y487">
        <f t="shared" si="22"/>
        <v>1.8064564465095976</v>
      </c>
      <c r="Z487">
        <f t="shared" si="23"/>
        <v>0.63575663480740108</v>
      </c>
    </row>
    <row r="488" spans="12:26" x14ac:dyDescent="0.25">
      <c r="L488" s="4">
        <f>_xll.ICETimeline(_xll.ICEJoinRange(M4:W4),"DF[dow:12345][tl:Calendar]","2020-07-26;2024-07-26",563,-1)</f>
        <v>44826.5</v>
      </c>
      <c r="M488">
        <f>_xll.ICEHistory(M$4,M$5,"DF[dow:12345][tl:Calendar]",$L488)</f>
        <v>69.900000000000006</v>
      </c>
      <c r="N488">
        <f>_xll.ICEHistory(M$4,N$5,"DF[dow:12345][tl:Calendar]",$L488)</f>
        <v>71.12</v>
      </c>
      <c r="O488">
        <f>_xll.ICEHistory(M$4,O$5,"DF[dow:12345][tl:Calendar]",$L488)</f>
        <v>69.010000000000005</v>
      </c>
      <c r="P488">
        <f>_xll.ICEHistory(M$4,P$5,"DF[dow:12345][tl:Calendar]",$L488)</f>
        <v>70.010000000000005</v>
      </c>
      <c r="Q488">
        <f>_xll.ICEHistory(M$4,Q$5,"DF[dow:12345][tl:Calendar]",$L488)</f>
        <v>12485</v>
      </c>
      <c r="R488">
        <f>_xll.ICEHistory(M$4,R$5,"DF[dow:12345][tl:Calendar]",$L488)</f>
        <v>374431</v>
      </c>
      <c r="S488">
        <f>_xll.ICEHistory(S$4,S$5,"DF[dow:12345][tl:Calendar]",$L488)</f>
        <v>187.46799999999999</v>
      </c>
      <c r="T488">
        <f>_xll.ICEHistory(S$4,T$5,"DF[dow:12345][tl:Calendar]",$L488)</f>
        <v>187.46799999999999</v>
      </c>
      <c r="U488">
        <f>_xll.ICEHistory(S$4,U$5,"DF[dow:12345][tl:Calendar]",$L488)</f>
        <v>187.46799999999999</v>
      </c>
      <c r="V488">
        <f>_xll.ICEHistory(S$4,V$5,"DF[dow:12345][tl:Calendar]",$L488)</f>
        <v>187.46799999999999</v>
      </c>
      <c r="W488">
        <f>_xll.ICEHistory(S$4,W$5,"DF[dow:12345][tl:Calendar]",$L488)</f>
        <v>0</v>
      </c>
      <c r="X488">
        <f t="shared" si="21"/>
        <v>2.9391280122579737E-2</v>
      </c>
      <c r="Y488">
        <f t="shared" si="22"/>
        <v>-0.57490641021688038</v>
      </c>
      <c r="Z488">
        <f t="shared" si="23"/>
        <v>-1.0375507660598882</v>
      </c>
    </row>
    <row r="489" spans="12:26" x14ac:dyDescent="0.25">
      <c r="L489" s="4">
        <f>_xll.ICETimeline(_xll.ICEJoinRange(M4:W4),"DF[dow:12345][tl:Calendar]","2020-07-26;2024-07-26",562,-1)</f>
        <v>44825.5</v>
      </c>
      <c r="M489">
        <f>_xll.ICEHistory(M$4,M$5,"DF[dow:12345][tl:Calendar]",$L489)</f>
        <v>71.790000000000006</v>
      </c>
      <c r="N489">
        <f>_xll.ICEHistory(M$4,N$5,"DF[dow:12345][tl:Calendar]",$L489)</f>
        <v>71.790000000000006</v>
      </c>
      <c r="O489">
        <f>_xll.ICEHistory(M$4,O$5,"DF[dow:12345][tl:Calendar]",$L489)</f>
        <v>69.099999999999994</v>
      </c>
      <c r="P489">
        <f>_xll.ICEHistory(M$4,P$5,"DF[dow:12345][tl:Calendar]",$L489)</f>
        <v>69.849999999999994</v>
      </c>
      <c r="Q489">
        <f>_xll.ICEHistory(M$4,Q$5,"DF[dow:12345][tl:Calendar]",$L489)</f>
        <v>16725</v>
      </c>
      <c r="R489">
        <f>_xll.ICEHistory(M$4,R$5,"DF[dow:12345][tl:Calendar]",$L489)</f>
        <v>374064</v>
      </c>
      <c r="S489">
        <f>_xll.ICEHistory(S$4,S$5,"DF[dow:12345][tl:Calendar]",$L489)</f>
        <v>189.78100000000001</v>
      </c>
      <c r="T489">
        <f>_xll.ICEHistory(S$4,T$5,"DF[dow:12345][tl:Calendar]",$L489)</f>
        <v>189.78100000000001</v>
      </c>
      <c r="U489">
        <f>_xll.ICEHistory(S$4,U$5,"DF[dow:12345][tl:Calendar]",$L489)</f>
        <v>189.78100000000001</v>
      </c>
      <c r="V489">
        <f>_xll.ICEHistory(S$4,V$5,"DF[dow:12345][tl:Calendar]",$L489)</f>
        <v>189.78100000000001</v>
      </c>
      <c r="W489">
        <f>_xll.ICEHistory(S$4,W$5,"DF[dow:12345][tl:Calendar]",$L489)</f>
        <v>0</v>
      </c>
      <c r="X489">
        <f t="shared" si="21"/>
        <v>3.8128986534372959E-2</v>
      </c>
      <c r="Y489">
        <f t="shared" si="22"/>
        <v>-5.9401272058503374E-2</v>
      </c>
      <c r="Z489">
        <f t="shared" si="23"/>
        <v>-0.35479788206940804</v>
      </c>
    </row>
    <row r="490" spans="12:26" x14ac:dyDescent="0.25">
      <c r="L490" s="4">
        <f>_xll.ICETimeline(_xll.ICEJoinRange(M4:W4),"DF[dow:12345][tl:Calendar]","2020-07-26;2024-07-26",561,-1)</f>
        <v>44824.5</v>
      </c>
      <c r="M490">
        <f>_xll.ICEHistory(M$4,M$5,"DF[dow:12345][tl:Calendar]",$L490)</f>
        <v>70.55</v>
      </c>
      <c r="N490">
        <f>_xll.ICEHistory(M$4,N$5,"DF[dow:12345][tl:Calendar]",$L490)</f>
        <v>73</v>
      </c>
      <c r="O490">
        <f>_xll.ICEHistory(M$4,O$5,"DF[dow:12345][tl:Calendar]",$L490)</f>
        <v>70.260000000000005</v>
      </c>
      <c r="P490">
        <f>_xll.ICEHistory(M$4,P$5,"DF[dow:12345][tl:Calendar]",$L490)</f>
        <v>71.040000000000006</v>
      </c>
      <c r="Q490">
        <f>_xll.ICEHistory(M$4,Q$5,"DF[dow:12345][tl:Calendar]",$L490)</f>
        <v>14605</v>
      </c>
      <c r="R490">
        <f>_xll.ICEHistory(M$4,R$5,"DF[dow:12345][tl:Calendar]",$L490)</f>
        <v>371595</v>
      </c>
      <c r="S490">
        <f>_xll.ICEHistory(S$4,S$5,"DF[dow:12345][tl:Calendar]",$L490)</f>
        <v>194.25899999999999</v>
      </c>
      <c r="T490">
        <f>_xll.ICEHistory(S$4,T$5,"DF[dow:12345][tl:Calendar]",$L490)</f>
        <v>194.25899999999999</v>
      </c>
      <c r="U490">
        <f>_xll.ICEHistory(S$4,U$5,"DF[dow:12345][tl:Calendar]",$L490)</f>
        <v>194.25899999999999</v>
      </c>
      <c r="V490">
        <f>_xll.ICEHistory(S$4,V$5,"DF[dow:12345][tl:Calendar]",$L490)</f>
        <v>194.25899999999999</v>
      </c>
      <c r="W490">
        <f>_xll.ICEHistory(S$4,W$5,"DF[dow:12345][tl:Calendar]",$L490)</f>
        <v>0</v>
      </c>
      <c r="X490">
        <f t="shared" si="21"/>
        <v>3.7370430987452199E-2</v>
      </c>
      <c r="Y490">
        <f t="shared" si="22"/>
        <v>-0.10886327839811577</v>
      </c>
      <c r="Z490">
        <f t="shared" si="23"/>
        <v>-0.70127255687756651</v>
      </c>
    </row>
    <row r="491" spans="12:26" x14ac:dyDescent="0.25">
      <c r="L491" s="4">
        <f>_xll.ICETimeline(_xll.ICEJoinRange(M4:W4),"DF[dow:12345][tl:Calendar]","2020-07-26;2024-07-26",560,-1)</f>
        <v>44823.5</v>
      </c>
      <c r="M491">
        <f>_xll.ICEHistory(M$4,M$5,"DF[dow:12345][tl:Calendar]",$L491)</f>
        <v>73.319999999999993</v>
      </c>
      <c r="N491">
        <f>_xll.ICEHistory(M$4,N$5,"DF[dow:12345][tl:Calendar]",$L491)</f>
        <v>73.8</v>
      </c>
      <c r="O491">
        <f>_xll.ICEHistory(M$4,O$5,"DF[dow:12345][tl:Calendar]",$L491)</f>
        <v>70.150000000000006</v>
      </c>
      <c r="P491">
        <f>_xll.ICEHistory(M$4,P$5,"DF[dow:12345][tl:Calendar]",$L491)</f>
        <v>70.34</v>
      </c>
      <c r="Q491">
        <f>_xll.ICEHistory(M$4,Q$5,"DF[dow:12345][tl:Calendar]",$L491)</f>
        <v>18640</v>
      </c>
      <c r="R491">
        <f>_xll.ICEHistory(M$4,R$5,"DF[dow:12345][tl:Calendar]",$L491)</f>
        <v>370876</v>
      </c>
      <c r="S491">
        <f>_xll.ICEHistory(S$4,S$5,"DF[dow:12345][tl:Calendar]",$L491)</f>
        <v>182.262</v>
      </c>
      <c r="T491">
        <f>_xll.ICEHistory(S$4,T$5,"DF[dow:12345][tl:Calendar]",$L491)</f>
        <v>182.262</v>
      </c>
      <c r="U491">
        <f>_xll.ICEHistory(S$4,U$5,"DF[dow:12345][tl:Calendar]",$L491)</f>
        <v>182.262</v>
      </c>
      <c r="V491">
        <f>_xll.ICEHistory(S$4,V$5,"DF[dow:12345][tl:Calendar]",$L491)</f>
        <v>182.262</v>
      </c>
      <c r="W491">
        <f>_xll.ICEHistory(S$4,W$5,"DF[dow:12345][tl:Calendar]",$L491)</f>
        <v>0</v>
      </c>
      <c r="X491">
        <f t="shared" si="21"/>
        <v>5.0800278357689514E-2</v>
      </c>
      <c r="Y491">
        <f t="shared" si="22"/>
        <v>0.69614647623259129</v>
      </c>
      <c r="Z491">
        <f t="shared" si="23"/>
        <v>-2.5068957197015854E-2</v>
      </c>
    </row>
    <row r="492" spans="12:26" x14ac:dyDescent="0.25">
      <c r="L492" s="4">
        <f>_xll.ICETimeline(_xll.ICEJoinRange(M4:W4),"DF[dow:12345][tl:Calendar]","2020-07-26;2024-07-26",559,-1)</f>
        <v>44820.5</v>
      </c>
      <c r="M492">
        <f>_xll.ICEHistory(M$4,M$5,"DF[dow:12345][tl:Calendar]",$L492)</f>
        <v>71.849999999999994</v>
      </c>
      <c r="N492">
        <f>_xll.ICEHistory(M$4,N$5,"DF[dow:12345][tl:Calendar]",$L492)</f>
        <v>73.930000000000007</v>
      </c>
      <c r="O492">
        <f>_xll.ICEHistory(M$4,O$5,"DF[dow:12345][tl:Calendar]",$L492)</f>
        <v>71.11</v>
      </c>
      <c r="P492">
        <f>_xll.ICEHistory(M$4,P$5,"DF[dow:12345][tl:Calendar]",$L492)</f>
        <v>73.260000000000005</v>
      </c>
      <c r="Q492">
        <f>_xll.ICEHistory(M$4,Q$5,"DF[dow:12345][tl:Calendar]",$L492)</f>
        <v>15438</v>
      </c>
      <c r="R492">
        <f>_xll.ICEHistory(M$4,R$5,"DF[dow:12345][tl:Calendar]",$L492)</f>
        <v>363968</v>
      </c>
      <c r="S492">
        <f>_xll.ICEHistory(S$4,S$5,"DF[dow:12345][tl:Calendar]",$L492)</f>
        <v>187.79300000000001</v>
      </c>
      <c r="T492">
        <f>_xll.ICEHistory(S$4,T$5,"DF[dow:12345][tl:Calendar]",$L492)</f>
        <v>187.79300000000001</v>
      </c>
      <c r="U492">
        <f>_xll.ICEHistory(S$4,U$5,"DF[dow:12345][tl:Calendar]",$L492)</f>
        <v>187.79300000000001</v>
      </c>
      <c r="V492">
        <f>_xll.ICEHistory(S$4,V$5,"DF[dow:12345][tl:Calendar]",$L492)</f>
        <v>187.79300000000001</v>
      </c>
      <c r="W492">
        <f>_xll.ICEHistory(S$4,W$5,"DF[dow:12345][tl:Calendar]",$L492)</f>
        <v>0</v>
      </c>
      <c r="X492">
        <f t="shared" si="21"/>
        <v>3.8961038961039064E-2</v>
      </c>
      <c r="Y492">
        <f t="shared" si="22"/>
        <v>1.8443111882831164E-2</v>
      </c>
      <c r="Z492">
        <f t="shared" si="23"/>
        <v>-0.54795551888791849</v>
      </c>
    </row>
    <row r="493" spans="12:26" x14ac:dyDescent="0.25">
      <c r="L493" s="4">
        <f>_xll.ICETimeline(_xll.ICEJoinRange(M4:W4),"DF[dow:12345][tl:Calendar]","2020-07-26;2024-07-26",558,-1)</f>
        <v>44819.5</v>
      </c>
      <c r="M493">
        <f>_xll.ICEHistory(M$4,M$5,"DF[dow:12345][tl:Calendar]",$L493)</f>
        <v>72.38</v>
      </c>
      <c r="N493">
        <f>_xll.ICEHistory(M$4,N$5,"DF[dow:12345][tl:Calendar]",$L493)</f>
        <v>72.55</v>
      </c>
      <c r="O493">
        <f>_xll.ICEHistory(M$4,O$5,"DF[dow:12345][tl:Calendar]",$L493)</f>
        <v>70</v>
      </c>
      <c r="P493">
        <f>_xll.ICEHistory(M$4,P$5,"DF[dow:12345][tl:Calendar]",$L493)</f>
        <v>72.11</v>
      </c>
      <c r="Q493">
        <f>_xll.ICEHistory(M$4,Q$5,"DF[dow:12345][tl:Calendar]",$L493)</f>
        <v>27109</v>
      </c>
      <c r="R493">
        <f>_xll.ICEHistory(M$4,R$5,"DF[dow:12345][tl:Calendar]",$L493)</f>
        <v>360252</v>
      </c>
      <c r="S493">
        <f>_xll.ICEHistory(S$4,S$5,"DF[dow:12345][tl:Calendar]",$L493)</f>
        <v>214.28299999999999</v>
      </c>
      <c r="T493">
        <f>_xll.ICEHistory(S$4,T$5,"DF[dow:12345][tl:Calendar]",$L493)</f>
        <v>214.28299999999999</v>
      </c>
      <c r="U493">
        <f>_xll.ICEHistory(S$4,U$5,"DF[dow:12345][tl:Calendar]",$L493)</f>
        <v>214.28299999999999</v>
      </c>
      <c r="V493">
        <f>_xll.ICEHistory(S$4,V$5,"DF[dow:12345][tl:Calendar]",$L493)</f>
        <v>214.28299999999999</v>
      </c>
      <c r="W493">
        <f>_xll.ICEHistory(S$4,W$5,"DF[dow:12345][tl:Calendar]",$L493)</f>
        <v>5</v>
      </c>
      <c r="X493">
        <f t="shared" si="21"/>
        <v>3.6175344020428393E-2</v>
      </c>
      <c r="Y493">
        <f t="shared" si="22"/>
        <v>-0.13510332236431158</v>
      </c>
      <c r="Z493">
        <f t="shared" si="23"/>
        <v>1.3934376253464829</v>
      </c>
    </row>
    <row r="494" spans="12:26" x14ac:dyDescent="0.25">
      <c r="L494" s="4">
        <f>_xll.ICETimeline(_xll.ICEJoinRange(M4:W4),"DF[dow:12345][tl:Calendar]","2020-07-26;2024-07-26",557,-1)</f>
        <v>44818.5</v>
      </c>
      <c r="M494">
        <f>_xll.ICEHistory(M$4,M$5,"DF[dow:12345][tl:Calendar]",$L494)</f>
        <v>70.489999999999995</v>
      </c>
      <c r="N494">
        <f>_xll.ICEHistory(M$4,N$5,"DF[dow:12345][tl:Calendar]",$L494)</f>
        <v>73.8</v>
      </c>
      <c r="O494">
        <f>_xll.ICEHistory(M$4,O$5,"DF[dow:12345][tl:Calendar]",$L494)</f>
        <v>68.41</v>
      </c>
      <c r="P494">
        <f>_xll.ICEHistory(M$4,P$5,"DF[dow:12345][tl:Calendar]",$L494)</f>
        <v>72.05</v>
      </c>
      <c r="Q494">
        <f>_xll.ICEHistory(M$4,Q$5,"DF[dow:12345][tl:Calendar]",$L494)</f>
        <v>21271</v>
      </c>
      <c r="R494">
        <f>_xll.ICEHistory(M$4,R$5,"DF[dow:12345][tl:Calendar]",$L494)</f>
        <v>351846</v>
      </c>
      <c r="S494">
        <f>_xll.ICEHistory(S$4,S$5,"DF[dow:12345][tl:Calendar]",$L494)</f>
        <v>217.88200000000001</v>
      </c>
      <c r="T494">
        <f>_xll.ICEHistory(S$4,T$5,"DF[dow:12345][tl:Calendar]",$L494)</f>
        <v>217.88200000000001</v>
      </c>
      <c r="U494">
        <f>_xll.ICEHistory(S$4,U$5,"DF[dow:12345][tl:Calendar]",$L494)</f>
        <v>217.88200000000001</v>
      </c>
      <c r="V494">
        <f>_xll.ICEHistory(S$4,V$5,"DF[dow:12345][tl:Calendar]",$L494)</f>
        <v>217.88200000000001</v>
      </c>
      <c r="W494">
        <f>_xll.ICEHistory(S$4,W$5,"DF[dow:12345][tl:Calendar]",$L494)</f>
        <v>0</v>
      </c>
      <c r="X494">
        <f t="shared" si="21"/>
        <v>7.4871509931935004E-2</v>
      </c>
      <c r="Y494">
        <f t="shared" si="22"/>
        <v>2.1028764185021322</v>
      </c>
      <c r="Z494">
        <f t="shared" si="23"/>
        <v>0.44807473313080115</v>
      </c>
    </row>
    <row r="495" spans="12:26" x14ac:dyDescent="0.25">
      <c r="L495" s="4">
        <f>_xll.ICETimeline(_xll.ICEJoinRange(M4:W4),"DF[dow:12345][tl:Calendar]","2020-07-26;2024-07-26",556,-1)</f>
        <v>44817.5</v>
      </c>
      <c r="M495">
        <f>_xll.ICEHistory(M$4,M$5,"DF[dow:12345][tl:Calendar]",$L495)</f>
        <v>71.989999999999995</v>
      </c>
      <c r="N495">
        <f>_xll.ICEHistory(M$4,N$5,"DF[dow:12345][tl:Calendar]",$L495)</f>
        <v>72.44</v>
      </c>
      <c r="O495">
        <f>_xll.ICEHistory(M$4,O$5,"DF[dow:12345][tl:Calendar]",$L495)</f>
        <v>68.010000000000005</v>
      </c>
      <c r="P495">
        <f>_xll.ICEHistory(M$4,P$5,"DF[dow:12345][tl:Calendar]",$L495)</f>
        <v>70.23</v>
      </c>
      <c r="Q495">
        <f>_xll.ICEHistory(M$4,Q$5,"DF[dow:12345][tl:Calendar]",$L495)</f>
        <v>24199</v>
      </c>
      <c r="R495">
        <f>_xll.ICEHistory(M$4,R$5,"DF[dow:12345][tl:Calendar]",$L495)</f>
        <v>350841</v>
      </c>
      <c r="S495">
        <f>_xll.ICEHistory(S$4,S$5,"DF[dow:12345][tl:Calendar]",$L495)</f>
        <v>198.61199999999999</v>
      </c>
      <c r="T495">
        <f>_xll.ICEHistory(S$4,T$5,"DF[dow:12345][tl:Calendar]",$L495)</f>
        <v>198.61199999999999</v>
      </c>
      <c r="U495">
        <f>_xll.ICEHistory(S$4,U$5,"DF[dow:12345][tl:Calendar]",$L495)</f>
        <v>198.61199999999999</v>
      </c>
      <c r="V495">
        <f>_xll.ICEHistory(S$4,V$5,"DF[dow:12345][tl:Calendar]",$L495)</f>
        <v>198.61199999999999</v>
      </c>
      <c r="W495">
        <f>_xll.ICEHistory(S$4,W$5,"DF[dow:12345][tl:Calendar]",$L495)</f>
        <v>0</v>
      </c>
      <c r="X495">
        <f t="shared" si="21"/>
        <v>6.7131383542960943E-2</v>
      </c>
      <c r="Y495">
        <f t="shared" si="22"/>
        <v>1.7356915027344531</v>
      </c>
      <c r="Z495">
        <f t="shared" si="23"/>
        <v>0.95769595955206488</v>
      </c>
    </row>
    <row r="496" spans="12:26" x14ac:dyDescent="0.25">
      <c r="L496" s="4">
        <f>_xll.ICETimeline(_xll.ICEJoinRange(M4:W4),"DF[dow:12345][tl:Calendar]","2020-07-26;2024-07-26",555,-1)</f>
        <v>44816.5</v>
      </c>
      <c r="M496">
        <f>_xll.ICEHistory(M$4,M$5,"DF[dow:12345][tl:Calendar]",$L496)</f>
        <v>65.989999999999995</v>
      </c>
      <c r="N496">
        <f>_xll.ICEHistory(M$4,N$5,"DF[dow:12345][tl:Calendar]",$L496)</f>
        <v>72.62</v>
      </c>
      <c r="O496">
        <f>_xll.ICEHistory(M$4,O$5,"DF[dow:12345][tl:Calendar]",$L496)</f>
        <v>65.73</v>
      </c>
      <c r="P496">
        <f>_xll.ICEHistory(M$4,P$5,"DF[dow:12345][tl:Calendar]",$L496)</f>
        <v>72.040000000000006</v>
      </c>
      <c r="Q496">
        <f>_xll.ICEHistory(M$4,Q$5,"DF[dow:12345][tl:Calendar]",$L496)</f>
        <v>22240</v>
      </c>
      <c r="R496">
        <f>_xll.ICEHistory(M$4,R$5,"DF[dow:12345][tl:Calendar]",$L496)</f>
        <v>345458</v>
      </c>
      <c r="S496">
        <f>_xll.ICEHistory(S$4,S$5,"DF[dow:12345][tl:Calendar]",$L496)</f>
        <v>190.58799999999999</v>
      </c>
      <c r="T496">
        <f>_xll.ICEHistory(S$4,T$5,"DF[dow:12345][tl:Calendar]",$L496)</f>
        <v>190.58799999999999</v>
      </c>
      <c r="U496">
        <f>_xll.ICEHistory(S$4,U$5,"DF[dow:12345][tl:Calendar]",$L496)</f>
        <v>190.58799999999999</v>
      </c>
      <c r="V496">
        <f>_xll.ICEHistory(S$4,V$5,"DF[dow:12345][tl:Calendar]",$L496)</f>
        <v>190.58799999999999</v>
      </c>
      <c r="W496">
        <f>_xll.ICEHistory(S$4,W$5,"DF[dow:12345][tl:Calendar]",$L496)</f>
        <v>0</v>
      </c>
      <c r="X496">
        <f t="shared" si="21"/>
        <v>0.10275913497390009</v>
      </c>
      <c r="Y496">
        <f t="shared" si="22"/>
        <v>4.0068990333483905</v>
      </c>
      <c r="Z496">
        <f t="shared" si="23"/>
        <v>0.64868750709475642</v>
      </c>
    </row>
    <row r="497" spans="12:26" x14ac:dyDescent="0.25">
      <c r="L497" s="4">
        <f>_xll.ICETimeline(_xll.ICEJoinRange(M4:W4),"DF[dow:12345][tl:Calendar]","2020-07-26;2024-07-26",554,-1)</f>
        <v>44813.5</v>
      </c>
      <c r="M497">
        <f>_xll.ICEHistory(M$4,M$5,"DF[dow:12345][tl:Calendar]",$L497)</f>
        <v>67.05</v>
      </c>
      <c r="N497">
        <f>_xll.ICEHistory(M$4,N$5,"DF[dow:12345][tl:Calendar]",$L497)</f>
        <v>67.95</v>
      </c>
      <c r="O497">
        <f>_xll.ICEHistory(M$4,O$5,"DF[dow:12345][tl:Calendar]",$L497)</f>
        <v>65.55</v>
      </c>
      <c r="P497">
        <f>_xll.ICEHistory(M$4,P$5,"DF[dow:12345][tl:Calendar]",$L497)</f>
        <v>66.19</v>
      </c>
      <c r="Q497">
        <f>_xll.ICEHistory(M$4,Q$5,"DF[dow:12345][tl:Calendar]",$L497)</f>
        <v>19885</v>
      </c>
      <c r="R497">
        <f>_xll.ICEHistory(M$4,R$5,"DF[dow:12345][tl:Calendar]",$L497)</f>
        <v>345348</v>
      </c>
      <c r="S497">
        <f>_xll.ICEHistory(S$4,S$5,"DF[dow:12345][tl:Calendar]",$L497)</f>
        <v>207.09100000000001</v>
      </c>
      <c r="T497">
        <f>_xll.ICEHistory(S$4,T$5,"DF[dow:12345][tl:Calendar]",$L497)</f>
        <v>207.09100000000001</v>
      </c>
      <c r="U497">
        <f>_xll.ICEHistory(S$4,U$5,"DF[dow:12345][tl:Calendar]",$L497)</f>
        <v>207.09100000000001</v>
      </c>
      <c r="V497">
        <f>_xll.ICEHistory(S$4,V$5,"DF[dow:12345][tl:Calendar]",$L497)</f>
        <v>207.09100000000001</v>
      </c>
      <c r="W497">
        <f>_xll.ICEHistory(S$4,W$5,"DF[dow:12345][tl:Calendar]",$L497)</f>
        <v>0</v>
      </c>
      <c r="X497">
        <f t="shared" si="21"/>
        <v>3.4627037945462499E-2</v>
      </c>
      <c r="Y497">
        <f t="shared" si="22"/>
        <v>-0.15616938260845928</v>
      </c>
      <c r="Z497">
        <f t="shared" si="23"/>
        <v>0.26570502121163414</v>
      </c>
    </row>
    <row r="498" spans="12:26" x14ac:dyDescent="0.25">
      <c r="L498" s="4">
        <f>_xll.ICETimeline(_xll.ICEJoinRange(M4:W4),"DF[dow:12345][tl:Calendar]","2020-07-26;2024-07-26",553,-1)</f>
        <v>44812.5</v>
      </c>
      <c r="M498">
        <f>_xll.ICEHistory(M$4,M$5,"DF[dow:12345][tl:Calendar]",$L498)</f>
        <v>69.31</v>
      </c>
      <c r="N498">
        <f>_xll.ICEHistory(M$4,N$5,"DF[dow:12345][tl:Calendar]",$L498)</f>
        <v>69.31</v>
      </c>
      <c r="O498">
        <f>_xll.ICEHistory(M$4,O$5,"DF[dow:12345][tl:Calendar]",$L498)</f>
        <v>66</v>
      </c>
      <c r="P498">
        <f>_xll.ICEHistory(M$4,P$5,"DF[dow:12345][tl:Calendar]",$L498)</f>
        <v>67.2</v>
      </c>
      <c r="Q498">
        <f>_xll.ICEHistory(M$4,Q$5,"DF[dow:12345][tl:Calendar]",$L498)</f>
        <v>24733</v>
      </c>
      <c r="R498">
        <f>_xll.ICEHistory(M$4,R$5,"DF[dow:12345][tl:Calendar]",$L498)</f>
        <v>343950</v>
      </c>
      <c r="S498">
        <f>_xll.ICEHistory(S$4,S$5,"DF[dow:12345][tl:Calendar]",$L498)</f>
        <v>220.541</v>
      </c>
      <c r="T498">
        <f>_xll.ICEHistory(S$4,T$5,"DF[dow:12345][tl:Calendar]",$L498)</f>
        <v>220.541</v>
      </c>
      <c r="U498">
        <f>_xll.ICEHistory(S$4,U$5,"DF[dow:12345][tl:Calendar]",$L498)</f>
        <v>220.541</v>
      </c>
      <c r="V498">
        <f>_xll.ICEHistory(S$4,V$5,"DF[dow:12345][tl:Calendar]",$L498)</f>
        <v>220.541</v>
      </c>
      <c r="W498">
        <f>_xll.ICEHistory(S$4,W$5,"DF[dow:12345][tl:Calendar]",$L498)</f>
        <v>0</v>
      </c>
      <c r="X498">
        <f t="shared" si="21"/>
        <v>4.7619047619047651E-2</v>
      </c>
      <c r="Y498">
        <f t="shared" si="22"/>
        <v>0.77375733843511496</v>
      </c>
      <c r="Z498">
        <f t="shared" si="23"/>
        <v>1.0948756634457539</v>
      </c>
    </row>
    <row r="499" spans="12:26" x14ac:dyDescent="0.25">
      <c r="L499" s="4">
        <f>_xll.ICETimeline(_xll.ICEJoinRange(M4:W4),"DF[dow:12345][tl:Calendar]","2020-07-26;2024-07-26",552,-1)</f>
        <v>44811.5</v>
      </c>
      <c r="M499">
        <f>_xll.ICEHistory(M$4,M$5,"DF[dow:12345][tl:Calendar]",$L499)</f>
        <v>69.510000000000005</v>
      </c>
      <c r="N499">
        <f>_xll.ICEHistory(M$4,N$5,"DF[dow:12345][tl:Calendar]",$L499)</f>
        <v>71.11</v>
      </c>
      <c r="O499">
        <f>_xll.ICEHistory(M$4,O$5,"DF[dow:12345][tl:Calendar]",$L499)</f>
        <v>68</v>
      </c>
      <c r="P499">
        <f>_xll.ICEHistory(M$4,P$5,"DF[dow:12345][tl:Calendar]",$L499)</f>
        <v>69.31</v>
      </c>
      <c r="Q499">
        <f>_xll.ICEHistory(M$4,Q$5,"DF[dow:12345][tl:Calendar]",$L499)</f>
        <v>28872</v>
      </c>
      <c r="R499">
        <f>_xll.ICEHistory(M$4,R$5,"DF[dow:12345][tl:Calendar]",$L499)</f>
        <v>343012</v>
      </c>
      <c r="S499">
        <f>_xll.ICEHistory(S$4,S$5,"DF[dow:12345][tl:Calendar]",$L499)</f>
        <v>213.88300000000001</v>
      </c>
      <c r="T499">
        <f>_xll.ICEHistory(S$4,T$5,"DF[dow:12345][tl:Calendar]",$L499)</f>
        <v>213.88300000000001</v>
      </c>
      <c r="U499">
        <f>_xll.ICEHistory(S$4,U$5,"DF[dow:12345][tl:Calendar]",$L499)</f>
        <v>213.88300000000001</v>
      </c>
      <c r="V499">
        <f>_xll.ICEHistory(S$4,V$5,"DF[dow:12345][tl:Calendar]",$L499)</f>
        <v>213.88300000000001</v>
      </c>
      <c r="W499">
        <f>_xll.ICEHistory(S$4,W$5,"DF[dow:12345][tl:Calendar]",$L499)</f>
        <v>0</v>
      </c>
      <c r="X499">
        <f t="shared" si="21"/>
        <v>4.2027027027027021E-2</v>
      </c>
      <c r="Y499">
        <f t="shared" si="22"/>
        <v>0.3905140086061219</v>
      </c>
      <c r="Z499">
        <f t="shared" si="23"/>
        <v>1.7735379061297603</v>
      </c>
    </row>
    <row r="500" spans="12:26" x14ac:dyDescent="0.25">
      <c r="L500" s="4">
        <f>_xll.ICETimeline(_xll.ICEJoinRange(M4:W4),"DF[dow:12345][tl:Calendar]","2020-07-26;2024-07-26",551,-1)</f>
        <v>44810.5</v>
      </c>
      <c r="M500">
        <f>_xll.ICEHistory(M$4,M$5,"DF[dow:12345][tl:Calendar]",$L500)</f>
        <v>74</v>
      </c>
      <c r="N500">
        <f>_xll.ICEHistory(M$4,N$5,"DF[dow:12345][tl:Calendar]",$L500)</f>
        <v>74.709999999999994</v>
      </c>
      <c r="O500">
        <f>_xll.ICEHistory(M$4,O$5,"DF[dow:12345][tl:Calendar]",$L500)</f>
        <v>69.2</v>
      </c>
      <c r="P500">
        <f>_xll.ICEHistory(M$4,P$5,"DF[dow:12345][tl:Calendar]",$L500)</f>
        <v>69.510000000000005</v>
      </c>
      <c r="Q500">
        <f>_xll.ICEHistory(M$4,Q$5,"DF[dow:12345][tl:Calendar]",$L500)</f>
        <v>36850</v>
      </c>
      <c r="R500">
        <f>_xll.ICEHistory(M$4,R$5,"DF[dow:12345][tl:Calendar]",$L500)</f>
        <v>344755</v>
      </c>
      <c r="S500">
        <f>_xll.ICEHistory(S$4,S$5,"DF[dow:12345][tl:Calendar]",$L500)</f>
        <v>239.84200000000001</v>
      </c>
      <c r="T500">
        <f>_xll.ICEHistory(S$4,T$5,"DF[dow:12345][tl:Calendar]",$L500)</f>
        <v>239.84200000000001</v>
      </c>
      <c r="U500">
        <f>_xll.ICEHistory(S$4,U$5,"DF[dow:12345][tl:Calendar]",$L500)</f>
        <v>239.84200000000001</v>
      </c>
      <c r="V500">
        <f>_xll.ICEHistory(S$4,V$5,"DF[dow:12345][tl:Calendar]",$L500)</f>
        <v>239.84200000000001</v>
      </c>
      <c r="W500">
        <f>_xll.ICEHistory(S$4,W$5,"DF[dow:12345][tl:Calendar]",$L500)</f>
        <v>0</v>
      </c>
      <c r="X500">
        <f t="shared" si="21"/>
        <v>7.1105949154729536E-2</v>
      </c>
      <c r="Y500">
        <f t="shared" si="22"/>
        <v>2.4879054068955821</v>
      </c>
      <c r="Z500">
        <f t="shared" si="23"/>
        <v>3.2283838883298528</v>
      </c>
    </row>
    <row r="501" spans="12:26" x14ac:dyDescent="0.25">
      <c r="L501" s="4">
        <f>_xll.ICETimeline(_xll.ICEJoinRange(M4:W4),"DF[dow:12345][tl:Calendar]","2020-07-26;2024-07-26",550,-1)</f>
        <v>44809.5</v>
      </c>
      <c r="M501">
        <f>_xll.ICEHistory(M$4,M$5,"DF[dow:12345][tl:Calendar]",$L501)</f>
        <v>77.489999999999995</v>
      </c>
      <c r="N501">
        <f>_xll.ICEHistory(M$4,N$5,"DF[dow:12345][tl:Calendar]",$L501)</f>
        <v>77.489999999999995</v>
      </c>
      <c r="O501">
        <f>_xll.ICEHistory(M$4,O$5,"DF[dow:12345][tl:Calendar]",$L501)</f>
        <v>73.7</v>
      </c>
      <c r="P501">
        <f>_xll.ICEHistory(M$4,P$5,"DF[dow:12345][tl:Calendar]",$L501)</f>
        <v>73.94</v>
      </c>
      <c r="Q501">
        <f>_xll.ICEHistory(M$4,Q$5,"DF[dow:12345][tl:Calendar]",$L501)</f>
        <v>29606</v>
      </c>
      <c r="R501">
        <f>_xll.ICEHistory(M$4,R$5,"DF[dow:12345][tl:Calendar]",$L501)</f>
        <v>343507</v>
      </c>
      <c r="S501">
        <f>_xll.ICEHistory(S$4,S$5,"DF[dow:12345][tl:Calendar]",$L501)</f>
        <v>214.66499999999999</v>
      </c>
      <c r="T501">
        <f>_xll.ICEHistory(S$4,T$5,"DF[dow:12345][tl:Calendar]",$L501)</f>
        <v>214.66499999999999</v>
      </c>
      <c r="U501">
        <f>_xll.ICEHistory(S$4,U$5,"DF[dow:12345][tl:Calendar]",$L501)</f>
        <v>214.66499999999999</v>
      </c>
      <c r="V501">
        <f>_xll.ICEHistory(S$4,V$5,"DF[dow:12345][tl:Calendar]",$L501)</f>
        <v>214.66499999999999</v>
      </c>
      <c r="W501">
        <f>_xll.ICEHistory(S$4,W$5,"DF[dow:12345][tl:Calendar]",$L501)</f>
        <v>0</v>
      </c>
      <c r="X501">
        <f t="shared" si="21"/>
        <v>4.6934984520123742E-2</v>
      </c>
      <c r="Y501">
        <f t="shared" si="22"/>
        <v>0.83987310488724021</v>
      </c>
      <c r="Z501">
        <f t="shared" si="23"/>
        <v>2.2138611290084476</v>
      </c>
    </row>
    <row r="502" spans="12:26" x14ac:dyDescent="0.25">
      <c r="L502" s="4">
        <f>_xll.ICETimeline(_xll.ICEJoinRange(M4:W4),"DF[dow:12345][tl:Calendar]","2020-07-26;2024-07-26",549,-1)</f>
        <v>44806.5</v>
      </c>
      <c r="M502">
        <f>_xll.ICEHistory(M$4,M$5,"DF[dow:12345][tl:Calendar]",$L502)</f>
        <v>80.75</v>
      </c>
      <c r="N502">
        <f>_xll.ICEHistory(M$4,N$5,"DF[dow:12345][tl:Calendar]",$L502)</f>
        <v>81.22</v>
      </c>
      <c r="O502">
        <f>_xll.ICEHistory(M$4,O$5,"DF[dow:12345][tl:Calendar]",$L502)</f>
        <v>77.45</v>
      </c>
      <c r="P502">
        <f>_xll.ICEHistory(M$4,P$5,"DF[dow:12345][tl:Calendar]",$L502)</f>
        <v>77.91</v>
      </c>
      <c r="Q502">
        <f>_xll.ICEHistory(M$4,Q$5,"DF[dow:12345][tl:Calendar]",$L502)</f>
        <v>19114</v>
      </c>
      <c r="R502">
        <f>_xll.ICEHistory(M$4,R$5,"DF[dow:12345][tl:Calendar]",$L502)</f>
        <v>344722</v>
      </c>
      <c r="S502">
        <f>_xll.ICEHistory(S$4,S$5,"DF[dow:12345][tl:Calendar]",$L502)</f>
        <v>214.66499999999999</v>
      </c>
      <c r="T502">
        <f>_xll.ICEHistory(S$4,T$5,"DF[dow:12345][tl:Calendar]",$L502)</f>
        <v>214.66499999999999</v>
      </c>
      <c r="U502">
        <f>_xll.ICEHistory(S$4,U$5,"DF[dow:12345][tl:Calendar]",$L502)</f>
        <v>214.66499999999999</v>
      </c>
      <c r="V502">
        <f>_xll.ICEHistory(S$4,V$5,"DF[dow:12345][tl:Calendar]",$L502)</f>
        <v>214.66499999999999</v>
      </c>
      <c r="W502">
        <f>_xll.ICEHistory(S$4,W$5,"DF[dow:12345][tl:Calendar]",$L502)</f>
        <v>0</v>
      </c>
      <c r="X502">
        <f t="shared" si="21"/>
        <v>4.6884715831364214E-2</v>
      </c>
      <c r="Y502">
        <f t="shared" si="22"/>
        <v>0.77685309716332762</v>
      </c>
      <c r="Z502">
        <f t="shared" si="23"/>
        <v>0.29750522816214731</v>
      </c>
    </row>
    <row r="503" spans="12:26" x14ac:dyDescent="0.25">
      <c r="L503" s="4">
        <f>_xll.ICETimeline(_xll.ICEJoinRange(M4:W4),"DF[dow:12345][tl:Calendar]","2020-07-26;2024-07-26",548,-1)</f>
        <v>44805.5</v>
      </c>
      <c r="M503">
        <f>_xll.ICEHistory(M$4,M$5,"DF[dow:12345][tl:Calendar]",$L503)</f>
        <v>80.41</v>
      </c>
      <c r="N503">
        <f>_xll.ICEHistory(M$4,N$5,"DF[dow:12345][tl:Calendar]",$L503)</f>
        <v>81.349999999999994</v>
      </c>
      <c r="O503">
        <f>_xll.ICEHistory(M$4,O$5,"DF[dow:12345][tl:Calendar]",$L503)</f>
        <v>77.45</v>
      </c>
      <c r="P503">
        <f>_xll.ICEHistory(M$4,P$5,"DF[dow:12345][tl:Calendar]",$L503)</f>
        <v>80.94</v>
      </c>
      <c r="Q503">
        <f>_xll.ICEHistory(M$4,Q$5,"DF[dow:12345][tl:Calendar]",$L503)</f>
        <v>28260</v>
      </c>
      <c r="R503">
        <f>_xll.ICEHistory(M$4,R$5,"DF[dow:12345][tl:Calendar]",$L503)</f>
        <v>344360</v>
      </c>
      <c r="S503">
        <f>_xll.ICEHistory(S$4,S$5,"DF[dow:12345][tl:Calendar]",$L503)</f>
        <v>243.00399999999999</v>
      </c>
      <c r="T503">
        <f>_xll.ICEHistory(S$4,T$5,"DF[dow:12345][tl:Calendar]",$L503)</f>
        <v>243.00399999999999</v>
      </c>
      <c r="U503">
        <f>_xll.ICEHistory(S$4,U$5,"DF[dow:12345][tl:Calendar]",$L503)</f>
        <v>243.00399999999999</v>
      </c>
      <c r="V503">
        <f>_xll.ICEHistory(S$4,V$5,"DF[dow:12345][tl:Calendar]",$L503)</f>
        <v>243.00399999999999</v>
      </c>
      <c r="W503">
        <f>_xll.ICEHistory(S$4,W$5,"DF[dow:12345][tl:Calendar]",$L503)</f>
        <v>0</v>
      </c>
      <c r="X503">
        <f t="shared" si="21"/>
        <v>4.8112509252405518E-2</v>
      </c>
      <c r="Y503">
        <f t="shared" si="22"/>
        <v>0.88982875545683238</v>
      </c>
      <c r="Z503">
        <f t="shared" si="23"/>
        <v>2.001055981444817</v>
      </c>
    </row>
    <row r="504" spans="12:26" x14ac:dyDescent="0.25">
      <c r="L504" s="4">
        <f>_xll.ICETimeline(_xll.ICEJoinRange(M4:W4),"DF[dow:12345][tl:Calendar]","2020-07-26;2024-07-26",547,-1)</f>
        <v>44804.5</v>
      </c>
      <c r="M504">
        <f>_xll.ICEHistory(M$4,M$5,"DF[dow:12345][tl:Calendar]",$L504)</f>
        <v>81.06</v>
      </c>
      <c r="N504">
        <f>_xll.ICEHistory(M$4,N$5,"DF[dow:12345][tl:Calendar]",$L504)</f>
        <v>81.61</v>
      </c>
      <c r="O504">
        <f>_xll.ICEHistory(M$4,O$5,"DF[dow:12345][tl:Calendar]",$L504)</f>
        <v>79</v>
      </c>
      <c r="P504">
        <f>_xll.ICEHistory(M$4,P$5,"DF[dow:12345][tl:Calendar]",$L504)</f>
        <v>80.62</v>
      </c>
      <c r="Q504">
        <f>_xll.ICEHistory(M$4,Q$5,"DF[dow:12345][tl:Calendar]",$L504)</f>
        <v>22953</v>
      </c>
      <c r="R504">
        <f>_xll.ICEHistory(M$4,R$5,"DF[dow:12345][tl:Calendar]",$L504)</f>
        <v>342649</v>
      </c>
      <c r="S504">
        <f>_xll.ICEHistory(S$4,S$5,"DF[dow:12345][tl:Calendar]",$L504)</f>
        <v>239.90700000000001</v>
      </c>
      <c r="T504">
        <f>_xll.ICEHistory(S$4,T$5,"DF[dow:12345][tl:Calendar]",$L504)</f>
        <v>239.90700000000001</v>
      </c>
      <c r="U504">
        <f>_xll.ICEHistory(S$4,U$5,"DF[dow:12345][tl:Calendar]",$L504)</f>
        <v>239.90700000000001</v>
      </c>
      <c r="V504">
        <f>_xll.ICEHistory(S$4,V$5,"DF[dow:12345][tl:Calendar]",$L504)</f>
        <v>239.90700000000001</v>
      </c>
      <c r="W504">
        <f>_xll.ICEHistory(S$4,W$5,"DF[dow:12345][tl:Calendar]",$L504)</f>
        <v>0</v>
      </c>
      <c r="X504">
        <f t="shared" si="21"/>
        <v>3.0250347705146029E-2</v>
      </c>
      <c r="Y504">
        <f t="shared" si="22"/>
        <v>-0.37452371435531817</v>
      </c>
      <c r="Z504">
        <f t="shared" si="23"/>
        <v>1.0984647618153636</v>
      </c>
    </row>
    <row r="505" spans="12:26" x14ac:dyDescent="0.25">
      <c r="L505" s="4">
        <f>_xll.ICETimeline(_xll.ICEJoinRange(M4:W4),"DF[dow:12345][tl:Calendar]","2020-07-26;2024-07-26",546,-1)</f>
        <v>44803.5</v>
      </c>
      <c r="M505">
        <f>_xll.ICEHistory(M$4,M$5,"DF[dow:12345][tl:Calendar]",$L505)</f>
        <v>86.28</v>
      </c>
      <c r="N505">
        <f>_xll.ICEHistory(M$4,N$5,"DF[dow:12345][tl:Calendar]",$L505)</f>
        <v>86.89</v>
      </c>
      <c r="O505">
        <f>_xll.ICEHistory(M$4,O$5,"DF[dow:12345][tl:Calendar]",$L505)</f>
        <v>79.92</v>
      </c>
      <c r="P505">
        <f>_xll.ICEHistory(M$4,P$5,"DF[dow:12345][tl:Calendar]",$L505)</f>
        <v>81.06</v>
      </c>
      <c r="Q505">
        <f>_xll.ICEHistory(M$4,Q$5,"DF[dow:12345][tl:Calendar]",$L505)</f>
        <v>30590</v>
      </c>
      <c r="R505">
        <f>_xll.ICEHistory(M$4,R$5,"DF[dow:12345][tl:Calendar]",$L505)</f>
        <v>344676</v>
      </c>
      <c r="S505">
        <f>_xll.ICEHistory(S$4,S$5,"DF[dow:12345][tl:Calendar]",$L505)</f>
        <v>252.93700000000001</v>
      </c>
      <c r="T505">
        <f>_xll.ICEHistory(S$4,T$5,"DF[dow:12345][tl:Calendar]",$L505)</f>
        <v>252.93700000000001</v>
      </c>
      <c r="U505">
        <f>_xll.ICEHistory(S$4,U$5,"DF[dow:12345][tl:Calendar]",$L505)</f>
        <v>252.93700000000001</v>
      </c>
      <c r="V505">
        <f>_xll.ICEHistory(S$4,V$5,"DF[dow:12345][tl:Calendar]",$L505)</f>
        <v>252.93700000000001</v>
      </c>
      <c r="W505">
        <f>_xll.ICEHistory(S$4,W$5,"DF[dow:12345][tl:Calendar]",$L505)</f>
        <v>0</v>
      </c>
      <c r="X505">
        <f t="shared" si="21"/>
        <v>7.701657458563535E-2</v>
      </c>
      <c r="Y505">
        <f t="shared" si="22"/>
        <v>2.9604620320138109</v>
      </c>
      <c r="Z505">
        <f t="shared" si="23"/>
        <v>2.5812875580417201</v>
      </c>
    </row>
    <row r="506" spans="12:26" x14ac:dyDescent="0.25">
      <c r="L506" s="4">
        <f>_xll.ICETimeline(_xll.ICEJoinRange(M4:W4),"DF[dow:12345][tl:Calendar]","2020-07-26;2024-07-26",545,-1)</f>
        <v>44802.5</v>
      </c>
      <c r="M506">
        <f>_xll.ICEHistory(M$4,M$5,"DF[dow:12345][tl:Calendar]",$L506)</f>
        <v>90.5</v>
      </c>
      <c r="N506">
        <f>_xll.ICEHistory(M$4,N$5,"DF[dow:12345][tl:Calendar]",$L506)</f>
        <v>90.5</v>
      </c>
      <c r="O506">
        <f>_xll.ICEHistory(M$4,O$5,"DF[dow:12345][tl:Calendar]",$L506)</f>
        <v>85.69</v>
      </c>
      <c r="P506">
        <f>_xll.ICEHistory(M$4,P$5,"DF[dow:12345][tl:Calendar]",$L506)</f>
        <v>86.28</v>
      </c>
      <c r="Q506">
        <f>_xll.ICEHistory(M$4,Q$5,"DF[dow:12345][tl:Calendar]",$L506)</f>
        <v>13815</v>
      </c>
      <c r="R506">
        <f>_xll.ICEHistory(M$4,R$5,"DF[dow:12345][tl:Calendar]",$L506)</f>
        <v>344396</v>
      </c>
      <c r="S506">
        <f>_xll.ICEHistory(S$4,S$5,"DF[dow:12345][tl:Calendar]",$L506)</f>
        <v>272.60300000000001</v>
      </c>
      <c r="T506">
        <f>_xll.ICEHistory(S$4,T$5,"DF[dow:12345][tl:Calendar]",$L506)</f>
        <v>272.60300000000001</v>
      </c>
      <c r="U506">
        <f>_xll.ICEHistory(S$4,U$5,"DF[dow:12345][tl:Calendar]",$L506)</f>
        <v>272.60300000000001</v>
      </c>
      <c r="V506">
        <f>_xll.ICEHistory(S$4,V$5,"DF[dow:12345][tl:Calendar]",$L506)</f>
        <v>272.60300000000001</v>
      </c>
      <c r="W506">
        <f>_xll.ICEHistory(S$4,W$5,"DF[dow:12345][tl:Calendar]",$L506)</f>
        <v>0</v>
      </c>
      <c r="X506">
        <f t="shared" si="21"/>
        <v>5.4020664869721492E-2</v>
      </c>
      <c r="Y506">
        <f t="shared" si="22"/>
        <v>1.4653265774878568</v>
      </c>
      <c r="Z506">
        <f t="shared" si="23"/>
        <v>-0.57056208657712759</v>
      </c>
    </row>
    <row r="507" spans="12:26" x14ac:dyDescent="0.25">
      <c r="L507" s="4">
        <f>_xll.ICETimeline(_xll.ICEJoinRange(M4:W4),"DF[dow:12345][tl:Calendar]","2020-07-26;2024-07-26",544,-1)</f>
        <v>44799.5</v>
      </c>
      <c r="M507">
        <f>_xll.ICEHistory(M$4,M$5,"DF[dow:12345][tl:Calendar]",$L507)</f>
        <v>89.04</v>
      </c>
      <c r="N507">
        <f>_xll.ICEHistory(M$4,N$5,"DF[dow:12345][tl:Calendar]",$L507)</f>
        <v>90.49</v>
      </c>
      <c r="O507">
        <f>_xll.ICEHistory(M$4,O$5,"DF[dow:12345][tl:Calendar]",$L507)</f>
        <v>88.06</v>
      </c>
      <c r="P507">
        <f>_xll.ICEHistory(M$4,P$5,"DF[dow:12345][tl:Calendar]",$L507)</f>
        <v>90.45</v>
      </c>
      <c r="Q507">
        <f>_xll.ICEHistory(M$4,Q$5,"DF[dow:12345][tl:Calendar]",$L507)</f>
        <v>12405</v>
      </c>
      <c r="R507">
        <f>_xll.ICEHistory(M$4,R$5,"DF[dow:12345][tl:Calendar]",$L507)</f>
        <v>344057</v>
      </c>
      <c r="S507">
        <f>_xll.ICEHistory(S$4,S$5,"DF[dow:12345][tl:Calendar]",$L507)</f>
        <v>339.19600000000003</v>
      </c>
      <c r="T507">
        <f>_xll.ICEHistory(S$4,T$5,"DF[dow:12345][tl:Calendar]",$L507)</f>
        <v>339.19600000000003</v>
      </c>
      <c r="U507">
        <f>_xll.ICEHistory(S$4,U$5,"DF[dow:12345][tl:Calendar]",$L507)</f>
        <v>339.19600000000003</v>
      </c>
      <c r="V507">
        <f>_xll.ICEHistory(S$4,V$5,"DF[dow:12345][tl:Calendar]",$L507)</f>
        <v>339.19600000000003</v>
      </c>
      <c r="W507">
        <f>_xll.ICEHistory(S$4,W$5,"DF[dow:12345][tl:Calendar]",$L507)</f>
        <v>0</v>
      </c>
      <c r="X507">
        <f t="shared" si="21"/>
        <v>2.7242152466367631E-2</v>
      </c>
      <c r="Y507">
        <f t="shared" si="22"/>
        <v>-0.54472984723551932</v>
      </c>
      <c r="Z507">
        <f t="shared" si="23"/>
        <v>-0.84395008387693415</v>
      </c>
    </row>
    <row r="508" spans="12:26" x14ac:dyDescent="0.25">
      <c r="L508" s="4">
        <f>_xll.ICETimeline(_xll.ICEJoinRange(M4:W4),"DF[dow:12345][tl:Calendar]","2020-07-26;2024-07-26",543,-1)</f>
        <v>44798.5</v>
      </c>
      <c r="M508">
        <f>_xll.ICEHistory(M$4,M$5,"DF[dow:12345][tl:Calendar]",$L508)</f>
        <v>89.2</v>
      </c>
      <c r="N508">
        <f>_xll.ICEHistory(M$4,N$5,"DF[dow:12345][tl:Calendar]",$L508)</f>
        <v>90.66</v>
      </c>
      <c r="O508">
        <f>_xll.ICEHistory(M$4,O$5,"DF[dow:12345][tl:Calendar]",$L508)</f>
        <v>87.2</v>
      </c>
      <c r="P508">
        <f>_xll.ICEHistory(M$4,P$5,"DF[dow:12345][tl:Calendar]",$L508)</f>
        <v>88.5</v>
      </c>
      <c r="Q508">
        <f>_xll.ICEHistory(M$4,Q$5,"DF[dow:12345][tl:Calendar]",$L508)</f>
        <v>15311</v>
      </c>
      <c r="R508">
        <f>_xll.ICEHistory(M$4,R$5,"DF[dow:12345][tl:Calendar]",$L508)</f>
        <v>344699</v>
      </c>
      <c r="S508">
        <f>_xll.ICEHistory(S$4,S$5,"DF[dow:12345][tl:Calendar]",$L508)</f>
        <v>321.41399999999999</v>
      </c>
      <c r="T508">
        <f>_xll.ICEHistory(S$4,T$5,"DF[dow:12345][tl:Calendar]",$L508)</f>
        <v>321.41399999999999</v>
      </c>
      <c r="U508">
        <f>_xll.ICEHistory(S$4,U$5,"DF[dow:12345][tl:Calendar]",$L508)</f>
        <v>321.41399999999999</v>
      </c>
      <c r="V508">
        <f>_xll.ICEHistory(S$4,V$5,"DF[dow:12345][tl:Calendar]",$L508)</f>
        <v>321.41399999999999</v>
      </c>
      <c r="W508">
        <f>_xll.ICEHistory(S$4,W$5,"DF[dow:12345][tl:Calendar]",$L508)</f>
        <v>0</v>
      </c>
      <c r="X508">
        <f t="shared" si="21"/>
        <v>3.8444444444444378E-2</v>
      </c>
      <c r="Y508">
        <f t="shared" si="22"/>
        <v>0.32221435999113063</v>
      </c>
      <c r="Z508">
        <f t="shared" si="23"/>
        <v>-0.29967422014971479</v>
      </c>
    </row>
    <row r="509" spans="12:26" x14ac:dyDescent="0.25">
      <c r="L509" s="4">
        <f>_xll.ICETimeline(_xll.ICEJoinRange(M4:W4),"DF[dow:12345][tl:Calendar]","2020-07-26;2024-07-26",542,-1)</f>
        <v>44797.5</v>
      </c>
      <c r="M509">
        <f>_xll.ICEHistory(M$4,M$5,"DF[dow:12345][tl:Calendar]",$L509)</f>
        <v>90</v>
      </c>
      <c r="N509">
        <f>_xll.ICEHistory(M$4,N$5,"DF[dow:12345][tl:Calendar]",$L509)</f>
        <v>91.39</v>
      </c>
      <c r="O509">
        <f>_xll.ICEHistory(M$4,O$5,"DF[dow:12345][tl:Calendar]",$L509)</f>
        <v>88.37</v>
      </c>
      <c r="P509">
        <f>_xll.ICEHistory(M$4,P$5,"DF[dow:12345][tl:Calendar]",$L509)</f>
        <v>89.65</v>
      </c>
      <c r="Q509">
        <f>_xll.ICEHistory(M$4,Q$5,"DF[dow:12345][tl:Calendar]",$L509)</f>
        <v>16693</v>
      </c>
      <c r="R509">
        <f>_xll.ICEHistory(M$4,R$5,"DF[dow:12345][tl:Calendar]",$L509)</f>
        <v>346140</v>
      </c>
      <c r="S509">
        <f>_xll.ICEHistory(S$4,S$5,"DF[dow:12345][tl:Calendar]",$L509)</f>
        <v>292.14999999999998</v>
      </c>
      <c r="T509">
        <f>_xll.ICEHistory(S$4,T$5,"DF[dow:12345][tl:Calendar]",$L509)</f>
        <v>292.14999999999998</v>
      </c>
      <c r="U509">
        <f>_xll.ICEHistory(S$4,U$5,"DF[dow:12345][tl:Calendar]",$L509)</f>
        <v>292.14999999999998</v>
      </c>
      <c r="V509">
        <f>_xll.ICEHistory(S$4,V$5,"DF[dow:12345][tl:Calendar]",$L509)</f>
        <v>292.14999999999998</v>
      </c>
      <c r="W509">
        <f>_xll.ICEHistory(S$4,W$5,"DF[dow:12345][tl:Calendar]",$L509)</f>
        <v>0</v>
      </c>
      <c r="X509">
        <f t="shared" si="21"/>
        <v>3.2645119446546272E-2</v>
      </c>
      <c r="Y509">
        <f t="shared" si="22"/>
        <v>-0.13607311264906002</v>
      </c>
      <c r="Z509">
        <f t="shared" si="23"/>
        <v>-2.3893375717645774E-2</v>
      </c>
    </row>
    <row r="510" spans="12:26" x14ac:dyDescent="0.25">
      <c r="L510" s="4">
        <f>_xll.ICETimeline(_xll.ICEJoinRange(M4:W4),"DF[dow:12345][tl:Calendar]","2020-07-26;2024-07-26",541,-1)</f>
        <v>44796.5</v>
      </c>
      <c r="M510">
        <f>_xll.ICEHistory(M$4,M$5,"DF[dow:12345][tl:Calendar]",$L510)</f>
        <v>92.51</v>
      </c>
      <c r="N510">
        <f>_xll.ICEHistory(M$4,N$5,"DF[dow:12345][tl:Calendar]",$L510)</f>
        <v>94.19</v>
      </c>
      <c r="O510">
        <f>_xll.ICEHistory(M$4,O$5,"DF[dow:12345][tl:Calendar]",$L510)</f>
        <v>88.85</v>
      </c>
      <c r="P510">
        <f>_xll.ICEHistory(M$4,P$5,"DF[dow:12345][tl:Calendar]",$L510)</f>
        <v>89.8</v>
      </c>
      <c r="Q510">
        <f>_xll.ICEHistory(M$4,Q$5,"DF[dow:12345][tl:Calendar]",$L510)</f>
        <v>20114</v>
      </c>
      <c r="R510">
        <f>_xll.ICEHistory(M$4,R$5,"DF[dow:12345][tl:Calendar]",$L510)</f>
        <v>345501</v>
      </c>
      <c r="S510">
        <f>_xll.ICEHistory(S$4,S$5,"DF[dow:12345][tl:Calendar]",$L510)</f>
        <v>269.04899999999998</v>
      </c>
      <c r="T510">
        <f>_xll.ICEHistory(S$4,T$5,"DF[dow:12345][tl:Calendar]",$L510)</f>
        <v>269.04899999999998</v>
      </c>
      <c r="U510">
        <f>_xll.ICEHistory(S$4,U$5,"DF[dow:12345][tl:Calendar]",$L510)</f>
        <v>269.04899999999998</v>
      </c>
      <c r="V510">
        <f>_xll.ICEHistory(S$4,V$5,"DF[dow:12345][tl:Calendar]",$L510)</f>
        <v>269.04899999999998</v>
      </c>
      <c r="W510">
        <f>_xll.ICEHistory(S$4,W$5,"DF[dow:12345][tl:Calendar]",$L510)</f>
        <v>0</v>
      </c>
      <c r="X510">
        <f t="shared" si="21"/>
        <v>5.421319796954318E-2</v>
      </c>
      <c r="Y510">
        <f t="shared" si="22"/>
        <v>1.5033860166345898</v>
      </c>
      <c r="Z510">
        <f t="shared" si="23"/>
        <v>0.63545105165616789</v>
      </c>
    </row>
    <row r="511" spans="12:26" x14ac:dyDescent="0.25">
      <c r="L511" s="4">
        <f>_xll.ICETimeline(_xll.ICEJoinRange(M4:W4),"DF[dow:12345][tl:Calendar]","2020-07-26;2024-07-26",540,-1)</f>
        <v>44795.5</v>
      </c>
      <c r="M511">
        <f>_xll.ICEHistory(M$4,M$5,"DF[dow:12345][tl:Calendar]",$L511)</f>
        <v>98.5</v>
      </c>
      <c r="N511">
        <f>_xll.ICEHistory(M$4,N$5,"DF[dow:12345][tl:Calendar]",$L511)</f>
        <v>98.69</v>
      </c>
      <c r="O511">
        <f>_xll.ICEHistory(M$4,O$5,"DF[dow:12345][tl:Calendar]",$L511)</f>
        <v>90.85</v>
      </c>
      <c r="P511">
        <f>_xll.ICEHistory(M$4,P$5,"DF[dow:12345][tl:Calendar]",$L511)</f>
        <v>93.04</v>
      </c>
      <c r="Q511">
        <f>_xll.ICEHistory(M$4,Q$5,"DF[dow:12345][tl:Calendar]",$L511)</f>
        <v>20608</v>
      </c>
      <c r="R511">
        <f>_xll.ICEHistory(M$4,R$5,"DF[dow:12345][tl:Calendar]",$L511)</f>
        <v>344491</v>
      </c>
      <c r="S511">
        <f>_xll.ICEHistory(S$4,S$5,"DF[dow:12345][tl:Calendar]",$L511)</f>
        <v>276.74799999999999</v>
      </c>
      <c r="T511">
        <f>_xll.ICEHistory(S$4,T$5,"DF[dow:12345][tl:Calendar]",$L511)</f>
        <v>276.74799999999999</v>
      </c>
      <c r="U511">
        <f>_xll.ICEHistory(S$4,U$5,"DF[dow:12345][tl:Calendar]",$L511)</f>
        <v>276.74799999999999</v>
      </c>
      <c r="V511">
        <f>_xll.ICEHistory(S$4,V$5,"DF[dow:12345][tl:Calendar]",$L511)</f>
        <v>276.74799999999999</v>
      </c>
      <c r="W511">
        <f>_xll.ICEHistory(S$4,W$5,"DF[dow:12345][tl:Calendar]",$L511)</f>
        <v>0</v>
      </c>
      <c r="X511">
        <f t="shared" si="21"/>
        <v>8.1412253374870236E-2</v>
      </c>
      <c r="Y511">
        <f t="shared" si="22"/>
        <v>3.461673750629132</v>
      </c>
      <c r="Z511">
        <f t="shared" si="23"/>
        <v>0.73533082973107478</v>
      </c>
    </row>
    <row r="512" spans="12:26" x14ac:dyDescent="0.25">
      <c r="L512" s="4">
        <f>_xll.ICETimeline(_xll.ICEJoinRange(M4:W4),"DF[dow:12345][tl:Calendar]","2020-07-26;2024-07-26",539,-1)</f>
        <v>44792.5</v>
      </c>
      <c r="M512">
        <f>_xll.ICEHistory(M$4,M$5,"DF[dow:12345][tl:Calendar]",$L512)</f>
        <v>96.3</v>
      </c>
      <c r="N512">
        <f>_xll.ICEHistory(M$4,N$5,"DF[dow:12345][tl:Calendar]",$L512)</f>
        <v>99.22</v>
      </c>
      <c r="O512">
        <f>_xll.ICEHistory(M$4,O$5,"DF[dow:12345][tl:Calendar]",$L512)</f>
        <v>95.6</v>
      </c>
      <c r="P512">
        <f>_xll.ICEHistory(M$4,P$5,"DF[dow:12345][tl:Calendar]",$L512)</f>
        <v>98.43</v>
      </c>
      <c r="Q512">
        <f>_xll.ICEHistory(M$4,Q$5,"DF[dow:12345][tl:Calendar]",$L512)</f>
        <v>14807</v>
      </c>
      <c r="R512">
        <f>_xll.ICEHistory(M$4,R$5,"DF[dow:12345][tl:Calendar]",$L512)</f>
        <v>344306</v>
      </c>
      <c r="S512">
        <f>_xll.ICEHistory(S$4,S$5,"DF[dow:12345][tl:Calendar]",$L512)</f>
        <v>244.55</v>
      </c>
      <c r="T512">
        <f>_xll.ICEHistory(S$4,T$5,"DF[dow:12345][tl:Calendar]",$L512)</f>
        <v>244.55</v>
      </c>
      <c r="U512">
        <f>_xll.ICEHistory(S$4,U$5,"DF[dow:12345][tl:Calendar]",$L512)</f>
        <v>244.55</v>
      </c>
      <c r="V512">
        <f>_xll.ICEHistory(S$4,V$5,"DF[dow:12345][tl:Calendar]",$L512)</f>
        <v>244.55</v>
      </c>
      <c r="W512">
        <f>_xll.ICEHistory(S$4,W$5,"DF[dow:12345][tl:Calendar]",$L512)</f>
        <v>0</v>
      </c>
      <c r="X512">
        <f t="shared" si="21"/>
        <v>3.7610389610389657E-2</v>
      </c>
      <c r="Y512">
        <f t="shared" si="22"/>
        <v>0.27016643268351948</v>
      </c>
      <c r="Z512">
        <f t="shared" si="23"/>
        <v>-0.39623099400000927</v>
      </c>
    </row>
    <row r="513" spans="12:26" x14ac:dyDescent="0.25">
      <c r="L513" s="4">
        <f>_xll.ICETimeline(_xll.ICEJoinRange(M4:W4),"DF[dow:12345][tl:Calendar]","2020-07-26;2024-07-26",538,-1)</f>
        <v>44791.5</v>
      </c>
      <c r="M513">
        <f>_xll.ICEHistory(M$4,M$5,"DF[dow:12345][tl:Calendar]",$L513)</f>
        <v>96.25</v>
      </c>
      <c r="N513">
        <f>_xll.ICEHistory(M$4,N$5,"DF[dow:12345][tl:Calendar]",$L513)</f>
        <v>97.49</v>
      </c>
      <c r="O513">
        <f>_xll.ICEHistory(M$4,O$5,"DF[dow:12345][tl:Calendar]",$L513)</f>
        <v>92.7</v>
      </c>
      <c r="P513">
        <f>_xll.ICEHistory(M$4,P$5,"DF[dow:12345][tl:Calendar]",$L513)</f>
        <v>96.53</v>
      </c>
      <c r="Q513">
        <f>_xll.ICEHistory(M$4,Q$5,"DF[dow:12345][tl:Calendar]",$L513)</f>
        <v>19873</v>
      </c>
      <c r="R513">
        <f>_xll.ICEHistory(M$4,R$5,"DF[dow:12345][tl:Calendar]",$L513)</f>
        <v>344597</v>
      </c>
      <c r="S513">
        <f>_xll.ICEHistory(S$4,S$5,"DF[dow:12345][tl:Calendar]",$L513)</f>
        <v>241.00399999999999</v>
      </c>
      <c r="T513">
        <f>_xll.ICEHistory(S$4,T$5,"DF[dow:12345][tl:Calendar]",$L513)</f>
        <v>241.00399999999999</v>
      </c>
      <c r="U513">
        <f>_xll.ICEHistory(S$4,U$5,"DF[dow:12345][tl:Calendar]",$L513)</f>
        <v>241.00399999999999</v>
      </c>
      <c r="V513">
        <f>_xll.ICEHistory(S$4,V$5,"DF[dow:12345][tl:Calendar]",$L513)</f>
        <v>241.00399999999999</v>
      </c>
      <c r="W513">
        <f>_xll.ICEHistory(S$4,W$5,"DF[dow:12345][tl:Calendar]",$L513)</f>
        <v>0</v>
      </c>
      <c r="X513">
        <f t="shared" si="21"/>
        <v>5.1867893881970682E-2</v>
      </c>
      <c r="Y513">
        <f t="shared" si="22"/>
        <v>1.3822300120590512</v>
      </c>
      <c r="Z513">
        <f t="shared" si="23"/>
        <v>0.53580159841259423</v>
      </c>
    </row>
    <row r="514" spans="12:26" x14ac:dyDescent="0.25">
      <c r="L514" s="4">
        <f>_xll.ICETimeline(_xll.ICEJoinRange(M4:W4),"DF[dow:12345][tl:Calendar]","2020-07-26;2024-07-26",537,-1)</f>
        <v>44790.5</v>
      </c>
      <c r="M514">
        <f>_xll.ICEHistory(M$4,M$5,"DF[dow:12345][tl:Calendar]",$L514)</f>
        <v>92.35</v>
      </c>
      <c r="N514">
        <f>_xll.ICEHistory(M$4,N$5,"DF[dow:12345][tl:Calendar]",$L514)</f>
        <v>96.44</v>
      </c>
      <c r="O514">
        <f>_xll.ICEHistory(M$4,O$5,"DF[dow:12345][tl:Calendar]",$L514)</f>
        <v>92.23</v>
      </c>
      <c r="P514">
        <f>_xll.ICEHistory(M$4,P$5,"DF[dow:12345][tl:Calendar]",$L514)</f>
        <v>96.35</v>
      </c>
      <c r="Q514">
        <f>_xll.ICEHistory(M$4,Q$5,"DF[dow:12345][tl:Calendar]",$L514)</f>
        <v>18640</v>
      </c>
      <c r="R514">
        <f>_xll.ICEHistory(M$4,R$5,"DF[dow:12345][tl:Calendar]",$L514)</f>
        <v>342511</v>
      </c>
      <c r="S514">
        <f>_xll.ICEHistory(S$4,S$5,"DF[dow:12345][tl:Calendar]",$L514)</f>
        <v>225.83500000000001</v>
      </c>
      <c r="T514">
        <f>_xll.ICEHistory(S$4,T$5,"DF[dow:12345][tl:Calendar]",$L514)</f>
        <v>225.83500000000001</v>
      </c>
      <c r="U514">
        <f>_xll.ICEHistory(S$4,U$5,"DF[dow:12345][tl:Calendar]",$L514)</f>
        <v>225.83500000000001</v>
      </c>
      <c r="V514">
        <f>_xll.ICEHistory(S$4,V$5,"DF[dow:12345][tl:Calendar]",$L514)</f>
        <v>225.83500000000001</v>
      </c>
      <c r="W514">
        <f>_xll.ICEHistory(S$4,W$5,"DF[dow:12345][tl:Calendar]",$L514)</f>
        <v>0</v>
      </c>
      <c r="X514">
        <f t="shared" si="21"/>
        <v>4.6741423337404178E-2</v>
      </c>
      <c r="Y514">
        <f t="shared" si="22"/>
        <v>0.94898740669547321</v>
      </c>
      <c r="Z514">
        <f t="shared" si="23"/>
        <v>0.25300122296901989</v>
      </c>
    </row>
    <row r="515" spans="12:26" x14ac:dyDescent="0.25">
      <c r="L515" s="4">
        <f>_xll.ICETimeline(_xll.ICEJoinRange(M4:W4),"DF[dow:12345][tl:Calendar]","2020-07-26;2024-07-26",536,-1)</f>
        <v>44789.5</v>
      </c>
      <c r="M515">
        <f>_xll.ICEHistory(M$4,M$5,"DF[dow:12345][tl:Calendar]",$L515)</f>
        <v>90.07</v>
      </c>
      <c r="N515">
        <f>_xll.ICEHistory(M$4,N$5,"DF[dow:12345][tl:Calendar]",$L515)</f>
        <v>92.66</v>
      </c>
      <c r="O515">
        <f>_xll.ICEHistory(M$4,O$5,"DF[dow:12345][tl:Calendar]",$L515)</f>
        <v>90.07</v>
      </c>
      <c r="P515">
        <f>_xll.ICEHistory(M$4,P$5,"DF[dow:12345][tl:Calendar]",$L515)</f>
        <v>92.47</v>
      </c>
      <c r="Q515">
        <f>_xll.ICEHistory(M$4,Q$5,"DF[dow:12345][tl:Calendar]",$L515)</f>
        <v>18193</v>
      </c>
      <c r="R515">
        <f>_xll.ICEHistory(M$4,R$5,"DF[dow:12345][tl:Calendar]",$L515)</f>
        <v>339942</v>
      </c>
      <c r="S515">
        <f>_xll.ICEHistory(S$4,S$5,"DF[dow:12345][tl:Calendar]",$L515)</f>
        <v>225.91399999999999</v>
      </c>
      <c r="T515">
        <f>_xll.ICEHistory(S$4,T$5,"DF[dow:12345][tl:Calendar]",$L515)</f>
        <v>225.91399999999999</v>
      </c>
      <c r="U515">
        <f>_xll.ICEHistory(S$4,U$5,"DF[dow:12345][tl:Calendar]",$L515)</f>
        <v>225.91399999999999</v>
      </c>
      <c r="V515">
        <f>_xll.ICEHistory(S$4,V$5,"DF[dow:12345][tl:Calendar]",$L515)</f>
        <v>225.91399999999999</v>
      </c>
      <c r="W515">
        <f>_xll.ICEHistory(S$4,W$5,"DF[dow:12345][tl:Calendar]",$L515)</f>
        <v>0</v>
      </c>
      <c r="X515">
        <f t="shared" si="21"/>
        <v>2.8987129266927852E-2</v>
      </c>
      <c r="Y515">
        <f t="shared" si="22"/>
        <v>-0.43131553910012876</v>
      </c>
      <c r="Z515">
        <f t="shared" si="23"/>
        <v>0.16961052806916938</v>
      </c>
    </row>
    <row r="516" spans="12:26" x14ac:dyDescent="0.25">
      <c r="L516" s="4">
        <f>_xll.ICETimeline(_xll.ICEJoinRange(M4:W4),"DF[dow:12345][tl:Calendar]","2020-07-26;2024-07-26",535,-1)</f>
        <v>44788.5</v>
      </c>
      <c r="M516">
        <f>_xll.ICEHistory(M$4,M$5,"DF[dow:12345][tl:Calendar]",$L516)</f>
        <v>89.35</v>
      </c>
      <c r="N516">
        <f>_xll.ICEHistory(M$4,N$5,"DF[dow:12345][tl:Calendar]",$L516)</f>
        <v>90.87</v>
      </c>
      <c r="O516">
        <f>_xll.ICEHistory(M$4,O$5,"DF[dow:12345][tl:Calendar]",$L516)</f>
        <v>88.5</v>
      </c>
      <c r="P516">
        <f>_xll.ICEHistory(M$4,P$5,"DF[dow:12345][tl:Calendar]",$L516)</f>
        <v>90.68</v>
      </c>
      <c r="Q516">
        <f>_xll.ICEHistory(M$4,Q$5,"DF[dow:12345][tl:Calendar]",$L516)</f>
        <v>14695</v>
      </c>
      <c r="R516">
        <f>_xll.ICEHistory(M$4,R$5,"DF[dow:12345][tl:Calendar]",$L516)</f>
        <v>339182</v>
      </c>
      <c r="S516">
        <f>_xll.ICEHistory(S$4,S$5,"DF[dow:12345][tl:Calendar]",$L516)</f>
        <v>220.11</v>
      </c>
      <c r="T516">
        <f>_xll.ICEHistory(S$4,T$5,"DF[dow:12345][tl:Calendar]",$L516)</f>
        <v>220.11</v>
      </c>
      <c r="U516">
        <f>_xll.ICEHistory(S$4,U$5,"DF[dow:12345][tl:Calendar]",$L516)</f>
        <v>220.11</v>
      </c>
      <c r="V516">
        <f>_xll.ICEHistory(S$4,V$5,"DF[dow:12345][tl:Calendar]",$L516)</f>
        <v>220.11</v>
      </c>
      <c r="W516">
        <f>_xll.ICEHistory(S$4,W$5,"DF[dow:12345][tl:Calendar]",$L516)</f>
        <v>0</v>
      </c>
      <c r="X516">
        <f t="shared" si="21"/>
        <v>2.7272727272727323E-2</v>
      </c>
      <c r="Y516">
        <f t="shared" si="22"/>
        <v>-0.56215212448772645</v>
      </c>
      <c r="Z516">
        <f t="shared" si="23"/>
        <v>-0.44491084933562408</v>
      </c>
    </row>
    <row r="517" spans="12:26" x14ac:dyDescent="0.25">
      <c r="L517" s="4">
        <f>_xll.ICETimeline(_xll.ICEJoinRange(M4:W4),"DF[dow:12345][tl:Calendar]","2020-07-26;2024-07-26",534,-1)</f>
        <v>44785.5</v>
      </c>
      <c r="M517">
        <f>_xll.ICEHistory(M$4,M$5,"DF[dow:12345][tl:Calendar]",$L517)</f>
        <v>86.9</v>
      </c>
      <c r="N517">
        <f>_xll.ICEHistory(M$4,N$5,"DF[dow:12345][tl:Calendar]",$L517)</f>
        <v>89.25</v>
      </c>
      <c r="O517">
        <f>_xll.ICEHistory(M$4,O$5,"DF[dow:12345][tl:Calendar]",$L517)</f>
        <v>86.82</v>
      </c>
      <c r="P517">
        <f>_xll.ICEHistory(M$4,P$5,"DF[dow:12345][tl:Calendar]",$L517)</f>
        <v>89.07</v>
      </c>
      <c r="Q517">
        <f>_xll.ICEHistory(M$4,Q$5,"DF[dow:12345][tl:Calendar]",$L517)</f>
        <v>16545</v>
      </c>
      <c r="R517">
        <f>_xll.ICEHistory(M$4,R$5,"DF[dow:12345][tl:Calendar]",$L517)</f>
        <v>338250</v>
      </c>
      <c r="S517">
        <f>_xll.ICEHistory(S$4,S$5,"DF[dow:12345][tl:Calendar]",$L517)</f>
        <v>206.108</v>
      </c>
      <c r="T517">
        <f>_xll.ICEHistory(S$4,T$5,"DF[dow:12345][tl:Calendar]",$L517)</f>
        <v>206.108</v>
      </c>
      <c r="U517">
        <f>_xll.ICEHistory(S$4,U$5,"DF[dow:12345][tl:Calendar]",$L517)</f>
        <v>206.108</v>
      </c>
      <c r="V517">
        <f>_xll.ICEHistory(S$4,V$5,"DF[dow:12345][tl:Calendar]",$L517)</f>
        <v>206.108</v>
      </c>
      <c r="W517">
        <f>_xll.ICEHistory(S$4,W$5,"DF[dow:12345][tl:Calendar]",$L517)</f>
        <v>0</v>
      </c>
      <c r="X517">
        <f t="shared" si="21"/>
        <v>2.8262386601535319E-2</v>
      </c>
      <c r="Y517">
        <f t="shared" si="22"/>
        <v>-0.49617085280467793</v>
      </c>
      <c r="Z517">
        <f t="shared" si="23"/>
        <v>-0.11315861180849157</v>
      </c>
    </row>
    <row r="518" spans="12:26" x14ac:dyDescent="0.25">
      <c r="L518" s="4">
        <f>_xll.ICETimeline(_xll.ICEJoinRange(M4:W4),"DF[dow:12345][tl:Calendar]","2020-07-26;2024-07-26",533,-1)</f>
        <v>44784.5</v>
      </c>
      <c r="M518">
        <f>_xll.ICEHistory(M$4,M$5,"DF[dow:12345][tl:Calendar]",$L518)</f>
        <v>85.98</v>
      </c>
      <c r="N518">
        <f>_xll.ICEHistory(M$4,N$5,"DF[dow:12345][tl:Calendar]",$L518)</f>
        <v>88.03</v>
      </c>
      <c r="O518">
        <f>_xll.ICEHistory(M$4,O$5,"DF[dow:12345][tl:Calendar]",$L518)</f>
        <v>85.35</v>
      </c>
      <c r="P518">
        <f>_xll.ICEHistory(M$4,P$5,"DF[dow:12345][tl:Calendar]",$L518)</f>
        <v>87.06</v>
      </c>
      <c r="Q518">
        <f>_xll.ICEHistory(M$4,Q$5,"DF[dow:12345][tl:Calendar]",$L518)</f>
        <v>15574</v>
      </c>
      <c r="R518">
        <f>_xll.ICEHistory(M$4,R$5,"DF[dow:12345][tl:Calendar]",$L518)</f>
        <v>337895</v>
      </c>
      <c r="S518">
        <f>_xll.ICEHistory(S$4,S$5,"DF[dow:12345][tl:Calendar]",$L518)</f>
        <v>208.11</v>
      </c>
      <c r="T518">
        <f>_xll.ICEHistory(S$4,T$5,"DF[dow:12345][tl:Calendar]",$L518)</f>
        <v>208.11</v>
      </c>
      <c r="U518">
        <f>_xll.ICEHistory(S$4,U$5,"DF[dow:12345][tl:Calendar]",$L518)</f>
        <v>208.11</v>
      </c>
      <c r="V518">
        <f>_xll.ICEHistory(S$4,V$5,"DF[dow:12345][tl:Calendar]",$L518)</f>
        <v>208.11</v>
      </c>
      <c r="W518">
        <f>_xll.ICEHistory(S$4,W$5,"DF[dow:12345][tl:Calendar]",$L518)</f>
        <v>0</v>
      </c>
      <c r="X518">
        <f t="shared" si="21"/>
        <v>3.1345029239766162E-2</v>
      </c>
      <c r="Y518">
        <f t="shared" si="22"/>
        <v>-0.28056956135115479</v>
      </c>
      <c r="Z518">
        <f t="shared" si="23"/>
        <v>-0.30041584547246819</v>
      </c>
    </row>
    <row r="519" spans="12:26" x14ac:dyDescent="0.25">
      <c r="L519" s="4">
        <f>_xll.ICETimeline(_xll.ICEJoinRange(M4:W4),"DF[dow:12345][tl:Calendar]","2020-07-26;2024-07-26",532,-1)</f>
        <v>44783.5</v>
      </c>
      <c r="M519">
        <f>_xll.ICEHistory(M$4,M$5,"DF[dow:12345][tl:Calendar]",$L519)</f>
        <v>85.5</v>
      </c>
      <c r="N519">
        <f>_xll.ICEHistory(M$4,N$5,"DF[dow:12345][tl:Calendar]",$L519)</f>
        <v>86.3</v>
      </c>
      <c r="O519">
        <f>_xll.ICEHistory(M$4,O$5,"DF[dow:12345][tl:Calendar]",$L519)</f>
        <v>84.25</v>
      </c>
      <c r="P519">
        <f>_xll.ICEHistory(M$4,P$5,"DF[dow:12345][tl:Calendar]",$L519)</f>
        <v>85.98</v>
      </c>
      <c r="Q519">
        <f>_xll.ICEHistory(M$4,Q$5,"DF[dow:12345][tl:Calendar]",$L519)</f>
        <v>14481</v>
      </c>
      <c r="R519">
        <f>_xll.ICEHistory(M$4,R$5,"DF[dow:12345][tl:Calendar]",$L519)</f>
        <v>337158</v>
      </c>
      <c r="S519">
        <f>_xll.ICEHistory(S$4,S$5,"DF[dow:12345][tl:Calendar]",$L519)</f>
        <v>205.36699999999999</v>
      </c>
      <c r="T519">
        <f>_xll.ICEHistory(S$4,T$5,"DF[dow:12345][tl:Calendar]",$L519)</f>
        <v>205.36699999999999</v>
      </c>
      <c r="U519">
        <f>_xll.ICEHistory(S$4,U$5,"DF[dow:12345][tl:Calendar]",$L519)</f>
        <v>205.36699999999999</v>
      </c>
      <c r="V519">
        <f>_xll.ICEHistory(S$4,V$5,"DF[dow:12345][tl:Calendar]",$L519)</f>
        <v>205.36699999999999</v>
      </c>
      <c r="W519">
        <f>_xll.ICEHistory(S$4,W$5,"DF[dow:12345][tl:Calendar]",$L519)</f>
        <v>0</v>
      </c>
      <c r="X519">
        <f t="shared" si="21"/>
        <v>2.4352577809455891E-2</v>
      </c>
      <c r="Y519">
        <f t="shared" si="22"/>
        <v>-0.77589286022269932</v>
      </c>
      <c r="Z519">
        <f t="shared" si="23"/>
        <v>-0.51312137712214012</v>
      </c>
    </row>
    <row r="520" spans="12:26" x14ac:dyDescent="0.25">
      <c r="L520" s="4">
        <f>_xll.ICETimeline(_xll.ICEJoinRange(M4:W4),"DF[dow:12345][tl:Calendar]","2020-07-26;2024-07-26",531,-1)</f>
        <v>44782.5</v>
      </c>
      <c r="M520">
        <f>_xll.ICEHistory(M$4,M$5,"DF[dow:12345][tl:Calendar]",$L520)</f>
        <v>84.18</v>
      </c>
      <c r="N520">
        <f>_xll.ICEHistory(M$4,N$5,"DF[dow:12345][tl:Calendar]",$L520)</f>
        <v>86.08</v>
      </c>
      <c r="O520">
        <f>_xll.ICEHistory(M$4,O$5,"DF[dow:12345][tl:Calendar]",$L520)</f>
        <v>83.95</v>
      </c>
      <c r="P520">
        <f>_xll.ICEHistory(M$4,P$5,"DF[dow:12345][tl:Calendar]",$L520)</f>
        <v>85.5</v>
      </c>
      <c r="Q520">
        <f>_xll.ICEHistory(M$4,Q$5,"DF[dow:12345][tl:Calendar]",$L520)</f>
        <v>12994</v>
      </c>
      <c r="R520">
        <f>_xll.ICEHistory(M$4,R$5,"DF[dow:12345][tl:Calendar]",$L520)</f>
        <v>337126</v>
      </c>
      <c r="S520">
        <f>_xll.ICEHistory(S$4,S$5,"DF[dow:12345][tl:Calendar]",$L520)</f>
        <v>192.184</v>
      </c>
      <c r="T520">
        <f>_xll.ICEHistory(S$4,T$5,"DF[dow:12345][tl:Calendar]",$L520)</f>
        <v>192.184</v>
      </c>
      <c r="U520">
        <f>_xll.ICEHistory(S$4,U$5,"DF[dow:12345][tl:Calendar]",$L520)</f>
        <v>192.184</v>
      </c>
      <c r="V520">
        <f>_xll.ICEHistory(S$4,V$5,"DF[dow:12345][tl:Calendar]",$L520)</f>
        <v>192.184</v>
      </c>
      <c r="W520">
        <f>_xll.ICEHistory(S$4,W$5,"DF[dow:12345][tl:Calendar]",$L520)</f>
        <v>0</v>
      </c>
      <c r="X520">
        <f t="shared" si="21"/>
        <v>2.505882352941171E-2</v>
      </c>
      <c r="Y520">
        <f t="shared" si="22"/>
        <v>-0.71463857497256844</v>
      </c>
      <c r="Z520">
        <f t="shared" si="23"/>
        <v>-0.78142232087456198</v>
      </c>
    </row>
    <row r="521" spans="12:26" x14ac:dyDescent="0.25">
      <c r="L521" s="4">
        <f>_xll.ICETimeline(_xll.ICEJoinRange(M4:W4),"DF[dow:12345][tl:Calendar]","2020-07-26;2024-07-26",530,-1)</f>
        <v>44781.5</v>
      </c>
      <c r="M521">
        <f>_xll.ICEHistory(M$4,M$5,"DF[dow:12345][tl:Calendar]",$L521)</f>
        <v>85</v>
      </c>
      <c r="N521">
        <f>_xll.ICEHistory(M$4,N$5,"DF[dow:12345][tl:Calendar]",$L521)</f>
        <v>85.5</v>
      </c>
      <c r="O521">
        <f>_xll.ICEHistory(M$4,O$5,"DF[dow:12345][tl:Calendar]",$L521)</f>
        <v>83.65</v>
      </c>
      <c r="P521">
        <f>_xll.ICEHistory(M$4,P$5,"DF[dow:12345][tl:Calendar]",$L521)</f>
        <v>84.52</v>
      </c>
      <c r="Q521">
        <f>_xll.ICEHistory(M$4,Q$5,"DF[dow:12345][tl:Calendar]",$L521)</f>
        <v>12976</v>
      </c>
      <c r="R521">
        <f>_xll.ICEHistory(M$4,R$5,"DF[dow:12345][tl:Calendar]",$L521)</f>
        <v>335556</v>
      </c>
      <c r="S521">
        <f>_xll.ICEHistory(S$4,S$5,"DF[dow:12345][tl:Calendar]",$L521)</f>
        <v>193.05500000000001</v>
      </c>
      <c r="T521">
        <f>_xll.ICEHistory(S$4,T$5,"DF[dow:12345][tl:Calendar]",$L521)</f>
        <v>193.05500000000001</v>
      </c>
      <c r="U521">
        <f>_xll.ICEHistory(S$4,U$5,"DF[dow:12345][tl:Calendar]",$L521)</f>
        <v>193.05500000000001</v>
      </c>
      <c r="V521">
        <f>_xll.ICEHistory(S$4,V$5,"DF[dow:12345][tl:Calendar]",$L521)</f>
        <v>193.05500000000001</v>
      </c>
      <c r="W521">
        <f>_xll.ICEHistory(S$4,W$5,"DF[dow:12345][tl:Calendar]",$L521)</f>
        <v>0</v>
      </c>
      <c r="X521">
        <f t="shared" ref="X521:X584" si="24">IFERROR((N521-O521)/M522, "")</f>
        <v>2.1942830032024602E-2</v>
      </c>
      <c r="Y521">
        <f t="shared" ref="Y521:Y584" si="25">IFERROR((X521-AVERAGE(X521:X585))/_xlfn.STDEV.S(X521:X585),"")</f>
        <v>-0.92391869946088878</v>
      </c>
      <c r="Z521">
        <f t="shared" ref="Z521:Z584" si="26">IFERROR((Q521-AVERAGE(Q521:Q586))/_xlfn.STDEV.S(Q521:Q586),"")</f>
        <v>-0.80574177571106365</v>
      </c>
    </row>
    <row r="522" spans="12:26" x14ac:dyDescent="0.25">
      <c r="L522" s="4">
        <f>_xll.ICETimeline(_xll.ICEJoinRange(M4:W4),"DF[dow:12345][tl:Calendar]","2020-07-26;2024-07-26",529,-1)</f>
        <v>44778.5</v>
      </c>
      <c r="M522">
        <f>_xll.ICEHistory(M$4,M$5,"DF[dow:12345][tl:Calendar]",$L522)</f>
        <v>84.31</v>
      </c>
      <c r="N522">
        <f>_xll.ICEHistory(M$4,N$5,"DF[dow:12345][tl:Calendar]",$L522)</f>
        <v>85.45</v>
      </c>
      <c r="O522">
        <f>_xll.ICEHistory(M$4,O$5,"DF[dow:12345][tl:Calendar]",$L522)</f>
        <v>83.5</v>
      </c>
      <c r="P522">
        <f>_xll.ICEHistory(M$4,P$5,"DF[dow:12345][tl:Calendar]",$L522)</f>
        <v>85.12</v>
      </c>
      <c r="Q522">
        <f>_xll.ICEHistory(M$4,Q$5,"DF[dow:12345][tl:Calendar]",$L522)</f>
        <v>12353</v>
      </c>
      <c r="R522">
        <f>_xll.ICEHistory(M$4,R$5,"DF[dow:12345][tl:Calendar]",$L522)</f>
        <v>334527</v>
      </c>
      <c r="S522">
        <f>_xll.ICEHistory(S$4,S$5,"DF[dow:12345][tl:Calendar]",$L522)</f>
        <v>196.32</v>
      </c>
      <c r="T522">
        <f>_xll.ICEHistory(S$4,T$5,"DF[dow:12345][tl:Calendar]",$L522)</f>
        <v>196.32</v>
      </c>
      <c r="U522">
        <f>_xll.ICEHistory(S$4,U$5,"DF[dow:12345][tl:Calendar]",$L522)</f>
        <v>196.32</v>
      </c>
      <c r="V522">
        <f>_xll.ICEHistory(S$4,V$5,"DF[dow:12345][tl:Calendar]",$L522)</f>
        <v>196.32</v>
      </c>
      <c r="W522">
        <f>_xll.ICEHistory(S$4,W$5,"DF[dow:12345][tl:Calendar]",$L522)</f>
        <v>0</v>
      </c>
      <c r="X522">
        <f t="shared" si="24"/>
        <v>2.3325358851674676E-2</v>
      </c>
      <c r="Y522">
        <f t="shared" si="25"/>
        <v>-0.86230826956582163</v>
      </c>
      <c r="Z522">
        <f t="shared" si="26"/>
        <v>-0.93398015231070186</v>
      </c>
    </row>
    <row r="523" spans="12:26" x14ac:dyDescent="0.25">
      <c r="L523" s="4">
        <f>_xll.ICETimeline(_xll.ICEJoinRange(M4:W4),"DF[dow:12345][tl:Calendar]","2020-07-26;2024-07-26",528,-1)</f>
        <v>44777.5</v>
      </c>
      <c r="M523">
        <f>_xll.ICEHistory(M$4,M$5,"DF[dow:12345][tl:Calendar]",$L523)</f>
        <v>83.6</v>
      </c>
      <c r="N523">
        <f>_xll.ICEHistory(M$4,N$5,"DF[dow:12345][tl:Calendar]",$L523)</f>
        <v>84.85</v>
      </c>
      <c r="O523">
        <f>_xll.ICEHistory(M$4,O$5,"DF[dow:12345][tl:Calendar]",$L523)</f>
        <v>83.28</v>
      </c>
      <c r="P523">
        <f>_xll.ICEHistory(M$4,P$5,"DF[dow:12345][tl:Calendar]",$L523)</f>
        <v>84.4</v>
      </c>
      <c r="Q523">
        <f>_xll.ICEHistory(M$4,Q$5,"DF[dow:12345][tl:Calendar]",$L523)</f>
        <v>17586</v>
      </c>
      <c r="R523">
        <f>_xll.ICEHistory(M$4,R$5,"DF[dow:12345][tl:Calendar]",$L523)</f>
        <v>333895</v>
      </c>
      <c r="S523">
        <f>_xll.ICEHistory(S$4,S$5,"DF[dow:12345][tl:Calendar]",$L523)</f>
        <v>199.24799999999999</v>
      </c>
      <c r="T523">
        <f>_xll.ICEHistory(S$4,T$5,"DF[dow:12345][tl:Calendar]",$L523)</f>
        <v>199.24799999999999</v>
      </c>
      <c r="U523">
        <f>_xll.ICEHistory(S$4,U$5,"DF[dow:12345][tl:Calendar]",$L523)</f>
        <v>199.24799999999999</v>
      </c>
      <c r="V523">
        <f>_xll.ICEHistory(S$4,V$5,"DF[dow:12345][tl:Calendar]",$L523)</f>
        <v>199.24799999999999</v>
      </c>
      <c r="W523">
        <f>_xll.ICEHistory(S$4,W$5,"DF[dow:12345][tl:Calendar]",$L523)</f>
        <v>0</v>
      </c>
      <c r="X523">
        <f t="shared" si="24"/>
        <v>1.9186117560796689E-2</v>
      </c>
      <c r="Y523">
        <f t="shared" si="25"/>
        <v>-1.1492754279512962</v>
      </c>
      <c r="Z523">
        <f t="shared" si="26"/>
        <v>-0.10667487982810446</v>
      </c>
    </row>
    <row r="524" spans="12:26" x14ac:dyDescent="0.25">
      <c r="L524" s="4">
        <f>_xll.ICETimeline(_xll.ICEJoinRange(M4:W4),"DF[dow:12345][tl:Calendar]","2020-07-26;2024-07-26",527,-1)</f>
        <v>44776.5</v>
      </c>
      <c r="M524">
        <f>_xll.ICEHistory(M$4,M$5,"DF[dow:12345][tl:Calendar]",$L524)</f>
        <v>81.83</v>
      </c>
      <c r="N524">
        <f>_xll.ICEHistory(M$4,N$5,"DF[dow:12345][tl:Calendar]",$L524)</f>
        <v>84.1</v>
      </c>
      <c r="O524">
        <f>_xll.ICEHistory(M$4,O$5,"DF[dow:12345][tl:Calendar]",$L524)</f>
        <v>81.650000000000006</v>
      </c>
      <c r="P524">
        <f>_xll.ICEHistory(M$4,P$5,"DF[dow:12345][tl:Calendar]",$L524)</f>
        <v>83.82</v>
      </c>
      <c r="Q524">
        <f>_xll.ICEHistory(M$4,Q$5,"DF[dow:12345][tl:Calendar]",$L524)</f>
        <v>14085</v>
      </c>
      <c r="R524">
        <f>_xll.ICEHistory(M$4,R$5,"DF[dow:12345][tl:Calendar]",$L524)</f>
        <v>336611</v>
      </c>
      <c r="S524">
        <f>_xll.ICEHistory(S$4,S$5,"DF[dow:12345][tl:Calendar]",$L524)</f>
        <v>199.19499999999999</v>
      </c>
      <c r="T524">
        <f>_xll.ICEHistory(S$4,T$5,"DF[dow:12345][tl:Calendar]",$L524)</f>
        <v>199.19499999999999</v>
      </c>
      <c r="U524">
        <f>_xll.ICEHistory(S$4,U$5,"DF[dow:12345][tl:Calendar]",$L524)</f>
        <v>199.19499999999999</v>
      </c>
      <c r="V524">
        <f>_xll.ICEHistory(S$4,V$5,"DF[dow:12345][tl:Calendar]",$L524)</f>
        <v>199.19499999999999</v>
      </c>
      <c r="W524">
        <f>_xll.ICEHistory(S$4,W$5,"DF[dow:12345][tl:Calendar]",$L524)</f>
        <v>0</v>
      </c>
      <c r="X524">
        <f t="shared" si="24"/>
        <v>3.0567685589519507E-2</v>
      </c>
      <c r="Y524">
        <f t="shared" si="25"/>
        <v>-0.46584360137055097</v>
      </c>
      <c r="Z524">
        <f t="shared" si="26"/>
        <v>-0.68952349300491012</v>
      </c>
    </row>
    <row r="525" spans="12:26" x14ac:dyDescent="0.25">
      <c r="L525" s="4">
        <f>_xll.ICETimeline(_xll.ICEJoinRange(M4:W4),"DF[dow:12345][tl:Calendar]","2020-07-26;2024-07-26",526,-1)</f>
        <v>44775.5</v>
      </c>
      <c r="M525">
        <f>_xll.ICEHistory(M$4,M$5,"DF[dow:12345][tl:Calendar]",$L525)</f>
        <v>80.150000000000006</v>
      </c>
      <c r="N525">
        <f>_xll.ICEHistory(M$4,N$5,"DF[dow:12345][tl:Calendar]",$L525)</f>
        <v>82.25</v>
      </c>
      <c r="O525">
        <f>_xll.ICEHistory(M$4,O$5,"DF[dow:12345][tl:Calendar]",$L525)</f>
        <v>79.64</v>
      </c>
      <c r="P525">
        <f>_xll.ICEHistory(M$4,P$5,"DF[dow:12345][tl:Calendar]",$L525)</f>
        <v>81.98</v>
      </c>
      <c r="Q525">
        <f>_xll.ICEHistory(M$4,Q$5,"DF[dow:12345][tl:Calendar]",$L525)</f>
        <v>19579</v>
      </c>
      <c r="R525">
        <f>_xll.ICEHistory(M$4,R$5,"DF[dow:12345][tl:Calendar]",$L525)</f>
        <v>334972</v>
      </c>
      <c r="S525">
        <f>_xll.ICEHistory(S$4,S$5,"DF[dow:12345][tl:Calendar]",$L525)</f>
        <v>205.17400000000001</v>
      </c>
      <c r="T525">
        <f>_xll.ICEHistory(S$4,T$5,"DF[dow:12345][tl:Calendar]",$L525)</f>
        <v>205.17400000000001</v>
      </c>
      <c r="U525">
        <f>_xll.ICEHistory(S$4,U$5,"DF[dow:12345][tl:Calendar]",$L525)</f>
        <v>205.17400000000001</v>
      </c>
      <c r="V525">
        <f>_xll.ICEHistory(S$4,V$5,"DF[dow:12345][tl:Calendar]",$L525)</f>
        <v>205.17400000000001</v>
      </c>
      <c r="W525">
        <f>_xll.ICEHistory(S$4,W$5,"DF[dow:12345][tl:Calendar]",$L525)</f>
        <v>0</v>
      </c>
      <c r="X525">
        <f t="shared" si="24"/>
        <v>3.3248407643312092E-2</v>
      </c>
      <c r="Y525">
        <f t="shared" si="25"/>
        <v>-0.30654746763720292</v>
      </c>
      <c r="Z525">
        <f t="shared" si="26"/>
        <v>0.17654226044099147</v>
      </c>
    </row>
    <row r="526" spans="12:26" x14ac:dyDescent="0.25">
      <c r="L526" s="4">
        <f>_xll.ICETimeline(_xll.ICEJoinRange(M4:W4),"DF[dow:12345][tl:Calendar]","2020-07-26;2024-07-26",525,-1)</f>
        <v>44774.5</v>
      </c>
      <c r="M526">
        <f>_xll.ICEHistory(M$4,M$5,"DF[dow:12345][tl:Calendar]",$L526)</f>
        <v>78.5</v>
      </c>
      <c r="N526">
        <f>_xll.ICEHistory(M$4,N$5,"DF[dow:12345][tl:Calendar]",$L526)</f>
        <v>80.87</v>
      </c>
      <c r="O526">
        <f>_xll.ICEHistory(M$4,O$5,"DF[dow:12345][tl:Calendar]",$L526)</f>
        <v>78.099999999999994</v>
      </c>
      <c r="P526">
        <f>_xll.ICEHistory(M$4,P$5,"DF[dow:12345][tl:Calendar]",$L526)</f>
        <v>80.63</v>
      </c>
      <c r="Q526">
        <f>_xll.ICEHistory(M$4,Q$5,"DF[dow:12345][tl:Calendar]",$L526)</f>
        <v>11866</v>
      </c>
      <c r="R526">
        <f>_xll.ICEHistory(M$4,R$5,"DF[dow:12345][tl:Calendar]",$L526)</f>
        <v>337771</v>
      </c>
      <c r="S526">
        <f>_xll.ICEHistory(S$4,S$5,"DF[dow:12345][tl:Calendar]",$L526)</f>
        <v>200.79400000000001</v>
      </c>
      <c r="T526">
        <f>_xll.ICEHistory(S$4,T$5,"DF[dow:12345][tl:Calendar]",$L526)</f>
        <v>200.79400000000001</v>
      </c>
      <c r="U526">
        <f>_xll.ICEHistory(S$4,U$5,"DF[dow:12345][tl:Calendar]",$L526)</f>
        <v>200.79400000000001</v>
      </c>
      <c r="V526">
        <f>_xll.ICEHistory(S$4,V$5,"DF[dow:12345][tl:Calendar]",$L526)</f>
        <v>200.79400000000001</v>
      </c>
      <c r="W526">
        <f>_xll.ICEHistory(S$4,W$5,"DF[dow:12345][tl:Calendar]",$L526)</f>
        <v>0</v>
      </c>
      <c r="X526">
        <f t="shared" si="24"/>
        <v>3.5081053698075106E-2</v>
      </c>
      <c r="Y526">
        <f t="shared" si="25"/>
        <v>-0.22279415702081837</v>
      </c>
      <c r="Z526">
        <f t="shared" si="26"/>
        <v>-1.0372902628343577</v>
      </c>
    </row>
    <row r="527" spans="12:26" x14ac:dyDescent="0.25">
      <c r="L527" s="4">
        <f>_xll.ICETimeline(_xll.ICEJoinRange(M4:W4),"DF[dow:12345][tl:Calendar]","2020-07-26;2024-07-26",524,-1)</f>
        <v>44771.5</v>
      </c>
      <c r="M527">
        <f>_xll.ICEHistory(M$4,M$5,"DF[dow:12345][tl:Calendar]",$L527)</f>
        <v>78.959999999999994</v>
      </c>
      <c r="N527">
        <f>_xll.ICEHistory(M$4,N$5,"DF[dow:12345][tl:Calendar]",$L527)</f>
        <v>79.5</v>
      </c>
      <c r="O527">
        <f>_xll.ICEHistory(M$4,O$5,"DF[dow:12345][tl:Calendar]",$L527)</f>
        <v>77.540000000000006</v>
      </c>
      <c r="P527">
        <f>_xll.ICEHistory(M$4,P$5,"DF[dow:12345][tl:Calendar]",$L527)</f>
        <v>78.67</v>
      </c>
      <c r="Q527">
        <f>_xll.ICEHistory(M$4,Q$5,"DF[dow:12345][tl:Calendar]",$L527)</f>
        <v>18602</v>
      </c>
      <c r="R527">
        <f>_xll.ICEHistory(M$4,R$5,"DF[dow:12345][tl:Calendar]",$L527)</f>
        <v>336994</v>
      </c>
      <c r="S527">
        <f>_xll.ICEHistory(S$4,S$5,"DF[dow:12345][tl:Calendar]",$L527)</f>
        <v>190.91499999999999</v>
      </c>
      <c r="T527">
        <f>_xll.ICEHistory(S$4,T$5,"DF[dow:12345][tl:Calendar]",$L527)</f>
        <v>190.91499999999999</v>
      </c>
      <c r="U527">
        <f>_xll.ICEHistory(S$4,U$5,"DF[dow:12345][tl:Calendar]",$L527)</f>
        <v>190.91499999999999</v>
      </c>
      <c r="V527">
        <f>_xll.ICEHistory(S$4,V$5,"DF[dow:12345][tl:Calendar]",$L527)</f>
        <v>190.91499999999999</v>
      </c>
      <c r="W527">
        <f>_xll.ICEHistory(S$4,W$5,"DF[dow:12345][tl:Calendar]",$L527)</f>
        <v>0</v>
      </c>
      <c r="X527">
        <f t="shared" si="24"/>
        <v>2.5704918032786805E-2</v>
      </c>
      <c r="Y527">
        <f t="shared" si="25"/>
        <v>-0.78485083386475563</v>
      </c>
      <c r="Z527">
        <f t="shared" si="26"/>
        <v>2.9603336913037084E-2</v>
      </c>
    </row>
    <row r="528" spans="12:26" x14ac:dyDescent="0.25">
      <c r="L528" s="4">
        <f>_xll.ICETimeline(_xll.ICEJoinRange(M4:W4),"DF[dow:12345][tl:Calendar]","2020-07-26;2024-07-26",523,-1)</f>
        <v>44770.5</v>
      </c>
      <c r="M528">
        <f>_xll.ICEHistory(M$4,M$5,"DF[dow:12345][tl:Calendar]",$L528)</f>
        <v>76.25</v>
      </c>
      <c r="N528">
        <f>_xll.ICEHistory(M$4,N$5,"DF[dow:12345][tl:Calendar]",$L528)</f>
        <v>80.12</v>
      </c>
      <c r="O528">
        <f>_xll.ICEHistory(M$4,O$5,"DF[dow:12345][tl:Calendar]",$L528)</f>
        <v>76.069999999999993</v>
      </c>
      <c r="P528">
        <f>_xll.ICEHistory(M$4,P$5,"DF[dow:12345][tl:Calendar]",$L528)</f>
        <v>78.7</v>
      </c>
      <c r="Q528">
        <f>_xll.ICEHistory(M$4,Q$5,"DF[dow:12345][tl:Calendar]",$L528)</f>
        <v>16565</v>
      </c>
      <c r="R528">
        <f>_xll.ICEHistory(M$4,R$5,"DF[dow:12345][tl:Calendar]",$L528)</f>
        <v>338010</v>
      </c>
      <c r="S528">
        <f>_xll.ICEHistory(S$4,S$5,"DF[dow:12345][tl:Calendar]",$L528)</f>
        <v>198.93</v>
      </c>
      <c r="T528">
        <f>_xll.ICEHistory(S$4,T$5,"DF[dow:12345][tl:Calendar]",$L528)</f>
        <v>198.93</v>
      </c>
      <c r="U528">
        <f>_xll.ICEHistory(S$4,U$5,"DF[dow:12345][tl:Calendar]",$L528)</f>
        <v>198.93</v>
      </c>
      <c r="V528">
        <f>_xll.ICEHistory(S$4,V$5,"DF[dow:12345][tl:Calendar]",$L528)</f>
        <v>198.93</v>
      </c>
      <c r="W528">
        <f>_xll.ICEHistory(S$4,W$5,"DF[dow:12345][tl:Calendar]",$L528)</f>
        <v>0</v>
      </c>
      <c r="X528">
        <f t="shared" si="24"/>
        <v>5.2865161206109013E-2</v>
      </c>
      <c r="Y528">
        <f t="shared" si="25"/>
        <v>0.84619190927222998</v>
      </c>
      <c r="Z528">
        <f t="shared" si="26"/>
        <v>-0.30223259117968237</v>
      </c>
    </row>
    <row r="529" spans="12:26" x14ac:dyDescent="0.25">
      <c r="L529" s="4">
        <f>_xll.ICETimeline(_xll.ICEJoinRange(M4:W4),"DF[dow:12345][tl:Calendar]","2020-07-26;2024-07-26",522,-1)</f>
        <v>44769.5</v>
      </c>
      <c r="M529">
        <f>_xll.ICEHistory(M$4,M$5,"DF[dow:12345][tl:Calendar]",$L529)</f>
        <v>76.61</v>
      </c>
      <c r="N529">
        <f>_xll.ICEHistory(M$4,N$5,"DF[dow:12345][tl:Calendar]",$L529)</f>
        <v>77.790000000000006</v>
      </c>
      <c r="O529">
        <f>_xll.ICEHistory(M$4,O$5,"DF[dow:12345][tl:Calendar]",$L529)</f>
        <v>75.78</v>
      </c>
      <c r="P529">
        <f>_xll.ICEHistory(M$4,P$5,"DF[dow:12345][tl:Calendar]",$L529)</f>
        <v>76.27</v>
      </c>
      <c r="Q529">
        <f>_xll.ICEHistory(M$4,Q$5,"DF[dow:12345][tl:Calendar]",$L529)</f>
        <v>14499</v>
      </c>
      <c r="R529">
        <f>_xll.ICEHistory(M$4,R$5,"DF[dow:12345][tl:Calendar]",$L529)</f>
        <v>338516</v>
      </c>
      <c r="S529">
        <f>_xll.ICEHistory(S$4,S$5,"DF[dow:12345][tl:Calendar]",$L529)</f>
        <v>205.22499999999999</v>
      </c>
      <c r="T529">
        <f>_xll.ICEHistory(S$4,T$5,"DF[dow:12345][tl:Calendar]",$L529)</f>
        <v>205.22499999999999</v>
      </c>
      <c r="U529">
        <f>_xll.ICEHistory(S$4,U$5,"DF[dow:12345][tl:Calendar]",$L529)</f>
        <v>205.22499999999999</v>
      </c>
      <c r="V529">
        <f>_xll.ICEHistory(S$4,V$5,"DF[dow:12345][tl:Calendar]",$L529)</f>
        <v>205.22499999999999</v>
      </c>
      <c r="W529">
        <f>_xll.ICEHistory(S$4,W$5,"DF[dow:12345][tl:Calendar]",$L529)</f>
        <v>0</v>
      </c>
      <c r="X529">
        <f t="shared" si="24"/>
        <v>2.6209414526013889E-2</v>
      </c>
      <c r="Y529">
        <f t="shared" si="25"/>
        <v>-0.77131024433653295</v>
      </c>
      <c r="Z529">
        <f t="shared" si="26"/>
        <v>-0.64733322500800161</v>
      </c>
    </row>
    <row r="530" spans="12:26" x14ac:dyDescent="0.25">
      <c r="L530" s="4">
        <f>_xll.ICETimeline(_xll.ICEJoinRange(M4:W4),"DF[dow:12345][tl:Calendar]","2020-07-26;2024-07-26",521,-1)</f>
        <v>44768.5</v>
      </c>
      <c r="M530">
        <f>_xll.ICEHistory(M$4,M$5,"DF[dow:12345][tl:Calendar]",$L530)</f>
        <v>76.69</v>
      </c>
      <c r="N530">
        <f>_xll.ICEHistory(M$4,N$5,"DF[dow:12345][tl:Calendar]",$L530)</f>
        <v>77.5</v>
      </c>
      <c r="O530">
        <f>_xll.ICEHistory(M$4,O$5,"DF[dow:12345][tl:Calendar]",$L530)</f>
        <v>75.849999999999994</v>
      </c>
      <c r="P530">
        <f>_xll.ICEHistory(M$4,P$5,"DF[dow:12345][tl:Calendar]",$L530)</f>
        <v>76.760000000000005</v>
      </c>
      <c r="Q530">
        <f>_xll.ICEHistory(M$4,Q$5,"DF[dow:12345][tl:Calendar]",$L530)</f>
        <v>19524</v>
      </c>
      <c r="R530">
        <f>_xll.ICEHistory(M$4,R$5,"DF[dow:12345][tl:Calendar]",$L530)</f>
        <v>339879</v>
      </c>
      <c r="S530">
        <f>_xll.ICEHistory(S$4,S$5,"DF[dow:12345][tl:Calendar]",$L530)</f>
        <v>199.91800000000001</v>
      </c>
      <c r="T530">
        <f>_xll.ICEHistory(S$4,T$5,"DF[dow:12345][tl:Calendar]",$L530)</f>
        <v>199.91800000000001</v>
      </c>
      <c r="U530">
        <f>_xll.ICEHistory(S$4,U$5,"DF[dow:12345][tl:Calendar]",$L530)</f>
        <v>199.91800000000001</v>
      </c>
      <c r="V530">
        <f>_xll.ICEHistory(S$4,V$5,"DF[dow:12345][tl:Calendar]",$L530)</f>
        <v>199.91800000000001</v>
      </c>
      <c r="W530">
        <f>_xll.ICEHistory(S$4,W$5,"DF[dow:12345][tl:Calendar]",$L530)</f>
        <v>0</v>
      </c>
      <c r="X530">
        <f t="shared" si="24"/>
        <v>2.1676300578034755E-2</v>
      </c>
      <c r="Y530">
        <f t="shared" si="25"/>
        <v>-1.063165157079164</v>
      </c>
      <c r="Z530">
        <f t="shared" si="26"/>
        <v>0.13931709634297545</v>
      </c>
    </row>
    <row r="531" spans="12:26" x14ac:dyDescent="0.25">
      <c r="L531" s="4">
        <f>_xll.ICETimeline(_xll.ICEJoinRange(M4:W4),"DF[dow:12345][tl:Calendar]","2020-07-26;2024-07-26",520,-1)</f>
        <v>44767.5</v>
      </c>
      <c r="M531">
        <f>_xll.ICEHistory(M$4,M$5,"DF[dow:12345][tl:Calendar]",$L531)</f>
        <v>76.12</v>
      </c>
      <c r="N531">
        <f>_xll.ICEHistory(M$4,N$5,"DF[dow:12345][tl:Calendar]",$L531)</f>
        <v>78.42</v>
      </c>
      <c r="O531">
        <f>_xll.ICEHistory(M$4,O$5,"DF[dow:12345][tl:Calendar]",$L531)</f>
        <v>75.489999999999995</v>
      </c>
      <c r="P531">
        <f>_xll.ICEHistory(M$4,P$5,"DF[dow:12345][tl:Calendar]",$L531)</f>
        <v>76.34</v>
      </c>
      <c r="Q531">
        <f>_xll.ICEHistory(M$4,Q$5,"DF[dow:12345][tl:Calendar]",$L531)</f>
        <v>22154</v>
      </c>
      <c r="R531">
        <f>_xll.ICEHistory(M$4,R$5,"DF[dow:12345][tl:Calendar]",$L531)</f>
        <v>339645</v>
      </c>
      <c r="S531">
        <f>_xll.ICEHistory(S$4,S$5,"DF[dow:12345][tl:Calendar]",$L531)</f>
        <v>176.61600000000001</v>
      </c>
      <c r="T531">
        <f>_xll.ICEHistory(S$4,T$5,"DF[dow:12345][tl:Calendar]",$L531)</f>
        <v>176.61600000000001</v>
      </c>
      <c r="U531">
        <f>_xll.ICEHistory(S$4,U$5,"DF[dow:12345][tl:Calendar]",$L531)</f>
        <v>176.61600000000001</v>
      </c>
      <c r="V531">
        <f>_xll.ICEHistory(S$4,V$5,"DF[dow:12345][tl:Calendar]",$L531)</f>
        <v>176.61600000000001</v>
      </c>
      <c r="W531">
        <f>_xll.ICEHistory(S$4,W$5,"DF[dow:12345][tl:Calendar]",$L531)</f>
        <v>0</v>
      </c>
      <c r="X531">
        <f t="shared" si="24"/>
        <v>3.7468030690537169E-2</v>
      </c>
      <c r="Y531">
        <f t="shared" si="25"/>
        <v>-0.11068518489788667</v>
      </c>
      <c r="Z531">
        <f t="shared" si="26"/>
        <v>0.54755074104379897</v>
      </c>
    </row>
    <row r="532" spans="12:26" x14ac:dyDescent="0.25">
      <c r="L532" s="4">
        <f>_xll.ICETimeline(_xll.ICEJoinRange(M4:W4),"DF[dow:12345][tl:Calendar]","2020-07-26;2024-07-26",519,-1)</f>
        <v>44764.5</v>
      </c>
      <c r="M532">
        <f>_xll.ICEHistory(M$4,M$5,"DF[dow:12345][tl:Calendar]",$L532)</f>
        <v>78.2</v>
      </c>
      <c r="N532">
        <f>_xll.ICEHistory(M$4,N$5,"DF[dow:12345][tl:Calendar]",$L532)</f>
        <v>79.8</v>
      </c>
      <c r="O532">
        <f>_xll.ICEHistory(M$4,O$5,"DF[dow:12345][tl:Calendar]",$L532)</f>
        <v>76</v>
      </c>
      <c r="P532">
        <f>_xll.ICEHistory(M$4,P$5,"DF[dow:12345][tl:Calendar]",$L532)</f>
        <v>76.150000000000006</v>
      </c>
      <c r="Q532">
        <f>_xll.ICEHistory(M$4,Q$5,"DF[dow:12345][tl:Calendar]",$L532)</f>
        <v>28556</v>
      </c>
      <c r="R532">
        <f>_xll.ICEHistory(M$4,R$5,"DF[dow:12345][tl:Calendar]",$L532)</f>
        <v>341442</v>
      </c>
      <c r="S532">
        <f>_xll.ICEHistory(S$4,S$5,"DF[dow:12345][tl:Calendar]",$L532)</f>
        <v>159.864</v>
      </c>
      <c r="T532">
        <f>_xll.ICEHistory(S$4,T$5,"DF[dow:12345][tl:Calendar]",$L532)</f>
        <v>159.864</v>
      </c>
      <c r="U532">
        <f>_xll.ICEHistory(S$4,U$5,"DF[dow:12345][tl:Calendar]",$L532)</f>
        <v>159.864</v>
      </c>
      <c r="V532">
        <f>_xll.ICEHistory(S$4,V$5,"DF[dow:12345][tl:Calendar]",$L532)</f>
        <v>159.864</v>
      </c>
      <c r="W532">
        <f>_xll.ICEHistory(S$4,W$5,"DF[dow:12345][tl:Calendar]",$L532)</f>
        <v>0</v>
      </c>
      <c r="X532">
        <f t="shared" si="24"/>
        <v>4.7979797979797942E-2</v>
      </c>
      <c r="Y532">
        <f t="shared" si="25"/>
        <v>0.49519349025040732</v>
      </c>
      <c r="Z532">
        <f t="shared" si="26"/>
        <v>1.5689628954583297</v>
      </c>
    </row>
    <row r="533" spans="12:26" x14ac:dyDescent="0.25">
      <c r="L533" s="4">
        <f>_xll.ICETimeline(_xll.ICEJoinRange(M4:W4),"DF[dow:12345][tl:Calendar]","2020-07-26;2024-07-26",518,-1)</f>
        <v>44763.5</v>
      </c>
      <c r="M533">
        <f>_xll.ICEHistory(M$4,M$5,"DF[dow:12345][tl:Calendar]",$L533)</f>
        <v>79.2</v>
      </c>
      <c r="N533">
        <f>_xll.ICEHistory(M$4,N$5,"DF[dow:12345][tl:Calendar]",$L533)</f>
        <v>79.8</v>
      </c>
      <c r="O533">
        <f>_xll.ICEHistory(M$4,O$5,"DF[dow:12345][tl:Calendar]",$L533)</f>
        <v>77.650000000000006</v>
      </c>
      <c r="P533">
        <f>_xll.ICEHistory(M$4,P$5,"DF[dow:12345][tl:Calendar]",$L533)</f>
        <v>78.099999999999994</v>
      </c>
      <c r="Q533">
        <f>_xll.ICEHistory(M$4,Q$5,"DF[dow:12345][tl:Calendar]",$L533)</f>
        <v>31886</v>
      </c>
      <c r="R533">
        <f>_xll.ICEHistory(M$4,R$5,"DF[dow:12345][tl:Calendar]",$L533)</f>
        <v>345728</v>
      </c>
      <c r="S533">
        <f>_xll.ICEHistory(S$4,S$5,"DF[dow:12345][tl:Calendar]",$L533)</f>
        <v>155.6</v>
      </c>
      <c r="T533">
        <f>_xll.ICEHistory(S$4,T$5,"DF[dow:12345][tl:Calendar]",$L533)</f>
        <v>155.6</v>
      </c>
      <c r="U533">
        <f>_xll.ICEHistory(S$4,U$5,"DF[dow:12345][tl:Calendar]",$L533)</f>
        <v>155.6</v>
      </c>
      <c r="V533">
        <f>_xll.ICEHistory(S$4,V$5,"DF[dow:12345][tl:Calendar]",$L533)</f>
        <v>155.6</v>
      </c>
      <c r="W533">
        <f>_xll.ICEHistory(S$4,W$5,"DF[dow:12345][tl:Calendar]",$L533)</f>
        <v>0</v>
      </c>
      <c r="X533">
        <f t="shared" si="24"/>
        <v>2.5717703349282195E-2</v>
      </c>
      <c r="Y533">
        <f t="shared" si="25"/>
        <v>-0.84550684614089033</v>
      </c>
      <c r="Z533">
        <f t="shared" si="26"/>
        <v>2.1698141063939427</v>
      </c>
    </row>
    <row r="534" spans="12:26" x14ac:dyDescent="0.25">
      <c r="L534" s="4">
        <f>_xll.ICETimeline(_xll.ICEJoinRange(M4:W4),"DF[dow:12345][tl:Calendar]","2020-07-26;2024-07-26",517,-1)</f>
        <v>44762.5</v>
      </c>
      <c r="M534">
        <f>_xll.ICEHistory(M$4,M$5,"DF[dow:12345][tl:Calendar]",$L534)</f>
        <v>83.6</v>
      </c>
      <c r="N534">
        <f>_xll.ICEHistory(M$4,N$5,"DF[dow:12345][tl:Calendar]",$L534)</f>
        <v>83.64</v>
      </c>
      <c r="O534">
        <f>_xll.ICEHistory(M$4,O$5,"DF[dow:12345][tl:Calendar]",$L534)</f>
        <v>78.7</v>
      </c>
      <c r="P534">
        <f>_xll.ICEHistory(M$4,P$5,"DF[dow:12345][tl:Calendar]",$L534)</f>
        <v>79.010000000000005</v>
      </c>
      <c r="Q534">
        <f>_xll.ICEHistory(M$4,Q$5,"DF[dow:12345][tl:Calendar]",$L534)</f>
        <v>38179</v>
      </c>
      <c r="R534">
        <f>_xll.ICEHistory(M$4,R$5,"DF[dow:12345][tl:Calendar]",$L534)</f>
        <v>351259</v>
      </c>
      <c r="S534">
        <f>_xll.ICEHistory(S$4,S$5,"DF[dow:12345][tl:Calendar]",$L534)</f>
        <v>155.03800000000001</v>
      </c>
      <c r="T534">
        <f>_xll.ICEHistory(S$4,T$5,"DF[dow:12345][tl:Calendar]",$L534)</f>
        <v>155.03800000000001</v>
      </c>
      <c r="U534">
        <f>_xll.ICEHistory(S$4,U$5,"DF[dow:12345][tl:Calendar]",$L534)</f>
        <v>155.03800000000001</v>
      </c>
      <c r="V534">
        <f>_xll.ICEHistory(S$4,V$5,"DF[dow:12345][tl:Calendar]",$L534)</f>
        <v>155.03800000000001</v>
      </c>
      <c r="W534">
        <f>_xll.ICEHistory(S$4,W$5,"DF[dow:12345][tl:Calendar]",$L534)</f>
        <v>0</v>
      </c>
      <c r="X534">
        <f t="shared" si="24"/>
        <v>5.7981220657276969E-2</v>
      </c>
      <c r="Y534">
        <f t="shared" si="25"/>
        <v>1.0976770220055792</v>
      </c>
      <c r="Z534">
        <f t="shared" si="26"/>
        <v>3.2165357979724098</v>
      </c>
    </row>
    <row r="535" spans="12:26" x14ac:dyDescent="0.25">
      <c r="L535" s="4">
        <f>_xll.ICETimeline(_xll.ICEJoinRange(M4:W4),"DF[dow:12345][tl:Calendar]","2020-07-26;2024-07-26",516,-1)</f>
        <v>44761.5</v>
      </c>
      <c r="M535">
        <f>_xll.ICEHistory(M$4,M$5,"DF[dow:12345][tl:Calendar]",$L535)</f>
        <v>85.2</v>
      </c>
      <c r="N535">
        <f>_xll.ICEHistory(M$4,N$5,"DF[dow:12345][tl:Calendar]",$L535)</f>
        <v>85.2</v>
      </c>
      <c r="O535">
        <f>_xll.ICEHistory(M$4,O$5,"DF[dow:12345][tl:Calendar]",$L535)</f>
        <v>82.8</v>
      </c>
      <c r="P535">
        <f>_xll.ICEHistory(M$4,P$5,"DF[dow:12345][tl:Calendar]",$L535)</f>
        <v>83.31</v>
      </c>
      <c r="Q535">
        <f>_xll.ICEHistory(M$4,Q$5,"DF[dow:12345][tl:Calendar]",$L535)</f>
        <v>20971</v>
      </c>
      <c r="R535">
        <f>_xll.ICEHistory(M$4,R$5,"DF[dow:12345][tl:Calendar]",$L535)</f>
        <v>354389</v>
      </c>
      <c r="S535">
        <f>_xll.ICEHistory(S$4,S$5,"DF[dow:12345][tl:Calendar]",$L535)</f>
        <v>154.45699999999999</v>
      </c>
      <c r="T535">
        <f>_xll.ICEHistory(S$4,T$5,"DF[dow:12345][tl:Calendar]",$L535)</f>
        <v>154.45699999999999</v>
      </c>
      <c r="U535">
        <f>_xll.ICEHistory(S$4,U$5,"DF[dow:12345][tl:Calendar]",$L535)</f>
        <v>154.45699999999999</v>
      </c>
      <c r="V535">
        <f>_xll.ICEHistory(S$4,V$5,"DF[dow:12345][tl:Calendar]",$L535)</f>
        <v>154.45699999999999</v>
      </c>
      <c r="W535">
        <f>_xll.ICEHistory(S$4,W$5,"DF[dow:12345][tl:Calendar]",$L535)</f>
        <v>0</v>
      </c>
      <c r="X535">
        <f t="shared" si="24"/>
        <v>2.8070175438596558E-2</v>
      </c>
      <c r="Y535">
        <f t="shared" si="25"/>
        <v>-0.67266485978028234</v>
      </c>
      <c r="Z535">
        <f t="shared" si="26"/>
        <v>0.49494190035977642</v>
      </c>
    </row>
    <row r="536" spans="12:26" x14ac:dyDescent="0.25">
      <c r="L536" s="4">
        <f>_xll.ICETimeline(_xll.ICEJoinRange(M4:W4),"DF[dow:12345][tl:Calendar]","2020-07-26;2024-07-26",515,-1)</f>
        <v>44760.5</v>
      </c>
      <c r="M536">
        <f>_xll.ICEHistory(M$4,M$5,"DF[dow:12345][tl:Calendar]",$L536)</f>
        <v>85.5</v>
      </c>
      <c r="N536">
        <f>_xll.ICEHistory(M$4,N$5,"DF[dow:12345][tl:Calendar]",$L536)</f>
        <v>85.5</v>
      </c>
      <c r="O536">
        <f>_xll.ICEHistory(M$4,O$5,"DF[dow:12345][tl:Calendar]",$L536)</f>
        <v>83.7</v>
      </c>
      <c r="P536">
        <f>_xll.ICEHistory(M$4,P$5,"DF[dow:12345][tl:Calendar]",$L536)</f>
        <v>84.5</v>
      </c>
      <c r="Q536">
        <f>_xll.ICEHistory(M$4,Q$5,"DF[dow:12345][tl:Calendar]",$L536)</f>
        <v>12216</v>
      </c>
      <c r="R536">
        <f>_xll.ICEHistory(M$4,R$5,"DF[dow:12345][tl:Calendar]",$L536)</f>
        <v>356839</v>
      </c>
      <c r="S536">
        <f>_xll.ICEHistory(S$4,S$5,"DF[dow:12345][tl:Calendar]",$L536)</f>
        <v>157.25800000000001</v>
      </c>
      <c r="T536">
        <f>_xll.ICEHistory(S$4,T$5,"DF[dow:12345][tl:Calendar]",$L536)</f>
        <v>157.25800000000001</v>
      </c>
      <c r="U536">
        <f>_xll.ICEHistory(S$4,U$5,"DF[dow:12345][tl:Calendar]",$L536)</f>
        <v>157.25800000000001</v>
      </c>
      <c r="V536">
        <f>_xll.ICEHistory(S$4,V$5,"DF[dow:12345][tl:Calendar]",$L536)</f>
        <v>157.25800000000001</v>
      </c>
      <c r="W536">
        <f>_xll.ICEHistory(S$4,W$5,"DF[dow:12345][tl:Calendar]",$L536)</f>
        <v>0</v>
      </c>
      <c r="X536">
        <f t="shared" si="24"/>
        <v>2.1549144020112501E-2</v>
      </c>
      <c r="Y536">
        <f t="shared" si="25"/>
        <v>-1.0088395538923687</v>
      </c>
      <c r="Z536">
        <f t="shared" si="26"/>
        <v>-0.94064738834655182</v>
      </c>
    </row>
    <row r="537" spans="12:26" x14ac:dyDescent="0.25">
      <c r="L537" s="4">
        <f>_xll.ICETimeline(_xll.ICEJoinRange(M4:W4),"DF[dow:12345][tl:Calendar]","2020-07-26;2024-07-26",514,-1)</f>
        <v>44757.5</v>
      </c>
      <c r="M537">
        <f>_xll.ICEHistory(M$4,M$5,"DF[dow:12345][tl:Calendar]",$L537)</f>
        <v>83.53</v>
      </c>
      <c r="N537">
        <f>_xll.ICEHistory(M$4,N$5,"DF[dow:12345][tl:Calendar]",$L537)</f>
        <v>85.74</v>
      </c>
      <c r="O537">
        <f>_xll.ICEHistory(M$4,O$5,"DF[dow:12345][tl:Calendar]",$L537)</f>
        <v>83.51</v>
      </c>
      <c r="P537">
        <f>_xll.ICEHistory(M$4,P$5,"DF[dow:12345][tl:Calendar]",$L537)</f>
        <v>85.01</v>
      </c>
      <c r="Q537">
        <f>_xll.ICEHistory(M$4,Q$5,"DF[dow:12345][tl:Calendar]",$L537)</f>
        <v>14298</v>
      </c>
      <c r="R537">
        <f>_xll.ICEHistory(M$4,R$5,"DF[dow:12345][tl:Calendar]",$L537)</f>
        <v>358139</v>
      </c>
      <c r="S537">
        <f>_xll.ICEHistory(S$4,S$5,"DF[dow:12345][tl:Calendar]",$L537)</f>
        <v>159.56700000000001</v>
      </c>
      <c r="T537">
        <f>_xll.ICEHistory(S$4,T$5,"DF[dow:12345][tl:Calendar]",$L537)</f>
        <v>159.56700000000001</v>
      </c>
      <c r="U537">
        <f>_xll.ICEHistory(S$4,U$5,"DF[dow:12345][tl:Calendar]",$L537)</f>
        <v>159.56700000000001</v>
      </c>
      <c r="V537">
        <f>_xll.ICEHistory(S$4,V$5,"DF[dow:12345][tl:Calendar]",$L537)</f>
        <v>159.56700000000001</v>
      </c>
      <c r="W537">
        <f>_xll.ICEHistory(S$4,W$5,"DF[dow:12345][tl:Calendar]",$L537)</f>
        <v>0</v>
      </c>
      <c r="X537">
        <f t="shared" si="24"/>
        <v>2.6516052318668132E-2</v>
      </c>
      <c r="Y537">
        <f t="shared" si="25"/>
        <v>-0.76172658574282681</v>
      </c>
      <c r="Z537">
        <f t="shared" si="26"/>
        <v>-0.53283157852818575</v>
      </c>
    </row>
    <row r="538" spans="12:26" x14ac:dyDescent="0.25">
      <c r="L538" s="4">
        <f>_xll.ICETimeline(_xll.ICEJoinRange(M4:W4),"DF[dow:12345][tl:Calendar]","2020-07-26;2024-07-26",513,-1)</f>
        <v>44756.5</v>
      </c>
      <c r="M538">
        <f>_xll.ICEHistory(M$4,M$5,"DF[dow:12345][tl:Calendar]",$L538)</f>
        <v>84.1</v>
      </c>
      <c r="N538">
        <f>_xll.ICEHistory(M$4,N$5,"DF[dow:12345][tl:Calendar]",$L538)</f>
        <v>84.79</v>
      </c>
      <c r="O538">
        <f>_xll.ICEHistory(M$4,O$5,"DF[dow:12345][tl:Calendar]",$L538)</f>
        <v>83.26</v>
      </c>
      <c r="P538">
        <f>_xll.ICEHistory(M$4,P$5,"DF[dow:12345][tl:Calendar]",$L538)</f>
        <v>83.68</v>
      </c>
      <c r="Q538">
        <f>_xll.ICEHistory(M$4,Q$5,"DF[dow:12345][tl:Calendar]",$L538)</f>
        <v>14522</v>
      </c>
      <c r="R538">
        <f>_xll.ICEHistory(M$4,R$5,"DF[dow:12345][tl:Calendar]",$L538)</f>
        <v>358309</v>
      </c>
      <c r="S538">
        <f>_xll.ICEHistory(S$4,S$5,"DF[dow:12345][tl:Calendar]",$L538)</f>
        <v>175.03299999999999</v>
      </c>
      <c r="T538">
        <f>_xll.ICEHistory(S$4,T$5,"DF[dow:12345][tl:Calendar]",$L538)</f>
        <v>175.03299999999999</v>
      </c>
      <c r="U538">
        <f>_xll.ICEHistory(S$4,U$5,"DF[dow:12345][tl:Calendar]",$L538)</f>
        <v>175.03299999999999</v>
      </c>
      <c r="V538">
        <f>_xll.ICEHistory(S$4,V$5,"DF[dow:12345][tl:Calendar]",$L538)</f>
        <v>175.03299999999999</v>
      </c>
      <c r="W538">
        <f>_xll.ICEHistory(S$4,W$5,"DF[dow:12345][tl:Calendar]",$L538)</f>
        <v>0</v>
      </c>
      <c r="X538">
        <f t="shared" si="24"/>
        <v>1.7788629229159414E-2</v>
      </c>
      <c r="Y538">
        <f t="shared" si="25"/>
        <v>-1.2466995278224338</v>
      </c>
      <c r="Z538">
        <f t="shared" si="26"/>
        <v>-0.50058649889878715</v>
      </c>
    </row>
    <row r="539" spans="12:26" x14ac:dyDescent="0.25">
      <c r="L539" s="4">
        <f>_xll.ICETimeline(_xll.ICEJoinRange(M4:W4),"DF[dow:12345][tl:Calendar]","2020-07-26;2024-07-26",512,-1)</f>
        <v>44755.5</v>
      </c>
      <c r="M539">
        <f>_xll.ICEHistory(M$4,M$5,"DF[dow:12345][tl:Calendar]",$L539)</f>
        <v>86.01</v>
      </c>
      <c r="N539">
        <f>_xll.ICEHistory(M$4,N$5,"DF[dow:12345][tl:Calendar]",$L539)</f>
        <v>86.57</v>
      </c>
      <c r="O539">
        <f>_xll.ICEHistory(M$4,O$5,"DF[dow:12345][tl:Calendar]",$L539)</f>
        <v>83.56</v>
      </c>
      <c r="P539">
        <f>_xll.ICEHistory(M$4,P$5,"DF[dow:12345][tl:Calendar]",$L539)</f>
        <v>83.64</v>
      </c>
      <c r="Q539">
        <f>_xll.ICEHistory(M$4,Q$5,"DF[dow:12345][tl:Calendar]",$L539)</f>
        <v>14296</v>
      </c>
      <c r="R539">
        <f>_xll.ICEHistory(M$4,R$5,"DF[dow:12345][tl:Calendar]",$L539)</f>
        <v>358992</v>
      </c>
      <c r="S539">
        <f>_xll.ICEHistory(S$4,S$5,"DF[dow:12345][tl:Calendar]",$L539)</f>
        <v>180.505</v>
      </c>
      <c r="T539">
        <f>_xll.ICEHistory(S$4,T$5,"DF[dow:12345][tl:Calendar]",$L539)</f>
        <v>180.505</v>
      </c>
      <c r="U539">
        <f>_xll.ICEHistory(S$4,U$5,"DF[dow:12345][tl:Calendar]",$L539)</f>
        <v>180.505</v>
      </c>
      <c r="V539">
        <f>_xll.ICEHistory(S$4,V$5,"DF[dow:12345][tl:Calendar]",$L539)</f>
        <v>180.505</v>
      </c>
      <c r="W539">
        <f>_xll.ICEHistory(S$4,W$5,"DF[dow:12345][tl:Calendar]",$L539)</f>
        <v>0</v>
      </c>
      <c r="X539">
        <f t="shared" si="24"/>
        <v>3.5579196217493982E-2</v>
      </c>
      <c r="Y539">
        <f t="shared" si="25"/>
        <v>-0.30173170527332055</v>
      </c>
      <c r="Z539">
        <f t="shared" si="26"/>
        <v>-0.53805888497737098</v>
      </c>
    </row>
    <row r="540" spans="12:26" x14ac:dyDescent="0.25">
      <c r="L540" s="4">
        <f>_xll.ICETimeline(_xll.ICEJoinRange(M4:W4),"DF[dow:12345][tl:Calendar]","2020-07-26;2024-07-26",511,-1)</f>
        <v>44754.5</v>
      </c>
      <c r="M540">
        <f>_xll.ICEHistory(M$4,M$5,"DF[dow:12345][tl:Calendar]",$L540)</f>
        <v>84.6</v>
      </c>
      <c r="N540">
        <f>_xll.ICEHistory(M$4,N$5,"DF[dow:12345][tl:Calendar]",$L540)</f>
        <v>86.06</v>
      </c>
      <c r="O540">
        <f>_xll.ICEHistory(M$4,O$5,"DF[dow:12345][tl:Calendar]",$L540)</f>
        <v>83.33</v>
      </c>
      <c r="P540">
        <f>_xll.ICEHistory(M$4,P$5,"DF[dow:12345][tl:Calendar]",$L540)</f>
        <v>86.01</v>
      </c>
      <c r="Q540">
        <f>_xll.ICEHistory(M$4,Q$5,"DF[dow:12345][tl:Calendar]",$L540)</f>
        <v>16960</v>
      </c>
      <c r="R540">
        <f>_xll.ICEHistory(M$4,R$5,"DF[dow:12345][tl:Calendar]",$L540)</f>
        <v>359070</v>
      </c>
      <c r="S540">
        <f>_xll.ICEHistory(S$4,S$5,"DF[dow:12345][tl:Calendar]",$L540)</f>
        <v>172.60900000000001</v>
      </c>
      <c r="T540">
        <f>_xll.ICEHistory(S$4,T$5,"DF[dow:12345][tl:Calendar]",$L540)</f>
        <v>172.60900000000001</v>
      </c>
      <c r="U540">
        <f>_xll.ICEHistory(S$4,U$5,"DF[dow:12345][tl:Calendar]",$L540)</f>
        <v>172.60900000000001</v>
      </c>
      <c r="V540">
        <f>_xll.ICEHistory(S$4,V$5,"DF[dow:12345][tl:Calendar]",$L540)</f>
        <v>172.60900000000001</v>
      </c>
      <c r="W540">
        <f>_xll.ICEHistory(S$4,W$5,"DF[dow:12345][tl:Calendar]",$L540)</f>
        <v>0</v>
      </c>
      <c r="X540">
        <f t="shared" si="24"/>
        <v>3.2982964842334227E-2</v>
      </c>
      <c r="Y540">
        <f t="shared" si="25"/>
        <v>-0.43284879450966157</v>
      </c>
      <c r="Z540">
        <f t="shared" si="26"/>
        <v>-0.12381564974909282</v>
      </c>
    </row>
    <row r="541" spans="12:26" x14ac:dyDescent="0.25">
      <c r="L541" s="4">
        <f>_xll.ICETimeline(_xll.ICEJoinRange(M4:W4),"DF[dow:12345][tl:Calendar]","2020-07-26;2024-07-26",510,-1)</f>
        <v>44753.5</v>
      </c>
      <c r="M541">
        <f>_xll.ICEHistory(M$4,M$5,"DF[dow:12345][tl:Calendar]",$L541)</f>
        <v>82.77</v>
      </c>
      <c r="N541">
        <f>_xll.ICEHistory(M$4,N$5,"DF[dow:12345][tl:Calendar]",$L541)</f>
        <v>84.62</v>
      </c>
      <c r="O541">
        <f>_xll.ICEHistory(M$4,O$5,"DF[dow:12345][tl:Calendar]",$L541)</f>
        <v>82.7</v>
      </c>
      <c r="P541">
        <f>_xll.ICEHistory(M$4,P$5,"DF[dow:12345][tl:Calendar]",$L541)</f>
        <v>84.35</v>
      </c>
      <c r="Q541">
        <f>_xll.ICEHistory(M$4,Q$5,"DF[dow:12345][tl:Calendar]",$L541)</f>
        <v>11899</v>
      </c>
      <c r="R541">
        <f>_xll.ICEHistory(M$4,R$5,"DF[dow:12345][tl:Calendar]",$L541)</f>
        <v>358527</v>
      </c>
      <c r="S541">
        <f>_xll.ICEHistory(S$4,S$5,"DF[dow:12345][tl:Calendar]",$L541)</f>
        <v>164.52</v>
      </c>
      <c r="T541">
        <f>_xll.ICEHistory(S$4,T$5,"DF[dow:12345][tl:Calendar]",$L541)</f>
        <v>164.52</v>
      </c>
      <c r="U541">
        <f>_xll.ICEHistory(S$4,U$5,"DF[dow:12345][tl:Calendar]",$L541)</f>
        <v>164.52</v>
      </c>
      <c r="V541">
        <f>_xll.ICEHistory(S$4,V$5,"DF[dow:12345][tl:Calendar]",$L541)</f>
        <v>164.52</v>
      </c>
      <c r="W541">
        <f>_xll.ICEHistory(S$4,W$5,"DF[dow:12345][tl:Calendar]",$L541)</f>
        <v>0</v>
      </c>
      <c r="X541">
        <f t="shared" si="24"/>
        <v>2.260951483749413E-2</v>
      </c>
      <c r="Y541">
        <f t="shared" si="25"/>
        <v>-0.99563279072929201</v>
      </c>
      <c r="Z541">
        <f t="shared" si="26"/>
        <v>-0.91831480012131383</v>
      </c>
    </row>
    <row r="542" spans="12:26" x14ac:dyDescent="0.25">
      <c r="L542" s="4">
        <f>_xll.ICETimeline(_xll.ICEJoinRange(M4:W4),"DF[dow:12345][tl:Calendar]","2020-07-26;2024-07-26",509,-1)</f>
        <v>44750.5</v>
      </c>
      <c r="M542">
        <f>_xll.ICEHistory(M$4,M$5,"DF[dow:12345][tl:Calendar]",$L542)</f>
        <v>84.92</v>
      </c>
      <c r="N542">
        <f>_xll.ICEHistory(M$4,N$5,"DF[dow:12345][tl:Calendar]",$L542)</f>
        <v>85</v>
      </c>
      <c r="O542">
        <f>_xll.ICEHistory(M$4,O$5,"DF[dow:12345][tl:Calendar]",$L542)</f>
        <v>82.6</v>
      </c>
      <c r="P542">
        <f>_xll.ICEHistory(M$4,P$5,"DF[dow:12345][tl:Calendar]",$L542)</f>
        <v>82.69</v>
      </c>
      <c r="Q542">
        <f>_xll.ICEHistory(M$4,Q$5,"DF[dow:12345][tl:Calendar]",$L542)</f>
        <v>13959</v>
      </c>
      <c r="R542">
        <f>_xll.ICEHistory(M$4,R$5,"DF[dow:12345][tl:Calendar]",$L542)</f>
        <v>358732</v>
      </c>
      <c r="S542">
        <f>_xll.ICEHistory(S$4,S$5,"DF[dow:12345][tl:Calendar]",$L542)</f>
        <v>175.21199999999999</v>
      </c>
      <c r="T542">
        <f>_xll.ICEHistory(S$4,T$5,"DF[dow:12345][tl:Calendar]",$L542)</f>
        <v>175.21199999999999</v>
      </c>
      <c r="U542">
        <f>_xll.ICEHistory(S$4,U$5,"DF[dow:12345][tl:Calendar]",$L542)</f>
        <v>175.21199999999999</v>
      </c>
      <c r="V542">
        <f>_xll.ICEHistory(S$4,V$5,"DF[dow:12345][tl:Calendar]",$L542)</f>
        <v>175.21199999999999</v>
      </c>
      <c r="W542">
        <f>_xll.ICEHistory(S$4,W$5,"DF[dow:12345][tl:Calendar]",$L542)</f>
        <v>0</v>
      </c>
      <c r="X542">
        <f t="shared" si="24"/>
        <v>2.8742514970059949E-2</v>
      </c>
      <c r="Y542">
        <f t="shared" si="25"/>
        <v>-0.67421647038998367</v>
      </c>
      <c r="Z542">
        <f t="shared" si="26"/>
        <v>-0.60128660070125428</v>
      </c>
    </row>
    <row r="543" spans="12:26" x14ac:dyDescent="0.25">
      <c r="L543" s="4">
        <f>_xll.ICETimeline(_xll.ICEJoinRange(M4:W4),"DF[dow:12345][tl:Calendar]","2020-07-26;2024-07-26",508,-1)</f>
        <v>44749.5</v>
      </c>
      <c r="M543">
        <f>_xll.ICEHistory(M$4,M$5,"DF[dow:12345][tl:Calendar]",$L543)</f>
        <v>83.5</v>
      </c>
      <c r="N543">
        <f>_xll.ICEHistory(M$4,N$5,"DF[dow:12345][tl:Calendar]",$L543)</f>
        <v>85.46</v>
      </c>
      <c r="O543">
        <f>_xll.ICEHistory(M$4,O$5,"DF[dow:12345][tl:Calendar]",$L543)</f>
        <v>82.76</v>
      </c>
      <c r="P543">
        <f>_xll.ICEHistory(M$4,P$5,"DF[dow:12345][tl:Calendar]",$L543)</f>
        <v>84.4</v>
      </c>
      <c r="Q543">
        <f>_xll.ICEHistory(M$4,Q$5,"DF[dow:12345][tl:Calendar]",$L543)</f>
        <v>14932</v>
      </c>
      <c r="R543">
        <f>_xll.ICEHistory(M$4,R$5,"DF[dow:12345][tl:Calendar]",$L543)</f>
        <v>357371</v>
      </c>
      <c r="S543">
        <f>_xll.ICEHistory(S$4,S$5,"DF[dow:12345][tl:Calendar]",$L543)</f>
        <v>183.18299999999999</v>
      </c>
      <c r="T543">
        <f>_xll.ICEHistory(S$4,T$5,"DF[dow:12345][tl:Calendar]",$L543)</f>
        <v>183.18299999999999</v>
      </c>
      <c r="U543">
        <f>_xll.ICEHistory(S$4,U$5,"DF[dow:12345][tl:Calendar]",$L543)</f>
        <v>183.18299999999999</v>
      </c>
      <c r="V543">
        <f>_xll.ICEHistory(S$4,V$5,"DF[dow:12345][tl:Calendar]",$L543)</f>
        <v>183.18299999999999</v>
      </c>
      <c r="W543">
        <f>_xll.ICEHistory(S$4,W$5,"DF[dow:12345][tl:Calendar]",$L543)</f>
        <v>0</v>
      </c>
      <c r="X543">
        <f t="shared" si="24"/>
        <v>3.2537960954446714E-2</v>
      </c>
      <c r="Y543">
        <f t="shared" si="25"/>
        <v>-0.45441068549519059</v>
      </c>
      <c r="Z543">
        <f t="shared" si="26"/>
        <v>-0.46194561853986155</v>
      </c>
    </row>
    <row r="544" spans="12:26" x14ac:dyDescent="0.25">
      <c r="L544" s="4">
        <f>_xll.ICETimeline(_xll.ICEJoinRange(M4:W4),"DF[dow:12345][tl:Calendar]","2020-07-26;2024-07-26",507,-1)</f>
        <v>44748.5</v>
      </c>
      <c r="M544">
        <f>_xll.ICEHistory(M$4,M$5,"DF[dow:12345][tl:Calendar]",$L544)</f>
        <v>82.98</v>
      </c>
      <c r="N544">
        <f>_xll.ICEHistory(M$4,N$5,"DF[dow:12345][tl:Calendar]",$L544)</f>
        <v>84.64</v>
      </c>
      <c r="O544">
        <f>_xll.ICEHistory(M$4,O$5,"DF[dow:12345][tl:Calendar]",$L544)</f>
        <v>82.7</v>
      </c>
      <c r="P544">
        <f>_xll.ICEHistory(M$4,P$5,"DF[dow:12345][tl:Calendar]",$L544)</f>
        <v>83.65</v>
      </c>
      <c r="Q544">
        <f>_xll.ICEHistory(M$4,Q$5,"DF[dow:12345][tl:Calendar]",$L544)</f>
        <v>13821</v>
      </c>
      <c r="R544">
        <f>_xll.ICEHistory(M$4,R$5,"DF[dow:12345][tl:Calendar]",$L544)</f>
        <v>358135</v>
      </c>
      <c r="S544">
        <f>_xll.ICEHistory(S$4,S$5,"DF[dow:12345][tl:Calendar]",$L544)</f>
        <v>170.999</v>
      </c>
      <c r="T544">
        <f>_xll.ICEHistory(S$4,T$5,"DF[dow:12345][tl:Calendar]",$L544)</f>
        <v>170.999</v>
      </c>
      <c r="U544">
        <f>_xll.ICEHistory(S$4,U$5,"DF[dow:12345][tl:Calendar]",$L544)</f>
        <v>170.999</v>
      </c>
      <c r="V544">
        <f>_xll.ICEHistory(S$4,V$5,"DF[dow:12345][tl:Calendar]",$L544)</f>
        <v>170.999</v>
      </c>
      <c r="W544">
        <f>_xll.ICEHistory(S$4,W$5,"DF[dow:12345][tl:Calendar]",$L544)</f>
        <v>0</v>
      </c>
      <c r="X544">
        <f t="shared" si="24"/>
        <v>2.2826214848805718E-2</v>
      </c>
      <c r="Y544">
        <f t="shared" si="25"/>
        <v>-0.99803174888508883</v>
      </c>
      <c r="Z544">
        <f t="shared" si="26"/>
        <v>-0.65000280164611834</v>
      </c>
    </row>
    <row r="545" spans="12:26" x14ac:dyDescent="0.25">
      <c r="L545" s="4">
        <f>_xll.ICETimeline(_xll.ICEJoinRange(M4:W4),"DF[dow:12345][tl:Calendar]","2020-07-26;2024-07-26",506,-1)</f>
        <v>44747.5</v>
      </c>
      <c r="M545">
        <f>_xll.ICEHistory(M$4,M$5,"DF[dow:12345][tl:Calendar]",$L545)</f>
        <v>84.99</v>
      </c>
      <c r="N545">
        <f>_xll.ICEHistory(M$4,N$5,"DF[dow:12345][tl:Calendar]",$L545)</f>
        <v>84.99</v>
      </c>
      <c r="O545">
        <f>_xll.ICEHistory(M$4,O$5,"DF[dow:12345][tl:Calendar]",$L545)</f>
        <v>82.52</v>
      </c>
      <c r="P545">
        <f>_xll.ICEHistory(M$4,P$5,"DF[dow:12345][tl:Calendar]",$L545)</f>
        <v>82.75</v>
      </c>
      <c r="Q545">
        <f>_xll.ICEHistory(M$4,Q$5,"DF[dow:12345][tl:Calendar]",$L545)</f>
        <v>14757</v>
      </c>
      <c r="R545">
        <f>_xll.ICEHistory(M$4,R$5,"DF[dow:12345][tl:Calendar]",$L545)</f>
        <v>357749</v>
      </c>
      <c r="S545">
        <f>_xll.ICEHistory(S$4,S$5,"DF[dow:12345][tl:Calendar]",$L545)</f>
        <v>165.07300000000001</v>
      </c>
      <c r="T545">
        <f>_xll.ICEHistory(S$4,T$5,"DF[dow:12345][tl:Calendar]",$L545)</f>
        <v>165.07300000000001</v>
      </c>
      <c r="U545">
        <f>_xll.ICEHistory(S$4,U$5,"DF[dow:12345][tl:Calendar]",$L545)</f>
        <v>165.07300000000001</v>
      </c>
      <c r="V545">
        <f>_xll.ICEHistory(S$4,V$5,"DF[dow:12345][tl:Calendar]",$L545)</f>
        <v>165.07300000000001</v>
      </c>
      <c r="W545">
        <f>_xll.ICEHistory(S$4,W$5,"DF[dow:12345][tl:Calendar]",$L545)</f>
        <v>0</v>
      </c>
      <c r="X545">
        <f t="shared" si="24"/>
        <v>2.8861883617667668E-2</v>
      </c>
      <c r="Y545">
        <f t="shared" si="25"/>
        <v>-0.68617495230007708</v>
      </c>
      <c r="Z545">
        <f t="shared" si="26"/>
        <v>-0.5131668863440606</v>
      </c>
    </row>
    <row r="546" spans="12:26" x14ac:dyDescent="0.25">
      <c r="L546" s="4">
        <f>_xll.ICETimeline(_xll.ICEJoinRange(M4:W4),"DF[dow:12345][tl:Calendar]","2020-07-26;2024-07-26",505,-1)</f>
        <v>44746.5</v>
      </c>
      <c r="M546">
        <f>_xll.ICEHistory(M$4,M$5,"DF[dow:12345][tl:Calendar]",$L546)</f>
        <v>85.58</v>
      </c>
      <c r="N546">
        <f>_xll.ICEHistory(M$4,N$5,"DF[dow:12345][tl:Calendar]",$L546)</f>
        <v>87.17</v>
      </c>
      <c r="O546">
        <f>_xll.ICEHistory(M$4,O$5,"DF[dow:12345][tl:Calendar]",$L546)</f>
        <v>83.5</v>
      </c>
      <c r="P546">
        <f>_xll.ICEHistory(M$4,P$5,"DF[dow:12345][tl:Calendar]",$L546)</f>
        <v>84.63</v>
      </c>
      <c r="Q546">
        <f>_xll.ICEHistory(M$4,Q$5,"DF[dow:12345][tl:Calendar]",$L546)</f>
        <v>14027</v>
      </c>
      <c r="R546">
        <f>_xll.ICEHistory(M$4,R$5,"DF[dow:12345][tl:Calendar]",$L546)</f>
        <v>356246</v>
      </c>
      <c r="S546">
        <f>_xll.ICEHistory(S$4,S$5,"DF[dow:12345][tl:Calendar]",$L546)</f>
        <v>147.78399999999999</v>
      </c>
      <c r="T546">
        <f>_xll.ICEHistory(S$4,T$5,"DF[dow:12345][tl:Calendar]",$L546)</f>
        <v>147.78399999999999</v>
      </c>
      <c r="U546">
        <f>_xll.ICEHistory(S$4,U$5,"DF[dow:12345][tl:Calendar]",$L546)</f>
        <v>147.78399999999999</v>
      </c>
      <c r="V546">
        <f>_xll.ICEHistory(S$4,V$5,"DF[dow:12345][tl:Calendar]",$L546)</f>
        <v>147.78399999999999</v>
      </c>
      <c r="W546">
        <f>_xll.ICEHistory(S$4,W$5,"DF[dow:12345][tl:Calendar]",$L546)</f>
        <v>0</v>
      </c>
      <c r="X546">
        <f t="shared" si="24"/>
        <v>4.1088222122704902E-2</v>
      </c>
      <c r="Y546">
        <f t="shared" si="25"/>
        <v>-8.5792102658514557E-3</v>
      </c>
      <c r="Z546">
        <f t="shared" si="26"/>
        <v>-0.63185976548527334</v>
      </c>
    </row>
    <row r="547" spans="12:26" x14ac:dyDescent="0.25">
      <c r="L547" s="4">
        <f>_xll.ICETimeline(_xll.ICEJoinRange(M4:W4),"DF[dow:12345][tl:Calendar]","2020-07-26;2024-07-26",504,-1)</f>
        <v>44743.5</v>
      </c>
      <c r="M547">
        <f>_xll.ICEHistory(M$4,M$5,"DF[dow:12345][tl:Calendar]",$L547)</f>
        <v>89.32</v>
      </c>
      <c r="N547">
        <f>_xll.ICEHistory(M$4,N$5,"DF[dow:12345][tl:Calendar]",$L547)</f>
        <v>90.35</v>
      </c>
      <c r="O547">
        <f>_xll.ICEHistory(M$4,O$5,"DF[dow:12345][tl:Calendar]",$L547)</f>
        <v>85.01</v>
      </c>
      <c r="P547">
        <f>_xll.ICEHistory(M$4,P$5,"DF[dow:12345][tl:Calendar]",$L547)</f>
        <v>86.18</v>
      </c>
      <c r="Q547">
        <f>_xll.ICEHistory(M$4,Q$5,"DF[dow:12345][tl:Calendar]",$L547)</f>
        <v>18255</v>
      </c>
      <c r="R547">
        <f>_xll.ICEHistory(M$4,R$5,"DF[dow:12345][tl:Calendar]",$L547)</f>
        <v>355006</v>
      </c>
      <c r="S547">
        <f>_xll.ICEHistory(S$4,S$5,"DF[dow:12345][tl:Calendar]",$L547)</f>
        <v>147.78399999999999</v>
      </c>
      <c r="T547">
        <f>_xll.ICEHistory(S$4,T$5,"DF[dow:12345][tl:Calendar]",$L547)</f>
        <v>147.78399999999999</v>
      </c>
      <c r="U547">
        <f>_xll.ICEHistory(S$4,U$5,"DF[dow:12345][tl:Calendar]",$L547)</f>
        <v>147.78399999999999</v>
      </c>
      <c r="V547">
        <f>_xll.ICEHistory(S$4,V$5,"DF[dow:12345][tl:Calendar]",$L547)</f>
        <v>147.78399999999999</v>
      </c>
      <c r="W547">
        <f>_xll.ICEHistory(S$4,W$5,"DF[dow:12345][tl:Calendar]",$L547)</f>
        <v>0</v>
      </c>
      <c r="X547">
        <f t="shared" si="24"/>
        <v>6.061293984108955E-2</v>
      </c>
      <c r="Y547">
        <f t="shared" si="25"/>
        <v>1.058488338832442</v>
      </c>
      <c r="Z547">
        <f t="shared" si="26"/>
        <v>3.4103816626613569E-2</v>
      </c>
    </row>
    <row r="548" spans="12:26" x14ac:dyDescent="0.25">
      <c r="L548" s="4">
        <f>_xll.ICETimeline(_xll.ICEJoinRange(M4:W4),"DF[dow:12345][tl:Calendar]","2020-07-26;2024-07-26",503,-1)</f>
        <v>44742.5</v>
      </c>
      <c r="M548">
        <f>_xll.ICEHistory(M$4,M$5,"DF[dow:12345][tl:Calendar]",$L548)</f>
        <v>88.1</v>
      </c>
      <c r="N548">
        <f>_xll.ICEHistory(M$4,N$5,"DF[dow:12345][tl:Calendar]",$L548)</f>
        <v>90.33</v>
      </c>
      <c r="O548">
        <f>_xll.ICEHistory(M$4,O$5,"DF[dow:12345][tl:Calendar]",$L548)</f>
        <v>87.3</v>
      </c>
      <c r="P548">
        <f>_xll.ICEHistory(M$4,P$5,"DF[dow:12345][tl:Calendar]",$L548)</f>
        <v>89.51</v>
      </c>
      <c r="Q548">
        <f>_xll.ICEHistory(M$4,Q$5,"DF[dow:12345][tl:Calendar]",$L548)</f>
        <v>19044</v>
      </c>
      <c r="R548">
        <f>_xll.ICEHistory(M$4,R$5,"DF[dow:12345][tl:Calendar]",$L548)</f>
        <v>355570</v>
      </c>
      <c r="S548">
        <f>_xll.ICEHistory(S$4,S$5,"DF[dow:12345][tl:Calendar]",$L548)</f>
        <v>144.51400000000001</v>
      </c>
      <c r="T548">
        <f>_xll.ICEHistory(S$4,T$5,"DF[dow:12345][tl:Calendar]",$L548)</f>
        <v>144.51400000000001</v>
      </c>
      <c r="U548">
        <f>_xll.ICEHistory(S$4,U$5,"DF[dow:12345][tl:Calendar]",$L548)</f>
        <v>144.51400000000001</v>
      </c>
      <c r="V548">
        <f>_xll.ICEHistory(S$4,V$5,"DF[dow:12345][tl:Calendar]",$L548)</f>
        <v>144.51400000000001</v>
      </c>
      <c r="W548">
        <f>_xll.ICEHistory(S$4,W$5,"DF[dow:12345][tl:Calendar]",$L548)</f>
        <v>0</v>
      </c>
      <c r="X548">
        <f t="shared" si="24"/>
        <v>3.4660260809883332E-2</v>
      </c>
      <c r="Y548">
        <f t="shared" si="25"/>
        <v>-0.33677880617669509</v>
      </c>
      <c r="Z548">
        <f t="shared" si="26"/>
        <v>0.11145260140535522</v>
      </c>
    </row>
    <row r="549" spans="12:26" x14ac:dyDescent="0.25">
      <c r="L549" s="4">
        <f>_xll.ICETimeline(_xll.ICEJoinRange(M4:W4),"DF[dow:12345][tl:Calendar]","2020-07-26;2024-07-26",502,-1)</f>
        <v>44741.5</v>
      </c>
      <c r="M549">
        <f>_xll.ICEHistory(M$4,M$5,"DF[dow:12345][tl:Calendar]",$L549)</f>
        <v>87.42</v>
      </c>
      <c r="N549">
        <f>_xll.ICEHistory(M$4,N$5,"DF[dow:12345][tl:Calendar]",$L549)</f>
        <v>90.13</v>
      </c>
      <c r="O549">
        <f>_xll.ICEHistory(M$4,O$5,"DF[dow:12345][tl:Calendar]",$L549)</f>
        <v>87.11</v>
      </c>
      <c r="P549">
        <f>_xll.ICEHistory(M$4,P$5,"DF[dow:12345][tl:Calendar]",$L549)</f>
        <v>88.65</v>
      </c>
      <c r="Q549">
        <f>_xll.ICEHistory(M$4,Q$5,"DF[dow:12345][tl:Calendar]",$L549)</f>
        <v>20820</v>
      </c>
      <c r="R549">
        <f>_xll.ICEHistory(M$4,R$5,"DF[dow:12345][tl:Calendar]",$L549)</f>
        <v>359744</v>
      </c>
      <c r="S549">
        <f>_xll.ICEHistory(S$4,S$5,"DF[dow:12345][tl:Calendar]",$L549)</f>
        <v>139.58799999999999</v>
      </c>
      <c r="T549">
        <f>_xll.ICEHistory(S$4,T$5,"DF[dow:12345][tl:Calendar]",$L549)</f>
        <v>139.58799999999999</v>
      </c>
      <c r="U549">
        <f>_xll.ICEHistory(S$4,U$5,"DF[dow:12345][tl:Calendar]",$L549)</f>
        <v>139.58799999999999</v>
      </c>
      <c r="V549">
        <f>_xll.ICEHistory(S$4,V$5,"DF[dow:12345][tl:Calendar]",$L549)</f>
        <v>139.58799999999999</v>
      </c>
      <c r="W549">
        <f>_xll.ICEHistory(S$4,W$5,"DF[dow:12345][tl:Calendar]",$L549)</f>
        <v>0</v>
      </c>
      <c r="X549">
        <f t="shared" si="24"/>
        <v>3.5815939278937337E-2</v>
      </c>
      <c r="Y549">
        <f t="shared" si="25"/>
        <v>-0.29475116789449757</v>
      </c>
      <c r="Z549">
        <f t="shared" si="26"/>
        <v>0.31650024899230944</v>
      </c>
    </row>
    <row r="550" spans="12:26" x14ac:dyDescent="0.25">
      <c r="L550" s="4">
        <f>_xll.ICETimeline(_xll.ICEJoinRange(M4:W4),"DF[dow:12345][tl:Calendar]","2020-07-26;2024-07-26",501,-1)</f>
        <v>44740.5</v>
      </c>
      <c r="M550">
        <f>_xll.ICEHistory(M$4,M$5,"DF[dow:12345][tl:Calendar]",$L550)</f>
        <v>84.32</v>
      </c>
      <c r="N550">
        <f>_xll.ICEHistory(M$4,N$5,"DF[dow:12345][tl:Calendar]",$L550)</f>
        <v>88.06</v>
      </c>
      <c r="O550">
        <f>_xll.ICEHistory(M$4,O$5,"DF[dow:12345][tl:Calendar]",$L550)</f>
        <v>83.75</v>
      </c>
      <c r="P550">
        <f>_xll.ICEHistory(M$4,P$5,"DF[dow:12345][tl:Calendar]",$L550)</f>
        <v>88.06</v>
      </c>
      <c r="Q550">
        <f>_xll.ICEHistory(M$4,Q$5,"DF[dow:12345][tl:Calendar]",$L550)</f>
        <v>15768</v>
      </c>
      <c r="R550">
        <f>_xll.ICEHistory(M$4,R$5,"DF[dow:12345][tl:Calendar]",$L550)</f>
        <v>356461</v>
      </c>
      <c r="S550">
        <f>_xll.ICEHistory(S$4,S$5,"DF[dow:12345][tl:Calendar]",$L550)</f>
        <v>129.17599999999999</v>
      </c>
      <c r="T550">
        <f>_xll.ICEHistory(S$4,T$5,"DF[dow:12345][tl:Calendar]",$L550)</f>
        <v>129.17599999999999</v>
      </c>
      <c r="U550">
        <f>_xll.ICEHistory(S$4,U$5,"DF[dow:12345][tl:Calendar]",$L550)</f>
        <v>129.17599999999999</v>
      </c>
      <c r="V550">
        <f>_xll.ICEHistory(S$4,V$5,"DF[dow:12345][tl:Calendar]",$L550)</f>
        <v>129.17599999999999</v>
      </c>
      <c r="W550">
        <f>_xll.ICEHistory(S$4,W$5,"DF[dow:12345][tl:Calendar]",$L550)</f>
        <v>0</v>
      </c>
      <c r="X550">
        <f t="shared" si="24"/>
        <v>5.130952380952384E-2</v>
      </c>
      <c r="Y550">
        <f t="shared" si="25"/>
        <v>0.51914042315675024</v>
      </c>
      <c r="Z550">
        <f t="shared" si="26"/>
        <v>-0.40757497685423766</v>
      </c>
    </row>
    <row r="551" spans="12:26" x14ac:dyDescent="0.25">
      <c r="L551" s="4">
        <f>_xll.ICETimeline(_xll.ICEJoinRange(M4:W4),"DF[dow:12345][tl:Calendar]","2020-07-26;2024-07-26",500,-1)</f>
        <v>44739.5</v>
      </c>
      <c r="M551">
        <f>_xll.ICEHistory(M$4,M$5,"DF[dow:12345][tl:Calendar]",$L551)</f>
        <v>84</v>
      </c>
      <c r="N551">
        <f>_xll.ICEHistory(M$4,N$5,"DF[dow:12345][tl:Calendar]",$L551)</f>
        <v>85.74</v>
      </c>
      <c r="O551">
        <f>_xll.ICEHistory(M$4,O$5,"DF[dow:12345][tl:Calendar]",$L551)</f>
        <v>83</v>
      </c>
      <c r="P551">
        <f>_xll.ICEHistory(M$4,P$5,"DF[dow:12345][tl:Calendar]",$L551)</f>
        <v>84.51</v>
      </c>
      <c r="Q551">
        <f>_xll.ICEHistory(M$4,Q$5,"DF[dow:12345][tl:Calendar]",$L551)</f>
        <v>15667</v>
      </c>
      <c r="R551">
        <f>_xll.ICEHistory(M$4,R$5,"DF[dow:12345][tl:Calendar]",$L551)</f>
        <v>356429</v>
      </c>
      <c r="S551">
        <f>_xll.ICEHistory(S$4,S$5,"DF[dow:12345][tl:Calendar]",$L551)</f>
        <v>129.459</v>
      </c>
      <c r="T551">
        <f>_xll.ICEHistory(S$4,T$5,"DF[dow:12345][tl:Calendar]",$L551)</f>
        <v>129.459</v>
      </c>
      <c r="U551">
        <f>_xll.ICEHistory(S$4,U$5,"DF[dow:12345][tl:Calendar]",$L551)</f>
        <v>129.459</v>
      </c>
      <c r="V551">
        <f>_xll.ICEHistory(S$4,V$5,"DF[dow:12345][tl:Calendar]",$L551)</f>
        <v>129.459</v>
      </c>
      <c r="W551">
        <f>_xll.ICEHistory(S$4,W$5,"DF[dow:12345][tl:Calendar]",$L551)</f>
        <v>0</v>
      </c>
      <c r="X551">
        <f t="shared" si="24"/>
        <v>3.2510678690080619E-2</v>
      </c>
      <c r="Y551">
        <f t="shared" si="25"/>
        <v>-0.4640524298420684</v>
      </c>
      <c r="Z551">
        <f t="shared" si="26"/>
        <v>-0.4349894892653558</v>
      </c>
    </row>
    <row r="552" spans="12:26" x14ac:dyDescent="0.25">
      <c r="L552" s="4">
        <f>_xll.ICETimeline(_xll.ICEJoinRange(M4:W4),"DF[dow:12345][tl:Calendar]","2020-07-26;2024-07-26",499,-1)</f>
        <v>44736.5</v>
      </c>
      <c r="M552">
        <f>_xll.ICEHistory(M$4,M$5,"DF[dow:12345][tl:Calendar]",$L552)</f>
        <v>84.28</v>
      </c>
      <c r="N552">
        <f>_xll.ICEHistory(M$4,N$5,"DF[dow:12345][tl:Calendar]",$L552)</f>
        <v>84.5</v>
      </c>
      <c r="O552">
        <f>_xll.ICEHistory(M$4,O$5,"DF[dow:12345][tl:Calendar]",$L552)</f>
        <v>83.01</v>
      </c>
      <c r="P552">
        <f>_xll.ICEHistory(M$4,P$5,"DF[dow:12345][tl:Calendar]",$L552)</f>
        <v>83.81</v>
      </c>
      <c r="Q552">
        <f>_xll.ICEHistory(M$4,Q$5,"DF[dow:12345][tl:Calendar]",$L552)</f>
        <v>14640</v>
      </c>
      <c r="R552">
        <f>_xll.ICEHistory(M$4,R$5,"DF[dow:12345][tl:Calendar]",$L552)</f>
        <v>354816</v>
      </c>
      <c r="S552">
        <f>_xll.ICEHistory(S$4,S$5,"DF[dow:12345][tl:Calendar]",$L552)</f>
        <v>128.505</v>
      </c>
      <c r="T552">
        <f>_xll.ICEHistory(S$4,T$5,"DF[dow:12345][tl:Calendar]",$L552)</f>
        <v>128.505</v>
      </c>
      <c r="U552">
        <f>_xll.ICEHistory(S$4,U$5,"DF[dow:12345][tl:Calendar]",$L552)</f>
        <v>128.505</v>
      </c>
      <c r="V552">
        <f>_xll.ICEHistory(S$4,V$5,"DF[dow:12345][tl:Calendar]",$L552)</f>
        <v>128.505</v>
      </c>
      <c r="W552">
        <f>_xll.ICEHistory(S$4,W$5,"DF[dow:12345][tl:Calendar]",$L552)</f>
        <v>0</v>
      </c>
      <c r="X552">
        <f t="shared" si="24"/>
        <v>1.8226299694189541E-2</v>
      </c>
      <c r="Y552">
        <f t="shared" si="25"/>
        <v>-1.2418178380078806</v>
      </c>
      <c r="Z552">
        <f t="shared" si="26"/>
        <v>-0.58653669058138402</v>
      </c>
    </row>
    <row r="553" spans="12:26" x14ac:dyDescent="0.25">
      <c r="L553" s="4">
        <f>_xll.ICETimeline(_xll.ICEJoinRange(M4:W4),"DF[dow:12345][tl:Calendar]","2020-07-26;2024-07-26",498,-1)</f>
        <v>44735.5</v>
      </c>
      <c r="M553">
        <f>_xll.ICEHistory(M$4,M$5,"DF[dow:12345][tl:Calendar]",$L553)</f>
        <v>81.75</v>
      </c>
      <c r="N553">
        <f>_xll.ICEHistory(M$4,N$5,"DF[dow:12345][tl:Calendar]",$L553)</f>
        <v>84.25</v>
      </c>
      <c r="O553">
        <f>_xll.ICEHistory(M$4,O$5,"DF[dow:12345][tl:Calendar]",$L553)</f>
        <v>81.55</v>
      </c>
      <c r="P553">
        <f>_xll.ICEHistory(M$4,P$5,"DF[dow:12345][tl:Calendar]",$L553)</f>
        <v>84.19</v>
      </c>
      <c r="Q553">
        <f>_xll.ICEHistory(M$4,Q$5,"DF[dow:12345][tl:Calendar]",$L553)</f>
        <v>16812</v>
      </c>
      <c r="R553">
        <f>_xll.ICEHistory(M$4,R$5,"DF[dow:12345][tl:Calendar]",$L553)</f>
        <v>356368</v>
      </c>
      <c r="S553">
        <f>_xll.ICEHistory(S$4,S$5,"DF[dow:12345][tl:Calendar]",$L553)</f>
        <v>133.34700000000001</v>
      </c>
      <c r="T553">
        <f>_xll.ICEHistory(S$4,T$5,"DF[dow:12345][tl:Calendar]",$L553)</f>
        <v>133.34700000000001</v>
      </c>
      <c r="U553">
        <f>_xll.ICEHistory(S$4,U$5,"DF[dow:12345][tl:Calendar]",$L553)</f>
        <v>133.34700000000001</v>
      </c>
      <c r="V553">
        <f>_xll.ICEHistory(S$4,V$5,"DF[dow:12345][tl:Calendar]",$L553)</f>
        <v>133.34700000000001</v>
      </c>
      <c r="W553">
        <f>_xll.ICEHistory(S$4,W$5,"DF[dow:12345][tl:Calendar]",$L553)</f>
        <v>0</v>
      </c>
      <c r="X553">
        <f t="shared" si="24"/>
        <v>3.1952662721893524E-2</v>
      </c>
      <c r="Y553">
        <f t="shared" si="25"/>
        <v>-0.51713624242912171</v>
      </c>
      <c r="Z553">
        <f t="shared" si="26"/>
        <v>-0.28450783211828817</v>
      </c>
    </row>
    <row r="554" spans="12:26" x14ac:dyDescent="0.25">
      <c r="L554" s="4">
        <f>_xll.ICETimeline(_xll.ICEJoinRange(M4:W4),"DF[dow:12345][tl:Calendar]","2020-07-26;2024-07-26",497,-1)</f>
        <v>44734.5</v>
      </c>
      <c r="M554">
        <f>_xll.ICEHistory(M$4,M$5,"DF[dow:12345][tl:Calendar]",$L554)</f>
        <v>84.5</v>
      </c>
      <c r="N554">
        <f>_xll.ICEHistory(M$4,N$5,"DF[dow:12345][tl:Calendar]",$L554)</f>
        <v>84.83</v>
      </c>
      <c r="O554">
        <f>_xll.ICEHistory(M$4,O$5,"DF[dow:12345][tl:Calendar]",$L554)</f>
        <v>81.2</v>
      </c>
      <c r="P554">
        <f>_xll.ICEHistory(M$4,P$5,"DF[dow:12345][tl:Calendar]",$L554)</f>
        <v>81.99</v>
      </c>
      <c r="Q554">
        <f>_xll.ICEHistory(M$4,Q$5,"DF[dow:12345][tl:Calendar]",$L554)</f>
        <v>21270</v>
      </c>
      <c r="R554">
        <f>_xll.ICEHistory(M$4,R$5,"DF[dow:12345][tl:Calendar]",$L554)</f>
        <v>358009</v>
      </c>
      <c r="S554">
        <f>_xll.ICEHistory(S$4,S$5,"DF[dow:12345][tl:Calendar]",$L554)</f>
        <v>127.17100000000001</v>
      </c>
      <c r="T554">
        <f>_xll.ICEHistory(S$4,T$5,"DF[dow:12345][tl:Calendar]",$L554)</f>
        <v>127.17100000000001</v>
      </c>
      <c r="U554">
        <f>_xll.ICEHistory(S$4,U$5,"DF[dow:12345][tl:Calendar]",$L554)</f>
        <v>127.17100000000001</v>
      </c>
      <c r="V554">
        <f>_xll.ICEHistory(S$4,V$5,"DF[dow:12345][tl:Calendar]",$L554)</f>
        <v>127.17100000000001</v>
      </c>
      <c r="W554">
        <f>_xll.ICEHistory(S$4,W$5,"DF[dow:12345][tl:Calendar]",$L554)</f>
        <v>0</v>
      </c>
      <c r="X554">
        <f t="shared" si="24"/>
        <v>4.3045179651369565E-2</v>
      </c>
      <c r="Y554">
        <f t="shared" si="25"/>
        <v>6.9926537215839996E-2</v>
      </c>
      <c r="Z554">
        <f t="shared" si="26"/>
        <v>0.30981960746149068</v>
      </c>
    </row>
    <row r="555" spans="12:26" x14ac:dyDescent="0.25">
      <c r="L555" s="4">
        <f>_xll.ICETimeline(_xll.ICEJoinRange(M4:W4),"DF[dow:12345][tl:Calendar]","2020-07-26;2024-07-26",496,-1)</f>
        <v>44733.5</v>
      </c>
      <c r="M555">
        <f>_xll.ICEHistory(M$4,M$5,"DF[dow:12345][tl:Calendar]",$L555)</f>
        <v>84.33</v>
      </c>
      <c r="N555">
        <f>_xll.ICEHistory(M$4,N$5,"DF[dow:12345][tl:Calendar]",$L555)</f>
        <v>85.43</v>
      </c>
      <c r="O555">
        <f>_xll.ICEHistory(M$4,O$5,"DF[dow:12345][tl:Calendar]",$L555)</f>
        <v>83.54</v>
      </c>
      <c r="P555">
        <f>_xll.ICEHistory(M$4,P$5,"DF[dow:12345][tl:Calendar]",$L555)</f>
        <v>84.61</v>
      </c>
      <c r="Q555">
        <f>_xll.ICEHistory(M$4,Q$5,"DF[dow:12345][tl:Calendar]",$L555)</f>
        <v>13995</v>
      </c>
      <c r="R555">
        <f>_xll.ICEHistory(M$4,R$5,"DF[dow:12345][tl:Calendar]",$L555)</f>
        <v>354426</v>
      </c>
      <c r="S555">
        <f>_xll.ICEHistory(S$4,S$5,"DF[dow:12345][tl:Calendar]",$L555)</f>
        <v>125.56</v>
      </c>
      <c r="T555">
        <f>_xll.ICEHistory(S$4,T$5,"DF[dow:12345][tl:Calendar]",$L555)</f>
        <v>125.56</v>
      </c>
      <c r="U555">
        <f>_xll.ICEHistory(S$4,U$5,"DF[dow:12345][tl:Calendar]",$L555)</f>
        <v>125.56</v>
      </c>
      <c r="V555">
        <f>_xll.ICEHistory(S$4,V$5,"DF[dow:12345][tl:Calendar]",$L555)</f>
        <v>125.56</v>
      </c>
      <c r="W555">
        <f>_xll.ICEHistory(S$4,W$5,"DF[dow:12345][tl:Calendar]",$L555)</f>
        <v>0</v>
      </c>
      <c r="X555">
        <f t="shared" si="24"/>
        <v>2.2634730538922163E-2</v>
      </c>
      <c r="Y555">
        <f t="shared" si="25"/>
        <v>-1.0311145462160229</v>
      </c>
      <c r="Z555">
        <f t="shared" si="26"/>
        <v>-0.69273853801344409</v>
      </c>
    </row>
    <row r="556" spans="12:26" x14ac:dyDescent="0.25">
      <c r="L556" s="4">
        <f>_xll.ICETimeline(_xll.ICEJoinRange(M4:W4),"DF[dow:12345][tl:Calendar]","2020-07-26;2024-07-26",495,-1)</f>
        <v>44732.5</v>
      </c>
      <c r="M556">
        <f>_xll.ICEHistory(M$4,M$5,"DF[dow:12345][tl:Calendar]",$L556)</f>
        <v>83.5</v>
      </c>
      <c r="N556">
        <f>_xll.ICEHistory(M$4,N$5,"DF[dow:12345][tl:Calendar]",$L556)</f>
        <v>85.33</v>
      </c>
      <c r="O556">
        <f>_xll.ICEHistory(M$4,O$5,"DF[dow:12345][tl:Calendar]",$L556)</f>
        <v>82.9</v>
      </c>
      <c r="P556">
        <f>_xll.ICEHistory(M$4,P$5,"DF[dow:12345][tl:Calendar]",$L556)</f>
        <v>84.01</v>
      </c>
      <c r="Q556">
        <f>_xll.ICEHistory(M$4,Q$5,"DF[dow:12345][tl:Calendar]",$L556)</f>
        <v>14284</v>
      </c>
      <c r="R556">
        <f>_xll.ICEHistory(M$4,R$5,"DF[dow:12345][tl:Calendar]",$L556)</f>
        <v>354684</v>
      </c>
      <c r="S556">
        <f>_xll.ICEHistory(S$4,S$5,"DF[dow:12345][tl:Calendar]",$L556)</f>
        <v>117.738</v>
      </c>
      <c r="T556">
        <f>_xll.ICEHistory(S$4,T$5,"DF[dow:12345][tl:Calendar]",$L556)</f>
        <v>117.738</v>
      </c>
      <c r="U556">
        <f>_xll.ICEHistory(S$4,U$5,"DF[dow:12345][tl:Calendar]",$L556)</f>
        <v>117.738</v>
      </c>
      <c r="V556">
        <f>_xll.ICEHistory(S$4,V$5,"DF[dow:12345][tl:Calendar]",$L556)</f>
        <v>117.738</v>
      </c>
      <c r="W556">
        <f>_xll.ICEHistory(S$4,W$5,"DF[dow:12345][tl:Calendar]",$L556)</f>
        <v>0</v>
      </c>
      <c r="X556">
        <f t="shared" si="24"/>
        <v>2.9312424607961306E-2</v>
      </c>
      <c r="Y556">
        <f t="shared" si="25"/>
        <v>-0.6936979482285639</v>
      </c>
      <c r="Z556">
        <f t="shared" si="26"/>
        <v>-0.65249151651861148</v>
      </c>
    </row>
    <row r="557" spans="12:26" x14ac:dyDescent="0.25">
      <c r="L557" s="4">
        <f>_xll.ICETimeline(_xll.ICEJoinRange(M4:W4),"DF[dow:12345][tl:Calendar]","2020-07-26;2024-07-26",494,-1)</f>
        <v>44729.5</v>
      </c>
      <c r="M557">
        <f>_xll.ICEHistory(M$4,M$5,"DF[dow:12345][tl:Calendar]",$L557)</f>
        <v>82.9</v>
      </c>
      <c r="N557">
        <f>_xll.ICEHistory(M$4,N$5,"DF[dow:12345][tl:Calendar]",$L557)</f>
        <v>84.18</v>
      </c>
      <c r="O557">
        <f>_xll.ICEHistory(M$4,O$5,"DF[dow:12345][tl:Calendar]",$L557)</f>
        <v>81.8</v>
      </c>
      <c r="P557">
        <f>_xll.ICEHistory(M$4,P$5,"DF[dow:12345][tl:Calendar]",$L557)</f>
        <v>82.12</v>
      </c>
      <c r="Q557">
        <f>_xll.ICEHistory(M$4,Q$5,"DF[dow:12345][tl:Calendar]",$L557)</f>
        <v>14468</v>
      </c>
      <c r="R557">
        <f>_xll.ICEHistory(M$4,R$5,"DF[dow:12345][tl:Calendar]",$L557)</f>
        <v>354889</v>
      </c>
      <c r="S557">
        <f>_xll.ICEHistory(S$4,S$5,"DF[dow:12345][tl:Calendar]",$L557)</f>
        <v>117.738</v>
      </c>
      <c r="T557">
        <f>_xll.ICEHistory(S$4,T$5,"DF[dow:12345][tl:Calendar]",$L557)</f>
        <v>117.738</v>
      </c>
      <c r="U557">
        <f>_xll.ICEHistory(S$4,U$5,"DF[dow:12345][tl:Calendar]",$L557)</f>
        <v>117.738</v>
      </c>
      <c r="V557">
        <f>_xll.ICEHistory(S$4,V$5,"DF[dow:12345][tl:Calendar]",$L557)</f>
        <v>117.738</v>
      </c>
      <c r="W557">
        <f>_xll.ICEHistory(S$4,W$5,"DF[dow:12345][tl:Calendar]",$L557)</f>
        <v>0</v>
      </c>
      <c r="X557">
        <f t="shared" si="24"/>
        <v>2.7610208816705447E-2</v>
      </c>
      <c r="Y557">
        <f t="shared" si="25"/>
        <v>-0.78231879369702184</v>
      </c>
      <c r="Z557">
        <f t="shared" si="26"/>
        <v>-0.63909097740192233</v>
      </c>
    </row>
    <row r="558" spans="12:26" x14ac:dyDescent="0.25">
      <c r="L558" s="4">
        <f>_xll.ICETimeline(_xll.ICEJoinRange(M4:W4),"DF[dow:12345][tl:Calendar]","2020-07-26;2024-07-26",493,-1)</f>
        <v>44728.5</v>
      </c>
      <c r="M558">
        <f>_xll.ICEHistory(M$4,M$5,"DF[dow:12345][tl:Calendar]",$L558)</f>
        <v>86.2</v>
      </c>
      <c r="N558">
        <f>_xll.ICEHistory(M$4,N$5,"DF[dow:12345][tl:Calendar]",$L558)</f>
        <v>86.9</v>
      </c>
      <c r="O558">
        <f>_xll.ICEHistory(M$4,O$5,"DF[dow:12345][tl:Calendar]",$L558)</f>
        <v>82.15</v>
      </c>
      <c r="P558">
        <f>_xll.ICEHistory(M$4,P$5,"DF[dow:12345][tl:Calendar]",$L558)</f>
        <v>83</v>
      </c>
      <c r="Q558">
        <f>_xll.ICEHistory(M$4,Q$5,"DF[dow:12345][tl:Calendar]",$L558)</f>
        <v>17930</v>
      </c>
      <c r="R558">
        <f>_xll.ICEHistory(M$4,R$5,"DF[dow:12345][tl:Calendar]",$L558)</f>
        <v>354335</v>
      </c>
      <c r="S558">
        <f>_xll.ICEHistory(S$4,S$5,"DF[dow:12345][tl:Calendar]",$L558)</f>
        <v>124.364</v>
      </c>
      <c r="T558">
        <f>_xll.ICEHistory(S$4,T$5,"DF[dow:12345][tl:Calendar]",$L558)</f>
        <v>124.364</v>
      </c>
      <c r="U558">
        <f>_xll.ICEHistory(S$4,U$5,"DF[dow:12345][tl:Calendar]",$L558)</f>
        <v>124.364</v>
      </c>
      <c r="V558">
        <f>_xll.ICEHistory(S$4,V$5,"DF[dow:12345][tl:Calendar]",$L558)</f>
        <v>124.364</v>
      </c>
      <c r="W558">
        <f>_xll.ICEHistory(S$4,W$5,"DF[dow:12345][tl:Calendar]",$L558)</f>
        <v>0</v>
      </c>
      <c r="X558">
        <f t="shared" si="24"/>
        <v>5.6709646609360072E-2</v>
      </c>
      <c r="Y558">
        <f t="shared" si="25"/>
        <v>0.76719935850861343</v>
      </c>
      <c r="Z558">
        <f t="shared" si="26"/>
        <v>-0.17723004617601087</v>
      </c>
    </row>
    <row r="559" spans="12:26" x14ac:dyDescent="0.25">
      <c r="L559" s="4">
        <f>_xll.ICETimeline(_xll.ICEJoinRange(M4:W4),"DF[dow:12345][tl:Calendar]","2020-07-26;2024-07-26",492,-1)</f>
        <v>44727.5</v>
      </c>
      <c r="M559">
        <f>_xll.ICEHistory(M$4,M$5,"DF[dow:12345][tl:Calendar]",$L559)</f>
        <v>83.76</v>
      </c>
      <c r="N559">
        <f>_xll.ICEHistory(M$4,N$5,"DF[dow:12345][tl:Calendar]",$L559)</f>
        <v>86.98</v>
      </c>
      <c r="O559">
        <f>_xll.ICEHistory(M$4,O$5,"DF[dow:12345][tl:Calendar]",$L559)</f>
        <v>83.16</v>
      </c>
      <c r="P559">
        <f>_xll.ICEHistory(M$4,P$5,"DF[dow:12345][tl:Calendar]",$L559)</f>
        <v>86.35</v>
      </c>
      <c r="Q559">
        <f>_xll.ICEHistory(M$4,Q$5,"DF[dow:12345][tl:Calendar]",$L559)</f>
        <v>18144</v>
      </c>
      <c r="R559">
        <f>_xll.ICEHistory(M$4,R$5,"DF[dow:12345][tl:Calendar]",$L559)</f>
        <v>353528</v>
      </c>
      <c r="S559">
        <f>_xll.ICEHistory(S$4,S$5,"DF[dow:12345][tl:Calendar]",$L559)</f>
        <v>120.33199999999999</v>
      </c>
      <c r="T559">
        <f>_xll.ICEHistory(S$4,T$5,"DF[dow:12345][tl:Calendar]",$L559)</f>
        <v>120.33199999999999</v>
      </c>
      <c r="U559">
        <f>_xll.ICEHistory(S$4,U$5,"DF[dow:12345][tl:Calendar]",$L559)</f>
        <v>120.33199999999999</v>
      </c>
      <c r="V559">
        <f>_xll.ICEHistory(S$4,V$5,"DF[dow:12345][tl:Calendar]",$L559)</f>
        <v>120.33199999999999</v>
      </c>
      <c r="W559">
        <f>_xll.ICEHistory(S$4,W$5,"DF[dow:12345][tl:Calendar]",$L559)</f>
        <v>0</v>
      </c>
      <c r="X559">
        <f t="shared" si="24"/>
        <v>4.6687851381080517E-2</v>
      </c>
      <c r="Y559">
        <f t="shared" si="25"/>
        <v>0.2430188866572302</v>
      </c>
      <c r="Z559">
        <f t="shared" si="26"/>
        <v>-0.15702155416014421</v>
      </c>
    </row>
    <row r="560" spans="12:26" x14ac:dyDescent="0.25">
      <c r="L560" s="4">
        <f>_xll.ICETimeline(_xll.ICEJoinRange(M4:W4),"DF[dow:12345][tl:Calendar]","2020-07-26;2024-07-26",491,-1)</f>
        <v>44726.5</v>
      </c>
      <c r="M560">
        <f>_xll.ICEHistory(M$4,M$5,"DF[dow:12345][tl:Calendar]",$L560)</f>
        <v>81.819999999999993</v>
      </c>
      <c r="N560">
        <f>_xll.ICEHistory(M$4,N$5,"DF[dow:12345][tl:Calendar]",$L560)</f>
        <v>84.5</v>
      </c>
      <c r="O560">
        <f>_xll.ICEHistory(M$4,O$5,"DF[dow:12345][tl:Calendar]",$L560)</f>
        <v>81.25</v>
      </c>
      <c r="P560">
        <f>_xll.ICEHistory(M$4,P$5,"DF[dow:12345][tl:Calendar]",$L560)</f>
        <v>84.03</v>
      </c>
      <c r="Q560">
        <f>_xll.ICEHistory(M$4,Q$5,"DF[dow:12345][tl:Calendar]",$L560)</f>
        <v>16337</v>
      </c>
      <c r="R560">
        <f>_xll.ICEHistory(M$4,R$5,"DF[dow:12345][tl:Calendar]",$L560)</f>
        <v>354195</v>
      </c>
      <c r="S560">
        <f>_xll.ICEHistory(S$4,S$5,"DF[dow:12345][tl:Calendar]",$L560)</f>
        <v>97.04</v>
      </c>
      <c r="T560">
        <f>_xll.ICEHistory(S$4,T$5,"DF[dow:12345][tl:Calendar]",$L560)</f>
        <v>97.04</v>
      </c>
      <c r="U560">
        <f>_xll.ICEHistory(S$4,U$5,"DF[dow:12345][tl:Calendar]",$L560)</f>
        <v>97.04</v>
      </c>
      <c r="V560">
        <f>_xll.ICEHistory(S$4,V$5,"DF[dow:12345][tl:Calendar]",$L560)</f>
        <v>97.04</v>
      </c>
      <c r="W560">
        <f>_xll.ICEHistory(S$4,W$5,"DF[dow:12345][tl:Calendar]",$L560)</f>
        <v>0</v>
      </c>
      <c r="X560">
        <f t="shared" si="24"/>
        <v>3.9585870889159568E-2</v>
      </c>
      <c r="Y560">
        <f t="shared" si="25"/>
        <v>-0.13686155822067475</v>
      </c>
      <c r="Z560">
        <f t="shared" si="26"/>
        <v>-0.42014945674206816</v>
      </c>
    </row>
    <row r="561" spans="12:26" x14ac:dyDescent="0.25">
      <c r="L561" s="4">
        <f>_xll.ICETimeline(_xll.ICEJoinRange(M4:W4),"DF[dow:12345][tl:Calendar]","2020-07-26;2024-07-26",490,-1)</f>
        <v>44725.5</v>
      </c>
      <c r="M561">
        <f>_xll.ICEHistory(M$4,M$5,"DF[dow:12345][tl:Calendar]",$L561)</f>
        <v>82.1</v>
      </c>
      <c r="N561">
        <f>_xll.ICEHistory(M$4,N$5,"DF[dow:12345][tl:Calendar]",$L561)</f>
        <v>82.24</v>
      </c>
      <c r="O561">
        <f>_xll.ICEHistory(M$4,O$5,"DF[dow:12345][tl:Calendar]",$L561)</f>
        <v>79.81</v>
      </c>
      <c r="P561">
        <f>_xll.ICEHistory(M$4,P$5,"DF[dow:12345][tl:Calendar]",$L561)</f>
        <v>81.849999999999994</v>
      </c>
      <c r="Q561">
        <f>_xll.ICEHistory(M$4,Q$5,"DF[dow:12345][tl:Calendar]",$L561)</f>
        <v>16778</v>
      </c>
      <c r="R561">
        <f>_xll.ICEHistory(M$4,R$5,"DF[dow:12345][tl:Calendar]",$L561)</f>
        <v>354398</v>
      </c>
      <c r="S561">
        <f>_xll.ICEHistory(S$4,S$5,"DF[dow:12345][tl:Calendar]",$L561)</f>
        <v>83.402000000000001</v>
      </c>
      <c r="T561">
        <f>_xll.ICEHistory(S$4,T$5,"DF[dow:12345][tl:Calendar]",$L561)</f>
        <v>83.402000000000001</v>
      </c>
      <c r="U561">
        <f>_xll.ICEHistory(S$4,U$5,"DF[dow:12345][tl:Calendar]",$L561)</f>
        <v>83.402000000000001</v>
      </c>
      <c r="V561">
        <f>_xll.ICEHistory(S$4,V$5,"DF[dow:12345][tl:Calendar]",$L561)</f>
        <v>83.402000000000001</v>
      </c>
      <c r="W561">
        <f>_xll.ICEHistory(S$4,W$5,"DF[dow:12345][tl:Calendar]",$L561)</f>
        <v>0</v>
      </c>
      <c r="X561">
        <f t="shared" si="24"/>
        <v>2.9966703662597023E-2</v>
      </c>
      <c r="Y561">
        <f t="shared" si="25"/>
        <v>-0.65737772594720933</v>
      </c>
      <c r="Z561">
        <f t="shared" si="26"/>
        <v>-0.36599696495725231</v>
      </c>
    </row>
    <row r="562" spans="12:26" x14ac:dyDescent="0.25">
      <c r="L562" s="4">
        <f>_xll.ICETimeline(_xll.ICEJoinRange(M4:W4),"DF[dow:12345][tl:Calendar]","2020-07-26;2024-07-26",489,-1)</f>
        <v>44722.5</v>
      </c>
      <c r="M562">
        <f>_xll.ICEHistory(M$4,M$5,"DF[dow:12345][tl:Calendar]",$L562)</f>
        <v>81.09</v>
      </c>
      <c r="N562">
        <f>_xll.ICEHistory(M$4,N$5,"DF[dow:12345][tl:Calendar]",$L562)</f>
        <v>82.8</v>
      </c>
      <c r="O562">
        <f>_xll.ICEHistory(M$4,O$5,"DF[dow:12345][tl:Calendar]",$L562)</f>
        <v>80.150000000000006</v>
      </c>
      <c r="P562">
        <f>_xll.ICEHistory(M$4,P$5,"DF[dow:12345][tl:Calendar]",$L562)</f>
        <v>82.35</v>
      </c>
      <c r="Q562">
        <f>_xll.ICEHistory(M$4,Q$5,"DF[dow:12345][tl:Calendar]",$L562)</f>
        <v>14888</v>
      </c>
      <c r="R562">
        <f>_xll.ICEHistory(M$4,R$5,"DF[dow:12345][tl:Calendar]",$L562)</f>
        <v>353310</v>
      </c>
      <c r="S562">
        <f>_xll.ICEHistory(S$4,S$5,"DF[dow:12345][tl:Calendar]",$L562)</f>
        <v>82.463999999999999</v>
      </c>
      <c r="T562">
        <f>_xll.ICEHistory(S$4,T$5,"DF[dow:12345][tl:Calendar]",$L562)</f>
        <v>82.463999999999999</v>
      </c>
      <c r="U562">
        <f>_xll.ICEHistory(S$4,U$5,"DF[dow:12345][tl:Calendar]",$L562)</f>
        <v>82.463999999999999</v>
      </c>
      <c r="V562">
        <f>_xll.ICEHistory(S$4,V$5,"DF[dow:12345][tl:Calendar]",$L562)</f>
        <v>82.463999999999999</v>
      </c>
      <c r="W562">
        <f>_xll.ICEHistory(S$4,W$5,"DF[dow:12345][tl:Calendar]",$L562)</f>
        <v>0</v>
      </c>
      <c r="X562">
        <f t="shared" si="24"/>
        <v>3.3021806853582449E-2</v>
      </c>
      <c r="Y562">
        <f t="shared" si="25"/>
        <v>-0.52248601267788275</v>
      </c>
      <c r="Z562">
        <f t="shared" si="26"/>
        <v>-0.63926010332569883</v>
      </c>
    </row>
    <row r="563" spans="12:26" x14ac:dyDescent="0.25">
      <c r="L563" s="4">
        <f>_xll.ICETimeline(_xll.ICEJoinRange(M4:W4),"DF[dow:12345][tl:Calendar]","2020-07-26;2024-07-26",488,-1)</f>
        <v>44721.5</v>
      </c>
      <c r="M563">
        <f>_xll.ICEHistory(M$4,M$5,"DF[dow:12345][tl:Calendar]",$L563)</f>
        <v>80.25</v>
      </c>
      <c r="N563">
        <f>_xll.ICEHistory(M$4,N$5,"DF[dow:12345][tl:Calendar]",$L563)</f>
        <v>82.2</v>
      </c>
      <c r="O563">
        <f>_xll.ICEHistory(M$4,O$5,"DF[dow:12345][tl:Calendar]",$L563)</f>
        <v>79.41</v>
      </c>
      <c r="P563">
        <f>_xll.ICEHistory(M$4,P$5,"DF[dow:12345][tl:Calendar]",$L563)</f>
        <v>81.09</v>
      </c>
      <c r="Q563">
        <f>_xll.ICEHistory(M$4,Q$5,"DF[dow:12345][tl:Calendar]",$L563)</f>
        <v>19644</v>
      </c>
      <c r="R563">
        <f>_xll.ICEHistory(M$4,R$5,"DF[dow:12345][tl:Calendar]",$L563)</f>
        <v>354735</v>
      </c>
      <c r="S563">
        <f>_xll.ICEHistory(S$4,S$5,"DF[dow:12345][tl:Calendar]",$L563)</f>
        <v>84.88</v>
      </c>
      <c r="T563">
        <f>_xll.ICEHistory(S$4,T$5,"DF[dow:12345][tl:Calendar]",$L563)</f>
        <v>84.88</v>
      </c>
      <c r="U563">
        <f>_xll.ICEHistory(S$4,U$5,"DF[dow:12345][tl:Calendar]",$L563)</f>
        <v>84.88</v>
      </c>
      <c r="V563">
        <f>_xll.ICEHistory(S$4,V$5,"DF[dow:12345][tl:Calendar]",$L563)</f>
        <v>84.88</v>
      </c>
      <c r="W563">
        <f>_xll.ICEHistory(S$4,W$5,"DF[dow:12345][tl:Calendar]",$L563)</f>
        <v>0</v>
      </c>
      <c r="X563">
        <f t="shared" si="24"/>
        <v>3.4478497281265522E-2</v>
      </c>
      <c r="Y563">
        <f t="shared" si="25"/>
        <v>-0.46629562222192622</v>
      </c>
      <c r="Z563">
        <f t="shared" si="26"/>
        <v>-1.7524236361539113E-2</v>
      </c>
    </row>
    <row r="564" spans="12:26" x14ac:dyDescent="0.25">
      <c r="L564" s="4">
        <f>_xll.ICETimeline(_xll.ICEJoinRange(M4:W4),"DF[dow:12345][tl:Calendar]","2020-07-26;2024-07-26",487,-1)</f>
        <v>44720.5</v>
      </c>
      <c r="M564">
        <f>_xll.ICEHistory(M$4,M$5,"DF[dow:12345][tl:Calendar]",$L564)</f>
        <v>80.92</v>
      </c>
      <c r="N564">
        <f>_xll.ICEHistory(M$4,N$5,"DF[dow:12345][tl:Calendar]",$L564)</f>
        <v>81.98</v>
      </c>
      <c r="O564">
        <f>_xll.ICEHistory(M$4,O$5,"DF[dow:12345][tl:Calendar]",$L564)</f>
        <v>79.099999999999994</v>
      </c>
      <c r="P564">
        <f>_xll.ICEHistory(M$4,P$5,"DF[dow:12345][tl:Calendar]",$L564)</f>
        <v>80.239999999999995</v>
      </c>
      <c r="Q564">
        <f>_xll.ICEHistory(M$4,Q$5,"DF[dow:12345][tl:Calendar]",$L564)</f>
        <v>27948</v>
      </c>
      <c r="R564">
        <f>_xll.ICEHistory(M$4,R$5,"DF[dow:12345][tl:Calendar]",$L564)</f>
        <v>356932</v>
      </c>
      <c r="S564">
        <f>_xll.ICEHistory(S$4,S$5,"DF[dow:12345][tl:Calendar]",$L564)</f>
        <v>79.406999999999996</v>
      </c>
      <c r="T564">
        <f>_xll.ICEHistory(S$4,T$5,"DF[dow:12345][tl:Calendar]",$L564)</f>
        <v>79.406999999999996</v>
      </c>
      <c r="U564">
        <f>_xll.ICEHistory(S$4,U$5,"DF[dow:12345][tl:Calendar]",$L564)</f>
        <v>79.406999999999996</v>
      </c>
      <c r="V564">
        <f>_xll.ICEHistory(S$4,V$5,"DF[dow:12345][tl:Calendar]",$L564)</f>
        <v>79.406999999999996</v>
      </c>
      <c r="W564">
        <f>_xll.ICEHistory(S$4,W$5,"DF[dow:12345][tl:Calendar]",$L564)</f>
        <v>0</v>
      </c>
      <c r="X564">
        <f t="shared" si="24"/>
        <v>3.5015197568389174E-2</v>
      </c>
      <c r="Y564">
        <f t="shared" si="25"/>
        <v>-0.46085756324000759</v>
      </c>
      <c r="Z564">
        <f t="shared" si="26"/>
        <v>1.0365874289737842</v>
      </c>
    </row>
    <row r="565" spans="12:26" x14ac:dyDescent="0.25">
      <c r="L565" s="4">
        <f>_xll.ICETimeline(_xll.ICEJoinRange(M4:W4),"DF[dow:12345][tl:Calendar]","2020-07-26;2024-07-26",486,-1)</f>
        <v>44719.5</v>
      </c>
      <c r="M565">
        <f>_xll.ICEHistory(M$4,M$5,"DF[dow:12345][tl:Calendar]",$L565)</f>
        <v>82.25</v>
      </c>
      <c r="N565">
        <f>_xll.ICEHistory(M$4,N$5,"DF[dow:12345][tl:Calendar]",$L565)</f>
        <v>82.93</v>
      </c>
      <c r="O565">
        <f>_xll.ICEHistory(M$4,O$5,"DF[dow:12345][tl:Calendar]",$L565)</f>
        <v>80.63</v>
      </c>
      <c r="P565">
        <f>_xll.ICEHistory(M$4,P$5,"DF[dow:12345][tl:Calendar]",$L565)</f>
        <v>80.900000000000006</v>
      </c>
      <c r="Q565">
        <f>_xll.ICEHistory(M$4,Q$5,"DF[dow:12345][tl:Calendar]",$L565)</f>
        <v>18467</v>
      </c>
      <c r="R565">
        <f>_xll.ICEHistory(M$4,R$5,"DF[dow:12345][tl:Calendar]",$L565)</f>
        <v>359739</v>
      </c>
      <c r="S565">
        <f>_xll.ICEHistory(S$4,S$5,"DF[dow:12345][tl:Calendar]",$L565)</f>
        <v>80.41</v>
      </c>
      <c r="T565">
        <f>_xll.ICEHistory(S$4,T$5,"DF[dow:12345][tl:Calendar]",$L565)</f>
        <v>81.02</v>
      </c>
      <c r="U565">
        <f>_xll.ICEHistory(S$4,U$5,"DF[dow:12345][tl:Calendar]",$L565)</f>
        <v>79.608000000000004</v>
      </c>
      <c r="V565">
        <f>_xll.ICEHistory(S$4,V$5,"DF[dow:12345][tl:Calendar]",$L565)</f>
        <v>79.608000000000004</v>
      </c>
      <c r="W565">
        <f>_xll.ICEHistory(S$4,W$5,"DF[dow:12345][tl:Calendar]",$L565)</f>
        <v>12</v>
      </c>
      <c r="X565">
        <f t="shared" si="24"/>
        <v>2.6373122348354677E-2</v>
      </c>
      <c r="Y565">
        <f t="shared" si="25"/>
        <v>-0.84584562385501938</v>
      </c>
      <c r="Z565">
        <f t="shared" si="26"/>
        <v>-0.21666097239641821</v>
      </c>
    </row>
    <row r="566" spans="12:26" x14ac:dyDescent="0.25">
      <c r="L566" s="4">
        <f>_xll.ICETimeline(_xll.ICEJoinRange(M4:W4),"DF[dow:12345][tl:Calendar]","2020-07-26;2024-07-26",485,-1)</f>
        <v>44718.5</v>
      </c>
      <c r="M566">
        <f>_xll.ICEHistory(M$4,M$5,"DF[dow:12345][tl:Calendar]",$L566)</f>
        <v>87.21</v>
      </c>
      <c r="N566">
        <f>_xll.ICEHistory(M$4,N$5,"DF[dow:12345][tl:Calendar]",$L566)</f>
        <v>87.21</v>
      </c>
      <c r="O566">
        <f>_xll.ICEHistory(M$4,O$5,"DF[dow:12345][tl:Calendar]",$L566)</f>
        <v>81.23</v>
      </c>
      <c r="P566">
        <f>_xll.ICEHistory(M$4,P$5,"DF[dow:12345][tl:Calendar]",$L566)</f>
        <v>82.11</v>
      </c>
      <c r="Q566">
        <f>_xll.ICEHistory(M$4,Q$5,"DF[dow:12345][tl:Calendar]",$L566)</f>
        <v>16410</v>
      </c>
      <c r="R566">
        <f>_xll.ICEHistory(M$4,R$5,"DF[dow:12345][tl:Calendar]",$L566)</f>
        <v>361640</v>
      </c>
      <c r="S566">
        <f>_xll.ICEHistory(S$4,S$5,"DF[dow:12345][tl:Calendar]",$L566)</f>
        <v>83.004999999999995</v>
      </c>
      <c r="T566">
        <f>_xll.ICEHistory(S$4,T$5,"DF[dow:12345][tl:Calendar]",$L566)</f>
        <v>83.004999999999995</v>
      </c>
      <c r="U566">
        <f>_xll.ICEHistory(S$4,U$5,"DF[dow:12345][tl:Calendar]",$L566)</f>
        <v>82.558000000000007</v>
      </c>
      <c r="V566">
        <f>_xll.ICEHistory(S$4,V$5,"DF[dow:12345][tl:Calendar]",$L566)</f>
        <v>82.558000000000007</v>
      </c>
      <c r="W566">
        <f>_xll.ICEHistory(S$4,W$5,"DF[dow:12345][tl:Calendar]",$L566)</f>
        <v>15</v>
      </c>
      <c r="X566">
        <f t="shared" si="24"/>
        <v>6.9261060921936415E-2</v>
      </c>
      <c r="Y566">
        <f t="shared" si="25"/>
        <v>0.68858818584838521</v>
      </c>
      <c r="Z566">
        <f t="shared" si="26"/>
        <v>-0.48962827519991842</v>
      </c>
    </row>
    <row r="567" spans="12:26" x14ac:dyDescent="0.25">
      <c r="L567" s="4">
        <f>_xll.ICETimeline(_xll.ICEJoinRange(M4:W4),"DF[dow:12345][tl:Calendar]","2020-07-26;2024-07-26",484,-1)</f>
        <v>44715.5</v>
      </c>
      <c r="M567">
        <f>_xll.ICEHistory(M$4,M$5,"DF[dow:12345][tl:Calendar]",$L567)</f>
        <v>86.34</v>
      </c>
      <c r="N567">
        <f>_xll.ICEHistory(M$4,N$5,"DF[dow:12345][tl:Calendar]",$L567)</f>
        <v>87.33</v>
      </c>
      <c r="O567">
        <f>_xll.ICEHistory(M$4,O$5,"DF[dow:12345][tl:Calendar]",$L567)</f>
        <v>85.99</v>
      </c>
      <c r="P567">
        <f>_xll.ICEHistory(M$4,P$5,"DF[dow:12345][tl:Calendar]",$L567)</f>
        <v>87.09</v>
      </c>
      <c r="Q567">
        <f>_xll.ICEHistory(M$4,Q$5,"DF[dow:12345][tl:Calendar]",$L567)</f>
        <v>4565</v>
      </c>
      <c r="R567">
        <f>_xll.ICEHistory(M$4,R$5,"DF[dow:12345][tl:Calendar]",$L567)</f>
        <v>359751</v>
      </c>
      <c r="S567">
        <f>_xll.ICEHistory(S$4,S$5,"DF[dow:12345][tl:Calendar]",$L567)</f>
        <v>83.100999999999999</v>
      </c>
      <c r="T567">
        <f>_xll.ICEHistory(S$4,T$5,"DF[dow:12345][tl:Calendar]",$L567)</f>
        <v>83.100999999999999</v>
      </c>
      <c r="U567">
        <f>_xll.ICEHistory(S$4,U$5,"DF[dow:12345][tl:Calendar]",$L567)</f>
        <v>83.100999999999999</v>
      </c>
      <c r="V567">
        <f>_xll.ICEHistory(S$4,V$5,"DF[dow:12345][tl:Calendar]",$L567)</f>
        <v>83.100999999999999</v>
      </c>
      <c r="W567">
        <f>_xll.ICEHistory(S$4,W$5,"DF[dow:12345][tl:Calendar]",$L567)</f>
        <v>0</v>
      </c>
      <c r="X567">
        <f t="shared" si="24"/>
        <v>1.5554265815438229E-2</v>
      </c>
      <c r="Y567">
        <f t="shared" si="25"/>
        <v>-1.096768489866081</v>
      </c>
      <c r="Z567">
        <f t="shared" si="26"/>
        <v>-1.8592625482699596</v>
      </c>
    </row>
    <row r="568" spans="12:26" x14ac:dyDescent="0.25">
      <c r="L568" s="4">
        <f>_xll.ICETimeline(_xll.ICEJoinRange(M4:W4),"DF[dow:12345][tl:Calendar]","2020-07-26;2024-07-26",483,-1)</f>
        <v>44714.5</v>
      </c>
      <c r="M568">
        <f>_xll.ICEHistory(M$4,M$5,"DF[dow:12345][tl:Calendar]",$L568)</f>
        <v>86.15</v>
      </c>
      <c r="N568">
        <f>_xll.ICEHistory(M$4,N$5,"DF[dow:12345][tl:Calendar]",$L568)</f>
        <v>88.64</v>
      </c>
      <c r="O568">
        <f>_xll.ICEHistory(M$4,O$5,"DF[dow:12345][tl:Calendar]",$L568)</f>
        <v>85.62</v>
      </c>
      <c r="P568">
        <f>_xll.ICEHistory(M$4,P$5,"DF[dow:12345][tl:Calendar]",$L568)</f>
        <v>86.21</v>
      </c>
      <c r="Q568">
        <f>_xll.ICEHistory(M$4,Q$5,"DF[dow:12345][tl:Calendar]",$L568)</f>
        <v>8333</v>
      </c>
      <c r="R568">
        <f>_xll.ICEHistory(M$4,R$5,"DF[dow:12345][tl:Calendar]",$L568)</f>
        <v>359874</v>
      </c>
      <c r="S568">
        <f>_xll.ICEHistory(S$4,S$5,"DF[dow:12345][tl:Calendar]",$L568)</f>
        <v>83.944999999999993</v>
      </c>
      <c r="T568">
        <f>_xll.ICEHistory(S$4,T$5,"DF[dow:12345][tl:Calendar]",$L568)</f>
        <v>83.944999999999993</v>
      </c>
      <c r="U568">
        <f>_xll.ICEHistory(S$4,U$5,"DF[dow:12345][tl:Calendar]",$L568)</f>
        <v>83.944999999999993</v>
      </c>
      <c r="V568">
        <f>_xll.ICEHistory(S$4,V$5,"DF[dow:12345][tl:Calendar]",$L568)</f>
        <v>83.944999999999993</v>
      </c>
      <c r="W568">
        <f>_xll.ICEHistory(S$4,W$5,"DF[dow:12345][tl:Calendar]",$L568)</f>
        <v>0</v>
      </c>
      <c r="X568">
        <f t="shared" si="24"/>
        <v>3.5858465922583661E-2</v>
      </c>
      <c r="Y568">
        <f t="shared" si="25"/>
        <v>-0.46628096589534163</v>
      </c>
      <c r="Z568">
        <f t="shared" si="26"/>
        <v>-1.4782460500106258</v>
      </c>
    </row>
    <row r="569" spans="12:26" x14ac:dyDescent="0.25">
      <c r="L569" s="4">
        <f>_xll.ICETimeline(_xll.ICEJoinRange(M4:W4),"DF[dow:12345][tl:Calendar]","2020-07-26;2024-07-26",482,-1)</f>
        <v>44713.5</v>
      </c>
      <c r="M569">
        <f>_xll.ICEHistory(M$4,M$5,"DF[dow:12345][tl:Calendar]",$L569)</f>
        <v>84.22</v>
      </c>
      <c r="N569">
        <f>_xll.ICEHistory(M$4,N$5,"DF[dow:12345][tl:Calendar]",$L569)</f>
        <v>87.64</v>
      </c>
      <c r="O569">
        <f>_xll.ICEHistory(M$4,O$5,"DF[dow:12345][tl:Calendar]",$L569)</f>
        <v>83.81</v>
      </c>
      <c r="P569">
        <f>_xll.ICEHistory(M$4,P$5,"DF[dow:12345][tl:Calendar]",$L569)</f>
        <v>86.42</v>
      </c>
      <c r="Q569">
        <f>_xll.ICEHistory(M$4,Q$5,"DF[dow:12345][tl:Calendar]",$L569)</f>
        <v>13337</v>
      </c>
      <c r="R569">
        <f>_xll.ICEHistory(M$4,R$5,"DF[dow:12345][tl:Calendar]",$L569)</f>
        <v>360951</v>
      </c>
      <c r="S569">
        <f>_xll.ICEHistory(S$4,S$5,"DF[dow:12345][tl:Calendar]",$L569)</f>
        <v>85.551000000000002</v>
      </c>
      <c r="T569">
        <f>_xll.ICEHistory(S$4,T$5,"DF[dow:12345][tl:Calendar]",$L569)</f>
        <v>85.551000000000002</v>
      </c>
      <c r="U569">
        <f>_xll.ICEHistory(S$4,U$5,"DF[dow:12345][tl:Calendar]",$L569)</f>
        <v>85.551000000000002</v>
      </c>
      <c r="V569">
        <f>_xll.ICEHistory(S$4,V$5,"DF[dow:12345][tl:Calendar]",$L569)</f>
        <v>85.551000000000002</v>
      </c>
      <c r="W569">
        <f>_xll.ICEHistory(S$4,W$5,"DF[dow:12345][tl:Calendar]",$L569)</f>
        <v>0</v>
      </c>
      <c r="X569">
        <f t="shared" si="24"/>
        <v>4.5595238095238078E-2</v>
      </c>
      <c r="Y569">
        <f t="shared" si="25"/>
        <v>-0.17129833948112777</v>
      </c>
      <c r="Z569">
        <f t="shared" si="26"/>
        <v>-0.82193111514591666</v>
      </c>
    </row>
    <row r="570" spans="12:26" x14ac:dyDescent="0.25">
      <c r="L570" s="4">
        <f>_xll.ICETimeline(_xll.ICEJoinRange(M4:W4),"DF[dow:12345][tl:Calendar]","2020-07-26;2024-07-26",481,-1)</f>
        <v>44712.5</v>
      </c>
      <c r="M570">
        <f>_xll.ICEHistory(M$4,M$5,"DF[dow:12345][tl:Calendar]",$L570)</f>
        <v>84</v>
      </c>
      <c r="N570">
        <f>_xll.ICEHistory(M$4,N$5,"DF[dow:12345][tl:Calendar]",$L570)</f>
        <v>85</v>
      </c>
      <c r="O570">
        <f>_xll.ICEHistory(M$4,O$5,"DF[dow:12345][tl:Calendar]",$L570)</f>
        <v>83.5</v>
      </c>
      <c r="P570">
        <f>_xll.ICEHistory(M$4,P$5,"DF[dow:12345][tl:Calendar]",$L570)</f>
        <v>84</v>
      </c>
      <c r="Q570">
        <f>_xll.ICEHistory(M$4,Q$5,"DF[dow:12345][tl:Calendar]",$L570)</f>
        <v>12543</v>
      </c>
      <c r="R570">
        <f>_xll.ICEHistory(M$4,R$5,"DF[dow:12345][tl:Calendar]",$L570)</f>
        <v>363136</v>
      </c>
      <c r="S570">
        <f>_xll.ICEHistory(S$4,S$5,"DF[dow:12345][tl:Calendar]",$L570)</f>
        <v>94.004000000000005</v>
      </c>
      <c r="T570">
        <f>_xll.ICEHistory(S$4,T$5,"DF[dow:12345][tl:Calendar]",$L570)</f>
        <v>94.004000000000005</v>
      </c>
      <c r="U570">
        <f>_xll.ICEHistory(S$4,U$5,"DF[dow:12345][tl:Calendar]",$L570)</f>
        <v>94.004000000000005</v>
      </c>
      <c r="V570">
        <f>_xll.ICEHistory(S$4,V$5,"DF[dow:12345][tl:Calendar]",$L570)</f>
        <v>94.004000000000005</v>
      </c>
      <c r="W570">
        <f>_xll.ICEHistory(S$4,W$5,"DF[dow:12345][tl:Calendar]",$L570)</f>
        <v>0</v>
      </c>
      <c r="X570">
        <f t="shared" si="24"/>
        <v>1.7780938833570414E-2</v>
      </c>
      <c r="Y570">
        <f t="shared" si="25"/>
        <v>-0.99566411361542029</v>
      </c>
      <c r="Z570">
        <f t="shared" si="26"/>
        <v>-0.83878219250617891</v>
      </c>
    </row>
    <row r="571" spans="12:26" x14ac:dyDescent="0.25">
      <c r="L571" s="4">
        <f>_xll.ICETimeline(_xll.ICEJoinRange(M4:W4),"DF[dow:12345][tl:Calendar]","2020-07-26;2024-07-26",480,-1)</f>
        <v>44711.5</v>
      </c>
      <c r="M571">
        <f>_xll.ICEHistory(M$4,M$5,"DF[dow:12345][tl:Calendar]",$L571)</f>
        <v>84.36</v>
      </c>
      <c r="N571">
        <f>_xll.ICEHistory(M$4,N$5,"DF[dow:12345][tl:Calendar]",$L571)</f>
        <v>85.05</v>
      </c>
      <c r="O571">
        <f>_xll.ICEHistory(M$4,O$5,"DF[dow:12345][tl:Calendar]",$L571)</f>
        <v>83.09</v>
      </c>
      <c r="P571">
        <f>_xll.ICEHistory(M$4,P$5,"DF[dow:12345][tl:Calendar]",$L571)</f>
        <v>83.2</v>
      </c>
      <c r="Q571">
        <f>_xll.ICEHistory(M$4,Q$5,"DF[dow:12345][tl:Calendar]",$L571)</f>
        <v>11268</v>
      </c>
      <c r="R571">
        <f>_xll.ICEHistory(M$4,R$5,"DF[dow:12345][tl:Calendar]",$L571)</f>
        <v>364583</v>
      </c>
      <c r="S571">
        <f>_xll.ICEHistory(S$4,S$5,"DF[dow:12345][tl:Calendar]",$L571)</f>
        <v>86.25</v>
      </c>
      <c r="T571">
        <f>_xll.ICEHistory(S$4,T$5,"DF[dow:12345][tl:Calendar]",$L571)</f>
        <v>86.875</v>
      </c>
      <c r="U571">
        <f>_xll.ICEHistory(S$4,U$5,"DF[dow:12345][tl:Calendar]",$L571)</f>
        <v>86.25</v>
      </c>
      <c r="V571">
        <f>_xll.ICEHistory(S$4,V$5,"DF[dow:12345][tl:Calendar]",$L571)</f>
        <v>86.875</v>
      </c>
      <c r="W571">
        <f>_xll.ICEHistory(S$4,W$5,"DF[dow:12345][tl:Calendar]",$L571)</f>
        <v>0</v>
      </c>
      <c r="X571">
        <f t="shared" si="24"/>
        <v>2.3094143984918034E-2</v>
      </c>
      <c r="Y571">
        <f t="shared" si="25"/>
        <v>-0.81698346656195342</v>
      </c>
      <c r="Z571">
        <f t="shared" si="26"/>
        <v>-0.96219634508550789</v>
      </c>
    </row>
    <row r="572" spans="12:26" x14ac:dyDescent="0.25">
      <c r="L572" s="4">
        <f>_xll.ICETimeline(_xll.ICEJoinRange(M4:W4),"DF[dow:12345][tl:Calendar]","2020-07-26;2024-07-26",479,-1)</f>
        <v>44708.5</v>
      </c>
      <c r="M572">
        <f>_xll.ICEHistory(M$4,M$5,"DF[dow:12345][tl:Calendar]",$L572)</f>
        <v>84.87</v>
      </c>
      <c r="N572">
        <f>_xll.ICEHistory(M$4,N$5,"DF[dow:12345][tl:Calendar]",$L572)</f>
        <v>85.33</v>
      </c>
      <c r="O572">
        <f>_xll.ICEHistory(M$4,O$5,"DF[dow:12345][tl:Calendar]",$L572)</f>
        <v>83.45</v>
      </c>
      <c r="P572">
        <f>_xll.ICEHistory(M$4,P$5,"DF[dow:12345][tl:Calendar]",$L572)</f>
        <v>83.98</v>
      </c>
      <c r="Q572">
        <f>_xll.ICEHistory(M$4,Q$5,"DF[dow:12345][tl:Calendar]",$L572)</f>
        <v>12447</v>
      </c>
      <c r="R572">
        <f>_xll.ICEHistory(M$4,R$5,"DF[dow:12345][tl:Calendar]",$L572)</f>
        <v>364523</v>
      </c>
      <c r="S572">
        <f>_xll.ICEHistory(S$4,S$5,"DF[dow:12345][tl:Calendar]",$L572)</f>
        <v>86.25</v>
      </c>
      <c r="T572">
        <f>_xll.ICEHistory(S$4,T$5,"DF[dow:12345][tl:Calendar]",$L572)</f>
        <v>86.875</v>
      </c>
      <c r="U572">
        <f>_xll.ICEHistory(S$4,U$5,"DF[dow:12345][tl:Calendar]",$L572)</f>
        <v>86.25</v>
      </c>
      <c r="V572">
        <f>_xll.ICEHistory(S$4,V$5,"DF[dow:12345][tl:Calendar]",$L572)</f>
        <v>86.875</v>
      </c>
      <c r="W572">
        <f>_xll.ICEHistory(S$4,W$5,"DF[dow:12345][tl:Calendar]",$L572)</f>
        <v>0</v>
      </c>
      <c r="X572">
        <f t="shared" si="24"/>
        <v>2.3166974738139192E-2</v>
      </c>
      <c r="Y572">
        <f t="shared" si="25"/>
        <v>-0.83577712091408807</v>
      </c>
      <c r="Z572">
        <f t="shared" si="26"/>
        <v>-0.88937180655235892</v>
      </c>
    </row>
    <row r="573" spans="12:26" x14ac:dyDescent="0.25">
      <c r="L573" s="4">
        <f>_xll.ICETimeline(_xll.ICEJoinRange(M4:W4),"DF[dow:12345][tl:Calendar]","2020-07-26;2024-07-26",478,-1)</f>
        <v>44707.5</v>
      </c>
      <c r="M573">
        <f>_xll.ICEHistory(M$4,M$5,"DF[dow:12345][tl:Calendar]",$L573)</f>
        <v>81.150000000000006</v>
      </c>
      <c r="N573">
        <f>_xll.ICEHistory(M$4,N$5,"DF[dow:12345][tl:Calendar]",$L573)</f>
        <v>85.21</v>
      </c>
      <c r="O573">
        <f>_xll.ICEHistory(M$4,O$5,"DF[dow:12345][tl:Calendar]",$L573)</f>
        <v>81.11</v>
      </c>
      <c r="P573">
        <f>_xll.ICEHistory(M$4,P$5,"DF[dow:12345][tl:Calendar]",$L573)</f>
        <v>85.12</v>
      </c>
      <c r="Q573">
        <f>_xll.ICEHistory(M$4,Q$5,"DF[dow:12345][tl:Calendar]",$L573)</f>
        <v>23608</v>
      </c>
      <c r="R573">
        <f>_xll.ICEHistory(M$4,R$5,"DF[dow:12345][tl:Calendar]",$L573)</f>
        <v>365343</v>
      </c>
      <c r="S573">
        <f>_xll.ICEHistory(S$4,S$5,"DF[dow:12345][tl:Calendar]",$L573)</f>
        <v>85.971000000000004</v>
      </c>
      <c r="T573">
        <f>_xll.ICEHistory(S$4,T$5,"DF[dow:12345][tl:Calendar]",$L573)</f>
        <v>85.971000000000004</v>
      </c>
      <c r="U573">
        <f>_xll.ICEHistory(S$4,U$5,"DF[dow:12345][tl:Calendar]",$L573)</f>
        <v>85.971000000000004</v>
      </c>
      <c r="V573">
        <f>_xll.ICEHistory(S$4,V$5,"DF[dow:12345][tl:Calendar]",$L573)</f>
        <v>85.971000000000004</v>
      </c>
      <c r="W573">
        <f>_xll.ICEHistory(S$4,W$5,"DF[dow:12345][tl:Calendar]",$L573)</f>
        <v>0</v>
      </c>
      <c r="X573">
        <f t="shared" si="24"/>
        <v>5.0717466600692651E-2</v>
      </c>
      <c r="Y573">
        <f t="shared" si="25"/>
        <v>-0.15402892800699236</v>
      </c>
      <c r="Z573">
        <f t="shared" si="26"/>
        <v>-7.3569107295664307E-2</v>
      </c>
    </row>
    <row r="574" spans="12:26" x14ac:dyDescent="0.25">
      <c r="L574" s="4">
        <f>_xll.ICETimeline(_xll.ICEJoinRange(M4:W4),"DF[dow:12345][tl:Calendar]","2020-07-26;2024-07-26",477,-1)</f>
        <v>44706.5</v>
      </c>
      <c r="M574">
        <f>_xll.ICEHistory(M$4,M$5,"DF[dow:12345][tl:Calendar]",$L574)</f>
        <v>80.84</v>
      </c>
      <c r="N574">
        <f>_xll.ICEHistory(M$4,N$5,"DF[dow:12345][tl:Calendar]",$L574)</f>
        <v>82.63</v>
      </c>
      <c r="O574">
        <f>_xll.ICEHistory(M$4,O$5,"DF[dow:12345][tl:Calendar]",$L574)</f>
        <v>80.290000000000006</v>
      </c>
      <c r="P574">
        <f>_xll.ICEHistory(M$4,P$5,"DF[dow:12345][tl:Calendar]",$L574)</f>
        <v>81.5</v>
      </c>
      <c r="Q574">
        <f>_xll.ICEHistory(M$4,Q$5,"DF[dow:12345][tl:Calendar]",$L574)</f>
        <v>13831</v>
      </c>
      <c r="R574">
        <f>_xll.ICEHistory(M$4,R$5,"DF[dow:12345][tl:Calendar]",$L574)</f>
        <v>378199</v>
      </c>
      <c r="S574">
        <f>_xll.ICEHistory(S$4,S$5,"DF[dow:12345][tl:Calendar]",$L574)</f>
        <v>85.625</v>
      </c>
      <c r="T574">
        <f>_xll.ICEHistory(S$4,T$5,"DF[dow:12345][tl:Calendar]",$L574)</f>
        <v>88.078000000000003</v>
      </c>
      <c r="U574">
        <f>_xll.ICEHistory(S$4,U$5,"DF[dow:12345][tl:Calendar]",$L574)</f>
        <v>84.84</v>
      </c>
      <c r="V574">
        <f>_xll.ICEHistory(S$4,V$5,"DF[dow:12345][tl:Calendar]",$L574)</f>
        <v>88.078000000000003</v>
      </c>
      <c r="W574">
        <f>_xll.ICEHistory(S$4,W$5,"DF[dow:12345][tl:Calendar]",$L574)</f>
        <v>46</v>
      </c>
      <c r="X574">
        <f t="shared" si="24"/>
        <v>2.9953917050691104E-2</v>
      </c>
      <c r="Y574">
        <f t="shared" si="25"/>
        <v>-0.682887399654587</v>
      </c>
      <c r="Z574">
        <f t="shared" si="26"/>
        <v>-0.81449004826701432</v>
      </c>
    </row>
    <row r="575" spans="12:26" x14ac:dyDescent="0.25">
      <c r="L575" s="4">
        <f>_xll.ICETimeline(_xll.ICEJoinRange(M4:W4),"DF[dow:12345][tl:Calendar]","2020-07-26;2024-07-26",476,-1)</f>
        <v>44705.5</v>
      </c>
      <c r="M575">
        <f>_xll.ICEHistory(M$4,M$5,"DF[dow:12345][tl:Calendar]",$L575)</f>
        <v>78.12</v>
      </c>
      <c r="N575">
        <f>_xll.ICEHistory(M$4,N$5,"DF[dow:12345][tl:Calendar]",$L575)</f>
        <v>82.66</v>
      </c>
      <c r="O575">
        <f>_xll.ICEHistory(M$4,O$5,"DF[dow:12345][tl:Calendar]",$L575)</f>
        <v>77.38</v>
      </c>
      <c r="P575">
        <f>_xll.ICEHistory(M$4,P$5,"DF[dow:12345][tl:Calendar]",$L575)</f>
        <v>80.84</v>
      </c>
      <c r="Q575">
        <f>_xll.ICEHistory(M$4,Q$5,"DF[dow:12345][tl:Calendar]",$L575)</f>
        <v>19829</v>
      </c>
      <c r="R575">
        <f>_xll.ICEHistory(M$4,R$5,"DF[dow:12345][tl:Calendar]",$L575)</f>
        <v>380374</v>
      </c>
      <c r="S575">
        <f>_xll.ICEHistory(S$4,S$5,"DF[dow:12345][tl:Calendar]",$L575)</f>
        <v>86.875</v>
      </c>
      <c r="T575">
        <f>_xll.ICEHistory(S$4,T$5,"DF[dow:12345][tl:Calendar]",$L575)</f>
        <v>86.875</v>
      </c>
      <c r="U575">
        <f>_xll.ICEHistory(S$4,U$5,"DF[dow:12345][tl:Calendar]",$L575)</f>
        <v>84.507000000000005</v>
      </c>
      <c r="V575">
        <f>_xll.ICEHistory(S$4,V$5,"DF[dow:12345][tl:Calendar]",$L575)</f>
        <v>84.507000000000005</v>
      </c>
      <c r="W575">
        <f>_xll.ICEHistory(S$4,W$5,"DF[dow:12345][tl:Calendar]",$L575)</f>
        <v>5</v>
      </c>
      <c r="X575">
        <f t="shared" si="24"/>
        <v>6.5868263473053912E-2</v>
      </c>
      <c r="Y575">
        <f t="shared" si="25"/>
        <v>0.18918181994746797</v>
      </c>
      <c r="Z575">
        <f t="shared" si="26"/>
        <v>-0.37593899135293402</v>
      </c>
    </row>
    <row r="576" spans="12:26" x14ac:dyDescent="0.25">
      <c r="L576" s="4">
        <f>_xll.ICETimeline(_xll.ICEJoinRange(M4:W4),"DF[dow:12345][tl:Calendar]","2020-07-26;2024-07-26",475,-1)</f>
        <v>44704.5</v>
      </c>
      <c r="M576">
        <f>_xll.ICEHistory(M$4,M$5,"DF[dow:12345][tl:Calendar]",$L576)</f>
        <v>80.16</v>
      </c>
      <c r="N576">
        <f>_xll.ICEHistory(M$4,N$5,"DF[dow:12345][tl:Calendar]",$L576)</f>
        <v>82.67</v>
      </c>
      <c r="O576">
        <f>_xll.ICEHistory(M$4,O$5,"DF[dow:12345][tl:Calendar]",$L576)</f>
        <v>77.8</v>
      </c>
      <c r="P576">
        <f>_xll.ICEHistory(M$4,P$5,"DF[dow:12345][tl:Calendar]",$L576)</f>
        <v>77.819999999999993</v>
      </c>
      <c r="Q576">
        <f>_xll.ICEHistory(M$4,Q$5,"DF[dow:12345][tl:Calendar]",$L576)</f>
        <v>19319</v>
      </c>
      <c r="R576">
        <f>_xll.ICEHistory(M$4,R$5,"DF[dow:12345][tl:Calendar]",$L576)</f>
        <v>380043</v>
      </c>
      <c r="S576">
        <f>_xll.ICEHistory(S$4,S$5,"DF[dow:12345][tl:Calendar]",$L576)</f>
        <v>85.22</v>
      </c>
      <c r="T576">
        <f>_xll.ICEHistory(S$4,T$5,"DF[dow:12345][tl:Calendar]",$L576)</f>
        <v>85.22</v>
      </c>
      <c r="U576">
        <f>_xll.ICEHistory(S$4,U$5,"DF[dow:12345][tl:Calendar]",$L576)</f>
        <v>83.287999999999997</v>
      </c>
      <c r="V576">
        <f>_xll.ICEHistory(S$4,V$5,"DF[dow:12345][tl:Calendar]",$L576)</f>
        <v>83.287999999999997</v>
      </c>
      <c r="W576">
        <f>_xll.ICEHistory(S$4,W$5,"DF[dow:12345][tl:Calendar]",$L576)</f>
        <v>5</v>
      </c>
      <c r="X576">
        <f t="shared" si="24"/>
        <v>5.8323353293413226E-2</v>
      </c>
      <c r="Y576">
        <f t="shared" si="25"/>
        <v>1.8199550627743297E-2</v>
      </c>
      <c r="Z576">
        <f t="shared" si="26"/>
        <v>-0.41454829750505151</v>
      </c>
    </row>
    <row r="577" spans="12:26" x14ac:dyDescent="0.25">
      <c r="L577" s="4">
        <f>_xll.ICETimeline(_xll.ICEJoinRange(M4:W4),"DF[dow:12345][tl:Calendar]","2020-07-26;2024-07-26",474,-1)</f>
        <v>44701.5</v>
      </c>
      <c r="M577">
        <f>_xll.ICEHistory(M$4,M$5,"DF[dow:12345][tl:Calendar]",$L577)</f>
        <v>83.5</v>
      </c>
      <c r="N577">
        <f>_xll.ICEHistory(M$4,N$5,"DF[dow:12345][tl:Calendar]",$L577)</f>
        <v>84.2</v>
      </c>
      <c r="O577">
        <f>_xll.ICEHistory(M$4,O$5,"DF[dow:12345][tl:Calendar]",$L577)</f>
        <v>80.16</v>
      </c>
      <c r="P577">
        <f>_xll.ICEHistory(M$4,P$5,"DF[dow:12345][tl:Calendar]",$L577)</f>
        <v>80.37</v>
      </c>
      <c r="Q577">
        <f>_xll.ICEHistory(M$4,Q$5,"DF[dow:12345][tl:Calendar]",$L577)</f>
        <v>19002</v>
      </c>
      <c r="R577">
        <f>_xll.ICEHistory(M$4,R$5,"DF[dow:12345][tl:Calendar]",$L577)</f>
        <v>380209</v>
      </c>
      <c r="S577">
        <f>_xll.ICEHistory(S$4,S$5,"DF[dow:12345][tl:Calendar]",$L577)</f>
        <v>87.902000000000001</v>
      </c>
      <c r="T577">
        <f>_xll.ICEHistory(S$4,T$5,"DF[dow:12345][tl:Calendar]",$L577)</f>
        <v>87.902000000000001</v>
      </c>
      <c r="U577">
        <f>_xll.ICEHistory(S$4,U$5,"DF[dow:12345][tl:Calendar]",$L577)</f>
        <v>87.902000000000001</v>
      </c>
      <c r="V577">
        <f>_xll.ICEHistory(S$4,V$5,"DF[dow:12345][tl:Calendar]",$L577)</f>
        <v>87.902000000000001</v>
      </c>
      <c r="W577">
        <f>_xll.ICEHistory(S$4,W$5,"DF[dow:12345][tl:Calendar]",$L577)</f>
        <v>0</v>
      </c>
      <c r="X577">
        <f t="shared" si="24"/>
        <v>4.7771077214142206E-2</v>
      </c>
      <c r="Y577">
        <f t="shared" si="25"/>
        <v>-0.23172813862425753</v>
      </c>
      <c r="Z577">
        <f t="shared" si="26"/>
        <v>-0.4411452542424803</v>
      </c>
    </row>
    <row r="578" spans="12:26" x14ac:dyDescent="0.25">
      <c r="L578" s="4">
        <f>_xll.ICETimeline(_xll.ICEJoinRange(M4:W4),"DF[dow:12345][tl:Calendar]","2020-07-26;2024-07-26",473,-1)</f>
        <v>44700.5</v>
      </c>
      <c r="M578">
        <f>_xll.ICEHistory(M$4,M$5,"DF[dow:12345][tl:Calendar]",$L578)</f>
        <v>84.57</v>
      </c>
      <c r="N578">
        <f>_xll.ICEHistory(M$4,N$5,"DF[dow:12345][tl:Calendar]",$L578)</f>
        <v>85.55</v>
      </c>
      <c r="O578">
        <f>_xll.ICEHistory(M$4,O$5,"DF[dow:12345][tl:Calendar]",$L578)</f>
        <v>80.16</v>
      </c>
      <c r="P578">
        <f>_xll.ICEHistory(M$4,P$5,"DF[dow:12345][tl:Calendar]",$L578)</f>
        <v>82.97</v>
      </c>
      <c r="Q578">
        <f>_xll.ICEHistory(M$4,Q$5,"DF[dow:12345][tl:Calendar]",$L578)</f>
        <v>28695</v>
      </c>
      <c r="R578">
        <f>_xll.ICEHistory(M$4,R$5,"DF[dow:12345][tl:Calendar]",$L578)</f>
        <v>380822</v>
      </c>
      <c r="S578">
        <f>_xll.ICEHistory(S$4,S$5,"DF[dow:12345][tl:Calendar]",$L578)</f>
        <v>91.024000000000001</v>
      </c>
      <c r="T578">
        <f>_xll.ICEHistory(S$4,T$5,"DF[dow:12345][tl:Calendar]",$L578)</f>
        <v>91.024000000000001</v>
      </c>
      <c r="U578">
        <f>_xll.ICEHistory(S$4,U$5,"DF[dow:12345][tl:Calendar]",$L578)</f>
        <v>91.024000000000001</v>
      </c>
      <c r="V578">
        <f>_xll.ICEHistory(S$4,V$5,"DF[dow:12345][tl:Calendar]",$L578)</f>
        <v>91.024000000000001</v>
      </c>
      <c r="W578">
        <f>_xll.ICEHistory(S$4,W$5,"DF[dow:12345][tl:Calendar]",$L578)</f>
        <v>0</v>
      </c>
      <c r="X578">
        <f t="shared" si="24"/>
        <v>6.061628430049483E-2</v>
      </c>
      <c r="Y578">
        <f t="shared" si="25"/>
        <v>8.6859582374538627E-2</v>
      </c>
      <c r="Z578">
        <f t="shared" si="26"/>
        <v>0.27584263393631081</v>
      </c>
    </row>
    <row r="579" spans="12:26" x14ac:dyDescent="0.25">
      <c r="L579" s="4">
        <f>_xll.ICETimeline(_xll.ICEJoinRange(M4:W4),"DF[dow:12345][tl:Calendar]","2020-07-26;2024-07-26",472,-1)</f>
        <v>44699.5</v>
      </c>
      <c r="M579">
        <f>_xll.ICEHistory(M$4,M$5,"DF[dow:12345][tl:Calendar]",$L579)</f>
        <v>88.92</v>
      </c>
      <c r="N579">
        <f>_xll.ICEHistory(M$4,N$5,"DF[dow:12345][tl:Calendar]",$L579)</f>
        <v>90</v>
      </c>
      <c r="O579">
        <f>_xll.ICEHistory(M$4,O$5,"DF[dow:12345][tl:Calendar]",$L579)</f>
        <v>82.77</v>
      </c>
      <c r="P579">
        <f>_xll.ICEHistory(M$4,P$5,"DF[dow:12345][tl:Calendar]",$L579)</f>
        <v>84.65</v>
      </c>
      <c r="Q579">
        <f>_xll.ICEHistory(M$4,Q$5,"DF[dow:12345][tl:Calendar]",$L579)</f>
        <v>32158</v>
      </c>
      <c r="R579">
        <f>_xll.ICEHistory(M$4,R$5,"DF[dow:12345][tl:Calendar]",$L579)</f>
        <v>383216</v>
      </c>
      <c r="S579">
        <f>_xll.ICEHistory(S$4,S$5,"DF[dow:12345][tl:Calendar]",$L579)</f>
        <v>96.474999999999994</v>
      </c>
      <c r="T579">
        <f>_xll.ICEHistory(S$4,T$5,"DF[dow:12345][tl:Calendar]",$L579)</f>
        <v>96.474999999999994</v>
      </c>
      <c r="U579">
        <f>_xll.ICEHistory(S$4,U$5,"DF[dow:12345][tl:Calendar]",$L579)</f>
        <v>94.537999999999997</v>
      </c>
      <c r="V579">
        <f>_xll.ICEHistory(S$4,V$5,"DF[dow:12345][tl:Calendar]",$L579)</f>
        <v>94.537999999999997</v>
      </c>
      <c r="W579">
        <f>_xll.ICEHistory(S$4,W$5,"DF[dow:12345][tl:Calendar]",$L579)</f>
        <v>5</v>
      </c>
      <c r="X579">
        <f t="shared" si="24"/>
        <v>7.9977876106194723E-2</v>
      </c>
      <c r="Y579">
        <f t="shared" si="25"/>
        <v>0.5650501124419971</v>
      </c>
      <c r="Z579">
        <f t="shared" si="26"/>
        <v>0.53385333118543532</v>
      </c>
    </row>
    <row r="580" spans="12:26" x14ac:dyDescent="0.25">
      <c r="L580" s="4">
        <f>_xll.ICETimeline(_xll.ICEJoinRange(M4:W4),"DF[dow:12345][tl:Calendar]","2020-07-26;2024-07-26",471,-1)</f>
        <v>44698.5</v>
      </c>
      <c r="M580">
        <f>_xll.ICEHistory(M$4,M$5,"DF[dow:12345][tl:Calendar]",$L580)</f>
        <v>90.4</v>
      </c>
      <c r="N580">
        <f>_xll.ICEHistory(M$4,N$5,"DF[dow:12345][tl:Calendar]",$L580)</f>
        <v>92.75</v>
      </c>
      <c r="O580">
        <f>_xll.ICEHistory(M$4,O$5,"DF[dow:12345][tl:Calendar]",$L580)</f>
        <v>89.61</v>
      </c>
      <c r="P580">
        <f>_xll.ICEHistory(M$4,P$5,"DF[dow:12345][tl:Calendar]",$L580)</f>
        <v>92.24</v>
      </c>
      <c r="Q580">
        <f>_xll.ICEHistory(M$4,Q$5,"DF[dow:12345][tl:Calendar]",$L580)</f>
        <v>19893</v>
      </c>
      <c r="R580">
        <f>_xll.ICEHistory(M$4,R$5,"DF[dow:12345][tl:Calendar]",$L580)</f>
        <v>382953</v>
      </c>
      <c r="S580">
        <f>_xll.ICEHistory(S$4,S$5,"DF[dow:12345][tl:Calendar]",$L580)</f>
        <v>94.174999999999997</v>
      </c>
      <c r="T580">
        <f>_xll.ICEHistory(S$4,T$5,"DF[dow:12345][tl:Calendar]",$L580)</f>
        <v>94.174999999999997</v>
      </c>
      <c r="U580">
        <f>_xll.ICEHistory(S$4,U$5,"DF[dow:12345][tl:Calendar]",$L580)</f>
        <v>94.174999999999997</v>
      </c>
      <c r="V580">
        <f>_xll.ICEHistory(S$4,V$5,"DF[dow:12345][tl:Calendar]",$L580)</f>
        <v>94.174999999999997</v>
      </c>
      <c r="W580">
        <f>_xll.ICEHistory(S$4,W$5,"DF[dow:12345][tl:Calendar]",$L580)</f>
        <v>0</v>
      </c>
      <c r="X580">
        <f t="shared" si="24"/>
        <v>3.5803876852907646E-2</v>
      </c>
      <c r="Y580">
        <f t="shared" si="25"/>
        <v>-0.50257672426315159</v>
      </c>
      <c r="Z580">
        <f t="shared" si="26"/>
        <v>-0.3844284022391084</v>
      </c>
    </row>
    <row r="581" spans="12:26" x14ac:dyDescent="0.25">
      <c r="L581" s="4">
        <f>_xll.ICETimeline(_xll.ICEJoinRange(M4:W4),"DF[dow:12345][tl:Calendar]","2020-07-26;2024-07-26",470,-1)</f>
        <v>44697.5</v>
      </c>
      <c r="M581">
        <f>_xll.ICEHistory(M$4,M$5,"DF[dow:12345][tl:Calendar]",$L581)</f>
        <v>87.7</v>
      </c>
      <c r="N581">
        <f>_xll.ICEHistory(M$4,N$5,"DF[dow:12345][tl:Calendar]",$L581)</f>
        <v>90.35</v>
      </c>
      <c r="O581">
        <f>_xll.ICEHistory(M$4,O$5,"DF[dow:12345][tl:Calendar]",$L581)</f>
        <v>87.63</v>
      </c>
      <c r="P581">
        <f>_xll.ICEHistory(M$4,P$5,"DF[dow:12345][tl:Calendar]",$L581)</f>
        <v>90.24</v>
      </c>
      <c r="Q581">
        <f>_xll.ICEHistory(M$4,Q$5,"DF[dow:12345][tl:Calendar]",$L581)</f>
        <v>14987</v>
      </c>
      <c r="R581">
        <f>_xll.ICEHistory(M$4,R$5,"DF[dow:12345][tl:Calendar]",$L581)</f>
        <v>385583</v>
      </c>
      <c r="S581">
        <f>_xll.ICEHistory(S$4,S$5,"DF[dow:12345][tl:Calendar]",$L581)</f>
        <v>92.86</v>
      </c>
      <c r="T581">
        <f>_xll.ICEHistory(S$4,T$5,"DF[dow:12345][tl:Calendar]",$L581)</f>
        <v>92.86</v>
      </c>
      <c r="U581">
        <f>_xll.ICEHistory(S$4,U$5,"DF[dow:12345][tl:Calendar]",$L581)</f>
        <v>92.86</v>
      </c>
      <c r="V581">
        <f>_xll.ICEHistory(S$4,V$5,"DF[dow:12345][tl:Calendar]",$L581)</f>
        <v>92.86</v>
      </c>
      <c r="W581">
        <f>_xll.ICEHistory(S$4,W$5,"DF[dow:12345][tl:Calendar]",$L581)</f>
        <v>0</v>
      </c>
      <c r="X581">
        <f t="shared" si="24"/>
        <v>3.0884523674349938E-2</v>
      </c>
      <c r="Y581">
        <f t="shared" si="25"/>
        <v>-0.61818654592949784</v>
      </c>
      <c r="Z581">
        <f t="shared" si="26"/>
        <v>-0.75971906660844379</v>
      </c>
    </row>
    <row r="582" spans="12:26" x14ac:dyDescent="0.25">
      <c r="L582" s="4">
        <f>_xll.ICETimeline(_xll.ICEJoinRange(M4:W4),"DF[dow:12345][tl:Calendar]","2020-07-26;2024-07-26",469,-1)</f>
        <v>44694.5</v>
      </c>
      <c r="M582">
        <f>_xll.ICEHistory(M$4,M$5,"DF[dow:12345][tl:Calendar]",$L582)</f>
        <v>88.07</v>
      </c>
      <c r="N582">
        <f>_xll.ICEHistory(M$4,N$5,"DF[dow:12345][tl:Calendar]",$L582)</f>
        <v>90.5</v>
      </c>
      <c r="O582">
        <f>_xll.ICEHistory(M$4,O$5,"DF[dow:12345][tl:Calendar]",$L582)</f>
        <v>87.6</v>
      </c>
      <c r="P582">
        <f>_xll.ICEHistory(M$4,P$5,"DF[dow:12345][tl:Calendar]",$L582)</f>
        <v>88.48</v>
      </c>
      <c r="Q582">
        <f>_xll.ICEHistory(M$4,Q$5,"DF[dow:12345][tl:Calendar]",$L582)</f>
        <v>13904</v>
      </c>
      <c r="R582">
        <f>_xll.ICEHistory(M$4,R$5,"DF[dow:12345][tl:Calendar]",$L582)</f>
        <v>387018</v>
      </c>
      <c r="S582">
        <f>_xll.ICEHistory(S$4,S$5,"DF[dow:12345][tl:Calendar]",$L582)</f>
        <v>96.881</v>
      </c>
      <c r="T582">
        <f>_xll.ICEHistory(S$4,T$5,"DF[dow:12345][tl:Calendar]",$L582)</f>
        <v>96.881</v>
      </c>
      <c r="U582">
        <f>_xll.ICEHistory(S$4,U$5,"DF[dow:12345][tl:Calendar]",$L582)</f>
        <v>96.881</v>
      </c>
      <c r="V582">
        <f>_xll.ICEHistory(S$4,V$5,"DF[dow:12345][tl:Calendar]",$L582)</f>
        <v>96.881</v>
      </c>
      <c r="W582">
        <f>_xll.ICEHistory(S$4,W$5,"DF[dow:12345][tl:Calendar]",$L582)</f>
        <v>0</v>
      </c>
      <c r="X582">
        <f t="shared" si="24"/>
        <v>3.273876721607593E-2</v>
      </c>
      <c r="Y582">
        <f t="shared" si="25"/>
        <v>-0.5796394580958113</v>
      </c>
      <c r="Z582">
        <f t="shared" si="26"/>
        <v>-0.85691926414180519</v>
      </c>
    </row>
    <row r="583" spans="12:26" x14ac:dyDescent="0.25">
      <c r="L583" s="4">
        <f>_xll.ICETimeline(_xll.ICEJoinRange(M4:W4),"DF[dow:12345][tl:Calendar]","2020-07-26;2024-07-26",468,-1)</f>
        <v>44693.5</v>
      </c>
      <c r="M583">
        <f>_xll.ICEHistory(M$4,M$5,"DF[dow:12345][tl:Calendar]",$L583)</f>
        <v>88.58</v>
      </c>
      <c r="N583">
        <f>_xll.ICEHistory(M$4,N$5,"DF[dow:12345][tl:Calendar]",$L583)</f>
        <v>89.05</v>
      </c>
      <c r="O583">
        <f>_xll.ICEHistory(M$4,O$5,"DF[dow:12345][tl:Calendar]",$L583)</f>
        <v>86.71</v>
      </c>
      <c r="P583">
        <f>_xll.ICEHistory(M$4,P$5,"DF[dow:12345][tl:Calendar]",$L583)</f>
        <v>88.16</v>
      </c>
      <c r="Q583">
        <f>_xll.ICEHistory(M$4,Q$5,"DF[dow:12345][tl:Calendar]",$L583)</f>
        <v>22736</v>
      </c>
      <c r="R583">
        <f>_xll.ICEHistory(M$4,R$5,"DF[dow:12345][tl:Calendar]",$L583)</f>
        <v>387115</v>
      </c>
      <c r="S583">
        <f>_xll.ICEHistory(S$4,S$5,"DF[dow:12345][tl:Calendar]",$L583)</f>
        <v>106.70099999999999</v>
      </c>
      <c r="T583">
        <f>_xll.ICEHistory(S$4,T$5,"DF[dow:12345][tl:Calendar]",$L583)</f>
        <v>106.70099999999999</v>
      </c>
      <c r="U583">
        <f>_xll.ICEHistory(S$4,U$5,"DF[dow:12345][tl:Calendar]",$L583)</f>
        <v>106.70099999999999</v>
      </c>
      <c r="V583">
        <f>_xll.ICEHistory(S$4,V$5,"DF[dow:12345][tl:Calendar]",$L583)</f>
        <v>106.70099999999999</v>
      </c>
      <c r="W583">
        <f>_xll.ICEHistory(S$4,W$5,"DF[dow:12345][tl:Calendar]",$L583)</f>
        <v>0</v>
      </c>
      <c r="X583">
        <f t="shared" si="24"/>
        <v>2.6739801165581115E-2</v>
      </c>
      <c r="Y583">
        <f t="shared" si="25"/>
        <v>-0.73660216835205428</v>
      </c>
      <c r="Z583">
        <f t="shared" si="26"/>
        <v>-0.20444947772272856</v>
      </c>
    </row>
    <row r="584" spans="12:26" x14ac:dyDescent="0.25">
      <c r="L584" s="4">
        <f>_xll.ICETimeline(_xll.ICEJoinRange(M4:W4),"DF[dow:12345][tl:Calendar]","2020-07-26;2024-07-26",467,-1)</f>
        <v>44692.5</v>
      </c>
      <c r="M584">
        <f>_xll.ICEHistory(M$4,M$5,"DF[dow:12345][tl:Calendar]",$L584)</f>
        <v>87.51</v>
      </c>
      <c r="N584">
        <f>_xll.ICEHistory(M$4,N$5,"DF[dow:12345][tl:Calendar]",$L584)</f>
        <v>90.04</v>
      </c>
      <c r="O584">
        <f>_xll.ICEHistory(M$4,O$5,"DF[dow:12345][tl:Calendar]",$L584)</f>
        <v>81.900000000000006</v>
      </c>
      <c r="P584">
        <f>_xll.ICEHistory(M$4,P$5,"DF[dow:12345][tl:Calendar]",$L584)</f>
        <v>89.2</v>
      </c>
      <c r="Q584">
        <f>_xll.ICEHistory(M$4,Q$5,"DF[dow:12345][tl:Calendar]",$L584)</f>
        <v>30315</v>
      </c>
      <c r="R584">
        <f>_xll.ICEHistory(M$4,R$5,"DF[dow:12345][tl:Calendar]",$L584)</f>
        <v>388499</v>
      </c>
      <c r="S584">
        <f>_xll.ICEHistory(S$4,S$5,"DF[dow:12345][tl:Calendar]",$L584)</f>
        <v>94.012</v>
      </c>
      <c r="T584">
        <f>_xll.ICEHistory(S$4,T$5,"DF[dow:12345][tl:Calendar]",$L584)</f>
        <v>94.012</v>
      </c>
      <c r="U584">
        <f>_xll.ICEHistory(S$4,U$5,"DF[dow:12345][tl:Calendar]",$L584)</f>
        <v>94.012</v>
      </c>
      <c r="V584">
        <f>_xll.ICEHistory(S$4,V$5,"DF[dow:12345][tl:Calendar]",$L584)</f>
        <v>94.012</v>
      </c>
      <c r="W584">
        <f>_xll.ICEHistory(S$4,W$5,"DF[dow:12345][tl:Calendar]",$L584)</f>
        <v>0</v>
      </c>
      <c r="X584">
        <f t="shared" si="24"/>
        <v>9.3563218390804601E-2</v>
      </c>
      <c r="Y584">
        <f t="shared" si="25"/>
        <v>0.90473107326223501</v>
      </c>
      <c r="Z584">
        <f t="shared" si="26"/>
        <v>0.35772786468010498</v>
      </c>
    </row>
    <row r="585" spans="12:26" x14ac:dyDescent="0.25">
      <c r="L585" s="4">
        <f>_xll.ICETimeline(_xll.ICEJoinRange(M4:W4),"DF[dow:12345][tl:Calendar]","2020-07-26;2024-07-26",466,-1)</f>
        <v>44691.5</v>
      </c>
      <c r="M585">
        <f>_xll.ICEHistory(M$4,M$5,"DF[dow:12345][tl:Calendar]",$L585)</f>
        <v>87</v>
      </c>
      <c r="N585">
        <f>_xll.ICEHistory(M$4,N$5,"DF[dow:12345][tl:Calendar]",$L585)</f>
        <v>88.69</v>
      </c>
      <c r="O585">
        <f>_xll.ICEHistory(M$4,O$5,"DF[dow:12345][tl:Calendar]",$L585)</f>
        <v>85.75</v>
      </c>
      <c r="P585">
        <f>_xll.ICEHistory(M$4,P$5,"DF[dow:12345][tl:Calendar]",$L585)</f>
        <v>87.52</v>
      </c>
      <c r="Q585">
        <f>_xll.ICEHistory(M$4,Q$5,"DF[dow:12345][tl:Calendar]",$L585)</f>
        <v>20370</v>
      </c>
      <c r="R585">
        <f>_xll.ICEHistory(M$4,R$5,"DF[dow:12345][tl:Calendar]",$L585)</f>
        <v>389905</v>
      </c>
      <c r="S585">
        <f>_xll.ICEHistory(S$4,S$5,"DF[dow:12345][tl:Calendar]",$L585)</f>
        <v>98.801000000000002</v>
      </c>
      <c r="T585">
        <f>_xll.ICEHistory(S$4,T$5,"DF[dow:12345][tl:Calendar]",$L585)</f>
        <v>98.801000000000002</v>
      </c>
      <c r="U585">
        <f>_xll.ICEHistory(S$4,U$5,"DF[dow:12345][tl:Calendar]",$L585)</f>
        <v>98.801000000000002</v>
      </c>
      <c r="V585">
        <f>_xll.ICEHistory(S$4,V$5,"DF[dow:12345][tl:Calendar]",$L585)</f>
        <v>98.801000000000002</v>
      </c>
      <c r="W585">
        <f>_xll.ICEHistory(S$4,W$5,"DF[dow:12345][tl:Calendar]",$L585)</f>
        <v>0</v>
      </c>
      <c r="X585">
        <f t="shared" ref="X585:X648" si="27">IFERROR((N585-O585)/M586, "")</f>
        <v>3.2176863303053492E-2</v>
      </c>
      <c r="Y585">
        <f t="shared" ref="Y585:Y648" si="28">IFERROR((X585-AVERAGE(X585:X649))/_xlfn.STDEV.S(X585:X649),"")</f>
        <v>-0.60724960306331888</v>
      </c>
      <c r="Z585">
        <f t="shared" ref="Z585:Z648" si="29">IFERROR((Q585-AVERAGE(Q585:Q650))/_xlfn.STDEV.S(Q585:Q650),"")</f>
        <v>-0.39831366664065815</v>
      </c>
    </row>
    <row r="586" spans="12:26" x14ac:dyDescent="0.25">
      <c r="L586" s="4">
        <f>_xll.ICETimeline(_xll.ICEJoinRange(M4:W4),"DF[dow:12345][tl:Calendar]","2020-07-26;2024-07-26",465,-1)</f>
        <v>44690.5</v>
      </c>
      <c r="M586">
        <f>_xll.ICEHistory(M$4,M$5,"DF[dow:12345][tl:Calendar]",$L586)</f>
        <v>91.37</v>
      </c>
      <c r="N586">
        <f>_xll.ICEHistory(M$4,N$5,"DF[dow:12345][tl:Calendar]",$L586)</f>
        <v>92.22</v>
      </c>
      <c r="O586">
        <f>_xll.ICEHistory(M$4,O$5,"DF[dow:12345][tl:Calendar]",$L586)</f>
        <v>86.52</v>
      </c>
      <c r="P586">
        <f>_xll.ICEHistory(M$4,P$5,"DF[dow:12345][tl:Calendar]",$L586)</f>
        <v>86.88</v>
      </c>
      <c r="Q586">
        <f>_xll.ICEHistory(M$4,Q$5,"DF[dow:12345][tl:Calendar]",$L586)</f>
        <v>29898</v>
      </c>
      <c r="R586">
        <f>_xll.ICEHistory(M$4,R$5,"DF[dow:12345][tl:Calendar]",$L586)</f>
        <v>391324</v>
      </c>
      <c r="S586">
        <f>_xll.ICEHistory(S$4,S$5,"DF[dow:12345][tl:Calendar]",$L586)</f>
        <v>96.314999999999998</v>
      </c>
      <c r="T586">
        <f>_xll.ICEHistory(S$4,T$5,"DF[dow:12345][tl:Calendar]",$L586)</f>
        <v>96.314999999999998</v>
      </c>
      <c r="U586">
        <f>_xll.ICEHistory(S$4,U$5,"DF[dow:12345][tl:Calendar]",$L586)</f>
        <v>93.787000000000006</v>
      </c>
      <c r="V586">
        <f>_xll.ICEHistory(S$4,V$5,"DF[dow:12345][tl:Calendar]",$L586)</f>
        <v>93.787000000000006</v>
      </c>
      <c r="W586">
        <f>_xll.ICEHistory(S$4,W$5,"DF[dow:12345][tl:Calendar]",$L586)</f>
        <v>52</v>
      </c>
      <c r="X586">
        <f t="shared" si="27"/>
        <v>6.3851237817855983E-2</v>
      </c>
      <c r="Y586">
        <f t="shared" si="28"/>
        <v>0.17820074429575936</v>
      </c>
      <c r="Z586">
        <f t="shared" si="29"/>
        <v>0.32186890372851662</v>
      </c>
    </row>
    <row r="587" spans="12:26" x14ac:dyDescent="0.25">
      <c r="L587" s="4">
        <f>_xll.ICETimeline(_xll.ICEJoinRange(M4:W4),"DF[dow:12345][tl:Calendar]","2020-07-26;2024-07-26",464,-1)</f>
        <v>44687.5</v>
      </c>
      <c r="M587">
        <f>_xll.ICEHistory(M$4,M$5,"DF[dow:12345][tl:Calendar]",$L587)</f>
        <v>89.27</v>
      </c>
      <c r="N587">
        <f>_xll.ICEHistory(M$4,N$5,"DF[dow:12345][tl:Calendar]",$L587)</f>
        <v>92.45</v>
      </c>
      <c r="O587">
        <f>_xll.ICEHistory(M$4,O$5,"DF[dow:12345][tl:Calendar]",$L587)</f>
        <v>88.4</v>
      </c>
      <c r="P587">
        <f>_xll.ICEHistory(M$4,P$5,"DF[dow:12345][tl:Calendar]",$L587)</f>
        <v>91.78</v>
      </c>
      <c r="Q587">
        <f>_xll.ICEHistory(M$4,Q$5,"DF[dow:12345][tl:Calendar]",$L587)</f>
        <v>23558</v>
      </c>
      <c r="R587">
        <f>_xll.ICEHistory(M$4,R$5,"DF[dow:12345][tl:Calendar]",$L587)</f>
        <v>397205</v>
      </c>
      <c r="S587">
        <f>_xll.ICEHistory(S$4,S$5,"DF[dow:12345][tl:Calendar]",$L587)</f>
        <v>101.708</v>
      </c>
      <c r="T587">
        <f>_xll.ICEHistory(S$4,T$5,"DF[dow:12345][tl:Calendar]",$L587)</f>
        <v>101.708</v>
      </c>
      <c r="U587">
        <f>_xll.ICEHistory(S$4,U$5,"DF[dow:12345][tl:Calendar]",$L587)</f>
        <v>101.708</v>
      </c>
      <c r="V587">
        <f>_xll.ICEHistory(S$4,V$5,"DF[dow:12345][tl:Calendar]",$L587)</f>
        <v>101.708</v>
      </c>
      <c r="W587">
        <f>_xll.ICEHistory(S$4,W$5,"DF[dow:12345][tl:Calendar]",$L587)</f>
        <v>0</v>
      </c>
      <c r="X587">
        <f t="shared" si="27"/>
        <v>4.5659526493799292E-2</v>
      </c>
      <c r="Y587">
        <f t="shared" si="28"/>
        <v>-0.26077159647757897</v>
      </c>
      <c r="Z587">
        <f t="shared" si="29"/>
        <v>-0.15844041294088793</v>
      </c>
    </row>
    <row r="588" spans="12:26" x14ac:dyDescent="0.25">
      <c r="L588" s="4">
        <f>_xll.ICETimeline(_xll.ICEJoinRange(M4:W4),"DF[dow:12345][tl:Calendar]","2020-07-26;2024-07-26",463,-1)</f>
        <v>44686.5</v>
      </c>
      <c r="M588">
        <f>_xll.ICEHistory(M$4,M$5,"DF[dow:12345][tl:Calendar]",$L588)</f>
        <v>88.7</v>
      </c>
      <c r="N588">
        <f>_xll.ICEHistory(M$4,N$5,"DF[dow:12345][tl:Calendar]",$L588)</f>
        <v>91.99</v>
      </c>
      <c r="O588">
        <f>_xll.ICEHistory(M$4,O$5,"DF[dow:12345][tl:Calendar]",$L588)</f>
        <v>86.82</v>
      </c>
      <c r="P588">
        <f>_xll.ICEHistory(M$4,P$5,"DF[dow:12345][tl:Calendar]",$L588)</f>
        <v>88.99</v>
      </c>
      <c r="Q588">
        <f>_xll.ICEHistory(M$4,Q$5,"DF[dow:12345][tl:Calendar]",$L588)</f>
        <v>27929</v>
      </c>
      <c r="R588">
        <f>_xll.ICEHistory(M$4,R$5,"DF[dow:12345][tl:Calendar]",$L588)</f>
        <v>401809</v>
      </c>
      <c r="S588">
        <f>_xll.ICEHistory(S$4,S$5,"DF[dow:12345][tl:Calendar]",$L588)</f>
        <v>106.508</v>
      </c>
      <c r="T588">
        <f>_xll.ICEHistory(S$4,T$5,"DF[dow:12345][tl:Calendar]",$L588)</f>
        <v>106.508</v>
      </c>
      <c r="U588">
        <f>_xll.ICEHistory(S$4,U$5,"DF[dow:12345][tl:Calendar]",$L588)</f>
        <v>106.508</v>
      </c>
      <c r="V588">
        <f>_xll.ICEHistory(S$4,V$5,"DF[dow:12345][tl:Calendar]",$L588)</f>
        <v>106.508</v>
      </c>
      <c r="W588">
        <f>_xll.ICEHistory(S$4,W$5,"DF[dow:12345][tl:Calendar]",$L588)</f>
        <v>0</v>
      </c>
      <c r="X588">
        <f t="shared" si="27"/>
        <v>5.8650028360748736E-2</v>
      </c>
      <c r="Y588">
        <f t="shared" si="28"/>
        <v>6.5748375585998692E-2</v>
      </c>
      <c r="Z588">
        <f t="shared" si="29"/>
        <v>0.17605512492850364</v>
      </c>
    </row>
    <row r="589" spans="12:26" x14ac:dyDescent="0.25">
      <c r="L589" s="4">
        <f>_xll.ICETimeline(_xll.ICEJoinRange(M4:W4),"DF[dow:12345][tl:Calendar]","2020-07-26;2024-07-26",462,-1)</f>
        <v>44685.5</v>
      </c>
      <c r="M589">
        <f>_xll.ICEHistory(M$4,M$5,"DF[dow:12345][tl:Calendar]",$L589)</f>
        <v>88.15</v>
      </c>
      <c r="N589">
        <f>_xll.ICEHistory(M$4,N$5,"DF[dow:12345][tl:Calendar]",$L589)</f>
        <v>89.32</v>
      </c>
      <c r="O589">
        <f>_xll.ICEHistory(M$4,O$5,"DF[dow:12345][tl:Calendar]",$L589)</f>
        <v>85.97</v>
      </c>
      <c r="P589">
        <f>_xll.ICEHistory(M$4,P$5,"DF[dow:12345][tl:Calendar]",$L589)</f>
        <v>87.94</v>
      </c>
      <c r="Q589">
        <f>_xll.ICEHistory(M$4,Q$5,"DF[dow:12345][tl:Calendar]",$L589)</f>
        <v>24449</v>
      </c>
      <c r="R589">
        <f>_xll.ICEHistory(M$4,R$5,"DF[dow:12345][tl:Calendar]",$L589)</f>
        <v>399770</v>
      </c>
      <c r="S589">
        <f>_xll.ICEHistory(S$4,S$5,"DF[dow:12345][tl:Calendar]",$L589)</f>
        <v>103.821</v>
      </c>
      <c r="T589">
        <f>_xll.ICEHistory(S$4,T$5,"DF[dow:12345][tl:Calendar]",$L589)</f>
        <v>103.821</v>
      </c>
      <c r="U589">
        <f>_xll.ICEHistory(S$4,U$5,"DF[dow:12345][tl:Calendar]",$L589)</f>
        <v>103.821</v>
      </c>
      <c r="V589">
        <f>_xll.ICEHistory(S$4,V$5,"DF[dow:12345][tl:Calendar]",$L589)</f>
        <v>103.821</v>
      </c>
      <c r="W589">
        <f>_xll.ICEHistory(S$4,W$5,"DF[dow:12345][tl:Calendar]",$L589)</f>
        <v>0</v>
      </c>
      <c r="X589">
        <f t="shared" si="27"/>
        <v>4.0216086434573764E-2</v>
      </c>
      <c r="Y589">
        <f t="shared" si="28"/>
        <v>-0.3729747306699468</v>
      </c>
      <c r="Z589">
        <f t="shared" si="29"/>
        <v>-0.10225108996448787</v>
      </c>
    </row>
    <row r="590" spans="12:26" x14ac:dyDescent="0.25">
      <c r="L590" s="4">
        <f>_xll.ICETimeline(_xll.ICEJoinRange(M4:W4),"DF[dow:12345][tl:Calendar]","2020-07-26;2024-07-26",461,-1)</f>
        <v>44684.5</v>
      </c>
      <c r="M590">
        <f>_xll.ICEHistory(M$4,M$5,"DF[dow:12345][tl:Calendar]",$L590)</f>
        <v>83.3</v>
      </c>
      <c r="N590">
        <f>_xll.ICEHistory(M$4,N$5,"DF[dow:12345][tl:Calendar]",$L590)</f>
        <v>89.06</v>
      </c>
      <c r="O590">
        <f>_xll.ICEHistory(M$4,O$5,"DF[dow:12345][tl:Calendar]",$L590)</f>
        <v>82.72</v>
      </c>
      <c r="P590">
        <f>_xll.ICEHistory(M$4,P$5,"DF[dow:12345][tl:Calendar]",$L590)</f>
        <v>88.45</v>
      </c>
      <c r="Q590">
        <f>_xll.ICEHistory(M$4,Q$5,"DF[dow:12345][tl:Calendar]",$L590)</f>
        <v>23528</v>
      </c>
      <c r="R590">
        <f>_xll.ICEHistory(M$4,R$5,"DF[dow:12345][tl:Calendar]",$L590)</f>
        <v>401521</v>
      </c>
      <c r="S590">
        <f>_xll.ICEHistory(S$4,S$5,"DF[dow:12345][tl:Calendar]",$L590)</f>
        <v>99.426000000000002</v>
      </c>
      <c r="T590">
        <f>_xll.ICEHistory(S$4,T$5,"DF[dow:12345][tl:Calendar]",$L590)</f>
        <v>99.426000000000002</v>
      </c>
      <c r="U590">
        <f>_xll.ICEHistory(S$4,U$5,"DF[dow:12345][tl:Calendar]",$L590)</f>
        <v>99.426000000000002</v>
      </c>
      <c r="V590">
        <f>_xll.ICEHistory(S$4,V$5,"DF[dow:12345][tl:Calendar]",$L590)</f>
        <v>99.426000000000002</v>
      </c>
      <c r="W590">
        <f>_xll.ICEHistory(S$4,W$5,"DF[dow:12345][tl:Calendar]",$L590)</f>
        <v>0</v>
      </c>
      <c r="X590">
        <f t="shared" si="27"/>
        <v>7.5846393109223628E-2</v>
      </c>
      <c r="Y590">
        <f t="shared" si="28"/>
        <v>0.49678810003947965</v>
      </c>
      <c r="Z590">
        <f t="shared" si="29"/>
        <v>-0.16924251568829213</v>
      </c>
    </row>
    <row r="591" spans="12:26" x14ac:dyDescent="0.25">
      <c r="L591" s="4">
        <f>_xll.ICETimeline(_xll.ICEJoinRange(M4:W4),"DF[dow:12345][tl:Calendar]","2020-07-26;2024-07-26",460,-1)</f>
        <v>44683.5</v>
      </c>
      <c r="M591">
        <f>_xll.ICEHistory(M$4,M$5,"DF[dow:12345][tl:Calendar]",$L591)</f>
        <v>83.59</v>
      </c>
      <c r="N591">
        <f>_xll.ICEHistory(M$4,N$5,"DF[dow:12345][tl:Calendar]",$L591)</f>
        <v>84.9</v>
      </c>
      <c r="O591">
        <f>_xll.ICEHistory(M$4,O$5,"DF[dow:12345][tl:Calendar]",$L591)</f>
        <v>82.44</v>
      </c>
      <c r="P591">
        <f>_xll.ICEHistory(M$4,P$5,"DF[dow:12345][tl:Calendar]",$L591)</f>
        <v>83.08</v>
      </c>
      <c r="Q591">
        <f>_xll.ICEHistory(M$4,Q$5,"DF[dow:12345][tl:Calendar]",$L591)</f>
        <v>10836</v>
      </c>
      <c r="R591">
        <f>_xll.ICEHistory(M$4,R$5,"DF[dow:12345][tl:Calendar]",$L591)</f>
        <v>400641</v>
      </c>
      <c r="S591">
        <f>_xll.ICEHistory(S$4,S$5,"DF[dow:12345][tl:Calendar]",$L591)</f>
        <v>97.051000000000002</v>
      </c>
      <c r="T591">
        <f>_xll.ICEHistory(S$4,T$5,"DF[dow:12345][tl:Calendar]",$L591)</f>
        <v>97.051000000000002</v>
      </c>
      <c r="U591">
        <f>_xll.ICEHistory(S$4,U$5,"DF[dow:12345][tl:Calendar]",$L591)</f>
        <v>97.051000000000002</v>
      </c>
      <c r="V591">
        <f>_xll.ICEHistory(S$4,V$5,"DF[dow:12345][tl:Calendar]",$L591)</f>
        <v>97.051000000000002</v>
      </c>
      <c r="W591">
        <f>_xll.ICEHistory(S$4,W$5,"DF[dow:12345][tl:Calendar]",$L591)</f>
        <v>0</v>
      </c>
      <c r="X591">
        <f t="shared" si="27"/>
        <v>2.964927082077869E-2</v>
      </c>
      <c r="Y591">
        <f t="shared" si="28"/>
        <v>-0.62176164540190715</v>
      </c>
      <c r="Z591">
        <f t="shared" si="29"/>
        <v>-1.1165795795962161</v>
      </c>
    </row>
    <row r="592" spans="12:26" x14ac:dyDescent="0.25">
      <c r="L592" s="4">
        <f>_xll.ICETimeline(_xll.ICEJoinRange(M4:W4),"DF[dow:12345][tl:Calendar]","2020-07-26;2024-07-26",459,-1)</f>
        <v>44680.5</v>
      </c>
      <c r="M592">
        <f>_xll.ICEHistory(M$4,M$5,"DF[dow:12345][tl:Calendar]",$L592)</f>
        <v>82.97</v>
      </c>
      <c r="N592">
        <f>_xll.ICEHistory(M$4,N$5,"DF[dow:12345][tl:Calendar]",$L592)</f>
        <v>85.84</v>
      </c>
      <c r="O592">
        <f>_xll.ICEHistory(M$4,O$5,"DF[dow:12345][tl:Calendar]",$L592)</f>
        <v>82.29</v>
      </c>
      <c r="P592">
        <f>_xll.ICEHistory(M$4,P$5,"DF[dow:12345][tl:Calendar]",$L592)</f>
        <v>83.75</v>
      </c>
      <c r="Q592">
        <f>_xll.ICEHistory(M$4,Q$5,"DF[dow:12345][tl:Calendar]",$L592)</f>
        <v>16070</v>
      </c>
      <c r="R592">
        <f>_xll.ICEHistory(M$4,R$5,"DF[dow:12345][tl:Calendar]",$L592)</f>
        <v>399864</v>
      </c>
      <c r="S592">
        <f>_xll.ICEHistory(S$4,S$5,"DF[dow:12345][tl:Calendar]",$L592)</f>
        <v>99.45</v>
      </c>
      <c r="T592">
        <f>_xll.ICEHistory(S$4,T$5,"DF[dow:12345][tl:Calendar]",$L592)</f>
        <v>99.45</v>
      </c>
      <c r="U592">
        <f>_xll.ICEHistory(S$4,U$5,"DF[dow:12345][tl:Calendar]",$L592)</f>
        <v>99.45</v>
      </c>
      <c r="V592">
        <f>_xll.ICEHistory(S$4,V$5,"DF[dow:12345][tl:Calendar]",$L592)</f>
        <v>99.45</v>
      </c>
      <c r="W592">
        <f>_xll.ICEHistory(S$4,W$5,"DF[dow:12345][tl:Calendar]",$L592)</f>
        <v>0</v>
      </c>
      <c r="X592">
        <f t="shared" si="27"/>
        <v>4.3568973981345079E-2</v>
      </c>
      <c r="Y592">
        <f t="shared" si="28"/>
        <v>-0.27567322293308744</v>
      </c>
      <c r="Z592">
        <f t="shared" si="29"/>
        <v>-0.73903398387808128</v>
      </c>
    </row>
    <row r="593" spans="12:26" x14ac:dyDescent="0.25">
      <c r="L593" s="4">
        <f>_xll.ICETimeline(_xll.ICEJoinRange(M4:W4),"DF[dow:12345][tl:Calendar]","2020-07-26;2024-07-26",458,-1)</f>
        <v>44679.5</v>
      </c>
      <c r="M593">
        <f>_xll.ICEHistory(M$4,M$5,"DF[dow:12345][tl:Calendar]",$L593)</f>
        <v>81.48</v>
      </c>
      <c r="N593">
        <f>_xll.ICEHistory(M$4,N$5,"DF[dow:12345][tl:Calendar]",$L593)</f>
        <v>83.67</v>
      </c>
      <c r="O593">
        <f>_xll.ICEHistory(M$4,O$5,"DF[dow:12345][tl:Calendar]",$L593)</f>
        <v>79.900000000000006</v>
      </c>
      <c r="P593">
        <f>_xll.ICEHistory(M$4,P$5,"DF[dow:12345][tl:Calendar]",$L593)</f>
        <v>83.52</v>
      </c>
      <c r="Q593">
        <f>_xll.ICEHistory(M$4,Q$5,"DF[dow:12345][tl:Calendar]",$L593)</f>
        <v>20232</v>
      </c>
      <c r="R593">
        <f>_xll.ICEHistory(M$4,R$5,"DF[dow:12345][tl:Calendar]",$L593)</f>
        <v>399178</v>
      </c>
      <c r="S593">
        <f>_xll.ICEHistory(S$4,S$5,"DF[dow:12345][tl:Calendar]",$L593)</f>
        <v>100.142</v>
      </c>
      <c r="T593">
        <f>_xll.ICEHistory(S$4,T$5,"DF[dow:12345][tl:Calendar]",$L593)</f>
        <v>100.142</v>
      </c>
      <c r="U593">
        <f>_xll.ICEHistory(S$4,U$5,"DF[dow:12345][tl:Calendar]",$L593)</f>
        <v>100.142</v>
      </c>
      <c r="V593">
        <f>_xll.ICEHistory(S$4,V$5,"DF[dow:12345][tl:Calendar]",$L593)</f>
        <v>100.142</v>
      </c>
      <c r="W593">
        <f>_xll.ICEHistory(S$4,W$5,"DF[dow:12345][tl:Calendar]",$L593)</f>
        <v>0</v>
      </c>
      <c r="X593">
        <f t="shared" si="27"/>
        <v>4.6399999999999948E-2</v>
      </c>
      <c r="Y593">
        <f t="shared" si="28"/>
        <v>-0.19637074265673929</v>
      </c>
      <c r="Z593">
        <f t="shared" si="29"/>
        <v>-0.43150069452084755</v>
      </c>
    </row>
    <row r="594" spans="12:26" x14ac:dyDescent="0.25">
      <c r="L594" s="4">
        <f>_xll.ICETimeline(_xll.ICEJoinRange(M4:W4),"DF[dow:12345][tl:Calendar]","2020-07-26;2024-07-26",457,-1)</f>
        <v>44678.5</v>
      </c>
      <c r="M594">
        <f>_xll.ICEHistory(M$4,M$5,"DF[dow:12345][tl:Calendar]",$L594)</f>
        <v>81.25</v>
      </c>
      <c r="N594">
        <f>_xll.ICEHistory(M$4,N$5,"DF[dow:12345][tl:Calendar]",$L594)</f>
        <v>81.94</v>
      </c>
      <c r="O594">
        <f>_xll.ICEHistory(M$4,O$5,"DF[dow:12345][tl:Calendar]",$L594)</f>
        <v>78.8</v>
      </c>
      <c r="P594">
        <f>_xll.ICEHistory(M$4,P$5,"DF[dow:12345][tl:Calendar]",$L594)</f>
        <v>81.239999999999995</v>
      </c>
      <c r="Q594">
        <f>_xll.ICEHistory(M$4,Q$5,"DF[dow:12345][tl:Calendar]",$L594)</f>
        <v>22303</v>
      </c>
      <c r="R594">
        <f>_xll.ICEHistory(M$4,R$5,"DF[dow:12345][tl:Calendar]",$L594)</f>
        <v>397810</v>
      </c>
      <c r="S594">
        <f>_xll.ICEHistory(S$4,S$5,"DF[dow:12345][tl:Calendar]",$L594)</f>
        <v>107.42700000000001</v>
      </c>
      <c r="T594">
        <f>_xll.ICEHistory(S$4,T$5,"DF[dow:12345][tl:Calendar]",$L594)</f>
        <v>107.42700000000001</v>
      </c>
      <c r="U594">
        <f>_xll.ICEHistory(S$4,U$5,"DF[dow:12345][tl:Calendar]",$L594)</f>
        <v>107.42700000000001</v>
      </c>
      <c r="V594">
        <f>_xll.ICEHistory(S$4,V$5,"DF[dow:12345][tl:Calendar]",$L594)</f>
        <v>107.42700000000001</v>
      </c>
      <c r="W594">
        <f>_xll.ICEHistory(S$4,W$5,"DF[dow:12345][tl:Calendar]",$L594)</f>
        <v>0</v>
      </c>
      <c r="X594">
        <f t="shared" si="27"/>
        <v>3.7124615748403887E-2</v>
      </c>
      <c r="Y594">
        <f t="shared" si="28"/>
        <v>-0.41225228626484844</v>
      </c>
      <c r="Z594">
        <f t="shared" si="29"/>
        <v>-0.28326750083113755</v>
      </c>
    </row>
    <row r="595" spans="12:26" x14ac:dyDescent="0.25">
      <c r="L595" s="4">
        <f>_xll.ICETimeline(_xll.ICEJoinRange(M4:W4),"DF[dow:12345][tl:Calendar]","2020-07-26;2024-07-26",456,-1)</f>
        <v>44677.5</v>
      </c>
      <c r="M595">
        <f>_xll.ICEHistory(M$4,M$5,"DF[dow:12345][tl:Calendar]",$L595)</f>
        <v>84.58</v>
      </c>
      <c r="N595">
        <f>_xll.ICEHistory(M$4,N$5,"DF[dow:12345][tl:Calendar]",$L595)</f>
        <v>85.25</v>
      </c>
      <c r="O595">
        <f>_xll.ICEHistory(M$4,O$5,"DF[dow:12345][tl:Calendar]",$L595)</f>
        <v>81.95</v>
      </c>
      <c r="P595">
        <f>_xll.ICEHistory(M$4,P$5,"DF[dow:12345][tl:Calendar]",$L595)</f>
        <v>82</v>
      </c>
      <c r="Q595">
        <f>_xll.ICEHistory(M$4,Q$5,"DF[dow:12345][tl:Calendar]",$L595)</f>
        <v>22845</v>
      </c>
      <c r="R595">
        <f>_xll.ICEHistory(M$4,R$5,"DF[dow:12345][tl:Calendar]",$L595)</f>
        <v>396815</v>
      </c>
      <c r="S595">
        <f>_xll.ICEHistory(S$4,S$5,"DF[dow:12345][tl:Calendar]",$L595)</f>
        <v>103.208</v>
      </c>
      <c r="T595">
        <f>_xll.ICEHistory(S$4,T$5,"DF[dow:12345][tl:Calendar]",$L595)</f>
        <v>103.208</v>
      </c>
      <c r="U595">
        <f>_xll.ICEHistory(S$4,U$5,"DF[dow:12345][tl:Calendar]",$L595)</f>
        <v>103.208</v>
      </c>
      <c r="V595">
        <f>_xll.ICEHistory(S$4,V$5,"DF[dow:12345][tl:Calendar]",$L595)</f>
        <v>103.208</v>
      </c>
      <c r="W595">
        <f>_xll.ICEHistory(S$4,W$5,"DF[dow:12345][tl:Calendar]",$L595)</f>
        <v>0</v>
      </c>
      <c r="X595">
        <f t="shared" si="27"/>
        <v>3.7461686911113602E-2</v>
      </c>
      <c r="Y595">
        <f t="shared" si="28"/>
        <v>-0.40529772435819</v>
      </c>
      <c r="Z595">
        <f t="shared" si="29"/>
        <v>-0.24886707388582424</v>
      </c>
    </row>
    <row r="596" spans="12:26" x14ac:dyDescent="0.25">
      <c r="L596" s="4">
        <f>_xll.ICETimeline(_xll.ICEJoinRange(M4:W4),"DF[dow:12345][tl:Calendar]","2020-07-26;2024-07-26",455,-1)</f>
        <v>44676.5</v>
      </c>
      <c r="M596">
        <f>_xll.ICEHistory(M$4,M$5,"DF[dow:12345][tl:Calendar]",$L596)</f>
        <v>88.09</v>
      </c>
      <c r="N596">
        <f>_xll.ICEHistory(M$4,N$5,"DF[dow:12345][tl:Calendar]",$L596)</f>
        <v>88.32</v>
      </c>
      <c r="O596">
        <f>_xll.ICEHistory(M$4,O$5,"DF[dow:12345][tl:Calendar]",$L596)</f>
        <v>82.3</v>
      </c>
      <c r="P596">
        <f>_xll.ICEHistory(M$4,P$5,"DF[dow:12345][tl:Calendar]",$L596)</f>
        <v>83.79</v>
      </c>
      <c r="Q596">
        <f>_xll.ICEHistory(M$4,Q$5,"DF[dow:12345][tl:Calendar]",$L596)</f>
        <v>24044</v>
      </c>
      <c r="R596">
        <f>_xll.ICEHistory(M$4,R$5,"DF[dow:12345][tl:Calendar]",$L596)</f>
        <v>398069</v>
      </c>
      <c r="S596">
        <f>_xll.ICEHistory(S$4,S$5,"DF[dow:12345][tl:Calendar]",$L596)</f>
        <v>92.837000000000003</v>
      </c>
      <c r="T596">
        <f>_xll.ICEHistory(S$4,T$5,"DF[dow:12345][tl:Calendar]",$L596)</f>
        <v>92.837000000000003</v>
      </c>
      <c r="U596">
        <f>_xll.ICEHistory(S$4,U$5,"DF[dow:12345][tl:Calendar]",$L596)</f>
        <v>92.837000000000003</v>
      </c>
      <c r="V596">
        <f>_xll.ICEHistory(S$4,V$5,"DF[dow:12345][tl:Calendar]",$L596)</f>
        <v>92.837000000000003</v>
      </c>
      <c r="W596">
        <f>_xll.ICEHistory(S$4,W$5,"DF[dow:12345][tl:Calendar]",$L596)</f>
        <v>0</v>
      </c>
      <c r="X596">
        <f t="shared" si="27"/>
        <v>7.0008140481451292E-2</v>
      </c>
      <c r="Y596">
        <f t="shared" si="28"/>
        <v>0.38003792298453953</v>
      </c>
      <c r="Z596">
        <f t="shared" si="29"/>
        <v>-0.16196572045963559</v>
      </c>
    </row>
    <row r="597" spans="12:26" x14ac:dyDescent="0.25">
      <c r="L597" s="4">
        <f>_xll.ICETimeline(_xll.ICEJoinRange(M4:W4),"DF[dow:12345][tl:Calendar]","2020-07-26;2024-07-26",454,-1)</f>
        <v>44673.5</v>
      </c>
      <c r="M597">
        <f>_xll.ICEHistory(M$4,M$5,"DF[dow:12345][tl:Calendar]",$L597)</f>
        <v>85.99</v>
      </c>
      <c r="N597">
        <f>_xll.ICEHistory(M$4,N$5,"DF[dow:12345][tl:Calendar]",$L597)</f>
        <v>89.89</v>
      </c>
      <c r="O597">
        <f>_xll.ICEHistory(M$4,O$5,"DF[dow:12345][tl:Calendar]",$L597)</f>
        <v>85.75</v>
      </c>
      <c r="P597">
        <f>_xll.ICEHistory(M$4,P$5,"DF[dow:12345][tl:Calendar]",$L597)</f>
        <v>88.87</v>
      </c>
      <c r="Q597">
        <f>_xll.ICEHistory(M$4,Q$5,"DF[dow:12345][tl:Calendar]",$L597)</f>
        <v>22329</v>
      </c>
      <c r="R597">
        <f>_xll.ICEHistory(M$4,R$5,"DF[dow:12345][tl:Calendar]",$L597)</f>
        <v>397717</v>
      </c>
      <c r="S597">
        <f>_xll.ICEHistory(S$4,S$5,"DF[dow:12345][tl:Calendar]",$L597)</f>
        <v>94.875</v>
      </c>
      <c r="T597">
        <f>_xll.ICEHistory(S$4,T$5,"DF[dow:12345][tl:Calendar]",$L597)</f>
        <v>94.875</v>
      </c>
      <c r="U597">
        <f>_xll.ICEHistory(S$4,U$5,"DF[dow:12345][tl:Calendar]",$L597)</f>
        <v>94.875</v>
      </c>
      <c r="V597">
        <f>_xll.ICEHistory(S$4,V$5,"DF[dow:12345][tl:Calendar]",$L597)</f>
        <v>94.875</v>
      </c>
      <c r="W597">
        <f>_xll.ICEHistory(S$4,W$5,"DF[dow:12345][tl:Calendar]",$L597)</f>
        <v>0</v>
      </c>
      <c r="X597">
        <f t="shared" si="27"/>
        <v>4.7861271676300582E-2</v>
      </c>
      <c r="Y597">
        <f t="shared" si="28"/>
        <v>-0.14762884411434343</v>
      </c>
      <c r="Z597">
        <f t="shared" si="29"/>
        <v>-0.2878285031162795</v>
      </c>
    </row>
    <row r="598" spans="12:26" x14ac:dyDescent="0.25">
      <c r="L598" s="4">
        <f>_xll.ICETimeline(_xll.ICEJoinRange(M4:W4),"DF[dow:12345][tl:Calendar]","2020-07-26;2024-07-26",453,-1)</f>
        <v>44672.5</v>
      </c>
      <c r="M598">
        <f>_xll.ICEHistory(M$4,M$5,"DF[dow:12345][tl:Calendar]",$L598)</f>
        <v>86.5</v>
      </c>
      <c r="N598">
        <f>_xll.ICEHistory(M$4,N$5,"DF[dow:12345][tl:Calendar]",$L598)</f>
        <v>87.69</v>
      </c>
      <c r="O598">
        <f>_xll.ICEHistory(M$4,O$5,"DF[dow:12345][tl:Calendar]",$L598)</f>
        <v>85.58</v>
      </c>
      <c r="P598">
        <f>_xll.ICEHistory(M$4,P$5,"DF[dow:12345][tl:Calendar]",$L598)</f>
        <v>86.56</v>
      </c>
      <c r="Q598">
        <f>_xll.ICEHistory(M$4,Q$5,"DF[dow:12345][tl:Calendar]",$L598)</f>
        <v>14749</v>
      </c>
      <c r="R598">
        <f>_xll.ICEHistory(M$4,R$5,"DF[dow:12345][tl:Calendar]",$L598)</f>
        <v>395473</v>
      </c>
      <c r="S598">
        <f>_xll.ICEHistory(S$4,S$5,"DF[dow:12345][tl:Calendar]",$L598)</f>
        <v>100.06100000000001</v>
      </c>
      <c r="T598">
        <f>_xll.ICEHistory(S$4,T$5,"DF[dow:12345][tl:Calendar]",$L598)</f>
        <v>100.06100000000001</v>
      </c>
      <c r="U598">
        <f>_xll.ICEHistory(S$4,U$5,"DF[dow:12345][tl:Calendar]",$L598)</f>
        <v>100.06100000000001</v>
      </c>
      <c r="V598">
        <f>_xll.ICEHistory(S$4,V$5,"DF[dow:12345][tl:Calendar]",$L598)</f>
        <v>100.06100000000001</v>
      </c>
      <c r="W598">
        <f>_xll.ICEHistory(S$4,W$5,"DF[dow:12345][tl:Calendar]",$L598)</f>
        <v>0</v>
      </c>
      <c r="X598">
        <f t="shared" si="27"/>
        <v>2.6230730979612128E-2</v>
      </c>
      <c r="Y598">
        <f t="shared" si="28"/>
        <v>-0.66520373232873919</v>
      </c>
      <c r="Z598">
        <f t="shared" si="29"/>
        <v>-0.87477851087031344</v>
      </c>
    </row>
    <row r="599" spans="12:26" x14ac:dyDescent="0.25">
      <c r="L599" s="4">
        <f>_xll.ICETimeline(_xll.ICEJoinRange(M4:W4),"DF[dow:12345][tl:Calendar]","2020-07-26;2024-07-26",452,-1)</f>
        <v>44671.5</v>
      </c>
      <c r="M599">
        <f>_xll.ICEHistory(M$4,M$5,"DF[dow:12345][tl:Calendar]",$L599)</f>
        <v>80.44</v>
      </c>
      <c r="N599">
        <f>_xll.ICEHistory(M$4,N$5,"DF[dow:12345][tl:Calendar]",$L599)</f>
        <v>88.5</v>
      </c>
      <c r="O599">
        <f>_xll.ICEHistory(M$4,O$5,"DF[dow:12345][tl:Calendar]",$L599)</f>
        <v>79.790000000000006</v>
      </c>
      <c r="P599">
        <f>_xll.ICEHistory(M$4,P$5,"DF[dow:12345][tl:Calendar]",$L599)</f>
        <v>86.85</v>
      </c>
      <c r="Q599">
        <f>_xll.ICEHistory(M$4,Q$5,"DF[dow:12345][tl:Calendar]",$L599)</f>
        <v>30563</v>
      </c>
      <c r="R599">
        <f>_xll.ICEHistory(M$4,R$5,"DF[dow:12345][tl:Calendar]",$L599)</f>
        <v>395269</v>
      </c>
      <c r="S599">
        <f>_xll.ICEHistory(S$4,S$5,"DF[dow:12345][tl:Calendar]",$L599)</f>
        <v>96.75</v>
      </c>
      <c r="T599">
        <f>_xll.ICEHistory(S$4,T$5,"DF[dow:12345][tl:Calendar]",$L599)</f>
        <v>96.75</v>
      </c>
      <c r="U599">
        <f>_xll.ICEHistory(S$4,U$5,"DF[dow:12345][tl:Calendar]",$L599)</f>
        <v>94.230999999999995</v>
      </c>
      <c r="V599">
        <f>_xll.ICEHistory(S$4,V$5,"DF[dow:12345][tl:Calendar]",$L599)</f>
        <v>94.230999999999995</v>
      </c>
      <c r="W599">
        <f>_xll.ICEHistory(S$4,W$5,"DF[dow:12345][tl:Calendar]",$L599)</f>
        <v>1</v>
      </c>
      <c r="X599">
        <f t="shared" si="27"/>
        <v>0.10868480159720481</v>
      </c>
      <c r="Y599">
        <f t="shared" si="28"/>
        <v>1.3249970475988699</v>
      </c>
      <c r="Z599">
        <f t="shared" si="29"/>
        <v>0.31047370675164082</v>
      </c>
    </row>
    <row r="600" spans="12:26" x14ac:dyDescent="0.25">
      <c r="L600" s="4">
        <f>_xll.ICETimeline(_xll.ICEJoinRange(M4:W4),"DF[dow:12345][tl:Calendar]","2020-07-26;2024-07-26",451,-1)</f>
        <v>44670.5</v>
      </c>
      <c r="M600">
        <f>_xll.ICEHistory(M$4,M$5,"DF[dow:12345][tl:Calendar]",$L600)</f>
        <v>80.14</v>
      </c>
      <c r="N600">
        <f>_xll.ICEHistory(M$4,N$5,"DF[dow:12345][tl:Calendar]",$L600)</f>
        <v>80.95</v>
      </c>
      <c r="O600">
        <f>_xll.ICEHistory(M$4,O$5,"DF[dow:12345][tl:Calendar]",$L600)</f>
        <v>79.52</v>
      </c>
      <c r="P600">
        <f>_xll.ICEHistory(M$4,P$5,"DF[dow:12345][tl:Calendar]",$L600)</f>
        <v>80.150000000000006</v>
      </c>
      <c r="Q600">
        <f>_xll.ICEHistory(M$4,Q$5,"DF[dow:12345][tl:Calendar]",$L600)</f>
        <v>18375</v>
      </c>
      <c r="R600">
        <f>_xll.ICEHistory(M$4,R$5,"DF[dow:12345][tl:Calendar]",$L600)</f>
        <v>394827</v>
      </c>
      <c r="S600">
        <f>_xll.ICEHistory(S$4,S$5,"DF[dow:12345][tl:Calendar]",$L600)</f>
        <v>93.768000000000001</v>
      </c>
      <c r="T600">
        <f>_xll.ICEHistory(S$4,T$5,"DF[dow:12345][tl:Calendar]",$L600)</f>
        <v>93.768000000000001</v>
      </c>
      <c r="U600">
        <f>_xll.ICEHistory(S$4,U$5,"DF[dow:12345][tl:Calendar]",$L600)</f>
        <v>93.768000000000001</v>
      </c>
      <c r="V600">
        <f>_xll.ICEHistory(S$4,V$5,"DF[dow:12345][tl:Calendar]",$L600)</f>
        <v>93.768000000000001</v>
      </c>
      <c r="W600">
        <f>_xll.ICEHistory(S$4,W$5,"DF[dow:12345][tl:Calendar]",$L600)</f>
        <v>0</v>
      </c>
      <c r="X600">
        <f t="shared" si="27"/>
        <v>1.8480227448953307E-2</v>
      </c>
      <c r="Y600">
        <f t="shared" si="28"/>
        <v>-0.84789527128732445</v>
      </c>
      <c r="Z600">
        <f t="shared" si="29"/>
        <v>-0.62921495907757519</v>
      </c>
    </row>
    <row r="601" spans="12:26" x14ac:dyDescent="0.25">
      <c r="L601" s="4">
        <f>_xll.ICETimeline(_xll.ICEJoinRange(M4:W4),"DF[dow:12345][tl:Calendar]","2020-07-26;2024-07-26",450,-1)</f>
        <v>44669.5</v>
      </c>
      <c r="M601">
        <f>_xll.ICEHistory(M$4,M$5,"DF[dow:12345][tl:Calendar]",$L601)</f>
        <v>77.38</v>
      </c>
      <c r="N601">
        <f>_xll.ICEHistory(M$4,N$5,"DF[dow:12345][tl:Calendar]",$L601)</f>
        <v>80.25</v>
      </c>
      <c r="O601">
        <f>_xll.ICEHistory(M$4,O$5,"DF[dow:12345][tl:Calendar]",$L601)</f>
        <v>77.38</v>
      </c>
      <c r="P601">
        <f>_xll.ICEHistory(M$4,P$5,"DF[dow:12345][tl:Calendar]",$L601)</f>
        <v>79.86</v>
      </c>
      <c r="Q601">
        <f>_xll.ICEHistory(M$4,Q$5,"DF[dow:12345][tl:Calendar]",$L601)</f>
        <v>0</v>
      </c>
      <c r="R601">
        <f>_xll.ICEHistory(M$4,R$5,"DF[dow:12345][tl:Calendar]",$L601)</f>
        <v>0</v>
      </c>
      <c r="S601">
        <f>_xll.ICEHistory(S$4,S$5,"DF[dow:12345][tl:Calendar]",$L601)</f>
        <v>95.62</v>
      </c>
      <c r="T601">
        <f>_xll.ICEHistory(S$4,T$5,"DF[dow:12345][tl:Calendar]",$L601)</f>
        <v>95.62</v>
      </c>
      <c r="U601">
        <f>_xll.ICEHistory(S$4,U$5,"DF[dow:12345][tl:Calendar]",$L601)</f>
        <v>95.62</v>
      </c>
      <c r="V601">
        <f>_xll.ICEHistory(S$4,V$5,"DF[dow:12345][tl:Calendar]",$L601)</f>
        <v>95.62</v>
      </c>
      <c r="W601">
        <f>_xll.ICEHistory(S$4,W$5,"DF[dow:12345][tl:Calendar]",$L601)</f>
        <v>0</v>
      </c>
      <c r="X601">
        <f t="shared" si="27"/>
        <v>3.7089687257689387E-2</v>
      </c>
      <c r="Y601">
        <f t="shared" si="28"/>
        <v>-0.40366453490652066</v>
      </c>
      <c r="Z601">
        <f t="shared" si="29"/>
        <v>-2.0041652024891787</v>
      </c>
    </row>
    <row r="602" spans="12:26" x14ac:dyDescent="0.25">
      <c r="L602" s="4">
        <f>_xll.ICETimeline(_xll.ICEJoinRange(M4:W4),"DF[dow:12345][tl:Calendar]","2020-07-26;2024-07-26",449,-1)</f>
        <v>44666.5</v>
      </c>
      <c r="M602">
        <f>_xll.ICEHistory(M$4,M$5,"DF[dow:12345][tl:Calendar]",$L602)</f>
        <v>77.38</v>
      </c>
      <c r="N602">
        <f>_xll.ICEHistory(M$4,N$5,"DF[dow:12345][tl:Calendar]",$L602)</f>
        <v>80.25</v>
      </c>
      <c r="O602">
        <f>_xll.ICEHistory(M$4,O$5,"DF[dow:12345][tl:Calendar]",$L602)</f>
        <v>77.38</v>
      </c>
      <c r="P602">
        <f>_xll.ICEHistory(M$4,P$5,"DF[dow:12345][tl:Calendar]",$L602)</f>
        <v>79.86</v>
      </c>
      <c r="Q602">
        <f>_xll.ICEHistory(M$4,Q$5,"DF[dow:12345][tl:Calendar]",$L602)</f>
        <v>0</v>
      </c>
      <c r="R602">
        <f>_xll.ICEHistory(M$4,R$5,"DF[dow:12345][tl:Calendar]",$L602)</f>
        <v>0</v>
      </c>
      <c r="S602">
        <f>_xll.ICEHistory(S$4,S$5,"DF[dow:12345][tl:Calendar]",$L602)</f>
        <v>95.62</v>
      </c>
      <c r="T602">
        <f>_xll.ICEHistory(S$4,T$5,"DF[dow:12345][tl:Calendar]",$L602)</f>
        <v>95.62</v>
      </c>
      <c r="U602">
        <f>_xll.ICEHistory(S$4,U$5,"DF[dow:12345][tl:Calendar]",$L602)</f>
        <v>95.62</v>
      </c>
      <c r="V602">
        <f>_xll.ICEHistory(S$4,V$5,"DF[dow:12345][tl:Calendar]",$L602)</f>
        <v>95.62</v>
      </c>
      <c r="W602">
        <f>_xll.ICEHistory(S$4,W$5,"DF[dow:12345][tl:Calendar]",$L602)</f>
        <v>0</v>
      </c>
      <c r="X602">
        <f t="shared" si="27"/>
        <v>3.7089687257689387E-2</v>
      </c>
      <c r="Y602">
        <f t="shared" si="28"/>
        <v>-0.40272033182346434</v>
      </c>
      <c r="Z602">
        <f t="shared" si="29"/>
        <v>-2.0990254983066476</v>
      </c>
    </row>
    <row r="603" spans="12:26" x14ac:dyDescent="0.25">
      <c r="L603" s="4">
        <f>_xll.ICETimeline(_xll.ICEJoinRange(M4:W4),"DF[dow:12345][tl:Calendar]","2020-07-26;2024-07-26",448,-1)</f>
        <v>44665.5</v>
      </c>
      <c r="M603">
        <f>_xll.ICEHistory(M$4,M$5,"DF[dow:12345][tl:Calendar]",$L603)</f>
        <v>77.38</v>
      </c>
      <c r="N603">
        <f>_xll.ICEHistory(M$4,N$5,"DF[dow:12345][tl:Calendar]",$L603)</f>
        <v>80.25</v>
      </c>
      <c r="O603">
        <f>_xll.ICEHistory(M$4,O$5,"DF[dow:12345][tl:Calendar]",$L603)</f>
        <v>77.38</v>
      </c>
      <c r="P603">
        <f>_xll.ICEHistory(M$4,P$5,"DF[dow:12345][tl:Calendar]",$L603)</f>
        <v>79.86</v>
      </c>
      <c r="Q603">
        <f>_xll.ICEHistory(M$4,Q$5,"DF[dow:12345][tl:Calendar]",$L603)</f>
        <v>15284</v>
      </c>
      <c r="R603">
        <f>_xll.ICEHistory(M$4,R$5,"DF[dow:12345][tl:Calendar]",$L603)</f>
        <v>392123</v>
      </c>
      <c r="S603">
        <f>_xll.ICEHistory(S$4,S$5,"DF[dow:12345][tl:Calendar]",$L603)</f>
        <v>95.62</v>
      </c>
      <c r="T603">
        <f>_xll.ICEHistory(S$4,T$5,"DF[dow:12345][tl:Calendar]",$L603)</f>
        <v>95.62</v>
      </c>
      <c r="U603">
        <f>_xll.ICEHistory(S$4,U$5,"DF[dow:12345][tl:Calendar]",$L603)</f>
        <v>95.62</v>
      </c>
      <c r="V603">
        <f>_xll.ICEHistory(S$4,V$5,"DF[dow:12345][tl:Calendar]",$L603)</f>
        <v>95.62</v>
      </c>
      <c r="W603">
        <f>_xll.ICEHistory(S$4,W$5,"DF[dow:12345][tl:Calendar]",$L603)</f>
        <v>0</v>
      </c>
      <c r="X603">
        <f t="shared" si="27"/>
        <v>3.6251105216622517E-2</v>
      </c>
      <c r="Y603">
        <f t="shared" si="28"/>
        <v>-0.41926586640968616</v>
      </c>
      <c r="Z603">
        <f t="shared" si="29"/>
        <v>-0.97767791562913109</v>
      </c>
    </row>
    <row r="604" spans="12:26" x14ac:dyDescent="0.25">
      <c r="L604" s="4">
        <f>_xll.ICETimeline(_xll.ICEJoinRange(M4:W4),"DF[dow:12345][tl:Calendar]","2020-07-26;2024-07-26",447,-1)</f>
        <v>44664.5</v>
      </c>
      <c r="M604">
        <f>_xll.ICEHistory(M$4,M$5,"DF[dow:12345][tl:Calendar]",$L604)</f>
        <v>79.17</v>
      </c>
      <c r="N604">
        <f>_xll.ICEHistory(M$4,N$5,"DF[dow:12345][tl:Calendar]",$L604)</f>
        <v>79.17</v>
      </c>
      <c r="O604">
        <f>_xll.ICEHistory(M$4,O$5,"DF[dow:12345][tl:Calendar]",$L604)</f>
        <v>77.23</v>
      </c>
      <c r="P604">
        <f>_xll.ICEHistory(M$4,P$5,"DF[dow:12345][tl:Calendar]",$L604)</f>
        <v>77.900000000000006</v>
      </c>
      <c r="Q604">
        <f>_xll.ICEHistory(M$4,Q$5,"DF[dow:12345][tl:Calendar]",$L604)</f>
        <v>15193</v>
      </c>
      <c r="R604">
        <f>_xll.ICEHistory(M$4,R$5,"DF[dow:12345][tl:Calendar]",$L604)</f>
        <v>391807</v>
      </c>
      <c r="S604">
        <f>_xll.ICEHistory(S$4,S$5,"DF[dow:12345][tl:Calendar]",$L604)</f>
        <v>105.324</v>
      </c>
      <c r="T604">
        <f>_xll.ICEHistory(S$4,T$5,"DF[dow:12345][tl:Calendar]",$L604)</f>
        <v>105.324</v>
      </c>
      <c r="U604">
        <f>_xll.ICEHistory(S$4,U$5,"DF[dow:12345][tl:Calendar]",$L604)</f>
        <v>105.324</v>
      </c>
      <c r="V604">
        <f>_xll.ICEHistory(S$4,V$5,"DF[dow:12345][tl:Calendar]",$L604)</f>
        <v>105.324</v>
      </c>
      <c r="W604">
        <f>_xll.ICEHistory(S$4,W$5,"DF[dow:12345][tl:Calendar]",$L604)</f>
        <v>0</v>
      </c>
      <c r="X604">
        <f t="shared" si="27"/>
        <v>2.498390212491948E-2</v>
      </c>
      <c r="Y604">
        <f t="shared" si="28"/>
        <v>-0.70220123741292251</v>
      </c>
      <c r="Z604">
        <f t="shared" si="29"/>
        <v>-0.99566469157090576</v>
      </c>
    </row>
    <row r="605" spans="12:26" x14ac:dyDescent="0.25">
      <c r="L605" s="4">
        <f>_xll.ICETimeline(_xll.ICEJoinRange(M4:W4),"DF[dow:12345][tl:Calendar]","2020-07-26;2024-07-26",446,-1)</f>
        <v>44663.5</v>
      </c>
      <c r="M605">
        <f>_xll.ICEHistory(M$4,M$5,"DF[dow:12345][tl:Calendar]",$L605)</f>
        <v>77.650000000000006</v>
      </c>
      <c r="N605">
        <f>_xll.ICEHistory(M$4,N$5,"DF[dow:12345][tl:Calendar]",$L605)</f>
        <v>79.290000000000006</v>
      </c>
      <c r="O605">
        <f>_xll.ICEHistory(M$4,O$5,"DF[dow:12345][tl:Calendar]",$L605)</f>
        <v>76.849999999999994</v>
      </c>
      <c r="P605">
        <f>_xll.ICEHistory(M$4,P$5,"DF[dow:12345][tl:Calendar]",$L605)</f>
        <v>78.900000000000006</v>
      </c>
      <c r="Q605">
        <f>_xll.ICEHistory(M$4,Q$5,"DF[dow:12345][tl:Calendar]",$L605)</f>
        <v>16031</v>
      </c>
      <c r="R605">
        <f>_xll.ICEHistory(M$4,R$5,"DF[dow:12345][tl:Calendar]",$L605)</f>
        <v>392375</v>
      </c>
      <c r="S605">
        <f>_xll.ICEHistory(S$4,S$5,"DF[dow:12345][tl:Calendar]",$L605)</f>
        <v>103.75</v>
      </c>
      <c r="T605">
        <f>_xll.ICEHistory(S$4,T$5,"DF[dow:12345][tl:Calendar]",$L605)</f>
        <v>103.75</v>
      </c>
      <c r="U605">
        <f>_xll.ICEHistory(S$4,U$5,"DF[dow:12345][tl:Calendar]",$L605)</f>
        <v>102.21899999999999</v>
      </c>
      <c r="V605">
        <f>_xll.ICEHistory(S$4,V$5,"DF[dow:12345][tl:Calendar]",$L605)</f>
        <v>102.21899999999999</v>
      </c>
      <c r="W605">
        <f>_xll.ICEHistory(S$4,W$5,"DF[dow:12345][tl:Calendar]",$L605)</f>
        <v>1</v>
      </c>
      <c r="X605">
        <f t="shared" si="27"/>
        <v>3.0595611285266607E-2</v>
      </c>
      <c r="Y605">
        <f t="shared" si="28"/>
        <v>-0.57537426774302791</v>
      </c>
      <c r="Z605">
        <f t="shared" si="29"/>
        <v>-0.94470001008356008</v>
      </c>
    </row>
    <row r="606" spans="12:26" x14ac:dyDescent="0.25">
      <c r="L606" s="4">
        <f>_xll.ICETimeline(_xll.ICEJoinRange(M4:W4),"DF[dow:12345][tl:Calendar]","2020-07-26;2024-07-26",445,-1)</f>
        <v>44662.5</v>
      </c>
      <c r="M606">
        <f>_xll.ICEHistory(M$4,M$5,"DF[dow:12345][tl:Calendar]",$L606)</f>
        <v>79.75</v>
      </c>
      <c r="N606">
        <f>_xll.ICEHistory(M$4,N$5,"DF[dow:12345][tl:Calendar]",$L606)</f>
        <v>80.16</v>
      </c>
      <c r="O606">
        <f>_xll.ICEHistory(M$4,O$5,"DF[dow:12345][tl:Calendar]",$L606)</f>
        <v>77.55</v>
      </c>
      <c r="P606">
        <f>_xll.ICEHistory(M$4,P$5,"DF[dow:12345][tl:Calendar]",$L606)</f>
        <v>77.78</v>
      </c>
      <c r="Q606">
        <f>_xll.ICEHistory(M$4,Q$5,"DF[dow:12345][tl:Calendar]",$L606)</f>
        <v>16219</v>
      </c>
      <c r="R606">
        <f>_xll.ICEHistory(M$4,R$5,"DF[dow:12345][tl:Calendar]",$L606)</f>
        <v>391603</v>
      </c>
      <c r="S606">
        <f>_xll.ICEHistory(S$4,S$5,"DF[dow:12345][tl:Calendar]",$L606)</f>
        <v>100.137</v>
      </c>
      <c r="T606">
        <f>_xll.ICEHistory(S$4,T$5,"DF[dow:12345][tl:Calendar]",$L606)</f>
        <v>100.137</v>
      </c>
      <c r="U606">
        <f>_xll.ICEHistory(S$4,U$5,"DF[dow:12345][tl:Calendar]",$L606)</f>
        <v>100.137</v>
      </c>
      <c r="V606">
        <f>_xll.ICEHistory(S$4,V$5,"DF[dow:12345][tl:Calendar]",$L606)</f>
        <v>100.137</v>
      </c>
      <c r="W606">
        <f>_xll.ICEHistory(S$4,W$5,"DF[dow:12345][tl:Calendar]",$L606)</f>
        <v>0</v>
      </c>
      <c r="X606">
        <f t="shared" si="27"/>
        <v>3.2776591736782615E-2</v>
      </c>
      <c r="Y606">
        <f t="shared" si="28"/>
        <v>-0.53014695221470987</v>
      </c>
      <c r="Z606">
        <f t="shared" si="29"/>
        <v>-0.95399438645679346</v>
      </c>
    </row>
    <row r="607" spans="12:26" x14ac:dyDescent="0.25">
      <c r="L607" s="4">
        <f>_xll.ICETimeline(_xll.ICEJoinRange(M4:W4),"DF[dow:12345][tl:Calendar]","2020-07-26;2024-07-26",444,-1)</f>
        <v>44659.5</v>
      </c>
      <c r="M607">
        <f>_xll.ICEHistory(M$4,M$5,"DF[dow:12345][tl:Calendar]",$L607)</f>
        <v>79.63</v>
      </c>
      <c r="N607">
        <f>_xll.ICEHistory(M$4,N$5,"DF[dow:12345][tl:Calendar]",$L607)</f>
        <v>80.98</v>
      </c>
      <c r="O607">
        <f>_xll.ICEHistory(M$4,O$5,"DF[dow:12345][tl:Calendar]",$L607)</f>
        <v>79.510000000000005</v>
      </c>
      <c r="P607">
        <f>_xll.ICEHistory(M$4,P$5,"DF[dow:12345][tl:Calendar]",$L607)</f>
        <v>79.92</v>
      </c>
      <c r="Q607">
        <f>_xll.ICEHistory(M$4,Q$5,"DF[dow:12345][tl:Calendar]",$L607)</f>
        <v>13930</v>
      </c>
      <c r="R607">
        <f>_xll.ICEHistory(M$4,R$5,"DF[dow:12345][tl:Calendar]",$L607)</f>
        <v>391997</v>
      </c>
      <c r="S607">
        <f>_xll.ICEHistory(S$4,S$5,"DF[dow:12345][tl:Calendar]",$L607)</f>
        <v>103.88200000000001</v>
      </c>
      <c r="T607">
        <f>_xll.ICEHistory(S$4,T$5,"DF[dow:12345][tl:Calendar]",$L607)</f>
        <v>103.88200000000001</v>
      </c>
      <c r="U607">
        <f>_xll.ICEHistory(S$4,U$5,"DF[dow:12345][tl:Calendar]",$L607)</f>
        <v>103.88200000000001</v>
      </c>
      <c r="V607">
        <f>_xll.ICEHistory(S$4,V$5,"DF[dow:12345][tl:Calendar]",$L607)</f>
        <v>103.88200000000001</v>
      </c>
      <c r="W607">
        <f>_xll.ICEHistory(S$4,W$5,"DF[dow:12345][tl:Calendar]",$L607)</f>
        <v>0</v>
      </c>
      <c r="X607">
        <f t="shared" si="27"/>
        <v>1.9048853181288052E-2</v>
      </c>
      <c r="Y607">
        <f t="shared" si="28"/>
        <v>-0.88924629553273848</v>
      </c>
      <c r="Z607">
        <f t="shared" si="29"/>
        <v>-1.1401751817828898</v>
      </c>
    </row>
    <row r="608" spans="12:26" x14ac:dyDescent="0.25">
      <c r="L608" s="4">
        <f>_xll.ICETimeline(_xll.ICEJoinRange(M4:W4),"DF[dow:12345][tl:Calendar]","2020-07-26;2024-07-26",443,-1)</f>
        <v>44658.5</v>
      </c>
      <c r="M608">
        <f>_xll.ICEHistory(M$4,M$5,"DF[dow:12345][tl:Calendar]",$L608)</f>
        <v>77.17</v>
      </c>
      <c r="N608">
        <f>_xll.ICEHistory(M$4,N$5,"DF[dow:12345][tl:Calendar]",$L608)</f>
        <v>80.400000000000006</v>
      </c>
      <c r="O608">
        <f>_xll.ICEHistory(M$4,O$5,"DF[dow:12345][tl:Calendar]",$L608)</f>
        <v>76.34</v>
      </c>
      <c r="P608">
        <f>_xll.ICEHistory(M$4,P$5,"DF[dow:12345][tl:Calendar]",$L608)</f>
        <v>79.930000000000007</v>
      </c>
      <c r="Q608">
        <f>_xll.ICEHistory(M$4,Q$5,"DF[dow:12345][tl:Calendar]",$L608)</f>
        <v>19504</v>
      </c>
      <c r="R608">
        <f>_xll.ICEHistory(M$4,R$5,"DF[dow:12345][tl:Calendar]",$L608)</f>
        <v>392640</v>
      </c>
      <c r="S608">
        <f>_xll.ICEHistory(S$4,S$5,"DF[dow:12345][tl:Calendar]",$L608)</f>
        <v>104.56399999999999</v>
      </c>
      <c r="T608">
        <f>_xll.ICEHistory(S$4,T$5,"DF[dow:12345][tl:Calendar]",$L608)</f>
        <v>104.56399999999999</v>
      </c>
      <c r="U608">
        <f>_xll.ICEHistory(S$4,U$5,"DF[dow:12345][tl:Calendar]",$L608)</f>
        <v>104.56399999999999</v>
      </c>
      <c r="V608">
        <f>_xll.ICEHistory(S$4,V$5,"DF[dow:12345][tl:Calendar]",$L608)</f>
        <v>104.56399999999999</v>
      </c>
      <c r="W608">
        <f>_xll.ICEHistory(S$4,W$5,"DF[dow:12345][tl:Calendar]",$L608)</f>
        <v>0</v>
      </c>
      <c r="X608">
        <f t="shared" si="27"/>
        <v>5.2044609665427538E-2</v>
      </c>
      <c r="Y608">
        <f t="shared" si="28"/>
        <v>-7.3490028505077937E-2</v>
      </c>
      <c r="Z608">
        <f t="shared" si="29"/>
        <v>-0.68333676786425768</v>
      </c>
    </row>
    <row r="609" spans="12:26" x14ac:dyDescent="0.25">
      <c r="L609" s="4">
        <f>_xll.ICETimeline(_xll.ICEJoinRange(M4:W4),"DF[dow:12345][tl:Calendar]","2020-07-26;2024-07-26",442,-1)</f>
        <v>44657.5</v>
      </c>
      <c r="M609">
        <f>_xll.ICEHistory(M$4,M$5,"DF[dow:12345][tl:Calendar]",$L609)</f>
        <v>78.010000000000005</v>
      </c>
      <c r="N609">
        <f>_xll.ICEHistory(M$4,N$5,"DF[dow:12345][tl:Calendar]",$L609)</f>
        <v>79.56</v>
      </c>
      <c r="O609">
        <f>_xll.ICEHistory(M$4,O$5,"DF[dow:12345][tl:Calendar]",$L609)</f>
        <v>76.709999999999994</v>
      </c>
      <c r="P609">
        <f>_xll.ICEHistory(M$4,P$5,"DF[dow:12345][tl:Calendar]",$L609)</f>
        <v>77.3</v>
      </c>
      <c r="Q609">
        <f>_xll.ICEHistory(M$4,Q$5,"DF[dow:12345][tl:Calendar]",$L609)</f>
        <v>19737</v>
      </c>
      <c r="R609">
        <f>_xll.ICEHistory(M$4,R$5,"DF[dow:12345][tl:Calendar]",$L609)</f>
        <v>390565</v>
      </c>
      <c r="S609">
        <f>_xll.ICEHistory(S$4,S$5,"DF[dow:12345][tl:Calendar]",$L609)</f>
        <v>106.791</v>
      </c>
      <c r="T609">
        <f>_xll.ICEHistory(S$4,T$5,"DF[dow:12345][tl:Calendar]",$L609)</f>
        <v>106.791</v>
      </c>
      <c r="U609">
        <f>_xll.ICEHistory(S$4,U$5,"DF[dow:12345][tl:Calendar]",$L609)</f>
        <v>106.791</v>
      </c>
      <c r="V609">
        <f>_xll.ICEHistory(S$4,V$5,"DF[dow:12345][tl:Calendar]",$L609)</f>
        <v>106.791</v>
      </c>
      <c r="W609">
        <f>_xll.ICEHistory(S$4,W$5,"DF[dow:12345][tl:Calendar]",$L609)</f>
        <v>0</v>
      </c>
      <c r="X609">
        <f t="shared" si="27"/>
        <v>3.6185881157948303E-2</v>
      </c>
      <c r="Y609">
        <f t="shared" si="28"/>
        <v>-0.45780481349117591</v>
      </c>
      <c r="Z609">
        <f t="shared" si="29"/>
        <v>-0.66632021896706994</v>
      </c>
    </row>
    <row r="610" spans="12:26" x14ac:dyDescent="0.25">
      <c r="L610" s="4">
        <f>_xll.ICETimeline(_xll.ICEJoinRange(M4:W4),"DF[dow:12345][tl:Calendar]","2020-07-26;2024-07-26",441,-1)</f>
        <v>44656.5</v>
      </c>
      <c r="M610">
        <f>_xll.ICEHistory(M$4,M$5,"DF[dow:12345][tl:Calendar]",$L610)</f>
        <v>78.760000000000005</v>
      </c>
      <c r="N610">
        <f>_xll.ICEHistory(M$4,N$5,"DF[dow:12345][tl:Calendar]",$L610)</f>
        <v>78.94</v>
      </c>
      <c r="O610">
        <f>_xll.ICEHistory(M$4,O$5,"DF[dow:12345][tl:Calendar]",$L610)</f>
        <v>77.44</v>
      </c>
      <c r="P610">
        <f>_xll.ICEHistory(M$4,P$5,"DF[dow:12345][tl:Calendar]",$L610)</f>
        <v>78.3</v>
      </c>
      <c r="Q610">
        <f>_xll.ICEHistory(M$4,Q$5,"DF[dow:12345][tl:Calendar]",$L610)</f>
        <v>17897</v>
      </c>
      <c r="R610">
        <f>_xll.ICEHistory(M$4,R$5,"DF[dow:12345][tl:Calendar]",$L610)</f>
        <v>393249</v>
      </c>
      <c r="S610">
        <f>_xll.ICEHistory(S$4,S$5,"DF[dow:12345][tl:Calendar]",$L610)</f>
        <v>108.14</v>
      </c>
      <c r="T610">
        <f>_xll.ICEHistory(S$4,T$5,"DF[dow:12345][tl:Calendar]",$L610)</f>
        <v>108.56399999999999</v>
      </c>
      <c r="U610">
        <f>_xll.ICEHistory(S$4,U$5,"DF[dow:12345][tl:Calendar]",$L610)</f>
        <v>108.14</v>
      </c>
      <c r="V610">
        <f>_xll.ICEHistory(S$4,V$5,"DF[dow:12345][tl:Calendar]",$L610)</f>
        <v>108.56399999999999</v>
      </c>
      <c r="W610">
        <f>_xll.ICEHistory(S$4,W$5,"DF[dow:12345][tl:Calendar]",$L610)</f>
        <v>4</v>
      </c>
      <c r="X610">
        <f t="shared" si="27"/>
        <v>1.917668115571465E-2</v>
      </c>
      <c r="Y610">
        <f t="shared" si="28"/>
        <v>-0.88130670619742091</v>
      </c>
      <c r="Z610">
        <f t="shared" si="29"/>
        <v>-0.81230748414542309</v>
      </c>
    </row>
    <row r="611" spans="12:26" x14ac:dyDescent="0.25">
      <c r="L611" s="4">
        <f>_xll.ICETimeline(_xll.ICEJoinRange(M4:W4),"DF[dow:12345][tl:Calendar]","2020-07-26;2024-07-26",440,-1)</f>
        <v>44655.5</v>
      </c>
      <c r="M611">
        <f>_xll.ICEHistory(M$4,M$5,"DF[dow:12345][tl:Calendar]",$L611)</f>
        <v>78.22</v>
      </c>
      <c r="N611">
        <f>_xll.ICEHistory(M$4,N$5,"DF[dow:12345][tl:Calendar]",$L611)</f>
        <v>79.400000000000006</v>
      </c>
      <c r="O611">
        <f>_xll.ICEHistory(M$4,O$5,"DF[dow:12345][tl:Calendar]",$L611)</f>
        <v>77.14</v>
      </c>
      <c r="P611">
        <f>_xll.ICEHistory(M$4,P$5,"DF[dow:12345][tl:Calendar]",$L611)</f>
        <v>78.91</v>
      </c>
      <c r="Q611">
        <f>_xll.ICEHistory(M$4,Q$5,"DF[dow:12345][tl:Calendar]",$L611)</f>
        <v>15607</v>
      </c>
      <c r="R611">
        <f>_xll.ICEHistory(M$4,R$5,"DF[dow:12345][tl:Calendar]",$L611)</f>
        <v>394078</v>
      </c>
      <c r="S611">
        <f>_xll.ICEHistory(S$4,S$5,"DF[dow:12345][tl:Calendar]",$L611)</f>
        <v>109.523</v>
      </c>
      <c r="T611">
        <f>_xll.ICEHistory(S$4,T$5,"DF[dow:12345][tl:Calendar]",$L611)</f>
        <v>109.523</v>
      </c>
      <c r="U611">
        <f>_xll.ICEHistory(S$4,U$5,"DF[dow:12345][tl:Calendar]",$L611)</f>
        <v>109.523</v>
      </c>
      <c r="V611">
        <f>_xll.ICEHistory(S$4,V$5,"DF[dow:12345][tl:Calendar]",$L611)</f>
        <v>109.523</v>
      </c>
      <c r="W611">
        <f>_xll.ICEHistory(S$4,W$5,"DF[dow:12345][tl:Calendar]",$L611)</f>
        <v>5</v>
      </c>
      <c r="X611">
        <f t="shared" si="27"/>
        <v>2.9350649350649419E-2</v>
      </c>
      <c r="Y611">
        <f t="shared" si="28"/>
        <v>-0.63875227095056653</v>
      </c>
      <c r="Z611">
        <f t="shared" si="29"/>
        <v>-0.97840829350881064</v>
      </c>
    </row>
    <row r="612" spans="12:26" x14ac:dyDescent="0.25">
      <c r="L612" s="4">
        <f>_xll.ICETimeline(_xll.ICEJoinRange(M4:W4),"DF[dow:12345][tl:Calendar]","2020-07-26;2024-07-26",439,-1)</f>
        <v>44652.5</v>
      </c>
      <c r="M612">
        <f>_xll.ICEHistory(M$4,M$5,"DF[dow:12345][tl:Calendar]",$L612)</f>
        <v>77</v>
      </c>
      <c r="N612">
        <f>_xll.ICEHistory(M$4,N$5,"DF[dow:12345][tl:Calendar]",$L612)</f>
        <v>79.88</v>
      </c>
      <c r="O612">
        <f>_xll.ICEHistory(M$4,O$5,"DF[dow:12345][tl:Calendar]",$L612)</f>
        <v>76.34</v>
      </c>
      <c r="P612">
        <f>_xll.ICEHistory(M$4,P$5,"DF[dow:12345][tl:Calendar]",$L612)</f>
        <v>78.3</v>
      </c>
      <c r="Q612">
        <f>_xll.ICEHistory(M$4,Q$5,"DF[dow:12345][tl:Calendar]",$L612)</f>
        <v>16907</v>
      </c>
      <c r="R612">
        <f>_xll.ICEHistory(M$4,R$5,"DF[dow:12345][tl:Calendar]",$L612)</f>
        <v>393481</v>
      </c>
      <c r="S612">
        <f>_xll.ICEHistory(S$4,S$5,"DF[dow:12345][tl:Calendar]",$L612)</f>
        <v>114.75</v>
      </c>
      <c r="T612">
        <f>_xll.ICEHistory(S$4,T$5,"DF[dow:12345][tl:Calendar]",$L612)</f>
        <v>114.75</v>
      </c>
      <c r="U612">
        <f>_xll.ICEHistory(S$4,U$5,"DF[dow:12345][tl:Calendar]",$L612)</f>
        <v>112.15</v>
      </c>
      <c r="V612">
        <f>_xll.ICEHistory(S$4,V$5,"DF[dow:12345][tl:Calendar]",$L612)</f>
        <v>112.15</v>
      </c>
      <c r="W612">
        <f>_xll.ICEHistory(S$4,W$5,"DF[dow:12345][tl:Calendar]",$L612)</f>
        <v>26</v>
      </c>
      <c r="X612">
        <f t="shared" si="27"/>
        <v>4.5089797478028174E-2</v>
      </c>
      <c r="Y612">
        <f t="shared" si="28"/>
        <v>-0.25789220173435584</v>
      </c>
      <c r="Z612">
        <f t="shared" si="29"/>
        <v>-0.84108411891664825</v>
      </c>
    </row>
    <row r="613" spans="12:26" x14ac:dyDescent="0.25">
      <c r="L613" s="4">
        <f>_xll.ICETimeline(_xll.ICEJoinRange(M4:W4),"DF[dow:12345][tl:Calendar]","2020-07-26;2024-07-26",438,-1)</f>
        <v>44651.5</v>
      </c>
      <c r="M613">
        <f>_xll.ICEHistory(M$4,M$5,"DF[dow:12345][tl:Calendar]",$L613)</f>
        <v>78.510000000000005</v>
      </c>
      <c r="N613">
        <f>_xll.ICEHistory(M$4,N$5,"DF[dow:12345][tl:Calendar]",$L613)</f>
        <v>80.5</v>
      </c>
      <c r="O613">
        <f>_xll.ICEHistory(M$4,O$5,"DF[dow:12345][tl:Calendar]",$L613)</f>
        <v>75.349999999999994</v>
      </c>
      <c r="P613">
        <f>_xll.ICEHistory(M$4,P$5,"DF[dow:12345][tl:Calendar]",$L613)</f>
        <v>77.12</v>
      </c>
      <c r="Q613">
        <f>_xll.ICEHistory(M$4,Q$5,"DF[dow:12345][tl:Calendar]",$L613)</f>
        <v>35658</v>
      </c>
      <c r="R613">
        <f>_xll.ICEHistory(M$4,R$5,"DF[dow:12345][tl:Calendar]",$L613)</f>
        <v>392901</v>
      </c>
      <c r="S613">
        <f>_xll.ICEHistory(S$4,S$5,"DF[dow:12345][tl:Calendar]",$L613)</f>
        <v>125.90600000000001</v>
      </c>
      <c r="T613">
        <f>_xll.ICEHistory(S$4,T$5,"DF[dow:12345][tl:Calendar]",$L613)</f>
        <v>125.90600000000001</v>
      </c>
      <c r="U613">
        <f>_xll.ICEHistory(S$4,U$5,"DF[dow:12345][tl:Calendar]",$L613)</f>
        <v>125.90600000000001</v>
      </c>
      <c r="V613">
        <f>_xll.ICEHistory(S$4,V$5,"DF[dow:12345][tl:Calendar]",$L613)</f>
        <v>125.90600000000001</v>
      </c>
      <c r="W613">
        <f>_xll.ICEHistory(S$4,W$5,"DF[dow:12345][tl:Calendar]",$L613)</f>
        <v>0</v>
      </c>
      <c r="X613">
        <f t="shared" si="27"/>
        <v>6.3541024059222781E-2</v>
      </c>
      <c r="Y613">
        <f t="shared" si="28"/>
        <v>0.21185402154275404</v>
      </c>
      <c r="Z613">
        <f t="shared" si="29"/>
        <v>0.6427011478251089</v>
      </c>
    </row>
    <row r="614" spans="12:26" x14ac:dyDescent="0.25">
      <c r="L614" s="4">
        <f>_xll.ICETimeline(_xll.ICEJoinRange(M4:W4),"DF[dow:12345][tl:Calendar]","2020-07-26;2024-07-26",437,-1)</f>
        <v>44650.5</v>
      </c>
      <c r="M614">
        <f>_xll.ICEHistory(M$4,M$5,"DF[dow:12345][tl:Calendar]",$L614)</f>
        <v>81.05</v>
      </c>
      <c r="N614">
        <f>_xll.ICEHistory(M$4,N$5,"DF[dow:12345][tl:Calendar]",$L614)</f>
        <v>81.62</v>
      </c>
      <c r="O614">
        <f>_xll.ICEHistory(M$4,O$5,"DF[dow:12345][tl:Calendar]",$L614)</f>
        <v>76.8</v>
      </c>
      <c r="P614">
        <f>_xll.ICEHistory(M$4,P$5,"DF[dow:12345][tl:Calendar]",$L614)</f>
        <v>78.62</v>
      </c>
      <c r="Q614">
        <f>_xll.ICEHistory(M$4,Q$5,"DF[dow:12345][tl:Calendar]",$L614)</f>
        <v>37766</v>
      </c>
      <c r="R614">
        <f>_xll.ICEHistory(M$4,R$5,"DF[dow:12345][tl:Calendar]",$L614)</f>
        <v>394496</v>
      </c>
      <c r="S614">
        <f>_xll.ICEHistory(S$4,S$5,"DF[dow:12345][tl:Calendar]",$L614)</f>
        <v>118.97</v>
      </c>
      <c r="T614">
        <f>_xll.ICEHistory(S$4,T$5,"DF[dow:12345][tl:Calendar]",$L614)</f>
        <v>118.97</v>
      </c>
      <c r="U614">
        <f>_xll.ICEHistory(S$4,U$5,"DF[dow:12345][tl:Calendar]",$L614)</f>
        <v>118.97</v>
      </c>
      <c r="V614">
        <f>_xll.ICEHistory(S$4,V$5,"DF[dow:12345][tl:Calendar]",$L614)</f>
        <v>118.97</v>
      </c>
      <c r="W614">
        <f>_xll.ICEHistory(S$4,W$5,"DF[dow:12345][tl:Calendar]",$L614)</f>
        <v>0</v>
      </c>
      <c r="X614">
        <f t="shared" si="27"/>
        <v>5.95797280593326E-2</v>
      </c>
      <c r="Y614">
        <f t="shared" si="28"/>
        <v>0.13000701710139359</v>
      </c>
      <c r="Z614">
        <f t="shared" si="29"/>
        <v>0.82885432660544922</v>
      </c>
    </row>
    <row r="615" spans="12:26" x14ac:dyDescent="0.25">
      <c r="L615" s="4">
        <f>_xll.ICETimeline(_xll.ICEJoinRange(M4:W4),"DF[dow:12345][tl:Calendar]","2020-07-26;2024-07-26",436,-1)</f>
        <v>44649.5</v>
      </c>
      <c r="M615">
        <f>_xll.ICEHistory(M$4,M$5,"DF[dow:12345][tl:Calendar]",$L615)</f>
        <v>80.900000000000006</v>
      </c>
      <c r="N615">
        <f>_xll.ICEHistory(M$4,N$5,"DF[dow:12345][tl:Calendar]",$L615)</f>
        <v>81.99</v>
      </c>
      <c r="O615">
        <f>_xll.ICEHistory(M$4,O$5,"DF[dow:12345][tl:Calendar]",$L615)</f>
        <v>80.17</v>
      </c>
      <c r="P615">
        <f>_xll.ICEHistory(M$4,P$5,"DF[dow:12345][tl:Calendar]",$L615)</f>
        <v>81.430000000000007</v>
      </c>
      <c r="Q615">
        <f>_xll.ICEHistory(M$4,Q$5,"DF[dow:12345][tl:Calendar]",$L615)</f>
        <v>25576</v>
      </c>
      <c r="R615">
        <f>_xll.ICEHistory(M$4,R$5,"DF[dow:12345][tl:Calendar]",$L615)</f>
        <v>395491</v>
      </c>
      <c r="S615">
        <f>_xll.ICEHistory(S$4,S$5,"DF[dow:12345][tl:Calendar]",$L615)</f>
        <v>108.381</v>
      </c>
      <c r="T615">
        <f>_xll.ICEHistory(S$4,T$5,"DF[dow:12345][tl:Calendar]",$L615)</f>
        <v>108.381</v>
      </c>
      <c r="U615">
        <f>_xll.ICEHistory(S$4,U$5,"DF[dow:12345][tl:Calendar]",$L615)</f>
        <v>108.381</v>
      </c>
      <c r="V615">
        <f>_xll.ICEHistory(S$4,V$5,"DF[dow:12345][tl:Calendar]",$L615)</f>
        <v>108.381</v>
      </c>
      <c r="W615">
        <f>_xll.ICEHistory(S$4,W$5,"DF[dow:12345][tl:Calendar]",$L615)</f>
        <v>380</v>
      </c>
      <c r="X615">
        <f t="shared" si="27"/>
        <v>2.3125794155018971E-2</v>
      </c>
      <c r="Y615">
        <f t="shared" si="28"/>
        <v>-0.76160697163452795</v>
      </c>
      <c r="Z615">
        <f t="shared" si="29"/>
        <v>-7.7724601864923304E-2</v>
      </c>
    </row>
    <row r="616" spans="12:26" x14ac:dyDescent="0.25">
      <c r="L616" s="4">
        <f>_xll.ICETimeline(_xll.ICEJoinRange(M4:W4),"DF[dow:12345][tl:Calendar]","2020-07-26;2024-07-26",435,-1)</f>
        <v>44648.5</v>
      </c>
      <c r="M616">
        <f>_xll.ICEHistory(M$4,M$5,"DF[dow:12345][tl:Calendar]",$L616)</f>
        <v>78.7</v>
      </c>
      <c r="N616">
        <f>_xll.ICEHistory(M$4,N$5,"DF[dow:12345][tl:Calendar]",$L616)</f>
        <v>81.99</v>
      </c>
      <c r="O616">
        <f>_xll.ICEHistory(M$4,O$5,"DF[dow:12345][tl:Calendar]",$L616)</f>
        <v>77.87</v>
      </c>
      <c r="P616">
        <f>_xll.ICEHistory(M$4,P$5,"DF[dow:12345][tl:Calendar]",$L616)</f>
        <v>80.599999999999994</v>
      </c>
      <c r="Q616">
        <f>_xll.ICEHistory(M$4,Q$5,"DF[dow:12345][tl:Calendar]",$L616)</f>
        <v>22015</v>
      </c>
      <c r="R616">
        <f>_xll.ICEHistory(M$4,R$5,"DF[dow:12345][tl:Calendar]",$L616)</f>
        <v>394850</v>
      </c>
      <c r="S616">
        <f>_xll.ICEHistory(S$4,S$5,"DF[dow:12345][tl:Calendar]",$L616)</f>
        <v>97.6</v>
      </c>
      <c r="T616">
        <f>_xll.ICEHistory(S$4,T$5,"DF[dow:12345][tl:Calendar]",$L616)</f>
        <v>102.545</v>
      </c>
      <c r="U616">
        <f>_xll.ICEHistory(S$4,U$5,"DF[dow:12345][tl:Calendar]",$L616)</f>
        <v>97.6</v>
      </c>
      <c r="V616">
        <f>_xll.ICEHistory(S$4,V$5,"DF[dow:12345][tl:Calendar]",$L616)</f>
        <v>102.545</v>
      </c>
      <c r="W616">
        <f>_xll.ICEHistory(S$4,W$5,"DF[dow:12345][tl:Calendar]",$L616)</f>
        <v>3</v>
      </c>
      <c r="X616">
        <f t="shared" si="27"/>
        <v>5.2645029389215309E-2</v>
      </c>
      <c r="Y616">
        <f t="shared" si="28"/>
        <v>-4.1301136218077739E-2</v>
      </c>
      <c r="Z616">
        <f t="shared" si="29"/>
        <v>-0.31697246991611416</v>
      </c>
    </row>
    <row r="617" spans="12:26" x14ac:dyDescent="0.25">
      <c r="L617" s="4">
        <f>_xll.ICETimeline(_xll.ICEJoinRange(M4:W4),"DF[dow:12345][tl:Calendar]","2020-07-26;2024-07-26",434,-1)</f>
        <v>44645.5</v>
      </c>
      <c r="M617">
        <f>_xll.ICEHistory(M$4,M$5,"DF[dow:12345][tl:Calendar]",$L617)</f>
        <v>78.260000000000005</v>
      </c>
      <c r="N617">
        <f>_xll.ICEHistory(M$4,N$5,"DF[dow:12345][tl:Calendar]",$L617)</f>
        <v>79.06</v>
      </c>
      <c r="O617">
        <f>_xll.ICEHistory(M$4,O$5,"DF[dow:12345][tl:Calendar]",$L617)</f>
        <v>77.23</v>
      </c>
      <c r="P617">
        <f>_xll.ICEHistory(M$4,P$5,"DF[dow:12345][tl:Calendar]",$L617)</f>
        <v>78.8</v>
      </c>
      <c r="Q617">
        <f>_xll.ICEHistory(M$4,Q$5,"DF[dow:12345][tl:Calendar]",$L617)</f>
        <v>18496</v>
      </c>
      <c r="R617">
        <f>_xll.ICEHistory(M$4,R$5,"DF[dow:12345][tl:Calendar]",$L617)</f>
        <v>397995</v>
      </c>
      <c r="S617">
        <f>_xll.ICEHistory(S$4,S$5,"DF[dow:12345][tl:Calendar]",$L617)</f>
        <v>101.26900000000001</v>
      </c>
      <c r="T617">
        <f>_xll.ICEHistory(S$4,T$5,"DF[dow:12345][tl:Calendar]",$L617)</f>
        <v>101.26900000000001</v>
      </c>
      <c r="U617">
        <f>_xll.ICEHistory(S$4,U$5,"DF[dow:12345][tl:Calendar]",$L617)</f>
        <v>101.26900000000001</v>
      </c>
      <c r="V617">
        <f>_xll.ICEHistory(S$4,V$5,"DF[dow:12345][tl:Calendar]",$L617)</f>
        <v>101.26900000000001</v>
      </c>
      <c r="W617">
        <f>_xll.ICEHistory(S$4,W$5,"DF[dow:12345][tl:Calendar]",$L617)</f>
        <v>36</v>
      </c>
      <c r="X617">
        <f t="shared" si="27"/>
        <v>2.3884103367267009E-2</v>
      </c>
      <c r="Y617">
        <f t="shared" si="28"/>
        <v>-0.74289663480584012</v>
      </c>
      <c r="Z617">
        <f t="shared" si="29"/>
        <v>-0.54483889114168937</v>
      </c>
    </row>
    <row r="618" spans="12:26" x14ac:dyDescent="0.25">
      <c r="L618" s="4">
        <f>_xll.ICETimeline(_xll.ICEJoinRange(M4:W4),"DF[dow:12345][tl:Calendar]","2020-07-26;2024-07-26",433,-1)</f>
        <v>44644.5</v>
      </c>
      <c r="M618">
        <f>_xll.ICEHistory(M$4,M$5,"DF[dow:12345][tl:Calendar]",$L618)</f>
        <v>76.62</v>
      </c>
      <c r="N618">
        <f>_xll.ICEHistory(M$4,N$5,"DF[dow:12345][tl:Calendar]",$L618)</f>
        <v>79.239999999999995</v>
      </c>
      <c r="O618">
        <f>_xll.ICEHistory(M$4,O$5,"DF[dow:12345][tl:Calendar]",$L618)</f>
        <v>75.900000000000006</v>
      </c>
      <c r="P618">
        <f>_xll.ICEHistory(M$4,P$5,"DF[dow:12345][tl:Calendar]",$L618)</f>
        <v>78.66</v>
      </c>
      <c r="Q618">
        <f>_xll.ICEHistory(M$4,Q$5,"DF[dow:12345][tl:Calendar]",$L618)</f>
        <v>16432</v>
      </c>
      <c r="R618">
        <f>_xll.ICEHistory(M$4,R$5,"DF[dow:12345][tl:Calendar]",$L618)</f>
        <v>404154</v>
      </c>
      <c r="S618">
        <f>_xll.ICEHistory(S$4,S$5,"DF[dow:12345][tl:Calendar]",$L618)</f>
        <v>116</v>
      </c>
      <c r="T618">
        <f>_xll.ICEHistory(S$4,T$5,"DF[dow:12345][tl:Calendar]",$L618)</f>
        <v>116</v>
      </c>
      <c r="U618">
        <f>_xll.ICEHistory(S$4,U$5,"DF[dow:12345][tl:Calendar]",$L618)</f>
        <v>111.608</v>
      </c>
      <c r="V618">
        <f>_xll.ICEHistory(S$4,V$5,"DF[dow:12345][tl:Calendar]",$L618)</f>
        <v>111.608</v>
      </c>
      <c r="W618">
        <f>_xll.ICEHistory(S$4,W$5,"DF[dow:12345][tl:Calendar]",$L618)</f>
        <v>34</v>
      </c>
      <c r="X618">
        <f t="shared" si="27"/>
        <v>4.1285537700865127E-2</v>
      </c>
      <c r="Y618">
        <f t="shared" si="28"/>
        <v>-0.31567643525091882</v>
      </c>
      <c r="Z618">
        <f t="shared" si="29"/>
        <v>-0.69688987366451149</v>
      </c>
    </row>
    <row r="619" spans="12:26" x14ac:dyDescent="0.25">
      <c r="L619" s="4">
        <f>_xll.ICETimeline(_xll.ICEJoinRange(M4:W4),"DF[dow:12345][tl:Calendar]","2020-07-26;2024-07-26",432,-1)</f>
        <v>44643.5</v>
      </c>
      <c r="M619">
        <f>_xll.ICEHistory(M$4,M$5,"DF[dow:12345][tl:Calendar]",$L619)</f>
        <v>80.900000000000006</v>
      </c>
      <c r="N619">
        <f>_xll.ICEHistory(M$4,N$5,"DF[dow:12345][tl:Calendar]",$L619)</f>
        <v>81.3</v>
      </c>
      <c r="O619">
        <f>_xll.ICEHistory(M$4,O$5,"DF[dow:12345][tl:Calendar]",$L619)</f>
        <v>75.849999999999994</v>
      </c>
      <c r="P619">
        <f>_xll.ICEHistory(M$4,P$5,"DF[dow:12345][tl:Calendar]",$L619)</f>
        <v>76.430000000000007</v>
      </c>
      <c r="Q619">
        <f>_xll.ICEHistory(M$4,Q$5,"DF[dow:12345][tl:Calendar]",$L619)</f>
        <v>30569</v>
      </c>
      <c r="R619">
        <f>_xll.ICEHistory(M$4,R$5,"DF[dow:12345][tl:Calendar]",$L619)</f>
        <v>404548</v>
      </c>
      <c r="S619">
        <f>_xll.ICEHistory(S$4,S$5,"DF[dow:12345][tl:Calendar]",$L619)</f>
        <v>117.001</v>
      </c>
      <c r="T619">
        <f>_xll.ICEHistory(S$4,T$5,"DF[dow:12345][tl:Calendar]",$L619)</f>
        <v>117.001</v>
      </c>
      <c r="U619">
        <f>_xll.ICEHistory(S$4,U$5,"DF[dow:12345][tl:Calendar]",$L619)</f>
        <v>117.001</v>
      </c>
      <c r="V619">
        <f>_xll.ICEHistory(S$4,V$5,"DF[dow:12345][tl:Calendar]",$L619)</f>
        <v>117.001</v>
      </c>
      <c r="W619">
        <f>_xll.ICEHistory(S$4,W$5,"DF[dow:12345][tl:Calendar]",$L619)</f>
        <v>0</v>
      </c>
      <c r="X619">
        <f t="shared" si="27"/>
        <v>6.8943706514864048E-2</v>
      </c>
      <c r="Y619">
        <f t="shared" si="28"/>
        <v>0.36849847276323261</v>
      </c>
      <c r="Z619">
        <f t="shared" si="29"/>
        <v>0.31925916482297201</v>
      </c>
    </row>
    <row r="620" spans="12:26" x14ac:dyDescent="0.25">
      <c r="L620" s="4">
        <f>_xll.ICETimeline(_xll.ICEJoinRange(M4:W4),"DF[dow:12345][tl:Calendar]","2020-07-26;2024-07-26",431,-1)</f>
        <v>44642.5</v>
      </c>
      <c r="M620">
        <f>_xll.ICEHistory(M$4,M$5,"DF[dow:12345][tl:Calendar]",$L620)</f>
        <v>79.05</v>
      </c>
      <c r="N620">
        <f>_xll.ICEHistory(M$4,N$5,"DF[dow:12345][tl:Calendar]",$L620)</f>
        <v>81.400000000000006</v>
      </c>
      <c r="O620">
        <f>_xll.ICEHistory(M$4,O$5,"DF[dow:12345][tl:Calendar]",$L620)</f>
        <v>78.61</v>
      </c>
      <c r="P620">
        <f>_xll.ICEHistory(M$4,P$5,"DF[dow:12345][tl:Calendar]",$L620)</f>
        <v>80.430000000000007</v>
      </c>
      <c r="Q620">
        <f>_xll.ICEHistory(M$4,Q$5,"DF[dow:12345][tl:Calendar]",$L620)</f>
        <v>18472</v>
      </c>
      <c r="R620">
        <f>_xll.ICEHistory(M$4,R$5,"DF[dow:12345][tl:Calendar]",$L620)</f>
        <v>407696</v>
      </c>
      <c r="S620">
        <f>_xll.ICEHistory(S$4,S$5,"DF[dow:12345][tl:Calendar]",$L620)</f>
        <v>96.3</v>
      </c>
      <c r="T620">
        <f>_xll.ICEHistory(S$4,T$5,"DF[dow:12345][tl:Calendar]",$L620)</f>
        <v>98.747</v>
      </c>
      <c r="U620">
        <f>_xll.ICEHistory(S$4,U$5,"DF[dow:12345][tl:Calendar]",$L620)</f>
        <v>96.3</v>
      </c>
      <c r="V620">
        <f>_xll.ICEHistory(S$4,V$5,"DF[dow:12345][tl:Calendar]",$L620)</f>
        <v>98.747</v>
      </c>
      <c r="W620">
        <f>_xll.ICEHistory(S$4,W$5,"DF[dow:12345][tl:Calendar]",$L620)</f>
        <v>6</v>
      </c>
      <c r="X620">
        <f t="shared" si="27"/>
        <v>3.5442073170731787E-2</v>
      </c>
      <c r="Y620">
        <f t="shared" si="28"/>
        <v>-0.45795707654785206</v>
      </c>
      <c r="Z620">
        <f t="shared" si="29"/>
        <v>-0.55116782840544187</v>
      </c>
    </row>
    <row r="621" spans="12:26" x14ac:dyDescent="0.25">
      <c r="L621" s="4">
        <f>_xll.ICETimeline(_xll.ICEJoinRange(M4:W4),"DF[dow:12345][tl:Calendar]","2020-07-26;2024-07-26",430,-1)</f>
        <v>44641.5</v>
      </c>
      <c r="M621">
        <f>_xll.ICEHistory(M$4,M$5,"DF[dow:12345][tl:Calendar]",$L621)</f>
        <v>78.72</v>
      </c>
      <c r="N621">
        <f>_xll.ICEHistory(M$4,N$5,"DF[dow:12345][tl:Calendar]",$L621)</f>
        <v>79.739999999999995</v>
      </c>
      <c r="O621">
        <f>_xll.ICEHistory(M$4,O$5,"DF[dow:12345][tl:Calendar]",$L621)</f>
        <v>77.52</v>
      </c>
      <c r="P621">
        <f>_xll.ICEHistory(M$4,P$5,"DF[dow:12345][tl:Calendar]",$L621)</f>
        <v>79.3</v>
      </c>
      <c r="Q621">
        <f>_xll.ICEHistory(M$4,Q$5,"DF[dow:12345][tl:Calendar]",$L621)</f>
        <v>13937</v>
      </c>
      <c r="R621">
        <f>_xll.ICEHistory(M$4,R$5,"DF[dow:12345][tl:Calendar]",$L621)</f>
        <v>406517</v>
      </c>
      <c r="S621">
        <f>_xll.ICEHistory(S$4,S$5,"DF[dow:12345][tl:Calendar]",$L621)</f>
        <v>98.72</v>
      </c>
      <c r="T621">
        <f>_xll.ICEHistory(S$4,T$5,"DF[dow:12345][tl:Calendar]",$L621)</f>
        <v>98.72</v>
      </c>
      <c r="U621">
        <f>_xll.ICEHistory(S$4,U$5,"DF[dow:12345][tl:Calendar]",$L621)</f>
        <v>96.302000000000007</v>
      </c>
      <c r="V621">
        <f>_xll.ICEHistory(S$4,V$5,"DF[dow:12345][tl:Calendar]",$L621)</f>
        <v>96.302000000000007</v>
      </c>
      <c r="W621">
        <f>_xll.ICEHistory(S$4,W$5,"DF[dow:12345][tl:Calendar]",$L621)</f>
        <v>5</v>
      </c>
      <c r="X621">
        <f t="shared" si="27"/>
        <v>2.7749999999999986E-2</v>
      </c>
      <c r="Y621">
        <f t="shared" si="28"/>
        <v>-0.66080137216970569</v>
      </c>
      <c r="Z621">
        <f t="shared" si="29"/>
        <v>-0.8738625055144511</v>
      </c>
    </row>
    <row r="622" spans="12:26" x14ac:dyDescent="0.25">
      <c r="L622" s="4">
        <f>_xll.ICETimeline(_xll.ICEJoinRange(M4:W4),"DF[dow:12345][tl:Calendar]","2020-07-26;2024-07-26",429,-1)</f>
        <v>44638.5</v>
      </c>
      <c r="M622">
        <f>_xll.ICEHistory(M$4,M$5,"DF[dow:12345][tl:Calendar]",$L622)</f>
        <v>80</v>
      </c>
      <c r="N622">
        <f>_xll.ICEHistory(M$4,N$5,"DF[dow:12345][tl:Calendar]",$L622)</f>
        <v>80</v>
      </c>
      <c r="O622">
        <f>_xll.ICEHistory(M$4,O$5,"DF[dow:12345][tl:Calendar]",$L622)</f>
        <v>78.319999999999993</v>
      </c>
      <c r="P622">
        <f>_xll.ICEHistory(M$4,P$5,"DF[dow:12345][tl:Calendar]",$L622)</f>
        <v>78.5</v>
      </c>
      <c r="Q622">
        <f>_xll.ICEHistory(M$4,Q$5,"DF[dow:12345][tl:Calendar]",$L622)</f>
        <v>19035</v>
      </c>
      <c r="R622">
        <f>_xll.ICEHistory(M$4,R$5,"DF[dow:12345][tl:Calendar]",$L622)</f>
        <v>406235</v>
      </c>
      <c r="S622">
        <f>_xll.ICEHistory(S$4,S$5,"DF[dow:12345][tl:Calendar]",$L622)</f>
        <v>105.044</v>
      </c>
      <c r="T622">
        <f>_xll.ICEHistory(S$4,T$5,"DF[dow:12345][tl:Calendar]",$L622)</f>
        <v>105.044</v>
      </c>
      <c r="U622">
        <f>_xll.ICEHistory(S$4,U$5,"DF[dow:12345][tl:Calendar]",$L622)</f>
        <v>105.044</v>
      </c>
      <c r="V622">
        <f>_xll.ICEHistory(S$4,V$5,"DF[dow:12345][tl:Calendar]",$L622)</f>
        <v>105.044</v>
      </c>
      <c r="W622">
        <f>_xll.ICEHistory(S$4,W$5,"DF[dow:12345][tl:Calendar]",$L622)</f>
        <v>14</v>
      </c>
      <c r="X622">
        <f t="shared" si="27"/>
        <v>2.1217479161404481E-2</v>
      </c>
      <c r="Y622">
        <f t="shared" si="28"/>
        <v>-0.84517086737636937</v>
      </c>
      <c r="Z622">
        <f t="shared" si="29"/>
        <v>-0.53078858582205601</v>
      </c>
    </row>
    <row r="623" spans="12:26" x14ac:dyDescent="0.25">
      <c r="L623" s="4">
        <f>_xll.ICETimeline(_xll.ICEJoinRange(M4:W4),"DF[dow:12345][tl:Calendar]","2020-07-26;2024-07-26",428,-1)</f>
        <v>44637.5</v>
      </c>
      <c r="M623">
        <f>_xll.ICEHistory(M$4,M$5,"DF[dow:12345][tl:Calendar]",$L623)</f>
        <v>79.180000000000007</v>
      </c>
      <c r="N623">
        <f>_xll.ICEHistory(M$4,N$5,"DF[dow:12345][tl:Calendar]",$L623)</f>
        <v>80.19</v>
      </c>
      <c r="O623">
        <f>_xll.ICEHistory(M$4,O$5,"DF[dow:12345][tl:Calendar]",$L623)</f>
        <v>76.319999999999993</v>
      </c>
      <c r="P623">
        <f>_xll.ICEHistory(M$4,P$5,"DF[dow:12345][tl:Calendar]",$L623)</f>
        <v>79.739999999999995</v>
      </c>
      <c r="Q623">
        <f>_xll.ICEHistory(M$4,Q$5,"DF[dow:12345][tl:Calendar]",$L623)</f>
        <v>23816</v>
      </c>
      <c r="R623">
        <f>_xll.ICEHistory(M$4,R$5,"DF[dow:12345][tl:Calendar]",$L623)</f>
        <v>404264</v>
      </c>
      <c r="S623">
        <f>_xll.ICEHistory(S$4,S$5,"DF[dow:12345][tl:Calendar]",$L623)</f>
        <v>110.5</v>
      </c>
      <c r="T623">
        <f>_xll.ICEHistory(S$4,T$5,"DF[dow:12345][tl:Calendar]",$L623)</f>
        <v>110.5</v>
      </c>
      <c r="U623">
        <f>_xll.ICEHistory(S$4,U$5,"DF[dow:12345][tl:Calendar]",$L623)</f>
        <v>105.08799999999999</v>
      </c>
      <c r="V623">
        <f>_xll.ICEHistory(S$4,V$5,"DF[dow:12345][tl:Calendar]",$L623)</f>
        <v>105.08799999999999</v>
      </c>
      <c r="W623">
        <f>_xll.ICEHistory(S$4,W$5,"DF[dow:12345][tl:Calendar]",$L623)</f>
        <v>22</v>
      </c>
      <c r="X623">
        <f t="shared" si="27"/>
        <v>4.9929041414011152E-2</v>
      </c>
      <c r="Y623">
        <f t="shared" si="28"/>
        <v>-0.17780388034074249</v>
      </c>
      <c r="Z623">
        <f t="shared" si="29"/>
        <v>-0.2096817985618557</v>
      </c>
    </row>
    <row r="624" spans="12:26" x14ac:dyDescent="0.25">
      <c r="L624" s="4">
        <f>_xll.ICETimeline(_xll.ICEJoinRange(M4:W4),"DF[dow:12345][tl:Calendar]","2020-07-26;2024-07-26",427,-1)</f>
        <v>44636.5</v>
      </c>
      <c r="M624">
        <f>_xll.ICEHistory(M$4,M$5,"DF[dow:12345][tl:Calendar]",$L624)</f>
        <v>77.510000000000005</v>
      </c>
      <c r="N624">
        <f>_xll.ICEHistory(M$4,N$5,"DF[dow:12345][tl:Calendar]",$L624)</f>
        <v>79.11</v>
      </c>
      <c r="O624">
        <f>_xll.ICEHistory(M$4,O$5,"DF[dow:12345][tl:Calendar]",$L624)</f>
        <v>75.25</v>
      </c>
      <c r="P624">
        <f>_xll.ICEHistory(M$4,P$5,"DF[dow:12345][tl:Calendar]",$L624)</f>
        <v>78.709999999999994</v>
      </c>
      <c r="Q624">
        <f>_xll.ICEHistory(M$4,Q$5,"DF[dow:12345][tl:Calendar]",$L624)</f>
        <v>22569</v>
      </c>
      <c r="R624">
        <f>_xll.ICEHistory(M$4,R$5,"DF[dow:12345][tl:Calendar]",$L624)</f>
        <v>402419</v>
      </c>
      <c r="S624">
        <f>_xll.ICEHistory(S$4,S$5,"DF[dow:12345][tl:Calendar]",$L624)</f>
        <v>102.623</v>
      </c>
      <c r="T624">
        <f>_xll.ICEHistory(S$4,T$5,"DF[dow:12345][tl:Calendar]",$L624)</f>
        <v>102.623</v>
      </c>
      <c r="U624">
        <f>_xll.ICEHistory(S$4,U$5,"DF[dow:12345][tl:Calendar]",$L624)</f>
        <v>102.623</v>
      </c>
      <c r="V624">
        <f>_xll.ICEHistory(S$4,V$5,"DF[dow:12345][tl:Calendar]",$L624)</f>
        <v>102.623</v>
      </c>
      <c r="W624">
        <f>_xll.ICEHistory(S$4,W$5,"DF[dow:12345][tl:Calendar]",$L624)</f>
        <v>0</v>
      </c>
      <c r="X624">
        <f t="shared" si="27"/>
        <v>5.0129870129870122E-2</v>
      </c>
      <c r="Y624">
        <f t="shared" si="28"/>
        <v>-0.17715050021832932</v>
      </c>
      <c r="Z624">
        <f t="shared" si="29"/>
        <v>-0.32489341653736381</v>
      </c>
    </row>
    <row r="625" spans="12:26" x14ac:dyDescent="0.25">
      <c r="L625" s="4">
        <f>_xll.ICETimeline(_xll.ICEJoinRange(M4:W4),"DF[dow:12345][tl:Calendar]","2020-07-26;2024-07-26",426,-1)</f>
        <v>44635.5</v>
      </c>
      <c r="M625">
        <f>_xll.ICEHistory(M$4,M$5,"DF[dow:12345][tl:Calendar]",$L625)</f>
        <v>77</v>
      </c>
      <c r="N625">
        <f>_xll.ICEHistory(M$4,N$5,"DF[dow:12345][tl:Calendar]",$L625)</f>
        <v>79.150000000000006</v>
      </c>
      <c r="O625">
        <f>_xll.ICEHistory(M$4,O$5,"DF[dow:12345][tl:Calendar]",$L625)</f>
        <v>75.010000000000005</v>
      </c>
      <c r="P625">
        <f>_xll.ICEHistory(M$4,P$5,"DF[dow:12345][tl:Calendar]",$L625)</f>
        <v>78</v>
      </c>
      <c r="Q625">
        <f>_xll.ICEHistory(M$4,Q$5,"DF[dow:12345][tl:Calendar]",$L625)</f>
        <v>24733</v>
      </c>
      <c r="R625">
        <f>_xll.ICEHistory(M$4,R$5,"DF[dow:12345][tl:Calendar]",$L625)</f>
        <v>409959</v>
      </c>
      <c r="S625">
        <f>_xll.ICEHistory(S$4,S$5,"DF[dow:12345][tl:Calendar]",$L625)</f>
        <v>121.69</v>
      </c>
      <c r="T625">
        <f>_xll.ICEHistory(S$4,T$5,"DF[dow:12345][tl:Calendar]",$L625)</f>
        <v>121.69</v>
      </c>
      <c r="U625">
        <f>_xll.ICEHistory(S$4,U$5,"DF[dow:12345][tl:Calendar]",$L625)</f>
        <v>115.43899999999999</v>
      </c>
      <c r="V625">
        <f>_xll.ICEHistory(S$4,V$5,"DF[dow:12345][tl:Calendar]",$L625)</f>
        <v>115.43899999999999</v>
      </c>
      <c r="W625">
        <f>_xll.ICEHistory(S$4,W$5,"DF[dow:12345][tl:Calendar]",$L625)</f>
        <v>1</v>
      </c>
      <c r="X625">
        <f t="shared" si="27"/>
        <v>5.447368421052632E-2</v>
      </c>
      <c r="Y625">
        <f t="shared" si="28"/>
        <v>-6.4179799557895642E-2</v>
      </c>
      <c r="Z625">
        <f t="shared" si="29"/>
        <v>-0.20510806824883812</v>
      </c>
    </row>
    <row r="626" spans="12:26" x14ac:dyDescent="0.25">
      <c r="L626" s="4">
        <f>_xll.ICETimeline(_xll.ICEJoinRange(M4:W4),"DF[dow:12345][tl:Calendar]","2020-07-26;2024-07-26",425,-1)</f>
        <v>44634.5</v>
      </c>
      <c r="M626">
        <f>_xll.ICEHistory(M$4,M$5,"DF[dow:12345][tl:Calendar]",$L626)</f>
        <v>76</v>
      </c>
      <c r="N626">
        <f>_xll.ICEHistory(M$4,N$5,"DF[dow:12345][tl:Calendar]",$L626)</f>
        <v>81.5</v>
      </c>
      <c r="O626">
        <f>_xll.ICEHistory(M$4,O$5,"DF[dow:12345][tl:Calendar]",$L626)</f>
        <v>75.81</v>
      </c>
      <c r="P626">
        <f>_xll.ICEHistory(M$4,P$5,"DF[dow:12345][tl:Calendar]",$L626)</f>
        <v>77.489999999999995</v>
      </c>
      <c r="Q626">
        <f>_xll.ICEHistory(M$4,Q$5,"DF[dow:12345][tl:Calendar]",$L626)</f>
        <v>19365</v>
      </c>
      <c r="R626">
        <f>_xll.ICEHistory(M$4,R$5,"DF[dow:12345][tl:Calendar]",$L626)</f>
        <v>408184</v>
      </c>
      <c r="S626">
        <f>_xll.ICEHistory(S$4,S$5,"DF[dow:12345][tl:Calendar]",$L626)</f>
        <v>114.52200000000001</v>
      </c>
      <c r="T626">
        <f>_xll.ICEHistory(S$4,T$5,"DF[dow:12345][tl:Calendar]",$L626)</f>
        <v>114.52200000000001</v>
      </c>
      <c r="U626">
        <f>_xll.ICEHistory(S$4,U$5,"DF[dow:12345][tl:Calendar]",$L626)</f>
        <v>114.52200000000001</v>
      </c>
      <c r="V626">
        <f>_xll.ICEHistory(S$4,V$5,"DF[dow:12345][tl:Calendar]",$L626)</f>
        <v>114.52200000000001</v>
      </c>
      <c r="W626">
        <f>_xll.ICEHistory(S$4,W$5,"DF[dow:12345][tl:Calendar]",$L626)</f>
        <v>1</v>
      </c>
      <c r="X626">
        <f t="shared" si="27"/>
        <v>7.4937442381140487E-2</v>
      </c>
      <c r="Y626">
        <f t="shared" si="28"/>
        <v>0.42163267604378446</v>
      </c>
      <c r="Z626">
        <f t="shared" si="29"/>
        <v>-0.57542168950181316</v>
      </c>
    </row>
    <row r="627" spans="12:26" x14ac:dyDescent="0.25">
      <c r="L627" s="4">
        <f>_xll.ICETimeline(_xll.ICEJoinRange(M4:W4),"DF[dow:12345][tl:Calendar]","2020-07-26;2024-07-26",424,-1)</f>
        <v>44631.5</v>
      </c>
      <c r="M627">
        <f>_xll.ICEHistory(M$4,M$5,"DF[dow:12345][tl:Calendar]",$L627)</f>
        <v>75.930000000000007</v>
      </c>
      <c r="N627">
        <f>_xll.ICEHistory(M$4,N$5,"DF[dow:12345][tl:Calendar]",$L627)</f>
        <v>78</v>
      </c>
      <c r="O627">
        <f>_xll.ICEHistory(M$4,O$5,"DF[dow:12345][tl:Calendar]",$L627)</f>
        <v>73.709999999999994</v>
      </c>
      <c r="P627">
        <f>_xll.ICEHistory(M$4,P$5,"DF[dow:12345][tl:Calendar]",$L627)</f>
        <v>76.98</v>
      </c>
      <c r="Q627">
        <f>_xll.ICEHistory(M$4,Q$5,"DF[dow:12345][tl:Calendar]",$L627)</f>
        <v>22267</v>
      </c>
      <c r="R627">
        <f>_xll.ICEHistory(M$4,R$5,"DF[dow:12345][tl:Calendar]",$L627)</f>
        <v>407619</v>
      </c>
      <c r="S627">
        <f>_xll.ICEHistory(S$4,S$5,"DF[dow:12345][tl:Calendar]",$L627)</f>
        <v>131.22900000000001</v>
      </c>
      <c r="T627">
        <f>_xll.ICEHistory(S$4,T$5,"DF[dow:12345][tl:Calendar]",$L627)</f>
        <v>131.22900000000001</v>
      </c>
      <c r="U627">
        <f>_xll.ICEHistory(S$4,U$5,"DF[dow:12345][tl:Calendar]",$L627)</f>
        <v>131.22900000000001</v>
      </c>
      <c r="V627">
        <f>_xll.ICEHistory(S$4,V$5,"DF[dow:12345][tl:Calendar]",$L627)</f>
        <v>131.22900000000001</v>
      </c>
      <c r="W627">
        <f>_xll.ICEHistory(S$4,W$5,"DF[dow:12345][tl:Calendar]",$L627)</f>
        <v>0</v>
      </c>
      <c r="X627">
        <f t="shared" si="27"/>
        <v>5.9147938783951554E-2</v>
      </c>
      <c r="Y627">
        <f t="shared" si="28"/>
        <v>4.9537245581397681E-2</v>
      </c>
      <c r="Z627">
        <f t="shared" si="29"/>
        <v>-0.4084341678013671</v>
      </c>
    </row>
    <row r="628" spans="12:26" x14ac:dyDescent="0.25">
      <c r="L628" s="4">
        <f>_xll.ICETimeline(_xll.ICEJoinRange(M4:W4),"DF[dow:12345][tl:Calendar]","2020-07-26;2024-07-26",423,-1)</f>
        <v>44630.5</v>
      </c>
      <c r="M628">
        <f>_xll.ICEHistory(M$4,M$5,"DF[dow:12345][tl:Calendar]",$L628)</f>
        <v>72.53</v>
      </c>
      <c r="N628">
        <f>_xll.ICEHistory(M$4,N$5,"DF[dow:12345][tl:Calendar]",$L628)</f>
        <v>76.680000000000007</v>
      </c>
      <c r="O628">
        <f>_xll.ICEHistory(M$4,O$5,"DF[dow:12345][tl:Calendar]",$L628)</f>
        <v>69.52</v>
      </c>
      <c r="P628">
        <f>_xll.ICEHistory(M$4,P$5,"DF[dow:12345][tl:Calendar]",$L628)</f>
        <v>74.64</v>
      </c>
      <c r="Q628">
        <f>_xll.ICEHistory(M$4,Q$5,"DF[dow:12345][tl:Calendar]",$L628)</f>
        <v>32703</v>
      </c>
      <c r="R628">
        <f>_xll.ICEHistory(M$4,R$5,"DF[dow:12345][tl:Calendar]",$L628)</f>
        <v>406229</v>
      </c>
      <c r="S628">
        <f>_xll.ICEHistory(S$4,S$5,"DF[dow:12345][tl:Calendar]",$L628)</f>
        <v>126.399</v>
      </c>
      <c r="T628">
        <f>_xll.ICEHistory(S$4,T$5,"DF[dow:12345][tl:Calendar]",$L628)</f>
        <v>126.399</v>
      </c>
      <c r="U628">
        <f>_xll.ICEHistory(S$4,U$5,"DF[dow:12345][tl:Calendar]",$L628)</f>
        <v>126.399</v>
      </c>
      <c r="V628">
        <f>_xll.ICEHistory(S$4,V$5,"DF[dow:12345][tl:Calendar]",$L628)</f>
        <v>126.399</v>
      </c>
      <c r="W628">
        <f>_xll.ICEHistory(S$4,W$5,"DF[dow:12345][tl:Calendar]",$L628)</f>
        <v>0</v>
      </c>
      <c r="X628">
        <f t="shared" si="27"/>
        <v>0.105263157894737</v>
      </c>
      <c r="Y628">
        <f t="shared" si="28"/>
        <v>1.153910753566207</v>
      </c>
      <c r="Z628">
        <f t="shared" si="29"/>
        <v>0.22437691632563661</v>
      </c>
    </row>
    <row r="629" spans="12:26" x14ac:dyDescent="0.25">
      <c r="L629" s="4">
        <f>_xll.ICETimeline(_xll.ICEJoinRange(M4:W4),"DF[dow:12345][tl:Calendar]","2020-07-26;2024-07-26",422,-1)</f>
        <v>44629.5</v>
      </c>
      <c r="M629">
        <f>_xll.ICEHistory(M$4,M$5,"DF[dow:12345][tl:Calendar]",$L629)</f>
        <v>68.02</v>
      </c>
      <c r="N629">
        <f>_xll.ICEHistory(M$4,N$5,"DF[dow:12345][tl:Calendar]",$L629)</f>
        <v>74.67</v>
      </c>
      <c r="O629">
        <f>_xll.ICEHistory(M$4,O$5,"DF[dow:12345][tl:Calendar]",$L629)</f>
        <v>67.22</v>
      </c>
      <c r="P629">
        <f>_xll.ICEHistory(M$4,P$5,"DF[dow:12345][tl:Calendar]",$L629)</f>
        <v>72.2</v>
      </c>
      <c r="Q629">
        <f>_xll.ICEHistory(M$4,Q$5,"DF[dow:12345][tl:Calendar]",$L629)</f>
        <v>36120</v>
      </c>
      <c r="R629">
        <f>_xll.ICEHistory(M$4,R$5,"DF[dow:12345][tl:Calendar]",$L629)</f>
        <v>409447</v>
      </c>
      <c r="S629">
        <f>_xll.ICEHistory(S$4,S$5,"DF[dow:12345][tl:Calendar]",$L629)</f>
        <v>155.88</v>
      </c>
      <c r="T629">
        <f>_xll.ICEHistory(S$4,T$5,"DF[dow:12345][tl:Calendar]",$L629)</f>
        <v>155.88</v>
      </c>
      <c r="U629">
        <f>_xll.ICEHistory(S$4,U$5,"DF[dow:12345][tl:Calendar]",$L629)</f>
        <v>155.88</v>
      </c>
      <c r="V629">
        <f>_xll.ICEHistory(S$4,V$5,"DF[dow:12345][tl:Calendar]",$L629)</f>
        <v>155.88</v>
      </c>
      <c r="W629">
        <f>_xll.ICEHistory(S$4,W$5,"DF[dow:12345][tl:Calendar]",$L629)</f>
        <v>0</v>
      </c>
      <c r="X629">
        <f t="shared" si="27"/>
        <v>0.12979094076655057</v>
      </c>
      <c r="Y629">
        <f t="shared" si="28"/>
        <v>1.716667013661733</v>
      </c>
      <c r="Z629">
        <f t="shared" si="29"/>
        <v>0.39632660129357133</v>
      </c>
    </row>
    <row r="630" spans="12:26" x14ac:dyDescent="0.25">
      <c r="L630" s="4">
        <f>_xll.ICETimeline(_xll.ICEJoinRange(M4:W4),"DF[dow:12345][tl:Calendar]","2020-07-26;2024-07-26",421,-1)</f>
        <v>44628.5</v>
      </c>
      <c r="M630">
        <f>_xll.ICEHistory(M$4,M$5,"DF[dow:12345][tl:Calendar]",$L630)</f>
        <v>57.4</v>
      </c>
      <c r="N630">
        <f>_xll.ICEHistory(M$4,N$5,"DF[dow:12345][tl:Calendar]",$L630)</f>
        <v>69.290000000000006</v>
      </c>
      <c r="O630">
        <f>_xll.ICEHistory(M$4,O$5,"DF[dow:12345][tl:Calendar]",$L630)</f>
        <v>56.5</v>
      </c>
      <c r="P630">
        <f>_xll.ICEHistory(M$4,P$5,"DF[dow:12345][tl:Calendar]",$L630)</f>
        <v>68.400000000000006</v>
      </c>
      <c r="Q630">
        <f>_xll.ICEHistory(M$4,Q$5,"DF[dow:12345][tl:Calendar]",$L630)</f>
        <v>38498</v>
      </c>
      <c r="R630">
        <f>_xll.ICEHistory(M$4,R$5,"DF[dow:12345][tl:Calendar]",$L630)</f>
        <v>410568</v>
      </c>
      <c r="S630">
        <f>_xll.ICEHistory(S$4,S$5,"DF[dow:12345][tl:Calendar]",$L630)</f>
        <v>214.554</v>
      </c>
      <c r="T630">
        <f>_xll.ICEHistory(S$4,T$5,"DF[dow:12345][tl:Calendar]",$L630)</f>
        <v>214.554</v>
      </c>
      <c r="U630">
        <f>_xll.ICEHistory(S$4,U$5,"DF[dow:12345][tl:Calendar]",$L630)</f>
        <v>214.554</v>
      </c>
      <c r="V630">
        <f>_xll.ICEHistory(S$4,V$5,"DF[dow:12345][tl:Calendar]",$L630)</f>
        <v>214.554</v>
      </c>
      <c r="W630">
        <f>_xll.ICEHistory(S$4,W$5,"DF[dow:12345][tl:Calendar]",$L630)</f>
        <v>0</v>
      </c>
      <c r="X630">
        <f t="shared" si="27"/>
        <v>0.19894229273603989</v>
      </c>
      <c r="Y630">
        <f t="shared" si="28"/>
        <v>3.4520052710868745</v>
      </c>
      <c r="Z630">
        <f t="shared" si="29"/>
        <v>0.52902173672004849</v>
      </c>
    </row>
    <row r="631" spans="12:26" x14ac:dyDescent="0.25">
      <c r="L631" s="4">
        <f>_xll.ICETimeline(_xll.ICEJoinRange(M4:W4),"DF[dow:12345][tl:Calendar]","2020-07-26;2024-07-26",420,-1)</f>
        <v>44627.5</v>
      </c>
      <c r="M631">
        <f>_xll.ICEHistory(M$4,M$5,"DF[dow:12345][tl:Calendar]",$L631)</f>
        <v>64.290000000000006</v>
      </c>
      <c r="N631">
        <f>_xll.ICEHistory(M$4,N$5,"DF[dow:12345][tl:Calendar]",$L631)</f>
        <v>64.290000000000006</v>
      </c>
      <c r="O631">
        <f>_xll.ICEHistory(M$4,O$5,"DF[dow:12345][tl:Calendar]",$L631)</f>
        <v>56.82</v>
      </c>
      <c r="P631">
        <f>_xll.ICEHistory(M$4,P$5,"DF[dow:12345][tl:Calendar]",$L631)</f>
        <v>58.36</v>
      </c>
      <c r="Q631">
        <f>_xll.ICEHistory(M$4,Q$5,"DF[dow:12345][tl:Calendar]",$L631)</f>
        <v>47751</v>
      </c>
      <c r="R631">
        <f>_xll.ICEHistory(M$4,R$5,"DF[dow:12345][tl:Calendar]",$L631)</f>
        <v>415227</v>
      </c>
      <c r="S631">
        <f>_xll.ICEHistory(S$4,S$5,"DF[dow:12345][tl:Calendar]",$L631)</f>
        <v>227.20099999999999</v>
      </c>
      <c r="T631">
        <f>_xll.ICEHistory(S$4,T$5,"DF[dow:12345][tl:Calendar]",$L631)</f>
        <v>227.20099999999999</v>
      </c>
      <c r="U631">
        <f>_xll.ICEHistory(S$4,U$5,"DF[dow:12345][tl:Calendar]",$L631)</f>
        <v>227.20099999999999</v>
      </c>
      <c r="V631">
        <f>_xll.ICEHistory(S$4,V$5,"DF[dow:12345][tl:Calendar]",$L631)</f>
        <v>227.20099999999999</v>
      </c>
      <c r="W631">
        <f>_xll.ICEHistory(S$4,W$5,"DF[dow:12345][tl:Calendar]",$L631)</f>
        <v>11</v>
      </c>
      <c r="X631">
        <f t="shared" si="27"/>
        <v>0.11318181818181827</v>
      </c>
      <c r="Y631">
        <f t="shared" si="28"/>
        <v>1.5931834529310935</v>
      </c>
      <c r="Z631">
        <f t="shared" si="29"/>
        <v>1.0982951085273776</v>
      </c>
    </row>
    <row r="632" spans="12:26" x14ac:dyDescent="0.25">
      <c r="L632" s="4">
        <f>_xll.ICETimeline(_xll.ICEJoinRange(M4:W4),"DF[dow:12345][tl:Calendar]","2020-07-26;2024-07-26",419,-1)</f>
        <v>44624.5</v>
      </c>
      <c r="M632">
        <f>_xll.ICEHistory(M$4,M$5,"DF[dow:12345][tl:Calendar]",$L632)</f>
        <v>66</v>
      </c>
      <c r="N632">
        <f>_xll.ICEHistory(M$4,N$5,"DF[dow:12345][tl:Calendar]",$L632)</f>
        <v>68.739999999999995</v>
      </c>
      <c r="O632">
        <f>_xll.ICEHistory(M$4,O$5,"DF[dow:12345][tl:Calendar]",$L632)</f>
        <v>64.3</v>
      </c>
      <c r="P632">
        <f>_xll.ICEHistory(M$4,P$5,"DF[dow:12345][tl:Calendar]",$L632)</f>
        <v>65.8</v>
      </c>
      <c r="Q632">
        <f>_xll.ICEHistory(M$4,Q$5,"DF[dow:12345][tl:Calendar]",$L632)</f>
        <v>35931</v>
      </c>
      <c r="R632">
        <f>_xll.ICEHistory(M$4,R$5,"DF[dow:12345][tl:Calendar]",$L632)</f>
        <v>419043</v>
      </c>
      <c r="S632">
        <f>_xll.ICEHistory(S$4,S$5,"DF[dow:12345][tl:Calendar]",$L632)</f>
        <v>192.55</v>
      </c>
      <c r="T632">
        <f>_xll.ICEHistory(S$4,T$5,"DF[dow:12345][tl:Calendar]",$L632)</f>
        <v>192.55</v>
      </c>
      <c r="U632">
        <f>_xll.ICEHistory(S$4,U$5,"DF[dow:12345][tl:Calendar]",$L632)</f>
        <v>192.55</v>
      </c>
      <c r="V632">
        <f>_xll.ICEHistory(S$4,V$5,"DF[dow:12345][tl:Calendar]",$L632)</f>
        <v>192.55</v>
      </c>
      <c r="W632">
        <f>_xll.ICEHistory(S$4,W$5,"DF[dow:12345][tl:Calendar]",$L632)</f>
        <v>15</v>
      </c>
      <c r="X632">
        <f t="shared" si="27"/>
        <v>6.4628820960698649E-2</v>
      </c>
      <c r="Y632">
        <f t="shared" si="28"/>
        <v>0.32462922371486674</v>
      </c>
      <c r="Z632">
        <f t="shared" si="29"/>
        <v>0.40646021818427808</v>
      </c>
    </row>
    <row r="633" spans="12:26" x14ac:dyDescent="0.25">
      <c r="L633" s="4">
        <f>_xll.ICETimeline(_xll.ICEJoinRange(M4:W4),"DF[dow:12345][tl:Calendar]","2020-07-26;2024-07-26",418,-1)</f>
        <v>44623.5</v>
      </c>
      <c r="M633">
        <f>_xll.ICEHistory(M$4,M$5,"DF[dow:12345][tl:Calendar]",$L633)</f>
        <v>68.7</v>
      </c>
      <c r="N633">
        <f>_xll.ICEHistory(M$4,N$5,"DF[dow:12345][tl:Calendar]",$L633)</f>
        <v>69.489999999999995</v>
      </c>
      <c r="O633">
        <f>_xll.ICEHistory(M$4,O$5,"DF[dow:12345][tl:Calendar]",$L633)</f>
        <v>63.49</v>
      </c>
      <c r="P633">
        <f>_xll.ICEHistory(M$4,P$5,"DF[dow:12345][tl:Calendar]",$L633)</f>
        <v>67.010000000000005</v>
      </c>
      <c r="Q633">
        <f>_xll.ICEHistory(M$4,Q$5,"DF[dow:12345][tl:Calendar]",$L633)</f>
        <v>40643</v>
      </c>
      <c r="R633">
        <f>_xll.ICEHistory(M$4,R$5,"DF[dow:12345][tl:Calendar]",$L633)</f>
        <v>419896</v>
      </c>
      <c r="S633">
        <f>_xll.ICEHistory(S$4,S$5,"DF[dow:12345][tl:Calendar]",$L633)</f>
        <v>148</v>
      </c>
      <c r="T633">
        <f>_xll.ICEHistory(S$4,T$5,"DF[dow:12345][tl:Calendar]",$L633)</f>
        <v>160.82300000000001</v>
      </c>
      <c r="U633">
        <f>_xll.ICEHistory(S$4,U$5,"DF[dow:12345][tl:Calendar]",$L633)</f>
        <v>147.49</v>
      </c>
      <c r="V633">
        <f>_xll.ICEHistory(S$4,V$5,"DF[dow:12345][tl:Calendar]",$L633)</f>
        <v>160.82300000000001</v>
      </c>
      <c r="W633">
        <f>_xll.ICEHistory(S$4,W$5,"DF[dow:12345][tl:Calendar]",$L633)</f>
        <v>14</v>
      </c>
      <c r="X633">
        <f t="shared" si="27"/>
        <v>8.5046066619418756E-2</v>
      </c>
      <c r="Y633">
        <f t="shared" si="28"/>
        <v>0.89623606164885705</v>
      </c>
      <c r="Z633">
        <f t="shared" si="29"/>
        <v>0.65908268196952047</v>
      </c>
    </row>
    <row r="634" spans="12:26" x14ac:dyDescent="0.25">
      <c r="L634" s="4">
        <f>_xll.ICETimeline(_xll.ICEJoinRange(M4:W4),"DF[dow:12345][tl:Calendar]","2020-07-26;2024-07-26",417,-1)</f>
        <v>44622.5</v>
      </c>
      <c r="M634">
        <f>_xll.ICEHistory(M$4,M$5,"DF[dow:12345][tl:Calendar]",$L634)</f>
        <v>70.55</v>
      </c>
      <c r="N634">
        <f>_xll.ICEHistory(M$4,N$5,"DF[dow:12345][tl:Calendar]",$L634)</f>
        <v>70.959999999999994</v>
      </c>
      <c r="O634">
        <f>_xll.ICEHistory(M$4,O$5,"DF[dow:12345][tl:Calendar]",$L634)</f>
        <v>55</v>
      </c>
      <c r="P634">
        <f>_xll.ICEHistory(M$4,P$5,"DF[dow:12345][tl:Calendar]",$L634)</f>
        <v>67.72</v>
      </c>
      <c r="Q634">
        <f>_xll.ICEHistory(M$4,Q$5,"DF[dow:12345][tl:Calendar]",$L634)</f>
        <v>78462</v>
      </c>
      <c r="R634">
        <f>_xll.ICEHistory(M$4,R$5,"DF[dow:12345][tl:Calendar]",$L634)</f>
        <v>423198</v>
      </c>
      <c r="S634">
        <f>_xll.ICEHistory(S$4,S$5,"DF[dow:12345][tl:Calendar]",$L634)</f>
        <v>165.54300000000001</v>
      </c>
      <c r="T634">
        <f>_xll.ICEHistory(S$4,T$5,"DF[dow:12345][tl:Calendar]",$L634)</f>
        <v>165.54300000000001</v>
      </c>
      <c r="U634">
        <f>_xll.ICEHistory(S$4,U$5,"DF[dow:12345][tl:Calendar]",$L634)</f>
        <v>165.54300000000001</v>
      </c>
      <c r="V634">
        <f>_xll.ICEHistory(S$4,V$5,"DF[dow:12345][tl:Calendar]",$L634)</f>
        <v>165.54300000000001</v>
      </c>
      <c r="W634">
        <f>_xll.ICEHistory(S$4,W$5,"DF[dow:12345][tl:Calendar]",$L634)</f>
        <v>2</v>
      </c>
      <c r="X634">
        <f t="shared" si="27"/>
        <v>0.1932203389830508</v>
      </c>
      <c r="Y634">
        <f t="shared" si="28"/>
        <v>3.8932860047279636</v>
      </c>
      <c r="Z634">
        <f t="shared" si="29"/>
        <v>2.9081111092685554</v>
      </c>
    </row>
    <row r="635" spans="12:26" x14ac:dyDescent="0.25">
      <c r="L635" s="4">
        <f>_xll.ICETimeline(_xll.ICEJoinRange(M4:W4),"DF[dow:12345][tl:Calendar]","2020-07-26;2024-07-26",416,-1)</f>
        <v>44621.5</v>
      </c>
      <c r="M635">
        <f>_xll.ICEHistory(M$4,M$5,"DF[dow:12345][tl:Calendar]",$L635)</f>
        <v>82.6</v>
      </c>
      <c r="N635">
        <f>_xll.ICEHistory(M$4,N$5,"DF[dow:12345][tl:Calendar]",$L635)</f>
        <v>84.43</v>
      </c>
      <c r="O635">
        <f>_xll.ICEHistory(M$4,O$5,"DF[dow:12345][tl:Calendar]",$L635)</f>
        <v>66</v>
      </c>
      <c r="P635">
        <f>_xll.ICEHistory(M$4,P$5,"DF[dow:12345][tl:Calendar]",$L635)</f>
        <v>69.739999999999995</v>
      </c>
      <c r="Q635">
        <f>_xll.ICEHistory(M$4,Q$5,"DF[dow:12345][tl:Calendar]",$L635)</f>
        <v>78655</v>
      </c>
      <c r="R635">
        <f>_xll.ICEHistory(M$4,R$5,"DF[dow:12345][tl:Calendar]",$L635)</f>
        <v>433635</v>
      </c>
      <c r="S635">
        <f>_xll.ICEHistory(S$4,S$5,"DF[dow:12345][tl:Calendar]",$L635)</f>
        <v>103.66500000000001</v>
      </c>
      <c r="T635">
        <f>_xll.ICEHistory(S$4,T$5,"DF[dow:12345][tl:Calendar]",$L635)</f>
        <v>121.67400000000001</v>
      </c>
      <c r="U635">
        <f>_xll.ICEHistory(S$4,U$5,"DF[dow:12345][tl:Calendar]",$L635)</f>
        <v>103.66500000000001</v>
      </c>
      <c r="V635">
        <f>_xll.ICEHistory(S$4,V$5,"DF[dow:12345][tl:Calendar]",$L635)</f>
        <v>121.67400000000001</v>
      </c>
      <c r="W635">
        <f>_xll.ICEHistory(S$4,W$5,"DF[dow:12345][tl:Calendar]",$L635)</f>
        <v>429</v>
      </c>
      <c r="X635">
        <f t="shared" si="27"/>
        <v>0.21445194321619743</v>
      </c>
      <c r="Y635">
        <f t="shared" si="28"/>
        <v>5.2092472106596039</v>
      </c>
      <c r="Z635">
        <f t="shared" si="29"/>
        <v>3.1790396164779682</v>
      </c>
    </row>
    <row r="636" spans="12:26" x14ac:dyDescent="0.25">
      <c r="L636" s="4">
        <f>_xll.ICETimeline(_xll.ICEJoinRange(M4:W4),"DF[dow:12345][tl:Calendar]","2020-07-26;2024-07-26",415,-1)</f>
        <v>44620.5</v>
      </c>
      <c r="M636">
        <f>_xll.ICEHistory(M$4,M$5,"DF[dow:12345][tl:Calendar]",$L636)</f>
        <v>85.94</v>
      </c>
      <c r="N636">
        <f>_xll.ICEHistory(M$4,N$5,"DF[dow:12345][tl:Calendar]",$L636)</f>
        <v>86</v>
      </c>
      <c r="O636">
        <f>_xll.ICEHistory(M$4,O$5,"DF[dow:12345][tl:Calendar]",$L636)</f>
        <v>80.12</v>
      </c>
      <c r="P636">
        <f>_xll.ICEHistory(M$4,P$5,"DF[dow:12345][tl:Calendar]",$L636)</f>
        <v>82.65</v>
      </c>
      <c r="Q636">
        <f>_xll.ICEHistory(M$4,Q$5,"DF[dow:12345][tl:Calendar]",$L636)</f>
        <v>36024</v>
      </c>
      <c r="R636">
        <f>_xll.ICEHistory(M$4,R$5,"DF[dow:12345][tl:Calendar]",$L636)</f>
        <v>440812</v>
      </c>
      <c r="S636">
        <f>_xll.ICEHistory(S$4,S$5,"DF[dow:12345][tl:Calendar]",$L636)</f>
        <v>116.49</v>
      </c>
      <c r="T636">
        <f>_xll.ICEHistory(S$4,T$5,"DF[dow:12345][tl:Calendar]",$L636)</f>
        <v>116.49</v>
      </c>
      <c r="U636">
        <f>_xll.ICEHistory(S$4,U$5,"DF[dow:12345][tl:Calendar]",$L636)</f>
        <v>98.594999999999999</v>
      </c>
      <c r="V636">
        <f>_xll.ICEHistory(S$4,V$5,"DF[dow:12345][tl:Calendar]",$L636)</f>
        <v>98.594999999999999</v>
      </c>
      <c r="W636">
        <f>_xll.ICEHistory(S$4,W$5,"DF[dow:12345][tl:Calendar]",$L636)</f>
        <v>30</v>
      </c>
      <c r="X636">
        <f t="shared" si="27"/>
        <v>6.6636446056210288E-2</v>
      </c>
      <c r="Y636">
        <f t="shared" si="28"/>
        <v>0.83418840449884124</v>
      </c>
      <c r="Z636">
        <f t="shared" si="29"/>
        <v>0.54136787033723954</v>
      </c>
    </row>
    <row r="637" spans="12:26" x14ac:dyDescent="0.25">
      <c r="L637" s="4">
        <f>_xll.ICETimeline(_xll.ICEJoinRange(M4:W4),"DF[dow:12345][tl:Calendar]","2020-07-26;2024-07-26",414,-1)</f>
        <v>44617.5</v>
      </c>
      <c r="M637">
        <f>_xll.ICEHistory(M$4,M$5,"DF[dow:12345][tl:Calendar]",$L637)</f>
        <v>88.24</v>
      </c>
      <c r="N637">
        <f>_xll.ICEHistory(M$4,N$5,"DF[dow:12345][tl:Calendar]",$L637)</f>
        <v>89.7</v>
      </c>
      <c r="O637">
        <f>_xll.ICEHistory(M$4,O$5,"DF[dow:12345][tl:Calendar]",$L637)</f>
        <v>87.06</v>
      </c>
      <c r="P637">
        <f>_xll.ICEHistory(M$4,P$5,"DF[dow:12345][tl:Calendar]",$L637)</f>
        <v>87.77</v>
      </c>
      <c r="Q637">
        <f>_xll.ICEHistory(M$4,Q$5,"DF[dow:12345][tl:Calendar]",$L637)</f>
        <v>20866</v>
      </c>
      <c r="R637">
        <f>_xll.ICEHistory(M$4,R$5,"DF[dow:12345][tl:Calendar]",$L637)</f>
        <v>439664</v>
      </c>
      <c r="S637">
        <f>_xll.ICEHistory(S$4,S$5,"DF[dow:12345][tl:Calendar]",$L637)</f>
        <v>94.421999999999997</v>
      </c>
      <c r="T637">
        <f>_xll.ICEHistory(S$4,T$5,"DF[dow:12345][tl:Calendar]",$L637)</f>
        <v>94.421999999999997</v>
      </c>
      <c r="U637">
        <f>_xll.ICEHistory(S$4,U$5,"DF[dow:12345][tl:Calendar]",$L637)</f>
        <v>94.421999999999997</v>
      </c>
      <c r="V637">
        <f>_xll.ICEHistory(S$4,V$5,"DF[dow:12345][tl:Calendar]",$L637)</f>
        <v>94.421999999999997</v>
      </c>
      <c r="W637">
        <f>_xll.ICEHistory(S$4,W$5,"DF[dow:12345][tl:Calendar]",$L637)</f>
        <v>0</v>
      </c>
      <c r="X637">
        <f t="shared" si="27"/>
        <v>2.7789473684210534E-2</v>
      </c>
      <c r="Y637">
        <f t="shared" si="28"/>
        <v>-0.76457764700840436</v>
      </c>
      <c r="Z637">
        <f t="shared" si="29"/>
        <v>-0.51804438544081144</v>
      </c>
    </row>
    <row r="638" spans="12:26" x14ac:dyDescent="0.25">
      <c r="L638" s="4">
        <f>_xll.ICETimeline(_xll.ICEJoinRange(M4:W4),"DF[dow:12345][tl:Calendar]","2020-07-26;2024-07-26",413,-1)</f>
        <v>44616.5</v>
      </c>
      <c r="M638">
        <f>_xll.ICEHistory(M$4,M$5,"DF[dow:12345][tl:Calendar]",$L638)</f>
        <v>95</v>
      </c>
      <c r="N638">
        <f>_xll.ICEHistory(M$4,N$5,"DF[dow:12345][tl:Calendar]",$L638)</f>
        <v>95</v>
      </c>
      <c r="O638">
        <f>_xll.ICEHistory(M$4,O$5,"DF[dow:12345][tl:Calendar]",$L638)</f>
        <v>86.15</v>
      </c>
      <c r="P638">
        <f>_xll.ICEHistory(M$4,P$5,"DF[dow:12345][tl:Calendar]",$L638)</f>
        <v>87.21</v>
      </c>
      <c r="Q638">
        <f>_xll.ICEHistory(M$4,Q$5,"DF[dow:12345][tl:Calendar]",$L638)</f>
        <v>49737</v>
      </c>
      <c r="R638">
        <f>_xll.ICEHistory(M$4,R$5,"DF[dow:12345][tl:Calendar]",$L638)</f>
        <v>439405</v>
      </c>
      <c r="S638">
        <f>_xll.ICEHistory(S$4,S$5,"DF[dow:12345][tl:Calendar]",$L638)</f>
        <v>106.1</v>
      </c>
      <c r="T638">
        <f>_xll.ICEHistory(S$4,T$5,"DF[dow:12345][tl:Calendar]",$L638)</f>
        <v>135</v>
      </c>
      <c r="U638">
        <f>_xll.ICEHistory(S$4,U$5,"DF[dow:12345][tl:Calendar]",$L638)</f>
        <v>106.1</v>
      </c>
      <c r="V638">
        <f>_xll.ICEHistory(S$4,V$5,"DF[dow:12345][tl:Calendar]",$L638)</f>
        <v>134.316</v>
      </c>
      <c r="W638">
        <f>_xll.ICEHistory(S$4,W$5,"DF[dow:12345][tl:Calendar]",$L638)</f>
        <v>2</v>
      </c>
      <c r="X638">
        <f t="shared" si="27"/>
        <v>9.8563314400267221E-2</v>
      </c>
      <c r="Y638">
        <f t="shared" si="28"/>
        <v>2.1865856968049551</v>
      </c>
      <c r="Z638">
        <f t="shared" si="29"/>
        <v>1.479943788012859</v>
      </c>
    </row>
    <row r="639" spans="12:26" x14ac:dyDescent="0.25">
      <c r="L639" s="4">
        <f>_xll.ICETimeline(_xll.ICEJoinRange(M4:W4),"DF[dow:12345][tl:Calendar]","2020-07-26;2024-07-26",412,-1)</f>
        <v>44615.5</v>
      </c>
      <c r="M639">
        <f>_xll.ICEHistory(M$4,M$5,"DF[dow:12345][tl:Calendar]",$L639)</f>
        <v>89.79</v>
      </c>
      <c r="N639">
        <f>_xll.ICEHistory(M$4,N$5,"DF[dow:12345][tl:Calendar]",$L639)</f>
        <v>95.56</v>
      </c>
      <c r="O639">
        <f>_xll.ICEHistory(M$4,O$5,"DF[dow:12345][tl:Calendar]",$L639)</f>
        <v>89.54</v>
      </c>
      <c r="P639">
        <f>_xll.ICEHistory(M$4,P$5,"DF[dow:12345][tl:Calendar]",$L639)</f>
        <v>94.74</v>
      </c>
      <c r="Q639">
        <f>_xll.ICEHistory(M$4,Q$5,"DF[dow:12345][tl:Calendar]",$L639)</f>
        <v>30152</v>
      </c>
      <c r="R639">
        <f>_xll.ICEHistory(M$4,R$5,"DF[dow:12345][tl:Calendar]",$L639)</f>
        <v>439379</v>
      </c>
      <c r="S639">
        <f>_xll.ICEHistory(S$4,S$5,"DF[dow:12345][tl:Calendar]",$L639)</f>
        <v>83.174999999999997</v>
      </c>
      <c r="T639">
        <f>_xll.ICEHistory(S$4,T$5,"DF[dow:12345][tl:Calendar]",$L639)</f>
        <v>88.891000000000005</v>
      </c>
      <c r="U639">
        <f>_xll.ICEHistory(S$4,U$5,"DF[dow:12345][tl:Calendar]",$L639)</f>
        <v>83.174999999999997</v>
      </c>
      <c r="V639">
        <f>_xll.ICEHistory(S$4,V$5,"DF[dow:12345][tl:Calendar]",$L639)</f>
        <v>88.891000000000005</v>
      </c>
      <c r="W639">
        <f>_xll.ICEHistory(S$4,W$5,"DF[dow:12345][tl:Calendar]",$L639)</f>
        <v>42</v>
      </c>
      <c r="X639">
        <f t="shared" si="27"/>
        <v>6.6963292547274705E-2</v>
      </c>
      <c r="Y639">
        <f t="shared" si="28"/>
        <v>0.93251655503085529</v>
      </c>
      <c r="Z639">
        <f t="shared" si="29"/>
        <v>0.12877179437098249</v>
      </c>
    </row>
    <row r="640" spans="12:26" x14ac:dyDescent="0.25">
      <c r="L640" s="4">
        <f>_xll.ICETimeline(_xll.ICEJoinRange(M4:W4),"DF[dow:12345][tl:Calendar]","2020-07-26;2024-07-26",411,-1)</f>
        <v>44614.5</v>
      </c>
      <c r="M640">
        <f>_xll.ICEHistory(M$4,M$5,"DF[dow:12345][tl:Calendar]",$L640)</f>
        <v>89.9</v>
      </c>
      <c r="N640">
        <f>_xll.ICEHistory(M$4,N$5,"DF[dow:12345][tl:Calendar]",$L640)</f>
        <v>90.28</v>
      </c>
      <c r="O640">
        <f>_xll.ICEHistory(M$4,O$5,"DF[dow:12345][tl:Calendar]",$L640)</f>
        <v>88.1</v>
      </c>
      <c r="P640">
        <f>_xll.ICEHistory(M$4,P$5,"DF[dow:12345][tl:Calendar]",$L640)</f>
        <v>89.64</v>
      </c>
      <c r="Q640">
        <f>_xll.ICEHistory(M$4,Q$5,"DF[dow:12345][tl:Calendar]",$L640)</f>
        <v>22306</v>
      </c>
      <c r="R640">
        <f>_xll.ICEHistory(M$4,R$5,"DF[dow:12345][tl:Calendar]",$L640)</f>
        <v>438361</v>
      </c>
      <c r="S640">
        <f>_xll.ICEHistory(S$4,S$5,"DF[dow:12345][tl:Calendar]",$L640)</f>
        <v>71.525000000000006</v>
      </c>
      <c r="T640">
        <f>_xll.ICEHistory(S$4,T$5,"DF[dow:12345][tl:Calendar]",$L640)</f>
        <v>80.344999999999999</v>
      </c>
      <c r="U640">
        <f>_xll.ICEHistory(S$4,U$5,"DF[dow:12345][tl:Calendar]",$L640)</f>
        <v>71.525000000000006</v>
      </c>
      <c r="V640">
        <f>_xll.ICEHistory(S$4,V$5,"DF[dow:12345][tl:Calendar]",$L640)</f>
        <v>79.789000000000001</v>
      </c>
      <c r="W640">
        <f>_xll.ICEHistory(S$4,W$5,"DF[dow:12345][tl:Calendar]",$L640)</f>
        <v>370</v>
      </c>
      <c r="X640">
        <f t="shared" si="27"/>
        <v>2.4475131918715694E-2</v>
      </c>
      <c r="Y640">
        <f t="shared" si="28"/>
        <v>-0.92128217911886245</v>
      </c>
      <c r="Z640">
        <f t="shared" si="29"/>
        <v>-0.42692230973080836</v>
      </c>
    </row>
    <row r="641" spans="12:26" x14ac:dyDescent="0.25">
      <c r="L641" s="4">
        <f>_xll.ICETimeline(_xll.ICEJoinRange(M4:W4),"DF[dow:12345][tl:Calendar]","2020-07-26;2024-07-26",410,-1)</f>
        <v>44613.5</v>
      </c>
      <c r="M641">
        <f>_xll.ICEHistory(M$4,M$5,"DF[dow:12345][tl:Calendar]",$L641)</f>
        <v>89.07</v>
      </c>
      <c r="N641">
        <f>_xll.ICEHistory(M$4,N$5,"DF[dow:12345][tl:Calendar]",$L641)</f>
        <v>90.95</v>
      </c>
      <c r="O641">
        <f>_xll.ICEHistory(M$4,O$5,"DF[dow:12345][tl:Calendar]",$L641)</f>
        <v>88.02</v>
      </c>
      <c r="P641">
        <f>_xll.ICEHistory(M$4,P$5,"DF[dow:12345][tl:Calendar]",$L641)</f>
        <v>89.39</v>
      </c>
      <c r="Q641">
        <f>_xll.ICEHistory(M$4,Q$5,"DF[dow:12345][tl:Calendar]",$L641)</f>
        <v>19946</v>
      </c>
      <c r="R641">
        <f>_xll.ICEHistory(M$4,R$5,"DF[dow:12345][tl:Calendar]",$L641)</f>
        <v>438258</v>
      </c>
      <c r="S641">
        <f>_xll.ICEHistory(S$4,S$5,"DF[dow:12345][tl:Calendar]",$L641)</f>
        <v>72.974999999999994</v>
      </c>
      <c r="T641">
        <f>_xll.ICEHistory(S$4,T$5,"DF[dow:12345][tl:Calendar]",$L641)</f>
        <v>73.900000000000006</v>
      </c>
      <c r="U641">
        <f>_xll.ICEHistory(S$4,U$5,"DF[dow:12345][tl:Calendar]",$L641)</f>
        <v>70.569999999999993</v>
      </c>
      <c r="V641">
        <f>_xll.ICEHistory(S$4,V$5,"DF[dow:12345][tl:Calendar]",$L641)</f>
        <v>73.762</v>
      </c>
      <c r="W641">
        <f>_xll.ICEHistory(S$4,W$5,"DF[dow:12345][tl:Calendar]",$L641)</f>
        <v>0</v>
      </c>
      <c r="X641">
        <f t="shared" si="27"/>
        <v>3.4006499535747525E-2</v>
      </c>
      <c r="Y641">
        <f t="shared" si="28"/>
        <v>-0.50632516234253444</v>
      </c>
      <c r="Z641">
        <f t="shared" si="29"/>
        <v>-0.60535287285180639</v>
      </c>
    </row>
    <row r="642" spans="12:26" x14ac:dyDescent="0.25">
      <c r="L642" s="4">
        <f>_xll.ICETimeline(_xll.ICEJoinRange(M4:W4),"DF[dow:12345][tl:Calendar]","2020-07-26;2024-07-26",409,-1)</f>
        <v>44610.5</v>
      </c>
      <c r="M642">
        <f>_xll.ICEHistory(M$4,M$5,"DF[dow:12345][tl:Calendar]",$L642)</f>
        <v>86.16</v>
      </c>
      <c r="N642">
        <f>_xll.ICEHistory(M$4,N$5,"DF[dow:12345][tl:Calendar]",$L642)</f>
        <v>89.66</v>
      </c>
      <c r="O642">
        <f>_xll.ICEHistory(M$4,O$5,"DF[dow:12345][tl:Calendar]",$L642)</f>
        <v>86.16</v>
      </c>
      <c r="P642">
        <f>_xll.ICEHistory(M$4,P$5,"DF[dow:12345][tl:Calendar]",$L642)</f>
        <v>89.07</v>
      </c>
      <c r="Q642">
        <f>_xll.ICEHistory(M$4,Q$5,"DF[dow:12345][tl:Calendar]",$L642)</f>
        <v>21366</v>
      </c>
      <c r="R642">
        <f>_xll.ICEHistory(M$4,R$5,"DF[dow:12345][tl:Calendar]",$L642)</f>
        <v>437385</v>
      </c>
      <c r="S642">
        <f>_xll.ICEHistory(S$4,S$5,"DF[dow:12345][tl:Calendar]",$L642)</f>
        <v>72.974999999999994</v>
      </c>
      <c r="T642">
        <f>_xll.ICEHistory(S$4,T$5,"DF[dow:12345][tl:Calendar]",$L642)</f>
        <v>73.900000000000006</v>
      </c>
      <c r="U642">
        <f>_xll.ICEHistory(S$4,U$5,"DF[dow:12345][tl:Calendar]",$L642)</f>
        <v>70.569999999999993</v>
      </c>
      <c r="V642">
        <f>_xll.ICEHistory(S$4,V$5,"DF[dow:12345][tl:Calendar]",$L642)</f>
        <v>73.762</v>
      </c>
      <c r="W642">
        <f>_xll.ICEHistory(S$4,W$5,"DF[dow:12345][tl:Calendar]",$L642)</f>
        <v>46</v>
      </c>
      <c r="X642">
        <f t="shared" si="27"/>
        <v>3.8958147818343718E-2</v>
      </c>
      <c r="Y642">
        <f t="shared" si="28"/>
        <v>-0.28458914321213058</v>
      </c>
      <c r="Z642">
        <f t="shared" si="29"/>
        <v>-0.51401940504060772</v>
      </c>
    </row>
    <row r="643" spans="12:26" x14ac:dyDescent="0.25">
      <c r="L643" s="4">
        <f>_xll.ICETimeline(_xll.ICEJoinRange(M4:W4),"DF[dow:12345][tl:Calendar]","2020-07-26;2024-07-26",408,-1)</f>
        <v>44609.5</v>
      </c>
      <c r="M643">
        <f>_xll.ICEHistory(M$4,M$5,"DF[dow:12345][tl:Calendar]",$L643)</f>
        <v>89.84</v>
      </c>
      <c r="N643">
        <f>_xll.ICEHistory(M$4,N$5,"DF[dow:12345][tl:Calendar]",$L643)</f>
        <v>90.45</v>
      </c>
      <c r="O643">
        <f>_xll.ICEHistory(M$4,O$5,"DF[dow:12345][tl:Calendar]",$L643)</f>
        <v>85.8</v>
      </c>
      <c r="P643">
        <f>_xll.ICEHistory(M$4,P$5,"DF[dow:12345][tl:Calendar]",$L643)</f>
        <v>86.43</v>
      </c>
      <c r="Q643">
        <f>_xll.ICEHistory(M$4,Q$5,"DF[dow:12345][tl:Calendar]",$L643)</f>
        <v>31592</v>
      </c>
      <c r="R643">
        <f>_xll.ICEHistory(M$4,R$5,"DF[dow:12345][tl:Calendar]",$L643)</f>
        <v>438767</v>
      </c>
      <c r="S643">
        <f>_xll.ICEHistory(S$4,S$5,"DF[dow:12345][tl:Calendar]",$L643)</f>
        <v>73.349999999999994</v>
      </c>
      <c r="T643">
        <f>_xll.ICEHistory(S$4,T$5,"DF[dow:12345][tl:Calendar]",$L643)</f>
        <v>75.150000000000006</v>
      </c>
      <c r="U643">
        <f>_xll.ICEHistory(S$4,U$5,"DF[dow:12345][tl:Calendar]",$L643)</f>
        <v>71.34</v>
      </c>
      <c r="V643">
        <f>_xll.ICEHistory(S$4,V$5,"DF[dow:12345][tl:Calendar]",$L643)</f>
        <v>74.914000000000001</v>
      </c>
      <c r="W643">
        <f>_xll.ICEHistory(S$4,W$5,"DF[dow:12345][tl:Calendar]",$L643)</f>
        <v>53</v>
      </c>
      <c r="X643">
        <f t="shared" si="27"/>
        <v>5.1500719902536331E-2</v>
      </c>
      <c r="Y643">
        <f t="shared" si="28"/>
        <v>0.27507640772390807</v>
      </c>
      <c r="Z643">
        <f t="shared" si="29"/>
        <v>0.19893499895315492</v>
      </c>
    </row>
    <row r="644" spans="12:26" x14ac:dyDescent="0.25">
      <c r="L644" s="4">
        <f>_xll.ICETimeline(_xll.ICEJoinRange(M4:W4),"DF[dow:12345][tl:Calendar]","2020-07-26;2024-07-26",407,-1)</f>
        <v>44608.5</v>
      </c>
      <c r="M644">
        <f>_xll.ICEHistory(M$4,M$5,"DF[dow:12345][tl:Calendar]",$L644)</f>
        <v>90.29</v>
      </c>
      <c r="N644">
        <f>_xll.ICEHistory(M$4,N$5,"DF[dow:12345][tl:Calendar]",$L644)</f>
        <v>91.21</v>
      </c>
      <c r="O644">
        <f>_xll.ICEHistory(M$4,O$5,"DF[dow:12345][tl:Calendar]",$L644)</f>
        <v>87.77</v>
      </c>
      <c r="P644">
        <f>_xll.ICEHistory(M$4,P$5,"DF[dow:12345][tl:Calendar]",$L644)</f>
        <v>89.78</v>
      </c>
      <c r="Q644">
        <f>_xll.ICEHistory(M$4,Q$5,"DF[dow:12345][tl:Calendar]",$L644)</f>
        <v>31053</v>
      </c>
      <c r="R644">
        <f>_xll.ICEHistory(M$4,R$5,"DF[dow:12345][tl:Calendar]",$L644)</f>
        <v>436913</v>
      </c>
      <c r="S644">
        <f>_xll.ICEHistory(S$4,S$5,"DF[dow:12345][tl:Calendar]",$L644)</f>
        <v>69.094999999999999</v>
      </c>
      <c r="T644">
        <f>_xll.ICEHistory(S$4,T$5,"DF[dow:12345][tl:Calendar]",$L644)</f>
        <v>71</v>
      </c>
      <c r="U644">
        <f>_xll.ICEHistory(S$4,U$5,"DF[dow:12345][tl:Calendar]",$L644)</f>
        <v>68.97</v>
      </c>
      <c r="V644">
        <f>_xll.ICEHistory(S$4,V$5,"DF[dow:12345][tl:Calendar]",$L644)</f>
        <v>69.795000000000002</v>
      </c>
      <c r="W644">
        <f>_xll.ICEHistory(S$4,W$5,"DF[dow:12345][tl:Calendar]",$L644)</f>
        <v>104</v>
      </c>
      <c r="X644">
        <f t="shared" si="27"/>
        <v>3.7603847835592452E-2</v>
      </c>
      <c r="Y644">
        <f t="shared" si="28"/>
        <v>-0.32257296654456658</v>
      </c>
      <c r="Z644">
        <f t="shared" si="29"/>
        <v>0.16436679161524739</v>
      </c>
    </row>
    <row r="645" spans="12:26" x14ac:dyDescent="0.25">
      <c r="L645" s="4">
        <f>_xll.ICETimeline(_xll.ICEJoinRange(M4:W4),"DF[dow:12345][tl:Calendar]","2020-07-26;2024-07-26",406,-1)</f>
        <v>44607.5</v>
      </c>
      <c r="M645">
        <f>_xll.ICEHistory(M$4,M$5,"DF[dow:12345][tl:Calendar]",$L645)</f>
        <v>91.48</v>
      </c>
      <c r="N645">
        <f>_xll.ICEHistory(M$4,N$5,"DF[dow:12345][tl:Calendar]",$L645)</f>
        <v>92.75</v>
      </c>
      <c r="O645">
        <f>_xll.ICEHistory(M$4,O$5,"DF[dow:12345][tl:Calendar]",$L645)</f>
        <v>90.31</v>
      </c>
      <c r="P645">
        <f>_xll.ICEHistory(M$4,P$5,"DF[dow:12345][tl:Calendar]",$L645)</f>
        <v>90.31</v>
      </c>
      <c r="Q645">
        <f>_xll.ICEHistory(M$4,Q$5,"DF[dow:12345][tl:Calendar]",$L645)</f>
        <v>26149</v>
      </c>
      <c r="R645">
        <f>_xll.ICEHistory(M$4,R$5,"DF[dow:12345][tl:Calendar]",$L645)</f>
        <v>437571</v>
      </c>
      <c r="S645">
        <f>_xll.ICEHistory(S$4,S$5,"DF[dow:12345][tl:Calendar]",$L645)</f>
        <v>76.06</v>
      </c>
      <c r="T645">
        <f>_xll.ICEHistory(S$4,T$5,"DF[dow:12345][tl:Calendar]",$L645)</f>
        <v>76.17</v>
      </c>
      <c r="U645">
        <f>_xll.ICEHistory(S$4,U$5,"DF[dow:12345][tl:Calendar]",$L645)</f>
        <v>68.515000000000001</v>
      </c>
      <c r="V645">
        <f>_xll.ICEHistory(S$4,V$5,"DF[dow:12345][tl:Calendar]",$L645)</f>
        <v>70.918999999999997</v>
      </c>
      <c r="W645">
        <f>_xll.ICEHistory(S$4,W$5,"DF[dow:12345][tl:Calendar]",$L645)</f>
        <v>126</v>
      </c>
      <c r="X645">
        <f t="shared" si="27"/>
        <v>2.604055496264672E-2</v>
      </c>
      <c r="Y645">
        <f t="shared" si="28"/>
        <v>-0.81208284813006681</v>
      </c>
      <c r="Z645">
        <f t="shared" si="29"/>
        <v>-0.1854533219748464</v>
      </c>
    </row>
    <row r="646" spans="12:26" x14ac:dyDescent="0.25">
      <c r="L646" s="4">
        <f>_xll.ICETimeline(_xll.ICEJoinRange(M4:W4),"DF[dow:12345][tl:Calendar]","2020-07-26;2024-07-26",405,-1)</f>
        <v>44606.5</v>
      </c>
      <c r="M646">
        <f>_xll.ICEHistory(M$4,M$5,"DF[dow:12345][tl:Calendar]",$L646)</f>
        <v>93.7</v>
      </c>
      <c r="N646">
        <f>_xll.ICEHistory(M$4,N$5,"DF[dow:12345][tl:Calendar]",$L646)</f>
        <v>94</v>
      </c>
      <c r="O646">
        <f>_xll.ICEHistory(M$4,O$5,"DF[dow:12345][tl:Calendar]",$L646)</f>
        <v>89.9</v>
      </c>
      <c r="P646">
        <f>_xll.ICEHistory(M$4,P$5,"DF[dow:12345][tl:Calendar]",$L646)</f>
        <v>92</v>
      </c>
      <c r="Q646">
        <f>_xll.ICEHistory(M$4,Q$5,"DF[dow:12345][tl:Calendar]",$L646)</f>
        <v>23371</v>
      </c>
      <c r="R646">
        <f>_xll.ICEHistory(M$4,R$5,"DF[dow:12345][tl:Calendar]",$L646)</f>
        <v>438070</v>
      </c>
      <c r="S646">
        <f>_xll.ICEHistory(S$4,S$5,"DF[dow:12345][tl:Calendar]",$L646)</f>
        <v>83.6</v>
      </c>
      <c r="T646">
        <f>_xll.ICEHistory(S$4,T$5,"DF[dow:12345][tl:Calendar]",$L646)</f>
        <v>83.6</v>
      </c>
      <c r="U646">
        <f>_xll.ICEHistory(S$4,U$5,"DF[dow:12345][tl:Calendar]",$L646)</f>
        <v>79.694999999999993</v>
      </c>
      <c r="V646">
        <f>_xll.ICEHistory(S$4,V$5,"DF[dow:12345][tl:Calendar]",$L646)</f>
        <v>80.771000000000001</v>
      </c>
      <c r="W646">
        <f>_xll.ICEHistory(S$4,W$5,"DF[dow:12345][tl:Calendar]",$L646)</f>
        <v>302</v>
      </c>
      <c r="X646">
        <f t="shared" si="27"/>
        <v>4.5303867403314851E-2</v>
      </c>
      <c r="Y646">
        <f t="shared" si="28"/>
        <v>1.8561629882281591E-2</v>
      </c>
      <c r="Z646">
        <f t="shared" si="29"/>
        <v>-0.38934472454584573</v>
      </c>
    </row>
    <row r="647" spans="12:26" x14ac:dyDescent="0.25">
      <c r="L647" s="4">
        <f>_xll.ICETimeline(_xll.ICEJoinRange(M4:W4),"DF[dow:12345][tl:Calendar]","2020-07-26;2024-07-26",404,-1)</f>
        <v>44603.5</v>
      </c>
      <c r="M647">
        <f>_xll.ICEHistory(M$4,M$5,"DF[dow:12345][tl:Calendar]",$L647)</f>
        <v>90.5</v>
      </c>
      <c r="N647">
        <f>_xll.ICEHistory(M$4,N$5,"DF[dow:12345][tl:Calendar]",$L647)</f>
        <v>93.38</v>
      </c>
      <c r="O647">
        <f>_xll.ICEHistory(M$4,O$5,"DF[dow:12345][tl:Calendar]",$L647)</f>
        <v>88.5</v>
      </c>
      <c r="P647">
        <f>_xll.ICEHistory(M$4,P$5,"DF[dow:12345][tl:Calendar]",$L647)</f>
        <v>92.68</v>
      </c>
      <c r="Q647">
        <f>_xll.ICEHistory(M$4,Q$5,"DF[dow:12345][tl:Calendar]",$L647)</f>
        <v>24984</v>
      </c>
      <c r="R647">
        <f>_xll.ICEHistory(M$4,R$5,"DF[dow:12345][tl:Calendar]",$L647)</f>
        <v>436900</v>
      </c>
      <c r="S647">
        <f>_xll.ICEHistory(S$4,S$5,"DF[dow:12345][tl:Calendar]",$L647)</f>
        <v>73.415000000000006</v>
      </c>
      <c r="T647">
        <f>_xll.ICEHistory(S$4,T$5,"DF[dow:12345][tl:Calendar]",$L647)</f>
        <v>77.426000000000002</v>
      </c>
      <c r="U647">
        <f>_xll.ICEHistory(S$4,U$5,"DF[dow:12345][tl:Calendar]",$L647)</f>
        <v>73.305000000000007</v>
      </c>
      <c r="V647">
        <f>_xll.ICEHistory(S$4,V$5,"DF[dow:12345][tl:Calendar]",$L647)</f>
        <v>77.426000000000002</v>
      </c>
      <c r="W647">
        <f>_xll.ICEHistory(S$4,W$5,"DF[dow:12345][tl:Calendar]",$L647)</f>
        <v>167</v>
      </c>
      <c r="X647">
        <f t="shared" si="27"/>
        <v>5.3362493165664243E-2</v>
      </c>
      <c r="Y647">
        <f t="shared" si="28"/>
        <v>0.36059734582789621</v>
      </c>
      <c r="Z647">
        <f t="shared" si="29"/>
        <v>-0.27481009684648738</v>
      </c>
    </row>
    <row r="648" spans="12:26" x14ac:dyDescent="0.25">
      <c r="L648" s="4">
        <f>_xll.ICETimeline(_xll.ICEJoinRange(M4:W4),"DF[dow:12345][tl:Calendar]","2020-07-26;2024-07-26",403,-1)</f>
        <v>44602.5</v>
      </c>
      <c r="M648">
        <f>_xll.ICEHistory(M$4,M$5,"DF[dow:12345][tl:Calendar]",$L648)</f>
        <v>91.45</v>
      </c>
      <c r="N648">
        <f>_xll.ICEHistory(M$4,N$5,"DF[dow:12345][tl:Calendar]",$L648)</f>
        <v>93.42</v>
      </c>
      <c r="O648">
        <f>_xll.ICEHistory(M$4,O$5,"DF[dow:12345][tl:Calendar]",$L648)</f>
        <v>89.25</v>
      </c>
      <c r="P648">
        <f>_xll.ICEHistory(M$4,P$5,"DF[dow:12345][tl:Calendar]",$L648)</f>
        <v>91.19</v>
      </c>
      <c r="Q648">
        <f>_xll.ICEHistory(M$4,Q$5,"DF[dow:12345][tl:Calendar]",$L648)</f>
        <v>28871</v>
      </c>
      <c r="R648">
        <f>_xll.ICEHistory(M$4,R$5,"DF[dow:12345][tl:Calendar]",$L648)</f>
        <v>437756</v>
      </c>
      <c r="S648">
        <f>_xll.ICEHistory(S$4,S$5,"DF[dow:12345][tl:Calendar]",$L648)</f>
        <v>74.03</v>
      </c>
      <c r="T648">
        <f>_xll.ICEHistory(S$4,T$5,"DF[dow:12345][tl:Calendar]",$L648)</f>
        <v>74.680000000000007</v>
      </c>
      <c r="U648">
        <f>_xll.ICEHistory(S$4,U$5,"DF[dow:12345][tl:Calendar]",$L648)</f>
        <v>72.47</v>
      </c>
      <c r="V648">
        <f>_xll.ICEHistory(S$4,V$5,"DF[dow:12345][tl:Calendar]",$L648)</f>
        <v>74.352999999999994</v>
      </c>
      <c r="W648">
        <f>_xll.ICEHistory(S$4,W$5,"DF[dow:12345][tl:Calendar]",$L648)</f>
        <v>154</v>
      </c>
      <c r="X648">
        <f t="shared" si="27"/>
        <v>4.3306677744314064E-2</v>
      </c>
      <c r="Y648">
        <f t="shared" si="28"/>
        <v>-5.2002511420654998E-2</v>
      </c>
      <c r="Z648">
        <f t="shared" si="29"/>
        <v>1.0009216762877316E-3</v>
      </c>
    </row>
    <row r="649" spans="12:26" x14ac:dyDescent="0.25">
      <c r="L649" s="4">
        <f>_xll.ICETimeline(_xll.ICEJoinRange(M4:W4),"DF[dow:12345][tl:Calendar]","2020-07-26;2024-07-26",402,-1)</f>
        <v>44601.5</v>
      </c>
      <c r="M649">
        <f>_xll.ICEHistory(M$4,M$5,"DF[dow:12345][tl:Calendar]",$L649)</f>
        <v>96.29</v>
      </c>
      <c r="N649">
        <f>_xll.ICEHistory(M$4,N$5,"DF[dow:12345][tl:Calendar]",$L649)</f>
        <v>97.6</v>
      </c>
      <c r="O649">
        <f>_xll.ICEHistory(M$4,O$5,"DF[dow:12345][tl:Calendar]",$L649)</f>
        <v>90.26</v>
      </c>
      <c r="P649">
        <f>_xll.ICEHistory(M$4,P$5,"DF[dow:12345][tl:Calendar]",$L649)</f>
        <v>91.84</v>
      </c>
      <c r="Q649">
        <f>_xll.ICEHistory(M$4,Q$5,"DF[dow:12345][tl:Calendar]",$L649)</f>
        <v>35633</v>
      </c>
      <c r="R649">
        <f>_xll.ICEHistory(M$4,R$5,"DF[dow:12345][tl:Calendar]",$L649)</f>
        <v>437815</v>
      </c>
      <c r="S649">
        <f>_xll.ICEHistory(S$4,S$5,"DF[dow:12345][tl:Calendar]",$L649)</f>
        <v>76.694999999999993</v>
      </c>
      <c r="T649">
        <f>_xll.ICEHistory(S$4,T$5,"DF[dow:12345][tl:Calendar]",$L649)</f>
        <v>76.694999999999993</v>
      </c>
      <c r="U649">
        <f>_xll.ICEHistory(S$4,U$5,"DF[dow:12345][tl:Calendar]",$L649)</f>
        <v>73.834999999999994</v>
      </c>
      <c r="V649">
        <f>_xll.ICEHistory(S$4,V$5,"DF[dow:12345][tl:Calendar]",$L649)</f>
        <v>74.417000000000002</v>
      </c>
      <c r="W649">
        <f>_xll.ICEHistory(S$4,W$5,"DF[dow:12345][tl:Calendar]",$L649)</f>
        <v>70</v>
      </c>
      <c r="X649">
        <f t="shared" ref="X649:X712" si="30">IFERROR((N649-O649)/M650, "")</f>
        <v>7.5670103092783395E-2</v>
      </c>
      <c r="Y649">
        <f t="shared" ref="Y649:Y712" si="31">IFERROR((X649-AVERAGE(X649:X713))/_xlfn.STDEV.S(X649:X713),"")</f>
        <v>1.3397006081155256</v>
      </c>
      <c r="Z649">
        <f t="shared" ref="Z649:Z712" si="32">IFERROR((Q649-AVERAGE(Q649:Q714))/_xlfn.STDEV.S(Q649:Q714),"")</f>
        <v>0.4742221599228359</v>
      </c>
    </row>
    <row r="650" spans="12:26" x14ac:dyDescent="0.25">
      <c r="L650" s="4">
        <f>_xll.ICETimeline(_xll.ICEJoinRange(M4:W4),"DF[dow:12345][tl:Calendar]","2020-07-26;2024-07-26",401,-1)</f>
        <v>44600.5</v>
      </c>
      <c r="M650">
        <f>_xll.ICEHistory(M$4,M$5,"DF[dow:12345][tl:Calendar]",$L650)</f>
        <v>97</v>
      </c>
      <c r="N650">
        <f>_xll.ICEHistory(M$4,N$5,"DF[dow:12345][tl:Calendar]",$L650)</f>
        <v>98.49</v>
      </c>
      <c r="O650">
        <f>_xll.ICEHistory(M$4,O$5,"DF[dow:12345][tl:Calendar]",$L650)</f>
        <v>95.25</v>
      </c>
      <c r="P650">
        <f>_xll.ICEHistory(M$4,P$5,"DF[dow:12345][tl:Calendar]",$L650)</f>
        <v>95.81</v>
      </c>
      <c r="Q650">
        <f>_xll.ICEHistory(M$4,Q$5,"DF[dow:12345][tl:Calendar]",$L650)</f>
        <v>30319</v>
      </c>
      <c r="R650">
        <f>_xll.ICEHistory(M$4,R$5,"DF[dow:12345][tl:Calendar]",$L650)</f>
        <v>436729</v>
      </c>
      <c r="S650">
        <f>_xll.ICEHistory(S$4,S$5,"DF[dow:12345][tl:Calendar]",$L650)</f>
        <v>81.48</v>
      </c>
      <c r="T650">
        <f>_xll.ICEHistory(S$4,T$5,"DF[dow:12345][tl:Calendar]",$L650)</f>
        <v>82</v>
      </c>
      <c r="U650">
        <f>_xll.ICEHistory(S$4,U$5,"DF[dow:12345][tl:Calendar]",$L650)</f>
        <v>75.48</v>
      </c>
      <c r="V650">
        <f>_xll.ICEHistory(S$4,V$5,"DF[dow:12345][tl:Calendar]",$L650)</f>
        <v>77.3</v>
      </c>
      <c r="W650">
        <f>_xll.ICEHistory(S$4,W$5,"DF[dow:12345][tl:Calendar]",$L650)</f>
        <v>321</v>
      </c>
      <c r="X650">
        <f t="shared" si="30"/>
        <v>3.353342993169111E-2</v>
      </c>
      <c r="Y650">
        <f t="shared" si="31"/>
        <v>-0.45465902973131095</v>
      </c>
      <c r="Z650">
        <f t="shared" si="32"/>
        <v>0.10471316961406252</v>
      </c>
    </row>
    <row r="651" spans="12:26" x14ac:dyDescent="0.25">
      <c r="L651" s="4">
        <f>_xll.ICETimeline(_xll.ICEJoinRange(M4:W4),"DF[dow:12345][tl:Calendar]","2020-07-26;2024-07-26",400,-1)</f>
        <v>44599.5</v>
      </c>
      <c r="M651">
        <f>_xll.ICEHistory(M$4,M$5,"DF[dow:12345][tl:Calendar]",$L651)</f>
        <v>96.62</v>
      </c>
      <c r="N651">
        <f>_xll.ICEHistory(M$4,N$5,"DF[dow:12345][tl:Calendar]",$L651)</f>
        <v>96.8</v>
      </c>
      <c r="O651">
        <f>_xll.ICEHistory(M$4,O$5,"DF[dow:12345][tl:Calendar]",$L651)</f>
        <v>93.7</v>
      </c>
      <c r="P651">
        <f>_xll.ICEHistory(M$4,P$5,"DF[dow:12345][tl:Calendar]",$L651)</f>
        <v>96.29</v>
      </c>
      <c r="Q651">
        <f>_xll.ICEHistory(M$4,Q$5,"DF[dow:12345][tl:Calendar]",$L651)</f>
        <v>24298</v>
      </c>
      <c r="R651">
        <f>_xll.ICEHistory(M$4,R$5,"DF[dow:12345][tl:Calendar]",$L651)</f>
        <v>433363</v>
      </c>
      <c r="S651">
        <f>_xll.ICEHistory(S$4,S$5,"DF[dow:12345][tl:Calendar]",$L651)</f>
        <v>78.8</v>
      </c>
      <c r="T651">
        <f>_xll.ICEHistory(S$4,T$5,"DF[dow:12345][tl:Calendar]",$L651)</f>
        <v>79.739999999999995</v>
      </c>
      <c r="U651">
        <f>_xll.ICEHistory(S$4,U$5,"DF[dow:12345][tl:Calendar]",$L651)</f>
        <v>77.849999999999994</v>
      </c>
      <c r="V651">
        <f>_xll.ICEHistory(S$4,V$5,"DF[dow:12345][tl:Calendar]",$L651)</f>
        <v>79.594999999999999</v>
      </c>
      <c r="W651">
        <f>_xll.ICEHistory(S$4,W$5,"DF[dow:12345][tl:Calendar]",$L651)</f>
        <v>68</v>
      </c>
      <c r="X651">
        <f t="shared" si="30"/>
        <v>3.2669406681420529E-2</v>
      </c>
      <c r="Y651">
        <f t="shared" si="31"/>
        <v>-0.48479248818364756</v>
      </c>
      <c r="Z651">
        <f t="shared" si="32"/>
        <v>-0.31767834586997573</v>
      </c>
    </row>
    <row r="652" spans="12:26" x14ac:dyDescent="0.25">
      <c r="L652" s="4">
        <f>_xll.ICETimeline(_xll.ICEJoinRange(M4:W4),"DF[dow:12345][tl:Calendar]","2020-07-26;2024-07-26",399,-1)</f>
        <v>44596.5</v>
      </c>
      <c r="M652">
        <f>_xll.ICEHistory(M$4,M$5,"DF[dow:12345][tl:Calendar]",$L652)</f>
        <v>94.89</v>
      </c>
      <c r="N652">
        <f>_xll.ICEHistory(M$4,N$5,"DF[dow:12345][tl:Calendar]",$L652)</f>
        <v>97.5</v>
      </c>
      <c r="O652">
        <f>_xll.ICEHistory(M$4,O$5,"DF[dow:12345][tl:Calendar]",$L652)</f>
        <v>94.44</v>
      </c>
      <c r="P652">
        <f>_xll.ICEHistory(M$4,P$5,"DF[dow:12345][tl:Calendar]",$L652)</f>
        <v>96.43</v>
      </c>
      <c r="Q652">
        <f>_xll.ICEHistory(M$4,Q$5,"DF[dow:12345][tl:Calendar]",$L652)</f>
        <v>27888</v>
      </c>
      <c r="R652">
        <f>_xll.ICEHistory(M$4,R$5,"DF[dow:12345][tl:Calendar]",$L652)</f>
        <v>434582</v>
      </c>
      <c r="S652">
        <f>_xll.ICEHistory(S$4,S$5,"DF[dow:12345][tl:Calendar]",$L652)</f>
        <v>81.47</v>
      </c>
      <c r="T652">
        <f>_xll.ICEHistory(S$4,T$5,"DF[dow:12345][tl:Calendar]",$L652)</f>
        <v>82.652000000000001</v>
      </c>
      <c r="U652">
        <f>_xll.ICEHistory(S$4,U$5,"DF[dow:12345][tl:Calendar]",$L652)</f>
        <v>81.47</v>
      </c>
      <c r="V652">
        <f>_xll.ICEHistory(S$4,V$5,"DF[dow:12345][tl:Calendar]",$L652)</f>
        <v>82.652000000000001</v>
      </c>
      <c r="W652">
        <f>_xll.ICEHistory(S$4,W$5,"DF[dow:12345][tl:Calendar]",$L652)</f>
        <v>101</v>
      </c>
      <c r="X652">
        <f t="shared" si="30"/>
        <v>3.2466843501326281E-2</v>
      </c>
      <c r="Y652">
        <f t="shared" si="31"/>
        <v>-0.48408783880277878</v>
      </c>
      <c r="Z652">
        <f t="shared" si="32"/>
        <v>-6.7764052374208697E-2</v>
      </c>
    </row>
    <row r="653" spans="12:26" x14ac:dyDescent="0.25">
      <c r="L653" s="4">
        <f>_xll.ICETimeline(_xll.ICEJoinRange(M4:W4),"DF[dow:12345][tl:Calendar]","2020-07-26;2024-07-26",398,-1)</f>
        <v>44595.5</v>
      </c>
      <c r="M653">
        <f>_xll.ICEHistory(M$4,M$5,"DF[dow:12345][tl:Calendar]",$L653)</f>
        <v>94.25</v>
      </c>
      <c r="N653">
        <f>_xll.ICEHistory(M$4,N$5,"DF[dow:12345][tl:Calendar]",$L653)</f>
        <v>94.94</v>
      </c>
      <c r="O653">
        <f>_xll.ICEHistory(M$4,O$5,"DF[dow:12345][tl:Calendar]",$L653)</f>
        <v>93.1</v>
      </c>
      <c r="P653">
        <f>_xll.ICEHistory(M$4,P$5,"DF[dow:12345][tl:Calendar]",$L653)</f>
        <v>94.49</v>
      </c>
      <c r="Q653">
        <f>_xll.ICEHistory(M$4,Q$5,"DF[dow:12345][tl:Calendar]",$L653)</f>
        <v>22092</v>
      </c>
      <c r="R653">
        <f>_xll.ICEHistory(M$4,R$5,"DF[dow:12345][tl:Calendar]",$L653)</f>
        <v>434287</v>
      </c>
      <c r="S653">
        <f>_xll.ICEHistory(S$4,S$5,"DF[dow:12345][tl:Calendar]",$L653)</f>
        <v>79.599999999999994</v>
      </c>
      <c r="T653">
        <f>_xll.ICEHistory(S$4,T$5,"DF[dow:12345][tl:Calendar]",$L653)</f>
        <v>80.222999999999999</v>
      </c>
      <c r="U653">
        <f>_xll.ICEHistory(S$4,U$5,"DF[dow:12345][tl:Calendar]",$L653)</f>
        <v>77.010000000000005</v>
      </c>
      <c r="V653">
        <f>_xll.ICEHistory(S$4,V$5,"DF[dow:12345][tl:Calendar]",$L653)</f>
        <v>80.222999999999999</v>
      </c>
      <c r="W653">
        <f>_xll.ICEHistory(S$4,W$5,"DF[dow:12345][tl:Calendar]",$L653)</f>
        <v>334</v>
      </c>
      <c r="X653">
        <f t="shared" si="30"/>
        <v>2.0444444444444484E-2</v>
      </c>
      <c r="Y653">
        <f t="shared" si="31"/>
        <v>-0.99973432839187693</v>
      </c>
      <c r="Z653">
        <f t="shared" si="32"/>
        <v>-0.49477346425284585</v>
      </c>
    </row>
    <row r="654" spans="12:26" x14ac:dyDescent="0.25">
      <c r="L654" s="4">
        <f>_xll.ICETimeline(_xll.ICEJoinRange(M4:W4),"DF[dow:12345][tl:Calendar]","2020-07-26;2024-07-26",397,-1)</f>
        <v>44594.5</v>
      </c>
      <c r="M654">
        <f>_xll.ICEHistory(M$4,M$5,"DF[dow:12345][tl:Calendar]",$L654)</f>
        <v>90</v>
      </c>
      <c r="N654">
        <f>_xll.ICEHistory(M$4,N$5,"DF[dow:12345][tl:Calendar]",$L654)</f>
        <v>94.62</v>
      </c>
      <c r="O654">
        <f>_xll.ICEHistory(M$4,O$5,"DF[dow:12345][tl:Calendar]",$L654)</f>
        <v>89.6</v>
      </c>
      <c r="P654">
        <f>_xll.ICEHistory(M$4,P$5,"DF[dow:12345][tl:Calendar]",$L654)</f>
        <v>94.38</v>
      </c>
      <c r="Q654">
        <f>_xll.ICEHistory(M$4,Q$5,"DF[dow:12345][tl:Calendar]",$L654)</f>
        <v>40361</v>
      </c>
      <c r="R654">
        <f>_xll.ICEHistory(M$4,R$5,"DF[dow:12345][tl:Calendar]",$L654)</f>
        <v>433223</v>
      </c>
      <c r="S654">
        <f>_xll.ICEHistory(S$4,S$5,"DF[dow:12345][tl:Calendar]",$L654)</f>
        <v>77.150000000000006</v>
      </c>
      <c r="T654">
        <f>_xll.ICEHistory(S$4,T$5,"DF[dow:12345][tl:Calendar]",$L654)</f>
        <v>79.099999999999994</v>
      </c>
      <c r="U654">
        <f>_xll.ICEHistory(S$4,U$5,"DF[dow:12345][tl:Calendar]",$L654)</f>
        <v>76.290000000000006</v>
      </c>
      <c r="V654">
        <f>_xll.ICEHistory(S$4,V$5,"DF[dow:12345][tl:Calendar]",$L654)</f>
        <v>77.350999999999999</v>
      </c>
      <c r="W654">
        <f>_xll.ICEHistory(S$4,W$5,"DF[dow:12345][tl:Calendar]",$L654)</f>
        <v>379</v>
      </c>
      <c r="X654">
        <f t="shared" si="30"/>
        <v>5.5939380432360269E-2</v>
      </c>
      <c r="Y654">
        <f t="shared" si="31"/>
        <v>0.51189309024094987</v>
      </c>
      <c r="Z654">
        <f t="shared" si="32"/>
        <v>0.77374916298580632</v>
      </c>
    </row>
    <row r="655" spans="12:26" x14ac:dyDescent="0.25">
      <c r="L655" s="4">
        <f>_xll.ICETimeline(_xll.ICEJoinRange(M4:W4),"DF[dow:12345][tl:Calendar]","2020-07-26;2024-07-26",396,-1)</f>
        <v>44593.5</v>
      </c>
      <c r="M655">
        <f>_xll.ICEHistory(M$4,M$5,"DF[dow:12345][tl:Calendar]",$L655)</f>
        <v>89.74</v>
      </c>
      <c r="N655">
        <f>_xll.ICEHistory(M$4,N$5,"DF[dow:12345][tl:Calendar]",$L655)</f>
        <v>89.94</v>
      </c>
      <c r="O655">
        <f>_xll.ICEHistory(M$4,O$5,"DF[dow:12345][tl:Calendar]",$L655)</f>
        <v>87.16</v>
      </c>
      <c r="P655">
        <f>_xll.ICEHistory(M$4,P$5,"DF[dow:12345][tl:Calendar]",$L655)</f>
        <v>89.93</v>
      </c>
      <c r="Q655">
        <f>_xll.ICEHistory(M$4,Q$5,"DF[dow:12345][tl:Calendar]",$L655)</f>
        <v>22349</v>
      </c>
      <c r="R655">
        <f>_xll.ICEHistory(M$4,R$5,"DF[dow:12345][tl:Calendar]",$L655)</f>
        <v>432151</v>
      </c>
      <c r="S655">
        <f>_xll.ICEHistory(S$4,S$5,"DF[dow:12345][tl:Calendar]",$L655)</f>
        <v>78.3</v>
      </c>
      <c r="T655">
        <f>_xll.ICEHistory(S$4,T$5,"DF[dow:12345][tl:Calendar]",$L655)</f>
        <v>78.38</v>
      </c>
      <c r="U655">
        <f>_xll.ICEHistory(S$4,U$5,"DF[dow:12345][tl:Calendar]",$L655)</f>
        <v>74.8</v>
      </c>
      <c r="V655">
        <f>_xll.ICEHistory(S$4,V$5,"DF[dow:12345][tl:Calendar]",$L655)</f>
        <v>76.167000000000002</v>
      </c>
      <c r="W655">
        <f>_xll.ICEHistory(S$4,W$5,"DF[dow:12345][tl:Calendar]",$L655)</f>
        <v>480</v>
      </c>
      <c r="X655">
        <f t="shared" si="30"/>
        <v>3.1106635336242597E-2</v>
      </c>
      <c r="Y655">
        <f t="shared" si="31"/>
        <v>-0.5370609737107781</v>
      </c>
      <c r="Z655">
        <f t="shared" si="32"/>
        <v>-0.47519721418397576</v>
      </c>
    </row>
    <row r="656" spans="12:26" x14ac:dyDescent="0.25">
      <c r="L656" s="4">
        <f>_xll.ICETimeline(_xll.ICEJoinRange(M4:W4),"DF[dow:12345][tl:Calendar]","2020-07-26;2024-07-26",395,-1)</f>
        <v>44592.5</v>
      </c>
      <c r="M656">
        <f>_xll.ICEHistory(M$4,M$5,"DF[dow:12345][tl:Calendar]",$L656)</f>
        <v>89.37</v>
      </c>
      <c r="N656">
        <f>_xll.ICEHistory(M$4,N$5,"DF[dow:12345][tl:Calendar]",$L656)</f>
        <v>89.95</v>
      </c>
      <c r="O656">
        <f>_xll.ICEHistory(M$4,O$5,"DF[dow:12345][tl:Calendar]",$L656)</f>
        <v>88.1</v>
      </c>
      <c r="P656">
        <f>_xll.ICEHistory(M$4,P$5,"DF[dow:12345][tl:Calendar]",$L656)</f>
        <v>89.72</v>
      </c>
      <c r="Q656">
        <f>_xll.ICEHistory(M$4,Q$5,"DF[dow:12345][tl:Calendar]",$L656)</f>
        <v>17720</v>
      </c>
      <c r="R656">
        <f>_xll.ICEHistory(M$4,R$5,"DF[dow:12345][tl:Calendar]",$L656)</f>
        <v>432593</v>
      </c>
      <c r="S656">
        <f>_xll.ICEHistory(S$4,S$5,"DF[dow:12345][tl:Calendar]",$L656)</f>
        <v>84.85</v>
      </c>
      <c r="T656">
        <f>_xll.ICEHistory(S$4,T$5,"DF[dow:12345][tl:Calendar]",$L656)</f>
        <v>84.85</v>
      </c>
      <c r="U656">
        <f>_xll.ICEHistory(S$4,U$5,"DF[dow:12345][tl:Calendar]",$L656)</f>
        <v>84.671999999999997</v>
      </c>
      <c r="V656">
        <f>_xll.ICEHistory(S$4,V$5,"DF[dow:12345][tl:Calendar]",$L656)</f>
        <v>84.671999999999997</v>
      </c>
      <c r="W656">
        <f>_xll.ICEHistory(S$4,W$5,"DF[dow:12345][tl:Calendar]",$L656)</f>
        <v>1</v>
      </c>
      <c r="X656">
        <f t="shared" si="30"/>
        <v>2.0693512304250653E-2</v>
      </c>
      <c r="Y656">
        <f t="shared" si="31"/>
        <v>-0.99813691703301399</v>
      </c>
      <c r="Z656">
        <f t="shared" si="32"/>
        <v>-0.80741288123064525</v>
      </c>
    </row>
    <row r="657" spans="12:26" x14ac:dyDescent="0.25">
      <c r="L657" s="4">
        <f>_xll.ICETimeline(_xll.ICEJoinRange(M4:W4),"DF[dow:12345][tl:Calendar]","2020-07-26;2024-07-26",394,-1)</f>
        <v>44589.5</v>
      </c>
      <c r="M657">
        <f>_xll.ICEHistory(M$4,M$5,"DF[dow:12345][tl:Calendar]",$L657)</f>
        <v>89.4</v>
      </c>
      <c r="N657">
        <f>_xll.ICEHistory(M$4,N$5,"DF[dow:12345][tl:Calendar]",$L657)</f>
        <v>90.63</v>
      </c>
      <c r="O657">
        <f>_xll.ICEHistory(M$4,O$5,"DF[dow:12345][tl:Calendar]",$L657)</f>
        <v>88.88</v>
      </c>
      <c r="P657">
        <f>_xll.ICEHistory(M$4,P$5,"DF[dow:12345][tl:Calendar]",$L657)</f>
        <v>89.39</v>
      </c>
      <c r="Q657">
        <f>_xll.ICEHistory(M$4,Q$5,"DF[dow:12345][tl:Calendar]",$L657)</f>
        <v>19657</v>
      </c>
      <c r="R657">
        <f>_xll.ICEHistory(M$4,R$5,"DF[dow:12345][tl:Calendar]",$L657)</f>
        <v>432330</v>
      </c>
      <c r="S657">
        <f>_xll.ICEHistory(S$4,S$5,"DF[dow:12345][tl:Calendar]",$L657)</f>
        <v>92.061999999999998</v>
      </c>
      <c r="T657">
        <f>_xll.ICEHistory(S$4,T$5,"DF[dow:12345][tl:Calendar]",$L657)</f>
        <v>92.061999999999998</v>
      </c>
      <c r="U657">
        <f>_xll.ICEHistory(S$4,U$5,"DF[dow:12345][tl:Calendar]",$L657)</f>
        <v>92.061999999999998</v>
      </c>
      <c r="V657">
        <f>_xll.ICEHistory(S$4,V$5,"DF[dow:12345][tl:Calendar]",$L657)</f>
        <v>92.061999999999998</v>
      </c>
      <c r="W657">
        <f>_xll.ICEHistory(S$4,W$5,"DF[dow:12345][tl:Calendar]",$L657)</f>
        <v>55</v>
      </c>
      <c r="X657">
        <f t="shared" si="30"/>
        <v>1.9908987485779295E-2</v>
      </c>
      <c r="Y657">
        <f t="shared" si="31"/>
        <v>-1.0631843518158486</v>
      </c>
      <c r="Z657">
        <f t="shared" si="32"/>
        <v>-0.68265212064726088</v>
      </c>
    </row>
    <row r="658" spans="12:26" x14ac:dyDescent="0.25">
      <c r="L658" s="4">
        <f>_xll.ICETimeline(_xll.ICEJoinRange(M4:W4),"DF[dow:12345][tl:Calendar]","2020-07-26;2024-07-26",393,-1)</f>
        <v>44588.5</v>
      </c>
      <c r="M658">
        <f>_xll.ICEHistory(M$4,M$5,"DF[dow:12345][tl:Calendar]",$L658)</f>
        <v>87.9</v>
      </c>
      <c r="N658">
        <f>_xll.ICEHistory(M$4,N$5,"DF[dow:12345][tl:Calendar]",$L658)</f>
        <v>89.95</v>
      </c>
      <c r="O658">
        <f>_xll.ICEHistory(M$4,O$5,"DF[dow:12345][tl:Calendar]",$L658)</f>
        <v>87.9</v>
      </c>
      <c r="P658">
        <f>_xll.ICEHistory(M$4,P$5,"DF[dow:12345][tl:Calendar]",$L658)</f>
        <v>89.4</v>
      </c>
      <c r="Q658">
        <f>_xll.ICEHistory(M$4,Q$5,"DF[dow:12345][tl:Calendar]",$L658)</f>
        <v>21715</v>
      </c>
      <c r="R658">
        <f>_xll.ICEHistory(M$4,R$5,"DF[dow:12345][tl:Calendar]",$L658)</f>
        <v>432005</v>
      </c>
      <c r="S658">
        <f>_xll.ICEHistory(S$4,S$5,"DF[dow:12345][tl:Calendar]",$L658)</f>
        <v>92.25</v>
      </c>
      <c r="T658">
        <f>_xll.ICEHistory(S$4,T$5,"DF[dow:12345][tl:Calendar]",$L658)</f>
        <v>92.9</v>
      </c>
      <c r="U658">
        <f>_xll.ICEHistory(S$4,U$5,"DF[dow:12345][tl:Calendar]",$L658)</f>
        <v>90.31</v>
      </c>
      <c r="V658">
        <f>_xll.ICEHistory(S$4,V$5,"DF[dow:12345][tl:Calendar]",$L658)</f>
        <v>92.301000000000002</v>
      </c>
      <c r="W658">
        <f>_xll.ICEHistory(S$4,W$5,"DF[dow:12345][tl:Calendar]",$L658)</f>
        <v>327</v>
      </c>
      <c r="X658">
        <f t="shared" si="30"/>
        <v>2.3463431383770141E-2</v>
      </c>
      <c r="Y658">
        <f t="shared" si="31"/>
        <v>-0.91503417738343451</v>
      </c>
      <c r="Z658">
        <f t="shared" si="32"/>
        <v>-0.541091135731391</v>
      </c>
    </row>
    <row r="659" spans="12:26" x14ac:dyDescent="0.25">
      <c r="L659" s="4">
        <f>_xll.ICETimeline(_xll.ICEJoinRange(M4:W4),"DF[dow:12345][tl:Calendar]","2020-07-26;2024-07-26",392,-1)</f>
        <v>44587.5</v>
      </c>
      <c r="M659">
        <f>_xll.ICEHistory(M$4,M$5,"DF[dow:12345][tl:Calendar]",$L659)</f>
        <v>87.37</v>
      </c>
      <c r="N659">
        <f>_xll.ICEHistory(M$4,N$5,"DF[dow:12345][tl:Calendar]",$L659)</f>
        <v>90</v>
      </c>
      <c r="O659">
        <f>_xll.ICEHistory(M$4,O$5,"DF[dow:12345][tl:Calendar]",$L659)</f>
        <v>86.63</v>
      </c>
      <c r="P659">
        <f>_xll.ICEHistory(M$4,P$5,"DF[dow:12345][tl:Calendar]",$L659)</f>
        <v>88.81</v>
      </c>
      <c r="Q659">
        <f>_xll.ICEHistory(M$4,Q$5,"DF[dow:12345][tl:Calendar]",$L659)</f>
        <v>28002</v>
      </c>
      <c r="R659">
        <f>_xll.ICEHistory(M$4,R$5,"DF[dow:12345][tl:Calendar]",$L659)</f>
        <v>429841</v>
      </c>
      <c r="S659">
        <f>_xll.ICEHistory(S$4,S$5,"DF[dow:12345][tl:Calendar]",$L659)</f>
        <v>89.394999999999996</v>
      </c>
      <c r="T659">
        <f>_xll.ICEHistory(S$4,T$5,"DF[dow:12345][tl:Calendar]",$L659)</f>
        <v>92.444999999999993</v>
      </c>
      <c r="U659">
        <f>_xll.ICEHistory(S$4,U$5,"DF[dow:12345][tl:Calendar]",$L659)</f>
        <v>89.394999999999996</v>
      </c>
      <c r="V659">
        <f>_xll.ICEHistory(S$4,V$5,"DF[dow:12345][tl:Calendar]",$L659)</f>
        <v>91.837000000000003</v>
      </c>
      <c r="W659">
        <f>_xll.ICEHistory(S$4,W$5,"DF[dow:12345][tl:Calendar]",$L659)</f>
        <v>65</v>
      </c>
      <c r="X659">
        <f t="shared" si="30"/>
        <v>3.9976275207591991E-2</v>
      </c>
      <c r="Y659">
        <f t="shared" si="31"/>
        <v>-0.20382622843921233</v>
      </c>
      <c r="Z659">
        <f t="shared" si="32"/>
        <v>-0.10246389400457859</v>
      </c>
    </row>
    <row r="660" spans="12:26" x14ac:dyDescent="0.25">
      <c r="L660" s="4">
        <f>_xll.ICETimeline(_xll.ICEJoinRange(M4:W4),"DF[dow:12345][tl:Calendar]","2020-07-26;2024-07-26",391,-1)</f>
        <v>44586.5</v>
      </c>
      <c r="M660">
        <f>_xll.ICEHistory(M$4,M$5,"DF[dow:12345][tl:Calendar]",$L660)</f>
        <v>84.3</v>
      </c>
      <c r="N660">
        <f>_xll.ICEHistory(M$4,N$5,"DF[dow:12345][tl:Calendar]",$L660)</f>
        <v>88.1</v>
      </c>
      <c r="O660">
        <f>_xll.ICEHistory(M$4,O$5,"DF[dow:12345][tl:Calendar]",$L660)</f>
        <v>83.61</v>
      </c>
      <c r="P660">
        <f>_xll.ICEHistory(M$4,P$5,"DF[dow:12345][tl:Calendar]",$L660)</f>
        <v>87.4</v>
      </c>
      <c r="Q660">
        <f>_xll.ICEHistory(M$4,Q$5,"DF[dow:12345][tl:Calendar]",$L660)</f>
        <v>28175</v>
      </c>
      <c r="R660">
        <f>_xll.ICEHistory(M$4,R$5,"DF[dow:12345][tl:Calendar]",$L660)</f>
        <v>428910</v>
      </c>
      <c r="S660">
        <f>_xll.ICEHistory(S$4,S$5,"DF[dow:12345][tl:Calendar]",$L660)</f>
        <v>92.385000000000005</v>
      </c>
      <c r="T660">
        <f>_xll.ICEHistory(S$4,T$5,"DF[dow:12345][tl:Calendar]",$L660)</f>
        <v>95.51</v>
      </c>
      <c r="U660">
        <f>_xll.ICEHistory(S$4,U$5,"DF[dow:12345][tl:Calendar]",$L660)</f>
        <v>92.385000000000005</v>
      </c>
      <c r="V660">
        <f>_xll.ICEHistory(S$4,V$5,"DF[dow:12345][tl:Calendar]",$L660)</f>
        <v>93.581999999999994</v>
      </c>
      <c r="W660">
        <f>_xll.ICEHistory(S$4,W$5,"DF[dow:12345][tl:Calendar]",$L660)</f>
        <v>49</v>
      </c>
      <c r="X660">
        <f t="shared" si="30"/>
        <v>5.319905213270136E-2</v>
      </c>
      <c r="Y660">
        <f t="shared" si="31"/>
        <v>0.38001941753787544</v>
      </c>
      <c r="Z660">
        <f t="shared" si="32"/>
        <v>-8.3963348533160273E-2</v>
      </c>
    </row>
    <row r="661" spans="12:26" x14ac:dyDescent="0.25">
      <c r="L661" s="4">
        <f>_xll.ICETimeline(_xll.ICEJoinRange(M4:W4),"DF[dow:12345][tl:Calendar]","2020-07-26;2024-07-26",390,-1)</f>
        <v>44585.5</v>
      </c>
      <c r="M661">
        <f>_xll.ICEHistory(M$4,M$5,"DF[dow:12345][tl:Calendar]",$L661)</f>
        <v>84.4</v>
      </c>
      <c r="N661">
        <f>_xll.ICEHistory(M$4,N$5,"DF[dow:12345][tl:Calendar]",$L661)</f>
        <v>86.45</v>
      </c>
      <c r="O661">
        <f>_xll.ICEHistory(M$4,O$5,"DF[dow:12345][tl:Calendar]",$L661)</f>
        <v>83.02</v>
      </c>
      <c r="P661">
        <f>_xll.ICEHistory(M$4,P$5,"DF[dow:12345][tl:Calendar]",$L661)</f>
        <v>83.59</v>
      </c>
      <c r="Q661">
        <f>_xll.ICEHistory(M$4,Q$5,"DF[dow:12345][tl:Calendar]",$L661)</f>
        <v>26649</v>
      </c>
      <c r="R661">
        <f>_xll.ICEHistory(M$4,R$5,"DF[dow:12345][tl:Calendar]",$L661)</f>
        <v>427051</v>
      </c>
      <c r="S661">
        <f>_xll.ICEHistory(S$4,S$5,"DF[dow:12345][tl:Calendar]",$L661)</f>
        <v>88.605000000000004</v>
      </c>
      <c r="T661">
        <f>_xll.ICEHistory(S$4,T$5,"DF[dow:12345][tl:Calendar]",$L661)</f>
        <v>93.6</v>
      </c>
      <c r="U661">
        <f>_xll.ICEHistory(S$4,U$5,"DF[dow:12345][tl:Calendar]",$L661)</f>
        <v>88.605000000000004</v>
      </c>
      <c r="V661">
        <f>_xll.ICEHistory(S$4,V$5,"DF[dow:12345][tl:Calendar]",$L661)</f>
        <v>93</v>
      </c>
      <c r="W661">
        <f>_xll.ICEHistory(S$4,W$5,"DF[dow:12345][tl:Calendar]",$L661)</f>
        <v>66</v>
      </c>
      <c r="X661">
        <f t="shared" si="30"/>
        <v>4.025349137425193E-2</v>
      </c>
      <c r="Y661">
        <f t="shared" si="31"/>
        <v>-0.15922629286728096</v>
      </c>
      <c r="Z661">
        <f t="shared" si="32"/>
        <v>-0.18034118422860629</v>
      </c>
    </row>
    <row r="662" spans="12:26" x14ac:dyDescent="0.25">
      <c r="L662" s="4">
        <f>_xll.ICETimeline(_xll.ICEJoinRange(M4:W4),"DF[dow:12345][tl:Calendar]","2020-07-26;2024-07-26",389,-1)</f>
        <v>44582.5</v>
      </c>
      <c r="M662">
        <f>_xll.ICEHistory(M$4,M$5,"DF[dow:12345][tl:Calendar]",$L662)</f>
        <v>85.21</v>
      </c>
      <c r="N662">
        <f>_xll.ICEHistory(M$4,N$5,"DF[dow:12345][tl:Calendar]",$L662)</f>
        <v>85.65</v>
      </c>
      <c r="O662">
        <f>_xll.ICEHistory(M$4,O$5,"DF[dow:12345][tl:Calendar]",$L662)</f>
        <v>83.28</v>
      </c>
      <c r="P662">
        <f>_xll.ICEHistory(M$4,P$5,"DF[dow:12345][tl:Calendar]",$L662)</f>
        <v>84.52</v>
      </c>
      <c r="Q662">
        <f>_xll.ICEHistory(M$4,Q$5,"DF[dow:12345][tl:Calendar]",$L662)</f>
        <v>20159</v>
      </c>
      <c r="R662">
        <f>_xll.ICEHistory(M$4,R$5,"DF[dow:12345][tl:Calendar]",$L662)</f>
        <v>425828</v>
      </c>
      <c r="S662">
        <f>_xll.ICEHistory(S$4,S$5,"DF[dow:12345][tl:Calendar]",$L662)</f>
        <v>74.765000000000001</v>
      </c>
      <c r="T662">
        <f>_xll.ICEHistory(S$4,T$5,"DF[dow:12345][tl:Calendar]",$L662)</f>
        <v>81.814999999999998</v>
      </c>
      <c r="U662">
        <f>_xll.ICEHistory(S$4,U$5,"DF[dow:12345][tl:Calendar]",$L662)</f>
        <v>74.765000000000001</v>
      </c>
      <c r="V662">
        <f>_xll.ICEHistory(S$4,V$5,"DF[dow:12345][tl:Calendar]",$L662)</f>
        <v>78.98</v>
      </c>
      <c r="W662">
        <f>_xll.ICEHistory(S$4,W$5,"DF[dow:12345][tl:Calendar]",$L662)</f>
        <v>50</v>
      </c>
      <c r="X662">
        <f t="shared" si="30"/>
        <v>2.9136955987214216E-2</v>
      </c>
      <c r="Y662">
        <f t="shared" si="31"/>
        <v>-0.61977630819726248</v>
      </c>
      <c r="Z662">
        <f t="shared" si="32"/>
        <v>-0.62762609629676158</v>
      </c>
    </row>
    <row r="663" spans="12:26" x14ac:dyDescent="0.25">
      <c r="L663" s="4">
        <f>_xll.ICETimeline(_xll.ICEJoinRange(M4:W4),"DF[dow:12345][tl:Calendar]","2020-07-26;2024-07-26",388,-1)</f>
        <v>44581.5</v>
      </c>
      <c r="M663">
        <f>_xll.ICEHistory(M$4,M$5,"DF[dow:12345][tl:Calendar]",$L663)</f>
        <v>81.34</v>
      </c>
      <c r="N663">
        <f>_xll.ICEHistory(M$4,N$5,"DF[dow:12345][tl:Calendar]",$L663)</f>
        <v>85.97</v>
      </c>
      <c r="O663">
        <f>_xll.ICEHistory(M$4,O$5,"DF[dow:12345][tl:Calendar]",$L663)</f>
        <v>80.53</v>
      </c>
      <c r="P663">
        <f>_xll.ICEHistory(M$4,P$5,"DF[dow:12345][tl:Calendar]",$L663)</f>
        <v>85.71</v>
      </c>
      <c r="Q663">
        <f>_xll.ICEHistory(M$4,Q$5,"DF[dow:12345][tl:Calendar]",$L663)</f>
        <v>31229</v>
      </c>
      <c r="R663">
        <f>_xll.ICEHistory(M$4,R$5,"DF[dow:12345][tl:Calendar]",$L663)</f>
        <v>425997</v>
      </c>
      <c r="S663">
        <f>_xll.ICEHistory(S$4,S$5,"DF[dow:12345][tl:Calendar]",$L663)</f>
        <v>71</v>
      </c>
      <c r="T663">
        <f>_xll.ICEHistory(S$4,T$5,"DF[dow:12345][tl:Calendar]",$L663)</f>
        <v>75.59</v>
      </c>
      <c r="U663">
        <f>_xll.ICEHistory(S$4,U$5,"DF[dow:12345][tl:Calendar]",$L663)</f>
        <v>71</v>
      </c>
      <c r="V663">
        <f>_xll.ICEHistory(S$4,V$5,"DF[dow:12345][tl:Calendar]",$L663)</f>
        <v>75.203000000000003</v>
      </c>
      <c r="W663">
        <f>_xll.ICEHistory(S$4,W$5,"DF[dow:12345][tl:Calendar]",$L663)</f>
        <v>51</v>
      </c>
      <c r="X663">
        <f t="shared" si="30"/>
        <v>6.5700483091787415E-2</v>
      </c>
      <c r="Y663">
        <f t="shared" si="31"/>
        <v>0.93580848876032119</v>
      </c>
      <c r="Z663">
        <f t="shared" si="32"/>
        <v>0.13368881219854298</v>
      </c>
    </row>
    <row r="664" spans="12:26" x14ac:dyDescent="0.25">
      <c r="L664" s="4">
        <f>_xll.ICETimeline(_xll.ICEJoinRange(M4:W4),"DF[dow:12345][tl:Calendar]","2020-07-26;2024-07-26",387,-1)</f>
        <v>44580.5</v>
      </c>
      <c r="M664">
        <f>_xll.ICEHistory(M$4,M$5,"DF[dow:12345][tl:Calendar]",$L664)</f>
        <v>82.8</v>
      </c>
      <c r="N664">
        <f>_xll.ICEHistory(M$4,N$5,"DF[dow:12345][tl:Calendar]",$L664)</f>
        <v>82.8</v>
      </c>
      <c r="O664">
        <f>_xll.ICEHistory(M$4,O$5,"DF[dow:12345][tl:Calendar]",$L664)</f>
        <v>80.8</v>
      </c>
      <c r="P664">
        <f>_xll.ICEHistory(M$4,P$5,"DF[dow:12345][tl:Calendar]",$L664)</f>
        <v>81.7</v>
      </c>
      <c r="Q664">
        <f>_xll.ICEHistory(M$4,Q$5,"DF[dow:12345][tl:Calendar]",$L664)</f>
        <v>31779</v>
      </c>
      <c r="R664">
        <f>_xll.ICEHistory(M$4,R$5,"DF[dow:12345][tl:Calendar]",$L664)</f>
        <v>424064</v>
      </c>
      <c r="S664">
        <f>_xll.ICEHistory(S$4,S$5,"DF[dow:12345][tl:Calendar]",$L664)</f>
        <v>73.95</v>
      </c>
      <c r="T664">
        <f>_xll.ICEHistory(S$4,T$5,"DF[dow:12345][tl:Calendar]",$L664)</f>
        <v>76.5</v>
      </c>
      <c r="U664">
        <f>_xll.ICEHistory(S$4,U$5,"DF[dow:12345][tl:Calendar]",$L664)</f>
        <v>71.42</v>
      </c>
      <c r="V664">
        <f>_xll.ICEHistory(S$4,V$5,"DF[dow:12345][tl:Calendar]",$L664)</f>
        <v>75.602000000000004</v>
      </c>
      <c r="W664">
        <f>_xll.ICEHistory(S$4,W$5,"DF[dow:12345][tl:Calendar]",$L664)</f>
        <v>47</v>
      </c>
      <c r="X664">
        <f t="shared" si="30"/>
        <v>2.4875621890547261E-2</v>
      </c>
      <c r="Y664">
        <f t="shared" si="31"/>
        <v>-0.79908411110136646</v>
      </c>
      <c r="Z664">
        <f t="shared" si="32"/>
        <v>0.16981308031561401</v>
      </c>
    </row>
    <row r="665" spans="12:26" x14ac:dyDescent="0.25">
      <c r="L665" s="4">
        <f>_xll.ICETimeline(_xll.ICEJoinRange(M4:W4),"DF[dow:12345][tl:Calendar]","2020-07-26;2024-07-26",386,-1)</f>
        <v>44579.5</v>
      </c>
      <c r="M665">
        <f>_xll.ICEHistory(M$4,M$5,"DF[dow:12345][tl:Calendar]",$L665)</f>
        <v>80.400000000000006</v>
      </c>
      <c r="N665">
        <f>_xll.ICEHistory(M$4,N$5,"DF[dow:12345][tl:Calendar]",$L665)</f>
        <v>82.97</v>
      </c>
      <c r="O665">
        <f>_xll.ICEHistory(M$4,O$5,"DF[dow:12345][tl:Calendar]",$L665)</f>
        <v>79</v>
      </c>
      <c r="P665">
        <f>_xll.ICEHistory(M$4,P$5,"DF[dow:12345][tl:Calendar]",$L665)</f>
        <v>82.87</v>
      </c>
      <c r="Q665">
        <f>_xll.ICEHistory(M$4,Q$5,"DF[dow:12345][tl:Calendar]",$L665)</f>
        <v>46231</v>
      </c>
      <c r="R665">
        <f>_xll.ICEHistory(M$4,R$5,"DF[dow:12345][tl:Calendar]",$L665)</f>
        <v>436081</v>
      </c>
      <c r="S665">
        <f>_xll.ICEHistory(S$4,S$5,"DF[dow:12345][tl:Calendar]",$L665)</f>
        <v>83.275000000000006</v>
      </c>
      <c r="T665">
        <f>_xll.ICEHistory(S$4,T$5,"DF[dow:12345][tl:Calendar]",$L665)</f>
        <v>84.6</v>
      </c>
      <c r="U665">
        <f>_xll.ICEHistory(S$4,U$5,"DF[dow:12345][tl:Calendar]",$L665)</f>
        <v>74.89</v>
      </c>
      <c r="V665">
        <f>_xll.ICEHistory(S$4,V$5,"DF[dow:12345][tl:Calendar]",$L665)</f>
        <v>78.334000000000003</v>
      </c>
      <c r="W665">
        <f>_xll.ICEHistory(S$4,W$5,"DF[dow:12345][tl:Calendar]",$L665)</f>
        <v>129</v>
      </c>
      <c r="X665">
        <f t="shared" si="30"/>
        <v>4.8004836759371207E-2</v>
      </c>
      <c r="Y665">
        <f t="shared" si="31"/>
        <v>0.17355882183645766</v>
      </c>
      <c r="Z665">
        <f t="shared" si="32"/>
        <v>1.1478913191198172</v>
      </c>
    </row>
    <row r="666" spans="12:26" x14ac:dyDescent="0.25">
      <c r="L666" s="4">
        <f>_xll.ICETimeline(_xll.ICEJoinRange(M4:W4),"DF[dow:12345][tl:Calendar]","2020-07-26;2024-07-26",385,-1)</f>
        <v>44578.5</v>
      </c>
      <c r="M666">
        <f>_xll.ICEHistory(M$4,M$5,"DF[dow:12345][tl:Calendar]",$L666)</f>
        <v>82.7</v>
      </c>
      <c r="N666">
        <f>_xll.ICEHistory(M$4,N$5,"DF[dow:12345][tl:Calendar]",$L666)</f>
        <v>82.75</v>
      </c>
      <c r="O666">
        <f>_xll.ICEHistory(M$4,O$5,"DF[dow:12345][tl:Calendar]",$L666)</f>
        <v>79.88</v>
      </c>
      <c r="P666">
        <f>_xll.ICEHistory(M$4,P$5,"DF[dow:12345][tl:Calendar]",$L666)</f>
        <v>80.11</v>
      </c>
      <c r="Q666">
        <f>_xll.ICEHistory(M$4,Q$5,"DF[dow:12345][tl:Calendar]",$L666)</f>
        <v>15802</v>
      </c>
      <c r="R666">
        <f>_xll.ICEHistory(M$4,R$5,"DF[dow:12345][tl:Calendar]",$L666)</f>
        <v>446745</v>
      </c>
      <c r="S666">
        <f>_xll.ICEHistory(S$4,S$5,"DF[dow:12345][tl:Calendar]",$L666)</f>
        <v>89</v>
      </c>
      <c r="T666">
        <f>_xll.ICEHistory(S$4,T$5,"DF[dow:12345][tl:Calendar]",$L666)</f>
        <v>91.8</v>
      </c>
      <c r="U666">
        <f>_xll.ICEHistory(S$4,U$5,"DF[dow:12345][tl:Calendar]",$L666)</f>
        <v>85.7</v>
      </c>
      <c r="V666">
        <f>_xll.ICEHistory(S$4,V$5,"DF[dow:12345][tl:Calendar]",$L666)</f>
        <v>86.97</v>
      </c>
      <c r="W666">
        <f>_xll.ICEHistory(S$4,W$5,"DF[dow:12345][tl:Calendar]",$L666)</f>
        <v>0</v>
      </c>
      <c r="X666">
        <f t="shared" si="30"/>
        <v>3.4978671541742896E-2</v>
      </c>
      <c r="Y666">
        <f t="shared" si="31"/>
        <v>-0.40022348244321693</v>
      </c>
      <c r="Z666">
        <f t="shared" si="32"/>
        <v>-0.94588478581814739</v>
      </c>
    </row>
    <row r="667" spans="12:26" x14ac:dyDescent="0.25">
      <c r="L667" s="4">
        <f>_xll.ICETimeline(_xll.ICEJoinRange(M4:W4),"DF[dow:12345][tl:Calendar]","2020-07-26;2024-07-26",384,-1)</f>
        <v>44575.5</v>
      </c>
      <c r="M667">
        <f>_xll.ICEHistory(M$4,M$5,"DF[dow:12345][tl:Calendar]",$L667)</f>
        <v>82.05</v>
      </c>
      <c r="N667">
        <f>_xll.ICEHistory(M$4,N$5,"DF[dow:12345][tl:Calendar]",$L667)</f>
        <v>83.75</v>
      </c>
      <c r="O667">
        <f>_xll.ICEHistory(M$4,O$5,"DF[dow:12345][tl:Calendar]",$L667)</f>
        <v>81.5</v>
      </c>
      <c r="P667">
        <f>_xll.ICEHistory(M$4,P$5,"DF[dow:12345][tl:Calendar]",$L667)</f>
        <v>82.4</v>
      </c>
      <c r="Q667">
        <f>_xll.ICEHistory(M$4,Q$5,"DF[dow:12345][tl:Calendar]",$L667)</f>
        <v>24949</v>
      </c>
      <c r="R667">
        <f>_xll.ICEHistory(M$4,R$5,"DF[dow:12345][tl:Calendar]",$L667)</f>
        <v>446199</v>
      </c>
      <c r="S667">
        <f>_xll.ICEHistory(S$4,S$5,"DF[dow:12345][tl:Calendar]",$L667)</f>
        <v>89</v>
      </c>
      <c r="T667">
        <f>_xll.ICEHistory(S$4,T$5,"DF[dow:12345][tl:Calendar]",$L667)</f>
        <v>91.8</v>
      </c>
      <c r="U667">
        <f>_xll.ICEHistory(S$4,U$5,"DF[dow:12345][tl:Calendar]",$L667)</f>
        <v>85.7</v>
      </c>
      <c r="V667">
        <f>_xll.ICEHistory(S$4,V$5,"DF[dow:12345][tl:Calendar]",$L667)</f>
        <v>86.97</v>
      </c>
      <c r="W667">
        <f>_xll.ICEHistory(S$4,W$5,"DF[dow:12345][tl:Calendar]",$L667)</f>
        <v>120</v>
      </c>
      <c r="X667">
        <f t="shared" si="30"/>
        <v>2.8054862842892766E-2</v>
      </c>
      <c r="Y667">
        <f t="shared" si="31"/>
        <v>-0.6987509693631111</v>
      </c>
      <c r="Z667">
        <f t="shared" si="32"/>
        <v>-0.32408500444797728</v>
      </c>
    </row>
    <row r="668" spans="12:26" x14ac:dyDescent="0.25">
      <c r="L668" s="4">
        <f>_xll.ICETimeline(_xll.ICEJoinRange(M4:W4),"DF[dow:12345][tl:Calendar]","2020-07-26;2024-07-26",383,-1)</f>
        <v>44574.5</v>
      </c>
      <c r="M668">
        <f>_xll.ICEHistory(M$4,M$5,"DF[dow:12345][tl:Calendar]",$L668)</f>
        <v>80.2</v>
      </c>
      <c r="N668">
        <f>_xll.ICEHistory(M$4,N$5,"DF[dow:12345][tl:Calendar]",$L668)</f>
        <v>81.430000000000007</v>
      </c>
      <c r="O668">
        <f>_xll.ICEHistory(M$4,O$5,"DF[dow:12345][tl:Calendar]",$L668)</f>
        <v>77.55</v>
      </c>
      <c r="P668">
        <f>_xll.ICEHistory(M$4,P$5,"DF[dow:12345][tl:Calendar]",$L668)</f>
        <v>81.3</v>
      </c>
      <c r="Q668">
        <f>_xll.ICEHistory(M$4,Q$5,"DF[dow:12345][tl:Calendar]",$L668)</f>
        <v>25056</v>
      </c>
      <c r="R668">
        <f>_xll.ICEHistory(M$4,R$5,"DF[dow:12345][tl:Calendar]",$L668)</f>
        <v>445280</v>
      </c>
      <c r="S668">
        <f>_xll.ICEHistory(S$4,S$5,"DF[dow:12345][tl:Calendar]",$L668)</f>
        <v>72</v>
      </c>
      <c r="T668">
        <f>_xll.ICEHistory(S$4,T$5,"DF[dow:12345][tl:Calendar]",$L668)</f>
        <v>85.98</v>
      </c>
      <c r="U668">
        <f>_xll.ICEHistory(S$4,U$5,"DF[dow:12345][tl:Calendar]",$L668)</f>
        <v>72</v>
      </c>
      <c r="V668">
        <f>_xll.ICEHistory(S$4,V$5,"DF[dow:12345][tl:Calendar]",$L668)</f>
        <v>85.46</v>
      </c>
      <c r="W668">
        <f>_xll.ICEHistory(S$4,W$5,"DF[dow:12345][tl:Calendar]",$L668)</f>
        <v>136</v>
      </c>
      <c r="X668">
        <f t="shared" si="30"/>
        <v>4.691656590084655E-2</v>
      </c>
      <c r="Y668">
        <f t="shared" si="31"/>
        <v>8.2354275909009983E-2</v>
      </c>
      <c r="Z668">
        <f t="shared" si="32"/>
        <v>-0.32774673951009758</v>
      </c>
    </row>
    <row r="669" spans="12:26" x14ac:dyDescent="0.25">
      <c r="L669" s="4">
        <f>_xll.ICETimeline(_xll.ICEJoinRange(M4:W4),"DF[dow:12345][tl:Calendar]","2020-07-26;2024-07-26",382,-1)</f>
        <v>44573.5</v>
      </c>
      <c r="M669">
        <f>_xll.ICEHistory(M$4,M$5,"DF[dow:12345][tl:Calendar]",$L669)</f>
        <v>82.7</v>
      </c>
      <c r="N669">
        <f>_xll.ICEHistory(M$4,N$5,"DF[dow:12345][tl:Calendar]",$L669)</f>
        <v>83.24</v>
      </c>
      <c r="O669">
        <f>_xll.ICEHistory(M$4,O$5,"DF[dow:12345][tl:Calendar]",$L669)</f>
        <v>79.150000000000006</v>
      </c>
      <c r="P669">
        <f>_xll.ICEHistory(M$4,P$5,"DF[dow:12345][tl:Calendar]",$L669)</f>
        <v>80.510000000000005</v>
      </c>
      <c r="Q669">
        <f>_xll.ICEHistory(M$4,Q$5,"DF[dow:12345][tl:Calendar]",$L669)</f>
        <v>20174</v>
      </c>
      <c r="R669">
        <f>_xll.ICEHistory(M$4,R$5,"DF[dow:12345][tl:Calendar]",$L669)</f>
        <v>446777</v>
      </c>
      <c r="S669">
        <f>_xll.ICEHistory(S$4,S$5,"DF[dow:12345][tl:Calendar]",$L669)</f>
        <v>82.25</v>
      </c>
      <c r="T669">
        <f>_xll.ICEHistory(S$4,T$5,"DF[dow:12345][tl:Calendar]",$L669)</f>
        <v>82.25</v>
      </c>
      <c r="U669">
        <f>_xll.ICEHistory(S$4,U$5,"DF[dow:12345][tl:Calendar]",$L669)</f>
        <v>73.400000000000006</v>
      </c>
      <c r="V669">
        <f>_xll.ICEHistory(S$4,V$5,"DF[dow:12345][tl:Calendar]",$L669)</f>
        <v>75.153000000000006</v>
      </c>
      <c r="W669">
        <f>_xll.ICEHistory(S$4,W$5,"DF[dow:12345][tl:Calendar]",$L669)</f>
        <v>87</v>
      </c>
      <c r="X669">
        <f t="shared" si="30"/>
        <v>5.024570024570011E-2</v>
      </c>
      <c r="Y669">
        <f t="shared" si="31"/>
        <v>0.22501092315492494</v>
      </c>
      <c r="Z669">
        <f t="shared" si="32"/>
        <v>-0.67462894568697163</v>
      </c>
    </row>
    <row r="670" spans="12:26" x14ac:dyDescent="0.25">
      <c r="L670" s="4">
        <f>_xll.ICETimeline(_xll.ICEJoinRange(M4:W4),"DF[dow:12345][tl:Calendar]","2020-07-26;2024-07-26",381,-1)</f>
        <v>44572.5</v>
      </c>
      <c r="M670">
        <f>_xll.ICEHistory(M$4,M$5,"DF[dow:12345][tl:Calendar]",$L670)</f>
        <v>81.400000000000006</v>
      </c>
      <c r="N670">
        <f>_xll.ICEHistory(M$4,N$5,"DF[dow:12345][tl:Calendar]",$L670)</f>
        <v>84.45</v>
      </c>
      <c r="O670">
        <f>_xll.ICEHistory(M$4,O$5,"DF[dow:12345][tl:Calendar]",$L670)</f>
        <v>80.12</v>
      </c>
      <c r="P670">
        <f>_xll.ICEHistory(M$4,P$5,"DF[dow:12345][tl:Calendar]",$L670)</f>
        <v>82.22</v>
      </c>
      <c r="Q670">
        <f>_xll.ICEHistory(M$4,Q$5,"DF[dow:12345][tl:Calendar]",$L670)</f>
        <v>23494</v>
      </c>
      <c r="R670">
        <f>_xll.ICEHistory(M$4,R$5,"DF[dow:12345][tl:Calendar]",$L670)</f>
        <v>445989</v>
      </c>
      <c r="S670">
        <f>_xll.ICEHistory(S$4,S$5,"DF[dow:12345][tl:Calendar]",$L670)</f>
        <v>81.224999999999994</v>
      </c>
      <c r="T670">
        <f>_xll.ICEHistory(S$4,T$5,"DF[dow:12345][tl:Calendar]",$L670)</f>
        <v>82.05</v>
      </c>
      <c r="U670">
        <f>_xll.ICEHistory(S$4,U$5,"DF[dow:12345][tl:Calendar]",$L670)</f>
        <v>78.736000000000004</v>
      </c>
      <c r="V670">
        <f>_xll.ICEHistory(S$4,V$5,"DF[dow:12345][tl:Calendar]",$L670)</f>
        <v>78.736000000000004</v>
      </c>
      <c r="W670">
        <f>_xll.ICEHistory(S$4,W$5,"DF[dow:12345][tl:Calendar]",$L670)</f>
        <v>36</v>
      </c>
      <c r="X670">
        <f t="shared" si="30"/>
        <v>5.0278680910357615E-2</v>
      </c>
      <c r="Y670">
        <f t="shared" si="31"/>
        <v>0.2369235886587677</v>
      </c>
      <c r="Z670">
        <f t="shared" si="32"/>
        <v>-0.44085456784562704</v>
      </c>
    </row>
    <row r="671" spans="12:26" x14ac:dyDescent="0.25">
      <c r="L671" s="4">
        <f>_xll.ICETimeline(_xll.ICEJoinRange(M4:W4),"DF[dow:12345][tl:Calendar]","2020-07-26;2024-07-26",380,-1)</f>
        <v>44571.5</v>
      </c>
      <c r="M671">
        <f>_xll.ICEHistory(M$4,M$5,"DF[dow:12345][tl:Calendar]",$L671)</f>
        <v>86.12</v>
      </c>
      <c r="N671">
        <f>_xll.ICEHistory(M$4,N$5,"DF[dow:12345][tl:Calendar]",$L671)</f>
        <v>87</v>
      </c>
      <c r="O671">
        <f>_xll.ICEHistory(M$4,O$5,"DF[dow:12345][tl:Calendar]",$L671)</f>
        <v>79.8</v>
      </c>
      <c r="P671">
        <f>_xll.ICEHistory(M$4,P$5,"DF[dow:12345][tl:Calendar]",$L671)</f>
        <v>81.56</v>
      </c>
      <c r="Q671">
        <f>_xll.ICEHistory(M$4,Q$5,"DF[dow:12345][tl:Calendar]",$L671)</f>
        <v>30945</v>
      </c>
      <c r="R671">
        <f>_xll.ICEHistory(M$4,R$5,"DF[dow:12345][tl:Calendar]",$L671)</f>
        <v>446606</v>
      </c>
      <c r="S671">
        <f>_xll.ICEHistory(S$4,S$5,"DF[dow:12345][tl:Calendar]",$L671)</f>
        <v>86.5</v>
      </c>
      <c r="T671">
        <f>_xll.ICEHistory(S$4,T$5,"DF[dow:12345][tl:Calendar]",$L671)</f>
        <v>90.4</v>
      </c>
      <c r="U671">
        <f>_xll.ICEHistory(S$4,U$5,"DF[dow:12345][tl:Calendar]",$L671)</f>
        <v>84.46</v>
      </c>
      <c r="V671">
        <f>_xll.ICEHistory(S$4,V$5,"DF[dow:12345][tl:Calendar]",$L671)</f>
        <v>84.606999999999999</v>
      </c>
      <c r="W671">
        <f>_xll.ICEHistory(S$4,W$5,"DF[dow:12345][tl:Calendar]",$L671)</f>
        <v>74</v>
      </c>
      <c r="X671">
        <f t="shared" si="30"/>
        <v>8.2949308755760398E-2</v>
      </c>
      <c r="Y671">
        <f t="shared" si="31"/>
        <v>1.632164416359613</v>
      </c>
      <c r="Z671">
        <f t="shared" si="32"/>
        <v>8.1529379087368084E-2</v>
      </c>
    </row>
    <row r="672" spans="12:26" x14ac:dyDescent="0.25">
      <c r="L672" s="4">
        <f>_xll.ICETimeline(_xll.ICEJoinRange(M4:W4),"DF[dow:12345][tl:Calendar]","2020-07-26;2024-07-26",379,-1)</f>
        <v>44568.5</v>
      </c>
      <c r="M672">
        <f>_xll.ICEHistory(M$4,M$5,"DF[dow:12345][tl:Calendar]",$L672)</f>
        <v>86.8</v>
      </c>
      <c r="N672">
        <f>_xll.ICEHistory(M$4,N$5,"DF[dow:12345][tl:Calendar]",$L672)</f>
        <v>87.61</v>
      </c>
      <c r="O672">
        <f>_xll.ICEHistory(M$4,O$5,"DF[dow:12345][tl:Calendar]",$L672)</f>
        <v>85.21</v>
      </c>
      <c r="P672">
        <f>_xll.ICEHistory(M$4,P$5,"DF[dow:12345][tl:Calendar]",$L672)</f>
        <v>85.5</v>
      </c>
      <c r="Q672">
        <f>_xll.ICEHistory(M$4,Q$5,"DF[dow:12345][tl:Calendar]",$L672)</f>
        <v>15833</v>
      </c>
      <c r="R672">
        <f>_xll.ICEHistory(M$4,R$5,"DF[dow:12345][tl:Calendar]",$L672)</f>
        <v>446946</v>
      </c>
      <c r="S672">
        <f>_xll.ICEHistory(S$4,S$5,"DF[dow:12345][tl:Calendar]",$L672)</f>
        <v>95.8</v>
      </c>
      <c r="T672">
        <f>_xll.ICEHistory(S$4,T$5,"DF[dow:12345][tl:Calendar]",$L672)</f>
        <v>96.27</v>
      </c>
      <c r="U672">
        <f>_xll.ICEHistory(S$4,U$5,"DF[dow:12345][tl:Calendar]",$L672)</f>
        <v>86.58</v>
      </c>
      <c r="V672">
        <f>_xll.ICEHistory(S$4,V$5,"DF[dow:12345][tl:Calendar]",$L672)</f>
        <v>88.174000000000007</v>
      </c>
      <c r="W672">
        <f>_xll.ICEHistory(S$4,W$5,"DF[dow:12345][tl:Calendar]",$L672)</f>
        <v>30</v>
      </c>
      <c r="X672">
        <f t="shared" si="30"/>
        <v>2.7437978735566547E-2</v>
      </c>
      <c r="Y672">
        <f t="shared" si="31"/>
        <v>-0.69056813978486098</v>
      </c>
      <c r="Z672">
        <f t="shared" si="32"/>
        <v>-0.978681074194518</v>
      </c>
    </row>
    <row r="673" spans="12:26" x14ac:dyDescent="0.25">
      <c r="L673" s="4">
        <f>_xll.ICETimeline(_xll.ICEJoinRange(M4:W4),"DF[dow:12345][tl:Calendar]","2020-07-26;2024-07-26",378,-1)</f>
        <v>44567.5</v>
      </c>
      <c r="M673">
        <f>_xll.ICEHistory(M$4,M$5,"DF[dow:12345][tl:Calendar]",$L673)</f>
        <v>87.47</v>
      </c>
      <c r="N673">
        <f>_xll.ICEHistory(M$4,N$5,"DF[dow:12345][tl:Calendar]",$L673)</f>
        <v>87.8</v>
      </c>
      <c r="O673">
        <f>_xll.ICEHistory(M$4,O$5,"DF[dow:12345][tl:Calendar]",$L673)</f>
        <v>85.33</v>
      </c>
      <c r="P673">
        <f>_xll.ICEHistory(M$4,P$5,"DF[dow:12345][tl:Calendar]",$L673)</f>
        <v>87.19</v>
      </c>
      <c r="Q673">
        <f>_xll.ICEHistory(M$4,Q$5,"DF[dow:12345][tl:Calendar]",$L673)</f>
        <v>13390</v>
      </c>
      <c r="R673">
        <f>_xll.ICEHistory(M$4,R$5,"DF[dow:12345][tl:Calendar]",$L673)</f>
        <v>446694</v>
      </c>
      <c r="S673">
        <f>_xll.ICEHistory(S$4,S$5,"DF[dow:12345][tl:Calendar]",$L673)</f>
        <v>95.265000000000001</v>
      </c>
      <c r="T673">
        <f>_xll.ICEHistory(S$4,T$5,"DF[dow:12345][tl:Calendar]",$L673)</f>
        <v>97.02</v>
      </c>
      <c r="U673">
        <f>_xll.ICEHistory(S$4,U$5,"DF[dow:12345][tl:Calendar]",$L673)</f>
        <v>93.3</v>
      </c>
      <c r="V673">
        <f>_xll.ICEHistory(S$4,V$5,"DF[dow:12345][tl:Calendar]",$L673)</f>
        <v>96.501999999999995</v>
      </c>
      <c r="W673">
        <f>_xll.ICEHistory(S$4,W$5,"DF[dow:12345][tl:Calendar]",$L673)</f>
        <v>74</v>
      </c>
      <c r="X673">
        <f t="shared" si="30"/>
        <v>2.8754365541327109E-2</v>
      </c>
      <c r="Y673">
        <f t="shared" si="31"/>
        <v>-0.6502783232707573</v>
      </c>
      <c r="Z673">
        <f t="shared" si="32"/>
        <v>-1.1783745310011391</v>
      </c>
    </row>
    <row r="674" spans="12:26" x14ac:dyDescent="0.25">
      <c r="L674" s="4">
        <f>_xll.ICETimeline(_xll.ICEJoinRange(M4:W4),"DF[dow:12345][tl:Calendar]","2020-07-26;2024-07-26",377,-1)</f>
        <v>44566.5</v>
      </c>
      <c r="M674">
        <f>_xll.ICEHistory(M$4,M$5,"DF[dow:12345][tl:Calendar]",$L674)</f>
        <v>85.9</v>
      </c>
      <c r="N674">
        <f>_xll.ICEHistory(M$4,N$5,"DF[dow:12345][tl:Calendar]",$L674)</f>
        <v>88.55</v>
      </c>
      <c r="O674">
        <f>_xll.ICEHistory(M$4,O$5,"DF[dow:12345][tl:Calendar]",$L674)</f>
        <v>85.27</v>
      </c>
      <c r="P674">
        <f>_xll.ICEHistory(M$4,P$5,"DF[dow:12345][tl:Calendar]",$L674)</f>
        <v>88</v>
      </c>
      <c r="Q674">
        <f>_xll.ICEHistory(M$4,Q$5,"DF[dow:12345][tl:Calendar]",$L674)</f>
        <v>20641</v>
      </c>
      <c r="R674">
        <f>_xll.ICEHistory(M$4,R$5,"DF[dow:12345][tl:Calendar]",$L674)</f>
        <v>447145</v>
      </c>
      <c r="S674">
        <f>_xll.ICEHistory(S$4,S$5,"DF[dow:12345][tl:Calendar]",$L674)</f>
        <v>95.7</v>
      </c>
      <c r="T674">
        <f>_xll.ICEHistory(S$4,T$5,"DF[dow:12345][tl:Calendar]",$L674)</f>
        <v>95.7</v>
      </c>
      <c r="U674">
        <f>_xll.ICEHistory(S$4,U$5,"DF[dow:12345][tl:Calendar]",$L674)</f>
        <v>88.385000000000005</v>
      </c>
      <c r="V674">
        <f>_xll.ICEHistory(S$4,V$5,"DF[dow:12345][tl:Calendar]",$L674)</f>
        <v>91.522000000000006</v>
      </c>
      <c r="W674">
        <f>_xll.ICEHistory(S$4,W$5,"DF[dow:12345][tl:Calendar]",$L674)</f>
        <v>138</v>
      </c>
      <c r="X674">
        <f t="shared" si="30"/>
        <v>3.907087552114355E-2</v>
      </c>
      <c r="Y674">
        <f t="shared" si="31"/>
        <v>-0.21712920498657295</v>
      </c>
      <c r="Z674">
        <f t="shared" si="32"/>
        <v>-0.6973698721844136</v>
      </c>
    </row>
    <row r="675" spans="12:26" x14ac:dyDescent="0.25">
      <c r="L675" s="4">
        <f>_xll.ICETimeline(_xll.ICEJoinRange(M4:W4),"DF[dow:12345][tl:Calendar]","2020-07-26;2024-07-26",376,-1)</f>
        <v>44565.5</v>
      </c>
      <c r="M675">
        <f>_xll.ICEHistory(M$4,M$5,"DF[dow:12345][tl:Calendar]",$L675)</f>
        <v>83.95</v>
      </c>
      <c r="N675">
        <f>_xll.ICEHistory(M$4,N$5,"DF[dow:12345][tl:Calendar]",$L675)</f>
        <v>86.8</v>
      </c>
      <c r="O675">
        <f>_xll.ICEHistory(M$4,O$5,"DF[dow:12345][tl:Calendar]",$L675)</f>
        <v>83.81</v>
      </c>
      <c r="P675">
        <f>_xll.ICEHistory(M$4,P$5,"DF[dow:12345][tl:Calendar]",$L675)</f>
        <v>86.2</v>
      </c>
      <c r="Q675">
        <f>_xll.ICEHistory(M$4,Q$5,"DF[dow:12345][tl:Calendar]",$L675)</f>
        <v>17529</v>
      </c>
      <c r="R675">
        <f>_xll.ICEHistory(M$4,R$5,"DF[dow:12345][tl:Calendar]",$L675)</f>
        <v>446191</v>
      </c>
      <c r="S675">
        <f>_xll.ICEHistory(S$4,S$5,"DF[dow:12345][tl:Calendar]",$L675)</f>
        <v>85</v>
      </c>
      <c r="T675">
        <f>_xll.ICEHistory(S$4,T$5,"DF[dow:12345][tl:Calendar]",$L675)</f>
        <v>96.625</v>
      </c>
      <c r="U675">
        <f>_xll.ICEHistory(S$4,U$5,"DF[dow:12345][tl:Calendar]",$L675)</f>
        <v>85</v>
      </c>
      <c r="V675">
        <f>_xll.ICEHistory(S$4,V$5,"DF[dow:12345][tl:Calendar]",$L675)</f>
        <v>88.741</v>
      </c>
      <c r="W675">
        <f>_xll.ICEHistory(S$4,W$5,"DF[dow:12345][tl:Calendar]",$L675)</f>
        <v>306</v>
      </c>
      <c r="X675">
        <f t="shared" si="30"/>
        <v>3.7468671679197929E-2</v>
      </c>
      <c r="Y675">
        <f t="shared" si="31"/>
        <v>-0.31282253448879299</v>
      </c>
      <c r="Z675">
        <f t="shared" si="32"/>
        <v>-0.925772245474214</v>
      </c>
    </row>
    <row r="676" spans="12:26" x14ac:dyDescent="0.25">
      <c r="L676" s="4">
        <f>_xll.ICETimeline(_xll.ICEJoinRange(M4:W4),"DF[dow:12345][tl:Calendar]","2020-07-26;2024-07-26",375,-1)</f>
        <v>44564.5</v>
      </c>
      <c r="M676">
        <f>_xll.ICEHistory(M$4,M$5,"DF[dow:12345][tl:Calendar]",$L676)</f>
        <v>79.8</v>
      </c>
      <c r="N676">
        <f>_xll.ICEHistory(M$4,N$5,"DF[dow:12345][tl:Calendar]",$L676)</f>
        <v>84.4</v>
      </c>
      <c r="O676">
        <f>_xll.ICEHistory(M$4,O$5,"DF[dow:12345][tl:Calendar]",$L676)</f>
        <v>79.8</v>
      </c>
      <c r="P676">
        <f>_xll.ICEHistory(M$4,P$5,"DF[dow:12345][tl:Calendar]",$L676)</f>
        <v>83.81</v>
      </c>
      <c r="Q676">
        <f>_xll.ICEHistory(M$4,Q$5,"DF[dow:12345][tl:Calendar]",$L676)</f>
        <v>9978</v>
      </c>
      <c r="R676">
        <f>_xll.ICEHistory(M$4,R$5,"DF[dow:12345][tl:Calendar]",$L676)</f>
        <v>446061</v>
      </c>
      <c r="S676">
        <f>_xll.ICEHistory(S$4,S$5,"DF[dow:12345][tl:Calendar]",$L676)</f>
        <v>80.433999999999997</v>
      </c>
      <c r="T676">
        <f>_xll.ICEHistory(S$4,T$5,"DF[dow:12345][tl:Calendar]",$L676)</f>
        <v>80.433999999999997</v>
      </c>
      <c r="U676">
        <f>_xll.ICEHistory(S$4,U$5,"DF[dow:12345][tl:Calendar]",$L676)</f>
        <v>80.433999999999997</v>
      </c>
      <c r="V676">
        <f>_xll.ICEHistory(S$4,V$5,"DF[dow:12345][tl:Calendar]",$L676)</f>
        <v>80.433999999999997</v>
      </c>
      <c r="W676">
        <f>_xll.ICEHistory(S$4,W$5,"DF[dow:12345][tl:Calendar]",$L676)</f>
        <v>0</v>
      </c>
      <c r="X676">
        <f t="shared" si="30"/>
        <v>5.7514378594648766E-2</v>
      </c>
      <c r="Y676">
        <f t="shared" si="31"/>
        <v>0.5271766780910041</v>
      </c>
      <c r="Z676">
        <f t="shared" si="32"/>
        <v>-1.4489398012684818</v>
      </c>
    </row>
    <row r="677" spans="12:26" x14ac:dyDescent="0.25">
      <c r="L677" s="4">
        <f>_xll.ICETimeline(_xll.ICEJoinRange(M4:W4),"DF[dow:12345][tl:Calendar]","2020-07-26;2024-07-26",374,-1)</f>
        <v>44561.5</v>
      </c>
      <c r="M677">
        <f>_xll.ICEHistory(M$4,M$5,"DF[dow:12345][tl:Calendar]",$L677)</f>
        <v>79.98</v>
      </c>
      <c r="N677">
        <f>_xll.ICEHistory(M$4,N$5,"DF[dow:12345][tl:Calendar]",$L677)</f>
        <v>81.25</v>
      </c>
      <c r="O677">
        <f>_xll.ICEHistory(M$4,O$5,"DF[dow:12345][tl:Calendar]",$L677)</f>
        <v>79.55</v>
      </c>
      <c r="P677">
        <f>_xll.ICEHistory(M$4,P$5,"DF[dow:12345][tl:Calendar]",$L677)</f>
        <v>80.900000000000006</v>
      </c>
      <c r="Q677">
        <f>_xll.ICEHistory(M$4,Q$5,"DF[dow:12345][tl:Calendar]",$L677)</f>
        <v>3690</v>
      </c>
      <c r="R677">
        <f>_xll.ICEHistory(M$4,R$5,"DF[dow:12345][tl:Calendar]",$L677)</f>
        <v>445805</v>
      </c>
      <c r="S677">
        <f>_xll.ICEHistory(S$4,S$5,"DF[dow:12345][tl:Calendar]",$L677)</f>
        <v>82</v>
      </c>
      <c r="T677">
        <f>_xll.ICEHistory(S$4,T$5,"DF[dow:12345][tl:Calendar]",$L677)</f>
        <v>82</v>
      </c>
      <c r="U677">
        <f>_xll.ICEHistory(S$4,U$5,"DF[dow:12345][tl:Calendar]",$L677)</f>
        <v>67.364999999999995</v>
      </c>
      <c r="V677">
        <f>_xll.ICEHistory(S$4,V$5,"DF[dow:12345][tl:Calendar]",$L677)</f>
        <v>70.343000000000004</v>
      </c>
      <c r="W677">
        <f>_xll.ICEHistory(S$4,W$5,"DF[dow:12345][tl:Calendar]",$L677)</f>
        <v>82</v>
      </c>
      <c r="X677">
        <f t="shared" si="30"/>
        <v>2.1118012422360284E-2</v>
      </c>
      <c r="Y677">
        <f t="shared" si="31"/>
        <v>-0.97236182637300639</v>
      </c>
      <c r="Z677">
        <f t="shared" si="32"/>
        <v>-1.9129309837737876</v>
      </c>
    </row>
    <row r="678" spans="12:26" x14ac:dyDescent="0.25">
      <c r="L678" s="4">
        <f>_xll.ICETimeline(_xll.ICEJoinRange(M4:W4),"DF[dow:12345][tl:Calendar]","2020-07-26;2024-07-26",373,-1)</f>
        <v>44560.5</v>
      </c>
      <c r="M678">
        <f>_xll.ICEHistory(M$4,M$5,"DF[dow:12345][tl:Calendar]",$L678)</f>
        <v>80.5</v>
      </c>
      <c r="N678">
        <f>_xll.ICEHistory(M$4,N$5,"DF[dow:12345][tl:Calendar]",$L678)</f>
        <v>80.650000000000006</v>
      </c>
      <c r="O678">
        <f>_xll.ICEHistory(M$4,O$5,"DF[dow:12345][tl:Calendar]",$L678)</f>
        <v>79.25</v>
      </c>
      <c r="P678">
        <f>_xll.ICEHistory(M$4,P$5,"DF[dow:12345][tl:Calendar]",$L678)</f>
        <v>80.05</v>
      </c>
      <c r="Q678">
        <f>_xll.ICEHistory(M$4,Q$5,"DF[dow:12345][tl:Calendar]",$L678)</f>
        <v>8538</v>
      </c>
      <c r="R678">
        <f>_xll.ICEHistory(M$4,R$5,"DF[dow:12345][tl:Calendar]",$L678)</f>
        <v>445890</v>
      </c>
      <c r="S678">
        <f>_xll.ICEHistory(S$4,S$5,"DF[dow:12345][tl:Calendar]",$L678)</f>
        <v>94.35</v>
      </c>
      <c r="T678">
        <f>_xll.ICEHistory(S$4,T$5,"DF[dow:12345][tl:Calendar]",$L678)</f>
        <v>94.35</v>
      </c>
      <c r="U678">
        <f>_xll.ICEHistory(S$4,U$5,"DF[dow:12345][tl:Calendar]",$L678)</f>
        <v>87.027000000000001</v>
      </c>
      <c r="V678">
        <f>_xll.ICEHistory(S$4,V$5,"DF[dow:12345][tl:Calendar]",$L678)</f>
        <v>87.027000000000001</v>
      </c>
      <c r="W678">
        <f>_xll.ICEHistory(S$4,W$5,"DF[dow:12345][tl:Calendar]",$L678)</f>
        <v>0</v>
      </c>
      <c r="X678">
        <f t="shared" si="30"/>
        <v>1.7692404903323716E-2</v>
      </c>
      <c r="Y678">
        <f t="shared" si="31"/>
        <v>-1.1377991846666664</v>
      </c>
      <c r="Z678">
        <f t="shared" si="32"/>
        <v>-1.6647037258294941</v>
      </c>
    </row>
    <row r="679" spans="12:26" x14ac:dyDescent="0.25">
      <c r="L679" s="4">
        <f>_xll.ICETimeline(_xll.ICEJoinRange(M4:W4),"DF[dow:12345][tl:Calendar]","2020-07-26;2024-07-26",372,-1)</f>
        <v>44559.5</v>
      </c>
      <c r="M679">
        <f>_xll.ICEHistory(M$4,M$5,"DF[dow:12345][tl:Calendar]",$L679)</f>
        <v>79.13</v>
      </c>
      <c r="N679">
        <f>_xll.ICEHistory(M$4,N$5,"DF[dow:12345][tl:Calendar]",$L679)</f>
        <v>80.87</v>
      </c>
      <c r="O679">
        <f>_xll.ICEHistory(M$4,O$5,"DF[dow:12345][tl:Calendar]",$L679)</f>
        <v>78.11</v>
      </c>
      <c r="P679">
        <f>_xll.ICEHistory(M$4,P$5,"DF[dow:12345][tl:Calendar]",$L679)</f>
        <v>80.239999999999995</v>
      </c>
      <c r="Q679">
        <f>_xll.ICEHistory(M$4,Q$5,"DF[dow:12345][tl:Calendar]",$L679)</f>
        <v>13842</v>
      </c>
      <c r="R679">
        <f>_xll.ICEHistory(M$4,R$5,"DF[dow:12345][tl:Calendar]",$L679)</f>
        <v>442876</v>
      </c>
      <c r="S679">
        <f>_xll.ICEHistory(S$4,S$5,"DF[dow:12345][tl:Calendar]",$L679)</f>
        <v>99</v>
      </c>
      <c r="T679">
        <f>_xll.ICEHistory(S$4,T$5,"DF[dow:12345][tl:Calendar]",$L679)</f>
        <v>104.6</v>
      </c>
      <c r="U679">
        <f>_xll.ICEHistory(S$4,U$5,"DF[dow:12345][tl:Calendar]",$L679)</f>
        <v>96.475999999999999</v>
      </c>
      <c r="V679">
        <f>_xll.ICEHistory(S$4,V$5,"DF[dow:12345][tl:Calendar]",$L679)</f>
        <v>96.475999999999999</v>
      </c>
      <c r="W679">
        <f>_xll.ICEHistory(S$4,W$5,"DF[dow:12345][tl:Calendar]",$L679)</f>
        <v>67</v>
      </c>
      <c r="X679">
        <f t="shared" si="30"/>
        <v>3.5937500000000067E-2</v>
      </c>
      <c r="Y679">
        <f t="shared" si="31"/>
        <v>-0.3925545751513646</v>
      </c>
      <c r="Z679">
        <f t="shared" si="32"/>
        <v>-1.3574189024498926</v>
      </c>
    </row>
    <row r="680" spans="12:26" x14ac:dyDescent="0.25">
      <c r="L680" s="4">
        <f>_xll.ICETimeline(_xll.ICEJoinRange(M4:W4),"DF[dow:12345][tl:Calendar]","2020-07-26;2024-07-26",371,-1)</f>
        <v>44558.5</v>
      </c>
      <c r="M680">
        <f>_xll.ICEHistory(M$4,M$5,"DF[dow:12345][tl:Calendar]",$L680)</f>
        <v>76.8</v>
      </c>
      <c r="N680">
        <f>_xll.ICEHistory(M$4,N$5,"DF[dow:12345][tl:Calendar]",$L680)</f>
        <v>79.69</v>
      </c>
      <c r="O680">
        <f>_xll.ICEHistory(M$4,O$5,"DF[dow:12345][tl:Calendar]",$L680)</f>
        <v>76.209999999999994</v>
      </c>
      <c r="P680">
        <f>_xll.ICEHistory(M$4,P$5,"DF[dow:12345][tl:Calendar]",$L680)</f>
        <v>79.14</v>
      </c>
      <c r="Q680">
        <f>_xll.ICEHistory(M$4,Q$5,"DF[dow:12345][tl:Calendar]",$L680)</f>
        <v>4613</v>
      </c>
      <c r="R680">
        <f>_xll.ICEHistory(M$4,R$5,"DF[dow:12345][tl:Calendar]",$L680)</f>
        <v>445557</v>
      </c>
      <c r="S680">
        <f>_xll.ICEHistory(S$4,S$5,"DF[dow:12345][tl:Calendar]",$L680)</f>
        <v>106.59</v>
      </c>
      <c r="T680">
        <f>_xll.ICEHistory(S$4,T$5,"DF[dow:12345][tl:Calendar]",$L680)</f>
        <v>106.59</v>
      </c>
      <c r="U680">
        <f>_xll.ICEHistory(S$4,U$5,"DF[dow:12345][tl:Calendar]",$L680)</f>
        <v>106.59</v>
      </c>
      <c r="V680">
        <f>_xll.ICEHistory(S$4,V$5,"DF[dow:12345][tl:Calendar]",$L680)</f>
        <v>106.59</v>
      </c>
      <c r="W680">
        <f>_xll.ICEHistory(S$4,W$5,"DF[dow:12345][tl:Calendar]",$L680)</f>
        <v>3</v>
      </c>
      <c r="X680">
        <f t="shared" si="30"/>
        <v>4.5867931988928481E-2</v>
      </c>
      <c r="Y680">
        <f t="shared" si="31"/>
        <v>3.2780654775950872E-2</v>
      </c>
      <c r="Z680">
        <f t="shared" si="32"/>
        <v>-2.0586140999172051</v>
      </c>
    </row>
    <row r="681" spans="12:26" x14ac:dyDescent="0.25">
      <c r="L681" s="4">
        <f>_xll.ICETimeline(_xll.ICEJoinRange(M4:W4),"DF[dow:12345][tl:Calendar]","2020-07-26;2024-07-26",370,-1)</f>
        <v>44557.5</v>
      </c>
      <c r="M681">
        <f>_xll.ICEHistory(M$4,M$5,"DF[dow:12345][tl:Calendar]",$L681)</f>
        <v>75.87</v>
      </c>
      <c r="N681">
        <f>_xll.ICEHistory(M$4,N$5,"DF[dow:12345][tl:Calendar]",$L681)</f>
        <v>77.13</v>
      </c>
      <c r="O681">
        <f>_xll.ICEHistory(M$4,O$5,"DF[dow:12345][tl:Calendar]",$L681)</f>
        <v>75.040000000000006</v>
      </c>
      <c r="P681">
        <f>_xll.ICEHistory(M$4,P$5,"DF[dow:12345][tl:Calendar]",$L681)</f>
        <v>76.819999999999993</v>
      </c>
      <c r="Q681">
        <f>_xll.ICEHistory(M$4,Q$5,"DF[dow:12345][tl:Calendar]",$L681)</f>
        <v>3632</v>
      </c>
      <c r="R681">
        <f>_xll.ICEHistory(M$4,R$5,"DF[dow:12345][tl:Calendar]",$L681)</f>
        <v>445233</v>
      </c>
      <c r="S681">
        <f>_xll.ICEHistory(S$4,S$5,"DF[dow:12345][tl:Calendar]",$L681)</f>
        <v>100</v>
      </c>
      <c r="T681">
        <f>_xll.ICEHistory(S$4,T$5,"DF[dow:12345][tl:Calendar]",$L681)</f>
        <v>106.893</v>
      </c>
      <c r="U681">
        <f>_xll.ICEHistory(S$4,U$5,"DF[dow:12345][tl:Calendar]",$L681)</f>
        <v>100</v>
      </c>
      <c r="V681">
        <f>_xll.ICEHistory(S$4,V$5,"DF[dow:12345][tl:Calendar]",$L681)</f>
        <v>106.893</v>
      </c>
      <c r="W681">
        <f>_xll.ICEHistory(S$4,W$5,"DF[dow:12345][tl:Calendar]",$L681)</f>
        <v>11</v>
      </c>
      <c r="X681">
        <f t="shared" si="30"/>
        <v>2.7978580990629037E-2</v>
      </c>
      <c r="Y681">
        <f t="shared" si="31"/>
        <v>-0.73120547444912642</v>
      </c>
      <c r="Z681">
        <f t="shared" si="32"/>
        <v>-2.2385210653348468</v>
      </c>
    </row>
    <row r="682" spans="12:26" x14ac:dyDescent="0.25">
      <c r="L682" s="4">
        <f>_xll.ICETimeline(_xll.ICEJoinRange(M4:W4),"DF[dow:12345][tl:Calendar]","2020-07-26;2024-07-26",369,-1)</f>
        <v>44554.5</v>
      </c>
      <c r="M682">
        <f>_xll.ICEHistory(M$4,M$5,"DF[dow:12345][tl:Calendar]",$L682)</f>
        <v>74.7</v>
      </c>
      <c r="N682">
        <f>_xll.ICEHistory(M$4,N$5,"DF[dow:12345][tl:Calendar]",$L682)</f>
        <v>76.87</v>
      </c>
      <c r="O682">
        <f>_xll.ICEHistory(M$4,O$5,"DF[dow:12345][tl:Calendar]",$L682)</f>
        <v>74.510000000000005</v>
      </c>
      <c r="P682">
        <f>_xll.ICEHistory(M$4,P$5,"DF[dow:12345][tl:Calendar]",$L682)</f>
        <v>75.86</v>
      </c>
      <c r="Q682">
        <f>_xll.ICEHistory(M$4,Q$5,"DF[dow:12345][tl:Calendar]",$L682)</f>
        <v>2384</v>
      </c>
      <c r="R682">
        <f>_xll.ICEHistory(M$4,R$5,"DF[dow:12345][tl:Calendar]",$L682)</f>
        <v>444691</v>
      </c>
      <c r="S682">
        <f>_xll.ICEHistory(S$4,S$5,"DF[dow:12345][tl:Calendar]",$L682)</f>
        <v>158.30000000000001</v>
      </c>
      <c r="T682">
        <f>_xll.ICEHistory(S$4,T$5,"DF[dow:12345][tl:Calendar]",$L682)</f>
        <v>158.30000000000001</v>
      </c>
      <c r="U682">
        <f>_xll.ICEHistory(S$4,U$5,"DF[dow:12345][tl:Calendar]",$L682)</f>
        <v>129.36000000000001</v>
      </c>
      <c r="V682">
        <f>_xll.ICEHistory(S$4,V$5,"DF[dow:12345][tl:Calendar]",$L682)</f>
        <v>132.57900000000001</v>
      </c>
      <c r="W682">
        <f>_xll.ICEHistory(S$4,W$5,"DF[dow:12345][tl:Calendar]",$L682)</f>
        <v>0</v>
      </c>
      <c r="X682">
        <f t="shared" si="30"/>
        <v>3.0451612903225799E-2</v>
      </c>
      <c r="Y682">
        <f t="shared" si="31"/>
        <v>-0.62342986418846791</v>
      </c>
      <c r="Z682">
        <f t="shared" si="32"/>
        <v>-2.4649751681525287</v>
      </c>
    </row>
    <row r="683" spans="12:26" x14ac:dyDescent="0.25">
      <c r="L683" s="4">
        <f>_xll.ICETimeline(_xll.ICEJoinRange(M4:W4),"DF[dow:12345][tl:Calendar]","2020-07-26;2024-07-26",368,-1)</f>
        <v>44553.5</v>
      </c>
      <c r="M683">
        <f>_xll.ICEHistory(M$4,M$5,"DF[dow:12345][tl:Calendar]",$L683)</f>
        <v>77.5</v>
      </c>
      <c r="N683">
        <f>_xll.ICEHistory(M$4,N$5,"DF[dow:12345][tl:Calendar]",$L683)</f>
        <v>77.75</v>
      </c>
      <c r="O683">
        <f>_xll.ICEHistory(M$4,O$5,"DF[dow:12345][tl:Calendar]",$L683)</f>
        <v>74.25</v>
      </c>
      <c r="P683">
        <f>_xll.ICEHistory(M$4,P$5,"DF[dow:12345][tl:Calendar]",$L683)</f>
        <v>74.86</v>
      </c>
      <c r="Q683">
        <f>_xll.ICEHistory(M$4,Q$5,"DF[dow:12345][tl:Calendar]",$L683)</f>
        <v>19471</v>
      </c>
      <c r="R683">
        <f>_xll.ICEHistory(M$4,R$5,"DF[dow:12345][tl:Calendar]",$L683)</f>
        <v>444848</v>
      </c>
      <c r="S683">
        <f>_xll.ICEHistory(S$4,S$5,"DF[dow:12345][tl:Calendar]",$L683)</f>
        <v>158.30000000000001</v>
      </c>
      <c r="T683">
        <f>_xll.ICEHistory(S$4,T$5,"DF[dow:12345][tl:Calendar]",$L683)</f>
        <v>158.30000000000001</v>
      </c>
      <c r="U683">
        <f>_xll.ICEHistory(S$4,U$5,"DF[dow:12345][tl:Calendar]",$L683)</f>
        <v>129.36000000000001</v>
      </c>
      <c r="V683">
        <f>_xll.ICEHistory(S$4,V$5,"DF[dow:12345][tl:Calendar]",$L683)</f>
        <v>132.57900000000001</v>
      </c>
      <c r="W683">
        <f>_xll.ICEHistory(S$4,W$5,"DF[dow:12345][tl:Calendar]",$L683)</f>
        <v>79</v>
      </c>
      <c r="X683">
        <f t="shared" si="30"/>
        <v>4.3711752216810291E-2</v>
      </c>
      <c r="Y683">
        <f t="shared" si="31"/>
        <v>-9.2503301480253458E-2</v>
      </c>
      <c r="Z683">
        <f t="shared" si="32"/>
        <v>-1.2604387692184813</v>
      </c>
    </row>
    <row r="684" spans="12:26" x14ac:dyDescent="0.25">
      <c r="L684" s="4">
        <f>_xll.ICETimeline(_xll.ICEJoinRange(M4:W4),"DF[dow:12345][tl:Calendar]","2020-07-26;2024-07-26",367,-1)</f>
        <v>44552.5</v>
      </c>
      <c r="M684">
        <f>_xll.ICEHistory(M$4,M$5,"DF[dow:12345][tl:Calendar]",$L684)</f>
        <v>80.069999999999993</v>
      </c>
      <c r="N684">
        <f>_xll.ICEHistory(M$4,N$5,"DF[dow:12345][tl:Calendar]",$L684)</f>
        <v>80.17</v>
      </c>
      <c r="O684">
        <f>_xll.ICEHistory(M$4,O$5,"DF[dow:12345][tl:Calendar]",$L684)</f>
        <v>75.45</v>
      </c>
      <c r="P684">
        <f>_xll.ICEHistory(M$4,P$5,"DF[dow:12345][tl:Calendar]",$L684)</f>
        <v>77.52</v>
      </c>
      <c r="Q684">
        <f>_xll.ICEHistory(M$4,Q$5,"DF[dow:12345][tl:Calendar]",$L684)</f>
        <v>31501</v>
      </c>
      <c r="R684">
        <f>_xll.ICEHistory(M$4,R$5,"DF[dow:12345][tl:Calendar]",$L684)</f>
        <v>450019</v>
      </c>
      <c r="S684">
        <f>_xll.ICEHistory(S$4,S$5,"DF[dow:12345][tl:Calendar]",$L684)</f>
        <v>174.3</v>
      </c>
      <c r="T684">
        <f>_xll.ICEHistory(S$4,T$5,"DF[dow:12345][tl:Calendar]",$L684)</f>
        <v>176.655</v>
      </c>
      <c r="U684">
        <f>_xll.ICEHistory(S$4,U$5,"DF[dow:12345][tl:Calendar]",$L684)</f>
        <v>172.72</v>
      </c>
      <c r="V684">
        <f>_xll.ICEHistory(S$4,V$5,"DF[dow:12345][tl:Calendar]",$L684)</f>
        <v>172.875</v>
      </c>
      <c r="W684">
        <f>_xll.ICEHistory(S$4,W$5,"DF[dow:12345][tl:Calendar]",$L684)</f>
        <v>44</v>
      </c>
      <c r="X684">
        <f t="shared" si="30"/>
        <v>5.8618976651763528E-2</v>
      </c>
      <c r="Y684">
        <f t="shared" si="31"/>
        <v>0.53487110178009545</v>
      </c>
      <c r="Z684">
        <f t="shared" si="32"/>
        <v>-0.31224679178799997</v>
      </c>
    </row>
    <row r="685" spans="12:26" x14ac:dyDescent="0.25">
      <c r="L685" s="4">
        <f>_xll.ICETimeline(_xll.ICEJoinRange(M4:W4),"DF[dow:12345][tl:Calendar]","2020-07-26;2024-07-26",366,-1)</f>
        <v>44551.5</v>
      </c>
      <c r="M685">
        <f>_xll.ICEHistory(M$4,M$5,"DF[dow:12345][tl:Calendar]",$L685)</f>
        <v>80.52</v>
      </c>
      <c r="N685">
        <f>_xll.ICEHistory(M$4,N$5,"DF[dow:12345][tl:Calendar]",$L685)</f>
        <v>82.85</v>
      </c>
      <c r="O685">
        <f>_xll.ICEHistory(M$4,O$5,"DF[dow:12345][tl:Calendar]",$L685)</f>
        <v>78.09</v>
      </c>
      <c r="P685">
        <f>_xll.ICEHistory(M$4,P$5,"DF[dow:12345][tl:Calendar]",$L685)</f>
        <v>79.12</v>
      </c>
      <c r="Q685">
        <f>_xll.ICEHistory(M$4,Q$5,"DF[dow:12345][tl:Calendar]",$L685)</f>
        <v>18013</v>
      </c>
      <c r="R685">
        <f>_xll.ICEHistory(M$4,R$5,"DF[dow:12345][tl:Calendar]",$L685)</f>
        <v>454406</v>
      </c>
      <c r="S685">
        <f>_xll.ICEHistory(S$4,S$5,"DF[dow:12345][tl:Calendar]",$L685)</f>
        <v>157.69999999999999</v>
      </c>
      <c r="T685">
        <f>_xll.ICEHistory(S$4,T$5,"DF[dow:12345][tl:Calendar]",$L685)</f>
        <v>180.267</v>
      </c>
      <c r="U685">
        <f>_xll.ICEHistory(S$4,U$5,"DF[dow:12345][tl:Calendar]",$L685)</f>
        <v>157.69999999999999</v>
      </c>
      <c r="V685">
        <f>_xll.ICEHistory(S$4,V$5,"DF[dow:12345][tl:Calendar]",$L685)</f>
        <v>180.267</v>
      </c>
      <c r="W685">
        <f>_xll.ICEHistory(S$4,W$5,"DF[dow:12345][tl:Calendar]",$L685)</f>
        <v>507</v>
      </c>
      <c r="X685">
        <f t="shared" si="30"/>
        <v>6.528596900288014E-2</v>
      </c>
      <c r="Y685">
        <f t="shared" si="31"/>
        <v>0.83199892949260479</v>
      </c>
      <c r="Z685">
        <f t="shared" si="32"/>
        <v>-1.3968004411425032</v>
      </c>
    </row>
    <row r="686" spans="12:26" x14ac:dyDescent="0.25">
      <c r="L686" s="4">
        <f>_xll.ICETimeline(_xll.ICEJoinRange(M4:W4),"DF[dow:12345][tl:Calendar]","2020-07-26;2024-07-26",365,-1)</f>
        <v>44550.5</v>
      </c>
      <c r="M686">
        <f>_xll.ICEHistory(M$4,M$5,"DF[dow:12345][tl:Calendar]",$L686)</f>
        <v>72.91</v>
      </c>
      <c r="N686">
        <f>_xll.ICEHistory(M$4,N$5,"DF[dow:12345][tl:Calendar]",$L686)</f>
        <v>81.010000000000005</v>
      </c>
      <c r="O686">
        <f>_xll.ICEHistory(M$4,O$5,"DF[dow:12345][tl:Calendar]",$L686)</f>
        <v>72.91</v>
      </c>
      <c r="P686">
        <f>_xll.ICEHistory(M$4,P$5,"DF[dow:12345][tl:Calendar]",$L686)</f>
        <v>79.38</v>
      </c>
      <c r="Q686">
        <f>_xll.ICEHistory(M$4,Q$5,"DF[dow:12345][tl:Calendar]",$L686)</f>
        <v>13731</v>
      </c>
      <c r="R686">
        <f>_xll.ICEHistory(M$4,R$5,"DF[dow:12345][tl:Calendar]",$L686)</f>
        <v>221592</v>
      </c>
      <c r="S686">
        <f>_xll.ICEHistory(S$4,S$5,"DF[dow:12345][tl:Calendar]",$L686)</f>
        <v>140.82</v>
      </c>
      <c r="T686">
        <f>_xll.ICEHistory(S$4,T$5,"DF[dow:12345][tl:Calendar]",$L686)</f>
        <v>148.505</v>
      </c>
      <c r="U686">
        <f>_xll.ICEHistory(S$4,U$5,"DF[dow:12345][tl:Calendar]",$L686)</f>
        <v>139.4</v>
      </c>
      <c r="V686">
        <f>_xll.ICEHistory(S$4,V$5,"DF[dow:12345][tl:Calendar]",$L686)</f>
        <v>146.92599999999999</v>
      </c>
      <c r="W686">
        <f>_xll.ICEHistory(S$4,W$5,"DF[dow:12345][tl:Calendar]",$L686)</f>
        <v>410</v>
      </c>
      <c r="X686">
        <f t="shared" si="30"/>
        <v>9.6142433234421468E-2</v>
      </c>
      <c r="Y686">
        <f t="shared" si="31"/>
        <v>2.1313376393739878</v>
      </c>
      <c r="Z686">
        <f t="shared" si="32"/>
        <v>-1.7951337115015984</v>
      </c>
    </row>
    <row r="687" spans="12:26" x14ac:dyDescent="0.25">
      <c r="L687" s="4">
        <f>_xll.ICETimeline(_xll.ICEJoinRange(M4:W4),"DF[dow:12345][tl:Calendar]","2020-07-26;2024-07-26",364,-1)</f>
        <v>44547.5</v>
      </c>
      <c r="M687">
        <f>_xll.ICEHistory(M$4,M$5,"DF[dow:12345][tl:Calendar]",$L687)</f>
        <v>84.25</v>
      </c>
      <c r="N687">
        <f>_xll.ICEHistory(M$4,N$5,"DF[dow:12345][tl:Calendar]",$L687)</f>
        <v>84.5</v>
      </c>
      <c r="O687">
        <f>_xll.ICEHistory(M$4,O$5,"DF[dow:12345][tl:Calendar]",$L687)</f>
        <v>72.58</v>
      </c>
      <c r="P687">
        <f>_xll.ICEHistory(M$4,P$5,"DF[dow:12345][tl:Calendar]",$L687)</f>
        <v>73.650000000000006</v>
      </c>
      <c r="Q687">
        <f>_xll.ICEHistory(M$4,Q$5,"DF[dow:12345][tl:Calendar]",$L687)</f>
        <v>40236</v>
      </c>
      <c r="R687">
        <f>_xll.ICEHistory(M$4,R$5,"DF[dow:12345][tl:Calendar]",$L687)</f>
        <v>229669</v>
      </c>
      <c r="S687">
        <f>_xll.ICEHistory(S$4,S$5,"DF[dow:12345][tl:Calendar]",$L687)</f>
        <v>124.5</v>
      </c>
      <c r="T687">
        <f>_xll.ICEHistory(S$4,T$5,"DF[dow:12345][tl:Calendar]",$L687)</f>
        <v>139.5</v>
      </c>
      <c r="U687">
        <f>_xll.ICEHistory(S$4,U$5,"DF[dow:12345][tl:Calendar]",$L687)</f>
        <v>124.5</v>
      </c>
      <c r="V687">
        <f>_xll.ICEHistory(S$4,V$5,"DF[dow:12345][tl:Calendar]",$L687)</f>
        <v>136.91300000000001</v>
      </c>
      <c r="W687">
        <f>_xll.ICEHistory(S$4,W$5,"DF[dow:12345][tl:Calendar]",$L687)</f>
        <v>675</v>
      </c>
      <c r="X687">
        <f t="shared" si="30"/>
        <v>0.14739705700506989</v>
      </c>
      <c r="Y687">
        <f t="shared" si="31"/>
        <v>4.4439730892755751</v>
      </c>
      <c r="Z687">
        <f t="shared" si="32"/>
        <v>0.36937229173009817</v>
      </c>
    </row>
    <row r="688" spans="12:26" x14ac:dyDescent="0.25">
      <c r="L688" s="4">
        <f>_xll.ICETimeline(_xll.ICEJoinRange(M4:W4),"DF[dow:12345][tl:Calendar]","2020-07-26;2024-07-26",363,-1)</f>
        <v>44546.5</v>
      </c>
      <c r="M688">
        <f>_xll.ICEHistory(M$4,M$5,"DF[dow:12345][tl:Calendar]",$L688)</f>
        <v>80.87</v>
      </c>
      <c r="N688">
        <f>_xll.ICEHistory(M$4,N$5,"DF[dow:12345][tl:Calendar]",$L688)</f>
        <v>85.23</v>
      </c>
      <c r="O688">
        <f>_xll.ICEHistory(M$4,O$5,"DF[dow:12345][tl:Calendar]",$L688)</f>
        <v>80.349999999999994</v>
      </c>
      <c r="P688">
        <f>_xll.ICEHistory(M$4,P$5,"DF[dow:12345][tl:Calendar]",$L688)</f>
        <v>84.35</v>
      </c>
      <c r="Q688">
        <f>_xll.ICEHistory(M$4,Q$5,"DF[dow:12345][tl:Calendar]",$L688)</f>
        <v>44948</v>
      </c>
      <c r="R688">
        <f>_xll.ICEHistory(M$4,R$5,"DF[dow:12345][tl:Calendar]",$L688)</f>
        <v>232062</v>
      </c>
      <c r="S688">
        <f>_xll.ICEHistory(S$4,S$5,"DF[dow:12345][tl:Calendar]",$L688)</f>
        <v>128.71</v>
      </c>
      <c r="T688">
        <f>_xll.ICEHistory(S$4,T$5,"DF[dow:12345][tl:Calendar]",$L688)</f>
        <v>143</v>
      </c>
      <c r="U688">
        <f>_xll.ICEHistory(S$4,U$5,"DF[dow:12345][tl:Calendar]",$L688)</f>
        <v>126.19</v>
      </c>
      <c r="V688">
        <f>_xll.ICEHistory(S$4,V$5,"DF[dow:12345][tl:Calendar]",$L688)</f>
        <v>142.76499999999999</v>
      </c>
      <c r="W688">
        <f>_xll.ICEHistory(S$4,W$5,"DF[dow:12345][tl:Calendar]",$L688)</f>
        <v>847</v>
      </c>
      <c r="X688">
        <f t="shared" si="30"/>
        <v>6.1114589855980089E-2</v>
      </c>
      <c r="Y688">
        <f t="shared" si="31"/>
        <v>0.99248867044483524</v>
      </c>
      <c r="Z688">
        <f t="shared" si="32"/>
        <v>0.76067121766417034</v>
      </c>
    </row>
    <row r="689" spans="12:26" x14ac:dyDescent="0.25">
      <c r="L689" s="4">
        <f>_xll.ICETimeline(_xll.ICEJoinRange(M4:W4),"DF[dow:12345][tl:Calendar]","2020-07-26;2024-07-26",362,-1)</f>
        <v>44545.5</v>
      </c>
      <c r="M689">
        <f>_xll.ICEHistory(M$4,M$5,"DF[dow:12345][tl:Calendar]",$L689)</f>
        <v>79.849999999999994</v>
      </c>
      <c r="N689">
        <f>_xll.ICEHistory(M$4,N$5,"DF[dow:12345][tl:Calendar]",$L689)</f>
        <v>81.56</v>
      </c>
      <c r="O689">
        <f>_xll.ICEHistory(M$4,O$5,"DF[dow:12345][tl:Calendar]",$L689)</f>
        <v>79.41</v>
      </c>
      <c r="P689">
        <f>_xll.ICEHistory(M$4,P$5,"DF[dow:12345][tl:Calendar]",$L689)</f>
        <v>80.209999999999994</v>
      </c>
      <c r="Q689">
        <f>_xll.ICEHistory(M$4,Q$5,"DF[dow:12345][tl:Calendar]",$L689)</f>
        <v>59668</v>
      </c>
      <c r="R689">
        <f>_xll.ICEHistory(M$4,R$5,"DF[dow:12345][tl:Calendar]",$L689)</f>
        <v>254394</v>
      </c>
      <c r="S689">
        <f>_xll.ICEHistory(S$4,S$5,"DF[dow:12345][tl:Calendar]",$L689)</f>
        <v>131.1</v>
      </c>
      <c r="T689">
        <f>_xll.ICEHistory(S$4,T$5,"DF[dow:12345][tl:Calendar]",$L689)</f>
        <v>132.405</v>
      </c>
      <c r="U689">
        <f>_xll.ICEHistory(S$4,U$5,"DF[dow:12345][tl:Calendar]",$L689)</f>
        <v>120.6</v>
      </c>
      <c r="V689">
        <f>_xll.ICEHistory(S$4,V$5,"DF[dow:12345][tl:Calendar]",$L689)</f>
        <v>132.28399999999999</v>
      </c>
      <c r="W689">
        <f>_xll.ICEHistory(S$4,W$5,"DF[dow:12345][tl:Calendar]",$L689)</f>
        <v>1015</v>
      </c>
      <c r="X689">
        <f t="shared" si="30"/>
        <v>2.6251526251526318E-2</v>
      </c>
      <c r="Y689">
        <f t="shared" si="31"/>
        <v>-0.7839094876288053</v>
      </c>
      <c r="Z689">
        <f t="shared" si="32"/>
        <v>1.9978546556823358</v>
      </c>
    </row>
    <row r="690" spans="12:26" x14ac:dyDescent="0.25">
      <c r="L690" s="4">
        <f>_xll.ICETimeline(_xll.ICEJoinRange(M4:W4),"DF[dow:12345][tl:Calendar]","2020-07-26;2024-07-26",361,-1)</f>
        <v>44544.5</v>
      </c>
      <c r="M690">
        <f>_xll.ICEHistory(M$4,M$5,"DF[dow:12345][tl:Calendar]",$L690)</f>
        <v>81.900000000000006</v>
      </c>
      <c r="N690">
        <f>_xll.ICEHistory(M$4,N$5,"DF[dow:12345][tl:Calendar]",$L690)</f>
        <v>83.25</v>
      </c>
      <c r="O690">
        <f>_xll.ICEHistory(M$4,O$5,"DF[dow:12345][tl:Calendar]",$L690)</f>
        <v>78.25</v>
      </c>
      <c r="P690">
        <f>_xll.ICEHistory(M$4,P$5,"DF[dow:12345][tl:Calendar]",$L690)</f>
        <v>79.95</v>
      </c>
      <c r="Q690">
        <f>_xll.ICEHistory(M$4,Q$5,"DF[dow:12345][tl:Calendar]",$L690)</f>
        <v>56567</v>
      </c>
      <c r="R690">
        <f>_xll.ICEHistory(M$4,R$5,"DF[dow:12345][tl:Calendar]",$L690)</f>
        <v>303875</v>
      </c>
      <c r="S690">
        <f>_xll.ICEHistory(S$4,S$5,"DF[dow:12345][tl:Calendar]",$L690)</f>
        <v>118.95</v>
      </c>
      <c r="T690">
        <f>_xll.ICEHistory(S$4,T$5,"DF[dow:12345][tl:Calendar]",$L690)</f>
        <v>129.065</v>
      </c>
      <c r="U690">
        <f>_xll.ICEHistory(S$4,U$5,"DF[dow:12345][tl:Calendar]",$L690)</f>
        <v>116.77500000000001</v>
      </c>
      <c r="V690">
        <f>_xll.ICEHistory(S$4,V$5,"DF[dow:12345][tl:Calendar]",$L690)</f>
        <v>128.30099999999999</v>
      </c>
      <c r="W690">
        <f>_xll.ICEHistory(S$4,W$5,"DF[dow:12345][tl:Calendar]",$L690)</f>
        <v>635</v>
      </c>
      <c r="X690">
        <f t="shared" si="30"/>
        <v>5.9304946032499112E-2</v>
      </c>
      <c r="Y690">
        <f t="shared" si="31"/>
        <v>0.91212632702244012</v>
      </c>
      <c r="Z690">
        <f t="shared" si="32"/>
        <v>1.8013514252072991</v>
      </c>
    </row>
    <row r="691" spans="12:26" x14ac:dyDescent="0.25">
      <c r="L691" s="4">
        <f>_xll.ICETimeline(_xll.ICEJoinRange(M4:W4),"DF[dow:12345][tl:Calendar]","2020-07-26;2024-07-26",360,-1)</f>
        <v>44543.5</v>
      </c>
      <c r="M691">
        <f>_xll.ICEHistory(M$4,M$5,"DF[dow:12345][tl:Calendar]",$L691)</f>
        <v>84.31</v>
      </c>
      <c r="N691">
        <f>_xll.ICEHistory(M$4,N$5,"DF[dow:12345][tl:Calendar]",$L691)</f>
        <v>86.76</v>
      </c>
      <c r="O691">
        <f>_xll.ICEHistory(M$4,O$5,"DF[dow:12345][tl:Calendar]",$L691)</f>
        <v>81.63</v>
      </c>
      <c r="P691">
        <f>_xll.ICEHistory(M$4,P$5,"DF[dow:12345][tl:Calendar]",$L691)</f>
        <v>81.8</v>
      </c>
      <c r="Q691">
        <f>_xll.ICEHistory(M$4,Q$5,"DF[dow:12345][tl:Calendar]",$L691)</f>
        <v>36487</v>
      </c>
      <c r="R691">
        <f>_xll.ICEHistory(M$4,R$5,"DF[dow:12345][tl:Calendar]",$L691)</f>
        <v>317924</v>
      </c>
      <c r="S691">
        <f>_xll.ICEHistory(S$4,S$5,"DF[dow:12345][tl:Calendar]",$L691)</f>
        <v>115.4</v>
      </c>
      <c r="T691">
        <f>_xll.ICEHistory(S$4,T$5,"DF[dow:12345][tl:Calendar]",$L691)</f>
        <v>118.625</v>
      </c>
      <c r="U691">
        <f>_xll.ICEHistory(S$4,U$5,"DF[dow:12345][tl:Calendar]",$L691)</f>
        <v>112.44</v>
      </c>
      <c r="V691">
        <f>_xll.ICEHistory(S$4,V$5,"DF[dow:12345][tl:Calendar]",$L691)</f>
        <v>116.084</v>
      </c>
      <c r="W691">
        <f>_xll.ICEHistory(S$4,W$5,"DF[dow:12345][tl:Calendar]",$L691)</f>
        <v>474</v>
      </c>
      <c r="X691">
        <f t="shared" si="30"/>
        <v>6.3869521912350721E-2</v>
      </c>
      <c r="Y691">
        <f t="shared" si="31"/>
        <v>1.1683531314058344</v>
      </c>
      <c r="Z691">
        <f t="shared" si="32"/>
        <v>0.10442098077786913</v>
      </c>
    </row>
    <row r="692" spans="12:26" x14ac:dyDescent="0.25">
      <c r="L692" s="4">
        <f>_xll.ICETimeline(_xll.ICEJoinRange(M4:W4),"DF[dow:12345][tl:Calendar]","2020-07-26;2024-07-26",359,-1)</f>
        <v>44540.5</v>
      </c>
      <c r="M692">
        <f>_xll.ICEHistory(M$4,M$5,"DF[dow:12345][tl:Calendar]",$L692)</f>
        <v>80.319999999999993</v>
      </c>
      <c r="N692">
        <f>_xll.ICEHistory(M$4,N$5,"DF[dow:12345][tl:Calendar]",$L692)</f>
        <v>83.89</v>
      </c>
      <c r="O692">
        <f>_xll.ICEHistory(M$4,O$5,"DF[dow:12345][tl:Calendar]",$L692)</f>
        <v>79.8</v>
      </c>
      <c r="P692">
        <f>_xll.ICEHistory(M$4,P$5,"DF[dow:12345][tl:Calendar]",$L692)</f>
        <v>83.24</v>
      </c>
      <c r="Q692">
        <f>_xll.ICEHistory(M$4,Q$5,"DF[dow:12345][tl:Calendar]",$L692)</f>
        <v>54227</v>
      </c>
      <c r="R692">
        <f>_xll.ICEHistory(M$4,R$5,"DF[dow:12345][tl:Calendar]",$L692)</f>
        <v>318620</v>
      </c>
      <c r="S692">
        <f>_xll.ICEHistory(S$4,S$5,"DF[dow:12345][tl:Calendar]",$L692)</f>
        <v>101.605</v>
      </c>
      <c r="T692">
        <f>_xll.ICEHistory(S$4,T$5,"DF[dow:12345][tl:Calendar]",$L692)</f>
        <v>107.75</v>
      </c>
      <c r="U692">
        <f>_xll.ICEHistory(S$4,U$5,"DF[dow:12345][tl:Calendar]",$L692)</f>
        <v>100.83</v>
      </c>
      <c r="V692">
        <f>_xll.ICEHistory(S$4,V$5,"DF[dow:12345][tl:Calendar]",$L692)</f>
        <v>105.776</v>
      </c>
      <c r="W692">
        <f>_xll.ICEHistory(S$4,W$5,"DF[dow:12345][tl:Calendar]",$L692)</f>
        <v>243</v>
      </c>
      <c r="X692">
        <f t="shared" si="30"/>
        <v>4.5831465710443789E-2</v>
      </c>
      <c r="Y692">
        <f t="shared" si="31"/>
        <v>0.25696842099918277</v>
      </c>
      <c r="Z692">
        <f t="shared" si="32"/>
        <v>1.6791348343214501</v>
      </c>
    </row>
    <row r="693" spans="12:26" x14ac:dyDescent="0.25">
      <c r="L693" s="4">
        <f>_xll.ICETimeline(_xll.ICEJoinRange(M4:W4),"DF[dow:12345][tl:Calendar]","2020-07-26;2024-07-26",358,-1)</f>
        <v>44539.5</v>
      </c>
      <c r="M693">
        <f>_xll.ICEHistory(M$4,M$5,"DF[dow:12345][tl:Calendar]",$L693)</f>
        <v>89.24</v>
      </c>
      <c r="N693">
        <f>_xll.ICEHistory(M$4,N$5,"DF[dow:12345][tl:Calendar]",$L693)</f>
        <v>90.2</v>
      </c>
      <c r="O693">
        <f>_xll.ICEHistory(M$4,O$5,"DF[dow:12345][tl:Calendar]",$L693)</f>
        <v>79.709999999999994</v>
      </c>
      <c r="P693">
        <f>_xll.ICEHistory(M$4,P$5,"DF[dow:12345][tl:Calendar]",$L693)</f>
        <v>80.599999999999994</v>
      </c>
      <c r="Q693">
        <f>_xll.ICEHistory(M$4,Q$5,"DF[dow:12345][tl:Calendar]",$L693)</f>
        <v>64569</v>
      </c>
      <c r="R693">
        <f>_xll.ICEHistory(M$4,R$5,"DF[dow:12345][tl:Calendar]",$L693)</f>
        <v>325742</v>
      </c>
      <c r="S693">
        <f>_xll.ICEHistory(S$4,S$5,"DF[dow:12345][tl:Calendar]",$L693)</f>
        <v>98.5</v>
      </c>
      <c r="T693">
        <f>_xll.ICEHistory(S$4,T$5,"DF[dow:12345][tl:Calendar]",$L693)</f>
        <v>104.35</v>
      </c>
      <c r="U693">
        <f>_xll.ICEHistory(S$4,U$5,"DF[dow:12345][tl:Calendar]",$L693)</f>
        <v>97.17</v>
      </c>
      <c r="V693">
        <f>_xll.ICEHistory(S$4,V$5,"DF[dow:12345][tl:Calendar]",$L693)</f>
        <v>100.44499999999999</v>
      </c>
      <c r="W693">
        <f>_xll.ICEHistory(S$4,W$5,"DF[dow:12345][tl:Calendar]",$L693)</f>
        <v>416</v>
      </c>
      <c r="X693">
        <f t="shared" si="30"/>
        <v>0.12312206572769964</v>
      </c>
      <c r="Y693">
        <f t="shared" si="31"/>
        <v>4.3287466022565546</v>
      </c>
      <c r="Z693">
        <f t="shared" si="32"/>
        <v>2.6812038665732594</v>
      </c>
    </row>
    <row r="694" spans="12:26" x14ac:dyDescent="0.25">
      <c r="L694" s="4">
        <f>_xll.ICETimeline(_xll.ICEJoinRange(M4:W4),"DF[dow:12345][tl:Calendar]","2020-07-26;2024-07-26",357,-1)</f>
        <v>44538.5</v>
      </c>
      <c r="M694">
        <f>_xll.ICEHistory(M$4,M$5,"DF[dow:12345][tl:Calendar]",$L694)</f>
        <v>85.2</v>
      </c>
      <c r="N694">
        <f>_xll.ICEHistory(M$4,N$5,"DF[dow:12345][tl:Calendar]",$L694)</f>
        <v>90.75</v>
      </c>
      <c r="O694">
        <f>_xll.ICEHistory(M$4,O$5,"DF[dow:12345][tl:Calendar]",$L694)</f>
        <v>85.07</v>
      </c>
      <c r="P694">
        <f>_xll.ICEHistory(M$4,P$5,"DF[dow:12345][tl:Calendar]",$L694)</f>
        <v>89.6</v>
      </c>
      <c r="Q694">
        <f>_xll.ICEHistory(M$4,Q$5,"DF[dow:12345][tl:Calendar]",$L694)</f>
        <v>63620</v>
      </c>
      <c r="R694">
        <f>_xll.ICEHistory(M$4,R$5,"DF[dow:12345][tl:Calendar]",$L694)</f>
        <v>337725</v>
      </c>
      <c r="S694">
        <f>_xll.ICEHistory(S$4,S$5,"DF[dow:12345][tl:Calendar]",$L694)</f>
        <v>98.6</v>
      </c>
      <c r="T694">
        <f>_xll.ICEHistory(S$4,T$5,"DF[dow:12345][tl:Calendar]",$L694)</f>
        <v>103.83499999999999</v>
      </c>
      <c r="U694">
        <f>_xll.ICEHistory(S$4,U$5,"DF[dow:12345][tl:Calendar]",$L694)</f>
        <v>98.6</v>
      </c>
      <c r="V694">
        <f>_xll.ICEHistory(S$4,V$5,"DF[dow:12345][tl:Calendar]",$L694)</f>
        <v>101.502</v>
      </c>
      <c r="W694">
        <f>_xll.ICEHistory(S$4,W$5,"DF[dow:12345][tl:Calendar]",$L694)</f>
        <v>364</v>
      </c>
      <c r="X694">
        <f t="shared" si="30"/>
        <v>6.8848484848484937E-2</v>
      </c>
      <c r="Y694">
        <f t="shared" si="31"/>
        <v>1.8350395565843487</v>
      </c>
      <c r="Z694">
        <f t="shared" si="32"/>
        <v>2.8013434638322074</v>
      </c>
    </row>
    <row r="695" spans="12:26" x14ac:dyDescent="0.25">
      <c r="L695" s="4">
        <f>_xll.ICETimeline(_xll.ICEJoinRange(M4:W4),"DF[dow:12345][tl:Calendar]","2020-07-26;2024-07-26",356,-1)</f>
        <v>44537.5</v>
      </c>
      <c r="M695">
        <f>_xll.ICEHistory(M$4,M$5,"DF[dow:12345][tl:Calendar]",$L695)</f>
        <v>82.5</v>
      </c>
      <c r="N695">
        <f>_xll.ICEHistory(M$4,N$5,"DF[dow:12345][tl:Calendar]",$L695)</f>
        <v>85.5</v>
      </c>
      <c r="O695">
        <f>_xll.ICEHistory(M$4,O$5,"DF[dow:12345][tl:Calendar]",$L695)</f>
        <v>82</v>
      </c>
      <c r="P695">
        <f>_xll.ICEHistory(M$4,P$5,"DF[dow:12345][tl:Calendar]",$L695)</f>
        <v>85.41</v>
      </c>
      <c r="Q695">
        <f>_xll.ICEHistory(M$4,Q$5,"DF[dow:12345][tl:Calendar]",$L695)</f>
        <v>45704</v>
      </c>
      <c r="R695">
        <f>_xll.ICEHistory(M$4,R$5,"DF[dow:12345][tl:Calendar]",$L695)</f>
        <v>338411</v>
      </c>
      <c r="S695">
        <f>_xll.ICEHistory(S$4,S$5,"DF[dow:12345][tl:Calendar]",$L695)</f>
        <v>95</v>
      </c>
      <c r="T695">
        <f>_xll.ICEHistory(S$4,T$5,"DF[dow:12345][tl:Calendar]",$L695)</f>
        <v>95.882999999999996</v>
      </c>
      <c r="U695">
        <f>_xll.ICEHistory(S$4,U$5,"DF[dow:12345][tl:Calendar]",$L695)</f>
        <v>94.594999999999999</v>
      </c>
      <c r="V695">
        <f>_xll.ICEHistory(S$4,V$5,"DF[dow:12345][tl:Calendar]",$L695)</f>
        <v>95.882999999999996</v>
      </c>
      <c r="W695">
        <f>_xll.ICEHistory(S$4,W$5,"DF[dow:12345][tl:Calendar]",$L695)</f>
        <v>244</v>
      </c>
      <c r="X695">
        <f t="shared" si="30"/>
        <v>4.473986961523712E-2</v>
      </c>
      <c r="Y695">
        <f t="shared" si="31"/>
        <v>0.39059434719276742</v>
      </c>
      <c r="Z695">
        <f t="shared" si="32"/>
        <v>1.2132197094297748</v>
      </c>
    </row>
    <row r="696" spans="12:26" x14ac:dyDescent="0.25">
      <c r="L696" s="4">
        <f>_xll.ICETimeline(_xll.ICEJoinRange(M4:W4),"DF[dow:12345][tl:Calendar]","2020-07-26;2024-07-26",355,-1)</f>
        <v>44536.5</v>
      </c>
      <c r="M696">
        <f>_xll.ICEHistory(M$4,M$5,"DF[dow:12345][tl:Calendar]",$L696)</f>
        <v>78.23</v>
      </c>
      <c r="N696">
        <f>_xll.ICEHistory(M$4,N$5,"DF[dow:12345][tl:Calendar]",$L696)</f>
        <v>81.8</v>
      </c>
      <c r="O696">
        <f>_xll.ICEHistory(M$4,O$5,"DF[dow:12345][tl:Calendar]",$L696)</f>
        <v>78.23</v>
      </c>
      <c r="P696">
        <f>_xll.ICEHistory(M$4,P$5,"DF[dow:12345][tl:Calendar]",$L696)</f>
        <v>81.650000000000006</v>
      </c>
      <c r="Q696">
        <f>_xll.ICEHistory(M$4,Q$5,"DF[dow:12345][tl:Calendar]",$L696)</f>
        <v>30841</v>
      </c>
      <c r="R696">
        <f>_xll.ICEHistory(M$4,R$5,"DF[dow:12345][tl:Calendar]",$L696)</f>
        <v>349705</v>
      </c>
      <c r="S696">
        <f>_xll.ICEHistory(S$4,S$5,"DF[dow:12345][tl:Calendar]",$L696)</f>
        <v>86.6</v>
      </c>
      <c r="T696">
        <f>_xll.ICEHistory(S$4,T$5,"DF[dow:12345][tl:Calendar]",$L696)</f>
        <v>90.275000000000006</v>
      </c>
      <c r="U696">
        <f>_xll.ICEHistory(S$4,U$5,"DF[dow:12345][tl:Calendar]",$L696)</f>
        <v>86.6</v>
      </c>
      <c r="V696">
        <f>_xll.ICEHistory(S$4,V$5,"DF[dow:12345][tl:Calendar]",$L696)</f>
        <v>89.927999999999997</v>
      </c>
      <c r="W696">
        <f>_xll.ICEHistory(S$4,W$5,"DF[dow:12345][tl:Calendar]",$L696)</f>
        <v>92</v>
      </c>
      <c r="X696">
        <f t="shared" si="30"/>
        <v>4.4641740652744698E-2</v>
      </c>
      <c r="Y696">
        <f t="shared" si="31"/>
        <v>0.40436560877540229</v>
      </c>
      <c r="Z696">
        <f t="shared" si="32"/>
        <v>-0.26840174997483313</v>
      </c>
    </row>
    <row r="697" spans="12:26" x14ac:dyDescent="0.25">
      <c r="L697" s="4">
        <f>_xll.ICETimeline(_xll.ICEJoinRange(M4:W4),"DF[dow:12345][tl:Calendar]","2020-07-26;2024-07-26",354,-1)</f>
        <v>44533.5</v>
      </c>
      <c r="M697">
        <f>_xll.ICEHistory(M$4,M$5,"DF[dow:12345][tl:Calendar]",$L697)</f>
        <v>79.97</v>
      </c>
      <c r="N697">
        <f>_xll.ICEHistory(M$4,N$5,"DF[dow:12345][tl:Calendar]",$L697)</f>
        <v>80.42</v>
      </c>
      <c r="O697">
        <f>_xll.ICEHistory(M$4,O$5,"DF[dow:12345][tl:Calendar]",$L697)</f>
        <v>78</v>
      </c>
      <c r="P697">
        <f>_xll.ICEHistory(M$4,P$5,"DF[dow:12345][tl:Calendar]",$L697)</f>
        <v>78.75</v>
      </c>
      <c r="Q697">
        <f>_xll.ICEHistory(M$4,Q$5,"DF[dow:12345][tl:Calendar]",$L697)</f>
        <v>24516</v>
      </c>
      <c r="R697">
        <f>_xll.ICEHistory(M$4,R$5,"DF[dow:12345][tl:Calendar]",$L697)</f>
        <v>354871</v>
      </c>
      <c r="S697">
        <f>_xll.ICEHistory(S$4,S$5,"DF[dow:12345][tl:Calendar]",$L697)</f>
        <v>91.59</v>
      </c>
      <c r="T697">
        <f>_xll.ICEHistory(S$4,T$5,"DF[dow:12345][tl:Calendar]",$L697)</f>
        <v>92.05</v>
      </c>
      <c r="U697">
        <f>_xll.ICEHistory(S$4,U$5,"DF[dow:12345][tl:Calendar]",$L697)</f>
        <v>89.477999999999994</v>
      </c>
      <c r="V697">
        <f>_xll.ICEHistory(S$4,V$5,"DF[dow:12345][tl:Calendar]",$L697)</f>
        <v>89.477999999999994</v>
      </c>
      <c r="W697">
        <f>_xll.ICEHistory(S$4,W$5,"DF[dow:12345][tl:Calendar]",$L697)</f>
        <v>93</v>
      </c>
      <c r="X697">
        <f t="shared" si="30"/>
        <v>3.1691985332634912E-2</v>
      </c>
      <c r="Y697">
        <f t="shared" si="31"/>
        <v>-0.39262061189140529</v>
      </c>
      <c r="Z697">
        <f t="shared" si="32"/>
        <v>-0.89565700849982277</v>
      </c>
    </row>
    <row r="698" spans="12:26" x14ac:dyDescent="0.25">
      <c r="L698" s="4">
        <f>_xll.ICETimeline(_xll.ICEJoinRange(M4:W4),"DF[dow:12345][tl:Calendar]","2020-07-26;2024-07-26",353,-1)</f>
        <v>44532.5</v>
      </c>
      <c r="M698">
        <f>_xll.ICEHistory(M$4,M$5,"DF[dow:12345][tl:Calendar]",$L698)</f>
        <v>76.36</v>
      </c>
      <c r="N698">
        <f>_xll.ICEHistory(M$4,N$5,"DF[dow:12345][tl:Calendar]",$L698)</f>
        <v>79.98</v>
      </c>
      <c r="O698">
        <f>_xll.ICEHistory(M$4,O$5,"DF[dow:12345][tl:Calendar]",$L698)</f>
        <v>76.099999999999994</v>
      </c>
      <c r="P698">
        <f>_xll.ICEHistory(M$4,P$5,"DF[dow:12345][tl:Calendar]",$L698)</f>
        <v>79.98</v>
      </c>
      <c r="Q698">
        <f>_xll.ICEHistory(M$4,Q$5,"DF[dow:12345][tl:Calendar]",$L698)</f>
        <v>58346</v>
      </c>
      <c r="R698">
        <f>_xll.ICEHistory(M$4,R$5,"DF[dow:12345][tl:Calendar]",$L698)</f>
        <v>356677</v>
      </c>
      <c r="S698">
        <f>_xll.ICEHistory(S$4,S$5,"DF[dow:12345][tl:Calendar]",$L698)</f>
        <v>91.6</v>
      </c>
      <c r="T698">
        <f>_xll.ICEHistory(S$4,T$5,"DF[dow:12345][tl:Calendar]",$L698)</f>
        <v>94.83</v>
      </c>
      <c r="U698">
        <f>_xll.ICEHistory(S$4,U$5,"DF[dow:12345][tl:Calendar]",$L698)</f>
        <v>89.2</v>
      </c>
      <c r="V698">
        <f>_xll.ICEHistory(S$4,V$5,"DF[dow:12345][tl:Calendar]",$L698)</f>
        <v>94.83</v>
      </c>
      <c r="W698">
        <f>_xll.ICEHistory(S$4,W$5,"DF[dow:12345][tl:Calendar]",$L698)</f>
        <v>169</v>
      </c>
      <c r="X698">
        <f t="shared" si="30"/>
        <v>5.1275274216994973E-2</v>
      </c>
      <c r="Y698">
        <f t="shared" si="31"/>
        <v>0.83832780356419911</v>
      </c>
      <c r="Z698">
        <f t="shared" si="32"/>
        <v>2.5281363742687732</v>
      </c>
    </row>
    <row r="699" spans="12:26" x14ac:dyDescent="0.25">
      <c r="L699" s="4">
        <f>_xll.ICETimeline(_xll.ICEJoinRange(M4:W4),"DF[dow:12345][tl:Calendar]","2020-07-26;2024-07-26",352,-1)</f>
        <v>44531.5</v>
      </c>
      <c r="M699">
        <f>_xll.ICEHistory(M$4,M$5,"DF[dow:12345][tl:Calendar]",$L699)</f>
        <v>75.67</v>
      </c>
      <c r="N699">
        <f>_xll.ICEHistory(M$4,N$5,"DF[dow:12345][tl:Calendar]",$L699)</f>
        <v>78.430000000000007</v>
      </c>
      <c r="O699">
        <f>_xll.ICEHistory(M$4,O$5,"DF[dow:12345][tl:Calendar]",$L699)</f>
        <v>75.23</v>
      </c>
      <c r="P699">
        <f>_xll.ICEHistory(M$4,P$5,"DF[dow:12345][tl:Calendar]",$L699)</f>
        <v>76.67</v>
      </c>
      <c r="Q699">
        <f>_xll.ICEHistory(M$4,Q$5,"DF[dow:12345][tl:Calendar]",$L699)</f>
        <v>45150</v>
      </c>
      <c r="R699">
        <f>_xll.ICEHistory(M$4,R$5,"DF[dow:12345][tl:Calendar]",$L699)</f>
        <v>358740</v>
      </c>
      <c r="S699">
        <f>_xll.ICEHistory(S$4,S$5,"DF[dow:12345][tl:Calendar]",$L699)</f>
        <v>92.6</v>
      </c>
      <c r="T699">
        <f>_xll.ICEHistory(S$4,T$5,"DF[dow:12345][tl:Calendar]",$L699)</f>
        <v>95.674999999999997</v>
      </c>
      <c r="U699">
        <f>_xll.ICEHistory(S$4,U$5,"DF[dow:12345][tl:Calendar]",$L699)</f>
        <v>92.6</v>
      </c>
      <c r="V699">
        <f>_xll.ICEHistory(S$4,V$5,"DF[dow:12345][tl:Calendar]",$L699)</f>
        <v>95.674999999999997</v>
      </c>
      <c r="W699">
        <f>_xll.ICEHistory(S$4,W$5,"DF[dow:12345][tl:Calendar]",$L699)</f>
        <v>289</v>
      </c>
      <c r="X699">
        <f t="shared" si="30"/>
        <v>4.3360433604336085E-2</v>
      </c>
      <c r="Y699">
        <f t="shared" si="31"/>
        <v>0.36193167534268128</v>
      </c>
      <c r="Z699">
        <f t="shared" si="32"/>
        <v>1.2978125483249923</v>
      </c>
    </row>
    <row r="700" spans="12:26" x14ac:dyDescent="0.25">
      <c r="L700" s="4">
        <f>_xll.ICETimeline(_xll.ICEJoinRange(M4:W4),"DF[dow:12345][tl:Calendar]","2020-07-26;2024-07-26",351,-1)</f>
        <v>44530.5</v>
      </c>
      <c r="M700">
        <f>_xll.ICEHistory(M$4,M$5,"DF[dow:12345][tl:Calendar]",$L700)</f>
        <v>73.8</v>
      </c>
      <c r="N700">
        <f>_xll.ICEHistory(M$4,N$5,"DF[dow:12345][tl:Calendar]",$L700)</f>
        <v>75.48</v>
      </c>
      <c r="O700">
        <f>_xll.ICEHistory(M$4,O$5,"DF[dow:12345][tl:Calendar]",$L700)</f>
        <v>73.12</v>
      </c>
      <c r="P700">
        <f>_xll.ICEHistory(M$4,P$5,"DF[dow:12345][tl:Calendar]",$L700)</f>
        <v>75.260000000000005</v>
      </c>
      <c r="Q700">
        <f>_xll.ICEHistory(M$4,Q$5,"DF[dow:12345][tl:Calendar]",$L700)</f>
        <v>31383</v>
      </c>
      <c r="R700">
        <f>_xll.ICEHistory(M$4,R$5,"DF[dow:12345][tl:Calendar]",$L700)</f>
        <v>368036</v>
      </c>
      <c r="S700">
        <f>_xll.ICEHistory(S$4,S$5,"DF[dow:12345][tl:Calendar]",$L700)</f>
        <v>98</v>
      </c>
      <c r="T700">
        <f>_xll.ICEHistory(S$4,T$5,"DF[dow:12345][tl:Calendar]",$L700)</f>
        <v>98</v>
      </c>
      <c r="U700">
        <f>_xll.ICEHistory(S$4,U$5,"DF[dow:12345][tl:Calendar]",$L700)</f>
        <v>92.513000000000005</v>
      </c>
      <c r="V700">
        <f>_xll.ICEHistory(S$4,V$5,"DF[dow:12345][tl:Calendar]",$L700)</f>
        <v>92.513000000000005</v>
      </c>
      <c r="W700">
        <f>_xll.ICEHistory(S$4,W$5,"DF[dow:12345][tl:Calendar]",$L700)</f>
        <v>27</v>
      </c>
      <c r="X700">
        <f t="shared" si="30"/>
        <v>3.2100108813928177E-2</v>
      </c>
      <c r="Y700">
        <f t="shared" si="31"/>
        <v>-0.33792413438423297</v>
      </c>
      <c r="Z700">
        <f t="shared" si="32"/>
        <v>-0.1283934949163037</v>
      </c>
    </row>
    <row r="701" spans="12:26" x14ac:dyDescent="0.25">
      <c r="L701" s="4">
        <f>_xll.ICETimeline(_xll.ICEJoinRange(M4:W4),"DF[dow:12345][tl:Calendar]","2020-07-26;2024-07-26",350,-1)</f>
        <v>44529.5</v>
      </c>
      <c r="M701">
        <f>_xll.ICEHistory(M$4,M$5,"DF[dow:12345][tl:Calendar]",$L701)</f>
        <v>73.52</v>
      </c>
      <c r="N701">
        <f>_xll.ICEHistory(M$4,N$5,"DF[dow:12345][tl:Calendar]",$L701)</f>
        <v>75.760000000000005</v>
      </c>
      <c r="O701">
        <f>_xll.ICEHistory(M$4,O$5,"DF[dow:12345][tl:Calendar]",$L701)</f>
        <v>73.52</v>
      </c>
      <c r="P701">
        <f>_xll.ICEHistory(M$4,P$5,"DF[dow:12345][tl:Calendar]",$L701)</f>
        <v>74.05</v>
      </c>
      <c r="Q701">
        <f>_xll.ICEHistory(M$4,Q$5,"DF[dow:12345][tl:Calendar]",$L701)</f>
        <v>30968</v>
      </c>
      <c r="R701">
        <f>_xll.ICEHistory(M$4,R$5,"DF[dow:12345][tl:Calendar]",$L701)</f>
        <v>374959</v>
      </c>
      <c r="S701">
        <f>_xll.ICEHistory(S$4,S$5,"DF[dow:12345][tl:Calendar]",$L701)</f>
        <v>94.25</v>
      </c>
      <c r="T701">
        <f>_xll.ICEHistory(S$4,T$5,"DF[dow:12345][tl:Calendar]",$L701)</f>
        <v>94.25</v>
      </c>
      <c r="U701">
        <f>_xll.ICEHistory(S$4,U$5,"DF[dow:12345][tl:Calendar]",$L701)</f>
        <v>92.45</v>
      </c>
      <c r="V701">
        <f>_xll.ICEHistory(S$4,V$5,"DF[dow:12345][tl:Calendar]",$L701)</f>
        <v>93.146000000000001</v>
      </c>
      <c r="W701">
        <f>_xll.ICEHistory(S$4,W$5,"DF[dow:12345][tl:Calendar]",$L701)</f>
        <v>0</v>
      </c>
      <c r="X701">
        <f t="shared" si="30"/>
        <v>3.0245746691871578E-2</v>
      </c>
      <c r="Y701">
        <f t="shared" si="31"/>
        <v>-0.43517858763265699</v>
      </c>
      <c r="Z701">
        <f t="shared" si="32"/>
        <v>-0.14648692990353607</v>
      </c>
    </row>
    <row r="702" spans="12:26" x14ac:dyDescent="0.25">
      <c r="L702" s="4">
        <f>_xll.ICETimeline(_xll.ICEJoinRange(M4:W4),"DF[dow:12345][tl:Calendar]","2020-07-26;2024-07-26",349,-1)</f>
        <v>44526.5</v>
      </c>
      <c r="M702">
        <f>_xll.ICEHistory(M$4,M$5,"DF[dow:12345][tl:Calendar]",$L702)</f>
        <v>74.06</v>
      </c>
      <c r="N702">
        <f>_xll.ICEHistory(M$4,N$5,"DF[dow:12345][tl:Calendar]",$L702)</f>
        <v>74.239999999999995</v>
      </c>
      <c r="O702">
        <f>_xll.ICEHistory(M$4,O$5,"DF[dow:12345][tl:Calendar]",$L702)</f>
        <v>70.37</v>
      </c>
      <c r="P702">
        <f>_xll.ICEHistory(M$4,P$5,"DF[dow:12345][tl:Calendar]",$L702)</f>
        <v>72.75</v>
      </c>
      <c r="Q702">
        <f>_xll.ICEHistory(M$4,Q$5,"DF[dow:12345][tl:Calendar]",$L702)</f>
        <v>39797</v>
      </c>
      <c r="R702">
        <f>_xll.ICEHistory(M$4,R$5,"DF[dow:12345][tl:Calendar]",$L702)</f>
        <v>380252</v>
      </c>
      <c r="S702">
        <f>_xll.ICEHistory(S$4,S$5,"DF[dow:12345][tl:Calendar]",$L702)</f>
        <v>92.45</v>
      </c>
      <c r="T702">
        <f>_xll.ICEHistory(S$4,T$5,"DF[dow:12345][tl:Calendar]",$L702)</f>
        <v>94.4</v>
      </c>
      <c r="U702">
        <f>_xll.ICEHistory(S$4,U$5,"DF[dow:12345][tl:Calendar]",$L702)</f>
        <v>87.75</v>
      </c>
      <c r="V702">
        <f>_xll.ICEHistory(S$4,V$5,"DF[dow:12345][tl:Calendar]",$L702)</f>
        <v>87.772000000000006</v>
      </c>
      <c r="W702">
        <f>_xll.ICEHistory(S$4,W$5,"DF[dow:12345][tl:Calendar]",$L702)</f>
        <v>75</v>
      </c>
      <c r="X702">
        <f t="shared" si="30"/>
        <v>5.2999178307312933E-2</v>
      </c>
      <c r="Y702">
        <f t="shared" si="31"/>
        <v>0.97745791822176753</v>
      </c>
      <c r="Z702">
        <f t="shared" si="32"/>
        <v>0.77750532531783378</v>
      </c>
    </row>
    <row r="703" spans="12:26" x14ac:dyDescent="0.25">
      <c r="L703" s="4">
        <f>_xll.ICETimeline(_xll.ICEJoinRange(M4:W4),"DF[dow:12345][tl:Calendar]","2020-07-26;2024-07-26",348,-1)</f>
        <v>44525.5</v>
      </c>
      <c r="M703">
        <f>_xll.ICEHistory(M$4,M$5,"DF[dow:12345][tl:Calendar]",$L703)</f>
        <v>73.02</v>
      </c>
      <c r="N703">
        <f>_xll.ICEHistory(M$4,N$5,"DF[dow:12345][tl:Calendar]",$L703)</f>
        <v>75.05</v>
      </c>
      <c r="O703">
        <f>_xll.ICEHistory(M$4,O$5,"DF[dow:12345][tl:Calendar]",$L703)</f>
        <v>72.11</v>
      </c>
      <c r="P703">
        <f>_xll.ICEHistory(M$4,P$5,"DF[dow:12345][tl:Calendar]",$L703)</f>
        <v>75</v>
      </c>
      <c r="Q703">
        <f>_xll.ICEHistory(M$4,Q$5,"DF[dow:12345][tl:Calendar]",$L703)</f>
        <v>32116</v>
      </c>
      <c r="R703">
        <f>_xll.ICEHistory(M$4,R$5,"DF[dow:12345][tl:Calendar]",$L703)</f>
        <v>385992</v>
      </c>
      <c r="S703">
        <f>_xll.ICEHistory(S$4,S$5,"DF[dow:12345][tl:Calendar]",$L703)</f>
        <v>93.85</v>
      </c>
      <c r="T703">
        <f>_xll.ICEHistory(S$4,T$5,"DF[dow:12345][tl:Calendar]",$L703)</f>
        <v>93.983999999999995</v>
      </c>
      <c r="U703">
        <f>_xll.ICEHistory(S$4,U$5,"DF[dow:12345][tl:Calendar]",$L703)</f>
        <v>93.85</v>
      </c>
      <c r="V703">
        <f>_xll.ICEHistory(S$4,V$5,"DF[dow:12345][tl:Calendar]",$L703)</f>
        <v>93.983999999999995</v>
      </c>
      <c r="W703">
        <f>_xll.ICEHistory(S$4,W$5,"DF[dow:12345][tl:Calendar]",$L703)</f>
        <v>0</v>
      </c>
      <c r="X703">
        <f t="shared" si="30"/>
        <v>4.2289988492520109E-2</v>
      </c>
      <c r="Y703">
        <f t="shared" si="31"/>
        <v>0.31654288583177742</v>
      </c>
      <c r="Z703">
        <f t="shared" si="32"/>
        <v>9.987976332501208E-3</v>
      </c>
    </row>
    <row r="704" spans="12:26" x14ac:dyDescent="0.25">
      <c r="L704" s="4">
        <f>_xll.ICETimeline(_xll.ICEJoinRange(M4:W4),"DF[dow:12345][tl:Calendar]","2020-07-26;2024-07-26",347,-1)</f>
        <v>44524.5</v>
      </c>
      <c r="M704">
        <f>_xll.ICEHistory(M$4,M$5,"DF[dow:12345][tl:Calendar]",$L704)</f>
        <v>69.52</v>
      </c>
      <c r="N704">
        <f>_xll.ICEHistory(M$4,N$5,"DF[dow:12345][tl:Calendar]",$L704)</f>
        <v>73.180000000000007</v>
      </c>
      <c r="O704">
        <f>_xll.ICEHistory(M$4,O$5,"DF[dow:12345][tl:Calendar]",$L704)</f>
        <v>68.930000000000007</v>
      </c>
      <c r="P704">
        <f>_xll.ICEHistory(M$4,P$5,"DF[dow:12345][tl:Calendar]",$L704)</f>
        <v>73.02</v>
      </c>
      <c r="Q704">
        <f>_xll.ICEHistory(M$4,Q$5,"DF[dow:12345][tl:Calendar]",$L704)</f>
        <v>39158</v>
      </c>
      <c r="R704">
        <f>_xll.ICEHistory(M$4,R$5,"DF[dow:12345][tl:Calendar]",$L704)</f>
        <v>387940</v>
      </c>
      <c r="S704">
        <f>_xll.ICEHistory(S$4,S$5,"DF[dow:12345][tl:Calendar]",$L704)</f>
        <v>93.85</v>
      </c>
      <c r="T704">
        <f>_xll.ICEHistory(S$4,T$5,"DF[dow:12345][tl:Calendar]",$L704)</f>
        <v>93.983999999999995</v>
      </c>
      <c r="U704">
        <f>_xll.ICEHistory(S$4,U$5,"DF[dow:12345][tl:Calendar]",$L704)</f>
        <v>93.85</v>
      </c>
      <c r="V704">
        <f>_xll.ICEHistory(S$4,V$5,"DF[dow:12345][tl:Calendar]",$L704)</f>
        <v>93.983999999999995</v>
      </c>
      <c r="W704">
        <f>_xll.ICEHistory(S$4,W$5,"DF[dow:12345][tl:Calendar]",$L704)</f>
        <v>6</v>
      </c>
      <c r="X704">
        <f t="shared" si="30"/>
        <v>6.097560975609756E-2</v>
      </c>
      <c r="Y704">
        <f t="shared" si="31"/>
        <v>1.4723697833725042</v>
      </c>
      <c r="Z704">
        <f t="shared" si="32"/>
        <v>0.74681572605664026</v>
      </c>
    </row>
    <row r="705" spans="12:26" x14ac:dyDescent="0.25">
      <c r="L705" s="4">
        <f>_xll.ICETimeline(_xll.ICEJoinRange(M4:W4),"DF[dow:12345][tl:Calendar]","2020-07-26;2024-07-26",346,-1)</f>
        <v>44523.5</v>
      </c>
      <c r="M705">
        <f>_xll.ICEHistory(M$4,M$5,"DF[dow:12345][tl:Calendar]",$L705)</f>
        <v>69.7</v>
      </c>
      <c r="N705">
        <f>_xll.ICEHistory(M$4,N$5,"DF[dow:12345][tl:Calendar]",$L705)</f>
        <v>70.64</v>
      </c>
      <c r="O705">
        <f>_xll.ICEHistory(M$4,O$5,"DF[dow:12345][tl:Calendar]",$L705)</f>
        <v>68.75</v>
      </c>
      <c r="P705">
        <f>_xll.ICEHistory(M$4,P$5,"DF[dow:12345][tl:Calendar]",$L705)</f>
        <v>69.33</v>
      </c>
      <c r="Q705">
        <f>_xll.ICEHistory(M$4,Q$5,"DF[dow:12345][tl:Calendar]",$L705)</f>
        <v>32429</v>
      </c>
      <c r="R705">
        <f>_xll.ICEHistory(M$4,R$5,"DF[dow:12345][tl:Calendar]",$L705)</f>
        <v>392046</v>
      </c>
      <c r="S705">
        <f>_xll.ICEHistory(S$4,S$5,"DF[dow:12345][tl:Calendar]",$L705)</f>
        <v>86.95</v>
      </c>
      <c r="T705">
        <f>_xll.ICEHistory(S$4,T$5,"DF[dow:12345][tl:Calendar]",$L705)</f>
        <v>91.4</v>
      </c>
      <c r="U705">
        <f>_xll.ICEHistory(S$4,U$5,"DF[dow:12345][tl:Calendar]",$L705)</f>
        <v>86.95</v>
      </c>
      <c r="V705">
        <f>_xll.ICEHistory(S$4,V$5,"DF[dow:12345][tl:Calendar]",$L705)</f>
        <v>90.927000000000007</v>
      </c>
      <c r="W705">
        <f>_xll.ICEHistory(S$4,W$5,"DF[dow:12345][tl:Calendar]",$L705)</f>
        <v>35</v>
      </c>
      <c r="X705">
        <f t="shared" si="30"/>
        <v>2.7042495349835462E-2</v>
      </c>
      <c r="Y705">
        <f t="shared" si="31"/>
        <v>-0.58478089330050198</v>
      </c>
      <c r="Z705">
        <f t="shared" si="32"/>
        <v>9.5463288892494044E-2</v>
      </c>
    </row>
    <row r="706" spans="12:26" x14ac:dyDescent="0.25">
      <c r="L706" s="4">
        <f>_xll.ICETimeline(_xll.ICEJoinRange(M4:W4),"DF[dow:12345][tl:Calendar]","2020-07-26;2024-07-26",345,-1)</f>
        <v>44522.5</v>
      </c>
      <c r="M706">
        <f>_xll.ICEHistory(M$4,M$5,"DF[dow:12345][tl:Calendar]",$L706)</f>
        <v>69.89</v>
      </c>
      <c r="N706">
        <f>_xll.ICEHistory(M$4,N$5,"DF[dow:12345][tl:Calendar]",$L706)</f>
        <v>71.209999999999994</v>
      </c>
      <c r="O706">
        <f>_xll.ICEHistory(M$4,O$5,"DF[dow:12345][tl:Calendar]",$L706)</f>
        <v>69.25</v>
      </c>
      <c r="P706">
        <f>_xll.ICEHistory(M$4,P$5,"DF[dow:12345][tl:Calendar]",$L706)</f>
        <v>69.7</v>
      </c>
      <c r="Q706">
        <f>_xll.ICEHistory(M$4,Q$5,"DF[dow:12345][tl:Calendar]",$L706)</f>
        <v>33257</v>
      </c>
      <c r="R706">
        <f>_xll.ICEHistory(M$4,R$5,"DF[dow:12345][tl:Calendar]",$L706)</f>
        <v>386900</v>
      </c>
      <c r="S706">
        <f>_xll.ICEHistory(S$4,S$5,"DF[dow:12345][tl:Calendar]",$L706)</f>
        <v>84.25</v>
      </c>
      <c r="T706">
        <f>_xll.ICEHistory(S$4,T$5,"DF[dow:12345][tl:Calendar]",$L706)</f>
        <v>86.02</v>
      </c>
      <c r="U706">
        <f>_xll.ICEHistory(S$4,U$5,"DF[dow:12345][tl:Calendar]",$L706)</f>
        <v>81.95</v>
      </c>
      <c r="V706">
        <f>_xll.ICEHistory(S$4,V$5,"DF[dow:12345][tl:Calendar]",$L706)</f>
        <v>84.016999999999996</v>
      </c>
      <c r="W706">
        <f>_xll.ICEHistory(S$4,W$5,"DF[dow:12345][tl:Calendar]",$L706)</f>
        <v>61</v>
      </c>
      <c r="X706">
        <f t="shared" si="30"/>
        <v>2.8323699421965227E-2</v>
      </c>
      <c r="Y706">
        <f t="shared" si="31"/>
        <v>-0.50788091056195717</v>
      </c>
      <c r="Z706">
        <f t="shared" si="32"/>
        <v>0.19180156566733977</v>
      </c>
    </row>
    <row r="707" spans="12:26" x14ac:dyDescent="0.25">
      <c r="L707" s="4">
        <f>_xll.ICETimeline(_xll.ICEJoinRange(M4:W4),"DF[dow:12345][tl:Calendar]","2020-07-26;2024-07-26",344,-1)</f>
        <v>44519.5</v>
      </c>
      <c r="M707">
        <f>_xll.ICEHistory(M$4,M$5,"DF[dow:12345][tl:Calendar]",$L707)</f>
        <v>69.2</v>
      </c>
      <c r="N707">
        <f>_xll.ICEHistory(M$4,N$5,"DF[dow:12345][tl:Calendar]",$L707)</f>
        <v>69.88</v>
      </c>
      <c r="O707">
        <f>_xll.ICEHistory(M$4,O$5,"DF[dow:12345][tl:Calendar]",$L707)</f>
        <v>68.61</v>
      </c>
      <c r="P707">
        <f>_xll.ICEHistory(M$4,P$5,"DF[dow:12345][tl:Calendar]",$L707)</f>
        <v>69.75</v>
      </c>
      <c r="Q707">
        <f>_xll.ICEHistory(M$4,Q$5,"DF[dow:12345][tl:Calendar]",$L707)</f>
        <v>26896</v>
      </c>
      <c r="R707">
        <f>_xll.ICEHistory(M$4,R$5,"DF[dow:12345][tl:Calendar]",$L707)</f>
        <v>387749</v>
      </c>
      <c r="S707">
        <f>_xll.ICEHistory(S$4,S$5,"DF[dow:12345][tl:Calendar]",$L707)</f>
        <v>91.125</v>
      </c>
      <c r="T707">
        <f>_xll.ICEHistory(S$4,T$5,"DF[dow:12345][tl:Calendar]",$L707)</f>
        <v>91.125</v>
      </c>
      <c r="U707">
        <f>_xll.ICEHistory(S$4,U$5,"DF[dow:12345][tl:Calendar]",$L707)</f>
        <v>86</v>
      </c>
      <c r="V707">
        <f>_xll.ICEHistory(S$4,V$5,"DF[dow:12345][tl:Calendar]",$L707)</f>
        <v>87.125</v>
      </c>
      <c r="W707">
        <f>_xll.ICEHistory(S$4,W$5,"DF[dow:12345][tl:Calendar]",$L707)</f>
        <v>6</v>
      </c>
      <c r="X707">
        <f t="shared" si="30"/>
        <v>1.8867924528301827E-2</v>
      </c>
      <c r="Y707">
        <f t="shared" si="31"/>
        <v>-1.111162807318532</v>
      </c>
      <c r="Z707">
        <f t="shared" si="32"/>
        <v>-0.43071484196035348</v>
      </c>
    </row>
    <row r="708" spans="12:26" x14ac:dyDescent="0.25">
      <c r="L708" s="4">
        <f>_xll.ICETimeline(_xll.ICEJoinRange(M4:W4),"DF[dow:12345][tl:Calendar]","2020-07-26;2024-07-26",343,-1)</f>
        <v>44518.5</v>
      </c>
      <c r="M708">
        <f>_xll.ICEHistory(M$4,M$5,"DF[dow:12345][tl:Calendar]",$L708)</f>
        <v>67.31</v>
      </c>
      <c r="N708">
        <f>_xll.ICEHistory(M$4,N$5,"DF[dow:12345][tl:Calendar]",$L708)</f>
        <v>69.27</v>
      </c>
      <c r="O708">
        <f>_xll.ICEHistory(M$4,O$5,"DF[dow:12345][tl:Calendar]",$L708)</f>
        <v>66.260000000000005</v>
      </c>
      <c r="P708">
        <f>_xll.ICEHistory(M$4,P$5,"DF[dow:12345][tl:Calendar]",$L708)</f>
        <v>68.680000000000007</v>
      </c>
      <c r="Q708">
        <f>_xll.ICEHistory(M$4,Q$5,"DF[dow:12345][tl:Calendar]",$L708)</f>
        <v>31435</v>
      </c>
      <c r="R708">
        <f>_xll.ICEHistory(M$4,R$5,"DF[dow:12345][tl:Calendar]",$L708)</f>
        <v>388023</v>
      </c>
      <c r="S708">
        <f>_xll.ICEHistory(S$4,S$5,"DF[dow:12345][tl:Calendar]",$L708)</f>
        <v>93.6</v>
      </c>
      <c r="T708">
        <f>_xll.ICEHistory(S$4,T$5,"DF[dow:12345][tl:Calendar]",$L708)</f>
        <v>95.3</v>
      </c>
      <c r="U708">
        <f>_xll.ICEHistory(S$4,U$5,"DF[dow:12345][tl:Calendar]",$L708)</f>
        <v>91.364999999999995</v>
      </c>
      <c r="V708">
        <f>_xll.ICEHistory(S$4,V$5,"DF[dow:12345][tl:Calendar]",$L708)</f>
        <v>95.167000000000002</v>
      </c>
      <c r="W708">
        <f>_xll.ICEHistory(S$4,W$5,"DF[dow:12345][tl:Calendar]",$L708)</f>
        <v>36</v>
      </c>
      <c r="X708">
        <f t="shared" si="30"/>
        <v>4.4395280235988072E-2</v>
      </c>
      <c r="Y708">
        <f t="shared" si="31"/>
        <v>0.4775468742532844</v>
      </c>
      <c r="Z708">
        <f t="shared" si="32"/>
        <v>-8.2538777445469308E-3</v>
      </c>
    </row>
    <row r="709" spans="12:26" x14ac:dyDescent="0.25">
      <c r="L709" s="4">
        <f>_xll.ICETimeline(_xll.ICEJoinRange(M4:W4),"DF[dow:12345][tl:Calendar]","2020-07-26;2024-07-26",342,-1)</f>
        <v>44517.5</v>
      </c>
      <c r="M709">
        <f>_xll.ICEHistory(M$4,M$5,"DF[dow:12345][tl:Calendar]",$L709)</f>
        <v>67.8</v>
      </c>
      <c r="N709">
        <f>_xll.ICEHistory(M$4,N$5,"DF[dow:12345][tl:Calendar]",$L709)</f>
        <v>68.45</v>
      </c>
      <c r="O709">
        <f>_xll.ICEHistory(M$4,O$5,"DF[dow:12345][tl:Calendar]",$L709)</f>
        <v>66.75</v>
      </c>
      <c r="P709">
        <f>_xll.ICEHistory(M$4,P$5,"DF[dow:12345][tl:Calendar]",$L709)</f>
        <v>67.16</v>
      </c>
      <c r="Q709">
        <f>_xll.ICEHistory(M$4,Q$5,"DF[dow:12345][tl:Calendar]",$L709)</f>
        <v>28258</v>
      </c>
      <c r="R709">
        <f>_xll.ICEHistory(M$4,R$5,"DF[dow:12345][tl:Calendar]",$L709)</f>
        <v>387271</v>
      </c>
      <c r="S709">
        <f>_xll.ICEHistory(S$4,S$5,"DF[dow:12345][tl:Calendar]",$L709)</f>
        <v>97.99</v>
      </c>
      <c r="T709">
        <f>_xll.ICEHistory(S$4,T$5,"DF[dow:12345][tl:Calendar]",$L709)</f>
        <v>99.85</v>
      </c>
      <c r="U709">
        <f>_xll.ICEHistory(S$4,U$5,"DF[dow:12345][tl:Calendar]",$L709)</f>
        <v>95.004000000000005</v>
      </c>
      <c r="V709">
        <f>_xll.ICEHistory(S$4,V$5,"DF[dow:12345][tl:Calendar]",$L709)</f>
        <v>95.004000000000005</v>
      </c>
      <c r="W709">
        <f>_xll.ICEHistory(S$4,W$5,"DF[dow:12345][tl:Calendar]",$L709)</f>
        <v>50</v>
      </c>
      <c r="X709">
        <f t="shared" si="30"/>
        <v>2.5563909774436133E-2</v>
      </c>
      <c r="Y709">
        <f t="shared" si="31"/>
        <v>-0.70055641880051334</v>
      </c>
      <c r="Z709">
        <f t="shared" si="32"/>
        <v>-0.31373501257308567</v>
      </c>
    </row>
    <row r="710" spans="12:26" x14ac:dyDescent="0.25">
      <c r="L710" s="4">
        <f>_xll.ICETimeline(_xll.ICEJoinRange(M4:W4),"DF[dow:12345][tl:Calendar]","2020-07-26;2024-07-26",341,-1)</f>
        <v>44516.5</v>
      </c>
      <c r="M710">
        <f>_xll.ICEHistory(M$4,M$5,"DF[dow:12345][tl:Calendar]",$L710)</f>
        <v>66.5</v>
      </c>
      <c r="N710">
        <f>_xll.ICEHistory(M$4,N$5,"DF[dow:12345][tl:Calendar]",$L710)</f>
        <v>67.89</v>
      </c>
      <c r="O710">
        <f>_xll.ICEHistory(M$4,O$5,"DF[dow:12345][tl:Calendar]",$L710)</f>
        <v>66.17</v>
      </c>
      <c r="P710">
        <f>_xll.ICEHistory(M$4,P$5,"DF[dow:12345][tl:Calendar]",$L710)</f>
        <v>67.77</v>
      </c>
      <c r="Q710">
        <f>_xll.ICEHistory(M$4,Q$5,"DF[dow:12345][tl:Calendar]",$L710)</f>
        <v>33181</v>
      </c>
      <c r="R710">
        <f>_xll.ICEHistory(M$4,R$5,"DF[dow:12345][tl:Calendar]",$L710)</f>
        <v>388675</v>
      </c>
      <c r="S710">
        <f>_xll.ICEHistory(S$4,S$5,"DF[dow:12345][tl:Calendar]",$L710)</f>
        <v>84.38</v>
      </c>
      <c r="T710">
        <f>_xll.ICEHistory(S$4,T$5,"DF[dow:12345][tl:Calendar]",$L710)</f>
        <v>94.188999999999993</v>
      </c>
      <c r="U710">
        <f>_xll.ICEHistory(S$4,U$5,"DF[dow:12345][tl:Calendar]",$L710)</f>
        <v>84.38</v>
      </c>
      <c r="V710">
        <f>_xll.ICEHistory(S$4,V$5,"DF[dow:12345][tl:Calendar]",$L710)</f>
        <v>94.188999999999993</v>
      </c>
      <c r="W710">
        <f>_xll.ICEHistory(S$4,W$5,"DF[dow:12345][tl:Calendar]",$L710)</f>
        <v>64</v>
      </c>
      <c r="X710">
        <f t="shared" si="30"/>
        <v>2.706530291109361E-2</v>
      </c>
      <c r="Y710">
        <f t="shared" si="31"/>
        <v>-0.63177077565710993</v>
      </c>
      <c r="Z710">
        <f t="shared" si="32"/>
        <v>0.173712344684746</v>
      </c>
    </row>
    <row r="711" spans="12:26" x14ac:dyDescent="0.25">
      <c r="L711" s="4">
        <f>_xll.ICETimeline(_xll.ICEJoinRange(M4:W4),"DF[dow:12345][tl:Calendar]","2020-07-26;2024-07-26",340,-1)</f>
        <v>44515.5</v>
      </c>
      <c r="M711">
        <f>_xll.ICEHistory(M$4,M$5,"DF[dow:12345][tl:Calendar]",$L711)</f>
        <v>63.55</v>
      </c>
      <c r="N711">
        <f>_xll.ICEHistory(M$4,N$5,"DF[dow:12345][tl:Calendar]",$L711)</f>
        <v>66.97</v>
      </c>
      <c r="O711">
        <f>_xll.ICEHistory(M$4,O$5,"DF[dow:12345][tl:Calendar]",$L711)</f>
        <v>63.55</v>
      </c>
      <c r="P711">
        <f>_xll.ICEHistory(M$4,P$5,"DF[dow:12345][tl:Calendar]",$L711)</f>
        <v>66.739999999999995</v>
      </c>
      <c r="Q711">
        <f>_xll.ICEHistory(M$4,Q$5,"DF[dow:12345][tl:Calendar]",$L711)</f>
        <v>32867</v>
      </c>
      <c r="R711">
        <f>_xll.ICEHistory(M$4,R$5,"DF[dow:12345][tl:Calendar]",$L711)</f>
        <v>391853</v>
      </c>
      <c r="S711">
        <f>_xll.ICEHistory(S$4,S$5,"DF[dow:12345][tl:Calendar]",$L711)</f>
        <v>78.295000000000002</v>
      </c>
      <c r="T711">
        <f>_xll.ICEHistory(S$4,T$5,"DF[dow:12345][tl:Calendar]",$L711)</f>
        <v>82.094999999999999</v>
      </c>
      <c r="U711">
        <f>_xll.ICEHistory(S$4,U$5,"DF[dow:12345][tl:Calendar]",$L711)</f>
        <v>78.284999999999997</v>
      </c>
      <c r="V711">
        <f>_xll.ICEHistory(S$4,V$5,"DF[dow:12345][tl:Calendar]",$L711)</f>
        <v>79.947000000000003</v>
      </c>
      <c r="W711">
        <f>_xll.ICEHistory(S$4,W$5,"DF[dow:12345][tl:Calendar]",$L711)</f>
        <v>50</v>
      </c>
      <c r="X711">
        <f t="shared" si="30"/>
        <v>5.3630233652187574E-2</v>
      </c>
      <c r="Y711">
        <f t="shared" si="31"/>
        <v>0.95293403540240595</v>
      </c>
      <c r="Z711">
        <f t="shared" si="32"/>
        <v>0.15702934637532462</v>
      </c>
    </row>
    <row r="712" spans="12:26" x14ac:dyDescent="0.25">
      <c r="L712" s="4">
        <f>_xll.ICETimeline(_xll.ICEJoinRange(M4:W4),"DF[dow:12345][tl:Calendar]","2020-07-26;2024-07-26",339,-1)</f>
        <v>44512.5</v>
      </c>
      <c r="M712">
        <f>_xll.ICEHistory(M$4,M$5,"DF[dow:12345][tl:Calendar]",$L712)</f>
        <v>63.77</v>
      </c>
      <c r="N712">
        <f>_xll.ICEHistory(M$4,N$5,"DF[dow:12345][tl:Calendar]",$L712)</f>
        <v>64.489999999999995</v>
      </c>
      <c r="O712">
        <f>_xll.ICEHistory(M$4,O$5,"DF[dow:12345][tl:Calendar]",$L712)</f>
        <v>63.1</v>
      </c>
      <c r="P712">
        <f>_xll.ICEHistory(M$4,P$5,"DF[dow:12345][tl:Calendar]",$L712)</f>
        <v>63.35</v>
      </c>
      <c r="Q712">
        <f>_xll.ICEHistory(M$4,Q$5,"DF[dow:12345][tl:Calendar]",$L712)</f>
        <v>23123</v>
      </c>
      <c r="R712">
        <f>_xll.ICEHistory(M$4,R$5,"DF[dow:12345][tl:Calendar]",$L712)</f>
        <v>396807</v>
      </c>
      <c r="S712">
        <f>_xll.ICEHistory(S$4,S$5,"DF[dow:12345][tl:Calendar]",$L712)</f>
        <v>77.77</v>
      </c>
      <c r="T712">
        <f>_xll.ICEHistory(S$4,T$5,"DF[dow:12345][tl:Calendar]",$L712)</f>
        <v>77.77</v>
      </c>
      <c r="U712">
        <f>_xll.ICEHistory(S$4,U$5,"DF[dow:12345][tl:Calendar]",$L712)</f>
        <v>74.06</v>
      </c>
      <c r="V712">
        <f>_xll.ICEHistory(S$4,V$5,"DF[dow:12345][tl:Calendar]",$L712)</f>
        <v>75.674999999999997</v>
      </c>
      <c r="W712">
        <f>_xll.ICEHistory(S$4,W$5,"DF[dow:12345][tl:Calendar]",$L712)</f>
        <v>30</v>
      </c>
      <c r="X712">
        <f t="shared" si="30"/>
        <v>2.2032017752417078E-2</v>
      </c>
      <c r="Y712">
        <f t="shared" si="31"/>
        <v>-0.92543148850177259</v>
      </c>
      <c r="Z712">
        <f t="shared" si="32"/>
        <v>-0.76858504562829855</v>
      </c>
    </row>
    <row r="713" spans="12:26" x14ac:dyDescent="0.25">
      <c r="L713" s="4">
        <f>_xll.ICETimeline(_xll.ICEJoinRange(M4:W4),"DF[dow:12345][tl:Calendar]","2020-07-26;2024-07-26",338,-1)</f>
        <v>44511.5</v>
      </c>
      <c r="M713">
        <f>_xll.ICEHistory(M$4,M$5,"DF[dow:12345][tl:Calendar]",$L713)</f>
        <v>63.09</v>
      </c>
      <c r="N713">
        <f>_xll.ICEHistory(M$4,N$5,"DF[dow:12345][tl:Calendar]",$L713)</f>
        <v>63.92</v>
      </c>
      <c r="O713">
        <f>_xll.ICEHistory(M$4,O$5,"DF[dow:12345][tl:Calendar]",$L713)</f>
        <v>62.07</v>
      </c>
      <c r="P713">
        <f>_xll.ICEHistory(M$4,P$5,"DF[dow:12345][tl:Calendar]",$L713)</f>
        <v>63.64</v>
      </c>
      <c r="Q713">
        <f>_xll.ICEHistory(M$4,Q$5,"DF[dow:12345][tl:Calendar]",$L713)</f>
        <v>24473</v>
      </c>
      <c r="R713">
        <f>_xll.ICEHistory(M$4,R$5,"DF[dow:12345][tl:Calendar]",$L713)</f>
        <v>397940</v>
      </c>
      <c r="S713">
        <f>_xll.ICEHistory(S$4,S$5,"DF[dow:12345][tl:Calendar]",$L713)</f>
        <v>72</v>
      </c>
      <c r="T713">
        <f>_xll.ICEHistory(S$4,T$5,"DF[dow:12345][tl:Calendar]",$L713)</f>
        <v>75.099999999999994</v>
      </c>
      <c r="U713">
        <f>_xll.ICEHistory(S$4,U$5,"DF[dow:12345][tl:Calendar]",$L713)</f>
        <v>72</v>
      </c>
      <c r="V713">
        <f>_xll.ICEHistory(S$4,V$5,"DF[dow:12345][tl:Calendar]",$L713)</f>
        <v>74.790000000000006</v>
      </c>
      <c r="W713">
        <f>_xll.ICEHistory(S$4,W$5,"DF[dow:12345][tl:Calendar]",$L713)</f>
        <v>14</v>
      </c>
      <c r="X713">
        <f t="shared" ref="X713:X776" si="33">IFERROR((N713-O713)/M714, "")</f>
        <v>3.0761556368473584E-2</v>
      </c>
      <c r="Y713">
        <f t="shared" ref="Y713:Y776" si="34">IFERROR((X713-AVERAGE(X713:X777))/_xlfn.STDEV.S(X713:X777),"")</f>
        <v>-0.40816695721050555</v>
      </c>
      <c r="Z713">
        <f t="shared" ref="Z713:Z776" si="35">IFERROR((Q713-AVERAGE(Q713:Q778))/_xlfn.STDEV.S(Q713:Q778),"")</f>
        <v>-0.63388848612130611</v>
      </c>
    </row>
    <row r="714" spans="12:26" x14ac:dyDescent="0.25">
      <c r="L714" s="4">
        <f>_xll.ICETimeline(_xll.ICEJoinRange(M4:W4),"DF[dow:12345][tl:Calendar]","2020-07-26;2024-07-26",337,-1)</f>
        <v>44510.5</v>
      </c>
      <c r="M714">
        <f>_xll.ICEHistory(M$4,M$5,"DF[dow:12345][tl:Calendar]",$L714)</f>
        <v>60.14</v>
      </c>
      <c r="N714">
        <f>_xll.ICEHistory(M$4,N$5,"DF[dow:12345][tl:Calendar]",$L714)</f>
        <v>63.28</v>
      </c>
      <c r="O714">
        <f>_xll.ICEHistory(M$4,O$5,"DF[dow:12345][tl:Calendar]",$L714)</f>
        <v>59.81</v>
      </c>
      <c r="P714">
        <f>_xll.ICEHistory(M$4,P$5,"DF[dow:12345][tl:Calendar]",$L714)</f>
        <v>62.93</v>
      </c>
      <c r="Q714">
        <f>_xll.ICEHistory(M$4,Q$5,"DF[dow:12345][tl:Calendar]",$L714)</f>
        <v>33666</v>
      </c>
      <c r="R714">
        <f>_xll.ICEHistory(M$4,R$5,"DF[dow:12345][tl:Calendar]",$L714)</f>
        <v>401417</v>
      </c>
      <c r="S714">
        <f>_xll.ICEHistory(S$4,S$5,"DF[dow:12345][tl:Calendar]",$L714)</f>
        <v>66.709999999999994</v>
      </c>
      <c r="T714">
        <f>_xll.ICEHistory(S$4,T$5,"DF[dow:12345][tl:Calendar]",$L714)</f>
        <v>70.37</v>
      </c>
      <c r="U714">
        <f>_xll.ICEHistory(S$4,U$5,"DF[dow:12345][tl:Calendar]",$L714)</f>
        <v>64.504999999999995</v>
      </c>
      <c r="V714">
        <f>_xll.ICEHistory(S$4,V$5,"DF[dow:12345][tl:Calendar]",$L714)</f>
        <v>70.123000000000005</v>
      </c>
      <c r="W714">
        <f>_xll.ICEHistory(S$4,W$5,"DF[dow:12345][tl:Calendar]",$L714)</f>
        <v>55</v>
      </c>
      <c r="X714">
        <f t="shared" si="33"/>
        <v>5.7374338624338606E-2</v>
      </c>
      <c r="Y714">
        <f t="shared" si="34"/>
        <v>1.1601663253558747</v>
      </c>
      <c r="Z714">
        <f t="shared" si="35"/>
        <v>0.24918810917937073</v>
      </c>
    </row>
    <row r="715" spans="12:26" x14ac:dyDescent="0.25">
      <c r="L715" s="4">
        <f>_xll.ICETimeline(_xll.ICEJoinRange(M4:W4),"DF[dow:12345][tl:Calendar]","2020-07-26;2024-07-26",336,-1)</f>
        <v>44509.5</v>
      </c>
      <c r="M715">
        <f>_xll.ICEHistory(M$4,M$5,"DF[dow:12345][tl:Calendar]",$L715)</f>
        <v>60.48</v>
      </c>
      <c r="N715">
        <f>_xll.ICEHistory(M$4,N$5,"DF[dow:12345][tl:Calendar]",$L715)</f>
        <v>61.4</v>
      </c>
      <c r="O715">
        <f>_xll.ICEHistory(M$4,O$5,"DF[dow:12345][tl:Calendar]",$L715)</f>
        <v>59.89</v>
      </c>
      <c r="P715">
        <f>_xll.ICEHistory(M$4,P$5,"DF[dow:12345][tl:Calendar]",$L715)</f>
        <v>60.32</v>
      </c>
      <c r="Q715">
        <f>_xll.ICEHistory(M$4,Q$5,"DF[dow:12345][tl:Calendar]",$L715)</f>
        <v>29814</v>
      </c>
      <c r="R715">
        <f>_xll.ICEHistory(M$4,R$5,"DF[dow:12345][tl:Calendar]",$L715)</f>
        <v>402346</v>
      </c>
      <c r="S715">
        <f>_xll.ICEHistory(S$4,S$5,"DF[dow:12345][tl:Calendar]",$L715)</f>
        <v>76.5</v>
      </c>
      <c r="T715">
        <f>_xll.ICEHistory(S$4,T$5,"DF[dow:12345][tl:Calendar]",$L715)</f>
        <v>76.900000000000006</v>
      </c>
      <c r="U715">
        <f>_xll.ICEHistory(S$4,U$5,"DF[dow:12345][tl:Calendar]",$L715)</f>
        <v>72.587000000000003</v>
      </c>
      <c r="V715">
        <f>_xll.ICEHistory(S$4,V$5,"DF[dow:12345][tl:Calendar]",$L715)</f>
        <v>72.587000000000003</v>
      </c>
      <c r="W715">
        <f>_xll.ICEHistory(S$4,W$5,"DF[dow:12345][tl:Calendar]",$L715)</f>
        <v>30</v>
      </c>
      <c r="X715">
        <f t="shared" si="33"/>
        <v>2.5233957219251302E-2</v>
      </c>
      <c r="Y715">
        <f t="shared" si="34"/>
        <v>-0.73609595196498601</v>
      </c>
      <c r="Z715">
        <f t="shared" si="35"/>
        <v>-0.10547394602984873</v>
      </c>
    </row>
    <row r="716" spans="12:26" x14ac:dyDescent="0.25">
      <c r="L716" s="4">
        <f>_xll.ICETimeline(_xll.ICEJoinRange(M4:W4),"DF[dow:12345][tl:Calendar]","2020-07-26;2024-07-26",335,-1)</f>
        <v>44508.5</v>
      </c>
      <c r="M716">
        <f>_xll.ICEHistory(M$4,M$5,"DF[dow:12345][tl:Calendar]",$L716)</f>
        <v>59.84</v>
      </c>
      <c r="N716">
        <f>_xll.ICEHistory(M$4,N$5,"DF[dow:12345][tl:Calendar]",$L716)</f>
        <v>61.12</v>
      </c>
      <c r="O716">
        <f>_xll.ICEHistory(M$4,O$5,"DF[dow:12345][tl:Calendar]",$L716)</f>
        <v>59.8</v>
      </c>
      <c r="P716">
        <f>_xll.ICEHistory(M$4,P$5,"DF[dow:12345][tl:Calendar]",$L716)</f>
        <v>60.67</v>
      </c>
      <c r="Q716">
        <f>_xll.ICEHistory(M$4,Q$5,"DF[dow:12345][tl:Calendar]",$L716)</f>
        <v>26371</v>
      </c>
      <c r="R716">
        <f>_xll.ICEHistory(M$4,R$5,"DF[dow:12345][tl:Calendar]",$L716)</f>
        <v>407437</v>
      </c>
      <c r="S716">
        <f>_xll.ICEHistory(S$4,S$5,"DF[dow:12345][tl:Calendar]",$L716)</f>
        <v>80.77</v>
      </c>
      <c r="T716">
        <f>_xll.ICEHistory(S$4,T$5,"DF[dow:12345][tl:Calendar]",$L716)</f>
        <v>80.77</v>
      </c>
      <c r="U716">
        <f>_xll.ICEHistory(S$4,U$5,"DF[dow:12345][tl:Calendar]",$L716)</f>
        <v>77.004999999999995</v>
      </c>
      <c r="V716">
        <f>_xll.ICEHistory(S$4,V$5,"DF[dow:12345][tl:Calendar]",$L716)</f>
        <v>79.073999999999998</v>
      </c>
      <c r="W716">
        <f>_xll.ICEHistory(S$4,W$5,"DF[dow:12345][tl:Calendar]",$L716)</f>
        <v>53</v>
      </c>
      <c r="X716">
        <f t="shared" si="33"/>
        <v>2.21105527638191E-2</v>
      </c>
      <c r="Y716">
        <f t="shared" si="34"/>
        <v>-0.91020229910589301</v>
      </c>
      <c r="Z716">
        <f t="shared" si="35"/>
        <v>-0.417727257754062</v>
      </c>
    </row>
    <row r="717" spans="12:26" x14ac:dyDescent="0.25">
      <c r="L717" s="4">
        <f>_xll.ICETimeline(_xll.ICEJoinRange(M4:W4),"DF[dow:12345][tl:Calendar]","2020-07-26;2024-07-26",334,-1)</f>
        <v>44505.5</v>
      </c>
      <c r="M717">
        <f>_xll.ICEHistory(M$4,M$5,"DF[dow:12345][tl:Calendar]",$L717)</f>
        <v>59.7</v>
      </c>
      <c r="N717">
        <f>_xll.ICEHistory(M$4,N$5,"DF[dow:12345][tl:Calendar]",$L717)</f>
        <v>61.23</v>
      </c>
      <c r="O717">
        <f>_xll.ICEHistory(M$4,O$5,"DF[dow:12345][tl:Calendar]",$L717)</f>
        <v>59.29</v>
      </c>
      <c r="P717">
        <f>_xll.ICEHistory(M$4,P$5,"DF[dow:12345][tl:Calendar]",$L717)</f>
        <v>59.6</v>
      </c>
      <c r="Q717">
        <f>_xll.ICEHistory(M$4,Q$5,"DF[dow:12345][tl:Calendar]",$L717)</f>
        <v>28397</v>
      </c>
      <c r="R717">
        <f>_xll.ICEHistory(M$4,R$5,"DF[dow:12345][tl:Calendar]",$L717)</f>
        <v>407599</v>
      </c>
      <c r="S717">
        <f>_xll.ICEHistory(S$4,S$5,"DF[dow:12345][tl:Calendar]",$L717)</f>
        <v>73.16</v>
      </c>
      <c r="T717">
        <f>_xll.ICEHistory(S$4,T$5,"DF[dow:12345][tl:Calendar]",$L717)</f>
        <v>74.64</v>
      </c>
      <c r="U717">
        <f>_xll.ICEHistory(S$4,U$5,"DF[dow:12345][tl:Calendar]",$L717)</f>
        <v>73.03</v>
      </c>
      <c r="V717">
        <f>_xll.ICEHistory(S$4,V$5,"DF[dow:12345][tl:Calendar]",$L717)</f>
        <v>74.027000000000001</v>
      </c>
      <c r="W717">
        <f>_xll.ICEHistory(S$4,W$5,"DF[dow:12345][tl:Calendar]",$L717)</f>
        <v>75</v>
      </c>
      <c r="X717">
        <f t="shared" si="33"/>
        <v>3.2561262168512885E-2</v>
      </c>
      <c r="Y717">
        <f t="shared" si="34"/>
        <v>-0.29438581683772358</v>
      </c>
      <c r="Z717">
        <f t="shared" si="35"/>
        <v>-0.20894241624239279</v>
      </c>
    </row>
    <row r="718" spans="12:26" x14ac:dyDescent="0.25">
      <c r="L718" s="4">
        <f>_xll.ICETimeline(_xll.ICEJoinRange(M4:W4),"DF[dow:12345][tl:Calendar]","2020-07-26;2024-07-26",333,-1)</f>
        <v>44504.5</v>
      </c>
      <c r="M718">
        <f>_xll.ICEHistory(M$4,M$5,"DF[dow:12345][tl:Calendar]",$L718)</f>
        <v>59.58</v>
      </c>
      <c r="N718">
        <f>_xll.ICEHistory(M$4,N$5,"DF[dow:12345][tl:Calendar]",$L718)</f>
        <v>61.45</v>
      </c>
      <c r="O718">
        <f>_xll.ICEHistory(M$4,O$5,"DF[dow:12345][tl:Calendar]",$L718)</f>
        <v>58.92</v>
      </c>
      <c r="P718">
        <f>_xll.ICEHistory(M$4,P$5,"DF[dow:12345][tl:Calendar]",$L718)</f>
        <v>59.96</v>
      </c>
      <c r="Q718">
        <f>_xll.ICEHistory(M$4,Q$5,"DF[dow:12345][tl:Calendar]",$L718)</f>
        <v>52401</v>
      </c>
      <c r="R718">
        <f>_xll.ICEHistory(M$4,R$5,"DF[dow:12345][tl:Calendar]",$L718)</f>
        <v>411777</v>
      </c>
      <c r="S718">
        <f>_xll.ICEHistory(S$4,S$5,"DF[dow:12345][tl:Calendar]",$L718)</f>
        <v>77.525000000000006</v>
      </c>
      <c r="T718">
        <f>_xll.ICEHistory(S$4,T$5,"DF[dow:12345][tl:Calendar]",$L718)</f>
        <v>77.525000000000006</v>
      </c>
      <c r="U718">
        <f>_xll.ICEHistory(S$4,U$5,"DF[dow:12345][tl:Calendar]",$L718)</f>
        <v>72.814999999999998</v>
      </c>
      <c r="V718">
        <f>_xll.ICEHistory(S$4,V$5,"DF[dow:12345][tl:Calendar]",$L718)</f>
        <v>73.376000000000005</v>
      </c>
      <c r="W718">
        <f>_xll.ICEHistory(S$4,W$5,"DF[dow:12345][tl:Calendar]",$L718)</f>
        <v>55</v>
      </c>
      <c r="X718">
        <f t="shared" si="33"/>
        <v>4.2571092041056725E-2</v>
      </c>
      <c r="Y718">
        <f t="shared" si="34"/>
        <v>0.31503771400169467</v>
      </c>
      <c r="Z718">
        <f t="shared" si="35"/>
        <v>2.0493097589341009</v>
      </c>
    </row>
    <row r="719" spans="12:26" x14ac:dyDescent="0.25">
      <c r="L719" s="4">
        <f>_xll.ICETimeline(_xll.ICEJoinRange(M4:W4),"DF[dow:12345][tl:Calendar]","2020-07-26;2024-07-26",332,-1)</f>
        <v>44503.5</v>
      </c>
      <c r="M719">
        <f>_xll.ICEHistory(M$4,M$5,"DF[dow:12345][tl:Calendar]",$L719)</f>
        <v>59.43</v>
      </c>
      <c r="N719">
        <f>_xll.ICEHistory(M$4,N$5,"DF[dow:12345][tl:Calendar]",$L719)</f>
        <v>60.37</v>
      </c>
      <c r="O719">
        <f>_xll.ICEHistory(M$4,O$5,"DF[dow:12345][tl:Calendar]",$L719)</f>
        <v>59.08</v>
      </c>
      <c r="P719">
        <f>_xll.ICEHistory(M$4,P$5,"DF[dow:12345][tl:Calendar]",$L719)</f>
        <v>59.75</v>
      </c>
      <c r="Q719">
        <f>_xll.ICEHistory(M$4,Q$5,"DF[dow:12345][tl:Calendar]",$L719)</f>
        <v>22785</v>
      </c>
      <c r="R719">
        <f>_xll.ICEHistory(M$4,R$5,"DF[dow:12345][tl:Calendar]",$L719)</f>
        <v>425999</v>
      </c>
      <c r="S719">
        <f>_xll.ICEHistory(S$4,S$5,"DF[dow:12345][tl:Calendar]",$L719)</f>
        <v>73.52</v>
      </c>
      <c r="T719">
        <f>_xll.ICEHistory(S$4,T$5,"DF[dow:12345][tl:Calendar]",$L719)</f>
        <v>80.045000000000002</v>
      </c>
      <c r="U719">
        <f>_xll.ICEHistory(S$4,U$5,"DF[dow:12345][tl:Calendar]",$L719)</f>
        <v>73.52</v>
      </c>
      <c r="V719">
        <f>_xll.ICEHistory(S$4,V$5,"DF[dow:12345][tl:Calendar]",$L719)</f>
        <v>76.542000000000002</v>
      </c>
      <c r="W719">
        <f>_xll.ICEHistory(S$4,W$5,"DF[dow:12345][tl:Calendar]",$L719)</f>
        <v>70</v>
      </c>
      <c r="X719">
        <f t="shared" si="33"/>
        <v>2.2671353251318086E-2</v>
      </c>
      <c r="Y719">
        <f t="shared" si="34"/>
        <v>-0.84551691759257608</v>
      </c>
      <c r="Z719">
        <f t="shared" si="35"/>
        <v>-0.69869713936491462</v>
      </c>
    </row>
    <row r="720" spans="12:26" x14ac:dyDescent="0.25">
      <c r="L720" s="4">
        <f>_xll.ICETimeline(_xll.ICEJoinRange(M4:W4),"DF[dow:12345][tl:Calendar]","2020-07-26;2024-07-26",331,-1)</f>
        <v>44502.5</v>
      </c>
      <c r="M720">
        <f>_xll.ICEHistory(M$4,M$5,"DF[dow:12345][tl:Calendar]",$L720)</f>
        <v>56.9</v>
      </c>
      <c r="N720">
        <f>_xll.ICEHistory(M$4,N$5,"DF[dow:12345][tl:Calendar]",$L720)</f>
        <v>59.7</v>
      </c>
      <c r="O720">
        <f>_xll.ICEHistory(M$4,O$5,"DF[dow:12345][tl:Calendar]",$L720)</f>
        <v>56.9</v>
      </c>
      <c r="P720">
        <f>_xll.ICEHistory(M$4,P$5,"DF[dow:12345][tl:Calendar]",$L720)</f>
        <v>59.46</v>
      </c>
      <c r="Q720">
        <f>_xll.ICEHistory(M$4,Q$5,"DF[dow:12345][tl:Calendar]",$L720)</f>
        <v>36733</v>
      </c>
      <c r="R720">
        <f>_xll.ICEHistory(M$4,R$5,"DF[dow:12345][tl:Calendar]",$L720)</f>
        <v>428525</v>
      </c>
      <c r="S720">
        <f>_xll.ICEHistory(S$4,S$5,"DF[dow:12345][tl:Calendar]",$L720)</f>
        <v>65.174999999999997</v>
      </c>
      <c r="T720">
        <f>_xll.ICEHistory(S$4,T$5,"DF[dow:12345][tl:Calendar]",$L720)</f>
        <v>70.665000000000006</v>
      </c>
      <c r="U720">
        <f>_xll.ICEHistory(S$4,U$5,"DF[dow:12345][tl:Calendar]",$L720)</f>
        <v>62.84</v>
      </c>
      <c r="V720">
        <f>_xll.ICEHistory(S$4,V$5,"DF[dow:12345][tl:Calendar]",$L720)</f>
        <v>67.605999999999995</v>
      </c>
      <c r="W720">
        <f>_xll.ICEHistory(S$4,W$5,"DF[dow:12345][tl:Calendar]",$L720)</f>
        <v>55</v>
      </c>
      <c r="X720">
        <f t="shared" si="33"/>
        <v>4.7457627118644138E-2</v>
      </c>
      <c r="Y720">
        <f t="shared" si="34"/>
        <v>0.61286693112254964</v>
      </c>
      <c r="Z720">
        <f t="shared" si="35"/>
        <v>0.64653254838697549</v>
      </c>
    </row>
    <row r="721" spans="12:26" x14ac:dyDescent="0.25">
      <c r="L721" s="4">
        <f>_xll.ICETimeline(_xll.ICEJoinRange(M4:W4),"DF[dow:12345][tl:Calendar]","2020-07-26;2024-07-26",330,-1)</f>
        <v>44501.5</v>
      </c>
      <c r="M721">
        <f>_xll.ICEHistory(M$4,M$5,"DF[dow:12345][tl:Calendar]",$L721)</f>
        <v>59</v>
      </c>
      <c r="N721">
        <f>_xll.ICEHistory(M$4,N$5,"DF[dow:12345][tl:Calendar]",$L721)</f>
        <v>60.45</v>
      </c>
      <c r="O721">
        <f>_xll.ICEHistory(M$4,O$5,"DF[dow:12345][tl:Calendar]",$L721)</f>
        <v>56.65</v>
      </c>
      <c r="P721">
        <f>_xll.ICEHistory(M$4,P$5,"DF[dow:12345][tl:Calendar]",$L721)</f>
        <v>56.9</v>
      </c>
      <c r="Q721">
        <f>_xll.ICEHistory(M$4,Q$5,"DF[dow:12345][tl:Calendar]",$L721)</f>
        <v>30269</v>
      </c>
      <c r="R721">
        <f>_xll.ICEHistory(M$4,R$5,"DF[dow:12345][tl:Calendar]",$L721)</f>
        <v>431588</v>
      </c>
      <c r="S721">
        <f>_xll.ICEHistory(S$4,S$5,"DF[dow:12345][tl:Calendar]",$L721)</f>
        <v>63.59</v>
      </c>
      <c r="T721">
        <f>_xll.ICEHistory(S$4,T$5,"DF[dow:12345][tl:Calendar]",$L721)</f>
        <v>65.75</v>
      </c>
      <c r="U721">
        <f>_xll.ICEHistory(S$4,U$5,"DF[dow:12345][tl:Calendar]",$L721)</f>
        <v>63.59</v>
      </c>
      <c r="V721">
        <f>_xll.ICEHistory(S$4,V$5,"DF[dow:12345][tl:Calendar]",$L721)</f>
        <v>65.619</v>
      </c>
      <c r="W721">
        <f>_xll.ICEHistory(S$4,W$5,"DF[dow:12345][tl:Calendar]",$L721)</f>
        <v>10</v>
      </c>
      <c r="X721">
        <f t="shared" si="33"/>
        <v>6.472491909385121E-2</v>
      </c>
      <c r="Y721">
        <f t="shared" si="34"/>
        <v>1.6516612641032651</v>
      </c>
      <c r="Z721">
        <f t="shared" si="35"/>
        <v>3.7468939572287141E-2</v>
      </c>
    </row>
    <row r="722" spans="12:26" x14ac:dyDescent="0.25">
      <c r="L722" s="4">
        <f>_xll.ICETimeline(_xll.ICEJoinRange(M4:W4),"DF[dow:12345][tl:Calendar]","2020-07-26;2024-07-26",329,-1)</f>
        <v>44498.5</v>
      </c>
      <c r="M722">
        <f>_xll.ICEHistory(M$4,M$5,"DF[dow:12345][tl:Calendar]",$L722)</f>
        <v>58.71</v>
      </c>
      <c r="N722">
        <f>_xll.ICEHistory(M$4,N$5,"DF[dow:12345][tl:Calendar]",$L722)</f>
        <v>59.55</v>
      </c>
      <c r="O722">
        <f>_xll.ICEHistory(M$4,O$5,"DF[dow:12345][tl:Calendar]",$L722)</f>
        <v>58.11</v>
      </c>
      <c r="P722">
        <f>_xll.ICEHistory(M$4,P$5,"DF[dow:12345][tl:Calendar]",$L722)</f>
        <v>58.73</v>
      </c>
      <c r="Q722">
        <f>_xll.ICEHistory(M$4,Q$5,"DF[dow:12345][tl:Calendar]",$L722)</f>
        <v>24790</v>
      </c>
      <c r="R722">
        <f>_xll.ICEHistory(M$4,R$5,"DF[dow:12345][tl:Calendar]",$L722)</f>
        <v>430396</v>
      </c>
      <c r="S722">
        <f>_xll.ICEHistory(S$4,S$5,"DF[dow:12345][tl:Calendar]",$L722)</f>
        <v>72.62</v>
      </c>
      <c r="T722">
        <f>_xll.ICEHistory(S$4,T$5,"DF[dow:12345][tl:Calendar]",$L722)</f>
        <v>72.62</v>
      </c>
      <c r="U722">
        <f>_xll.ICEHistory(S$4,U$5,"DF[dow:12345][tl:Calendar]",$L722)</f>
        <v>64.864000000000004</v>
      </c>
      <c r="V722">
        <f>_xll.ICEHistory(S$4,V$5,"DF[dow:12345][tl:Calendar]",$L722)</f>
        <v>64.864000000000004</v>
      </c>
      <c r="W722">
        <f>_xll.ICEHistory(S$4,W$5,"DF[dow:12345][tl:Calendar]",$L722)</f>
        <v>22</v>
      </c>
      <c r="X722">
        <f t="shared" si="33"/>
        <v>2.4201680672268869E-2</v>
      </c>
      <c r="Y722">
        <f t="shared" si="34"/>
        <v>-0.72920077438449737</v>
      </c>
      <c r="Z722">
        <f t="shared" si="35"/>
        <v>-0.48091467590889925</v>
      </c>
    </row>
    <row r="723" spans="12:26" x14ac:dyDescent="0.25">
      <c r="L723" s="4">
        <f>_xll.ICETimeline(_xll.ICEJoinRange(M4:W4),"DF[dow:12345][tl:Calendar]","2020-07-26;2024-07-26",328,-1)</f>
        <v>44497.5</v>
      </c>
      <c r="M723">
        <f>_xll.ICEHistory(M$4,M$5,"DF[dow:12345][tl:Calendar]",$L723)</f>
        <v>59.5</v>
      </c>
      <c r="N723">
        <f>_xll.ICEHistory(M$4,N$5,"DF[dow:12345][tl:Calendar]",$L723)</f>
        <v>59.65</v>
      </c>
      <c r="O723">
        <f>_xll.ICEHistory(M$4,O$5,"DF[dow:12345][tl:Calendar]",$L723)</f>
        <v>57.92</v>
      </c>
      <c r="P723">
        <f>_xll.ICEHistory(M$4,P$5,"DF[dow:12345][tl:Calendar]",$L723)</f>
        <v>58.71</v>
      </c>
      <c r="Q723">
        <f>_xll.ICEHistory(M$4,Q$5,"DF[dow:12345][tl:Calendar]",$L723)</f>
        <v>21533</v>
      </c>
      <c r="R723">
        <f>_xll.ICEHistory(M$4,R$5,"DF[dow:12345][tl:Calendar]",$L723)</f>
        <v>428187</v>
      </c>
      <c r="S723">
        <f>_xll.ICEHistory(S$4,S$5,"DF[dow:12345][tl:Calendar]",$L723)</f>
        <v>78</v>
      </c>
      <c r="T723">
        <f>_xll.ICEHistory(S$4,T$5,"DF[dow:12345][tl:Calendar]",$L723)</f>
        <v>80.599999999999994</v>
      </c>
      <c r="U723">
        <f>_xll.ICEHistory(S$4,U$5,"DF[dow:12345][tl:Calendar]",$L723)</f>
        <v>77.031999999999996</v>
      </c>
      <c r="V723">
        <f>_xll.ICEHistory(S$4,V$5,"DF[dow:12345][tl:Calendar]",$L723)</f>
        <v>77.031999999999996</v>
      </c>
      <c r="W723">
        <f>_xll.ICEHistory(S$4,W$5,"DF[dow:12345][tl:Calendar]",$L723)</f>
        <v>0</v>
      </c>
      <c r="X723">
        <f t="shared" si="33"/>
        <v>2.9021976178493489E-2</v>
      </c>
      <c r="Y723">
        <f t="shared" si="34"/>
        <v>-0.43632534423276687</v>
      </c>
      <c r="Z723">
        <f t="shared" si="35"/>
        <v>-0.78740176257092231</v>
      </c>
    </row>
    <row r="724" spans="12:26" x14ac:dyDescent="0.25">
      <c r="L724" s="4">
        <f>_xll.ICETimeline(_xll.ICEJoinRange(M4:W4),"DF[dow:12345][tl:Calendar]","2020-07-26;2024-07-26",327,-1)</f>
        <v>44496.5</v>
      </c>
      <c r="M724">
        <f>_xll.ICEHistory(M$4,M$5,"DF[dow:12345][tl:Calendar]",$L724)</f>
        <v>59.61</v>
      </c>
      <c r="N724">
        <f>_xll.ICEHistory(M$4,N$5,"DF[dow:12345][tl:Calendar]",$L724)</f>
        <v>60.16</v>
      </c>
      <c r="O724">
        <f>_xll.ICEHistory(M$4,O$5,"DF[dow:12345][tl:Calendar]",$L724)</f>
        <v>58.84</v>
      </c>
      <c r="P724">
        <f>_xll.ICEHistory(M$4,P$5,"DF[dow:12345][tl:Calendar]",$L724)</f>
        <v>59.86</v>
      </c>
      <c r="Q724">
        <f>_xll.ICEHistory(M$4,Q$5,"DF[dow:12345][tl:Calendar]",$L724)</f>
        <v>23988</v>
      </c>
      <c r="R724">
        <f>_xll.ICEHistory(M$4,R$5,"DF[dow:12345][tl:Calendar]",$L724)</f>
        <v>428538</v>
      </c>
      <c r="S724">
        <f>_xll.ICEHistory(S$4,S$5,"DF[dow:12345][tl:Calendar]",$L724)</f>
        <v>86.3</v>
      </c>
      <c r="T724">
        <f>_xll.ICEHistory(S$4,T$5,"DF[dow:12345][tl:Calendar]",$L724)</f>
        <v>86.95</v>
      </c>
      <c r="U724">
        <f>_xll.ICEHistory(S$4,U$5,"DF[dow:12345][tl:Calendar]",$L724)</f>
        <v>86</v>
      </c>
      <c r="V724">
        <f>_xll.ICEHistory(S$4,V$5,"DF[dow:12345][tl:Calendar]",$L724)</f>
        <v>86.819000000000003</v>
      </c>
      <c r="W724">
        <f>_xll.ICEHistory(S$4,W$5,"DF[dow:12345][tl:Calendar]",$L724)</f>
        <v>47</v>
      </c>
      <c r="X724">
        <f t="shared" si="33"/>
        <v>2.2335025380710544E-2</v>
      </c>
      <c r="Y724">
        <f t="shared" si="34"/>
        <v>-0.83306785332796485</v>
      </c>
      <c r="Z724">
        <f t="shared" si="35"/>
        <v>-0.55957899743599226</v>
      </c>
    </row>
    <row r="725" spans="12:26" x14ac:dyDescent="0.25">
      <c r="L725" s="4">
        <f>_xll.ICETimeline(_xll.ICEJoinRange(M4:W4),"DF[dow:12345][tl:Calendar]","2020-07-26;2024-07-26",326,-1)</f>
        <v>44495.5</v>
      </c>
      <c r="M725">
        <f>_xll.ICEHistory(M$4,M$5,"DF[dow:12345][tl:Calendar]",$L725)</f>
        <v>59.1</v>
      </c>
      <c r="N725">
        <f>_xll.ICEHistory(M$4,N$5,"DF[dow:12345][tl:Calendar]",$L725)</f>
        <v>60.2</v>
      </c>
      <c r="O725">
        <f>_xll.ICEHistory(M$4,O$5,"DF[dow:12345][tl:Calendar]",$L725)</f>
        <v>58.74</v>
      </c>
      <c r="P725">
        <f>_xll.ICEHistory(M$4,P$5,"DF[dow:12345][tl:Calendar]",$L725)</f>
        <v>59.79</v>
      </c>
      <c r="Q725">
        <f>_xll.ICEHistory(M$4,Q$5,"DF[dow:12345][tl:Calendar]",$L725)</f>
        <v>22189</v>
      </c>
      <c r="R725">
        <f>_xll.ICEHistory(M$4,R$5,"DF[dow:12345][tl:Calendar]",$L725)</f>
        <v>426710</v>
      </c>
      <c r="S725">
        <f>_xll.ICEHistory(S$4,S$5,"DF[dow:12345][tl:Calendar]",$L725)</f>
        <v>90.15</v>
      </c>
      <c r="T725">
        <f>_xll.ICEHistory(S$4,T$5,"DF[dow:12345][tl:Calendar]",$L725)</f>
        <v>90.2</v>
      </c>
      <c r="U725">
        <f>_xll.ICEHistory(S$4,U$5,"DF[dow:12345][tl:Calendar]",$L725)</f>
        <v>87.8</v>
      </c>
      <c r="V725">
        <f>_xll.ICEHistory(S$4,V$5,"DF[dow:12345][tl:Calendar]",$L725)</f>
        <v>88.492999999999995</v>
      </c>
      <c r="W725">
        <f>_xll.ICEHistory(S$4,W$5,"DF[dow:12345][tl:Calendar]",$L725)</f>
        <v>56</v>
      </c>
      <c r="X725">
        <f t="shared" si="33"/>
        <v>2.482993197278913E-2</v>
      </c>
      <c r="Y725">
        <f t="shared" si="34"/>
        <v>-0.68782279894667742</v>
      </c>
      <c r="Z725">
        <f t="shared" si="35"/>
        <v>-0.73349610821163969</v>
      </c>
    </row>
    <row r="726" spans="12:26" x14ac:dyDescent="0.25">
      <c r="L726" s="4">
        <f>_xll.ICETimeline(_xll.ICEJoinRange(M4:W4),"DF[dow:12345][tl:Calendar]","2020-07-26;2024-07-26",325,-1)</f>
        <v>44494.5</v>
      </c>
      <c r="M726">
        <f>_xll.ICEHistory(M$4,M$5,"DF[dow:12345][tl:Calendar]",$L726)</f>
        <v>58.8</v>
      </c>
      <c r="N726">
        <f>_xll.ICEHistory(M$4,N$5,"DF[dow:12345][tl:Calendar]",$L726)</f>
        <v>59.77</v>
      </c>
      <c r="O726">
        <f>_xll.ICEHistory(M$4,O$5,"DF[dow:12345][tl:Calendar]",$L726)</f>
        <v>58.55</v>
      </c>
      <c r="P726">
        <f>_xll.ICEHistory(M$4,P$5,"DF[dow:12345][tl:Calendar]",$L726)</f>
        <v>59.36</v>
      </c>
      <c r="Q726">
        <f>_xll.ICEHistory(M$4,Q$5,"DF[dow:12345][tl:Calendar]",$L726)</f>
        <v>18868</v>
      </c>
      <c r="R726">
        <f>_xll.ICEHistory(M$4,R$5,"DF[dow:12345][tl:Calendar]",$L726)</f>
        <v>425980</v>
      </c>
      <c r="S726">
        <f>_xll.ICEHistory(S$4,S$5,"DF[dow:12345][tl:Calendar]",$L726)</f>
        <v>91</v>
      </c>
      <c r="T726">
        <f>_xll.ICEHistory(S$4,T$5,"DF[dow:12345][tl:Calendar]",$L726)</f>
        <v>91</v>
      </c>
      <c r="U726">
        <f>_xll.ICEHistory(S$4,U$5,"DF[dow:12345][tl:Calendar]",$L726)</f>
        <v>88</v>
      </c>
      <c r="V726">
        <f>_xll.ICEHistory(S$4,V$5,"DF[dow:12345][tl:Calendar]",$L726)</f>
        <v>88.643000000000001</v>
      </c>
      <c r="W726">
        <f>_xll.ICEHistory(S$4,W$5,"DF[dow:12345][tl:Calendar]",$L726)</f>
        <v>55</v>
      </c>
      <c r="X726">
        <f t="shared" si="33"/>
        <v>2.1019986216402584E-2</v>
      </c>
      <c r="Y726">
        <f t="shared" si="34"/>
        <v>-0.90807216791393675</v>
      </c>
      <c r="Z726">
        <f t="shared" si="35"/>
        <v>-1.0615436054854928</v>
      </c>
    </row>
    <row r="727" spans="12:26" x14ac:dyDescent="0.25">
      <c r="L727" s="4">
        <f>_xll.ICETimeline(_xll.ICEJoinRange(M4:W4),"DF[dow:12345][tl:Calendar]","2020-07-26;2024-07-26",324,-1)</f>
        <v>44491.5</v>
      </c>
      <c r="M727">
        <f>_xll.ICEHistory(M$4,M$5,"DF[dow:12345][tl:Calendar]",$L727)</f>
        <v>58.04</v>
      </c>
      <c r="N727">
        <f>_xll.ICEHistory(M$4,N$5,"DF[dow:12345][tl:Calendar]",$L727)</f>
        <v>60.2</v>
      </c>
      <c r="O727">
        <f>_xll.ICEHistory(M$4,O$5,"DF[dow:12345][tl:Calendar]",$L727)</f>
        <v>57.9</v>
      </c>
      <c r="P727">
        <f>_xll.ICEHistory(M$4,P$5,"DF[dow:12345][tl:Calendar]",$L727)</f>
        <v>59</v>
      </c>
      <c r="Q727">
        <f>_xll.ICEHistory(M$4,Q$5,"DF[dow:12345][tl:Calendar]",$L727)</f>
        <v>22039</v>
      </c>
      <c r="R727">
        <f>_xll.ICEHistory(M$4,R$5,"DF[dow:12345][tl:Calendar]",$L727)</f>
        <v>426364</v>
      </c>
      <c r="S727">
        <f>_xll.ICEHistory(S$4,S$5,"DF[dow:12345][tl:Calendar]",$L727)</f>
        <v>88.61</v>
      </c>
      <c r="T727">
        <f>_xll.ICEHistory(S$4,T$5,"DF[dow:12345][tl:Calendar]",$L727)</f>
        <v>88.7</v>
      </c>
      <c r="U727">
        <f>_xll.ICEHistory(S$4,U$5,"DF[dow:12345][tl:Calendar]",$L727)</f>
        <v>87</v>
      </c>
      <c r="V727">
        <f>_xll.ICEHistory(S$4,V$5,"DF[dow:12345][tl:Calendar]",$L727)</f>
        <v>87.337999999999994</v>
      </c>
      <c r="W727">
        <f>_xll.ICEHistory(S$4,W$5,"DF[dow:12345][tl:Calendar]",$L727)</f>
        <v>94</v>
      </c>
      <c r="X727">
        <f t="shared" si="33"/>
        <v>4.0104620749782112E-2</v>
      </c>
      <c r="Y727">
        <f t="shared" si="34"/>
        <v>0.202060103802883</v>
      </c>
      <c r="Z727">
        <f t="shared" si="35"/>
        <v>-0.75781668054820872</v>
      </c>
    </row>
    <row r="728" spans="12:26" x14ac:dyDescent="0.25">
      <c r="L728" s="4">
        <f>_xll.ICETimeline(_xll.ICEJoinRange(M4:W4),"DF[dow:12345][tl:Calendar]","2020-07-26;2024-07-26",323,-1)</f>
        <v>44490.5</v>
      </c>
      <c r="M728">
        <f>_xll.ICEHistory(M$4,M$5,"DF[dow:12345][tl:Calendar]",$L728)</f>
        <v>57.35</v>
      </c>
      <c r="N728">
        <f>_xll.ICEHistory(M$4,N$5,"DF[dow:12345][tl:Calendar]",$L728)</f>
        <v>58.62</v>
      </c>
      <c r="O728">
        <f>_xll.ICEHistory(M$4,O$5,"DF[dow:12345][tl:Calendar]",$L728)</f>
        <v>56.47</v>
      </c>
      <c r="P728">
        <f>_xll.ICEHistory(M$4,P$5,"DF[dow:12345][tl:Calendar]",$L728)</f>
        <v>58.12</v>
      </c>
      <c r="Q728">
        <f>_xll.ICEHistory(M$4,Q$5,"DF[dow:12345][tl:Calendar]",$L728)</f>
        <v>30427</v>
      </c>
      <c r="R728">
        <f>_xll.ICEHistory(M$4,R$5,"DF[dow:12345][tl:Calendar]",$L728)</f>
        <v>426294</v>
      </c>
      <c r="S728">
        <f>_xll.ICEHistory(S$4,S$5,"DF[dow:12345][tl:Calendar]",$L728)</f>
        <v>90.644999999999996</v>
      </c>
      <c r="T728">
        <f>_xll.ICEHistory(S$4,T$5,"DF[dow:12345][tl:Calendar]",$L728)</f>
        <v>90.66</v>
      </c>
      <c r="U728">
        <f>_xll.ICEHistory(S$4,U$5,"DF[dow:12345][tl:Calendar]",$L728)</f>
        <v>87.814999999999998</v>
      </c>
      <c r="V728">
        <f>_xll.ICEHistory(S$4,V$5,"DF[dow:12345][tl:Calendar]",$L728)</f>
        <v>88.462999999999994</v>
      </c>
      <c r="W728">
        <f>_xll.ICEHistory(S$4,W$5,"DF[dow:12345][tl:Calendar]",$L728)</f>
        <v>40</v>
      </c>
      <c r="X728">
        <f t="shared" si="33"/>
        <v>3.9269406392694037E-2</v>
      </c>
      <c r="Y728">
        <f t="shared" si="34"/>
        <v>0.17033678002337108</v>
      </c>
      <c r="Z728">
        <f t="shared" si="35"/>
        <v>3.709720839218561E-2</v>
      </c>
    </row>
    <row r="729" spans="12:26" x14ac:dyDescent="0.25">
      <c r="L729" s="4">
        <f>_xll.ICETimeline(_xll.ICEJoinRange(M4:W4),"DF[dow:12345][tl:Calendar]","2020-07-26;2024-07-26",322,-1)</f>
        <v>44489.5</v>
      </c>
      <c r="M729">
        <f>_xll.ICEHistory(M$4,M$5,"DF[dow:12345][tl:Calendar]",$L729)</f>
        <v>54.75</v>
      </c>
      <c r="N729">
        <f>_xll.ICEHistory(M$4,N$5,"DF[dow:12345][tl:Calendar]",$L729)</f>
        <v>58.13</v>
      </c>
      <c r="O729">
        <f>_xll.ICEHistory(M$4,O$5,"DF[dow:12345][tl:Calendar]",$L729)</f>
        <v>54.61</v>
      </c>
      <c r="P729">
        <f>_xll.ICEHistory(M$4,P$5,"DF[dow:12345][tl:Calendar]",$L729)</f>
        <v>57.66</v>
      </c>
      <c r="Q729">
        <f>_xll.ICEHistory(M$4,Q$5,"DF[dow:12345][tl:Calendar]",$L729)</f>
        <v>33358</v>
      </c>
      <c r="R729">
        <f>_xll.ICEHistory(M$4,R$5,"DF[dow:12345][tl:Calendar]",$L729)</f>
        <v>428871</v>
      </c>
      <c r="S729">
        <f>_xll.ICEHistory(S$4,S$5,"DF[dow:12345][tl:Calendar]",$L729)</f>
        <v>94.394999999999996</v>
      </c>
      <c r="T729">
        <f>_xll.ICEHistory(S$4,T$5,"DF[dow:12345][tl:Calendar]",$L729)</f>
        <v>94.394999999999996</v>
      </c>
      <c r="U729">
        <f>_xll.ICEHistory(S$4,U$5,"DF[dow:12345][tl:Calendar]",$L729)</f>
        <v>92.75</v>
      </c>
      <c r="V729">
        <f>_xll.ICEHistory(S$4,V$5,"DF[dow:12345][tl:Calendar]",$L729)</f>
        <v>93.450999999999993</v>
      </c>
      <c r="W729">
        <f>_xll.ICEHistory(S$4,W$5,"DF[dow:12345][tl:Calendar]",$L729)</f>
        <v>21</v>
      </c>
      <c r="X729">
        <f t="shared" si="33"/>
        <v>6.0952380952381008E-2</v>
      </c>
      <c r="Y729">
        <f t="shared" si="34"/>
        <v>1.4473245726509609</v>
      </c>
      <c r="Z729">
        <f t="shared" si="35"/>
        <v>0.32530013564367205</v>
      </c>
    </row>
    <row r="730" spans="12:26" x14ac:dyDescent="0.25">
      <c r="L730" s="4">
        <f>_xll.ICETimeline(_xll.ICEJoinRange(M4:W4),"DF[dow:12345][tl:Calendar]","2020-07-26;2024-07-26",321,-1)</f>
        <v>44488.5</v>
      </c>
      <c r="M730">
        <f>_xll.ICEHistory(M$4,M$5,"DF[dow:12345][tl:Calendar]",$L730)</f>
        <v>57.75</v>
      </c>
      <c r="N730">
        <f>_xll.ICEHistory(M$4,N$5,"DF[dow:12345][tl:Calendar]",$L730)</f>
        <v>58.35</v>
      </c>
      <c r="O730">
        <f>_xll.ICEHistory(M$4,O$5,"DF[dow:12345][tl:Calendar]",$L730)</f>
        <v>54.01</v>
      </c>
      <c r="P730">
        <f>_xll.ICEHistory(M$4,P$5,"DF[dow:12345][tl:Calendar]",$L730)</f>
        <v>55.21</v>
      </c>
      <c r="Q730">
        <f>_xll.ICEHistory(M$4,Q$5,"DF[dow:12345][tl:Calendar]",$L730)</f>
        <v>48144</v>
      </c>
      <c r="R730">
        <f>_xll.ICEHistory(M$4,R$5,"DF[dow:12345][tl:Calendar]",$L730)</f>
        <v>426986</v>
      </c>
      <c r="S730">
        <f>_xll.ICEHistory(S$4,S$5,"DF[dow:12345][tl:Calendar]",$L730)</f>
        <v>92.15</v>
      </c>
      <c r="T730">
        <f>_xll.ICEHistory(S$4,T$5,"DF[dow:12345][tl:Calendar]",$L730)</f>
        <v>93.935000000000002</v>
      </c>
      <c r="U730">
        <f>_xll.ICEHistory(S$4,U$5,"DF[dow:12345][tl:Calendar]",$L730)</f>
        <v>89.424999999999997</v>
      </c>
      <c r="V730">
        <f>_xll.ICEHistory(S$4,V$5,"DF[dow:12345][tl:Calendar]",$L730)</f>
        <v>89.932000000000002</v>
      </c>
      <c r="W730">
        <f>_xll.ICEHistory(S$4,W$5,"DF[dow:12345][tl:Calendar]",$L730)</f>
        <v>64</v>
      </c>
      <c r="X730">
        <f t="shared" si="33"/>
        <v>7.3872340425531979E-2</v>
      </c>
      <c r="Y730">
        <f t="shared" si="34"/>
        <v>2.2746515093479438</v>
      </c>
      <c r="Z730">
        <f t="shared" si="35"/>
        <v>1.7407057250798015</v>
      </c>
    </row>
    <row r="731" spans="12:26" x14ac:dyDescent="0.25">
      <c r="L731" s="4">
        <f>_xll.ICETimeline(_xll.ICEJoinRange(M4:W4),"DF[dow:12345][tl:Calendar]","2020-07-26;2024-07-26",320,-1)</f>
        <v>44487.5</v>
      </c>
      <c r="M731">
        <f>_xll.ICEHistory(M$4,M$5,"DF[dow:12345][tl:Calendar]",$L731)</f>
        <v>58.75</v>
      </c>
      <c r="N731">
        <f>_xll.ICEHistory(M$4,N$5,"DF[dow:12345][tl:Calendar]",$L731)</f>
        <v>59.68</v>
      </c>
      <c r="O731">
        <f>_xll.ICEHistory(M$4,O$5,"DF[dow:12345][tl:Calendar]",$L731)</f>
        <v>57.24</v>
      </c>
      <c r="P731">
        <f>_xll.ICEHistory(M$4,P$5,"DF[dow:12345][tl:Calendar]",$L731)</f>
        <v>57.41</v>
      </c>
      <c r="Q731">
        <f>_xll.ICEHistory(M$4,Q$5,"DF[dow:12345][tl:Calendar]",$L731)</f>
        <v>31100</v>
      </c>
      <c r="R731">
        <f>_xll.ICEHistory(M$4,R$5,"DF[dow:12345][tl:Calendar]",$L731)</f>
        <v>426253</v>
      </c>
      <c r="S731">
        <f>_xll.ICEHistory(S$4,S$5,"DF[dow:12345][tl:Calendar]",$L731)</f>
        <v>89.35</v>
      </c>
      <c r="T731">
        <f>_xll.ICEHistory(S$4,T$5,"DF[dow:12345][tl:Calendar]",$L731)</f>
        <v>100.4</v>
      </c>
      <c r="U731">
        <f>_xll.ICEHistory(S$4,U$5,"DF[dow:12345][tl:Calendar]",$L731)</f>
        <v>89.35</v>
      </c>
      <c r="V731">
        <f>_xll.ICEHistory(S$4,V$5,"DF[dow:12345][tl:Calendar]",$L731)</f>
        <v>93.933000000000007</v>
      </c>
      <c r="W731">
        <f>_xll.ICEHistory(S$4,W$5,"DF[dow:12345][tl:Calendar]",$L731)</f>
        <v>37</v>
      </c>
      <c r="X731">
        <f t="shared" si="33"/>
        <v>3.9616820912485751E-2</v>
      </c>
      <c r="Y731">
        <f t="shared" si="34"/>
        <v>0.26334921930952521</v>
      </c>
      <c r="Z731">
        <f t="shared" si="35"/>
        <v>0.13218654000276281</v>
      </c>
    </row>
    <row r="732" spans="12:26" x14ac:dyDescent="0.25">
      <c r="L732" s="4">
        <f>_xll.ICETimeline(_xll.ICEJoinRange(M4:W4),"DF[dow:12345][tl:Calendar]","2020-07-26;2024-07-26",319,-1)</f>
        <v>44484.5</v>
      </c>
      <c r="M732">
        <f>_xll.ICEHistory(M$4,M$5,"DF[dow:12345][tl:Calendar]",$L732)</f>
        <v>61.59</v>
      </c>
      <c r="N732">
        <f>_xll.ICEHistory(M$4,N$5,"DF[dow:12345][tl:Calendar]",$L732)</f>
        <v>61.96</v>
      </c>
      <c r="O732">
        <f>_xll.ICEHistory(M$4,O$5,"DF[dow:12345][tl:Calendar]",$L732)</f>
        <v>58.25</v>
      </c>
      <c r="P732">
        <f>_xll.ICEHistory(M$4,P$5,"DF[dow:12345][tl:Calendar]",$L732)</f>
        <v>58.38</v>
      </c>
      <c r="Q732">
        <f>_xll.ICEHistory(M$4,Q$5,"DF[dow:12345][tl:Calendar]",$L732)</f>
        <v>28770</v>
      </c>
      <c r="R732">
        <f>_xll.ICEHistory(M$4,R$5,"DF[dow:12345][tl:Calendar]",$L732)</f>
        <v>428219</v>
      </c>
      <c r="S732">
        <f>_xll.ICEHistory(S$4,S$5,"DF[dow:12345][tl:Calendar]",$L732)</f>
        <v>104</v>
      </c>
      <c r="T732">
        <f>_xll.ICEHistory(S$4,T$5,"DF[dow:12345][tl:Calendar]",$L732)</f>
        <v>104</v>
      </c>
      <c r="U732">
        <f>_xll.ICEHistory(S$4,U$5,"DF[dow:12345][tl:Calendar]",$L732)</f>
        <v>92.57</v>
      </c>
      <c r="V732">
        <f>_xll.ICEHistory(S$4,V$5,"DF[dow:12345][tl:Calendar]",$L732)</f>
        <v>93.647999999999996</v>
      </c>
      <c r="W732">
        <f>_xll.ICEHistory(S$4,W$5,"DF[dow:12345][tl:Calendar]",$L732)</f>
        <v>152</v>
      </c>
      <c r="X732">
        <f t="shared" si="33"/>
        <v>6.2785581316635655E-2</v>
      </c>
      <c r="Y732">
        <f t="shared" si="34"/>
        <v>1.7149475138288999</v>
      </c>
      <c r="Z732">
        <f t="shared" si="35"/>
        <v>-8.1031812201608655E-2</v>
      </c>
    </row>
    <row r="733" spans="12:26" x14ac:dyDescent="0.25">
      <c r="L733" s="4">
        <f>_xll.ICETimeline(_xll.ICEJoinRange(M4:W4),"DF[dow:12345][tl:Calendar]","2020-07-26;2024-07-26",318,-1)</f>
        <v>44483.5</v>
      </c>
      <c r="M733">
        <f>_xll.ICEHistory(M$4,M$5,"DF[dow:12345][tl:Calendar]",$L733)</f>
        <v>59.09</v>
      </c>
      <c r="N733">
        <f>_xll.ICEHistory(M$4,N$5,"DF[dow:12345][tl:Calendar]",$L733)</f>
        <v>61.8</v>
      </c>
      <c r="O733">
        <f>_xll.ICEHistory(M$4,O$5,"DF[dow:12345][tl:Calendar]",$L733)</f>
        <v>59.09</v>
      </c>
      <c r="P733">
        <f>_xll.ICEHistory(M$4,P$5,"DF[dow:12345][tl:Calendar]",$L733)</f>
        <v>61.37</v>
      </c>
      <c r="Q733">
        <f>_xll.ICEHistory(M$4,Q$5,"DF[dow:12345][tl:Calendar]",$L733)</f>
        <v>35611</v>
      </c>
      <c r="R733">
        <f>_xll.ICEHistory(M$4,R$5,"DF[dow:12345][tl:Calendar]",$L733)</f>
        <v>428067</v>
      </c>
      <c r="S733">
        <f>_xll.ICEHistory(S$4,S$5,"DF[dow:12345][tl:Calendar]",$L733)</f>
        <v>102.15</v>
      </c>
      <c r="T733">
        <f>_xll.ICEHistory(S$4,T$5,"DF[dow:12345][tl:Calendar]",$L733)</f>
        <v>102.255</v>
      </c>
      <c r="U733">
        <f>_xll.ICEHistory(S$4,U$5,"DF[dow:12345][tl:Calendar]",$L733)</f>
        <v>96.73</v>
      </c>
      <c r="V733">
        <f>_xll.ICEHistory(S$4,V$5,"DF[dow:12345][tl:Calendar]",$L733)</f>
        <v>102.172</v>
      </c>
      <c r="W733">
        <f>_xll.ICEHistory(S$4,W$5,"DF[dow:12345][tl:Calendar]",$L733)</f>
        <v>76</v>
      </c>
      <c r="X733">
        <f t="shared" si="33"/>
        <v>4.5622895622895517E-2</v>
      </c>
      <c r="Y733">
        <f t="shared" si="34"/>
        <v>0.69107714919149599</v>
      </c>
      <c r="Z733">
        <f t="shared" si="35"/>
        <v>0.5923135748918017</v>
      </c>
    </row>
    <row r="734" spans="12:26" x14ac:dyDescent="0.25">
      <c r="L734" s="4">
        <f>_xll.ICETimeline(_xll.ICEJoinRange(M4:W4),"DF[dow:12345][tl:Calendar]","2020-07-26;2024-07-26",317,-1)</f>
        <v>44482.5</v>
      </c>
      <c r="M734">
        <f>_xll.ICEHistory(M$4,M$5,"DF[dow:12345][tl:Calendar]",$L734)</f>
        <v>59.4</v>
      </c>
      <c r="N734">
        <f>_xll.ICEHistory(M$4,N$5,"DF[dow:12345][tl:Calendar]",$L734)</f>
        <v>60.24</v>
      </c>
      <c r="O734">
        <f>_xll.ICEHistory(M$4,O$5,"DF[dow:12345][tl:Calendar]",$L734)</f>
        <v>58.25</v>
      </c>
      <c r="P734">
        <f>_xll.ICEHistory(M$4,P$5,"DF[dow:12345][tl:Calendar]",$L734)</f>
        <v>59.19</v>
      </c>
      <c r="Q734">
        <f>_xll.ICEHistory(M$4,Q$5,"DF[dow:12345][tl:Calendar]",$L734)</f>
        <v>28575</v>
      </c>
      <c r="R734">
        <f>_xll.ICEHistory(M$4,R$5,"DF[dow:12345][tl:Calendar]",$L734)</f>
        <v>433738</v>
      </c>
      <c r="S734">
        <f>_xll.ICEHistory(S$4,S$5,"DF[dow:12345][tl:Calendar]",$L734)</f>
        <v>91.375</v>
      </c>
      <c r="T734">
        <f>_xll.ICEHistory(S$4,T$5,"DF[dow:12345][tl:Calendar]",$L734)</f>
        <v>94.61</v>
      </c>
      <c r="U734">
        <f>_xll.ICEHistory(S$4,U$5,"DF[dow:12345][tl:Calendar]",$L734)</f>
        <v>90.29</v>
      </c>
      <c r="V734">
        <f>_xll.ICEHistory(S$4,V$5,"DF[dow:12345][tl:Calendar]",$L734)</f>
        <v>93.616</v>
      </c>
      <c r="W734">
        <f>_xll.ICEHistory(S$4,W$5,"DF[dow:12345][tl:Calendar]",$L734)</f>
        <v>244</v>
      </c>
      <c r="X734">
        <f t="shared" si="33"/>
        <v>3.3728813559322064E-2</v>
      </c>
      <c r="Y734">
        <f t="shared" si="34"/>
        <v>-5.5867484780133717E-2</v>
      </c>
      <c r="Z734">
        <f t="shared" si="35"/>
        <v>-9.7512268151179235E-2</v>
      </c>
    </row>
    <row r="735" spans="12:26" x14ac:dyDescent="0.25">
      <c r="L735" s="4">
        <f>_xll.ICETimeline(_xll.ICEJoinRange(M4:W4),"DF[dow:12345][tl:Calendar]","2020-07-26;2024-07-26",316,-1)</f>
        <v>44481.5</v>
      </c>
      <c r="M735">
        <f>_xll.ICEHistory(M$4,M$5,"DF[dow:12345][tl:Calendar]",$L735)</f>
        <v>59</v>
      </c>
      <c r="N735">
        <f>_xll.ICEHistory(M$4,N$5,"DF[dow:12345][tl:Calendar]",$L735)</f>
        <v>59.5</v>
      </c>
      <c r="O735">
        <f>_xll.ICEHistory(M$4,O$5,"DF[dow:12345][tl:Calendar]",$L735)</f>
        <v>58.49</v>
      </c>
      <c r="P735">
        <f>_xll.ICEHistory(M$4,P$5,"DF[dow:12345][tl:Calendar]",$L735)</f>
        <v>59.25</v>
      </c>
      <c r="Q735">
        <f>_xll.ICEHistory(M$4,Q$5,"DF[dow:12345][tl:Calendar]",$L735)</f>
        <v>19744</v>
      </c>
      <c r="R735">
        <f>_xll.ICEHistory(M$4,R$5,"DF[dow:12345][tl:Calendar]",$L735)</f>
        <v>439348</v>
      </c>
      <c r="S735">
        <f>_xll.ICEHistory(S$4,S$5,"DF[dow:12345][tl:Calendar]",$L735)</f>
        <v>86.31</v>
      </c>
      <c r="T735">
        <f>_xll.ICEHistory(S$4,T$5,"DF[dow:12345][tl:Calendar]",$L735)</f>
        <v>87.394999999999996</v>
      </c>
      <c r="U735">
        <f>_xll.ICEHistory(S$4,U$5,"DF[dow:12345][tl:Calendar]",$L735)</f>
        <v>85</v>
      </c>
      <c r="V735">
        <f>_xll.ICEHistory(S$4,V$5,"DF[dow:12345][tl:Calendar]",$L735)</f>
        <v>85.697999999999993</v>
      </c>
      <c r="W735">
        <f>_xll.ICEHistory(S$4,W$5,"DF[dow:12345][tl:Calendar]",$L735)</f>
        <v>598</v>
      </c>
      <c r="X735">
        <f t="shared" si="33"/>
        <v>1.7392801790941933E-2</v>
      </c>
      <c r="Y735">
        <f t="shared" si="34"/>
        <v>-1.0917253992501166</v>
      </c>
      <c r="Z735">
        <f t="shared" si="35"/>
        <v>-0.95939350323247063</v>
      </c>
    </row>
    <row r="736" spans="12:26" x14ac:dyDescent="0.25">
      <c r="L736" s="4">
        <f>_xll.ICETimeline(_xll.ICEJoinRange(M4:W4),"DF[dow:12345][tl:Calendar]","2020-07-26;2024-07-26",315,-1)</f>
        <v>44480.5</v>
      </c>
      <c r="M736">
        <f>_xll.ICEHistory(M$4,M$5,"DF[dow:12345][tl:Calendar]",$L736)</f>
        <v>58.07</v>
      </c>
      <c r="N736">
        <f>_xll.ICEHistory(M$4,N$5,"DF[dow:12345][tl:Calendar]",$L736)</f>
        <v>60.25</v>
      </c>
      <c r="O736">
        <f>_xll.ICEHistory(M$4,O$5,"DF[dow:12345][tl:Calendar]",$L736)</f>
        <v>58.05</v>
      </c>
      <c r="P736">
        <f>_xll.ICEHistory(M$4,P$5,"DF[dow:12345][tl:Calendar]",$L736)</f>
        <v>59.14</v>
      </c>
      <c r="Q736">
        <f>_xll.ICEHistory(M$4,Q$5,"DF[dow:12345][tl:Calendar]",$L736)</f>
        <v>24233</v>
      </c>
      <c r="R736">
        <f>_xll.ICEHistory(M$4,R$5,"DF[dow:12345][tl:Calendar]",$L736)</f>
        <v>440855</v>
      </c>
      <c r="S736">
        <f>_xll.ICEHistory(S$4,S$5,"DF[dow:12345][tl:Calendar]",$L736)</f>
        <v>92</v>
      </c>
      <c r="T736">
        <f>_xll.ICEHistory(S$4,T$5,"DF[dow:12345][tl:Calendar]",$L736)</f>
        <v>92.135000000000005</v>
      </c>
      <c r="U736">
        <f>_xll.ICEHistory(S$4,U$5,"DF[dow:12345][tl:Calendar]",$L736)</f>
        <v>83.5</v>
      </c>
      <c r="V736">
        <f>_xll.ICEHistory(S$4,V$5,"DF[dow:12345][tl:Calendar]",$L736)</f>
        <v>85.215999999999994</v>
      </c>
      <c r="W736">
        <f>_xll.ICEHistory(S$4,W$5,"DF[dow:12345][tl:Calendar]",$L736)</f>
        <v>229</v>
      </c>
      <c r="X736">
        <f t="shared" si="33"/>
        <v>3.6727879799666158E-2</v>
      </c>
      <c r="Y736">
        <f t="shared" si="34"/>
        <v>7.4154617859327837E-2</v>
      </c>
      <c r="Z736">
        <f t="shared" si="35"/>
        <v>-0.54106624076387821</v>
      </c>
    </row>
    <row r="737" spans="12:26" x14ac:dyDescent="0.25">
      <c r="L737" s="4">
        <f>_xll.ICETimeline(_xll.ICEJoinRange(M4:W4),"DF[dow:12345][tl:Calendar]","2020-07-26;2024-07-26",314,-1)</f>
        <v>44477.5</v>
      </c>
      <c r="M737">
        <f>_xll.ICEHistory(M$4,M$5,"DF[dow:12345][tl:Calendar]",$L737)</f>
        <v>59.9</v>
      </c>
      <c r="N737">
        <f>_xll.ICEHistory(M$4,N$5,"DF[dow:12345][tl:Calendar]",$L737)</f>
        <v>60.78</v>
      </c>
      <c r="O737">
        <f>_xll.ICEHistory(M$4,O$5,"DF[dow:12345][tl:Calendar]",$L737)</f>
        <v>57.86</v>
      </c>
      <c r="P737">
        <f>_xll.ICEHistory(M$4,P$5,"DF[dow:12345][tl:Calendar]",$L737)</f>
        <v>58.04</v>
      </c>
      <c r="Q737">
        <f>_xll.ICEHistory(M$4,Q$5,"DF[dow:12345][tl:Calendar]",$L737)</f>
        <v>29796</v>
      </c>
      <c r="R737">
        <f>_xll.ICEHistory(M$4,R$5,"DF[dow:12345][tl:Calendar]",$L737)</f>
        <v>441847</v>
      </c>
      <c r="S737">
        <f>_xll.ICEHistory(S$4,S$5,"DF[dow:12345][tl:Calendar]",$L737)</f>
        <v>95</v>
      </c>
      <c r="T737">
        <f>_xll.ICEHistory(S$4,T$5,"DF[dow:12345][tl:Calendar]",$L737)</f>
        <v>95.674999999999997</v>
      </c>
      <c r="U737">
        <f>_xll.ICEHistory(S$4,U$5,"DF[dow:12345][tl:Calendar]",$L737)</f>
        <v>83.7</v>
      </c>
      <c r="V737">
        <f>_xll.ICEHistory(S$4,V$5,"DF[dow:12345][tl:Calendar]",$L737)</f>
        <v>87.605999999999995</v>
      </c>
      <c r="W737">
        <f>_xll.ICEHistory(S$4,W$5,"DF[dow:12345][tl:Calendar]",$L737)</f>
        <v>147</v>
      </c>
      <c r="X737">
        <f t="shared" si="33"/>
        <v>4.8747913188647775E-2</v>
      </c>
      <c r="Y737">
        <f t="shared" si="34"/>
        <v>0.79623546320345129</v>
      </c>
      <c r="Z737">
        <f t="shared" si="35"/>
        <v>-2.621392790167884E-4</v>
      </c>
    </row>
    <row r="738" spans="12:26" x14ac:dyDescent="0.25">
      <c r="L738" s="4">
        <f>_xll.ICETimeline(_xll.ICEJoinRange(M4:W4),"DF[dow:12345][tl:Calendar]","2020-07-26;2024-07-26",313,-1)</f>
        <v>44476.5</v>
      </c>
      <c r="M738">
        <f>_xll.ICEHistory(M$4,M$5,"DF[dow:12345][tl:Calendar]",$L738)</f>
        <v>59.9</v>
      </c>
      <c r="N738">
        <f>_xll.ICEHistory(M$4,N$5,"DF[dow:12345][tl:Calendar]",$L738)</f>
        <v>60.74</v>
      </c>
      <c r="O738">
        <f>_xll.ICEHistory(M$4,O$5,"DF[dow:12345][tl:Calendar]",$L738)</f>
        <v>57.75</v>
      </c>
      <c r="P738">
        <f>_xll.ICEHistory(M$4,P$5,"DF[dow:12345][tl:Calendar]",$L738)</f>
        <v>60.4</v>
      </c>
      <c r="Q738">
        <f>_xll.ICEHistory(M$4,Q$5,"DF[dow:12345][tl:Calendar]",$L738)</f>
        <v>49167</v>
      </c>
      <c r="R738">
        <f>_xll.ICEHistory(M$4,R$5,"DF[dow:12345][tl:Calendar]",$L738)</f>
        <v>441453</v>
      </c>
      <c r="S738">
        <f>_xll.ICEHistory(S$4,S$5,"DF[dow:12345][tl:Calendar]",$L738)</f>
        <v>89.26</v>
      </c>
      <c r="T738">
        <f>_xll.ICEHistory(S$4,T$5,"DF[dow:12345][tl:Calendar]",$L738)</f>
        <v>109.47</v>
      </c>
      <c r="U738">
        <f>_xll.ICEHistory(S$4,U$5,"DF[dow:12345][tl:Calendar]",$L738)</f>
        <v>89.26</v>
      </c>
      <c r="V738">
        <f>_xll.ICEHistory(S$4,V$5,"DF[dow:12345][tl:Calendar]",$L738)</f>
        <v>96.584000000000003</v>
      </c>
      <c r="W738">
        <f>_xll.ICEHistory(S$4,W$5,"DF[dow:12345][tl:Calendar]",$L738)</f>
        <v>80</v>
      </c>
      <c r="X738">
        <f t="shared" si="33"/>
        <v>4.5964642582628779E-2</v>
      </c>
      <c r="Y738">
        <f t="shared" si="34"/>
        <v>0.64144557584792306</v>
      </c>
      <c r="Z738">
        <f t="shared" si="35"/>
        <v>1.8484287159704813</v>
      </c>
    </row>
    <row r="739" spans="12:26" x14ac:dyDescent="0.25">
      <c r="L739" s="4">
        <f>_xll.ICETimeline(_xll.ICEJoinRange(M4:W4),"DF[dow:12345][tl:Calendar]","2020-07-26;2024-07-26",312,-1)</f>
        <v>44475.5</v>
      </c>
      <c r="M739">
        <f>_xll.ICEHistory(M$4,M$5,"DF[dow:12345][tl:Calendar]",$L739)</f>
        <v>65.05</v>
      </c>
      <c r="N739">
        <f>_xll.ICEHistory(M$4,N$5,"DF[dow:12345][tl:Calendar]",$L739)</f>
        <v>65.05</v>
      </c>
      <c r="O739">
        <f>_xll.ICEHistory(M$4,O$5,"DF[dow:12345][tl:Calendar]",$L739)</f>
        <v>58.89</v>
      </c>
      <c r="P739">
        <f>_xll.ICEHistory(M$4,P$5,"DF[dow:12345][tl:Calendar]",$L739)</f>
        <v>59.95</v>
      </c>
      <c r="Q739">
        <f>_xll.ICEHistory(M$4,Q$5,"DF[dow:12345][tl:Calendar]",$L739)</f>
        <v>73082</v>
      </c>
      <c r="R739">
        <f>_xll.ICEHistory(M$4,R$5,"DF[dow:12345][tl:Calendar]",$L739)</f>
        <v>442488</v>
      </c>
      <c r="S739">
        <f>_xll.ICEHistory(S$4,S$5,"DF[dow:12345][tl:Calendar]",$L739)</f>
        <v>131.02500000000001</v>
      </c>
      <c r="T739">
        <f>_xll.ICEHistory(S$4,T$5,"DF[dow:12345][tl:Calendar]",$L739)</f>
        <v>132.93</v>
      </c>
      <c r="U739">
        <f>_xll.ICEHistory(S$4,U$5,"DF[dow:12345][tl:Calendar]",$L739)</f>
        <v>101.55500000000001</v>
      </c>
      <c r="V739">
        <f>_xll.ICEHistory(S$4,V$5,"DF[dow:12345][tl:Calendar]",$L739)</f>
        <v>108.191</v>
      </c>
      <c r="W739">
        <f>_xll.ICEHistory(S$4,W$5,"DF[dow:12345][tl:Calendar]",$L739)</f>
        <v>183</v>
      </c>
      <c r="X739">
        <f t="shared" si="33"/>
        <v>9.6779261586802778E-2</v>
      </c>
      <c r="Y739">
        <f t="shared" si="34"/>
        <v>3.7786997156997275</v>
      </c>
      <c r="Z739">
        <f t="shared" si="35"/>
        <v>4.2104554439148707</v>
      </c>
    </row>
    <row r="740" spans="12:26" x14ac:dyDescent="0.25">
      <c r="L740" s="4">
        <f>_xll.ICETimeline(_xll.ICEJoinRange(M4:W4),"DF[dow:12345][tl:Calendar]","2020-07-26;2024-07-26",311,-1)</f>
        <v>44474.5</v>
      </c>
      <c r="M740">
        <f>_xll.ICEHistory(M$4,M$5,"DF[dow:12345][tl:Calendar]",$L740)</f>
        <v>63.65</v>
      </c>
      <c r="N740">
        <f>_xll.ICEHistory(M$4,N$5,"DF[dow:12345][tl:Calendar]",$L740)</f>
        <v>65.400000000000006</v>
      </c>
      <c r="O740">
        <f>_xll.ICEHistory(M$4,O$5,"DF[dow:12345][tl:Calendar]",$L740)</f>
        <v>63.62</v>
      </c>
      <c r="P740">
        <f>_xll.ICEHistory(M$4,P$5,"DF[dow:12345][tl:Calendar]",$L740)</f>
        <v>64.28</v>
      </c>
      <c r="Q740">
        <f>_xll.ICEHistory(M$4,Q$5,"DF[dow:12345][tl:Calendar]",$L740)</f>
        <v>46685</v>
      </c>
      <c r="R740">
        <f>_xll.ICEHistory(M$4,R$5,"DF[dow:12345][tl:Calendar]",$L740)</f>
        <v>444791</v>
      </c>
      <c r="S740">
        <f>_xll.ICEHistory(S$4,S$5,"DF[dow:12345][tl:Calendar]",$L740)</f>
        <v>108.205</v>
      </c>
      <c r="T740">
        <f>_xll.ICEHistory(S$4,T$5,"DF[dow:12345][tl:Calendar]",$L740)</f>
        <v>119.36</v>
      </c>
      <c r="U740">
        <f>_xll.ICEHistory(S$4,U$5,"DF[dow:12345][tl:Calendar]",$L740)</f>
        <v>107.95</v>
      </c>
      <c r="V740">
        <f>_xll.ICEHistory(S$4,V$5,"DF[dow:12345][tl:Calendar]",$L740)</f>
        <v>116.02</v>
      </c>
      <c r="W740">
        <f>_xll.ICEHistory(S$4,W$5,"DF[dow:12345][tl:Calendar]",$L740)</f>
        <v>165</v>
      </c>
      <c r="X740">
        <f t="shared" si="33"/>
        <v>2.8262940616068724E-2</v>
      </c>
      <c r="Y740">
        <f t="shared" si="34"/>
        <v>-0.4524607872409378</v>
      </c>
      <c r="Z740">
        <f t="shared" si="35"/>
        <v>1.796968099193845</v>
      </c>
    </row>
    <row r="741" spans="12:26" x14ac:dyDescent="0.25">
      <c r="L741" s="4">
        <f>_xll.ICETimeline(_xll.ICEJoinRange(M4:W4),"DF[dow:12345][tl:Calendar]","2020-07-26;2024-07-26",310,-1)</f>
        <v>44473.5</v>
      </c>
      <c r="M741">
        <f>_xll.ICEHistory(M$4,M$5,"DF[dow:12345][tl:Calendar]",$L741)</f>
        <v>62.98</v>
      </c>
      <c r="N741">
        <f>_xll.ICEHistory(M$4,N$5,"DF[dow:12345][tl:Calendar]",$L741)</f>
        <v>64.489999999999995</v>
      </c>
      <c r="O741">
        <f>_xll.ICEHistory(M$4,O$5,"DF[dow:12345][tl:Calendar]",$L741)</f>
        <v>62.31</v>
      </c>
      <c r="P741">
        <f>_xll.ICEHistory(M$4,P$5,"DF[dow:12345][tl:Calendar]",$L741)</f>
        <v>63.54</v>
      </c>
      <c r="Q741">
        <f>_xll.ICEHistory(M$4,Q$5,"DF[dow:12345][tl:Calendar]",$L741)</f>
        <v>33251</v>
      </c>
      <c r="R741">
        <f>_xll.ICEHistory(M$4,R$5,"DF[dow:12345][tl:Calendar]",$L741)</f>
        <v>439287</v>
      </c>
      <c r="S741">
        <f>_xll.ICEHistory(S$4,S$5,"DF[dow:12345][tl:Calendar]",$L741)</f>
        <v>96.4</v>
      </c>
      <c r="T741">
        <f>_xll.ICEHistory(S$4,T$5,"DF[dow:12345][tl:Calendar]",$L741)</f>
        <v>99.76</v>
      </c>
      <c r="U741">
        <f>_xll.ICEHistory(S$4,U$5,"DF[dow:12345][tl:Calendar]",$L741)</f>
        <v>94.234999999999999</v>
      </c>
      <c r="V741">
        <f>_xll.ICEHistory(S$4,V$5,"DF[dow:12345][tl:Calendar]",$L741)</f>
        <v>96.652000000000001</v>
      </c>
      <c r="W741">
        <f>_xll.ICEHistory(S$4,W$5,"DF[dow:12345][tl:Calendar]",$L741)</f>
        <v>171</v>
      </c>
      <c r="X741">
        <f t="shared" si="33"/>
        <v>3.5246564268391151E-2</v>
      </c>
      <c r="Y741">
        <f t="shared" si="34"/>
        <v>-4.1058395952211904E-2</v>
      </c>
      <c r="Z741">
        <f t="shared" si="35"/>
        <v>0.41862258301165667</v>
      </c>
    </row>
    <row r="742" spans="12:26" x14ac:dyDescent="0.25">
      <c r="L742" s="4">
        <f>_xll.ICETimeline(_xll.ICEJoinRange(M4:W4),"DF[dow:12345][tl:Calendar]","2020-07-26;2024-07-26",309,-1)</f>
        <v>44470.5</v>
      </c>
      <c r="M742">
        <f>_xll.ICEHistory(M$4,M$5,"DF[dow:12345][tl:Calendar]",$L742)</f>
        <v>61.85</v>
      </c>
      <c r="N742">
        <f>_xll.ICEHistory(M$4,N$5,"DF[dow:12345][tl:Calendar]",$L742)</f>
        <v>63.84</v>
      </c>
      <c r="O742">
        <f>_xll.ICEHistory(M$4,O$5,"DF[dow:12345][tl:Calendar]",$L742)</f>
        <v>61.1</v>
      </c>
      <c r="P742">
        <f>_xll.ICEHistory(M$4,P$5,"DF[dow:12345][tl:Calendar]",$L742)</f>
        <v>62.73</v>
      </c>
      <c r="Q742">
        <f>_xll.ICEHistory(M$4,Q$5,"DF[dow:12345][tl:Calendar]",$L742)</f>
        <v>26777</v>
      </c>
      <c r="R742">
        <f>_xll.ICEHistory(M$4,R$5,"DF[dow:12345][tl:Calendar]",$L742)</f>
        <v>434501</v>
      </c>
      <c r="S742">
        <f>_xll.ICEHistory(S$4,S$5,"DF[dow:12345][tl:Calendar]",$L742)</f>
        <v>94.665000000000006</v>
      </c>
      <c r="T742">
        <f>_xll.ICEHistory(S$4,T$5,"DF[dow:12345][tl:Calendar]",$L742)</f>
        <v>97.59</v>
      </c>
      <c r="U742">
        <f>_xll.ICEHistory(S$4,U$5,"DF[dow:12345][tl:Calendar]",$L742)</f>
        <v>93.105000000000004</v>
      </c>
      <c r="V742">
        <f>_xll.ICEHistory(S$4,V$5,"DF[dow:12345][tl:Calendar]",$L742)</f>
        <v>93.625</v>
      </c>
      <c r="W742">
        <f>_xll.ICEHistory(S$4,W$5,"DF[dow:12345][tl:Calendar]",$L742)</f>
        <v>199</v>
      </c>
      <c r="X742">
        <f t="shared" si="33"/>
        <v>4.3561208267090652E-2</v>
      </c>
      <c r="Y742">
        <f t="shared" si="34"/>
        <v>0.4658020946237314</v>
      </c>
      <c r="Z742">
        <f t="shared" si="35"/>
        <v>-0.26602701220058556</v>
      </c>
    </row>
    <row r="743" spans="12:26" x14ac:dyDescent="0.25">
      <c r="L743" s="4">
        <f>_xll.ICETimeline(_xll.ICEJoinRange(M4:W4),"DF[dow:12345][tl:Calendar]","2020-07-26;2024-07-26",308,-1)</f>
        <v>44469.5</v>
      </c>
      <c r="M743">
        <f>_xll.ICEHistory(M$4,M$5,"DF[dow:12345][tl:Calendar]",$L743)</f>
        <v>62.9</v>
      </c>
      <c r="N743">
        <f>_xll.ICEHistory(M$4,N$5,"DF[dow:12345][tl:Calendar]",$L743)</f>
        <v>62.92</v>
      </c>
      <c r="O743">
        <f>_xll.ICEHistory(M$4,O$5,"DF[dow:12345][tl:Calendar]",$L743)</f>
        <v>60.3</v>
      </c>
      <c r="P743">
        <f>_xll.ICEHistory(M$4,P$5,"DF[dow:12345][tl:Calendar]",$L743)</f>
        <v>61.75</v>
      </c>
      <c r="Q743">
        <f>_xll.ICEHistory(M$4,Q$5,"DF[dow:12345][tl:Calendar]",$L743)</f>
        <v>48944</v>
      </c>
      <c r="R743">
        <f>_xll.ICEHistory(M$4,R$5,"DF[dow:12345][tl:Calendar]",$L743)</f>
        <v>434750</v>
      </c>
      <c r="S743">
        <f>_xll.ICEHistory(S$4,S$5,"DF[dow:12345][tl:Calendar]",$L743)</f>
        <v>94.92</v>
      </c>
      <c r="T743">
        <f>_xll.ICEHistory(S$4,T$5,"DF[dow:12345][tl:Calendar]",$L743)</f>
        <v>97.774000000000001</v>
      </c>
      <c r="U743">
        <f>_xll.ICEHistory(S$4,U$5,"DF[dow:12345][tl:Calendar]",$L743)</f>
        <v>93.18</v>
      </c>
      <c r="V743">
        <f>_xll.ICEHistory(S$4,V$5,"DF[dow:12345][tl:Calendar]",$L743)</f>
        <v>97.774000000000001</v>
      </c>
      <c r="W743">
        <f>_xll.ICEHistory(S$4,W$5,"DF[dow:12345][tl:Calendar]",$L743)</f>
        <v>51</v>
      </c>
      <c r="X743">
        <f t="shared" si="33"/>
        <v>4.1920000000000075E-2</v>
      </c>
      <c r="Y743">
        <f t="shared" si="34"/>
        <v>0.38548971741130422</v>
      </c>
      <c r="Z743">
        <f t="shared" si="35"/>
        <v>2.0727266818926835</v>
      </c>
    </row>
    <row r="744" spans="12:26" x14ac:dyDescent="0.25">
      <c r="L744" s="4">
        <f>_xll.ICETimeline(_xll.ICEJoinRange(M4:W4),"DF[dow:12345][tl:Calendar]","2020-07-26;2024-07-26",307,-1)</f>
        <v>44468.5</v>
      </c>
      <c r="M744">
        <f>_xll.ICEHistory(M$4,M$5,"DF[dow:12345][tl:Calendar]",$L744)</f>
        <v>62.5</v>
      </c>
      <c r="N744">
        <f>_xll.ICEHistory(M$4,N$5,"DF[dow:12345][tl:Calendar]",$L744)</f>
        <v>63.2</v>
      </c>
      <c r="O744">
        <f>_xll.ICEHistory(M$4,O$5,"DF[dow:12345][tl:Calendar]",$L744)</f>
        <v>61.34</v>
      </c>
      <c r="P744">
        <f>_xll.ICEHistory(M$4,P$5,"DF[dow:12345][tl:Calendar]",$L744)</f>
        <v>62.6</v>
      </c>
      <c r="Q744">
        <f>_xll.ICEHistory(M$4,Q$5,"DF[dow:12345][tl:Calendar]",$L744)</f>
        <v>35365</v>
      </c>
      <c r="R744">
        <f>_xll.ICEHistory(M$4,R$5,"DF[dow:12345][tl:Calendar]",$L744)</f>
        <v>436453</v>
      </c>
      <c r="S744">
        <f>_xll.ICEHistory(S$4,S$5,"DF[dow:12345][tl:Calendar]",$L744)</f>
        <v>86.5</v>
      </c>
      <c r="T744">
        <f>_xll.ICEHistory(S$4,T$5,"DF[dow:12345][tl:Calendar]",$L744)</f>
        <v>86.608999999999995</v>
      </c>
      <c r="U744">
        <f>_xll.ICEHistory(S$4,U$5,"DF[dow:12345][tl:Calendar]",$L744)</f>
        <v>86.5</v>
      </c>
      <c r="V744">
        <f>_xll.ICEHistory(S$4,V$5,"DF[dow:12345][tl:Calendar]",$L744)</f>
        <v>86.608999999999995</v>
      </c>
      <c r="W744">
        <f>_xll.ICEHistory(S$4,W$5,"DF[dow:12345][tl:Calendar]",$L744)</f>
        <v>0</v>
      </c>
      <c r="X744">
        <f t="shared" si="33"/>
        <v>2.8501379098988651E-2</v>
      </c>
      <c r="Y744">
        <f t="shared" si="34"/>
        <v>-0.40045149707220068</v>
      </c>
      <c r="Z744">
        <f t="shared" si="35"/>
        <v>0.68122126968068986</v>
      </c>
    </row>
    <row r="745" spans="12:26" x14ac:dyDescent="0.25">
      <c r="L745" s="4">
        <f>_xll.ICETimeline(_xll.ICEJoinRange(M4:W4),"DF[dow:12345][tl:Calendar]","2020-07-26;2024-07-26",306,-1)</f>
        <v>44467.5</v>
      </c>
      <c r="M745">
        <f>_xll.ICEHistory(M$4,M$5,"DF[dow:12345][tl:Calendar]",$L745)</f>
        <v>65.260000000000005</v>
      </c>
      <c r="N745">
        <f>_xll.ICEHistory(M$4,N$5,"DF[dow:12345][tl:Calendar]",$L745)</f>
        <v>65.77</v>
      </c>
      <c r="O745">
        <f>_xll.ICEHistory(M$4,O$5,"DF[dow:12345][tl:Calendar]",$L745)</f>
        <v>61.63</v>
      </c>
      <c r="P745">
        <f>_xll.ICEHistory(M$4,P$5,"DF[dow:12345][tl:Calendar]",$L745)</f>
        <v>62.09</v>
      </c>
      <c r="Q745">
        <f>_xll.ICEHistory(M$4,Q$5,"DF[dow:12345][tl:Calendar]",$L745)</f>
        <v>45094</v>
      </c>
      <c r="R745">
        <f>_xll.ICEHistory(M$4,R$5,"DF[dow:12345][tl:Calendar]",$L745)</f>
        <v>434246</v>
      </c>
      <c r="S745">
        <f>_xll.ICEHistory(S$4,S$5,"DF[dow:12345][tl:Calendar]",$L745)</f>
        <v>83</v>
      </c>
      <c r="T745">
        <f>_xll.ICEHistory(S$4,T$5,"DF[dow:12345][tl:Calendar]",$L745)</f>
        <v>84.15</v>
      </c>
      <c r="U745">
        <f>_xll.ICEHistory(S$4,U$5,"DF[dow:12345][tl:Calendar]",$L745)</f>
        <v>78.564999999999998</v>
      </c>
      <c r="V745">
        <f>_xll.ICEHistory(S$4,V$5,"DF[dow:12345][tl:Calendar]",$L745)</f>
        <v>78.564999999999998</v>
      </c>
      <c r="W745">
        <f>_xll.ICEHistory(S$4,W$5,"DF[dow:12345][tl:Calendar]",$L745)</f>
        <v>78</v>
      </c>
      <c r="X745">
        <f t="shared" si="33"/>
        <v>6.458658346333844E-2</v>
      </c>
      <c r="Y745">
        <f t="shared" si="34"/>
        <v>1.7261349831520725</v>
      </c>
      <c r="Z745">
        <f t="shared" si="35"/>
        <v>1.7745455393185934</v>
      </c>
    </row>
    <row r="746" spans="12:26" x14ac:dyDescent="0.25">
      <c r="L746" s="4">
        <f>_xll.ICETimeline(_xll.ICEJoinRange(M4:W4),"DF[dow:12345][tl:Calendar]","2020-07-26;2024-07-26",305,-1)</f>
        <v>44466.5</v>
      </c>
      <c r="M746">
        <f>_xll.ICEHistory(M$4,M$5,"DF[dow:12345][tl:Calendar]",$L746)</f>
        <v>64.099999999999994</v>
      </c>
      <c r="N746">
        <f>_xll.ICEHistory(M$4,N$5,"DF[dow:12345][tl:Calendar]",$L746)</f>
        <v>65.06</v>
      </c>
      <c r="O746">
        <f>_xll.ICEHistory(M$4,O$5,"DF[dow:12345][tl:Calendar]",$L746)</f>
        <v>63.6</v>
      </c>
      <c r="P746">
        <f>_xll.ICEHistory(M$4,P$5,"DF[dow:12345][tl:Calendar]",$L746)</f>
        <v>64.69</v>
      </c>
      <c r="Q746">
        <f>_xll.ICEHistory(M$4,Q$5,"DF[dow:12345][tl:Calendar]",$L746)</f>
        <v>40278</v>
      </c>
      <c r="R746">
        <f>_xll.ICEHistory(M$4,R$5,"DF[dow:12345][tl:Calendar]",$L746)</f>
        <v>434511</v>
      </c>
      <c r="S746">
        <f>_xll.ICEHistory(S$4,S$5,"DF[dow:12345][tl:Calendar]",$L746)</f>
        <v>75</v>
      </c>
      <c r="T746">
        <f>_xll.ICEHistory(S$4,T$5,"DF[dow:12345][tl:Calendar]",$L746)</f>
        <v>76.97</v>
      </c>
      <c r="U746">
        <f>_xll.ICEHistory(S$4,U$5,"DF[dow:12345][tl:Calendar]",$L746)</f>
        <v>75</v>
      </c>
      <c r="V746">
        <f>_xll.ICEHistory(S$4,V$5,"DF[dow:12345][tl:Calendar]",$L746)</f>
        <v>76.507000000000005</v>
      </c>
      <c r="W746">
        <f>_xll.ICEHistory(S$4,W$5,"DF[dow:12345][tl:Calendar]",$L746)</f>
        <v>275</v>
      </c>
      <c r="X746">
        <f t="shared" si="33"/>
        <v>2.4036878498518287E-2</v>
      </c>
      <c r="Y746">
        <f t="shared" si="34"/>
        <v>-0.63167972901999681</v>
      </c>
      <c r="Z746">
        <f t="shared" si="35"/>
        <v>1.3003616223264434</v>
      </c>
    </row>
    <row r="747" spans="12:26" x14ac:dyDescent="0.25">
      <c r="L747" s="4">
        <f>_xll.ICETimeline(_xll.ICEJoinRange(M4:W4),"DF[dow:12345][tl:Calendar]","2020-07-26;2024-07-26",304,-1)</f>
        <v>44463.5</v>
      </c>
      <c r="M747">
        <f>_xll.ICEHistory(M$4,M$5,"DF[dow:12345][tl:Calendar]",$L747)</f>
        <v>60.74</v>
      </c>
      <c r="N747">
        <f>_xll.ICEHistory(M$4,N$5,"DF[dow:12345][tl:Calendar]",$L747)</f>
        <v>64.16</v>
      </c>
      <c r="O747">
        <f>_xll.ICEHistory(M$4,O$5,"DF[dow:12345][tl:Calendar]",$L747)</f>
        <v>59.92</v>
      </c>
      <c r="P747">
        <f>_xll.ICEHistory(M$4,P$5,"DF[dow:12345][tl:Calendar]",$L747)</f>
        <v>63.75</v>
      </c>
      <c r="Q747">
        <f>_xll.ICEHistory(M$4,Q$5,"DF[dow:12345][tl:Calendar]",$L747)</f>
        <v>37083</v>
      </c>
      <c r="R747">
        <f>_xll.ICEHistory(M$4,R$5,"DF[dow:12345][tl:Calendar]",$L747)</f>
        <v>434227</v>
      </c>
      <c r="S747">
        <f>_xll.ICEHistory(S$4,S$5,"DF[dow:12345][tl:Calendar]",$L747)</f>
        <v>68.3</v>
      </c>
      <c r="T747">
        <f>_xll.ICEHistory(S$4,T$5,"DF[dow:12345][tl:Calendar]",$L747)</f>
        <v>70.89</v>
      </c>
      <c r="U747">
        <f>_xll.ICEHistory(S$4,U$5,"DF[dow:12345][tl:Calendar]",$L747)</f>
        <v>68.254999999999995</v>
      </c>
      <c r="V747">
        <f>_xll.ICEHistory(S$4,V$5,"DF[dow:12345][tl:Calendar]",$L747)</f>
        <v>70.239999999999995</v>
      </c>
      <c r="W747">
        <f>_xll.ICEHistory(S$4,W$5,"DF[dow:12345][tl:Calendar]",$L747)</f>
        <v>349</v>
      </c>
      <c r="X747">
        <f t="shared" si="33"/>
        <v>7.0082644628099086E-2</v>
      </c>
      <c r="Y747">
        <f t="shared" si="34"/>
        <v>2.1283736942103397</v>
      </c>
      <c r="Z747">
        <f t="shared" si="35"/>
        <v>0.9670778407864189</v>
      </c>
    </row>
    <row r="748" spans="12:26" x14ac:dyDescent="0.25">
      <c r="L748" s="4">
        <f>_xll.ICETimeline(_xll.ICEJoinRange(M4:W4),"DF[dow:12345][tl:Calendar]","2020-07-26;2024-07-26",303,-1)</f>
        <v>44462.5</v>
      </c>
      <c r="M748">
        <f>_xll.ICEHistory(M$4,M$5,"DF[dow:12345][tl:Calendar]",$L748)</f>
        <v>60.5</v>
      </c>
      <c r="N748">
        <f>_xll.ICEHistory(M$4,N$5,"DF[dow:12345][tl:Calendar]",$L748)</f>
        <v>61.16</v>
      </c>
      <c r="O748">
        <f>_xll.ICEHistory(M$4,O$5,"DF[dow:12345][tl:Calendar]",$L748)</f>
        <v>59.13</v>
      </c>
      <c r="P748">
        <f>_xll.ICEHistory(M$4,P$5,"DF[dow:12345][tl:Calendar]",$L748)</f>
        <v>60.62</v>
      </c>
      <c r="Q748">
        <f>_xll.ICEHistory(M$4,Q$5,"DF[dow:12345][tl:Calendar]",$L748)</f>
        <v>35643</v>
      </c>
      <c r="R748">
        <f>_xll.ICEHistory(M$4,R$5,"DF[dow:12345][tl:Calendar]",$L748)</f>
        <v>432153</v>
      </c>
      <c r="S748">
        <f>_xll.ICEHistory(S$4,S$5,"DF[dow:12345][tl:Calendar]",$L748)</f>
        <v>68</v>
      </c>
      <c r="T748">
        <f>_xll.ICEHistory(S$4,T$5,"DF[dow:12345][tl:Calendar]",$L748)</f>
        <v>70.709999999999994</v>
      </c>
      <c r="U748">
        <f>_xll.ICEHistory(S$4,U$5,"DF[dow:12345][tl:Calendar]",$L748)</f>
        <v>68</v>
      </c>
      <c r="V748">
        <f>_xll.ICEHistory(S$4,V$5,"DF[dow:12345][tl:Calendar]",$L748)</f>
        <v>69.683999999999997</v>
      </c>
      <c r="W748">
        <f>_xll.ICEHistory(S$4,W$5,"DF[dow:12345][tl:Calendar]",$L748)</f>
        <v>607</v>
      </c>
      <c r="X748">
        <f t="shared" si="33"/>
        <v>3.3631544068919716E-2</v>
      </c>
      <c r="Y748">
        <f t="shared" si="34"/>
        <v>-8.9934890444064875E-3</v>
      </c>
      <c r="Z748">
        <f t="shared" si="35"/>
        <v>0.82198405128304575</v>
      </c>
    </row>
    <row r="749" spans="12:26" x14ac:dyDescent="0.25">
      <c r="L749" s="4">
        <f>_xll.ICETimeline(_xll.ICEJoinRange(M4:W4),"DF[dow:12345][tl:Calendar]","2020-07-26;2024-07-26",302,-1)</f>
        <v>44461.5</v>
      </c>
      <c r="M749">
        <f>_xll.ICEHistory(M$4,M$5,"DF[dow:12345][tl:Calendar]",$L749)</f>
        <v>60.36</v>
      </c>
      <c r="N749">
        <f>_xll.ICEHistory(M$4,N$5,"DF[dow:12345][tl:Calendar]",$L749)</f>
        <v>60.75</v>
      </c>
      <c r="O749">
        <f>_xll.ICEHistory(M$4,O$5,"DF[dow:12345][tl:Calendar]",$L749)</f>
        <v>59.81</v>
      </c>
      <c r="P749">
        <f>_xll.ICEHistory(M$4,P$5,"DF[dow:12345][tl:Calendar]",$L749)</f>
        <v>60.56</v>
      </c>
      <c r="Q749">
        <f>_xll.ICEHistory(M$4,Q$5,"DF[dow:12345][tl:Calendar]",$L749)</f>
        <v>30572</v>
      </c>
      <c r="R749">
        <f>_xll.ICEHistory(M$4,R$5,"DF[dow:12345][tl:Calendar]",$L749)</f>
        <v>434764</v>
      </c>
      <c r="S749">
        <f>_xll.ICEHistory(S$4,S$5,"DF[dow:12345][tl:Calendar]",$L749)</f>
        <v>70.099999999999994</v>
      </c>
      <c r="T749">
        <f>_xll.ICEHistory(S$4,T$5,"DF[dow:12345][tl:Calendar]",$L749)</f>
        <v>72.655000000000001</v>
      </c>
      <c r="U749">
        <f>_xll.ICEHistory(S$4,U$5,"DF[dow:12345][tl:Calendar]",$L749)</f>
        <v>69.924999999999997</v>
      </c>
      <c r="V749">
        <f>_xll.ICEHistory(S$4,V$5,"DF[dow:12345][tl:Calendar]",$L749)</f>
        <v>71.691999999999993</v>
      </c>
      <c r="W749">
        <f>_xll.ICEHistory(S$4,W$5,"DF[dow:12345][tl:Calendar]",$L749)</f>
        <v>709</v>
      </c>
      <c r="X749">
        <f t="shared" si="33"/>
        <v>1.550387596899221E-2</v>
      </c>
      <c r="Y749">
        <f t="shared" si="34"/>
        <v>-1.1090311727728632</v>
      </c>
      <c r="Z749">
        <f t="shared" si="35"/>
        <v>0.23318518355785561</v>
      </c>
    </row>
    <row r="750" spans="12:26" x14ac:dyDescent="0.25">
      <c r="L750" s="4">
        <f>_xll.ICETimeline(_xll.ICEJoinRange(M4:W4),"DF[dow:12345][tl:Calendar]","2020-07-26;2024-07-26",301,-1)</f>
        <v>44460.5</v>
      </c>
      <c r="M750">
        <f>_xll.ICEHistory(M$4,M$5,"DF[dow:12345][tl:Calendar]",$L750)</f>
        <v>60.63</v>
      </c>
      <c r="N750">
        <f>_xll.ICEHistory(M$4,N$5,"DF[dow:12345][tl:Calendar]",$L750)</f>
        <v>61.4</v>
      </c>
      <c r="O750">
        <f>_xll.ICEHistory(M$4,O$5,"DF[dow:12345][tl:Calendar]",$L750)</f>
        <v>59.85</v>
      </c>
      <c r="P750">
        <f>_xll.ICEHistory(M$4,P$5,"DF[dow:12345][tl:Calendar]",$L750)</f>
        <v>60.18</v>
      </c>
      <c r="Q750">
        <f>_xll.ICEHistory(M$4,Q$5,"DF[dow:12345][tl:Calendar]",$L750)</f>
        <v>26728</v>
      </c>
      <c r="R750">
        <f>_xll.ICEHistory(M$4,R$5,"DF[dow:12345][tl:Calendar]",$L750)</f>
        <v>441356</v>
      </c>
      <c r="S750">
        <f>_xll.ICEHistory(S$4,S$5,"DF[dow:12345][tl:Calendar]",$L750)</f>
        <v>72.525000000000006</v>
      </c>
      <c r="T750">
        <f>_xll.ICEHistory(S$4,T$5,"DF[dow:12345][tl:Calendar]",$L750)</f>
        <v>75.105000000000004</v>
      </c>
      <c r="U750">
        <f>_xll.ICEHistory(S$4,U$5,"DF[dow:12345][tl:Calendar]",$L750)</f>
        <v>71.25</v>
      </c>
      <c r="V750">
        <f>_xll.ICEHistory(S$4,V$5,"DF[dow:12345][tl:Calendar]",$L750)</f>
        <v>73.781999999999996</v>
      </c>
      <c r="W750">
        <f>_xll.ICEHistory(S$4,W$5,"DF[dow:12345][tl:Calendar]",$L750)</f>
        <v>358</v>
      </c>
      <c r="X750">
        <f t="shared" si="33"/>
        <v>2.6226734348561712E-2</v>
      </c>
      <c r="Y750">
        <f t="shared" si="34"/>
        <v>-0.46392754914741896</v>
      </c>
      <c r="Z750">
        <f t="shared" si="35"/>
        <v>-0.20408943528864718</v>
      </c>
    </row>
    <row r="751" spans="12:26" x14ac:dyDescent="0.25">
      <c r="L751" s="4">
        <f>_xll.ICETimeline(_xll.ICEJoinRange(M4:W4),"DF[dow:12345][tl:Calendar]","2020-07-26;2024-07-26",300,-1)</f>
        <v>44459.5</v>
      </c>
      <c r="M751">
        <f>_xll.ICEHistory(M$4,M$5,"DF[dow:12345][tl:Calendar]",$L751)</f>
        <v>59.1</v>
      </c>
      <c r="N751">
        <f>_xll.ICEHistory(M$4,N$5,"DF[dow:12345][tl:Calendar]",$L751)</f>
        <v>61.05</v>
      </c>
      <c r="O751">
        <f>_xll.ICEHistory(M$4,O$5,"DF[dow:12345][tl:Calendar]",$L751)</f>
        <v>58.5</v>
      </c>
      <c r="P751">
        <f>_xll.ICEHistory(M$4,P$5,"DF[dow:12345][tl:Calendar]",$L751)</f>
        <v>60.45</v>
      </c>
      <c r="Q751">
        <f>_xll.ICEHistory(M$4,Q$5,"DF[dow:12345][tl:Calendar]",$L751)</f>
        <v>38467</v>
      </c>
      <c r="R751">
        <f>_xll.ICEHistory(M$4,R$5,"DF[dow:12345][tl:Calendar]",$L751)</f>
        <v>442399</v>
      </c>
      <c r="S751">
        <f>_xll.ICEHistory(S$4,S$5,"DF[dow:12345][tl:Calendar]",$L751)</f>
        <v>65.724999999999994</v>
      </c>
      <c r="T751">
        <f>_xll.ICEHistory(S$4,T$5,"DF[dow:12345][tl:Calendar]",$L751)</f>
        <v>75.38</v>
      </c>
      <c r="U751">
        <f>_xll.ICEHistory(S$4,U$5,"DF[dow:12345][tl:Calendar]",$L751)</f>
        <v>65.724999999999994</v>
      </c>
      <c r="V751">
        <f>_xll.ICEHistory(S$4,V$5,"DF[dow:12345][tl:Calendar]",$L751)</f>
        <v>75.316999999999993</v>
      </c>
      <c r="W751">
        <f>_xll.ICEHistory(S$4,W$5,"DF[dow:12345][tl:Calendar]",$L751)</f>
        <v>346</v>
      </c>
      <c r="X751">
        <f t="shared" si="33"/>
        <v>4.2965459140690769E-2</v>
      </c>
      <c r="Y751">
        <f t="shared" si="34"/>
        <v>0.5733062757224584</v>
      </c>
      <c r="Z751">
        <f t="shared" si="35"/>
        <v>1.1538460360536362</v>
      </c>
    </row>
    <row r="752" spans="12:26" x14ac:dyDescent="0.25">
      <c r="L752" s="4">
        <f>_xll.ICETimeline(_xll.ICEJoinRange(M4:W4),"DF[dow:12345][tl:Calendar]","2020-07-26;2024-07-26",299,-1)</f>
        <v>44456.5</v>
      </c>
      <c r="M752">
        <f>_xll.ICEHistory(M$4,M$5,"DF[dow:12345][tl:Calendar]",$L752)</f>
        <v>59.35</v>
      </c>
      <c r="N752">
        <f>_xll.ICEHistory(M$4,N$5,"DF[dow:12345][tl:Calendar]",$L752)</f>
        <v>60.2</v>
      </c>
      <c r="O752">
        <f>_xll.ICEHistory(M$4,O$5,"DF[dow:12345][tl:Calendar]",$L752)</f>
        <v>59.02</v>
      </c>
      <c r="P752">
        <f>_xll.ICEHistory(M$4,P$5,"DF[dow:12345][tl:Calendar]",$L752)</f>
        <v>59.5</v>
      </c>
      <c r="Q752">
        <f>_xll.ICEHistory(M$4,Q$5,"DF[dow:12345][tl:Calendar]",$L752)</f>
        <v>31009</v>
      </c>
      <c r="R752">
        <f>_xll.ICEHistory(M$4,R$5,"DF[dow:12345][tl:Calendar]",$L752)</f>
        <v>440731</v>
      </c>
      <c r="S752">
        <f>_xll.ICEHistory(S$4,S$5,"DF[dow:12345][tl:Calendar]",$L752)</f>
        <v>66.75</v>
      </c>
      <c r="T752">
        <f>_xll.ICEHistory(S$4,T$5,"DF[dow:12345][tl:Calendar]",$L752)</f>
        <v>66.775000000000006</v>
      </c>
      <c r="U752">
        <f>_xll.ICEHistory(S$4,U$5,"DF[dow:12345][tl:Calendar]",$L752)</f>
        <v>62.85</v>
      </c>
      <c r="V752">
        <f>_xll.ICEHistory(S$4,V$5,"DF[dow:12345][tl:Calendar]",$L752)</f>
        <v>65.102999999999994</v>
      </c>
      <c r="W752">
        <f>_xll.ICEHistory(S$4,W$5,"DF[dow:12345][tl:Calendar]",$L752)</f>
        <v>377</v>
      </c>
      <c r="X752">
        <f t="shared" si="33"/>
        <v>1.9902175746331584E-2</v>
      </c>
      <c r="Y752">
        <f t="shared" si="34"/>
        <v>-0.83823646030061261</v>
      </c>
      <c r="Z752">
        <f t="shared" si="35"/>
        <v>0.32740320733833994</v>
      </c>
    </row>
    <row r="753" spans="12:26" x14ac:dyDescent="0.25">
      <c r="L753" s="4">
        <f>_xll.ICETimeline(_xll.ICEJoinRange(M4:W4),"DF[dow:12345][tl:Calendar]","2020-07-26;2024-07-26",298,-1)</f>
        <v>44455.5</v>
      </c>
      <c r="M753">
        <f>_xll.ICEHistory(M$4,M$5,"DF[dow:12345][tl:Calendar]",$L753)</f>
        <v>59.29</v>
      </c>
      <c r="N753">
        <f>_xll.ICEHistory(M$4,N$5,"DF[dow:12345][tl:Calendar]",$L753)</f>
        <v>60.84</v>
      </c>
      <c r="O753">
        <f>_xll.ICEHistory(M$4,O$5,"DF[dow:12345][tl:Calendar]",$L753)</f>
        <v>58.31</v>
      </c>
      <c r="P753">
        <f>_xll.ICEHistory(M$4,P$5,"DF[dow:12345][tl:Calendar]",$L753)</f>
        <v>59.14</v>
      </c>
      <c r="Q753">
        <f>_xll.ICEHistory(M$4,Q$5,"DF[dow:12345][tl:Calendar]",$L753)</f>
        <v>43268</v>
      </c>
      <c r="R753">
        <f>_xll.ICEHistory(M$4,R$5,"DF[dow:12345][tl:Calendar]",$L753)</f>
        <v>439635</v>
      </c>
      <c r="S753">
        <f>_xll.ICEHistory(S$4,S$5,"DF[dow:12345][tl:Calendar]",$L753)</f>
        <v>68.534999999999997</v>
      </c>
      <c r="T753">
        <f>_xll.ICEHistory(S$4,T$5,"DF[dow:12345][tl:Calendar]",$L753)</f>
        <v>68.534999999999997</v>
      </c>
      <c r="U753">
        <f>_xll.ICEHistory(S$4,U$5,"DF[dow:12345][tl:Calendar]",$L753)</f>
        <v>60.76</v>
      </c>
      <c r="V753">
        <f>_xll.ICEHistory(S$4,V$5,"DF[dow:12345][tl:Calendar]",$L753)</f>
        <v>63.250999999999998</v>
      </c>
      <c r="W753">
        <f>_xll.ICEHistory(S$4,W$5,"DF[dow:12345][tl:Calendar]",$L753)</f>
        <v>338</v>
      </c>
      <c r="X753">
        <f t="shared" si="33"/>
        <v>4.242119382964455E-2</v>
      </c>
      <c r="Y753">
        <f t="shared" si="34"/>
        <v>0.55681467314925348</v>
      </c>
      <c r="Z753">
        <f t="shared" si="35"/>
        <v>1.7560636208821387</v>
      </c>
    </row>
    <row r="754" spans="12:26" x14ac:dyDescent="0.25">
      <c r="L754" s="4">
        <f>_xll.ICETimeline(_xll.ICEJoinRange(M4:W4),"DF[dow:12345][tl:Calendar]","2020-07-26;2024-07-26",297,-1)</f>
        <v>44454.5</v>
      </c>
      <c r="M754">
        <f>_xll.ICEHistory(M$4,M$5,"DF[dow:12345][tl:Calendar]",$L754)</f>
        <v>59.64</v>
      </c>
      <c r="N754">
        <f>_xll.ICEHistory(M$4,N$5,"DF[dow:12345][tl:Calendar]",$L754)</f>
        <v>61.44</v>
      </c>
      <c r="O754">
        <f>_xll.ICEHistory(M$4,O$5,"DF[dow:12345][tl:Calendar]",$L754)</f>
        <v>58.74</v>
      </c>
      <c r="P754">
        <f>_xll.ICEHistory(M$4,P$5,"DF[dow:12345][tl:Calendar]",$L754)</f>
        <v>59.43</v>
      </c>
      <c r="Q754">
        <f>_xll.ICEHistory(M$4,Q$5,"DF[dow:12345][tl:Calendar]",$L754)</f>
        <v>44794</v>
      </c>
      <c r="R754">
        <f>_xll.ICEHistory(M$4,R$5,"DF[dow:12345][tl:Calendar]",$L754)</f>
        <v>440679</v>
      </c>
      <c r="S754">
        <f>_xll.ICEHistory(S$4,S$5,"DF[dow:12345][tl:Calendar]",$L754)</f>
        <v>71.924999999999997</v>
      </c>
      <c r="T754">
        <f>_xll.ICEHistory(S$4,T$5,"DF[dow:12345][tl:Calendar]",$L754)</f>
        <v>77.275000000000006</v>
      </c>
      <c r="U754">
        <f>_xll.ICEHistory(S$4,U$5,"DF[dow:12345][tl:Calendar]",$L754)</f>
        <v>69.724999999999994</v>
      </c>
      <c r="V754">
        <f>_xll.ICEHistory(S$4,V$5,"DF[dow:12345][tl:Calendar]",$L754)</f>
        <v>70.706999999999994</v>
      </c>
      <c r="W754">
        <f>_xll.ICEHistory(S$4,W$5,"DF[dow:12345][tl:Calendar]",$L754)</f>
        <v>620</v>
      </c>
      <c r="X754">
        <f t="shared" si="33"/>
        <v>4.3902439024390172E-2</v>
      </c>
      <c r="Y754">
        <f t="shared" si="34"/>
        <v>0.66761605296696169</v>
      </c>
      <c r="Z754">
        <f t="shared" si="35"/>
        <v>1.9843403744221511</v>
      </c>
    </row>
    <row r="755" spans="12:26" x14ac:dyDescent="0.25">
      <c r="L755" s="4">
        <f>_xll.ICETimeline(_xll.ICEJoinRange(M4:W4),"DF[dow:12345][tl:Calendar]","2020-07-26;2024-07-26",296,-1)</f>
        <v>44453.5</v>
      </c>
      <c r="M755">
        <f>_xll.ICEHistory(M$4,M$5,"DF[dow:12345][tl:Calendar]",$L755)</f>
        <v>61.5</v>
      </c>
      <c r="N755">
        <f>_xll.ICEHistory(M$4,N$5,"DF[dow:12345][tl:Calendar]",$L755)</f>
        <v>61.98</v>
      </c>
      <c r="O755">
        <f>_xll.ICEHistory(M$4,O$5,"DF[dow:12345][tl:Calendar]",$L755)</f>
        <v>59.28</v>
      </c>
      <c r="P755">
        <f>_xll.ICEHistory(M$4,P$5,"DF[dow:12345][tl:Calendar]",$L755)</f>
        <v>59.85</v>
      </c>
      <c r="Q755">
        <f>_xll.ICEHistory(M$4,Q$5,"DF[dow:12345][tl:Calendar]",$L755)</f>
        <v>45855</v>
      </c>
      <c r="R755">
        <f>_xll.ICEHistory(M$4,R$5,"DF[dow:12345][tl:Calendar]",$L755)</f>
        <v>442571</v>
      </c>
      <c r="S755">
        <f>_xll.ICEHistory(S$4,S$5,"DF[dow:12345][tl:Calendar]",$L755)</f>
        <v>64.55</v>
      </c>
      <c r="T755">
        <f>_xll.ICEHistory(S$4,T$5,"DF[dow:12345][tl:Calendar]",$L755)</f>
        <v>66.394999999999996</v>
      </c>
      <c r="U755">
        <f>_xll.ICEHistory(S$4,U$5,"DF[dow:12345][tl:Calendar]",$L755)</f>
        <v>64.55</v>
      </c>
      <c r="V755">
        <f>_xll.ICEHistory(S$4,V$5,"DF[dow:12345][tl:Calendar]",$L755)</f>
        <v>65.763999999999996</v>
      </c>
      <c r="W755">
        <f>_xll.ICEHistory(S$4,W$5,"DF[dow:12345][tl:Calendar]",$L755)</f>
        <v>1133</v>
      </c>
      <c r="X755">
        <f t="shared" si="33"/>
        <v>4.4262295081967142E-2</v>
      </c>
      <c r="Y755">
        <f t="shared" si="34"/>
        <v>0.70379292146580241</v>
      </c>
      <c r="Z755">
        <f t="shared" si="35"/>
        <v>2.1697231712046872</v>
      </c>
    </row>
    <row r="756" spans="12:26" x14ac:dyDescent="0.25">
      <c r="L756" s="4">
        <f>_xll.ICETimeline(_xll.ICEJoinRange(M4:W4),"DF[dow:12345][tl:Calendar]","2020-07-26;2024-07-26",295,-1)</f>
        <v>44452.5</v>
      </c>
      <c r="M756">
        <f>_xll.ICEHistory(M$4,M$5,"DF[dow:12345][tl:Calendar]",$L756)</f>
        <v>61</v>
      </c>
      <c r="N756">
        <f>_xll.ICEHistory(M$4,N$5,"DF[dow:12345][tl:Calendar]",$L756)</f>
        <v>62.69</v>
      </c>
      <c r="O756">
        <f>_xll.ICEHistory(M$4,O$5,"DF[dow:12345][tl:Calendar]",$L756)</f>
        <v>60.86</v>
      </c>
      <c r="P756">
        <f>_xll.ICEHistory(M$4,P$5,"DF[dow:12345][tl:Calendar]",$L756)</f>
        <v>61.5</v>
      </c>
      <c r="Q756">
        <f>_xll.ICEHistory(M$4,Q$5,"DF[dow:12345][tl:Calendar]",$L756)</f>
        <v>31767</v>
      </c>
      <c r="R756">
        <f>_xll.ICEHistory(M$4,R$5,"DF[dow:12345][tl:Calendar]",$L756)</f>
        <v>443346</v>
      </c>
      <c r="S756">
        <f>_xll.ICEHistory(S$4,S$5,"DF[dow:12345][tl:Calendar]",$L756)</f>
        <v>59.35</v>
      </c>
      <c r="T756">
        <f>_xll.ICEHistory(S$4,T$5,"DF[dow:12345][tl:Calendar]",$L756)</f>
        <v>62.25</v>
      </c>
      <c r="U756">
        <f>_xll.ICEHistory(S$4,U$5,"DF[dow:12345][tl:Calendar]",$L756)</f>
        <v>59.35</v>
      </c>
      <c r="V756">
        <f>_xll.ICEHistory(S$4,V$5,"DF[dow:12345][tl:Calendar]",$L756)</f>
        <v>61.279000000000003</v>
      </c>
      <c r="W756">
        <f>_xll.ICEHistory(S$4,W$5,"DF[dow:12345][tl:Calendar]",$L756)</f>
        <v>1017</v>
      </c>
      <c r="X756">
        <f t="shared" si="33"/>
        <v>2.8987802946301256E-2</v>
      </c>
      <c r="Y756">
        <f t="shared" si="34"/>
        <v>-0.22821696235322761</v>
      </c>
      <c r="Z756">
        <f t="shared" si="35"/>
        <v>0.52568983538888692</v>
      </c>
    </row>
    <row r="757" spans="12:26" x14ac:dyDescent="0.25">
      <c r="L757" s="4">
        <f>_xll.ICETimeline(_xll.ICEJoinRange(M4:W4),"DF[dow:12345][tl:Calendar]","2020-07-26;2024-07-26",294,-1)</f>
        <v>44449.5</v>
      </c>
      <c r="M757">
        <f>_xll.ICEHistory(M$4,M$5,"DF[dow:12345][tl:Calendar]",$L757)</f>
        <v>63.13</v>
      </c>
      <c r="N757">
        <f>_xll.ICEHistory(M$4,N$5,"DF[dow:12345][tl:Calendar]",$L757)</f>
        <v>63.15</v>
      </c>
      <c r="O757">
        <f>_xll.ICEHistory(M$4,O$5,"DF[dow:12345][tl:Calendar]",$L757)</f>
        <v>60.6</v>
      </c>
      <c r="P757">
        <f>_xll.ICEHistory(M$4,P$5,"DF[dow:12345][tl:Calendar]",$L757)</f>
        <v>61.29</v>
      </c>
      <c r="Q757">
        <f>_xll.ICEHistory(M$4,Q$5,"DF[dow:12345][tl:Calendar]",$L757)</f>
        <v>31351</v>
      </c>
      <c r="R757">
        <f>_xll.ICEHistory(M$4,R$5,"DF[dow:12345][tl:Calendar]",$L757)</f>
        <v>442880</v>
      </c>
      <c r="S757">
        <f>_xll.ICEHistory(S$4,S$5,"DF[dow:12345][tl:Calendar]",$L757)</f>
        <v>56</v>
      </c>
      <c r="T757">
        <f>_xll.ICEHistory(S$4,T$5,"DF[dow:12345][tl:Calendar]",$L757)</f>
        <v>57.994999999999997</v>
      </c>
      <c r="U757">
        <f>_xll.ICEHistory(S$4,U$5,"DF[dow:12345][tl:Calendar]",$L757)</f>
        <v>55.774999999999999</v>
      </c>
      <c r="V757">
        <f>_xll.ICEHistory(S$4,V$5,"DF[dow:12345][tl:Calendar]",$L757)</f>
        <v>57.915999999999997</v>
      </c>
      <c r="W757">
        <f>_xll.ICEHistory(S$4,W$5,"DF[dow:12345][tl:Calendar]",$L757)</f>
        <v>1180</v>
      </c>
      <c r="X757">
        <f t="shared" si="33"/>
        <v>4.0637450199203139E-2</v>
      </c>
      <c r="Y757">
        <f t="shared" si="34"/>
        <v>0.49337343128663536</v>
      </c>
      <c r="Z757">
        <f t="shared" si="35"/>
        <v>0.4894497853969792</v>
      </c>
    </row>
    <row r="758" spans="12:26" x14ac:dyDescent="0.25">
      <c r="L758" s="4">
        <f>_xll.ICETimeline(_xll.ICEJoinRange(M4:W4),"DF[dow:12345][tl:Calendar]","2020-07-26;2024-07-26",293,-1)</f>
        <v>44448.5</v>
      </c>
      <c r="M758">
        <f>_xll.ICEHistory(M$4,M$5,"DF[dow:12345][tl:Calendar]",$L758)</f>
        <v>62.75</v>
      </c>
      <c r="N758">
        <f>_xll.ICEHistory(M$4,N$5,"DF[dow:12345][tl:Calendar]",$L758)</f>
        <v>63.12</v>
      </c>
      <c r="O758">
        <f>_xll.ICEHistory(M$4,O$5,"DF[dow:12345][tl:Calendar]",$L758)</f>
        <v>61.88</v>
      </c>
      <c r="P758">
        <f>_xll.ICEHistory(M$4,P$5,"DF[dow:12345][tl:Calendar]",$L758)</f>
        <v>62.77</v>
      </c>
      <c r="Q758">
        <f>_xll.ICEHistory(M$4,Q$5,"DF[dow:12345][tl:Calendar]",$L758)</f>
        <v>29443</v>
      </c>
      <c r="R758">
        <f>_xll.ICEHistory(M$4,R$5,"DF[dow:12345][tl:Calendar]",$L758)</f>
        <v>441337</v>
      </c>
      <c r="S758">
        <f>_xll.ICEHistory(S$4,S$5,"DF[dow:12345][tl:Calendar]",$L758)</f>
        <v>55.6</v>
      </c>
      <c r="T758">
        <f>_xll.ICEHistory(S$4,T$5,"DF[dow:12345][tl:Calendar]",$L758)</f>
        <v>57.23</v>
      </c>
      <c r="U758">
        <f>_xll.ICEHistory(S$4,U$5,"DF[dow:12345][tl:Calendar]",$L758)</f>
        <v>54.73</v>
      </c>
      <c r="V758">
        <f>_xll.ICEHistory(S$4,V$5,"DF[dow:12345][tl:Calendar]",$L758)</f>
        <v>56.581000000000003</v>
      </c>
      <c r="W758">
        <f>_xll.ICEHistory(S$4,W$5,"DF[dow:12345][tl:Calendar]",$L758)</f>
        <v>1055</v>
      </c>
      <c r="X758">
        <f t="shared" si="33"/>
        <v>1.9903691813804091E-2</v>
      </c>
      <c r="Y758">
        <f t="shared" si="34"/>
        <v>-0.78238638697972962</v>
      </c>
      <c r="Z758">
        <f t="shared" si="35"/>
        <v>0.2591833078898636</v>
      </c>
    </row>
    <row r="759" spans="12:26" x14ac:dyDescent="0.25">
      <c r="L759" s="4">
        <f>_xll.ICETimeline(_xll.ICEJoinRange(M4:W4),"DF[dow:12345][tl:Calendar]","2020-07-26;2024-07-26",292,-1)</f>
        <v>44447.5</v>
      </c>
      <c r="M759">
        <f>_xll.ICEHistory(M$4,M$5,"DF[dow:12345][tl:Calendar]",$L759)</f>
        <v>62.3</v>
      </c>
      <c r="N759">
        <f>_xll.ICEHistory(M$4,N$5,"DF[dow:12345][tl:Calendar]",$L759)</f>
        <v>63.35</v>
      </c>
      <c r="O759">
        <f>_xll.ICEHistory(M$4,O$5,"DF[dow:12345][tl:Calendar]",$L759)</f>
        <v>61.94</v>
      </c>
      <c r="P759">
        <f>_xll.ICEHistory(M$4,P$5,"DF[dow:12345][tl:Calendar]",$L759)</f>
        <v>62.85</v>
      </c>
      <c r="Q759">
        <f>_xll.ICEHistory(M$4,Q$5,"DF[dow:12345][tl:Calendar]",$L759)</f>
        <v>30436</v>
      </c>
      <c r="R759">
        <f>_xll.ICEHistory(M$4,R$5,"DF[dow:12345][tl:Calendar]",$L759)</f>
        <v>442250</v>
      </c>
      <c r="S759">
        <f>_xll.ICEHistory(S$4,S$5,"DF[dow:12345][tl:Calendar]",$L759)</f>
        <v>54.174999999999997</v>
      </c>
      <c r="T759">
        <f>_xll.ICEHistory(S$4,T$5,"DF[dow:12345][tl:Calendar]",$L759)</f>
        <v>55.575000000000003</v>
      </c>
      <c r="U759">
        <f>_xll.ICEHistory(S$4,U$5,"DF[dow:12345][tl:Calendar]",$L759)</f>
        <v>53.56</v>
      </c>
      <c r="V759">
        <f>_xll.ICEHistory(S$4,V$5,"DF[dow:12345][tl:Calendar]",$L759)</f>
        <v>55.287999999999997</v>
      </c>
      <c r="W759">
        <f>_xll.ICEHistory(S$4,W$5,"DF[dow:12345][tl:Calendar]",$L759)</f>
        <v>1427</v>
      </c>
      <c r="X759">
        <f t="shared" si="33"/>
        <v>2.2541966426858573E-2</v>
      </c>
      <c r="Y759">
        <f t="shared" si="34"/>
        <v>-0.62563721018345297</v>
      </c>
      <c r="Z759">
        <f t="shared" si="35"/>
        <v>0.36787836830890824</v>
      </c>
    </row>
    <row r="760" spans="12:26" x14ac:dyDescent="0.25">
      <c r="L760" s="4">
        <f>_xll.ICETimeline(_xll.ICEJoinRange(M4:W4),"DF[dow:12345][tl:Calendar]","2020-07-26;2024-07-26",291,-1)</f>
        <v>44446.5</v>
      </c>
      <c r="M760">
        <f>_xll.ICEHistory(M$4,M$5,"DF[dow:12345][tl:Calendar]",$L760)</f>
        <v>62.55</v>
      </c>
      <c r="N760">
        <f>_xll.ICEHistory(M$4,N$5,"DF[dow:12345][tl:Calendar]",$L760)</f>
        <v>62.88</v>
      </c>
      <c r="O760">
        <f>_xll.ICEHistory(M$4,O$5,"DF[dow:12345][tl:Calendar]",$L760)</f>
        <v>61.61</v>
      </c>
      <c r="P760">
        <f>_xll.ICEHistory(M$4,P$5,"DF[dow:12345][tl:Calendar]",$L760)</f>
        <v>62.17</v>
      </c>
      <c r="Q760">
        <f>_xll.ICEHistory(M$4,Q$5,"DF[dow:12345][tl:Calendar]",$L760)</f>
        <v>25419</v>
      </c>
      <c r="R760">
        <f>_xll.ICEHistory(M$4,R$5,"DF[dow:12345][tl:Calendar]",$L760)</f>
        <v>443737</v>
      </c>
      <c r="S760">
        <f>_xll.ICEHistory(S$4,S$5,"DF[dow:12345][tl:Calendar]",$L760)</f>
        <v>53.075000000000003</v>
      </c>
      <c r="T760">
        <f>_xll.ICEHistory(S$4,T$5,"DF[dow:12345][tl:Calendar]",$L760)</f>
        <v>54.185000000000002</v>
      </c>
      <c r="U760">
        <f>_xll.ICEHistory(S$4,U$5,"DF[dow:12345][tl:Calendar]",$L760)</f>
        <v>51.284999999999997</v>
      </c>
      <c r="V760">
        <f>_xll.ICEHistory(S$4,V$5,"DF[dow:12345][tl:Calendar]",$L760)</f>
        <v>53.908000000000001</v>
      </c>
      <c r="W760">
        <f>_xll.ICEHistory(S$4,W$5,"DF[dow:12345][tl:Calendar]",$L760)</f>
        <v>2163</v>
      </c>
      <c r="X760">
        <f t="shared" si="33"/>
        <v>2.0684039087947935E-2</v>
      </c>
      <c r="Y760">
        <f t="shared" si="34"/>
        <v>-0.75614403639394689</v>
      </c>
      <c r="Z760">
        <f t="shared" si="35"/>
        <v>-0.25430429519800368</v>
      </c>
    </row>
    <row r="761" spans="12:26" x14ac:dyDescent="0.25">
      <c r="L761" s="4">
        <f>_xll.ICETimeline(_xll.ICEJoinRange(M4:W4),"DF[dow:12345][tl:Calendar]","2020-07-26;2024-07-26",290,-1)</f>
        <v>44445.5</v>
      </c>
      <c r="M761">
        <f>_xll.ICEHistory(M$4,M$5,"DF[dow:12345][tl:Calendar]",$L761)</f>
        <v>61.4</v>
      </c>
      <c r="N761">
        <f>_xll.ICEHistory(M$4,N$5,"DF[dow:12345][tl:Calendar]",$L761)</f>
        <v>63.19</v>
      </c>
      <c r="O761">
        <f>_xll.ICEHistory(M$4,O$5,"DF[dow:12345][tl:Calendar]",$L761)</f>
        <v>61.4</v>
      </c>
      <c r="P761">
        <f>_xll.ICEHistory(M$4,P$5,"DF[dow:12345][tl:Calendar]",$L761)</f>
        <v>62.35</v>
      </c>
      <c r="Q761">
        <f>_xll.ICEHistory(M$4,Q$5,"DF[dow:12345][tl:Calendar]",$L761)</f>
        <v>26368</v>
      </c>
      <c r="R761">
        <f>_xll.ICEHistory(M$4,R$5,"DF[dow:12345][tl:Calendar]",$L761)</f>
        <v>442550</v>
      </c>
      <c r="S761">
        <f>_xll.ICEHistory(S$4,S$5,"DF[dow:12345][tl:Calendar]",$L761)</f>
        <v>51.8</v>
      </c>
      <c r="T761">
        <f>_xll.ICEHistory(S$4,T$5,"DF[dow:12345][tl:Calendar]",$L761)</f>
        <v>52.55</v>
      </c>
      <c r="U761">
        <f>_xll.ICEHistory(S$4,U$5,"DF[dow:12345][tl:Calendar]",$L761)</f>
        <v>51.29</v>
      </c>
      <c r="V761">
        <f>_xll.ICEHistory(S$4,V$5,"DF[dow:12345][tl:Calendar]",$L761)</f>
        <v>51.505000000000003</v>
      </c>
      <c r="W761">
        <f>_xll.ICEHistory(S$4,W$5,"DF[dow:12345][tl:Calendar]",$L761)</f>
        <v>0</v>
      </c>
      <c r="X761">
        <f t="shared" si="33"/>
        <v>2.9191128506196984E-2</v>
      </c>
      <c r="Y761">
        <f t="shared" si="34"/>
        <v>-0.22563209901580644</v>
      </c>
      <c r="Z761">
        <f t="shared" si="35"/>
        <v>-0.1119137037551568</v>
      </c>
    </row>
    <row r="762" spans="12:26" x14ac:dyDescent="0.25">
      <c r="L762" s="4">
        <f>_xll.ICETimeline(_xll.ICEJoinRange(M4:W4),"DF[dow:12345][tl:Calendar]","2020-07-26;2024-07-26",289,-1)</f>
        <v>44442.5</v>
      </c>
      <c r="M762">
        <f>_xll.ICEHistory(M$4,M$5,"DF[dow:12345][tl:Calendar]",$L762)</f>
        <v>61.32</v>
      </c>
      <c r="N762">
        <f>_xll.ICEHistory(M$4,N$5,"DF[dow:12345][tl:Calendar]",$L762)</f>
        <v>62.45</v>
      </c>
      <c r="O762">
        <f>_xll.ICEHistory(M$4,O$5,"DF[dow:12345][tl:Calendar]",$L762)</f>
        <v>61.12</v>
      </c>
      <c r="P762">
        <f>_xll.ICEHistory(M$4,P$5,"DF[dow:12345][tl:Calendar]",$L762)</f>
        <v>61.67</v>
      </c>
      <c r="Q762">
        <f>_xll.ICEHistory(M$4,Q$5,"DF[dow:12345][tl:Calendar]",$L762)</f>
        <v>22857</v>
      </c>
      <c r="R762">
        <f>_xll.ICEHistory(M$4,R$5,"DF[dow:12345][tl:Calendar]",$L762)</f>
        <v>441707</v>
      </c>
      <c r="S762">
        <f>_xll.ICEHistory(S$4,S$5,"DF[dow:12345][tl:Calendar]",$L762)</f>
        <v>51.8</v>
      </c>
      <c r="T762">
        <f>_xll.ICEHistory(S$4,T$5,"DF[dow:12345][tl:Calendar]",$L762)</f>
        <v>52.55</v>
      </c>
      <c r="U762">
        <f>_xll.ICEHistory(S$4,U$5,"DF[dow:12345][tl:Calendar]",$L762)</f>
        <v>51.29</v>
      </c>
      <c r="V762">
        <f>_xll.ICEHistory(S$4,V$5,"DF[dow:12345][tl:Calendar]",$L762)</f>
        <v>51.505000000000003</v>
      </c>
      <c r="W762">
        <f>_xll.ICEHistory(S$4,W$5,"DF[dow:12345][tl:Calendar]",$L762)</f>
        <v>1289</v>
      </c>
      <c r="X762">
        <f t="shared" si="33"/>
        <v>2.20381110190556E-2</v>
      </c>
      <c r="Y762">
        <f t="shared" si="34"/>
        <v>-0.68830292777675084</v>
      </c>
      <c r="Z762">
        <f t="shared" si="35"/>
        <v>-0.55063553429261047</v>
      </c>
    </row>
    <row r="763" spans="12:26" x14ac:dyDescent="0.25">
      <c r="L763" s="4">
        <f>_xll.ICETimeline(_xll.ICEJoinRange(M4:W4),"DF[dow:12345][tl:Calendar]","2020-07-26;2024-07-26",288,-1)</f>
        <v>44441.5</v>
      </c>
      <c r="M763">
        <f>_xll.ICEHistory(M$4,M$5,"DF[dow:12345][tl:Calendar]",$L763)</f>
        <v>60.35</v>
      </c>
      <c r="N763">
        <f>_xll.ICEHistory(M$4,N$5,"DF[dow:12345][tl:Calendar]",$L763)</f>
        <v>61.75</v>
      </c>
      <c r="O763">
        <f>_xll.ICEHistory(M$4,O$5,"DF[dow:12345][tl:Calendar]",$L763)</f>
        <v>59.55</v>
      </c>
      <c r="P763">
        <f>_xll.ICEHistory(M$4,P$5,"DF[dow:12345][tl:Calendar]",$L763)</f>
        <v>61.4</v>
      </c>
      <c r="Q763">
        <f>_xll.ICEHistory(M$4,Q$5,"DF[dow:12345][tl:Calendar]",$L763)</f>
        <v>21200</v>
      </c>
      <c r="R763">
        <f>_xll.ICEHistory(M$4,R$5,"DF[dow:12345][tl:Calendar]",$L763)</f>
        <v>441297</v>
      </c>
      <c r="S763">
        <f>_xll.ICEHistory(S$4,S$5,"DF[dow:12345][tl:Calendar]",$L763)</f>
        <v>50.984999999999999</v>
      </c>
      <c r="T763">
        <f>_xll.ICEHistory(S$4,T$5,"DF[dow:12345][tl:Calendar]",$L763)</f>
        <v>52.594999999999999</v>
      </c>
      <c r="U763">
        <f>_xll.ICEHistory(S$4,U$5,"DF[dow:12345][tl:Calendar]",$L763)</f>
        <v>49.715000000000003</v>
      </c>
      <c r="V763">
        <f>_xll.ICEHistory(S$4,V$5,"DF[dow:12345][tl:Calendar]",$L763)</f>
        <v>51.915999999999997</v>
      </c>
      <c r="W763">
        <f>_xll.ICEHistory(S$4,W$5,"DF[dow:12345][tl:Calendar]",$L763)</f>
        <v>1321</v>
      </c>
      <c r="X763">
        <f t="shared" si="33"/>
        <v>3.6303630363036347E-2</v>
      </c>
      <c r="Y763">
        <f t="shared" si="34"/>
        <v>0.17397381010838348</v>
      </c>
      <c r="Z763">
        <f t="shared" si="35"/>
        <v>-0.76857280803405248</v>
      </c>
    </row>
    <row r="764" spans="12:26" x14ac:dyDescent="0.25">
      <c r="L764" s="4">
        <f>_xll.ICETimeline(_xll.ICEJoinRange(M4:W4),"DF[dow:12345][tl:Calendar]","2020-07-26;2024-07-26",287,-1)</f>
        <v>44440.5</v>
      </c>
      <c r="M764">
        <f>_xll.ICEHistory(M$4,M$5,"DF[dow:12345][tl:Calendar]",$L764)</f>
        <v>60.6</v>
      </c>
      <c r="N764">
        <f>_xll.ICEHistory(M$4,N$5,"DF[dow:12345][tl:Calendar]",$L764)</f>
        <v>61.9</v>
      </c>
      <c r="O764">
        <f>_xll.ICEHistory(M$4,O$5,"DF[dow:12345][tl:Calendar]",$L764)</f>
        <v>59.6</v>
      </c>
      <c r="P764">
        <f>_xll.ICEHistory(M$4,P$5,"DF[dow:12345][tl:Calendar]",$L764)</f>
        <v>60</v>
      </c>
      <c r="Q764">
        <f>_xll.ICEHistory(M$4,Q$5,"DF[dow:12345][tl:Calendar]",$L764)</f>
        <v>35210</v>
      </c>
      <c r="R764">
        <f>_xll.ICEHistory(M$4,R$5,"DF[dow:12345][tl:Calendar]",$L764)</f>
        <v>441736</v>
      </c>
      <c r="S764">
        <f>_xll.ICEHistory(S$4,S$5,"DF[dow:12345][tl:Calendar]",$L764)</f>
        <v>52.25</v>
      </c>
      <c r="T764">
        <f>_xll.ICEHistory(S$4,T$5,"DF[dow:12345][tl:Calendar]",$L764)</f>
        <v>52.9</v>
      </c>
      <c r="U764">
        <f>_xll.ICEHistory(S$4,U$5,"DF[dow:12345][tl:Calendar]",$L764)</f>
        <v>49.6</v>
      </c>
      <c r="V764">
        <f>_xll.ICEHistory(S$4,V$5,"DF[dow:12345][tl:Calendar]",$L764)</f>
        <v>50.231999999999999</v>
      </c>
      <c r="W764">
        <f>_xll.ICEHistory(S$4,W$5,"DF[dow:12345][tl:Calendar]",$L764)</f>
        <v>2047</v>
      </c>
      <c r="X764">
        <f t="shared" si="33"/>
        <v>3.7735849056603724E-2</v>
      </c>
      <c r="Y764">
        <f t="shared" si="34"/>
        <v>0.24924321086572906</v>
      </c>
      <c r="Z764">
        <f t="shared" si="35"/>
        <v>0.91739413465371888</v>
      </c>
    </row>
    <row r="765" spans="12:26" x14ac:dyDescent="0.25">
      <c r="L765" s="4">
        <f>_xll.ICETimeline(_xll.ICEJoinRange(M4:W4),"DF[dow:12345][tl:Calendar]","2020-07-26;2024-07-26",286,-1)</f>
        <v>44439.5</v>
      </c>
      <c r="M765">
        <f>_xll.ICEHistory(M$4,M$5,"DF[dow:12345][tl:Calendar]",$L765)</f>
        <v>60.95</v>
      </c>
      <c r="N765">
        <f>_xll.ICEHistory(M$4,N$5,"DF[dow:12345][tl:Calendar]",$L765)</f>
        <v>60.95</v>
      </c>
      <c r="O765">
        <f>_xll.ICEHistory(M$4,O$5,"DF[dow:12345][tl:Calendar]",$L765)</f>
        <v>59.9</v>
      </c>
      <c r="P765">
        <f>_xll.ICEHistory(M$4,P$5,"DF[dow:12345][tl:Calendar]",$L765)</f>
        <v>60.51</v>
      </c>
      <c r="Q765">
        <f>_xll.ICEHistory(M$4,Q$5,"DF[dow:12345][tl:Calendar]",$L765)</f>
        <v>21714</v>
      </c>
      <c r="R765">
        <f>_xll.ICEHistory(M$4,R$5,"DF[dow:12345][tl:Calendar]",$L765)</f>
        <v>441194</v>
      </c>
      <c r="S765">
        <f>_xll.ICEHistory(S$4,S$5,"DF[dow:12345][tl:Calendar]",$L765)</f>
        <v>48.58</v>
      </c>
      <c r="T765">
        <f>_xll.ICEHistory(S$4,T$5,"DF[dow:12345][tl:Calendar]",$L765)</f>
        <v>50.47</v>
      </c>
      <c r="U765">
        <f>_xll.ICEHistory(S$4,U$5,"DF[dow:12345][tl:Calendar]",$L765)</f>
        <v>48.58</v>
      </c>
      <c r="V765">
        <f>_xll.ICEHistory(S$4,V$5,"DF[dow:12345][tl:Calendar]",$L765)</f>
        <v>50.338000000000001</v>
      </c>
      <c r="W765">
        <f>_xll.ICEHistory(S$4,W$5,"DF[dow:12345][tl:Calendar]",$L765)</f>
        <v>200</v>
      </c>
      <c r="X765">
        <f t="shared" si="33"/>
        <v>1.7500000000000071E-2</v>
      </c>
      <c r="Y765">
        <f t="shared" si="34"/>
        <v>-0.98490252455649996</v>
      </c>
      <c r="Z765">
        <f t="shared" si="35"/>
        <v>-0.70302207742919587</v>
      </c>
    </row>
    <row r="766" spans="12:26" x14ac:dyDescent="0.25">
      <c r="L766" s="4">
        <f>_xll.ICETimeline(_xll.ICEJoinRange(M4:W4),"DF[dow:12345][tl:Calendar]","2020-07-26;2024-07-26",285,-1)</f>
        <v>44438.5</v>
      </c>
      <c r="M766">
        <f>_xll.ICEHistory(M$4,M$5,"DF[dow:12345][tl:Calendar]",$L766)</f>
        <v>60</v>
      </c>
      <c r="N766">
        <f>_xll.ICEHistory(M$4,N$5,"DF[dow:12345][tl:Calendar]",$L766)</f>
        <v>61.01</v>
      </c>
      <c r="O766">
        <f>_xll.ICEHistory(M$4,O$5,"DF[dow:12345][tl:Calendar]",$L766)</f>
        <v>59.87</v>
      </c>
      <c r="P766">
        <f>_xll.ICEHistory(M$4,P$5,"DF[dow:12345][tl:Calendar]",$L766)</f>
        <v>60.6</v>
      </c>
      <c r="Q766">
        <f>_xll.ICEHistory(M$4,Q$5,"DF[dow:12345][tl:Calendar]",$L766)</f>
        <v>17053</v>
      </c>
      <c r="R766">
        <f>_xll.ICEHistory(M$4,R$5,"DF[dow:12345][tl:Calendar]",$L766)</f>
        <v>441803</v>
      </c>
      <c r="S766">
        <f>_xll.ICEHistory(S$4,S$5,"DF[dow:12345][tl:Calendar]",$L766)</f>
        <v>48.85</v>
      </c>
      <c r="T766">
        <f>_xll.ICEHistory(S$4,T$5,"DF[dow:12345][tl:Calendar]",$L766)</f>
        <v>49.679000000000002</v>
      </c>
      <c r="U766">
        <f>_xll.ICEHistory(S$4,U$5,"DF[dow:12345][tl:Calendar]",$L766)</f>
        <v>48.7</v>
      </c>
      <c r="V766">
        <f>_xll.ICEHistory(S$4,V$5,"DF[dow:12345][tl:Calendar]",$L766)</f>
        <v>49.679000000000002</v>
      </c>
      <c r="W766">
        <f>_xll.ICEHistory(S$4,W$5,"DF[dow:12345][tl:Calendar]",$L766)</f>
        <v>90</v>
      </c>
      <c r="X766">
        <f t="shared" si="33"/>
        <v>1.9989479221462398E-2</v>
      </c>
      <c r="Y766">
        <f t="shared" si="34"/>
        <v>-0.85102520896272937</v>
      </c>
      <c r="Z766">
        <f t="shared" si="35"/>
        <v>-1.1865139357357755</v>
      </c>
    </row>
    <row r="767" spans="12:26" x14ac:dyDescent="0.25">
      <c r="L767" s="4">
        <f>_xll.ICETimeline(_xll.ICEJoinRange(M4:W4),"DF[dow:12345][tl:Calendar]","2020-07-26;2024-07-26",284,-1)</f>
        <v>44435.5</v>
      </c>
      <c r="M767">
        <f>_xll.ICEHistory(M$4,M$5,"DF[dow:12345][tl:Calendar]",$L767)</f>
        <v>57.03</v>
      </c>
      <c r="N767">
        <f>_xll.ICEHistory(M$4,N$5,"DF[dow:12345][tl:Calendar]",$L767)</f>
        <v>59.95</v>
      </c>
      <c r="O767">
        <f>_xll.ICEHistory(M$4,O$5,"DF[dow:12345][tl:Calendar]",$L767)</f>
        <v>56.87</v>
      </c>
      <c r="P767">
        <f>_xll.ICEHistory(M$4,P$5,"DF[dow:12345][tl:Calendar]",$L767)</f>
        <v>59.9</v>
      </c>
      <c r="Q767">
        <f>_xll.ICEHistory(M$4,Q$5,"DF[dow:12345][tl:Calendar]",$L767)</f>
        <v>29685</v>
      </c>
      <c r="R767">
        <f>_xll.ICEHistory(M$4,R$5,"DF[dow:12345][tl:Calendar]",$L767)</f>
        <v>441888</v>
      </c>
      <c r="S767">
        <f>_xll.ICEHistory(S$4,S$5,"DF[dow:12345][tl:Calendar]",$L767)</f>
        <v>47.805999999999997</v>
      </c>
      <c r="T767">
        <f>_xll.ICEHistory(S$4,T$5,"DF[dow:12345][tl:Calendar]",$L767)</f>
        <v>47.805999999999997</v>
      </c>
      <c r="U767">
        <f>_xll.ICEHistory(S$4,U$5,"DF[dow:12345][tl:Calendar]",$L767)</f>
        <v>47.805999999999997</v>
      </c>
      <c r="V767">
        <f>_xll.ICEHistory(S$4,V$5,"DF[dow:12345][tl:Calendar]",$L767)</f>
        <v>47.805999999999997</v>
      </c>
      <c r="W767">
        <f>_xll.ICEHistory(S$4,W$5,"DF[dow:12345][tl:Calendar]",$L767)</f>
        <v>0</v>
      </c>
      <c r="X767">
        <f t="shared" si="33"/>
        <v>5.4677791585301005E-2</v>
      </c>
      <c r="Y767">
        <f t="shared" si="34"/>
        <v>1.2957512461168865</v>
      </c>
      <c r="Z767">
        <f t="shared" si="35"/>
        <v>0.26226668445739459</v>
      </c>
    </row>
    <row r="768" spans="12:26" x14ac:dyDescent="0.25">
      <c r="L768" s="4">
        <f>_xll.ICETimeline(_xll.ICEJoinRange(M4:W4),"DF[dow:12345][tl:Calendar]","2020-07-26;2024-07-26",283,-1)</f>
        <v>44434.5</v>
      </c>
      <c r="M768">
        <f>_xll.ICEHistory(M$4,M$5,"DF[dow:12345][tl:Calendar]",$L768)</f>
        <v>56.33</v>
      </c>
      <c r="N768">
        <f>_xll.ICEHistory(M$4,N$5,"DF[dow:12345][tl:Calendar]",$L768)</f>
        <v>57.6</v>
      </c>
      <c r="O768">
        <f>_xll.ICEHistory(M$4,O$5,"DF[dow:12345][tl:Calendar]",$L768)</f>
        <v>55.64</v>
      </c>
      <c r="P768">
        <f>_xll.ICEHistory(M$4,P$5,"DF[dow:12345][tl:Calendar]",$L768)</f>
        <v>56.88</v>
      </c>
      <c r="Q768">
        <f>_xll.ICEHistory(M$4,Q$5,"DF[dow:12345][tl:Calendar]",$L768)</f>
        <v>17907</v>
      </c>
      <c r="R768">
        <f>_xll.ICEHistory(M$4,R$5,"DF[dow:12345][tl:Calendar]",$L768)</f>
        <v>443021</v>
      </c>
      <c r="S768">
        <f>_xll.ICEHistory(S$4,S$5,"DF[dow:12345][tl:Calendar]",$L768)</f>
        <v>44.215000000000003</v>
      </c>
      <c r="T768">
        <f>_xll.ICEHistory(S$4,T$5,"DF[dow:12345][tl:Calendar]",$L768)</f>
        <v>45.844999999999999</v>
      </c>
      <c r="U768">
        <f>_xll.ICEHistory(S$4,U$5,"DF[dow:12345][tl:Calendar]",$L768)</f>
        <v>44.2</v>
      </c>
      <c r="V768">
        <f>_xll.ICEHistory(S$4,V$5,"DF[dow:12345][tl:Calendar]",$L768)</f>
        <v>45.787999999999997</v>
      </c>
      <c r="W768">
        <f>_xll.ICEHistory(S$4,W$5,"DF[dow:12345][tl:Calendar]",$L768)</f>
        <v>317</v>
      </c>
      <c r="X768">
        <f t="shared" si="33"/>
        <v>3.4519196900317024E-2</v>
      </c>
      <c r="Y768">
        <f t="shared" si="34"/>
        <v>6.680555611831096E-2</v>
      </c>
      <c r="Z768">
        <f t="shared" si="35"/>
        <v>-1.1257313861577256</v>
      </c>
    </row>
    <row r="769" spans="12:26" x14ac:dyDescent="0.25">
      <c r="L769" s="4">
        <f>_xll.ICETimeline(_xll.ICEJoinRange(M4:W4),"DF[dow:12345][tl:Calendar]","2020-07-26;2024-07-26",282,-1)</f>
        <v>44433.5</v>
      </c>
      <c r="M769">
        <f>_xll.ICEHistory(M$4,M$5,"DF[dow:12345][tl:Calendar]",$L769)</f>
        <v>56.78</v>
      </c>
      <c r="N769">
        <f>_xll.ICEHistory(M$4,N$5,"DF[dow:12345][tl:Calendar]",$L769)</f>
        <v>57.12</v>
      </c>
      <c r="O769">
        <f>_xll.ICEHistory(M$4,O$5,"DF[dow:12345][tl:Calendar]",$L769)</f>
        <v>55.81</v>
      </c>
      <c r="P769">
        <f>_xll.ICEHistory(M$4,P$5,"DF[dow:12345][tl:Calendar]",$L769)</f>
        <v>56.53</v>
      </c>
      <c r="Q769">
        <f>_xll.ICEHistory(M$4,Q$5,"DF[dow:12345][tl:Calendar]",$L769)</f>
        <v>18472</v>
      </c>
      <c r="R769">
        <f>_xll.ICEHistory(M$4,R$5,"DF[dow:12345][tl:Calendar]",$L769)</f>
        <v>443858</v>
      </c>
      <c r="S769">
        <f>_xll.ICEHistory(S$4,S$5,"DF[dow:12345][tl:Calendar]",$L769)</f>
        <v>45.83</v>
      </c>
      <c r="T769">
        <f>_xll.ICEHistory(S$4,T$5,"DF[dow:12345][tl:Calendar]",$L769)</f>
        <v>46.13</v>
      </c>
      <c r="U769">
        <f>_xll.ICEHistory(S$4,U$5,"DF[dow:12345][tl:Calendar]",$L769)</f>
        <v>44.774999999999999</v>
      </c>
      <c r="V769">
        <f>_xll.ICEHistory(S$4,V$5,"DF[dow:12345][tl:Calendar]",$L769)</f>
        <v>45.284999999999997</v>
      </c>
      <c r="W769">
        <f>_xll.ICEHistory(S$4,W$5,"DF[dow:12345][tl:Calendar]",$L769)</f>
        <v>997</v>
      </c>
      <c r="X769">
        <f t="shared" si="33"/>
        <v>2.3586604249189687E-2</v>
      </c>
      <c r="Y769">
        <f t="shared" si="34"/>
        <v>-0.62491081510667557</v>
      </c>
      <c r="Z769">
        <f t="shared" si="35"/>
        <v>-1.0930578168914895</v>
      </c>
    </row>
    <row r="770" spans="12:26" x14ac:dyDescent="0.25">
      <c r="L770" s="4">
        <f>_xll.ICETimeline(_xll.ICEJoinRange(M4:W4),"DF[dow:12345][tl:Calendar]","2020-07-26;2024-07-26",281,-1)</f>
        <v>44432.5</v>
      </c>
      <c r="M770">
        <f>_xll.ICEHistory(M$4,M$5,"DF[dow:12345][tl:Calendar]",$L770)</f>
        <v>55.54</v>
      </c>
      <c r="N770">
        <f>_xll.ICEHistory(M$4,N$5,"DF[dow:12345][tl:Calendar]",$L770)</f>
        <v>56.86</v>
      </c>
      <c r="O770">
        <f>_xll.ICEHistory(M$4,O$5,"DF[dow:12345][tl:Calendar]",$L770)</f>
        <v>55.27</v>
      </c>
      <c r="P770">
        <f>_xll.ICEHistory(M$4,P$5,"DF[dow:12345][tl:Calendar]",$L770)</f>
        <v>56.79</v>
      </c>
      <c r="Q770">
        <f>_xll.ICEHistory(M$4,Q$5,"DF[dow:12345][tl:Calendar]",$L770)</f>
        <v>17122</v>
      </c>
      <c r="R770">
        <f>_xll.ICEHistory(M$4,R$5,"DF[dow:12345][tl:Calendar]",$L770)</f>
        <v>443952</v>
      </c>
      <c r="S770">
        <f>_xll.ICEHistory(S$4,S$5,"DF[dow:12345][tl:Calendar]",$L770)</f>
        <v>43.625</v>
      </c>
      <c r="T770">
        <f>_xll.ICEHistory(S$4,T$5,"DF[dow:12345][tl:Calendar]",$L770)</f>
        <v>45.07</v>
      </c>
      <c r="U770">
        <f>_xll.ICEHistory(S$4,U$5,"DF[dow:12345][tl:Calendar]",$L770)</f>
        <v>43.625</v>
      </c>
      <c r="V770">
        <f>_xll.ICEHistory(S$4,V$5,"DF[dow:12345][tl:Calendar]",$L770)</f>
        <v>44.87</v>
      </c>
      <c r="W770">
        <f>_xll.ICEHistory(S$4,W$5,"DF[dow:12345][tl:Calendar]",$L770)</f>
        <v>160</v>
      </c>
      <c r="X770">
        <f t="shared" si="33"/>
        <v>2.9368304396010275E-2</v>
      </c>
      <c r="Y770">
        <f t="shared" si="34"/>
        <v>-0.28317945280739137</v>
      </c>
      <c r="Z770">
        <f t="shared" si="35"/>
        <v>-1.2866326988314465</v>
      </c>
    </row>
    <row r="771" spans="12:26" x14ac:dyDescent="0.25">
      <c r="L771" s="4">
        <f>_xll.ICETimeline(_xll.ICEJoinRange(M4:W4),"DF[dow:12345][tl:Calendar]","2020-07-26;2024-07-26",280,-1)</f>
        <v>44431.5</v>
      </c>
      <c r="M771">
        <f>_xll.ICEHistory(M$4,M$5,"DF[dow:12345][tl:Calendar]",$L771)</f>
        <v>54.14</v>
      </c>
      <c r="N771">
        <f>_xll.ICEHistory(M$4,N$5,"DF[dow:12345][tl:Calendar]",$L771)</f>
        <v>56.39</v>
      </c>
      <c r="O771">
        <f>_xll.ICEHistory(M$4,O$5,"DF[dow:12345][tl:Calendar]",$L771)</f>
        <v>54.14</v>
      </c>
      <c r="P771">
        <f>_xll.ICEHistory(M$4,P$5,"DF[dow:12345][tl:Calendar]",$L771)</f>
        <v>55.62</v>
      </c>
      <c r="Q771">
        <f>_xll.ICEHistory(M$4,Q$5,"DF[dow:12345][tl:Calendar]",$L771)</f>
        <v>23113</v>
      </c>
      <c r="R771">
        <f>_xll.ICEHistory(M$4,R$5,"DF[dow:12345][tl:Calendar]",$L771)</f>
        <v>444152</v>
      </c>
      <c r="S771">
        <f>_xll.ICEHistory(S$4,S$5,"DF[dow:12345][tl:Calendar]",$L771)</f>
        <v>42.274999999999999</v>
      </c>
      <c r="T771">
        <f>_xll.ICEHistory(S$4,T$5,"DF[dow:12345][tl:Calendar]",$L771)</f>
        <v>43.534999999999997</v>
      </c>
      <c r="U771">
        <f>_xll.ICEHistory(S$4,U$5,"DF[dow:12345][tl:Calendar]",$L771)</f>
        <v>40.61</v>
      </c>
      <c r="V771">
        <f>_xll.ICEHistory(S$4,V$5,"DF[dow:12345][tl:Calendar]",$L771)</f>
        <v>41.68</v>
      </c>
      <c r="W771">
        <f>_xll.ICEHistory(S$4,W$5,"DF[dow:12345][tl:Calendar]",$L771)</f>
        <v>587</v>
      </c>
      <c r="X771">
        <f t="shared" si="33"/>
        <v>4.1743970315398886E-2</v>
      </c>
      <c r="Y771">
        <f t="shared" si="34"/>
        <v>0.48283769127148046</v>
      </c>
      <c r="Z771">
        <f t="shared" si="35"/>
        <v>-0.58693163220607936</v>
      </c>
    </row>
    <row r="772" spans="12:26" x14ac:dyDescent="0.25">
      <c r="L772" s="4">
        <f>_xll.ICETimeline(_xll.ICEJoinRange(M4:W4),"DF[dow:12345][tl:Calendar]","2020-07-26;2024-07-26",279,-1)</f>
        <v>44428.5</v>
      </c>
      <c r="M772">
        <f>_xll.ICEHistory(M$4,M$5,"DF[dow:12345][tl:Calendar]",$L772)</f>
        <v>53.9</v>
      </c>
      <c r="N772">
        <f>_xll.ICEHistory(M$4,N$5,"DF[dow:12345][tl:Calendar]",$L772)</f>
        <v>54.88</v>
      </c>
      <c r="O772">
        <f>_xll.ICEHistory(M$4,O$5,"DF[dow:12345][tl:Calendar]",$L772)</f>
        <v>53.45</v>
      </c>
      <c r="P772">
        <f>_xll.ICEHistory(M$4,P$5,"DF[dow:12345][tl:Calendar]",$L772)</f>
        <v>54.16</v>
      </c>
      <c r="Q772">
        <f>_xll.ICEHistory(M$4,Q$5,"DF[dow:12345][tl:Calendar]",$L772)</f>
        <v>25316</v>
      </c>
      <c r="R772">
        <f>_xll.ICEHistory(M$4,R$5,"DF[dow:12345][tl:Calendar]",$L772)</f>
        <v>443881</v>
      </c>
      <c r="S772">
        <f>_xll.ICEHistory(S$4,S$5,"DF[dow:12345][tl:Calendar]",$L772)</f>
        <v>41.57</v>
      </c>
      <c r="T772">
        <f>_xll.ICEHistory(S$4,T$5,"DF[dow:12345][tl:Calendar]",$L772)</f>
        <v>42.625</v>
      </c>
      <c r="U772">
        <f>_xll.ICEHistory(S$4,U$5,"DF[dow:12345][tl:Calendar]",$L772)</f>
        <v>40.9</v>
      </c>
      <c r="V772">
        <f>_xll.ICEHistory(S$4,V$5,"DF[dow:12345][tl:Calendar]",$L772)</f>
        <v>41.944000000000003</v>
      </c>
      <c r="W772">
        <f>_xll.ICEHistory(S$4,W$5,"DF[dow:12345][tl:Calendar]",$L772)</f>
        <v>520</v>
      </c>
      <c r="X772">
        <f t="shared" si="33"/>
        <v>2.5336640680368529E-2</v>
      </c>
      <c r="Y772">
        <f t="shared" si="34"/>
        <v>-0.53507202728309344</v>
      </c>
      <c r="Z772">
        <f t="shared" si="35"/>
        <v>-0.34969794620186889</v>
      </c>
    </row>
    <row r="773" spans="12:26" x14ac:dyDescent="0.25">
      <c r="L773" s="4">
        <f>_xll.ICETimeline(_xll.ICEJoinRange(M4:W4),"DF[dow:12345][tl:Calendar]","2020-07-26;2024-07-26",278,-1)</f>
        <v>44427.5</v>
      </c>
      <c r="M773">
        <f>_xll.ICEHistory(M$4,M$5,"DF[dow:12345][tl:Calendar]",$L773)</f>
        <v>56.44</v>
      </c>
      <c r="N773">
        <f>_xll.ICEHistory(M$4,N$5,"DF[dow:12345][tl:Calendar]",$L773)</f>
        <v>57.1</v>
      </c>
      <c r="O773">
        <f>_xll.ICEHistory(M$4,O$5,"DF[dow:12345][tl:Calendar]",$L773)</f>
        <v>52.51</v>
      </c>
      <c r="P773">
        <f>_xll.ICEHistory(M$4,P$5,"DF[dow:12345][tl:Calendar]",$L773)</f>
        <v>53.9</v>
      </c>
      <c r="Q773">
        <f>_xll.ICEHistory(M$4,Q$5,"DF[dow:12345][tl:Calendar]",$L773)</f>
        <v>46833</v>
      </c>
      <c r="R773">
        <f>_xll.ICEHistory(M$4,R$5,"DF[dow:12345][tl:Calendar]",$L773)</f>
        <v>446355</v>
      </c>
      <c r="S773">
        <f>_xll.ICEHistory(S$4,S$5,"DF[dow:12345][tl:Calendar]",$L773)</f>
        <v>44.375</v>
      </c>
      <c r="T773">
        <f>_xll.ICEHistory(S$4,T$5,"DF[dow:12345][tl:Calendar]",$L773)</f>
        <v>44.48</v>
      </c>
      <c r="U773">
        <f>_xll.ICEHistory(S$4,U$5,"DF[dow:12345][tl:Calendar]",$L773)</f>
        <v>40.1</v>
      </c>
      <c r="V773">
        <f>_xll.ICEHistory(S$4,V$5,"DF[dow:12345][tl:Calendar]",$L773)</f>
        <v>40.395000000000003</v>
      </c>
      <c r="W773">
        <f>_xll.ICEHistory(S$4,W$5,"DF[dow:12345][tl:Calendar]",$L773)</f>
        <v>799</v>
      </c>
      <c r="X773">
        <f t="shared" si="33"/>
        <v>8.0062794348508701E-2</v>
      </c>
      <c r="Y773">
        <f t="shared" si="34"/>
        <v>2.7962786735807317</v>
      </c>
      <c r="Z773">
        <f t="shared" si="35"/>
        <v>2.0350042936413861</v>
      </c>
    </row>
    <row r="774" spans="12:26" x14ac:dyDescent="0.25">
      <c r="L774" s="4">
        <f>_xll.ICETimeline(_xll.ICEJoinRange(M4:W4),"DF[dow:12345][tl:Calendar]","2020-07-26;2024-07-26",277,-1)</f>
        <v>44426.5</v>
      </c>
      <c r="M774">
        <f>_xll.ICEHistory(M$4,M$5,"DF[dow:12345][tl:Calendar]",$L774)</f>
        <v>57.33</v>
      </c>
      <c r="N774">
        <f>_xll.ICEHistory(M$4,N$5,"DF[dow:12345][tl:Calendar]",$L774)</f>
        <v>58.08</v>
      </c>
      <c r="O774">
        <f>_xll.ICEHistory(M$4,O$5,"DF[dow:12345][tl:Calendar]",$L774)</f>
        <v>55.34</v>
      </c>
      <c r="P774">
        <f>_xll.ICEHistory(M$4,P$5,"DF[dow:12345][tl:Calendar]",$L774)</f>
        <v>56.5</v>
      </c>
      <c r="Q774">
        <f>_xll.ICEHistory(M$4,Q$5,"DF[dow:12345][tl:Calendar]",$L774)</f>
        <v>27618</v>
      </c>
      <c r="R774">
        <f>_xll.ICEHistory(M$4,R$5,"DF[dow:12345][tl:Calendar]",$L774)</f>
        <v>449574</v>
      </c>
      <c r="S774">
        <f>_xll.ICEHistory(S$4,S$5,"DF[dow:12345][tl:Calendar]",$L774)</f>
        <v>46.395000000000003</v>
      </c>
      <c r="T774">
        <f>_xll.ICEHistory(S$4,T$5,"DF[dow:12345][tl:Calendar]",$L774)</f>
        <v>47.524999999999999</v>
      </c>
      <c r="U774">
        <f>_xll.ICEHistory(S$4,U$5,"DF[dow:12345][tl:Calendar]",$L774)</f>
        <v>42.795000000000002</v>
      </c>
      <c r="V774">
        <f>_xll.ICEHistory(S$4,V$5,"DF[dow:12345][tl:Calendar]",$L774)</f>
        <v>45.384999999999998</v>
      </c>
      <c r="W774">
        <f>_xll.ICEHistory(S$4,W$5,"DF[dow:12345][tl:Calendar]",$L774)</f>
        <v>630</v>
      </c>
      <c r="X774">
        <f t="shared" si="33"/>
        <v>4.708712837257252E-2</v>
      </c>
      <c r="Y774">
        <f t="shared" si="34"/>
        <v>0.82663657041236427</v>
      </c>
      <c r="Z774">
        <f t="shared" si="35"/>
        <v>-0.14550122485039774</v>
      </c>
    </row>
    <row r="775" spans="12:26" x14ac:dyDescent="0.25">
      <c r="L775" s="4">
        <f>_xll.ICETimeline(_xll.ICEJoinRange(M4:W4),"DF[dow:12345][tl:Calendar]","2020-07-26;2024-07-26",276,-1)</f>
        <v>44425.5</v>
      </c>
      <c r="M775">
        <f>_xll.ICEHistory(M$4,M$5,"DF[dow:12345][tl:Calendar]",$L775)</f>
        <v>58.19</v>
      </c>
      <c r="N775">
        <f>_xll.ICEHistory(M$4,N$5,"DF[dow:12345][tl:Calendar]",$L775)</f>
        <v>58.25</v>
      </c>
      <c r="O775">
        <f>_xll.ICEHistory(M$4,O$5,"DF[dow:12345][tl:Calendar]",$L775)</f>
        <v>56.98</v>
      </c>
      <c r="P775">
        <f>_xll.ICEHistory(M$4,P$5,"DF[dow:12345][tl:Calendar]",$L775)</f>
        <v>57.02</v>
      </c>
      <c r="Q775">
        <f>_xll.ICEHistory(M$4,Q$5,"DF[dow:12345][tl:Calendar]",$L775)</f>
        <v>24347</v>
      </c>
      <c r="R775">
        <f>_xll.ICEHistory(M$4,R$5,"DF[dow:12345][tl:Calendar]",$L775)</f>
        <v>448603</v>
      </c>
      <c r="S775">
        <f>_xll.ICEHistory(S$4,S$5,"DF[dow:12345][tl:Calendar]",$L775)</f>
        <v>46.854999999999997</v>
      </c>
      <c r="T775">
        <f>_xll.ICEHistory(S$4,T$5,"DF[dow:12345][tl:Calendar]",$L775)</f>
        <v>47.975000000000001</v>
      </c>
      <c r="U775">
        <f>_xll.ICEHistory(S$4,U$5,"DF[dow:12345][tl:Calendar]",$L775)</f>
        <v>46.674999999999997</v>
      </c>
      <c r="V775">
        <f>_xll.ICEHistory(S$4,V$5,"DF[dow:12345][tl:Calendar]",$L775)</f>
        <v>46.948999999999998</v>
      </c>
      <c r="W775">
        <f>_xll.ICEHistory(S$4,W$5,"DF[dow:12345][tl:Calendar]",$L775)</f>
        <v>519</v>
      </c>
      <c r="X775">
        <f t="shared" si="33"/>
        <v>2.2986425339366571E-2</v>
      </c>
      <c r="Y775">
        <f t="shared" si="34"/>
        <v>-0.70454686899533936</v>
      </c>
      <c r="Z775">
        <f t="shared" si="35"/>
        <v>-0.46840630338578398</v>
      </c>
    </row>
    <row r="776" spans="12:26" x14ac:dyDescent="0.25">
      <c r="L776" s="4">
        <f>_xll.ICETimeline(_xll.ICEJoinRange(M4:W4),"DF[dow:12345][tl:Calendar]","2020-07-26;2024-07-26",275,-1)</f>
        <v>44424.5</v>
      </c>
      <c r="M776">
        <f>_xll.ICEHistory(M$4,M$5,"DF[dow:12345][tl:Calendar]",$L776)</f>
        <v>55.25</v>
      </c>
      <c r="N776">
        <f>_xll.ICEHistory(M$4,N$5,"DF[dow:12345][tl:Calendar]",$L776)</f>
        <v>58.25</v>
      </c>
      <c r="O776">
        <f>_xll.ICEHistory(M$4,O$5,"DF[dow:12345][tl:Calendar]",$L776)</f>
        <v>55</v>
      </c>
      <c r="P776">
        <f>_xll.ICEHistory(M$4,P$5,"DF[dow:12345][tl:Calendar]",$L776)</f>
        <v>57.91</v>
      </c>
      <c r="Q776">
        <f>_xll.ICEHistory(M$4,Q$5,"DF[dow:12345][tl:Calendar]",$L776)</f>
        <v>23253</v>
      </c>
      <c r="R776">
        <f>_xll.ICEHistory(M$4,R$5,"DF[dow:12345][tl:Calendar]",$L776)</f>
        <v>448883</v>
      </c>
      <c r="S776">
        <f>_xll.ICEHistory(S$4,S$5,"DF[dow:12345][tl:Calendar]",$L776)</f>
        <v>46.25</v>
      </c>
      <c r="T776">
        <f>_xll.ICEHistory(S$4,T$5,"DF[dow:12345][tl:Calendar]",$L776)</f>
        <v>48.215000000000003</v>
      </c>
      <c r="U776">
        <f>_xll.ICEHistory(S$4,U$5,"DF[dow:12345][tl:Calendar]",$L776)</f>
        <v>46.25</v>
      </c>
      <c r="V776">
        <f>_xll.ICEHistory(S$4,V$5,"DF[dow:12345][tl:Calendar]",$L776)</f>
        <v>47.988</v>
      </c>
      <c r="W776">
        <f>_xll.ICEHistory(S$4,W$5,"DF[dow:12345][tl:Calendar]",$L776)</f>
        <v>421</v>
      </c>
      <c r="X776">
        <f t="shared" si="33"/>
        <v>5.7705965909090912E-2</v>
      </c>
      <c r="Y776">
        <f t="shared" si="34"/>
        <v>1.3043044047399184</v>
      </c>
      <c r="Z776">
        <f t="shared" si="35"/>
        <v>-0.58279582182013956</v>
      </c>
    </row>
    <row r="777" spans="12:26" x14ac:dyDescent="0.25">
      <c r="L777" s="4">
        <f>_xll.ICETimeline(_xll.ICEJoinRange(M4:W4),"DF[dow:12345][tl:Calendar]","2020-07-26;2024-07-26",274,-1)</f>
        <v>44421.5</v>
      </c>
      <c r="M777">
        <f>_xll.ICEHistory(M$4,M$5,"DF[dow:12345][tl:Calendar]",$L777)</f>
        <v>56.32</v>
      </c>
      <c r="N777">
        <f>_xll.ICEHistory(M$4,N$5,"DF[dow:12345][tl:Calendar]",$L777)</f>
        <v>56.41</v>
      </c>
      <c r="O777">
        <f>_xll.ICEHistory(M$4,O$5,"DF[dow:12345][tl:Calendar]",$L777)</f>
        <v>55.15</v>
      </c>
      <c r="P777">
        <f>_xll.ICEHistory(M$4,P$5,"DF[dow:12345][tl:Calendar]",$L777)</f>
        <v>55.44</v>
      </c>
      <c r="Q777">
        <f>_xll.ICEHistory(M$4,Q$5,"DF[dow:12345][tl:Calendar]",$L777)</f>
        <v>21566</v>
      </c>
      <c r="R777">
        <f>_xll.ICEHistory(M$4,R$5,"DF[dow:12345][tl:Calendar]",$L777)</f>
        <v>448697</v>
      </c>
      <c r="S777">
        <f>_xll.ICEHistory(S$4,S$5,"DF[dow:12345][tl:Calendar]",$L777)</f>
        <v>44.414999999999999</v>
      </c>
      <c r="T777">
        <f>_xll.ICEHistory(S$4,T$5,"DF[dow:12345][tl:Calendar]",$L777)</f>
        <v>45.4</v>
      </c>
      <c r="U777">
        <f>_xll.ICEHistory(S$4,U$5,"DF[dow:12345][tl:Calendar]",$L777)</f>
        <v>44.375</v>
      </c>
      <c r="V777">
        <f>_xll.ICEHistory(S$4,V$5,"DF[dow:12345][tl:Calendar]",$L777)</f>
        <v>44.628</v>
      </c>
      <c r="W777">
        <f>_xll.ICEHistory(S$4,W$5,"DF[dow:12345][tl:Calendar]",$L777)</f>
        <v>759</v>
      </c>
      <c r="X777">
        <f t="shared" ref="X777:X840" si="36">IFERROR((N777-O777)/M778, "")</f>
        <v>2.1697950749095883E-2</v>
      </c>
      <c r="Y777">
        <f t="shared" ref="Y777:Y840" si="37">IFERROR((X777-AVERAGE(X777:X841))/_xlfn.STDEV.S(X777:X841),"")</f>
        <v>-0.78128279601104966</v>
      </c>
      <c r="Z777">
        <f t="shared" ref="Z777:Z840" si="38">IFERROR((Q777-AVERAGE(Q777:Q842))/_xlfn.STDEV.S(Q777:Q842),"")</f>
        <v>-0.75234100669319548</v>
      </c>
    </row>
    <row r="778" spans="12:26" x14ac:dyDescent="0.25">
      <c r="L778" s="4">
        <f>_xll.ICETimeline(_xll.ICEJoinRange(M4:W4),"DF[dow:12345][tl:Calendar]","2020-07-26;2024-07-26",273,-1)</f>
        <v>44420.5</v>
      </c>
      <c r="M778">
        <f>_xll.ICEHistory(M$4,M$5,"DF[dow:12345][tl:Calendar]",$L778)</f>
        <v>58.07</v>
      </c>
      <c r="N778">
        <f>_xll.ICEHistory(M$4,N$5,"DF[dow:12345][tl:Calendar]",$L778)</f>
        <v>58.18</v>
      </c>
      <c r="O778">
        <f>_xll.ICEHistory(M$4,O$5,"DF[dow:12345][tl:Calendar]",$L778)</f>
        <v>55.9</v>
      </c>
      <c r="P778">
        <f>_xll.ICEHistory(M$4,P$5,"DF[dow:12345][tl:Calendar]",$L778)</f>
        <v>56.04</v>
      </c>
      <c r="Q778">
        <f>_xll.ICEHistory(M$4,Q$5,"DF[dow:12345][tl:Calendar]",$L778)</f>
        <v>21228</v>
      </c>
      <c r="R778">
        <f>_xll.ICEHistory(M$4,R$5,"DF[dow:12345][tl:Calendar]",$L778)</f>
        <v>446337</v>
      </c>
      <c r="S778">
        <f>_xll.ICEHistory(S$4,S$5,"DF[dow:12345][tl:Calendar]",$L778)</f>
        <v>46.15</v>
      </c>
      <c r="T778">
        <f>_xll.ICEHistory(S$4,T$5,"DF[dow:12345][tl:Calendar]",$L778)</f>
        <v>46.524999999999999</v>
      </c>
      <c r="U778">
        <f>_xll.ICEHistory(S$4,U$5,"DF[dow:12345][tl:Calendar]",$L778)</f>
        <v>45.325000000000003</v>
      </c>
      <c r="V778">
        <f>_xll.ICEHistory(S$4,V$5,"DF[dow:12345][tl:Calendar]",$L778)</f>
        <v>45.871000000000002</v>
      </c>
      <c r="W778">
        <f>_xll.ICEHistory(S$4,W$5,"DF[dow:12345][tl:Calendar]",$L778)</f>
        <v>768</v>
      </c>
      <c r="X778">
        <f t="shared" si="36"/>
        <v>3.9825327510917052E-2</v>
      </c>
      <c r="Y778">
        <f t="shared" si="37"/>
        <v>0.27297919638237761</v>
      </c>
      <c r="Z778">
        <f t="shared" si="38"/>
        <v>-0.80572418109828836</v>
      </c>
    </row>
    <row r="779" spans="12:26" x14ac:dyDescent="0.25">
      <c r="L779" s="4">
        <f>_xll.ICETimeline(_xll.ICEJoinRange(M4:W4),"DF[dow:12345][tl:Calendar]","2020-07-26;2024-07-26",272,-1)</f>
        <v>44419.5</v>
      </c>
      <c r="M779">
        <f>_xll.ICEHistory(M$4,M$5,"DF[dow:12345][tl:Calendar]",$L779)</f>
        <v>57.25</v>
      </c>
      <c r="N779">
        <f>_xll.ICEHistory(M$4,N$5,"DF[dow:12345][tl:Calendar]",$L779)</f>
        <v>58.2</v>
      </c>
      <c r="O779">
        <f>_xll.ICEHistory(M$4,O$5,"DF[dow:12345][tl:Calendar]",$L779)</f>
        <v>55.95</v>
      </c>
      <c r="P779">
        <f>_xll.ICEHistory(M$4,P$5,"DF[dow:12345][tl:Calendar]",$L779)</f>
        <v>58.11</v>
      </c>
      <c r="Q779">
        <f>_xll.ICEHistory(M$4,Q$5,"DF[dow:12345][tl:Calendar]",$L779)</f>
        <v>26617</v>
      </c>
      <c r="R779">
        <f>_xll.ICEHistory(M$4,R$5,"DF[dow:12345][tl:Calendar]",$L779)</f>
        <v>446139</v>
      </c>
      <c r="S779">
        <f>_xll.ICEHistory(S$4,S$5,"DF[dow:12345][tl:Calendar]",$L779)</f>
        <v>44.975000000000001</v>
      </c>
      <c r="T779">
        <f>_xll.ICEHistory(S$4,T$5,"DF[dow:12345][tl:Calendar]",$L779)</f>
        <v>46.524999999999999</v>
      </c>
      <c r="U779">
        <f>_xll.ICEHistory(S$4,U$5,"DF[dow:12345][tl:Calendar]",$L779)</f>
        <v>44.575000000000003</v>
      </c>
      <c r="V779">
        <f>_xll.ICEHistory(S$4,V$5,"DF[dow:12345][tl:Calendar]",$L779)</f>
        <v>45.985999999999997</v>
      </c>
      <c r="W779">
        <f>_xll.ICEHistory(S$4,W$5,"DF[dow:12345][tl:Calendar]",$L779)</f>
        <v>515</v>
      </c>
      <c r="X779">
        <f t="shared" si="36"/>
        <v>3.959176491289812E-2</v>
      </c>
      <c r="Y779">
        <f t="shared" si="37"/>
        <v>0.26194456632593505</v>
      </c>
      <c r="Z779">
        <f t="shared" si="38"/>
        <v>-0.35546375418143639</v>
      </c>
    </row>
    <row r="780" spans="12:26" x14ac:dyDescent="0.25">
      <c r="L780" s="4">
        <f>_xll.ICETimeline(_xll.ICEJoinRange(M4:W4),"DF[dow:12345][tl:Calendar]","2020-07-26;2024-07-26",271,-1)</f>
        <v>44418.5</v>
      </c>
      <c r="M780">
        <f>_xll.ICEHistory(M$4,M$5,"DF[dow:12345][tl:Calendar]",$L780)</f>
        <v>56.83</v>
      </c>
      <c r="N780">
        <f>_xll.ICEHistory(M$4,N$5,"DF[dow:12345][tl:Calendar]",$L780)</f>
        <v>57.6</v>
      </c>
      <c r="O780">
        <f>_xll.ICEHistory(M$4,O$5,"DF[dow:12345][tl:Calendar]",$L780)</f>
        <v>56.59</v>
      </c>
      <c r="P780">
        <f>_xll.ICEHistory(M$4,P$5,"DF[dow:12345][tl:Calendar]",$L780)</f>
        <v>57.17</v>
      </c>
      <c r="Q780">
        <f>_xll.ICEHistory(M$4,Q$5,"DF[dow:12345][tl:Calendar]",$L780)</f>
        <v>22309</v>
      </c>
      <c r="R780">
        <f>_xll.ICEHistory(M$4,R$5,"DF[dow:12345][tl:Calendar]",$L780)</f>
        <v>445531</v>
      </c>
      <c r="S780">
        <f>_xll.ICEHistory(S$4,S$5,"DF[dow:12345][tl:Calendar]",$L780)</f>
        <v>44.39</v>
      </c>
      <c r="T780">
        <f>_xll.ICEHistory(S$4,T$5,"DF[dow:12345][tl:Calendar]",$L780)</f>
        <v>45.024999999999999</v>
      </c>
      <c r="U780">
        <f>_xll.ICEHistory(S$4,U$5,"DF[dow:12345][tl:Calendar]",$L780)</f>
        <v>44.215000000000003</v>
      </c>
      <c r="V780">
        <f>_xll.ICEHistory(S$4,V$5,"DF[dow:12345][tl:Calendar]",$L780)</f>
        <v>44.655000000000001</v>
      </c>
      <c r="W780">
        <f>_xll.ICEHistory(S$4,W$5,"DF[dow:12345][tl:Calendar]",$L780)</f>
        <v>886</v>
      </c>
      <c r="X780">
        <f t="shared" si="36"/>
        <v>1.7750439367311039E-2</v>
      </c>
      <c r="Y780">
        <f t="shared" si="37"/>
        <v>-1.0380756065096717</v>
      </c>
      <c r="Z780">
        <f t="shared" si="38"/>
        <v>-0.74950066325219566</v>
      </c>
    </row>
    <row r="781" spans="12:26" x14ac:dyDescent="0.25">
      <c r="L781" s="4">
        <f>_xll.ICETimeline(_xll.ICEJoinRange(M4:W4),"DF[dow:12345][tl:Calendar]","2020-07-26;2024-07-26",270,-1)</f>
        <v>44417.5</v>
      </c>
      <c r="M781">
        <f>_xll.ICEHistory(M$4,M$5,"DF[dow:12345][tl:Calendar]",$L781)</f>
        <v>56.9</v>
      </c>
      <c r="N781">
        <f>_xll.ICEHistory(M$4,N$5,"DF[dow:12345][tl:Calendar]",$L781)</f>
        <v>57.42</v>
      </c>
      <c r="O781">
        <f>_xll.ICEHistory(M$4,O$5,"DF[dow:12345][tl:Calendar]",$L781)</f>
        <v>55.88</v>
      </c>
      <c r="P781">
        <f>_xll.ICEHistory(M$4,P$5,"DF[dow:12345][tl:Calendar]",$L781)</f>
        <v>56.86</v>
      </c>
      <c r="Q781">
        <f>_xll.ICEHistory(M$4,Q$5,"DF[dow:12345][tl:Calendar]",$L781)</f>
        <v>19656</v>
      </c>
      <c r="R781">
        <f>_xll.ICEHistory(M$4,R$5,"DF[dow:12345][tl:Calendar]",$L781)</f>
        <v>445353</v>
      </c>
      <c r="S781">
        <f>_xll.ICEHistory(S$4,S$5,"DF[dow:12345][tl:Calendar]",$L781)</f>
        <v>43.094999999999999</v>
      </c>
      <c r="T781">
        <f>_xll.ICEHistory(S$4,T$5,"DF[dow:12345][tl:Calendar]",$L781)</f>
        <v>43.57</v>
      </c>
      <c r="U781">
        <f>_xll.ICEHistory(S$4,U$5,"DF[dow:12345][tl:Calendar]",$L781)</f>
        <v>42.45</v>
      </c>
      <c r="V781">
        <f>_xll.ICEHistory(S$4,V$5,"DF[dow:12345][tl:Calendar]",$L781)</f>
        <v>42.786000000000001</v>
      </c>
      <c r="W781">
        <f>_xll.ICEHistory(S$4,W$5,"DF[dow:12345][tl:Calendar]",$L781)</f>
        <v>1221</v>
      </c>
      <c r="X781">
        <f t="shared" si="36"/>
        <v>2.7450980392156848E-2</v>
      </c>
      <c r="Y781">
        <f t="shared" si="37"/>
        <v>-0.4886771725715055</v>
      </c>
      <c r="Z781">
        <f t="shared" si="38"/>
        <v>-1.0034958431529406</v>
      </c>
    </row>
    <row r="782" spans="12:26" x14ac:dyDescent="0.25">
      <c r="L782" s="4">
        <f>_xll.ICETimeline(_xll.ICEJoinRange(M4:W4),"DF[dow:12345][tl:Calendar]","2020-07-26;2024-07-26",269,-1)</f>
        <v>44414.5</v>
      </c>
      <c r="M782">
        <f>_xll.ICEHistory(M$4,M$5,"DF[dow:12345][tl:Calendar]",$L782)</f>
        <v>56.1</v>
      </c>
      <c r="N782">
        <f>_xll.ICEHistory(M$4,N$5,"DF[dow:12345][tl:Calendar]",$L782)</f>
        <v>56.97</v>
      </c>
      <c r="O782">
        <f>_xll.ICEHistory(M$4,O$5,"DF[dow:12345][tl:Calendar]",$L782)</f>
        <v>56.1</v>
      </c>
      <c r="P782">
        <f>_xll.ICEHistory(M$4,P$5,"DF[dow:12345][tl:Calendar]",$L782)</f>
        <v>56.94</v>
      </c>
      <c r="Q782">
        <f>_xll.ICEHistory(M$4,Q$5,"DF[dow:12345][tl:Calendar]",$L782)</f>
        <v>17045</v>
      </c>
      <c r="R782">
        <f>_xll.ICEHistory(M$4,R$5,"DF[dow:12345][tl:Calendar]",$L782)</f>
        <v>445882</v>
      </c>
      <c r="S782">
        <f>_xll.ICEHistory(S$4,S$5,"DF[dow:12345][tl:Calendar]",$L782)</f>
        <v>43.9</v>
      </c>
      <c r="T782">
        <f>_xll.ICEHistory(S$4,T$5,"DF[dow:12345][tl:Calendar]",$L782)</f>
        <v>44.57</v>
      </c>
      <c r="U782">
        <f>_xll.ICEHistory(S$4,U$5,"DF[dow:12345][tl:Calendar]",$L782)</f>
        <v>42.674999999999997</v>
      </c>
      <c r="V782">
        <f>_xll.ICEHistory(S$4,V$5,"DF[dow:12345][tl:Calendar]",$L782)</f>
        <v>43.118000000000002</v>
      </c>
      <c r="W782">
        <f>_xll.ICEHistory(S$4,W$5,"DF[dow:12345][tl:Calendar]",$L782)</f>
        <v>1142</v>
      </c>
      <c r="X782">
        <f t="shared" si="36"/>
        <v>1.5689810640216365E-2</v>
      </c>
      <c r="Y782">
        <f t="shared" si="37"/>
        <v>-1.2017889135012019</v>
      </c>
      <c r="Z782">
        <f t="shared" si="38"/>
        <v>-1.2546410021758625</v>
      </c>
    </row>
    <row r="783" spans="12:26" x14ac:dyDescent="0.25">
      <c r="L783" s="4">
        <f>_xll.ICETimeline(_xll.ICEJoinRange(M4:W4),"DF[dow:12345][tl:Calendar]","2020-07-26;2024-07-26",268,-1)</f>
        <v>44413.5</v>
      </c>
      <c r="M783">
        <f>_xll.ICEHistory(M$4,M$5,"DF[dow:12345][tl:Calendar]",$L783)</f>
        <v>55.45</v>
      </c>
      <c r="N783">
        <f>_xll.ICEHistory(M$4,N$5,"DF[dow:12345][tl:Calendar]",$L783)</f>
        <v>56.2</v>
      </c>
      <c r="O783">
        <f>_xll.ICEHistory(M$4,O$5,"DF[dow:12345][tl:Calendar]",$L783)</f>
        <v>54.63</v>
      </c>
      <c r="P783">
        <f>_xll.ICEHistory(M$4,P$5,"DF[dow:12345][tl:Calendar]",$L783)</f>
        <v>56.18</v>
      </c>
      <c r="Q783">
        <f>_xll.ICEHistory(M$4,Q$5,"DF[dow:12345][tl:Calendar]",$L783)</f>
        <v>21423</v>
      </c>
      <c r="R783">
        <f>_xll.ICEHistory(M$4,R$5,"DF[dow:12345][tl:Calendar]",$L783)</f>
        <v>444969</v>
      </c>
      <c r="S783">
        <f>_xll.ICEHistory(S$4,S$5,"DF[dow:12345][tl:Calendar]",$L783)</f>
        <v>41.57</v>
      </c>
      <c r="T783">
        <f>_xll.ICEHistory(S$4,T$5,"DF[dow:12345][tl:Calendar]",$L783)</f>
        <v>43.2</v>
      </c>
      <c r="U783">
        <f>_xll.ICEHistory(S$4,U$5,"DF[dow:12345][tl:Calendar]",$L783)</f>
        <v>41.195</v>
      </c>
      <c r="V783">
        <f>_xll.ICEHistory(S$4,V$5,"DF[dow:12345][tl:Calendar]",$L783)</f>
        <v>43.2</v>
      </c>
      <c r="W783">
        <f>_xll.ICEHistory(S$4,W$5,"DF[dow:12345][tl:Calendar]",$L783)</f>
        <v>1263</v>
      </c>
      <c r="X783">
        <f t="shared" si="36"/>
        <v>2.8807339449541291E-2</v>
      </c>
      <c r="Y783">
        <f t="shared" si="37"/>
        <v>-0.43961656865872478</v>
      </c>
      <c r="Z783">
        <f t="shared" si="38"/>
        <v>-0.90442784779301533</v>
      </c>
    </row>
    <row r="784" spans="12:26" x14ac:dyDescent="0.25">
      <c r="L784" s="4">
        <f>_xll.ICETimeline(_xll.ICEJoinRange(M4:W4),"DF[dow:12345][tl:Calendar]","2020-07-26;2024-07-26",267,-1)</f>
        <v>44412.5</v>
      </c>
      <c r="M784">
        <f>_xll.ICEHistory(M$4,M$5,"DF[dow:12345][tl:Calendar]",$L784)</f>
        <v>54.5</v>
      </c>
      <c r="N784">
        <f>_xll.ICEHistory(M$4,N$5,"DF[dow:12345][tl:Calendar]",$L784)</f>
        <v>55.63</v>
      </c>
      <c r="O784">
        <f>_xll.ICEHistory(M$4,O$5,"DF[dow:12345][tl:Calendar]",$L784)</f>
        <v>54.15</v>
      </c>
      <c r="P784">
        <f>_xll.ICEHistory(M$4,P$5,"DF[dow:12345][tl:Calendar]",$L784)</f>
        <v>55.4</v>
      </c>
      <c r="Q784">
        <f>_xll.ICEHistory(M$4,Q$5,"DF[dow:12345][tl:Calendar]",$L784)</f>
        <v>21276</v>
      </c>
      <c r="R784">
        <f>_xll.ICEHistory(M$4,R$5,"DF[dow:12345][tl:Calendar]",$L784)</f>
        <v>445759</v>
      </c>
      <c r="S784">
        <f>_xll.ICEHistory(S$4,S$5,"DF[dow:12345][tl:Calendar]",$L784)</f>
        <v>41.54</v>
      </c>
      <c r="T784">
        <f>_xll.ICEHistory(S$4,T$5,"DF[dow:12345][tl:Calendar]",$L784)</f>
        <v>42.26</v>
      </c>
      <c r="U784">
        <f>_xll.ICEHistory(S$4,U$5,"DF[dow:12345][tl:Calendar]",$L784)</f>
        <v>41.54</v>
      </c>
      <c r="V784">
        <f>_xll.ICEHistory(S$4,V$5,"DF[dow:12345][tl:Calendar]",$L784)</f>
        <v>42.253</v>
      </c>
      <c r="W784">
        <f>_xll.ICEHistory(S$4,W$5,"DF[dow:12345][tl:Calendar]",$L784)</f>
        <v>777</v>
      </c>
      <c r="X784">
        <f t="shared" si="36"/>
        <v>2.7195883866225724E-2</v>
      </c>
      <c r="Y784">
        <f t="shared" si="37"/>
        <v>-0.53425591612566381</v>
      </c>
      <c r="Z784">
        <f t="shared" si="38"/>
        <v>-0.93626773172832478</v>
      </c>
    </row>
    <row r="785" spans="12:26" x14ac:dyDescent="0.25">
      <c r="L785" s="4">
        <f>_xll.ICETimeline(_xll.ICEJoinRange(M4:W4),"DF[dow:12345][tl:Calendar]","2020-07-26;2024-07-26",266,-1)</f>
        <v>44411.5</v>
      </c>
      <c r="M785">
        <f>_xll.ICEHistory(M$4,M$5,"DF[dow:12345][tl:Calendar]",$L785)</f>
        <v>54.42</v>
      </c>
      <c r="N785">
        <f>_xll.ICEHistory(M$4,N$5,"DF[dow:12345][tl:Calendar]",$L785)</f>
        <v>55.17</v>
      </c>
      <c r="O785">
        <f>_xll.ICEHistory(M$4,O$5,"DF[dow:12345][tl:Calendar]",$L785)</f>
        <v>54</v>
      </c>
      <c r="P785">
        <f>_xll.ICEHistory(M$4,P$5,"DF[dow:12345][tl:Calendar]",$L785)</f>
        <v>54.36</v>
      </c>
      <c r="Q785">
        <f>_xll.ICEHistory(M$4,Q$5,"DF[dow:12345][tl:Calendar]",$L785)</f>
        <v>19914</v>
      </c>
      <c r="R785">
        <f>_xll.ICEHistory(M$4,R$5,"DF[dow:12345][tl:Calendar]",$L785)</f>
        <v>447000</v>
      </c>
      <c r="S785">
        <f>_xll.ICEHistory(S$4,S$5,"DF[dow:12345][tl:Calendar]",$L785)</f>
        <v>41.59</v>
      </c>
      <c r="T785">
        <f>_xll.ICEHistory(S$4,T$5,"DF[dow:12345][tl:Calendar]",$L785)</f>
        <v>42.18</v>
      </c>
      <c r="U785">
        <f>_xll.ICEHistory(S$4,U$5,"DF[dow:12345][tl:Calendar]",$L785)</f>
        <v>41.12</v>
      </c>
      <c r="V785">
        <f>_xll.ICEHistory(S$4,V$5,"DF[dow:12345][tl:Calendar]",$L785)</f>
        <v>41.243000000000002</v>
      </c>
      <c r="W785">
        <f>_xll.ICEHistory(S$4,W$5,"DF[dow:12345][tl:Calendar]",$L785)</f>
        <v>934</v>
      </c>
      <c r="X785">
        <f t="shared" si="36"/>
        <v>2.1996615905245379E-2</v>
      </c>
      <c r="Y785">
        <f t="shared" si="37"/>
        <v>-0.83591099279707881</v>
      </c>
      <c r="Z785">
        <f t="shared" si="38"/>
        <v>-1.0764503826969438</v>
      </c>
    </row>
    <row r="786" spans="12:26" x14ac:dyDescent="0.25">
      <c r="L786" s="4">
        <f>_xll.ICETimeline(_xll.ICEJoinRange(M4:W4),"DF[dow:12345][tl:Calendar]","2020-07-26;2024-07-26",265,-1)</f>
        <v>44410.5</v>
      </c>
      <c r="M786">
        <f>_xll.ICEHistory(M$4,M$5,"DF[dow:12345][tl:Calendar]",$L786)</f>
        <v>53.19</v>
      </c>
      <c r="N786">
        <f>_xll.ICEHistory(M$4,N$5,"DF[dow:12345][tl:Calendar]",$L786)</f>
        <v>55.21</v>
      </c>
      <c r="O786">
        <f>_xll.ICEHistory(M$4,O$5,"DF[dow:12345][tl:Calendar]",$L786)</f>
        <v>53.08</v>
      </c>
      <c r="P786">
        <f>_xll.ICEHistory(M$4,P$5,"DF[dow:12345][tl:Calendar]",$L786)</f>
        <v>54.29</v>
      </c>
      <c r="Q786">
        <f>_xll.ICEHistory(M$4,Q$5,"DF[dow:12345][tl:Calendar]",$L786)</f>
        <v>29055</v>
      </c>
      <c r="R786">
        <f>_xll.ICEHistory(M$4,R$5,"DF[dow:12345][tl:Calendar]",$L786)</f>
        <v>448954</v>
      </c>
      <c r="S786">
        <f>_xll.ICEHistory(S$4,S$5,"DF[dow:12345][tl:Calendar]",$L786)</f>
        <v>42.1</v>
      </c>
      <c r="T786">
        <f>_xll.ICEHistory(S$4,T$5,"DF[dow:12345][tl:Calendar]",$L786)</f>
        <v>42.69</v>
      </c>
      <c r="U786">
        <f>_xll.ICEHistory(S$4,U$5,"DF[dow:12345][tl:Calendar]",$L786)</f>
        <v>41.814999999999998</v>
      </c>
      <c r="V786">
        <f>_xll.ICEHistory(S$4,V$5,"DF[dow:12345][tl:Calendar]",$L786)</f>
        <v>42.152999999999999</v>
      </c>
      <c r="W786">
        <f>_xll.ICEHistory(S$4,W$5,"DF[dow:12345][tl:Calendar]",$L786)</f>
        <v>1356</v>
      </c>
      <c r="X786">
        <f t="shared" si="36"/>
        <v>3.9473684210526362E-2</v>
      </c>
      <c r="Y786">
        <f t="shared" si="37"/>
        <v>0.20379194630867789</v>
      </c>
      <c r="Z786">
        <f t="shared" si="38"/>
        <v>-0.23695247606829828</v>
      </c>
    </row>
    <row r="787" spans="12:26" x14ac:dyDescent="0.25">
      <c r="L787" s="4">
        <f>_xll.ICETimeline(_xll.ICEJoinRange(M4:W4),"DF[dow:12345][tl:Calendar]","2020-07-26;2024-07-26",264,-1)</f>
        <v>44407.5</v>
      </c>
      <c r="M787">
        <f>_xll.ICEHistory(M$4,M$5,"DF[dow:12345][tl:Calendar]",$L787)</f>
        <v>53.96</v>
      </c>
      <c r="N787">
        <f>_xll.ICEHistory(M$4,N$5,"DF[dow:12345][tl:Calendar]",$L787)</f>
        <v>54</v>
      </c>
      <c r="O787">
        <f>_xll.ICEHistory(M$4,O$5,"DF[dow:12345][tl:Calendar]",$L787)</f>
        <v>52.8</v>
      </c>
      <c r="P787">
        <f>_xll.ICEHistory(M$4,P$5,"DF[dow:12345][tl:Calendar]",$L787)</f>
        <v>53.25</v>
      </c>
      <c r="Q787">
        <f>_xll.ICEHistory(M$4,Q$5,"DF[dow:12345][tl:Calendar]",$L787)</f>
        <v>24638</v>
      </c>
      <c r="R787">
        <f>_xll.ICEHistory(M$4,R$5,"DF[dow:12345][tl:Calendar]",$L787)</f>
        <v>450377</v>
      </c>
      <c r="S787">
        <f>_xll.ICEHistory(S$4,S$5,"DF[dow:12345][tl:Calendar]",$L787)</f>
        <v>40.51</v>
      </c>
      <c r="T787">
        <f>_xll.ICEHistory(S$4,T$5,"DF[dow:12345][tl:Calendar]",$L787)</f>
        <v>40.854999999999997</v>
      </c>
      <c r="U787">
        <f>_xll.ICEHistory(S$4,U$5,"DF[dow:12345][tl:Calendar]",$L787)</f>
        <v>39.42</v>
      </c>
      <c r="V787">
        <f>_xll.ICEHistory(S$4,V$5,"DF[dow:12345][tl:Calendar]",$L787)</f>
        <v>40.756</v>
      </c>
      <c r="W787">
        <f>_xll.ICEHistory(S$4,W$5,"DF[dow:12345][tl:Calendar]",$L787)</f>
        <v>389</v>
      </c>
      <c r="X787">
        <f t="shared" si="36"/>
        <v>2.2164758034724841E-2</v>
      </c>
      <c r="Y787">
        <f t="shared" si="37"/>
        <v>-0.82024698876145874</v>
      </c>
      <c r="Z787">
        <f t="shared" si="38"/>
        <v>-0.63541271618015893</v>
      </c>
    </row>
    <row r="788" spans="12:26" x14ac:dyDescent="0.25">
      <c r="L788" s="4">
        <f>_xll.ICETimeline(_xll.ICEJoinRange(M4:W4),"DF[dow:12345][tl:Calendar]","2020-07-26;2024-07-26",263,-1)</f>
        <v>44406.5</v>
      </c>
      <c r="M788">
        <f>_xll.ICEHistory(M$4,M$5,"DF[dow:12345][tl:Calendar]",$L788)</f>
        <v>54.14</v>
      </c>
      <c r="N788">
        <f>_xll.ICEHistory(M$4,N$5,"DF[dow:12345][tl:Calendar]",$L788)</f>
        <v>54.35</v>
      </c>
      <c r="O788">
        <f>_xll.ICEHistory(M$4,O$5,"DF[dow:12345][tl:Calendar]",$L788)</f>
        <v>53.02</v>
      </c>
      <c r="P788">
        <f>_xll.ICEHistory(M$4,P$5,"DF[dow:12345][tl:Calendar]",$L788)</f>
        <v>53.95</v>
      </c>
      <c r="Q788">
        <f>_xll.ICEHistory(M$4,Q$5,"DF[dow:12345][tl:Calendar]",$L788)</f>
        <v>21808</v>
      </c>
      <c r="R788">
        <f>_xll.ICEHistory(M$4,R$5,"DF[dow:12345][tl:Calendar]",$L788)</f>
        <v>457695</v>
      </c>
      <c r="S788">
        <f>_xll.ICEHistory(S$4,S$5,"DF[dow:12345][tl:Calendar]",$L788)</f>
        <v>40.35</v>
      </c>
      <c r="T788">
        <f>_xll.ICEHistory(S$4,T$5,"DF[dow:12345][tl:Calendar]",$L788)</f>
        <v>41.154000000000003</v>
      </c>
      <c r="U788">
        <f>_xll.ICEHistory(S$4,U$5,"DF[dow:12345][tl:Calendar]",$L788)</f>
        <v>40.049999999999997</v>
      </c>
      <c r="V788">
        <f>_xll.ICEHistory(S$4,V$5,"DF[dow:12345][tl:Calendar]",$L788)</f>
        <v>41.154000000000003</v>
      </c>
      <c r="W788">
        <f>_xll.ICEHistory(S$4,W$5,"DF[dow:12345][tl:Calendar]",$L788)</f>
        <v>0</v>
      </c>
      <c r="X788">
        <f t="shared" si="36"/>
        <v>2.5042364903031411E-2</v>
      </c>
      <c r="Y788">
        <f t="shared" si="37"/>
        <v>-0.66449222923228757</v>
      </c>
      <c r="Z788">
        <f t="shared" si="38"/>
        <v>-0.8854513552325991</v>
      </c>
    </row>
    <row r="789" spans="12:26" x14ac:dyDescent="0.25">
      <c r="L789" s="4">
        <f>_xll.ICETimeline(_xll.ICEJoinRange(M4:W4),"DF[dow:12345][tl:Calendar]","2020-07-26;2024-07-26",262,-1)</f>
        <v>44405.5</v>
      </c>
      <c r="M789">
        <f>_xll.ICEHistory(M$4,M$5,"DF[dow:12345][tl:Calendar]",$L789)</f>
        <v>53.11</v>
      </c>
      <c r="N789">
        <f>_xll.ICEHistory(M$4,N$5,"DF[dow:12345][tl:Calendar]",$L789)</f>
        <v>54.28</v>
      </c>
      <c r="O789">
        <f>_xll.ICEHistory(M$4,O$5,"DF[dow:12345][tl:Calendar]",$L789)</f>
        <v>52.92</v>
      </c>
      <c r="P789">
        <f>_xll.ICEHistory(M$4,P$5,"DF[dow:12345][tl:Calendar]",$L789)</f>
        <v>53.8</v>
      </c>
      <c r="Q789">
        <f>_xll.ICEHistory(M$4,Q$5,"DF[dow:12345][tl:Calendar]",$L789)</f>
        <v>25345</v>
      </c>
      <c r="R789">
        <f>_xll.ICEHistory(M$4,R$5,"DF[dow:12345][tl:Calendar]",$L789)</f>
        <v>459504</v>
      </c>
      <c r="S789">
        <f>_xll.ICEHistory(S$4,S$5,"DF[dow:12345][tl:Calendar]",$L789)</f>
        <v>38.465000000000003</v>
      </c>
      <c r="T789">
        <f>_xll.ICEHistory(S$4,T$5,"DF[dow:12345][tl:Calendar]",$L789)</f>
        <v>39.715000000000003</v>
      </c>
      <c r="U789">
        <f>_xll.ICEHistory(S$4,U$5,"DF[dow:12345][tl:Calendar]",$L789)</f>
        <v>38.414999999999999</v>
      </c>
      <c r="V789">
        <f>_xll.ICEHistory(S$4,V$5,"DF[dow:12345][tl:Calendar]",$L789)</f>
        <v>39.698</v>
      </c>
      <c r="W789">
        <f>_xll.ICEHistory(S$4,W$5,"DF[dow:12345][tl:Calendar]",$L789)</f>
        <v>506</v>
      </c>
      <c r="X789">
        <f t="shared" si="36"/>
        <v>2.5539906103286374E-2</v>
      </c>
      <c r="Y789">
        <f t="shared" si="37"/>
        <v>-0.63084258810216642</v>
      </c>
      <c r="Z789">
        <f t="shared" si="38"/>
        <v>-0.58825333135225943</v>
      </c>
    </row>
    <row r="790" spans="12:26" x14ac:dyDescent="0.25">
      <c r="L790" s="4">
        <f>_xll.ICETimeline(_xll.ICEJoinRange(M4:W4),"DF[dow:12345][tl:Calendar]","2020-07-26;2024-07-26",261,-1)</f>
        <v>44404.5</v>
      </c>
      <c r="M790">
        <f>_xll.ICEHistory(M$4,M$5,"DF[dow:12345][tl:Calendar]",$L790)</f>
        <v>53.25</v>
      </c>
      <c r="N790">
        <f>_xll.ICEHistory(M$4,N$5,"DF[dow:12345][tl:Calendar]",$L790)</f>
        <v>53.78</v>
      </c>
      <c r="O790">
        <f>_xll.ICEHistory(M$4,O$5,"DF[dow:12345][tl:Calendar]",$L790)</f>
        <v>52.79</v>
      </c>
      <c r="P790">
        <f>_xll.ICEHistory(M$4,P$5,"DF[dow:12345][tl:Calendar]",$L790)</f>
        <v>53.1</v>
      </c>
      <c r="Q790">
        <f>_xll.ICEHistory(M$4,Q$5,"DF[dow:12345][tl:Calendar]",$L790)</f>
        <v>24439</v>
      </c>
      <c r="R790">
        <f>_xll.ICEHistory(M$4,R$5,"DF[dow:12345][tl:Calendar]",$L790)</f>
        <v>462065</v>
      </c>
      <c r="S790">
        <f>_xll.ICEHistory(S$4,S$5,"DF[dow:12345][tl:Calendar]",$L790)</f>
        <v>37.695</v>
      </c>
      <c r="T790">
        <f>_xll.ICEHistory(S$4,T$5,"DF[dow:12345][tl:Calendar]",$L790)</f>
        <v>37.704999999999998</v>
      </c>
      <c r="U790">
        <f>_xll.ICEHistory(S$4,U$5,"DF[dow:12345][tl:Calendar]",$L790)</f>
        <v>37.26</v>
      </c>
      <c r="V790">
        <f>_xll.ICEHistory(S$4,V$5,"DF[dow:12345][tl:Calendar]",$L790)</f>
        <v>37.590000000000003</v>
      </c>
      <c r="W790">
        <f>_xll.ICEHistory(S$4,W$5,"DF[dow:12345][tl:Calendar]",$L790)</f>
        <v>559</v>
      </c>
      <c r="X790">
        <f t="shared" si="36"/>
        <v>1.9419380149078111E-2</v>
      </c>
      <c r="Y790">
        <f t="shared" si="37"/>
        <v>-0.99664690894586838</v>
      </c>
      <c r="Z790">
        <f t="shared" si="38"/>
        <v>-0.67585275122655519</v>
      </c>
    </row>
    <row r="791" spans="12:26" x14ac:dyDescent="0.25">
      <c r="L791" s="4">
        <f>_xll.ICETimeline(_xll.ICEJoinRange(M4:W4),"DF[dow:12345][tl:Calendar]","2020-07-26;2024-07-26",260,-1)</f>
        <v>44403.5</v>
      </c>
      <c r="M791">
        <f>_xll.ICEHistory(M$4,M$5,"DF[dow:12345][tl:Calendar]",$L791)</f>
        <v>50.98</v>
      </c>
      <c r="N791">
        <f>_xll.ICEHistory(M$4,N$5,"DF[dow:12345][tl:Calendar]",$L791)</f>
        <v>53.36</v>
      </c>
      <c r="O791">
        <f>_xll.ICEHistory(M$4,O$5,"DF[dow:12345][tl:Calendar]",$L791)</f>
        <v>50.56</v>
      </c>
      <c r="P791">
        <f>_xll.ICEHistory(M$4,P$5,"DF[dow:12345][tl:Calendar]",$L791)</f>
        <v>53.15</v>
      </c>
      <c r="Q791">
        <f>_xll.ICEHistory(M$4,Q$5,"DF[dow:12345][tl:Calendar]",$L791)</f>
        <v>25857</v>
      </c>
      <c r="R791">
        <f>_xll.ICEHistory(M$4,R$5,"DF[dow:12345][tl:Calendar]",$L791)</f>
        <v>460566</v>
      </c>
      <c r="S791">
        <f>_xll.ICEHistory(S$4,S$5,"DF[dow:12345][tl:Calendar]",$L791)</f>
        <v>36.14</v>
      </c>
      <c r="T791">
        <f>_xll.ICEHistory(S$4,T$5,"DF[dow:12345][tl:Calendar]",$L791)</f>
        <v>37.024999999999999</v>
      </c>
      <c r="U791">
        <f>_xll.ICEHistory(S$4,U$5,"DF[dow:12345][tl:Calendar]",$L791)</f>
        <v>35.909999999999997</v>
      </c>
      <c r="V791">
        <f>_xll.ICEHistory(S$4,V$5,"DF[dow:12345][tl:Calendar]",$L791)</f>
        <v>36.914000000000001</v>
      </c>
      <c r="W791">
        <f>_xll.ICEHistory(S$4,W$5,"DF[dow:12345][tl:Calendar]",$L791)</f>
        <v>173</v>
      </c>
      <c r="X791">
        <f t="shared" si="36"/>
        <v>5.5843637814120405E-2</v>
      </c>
      <c r="Y791">
        <f t="shared" si="37"/>
        <v>1.1922266016911249</v>
      </c>
      <c r="Z791">
        <f t="shared" si="38"/>
        <v>-0.54825723832232998</v>
      </c>
    </row>
    <row r="792" spans="12:26" x14ac:dyDescent="0.25">
      <c r="L792" s="4">
        <f>_xll.ICETimeline(_xll.ICEJoinRange(M4:W4),"DF[dow:12345][tl:Calendar]","2020-07-26;2024-07-26",259,-1)</f>
        <v>44400.5</v>
      </c>
      <c r="M792">
        <f>_xll.ICEHistory(M$4,M$5,"DF[dow:12345][tl:Calendar]",$L792)</f>
        <v>50.14</v>
      </c>
      <c r="N792">
        <f>_xll.ICEHistory(M$4,N$5,"DF[dow:12345][tl:Calendar]",$L792)</f>
        <v>50.97</v>
      </c>
      <c r="O792">
        <f>_xll.ICEHistory(M$4,O$5,"DF[dow:12345][tl:Calendar]",$L792)</f>
        <v>49.99</v>
      </c>
      <c r="P792">
        <f>_xll.ICEHistory(M$4,P$5,"DF[dow:12345][tl:Calendar]",$L792)</f>
        <v>50.95</v>
      </c>
      <c r="Q792">
        <f>_xll.ICEHistory(M$4,Q$5,"DF[dow:12345][tl:Calendar]",$L792)</f>
        <v>19728</v>
      </c>
      <c r="R792">
        <f>_xll.ICEHistory(M$4,R$5,"DF[dow:12345][tl:Calendar]",$L792)</f>
        <v>462115</v>
      </c>
      <c r="S792">
        <f>_xll.ICEHistory(S$4,S$5,"DF[dow:12345][tl:Calendar]",$L792)</f>
        <v>35.814999999999998</v>
      </c>
      <c r="T792">
        <f>_xll.ICEHistory(S$4,T$5,"DF[dow:12345][tl:Calendar]",$L792)</f>
        <v>35.94</v>
      </c>
      <c r="U792">
        <f>_xll.ICEHistory(S$4,U$5,"DF[dow:12345][tl:Calendar]",$L792)</f>
        <v>35.1</v>
      </c>
      <c r="V792">
        <f>_xll.ICEHistory(S$4,V$5,"DF[dow:12345][tl:Calendar]",$L792)</f>
        <v>35.523000000000003</v>
      </c>
      <c r="W792">
        <f>_xll.ICEHistory(S$4,W$5,"DF[dow:12345][tl:Calendar]",$L792)</f>
        <v>534</v>
      </c>
      <c r="X792">
        <f t="shared" si="36"/>
        <v>1.8828049951969201E-2</v>
      </c>
      <c r="Y792">
        <f t="shared" si="37"/>
        <v>-1.0196301051999557</v>
      </c>
      <c r="Z792">
        <f t="shared" si="38"/>
        <v>-1.1098435172774679</v>
      </c>
    </row>
    <row r="793" spans="12:26" x14ac:dyDescent="0.25">
      <c r="L793" s="4">
        <f>_xll.ICETimeline(_xll.ICEJoinRange(M4:W4),"DF[dow:12345][tl:Calendar]","2020-07-26;2024-07-26",258,-1)</f>
        <v>44399.5</v>
      </c>
      <c r="M793">
        <f>_xll.ICEHistory(M$4,M$5,"DF[dow:12345][tl:Calendar]",$L793)</f>
        <v>52.05</v>
      </c>
      <c r="N793">
        <f>_xll.ICEHistory(M$4,N$5,"DF[dow:12345][tl:Calendar]",$L793)</f>
        <v>52.29</v>
      </c>
      <c r="O793">
        <f>_xll.ICEHistory(M$4,O$5,"DF[dow:12345][tl:Calendar]",$L793)</f>
        <v>50.05</v>
      </c>
      <c r="P793">
        <f>_xll.ICEHistory(M$4,P$5,"DF[dow:12345][tl:Calendar]",$L793)</f>
        <v>50.25</v>
      </c>
      <c r="Q793">
        <f>_xll.ICEHistory(M$4,Q$5,"DF[dow:12345][tl:Calendar]",$L793)</f>
        <v>32733</v>
      </c>
      <c r="R793">
        <f>_xll.ICEHistory(M$4,R$5,"DF[dow:12345][tl:Calendar]",$L793)</f>
        <v>464827</v>
      </c>
      <c r="S793">
        <f>_xll.ICEHistory(S$4,S$5,"DF[dow:12345][tl:Calendar]",$L793)</f>
        <v>35.674999999999997</v>
      </c>
      <c r="T793">
        <f>_xll.ICEHistory(S$4,T$5,"DF[dow:12345][tl:Calendar]",$L793)</f>
        <v>36.435000000000002</v>
      </c>
      <c r="U793">
        <f>_xll.ICEHistory(S$4,U$5,"DF[dow:12345][tl:Calendar]",$L793)</f>
        <v>35.65</v>
      </c>
      <c r="V793">
        <f>_xll.ICEHistory(S$4,V$5,"DF[dow:12345][tl:Calendar]",$L793)</f>
        <v>36.128999999999998</v>
      </c>
      <c r="W793">
        <f>_xll.ICEHistory(S$4,W$5,"DF[dow:12345][tl:Calendar]",$L793)</f>
        <v>585</v>
      </c>
      <c r="X793">
        <f t="shared" si="36"/>
        <v>4.3775649794801676E-2</v>
      </c>
      <c r="Y793">
        <f t="shared" si="37"/>
        <v>0.49298140605511132</v>
      </c>
      <c r="Z793">
        <f t="shared" si="38"/>
        <v>3.6278834427725871E-2</v>
      </c>
    </row>
    <row r="794" spans="12:26" x14ac:dyDescent="0.25">
      <c r="L794" s="4">
        <f>_xll.ICETimeline(_xll.ICEJoinRange(M4:W4),"DF[dow:12345][tl:Calendar]","2020-07-26;2024-07-26",257,-1)</f>
        <v>44398.5</v>
      </c>
      <c r="M794">
        <f>_xll.ICEHistory(M$4,M$5,"DF[dow:12345][tl:Calendar]",$L794)</f>
        <v>51.17</v>
      </c>
      <c r="N794">
        <f>_xll.ICEHistory(M$4,N$5,"DF[dow:12345][tl:Calendar]",$L794)</f>
        <v>52.3</v>
      </c>
      <c r="O794">
        <f>_xll.ICEHistory(M$4,O$5,"DF[dow:12345][tl:Calendar]",$L794)</f>
        <v>50.89</v>
      </c>
      <c r="P794">
        <f>_xll.ICEHistory(M$4,P$5,"DF[dow:12345][tl:Calendar]",$L794)</f>
        <v>52.05</v>
      </c>
      <c r="Q794">
        <f>_xll.ICEHistory(M$4,Q$5,"DF[dow:12345][tl:Calendar]",$L794)</f>
        <v>27695</v>
      </c>
      <c r="R794">
        <f>_xll.ICEHistory(M$4,R$5,"DF[dow:12345][tl:Calendar]",$L794)</f>
        <v>465710</v>
      </c>
      <c r="S794">
        <f>_xll.ICEHistory(S$4,S$5,"DF[dow:12345][tl:Calendar]",$L794)</f>
        <v>35.5</v>
      </c>
      <c r="T794">
        <f>_xll.ICEHistory(S$4,T$5,"DF[dow:12345][tl:Calendar]",$L794)</f>
        <v>36.200000000000003</v>
      </c>
      <c r="U794">
        <f>_xll.ICEHistory(S$4,U$5,"DF[dow:12345][tl:Calendar]",$L794)</f>
        <v>35.46</v>
      </c>
      <c r="V794">
        <f>_xll.ICEHistory(S$4,V$5,"DF[dow:12345][tl:Calendar]",$L794)</f>
        <v>35.948999999999998</v>
      </c>
      <c r="W794">
        <f>_xll.ICEHistory(S$4,W$5,"DF[dow:12345][tl:Calendar]",$L794)</f>
        <v>370</v>
      </c>
      <c r="X794">
        <f t="shared" si="36"/>
        <v>2.6898130484547818E-2</v>
      </c>
      <c r="Y794">
        <f t="shared" si="37"/>
        <v>-0.52239273523706875</v>
      </c>
      <c r="Z794">
        <f t="shared" si="38"/>
        <v>-0.42779056820710426</v>
      </c>
    </row>
    <row r="795" spans="12:26" x14ac:dyDescent="0.25">
      <c r="L795" s="4">
        <f>_xll.ICETimeline(_xll.ICEJoinRange(M4:W4),"DF[dow:12345][tl:Calendar]","2020-07-26;2024-07-26",256,-1)</f>
        <v>44397.5</v>
      </c>
      <c r="M795">
        <f>_xll.ICEHistory(M$4,M$5,"DF[dow:12345][tl:Calendar]",$L795)</f>
        <v>52.42</v>
      </c>
      <c r="N795">
        <f>_xll.ICEHistory(M$4,N$5,"DF[dow:12345][tl:Calendar]",$L795)</f>
        <v>52.58</v>
      </c>
      <c r="O795">
        <f>_xll.ICEHistory(M$4,O$5,"DF[dow:12345][tl:Calendar]",$L795)</f>
        <v>50.5</v>
      </c>
      <c r="P795">
        <f>_xll.ICEHistory(M$4,P$5,"DF[dow:12345][tl:Calendar]",$L795)</f>
        <v>51.45</v>
      </c>
      <c r="Q795">
        <f>_xll.ICEHistory(M$4,Q$5,"DF[dow:12345][tl:Calendar]",$L795)</f>
        <v>39356</v>
      </c>
      <c r="R795">
        <f>_xll.ICEHistory(M$4,R$5,"DF[dow:12345][tl:Calendar]",$L795)</f>
        <v>466126</v>
      </c>
      <c r="S795">
        <f>_xll.ICEHistory(S$4,S$5,"DF[dow:12345][tl:Calendar]",$L795)</f>
        <v>35.094999999999999</v>
      </c>
      <c r="T795">
        <f>_xll.ICEHistory(S$4,T$5,"DF[dow:12345][tl:Calendar]",$L795)</f>
        <v>35.314999999999998</v>
      </c>
      <c r="U795">
        <f>_xll.ICEHistory(S$4,U$5,"DF[dow:12345][tl:Calendar]",$L795)</f>
        <v>34.625</v>
      </c>
      <c r="V795">
        <f>_xll.ICEHistory(S$4,V$5,"DF[dow:12345][tl:Calendar]",$L795)</f>
        <v>35.164999999999999</v>
      </c>
      <c r="W795">
        <f>_xll.ICEHistory(S$4,W$5,"DF[dow:12345][tl:Calendar]",$L795)</f>
        <v>521</v>
      </c>
      <c r="X795">
        <f t="shared" si="36"/>
        <v>3.9476181438603118E-2</v>
      </c>
      <c r="Y795">
        <f t="shared" si="37"/>
        <v>0.2351565738221513</v>
      </c>
      <c r="Z795">
        <f t="shared" si="38"/>
        <v>0.62410644475176369</v>
      </c>
    </row>
    <row r="796" spans="12:26" x14ac:dyDescent="0.25">
      <c r="L796" s="4">
        <f>_xll.ICETimeline(_xll.ICEJoinRange(M4:W4),"DF[dow:12345][tl:Calendar]","2020-07-26;2024-07-26",255,-1)</f>
        <v>44396.5</v>
      </c>
      <c r="M796">
        <f>_xll.ICEHistory(M$4,M$5,"DF[dow:12345][tl:Calendar]",$L796)</f>
        <v>52.69</v>
      </c>
      <c r="N796">
        <f>_xll.ICEHistory(M$4,N$5,"DF[dow:12345][tl:Calendar]",$L796)</f>
        <v>53.97</v>
      </c>
      <c r="O796">
        <f>_xll.ICEHistory(M$4,O$5,"DF[dow:12345][tl:Calendar]",$L796)</f>
        <v>51.97</v>
      </c>
      <c r="P796">
        <f>_xll.ICEHistory(M$4,P$5,"DF[dow:12345][tl:Calendar]",$L796)</f>
        <v>52.5</v>
      </c>
      <c r="Q796">
        <f>_xll.ICEHistory(M$4,Q$5,"DF[dow:12345][tl:Calendar]",$L796)</f>
        <v>26151</v>
      </c>
      <c r="R796">
        <f>_xll.ICEHistory(M$4,R$5,"DF[dow:12345][tl:Calendar]",$L796)</f>
        <v>468406</v>
      </c>
      <c r="S796">
        <f>_xll.ICEHistory(S$4,S$5,"DF[dow:12345][tl:Calendar]",$L796)</f>
        <v>36.450000000000003</v>
      </c>
      <c r="T796">
        <f>_xll.ICEHistory(S$4,T$5,"DF[dow:12345][tl:Calendar]",$L796)</f>
        <v>36.81</v>
      </c>
      <c r="U796">
        <f>_xll.ICEHistory(S$4,U$5,"DF[dow:12345][tl:Calendar]",$L796)</f>
        <v>35.615000000000002</v>
      </c>
      <c r="V796">
        <f>_xll.ICEHistory(S$4,V$5,"DF[dow:12345][tl:Calendar]",$L796)</f>
        <v>35.649000000000001</v>
      </c>
      <c r="W796">
        <f>_xll.ICEHistory(S$4,W$5,"DF[dow:12345][tl:Calendar]",$L796)</f>
        <v>421</v>
      </c>
      <c r="X796">
        <f t="shared" si="36"/>
        <v>3.7821482602117998E-2</v>
      </c>
      <c r="Y796">
        <f t="shared" si="37"/>
        <v>0.14336634324332462</v>
      </c>
      <c r="Z796">
        <f t="shared" si="38"/>
        <v>-0.55280266617006191</v>
      </c>
    </row>
    <row r="797" spans="12:26" x14ac:dyDescent="0.25">
      <c r="L797" s="4">
        <f>_xll.ICETimeline(_xll.ICEJoinRange(M4:W4),"DF[dow:12345][tl:Calendar]","2020-07-26;2024-07-26",254,-1)</f>
        <v>44393.5</v>
      </c>
      <c r="M797">
        <f>_xll.ICEHistory(M$4,M$5,"DF[dow:12345][tl:Calendar]",$L797)</f>
        <v>52.88</v>
      </c>
      <c r="N797">
        <f>_xll.ICEHistory(M$4,N$5,"DF[dow:12345][tl:Calendar]",$L797)</f>
        <v>53.65</v>
      </c>
      <c r="O797">
        <f>_xll.ICEHistory(M$4,O$5,"DF[dow:12345][tl:Calendar]",$L797)</f>
        <v>52.29</v>
      </c>
      <c r="P797">
        <f>_xll.ICEHistory(M$4,P$5,"DF[dow:12345][tl:Calendar]",$L797)</f>
        <v>53.2</v>
      </c>
      <c r="Q797">
        <f>_xll.ICEHistory(M$4,Q$5,"DF[dow:12345][tl:Calendar]",$L797)</f>
        <v>20240</v>
      </c>
      <c r="R797">
        <f>_xll.ICEHistory(M$4,R$5,"DF[dow:12345][tl:Calendar]",$L797)</f>
        <v>467555</v>
      </c>
      <c r="S797">
        <f>_xll.ICEHistory(S$4,S$5,"DF[dow:12345][tl:Calendar]",$L797)</f>
        <v>35.1</v>
      </c>
      <c r="T797">
        <f>_xll.ICEHistory(S$4,T$5,"DF[dow:12345][tl:Calendar]",$L797)</f>
        <v>35.524999999999999</v>
      </c>
      <c r="U797">
        <f>_xll.ICEHistory(S$4,U$5,"DF[dow:12345][tl:Calendar]",$L797)</f>
        <v>34.6</v>
      </c>
      <c r="V797">
        <f>_xll.ICEHistory(S$4,V$5,"DF[dow:12345][tl:Calendar]",$L797)</f>
        <v>34.841999999999999</v>
      </c>
      <c r="W797">
        <f>_xll.ICEHistory(S$4,W$5,"DF[dow:12345][tl:Calendar]",$L797)</f>
        <v>463</v>
      </c>
      <c r="X797">
        <f t="shared" si="36"/>
        <v>2.5914634146341455E-2</v>
      </c>
      <c r="Y797">
        <f t="shared" si="37"/>
        <v>-0.57086119250109102</v>
      </c>
      <c r="Z797">
        <f t="shared" si="38"/>
        <v>-1.0758330170287691</v>
      </c>
    </row>
    <row r="798" spans="12:26" x14ac:dyDescent="0.25">
      <c r="L798" s="4">
        <f>_xll.ICETimeline(_xll.ICEJoinRange(M4:W4),"DF[dow:12345][tl:Calendar]","2020-07-26;2024-07-26",253,-1)</f>
        <v>44392.5</v>
      </c>
      <c r="M798">
        <f>_xll.ICEHistory(M$4,M$5,"DF[dow:12345][tl:Calendar]",$L798)</f>
        <v>52.48</v>
      </c>
      <c r="N798">
        <f>_xll.ICEHistory(M$4,N$5,"DF[dow:12345][tl:Calendar]",$L798)</f>
        <v>53.57</v>
      </c>
      <c r="O798">
        <f>_xll.ICEHistory(M$4,O$5,"DF[dow:12345][tl:Calendar]",$L798)</f>
        <v>51.88</v>
      </c>
      <c r="P798">
        <f>_xll.ICEHistory(M$4,P$5,"DF[dow:12345][tl:Calendar]",$L798)</f>
        <v>52.83</v>
      </c>
      <c r="Q798">
        <f>_xll.ICEHistory(M$4,Q$5,"DF[dow:12345][tl:Calendar]",$L798)</f>
        <v>26930</v>
      </c>
      <c r="R798">
        <f>_xll.ICEHistory(M$4,R$5,"DF[dow:12345][tl:Calendar]",$L798)</f>
        <v>467062</v>
      </c>
      <c r="S798">
        <f>_xll.ICEHistory(S$4,S$5,"DF[dow:12345][tl:Calendar]",$L798)</f>
        <v>34.200000000000003</v>
      </c>
      <c r="T798">
        <f>_xll.ICEHistory(S$4,T$5,"DF[dow:12345][tl:Calendar]",$L798)</f>
        <v>34.604999999999997</v>
      </c>
      <c r="U798">
        <f>_xll.ICEHistory(S$4,U$5,"DF[dow:12345][tl:Calendar]",$L798)</f>
        <v>33.61</v>
      </c>
      <c r="V798">
        <f>_xll.ICEHistory(S$4,V$5,"DF[dow:12345][tl:Calendar]",$L798)</f>
        <v>33.796999999999997</v>
      </c>
      <c r="W798">
        <f>_xll.ICEHistory(S$4,W$5,"DF[dow:12345][tl:Calendar]",$L798)</f>
        <v>464</v>
      </c>
      <c r="X798">
        <f t="shared" si="36"/>
        <v>3.1832736861932526E-2</v>
      </c>
      <c r="Y798">
        <f t="shared" si="37"/>
        <v>-0.19641971815335244</v>
      </c>
      <c r="Z798">
        <f t="shared" si="38"/>
        <v>-0.47016431828466676</v>
      </c>
    </row>
    <row r="799" spans="12:26" x14ac:dyDescent="0.25">
      <c r="L799" s="4">
        <f>_xll.ICETimeline(_xll.ICEJoinRange(M4:W4),"DF[dow:12345][tl:Calendar]","2020-07-26;2024-07-26",252,-1)</f>
        <v>44391.5</v>
      </c>
      <c r="M799">
        <f>_xll.ICEHistory(M$4,M$5,"DF[dow:12345][tl:Calendar]",$L799)</f>
        <v>53.09</v>
      </c>
      <c r="N799">
        <f>_xll.ICEHistory(M$4,N$5,"DF[dow:12345][tl:Calendar]",$L799)</f>
        <v>55.46</v>
      </c>
      <c r="O799">
        <f>_xll.ICEHistory(M$4,O$5,"DF[dow:12345][tl:Calendar]",$L799)</f>
        <v>51.64</v>
      </c>
      <c r="P799">
        <f>_xll.ICEHistory(M$4,P$5,"DF[dow:12345][tl:Calendar]",$L799)</f>
        <v>52.4</v>
      </c>
      <c r="Q799">
        <f>_xll.ICEHistory(M$4,Q$5,"DF[dow:12345][tl:Calendar]",$L799)</f>
        <v>35709</v>
      </c>
      <c r="R799">
        <f>_xll.ICEHistory(M$4,R$5,"DF[dow:12345][tl:Calendar]",$L799)</f>
        <v>466622</v>
      </c>
      <c r="S799">
        <f>_xll.ICEHistory(S$4,S$5,"DF[dow:12345][tl:Calendar]",$L799)</f>
        <v>34.835000000000001</v>
      </c>
      <c r="T799">
        <f>_xll.ICEHistory(S$4,T$5,"DF[dow:12345][tl:Calendar]",$L799)</f>
        <v>35.174999999999997</v>
      </c>
      <c r="U799">
        <f>_xll.ICEHistory(S$4,U$5,"DF[dow:12345][tl:Calendar]",$L799)</f>
        <v>33.405000000000001</v>
      </c>
      <c r="V799">
        <f>_xll.ICEHistory(S$4,V$5,"DF[dow:12345][tl:Calendar]",$L799)</f>
        <v>34.774999999999999</v>
      </c>
      <c r="W799">
        <f>_xll.ICEHistory(S$4,W$5,"DF[dow:12345][tl:Calendar]",$L799)</f>
        <v>624</v>
      </c>
      <c r="X799">
        <f t="shared" si="36"/>
        <v>7.3702488906038977E-2</v>
      </c>
      <c r="Y799">
        <f t="shared" si="37"/>
        <v>2.3230983518980395</v>
      </c>
      <c r="Z799">
        <f t="shared" si="38"/>
        <v>0.32356635659837663</v>
      </c>
    </row>
    <row r="800" spans="12:26" x14ac:dyDescent="0.25">
      <c r="L800" s="4">
        <f>_xll.ICETimeline(_xll.ICEJoinRange(M4:W4),"DF[dow:12345][tl:Calendar]","2020-07-26;2024-07-26",251,-1)</f>
        <v>44390.5</v>
      </c>
      <c r="M800">
        <f>_xll.ICEHistory(M$4,M$5,"DF[dow:12345][tl:Calendar]",$L800)</f>
        <v>51.83</v>
      </c>
      <c r="N800">
        <f>_xll.ICEHistory(M$4,N$5,"DF[dow:12345][tl:Calendar]",$L800)</f>
        <v>53.3</v>
      </c>
      <c r="O800">
        <f>_xll.ICEHistory(M$4,O$5,"DF[dow:12345][tl:Calendar]",$L800)</f>
        <v>51.25</v>
      </c>
      <c r="P800">
        <f>_xll.ICEHistory(M$4,P$5,"DF[dow:12345][tl:Calendar]",$L800)</f>
        <v>53.11</v>
      </c>
      <c r="Q800">
        <f>_xll.ICEHistory(M$4,Q$5,"DF[dow:12345][tl:Calendar]",$L800)</f>
        <v>26496</v>
      </c>
      <c r="R800">
        <f>_xll.ICEHistory(M$4,R$5,"DF[dow:12345][tl:Calendar]",$L800)</f>
        <v>465493</v>
      </c>
      <c r="S800">
        <f>_xll.ICEHistory(S$4,S$5,"DF[dow:12345][tl:Calendar]",$L800)</f>
        <v>34.305</v>
      </c>
      <c r="T800">
        <f>_xll.ICEHistory(S$4,T$5,"DF[dow:12345][tl:Calendar]",$L800)</f>
        <v>35.835000000000001</v>
      </c>
      <c r="U800">
        <f>_xll.ICEHistory(S$4,U$5,"DF[dow:12345][tl:Calendar]",$L800)</f>
        <v>34.145000000000003</v>
      </c>
      <c r="V800">
        <f>_xll.ICEHistory(S$4,V$5,"DF[dow:12345][tl:Calendar]",$L800)</f>
        <v>35.463000000000001</v>
      </c>
      <c r="W800">
        <f>_xll.ICEHistory(S$4,W$5,"DF[dow:12345][tl:Calendar]",$L800)</f>
        <v>939</v>
      </c>
      <c r="X800">
        <f t="shared" si="36"/>
        <v>3.7801954637654386E-2</v>
      </c>
      <c r="Y800">
        <f t="shared" si="37"/>
        <v>0.23640719410274486</v>
      </c>
      <c r="Z800">
        <f t="shared" si="38"/>
        <v>-0.4830939508975598</v>
      </c>
    </row>
    <row r="801" spans="12:26" x14ac:dyDescent="0.25">
      <c r="L801" s="4">
        <f>_xll.ICETimeline(_xll.ICEJoinRange(M4:W4),"DF[dow:12345][tl:Calendar]","2020-07-26;2024-07-26",250,-1)</f>
        <v>44389.5</v>
      </c>
      <c r="M801">
        <f>_xll.ICEHistory(M$4,M$5,"DF[dow:12345][tl:Calendar]",$L801)</f>
        <v>54.23</v>
      </c>
      <c r="N801">
        <f>_xll.ICEHistory(M$4,N$5,"DF[dow:12345][tl:Calendar]",$L801)</f>
        <v>54.25</v>
      </c>
      <c r="O801">
        <f>_xll.ICEHistory(M$4,O$5,"DF[dow:12345][tl:Calendar]",$L801)</f>
        <v>51.5</v>
      </c>
      <c r="P801">
        <f>_xll.ICEHistory(M$4,P$5,"DF[dow:12345][tl:Calendar]",$L801)</f>
        <v>51.83</v>
      </c>
      <c r="Q801">
        <f>_xll.ICEHistory(M$4,Q$5,"DF[dow:12345][tl:Calendar]",$L801)</f>
        <v>31623</v>
      </c>
      <c r="R801">
        <f>_xll.ICEHistory(M$4,R$5,"DF[dow:12345][tl:Calendar]",$L801)</f>
        <v>466403</v>
      </c>
      <c r="S801">
        <f>_xll.ICEHistory(S$4,S$5,"DF[dow:12345][tl:Calendar]",$L801)</f>
        <v>35.234999999999999</v>
      </c>
      <c r="T801">
        <f>_xll.ICEHistory(S$4,T$5,"DF[dow:12345][tl:Calendar]",$L801)</f>
        <v>36.15</v>
      </c>
      <c r="U801">
        <f>_xll.ICEHistory(S$4,U$5,"DF[dow:12345][tl:Calendar]",$L801)</f>
        <v>34.395000000000003</v>
      </c>
      <c r="V801">
        <f>_xll.ICEHistory(S$4,V$5,"DF[dow:12345][tl:Calendar]",$L801)</f>
        <v>34.649000000000001</v>
      </c>
      <c r="W801">
        <f>_xll.ICEHistory(S$4,W$5,"DF[dow:12345][tl:Calendar]",$L801)</f>
        <v>1144</v>
      </c>
      <c r="X801">
        <f t="shared" si="36"/>
        <v>5.220197418375095E-2</v>
      </c>
      <c r="Y801">
        <f t="shared" si="37"/>
        <v>1.1394740773459691</v>
      </c>
      <c r="Z801">
        <f t="shared" si="38"/>
        <v>-1.9500123821963668E-2</v>
      </c>
    </row>
    <row r="802" spans="12:26" x14ac:dyDescent="0.25">
      <c r="L802" s="4">
        <f>_xll.ICETimeline(_xll.ICEJoinRange(M4:W4),"DF[dow:12345][tl:Calendar]","2020-07-26;2024-07-26",249,-1)</f>
        <v>44386.5</v>
      </c>
      <c r="M802">
        <f>_xll.ICEHistory(M$4,M$5,"DF[dow:12345][tl:Calendar]",$L802)</f>
        <v>52.68</v>
      </c>
      <c r="N802">
        <f>_xll.ICEHistory(M$4,N$5,"DF[dow:12345][tl:Calendar]",$L802)</f>
        <v>54.45</v>
      </c>
      <c r="O802">
        <f>_xll.ICEHistory(M$4,O$5,"DF[dow:12345][tl:Calendar]",$L802)</f>
        <v>52.59</v>
      </c>
      <c r="P802">
        <f>_xll.ICEHistory(M$4,P$5,"DF[dow:12345][tl:Calendar]",$L802)</f>
        <v>54.13</v>
      </c>
      <c r="Q802">
        <f>_xll.ICEHistory(M$4,Q$5,"DF[dow:12345][tl:Calendar]",$L802)</f>
        <v>29532</v>
      </c>
      <c r="R802">
        <f>_xll.ICEHistory(M$4,R$5,"DF[dow:12345][tl:Calendar]",$L802)</f>
        <v>468009</v>
      </c>
      <c r="S802">
        <f>_xll.ICEHistory(S$4,S$5,"DF[dow:12345][tl:Calendar]",$L802)</f>
        <v>35.840000000000003</v>
      </c>
      <c r="T802">
        <f>_xll.ICEHistory(S$4,T$5,"DF[dow:12345][tl:Calendar]",$L802)</f>
        <v>36.85</v>
      </c>
      <c r="U802">
        <f>_xll.ICEHistory(S$4,U$5,"DF[dow:12345][tl:Calendar]",$L802)</f>
        <v>35.564999999999998</v>
      </c>
      <c r="V802">
        <f>_xll.ICEHistory(S$4,V$5,"DF[dow:12345][tl:Calendar]",$L802)</f>
        <v>36.631999999999998</v>
      </c>
      <c r="W802">
        <f>_xll.ICEHistory(S$4,W$5,"DF[dow:12345][tl:Calendar]",$L802)</f>
        <v>660</v>
      </c>
      <c r="X802">
        <f t="shared" si="36"/>
        <v>3.5294117647058809E-2</v>
      </c>
      <c r="Y802">
        <f t="shared" si="37"/>
        <v>0.12230607467861931</v>
      </c>
      <c r="Z802">
        <f t="shared" si="38"/>
        <v>-0.18405345034985912</v>
      </c>
    </row>
    <row r="803" spans="12:26" x14ac:dyDescent="0.25">
      <c r="L803" s="4">
        <f>_xll.ICETimeline(_xll.ICEJoinRange(M4:W4),"DF[dow:12345][tl:Calendar]","2020-07-26;2024-07-26",248,-1)</f>
        <v>44385.5</v>
      </c>
      <c r="M803">
        <f>_xll.ICEHistory(M$4,M$5,"DF[dow:12345][tl:Calendar]",$L803)</f>
        <v>52.7</v>
      </c>
      <c r="N803">
        <f>_xll.ICEHistory(M$4,N$5,"DF[dow:12345][tl:Calendar]",$L803)</f>
        <v>53.25</v>
      </c>
      <c r="O803">
        <f>_xll.ICEHistory(M$4,O$5,"DF[dow:12345][tl:Calendar]",$L803)</f>
        <v>50.87</v>
      </c>
      <c r="P803">
        <f>_xll.ICEHistory(M$4,P$5,"DF[dow:12345][tl:Calendar]",$L803)</f>
        <v>52.8</v>
      </c>
      <c r="Q803">
        <f>_xll.ICEHistory(M$4,Q$5,"DF[dow:12345][tl:Calendar]",$L803)</f>
        <v>47093</v>
      </c>
      <c r="R803">
        <f>_xll.ICEHistory(M$4,R$5,"DF[dow:12345][tl:Calendar]",$L803)</f>
        <v>467151</v>
      </c>
      <c r="S803">
        <f>_xll.ICEHistory(S$4,S$5,"DF[dow:12345][tl:Calendar]",$L803)</f>
        <v>32.29</v>
      </c>
      <c r="T803">
        <f>_xll.ICEHistory(S$4,T$5,"DF[dow:12345][tl:Calendar]",$L803)</f>
        <v>33.875</v>
      </c>
      <c r="U803">
        <f>_xll.ICEHistory(S$4,U$5,"DF[dow:12345][tl:Calendar]",$L803)</f>
        <v>31.47</v>
      </c>
      <c r="V803">
        <f>_xll.ICEHistory(S$4,V$5,"DF[dow:12345][tl:Calendar]",$L803)</f>
        <v>33.311999999999998</v>
      </c>
      <c r="W803">
        <f>_xll.ICEHistory(S$4,W$5,"DF[dow:12345][tl:Calendar]",$L803)</f>
        <v>1188</v>
      </c>
      <c r="X803">
        <f t="shared" si="36"/>
        <v>4.4485981308411263E-2</v>
      </c>
      <c r="Y803">
        <f t="shared" si="37"/>
        <v>0.70716188467305374</v>
      </c>
      <c r="Z803">
        <f t="shared" si="38"/>
        <v>1.3571617097093169</v>
      </c>
    </row>
    <row r="804" spans="12:26" x14ac:dyDescent="0.25">
      <c r="L804" s="4">
        <f>_xll.ICETimeline(_xll.ICEJoinRange(M4:W4),"DF[dow:12345][tl:Calendar]","2020-07-26;2024-07-26",247,-1)</f>
        <v>44384.5</v>
      </c>
      <c r="M804">
        <f>_xll.ICEHistory(M$4,M$5,"DF[dow:12345][tl:Calendar]",$L804)</f>
        <v>53.5</v>
      </c>
      <c r="N804">
        <f>_xll.ICEHistory(M$4,N$5,"DF[dow:12345][tl:Calendar]",$L804)</f>
        <v>54.99</v>
      </c>
      <c r="O804">
        <f>_xll.ICEHistory(M$4,O$5,"DF[dow:12345][tl:Calendar]",$L804)</f>
        <v>52.39</v>
      </c>
      <c r="P804">
        <f>_xll.ICEHistory(M$4,P$5,"DF[dow:12345][tl:Calendar]",$L804)</f>
        <v>52.94</v>
      </c>
      <c r="Q804">
        <f>_xll.ICEHistory(M$4,Q$5,"DF[dow:12345][tl:Calendar]",$L804)</f>
        <v>45097</v>
      </c>
      <c r="R804">
        <f>_xll.ICEHistory(M$4,R$5,"DF[dow:12345][tl:Calendar]",$L804)</f>
        <v>468939</v>
      </c>
      <c r="S804">
        <f>_xll.ICEHistory(S$4,S$5,"DF[dow:12345][tl:Calendar]",$L804)</f>
        <v>34.314999999999998</v>
      </c>
      <c r="T804">
        <f>_xll.ICEHistory(S$4,T$5,"DF[dow:12345][tl:Calendar]",$L804)</f>
        <v>36.229999999999997</v>
      </c>
      <c r="U804">
        <f>_xll.ICEHistory(S$4,U$5,"DF[dow:12345][tl:Calendar]",$L804)</f>
        <v>32.338000000000001</v>
      </c>
      <c r="V804">
        <f>_xll.ICEHistory(S$4,V$5,"DF[dow:12345][tl:Calendar]",$L804)</f>
        <v>32.338000000000001</v>
      </c>
      <c r="W804">
        <f>_xll.ICEHistory(S$4,W$5,"DF[dow:12345][tl:Calendar]",$L804)</f>
        <v>1153</v>
      </c>
      <c r="X804">
        <f t="shared" si="36"/>
        <v>4.4812133746983819E-2</v>
      </c>
      <c r="Y804">
        <f t="shared" si="37"/>
        <v>0.750938458965422</v>
      </c>
      <c r="Z804">
        <f t="shared" si="38"/>
        <v>1.2263156256450012</v>
      </c>
    </row>
    <row r="805" spans="12:26" x14ac:dyDescent="0.25">
      <c r="L805" s="4">
        <f>_xll.ICETimeline(_xll.ICEJoinRange(M4:W4),"DF[dow:12345][tl:Calendar]","2020-07-26;2024-07-26",246,-1)</f>
        <v>44383.5</v>
      </c>
      <c r="M805">
        <f>_xll.ICEHistory(M$4,M$5,"DF[dow:12345][tl:Calendar]",$L805)</f>
        <v>58.02</v>
      </c>
      <c r="N805">
        <f>_xll.ICEHistory(M$4,N$5,"DF[dow:12345][tl:Calendar]",$L805)</f>
        <v>58.31</v>
      </c>
      <c r="O805">
        <f>_xll.ICEHistory(M$4,O$5,"DF[dow:12345][tl:Calendar]",$L805)</f>
        <v>52.2</v>
      </c>
      <c r="P805">
        <f>_xll.ICEHistory(M$4,P$5,"DF[dow:12345][tl:Calendar]",$L805)</f>
        <v>52.95</v>
      </c>
      <c r="Q805">
        <f>_xll.ICEHistory(M$4,Q$5,"DF[dow:12345][tl:Calendar]",$L805)</f>
        <v>58431</v>
      </c>
      <c r="R805">
        <f>_xll.ICEHistory(M$4,R$5,"DF[dow:12345][tl:Calendar]",$L805)</f>
        <v>469832</v>
      </c>
      <c r="S805">
        <f>_xll.ICEHistory(S$4,S$5,"DF[dow:12345][tl:Calendar]",$L805)</f>
        <v>37.25</v>
      </c>
      <c r="T805">
        <f>_xll.ICEHistory(S$4,T$5,"DF[dow:12345][tl:Calendar]",$L805)</f>
        <v>38.365000000000002</v>
      </c>
      <c r="U805">
        <f>_xll.ICEHistory(S$4,U$5,"DF[dow:12345][tl:Calendar]",$L805)</f>
        <v>33.08</v>
      </c>
      <c r="V805">
        <f>_xll.ICEHistory(S$4,V$5,"DF[dow:12345][tl:Calendar]",$L805)</f>
        <v>34.104999999999997</v>
      </c>
      <c r="W805">
        <f>_xll.ICEHistory(S$4,W$5,"DF[dow:12345][tl:Calendar]",$L805)</f>
        <v>1434</v>
      </c>
      <c r="X805">
        <f t="shared" si="36"/>
        <v>0.10620545802190161</v>
      </c>
      <c r="Y805">
        <f t="shared" si="37"/>
        <v>4.5409935494003415</v>
      </c>
      <c r="Z805">
        <f t="shared" si="38"/>
        <v>2.4610398395388118</v>
      </c>
    </row>
    <row r="806" spans="12:26" x14ac:dyDescent="0.25">
      <c r="L806" s="4">
        <f>_xll.ICETimeline(_xll.ICEJoinRange(M4:W4),"DF[dow:12345][tl:Calendar]","2020-07-26;2024-07-26",245,-1)</f>
        <v>44382.5</v>
      </c>
      <c r="M806">
        <f>_xll.ICEHistory(M$4,M$5,"DF[dow:12345][tl:Calendar]",$L806)</f>
        <v>57.53</v>
      </c>
      <c r="N806">
        <f>_xll.ICEHistory(M$4,N$5,"DF[dow:12345][tl:Calendar]",$L806)</f>
        <v>58.4</v>
      </c>
      <c r="O806">
        <f>_xll.ICEHistory(M$4,O$5,"DF[dow:12345][tl:Calendar]",$L806)</f>
        <v>57.41</v>
      </c>
      <c r="P806">
        <f>_xll.ICEHistory(M$4,P$5,"DF[dow:12345][tl:Calendar]",$L806)</f>
        <v>57.9</v>
      </c>
      <c r="Q806">
        <f>_xll.ICEHistory(M$4,Q$5,"DF[dow:12345][tl:Calendar]",$L806)</f>
        <v>20982</v>
      </c>
      <c r="R806">
        <f>_xll.ICEHistory(M$4,R$5,"DF[dow:12345][tl:Calendar]",$L806)</f>
        <v>468165</v>
      </c>
      <c r="S806">
        <f>_xll.ICEHistory(S$4,S$5,"DF[dow:12345][tl:Calendar]",$L806)</f>
        <v>34.924999999999997</v>
      </c>
      <c r="T806">
        <f>_xll.ICEHistory(S$4,T$5,"DF[dow:12345][tl:Calendar]",$L806)</f>
        <v>36.869999999999997</v>
      </c>
      <c r="U806">
        <f>_xll.ICEHistory(S$4,U$5,"DF[dow:12345][tl:Calendar]",$L806)</f>
        <v>34.924999999999997</v>
      </c>
      <c r="V806">
        <f>_xll.ICEHistory(S$4,V$5,"DF[dow:12345][tl:Calendar]",$L806)</f>
        <v>35.826999999999998</v>
      </c>
      <c r="W806">
        <f>_xll.ICEHistory(S$4,W$5,"DF[dow:12345][tl:Calendar]",$L806)</f>
        <v>0</v>
      </c>
      <c r="X806">
        <f t="shared" si="36"/>
        <v>1.7101399205389566E-2</v>
      </c>
      <c r="Y806">
        <f t="shared" si="37"/>
        <v>-1.0481662560056813</v>
      </c>
      <c r="Z806">
        <f t="shared" si="38"/>
        <v>-0.8175557183618537</v>
      </c>
    </row>
    <row r="807" spans="12:26" x14ac:dyDescent="0.25">
      <c r="L807" s="4">
        <f>_xll.ICETimeline(_xll.ICEJoinRange(M4:W4),"DF[dow:12345][tl:Calendar]","2020-07-26;2024-07-26",244,-1)</f>
        <v>44379.5</v>
      </c>
      <c r="M807">
        <f>_xll.ICEHistory(M$4,M$5,"DF[dow:12345][tl:Calendar]",$L807)</f>
        <v>57.89</v>
      </c>
      <c r="N807">
        <f>_xll.ICEHistory(M$4,N$5,"DF[dow:12345][tl:Calendar]",$L807)</f>
        <v>58.41</v>
      </c>
      <c r="O807">
        <f>_xll.ICEHistory(M$4,O$5,"DF[dow:12345][tl:Calendar]",$L807)</f>
        <v>57</v>
      </c>
      <c r="P807">
        <f>_xll.ICEHistory(M$4,P$5,"DF[dow:12345][tl:Calendar]",$L807)</f>
        <v>57.51</v>
      </c>
      <c r="Q807">
        <f>_xll.ICEHistory(M$4,Q$5,"DF[dow:12345][tl:Calendar]",$L807)</f>
        <v>23289</v>
      </c>
      <c r="R807">
        <f>_xll.ICEHistory(M$4,R$5,"DF[dow:12345][tl:Calendar]",$L807)</f>
        <v>466769</v>
      </c>
      <c r="S807">
        <f>_xll.ICEHistory(S$4,S$5,"DF[dow:12345][tl:Calendar]",$L807)</f>
        <v>34.924999999999997</v>
      </c>
      <c r="T807">
        <f>_xll.ICEHistory(S$4,T$5,"DF[dow:12345][tl:Calendar]",$L807)</f>
        <v>36.869999999999997</v>
      </c>
      <c r="U807">
        <f>_xll.ICEHistory(S$4,U$5,"DF[dow:12345][tl:Calendar]",$L807)</f>
        <v>34.924999999999997</v>
      </c>
      <c r="V807">
        <f>_xll.ICEHistory(S$4,V$5,"DF[dow:12345][tl:Calendar]",$L807)</f>
        <v>35.826999999999998</v>
      </c>
      <c r="W807">
        <f>_xll.ICEHistory(S$4,W$5,"DF[dow:12345][tl:Calendar]",$L807)</f>
        <v>1207</v>
      </c>
      <c r="X807">
        <f t="shared" si="36"/>
        <v>2.4911660777385099E-2</v>
      </c>
      <c r="Y807">
        <f t="shared" si="37"/>
        <v>-0.43224869035143221</v>
      </c>
      <c r="Z807">
        <f t="shared" si="38"/>
        <v>-0.5568234905478302</v>
      </c>
    </row>
    <row r="808" spans="12:26" x14ac:dyDescent="0.25">
      <c r="L808" s="4">
        <f>_xll.ICETimeline(_xll.ICEJoinRange(M4:W4),"DF[dow:12345][tl:Calendar]","2020-07-26;2024-07-26",243,-1)</f>
        <v>44378.5</v>
      </c>
      <c r="M808">
        <f>_xll.ICEHistory(M$4,M$5,"DF[dow:12345][tl:Calendar]",$L808)</f>
        <v>56.6</v>
      </c>
      <c r="N808">
        <f>_xll.ICEHistory(M$4,N$5,"DF[dow:12345][tl:Calendar]",$L808)</f>
        <v>58.64</v>
      </c>
      <c r="O808">
        <f>_xll.ICEHistory(M$4,O$5,"DF[dow:12345][tl:Calendar]",$L808)</f>
        <v>56.58</v>
      </c>
      <c r="P808">
        <f>_xll.ICEHistory(M$4,P$5,"DF[dow:12345][tl:Calendar]",$L808)</f>
        <v>58.05</v>
      </c>
      <c r="Q808">
        <f>_xll.ICEHistory(M$4,Q$5,"DF[dow:12345][tl:Calendar]",$L808)</f>
        <v>42837</v>
      </c>
      <c r="R808">
        <f>_xll.ICEHistory(M$4,R$5,"DF[dow:12345][tl:Calendar]",$L808)</f>
        <v>465310</v>
      </c>
      <c r="S808">
        <f>_xll.ICEHistory(S$4,S$5,"DF[dow:12345][tl:Calendar]",$L808)</f>
        <v>35.5</v>
      </c>
      <c r="T808">
        <f>_xll.ICEHistory(S$4,T$5,"DF[dow:12345][tl:Calendar]",$L808)</f>
        <v>36.954999999999998</v>
      </c>
      <c r="U808">
        <f>_xll.ICEHistory(S$4,U$5,"DF[dow:12345][tl:Calendar]",$L808)</f>
        <v>35.450000000000003</v>
      </c>
      <c r="V808">
        <f>_xll.ICEHistory(S$4,V$5,"DF[dow:12345][tl:Calendar]",$L808)</f>
        <v>36.143000000000001</v>
      </c>
      <c r="W808">
        <f>_xll.ICEHistory(S$4,W$5,"DF[dow:12345][tl:Calendar]",$L808)</f>
        <v>628</v>
      </c>
      <c r="X808">
        <f t="shared" si="36"/>
        <v>3.7184115523465747E-2</v>
      </c>
      <c r="Y808">
        <f t="shared" si="37"/>
        <v>0.45839906542423359</v>
      </c>
      <c r="Z808">
        <f t="shared" si="38"/>
        <v>1.1027665242786717</v>
      </c>
    </row>
    <row r="809" spans="12:26" x14ac:dyDescent="0.25">
      <c r="L809" s="4">
        <f>_xll.ICETimeline(_xll.ICEJoinRange(M4:W4),"DF[dow:12345][tl:Calendar]","2020-07-26;2024-07-26",242,-1)</f>
        <v>44377.5</v>
      </c>
      <c r="M809">
        <f>_xll.ICEHistory(M$4,M$5,"DF[dow:12345][tl:Calendar]",$L809)</f>
        <v>55.4</v>
      </c>
      <c r="N809">
        <f>_xll.ICEHistory(M$4,N$5,"DF[dow:12345][tl:Calendar]",$L809)</f>
        <v>56.68</v>
      </c>
      <c r="O809">
        <f>_xll.ICEHistory(M$4,O$5,"DF[dow:12345][tl:Calendar]",$L809)</f>
        <v>55.22</v>
      </c>
      <c r="P809">
        <f>_xll.ICEHistory(M$4,P$5,"DF[dow:12345][tl:Calendar]",$L809)</f>
        <v>56.68</v>
      </c>
      <c r="Q809">
        <f>_xll.ICEHistory(M$4,Q$5,"DF[dow:12345][tl:Calendar]",$L809)</f>
        <v>29557</v>
      </c>
      <c r="R809">
        <f>_xll.ICEHistory(M$4,R$5,"DF[dow:12345][tl:Calendar]",$L809)</f>
        <v>461956</v>
      </c>
      <c r="S809">
        <f>_xll.ICEHistory(S$4,S$5,"DF[dow:12345][tl:Calendar]",$L809)</f>
        <v>33.875</v>
      </c>
      <c r="T809">
        <f>_xll.ICEHistory(S$4,T$5,"DF[dow:12345][tl:Calendar]",$L809)</f>
        <v>34.924999999999997</v>
      </c>
      <c r="U809">
        <f>_xll.ICEHistory(S$4,U$5,"DF[dow:12345][tl:Calendar]",$L809)</f>
        <v>33.74</v>
      </c>
      <c r="V809">
        <f>_xll.ICEHistory(S$4,V$5,"DF[dow:12345][tl:Calendar]",$L809)</f>
        <v>34.622</v>
      </c>
      <c r="W809">
        <f>_xll.ICEHistory(S$4,W$5,"DF[dow:12345][tl:Calendar]",$L809)</f>
        <v>1456</v>
      </c>
      <c r="X809">
        <f t="shared" si="36"/>
        <v>2.6258992805755409E-2</v>
      </c>
      <c r="Y809">
        <f t="shared" si="37"/>
        <v>-0.30423068528318253</v>
      </c>
      <c r="Z809">
        <f t="shared" si="38"/>
        <v>1.4774820404730455E-2</v>
      </c>
    </row>
    <row r="810" spans="12:26" x14ac:dyDescent="0.25">
      <c r="L810" s="4">
        <f>_xll.ICETimeline(_xll.ICEJoinRange(M4:W4),"DF[dow:12345][tl:Calendar]","2020-07-26;2024-07-26",241,-1)</f>
        <v>44376.5</v>
      </c>
      <c r="M810">
        <f>_xll.ICEHistory(M$4,M$5,"DF[dow:12345][tl:Calendar]",$L810)</f>
        <v>55.6</v>
      </c>
      <c r="N810">
        <f>_xll.ICEHistory(M$4,N$5,"DF[dow:12345][tl:Calendar]",$L810)</f>
        <v>56.2</v>
      </c>
      <c r="O810">
        <f>_xll.ICEHistory(M$4,O$5,"DF[dow:12345][tl:Calendar]",$L810)</f>
        <v>55.1</v>
      </c>
      <c r="P810">
        <f>_xll.ICEHistory(M$4,P$5,"DF[dow:12345][tl:Calendar]",$L810)</f>
        <v>55.38</v>
      </c>
      <c r="Q810">
        <f>_xll.ICEHistory(M$4,Q$5,"DF[dow:12345][tl:Calendar]",$L810)</f>
        <v>25754</v>
      </c>
      <c r="R810">
        <f>_xll.ICEHistory(M$4,R$5,"DF[dow:12345][tl:Calendar]",$L810)</f>
        <v>460225</v>
      </c>
      <c r="S810">
        <f>_xll.ICEHistory(S$4,S$5,"DF[dow:12345][tl:Calendar]",$L810)</f>
        <v>32.854999999999997</v>
      </c>
      <c r="T810">
        <f>_xll.ICEHistory(S$4,T$5,"DF[dow:12345][tl:Calendar]",$L810)</f>
        <v>33.825000000000003</v>
      </c>
      <c r="U810">
        <f>_xll.ICEHistory(S$4,U$5,"DF[dow:12345][tl:Calendar]",$L810)</f>
        <v>32.854999999999997</v>
      </c>
      <c r="V810">
        <f>_xll.ICEHistory(S$4,V$5,"DF[dow:12345][tl:Calendar]",$L810)</f>
        <v>33.485999999999997</v>
      </c>
      <c r="W810">
        <f>_xll.ICEHistory(S$4,W$5,"DF[dow:12345][tl:Calendar]",$L810)</f>
        <v>0</v>
      </c>
      <c r="X810">
        <f t="shared" si="36"/>
        <v>1.9909502262443465E-2</v>
      </c>
      <c r="Y810">
        <f t="shared" si="37"/>
        <v>-0.74824788983524748</v>
      </c>
      <c r="Z810">
        <f t="shared" si="38"/>
        <v>-0.30214589118174112</v>
      </c>
    </row>
    <row r="811" spans="12:26" x14ac:dyDescent="0.25">
      <c r="L811" s="4">
        <f>_xll.ICETimeline(_xll.ICEJoinRange(M4:W4),"DF[dow:12345][tl:Calendar]","2020-07-26;2024-07-26",240,-1)</f>
        <v>44375.5</v>
      </c>
      <c r="M811">
        <f>_xll.ICEHistory(M$4,M$5,"DF[dow:12345][tl:Calendar]",$L811)</f>
        <v>55.25</v>
      </c>
      <c r="N811">
        <f>_xll.ICEHistory(M$4,N$5,"DF[dow:12345][tl:Calendar]",$L811)</f>
        <v>55.94</v>
      </c>
      <c r="O811">
        <f>_xll.ICEHistory(M$4,O$5,"DF[dow:12345][tl:Calendar]",$L811)</f>
        <v>54.58</v>
      </c>
      <c r="P811">
        <f>_xll.ICEHistory(M$4,P$5,"DF[dow:12345][tl:Calendar]",$L811)</f>
        <v>55.48</v>
      </c>
      <c r="Q811">
        <f>_xll.ICEHistory(M$4,Q$5,"DF[dow:12345][tl:Calendar]",$L811)</f>
        <v>29641</v>
      </c>
      <c r="R811">
        <f>_xll.ICEHistory(M$4,R$5,"DF[dow:12345][tl:Calendar]",$L811)</f>
        <v>457533</v>
      </c>
      <c r="S811">
        <f>_xll.ICEHistory(S$4,S$5,"DF[dow:12345][tl:Calendar]",$L811)</f>
        <v>32.1</v>
      </c>
      <c r="T811">
        <f>_xll.ICEHistory(S$4,T$5,"DF[dow:12345][tl:Calendar]",$L811)</f>
        <v>32.380000000000003</v>
      </c>
      <c r="U811">
        <f>_xll.ICEHistory(S$4,U$5,"DF[dow:12345][tl:Calendar]",$L811)</f>
        <v>31.75</v>
      </c>
      <c r="V811">
        <f>_xll.ICEHistory(S$4,V$5,"DF[dow:12345][tl:Calendar]",$L811)</f>
        <v>32.289000000000001</v>
      </c>
      <c r="W811">
        <f>_xll.ICEHistory(S$4,W$5,"DF[dow:12345][tl:Calendar]",$L811)</f>
        <v>787</v>
      </c>
      <c r="X811">
        <f t="shared" si="36"/>
        <v>2.4642145316180458E-2</v>
      </c>
      <c r="Y811">
        <f t="shared" si="37"/>
        <v>-0.4186726819601837</v>
      </c>
      <c r="Z811">
        <f t="shared" si="38"/>
        <v>3.3105182132970631E-2</v>
      </c>
    </row>
    <row r="812" spans="12:26" x14ac:dyDescent="0.25">
      <c r="L812" s="4">
        <f>_xll.ICETimeline(_xll.ICEJoinRange(M4:W4),"DF[dow:12345][tl:Calendar]","2020-07-26;2024-07-26",239,-1)</f>
        <v>44372.5</v>
      </c>
      <c r="M812">
        <f>_xll.ICEHistory(M$4,M$5,"DF[dow:12345][tl:Calendar]",$L812)</f>
        <v>55.19</v>
      </c>
      <c r="N812">
        <f>_xll.ICEHistory(M$4,N$5,"DF[dow:12345][tl:Calendar]",$L812)</f>
        <v>55.82</v>
      </c>
      <c r="O812">
        <f>_xll.ICEHistory(M$4,O$5,"DF[dow:12345][tl:Calendar]",$L812)</f>
        <v>54.86</v>
      </c>
      <c r="P812">
        <f>_xll.ICEHistory(M$4,P$5,"DF[dow:12345][tl:Calendar]",$L812)</f>
        <v>55.23</v>
      </c>
      <c r="Q812">
        <f>_xll.ICEHistory(M$4,Q$5,"DF[dow:12345][tl:Calendar]",$L812)</f>
        <v>30705</v>
      </c>
      <c r="R812">
        <f>_xll.ICEHistory(M$4,R$5,"DF[dow:12345][tl:Calendar]",$L812)</f>
        <v>454896</v>
      </c>
      <c r="S812">
        <f>_xll.ICEHistory(S$4,S$5,"DF[dow:12345][tl:Calendar]",$L812)</f>
        <v>31.95</v>
      </c>
      <c r="T812">
        <f>_xll.ICEHistory(S$4,T$5,"DF[dow:12345][tl:Calendar]",$L812)</f>
        <v>32.4</v>
      </c>
      <c r="U812">
        <f>_xll.ICEHistory(S$4,U$5,"DF[dow:12345][tl:Calendar]",$L812)</f>
        <v>31.95</v>
      </c>
      <c r="V812">
        <f>_xll.ICEHistory(S$4,V$5,"DF[dow:12345][tl:Calendar]",$L812)</f>
        <v>32.384999999999998</v>
      </c>
      <c r="W812">
        <f>_xll.ICEHistory(S$4,W$5,"DF[dow:12345][tl:Calendar]",$L812)</f>
        <v>548</v>
      </c>
      <c r="X812">
        <f t="shared" si="36"/>
        <v>1.7566331198536154E-2</v>
      </c>
      <c r="Y812">
        <f t="shared" si="37"/>
        <v>-0.93801217062531295</v>
      </c>
      <c r="Z812">
        <f t="shared" si="38"/>
        <v>0.12940348474823829</v>
      </c>
    </row>
    <row r="813" spans="12:26" x14ac:dyDescent="0.25">
      <c r="L813" s="4">
        <f>_xll.ICETimeline(_xll.ICEJoinRange(M4:W4),"DF[dow:12345][tl:Calendar]","2020-07-26;2024-07-26",238,-1)</f>
        <v>44371.5</v>
      </c>
      <c r="M813">
        <f>_xll.ICEHistory(M$4,M$5,"DF[dow:12345][tl:Calendar]",$L813)</f>
        <v>54.65</v>
      </c>
      <c r="N813">
        <f>_xll.ICEHistory(M$4,N$5,"DF[dow:12345][tl:Calendar]",$L813)</f>
        <v>55.35</v>
      </c>
      <c r="O813">
        <f>_xll.ICEHistory(M$4,O$5,"DF[dow:12345][tl:Calendar]",$L813)</f>
        <v>54.28</v>
      </c>
      <c r="P813">
        <f>_xll.ICEHistory(M$4,P$5,"DF[dow:12345][tl:Calendar]",$L813)</f>
        <v>55</v>
      </c>
      <c r="Q813">
        <f>_xll.ICEHistory(M$4,Q$5,"DF[dow:12345][tl:Calendar]",$L813)</f>
        <v>28892</v>
      </c>
      <c r="R813">
        <f>_xll.ICEHistory(M$4,R$5,"DF[dow:12345][tl:Calendar]",$L813)</f>
        <v>450029</v>
      </c>
      <c r="S813">
        <f>_xll.ICEHistory(S$4,S$5,"DF[dow:12345][tl:Calendar]",$L813)</f>
        <v>31.55</v>
      </c>
      <c r="T813">
        <f>_xll.ICEHistory(S$4,T$5,"DF[dow:12345][tl:Calendar]",$L813)</f>
        <v>32.024999999999999</v>
      </c>
      <c r="U813">
        <f>_xll.ICEHistory(S$4,U$5,"DF[dow:12345][tl:Calendar]",$L813)</f>
        <v>31.41</v>
      </c>
      <c r="V813">
        <f>_xll.ICEHistory(S$4,V$5,"DF[dow:12345][tl:Calendar]",$L813)</f>
        <v>32.015000000000001</v>
      </c>
      <c r="W813">
        <f>_xll.ICEHistory(S$4,W$5,"DF[dow:12345][tl:Calendar]",$L813)</f>
        <v>949</v>
      </c>
      <c r="X813">
        <f t="shared" si="36"/>
        <v>1.9962686567164184E-2</v>
      </c>
      <c r="Y813">
        <f t="shared" si="37"/>
        <v>-0.79453955617664818</v>
      </c>
      <c r="Z813">
        <f t="shared" si="38"/>
        <v>-4.0645482590602126E-2</v>
      </c>
    </row>
    <row r="814" spans="12:26" x14ac:dyDescent="0.25">
      <c r="L814" s="4">
        <f>_xll.ICETimeline(_xll.ICEJoinRange(M4:W4),"DF[dow:12345][tl:Calendar]","2020-07-26;2024-07-26",237,-1)</f>
        <v>44370.5</v>
      </c>
      <c r="M814">
        <f>_xll.ICEHistory(M$4,M$5,"DF[dow:12345][tl:Calendar]",$L814)</f>
        <v>53.6</v>
      </c>
      <c r="N814">
        <f>_xll.ICEHistory(M$4,N$5,"DF[dow:12345][tl:Calendar]",$L814)</f>
        <v>54.85</v>
      </c>
      <c r="O814">
        <f>_xll.ICEHistory(M$4,O$5,"DF[dow:12345][tl:Calendar]",$L814)</f>
        <v>53.5</v>
      </c>
      <c r="P814">
        <f>_xll.ICEHistory(M$4,P$5,"DF[dow:12345][tl:Calendar]",$L814)</f>
        <v>54.48</v>
      </c>
      <c r="Q814">
        <f>_xll.ICEHistory(M$4,Q$5,"DF[dow:12345][tl:Calendar]",$L814)</f>
        <v>36673</v>
      </c>
      <c r="R814">
        <f>_xll.ICEHistory(M$4,R$5,"DF[dow:12345][tl:Calendar]",$L814)</f>
        <v>448386</v>
      </c>
      <c r="S814">
        <f>_xll.ICEHistory(S$4,S$5,"DF[dow:12345][tl:Calendar]",$L814)</f>
        <v>31.35</v>
      </c>
      <c r="T814">
        <f>_xll.ICEHistory(S$4,T$5,"DF[dow:12345][tl:Calendar]",$L814)</f>
        <v>31.684999999999999</v>
      </c>
      <c r="U814">
        <f>_xll.ICEHistory(S$4,U$5,"DF[dow:12345][tl:Calendar]",$L814)</f>
        <v>30.565000000000001</v>
      </c>
      <c r="V814">
        <f>_xll.ICEHistory(S$4,V$5,"DF[dow:12345][tl:Calendar]",$L814)</f>
        <v>31.545000000000002</v>
      </c>
      <c r="W814">
        <f>_xll.ICEHistory(S$4,W$5,"DF[dow:12345][tl:Calendar]",$L814)</f>
        <v>551</v>
      </c>
      <c r="X814">
        <f t="shared" si="36"/>
        <v>2.5680045653414522E-2</v>
      </c>
      <c r="Y814">
        <f t="shared" si="37"/>
        <v>-0.41382712394820542</v>
      </c>
      <c r="Z814">
        <f t="shared" si="38"/>
        <v>0.59764378993731071</v>
      </c>
    </row>
    <row r="815" spans="12:26" x14ac:dyDescent="0.25">
      <c r="L815" s="4">
        <f>_xll.ICETimeline(_xll.ICEJoinRange(M4:W4),"DF[dow:12345][tl:Calendar]","2020-07-26;2024-07-26",236,-1)</f>
        <v>44369.5</v>
      </c>
      <c r="M815">
        <f>_xll.ICEHistory(M$4,M$5,"DF[dow:12345][tl:Calendar]",$L815)</f>
        <v>52.57</v>
      </c>
      <c r="N815">
        <f>_xll.ICEHistory(M$4,N$5,"DF[dow:12345][tl:Calendar]",$L815)</f>
        <v>53.49</v>
      </c>
      <c r="O815">
        <f>_xll.ICEHistory(M$4,O$5,"DF[dow:12345][tl:Calendar]",$L815)</f>
        <v>52.24</v>
      </c>
      <c r="P815">
        <f>_xll.ICEHistory(M$4,P$5,"DF[dow:12345][tl:Calendar]",$L815)</f>
        <v>53.45</v>
      </c>
      <c r="Q815">
        <f>_xll.ICEHistory(M$4,Q$5,"DF[dow:12345][tl:Calendar]",$L815)</f>
        <v>26739</v>
      </c>
      <c r="R815">
        <f>_xll.ICEHistory(M$4,R$5,"DF[dow:12345][tl:Calendar]",$L815)</f>
        <v>450149</v>
      </c>
      <c r="S815">
        <f>_xll.ICEHistory(S$4,S$5,"DF[dow:12345][tl:Calendar]",$L815)</f>
        <v>30.05</v>
      </c>
      <c r="T815">
        <f>_xll.ICEHistory(S$4,T$5,"DF[dow:12345][tl:Calendar]",$L815)</f>
        <v>30.835000000000001</v>
      </c>
      <c r="U815">
        <f>_xll.ICEHistory(S$4,U$5,"DF[dow:12345][tl:Calendar]",$L815)</f>
        <v>29.99</v>
      </c>
      <c r="V815">
        <f>_xll.ICEHistory(S$4,V$5,"DF[dow:12345][tl:Calendar]",$L815)</f>
        <v>30.734999999999999</v>
      </c>
      <c r="W815">
        <f>_xll.ICEHistory(S$4,W$5,"DF[dow:12345][tl:Calendar]",$L815)</f>
        <v>591</v>
      </c>
      <c r="X815">
        <f t="shared" si="36"/>
        <v>2.414059482425647E-2</v>
      </c>
      <c r="Y815">
        <f t="shared" si="37"/>
        <v>-0.5188193706918357</v>
      </c>
      <c r="Z815">
        <f t="shared" si="38"/>
        <v>-0.23548534036312679</v>
      </c>
    </row>
    <row r="816" spans="12:26" x14ac:dyDescent="0.25">
      <c r="L816" s="4">
        <f>_xll.ICETimeline(_xll.ICEJoinRange(M4:W4),"DF[dow:12345][tl:Calendar]","2020-07-26;2024-07-26",235,-1)</f>
        <v>44368.5</v>
      </c>
      <c r="M816">
        <f>_xll.ICEHistory(M$4,M$5,"DF[dow:12345][tl:Calendar]",$L816)</f>
        <v>51.78</v>
      </c>
      <c r="N816">
        <f>_xll.ICEHistory(M$4,N$5,"DF[dow:12345][tl:Calendar]",$L816)</f>
        <v>52.99</v>
      </c>
      <c r="O816">
        <f>_xll.ICEHistory(M$4,O$5,"DF[dow:12345][tl:Calendar]",$L816)</f>
        <v>51.61</v>
      </c>
      <c r="P816">
        <f>_xll.ICEHistory(M$4,P$5,"DF[dow:12345][tl:Calendar]",$L816)</f>
        <v>52.36</v>
      </c>
      <c r="Q816">
        <f>_xll.ICEHistory(M$4,Q$5,"DF[dow:12345][tl:Calendar]",$L816)</f>
        <v>24944</v>
      </c>
      <c r="R816">
        <f>_xll.ICEHistory(M$4,R$5,"DF[dow:12345][tl:Calendar]",$L816)</f>
        <v>449101</v>
      </c>
      <c r="S816">
        <f>_xll.ICEHistory(S$4,S$5,"DF[dow:12345][tl:Calendar]",$L816)</f>
        <v>29.97</v>
      </c>
      <c r="T816">
        <f>_xll.ICEHistory(S$4,T$5,"DF[dow:12345][tl:Calendar]",$L816)</f>
        <v>30.2</v>
      </c>
      <c r="U816">
        <f>_xll.ICEHistory(S$4,U$5,"DF[dow:12345][tl:Calendar]",$L816)</f>
        <v>29.305</v>
      </c>
      <c r="V816">
        <f>_xll.ICEHistory(S$4,V$5,"DF[dow:12345][tl:Calendar]",$L816)</f>
        <v>29.614999999999998</v>
      </c>
      <c r="W816">
        <f>_xll.ICEHistory(S$4,W$5,"DF[dow:12345][tl:Calendar]",$L816)</f>
        <v>698</v>
      </c>
      <c r="X816">
        <f t="shared" si="36"/>
        <v>2.6895342038589017E-2</v>
      </c>
      <c r="Y816">
        <f t="shared" si="37"/>
        <v>-0.33728620357568739</v>
      </c>
      <c r="Z816">
        <f t="shared" si="38"/>
        <v>-0.38088120903668005</v>
      </c>
    </row>
    <row r="817" spans="12:26" x14ac:dyDescent="0.25">
      <c r="L817" s="4">
        <f>_xll.ICETimeline(_xll.ICEJoinRange(M4:W4),"DF[dow:12345][tl:Calendar]","2020-07-26;2024-07-26",234,-1)</f>
        <v>44365.5</v>
      </c>
      <c r="M817">
        <f>_xll.ICEHistory(M$4,M$5,"DF[dow:12345][tl:Calendar]",$L817)</f>
        <v>51.31</v>
      </c>
      <c r="N817">
        <f>_xll.ICEHistory(M$4,N$5,"DF[dow:12345][tl:Calendar]",$L817)</f>
        <v>52.09</v>
      </c>
      <c r="O817">
        <f>_xll.ICEHistory(M$4,O$5,"DF[dow:12345][tl:Calendar]",$L817)</f>
        <v>51.2</v>
      </c>
      <c r="P817">
        <f>_xll.ICEHistory(M$4,P$5,"DF[dow:12345][tl:Calendar]",$L817)</f>
        <v>52</v>
      </c>
      <c r="Q817">
        <f>_xll.ICEHistory(M$4,Q$5,"DF[dow:12345][tl:Calendar]",$L817)</f>
        <v>19354</v>
      </c>
      <c r="R817">
        <f>_xll.ICEHistory(M$4,R$5,"DF[dow:12345][tl:Calendar]",$L817)</f>
        <v>449389</v>
      </c>
      <c r="S817">
        <f>_xll.ICEHistory(S$4,S$5,"DF[dow:12345][tl:Calendar]",$L817)</f>
        <v>28.934999999999999</v>
      </c>
      <c r="T817">
        <f>_xll.ICEHistory(S$4,T$5,"DF[dow:12345][tl:Calendar]",$L817)</f>
        <v>29.61</v>
      </c>
      <c r="U817">
        <f>_xll.ICEHistory(S$4,U$5,"DF[dow:12345][tl:Calendar]",$L817)</f>
        <v>28.8</v>
      </c>
      <c r="V817">
        <f>_xll.ICEHistory(S$4,V$5,"DF[dow:12345][tl:Calendar]",$L817)</f>
        <v>29.405000000000001</v>
      </c>
      <c r="W817">
        <f>_xll.ICEHistory(S$4,W$5,"DF[dow:12345][tl:Calendar]",$L817)</f>
        <v>604</v>
      </c>
      <c r="X817">
        <f t="shared" si="36"/>
        <v>1.7420238794284604E-2</v>
      </c>
      <c r="Y817">
        <f t="shared" si="37"/>
        <v>-1.016312514814238</v>
      </c>
      <c r="Z817">
        <f t="shared" si="38"/>
        <v>-0.84068149846020312</v>
      </c>
    </row>
    <row r="818" spans="12:26" x14ac:dyDescent="0.25">
      <c r="L818" s="4">
        <f>_xll.ICETimeline(_xll.ICEJoinRange(M4:W4),"DF[dow:12345][tl:Calendar]","2020-07-26;2024-07-26",233,-1)</f>
        <v>44364.5</v>
      </c>
      <c r="M818">
        <f>_xll.ICEHistory(M$4,M$5,"DF[dow:12345][tl:Calendar]",$L818)</f>
        <v>51.09</v>
      </c>
      <c r="N818">
        <f>_xll.ICEHistory(M$4,N$5,"DF[dow:12345][tl:Calendar]",$L818)</f>
        <v>51.4</v>
      </c>
      <c r="O818">
        <f>_xll.ICEHistory(M$4,O$5,"DF[dow:12345][tl:Calendar]",$L818)</f>
        <v>50.35</v>
      </c>
      <c r="P818">
        <f>_xll.ICEHistory(M$4,P$5,"DF[dow:12345][tl:Calendar]",$L818)</f>
        <v>51.22</v>
      </c>
      <c r="Q818">
        <f>_xll.ICEHistory(M$4,Q$5,"DF[dow:12345][tl:Calendar]",$L818)</f>
        <v>23747</v>
      </c>
      <c r="R818">
        <f>_xll.ICEHistory(M$4,R$5,"DF[dow:12345][tl:Calendar]",$L818)</f>
        <v>449493</v>
      </c>
      <c r="S818">
        <f>_xll.ICEHistory(S$4,S$5,"DF[dow:12345][tl:Calendar]",$L818)</f>
        <v>27.8</v>
      </c>
      <c r="T818">
        <f>_xll.ICEHistory(S$4,T$5,"DF[dow:12345][tl:Calendar]",$L818)</f>
        <v>28.67</v>
      </c>
      <c r="U818">
        <f>_xll.ICEHistory(S$4,U$5,"DF[dow:12345][tl:Calendar]",$L818)</f>
        <v>27.7</v>
      </c>
      <c r="V818">
        <f>_xll.ICEHistory(S$4,V$5,"DF[dow:12345][tl:Calendar]",$L818)</f>
        <v>28.31</v>
      </c>
      <c r="W818">
        <f>_xll.ICEHistory(S$4,W$5,"DF[dow:12345][tl:Calendar]",$L818)</f>
        <v>1079</v>
      </c>
      <c r="X818">
        <f t="shared" si="36"/>
        <v>2.0428015564202279E-2</v>
      </c>
      <c r="Y818">
        <f t="shared" si="37"/>
        <v>-0.8174397224526706</v>
      </c>
      <c r="Z818">
        <f t="shared" si="38"/>
        <v>-0.50220263359191375</v>
      </c>
    </row>
    <row r="819" spans="12:26" x14ac:dyDescent="0.25">
      <c r="L819" s="4">
        <f>_xll.ICETimeline(_xll.ICEJoinRange(M4:W4),"DF[dow:12345][tl:Calendar]","2020-07-26;2024-07-26",232,-1)</f>
        <v>44363.5</v>
      </c>
      <c r="M819">
        <f>_xll.ICEHistory(M$4,M$5,"DF[dow:12345][tl:Calendar]",$L819)</f>
        <v>51.4</v>
      </c>
      <c r="N819">
        <f>_xll.ICEHistory(M$4,N$5,"DF[dow:12345][tl:Calendar]",$L819)</f>
        <v>52.42</v>
      </c>
      <c r="O819">
        <f>_xll.ICEHistory(M$4,O$5,"DF[dow:12345][tl:Calendar]",$L819)</f>
        <v>50.75</v>
      </c>
      <c r="P819">
        <f>_xll.ICEHistory(M$4,P$5,"DF[dow:12345][tl:Calendar]",$L819)</f>
        <v>51.1</v>
      </c>
      <c r="Q819">
        <f>_xll.ICEHistory(M$4,Q$5,"DF[dow:12345][tl:Calendar]",$L819)</f>
        <v>35075</v>
      </c>
      <c r="R819">
        <f>_xll.ICEHistory(M$4,R$5,"DF[dow:12345][tl:Calendar]",$L819)</f>
        <v>449185</v>
      </c>
      <c r="S819">
        <f>_xll.ICEHistory(S$4,S$5,"DF[dow:12345][tl:Calendar]",$L819)</f>
        <v>28</v>
      </c>
      <c r="T819">
        <f>_xll.ICEHistory(S$4,T$5,"DF[dow:12345][tl:Calendar]",$L819)</f>
        <v>28.774999999999999</v>
      </c>
      <c r="U819">
        <f>_xll.ICEHistory(S$4,U$5,"DF[dow:12345][tl:Calendar]",$L819)</f>
        <v>27.74</v>
      </c>
      <c r="V819">
        <f>_xll.ICEHistory(S$4,V$5,"DF[dow:12345][tl:Calendar]",$L819)</f>
        <v>28.03</v>
      </c>
      <c r="W819">
        <f>_xll.ICEHistory(S$4,W$5,"DF[dow:12345][tl:Calendar]",$L819)</f>
        <v>1296</v>
      </c>
      <c r="X819">
        <f t="shared" si="36"/>
        <v>3.1730951928557891E-2</v>
      </c>
      <c r="Y819">
        <f t="shared" si="37"/>
        <v>-2.6745409096399692E-2</v>
      </c>
      <c r="Z819">
        <f t="shared" si="38"/>
        <v>0.41022145741336186</v>
      </c>
    </row>
    <row r="820" spans="12:26" x14ac:dyDescent="0.25">
      <c r="L820" s="4">
        <f>_xll.ICETimeline(_xll.ICEJoinRange(M4:W4),"DF[dow:12345][tl:Calendar]","2020-07-26;2024-07-26",231,-1)</f>
        <v>44362.5</v>
      </c>
      <c r="M820">
        <f>_xll.ICEHistory(M$4,M$5,"DF[dow:12345][tl:Calendar]",$L820)</f>
        <v>52.63</v>
      </c>
      <c r="N820">
        <f>_xll.ICEHistory(M$4,N$5,"DF[dow:12345][tl:Calendar]",$L820)</f>
        <v>52.65</v>
      </c>
      <c r="O820">
        <f>_xll.ICEHistory(M$4,O$5,"DF[dow:12345][tl:Calendar]",$L820)</f>
        <v>51.05</v>
      </c>
      <c r="P820">
        <f>_xll.ICEHistory(M$4,P$5,"DF[dow:12345][tl:Calendar]",$L820)</f>
        <v>51.39</v>
      </c>
      <c r="Q820">
        <f>_xll.ICEHistory(M$4,Q$5,"DF[dow:12345][tl:Calendar]",$L820)</f>
        <v>37153</v>
      </c>
      <c r="R820">
        <f>_xll.ICEHistory(M$4,R$5,"DF[dow:12345][tl:Calendar]",$L820)</f>
        <v>450706</v>
      </c>
      <c r="S820">
        <f>_xll.ICEHistory(S$4,S$5,"DF[dow:12345][tl:Calendar]",$L820)</f>
        <v>28.3</v>
      </c>
      <c r="T820">
        <f>_xll.ICEHistory(S$4,T$5,"DF[dow:12345][tl:Calendar]",$L820)</f>
        <v>28.704999999999998</v>
      </c>
      <c r="U820">
        <f>_xll.ICEHistory(S$4,U$5,"DF[dow:12345][tl:Calendar]",$L820)</f>
        <v>27.91</v>
      </c>
      <c r="V820">
        <f>_xll.ICEHistory(S$4,V$5,"DF[dow:12345][tl:Calendar]",$L820)</f>
        <v>28.135000000000002</v>
      </c>
      <c r="W820">
        <f>_xll.ICEHistory(S$4,W$5,"DF[dow:12345][tl:Calendar]",$L820)</f>
        <v>1007</v>
      </c>
      <c r="X820">
        <f t="shared" si="36"/>
        <v>3.0245746691871484E-2</v>
      </c>
      <c r="Y820">
        <f t="shared" si="37"/>
        <v>-0.13546932669636053</v>
      </c>
      <c r="Z820">
        <f t="shared" si="38"/>
        <v>0.5706013412262112</v>
      </c>
    </row>
    <row r="821" spans="12:26" x14ac:dyDescent="0.25">
      <c r="L821" s="4">
        <f>_xll.ICETimeline(_xll.ICEJoinRange(M4:W4),"DF[dow:12345][tl:Calendar]","2020-07-26;2024-07-26",230,-1)</f>
        <v>44361.5</v>
      </c>
      <c r="M821">
        <f>_xll.ICEHistory(M$4,M$5,"DF[dow:12345][tl:Calendar]",$L821)</f>
        <v>52.9</v>
      </c>
      <c r="N821">
        <f>_xll.ICEHistory(M$4,N$5,"DF[dow:12345][tl:Calendar]",$L821)</f>
        <v>53.99</v>
      </c>
      <c r="O821">
        <f>_xll.ICEHistory(M$4,O$5,"DF[dow:12345][tl:Calendar]",$L821)</f>
        <v>52.37</v>
      </c>
      <c r="P821">
        <f>_xll.ICEHistory(M$4,P$5,"DF[dow:12345][tl:Calendar]",$L821)</f>
        <v>52.56</v>
      </c>
      <c r="Q821">
        <f>_xll.ICEHistory(M$4,Q$5,"DF[dow:12345][tl:Calendar]",$L821)</f>
        <v>28328</v>
      </c>
      <c r="R821">
        <f>_xll.ICEHistory(M$4,R$5,"DF[dow:12345][tl:Calendar]",$L821)</f>
        <v>451486</v>
      </c>
      <c r="S821">
        <f>_xll.ICEHistory(S$4,S$5,"DF[dow:12345][tl:Calendar]",$L821)</f>
        <v>29.1</v>
      </c>
      <c r="T821">
        <f>_xll.ICEHistory(S$4,T$5,"DF[dow:12345][tl:Calendar]",$L821)</f>
        <v>29.315000000000001</v>
      </c>
      <c r="U821">
        <f>_xll.ICEHistory(S$4,U$5,"DF[dow:12345][tl:Calendar]",$L821)</f>
        <v>28.574999999999999</v>
      </c>
      <c r="V821">
        <f>_xll.ICEHistory(S$4,V$5,"DF[dow:12345][tl:Calendar]",$L821)</f>
        <v>28.81</v>
      </c>
      <c r="W821">
        <f>_xll.ICEHistory(S$4,W$5,"DF[dow:12345][tl:Calendar]",$L821)</f>
        <v>862</v>
      </c>
      <c r="X821">
        <f t="shared" si="36"/>
        <v>3.0681818181818268E-2</v>
      </c>
      <c r="Y821">
        <f t="shared" si="37"/>
        <v>-9.9167302204618196E-2</v>
      </c>
      <c r="Z821">
        <f t="shared" si="38"/>
        <v>-0.15225154207341335</v>
      </c>
    </row>
    <row r="822" spans="12:26" x14ac:dyDescent="0.25">
      <c r="L822" s="4">
        <f>_xll.ICETimeline(_xll.ICEJoinRange(M4:W4),"DF[dow:12345][tl:Calendar]","2020-07-26;2024-07-26",229,-1)</f>
        <v>44358.5</v>
      </c>
      <c r="M822">
        <f>_xll.ICEHistory(M$4,M$5,"DF[dow:12345][tl:Calendar]",$L822)</f>
        <v>52.8</v>
      </c>
      <c r="N822">
        <f>_xll.ICEHistory(M$4,N$5,"DF[dow:12345][tl:Calendar]",$L822)</f>
        <v>53.85</v>
      </c>
      <c r="O822">
        <f>_xll.ICEHistory(M$4,O$5,"DF[dow:12345][tl:Calendar]",$L822)</f>
        <v>52.38</v>
      </c>
      <c r="P822">
        <f>_xll.ICEHistory(M$4,P$5,"DF[dow:12345][tl:Calendar]",$L822)</f>
        <v>52.7</v>
      </c>
      <c r="Q822">
        <f>_xll.ICEHistory(M$4,Q$5,"DF[dow:12345][tl:Calendar]",$L822)</f>
        <v>23511</v>
      </c>
      <c r="R822">
        <f>_xll.ICEHistory(M$4,R$5,"DF[dow:12345][tl:Calendar]",$L822)</f>
        <v>449985</v>
      </c>
      <c r="S822">
        <f>_xll.ICEHistory(S$4,S$5,"DF[dow:12345][tl:Calendar]",$L822)</f>
        <v>28.5</v>
      </c>
      <c r="T822">
        <f>_xll.ICEHistory(S$4,T$5,"DF[dow:12345][tl:Calendar]",$L822)</f>
        <v>28.594999999999999</v>
      </c>
      <c r="U822">
        <f>_xll.ICEHistory(S$4,U$5,"DF[dow:12345][tl:Calendar]",$L822)</f>
        <v>27.7</v>
      </c>
      <c r="V822">
        <f>_xll.ICEHistory(S$4,V$5,"DF[dow:12345][tl:Calendar]",$L822)</f>
        <v>27.844999999999999</v>
      </c>
      <c r="W822">
        <f>_xll.ICEHistory(S$4,W$5,"DF[dow:12345][tl:Calendar]",$L822)</f>
        <v>458</v>
      </c>
      <c r="X822">
        <f t="shared" si="36"/>
        <v>2.760563380281688E-2</v>
      </c>
      <c r="Y822">
        <f t="shared" si="37"/>
        <v>-0.32054799032501691</v>
      </c>
      <c r="Z822">
        <f t="shared" si="38"/>
        <v>-0.54411190473602766</v>
      </c>
    </row>
    <row r="823" spans="12:26" x14ac:dyDescent="0.25">
      <c r="L823" s="4">
        <f>_xll.ICETimeline(_xll.ICEJoinRange(M4:W4),"DF[dow:12345][tl:Calendar]","2020-07-26;2024-07-26",228,-1)</f>
        <v>44357.5</v>
      </c>
      <c r="M823">
        <f>_xll.ICEHistory(M$4,M$5,"DF[dow:12345][tl:Calendar]",$L823)</f>
        <v>53.25</v>
      </c>
      <c r="N823">
        <f>_xll.ICEHistory(M$4,N$5,"DF[dow:12345][tl:Calendar]",$L823)</f>
        <v>53.97</v>
      </c>
      <c r="O823">
        <f>_xll.ICEHistory(M$4,O$5,"DF[dow:12345][tl:Calendar]",$L823)</f>
        <v>52.64</v>
      </c>
      <c r="P823">
        <f>_xll.ICEHistory(M$4,P$5,"DF[dow:12345][tl:Calendar]",$L823)</f>
        <v>52.8</v>
      </c>
      <c r="Q823">
        <f>_xll.ICEHistory(M$4,Q$5,"DF[dow:12345][tl:Calendar]",$L823)</f>
        <v>27188</v>
      </c>
      <c r="R823">
        <f>_xll.ICEHistory(M$4,R$5,"DF[dow:12345][tl:Calendar]",$L823)</f>
        <v>449486</v>
      </c>
      <c r="S823">
        <f>_xll.ICEHistory(S$4,S$5,"DF[dow:12345][tl:Calendar]",$L823)</f>
        <v>28.274999999999999</v>
      </c>
      <c r="T823">
        <f>_xll.ICEHistory(S$4,T$5,"DF[dow:12345][tl:Calendar]",$L823)</f>
        <v>28.725000000000001</v>
      </c>
      <c r="U823">
        <f>_xll.ICEHistory(S$4,U$5,"DF[dow:12345][tl:Calendar]",$L823)</f>
        <v>27.704999999999998</v>
      </c>
      <c r="V823">
        <f>_xll.ICEHistory(S$4,V$5,"DF[dow:12345][tl:Calendar]",$L823)</f>
        <v>28.684999999999999</v>
      </c>
      <c r="W823">
        <f>_xll.ICEHistory(S$4,W$5,"DF[dow:12345][tl:Calendar]",$L823)</f>
        <v>676</v>
      </c>
      <c r="X823">
        <f t="shared" si="36"/>
        <v>2.5347817800647956E-2</v>
      </c>
      <c r="Y823">
        <f t="shared" si="37"/>
        <v>-0.48965254512354783</v>
      </c>
      <c r="Z823">
        <f t="shared" si="38"/>
        <v>-0.2696058420706815</v>
      </c>
    </row>
    <row r="824" spans="12:26" x14ac:dyDescent="0.25">
      <c r="L824" s="4">
        <f>_xll.ICETimeline(_xll.ICEJoinRange(M4:W4),"DF[dow:12345][tl:Calendar]","2020-07-26;2024-07-26",227,-1)</f>
        <v>44356.5</v>
      </c>
      <c r="M824">
        <f>_xll.ICEHistory(M$4,M$5,"DF[dow:12345][tl:Calendar]",$L824)</f>
        <v>52.47</v>
      </c>
      <c r="N824">
        <f>_xll.ICEHistory(M$4,N$5,"DF[dow:12345][tl:Calendar]",$L824)</f>
        <v>54.19</v>
      </c>
      <c r="O824">
        <f>_xll.ICEHistory(M$4,O$5,"DF[dow:12345][tl:Calendar]",$L824)</f>
        <v>52.35</v>
      </c>
      <c r="P824">
        <f>_xll.ICEHistory(M$4,P$5,"DF[dow:12345][tl:Calendar]",$L824)</f>
        <v>53.22</v>
      </c>
      <c r="Q824">
        <f>_xll.ICEHistory(M$4,Q$5,"DF[dow:12345][tl:Calendar]",$L824)</f>
        <v>36080</v>
      </c>
      <c r="R824">
        <f>_xll.ICEHistory(M$4,R$5,"DF[dow:12345][tl:Calendar]",$L824)</f>
        <v>451207</v>
      </c>
      <c r="S824">
        <f>_xll.ICEHistory(S$4,S$5,"DF[dow:12345][tl:Calendar]",$L824)</f>
        <v>27.9</v>
      </c>
      <c r="T824">
        <f>_xll.ICEHistory(S$4,T$5,"DF[dow:12345][tl:Calendar]",$L824)</f>
        <v>28.425000000000001</v>
      </c>
      <c r="U824">
        <f>_xll.ICEHistory(S$4,U$5,"DF[dow:12345][tl:Calendar]",$L824)</f>
        <v>27.805</v>
      </c>
      <c r="V824">
        <f>_xll.ICEHistory(S$4,V$5,"DF[dow:12345][tl:Calendar]",$L824)</f>
        <v>28.3</v>
      </c>
      <c r="W824">
        <f>_xll.ICEHistory(S$4,W$5,"DF[dow:12345][tl:Calendar]",$L824)</f>
        <v>685</v>
      </c>
      <c r="X824">
        <f t="shared" si="36"/>
        <v>3.5534955581305448E-2</v>
      </c>
      <c r="Y824">
        <f t="shared" si="37"/>
        <v>0.22564656664166838</v>
      </c>
      <c r="Z824">
        <f t="shared" si="38"/>
        <v>0.43186050803404613</v>
      </c>
    </row>
    <row r="825" spans="12:26" x14ac:dyDescent="0.25">
      <c r="L825" s="4">
        <f>_xll.ICETimeline(_xll.ICEJoinRange(M4:W4),"DF[dow:12345][tl:Calendar]","2020-07-26;2024-07-26",226,-1)</f>
        <v>44355.5</v>
      </c>
      <c r="M825">
        <f>_xll.ICEHistory(M$4,M$5,"DF[dow:12345][tl:Calendar]",$L825)</f>
        <v>51.78</v>
      </c>
      <c r="N825">
        <f>_xll.ICEHistory(M$4,N$5,"DF[dow:12345][tl:Calendar]",$L825)</f>
        <v>52.63</v>
      </c>
      <c r="O825">
        <f>_xll.ICEHistory(M$4,O$5,"DF[dow:12345][tl:Calendar]",$L825)</f>
        <v>51.54</v>
      </c>
      <c r="P825">
        <f>_xll.ICEHistory(M$4,P$5,"DF[dow:12345][tl:Calendar]",$L825)</f>
        <v>52.25</v>
      </c>
      <c r="Q825">
        <f>_xll.ICEHistory(M$4,Q$5,"DF[dow:12345][tl:Calendar]",$L825)</f>
        <v>29755</v>
      </c>
      <c r="R825">
        <f>_xll.ICEHistory(M$4,R$5,"DF[dow:12345][tl:Calendar]",$L825)</f>
        <v>447295</v>
      </c>
      <c r="S825">
        <f>_xll.ICEHistory(S$4,S$5,"DF[dow:12345][tl:Calendar]",$L825)</f>
        <v>27.475000000000001</v>
      </c>
      <c r="T825">
        <f>_xll.ICEHistory(S$4,T$5,"DF[dow:12345][tl:Calendar]",$L825)</f>
        <v>27.85</v>
      </c>
      <c r="U825">
        <f>_xll.ICEHistory(S$4,U$5,"DF[dow:12345][tl:Calendar]",$L825)</f>
        <v>27.35</v>
      </c>
      <c r="V825">
        <f>_xll.ICEHistory(S$4,V$5,"DF[dow:12345][tl:Calendar]",$L825)</f>
        <v>27.8</v>
      </c>
      <c r="W825">
        <f>_xll.ICEHistory(S$4,W$5,"DF[dow:12345][tl:Calendar]",$L825)</f>
        <v>637</v>
      </c>
      <c r="X825">
        <f t="shared" si="36"/>
        <v>2.2069244786394077E-2</v>
      </c>
      <c r="Y825">
        <f t="shared" si="37"/>
        <v>-0.7404055063322289</v>
      </c>
      <c r="Z825">
        <f t="shared" si="38"/>
        <v>-7.798500878060062E-2</v>
      </c>
    </row>
    <row r="826" spans="12:26" x14ac:dyDescent="0.25">
      <c r="L826" s="4">
        <f>_xll.ICETimeline(_xll.ICEJoinRange(M4:W4),"DF[dow:12345][tl:Calendar]","2020-07-26;2024-07-26",225,-1)</f>
        <v>44354.5</v>
      </c>
      <c r="M826">
        <f>_xll.ICEHistory(M$4,M$5,"DF[dow:12345][tl:Calendar]",$L826)</f>
        <v>49.39</v>
      </c>
      <c r="N826">
        <f>_xll.ICEHistory(M$4,N$5,"DF[dow:12345][tl:Calendar]",$L826)</f>
        <v>52</v>
      </c>
      <c r="O826">
        <f>_xll.ICEHistory(M$4,O$5,"DF[dow:12345][tl:Calendar]",$L826)</f>
        <v>49.3</v>
      </c>
      <c r="P826">
        <f>_xll.ICEHistory(M$4,P$5,"DF[dow:12345][tl:Calendar]",$L826)</f>
        <v>51.95</v>
      </c>
      <c r="Q826">
        <f>_xll.ICEHistory(M$4,Q$5,"DF[dow:12345][tl:Calendar]",$L826)</f>
        <v>13724</v>
      </c>
      <c r="R826">
        <f>_xll.ICEHistory(M$4,R$5,"DF[dow:12345][tl:Calendar]",$L826)</f>
        <v>447304</v>
      </c>
      <c r="S826">
        <f>_xll.ICEHistory(S$4,S$5,"DF[dow:12345][tl:Calendar]",$L826)</f>
        <v>25.9</v>
      </c>
      <c r="T826">
        <f>_xll.ICEHistory(S$4,T$5,"DF[dow:12345][tl:Calendar]",$L826)</f>
        <v>26.664999999999999</v>
      </c>
      <c r="U826">
        <f>_xll.ICEHistory(S$4,U$5,"DF[dow:12345][tl:Calendar]",$L826)</f>
        <v>25.9</v>
      </c>
      <c r="V826">
        <f>_xll.ICEHistory(S$4,V$5,"DF[dow:12345][tl:Calendar]",$L826)</f>
        <v>26.49</v>
      </c>
      <c r="W826">
        <f>_xll.ICEHistory(S$4,W$5,"DF[dow:12345][tl:Calendar]",$L826)</f>
        <v>360</v>
      </c>
      <c r="X826">
        <f t="shared" si="36"/>
        <v>5.3233438485804474E-2</v>
      </c>
      <c r="Y826">
        <f t="shared" si="37"/>
        <v>1.4663632343900084</v>
      </c>
      <c r="Z826">
        <f t="shared" si="38"/>
        <v>-1.3513705957014139</v>
      </c>
    </row>
    <row r="827" spans="12:26" x14ac:dyDescent="0.25">
      <c r="L827" s="4">
        <f>_xll.ICETimeline(_xll.ICEJoinRange(M4:W4),"DF[dow:12345][tl:Calendar]","2020-07-26;2024-07-26",224,-1)</f>
        <v>44351.5</v>
      </c>
      <c r="M827">
        <f>_xll.ICEHistory(M$4,M$5,"DF[dow:12345][tl:Calendar]",$L827)</f>
        <v>50.72</v>
      </c>
      <c r="N827">
        <f>_xll.ICEHistory(M$4,N$5,"DF[dow:12345][tl:Calendar]",$L827)</f>
        <v>51.5</v>
      </c>
      <c r="O827">
        <f>_xll.ICEHistory(M$4,O$5,"DF[dow:12345][tl:Calendar]",$L827)</f>
        <v>49.26</v>
      </c>
      <c r="P827">
        <f>_xll.ICEHistory(M$4,P$5,"DF[dow:12345][tl:Calendar]",$L827)</f>
        <v>50.14</v>
      </c>
      <c r="Q827">
        <f>_xll.ICEHistory(M$4,Q$5,"DF[dow:12345][tl:Calendar]",$L827)</f>
        <v>34108</v>
      </c>
      <c r="R827">
        <f>_xll.ICEHistory(M$4,R$5,"DF[dow:12345][tl:Calendar]",$L827)</f>
        <v>446595</v>
      </c>
      <c r="S827">
        <f>_xll.ICEHistory(S$4,S$5,"DF[dow:12345][tl:Calendar]",$L827)</f>
        <v>25.75</v>
      </c>
      <c r="T827">
        <f>_xll.ICEHistory(S$4,T$5,"DF[dow:12345][tl:Calendar]",$L827)</f>
        <v>26.024999999999999</v>
      </c>
      <c r="U827">
        <f>_xll.ICEHistory(S$4,U$5,"DF[dow:12345][tl:Calendar]",$L827)</f>
        <v>25.45</v>
      </c>
      <c r="V827">
        <f>_xll.ICEHistory(S$4,V$5,"DF[dow:12345][tl:Calendar]",$L827)</f>
        <v>25.795000000000002</v>
      </c>
      <c r="W827">
        <f>_xll.ICEHistory(S$4,W$5,"DF[dow:12345][tl:Calendar]",$L827)</f>
        <v>411</v>
      </c>
      <c r="X827">
        <f t="shared" si="36"/>
        <v>4.3377226955848218E-2</v>
      </c>
      <c r="Y827">
        <f t="shared" si="37"/>
        <v>0.80026123357951517</v>
      </c>
      <c r="Z827">
        <f t="shared" si="38"/>
        <v>0.26587024160654144</v>
      </c>
    </row>
    <row r="828" spans="12:26" x14ac:dyDescent="0.25">
      <c r="L828" s="4">
        <f>_xll.ICETimeline(_xll.ICEJoinRange(M4:W4),"DF[dow:12345][tl:Calendar]","2020-07-26;2024-07-26",223,-1)</f>
        <v>44350.5</v>
      </c>
      <c r="M828">
        <f>_xll.ICEHistory(M$4,M$5,"DF[dow:12345][tl:Calendar]",$L828)</f>
        <v>51.64</v>
      </c>
      <c r="N828">
        <f>_xll.ICEHistory(M$4,N$5,"DF[dow:12345][tl:Calendar]",$L828)</f>
        <v>52.66</v>
      </c>
      <c r="O828">
        <f>_xll.ICEHistory(M$4,O$5,"DF[dow:12345][tl:Calendar]",$L828)</f>
        <v>50.13</v>
      </c>
      <c r="P828">
        <f>_xll.ICEHistory(M$4,P$5,"DF[dow:12345][tl:Calendar]",$L828)</f>
        <v>50.29</v>
      </c>
      <c r="Q828">
        <f>_xll.ICEHistory(M$4,Q$5,"DF[dow:12345][tl:Calendar]",$L828)</f>
        <v>32463</v>
      </c>
      <c r="R828">
        <f>_xll.ICEHistory(M$4,R$5,"DF[dow:12345][tl:Calendar]",$L828)</f>
        <v>445705</v>
      </c>
      <c r="S828">
        <f>_xll.ICEHistory(S$4,S$5,"DF[dow:12345][tl:Calendar]",$L828)</f>
        <v>26.25</v>
      </c>
      <c r="T828">
        <f>_xll.ICEHistory(S$4,T$5,"DF[dow:12345][tl:Calendar]",$L828)</f>
        <v>26.25</v>
      </c>
      <c r="U828">
        <f>_xll.ICEHistory(S$4,U$5,"DF[dow:12345][tl:Calendar]",$L828)</f>
        <v>25.675000000000001</v>
      </c>
      <c r="V828">
        <f>_xll.ICEHistory(S$4,V$5,"DF[dow:12345][tl:Calendar]",$L828)</f>
        <v>25.704999999999998</v>
      </c>
      <c r="W828">
        <f>_xll.ICEHistory(S$4,W$5,"DF[dow:12345][tl:Calendar]",$L828)</f>
        <v>471</v>
      </c>
      <c r="X828">
        <f t="shared" si="36"/>
        <v>4.8653846153846041E-2</v>
      </c>
      <c r="Y828">
        <f t="shared" si="37"/>
        <v>1.1974371851994823</v>
      </c>
      <c r="Z828">
        <f t="shared" si="38"/>
        <v>0.13535059719036774</v>
      </c>
    </row>
    <row r="829" spans="12:26" x14ac:dyDescent="0.25">
      <c r="L829" s="4">
        <f>_xll.ICETimeline(_xll.ICEJoinRange(M4:W4),"DF[dow:12345][tl:Calendar]","2020-07-26;2024-07-26",222,-1)</f>
        <v>44349.5</v>
      </c>
      <c r="M829">
        <f>_xll.ICEHistory(M$4,M$5,"DF[dow:12345][tl:Calendar]",$L829)</f>
        <v>52</v>
      </c>
      <c r="N829">
        <f>_xll.ICEHistory(M$4,N$5,"DF[dow:12345][tl:Calendar]",$L829)</f>
        <v>52.25</v>
      </c>
      <c r="O829">
        <f>_xll.ICEHistory(M$4,O$5,"DF[dow:12345][tl:Calendar]",$L829)</f>
        <v>50.83</v>
      </c>
      <c r="P829">
        <f>_xll.ICEHistory(M$4,P$5,"DF[dow:12345][tl:Calendar]",$L829)</f>
        <v>51.43</v>
      </c>
      <c r="Q829">
        <f>_xll.ICEHistory(M$4,Q$5,"DF[dow:12345][tl:Calendar]",$L829)</f>
        <v>28691</v>
      </c>
      <c r="R829">
        <f>_xll.ICEHistory(M$4,R$5,"DF[dow:12345][tl:Calendar]",$L829)</f>
        <v>448469</v>
      </c>
      <c r="S829">
        <f>_xll.ICEHistory(S$4,S$5,"DF[dow:12345][tl:Calendar]",$L829)</f>
        <v>25.7</v>
      </c>
      <c r="T829">
        <f>_xll.ICEHistory(S$4,T$5,"DF[dow:12345][tl:Calendar]",$L829)</f>
        <v>26.1</v>
      </c>
      <c r="U829">
        <f>_xll.ICEHistory(S$4,U$5,"DF[dow:12345][tl:Calendar]",$L829)</f>
        <v>25.28</v>
      </c>
      <c r="V829">
        <f>_xll.ICEHistory(S$4,V$5,"DF[dow:12345][tl:Calendar]",$L829)</f>
        <v>25.725000000000001</v>
      </c>
      <c r="W829">
        <f>_xll.ICEHistory(S$4,W$5,"DF[dow:12345][tl:Calendar]",$L829)</f>
        <v>1025</v>
      </c>
      <c r="X829">
        <f t="shared" si="36"/>
        <v>2.7360308285163809E-2</v>
      </c>
      <c r="Y829">
        <f t="shared" si="37"/>
        <v>-0.35847426819025469</v>
      </c>
      <c r="Z829">
        <f t="shared" si="38"/>
        <v>-0.16157442584188919</v>
      </c>
    </row>
    <row r="830" spans="12:26" x14ac:dyDescent="0.25">
      <c r="L830" s="4">
        <f>_xll.ICETimeline(_xll.ICEJoinRange(M4:W4),"DF[dow:12345][tl:Calendar]","2020-07-26;2024-07-26",221,-1)</f>
        <v>44348.5</v>
      </c>
      <c r="M830">
        <f>_xll.ICEHistory(M$4,M$5,"DF[dow:12345][tl:Calendar]",$L830)</f>
        <v>51.9</v>
      </c>
      <c r="N830">
        <f>_xll.ICEHistory(M$4,N$5,"DF[dow:12345][tl:Calendar]",$L830)</f>
        <v>53.3</v>
      </c>
      <c r="O830">
        <f>_xll.ICEHistory(M$4,O$5,"DF[dow:12345][tl:Calendar]",$L830)</f>
        <v>51.7</v>
      </c>
      <c r="P830">
        <f>_xll.ICEHistory(M$4,P$5,"DF[dow:12345][tl:Calendar]",$L830)</f>
        <v>51.87</v>
      </c>
      <c r="Q830">
        <f>_xll.ICEHistory(M$4,Q$5,"DF[dow:12345][tl:Calendar]",$L830)</f>
        <v>22673</v>
      </c>
      <c r="R830">
        <f>_xll.ICEHistory(M$4,R$5,"DF[dow:12345][tl:Calendar]",$L830)</f>
        <v>449115</v>
      </c>
      <c r="S830">
        <f>_xll.ICEHistory(S$4,S$5,"DF[dow:12345][tl:Calendar]",$L830)</f>
        <v>25.18</v>
      </c>
      <c r="T830">
        <f>_xll.ICEHistory(S$4,T$5,"DF[dow:12345][tl:Calendar]",$L830)</f>
        <v>26.23</v>
      </c>
      <c r="U830">
        <f>_xll.ICEHistory(S$4,U$5,"DF[dow:12345][tl:Calendar]",$L830)</f>
        <v>25.18</v>
      </c>
      <c r="V830">
        <f>_xll.ICEHistory(S$4,V$5,"DF[dow:12345][tl:Calendar]",$L830)</f>
        <v>25.975000000000001</v>
      </c>
      <c r="W830">
        <f>_xll.ICEHistory(S$4,W$5,"DF[dow:12345][tl:Calendar]",$L830)</f>
        <v>765</v>
      </c>
      <c r="X830">
        <f t="shared" si="36"/>
        <v>3.0989734650396946E-2</v>
      </c>
      <c r="Y830">
        <f t="shared" si="37"/>
        <v>-0.10230234833803756</v>
      </c>
      <c r="Z830">
        <f t="shared" si="38"/>
        <v>-0.64614256224525723</v>
      </c>
    </row>
    <row r="831" spans="12:26" x14ac:dyDescent="0.25">
      <c r="L831" s="4">
        <f>_xll.ICETimeline(_xll.ICEJoinRange(M4:W4),"DF[dow:12345][tl:Calendar]","2020-07-26;2024-07-26",220,-1)</f>
        <v>44347.5</v>
      </c>
      <c r="M831">
        <f>_xll.ICEHistory(M$4,M$5,"DF[dow:12345][tl:Calendar]",$L831)</f>
        <v>51.63</v>
      </c>
      <c r="N831">
        <f>_xll.ICEHistory(M$4,N$5,"DF[dow:12345][tl:Calendar]",$L831)</f>
        <v>52.03</v>
      </c>
      <c r="O831">
        <f>_xll.ICEHistory(M$4,O$5,"DF[dow:12345][tl:Calendar]",$L831)</f>
        <v>51.25</v>
      </c>
      <c r="P831">
        <f>_xll.ICEHistory(M$4,P$5,"DF[dow:12345][tl:Calendar]",$L831)</f>
        <v>51.61</v>
      </c>
      <c r="Q831">
        <f>_xll.ICEHistory(M$4,Q$5,"DF[dow:12345][tl:Calendar]",$L831)</f>
        <v>6001</v>
      </c>
      <c r="R831">
        <f>_xll.ICEHistory(M$4,R$5,"DF[dow:12345][tl:Calendar]",$L831)</f>
        <v>448201</v>
      </c>
      <c r="S831">
        <f>_xll.ICEHistory(S$4,S$5,"DF[dow:12345][tl:Calendar]",$L831)</f>
        <v>25.1</v>
      </c>
      <c r="T831">
        <f>_xll.ICEHistory(S$4,T$5,"DF[dow:12345][tl:Calendar]",$L831)</f>
        <v>25.2</v>
      </c>
      <c r="U831">
        <f>_xll.ICEHistory(S$4,U$5,"DF[dow:12345][tl:Calendar]",$L831)</f>
        <v>24.62</v>
      </c>
      <c r="V831">
        <f>_xll.ICEHistory(S$4,V$5,"DF[dow:12345][tl:Calendar]",$L831)</f>
        <v>24.93</v>
      </c>
      <c r="W831">
        <f>_xll.ICEHistory(S$4,W$5,"DF[dow:12345][tl:Calendar]",$L831)</f>
        <v>0</v>
      </c>
      <c r="X831">
        <f t="shared" si="36"/>
        <v>1.5116279069767464E-2</v>
      </c>
      <c r="Y831">
        <f t="shared" si="37"/>
        <v>-1.2749055117597043</v>
      </c>
      <c r="Z831">
        <f t="shared" si="38"/>
        <v>-1.9923695522691529</v>
      </c>
    </row>
    <row r="832" spans="12:26" x14ac:dyDescent="0.25">
      <c r="L832" s="4">
        <f>_xll.ICETimeline(_xll.ICEJoinRange(M4:W4),"DF[dow:12345][tl:Calendar]","2020-07-26;2024-07-26",219,-1)</f>
        <v>44344.5</v>
      </c>
      <c r="M832">
        <f>_xll.ICEHistory(M$4,M$5,"DF[dow:12345][tl:Calendar]",$L832)</f>
        <v>51.6</v>
      </c>
      <c r="N832">
        <f>_xll.ICEHistory(M$4,N$5,"DF[dow:12345][tl:Calendar]",$L832)</f>
        <v>52.4</v>
      </c>
      <c r="O832">
        <f>_xll.ICEHistory(M$4,O$5,"DF[dow:12345][tl:Calendar]",$L832)</f>
        <v>50.22</v>
      </c>
      <c r="P832">
        <f>_xll.ICEHistory(M$4,P$5,"DF[dow:12345][tl:Calendar]",$L832)</f>
        <v>51.81</v>
      </c>
      <c r="Q832">
        <f>_xll.ICEHistory(M$4,Q$5,"DF[dow:12345][tl:Calendar]",$L832)</f>
        <v>31515</v>
      </c>
      <c r="R832">
        <f>_xll.ICEHistory(M$4,R$5,"DF[dow:12345][tl:Calendar]",$L832)</f>
        <v>448986</v>
      </c>
      <c r="S832">
        <f>_xll.ICEHistory(S$4,S$5,"DF[dow:12345][tl:Calendar]",$L832)</f>
        <v>25.1</v>
      </c>
      <c r="T832">
        <f>_xll.ICEHistory(S$4,T$5,"DF[dow:12345][tl:Calendar]",$L832)</f>
        <v>25.2</v>
      </c>
      <c r="U832">
        <f>_xll.ICEHistory(S$4,U$5,"DF[dow:12345][tl:Calendar]",$L832)</f>
        <v>24.62</v>
      </c>
      <c r="V832">
        <f>_xll.ICEHistory(S$4,V$5,"DF[dow:12345][tl:Calendar]",$L832)</f>
        <v>24.93</v>
      </c>
      <c r="W832">
        <f>_xll.ICEHistory(S$4,W$5,"DF[dow:12345][tl:Calendar]",$L832)</f>
        <v>403</v>
      </c>
      <c r="X832">
        <f t="shared" si="36"/>
        <v>4.1132075471698108E-2</v>
      </c>
      <c r="Y832">
        <f t="shared" si="37"/>
        <v>0.61553545528631926</v>
      </c>
      <c r="Z832">
        <f t="shared" si="38"/>
        <v>4.820497027067043E-2</v>
      </c>
    </row>
    <row r="833" spans="12:26" x14ac:dyDescent="0.25">
      <c r="L833" s="4">
        <f>_xll.ICETimeline(_xll.ICEJoinRange(M4:W4),"DF[dow:12345][tl:Calendar]","2020-07-26;2024-07-26",218,-1)</f>
        <v>44343.5</v>
      </c>
      <c r="M833">
        <f>_xll.ICEHistory(M$4,M$5,"DF[dow:12345][tl:Calendar]",$L833)</f>
        <v>53</v>
      </c>
      <c r="N833">
        <f>_xll.ICEHistory(M$4,N$5,"DF[dow:12345][tl:Calendar]",$L833)</f>
        <v>53.64</v>
      </c>
      <c r="O833">
        <f>_xll.ICEHistory(M$4,O$5,"DF[dow:12345][tl:Calendar]",$L833)</f>
        <v>50.95</v>
      </c>
      <c r="P833">
        <f>_xll.ICEHistory(M$4,P$5,"DF[dow:12345][tl:Calendar]",$L833)</f>
        <v>51.72</v>
      </c>
      <c r="Q833">
        <f>_xll.ICEHistory(M$4,Q$5,"DF[dow:12345][tl:Calendar]",$L833)</f>
        <v>32827</v>
      </c>
      <c r="R833">
        <f>_xll.ICEHistory(M$4,R$5,"DF[dow:12345][tl:Calendar]",$L833)</f>
        <v>448824</v>
      </c>
      <c r="S833">
        <f>_xll.ICEHistory(S$4,S$5,"DF[dow:12345][tl:Calendar]",$L833)</f>
        <v>25.645</v>
      </c>
      <c r="T833">
        <f>_xll.ICEHistory(S$4,T$5,"DF[dow:12345][tl:Calendar]",$L833)</f>
        <v>26.1</v>
      </c>
      <c r="U833">
        <f>_xll.ICEHistory(S$4,U$5,"DF[dow:12345][tl:Calendar]",$L833)</f>
        <v>25.2</v>
      </c>
      <c r="V833">
        <f>_xll.ICEHistory(S$4,V$5,"DF[dow:12345][tl:Calendar]",$L833)</f>
        <v>25.2</v>
      </c>
      <c r="W833">
        <f>_xll.ICEHistory(S$4,W$5,"DF[dow:12345][tl:Calendar]",$L833)</f>
        <v>0</v>
      </c>
      <c r="X833">
        <f t="shared" si="36"/>
        <v>5.0469043151969942E-2</v>
      </c>
      <c r="Y833">
        <f t="shared" si="37"/>
        <v>1.325679427807023</v>
      </c>
      <c r="Z833">
        <f t="shared" si="38"/>
        <v>0.1676289478314302</v>
      </c>
    </row>
    <row r="834" spans="12:26" x14ac:dyDescent="0.25">
      <c r="L834" s="4">
        <f>_xll.ICETimeline(_xll.ICEJoinRange(M4:W4),"DF[dow:12345][tl:Calendar]","2020-07-26;2024-07-26",217,-1)</f>
        <v>44342.5</v>
      </c>
      <c r="M834">
        <f>_xll.ICEHistory(M$4,M$5,"DF[dow:12345][tl:Calendar]",$L834)</f>
        <v>53.3</v>
      </c>
      <c r="N834">
        <f>_xll.ICEHistory(M$4,N$5,"DF[dow:12345][tl:Calendar]",$L834)</f>
        <v>54.7</v>
      </c>
      <c r="O834">
        <f>_xll.ICEHistory(M$4,O$5,"DF[dow:12345][tl:Calendar]",$L834)</f>
        <v>52.61</v>
      </c>
      <c r="P834">
        <f>_xll.ICEHistory(M$4,P$5,"DF[dow:12345][tl:Calendar]",$L834)</f>
        <v>52.83</v>
      </c>
      <c r="Q834">
        <f>_xll.ICEHistory(M$4,Q$5,"DF[dow:12345][tl:Calendar]",$L834)</f>
        <v>31827</v>
      </c>
      <c r="R834">
        <f>_xll.ICEHistory(M$4,R$5,"DF[dow:12345][tl:Calendar]",$L834)</f>
        <v>448186</v>
      </c>
      <c r="S834">
        <f>_xll.ICEHistory(S$4,S$5,"DF[dow:12345][tl:Calendar]",$L834)</f>
        <v>26.774999999999999</v>
      </c>
      <c r="T834">
        <f>_xll.ICEHistory(S$4,T$5,"DF[dow:12345][tl:Calendar]",$L834)</f>
        <v>26.914999999999999</v>
      </c>
      <c r="U834">
        <f>_xll.ICEHistory(S$4,U$5,"DF[dow:12345][tl:Calendar]",$L834)</f>
        <v>26.4</v>
      </c>
      <c r="V834">
        <f>_xll.ICEHistory(S$4,V$5,"DF[dow:12345][tl:Calendar]",$L834)</f>
        <v>26.425000000000001</v>
      </c>
      <c r="W834">
        <f>_xll.ICEHistory(S$4,W$5,"DF[dow:12345][tl:Calendar]",$L834)</f>
        <v>706</v>
      </c>
      <c r="X834">
        <f t="shared" si="36"/>
        <v>3.9508506616257155E-2</v>
      </c>
      <c r="Y834">
        <f t="shared" si="37"/>
        <v>0.53372601068896741</v>
      </c>
      <c r="Z834">
        <f t="shared" si="38"/>
        <v>9.8012268100250238E-2</v>
      </c>
    </row>
    <row r="835" spans="12:26" x14ac:dyDescent="0.25">
      <c r="L835" s="4">
        <f>_xll.ICETimeline(_xll.ICEJoinRange(M4:W4),"DF[dow:12345][tl:Calendar]","2020-07-26;2024-07-26",216,-1)</f>
        <v>44341.5</v>
      </c>
      <c r="M835">
        <f>_xll.ICEHistory(M$4,M$5,"DF[dow:12345][tl:Calendar]",$L835)</f>
        <v>52.9</v>
      </c>
      <c r="N835">
        <f>_xll.ICEHistory(M$4,N$5,"DF[dow:12345][tl:Calendar]",$L835)</f>
        <v>53.8</v>
      </c>
      <c r="O835">
        <f>_xll.ICEHistory(M$4,O$5,"DF[dow:12345][tl:Calendar]",$L835)</f>
        <v>52.23</v>
      </c>
      <c r="P835">
        <f>_xll.ICEHistory(M$4,P$5,"DF[dow:12345][tl:Calendar]",$L835)</f>
        <v>53.07</v>
      </c>
      <c r="Q835">
        <f>_xll.ICEHistory(M$4,Q$5,"DF[dow:12345][tl:Calendar]",$L835)</f>
        <v>36863</v>
      </c>
      <c r="R835">
        <f>_xll.ICEHistory(M$4,R$5,"DF[dow:12345][tl:Calendar]",$L835)</f>
        <v>446658</v>
      </c>
      <c r="S835">
        <f>_xll.ICEHistory(S$4,S$5,"DF[dow:12345][tl:Calendar]",$L835)</f>
        <v>25.25</v>
      </c>
      <c r="T835">
        <f>_xll.ICEHistory(S$4,T$5,"DF[dow:12345][tl:Calendar]",$L835)</f>
        <v>26.19</v>
      </c>
      <c r="U835">
        <f>_xll.ICEHistory(S$4,U$5,"DF[dow:12345][tl:Calendar]",$L835)</f>
        <v>25.25</v>
      </c>
      <c r="V835">
        <f>_xll.ICEHistory(S$4,V$5,"DF[dow:12345][tl:Calendar]",$L835)</f>
        <v>26.19</v>
      </c>
      <c r="W835">
        <f>_xll.ICEHistory(S$4,W$5,"DF[dow:12345][tl:Calendar]",$L835)</f>
        <v>864</v>
      </c>
      <c r="X835">
        <f t="shared" si="36"/>
        <v>3.0373379763977564E-2</v>
      </c>
      <c r="Y835">
        <f t="shared" si="37"/>
        <v>-0.13875212943709431</v>
      </c>
      <c r="Z835">
        <f t="shared" si="38"/>
        <v>0.52174999134153988</v>
      </c>
    </row>
    <row r="836" spans="12:26" x14ac:dyDescent="0.25">
      <c r="L836" s="4">
        <f>_xll.ICETimeline(_xll.ICEJoinRange(M4:W4),"DF[dow:12345][tl:Calendar]","2020-07-26;2024-07-26",215,-1)</f>
        <v>44340.5</v>
      </c>
      <c r="M836">
        <f>_xll.ICEHistory(M$4,M$5,"DF[dow:12345][tl:Calendar]",$L836)</f>
        <v>51.69</v>
      </c>
      <c r="N836">
        <f>_xll.ICEHistory(M$4,N$5,"DF[dow:12345][tl:Calendar]",$L836)</f>
        <v>52.9</v>
      </c>
      <c r="O836">
        <f>_xll.ICEHistory(M$4,O$5,"DF[dow:12345][tl:Calendar]",$L836)</f>
        <v>50.65</v>
      </c>
      <c r="P836">
        <f>_xll.ICEHistory(M$4,P$5,"DF[dow:12345][tl:Calendar]",$L836)</f>
        <v>52.6</v>
      </c>
      <c r="Q836">
        <f>_xll.ICEHistory(M$4,Q$5,"DF[dow:12345][tl:Calendar]",$L836)</f>
        <v>20285</v>
      </c>
      <c r="R836">
        <f>_xll.ICEHistory(M$4,R$5,"DF[dow:12345][tl:Calendar]",$L836)</f>
        <v>447199</v>
      </c>
      <c r="S836">
        <f>_xll.ICEHistory(S$4,S$5,"DF[dow:12345][tl:Calendar]",$L836)</f>
        <v>24.475000000000001</v>
      </c>
      <c r="T836">
        <f>_xll.ICEHistory(S$4,T$5,"DF[dow:12345][tl:Calendar]",$L836)</f>
        <v>24.85</v>
      </c>
      <c r="U836">
        <f>_xll.ICEHistory(S$4,U$5,"DF[dow:12345][tl:Calendar]",$L836)</f>
        <v>24.454999999999998</v>
      </c>
      <c r="V836">
        <f>_xll.ICEHistory(S$4,V$5,"DF[dow:12345][tl:Calendar]",$L836)</f>
        <v>24.76</v>
      </c>
      <c r="W836">
        <f>_xll.ICEHistory(S$4,W$5,"DF[dow:12345][tl:Calendar]",$L836)</f>
        <v>400</v>
      </c>
      <c r="X836">
        <f t="shared" si="36"/>
        <v>4.3186180422264873E-2</v>
      </c>
      <c r="Y836">
        <f t="shared" si="37"/>
        <v>0.81392493557303336</v>
      </c>
      <c r="Z836">
        <f t="shared" si="38"/>
        <v>-0.84970300172001345</v>
      </c>
    </row>
    <row r="837" spans="12:26" x14ac:dyDescent="0.25">
      <c r="L837" s="4">
        <f>_xll.ICETimeline(_xll.ICEJoinRange(M4:W4),"DF[dow:12345][tl:Calendar]","2020-07-26;2024-07-26",214,-1)</f>
        <v>44337.5</v>
      </c>
      <c r="M837">
        <f>_xll.ICEHistory(M$4,M$5,"DF[dow:12345][tl:Calendar]",$L837)</f>
        <v>52.1</v>
      </c>
      <c r="N837">
        <f>_xll.ICEHistory(M$4,N$5,"DF[dow:12345][tl:Calendar]",$L837)</f>
        <v>53.64</v>
      </c>
      <c r="O837">
        <f>_xll.ICEHistory(M$4,O$5,"DF[dow:12345][tl:Calendar]",$L837)</f>
        <v>50.9</v>
      </c>
      <c r="P837">
        <f>_xll.ICEHistory(M$4,P$5,"DF[dow:12345][tl:Calendar]",$L837)</f>
        <v>51.4</v>
      </c>
      <c r="Q837">
        <f>_xll.ICEHistory(M$4,Q$5,"DF[dow:12345][tl:Calendar]",$L837)</f>
        <v>39012</v>
      </c>
      <c r="R837">
        <f>_xll.ICEHistory(M$4,R$5,"DF[dow:12345][tl:Calendar]",$L837)</f>
        <v>447318</v>
      </c>
      <c r="S837">
        <f>_xll.ICEHistory(S$4,S$5,"DF[dow:12345][tl:Calendar]",$L837)</f>
        <v>25.3</v>
      </c>
      <c r="T837">
        <f>_xll.ICEHistory(S$4,T$5,"DF[dow:12345][tl:Calendar]",$L837)</f>
        <v>25.55</v>
      </c>
      <c r="U837">
        <f>_xll.ICEHistory(S$4,U$5,"DF[dow:12345][tl:Calendar]",$L837)</f>
        <v>24.6</v>
      </c>
      <c r="V837">
        <f>_xll.ICEHistory(S$4,V$5,"DF[dow:12345][tl:Calendar]",$L837)</f>
        <v>24.795000000000002</v>
      </c>
      <c r="W837">
        <f>_xll.ICEHistory(S$4,W$5,"DF[dow:12345][tl:Calendar]",$L837)</f>
        <v>980</v>
      </c>
      <c r="X837">
        <f t="shared" si="36"/>
        <v>5.5075376884422149E-2</v>
      </c>
      <c r="Y837">
        <f t="shared" si="37"/>
        <v>1.7039039407731629</v>
      </c>
      <c r="Z837">
        <f t="shared" si="38"/>
        <v>0.70083904599195435</v>
      </c>
    </row>
    <row r="838" spans="12:26" x14ac:dyDescent="0.25">
      <c r="L838" s="4">
        <f>_xll.ICETimeline(_xll.ICEJoinRange(M4:W4),"DF[dow:12345][tl:Calendar]","2020-07-26;2024-07-26",213,-1)</f>
        <v>44336.5</v>
      </c>
      <c r="M838">
        <f>_xll.ICEHistory(M$4,M$5,"DF[dow:12345][tl:Calendar]",$L838)</f>
        <v>49.75</v>
      </c>
      <c r="N838">
        <f>_xll.ICEHistory(M$4,N$5,"DF[dow:12345][tl:Calendar]",$L838)</f>
        <v>52.81</v>
      </c>
      <c r="O838">
        <f>_xll.ICEHistory(M$4,O$5,"DF[dow:12345][tl:Calendar]",$L838)</f>
        <v>49.6</v>
      </c>
      <c r="P838">
        <f>_xll.ICEHistory(M$4,P$5,"DF[dow:12345][tl:Calendar]",$L838)</f>
        <v>52.17</v>
      </c>
      <c r="Q838">
        <f>_xll.ICEHistory(M$4,Q$5,"DF[dow:12345][tl:Calendar]",$L838)</f>
        <v>51140</v>
      </c>
      <c r="R838">
        <f>_xll.ICEHistory(M$4,R$5,"DF[dow:12345][tl:Calendar]",$L838)</f>
        <v>446316</v>
      </c>
      <c r="S838">
        <f>_xll.ICEHistory(S$4,S$5,"DF[dow:12345][tl:Calendar]",$L838)</f>
        <v>23.1</v>
      </c>
      <c r="T838">
        <f>_xll.ICEHistory(S$4,T$5,"DF[dow:12345][tl:Calendar]",$L838)</f>
        <v>24.684999999999999</v>
      </c>
      <c r="U838">
        <f>_xll.ICEHistory(S$4,U$5,"DF[dow:12345][tl:Calendar]",$L838)</f>
        <v>23.05</v>
      </c>
      <c r="V838">
        <f>_xll.ICEHistory(S$4,V$5,"DF[dow:12345][tl:Calendar]",$L838)</f>
        <v>24.684999999999999</v>
      </c>
      <c r="W838">
        <f>_xll.ICEHistory(S$4,W$5,"DF[dow:12345][tl:Calendar]",$L838)</f>
        <v>940</v>
      </c>
      <c r="X838">
        <f t="shared" si="36"/>
        <v>6.1435406698564607E-2</v>
      </c>
      <c r="Y838">
        <f t="shared" si="37"/>
        <v>2.2544868883372278</v>
      </c>
      <c r="Z838">
        <f t="shared" si="38"/>
        <v>1.7259542568417547</v>
      </c>
    </row>
    <row r="839" spans="12:26" x14ac:dyDescent="0.25">
      <c r="L839" s="4">
        <f>_xll.ICETimeline(_xll.ICEJoinRange(M4:W4),"DF[dow:12345][tl:Calendar]","2020-07-26;2024-07-26",212,-1)</f>
        <v>44335.5</v>
      </c>
      <c r="M839">
        <f>_xll.ICEHistory(M$4,M$5,"DF[dow:12345][tl:Calendar]",$L839)</f>
        <v>52.25</v>
      </c>
      <c r="N839">
        <f>_xll.ICEHistory(M$4,N$5,"DF[dow:12345][tl:Calendar]",$L839)</f>
        <v>53.01</v>
      </c>
      <c r="O839">
        <f>_xll.ICEHistory(M$4,O$5,"DF[dow:12345][tl:Calendar]",$L839)</f>
        <v>48.61</v>
      </c>
      <c r="P839">
        <f>_xll.ICEHistory(M$4,P$5,"DF[dow:12345][tl:Calendar]",$L839)</f>
        <v>49.26</v>
      </c>
      <c r="Q839">
        <f>_xll.ICEHistory(M$4,Q$5,"DF[dow:12345][tl:Calendar]",$L839)</f>
        <v>80530</v>
      </c>
      <c r="R839">
        <f>_xll.ICEHistory(M$4,R$5,"DF[dow:12345][tl:Calendar]",$L839)</f>
        <v>446875</v>
      </c>
      <c r="S839">
        <f>_xll.ICEHistory(S$4,S$5,"DF[dow:12345][tl:Calendar]",$L839)</f>
        <v>24.05</v>
      </c>
      <c r="T839">
        <f>_xll.ICEHistory(S$4,T$5,"DF[dow:12345][tl:Calendar]",$L839)</f>
        <v>24.125</v>
      </c>
      <c r="U839">
        <f>_xll.ICEHistory(S$4,U$5,"DF[dow:12345][tl:Calendar]",$L839)</f>
        <v>22.57</v>
      </c>
      <c r="V839">
        <f>_xll.ICEHistory(S$4,V$5,"DF[dow:12345][tl:Calendar]",$L839)</f>
        <v>22.664999999999999</v>
      </c>
      <c r="W839">
        <f>_xll.ICEHistory(S$4,W$5,"DF[dow:12345][tl:Calendar]",$L839)</f>
        <v>1000</v>
      </c>
      <c r="X839">
        <f t="shared" si="36"/>
        <v>7.8796561604584495E-2</v>
      </c>
      <c r="Y839">
        <f t="shared" si="37"/>
        <v>3.7769771566932206</v>
      </c>
      <c r="Z839">
        <f t="shared" si="38"/>
        <v>4.3007552262001543</v>
      </c>
    </row>
    <row r="840" spans="12:26" x14ac:dyDescent="0.25">
      <c r="L840" s="4">
        <f>_xll.ICETimeline(_xll.ICEJoinRange(M4:W4),"DF[dow:12345][tl:Calendar]","2020-07-26;2024-07-26",211,-1)</f>
        <v>44334.5</v>
      </c>
      <c r="M840">
        <f>_xll.ICEHistory(M$4,M$5,"DF[dow:12345][tl:Calendar]",$L840)</f>
        <v>55.84</v>
      </c>
      <c r="N840">
        <f>_xll.ICEHistory(M$4,N$5,"DF[dow:12345][tl:Calendar]",$L840)</f>
        <v>56.5</v>
      </c>
      <c r="O840">
        <f>_xll.ICEHistory(M$4,O$5,"DF[dow:12345][tl:Calendar]",$L840)</f>
        <v>52.41</v>
      </c>
      <c r="P840">
        <f>_xll.ICEHistory(M$4,P$5,"DF[dow:12345][tl:Calendar]",$L840)</f>
        <v>52.67</v>
      </c>
      <c r="Q840">
        <f>_xll.ICEHistory(M$4,Q$5,"DF[dow:12345][tl:Calendar]",$L840)</f>
        <v>52669</v>
      </c>
      <c r="R840">
        <f>_xll.ICEHistory(M$4,R$5,"DF[dow:12345][tl:Calendar]",$L840)</f>
        <v>457394</v>
      </c>
      <c r="S840">
        <f>_xll.ICEHistory(S$4,S$5,"DF[dow:12345][tl:Calendar]",$L840)</f>
        <v>25.4</v>
      </c>
      <c r="T840">
        <f>_xll.ICEHistory(S$4,T$5,"DF[dow:12345][tl:Calendar]",$L840)</f>
        <v>25.774999999999999</v>
      </c>
      <c r="U840">
        <f>_xll.ICEHistory(S$4,U$5,"DF[dow:12345][tl:Calendar]",$L840)</f>
        <v>24.645</v>
      </c>
      <c r="V840">
        <f>_xll.ICEHistory(S$4,V$5,"DF[dow:12345][tl:Calendar]",$L840)</f>
        <v>24.81</v>
      </c>
      <c r="W840">
        <f>_xll.ICEHistory(S$4,W$5,"DF[dow:12345][tl:Calendar]",$L840)</f>
        <v>1313</v>
      </c>
      <c r="X840">
        <f t="shared" si="36"/>
        <v>7.2197705207414004E-2</v>
      </c>
      <c r="Y840">
        <f t="shared" si="37"/>
        <v>3.7523351212212877</v>
      </c>
      <c r="Z840">
        <f t="shared" si="38"/>
        <v>2.2947215852291309</v>
      </c>
    </row>
    <row r="841" spans="12:26" x14ac:dyDescent="0.25">
      <c r="L841" s="4">
        <f>_xll.ICETimeline(_xll.ICEJoinRange(M4:W4),"DF[dow:12345][tl:Calendar]","2020-07-26;2024-07-26",210,-1)</f>
        <v>44333.5</v>
      </c>
      <c r="M841">
        <f>_xll.ICEHistory(M$4,M$5,"DF[dow:12345][tl:Calendar]",$L841)</f>
        <v>56.65</v>
      </c>
      <c r="N841">
        <f>_xll.ICEHistory(M$4,N$5,"DF[dow:12345][tl:Calendar]",$L841)</f>
        <v>56.74</v>
      </c>
      <c r="O841">
        <f>_xll.ICEHistory(M$4,O$5,"DF[dow:12345][tl:Calendar]",$L841)</f>
        <v>55.3</v>
      </c>
      <c r="P841">
        <f>_xll.ICEHistory(M$4,P$5,"DF[dow:12345][tl:Calendar]",$L841)</f>
        <v>55.74</v>
      </c>
      <c r="Q841">
        <f>_xll.ICEHistory(M$4,Q$5,"DF[dow:12345][tl:Calendar]",$L841)</f>
        <v>36818</v>
      </c>
      <c r="R841">
        <f>_xll.ICEHistory(M$4,R$5,"DF[dow:12345][tl:Calendar]",$L841)</f>
        <v>457037</v>
      </c>
      <c r="S841">
        <f>_xll.ICEHistory(S$4,S$5,"DF[dow:12345][tl:Calendar]",$L841)</f>
        <v>26.1</v>
      </c>
      <c r="T841">
        <f>_xll.ICEHistory(S$4,T$5,"DF[dow:12345][tl:Calendar]",$L841)</f>
        <v>26.63</v>
      </c>
      <c r="U841">
        <f>_xll.ICEHistory(S$4,U$5,"DF[dow:12345][tl:Calendar]",$L841)</f>
        <v>25.7</v>
      </c>
      <c r="V841">
        <f>_xll.ICEHistory(S$4,V$5,"DF[dow:12345][tl:Calendar]",$L841)</f>
        <v>26.31</v>
      </c>
      <c r="W841">
        <f>_xll.ICEHistory(S$4,W$5,"DF[dow:12345][tl:Calendar]",$L841)</f>
        <v>1233</v>
      </c>
      <c r="X841">
        <f t="shared" ref="X841:X904" si="39">IFERROR((N841-O841)/M842, "")</f>
        <v>2.6349496797804298E-2</v>
      </c>
      <c r="Y841">
        <f t="shared" ref="Y841:Y904" si="40">IFERROR((X841-AVERAGE(X841:X905))/_xlfn.STDEV.S(X841:X905),"")</f>
        <v>-0.40934495088818679</v>
      </c>
      <c r="Z841">
        <f t="shared" ref="Z841:Z904" si="41">IFERROR((Q841-AVERAGE(Q841:Q906))/_xlfn.STDEV.S(Q841:Q906),"")</f>
        <v>0.77862244543439918</v>
      </c>
    </row>
    <row r="842" spans="12:26" x14ac:dyDescent="0.25">
      <c r="L842" s="4">
        <f>_xll.ICETimeline(_xll.ICEJoinRange(M4:W4),"DF[dow:12345][tl:Calendar]","2020-07-26;2024-07-26",209,-1)</f>
        <v>44330.5</v>
      </c>
      <c r="M842">
        <f>_xll.ICEHistory(M$4,M$5,"DF[dow:12345][tl:Calendar]",$L842)</f>
        <v>54.65</v>
      </c>
      <c r="N842">
        <f>_xll.ICEHistory(M$4,N$5,"DF[dow:12345][tl:Calendar]",$L842)</f>
        <v>56.9</v>
      </c>
      <c r="O842">
        <f>_xll.ICEHistory(M$4,O$5,"DF[dow:12345][tl:Calendar]",$L842)</f>
        <v>54.57</v>
      </c>
      <c r="P842">
        <f>_xll.ICEHistory(M$4,P$5,"DF[dow:12345][tl:Calendar]",$L842)</f>
        <v>56.35</v>
      </c>
      <c r="Q842">
        <f>_xll.ICEHistory(M$4,Q$5,"DF[dow:12345][tl:Calendar]",$L842)</f>
        <v>36883</v>
      </c>
      <c r="R842">
        <f>_xll.ICEHistory(M$4,R$5,"DF[dow:12345][tl:Calendar]",$L842)</f>
        <v>456912</v>
      </c>
      <c r="S842">
        <f>_xll.ICEHistory(S$4,S$5,"DF[dow:12345][tl:Calendar]",$L842)</f>
        <v>26.35</v>
      </c>
      <c r="T842">
        <f>_xll.ICEHistory(S$4,T$5,"DF[dow:12345][tl:Calendar]",$L842)</f>
        <v>26.875</v>
      </c>
      <c r="U842">
        <f>_xll.ICEHistory(S$4,U$5,"DF[dow:12345][tl:Calendar]",$L842)</f>
        <v>26.35</v>
      </c>
      <c r="V842">
        <f>_xll.ICEHistory(S$4,V$5,"DF[dow:12345][tl:Calendar]",$L842)</f>
        <v>26.83</v>
      </c>
      <c r="W842">
        <f>_xll.ICEHistory(S$4,W$5,"DF[dow:12345][tl:Calendar]",$L842)</f>
        <v>665</v>
      </c>
      <c r="X842">
        <f t="shared" si="39"/>
        <v>4.2233097698024254E-2</v>
      </c>
      <c r="Y842">
        <f t="shared" si="40"/>
        <v>1.1916826154094597</v>
      </c>
      <c r="Z842">
        <f t="shared" si="41"/>
        <v>0.75680733966362845</v>
      </c>
    </row>
    <row r="843" spans="12:26" x14ac:dyDescent="0.25">
      <c r="L843" s="4">
        <f>_xll.ICETimeline(_xll.ICEJoinRange(M4:W4),"DF[dow:12345][tl:Calendar]","2020-07-26;2024-07-26",208,-1)</f>
        <v>44329.5</v>
      </c>
      <c r="M843">
        <f>_xll.ICEHistory(M$4,M$5,"DF[dow:12345][tl:Calendar]",$L843)</f>
        <v>55.17</v>
      </c>
      <c r="N843">
        <f>_xll.ICEHistory(M$4,N$5,"DF[dow:12345][tl:Calendar]",$L843)</f>
        <v>55.17</v>
      </c>
      <c r="O843">
        <f>_xll.ICEHistory(M$4,O$5,"DF[dow:12345][tl:Calendar]",$L843)</f>
        <v>53.21</v>
      </c>
      <c r="P843">
        <f>_xll.ICEHistory(M$4,P$5,"DF[dow:12345][tl:Calendar]",$L843)</f>
        <v>54.7</v>
      </c>
      <c r="Q843">
        <f>_xll.ICEHistory(M$4,Q$5,"DF[dow:12345][tl:Calendar]",$L843)</f>
        <v>38480</v>
      </c>
      <c r="R843">
        <f>_xll.ICEHistory(M$4,R$5,"DF[dow:12345][tl:Calendar]",$L843)</f>
        <v>459061</v>
      </c>
      <c r="S843">
        <f>_xll.ICEHistory(S$4,S$5,"DF[dow:12345][tl:Calendar]",$L843)</f>
        <v>25.75</v>
      </c>
      <c r="T843">
        <f>_xll.ICEHistory(S$4,T$5,"DF[dow:12345][tl:Calendar]",$L843)</f>
        <v>26.3</v>
      </c>
      <c r="U843">
        <f>_xll.ICEHistory(S$4,U$5,"DF[dow:12345][tl:Calendar]",$L843)</f>
        <v>24.975000000000001</v>
      </c>
      <c r="V843">
        <f>_xll.ICEHistory(S$4,V$5,"DF[dow:12345][tl:Calendar]",$L843)</f>
        <v>26.25</v>
      </c>
      <c r="W843">
        <f>_xll.ICEHistory(S$4,W$5,"DF[dow:12345][tl:Calendar]",$L843)</f>
        <v>1365</v>
      </c>
      <c r="X843">
        <f t="shared" si="39"/>
        <v>3.6876763875823157E-2</v>
      </c>
      <c r="Y843">
        <f t="shared" si="40"/>
        <v>0.4985781769121661</v>
      </c>
      <c r="Z843">
        <f t="shared" si="41"/>
        <v>0.84943928853088269</v>
      </c>
    </row>
    <row r="844" spans="12:26" x14ac:dyDescent="0.25">
      <c r="L844" s="4">
        <f>_xll.ICETimeline(_xll.ICEJoinRange(M4:W4),"DF[dow:12345][tl:Calendar]","2020-07-26;2024-07-26",207,-1)</f>
        <v>44328.5</v>
      </c>
      <c r="M844">
        <f>_xll.ICEHistory(M$4,M$5,"DF[dow:12345][tl:Calendar]",$L844)</f>
        <v>53.15</v>
      </c>
      <c r="N844">
        <f>_xll.ICEHistory(M$4,N$5,"DF[dow:12345][tl:Calendar]",$L844)</f>
        <v>55.47</v>
      </c>
      <c r="O844">
        <f>_xll.ICEHistory(M$4,O$5,"DF[dow:12345][tl:Calendar]",$L844)</f>
        <v>53.05</v>
      </c>
      <c r="P844">
        <f>_xll.ICEHistory(M$4,P$5,"DF[dow:12345][tl:Calendar]",$L844)</f>
        <v>54.83</v>
      </c>
      <c r="Q844">
        <f>_xll.ICEHistory(M$4,Q$5,"DF[dow:12345][tl:Calendar]",$L844)</f>
        <v>50664</v>
      </c>
      <c r="R844">
        <f>_xll.ICEHistory(M$4,R$5,"DF[dow:12345][tl:Calendar]",$L844)</f>
        <v>463310</v>
      </c>
      <c r="S844">
        <f>_xll.ICEHistory(S$4,S$5,"DF[dow:12345][tl:Calendar]",$L844)</f>
        <v>26.44</v>
      </c>
      <c r="T844">
        <f>_xll.ICEHistory(S$4,T$5,"DF[dow:12345][tl:Calendar]",$L844)</f>
        <v>26.45</v>
      </c>
      <c r="U844">
        <f>_xll.ICEHistory(S$4,U$5,"DF[dow:12345][tl:Calendar]",$L844)</f>
        <v>25.8</v>
      </c>
      <c r="V844">
        <f>_xll.ICEHistory(S$4,V$5,"DF[dow:12345][tl:Calendar]",$L844)</f>
        <v>26.42</v>
      </c>
      <c r="W844">
        <f>_xll.ICEHistory(S$4,W$5,"DF[dow:12345][tl:Calendar]",$L844)</f>
        <v>1120</v>
      </c>
      <c r="X844">
        <f t="shared" si="39"/>
        <v>4.6449136276391585E-2</v>
      </c>
      <c r="Y844">
        <f t="shared" si="40"/>
        <v>1.2900962644880318</v>
      </c>
      <c r="Z844">
        <f t="shared" si="41"/>
        <v>2.0360454234538827</v>
      </c>
    </row>
    <row r="845" spans="12:26" x14ac:dyDescent="0.25">
      <c r="L845" s="4">
        <f>_xll.ICETimeline(_xll.ICEJoinRange(M4:W4),"DF[dow:12345][tl:Calendar]","2020-07-26;2024-07-26",206,-1)</f>
        <v>44327.5</v>
      </c>
      <c r="M845">
        <f>_xll.ICEHistory(M$4,M$5,"DF[dow:12345][tl:Calendar]",$L845)</f>
        <v>52.1</v>
      </c>
      <c r="N845">
        <f>_xll.ICEHistory(M$4,N$5,"DF[dow:12345][tl:Calendar]",$L845)</f>
        <v>53.45</v>
      </c>
      <c r="O845">
        <f>_xll.ICEHistory(M$4,O$5,"DF[dow:12345][tl:Calendar]",$L845)</f>
        <v>51.37</v>
      </c>
      <c r="P845">
        <f>_xll.ICEHistory(M$4,P$5,"DF[dow:12345][tl:Calendar]",$L845)</f>
        <v>53.34</v>
      </c>
      <c r="Q845">
        <f>_xll.ICEHistory(M$4,Q$5,"DF[dow:12345][tl:Calendar]",$L845)</f>
        <v>41045</v>
      </c>
      <c r="R845">
        <f>_xll.ICEHistory(M$4,R$5,"DF[dow:12345][tl:Calendar]",$L845)</f>
        <v>461026</v>
      </c>
      <c r="S845">
        <f>_xll.ICEHistory(S$4,S$5,"DF[dow:12345][tl:Calendar]",$L845)</f>
        <v>24.8</v>
      </c>
      <c r="T845">
        <f>_xll.ICEHistory(S$4,T$5,"DF[dow:12345][tl:Calendar]",$L845)</f>
        <v>25.995000000000001</v>
      </c>
      <c r="U845">
        <f>_xll.ICEHistory(S$4,U$5,"DF[dow:12345][tl:Calendar]",$L845)</f>
        <v>24.75</v>
      </c>
      <c r="V845">
        <f>_xll.ICEHistory(S$4,V$5,"DF[dow:12345][tl:Calendar]",$L845)</f>
        <v>25.805</v>
      </c>
      <c r="W845">
        <f>_xll.ICEHistory(S$4,W$5,"DF[dow:12345][tl:Calendar]",$L845)</f>
        <v>970</v>
      </c>
      <c r="X845">
        <f t="shared" si="39"/>
        <v>4.086444007858557E-2</v>
      </c>
      <c r="Y845">
        <f t="shared" si="40"/>
        <v>0.78469500929062708</v>
      </c>
      <c r="Z845">
        <f t="shared" si="41"/>
        <v>1.1520642802809615</v>
      </c>
    </row>
    <row r="846" spans="12:26" x14ac:dyDescent="0.25">
      <c r="L846" s="4">
        <f>_xll.ICETimeline(_xll.ICEJoinRange(M4:W4),"DF[dow:12345][tl:Calendar]","2020-07-26;2024-07-26",205,-1)</f>
        <v>44326.5</v>
      </c>
      <c r="M846">
        <f>_xll.ICEHistory(M$4,M$5,"DF[dow:12345][tl:Calendar]",$L846)</f>
        <v>50.9</v>
      </c>
      <c r="N846">
        <f>_xll.ICEHistory(M$4,N$5,"DF[dow:12345][tl:Calendar]",$L846)</f>
        <v>52.77</v>
      </c>
      <c r="O846">
        <f>_xll.ICEHistory(M$4,O$5,"DF[dow:12345][tl:Calendar]",$L846)</f>
        <v>50.9</v>
      </c>
      <c r="P846">
        <f>_xll.ICEHistory(M$4,P$5,"DF[dow:12345][tl:Calendar]",$L846)</f>
        <v>51.93</v>
      </c>
      <c r="Q846">
        <f>_xll.ICEHistory(M$4,Q$5,"DF[dow:12345][tl:Calendar]",$L846)</f>
        <v>37297</v>
      </c>
      <c r="R846">
        <f>_xll.ICEHistory(M$4,R$5,"DF[dow:12345][tl:Calendar]",$L846)</f>
        <v>459117</v>
      </c>
      <c r="S846">
        <f>_xll.ICEHistory(S$4,S$5,"DF[dow:12345][tl:Calendar]",$L846)</f>
        <v>25.175000000000001</v>
      </c>
      <c r="T846">
        <f>_xll.ICEHistory(S$4,T$5,"DF[dow:12345][tl:Calendar]",$L846)</f>
        <v>25.2</v>
      </c>
      <c r="U846">
        <f>_xll.ICEHistory(S$4,U$5,"DF[dow:12345][tl:Calendar]",$L846)</f>
        <v>24.824999999999999</v>
      </c>
      <c r="V846">
        <f>_xll.ICEHistory(S$4,V$5,"DF[dow:12345][tl:Calendar]",$L846)</f>
        <v>25.19</v>
      </c>
      <c r="W846">
        <f>_xll.ICEHistory(S$4,W$5,"DF[dow:12345][tl:Calendar]",$L846)</f>
        <v>1090</v>
      </c>
      <c r="X846">
        <f t="shared" si="39"/>
        <v>3.7444933920704936E-2</v>
      </c>
      <c r="Y846">
        <f t="shared" si="40"/>
        <v>0.51728580486007247</v>
      </c>
      <c r="Z846">
        <f t="shared" si="41"/>
        <v>0.80466303284425955</v>
      </c>
    </row>
    <row r="847" spans="12:26" x14ac:dyDescent="0.25">
      <c r="L847" s="4">
        <f>_xll.ICETimeline(_xll.ICEJoinRange(M4:W4),"DF[dow:12345][tl:Calendar]","2020-07-26;2024-07-26",204,-1)</f>
        <v>44323.5</v>
      </c>
      <c r="M847">
        <f>_xll.ICEHistory(M$4,M$5,"DF[dow:12345][tl:Calendar]",$L847)</f>
        <v>49.94</v>
      </c>
      <c r="N847">
        <f>_xll.ICEHistory(M$4,N$5,"DF[dow:12345][tl:Calendar]",$L847)</f>
        <v>51.1</v>
      </c>
      <c r="O847">
        <f>_xll.ICEHistory(M$4,O$5,"DF[dow:12345][tl:Calendar]",$L847)</f>
        <v>49.41</v>
      </c>
      <c r="P847">
        <f>_xll.ICEHistory(M$4,P$5,"DF[dow:12345][tl:Calendar]",$L847)</f>
        <v>51.07</v>
      </c>
      <c r="Q847">
        <f>_xll.ICEHistory(M$4,Q$5,"DF[dow:12345][tl:Calendar]",$L847)</f>
        <v>29230</v>
      </c>
      <c r="R847">
        <f>_xll.ICEHistory(M$4,R$5,"DF[dow:12345][tl:Calendar]",$L847)</f>
        <v>458690</v>
      </c>
      <c r="S847">
        <f>_xll.ICEHistory(S$4,S$5,"DF[dow:12345][tl:Calendar]",$L847)</f>
        <v>24.225000000000001</v>
      </c>
      <c r="T847">
        <f>_xll.ICEHistory(S$4,T$5,"DF[dow:12345][tl:Calendar]",$L847)</f>
        <v>24.225000000000001</v>
      </c>
      <c r="U847">
        <f>_xll.ICEHistory(S$4,U$5,"DF[dow:12345][tl:Calendar]",$L847)</f>
        <v>23.875</v>
      </c>
      <c r="V847">
        <f>_xll.ICEHistory(S$4,V$5,"DF[dow:12345][tl:Calendar]",$L847)</f>
        <v>23.94</v>
      </c>
      <c r="W847">
        <f>_xll.ICEHistory(S$4,W$5,"DF[dow:12345][tl:Calendar]",$L847)</f>
        <v>685</v>
      </c>
      <c r="X847">
        <f t="shared" si="39"/>
        <v>3.4086325131101346E-2</v>
      </c>
      <c r="Y847">
        <f t="shared" si="40"/>
        <v>0.23964560711038291</v>
      </c>
      <c r="Z847">
        <f t="shared" si="41"/>
        <v>-5.2639403124743614E-3</v>
      </c>
    </row>
    <row r="848" spans="12:26" x14ac:dyDescent="0.25">
      <c r="L848" s="4">
        <f>_xll.ICETimeline(_xll.ICEJoinRange(M4:W4),"DF[dow:12345][tl:Calendar]","2020-07-26;2024-07-26",203,-1)</f>
        <v>44322.5</v>
      </c>
      <c r="M848">
        <f>_xll.ICEHistory(M$4,M$5,"DF[dow:12345][tl:Calendar]",$L848)</f>
        <v>49.58</v>
      </c>
      <c r="N848">
        <f>_xll.ICEHistory(M$4,N$5,"DF[dow:12345][tl:Calendar]",$L848)</f>
        <v>50.48</v>
      </c>
      <c r="O848">
        <f>_xll.ICEHistory(M$4,O$5,"DF[dow:12345][tl:Calendar]",$L848)</f>
        <v>49.19</v>
      </c>
      <c r="P848">
        <f>_xll.ICEHistory(M$4,P$5,"DF[dow:12345][tl:Calendar]",$L848)</f>
        <v>49.91</v>
      </c>
      <c r="Q848">
        <f>_xll.ICEHistory(M$4,Q$5,"DF[dow:12345][tl:Calendar]",$L848)</f>
        <v>37282</v>
      </c>
      <c r="R848">
        <f>_xll.ICEHistory(M$4,R$5,"DF[dow:12345][tl:Calendar]",$L848)</f>
        <v>456064</v>
      </c>
      <c r="S848">
        <f>_xll.ICEHistory(S$4,S$5,"DF[dow:12345][tl:Calendar]",$L848)</f>
        <v>24.13</v>
      </c>
      <c r="T848">
        <f>_xll.ICEHistory(S$4,T$5,"DF[dow:12345][tl:Calendar]",$L848)</f>
        <v>24.95</v>
      </c>
      <c r="U848">
        <f>_xll.ICEHistory(S$4,U$5,"DF[dow:12345][tl:Calendar]",$L848)</f>
        <v>24.13</v>
      </c>
      <c r="V848">
        <f>_xll.ICEHistory(S$4,V$5,"DF[dow:12345][tl:Calendar]",$L848)</f>
        <v>24.33</v>
      </c>
      <c r="W848">
        <f>_xll.ICEHistory(S$4,W$5,"DF[dow:12345][tl:Calendar]",$L848)</f>
        <v>1075</v>
      </c>
      <c r="X848">
        <f t="shared" si="39"/>
        <v>2.6450686897682981E-2</v>
      </c>
      <c r="Y848">
        <f t="shared" si="40"/>
        <v>-0.40414085825748364</v>
      </c>
      <c r="Z848">
        <f t="shared" si="41"/>
        <v>0.80477007642883891</v>
      </c>
    </row>
    <row r="849" spans="12:26" x14ac:dyDescent="0.25">
      <c r="L849" s="4">
        <f>_xll.ICETimeline(_xll.ICEJoinRange(M4:W4),"DF[dow:12345][tl:Calendar]","2020-07-26;2024-07-26",202,-1)</f>
        <v>44321.5</v>
      </c>
      <c r="M849">
        <f>_xll.ICEHistory(M$4,M$5,"DF[dow:12345][tl:Calendar]",$L849)</f>
        <v>48.77</v>
      </c>
      <c r="N849">
        <f>_xll.ICEHistory(M$4,N$5,"DF[dow:12345][tl:Calendar]",$L849)</f>
        <v>49.5</v>
      </c>
      <c r="O849">
        <f>_xll.ICEHistory(M$4,O$5,"DF[dow:12345][tl:Calendar]",$L849)</f>
        <v>48.55</v>
      </c>
      <c r="P849">
        <f>_xll.ICEHistory(M$4,P$5,"DF[dow:12345][tl:Calendar]",$L849)</f>
        <v>49.34</v>
      </c>
      <c r="Q849">
        <f>_xll.ICEHistory(M$4,Q$5,"DF[dow:12345][tl:Calendar]",$L849)</f>
        <v>30861</v>
      </c>
      <c r="R849">
        <f>_xll.ICEHistory(M$4,R$5,"DF[dow:12345][tl:Calendar]",$L849)</f>
        <v>454938</v>
      </c>
      <c r="S849">
        <f>_xll.ICEHistory(S$4,S$5,"DF[dow:12345][tl:Calendar]",$L849)</f>
        <v>23.4</v>
      </c>
      <c r="T849">
        <f>_xll.ICEHistory(S$4,T$5,"DF[dow:12345][tl:Calendar]",$L849)</f>
        <v>23.965</v>
      </c>
      <c r="U849">
        <f>_xll.ICEHistory(S$4,U$5,"DF[dow:12345][tl:Calendar]",$L849)</f>
        <v>23.324999999999999</v>
      </c>
      <c r="V849">
        <f>_xll.ICEHistory(S$4,V$5,"DF[dow:12345][tl:Calendar]",$L849)</f>
        <v>23.96</v>
      </c>
      <c r="W849">
        <f>_xll.ICEHistory(S$4,W$5,"DF[dow:12345][tl:Calendar]",$L849)</f>
        <v>625</v>
      </c>
      <c r="X849">
        <f t="shared" si="39"/>
        <v>1.9153225806451669E-2</v>
      </c>
      <c r="Y849">
        <f t="shared" si="40"/>
        <v>-1.0242642329545129</v>
      </c>
      <c r="Z849">
        <f t="shared" si="41"/>
        <v>0.12840205298621823</v>
      </c>
    </row>
    <row r="850" spans="12:26" x14ac:dyDescent="0.25">
      <c r="L850" s="4">
        <f>_xll.ICETimeline(_xll.ICEJoinRange(M4:W4),"DF[dow:12345][tl:Calendar]","2020-07-26;2024-07-26",201,-1)</f>
        <v>44320.5</v>
      </c>
      <c r="M850">
        <f>_xll.ICEHistory(M$4,M$5,"DF[dow:12345][tl:Calendar]",$L850)</f>
        <v>49.6</v>
      </c>
      <c r="N850">
        <f>_xll.ICEHistory(M$4,N$5,"DF[dow:12345][tl:Calendar]",$L850)</f>
        <v>50.05</v>
      </c>
      <c r="O850">
        <f>_xll.ICEHistory(M$4,O$5,"DF[dow:12345][tl:Calendar]",$L850)</f>
        <v>48.4</v>
      </c>
      <c r="P850">
        <f>_xll.ICEHistory(M$4,P$5,"DF[dow:12345][tl:Calendar]",$L850)</f>
        <v>48.77</v>
      </c>
      <c r="Q850">
        <f>_xll.ICEHistory(M$4,Q$5,"DF[dow:12345][tl:Calendar]",$L850)</f>
        <v>29286</v>
      </c>
      <c r="R850">
        <f>_xll.ICEHistory(M$4,R$5,"DF[dow:12345][tl:Calendar]",$L850)</f>
        <v>462052</v>
      </c>
      <c r="S850">
        <f>_xll.ICEHistory(S$4,S$5,"DF[dow:12345][tl:Calendar]",$L850)</f>
        <v>24.105</v>
      </c>
      <c r="T850">
        <f>_xll.ICEHistory(S$4,T$5,"DF[dow:12345][tl:Calendar]",$L850)</f>
        <v>24.105</v>
      </c>
      <c r="U850">
        <f>_xll.ICEHistory(S$4,U$5,"DF[dow:12345][tl:Calendar]",$L850)</f>
        <v>22.995000000000001</v>
      </c>
      <c r="V850">
        <f>_xll.ICEHistory(S$4,V$5,"DF[dow:12345][tl:Calendar]",$L850)</f>
        <v>23.05</v>
      </c>
      <c r="W850">
        <f>_xll.ICEHistory(S$4,W$5,"DF[dow:12345][tl:Calendar]",$L850)</f>
        <v>715</v>
      </c>
      <c r="X850">
        <f t="shared" si="39"/>
        <v>3.3707865168539297E-2</v>
      </c>
      <c r="Y850">
        <f t="shared" si="40"/>
        <v>6.4780815071940376E-2</v>
      </c>
      <c r="Z850">
        <f t="shared" si="41"/>
        <v>-3.7114833586521484E-2</v>
      </c>
    </row>
    <row r="851" spans="12:26" x14ac:dyDescent="0.25">
      <c r="L851" s="4">
        <f>_xll.ICETimeline(_xll.ICEJoinRange(M4:W4),"DF[dow:12345][tl:Calendar]","2020-07-26;2024-07-26",200,-1)</f>
        <v>44319.5</v>
      </c>
      <c r="M851">
        <f>_xll.ICEHistory(M$4,M$5,"DF[dow:12345][tl:Calendar]",$L851)</f>
        <v>48.95</v>
      </c>
      <c r="N851">
        <f>_xll.ICEHistory(M$4,N$5,"DF[dow:12345][tl:Calendar]",$L851)</f>
        <v>49.9</v>
      </c>
      <c r="O851">
        <f>_xll.ICEHistory(M$4,O$5,"DF[dow:12345][tl:Calendar]",$L851)</f>
        <v>48.86</v>
      </c>
      <c r="P851">
        <f>_xll.ICEHistory(M$4,P$5,"DF[dow:12345][tl:Calendar]",$L851)</f>
        <v>49.75</v>
      </c>
      <c r="Q851">
        <f>_xll.ICEHistory(M$4,Q$5,"DF[dow:12345][tl:Calendar]",$L851)</f>
        <v>12704</v>
      </c>
      <c r="R851">
        <f>_xll.ICEHistory(M$4,R$5,"DF[dow:12345][tl:Calendar]",$L851)</f>
        <v>461123</v>
      </c>
      <c r="S851">
        <f>_xll.ICEHistory(S$4,S$5,"DF[dow:12345][tl:Calendar]",$L851)</f>
        <v>23.815000000000001</v>
      </c>
      <c r="T851">
        <f>_xll.ICEHistory(S$4,T$5,"DF[dow:12345][tl:Calendar]",$L851)</f>
        <v>23.815000000000001</v>
      </c>
      <c r="U851">
        <f>_xll.ICEHistory(S$4,U$5,"DF[dow:12345][tl:Calendar]",$L851)</f>
        <v>23.815000000000001</v>
      </c>
      <c r="V851">
        <f>_xll.ICEHistory(S$4,V$5,"DF[dow:12345][tl:Calendar]",$L851)</f>
        <v>23.815000000000001</v>
      </c>
      <c r="W851">
        <f>_xll.ICEHistory(S$4,W$5,"DF[dow:12345][tl:Calendar]",$L851)</f>
        <v>0</v>
      </c>
      <c r="X851">
        <f t="shared" si="39"/>
        <v>2.1720969089390123E-2</v>
      </c>
      <c r="Y851">
        <f t="shared" si="40"/>
        <v>-0.77722880614061907</v>
      </c>
      <c r="Z851">
        <f t="shared" si="41"/>
        <v>-1.6588798382397678</v>
      </c>
    </row>
    <row r="852" spans="12:26" x14ac:dyDescent="0.25">
      <c r="L852" s="4">
        <f>_xll.ICETimeline(_xll.ICEJoinRange(M4:W4),"DF[dow:12345][tl:Calendar]","2020-07-26;2024-07-26",199,-1)</f>
        <v>44316.5</v>
      </c>
      <c r="M852">
        <f>_xll.ICEHistory(M$4,M$5,"DF[dow:12345][tl:Calendar]",$L852)</f>
        <v>47.88</v>
      </c>
      <c r="N852">
        <f>_xll.ICEHistory(M$4,N$5,"DF[dow:12345][tl:Calendar]",$L852)</f>
        <v>49.41</v>
      </c>
      <c r="O852">
        <f>_xll.ICEHistory(M$4,O$5,"DF[dow:12345][tl:Calendar]",$L852)</f>
        <v>47.65</v>
      </c>
      <c r="P852">
        <f>_xll.ICEHistory(M$4,P$5,"DF[dow:12345][tl:Calendar]",$L852)</f>
        <v>48.82</v>
      </c>
      <c r="Q852">
        <f>_xll.ICEHistory(M$4,Q$5,"DF[dow:12345][tl:Calendar]",$L852)</f>
        <v>32302</v>
      </c>
      <c r="R852">
        <f>_xll.ICEHistory(M$4,R$5,"DF[dow:12345][tl:Calendar]",$L852)</f>
        <v>461349</v>
      </c>
      <c r="S852">
        <f>_xll.ICEHistory(S$4,S$5,"DF[dow:12345][tl:Calendar]",$L852)</f>
        <v>22.965</v>
      </c>
      <c r="T852">
        <f>_xll.ICEHistory(S$4,T$5,"DF[dow:12345][tl:Calendar]",$L852)</f>
        <v>23.32</v>
      </c>
      <c r="U852">
        <f>_xll.ICEHistory(S$4,U$5,"DF[dow:12345][tl:Calendar]",$L852)</f>
        <v>22.73</v>
      </c>
      <c r="V852">
        <f>_xll.ICEHistory(S$4,V$5,"DF[dow:12345][tl:Calendar]",$L852)</f>
        <v>23.285</v>
      </c>
      <c r="W852">
        <f>_xll.ICEHistory(S$4,W$5,"DF[dow:12345][tl:Calendar]",$L852)</f>
        <v>770</v>
      </c>
      <c r="X852">
        <f t="shared" si="39"/>
        <v>3.6766241905159772E-2</v>
      </c>
      <c r="Y852">
        <f t="shared" si="40"/>
        <v>0.23077789695319564</v>
      </c>
      <c r="Z852">
        <f t="shared" si="41"/>
        <v>0.25022175527788959</v>
      </c>
    </row>
    <row r="853" spans="12:26" x14ac:dyDescent="0.25">
      <c r="L853" s="4">
        <f>_xll.ICETimeline(_xll.ICEJoinRange(M4:W4),"DF[dow:12345][tl:Calendar]","2020-07-26;2024-07-26",198,-1)</f>
        <v>44315.5</v>
      </c>
      <c r="M853">
        <f>_xll.ICEHistory(M$4,M$5,"DF[dow:12345][tl:Calendar]",$L853)</f>
        <v>47.87</v>
      </c>
      <c r="N853">
        <f>_xll.ICEHistory(M$4,N$5,"DF[dow:12345][tl:Calendar]",$L853)</f>
        <v>48.18</v>
      </c>
      <c r="O853">
        <f>_xll.ICEHistory(M$4,O$5,"DF[dow:12345][tl:Calendar]",$L853)</f>
        <v>47.12</v>
      </c>
      <c r="P853">
        <f>_xll.ICEHistory(M$4,P$5,"DF[dow:12345][tl:Calendar]",$L853)</f>
        <v>48.08</v>
      </c>
      <c r="Q853">
        <f>_xll.ICEHistory(M$4,Q$5,"DF[dow:12345][tl:Calendar]",$L853)</f>
        <v>23546</v>
      </c>
      <c r="R853">
        <f>_xll.ICEHistory(M$4,R$5,"DF[dow:12345][tl:Calendar]",$L853)</f>
        <v>455277</v>
      </c>
      <c r="S853">
        <f>_xll.ICEHistory(S$4,S$5,"DF[dow:12345][tl:Calendar]",$L853)</f>
        <v>21.664999999999999</v>
      </c>
      <c r="T853">
        <f>_xll.ICEHistory(S$4,T$5,"DF[dow:12345][tl:Calendar]",$L853)</f>
        <v>22.574999999999999</v>
      </c>
      <c r="U853">
        <f>_xll.ICEHistory(S$4,U$5,"DF[dow:12345][tl:Calendar]",$L853)</f>
        <v>21.574999999999999</v>
      </c>
      <c r="V853">
        <f>_xll.ICEHistory(S$4,V$5,"DF[dow:12345][tl:Calendar]",$L853)</f>
        <v>22.5</v>
      </c>
      <c r="W853">
        <f>_xll.ICEHistory(S$4,W$5,"DF[dow:12345][tl:Calendar]",$L853)</f>
        <v>0</v>
      </c>
      <c r="X853">
        <f t="shared" si="39"/>
        <v>2.2405411118156884E-2</v>
      </c>
      <c r="Y853">
        <f t="shared" si="40"/>
        <v>-0.73014917834595205</v>
      </c>
      <c r="Z853">
        <f t="shared" si="41"/>
        <v>-0.60529641578393756</v>
      </c>
    </row>
    <row r="854" spans="12:26" x14ac:dyDescent="0.25">
      <c r="L854" s="4">
        <f>_xll.ICETimeline(_xll.ICEJoinRange(M4:W4),"DF[dow:12345][tl:Calendar]","2020-07-26;2024-07-26",197,-1)</f>
        <v>44314.5</v>
      </c>
      <c r="M854">
        <f>_xll.ICEHistory(M$4,M$5,"DF[dow:12345][tl:Calendar]",$L854)</f>
        <v>47.31</v>
      </c>
      <c r="N854">
        <f>_xll.ICEHistory(M$4,N$5,"DF[dow:12345][tl:Calendar]",$L854)</f>
        <v>48.4</v>
      </c>
      <c r="O854">
        <f>_xll.ICEHistory(M$4,O$5,"DF[dow:12345][tl:Calendar]",$L854)</f>
        <v>47.28</v>
      </c>
      <c r="P854">
        <f>_xll.ICEHistory(M$4,P$5,"DF[dow:12345][tl:Calendar]",$L854)</f>
        <v>47.83</v>
      </c>
      <c r="Q854">
        <f>_xll.ICEHistory(M$4,Q$5,"DF[dow:12345][tl:Calendar]",$L854)</f>
        <v>32443</v>
      </c>
      <c r="R854">
        <f>_xll.ICEHistory(M$4,R$5,"DF[dow:12345][tl:Calendar]",$L854)</f>
        <v>453687</v>
      </c>
      <c r="S854">
        <f>_xll.ICEHistory(S$4,S$5,"DF[dow:12345][tl:Calendar]",$L854)</f>
        <v>21.79</v>
      </c>
      <c r="T854">
        <f>_xll.ICEHistory(S$4,T$5,"DF[dow:12345][tl:Calendar]",$L854)</f>
        <v>22.02</v>
      </c>
      <c r="U854">
        <f>_xll.ICEHistory(S$4,U$5,"DF[dow:12345][tl:Calendar]",$L854)</f>
        <v>21.55</v>
      </c>
      <c r="V854">
        <f>_xll.ICEHistory(S$4,V$5,"DF[dow:12345][tl:Calendar]",$L854)</f>
        <v>21.555</v>
      </c>
      <c r="W854">
        <f>_xll.ICEHistory(S$4,W$5,"DF[dow:12345][tl:Calendar]",$L854)</f>
        <v>705</v>
      </c>
      <c r="X854">
        <f t="shared" si="39"/>
        <v>2.362869198312231E-2</v>
      </c>
      <c r="Y854">
        <f t="shared" si="40"/>
        <v>-0.66090524438334552</v>
      </c>
      <c r="Z854">
        <f t="shared" si="41"/>
        <v>0.27878592820409653</v>
      </c>
    </row>
    <row r="855" spans="12:26" x14ac:dyDescent="0.25">
      <c r="L855" s="4">
        <f>_xll.ICETimeline(_xll.ICEJoinRange(M4:W4),"DF[dow:12345][tl:Calendar]","2020-07-26;2024-07-26",196,-1)</f>
        <v>44313.5</v>
      </c>
      <c r="M855">
        <f>_xll.ICEHistory(M$4,M$5,"DF[dow:12345][tl:Calendar]",$L855)</f>
        <v>47.4</v>
      </c>
      <c r="N855">
        <f>_xll.ICEHistory(M$4,N$5,"DF[dow:12345][tl:Calendar]",$L855)</f>
        <v>47.89</v>
      </c>
      <c r="O855">
        <f>_xll.ICEHistory(M$4,O$5,"DF[dow:12345][tl:Calendar]",$L855)</f>
        <v>46.35</v>
      </c>
      <c r="P855">
        <f>_xll.ICEHistory(M$4,P$5,"DF[dow:12345][tl:Calendar]",$L855)</f>
        <v>47.42</v>
      </c>
      <c r="Q855">
        <f>_xll.ICEHistory(M$4,Q$5,"DF[dow:12345][tl:Calendar]",$L855)</f>
        <v>28971</v>
      </c>
      <c r="R855">
        <f>_xll.ICEHistory(M$4,R$5,"DF[dow:12345][tl:Calendar]",$L855)</f>
        <v>457761</v>
      </c>
      <c r="S855">
        <f>_xll.ICEHistory(S$4,S$5,"DF[dow:12345][tl:Calendar]",$L855)</f>
        <v>19.93</v>
      </c>
      <c r="T855">
        <f>_xll.ICEHistory(S$4,T$5,"DF[dow:12345][tl:Calendar]",$L855)</f>
        <v>21.5</v>
      </c>
      <c r="U855">
        <f>_xll.ICEHistory(S$4,U$5,"DF[dow:12345][tl:Calendar]",$L855)</f>
        <v>19.75</v>
      </c>
      <c r="V855">
        <f>_xll.ICEHistory(S$4,V$5,"DF[dow:12345][tl:Calendar]",$L855)</f>
        <v>21.405000000000001</v>
      </c>
      <c r="W855">
        <f>_xll.ICEHistory(S$4,W$5,"DF[dow:12345][tl:Calendar]",$L855)</f>
        <v>739</v>
      </c>
      <c r="X855">
        <f t="shared" si="39"/>
        <v>3.2661717921527021E-2</v>
      </c>
      <c r="Y855">
        <f t="shared" si="40"/>
        <v>-6.4440396616928478E-2</v>
      </c>
      <c r="Z855">
        <f t="shared" si="41"/>
        <v>-5.1082015229499601E-2</v>
      </c>
    </row>
    <row r="856" spans="12:26" x14ac:dyDescent="0.25">
      <c r="L856" s="4">
        <f>_xll.ICETimeline(_xll.ICEJoinRange(M4:W4),"DF[dow:12345][tl:Calendar]","2020-07-26;2024-07-26",195,-1)</f>
        <v>44312.5</v>
      </c>
      <c r="M856">
        <f>_xll.ICEHistory(M$4,M$5,"DF[dow:12345][tl:Calendar]",$L856)</f>
        <v>47.15</v>
      </c>
      <c r="N856">
        <f>_xll.ICEHistory(M$4,N$5,"DF[dow:12345][tl:Calendar]",$L856)</f>
        <v>47.73</v>
      </c>
      <c r="O856">
        <f>_xll.ICEHistory(M$4,O$5,"DF[dow:12345][tl:Calendar]",$L856)</f>
        <v>46.88</v>
      </c>
      <c r="P856">
        <f>_xll.ICEHistory(M$4,P$5,"DF[dow:12345][tl:Calendar]",$L856)</f>
        <v>47.46</v>
      </c>
      <c r="Q856">
        <f>_xll.ICEHistory(M$4,Q$5,"DF[dow:12345][tl:Calendar]",$L856)</f>
        <v>24335</v>
      </c>
      <c r="R856">
        <f>_xll.ICEHistory(M$4,R$5,"DF[dow:12345][tl:Calendar]",$L856)</f>
        <v>456544</v>
      </c>
      <c r="S856">
        <f>_xll.ICEHistory(S$4,S$5,"DF[dow:12345][tl:Calendar]",$L856)</f>
        <v>20.2</v>
      </c>
      <c r="T856">
        <f>_xll.ICEHistory(S$4,T$5,"DF[dow:12345][tl:Calendar]",$L856)</f>
        <v>20.46</v>
      </c>
      <c r="U856">
        <f>_xll.ICEHistory(S$4,U$5,"DF[dow:12345][tl:Calendar]",$L856)</f>
        <v>19.975000000000001</v>
      </c>
      <c r="V856">
        <f>_xll.ICEHistory(S$4,V$5,"DF[dow:12345][tl:Calendar]",$L856)</f>
        <v>20</v>
      </c>
      <c r="W856">
        <f>_xll.ICEHistory(S$4,W$5,"DF[dow:12345][tl:Calendar]",$L856)</f>
        <v>952</v>
      </c>
      <c r="X856">
        <f t="shared" si="39"/>
        <v>1.8104366347177728E-2</v>
      </c>
      <c r="Y856">
        <f t="shared" si="40"/>
        <v>-1.0373679752637992</v>
      </c>
      <c r="Z856">
        <f t="shared" si="41"/>
        <v>-0.50025072237974511</v>
      </c>
    </row>
    <row r="857" spans="12:26" x14ac:dyDescent="0.25">
      <c r="L857" s="4">
        <f>_xll.ICETimeline(_xll.ICEJoinRange(M4:W4),"DF[dow:12345][tl:Calendar]","2020-07-26;2024-07-26",194,-1)</f>
        <v>44309.5</v>
      </c>
      <c r="M857">
        <f>_xll.ICEHistory(M$4,M$5,"DF[dow:12345][tl:Calendar]",$L857)</f>
        <v>46.95</v>
      </c>
      <c r="N857">
        <f>_xll.ICEHistory(M$4,N$5,"DF[dow:12345][tl:Calendar]",$L857)</f>
        <v>47.29</v>
      </c>
      <c r="O857">
        <f>_xll.ICEHistory(M$4,O$5,"DF[dow:12345][tl:Calendar]",$L857)</f>
        <v>46.1</v>
      </c>
      <c r="P857">
        <f>_xll.ICEHistory(M$4,P$5,"DF[dow:12345][tl:Calendar]",$L857)</f>
        <v>46.88</v>
      </c>
      <c r="Q857">
        <f>_xll.ICEHistory(M$4,Q$5,"DF[dow:12345][tl:Calendar]",$L857)</f>
        <v>32007</v>
      </c>
      <c r="R857">
        <f>_xll.ICEHistory(M$4,R$5,"DF[dow:12345][tl:Calendar]",$L857)</f>
        <v>455240</v>
      </c>
      <c r="S857">
        <f>_xll.ICEHistory(S$4,S$5,"DF[dow:12345][tl:Calendar]",$L857)</f>
        <v>20.8</v>
      </c>
      <c r="T857">
        <f>_xll.ICEHistory(S$4,T$5,"DF[dow:12345][tl:Calendar]",$L857)</f>
        <v>20.8</v>
      </c>
      <c r="U857">
        <f>_xll.ICEHistory(S$4,U$5,"DF[dow:12345][tl:Calendar]",$L857)</f>
        <v>19.71</v>
      </c>
      <c r="V857">
        <f>_xll.ICEHistory(S$4,V$5,"DF[dow:12345][tl:Calendar]",$L857)</f>
        <v>20.045000000000002</v>
      </c>
      <c r="W857">
        <f>_xll.ICEHistory(S$4,W$5,"DF[dow:12345][tl:Calendar]",$L857)</f>
        <v>180</v>
      </c>
      <c r="X857">
        <f t="shared" si="39"/>
        <v>2.5701943844492394E-2</v>
      </c>
      <c r="Y857">
        <f t="shared" si="40"/>
        <v>-0.55548953876516494</v>
      </c>
      <c r="Z857">
        <f t="shared" si="41"/>
        <v>0.26758179049046721</v>
      </c>
    </row>
    <row r="858" spans="12:26" x14ac:dyDescent="0.25">
      <c r="L858" s="4">
        <f>_xll.ICETimeline(_xll.ICEJoinRange(M4:W4),"DF[dow:12345][tl:Calendar]","2020-07-26;2024-07-26",193,-1)</f>
        <v>44308.5</v>
      </c>
      <c r="M858">
        <f>_xll.ICEHistory(M$4,M$5,"DF[dow:12345][tl:Calendar]",$L858)</f>
        <v>46.3</v>
      </c>
      <c r="N858">
        <f>_xll.ICEHistory(M$4,N$5,"DF[dow:12345][tl:Calendar]",$L858)</f>
        <v>47.36</v>
      </c>
      <c r="O858">
        <f>_xll.ICEHistory(M$4,O$5,"DF[dow:12345][tl:Calendar]",$L858)</f>
        <v>46.15</v>
      </c>
      <c r="P858">
        <f>_xll.ICEHistory(M$4,P$5,"DF[dow:12345][tl:Calendar]",$L858)</f>
        <v>47.1</v>
      </c>
      <c r="Q858">
        <f>_xll.ICEHistory(M$4,Q$5,"DF[dow:12345][tl:Calendar]",$L858)</f>
        <v>38214</v>
      </c>
      <c r="R858">
        <f>_xll.ICEHistory(M$4,R$5,"DF[dow:12345][tl:Calendar]",$L858)</f>
        <v>452812</v>
      </c>
      <c r="S858">
        <f>_xll.ICEHistory(S$4,S$5,"DF[dow:12345][tl:Calendar]",$L858)</f>
        <v>21.3</v>
      </c>
      <c r="T858">
        <f>_xll.ICEHistory(S$4,T$5,"DF[dow:12345][tl:Calendar]",$L858)</f>
        <v>21.54</v>
      </c>
      <c r="U858">
        <f>_xll.ICEHistory(S$4,U$5,"DF[dow:12345][tl:Calendar]",$L858)</f>
        <v>21.3</v>
      </c>
      <c r="V858">
        <f>_xll.ICEHistory(S$4,V$5,"DF[dow:12345][tl:Calendar]",$L858)</f>
        <v>21.37</v>
      </c>
      <c r="W858">
        <f>_xll.ICEHistory(S$4,W$5,"DF[dow:12345][tl:Calendar]",$L858)</f>
        <v>456</v>
      </c>
      <c r="X858">
        <f t="shared" si="39"/>
        <v>2.6888888888888907E-2</v>
      </c>
      <c r="Y858">
        <f t="shared" si="40"/>
        <v>-0.4711064939732168</v>
      </c>
      <c r="Z858">
        <f t="shared" si="41"/>
        <v>0.88765084450686238</v>
      </c>
    </row>
    <row r="859" spans="12:26" x14ac:dyDescent="0.25">
      <c r="L859" s="4">
        <f>_xll.ICETimeline(_xll.ICEJoinRange(M4:W4),"DF[dow:12345][tl:Calendar]","2020-07-26;2024-07-26",192,-1)</f>
        <v>44307.5</v>
      </c>
      <c r="M859">
        <f>_xll.ICEHistory(M$4,M$5,"DF[dow:12345][tl:Calendar]",$L859)</f>
        <v>45</v>
      </c>
      <c r="N859">
        <f>_xll.ICEHistory(M$4,N$5,"DF[dow:12345][tl:Calendar]",$L859)</f>
        <v>46.5</v>
      </c>
      <c r="O859">
        <f>_xll.ICEHistory(M$4,O$5,"DF[dow:12345][tl:Calendar]",$L859)</f>
        <v>44.78</v>
      </c>
      <c r="P859">
        <f>_xll.ICEHistory(M$4,P$5,"DF[dow:12345][tl:Calendar]",$L859)</f>
        <v>46.4</v>
      </c>
      <c r="Q859">
        <f>_xll.ICEHistory(M$4,Q$5,"DF[dow:12345][tl:Calendar]",$L859)</f>
        <v>38579</v>
      </c>
      <c r="R859">
        <f>_xll.ICEHistory(M$4,R$5,"DF[dow:12345][tl:Calendar]",$L859)</f>
        <v>450505</v>
      </c>
      <c r="S859">
        <f>_xll.ICEHistory(S$4,S$5,"DF[dow:12345][tl:Calendar]",$L859)</f>
        <v>21.015000000000001</v>
      </c>
      <c r="T859">
        <f>_xll.ICEHistory(S$4,T$5,"DF[dow:12345][tl:Calendar]",$L859)</f>
        <v>21.25</v>
      </c>
      <c r="U859">
        <f>_xll.ICEHistory(S$4,U$5,"DF[dow:12345][tl:Calendar]",$L859)</f>
        <v>20.85</v>
      </c>
      <c r="V859">
        <f>_xll.ICEHistory(S$4,V$5,"DF[dow:12345][tl:Calendar]",$L859)</f>
        <v>21.11</v>
      </c>
      <c r="W859">
        <f>_xll.ICEHistory(S$4,W$5,"DF[dow:12345][tl:Calendar]",$L859)</f>
        <v>2016</v>
      </c>
      <c r="X859">
        <f t="shared" si="39"/>
        <v>3.8958097395243467E-2</v>
      </c>
      <c r="Y859">
        <f t="shared" si="40"/>
        <v>0.31916929519517478</v>
      </c>
      <c r="Z859">
        <f t="shared" si="41"/>
        <v>0.95061712115188424</v>
      </c>
    </row>
    <row r="860" spans="12:26" x14ac:dyDescent="0.25">
      <c r="L860" s="4">
        <f>_xll.ICETimeline(_xll.ICEJoinRange(M4:W4),"DF[dow:12345][tl:Calendar]","2020-07-26;2024-07-26",191,-1)</f>
        <v>44306.5</v>
      </c>
      <c r="M860">
        <f>_xll.ICEHistory(M$4,M$5,"DF[dow:12345][tl:Calendar]",$L860)</f>
        <v>44.15</v>
      </c>
      <c r="N860">
        <f>_xll.ICEHistory(M$4,N$5,"DF[dow:12345][tl:Calendar]",$L860)</f>
        <v>45.19</v>
      </c>
      <c r="O860">
        <f>_xll.ICEHistory(M$4,O$5,"DF[dow:12345][tl:Calendar]",$L860)</f>
        <v>43.89</v>
      </c>
      <c r="P860">
        <f>_xll.ICEHistory(M$4,P$5,"DF[dow:12345][tl:Calendar]",$L860)</f>
        <v>45.17</v>
      </c>
      <c r="Q860">
        <f>_xll.ICEHistory(M$4,Q$5,"DF[dow:12345][tl:Calendar]",$L860)</f>
        <v>30806</v>
      </c>
      <c r="R860">
        <f>_xll.ICEHistory(M$4,R$5,"DF[dow:12345][tl:Calendar]",$L860)</f>
        <v>448140</v>
      </c>
      <c r="S860">
        <f>_xll.ICEHistory(S$4,S$5,"DF[dow:12345][tl:Calendar]",$L860)</f>
        <v>20.85</v>
      </c>
      <c r="T860">
        <f>_xll.ICEHistory(S$4,T$5,"DF[dow:12345][tl:Calendar]",$L860)</f>
        <v>21.335000000000001</v>
      </c>
      <c r="U860">
        <f>_xll.ICEHistory(S$4,U$5,"DF[dow:12345][tl:Calendar]",$L860)</f>
        <v>20.675000000000001</v>
      </c>
      <c r="V860">
        <f>_xll.ICEHistory(S$4,V$5,"DF[dow:12345][tl:Calendar]",$L860)</f>
        <v>21.065000000000001</v>
      </c>
      <c r="W860">
        <f>_xll.ICEHistory(S$4,W$5,"DF[dow:12345][tl:Calendar]",$L860)</f>
        <v>1399</v>
      </c>
      <c r="X860">
        <f t="shared" si="39"/>
        <v>2.9292474087426704E-2</v>
      </c>
      <c r="Y860">
        <f t="shared" si="40"/>
        <v>-0.32299799519013694</v>
      </c>
      <c r="Z860">
        <f t="shared" si="41"/>
        <v>0.21284050652529848</v>
      </c>
    </row>
    <row r="861" spans="12:26" x14ac:dyDescent="0.25">
      <c r="L861" s="4">
        <f>_xll.ICETimeline(_xll.ICEJoinRange(M4:W4),"DF[dow:12345][tl:Calendar]","2020-07-26;2024-07-26",190,-1)</f>
        <v>44305.5</v>
      </c>
      <c r="M861">
        <f>_xll.ICEHistory(M$4,M$5,"DF[dow:12345][tl:Calendar]",$L861)</f>
        <v>44.38</v>
      </c>
      <c r="N861">
        <f>_xll.ICEHistory(M$4,N$5,"DF[dow:12345][tl:Calendar]",$L861)</f>
        <v>44.95</v>
      </c>
      <c r="O861">
        <f>_xll.ICEHistory(M$4,O$5,"DF[dow:12345][tl:Calendar]",$L861)</f>
        <v>43.85</v>
      </c>
      <c r="P861">
        <f>_xll.ICEHistory(M$4,P$5,"DF[dow:12345][tl:Calendar]",$L861)</f>
        <v>43.87</v>
      </c>
      <c r="Q861">
        <f>_xll.ICEHistory(M$4,Q$5,"DF[dow:12345][tl:Calendar]",$L861)</f>
        <v>25097</v>
      </c>
      <c r="R861">
        <f>_xll.ICEHistory(M$4,R$5,"DF[dow:12345][tl:Calendar]",$L861)</f>
        <v>448441</v>
      </c>
      <c r="S861">
        <f>_xll.ICEHistory(S$4,S$5,"DF[dow:12345][tl:Calendar]",$L861)</f>
        <v>20.875</v>
      </c>
      <c r="T861">
        <f>_xll.ICEHistory(S$4,T$5,"DF[dow:12345][tl:Calendar]",$L861)</f>
        <v>21.12</v>
      </c>
      <c r="U861">
        <f>_xll.ICEHistory(S$4,U$5,"DF[dow:12345][tl:Calendar]",$L861)</f>
        <v>20.85</v>
      </c>
      <c r="V861">
        <f>_xll.ICEHistory(S$4,V$5,"DF[dow:12345][tl:Calendar]",$L861)</f>
        <v>20.94</v>
      </c>
      <c r="W861">
        <f>_xll.ICEHistory(S$4,W$5,"DF[dow:12345][tl:Calendar]",$L861)</f>
        <v>1430</v>
      </c>
      <c r="X861">
        <f t="shared" si="39"/>
        <v>2.4774774774774806E-2</v>
      </c>
      <c r="Y861">
        <f t="shared" si="40"/>
        <v>-0.64046201020041427</v>
      </c>
      <c r="Z861">
        <f t="shared" si="41"/>
        <v>-0.33524633158277539</v>
      </c>
    </row>
    <row r="862" spans="12:26" x14ac:dyDescent="0.25">
      <c r="L862" s="4">
        <f>_xll.ICETimeline(_xll.ICEJoinRange(M4:W4),"DF[dow:12345][tl:Calendar]","2020-07-26;2024-07-26",189,-1)</f>
        <v>44302.5</v>
      </c>
      <c r="M862">
        <f>_xll.ICEHistory(M$4,M$5,"DF[dow:12345][tl:Calendar]",$L862)</f>
        <v>44.4</v>
      </c>
      <c r="N862">
        <f>_xll.ICEHistory(M$4,N$5,"DF[dow:12345][tl:Calendar]",$L862)</f>
        <v>44.9</v>
      </c>
      <c r="O862">
        <f>_xll.ICEHistory(M$4,O$5,"DF[dow:12345][tl:Calendar]",$L862)</f>
        <v>44.3</v>
      </c>
      <c r="P862">
        <f>_xll.ICEHistory(M$4,P$5,"DF[dow:12345][tl:Calendar]",$L862)</f>
        <v>44.4</v>
      </c>
      <c r="Q862">
        <f>_xll.ICEHistory(M$4,Q$5,"DF[dow:12345][tl:Calendar]",$L862)</f>
        <v>21213</v>
      </c>
      <c r="R862">
        <f>_xll.ICEHistory(M$4,R$5,"DF[dow:12345][tl:Calendar]",$L862)</f>
        <v>446004</v>
      </c>
      <c r="S862">
        <f>_xll.ICEHistory(S$4,S$5,"DF[dow:12345][tl:Calendar]",$L862)</f>
        <v>20.625</v>
      </c>
      <c r="T862">
        <f>_xll.ICEHistory(S$4,T$5,"DF[dow:12345][tl:Calendar]",$L862)</f>
        <v>20.8</v>
      </c>
      <c r="U862">
        <f>_xll.ICEHistory(S$4,U$5,"DF[dow:12345][tl:Calendar]",$L862)</f>
        <v>20.5</v>
      </c>
      <c r="V862">
        <f>_xll.ICEHistory(S$4,V$5,"DF[dow:12345][tl:Calendar]",$L862)</f>
        <v>20.54</v>
      </c>
      <c r="W862">
        <f>_xll.ICEHistory(S$4,W$5,"DF[dow:12345][tl:Calendar]",$L862)</f>
        <v>425</v>
      </c>
      <c r="X862">
        <f t="shared" si="39"/>
        <v>1.3704888076747405E-2</v>
      </c>
      <c r="Y862">
        <f t="shared" si="40"/>
        <v>-1.3920673917523272</v>
      </c>
      <c r="Z862">
        <f t="shared" si="41"/>
        <v>-0.72649687980765687</v>
      </c>
    </row>
    <row r="863" spans="12:26" x14ac:dyDescent="0.25">
      <c r="L863" s="4">
        <f>_xll.ICETimeline(_xll.ICEJoinRange(M4:W4),"DF[dow:12345][tl:Calendar]","2020-07-26;2024-07-26",188,-1)</f>
        <v>44301.5</v>
      </c>
      <c r="M863">
        <f>_xll.ICEHistory(M$4,M$5,"DF[dow:12345][tl:Calendar]",$L863)</f>
        <v>43.78</v>
      </c>
      <c r="N863">
        <f>_xll.ICEHistory(M$4,N$5,"DF[dow:12345][tl:Calendar]",$L863)</f>
        <v>44.55</v>
      </c>
      <c r="O863">
        <f>_xll.ICEHistory(M$4,O$5,"DF[dow:12345][tl:Calendar]",$L863)</f>
        <v>43.78</v>
      </c>
      <c r="P863">
        <f>_xll.ICEHistory(M$4,P$5,"DF[dow:12345][tl:Calendar]",$L863)</f>
        <v>44.35</v>
      </c>
      <c r="Q863">
        <f>_xll.ICEHistory(M$4,Q$5,"DF[dow:12345][tl:Calendar]",$L863)</f>
        <v>18921</v>
      </c>
      <c r="R863">
        <f>_xll.ICEHistory(M$4,R$5,"DF[dow:12345][tl:Calendar]",$L863)</f>
        <v>444192</v>
      </c>
      <c r="S863">
        <f>_xll.ICEHistory(S$4,S$5,"DF[dow:12345][tl:Calendar]",$L863)</f>
        <v>19.899999999999999</v>
      </c>
      <c r="T863">
        <f>_xll.ICEHistory(S$4,T$5,"DF[dow:12345][tl:Calendar]",$L863)</f>
        <v>20.385000000000002</v>
      </c>
      <c r="U863">
        <f>_xll.ICEHistory(S$4,U$5,"DF[dow:12345][tl:Calendar]",$L863)</f>
        <v>19.850000000000001</v>
      </c>
      <c r="V863">
        <f>_xll.ICEHistory(S$4,V$5,"DF[dow:12345][tl:Calendar]",$L863)</f>
        <v>20.260000000000002</v>
      </c>
      <c r="W863">
        <f>_xll.ICEHistory(S$4,W$5,"DF[dow:12345][tl:Calendar]",$L863)</f>
        <v>600</v>
      </c>
      <c r="X863">
        <f t="shared" si="39"/>
        <v>1.7523896222120985E-2</v>
      </c>
      <c r="Y863">
        <f t="shared" si="40"/>
        <v>-1.1789928213575742</v>
      </c>
      <c r="Z863">
        <f t="shared" si="41"/>
        <v>-0.95514373950209108</v>
      </c>
    </row>
    <row r="864" spans="12:26" x14ac:dyDescent="0.25">
      <c r="L864" s="4">
        <f>_xll.ICETimeline(_xll.ICEJoinRange(M4:W4),"DF[dow:12345][tl:Calendar]","2020-07-26;2024-07-26",187,-1)</f>
        <v>44300.5</v>
      </c>
      <c r="M864">
        <f>_xll.ICEHistory(M$4,M$5,"DF[dow:12345][tl:Calendar]",$L864)</f>
        <v>43.94</v>
      </c>
      <c r="N864">
        <f>_xll.ICEHistory(M$4,N$5,"DF[dow:12345][tl:Calendar]",$L864)</f>
        <v>44.18</v>
      </c>
      <c r="O864">
        <f>_xll.ICEHistory(M$4,O$5,"DF[dow:12345][tl:Calendar]",$L864)</f>
        <v>43.45</v>
      </c>
      <c r="P864">
        <f>_xll.ICEHistory(M$4,P$5,"DF[dow:12345][tl:Calendar]",$L864)</f>
        <v>43.77</v>
      </c>
      <c r="Q864">
        <f>_xll.ICEHistory(M$4,Q$5,"DF[dow:12345][tl:Calendar]",$L864)</f>
        <v>23008</v>
      </c>
      <c r="R864">
        <f>_xll.ICEHistory(M$4,R$5,"DF[dow:12345][tl:Calendar]",$L864)</f>
        <v>444017</v>
      </c>
      <c r="S864">
        <f>_xll.ICEHistory(S$4,S$5,"DF[dow:12345][tl:Calendar]",$L864)</f>
        <v>19.600000000000001</v>
      </c>
      <c r="T864">
        <f>_xll.ICEHistory(S$4,T$5,"DF[dow:12345][tl:Calendar]",$L864)</f>
        <v>19.774999999999999</v>
      </c>
      <c r="U864">
        <f>_xll.ICEHistory(S$4,U$5,"DF[dow:12345][tl:Calendar]",$L864)</f>
        <v>19.600000000000001</v>
      </c>
      <c r="V864">
        <f>_xll.ICEHistory(S$4,V$5,"DF[dow:12345][tl:Calendar]",$L864)</f>
        <v>19.68</v>
      </c>
      <c r="W864">
        <f>_xll.ICEHistory(S$4,W$5,"DF[dow:12345][tl:Calendar]",$L864)</f>
        <v>2028</v>
      </c>
      <c r="X864">
        <f t="shared" si="39"/>
        <v>1.6375056078959106E-2</v>
      </c>
      <c r="Y864">
        <f t="shared" si="40"/>
        <v>-1.2868575882010016</v>
      </c>
      <c r="Z864">
        <f t="shared" si="41"/>
        <v>-0.5700866575886655</v>
      </c>
    </row>
    <row r="865" spans="12:26" x14ac:dyDescent="0.25">
      <c r="L865" s="4">
        <f>_xll.ICETimeline(_xll.ICEJoinRange(M4:W4),"DF[dow:12345][tl:Calendar]","2020-07-26;2024-07-26",186,-1)</f>
        <v>44299.5</v>
      </c>
      <c r="M865">
        <f>_xll.ICEHistory(M$4,M$5,"DF[dow:12345][tl:Calendar]",$L865)</f>
        <v>44.58</v>
      </c>
      <c r="N865">
        <f>_xll.ICEHistory(M$4,N$5,"DF[dow:12345][tl:Calendar]",$L865)</f>
        <v>44.69</v>
      </c>
      <c r="O865">
        <f>_xll.ICEHistory(M$4,O$5,"DF[dow:12345][tl:Calendar]",$L865)</f>
        <v>43.72</v>
      </c>
      <c r="P865">
        <f>_xll.ICEHistory(M$4,P$5,"DF[dow:12345][tl:Calendar]",$L865)</f>
        <v>43.77</v>
      </c>
      <c r="Q865">
        <f>_xll.ICEHistory(M$4,Q$5,"DF[dow:12345][tl:Calendar]",$L865)</f>
        <v>23136</v>
      </c>
      <c r="R865">
        <f>_xll.ICEHistory(M$4,R$5,"DF[dow:12345][tl:Calendar]",$L865)</f>
        <v>444513</v>
      </c>
      <c r="S865">
        <f>_xll.ICEHistory(S$4,S$5,"DF[dow:12345][tl:Calendar]",$L865)</f>
        <v>19.72</v>
      </c>
      <c r="T865">
        <f>_xll.ICEHistory(S$4,T$5,"DF[dow:12345][tl:Calendar]",$L865)</f>
        <v>19.850000000000001</v>
      </c>
      <c r="U865">
        <f>_xll.ICEHistory(S$4,U$5,"DF[dow:12345][tl:Calendar]",$L865)</f>
        <v>19.47</v>
      </c>
      <c r="V865">
        <f>_xll.ICEHistory(S$4,V$5,"DF[dow:12345][tl:Calendar]",$L865)</f>
        <v>19.510000000000002</v>
      </c>
      <c r="W865">
        <f>_xll.ICEHistory(S$4,W$5,"DF[dow:12345][tl:Calendar]",$L865)</f>
        <v>1163</v>
      </c>
      <c r="X865">
        <f t="shared" si="39"/>
        <v>2.2268135904499515E-2</v>
      </c>
      <c r="Y865">
        <f t="shared" si="40"/>
        <v>-0.92633304832458663</v>
      </c>
      <c r="Z865">
        <f t="shared" si="41"/>
        <v>-0.5625297364683054</v>
      </c>
    </row>
    <row r="866" spans="12:26" x14ac:dyDescent="0.25">
      <c r="L866" s="4">
        <f>_xll.ICETimeline(_xll.ICEJoinRange(M4:W4),"DF[dow:12345][tl:Calendar]","2020-07-26;2024-07-26",185,-1)</f>
        <v>44298.5</v>
      </c>
      <c r="M866">
        <f>_xll.ICEHistory(M$4,M$5,"DF[dow:12345][tl:Calendar]",$L866)</f>
        <v>43.56</v>
      </c>
      <c r="N866">
        <f>_xll.ICEHistory(M$4,N$5,"DF[dow:12345][tl:Calendar]",$L866)</f>
        <v>44.62</v>
      </c>
      <c r="O866">
        <f>_xll.ICEHistory(M$4,O$5,"DF[dow:12345][tl:Calendar]",$L866)</f>
        <v>43.53</v>
      </c>
      <c r="P866">
        <f>_xll.ICEHistory(M$4,P$5,"DF[dow:12345][tl:Calendar]",$L866)</f>
        <v>44.42</v>
      </c>
      <c r="Q866">
        <f>_xll.ICEHistory(M$4,Q$5,"DF[dow:12345][tl:Calendar]",$L866)</f>
        <v>22158</v>
      </c>
      <c r="R866">
        <f>_xll.ICEHistory(M$4,R$5,"DF[dow:12345][tl:Calendar]",$L866)</f>
        <v>443734</v>
      </c>
      <c r="S866">
        <f>_xll.ICEHistory(S$4,S$5,"DF[dow:12345][tl:Calendar]",$L866)</f>
        <v>19.395</v>
      </c>
      <c r="T866">
        <f>_xll.ICEHistory(S$4,T$5,"DF[dow:12345][tl:Calendar]",$L866)</f>
        <v>19.725000000000001</v>
      </c>
      <c r="U866">
        <f>_xll.ICEHistory(S$4,U$5,"DF[dow:12345][tl:Calendar]",$L866)</f>
        <v>19.260000000000002</v>
      </c>
      <c r="V866">
        <f>_xll.ICEHistory(S$4,V$5,"DF[dow:12345][tl:Calendar]",$L866)</f>
        <v>19.649999999999999</v>
      </c>
      <c r="W866">
        <f>_xll.ICEHistory(S$4,W$5,"DF[dow:12345][tl:Calendar]",$L866)</f>
        <v>1480</v>
      </c>
      <c r="X866">
        <f t="shared" si="39"/>
        <v>2.5017213679136938E-2</v>
      </c>
      <c r="Y866">
        <f t="shared" si="40"/>
        <v>-0.75967074753465158</v>
      </c>
      <c r="Z866">
        <f t="shared" si="41"/>
        <v>-0.6402697479322973</v>
      </c>
    </row>
    <row r="867" spans="12:26" x14ac:dyDescent="0.25">
      <c r="L867" s="4">
        <f>_xll.ICETimeline(_xll.ICEJoinRange(M4:W4),"DF[dow:12345][tl:Calendar]","2020-07-26;2024-07-26",184,-1)</f>
        <v>44295.5</v>
      </c>
      <c r="M867">
        <f>_xll.ICEHistory(M$4,M$5,"DF[dow:12345][tl:Calendar]",$L867)</f>
        <v>43.57</v>
      </c>
      <c r="N867">
        <f>_xll.ICEHistory(M$4,N$5,"DF[dow:12345][tl:Calendar]",$L867)</f>
        <v>43.8</v>
      </c>
      <c r="O867">
        <f>_xll.ICEHistory(M$4,O$5,"DF[dow:12345][tl:Calendar]",$L867)</f>
        <v>43.16</v>
      </c>
      <c r="P867">
        <f>_xll.ICEHistory(M$4,P$5,"DF[dow:12345][tl:Calendar]",$L867)</f>
        <v>43.64</v>
      </c>
      <c r="Q867">
        <f>_xll.ICEHistory(M$4,Q$5,"DF[dow:12345][tl:Calendar]",$L867)</f>
        <v>17457</v>
      </c>
      <c r="R867">
        <f>_xll.ICEHistory(M$4,R$5,"DF[dow:12345][tl:Calendar]",$L867)</f>
        <v>443565</v>
      </c>
      <c r="S867">
        <f>_xll.ICEHistory(S$4,S$5,"DF[dow:12345][tl:Calendar]",$L867)</f>
        <v>19.350000000000001</v>
      </c>
      <c r="T867">
        <f>_xll.ICEHistory(S$4,T$5,"DF[dow:12345][tl:Calendar]",$L867)</f>
        <v>19.364999999999998</v>
      </c>
      <c r="U867">
        <f>_xll.ICEHistory(S$4,U$5,"DF[dow:12345][tl:Calendar]",$L867)</f>
        <v>18.899999999999999</v>
      </c>
      <c r="V867">
        <f>_xll.ICEHistory(S$4,V$5,"DF[dow:12345][tl:Calendar]",$L867)</f>
        <v>18.940000000000001</v>
      </c>
      <c r="W867">
        <f>_xll.ICEHistory(S$4,W$5,"DF[dow:12345][tl:Calendar]",$L867)</f>
        <v>1182</v>
      </c>
      <c r="X867">
        <f t="shared" si="39"/>
        <v>1.4591883264933894E-2</v>
      </c>
      <c r="Y867">
        <f t="shared" si="40"/>
        <v>-1.4890939784447113</v>
      </c>
      <c r="Z867">
        <f t="shared" si="41"/>
        <v>-1.097323972632404</v>
      </c>
    </row>
    <row r="868" spans="12:26" x14ac:dyDescent="0.25">
      <c r="L868" s="4">
        <f>_xll.ICETimeline(_xll.ICEJoinRange(M4:W4),"DF[dow:12345][tl:Calendar]","2020-07-26;2024-07-26",183,-1)</f>
        <v>44294.5</v>
      </c>
      <c r="M868">
        <f>_xll.ICEHistory(M$4,M$5,"DF[dow:12345][tl:Calendar]",$L868)</f>
        <v>43.86</v>
      </c>
      <c r="N868">
        <f>_xll.ICEHistory(M$4,N$5,"DF[dow:12345][tl:Calendar]",$L868)</f>
        <v>44.05</v>
      </c>
      <c r="O868">
        <f>_xll.ICEHistory(M$4,O$5,"DF[dow:12345][tl:Calendar]",$L868)</f>
        <v>43.32</v>
      </c>
      <c r="P868">
        <f>_xll.ICEHistory(M$4,P$5,"DF[dow:12345][tl:Calendar]",$L868)</f>
        <v>43.48</v>
      </c>
      <c r="Q868">
        <f>_xll.ICEHistory(M$4,Q$5,"DF[dow:12345][tl:Calendar]",$L868)</f>
        <v>30530</v>
      </c>
      <c r="R868">
        <f>_xll.ICEHistory(M$4,R$5,"DF[dow:12345][tl:Calendar]",$L868)</f>
        <v>442919</v>
      </c>
      <c r="S868">
        <f>_xll.ICEHistory(S$4,S$5,"DF[dow:12345][tl:Calendar]",$L868)</f>
        <v>19.324999999999999</v>
      </c>
      <c r="T868">
        <f>_xll.ICEHistory(S$4,T$5,"DF[dow:12345][tl:Calendar]",$L868)</f>
        <v>19.45</v>
      </c>
      <c r="U868">
        <f>_xll.ICEHistory(S$4,U$5,"DF[dow:12345][tl:Calendar]",$L868)</f>
        <v>18.975000000000001</v>
      </c>
      <c r="V868">
        <f>_xll.ICEHistory(S$4,V$5,"DF[dow:12345][tl:Calendar]",$L868)</f>
        <v>18.989999999999998</v>
      </c>
      <c r="W868">
        <f>_xll.ICEHistory(S$4,W$5,"DF[dow:12345][tl:Calendar]",$L868)</f>
        <v>625</v>
      </c>
      <c r="X868">
        <f t="shared" si="39"/>
        <v>1.6459977452085613E-2</v>
      </c>
      <c r="Y868">
        <f t="shared" si="40"/>
        <v>-1.3928755496150538</v>
      </c>
      <c r="Z868">
        <f t="shared" si="41"/>
        <v>0.17462136299859998</v>
      </c>
    </row>
    <row r="869" spans="12:26" x14ac:dyDescent="0.25">
      <c r="L869" s="4">
        <f>_xll.ICETimeline(_xll.ICEJoinRange(M4:W4),"DF[dow:12345][tl:Calendar]","2020-07-26;2024-07-26",182,-1)</f>
        <v>44293.5</v>
      </c>
      <c r="M869">
        <f>_xll.ICEHistory(M$4,M$5,"DF[dow:12345][tl:Calendar]",$L869)</f>
        <v>44.35</v>
      </c>
      <c r="N869">
        <f>_xll.ICEHistory(M$4,N$5,"DF[dow:12345][tl:Calendar]",$L869)</f>
        <v>44.35</v>
      </c>
      <c r="O869">
        <f>_xll.ICEHistory(M$4,O$5,"DF[dow:12345][tl:Calendar]",$L869)</f>
        <v>43.54</v>
      </c>
      <c r="P869">
        <f>_xll.ICEHistory(M$4,P$5,"DF[dow:12345][tl:Calendar]",$L869)</f>
        <v>43.86</v>
      </c>
      <c r="Q869">
        <f>_xll.ICEHistory(M$4,Q$5,"DF[dow:12345][tl:Calendar]",$L869)</f>
        <v>24146</v>
      </c>
      <c r="R869">
        <f>_xll.ICEHistory(M$4,R$5,"DF[dow:12345][tl:Calendar]",$L869)</f>
        <v>451532</v>
      </c>
      <c r="S869">
        <f>_xll.ICEHistory(S$4,S$5,"DF[dow:12345][tl:Calendar]",$L869)</f>
        <v>19.649999999999999</v>
      </c>
      <c r="T869">
        <f>_xll.ICEHistory(S$4,T$5,"DF[dow:12345][tl:Calendar]",$L869)</f>
        <v>19.725000000000001</v>
      </c>
      <c r="U869">
        <f>_xll.ICEHistory(S$4,U$5,"DF[dow:12345][tl:Calendar]",$L869)</f>
        <v>19.175000000000001</v>
      </c>
      <c r="V869">
        <f>_xll.ICEHistory(S$4,V$5,"DF[dow:12345][tl:Calendar]",$L869)</f>
        <v>19.285</v>
      </c>
      <c r="W869">
        <f>_xll.ICEHistory(S$4,W$5,"DF[dow:12345][tl:Calendar]",$L869)</f>
        <v>828</v>
      </c>
      <c r="X869">
        <f t="shared" si="39"/>
        <v>1.8991793669402166E-2</v>
      </c>
      <c r="Y869">
        <f t="shared" si="40"/>
        <v>-1.2492520203937287</v>
      </c>
      <c r="Z869">
        <f t="shared" si="41"/>
        <v>-0.43032764098208476</v>
      </c>
    </row>
    <row r="870" spans="12:26" x14ac:dyDescent="0.25">
      <c r="L870" s="4">
        <f>_xll.ICETimeline(_xll.ICEJoinRange(M4:W4),"DF[dow:12345][tl:Calendar]","2020-07-26;2024-07-26",181,-1)</f>
        <v>44292.5</v>
      </c>
      <c r="M870">
        <f>_xll.ICEHistory(M$4,M$5,"DF[dow:12345][tl:Calendar]",$L870)</f>
        <v>42.65</v>
      </c>
      <c r="N870">
        <f>_xll.ICEHistory(M$4,N$5,"DF[dow:12345][tl:Calendar]",$L870)</f>
        <v>44.35</v>
      </c>
      <c r="O870">
        <f>_xll.ICEHistory(M$4,O$5,"DF[dow:12345][tl:Calendar]",$L870)</f>
        <v>42.65</v>
      </c>
      <c r="P870">
        <f>_xll.ICEHistory(M$4,P$5,"DF[dow:12345][tl:Calendar]",$L870)</f>
        <v>44.24</v>
      </c>
      <c r="Q870">
        <f>_xll.ICEHistory(M$4,Q$5,"DF[dow:12345][tl:Calendar]",$L870)</f>
        <v>29166</v>
      </c>
      <c r="R870">
        <f>_xll.ICEHistory(M$4,R$5,"DF[dow:12345][tl:Calendar]",$L870)</f>
        <v>451256</v>
      </c>
      <c r="S870">
        <f>_xll.ICEHistory(S$4,S$5,"DF[dow:12345][tl:Calendar]",$L870)</f>
        <v>19.745000000000001</v>
      </c>
      <c r="T870">
        <f>_xll.ICEHistory(S$4,T$5,"DF[dow:12345][tl:Calendar]",$L870)</f>
        <v>19.824999999999999</v>
      </c>
      <c r="U870">
        <f>_xll.ICEHistory(S$4,U$5,"DF[dow:12345][tl:Calendar]",$L870)</f>
        <v>19.600000000000001</v>
      </c>
      <c r="V870">
        <f>_xll.ICEHistory(S$4,V$5,"DF[dow:12345][tl:Calendar]",$L870)</f>
        <v>19.78</v>
      </c>
      <c r="W870">
        <f>_xll.ICEHistory(S$4,W$5,"DF[dow:12345][tl:Calendar]",$L870)</f>
        <v>393</v>
      </c>
      <c r="X870">
        <f t="shared" si="39"/>
        <v>4.0028255238992297E-2</v>
      </c>
      <c r="Y870">
        <f t="shared" si="40"/>
        <v>0.24405271847481133</v>
      </c>
      <c r="Z870">
        <f t="shared" si="41"/>
        <v>6.6168378422337984E-2</v>
      </c>
    </row>
    <row r="871" spans="12:26" x14ac:dyDescent="0.25">
      <c r="L871" s="4">
        <f>_xll.ICETimeline(_xll.ICEJoinRange(M4:W4),"DF[dow:12345][tl:Calendar]","2020-07-26;2024-07-26",180,-1)</f>
        <v>44291.5</v>
      </c>
      <c r="M871">
        <f>_xll.ICEHistory(M$4,M$5,"DF[dow:12345][tl:Calendar]",$L871)</f>
        <v>42.47</v>
      </c>
      <c r="N871">
        <f>_xll.ICEHistory(M$4,N$5,"DF[dow:12345][tl:Calendar]",$L871)</f>
        <v>42.47</v>
      </c>
      <c r="O871">
        <f>_xll.ICEHistory(M$4,O$5,"DF[dow:12345][tl:Calendar]",$L871)</f>
        <v>42.47</v>
      </c>
      <c r="P871">
        <f>_xll.ICEHistory(M$4,P$5,"DF[dow:12345][tl:Calendar]",$L871)</f>
        <v>42.47</v>
      </c>
      <c r="Q871">
        <f>_xll.ICEHistory(M$4,Q$5,"DF[dow:12345][tl:Calendar]",$L871)</f>
        <v>0</v>
      </c>
      <c r="R871">
        <f>_xll.ICEHistory(M$4,R$5,"DF[dow:12345][tl:Calendar]",$L871)</f>
        <v>447921</v>
      </c>
      <c r="S871">
        <f>_xll.ICEHistory(S$4,S$5,"DF[dow:12345][tl:Calendar]",$L871)</f>
        <v>19.170000000000002</v>
      </c>
      <c r="T871">
        <f>_xll.ICEHistory(S$4,T$5,"DF[dow:12345][tl:Calendar]",$L871)</f>
        <v>19.170000000000002</v>
      </c>
      <c r="U871">
        <f>_xll.ICEHistory(S$4,U$5,"DF[dow:12345][tl:Calendar]",$L871)</f>
        <v>19.170000000000002</v>
      </c>
      <c r="V871">
        <f>_xll.ICEHistory(S$4,V$5,"DF[dow:12345][tl:Calendar]",$L871)</f>
        <v>19.170000000000002</v>
      </c>
      <c r="W871">
        <f>_xll.ICEHistory(S$4,W$5,"DF[dow:12345][tl:Calendar]",$L871)</f>
        <v>0</v>
      </c>
      <c r="X871">
        <f t="shared" si="39"/>
        <v>0</v>
      </c>
      <c r="Y871">
        <f t="shared" si="40"/>
        <v>-2.6183524168333956</v>
      </c>
      <c r="Z871">
        <f t="shared" si="41"/>
        <v>-2.7350861110411921</v>
      </c>
    </row>
    <row r="872" spans="12:26" x14ac:dyDescent="0.25">
      <c r="L872" s="4">
        <f>_xll.ICETimeline(_xll.ICEJoinRange(M4:W4),"DF[dow:12345][tl:Calendar]","2020-07-26;2024-07-26",179,-1)</f>
        <v>44288.5</v>
      </c>
      <c r="M872">
        <f>_xll.ICEHistory(M$4,M$5,"DF[dow:12345][tl:Calendar]",$L872)</f>
        <v>42.5</v>
      </c>
      <c r="N872">
        <f>_xll.ICEHistory(M$4,N$5,"DF[dow:12345][tl:Calendar]",$L872)</f>
        <v>42.88</v>
      </c>
      <c r="O872">
        <f>_xll.ICEHistory(M$4,O$5,"DF[dow:12345][tl:Calendar]",$L872)</f>
        <v>42.1</v>
      </c>
      <c r="P872">
        <f>_xll.ICEHistory(M$4,P$5,"DF[dow:12345][tl:Calendar]",$L872)</f>
        <v>42.47</v>
      </c>
      <c r="Q872">
        <f>_xll.ICEHistory(M$4,Q$5,"DF[dow:12345][tl:Calendar]",$L872)</f>
        <v>0</v>
      </c>
      <c r="R872">
        <f>_xll.ICEHistory(M$4,R$5,"DF[dow:12345][tl:Calendar]",$L872)</f>
        <v>0</v>
      </c>
      <c r="S872">
        <f>_xll.ICEHistory(S$4,S$5,"DF[dow:12345][tl:Calendar]",$L872)</f>
        <v>19</v>
      </c>
      <c r="T872">
        <f>_xll.ICEHistory(S$4,T$5,"DF[dow:12345][tl:Calendar]",$L872)</f>
        <v>19.274999999999999</v>
      </c>
      <c r="U872">
        <f>_xll.ICEHistory(S$4,U$5,"DF[dow:12345][tl:Calendar]",$L872)</f>
        <v>19</v>
      </c>
      <c r="V872">
        <f>_xll.ICEHistory(S$4,V$5,"DF[dow:12345][tl:Calendar]",$L872)</f>
        <v>19.170000000000002</v>
      </c>
      <c r="W872">
        <f>_xll.ICEHistory(S$4,W$5,"DF[dow:12345][tl:Calendar]",$L872)</f>
        <v>0</v>
      </c>
      <c r="X872">
        <f t="shared" si="39"/>
        <v>1.8352941176470614E-2</v>
      </c>
      <c r="Y872">
        <f t="shared" si="40"/>
        <v>-1.4268800874959979</v>
      </c>
      <c r="Z872">
        <f t="shared" si="41"/>
        <v>-2.7350861110411921</v>
      </c>
    </row>
    <row r="873" spans="12:26" x14ac:dyDescent="0.25">
      <c r="L873" s="4">
        <f>_xll.ICETimeline(_xll.ICEJoinRange(M4:W4),"DF[dow:12345][tl:Calendar]","2020-07-26;2024-07-26",178,-1)</f>
        <v>44287.5</v>
      </c>
      <c r="M873">
        <f>_xll.ICEHistory(M$4,M$5,"DF[dow:12345][tl:Calendar]",$L873)</f>
        <v>42.5</v>
      </c>
      <c r="N873">
        <f>_xll.ICEHistory(M$4,N$5,"DF[dow:12345][tl:Calendar]",$L873)</f>
        <v>42.88</v>
      </c>
      <c r="O873">
        <f>_xll.ICEHistory(M$4,O$5,"DF[dow:12345][tl:Calendar]",$L873)</f>
        <v>42.1</v>
      </c>
      <c r="P873">
        <f>_xll.ICEHistory(M$4,P$5,"DF[dow:12345][tl:Calendar]",$L873)</f>
        <v>42.47</v>
      </c>
      <c r="Q873">
        <f>_xll.ICEHistory(M$4,Q$5,"DF[dow:12345][tl:Calendar]",$L873)</f>
        <v>17082</v>
      </c>
      <c r="R873">
        <f>_xll.ICEHistory(M$4,R$5,"DF[dow:12345][tl:Calendar]",$L873)</f>
        <v>447921</v>
      </c>
      <c r="S873">
        <f>_xll.ICEHistory(S$4,S$5,"DF[dow:12345][tl:Calendar]",$L873)</f>
        <v>19</v>
      </c>
      <c r="T873">
        <f>_xll.ICEHistory(S$4,T$5,"DF[dow:12345][tl:Calendar]",$L873)</f>
        <v>19.274999999999999</v>
      </c>
      <c r="U873">
        <f>_xll.ICEHistory(S$4,U$5,"DF[dow:12345][tl:Calendar]",$L873)</f>
        <v>19</v>
      </c>
      <c r="V873">
        <f>_xll.ICEHistory(S$4,V$5,"DF[dow:12345][tl:Calendar]",$L873)</f>
        <v>19.170000000000002</v>
      </c>
      <c r="W873">
        <f>_xll.ICEHistory(S$4,W$5,"DF[dow:12345][tl:Calendar]",$L873)</f>
        <v>547</v>
      </c>
      <c r="X873">
        <f t="shared" si="39"/>
        <v>1.8514122952765277E-2</v>
      </c>
      <c r="Y873">
        <f t="shared" si="40"/>
        <v>-1.4473844716799287</v>
      </c>
      <c r="Z873">
        <f t="shared" si="41"/>
        <v>-1.1160472892417275</v>
      </c>
    </row>
    <row r="874" spans="12:26" x14ac:dyDescent="0.25">
      <c r="L874" s="4">
        <f>_xll.ICETimeline(_xll.ICEJoinRange(M4:W4),"DF[dow:12345][tl:Calendar]","2020-07-26;2024-07-26",177,-1)</f>
        <v>44286.5</v>
      </c>
      <c r="M874">
        <f>_xll.ICEHistory(M$4,M$5,"DF[dow:12345][tl:Calendar]",$L874)</f>
        <v>42.13</v>
      </c>
      <c r="N874">
        <f>_xll.ICEHistory(M$4,N$5,"DF[dow:12345][tl:Calendar]",$L874)</f>
        <v>42.78</v>
      </c>
      <c r="O874">
        <f>_xll.ICEHistory(M$4,O$5,"DF[dow:12345][tl:Calendar]",$L874)</f>
        <v>41.95</v>
      </c>
      <c r="P874">
        <f>_xll.ICEHistory(M$4,P$5,"DF[dow:12345][tl:Calendar]",$L874)</f>
        <v>42.55</v>
      </c>
      <c r="Q874">
        <f>_xll.ICEHistory(M$4,Q$5,"DF[dow:12345][tl:Calendar]",$L874)</f>
        <v>18133</v>
      </c>
      <c r="R874">
        <f>_xll.ICEHistory(M$4,R$5,"DF[dow:12345][tl:Calendar]",$L874)</f>
        <v>446907</v>
      </c>
      <c r="S874">
        <f>_xll.ICEHistory(S$4,S$5,"DF[dow:12345][tl:Calendar]",$L874)</f>
        <v>19.05</v>
      </c>
      <c r="T874">
        <f>_xll.ICEHistory(S$4,T$5,"DF[dow:12345][tl:Calendar]",$L874)</f>
        <v>19.170000000000002</v>
      </c>
      <c r="U874">
        <f>_xll.ICEHistory(S$4,U$5,"DF[dow:12345][tl:Calendar]",$L874)</f>
        <v>18.7</v>
      </c>
      <c r="V874">
        <f>_xll.ICEHistory(S$4,V$5,"DF[dow:12345][tl:Calendar]",$L874)</f>
        <v>18.835000000000001</v>
      </c>
      <c r="W874">
        <f>_xll.ICEHistory(S$4,W$5,"DF[dow:12345][tl:Calendar]",$L874)</f>
        <v>481</v>
      </c>
      <c r="X874">
        <f t="shared" si="39"/>
        <v>1.9766611097880405E-2</v>
      </c>
      <c r="Y874">
        <f t="shared" si="40"/>
        <v>-1.381368489934216</v>
      </c>
      <c r="Z874">
        <f t="shared" si="41"/>
        <v>-0.98871089223135999</v>
      </c>
    </row>
    <row r="875" spans="12:26" x14ac:dyDescent="0.25">
      <c r="L875" s="4">
        <f>_xll.ICETimeline(_xll.ICEJoinRange(M4:W4),"DF[dow:12345][tl:Calendar]","2020-07-26;2024-07-26",176,-1)</f>
        <v>44285.5</v>
      </c>
      <c r="M875">
        <f>_xll.ICEHistory(M$4,M$5,"DF[dow:12345][tl:Calendar]",$L875)</f>
        <v>41.99</v>
      </c>
      <c r="N875">
        <f>_xll.ICEHistory(M$4,N$5,"DF[dow:12345][tl:Calendar]",$L875)</f>
        <v>42.51</v>
      </c>
      <c r="O875">
        <f>_xll.ICEHistory(M$4,O$5,"DF[dow:12345][tl:Calendar]",$L875)</f>
        <v>41.45</v>
      </c>
      <c r="P875">
        <f>_xll.ICEHistory(M$4,P$5,"DF[dow:12345][tl:Calendar]",$L875)</f>
        <v>42.05</v>
      </c>
      <c r="Q875">
        <f>_xll.ICEHistory(M$4,Q$5,"DF[dow:12345][tl:Calendar]",$L875)</f>
        <v>26180</v>
      </c>
      <c r="R875">
        <f>_xll.ICEHistory(M$4,R$5,"DF[dow:12345][tl:Calendar]",$L875)</f>
        <v>445839</v>
      </c>
      <c r="S875">
        <f>_xll.ICEHistory(S$4,S$5,"DF[dow:12345][tl:Calendar]",$L875)</f>
        <v>18.2</v>
      </c>
      <c r="T875">
        <f>_xll.ICEHistory(S$4,T$5,"DF[dow:12345][tl:Calendar]",$L875)</f>
        <v>18.850000000000001</v>
      </c>
      <c r="U875">
        <f>_xll.ICEHistory(S$4,U$5,"DF[dow:12345][tl:Calendar]",$L875)</f>
        <v>18.2</v>
      </c>
      <c r="V875">
        <f>_xll.ICEHistory(S$4,V$5,"DF[dow:12345][tl:Calendar]",$L875)</f>
        <v>18.805</v>
      </c>
      <c r="W875">
        <f>_xll.ICEHistory(S$4,W$5,"DF[dow:12345][tl:Calendar]",$L875)</f>
        <v>0</v>
      </c>
      <c r="X875">
        <f t="shared" si="39"/>
        <v>2.5486895888434603E-2</v>
      </c>
      <c r="Y875">
        <f t="shared" si="40"/>
        <v>-0.97796616333401987</v>
      </c>
      <c r="Z875">
        <f t="shared" si="41"/>
        <v>-0.19129081309215229</v>
      </c>
    </row>
    <row r="876" spans="12:26" x14ac:dyDescent="0.25">
      <c r="L876" s="4">
        <f>_xll.ICETimeline(_xll.ICEJoinRange(M4:W4),"DF[dow:12345][tl:Calendar]","2020-07-26;2024-07-26",175,-1)</f>
        <v>44284.5</v>
      </c>
      <c r="M876">
        <f>_xll.ICEHistory(M$4,M$5,"DF[dow:12345][tl:Calendar]",$L876)</f>
        <v>41.59</v>
      </c>
      <c r="N876">
        <f>_xll.ICEHistory(M$4,N$5,"DF[dow:12345][tl:Calendar]",$L876)</f>
        <v>42.31</v>
      </c>
      <c r="O876">
        <f>_xll.ICEHistory(M$4,O$5,"DF[dow:12345][tl:Calendar]",$L876)</f>
        <v>40.799999999999997</v>
      </c>
      <c r="P876">
        <f>_xll.ICEHistory(M$4,P$5,"DF[dow:12345][tl:Calendar]",$L876)</f>
        <v>41.85</v>
      </c>
      <c r="Q876">
        <f>_xll.ICEHistory(M$4,Q$5,"DF[dow:12345][tl:Calendar]",$L876)</f>
        <v>20248</v>
      </c>
      <c r="R876">
        <f>_xll.ICEHistory(M$4,R$5,"DF[dow:12345][tl:Calendar]",$L876)</f>
        <v>445232</v>
      </c>
      <c r="S876">
        <f>_xll.ICEHistory(S$4,S$5,"DF[dow:12345][tl:Calendar]",$L876)</f>
        <v>18.260000000000002</v>
      </c>
      <c r="T876">
        <f>_xll.ICEHistory(S$4,T$5,"DF[dow:12345][tl:Calendar]",$L876)</f>
        <v>18.594999999999999</v>
      </c>
      <c r="U876">
        <f>_xll.ICEHistory(S$4,U$5,"DF[dow:12345][tl:Calendar]",$L876)</f>
        <v>18.125</v>
      </c>
      <c r="V876">
        <f>_xll.ICEHistory(S$4,V$5,"DF[dow:12345][tl:Calendar]",$L876)</f>
        <v>18.445</v>
      </c>
      <c r="W876">
        <f>_xll.ICEHistory(S$4,W$5,"DF[dow:12345][tl:Calendar]",$L876)</f>
        <v>815</v>
      </c>
      <c r="X876">
        <f t="shared" si="39"/>
        <v>3.7293158804643248E-2</v>
      </c>
      <c r="Y876">
        <f t="shared" si="40"/>
        <v>-4.761900484055577E-2</v>
      </c>
      <c r="Z876">
        <f t="shared" si="41"/>
        <v>-0.71145059097730057</v>
      </c>
    </row>
    <row r="877" spans="12:26" x14ac:dyDescent="0.25">
      <c r="L877" s="4">
        <f>_xll.ICETimeline(_xll.ICEJoinRange(M4:W4),"DF[dow:12345][tl:Calendar]","2020-07-26;2024-07-26",174,-1)</f>
        <v>44281.5</v>
      </c>
      <c r="M877">
        <f>_xll.ICEHistory(M$4,M$5,"DF[dow:12345][tl:Calendar]",$L877)</f>
        <v>40.49</v>
      </c>
      <c r="N877">
        <f>_xll.ICEHistory(M$4,N$5,"DF[dow:12345][tl:Calendar]",$L877)</f>
        <v>41.85</v>
      </c>
      <c r="O877">
        <f>_xll.ICEHistory(M$4,O$5,"DF[dow:12345][tl:Calendar]",$L877)</f>
        <v>40.18</v>
      </c>
      <c r="P877">
        <f>_xll.ICEHistory(M$4,P$5,"DF[dow:12345][tl:Calendar]",$L877)</f>
        <v>41.73</v>
      </c>
      <c r="Q877">
        <f>_xll.ICEHistory(M$4,Q$5,"DF[dow:12345][tl:Calendar]",$L877)</f>
        <v>24199</v>
      </c>
      <c r="R877">
        <f>_xll.ICEHistory(M$4,R$5,"DF[dow:12345][tl:Calendar]",$L877)</f>
        <v>443436</v>
      </c>
      <c r="S877">
        <f>_xll.ICEHistory(S$4,S$5,"DF[dow:12345][tl:Calendar]",$L877)</f>
        <v>18.600000000000001</v>
      </c>
      <c r="T877">
        <f>_xll.ICEHistory(S$4,T$5,"DF[dow:12345][tl:Calendar]",$L877)</f>
        <v>18.82</v>
      </c>
      <c r="U877">
        <f>_xll.ICEHistory(S$4,U$5,"DF[dow:12345][tl:Calendar]",$L877)</f>
        <v>18.574999999999999</v>
      </c>
      <c r="V877">
        <f>_xll.ICEHistory(S$4,V$5,"DF[dow:12345][tl:Calendar]",$L877)</f>
        <v>18.7</v>
      </c>
      <c r="W877">
        <f>_xll.ICEHistory(S$4,W$5,"DF[dow:12345][tl:Calendar]",$L877)</f>
        <v>1210</v>
      </c>
      <c r="X877">
        <f t="shared" si="39"/>
        <v>4.0240963855421731E-2</v>
      </c>
      <c r="Y877">
        <f t="shared" si="40"/>
        <v>0.18534974574850088</v>
      </c>
      <c r="Z877">
        <f t="shared" si="41"/>
        <v>-0.30214394060883021</v>
      </c>
    </row>
    <row r="878" spans="12:26" x14ac:dyDescent="0.25">
      <c r="L878" s="4">
        <f>_xll.ICETimeline(_xll.ICEJoinRange(M4:W4),"DF[dow:12345][tl:Calendar]","2020-07-26;2024-07-26",173,-1)</f>
        <v>44280.5</v>
      </c>
      <c r="M878">
        <f>_xll.ICEHistory(M$4,M$5,"DF[dow:12345][tl:Calendar]",$L878)</f>
        <v>41.5</v>
      </c>
      <c r="N878">
        <f>_xll.ICEHistory(M$4,N$5,"DF[dow:12345][tl:Calendar]",$L878)</f>
        <v>41.69</v>
      </c>
      <c r="O878">
        <f>_xll.ICEHistory(M$4,O$5,"DF[dow:12345][tl:Calendar]",$L878)</f>
        <v>39.630000000000003</v>
      </c>
      <c r="P878">
        <f>_xll.ICEHistory(M$4,P$5,"DF[dow:12345][tl:Calendar]",$L878)</f>
        <v>40.35</v>
      </c>
      <c r="Q878">
        <f>_xll.ICEHistory(M$4,Q$5,"DF[dow:12345][tl:Calendar]",$L878)</f>
        <v>45024</v>
      </c>
      <c r="R878">
        <f>_xll.ICEHistory(M$4,R$5,"DF[dow:12345][tl:Calendar]",$L878)</f>
        <v>444274</v>
      </c>
      <c r="S878">
        <f>_xll.ICEHistory(S$4,S$5,"DF[dow:12345][tl:Calendar]",$L878)</f>
        <v>18.600000000000001</v>
      </c>
      <c r="T878">
        <f>_xll.ICEHistory(S$4,T$5,"DF[dow:12345][tl:Calendar]",$L878)</f>
        <v>18.600000000000001</v>
      </c>
      <c r="U878">
        <f>_xll.ICEHistory(S$4,U$5,"DF[dow:12345][tl:Calendar]",$L878)</f>
        <v>18.274999999999999</v>
      </c>
      <c r="V878">
        <f>_xll.ICEHistory(S$4,V$5,"DF[dow:12345][tl:Calendar]",$L878)</f>
        <v>18.364999999999998</v>
      </c>
      <c r="W878">
        <f>_xll.ICEHistory(S$4,W$5,"DF[dow:12345][tl:Calendar]",$L878)</f>
        <v>1494</v>
      </c>
      <c r="X878">
        <f t="shared" si="39"/>
        <v>4.9638554216867352E-2</v>
      </c>
      <c r="Y878">
        <f t="shared" si="40"/>
        <v>0.93564698529146706</v>
      </c>
      <c r="Z878">
        <f t="shared" si="41"/>
        <v>1.5223745463079086</v>
      </c>
    </row>
    <row r="879" spans="12:26" x14ac:dyDescent="0.25">
      <c r="L879" s="4">
        <f>_xll.ICETimeline(_xll.ICEJoinRange(M4:W4),"DF[dow:12345][tl:Calendar]","2020-07-26;2024-07-26",172,-1)</f>
        <v>44279.5</v>
      </c>
      <c r="M879">
        <f>_xll.ICEHistory(M$4,M$5,"DF[dow:12345][tl:Calendar]",$L879)</f>
        <v>41.5</v>
      </c>
      <c r="N879">
        <f>_xll.ICEHistory(M$4,N$5,"DF[dow:12345][tl:Calendar]",$L879)</f>
        <v>41.69</v>
      </c>
      <c r="O879">
        <f>_xll.ICEHistory(M$4,O$5,"DF[dow:12345][tl:Calendar]",$L879)</f>
        <v>40.729999999999997</v>
      </c>
      <c r="P879">
        <f>_xll.ICEHistory(M$4,P$5,"DF[dow:12345][tl:Calendar]",$L879)</f>
        <v>41.6</v>
      </c>
      <c r="Q879">
        <f>_xll.ICEHistory(M$4,Q$5,"DF[dow:12345][tl:Calendar]",$L879)</f>
        <v>33969</v>
      </c>
      <c r="R879">
        <f>_xll.ICEHistory(M$4,R$5,"DF[dow:12345][tl:Calendar]",$L879)</f>
        <v>445932</v>
      </c>
      <c r="S879">
        <f>_xll.ICEHistory(S$4,S$5,"DF[dow:12345][tl:Calendar]",$L879)</f>
        <v>18.649999999999999</v>
      </c>
      <c r="T879">
        <f>_xll.ICEHistory(S$4,T$5,"DF[dow:12345][tl:Calendar]",$L879)</f>
        <v>18.824999999999999</v>
      </c>
      <c r="U879">
        <f>_xll.ICEHistory(S$4,U$5,"DF[dow:12345][tl:Calendar]",$L879)</f>
        <v>18.024999999999999</v>
      </c>
      <c r="V879">
        <f>_xll.ICEHistory(S$4,V$5,"DF[dow:12345][tl:Calendar]",$L879)</f>
        <v>18.59</v>
      </c>
      <c r="W879">
        <f>_xll.ICEHistory(S$4,W$5,"DF[dow:12345][tl:Calendar]",$L879)</f>
        <v>1964</v>
      </c>
      <c r="X879">
        <f t="shared" si="39"/>
        <v>2.2471910112359571E-2</v>
      </c>
      <c r="Y879">
        <f t="shared" si="40"/>
        <v>-1.1249246240435189</v>
      </c>
      <c r="Z879">
        <f t="shared" si="41"/>
        <v>0.62028338325701238</v>
      </c>
    </row>
    <row r="880" spans="12:26" x14ac:dyDescent="0.25">
      <c r="L880" s="4">
        <f>_xll.ICETimeline(_xll.ICEJoinRange(M4:W4),"DF[dow:12345][tl:Calendar]","2020-07-26;2024-07-26",171,-1)</f>
        <v>44278.5</v>
      </c>
      <c r="M880">
        <f>_xll.ICEHistory(M$4,M$5,"DF[dow:12345][tl:Calendar]",$L880)</f>
        <v>42.72</v>
      </c>
      <c r="N880">
        <f>_xll.ICEHistory(M$4,N$5,"DF[dow:12345][tl:Calendar]",$L880)</f>
        <v>42.85</v>
      </c>
      <c r="O880">
        <f>_xll.ICEHistory(M$4,O$5,"DF[dow:12345][tl:Calendar]",$L880)</f>
        <v>41.32</v>
      </c>
      <c r="P880">
        <f>_xll.ICEHistory(M$4,P$5,"DF[dow:12345][tl:Calendar]",$L880)</f>
        <v>41.43</v>
      </c>
      <c r="Q880">
        <f>_xll.ICEHistory(M$4,Q$5,"DF[dow:12345][tl:Calendar]",$L880)</f>
        <v>47388</v>
      </c>
      <c r="R880">
        <f>_xll.ICEHistory(M$4,R$5,"DF[dow:12345][tl:Calendar]",$L880)</f>
        <v>446752</v>
      </c>
      <c r="S880">
        <f>_xll.ICEHistory(S$4,S$5,"DF[dow:12345][tl:Calendar]",$L880)</f>
        <v>17.850000000000001</v>
      </c>
      <c r="T880">
        <f>_xll.ICEHistory(S$4,T$5,"DF[dow:12345][tl:Calendar]",$L880)</f>
        <v>18.399999999999999</v>
      </c>
      <c r="U880">
        <f>_xll.ICEHistory(S$4,U$5,"DF[dow:12345][tl:Calendar]",$L880)</f>
        <v>17.625</v>
      </c>
      <c r="V880">
        <f>_xll.ICEHistory(S$4,V$5,"DF[dow:12345][tl:Calendar]",$L880)</f>
        <v>18.39</v>
      </c>
      <c r="W880">
        <f>_xll.ICEHistory(S$4,W$5,"DF[dow:12345][tl:Calendar]",$L880)</f>
        <v>1755</v>
      </c>
      <c r="X880">
        <f t="shared" si="39"/>
        <v>3.6602870813397158E-2</v>
      </c>
      <c r="Y880">
        <f t="shared" si="40"/>
        <v>-4.9958102658455454E-2</v>
      </c>
      <c r="Z880">
        <f t="shared" si="41"/>
        <v>1.7833235640203562</v>
      </c>
    </row>
    <row r="881" spans="12:26" x14ac:dyDescent="0.25">
      <c r="L881" s="4">
        <f>_xll.ICETimeline(_xll.ICEJoinRange(M4:W4),"DF[dow:12345][tl:Calendar]","2020-07-26;2024-07-26",170,-1)</f>
        <v>44277.5</v>
      </c>
      <c r="M881">
        <f>_xll.ICEHistory(M$4,M$5,"DF[dow:12345][tl:Calendar]",$L881)</f>
        <v>41.8</v>
      </c>
      <c r="N881">
        <f>_xll.ICEHistory(M$4,N$5,"DF[dow:12345][tl:Calendar]",$L881)</f>
        <v>43</v>
      </c>
      <c r="O881">
        <f>_xll.ICEHistory(M$4,O$5,"DF[dow:12345][tl:Calendar]",$L881)</f>
        <v>41.69</v>
      </c>
      <c r="P881">
        <f>_xll.ICEHistory(M$4,P$5,"DF[dow:12345][tl:Calendar]",$L881)</f>
        <v>42.84</v>
      </c>
      <c r="Q881">
        <f>_xll.ICEHistory(M$4,Q$5,"DF[dow:12345][tl:Calendar]",$L881)</f>
        <v>25823</v>
      </c>
      <c r="R881">
        <f>_xll.ICEHistory(M$4,R$5,"DF[dow:12345][tl:Calendar]",$L881)</f>
        <v>457890</v>
      </c>
      <c r="S881">
        <f>_xll.ICEHistory(S$4,S$5,"DF[dow:12345][tl:Calendar]",$L881)</f>
        <v>17.27</v>
      </c>
      <c r="T881">
        <f>_xll.ICEHistory(S$4,T$5,"DF[dow:12345][tl:Calendar]",$L881)</f>
        <v>18.074999999999999</v>
      </c>
      <c r="U881">
        <f>_xll.ICEHistory(S$4,U$5,"DF[dow:12345][tl:Calendar]",$L881)</f>
        <v>17.27</v>
      </c>
      <c r="V881">
        <f>_xll.ICEHistory(S$4,V$5,"DF[dow:12345][tl:Calendar]",$L881)</f>
        <v>18.045000000000002</v>
      </c>
      <c r="W881">
        <f>_xll.ICEHistory(S$4,W$5,"DF[dow:12345][tl:Calendar]",$L881)</f>
        <v>1808</v>
      </c>
      <c r="X881">
        <f t="shared" si="39"/>
        <v>3.1287317888703182E-2</v>
      </c>
      <c r="Y881">
        <f t="shared" si="40"/>
        <v>-0.4541283077774283</v>
      </c>
      <c r="Z881">
        <f t="shared" si="41"/>
        <v>-1.6764934181245677E-2</v>
      </c>
    </row>
    <row r="882" spans="12:26" x14ac:dyDescent="0.25">
      <c r="L882" s="4">
        <f>_xll.ICETimeline(_xll.ICEJoinRange(M4:W4),"DF[dow:12345][tl:Calendar]","2020-07-26;2024-07-26",169,-1)</f>
        <v>44274.5</v>
      </c>
      <c r="M882">
        <f>_xll.ICEHistory(M$4,M$5,"DF[dow:12345][tl:Calendar]",$L882)</f>
        <v>41.87</v>
      </c>
      <c r="N882">
        <f>_xll.ICEHistory(M$4,N$5,"DF[dow:12345][tl:Calendar]",$L882)</f>
        <v>42.32</v>
      </c>
      <c r="O882">
        <f>_xll.ICEHistory(M$4,O$5,"DF[dow:12345][tl:Calendar]",$L882)</f>
        <v>41.2</v>
      </c>
      <c r="P882">
        <f>_xll.ICEHistory(M$4,P$5,"DF[dow:12345][tl:Calendar]",$L882)</f>
        <v>41.97</v>
      </c>
      <c r="Q882">
        <f>_xll.ICEHistory(M$4,Q$5,"DF[dow:12345][tl:Calendar]",$L882)</f>
        <v>27038</v>
      </c>
      <c r="R882">
        <f>_xll.ICEHistory(M$4,R$5,"DF[dow:12345][tl:Calendar]",$L882)</f>
        <v>455883</v>
      </c>
      <c r="S882">
        <f>_xll.ICEHistory(S$4,S$5,"DF[dow:12345][tl:Calendar]",$L882)</f>
        <v>17.350000000000001</v>
      </c>
      <c r="T882">
        <f>_xll.ICEHistory(S$4,T$5,"DF[dow:12345][tl:Calendar]",$L882)</f>
        <v>17.5</v>
      </c>
      <c r="U882">
        <f>_xll.ICEHistory(S$4,U$5,"DF[dow:12345][tl:Calendar]",$L882)</f>
        <v>17.234999999999999</v>
      </c>
      <c r="V882">
        <f>_xll.ICEHistory(S$4,V$5,"DF[dow:12345][tl:Calendar]",$L882)</f>
        <v>17.265000000000001</v>
      </c>
      <c r="W882">
        <f>_xll.ICEHistory(S$4,W$5,"DF[dow:12345][tl:Calendar]",$L882)</f>
        <v>1135</v>
      </c>
      <c r="X882">
        <f t="shared" si="39"/>
        <v>2.6046511627906919E-2</v>
      </c>
      <c r="Y882">
        <f t="shared" si="40"/>
        <v>-0.87073743565922623</v>
      </c>
      <c r="Z882">
        <f t="shared" si="41"/>
        <v>0.10278179588520393</v>
      </c>
    </row>
    <row r="883" spans="12:26" x14ac:dyDescent="0.25">
      <c r="L883" s="4">
        <f>_xll.ICETimeline(_xll.ICEJoinRange(M4:W4),"DF[dow:12345][tl:Calendar]","2020-07-26;2024-07-26",168,-1)</f>
        <v>44273.5</v>
      </c>
      <c r="M883">
        <f>_xll.ICEHistory(M$4,M$5,"DF[dow:12345][tl:Calendar]",$L883)</f>
        <v>43</v>
      </c>
      <c r="N883">
        <f>_xll.ICEHistory(M$4,N$5,"DF[dow:12345][tl:Calendar]",$L883)</f>
        <v>43.77</v>
      </c>
      <c r="O883">
        <f>_xll.ICEHistory(M$4,O$5,"DF[dow:12345][tl:Calendar]",$L883)</f>
        <v>42.2</v>
      </c>
      <c r="P883">
        <f>_xll.ICEHistory(M$4,P$5,"DF[dow:12345][tl:Calendar]",$L883)</f>
        <v>42.4</v>
      </c>
      <c r="Q883">
        <f>_xll.ICEHistory(M$4,Q$5,"DF[dow:12345][tl:Calendar]",$L883)</f>
        <v>34122</v>
      </c>
      <c r="R883">
        <f>_xll.ICEHistory(M$4,R$5,"DF[dow:12345][tl:Calendar]",$L883)</f>
        <v>453331</v>
      </c>
      <c r="S883">
        <f>_xll.ICEHistory(S$4,S$5,"DF[dow:12345][tl:Calendar]",$L883)</f>
        <v>18.16</v>
      </c>
      <c r="T883">
        <f>_xll.ICEHistory(S$4,T$5,"DF[dow:12345][tl:Calendar]",$L883)</f>
        <v>18.399999999999999</v>
      </c>
      <c r="U883">
        <f>_xll.ICEHistory(S$4,U$5,"DF[dow:12345][tl:Calendar]",$L883)</f>
        <v>17.5</v>
      </c>
      <c r="V883">
        <f>_xll.ICEHistory(S$4,V$5,"DF[dow:12345][tl:Calendar]",$L883)</f>
        <v>17.760000000000002</v>
      </c>
      <c r="W883">
        <f>_xll.ICEHistory(S$4,W$5,"DF[dow:12345][tl:Calendar]",$L883)</f>
        <v>902</v>
      </c>
      <c r="X883">
        <f t="shared" si="39"/>
        <v>3.738095238095239E-2</v>
      </c>
      <c r="Y883">
        <f t="shared" si="40"/>
        <v>-6.5813607593256775E-3</v>
      </c>
      <c r="Z883">
        <f t="shared" si="41"/>
        <v>0.71843529920263915</v>
      </c>
    </row>
    <row r="884" spans="12:26" x14ac:dyDescent="0.25">
      <c r="L884" s="4">
        <f>_xll.ICETimeline(_xll.ICEJoinRange(M4:W4),"DF[dow:12345][tl:Calendar]","2020-07-26;2024-07-26",167,-1)</f>
        <v>44272.5</v>
      </c>
      <c r="M884">
        <f>_xll.ICEHistory(M$4,M$5,"DF[dow:12345][tl:Calendar]",$L884)</f>
        <v>42</v>
      </c>
      <c r="N884">
        <f>_xll.ICEHistory(M$4,N$5,"DF[dow:12345][tl:Calendar]",$L884)</f>
        <v>43.07</v>
      </c>
      <c r="O884">
        <f>_xll.ICEHistory(M$4,O$5,"DF[dow:12345][tl:Calendar]",$L884)</f>
        <v>41.65</v>
      </c>
      <c r="P884">
        <f>_xll.ICEHistory(M$4,P$5,"DF[dow:12345][tl:Calendar]",$L884)</f>
        <v>42.99</v>
      </c>
      <c r="Q884">
        <f>_xll.ICEHistory(M$4,Q$5,"DF[dow:12345][tl:Calendar]",$L884)</f>
        <v>37667</v>
      </c>
      <c r="R884">
        <f>_xll.ICEHistory(M$4,R$5,"DF[dow:12345][tl:Calendar]",$L884)</f>
        <v>449616</v>
      </c>
      <c r="S884">
        <f>_xll.ICEHistory(S$4,S$5,"DF[dow:12345][tl:Calendar]",$L884)</f>
        <v>17.45</v>
      </c>
      <c r="T884">
        <f>_xll.ICEHistory(S$4,T$5,"DF[dow:12345][tl:Calendar]",$L884)</f>
        <v>18.11</v>
      </c>
      <c r="U884">
        <f>_xll.ICEHistory(S$4,U$5,"DF[dow:12345][tl:Calendar]",$L884)</f>
        <v>17.45</v>
      </c>
      <c r="V884">
        <f>_xll.ICEHistory(S$4,V$5,"DF[dow:12345][tl:Calendar]",$L884)</f>
        <v>17.97</v>
      </c>
      <c r="W884">
        <f>_xll.ICEHistory(S$4,W$5,"DF[dow:12345][tl:Calendar]",$L884)</f>
        <v>635</v>
      </c>
      <c r="X884">
        <f t="shared" si="39"/>
        <v>3.3466886636813617E-2</v>
      </c>
      <c r="Y884">
        <f t="shared" si="40"/>
        <v>-0.29947096220542901</v>
      </c>
      <c r="Z884">
        <f t="shared" si="41"/>
        <v>1.042202530490173</v>
      </c>
    </row>
    <row r="885" spans="12:26" x14ac:dyDescent="0.25">
      <c r="L885" s="4">
        <f>_xll.ICETimeline(_xll.ICEJoinRange(M4:W4),"DF[dow:12345][tl:Calendar]","2020-07-26;2024-07-26",166,-1)</f>
        <v>44271.5</v>
      </c>
      <c r="M885">
        <f>_xll.ICEHistory(M$4,M$5,"DF[dow:12345][tl:Calendar]",$L885)</f>
        <v>42.43</v>
      </c>
      <c r="N885">
        <f>_xll.ICEHistory(M$4,N$5,"DF[dow:12345][tl:Calendar]",$L885)</f>
        <v>42.64</v>
      </c>
      <c r="O885">
        <f>_xll.ICEHistory(M$4,O$5,"DF[dow:12345][tl:Calendar]",$L885)</f>
        <v>41.53</v>
      </c>
      <c r="P885">
        <f>_xll.ICEHistory(M$4,P$5,"DF[dow:12345][tl:Calendar]",$L885)</f>
        <v>41.6</v>
      </c>
      <c r="Q885">
        <f>_xll.ICEHistory(M$4,Q$5,"DF[dow:12345][tl:Calendar]",$L885)</f>
        <v>40969</v>
      </c>
      <c r="R885">
        <f>_xll.ICEHistory(M$4,R$5,"DF[dow:12345][tl:Calendar]",$L885)</f>
        <v>444928</v>
      </c>
      <c r="S885">
        <f>_xll.ICEHistory(S$4,S$5,"DF[dow:12345][tl:Calendar]",$L885)</f>
        <v>17.829999999999998</v>
      </c>
      <c r="T885">
        <f>_xll.ICEHistory(S$4,T$5,"DF[dow:12345][tl:Calendar]",$L885)</f>
        <v>17.829999999999998</v>
      </c>
      <c r="U885">
        <f>_xll.ICEHistory(S$4,U$5,"DF[dow:12345][tl:Calendar]",$L885)</f>
        <v>17.274999999999999</v>
      </c>
      <c r="V885">
        <f>_xll.ICEHistory(S$4,V$5,"DF[dow:12345][tl:Calendar]",$L885)</f>
        <v>17.66</v>
      </c>
      <c r="W885">
        <f>_xll.ICEHistory(S$4,W$5,"DF[dow:12345][tl:Calendar]",$L885)</f>
        <v>819</v>
      </c>
      <c r="X885">
        <f t="shared" si="39"/>
        <v>2.5904317386231026E-2</v>
      </c>
      <c r="Y885">
        <f t="shared" si="40"/>
        <v>-0.88891631103231195</v>
      </c>
      <c r="Z885">
        <f t="shared" si="41"/>
        <v>1.3583220915054262</v>
      </c>
    </row>
    <row r="886" spans="12:26" x14ac:dyDescent="0.25">
      <c r="L886" s="4">
        <f>_xll.ICETimeline(_xll.ICEJoinRange(M4:W4),"DF[dow:12345][tl:Calendar]","2020-07-26;2024-07-26",165,-1)</f>
        <v>44270.5</v>
      </c>
      <c r="M886">
        <f>_xll.ICEHistory(M$4,M$5,"DF[dow:12345][tl:Calendar]",$L886)</f>
        <v>42.85</v>
      </c>
      <c r="N886">
        <f>_xll.ICEHistory(M$4,N$5,"DF[dow:12345][tl:Calendar]",$L886)</f>
        <v>43.36</v>
      </c>
      <c r="O886">
        <f>_xll.ICEHistory(M$4,O$5,"DF[dow:12345][tl:Calendar]",$L886)</f>
        <v>42.06</v>
      </c>
      <c r="P886">
        <f>_xll.ICEHistory(M$4,P$5,"DF[dow:12345][tl:Calendar]",$L886)</f>
        <v>42.39</v>
      </c>
      <c r="Q886">
        <f>_xll.ICEHistory(M$4,Q$5,"DF[dow:12345][tl:Calendar]",$L886)</f>
        <v>39349</v>
      </c>
      <c r="R886">
        <f>_xll.ICEHistory(M$4,R$5,"DF[dow:12345][tl:Calendar]",$L886)</f>
        <v>443480</v>
      </c>
      <c r="S886">
        <f>_xll.ICEHistory(S$4,S$5,"DF[dow:12345][tl:Calendar]",$L886)</f>
        <v>18.170000000000002</v>
      </c>
      <c r="T886">
        <f>_xll.ICEHistory(S$4,T$5,"DF[dow:12345][tl:Calendar]",$L886)</f>
        <v>18.88</v>
      </c>
      <c r="U886">
        <f>_xll.ICEHistory(S$4,U$5,"DF[dow:12345][tl:Calendar]",$L886)</f>
        <v>17.87</v>
      </c>
      <c r="V886">
        <f>_xll.ICEHistory(S$4,V$5,"DF[dow:12345][tl:Calendar]",$L886)</f>
        <v>17.93</v>
      </c>
      <c r="W886">
        <f>_xll.ICEHistory(S$4,W$5,"DF[dow:12345][tl:Calendar]",$L886)</f>
        <v>876</v>
      </c>
      <c r="X886">
        <f t="shared" si="39"/>
        <v>3.1100478468899455E-2</v>
      </c>
      <c r="Y886">
        <f t="shared" si="40"/>
        <v>-0.5124793778434088</v>
      </c>
      <c r="Z886">
        <f t="shared" si="41"/>
        <v>1.2591789552886252</v>
      </c>
    </row>
    <row r="887" spans="12:26" x14ac:dyDescent="0.25">
      <c r="L887" s="4">
        <f>_xll.ICETimeline(_xll.ICEJoinRange(M4:W4),"DF[dow:12345][tl:Calendar]","2020-07-26;2024-07-26",164,-1)</f>
        <v>44267.5</v>
      </c>
      <c r="M887">
        <f>_xll.ICEHistory(M$4,M$5,"DF[dow:12345][tl:Calendar]",$L887)</f>
        <v>41.8</v>
      </c>
      <c r="N887">
        <f>_xll.ICEHistory(M$4,N$5,"DF[dow:12345][tl:Calendar]",$L887)</f>
        <v>42.9</v>
      </c>
      <c r="O887">
        <f>_xll.ICEHistory(M$4,O$5,"DF[dow:12345][tl:Calendar]",$L887)</f>
        <v>41.5</v>
      </c>
      <c r="P887">
        <f>_xll.ICEHistory(M$4,P$5,"DF[dow:12345][tl:Calendar]",$L887)</f>
        <v>42.85</v>
      </c>
      <c r="Q887">
        <f>_xll.ICEHistory(M$4,Q$5,"DF[dow:12345][tl:Calendar]",$L887)</f>
        <v>27844</v>
      </c>
      <c r="R887">
        <f>_xll.ICEHistory(M$4,R$5,"DF[dow:12345][tl:Calendar]",$L887)</f>
        <v>437639</v>
      </c>
      <c r="S887">
        <f>_xll.ICEHistory(S$4,S$5,"DF[dow:12345][tl:Calendar]",$L887)</f>
        <v>17.97</v>
      </c>
      <c r="T887">
        <f>_xll.ICEHistory(S$4,T$5,"DF[dow:12345][tl:Calendar]",$L887)</f>
        <v>18.565000000000001</v>
      </c>
      <c r="U887">
        <f>_xll.ICEHistory(S$4,U$5,"DF[dow:12345][tl:Calendar]",$L887)</f>
        <v>17.93</v>
      </c>
      <c r="V887">
        <f>_xll.ICEHistory(S$4,V$5,"DF[dow:12345][tl:Calendar]",$L887)</f>
        <v>18.45</v>
      </c>
      <c r="W887">
        <f>_xll.ICEHistory(S$4,W$5,"DF[dow:12345][tl:Calendar]",$L887)</f>
        <v>708</v>
      </c>
      <c r="X887">
        <f t="shared" si="39"/>
        <v>3.3581194531062571E-2</v>
      </c>
      <c r="Y887">
        <f t="shared" si="40"/>
        <v>-0.32405781295044928</v>
      </c>
      <c r="Z887">
        <f t="shared" si="41"/>
        <v>0.27669788774484633</v>
      </c>
    </row>
    <row r="888" spans="12:26" x14ac:dyDescent="0.25">
      <c r="L888" s="4">
        <f>_xll.ICETimeline(_xll.ICEJoinRange(M4:W4),"DF[dow:12345][tl:Calendar]","2020-07-26;2024-07-26",163,-1)</f>
        <v>44266.5</v>
      </c>
      <c r="M888">
        <f>_xll.ICEHistory(M$4,M$5,"DF[dow:12345][tl:Calendar]",$L888)</f>
        <v>41.69</v>
      </c>
      <c r="N888">
        <f>_xll.ICEHistory(M$4,N$5,"DF[dow:12345][tl:Calendar]",$L888)</f>
        <v>42.67</v>
      </c>
      <c r="O888">
        <f>_xll.ICEHistory(M$4,O$5,"DF[dow:12345][tl:Calendar]",$L888)</f>
        <v>41.02</v>
      </c>
      <c r="P888">
        <f>_xll.ICEHistory(M$4,P$5,"DF[dow:12345][tl:Calendar]",$L888)</f>
        <v>41.93</v>
      </c>
      <c r="Q888">
        <f>_xll.ICEHistory(M$4,Q$5,"DF[dow:12345][tl:Calendar]",$L888)</f>
        <v>46037</v>
      </c>
      <c r="R888">
        <f>_xll.ICEHistory(M$4,R$5,"DF[dow:12345][tl:Calendar]",$L888)</f>
        <v>437004</v>
      </c>
      <c r="S888">
        <f>_xll.ICEHistory(S$4,S$5,"DF[dow:12345][tl:Calendar]",$L888)</f>
        <v>17.475000000000001</v>
      </c>
      <c r="T888">
        <f>_xll.ICEHistory(S$4,T$5,"DF[dow:12345][tl:Calendar]",$L888)</f>
        <v>18.155000000000001</v>
      </c>
      <c r="U888">
        <f>_xll.ICEHistory(S$4,U$5,"DF[dow:12345][tl:Calendar]",$L888)</f>
        <v>17.475000000000001</v>
      </c>
      <c r="V888">
        <f>_xll.ICEHistory(S$4,V$5,"DF[dow:12345][tl:Calendar]",$L888)</f>
        <v>18.125</v>
      </c>
      <c r="W888">
        <f>_xll.ICEHistory(S$4,W$5,"DF[dow:12345][tl:Calendar]",$L888)</f>
        <v>1178</v>
      </c>
      <c r="X888">
        <f t="shared" si="39"/>
        <v>4.0411462160176305E-2</v>
      </c>
      <c r="Y888">
        <f t="shared" si="40"/>
        <v>0.20779503435564278</v>
      </c>
      <c r="Z888">
        <f t="shared" si="41"/>
        <v>1.8410980953345244</v>
      </c>
    </row>
    <row r="889" spans="12:26" x14ac:dyDescent="0.25">
      <c r="L889" s="4">
        <f>_xll.ICETimeline(_xll.ICEJoinRange(M4:W4),"DF[dow:12345][tl:Calendar]","2020-07-26;2024-07-26",162,-1)</f>
        <v>44265.5</v>
      </c>
      <c r="M889">
        <f>_xll.ICEHistory(M$4,M$5,"DF[dow:12345][tl:Calendar]",$L889)</f>
        <v>40.83</v>
      </c>
      <c r="N889">
        <f>_xll.ICEHistory(M$4,N$5,"DF[dow:12345][tl:Calendar]",$L889)</f>
        <v>41.85</v>
      </c>
      <c r="O889">
        <f>_xll.ICEHistory(M$4,O$5,"DF[dow:12345][tl:Calendar]",$L889)</f>
        <v>40.5</v>
      </c>
      <c r="P889">
        <f>_xll.ICEHistory(M$4,P$5,"DF[dow:12345][tl:Calendar]",$L889)</f>
        <v>41.54</v>
      </c>
      <c r="Q889">
        <f>_xll.ICEHistory(M$4,Q$5,"DF[dow:12345][tl:Calendar]",$L889)</f>
        <v>39051</v>
      </c>
      <c r="R889">
        <f>_xll.ICEHistory(M$4,R$5,"DF[dow:12345][tl:Calendar]",$L889)</f>
        <v>437583</v>
      </c>
      <c r="S889">
        <f>_xll.ICEHistory(S$4,S$5,"DF[dow:12345][tl:Calendar]",$L889)</f>
        <v>17.149999999999999</v>
      </c>
      <c r="T889">
        <f>_xll.ICEHistory(S$4,T$5,"DF[dow:12345][tl:Calendar]",$L889)</f>
        <v>17.7</v>
      </c>
      <c r="U889">
        <f>_xll.ICEHistory(S$4,U$5,"DF[dow:12345][tl:Calendar]",$L889)</f>
        <v>17.149999999999999</v>
      </c>
      <c r="V889">
        <f>_xll.ICEHistory(S$4,V$5,"DF[dow:12345][tl:Calendar]",$L889)</f>
        <v>17.63</v>
      </c>
      <c r="W889">
        <f>_xll.ICEHistory(S$4,W$5,"DF[dow:12345][tl:Calendar]",$L889)</f>
        <v>589</v>
      </c>
      <c r="X889">
        <f t="shared" si="39"/>
        <v>3.4500383337592672E-2</v>
      </c>
      <c r="Y889">
        <f t="shared" si="40"/>
        <v>-0.259275659418362</v>
      </c>
      <c r="Z889">
        <f t="shared" si="41"/>
        <v>1.2606735933738353</v>
      </c>
    </row>
    <row r="890" spans="12:26" x14ac:dyDescent="0.25">
      <c r="L890" s="4">
        <f>_xll.ICETimeline(_xll.ICEJoinRange(M4:W4),"DF[dow:12345][tl:Calendar]","2020-07-26;2024-07-26",161,-1)</f>
        <v>44264.5</v>
      </c>
      <c r="M890">
        <f>_xll.ICEHistory(M$4,M$5,"DF[dow:12345][tl:Calendar]",$L890)</f>
        <v>39.130000000000003</v>
      </c>
      <c r="N890">
        <f>_xll.ICEHistory(M$4,N$5,"DF[dow:12345][tl:Calendar]",$L890)</f>
        <v>40.83</v>
      </c>
      <c r="O890">
        <f>_xll.ICEHistory(M$4,O$5,"DF[dow:12345][tl:Calendar]",$L890)</f>
        <v>39.01</v>
      </c>
      <c r="P890">
        <f>_xll.ICEHistory(M$4,P$5,"DF[dow:12345][tl:Calendar]",$L890)</f>
        <v>40.65</v>
      </c>
      <c r="Q890">
        <f>_xll.ICEHistory(M$4,Q$5,"DF[dow:12345][tl:Calendar]",$L890)</f>
        <v>37075</v>
      </c>
      <c r="R890">
        <f>_xll.ICEHistory(M$4,R$5,"DF[dow:12345][tl:Calendar]",$L890)</f>
        <v>437009</v>
      </c>
      <c r="S890">
        <f>_xll.ICEHistory(S$4,S$5,"DF[dow:12345][tl:Calendar]",$L890)</f>
        <v>16.375</v>
      </c>
      <c r="T890">
        <f>_xll.ICEHistory(S$4,T$5,"DF[dow:12345][tl:Calendar]",$L890)</f>
        <v>16.975000000000001</v>
      </c>
      <c r="U890">
        <f>_xll.ICEHistory(S$4,U$5,"DF[dow:12345][tl:Calendar]",$L890)</f>
        <v>16.375</v>
      </c>
      <c r="V890">
        <f>_xll.ICEHistory(S$4,V$5,"DF[dow:12345][tl:Calendar]",$L890)</f>
        <v>16.925000000000001</v>
      </c>
      <c r="W890">
        <f>_xll.ICEHistory(S$4,W$5,"DF[dow:12345][tl:Calendar]",$L890)</f>
        <v>462</v>
      </c>
      <c r="X890">
        <f t="shared" si="39"/>
        <v>4.642857142857143E-2</v>
      </c>
      <c r="Y890">
        <f t="shared" si="40"/>
        <v>0.67413594037818236</v>
      </c>
      <c r="Z890">
        <f t="shared" si="41"/>
        <v>1.0458322841303171</v>
      </c>
    </row>
    <row r="891" spans="12:26" x14ac:dyDescent="0.25">
      <c r="L891" s="4">
        <f>_xll.ICETimeline(_xll.ICEJoinRange(M4:W4),"DF[dow:12345][tl:Calendar]","2020-07-26;2024-07-26",160,-1)</f>
        <v>44263.5</v>
      </c>
      <c r="M891">
        <f>_xll.ICEHistory(M$4,M$5,"DF[dow:12345][tl:Calendar]",$L891)</f>
        <v>39.200000000000003</v>
      </c>
      <c r="N891">
        <f>_xll.ICEHistory(M$4,N$5,"DF[dow:12345][tl:Calendar]",$L891)</f>
        <v>39.44</v>
      </c>
      <c r="O891">
        <f>_xll.ICEHistory(M$4,O$5,"DF[dow:12345][tl:Calendar]",$L891)</f>
        <v>38.31</v>
      </c>
      <c r="P891">
        <f>_xll.ICEHistory(M$4,P$5,"DF[dow:12345][tl:Calendar]",$L891)</f>
        <v>39.130000000000003</v>
      </c>
      <c r="Q891">
        <f>_xll.ICEHistory(M$4,Q$5,"DF[dow:12345][tl:Calendar]",$L891)</f>
        <v>21702</v>
      </c>
      <c r="R891">
        <f>_xll.ICEHistory(M$4,R$5,"DF[dow:12345][tl:Calendar]",$L891)</f>
        <v>436053</v>
      </c>
      <c r="S891">
        <f>_xll.ICEHistory(S$4,S$5,"DF[dow:12345][tl:Calendar]",$L891)</f>
        <v>16.55</v>
      </c>
      <c r="T891">
        <f>_xll.ICEHistory(S$4,T$5,"DF[dow:12345][tl:Calendar]",$L891)</f>
        <v>16.55</v>
      </c>
      <c r="U891">
        <f>_xll.ICEHistory(S$4,U$5,"DF[dow:12345][tl:Calendar]",$L891)</f>
        <v>16.125</v>
      </c>
      <c r="V891">
        <f>_xll.ICEHistory(S$4,V$5,"DF[dow:12345][tl:Calendar]",$L891)</f>
        <v>16.149999999999999</v>
      </c>
      <c r="W891">
        <f>_xll.ICEHistory(S$4,W$5,"DF[dow:12345][tl:Calendar]",$L891)</f>
        <v>745</v>
      </c>
      <c r="X891">
        <f t="shared" si="39"/>
        <v>2.9604401362326314E-2</v>
      </c>
      <c r="Y891">
        <f t="shared" si="40"/>
        <v>-0.57416423578551079</v>
      </c>
      <c r="Z891">
        <f t="shared" si="41"/>
        <v>-0.27105453957906106</v>
      </c>
    </row>
    <row r="892" spans="12:26" x14ac:dyDescent="0.25">
      <c r="L892" s="4">
        <f>_xll.ICETimeline(_xll.ICEJoinRange(M4:W4),"DF[dow:12345][tl:Calendar]","2020-07-26;2024-07-26",159,-1)</f>
        <v>44260.5</v>
      </c>
      <c r="M892">
        <f>_xll.ICEHistory(M$4,M$5,"DF[dow:12345][tl:Calendar]",$L892)</f>
        <v>38.17</v>
      </c>
      <c r="N892">
        <f>_xll.ICEHistory(M$4,N$5,"DF[dow:12345][tl:Calendar]",$L892)</f>
        <v>39.119999999999997</v>
      </c>
      <c r="O892">
        <f>_xll.ICEHistory(M$4,O$5,"DF[dow:12345][tl:Calendar]",$L892)</f>
        <v>37.75</v>
      </c>
      <c r="P892">
        <f>_xll.ICEHistory(M$4,P$5,"DF[dow:12345][tl:Calendar]",$L892)</f>
        <v>39.020000000000003</v>
      </c>
      <c r="Q892">
        <f>_xll.ICEHistory(M$4,Q$5,"DF[dow:12345][tl:Calendar]",$L892)</f>
        <v>28974</v>
      </c>
      <c r="R892">
        <f>_xll.ICEHistory(M$4,R$5,"DF[dow:12345][tl:Calendar]",$L892)</f>
        <v>435266</v>
      </c>
      <c r="S892">
        <f>_xll.ICEHistory(S$4,S$5,"DF[dow:12345][tl:Calendar]",$L892)</f>
        <v>15.85</v>
      </c>
      <c r="T892">
        <f>_xll.ICEHistory(S$4,T$5,"DF[dow:12345][tl:Calendar]",$L892)</f>
        <v>16.45</v>
      </c>
      <c r="U892">
        <f>_xll.ICEHistory(S$4,U$5,"DF[dow:12345][tl:Calendar]",$L892)</f>
        <v>15.775</v>
      </c>
      <c r="V892">
        <f>_xll.ICEHistory(S$4,V$5,"DF[dow:12345][tl:Calendar]",$L892)</f>
        <v>16.364999999999998</v>
      </c>
      <c r="W892">
        <f>_xll.ICEHistory(S$4,W$5,"DF[dow:12345][tl:Calendar]",$L892)</f>
        <v>580</v>
      </c>
      <c r="X892">
        <f t="shared" si="39"/>
        <v>3.6494405966968499E-2</v>
      </c>
      <c r="Y892">
        <f t="shared" si="40"/>
        <v>-3.9033605690791597E-2</v>
      </c>
      <c r="Z892">
        <f t="shared" si="41"/>
        <v>0.34346388859448584</v>
      </c>
    </row>
    <row r="893" spans="12:26" x14ac:dyDescent="0.25">
      <c r="L893" s="4">
        <f>_xll.ICETimeline(_xll.ICEJoinRange(M4:W4),"DF[dow:12345][tl:Calendar]","2020-07-26;2024-07-26",158,-1)</f>
        <v>44259.5</v>
      </c>
      <c r="M893">
        <f>_xll.ICEHistory(M$4,M$5,"DF[dow:12345][tl:Calendar]",$L893)</f>
        <v>37.54</v>
      </c>
      <c r="N893">
        <f>_xll.ICEHistory(M$4,N$5,"DF[dow:12345][tl:Calendar]",$L893)</f>
        <v>38.43</v>
      </c>
      <c r="O893">
        <f>_xll.ICEHistory(M$4,O$5,"DF[dow:12345][tl:Calendar]",$L893)</f>
        <v>36.65</v>
      </c>
      <c r="P893">
        <f>_xll.ICEHistory(M$4,P$5,"DF[dow:12345][tl:Calendar]",$L893)</f>
        <v>38.159999999999997</v>
      </c>
      <c r="Q893">
        <f>_xll.ICEHistory(M$4,Q$5,"DF[dow:12345][tl:Calendar]",$L893)</f>
        <v>31664</v>
      </c>
      <c r="R893">
        <f>_xll.ICEHistory(M$4,R$5,"DF[dow:12345][tl:Calendar]",$L893)</f>
        <v>434570</v>
      </c>
      <c r="S893">
        <f>_xll.ICEHistory(S$4,S$5,"DF[dow:12345][tl:Calendar]",$L893)</f>
        <v>15.59</v>
      </c>
      <c r="T893">
        <f>_xll.ICEHistory(S$4,T$5,"DF[dow:12345][tl:Calendar]",$L893)</f>
        <v>15.975</v>
      </c>
      <c r="U893">
        <f>_xll.ICEHistory(S$4,U$5,"DF[dow:12345][tl:Calendar]",$L893)</f>
        <v>15.574999999999999</v>
      </c>
      <c r="V893">
        <f>_xll.ICEHistory(S$4,V$5,"DF[dow:12345][tl:Calendar]",$L893)</f>
        <v>15.93</v>
      </c>
      <c r="W893">
        <f>_xll.ICEHistory(S$4,W$5,"DF[dow:12345][tl:Calendar]",$L893)</f>
        <v>527</v>
      </c>
      <c r="X893">
        <f t="shared" si="39"/>
        <v>4.6366241208648115E-2</v>
      </c>
      <c r="Y893">
        <f t="shared" si="40"/>
        <v>0.68081193348243552</v>
      </c>
      <c r="Z893">
        <f t="shared" si="41"/>
        <v>0.55566197679385543</v>
      </c>
    </row>
    <row r="894" spans="12:26" x14ac:dyDescent="0.25">
      <c r="L894" s="4">
        <f>_xll.ICETimeline(_xll.ICEJoinRange(M4:W4),"DF[dow:12345][tl:Calendar]","2020-07-26;2024-07-26",157,-1)</f>
        <v>44258.5</v>
      </c>
      <c r="M894">
        <f>_xll.ICEHistory(M$4,M$5,"DF[dow:12345][tl:Calendar]",$L894)</f>
        <v>38.39</v>
      </c>
      <c r="N894">
        <f>_xll.ICEHistory(M$4,N$5,"DF[dow:12345][tl:Calendar]",$L894)</f>
        <v>38.450000000000003</v>
      </c>
      <c r="O894">
        <f>_xll.ICEHistory(M$4,O$5,"DF[dow:12345][tl:Calendar]",$L894)</f>
        <v>37.11</v>
      </c>
      <c r="P894">
        <f>_xll.ICEHistory(M$4,P$5,"DF[dow:12345][tl:Calendar]",$L894)</f>
        <v>37.47</v>
      </c>
      <c r="Q894">
        <f>_xll.ICEHistory(M$4,Q$5,"DF[dow:12345][tl:Calendar]",$L894)</f>
        <v>24897</v>
      </c>
      <c r="R894">
        <f>_xll.ICEHistory(M$4,R$5,"DF[dow:12345][tl:Calendar]",$L894)</f>
        <v>435178</v>
      </c>
      <c r="S894">
        <f>_xll.ICEHistory(S$4,S$5,"DF[dow:12345][tl:Calendar]",$L894)</f>
        <v>15.6</v>
      </c>
      <c r="T894">
        <f>_xll.ICEHistory(S$4,T$5,"DF[dow:12345][tl:Calendar]",$L894)</f>
        <v>15.68</v>
      </c>
      <c r="U894">
        <f>_xll.ICEHistory(S$4,U$5,"DF[dow:12345][tl:Calendar]",$L894)</f>
        <v>15.5</v>
      </c>
      <c r="V894">
        <f>_xll.ICEHistory(S$4,V$5,"DF[dow:12345][tl:Calendar]",$L894)</f>
        <v>15.525</v>
      </c>
      <c r="W894">
        <f>_xll.ICEHistory(S$4,W$5,"DF[dow:12345][tl:Calendar]",$L894)</f>
        <v>457</v>
      </c>
      <c r="X894">
        <f t="shared" si="39"/>
        <v>3.6245604544225138E-2</v>
      </c>
      <c r="Y894">
        <f t="shared" si="40"/>
        <v>-5.1003999129697129E-2</v>
      </c>
      <c r="Z894">
        <f t="shared" si="41"/>
        <v>-4.2420934033420107E-2</v>
      </c>
    </row>
    <row r="895" spans="12:26" x14ac:dyDescent="0.25">
      <c r="L895" s="4">
        <f>_xll.ICETimeline(_xll.ICEJoinRange(M4:W4),"DF[dow:12345][tl:Calendar]","2020-07-26;2024-07-26",156,-1)</f>
        <v>44257.5</v>
      </c>
      <c r="M895">
        <f>_xll.ICEHistory(M$4,M$5,"DF[dow:12345][tl:Calendar]",$L895)</f>
        <v>36.97</v>
      </c>
      <c r="N895">
        <f>_xll.ICEHistory(M$4,N$5,"DF[dow:12345][tl:Calendar]",$L895)</f>
        <v>38.450000000000003</v>
      </c>
      <c r="O895">
        <f>_xll.ICEHistory(M$4,O$5,"DF[dow:12345][tl:Calendar]",$L895)</f>
        <v>36.83</v>
      </c>
      <c r="P895">
        <f>_xll.ICEHistory(M$4,P$5,"DF[dow:12345][tl:Calendar]",$L895)</f>
        <v>38.35</v>
      </c>
      <c r="Q895">
        <f>_xll.ICEHistory(M$4,Q$5,"DF[dow:12345][tl:Calendar]",$L895)</f>
        <v>26155</v>
      </c>
      <c r="R895">
        <f>_xll.ICEHistory(M$4,R$5,"DF[dow:12345][tl:Calendar]",$L895)</f>
        <v>433510</v>
      </c>
      <c r="S895">
        <f>_xll.ICEHistory(S$4,S$5,"DF[dow:12345][tl:Calendar]",$L895)</f>
        <v>16.004999999999999</v>
      </c>
      <c r="T895">
        <f>_xll.ICEHistory(S$4,T$5,"DF[dow:12345][tl:Calendar]",$L895)</f>
        <v>16.03</v>
      </c>
      <c r="U895">
        <f>_xll.ICEHistory(S$4,U$5,"DF[dow:12345][tl:Calendar]",$L895)</f>
        <v>15.8</v>
      </c>
      <c r="V895">
        <f>_xll.ICEHistory(S$4,V$5,"DF[dow:12345][tl:Calendar]",$L895)</f>
        <v>15.87</v>
      </c>
      <c r="W895">
        <f>_xll.ICEHistory(S$4,W$5,"DF[dow:12345][tl:Calendar]",$L895)</f>
        <v>601</v>
      </c>
      <c r="X895">
        <f t="shared" si="39"/>
        <v>4.3269230769230893E-2</v>
      </c>
      <c r="Y895">
        <f t="shared" si="40"/>
        <v>0.46945523687913027</v>
      </c>
      <c r="Z895">
        <f t="shared" si="41"/>
        <v>2.8061345474299105E-2</v>
      </c>
    </row>
    <row r="896" spans="12:26" x14ac:dyDescent="0.25">
      <c r="L896" s="4">
        <f>_xll.ICETimeline(_xll.ICEJoinRange(M4:W4),"DF[dow:12345][tl:Calendar]","2020-07-26;2024-07-26",155,-1)</f>
        <v>44256.5</v>
      </c>
      <c r="M896">
        <f>_xll.ICEHistory(M$4,M$5,"DF[dow:12345][tl:Calendar]",$L896)</f>
        <v>37.44</v>
      </c>
      <c r="N896">
        <f>_xll.ICEHistory(M$4,N$5,"DF[dow:12345][tl:Calendar]",$L896)</f>
        <v>38.21</v>
      </c>
      <c r="O896">
        <f>_xll.ICEHistory(M$4,O$5,"DF[dow:12345][tl:Calendar]",$L896)</f>
        <v>37.049999999999997</v>
      </c>
      <c r="P896">
        <f>_xll.ICEHistory(M$4,P$5,"DF[dow:12345][tl:Calendar]",$L896)</f>
        <v>37.130000000000003</v>
      </c>
      <c r="Q896">
        <f>_xll.ICEHistory(M$4,Q$5,"DF[dow:12345][tl:Calendar]",$L896)</f>
        <v>20942</v>
      </c>
      <c r="R896">
        <f>_xll.ICEHistory(M$4,R$5,"DF[dow:12345][tl:Calendar]",$L896)</f>
        <v>431673</v>
      </c>
      <c r="S896">
        <f>_xll.ICEHistory(S$4,S$5,"DF[dow:12345][tl:Calendar]",$L896)</f>
        <v>16</v>
      </c>
      <c r="T896">
        <f>_xll.ICEHistory(S$4,T$5,"DF[dow:12345][tl:Calendar]",$L896)</f>
        <v>16.100000000000001</v>
      </c>
      <c r="U896">
        <f>_xll.ICEHistory(S$4,U$5,"DF[dow:12345][tl:Calendar]",$L896)</f>
        <v>15.925000000000001</v>
      </c>
      <c r="V896">
        <f>_xll.ICEHistory(S$4,V$5,"DF[dow:12345][tl:Calendar]",$L896)</f>
        <v>16.079999999999998</v>
      </c>
      <c r="W896">
        <f>_xll.ICEHistory(S$4,W$5,"DF[dow:12345][tl:Calendar]",$L896)</f>
        <v>362</v>
      </c>
      <c r="X896">
        <f t="shared" si="39"/>
        <v>3.0647291941875921E-2</v>
      </c>
      <c r="Y896">
        <f t="shared" si="40"/>
        <v>-0.47039262406363341</v>
      </c>
      <c r="Z896">
        <f t="shared" si="41"/>
        <v>-0.40764640457560475</v>
      </c>
    </row>
    <row r="897" spans="12:26" x14ac:dyDescent="0.25">
      <c r="L897" s="4">
        <f>_xll.ICETimeline(_xll.ICEJoinRange(M4:W4),"DF[dow:12345][tl:Calendar]","2020-07-26;2024-07-26",154,-1)</f>
        <v>44253.5</v>
      </c>
      <c r="M897">
        <f>_xll.ICEHistory(M$4,M$5,"DF[dow:12345][tl:Calendar]",$L897)</f>
        <v>37.85</v>
      </c>
      <c r="N897">
        <f>_xll.ICEHistory(M$4,N$5,"DF[dow:12345][tl:Calendar]",$L897)</f>
        <v>38.1</v>
      </c>
      <c r="O897">
        <f>_xll.ICEHistory(M$4,O$5,"DF[dow:12345][tl:Calendar]",$L897)</f>
        <v>37.22</v>
      </c>
      <c r="P897">
        <f>_xll.ICEHistory(M$4,P$5,"DF[dow:12345][tl:Calendar]",$L897)</f>
        <v>37.28</v>
      </c>
      <c r="Q897">
        <f>_xll.ICEHistory(M$4,Q$5,"DF[dow:12345][tl:Calendar]",$L897)</f>
        <v>27103</v>
      </c>
      <c r="R897">
        <f>_xll.ICEHistory(M$4,R$5,"DF[dow:12345][tl:Calendar]",$L897)</f>
        <v>430536</v>
      </c>
      <c r="S897">
        <f>_xll.ICEHistory(S$4,S$5,"DF[dow:12345][tl:Calendar]",$L897)</f>
        <v>15.95</v>
      </c>
      <c r="T897">
        <f>_xll.ICEHistory(S$4,T$5,"DF[dow:12345][tl:Calendar]",$L897)</f>
        <v>15.975</v>
      </c>
      <c r="U897">
        <f>_xll.ICEHistory(S$4,U$5,"DF[dow:12345][tl:Calendar]",$L897)</f>
        <v>15.55</v>
      </c>
      <c r="V897">
        <f>_xll.ICEHistory(S$4,V$5,"DF[dow:12345][tl:Calendar]",$L897)</f>
        <v>15.695</v>
      </c>
      <c r="W897">
        <f>_xll.ICEHistory(S$4,W$5,"DF[dow:12345][tl:Calendar]",$L897)</f>
        <v>436</v>
      </c>
      <c r="X897">
        <f t="shared" si="39"/>
        <v>2.227284231840047E-2</v>
      </c>
      <c r="Y897">
        <f t="shared" si="40"/>
        <v>-1.1080339371906864</v>
      </c>
      <c r="Z897">
        <f t="shared" si="41"/>
        <v>7.2834591683557104E-2</v>
      </c>
    </row>
    <row r="898" spans="12:26" x14ac:dyDescent="0.25">
      <c r="L898" s="4">
        <f>_xll.ICETimeline(_xll.ICEJoinRange(M4:W4),"DF[dow:12345][tl:Calendar]","2020-07-26;2024-07-26",153,-1)</f>
        <v>44252.5</v>
      </c>
      <c r="M898">
        <f>_xll.ICEHistory(M$4,M$5,"DF[dow:12345][tl:Calendar]",$L898)</f>
        <v>39.51</v>
      </c>
      <c r="N898">
        <f>_xll.ICEHistory(M$4,N$5,"DF[dow:12345][tl:Calendar]",$L898)</f>
        <v>39.68</v>
      </c>
      <c r="O898">
        <f>_xll.ICEHistory(M$4,O$5,"DF[dow:12345][tl:Calendar]",$L898)</f>
        <v>38.130000000000003</v>
      </c>
      <c r="P898">
        <f>_xll.ICEHistory(M$4,P$5,"DF[dow:12345][tl:Calendar]",$L898)</f>
        <v>38.26</v>
      </c>
      <c r="Q898">
        <f>_xll.ICEHistory(M$4,Q$5,"DF[dow:12345][tl:Calendar]",$L898)</f>
        <v>23309</v>
      </c>
      <c r="R898">
        <f>_xll.ICEHistory(M$4,R$5,"DF[dow:12345][tl:Calendar]",$L898)</f>
        <v>430501</v>
      </c>
      <c r="S898">
        <f>_xll.ICEHistory(S$4,S$5,"DF[dow:12345][tl:Calendar]",$L898)</f>
        <v>16.399999999999999</v>
      </c>
      <c r="T898">
        <f>_xll.ICEHistory(S$4,T$5,"DF[dow:12345][tl:Calendar]",$L898)</f>
        <v>16.399999999999999</v>
      </c>
      <c r="U898">
        <f>_xll.ICEHistory(S$4,U$5,"DF[dow:12345][tl:Calendar]",$L898)</f>
        <v>15.935</v>
      </c>
      <c r="V898">
        <f>_xll.ICEHistory(S$4,V$5,"DF[dow:12345][tl:Calendar]",$L898)</f>
        <v>15.935</v>
      </c>
      <c r="W898">
        <f>_xll.ICEHistory(S$4,W$5,"DF[dow:12345][tl:Calendar]",$L898)</f>
        <v>0</v>
      </c>
      <c r="X898">
        <f t="shared" si="39"/>
        <v>4.0259740259740183E-2</v>
      </c>
      <c r="Y898">
        <f t="shared" si="40"/>
        <v>0.2162032216988915</v>
      </c>
      <c r="Z898">
        <f t="shared" si="41"/>
        <v>-0.23444135744284123</v>
      </c>
    </row>
    <row r="899" spans="12:26" x14ac:dyDescent="0.25">
      <c r="L899" s="4">
        <f>_xll.ICETimeline(_xll.ICEJoinRange(M4:W4),"DF[dow:12345][tl:Calendar]","2020-07-26;2024-07-26",152,-1)</f>
        <v>44251.5</v>
      </c>
      <c r="M899">
        <f>_xll.ICEHistory(M$4,M$5,"DF[dow:12345][tl:Calendar]",$L899)</f>
        <v>38.5</v>
      </c>
      <c r="N899">
        <f>_xll.ICEHistory(M$4,N$5,"DF[dow:12345][tl:Calendar]",$L899)</f>
        <v>39.36</v>
      </c>
      <c r="O899">
        <f>_xll.ICEHistory(M$4,O$5,"DF[dow:12345][tl:Calendar]",$L899)</f>
        <v>38.200000000000003</v>
      </c>
      <c r="P899">
        <f>_xll.ICEHistory(M$4,P$5,"DF[dow:12345][tl:Calendar]",$L899)</f>
        <v>39.15</v>
      </c>
      <c r="Q899">
        <f>_xll.ICEHistory(M$4,Q$5,"DF[dow:12345][tl:Calendar]",$L899)</f>
        <v>21702</v>
      </c>
      <c r="R899">
        <f>_xll.ICEHistory(M$4,R$5,"DF[dow:12345][tl:Calendar]",$L899)</f>
        <v>429716</v>
      </c>
      <c r="S899">
        <f>_xll.ICEHistory(S$4,S$5,"DF[dow:12345][tl:Calendar]",$L899)</f>
        <v>16.125</v>
      </c>
      <c r="T899">
        <f>_xll.ICEHistory(S$4,T$5,"DF[dow:12345][tl:Calendar]",$L899)</f>
        <v>16.38</v>
      </c>
      <c r="U899">
        <f>_xll.ICEHistory(S$4,U$5,"DF[dow:12345][tl:Calendar]",$L899)</f>
        <v>16.05</v>
      </c>
      <c r="V899">
        <f>_xll.ICEHistory(S$4,V$5,"DF[dow:12345][tl:Calendar]",$L899)</f>
        <v>16.38</v>
      </c>
      <c r="W899">
        <f>_xll.ICEHistory(S$4,W$5,"DF[dow:12345][tl:Calendar]",$L899)</f>
        <v>773</v>
      </c>
      <c r="X899">
        <f t="shared" si="39"/>
        <v>3.0550434553594855E-2</v>
      </c>
      <c r="Y899">
        <f t="shared" si="40"/>
        <v>-0.50165527705920021</v>
      </c>
      <c r="Z899">
        <f t="shared" si="41"/>
        <v>-0.37573651654726309</v>
      </c>
    </row>
    <row r="900" spans="12:26" x14ac:dyDescent="0.25">
      <c r="L900" s="4">
        <f>_xll.ICETimeline(_xll.ICEJoinRange(M4:W4),"DF[dow:12345][tl:Calendar]","2020-07-26;2024-07-26",151,-1)</f>
        <v>44250.5</v>
      </c>
      <c r="M900">
        <f>_xll.ICEHistory(M$4,M$5,"DF[dow:12345][tl:Calendar]",$L900)</f>
        <v>37.97</v>
      </c>
      <c r="N900">
        <f>_xll.ICEHistory(M$4,N$5,"DF[dow:12345][tl:Calendar]",$L900)</f>
        <v>38.75</v>
      </c>
      <c r="O900">
        <f>_xll.ICEHistory(M$4,O$5,"DF[dow:12345][tl:Calendar]",$L900)</f>
        <v>37.409999999999997</v>
      </c>
      <c r="P900">
        <f>_xll.ICEHistory(M$4,P$5,"DF[dow:12345][tl:Calendar]",$L900)</f>
        <v>38.67</v>
      </c>
      <c r="Q900">
        <f>_xll.ICEHistory(M$4,Q$5,"DF[dow:12345][tl:Calendar]",$L900)</f>
        <v>26548</v>
      </c>
      <c r="R900">
        <f>_xll.ICEHistory(M$4,R$5,"DF[dow:12345][tl:Calendar]",$L900)</f>
        <v>428351</v>
      </c>
      <c r="S900">
        <f>_xll.ICEHistory(S$4,S$5,"DF[dow:12345][tl:Calendar]",$L900)</f>
        <v>16.100000000000001</v>
      </c>
      <c r="T900">
        <f>_xll.ICEHistory(S$4,T$5,"DF[dow:12345][tl:Calendar]",$L900)</f>
        <v>16.399999999999999</v>
      </c>
      <c r="U900">
        <f>_xll.ICEHistory(S$4,U$5,"DF[dow:12345][tl:Calendar]",$L900)</f>
        <v>16.05</v>
      </c>
      <c r="V900">
        <f>_xll.ICEHistory(S$4,V$5,"DF[dow:12345][tl:Calendar]",$L900)</f>
        <v>16.25</v>
      </c>
      <c r="W900">
        <f>_xll.ICEHistory(S$4,W$5,"DF[dow:12345][tl:Calendar]",$L900)</f>
        <v>419</v>
      </c>
      <c r="X900">
        <f t="shared" si="39"/>
        <v>3.582887700534769E-2</v>
      </c>
      <c r="Y900">
        <f t="shared" si="40"/>
        <v>-9.7702862661484979E-2</v>
      </c>
      <c r="Z900">
        <f t="shared" si="41"/>
        <v>4.761029054028071E-3</v>
      </c>
    </row>
    <row r="901" spans="12:26" x14ac:dyDescent="0.25">
      <c r="L901" s="4">
        <f>_xll.ICETimeline(_xll.ICEJoinRange(M4:W4),"DF[dow:12345][tl:Calendar]","2020-07-26;2024-07-26",150,-1)</f>
        <v>44249.5</v>
      </c>
      <c r="M901">
        <f>_xll.ICEHistory(M$4,M$5,"DF[dow:12345][tl:Calendar]",$L901)</f>
        <v>37.4</v>
      </c>
      <c r="N901">
        <f>_xll.ICEHistory(M$4,N$5,"DF[dow:12345][tl:Calendar]",$L901)</f>
        <v>38.15</v>
      </c>
      <c r="O901">
        <f>_xll.ICEHistory(M$4,O$5,"DF[dow:12345][tl:Calendar]",$L901)</f>
        <v>36.5</v>
      </c>
      <c r="P901">
        <f>_xll.ICEHistory(M$4,P$5,"DF[dow:12345][tl:Calendar]",$L901)</f>
        <v>37.96</v>
      </c>
      <c r="Q901">
        <f>_xll.ICEHistory(M$4,Q$5,"DF[dow:12345][tl:Calendar]",$L901)</f>
        <v>34484</v>
      </c>
      <c r="R901">
        <f>_xll.ICEHistory(M$4,R$5,"DF[dow:12345][tl:Calendar]",$L901)</f>
        <v>427941</v>
      </c>
      <c r="S901">
        <f>_xll.ICEHistory(S$4,S$5,"DF[dow:12345][tl:Calendar]",$L901)</f>
        <v>16.25</v>
      </c>
      <c r="T901">
        <f>_xll.ICEHistory(S$4,T$5,"DF[dow:12345][tl:Calendar]",$L901)</f>
        <v>16.25</v>
      </c>
      <c r="U901">
        <f>_xll.ICEHistory(S$4,U$5,"DF[dow:12345][tl:Calendar]",$L901)</f>
        <v>15.824999999999999</v>
      </c>
      <c r="V901">
        <f>_xll.ICEHistory(S$4,V$5,"DF[dow:12345][tl:Calendar]",$L901)</f>
        <v>15.96</v>
      </c>
      <c r="W901">
        <f>_xll.ICEHistory(S$4,W$5,"DF[dow:12345][tl:Calendar]",$L901)</f>
        <v>499</v>
      </c>
      <c r="X901">
        <f t="shared" si="39"/>
        <v>4.3114711262085145E-2</v>
      </c>
      <c r="Y901">
        <f t="shared" si="40"/>
        <v>0.44513178311008966</v>
      </c>
      <c r="Z901">
        <f t="shared" si="41"/>
        <v>0.63064044583841317</v>
      </c>
    </row>
    <row r="902" spans="12:26" x14ac:dyDescent="0.25">
      <c r="L902" s="4">
        <f>_xll.ICETimeline(_xll.ICEJoinRange(M4:W4),"DF[dow:12345][tl:Calendar]","2020-07-26;2024-07-26",149,-1)</f>
        <v>44246.5</v>
      </c>
      <c r="M902">
        <f>_xll.ICEHistory(M$4,M$5,"DF[dow:12345][tl:Calendar]",$L902)</f>
        <v>38.270000000000003</v>
      </c>
      <c r="N902">
        <f>_xll.ICEHistory(M$4,N$5,"DF[dow:12345][tl:Calendar]",$L902)</f>
        <v>38.69</v>
      </c>
      <c r="O902">
        <f>_xll.ICEHistory(M$4,O$5,"DF[dow:12345][tl:Calendar]",$L902)</f>
        <v>37.35</v>
      </c>
      <c r="P902">
        <f>_xll.ICEHistory(M$4,P$5,"DF[dow:12345][tl:Calendar]",$L902)</f>
        <v>37.4</v>
      </c>
      <c r="Q902">
        <f>_xll.ICEHistory(M$4,Q$5,"DF[dow:12345][tl:Calendar]",$L902)</f>
        <v>24613</v>
      </c>
      <c r="R902">
        <f>_xll.ICEHistory(M$4,R$5,"DF[dow:12345][tl:Calendar]",$L902)</f>
        <v>427428</v>
      </c>
      <c r="S902">
        <f>_xll.ICEHistory(S$4,S$5,"DF[dow:12345][tl:Calendar]",$L902)</f>
        <v>17.324999999999999</v>
      </c>
      <c r="T902">
        <f>_xll.ICEHistory(S$4,T$5,"DF[dow:12345][tl:Calendar]",$L902)</f>
        <v>17.45</v>
      </c>
      <c r="U902">
        <f>_xll.ICEHistory(S$4,U$5,"DF[dow:12345][tl:Calendar]",$L902)</f>
        <v>16.465</v>
      </c>
      <c r="V902">
        <f>_xll.ICEHistory(S$4,V$5,"DF[dow:12345][tl:Calendar]",$L902)</f>
        <v>16.555</v>
      </c>
      <c r="W902">
        <f>_xll.ICEHistory(S$4,W$5,"DF[dow:12345][tl:Calendar]",$L902)</f>
        <v>773</v>
      </c>
      <c r="X902">
        <f t="shared" si="39"/>
        <v>3.5096909376636884E-2</v>
      </c>
      <c r="Y902">
        <f t="shared" si="40"/>
        <v>-0.11551629926665817</v>
      </c>
      <c r="Z902">
        <f t="shared" si="41"/>
        <v>-0.14593499257000186</v>
      </c>
    </row>
    <row r="903" spans="12:26" x14ac:dyDescent="0.25">
      <c r="L903" s="4">
        <f>_xll.ICETimeline(_xll.ICEJoinRange(M4:W4),"DF[dow:12345][tl:Calendar]","2020-07-26;2024-07-26",148,-1)</f>
        <v>44245.5</v>
      </c>
      <c r="M903">
        <f>_xll.ICEHistory(M$4,M$5,"DF[dow:12345][tl:Calendar]",$L903)</f>
        <v>38.18</v>
      </c>
      <c r="N903">
        <f>_xll.ICEHistory(M$4,N$5,"DF[dow:12345][tl:Calendar]",$L903)</f>
        <v>38.86</v>
      </c>
      <c r="O903">
        <f>_xll.ICEHistory(M$4,O$5,"DF[dow:12345][tl:Calendar]",$L903)</f>
        <v>37.75</v>
      </c>
      <c r="P903">
        <f>_xll.ICEHistory(M$4,P$5,"DF[dow:12345][tl:Calendar]",$L903)</f>
        <v>38.32</v>
      </c>
      <c r="Q903">
        <f>_xll.ICEHistory(M$4,Q$5,"DF[dow:12345][tl:Calendar]",$L903)</f>
        <v>31939</v>
      </c>
      <c r="R903">
        <f>_xll.ICEHistory(M$4,R$5,"DF[dow:12345][tl:Calendar]",$L903)</f>
        <v>427323</v>
      </c>
      <c r="S903">
        <f>_xll.ICEHistory(S$4,S$5,"DF[dow:12345][tl:Calendar]",$L903)</f>
        <v>16.899999999999999</v>
      </c>
      <c r="T903">
        <f>_xll.ICEHistory(S$4,T$5,"DF[dow:12345][tl:Calendar]",$L903)</f>
        <v>17.350000000000001</v>
      </c>
      <c r="U903">
        <f>_xll.ICEHistory(S$4,U$5,"DF[dow:12345][tl:Calendar]",$L903)</f>
        <v>16.84</v>
      </c>
      <c r="V903">
        <f>_xll.ICEHistory(S$4,V$5,"DF[dow:12345][tl:Calendar]",$L903)</f>
        <v>17.329999999999998</v>
      </c>
      <c r="W903">
        <f>_xll.ICEHistory(S$4,W$5,"DF[dow:12345][tl:Calendar]",$L903)</f>
        <v>1001</v>
      </c>
      <c r="X903">
        <f t="shared" si="39"/>
        <v>2.8534704370179936E-2</v>
      </c>
      <c r="Y903">
        <f t="shared" si="40"/>
        <v>-0.58525860370364646</v>
      </c>
      <c r="Z903">
        <f t="shared" si="41"/>
        <v>0.43066988539624029</v>
      </c>
    </row>
    <row r="904" spans="12:26" x14ac:dyDescent="0.25">
      <c r="L904" s="4">
        <f>_xll.ICETimeline(_xll.ICEJoinRange(M4:W4),"DF[dow:12345][tl:Calendar]","2020-07-26;2024-07-26",147,-1)</f>
        <v>44244.5</v>
      </c>
      <c r="M904">
        <f>_xll.ICEHistory(M$4,M$5,"DF[dow:12345][tl:Calendar]",$L904)</f>
        <v>38.9</v>
      </c>
      <c r="N904">
        <f>_xll.ICEHistory(M$4,N$5,"DF[dow:12345][tl:Calendar]",$L904)</f>
        <v>39.42</v>
      </c>
      <c r="O904">
        <f>_xll.ICEHistory(M$4,O$5,"DF[dow:12345][tl:Calendar]",$L904)</f>
        <v>38.04</v>
      </c>
      <c r="P904">
        <f>_xll.ICEHistory(M$4,P$5,"DF[dow:12345][tl:Calendar]",$L904)</f>
        <v>38.090000000000003</v>
      </c>
      <c r="Q904">
        <f>_xll.ICEHistory(M$4,Q$5,"DF[dow:12345][tl:Calendar]",$L904)</f>
        <v>34277</v>
      </c>
      <c r="R904">
        <f>_xll.ICEHistory(M$4,R$5,"DF[dow:12345][tl:Calendar]",$L904)</f>
        <v>430827</v>
      </c>
      <c r="S904">
        <f>_xll.ICEHistory(S$4,S$5,"DF[dow:12345][tl:Calendar]",$L904)</f>
        <v>17.149999999999999</v>
      </c>
      <c r="T904">
        <f>_xll.ICEHistory(S$4,T$5,"DF[dow:12345][tl:Calendar]",$L904)</f>
        <v>17.3</v>
      </c>
      <c r="U904">
        <f>_xll.ICEHistory(S$4,U$5,"DF[dow:12345][tl:Calendar]",$L904)</f>
        <v>16.399999999999999</v>
      </c>
      <c r="V904">
        <f>_xll.ICEHistory(S$4,V$5,"DF[dow:12345][tl:Calendar]",$L904)</f>
        <v>16.54</v>
      </c>
      <c r="W904">
        <f>_xll.ICEHistory(S$4,W$5,"DF[dow:12345][tl:Calendar]",$L904)</f>
        <v>1080</v>
      </c>
      <c r="X904">
        <f t="shared" si="39"/>
        <v>3.4901365705614633E-2</v>
      </c>
      <c r="Y904">
        <f t="shared" si="40"/>
        <v>-0.12569310916504589</v>
      </c>
      <c r="Z904">
        <f t="shared" si="41"/>
        <v>0.61494656798653946</v>
      </c>
    </row>
    <row r="905" spans="12:26" x14ac:dyDescent="0.25">
      <c r="L905" s="4">
        <f>_xll.ICETimeline(_xll.ICEJoinRange(M4:W4),"DF[dow:12345][tl:Calendar]","2020-07-26;2024-07-26",146,-1)</f>
        <v>44243.5</v>
      </c>
      <c r="M905">
        <f>_xll.ICEHistory(M$4,M$5,"DF[dow:12345][tl:Calendar]",$L905)</f>
        <v>39.54</v>
      </c>
      <c r="N905">
        <f>_xll.ICEHistory(M$4,N$5,"DF[dow:12345][tl:Calendar]",$L905)</f>
        <v>40.53</v>
      </c>
      <c r="O905">
        <f>_xll.ICEHistory(M$4,O$5,"DF[dow:12345][tl:Calendar]",$L905)</f>
        <v>38.75</v>
      </c>
      <c r="P905">
        <f>_xll.ICEHistory(M$4,P$5,"DF[dow:12345][tl:Calendar]",$L905)</f>
        <v>38.86</v>
      </c>
      <c r="Q905">
        <f>_xll.ICEHistory(M$4,Q$5,"DF[dow:12345][tl:Calendar]",$L905)</f>
        <v>43857</v>
      </c>
      <c r="R905">
        <f>_xll.ICEHistory(M$4,R$5,"DF[dow:12345][tl:Calendar]",$L905)</f>
        <v>437154</v>
      </c>
      <c r="S905">
        <f>_xll.ICEHistory(S$4,S$5,"DF[dow:12345][tl:Calendar]",$L905)</f>
        <v>16.75</v>
      </c>
      <c r="T905">
        <f>_xll.ICEHistory(S$4,T$5,"DF[dow:12345][tl:Calendar]",$L905)</f>
        <v>16.95</v>
      </c>
      <c r="U905">
        <f>_xll.ICEHistory(S$4,U$5,"DF[dow:12345][tl:Calendar]",$L905)</f>
        <v>16.350000000000001</v>
      </c>
      <c r="V905">
        <f>_xll.ICEHistory(S$4,V$5,"DF[dow:12345][tl:Calendar]",$L905)</f>
        <v>16.715</v>
      </c>
      <c r="W905">
        <f>_xll.ICEHistory(S$4,W$5,"DF[dow:12345][tl:Calendar]",$L905)</f>
        <v>1306</v>
      </c>
      <c r="X905">
        <f t="shared" ref="X905:X968" si="42">IFERROR((N905-O905)/M906, "")</f>
        <v>4.4289624284647951E-2</v>
      </c>
      <c r="Y905">
        <f t="shared" ref="Y905:Y968" si="43">IFERROR((X905-AVERAGE(X905:X969))/_xlfn.STDEV.S(X905:X969),"")</f>
        <v>0.55289115699151914</v>
      </c>
      <c r="Z905">
        <f t="shared" ref="Z905:Z968" si="44">IFERROR((Q905-AVERAGE(Q905:Q970))/_xlfn.STDEV.S(Q905:Q970),"")</f>
        <v>1.3940650055185067</v>
      </c>
    </row>
    <row r="906" spans="12:26" x14ac:dyDescent="0.25">
      <c r="L906" s="4">
        <f>_xll.ICETimeline(_xll.ICEJoinRange(M4:W4),"DF[dow:12345][tl:Calendar]","2020-07-26;2024-07-26",145,-1)</f>
        <v>44242.5</v>
      </c>
      <c r="M906">
        <f>_xll.ICEHistory(M$4,M$5,"DF[dow:12345][tl:Calendar]",$L906)</f>
        <v>40.19</v>
      </c>
      <c r="N906">
        <f>_xll.ICEHistory(M$4,N$5,"DF[dow:12345][tl:Calendar]",$L906)</f>
        <v>40.64</v>
      </c>
      <c r="O906">
        <f>_xll.ICEHistory(M$4,O$5,"DF[dow:12345][tl:Calendar]",$L906)</f>
        <v>39.43</v>
      </c>
      <c r="P906">
        <f>_xll.ICEHistory(M$4,P$5,"DF[dow:12345][tl:Calendar]",$L906)</f>
        <v>39.520000000000003</v>
      </c>
      <c r="Q906">
        <f>_xll.ICEHistory(M$4,Q$5,"DF[dow:12345][tl:Calendar]",$L906)</f>
        <v>30681</v>
      </c>
      <c r="R906">
        <f>_xll.ICEHistory(M$4,R$5,"DF[dow:12345][tl:Calendar]",$L906)</f>
        <v>447504</v>
      </c>
      <c r="S906">
        <f>_xll.ICEHistory(S$4,S$5,"DF[dow:12345][tl:Calendar]",$L906)</f>
        <v>17.07</v>
      </c>
      <c r="T906">
        <f>_xll.ICEHistory(S$4,T$5,"DF[dow:12345][tl:Calendar]",$L906)</f>
        <v>17.649999999999999</v>
      </c>
      <c r="U906">
        <f>_xll.ICEHistory(S$4,U$5,"DF[dow:12345][tl:Calendar]",$L906)</f>
        <v>16.95</v>
      </c>
      <c r="V906">
        <f>_xll.ICEHistory(S$4,V$5,"DF[dow:12345][tl:Calendar]",$L906)</f>
        <v>17.62</v>
      </c>
      <c r="W906">
        <f>_xll.ICEHistory(S$4,W$5,"DF[dow:12345][tl:Calendar]",$L906)</f>
        <v>0</v>
      </c>
      <c r="X906">
        <f t="shared" si="42"/>
        <v>3.2104006367736825E-2</v>
      </c>
      <c r="Y906">
        <f t="shared" si="43"/>
        <v>-0.32272320286868889</v>
      </c>
      <c r="Z906">
        <f t="shared" si="44"/>
        <v>0.36446519044036391</v>
      </c>
    </row>
    <row r="907" spans="12:26" x14ac:dyDescent="0.25">
      <c r="L907" s="4">
        <f>_xll.ICETimeline(_xll.ICEJoinRange(M4:W4),"DF[dow:12345][tl:Calendar]","2020-07-26;2024-07-26",144,-1)</f>
        <v>44239.5</v>
      </c>
      <c r="M907">
        <f>_xll.ICEHistory(M$4,M$5,"DF[dow:12345][tl:Calendar]",$L907)</f>
        <v>37.69</v>
      </c>
      <c r="N907">
        <f>_xll.ICEHistory(M$4,N$5,"DF[dow:12345][tl:Calendar]",$L907)</f>
        <v>40.25</v>
      </c>
      <c r="O907">
        <f>_xll.ICEHistory(M$4,O$5,"DF[dow:12345][tl:Calendar]",$L907)</f>
        <v>37.06</v>
      </c>
      <c r="P907">
        <f>_xll.ICEHistory(M$4,P$5,"DF[dow:12345][tl:Calendar]",$L907)</f>
        <v>40.020000000000003</v>
      </c>
      <c r="Q907">
        <f>_xll.ICEHistory(M$4,Q$5,"DF[dow:12345][tl:Calendar]",$L907)</f>
        <v>46084</v>
      </c>
      <c r="R907">
        <f>_xll.ICEHistory(M$4,R$5,"DF[dow:12345][tl:Calendar]",$L907)</f>
        <v>445991</v>
      </c>
      <c r="S907">
        <f>_xll.ICEHistory(S$4,S$5,"DF[dow:12345][tl:Calendar]",$L907)</f>
        <v>17.07</v>
      </c>
      <c r="T907">
        <f>_xll.ICEHistory(S$4,T$5,"DF[dow:12345][tl:Calendar]",$L907)</f>
        <v>17.649999999999999</v>
      </c>
      <c r="U907">
        <f>_xll.ICEHistory(S$4,U$5,"DF[dow:12345][tl:Calendar]",$L907)</f>
        <v>16.95</v>
      </c>
      <c r="V907">
        <f>_xll.ICEHistory(S$4,V$5,"DF[dow:12345][tl:Calendar]",$L907)</f>
        <v>17.62</v>
      </c>
      <c r="W907">
        <f>_xll.ICEHistory(S$4,W$5,"DF[dow:12345][tl:Calendar]",$L907)</f>
        <v>598</v>
      </c>
      <c r="X907">
        <f t="shared" si="42"/>
        <v>8.1315319908233444E-2</v>
      </c>
      <c r="Y907">
        <f t="shared" si="43"/>
        <v>3.2599258152425485</v>
      </c>
      <c r="Z907">
        <f t="shared" si="44"/>
        <v>1.6273645390586169</v>
      </c>
    </row>
    <row r="908" spans="12:26" x14ac:dyDescent="0.25">
      <c r="L908" s="4">
        <f>_xll.ICETimeline(_xll.ICEJoinRange(M4:W4),"DF[dow:12345][tl:Calendar]","2020-07-26;2024-07-26",143,-1)</f>
        <v>44238.5</v>
      </c>
      <c r="M908">
        <f>_xll.ICEHistory(M$4,M$5,"DF[dow:12345][tl:Calendar]",$L908)</f>
        <v>39.229999999999997</v>
      </c>
      <c r="N908">
        <f>_xll.ICEHistory(M$4,N$5,"DF[dow:12345][tl:Calendar]",$L908)</f>
        <v>40.119999999999997</v>
      </c>
      <c r="O908">
        <f>_xll.ICEHistory(M$4,O$5,"DF[dow:12345][tl:Calendar]",$L908)</f>
        <v>38.299999999999997</v>
      </c>
      <c r="P908">
        <f>_xll.ICEHistory(M$4,P$5,"DF[dow:12345][tl:Calendar]",$L908)</f>
        <v>38.76</v>
      </c>
      <c r="Q908">
        <f>_xll.ICEHistory(M$4,Q$5,"DF[dow:12345][tl:Calendar]",$L908)</f>
        <v>55640</v>
      </c>
      <c r="R908">
        <f>_xll.ICEHistory(M$4,R$5,"DF[dow:12345][tl:Calendar]",$L908)</f>
        <v>445935</v>
      </c>
      <c r="S908">
        <f>_xll.ICEHistory(S$4,S$5,"DF[dow:12345][tl:Calendar]",$L908)</f>
        <v>18.149999999999999</v>
      </c>
      <c r="T908">
        <f>_xll.ICEHistory(S$4,T$5,"DF[dow:12345][tl:Calendar]",$L908)</f>
        <v>18.149999999999999</v>
      </c>
      <c r="U908">
        <f>_xll.ICEHistory(S$4,U$5,"DF[dow:12345][tl:Calendar]",$L908)</f>
        <v>17.375</v>
      </c>
      <c r="V908">
        <f>_xll.ICEHistory(S$4,V$5,"DF[dow:12345][tl:Calendar]",$L908)</f>
        <v>17.375</v>
      </c>
      <c r="W908">
        <f>_xll.ICEHistory(S$4,W$5,"DF[dow:12345][tl:Calendar]",$L908)</f>
        <v>1628</v>
      </c>
      <c r="X908">
        <f t="shared" si="42"/>
        <v>4.7643979057591629E-2</v>
      </c>
      <c r="Y908">
        <f t="shared" si="43"/>
        <v>0.93794761743192778</v>
      </c>
      <c r="Z908">
        <f t="shared" si="44"/>
        <v>2.4807384546762181</v>
      </c>
    </row>
    <row r="909" spans="12:26" x14ac:dyDescent="0.25">
      <c r="L909" s="4">
        <f>_xll.ICETimeline(_xll.ICEJoinRange(M4:W4),"DF[dow:12345][tl:Calendar]","2020-07-26;2024-07-26",142,-1)</f>
        <v>44237.5</v>
      </c>
      <c r="M909">
        <f>_xll.ICEHistory(M$4,M$5,"DF[dow:12345][tl:Calendar]",$L909)</f>
        <v>38.200000000000003</v>
      </c>
      <c r="N909">
        <f>_xll.ICEHistory(M$4,N$5,"DF[dow:12345][tl:Calendar]",$L909)</f>
        <v>39.72</v>
      </c>
      <c r="O909">
        <f>_xll.ICEHistory(M$4,O$5,"DF[dow:12345][tl:Calendar]",$L909)</f>
        <v>37.56</v>
      </c>
      <c r="P909">
        <f>_xll.ICEHistory(M$4,P$5,"DF[dow:12345][tl:Calendar]",$L909)</f>
        <v>39.33</v>
      </c>
      <c r="Q909">
        <f>_xll.ICEHistory(M$4,Q$5,"DF[dow:12345][tl:Calendar]",$L909)</f>
        <v>38793</v>
      </c>
      <c r="R909">
        <f>_xll.ICEHistory(M$4,R$5,"DF[dow:12345][tl:Calendar]",$L909)</f>
        <v>458274</v>
      </c>
      <c r="S909">
        <f>_xll.ICEHistory(S$4,S$5,"DF[dow:12345][tl:Calendar]",$L909)</f>
        <v>18.850000000000001</v>
      </c>
      <c r="T909">
        <f>_xll.ICEHistory(S$4,T$5,"DF[dow:12345][tl:Calendar]",$L909)</f>
        <v>19.024999999999999</v>
      </c>
      <c r="U909">
        <f>_xll.ICEHistory(S$4,U$5,"DF[dow:12345][tl:Calendar]",$L909)</f>
        <v>18.45</v>
      </c>
      <c r="V909">
        <f>_xll.ICEHistory(S$4,V$5,"DF[dow:12345][tl:Calendar]",$L909)</f>
        <v>18.559999999999999</v>
      </c>
      <c r="W909">
        <f>_xll.ICEHistory(S$4,W$5,"DF[dow:12345][tl:Calendar]",$L909)</f>
        <v>505</v>
      </c>
      <c r="X909">
        <f t="shared" si="42"/>
        <v>5.6692913385826681E-2</v>
      </c>
      <c r="Y909">
        <f t="shared" si="43"/>
        <v>1.6897079721510957</v>
      </c>
      <c r="Z909">
        <f t="shared" si="44"/>
        <v>1.1726875639935692</v>
      </c>
    </row>
    <row r="910" spans="12:26" x14ac:dyDescent="0.25">
      <c r="L910" s="4">
        <f>_xll.ICETimeline(_xll.ICEJoinRange(M4:W4),"DF[dow:12345][tl:Calendar]","2020-07-26;2024-07-26",141,-1)</f>
        <v>44236.5</v>
      </c>
      <c r="M910">
        <f>_xll.ICEHistory(M$4,M$5,"DF[dow:12345][tl:Calendar]",$L910)</f>
        <v>38.1</v>
      </c>
      <c r="N910">
        <f>_xll.ICEHistory(M$4,N$5,"DF[dow:12345][tl:Calendar]",$L910)</f>
        <v>38.729999999999997</v>
      </c>
      <c r="O910">
        <f>_xll.ICEHistory(M$4,O$5,"DF[dow:12345][tl:Calendar]",$L910)</f>
        <v>37.549999999999997</v>
      </c>
      <c r="P910">
        <f>_xll.ICEHistory(M$4,P$5,"DF[dow:12345][tl:Calendar]",$L910)</f>
        <v>38.26</v>
      </c>
      <c r="Q910">
        <f>_xll.ICEHistory(M$4,Q$5,"DF[dow:12345][tl:Calendar]",$L910)</f>
        <v>36918</v>
      </c>
      <c r="R910">
        <f>_xll.ICEHistory(M$4,R$5,"DF[dow:12345][tl:Calendar]",$L910)</f>
        <v>465943</v>
      </c>
      <c r="S910">
        <f>_xll.ICEHistory(S$4,S$5,"DF[dow:12345][tl:Calendar]",$L910)</f>
        <v>18.855</v>
      </c>
      <c r="T910">
        <f>_xll.ICEHistory(S$4,T$5,"DF[dow:12345][tl:Calendar]",$L910)</f>
        <v>19.305</v>
      </c>
      <c r="U910">
        <f>_xll.ICEHistory(S$4,U$5,"DF[dow:12345][tl:Calendar]",$L910)</f>
        <v>18.75</v>
      </c>
      <c r="V910">
        <f>_xll.ICEHistory(S$4,V$5,"DF[dow:12345][tl:Calendar]",$L910)</f>
        <v>19.045000000000002</v>
      </c>
      <c r="W910">
        <f>_xll.ICEHistory(S$4,W$5,"DF[dow:12345][tl:Calendar]",$L910)</f>
        <v>581</v>
      </c>
      <c r="X910">
        <f t="shared" si="42"/>
        <v>3.010204081632652E-2</v>
      </c>
      <c r="Y910">
        <f t="shared" si="43"/>
        <v>-0.42273026694348076</v>
      </c>
      <c r="Z910">
        <f t="shared" si="44"/>
        <v>1.0384800042768314</v>
      </c>
    </row>
    <row r="911" spans="12:26" x14ac:dyDescent="0.25">
      <c r="L911" s="4">
        <f>_xll.ICETimeline(_xll.ICEJoinRange(M4:W4),"DF[dow:12345][tl:Calendar]","2020-07-26;2024-07-26",140,-1)</f>
        <v>44235.5</v>
      </c>
      <c r="M911">
        <f>_xll.ICEHistory(M$4,M$5,"DF[dow:12345][tl:Calendar]",$L911)</f>
        <v>39.200000000000003</v>
      </c>
      <c r="N911">
        <f>_xll.ICEHistory(M$4,N$5,"DF[dow:12345][tl:Calendar]",$L911)</f>
        <v>39.799999999999997</v>
      </c>
      <c r="O911">
        <f>_xll.ICEHistory(M$4,O$5,"DF[dow:12345][tl:Calendar]",$L911)</f>
        <v>38.46</v>
      </c>
      <c r="P911">
        <f>_xll.ICEHistory(M$4,P$5,"DF[dow:12345][tl:Calendar]",$L911)</f>
        <v>38.61</v>
      </c>
      <c r="Q911">
        <f>_xll.ICEHistory(M$4,Q$5,"DF[dow:12345][tl:Calendar]",$L911)</f>
        <v>27552</v>
      </c>
      <c r="R911">
        <f>_xll.ICEHistory(M$4,R$5,"DF[dow:12345][tl:Calendar]",$L911)</f>
        <v>475208</v>
      </c>
      <c r="S911">
        <f>_xll.ICEHistory(S$4,S$5,"DF[dow:12345][tl:Calendar]",$L911)</f>
        <v>20.375</v>
      </c>
      <c r="T911">
        <f>_xll.ICEHistory(S$4,T$5,"DF[dow:12345][tl:Calendar]",$L911)</f>
        <v>20.375</v>
      </c>
      <c r="U911">
        <f>_xll.ICEHistory(S$4,U$5,"DF[dow:12345][tl:Calendar]",$L911)</f>
        <v>19.600000000000001</v>
      </c>
      <c r="V911">
        <f>_xll.ICEHistory(S$4,V$5,"DF[dow:12345][tl:Calendar]",$L911)</f>
        <v>20.18</v>
      </c>
      <c r="W911">
        <f>_xll.ICEHistory(S$4,W$5,"DF[dow:12345][tl:Calendar]",$L911)</f>
        <v>481</v>
      </c>
      <c r="X911">
        <f t="shared" si="42"/>
        <v>3.5828877005347495E-2</v>
      </c>
      <c r="Y911">
        <f t="shared" si="43"/>
        <v>5.5758103170769804E-2</v>
      </c>
      <c r="Z911">
        <f t="shared" si="44"/>
        <v>0.21430697626681422</v>
      </c>
    </row>
    <row r="912" spans="12:26" x14ac:dyDescent="0.25">
      <c r="L912" s="4">
        <f>_xll.ICETimeline(_xll.ICEJoinRange(M4:W4),"DF[dow:12345][tl:Calendar]","2020-07-26;2024-07-26",139,-1)</f>
        <v>44232.5</v>
      </c>
      <c r="M912">
        <f>_xll.ICEHistory(M$4,M$5,"DF[dow:12345][tl:Calendar]",$L912)</f>
        <v>37.4</v>
      </c>
      <c r="N912">
        <f>_xll.ICEHistory(M$4,N$5,"DF[dow:12345][tl:Calendar]",$L912)</f>
        <v>38.729999999999997</v>
      </c>
      <c r="O912">
        <f>_xll.ICEHistory(M$4,O$5,"DF[dow:12345][tl:Calendar]",$L912)</f>
        <v>37.200000000000003</v>
      </c>
      <c r="P912">
        <f>_xll.ICEHistory(M$4,P$5,"DF[dow:12345][tl:Calendar]",$L912)</f>
        <v>38.200000000000003</v>
      </c>
      <c r="Q912">
        <f>_xll.ICEHistory(M$4,Q$5,"DF[dow:12345][tl:Calendar]",$L912)</f>
        <v>32162</v>
      </c>
      <c r="R912">
        <f>_xll.ICEHistory(M$4,R$5,"DF[dow:12345][tl:Calendar]",$L912)</f>
        <v>474391</v>
      </c>
      <c r="S912">
        <f>_xll.ICEHistory(S$4,S$5,"DF[dow:12345][tl:Calendar]",$L912)</f>
        <v>18.55</v>
      </c>
      <c r="T912">
        <f>_xll.ICEHistory(S$4,T$5,"DF[dow:12345][tl:Calendar]",$L912)</f>
        <v>18.899999999999999</v>
      </c>
      <c r="U912">
        <f>_xll.ICEHistory(S$4,U$5,"DF[dow:12345][tl:Calendar]",$L912)</f>
        <v>18.3</v>
      </c>
      <c r="V912">
        <f>_xll.ICEHistory(S$4,V$5,"DF[dow:12345][tl:Calendar]",$L912)</f>
        <v>18.38</v>
      </c>
      <c r="W912">
        <f>_xll.ICEHistory(S$4,W$5,"DF[dow:12345][tl:Calendar]",$L912)</f>
        <v>1046</v>
      </c>
      <c r="X912">
        <f t="shared" si="42"/>
        <v>4.074567243675084E-2</v>
      </c>
      <c r="Y912">
        <f t="shared" si="43"/>
        <v>0.38716714521317169</v>
      </c>
      <c r="Z912">
        <f t="shared" si="44"/>
        <v>0.6134048407951268</v>
      </c>
    </row>
    <row r="913" spans="12:26" x14ac:dyDescent="0.25">
      <c r="L913" s="4">
        <f>_xll.ICETimeline(_xll.ICEJoinRange(M4:W4),"DF[dow:12345][tl:Calendar]","2020-07-26;2024-07-26",138,-1)</f>
        <v>44231.5</v>
      </c>
      <c r="M913">
        <f>_xll.ICEHistory(M$4,M$5,"DF[dow:12345][tl:Calendar]",$L913)</f>
        <v>37.549999999999997</v>
      </c>
      <c r="N913">
        <f>_xll.ICEHistory(M$4,N$5,"DF[dow:12345][tl:Calendar]",$L913)</f>
        <v>38.25</v>
      </c>
      <c r="O913">
        <f>_xll.ICEHistory(M$4,O$5,"DF[dow:12345][tl:Calendar]",$L913)</f>
        <v>36.57</v>
      </c>
      <c r="P913">
        <f>_xll.ICEHistory(M$4,P$5,"DF[dow:12345][tl:Calendar]",$L913)</f>
        <v>37.270000000000003</v>
      </c>
      <c r="Q913">
        <f>_xll.ICEHistory(M$4,Q$5,"DF[dow:12345][tl:Calendar]",$L913)</f>
        <v>34498</v>
      </c>
      <c r="R913">
        <f>_xll.ICEHistory(M$4,R$5,"DF[dow:12345][tl:Calendar]",$L913)</f>
        <v>472964</v>
      </c>
      <c r="S913">
        <f>_xll.ICEHistory(S$4,S$5,"DF[dow:12345][tl:Calendar]",$L913)</f>
        <v>17.850000000000001</v>
      </c>
      <c r="T913">
        <f>_xll.ICEHistory(S$4,T$5,"DF[dow:12345][tl:Calendar]",$L913)</f>
        <v>18.350000000000001</v>
      </c>
      <c r="U913">
        <f>_xll.ICEHistory(S$4,U$5,"DF[dow:12345][tl:Calendar]",$L913)</f>
        <v>17.75</v>
      </c>
      <c r="V913">
        <f>_xll.ICEHistory(S$4,V$5,"DF[dow:12345][tl:Calendar]",$L913)</f>
        <v>18.12</v>
      </c>
      <c r="W913">
        <f>_xll.ICEHistory(S$4,W$5,"DF[dow:12345][tl:Calendar]",$L913)</f>
        <v>799</v>
      </c>
      <c r="X913">
        <f t="shared" si="42"/>
        <v>4.7931526390870179E-2</v>
      </c>
      <c r="Y913">
        <f t="shared" si="43"/>
        <v>0.94193856855291758</v>
      </c>
      <c r="Z913">
        <f t="shared" si="44"/>
        <v>0.82499550164498558</v>
      </c>
    </row>
    <row r="914" spans="12:26" x14ac:dyDescent="0.25">
      <c r="L914" s="4">
        <f>_xll.ICETimeline(_xll.ICEJoinRange(M4:W4),"DF[dow:12345][tl:Calendar]","2020-07-26;2024-07-26",137,-1)</f>
        <v>44230.5</v>
      </c>
      <c r="M914">
        <f>_xll.ICEHistory(M$4,M$5,"DF[dow:12345][tl:Calendar]",$L914)</f>
        <v>35.049999999999997</v>
      </c>
      <c r="N914">
        <f>_xll.ICEHistory(M$4,N$5,"DF[dow:12345][tl:Calendar]",$L914)</f>
        <v>37.85</v>
      </c>
      <c r="O914">
        <f>_xll.ICEHistory(M$4,O$5,"DF[dow:12345][tl:Calendar]",$L914)</f>
        <v>34.78</v>
      </c>
      <c r="P914">
        <f>_xll.ICEHistory(M$4,P$5,"DF[dow:12345][tl:Calendar]",$L914)</f>
        <v>37.43</v>
      </c>
      <c r="Q914">
        <f>_xll.ICEHistory(M$4,Q$5,"DF[dow:12345][tl:Calendar]",$L914)</f>
        <v>50384</v>
      </c>
      <c r="R914">
        <f>_xll.ICEHistory(M$4,R$5,"DF[dow:12345][tl:Calendar]",$L914)</f>
        <v>472077</v>
      </c>
      <c r="S914">
        <f>_xll.ICEHistory(S$4,S$5,"DF[dow:12345][tl:Calendar]",$L914)</f>
        <v>17.649999999999999</v>
      </c>
      <c r="T914">
        <f>_xll.ICEHistory(S$4,T$5,"DF[dow:12345][tl:Calendar]",$L914)</f>
        <v>17.855</v>
      </c>
      <c r="U914">
        <f>_xll.ICEHistory(S$4,U$5,"DF[dow:12345][tl:Calendar]",$L914)</f>
        <v>17.350000000000001</v>
      </c>
      <c r="V914">
        <f>_xll.ICEHistory(S$4,V$5,"DF[dow:12345][tl:Calendar]",$L914)</f>
        <v>17.855</v>
      </c>
      <c r="W914">
        <f>_xll.ICEHistory(S$4,W$5,"DF[dow:12345][tl:Calendar]",$L914)</f>
        <v>432</v>
      </c>
      <c r="X914">
        <f t="shared" si="42"/>
        <v>9.3002120569524407E-2</v>
      </c>
      <c r="Y914">
        <f t="shared" si="43"/>
        <v>4.3284075660713359</v>
      </c>
      <c r="Z914">
        <f t="shared" si="44"/>
        <v>2.2346848617325525</v>
      </c>
    </row>
    <row r="915" spans="12:26" x14ac:dyDescent="0.25">
      <c r="L915" s="4">
        <f>_xll.ICETimeline(_xll.ICEJoinRange(M4:W4),"DF[dow:12345][tl:Calendar]","2020-07-26;2024-07-26",136,-1)</f>
        <v>44229.5</v>
      </c>
      <c r="M915">
        <f>_xll.ICEHistory(M$4,M$5,"DF[dow:12345][tl:Calendar]",$L915)</f>
        <v>33.01</v>
      </c>
      <c r="N915">
        <f>_xll.ICEHistory(M$4,N$5,"DF[dow:12345][tl:Calendar]",$L915)</f>
        <v>35.200000000000003</v>
      </c>
      <c r="O915">
        <f>_xll.ICEHistory(M$4,O$5,"DF[dow:12345][tl:Calendar]",$L915)</f>
        <v>33</v>
      </c>
      <c r="P915">
        <f>_xll.ICEHistory(M$4,P$5,"DF[dow:12345][tl:Calendar]",$L915)</f>
        <v>34.97</v>
      </c>
      <c r="Q915">
        <f>_xll.ICEHistory(M$4,Q$5,"DF[dow:12345][tl:Calendar]",$L915)</f>
        <v>37713</v>
      </c>
      <c r="R915">
        <f>_xll.ICEHistory(M$4,R$5,"DF[dow:12345][tl:Calendar]",$L915)</f>
        <v>472661</v>
      </c>
      <c r="S915">
        <f>_xll.ICEHistory(S$4,S$5,"DF[dow:12345][tl:Calendar]",$L915)</f>
        <v>18.2</v>
      </c>
      <c r="T915">
        <f>_xll.ICEHistory(S$4,T$5,"DF[dow:12345][tl:Calendar]",$L915)</f>
        <v>18.5</v>
      </c>
      <c r="U915">
        <f>_xll.ICEHistory(S$4,U$5,"DF[dow:12345][tl:Calendar]",$L915)</f>
        <v>18.105</v>
      </c>
      <c r="V915">
        <f>_xll.ICEHistory(S$4,V$5,"DF[dow:12345][tl:Calendar]",$L915)</f>
        <v>18.25</v>
      </c>
      <c r="W915">
        <f>_xll.ICEHistory(S$4,W$5,"DF[dow:12345][tl:Calendar]",$L915)</f>
        <v>347</v>
      </c>
      <c r="X915">
        <f t="shared" si="42"/>
        <v>6.6767830045523599E-2</v>
      </c>
      <c r="Y915">
        <f t="shared" si="43"/>
        <v>2.7334127696380359</v>
      </c>
      <c r="Z915">
        <f t="shared" si="44"/>
        <v>1.1903214023266981</v>
      </c>
    </row>
    <row r="916" spans="12:26" x14ac:dyDescent="0.25">
      <c r="L916" s="4">
        <f>_xll.ICETimeline(_xll.ICEJoinRange(M4:W4),"DF[dow:12345][tl:Calendar]","2020-07-26;2024-07-26",135,-1)</f>
        <v>44228.5</v>
      </c>
      <c r="M916">
        <f>_xll.ICEHistory(M$4,M$5,"DF[dow:12345][tl:Calendar]",$L916)</f>
        <v>32.950000000000003</v>
      </c>
      <c r="N916">
        <f>_xll.ICEHistory(M$4,N$5,"DF[dow:12345][tl:Calendar]",$L916)</f>
        <v>33.4</v>
      </c>
      <c r="O916">
        <f>_xll.ICEHistory(M$4,O$5,"DF[dow:12345][tl:Calendar]",$L916)</f>
        <v>32.56</v>
      </c>
      <c r="P916">
        <f>_xll.ICEHistory(M$4,P$5,"DF[dow:12345][tl:Calendar]",$L916)</f>
        <v>32.85</v>
      </c>
      <c r="Q916">
        <f>_xll.ICEHistory(M$4,Q$5,"DF[dow:12345][tl:Calendar]",$L916)</f>
        <v>25781</v>
      </c>
      <c r="R916">
        <f>_xll.ICEHistory(M$4,R$5,"DF[dow:12345][tl:Calendar]",$L916)</f>
        <v>469986</v>
      </c>
      <c r="S916">
        <f>_xll.ICEHistory(S$4,S$5,"DF[dow:12345][tl:Calendar]",$L916)</f>
        <v>19.05</v>
      </c>
      <c r="T916">
        <f>_xll.ICEHistory(S$4,T$5,"DF[dow:12345][tl:Calendar]",$L916)</f>
        <v>19.05</v>
      </c>
      <c r="U916">
        <f>_xll.ICEHistory(S$4,U$5,"DF[dow:12345][tl:Calendar]",$L916)</f>
        <v>17.875</v>
      </c>
      <c r="V916">
        <f>_xll.ICEHistory(S$4,V$5,"DF[dow:12345][tl:Calendar]",$L916)</f>
        <v>18.14</v>
      </c>
      <c r="W916">
        <f>_xll.ICEHistory(S$4,W$5,"DF[dow:12345][tl:Calendar]",$L916)</f>
        <v>837</v>
      </c>
      <c r="X916">
        <f t="shared" si="42"/>
        <v>2.4742268041237001E-2</v>
      </c>
      <c r="Y916">
        <f t="shared" si="43"/>
        <v>-0.92752827043484765</v>
      </c>
      <c r="Z916">
        <f t="shared" si="44"/>
        <v>0.10829861402970142</v>
      </c>
    </row>
    <row r="917" spans="12:26" x14ac:dyDescent="0.25">
      <c r="L917" s="4">
        <f>_xll.ICETimeline(_xll.ICEJoinRange(M4:W4),"DF[dow:12345][tl:Calendar]","2020-07-26;2024-07-26",134,-1)</f>
        <v>44225.5</v>
      </c>
      <c r="M917">
        <f>_xll.ICEHistory(M$4,M$5,"DF[dow:12345][tl:Calendar]",$L917)</f>
        <v>33.950000000000003</v>
      </c>
      <c r="N917">
        <f>_xll.ICEHistory(M$4,N$5,"DF[dow:12345][tl:Calendar]",$L917)</f>
        <v>33.950000000000003</v>
      </c>
      <c r="O917">
        <f>_xll.ICEHistory(M$4,O$5,"DF[dow:12345][tl:Calendar]",$L917)</f>
        <v>32.909999999999997</v>
      </c>
      <c r="P917">
        <f>_xll.ICEHistory(M$4,P$5,"DF[dow:12345][tl:Calendar]",$L917)</f>
        <v>32.950000000000003</v>
      </c>
      <c r="Q917">
        <f>_xll.ICEHistory(M$4,Q$5,"DF[dow:12345][tl:Calendar]",$L917)</f>
        <v>25425</v>
      </c>
      <c r="R917">
        <f>_xll.ICEHistory(M$4,R$5,"DF[dow:12345][tl:Calendar]",$L917)</f>
        <v>472526</v>
      </c>
      <c r="S917">
        <f>_xll.ICEHistory(S$4,S$5,"DF[dow:12345][tl:Calendar]",$L917)</f>
        <v>20.6</v>
      </c>
      <c r="T917">
        <f>_xll.ICEHistory(S$4,T$5,"DF[dow:12345][tl:Calendar]",$L917)</f>
        <v>20.6</v>
      </c>
      <c r="U917">
        <f>_xll.ICEHistory(S$4,U$5,"DF[dow:12345][tl:Calendar]",$L917)</f>
        <v>19.594999999999999</v>
      </c>
      <c r="V917">
        <f>_xll.ICEHistory(S$4,V$5,"DF[dow:12345][tl:Calendar]",$L917)</f>
        <v>19.82</v>
      </c>
      <c r="W917">
        <f>_xll.ICEHistory(S$4,W$5,"DF[dow:12345][tl:Calendar]",$L917)</f>
        <v>441</v>
      </c>
      <c r="X917">
        <f t="shared" si="42"/>
        <v>3.0989272943981114E-2</v>
      </c>
      <c r="Y917">
        <f t="shared" si="43"/>
        <v>-0.38255260661722951</v>
      </c>
      <c r="Z917">
        <f t="shared" si="44"/>
        <v>7.8862685733425308E-2</v>
      </c>
    </row>
    <row r="918" spans="12:26" x14ac:dyDescent="0.25">
      <c r="L918" s="4">
        <f>_xll.ICETimeline(_xll.ICEJoinRange(M4:W4),"DF[dow:12345][tl:Calendar]","2020-07-26;2024-07-26",133,-1)</f>
        <v>44224.5</v>
      </c>
      <c r="M918">
        <f>_xll.ICEHistory(M$4,M$5,"DF[dow:12345][tl:Calendar]",$L918)</f>
        <v>33.56</v>
      </c>
      <c r="N918">
        <f>_xll.ICEHistory(M$4,N$5,"DF[dow:12345][tl:Calendar]",$L918)</f>
        <v>33.97</v>
      </c>
      <c r="O918">
        <f>_xll.ICEHistory(M$4,O$5,"DF[dow:12345][tl:Calendar]",$L918)</f>
        <v>32.89</v>
      </c>
      <c r="P918">
        <f>_xll.ICEHistory(M$4,P$5,"DF[dow:12345][tl:Calendar]",$L918)</f>
        <v>33.950000000000003</v>
      </c>
      <c r="Q918">
        <f>_xll.ICEHistory(M$4,Q$5,"DF[dow:12345][tl:Calendar]",$L918)</f>
        <v>20572</v>
      </c>
      <c r="R918">
        <f>_xll.ICEHistory(M$4,R$5,"DF[dow:12345][tl:Calendar]",$L918)</f>
        <v>474718</v>
      </c>
      <c r="S918">
        <f>_xll.ICEHistory(S$4,S$5,"DF[dow:12345][tl:Calendar]",$L918)</f>
        <v>20.6</v>
      </c>
      <c r="T918">
        <f>_xll.ICEHistory(S$4,T$5,"DF[dow:12345][tl:Calendar]",$L918)</f>
        <v>20.91</v>
      </c>
      <c r="U918">
        <f>_xll.ICEHistory(S$4,U$5,"DF[dow:12345][tl:Calendar]",$L918)</f>
        <v>20.350000000000001</v>
      </c>
      <c r="V918">
        <f>_xll.ICEHistory(S$4,V$5,"DF[dow:12345][tl:Calendar]",$L918)</f>
        <v>20.91</v>
      </c>
      <c r="W918">
        <f>_xll.ICEHistory(S$4,W$5,"DF[dow:12345][tl:Calendar]",$L918)</f>
        <v>0</v>
      </c>
      <c r="X918">
        <f t="shared" si="42"/>
        <v>3.2393521295740794E-2</v>
      </c>
      <c r="Y918">
        <f t="shared" si="43"/>
        <v>-0.27344317980569555</v>
      </c>
      <c r="Z918">
        <f t="shared" si="44"/>
        <v>-0.37687238645337473</v>
      </c>
    </row>
    <row r="919" spans="12:26" x14ac:dyDescent="0.25">
      <c r="L919" s="4">
        <f>_xll.ICETimeline(_xll.ICEJoinRange(M4:W4),"DF[dow:12345][tl:Calendar]","2020-07-26;2024-07-26",132,-1)</f>
        <v>44223.5</v>
      </c>
      <c r="M919">
        <f>_xll.ICEHistory(M$4,M$5,"DF[dow:12345][tl:Calendar]",$L919)</f>
        <v>33.340000000000003</v>
      </c>
      <c r="N919">
        <f>_xll.ICEHistory(M$4,N$5,"DF[dow:12345][tl:Calendar]",$L919)</f>
        <v>33.450000000000003</v>
      </c>
      <c r="O919">
        <f>_xll.ICEHistory(M$4,O$5,"DF[dow:12345][tl:Calendar]",$L919)</f>
        <v>32.22</v>
      </c>
      <c r="P919">
        <f>_xll.ICEHistory(M$4,P$5,"DF[dow:12345][tl:Calendar]",$L919)</f>
        <v>33.28</v>
      </c>
      <c r="Q919">
        <f>_xll.ICEHistory(M$4,Q$5,"DF[dow:12345][tl:Calendar]",$L919)</f>
        <v>24874</v>
      </c>
      <c r="R919">
        <f>_xll.ICEHistory(M$4,R$5,"DF[dow:12345][tl:Calendar]",$L919)</f>
        <v>476667</v>
      </c>
      <c r="S919">
        <f>_xll.ICEHistory(S$4,S$5,"DF[dow:12345][tl:Calendar]",$L919)</f>
        <v>19</v>
      </c>
      <c r="T919">
        <f>_xll.ICEHistory(S$4,T$5,"DF[dow:12345][tl:Calendar]",$L919)</f>
        <v>19.899999999999999</v>
      </c>
      <c r="U919">
        <f>_xll.ICEHistory(S$4,U$5,"DF[dow:12345][tl:Calendar]",$L919)</f>
        <v>18.899999999999999</v>
      </c>
      <c r="V919">
        <f>_xll.ICEHistory(S$4,V$5,"DF[dow:12345][tl:Calendar]",$L919)</f>
        <v>19.7</v>
      </c>
      <c r="W919">
        <f>_xll.ICEHistory(S$4,W$5,"DF[dow:12345][tl:Calendar]",$L919)</f>
        <v>382</v>
      </c>
      <c r="X919">
        <f t="shared" si="42"/>
        <v>3.7216338880484236E-2</v>
      </c>
      <c r="Y919">
        <f t="shared" si="43"/>
        <v>0.14036454806215801</v>
      </c>
      <c r="Z919">
        <f t="shared" si="44"/>
        <v>-4.8762089708238307E-5</v>
      </c>
    </row>
    <row r="920" spans="12:26" x14ac:dyDescent="0.25">
      <c r="L920" s="4">
        <f>_xll.ICETimeline(_xll.ICEJoinRange(M4:W4),"DF[dow:12345][tl:Calendar]","2020-07-26;2024-07-26",131,-1)</f>
        <v>44222.5</v>
      </c>
      <c r="M920">
        <f>_xll.ICEHistory(M$4,M$5,"DF[dow:12345][tl:Calendar]",$L920)</f>
        <v>33.049999999999997</v>
      </c>
      <c r="N920">
        <f>_xll.ICEHistory(M$4,N$5,"DF[dow:12345][tl:Calendar]",$L920)</f>
        <v>33.6</v>
      </c>
      <c r="O920">
        <f>_xll.ICEHistory(M$4,O$5,"DF[dow:12345][tl:Calendar]",$L920)</f>
        <v>32.81</v>
      </c>
      <c r="P920">
        <f>_xll.ICEHistory(M$4,P$5,"DF[dow:12345][tl:Calendar]",$L920)</f>
        <v>33.35</v>
      </c>
      <c r="Q920">
        <f>_xll.ICEHistory(M$4,Q$5,"DF[dow:12345][tl:Calendar]",$L920)</f>
        <v>21859</v>
      </c>
      <c r="R920">
        <f>_xll.ICEHistory(M$4,R$5,"DF[dow:12345][tl:Calendar]",$L920)</f>
        <v>476936</v>
      </c>
      <c r="S920">
        <f>_xll.ICEHistory(S$4,S$5,"DF[dow:12345][tl:Calendar]",$L920)</f>
        <v>19.8</v>
      </c>
      <c r="T920">
        <f>_xll.ICEHistory(S$4,T$5,"DF[dow:12345][tl:Calendar]",$L920)</f>
        <v>20.074999999999999</v>
      </c>
      <c r="U920">
        <f>_xll.ICEHistory(S$4,U$5,"DF[dow:12345][tl:Calendar]",$L920)</f>
        <v>19.175000000000001</v>
      </c>
      <c r="V920">
        <f>_xll.ICEHistory(S$4,V$5,"DF[dow:12345][tl:Calendar]",$L920)</f>
        <v>19.510000000000002</v>
      </c>
      <c r="W920">
        <f>_xll.ICEHistory(S$4,W$5,"DF[dow:12345][tl:Calendar]",$L920)</f>
        <v>785</v>
      </c>
      <c r="X920">
        <f t="shared" si="42"/>
        <v>2.2898550724637656E-2</v>
      </c>
      <c r="Y920">
        <f t="shared" si="43"/>
        <v>-1.1504578391988585</v>
      </c>
      <c r="Z920">
        <f t="shared" si="44"/>
        <v>-0.27818431598857368</v>
      </c>
    </row>
    <row r="921" spans="12:26" x14ac:dyDescent="0.25">
      <c r="L921" s="4">
        <f>_xll.ICETimeline(_xll.ICEJoinRange(M4:W4),"DF[dow:12345][tl:Calendar]","2020-07-26;2024-07-26",130,-1)</f>
        <v>44221.5</v>
      </c>
      <c r="M921">
        <f>_xll.ICEHistory(M$4,M$5,"DF[dow:12345][tl:Calendar]",$L921)</f>
        <v>34.5</v>
      </c>
      <c r="N921">
        <f>_xll.ICEHistory(M$4,N$5,"DF[dow:12345][tl:Calendar]",$L921)</f>
        <v>34.69</v>
      </c>
      <c r="O921">
        <f>_xll.ICEHistory(M$4,O$5,"DF[dow:12345][tl:Calendar]",$L921)</f>
        <v>33.08</v>
      </c>
      <c r="P921">
        <f>_xll.ICEHistory(M$4,P$5,"DF[dow:12345][tl:Calendar]",$L921)</f>
        <v>33.159999999999997</v>
      </c>
      <c r="Q921">
        <f>_xll.ICEHistory(M$4,Q$5,"DF[dow:12345][tl:Calendar]",$L921)</f>
        <v>22721</v>
      </c>
      <c r="R921">
        <f>_xll.ICEHistory(M$4,R$5,"DF[dow:12345][tl:Calendar]",$L921)</f>
        <v>479990</v>
      </c>
      <c r="S921">
        <f>_xll.ICEHistory(S$4,S$5,"DF[dow:12345][tl:Calendar]",$L921)</f>
        <v>22.15</v>
      </c>
      <c r="T921">
        <f>_xll.ICEHistory(S$4,T$5,"DF[dow:12345][tl:Calendar]",$L921)</f>
        <v>22.15</v>
      </c>
      <c r="U921">
        <f>_xll.ICEHistory(S$4,U$5,"DF[dow:12345][tl:Calendar]",$L921)</f>
        <v>20.05</v>
      </c>
      <c r="V921">
        <f>_xll.ICEHistory(S$4,V$5,"DF[dow:12345][tl:Calendar]",$L921)</f>
        <v>20.16</v>
      </c>
      <c r="W921">
        <f>_xll.ICEHistory(S$4,W$5,"DF[dow:12345][tl:Calendar]",$L921)</f>
        <v>1048</v>
      </c>
      <c r="X921">
        <f t="shared" si="42"/>
        <v>4.7007299270072973E-2</v>
      </c>
      <c r="Y921">
        <f t="shared" si="43"/>
        <v>1.0135810910783531</v>
      </c>
      <c r="Z921">
        <f t="shared" si="44"/>
        <v>-0.20189035808692116</v>
      </c>
    </row>
    <row r="922" spans="12:26" x14ac:dyDescent="0.25">
      <c r="L922" s="4">
        <f>_xll.ICETimeline(_xll.ICEJoinRange(M4:W4),"DF[dow:12345][tl:Calendar]","2020-07-26;2024-07-26",129,-1)</f>
        <v>44218.5</v>
      </c>
      <c r="M922">
        <f>_xll.ICEHistory(M$4,M$5,"DF[dow:12345][tl:Calendar]",$L922)</f>
        <v>34.25</v>
      </c>
      <c r="N922">
        <f>_xll.ICEHistory(M$4,N$5,"DF[dow:12345][tl:Calendar]",$L922)</f>
        <v>34.29</v>
      </c>
      <c r="O922">
        <f>_xll.ICEHistory(M$4,O$5,"DF[dow:12345][tl:Calendar]",$L922)</f>
        <v>33.54</v>
      </c>
      <c r="P922">
        <f>_xll.ICEHistory(M$4,P$5,"DF[dow:12345][tl:Calendar]",$L922)</f>
        <v>34.24</v>
      </c>
      <c r="Q922">
        <f>_xll.ICEHistory(M$4,Q$5,"DF[dow:12345][tl:Calendar]",$L922)</f>
        <v>16725</v>
      </c>
      <c r="R922">
        <f>_xll.ICEHistory(M$4,R$5,"DF[dow:12345][tl:Calendar]",$L922)</f>
        <v>482237</v>
      </c>
      <c r="S922">
        <f>_xll.ICEHistory(S$4,S$5,"DF[dow:12345][tl:Calendar]",$L922)</f>
        <v>20.75</v>
      </c>
      <c r="T922">
        <f>_xll.ICEHistory(S$4,T$5,"DF[dow:12345][tl:Calendar]",$L922)</f>
        <v>21.5</v>
      </c>
      <c r="U922">
        <f>_xll.ICEHistory(S$4,U$5,"DF[dow:12345][tl:Calendar]",$L922)</f>
        <v>20.75</v>
      </c>
      <c r="V922">
        <f>_xll.ICEHistory(S$4,V$5,"DF[dow:12345][tl:Calendar]",$L922)</f>
        <v>21.484999999999999</v>
      </c>
      <c r="W922">
        <f>_xll.ICEHistory(S$4,W$5,"DF[dow:12345][tl:Calendar]",$L922)</f>
        <v>936</v>
      </c>
      <c r="X922">
        <f t="shared" si="42"/>
        <v>2.2761760242792108E-2</v>
      </c>
      <c r="Y922">
        <f t="shared" si="43"/>
        <v>-1.1700546492608812</v>
      </c>
      <c r="Z922">
        <f t="shared" si="44"/>
        <v>-0.76361376784741652</v>
      </c>
    </row>
    <row r="923" spans="12:26" x14ac:dyDescent="0.25">
      <c r="L923" s="4">
        <f>_xll.ICETimeline(_xll.ICEJoinRange(M4:W4),"DF[dow:12345][tl:Calendar]","2020-07-26;2024-07-26",128,-1)</f>
        <v>44217.5</v>
      </c>
      <c r="M923">
        <f>_xll.ICEHistory(M$4,M$5,"DF[dow:12345][tl:Calendar]",$L923)</f>
        <v>32.950000000000003</v>
      </c>
      <c r="N923">
        <f>_xll.ICEHistory(M$4,N$5,"DF[dow:12345][tl:Calendar]",$L923)</f>
        <v>34.200000000000003</v>
      </c>
      <c r="O923">
        <f>_xll.ICEHistory(M$4,O$5,"DF[dow:12345][tl:Calendar]",$L923)</f>
        <v>32.56</v>
      </c>
      <c r="P923">
        <f>_xll.ICEHistory(M$4,P$5,"DF[dow:12345][tl:Calendar]",$L923)</f>
        <v>34.11</v>
      </c>
      <c r="Q923">
        <f>_xll.ICEHistory(M$4,Q$5,"DF[dow:12345][tl:Calendar]",$L923)</f>
        <v>21925</v>
      </c>
      <c r="R923">
        <f>_xll.ICEHistory(M$4,R$5,"DF[dow:12345][tl:Calendar]",$L923)</f>
        <v>482995</v>
      </c>
      <c r="S923">
        <f>_xll.ICEHistory(S$4,S$5,"DF[dow:12345][tl:Calendar]",$L923)</f>
        <v>19.824999999999999</v>
      </c>
      <c r="T923">
        <f>_xll.ICEHistory(S$4,T$5,"DF[dow:12345][tl:Calendar]",$L923)</f>
        <v>20.5</v>
      </c>
      <c r="U923">
        <f>_xll.ICEHistory(S$4,U$5,"DF[dow:12345][tl:Calendar]",$L923)</f>
        <v>19.55</v>
      </c>
      <c r="V923">
        <f>_xll.ICEHistory(S$4,V$5,"DF[dow:12345][tl:Calendar]",$L923)</f>
        <v>20.065000000000001</v>
      </c>
      <c r="W923">
        <f>_xll.ICEHistory(S$4,W$5,"DF[dow:12345][tl:Calendar]",$L923)</f>
        <v>433</v>
      </c>
      <c r="X923">
        <f t="shared" si="42"/>
        <v>4.9204920492049227E-2</v>
      </c>
      <c r="Y923">
        <f t="shared" si="43"/>
        <v>1.0111074894767265</v>
      </c>
      <c r="Z923">
        <f t="shared" si="44"/>
        <v>-0.30332957676815708</v>
      </c>
    </row>
    <row r="924" spans="12:26" x14ac:dyDescent="0.25">
      <c r="L924" s="4">
        <f>_xll.ICETimeline(_xll.ICEJoinRange(M4:W4),"DF[dow:12345][tl:Calendar]","2020-07-26;2024-07-26",127,-1)</f>
        <v>44216.5</v>
      </c>
      <c r="M924">
        <f>_xll.ICEHistory(M$4,M$5,"DF[dow:12345][tl:Calendar]",$L924)</f>
        <v>33.33</v>
      </c>
      <c r="N924">
        <f>_xll.ICEHistory(M$4,N$5,"DF[dow:12345][tl:Calendar]",$L924)</f>
        <v>33.700000000000003</v>
      </c>
      <c r="O924">
        <f>_xll.ICEHistory(M$4,O$5,"DF[dow:12345][tl:Calendar]",$L924)</f>
        <v>32.68</v>
      </c>
      <c r="P924">
        <f>_xll.ICEHistory(M$4,P$5,"DF[dow:12345][tl:Calendar]",$L924)</f>
        <v>32.909999999999997</v>
      </c>
      <c r="Q924">
        <f>_xll.ICEHistory(M$4,Q$5,"DF[dow:12345][tl:Calendar]",$L924)</f>
        <v>19674</v>
      </c>
      <c r="R924">
        <f>_xll.ICEHistory(M$4,R$5,"DF[dow:12345][tl:Calendar]",$L924)</f>
        <v>485186</v>
      </c>
      <c r="S924">
        <f>_xll.ICEHistory(S$4,S$5,"DF[dow:12345][tl:Calendar]",$L924)</f>
        <v>21.4</v>
      </c>
      <c r="T924">
        <f>_xll.ICEHistory(S$4,T$5,"DF[dow:12345][tl:Calendar]",$L924)</f>
        <v>21.6</v>
      </c>
      <c r="U924">
        <f>_xll.ICEHistory(S$4,U$5,"DF[dow:12345][tl:Calendar]",$L924)</f>
        <v>19.934999999999999</v>
      </c>
      <c r="V924">
        <f>_xll.ICEHistory(S$4,V$5,"DF[dow:12345][tl:Calendar]",$L924)</f>
        <v>20.260000000000002</v>
      </c>
      <c r="W924">
        <f>_xll.ICEHistory(S$4,W$5,"DF[dow:12345][tl:Calendar]",$L924)</f>
        <v>683</v>
      </c>
      <c r="X924">
        <f t="shared" si="42"/>
        <v>3.216650898770114E-2</v>
      </c>
      <c r="Y924">
        <f t="shared" si="43"/>
        <v>-0.38682902544321757</v>
      </c>
      <c r="Z924">
        <f t="shared" si="44"/>
        <v>-0.52882037827373296</v>
      </c>
    </row>
    <row r="925" spans="12:26" x14ac:dyDescent="0.25">
      <c r="L925" s="4">
        <f>_xll.ICETimeline(_xll.ICEJoinRange(M4:W4),"DF[dow:12345][tl:Calendar]","2020-07-26;2024-07-26",126,-1)</f>
        <v>44215.5</v>
      </c>
      <c r="M925">
        <f>_xll.ICEHistory(M$4,M$5,"DF[dow:12345][tl:Calendar]",$L925)</f>
        <v>31.71</v>
      </c>
      <c r="N925">
        <f>_xll.ICEHistory(M$4,N$5,"DF[dow:12345][tl:Calendar]",$L925)</f>
        <v>33.119999999999997</v>
      </c>
      <c r="O925">
        <f>_xll.ICEHistory(M$4,O$5,"DF[dow:12345][tl:Calendar]",$L925)</f>
        <v>31.71</v>
      </c>
      <c r="P925">
        <f>_xll.ICEHistory(M$4,P$5,"DF[dow:12345][tl:Calendar]",$L925)</f>
        <v>33.090000000000003</v>
      </c>
      <c r="Q925">
        <f>_xll.ICEHistory(M$4,Q$5,"DF[dow:12345][tl:Calendar]",$L925)</f>
        <v>25218</v>
      </c>
      <c r="R925">
        <f>_xll.ICEHistory(M$4,R$5,"DF[dow:12345][tl:Calendar]",$L925)</f>
        <v>485243</v>
      </c>
      <c r="S925">
        <f>_xll.ICEHistory(S$4,S$5,"DF[dow:12345][tl:Calendar]",$L925)</f>
        <v>19.100000000000001</v>
      </c>
      <c r="T925">
        <f>_xll.ICEHistory(S$4,T$5,"DF[dow:12345][tl:Calendar]",$L925)</f>
        <v>20.399999999999999</v>
      </c>
      <c r="U925">
        <f>_xll.ICEHistory(S$4,U$5,"DF[dow:12345][tl:Calendar]",$L925)</f>
        <v>18.899999999999999</v>
      </c>
      <c r="V925">
        <f>_xll.ICEHistory(S$4,V$5,"DF[dow:12345][tl:Calendar]",$L925)</f>
        <v>20.324999999999999</v>
      </c>
      <c r="W925">
        <f>_xll.ICEHistory(S$4,W$5,"DF[dow:12345][tl:Calendar]",$L925)</f>
        <v>1048</v>
      </c>
      <c r="X925">
        <f t="shared" si="42"/>
        <v>4.45920303605312E-2</v>
      </c>
      <c r="Y925">
        <f t="shared" si="43"/>
        <v>0.61875197590432807</v>
      </c>
      <c r="Z925">
        <f t="shared" si="44"/>
        <v>-3.6166784832351466E-2</v>
      </c>
    </row>
    <row r="926" spans="12:26" x14ac:dyDescent="0.25">
      <c r="L926" s="4">
        <f>_xll.ICETimeline(_xll.ICEJoinRange(M4:W4),"DF[dow:12345][tl:Calendar]","2020-07-26;2024-07-26",125,-1)</f>
        <v>44214.5</v>
      </c>
      <c r="M926">
        <f>_xll.ICEHistory(M$4,M$5,"DF[dow:12345][tl:Calendar]",$L926)</f>
        <v>31.62</v>
      </c>
      <c r="N926">
        <f>_xll.ICEHistory(M$4,N$5,"DF[dow:12345][tl:Calendar]",$L926)</f>
        <v>32.32</v>
      </c>
      <c r="O926">
        <f>_xll.ICEHistory(M$4,O$5,"DF[dow:12345][tl:Calendar]",$L926)</f>
        <v>31.29</v>
      </c>
      <c r="P926">
        <f>_xll.ICEHistory(M$4,P$5,"DF[dow:12345][tl:Calendar]",$L926)</f>
        <v>31.62</v>
      </c>
      <c r="Q926">
        <f>_xll.ICEHistory(M$4,Q$5,"DF[dow:12345][tl:Calendar]",$L926)</f>
        <v>22728</v>
      </c>
      <c r="R926">
        <f>_xll.ICEHistory(M$4,R$5,"DF[dow:12345][tl:Calendar]",$L926)</f>
        <v>484931</v>
      </c>
      <c r="S926">
        <f>_xll.ICEHistory(S$4,S$5,"DF[dow:12345][tl:Calendar]",$L926)</f>
        <v>20.100000000000001</v>
      </c>
      <c r="T926">
        <f>_xll.ICEHistory(S$4,T$5,"DF[dow:12345][tl:Calendar]",$L926)</f>
        <v>20.399999999999999</v>
      </c>
      <c r="U926">
        <f>_xll.ICEHistory(S$4,U$5,"DF[dow:12345][tl:Calendar]",$L926)</f>
        <v>19.625</v>
      </c>
      <c r="V926">
        <f>_xll.ICEHistory(S$4,V$5,"DF[dow:12345][tl:Calendar]",$L926)</f>
        <v>20.2</v>
      </c>
      <c r="W926">
        <f>_xll.ICEHistory(S$4,W$5,"DF[dow:12345][tl:Calendar]",$L926)</f>
        <v>0</v>
      </c>
      <c r="X926">
        <f t="shared" si="42"/>
        <v>3.0755449387877009E-2</v>
      </c>
      <c r="Y926">
        <f t="shared" si="43"/>
        <v>-0.49315781886638754</v>
      </c>
      <c r="Z926">
        <f t="shared" si="44"/>
        <v>-0.26009134640579501</v>
      </c>
    </row>
    <row r="927" spans="12:26" x14ac:dyDescent="0.25">
      <c r="L927" s="4">
        <f>_xll.ICETimeline(_xll.ICEJoinRange(M4:W4),"DF[dow:12345][tl:Calendar]","2020-07-26;2024-07-26",124,-1)</f>
        <v>44211.5</v>
      </c>
      <c r="M927">
        <f>_xll.ICEHistory(M$4,M$5,"DF[dow:12345][tl:Calendar]",$L927)</f>
        <v>33.49</v>
      </c>
      <c r="N927">
        <f>_xll.ICEHistory(M$4,N$5,"DF[dow:12345][tl:Calendar]",$L927)</f>
        <v>33.49</v>
      </c>
      <c r="O927">
        <f>_xll.ICEHistory(M$4,O$5,"DF[dow:12345][tl:Calendar]",$L927)</f>
        <v>31.62</v>
      </c>
      <c r="P927">
        <f>_xll.ICEHistory(M$4,P$5,"DF[dow:12345][tl:Calendar]",$L927)</f>
        <v>31.74</v>
      </c>
      <c r="Q927">
        <f>_xll.ICEHistory(M$4,Q$5,"DF[dow:12345][tl:Calendar]",$L927)</f>
        <v>32229</v>
      </c>
      <c r="R927">
        <f>_xll.ICEHistory(M$4,R$5,"DF[dow:12345][tl:Calendar]",$L927)</f>
        <v>485787</v>
      </c>
      <c r="S927">
        <f>_xll.ICEHistory(S$4,S$5,"DF[dow:12345][tl:Calendar]",$L927)</f>
        <v>20.100000000000001</v>
      </c>
      <c r="T927">
        <f>_xll.ICEHistory(S$4,T$5,"DF[dow:12345][tl:Calendar]",$L927)</f>
        <v>20.399999999999999</v>
      </c>
      <c r="U927">
        <f>_xll.ICEHistory(S$4,U$5,"DF[dow:12345][tl:Calendar]",$L927)</f>
        <v>19.625</v>
      </c>
      <c r="V927">
        <f>_xll.ICEHistory(S$4,V$5,"DF[dow:12345][tl:Calendar]",$L927)</f>
        <v>20.2</v>
      </c>
      <c r="W927">
        <f>_xll.ICEHistory(S$4,W$5,"DF[dow:12345][tl:Calendar]",$L927)</f>
        <v>523</v>
      </c>
      <c r="X927">
        <f t="shared" si="42"/>
        <v>5.5837563451776678E-2</v>
      </c>
      <c r="Y927">
        <f t="shared" si="43"/>
        <v>1.5597974876333374</v>
      </c>
      <c r="Z927">
        <f t="shared" si="44"/>
        <v>0.60716558902042006</v>
      </c>
    </row>
    <row r="928" spans="12:26" x14ac:dyDescent="0.25">
      <c r="L928" s="4">
        <f>_xll.ICETimeline(_xll.ICEJoinRange(M4:W4),"DF[dow:12345][tl:Calendar]","2020-07-26;2024-07-26",123,-1)</f>
        <v>44210.5</v>
      </c>
      <c r="M928">
        <f>_xll.ICEHistory(M$4,M$5,"DF[dow:12345][tl:Calendar]",$L928)</f>
        <v>33.49</v>
      </c>
      <c r="N928">
        <f>_xll.ICEHistory(M$4,N$5,"DF[dow:12345][tl:Calendar]",$L928)</f>
        <v>33.92</v>
      </c>
      <c r="O928">
        <f>_xll.ICEHistory(M$4,O$5,"DF[dow:12345][tl:Calendar]",$L928)</f>
        <v>32.76</v>
      </c>
      <c r="P928">
        <f>_xll.ICEHistory(M$4,P$5,"DF[dow:12345][tl:Calendar]",$L928)</f>
        <v>33.53</v>
      </c>
      <c r="Q928">
        <f>_xll.ICEHistory(M$4,Q$5,"DF[dow:12345][tl:Calendar]",$L928)</f>
        <v>22866</v>
      </c>
      <c r="R928">
        <f>_xll.ICEHistory(M$4,R$5,"DF[dow:12345][tl:Calendar]",$L928)</f>
        <v>485122</v>
      </c>
      <c r="S928">
        <f>_xll.ICEHistory(S$4,S$5,"DF[dow:12345][tl:Calendar]",$L928)</f>
        <v>21.25</v>
      </c>
      <c r="T928">
        <f>_xll.ICEHistory(S$4,T$5,"DF[dow:12345][tl:Calendar]",$L928)</f>
        <v>21.335000000000001</v>
      </c>
      <c r="U928">
        <f>_xll.ICEHistory(S$4,U$5,"DF[dow:12345][tl:Calendar]",$L928)</f>
        <v>20.32</v>
      </c>
      <c r="V928">
        <f>_xll.ICEHistory(S$4,V$5,"DF[dow:12345][tl:Calendar]",$L928)</f>
        <v>21.335000000000001</v>
      </c>
      <c r="W928">
        <f>_xll.ICEHistory(S$4,W$5,"DF[dow:12345][tl:Calendar]",$L928)</f>
        <v>341</v>
      </c>
      <c r="X928">
        <f t="shared" si="42"/>
        <v>3.355510558287543E-2</v>
      </c>
      <c r="Y928">
        <f t="shared" si="43"/>
        <v>-0.22915575053913492</v>
      </c>
      <c r="Z928">
        <f t="shared" si="44"/>
        <v>-0.24791285638898974</v>
      </c>
    </row>
    <row r="929" spans="12:26" x14ac:dyDescent="0.25">
      <c r="L929" s="4">
        <f>_xll.ICETimeline(_xll.ICEJoinRange(M4:W4),"DF[dow:12345][tl:Calendar]","2020-07-26;2024-07-26",122,-1)</f>
        <v>44209.5</v>
      </c>
      <c r="M929">
        <f>_xll.ICEHistory(M$4,M$5,"DF[dow:12345][tl:Calendar]",$L929)</f>
        <v>34.57</v>
      </c>
      <c r="N929">
        <f>_xll.ICEHistory(M$4,N$5,"DF[dow:12345][tl:Calendar]",$L929)</f>
        <v>34.659999999999997</v>
      </c>
      <c r="O929">
        <f>_xll.ICEHistory(M$4,O$5,"DF[dow:12345][tl:Calendar]",$L929)</f>
        <v>33.07</v>
      </c>
      <c r="P929">
        <f>_xll.ICEHistory(M$4,P$5,"DF[dow:12345][tl:Calendar]",$L929)</f>
        <v>33.65</v>
      </c>
      <c r="Q929">
        <f>_xll.ICEHistory(M$4,Q$5,"DF[dow:12345][tl:Calendar]",$L929)</f>
        <v>27135</v>
      </c>
      <c r="R929">
        <f>_xll.ICEHistory(M$4,R$5,"DF[dow:12345][tl:Calendar]",$L929)</f>
        <v>487314</v>
      </c>
      <c r="S929">
        <f>_xll.ICEHistory(S$4,S$5,"DF[dow:12345][tl:Calendar]",$L929)</f>
        <v>23.475000000000001</v>
      </c>
      <c r="T929">
        <f>_xll.ICEHistory(S$4,T$5,"DF[dow:12345][tl:Calendar]",$L929)</f>
        <v>23.9</v>
      </c>
      <c r="U929">
        <f>_xll.ICEHistory(S$4,U$5,"DF[dow:12345][tl:Calendar]",$L929)</f>
        <v>21.5</v>
      </c>
      <c r="V929">
        <f>_xll.ICEHistory(S$4,V$5,"DF[dow:12345][tl:Calendar]",$L929)</f>
        <v>21.5</v>
      </c>
      <c r="W929">
        <f>_xll.ICEHistory(S$4,W$5,"DF[dow:12345][tl:Calendar]",$L929)</f>
        <v>535</v>
      </c>
      <c r="X929">
        <f t="shared" si="42"/>
        <v>4.6288209606986791E-2</v>
      </c>
      <c r="Y929">
        <f t="shared" si="43"/>
        <v>0.80700645681762984</v>
      </c>
      <c r="Z929">
        <f t="shared" si="44"/>
        <v>0.13940996827013463</v>
      </c>
    </row>
    <row r="930" spans="12:26" x14ac:dyDescent="0.25">
      <c r="L930" s="4">
        <f>_xll.ICETimeline(_xll.ICEJoinRange(M4:W4),"DF[dow:12345][tl:Calendar]","2020-07-26;2024-07-26",121,-1)</f>
        <v>44208.5</v>
      </c>
      <c r="M930">
        <f>_xll.ICEHistory(M$4,M$5,"DF[dow:12345][tl:Calendar]",$L930)</f>
        <v>34.35</v>
      </c>
      <c r="N930">
        <f>_xll.ICEHistory(M$4,N$5,"DF[dow:12345][tl:Calendar]",$L930)</f>
        <v>35.42</v>
      </c>
      <c r="O930">
        <f>_xll.ICEHistory(M$4,O$5,"DF[dow:12345][tl:Calendar]",$L930)</f>
        <v>34.08</v>
      </c>
      <c r="P930">
        <f>_xll.ICEHistory(M$4,P$5,"DF[dow:12345][tl:Calendar]",$L930)</f>
        <v>34.659999999999997</v>
      </c>
      <c r="Q930">
        <f>_xll.ICEHistory(M$4,Q$5,"DF[dow:12345][tl:Calendar]",$L930)</f>
        <v>25730</v>
      </c>
      <c r="R930">
        <f>_xll.ICEHistory(M$4,R$5,"DF[dow:12345][tl:Calendar]",$L930)</f>
        <v>489331</v>
      </c>
      <c r="S930">
        <f>_xll.ICEHistory(S$4,S$5,"DF[dow:12345][tl:Calendar]",$L930)</f>
        <v>23.24</v>
      </c>
      <c r="T930">
        <f>_xll.ICEHistory(S$4,T$5,"DF[dow:12345][tl:Calendar]",$L930)</f>
        <v>26.155000000000001</v>
      </c>
      <c r="U930">
        <f>_xll.ICEHistory(S$4,U$5,"DF[dow:12345][tl:Calendar]",$L930)</f>
        <v>23.2</v>
      </c>
      <c r="V930">
        <f>_xll.ICEHistory(S$4,V$5,"DF[dow:12345][tl:Calendar]",$L930)</f>
        <v>26.155000000000001</v>
      </c>
      <c r="W930">
        <f>_xll.ICEHistory(S$4,W$5,"DF[dow:12345][tl:Calendar]",$L930)</f>
        <v>135</v>
      </c>
      <c r="X930">
        <f t="shared" si="42"/>
        <v>3.8111490329920464E-2</v>
      </c>
      <c r="Y930">
        <f t="shared" si="43"/>
        <v>0.1531578454534839</v>
      </c>
      <c r="Z930">
        <f t="shared" si="44"/>
        <v>1.6976801334113941E-2</v>
      </c>
    </row>
    <row r="931" spans="12:26" x14ac:dyDescent="0.25">
      <c r="L931" s="4">
        <f>_xll.ICETimeline(_xll.ICEJoinRange(M4:W4),"DF[dow:12345][tl:Calendar]","2020-07-26;2024-07-26",120,-1)</f>
        <v>44207.5</v>
      </c>
      <c r="M931">
        <f>_xll.ICEHistory(M$4,M$5,"DF[dow:12345][tl:Calendar]",$L931)</f>
        <v>35.159999999999997</v>
      </c>
      <c r="N931">
        <f>_xll.ICEHistory(M$4,N$5,"DF[dow:12345][tl:Calendar]",$L931)</f>
        <v>35.200000000000003</v>
      </c>
      <c r="O931">
        <f>_xll.ICEHistory(M$4,O$5,"DF[dow:12345][tl:Calendar]",$L931)</f>
        <v>34.15</v>
      </c>
      <c r="P931">
        <f>_xll.ICEHistory(M$4,P$5,"DF[dow:12345][tl:Calendar]",$L931)</f>
        <v>34.53</v>
      </c>
      <c r="Q931">
        <f>_xll.ICEHistory(M$4,Q$5,"DF[dow:12345][tl:Calendar]",$L931)</f>
        <v>15235</v>
      </c>
      <c r="R931">
        <f>_xll.ICEHistory(M$4,R$5,"DF[dow:12345][tl:Calendar]",$L931)</f>
        <v>490793</v>
      </c>
      <c r="S931">
        <f>_xll.ICEHistory(S$4,S$5,"DF[dow:12345][tl:Calendar]",$L931)</f>
        <v>21.35</v>
      </c>
      <c r="T931">
        <f>_xll.ICEHistory(S$4,T$5,"DF[dow:12345][tl:Calendar]",$L931)</f>
        <v>22.54</v>
      </c>
      <c r="U931">
        <f>_xll.ICEHistory(S$4,U$5,"DF[dow:12345][tl:Calendar]",$L931)</f>
        <v>21.2</v>
      </c>
      <c r="V931">
        <f>_xll.ICEHistory(S$4,V$5,"DF[dow:12345][tl:Calendar]",$L931)</f>
        <v>22.125</v>
      </c>
      <c r="W931">
        <f>_xll.ICEHistory(S$4,W$5,"DF[dow:12345][tl:Calendar]",$L931)</f>
        <v>460</v>
      </c>
      <c r="X931">
        <f t="shared" si="42"/>
        <v>3.000000000000012E-2</v>
      </c>
      <c r="Y931">
        <f t="shared" si="43"/>
        <v>-0.50638175577650535</v>
      </c>
      <c r="Z931">
        <f t="shared" si="44"/>
        <v>-0.93059969311720026</v>
      </c>
    </row>
    <row r="932" spans="12:26" x14ac:dyDescent="0.25">
      <c r="L932" s="4">
        <f>_xll.ICETimeline(_xll.ICEJoinRange(M4:W4),"DF[dow:12345][tl:Calendar]","2020-07-26;2024-07-26",119,-1)</f>
        <v>44204.5</v>
      </c>
      <c r="M932">
        <f>_xll.ICEHistory(M$4,M$5,"DF[dow:12345][tl:Calendar]",$L932)</f>
        <v>35</v>
      </c>
      <c r="N932">
        <f>_xll.ICEHistory(M$4,N$5,"DF[dow:12345][tl:Calendar]",$L932)</f>
        <v>35.200000000000003</v>
      </c>
      <c r="O932">
        <f>_xll.ICEHistory(M$4,O$5,"DF[dow:12345][tl:Calendar]",$L932)</f>
        <v>34.29</v>
      </c>
      <c r="P932">
        <f>_xll.ICEHistory(M$4,P$5,"DF[dow:12345][tl:Calendar]",$L932)</f>
        <v>34.92</v>
      </c>
      <c r="Q932">
        <f>_xll.ICEHistory(M$4,Q$5,"DF[dow:12345][tl:Calendar]",$L932)</f>
        <v>20905</v>
      </c>
      <c r="R932">
        <f>_xll.ICEHistory(M$4,R$5,"DF[dow:12345][tl:Calendar]",$L932)</f>
        <v>491784</v>
      </c>
      <c r="S932">
        <f>_xll.ICEHistory(S$4,S$5,"DF[dow:12345][tl:Calendar]",$L932)</f>
        <v>20.399999999999999</v>
      </c>
      <c r="T932">
        <f>_xll.ICEHistory(S$4,T$5,"DF[dow:12345][tl:Calendar]",$L932)</f>
        <v>20.7</v>
      </c>
      <c r="U932">
        <f>_xll.ICEHistory(S$4,U$5,"DF[dow:12345][tl:Calendar]",$L932)</f>
        <v>19.89</v>
      </c>
      <c r="V932">
        <f>_xll.ICEHistory(S$4,V$5,"DF[dow:12345][tl:Calendar]",$L932)</f>
        <v>20.12</v>
      </c>
      <c r="W932">
        <f>_xll.ICEHistory(S$4,W$5,"DF[dow:12345][tl:Calendar]",$L932)</f>
        <v>385</v>
      </c>
      <c r="X932">
        <f t="shared" si="42"/>
        <v>2.6907155529272728E-2</v>
      </c>
      <c r="Y932">
        <f t="shared" si="43"/>
        <v>-0.75788368153251395</v>
      </c>
      <c r="Z932">
        <f t="shared" si="44"/>
        <v>-0.43203702353812229</v>
      </c>
    </row>
    <row r="933" spans="12:26" x14ac:dyDescent="0.25">
      <c r="L933" s="4">
        <f>_xll.ICETimeline(_xll.ICEJoinRange(M4:W4),"DF[dow:12345][tl:Calendar]","2020-07-26;2024-07-26",118,-1)</f>
        <v>44203.5</v>
      </c>
      <c r="M933">
        <f>_xll.ICEHistory(M$4,M$5,"DF[dow:12345][tl:Calendar]",$L933)</f>
        <v>33.82</v>
      </c>
      <c r="N933">
        <f>_xll.ICEHistory(M$4,N$5,"DF[dow:12345][tl:Calendar]",$L933)</f>
        <v>34.86</v>
      </c>
      <c r="O933">
        <f>_xll.ICEHistory(M$4,O$5,"DF[dow:12345][tl:Calendar]",$L933)</f>
        <v>33.82</v>
      </c>
      <c r="P933">
        <f>_xll.ICEHistory(M$4,P$5,"DF[dow:12345][tl:Calendar]",$L933)</f>
        <v>34.76</v>
      </c>
      <c r="Q933">
        <f>_xll.ICEHistory(M$4,Q$5,"DF[dow:12345][tl:Calendar]",$L933)</f>
        <v>22691</v>
      </c>
      <c r="R933">
        <f>_xll.ICEHistory(M$4,R$5,"DF[dow:12345][tl:Calendar]",$L933)</f>
        <v>491577</v>
      </c>
      <c r="S933">
        <f>_xll.ICEHistory(S$4,S$5,"DF[dow:12345][tl:Calendar]",$L933)</f>
        <v>18.274999999999999</v>
      </c>
      <c r="T933">
        <f>_xll.ICEHistory(S$4,T$5,"DF[dow:12345][tl:Calendar]",$L933)</f>
        <v>19.420000000000002</v>
      </c>
      <c r="U933">
        <f>_xll.ICEHistory(S$4,U$5,"DF[dow:12345][tl:Calendar]",$L933)</f>
        <v>18.274999999999999</v>
      </c>
      <c r="V933">
        <f>_xll.ICEHistory(S$4,V$5,"DF[dow:12345][tl:Calendar]",$L933)</f>
        <v>19.305</v>
      </c>
      <c r="W933">
        <f>_xll.ICEHistory(S$4,W$5,"DF[dow:12345][tl:Calendar]",$L933)</f>
        <v>183</v>
      </c>
      <c r="X933">
        <f t="shared" si="42"/>
        <v>3.138201569100782E-2</v>
      </c>
      <c r="Y933">
        <f t="shared" si="43"/>
        <v>-0.40650415706049187</v>
      </c>
      <c r="Z933">
        <f t="shared" si="44"/>
        <v>-0.28131449936124958</v>
      </c>
    </row>
    <row r="934" spans="12:26" x14ac:dyDescent="0.25">
      <c r="L934" s="4">
        <f>_xll.ICETimeline(_xll.ICEJoinRange(M4:W4),"DF[dow:12345][tl:Calendar]","2020-07-26;2024-07-26",117,-1)</f>
        <v>44202.5</v>
      </c>
      <c r="M934">
        <f>_xll.ICEHistory(M$4,M$5,"DF[dow:12345][tl:Calendar]",$L934)</f>
        <v>33.14</v>
      </c>
      <c r="N934">
        <f>_xll.ICEHistory(M$4,N$5,"DF[dow:12345][tl:Calendar]",$L934)</f>
        <v>33.71</v>
      </c>
      <c r="O934">
        <f>_xll.ICEHistory(M$4,O$5,"DF[dow:12345][tl:Calendar]",$L934)</f>
        <v>32.83</v>
      </c>
      <c r="P934">
        <f>_xll.ICEHistory(M$4,P$5,"DF[dow:12345][tl:Calendar]",$L934)</f>
        <v>33.630000000000003</v>
      </c>
      <c r="Q934">
        <f>_xll.ICEHistory(M$4,Q$5,"DF[dow:12345][tl:Calendar]",$L934)</f>
        <v>17364</v>
      </c>
      <c r="R934">
        <f>_xll.ICEHistory(M$4,R$5,"DF[dow:12345][tl:Calendar]",$L934)</f>
        <v>493675</v>
      </c>
      <c r="S934">
        <f>_xll.ICEHistory(S$4,S$5,"DF[dow:12345][tl:Calendar]",$L934)</f>
        <v>17.875</v>
      </c>
      <c r="T934">
        <f>_xll.ICEHistory(S$4,T$5,"DF[dow:12345][tl:Calendar]",$L934)</f>
        <v>18.52</v>
      </c>
      <c r="U934">
        <f>_xll.ICEHistory(S$4,U$5,"DF[dow:12345][tl:Calendar]",$L934)</f>
        <v>17.375</v>
      </c>
      <c r="V934">
        <f>_xll.ICEHistory(S$4,V$5,"DF[dow:12345][tl:Calendar]",$L934)</f>
        <v>17.565000000000001</v>
      </c>
      <c r="W934">
        <f>_xll.ICEHistory(S$4,W$5,"DF[dow:12345][tl:Calendar]",$L934)</f>
        <v>704</v>
      </c>
      <c r="X934">
        <f t="shared" si="42"/>
        <v>2.6074074074074149E-2</v>
      </c>
      <c r="Y934">
        <f t="shared" si="43"/>
        <v>-0.84426103393257457</v>
      </c>
      <c r="Z934">
        <f t="shared" si="44"/>
        <v>-0.77810240573142975</v>
      </c>
    </row>
    <row r="935" spans="12:26" x14ac:dyDescent="0.25">
      <c r="L935" s="4">
        <f>_xll.ICETimeline(_xll.ICEJoinRange(M4:W4),"DF[dow:12345][tl:Calendar]","2020-07-26;2024-07-26",116,-1)</f>
        <v>44201.5</v>
      </c>
      <c r="M935">
        <f>_xll.ICEHistory(M$4,M$5,"DF[dow:12345][tl:Calendar]",$L935)</f>
        <v>33.75</v>
      </c>
      <c r="N935">
        <f>_xll.ICEHistory(M$4,N$5,"DF[dow:12345][tl:Calendar]",$L935)</f>
        <v>33.75</v>
      </c>
      <c r="O935">
        <f>_xll.ICEHistory(M$4,O$5,"DF[dow:12345][tl:Calendar]",$L935)</f>
        <v>32.75</v>
      </c>
      <c r="P935">
        <f>_xll.ICEHistory(M$4,P$5,"DF[dow:12345][tl:Calendar]",$L935)</f>
        <v>32.96</v>
      </c>
      <c r="Q935">
        <f>_xll.ICEHistory(M$4,Q$5,"DF[dow:12345][tl:Calendar]",$L935)</f>
        <v>19369</v>
      </c>
      <c r="R935">
        <f>_xll.ICEHistory(M$4,R$5,"DF[dow:12345][tl:Calendar]",$L935)</f>
        <v>491970</v>
      </c>
      <c r="S935">
        <f>_xll.ICEHistory(S$4,S$5,"DF[dow:12345][tl:Calendar]",$L935)</f>
        <v>18.905000000000001</v>
      </c>
      <c r="T935">
        <f>_xll.ICEHistory(S$4,T$5,"DF[dow:12345][tl:Calendar]",$L935)</f>
        <v>18.95</v>
      </c>
      <c r="U935">
        <f>_xll.ICEHistory(S$4,U$5,"DF[dow:12345][tl:Calendar]",$L935)</f>
        <v>17.925000000000001</v>
      </c>
      <c r="V935">
        <f>_xll.ICEHistory(S$4,V$5,"DF[dow:12345][tl:Calendar]",$L935)</f>
        <v>18.004999999999999</v>
      </c>
      <c r="W935">
        <f>_xll.ICEHistory(S$4,W$5,"DF[dow:12345][tl:Calendar]",$L935)</f>
        <v>510</v>
      </c>
      <c r="X935">
        <f t="shared" si="42"/>
        <v>3.0581039755351678E-2</v>
      </c>
      <c r="Y935">
        <f t="shared" si="43"/>
        <v>-0.50030985323325528</v>
      </c>
      <c r="Z935">
        <f t="shared" si="44"/>
        <v>-0.60055894417388234</v>
      </c>
    </row>
    <row r="936" spans="12:26" x14ac:dyDescent="0.25">
      <c r="L936" s="4">
        <f>_xll.ICETimeline(_xll.ICEJoinRange(M4:W4),"DF[dow:12345][tl:Calendar]","2020-07-26;2024-07-26",115,-1)</f>
        <v>44200.5</v>
      </c>
      <c r="M936">
        <f>_xll.ICEHistory(M$4,M$5,"DF[dow:12345][tl:Calendar]",$L936)</f>
        <v>32.700000000000003</v>
      </c>
      <c r="N936">
        <f>_xll.ICEHistory(M$4,N$5,"DF[dow:12345][tl:Calendar]",$L936)</f>
        <v>34.25</v>
      </c>
      <c r="O936">
        <f>_xll.ICEHistory(M$4,O$5,"DF[dow:12345][tl:Calendar]",$L936)</f>
        <v>32.700000000000003</v>
      </c>
      <c r="P936">
        <f>_xll.ICEHistory(M$4,P$5,"DF[dow:12345][tl:Calendar]",$L936)</f>
        <v>33.69</v>
      </c>
      <c r="Q936">
        <f>_xll.ICEHistory(M$4,Q$5,"DF[dow:12345][tl:Calendar]",$L936)</f>
        <v>19305</v>
      </c>
      <c r="R936">
        <f>_xll.ICEHistory(M$4,R$5,"DF[dow:12345][tl:Calendar]",$L936)</f>
        <v>492100</v>
      </c>
      <c r="S936">
        <f>_xll.ICEHistory(S$4,S$5,"DF[dow:12345][tl:Calendar]",$L936)</f>
        <v>19.45</v>
      </c>
      <c r="T936">
        <f>_xll.ICEHistory(S$4,T$5,"DF[dow:12345][tl:Calendar]",$L936)</f>
        <v>20.3</v>
      </c>
      <c r="U936">
        <f>_xll.ICEHistory(S$4,U$5,"DF[dow:12345][tl:Calendar]",$L936)</f>
        <v>19.45</v>
      </c>
      <c r="V936">
        <f>_xll.ICEHistory(S$4,V$5,"DF[dow:12345][tl:Calendar]",$L936)</f>
        <v>19.844999999999999</v>
      </c>
      <c r="W936">
        <f>_xll.ICEHistory(S$4,W$5,"DF[dow:12345][tl:Calendar]",$L936)</f>
        <v>803</v>
      </c>
      <c r="X936">
        <f t="shared" si="42"/>
        <v>4.8361934477379014E-2</v>
      </c>
      <c r="Y936">
        <f t="shared" si="43"/>
        <v>0.9648798425306514</v>
      </c>
      <c r="Z936">
        <f t="shared" si="44"/>
        <v>-0.60579030537536571</v>
      </c>
    </row>
    <row r="937" spans="12:26" x14ac:dyDescent="0.25">
      <c r="L937" s="4">
        <f>_xll.ICETimeline(_xll.ICEJoinRange(M4:W4),"DF[dow:12345][tl:Calendar]","2020-07-26;2024-07-26",114,-1)</f>
        <v>44197.5</v>
      </c>
      <c r="M937">
        <f>_xll.ICEHistory(M$4,M$5,"DF[dow:12345][tl:Calendar]",$L937)</f>
        <v>32.049999999999997</v>
      </c>
      <c r="N937">
        <f>_xll.ICEHistory(M$4,N$5,"DF[dow:12345][tl:Calendar]",$L937)</f>
        <v>32.979999999999997</v>
      </c>
      <c r="O937">
        <f>_xll.ICEHistory(M$4,O$5,"DF[dow:12345][tl:Calendar]",$L937)</f>
        <v>32.03</v>
      </c>
      <c r="P937">
        <f>_xll.ICEHistory(M$4,P$5,"DF[dow:12345][tl:Calendar]",$L937)</f>
        <v>32.32</v>
      </c>
      <c r="Q937">
        <f>_xll.ICEHistory(M$4,Q$5,"DF[dow:12345][tl:Calendar]",$L937)</f>
        <v>0</v>
      </c>
      <c r="R937">
        <f>_xll.ICEHistory(M$4,R$5,"DF[dow:12345][tl:Calendar]",$L937)</f>
        <v>0</v>
      </c>
      <c r="S937">
        <f>_xll.ICEHistory(S$4,S$5,"DF[dow:12345][tl:Calendar]",$L937)</f>
        <v>19.125</v>
      </c>
      <c r="T937">
        <f>_xll.ICEHistory(S$4,T$5,"DF[dow:12345][tl:Calendar]",$L937)</f>
        <v>19.125</v>
      </c>
      <c r="U937">
        <f>_xll.ICEHistory(S$4,U$5,"DF[dow:12345][tl:Calendar]",$L937)</f>
        <v>19.125</v>
      </c>
      <c r="V937">
        <f>_xll.ICEHistory(S$4,V$5,"DF[dow:12345][tl:Calendar]",$L937)</f>
        <v>19.125</v>
      </c>
      <c r="W937">
        <f>_xll.ICEHistory(S$4,W$5,"DF[dow:12345][tl:Calendar]",$L937)</f>
        <v>0</v>
      </c>
      <c r="X937">
        <f t="shared" si="42"/>
        <v>2.9641185647425766E-2</v>
      </c>
      <c r="Y937">
        <f t="shared" si="43"/>
        <v>-0.56204712425742254</v>
      </c>
      <c r="Z937">
        <f t="shared" si="44"/>
        <v>-2.3963949300348202</v>
      </c>
    </row>
    <row r="938" spans="12:26" x14ac:dyDescent="0.25">
      <c r="L938" s="4">
        <f>_xll.ICETimeline(_xll.ICEJoinRange(M4:W4),"DF[dow:12345][tl:Calendar]","2020-07-26;2024-07-26",113,-1)</f>
        <v>44196.5</v>
      </c>
      <c r="M938">
        <f>_xll.ICEHistory(M$4,M$5,"DF[dow:12345][tl:Calendar]",$L938)</f>
        <v>32.049999999999997</v>
      </c>
      <c r="N938">
        <f>_xll.ICEHistory(M$4,N$5,"DF[dow:12345][tl:Calendar]",$L938)</f>
        <v>32.979999999999997</v>
      </c>
      <c r="O938">
        <f>_xll.ICEHistory(M$4,O$5,"DF[dow:12345][tl:Calendar]",$L938)</f>
        <v>32.03</v>
      </c>
      <c r="P938">
        <f>_xll.ICEHistory(M$4,P$5,"DF[dow:12345][tl:Calendar]",$L938)</f>
        <v>32.32</v>
      </c>
      <c r="Q938">
        <f>_xll.ICEHistory(M$4,Q$5,"DF[dow:12345][tl:Calendar]",$L938)</f>
        <v>5308</v>
      </c>
      <c r="R938">
        <f>_xll.ICEHistory(M$4,R$5,"DF[dow:12345][tl:Calendar]",$L938)</f>
        <v>490690</v>
      </c>
      <c r="S938">
        <f>_xll.ICEHistory(S$4,S$5,"DF[dow:12345][tl:Calendar]",$L938)</f>
        <v>19.125</v>
      </c>
      <c r="T938">
        <f>_xll.ICEHistory(S$4,T$5,"DF[dow:12345][tl:Calendar]",$L938)</f>
        <v>19.125</v>
      </c>
      <c r="U938">
        <f>_xll.ICEHistory(S$4,U$5,"DF[dow:12345][tl:Calendar]",$L938)</f>
        <v>19.125</v>
      </c>
      <c r="V938">
        <f>_xll.ICEHistory(S$4,V$5,"DF[dow:12345][tl:Calendar]",$L938)</f>
        <v>19.125</v>
      </c>
      <c r="W938">
        <f>_xll.ICEHistory(S$4,W$5,"DF[dow:12345][tl:Calendar]",$L938)</f>
        <v>0</v>
      </c>
      <c r="X938">
        <f t="shared" si="42"/>
        <v>2.8666264333132036E-2</v>
      </c>
      <c r="Y938">
        <f t="shared" si="43"/>
        <v>-0.66451671322192596</v>
      </c>
      <c r="Z938">
        <f t="shared" si="44"/>
        <v>-2.0309111046898769</v>
      </c>
    </row>
    <row r="939" spans="12:26" x14ac:dyDescent="0.25">
      <c r="L939" s="4">
        <f>_xll.ICETimeline(_xll.ICEJoinRange(M4:W4),"DF[dow:12345][tl:Calendar]","2020-07-26;2024-07-26",112,-1)</f>
        <v>44195.5</v>
      </c>
      <c r="M939">
        <f>_xll.ICEHistory(M$4,M$5,"DF[dow:12345][tl:Calendar]",$L939)</f>
        <v>33.14</v>
      </c>
      <c r="N939">
        <f>_xll.ICEHistory(M$4,N$5,"DF[dow:12345][tl:Calendar]",$L939)</f>
        <v>33.409999999999997</v>
      </c>
      <c r="O939">
        <f>_xll.ICEHistory(M$4,O$5,"DF[dow:12345][tl:Calendar]",$L939)</f>
        <v>32.01</v>
      </c>
      <c r="P939">
        <f>_xll.ICEHistory(M$4,P$5,"DF[dow:12345][tl:Calendar]",$L939)</f>
        <v>32.19</v>
      </c>
      <c r="Q939">
        <f>_xll.ICEHistory(M$4,Q$5,"DF[dow:12345][tl:Calendar]",$L939)</f>
        <v>10507</v>
      </c>
      <c r="R939">
        <f>_xll.ICEHistory(M$4,R$5,"DF[dow:12345][tl:Calendar]",$L939)</f>
        <v>491169</v>
      </c>
      <c r="S939">
        <f>_xll.ICEHistory(S$4,S$5,"DF[dow:12345][tl:Calendar]",$L939)</f>
        <v>19.149999999999999</v>
      </c>
      <c r="T939">
        <f>_xll.ICEHistory(S$4,T$5,"DF[dow:12345][tl:Calendar]",$L939)</f>
        <v>19.274999999999999</v>
      </c>
      <c r="U939">
        <f>_xll.ICEHistory(S$4,U$5,"DF[dow:12345][tl:Calendar]",$L939)</f>
        <v>19</v>
      </c>
      <c r="V939">
        <f>_xll.ICEHistory(S$4,V$5,"DF[dow:12345][tl:Calendar]",$L939)</f>
        <v>19</v>
      </c>
      <c r="W939">
        <f>_xll.ICEHistory(S$4,W$5,"DF[dow:12345][tl:Calendar]",$L939)</f>
        <v>0</v>
      </c>
      <c r="X939">
        <f t="shared" si="42"/>
        <v>4.2029420594416049E-2</v>
      </c>
      <c r="Y939">
        <f t="shared" si="43"/>
        <v>0.40498828335321341</v>
      </c>
      <c r="Z939">
        <f t="shared" si="44"/>
        <v>-1.6107748381436024</v>
      </c>
    </row>
    <row r="940" spans="12:26" x14ac:dyDescent="0.25">
      <c r="L940" s="4">
        <f>_xll.ICETimeline(_xll.ICEJoinRange(M4:W4),"DF[dow:12345][tl:Calendar]","2020-07-26;2024-07-26",111,-1)</f>
        <v>44194.5</v>
      </c>
      <c r="M940">
        <f>_xll.ICEHistory(M$4,M$5,"DF[dow:12345][tl:Calendar]",$L940)</f>
        <v>33.31</v>
      </c>
      <c r="N940">
        <f>_xll.ICEHistory(M$4,N$5,"DF[dow:12345][tl:Calendar]",$L940)</f>
        <v>33.42</v>
      </c>
      <c r="O940">
        <f>_xll.ICEHistory(M$4,O$5,"DF[dow:12345][tl:Calendar]",$L940)</f>
        <v>32.6</v>
      </c>
      <c r="P940">
        <f>_xll.ICEHistory(M$4,P$5,"DF[dow:12345][tl:Calendar]",$L940)</f>
        <v>33.020000000000003</v>
      </c>
      <c r="Q940">
        <f>_xll.ICEHistory(M$4,Q$5,"DF[dow:12345][tl:Calendar]",$L940)</f>
        <v>9514</v>
      </c>
      <c r="R940">
        <f>_xll.ICEHistory(M$4,R$5,"DF[dow:12345][tl:Calendar]",$L940)</f>
        <v>491700</v>
      </c>
      <c r="S940">
        <f>_xll.ICEHistory(S$4,S$5,"DF[dow:12345][tl:Calendar]",$L940)</f>
        <v>19</v>
      </c>
      <c r="T940">
        <f>_xll.ICEHistory(S$4,T$5,"DF[dow:12345][tl:Calendar]",$L940)</f>
        <v>19</v>
      </c>
      <c r="U940">
        <f>_xll.ICEHistory(S$4,U$5,"DF[dow:12345][tl:Calendar]",$L940)</f>
        <v>18.774999999999999</v>
      </c>
      <c r="V940">
        <f>_xll.ICEHistory(S$4,V$5,"DF[dow:12345][tl:Calendar]",$L940)</f>
        <v>18.774999999999999</v>
      </c>
      <c r="W940">
        <f>_xll.ICEHistory(S$4,W$5,"DF[dow:12345][tl:Calendar]",$L940)</f>
        <v>42</v>
      </c>
      <c r="X940">
        <f t="shared" si="42"/>
        <v>2.5230769230769241E-2</v>
      </c>
      <c r="Y940">
        <f t="shared" si="43"/>
        <v>-0.94412632892813764</v>
      </c>
      <c r="Z940">
        <f t="shared" si="44"/>
        <v>-1.7567605474692243</v>
      </c>
    </row>
    <row r="941" spans="12:26" x14ac:dyDescent="0.25">
      <c r="L941" s="4">
        <f>_xll.ICETimeline(_xll.ICEJoinRange(M4:W4),"DF[dow:12345][tl:Calendar]","2020-07-26;2024-07-26",110,-1)</f>
        <v>44193.5</v>
      </c>
      <c r="M941">
        <f>_xll.ICEHistory(M$4,M$5,"DF[dow:12345][tl:Calendar]",$L941)</f>
        <v>32.5</v>
      </c>
      <c r="N941">
        <f>_xll.ICEHistory(M$4,N$5,"DF[dow:12345][tl:Calendar]",$L941)</f>
        <v>33.5</v>
      </c>
      <c r="O941">
        <f>_xll.ICEHistory(M$4,O$5,"DF[dow:12345][tl:Calendar]",$L941)</f>
        <v>32.33</v>
      </c>
      <c r="P941">
        <f>_xll.ICEHistory(M$4,P$5,"DF[dow:12345][tl:Calendar]",$L941)</f>
        <v>33.44</v>
      </c>
      <c r="Q941">
        <f>_xll.ICEHistory(M$4,Q$5,"DF[dow:12345][tl:Calendar]",$L941)</f>
        <v>8046</v>
      </c>
      <c r="R941">
        <f>_xll.ICEHistory(M$4,R$5,"DF[dow:12345][tl:Calendar]",$L941)</f>
        <v>492427</v>
      </c>
      <c r="S941">
        <f>_xll.ICEHistory(S$4,S$5,"DF[dow:12345][tl:Calendar]",$L941)</f>
        <v>19.149999999999999</v>
      </c>
      <c r="T941">
        <f>_xll.ICEHistory(S$4,T$5,"DF[dow:12345][tl:Calendar]",$L941)</f>
        <v>19.149999999999999</v>
      </c>
      <c r="U941">
        <f>_xll.ICEHistory(S$4,U$5,"DF[dow:12345][tl:Calendar]",$L941)</f>
        <v>19.149999999999999</v>
      </c>
      <c r="V941">
        <f>_xll.ICEHistory(S$4,V$5,"DF[dow:12345][tl:Calendar]",$L941)</f>
        <v>19.149999999999999</v>
      </c>
      <c r="W941">
        <f>_xll.ICEHistory(S$4,W$5,"DF[dow:12345][tl:Calendar]",$L941)</f>
        <v>0</v>
      </c>
      <c r="X941">
        <f t="shared" si="42"/>
        <v>3.6596809508914661E-2</v>
      </c>
      <c r="Y941">
        <f t="shared" si="43"/>
        <v>-3.8994224434870745E-2</v>
      </c>
      <c r="Z941">
        <f t="shared" si="44"/>
        <v>-1.9803241248517012</v>
      </c>
    </row>
    <row r="942" spans="12:26" x14ac:dyDescent="0.25">
      <c r="L942" s="4">
        <f>_xll.ICETimeline(_xll.ICEJoinRange(M4:W4),"DF[dow:12345][tl:Calendar]","2020-07-26;2024-07-26",109,-1)</f>
        <v>44190.5</v>
      </c>
      <c r="M942">
        <f>_xll.ICEHistory(M$4,M$5,"DF[dow:12345][tl:Calendar]",$L942)</f>
        <v>31.97</v>
      </c>
      <c r="N942">
        <f>_xll.ICEHistory(M$4,N$5,"DF[dow:12345][tl:Calendar]",$L942)</f>
        <v>32.4</v>
      </c>
      <c r="O942">
        <f>_xll.ICEHistory(M$4,O$5,"DF[dow:12345][tl:Calendar]",$L942)</f>
        <v>31.79</v>
      </c>
      <c r="P942">
        <f>_xll.ICEHistory(M$4,P$5,"DF[dow:12345][tl:Calendar]",$L942)</f>
        <v>32.08</v>
      </c>
      <c r="Q942">
        <f>_xll.ICEHistory(M$4,Q$5,"DF[dow:12345][tl:Calendar]",$L942)</f>
        <v>0</v>
      </c>
      <c r="R942">
        <f>_xll.ICEHistory(M$4,R$5,"DF[dow:12345][tl:Calendar]",$L942)</f>
        <v>0</v>
      </c>
      <c r="S942">
        <f>_xll.ICEHistory(S$4,S$5,"DF[dow:12345][tl:Calendar]",$L942)</f>
        <v>17.649999999999999</v>
      </c>
      <c r="T942">
        <f>_xll.ICEHistory(S$4,T$5,"DF[dow:12345][tl:Calendar]",$L942)</f>
        <v>17.649999999999999</v>
      </c>
      <c r="U942">
        <f>_xll.ICEHistory(S$4,U$5,"DF[dow:12345][tl:Calendar]",$L942)</f>
        <v>17.649999999999999</v>
      </c>
      <c r="V942">
        <f>_xll.ICEHistory(S$4,V$5,"DF[dow:12345][tl:Calendar]",$L942)</f>
        <v>17.649999999999999</v>
      </c>
      <c r="W942">
        <f>_xll.ICEHistory(S$4,W$5,"DF[dow:12345][tl:Calendar]",$L942)</f>
        <v>0</v>
      </c>
      <c r="X942">
        <f t="shared" si="42"/>
        <v>1.9080387863622129E-2</v>
      </c>
      <c r="Y942">
        <f t="shared" si="43"/>
        <v>-1.4381023115161367</v>
      </c>
      <c r="Z942">
        <f t="shared" si="44"/>
        <v>-2.9071449050624545</v>
      </c>
    </row>
    <row r="943" spans="12:26" x14ac:dyDescent="0.25">
      <c r="L943" s="4">
        <f>_xll.ICETimeline(_xll.ICEJoinRange(M4:W4),"DF[dow:12345][tl:Calendar]","2020-07-26;2024-07-26",108,-1)</f>
        <v>44189.5</v>
      </c>
      <c r="M943">
        <f>_xll.ICEHistory(M$4,M$5,"DF[dow:12345][tl:Calendar]",$L943)</f>
        <v>31.97</v>
      </c>
      <c r="N943">
        <f>_xll.ICEHistory(M$4,N$5,"DF[dow:12345][tl:Calendar]",$L943)</f>
        <v>32.4</v>
      </c>
      <c r="O943">
        <f>_xll.ICEHistory(M$4,O$5,"DF[dow:12345][tl:Calendar]",$L943)</f>
        <v>31.79</v>
      </c>
      <c r="P943">
        <f>_xll.ICEHistory(M$4,P$5,"DF[dow:12345][tl:Calendar]",$L943)</f>
        <v>32.08</v>
      </c>
      <c r="Q943">
        <f>_xll.ICEHistory(M$4,Q$5,"DF[dow:12345][tl:Calendar]",$L943)</f>
        <v>3407</v>
      </c>
      <c r="R943">
        <f>_xll.ICEHistory(M$4,R$5,"DF[dow:12345][tl:Calendar]",$L943)</f>
        <v>492359</v>
      </c>
      <c r="S943">
        <f>_xll.ICEHistory(S$4,S$5,"DF[dow:12345][tl:Calendar]",$L943)</f>
        <v>17.649999999999999</v>
      </c>
      <c r="T943">
        <f>_xll.ICEHistory(S$4,T$5,"DF[dow:12345][tl:Calendar]",$L943)</f>
        <v>17.649999999999999</v>
      </c>
      <c r="U943">
        <f>_xll.ICEHistory(S$4,U$5,"DF[dow:12345][tl:Calendar]",$L943)</f>
        <v>17.649999999999999</v>
      </c>
      <c r="V943">
        <f>_xll.ICEHistory(S$4,V$5,"DF[dow:12345][tl:Calendar]",$L943)</f>
        <v>17.649999999999999</v>
      </c>
      <c r="W943">
        <f>_xll.ICEHistory(S$4,W$5,"DF[dow:12345][tl:Calendar]",$L943)</f>
        <v>0</v>
      </c>
      <c r="X943">
        <f t="shared" si="42"/>
        <v>1.9677419354838691E-2</v>
      </c>
      <c r="Y943">
        <f t="shared" si="43"/>
        <v>-1.4348429853610805</v>
      </c>
      <c r="Z943">
        <f t="shared" si="44"/>
        <v>-2.7773828266388292</v>
      </c>
    </row>
    <row r="944" spans="12:26" x14ac:dyDescent="0.25">
      <c r="L944" s="4">
        <f>_xll.ICETimeline(_xll.ICEJoinRange(M4:W4),"DF[dow:12345][tl:Calendar]","2020-07-26;2024-07-26",107,-1)</f>
        <v>44188.5</v>
      </c>
      <c r="M944">
        <f>_xll.ICEHistory(M$4,M$5,"DF[dow:12345][tl:Calendar]",$L944)</f>
        <v>31</v>
      </c>
      <c r="N944">
        <f>_xll.ICEHistory(M$4,N$5,"DF[dow:12345][tl:Calendar]",$L944)</f>
        <v>31.98</v>
      </c>
      <c r="O944">
        <f>_xll.ICEHistory(M$4,O$5,"DF[dow:12345][tl:Calendar]",$L944)</f>
        <v>31</v>
      </c>
      <c r="P944">
        <f>_xll.ICEHistory(M$4,P$5,"DF[dow:12345][tl:Calendar]",$L944)</f>
        <v>31.92</v>
      </c>
      <c r="Q944">
        <f>_xll.ICEHistory(M$4,Q$5,"DF[dow:12345][tl:Calendar]",$L944)</f>
        <v>8541</v>
      </c>
      <c r="R944">
        <f>_xll.ICEHistory(M$4,R$5,"DF[dow:12345][tl:Calendar]",$L944)</f>
        <v>492133</v>
      </c>
      <c r="S944">
        <f>_xll.ICEHistory(S$4,S$5,"DF[dow:12345][tl:Calendar]",$L944)</f>
        <v>17.649999999999999</v>
      </c>
      <c r="T944">
        <f>_xll.ICEHistory(S$4,T$5,"DF[dow:12345][tl:Calendar]",$L944)</f>
        <v>17.649999999999999</v>
      </c>
      <c r="U944">
        <f>_xll.ICEHistory(S$4,U$5,"DF[dow:12345][tl:Calendar]",$L944)</f>
        <v>17.5</v>
      </c>
      <c r="V944">
        <f>_xll.ICEHistory(S$4,V$5,"DF[dow:12345][tl:Calendar]",$L944)</f>
        <v>17.504999999999999</v>
      </c>
      <c r="W944">
        <f>_xll.ICEHistory(S$4,W$5,"DF[dow:12345][tl:Calendar]",$L944)</f>
        <v>77</v>
      </c>
      <c r="X944">
        <f t="shared" si="42"/>
        <v>3.1973898858075056E-2</v>
      </c>
      <c r="Y944">
        <f t="shared" si="43"/>
        <v>-0.48825751841391762</v>
      </c>
      <c r="Z944">
        <f t="shared" si="44"/>
        <v>-2.3799695885176555</v>
      </c>
    </row>
    <row r="945" spans="12:26" x14ac:dyDescent="0.25">
      <c r="L945" s="4">
        <f>_xll.ICETimeline(_xll.ICEJoinRange(M4:W4),"DF[dow:12345][tl:Calendar]","2020-07-26;2024-07-26",106,-1)</f>
        <v>44187.5</v>
      </c>
      <c r="M945">
        <f>_xll.ICEHistory(M$4,M$5,"DF[dow:12345][tl:Calendar]",$L945)</f>
        <v>30.65</v>
      </c>
      <c r="N945">
        <f>_xll.ICEHistory(M$4,N$5,"DF[dow:12345][tl:Calendar]",$L945)</f>
        <v>31.37</v>
      </c>
      <c r="O945">
        <f>_xll.ICEHistory(M$4,O$5,"DF[dow:12345][tl:Calendar]",$L945)</f>
        <v>30.43</v>
      </c>
      <c r="P945">
        <f>_xll.ICEHistory(M$4,P$5,"DF[dow:12345][tl:Calendar]",$L945)</f>
        <v>31.15</v>
      </c>
      <c r="Q945">
        <f>_xll.ICEHistory(M$4,Q$5,"DF[dow:12345][tl:Calendar]",$L945)</f>
        <v>11711</v>
      </c>
      <c r="R945">
        <f>_xll.ICEHistory(M$4,R$5,"DF[dow:12345][tl:Calendar]",$L945)</f>
        <v>492224</v>
      </c>
      <c r="S945">
        <f>_xll.ICEHistory(S$4,S$5,"DF[dow:12345][tl:Calendar]",$L945)</f>
        <v>17.2</v>
      </c>
      <c r="T945">
        <f>_xll.ICEHistory(S$4,T$5,"DF[dow:12345][tl:Calendar]",$L945)</f>
        <v>17.75</v>
      </c>
      <c r="U945">
        <f>_xll.ICEHistory(S$4,U$5,"DF[dow:12345][tl:Calendar]",$L945)</f>
        <v>17.175000000000001</v>
      </c>
      <c r="V945">
        <f>_xll.ICEHistory(S$4,V$5,"DF[dow:12345][tl:Calendar]",$L945)</f>
        <v>17.635000000000002</v>
      </c>
      <c r="W945">
        <f>_xll.ICEHistory(S$4,W$5,"DF[dow:12345][tl:Calendar]",$L945)</f>
        <v>210</v>
      </c>
      <c r="X945">
        <f t="shared" si="42"/>
        <v>3.0519480519480561E-2</v>
      </c>
      <c r="Y945">
        <f t="shared" si="43"/>
        <v>-0.62143880745070468</v>
      </c>
      <c r="Z945">
        <f t="shared" si="44"/>
        <v>-2.1170347328148988</v>
      </c>
    </row>
    <row r="946" spans="12:26" x14ac:dyDescent="0.25">
      <c r="L946" s="4">
        <f>_xll.ICETimeline(_xll.ICEJoinRange(M4:W4),"DF[dow:12345][tl:Calendar]","2020-07-26;2024-07-26",105,-1)</f>
        <v>44186.5</v>
      </c>
      <c r="M946">
        <f>_xll.ICEHistory(M$4,M$5,"DF[dow:12345][tl:Calendar]",$L946)</f>
        <v>30.8</v>
      </c>
      <c r="N946">
        <f>_xll.ICEHistory(M$4,N$5,"DF[dow:12345][tl:Calendar]",$L946)</f>
        <v>30.97</v>
      </c>
      <c r="O946">
        <f>_xll.ICEHistory(M$4,O$5,"DF[dow:12345][tl:Calendar]",$L946)</f>
        <v>29.71</v>
      </c>
      <c r="P946">
        <f>_xll.ICEHistory(M$4,P$5,"DF[dow:12345][tl:Calendar]",$L946)</f>
        <v>30.89</v>
      </c>
      <c r="Q946">
        <f>_xll.ICEHistory(M$4,Q$5,"DF[dow:12345][tl:Calendar]",$L946)</f>
        <v>22094</v>
      </c>
      <c r="R946">
        <f>_xll.ICEHistory(M$4,R$5,"DF[dow:12345][tl:Calendar]",$L946)</f>
        <v>493217</v>
      </c>
      <c r="S946">
        <f>_xll.ICEHistory(S$4,S$5,"DF[dow:12345][tl:Calendar]",$L946)</f>
        <v>16.399999999999999</v>
      </c>
      <c r="T946">
        <f>_xll.ICEHistory(S$4,T$5,"DF[dow:12345][tl:Calendar]",$L946)</f>
        <v>16.850000000000001</v>
      </c>
      <c r="U946">
        <f>_xll.ICEHistory(S$4,U$5,"DF[dow:12345][tl:Calendar]",$L946)</f>
        <v>16.25</v>
      </c>
      <c r="V946">
        <f>_xll.ICEHistory(S$4,V$5,"DF[dow:12345][tl:Calendar]",$L946)</f>
        <v>16.795000000000002</v>
      </c>
      <c r="W946">
        <f>_xll.ICEHistory(S$4,W$5,"DF[dow:12345][tl:Calendar]",$L946)</f>
        <v>181</v>
      </c>
      <c r="X946">
        <f t="shared" si="42"/>
        <v>3.9374999999999938E-2</v>
      </c>
      <c r="Y946">
        <f t="shared" si="43"/>
        <v>-9.0436890641074612E-3</v>
      </c>
      <c r="Z946">
        <f t="shared" si="44"/>
        <v>-0.88979592469422986</v>
      </c>
    </row>
    <row r="947" spans="12:26" x14ac:dyDescent="0.25">
      <c r="L947" s="4">
        <f>_xll.ICETimeline(_xll.ICEJoinRange(M4:W4),"DF[dow:12345][tl:Calendar]","2020-07-26;2024-07-26",104,-1)</f>
        <v>44183.5</v>
      </c>
      <c r="M947">
        <f>_xll.ICEHistory(M$4,M$5,"DF[dow:12345][tl:Calendar]",$L947)</f>
        <v>32</v>
      </c>
      <c r="N947">
        <f>_xll.ICEHistory(M$4,N$5,"DF[dow:12345][tl:Calendar]",$L947)</f>
        <v>32</v>
      </c>
      <c r="O947">
        <f>_xll.ICEHistory(M$4,O$5,"DF[dow:12345][tl:Calendar]",$L947)</f>
        <v>30.78</v>
      </c>
      <c r="P947">
        <f>_xll.ICEHistory(M$4,P$5,"DF[dow:12345][tl:Calendar]",$L947)</f>
        <v>31.1</v>
      </c>
      <c r="Q947">
        <f>_xll.ICEHistory(M$4,Q$5,"DF[dow:12345][tl:Calendar]",$L947)</f>
        <v>14846</v>
      </c>
      <c r="R947">
        <f>_xll.ICEHistory(M$4,R$5,"DF[dow:12345][tl:Calendar]",$L947)</f>
        <v>495058</v>
      </c>
      <c r="S947">
        <f>_xll.ICEHistory(S$4,S$5,"DF[dow:12345][tl:Calendar]",$L947)</f>
        <v>15.75</v>
      </c>
      <c r="T947">
        <f>_xll.ICEHistory(S$4,T$5,"DF[dow:12345][tl:Calendar]",$L947)</f>
        <v>15.975</v>
      </c>
      <c r="U947">
        <f>_xll.ICEHistory(S$4,U$5,"DF[dow:12345][tl:Calendar]",$L947)</f>
        <v>15.69</v>
      </c>
      <c r="V947">
        <f>_xll.ICEHistory(S$4,V$5,"DF[dow:12345][tl:Calendar]",$L947)</f>
        <v>15.885</v>
      </c>
      <c r="W947">
        <f>_xll.ICEHistory(S$4,W$5,"DF[dow:12345][tl:Calendar]",$L947)</f>
        <v>190</v>
      </c>
      <c r="X947">
        <f t="shared" si="42"/>
        <v>3.8244514106583041E-2</v>
      </c>
      <c r="Y947">
        <f t="shared" si="43"/>
        <v>-0.11047143955979837</v>
      </c>
      <c r="Z947">
        <f t="shared" si="44"/>
        <v>-1.8137426875940288</v>
      </c>
    </row>
    <row r="948" spans="12:26" x14ac:dyDescent="0.25">
      <c r="L948" s="4">
        <f>_xll.ICETimeline(_xll.ICEJoinRange(M4:W4),"DF[dow:12345][tl:Calendar]","2020-07-26;2024-07-26",103,-1)</f>
        <v>44182.5</v>
      </c>
      <c r="M948">
        <f>_xll.ICEHistory(M$4,M$5,"DF[dow:12345][tl:Calendar]",$L948)</f>
        <v>31.9</v>
      </c>
      <c r="N948">
        <f>_xll.ICEHistory(M$4,N$5,"DF[dow:12345][tl:Calendar]",$L948)</f>
        <v>32.4</v>
      </c>
      <c r="O948">
        <f>_xll.ICEHistory(M$4,O$5,"DF[dow:12345][tl:Calendar]",$L948)</f>
        <v>31.49</v>
      </c>
      <c r="P948">
        <f>_xll.ICEHistory(M$4,P$5,"DF[dow:12345][tl:Calendar]",$L948)</f>
        <v>31.96</v>
      </c>
      <c r="Q948">
        <f>_xll.ICEHistory(M$4,Q$5,"DF[dow:12345][tl:Calendar]",$L948)</f>
        <v>24613</v>
      </c>
      <c r="R948">
        <f>_xll.ICEHistory(M$4,R$5,"DF[dow:12345][tl:Calendar]",$L948)</f>
        <v>496225</v>
      </c>
      <c r="S948">
        <f>_xll.ICEHistory(S$4,S$5,"DF[dow:12345][tl:Calendar]",$L948)</f>
        <v>16.175000000000001</v>
      </c>
      <c r="T948">
        <f>_xll.ICEHistory(S$4,T$5,"DF[dow:12345][tl:Calendar]",$L948)</f>
        <v>16.324999999999999</v>
      </c>
      <c r="U948">
        <f>_xll.ICEHistory(S$4,U$5,"DF[dow:12345][tl:Calendar]",$L948)</f>
        <v>15.9</v>
      </c>
      <c r="V948">
        <f>_xll.ICEHistory(S$4,V$5,"DF[dow:12345][tl:Calendar]",$L948)</f>
        <v>15.94</v>
      </c>
      <c r="W948">
        <f>_xll.ICEHistory(S$4,W$5,"DF[dow:12345][tl:Calendar]",$L948)</f>
        <v>186</v>
      </c>
      <c r="X948">
        <f t="shared" si="42"/>
        <v>2.807775377969763E-2</v>
      </c>
      <c r="Y948">
        <f t="shared" si="43"/>
        <v>-0.80680542799911414</v>
      </c>
      <c r="Z948">
        <f t="shared" si="44"/>
        <v>-0.61271924262363031</v>
      </c>
    </row>
    <row r="949" spans="12:26" x14ac:dyDescent="0.25">
      <c r="L949" s="4">
        <f>_xll.ICETimeline(_xll.ICEJoinRange(M4:W4),"DF[dow:12345][tl:Calendar]","2020-07-26;2024-07-26",102,-1)</f>
        <v>44181.5</v>
      </c>
      <c r="M949">
        <f>_xll.ICEHistory(M$4,M$5,"DF[dow:12345][tl:Calendar]",$L949)</f>
        <v>32.409999999999997</v>
      </c>
      <c r="N949">
        <f>_xll.ICEHistory(M$4,N$5,"DF[dow:12345][tl:Calendar]",$L949)</f>
        <v>32.5</v>
      </c>
      <c r="O949">
        <f>_xll.ICEHistory(M$4,O$5,"DF[dow:12345][tl:Calendar]",$L949)</f>
        <v>31.42</v>
      </c>
      <c r="P949">
        <f>_xll.ICEHistory(M$4,P$5,"DF[dow:12345][tl:Calendar]",$L949)</f>
        <v>31.78</v>
      </c>
      <c r="Q949">
        <f>_xll.ICEHistory(M$4,Q$5,"DF[dow:12345][tl:Calendar]",$L949)</f>
        <v>24029</v>
      </c>
      <c r="R949">
        <f>_xll.ICEHistory(M$4,R$5,"DF[dow:12345][tl:Calendar]",$L949)</f>
        <v>497948</v>
      </c>
      <c r="S949">
        <f>_xll.ICEHistory(S$4,S$5,"DF[dow:12345][tl:Calendar]",$L949)</f>
        <v>17.05</v>
      </c>
      <c r="T949">
        <f>_xll.ICEHistory(S$4,T$5,"DF[dow:12345][tl:Calendar]",$L949)</f>
        <v>17.05</v>
      </c>
      <c r="U949">
        <f>_xll.ICEHistory(S$4,U$5,"DF[dow:12345][tl:Calendar]",$L949)</f>
        <v>16.260000000000002</v>
      </c>
      <c r="V949">
        <f>_xll.ICEHistory(S$4,V$5,"DF[dow:12345][tl:Calendar]",$L949)</f>
        <v>16.38</v>
      </c>
      <c r="W949">
        <f>_xll.ICEHistory(S$4,W$5,"DF[dow:12345][tl:Calendar]",$L949)</f>
        <v>180</v>
      </c>
      <c r="X949">
        <f t="shared" si="42"/>
        <v>3.4838709677419297E-2</v>
      </c>
      <c r="Y949">
        <f t="shared" si="43"/>
        <v>-0.36588880567940268</v>
      </c>
      <c r="Z949">
        <f t="shared" si="44"/>
        <v>-0.70512741232648291</v>
      </c>
    </row>
    <row r="950" spans="12:26" x14ac:dyDescent="0.25">
      <c r="L950" s="4">
        <f>_xll.ICETimeline(_xll.ICEJoinRange(M4:W4),"DF[dow:12345][tl:Calendar]","2020-07-26;2024-07-26",101,-1)</f>
        <v>44180.5</v>
      </c>
      <c r="M950">
        <f>_xll.ICEHistory(M$4,M$5,"DF[dow:12345][tl:Calendar]",$L950)</f>
        <v>31</v>
      </c>
      <c r="N950">
        <f>_xll.ICEHistory(M$4,N$5,"DF[dow:12345][tl:Calendar]",$L950)</f>
        <v>32.4</v>
      </c>
      <c r="O950">
        <f>_xll.ICEHistory(M$4,O$5,"DF[dow:12345][tl:Calendar]",$L950)</f>
        <v>30.92</v>
      </c>
      <c r="P950">
        <f>_xll.ICEHistory(M$4,P$5,"DF[dow:12345][tl:Calendar]",$L950)</f>
        <v>32.18</v>
      </c>
      <c r="Q950">
        <f>_xll.ICEHistory(M$4,Q$5,"DF[dow:12345][tl:Calendar]",$L950)</f>
        <v>23868</v>
      </c>
      <c r="R950">
        <f>_xll.ICEHistory(M$4,R$5,"DF[dow:12345][tl:Calendar]",$L950)</f>
        <v>499723</v>
      </c>
      <c r="S950">
        <f>_xll.ICEHistory(S$4,S$5,"DF[dow:12345][tl:Calendar]",$L950)</f>
        <v>17.100000000000001</v>
      </c>
      <c r="T950">
        <f>_xll.ICEHistory(S$4,T$5,"DF[dow:12345][tl:Calendar]",$L950)</f>
        <v>17.265000000000001</v>
      </c>
      <c r="U950">
        <f>_xll.ICEHistory(S$4,U$5,"DF[dow:12345][tl:Calendar]",$L950)</f>
        <v>16.66</v>
      </c>
      <c r="V950">
        <f>_xll.ICEHistory(S$4,V$5,"DF[dow:12345][tl:Calendar]",$L950)</f>
        <v>17.225000000000001</v>
      </c>
      <c r="W950">
        <f>_xll.ICEHistory(S$4,W$5,"DF[dow:12345][tl:Calendar]",$L950)</f>
        <v>221</v>
      </c>
      <c r="X950">
        <f t="shared" si="42"/>
        <v>4.8492791612057565E-2</v>
      </c>
      <c r="Y950">
        <f t="shared" si="43"/>
        <v>0.57060834787048464</v>
      </c>
      <c r="Z950">
        <f t="shared" si="44"/>
        <v>-0.75010340480684867</v>
      </c>
    </row>
    <row r="951" spans="12:26" x14ac:dyDescent="0.25">
      <c r="L951" s="4">
        <f>_xll.ICETimeline(_xll.ICEJoinRange(M4:W4),"DF[dow:12345][tl:Calendar]","2020-07-26;2024-07-26",100,-1)</f>
        <v>44179.5</v>
      </c>
      <c r="M951">
        <f>_xll.ICEHistory(M$4,M$5,"DF[dow:12345][tl:Calendar]",$L951)</f>
        <v>30.52</v>
      </c>
      <c r="N951">
        <f>_xll.ICEHistory(M$4,N$5,"DF[dow:12345][tl:Calendar]",$L951)</f>
        <v>31.42</v>
      </c>
      <c r="O951">
        <f>_xll.ICEHistory(M$4,O$5,"DF[dow:12345][tl:Calendar]",$L951)</f>
        <v>30.36</v>
      </c>
      <c r="P951">
        <f>_xll.ICEHistory(M$4,P$5,"DF[dow:12345][tl:Calendar]",$L951)</f>
        <v>30.81</v>
      </c>
      <c r="Q951">
        <f>_xll.ICEHistory(M$4,Q$5,"DF[dow:12345][tl:Calendar]",$L951)</f>
        <v>10399</v>
      </c>
      <c r="R951">
        <f>_xll.ICEHistory(M$4,R$5,"DF[dow:12345][tl:Calendar]",$L951)</f>
        <v>279967</v>
      </c>
      <c r="S951">
        <f>_xll.ICEHistory(S$4,S$5,"DF[dow:12345][tl:Calendar]",$L951)</f>
        <v>16.45</v>
      </c>
      <c r="T951">
        <f>_xll.ICEHistory(S$4,T$5,"DF[dow:12345][tl:Calendar]",$L951)</f>
        <v>16.925000000000001</v>
      </c>
      <c r="U951">
        <f>_xll.ICEHistory(S$4,U$5,"DF[dow:12345][tl:Calendar]",$L951)</f>
        <v>16.45</v>
      </c>
      <c r="V951">
        <f>_xll.ICEHistory(S$4,V$5,"DF[dow:12345][tl:Calendar]",$L951)</f>
        <v>16.605</v>
      </c>
      <c r="W951">
        <f>_xll.ICEHistory(S$4,W$5,"DF[dow:12345][tl:Calendar]",$L951)</f>
        <v>159</v>
      </c>
      <c r="X951">
        <f t="shared" si="42"/>
        <v>3.4426761935693481E-2</v>
      </c>
      <c r="Y951">
        <f t="shared" si="43"/>
        <v>-0.39538280166115181</v>
      </c>
      <c r="Z951">
        <f t="shared" si="44"/>
        <v>-2.513445057532695</v>
      </c>
    </row>
    <row r="952" spans="12:26" x14ac:dyDescent="0.25">
      <c r="L952" s="4">
        <f>_xll.ICETimeline(_xll.ICEJoinRange(M4:W4),"DF[dow:12345][tl:Calendar]","2020-07-26;2024-07-26",99,-1)</f>
        <v>44176.5</v>
      </c>
      <c r="M952">
        <f>_xll.ICEHistory(M$4,M$5,"DF[dow:12345][tl:Calendar]",$L952)</f>
        <v>30.79</v>
      </c>
      <c r="N952">
        <f>_xll.ICEHistory(M$4,N$5,"DF[dow:12345][tl:Calendar]",$L952)</f>
        <v>31.3</v>
      </c>
      <c r="O952">
        <f>_xll.ICEHistory(M$4,O$5,"DF[dow:12345][tl:Calendar]",$L952)</f>
        <v>30.3</v>
      </c>
      <c r="P952">
        <f>_xll.ICEHistory(M$4,P$5,"DF[dow:12345][tl:Calendar]",$L952)</f>
        <v>30.52</v>
      </c>
      <c r="Q952">
        <f>_xll.ICEHistory(M$4,Q$5,"DF[dow:12345][tl:Calendar]",$L952)</f>
        <v>22111</v>
      </c>
      <c r="R952">
        <f>_xll.ICEHistory(M$4,R$5,"DF[dow:12345][tl:Calendar]",$L952)</f>
        <v>285625</v>
      </c>
      <c r="S952">
        <f>_xll.ICEHistory(S$4,S$5,"DF[dow:12345][tl:Calendar]",$L952)</f>
        <v>15.525</v>
      </c>
      <c r="T952">
        <f>_xll.ICEHistory(S$4,T$5,"DF[dow:12345][tl:Calendar]",$L952)</f>
        <v>15.96</v>
      </c>
      <c r="U952">
        <f>_xll.ICEHistory(S$4,U$5,"DF[dow:12345][tl:Calendar]",$L952)</f>
        <v>15.3</v>
      </c>
      <c r="V952">
        <f>_xll.ICEHistory(S$4,V$5,"DF[dow:12345][tl:Calendar]",$L952)</f>
        <v>15.96</v>
      </c>
      <c r="W952">
        <f>_xll.ICEHistory(S$4,W$5,"DF[dow:12345][tl:Calendar]",$L952)</f>
        <v>175</v>
      </c>
      <c r="X952">
        <f t="shared" si="42"/>
        <v>3.3681374200067359E-2</v>
      </c>
      <c r="Y952">
        <f t="shared" si="43"/>
        <v>-0.4698524394954201</v>
      </c>
      <c r="Z952">
        <f t="shared" si="44"/>
        <v>-1.0486875094914683</v>
      </c>
    </row>
    <row r="953" spans="12:26" x14ac:dyDescent="0.25">
      <c r="L953" s="4">
        <f>_xll.ICETimeline(_xll.ICEJoinRange(M4:W4),"DF[dow:12345][tl:Calendar]","2020-07-26;2024-07-26",98,-1)</f>
        <v>44175.5</v>
      </c>
      <c r="M953">
        <f>_xll.ICEHistory(M$4,M$5,"DF[dow:12345][tl:Calendar]",$L953)</f>
        <v>29.69</v>
      </c>
      <c r="N953">
        <f>_xll.ICEHistory(M$4,N$5,"DF[dow:12345][tl:Calendar]",$L953)</f>
        <v>31</v>
      </c>
      <c r="O953">
        <f>_xll.ICEHistory(M$4,O$5,"DF[dow:12345][tl:Calendar]",$L953)</f>
        <v>29.62</v>
      </c>
      <c r="P953">
        <f>_xll.ICEHistory(M$4,P$5,"DF[dow:12345][tl:Calendar]",$L953)</f>
        <v>30.9</v>
      </c>
      <c r="Q953">
        <f>_xll.ICEHistory(M$4,Q$5,"DF[dow:12345][tl:Calendar]",$L953)</f>
        <v>41905</v>
      </c>
      <c r="R953">
        <f>_xll.ICEHistory(M$4,R$5,"DF[dow:12345][tl:Calendar]",$L953)</f>
        <v>293609</v>
      </c>
      <c r="S953">
        <f>_xll.ICEHistory(S$4,S$5,"DF[dow:12345][tl:Calendar]",$L953)</f>
        <v>15.3</v>
      </c>
      <c r="T953">
        <f>_xll.ICEHistory(S$4,T$5,"DF[dow:12345][tl:Calendar]",$L953)</f>
        <v>15.55</v>
      </c>
      <c r="U953">
        <f>_xll.ICEHistory(S$4,U$5,"DF[dow:12345][tl:Calendar]",$L953)</f>
        <v>15.275</v>
      </c>
      <c r="V953">
        <f>_xll.ICEHistory(S$4,V$5,"DF[dow:12345][tl:Calendar]",$L953)</f>
        <v>15.54</v>
      </c>
      <c r="W953">
        <f>_xll.ICEHistory(S$4,W$5,"DF[dow:12345][tl:Calendar]",$L953)</f>
        <v>315</v>
      </c>
      <c r="X953">
        <f t="shared" si="42"/>
        <v>4.6732136810023667E-2</v>
      </c>
      <c r="Y953">
        <f t="shared" si="43"/>
        <v>0.3851765810968712</v>
      </c>
      <c r="Z953">
        <f t="shared" si="44"/>
        <v>1.5876020742321642</v>
      </c>
    </row>
    <row r="954" spans="12:26" x14ac:dyDescent="0.25">
      <c r="L954" s="4">
        <f>_xll.ICETimeline(_xll.ICEJoinRange(M4:W4),"DF[dow:12345][tl:Calendar]","2020-07-26;2024-07-26",97,-1)</f>
        <v>44174.5</v>
      </c>
      <c r="M954">
        <f>_xll.ICEHistory(M$4,M$5,"DF[dow:12345][tl:Calendar]",$L954)</f>
        <v>29.53</v>
      </c>
      <c r="N954">
        <f>_xll.ICEHistory(M$4,N$5,"DF[dow:12345][tl:Calendar]",$L954)</f>
        <v>30.16</v>
      </c>
      <c r="O954">
        <f>_xll.ICEHistory(M$4,O$5,"DF[dow:12345][tl:Calendar]",$L954)</f>
        <v>29.53</v>
      </c>
      <c r="P954">
        <f>_xll.ICEHistory(M$4,P$5,"DF[dow:12345][tl:Calendar]",$L954)</f>
        <v>29.7</v>
      </c>
      <c r="Q954">
        <f>_xll.ICEHistory(M$4,Q$5,"DF[dow:12345][tl:Calendar]",$L954)</f>
        <v>38578</v>
      </c>
      <c r="R954">
        <f>_xll.ICEHistory(M$4,R$5,"DF[dow:12345][tl:Calendar]",$L954)</f>
        <v>287904</v>
      </c>
      <c r="S954">
        <f>_xll.ICEHistory(S$4,S$5,"DF[dow:12345][tl:Calendar]",$L954)</f>
        <v>14.35</v>
      </c>
      <c r="T954">
        <f>_xll.ICEHistory(S$4,T$5,"DF[dow:12345][tl:Calendar]",$L954)</f>
        <v>14.734999999999999</v>
      </c>
      <c r="U954">
        <f>_xll.ICEHistory(S$4,U$5,"DF[dow:12345][tl:Calendar]",$L954)</f>
        <v>14.35</v>
      </c>
      <c r="V954">
        <f>_xll.ICEHistory(S$4,V$5,"DF[dow:12345][tl:Calendar]",$L954)</f>
        <v>14.734999999999999</v>
      </c>
      <c r="W954">
        <f>_xll.ICEHistory(S$4,W$5,"DF[dow:12345][tl:Calendar]",$L954)</f>
        <v>128</v>
      </c>
      <c r="X954">
        <f t="shared" si="42"/>
        <v>2.1319796954314688E-2</v>
      </c>
      <c r="Y954">
        <f t="shared" si="43"/>
        <v>-1.2918901908647515</v>
      </c>
      <c r="Z954">
        <f t="shared" si="44"/>
        <v>1.187927288772062</v>
      </c>
    </row>
    <row r="955" spans="12:26" x14ac:dyDescent="0.25">
      <c r="L955" s="4">
        <f>_xll.ICETimeline(_xll.ICEJoinRange(M4:W4),"DF[dow:12345][tl:Calendar]","2020-07-26;2024-07-26",96,-1)</f>
        <v>44173.5</v>
      </c>
      <c r="M955">
        <f>_xll.ICEHistory(M$4,M$5,"DF[dow:12345][tl:Calendar]",$L955)</f>
        <v>29.55</v>
      </c>
      <c r="N955">
        <f>_xll.ICEHistory(M$4,N$5,"DF[dow:12345][tl:Calendar]",$L955)</f>
        <v>30</v>
      </c>
      <c r="O955">
        <f>_xll.ICEHistory(M$4,O$5,"DF[dow:12345][tl:Calendar]",$L955)</f>
        <v>29.47</v>
      </c>
      <c r="P955">
        <f>_xll.ICEHistory(M$4,P$5,"DF[dow:12345][tl:Calendar]",$L955)</f>
        <v>29.57</v>
      </c>
      <c r="Q955">
        <f>_xll.ICEHistory(M$4,Q$5,"DF[dow:12345][tl:Calendar]",$L955)</f>
        <v>49595</v>
      </c>
      <c r="R955">
        <f>_xll.ICEHistory(M$4,R$5,"DF[dow:12345][tl:Calendar]",$L955)</f>
        <v>302006</v>
      </c>
      <c r="S955">
        <f>_xll.ICEHistory(S$4,S$5,"DF[dow:12345][tl:Calendar]",$L955)</f>
        <v>14.3</v>
      </c>
      <c r="T955">
        <f>_xll.ICEHistory(S$4,T$5,"DF[dow:12345][tl:Calendar]",$L955)</f>
        <v>14.63</v>
      </c>
      <c r="U955">
        <f>_xll.ICEHistory(S$4,U$5,"DF[dow:12345][tl:Calendar]",$L955)</f>
        <v>14.3</v>
      </c>
      <c r="V955">
        <f>_xll.ICEHistory(S$4,V$5,"DF[dow:12345][tl:Calendar]",$L955)</f>
        <v>14.445</v>
      </c>
      <c r="W955">
        <f>_xll.ICEHistory(S$4,W$5,"DF[dow:12345][tl:Calendar]",$L955)</f>
        <v>710</v>
      </c>
      <c r="X955">
        <f t="shared" si="42"/>
        <v>1.7713903743315544E-2</v>
      </c>
      <c r="Y955">
        <f t="shared" si="43"/>
        <v>-1.573312557547776</v>
      </c>
      <c r="Z955">
        <f t="shared" si="44"/>
        <v>2.7490250520780886</v>
      </c>
    </row>
    <row r="956" spans="12:26" x14ac:dyDescent="0.25">
      <c r="L956" s="4">
        <f>_xll.ICETimeline(_xll.ICEJoinRange(M4:W4),"DF[dow:12345][tl:Calendar]","2020-07-26;2024-07-26",95,-1)</f>
        <v>44172.5</v>
      </c>
      <c r="M956">
        <f>_xll.ICEHistory(M$4,M$5,"DF[dow:12345][tl:Calendar]",$L956)</f>
        <v>29.92</v>
      </c>
      <c r="N956">
        <f>_xll.ICEHistory(M$4,N$5,"DF[dow:12345][tl:Calendar]",$L956)</f>
        <v>29.96</v>
      </c>
      <c r="O956">
        <f>_xll.ICEHistory(M$4,O$5,"DF[dow:12345][tl:Calendar]",$L956)</f>
        <v>29.44</v>
      </c>
      <c r="P956">
        <f>_xll.ICEHistory(M$4,P$5,"DF[dow:12345][tl:Calendar]",$L956)</f>
        <v>29.62</v>
      </c>
      <c r="Q956">
        <f>_xll.ICEHistory(M$4,Q$5,"DF[dow:12345][tl:Calendar]",$L956)</f>
        <v>25359</v>
      </c>
      <c r="R956">
        <f>_xll.ICEHistory(M$4,R$5,"DF[dow:12345][tl:Calendar]",$L956)</f>
        <v>307987</v>
      </c>
      <c r="S956">
        <f>_xll.ICEHistory(S$4,S$5,"DF[dow:12345][tl:Calendar]",$L956)</f>
        <v>14.1</v>
      </c>
      <c r="T956">
        <f>_xll.ICEHistory(S$4,T$5,"DF[dow:12345][tl:Calendar]",$L956)</f>
        <v>14.4</v>
      </c>
      <c r="U956">
        <f>_xll.ICEHistory(S$4,U$5,"DF[dow:12345][tl:Calendar]",$L956)</f>
        <v>14.1</v>
      </c>
      <c r="V956">
        <f>_xll.ICEHistory(S$4,V$5,"DF[dow:12345][tl:Calendar]",$L956)</f>
        <v>14.355</v>
      </c>
      <c r="W956">
        <f>_xll.ICEHistory(S$4,W$5,"DF[dow:12345][tl:Calendar]",$L956)</f>
        <v>400</v>
      </c>
      <c r="X956">
        <f t="shared" si="42"/>
        <v>1.7993079584775074E-2</v>
      </c>
      <c r="Y956">
        <f t="shared" si="43"/>
        <v>-1.6138043136869862</v>
      </c>
      <c r="Z956">
        <f t="shared" si="44"/>
        <v>-0.584329141225994</v>
      </c>
    </row>
    <row r="957" spans="12:26" x14ac:dyDescent="0.25">
      <c r="L957" s="4">
        <f>_xll.ICETimeline(_xll.ICEJoinRange(M4:W4),"DF[dow:12345][tl:Calendar]","2020-07-26;2024-07-26",94,-1)</f>
        <v>44169.5</v>
      </c>
      <c r="M957">
        <f>_xll.ICEHistory(M$4,M$5,"DF[dow:12345][tl:Calendar]",$L957)</f>
        <v>28.9</v>
      </c>
      <c r="N957">
        <f>_xll.ICEHistory(M$4,N$5,"DF[dow:12345][tl:Calendar]",$L957)</f>
        <v>30.32</v>
      </c>
      <c r="O957">
        <f>_xll.ICEHistory(M$4,O$5,"DF[dow:12345][tl:Calendar]",$L957)</f>
        <v>28.9</v>
      </c>
      <c r="P957">
        <f>_xll.ICEHistory(M$4,P$5,"DF[dow:12345][tl:Calendar]",$L957)</f>
        <v>30.11</v>
      </c>
      <c r="Q957">
        <f>_xll.ICEHistory(M$4,Q$5,"DF[dow:12345][tl:Calendar]",$L957)</f>
        <v>35347</v>
      </c>
      <c r="R957">
        <f>_xll.ICEHistory(M$4,R$5,"DF[dow:12345][tl:Calendar]",$L957)</f>
        <v>313531</v>
      </c>
      <c r="S957">
        <f>_xll.ICEHistory(S$4,S$5,"DF[dow:12345][tl:Calendar]",$L957)</f>
        <v>14.55</v>
      </c>
      <c r="T957">
        <f>_xll.ICEHistory(S$4,T$5,"DF[dow:12345][tl:Calendar]",$L957)</f>
        <v>14.66</v>
      </c>
      <c r="U957">
        <f>_xll.ICEHistory(S$4,U$5,"DF[dow:12345][tl:Calendar]",$L957)</f>
        <v>14.465</v>
      </c>
      <c r="V957">
        <f>_xll.ICEHistory(S$4,V$5,"DF[dow:12345][tl:Calendar]",$L957)</f>
        <v>14.645</v>
      </c>
      <c r="W957">
        <f>_xll.ICEHistory(S$4,W$5,"DF[dow:12345][tl:Calendar]",$L957)</f>
        <v>212</v>
      </c>
      <c r="X957">
        <f t="shared" si="42"/>
        <v>4.7972972972973031E-2</v>
      </c>
      <c r="Y957">
        <f t="shared" si="43"/>
        <v>0.42223993487056316</v>
      </c>
      <c r="Z957">
        <f t="shared" si="44"/>
        <v>0.87967070991245233</v>
      </c>
    </row>
    <row r="958" spans="12:26" x14ac:dyDescent="0.25">
      <c r="L958" s="4">
        <f>_xll.ICETimeline(_xll.ICEJoinRange(M4:W4),"DF[dow:12345][tl:Calendar]","2020-07-26;2024-07-26",93,-1)</f>
        <v>44168.5</v>
      </c>
      <c r="M958">
        <f>_xll.ICEHistory(M$4,M$5,"DF[dow:12345][tl:Calendar]",$L958)</f>
        <v>29.6</v>
      </c>
      <c r="N958">
        <f>_xll.ICEHistory(M$4,N$5,"DF[dow:12345][tl:Calendar]",$L958)</f>
        <v>29.75</v>
      </c>
      <c r="O958">
        <f>_xll.ICEHistory(M$4,O$5,"DF[dow:12345][tl:Calendar]",$L958)</f>
        <v>28.9</v>
      </c>
      <c r="P958">
        <f>_xll.ICEHistory(M$4,P$5,"DF[dow:12345][tl:Calendar]",$L958)</f>
        <v>29</v>
      </c>
      <c r="Q958">
        <f>_xll.ICEHistory(M$4,Q$5,"DF[dow:12345][tl:Calendar]",$L958)</f>
        <v>40029</v>
      </c>
      <c r="R958">
        <f>_xll.ICEHistory(M$4,R$5,"DF[dow:12345][tl:Calendar]",$L958)</f>
        <v>321326</v>
      </c>
      <c r="S958">
        <f>_xll.ICEHistory(S$4,S$5,"DF[dow:12345][tl:Calendar]",$L958)</f>
        <v>14.6</v>
      </c>
      <c r="T958">
        <f>_xll.ICEHistory(S$4,T$5,"DF[dow:12345][tl:Calendar]",$L958)</f>
        <v>14.6</v>
      </c>
      <c r="U958">
        <f>_xll.ICEHistory(S$4,U$5,"DF[dow:12345][tl:Calendar]",$L958)</f>
        <v>14</v>
      </c>
      <c r="V958">
        <f>_xll.ICEHistory(S$4,V$5,"DF[dow:12345][tl:Calendar]",$L958)</f>
        <v>14.145</v>
      </c>
      <c r="W958">
        <f>_xll.ICEHistory(S$4,W$5,"DF[dow:12345][tl:Calendar]",$L958)</f>
        <v>304</v>
      </c>
      <c r="X958">
        <f t="shared" si="42"/>
        <v>2.932045532942399E-2</v>
      </c>
      <c r="Y958">
        <f t="shared" si="43"/>
        <v>-0.87621825800321262</v>
      </c>
      <c r="Z958">
        <f t="shared" si="44"/>
        <v>1.5862961953634982</v>
      </c>
    </row>
    <row r="959" spans="12:26" x14ac:dyDescent="0.25">
      <c r="L959" s="4">
        <f>_xll.ICETimeline(_xll.ICEJoinRange(M4:W4),"DF[dow:12345][tl:Calendar]","2020-07-26;2024-07-26",92,-1)</f>
        <v>44167.5</v>
      </c>
      <c r="M959">
        <f>_xll.ICEHistory(M$4,M$5,"DF[dow:12345][tl:Calendar]",$L959)</f>
        <v>28.99</v>
      </c>
      <c r="N959">
        <f>_xll.ICEHistory(M$4,N$5,"DF[dow:12345][tl:Calendar]",$L959)</f>
        <v>29.65</v>
      </c>
      <c r="O959">
        <f>_xll.ICEHistory(M$4,O$5,"DF[dow:12345][tl:Calendar]",$L959)</f>
        <v>28.55</v>
      </c>
      <c r="P959">
        <f>_xll.ICEHistory(M$4,P$5,"DF[dow:12345][tl:Calendar]",$L959)</f>
        <v>29.55</v>
      </c>
      <c r="Q959">
        <f>_xll.ICEHistory(M$4,Q$5,"DF[dow:12345][tl:Calendar]",$L959)</f>
        <v>46194</v>
      </c>
      <c r="R959">
        <f>_xll.ICEHistory(M$4,R$5,"DF[dow:12345][tl:Calendar]",$L959)</f>
        <v>334056</v>
      </c>
      <c r="S959">
        <f>_xll.ICEHistory(S$4,S$5,"DF[dow:12345][tl:Calendar]",$L959)</f>
        <v>14.45</v>
      </c>
      <c r="T959">
        <f>_xll.ICEHistory(S$4,T$5,"DF[dow:12345][tl:Calendar]",$L959)</f>
        <v>14.95</v>
      </c>
      <c r="U959">
        <f>_xll.ICEHistory(S$4,U$5,"DF[dow:12345][tl:Calendar]",$L959)</f>
        <v>14.45</v>
      </c>
      <c r="V959">
        <f>_xll.ICEHistory(S$4,V$5,"DF[dow:12345][tl:Calendar]",$L959)</f>
        <v>14.904999999999999</v>
      </c>
      <c r="W959">
        <f>_xll.ICEHistory(S$4,W$5,"DF[dow:12345][tl:Calendar]",$L959)</f>
        <v>356</v>
      </c>
      <c r="X959">
        <f t="shared" si="42"/>
        <v>3.7542662116040883E-2</v>
      </c>
      <c r="Y959">
        <f t="shared" si="43"/>
        <v>-0.3260295225443855</v>
      </c>
      <c r="Z959">
        <f t="shared" si="44"/>
        <v>2.5589893694189265</v>
      </c>
    </row>
    <row r="960" spans="12:26" x14ac:dyDescent="0.25">
      <c r="L960" s="4">
        <f>_xll.ICETimeline(_xll.ICEJoinRange(M4:W4),"DF[dow:12345][tl:Calendar]","2020-07-26;2024-07-26",91,-1)</f>
        <v>44166.5</v>
      </c>
      <c r="M960">
        <f>_xll.ICEHistory(M$4,M$5,"DF[dow:12345][tl:Calendar]",$L960)</f>
        <v>29.3</v>
      </c>
      <c r="N960">
        <f>_xll.ICEHistory(M$4,N$5,"DF[dow:12345][tl:Calendar]",$L960)</f>
        <v>30</v>
      </c>
      <c r="O960">
        <f>_xll.ICEHistory(M$4,O$5,"DF[dow:12345][tl:Calendar]",$L960)</f>
        <v>28.71</v>
      </c>
      <c r="P960">
        <f>_xll.ICEHistory(M$4,P$5,"DF[dow:12345][tl:Calendar]",$L960)</f>
        <v>28.86</v>
      </c>
      <c r="Q960">
        <f>_xll.ICEHistory(M$4,Q$5,"DF[dow:12345][tl:Calendar]",$L960)</f>
        <v>51666</v>
      </c>
      <c r="R960">
        <f>_xll.ICEHistory(M$4,R$5,"DF[dow:12345][tl:Calendar]",$L960)</f>
        <v>339995</v>
      </c>
      <c r="S960">
        <f>_xll.ICEHistory(S$4,S$5,"DF[dow:12345][tl:Calendar]",$L960)</f>
        <v>15.475</v>
      </c>
      <c r="T960">
        <f>_xll.ICEHistory(S$4,T$5,"DF[dow:12345][tl:Calendar]",$L960)</f>
        <v>15.475</v>
      </c>
      <c r="U960">
        <f>_xll.ICEHistory(S$4,U$5,"DF[dow:12345][tl:Calendar]",$L960)</f>
        <v>14.775</v>
      </c>
      <c r="V960">
        <f>_xll.ICEHistory(S$4,V$5,"DF[dow:12345][tl:Calendar]",$L960)</f>
        <v>14.91</v>
      </c>
      <c r="W960">
        <f>_xll.ICEHistory(S$4,W$5,"DF[dow:12345][tl:Calendar]",$L960)</f>
        <v>609</v>
      </c>
      <c r="X960">
        <f t="shared" si="42"/>
        <v>4.5502645502645468E-2</v>
      </c>
      <c r="Y960">
        <f t="shared" si="43"/>
        <v>0.22742588801762637</v>
      </c>
      <c r="Z960">
        <f t="shared" si="44"/>
        <v>3.5969661038095828</v>
      </c>
    </row>
    <row r="961" spans="12:26" x14ac:dyDescent="0.25">
      <c r="L961" s="4">
        <f>_xll.ICETimeline(_xll.ICEJoinRange(M4:W4),"DF[dow:12345][tl:Calendar]","2020-07-26;2024-07-26",90,-1)</f>
        <v>44165.5</v>
      </c>
      <c r="M961">
        <f>_xll.ICEHistory(M$4,M$5,"DF[dow:12345][tl:Calendar]",$L961)</f>
        <v>28.35</v>
      </c>
      <c r="N961">
        <f>_xll.ICEHistory(M$4,N$5,"DF[dow:12345][tl:Calendar]",$L961)</f>
        <v>29.4</v>
      </c>
      <c r="O961">
        <f>_xll.ICEHistory(M$4,O$5,"DF[dow:12345][tl:Calendar]",$L961)</f>
        <v>28.04</v>
      </c>
      <c r="P961">
        <f>_xll.ICEHistory(M$4,P$5,"DF[dow:12345][tl:Calendar]",$L961)</f>
        <v>29.14</v>
      </c>
      <c r="Q961">
        <f>_xll.ICEHistory(M$4,Q$5,"DF[dow:12345][tl:Calendar]",$L961)</f>
        <v>41220</v>
      </c>
      <c r="R961">
        <f>_xll.ICEHistory(M$4,R$5,"DF[dow:12345][tl:Calendar]",$L961)</f>
        <v>355405</v>
      </c>
      <c r="S961">
        <f>_xll.ICEHistory(S$4,S$5,"DF[dow:12345][tl:Calendar]",$L961)</f>
        <v>14.984999999999999</v>
      </c>
      <c r="T961">
        <f>_xll.ICEHistory(S$4,T$5,"DF[dow:12345][tl:Calendar]",$L961)</f>
        <v>15.2</v>
      </c>
      <c r="U961">
        <f>_xll.ICEHistory(S$4,U$5,"DF[dow:12345][tl:Calendar]",$L961)</f>
        <v>14.95</v>
      </c>
      <c r="V961">
        <f>_xll.ICEHistory(S$4,V$5,"DF[dow:12345][tl:Calendar]",$L961)</f>
        <v>15.14</v>
      </c>
      <c r="W961">
        <f>_xll.ICEHistory(S$4,W$5,"DF[dow:12345][tl:Calendar]",$L961)</f>
        <v>60</v>
      </c>
      <c r="X961">
        <f t="shared" si="42"/>
        <v>4.8312611012433372E-2</v>
      </c>
      <c r="Y961">
        <f t="shared" si="43"/>
        <v>0.42331022299954763</v>
      </c>
      <c r="Z961">
        <f t="shared" si="44"/>
        <v>2.2186970720751256</v>
      </c>
    </row>
    <row r="962" spans="12:26" x14ac:dyDescent="0.25">
      <c r="L962" s="4">
        <f>_xll.ICETimeline(_xll.ICEJoinRange(M4:W4),"DF[dow:12345][tl:Calendar]","2020-07-26;2024-07-26",89,-1)</f>
        <v>44162.5</v>
      </c>
      <c r="M962">
        <f>_xll.ICEHistory(M$4,M$5,"DF[dow:12345][tl:Calendar]",$L962)</f>
        <v>28.15</v>
      </c>
      <c r="N962">
        <f>_xll.ICEHistory(M$4,N$5,"DF[dow:12345][tl:Calendar]",$L962)</f>
        <v>28.67</v>
      </c>
      <c r="O962">
        <f>_xll.ICEHistory(M$4,O$5,"DF[dow:12345][tl:Calendar]",$L962)</f>
        <v>27.88</v>
      </c>
      <c r="P962">
        <f>_xll.ICEHistory(M$4,P$5,"DF[dow:12345][tl:Calendar]",$L962)</f>
        <v>28.13</v>
      </c>
      <c r="Q962">
        <f>_xll.ICEHistory(M$4,Q$5,"DF[dow:12345][tl:Calendar]",$L962)</f>
        <v>31247</v>
      </c>
      <c r="R962">
        <f>_xll.ICEHistory(M$4,R$5,"DF[dow:12345][tl:Calendar]",$L962)</f>
        <v>368601</v>
      </c>
      <c r="S962">
        <f>_xll.ICEHistory(S$4,S$5,"DF[dow:12345][tl:Calendar]",$L962)</f>
        <v>13.835000000000001</v>
      </c>
      <c r="T962">
        <f>_xll.ICEHistory(S$4,T$5,"DF[dow:12345][tl:Calendar]",$L962)</f>
        <v>14.6</v>
      </c>
      <c r="U962">
        <f>_xll.ICEHistory(S$4,U$5,"DF[dow:12345][tl:Calendar]",$L962)</f>
        <v>13.8</v>
      </c>
      <c r="V962">
        <f>_xll.ICEHistory(S$4,V$5,"DF[dow:12345][tl:Calendar]",$L962)</f>
        <v>14.484999999999999</v>
      </c>
      <c r="W962">
        <f>_xll.ICEHistory(S$4,W$5,"DF[dow:12345][tl:Calendar]",$L962)</f>
        <v>0</v>
      </c>
      <c r="X962">
        <f t="shared" si="42"/>
        <v>2.8540462427745762E-2</v>
      </c>
      <c r="Y962">
        <f t="shared" si="43"/>
        <v>-0.9371182781359304</v>
      </c>
      <c r="Z962">
        <f t="shared" si="44"/>
        <v>0.60347676594626443</v>
      </c>
    </row>
    <row r="963" spans="12:26" x14ac:dyDescent="0.25">
      <c r="L963" s="4">
        <f>_xll.ICETimeline(_xll.ICEJoinRange(M4:W4),"DF[dow:12345][tl:Calendar]","2020-07-26;2024-07-26",88,-1)</f>
        <v>44161.5</v>
      </c>
      <c r="M963">
        <f>_xll.ICEHistory(M$4,M$5,"DF[dow:12345][tl:Calendar]",$L963)</f>
        <v>27.68</v>
      </c>
      <c r="N963">
        <f>_xll.ICEHistory(M$4,N$5,"DF[dow:12345][tl:Calendar]",$L963)</f>
        <v>28.32</v>
      </c>
      <c r="O963">
        <f>_xll.ICEHistory(M$4,O$5,"DF[dow:12345][tl:Calendar]",$L963)</f>
        <v>27.32</v>
      </c>
      <c r="P963">
        <f>_xll.ICEHistory(M$4,P$5,"DF[dow:12345][tl:Calendar]",$L963)</f>
        <v>28.1</v>
      </c>
      <c r="Q963">
        <f>_xll.ICEHistory(M$4,Q$5,"DF[dow:12345][tl:Calendar]",$L963)</f>
        <v>30300</v>
      </c>
      <c r="R963">
        <f>_xll.ICEHistory(M$4,R$5,"DF[dow:12345][tl:Calendar]",$L963)</f>
        <v>375287</v>
      </c>
      <c r="S963">
        <f>_xll.ICEHistory(S$4,S$5,"DF[dow:12345][tl:Calendar]",$L963)</f>
        <v>14.15</v>
      </c>
      <c r="T963">
        <f>_xll.ICEHistory(S$4,T$5,"DF[dow:12345][tl:Calendar]",$L963)</f>
        <v>14.275</v>
      </c>
      <c r="U963">
        <f>_xll.ICEHistory(S$4,U$5,"DF[dow:12345][tl:Calendar]",$L963)</f>
        <v>13.8</v>
      </c>
      <c r="V963">
        <f>_xll.ICEHistory(S$4,V$5,"DF[dow:12345][tl:Calendar]",$L963)</f>
        <v>13.93</v>
      </c>
      <c r="W963">
        <f>_xll.ICEHistory(S$4,W$5,"DF[dow:12345][tl:Calendar]",$L963)</f>
        <v>0</v>
      </c>
      <c r="X963">
        <f t="shared" si="42"/>
        <v>3.6036036036036036E-2</v>
      </c>
      <c r="Y963">
        <f t="shared" si="43"/>
        <v>-0.45671035743151472</v>
      </c>
      <c r="Z963">
        <f t="shared" si="44"/>
        <v>0.45889548899310351</v>
      </c>
    </row>
    <row r="964" spans="12:26" x14ac:dyDescent="0.25">
      <c r="L964" s="4">
        <f>_xll.ICETimeline(_xll.ICEJoinRange(M4:W4),"DF[dow:12345][tl:Calendar]","2020-07-26;2024-07-26",87,-1)</f>
        <v>44160.5</v>
      </c>
      <c r="M964">
        <f>_xll.ICEHistory(M$4,M$5,"DF[dow:12345][tl:Calendar]",$L964)</f>
        <v>27.75</v>
      </c>
      <c r="N964">
        <f>_xll.ICEHistory(M$4,N$5,"DF[dow:12345][tl:Calendar]",$L964)</f>
        <v>28.12</v>
      </c>
      <c r="O964">
        <f>_xll.ICEHistory(M$4,O$5,"DF[dow:12345][tl:Calendar]",$L964)</f>
        <v>27.53</v>
      </c>
      <c r="P964">
        <f>_xll.ICEHistory(M$4,P$5,"DF[dow:12345][tl:Calendar]",$L964)</f>
        <v>27.62</v>
      </c>
      <c r="Q964">
        <f>_xll.ICEHistory(M$4,Q$5,"DF[dow:12345][tl:Calendar]",$L964)</f>
        <v>34849</v>
      </c>
      <c r="R964">
        <f>_xll.ICEHistory(M$4,R$5,"DF[dow:12345][tl:Calendar]",$L964)</f>
        <v>378349</v>
      </c>
      <c r="S964">
        <f>_xll.ICEHistory(S$4,S$5,"DF[dow:12345][tl:Calendar]",$L964)</f>
        <v>14.15</v>
      </c>
      <c r="T964">
        <f>_xll.ICEHistory(S$4,T$5,"DF[dow:12345][tl:Calendar]",$L964)</f>
        <v>14.275</v>
      </c>
      <c r="U964">
        <f>_xll.ICEHistory(S$4,U$5,"DF[dow:12345][tl:Calendar]",$L964)</f>
        <v>13.8</v>
      </c>
      <c r="V964">
        <f>_xll.ICEHistory(S$4,V$5,"DF[dow:12345][tl:Calendar]",$L964)</f>
        <v>13.93</v>
      </c>
      <c r="W964">
        <f>_xll.ICEHistory(S$4,W$5,"DF[dow:12345][tl:Calendar]",$L964)</f>
        <v>347</v>
      </c>
      <c r="X964">
        <f t="shared" si="42"/>
        <v>2.1651376146788987E-2</v>
      </c>
      <c r="Y964">
        <f t="shared" si="43"/>
        <v>-1.4314989875730537</v>
      </c>
      <c r="Z964">
        <f t="shared" si="44"/>
        <v>1.2620172244784278</v>
      </c>
    </row>
    <row r="965" spans="12:26" x14ac:dyDescent="0.25">
      <c r="L965" s="4">
        <f>_xll.ICETimeline(_xll.ICEJoinRange(M4:W4),"DF[dow:12345][tl:Calendar]","2020-07-26;2024-07-26",86,-1)</f>
        <v>44159.5</v>
      </c>
      <c r="M965">
        <f>_xll.ICEHistory(M$4,M$5,"DF[dow:12345][tl:Calendar]",$L965)</f>
        <v>27.25</v>
      </c>
      <c r="N965">
        <f>_xll.ICEHistory(M$4,N$5,"DF[dow:12345][tl:Calendar]",$L965)</f>
        <v>27.7</v>
      </c>
      <c r="O965">
        <f>_xll.ICEHistory(M$4,O$5,"DF[dow:12345][tl:Calendar]",$L965)</f>
        <v>26.86</v>
      </c>
      <c r="P965">
        <f>_xll.ICEHistory(M$4,P$5,"DF[dow:12345][tl:Calendar]",$L965)</f>
        <v>27.63</v>
      </c>
      <c r="Q965">
        <f>_xll.ICEHistory(M$4,Q$5,"DF[dow:12345][tl:Calendar]",$L965)</f>
        <v>26473</v>
      </c>
      <c r="R965">
        <f>_xll.ICEHistory(M$4,R$5,"DF[dow:12345][tl:Calendar]",$L965)</f>
        <v>385124</v>
      </c>
      <c r="S965">
        <f>_xll.ICEHistory(S$4,S$5,"DF[dow:12345][tl:Calendar]",$L965)</f>
        <v>13.45</v>
      </c>
      <c r="T965">
        <f>_xll.ICEHistory(S$4,T$5,"DF[dow:12345][tl:Calendar]",$L965)</f>
        <v>13.9</v>
      </c>
      <c r="U965">
        <f>_xll.ICEHistory(S$4,U$5,"DF[dow:12345][tl:Calendar]",$L965)</f>
        <v>13.45</v>
      </c>
      <c r="V965">
        <f>_xll.ICEHistory(S$4,V$5,"DF[dow:12345][tl:Calendar]",$L965)</f>
        <v>13.9</v>
      </c>
      <c r="W965">
        <f>_xll.ICEHistory(S$4,W$5,"DF[dow:12345][tl:Calendar]",$L965)</f>
        <v>300</v>
      </c>
      <c r="X965">
        <f t="shared" si="42"/>
        <v>3.0712979890310778E-2</v>
      </c>
      <c r="Y965">
        <f t="shared" si="43"/>
        <v>-0.83880892540945773</v>
      </c>
      <c r="Z965">
        <f t="shared" si="44"/>
        <v>-0.14503528789270748</v>
      </c>
    </row>
    <row r="966" spans="12:26" x14ac:dyDescent="0.25">
      <c r="L966" s="4">
        <f>_xll.ICETimeline(_xll.ICEJoinRange(M4:W4),"DF[dow:12345][tl:Calendar]","2020-07-26;2024-07-26",85,-1)</f>
        <v>44158.5</v>
      </c>
      <c r="M966">
        <f>_xll.ICEHistory(M$4,M$5,"DF[dow:12345][tl:Calendar]",$L966)</f>
        <v>27.35</v>
      </c>
      <c r="N966">
        <f>_xll.ICEHistory(M$4,N$5,"DF[dow:12345][tl:Calendar]",$L966)</f>
        <v>27.55</v>
      </c>
      <c r="O966">
        <f>_xll.ICEHistory(M$4,O$5,"DF[dow:12345][tl:Calendar]",$L966)</f>
        <v>27.08</v>
      </c>
      <c r="P966">
        <f>_xll.ICEHistory(M$4,P$5,"DF[dow:12345][tl:Calendar]",$L966)</f>
        <v>27.25</v>
      </c>
      <c r="Q966">
        <f>_xll.ICEHistory(M$4,Q$5,"DF[dow:12345][tl:Calendar]",$L966)</f>
        <v>31902</v>
      </c>
      <c r="R966">
        <f>_xll.ICEHistory(M$4,R$5,"DF[dow:12345][tl:Calendar]",$L966)</f>
        <v>386296</v>
      </c>
      <c r="S966">
        <f>_xll.ICEHistory(S$4,S$5,"DF[dow:12345][tl:Calendar]",$L966)</f>
        <v>13.3</v>
      </c>
      <c r="T966">
        <f>_xll.ICEHistory(S$4,T$5,"DF[dow:12345][tl:Calendar]",$L966)</f>
        <v>13.625</v>
      </c>
      <c r="U966">
        <f>_xll.ICEHistory(S$4,U$5,"DF[dow:12345][tl:Calendar]",$L966)</f>
        <v>13.3</v>
      </c>
      <c r="V966">
        <f>_xll.ICEHistory(S$4,V$5,"DF[dow:12345][tl:Calendar]",$L966)</f>
        <v>13.535</v>
      </c>
      <c r="W966">
        <f>_xll.ICEHistory(S$4,W$5,"DF[dow:12345][tl:Calendar]",$L966)</f>
        <v>131</v>
      </c>
      <c r="X966">
        <f t="shared" si="42"/>
        <v>1.7891130567186997E-2</v>
      </c>
      <c r="Y966">
        <f t="shared" si="43"/>
        <v>-1.746105276904528</v>
      </c>
      <c r="Z966">
        <f t="shared" si="44"/>
        <v>0.80121685570132739</v>
      </c>
    </row>
    <row r="967" spans="12:26" x14ac:dyDescent="0.25">
      <c r="L967" s="4">
        <f>_xll.ICETimeline(_xll.ICEJoinRange(M4:W4),"DF[dow:12345][tl:Calendar]","2020-07-26;2024-07-26",84,-1)</f>
        <v>44155.5</v>
      </c>
      <c r="M967">
        <f>_xll.ICEHistory(M$4,M$5,"DF[dow:12345][tl:Calendar]",$L967)</f>
        <v>26.27</v>
      </c>
      <c r="N967">
        <f>_xll.ICEHistory(M$4,N$5,"DF[dow:12345][tl:Calendar]",$L967)</f>
        <v>27</v>
      </c>
      <c r="O967">
        <f>_xll.ICEHistory(M$4,O$5,"DF[dow:12345][tl:Calendar]",$L967)</f>
        <v>26.2</v>
      </c>
      <c r="P967">
        <f>_xll.ICEHistory(M$4,P$5,"DF[dow:12345][tl:Calendar]",$L967)</f>
        <v>26.74</v>
      </c>
      <c r="Q967">
        <f>_xll.ICEHistory(M$4,Q$5,"DF[dow:12345][tl:Calendar]",$L967)</f>
        <v>25862</v>
      </c>
      <c r="R967">
        <f>_xll.ICEHistory(M$4,R$5,"DF[dow:12345][tl:Calendar]",$L967)</f>
        <v>396767</v>
      </c>
      <c r="S967">
        <f>_xll.ICEHistory(S$4,S$5,"DF[dow:12345][tl:Calendar]",$L967)</f>
        <v>12.7</v>
      </c>
      <c r="T967">
        <f>_xll.ICEHistory(S$4,T$5,"DF[dow:12345][tl:Calendar]",$L967)</f>
        <v>12.91</v>
      </c>
      <c r="U967">
        <f>_xll.ICEHistory(S$4,U$5,"DF[dow:12345][tl:Calendar]",$L967)</f>
        <v>12.6</v>
      </c>
      <c r="V967">
        <f>_xll.ICEHistory(S$4,V$5,"DF[dow:12345][tl:Calendar]",$L967)</f>
        <v>12.895</v>
      </c>
      <c r="W967">
        <f>_xll.ICEHistory(S$4,W$5,"DF[dow:12345][tl:Calendar]",$L967)</f>
        <v>405</v>
      </c>
      <c r="X967">
        <f t="shared" si="42"/>
        <v>2.9563932002956421E-2</v>
      </c>
      <c r="Y967">
        <f t="shared" si="43"/>
        <v>-0.99476325167688151</v>
      </c>
      <c r="Z967">
        <f t="shared" si="44"/>
        <v>-0.17000544571937681</v>
      </c>
    </row>
    <row r="968" spans="12:26" x14ac:dyDescent="0.25">
      <c r="L968" s="4">
        <f>_xll.ICETimeline(_xll.ICEJoinRange(M4:W4),"DF[dow:12345][tl:Calendar]","2020-07-26;2024-07-26",83,-1)</f>
        <v>44154.5</v>
      </c>
      <c r="M968">
        <f>_xll.ICEHistory(M$4,M$5,"DF[dow:12345][tl:Calendar]",$L968)</f>
        <v>27.06</v>
      </c>
      <c r="N968">
        <f>_xll.ICEHistory(M$4,N$5,"DF[dow:12345][tl:Calendar]",$L968)</f>
        <v>27.15</v>
      </c>
      <c r="O968">
        <f>_xll.ICEHistory(M$4,O$5,"DF[dow:12345][tl:Calendar]",$L968)</f>
        <v>26.31</v>
      </c>
      <c r="P968">
        <f>_xll.ICEHistory(M$4,P$5,"DF[dow:12345][tl:Calendar]",$L968)</f>
        <v>26.35</v>
      </c>
      <c r="Q968">
        <f>_xll.ICEHistory(M$4,Q$5,"DF[dow:12345][tl:Calendar]",$L968)</f>
        <v>31609</v>
      </c>
      <c r="R968">
        <f>_xll.ICEHistory(M$4,R$5,"DF[dow:12345][tl:Calendar]",$L968)</f>
        <v>399687</v>
      </c>
      <c r="S968">
        <f>_xll.ICEHistory(S$4,S$5,"DF[dow:12345][tl:Calendar]",$L968)</f>
        <v>13.475</v>
      </c>
      <c r="T968">
        <f>_xll.ICEHistory(S$4,T$5,"DF[dow:12345][tl:Calendar]",$L968)</f>
        <v>13.475</v>
      </c>
      <c r="U968">
        <f>_xll.ICEHistory(S$4,U$5,"DF[dow:12345][tl:Calendar]",$L968)</f>
        <v>13</v>
      </c>
      <c r="V968">
        <f>_xll.ICEHistory(S$4,V$5,"DF[dow:12345][tl:Calendar]",$L968)</f>
        <v>13.02</v>
      </c>
      <c r="W968">
        <f>_xll.ICEHistory(S$4,W$5,"DF[dow:12345][tl:Calendar]",$L968)</f>
        <v>335</v>
      </c>
      <c r="X968">
        <f t="shared" si="42"/>
        <v>3.0545454545454539E-2</v>
      </c>
      <c r="Y968">
        <f t="shared" si="43"/>
        <v>-0.91832907703590128</v>
      </c>
      <c r="Z968">
        <f t="shared" si="44"/>
        <v>0.77366826710019276</v>
      </c>
    </row>
    <row r="969" spans="12:26" x14ac:dyDescent="0.25">
      <c r="L969" s="4">
        <f>_xll.ICETimeline(_xll.ICEJoinRange(M4:W4),"DF[dow:12345][tl:Calendar]","2020-07-26;2024-07-26",82,-1)</f>
        <v>44153.5</v>
      </c>
      <c r="M969">
        <f>_xll.ICEHistory(M$4,M$5,"DF[dow:12345][tl:Calendar]",$L969)</f>
        <v>27.5</v>
      </c>
      <c r="N969">
        <f>_xll.ICEHistory(M$4,N$5,"DF[dow:12345][tl:Calendar]",$L969)</f>
        <v>28.14</v>
      </c>
      <c r="O969">
        <f>_xll.ICEHistory(M$4,O$5,"DF[dow:12345][tl:Calendar]",$L969)</f>
        <v>27.1</v>
      </c>
      <c r="P969">
        <f>_xll.ICEHistory(M$4,P$5,"DF[dow:12345][tl:Calendar]",$L969)</f>
        <v>27.19</v>
      </c>
      <c r="Q969">
        <f>_xll.ICEHistory(M$4,Q$5,"DF[dow:12345][tl:Calendar]",$L969)</f>
        <v>33451</v>
      </c>
      <c r="R969">
        <f>_xll.ICEHistory(M$4,R$5,"DF[dow:12345][tl:Calendar]",$L969)</f>
        <v>398193</v>
      </c>
      <c r="S969">
        <f>_xll.ICEHistory(S$4,S$5,"DF[dow:12345][tl:Calendar]",$L969)</f>
        <v>13.85</v>
      </c>
      <c r="T969">
        <f>_xll.ICEHistory(S$4,T$5,"DF[dow:12345][tl:Calendar]",$L969)</f>
        <v>13.95</v>
      </c>
      <c r="U969">
        <f>_xll.ICEHistory(S$4,U$5,"DF[dow:12345][tl:Calendar]",$L969)</f>
        <v>13.59</v>
      </c>
      <c r="V969">
        <f>_xll.ICEHistory(S$4,V$5,"DF[dow:12345][tl:Calendar]",$L969)</f>
        <v>13.68</v>
      </c>
      <c r="W969">
        <f>_xll.ICEHistory(S$4,W$5,"DF[dow:12345][tl:Calendar]",$L969)</f>
        <v>215</v>
      </c>
      <c r="X969">
        <f t="shared" ref="X969:X1032" si="45">IFERROR((N969-O969)/M970, "")</f>
        <v>3.7983929875821741E-2</v>
      </c>
      <c r="Y969">
        <f t="shared" ref="Y969:Y1032" si="46">IFERROR((X969-AVERAGE(X969:X1033))/_xlfn.STDEV.S(X969:X1033),"")</f>
        <v>-0.40189011662140117</v>
      </c>
      <c r="Z969">
        <f t="shared" ref="Z969:Z1032" si="47">IFERROR((Q969-AVERAGE(Q969:Q1034))/_xlfn.STDEV.S(Q969:Q1034),"")</f>
        <v>1.084676113822352</v>
      </c>
    </row>
    <row r="970" spans="12:26" x14ac:dyDescent="0.25">
      <c r="L970" s="4">
        <f>_xll.ICETimeline(_xll.ICEJoinRange(M4:W4),"DF[dow:12345][tl:Calendar]","2020-07-26;2024-07-26",81,-1)</f>
        <v>44152.5</v>
      </c>
      <c r="M970">
        <f>_xll.ICEHistory(M$4,M$5,"DF[dow:12345][tl:Calendar]",$L970)</f>
        <v>27.38</v>
      </c>
      <c r="N970">
        <f>_xll.ICEHistory(M$4,N$5,"DF[dow:12345][tl:Calendar]",$L970)</f>
        <v>27.48</v>
      </c>
      <c r="O970">
        <f>_xll.ICEHistory(M$4,O$5,"DF[dow:12345][tl:Calendar]",$L970)</f>
        <v>26.55</v>
      </c>
      <c r="P970">
        <f>_xll.ICEHistory(M$4,P$5,"DF[dow:12345][tl:Calendar]",$L970)</f>
        <v>26.64</v>
      </c>
      <c r="Q970">
        <f>_xll.ICEHistory(M$4,Q$5,"DF[dow:12345][tl:Calendar]",$L970)</f>
        <v>25238</v>
      </c>
      <c r="R970">
        <f>_xll.ICEHistory(M$4,R$5,"DF[dow:12345][tl:Calendar]",$L970)</f>
        <v>398488</v>
      </c>
      <c r="S970">
        <f>_xll.ICEHistory(S$4,S$5,"DF[dow:12345][tl:Calendar]",$L970)</f>
        <v>14.35</v>
      </c>
      <c r="T970">
        <f>_xll.ICEHistory(S$4,T$5,"DF[dow:12345][tl:Calendar]",$L970)</f>
        <v>14.35</v>
      </c>
      <c r="U970">
        <f>_xll.ICEHistory(S$4,U$5,"DF[dow:12345][tl:Calendar]",$L970)</f>
        <v>13.85</v>
      </c>
      <c r="V970">
        <f>_xll.ICEHistory(S$4,V$5,"DF[dow:12345][tl:Calendar]",$L970)</f>
        <v>13.97</v>
      </c>
      <c r="W970">
        <f>_xll.ICEHistory(S$4,W$5,"DF[dow:12345][tl:Calendar]",$L970)</f>
        <v>160</v>
      </c>
      <c r="X970">
        <f t="shared" si="45"/>
        <v>3.4988713318284417E-2</v>
      </c>
      <c r="Y970">
        <f t="shared" si="46"/>
        <v>-0.59225999805236151</v>
      </c>
      <c r="Z970">
        <f t="shared" si="47"/>
        <v>-0.15801304487905982</v>
      </c>
    </row>
    <row r="971" spans="12:26" x14ac:dyDescent="0.25">
      <c r="L971" s="4">
        <f>_xll.ICETimeline(_xll.ICEJoinRange(M4:W4),"DF[dow:12345][tl:Calendar]","2020-07-26;2024-07-26",80,-1)</f>
        <v>44151.5</v>
      </c>
      <c r="M971">
        <f>_xll.ICEHistory(M$4,M$5,"DF[dow:12345][tl:Calendar]",$L971)</f>
        <v>26.58</v>
      </c>
      <c r="N971">
        <f>_xll.ICEHistory(M$4,N$5,"DF[dow:12345][tl:Calendar]",$L971)</f>
        <v>27.45</v>
      </c>
      <c r="O971">
        <f>_xll.ICEHistory(M$4,O$5,"DF[dow:12345][tl:Calendar]",$L971)</f>
        <v>26.55</v>
      </c>
      <c r="P971">
        <f>_xll.ICEHistory(M$4,P$5,"DF[dow:12345][tl:Calendar]",$L971)</f>
        <v>27.39</v>
      </c>
      <c r="Q971">
        <f>_xll.ICEHistory(M$4,Q$5,"DF[dow:12345][tl:Calendar]",$L971)</f>
        <v>28218</v>
      </c>
      <c r="R971">
        <f>_xll.ICEHistory(M$4,R$5,"DF[dow:12345][tl:Calendar]",$L971)</f>
        <v>397888</v>
      </c>
      <c r="S971">
        <f>_xll.ICEHistory(S$4,S$5,"DF[dow:12345][tl:Calendar]",$L971)</f>
        <v>14.425000000000001</v>
      </c>
      <c r="T971">
        <f>_xll.ICEHistory(S$4,T$5,"DF[dow:12345][tl:Calendar]",$L971)</f>
        <v>14.6</v>
      </c>
      <c r="U971">
        <f>_xll.ICEHistory(S$4,U$5,"DF[dow:12345][tl:Calendar]",$L971)</f>
        <v>14.42</v>
      </c>
      <c r="V971">
        <f>_xll.ICEHistory(S$4,V$5,"DF[dow:12345][tl:Calendar]",$L971)</f>
        <v>14.494999999999999</v>
      </c>
      <c r="W971">
        <f>_xll.ICEHistory(S$4,W$5,"DF[dow:12345][tl:Calendar]",$L971)</f>
        <v>287</v>
      </c>
      <c r="X971">
        <f t="shared" si="45"/>
        <v>3.4843205574912842E-2</v>
      </c>
      <c r="Y971">
        <f t="shared" si="46"/>
        <v>-0.59800964309888893</v>
      </c>
      <c r="Z971">
        <f t="shared" si="47"/>
        <v>0.31156549704645864</v>
      </c>
    </row>
    <row r="972" spans="12:26" x14ac:dyDescent="0.25">
      <c r="L972" s="4">
        <f>_xll.ICETimeline(_xll.ICEJoinRange(M4:W4),"DF[dow:12345][tl:Calendar]","2020-07-26;2024-07-26",79,-1)</f>
        <v>44148.5</v>
      </c>
      <c r="M972">
        <f>_xll.ICEHistory(M$4,M$5,"DF[dow:12345][tl:Calendar]",$L972)</f>
        <v>25.83</v>
      </c>
      <c r="N972">
        <f>_xll.ICEHistory(M$4,N$5,"DF[dow:12345][tl:Calendar]",$L972)</f>
        <v>26.53</v>
      </c>
      <c r="O972">
        <f>_xll.ICEHistory(M$4,O$5,"DF[dow:12345][tl:Calendar]",$L972)</f>
        <v>25.55</v>
      </c>
      <c r="P972">
        <f>_xll.ICEHistory(M$4,P$5,"DF[dow:12345][tl:Calendar]",$L972)</f>
        <v>26.28</v>
      </c>
      <c r="Q972">
        <f>_xll.ICEHistory(M$4,Q$5,"DF[dow:12345][tl:Calendar]",$L972)</f>
        <v>19870</v>
      </c>
      <c r="R972">
        <f>_xll.ICEHistory(M$4,R$5,"DF[dow:12345][tl:Calendar]",$L972)</f>
        <v>396769</v>
      </c>
      <c r="S972">
        <f>_xll.ICEHistory(S$4,S$5,"DF[dow:12345][tl:Calendar]",$L972)</f>
        <v>14.2</v>
      </c>
      <c r="T972">
        <f>_xll.ICEHistory(S$4,T$5,"DF[dow:12345][tl:Calendar]",$L972)</f>
        <v>14.324999999999999</v>
      </c>
      <c r="U972">
        <f>_xll.ICEHistory(S$4,U$5,"DF[dow:12345][tl:Calendar]",$L972)</f>
        <v>14.175000000000001</v>
      </c>
      <c r="V972">
        <f>_xll.ICEHistory(S$4,V$5,"DF[dow:12345][tl:Calendar]",$L972)</f>
        <v>14.24</v>
      </c>
      <c r="W972">
        <f>_xll.ICEHistory(S$4,W$5,"DF[dow:12345][tl:Calendar]",$L972)</f>
        <v>280</v>
      </c>
      <c r="X972">
        <f t="shared" si="45"/>
        <v>3.7619961612284085E-2</v>
      </c>
      <c r="Y972">
        <f t="shared" si="46"/>
        <v>-0.43014435346888968</v>
      </c>
      <c r="Z972">
        <f t="shared" si="47"/>
        <v>-0.9257772899723492</v>
      </c>
    </row>
    <row r="973" spans="12:26" x14ac:dyDescent="0.25">
      <c r="L973" s="4">
        <f>_xll.ICETimeline(_xll.ICEJoinRange(M4:W4),"DF[dow:12345][tl:Calendar]","2020-07-26;2024-07-26",78,-1)</f>
        <v>44147.5</v>
      </c>
      <c r="M973">
        <f>_xll.ICEHistory(M$4,M$5,"DF[dow:12345][tl:Calendar]",$L973)</f>
        <v>26.05</v>
      </c>
      <c r="N973">
        <f>_xll.ICEHistory(M$4,N$5,"DF[dow:12345][tl:Calendar]",$L973)</f>
        <v>26.2</v>
      </c>
      <c r="O973">
        <f>_xll.ICEHistory(M$4,O$5,"DF[dow:12345][tl:Calendar]",$L973)</f>
        <v>25.6</v>
      </c>
      <c r="P973">
        <f>_xll.ICEHistory(M$4,P$5,"DF[dow:12345][tl:Calendar]",$L973)</f>
        <v>25.92</v>
      </c>
      <c r="Q973">
        <f>_xll.ICEHistory(M$4,Q$5,"DF[dow:12345][tl:Calendar]",$L973)</f>
        <v>24806</v>
      </c>
      <c r="R973">
        <f>_xll.ICEHistory(M$4,R$5,"DF[dow:12345][tl:Calendar]",$L973)</f>
        <v>392493</v>
      </c>
      <c r="S973">
        <f>_xll.ICEHistory(S$4,S$5,"DF[dow:12345][tl:Calendar]",$L973)</f>
        <v>14.05</v>
      </c>
      <c r="T973">
        <f>_xll.ICEHistory(S$4,T$5,"DF[dow:12345][tl:Calendar]",$L973)</f>
        <v>14.15</v>
      </c>
      <c r="U973">
        <f>_xll.ICEHistory(S$4,U$5,"DF[dow:12345][tl:Calendar]",$L973)</f>
        <v>13.95</v>
      </c>
      <c r="V973">
        <f>_xll.ICEHistory(S$4,V$5,"DF[dow:12345][tl:Calendar]",$L973)</f>
        <v>14</v>
      </c>
      <c r="W973">
        <f>_xll.ICEHistory(S$4,W$5,"DF[dow:12345][tl:Calendar]",$L973)</f>
        <v>294</v>
      </c>
      <c r="X973">
        <f t="shared" si="45"/>
        <v>2.3041474654377798E-2</v>
      </c>
      <c r="Y973">
        <f t="shared" si="46"/>
        <v>-1.3748825907346423</v>
      </c>
      <c r="Z973">
        <f t="shared" si="47"/>
        <v>-0.18622790343329318</v>
      </c>
    </row>
    <row r="974" spans="12:26" x14ac:dyDescent="0.25">
      <c r="L974" s="4">
        <f>_xll.ICETimeline(_xll.ICEJoinRange(M4:W4),"DF[dow:12345][tl:Calendar]","2020-07-26;2024-07-26",77,-1)</f>
        <v>44146.5</v>
      </c>
      <c r="M974">
        <f>_xll.ICEHistory(M$4,M$5,"DF[dow:12345][tl:Calendar]",$L974)</f>
        <v>26.04</v>
      </c>
      <c r="N974">
        <f>_xll.ICEHistory(M$4,N$5,"DF[dow:12345][tl:Calendar]",$L974)</f>
        <v>27.12</v>
      </c>
      <c r="O974">
        <f>_xll.ICEHistory(M$4,O$5,"DF[dow:12345][tl:Calendar]",$L974)</f>
        <v>26.04</v>
      </c>
      <c r="P974">
        <f>_xll.ICEHistory(M$4,P$5,"DF[dow:12345][tl:Calendar]",$L974)</f>
        <v>26.13</v>
      </c>
      <c r="Q974">
        <f>_xll.ICEHistory(M$4,Q$5,"DF[dow:12345][tl:Calendar]",$L974)</f>
        <v>30183</v>
      </c>
      <c r="R974">
        <f>_xll.ICEHistory(M$4,R$5,"DF[dow:12345][tl:Calendar]",$L974)</f>
        <v>392087</v>
      </c>
      <c r="S974">
        <f>_xll.ICEHistory(S$4,S$5,"DF[dow:12345][tl:Calendar]",$L974)</f>
        <v>14.05</v>
      </c>
      <c r="T974">
        <f>_xll.ICEHistory(S$4,T$5,"DF[dow:12345][tl:Calendar]",$L974)</f>
        <v>14.35</v>
      </c>
      <c r="U974">
        <f>_xll.ICEHistory(S$4,U$5,"DF[dow:12345][tl:Calendar]",$L974)</f>
        <v>14.05</v>
      </c>
      <c r="V974">
        <f>_xll.ICEHistory(S$4,V$5,"DF[dow:12345][tl:Calendar]",$L974)</f>
        <v>14.095000000000001</v>
      </c>
      <c r="W974">
        <f>_xll.ICEHistory(S$4,W$5,"DF[dow:12345][tl:Calendar]",$L974)</f>
        <v>285</v>
      </c>
      <c r="X974">
        <f t="shared" si="45"/>
        <v>4.0909090909090978E-2</v>
      </c>
      <c r="Y974">
        <f t="shared" si="46"/>
        <v>-0.21291746396799566</v>
      </c>
      <c r="Z974">
        <f t="shared" si="47"/>
        <v>0.63892818701481691</v>
      </c>
    </row>
    <row r="975" spans="12:26" x14ac:dyDescent="0.25">
      <c r="L975" s="4">
        <f>_xll.ICETimeline(_xll.ICEJoinRange(M4:W4),"DF[dow:12345][tl:Calendar]","2020-07-26;2024-07-26",76,-1)</f>
        <v>44145.5</v>
      </c>
      <c r="M975">
        <f>_xll.ICEHistory(M$4,M$5,"DF[dow:12345][tl:Calendar]",$L975)</f>
        <v>26.4</v>
      </c>
      <c r="N975">
        <f>_xll.ICEHistory(M$4,N$5,"DF[dow:12345][tl:Calendar]",$L975)</f>
        <v>26.66</v>
      </c>
      <c r="O975">
        <f>_xll.ICEHistory(M$4,O$5,"DF[dow:12345][tl:Calendar]",$L975)</f>
        <v>26.13</v>
      </c>
      <c r="P975">
        <f>_xll.ICEHistory(M$4,P$5,"DF[dow:12345][tl:Calendar]",$L975)</f>
        <v>26.23</v>
      </c>
      <c r="Q975">
        <f>_xll.ICEHistory(M$4,Q$5,"DF[dow:12345][tl:Calendar]",$L975)</f>
        <v>25296</v>
      </c>
      <c r="R975">
        <f>_xll.ICEHistory(M$4,R$5,"DF[dow:12345][tl:Calendar]",$L975)</f>
        <v>388655</v>
      </c>
      <c r="S975">
        <f>_xll.ICEHistory(S$4,S$5,"DF[dow:12345][tl:Calendar]",$L975)</f>
        <v>13.8</v>
      </c>
      <c r="T975">
        <f>_xll.ICEHistory(S$4,T$5,"DF[dow:12345][tl:Calendar]",$L975)</f>
        <v>14.15</v>
      </c>
      <c r="U975">
        <f>_xll.ICEHistory(S$4,U$5,"DF[dow:12345][tl:Calendar]",$L975)</f>
        <v>13.7</v>
      </c>
      <c r="V975">
        <f>_xll.ICEHistory(S$4,V$5,"DF[dow:12345][tl:Calendar]",$L975)</f>
        <v>14.035</v>
      </c>
      <c r="W975">
        <f>_xll.ICEHistory(S$4,W$5,"DF[dow:12345][tl:Calendar]",$L975)</f>
        <v>910</v>
      </c>
      <c r="X975">
        <f t="shared" si="45"/>
        <v>2.0622568093385259E-2</v>
      </c>
      <c r="Y975">
        <f t="shared" si="46"/>
        <v>-1.5154684857325331</v>
      </c>
      <c r="Z975">
        <f t="shared" si="47"/>
        <v>-5.4986762596687964E-2</v>
      </c>
    </row>
    <row r="976" spans="12:26" x14ac:dyDescent="0.25">
      <c r="L976" s="4">
        <f>_xll.ICETimeline(_xll.ICEJoinRange(M4:W4),"DF[dow:12345][tl:Calendar]","2020-07-26;2024-07-26",75,-1)</f>
        <v>44144.5</v>
      </c>
      <c r="M976">
        <f>_xll.ICEHistory(M$4,M$5,"DF[dow:12345][tl:Calendar]",$L976)</f>
        <v>25.7</v>
      </c>
      <c r="N976">
        <f>_xll.ICEHistory(M$4,N$5,"DF[dow:12345][tl:Calendar]",$L976)</f>
        <v>27.13</v>
      </c>
      <c r="O976">
        <f>_xll.ICEHistory(M$4,O$5,"DF[dow:12345][tl:Calendar]",$L976)</f>
        <v>25.32</v>
      </c>
      <c r="P976">
        <f>_xll.ICEHistory(M$4,P$5,"DF[dow:12345][tl:Calendar]",$L976)</f>
        <v>26.55</v>
      </c>
      <c r="Q976">
        <f>_xll.ICEHistory(M$4,Q$5,"DF[dow:12345][tl:Calendar]",$L976)</f>
        <v>36883</v>
      </c>
      <c r="R976">
        <f>_xll.ICEHistory(M$4,R$5,"DF[dow:12345][tl:Calendar]",$L976)</f>
        <v>386258</v>
      </c>
      <c r="S976">
        <f>_xll.ICEHistory(S$4,S$5,"DF[dow:12345][tl:Calendar]",$L976)</f>
        <v>13.775</v>
      </c>
      <c r="T976">
        <f>_xll.ICEHistory(S$4,T$5,"DF[dow:12345][tl:Calendar]",$L976)</f>
        <v>14.13</v>
      </c>
      <c r="U976">
        <f>_xll.ICEHistory(S$4,U$5,"DF[dow:12345][tl:Calendar]",$L976)</f>
        <v>13.55</v>
      </c>
      <c r="V976">
        <f>_xll.ICEHistory(S$4,V$5,"DF[dow:12345][tl:Calendar]",$L976)</f>
        <v>13.855</v>
      </c>
      <c r="W976">
        <f>_xll.ICEHistory(S$4,W$5,"DF[dow:12345][tl:Calendar]",$L976)</f>
        <v>545</v>
      </c>
      <c r="X976">
        <f t="shared" si="45"/>
        <v>7.0155038759689869E-2</v>
      </c>
      <c r="Y976">
        <f t="shared" si="46"/>
        <v>1.743614454752813</v>
      </c>
      <c r="Z976">
        <f t="shared" si="47"/>
        <v>1.6438125484246702</v>
      </c>
    </row>
    <row r="977" spans="12:26" x14ac:dyDescent="0.25">
      <c r="L977" s="4">
        <f>_xll.ICETimeline(_xll.ICEJoinRange(M4:W4),"DF[dow:12345][tl:Calendar]","2020-07-26;2024-07-26",74,-1)</f>
        <v>44141.5</v>
      </c>
      <c r="M977">
        <f>_xll.ICEHistory(M$4,M$5,"DF[dow:12345][tl:Calendar]",$L977)</f>
        <v>25.8</v>
      </c>
      <c r="N977">
        <f>_xll.ICEHistory(M$4,N$5,"DF[dow:12345][tl:Calendar]",$L977)</f>
        <v>26.03</v>
      </c>
      <c r="O977">
        <f>_xll.ICEHistory(M$4,O$5,"DF[dow:12345][tl:Calendar]",$L977)</f>
        <v>25.13</v>
      </c>
      <c r="P977">
        <f>_xll.ICEHistory(M$4,P$5,"DF[dow:12345][tl:Calendar]",$L977)</f>
        <v>25.42</v>
      </c>
      <c r="Q977">
        <f>_xll.ICEHistory(M$4,Q$5,"DF[dow:12345][tl:Calendar]",$L977)</f>
        <v>31548</v>
      </c>
      <c r="R977">
        <f>_xll.ICEHistory(M$4,R$5,"DF[dow:12345][tl:Calendar]",$L977)</f>
        <v>385167</v>
      </c>
      <c r="S977">
        <f>_xll.ICEHistory(S$4,S$5,"DF[dow:12345][tl:Calendar]",$L977)</f>
        <v>14.115</v>
      </c>
      <c r="T977">
        <f>_xll.ICEHistory(S$4,T$5,"DF[dow:12345][tl:Calendar]",$L977)</f>
        <v>14.15</v>
      </c>
      <c r="U977">
        <f>_xll.ICEHistory(S$4,U$5,"DF[dow:12345][tl:Calendar]",$L977)</f>
        <v>13.885</v>
      </c>
      <c r="V977">
        <f>_xll.ICEHistory(S$4,V$5,"DF[dow:12345][tl:Calendar]",$L977)</f>
        <v>13.9</v>
      </c>
      <c r="W977">
        <f>_xll.ICEHistory(S$4,W$5,"DF[dow:12345][tl:Calendar]",$L977)</f>
        <v>781</v>
      </c>
      <c r="X977">
        <f t="shared" si="45"/>
        <v>3.5742652899126377E-2</v>
      </c>
      <c r="Y977">
        <f t="shared" si="46"/>
        <v>-0.53367151979785032</v>
      </c>
      <c r="Z977">
        <f t="shared" si="47"/>
        <v>0.92065307214288938</v>
      </c>
    </row>
    <row r="978" spans="12:26" x14ac:dyDescent="0.25">
      <c r="L978" s="4">
        <f>_xll.ICETimeline(_xll.ICEJoinRange(M4:W4),"DF[dow:12345][tl:Calendar]","2020-07-26;2024-07-26",73,-1)</f>
        <v>44140.5</v>
      </c>
      <c r="M978">
        <f>_xll.ICEHistory(M$4,M$5,"DF[dow:12345][tl:Calendar]",$L978)</f>
        <v>25.18</v>
      </c>
      <c r="N978">
        <f>_xll.ICEHistory(M$4,N$5,"DF[dow:12345][tl:Calendar]",$L978)</f>
        <v>26.18</v>
      </c>
      <c r="O978">
        <f>_xll.ICEHistory(M$4,O$5,"DF[dow:12345][tl:Calendar]",$L978)</f>
        <v>24.84</v>
      </c>
      <c r="P978">
        <f>_xll.ICEHistory(M$4,P$5,"DF[dow:12345][tl:Calendar]",$L978)</f>
        <v>25.98</v>
      </c>
      <c r="Q978">
        <f>_xll.ICEHistory(M$4,Q$5,"DF[dow:12345][tl:Calendar]",$L978)</f>
        <v>28677</v>
      </c>
      <c r="R978">
        <f>_xll.ICEHistory(M$4,R$5,"DF[dow:12345][tl:Calendar]",$L978)</f>
        <v>380687</v>
      </c>
      <c r="S978">
        <f>_xll.ICEHistory(S$4,S$5,"DF[dow:12345][tl:Calendar]",$L978)</f>
        <v>14.3</v>
      </c>
      <c r="T978">
        <f>_xll.ICEHistory(S$4,T$5,"DF[dow:12345][tl:Calendar]",$L978)</f>
        <v>14.5</v>
      </c>
      <c r="U978">
        <f>_xll.ICEHistory(S$4,U$5,"DF[dow:12345][tl:Calendar]",$L978)</f>
        <v>14.3</v>
      </c>
      <c r="V978">
        <f>_xll.ICEHistory(S$4,V$5,"DF[dow:12345][tl:Calendar]",$L978)</f>
        <v>14.455</v>
      </c>
      <c r="W978">
        <f>_xll.ICEHistory(S$4,W$5,"DF[dow:12345][tl:Calendar]",$L978)</f>
        <v>465</v>
      </c>
      <c r="X978">
        <f t="shared" si="45"/>
        <v>5.5144032921810693E-2</v>
      </c>
      <c r="Y978">
        <f t="shared" si="46"/>
        <v>0.795210363674686</v>
      </c>
      <c r="Z978">
        <f t="shared" si="47"/>
        <v>0.53226020071051594</v>
      </c>
    </row>
    <row r="979" spans="12:26" x14ac:dyDescent="0.25">
      <c r="L979" s="4">
        <f>_xll.ICETimeline(_xll.ICEJoinRange(M4:W4),"DF[dow:12345][tl:Calendar]","2020-07-26;2024-07-26",72,-1)</f>
        <v>44139.5</v>
      </c>
      <c r="M979">
        <f>_xll.ICEHistory(M$4,M$5,"DF[dow:12345][tl:Calendar]",$L979)</f>
        <v>24.3</v>
      </c>
      <c r="N979">
        <f>_xll.ICEHistory(M$4,N$5,"DF[dow:12345][tl:Calendar]",$L979)</f>
        <v>25.26</v>
      </c>
      <c r="O979">
        <f>_xll.ICEHistory(M$4,O$5,"DF[dow:12345][tl:Calendar]",$L979)</f>
        <v>23.83</v>
      </c>
      <c r="P979">
        <f>_xll.ICEHistory(M$4,P$5,"DF[dow:12345][tl:Calendar]",$L979)</f>
        <v>25.11</v>
      </c>
      <c r="Q979">
        <f>_xll.ICEHistory(M$4,Q$5,"DF[dow:12345][tl:Calendar]",$L979)</f>
        <v>31108</v>
      </c>
      <c r="R979">
        <f>_xll.ICEHistory(M$4,R$5,"DF[dow:12345][tl:Calendar]",$L979)</f>
        <v>381753</v>
      </c>
      <c r="S979">
        <f>_xll.ICEHistory(S$4,S$5,"DF[dow:12345][tl:Calendar]",$L979)</f>
        <v>13.725</v>
      </c>
      <c r="T979">
        <f>_xll.ICEHistory(S$4,T$5,"DF[dow:12345][tl:Calendar]",$L979)</f>
        <v>14.105</v>
      </c>
      <c r="U979">
        <f>_xll.ICEHistory(S$4,U$5,"DF[dow:12345][tl:Calendar]",$L979)</f>
        <v>13.574999999999999</v>
      </c>
      <c r="V979">
        <f>_xll.ICEHistory(S$4,V$5,"DF[dow:12345][tl:Calendar]",$L979)</f>
        <v>13.885</v>
      </c>
      <c r="W979">
        <f>_xll.ICEHistory(S$4,W$5,"DF[dow:12345][tl:Calendar]",$L979)</f>
        <v>355</v>
      </c>
      <c r="X979">
        <f t="shared" si="45"/>
        <v>6.0567556120288156E-2</v>
      </c>
      <c r="Y979">
        <f t="shared" si="46"/>
        <v>1.181803445857605</v>
      </c>
      <c r="Z979">
        <f t="shared" si="47"/>
        <v>0.90202168889203072</v>
      </c>
    </row>
    <row r="980" spans="12:26" x14ac:dyDescent="0.25">
      <c r="L980" s="4">
        <f>_xll.ICETimeline(_xll.ICEJoinRange(M4:W4),"DF[dow:12345][tl:Calendar]","2020-07-26;2024-07-26",71,-1)</f>
        <v>44138.5</v>
      </c>
      <c r="M980">
        <f>_xll.ICEHistory(M$4,M$5,"DF[dow:12345][tl:Calendar]",$L980)</f>
        <v>23.61</v>
      </c>
      <c r="N980">
        <f>_xll.ICEHistory(M$4,N$5,"DF[dow:12345][tl:Calendar]",$L980)</f>
        <v>24.67</v>
      </c>
      <c r="O980">
        <f>_xll.ICEHistory(M$4,O$5,"DF[dow:12345][tl:Calendar]",$L980)</f>
        <v>23.6</v>
      </c>
      <c r="P980">
        <f>_xll.ICEHistory(M$4,P$5,"DF[dow:12345][tl:Calendar]",$L980)</f>
        <v>24.39</v>
      </c>
      <c r="Q980">
        <f>_xll.ICEHistory(M$4,Q$5,"DF[dow:12345][tl:Calendar]",$L980)</f>
        <v>29129</v>
      </c>
      <c r="R980">
        <f>_xll.ICEHistory(M$4,R$5,"DF[dow:12345][tl:Calendar]",$L980)</f>
        <v>380789</v>
      </c>
      <c r="S980">
        <f>_xll.ICEHistory(S$4,S$5,"DF[dow:12345][tl:Calendar]",$L980)</f>
        <v>13.73</v>
      </c>
      <c r="T980">
        <f>_xll.ICEHistory(S$4,T$5,"DF[dow:12345][tl:Calendar]",$L980)</f>
        <v>13.925000000000001</v>
      </c>
      <c r="U980">
        <f>_xll.ICEHistory(S$4,U$5,"DF[dow:12345][tl:Calendar]",$L980)</f>
        <v>13.585000000000001</v>
      </c>
      <c r="V980">
        <f>_xll.ICEHistory(S$4,V$5,"DF[dow:12345][tl:Calendar]",$L980)</f>
        <v>13.664999999999999</v>
      </c>
      <c r="W980">
        <f>_xll.ICEHistory(S$4,W$5,"DF[dow:12345][tl:Calendar]",$L980)</f>
        <v>127</v>
      </c>
      <c r="X980">
        <f t="shared" si="45"/>
        <v>4.5746045318512195E-2</v>
      </c>
      <c r="Y980">
        <f t="shared" si="46"/>
        <v>0.21124393100086949</v>
      </c>
      <c r="Z980">
        <f t="shared" si="47"/>
        <v>0.64926464117463045</v>
      </c>
    </row>
    <row r="981" spans="12:26" x14ac:dyDescent="0.25">
      <c r="L981" s="4">
        <f>_xll.ICETimeline(_xll.ICEJoinRange(M4:W4),"DF[dow:12345][tl:Calendar]","2020-07-26;2024-07-26",70,-1)</f>
        <v>44137.5</v>
      </c>
      <c r="M981">
        <f>_xll.ICEHistory(M$4,M$5,"DF[dow:12345][tl:Calendar]",$L981)</f>
        <v>23.39</v>
      </c>
      <c r="N981">
        <f>_xll.ICEHistory(M$4,N$5,"DF[dow:12345][tl:Calendar]",$L981)</f>
        <v>23.79</v>
      </c>
      <c r="O981">
        <f>_xll.ICEHistory(M$4,O$5,"DF[dow:12345][tl:Calendar]",$L981)</f>
        <v>22.79</v>
      </c>
      <c r="P981">
        <f>_xll.ICEHistory(M$4,P$5,"DF[dow:12345][tl:Calendar]",$L981)</f>
        <v>23.67</v>
      </c>
      <c r="Q981">
        <f>_xll.ICEHistory(M$4,Q$5,"DF[dow:12345][tl:Calendar]",$L981)</f>
        <v>28628</v>
      </c>
      <c r="R981">
        <f>_xll.ICEHistory(M$4,R$5,"DF[dow:12345][tl:Calendar]",$L981)</f>
        <v>381389</v>
      </c>
      <c r="S981">
        <f>_xll.ICEHistory(S$4,S$5,"DF[dow:12345][tl:Calendar]",$L981)</f>
        <v>13.515000000000001</v>
      </c>
      <c r="T981">
        <f>_xll.ICEHistory(S$4,T$5,"DF[dow:12345][tl:Calendar]",$L981)</f>
        <v>13.705</v>
      </c>
      <c r="U981">
        <f>_xll.ICEHistory(S$4,U$5,"DF[dow:12345][tl:Calendar]",$L981)</f>
        <v>13.515000000000001</v>
      </c>
      <c r="V981">
        <f>_xll.ICEHistory(S$4,V$5,"DF[dow:12345][tl:Calendar]",$L981)</f>
        <v>13.654999999999999</v>
      </c>
      <c r="W981">
        <f>_xll.ICEHistory(S$4,W$5,"DF[dow:12345][tl:Calendar]",$L981)</f>
        <v>105</v>
      </c>
      <c r="X981">
        <f t="shared" si="45"/>
        <v>4.2918454935622317E-2</v>
      </c>
      <c r="Y981">
        <f t="shared" si="46"/>
        <v>3.4259898379959824E-2</v>
      </c>
      <c r="Z981">
        <f t="shared" si="47"/>
        <v>0.60287750428550191</v>
      </c>
    </row>
    <row r="982" spans="12:26" x14ac:dyDescent="0.25">
      <c r="L982" s="4">
        <f>_xll.ICETimeline(_xll.ICEJoinRange(M4:W4),"DF[dow:12345][tl:Calendar]","2020-07-26;2024-07-26",69,-1)</f>
        <v>44134.5</v>
      </c>
      <c r="M982">
        <f>_xll.ICEHistory(M$4,M$5,"DF[dow:12345][tl:Calendar]",$L982)</f>
        <v>23.3</v>
      </c>
      <c r="N982">
        <f>_xll.ICEHistory(M$4,N$5,"DF[dow:12345][tl:Calendar]",$L982)</f>
        <v>24.23</v>
      </c>
      <c r="O982">
        <f>_xll.ICEHistory(M$4,O$5,"DF[dow:12345][tl:Calendar]",$L982)</f>
        <v>23.17</v>
      </c>
      <c r="P982">
        <f>_xll.ICEHistory(M$4,P$5,"DF[dow:12345][tl:Calendar]",$L982)</f>
        <v>23.71</v>
      </c>
      <c r="Q982">
        <f>_xll.ICEHistory(M$4,Q$5,"DF[dow:12345][tl:Calendar]",$L982)</f>
        <v>23226</v>
      </c>
      <c r="R982">
        <f>_xll.ICEHistory(M$4,R$5,"DF[dow:12345][tl:Calendar]",$L982)</f>
        <v>385380</v>
      </c>
      <c r="S982">
        <f>_xll.ICEHistory(S$4,S$5,"DF[dow:12345][tl:Calendar]",$L982)</f>
        <v>14.335000000000001</v>
      </c>
      <c r="T982">
        <f>_xll.ICEHistory(S$4,T$5,"DF[dow:12345][tl:Calendar]",$L982)</f>
        <v>14.385</v>
      </c>
      <c r="U982">
        <f>_xll.ICEHistory(S$4,U$5,"DF[dow:12345][tl:Calendar]",$L982)</f>
        <v>13.925000000000001</v>
      </c>
      <c r="V982">
        <f>_xll.ICEHistory(S$4,V$5,"DF[dow:12345][tl:Calendar]",$L982)</f>
        <v>14.06</v>
      </c>
      <c r="W982">
        <f>_xll.ICEHistory(S$4,W$5,"DF[dow:12345][tl:Calendar]",$L982)</f>
        <v>237</v>
      </c>
      <c r="X982">
        <f t="shared" si="45"/>
        <v>4.6288209606986847E-2</v>
      </c>
      <c r="Y982">
        <f t="shared" si="46"/>
        <v>0.26543285144010914</v>
      </c>
      <c r="Z982">
        <f t="shared" si="47"/>
        <v>-0.1312232977871538</v>
      </c>
    </row>
    <row r="983" spans="12:26" x14ac:dyDescent="0.25">
      <c r="L983" s="4">
        <f>_xll.ICETimeline(_xll.ICEJoinRange(M4:W4),"DF[dow:12345][tl:Calendar]","2020-07-26;2024-07-26",68,-1)</f>
        <v>44133.5</v>
      </c>
      <c r="M983">
        <f>_xll.ICEHistory(M$4,M$5,"DF[dow:12345][tl:Calendar]",$L983)</f>
        <v>22.9</v>
      </c>
      <c r="N983">
        <f>_xll.ICEHistory(M$4,N$5,"DF[dow:12345][tl:Calendar]",$L983)</f>
        <v>24.08</v>
      </c>
      <c r="O983">
        <f>_xll.ICEHistory(M$4,O$5,"DF[dow:12345][tl:Calendar]",$L983)</f>
        <v>22.9</v>
      </c>
      <c r="P983">
        <f>_xll.ICEHistory(M$4,P$5,"DF[dow:12345][tl:Calendar]",$L983)</f>
        <v>23.67</v>
      </c>
      <c r="Q983">
        <f>_xll.ICEHistory(M$4,Q$5,"DF[dow:12345][tl:Calendar]",$L983)</f>
        <v>29854</v>
      </c>
      <c r="R983">
        <f>_xll.ICEHistory(M$4,R$5,"DF[dow:12345][tl:Calendar]",$L983)</f>
        <v>384726</v>
      </c>
      <c r="S983">
        <f>_xll.ICEHistory(S$4,S$5,"DF[dow:12345][tl:Calendar]",$L983)</f>
        <v>14.4</v>
      </c>
      <c r="T983">
        <f>_xll.ICEHistory(S$4,T$5,"DF[dow:12345][tl:Calendar]",$L983)</f>
        <v>14.4</v>
      </c>
      <c r="U983">
        <f>_xll.ICEHistory(S$4,U$5,"DF[dow:12345][tl:Calendar]",$L983)</f>
        <v>14.125</v>
      </c>
      <c r="V983">
        <f>_xll.ICEHistory(S$4,V$5,"DF[dow:12345][tl:Calendar]",$L983)</f>
        <v>14.215</v>
      </c>
      <c r="W983">
        <f>_xll.ICEHistory(S$4,W$5,"DF[dow:12345][tl:Calendar]",$L983)</f>
        <v>0</v>
      </c>
      <c r="X983">
        <f t="shared" si="45"/>
        <v>4.9579831932773093E-2</v>
      </c>
      <c r="Y983">
        <f t="shared" si="46"/>
        <v>0.48741709283469026</v>
      </c>
      <c r="Z983">
        <f t="shared" si="47"/>
        <v>0.79633679268270496</v>
      </c>
    </row>
    <row r="984" spans="12:26" x14ac:dyDescent="0.25">
      <c r="L984" s="4">
        <f>_xll.ICETimeline(_xll.ICEJoinRange(M4:W4),"DF[dow:12345][tl:Calendar]","2020-07-26;2024-07-26",67,-1)</f>
        <v>44132.5</v>
      </c>
      <c r="M984">
        <f>_xll.ICEHistory(M$4,M$5,"DF[dow:12345][tl:Calendar]",$L984)</f>
        <v>23.8</v>
      </c>
      <c r="N984">
        <f>_xll.ICEHistory(M$4,N$5,"DF[dow:12345][tl:Calendar]",$L984)</f>
        <v>23.8</v>
      </c>
      <c r="O984">
        <f>_xll.ICEHistory(M$4,O$5,"DF[dow:12345][tl:Calendar]",$L984)</f>
        <v>22.88</v>
      </c>
      <c r="P984">
        <f>_xll.ICEHistory(M$4,P$5,"DF[dow:12345][tl:Calendar]",$L984)</f>
        <v>23.03</v>
      </c>
      <c r="Q984">
        <f>_xll.ICEHistory(M$4,Q$5,"DF[dow:12345][tl:Calendar]",$L984)</f>
        <v>35922</v>
      </c>
      <c r="R984">
        <f>_xll.ICEHistory(M$4,R$5,"DF[dow:12345][tl:Calendar]",$L984)</f>
        <v>384226</v>
      </c>
      <c r="S984">
        <f>_xll.ICEHistory(S$4,S$5,"DF[dow:12345][tl:Calendar]",$L984)</f>
        <v>14.525</v>
      </c>
      <c r="T984">
        <f>_xll.ICEHistory(S$4,T$5,"DF[dow:12345][tl:Calendar]",$L984)</f>
        <v>14.65</v>
      </c>
      <c r="U984">
        <f>_xll.ICEHistory(S$4,U$5,"DF[dow:12345][tl:Calendar]",$L984)</f>
        <v>14.4</v>
      </c>
      <c r="V984">
        <f>_xll.ICEHistory(S$4,V$5,"DF[dow:12345][tl:Calendar]",$L984)</f>
        <v>14.484999999999999</v>
      </c>
      <c r="W984">
        <f>_xll.ICEHistory(S$4,W$5,"DF[dow:12345][tl:Calendar]",$L984)</f>
        <v>642</v>
      </c>
      <c r="X984">
        <f t="shared" si="45"/>
        <v>3.847762442492688E-2</v>
      </c>
      <c r="Y984">
        <f t="shared" si="46"/>
        <v>-0.25494946264606433</v>
      </c>
      <c r="Z984">
        <f t="shared" si="47"/>
        <v>1.6655560510806884</v>
      </c>
    </row>
    <row r="985" spans="12:26" x14ac:dyDescent="0.25">
      <c r="L985" s="4">
        <f>_xll.ICETimeline(_xll.ICEJoinRange(M4:W4),"DF[dow:12345][tl:Calendar]","2020-07-26;2024-07-26",66,-1)</f>
        <v>44131.5</v>
      </c>
      <c r="M985">
        <f>_xll.ICEHistory(M$4,M$5,"DF[dow:12345][tl:Calendar]",$L985)</f>
        <v>23.91</v>
      </c>
      <c r="N985">
        <f>_xll.ICEHistory(M$4,N$5,"DF[dow:12345][tl:Calendar]",$L985)</f>
        <v>24.3</v>
      </c>
      <c r="O985">
        <f>_xll.ICEHistory(M$4,O$5,"DF[dow:12345][tl:Calendar]",$L985)</f>
        <v>23.41</v>
      </c>
      <c r="P985">
        <f>_xll.ICEHistory(M$4,P$5,"DF[dow:12345][tl:Calendar]",$L985)</f>
        <v>24.07</v>
      </c>
      <c r="Q985">
        <f>_xll.ICEHistory(M$4,Q$5,"DF[dow:12345][tl:Calendar]",$L985)</f>
        <v>25527</v>
      </c>
      <c r="R985">
        <f>_xll.ICEHistory(M$4,R$5,"DF[dow:12345][tl:Calendar]",$L985)</f>
        <v>383100</v>
      </c>
      <c r="S985">
        <f>_xll.ICEHistory(S$4,S$5,"DF[dow:12345][tl:Calendar]",$L985)</f>
        <v>14.7</v>
      </c>
      <c r="T985">
        <f>_xll.ICEHistory(S$4,T$5,"DF[dow:12345][tl:Calendar]",$L985)</f>
        <v>14.85</v>
      </c>
      <c r="U985">
        <f>_xll.ICEHistory(S$4,U$5,"DF[dow:12345][tl:Calendar]",$L985)</f>
        <v>14.375</v>
      </c>
      <c r="V985">
        <f>_xll.ICEHistory(S$4,V$5,"DF[dow:12345][tl:Calendar]",$L985)</f>
        <v>14.744999999999999</v>
      </c>
      <c r="W985">
        <f>_xll.ICEHistory(S$4,W$5,"DF[dow:12345][tl:Calendar]",$L985)</f>
        <v>260</v>
      </c>
      <c r="X985">
        <f t="shared" si="45"/>
        <v>3.5275465715418175E-2</v>
      </c>
      <c r="Y985">
        <f t="shared" si="46"/>
        <v>-0.47027378073444143</v>
      </c>
      <c r="Z985">
        <f t="shared" si="47"/>
        <v>0.24629406898238401</v>
      </c>
    </row>
    <row r="986" spans="12:26" x14ac:dyDescent="0.25">
      <c r="L986" s="4">
        <f>_xll.ICETimeline(_xll.ICEJoinRange(M4:W4),"DF[dow:12345][tl:Calendar]","2020-07-26;2024-07-26",65,-1)</f>
        <v>44130.5</v>
      </c>
      <c r="M986">
        <f>_xll.ICEHistory(M$4,M$5,"DF[dow:12345][tl:Calendar]",$L986)</f>
        <v>25.23</v>
      </c>
      <c r="N986">
        <f>_xll.ICEHistory(M$4,N$5,"DF[dow:12345][tl:Calendar]",$L986)</f>
        <v>25.23</v>
      </c>
      <c r="O986">
        <f>_xll.ICEHistory(M$4,O$5,"DF[dow:12345][tl:Calendar]",$L986)</f>
        <v>23.72</v>
      </c>
      <c r="P986">
        <f>_xll.ICEHistory(M$4,P$5,"DF[dow:12345][tl:Calendar]",$L986)</f>
        <v>23.85</v>
      </c>
      <c r="Q986">
        <f>_xll.ICEHistory(M$4,Q$5,"DF[dow:12345][tl:Calendar]",$L986)</f>
        <v>23910</v>
      </c>
      <c r="R986">
        <f>_xll.ICEHistory(M$4,R$5,"DF[dow:12345][tl:Calendar]",$L986)</f>
        <v>382179</v>
      </c>
      <c r="S986">
        <f>_xll.ICEHistory(S$4,S$5,"DF[dow:12345][tl:Calendar]",$L986)</f>
        <v>15.15</v>
      </c>
      <c r="T986">
        <f>_xll.ICEHistory(S$4,T$5,"DF[dow:12345][tl:Calendar]",$L986)</f>
        <v>15.39</v>
      </c>
      <c r="U986">
        <f>_xll.ICEHistory(S$4,U$5,"DF[dow:12345][tl:Calendar]",$L986)</f>
        <v>14.865</v>
      </c>
      <c r="V986">
        <f>_xll.ICEHistory(S$4,V$5,"DF[dow:12345][tl:Calendar]",$L986)</f>
        <v>14.865</v>
      </c>
      <c r="W986">
        <f>_xll.ICEHistory(S$4,W$5,"DF[dow:12345][tl:Calendar]",$L986)</f>
        <v>140</v>
      </c>
      <c r="X986">
        <f t="shared" si="45"/>
        <v>6.2864279766861014E-2</v>
      </c>
      <c r="Y986">
        <f t="shared" si="46"/>
        <v>1.3870808488678537</v>
      </c>
      <c r="Z986">
        <f t="shared" si="47"/>
        <v>1.3381261000784314E-2</v>
      </c>
    </row>
    <row r="987" spans="12:26" x14ac:dyDescent="0.25">
      <c r="L987" s="4">
        <f>_xll.ICETimeline(_xll.ICEJoinRange(M4:W4),"DF[dow:12345][tl:Calendar]","2020-07-26;2024-07-26",64,-1)</f>
        <v>44127.5</v>
      </c>
      <c r="M987">
        <f>_xll.ICEHistory(M$4,M$5,"DF[dow:12345][tl:Calendar]",$L987)</f>
        <v>24.02</v>
      </c>
      <c r="N987">
        <f>_xll.ICEHistory(M$4,N$5,"DF[dow:12345][tl:Calendar]",$L987)</f>
        <v>25.72</v>
      </c>
      <c r="O987">
        <f>_xll.ICEHistory(M$4,O$5,"DF[dow:12345][tl:Calendar]",$L987)</f>
        <v>24</v>
      </c>
      <c r="P987">
        <f>_xll.ICEHistory(M$4,P$5,"DF[dow:12345][tl:Calendar]",$L987)</f>
        <v>25.49</v>
      </c>
      <c r="Q987">
        <f>_xll.ICEHistory(M$4,Q$5,"DF[dow:12345][tl:Calendar]",$L987)</f>
        <v>31137</v>
      </c>
      <c r="R987">
        <f>_xll.ICEHistory(M$4,R$5,"DF[dow:12345][tl:Calendar]",$L987)</f>
        <v>381556</v>
      </c>
      <c r="S987">
        <f>_xll.ICEHistory(S$4,S$5,"DF[dow:12345][tl:Calendar]",$L987)</f>
        <v>15.244999999999999</v>
      </c>
      <c r="T987">
        <f>_xll.ICEHistory(S$4,T$5,"DF[dow:12345][tl:Calendar]",$L987)</f>
        <v>15.65</v>
      </c>
      <c r="U987">
        <f>_xll.ICEHistory(S$4,U$5,"DF[dow:12345][tl:Calendar]",$L987)</f>
        <v>15.244999999999999</v>
      </c>
      <c r="V987">
        <f>_xll.ICEHistory(S$4,V$5,"DF[dow:12345][tl:Calendar]",$L987)</f>
        <v>15.41</v>
      </c>
      <c r="W987">
        <f>_xll.ICEHistory(S$4,W$5,"DF[dow:12345][tl:Calendar]",$L987)</f>
        <v>205</v>
      </c>
      <c r="X987">
        <f t="shared" si="45"/>
        <v>7.3285044737963309E-2</v>
      </c>
      <c r="Y987">
        <f t="shared" si="46"/>
        <v>2.1264867224498945</v>
      </c>
      <c r="Z987">
        <f t="shared" si="47"/>
        <v>1.0379633156318884</v>
      </c>
    </row>
    <row r="988" spans="12:26" x14ac:dyDescent="0.25">
      <c r="L988" s="4">
        <f>_xll.ICETimeline(_xll.ICEJoinRange(M4:W4),"DF[dow:12345][tl:Calendar]","2020-07-26;2024-07-26",63,-1)</f>
        <v>44126.5</v>
      </c>
      <c r="M988">
        <f>_xll.ICEHistory(M$4,M$5,"DF[dow:12345][tl:Calendar]",$L988)</f>
        <v>23.47</v>
      </c>
      <c r="N988">
        <f>_xll.ICEHistory(M$4,N$5,"DF[dow:12345][tl:Calendar]",$L988)</f>
        <v>24.26</v>
      </c>
      <c r="O988">
        <f>_xll.ICEHistory(M$4,O$5,"DF[dow:12345][tl:Calendar]",$L988)</f>
        <v>23.09</v>
      </c>
      <c r="P988">
        <f>_xll.ICEHistory(M$4,P$5,"DF[dow:12345][tl:Calendar]",$L988)</f>
        <v>24.18</v>
      </c>
      <c r="Q988">
        <f>_xll.ICEHistory(M$4,Q$5,"DF[dow:12345][tl:Calendar]",$L988)</f>
        <v>28138</v>
      </c>
      <c r="R988">
        <f>_xll.ICEHistory(M$4,R$5,"DF[dow:12345][tl:Calendar]",$L988)</f>
        <v>379590</v>
      </c>
      <c r="S988">
        <f>_xll.ICEHistory(S$4,S$5,"DF[dow:12345][tl:Calendar]",$L988)</f>
        <v>14.824999999999999</v>
      </c>
      <c r="T988">
        <f>_xll.ICEHistory(S$4,T$5,"DF[dow:12345][tl:Calendar]",$L988)</f>
        <v>15.34</v>
      </c>
      <c r="U988">
        <f>_xll.ICEHistory(S$4,U$5,"DF[dow:12345][tl:Calendar]",$L988)</f>
        <v>14.8</v>
      </c>
      <c r="V988">
        <f>_xll.ICEHistory(S$4,V$5,"DF[dow:12345][tl:Calendar]",$L988)</f>
        <v>15.255000000000001</v>
      </c>
      <c r="W988">
        <f>_xll.ICEHistory(S$4,W$5,"DF[dow:12345][tl:Calendar]",$L988)</f>
        <v>371</v>
      </c>
      <c r="X988">
        <f t="shared" si="45"/>
        <v>4.8108552631579017E-2</v>
      </c>
      <c r="Y988">
        <f t="shared" si="46"/>
        <v>0.46597740470672322</v>
      </c>
      <c r="Z988">
        <f t="shared" si="47"/>
        <v>0.62952172674726181</v>
      </c>
    </row>
    <row r="989" spans="12:26" x14ac:dyDescent="0.25">
      <c r="L989" s="4">
        <f>_xll.ICETimeline(_xll.ICEJoinRange(M4:W4),"DF[dow:12345][tl:Calendar]","2020-07-26;2024-07-26",62,-1)</f>
        <v>44125.5</v>
      </c>
      <c r="M989">
        <f>_xll.ICEHistory(M$4,M$5,"DF[dow:12345][tl:Calendar]",$L989)</f>
        <v>24.32</v>
      </c>
      <c r="N989">
        <f>_xll.ICEHistory(M$4,N$5,"DF[dow:12345][tl:Calendar]",$L989)</f>
        <v>24.44</v>
      </c>
      <c r="O989">
        <f>_xll.ICEHistory(M$4,O$5,"DF[dow:12345][tl:Calendar]",$L989)</f>
        <v>23.35</v>
      </c>
      <c r="P989">
        <f>_xll.ICEHistory(M$4,P$5,"DF[dow:12345][tl:Calendar]",$L989)</f>
        <v>23.56</v>
      </c>
      <c r="Q989">
        <f>_xll.ICEHistory(M$4,Q$5,"DF[dow:12345][tl:Calendar]",$L989)</f>
        <v>39376</v>
      </c>
      <c r="R989">
        <f>_xll.ICEHistory(M$4,R$5,"DF[dow:12345][tl:Calendar]",$L989)</f>
        <v>384270</v>
      </c>
      <c r="S989">
        <f>_xll.ICEHistory(S$4,S$5,"DF[dow:12345][tl:Calendar]",$L989)</f>
        <v>14.81</v>
      </c>
      <c r="T989">
        <f>_xll.ICEHistory(S$4,T$5,"DF[dow:12345][tl:Calendar]",$L989)</f>
        <v>14.95</v>
      </c>
      <c r="U989">
        <f>_xll.ICEHistory(S$4,U$5,"DF[dow:12345][tl:Calendar]",$L989)</f>
        <v>14.81</v>
      </c>
      <c r="V989">
        <f>_xll.ICEHistory(S$4,V$5,"DF[dow:12345][tl:Calendar]",$L989)</f>
        <v>14.865</v>
      </c>
      <c r="W989">
        <f>_xll.ICEHistory(S$4,W$5,"DF[dow:12345][tl:Calendar]",$L989)</f>
        <v>739</v>
      </c>
      <c r="X989">
        <f t="shared" si="45"/>
        <v>4.4040404040404033E-2</v>
      </c>
      <c r="Y989">
        <f t="shared" si="46"/>
        <v>0.18794989332550593</v>
      </c>
      <c r="Z989">
        <f t="shared" si="47"/>
        <v>2.2230919074266007</v>
      </c>
    </row>
    <row r="990" spans="12:26" x14ac:dyDescent="0.25">
      <c r="L990" s="4">
        <f>_xll.ICETimeline(_xll.ICEJoinRange(M4:W4),"DF[dow:12345][tl:Calendar]","2020-07-26;2024-07-26",61,-1)</f>
        <v>44124.5</v>
      </c>
      <c r="M990">
        <f>_xll.ICEHistory(M$4,M$5,"DF[dow:12345][tl:Calendar]",$L990)</f>
        <v>24.75</v>
      </c>
      <c r="N990">
        <f>_xll.ICEHistory(M$4,N$5,"DF[dow:12345][tl:Calendar]",$L990)</f>
        <v>24.86</v>
      </c>
      <c r="O990">
        <f>_xll.ICEHistory(M$4,O$5,"DF[dow:12345][tl:Calendar]",$L990)</f>
        <v>24.2</v>
      </c>
      <c r="P990">
        <f>_xll.ICEHistory(M$4,P$5,"DF[dow:12345][tl:Calendar]",$L990)</f>
        <v>24.41</v>
      </c>
      <c r="Q990">
        <f>_xll.ICEHistory(M$4,Q$5,"DF[dow:12345][tl:Calendar]",$L990)</f>
        <v>28525</v>
      </c>
      <c r="R990">
        <f>_xll.ICEHistory(M$4,R$5,"DF[dow:12345][tl:Calendar]",$L990)</f>
        <v>382405</v>
      </c>
      <c r="S990">
        <f>_xll.ICEHistory(S$4,S$5,"DF[dow:12345][tl:Calendar]",$L990)</f>
        <v>14.56</v>
      </c>
      <c r="T990">
        <f>_xll.ICEHistory(S$4,T$5,"DF[dow:12345][tl:Calendar]",$L990)</f>
        <v>14.98</v>
      </c>
      <c r="U990">
        <f>_xll.ICEHistory(S$4,U$5,"DF[dow:12345][tl:Calendar]",$L990)</f>
        <v>14.56</v>
      </c>
      <c r="V990">
        <f>_xll.ICEHistory(S$4,V$5,"DF[dow:12345][tl:Calendar]",$L990)</f>
        <v>14.895</v>
      </c>
      <c r="W990">
        <f>_xll.ICEHistory(S$4,W$5,"DF[dow:12345][tl:Calendar]",$L990)</f>
        <v>1820</v>
      </c>
      <c r="X990">
        <f t="shared" si="45"/>
        <v>2.6602176541717058E-2</v>
      </c>
      <c r="Y990">
        <f t="shared" si="46"/>
        <v>-1.0120166998567819</v>
      </c>
      <c r="Z990">
        <f t="shared" si="47"/>
        <v>0.75216880424663735</v>
      </c>
    </row>
    <row r="991" spans="12:26" x14ac:dyDescent="0.25">
      <c r="L991" s="4">
        <f>_xll.ICETimeline(_xll.ICEJoinRange(M4:W4),"DF[dow:12345][tl:Calendar]","2020-07-26;2024-07-26",60,-1)</f>
        <v>44123.5</v>
      </c>
      <c r="M991">
        <f>_xll.ICEHistory(M$4,M$5,"DF[dow:12345][tl:Calendar]",$L991)</f>
        <v>24.81</v>
      </c>
      <c r="N991">
        <f>_xll.ICEHistory(M$4,N$5,"DF[dow:12345][tl:Calendar]",$L991)</f>
        <v>25.2</v>
      </c>
      <c r="O991">
        <f>_xll.ICEHistory(M$4,O$5,"DF[dow:12345][tl:Calendar]",$L991)</f>
        <v>24.57</v>
      </c>
      <c r="P991">
        <f>_xll.ICEHistory(M$4,P$5,"DF[dow:12345][tl:Calendar]",$L991)</f>
        <v>24.98</v>
      </c>
      <c r="Q991">
        <f>_xll.ICEHistory(M$4,Q$5,"DF[dow:12345][tl:Calendar]",$L991)</f>
        <v>22965</v>
      </c>
      <c r="R991">
        <f>_xll.ICEHistory(M$4,R$5,"DF[dow:12345][tl:Calendar]",$L991)</f>
        <v>383892</v>
      </c>
      <c r="S991">
        <f>_xll.ICEHistory(S$4,S$5,"DF[dow:12345][tl:Calendar]",$L991)</f>
        <v>14.65</v>
      </c>
      <c r="T991">
        <f>_xll.ICEHistory(S$4,T$5,"DF[dow:12345][tl:Calendar]",$L991)</f>
        <v>14.75</v>
      </c>
      <c r="U991">
        <f>_xll.ICEHistory(S$4,U$5,"DF[dow:12345][tl:Calendar]",$L991)</f>
        <v>14.65</v>
      </c>
      <c r="V991">
        <f>_xll.ICEHistory(S$4,V$5,"DF[dow:12345][tl:Calendar]",$L991)</f>
        <v>14.72</v>
      </c>
      <c r="W991">
        <f>_xll.ICEHistory(S$4,W$5,"DF[dow:12345][tl:Calendar]",$L991)</f>
        <v>70</v>
      </c>
      <c r="X991">
        <f t="shared" si="45"/>
        <v>2.5189924030387802E-2</v>
      </c>
      <c r="Y991">
        <f t="shared" si="46"/>
        <v>-1.1265847391220645</v>
      </c>
      <c r="Z991">
        <f t="shared" si="47"/>
        <v>-4.7553088213711722E-2</v>
      </c>
    </row>
    <row r="992" spans="12:26" x14ac:dyDescent="0.25">
      <c r="L992" s="4">
        <f>_xll.ICETimeline(_xll.ICEJoinRange(M4:W4),"DF[dow:12345][tl:Calendar]","2020-07-26;2024-07-26",59,-1)</f>
        <v>44120.5</v>
      </c>
      <c r="M992">
        <f>_xll.ICEHistory(M$4,M$5,"DF[dow:12345][tl:Calendar]",$L992)</f>
        <v>25.01</v>
      </c>
      <c r="N992">
        <f>_xll.ICEHistory(M$4,N$5,"DF[dow:12345][tl:Calendar]",$L992)</f>
        <v>25.57</v>
      </c>
      <c r="O992">
        <f>_xll.ICEHistory(M$4,O$5,"DF[dow:12345][tl:Calendar]",$L992)</f>
        <v>24.76</v>
      </c>
      <c r="P992">
        <f>_xll.ICEHistory(M$4,P$5,"DF[dow:12345][tl:Calendar]",$L992)</f>
        <v>24.89</v>
      </c>
      <c r="Q992">
        <f>_xll.ICEHistory(M$4,Q$5,"DF[dow:12345][tl:Calendar]",$L992)</f>
        <v>21932</v>
      </c>
      <c r="R992">
        <f>_xll.ICEHistory(M$4,R$5,"DF[dow:12345][tl:Calendar]",$L992)</f>
        <v>384571</v>
      </c>
      <c r="S992">
        <f>_xll.ICEHistory(S$4,S$5,"DF[dow:12345][tl:Calendar]",$L992)</f>
        <v>14.525</v>
      </c>
      <c r="T992">
        <f>_xll.ICEHistory(S$4,T$5,"DF[dow:12345][tl:Calendar]",$L992)</f>
        <v>14.65</v>
      </c>
      <c r="U992">
        <f>_xll.ICEHistory(S$4,U$5,"DF[dow:12345][tl:Calendar]",$L992)</f>
        <v>14.425000000000001</v>
      </c>
      <c r="V992">
        <f>_xll.ICEHistory(S$4,V$5,"DF[dow:12345][tl:Calendar]",$L992)</f>
        <v>14.5</v>
      </c>
      <c r="W992">
        <f>_xll.ICEHistory(S$4,W$5,"DF[dow:12345][tl:Calendar]",$L992)</f>
        <v>65</v>
      </c>
      <c r="X992">
        <f t="shared" si="45"/>
        <v>3.1419705197827726E-2</v>
      </c>
      <c r="Y992">
        <f t="shared" si="46"/>
        <v>-0.71808584660201247</v>
      </c>
      <c r="Z992">
        <f t="shared" si="47"/>
        <v>-0.19705847185575492</v>
      </c>
    </row>
    <row r="993" spans="12:26" x14ac:dyDescent="0.25">
      <c r="L993" s="4">
        <f>_xll.ICETimeline(_xll.ICEJoinRange(M4:W4),"DF[dow:12345][tl:Calendar]","2020-07-26;2024-07-26",58,-1)</f>
        <v>44119.5</v>
      </c>
      <c r="M993">
        <f>_xll.ICEHistory(M$4,M$5,"DF[dow:12345][tl:Calendar]",$L993)</f>
        <v>25.78</v>
      </c>
      <c r="N993">
        <f>_xll.ICEHistory(M$4,N$5,"DF[dow:12345][tl:Calendar]",$L993)</f>
        <v>25.78</v>
      </c>
      <c r="O993">
        <f>_xll.ICEHistory(M$4,O$5,"DF[dow:12345][tl:Calendar]",$L993)</f>
        <v>24.61</v>
      </c>
      <c r="P993">
        <f>_xll.ICEHistory(M$4,P$5,"DF[dow:12345][tl:Calendar]",$L993)</f>
        <v>24.96</v>
      </c>
      <c r="Q993">
        <f>_xll.ICEHistory(M$4,Q$5,"DF[dow:12345][tl:Calendar]",$L993)</f>
        <v>33610</v>
      </c>
      <c r="R993">
        <f>_xll.ICEHistory(M$4,R$5,"DF[dow:12345][tl:Calendar]",$L993)</f>
        <v>385672</v>
      </c>
      <c r="S993">
        <f>_xll.ICEHistory(S$4,S$5,"DF[dow:12345][tl:Calendar]",$L993)</f>
        <v>14.175000000000001</v>
      </c>
      <c r="T993">
        <f>_xll.ICEHistory(S$4,T$5,"DF[dow:12345][tl:Calendar]",$L993)</f>
        <v>14.24</v>
      </c>
      <c r="U993">
        <f>_xll.ICEHistory(S$4,U$5,"DF[dow:12345][tl:Calendar]",$L993)</f>
        <v>13.9</v>
      </c>
      <c r="V993">
        <f>_xll.ICEHistory(S$4,V$5,"DF[dow:12345][tl:Calendar]",$L993)</f>
        <v>14.24</v>
      </c>
      <c r="W993">
        <f>_xll.ICEHistory(S$4,W$5,"DF[dow:12345][tl:Calendar]",$L993)</f>
        <v>555</v>
      </c>
      <c r="X993">
        <f t="shared" si="45"/>
        <v>4.6447002778880572E-2</v>
      </c>
      <c r="Y993">
        <f t="shared" si="46"/>
        <v>0.30663775931061588</v>
      </c>
      <c r="Z993">
        <f t="shared" si="47"/>
        <v>1.473205623227082</v>
      </c>
    </row>
    <row r="994" spans="12:26" x14ac:dyDescent="0.25">
      <c r="L994" s="4">
        <f>_xll.ICETimeline(_xll.ICEJoinRange(M4:W4),"DF[dow:12345][tl:Calendar]","2020-07-26;2024-07-26",57,-1)</f>
        <v>44118.5</v>
      </c>
      <c r="M994">
        <f>_xll.ICEHistory(M$4,M$5,"DF[dow:12345][tl:Calendar]",$L994)</f>
        <v>25.19</v>
      </c>
      <c r="N994">
        <f>_xll.ICEHistory(M$4,N$5,"DF[dow:12345][tl:Calendar]",$L994)</f>
        <v>25.85</v>
      </c>
      <c r="O994">
        <f>_xll.ICEHistory(M$4,O$5,"DF[dow:12345][tl:Calendar]",$L994)</f>
        <v>25.08</v>
      </c>
      <c r="P994">
        <f>_xll.ICEHistory(M$4,P$5,"DF[dow:12345][tl:Calendar]",$L994)</f>
        <v>25.75</v>
      </c>
      <c r="Q994">
        <f>_xll.ICEHistory(M$4,Q$5,"DF[dow:12345][tl:Calendar]",$L994)</f>
        <v>23850</v>
      </c>
      <c r="R994">
        <f>_xll.ICEHistory(M$4,R$5,"DF[dow:12345][tl:Calendar]",$L994)</f>
        <v>386280</v>
      </c>
      <c r="S994">
        <f>_xll.ICEHistory(S$4,S$5,"DF[dow:12345][tl:Calendar]",$L994)</f>
        <v>13.74</v>
      </c>
      <c r="T994">
        <f>_xll.ICEHistory(S$4,T$5,"DF[dow:12345][tl:Calendar]",$L994)</f>
        <v>13.945</v>
      </c>
      <c r="U994">
        <f>_xll.ICEHistory(S$4,U$5,"DF[dow:12345][tl:Calendar]",$L994)</f>
        <v>13.74</v>
      </c>
      <c r="V994">
        <f>_xll.ICEHistory(S$4,V$5,"DF[dow:12345][tl:Calendar]",$L994)</f>
        <v>13.87</v>
      </c>
      <c r="W994">
        <f>_xll.ICEHistory(S$4,W$5,"DF[dow:12345][tl:Calendar]",$L994)</f>
        <v>65</v>
      </c>
      <c r="X994">
        <f t="shared" si="45"/>
        <v>2.9856533540131958E-2</v>
      </c>
      <c r="Y994">
        <f t="shared" si="46"/>
        <v>-0.82300764677067695</v>
      </c>
      <c r="Z994">
        <f t="shared" si="47"/>
        <v>0.10233494314518662</v>
      </c>
    </row>
    <row r="995" spans="12:26" x14ac:dyDescent="0.25">
      <c r="L995" s="4">
        <f>_xll.ICETimeline(_xll.ICEJoinRange(M4:W4),"DF[dow:12345][tl:Calendar]","2020-07-26;2024-07-26",56,-1)</f>
        <v>44117.5</v>
      </c>
      <c r="M995">
        <f>_xll.ICEHistory(M$4,M$5,"DF[dow:12345][tl:Calendar]",$L995)</f>
        <v>25.79</v>
      </c>
      <c r="N995">
        <f>_xll.ICEHistory(M$4,N$5,"DF[dow:12345][tl:Calendar]",$L995)</f>
        <v>25.85</v>
      </c>
      <c r="O995">
        <f>_xll.ICEHistory(M$4,O$5,"DF[dow:12345][tl:Calendar]",$L995)</f>
        <v>25.1</v>
      </c>
      <c r="P995">
        <f>_xll.ICEHistory(M$4,P$5,"DF[dow:12345][tl:Calendar]",$L995)</f>
        <v>25.22</v>
      </c>
      <c r="Q995">
        <f>_xll.ICEHistory(M$4,Q$5,"DF[dow:12345][tl:Calendar]",$L995)</f>
        <v>23138</v>
      </c>
      <c r="R995">
        <f>_xll.ICEHistory(M$4,R$5,"DF[dow:12345][tl:Calendar]",$L995)</f>
        <v>385205</v>
      </c>
      <c r="S995">
        <f>_xll.ICEHistory(S$4,S$5,"DF[dow:12345][tl:Calendar]",$L995)</f>
        <v>13.69</v>
      </c>
      <c r="T995">
        <f>_xll.ICEHistory(S$4,T$5,"DF[dow:12345][tl:Calendar]",$L995)</f>
        <v>13.7</v>
      </c>
      <c r="U995">
        <f>_xll.ICEHistory(S$4,U$5,"DF[dow:12345][tl:Calendar]",$L995)</f>
        <v>13.49</v>
      </c>
      <c r="V995">
        <f>_xll.ICEHistory(S$4,V$5,"DF[dow:12345][tl:Calendar]",$L995)</f>
        <v>13.595000000000001</v>
      </c>
      <c r="W995">
        <f>_xll.ICEHistory(S$4,W$5,"DF[dow:12345][tl:Calendar]",$L995)</f>
        <v>345</v>
      </c>
      <c r="X995">
        <f t="shared" si="45"/>
        <v>2.9411764705882353E-2</v>
      </c>
      <c r="Y995">
        <f t="shared" si="46"/>
        <v>-0.86562553838766487</v>
      </c>
      <c r="Z995">
        <f t="shared" si="47"/>
        <v>1.084697976509166E-3</v>
      </c>
    </row>
    <row r="996" spans="12:26" x14ac:dyDescent="0.25">
      <c r="L996" s="4">
        <f>_xll.ICETimeline(_xll.ICEJoinRange(M4:W4),"DF[dow:12345][tl:Calendar]","2020-07-26;2024-07-26",55,-1)</f>
        <v>44116.5</v>
      </c>
      <c r="M996">
        <f>_xll.ICEHistory(M$4,M$5,"DF[dow:12345][tl:Calendar]",$L996)</f>
        <v>25.5</v>
      </c>
      <c r="N996">
        <f>_xll.ICEHistory(M$4,N$5,"DF[dow:12345][tl:Calendar]",$L996)</f>
        <v>25.93</v>
      </c>
      <c r="O996">
        <f>_xll.ICEHistory(M$4,O$5,"DF[dow:12345][tl:Calendar]",$L996)</f>
        <v>25.2</v>
      </c>
      <c r="P996">
        <f>_xll.ICEHistory(M$4,P$5,"DF[dow:12345][tl:Calendar]",$L996)</f>
        <v>25.87</v>
      </c>
      <c r="Q996">
        <f>_xll.ICEHistory(M$4,Q$5,"DF[dow:12345][tl:Calendar]",$L996)</f>
        <v>20898</v>
      </c>
      <c r="R996">
        <f>_xll.ICEHistory(M$4,R$5,"DF[dow:12345][tl:Calendar]",$L996)</f>
        <v>385246</v>
      </c>
      <c r="S996">
        <f>_xll.ICEHistory(S$4,S$5,"DF[dow:12345][tl:Calendar]",$L996)</f>
        <v>13.61</v>
      </c>
      <c r="T996">
        <f>_xll.ICEHistory(S$4,T$5,"DF[dow:12345][tl:Calendar]",$L996)</f>
        <v>13.84</v>
      </c>
      <c r="U996">
        <f>_xll.ICEHistory(S$4,U$5,"DF[dow:12345][tl:Calendar]",$L996)</f>
        <v>13.61</v>
      </c>
      <c r="V996">
        <f>_xll.ICEHistory(S$4,V$5,"DF[dow:12345][tl:Calendar]",$L996)</f>
        <v>13.84</v>
      </c>
      <c r="W996">
        <f>_xll.ICEHistory(S$4,W$5,"DF[dow:12345][tl:Calendar]",$L996)</f>
        <v>15</v>
      </c>
      <c r="X996">
        <f t="shared" si="45"/>
        <v>2.7809523809523826E-2</v>
      </c>
      <c r="Y996">
        <f t="shared" si="46"/>
        <v>-0.98826549855549317</v>
      </c>
      <c r="Z996">
        <f t="shared" si="47"/>
        <v>-0.317356213283573</v>
      </c>
    </row>
    <row r="997" spans="12:26" x14ac:dyDescent="0.25">
      <c r="L997" s="4">
        <f>_xll.ICETimeline(_xll.ICEJoinRange(M4:W4),"DF[dow:12345][tl:Calendar]","2020-07-26;2024-07-26",54,-1)</f>
        <v>44113.5</v>
      </c>
      <c r="M997">
        <f>_xll.ICEHistory(M$4,M$5,"DF[dow:12345][tl:Calendar]",$L997)</f>
        <v>26.25</v>
      </c>
      <c r="N997">
        <f>_xll.ICEHistory(M$4,N$5,"DF[dow:12345][tl:Calendar]",$L997)</f>
        <v>26.58</v>
      </c>
      <c r="O997">
        <f>_xll.ICEHistory(M$4,O$5,"DF[dow:12345][tl:Calendar]",$L997)</f>
        <v>25.51</v>
      </c>
      <c r="P997">
        <f>_xll.ICEHistory(M$4,P$5,"DF[dow:12345][tl:Calendar]",$L997)</f>
        <v>25.71</v>
      </c>
      <c r="Q997">
        <f>_xll.ICEHistory(M$4,Q$5,"DF[dow:12345][tl:Calendar]",$L997)</f>
        <v>25416</v>
      </c>
      <c r="R997">
        <f>_xll.ICEHistory(M$4,R$5,"DF[dow:12345][tl:Calendar]",$L997)</f>
        <v>386023</v>
      </c>
      <c r="S997">
        <f>_xll.ICEHistory(S$4,S$5,"DF[dow:12345][tl:Calendar]",$L997)</f>
        <v>13.73</v>
      </c>
      <c r="T997">
        <f>_xll.ICEHistory(S$4,T$5,"DF[dow:12345][tl:Calendar]",$L997)</f>
        <v>13.87</v>
      </c>
      <c r="U997">
        <f>_xll.ICEHistory(S$4,U$5,"DF[dow:12345][tl:Calendar]",$L997)</f>
        <v>13.705</v>
      </c>
      <c r="V997">
        <f>_xll.ICEHistory(S$4,V$5,"DF[dow:12345][tl:Calendar]",$L997)</f>
        <v>13.755000000000001</v>
      </c>
      <c r="W997">
        <f>_xll.ICEHistory(S$4,W$5,"DF[dow:12345][tl:Calendar]",$L997)</f>
        <v>55</v>
      </c>
      <c r="X997">
        <f t="shared" si="45"/>
        <v>3.9629629629629508E-2</v>
      </c>
      <c r="Y997">
        <f t="shared" si="46"/>
        <v>-0.20369498408170489</v>
      </c>
      <c r="Z997">
        <f t="shared" si="47"/>
        <v>0.31655704160836162</v>
      </c>
    </row>
    <row r="998" spans="12:26" x14ac:dyDescent="0.25">
      <c r="L998" s="4">
        <f>_xll.ICETimeline(_xll.ICEJoinRange(M4:W4),"DF[dow:12345][tl:Calendar]","2020-07-26;2024-07-26",53,-1)</f>
        <v>44112.5</v>
      </c>
      <c r="M998">
        <f>_xll.ICEHistory(M$4,M$5,"DF[dow:12345][tl:Calendar]",$L998)</f>
        <v>27</v>
      </c>
      <c r="N998">
        <f>_xll.ICEHistory(M$4,N$5,"DF[dow:12345][tl:Calendar]",$L998)</f>
        <v>27.01</v>
      </c>
      <c r="O998">
        <f>_xll.ICEHistory(M$4,O$5,"DF[dow:12345][tl:Calendar]",$L998)</f>
        <v>26.2</v>
      </c>
      <c r="P998">
        <f>_xll.ICEHistory(M$4,P$5,"DF[dow:12345][tl:Calendar]",$L998)</f>
        <v>26.34</v>
      </c>
      <c r="Q998">
        <f>_xll.ICEHistory(M$4,Q$5,"DF[dow:12345][tl:Calendar]",$L998)</f>
        <v>30062</v>
      </c>
      <c r="R998">
        <f>_xll.ICEHistory(M$4,R$5,"DF[dow:12345][tl:Calendar]",$L998)</f>
        <v>387337</v>
      </c>
      <c r="S998">
        <f>_xll.ICEHistory(S$4,S$5,"DF[dow:12345][tl:Calendar]",$L998)</f>
        <v>13.75</v>
      </c>
      <c r="T998">
        <f>_xll.ICEHistory(S$4,T$5,"DF[dow:12345][tl:Calendar]",$L998)</f>
        <v>14.05</v>
      </c>
      <c r="U998">
        <f>_xll.ICEHistory(S$4,U$5,"DF[dow:12345][tl:Calendar]",$L998)</f>
        <v>13.75</v>
      </c>
      <c r="V998">
        <f>_xll.ICEHistory(S$4,V$5,"DF[dow:12345][tl:Calendar]",$L998)</f>
        <v>13.9</v>
      </c>
      <c r="W998">
        <f>_xll.ICEHistory(S$4,W$5,"DF[dow:12345][tl:Calendar]",$L998)</f>
        <v>50</v>
      </c>
      <c r="X998">
        <f t="shared" si="45"/>
        <v>3.033707865168548E-2</v>
      </c>
      <c r="Y998">
        <f t="shared" si="46"/>
        <v>-0.83107029056089066</v>
      </c>
      <c r="Z998">
        <f t="shared" si="47"/>
        <v>0.96932157048594814</v>
      </c>
    </row>
    <row r="999" spans="12:26" x14ac:dyDescent="0.25">
      <c r="L999" s="4">
        <f>_xll.ICETimeline(_xll.ICEJoinRange(M4:W4),"DF[dow:12345][tl:Calendar]","2020-07-26;2024-07-26",52,-1)</f>
        <v>44111.5</v>
      </c>
      <c r="M999">
        <f>_xll.ICEHistory(M$4,M$5,"DF[dow:12345][tl:Calendar]",$L999)</f>
        <v>26.7</v>
      </c>
      <c r="N999">
        <f>_xll.ICEHistory(M$4,N$5,"DF[dow:12345][tl:Calendar]",$L999)</f>
        <v>27.89</v>
      </c>
      <c r="O999">
        <f>_xll.ICEHistory(M$4,O$5,"DF[dow:12345][tl:Calendar]",$L999)</f>
        <v>26.51</v>
      </c>
      <c r="P999">
        <f>_xll.ICEHistory(M$4,P$5,"DF[dow:12345][tl:Calendar]",$L999)</f>
        <v>26.9</v>
      </c>
      <c r="Q999">
        <f>_xll.ICEHistory(M$4,Q$5,"DF[dow:12345][tl:Calendar]",$L999)</f>
        <v>29278</v>
      </c>
      <c r="R999">
        <f>_xll.ICEHistory(M$4,R$5,"DF[dow:12345][tl:Calendar]",$L999)</f>
        <v>390731</v>
      </c>
      <c r="S999">
        <f>_xll.ICEHistory(S$4,S$5,"DF[dow:12345][tl:Calendar]",$L999)</f>
        <v>13.425000000000001</v>
      </c>
      <c r="T999">
        <f>_xll.ICEHistory(S$4,T$5,"DF[dow:12345][tl:Calendar]",$L999)</f>
        <v>13.71</v>
      </c>
      <c r="U999">
        <f>_xll.ICEHistory(S$4,U$5,"DF[dow:12345][tl:Calendar]",$L999)</f>
        <v>13.425000000000001</v>
      </c>
      <c r="V999">
        <f>_xll.ICEHistory(S$4,V$5,"DF[dow:12345][tl:Calendar]",$L999)</f>
        <v>13.71</v>
      </c>
      <c r="W999">
        <f>_xll.ICEHistory(S$4,W$5,"DF[dow:12345][tl:Calendar]",$L999)</f>
        <v>30</v>
      </c>
      <c r="X999">
        <f t="shared" si="45"/>
        <v>5.12059369202226E-2</v>
      </c>
      <c r="Y999">
        <f t="shared" si="46"/>
        <v>0.55587479346420909</v>
      </c>
      <c r="Z999">
        <f t="shared" si="47"/>
        <v>0.87763235085034441</v>
      </c>
    </row>
    <row r="1000" spans="12:26" x14ac:dyDescent="0.25">
      <c r="L1000" s="4">
        <f>_xll.ICETimeline(_xll.ICEJoinRange(M4:W4),"DF[dow:12345][tl:Calendar]","2020-07-26;2024-07-26",51,-1)</f>
        <v>44110.5</v>
      </c>
      <c r="M1000">
        <f>_xll.ICEHistory(M$4,M$5,"DF[dow:12345][tl:Calendar]",$L1000)</f>
        <v>26.95</v>
      </c>
      <c r="N1000">
        <f>_xll.ICEHistory(M$4,N$5,"DF[dow:12345][tl:Calendar]",$L1000)</f>
        <v>27.11</v>
      </c>
      <c r="O1000">
        <f>_xll.ICEHistory(M$4,O$5,"DF[dow:12345][tl:Calendar]",$L1000)</f>
        <v>26.42</v>
      </c>
      <c r="P1000">
        <f>_xll.ICEHistory(M$4,P$5,"DF[dow:12345][tl:Calendar]",$L1000)</f>
        <v>26.79</v>
      </c>
      <c r="Q1000">
        <f>_xll.ICEHistory(M$4,Q$5,"DF[dow:12345][tl:Calendar]",$L1000)</f>
        <v>20486</v>
      </c>
      <c r="R1000">
        <f>_xll.ICEHistory(M$4,R$5,"DF[dow:12345][tl:Calendar]",$L1000)</f>
        <v>393382</v>
      </c>
      <c r="S1000">
        <f>_xll.ICEHistory(S$4,S$5,"DF[dow:12345][tl:Calendar]",$L1000)</f>
        <v>13.225</v>
      </c>
      <c r="T1000">
        <f>_xll.ICEHistory(S$4,T$5,"DF[dow:12345][tl:Calendar]",$L1000)</f>
        <v>13.365</v>
      </c>
      <c r="U1000">
        <f>_xll.ICEHistory(S$4,U$5,"DF[dow:12345][tl:Calendar]",$L1000)</f>
        <v>13.225</v>
      </c>
      <c r="V1000">
        <f>_xll.ICEHistory(S$4,V$5,"DF[dow:12345][tl:Calendar]",$L1000)</f>
        <v>13.305</v>
      </c>
      <c r="W1000">
        <f>_xll.ICEHistory(S$4,W$5,"DF[dow:12345][tl:Calendar]",$L1000)</f>
        <v>90</v>
      </c>
      <c r="X1000">
        <f t="shared" si="45"/>
        <v>2.5395656974604257E-2</v>
      </c>
      <c r="Y1000">
        <f t="shared" si="46"/>
        <v>-1.1574162046712784</v>
      </c>
      <c r="Z1000">
        <f t="shared" si="47"/>
        <v>-0.33357286030764127</v>
      </c>
    </row>
    <row r="1001" spans="12:26" x14ac:dyDescent="0.25">
      <c r="L1001" s="4">
        <f>_xll.ICETimeline(_xll.ICEJoinRange(M4:W4),"DF[dow:12345][tl:Calendar]","2020-07-26;2024-07-26",50,-1)</f>
        <v>44109.5</v>
      </c>
      <c r="M1001">
        <f>_xll.ICEHistory(M$4,M$5,"DF[dow:12345][tl:Calendar]",$L1001)</f>
        <v>27.17</v>
      </c>
      <c r="N1001">
        <f>_xll.ICEHistory(M$4,N$5,"DF[dow:12345][tl:Calendar]",$L1001)</f>
        <v>27.61</v>
      </c>
      <c r="O1001">
        <f>_xll.ICEHistory(M$4,O$5,"DF[dow:12345][tl:Calendar]",$L1001)</f>
        <v>26.55</v>
      </c>
      <c r="P1001">
        <f>_xll.ICEHistory(M$4,P$5,"DF[dow:12345][tl:Calendar]",$L1001)</f>
        <v>26.94</v>
      </c>
      <c r="Q1001">
        <f>_xll.ICEHistory(M$4,Q$5,"DF[dow:12345][tl:Calendar]",$L1001)</f>
        <v>19033</v>
      </c>
      <c r="R1001">
        <f>_xll.ICEHistory(M$4,R$5,"DF[dow:12345][tl:Calendar]",$L1001)</f>
        <v>393744</v>
      </c>
      <c r="S1001">
        <f>_xll.ICEHistory(S$4,S$5,"DF[dow:12345][tl:Calendar]",$L1001)</f>
        <v>13.385</v>
      </c>
      <c r="T1001">
        <f>_xll.ICEHistory(S$4,T$5,"DF[dow:12345][tl:Calendar]",$L1001)</f>
        <v>13.44</v>
      </c>
      <c r="U1001">
        <f>_xll.ICEHistory(S$4,U$5,"DF[dow:12345][tl:Calendar]",$L1001)</f>
        <v>13.25</v>
      </c>
      <c r="V1001">
        <f>_xll.ICEHistory(S$4,V$5,"DF[dow:12345][tl:Calendar]",$L1001)</f>
        <v>13.42</v>
      </c>
      <c r="W1001">
        <f>_xll.ICEHistory(S$4,W$5,"DF[dow:12345][tl:Calendar]",$L1001)</f>
        <v>150</v>
      </c>
      <c r="X1001">
        <f t="shared" si="45"/>
        <v>4.038095238095233E-2</v>
      </c>
      <c r="Y1001">
        <f t="shared" si="46"/>
        <v>-0.18242410469108036</v>
      </c>
      <c r="Z1001">
        <f t="shared" si="47"/>
        <v>-0.53801190068560711</v>
      </c>
    </row>
    <row r="1002" spans="12:26" x14ac:dyDescent="0.25">
      <c r="L1002" s="4">
        <f>_xll.ICETimeline(_xll.ICEJoinRange(M4:W4),"DF[dow:12345][tl:Calendar]","2020-07-26;2024-07-26",49,-1)</f>
        <v>44106.5</v>
      </c>
      <c r="M1002">
        <f>_xll.ICEHistory(M$4,M$5,"DF[dow:12345][tl:Calendar]",$L1002)</f>
        <v>26.25</v>
      </c>
      <c r="N1002">
        <f>_xll.ICEHistory(M$4,N$5,"DF[dow:12345][tl:Calendar]",$L1002)</f>
        <v>27.44</v>
      </c>
      <c r="O1002">
        <f>_xll.ICEHistory(M$4,O$5,"DF[dow:12345][tl:Calendar]",$L1002)</f>
        <v>25.92</v>
      </c>
      <c r="P1002">
        <f>_xll.ICEHistory(M$4,P$5,"DF[dow:12345][tl:Calendar]",$L1002)</f>
        <v>27.03</v>
      </c>
      <c r="Q1002">
        <f>_xll.ICEHistory(M$4,Q$5,"DF[dow:12345][tl:Calendar]",$L1002)</f>
        <v>28573</v>
      </c>
      <c r="R1002">
        <f>_xll.ICEHistory(M$4,R$5,"DF[dow:12345][tl:Calendar]",$L1002)</f>
        <v>394101</v>
      </c>
      <c r="S1002">
        <f>_xll.ICEHistory(S$4,S$5,"DF[dow:12345][tl:Calendar]",$L1002)</f>
        <v>12.875</v>
      </c>
      <c r="T1002">
        <f>_xll.ICEHistory(S$4,T$5,"DF[dow:12345][tl:Calendar]",$L1002)</f>
        <v>13.13</v>
      </c>
      <c r="U1002">
        <f>_xll.ICEHistory(S$4,U$5,"DF[dow:12345][tl:Calendar]",$L1002)</f>
        <v>12.815</v>
      </c>
      <c r="V1002">
        <f>_xll.ICEHistory(S$4,V$5,"DF[dow:12345][tl:Calendar]",$L1002)</f>
        <v>13.025</v>
      </c>
      <c r="W1002">
        <f>_xll.ICEHistory(S$4,W$5,"DF[dow:12345][tl:Calendar]",$L1002)</f>
        <v>565</v>
      </c>
      <c r="X1002">
        <f t="shared" si="45"/>
        <v>5.5575868372943309E-2</v>
      </c>
      <c r="Y1002">
        <f t="shared" si="46"/>
        <v>0.82222393257476856</v>
      </c>
      <c r="Z1002">
        <f t="shared" si="47"/>
        <v>0.76463337286111033</v>
      </c>
    </row>
    <row r="1003" spans="12:26" x14ac:dyDescent="0.25">
      <c r="L1003" s="4">
        <f>_xll.ICETimeline(_xll.ICEJoinRange(M4:W4),"DF[dow:12345][tl:Calendar]","2020-07-26;2024-07-26",48,-1)</f>
        <v>44105.5</v>
      </c>
      <c r="M1003">
        <f>_xll.ICEHistory(M$4,M$5,"DF[dow:12345][tl:Calendar]",$L1003)</f>
        <v>27.35</v>
      </c>
      <c r="N1003">
        <f>_xll.ICEHistory(M$4,N$5,"DF[dow:12345][tl:Calendar]",$L1003)</f>
        <v>27.35</v>
      </c>
      <c r="O1003">
        <f>_xll.ICEHistory(M$4,O$5,"DF[dow:12345][tl:Calendar]",$L1003)</f>
        <v>26.25</v>
      </c>
      <c r="P1003">
        <f>_xll.ICEHistory(M$4,P$5,"DF[dow:12345][tl:Calendar]",$L1003)</f>
        <v>26.51</v>
      </c>
      <c r="Q1003">
        <f>_xll.ICEHistory(M$4,Q$5,"DF[dow:12345][tl:Calendar]",$L1003)</f>
        <v>22669</v>
      </c>
      <c r="R1003">
        <f>_xll.ICEHistory(M$4,R$5,"DF[dow:12345][tl:Calendar]",$L1003)</f>
        <v>393298</v>
      </c>
      <c r="S1003">
        <f>_xll.ICEHistory(S$4,S$5,"DF[dow:12345][tl:Calendar]",$L1003)</f>
        <v>13.35</v>
      </c>
      <c r="T1003">
        <f>_xll.ICEHistory(S$4,T$5,"DF[dow:12345][tl:Calendar]",$L1003)</f>
        <v>13.404999999999999</v>
      </c>
      <c r="U1003">
        <f>_xll.ICEHistory(S$4,U$5,"DF[dow:12345][tl:Calendar]",$L1003)</f>
        <v>13.11</v>
      </c>
      <c r="V1003">
        <f>_xll.ICEHistory(S$4,V$5,"DF[dow:12345][tl:Calendar]",$L1003)</f>
        <v>13.18</v>
      </c>
      <c r="W1003">
        <f>_xll.ICEHistory(S$4,W$5,"DF[dow:12345][tl:Calendar]",$L1003)</f>
        <v>510</v>
      </c>
      <c r="X1003">
        <f t="shared" si="45"/>
        <v>4.1213937804421182E-2</v>
      </c>
      <c r="Y1003">
        <f t="shared" si="46"/>
        <v>-0.11162689587927332</v>
      </c>
      <c r="Z1003">
        <f t="shared" si="47"/>
        <v>-3.0044141685409698E-2</v>
      </c>
    </row>
    <row r="1004" spans="12:26" x14ac:dyDescent="0.25">
      <c r="L1004" s="4">
        <f>_xll.ICETimeline(_xll.ICEJoinRange(M4:W4),"DF[dow:12345][tl:Calendar]","2020-07-26;2024-07-26",47,-1)</f>
        <v>44104.5</v>
      </c>
      <c r="M1004">
        <f>_xll.ICEHistory(M$4,M$5,"DF[dow:12345][tl:Calendar]",$L1004)</f>
        <v>26.69</v>
      </c>
      <c r="N1004">
        <f>_xll.ICEHistory(M$4,N$5,"DF[dow:12345][tl:Calendar]",$L1004)</f>
        <v>27.24</v>
      </c>
      <c r="O1004">
        <f>_xll.ICEHistory(M$4,O$5,"DF[dow:12345][tl:Calendar]",$L1004)</f>
        <v>26.43</v>
      </c>
      <c r="P1004">
        <f>_xll.ICEHistory(M$4,P$5,"DF[dow:12345][tl:Calendar]",$L1004)</f>
        <v>26.93</v>
      </c>
      <c r="Q1004">
        <f>_xll.ICEHistory(M$4,Q$5,"DF[dow:12345][tl:Calendar]",$L1004)</f>
        <v>24770</v>
      </c>
      <c r="R1004">
        <f>_xll.ICEHistory(M$4,R$5,"DF[dow:12345][tl:Calendar]",$L1004)</f>
        <v>392839</v>
      </c>
      <c r="S1004">
        <f>_xll.ICEHistory(S$4,S$5,"DF[dow:12345][tl:Calendar]",$L1004)</f>
        <v>13.31</v>
      </c>
      <c r="T1004">
        <f>_xll.ICEHistory(S$4,T$5,"DF[dow:12345][tl:Calendar]",$L1004)</f>
        <v>13.31</v>
      </c>
      <c r="U1004">
        <f>_xll.ICEHistory(S$4,U$5,"DF[dow:12345][tl:Calendar]",$L1004)</f>
        <v>13.16</v>
      </c>
      <c r="V1004">
        <f>_xll.ICEHistory(S$4,V$5,"DF[dow:12345][tl:Calendar]",$L1004)</f>
        <v>13.285</v>
      </c>
      <c r="W1004">
        <f>_xll.ICEHistory(S$4,W$5,"DF[dow:12345][tl:Calendar]",$L1004)</f>
        <v>35</v>
      </c>
      <c r="X1004">
        <f t="shared" si="45"/>
        <v>2.9433139534883676E-2</v>
      </c>
      <c r="Y1004">
        <f t="shared" si="46"/>
        <v>-0.8823944517220409</v>
      </c>
      <c r="Z1004">
        <f t="shared" si="47"/>
        <v>0.25383421102914971</v>
      </c>
    </row>
    <row r="1005" spans="12:26" x14ac:dyDescent="0.25">
      <c r="L1005" s="4">
        <f>_xll.ICETimeline(_xll.ICEJoinRange(M4:W4),"DF[dow:12345][tl:Calendar]","2020-07-26;2024-07-26",46,-1)</f>
        <v>44103.5</v>
      </c>
      <c r="M1005">
        <f>_xll.ICEHistory(M$4,M$5,"DF[dow:12345][tl:Calendar]",$L1005)</f>
        <v>27.52</v>
      </c>
      <c r="N1005">
        <f>_xll.ICEHistory(M$4,N$5,"DF[dow:12345][tl:Calendar]",$L1005)</f>
        <v>27.7</v>
      </c>
      <c r="O1005">
        <f>_xll.ICEHistory(M$4,O$5,"DF[dow:12345][tl:Calendar]",$L1005)</f>
        <v>26.67</v>
      </c>
      <c r="P1005">
        <f>_xll.ICEHistory(M$4,P$5,"DF[dow:12345][tl:Calendar]",$L1005)</f>
        <v>26.79</v>
      </c>
      <c r="Q1005">
        <f>_xll.ICEHistory(M$4,Q$5,"DF[dow:12345][tl:Calendar]",$L1005)</f>
        <v>21015</v>
      </c>
      <c r="R1005">
        <f>_xll.ICEHistory(M$4,R$5,"DF[dow:12345][tl:Calendar]",$L1005)</f>
        <v>395189</v>
      </c>
      <c r="S1005">
        <f>_xll.ICEHistory(S$4,S$5,"DF[dow:12345][tl:Calendar]",$L1005)</f>
        <v>12.4</v>
      </c>
      <c r="T1005">
        <f>_xll.ICEHistory(S$4,T$5,"DF[dow:12345][tl:Calendar]",$L1005)</f>
        <v>12.64</v>
      </c>
      <c r="U1005">
        <f>_xll.ICEHistory(S$4,U$5,"DF[dow:12345][tl:Calendar]",$L1005)</f>
        <v>12.265000000000001</v>
      </c>
      <c r="V1005">
        <f>_xll.ICEHistory(S$4,V$5,"DF[dow:12345][tl:Calendar]",$L1005)</f>
        <v>12.28</v>
      </c>
      <c r="W1005">
        <f>_xll.ICEHistory(S$4,W$5,"DF[dow:12345][tl:Calendar]",$L1005)</f>
        <v>0</v>
      </c>
      <c r="X1005">
        <f t="shared" si="45"/>
        <v>3.9343009931245135E-2</v>
      </c>
      <c r="Y1005">
        <f t="shared" si="46"/>
        <v>-0.25362576769178058</v>
      </c>
      <c r="Z1005">
        <f t="shared" si="47"/>
        <v>-0.24618293470464334</v>
      </c>
    </row>
    <row r="1006" spans="12:26" x14ac:dyDescent="0.25">
      <c r="L1006" s="4">
        <f>_xll.ICETimeline(_xll.ICEJoinRange(M4:W4),"DF[dow:12345][tl:Calendar]","2020-07-26;2024-07-26",45,-1)</f>
        <v>44102.5</v>
      </c>
      <c r="M1006">
        <f>_xll.ICEHistory(M$4,M$5,"DF[dow:12345][tl:Calendar]",$L1006)</f>
        <v>26.18</v>
      </c>
      <c r="N1006">
        <f>_xll.ICEHistory(M$4,N$5,"DF[dow:12345][tl:Calendar]",$L1006)</f>
        <v>27.8</v>
      </c>
      <c r="O1006">
        <f>_xll.ICEHistory(M$4,O$5,"DF[dow:12345][tl:Calendar]",$L1006)</f>
        <v>25.94</v>
      </c>
      <c r="P1006">
        <f>_xll.ICEHistory(M$4,P$5,"DF[dow:12345][tl:Calendar]",$L1006)</f>
        <v>27.71</v>
      </c>
      <c r="Q1006">
        <f>_xll.ICEHistory(M$4,Q$5,"DF[dow:12345][tl:Calendar]",$L1006)</f>
        <v>26729</v>
      </c>
      <c r="R1006">
        <f>_xll.ICEHistory(M$4,R$5,"DF[dow:12345][tl:Calendar]",$L1006)</f>
        <v>393131</v>
      </c>
      <c r="S1006">
        <f>_xll.ICEHistory(S$4,S$5,"DF[dow:12345][tl:Calendar]",$L1006)</f>
        <v>12.06</v>
      </c>
      <c r="T1006">
        <f>_xll.ICEHistory(S$4,T$5,"DF[dow:12345][tl:Calendar]",$L1006)</f>
        <v>12.35</v>
      </c>
      <c r="U1006">
        <f>_xll.ICEHistory(S$4,U$5,"DF[dow:12345][tl:Calendar]",$L1006)</f>
        <v>11.95</v>
      </c>
      <c r="V1006">
        <f>_xll.ICEHistory(S$4,V$5,"DF[dow:12345][tl:Calendar]",$L1006)</f>
        <v>12.35</v>
      </c>
      <c r="W1006">
        <f>_xll.ICEHistory(S$4,W$5,"DF[dow:12345][tl:Calendar]",$L1006)</f>
        <v>77</v>
      </c>
      <c r="X1006">
        <f t="shared" si="45"/>
        <v>6.9144981412639389E-2</v>
      </c>
      <c r="Y1006">
        <f t="shared" si="46"/>
        <v>1.6655946937351684</v>
      </c>
      <c r="Z1006">
        <f t="shared" si="47"/>
        <v>0.50834500723456366</v>
      </c>
    </row>
    <row r="1007" spans="12:26" x14ac:dyDescent="0.25">
      <c r="L1007" s="4">
        <f>_xll.ICETimeline(_xll.ICEJoinRange(M4:W4),"DF[dow:12345][tl:Calendar]","2020-07-26;2024-07-26",44,-1)</f>
        <v>44099.5</v>
      </c>
      <c r="M1007">
        <f>_xll.ICEHistory(M$4,M$5,"DF[dow:12345][tl:Calendar]",$L1007)</f>
        <v>26.9</v>
      </c>
      <c r="N1007">
        <f>_xll.ICEHistory(M$4,N$5,"DF[dow:12345][tl:Calendar]",$L1007)</f>
        <v>26.9</v>
      </c>
      <c r="O1007">
        <f>_xll.ICEHistory(M$4,O$5,"DF[dow:12345][tl:Calendar]",$L1007)</f>
        <v>25.96</v>
      </c>
      <c r="P1007">
        <f>_xll.ICEHistory(M$4,P$5,"DF[dow:12345][tl:Calendar]",$L1007)</f>
        <v>26.17</v>
      </c>
      <c r="Q1007">
        <f>_xll.ICEHistory(M$4,Q$5,"DF[dow:12345][tl:Calendar]",$L1007)</f>
        <v>19056</v>
      </c>
      <c r="R1007">
        <f>_xll.ICEHistory(M$4,R$5,"DF[dow:12345][tl:Calendar]",$L1007)</f>
        <v>395485</v>
      </c>
      <c r="S1007">
        <f>_xll.ICEHistory(S$4,S$5,"DF[dow:12345][tl:Calendar]",$L1007)</f>
        <v>11.5</v>
      </c>
      <c r="T1007">
        <f>_xll.ICEHistory(S$4,T$5,"DF[dow:12345][tl:Calendar]",$L1007)</f>
        <v>11.695</v>
      </c>
      <c r="U1007">
        <f>_xll.ICEHistory(S$4,U$5,"DF[dow:12345][tl:Calendar]",$L1007)</f>
        <v>11.4</v>
      </c>
      <c r="V1007">
        <f>_xll.ICEHistory(S$4,V$5,"DF[dow:12345][tl:Calendar]",$L1007)</f>
        <v>11.664999999999999</v>
      </c>
      <c r="W1007">
        <f>_xll.ICEHistory(S$4,W$5,"DF[dow:12345][tl:Calendar]",$L1007)</f>
        <v>354</v>
      </c>
      <c r="X1007">
        <f t="shared" si="45"/>
        <v>3.5606060606060523E-2</v>
      </c>
      <c r="Y1007">
        <f t="shared" si="46"/>
        <v>-0.46986891081934473</v>
      </c>
      <c r="Z1007">
        <f t="shared" si="47"/>
        <v>-0.49318364129003417</v>
      </c>
    </row>
    <row r="1008" spans="12:26" x14ac:dyDescent="0.25">
      <c r="L1008" s="4">
        <f>_xll.ICETimeline(_xll.ICEJoinRange(M4:W4),"DF[dow:12345][tl:Calendar]","2020-07-26;2024-07-26",43,-1)</f>
        <v>44098.5</v>
      </c>
      <c r="M1008">
        <f>_xll.ICEHistory(M$4,M$5,"DF[dow:12345][tl:Calendar]",$L1008)</f>
        <v>26.4</v>
      </c>
      <c r="N1008">
        <f>_xll.ICEHistory(M$4,N$5,"DF[dow:12345][tl:Calendar]",$L1008)</f>
        <v>26.9</v>
      </c>
      <c r="O1008">
        <f>_xll.ICEHistory(M$4,O$5,"DF[dow:12345][tl:Calendar]",$L1008)</f>
        <v>25.94</v>
      </c>
      <c r="P1008">
        <f>_xll.ICEHistory(M$4,P$5,"DF[dow:12345][tl:Calendar]",$L1008)</f>
        <v>26.79</v>
      </c>
      <c r="Q1008">
        <f>_xll.ICEHistory(M$4,Q$5,"DF[dow:12345][tl:Calendar]",$L1008)</f>
        <v>27060</v>
      </c>
      <c r="R1008">
        <f>_xll.ICEHistory(M$4,R$5,"DF[dow:12345][tl:Calendar]",$L1008)</f>
        <v>397071</v>
      </c>
      <c r="S1008">
        <f>_xll.ICEHistory(S$4,S$5,"DF[dow:12345][tl:Calendar]",$L1008)</f>
        <v>11.95</v>
      </c>
      <c r="T1008">
        <f>_xll.ICEHistory(S$4,T$5,"DF[dow:12345][tl:Calendar]",$L1008)</f>
        <v>11.95</v>
      </c>
      <c r="U1008">
        <f>_xll.ICEHistory(S$4,U$5,"DF[dow:12345][tl:Calendar]",$L1008)</f>
        <v>11.635</v>
      </c>
      <c r="V1008">
        <f>_xll.ICEHistory(S$4,V$5,"DF[dow:12345][tl:Calendar]",$L1008)</f>
        <v>11.635</v>
      </c>
      <c r="W1008">
        <f>_xll.ICEHistory(S$4,W$5,"DF[dow:12345][tl:Calendar]",$L1008)</f>
        <v>175</v>
      </c>
      <c r="X1008">
        <f t="shared" si="45"/>
        <v>3.4273473759371557E-2</v>
      </c>
      <c r="Y1008">
        <f t="shared" si="46"/>
        <v>-0.56347265299678184</v>
      </c>
      <c r="Z1008">
        <f t="shared" si="47"/>
        <v>0.54292571860939443</v>
      </c>
    </row>
    <row r="1009" spans="12:26" x14ac:dyDescent="0.25">
      <c r="L1009" s="4">
        <f>_xll.ICETimeline(_xll.ICEJoinRange(M4:W4),"DF[dow:12345][tl:Calendar]","2020-07-26;2024-07-26",42,-1)</f>
        <v>44097.5</v>
      </c>
      <c r="M1009">
        <f>_xll.ICEHistory(M$4,M$5,"DF[dow:12345][tl:Calendar]",$L1009)</f>
        <v>28.01</v>
      </c>
      <c r="N1009">
        <f>_xll.ICEHistory(M$4,N$5,"DF[dow:12345][tl:Calendar]",$L1009)</f>
        <v>28.33</v>
      </c>
      <c r="O1009">
        <f>_xll.ICEHistory(M$4,O$5,"DF[dow:12345][tl:Calendar]",$L1009)</f>
        <v>26.43</v>
      </c>
      <c r="P1009">
        <f>_xll.ICEHistory(M$4,P$5,"DF[dow:12345][tl:Calendar]",$L1009)</f>
        <v>26.5</v>
      </c>
      <c r="Q1009">
        <f>_xll.ICEHistory(M$4,Q$5,"DF[dow:12345][tl:Calendar]",$L1009)</f>
        <v>35353</v>
      </c>
      <c r="R1009">
        <f>_xll.ICEHistory(M$4,R$5,"DF[dow:12345][tl:Calendar]",$L1009)</f>
        <v>396532</v>
      </c>
      <c r="S1009">
        <f>_xll.ICEHistory(S$4,S$5,"DF[dow:12345][tl:Calendar]",$L1009)</f>
        <v>11.77</v>
      </c>
      <c r="T1009">
        <f>_xll.ICEHistory(S$4,T$5,"DF[dow:12345][tl:Calendar]",$L1009)</f>
        <v>12.04</v>
      </c>
      <c r="U1009">
        <f>_xll.ICEHistory(S$4,U$5,"DF[dow:12345][tl:Calendar]",$L1009)</f>
        <v>11.77</v>
      </c>
      <c r="V1009">
        <f>_xll.ICEHistory(S$4,V$5,"DF[dow:12345][tl:Calendar]",$L1009)</f>
        <v>12.02</v>
      </c>
      <c r="W1009">
        <f>_xll.ICEHistory(S$4,W$5,"DF[dow:12345][tl:Calendar]",$L1009)</f>
        <v>190</v>
      </c>
      <c r="X1009">
        <f t="shared" si="45"/>
        <v>7.1752265861027134E-2</v>
      </c>
      <c r="Y1009">
        <f t="shared" si="46"/>
        <v>1.8560776480164796</v>
      </c>
      <c r="Z1009">
        <f t="shared" si="47"/>
        <v>1.6227433737840862</v>
      </c>
    </row>
    <row r="1010" spans="12:26" x14ac:dyDescent="0.25">
      <c r="L1010" s="4">
        <f>_xll.ICETimeline(_xll.ICEJoinRange(M4:W4),"DF[dow:12345][tl:Calendar]","2020-07-26;2024-07-26",41,-1)</f>
        <v>44096.5</v>
      </c>
      <c r="M1010">
        <f>_xll.ICEHistory(M$4,M$5,"DF[dow:12345][tl:Calendar]",$L1010)</f>
        <v>26.48</v>
      </c>
      <c r="N1010">
        <f>_xll.ICEHistory(M$4,N$5,"DF[dow:12345][tl:Calendar]",$L1010)</f>
        <v>28.06</v>
      </c>
      <c r="O1010">
        <f>_xll.ICEHistory(M$4,O$5,"DF[dow:12345][tl:Calendar]",$L1010)</f>
        <v>25.7</v>
      </c>
      <c r="P1010">
        <f>_xll.ICEHistory(M$4,P$5,"DF[dow:12345][tl:Calendar]",$L1010)</f>
        <v>27.85</v>
      </c>
      <c r="Q1010">
        <f>_xll.ICEHistory(M$4,Q$5,"DF[dow:12345][tl:Calendar]",$L1010)</f>
        <v>39871</v>
      </c>
      <c r="R1010">
        <f>_xll.ICEHistory(M$4,R$5,"DF[dow:12345][tl:Calendar]",$L1010)</f>
        <v>396199</v>
      </c>
      <c r="S1010">
        <f>_xll.ICEHistory(S$4,S$5,"DF[dow:12345][tl:Calendar]",$L1010)</f>
        <v>11.33</v>
      </c>
      <c r="T1010">
        <f>_xll.ICEHistory(S$4,T$5,"DF[dow:12345][tl:Calendar]",$L1010)</f>
        <v>11.795</v>
      </c>
      <c r="U1010">
        <f>_xll.ICEHistory(S$4,U$5,"DF[dow:12345][tl:Calendar]",$L1010)</f>
        <v>11.26</v>
      </c>
      <c r="V1010">
        <f>_xll.ICEHistory(S$4,V$5,"DF[dow:12345][tl:Calendar]",$L1010)</f>
        <v>11.705</v>
      </c>
      <c r="W1010">
        <f>_xll.ICEHistory(S$4,W$5,"DF[dow:12345][tl:Calendar]",$L1010)</f>
        <v>130</v>
      </c>
      <c r="X1010">
        <f t="shared" si="45"/>
        <v>8.5045045045045023E-2</v>
      </c>
      <c r="Y1010">
        <f t="shared" si="46"/>
        <v>2.8543024396425829</v>
      </c>
      <c r="Z1010">
        <f t="shared" si="47"/>
        <v>2.2931988195837505</v>
      </c>
    </row>
    <row r="1011" spans="12:26" x14ac:dyDescent="0.25">
      <c r="L1011" s="4">
        <f>_xll.ICETimeline(_xll.ICEJoinRange(M4:W4),"DF[dow:12345][tl:Calendar]","2020-07-26;2024-07-26",40,-1)</f>
        <v>44095.5</v>
      </c>
      <c r="M1011">
        <f>_xll.ICEHistory(M$4,M$5,"DF[dow:12345][tl:Calendar]",$L1011)</f>
        <v>27.75</v>
      </c>
      <c r="N1011">
        <f>_xll.ICEHistory(M$4,N$5,"DF[dow:12345][tl:Calendar]",$L1011)</f>
        <v>27.85</v>
      </c>
      <c r="O1011">
        <f>_xll.ICEHistory(M$4,O$5,"DF[dow:12345][tl:Calendar]",$L1011)</f>
        <v>26.09</v>
      </c>
      <c r="P1011">
        <f>_xll.ICEHistory(M$4,P$5,"DF[dow:12345][tl:Calendar]",$L1011)</f>
        <v>26.4</v>
      </c>
      <c r="Q1011">
        <f>_xll.ICEHistory(M$4,Q$5,"DF[dow:12345][tl:Calendar]",$L1011)</f>
        <v>41186</v>
      </c>
      <c r="R1011">
        <f>_xll.ICEHistory(M$4,R$5,"DF[dow:12345][tl:Calendar]",$L1011)</f>
        <v>397009</v>
      </c>
      <c r="S1011">
        <f>_xll.ICEHistory(S$4,S$5,"DF[dow:12345][tl:Calendar]",$L1011)</f>
        <v>11.5</v>
      </c>
      <c r="T1011">
        <f>_xll.ICEHistory(S$4,T$5,"DF[dow:12345][tl:Calendar]",$L1011)</f>
        <v>11.51</v>
      </c>
      <c r="U1011">
        <f>_xll.ICEHistory(S$4,U$5,"DF[dow:12345][tl:Calendar]",$L1011)</f>
        <v>11.425000000000001</v>
      </c>
      <c r="V1011">
        <f>_xll.ICEHistory(S$4,V$5,"DF[dow:12345][tl:Calendar]",$L1011)</f>
        <v>11.494999999999999</v>
      </c>
      <c r="W1011">
        <f>_xll.ICEHistory(S$4,W$5,"DF[dow:12345][tl:Calendar]",$L1011)</f>
        <v>75</v>
      </c>
      <c r="X1011">
        <f t="shared" si="45"/>
        <v>6.1906436862469279E-2</v>
      </c>
      <c r="Y1011">
        <f t="shared" si="46"/>
        <v>1.5282647040484372</v>
      </c>
      <c r="Z1011">
        <f t="shared" si="47"/>
        <v>2.6735732764972289</v>
      </c>
    </row>
    <row r="1012" spans="12:26" x14ac:dyDescent="0.25">
      <c r="L1012" s="4">
        <f>_xll.ICETimeline(_xll.ICEJoinRange(M4:W4),"DF[dow:12345][tl:Calendar]","2020-07-26;2024-07-26",39,-1)</f>
        <v>44092.5</v>
      </c>
      <c r="M1012">
        <f>_xll.ICEHistory(M$4,M$5,"DF[dow:12345][tl:Calendar]",$L1012)</f>
        <v>28.43</v>
      </c>
      <c r="N1012">
        <f>_xll.ICEHistory(M$4,N$5,"DF[dow:12345][tl:Calendar]",$L1012)</f>
        <v>28.87</v>
      </c>
      <c r="O1012">
        <f>_xll.ICEHistory(M$4,O$5,"DF[dow:12345][tl:Calendar]",$L1012)</f>
        <v>27.8</v>
      </c>
      <c r="P1012">
        <f>_xll.ICEHistory(M$4,P$5,"DF[dow:12345][tl:Calendar]",$L1012)</f>
        <v>27.99</v>
      </c>
      <c r="Q1012">
        <f>_xll.ICEHistory(M$4,Q$5,"DF[dow:12345][tl:Calendar]",$L1012)</f>
        <v>22415</v>
      </c>
      <c r="R1012">
        <f>_xll.ICEHistory(M$4,R$5,"DF[dow:12345][tl:Calendar]",$L1012)</f>
        <v>404479</v>
      </c>
      <c r="S1012">
        <f>_xll.ICEHistory(S$4,S$5,"DF[dow:12345][tl:Calendar]",$L1012)</f>
        <v>11.105</v>
      </c>
      <c r="T1012">
        <f>_xll.ICEHistory(S$4,T$5,"DF[dow:12345][tl:Calendar]",$L1012)</f>
        <v>11.475</v>
      </c>
      <c r="U1012">
        <f>_xll.ICEHistory(S$4,U$5,"DF[dow:12345][tl:Calendar]",$L1012)</f>
        <v>11.105</v>
      </c>
      <c r="V1012">
        <f>_xll.ICEHistory(S$4,V$5,"DF[dow:12345][tl:Calendar]",$L1012)</f>
        <v>11.475</v>
      </c>
      <c r="W1012">
        <f>_xll.ICEHistory(S$4,W$5,"DF[dow:12345][tl:Calendar]",$L1012)</f>
        <v>50</v>
      </c>
      <c r="X1012">
        <f t="shared" si="45"/>
        <v>3.5857908847184997E-2</v>
      </c>
      <c r="Y1012">
        <f t="shared" si="46"/>
        <v>-0.37515998542327939</v>
      </c>
      <c r="Z1012">
        <f t="shared" si="47"/>
        <v>0.1251629468307873</v>
      </c>
    </row>
    <row r="1013" spans="12:26" x14ac:dyDescent="0.25">
      <c r="L1013" s="4">
        <f>_xll.ICETimeline(_xll.ICEJoinRange(M4:W4),"DF[dow:12345][tl:Calendar]","2020-07-26;2024-07-26",38,-1)</f>
        <v>44091.5</v>
      </c>
      <c r="M1013">
        <f>_xll.ICEHistory(M$4,M$5,"DF[dow:12345][tl:Calendar]",$L1013)</f>
        <v>29.84</v>
      </c>
      <c r="N1013">
        <f>_xll.ICEHistory(M$4,N$5,"DF[dow:12345][tl:Calendar]",$L1013)</f>
        <v>29.84</v>
      </c>
      <c r="O1013">
        <f>_xll.ICEHistory(M$4,O$5,"DF[dow:12345][tl:Calendar]",$L1013)</f>
        <v>28.35</v>
      </c>
      <c r="P1013">
        <f>_xll.ICEHistory(M$4,P$5,"DF[dow:12345][tl:Calendar]",$L1013)</f>
        <v>28.43</v>
      </c>
      <c r="Q1013">
        <f>_xll.ICEHistory(M$4,Q$5,"DF[dow:12345][tl:Calendar]",$L1013)</f>
        <v>28649</v>
      </c>
      <c r="R1013">
        <f>_xll.ICEHistory(M$4,R$5,"DF[dow:12345][tl:Calendar]",$L1013)</f>
        <v>406337</v>
      </c>
      <c r="S1013">
        <f>_xll.ICEHistory(S$4,S$5,"DF[dow:12345][tl:Calendar]",$L1013)</f>
        <v>11.515000000000001</v>
      </c>
      <c r="T1013">
        <f>_xll.ICEHistory(S$4,T$5,"DF[dow:12345][tl:Calendar]",$L1013)</f>
        <v>11.515000000000001</v>
      </c>
      <c r="U1013">
        <f>_xll.ICEHistory(S$4,U$5,"DF[dow:12345][tl:Calendar]",$L1013)</f>
        <v>11.12</v>
      </c>
      <c r="V1013">
        <f>_xll.ICEHistory(S$4,V$5,"DF[dow:12345][tl:Calendar]",$L1013)</f>
        <v>11.12</v>
      </c>
      <c r="W1013">
        <f>_xll.ICEHistory(S$4,W$5,"DF[dow:12345][tl:Calendar]",$L1013)</f>
        <v>115</v>
      </c>
      <c r="X1013">
        <f t="shared" si="45"/>
        <v>5.0151464153483621E-2</v>
      </c>
      <c r="Y1013">
        <f t="shared" si="46"/>
        <v>0.68925067433220821</v>
      </c>
      <c r="Z1013">
        <f t="shared" si="47"/>
        <v>1.0674051019259099</v>
      </c>
    </row>
    <row r="1014" spans="12:26" x14ac:dyDescent="0.25">
      <c r="L1014" s="4">
        <f>_xll.ICETimeline(_xll.ICEJoinRange(M4:W4),"DF[dow:12345][tl:Calendar]","2020-07-26;2024-07-26",37,-1)</f>
        <v>44090.5</v>
      </c>
      <c r="M1014">
        <f>_xll.ICEHistory(M$4,M$5,"DF[dow:12345][tl:Calendar]",$L1014)</f>
        <v>29.71</v>
      </c>
      <c r="N1014">
        <f>_xll.ICEHistory(M$4,N$5,"DF[dow:12345][tl:Calendar]",$L1014)</f>
        <v>30.23</v>
      </c>
      <c r="O1014">
        <f>_xll.ICEHistory(M$4,O$5,"DF[dow:12345][tl:Calendar]",$L1014)</f>
        <v>29.05</v>
      </c>
      <c r="P1014">
        <f>_xll.ICEHistory(M$4,P$5,"DF[dow:12345][tl:Calendar]",$L1014)</f>
        <v>29.99</v>
      </c>
      <c r="Q1014">
        <f>_xll.ICEHistory(M$4,Q$5,"DF[dow:12345][tl:Calendar]",$L1014)</f>
        <v>31999</v>
      </c>
      <c r="R1014">
        <f>_xll.ICEHistory(M$4,R$5,"DF[dow:12345][tl:Calendar]",$L1014)</f>
        <v>409785</v>
      </c>
      <c r="S1014">
        <f>_xll.ICEHistory(S$4,S$5,"DF[dow:12345][tl:Calendar]",$L1014)</f>
        <v>11.2</v>
      </c>
      <c r="T1014">
        <f>_xll.ICEHistory(S$4,T$5,"DF[dow:12345][tl:Calendar]",$L1014)</f>
        <v>11.445</v>
      </c>
      <c r="U1014">
        <f>_xll.ICEHistory(S$4,U$5,"DF[dow:12345][tl:Calendar]",$L1014)</f>
        <v>11.2</v>
      </c>
      <c r="V1014">
        <f>_xll.ICEHistory(S$4,V$5,"DF[dow:12345][tl:Calendar]",$L1014)</f>
        <v>11.32</v>
      </c>
      <c r="W1014">
        <f>_xll.ICEHistory(S$4,W$5,"DF[dow:12345][tl:Calendar]",$L1014)</f>
        <v>100</v>
      </c>
      <c r="X1014">
        <f t="shared" si="45"/>
        <v>3.8650507697346861E-2</v>
      </c>
      <c r="Y1014">
        <f t="shared" si="46"/>
        <v>-0.15191887656809516</v>
      </c>
      <c r="Z1014">
        <f t="shared" si="47"/>
        <v>1.6046604595181302</v>
      </c>
    </row>
    <row r="1015" spans="12:26" x14ac:dyDescent="0.25">
      <c r="L1015" s="4">
        <f>_xll.ICETimeline(_xll.ICEJoinRange(M4:W4),"DF[dow:12345][tl:Calendar]","2020-07-26;2024-07-26",36,-1)</f>
        <v>44089.5</v>
      </c>
      <c r="M1015">
        <f>_xll.ICEHistory(M$4,M$5,"DF[dow:12345][tl:Calendar]",$L1015)</f>
        <v>30.53</v>
      </c>
      <c r="N1015">
        <f>_xll.ICEHistory(M$4,N$5,"DF[dow:12345][tl:Calendar]",$L1015)</f>
        <v>30.78</v>
      </c>
      <c r="O1015">
        <f>_xll.ICEHistory(M$4,O$5,"DF[dow:12345][tl:Calendar]",$L1015)</f>
        <v>29.51</v>
      </c>
      <c r="P1015">
        <f>_xll.ICEHistory(M$4,P$5,"DF[dow:12345][tl:Calendar]",$L1015)</f>
        <v>29.79</v>
      </c>
      <c r="Q1015">
        <f>_xll.ICEHistory(M$4,Q$5,"DF[dow:12345][tl:Calendar]",$L1015)</f>
        <v>39469</v>
      </c>
      <c r="R1015">
        <f>_xll.ICEHistory(M$4,R$5,"DF[dow:12345][tl:Calendar]",$L1015)</f>
        <v>408061</v>
      </c>
      <c r="S1015">
        <f>_xll.ICEHistory(S$4,S$5,"DF[dow:12345][tl:Calendar]",$L1015)</f>
        <v>10.85</v>
      </c>
      <c r="T1015">
        <f>_xll.ICEHistory(S$4,T$5,"DF[dow:12345][tl:Calendar]",$L1015)</f>
        <v>10.895</v>
      </c>
      <c r="U1015">
        <f>_xll.ICEHistory(S$4,U$5,"DF[dow:12345][tl:Calendar]",$L1015)</f>
        <v>10.815</v>
      </c>
      <c r="V1015">
        <f>_xll.ICEHistory(S$4,V$5,"DF[dow:12345][tl:Calendar]",$L1015)</f>
        <v>10.895</v>
      </c>
      <c r="W1015">
        <f>_xll.ICEHistory(S$4,W$5,"DF[dow:12345][tl:Calendar]",$L1015)</f>
        <v>45</v>
      </c>
      <c r="X1015">
        <f t="shared" si="45"/>
        <v>4.4718309859154919E-2</v>
      </c>
      <c r="Y1015">
        <f t="shared" si="46"/>
        <v>0.29082640489602574</v>
      </c>
      <c r="Z1015">
        <f t="shared" si="47"/>
        <v>2.8434904905602973</v>
      </c>
    </row>
    <row r="1016" spans="12:26" x14ac:dyDescent="0.25">
      <c r="L1016" s="4">
        <f>_xll.ICETimeline(_xll.ICEJoinRange(M4:W4),"DF[dow:12345][tl:Calendar]","2020-07-26;2024-07-26",35,-1)</f>
        <v>44088.5</v>
      </c>
      <c r="M1016">
        <f>_xll.ICEHistory(M$4,M$5,"DF[dow:12345][tl:Calendar]",$L1016)</f>
        <v>28.4</v>
      </c>
      <c r="N1016">
        <f>_xll.ICEHistory(M$4,N$5,"DF[dow:12345][tl:Calendar]",$L1016)</f>
        <v>30.53</v>
      </c>
      <c r="O1016">
        <f>_xll.ICEHistory(M$4,O$5,"DF[dow:12345][tl:Calendar]",$L1016)</f>
        <v>28.34</v>
      </c>
      <c r="P1016">
        <f>_xll.ICEHistory(M$4,P$5,"DF[dow:12345][tl:Calendar]",$L1016)</f>
        <v>30.47</v>
      </c>
      <c r="Q1016">
        <f>_xll.ICEHistory(M$4,Q$5,"DF[dow:12345][tl:Calendar]",$L1016)</f>
        <v>38604</v>
      </c>
      <c r="R1016">
        <f>_xll.ICEHistory(M$4,R$5,"DF[dow:12345][tl:Calendar]",$L1016)</f>
        <v>408236</v>
      </c>
      <c r="S1016">
        <f>_xll.ICEHistory(S$4,S$5,"DF[dow:12345][tl:Calendar]",$L1016)</f>
        <v>10.725</v>
      </c>
      <c r="T1016">
        <f>_xll.ICEHistory(S$4,T$5,"DF[dow:12345][tl:Calendar]",$L1016)</f>
        <v>10.8</v>
      </c>
      <c r="U1016">
        <f>_xll.ICEHistory(S$4,U$5,"DF[dow:12345][tl:Calendar]",$L1016)</f>
        <v>10.65</v>
      </c>
      <c r="V1016">
        <f>_xll.ICEHistory(S$4,V$5,"DF[dow:12345][tl:Calendar]",$L1016)</f>
        <v>10.705</v>
      </c>
      <c r="W1016">
        <f>_xll.ICEHistory(S$4,W$5,"DF[dow:12345][tl:Calendar]",$L1016)</f>
        <v>150</v>
      </c>
      <c r="X1016">
        <f t="shared" si="45"/>
        <v>7.7248677248677289E-2</v>
      </c>
      <c r="Y1016">
        <f t="shared" si="46"/>
        <v>2.648619125592425</v>
      </c>
      <c r="Z1016">
        <f t="shared" si="47"/>
        <v>3.1351103783801682</v>
      </c>
    </row>
    <row r="1017" spans="12:26" x14ac:dyDescent="0.25">
      <c r="L1017" s="4">
        <f>_xll.ICETimeline(_xll.ICEJoinRange(M4:W4),"DF[dow:12345][tl:Calendar]","2020-07-26;2024-07-26",34,-1)</f>
        <v>44085.5</v>
      </c>
      <c r="M1017">
        <f>_xll.ICEHistory(M$4,M$5,"DF[dow:12345][tl:Calendar]",$L1017)</f>
        <v>28.35</v>
      </c>
      <c r="N1017">
        <f>_xll.ICEHistory(M$4,N$5,"DF[dow:12345][tl:Calendar]",$L1017)</f>
        <v>28.59</v>
      </c>
      <c r="O1017">
        <f>_xll.ICEHistory(M$4,O$5,"DF[dow:12345][tl:Calendar]",$L1017)</f>
        <v>27.52</v>
      </c>
      <c r="P1017">
        <f>_xll.ICEHistory(M$4,P$5,"DF[dow:12345][tl:Calendar]",$L1017)</f>
        <v>28.26</v>
      </c>
      <c r="Q1017">
        <f>_xll.ICEHistory(M$4,Q$5,"DF[dow:12345][tl:Calendar]",$L1017)</f>
        <v>17931</v>
      </c>
      <c r="R1017">
        <f>_xll.ICEHistory(M$4,R$5,"DF[dow:12345][tl:Calendar]",$L1017)</f>
        <v>410500</v>
      </c>
      <c r="S1017">
        <f>_xll.ICEHistory(S$4,S$5,"DF[dow:12345][tl:Calendar]",$L1017)</f>
        <v>10.4</v>
      </c>
      <c r="T1017">
        <f>_xll.ICEHistory(S$4,T$5,"DF[dow:12345][tl:Calendar]",$L1017)</f>
        <v>10.494999999999999</v>
      </c>
      <c r="U1017">
        <f>_xll.ICEHistory(S$4,U$5,"DF[dow:12345][tl:Calendar]",$L1017)</f>
        <v>10.37</v>
      </c>
      <c r="V1017">
        <f>_xll.ICEHistory(S$4,V$5,"DF[dow:12345][tl:Calendar]",$L1017)</f>
        <v>10.494999999999999</v>
      </c>
      <c r="W1017">
        <f>_xll.ICEHistory(S$4,W$5,"DF[dow:12345][tl:Calendar]",$L1017)</f>
        <v>110</v>
      </c>
      <c r="X1017">
        <f t="shared" si="45"/>
        <v>3.9036847865742443E-2</v>
      </c>
      <c r="Y1017">
        <f t="shared" si="46"/>
        <v>-4.210434313304779E-2</v>
      </c>
      <c r="Z1017">
        <f t="shared" si="47"/>
        <v>-0.43662404094908175</v>
      </c>
    </row>
    <row r="1018" spans="12:26" x14ac:dyDescent="0.25">
      <c r="L1018" s="4">
        <f>_xll.ICETimeline(_xll.ICEJoinRange(M4:W4),"DF[dow:12345][tl:Calendar]","2020-07-26;2024-07-26",33,-1)</f>
        <v>44084.5</v>
      </c>
      <c r="M1018">
        <f>_xll.ICEHistory(M$4,M$5,"DF[dow:12345][tl:Calendar]",$L1018)</f>
        <v>27.41</v>
      </c>
      <c r="N1018">
        <f>_xll.ICEHistory(M$4,N$5,"DF[dow:12345][tl:Calendar]",$L1018)</f>
        <v>28.52</v>
      </c>
      <c r="O1018">
        <f>_xll.ICEHistory(M$4,O$5,"DF[dow:12345][tl:Calendar]",$L1018)</f>
        <v>27.27</v>
      </c>
      <c r="P1018">
        <f>_xll.ICEHistory(M$4,P$5,"DF[dow:12345][tl:Calendar]",$L1018)</f>
        <v>28.42</v>
      </c>
      <c r="Q1018">
        <f>_xll.ICEHistory(M$4,Q$5,"DF[dow:12345][tl:Calendar]",$L1018)</f>
        <v>28979</v>
      </c>
      <c r="R1018">
        <f>_xll.ICEHistory(M$4,R$5,"DF[dow:12345][tl:Calendar]",$L1018)</f>
        <v>409089</v>
      </c>
      <c r="S1018">
        <f>_xll.ICEHistory(S$4,S$5,"DF[dow:12345][tl:Calendar]",$L1018)</f>
        <v>10.85</v>
      </c>
      <c r="T1018">
        <f>_xll.ICEHistory(S$4,T$5,"DF[dow:12345][tl:Calendar]",$L1018)</f>
        <v>10.87</v>
      </c>
      <c r="U1018">
        <f>_xll.ICEHistory(S$4,U$5,"DF[dow:12345][tl:Calendar]",$L1018)</f>
        <v>10.465</v>
      </c>
      <c r="V1018">
        <f>_xll.ICEHistory(S$4,V$5,"DF[dow:12345][tl:Calendar]",$L1018)</f>
        <v>10.515000000000001</v>
      </c>
      <c r="W1018">
        <f>_xll.ICEHistory(S$4,W$5,"DF[dow:12345][tl:Calendar]",$L1018)</f>
        <v>433</v>
      </c>
      <c r="X1018">
        <f t="shared" si="45"/>
        <v>4.6886721680420101E-2</v>
      </c>
      <c r="Y1018">
        <f t="shared" si="46"/>
        <v>0.57810313020436144</v>
      </c>
      <c r="Z1018">
        <f t="shared" si="47"/>
        <v>1.776520810497551</v>
      </c>
    </row>
    <row r="1019" spans="12:26" x14ac:dyDescent="0.25">
      <c r="L1019" s="4">
        <f>_xll.ICETimeline(_xll.ICEJoinRange(M4:W4),"DF[dow:12345][tl:Calendar]","2020-07-26;2024-07-26",32,-1)</f>
        <v>44083.5</v>
      </c>
      <c r="M1019">
        <f>_xll.ICEHistory(M$4,M$5,"DF[dow:12345][tl:Calendar]",$L1019)</f>
        <v>26.66</v>
      </c>
      <c r="N1019">
        <f>_xll.ICEHistory(M$4,N$5,"DF[dow:12345][tl:Calendar]",$L1019)</f>
        <v>27.29</v>
      </c>
      <c r="O1019">
        <f>_xll.ICEHistory(M$4,O$5,"DF[dow:12345][tl:Calendar]",$L1019)</f>
        <v>26.09</v>
      </c>
      <c r="P1019">
        <f>_xll.ICEHistory(M$4,P$5,"DF[dow:12345][tl:Calendar]",$L1019)</f>
        <v>27.2</v>
      </c>
      <c r="Q1019">
        <f>_xll.ICEHistory(M$4,Q$5,"DF[dow:12345][tl:Calendar]",$L1019)</f>
        <v>30267</v>
      </c>
      <c r="R1019">
        <f>_xll.ICEHistory(M$4,R$5,"DF[dow:12345][tl:Calendar]",$L1019)</f>
        <v>407739</v>
      </c>
      <c r="S1019">
        <f>_xll.ICEHistory(S$4,S$5,"DF[dow:12345][tl:Calendar]",$L1019)</f>
        <v>10.6</v>
      </c>
      <c r="T1019">
        <f>_xll.ICEHistory(S$4,T$5,"DF[dow:12345][tl:Calendar]",$L1019)</f>
        <v>10.95</v>
      </c>
      <c r="U1019">
        <f>_xll.ICEHistory(S$4,U$5,"DF[dow:12345][tl:Calendar]",$L1019)</f>
        <v>10.6</v>
      </c>
      <c r="V1019">
        <f>_xll.ICEHistory(S$4,V$5,"DF[dow:12345][tl:Calendar]",$L1019)</f>
        <v>10.734999999999999</v>
      </c>
      <c r="W1019">
        <f>_xll.ICEHistory(S$4,W$5,"DF[dow:12345][tl:Calendar]",$L1019)</f>
        <v>250</v>
      </c>
      <c r="X1019">
        <f t="shared" si="45"/>
        <v>4.3859649122806994E-2</v>
      </c>
      <c r="Y1019">
        <f t="shared" si="46"/>
        <v>0.35305471363448487</v>
      </c>
      <c r="Z1019">
        <f t="shared" si="47"/>
        <v>2.1668640292636545</v>
      </c>
    </row>
    <row r="1020" spans="12:26" x14ac:dyDescent="0.25">
      <c r="L1020" s="4">
        <f>_xll.ICETimeline(_xll.ICEJoinRange(M4:W4),"DF[dow:12345][tl:Calendar]","2020-07-26;2024-07-26",31,-1)</f>
        <v>44082.5</v>
      </c>
      <c r="M1020">
        <f>_xll.ICEHistory(M$4,M$5,"DF[dow:12345][tl:Calendar]",$L1020)</f>
        <v>27.36</v>
      </c>
      <c r="N1020">
        <f>_xll.ICEHistory(M$4,N$5,"DF[dow:12345][tl:Calendar]",$L1020)</f>
        <v>27.97</v>
      </c>
      <c r="O1020">
        <f>_xll.ICEHistory(M$4,O$5,"DF[dow:12345][tl:Calendar]",$L1020)</f>
        <v>26.75</v>
      </c>
      <c r="P1020">
        <f>_xll.ICEHistory(M$4,P$5,"DF[dow:12345][tl:Calendar]",$L1020)</f>
        <v>26.79</v>
      </c>
      <c r="Q1020">
        <f>_xll.ICEHistory(M$4,Q$5,"DF[dow:12345][tl:Calendar]",$L1020)</f>
        <v>28212</v>
      </c>
      <c r="R1020">
        <f>_xll.ICEHistory(M$4,R$5,"DF[dow:12345][tl:Calendar]",$L1020)</f>
        <v>407281</v>
      </c>
      <c r="S1020">
        <f>_xll.ICEHistory(S$4,S$5,"DF[dow:12345][tl:Calendar]",$L1020)</f>
        <v>11.4</v>
      </c>
      <c r="T1020">
        <f>_xll.ICEHistory(S$4,T$5,"DF[dow:12345][tl:Calendar]",$L1020)</f>
        <v>11.4</v>
      </c>
      <c r="U1020">
        <f>_xll.ICEHistory(S$4,U$5,"DF[dow:12345][tl:Calendar]",$L1020)</f>
        <v>10.79</v>
      </c>
      <c r="V1020">
        <f>_xll.ICEHistory(S$4,V$5,"DF[dow:12345][tl:Calendar]",$L1020)</f>
        <v>10.8</v>
      </c>
      <c r="W1020">
        <f>_xll.ICEHistory(S$4,W$5,"DF[dow:12345][tl:Calendar]",$L1020)</f>
        <v>436</v>
      </c>
      <c r="X1020">
        <f t="shared" si="45"/>
        <v>4.4590643274853764E-2</v>
      </c>
      <c r="Y1020">
        <f t="shared" si="46"/>
        <v>0.41566097194096968</v>
      </c>
      <c r="Z1020">
        <f t="shared" si="47"/>
        <v>1.9297190051732258</v>
      </c>
    </row>
    <row r="1021" spans="12:26" x14ac:dyDescent="0.25">
      <c r="L1021" s="4">
        <f>_xll.ICETimeline(_xll.ICEJoinRange(M4:W4),"DF[dow:12345][tl:Calendar]","2020-07-26;2024-07-26",30,-1)</f>
        <v>44081.5</v>
      </c>
      <c r="M1021">
        <f>_xll.ICEHistory(M$4,M$5,"DF[dow:12345][tl:Calendar]",$L1021)</f>
        <v>27.36</v>
      </c>
      <c r="N1021">
        <f>_xll.ICEHistory(M$4,N$5,"DF[dow:12345][tl:Calendar]",$L1021)</f>
        <v>27.61</v>
      </c>
      <c r="O1021">
        <f>_xll.ICEHistory(M$4,O$5,"DF[dow:12345][tl:Calendar]",$L1021)</f>
        <v>26.66</v>
      </c>
      <c r="P1021">
        <f>_xll.ICEHistory(M$4,P$5,"DF[dow:12345][tl:Calendar]",$L1021)</f>
        <v>27.05</v>
      </c>
      <c r="Q1021">
        <f>_xll.ICEHistory(M$4,Q$5,"DF[dow:12345][tl:Calendar]",$L1021)</f>
        <v>22806</v>
      </c>
      <c r="R1021">
        <f>_xll.ICEHistory(M$4,R$5,"DF[dow:12345][tl:Calendar]",$L1021)</f>
        <v>407291</v>
      </c>
      <c r="S1021">
        <f>_xll.ICEHistory(S$4,S$5,"DF[dow:12345][tl:Calendar]",$L1021)</f>
        <v>12.105</v>
      </c>
      <c r="T1021">
        <f>_xll.ICEHistory(S$4,T$5,"DF[dow:12345][tl:Calendar]",$L1021)</f>
        <v>12.105</v>
      </c>
      <c r="U1021">
        <f>_xll.ICEHistory(S$4,U$5,"DF[dow:12345][tl:Calendar]",$L1021)</f>
        <v>11.68</v>
      </c>
      <c r="V1021">
        <f>_xll.ICEHistory(S$4,V$5,"DF[dow:12345][tl:Calendar]",$L1021)</f>
        <v>11.68</v>
      </c>
      <c r="W1021">
        <f>_xll.ICEHistory(S$4,W$5,"DF[dow:12345][tl:Calendar]",$L1021)</f>
        <v>0</v>
      </c>
      <c r="X1021">
        <f t="shared" si="45"/>
        <v>3.328661527680446E-2</v>
      </c>
      <c r="Y1021">
        <f t="shared" si="46"/>
        <v>-0.43646857116413934</v>
      </c>
      <c r="Z1021">
        <f t="shared" si="47"/>
        <v>0.82815969584245974</v>
      </c>
    </row>
    <row r="1022" spans="12:26" x14ac:dyDescent="0.25">
      <c r="L1022" s="4">
        <f>_xll.ICETimeline(_xll.ICEJoinRange(M4:W4),"DF[dow:12345][tl:Calendar]","2020-07-26;2024-07-26",29,-1)</f>
        <v>44078.5</v>
      </c>
      <c r="M1022">
        <f>_xll.ICEHistory(M$4,M$5,"DF[dow:12345][tl:Calendar]",$L1022)</f>
        <v>28.54</v>
      </c>
      <c r="N1022">
        <f>_xll.ICEHistory(M$4,N$5,"DF[dow:12345][tl:Calendar]",$L1022)</f>
        <v>28.96</v>
      </c>
      <c r="O1022">
        <f>_xll.ICEHistory(M$4,O$5,"DF[dow:12345][tl:Calendar]",$L1022)</f>
        <v>27.21</v>
      </c>
      <c r="P1022">
        <f>_xll.ICEHistory(M$4,P$5,"DF[dow:12345][tl:Calendar]",$L1022)</f>
        <v>27.36</v>
      </c>
      <c r="Q1022">
        <f>_xll.ICEHistory(M$4,Q$5,"DF[dow:12345][tl:Calendar]",$L1022)</f>
        <v>24229</v>
      </c>
      <c r="R1022">
        <f>_xll.ICEHistory(M$4,R$5,"DF[dow:12345][tl:Calendar]",$L1022)</f>
        <v>407923</v>
      </c>
      <c r="S1022">
        <f>_xll.ICEHistory(S$4,S$5,"DF[dow:12345][tl:Calendar]",$L1022)</f>
        <v>12.105</v>
      </c>
      <c r="T1022">
        <f>_xll.ICEHistory(S$4,T$5,"DF[dow:12345][tl:Calendar]",$L1022)</f>
        <v>12.105</v>
      </c>
      <c r="U1022">
        <f>_xll.ICEHistory(S$4,U$5,"DF[dow:12345][tl:Calendar]",$L1022)</f>
        <v>11.68</v>
      </c>
      <c r="V1022">
        <f>_xll.ICEHistory(S$4,V$5,"DF[dow:12345][tl:Calendar]",$L1022)</f>
        <v>11.68</v>
      </c>
      <c r="W1022">
        <f>_xll.ICEHistory(S$4,W$5,"DF[dow:12345][tl:Calendar]",$L1022)</f>
        <v>63</v>
      </c>
      <c r="X1022">
        <f t="shared" si="45"/>
        <v>6.2056737588652482E-2</v>
      </c>
      <c r="Y1022">
        <f t="shared" si="46"/>
        <v>1.712969047080706</v>
      </c>
      <c r="Z1022">
        <f t="shared" si="47"/>
        <v>1.1829557794455294</v>
      </c>
    </row>
    <row r="1023" spans="12:26" x14ac:dyDescent="0.25">
      <c r="L1023" s="4">
        <f>_xll.ICETimeline(_xll.ICEJoinRange(M4:W4),"DF[dow:12345][tl:Calendar]","2020-07-26;2024-07-26",28,-1)</f>
        <v>44077.5</v>
      </c>
      <c r="M1023">
        <f>_xll.ICEHistory(M$4,M$5,"DF[dow:12345][tl:Calendar]",$L1023)</f>
        <v>28.2</v>
      </c>
      <c r="N1023">
        <f>_xll.ICEHistory(M$4,N$5,"DF[dow:12345][tl:Calendar]",$L1023)</f>
        <v>29.13</v>
      </c>
      <c r="O1023">
        <f>_xll.ICEHistory(M$4,O$5,"DF[dow:12345][tl:Calendar]",$L1023)</f>
        <v>28.02</v>
      </c>
      <c r="P1023">
        <f>_xll.ICEHistory(M$4,P$5,"DF[dow:12345][tl:Calendar]",$L1023)</f>
        <v>28.74</v>
      </c>
      <c r="Q1023">
        <f>_xll.ICEHistory(M$4,Q$5,"DF[dow:12345][tl:Calendar]",$L1023)</f>
        <v>20117</v>
      </c>
      <c r="R1023">
        <f>_xll.ICEHistory(M$4,R$5,"DF[dow:12345][tl:Calendar]",$L1023)</f>
        <v>407080</v>
      </c>
      <c r="S1023">
        <f>_xll.ICEHistory(S$4,S$5,"DF[dow:12345][tl:Calendar]",$L1023)</f>
        <v>11.515000000000001</v>
      </c>
      <c r="T1023">
        <f>_xll.ICEHistory(S$4,T$5,"DF[dow:12345][tl:Calendar]",$L1023)</f>
        <v>11.8</v>
      </c>
      <c r="U1023">
        <f>_xll.ICEHistory(S$4,U$5,"DF[dow:12345][tl:Calendar]",$L1023)</f>
        <v>11.5</v>
      </c>
      <c r="V1023">
        <f>_xll.ICEHistory(S$4,V$5,"DF[dow:12345][tl:Calendar]",$L1023)</f>
        <v>11.734999999999999</v>
      </c>
      <c r="W1023">
        <f>_xll.ICEHistory(S$4,W$5,"DF[dow:12345][tl:Calendar]",$L1023)</f>
        <v>373</v>
      </c>
      <c r="X1023">
        <f t="shared" si="45"/>
        <v>3.9942425332853526E-2</v>
      </c>
      <c r="Y1023">
        <f t="shared" si="46"/>
        <v>0.11988827184984151</v>
      </c>
      <c r="Z1023">
        <f t="shared" si="47"/>
        <v>0.26809922382765017</v>
      </c>
    </row>
    <row r="1024" spans="12:26" x14ac:dyDescent="0.25">
      <c r="L1024" s="4">
        <f>_xll.ICETimeline(_xll.ICEJoinRange(M4:W4),"DF[dow:12345][tl:Calendar]","2020-07-26;2024-07-26",27,-1)</f>
        <v>44076.5</v>
      </c>
      <c r="M1024">
        <f>_xll.ICEHistory(M$4,M$5,"DF[dow:12345][tl:Calendar]",$L1024)</f>
        <v>27.79</v>
      </c>
      <c r="N1024">
        <f>_xll.ICEHistory(M$4,N$5,"DF[dow:12345][tl:Calendar]",$L1024)</f>
        <v>28.56</v>
      </c>
      <c r="O1024">
        <f>_xll.ICEHistory(M$4,O$5,"DF[dow:12345][tl:Calendar]",$L1024)</f>
        <v>27.63</v>
      </c>
      <c r="P1024">
        <f>_xll.ICEHistory(M$4,P$5,"DF[dow:12345][tl:Calendar]",$L1024)</f>
        <v>28.23</v>
      </c>
      <c r="Q1024">
        <f>_xll.ICEHistory(M$4,Q$5,"DF[dow:12345][tl:Calendar]",$L1024)</f>
        <v>25482</v>
      </c>
      <c r="R1024">
        <f>_xll.ICEHistory(M$4,R$5,"DF[dow:12345][tl:Calendar]",$L1024)</f>
        <v>407962</v>
      </c>
      <c r="S1024">
        <f>_xll.ICEHistory(S$4,S$5,"DF[dow:12345][tl:Calendar]",$L1024)</f>
        <v>11.4</v>
      </c>
      <c r="T1024">
        <f>_xll.ICEHistory(S$4,T$5,"DF[dow:12345][tl:Calendar]",$L1024)</f>
        <v>11.4</v>
      </c>
      <c r="U1024">
        <f>_xll.ICEHistory(S$4,U$5,"DF[dow:12345][tl:Calendar]",$L1024)</f>
        <v>10.994999999999999</v>
      </c>
      <c r="V1024">
        <f>_xll.ICEHistory(S$4,V$5,"DF[dow:12345][tl:Calendar]",$L1024)</f>
        <v>11.11</v>
      </c>
      <c r="W1024">
        <f>_xll.ICEHistory(S$4,W$5,"DF[dow:12345][tl:Calendar]",$L1024)</f>
        <v>116</v>
      </c>
      <c r="X1024">
        <f t="shared" si="45"/>
        <v>3.2347826086956515E-2</v>
      </c>
      <c r="Y1024">
        <f t="shared" si="46"/>
        <v>-0.45955722570280982</v>
      </c>
      <c r="Z1024">
        <f t="shared" si="47"/>
        <v>1.5117504371623411</v>
      </c>
    </row>
    <row r="1025" spans="12:26" x14ac:dyDescent="0.25">
      <c r="L1025" s="4">
        <f>_xll.ICETimeline(_xll.ICEJoinRange(M4:W4),"DF[dow:12345][tl:Calendar]","2020-07-26;2024-07-26",26,-1)</f>
        <v>44075.5</v>
      </c>
      <c r="M1025">
        <f>_xll.ICEHistory(M$4,M$5,"DF[dow:12345][tl:Calendar]",$L1025)</f>
        <v>28.75</v>
      </c>
      <c r="N1025">
        <f>_xll.ICEHistory(M$4,N$5,"DF[dow:12345][tl:Calendar]",$L1025)</f>
        <v>28.91</v>
      </c>
      <c r="O1025">
        <f>_xll.ICEHistory(M$4,O$5,"DF[dow:12345][tl:Calendar]",$L1025)</f>
        <v>27.64</v>
      </c>
      <c r="P1025">
        <f>_xll.ICEHistory(M$4,P$5,"DF[dow:12345][tl:Calendar]",$L1025)</f>
        <v>27.74</v>
      </c>
      <c r="Q1025">
        <f>_xll.ICEHistory(M$4,Q$5,"DF[dow:12345][tl:Calendar]",$L1025)</f>
        <v>25516</v>
      </c>
      <c r="R1025">
        <f>_xll.ICEHistory(M$4,R$5,"DF[dow:12345][tl:Calendar]",$L1025)</f>
        <v>408318</v>
      </c>
      <c r="S1025">
        <f>_xll.ICEHistory(S$4,S$5,"DF[dow:12345][tl:Calendar]",$L1025)</f>
        <v>11.2</v>
      </c>
      <c r="T1025">
        <f>_xll.ICEHistory(S$4,T$5,"DF[dow:12345][tl:Calendar]",$L1025)</f>
        <v>11.835000000000001</v>
      </c>
      <c r="U1025">
        <f>_xll.ICEHistory(S$4,U$5,"DF[dow:12345][tl:Calendar]",$L1025)</f>
        <v>11.2</v>
      </c>
      <c r="V1025">
        <f>_xll.ICEHistory(S$4,V$5,"DF[dow:12345][tl:Calendar]",$L1025)</f>
        <v>11.295</v>
      </c>
      <c r="W1025">
        <f>_xll.ICEHistory(S$4,W$5,"DF[dow:12345][tl:Calendar]",$L1025)</f>
        <v>376</v>
      </c>
      <c r="X1025">
        <f t="shared" si="45"/>
        <v>4.3036258895289718E-2</v>
      </c>
      <c r="Y1025">
        <f t="shared" si="46"/>
        <v>0.33608192196966002</v>
      </c>
      <c r="Z1025">
        <f t="shared" si="47"/>
        <v>1.618819268110838</v>
      </c>
    </row>
    <row r="1026" spans="12:26" x14ac:dyDescent="0.25">
      <c r="L1026" s="4">
        <f>_xll.ICETimeline(_xll.ICEJoinRange(M4:W4),"DF[dow:12345][tl:Calendar]","2020-07-26;2024-07-26",25,-1)</f>
        <v>44074.5</v>
      </c>
      <c r="M1026">
        <f>_xll.ICEHistory(M$4,M$5,"DF[dow:12345][tl:Calendar]",$L1026)</f>
        <v>29.51</v>
      </c>
      <c r="N1026">
        <f>_xll.ICEHistory(M$4,N$5,"DF[dow:12345][tl:Calendar]",$L1026)</f>
        <v>30.16</v>
      </c>
      <c r="O1026">
        <f>_xll.ICEHistory(M$4,O$5,"DF[dow:12345][tl:Calendar]",$L1026)</f>
        <v>28.3</v>
      </c>
      <c r="P1026">
        <f>_xll.ICEHistory(M$4,P$5,"DF[dow:12345][tl:Calendar]",$L1026)</f>
        <v>28.66</v>
      </c>
      <c r="Q1026">
        <f>_xll.ICEHistory(M$4,Q$5,"DF[dow:12345][tl:Calendar]",$L1026)</f>
        <v>15340</v>
      </c>
      <c r="R1026">
        <f>_xll.ICEHistory(M$4,R$5,"DF[dow:12345][tl:Calendar]",$L1026)</f>
        <v>408185</v>
      </c>
      <c r="S1026">
        <f>_xll.ICEHistory(S$4,S$5,"DF[dow:12345][tl:Calendar]",$L1026)</f>
        <v>11.24</v>
      </c>
      <c r="T1026">
        <f>_xll.ICEHistory(S$4,T$5,"DF[dow:12345][tl:Calendar]",$L1026)</f>
        <v>11.24</v>
      </c>
      <c r="U1026">
        <f>_xll.ICEHistory(S$4,U$5,"DF[dow:12345][tl:Calendar]",$L1026)</f>
        <v>11.24</v>
      </c>
      <c r="V1026">
        <f>_xll.ICEHistory(S$4,V$5,"DF[dow:12345][tl:Calendar]",$L1026)</f>
        <v>11.24</v>
      </c>
      <c r="W1026">
        <f>_xll.ICEHistory(S$4,W$5,"DF[dow:12345][tl:Calendar]",$L1026)</f>
        <v>0</v>
      </c>
      <c r="X1026">
        <f t="shared" si="45"/>
        <v>6.5263157894736828E-2</v>
      </c>
      <c r="Y1026">
        <f t="shared" si="46"/>
        <v>1.9894461467044731</v>
      </c>
      <c r="Z1026">
        <f t="shared" si="47"/>
        <v>-0.75951518075165203</v>
      </c>
    </row>
    <row r="1027" spans="12:26" x14ac:dyDescent="0.25">
      <c r="L1027" s="4">
        <f>_xll.ICETimeline(_xll.ICEJoinRange(M4:W4),"DF[dow:12345][tl:Calendar]","2020-07-26;2024-07-26",24,-1)</f>
        <v>44071.5</v>
      </c>
      <c r="M1027">
        <f>_xll.ICEHistory(M$4,M$5,"DF[dow:12345][tl:Calendar]",$L1027)</f>
        <v>28.5</v>
      </c>
      <c r="N1027">
        <f>_xll.ICEHistory(M$4,N$5,"DF[dow:12345][tl:Calendar]",$L1027)</f>
        <v>29.92</v>
      </c>
      <c r="O1027">
        <f>_xll.ICEHistory(M$4,O$5,"DF[dow:12345][tl:Calendar]",$L1027)</f>
        <v>28.45</v>
      </c>
      <c r="P1027">
        <f>_xll.ICEHistory(M$4,P$5,"DF[dow:12345][tl:Calendar]",$L1027)</f>
        <v>29.52</v>
      </c>
      <c r="Q1027">
        <f>_xll.ICEHistory(M$4,Q$5,"DF[dow:12345][tl:Calendar]",$L1027)</f>
        <v>26639</v>
      </c>
      <c r="R1027">
        <f>_xll.ICEHistory(M$4,R$5,"DF[dow:12345][tl:Calendar]",$L1027)</f>
        <v>407363</v>
      </c>
      <c r="S1027">
        <f>_xll.ICEHistory(S$4,S$5,"DF[dow:12345][tl:Calendar]",$L1027)</f>
        <v>11.125</v>
      </c>
      <c r="T1027">
        <f>_xll.ICEHistory(S$4,T$5,"DF[dow:12345][tl:Calendar]",$L1027)</f>
        <v>11.175000000000001</v>
      </c>
      <c r="U1027">
        <f>_xll.ICEHistory(S$4,U$5,"DF[dow:12345][tl:Calendar]",$L1027)</f>
        <v>11.125</v>
      </c>
      <c r="V1027">
        <f>_xll.ICEHistory(S$4,V$5,"DF[dow:12345][tl:Calendar]",$L1027)</f>
        <v>11.17</v>
      </c>
      <c r="W1027">
        <f>_xll.ICEHistory(S$4,W$5,"DF[dow:12345][tl:Calendar]",$L1027)</f>
        <v>20</v>
      </c>
      <c r="X1027">
        <f t="shared" si="45"/>
        <v>5.1542776998597564E-2</v>
      </c>
      <c r="Y1027">
        <f t="shared" si="46"/>
        <v>1.1361168197668572</v>
      </c>
      <c r="Z1027">
        <f t="shared" si="47"/>
        <v>1.9714594735709057</v>
      </c>
    </row>
    <row r="1028" spans="12:26" x14ac:dyDescent="0.25">
      <c r="L1028" s="4">
        <f>_xll.ICETimeline(_xll.ICEJoinRange(M4:W4),"DF[dow:12345][tl:Calendar]","2020-07-26;2024-07-26",23,-1)</f>
        <v>44070.5</v>
      </c>
      <c r="M1028">
        <f>_xll.ICEHistory(M$4,M$5,"DF[dow:12345][tl:Calendar]",$L1028)</f>
        <v>28.52</v>
      </c>
      <c r="N1028">
        <f>_xll.ICEHistory(M$4,N$5,"DF[dow:12345][tl:Calendar]",$L1028)</f>
        <v>29.08</v>
      </c>
      <c r="O1028">
        <f>_xll.ICEHistory(M$4,O$5,"DF[dow:12345][tl:Calendar]",$L1028)</f>
        <v>28.06</v>
      </c>
      <c r="P1028">
        <f>_xll.ICEHistory(M$4,P$5,"DF[dow:12345][tl:Calendar]",$L1028)</f>
        <v>28.37</v>
      </c>
      <c r="Q1028">
        <f>_xll.ICEHistory(M$4,Q$5,"DF[dow:12345][tl:Calendar]",$L1028)</f>
        <v>22860</v>
      </c>
      <c r="R1028">
        <f>_xll.ICEHistory(M$4,R$5,"DF[dow:12345][tl:Calendar]",$L1028)</f>
        <v>407881</v>
      </c>
      <c r="S1028">
        <f>_xll.ICEHistory(S$4,S$5,"DF[dow:12345][tl:Calendar]",$L1028)</f>
        <v>9.25</v>
      </c>
      <c r="T1028">
        <f>_xll.ICEHistory(S$4,T$5,"DF[dow:12345][tl:Calendar]",$L1028)</f>
        <v>9.2750000000000004</v>
      </c>
      <c r="U1028">
        <f>_xll.ICEHistory(S$4,U$5,"DF[dow:12345][tl:Calendar]",$L1028)</f>
        <v>8.8699999999999992</v>
      </c>
      <c r="V1028">
        <f>_xll.ICEHistory(S$4,V$5,"DF[dow:12345][tl:Calendar]",$L1028)</f>
        <v>8.8699999999999992</v>
      </c>
      <c r="W1028">
        <f>_xll.ICEHistory(S$4,W$5,"DF[dow:12345][tl:Calendar]",$L1028)</f>
        <v>0</v>
      </c>
      <c r="X1028">
        <f t="shared" si="45"/>
        <v>3.5589672016748064E-2</v>
      </c>
      <c r="Y1028">
        <f t="shared" si="46"/>
        <v>-8.611956026261311E-2</v>
      </c>
      <c r="Z1028">
        <f t="shared" si="47"/>
        <v>1.2156602834366299</v>
      </c>
    </row>
    <row r="1029" spans="12:26" x14ac:dyDescent="0.25">
      <c r="L1029" s="4">
        <f>_xll.ICETimeline(_xll.ICEJoinRange(M4:W4),"DF[dow:12345][tl:Calendar]","2020-07-26;2024-07-26",22,-1)</f>
        <v>44069.5</v>
      </c>
      <c r="M1029">
        <f>_xll.ICEHistory(M$4,M$5,"DF[dow:12345][tl:Calendar]",$L1029)</f>
        <v>28.66</v>
      </c>
      <c r="N1029">
        <f>_xll.ICEHistory(M$4,N$5,"DF[dow:12345][tl:Calendar]",$L1029)</f>
        <v>29.21</v>
      </c>
      <c r="O1029">
        <f>_xll.ICEHistory(M$4,O$5,"DF[dow:12345][tl:Calendar]",$L1029)</f>
        <v>28.31</v>
      </c>
      <c r="P1029">
        <f>_xll.ICEHistory(M$4,P$5,"DF[dow:12345][tl:Calendar]",$L1029)</f>
        <v>28.62</v>
      </c>
      <c r="Q1029">
        <f>_xll.ICEHistory(M$4,Q$5,"DF[dow:12345][tl:Calendar]",$L1029)</f>
        <v>18770</v>
      </c>
      <c r="R1029">
        <f>_xll.ICEHistory(M$4,R$5,"DF[dow:12345][tl:Calendar]",$L1029)</f>
        <v>408749</v>
      </c>
      <c r="S1029">
        <f>_xll.ICEHistory(S$4,S$5,"DF[dow:12345][tl:Calendar]",$L1029)</f>
        <v>9.34</v>
      </c>
      <c r="T1029">
        <f>_xll.ICEHistory(S$4,T$5,"DF[dow:12345][tl:Calendar]",$L1029)</f>
        <v>9.34</v>
      </c>
      <c r="U1029">
        <f>_xll.ICEHistory(S$4,U$5,"DF[dow:12345][tl:Calendar]",$L1029)</f>
        <v>9.15</v>
      </c>
      <c r="V1029">
        <f>_xll.ICEHistory(S$4,V$5,"DF[dow:12345][tl:Calendar]",$L1029)</f>
        <v>9.15</v>
      </c>
      <c r="W1029">
        <f>_xll.ICEHistory(S$4,W$5,"DF[dow:12345][tl:Calendar]",$L1029)</f>
        <v>36</v>
      </c>
      <c r="X1029">
        <f t="shared" si="45"/>
        <v>3.2526201662450384E-2</v>
      </c>
      <c r="Y1029">
        <f t="shared" si="46"/>
        <v>-0.3283733722815827</v>
      </c>
      <c r="Z1029">
        <f t="shared" si="47"/>
        <v>0.20032035312546484</v>
      </c>
    </row>
    <row r="1030" spans="12:26" x14ac:dyDescent="0.25">
      <c r="L1030" s="4">
        <f>_xll.ICETimeline(_xll.ICEJoinRange(M4:W4),"DF[dow:12345][tl:Calendar]","2020-07-26;2024-07-26",21,-1)</f>
        <v>44068.5</v>
      </c>
      <c r="M1030">
        <f>_xll.ICEHistory(M$4,M$5,"DF[dow:12345][tl:Calendar]",$L1030)</f>
        <v>27.67</v>
      </c>
      <c r="N1030">
        <f>_xll.ICEHistory(M$4,N$5,"DF[dow:12345][tl:Calendar]",$L1030)</f>
        <v>28.78</v>
      </c>
      <c r="O1030">
        <f>_xll.ICEHistory(M$4,O$5,"DF[dow:12345][tl:Calendar]",$L1030)</f>
        <v>27.4</v>
      </c>
      <c r="P1030">
        <f>_xll.ICEHistory(M$4,P$5,"DF[dow:12345][tl:Calendar]",$L1030)</f>
        <v>28.61</v>
      </c>
      <c r="Q1030">
        <f>_xll.ICEHistory(M$4,Q$5,"DF[dow:12345][tl:Calendar]",$L1030)</f>
        <v>22839</v>
      </c>
      <c r="R1030">
        <f>_xll.ICEHistory(M$4,R$5,"DF[dow:12345][tl:Calendar]",$L1030)</f>
        <v>408708</v>
      </c>
      <c r="S1030">
        <f>_xll.ICEHistory(S$4,S$5,"DF[dow:12345][tl:Calendar]",$L1030)</f>
        <v>8.36</v>
      </c>
      <c r="T1030">
        <f>_xll.ICEHistory(S$4,T$5,"DF[dow:12345][tl:Calendar]",$L1030)</f>
        <v>8.89</v>
      </c>
      <c r="U1030">
        <f>_xll.ICEHistory(S$4,U$5,"DF[dow:12345][tl:Calendar]",$L1030)</f>
        <v>8.36</v>
      </c>
      <c r="V1030">
        <f>_xll.ICEHistory(S$4,V$5,"DF[dow:12345][tl:Calendar]",$L1030)</f>
        <v>8.8650000000000002</v>
      </c>
      <c r="W1030">
        <f>_xll.ICEHistory(S$4,W$5,"DF[dow:12345][tl:Calendar]",$L1030)</f>
        <v>114</v>
      </c>
      <c r="X1030">
        <f t="shared" si="45"/>
        <v>5.3488372093023352E-2</v>
      </c>
      <c r="Y1030">
        <f t="shared" si="46"/>
        <v>1.2729903575956325</v>
      </c>
      <c r="Z1030">
        <f t="shared" si="47"/>
        <v>1.259566138430946</v>
      </c>
    </row>
    <row r="1031" spans="12:26" x14ac:dyDescent="0.25">
      <c r="L1031" s="4">
        <f>_xll.ICETimeline(_xll.ICEJoinRange(M4:W4),"DF[dow:12345][tl:Calendar]","2020-07-26;2024-07-26",20,-1)</f>
        <v>44067.5</v>
      </c>
      <c r="M1031">
        <f>_xll.ICEHistory(M$4,M$5,"DF[dow:12345][tl:Calendar]",$L1031)</f>
        <v>25.8</v>
      </c>
      <c r="N1031">
        <f>_xll.ICEHistory(M$4,N$5,"DF[dow:12345][tl:Calendar]",$L1031)</f>
        <v>27.68</v>
      </c>
      <c r="O1031">
        <f>_xll.ICEHistory(M$4,O$5,"DF[dow:12345][tl:Calendar]",$L1031)</f>
        <v>25.8</v>
      </c>
      <c r="P1031">
        <f>_xll.ICEHistory(M$4,P$5,"DF[dow:12345][tl:Calendar]",$L1031)</f>
        <v>27.48</v>
      </c>
      <c r="Q1031">
        <f>_xll.ICEHistory(M$4,Q$5,"DF[dow:12345][tl:Calendar]",$L1031)</f>
        <v>19529</v>
      </c>
      <c r="R1031">
        <f>_xll.ICEHistory(M$4,R$5,"DF[dow:12345][tl:Calendar]",$L1031)</f>
        <v>411255</v>
      </c>
      <c r="S1031">
        <f>_xll.ICEHistory(S$4,S$5,"DF[dow:12345][tl:Calendar]",$L1031)</f>
        <v>8.125</v>
      </c>
      <c r="T1031">
        <f>_xll.ICEHistory(S$4,T$5,"DF[dow:12345][tl:Calendar]",$L1031)</f>
        <v>8.3650000000000002</v>
      </c>
      <c r="U1031">
        <f>_xll.ICEHistory(S$4,U$5,"DF[dow:12345][tl:Calendar]",$L1031)</f>
        <v>8.0500000000000007</v>
      </c>
      <c r="V1031">
        <f>_xll.ICEHistory(S$4,V$5,"DF[dow:12345][tl:Calendar]",$L1031)</f>
        <v>8.36</v>
      </c>
      <c r="W1031">
        <f>_xll.ICEHistory(S$4,W$5,"DF[dow:12345][tl:Calendar]",$L1031)</f>
        <v>444</v>
      </c>
      <c r="X1031">
        <f t="shared" si="45"/>
        <v>7.2868217054263523E-2</v>
      </c>
      <c r="Y1031">
        <f t="shared" si="46"/>
        <v>2.878393509935318</v>
      </c>
      <c r="Z1031">
        <f t="shared" si="47"/>
        <v>0.46936635788184577</v>
      </c>
    </row>
    <row r="1032" spans="12:26" x14ac:dyDescent="0.25">
      <c r="L1032" s="4">
        <f>_xll.ICETimeline(_xll.ICEJoinRange(M4:W4),"DF[dow:12345][tl:Calendar]","2020-07-26;2024-07-26",19,-1)</f>
        <v>44064.5</v>
      </c>
      <c r="M1032">
        <f>_xll.ICEHistory(M$4,M$5,"DF[dow:12345][tl:Calendar]",$L1032)</f>
        <v>25.8</v>
      </c>
      <c r="N1032">
        <f>_xll.ICEHistory(M$4,N$5,"DF[dow:12345][tl:Calendar]",$L1032)</f>
        <v>25.95</v>
      </c>
      <c r="O1032">
        <f>_xll.ICEHistory(M$4,O$5,"DF[dow:12345][tl:Calendar]",$L1032)</f>
        <v>25.29</v>
      </c>
      <c r="P1032">
        <f>_xll.ICEHistory(M$4,P$5,"DF[dow:12345][tl:Calendar]",$L1032)</f>
        <v>25.65</v>
      </c>
      <c r="Q1032">
        <f>_xll.ICEHistory(M$4,Q$5,"DF[dow:12345][tl:Calendar]",$L1032)</f>
        <v>11897</v>
      </c>
      <c r="R1032">
        <f>_xll.ICEHistory(M$4,R$5,"DF[dow:12345][tl:Calendar]",$L1032)</f>
        <v>410470</v>
      </c>
      <c r="S1032">
        <f>_xll.ICEHistory(S$4,S$5,"DF[dow:12345][tl:Calendar]",$L1032)</f>
        <v>7.9749999999999996</v>
      </c>
      <c r="T1032">
        <f>_xll.ICEHistory(S$4,T$5,"DF[dow:12345][tl:Calendar]",$L1032)</f>
        <v>7.9749999999999996</v>
      </c>
      <c r="U1032">
        <f>_xll.ICEHistory(S$4,U$5,"DF[dow:12345][tl:Calendar]",$L1032)</f>
        <v>7.47</v>
      </c>
      <c r="V1032">
        <f>_xll.ICEHistory(S$4,V$5,"DF[dow:12345][tl:Calendar]",$L1032)</f>
        <v>7.62</v>
      </c>
      <c r="W1032">
        <f>_xll.ICEHistory(S$4,W$5,"DF[dow:12345][tl:Calendar]",$L1032)</f>
        <v>95</v>
      </c>
      <c r="X1032">
        <f t="shared" si="45"/>
        <v>2.5229357798165142E-2</v>
      </c>
      <c r="Y1032">
        <f t="shared" si="46"/>
        <v>-0.92315677047657552</v>
      </c>
      <c r="Z1032">
        <f t="shared" si="47"/>
        <v>-1.4892742859553951</v>
      </c>
    </row>
    <row r="1033" spans="12:26" x14ac:dyDescent="0.25">
      <c r="L1033" s="4">
        <f>_xll.ICETimeline(_xll.ICEJoinRange(M4:W4),"DF[dow:12345][tl:Calendar]","2020-07-26;2024-07-26",18,-1)</f>
        <v>44063.5</v>
      </c>
      <c r="M1033">
        <f>_xll.ICEHistory(M$4,M$5,"DF[dow:12345][tl:Calendar]",$L1033)</f>
        <v>26.16</v>
      </c>
      <c r="N1033">
        <f>_xll.ICEHistory(M$4,N$5,"DF[dow:12345][tl:Calendar]",$L1033)</f>
        <v>26.28</v>
      </c>
      <c r="O1033">
        <f>_xll.ICEHistory(M$4,O$5,"DF[dow:12345][tl:Calendar]",$L1033)</f>
        <v>25.66</v>
      </c>
      <c r="P1033">
        <f>_xll.ICEHistory(M$4,P$5,"DF[dow:12345][tl:Calendar]",$L1033)</f>
        <v>25.9</v>
      </c>
      <c r="Q1033">
        <f>_xll.ICEHistory(M$4,Q$5,"DF[dow:12345][tl:Calendar]",$L1033)</f>
        <v>15251</v>
      </c>
      <c r="R1033">
        <f>_xll.ICEHistory(M$4,R$5,"DF[dow:12345][tl:Calendar]",$L1033)</f>
        <v>410900</v>
      </c>
      <c r="S1033">
        <f>_xll.ICEHistory(S$4,S$5,"DF[dow:12345][tl:Calendar]",$L1033)</f>
        <v>8.3249999999999993</v>
      </c>
      <c r="T1033">
        <f>_xll.ICEHistory(S$4,T$5,"DF[dow:12345][tl:Calendar]",$L1033)</f>
        <v>8.375</v>
      </c>
      <c r="U1033">
        <f>_xll.ICEHistory(S$4,U$5,"DF[dow:12345][tl:Calendar]",$L1033)</f>
        <v>8.15</v>
      </c>
      <c r="V1033">
        <f>_xll.ICEHistory(S$4,V$5,"DF[dow:12345][tl:Calendar]",$L1033)</f>
        <v>8.15</v>
      </c>
      <c r="W1033">
        <f>_xll.ICEHistory(S$4,W$5,"DF[dow:12345][tl:Calendar]",$L1033)</f>
        <v>578</v>
      </c>
      <c r="X1033">
        <f t="shared" ref="X1033:X1050" si="48">IFERROR((N1033-O1033)/M1034, "")</f>
        <v>2.3396226415094378E-2</v>
      </c>
      <c r="Y1033">
        <f t="shared" ref="Y1033:Y1050" si="49">IFERROR((X1033-AVERAGE(X1033:X1097))/_xlfn.STDEV.S(X1033:X1097),"")</f>
        <v>-1.1608271844051434</v>
      </c>
      <c r="Z1033">
        <f t="shared" ref="Z1033:Z1050" si="50">IFERROR((Q1033-AVERAGE(Q1033:Q1098))/_xlfn.STDEV.S(Q1033:Q1098),"")</f>
        <v>-0.72836494544776043</v>
      </c>
    </row>
    <row r="1034" spans="12:26" x14ac:dyDescent="0.25">
      <c r="L1034" s="4">
        <f>_xll.ICETimeline(_xll.ICEJoinRange(M4:W4),"DF[dow:12345][tl:Calendar]","2020-07-26;2024-07-26",17,-1)</f>
        <v>44062.5</v>
      </c>
      <c r="M1034">
        <f>_xll.ICEHistory(M$4,M$5,"DF[dow:12345][tl:Calendar]",$L1034)</f>
        <v>26.5</v>
      </c>
      <c r="N1034">
        <f>_xll.ICEHistory(M$4,N$5,"DF[dow:12345][tl:Calendar]",$L1034)</f>
        <v>26.84</v>
      </c>
      <c r="O1034">
        <f>_xll.ICEHistory(M$4,O$5,"DF[dow:12345][tl:Calendar]",$L1034)</f>
        <v>26.05</v>
      </c>
      <c r="P1034">
        <f>_xll.ICEHistory(M$4,P$5,"DF[dow:12345][tl:Calendar]",$L1034)</f>
        <v>26.23</v>
      </c>
      <c r="Q1034">
        <f>_xll.ICEHistory(M$4,Q$5,"DF[dow:12345][tl:Calendar]",$L1034)</f>
        <v>15499</v>
      </c>
      <c r="R1034">
        <f>_xll.ICEHistory(M$4,R$5,"DF[dow:12345][tl:Calendar]",$L1034)</f>
        <v>412522</v>
      </c>
      <c r="S1034">
        <f>_xll.ICEHistory(S$4,S$5,"DF[dow:12345][tl:Calendar]",$L1034)</f>
        <v>8.8149999999999995</v>
      </c>
      <c r="T1034">
        <f>_xll.ICEHistory(S$4,T$5,"DF[dow:12345][tl:Calendar]",$L1034)</f>
        <v>8.85</v>
      </c>
      <c r="U1034">
        <f>_xll.ICEHistory(S$4,U$5,"DF[dow:12345][tl:Calendar]",$L1034)</f>
        <v>8.23</v>
      </c>
      <c r="V1034">
        <f>_xll.ICEHistory(S$4,V$5,"DF[dow:12345][tl:Calendar]",$L1034)</f>
        <v>8.3550000000000004</v>
      </c>
      <c r="W1034">
        <f>_xll.ICEHistory(S$4,W$5,"DF[dow:12345][tl:Calendar]",$L1034)</f>
        <v>51</v>
      </c>
      <c r="X1034">
        <f t="shared" si="48"/>
        <v>3.0118185284025892E-2</v>
      </c>
      <c r="Y1034">
        <f t="shared" si="49"/>
        <v>-0.54242946023448801</v>
      </c>
      <c r="Z1034">
        <f t="shared" si="50"/>
        <v>-0.69330376924235382</v>
      </c>
    </row>
    <row r="1035" spans="12:26" x14ac:dyDescent="0.25">
      <c r="L1035" s="4">
        <f>_xll.ICETimeline(_xll.ICEJoinRange(M4:W4),"DF[dow:12345][tl:Calendar]","2020-07-26;2024-07-26",16,-1)</f>
        <v>44061.5</v>
      </c>
      <c r="M1035">
        <f>_xll.ICEHistory(M$4,M$5,"DF[dow:12345][tl:Calendar]",$L1035)</f>
        <v>26.23</v>
      </c>
      <c r="N1035">
        <f>_xll.ICEHistory(M$4,N$5,"DF[dow:12345][tl:Calendar]",$L1035)</f>
        <v>26.83</v>
      </c>
      <c r="O1035">
        <f>_xll.ICEHistory(M$4,O$5,"DF[dow:12345][tl:Calendar]",$L1035)</f>
        <v>26</v>
      </c>
      <c r="P1035">
        <f>_xll.ICEHistory(M$4,P$5,"DF[dow:12345][tl:Calendar]",$L1035)</f>
        <v>26.55</v>
      </c>
      <c r="Q1035">
        <f>_xll.ICEHistory(M$4,Q$5,"DF[dow:12345][tl:Calendar]",$L1035)</f>
        <v>17472</v>
      </c>
      <c r="R1035">
        <f>_xll.ICEHistory(M$4,R$5,"DF[dow:12345][tl:Calendar]",$L1035)</f>
        <v>413410</v>
      </c>
      <c r="S1035">
        <f>_xll.ICEHistory(S$4,S$5,"DF[dow:12345][tl:Calendar]",$L1035)</f>
        <v>8.2249999999999996</v>
      </c>
      <c r="T1035">
        <f>_xll.ICEHistory(S$4,T$5,"DF[dow:12345][tl:Calendar]",$L1035)</f>
        <v>8.7200000000000006</v>
      </c>
      <c r="U1035">
        <f>_xll.ICEHistory(S$4,U$5,"DF[dow:12345][tl:Calendar]",$L1035)</f>
        <v>8.2249999999999996</v>
      </c>
      <c r="V1035">
        <f>_xll.ICEHistory(S$4,V$5,"DF[dow:12345][tl:Calendar]",$L1035)</f>
        <v>8.5500000000000007</v>
      </c>
      <c r="W1035">
        <f>_xll.ICEHistory(S$4,W$5,"DF[dow:12345][tl:Calendar]",$L1035)</f>
        <v>145</v>
      </c>
      <c r="X1035">
        <f t="shared" si="48"/>
        <v>3.2245532245532178E-2</v>
      </c>
      <c r="Y1035">
        <f t="shared" si="49"/>
        <v>-0.34588179634430627</v>
      </c>
      <c r="Z1035">
        <f t="shared" si="50"/>
        <v>-0.20771868246592851</v>
      </c>
    </row>
    <row r="1036" spans="12:26" x14ac:dyDescent="0.25">
      <c r="L1036" s="4">
        <f>_xll.ICETimeline(_xll.ICEJoinRange(M4:W4),"DF[dow:12345][tl:Calendar]","2020-07-26;2024-07-26",15,-1)</f>
        <v>44060.5</v>
      </c>
      <c r="M1036">
        <f>_xll.ICEHistory(M$4,M$5,"DF[dow:12345][tl:Calendar]",$L1036)</f>
        <v>25.74</v>
      </c>
      <c r="N1036">
        <f>_xll.ICEHistory(M$4,N$5,"DF[dow:12345][tl:Calendar]",$L1036)</f>
        <v>26.38</v>
      </c>
      <c r="O1036">
        <f>_xll.ICEHistory(M$4,O$5,"DF[dow:12345][tl:Calendar]",$L1036)</f>
        <v>25.06</v>
      </c>
      <c r="P1036">
        <f>_xll.ICEHistory(M$4,P$5,"DF[dow:12345][tl:Calendar]",$L1036)</f>
        <v>26.3</v>
      </c>
      <c r="Q1036">
        <f>_xll.ICEHistory(M$4,Q$5,"DF[dow:12345][tl:Calendar]",$L1036)</f>
        <v>21701</v>
      </c>
      <c r="R1036">
        <f>_xll.ICEHistory(M$4,R$5,"DF[dow:12345][tl:Calendar]",$L1036)</f>
        <v>412856</v>
      </c>
      <c r="S1036">
        <f>_xll.ICEHistory(S$4,S$5,"DF[dow:12345][tl:Calendar]",$L1036)</f>
        <v>8.26</v>
      </c>
      <c r="T1036">
        <f>_xll.ICEHistory(S$4,T$5,"DF[dow:12345][tl:Calendar]",$L1036)</f>
        <v>8.51</v>
      </c>
      <c r="U1036">
        <f>_xll.ICEHistory(S$4,U$5,"DF[dow:12345][tl:Calendar]",$L1036)</f>
        <v>8.15</v>
      </c>
      <c r="V1036">
        <f>_xll.ICEHistory(S$4,V$5,"DF[dow:12345][tl:Calendar]",$L1036)</f>
        <v>8.18</v>
      </c>
      <c r="W1036">
        <f>_xll.ICEHistory(S$4,W$5,"DF[dow:12345][tl:Calendar]",$L1036)</f>
        <v>95</v>
      </c>
      <c r="X1036">
        <f t="shared" si="48"/>
        <v>5.1866404715127712E-2</v>
      </c>
      <c r="Y1036">
        <f t="shared" si="49"/>
        <v>1.5899807256858576</v>
      </c>
      <c r="Z1036">
        <f t="shared" si="50"/>
        <v>0.85709112255504805</v>
      </c>
    </row>
    <row r="1037" spans="12:26" x14ac:dyDescent="0.25">
      <c r="L1037" s="4">
        <f>_xll.ICETimeline(_xll.ICEJoinRange(M4:W4),"DF[dow:12345][tl:Calendar]","2020-07-26;2024-07-26",14,-1)</f>
        <v>44057.5</v>
      </c>
      <c r="M1037">
        <f>_xll.ICEHistory(M$4,M$5,"DF[dow:12345][tl:Calendar]",$L1037)</f>
        <v>25.45</v>
      </c>
      <c r="N1037">
        <f>_xll.ICEHistory(M$4,N$5,"DF[dow:12345][tl:Calendar]",$L1037)</f>
        <v>25.57</v>
      </c>
      <c r="O1037">
        <f>_xll.ICEHistory(M$4,O$5,"DF[dow:12345][tl:Calendar]",$L1037)</f>
        <v>24.94</v>
      </c>
      <c r="P1037">
        <f>_xll.ICEHistory(M$4,P$5,"DF[dow:12345][tl:Calendar]",$L1037)</f>
        <v>25.48</v>
      </c>
      <c r="Q1037">
        <f>_xll.ICEHistory(M$4,Q$5,"DF[dow:12345][tl:Calendar]",$L1037)</f>
        <v>14615</v>
      </c>
      <c r="R1037">
        <f>_xll.ICEHistory(M$4,R$5,"DF[dow:12345][tl:Calendar]",$L1037)</f>
        <v>414745</v>
      </c>
      <c r="S1037">
        <f>_xll.ICEHistory(S$4,S$5,"DF[dow:12345][tl:Calendar]",$L1037)</f>
        <v>7.45</v>
      </c>
      <c r="T1037">
        <f>_xll.ICEHistory(S$4,T$5,"DF[dow:12345][tl:Calendar]",$L1037)</f>
        <v>8.15</v>
      </c>
      <c r="U1037">
        <f>_xll.ICEHistory(S$4,U$5,"DF[dow:12345][tl:Calendar]",$L1037)</f>
        <v>7.38</v>
      </c>
      <c r="V1037">
        <f>_xll.ICEHistory(S$4,V$5,"DF[dow:12345][tl:Calendar]",$L1037)</f>
        <v>8.02</v>
      </c>
      <c r="W1037">
        <f>_xll.ICEHistory(S$4,W$5,"DF[dow:12345][tl:Calendar]",$L1037)</f>
        <v>325</v>
      </c>
      <c r="X1037">
        <f t="shared" si="48"/>
        <v>2.4147182828669952E-2</v>
      </c>
      <c r="Y1037">
        <f t="shared" si="49"/>
        <v>-1.1249082810711455</v>
      </c>
      <c r="Z1037">
        <f t="shared" si="50"/>
        <v>-0.87373334843290751</v>
      </c>
    </row>
    <row r="1038" spans="12:26" x14ac:dyDescent="0.25">
      <c r="L1038" s="4">
        <f>_xll.ICETimeline(_xll.ICEJoinRange(M4:W4),"DF[dow:12345][tl:Calendar]","2020-07-26;2024-07-26",13,-1)</f>
        <v>44056.5</v>
      </c>
      <c r="M1038">
        <f>_xll.ICEHistory(M$4,M$5,"DF[dow:12345][tl:Calendar]",$L1038)</f>
        <v>26.09</v>
      </c>
      <c r="N1038">
        <f>_xll.ICEHistory(M$4,N$5,"DF[dow:12345][tl:Calendar]",$L1038)</f>
        <v>26.27</v>
      </c>
      <c r="O1038">
        <f>_xll.ICEHistory(M$4,O$5,"DF[dow:12345][tl:Calendar]",$L1038)</f>
        <v>25.26</v>
      </c>
      <c r="P1038">
        <f>_xll.ICEHistory(M$4,P$5,"DF[dow:12345][tl:Calendar]",$L1038)</f>
        <v>25.43</v>
      </c>
      <c r="Q1038">
        <f>_xll.ICEHistory(M$4,Q$5,"DF[dow:12345][tl:Calendar]",$L1038)</f>
        <v>22285</v>
      </c>
      <c r="R1038">
        <f>_xll.ICEHistory(M$4,R$5,"DF[dow:12345][tl:Calendar]",$L1038)</f>
        <v>415677</v>
      </c>
      <c r="S1038">
        <f>_xll.ICEHistory(S$4,S$5,"DF[dow:12345][tl:Calendar]",$L1038)</f>
        <v>7.4</v>
      </c>
      <c r="T1038">
        <f>_xll.ICEHistory(S$4,T$5,"DF[dow:12345][tl:Calendar]",$L1038)</f>
        <v>7.48</v>
      </c>
      <c r="U1038">
        <f>_xll.ICEHistory(S$4,U$5,"DF[dow:12345][tl:Calendar]",$L1038)</f>
        <v>7.2850000000000001</v>
      </c>
      <c r="V1038">
        <f>_xll.ICEHistory(S$4,V$5,"DF[dow:12345][tl:Calendar]",$L1038)</f>
        <v>7.31</v>
      </c>
      <c r="W1038">
        <f>_xll.ICEHistory(S$4,W$5,"DF[dow:12345][tl:Calendar]",$L1038)</f>
        <v>137</v>
      </c>
      <c r="X1038">
        <f t="shared" si="48"/>
        <v>3.8846153846153766E-2</v>
      </c>
      <c r="Y1038">
        <f t="shared" si="49"/>
        <v>0.35986035667186761</v>
      </c>
      <c r="Z1038">
        <f t="shared" si="50"/>
        <v>0.98474513456556023</v>
      </c>
    </row>
    <row r="1039" spans="12:26" x14ac:dyDescent="0.25">
      <c r="L1039" s="4">
        <f>_xll.ICETimeline(_xll.ICEJoinRange(M4:W4),"DF[dow:12345][tl:Calendar]","2020-07-26;2024-07-26",12,-1)</f>
        <v>44055.5</v>
      </c>
      <c r="M1039">
        <f>_xll.ICEHistory(M$4,M$5,"DF[dow:12345][tl:Calendar]",$L1039)</f>
        <v>26</v>
      </c>
      <c r="N1039">
        <f>_xll.ICEHistory(M$4,N$5,"DF[dow:12345][tl:Calendar]",$L1039)</f>
        <v>26.07</v>
      </c>
      <c r="O1039">
        <f>_xll.ICEHistory(M$4,O$5,"DF[dow:12345][tl:Calendar]",$L1039)</f>
        <v>25.58</v>
      </c>
      <c r="P1039">
        <f>_xll.ICEHistory(M$4,P$5,"DF[dow:12345][tl:Calendar]",$L1039)</f>
        <v>25.97</v>
      </c>
      <c r="Q1039">
        <f>_xll.ICEHistory(M$4,Q$5,"DF[dow:12345][tl:Calendar]",$L1039)</f>
        <v>16164</v>
      </c>
      <c r="R1039">
        <f>_xll.ICEHistory(M$4,R$5,"DF[dow:12345][tl:Calendar]",$L1039)</f>
        <v>418768</v>
      </c>
      <c r="S1039">
        <f>_xll.ICEHistory(S$4,S$5,"DF[dow:12345][tl:Calendar]",$L1039)</f>
        <v>7.1749999999999998</v>
      </c>
      <c r="T1039">
        <f>_xll.ICEHistory(S$4,T$5,"DF[dow:12345][tl:Calendar]",$L1039)</f>
        <v>7.1749999999999998</v>
      </c>
      <c r="U1039">
        <f>_xll.ICEHistory(S$4,U$5,"DF[dow:12345][tl:Calendar]",$L1039)</f>
        <v>7</v>
      </c>
      <c r="V1039">
        <f>_xll.ICEHistory(S$4,V$5,"DF[dow:12345][tl:Calendar]",$L1039)</f>
        <v>7.17</v>
      </c>
      <c r="W1039">
        <f>_xll.ICEHistory(S$4,W$5,"DF[dow:12345][tl:Calendar]",$L1039)</f>
        <v>196</v>
      </c>
      <c r="X1039">
        <f t="shared" si="48"/>
        <v>1.8229166666666741E-2</v>
      </c>
      <c r="Y1039">
        <f t="shared" si="49"/>
        <v>-1.7724011548213041</v>
      </c>
      <c r="Z1039">
        <f t="shared" si="50"/>
        <v>-0.46814725783635197</v>
      </c>
    </row>
    <row r="1040" spans="12:26" x14ac:dyDescent="0.25">
      <c r="L1040" s="4">
        <f>_xll.ICETimeline(_xll.ICEJoinRange(M4:W4),"DF[dow:12345][tl:Calendar]","2020-07-26;2024-07-26",11,-1)</f>
        <v>44054.5</v>
      </c>
      <c r="M1040">
        <f>_xll.ICEHistory(M$4,M$5,"DF[dow:12345][tl:Calendar]",$L1040)</f>
        <v>26.88</v>
      </c>
      <c r="N1040">
        <f>_xll.ICEHistory(M$4,N$5,"DF[dow:12345][tl:Calendar]",$L1040)</f>
        <v>27.17</v>
      </c>
      <c r="O1040">
        <f>_xll.ICEHistory(M$4,O$5,"DF[dow:12345][tl:Calendar]",$L1040)</f>
        <v>26.1</v>
      </c>
      <c r="P1040">
        <f>_xll.ICEHistory(M$4,P$5,"DF[dow:12345][tl:Calendar]",$L1040)</f>
        <v>26.19</v>
      </c>
      <c r="Q1040">
        <f>_xll.ICEHistory(M$4,Q$5,"DF[dow:12345][tl:Calendar]",$L1040)</f>
        <v>14891</v>
      </c>
      <c r="R1040">
        <f>_xll.ICEHistory(M$4,R$5,"DF[dow:12345][tl:Calendar]",$L1040)</f>
        <v>418634</v>
      </c>
      <c r="S1040">
        <f>_xll.ICEHistory(S$4,S$5,"DF[dow:12345][tl:Calendar]",$L1040)</f>
        <v>7.4950000000000001</v>
      </c>
      <c r="T1040">
        <f>_xll.ICEHistory(S$4,T$5,"DF[dow:12345][tl:Calendar]",$L1040)</f>
        <v>7.9349999999999996</v>
      </c>
      <c r="U1040">
        <f>_xll.ICEHistory(S$4,U$5,"DF[dow:12345][tl:Calendar]",$L1040)</f>
        <v>7.415</v>
      </c>
      <c r="V1040">
        <f>_xll.ICEHistory(S$4,V$5,"DF[dow:12345][tl:Calendar]",$L1040)</f>
        <v>7.415</v>
      </c>
      <c r="W1040">
        <f>_xll.ICEHistory(S$4,W$5,"DF[dow:12345][tl:Calendar]",$L1040)</f>
        <v>209</v>
      </c>
      <c r="X1040">
        <f t="shared" si="48"/>
        <v>4.0301318267419971E-2</v>
      </c>
      <c r="Y1040">
        <f t="shared" si="49"/>
        <v>0.42048956710711055</v>
      </c>
      <c r="Z1040">
        <f t="shared" si="50"/>
        <v>-0.79827687166547301</v>
      </c>
    </row>
    <row r="1041" spans="12:26" x14ac:dyDescent="0.25">
      <c r="L1041" s="4">
        <f>_xll.ICETimeline(_xll.ICEJoinRange(M4:W4),"DF[dow:12345][tl:Calendar]","2020-07-26;2024-07-26",10,-1)</f>
        <v>44053.5</v>
      </c>
      <c r="M1041">
        <f>_xll.ICEHistory(M$4,M$5,"DF[dow:12345][tl:Calendar]",$L1041)</f>
        <v>26.55</v>
      </c>
      <c r="N1041">
        <f>_xll.ICEHistory(M$4,N$5,"DF[dow:12345][tl:Calendar]",$L1041)</f>
        <v>27.3</v>
      </c>
      <c r="O1041">
        <f>_xll.ICEHistory(M$4,O$5,"DF[dow:12345][tl:Calendar]",$L1041)</f>
        <v>26.29</v>
      </c>
      <c r="P1041">
        <f>_xll.ICEHistory(M$4,P$5,"DF[dow:12345][tl:Calendar]",$L1041)</f>
        <v>26.71</v>
      </c>
      <c r="Q1041">
        <f>_xll.ICEHistory(M$4,Q$5,"DF[dow:12345][tl:Calendar]",$L1041)</f>
        <v>16855</v>
      </c>
      <c r="R1041">
        <f>_xll.ICEHistory(M$4,R$5,"DF[dow:12345][tl:Calendar]",$L1041)</f>
        <v>418235</v>
      </c>
      <c r="S1041">
        <f>_xll.ICEHistory(S$4,S$5,"DF[dow:12345][tl:Calendar]",$L1041)</f>
        <v>8.2799999999999994</v>
      </c>
      <c r="T1041">
        <f>_xll.ICEHistory(S$4,T$5,"DF[dow:12345][tl:Calendar]",$L1041)</f>
        <v>8.2799999999999994</v>
      </c>
      <c r="U1041">
        <f>_xll.ICEHistory(S$4,U$5,"DF[dow:12345][tl:Calendar]",$L1041)</f>
        <v>7.59</v>
      </c>
      <c r="V1041">
        <f>_xll.ICEHistory(S$4,V$5,"DF[dow:12345][tl:Calendar]",$L1041)</f>
        <v>7.59</v>
      </c>
      <c r="W1041">
        <f>_xll.ICEHistory(S$4,W$5,"DF[dow:12345][tl:Calendar]",$L1041)</f>
        <v>65</v>
      </c>
      <c r="X1041">
        <f t="shared" si="48"/>
        <v>3.833017077798867E-2</v>
      </c>
      <c r="Y1041">
        <f t="shared" si="49"/>
        <v>0.21705905343264065</v>
      </c>
      <c r="Z1041">
        <f t="shared" si="50"/>
        <v>-0.3900199871430417</v>
      </c>
    </row>
    <row r="1042" spans="12:26" x14ac:dyDescent="0.25">
      <c r="L1042" s="4">
        <f>_xll.ICETimeline(_xll.ICEJoinRange(M4:W4),"DF[dow:12345][tl:Calendar]","2020-07-26;2024-07-26",9,-1)</f>
        <v>44050.5</v>
      </c>
      <c r="M1042">
        <f>_xll.ICEHistory(M$4,M$5,"DF[dow:12345][tl:Calendar]",$L1042)</f>
        <v>26.35</v>
      </c>
      <c r="N1042">
        <f>_xll.ICEHistory(M$4,N$5,"DF[dow:12345][tl:Calendar]",$L1042)</f>
        <v>26.75</v>
      </c>
      <c r="O1042">
        <f>_xll.ICEHistory(M$4,O$5,"DF[dow:12345][tl:Calendar]",$L1042)</f>
        <v>25.95</v>
      </c>
      <c r="P1042">
        <f>_xll.ICEHistory(M$4,P$5,"DF[dow:12345][tl:Calendar]",$L1042)</f>
        <v>26.42</v>
      </c>
      <c r="Q1042">
        <f>_xll.ICEHistory(M$4,Q$5,"DF[dow:12345][tl:Calendar]",$L1042)</f>
        <v>13518</v>
      </c>
      <c r="R1042">
        <f>_xll.ICEHistory(M$4,R$5,"DF[dow:12345][tl:Calendar]",$L1042)</f>
        <v>420074</v>
      </c>
      <c r="S1042">
        <f>_xll.ICEHistory(S$4,S$5,"DF[dow:12345][tl:Calendar]",$L1042)</f>
        <v>7.55</v>
      </c>
      <c r="T1042">
        <f>_xll.ICEHistory(S$4,T$5,"DF[dow:12345][tl:Calendar]",$L1042)</f>
        <v>8.3000000000000007</v>
      </c>
      <c r="U1042">
        <f>_xll.ICEHistory(S$4,U$5,"DF[dow:12345][tl:Calendar]",$L1042)</f>
        <v>7.55</v>
      </c>
      <c r="V1042">
        <f>_xll.ICEHistory(S$4,V$5,"DF[dow:12345][tl:Calendar]",$L1042)</f>
        <v>7.93</v>
      </c>
      <c r="W1042">
        <f>_xll.ICEHistory(S$4,W$5,"DF[dow:12345][tl:Calendar]",$L1042)</f>
        <v>107</v>
      </c>
      <c r="X1042">
        <f t="shared" si="48"/>
        <v>2.997377294866994E-2</v>
      </c>
      <c r="Y1042">
        <f t="shared" si="49"/>
        <v>-0.67818768504267724</v>
      </c>
      <c r="Z1042">
        <f t="shared" si="50"/>
        <v>-1.1709689945801156</v>
      </c>
    </row>
    <row r="1043" spans="12:26" x14ac:dyDescent="0.25">
      <c r="L1043" s="4">
        <f>_xll.ICETimeline(_xll.ICEJoinRange(M4:W4),"DF[dow:12345][tl:Calendar]","2020-07-26;2024-07-26",8,-1)</f>
        <v>44049.5</v>
      </c>
      <c r="M1043">
        <f>_xll.ICEHistory(M$4,M$5,"DF[dow:12345][tl:Calendar]",$L1043)</f>
        <v>26.69</v>
      </c>
      <c r="N1043">
        <f>_xll.ICEHistory(M$4,N$5,"DF[dow:12345][tl:Calendar]",$L1043)</f>
        <v>27.44</v>
      </c>
      <c r="O1043">
        <f>_xll.ICEHistory(M$4,O$5,"DF[dow:12345][tl:Calendar]",$L1043)</f>
        <v>26.26</v>
      </c>
      <c r="P1043">
        <f>_xll.ICEHistory(M$4,P$5,"DF[dow:12345][tl:Calendar]",$L1043)</f>
        <v>26.39</v>
      </c>
      <c r="Q1043">
        <f>_xll.ICEHistory(M$4,Q$5,"DF[dow:12345][tl:Calendar]",$L1043)</f>
        <v>19548</v>
      </c>
      <c r="R1043">
        <f>_xll.ICEHistory(M$4,R$5,"DF[dow:12345][tl:Calendar]",$L1043)</f>
        <v>420002</v>
      </c>
      <c r="S1043">
        <f>_xll.ICEHistory(S$4,S$5,"DF[dow:12345][tl:Calendar]",$L1043)</f>
        <v>7.75</v>
      </c>
      <c r="T1043">
        <f>_xll.ICEHistory(S$4,T$5,"DF[dow:12345][tl:Calendar]",$L1043)</f>
        <v>7.95</v>
      </c>
      <c r="U1043">
        <f>_xll.ICEHistory(S$4,U$5,"DF[dow:12345][tl:Calendar]",$L1043)</f>
        <v>7.75</v>
      </c>
      <c r="V1043">
        <f>_xll.ICEHistory(S$4,V$5,"DF[dow:12345][tl:Calendar]",$L1043)</f>
        <v>7.94</v>
      </c>
      <c r="W1043">
        <f>_xll.ICEHistory(S$4,W$5,"DF[dow:12345][tl:Calendar]",$L1043)</f>
        <v>48</v>
      </c>
      <c r="X1043">
        <f t="shared" si="48"/>
        <v>4.4112149532710268E-2</v>
      </c>
      <c r="Y1043">
        <f t="shared" si="49"/>
        <v>0.7450651294091416</v>
      </c>
      <c r="Z1043">
        <f t="shared" si="50"/>
        <v>7.570124938002E-2</v>
      </c>
    </row>
    <row r="1044" spans="12:26" x14ac:dyDescent="0.25">
      <c r="L1044" s="4">
        <f>_xll.ICETimeline(_xll.ICEJoinRange(M4:W4),"DF[dow:12345][tl:Calendar]","2020-07-26;2024-07-26",7,-1)</f>
        <v>44048.5</v>
      </c>
      <c r="M1044">
        <f>_xll.ICEHistory(M$4,M$5,"DF[dow:12345][tl:Calendar]",$L1044)</f>
        <v>26.75</v>
      </c>
      <c r="N1044">
        <f>_xll.ICEHistory(M$4,N$5,"DF[dow:12345][tl:Calendar]",$L1044)</f>
        <v>26.94</v>
      </c>
      <c r="O1044">
        <f>_xll.ICEHistory(M$4,O$5,"DF[dow:12345][tl:Calendar]",$L1044)</f>
        <v>26.5</v>
      </c>
      <c r="P1044">
        <f>_xll.ICEHistory(M$4,P$5,"DF[dow:12345][tl:Calendar]",$L1044)</f>
        <v>26.77</v>
      </c>
      <c r="Q1044">
        <f>_xll.ICEHistory(M$4,Q$5,"DF[dow:12345][tl:Calendar]",$L1044)</f>
        <v>14073</v>
      </c>
      <c r="R1044">
        <f>_xll.ICEHistory(M$4,R$5,"DF[dow:12345][tl:Calendar]",$L1044)</f>
        <v>419975</v>
      </c>
      <c r="S1044">
        <f>_xll.ICEHistory(S$4,S$5,"DF[dow:12345][tl:Calendar]",$L1044)</f>
        <v>7.37</v>
      </c>
      <c r="T1044">
        <f>_xll.ICEHistory(S$4,T$5,"DF[dow:12345][tl:Calendar]",$L1044)</f>
        <v>7.4050000000000002</v>
      </c>
      <c r="U1044">
        <f>_xll.ICEHistory(S$4,U$5,"DF[dow:12345][tl:Calendar]",$L1044)</f>
        <v>7.28</v>
      </c>
      <c r="V1044">
        <f>_xll.ICEHistory(S$4,V$5,"DF[dow:12345][tl:Calendar]",$L1044)</f>
        <v>7.32</v>
      </c>
      <c r="W1044">
        <f>_xll.ICEHistory(S$4,W$5,"DF[dow:12345][tl:Calendar]",$L1044)</f>
        <v>228</v>
      </c>
      <c r="X1044">
        <f t="shared" si="48"/>
        <v>1.6679302501895425E-2</v>
      </c>
      <c r="Y1044">
        <f t="shared" si="49"/>
        <v>-1.9669678001669941</v>
      </c>
      <c r="Z1044">
        <f t="shared" si="50"/>
        <v>-1.1281485703102299</v>
      </c>
    </row>
    <row r="1045" spans="12:26" x14ac:dyDescent="0.25">
      <c r="L1045" s="4">
        <f>_xll.ICETimeline(_xll.ICEJoinRange(M4:W4),"DF[dow:12345][tl:Calendar]","2020-07-26;2024-07-26",6,-1)</f>
        <v>44047.5</v>
      </c>
      <c r="M1045">
        <f>_xll.ICEHistory(M$4,M$5,"DF[dow:12345][tl:Calendar]",$L1045)</f>
        <v>26.38</v>
      </c>
      <c r="N1045">
        <f>_xll.ICEHistory(M$4,N$5,"DF[dow:12345][tl:Calendar]",$L1045)</f>
        <v>26.9</v>
      </c>
      <c r="O1045">
        <f>_xll.ICEHistory(M$4,O$5,"DF[dow:12345][tl:Calendar]",$L1045)</f>
        <v>26.05</v>
      </c>
      <c r="P1045">
        <f>_xll.ICEHistory(M$4,P$5,"DF[dow:12345][tl:Calendar]",$L1045)</f>
        <v>26.83</v>
      </c>
      <c r="Q1045">
        <f>_xll.ICEHistory(M$4,Q$5,"DF[dow:12345][tl:Calendar]",$L1045)</f>
        <v>14916</v>
      </c>
      <c r="R1045">
        <f>_xll.ICEHistory(M$4,R$5,"DF[dow:12345][tl:Calendar]",$L1045)</f>
        <v>418789</v>
      </c>
      <c r="S1045">
        <f>_xll.ICEHistory(S$4,S$5,"DF[dow:12345][tl:Calendar]",$L1045)</f>
        <v>7.1849999999999996</v>
      </c>
      <c r="T1045">
        <f>_xll.ICEHistory(S$4,T$5,"DF[dow:12345][tl:Calendar]",$L1045)</f>
        <v>7.4249999999999998</v>
      </c>
      <c r="U1045">
        <f>_xll.ICEHistory(S$4,U$5,"DF[dow:12345][tl:Calendar]",$L1045)</f>
        <v>7.13</v>
      </c>
      <c r="V1045">
        <f>_xll.ICEHistory(S$4,V$5,"DF[dow:12345][tl:Calendar]",$L1045)</f>
        <v>7.3550000000000004</v>
      </c>
      <c r="W1045">
        <f>_xll.ICEHistory(S$4,W$5,"DF[dow:12345][tl:Calendar]",$L1045)</f>
        <v>565</v>
      </c>
      <c r="X1045">
        <f t="shared" si="48"/>
        <v>3.2343987823439793E-2</v>
      </c>
      <c r="Y1045">
        <f t="shared" si="49"/>
        <v>-1.2831327252174245</v>
      </c>
      <c r="Z1045">
        <f t="shared" si="50"/>
        <v>-1.1476650584343886</v>
      </c>
    </row>
    <row r="1046" spans="12:26" x14ac:dyDescent="0.25">
      <c r="L1046" s="4">
        <f>_xll.ICETimeline(_xll.ICEJoinRange(M4:W4),"DF[dow:12345][tl:Calendar]","2020-07-26;2024-07-26",5,-1)</f>
        <v>44046.5</v>
      </c>
      <c r="M1046">
        <f>_xll.ICEHistory(M$4,M$5,"DF[dow:12345][tl:Calendar]",$L1046)</f>
        <v>26.28</v>
      </c>
      <c r="N1046">
        <f>_xll.ICEHistory(M$4,N$5,"DF[dow:12345][tl:Calendar]",$L1046)</f>
        <v>26.5</v>
      </c>
      <c r="O1046">
        <f>_xll.ICEHistory(M$4,O$5,"DF[dow:12345][tl:Calendar]",$L1046)</f>
        <v>25.52</v>
      </c>
      <c r="P1046">
        <f>_xll.ICEHistory(M$4,P$5,"DF[dow:12345][tl:Calendar]",$L1046)</f>
        <v>26.13</v>
      </c>
      <c r="Q1046">
        <f>_xll.ICEHistory(M$4,Q$5,"DF[dow:12345][tl:Calendar]",$L1046)</f>
        <v>13782</v>
      </c>
      <c r="R1046">
        <f>_xll.ICEHistory(M$4,R$5,"DF[dow:12345][tl:Calendar]",$L1046)</f>
        <v>418370</v>
      </c>
      <c r="S1046">
        <f>_xll.ICEHistory(S$4,S$5,"DF[dow:12345][tl:Calendar]",$L1046)</f>
        <v>6.33</v>
      </c>
      <c r="T1046">
        <f>_xll.ICEHistory(S$4,T$5,"DF[dow:12345][tl:Calendar]",$L1046)</f>
        <v>7</v>
      </c>
      <c r="U1046">
        <f>_xll.ICEHistory(S$4,U$5,"DF[dow:12345][tl:Calendar]",$L1046)</f>
        <v>6.33</v>
      </c>
      <c r="V1046">
        <f>_xll.ICEHistory(S$4,V$5,"DF[dow:12345][tl:Calendar]",$L1046)</f>
        <v>6.8</v>
      </c>
      <c r="W1046">
        <f>_xll.ICEHistory(S$4,W$5,"DF[dow:12345][tl:Calendar]",$L1046)</f>
        <v>255</v>
      </c>
      <c r="X1046">
        <f t="shared" si="48"/>
        <v>3.8371182458888035E-2</v>
      </c>
      <c r="Y1046">
        <f t="shared" si="49"/>
        <v>-0.47607238380570333</v>
      </c>
      <c r="Z1046">
        <f t="shared" si="50"/>
        <v>-1.6925771428227572</v>
      </c>
    </row>
    <row r="1047" spans="12:26" x14ac:dyDescent="0.25">
      <c r="L1047" s="4">
        <f>_xll.ICETimeline(_xll.ICEJoinRange(M4:W4),"DF[dow:12345][tl:Calendar]","2020-07-26;2024-07-26",4,-1)</f>
        <v>44043.5</v>
      </c>
      <c r="M1047">
        <f>_xll.ICEHistory(M$4,M$5,"DF[dow:12345][tl:Calendar]",$L1047)</f>
        <v>25.54</v>
      </c>
      <c r="N1047">
        <f>_xll.ICEHistory(M$4,N$5,"DF[dow:12345][tl:Calendar]",$L1047)</f>
        <v>26.72</v>
      </c>
      <c r="O1047">
        <f>_xll.ICEHistory(M$4,O$5,"DF[dow:12345][tl:Calendar]",$L1047)</f>
        <v>25.52</v>
      </c>
      <c r="P1047">
        <f>_xll.ICEHistory(M$4,P$5,"DF[dow:12345][tl:Calendar]",$L1047)</f>
        <v>26.28</v>
      </c>
      <c r="Q1047">
        <f>_xll.ICEHistory(M$4,Q$5,"DF[dow:12345][tl:Calendar]",$L1047)</f>
        <v>19339</v>
      </c>
      <c r="R1047">
        <f>_xll.ICEHistory(M$4,R$5,"DF[dow:12345][tl:Calendar]",$L1047)</f>
        <v>418737</v>
      </c>
      <c r="S1047">
        <f>_xll.ICEHistory(S$4,S$5,"DF[dow:12345][tl:Calendar]",$L1047)</f>
        <v>6</v>
      </c>
      <c r="T1047">
        <f>_xll.ICEHistory(S$4,T$5,"DF[dow:12345][tl:Calendar]",$L1047)</f>
        <v>6.0250000000000004</v>
      </c>
      <c r="U1047">
        <f>_xll.ICEHistory(S$4,U$5,"DF[dow:12345][tl:Calendar]",$L1047)</f>
        <v>6</v>
      </c>
      <c r="V1047">
        <f>_xll.ICEHistory(S$4,V$5,"DF[dow:12345][tl:Calendar]",$L1047)</f>
        <v>6.0250000000000004</v>
      </c>
      <c r="W1047">
        <f>_xll.ICEHistory(S$4,W$5,"DF[dow:12345][tl:Calendar]",$L1047)</f>
        <v>30</v>
      </c>
      <c r="X1047">
        <f t="shared" si="48"/>
        <v>4.5644731837200428E-2</v>
      </c>
      <c r="Y1047">
        <f t="shared" si="49"/>
        <v>0.86912075520746224</v>
      </c>
      <c r="Z1047">
        <f t="shared" si="50"/>
        <v>-1.0903681701902874</v>
      </c>
    </row>
    <row r="1048" spans="12:26" x14ac:dyDescent="0.25">
      <c r="L1048" s="4">
        <f>_xll.ICETimeline(_xll.ICEJoinRange(M4:W4),"DF[dow:12345][tl:Calendar]","2020-07-26;2024-07-26",3,-1)</f>
        <v>44042.5</v>
      </c>
      <c r="M1048">
        <f>_xll.ICEHistory(M$4,M$5,"DF[dow:12345][tl:Calendar]",$L1048)</f>
        <v>26.29</v>
      </c>
      <c r="N1048">
        <f>_xll.ICEHistory(M$4,N$5,"DF[dow:12345][tl:Calendar]",$L1048)</f>
        <v>26.3</v>
      </c>
      <c r="O1048">
        <f>_xll.ICEHistory(M$4,O$5,"DF[dow:12345][tl:Calendar]",$L1048)</f>
        <v>25.13</v>
      </c>
      <c r="P1048">
        <f>_xll.ICEHistory(M$4,P$5,"DF[dow:12345][tl:Calendar]",$L1048)</f>
        <v>25.54</v>
      </c>
      <c r="Q1048">
        <f>_xll.ICEHistory(M$4,Q$5,"DF[dow:12345][tl:Calendar]",$L1048)</f>
        <v>21236</v>
      </c>
      <c r="R1048">
        <f>_xll.ICEHistory(M$4,R$5,"DF[dow:12345][tl:Calendar]",$L1048)</f>
        <v>418966</v>
      </c>
      <c r="S1048">
        <f>_xll.ICEHistory(S$4,S$5,"DF[dow:12345][tl:Calendar]",$L1048)</f>
        <v>5.19</v>
      </c>
      <c r="T1048">
        <f>_xll.ICEHistory(S$4,T$5,"DF[dow:12345][tl:Calendar]",$L1048)</f>
        <v>5.43</v>
      </c>
      <c r="U1048">
        <f>_xll.ICEHistory(S$4,U$5,"DF[dow:12345][tl:Calendar]",$L1048)</f>
        <v>5.13</v>
      </c>
      <c r="V1048">
        <f>_xll.ICEHistory(S$4,V$5,"DF[dow:12345][tl:Calendar]",$L1048)</f>
        <v>5.2249999999999996</v>
      </c>
      <c r="W1048">
        <f>_xll.ICEHistory(S$4,W$5,"DF[dow:12345][tl:Calendar]",$L1048)</f>
        <v>0</v>
      </c>
      <c r="X1048">
        <f t="shared" si="48"/>
        <v>4.5366421093447143E-2</v>
      </c>
      <c r="Y1048">
        <f t="shared" si="49"/>
        <v>1.107098644511588</v>
      </c>
      <c r="Z1048">
        <f t="shared" si="50"/>
        <v>-0.68353754260765864</v>
      </c>
    </row>
    <row r="1049" spans="12:26" x14ac:dyDescent="0.25">
      <c r="L1049" s="4">
        <f>_xll.ICETimeline(_xll.ICEJoinRange(M4:W4),"DF[dow:12345][tl:Calendar]","2020-07-26;2024-07-26",2,-1)</f>
        <v>44041.5</v>
      </c>
      <c r="M1049">
        <f>_xll.ICEHistory(M$4,M$5,"DF[dow:12345][tl:Calendar]",$L1049)</f>
        <v>25.79</v>
      </c>
      <c r="N1049">
        <f>_xll.ICEHistory(M$4,N$5,"DF[dow:12345][tl:Calendar]",$L1049)</f>
        <v>26.36</v>
      </c>
      <c r="O1049">
        <f>_xll.ICEHistory(M$4,O$5,"DF[dow:12345][tl:Calendar]",$L1049)</f>
        <v>25.4</v>
      </c>
      <c r="P1049">
        <f>_xll.ICEHistory(M$4,P$5,"DF[dow:12345][tl:Calendar]",$L1049)</f>
        <v>26.19</v>
      </c>
      <c r="Q1049">
        <f>_xll.ICEHistory(M$4,Q$5,"DF[dow:12345][tl:Calendar]",$L1049)</f>
        <v>21813</v>
      </c>
      <c r="R1049">
        <f>_xll.ICEHistory(M$4,R$5,"DF[dow:12345][tl:Calendar]",$L1049)</f>
        <v>417230</v>
      </c>
      <c r="S1049">
        <f>_xll.ICEHistory(S$4,S$5,"DF[dow:12345][tl:Calendar]",$L1049)</f>
        <v>5.15</v>
      </c>
      <c r="T1049">
        <f>_xll.ICEHistory(S$4,T$5,"DF[dow:12345][tl:Calendar]",$L1049)</f>
        <v>5.22</v>
      </c>
      <c r="U1049">
        <f>_xll.ICEHistory(S$4,U$5,"DF[dow:12345][tl:Calendar]",$L1049)</f>
        <v>5.0549999999999997</v>
      </c>
      <c r="V1049">
        <f>_xll.ICEHistory(S$4,V$5,"DF[dow:12345][tl:Calendar]",$L1049)</f>
        <v>5.1749999999999998</v>
      </c>
      <c r="W1049">
        <f>_xll.ICEHistory(S$4,W$5,"DF[dow:12345][tl:Calendar]",$L1049)</f>
        <v>1078</v>
      </c>
      <c r="X1049">
        <f t="shared" si="48"/>
        <v>3.8247011952191268E-2</v>
      </c>
      <c r="Y1049">
        <f t="shared" si="49"/>
        <v>0.70710678118654746</v>
      </c>
      <c r="Z1049">
        <f t="shared" si="50"/>
        <v>-0.61128131423065279</v>
      </c>
    </row>
    <row r="1050" spans="12:26" x14ac:dyDescent="0.25">
      <c r="L1050" s="4">
        <f>_xll.ICETimeline(_xll.ICEJoinRange(M4:W4),"DF[dow:12345][tl:Calendar]","2020-07-26;2024-07-26",1,-1)</f>
        <v>44040.5</v>
      </c>
      <c r="M1050">
        <f>_xll.ICEHistory(M$4,M$5,"DF[dow:12345][tl:Calendar]",$L1050)</f>
        <v>25.1</v>
      </c>
      <c r="N1050">
        <f>_xll.ICEHistory(M$4,N$5,"DF[dow:12345][tl:Calendar]",$L1050)</f>
        <v>25.91</v>
      </c>
      <c r="O1050">
        <f>_xll.ICEHistory(M$4,O$5,"DF[dow:12345][tl:Calendar]",$L1050)</f>
        <v>24.98</v>
      </c>
      <c r="P1050">
        <f>_xll.ICEHistory(M$4,P$5,"DF[dow:12345][tl:Calendar]",$L1050)</f>
        <v>25.74</v>
      </c>
      <c r="Q1050">
        <f>_xll.ICEHistory(M$4,Q$5,"DF[dow:12345][tl:Calendar]",$L1050)</f>
        <v>21989</v>
      </c>
      <c r="R1050">
        <f>_xll.ICEHistory(M$4,R$5,"DF[dow:12345][tl:Calendar]",$L1050)</f>
        <v>416584</v>
      </c>
      <c r="S1050">
        <f>_xll.ICEHistory(S$4,S$5,"DF[dow:12345][tl:Calendar]",$L1050)</f>
        <v>4.7750000000000004</v>
      </c>
      <c r="T1050">
        <f>_xll.ICEHistory(S$4,T$5,"DF[dow:12345][tl:Calendar]",$L1050)</f>
        <v>4.9749999999999996</v>
      </c>
      <c r="U1050">
        <f>_xll.ICEHistory(S$4,U$5,"DF[dow:12345][tl:Calendar]",$L1050)</f>
        <v>4.7750000000000004</v>
      </c>
      <c r="V1050">
        <f>_xll.ICEHistory(S$4,V$5,"DF[dow:12345][tl:Calendar]",$L1050)</f>
        <v>4.96</v>
      </c>
      <c r="W1050">
        <f>_xll.ICEHistory(S$4,W$5,"DF[dow:12345][tl:Calendar]",$L1050)</f>
        <v>181</v>
      </c>
      <c r="X1050">
        <f t="shared" si="48"/>
        <v>3.5307517084282453E-2</v>
      </c>
      <c r="Y1050" t="str">
        <f t="shared" si="49"/>
        <v/>
      </c>
      <c r="Z1050">
        <f t="shared" si="50"/>
        <v>-0.70710678118654757</v>
      </c>
    </row>
    <row r="1051" spans="12:26" x14ac:dyDescent="0.25">
      <c r="L1051" s="4">
        <f>_xll.ICETimeline(_xll.ICEJoinRange(M4:W4),"DF[dow:12345][tl:Calendar]","2020-07-26;2024-07-26",0,-1)</f>
        <v>44039.5</v>
      </c>
      <c r="M1051">
        <f>_xll.ICEHistory(M$4,M$5,"DF[dow:12345][tl:Calendar]",$L1051)</f>
        <v>26.34</v>
      </c>
      <c r="N1051">
        <f>_xll.ICEHistory(M$4,N$5,"DF[dow:12345][tl:Calendar]",$L1051)</f>
        <v>26.53</v>
      </c>
      <c r="O1051">
        <f>_xll.ICEHistory(M$4,O$5,"DF[dow:12345][tl:Calendar]",$L1051)</f>
        <v>24.82</v>
      </c>
      <c r="P1051">
        <f>_xll.ICEHistory(M$4,P$5,"DF[dow:12345][tl:Calendar]",$L1051)</f>
        <v>25.01</v>
      </c>
      <c r="Q1051">
        <f>_xll.ICEHistory(M$4,Q$5,"DF[dow:12345][tl:Calendar]",$L1051)</f>
        <v>26346</v>
      </c>
      <c r="R1051">
        <f>_xll.ICEHistory(M$4,R$5,"DF[dow:12345][tl:Calendar]",$L1051)</f>
        <v>416970</v>
      </c>
      <c r="S1051">
        <f>_xll.ICEHistory(S$4,S$5,"DF[dow:12345][tl:Calendar]",$L1051)</f>
        <v>4.95</v>
      </c>
      <c r="T1051">
        <f>_xll.ICEHistory(S$4,T$5,"DF[dow:12345][tl:Calendar]",$L1051)</f>
        <v>5.01</v>
      </c>
      <c r="U1051">
        <f>_xll.ICEHistory(S$4,U$5,"DF[dow:12345][tl:Calendar]",$L1051)</f>
        <v>4.7850000000000001</v>
      </c>
      <c r="V1051">
        <f>_xll.ICEHistory(S$4,V$5,"DF[dow:12345][tl:Calendar]",$L1051)</f>
        <v>4.7850000000000001</v>
      </c>
      <c r="W1051">
        <f>_xll.ICEHistory(S$4,W$5,"DF[dow:12345][tl:Calendar]",$L1051)</f>
        <v>224</v>
      </c>
    </row>
  </sheetData>
  <mergeCells count="4">
    <mergeCell ref="A4:E4"/>
    <mergeCell ref="G4:K4"/>
    <mergeCell ref="M4:R4"/>
    <mergeCell ref="S4:W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3C66D-E0AC-47AF-889F-35A89426BECC}">
  <dimension ref="A1:AT1051"/>
  <sheetViews>
    <sheetView workbookViewId="0">
      <selection sqref="A1:Z1048576"/>
    </sheetView>
  </sheetViews>
  <sheetFormatPr defaultRowHeight="15" x14ac:dyDescent="0.25"/>
  <cols>
    <col min="1" max="1" width="19.5703125" customWidth="1"/>
    <col min="2" max="2" width="12.5703125" bestFit="1" customWidth="1"/>
    <col min="3" max="6" width="9.140625" bestFit="1" customWidth="1"/>
    <col min="7" max="7" width="17.85546875" bestFit="1" customWidth="1"/>
    <col min="8" max="8" width="10.5703125" bestFit="1" customWidth="1"/>
    <col min="9" max="9" width="9.140625" customWidth="1"/>
    <col min="10" max="11" width="9.140625" bestFit="1" customWidth="1"/>
    <col min="12" max="12" width="13" bestFit="1" customWidth="1"/>
    <col min="13" max="13" width="24.7109375" bestFit="1" customWidth="1"/>
    <col min="28" max="28" width="9.5703125" bestFit="1" customWidth="1"/>
    <col min="29" max="29" width="11.7109375" bestFit="1" customWidth="1"/>
    <col min="30" max="30" width="9.5703125" bestFit="1" customWidth="1"/>
    <col min="31" max="31" width="10.28515625" style="76" bestFit="1" customWidth="1"/>
    <col min="32" max="32" width="11.7109375" style="76" bestFit="1" customWidth="1"/>
    <col min="33" max="33" width="10.28515625" style="76" bestFit="1" customWidth="1"/>
    <col min="35" max="35" width="10.5703125" customWidth="1"/>
    <col min="36" max="36" width="14.28515625" style="38" customWidth="1"/>
    <col min="37" max="37" width="8.85546875" style="38"/>
    <col min="38" max="38" width="17.28515625" style="38" customWidth="1"/>
    <col min="41" max="41" width="10" style="5" customWidth="1"/>
    <col min="42" max="42" width="10.28515625" customWidth="1"/>
  </cols>
  <sheetData>
    <row r="1" spans="1:46" x14ac:dyDescent="0.25">
      <c r="A1" t="s">
        <v>25</v>
      </c>
      <c r="B1" t="s">
        <v>444</v>
      </c>
    </row>
    <row r="2" spans="1:46" x14ac:dyDescent="0.25">
      <c r="A2" s="1" t="s">
        <v>445</v>
      </c>
      <c r="B2" s="1" t="s">
        <v>2</v>
      </c>
      <c r="E2" s="1"/>
      <c r="F2" s="1"/>
      <c r="G2" s="1"/>
      <c r="H2" s="1"/>
      <c r="I2" s="1"/>
    </row>
    <row r="3" spans="1:46" x14ac:dyDescent="0.25">
      <c r="A3" t="s">
        <v>461</v>
      </c>
      <c r="B3" s="3">
        <v>0</v>
      </c>
    </row>
    <row r="4" spans="1:46" x14ac:dyDescent="0.25">
      <c r="A4" s="1" t="s">
        <v>446</v>
      </c>
      <c r="B4" s="1"/>
      <c r="C4" s="1"/>
      <c r="D4" s="1"/>
      <c r="E4" s="1"/>
      <c r="F4" s="1"/>
      <c r="G4" s="1" t="s">
        <v>447</v>
      </c>
      <c r="H4" s="1"/>
      <c r="I4" s="1"/>
      <c r="J4" s="1"/>
      <c r="K4" s="1"/>
      <c r="L4" t="s">
        <v>462</v>
      </c>
      <c r="M4" t="s">
        <v>448</v>
      </c>
      <c r="S4" t="s">
        <v>449</v>
      </c>
      <c r="AI4" t="s">
        <v>463</v>
      </c>
      <c r="AJ4" s="76">
        <f>SUM(H6:H205)</f>
        <v>52731</v>
      </c>
    </row>
    <row r="5" spans="1:46" x14ac:dyDescent="0.25">
      <c r="A5" s="1" t="s">
        <v>445</v>
      </c>
      <c r="B5" s="1" t="s">
        <v>450</v>
      </c>
      <c r="C5" s="1" t="s">
        <v>451</v>
      </c>
      <c r="D5" s="1" t="s">
        <v>452</v>
      </c>
      <c r="E5" s="1" t="s">
        <v>453</v>
      </c>
      <c r="F5" s="1" t="s">
        <v>451</v>
      </c>
      <c r="G5" s="1" t="s">
        <v>445</v>
      </c>
      <c r="H5" s="1" t="s">
        <v>450</v>
      </c>
      <c r="I5" s="1" t="s">
        <v>451</v>
      </c>
      <c r="J5" s="1" t="s">
        <v>452</v>
      </c>
      <c r="K5" s="1" t="s">
        <v>453</v>
      </c>
      <c r="M5" t="s">
        <v>454</v>
      </c>
      <c r="N5" t="s">
        <v>455</v>
      </c>
      <c r="O5" t="s">
        <v>456</v>
      </c>
      <c r="P5" t="s">
        <v>457</v>
      </c>
      <c r="Q5" t="s">
        <v>48</v>
      </c>
      <c r="R5" t="s">
        <v>450</v>
      </c>
      <c r="S5" t="s">
        <v>454</v>
      </c>
      <c r="T5" t="s">
        <v>455</v>
      </c>
      <c r="U5" t="s">
        <v>456</v>
      </c>
      <c r="V5" t="s">
        <v>457</v>
      </c>
      <c r="W5" t="s">
        <v>48</v>
      </c>
      <c r="X5" t="s">
        <v>458</v>
      </c>
      <c r="Y5" t="s">
        <v>459</v>
      </c>
      <c r="Z5" t="s">
        <v>460</v>
      </c>
      <c r="AB5" t="s">
        <v>77</v>
      </c>
      <c r="AC5" t="s">
        <v>78</v>
      </c>
      <c r="AD5" t="s">
        <v>79</v>
      </c>
      <c r="AE5" s="76" t="s">
        <v>77</v>
      </c>
      <c r="AF5" s="76" t="s">
        <v>78</v>
      </c>
      <c r="AG5" s="76" t="s">
        <v>79</v>
      </c>
      <c r="AI5" t="s">
        <v>464</v>
      </c>
      <c r="AJ5" s="76">
        <f>SUM(B6:B205)</f>
        <v>67202</v>
      </c>
      <c r="AN5" t="s">
        <v>80</v>
      </c>
      <c r="AO5" s="5" t="s">
        <v>465</v>
      </c>
      <c r="AP5" t="s">
        <v>466</v>
      </c>
      <c r="AR5" t="s">
        <v>77</v>
      </c>
      <c r="AS5" t="s">
        <v>78</v>
      </c>
      <c r="AT5" t="s">
        <v>79</v>
      </c>
    </row>
    <row r="6" spans="1:46" x14ac:dyDescent="0.25">
      <c r="A6" s="3" t="s">
        <v>467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 t="s">
        <v>467</v>
      </c>
      <c r="H6" s="3">
        <v>0</v>
      </c>
      <c r="I6" s="3">
        <v>0</v>
      </c>
      <c r="J6" s="3">
        <v>0</v>
      </c>
      <c r="K6" s="3">
        <v>0</v>
      </c>
      <c r="M6" t="s">
        <v>468</v>
      </c>
      <c r="S6" t="s">
        <v>469</v>
      </c>
      <c r="AI6" t="s">
        <v>470</v>
      </c>
      <c r="AJ6" s="76" cm="1">
        <f t="array" ref="AJ6">_xlfn._xlws.FILTER(C6:C205,B6:B205=MAX(B6:B205))</f>
        <v>90</v>
      </c>
    </row>
    <row r="7" spans="1:46" x14ac:dyDescent="0.25">
      <c r="A7" s="3" t="s">
        <v>467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 t="s">
        <v>467</v>
      </c>
      <c r="H7" s="3">
        <v>0</v>
      </c>
      <c r="I7" s="3">
        <v>0</v>
      </c>
      <c r="J7" s="3">
        <v>0</v>
      </c>
      <c r="K7" s="3">
        <v>0</v>
      </c>
      <c r="L7" s="4">
        <v>45499.5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AI7" t="s">
        <v>471</v>
      </c>
      <c r="AJ7" s="76" cm="1">
        <f t="array" ref="AJ7">_xlfn._xlws.FILTER(I6:I205,H6:H205=MAX(H6:H205))</f>
        <v>60</v>
      </c>
    </row>
    <row r="8" spans="1:46" x14ac:dyDescent="0.25">
      <c r="A8" s="3" t="s">
        <v>467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 t="s">
        <v>467</v>
      </c>
      <c r="H8" s="3">
        <v>0</v>
      </c>
      <c r="I8" s="3">
        <v>0</v>
      </c>
      <c r="J8" s="3">
        <v>0</v>
      </c>
      <c r="K8" s="3">
        <v>0</v>
      </c>
      <c r="L8" s="4">
        <v>45498.5</v>
      </c>
      <c r="M8">
        <v>68.91</v>
      </c>
      <c r="N8">
        <v>68.94</v>
      </c>
      <c r="O8">
        <v>66.599999999999994</v>
      </c>
      <c r="P8">
        <v>67.08</v>
      </c>
      <c r="Q8">
        <v>26935</v>
      </c>
      <c r="R8">
        <v>0</v>
      </c>
      <c r="S8">
        <v>32.380000000000003</v>
      </c>
      <c r="T8">
        <v>32.380000000000003</v>
      </c>
      <c r="U8">
        <v>31.69</v>
      </c>
      <c r="V8">
        <v>31.779</v>
      </c>
      <c r="W8">
        <v>745</v>
      </c>
      <c r="X8">
        <v>3.5567715458276382E-2</v>
      </c>
      <c r="Y8">
        <v>0.13117974834285365</v>
      </c>
      <c r="Z8">
        <v>5.3084849560616161E-2</v>
      </c>
      <c r="AB8" s="3">
        <f>AVERAGEA(X8:X28)-AVERAGE(X29:X49)</f>
        <v>1.0455817429415662E-4</v>
      </c>
      <c r="AC8" s="3">
        <f>AVERAGEA(X8:X28)-AVERAGE(X29:X84)</f>
        <v>-1.0631793636747846E-2</v>
      </c>
      <c r="AD8" s="3">
        <f>AVERAGEA(X8:X28)-AVERAGE(X29:X141)</f>
        <v>-1.3218967756188967E-2</v>
      </c>
      <c r="AE8" s="76">
        <f>AVERAGEA(Q8:Q28)-AVERAGE(Q29:Q49)</f>
        <v>-3656.2857142857138</v>
      </c>
      <c r="AF8" s="76">
        <f>AVERAGEA(Q8:Q28)-AVERAGE(Q29:Q84)</f>
        <v>-5382.4940476190459</v>
      </c>
      <c r="AG8" s="76">
        <f>AVERAGEA(Q8:Q28)-AVERAGE(Q29:Q141)</f>
        <v>-5841.2385166455933</v>
      </c>
      <c r="AI8" t="s">
        <v>472</v>
      </c>
      <c r="AJ8" s="38" cm="1">
        <f t="array" ref="AJ8">MIN(ABS(0.25-E6:E205))</f>
        <v>3.1458228605636962E-3</v>
      </c>
      <c r="AK8" s="38" cm="1">
        <f t="array" ref="AK8">_xlfn._xlws.FILTER(C6:C205,E6:E205=0.25+AJ8)</f>
        <v>73</v>
      </c>
      <c r="AL8" s="38" cm="1">
        <f t="array" ref="AL8">_xlfn._xlws.FILTER(D6:D205,C6:C205=AK8)</f>
        <v>0.29727806472456908</v>
      </c>
      <c r="AN8" cm="1">
        <f t="array" ref="AN8:AN264">_xlfn._xlws.FILTER(_xlfn.SORTBY(Q8:Q269,L8:L269),_xlfn.SORTBY(Q8:Q269,L8:L269)&gt;0)</f>
        <v>19189</v>
      </c>
      <c r="AO8" s="5">
        <f>IFERROR((O8-O9)/O9,"")</f>
        <v>1.6018306636155565E-2</v>
      </c>
      <c r="AP8" s="5">
        <f>_xlfn.STDEV.S(AO8:AO267)*SQRT(252)</f>
        <v>1.0335310933903152</v>
      </c>
      <c r="AR8" s="5">
        <f>IFERROR(AVERAGEA(AP8:AP28)-AVERAGE(AP29:AP49),"")</f>
        <v>-4.5731524682834923E-4</v>
      </c>
      <c r="AS8" s="5">
        <f>IFERROR(AVERAGEA(AP8:AP28)-AVERAGE(AP29:AP84),"")</f>
        <v>3.5183226758528363E-4</v>
      </c>
      <c r="AT8" s="5">
        <f>IFERROR(AVERAGEA(AP8:AP28)-AVERAGE(AP29:AP141),"")</f>
        <v>0.33530880932452978</v>
      </c>
    </row>
    <row r="9" spans="1:46" x14ac:dyDescent="0.25">
      <c r="A9" s="3" t="s">
        <v>467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 t="s">
        <v>467</v>
      </c>
      <c r="H9" s="3">
        <v>0</v>
      </c>
      <c r="I9" s="3">
        <v>0</v>
      </c>
      <c r="J9" s="3">
        <v>0</v>
      </c>
      <c r="K9" s="3">
        <v>0</v>
      </c>
      <c r="L9" s="4">
        <v>45497.5</v>
      </c>
      <c r="M9">
        <v>65.790000000000006</v>
      </c>
      <c r="N9">
        <v>69.040000000000006</v>
      </c>
      <c r="O9">
        <v>65.55</v>
      </c>
      <c r="P9">
        <v>68.900000000000006</v>
      </c>
      <c r="Q9">
        <v>32266</v>
      </c>
      <c r="R9">
        <v>372504</v>
      </c>
      <c r="S9">
        <v>31.524999999999999</v>
      </c>
      <c r="T9">
        <v>32.945</v>
      </c>
      <c r="U9">
        <v>31.52</v>
      </c>
      <c r="V9">
        <v>32.621000000000002</v>
      </c>
      <c r="W9">
        <v>655</v>
      </c>
      <c r="X9">
        <v>5.3916267572995655E-2</v>
      </c>
      <c r="Y9">
        <v>1.479550867060017</v>
      </c>
      <c r="Z9">
        <v>0.858740217384518</v>
      </c>
      <c r="AB9" s="3">
        <f t="shared" ref="AB9:AB72" si="0">AVERAGEA(X9:X29)-AVERAGE(X30:X50)</f>
        <v>2.9966601329161832E-4</v>
      </c>
      <c r="AC9" s="3">
        <f t="shared" ref="AC9:AC72" si="1">AVERAGEA(X9:X29)-AVERAGE(X30:X85)</f>
        <v>-1.0720292337030538E-2</v>
      </c>
      <c r="AD9" s="3">
        <f t="shared" ref="AD9:AD72" si="2">AVERAGEA(X9:X29)-AVERAGE(X30:X142)</f>
        <v>-1.3185328803182916E-2</v>
      </c>
      <c r="AE9" s="76">
        <f t="shared" ref="AE9:AE72" si="3">AVERAGEA(Q9:Q29)-AVERAGE(Q30:Q50)</f>
        <v>-3775.1428571428587</v>
      </c>
      <c r="AF9" s="76">
        <f t="shared" ref="AF9:AF72" si="4">AVERAGEA(Q9:Q29)-AVERAGE(Q30:Q85)</f>
        <v>-5702.4821428571449</v>
      </c>
      <c r="AG9" s="76">
        <f t="shared" ref="AG9:AG72" si="5">AVERAGEA(Q9:Q29)-AVERAGE(Q30:Q142)</f>
        <v>-5835.0417193426038</v>
      </c>
      <c r="AI9" t="s">
        <v>473</v>
      </c>
      <c r="AJ9" s="38" cm="1">
        <f t="array" ref="AJ9">MIN(ABS(-K6:K205-0.25))</f>
        <v>5.7474082689678296E-3</v>
      </c>
      <c r="AK9" s="38" cm="1">
        <f t="array" ref="AK9">_xlfn._xlws.FILTER(I6:I205,K6:K205=AJ9-0.25)</f>
        <v>61.5</v>
      </c>
      <c r="AL9" s="38" cm="1">
        <f t="array" ref="AL9">_xlfn._xlws.FILTER(J6:J205,I6:I205=AK9)</f>
        <v>0.32219942886595565</v>
      </c>
      <c r="AN9">
        <v>22478</v>
      </c>
      <c r="AO9" s="5">
        <f t="shared" ref="AO9:AO72" si="6">IFERROR((O9-O10)/O10,"")</f>
        <v>2.0074696545284654E-2</v>
      </c>
      <c r="AP9" s="5">
        <f t="shared" ref="AP9:AP72" si="7">_xlfn.STDEV.S(AO9:AO268)*SQRT(252)</f>
        <v>1.0333638215236962</v>
      </c>
      <c r="AR9" s="5">
        <f t="shared" ref="AR9:AR72" si="8">IFERROR(AVERAGEA(AP9:AP29)-AVERAGE(AP30:AP50),"")</f>
        <v>-6.1232661196242155E-4</v>
      </c>
      <c r="AS9" s="5">
        <f t="shared" ref="AS9:AS72" si="9">IFERROR(AVERAGEA(AP9:AP29)-AVERAGE(AP30:AP85),"")</f>
        <v>4.0138593596306116E-4</v>
      </c>
      <c r="AT9" s="5">
        <f t="shared" ref="AT9:AT72" si="10">IFERROR(AVERAGEA(AP9:AP29)-AVERAGE(AP30:AP142),"")</f>
        <v>0.34197197170807969</v>
      </c>
    </row>
    <row r="10" spans="1:46" x14ac:dyDescent="0.25">
      <c r="A10" s="3" t="s">
        <v>467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 t="s">
        <v>467</v>
      </c>
      <c r="H10" s="3">
        <v>0</v>
      </c>
      <c r="I10" s="3">
        <v>0</v>
      </c>
      <c r="J10" s="3">
        <v>0</v>
      </c>
      <c r="K10" s="3">
        <v>0</v>
      </c>
      <c r="L10" s="4">
        <v>45496.5</v>
      </c>
      <c r="M10">
        <v>64.73</v>
      </c>
      <c r="N10">
        <v>66.239999999999995</v>
      </c>
      <c r="O10">
        <v>64.260000000000005</v>
      </c>
      <c r="P10">
        <v>65.790000000000006</v>
      </c>
      <c r="Q10">
        <v>22544</v>
      </c>
      <c r="R10">
        <v>372909</v>
      </c>
      <c r="S10">
        <v>31.62</v>
      </c>
      <c r="T10">
        <v>31.83</v>
      </c>
      <c r="U10">
        <v>31.335000000000001</v>
      </c>
      <c r="V10">
        <v>31.622</v>
      </c>
      <c r="W10">
        <v>1115</v>
      </c>
      <c r="X10">
        <v>2.9873264936632313E-2</v>
      </c>
      <c r="Y10">
        <v>-0.30389638750600956</v>
      </c>
      <c r="Z10">
        <v>-0.62298314010140499</v>
      </c>
      <c r="AB10" s="3">
        <f t="shared" si="0"/>
        <v>-1.4994438565752097E-3</v>
      </c>
      <c r="AC10" s="3">
        <f t="shared" si="1"/>
        <v>-1.3370947534101642E-2</v>
      </c>
      <c r="AD10" s="3">
        <f t="shared" si="2"/>
        <v>-1.4966565047293861E-2</v>
      </c>
      <c r="AE10" s="76">
        <f t="shared" si="3"/>
        <v>-3432.5238095238092</v>
      </c>
      <c r="AF10" s="76">
        <f t="shared" si="4"/>
        <v>-6224.2321428571413</v>
      </c>
      <c r="AG10" s="76">
        <f t="shared" si="5"/>
        <v>-6122.0227560050553</v>
      </c>
      <c r="AI10" t="s">
        <v>474</v>
      </c>
      <c r="AJ10" s="38" cm="1">
        <f t="array" ref="AJ10">MIN(ABS(F6:F205-P8))</f>
        <v>7.9999999999998295E-2</v>
      </c>
      <c r="AK10" s="38">
        <f>P8+AJ10</f>
        <v>67.16</v>
      </c>
      <c r="AL10" s="38" t="e" cm="1" vm="1">
        <f t="array" ref="AL10">_xlfn._xlws.FILTER(J6:J205,I6:I205=AK10)</f>
        <v>#VALUE!</v>
      </c>
      <c r="AN10">
        <v>18254</v>
      </c>
      <c r="AO10" s="5">
        <f t="shared" si="6"/>
        <v>3.1133250311348435E-4</v>
      </c>
      <c r="AP10" s="5">
        <f t="shared" si="7"/>
        <v>1.0330792269219993</v>
      </c>
      <c r="AR10" s="5">
        <f t="shared" si="8"/>
        <v>-7.5390182782952841E-4</v>
      </c>
      <c r="AS10" s="5">
        <f t="shared" si="9"/>
        <v>4.8981028035433027E-4</v>
      </c>
      <c r="AT10" s="5">
        <f t="shared" si="10"/>
        <v>0.34865187942763132</v>
      </c>
    </row>
    <row r="11" spans="1:46" x14ac:dyDescent="0.25">
      <c r="A11" s="3" t="s">
        <v>467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 t="s">
        <v>467</v>
      </c>
      <c r="H11" s="3">
        <v>0</v>
      </c>
      <c r="I11" s="3">
        <v>0</v>
      </c>
      <c r="J11" s="3">
        <v>0</v>
      </c>
      <c r="K11" s="3">
        <v>0</v>
      </c>
      <c r="L11" s="4">
        <v>45495.5</v>
      </c>
      <c r="M11">
        <v>66.28</v>
      </c>
      <c r="N11">
        <v>66.790000000000006</v>
      </c>
      <c r="O11">
        <v>64.239999999999995</v>
      </c>
      <c r="P11">
        <v>64.790000000000006</v>
      </c>
      <c r="Q11">
        <v>29834</v>
      </c>
      <c r="R11">
        <v>372152</v>
      </c>
      <c r="S11">
        <v>31.8</v>
      </c>
      <c r="T11">
        <v>31.95</v>
      </c>
      <c r="U11">
        <v>31.195</v>
      </c>
      <c r="V11">
        <v>31.838999999999999</v>
      </c>
      <c r="W11">
        <v>347</v>
      </c>
      <c r="X11">
        <v>3.8432554634514116E-2</v>
      </c>
      <c r="Y11">
        <v>0.34646740368361312</v>
      </c>
      <c r="Z11">
        <v>0.45664093487834351</v>
      </c>
      <c r="AB11" s="3">
        <f t="shared" si="0"/>
        <v>-2.9587741443123164E-3</v>
      </c>
      <c r="AC11" s="3">
        <f t="shared" si="1"/>
        <v>-1.4504617862355625E-2</v>
      </c>
      <c r="AD11" s="3">
        <f t="shared" si="2"/>
        <v>-1.5790795800809197E-2</v>
      </c>
      <c r="AE11" s="76">
        <f t="shared" si="3"/>
        <v>-2591.1904761904771</v>
      </c>
      <c r="AF11" s="76">
        <f t="shared" si="4"/>
        <v>-5763.8154761904771</v>
      </c>
      <c r="AG11" s="76">
        <f t="shared" si="5"/>
        <v>-5662.1626632954067</v>
      </c>
      <c r="AN11">
        <v>21269</v>
      </c>
      <c r="AO11" s="5">
        <f t="shared" si="6"/>
        <v>-2.2519780888618442E-2</v>
      </c>
      <c r="AP11" s="5">
        <f t="shared" si="7"/>
        <v>1.0331264191360447</v>
      </c>
      <c r="AR11" s="5">
        <f t="shared" si="8"/>
        <v>-8.6967753542221971E-4</v>
      </c>
      <c r="AS11" s="5">
        <f t="shared" si="9"/>
        <v>5.9958025170248064E-4</v>
      </c>
      <c r="AT11" s="5">
        <f t="shared" si="10"/>
        <v>0.35528592371342627</v>
      </c>
    </row>
    <row r="12" spans="1:46" x14ac:dyDescent="0.25">
      <c r="A12" s="3" t="s">
        <v>475</v>
      </c>
      <c r="B12" s="3">
        <v>0</v>
      </c>
      <c r="C12" s="3">
        <v>20</v>
      </c>
      <c r="D12" s="3">
        <v>1.4347321114028768</v>
      </c>
      <c r="E12" s="3">
        <v>0.98687979099603018</v>
      </c>
      <c r="F12" s="3">
        <v>20</v>
      </c>
      <c r="G12" s="3" t="s">
        <v>476</v>
      </c>
      <c r="H12" s="3">
        <v>0</v>
      </c>
      <c r="I12" s="3">
        <v>20</v>
      </c>
      <c r="J12" s="3">
        <v>0.85482774430532482</v>
      </c>
      <c r="K12" s="3">
        <v>-1.5885261885892037E-4</v>
      </c>
      <c r="L12" s="4">
        <v>45492.5</v>
      </c>
      <c r="M12">
        <v>66.349999999999994</v>
      </c>
      <c r="N12">
        <v>67.489999999999995</v>
      </c>
      <c r="O12">
        <v>65.72</v>
      </c>
      <c r="P12">
        <v>66</v>
      </c>
      <c r="Q12">
        <v>17152</v>
      </c>
      <c r="R12">
        <v>368656</v>
      </c>
      <c r="S12">
        <v>32.53</v>
      </c>
      <c r="T12">
        <v>32.53</v>
      </c>
      <c r="U12">
        <v>31.725000000000001</v>
      </c>
      <c r="V12">
        <v>32.17</v>
      </c>
      <c r="W12">
        <v>223</v>
      </c>
      <c r="X12">
        <v>2.6644588288423841E-2</v>
      </c>
      <c r="Y12">
        <v>-0.53613796801162017</v>
      </c>
      <c r="Z12">
        <v>-1.4618528816980871</v>
      </c>
      <c r="AB12" s="3">
        <f t="shared" si="0"/>
        <v>-4.2735166763272284E-3</v>
      </c>
      <c r="AC12" s="3">
        <f t="shared" si="1"/>
        <v>-1.550767763978109E-2</v>
      </c>
      <c r="AD12" s="3">
        <f t="shared" si="2"/>
        <v>-1.6669364281804707E-2</v>
      </c>
      <c r="AE12" s="76">
        <f t="shared" si="3"/>
        <v>-2866.5714285714275</v>
      </c>
      <c r="AF12" s="76">
        <f t="shared" si="4"/>
        <v>-5799.3154761904771</v>
      </c>
      <c r="AG12" s="76">
        <f t="shared" si="5"/>
        <v>-5718.3750526759359</v>
      </c>
      <c r="AN12">
        <v>24646</v>
      </c>
      <c r="AO12" s="5">
        <f t="shared" si="6"/>
        <v>-4.393273746402155E-3</v>
      </c>
      <c r="AP12" s="5">
        <f t="shared" si="7"/>
        <v>1.0330012837843616</v>
      </c>
      <c r="AR12" s="5">
        <f t="shared" si="8"/>
        <v>-9.7469309361630785E-4</v>
      </c>
      <c r="AS12" s="5">
        <f t="shared" si="9"/>
        <v>7.1679560931126041E-4</v>
      </c>
      <c r="AT12" s="5">
        <f t="shared" si="10"/>
        <v>0.36193346520116521</v>
      </c>
    </row>
    <row r="13" spans="1:46" x14ac:dyDescent="0.25">
      <c r="A13" s="3" t="s">
        <v>477</v>
      </c>
      <c r="B13" s="3">
        <v>0</v>
      </c>
      <c r="C13" s="3">
        <v>20.5</v>
      </c>
      <c r="D13" s="3">
        <v>1.40453527432629</v>
      </c>
      <c r="E13" s="3">
        <v>0.98674829813280107</v>
      </c>
      <c r="F13" s="3">
        <v>20.5</v>
      </c>
      <c r="G13" s="3" t="s">
        <v>478</v>
      </c>
      <c r="H13" s="3">
        <v>0</v>
      </c>
      <c r="I13" s="3">
        <v>20.5</v>
      </c>
      <c r="J13" s="3">
        <v>0.83778094700784389</v>
      </c>
      <c r="K13" s="3">
        <v>-1.6216291237606775E-4</v>
      </c>
      <c r="L13" s="4">
        <v>45491.5</v>
      </c>
      <c r="M13">
        <v>66.430000000000007</v>
      </c>
      <c r="N13">
        <v>66.98</v>
      </c>
      <c r="O13">
        <v>66.010000000000005</v>
      </c>
      <c r="P13">
        <v>66.11</v>
      </c>
      <c r="Q13">
        <v>20688</v>
      </c>
      <c r="R13">
        <v>367825</v>
      </c>
      <c r="S13">
        <v>31.84</v>
      </c>
      <c r="T13">
        <v>32.755000000000003</v>
      </c>
      <c r="U13">
        <v>31.82</v>
      </c>
      <c r="V13">
        <v>32.673999999999999</v>
      </c>
      <c r="W13">
        <v>199</v>
      </c>
      <c r="X13">
        <v>1.4262608439935286E-2</v>
      </c>
      <c r="Y13">
        <v>-1.431922492810821</v>
      </c>
      <c r="Z13">
        <v>-0.96750328710298228</v>
      </c>
      <c r="AB13" s="3">
        <f t="shared" si="0"/>
        <v>-3.2998724202513117E-3</v>
      </c>
      <c r="AC13" s="3">
        <f t="shared" si="1"/>
        <v>-1.5104404868028276E-2</v>
      </c>
      <c r="AD13" s="3">
        <f t="shared" si="2"/>
        <v>-1.6226215738744797E-2</v>
      </c>
      <c r="AE13" s="76">
        <f t="shared" si="3"/>
        <v>-2668.5238095238092</v>
      </c>
      <c r="AF13" s="76">
        <f t="shared" si="4"/>
        <v>-5436.3928571428587</v>
      </c>
      <c r="AG13" s="76">
        <f t="shared" si="5"/>
        <v>-5330.077117572695</v>
      </c>
      <c r="AN13">
        <v>25616</v>
      </c>
      <c r="AO13" s="5">
        <f t="shared" si="6"/>
        <v>-6.0231892787229561E-3</v>
      </c>
      <c r="AP13" s="5">
        <f t="shared" si="7"/>
        <v>1.0332377961135848</v>
      </c>
      <c r="AR13" s="5">
        <f t="shared" si="8"/>
        <v>-1.0865889430362596E-3</v>
      </c>
      <c r="AS13" s="5">
        <f t="shared" si="9"/>
        <v>8.3430651014282375E-4</v>
      </c>
      <c r="AT13" s="5">
        <f t="shared" si="10"/>
        <v>0.36858442416848147</v>
      </c>
    </row>
    <row r="14" spans="1:46" x14ac:dyDescent="0.25">
      <c r="A14" s="3" t="s">
        <v>479</v>
      </c>
      <c r="B14" s="3">
        <v>0</v>
      </c>
      <c r="C14" s="3">
        <v>21</v>
      </c>
      <c r="D14" s="3">
        <v>1.3751166026201467</v>
      </c>
      <c r="E14" s="3">
        <v>0.98661811134637578</v>
      </c>
      <c r="F14" s="3">
        <v>21</v>
      </c>
      <c r="G14" s="3" t="s">
        <v>480</v>
      </c>
      <c r="H14" s="3">
        <v>0</v>
      </c>
      <c r="I14" s="3">
        <v>21</v>
      </c>
      <c r="J14" s="3">
        <v>0.82115202303517731</v>
      </c>
      <c r="K14" s="3">
        <v>-1.6552045984601486E-4</v>
      </c>
      <c r="L14" s="4">
        <v>45490.5</v>
      </c>
      <c r="M14">
        <v>68.010000000000005</v>
      </c>
      <c r="N14">
        <v>68.13</v>
      </c>
      <c r="O14">
        <v>66.41</v>
      </c>
      <c r="P14">
        <v>66.42</v>
      </c>
      <c r="Q14">
        <v>26377</v>
      </c>
      <c r="R14">
        <v>366585</v>
      </c>
      <c r="S14">
        <v>32.905000000000001</v>
      </c>
      <c r="T14">
        <v>33.25</v>
      </c>
      <c r="U14">
        <v>31.6</v>
      </c>
      <c r="V14">
        <v>31.893000000000001</v>
      </c>
      <c r="W14">
        <v>751</v>
      </c>
      <c r="X14">
        <v>2.5350036845983772E-2</v>
      </c>
      <c r="Y14">
        <v>-0.69062391417119451</v>
      </c>
      <c r="Z14">
        <v>-0.16844354439576326</v>
      </c>
      <c r="AB14" s="3">
        <f t="shared" si="0"/>
        <v>-3.163853270877176E-3</v>
      </c>
      <c r="AC14" s="3">
        <f t="shared" si="1"/>
        <v>-1.4320110304796432E-2</v>
      </c>
      <c r="AD14" s="3">
        <f t="shared" si="2"/>
        <v>-1.5593102097089837E-2</v>
      </c>
      <c r="AE14" s="76">
        <f t="shared" si="3"/>
        <v>-2608.6666666666679</v>
      </c>
      <c r="AF14" s="76">
        <f t="shared" si="4"/>
        <v>-5150.7440476190495</v>
      </c>
      <c r="AG14" s="76">
        <f t="shared" si="5"/>
        <v>-4997.5153813737888</v>
      </c>
      <c r="AN14">
        <v>17738</v>
      </c>
      <c r="AO14" s="5">
        <f t="shared" si="6"/>
        <v>-1.1167361524717093E-2</v>
      </c>
      <c r="AP14" s="5">
        <f t="shared" si="7"/>
        <v>1.0335116935842343</v>
      </c>
      <c r="AR14" s="5">
        <f t="shared" si="8"/>
        <v>-1.170726978432679E-3</v>
      </c>
      <c r="AS14" s="5">
        <f t="shared" si="9"/>
        <v>9.5015787141949914E-4</v>
      </c>
      <c r="AT14" s="5">
        <f t="shared" si="10"/>
        <v>0.37522732184870677</v>
      </c>
    </row>
    <row r="15" spans="1:46" x14ac:dyDescent="0.25">
      <c r="A15" s="3" t="s">
        <v>481</v>
      </c>
      <c r="B15" s="3">
        <v>0</v>
      </c>
      <c r="C15" s="3">
        <v>21.5</v>
      </c>
      <c r="D15" s="3">
        <v>1.3464371996532813</v>
      </c>
      <c r="E15" s="3">
        <v>0.98648918166686983</v>
      </c>
      <c r="F15" s="3">
        <v>21.5</v>
      </c>
      <c r="G15" s="3" t="s">
        <v>482</v>
      </c>
      <c r="H15" s="3">
        <v>0</v>
      </c>
      <c r="I15" s="3">
        <v>21.5</v>
      </c>
      <c r="J15" s="3">
        <v>0.80492052994334651</v>
      </c>
      <c r="K15" s="3">
        <v>-1.6892704418539287E-4</v>
      </c>
      <c r="L15" s="4">
        <v>45489.5</v>
      </c>
      <c r="M15">
        <v>67.849999999999994</v>
      </c>
      <c r="N15">
        <v>68.3</v>
      </c>
      <c r="O15">
        <v>67.16</v>
      </c>
      <c r="P15">
        <v>67.94</v>
      </c>
      <c r="Q15">
        <v>21284</v>
      </c>
      <c r="R15">
        <v>363416</v>
      </c>
      <c r="S15">
        <v>31.495000000000001</v>
      </c>
      <c r="T15">
        <v>33.020000000000003</v>
      </c>
      <c r="U15">
        <v>31.495000000000001</v>
      </c>
      <c r="V15">
        <v>32.796999999999997</v>
      </c>
      <c r="W15">
        <v>386</v>
      </c>
      <c r="X15">
        <v>1.6384018396090841E-2</v>
      </c>
      <c r="Y15">
        <v>-1.3070294977214623</v>
      </c>
      <c r="Z15">
        <v>-0.90156934876112615</v>
      </c>
      <c r="AB15" s="3">
        <f t="shared" si="0"/>
        <v>-4.8641238486161718E-3</v>
      </c>
      <c r="AC15" s="3">
        <f t="shared" si="1"/>
        <v>-1.404793618171676E-2</v>
      </c>
      <c r="AD15" s="3">
        <f t="shared" si="2"/>
        <v>-1.5942938553116955E-2</v>
      </c>
      <c r="AE15" s="76">
        <f t="shared" si="3"/>
        <v>-2025.8571428571449</v>
      </c>
      <c r="AF15" s="76">
        <f t="shared" si="4"/>
        <v>-3974.0238095238092</v>
      </c>
      <c r="AG15" s="76">
        <f t="shared" si="5"/>
        <v>-4421.8259587020657</v>
      </c>
      <c r="AN15">
        <v>12874</v>
      </c>
      <c r="AO15" s="5">
        <f t="shared" si="6"/>
        <v>1.0433745714710564E-3</v>
      </c>
      <c r="AP15" s="5">
        <f t="shared" si="7"/>
        <v>1.0335865145840633</v>
      </c>
      <c r="AR15" s="5">
        <f t="shared" si="8"/>
        <v>-1.2371453802706434E-3</v>
      </c>
      <c r="AS15" s="5">
        <f t="shared" si="9"/>
        <v>1.0830587750321197E-3</v>
      </c>
      <c r="AT15" s="5">
        <f t="shared" si="10"/>
        <v>0.38187951443619639</v>
      </c>
    </row>
    <row r="16" spans="1:46" x14ac:dyDescent="0.25">
      <c r="A16" s="3" t="s">
        <v>483</v>
      </c>
      <c r="B16" s="3">
        <v>0</v>
      </c>
      <c r="C16" s="3">
        <v>22</v>
      </c>
      <c r="D16" s="3">
        <v>1.3184609870643273</v>
      </c>
      <c r="E16" s="3">
        <v>0.98636146309854511</v>
      </c>
      <c r="F16" s="3">
        <v>22</v>
      </c>
      <c r="G16" s="3" t="s">
        <v>484</v>
      </c>
      <c r="H16" s="3">
        <v>0</v>
      </c>
      <c r="I16" s="3">
        <v>22</v>
      </c>
      <c r="J16" s="3">
        <v>0.78906778902240893</v>
      </c>
      <c r="K16" s="3">
        <v>-1.7238536361987151E-4</v>
      </c>
      <c r="L16" s="4">
        <v>45488.5</v>
      </c>
      <c r="M16">
        <v>69.58</v>
      </c>
      <c r="N16">
        <v>69.58</v>
      </c>
      <c r="O16">
        <v>67.09</v>
      </c>
      <c r="P16">
        <v>67.58</v>
      </c>
      <c r="Q16">
        <v>27595</v>
      </c>
      <c r="R16">
        <v>363566</v>
      </c>
      <c r="S16">
        <v>31.86</v>
      </c>
      <c r="T16">
        <v>31.93</v>
      </c>
      <c r="U16">
        <v>31.074999999999999</v>
      </c>
      <c r="V16">
        <v>31.370999999999999</v>
      </c>
      <c r="W16">
        <v>796</v>
      </c>
      <c r="X16">
        <v>3.6339754816112013E-2</v>
      </c>
      <c r="Y16">
        <v>-2.4698112717155645E-2</v>
      </c>
      <c r="Z16">
        <v>-5.9426953125606988E-2</v>
      </c>
      <c r="AB16" s="3">
        <f t="shared" si="0"/>
        <v>-4.5925450274311129E-3</v>
      </c>
      <c r="AC16" s="3">
        <f t="shared" si="1"/>
        <v>-1.3620069650687596E-2</v>
      </c>
      <c r="AD16" s="3">
        <f t="shared" si="2"/>
        <v>-1.5732744487814605E-2</v>
      </c>
      <c r="AE16" s="76">
        <f t="shared" si="3"/>
        <v>-1577.1904761904734</v>
      </c>
      <c r="AF16" s="76">
        <f t="shared" si="4"/>
        <v>-3241.8214285714275</v>
      </c>
      <c r="AG16" s="76">
        <f t="shared" si="5"/>
        <v>-4139.1201011377998</v>
      </c>
      <c r="AN16">
        <v>15288</v>
      </c>
      <c r="AO16" s="5">
        <f t="shared" si="6"/>
        <v>-8.8639385433593489E-3</v>
      </c>
      <c r="AP16" s="5">
        <f t="shared" si="7"/>
        <v>1.033701401670974</v>
      </c>
      <c r="AR16" s="5">
        <f t="shared" si="8"/>
        <v>-1.2604837884664377E-3</v>
      </c>
      <c r="AS16" s="5">
        <f t="shared" si="9"/>
        <v>1.4402415399890511E-2</v>
      </c>
      <c r="AT16" s="5">
        <f t="shared" si="10"/>
        <v>0.38857175268824895</v>
      </c>
    </row>
    <row r="17" spans="1:46" x14ac:dyDescent="0.25">
      <c r="A17" s="3" t="s">
        <v>485</v>
      </c>
      <c r="B17" s="3">
        <v>0</v>
      </c>
      <c r="C17" s="3">
        <v>22.5</v>
      </c>
      <c r="D17" s="3">
        <v>1.291154440601709</v>
      </c>
      <c r="E17" s="3">
        <v>0.98623491237435312</v>
      </c>
      <c r="F17" s="3">
        <v>22.5</v>
      </c>
      <c r="G17" s="3" t="s">
        <v>486</v>
      </c>
      <c r="H17" s="3">
        <v>0</v>
      </c>
      <c r="I17" s="3">
        <v>22.5</v>
      </c>
      <c r="J17" s="3">
        <v>0.77357611918148672</v>
      </c>
      <c r="K17" s="3">
        <v>-1.7589741873597054E-4</v>
      </c>
      <c r="L17" s="4">
        <v>45485.5</v>
      </c>
      <c r="M17">
        <v>68.52</v>
      </c>
      <c r="N17">
        <v>69.53</v>
      </c>
      <c r="O17">
        <v>67.69</v>
      </c>
      <c r="P17">
        <v>69.349999999999994</v>
      </c>
      <c r="Q17">
        <v>19468</v>
      </c>
      <c r="R17">
        <v>362207</v>
      </c>
      <c r="S17">
        <v>31.27</v>
      </c>
      <c r="T17">
        <v>32.284999999999997</v>
      </c>
      <c r="U17">
        <v>30.92</v>
      </c>
      <c r="V17">
        <v>31.719000000000001</v>
      </c>
      <c r="W17">
        <v>899</v>
      </c>
      <c r="X17">
        <v>2.6999266324284715E-2</v>
      </c>
      <c r="Y17">
        <v>-0.63367120367691721</v>
      </c>
      <c r="Z17">
        <v>-1.1381211744288009</v>
      </c>
      <c r="AB17" s="3">
        <f t="shared" si="0"/>
        <v>-3.9951756357027961E-3</v>
      </c>
      <c r="AC17" s="3">
        <f t="shared" si="1"/>
        <v>-1.307413870534509E-2</v>
      </c>
      <c r="AD17" s="3">
        <f t="shared" si="2"/>
        <v>-1.5317700881244168E-2</v>
      </c>
      <c r="AE17" s="76">
        <f t="shared" si="3"/>
        <v>-318.57142857142753</v>
      </c>
      <c r="AF17" s="76">
        <f t="shared" si="4"/>
        <v>-2342.7142857142862</v>
      </c>
      <c r="AG17" s="76">
        <f t="shared" si="5"/>
        <v>-3372.7130214917815</v>
      </c>
      <c r="AN17">
        <v>19288</v>
      </c>
      <c r="AO17" s="5">
        <f t="shared" si="6"/>
        <v>1.3313609467456126E-3</v>
      </c>
      <c r="AP17" s="5">
        <f t="shared" si="7"/>
        <v>1.0336964200951613</v>
      </c>
      <c r="AR17" s="5">
        <f t="shared" si="8"/>
        <v>-1.2948338994518416E-3</v>
      </c>
      <c r="AS17" s="5">
        <f t="shared" si="9"/>
        <v>2.7709578118785272E-2</v>
      </c>
      <c r="AT17" s="5">
        <f t="shared" si="10"/>
        <v>0.39526291787940449</v>
      </c>
    </row>
    <row r="18" spans="1:46" x14ac:dyDescent="0.25">
      <c r="A18" s="3" t="s">
        <v>487</v>
      </c>
      <c r="B18" s="3">
        <v>0</v>
      </c>
      <c r="C18" s="3">
        <v>23</v>
      </c>
      <c r="D18" s="3">
        <v>1.2644863560735704</v>
      </c>
      <c r="E18" s="3">
        <v>0.9861094887357803</v>
      </c>
      <c r="F18" s="3">
        <v>23</v>
      </c>
      <c r="G18" s="3" t="s">
        <v>488</v>
      </c>
      <c r="H18" s="3">
        <v>0</v>
      </c>
      <c r="I18" s="3">
        <v>23</v>
      </c>
      <c r="J18" s="3">
        <v>0.7584291788736035</v>
      </c>
      <c r="K18" s="3">
        <v>-1.7946570445872987E-4</v>
      </c>
      <c r="L18" s="4">
        <v>45484.5</v>
      </c>
      <c r="M18">
        <v>68.150000000000006</v>
      </c>
      <c r="N18">
        <v>68.83</v>
      </c>
      <c r="O18">
        <v>67.599999999999994</v>
      </c>
      <c r="P18">
        <v>68.52</v>
      </c>
      <c r="Q18">
        <v>21974</v>
      </c>
      <c r="R18">
        <v>363359</v>
      </c>
      <c r="S18">
        <v>30.85</v>
      </c>
      <c r="T18">
        <v>31.405000000000001</v>
      </c>
      <c r="U18">
        <v>30.405000000000001</v>
      </c>
      <c r="V18">
        <v>31.111999999999998</v>
      </c>
      <c r="W18">
        <v>849</v>
      </c>
      <c r="X18">
        <v>1.7914360617535742E-2</v>
      </c>
      <c r="Y18">
        <v>-1.2406186773699095</v>
      </c>
      <c r="Z18">
        <v>-0.827511929013522</v>
      </c>
      <c r="AB18" s="3">
        <f t="shared" si="0"/>
        <v>-4.8531755953226778E-3</v>
      </c>
      <c r="AC18" s="3">
        <f t="shared" si="1"/>
        <v>-1.3405985285231053E-2</v>
      </c>
      <c r="AD18" s="3">
        <f t="shared" si="2"/>
        <v>-1.5737604879607531E-2</v>
      </c>
      <c r="AE18" s="76">
        <f t="shared" si="3"/>
        <v>-62.142857142858702</v>
      </c>
      <c r="AF18" s="76">
        <f t="shared" si="4"/>
        <v>-2188.0595238095266</v>
      </c>
      <c r="AG18" s="76">
        <f t="shared" si="5"/>
        <v>-3103.1331647703337</v>
      </c>
      <c r="AN18">
        <v>18243</v>
      </c>
      <c r="AO18" s="5">
        <f t="shared" si="6"/>
        <v>-3.8314176245211481E-3</v>
      </c>
      <c r="AP18" s="5">
        <f t="shared" si="7"/>
        <v>1.0337306403869082</v>
      </c>
      <c r="AR18" s="5">
        <f t="shared" si="8"/>
        <v>-1.3591691874037526E-3</v>
      </c>
      <c r="AS18" s="5">
        <f t="shared" si="9"/>
        <v>4.0997919501511881E-2</v>
      </c>
      <c r="AT18" s="5">
        <f t="shared" si="10"/>
        <v>0.40191483038333176</v>
      </c>
    </row>
    <row r="19" spans="1:46" x14ac:dyDescent="0.25">
      <c r="A19" s="3" t="s">
        <v>489</v>
      </c>
      <c r="B19" s="3">
        <v>0</v>
      </c>
      <c r="C19" s="3">
        <v>23.5</v>
      </c>
      <c r="D19" s="3">
        <v>1.2384276413937394</v>
      </c>
      <c r="E19" s="3">
        <v>0.9859851537348816</v>
      </c>
      <c r="F19" s="3">
        <v>23.5</v>
      </c>
      <c r="G19" s="3" t="s">
        <v>490</v>
      </c>
      <c r="H19" s="3">
        <v>0</v>
      </c>
      <c r="I19" s="3">
        <v>23.5</v>
      </c>
      <c r="J19" s="3">
        <v>0.74361162379986134</v>
      </c>
      <c r="K19" s="3">
        <v>-1.8309257516940287E-4</v>
      </c>
      <c r="L19" s="4">
        <v>45483.5</v>
      </c>
      <c r="M19">
        <v>68.66</v>
      </c>
      <c r="N19">
        <v>69.430000000000007</v>
      </c>
      <c r="O19">
        <v>67.86</v>
      </c>
      <c r="P19">
        <v>67.959999999999994</v>
      </c>
      <c r="Q19">
        <v>20101</v>
      </c>
      <c r="R19">
        <v>363609</v>
      </c>
      <c r="S19">
        <v>31.25</v>
      </c>
      <c r="T19">
        <v>31.695</v>
      </c>
      <c r="U19">
        <v>30.635000000000002</v>
      </c>
      <c r="V19">
        <v>30.783999999999999</v>
      </c>
      <c r="W19">
        <v>1395</v>
      </c>
      <c r="X19">
        <v>2.2760220353725824E-2</v>
      </c>
      <c r="Y19">
        <v>-0.92123669169581102</v>
      </c>
      <c r="Z19">
        <v>-1.068672012292506</v>
      </c>
      <c r="AB19" s="3">
        <f t="shared" si="0"/>
        <v>-4.7127714710935471E-3</v>
      </c>
      <c r="AC19" s="3">
        <f t="shared" si="1"/>
        <v>-1.3578713616487114E-2</v>
      </c>
      <c r="AD19" s="3">
        <f t="shared" si="2"/>
        <v>-1.5268869419882699E-2</v>
      </c>
      <c r="AE19" s="76">
        <f t="shared" si="3"/>
        <v>116.23809523809541</v>
      </c>
      <c r="AF19" s="76">
        <f t="shared" si="4"/>
        <v>-2431.7261904761908</v>
      </c>
      <c r="AG19" s="76">
        <f t="shared" si="5"/>
        <v>-2952.8567214496434</v>
      </c>
      <c r="AN19">
        <v>14140</v>
      </c>
      <c r="AO19" s="5">
        <f t="shared" si="6"/>
        <v>-3.6705329613859932E-3</v>
      </c>
      <c r="AP19" s="5">
        <f t="shared" si="7"/>
        <v>1.0337305087602333</v>
      </c>
      <c r="AR19" s="5">
        <f t="shared" si="8"/>
        <v>-1.4131610752212698E-3</v>
      </c>
      <c r="AS19" s="5">
        <f t="shared" si="9"/>
        <v>5.4291395621988925E-2</v>
      </c>
      <c r="AT19" s="5">
        <f t="shared" si="10"/>
        <v>0.40860420206550951</v>
      </c>
    </row>
    <row r="20" spans="1:46" x14ac:dyDescent="0.25">
      <c r="A20" s="3" t="s">
        <v>491</v>
      </c>
      <c r="B20" s="3">
        <v>0</v>
      </c>
      <c r="C20" s="3">
        <v>24</v>
      </c>
      <c r="D20" s="3">
        <v>1.2129511313186745</v>
      </c>
      <c r="E20" s="3">
        <v>0.98586187105584944</v>
      </c>
      <c r="F20" s="3">
        <v>24</v>
      </c>
      <c r="G20" s="3" t="s">
        <v>492</v>
      </c>
      <c r="H20" s="3">
        <v>0</v>
      </c>
      <c r="I20" s="3">
        <v>24</v>
      </c>
      <c r="J20" s="3">
        <v>0.72910921026681574</v>
      </c>
      <c r="K20" s="3">
        <v>-1.867808271118972E-4</v>
      </c>
      <c r="L20" s="4">
        <v>45482.5</v>
      </c>
      <c r="M20">
        <v>68.98</v>
      </c>
      <c r="N20">
        <v>69.2</v>
      </c>
      <c r="O20">
        <v>68.11</v>
      </c>
      <c r="P20">
        <v>68.52</v>
      </c>
      <c r="Q20">
        <v>20433</v>
      </c>
      <c r="R20">
        <v>362325</v>
      </c>
      <c r="S20">
        <v>32.174999999999997</v>
      </c>
      <c r="T20">
        <v>32.174999999999997</v>
      </c>
      <c r="U20">
        <v>30.95</v>
      </c>
      <c r="V20">
        <v>31.335000000000001</v>
      </c>
      <c r="W20">
        <v>1054</v>
      </c>
      <c r="X20">
        <v>1.5441280634650847E-2</v>
      </c>
      <c r="Y20">
        <v>-1.3786646134951441</v>
      </c>
      <c r="Z20">
        <v>-1.059951512529792</v>
      </c>
      <c r="AB20" s="3">
        <f t="shared" si="0"/>
        <v>-4.5250654069240795E-3</v>
      </c>
      <c r="AC20" s="3">
        <f t="shared" si="1"/>
        <v>-1.3706287684978682E-2</v>
      </c>
      <c r="AD20" s="3">
        <f t="shared" si="2"/>
        <v>-1.493004784628206E-2</v>
      </c>
      <c r="AE20" s="76">
        <f t="shared" si="3"/>
        <v>507.66666666666788</v>
      </c>
      <c r="AF20" s="76">
        <f t="shared" si="4"/>
        <v>-2112.3035714285725</v>
      </c>
      <c r="AG20" s="76">
        <f t="shared" si="5"/>
        <v>-2403.9051833122612</v>
      </c>
      <c r="AN20">
        <v>12534</v>
      </c>
      <c r="AO20" s="5">
        <f t="shared" si="6"/>
        <v>-1.0029069767441829E-2</v>
      </c>
      <c r="AP20" s="5">
        <f t="shared" si="7"/>
        <v>1.0337945189698761</v>
      </c>
      <c r="AR20" s="5">
        <f t="shared" si="8"/>
        <v>-1.4011853637745375E-3</v>
      </c>
      <c r="AS20" s="5">
        <f t="shared" si="9"/>
        <v>6.762915610829745E-2</v>
      </c>
      <c r="AT20" s="5">
        <f t="shared" si="10"/>
        <v>0.41533346378654923</v>
      </c>
    </row>
    <row r="21" spans="1:46" x14ac:dyDescent="0.25">
      <c r="A21" s="3" t="s">
        <v>493</v>
      </c>
      <c r="B21" s="3">
        <v>0</v>
      </c>
      <c r="C21" s="3">
        <v>24.5</v>
      </c>
      <c r="D21" s="3">
        <v>1.1880314219768964</v>
      </c>
      <c r="E21" s="3">
        <v>0.98573960635381153</v>
      </c>
      <c r="F21" s="3">
        <v>24.5</v>
      </c>
      <c r="G21" s="3" t="s">
        <v>494</v>
      </c>
      <c r="H21" s="3">
        <v>0</v>
      </c>
      <c r="I21" s="3">
        <v>24.5</v>
      </c>
      <c r="J21" s="3">
        <v>0.7149082256060959</v>
      </c>
      <c r="K21" s="3">
        <v>-1.9053217036695295E-4</v>
      </c>
      <c r="L21" s="4">
        <v>45481.5</v>
      </c>
      <c r="M21">
        <v>70.59</v>
      </c>
      <c r="N21">
        <v>71.849999999999994</v>
      </c>
      <c r="O21">
        <v>68.8</v>
      </c>
      <c r="P21">
        <v>69.040000000000006</v>
      </c>
      <c r="Q21">
        <v>29961</v>
      </c>
      <c r="R21">
        <v>361404</v>
      </c>
      <c r="S21">
        <v>33.195</v>
      </c>
      <c r="T21">
        <v>33.700000000000003</v>
      </c>
      <c r="U21">
        <v>32.049999999999997</v>
      </c>
      <c r="V21">
        <v>32.286000000000001</v>
      </c>
      <c r="W21">
        <v>1010</v>
      </c>
      <c r="X21">
        <v>4.3527900670757777E-2</v>
      </c>
      <c r="Y21">
        <v>0.26652299076669889</v>
      </c>
      <c r="Z21">
        <v>4.042701251531608E-2</v>
      </c>
      <c r="AB21" s="3">
        <f t="shared" si="0"/>
        <v>-5.5383195603356979E-3</v>
      </c>
      <c r="AC21" s="3">
        <f t="shared" si="1"/>
        <v>-1.3669136146049813E-2</v>
      </c>
      <c r="AD21" s="3">
        <f t="shared" si="2"/>
        <v>-1.4353639035344933E-2</v>
      </c>
      <c r="AE21" s="76">
        <f t="shared" si="3"/>
        <v>1300.8571428571449</v>
      </c>
      <c r="AF21" s="76">
        <f t="shared" si="4"/>
        <v>-1595.2202380952367</v>
      </c>
      <c r="AG21" s="76">
        <f t="shared" si="5"/>
        <v>-1754.4669195111674</v>
      </c>
      <c r="AN21">
        <v>14519</v>
      </c>
      <c r="AO21" s="5">
        <f t="shared" si="6"/>
        <v>-1.6299685444666867E-2</v>
      </c>
      <c r="AP21" s="5">
        <f t="shared" si="7"/>
        <v>1.0337793331772562</v>
      </c>
      <c r="AR21" s="5">
        <f t="shared" si="8"/>
        <v>-1.3488690267988712E-3</v>
      </c>
      <c r="AS21" s="5">
        <f t="shared" si="9"/>
        <v>8.1059871469718714E-2</v>
      </c>
      <c r="AT21" s="5">
        <f t="shared" si="10"/>
        <v>0.4220802720885799</v>
      </c>
    </row>
    <row r="22" spans="1:46" x14ac:dyDescent="0.25">
      <c r="A22" s="3" t="s">
        <v>495</v>
      </c>
      <c r="B22" s="3">
        <v>0</v>
      </c>
      <c r="C22" s="3">
        <v>25</v>
      </c>
      <c r="D22" s="3">
        <v>1.1636447227143021</v>
      </c>
      <c r="E22" s="3">
        <v>0.98561832710887132</v>
      </c>
      <c r="F22" s="3">
        <v>25</v>
      </c>
      <c r="G22" s="3" t="s">
        <v>496</v>
      </c>
      <c r="H22" s="3">
        <v>0</v>
      </c>
      <c r="I22" s="3">
        <v>25</v>
      </c>
      <c r="J22" s="3">
        <v>0.7009963402426852</v>
      </c>
      <c r="K22" s="3">
        <v>-1.9435017645025817E-4</v>
      </c>
      <c r="L22" s="4">
        <v>45478.5</v>
      </c>
      <c r="M22">
        <v>70.069999999999993</v>
      </c>
      <c r="N22">
        <v>71.239999999999995</v>
      </c>
      <c r="O22">
        <v>69.94</v>
      </c>
      <c r="P22">
        <v>70.349999999999994</v>
      </c>
      <c r="Q22">
        <v>16441</v>
      </c>
      <c r="R22">
        <v>359688</v>
      </c>
      <c r="S22">
        <v>32.505000000000003</v>
      </c>
      <c r="T22">
        <v>33.799999999999997</v>
      </c>
      <c r="U22">
        <v>32.414999999999999</v>
      </c>
      <c r="V22">
        <v>33.067</v>
      </c>
      <c r="W22">
        <v>790</v>
      </c>
      <c r="X22">
        <v>1.8374558303886887E-2</v>
      </c>
      <c r="Y22">
        <v>-1.2338838229530753</v>
      </c>
      <c r="Z22">
        <v>-1.5689163347527495</v>
      </c>
      <c r="AB22" s="3">
        <f t="shared" si="0"/>
        <v>-8.4254211632451559E-3</v>
      </c>
      <c r="AC22" s="3">
        <f t="shared" si="1"/>
        <v>-1.5380326142084046E-2</v>
      </c>
      <c r="AD22" s="3">
        <f t="shared" si="2"/>
        <v>-1.6475060870428507E-2</v>
      </c>
      <c r="AE22" s="76">
        <f t="shared" si="3"/>
        <v>923.71428571428623</v>
      </c>
      <c r="AF22" s="76">
        <f t="shared" si="4"/>
        <v>-2231.1488095238092</v>
      </c>
      <c r="AG22" s="76">
        <f t="shared" si="5"/>
        <v>-2265.5832279814567</v>
      </c>
      <c r="AN22">
        <v>14757</v>
      </c>
      <c r="AO22" s="5">
        <f t="shared" si="6"/>
        <v>1.8621973929235846E-3</v>
      </c>
      <c r="AP22" s="5">
        <f t="shared" si="7"/>
        <v>1.0337113992247691</v>
      </c>
      <c r="AR22" s="5">
        <f t="shared" si="8"/>
        <v>-1.2946410777572304E-3</v>
      </c>
      <c r="AS22" s="5">
        <f t="shared" si="9"/>
        <v>9.4464078424368214E-2</v>
      </c>
      <c r="AT22" s="5">
        <f t="shared" si="10"/>
        <v>0.42878341398471265</v>
      </c>
    </row>
    <row r="23" spans="1:46" x14ac:dyDescent="0.25">
      <c r="A23" s="3" t="s">
        <v>497</v>
      </c>
      <c r="B23" s="3">
        <v>0</v>
      </c>
      <c r="C23" s="3">
        <v>25.5</v>
      </c>
      <c r="D23" s="3">
        <v>1.1397687231318019</v>
      </c>
      <c r="E23" s="3">
        <v>0.98549800249367703</v>
      </c>
      <c r="F23" s="3">
        <v>25.5</v>
      </c>
      <c r="G23" s="3" t="s">
        <v>498</v>
      </c>
      <c r="H23" s="3">
        <v>0</v>
      </c>
      <c r="I23" s="3">
        <v>25.5</v>
      </c>
      <c r="J23" s="3">
        <v>0.68736168299741973</v>
      </c>
      <c r="K23" s="3">
        <v>-1.9823758868427497E-4</v>
      </c>
      <c r="L23" s="4">
        <v>45477.5</v>
      </c>
      <c r="M23">
        <v>70.75</v>
      </c>
      <c r="N23">
        <v>71.16</v>
      </c>
      <c r="O23">
        <v>69.81</v>
      </c>
      <c r="P23">
        <v>70.180000000000007</v>
      </c>
      <c r="Q23">
        <v>24592</v>
      </c>
      <c r="R23">
        <v>359778</v>
      </c>
      <c r="S23">
        <v>33.25</v>
      </c>
      <c r="T23">
        <v>33.39</v>
      </c>
      <c r="U23">
        <v>32.645000000000003</v>
      </c>
      <c r="V23">
        <v>32.691000000000003</v>
      </c>
      <c r="W23">
        <v>0</v>
      </c>
      <c r="X23">
        <v>1.9094766619519015E-2</v>
      </c>
      <c r="Y23">
        <v>-1.231990090080763</v>
      </c>
      <c r="Z23">
        <v>-0.6281386295648157</v>
      </c>
      <c r="AB23" s="3">
        <f t="shared" si="0"/>
        <v>-9.0104439954883687E-3</v>
      </c>
      <c r="AC23" s="3">
        <f t="shared" si="1"/>
        <v>-1.5049848359484776E-2</v>
      </c>
      <c r="AD23" s="3">
        <f t="shared" si="2"/>
        <v>-1.6105385570326352E-2</v>
      </c>
      <c r="AE23" s="76">
        <f t="shared" si="3"/>
        <v>1166.0476190476184</v>
      </c>
      <c r="AF23" s="76">
        <f t="shared" si="4"/>
        <v>-1881.6369047619046</v>
      </c>
      <c r="AG23" s="76">
        <f t="shared" si="5"/>
        <v>-1701.7682258744208</v>
      </c>
      <c r="AN23">
        <v>18010</v>
      </c>
      <c r="AO23" s="5">
        <f t="shared" si="6"/>
        <v>-2.5717959708528738E-3</v>
      </c>
      <c r="AP23" s="5">
        <f t="shared" si="7"/>
        <v>1.0337421347465345</v>
      </c>
      <c r="AR23" s="5">
        <f t="shared" si="8"/>
        <v>-1.2134572128961185E-3</v>
      </c>
      <c r="AS23" s="5">
        <f t="shared" si="9"/>
        <v>0.10788150383860751</v>
      </c>
      <c r="AT23" s="5">
        <f t="shared" si="10"/>
        <v>0.43555147334013677</v>
      </c>
    </row>
    <row r="24" spans="1:46" x14ac:dyDescent="0.25">
      <c r="A24" s="3" t="s">
        <v>499</v>
      </c>
      <c r="B24" s="3">
        <v>0</v>
      </c>
      <c r="C24" s="3">
        <v>26</v>
      </c>
      <c r="D24" s="3">
        <v>1.116382473489008</v>
      </c>
      <c r="E24" s="3">
        <v>0.98537860325301985</v>
      </c>
      <c r="F24" s="3">
        <v>26</v>
      </c>
      <c r="G24" s="3" t="s">
        <v>500</v>
      </c>
      <c r="H24" s="3">
        <v>0</v>
      </c>
      <c r="I24" s="3">
        <v>26</v>
      </c>
      <c r="J24" s="3">
        <v>0.67399279616993368</v>
      </c>
      <c r="K24" s="3">
        <v>-2.021961904209451E-4</v>
      </c>
      <c r="L24" s="4">
        <v>45476.5</v>
      </c>
      <c r="M24">
        <v>70.7</v>
      </c>
      <c r="N24">
        <v>71.95</v>
      </c>
      <c r="O24">
        <v>69.989999999999995</v>
      </c>
      <c r="P24">
        <v>70.91</v>
      </c>
      <c r="Q24">
        <v>33400</v>
      </c>
      <c r="R24">
        <v>359447</v>
      </c>
      <c r="S24">
        <v>33.25</v>
      </c>
      <c r="T24">
        <v>33.39</v>
      </c>
      <c r="U24">
        <v>32.645000000000003</v>
      </c>
      <c r="V24">
        <v>32.691000000000003</v>
      </c>
      <c r="W24">
        <v>1244</v>
      </c>
      <c r="X24">
        <v>2.8696925329429107E-2</v>
      </c>
      <c r="Y24">
        <v>-0.68960464396032339</v>
      </c>
      <c r="Z24">
        <v>0.43549916031745634</v>
      </c>
      <c r="AB24" s="3">
        <f t="shared" si="0"/>
        <v>-9.4024049987276974E-3</v>
      </c>
      <c r="AC24" s="3">
        <f t="shared" si="1"/>
        <v>-1.4895777967672209E-2</v>
      </c>
      <c r="AD24" s="3">
        <f t="shared" si="2"/>
        <v>-1.5379883365602014E-2</v>
      </c>
      <c r="AE24" s="76">
        <f t="shared" si="3"/>
        <v>1215.5714285714275</v>
      </c>
      <c r="AF24" s="76">
        <f t="shared" si="4"/>
        <v>-1577.9345238095229</v>
      </c>
      <c r="AG24" s="76">
        <f t="shared" si="5"/>
        <v>-1208.1647703329108</v>
      </c>
      <c r="AN24">
        <v>16867</v>
      </c>
      <c r="AO24" s="5">
        <f t="shared" si="6"/>
        <v>3.6581753554502355E-2</v>
      </c>
      <c r="AP24" s="5">
        <f t="shared" si="7"/>
        <v>1.0337407697661178</v>
      </c>
      <c r="AR24" s="5">
        <f t="shared" si="8"/>
        <v>-1.0979149104379804E-3</v>
      </c>
      <c r="AS24" s="5">
        <f t="shared" si="9"/>
        <v>0.1213331000561958</v>
      </c>
      <c r="AT24" s="5">
        <f t="shared" si="10"/>
        <v>0.44234059699664618</v>
      </c>
    </row>
    <row r="25" spans="1:46" x14ac:dyDescent="0.25">
      <c r="A25" s="3" t="s">
        <v>501</v>
      </c>
      <c r="B25" s="3">
        <v>0</v>
      </c>
      <c r="C25" s="3">
        <v>26.5</v>
      </c>
      <c r="D25" s="3">
        <v>1.0934662768982828</v>
      </c>
      <c r="E25" s="3">
        <v>0.98526010159415467</v>
      </c>
      <c r="F25" s="3">
        <v>26.5</v>
      </c>
      <c r="G25" s="3" t="s">
        <v>502</v>
      </c>
      <c r="H25" s="3">
        <v>0</v>
      </c>
      <c r="I25" s="3">
        <v>26.5</v>
      </c>
      <c r="J25" s="3">
        <v>0.66087950344781865</v>
      </c>
      <c r="K25" s="3">
        <v>-2.0623015136095733E-4</v>
      </c>
      <c r="L25" s="4">
        <v>45475.5</v>
      </c>
      <c r="M25">
        <v>68.3</v>
      </c>
      <c r="N25">
        <v>71.03</v>
      </c>
      <c r="O25">
        <v>67.52</v>
      </c>
      <c r="P25">
        <v>70.930000000000007</v>
      </c>
      <c r="Q25">
        <v>31350</v>
      </c>
      <c r="R25">
        <v>358571</v>
      </c>
      <c r="S25">
        <v>33.524999999999999</v>
      </c>
      <c r="T25">
        <v>33.869999999999997</v>
      </c>
      <c r="U25">
        <v>33.174999999999997</v>
      </c>
      <c r="V25">
        <v>33.685000000000002</v>
      </c>
      <c r="W25">
        <v>668</v>
      </c>
      <c r="X25">
        <v>5.2069425901201678E-2</v>
      </c>
      <c r="Y25">
        <v>0.69461141512458302</v>
      </c>
      <c r="Z25">
        <v>0.18999027104900315</v>
      </c>
      <c r="AB25" s="3">
        <f t="shared" si="0"/>
        <v>-9.6217191138209396E-3</v>
      </c>
      <c r="AC25" s="3">
        <f t="shared" si="1"/>
        <v>-1.4997943017007173E-2</v>
      </c>
      <c r="AD25" s="3">
        <f t="shared" si="2"/>
        <v>-1.5074838202567269E-2</v>
      </c>
      <c r="AE25" s="76">
        <f t="shared" si="3"/>
        <v>1888.5238095238092</v>
      </c>
      <c r="AF25" s="76">
        <f t="shared" si="4"/>
        <v>-1659.7083333333358</v>
      </c>
      <c r="AG25" s="76">
        <f t="shared" si="5"/>
        <v>-991.01980615255161</v>
      </c>
      <c r="AN25">
        <v>14205</v>
      </c>
      <c r="AO25" s="5">
        <f t="shared" si="6"/>
        <v>5.8096231193207303E-3</v>
      </c>
      <c r="AP25" s="5">
        <f t="shared" si="7"/>
        <v>1.0329710111893435</v>
      </c>
      <c r="AR25" s="5">
        <f t="shared" si="8"/>
        <v>-9.9294247876713371E-4</v>
      </c>
      <c r="AS25" s="5">
        <f t="shared" si="9"/>
        <v>0.13474036322722427</v>
      </c>
      <c r="AT25" s="5">
        <f t="shared" si="10"/>
        <v>0.4490963186110003</v>
      </c>
    </row>
    <row r="26" spans="1:46" x14ac:dyDescent="0.25">
      <c r="A26" s="3" t="s">
        <v>503</v>
      </c>
      <c r="B26" s="3">
        <v>0</v>
      </c>
      <c r="C26" s="3">
        <v>27</v>
      </c>
      <c r="D26" s="3">
        <v>1.0710015919451883</v>
      </c>
      <c r="E26" s="3">
        <v>0.98514247108670905</v>
      </c>
      <c r="F26" s="3">
        <v>27</v>
      </c>
      <c r="G26" s="3" t="s">
        <v>504</v>
      </c>
      <c r="H26" s="3">
        <v>0</v>
      </c>
      <c r="I26" s="3">
        <v>27</v>
      </c>
      <c r="J26" s="3">
        <v>0.64801178177804175</v>
      </c>
      <c r="K26" s="3">
        <v>-2.1034218534128187E-4</v>
      </c>
      <c r="L26" s="4">
        <v>45474.5</v>
      </c>
      <c r="M26">
        <v>67.41</v>
      </c>
      <c r="N26">
        <v>69.680000000000007</v>
      </c>
      <c r="O26">
        <v>67.13</v>
      </c>
      <c r="P26">
        <v>68.33</v>
      </c>
      <c r="Q26">
        <v>22342</v>
      </c>
      <c r="R26">
        <v>357779</v>
      </c>
      <c r="S26">
        <v>34.5</v>
      </c>
      <c r="T26">
        <v>34.945</v>
      </c>
      <c r="U26">
        <v>33.42</v>
      </c>
      <c r="V26">
        <v>33.484999999999999</v>
      </c>
      <c r="W26">
        <v>208</v>
      </c>
      <c r="X26">
        <v>3.8345864661654308E-2</v>
      </c>
      <c r="Y26">
        <v>-0.11560176797122629</v>
      </c>
      <c r="Z26">
        <v>-0.77331798884826897</v>
      </c>
      <c r="AB26" s="3">
        <f t="shared" si="0"/>
        <v>-9.8219361127103409E-3</v>
      </c>
      <c r="AC26" s="3">
        <f t="shared" si="1"/>
        <v>-1.5042318440993126E-2</v>
      </c>
      <c r="AD26" s="3">
        <f t="shared" si="2"/>
        <v>-1.5096081490429413E-2</v>
      </c>
      <c r="AE26" s="76">
        <f t="shared" si="3"/>
        <v>1979.1904761904771</v>
      </c>
      <c r="AF26" s="76">
        <f t="shared" si="4"/>
        <v>-1602.5238095238092</v>
      </c>
      <c r="AG26" s="76">
        <f t="shared" si="5"/>
        <v>-701.98651495996455</v>
      </c>
      <c r="AN26">
        <v>12815</v>
      </c>
      <c r="AO26" s="5">
        <f t="shared" si="6"/>
        <v>2.0522955305563913E-2</v>
      </c>
      <c r="AP26" s="5">
        <f t="shared" si="7"/>
        <v>1.0329216684983071</v>
      </c>
      <c r="AR26" s="5">
        <f t="shared" si="8"/>
        <v>-8.2854455350811484E-4</v>
      </c>
      <c r="AS26" s="5">
        <f t="shared" si="9"/>
        <v>0.14821183004486316</v>
      </c>
      <c r="AT26" s="5">
        <f t="shared" si="10"/>
        <v>0.4558956125964303</v>
      </c>
    </row>
    <row r="27" spans="1:46" x14ac:dyDescent="0.25">
      <c r="A27" s="3" t="s">
        <v>505</v>
      </c>
      <c r="B27" s="3">
        <v>0</v>
      </c>
      <c r="C27" s="3">
        <v>27.5</v>
      </c>
      <c r="D27" s="3">
        <v>1.0489709279859221</v>
      </c>
      <c r="E27" s="3">
        <v>0.98502568744953289</v>
      </c>
      <c r="F27" s="3">
        <v>27.5</v>
      </c>
      <c r="G27" s="3" t="s">
        <v>506</v>
      </c>
      <c r="H27" s="3">
        <v>0</v>
      </c>
      <c r="I27" s="3">
        <v>27.5</v>
      </c>
      <c r="J27" s="3">
        <v>0.63538029435112808</v>
      </c>
      <c r="K27" s="3">
        <v>-2.1453563013781887E-4</v>
      </c>
      <c r="L27" s="4">
        <v>45471.5</v>
      </c>
      <c r="M27">
        <v>66.5</v>
      </c>
      <c r="N27">
        <v>68.400000000000006</v>
      </c>
      <c r="O27">
        <v>65.78</v>
      </c>
      <c r="P27">
        <v>67.36</v>
      </c>
      <c r="Q27">
        <v>23985</v>
      </c>
      <c r="R27">
        <v>357843</v>
      </c>
      <c r="S27">
        <v>34.674999999999997</v>
      </c>
      <c r="T27">
        <v>34.744999999999997</v>
      </c>
      <c r="U27">
        <v>34.049999999999997</v>
      </c>
      <c r="V27">
        <v>34.479999999999997</v>
      </c>
      <c r="W27">
        <v>457</v>
      </c>
      <c r="X27">
        <v>3.9081145584725599E-2</v>
      </c>
      <c r="Y27">
        <v>-3.4518944900324193E-2</v>
      </c>
      <c r="Z27">
        <v>-0.51558734035066855</v>
      </c>
      <c r="AB27" s="3">
        <f t="shared" si="0"/>
        <v>-1.2369134569616823E-2</v>
      </c>
      <c r="AC27" s="3">
        <f t="shared" si="1"/>
        <v>-1.5910836802725314E-2</v>
      </c>
      <c r="AD27" s="3">
        <f t="shared" si="2"/>
        <v>-1.5199268549920729E-2</v>
      </c>
      <c r="AE27" s="76">
        <f t="shared" si="3"/>
        <v>894.61904761904952</v>
      </c>
      <c r="AF27" s="76">
        <f t="shared" si="4"/>
        <v>-1759.7976190476184</v>
      </c>
      <c r="AG27" s="76">
        <f t="shared" si="5"/>
        <v>-407.31310577328259</v>
      </c>
      <c r="AN27">
        <v>21214</v>
      </c>
      <c r="AO27" s="5">
        <f t="shared" si="6"/>
        <v>-9.6356519120746852E-3</v>
      </c>
      <c r="AP27" s="5">
        <f t="shared" si="7"/>
        <v>1.0326380781987694</v>
      </c>
      <c r="AR27" s="5">
        <f t="shared" si="8"/>
        <v>-5.7296203310674976E-4</v>
      </c>
      <c r="AS27" s="5">
        <f t="shared" si="9"/>
        <v>0.16178697603862824</v>
      </c>
      <c r="AT27" s="5">
        <f t="shared" si="10"/>
        <v>0.46270165336147306</v>
      </c>
    </row>
    <row r="28" spans="1:46" x14ac:dyDescent="0.25">
      <c r="A28" s="3" t="s">
        <v>507</v>
      </c>
      <c r="B28" s="3">
        <v>0</v>
      </c>
      <c r="C28" s="3">
        <v>28</v>
      </c>
      <c r="D28" s="3">
        <v>1.0273578267919106</v>
      </c>
      <c r="E28" s="3">
        <v>0.98490972523936238</v>
      </c>
      <c r="F28" s="3">
        <v>28</v>
      </c>
      <c r="G28" s="3" t="s">
        <v>508</v>
      </c>
      <c r="H28" s="3">
        <v>0</v>
      </c>
      <c r="I28" s="3">
        <v>28</v>
      </c>
      <c r="J28" s="3">
        <v>0.62297605684634227</v>
      </c>
      <c r="K28" s="3">
        <v>-2.1881329497049274E-4</v>
      </c>
      <c r="L28" s="4">
        <v>45470.5</v>
      </c>
      <c r="M28">
        <v>67.040000000000006</v>
      </c>
      <c r="N28">
        <v>67.78</v>
      </c>
      <c r="O28">
        <v>66.42</v>
      </c>
      <c r="P28">
        <v>66.489999999999995</v>
      </c>
      <c r="Q28">
        <v>24463</v>
      </c>
      <c r="R28">
        <v>358346</v>
      </c>
      <c r="S28">
        <v>34.125</v>
      </c>
      <c r="T28">
        <v>34.564999999999998</v>
      </c>
      <c r="U28">
        <v>34.125</v>
      </c>
      <c r="V28">
        <v>34.564999999999998</v>
      </c>
      <c r="W28">
        <v>3</v>
      </c>
      <c r="X28">
        <v>1.9944273353864197E-2</v>
      </c>
      <c r="Y28">
        <v>-1.1089176533291556</v>
      </c>
      <c r="Z28">
        <v>-0.46114857518158175</v>
      </c>
      <c r="AB28" s="3">
        <f t="shared" si="0"/>
        <v>-1.2362208877513912E-2</v>
      </c>
      <c r="AC28" s="3">
        <f t="shared" si="1"/>
        <v>-1.6300819605529735E-2</v>
      </c>
      <c r="AD28" s="3">
        <f t="shared" si="2"/>
        <v>-1.5424989214502489E-2</v>
      </c>
      <c r="AE28" s="76">
        <f t="shared" si="3"/>
        <v>1425.9047619047597</v>
      </c>
      <c r="AF28" s="76">
        <f t="shared" si="4"/>
        <v>-1912.0654761904771</v>
      </c>
      <c r="AG28" s="76">
        <f t="shared" si="5"/>
        <v>-184.55330804888581</v>
      </c>
      <c r="AN28">
        <v>21917</v>
      </c>
      <c r="AO28" s="5">
        <f t="shared" si="6"/>
        <v>-5.5397514597994389E-3</v>
      </c>
      <c r="AP28" s="5">
        <f t="shared" si="7"/>
        <v>1.0326362513007958</v>
      </c>
      <c r="AR28" s="5">
        <f t="shared" si="8"/>
        <v>-3.0812275822578172E-4</v>
      </c>
      <c r="AS28" s="5">
        <f t="shared" si="9"/>
        <v>0.17534825170089596</v>
      </c>
      <c r="AT28" s="5">
        <f t="shared" si="10"/>
        <v>0.46951819211060764</v>
      </c>
    </row>
    <row r="29" spans="1:46" x14ac:dyDescent="0.25">
      <c r="A29" s="3" t="s">
        <v>509</v>
      </c>
      <c r="B29" s="3">
        <v>0</v>
      </c>
      <c r="C29" s="3">
        <v>28.5</v>
      </c>
      <c r="D29" s="3">
        <v>1.0061467036876612</v>
      </c>
      <c r="E29" s="3">
        <v>0.98479456225726392</v>
      </c>
      <c r="F29" s="3">
        <v>28.5</v>
      </c>
      <c r="G29" s="3" t="s">
        <v>510</v>
      </c>
      <c r="H29" s="3">
        <v>0</v>
      </c>
      <c r="I29" s="3">
        <v>28.5</v>
      </c>
      <c r="J29" s="3">
        <v>0.61079085140764555</v>
      </c>
      <c r="K29" s="3">
        <v>-2.2317935774423121E-4</v>
      </c>
      <c r="L29" s="4">
        <v>45469.5</v>
      </c>
      <c r="M29">
        <v>68.19</v>
      </c>
      <c r="N29">
        <v>69.09</v>
      </c>
      <c r="O29">
        <v>66.790000000000006</v>
      </c>
      <c r="P29">
        <v>67.23</v>
      </c>
      <c r="Q29">
        <v>25988</v>
      </c>
      <c r="R29">
        <v>355843</v>
      </c>
      <c r="S29">
        <v>35.15</v>
      </c>
      <c r="T29">
        <v>35.15</v>
      </c>
      <c r="U29">
        <v>33.823999999999998</v>
      </c>
      <c r="V29">
        <v>33.823999999999998</v>
      </c>
      <c r="W29">
        <v>77</v>
      </c>
      <c r="X29">
        <v>3.4099332839140059E-2</v>
      </c>
      <c r="Y29">
        <v>-0.31090587940266634</v>
      </c>
      <c r="Z29">
        <v>-0.31231030902429574</v>
      </c>
      <c r="AB29" s="3">
        <f t="shared" si="0"/>
        <v>-1.2990423443012343E-2</v>
      </c>
      <c r="AC29" s="3">
        <f t="shared" si="1"/>
        <v>-1.5542381510274136E-2</v>
      </c>
      <c r="AD29" s="3">
        <f t="shared" si="2"/>
        <v>-1.4705312158258474E-2</v>
      </c>
      <c r="AE29" s="76">
        <f t="shared" si="3"/>
        <v>856</v>
      </c>
      <c r="AF29" s="76">
        <f t="shared" si="4"/>
        <v>-2271.2083333333321</v>
      </c>
      <c r="AG29" s="76">
        <f t="shared" si="5"/>
        <v>-249.30678466076643</v>
      </c>
      <c r="AN29">
        <v>21549</v>
      </c>
      <c r="AO29" s="5">
        <f t="shared" si="6"/>
        <v>-8.9753178758396508E-4</v>
      </c>
      <c r="AP29" s="5">
        <f t="shared" si="7"/>
        <v>1.0326556552498274</v>
      </c>
      <c r="AR29" s="5">
        <f t="shared" si="8"/>
        <v>-2.1441035648717133E-5</v>
      </c>
      <c r="AS29" s="5">
        <f t="shared" si="9"/>
        <v>0.1888723758327292</v>
      </c>
      <c r="AT29" s="5">
        <f t="shared" si="10"/>
        <v>0.47633372276974517</v>
      </c>
    </row>
    <row r="30" spans="1:46" x14ac:dyDescent="0.25">
      <c r="A30" s="3" t="s">
        <v>511</v>
      </c>
      <c r="B30" s="3">
        <v>0</v>
      </c>
      <c r="C30" s="3">
        <v>29</v>
      </c>
      <c r="D30" s="3">
        <v>0.98532283541345334</v>
      </c>
      <c r="E30" s="3">
        <v>0.98468017669336116</v>
      </c>
      <c r="F30" s="3">
        <v>29</v>
      </c>
      <c r="G30" s="3" t="s">
        <v>512</v>
      </c>
      <c r="H30" s="3">
        <v>0</v>
      </c>
      <c r="I30" s="3">
        <v>29</v>
      </c>
      <c r="J30" s="3">
        <v>0.59881668630230744</v>
      </c>
      <c r="K30" s="3">
        <v>-2.276372641968032E-4</v>
      </c>
      <c r="L30" s="4">
        <v>45468.5</v>
      </c>
      <c r="M30">
        <v>67.45</v>
      </c>
      <c r="N30">
        <v>68.069999999999993</v>
      </c>
      <c r="O30">
        <v>66.849999999999994</v>
      </c>
      <c r="P30">
        <v>67.8</v>
      </c>
      <c r="Q30">
        <v>25633</v>
      </c>
      <c r="R30">
        <v>354577</v>
      </c>
      <c r="S30">
        <v>34.325000000000003</v>
      </c>
      <c r="T30">
        <v>34.875</v>
      </c>
      <c r="U30">
        <v>34.325000000000003</v>
      </c>
      <c r="V30">
        <v>34.853000000000002</v>
      </c>
      <c r="W30">
        <v>172</v>
      </c>
      <c r="X30">
        <v>1.7935901205527769E-2</v>
      </c>
      <c r="Y30">
        <v>-1.2343768164612785</v>
      </c>
      <c r="Z30">
        <v>-0.36743686127036124</v>
      </c>
      <c r="AB30" s="3">
        <f t="shared" si="0"/>
        <v>-1.3537299060511217E-2</v>
      </c>
      <c r="AC30" s="3">
        <f t="shared" si="1"/>
        <v>-1.6096014041316331E-2</v>
      </c>
      <c r="AD30" s="3">
        <f t="shared" si="2"/>
        <v>-1.5142580371961326E-2</v>
      </c>
      <c r="AE30" s="76">
        <f t="shared" si="3"/>
        <v>1204.6666666666679</v>
      </c>
      <c r="AF30" s="76">
        <f t="shared" si="4"/>
        <v>-2292.375</v>
      </c>
      <c r="AG30" s="76">
        <f t="shared" si="5"/>
        <v>-161.55372945638373</v>
      </c>
      <c r="AN30">
        <v>15061</v>
      </c>
      <c r="AO30" s="5">
        <f t="shared" si="6"/>
        <v>-2.3877033278616741E-3</v>
      </c>
      <c r="AP30" s="5">
        <f t="shared" si="7"/>
        <v>1.032797005148901</v>
      </c>
      <c r="AR30" s="5">
        <f t="shared" si="8"/>
        <v>2.6411181229391012E-4</v>
      </c>
      <c r="AS30" s="5">
        <f t="shared" si="9"/>
        <v>0.20237373882208098</v>
      </c>
      <c r="AT30" s="5">
        <f t="shared" si="10"/>
        <v>0.48314966561199002</v>
      </c>
    </row>
    <row r="31" spans="1:46" x14ac:dyDescent="0.25">
      <c r="A31" s="3" t="s">
        <v>513</v>
      </c>
      <c r="B31" s="3">
        <v>0</v>
      </c>
      <c r="C31" s="3">
        <v>29.5</v>
      </c>
      <c r="D31" s="3">
        <v>0.96487228718136253</v>
      </c>
      <c r="E31" s="3">
        <v>0.98456654771382579</v>
      </c>
      <c r="F31" s="3">
        <v>29.5</v>
      </c>
      <c r="G31" s="3" t="s">
        <v>514</v>
      </c>
      <c r="H31" s="3">
        <v>0</v>
      </c>
      <c r="I31" s="3">
        <v>29.5</v>
      </c>
      <c r="J31" s="3">
        <v>0.58704603845915571</v>
      </c>
      <c r="K31" s="3">
        <v>-2.3219087623378593E-4</v>
      </c>
      <c r="L31" s="4">
        <v>45467.5</v>
      </c>
      <c r="M31">
        <v>68.02</v>
      </c>
      <c r="N31">
        <v>68.28</v>
      </c>
      <c r="O31">
        <v>67.010000000000005</v>
      </c>
      <c r="P31">
        <v>67.56</v>
      </c>
      <c r="Q31">
        <v>31837</v>
      </c>
      <c r="R31">
        <v>353485</v>
      </c>
      <c r="S31">
        <v>33.799999999999997</v>
      </c>
      <c r="T31">
        <v>34.549999999999997</v>
      </c>
      <c r="U31">
        <v>33.799999999999997</v>
      </c>
      <c r="V31">
        <v>34.08</v>
      </c>
      <c r="W31">
        <v>213</v>
      </c>
      <c r="X31">
        <v>1.8265496907809521E-2</v>
      </c>
      <c r="Y31">
        <v>-1.2560729221591613</v>
      </c>
      <c r="Z31">
        <v>0.24984975233357046</v>
      </c>
      <c r="AB31" s="3">
        <f t="shared" si="0"/>
        <v>-1.4380915648048605E-2</v>
      </c>
      <c r="AC31" s="3">
        <f t="shared" si="1"/>
        <v>-1.6406015223203198E-2</v>
      </c>
      <c r="AD31" s="3">
        <f t="shared" si="2"/>
        <v>-1.5360576854796863E-2</v>
      </c>
      <c r="AE31" s="76">
        <f t="shared" si="3"/>
        <v>87.047619047618355</v>
      </c>
      <c r="AF31" s="76">
        <f t="shared" si="4"/>
        <v>-3319.6547619047597</v>
      </c>
      <c r="AG31" s="76">
        <f t="shared" si="5"/>
        <v>-946.26885798567309</v>
      </c>
      <c r="AN31">
        <v>9092</v>
      </c>
      <c r="AO31" s="5">
        <f t="shared" si="6"/>
        <v>-1.3688548719458238E-2</v>
      </c>
      <c r="AP31" s="5">
        <f t="shared" si="7"/>
        <v>1.0328020787831538</v>
      </c>
      <c r="AR31" s="5">
        <f t="shared" si="8"/>
        <v>5.6680042670120834E-4</v>
      </c>
      <c r="AS31" s="5">
        <f t="shared" si="9"/>
        <v>0.2158858411525898</v>
      </c>
      <c r="AT31" s="5">
        <f t="shared" si="10"/>
        <v>0.49000404444302903</v>
      </c>
    </row>
    <row r="32" spans="1:46" x14ac:dyDescent="0.25">
      <c r="A32" s="3" t="s">
        <v>515</v>
      </c>
      <c r="B32" s="3">
        <v>0</v>
      </c>
      <c r="C32" s="3">
        <v>30</v>
      </c>
      <c r="D32" s="3">
        <v>0.94478185766286349</v>
      </c>
      <c r="E32" s="3">
        <v>0.98445365540106833</v>
      </c>
      <c r="F32" s="3">
        <v>30</v>
      </c>
      <c r="G32" s="3" t="s">
        <v>516</v>
      </c>
      <c r="H32" s="3">
        <v>750</v>
      </c>
      <c r="I32" s="3">
        <v>30</v>
      </c>
      <c r="J32" s="3">
        <v>0.57547177086934709</v>
      </c>
      <c r="K32" s="3">
        <v>-2.3684426189743025E-4</v>
      </c>
      <c r="L32" s="4">
        <v>45464.5</v>
      </c>
      <c r="M32">
        <v>69.53</v>
      </c>
      <c r="N32">
        <v>69.53</v>
      </c>
      <c r="O32">
        <v>67.94</v>
      </c>
      <c r="P32">
        <v>68.05</v>
      </c>
      <c r="Q32">
        <v>28259</v>
      </c>
      <c r="R32">
        <v>349260</v>
      </c>
      <c r="S32">
        <v>34.4</v>
      </c>
      <c r="T32">
        <v>34.555</v>
      </c>
      <c r="U32">
        <v>33.869999999999997</v>
      </c>
      <c r="V32">
        <v>33.936</v>
      </c>
      <c r="W32">
        <v>522</v>
      </c>
      <c r="X32">
        <v>2.2521246458923564E-2</v>
      </c>
      <c r="Y32">
        <v>-1.0517050407510236</v>
      </c>
      <c r="Z32">
        <v>-0.11411423187257612</v>
      </c>
      <c r="AB32" s="3">
        <f t="shared" si="0"/>
        <v>-1.4163380027598014E-2</v>
      </c>
      <c r="AC32" s="3">
        <f t="shared" si="1"/>
        <v>-1.5934729400464049E-2</v>
      </c>
      <c r="AD32" s="3">
        <f t="shared" si="2"/>
        <v>-1.4304982292731746E-2</v>
      </c>
      <c r="AE32" s="76">
        <f t="shared" si="3"/>
        <v>-929.52380952380918</v>
      </c>
      <c r="AF32" s="76">
        <f t="shared" si="4"/>
        <v>-4107.5714285714275</v>
      </c>
      <c r="AG32" s="76">
        <f t="shared" si="5"/>
        <v>-1261.6978508217435</v>
      </c>
      <c r="AN32">
        <v>15342</v>
      </c>
      <c r="AO32" s="5">
        <f t="shared" si="6"/>
        <v>-1.6075307748008683E-2</v>
      </c>
      <c r="AP32" s="5">
        <f t="shared" si="7"/>
        <v>1.0328675728077161</v>
      </c>
      <c r="AR32" s="5">
        <f t="shared" si="8"/>
        <v>8.4243933420302675E-4</v>
      </c>
      <c r="AS32" s="5">
        <f t="shared" si="9"/>
        <v>0.22937185757446421</v>
      </c>
      <c r="AT32" s="5">
        <f t="shared" si="10"/>
        <v>0.49684781361005381</v>
      </c>
    </row>
    <row r="33" spans="1:46" x14ac:dyDescent="0.25">
      <c r="A33" s="3" t="s">
        <v>517</v>
      </c>
      <c r="B33" s="3">
        <v>0</v>
      </c>
      <c r="C33" s="3">
        <v>30.5</v>
      </c>
      <c r="D33" s="3">
        <v>0.93067311953576137</v>
      </c>
      <c r="E33" s="3">
        <v>0.98397763705508756</v>
      </c>
      <c r="F33" s="3">
        <v>30.5</v>
      </c>
      <c r="G33" s="3" t="s">
        <v>518</v>
      </c>
      <c r="H33" s="3">
        <v>0</v>
      </c>
      <c r="I33" s="3">
        <v>30.5</v>
      </c>
      <c r="J33" s="3">
        <v>0.64054466944552946</v>
      </c>
      <c r="K33" s="3">
        <v>-9.5722567728263029E-4</v>
      </c>
      <c r="L33" s="4">
        <v>45463.5</v>
      </c>
      <c r="M33">
        <v>70.599999999999994</v>
      </c>
      <c r="N33">
        <v>71.599999999999994</v>
      </c>
      <c r="O33">
        <v>69.05</v>
      </c>
      <c r="P33">
        <v>69.19</v>
      </c>
      <c r="Q33">
        <v>25265</v>
      </c>
      <c r="R33">
        <v>342937</v>
      </c>
      <c r="S33">
        <v>34.53</v>
      </c>
      <c r="T33">
        <v>35.69</v>
      </c>
      <c r="U33">
        <v>34.25</v>
      </c>
      <c r="V33">
        <v>34.463999999999999</v>
      </c>
      <c r="W33">
        <v>894</v>
      </c>
      <c r="X33">
        <v>3.7026281399738598E-2</v>
      </c>
      <c r="Y33">
        <v>-0.25209466598573815</v>
      </c>
      <c r="Z33">
        <v>-0.41950435993005614</v>
      </c>
      <c r="AB33" s="3">
        <f t="shared" si="0"/>
        <v>-1.3932188859978895E-2</v>
      </c>
      <c r="AC33" s="3">
        <f t="shared" si="1"/>
        <v>-1.6263239959198202E-2</v>
      </c>
      <c r="AD33" s="3">
        <f t="shared" si="2"/>
        <v>-1.4017477305872456E-2</v>
      </c>
      <c r="AE33" s="76">
        <f t="shared" si="3"/>
        <v>-616.80952380952294</v>
      </c>
      <c r="AF33" s="76">
        <f t="shared" si="4"/>
        <v>-4289.8511904761908</v>
      </c>
      <c r="AG33" s="76">
        <f t="shared" si="5"/>
        <v>-922.95406658238426</v>
      </c>
      <c r="AN33">
        <v>16779</v>
      </c>
      <c r="AO33" s="5">
        <f t="shared" si="6"/>
        <v>8.0291970802919294E-3</v>
      </c>
      <c r="AP33" s="5">
        <f t="shared" si="7"/>
        <v>1.0328128206346918</v>
      </c>
      <c r="AR33" s="5">
        <f t="shared" si="8"/>
        <v>1.1234931940371506E-3</v>
      </c>
      <c r="AS33" s="5">
        <f t="shared" si="9"/>
        <v>0.24284600027604708</v>
      </c>
      <c r="AT33" s="5">
        <f t="shared" si="10"/>
        <v>0.50373129549876361</v>
      </c>
    </row>
    <row r="34" spans="1:46" x14ac:dyDescent="0.25">
      <c r="A34" s="3" t="s">
        <v>519</v>
      </c>
      <c r="B34" s="3">
        <v>0</v>
      </c>
      <c r="C34" s="3">
        <v>31</v>
      </c>
      <c r="D34" s="3">
        <v>0.91122103034271185</v>
      </c>
      <c r="E34" s="3">
        <v>0.98385749460701499</v>
      </c>
      <c r="F34" s="3">
        <v>31</v>
      </c>
      <c r="G34" s="3" t="s">
        <v>520</v>
      </c>
      <c r="H34" s="3">
        <v>0</v>
      </c>
      <c r="I34" s="3">
        <v>31</v>
      </c>
      <c r="J34" s="3">
        <v>0.62795098962285978</v>
      </c>
      <c r="K34" s="3">
        <v>-9.763341306767816E-4</v>
      </c>
      <c r="L34" s="4">
        <v>45462.5</v>
      </c>
      <c r="M34">
        <v>68.87</v>
      </c>
      <c r="N34">
        <v>70.81</v>
      </c>
      <c r="O34">
        <v>68.5</v>
      </c>
      <c r="P34">
        <v>70.739999999999995</v>
      </c>
      <c r="Q34">
        <v>28076</v>
      </c>
      <c r="R34">
        <v>342582</v>
      </c>
      <c r="S34">
        <v>34.28</v>
      </c>
      <c r="T34">
        <v>35.049999999999997</v>
      </c>
      <c r="U34">
        <v>34.28</v>
      </c>
      <c r="V34">
        <v>34.700000000000003</v>
      </c>
      <c r="W34">
        <v>0</v>
      </c>
      <c r="X34">
        <v>3.3841195429241168E-2</v>
      </c>
      <c r="Y34">
        <v>-0.42081085458304801</v>
      </c>
      <c r="Z34">
        <v>-0.13046084560752444</v>
      </c>
      <c r="AB34" s="3">
        <f t="shared" si="0"/>
        <v>-1.4456361979752943E-2</v>
      </c>
      <c r="AC34" s="3">
        <f t="shared" si="1"/>
        <v>-1.7765579122660743E-2</v>
      </c>
      <c r="AD34" s="3">
        <f t="shared" si="2"/>
        <v>-1.4463339831565333E-2</v>
      </c>
      <c r="AE34" s="76">
        <f t="shared" si="3"/>
        <v>-528</v>
      </c>
      <c r="AF34" s="76">
        <f t="shared" si="4"/>
        <v>-4643.1726190476184</v>
      </c>
      <c r="AG34" s="76">
        <f t="shared" si="5"/>
        <v>-623.18162663295516</v>
      </c>
      <c r="AN34">
        <v>13640</v>
      </c>
      <c r="AO34" s="5">
        <f t="shared" si="6"/>
        <v>1.1667405110028154E-2</v>
      </c>
      <c r="AP34" s="5">
        <f t="shared" si="7"/>
        <v>1.0328965700419495</v>
      </c>
      <c r="AR34" s="5">
        <f t="shared" si="8"/>
        <v>1.4199331044981722E-3</v>
      </c>
      <c r="AS34" s="5">
        <f t="shared" si="9"/>
        <v>0.25631553485884107</v>
      </c>
      <c r="AT34" s="5">
        <f t="shared" si="10"/>
        <v>0.5106264941657519</v>
      </c>
    </row>
    <row r="35" spans="1:46" x14ac:dyDescent="0.25">
      <c r="A35" s="3" t="s">
        <v>521</v>
      </c>
      <c r="B35" s="3">
        <v>0</v>
      </c>
      <c r="C35" s="3">
        <v>31.5</v>
      </c>
      <c r="D35" s="3">
        <v>0.89209437302145012</v>
      </c>
      <c r="E35" s="3">
        <v>0.9837378125749926</v>
      </c>
      <c r="F35" s="3">
        <v>31.5</v>
      </c>
      <c r="G35" s="3" t="s">
        <v>522</v>
      </c>
      <c r="H35" s="3">
        <v>0</v>
      </c>
      <c r="I35" s="3">
        <v>31.5</v>
      </c>
      <c r="J35" s="3">
        <v>0.61555619048461463</v>
      </c>
      <c r="K35" s="3">
        <v>-9.9587413187186944E-4</v>
      </c>
      <c r="L35" s="4">
        <v>45461.5</v>
      </c>
      <c r="M35">
        <v>68.260000000000005</v>
      </c>
      <c r="N35">
        <v>69.25</v>
      </c>
      <c r="O35">
        <v>67.709999999999994</v>
      </c>
      <c r="P35">
        <v>68.38</v>
      </c>
      <c r="Q35">
        <v>37155</v>
      </c>
      <c r="R35">
        <v>346400</v>
      </c>
      <c r="S35">
        <v>34.28</v>
      </c>
      <c r="T35">
        <v>35.049999999999997</v>
      </c>
      <c r="U35">
        <v>34.28</v>
      </c>
      <c r="V35">
        <v>34.700000000000003</v>
      </c>
      <c r="W35">
        <v>604</v>
      </c>
      <c r="X35">
        <v>2.2481751824817611E-2</v>
      </c>
      <c r="Y35">
        <v>-1.0537961245337302</v>
      </c>
      <c r="Z35">
        <v>0.78863630419924358</v>
      </c>
      <c r="AB35" s="3">
        <f t="shared" si="0"/>
        <v>-1.268394548030365E-2</v>
      </c>
      <c r="AC35" s="3">
        <f t="shared" si="1"/>
        <v>-1.747126692146064E-2</v>
      </c>
      <c r="AD35" s="3">
        <f t="shared" si="2"/>
        <v>-1.3761432374569307E-2</v>
      </c>
      <c r="AE35" s="76">
        <f t="shared" si="3"/>
        <v>-289.71428571428623</v>
      </c>
      <c r="AF35" s="76">
        <f t="shared" si="4"/>
        <v>-4460.6666666666679</v>
      </c>
      <c r="AG35" s="76">
        <f t="shared" si="5"/>
        <v>-279.91951116729979</v>
      </c>
      <c r="AN35">
        <v>14352</v>
      </c>
      <c r="AO35" s="5">
        <f t="shared" si="6"/>
        <v>2.9625240705079044E-3</v>
      </c>
      <c r="AP35" s="5">
        <f t="shared" si="7"/>
        <v>1.032996648253879</v>
      </c>
      <c r="AR35" s="5">
        <f t="shared" si="8"/>
        <v>1.6497964681214672E-3</v>
      </c>
      <c r="AS35" s="5">
        <f t="shared" si="9"/>
        <v>0.26985830765891528</v>
      </c>
      <c r="AT35" s="5">
        <f t="shared" si="10"/>
        <v>0.5174734375478327</v>
      </c>
    </row>
    <row r="36" spans="1:46" x14ac:dyDescent="0.25">
      <c r="A36" s="3" t="s">
        <v>523</v>
      </c>
      <c r="B36" s="3">
        <v>0</v>
      </c>
      <c r="C36" s="3">
        <v>32</v>
      </c>
      <c r="D36" s="3">
        <v>0.8732823773546371</v>
      </c>
      <c r="E36" s="3">
        <v>0.98361856414586946</v>
      </c>
      <c r="F36" s="3">
        <v>32</v>
      </c>
      <c r="G36" s="3" t="s">
        <v>524</v>
      </c>
      <c r="H36" s="3">
        <v>0</v>
      </c>
      <c r="I36" s="3">
        <v>32</v>
      </c>
      <c r="J36" s="3">
        <v>0.603353632573564</v>
      </c>
      <c r="K36" s="3">
        <v>-1.015864409940982E-3</v>
      </c>
      <c r="L36" s="4">
        <v>45460.5</v>
      </c>
      <c r="M36">
        <v>68.5</v>
      </c>
      <c r="N36">
        <v>69.3</v>
      </c>
      <c r="O36">
        <v>67.510000000000005</v>
      </c>
      <c r="P36">
        <v>68.16</v>
      </c>
      <c r="Q36">
        <v>26662</v>
      </c>
      <c r="R36">
        <v>338785</v>
      </c>
      <c r="S36">
        <v>35.4</v>
      </c>
      <c r="T36">
        <v>35.4</v>
      </c>
      <c r="U36">
        <v>34.200000000000003</v>
      </c>
      <c r="V36">
        <v>34.21</v>
      </c>
      <c r="W36">
        <v>412</v>
      </c>
      <c r="X36">
        <v>2.5300353356890348E-2</v>
      </c>
      <c r="Y36">
        <v>-0.92720445314911137</v>
      </c>
      <c r="Z36">
        <v>-0.28482201263658091</v>
      </c>
      <c r="AB36" s="3">
        <f t="shared" si="0"/>
        <v>-1.202849036161583E-2</v>
      </c>
      <c r="AC36" s="3">
        <f t="shared" si="1"/>
        <v>-1.5470651793887194E-2</v>
      </c>
      <c r="AD36" s="3">
        <f t="shared" si="2"/>
        <v>-1.1979775729672723E-2</v>
      </c>
      <c r="AE36" s="76">
        <f t="shared" si="3"/>
        <v>-203</v>
      </c>
      <c r="AF36" s="76">
        <f t="shared" si="4"/>
        <v>-4337.2916666666642</v>
      </c>
      <c r="AG36" s="76">
        <f t="shared" si="5"/>
        <v>-335.65908133164703</v>
      </c>
      <c r="AN36">
        <v>16284</v>
      </c>
      <c r="AO36" s="5">
        <f t="shared" si="6"/>
        <v>-9.6816781575472573E-3</v>
      </c>
      <c r="AP36" s="5">
        <f t="shared" si="7"/>
        <v>1.0334808927084884</v>
      </c>
      <c r="AR36" s="5">
        <f t="shared" si="8"/>
        <v>1.8432398634395941E-3</v>
      </c>
      <c r="AS36" s="5">
        <f t="shared" si="9"/>
        <v>0.28338914231120349</v>
      </c>
      <c r="AT36" s="5">
        <f t="shared" si="10"/>
        <v>0.52430252470748429</v>
      </c>
    </row>
    <row r="37" spans="1:46" x14ac:dyDescent="0.25">
      <c r="A37" s="3" t="s">
        <v>525</v>
      </c>
      <c r="B37" s="3">
        <v>0</v>
      </c>
      <c r="C37" s="3">
        <v>32.5</v>
      </c>
      <c r="D37" s="3">
        <v>0.85477479535828937</v>
      </c>
      <c r="E37" s="3">
        <v>0.98349972262606711</v>
      </c>
      <c r="F37" s="3">
        <v>32.5</v>
      </c>
      <c r="G37" s="3" t="s">
        <v>526</v>
      </c>
      <c r="H37" s="3">
        <v>0</v>
      </c>
      <c r="I37" s="3">
        <v>32.5</v>
      </c>
      <c r="J37" s="3">
        <v>0.59133700437413295</v>
      </c>
      <c r="K37" s="3">
        <v>-1.03632499476273E-3</v>
      </c>
      <c r="L37" s="4">
        <v>45457.5</v>
      </c>
      <c r="M37">
        <v>70.75</v>
      </c>
      <c r="N37">
        <v>71.09</v>
      </c>
      <c r="O37">
        <v>68.17</v>
      </c>
      <c r="P37">
        <v>68.53</v>
      </c>
      <c r="Q37">
        <v>39670</v>
      </c>
      <c r="R37">
        <v>338682</v>
      </c>
      <c r="S37">
        <v>35.375</v>
      </c>
      <c r="T37">
        <v>36.045000000000002</v>
      </c>
      <c r="U37">
        <v>34.85</v>
      </c>
      <c r="V37">
        <v>35.36</v>
      </c>
      <c r="W37">
        <v>407</v>
      </c>
      <c r="X37">
        <v>4.1536273115220512E-2</v>
      </c>
      <c r="Y37">
        <v>-2.553673167931805E-2</v>
      </c>
      <c r="Z37">
        <v>1.0132542180311597</v>
      </c>
      <c r="AB37" s="3">
        <f t="shared" si="0"/>
        <v>-1.3177115223327512E-2</v>
      </c>
      <c r="AC37" s="3">
        <f t="shared" si="1"/>
        <v>-1.5633896694837564E-2</v>
      </c>
      <c r="AD37" s="3">
        <f t="shared" si="2"/>
        <v>-1.1801889491306811E-2</v>
      </c>
      <c r="AE37" s="76">
        <f t="shared" si="3"/>
        <v>-1264.6190476190495</v>
      </c>
      <c r="AF37" s="76">
        <f t="shared" si="4"/>
        <v>-4732.6309523809541</v>
      </c>
      <c r="AG37" s="76">
        <f t="shared" si="5"/>
        <v>-602.2393594606001</v>
      </c>
      <c r="AN37">
        <v>21166</v>
      </c>
      <c r="AO37" s="5">
        <f t="shared" si="6"/>
        <v>-3.029871977240392E-2</v>
      </c>
      <c r="AP37" s="5">
        <f t="shared" si="7"/>
        <v>1.0334714015216224</v>
      </c>
      <c r="AR37" s="5">
        <f t="shared" si="8"/>
        <v>2.0073342331203836E-3</v>
      </c>
      <c r="AS37" s="5">
        <f t="shared" si="9"/>
        <v>0.29689117512902474</v>
      </c>
      <c r="AT37" s="5">
        <f t="shared" si="10"/>
        <v>0.53110079655979003</v>
      </c>
    </row>
    <row r="38" spans="1:46" x14ac:dyDescent="0.25">
      <c r="A38" s="3" t="s">
        <v>527</v>
      </c>
      <c r="B38" s="3">
        <v>0</v>
      </c>
      <c r="C38" s="3">
        <v>33</v>
      </c>
      <c r="D38" s="3">
        <v>0.8365618682160989</v>
      </c>
      <c r="E38" s="3">
        <v>0.98338126136149984</v>
      </c>
      <c r="F38" s="3">
        <v>33</v>
      </c>
      <c r="G38" s="3" t="s">
        <v>528</v>
      </c>
      <c r="H38" s="3">
        <v>0</v>
      </c>
      <c r="I38" s="3">
        <v>33</v>
      </c>
      <c r="J38" s="3">
        <v>0.57950008917554874</v>
      </c>
      <c r="K38" s="3">
        <v>-1.0572736503044783E-3</v>
      </c>
      <c r="L38" s="4">
        <v>45456.5</v>
      </c>
      <c r="M38">
        <v>70.3</v>
      </c>
      <c r="N38">
        <v>72</v>
      </c>
      <c r="O38">
        <v>70.3</v>
      </c>
      <c r="P38">
        <v>70.87</v>
      </c>
      <c r="Q38">
        <v>24575</v>
      </c>
      <c r="R38">
        <v>334373</v>
      </c>
      <c r="S38">
        <v>35.664999999999999</v>
      </c>
      <c r="T38">
        <v>36.75</v>
      </c>
      <c r="U38">
        <v>35.56</v>
      </c>
      <c r="V38">
        <v>35.723999999999997</v>
      </c>
      <c r="W38">
        <v>396</v>
      </c>
      <c r="X38">
        <v>2.4199288256227799E-2</v>
      </c>
      <c r="Y38">
        <v>-1.0128095754887296</v>
      </c>
      <c r="Z38">
        <v>-0.50936809351090073</v>
      </c>
      <c r="AB38" s="3">
        <f t="shared" si="0"/>
        <v>-1.5471305620158839E-2</v>
      </c>
      <c r="AC38" s="3">
        <f t="shared" si="1"/>
        <v>-1.6522250091414642E-2</v>
      </c>
      <c r="AD38" s="3">
        <f t="shared" si="2"/>
        <v>-1.2132269611160609E-2</v>
      </c>
      <c r="AE38" s="76">
        <f t="shared" si="3"/>
        <v>-2786.3809523809541</v>
      </c>
      <c r="AF38" s="76">
        <f t="shared" si="4"/>
        <v>-5785.4107142857138</v>
      </c>
      <c r="AG38" s="76">
        <f t="shared" si="5"/>
        <v>-1378.141592920354</v>
      </c>
      <c r="AN38">
        <v>18272</v>
      </c>
      <c r="AO38" s="5">
        <f t="shared" si="6"/>
        <v>4.7163069887094225E-3</v>
      </c>
      <c r="AP38" s="5">
        <f t="shared" si="7"/>
        <v>1.0331712721047659</v>
      </c>
      <c r="AR38" s="5">
        <f t="shared" si="8"/>
        <v>2.1661126302028322E-3</v>
      </c>
      <c r="AS38" s="5">
        <f t="shared" si="9"/>
        <v>0.31036295609891151</v>
      </c>
      <c r="AT38" s="5">
        <f t="shared" si="10"/>
        <v>0.53790663065850974</v>
      </c>
    </row>
    <row r="39" spans="1:46" x14ac:dyDescent="0.25">
      <c r="A39" s="3" t="s">
        <v>529</v>
      </c>
      <c r="B39" s="3">
        <v>0</v>
      </c>
      <c r="C39" s="3">
        <v>33.5</v>
      </c>
      <c r="D39" s="3">
        <v>0.81863429577931346</v>
      </c>
      <c r="E39" s="3">
        <v>0.98326315365643568</v>
      </c>
      <c r="F39" s="3">
        <v>33.5</v>
      </c>
      <c r="G39" s="3" t="s">
        <v>530</v>
      </c>
      <c r="H39" s="3">
        <v>0</v>
      </c>
      <c r="I39" s="3">
        <v>33.5</v>
      </c>
      <c r="J39" s="3">
        <v>0.56783731690756778</v>
      </c>
      <c r="K39" s="3">
        <v>-1.0787355570363818E-3</v>
      </c>
      <c r="L39" s="4">
        <v>45455.5</v>
      </c>
      <c r="M39">
        <v>70.25</v>
      </c>
      <c r="N39">
        <v>71.849999999999994</v>
      </c>
      <c r="O39">
        <v>69.97</v>
      </c>
      <c r="P39">
        <v>70.3</v>
      </c>
      <c r="Q39">
        <v>23106</v>
      </c>
      <c r="R39">
        <v>333805</v>
      </c>
      <c r="S39">
        <v>34.055</v>
      </c>
      <c r="T39">
        <v>36.024999999999999</v>
      </c>
      <c r="U39">
        <v>33.93</v>
      </c>
      <c r="V39">
        <v>35.293999999999997</v>
      </c>
      <c r="W39">
        <v>426</v>
      </c>
      <c r="X39">
        <v>2.6553672316384117E-2</v>
      </c>
      <c r="Y39">
        <v>-0.90560884113309381</v>
      </c>
      <c r="Z39">
        <v>-0.67213356620868392</v>
      </c>
      <c r="AB39" s="3">
        <f t="shared" si="0"/>
        <v>-1.6294736280993462E-2</v>
      </c>
      <c r="AC39" s="3">
        <f t="shared" si="1"/>
        <v>-1.6408985496884736E-2</v>
      </c>
      <c r="AD39" s="3">
        <f t="shared" si="2"/>
        <v>-1.1355182445303029E-2</v>
      </c>
      <c r="AE39" s="76">
        <f t="shared" si="3"/>
        <v>-3724.5238095238092</v>
      </c>
      <c r="AF39" s="76">
        <f t="shared" si="4"/>
        <v>-6013.702380952378</v>
      </c>
      <c r="AG39" s="76">
        <f t="shared" si="5"/>
        <v>-1422.1053518752633</v>
      </c>
      <c r="AN39">
        <v>17273</v>
      </c>
      <c r="AO39" s="5">
        <f t="shared" si="6"/>
        <v>1.4312294260769188E-3</v>
      </c>
      <c r="AP39" s="5">
        <f t="shared" si="7"/>
        <v>1.0333408364654932</v>
      </c>
      <c r="AR39" s="5">
        <f t="shared" si="8"/>
        <v>2.3289098369347894E-3</v>
      </c>
      <c r="AS39" s="5">
        <f t="shared" si="9"/>
        <v>0.32394328041932108</v>
      </c>
      <c r="AT39" s="5">
        <f t="shared" si="10"/>
        <v>0.54474320595295711</v>
      </c>
    </row>
    <row r="40" spans="1:46" x14ac:dyDescent="0.25">
      <c r="A40" s="3" t="s">
        <v>531</v>
      </c>
      <c r="B40" s="3">
        <v>0</v>
      </c>
      <c r="C40" s="3">
        <v>34</v>
      </c>
      <c r="D40" s="3">
        <v>0.80098320839753057</v>
      </c>
      <c r="E40" s="3">
        <v>0.98314537269067381</v>
      </c>
      <c r="F40" s="3">
        <v>34</v>
      </c>
      <c r="G40" s="3" t="s">
        <v>532</v>
      </c>
      <c r="H40" s="3">
        <v>0</v>
      </c>
      <c r="I40" s="3">
        <v>34</v>
      </c>
      <c r="J40" s="3">
        <v>0.55634309023522999</v>
      </c>
      <c r="K40" s="3">
        <v>-1.1007323771487294E-3</v>
      </c>
      <c r="L40" s="4">
        <v>45454.5</v>
      </c>
      <c r="M40">
        <v>70.8</v>
      </c>
      <c r="N40">
        <v>72.17</v>
      </c>
      <c r="O40">
        <v>69.87</v>
      </c>
      <c r="P40">
        <v>70.41</v>
      </c>
      <c r="Q40">
        <v>29534</v>
      </c>
      <c r="R40">
        <v>333575</v>
      </c>
      <c r="S40">
        <v>33.674999999999997</v>
      </c>
      <c r="T40">
        <v>35.335000000000001</v>
      </c>
      <c r="U40">
        <v>33.58</v>
      </c>
      <c r="V40">
        <v>34.284999999999997</v>
      </c>
      <c r="W40">
        <v>263</v>
      </c>
      <c r="X40">
        <v>3.2330615687376961E-2</v>
      </c>
      <c r="Y40">
        <v>-0.60025534894057064</v>
      </c>
      <c r="Z40">
        <v>-3.8366820773779758E-2</v>
      </c>
      <c r="AB40" s="3">
        <f t="shared" si="0"/>
        <v>-1.6251446593879081E-2</v>
      </c>
      <c r="AC40" s="3">
        <f t="shared" si="1"/>
        <v>-1.6584788087962626E-2</v>
      </c>
      <c r="AD40" s="3">
        <f t="shared" si="2"/>
        <v>-1.0995568838396121E-2</v>
      </c>
      <c r="AE40" s="76">
        <f t="shared" si="3"/>
        <v>-4556.3333333333321</v>
      </c>
      <c r="AF40" s="76">
        <f t="shared" si="4"/>
        <v>-6319.1428571428587</v>
      </c>
      <c r="AG40" s="76">
        <f t="shared" si="5"/>
        <v>-1630.02402022756</v>
      </c>
      <c r="AN40">
        <v>19866</v>
      </c>
      <c r="AO40" s="5">
        <f t="shared" si="6"/>
        <v>8.5161662817552462E-3</v>
      </c>
      <c r="AP40" s="5">
        <f t="shared" si="7"/>
        <v>1.0340403335099382</v>
      </c>
      <c r="AR40" s="5">
        <f t="shared" si="8"/>
        <v>2.4954395729537282E-3</v>
      </c>
      <c r="AS40" s="5">
        <f t="shared" si="9"/>
        <v>0.33752202477106641</v>
      </c>
      <c r="AT40" s="5">
        <f t="shared" si="10"/>
        <v>0.5515752743873652</v>
      </c>
    </row>
    <row r="41" spans="1:46" x14ac:dyDescent="0.25">
      <c r="A41" s="3" t="s">
        <v>533</v>
      </c>
      <c r="B41" s="3">
        <v>0</v>
      </c>
      <c r="C41" s="3">
        <v>34.5</v>
      </c>
      <c r="D41" s="3">
        <v>0.78360014087024954</v>
      </c>
      <c r="E41" s="3">
        <v>0.9830278914343975</v>
      </c>
      <c r="F41" s="3">
        <v>34.5</v>
      </c>
      <c r="G41" s="3" t="s">
        <v>534</v>
      </c>
      <c r="H41" s="3">
        <v>0</v>
      </c>
      <c r="I41" s="3">
        <v>34.5</v>
      </c>
      <c r="J41" s="3">
        <v>0.54501212775484642</v>
      </c>
      <c r="K41" s="3">
        <v>-1.1232883407805848E-3</v>
      </c>
      <c r="L41" s="4">
        <v>45453.5</v>
      </c>
      <c r="M41">
        <v>71.14</v>
      </c>
      <c r="N41">
        <v>71.2</v>
      </c>
      <c r="O41">
        <v>69.28</v>
      </c>
      <c r="P41">
        <v>70.91</v>
      </c>
      <c r="Q41">
        <v>31210</v>
      </c>
      <c r="R41">
        <v>331242</v>
      </c>
      <c r="S41">
        <v>33.005000000000003</v>
      </c>
      <c r="T41">
        <v>34.674999999999997</v>
      </c>
      <c r="U41">
        <v>32.43</v>
      </c>
      <c r="V41">
        <v>34.258000000000003</v>
      </c>
      <c r="W41">
        <v>617</v>
      </c>
      <c r="X41">
        <v>2.6707469745444454E-2</v>
      </c>
      <c r="Y41">
        <v>-0.9168838426218584</v>
      </c>
      <c r="Z41">
        <v>0.12667749643893086</v>
      </c>
      <c r="AB41" s="3">
        <f t="shared" si="0"/>
        <v>-1.7044275283909373E-2</v>
      </c>
      <c r="AC41" s="3">
        <f t="shared" si="1"/>
        <v>-1.6272716493607543E-2</v>
      </c>
      <c r="AD41" s="3">
        <f t="shared" si="2"/>
        <v>-1.0598526025867944E-2</v>
      </c>
      <c r="AE41" s="76">
        <f t="shared" si="3"/>
        <v>-5530.4761904761908</v>
      </c>
      <c r="AF41" s="76">
        <f t="shared" si="4"/>
        <v>-6254.363095238099</v>
      </c>
      <c r="AG41" s="76">
        <f t="shared" si="5"/>
        <v>-1580.3063632532649</v>
      </c>
      <c r="AN41">
        <v>18374</v>
      </c>
      <c r="AO41" s="5">
        <f t="shared" si="6"/>
        <v>-2.4362765807632782E-2</v>
      </c>
      <c r="AP41" s="5">
        <f t="shared" si="7"/>
        <v>1.0343388056446741</v>
      </c>
      <c r="AR41" s="5">
        <f t="shared" si="8"/>
        <v>2.6381133941129065E-3</v>
      </c>
      <c r="AS41" s="5">
        <f t="shared" si="9"/>
        <v>0.35107062837726954</v>
      </c>
      <c r="AT41" s="5">
        <f t="shared" si="10"/>
        <v>0.55836991781573642</v>
      </c>
    </row>
    <row r="42" spans="1:46" x14ac:dyDescent="0.25">
      <c r="A42" s="3" t="s">
        <v>535</v>
      </c>
      <c r="B42" s="3">
        <v>0</v>
      </c>
      <c r="C42" s="3">
        <v>35</v>
      </c>
      <c r="D42" s="3">
        <v>0.7715928771772973</v>
      </c>
      <c r="E42" s="3">
        <v>0.98246650592798246</v>
      </c>
      <c r="F42" s="3">
        <v>35</v>
      </c>
      <c r="G42" s="3" t="s">
        <v>536</v>
      </c>
      <c r="H42" s="3">
        <v>1000</v>
      </c>
      <c r="I42" s="3">
        <v>35</v>
      </c>
      <c r="J42" s="3">
        <v>0.56971204777350526</v>
      </c>
      <c r="K42" s="3">
        <v>-2.0403823816616384E-3</v>
      </c>
      <c r="L42" s="4">
        <v>45450.5</v>
      </c>
      <c r="M42">
        <v>71.89</v>
      </c>
      <c r="N42">
        <v>71.89</v>
      </c>
      <c r="O42">
        <v>71.010000000000005</v>
      </c>
      <c r="P42">
        <v>71.42</v>
      </c>
      <c r="Q42">
        <v>19731</v>
      </c>
      <c r="R42">
        <v>331118</v>
      </c>
      <c r="S42">
        <v>32.884999999999998</v>
      </c>
      <c r="T42">
        <v>33.405000000000001</v>
      </c>
      <c r="U42">
        <v>32.814999999999998</v>
      </c>
      <c r="V42">
        <v>33.109000000000002</v>
      </c>
      <c r="W42">
        <v>363</v>
      </c>
      <c r="X42">
        <v>1.225626740947069E-2</v>
      </c>
      <c r="Y42">
        <v>-1.7583558726447059</v>
      </c>
      <c r="Z42">
        <v>-1.0400419462523165</v>
      </c>
      <c r="AB42" s="3">
        <f t="shared" si="0"/>
        <v>-1.7261811165908879E-2</v>
      </c>
      <c r="AC42" s="3">
        <f t="shared" si="1"/>
        <v>-1.4358812519766513E-2</v>
      </c>
      <c r="AD42" s="3">
        <f t="shared" si="2"/>
        <v>-8.8258380401656927E-3</v>
      </c>
      <c r="AE42" s="76">
        <f t="shared" si="3"/>
        <v>-7212.7142857142899</v>
      </c>
      <c r="AF42" s="76">
        <f t="shared" si="4"/>
        <v>-6639.5595238095266</v>
      </c>
      <c r="AG42" s="76">
        <f t="shared" si="5"/>
        <v>-1966.5895490939729</v>
      </c>
      <c r="AN42">
        <v>20036</v>
      </c>
      <c r="AO42" s="5">
        <f t="shared" si="6"/>
        <v>-3.3684210526315071E-3</v>
      </c>
      <c r="AP42" s="5">
        <f t="shared" si="7"/>
        <v>1.0343640615550909</v>
      </c>
      <c r="AR42" s="5">
        <f t="shared" si="8"/>
        <v>2.9134758995332799E-3</v>
      </c>
      <c r="AS42" s="5">
        <f t="shared" si="9"/>
        <v>0.36459585253665894</v>
      </c>
      <c r="AT42" s="5">
        <f t="shared" si="10"/>
        <v>0.56513254735434537</v>
      </c>
    </row>
    <row r="43" spans="1:46" x14ac:dyDescent="0.25">
      <c r="A43" s="3" t="s">
        <v>537</v>
      </c>
      <c r="B43" s="3">
        <v>0</v>
      </c>
      <c r="C43" s="3">
        <v>35.5</v>
      </c>
      <c r="D43" s="3">
        <v>0.7546835068627229</v>
      </c>
      <c r="E43" s="3">
        <v>0.98233871610885626</v>
      </c>
      <c r="F43" s="3">
        <v>35.5</v>
      </c>
      <c r="G43" s="3" t="s">
        <v>538</v>
      </c>
      <c r="H43" s="3">
        <v>0</v>
      </c>
      <c r="I43" s="3">
        <v>35.5</v>
      </c>
      <c r="J43" s="3">
        <v>0.55803039837557222</v>
      </c>
      <c r="K43" s="3">
        <v>-2.0823584935487052E-3</v>
      </c>
      <c r="L43" s="4">
        <v>45449.5</v>
      </c>
      <c r="M43">
        <v>71.8</v>
      </c>
      <c r="N43">
        <v>73.069999999999993</v>
      </c>
      <c r="O43">
        <v>71.25</v>
      </c>
      <c r="P43">
        <v>71.53</v>
      </c>
      <c r="Q43">
        <v>23849</v>
      </c>
      <c r="R43">
        <v>330186</v>
      </c>
      <c r="S43">
        <v>33.225000000000001</v>
      </c>
      <c r="T43">
        <v>34.15</v>
      </c>
      <c r="U43">
        <v>32.96</v>
      </c>
      <c r="V43">
        <v>33.686</v>
      </c>
      <c r="W43">
        <v>428</v>
      </c>
      <c r="X43">
        <v>2.5024061597689991E-2</v>
      </c>
      <c r="Y43">
        <v>-1.0875123243719995</v>
      </c>
      <c r="Z43">
        <v>-0.65532148136539825</v>
      </c>
      <c r="AB43" s="3">
        <f t="shared" si="0"/>
        <v>-1.5993120226392779E-2</v>
      </c>
      <c r="AC43" s="3">
        <f t="shared" si="1"/>
        <v>-1.2785360837763451E-2</v>
      </c>
      <c r="AD43" s="3">
        <f t="shared" si="2"/>
        <v>-7.3009978386600685E-3</v>
      </c>
      <c r="AE43" s="76">
        <f t="shared" si="3"/>
        <v>-7879.0476190476184</v>
      </c>
      <c r="AF43" s="76">
        <f t="shared" si="4"/>
        <v>-6861.2559523809541</v>
      </c>
      <c r="AG43" s="76">
        <f t="shared" si="5"/>
        <v>-2284.9612305099035</v>
      </c>
      <c r="AN43">
        <v>25914</v>
      </c>
      <c r="AO43" s="5">
        <f t="shared" si="6"/>
        <v>4.3698900479278583E-3</v>
      </c>
      <c r="AP43" s="5">
        <f t="shared" si="7"/>
        <v>1.0344681938592817</v>
      </c>
      <c r="AR43" s="5">
        <f t="shared" si="8"/>
        <v>3.1883838727710945E-3</v>
      </c>
      <c r="AS43" s="5">
        <f t="shared" si="9"/>
        <v>0.37812833519114508</v>
      </c>
      <c r="AT43" s="5">
        <f t="shared" si="10"/>
        <v>0.57190373441672393</v>
      </c>
    </row>
    <row r="44" spans="1:46" x14ac:dyDescent="0.25">
      <c r="A44" s="3" t="s">
        <v>539</v>
      </c>
      <c r="B44" s="3">
        <v>0</v>
      </c>
      <c r="C44" s="3">
        <v>36</v>
      </c>
      <c r="D44" s="3">
        <v>0.73801960422604951</v>
      </c>
      <c r="E44" s="3">
        <v>0.98221081903721719</v>
      </c>
      <c r="F44" s="3">
        <v>36</v>
      </c>
      <c r="G44" s="3" t="s">
        <v>540</v>
      </c>
      <c r="H44" s="3">
        <v>0</v>
      </c>
      <c r="I44" s="3">
        <v>36</v>
      </c>
      <c r="J44" s="3">
        <v>0.54650613350504196</v>
      </c>
      <c r="K44" s="3">
        <v>-2.1254509608367219E-3</v>
      </c>
      <c r="L44" s="4">
        <v>45448.5</v>
      </c>
      <c r="M44">
        <v>72.73</v>
      </c>
      <c r="N44">
        <v>73.319999999999993</v>
      </c>
      <c r="O44">
        <v>70.94</v>
      </c>
      <c r="P44">
        <v>72</v>
      </c>
      <c r="Q44">
        <v>31344</v>
      </c>
      <c r="R44">
        <v>330342</v>
      </c>
      <c r="S44">
        <v>33.75</v>
      </c>
      <c r="T44">
        <v>34.380000000000003</v>
      </c>
      <c r="U44">
        <v>33.174999999999997</v>
      </c>
      <c r="V44">
        <v>33.354999999999997</v>
      </c>
      <c r="W44">
        <v>1080</v>
      </c>
      <c r="X44">
        <v>3.1916320236019792E-2</v>
      </c>
      <c r="Y44">
        <v>-0.72071557110725137</v>
      </c>
      <c r="Z44">
        <v>5.047480636091934E-2</v>
      </c>
      <c r="AB44" s="3">
        <f t="shared" si="0"/>
        <v>-1.4671479556444988E-2</v>
      </c>
      <c r="AC44" s="3">
        <f t="shared" si="1"/>
        <v>-1.2150961980628545E-2</v>
      </c>
      <c r="AD44" s="3">
        <f t="shared" si="2"/>
        <v>-6.3358878064126711E-3</v>
      </c>
      <c r="AE44" s="76">
        <f t="shared" si="3"/>
        <v>-8493.0952380952367</v>
      </c>
      <c r="AF44" s="76">
        <f t="shared" si="4"/>
        <v>-6912.3095238095266</v>
      </c>
      <c r="AG44" s="76">
        <f t="shared" si="5"/>
        <v>-2178.9574378423931</v>
      </c>
      <c r="AN44">
        <v>17111</v>
      </c>
      <c r="AO44" s="5">
        <f t="shared" si="6"/>
        <v>-1.8403210184032081E-2</v>
      </c>
      <c r="AP44" s="5">
        <f t="shared" si="7"/>
        <v>1.0350083866764483</v>
      </c>
      <c r="AR44" s="5">
        <f t="shared" si="8"/>
        <v>3.4277130485527163E-3</v>
      </c>
      <c r="AS44" s="5">
        <f t="shared" si="9"/>
        <v>0.39166901261858678</v>
      </c>
      <c r="AT44" s="5">
        <f t="shared" si="10"/>
        <v>0.57865186263191792</v>
      </c>
    </row>
    <row r="45" spans="1:46" x14ac:dyDescent="0.25">
      <c r="A45" s="3" t="s">
        <v>541</v>
      </c>
      <c r="B45" s="3">
        <v>0</v>
      </c>
      <c r="C45" s="3">
        <v>36.5</v>
      </c>
      <c r="D45" s="3">
        <v>0.72159406991139607</v>
      </c>
      <c r="E45" s="3">
        <v>0.98208276977295716</v>
      </c>
      <c r="F45" s="3">
        <v>36.5</v>
      </c>
      <c r="G45" s="3" t="s">
        <v>542</v>
      </c>
      <c r="H45" s="3">
        <v>0</v>
      </c>
      <c r="I45" s="3">
        <v>36.5</v>
      </c>
      <c r="J45" s="3">
        <v>0.53513445059123743</v>
      </c>
      <c r="K45" s="3">
        <v>-2.1697110531334637E-3</v>
      </c>
      <c r="L45" s="4">
        <v>45447.5</v>
      </c>
      <c r="M45">
        <v>74.569999999999993</v>
      </c>
      <c r="N45">
        <v>74.709999999999994</v>
      </c>
      <c r="O45">
        <v>72.27</v>
      </c>
      <c r="P45">
        <v>72.58</v>
      </c>
      <c r="Q45">
        <v>34073</v>
      </c>
      <c r="R45">
        <v>330000</v>
      </c>
      <c r="S45">
        <v>36.075000000000003</v>
      </c>
      <c r="T45">
        <v>36.479999999999997</v>
      </c>
      <c r="U45">
        <v>33.69</v>
      </c>
      <c r="V45">
        <v>33.796999999999997</v>
      </c>
      <c r="W45">
        <v>931</v>
      </c>
      <c r="X45">
        <v>3.2795698924731151E-2</v>
      </c>
      <c r="Y45">
        <v>-0.69209062661400367</v>
      </c>
      <c r="Z45">
        <v>0.25865077607155379</v>
      </c>
      <c r="AB45" s="3">
        <f t="shared" si="0"/>
        <v>-1.4500201413104763E-2</v>
      </c>
      <c r="AC45" s="3">
        <f t="shared" si="1"/>
        <v>-1.1508319605192878E-2</v>
      </c>
      <c r="AD45" s="3">
        <f t="shared" si="2"/>
        <v>-5.0204930098350364E-3</v>
      </c>
      <c r="AE45" s="76">
        <f t="shared" si="3"/>
        <v>-8226.1904761904734</v>
      </c>
      <c r="AF45" s="76">
        <f t="shared" si="4"/>
        <v>-6649.4345238095266</v>
      </c>
      <c r="AG45" s="76">
        <f t="shared" si="5"/>
        <v>-1897.31142014328</v>
      </c>
      <c r="AN45">
        <v>18108</v>
      </c>
      <c r="AO45" s="5">
        <f t="shared" si="6"/>
        <v>-2.6404418698639472E-2</v>
      </c>
      <c r="AP45" s="5">
        <f t="shared" si="7"/>
        <v>1.0349119851634747</v>
      </c>
      <c r="AR45" s="5">
        <f t="shared" si="8"/>
        <v>3.7303026820223462E-3</v>
      </c>
      <c r="AS45" s="5">
        <f t="shared" si="9"/>
        <v>0.4052154089812342</v>
      </c>
      <c r="AT45" s="5">
        <f t="shared" si="10"/>
        <v>0.58539199938974296</v>
      </c>
    </row>
    <row r="46" spans="1:46" x14ac:dyDescent="0.25">
      <c r="A46" s="3" t="s">
        <v>543</v>
      </c>
      <c r="B46" s="3">
        <v>0</v>
      </c>
      <c r="C46" s="3">
        <v>37</v>
      </c>
      <c r="D46" s="3">
        <v>0.71022629343034893</v>
      </c>
      <c r="E46" s="3">
        <v>0.98147229700068317</v>
      </c>
      <c r="F46" s="3">
        <v>37</v>
      </c>
      <c r="G46" s="3" t="s">
        <v>544</v>
      </c>
      <c r="H46" s="3">
        <v>0</v>
      </c>
      <c r="I46" s="3">
        <v>37</v>
      </c>
      <c r="J46" s="3">
        <v>0.54624066797705684</v>
      </c>
      <c r="K46" s="3">
        <v>-3.0856638400716969E-3</v>
      </c>
      <c r="L46" s="4">
        <v>45446.5</v>
      </c>
      <c r="M46">
        <v>74.400000000000006</v>
      </c>
      <c r="N46">
        <v>77.81</v>
      </c>
      <c r="O46">
        <v>74.23</v>
      </c>
      <c r="P46">
        <v>74.63</v>
      </c>
      <c r="Q46">
        <v>33956</v>
      </c>
      <c r="R46">
        <v>330170</v>
      </c>
      <c r="S46">
        <v>36.229999999999997</v>
      </c>
      <c r="T46">
        <v>38.5</v>
      </c>
      <c r="U46">
        <v>35.695</v>
      </c>
      <c r="V46">
        <v>36.014000000000003</v>
      </c>
      <c r="W46">
        <v>427</v>
      </c>
      <c r="X46">
        <v>4.7429782723900346E-2</v>
      </c>
      <c r="Y46">
        <v>8.5201466213149071E-2</v>
      </c>
      <c r="Z46">
        <v>0.23809996511477491</v>
      </c>
      <c r="AB46" s="3">
        <f t="shared" si="0"/>
        <v>-1.4528417997100966E-2</v>
      </c>
      <c r="AC46" s="3">
        <f t="shared" si="1"/>
        <v>-1.0964238819115985E-2</v>
      </c>
      <c r="AD46" s="3">
        <f t="shared" si="2"/>
        <v>-4.5655168520952749E-3</v>
      </c>
      <c r="AE46" s="76">
        <f t="shared" si="3"/>
        <v>-9353.8095238095266</v>
      </c>
      <c r="AF46" s="76">
        <f t="shared" si="4"/>
        <v>-7337.6964285714275</v>
      </c>
      <c r="AG46" s="76">
        <f t="shared" si="5"/>
        <v>-2633.9329962073352</v>
      </c>
      <c r="AN46">
        <v>20789</v>
      </c>
      <c r="AO46" s="5">
        <f t="shared" si="6"/>
        <v>5.1455653351389257E-3</v>
      </c>
      <c r="AP46" s="5">
        <f t="shared" si="7"/>
        <v>1.035153466731469</v>
      </c>
      <c r="AR46" s="5">
        <f t="shared" si="8"/>
        <v>4.0602872126860312E-3</v>
      </c>
      <c r="AS46" s="5">
        <f t="shared" si="9"/>
        <v>0.41887537824958754</v>
      </c>
      <c r="AT46" s="5">
        <f t="shared" si="10"/>
        <v>0.5921148224891255</v>
      </c>
    </row>
    <row r="47" spans="1:46" x14ac:dyDescent="0.25">
      <c r="A47" s="3" t="s">
        <v>545</v>
      </c>
      <c r="B47" s="3">
        <v>0</v>
      </c>
      <c r="C47" s="3">
        <v>37.5</v>
      </c>
      <c r="D47" s="3">
        <v>0.69422025459169534</v>
      </c>
      <c r="E47" s="3">
        <v>0.9813318626776304</v>
      </c>
      <c r="F47" s="3">
        <v>37.5</v>
      </c>
      <c r="G47" s="3" t="s">
        <v>546</v>
      </c>
      <c r="H47" s="3">
        <v>0</v>
      </c>
      <c r="I47" s="3">
        <v>37.5</v>
      </c>
      <c r="J47" s="3">
        <v>0.53474429729879325</v>
      </c>
      <c r="K47" s="3">
        <v>-3.1504601105091638E-3</v>
      </c>
      <c r="L47" s="4">
        <v>45443.5</v>
      </c>
      <c r="M47">
        <v>75.48</v>
      </c>
      <c r="N47">
        <v>76.48</v>
      </c>
      <c r="O47">
        <v>73.849999999999994</v>
      </c>
      <c r="P47">
        <v>74.069999999999993</v>
      </c>
      <c r="Q47">
        <v>24059</v>
      </c>
      <c r="R47">
        <v>329627</v>
      </c>
      <c r="S47">
        <v>35.28</v>
      </c>
      <c r="T47">
        <v>35.700000000000003</v>
      </c>
      <c r="U47">
        <v>34.130000000000003</v>
      </c>
      <c r="V47">
        <v>34.222999999999999</v>
      </c>
      <c r="W47">
        <v>370</v>
      </c>
      <c r="X47">
        <v>3.5641685865293531E-2</v>
      </c>
      <c r="Y47">
        <v>-0.57116975601274611</v>
      </c>
      <c r="Z47">
        <v>-0.65052919901838224</v>
      </c>
      <c r="AB47" s="3">
        <f t="shared" si="0"/>
        <v>-1.4038076498871871E-2</v>
      </c>
      <c r="AC47" s="3">
        <f t="shared" si="1"/>
        <v>-1.1067682217069975E-2</v>
      </c>
      <c r="AD47" s="3">
        <f t="shared" si="2"/>
        <v>-4.3654162102780905E-3</v>
      </c>
      <c r="AE47" s="76">
        <f t="shared" si="3"/>
        <v>-8910.3333333333358</v>
      </c>
      <c r="AF47" s="76">
        <f t="shared" si="4"/>
        <v>-7248.5357142857174</v>
      </c>
      <c r="AG47" s="76">
        <f t="shared" si="5"/>
        <v>-2626.9026548672555</v>
      </c>
      <c r="AN47">
        <v>17135</v>
      </c>
      <c r="AO47" s="5">
        <f t="shared" si="6"/>
        <v>6.5421834537275417E-3</v>
      </c>
      <c r="AP47" s="5">
        <f t="shared" si="7"/>
        <v>1.0351195553704706</v>
      </c>
      <c r="AR47" s="5">
        <f t="shared" si="8"/>
        <v>4.3936400245316864E-3</v>
      </c>
      <c r="AS47" s="5">
        <f t="shared" si="9"/>
        <v>0.43251633269877998</v>
      </c>
      <c r="AT47" s="5">
        <f t="shared" si="10"/>
        <v>0.59881251919593614</v>
      </c>
    </row>
    <row r="48" spans="1:46" x14ac:dyDescent="0.25">
      <c r="A48" s="3" t="s">
        <v>547</v>
      </c>
      <c r="B48" s="3">
        <v>0</v>
      </c>
      <c r="C48" s="3">
        <v>38</v>
      </c>
      <c r="D48" s="3">
        <v>0.67843352107779442</v>
      </c>
      <c r="E48" s="3">
        <v>0.98119074975563558</v>
      </c>
      <c r="F48" s="3">
        <v>38</v>
      </c>
      <c r="G48" s="3" t="s">
        <v>548</v>
      </c>
      <c r="H48" s="3">
        <v>0</v>
      </c>
      <c r="I48" s="3">
        <v>38</v>
      </c>
      <c r="J48" s="3">
        <v>0.52339228804119808</v>
      </c>
      <c r="K48" s="3">
        <v>-3.2171026741931751E-3</v>
      </c>
      <c r="L48" s="4">
        <v>45442.5</v>
      </c>
      <c r="M48">
        <v>73.790000000000006</v>
      </c>
      <c r="N48">
        <v>75.91</v>
      </c>
      <c r="O48">
        <v>73.37</v>
      </c>
      <c r="P48">
        <v>75.2</v>
      </c>
      <c r="Q48">
        <v>24171</v>
      </c>
      <c r="R48">
        <v>329425</v>
      </c>
      <c r="S48">
        <v>33.875</v>
      </c>
      <c r="T48">
        <v>35.192</v>
      </c>
      <c r="U48">
        <v>33.6</v>
      </c>
      <c r="V48">
        <v>35.192</v>
      </c>
      <c r="W48">
        <v>62</v>
      </c>
      <c r="X48">
        <v>3.409395973154352E-2</v>
      </c>
      <c r="Y48">
        <v>-0.64845755509448622</v>
      </c>
      <c r="Z48">
        <v>-0.65588701881670541</v>
      </c>
      <c r="AB48" s="3">
        <f t="shared" si="0"/>
        <v>-9.510069721845392E-3</v>
      </c>
      <c r="AC48" s="3">
        <f t="shared" si="1"/>
        <v>-7.7675885112758886E-3</v>
      </c>
      <c r="AD48" s="3">
        <f t="shared" si="2"/>
        <v>-1.6076319508246603E-3</v>
      </c>
      <c r="AE48" s="76">
        <f t="shared" si="3"/>
        <v>-6697.5238095238128</v>
      </c>
      <c r="AF48" s="76">
        <f t="shared" si="4"/>
        <v>-5739.1488095238128</v>
      </c>
      <c r="AG48" s="76">
        <f t="shared" si="5"/>
        <v>-1326.3303834808285</v>
      </c>
      <c r="AN48">
        <v>19611</v>
      </c>
      <c r="AO48" s="5">
        <f t="shared" si="6"/>
        <v>5.757368060315308E-3</v>
      </c>
      <c r="AP48" s="5">
        <f t="shared" si="7"/>
        <v>1.0350787278945448</v>
      </c>
      <c r="AR48" s="5">
        <f t="shared" si="8"/>
        <v>4.5389362849577175E-3</v>
      </c>
      <c r="AS48" s="5">
        <f t="shared" si="9"/>
        <v>0.44597908689649934</v>
      </c>
      <c r="AT48" s="5">
        <f t="shared" si="10"/>
        <v>0.60540063681036793</v>
      </c>
    </row>
    <row r="49" spans="1:46" x14ac:dyDescent="0.25">
      <c r="A49" s="3" t="s">
        <v>549</v>
      </c>
      <c r="B49" s="3">
        <v>0</v>
      </c>
      <c r="C49" s="3">
        <v>38.5</v>
      </c>
      <c r="D49" s="3">
        <v>0.66744414276195885</v>
      </c>
      <c r="E49" s="3">
        <v>0.98053743736894206</v>
      </c>
      <c r="F49" s="3">
        <v>38.5</v>
      </c>
      <c r="G49" s="3" t="s">
        <v>550</v>
      </c>
      <c r="H49" s="3">
        <v>0</v>
      </c>
      <c r="I49" s="3">
        <v>38.5</v>
      </c>
      <c r="J49" s="3">
        <v>0.52860790329804541</v>
      </c>
      <c r="K49" s="3">
        <v>-4.144234007420749E-3</v>
      </c>
      <c r="L49" s="4">
        <v>45441.5</v>
      </c>
      <c r="M49">
        <v>74.5</v>
      </c>
      <c r="N49">
        <v>75.599999999999994</v>
      </c>
      <c r="O49">
        <v>72.95</v>
      </c>
      <c r="P49">
        <v>73.95</v>
      </c>
      <c r="Q49">
        <v>21814</v>
      </c>
      <c r="R49">
        <v>329544</v>
      </c>
      <c r="S49">
        <v>34.134999999999998</v>
      </c>
      <c r="T49">
        <v>34.299999999999997</v>
      </c>
      <c r="U49">
        <v>33.4</v>
      </c>
      <c r="V49">
        <v>33.878999999999998</v>
      </c>
      <c r="W49">
        <v>167</v>
      </c>
      <c r="X49">
        <v>3.4868421052631465E-2</v>
      </c>
      <c r="Y49">
        <v>-0.61917232301532599</v>
      </c>
      <c r="Z49">
        <v>-0.89232928261180111</v>
      </c>
      <c r="AB49" s="3">
        <f t="shared" si="0"/>
        <v>-1.0845345652506819E-2</v>
      </c>
      <c r="AC49" s="3">
        <f t="shared" si="1"/>
        <v>-8.2264688440487066E-3</v>
      </c>
      <c r="AD49" s="3">
        <f t="shared" si="2"/>
        <v>-1.7345615988324722E-3</v>
      </c>
      <c r="AE49" s="76">
        <f t="shared" si="3"/>
        <v>-8104.761904761901</v>
      </c>
      <c r="AF49" s="76">
        <f t="shared" si="4"/>
        <v>-6605.9523809523816</v>
      </c>
      <c r="AG49" s="76">
        <f t="shared" si="5"/>
        <v>-1901.4580699536455</v>
      </c>
      <c r="AN49">
        <v>19727</v>
      </c>
      <c r="AO49" s="5">
        <f t="shared" si="6"/>
        <v>-1.5386691861249838E-2</v>
      </c>
      <c r="AP49" s="5">
        <f t="shared" si="7"/>
        <v>1.0350593350808603</v>
      </c>
      <c r="AR49" s="5">
        <f t="shared" si="8"/>
        <v>4.6978801002752757E-3</v>
      </c>
      <c r="AS49" s="5">
        <f t="shared" si="9"/>
        <v>0.45944246907394215</v>
      </c>
      <c r="AT49" s="5">
        <f t="shared" si="10"/>
        <v>0.6120156891598898</v>
      </c>
    </row>
    <row r="50" spans="1:46" x14ac:dyDescent="0.25">
      <c r="A50" s="3" t="s">
        <v>551</v>
      </c>
      <c r="B50" s="3">
        <v>0</v>
      </c>
      <c r="C50" s="3">
        <v>39</v>
      </c>
      <c r="D50" s="3">
        <v>0.65204148229001457</v>
      </c>
      <c r="E50" s="3">
        <v>0.98038191053480306</v>
      </c>
      <c r="F50" s="3">
        <v>39</v>
      </c>
      <c r="G50" s="3" t="s">
        <v>552</v>
      </c>
      <c r="H50" s="3">
        <v>0</v>
      </c>
      <c r="I50" s="3">
        <v>39</v>
      </c>
      <c r="J50" s="3">
        <v>0.51722244745276214</v>
      </c>
      <c r="K50" s="3">
        <v>-4.2329000925690917E-3</v>
      </c>
      <c r="L50" s="4">
        <v>45440.5</v>
      </c>
      <c r="M50">
        <v>76</v>
      </c>
      <c r="N50">
        <v>76.25</v>
      </c>
      <c r="O50">
        <v>74.09</v>
      </c>
      <c r="P50">
        <v>74.599999999999994</v>
      </c>
      <c r="Q50">
        <v>27537</v>
      </c>
      <c r="R50">
        <v>329293</v>
      </c>
      <c r="S50">
        <v>34.409999999999997</v>
      </c>
      <c r="T50">
        <v>34.799999999999997</v>
      </c>
      <c r="U50">
        <v>33.380000000000003</v>
      </c>
      <c r="V50">
        <v>33.533999999999999</v>
      </c>
      <c r="W50">
        <v>159</v>
      </c>
      <c r="X50">
        <v>2.8533685601056756E-2</v>
      </c>
      <c r="Y50">
        <v>-0.97810695696409766</v>
      </c>
      <c r="Z50">
        <v>-0.39702375987082827</v>
      </c>
      <c r="AB50" s="3">
        <f t="shared" si="0"/>
        <v>-6.3572036557238143E-3</v>
      </c>
      <c r="AC50" s="3">
        <f t="shared" si="1"/>
        <v>-6.4075858736415831E-3</v>
      </c>
      <c r="AD50" s="3">
        <f t="shared" si="2"/>
        <v>-1.5908039727913909E-4</v>
      </c>
      <c r="AE50" s="76">
        <f t="shared" si="3"/>
        <v>-6178.4761904761872</v>
      </c>
      <c r="AF50" s="76">
        <f t="shared" si="4"/>
        <v>-6105.0476190476147</v>
      </c>
      <c r="AG50" s="76">
        <f t="shared" si="5"/>
        <v>-1411.9439528023577</v>
      </c>
      <c r="AN50">
        <v>22372</v>
      </c>
      <c r="AO50" s="5">
        <f t="shared" si="6"/>
        <v>-1.8675496688741678E-2</v>
      </c>
      <c r="AP50" s="5">
        <f t="shared" si="7"/>
        <v>1.0350354557771564</v>
      </c>
      <c r="AR50" s="5">
        <f t="shared" si="8"/>
        <v>4.8733147124391252E-3</v>
      </c>
      <c r="AS50" s="5">
        <f t="shared" si="9"/>
        <v>0.47287219428166594</v>
      </c>
      <c r="AT50" s="5">
        <f t="shared" si="10"/>
        <v>0.61859184069455386</v>
      </c>
    </row>
    <row r="51" spans="1:46" x14ac:dyDescent="0.25">
      <c r="A51" s="3" t="s">
        <v>553</v>
      </c>
      <c r="B51" s="3">
        <v>0</v>
      </c>
      <c r="C51" s="3">
        <v>39.5</v>
      </c>
      <c r="D51" s="3">
        <v>0.63684116066861829</v>
      </c>
      <c r="E51" s="3">
        <v>0.98022504545439637</v>
      </c>
      <c r="F51" s="3">
        <v>39.5</v>
      </c>
      <c r="G51" s="3" t="s">
        <v>554</v>
      </c>
      <c r="H51" s="3">
        <v>0</v>
      </c>
      <c r="I51" s="3">
        <v>39.5</v>
      </c>
      <c r="J51" s="3">
        <v>0.50597253468593295</v>
      </c>
      <c r="K51" s="3">
        <v>-4.3242329135721553E-3</v>
      </c>
      <c r="L51" s="4">
        <v>45439.5</v>
      </c>
      <c r="M51">
        <v>75.7</v>
      </c>
      <c r="N51">
        <v>77</v>
      </c>
      <c r="O51">
        <v>75.5</v>
      </c>
      <c r="P51">
        <v>76.510000000000005</v>
      </c>
      <c r="Q51">
        <v>11805</v>
      </c>
      <c r="R51">
        <v>326832</v>
      </c>
      <c r="S51">
        <v>35.6</v>
      </c>
      <c r="T51">
        <v>35.6</v>
      </c>
      <c r="U51">
        <v>33.5</v>
      </c>
      <c r="V51">
        <v>34.115000000000002</v>
      </c>
      <c r="W51">
        <v>0</v>
      </c>
      <c r="X51">
        <v>1.9736842105263157E-2</v>
      </c>
      <c r="Y51">
        <v>-1.472769309500811</v>
      </c>
      <c r="Z51">
        <v>-1.8320929098395753</v>
      </c>
      <c r="AB51" s="3">
        <f t="shared" si="0"/>
        <v>-5.6087375425635383E-3</v>
      </c>
      <c r="AC51" s="3">
        <f t="shared" si="1"/>
        <v>-6.2207878709956282E-3</v>
      </c>
      <c r="AD51" s="3">
        <f t="shared" si="2"/>
        <v>2.6721127094101599E-4</v>
      </c>
      <c r="AE51" s="76">
        <f t="shared" si="3"/>
        <v>-5417</v>
      </c>
      <c r="AF51" s="76">
        <f t="shared" si="4"/>
        <v>-6552.8452380952403</v>
      </c>
      <c r="AG51" s="76">
        <f t="shared" si="5"/>
        <v>-1701.8929624947341</v>
      </c>
      <c r="AN51">
        <v>18021</v>
      </c>
      <c r="AO51" s="5">
        <f t="shared" si="6"/>
        <v>2.2342586323629055E-2</v>
      </c>
      <c r="AP51" s="5">
        <f t="shared" si="7"/>
        <v>1.0352032683073091</v>
      </c>
      <c r="AR51" s="5">
        <f t="shared" si="8"/>
        <v>4.0134580133233122E-2</v>
      </c>
      <c r="AS51" s="5">
        <f t="shared" si="9"/>
        <v>0.48631642584398282</v>
      </c>
      <c r="AT51" s="5">
        <f t="shared" si="10"/>
        <v>0.62515473607347372</v>
      </c>
    </row>
    <row r="52" spans="1:46" x14ac:dyDescent="0.25">
      <c r="A52" s="3" t="s">
        <v>555</v>
      </c>
      <c r="B52" s="3">
        <v>0</v>
      </c>
      <c r="C52" s="3">
        <v>40</v>
      </c>
      <c r="D52" s="3">
        <v>0.6261878867458831</v>
      </c>
      <c r="E52" s="3">
        <v>0.97952377141642955</v>
      </c>
      <c r="F52" s="3">
        <v>40</v>
      </c>
      <c r="G52" s="3" t="s">
        <v>556</v>
      </c>
      <c r="H52" s="3">
        <v>1550</v>
      </c>
      <c r="I52" s="3">
        <v>40</v>
      </c>
      <c r="J52" s="3">
        <v>0.5077843009092482</v>
      </c>
      <c r="K52" s="3">
        <v>-5.2797330895192843E-3</v>
      </c>
      <c r="L52" s="4">
        <v>45436.5</v>
      </c>
      <c r="M52">
        <v>76</v>
      </c>
      <c r="N52">
        <v>76.7</v>
      </c>
      <c r="O52">
        <v>73.849999999999994</v>
      </c>
      <c r="P52">
        <v>75.78</v>
      </c>
      <c r="Q52">
        <v>23462</v>
      </c>
      <c r="R52">
        <v>326226</v>
      </c>
      <c r="S52">
        <v>35.6</v>
      </c>
      <c r="T52">
        <v>35.6</v>
      </c>
      <c r="U52">
        <v>33.5</v>
      </c>
      <c r="V52">
        <v>34.115000000000002</v>
      </c>
      <c r="W52">
        <v>756</v>
      </c>
      <c r="X52">
        <v>3.7303664921466077E-2</v>
      </c>
      <c r="Y52">
        <v>-0.58464243886164025</v>
      </c>
      <c r="Z52">
        <v>-0.81935727392747626</v>
      </c>
      <c r="AB52" s="3">
        <f t="shared" si="0"/>
        <v>-3.9726752973983787E-3</v>
      </c>
      <c r="AC52" s="3">
        <f t="shared" si="1"/>
        <v>-5.2206010053367571E-3</v>
      </c>
      <c r="AD52" s="3">
        <f t="shared" si="2"/>
        <v>1.3466602875304712E-3</v>
      </c>
      <c r="AE52" s="76">
        <f t="shared" si="3"/>
        <v>-4961.3333333333321</v>
      </c>
      <c r="AF52" s="76">
        <f t="shared" si="4"/>
        <v>-6235.5595238095193</v>
      </c>
      <c r="AG52" s="76">
        <f t="shared" si="5"/>
        <v>-1234.15718499789</v>
      </c>
      <c r="AN52">
        <v>20500</v>
      </c>
      <c r="AO52" s="5">
        <f t="shared" si="6"/>
        <v>-2.1854304635761664E-2</v>
      </c>
      <c r="AP52" s="5">
        <f t="shared" si="7"/>
        <v>1.0349562205037577</v>
      </c>
      <c r="AR52" s="5">
        <f t="shared" si="8"/>
        <v>7.5355814289762013E-2</v>
      </c>
      <c r="AS52" s="5">
        <f t="shared" si="9"/>
        <v>0.49977351553969629</v>
      </c>
      <c r="AT52" s="5">
        <f t="shared" si="10"/>
        <v>0.63170030042374181</v>
      </c>
    </row>
    <row r="53" spans="1:46" x14ac:dyDescent="0.25">
      <c r="A53" s="3" t="s">
        <v>557</v>
      </c>
      <c r="B53" s="3">
        <v>0</v>
      </c>
      <c r="C53" s="3">
        <v>40.5</v>
      </c>
      <c r="D53" s="3">
        <v>0.61553689468213335</v>
      </c>
      <c r="E53" s="3">
        <v>0.9788014395531871</v>
      </c>
      <c r="F53" s="3">
        <v>40.5</v>
      </c>
      <c r="G53" s="3" t="s">
        <v>558</v>
      </c>
      <c r="H53" s="3">
        <v>0</v>
      </c>
      <c r="I53" s="3">
        <v>40.5</v>
      </c>
      <c r="J53" s="3">
        <v>0.50754326350716616</v>
      </c>
      <c r="K53" s="3">
        <v>-6.2324849657311027E-3</v>
      </c>
      <c r="L53" s="4">
        <v>45435.5</v>
      </c>
      <c r="M53">
        <v>76.400000000000006</v>
      </c>
      <c r="N53">
        <v>78.099999999999994</v>
      </c>
      <c r="O53">
        <v>75.5</v>
      </c>
      <c r="P53">
        <v>76.099999999999994</v>
      </c>
      <c r="Q53">
        <v>32467</v>
      </c>
      <c r="R53">
        <v>326314</v>
      </c>
      <c r="S53">
        <v>34.619999999999997</v>
      </c>
      <c r="T53">
        <v>36.164999999999999</v>
      </c>
      <c r="U53">
        <v>33.854999999999997</v>
      </c>
      <c r="V53">
        <v>35.228000000000002</v>
      </c>
      <c r="W53">
        <v>1226</v>
      </c>
      <c r="X53">
        <v>3.4219531455646143E-2</v>
      </c>
      <c r="Y53">
        <v>-0.74802394694895125</v>
      </c>
      <c r="Z53">
        <v>1.0608214753300444E-2</v>
      </c>
      <c r="AB53" s="3">
        <f t="shared" si="0"/>
        <v>-2.4508309562155037E-3</v>
      </c>
      <c r="AC53" s="3">
        <f t="shared" si="1"/>
        <v>-4.0129849293469161E-3</v>
      </c>
      <c r="AD53" s="3">
        <f t="shared" si="2"/>
        <v>2.2965980037490258E-3</v>
      </c>
      <c r="AE53" s="76">
        <f t="shared" si="3"/>
        <v>-4014.9047619047597</v>
      </c>
      <c r="AF53" s="76">
        <f t="shared" si="4"/>
        <v>-5311.9047619047597</v>
      </c>
      <c r="AG53" s="76">
        <f t="shared" si="5"/>
        <v>-447.0235988200584</v>
      </c>
      <c r="AN53">
        <v>22128</v>
      </c>
      <c r="AO53" s="5">
        <f t="shared" si="6"/>
        <v>0</v>
      </c>
      <c r="AP53" s="5">
        <f t="shared" si="7"/>
        <v>1.0348140532014614</v>
      </c>
      <c r="AR53" s="5">
        <f t="shared" si="8"/>
        <v>0.11059695285161242</v>
      </c>
      <c r="AS53" s="5">
        <f t="shared" si="9"/>
        <v>0.51327432790941963</v>
      </c>
      <c r="AT53" s="5">
        <f t="shared" si="10"/>
        <v>0.63825637776917177</v>
      </c>
    </row>
    <row r="54" spans="1:46" x14ac:dyDescent="0.25">
      <c r="A54" s="3" t="s">
        <v>559</v>
      </c>
      <c r="B54" s="3">
        <v>0</v>
      </c>
      <c r="C54" s="3">
        <v>41</v>
      </c>
      <c r="D54" s="3">
        <v>0.6008389517113002</v>
      </c>
      <c r="E54" s="3">
        <v>0.97861152689734432</v>
      </c>
      <c r="F54" s="3">
        <v>41</v>
      </c>
      <c r="G54" s="3" t="s">
        <v>560</v>
      </c>
      <c r="H54" s="3">
        <v>0</v>
      </c>
      <c r="I54" s="3">
        <v>41</v>
      </c>
      <c r="J54" s="3">
        <v>0.49622116773756897</v>
      </c>
      <c r="K54" s="3">
        <v>-6.3697055899144548E-3</v>
      </c>
      <c r="L54" s="4">
        <v>45434.5</v>
      </c>
      <c r="M54">
        <v>75.98</v>
      </c>
      <c r="N54">
        <v>77.5</v>
      </c>
      <c r="O54">
        <v>75.5</v>
      </c>
      <c r="P54">
        <v>76.67</v>
      </c>
      <c r="Q54">
        <v>29219</v>
      </c>
      <c r="R54">
        <v>325224</v>
      </c>
      <c r="S54">
        <v>32.880000000000003</v>
      </c>
      <c r="T54">
        <v>34.75</v>
      </c>
      <c r="U54">
        <v>32.83</v>
      </c>
      <c r="V54">
        <v>34.389000000000003</v>
      </c>
      <c r="W54">
        <v>1013</v>
      </c>
      <c r="X54">
        <v>2.6961445133459151E-2</v>
      </c>
      <c r="Y54">
        <v>-1.1445106894942314</v>
      </c>
      <c r="Z54">
        <v>-0.28035915773938219</v>
      </c>
      <c r="AB54" s="3">
        <f t="shared" si="0"/>
        <v>-3.0058458004234567E-3</v>
      </c>
      <c r="AC54" s="3">
        <f t="shared" si="1"/>
        <v>-3.5019320159975637E-3</v>
      </c>
      <c r="AD54" s="3">
        <f t="shared" si="2"/>
        <v>2.7644328283803407E-3</v>
      </c>
      <c r="AE54" s="76">
        <f t="shared" si="3"/>
        <v>-4587.3333333333358</v>
      </c>
      <c r="AF54" s="76">
        <f t="shared" si="4"/>
        <v>-5283.6845238095229</v>
      </c>
      <c r="AG54" s="76">
        <f t="shared" si="5"/>
        <v>-453.7817109144562</v>
      </c>
      <c r="AN54">
        <v>14315</v>
      </c>
      <c r="AO54" s="5">
        <f t="shared" si="6"/>
        <v>3.3538672142368282E-2</v>
      </c>
      <c r="AP54" s="5">
        <f t="shared" si="7"/>
        <v>1.0349741703228437</v>
      </c>
      <c r="AR54" s="5">
        <f t="shared" si="8"/>
        <v>0.14578914596022696</v>
      </c>
      <c r="AS54" s="5">
        <f t="shared" si="9"/>
        <v>0.52675236594380526</v>
      </c>
      <c r="AT54" s="5">
        <f t="shared" si="10"/>
        <v>0.64479285351314086</v>
      </c>
    </row>
    <row r="55" spans="1:46" x14ac:dyDescent="0.25">
      <c r="A55" s="3" t="s">
        <v>561</v>
      </c>
      <c r="B55" s="3">
        <v>0</v>
      </c>
      <c r="C55" s="3">
        <v>41.5</v>
      </c>
      <c r="D55" s="3">
        <v>0.59033762572095205</v>
      </c>
      <c r="E55" s="3">
        <v>0.97785014423886307</v>
      </c>
      <c r="F55" s="3">
        <v>41.5</v>
      </c>
      <c r="G55" s="3" t="s">
        <v>562</v>
      </c>
      <c r="H55" s="3">
        <v>0</v>
      </c>
      <c r="I55" s="3">
        <v>41.5</v>
      </c>
      <c r="J55" s="3">
        <v>0.49443538788284563</v>
      </c>
      <c r="K55" s="3">
        <v>-7.3484047782720026E-3</v>
      </c>
      <c r="L55" s="4">
        <v>45433.5</v>
      </c>
      <c r="M55">
        <v>74.180000000000007</v>
      </c>
      <c r="N55">
        <v>76.64</v>
      </c>
      <c r="O55">
        <v>73.05</v>
      </c>
      <c r="P55">
        <v>76.2</v>
      </c>
      <c r="Q55">
        <v>34207</v>
      </c>
      <c r="R55">
        <v>325214</v>
      </c>
      <c r="S55">
        <v>31.625</v>
      </c>
      <c r="T55">
        <v>33.204999999999998</v>
      </c>
      <c r="U55">
        <v>31.33</v>
      </c>
      <c r="V55">
        <v>33.003999999999998</v>
      </c>
      <c r="W55">
        <v>785</v>
      </c>
      <c r="X55">
        <v>5.056338028169019E-2</v>
      </c>
      <c r="Y55">
        <v>0.12103343479558044</v>
      </c>
      <c r="Z55">
        <v>0.17703496642068445</v>
      </c>
      <c r="AB55" s="3">
        <f t="shared" si="0"/>
        <v>-4.786363907287372E-3</v>
      </c>
      <c r="AC55" s="3">
        <f t="shared" si="1"/>
        <v>-3.6479720097633631E-3</v>
      </c>
      <c r="AD55" s="3">
        <f t="shared" si="2"/>
        <v>2.6721024085566286E-3</v>
      </c>
      <c r="AE55" s="76">
        <f t="shared" si="3"/>
        <v>-4749.4285714285688</v>
      </c>
      <c r="AF55" s="76">
        <f t="shared" si="4"/>
        <v>-5028.6011904761945</v>
      </c>
      <c r="AG55" s="76">
        <f t="shared" si="5"/>
        <v>-323.32321955330917</v>
      </c>
      <c r="AN55">
        <v>14233</v>
      </c>
      <c r="AO55" s="5">
        <f t="shared" si="6"/>
        <v>2.887323943661968E-2</v>
      </c>
      <c r="AP55" s="5">
        <f t="shared" si="7"/>
        <v>1.0343222427136367</v>
      </c>
      <c r="AR55" s="5">
        <f t="shared" si="8"/>
        <v>0.1809745958578739</v>
      </c>
      <c r="AS55" s="5">
        <f t="shared" si="9"/>
        <v>0.54022000777138224</v>
      </c>
      <c r="AT55" s="5">
        <f t="shared" si="10"/>
        <v>0.65132577132167579</v>
      </c>
    </row>
    <row r="56" spans="1:46" x14ac:dyDescent="0.25">
      <c r="A56" s="3" t="s">
        <v>563</v>
      </c>
      <c r="B56" s="3">
        <v>0</v>
      </c>
      <c r="C56" s="3">
        <v>42</v>
      </c>
      <c r="D56" s="3">
        <v>0.57596292541180827</v>
      </c>
      <c r="E56" s="3">
        <v>0.97763969513309867</v>
      </c>
      <c r="F56" s="3">
        <v>42</v>
      </c>
      <c r="G56" s="3" t="s">
        <v>564</v>
      </c>
      <c r="H56" s="3">
        <v>0</v>
      </c>
      <c r="I56" s="3">
        <v>42</v>
      </c>
      <c r="J56" s="3">
        <v>0.48317760835913343</v>
      </c>
      <c r="K56" s="3">
        <v>-7.5130078555270003E-3</v>
      </c>
      <c r="L56" s="4">
        <v>45432.5</v>
      </c>
      <c r="M56">
        <v>71</v>
      </c>
      <c r="N56">
        <v>74.900000000000006</v>
      </c>
      <c r="O56">
        <v>71</v>
      </c>
      <c r="P56">
        <v>74.239999999999995</v>
      </c>
      <c r="Q56">
        <v>35694</v>
      </c>
      <c r="R56">
        <v>323298</v>
      </c>
      <c r="S56">
        <v>31.32</v>
      </c>
      <c r="T56">
        <v>32.17</v>
      </c>
      <c r="U56">
        <v>31.245000000000001</v>
      </c>
      <c r="V56">
        <v>31.768000000000001</v>
      </c>
      <c r="W56">
        <v>838</v>
      </c>
      <c r="X56">
        <v>5.5319148936170293E-2</v>
      </c>
      <c r="Y56">
        <v>0.37019824072841367</v>
      </c>
      <c r="Z56">
        <v>0.31067068627482464</v>
      </c>
      <c r="AB56" s="3">
        <f t="shared" si="0"/>
        <v>-6.9677860012042556E-3</v>
      </c>
      <c r="AC56" s="3">
        <f t="shared" si="1"/>
        <v>-4.7802494094809495E-3</v>
      </c>
      <c r="AD56" s="3">
        <f t="shared" si="2"/>
        <v>1.7648242589567917E-3</v>
      </c>
      <c r="AE56" s="76">
        <f t="shared" si="3"/>
        <v>-4489</v>
      </c>
      <c r="AF56" s="76">
        <f t="shared" si="4"/>
        <v>-4800.9880952380918</v>
      </c>
      <c r="AG56" s="76">
        <f t="shared" si="5"/>
        <v>-154.10788032026903</v>
      </c>
      <c r="AN56">
        <v>27763</v>
      </c>
      <c r="AO56" s="5">
        <f t="shared" si="6"/>
        <v>2.0408163265306149E-2</v>
      </c>
      <c r="AP56" s="5">
        <f t="shared" si="7"/>
        <v>1.0338763893621203</v>
      </c>
      <c r="AR56" s="5">
        <f t="shared" si="8"/>
        <v>0.21639598396487136</v>
      </c>
      <c r="AS56" s="5">
        <f t="shared" si="9"/>
        <v>0.55369855679414526</v>
      </c>
      <c r="AT56" s="5">
        <f t="shared" si="10"/>
        <v>0.65789739313846685</v>
      </c>
    </row>
    <row r="57" spans="1:46" x14ac:dyDescent="0.25">
      <c r="A57" s="3" t="s">
        <v>565</v>
      </c>
      <c r="B57" s="3">
        <v>0</v>
      </c>
      <c r="C57" s="3">
        <v>42.5</v>
      </c>
      <c r="D57" s="3">
        <v>0.56559921131544155</v>
      </c>
      <c r="E57" s="3">
        <v>0.97683567539659766</v>
      </c>
      <c r="F57" s="3">
        <v>42.5</v>
      </c>
      <c r="G57" s="3" t="s">
        <v>566</v>
      </c>
      <c r="H57" s="3">
        <v>0</v>
      </c>
      <c r="I57" s="3">
        <v>42.5</v>
      </c>
      <c r="J57" s="3">
        <v>0.48023728865565729</v>
      </c>
      <c r="K57" s="3">
        <v>-8.5246126072736818E-3</v>
      </c>
      <c r="L57" s="4">
        <v>45429.5</v>
      </c>
      <c r="M57">
        <v>70.5</v>
      </c>
      <c r="N57">
        <v>71.55</v>
      </c>
      <c r="O57">
        <v>69.58</v>
      </c>
      <c r="P57">
        <v>70.52</v>
      </c>
      <c r="Q57">
        <v>22618</v>
      </c>
      <c r="R57">
        <v>322522</v>
      </c>
      <c r="S57">
        <v>30.88</v>
      </c>
      <c r="T57">
        <v>31.02</v>
      </c>
      <c r="U57">
        <v>30.25</v>
      </c>
      <c r="V57">
        <v>30.75</v>
      </c>
      <c r="W57">
        <v>806</v>
      </c>
      <c r="X57">
        <v>2.8513533072803573E-2</v>
      </c>
      <c r="Y57">
        <v>-1.075612152462242</v>
      </c>
      <c r="Z57">
        <v>-0.88703089743670183</v>
      </c>
      <c r="AB57" s="3">
        <f t="shared" si="0"/>
        <v>-3.5634471431395184E-3</v>
      </c>
      <c r="AC57" s="3">
        <f t="shared" si="1"/>
        <v>-3.31514054405075E-3</v>
      </c>
      <c r="AD57" s="3">
        <f t="shared" si="2"/>
        <v>3.0529194919743027E-3</v>
      </c>
      <c r="AE57" s="76">
        <f t="shared" si="3"/>
        <v>-4438.1904761904771</v>
      </c>
      <c r="AF57" s="76">
        <f t="shared" si="4"/>
        <v>-4863.6666666666679</v>
      </c>
      <c r="AG57" s="76">
        <f t="shared" si="5"/>
        <v>-246.16350611040616</v>
      </c>
      <c r="AN57">
        <v>27463</v>
      </c>
      <c r="AO57" s="5">
        <f t="shared" si="6"/>
        <v>1.0162601626016302E-2</v>
      </c>
      <c r="AP57" s="5">
        <f t="shared" si="7"/>
        <v>1.0338653774050273</v>
      </c>
      <c r="AR57" s="5">
        <f t="shared" si="8"/>
        <v>0.25173996021278966</v>
      </c>
      <c r="AS57" s="5">
        <f t="shared" si="9"/>
        <v>0.5671756788114346</v>
      </c>
      <c r="AT57" s="5">
        <f t="shared" si="10"/>
        <v>0.66448520767873975</v>
      </c>
    </row>
    <row r="58" spans="1:46" x14ac:dyDescent="0.25">
      <c r="A58" s="3" t="s">
        <v>567</v>
      </c>
      <c r="B58" s="3">
        <v>0</v>
      </c>
      <c r="C58" s="3">
        <v>43</v>
      </c>
      <c r="D58" s="3">
        <v>0.55523430152459485</v>
      </c>
      <c r="E58" s="3">
        <v>0.97600545478006506</v>
      </c>
      <c r="F58" s="3">
        <v>43</v>
      </c>
      <c r="G58" s="3" t="s">
        <v>568</v>
      </c>
      <c r="H58" s="3">
        <v>0</v>
      </c>
      <c r="I58" s="3">
        <v>43</v>
      </c>
      <c r="J58" s="3">
        <v>0.47643391957037712</v>
      </c>
      <c r="K58" s="3">
        <v>-9.550371807404057E-3</v>
      </c>
      <c r="L58" s="4">
        <v>45428.5</v>
      </c>
      <c r="M58">
        <v>69.09</v>
      </c>
      <c r="N58">
        <v>71.28</v>
      </c>
      <c r="O58">
        <v>68.88</v>
      </c>
      <c r="P58">
        <v>70.790000000000006</v>
      </c>
      <c r="Q58">
        <v>25314</v>
      </c>
      <c r="R58">
        <v>321366</v>
      </c>
      <c r="S58">
        <v>29.51</v>
      </c>
      <c r="T58">
        <v>30.75</v>
      </c>
      <c r="U58">
        <v>29.51</v>
      </c>
      <c r="V58">
        <v>30.62</v>
      </c>
      <c r="W58">
        <v>1150</v>
      </c>
      <c r="X58">
        <v>3.4188034188034268E-2</v>
      </c>
      <c r="Y58">
        <v>-0.78202522543337938</v>
      </c>
      <c r="Z58">
        <v>-0.65332564892312306</v>
      </c>
      <c r="AB58" s="3">
        <f t="shared" si="0"/>
        <v>-6.825794455048162E-4</v>
      </c>
      <c r="AC58" s="3">
        <f t="shared" si="1"/>
        <v>-1.6492314388320134E-3</v>
      </c>
      <c r="AD58" s="3">
        <f t="shared" si="2"/>
        <v>4.5268055332916349E-3</v>
      </c>
      <c r="AE58" s="76">
        <f t="shared" si="3"/>
        <v>-2767.3809523809505</v>
      </c>
      <c r="AF58" s="76">
        <f t="shared" si="4"/>
        <v>-3688.2440476190459</v>
      </c>
      <c r="AG58" s="76">
        <f t="shared" si="5"/>
        <v>785.0522545301319</v>
      </c>
      <c r="AN58">
        <v>34912</v>
      </c>
      <c r="AO58" s="5">
        <f t="shared" si="6"/>
        <v>-3.0395136778116651E-3</v>
      </c>
      <c r="AP58" s="5">
        <f t="shared" si="7"/>
        <v>1.0339627537029628</v>
      </c>
      <c r="AR58" s="5">
        <f t="shared" si="8"/>
        <v>0.28710338371680322</v>
      </c>
      <c r="AS58" s="5">
        <f t="shared" si="9"/>
        <v>0.58066492340995013</v>
      </c>
      <c r="AT58" s="5">
        <f t="shared" si="10"/>
        <v>0.67107914012436087</v>
      </c>
    </row>
    <row r="59" spans="1:46" x14ac:dyDescent="0.25">
      <c r="A59" s="3" t="s">
        <v>569</v>
      </c>
      <c r="B59" s="3">
        <v>0</v>
      </c>
      <c r="C59" s="3">
        <v>43.5</v>
      </c>
      <c r="D59" s="3">
        <v>0.54486969030849963</v>
      </c>
      <c r="E59" s="3">
        <v>0.97514768547445174</v>
      </c>
      <c r="F59" s="3">
        <v>43.5</v>
      </c>
      <c r="G59" s="3" t="s">
        <v>570</v>
      </c>
      <c r="H59" s="3">
        <v>0</v>
      </c>
      <c r="I59" s="3">
        <v>43.5</v>
      </c>
      <c r="J59" s="3">
        <v>0.47193084929680829</v>
      </c>
      <c r="K59" s="3">
        <v>-1.059383772702093E-2</v>
      </c>
      <c r="L59" s="4">
        <v>45427.5</v>
      </c>
      <c r="M59">
        <v>70.2</v>
      </c>
      <c r="N59">
        <v>71.849999999999994</v>
      </c>
      <c r="O59">
        <v>69.09</v>
      </c>
      <c r="P59">
        <v>69.19</v>
      </c>
      <c r="Q59">
        <v>24297</v>
      </c>
      <c r="R59">
        <v>318191</v>
      </c>
      <c r="S59">
        <v>29.585000000000001</v>
      </c>
      <c r="T59">
        <v>30.55</v>
      </c>
      <c r="U59">
        <v>29.5</v>
      </c>
      <c r="V59">
        <v>29.515000000000001</v>
      </c>
      <c r="W59">
        <v>1354</v>
      </c>
      <c r="X59">
        <v>3.9417309340188389E-2</v>
      </c>
      <c r="Y59">
        <v>-0.51940204685300451</v>
      </c>
      <c r="Z59">
        <v>-0.75605722289686161</v>
      </c>
      <c r="AB59" s="3">
        <f t="shared" si="0"/>
        <v>2.1614490837461864E-3</v>
      </c>
      <c r="AC59" s="3">
        <f t="shared" si="1"/>
        <v>8.6140407435501831E-4</v>
      </c>
      <c r="AD59" s="3">
        <f t="shared" si="2"/>
        <v>6.8210344793141683E-3</v>
      </c>
      <c r="AE59" s="76">
        <f t="shared" si="3"/>
        <v>-1425.7619047619046</v>
      </c>
      <c r="AF59" s="76">
        <f t="shared" si="4"/>
        <v>-2603.9583333333321</v>
      </c>
      <c r="AG59" s="76">
        <f t="shared" si="5"/>
        <v>1809.0712178676804</v>
      </c>
      <c r="AN59">
        <v>24617</v>
      </c>
      <c r="AO59" s="5">
        <f t="shared" si="6"/>
        <v>1.0141987829615676E-3</v>
      </c>
      <c r="AP59" s="5">
        <f t="shared" si="7"/>
        <v>1.0339971651613615</v>
      </c>
      <c r="AR59" s="5">
        <f t="shared" si="8"/>
        <v>0.32249295967316427</v>
      </c>
      <c r="AS59" s="5">
        <f t="shared" si="9"/>
        <v>0.59414891994401875</v>
      </c>
      <c r="AT59" s="5">
        <f t="shared" si="10"/>
        <v>0.67767935241630406</v>
      </c>
    </row>
    <row r="60" spans="1:46" x14ac:dyDescent="0.25">
      <c r="A60" s="3" t="s">
        <v>571</v>
      </c>
      <c r="B60" s="3">
        <v>0</v>
      </c>
      <c r="C60" s="3">
        <v>44</v>
      </c>
      <c r="D60" s="3">
        <v>0.53450668874799268</v>
      </c>
      <c r="E60" s="3">
        <v>0.97426090548144306</v>
      </c>
      <c r="F60" s="3">
        <v>44</v>
      </c>
      <c r="G60" s="3" t="s">
        <v>572</v>
      </c>
      <c r="H60" s="3">
        <v>0</v>
      </c>
      <c r="I60" s="3">
        <v>44</v>
      </c>
      <c r="J60" s="3">
        <v>0.46684863898312701</v>
      </c>
      <c r="K60" s="3">
        <v>-1.1658193522778335E-2</v>
      </c>
      <c r="L60" s="4">
        <v>45426.5</v>
      </c>
      <c r="M60">
        <v>70.02</v>
      </c>
      <c r="N60">
        <v>71.319999999999993</v>
      </c>
      <c r="O60">
        <v>69.02</v>
      </c>
      <c r="P60">
        <v>70.099999999999994</v>
      </c>
      <c r="Q60">
        <v>20492</v>
      </c>
      <c r="R60">
        <v>315931</v>
      </c>
      <c r="S60">
        <v>29.765000000000001</v>
      </c>
      <c r="T60">
        <v>30.2</v>
      </c>
      <c r="U60">
        <v>29.33</v>
      </c>
      <c r="V60">
        <v>29.67</v>
      </c>
      <c r="W60">
        <v>1493</v>
      </c>
      <c r="X60">
        <v>3.2244497406420825E-2</v>
      </c>
      <c r="Y60">
        <v>-0.90291741219060317</v>
      </c>
      <c r="Z60">
        <v>-1.1290609309463446</v>
      </c>
      <c r="AB60" s="3">
        <f t="shared" si="0"/>
        <v>4.8484331371321313E-3</v>
      </c>
      <c r="AC60" s="3">
        <f t="shared" si="1"/>
        <v>2.9802110180046845E-3</v>
      </c>
      <c r="AD60" s="3">
        <f t="shared" si="2"/>
        <v>8.7154583104204555E-3</v>
      </c>
      <c r="AE60" s="76">
        <f t="shared" si="3"/>
        <v>-345</v>
      </c>
      <c r="AF60" s="76">
        <f t="shared" si="4"/>
        <v>-1403.1964285714275</v>
      </c>
      <c r="AG60" s="76">
        <f t="shared" si="5"/>
        <v>2871.2414664981043</v>
      </c>
      <c r="AN60">
        <v>15846</v>
      </c>
      <c r="AO60" s="5">
        <f t="shared" si="6"/>
        <v>4.6579330422124188E-3</v>
      </c>
      <c r="AP60" s="5">
        <f t="shared" si="7"/>
        <v>1.0340848621882461</v>
      </c>
      <c r="AR60" s="5">
        <f t="shared" si="8"/>
        <v>0.35780643490870223</v>
      </c>
      <c r="AS60" s="5">
        <f t="shared" si="9"/>
        <v>0.60764101008877036</v>
      </c>
      <c r="AT60" s="5">
        <f t="shared" si="10"/>
        <v>0.68427606044204303</v>
      </c>
    </row>
    <row r="61" spans="1:46" x14ac:dyDescent="0.25">
      <c r="A61" s="3" t="s">
        <v>573</v>
      </c>
      <c r="B61" s="3">
        <v>0</v>
      </c>
      <c r="C61" s="3">
        <v>44.5</v>
      </c>
      <c r="D61" s="3">
        <v>0.52414631121663957</v>
      </c>
      <c r="E61" s="3">
        <v>0.9733435504456619</v>
      </c>
      <c r="F61" s="3">
        <v>44.5</v>
      </c>
      <c r="G61" s="3" t="s">
        <v>574</v>
      </c>
      <c r="H61" s="3">
        <v>0</v>
      </c>
      <c r="I61" s="3">
        <v>44.5</v>
      </c>
      <c r="J61" s="3">
        <v>0.4612789096048972</v>
      </c>
      <c r="K61" s="3">
        <v>-1.2746382589826025E-2</v>
      </c>
      <c r="L61" s="4">
        <v>45425.5</v>
      </c>
      <c r="M61">
        <v>71.33</v>
      </c>
      <c r="N61">
        <v>71.489999999999995</v>
      </c>
      <c r="O61">
        <v>68.7</v>
      </c>
      <c r="P61">
        <v>70.069999999999993</v>
      </c>
      <c r="Q61">
        <v>30747</v>
      </c>
      <c r="R61">
        <v>313456</v>
      </c>
      <c r="S61">
        <v>29.594999999999999</v>
      </c>
      <c r="T61">
        <v>29.875</v>
      </c>
      <c r="U61">
        <v>29.164999999999999</v>
      </c>
      <c r="V61">
        <v>29.754999999999999</v>
      </c>
      <c r="W61">
        <v>1212</v>
      </c>
      <c r="X61">
        <v>3.7959183673469281E-2</v>
      </c>
      <c r="Y61">
        <v>-0.60621479453907967</v>
      </c>
      <c r="Z61">
        <v>-0.1764794037100185</v>
      </c>
      <c r="AB61" s="3">
        <f t="shared" si="0"/>
        <v>5.0414978430053728E-3</v>
      </c>
      <c r="AC61" s="3">
        <f t="shared" si="1"/>
        <v>3.0153164827172868E-3</v>
      </c>
      <c r="AD61" s="3">
        <f t="shared" si="2"/>
        <v>9.085061788656916E-3</v>
      </c>
      <c r="AE61" s="76">
        <f t="shared" si="3"/>
        <v>250.09523809523671</v>
      </c>
      <c r="AF61" s="76">
        <f t="shared" si="4"/>
        <v>-527.75595238095411</v>
      </c>
      <c r="AG61" s="76">
        <f t="shared" si="5"/>
        <v>3683.751790981878</v>
      </c>
      <c r="AN61">
        <v>36589</v>
      </c>
      <c r="AO61" s="5">
        <f t="shared" si="6"/>
        <v>-3.6060053318366682E-2</v>
      </c>
      <c r="AP61" s="5">
        <f t="shared" si="7"/>
        <v>1.0340986683192674</v>
      </c>
      <c r="AR61" s="5">
        <f t="shared" si="8"/>
        <v>0.39314012340068361</v>
      </c>
      <c r="AS61" s="5">
        <f t="shared" si="9"/>
        <v>0.62112110200679171</v>
      </c>
      <c r="AT61" s="5">
        <f t="shared" si="10"/>
        <v>0.69085189401122915</v>
      </c>
    </row>
    <row r="62" spans="1:46" x14ac:dyDescent="0.25">
      <c r="A62" s="3" t="s">
        <v>575</v>
      </c>
      <c r="B62" s="3">
        <v>0</v>
      </c>
      <c r="C62" s="3">
        <v>45</v>
      </c>
      <c r="D62" s="3">
        <v>0.51378933449709341</v>
      </c>
      <c r="E62" s="3">
        <v>0.97239393672879837</v>
      </c>
      <c r="F62" s="3">
        <v>45</v>
      </c>
      <c r="G62" s="3" t="s">
        <v>576</v>
      </c>
      <c r="H62" s="3">
        <v>800</v>
      </c>
      <c r="I62" s="3">
        <v>45</v>
      </c>
      <c r="J62" s="3">
        <v>0.45529305435754652</v>
      </c>
      <c r="K62" s="3">
        <v>-1.3861218169175798E-2</v>
      </c>
      <c r="L62" s="4">
        <v>45422.5</v>
      </c>
      <c r="M62">
        <v>73.5</v>
      </c>
      <c r="N62">
        <v>75.5</v>
      </c>
      <c r="O62">
        <v>71.27</v>
      </c>
      <c r="P62">
        <v>71.59</v>
      </c>
      <c r="Q62">
        <v>25330</v>
      </c>
      <c r="R62">
        <v>313285</v>
      </c>
      <c r="S62">
        <v>30.74</v>
      </c>
      <c r="T62">
        <v>31.565000000000001</v>
      </c>
      <c r="U62">
        <v>29.655000000000001</v>
      </c>
      <c r="V62">
        <v>29.85</v>
      </c>
      <c r="W62">
        <v>1249</v>
      </c>
      <c r="X62">
        <v>5.9251996077882112E-2</v>
      </c>
      <c r="Y62">
        <v>0.54345262913717429</v>
      </c>
      <c r="Z62">
        <v>-0.69152055441505633</v>
      </c>
      <c r="AB62" s="3">
        <f t="shared" si="0"/>
        <v>5.2978201513785156E-3</v>
      </c>
      <c r="AC62" s="3">
        <f t="shared" si="1"/>
        <v>4.1526833787254025E-3</v>
      </c>
      <c r="AD62" s="3">
        <f t="shared" si="2"/>
        <v>1.0493608024523565E-2</v>
      </c>
      <c r="AE62" s="76">
        <f t="shared" si="3"/>
        <v>1994.9523809523816</v>
      </c>
      <c r="AF62" s="76">
        <f t="shared" si="4"/>
        <v>883.50595238095048</v>
      </c>
      <c r="AG62" s="76">
        <f t="shared" si="5"/>
        <v>4936.3468183733676</v>
      </c>
      <c r="AN62">
        <v>30485</v>
      </c>
      <c r="AO62" s="5">
        <f t="shared" si="6"/>
        <v>1.9682271896527565E-3</v>
      </c>
      <c r="AP62" s="5">
        <f t="shared" si="7"/>
        <v>1.0337844492429746</v>
      </c>
      <c r="AR62" s="5">
        <f t="shared" si="8"/>
        <v>0.4287330103564212</v>
      </c>
      <c r="AS62" s="5">
        <f t="shared" si="9"/>
        <v>0.63449409449697436</v>
      </c>
      <c r="AT62" s="5">
        <f t="shared" si="10"/>
        <v>0.69739248488222771</v>
      </c>
    </row>
    <row r="63" spans="1:46" x14ac:dyDescent="0.25">
      <c r="A63" s="3" t="s">
        <v>577</v>
      </c>
      <c r="B63" s="3">
        <v>0</v>
      </c>
      <c r="C63" s="3">
        <v>45.5</v>
      </c>
      <c r="D63" s="3">
        <v>0.50649264371321057</v>
      </c>
      <c r="E63" s="3">
        <v>0.970783949207079</v>
      </c>
      <c r="F63" s="3">
        <v>45.5</v>
      </c>
      <c r="G63" s="3" t="s">
        <v>578</v>
      </c>
      <c r="H63" s="3">
        <v>0</v>
      </c>
      <c r="I63" s="3">
        <v>45.5</v>
      </c>
      <c r="J63" s="3">
        <v>0.45363745603474864</v>
      </c>
      <c r="K63" s="3">
        <v>-1.5798964137628234E-2</v>
      </c>
      <c r="L63" s="4">
        <v>45421.5</v>
      </c>
      <c r="M63">
        <v>71.39</v>
      </c>
      <c r="N63">
        <v>74.08</v>
      </c>
      <c r="O63">
        <v>71.13</v>
      </c>
      <c r="P63">
        <v>73.62</v>
      </c>
      <c r="Q63">
        <v>17421</v>
      </c>
      <c r="R63">
        <v>312377</v>
      </c>
      <c r="S63">
        <v>30.835000000000001</v>
      </c>
      <c r="T63">
        <v>31.5</v>
      </c>
      <c r="U63">
        <v>30.44</v>
      </c>
      <c r="V63">
        <v>30.954999999999998</v>
      </c>
      <c r="W63">
        <v>1087</v>
      </c>
      <c r="X63">
        <v>4.1613767809282026E-2</v>
      </c>
      <c r="Y63">
        <v>-0.39122309592264987</v>
      </c>
      <c r="Z63">
        <v>-1.4521572837440051</v>
      </c>
      <c r="AB63" s="3">
        <f t="shared" si="0"/>
        <v>9.7592673465941096E-3</v>
      </c>
      <c r="AC63" s="3">
        <f t="shared" si="1"/>
        <v>6.7938381588283983E-3</v>
      </c>
      <c r="AD63" s="3">
        <f t="shared" si="2"/>
        <v>1.2907751501734045E-2</v>
      </c>
      <c r="AE63" s="76">
        <f t="shared" si="3"/>
        <v>4424.9523809523853</v>
      </c>
      <c r="AF63" s="76">
        <f t="shared" si="4"/>
        <v>2790.3869047619082</v>
      </c>
      <c r="AG63" s="76">
        <f t="shared" si="5"/>
        <v>6626.983143699963</v>
      </c>
      <c r="AN63">
        <v>30964</v>
      </c>
      <c r="AO63" s="5">
        <f t="shared" si="6"/>
        <v>2.2276516240298895E-2</v>
      </c>
      <c r="AP63" s="5">
        <f t="shared" si="7"/>
        <v>1.0338100030030575</v>
      </c>
      <c r="AR63" s="5">
        <f t="shared" si="8"/>
        <v>0.46392133517621403</v>
      </c>
      <c r="AS63" s="5">
        <f t="shared" si="9"/>
        <v>0.64759354125149615</v>
      </c>
      <c r="AT63" s="5">
        <f t="shared" si="10"/>
        <v>0.70373992555167975</v>
      </c>
    </row>
    <row r="64" spans="1:46" x14ac:dyDescent="0.25">
      <c r="A64" s="3" t="s">
        <v>579</v>
      </c>
      <c r="B64" s="3">
        <v>0</v>
      </c>
      <c r="C64" s="3">
        <v>46</v>
      </c>
      <c r="D64" s="3">
        <v>0.49604498622018178</v>
      </c>
      <c r="E64" s="3">
        <v>0.96975570825960589</v>
      </c>
      <c r="F64" s="3">
        <v>46</v>
      </c>
      <c r="G64" s="3" t="s">
        <v>580</v>
      </c>
      <c r="H64" s="3">
        <v>0</v>
      </c>
      <c r="I64" s="3">
        <v>46</v>
      </c>
      <c r="J64" s="3">
        <v>0.44669181110587125</v>
      </c>
      <c r="K64" s="3">
        <v>-1.6976635649440772E-2</v>
      </c>
      <c r="L64" s="4">
        <v>45420.5</v>
      </c>
      <c r="M64">
        <v>70.89</v>
      </c>
      <c r="N64">
        <v>72.8</v>
      </c>
      <c r="O64">
        <v>69.58</v>
      </c>
      <c r="P64">
        <v>71.92</v>
      </c>
      <c r="Q64">
        <v>26168</v>
      </c>
      <c r="R64">
        <v>311572</v>
      </c>
      <c r="S64">
        <v>30.585000000000001</v>
      </c>
      <c r="T64">
        <v>31.05</v>
      </c>
      <c r="U64">
        <v>30.045000000000002</v>
      </c>
      <c r="V64">
        <v>30.695</v>
      </c>
      <c r="W64">
        <v>1373</v>
      </c>
      <c r="X64">
        <v>4.3959044368600667E-2</v>
      </c>
      <c r="Y64">
        <v>-0.25867876951334834</v>
      </c>
      <c r="Z64">
        <v>-0.62476038635651554</v>
      </c>
      <c r="AB64" s="3">
        <f t="shared" si="0"/>
        <v>1.0492921575038373E-2</v>
      </c>
      <c r="AC64" s="3">
        <f t="shared" si="1"/>
        <v>7.0956883458256209E-3</v>
      </c>
      <c r="AD64" s="3">
        <f t="shared" si="2"/>
        <v>1.3130841839064537E-2</v>
      </c>
      <c r="AE64" s="76">
        <f t="shared" si="3"/>
        <v>4707.0952380952367</v>
      </c>
      <c r="AF64" s="76">
        <f t="shared" si="4"/>
        <v>3430.0416666666642</v>
      </c>
      <c r="AG64" s="76">
        <f t="shared" si="5"/>
        <v>7250.873999157182</v>
      </c>
      <c r="AN64">
        <v>19116</v>
      </c>
      <c r="AO64" s="5">
        <f t="shared" si="6"/>
        <v>-1.3049645390070946E-2</v>
      </c>
      <c r="AP64" s="5">
        <f t="shared" si="7"/>
        <v>1.0335201273317043</v>
      </c>
      <c r="AR64" s="5">
        <f t="shared" si="8"/>
        <v>0.49901589758468856</v>
      </c>
      <c r="AS64" s="5">
        <f t="shared" si="9"/>
        <v>0.66071341848936238</v>
      </c>
      <c r="AT64" s="5">
        <f t="shared" si="10"/>
        <v>0.71009304964291797</v>
      </c>
    </row>
    <row r="65" spans="1:46" x14ac:dyDescent="0.25">
      <c r="A65" s="3" t="s">
        <v>581</v>
      </c>
      <c r="B65" s="3">
        <v>0</v>
      </c>
      <c r="C65" s="3">
        <v>46.5</v>
      </c>
      <c r="D65" s="3">
        <v>0.48841345137756814</v>
      </c>
      <c r="E65" s="3">
        <v>0.96805321573245917</v>
      </c>
      <c r="F65" s="3">
        <v>46.5</v>
      </c>
      <c r="G65" s="3" t="s">
        <v>582</v>
      </c>
      <c r="H65" s="3">
        <v>0</v>
      </c>
      <c r="I65" s="3">
        <v>46.5</v>
      </c>
      <c r="J65" s="3">
        <v>0.44349393025655126</v>
      </c>
      <c r="K65" s="3">
        <v>-1.8971903061769907E-2</v>
      </c>
      <c r="L65" s="4">
        <v>45419.5</v>
      </c>
      <c r="M65">
        <v>73.25</v>
      </c>
      <c r="N65">
        <v>74.3</v>
      </c>
      <c r="O65">
        <v>70.5</v>
      </c>
      <c r="P65">
        <v>70.849999999999994</v>
      </c>
      <c r="Q65">
        <v>37056</v>
      </c>
      <c r="R65">
        <v>311125</v>
      </c>
      <c r="S65">
        <v>31.6</v>
      </c>
      <c r="T65">
        <v>32.145000000000003</v>
      </c>
      <c r="U65">
        <v>30.565000000000001</v>
      </c>
      <c r="V65">
        <v>30.675000000000001</v>
      </c>
      <c r="W65">
        <v>1814</v>
      </c>
      <c r="X65">
        <v>5.2969054920546384E-2</v>
      </c>
      <c r="Y65">
        <v>0.23987245484515785</v>
      </c>
      <c r="Z65">
        <v>0.41912576812326929</v>
      </c>
      <c r="AB65" s="3">
        <f t="shared" si="0"/>
        <v>9.6095864218039631E-3</v>
      </c>
      <c r="AC65" s="3">
        <f t="shared" si="1"/>
        <v>6.657578971918543E-3</v>
      </c>
      <c r="AD65" s="3">
        <f t="shared" si="2"/>
        <v>1.2691759659040569E-2</v>
      </c>
      <c r="AE65" s="76">
        <f t="shared" si="3"/>
        <v>5837.7142857142862</v>
      </c>
      <c r="AF65" s="76">
        <f t="shared" si="4"/>
        <v>4439.4821428571413</v>
      </c>
      <c r="AG65" s="76">
        <f t="shared" si="5"/>
        <v>7956.1289506953217</v>
      </c>
      <c r="AN65">
        <v>26594</v>
      </c>
      <c r="AO65" s="5">
        <f t="shared" si="6"/>
        <v>-1.3710128707330778E-2</v>
      </c>
      <c r="AP65" s="5">
        <f t="shared" si="7"/>
        <v>1.0338482502547468</v>
      </c>
      <c r="AR65" s="5">
        <f t="shared" si="8"/>
        <v>0.53407622643139019</v>
      </c>
      <c r="AS65" s="5">
        <f t="shared" si="9"/>
        <v>0.6738358489397418</v>
      </c>
      <c r="AT65" s="5">
        <f t="shared" si="10"/>
        <v>0.71646372995656482</v>
      </c>
    </row>
    <row r="66" spans="1:46" x14ac:dyDescent="0.25">
      <c r="A66" s="3" t="s">
        <v>583</v>
      </c>
      <c r="B66" s="3">
        <v>0</v>
      </c>
      <c r="C66" s="3">
        <v>47</v>
      </c>
      <c r="D66" s="3">
        <v>0.48056402958802696</v>
      </c>
      <c r="E66" s="3">
        <v>0.96629922131558554</v>
      </c>
      <c r="F66" s="3">
        <v>47</v>
      </c>
      <c r="G66" s="3" t="s">
        <v>584</v>
      </c>
      <c r="H66" s="3">
        <v>0</v>
      </c>
      <c r="I66" s="3">
        <v>47</v>
      </c>
      <c r="J66" s="3">
        <v>0.43952308834848175</v>
      </c>
      <c r="K66" s="3">
        <v>-2.0999259441934412E-2</v>
      </c>
      <c r="L66" s="4">
        <v>45418.5</v>
      </c>
      <c r="M66">
        <v>71.739999999999995</v>
      </c>
      <c r="N66">
        <v>74.489999999999995</v>
      </c>
      <c r="O66">
        <v>71.48</v>
      </c>
      <c r="P66">
        <v>73.67</v>
      </c>
      <c r="Q66">
        <v>20614</v>
      </c>
      <c r="R66">
        <v>306017</v>
      </c>
      <c r="S66">
        <v>30.72</v>
      </c>
      <c r="T66">
        <v>32.174999999999997</v>
      </c>
      <c r="U66">
        <v>30.72</v>
      </c>
      <c r="V66">
        <v>31.79</v>
      </c>
      <c r="W66">
        <v>1101</v>
      </c>
      <c r="X66">
        <v>4.1500068936991465E-2</v>
      </c>
      <c r="Y66">
        <v>-0.34782941979124077</v>
      </c>
      <c r="Z66">
        <v>-1.1173952016903017</v>
      </c>
      <c r="AB66" s="3">
        <f t="shared" si="0"/>
        <v>1.188688402943687E-2</v>
      </c>
      <c r="AC66" s="3">
        <f t="shared" si="1"/>
        <v>8.3601675033263823E-3</v>
      </c>
      <c r="AD66" s="3">
        <f t="shared" si="2"/>
        <v>1.3944040076381392E-2</v>
      </c>
      <c r="AE66" s="76">
        <f t="shared" si="3"/>
        <v>6066.8571428571413</v>
      </c>
      <c r="AF66" s="76">
        <f t="shared" si="4"/>
        <v>4747.6309523809505</v>
      </c>
      <c r="AG66" s="76">
        <f t="shared" si="5"/>
        <v>8083.1799410029489</v>
      </c>
      <c r="AN66">
        <v>25036</v>
      </c>
      <c r="AO66" s="5">
        <f t="shared" si="6"/>
        <v>1.5412638363457955E-3</v>
      </c>
      <c r="AP66" s="5">
        <f t="shared" si="7"/>
        <v>1.0338787794957489</v>
      </c>
      <c r="AR66" s="5">
        <f t="shared" si="8"/>
        <v>0.56902274896715332</v>
      </c>
      <c r="AS66" s="5">
        <f t="shared" si="9"/>
        <v>0.6868945525106176</v>
      </c>
      <c r="AT66" s="5">
        <f t="shared" si="10"/>
        <v>0.72276061333346131</v>
      </c>
    </row>
    <row r="67" spans="1:46" x14ac:dyDescent="0.25">
      <c r="A67" s="3" t="s">
        <v>585</v>
      </c>
      <c r="B67" s="3">
        <v>0</v>
      </c>
      <c r="C67" s="3">
        <v>47.5</v>
      </c>
      <c r="D67" s="3">
        <v>0.47251582976959289</v>
      </c>
      <c r="E67" s="3">
        <v>0.96448998378513806</v>
      </c>
      <c r="F67" s="3">
        <v>47.5</v>
      </c>
      <c r="G67" s="3" t="s">
        <v>586</v>
      </c>
      <c r="H67" s="3">
        <v>0</v>
      </c>
      <c r="I67" s="3">
        <v>47.5</v>
      </c>
      <c r="J67" s="3">
        <v>0.43490420704446214</v>
      </c>
      <c r="K67" s="3">
        <v>-2.3065855057203551E-2</v>
      </c>
      <c r="L67" s="4">
        <v>45415.5</v>
      </c>
      <c r="M67">
        <v>72.53</v>
      </c>
      <c r="N67">
        <v>74.56</v>
      </c>
      <c r="O67">
        <v>71.37</v>
      </c>
      <c r="P67">
        <v>71.84</v>
      </c>
      <c r="Q67">
        <v>34658</v>
      </c>
      <c r="R67">
        <v>304693</v>
      </c>
      <c r="S67">
        <v>30.71</v>
      </c>
      <c r="T67">
        <v>31.78</v>
      </c>
      <c r="U67">
        <v>30.045000000000002</v>
      </c>
      <c r="V67">
        <v>30.045000000000002</v>
      </c>
      <c r="W67">
        <v>1085</v>
      </c>
      <c r="X67">
        <v>4.6994696523276341E-2</v>
      </c>
      <c r="Y67">
        <v>-5.5658213087713286E-2</v>
      </c>
      <c r="Z67">
        <v>0.20497707949955832</v>
      </c>
      <c r="AB67" s="3">
        <f t="shared" si="0"/>
        <v>1.1807203120298884E-2</v>
      </c>
      <c r="AC67" s="3">
        <f t="shared" si="1"/>
        <v>9.2621126967098594E-3</v>
      </c>
      <c r="AD67" s="3">
        <f t="shared" si="2"/>
        <v>1.4688582331728407E-2</v>
      </c>
      <c r="AE67" s="76">
        <f t="shared" si="3"/>
        <v>5867.047619047622</v>
      </c>
      <c r="AF67" s="76">
        <f t="shared" si="4"/>
        <v>5385.5059523809541</v>
      </c>
      <c r="AG67" s="76">
        <f t="shared" si="5"/>
        <v>8622.0358196375928</v>
      </c>
      <c r="AN67">
        <v>21089</v>
      </c>
      <c r="AO67" s="5">
        <f t="shared" si="6"/>
        <v>6.1895551257253552E-2</v>
      </c>
      <c r="AP67" s="5">
        <f t="shared" si="7"/>
        <v>1.0338835658431522</v>
      </c>
      <c r="AR67" s="5">
        <f t="shared" si="8"/>
        <v>0.60390224130391645</v>
      </c>
      <c r="AS67" s="5">
        <f t="shared" si="9"/>
        <v>0.69992605481302794</v>
      </c>
      <c r="AT67" s="5">
        <f t="shared" si="10"/>
        <v>0.72903217584264712</v>
      </c>
    </row>
    <row r="68" spans="1:46" x14ac:dyDescent="0.25">
      <c r="A68" s="3" t="s">
        <v>587</v>
      </c>
      <c r="B68" s="3">
        <v>0</v>
      </c>
      <c r="C68" s="3">
        <v>48</v>
      </c>
      <c r="D68" s="3">
        <v>0.46428527856057566</v>
      </c>
      <c r="E68" s="3">
        <v>0.96262153306132503</v>
      </c>
      <c r="F68" s="3">
        <v>48</v>
      </c>
      <c r="G68" s="3" t="s">
        <v>588</v>
      </c>
      <c r="H68" s="3">
        <v>0</v>
      </c>
      <c r="I68" s="3">
        <v>48</v>
      </c>
      <c r="J68" s="3">
        <v>0.42973251410070151</v>
      </c>
      <c r="K68" s="3">
        <v>-2.5178341329333803E-2</v>
      </c>
      <c r="L68" s="4">
        <v>45414.5</v>
      </c>
      <c r="M68">
        <v>67.88</v>
      </c>
      <c r="N68">
        <v>73.19</v>
      </c>
      <c r="O68">
        <v>67.209999999999994</v>
      </c>
      <c r="P68">
        <v>72.69</v>
      </c>
      <c r="Q68">
        <v>48552</v>
      </c>
      <c r="R68">
        <v>305873</v>
      </c>
      <c r="S68">
        <v>28.524999999999999</v>
      </c>
      <c r="T68">
        <v>31.175000000000001</v>
      </c>
      <c r="U68">
        <v>28.524999999999999</v>
      </c>
      <c r="V68">
        <v>30.835000000000001</v>
      </c>
      <c r="W68">
        <v>1619</v>
      </c>
      <c r="X68">
        <v>8.6428674663968835E-2</v>
      </c>
      <c r="Y68">
        <v>2.0232076017379286</v>
      </c>
      <c r="Z68">
        <v>1.5358325139713016</v>
      </c>
      <c r="AB68" s="3">
        <f t="shared" si="0"/>
        <v>8.9629662918743885E-3</v>
      </c>
      <c r="AC68" s="3">
        <f t="shared" si="1"/>
        <v>8.5254381481937036E-3</v>
      </c>
      <c r="AD68" s="3">
        <f t="shared" si="2"/>
        <v>1.4218772872470462E-2</v>
      </c>
      <c r="AE68" s="76">
        <f t="shared" si="3"/>
        <v>4130.8571428571449</v>
      </c>
      <c r="AF68" s="76">
        <f t="shared" si="4"/>
        <v>4907.047619047622</v>
      </c>
      <c r="AG68" s="76">
        <f t="shared" si="5"/>
        <v>8197.2005899705036</v>
      </c>
      <c r="AN68">
        <v>20872</v>
      </c>
      <c r="AO68" s="5">
        <f t="shared" si="6"/>
        <v>-2.0786933927245815E-3</v>
      </c>
      <c r="AP68" s="5">
        <f t="shared" si="7"/>
        <v>1.0319502093142059</v>
      </c>
      <c r="AR68" s="5">
        <f t="shared" si="8"/>
        <v>0.63875415890738574</v>
      </c>
      <c r="AS68" s="5">
        <f t="shared" si="9"/>
        <v>0.71281704307236882</v>
      </c>
      <c r="AT68" s="5">
        <f t="shared" si="10"/>
        <v>0.73527101232439263</v>
      </c>
    </row>
    <row r="69" spans="1:46" x14ac:dyDescent="0.25">
      <c r="A69" s="3" t="s">
        <v>589</v>
      </c>
      <c r="B69" s="3">
        <v>0</v>
      </c>
      <c r="C69" s="3">
        <v>48.5</v>
      </c>
      <c r="D69" s="3">
        <v>0.45588653682313407</v>
      </c>
      <c r="E69" s="3">
        <v>0.96068963035667099</v>
      </c>
      <c r="F69" s="3">
        <v>48.5</v>
      </c>
      <c r="G69" s="3" t="s">
        <v>590</v>
      </c>
      <c r="H69" s="3">
        <v>0</v>
      </c>
      <c r="I69" s="3">
        <v>48.5</v>
      </c>
      <c r="J69" s="3">
        <v>0.42408236806709892</v>
      </c>
      <c r="K69" s="3">
        <v>-2.7343112847266128E-2</v>
      </c>
      <c r="L69" s="4">
        <v>45413.5</v>
      </c>
      <c r="M69">
        <v>69.19</v>
      </c>
      <c r="N69">
        <v>69.260000000000005</v>
      </c>
      <c r="O69">
        <v>67.349999999999994</v>
      </c>
      <c r="P69">
        <v>67.91</v>
      </c>
      <c r="Q69">
        <v>13200</v>
      </c>
      <c r="R69">
        <v>300835</v>
      </c>
      <c r="S69">
        <v>28.7</v>
      </c>
      <c r="T69">
        <v>29.055</v>
      </c>
      <c r="U69">
        <v>28.475000000000001</v>
      </c>
      <c r="V69">
        <v>28.824999999999999</v>
      </c>
      <c r="W69">
        <v>794</v>
      </c>
      <c r="X69">
        <v>2.8961334344200316E-2</v>
      </c>
      <c r="Y69">
        <v>-0.99427012873470555</v>
      </c>
      <c r="Z69">
        <v>-1.8127863113790266</v>
      </c>
      <c r="AB69" s="3">
        <f t="shared" si="0"/>
        <v>4.7982729269046565E-3</v>
      </c>
      <c r="AC69" s="3">
        <f t="shared" si="1"/>
        <v>6.5261669561899743E-3</v>
      </c>
      <c r="AD69" s="3">
        <f t="shared" si="2"/>
        <v>1.236694034942587E-2</v>
      </c>
      <c r="AE69" s="76">
        <f t="shared" si="3"/>
        <v>1514.238095238099</v>
      </c>
      <c r="AF69" s="76">
        <f t="shared" si="4"/>
        <v>3868.4285714285725</v>
      </c>
      <c r="AG69" s="76">
        <f t="shared" si="5"/>
        <v>7217.998735777499</v>
      </c>
      <c r="AN69">
        <v>19481</v>
      </c>
      <c r="AO69" s="5">
        <f t="shared" si="6"/>
        <v>3.0131538696849175E-2</v>
      </c>
      <c r="AP69" s="5">
        <f t="shared" si="7"/>
        <v>1.0319577528178214</v>
      </c>
      <c r="AR69" s="5">
        <f t="shared" si="8"/>
        <v>0.67366202754590954</v>
      </c>
      <c r="AS69" s="5">
        <f t="shared" si="9"/>
        <v>0.72583202372942801</v>
      </c>
      <c r="AT69" s="5">
        <f t="shared" si="10"/>
        <v>0.74160167897866314</v>
      </c>
    </row>
    <row r="70" spans="1:46" x14ac:dyDescent="0.25">
      <c r="A70" s="3" t="s">
        <v>591</v>
      </c>
      <c r="B70" s="3">
        <v>0</v>
      </c>
      <c r="C70" s="3">
        <v>49</v>
      </c>
      <c r="D70" s="3">
        <v>0.4473318317328947</v>
      </c>
      <c r="E70" s="3">
        <v>0.9586897251991694</v>
      </c>
      <c r="F70" s="3">
        <v>49</v>
      </c>
      <c r="G70" s="3" t="s">
        <v>592</v>
      </c>
      <c r="H70" s="3">
        <v>0</v>
      </c>
      <c r="I70" s="3">
        <v>49</v>
      </c>
      <c r="J70" s="3">
        <v>0.41801296723045084</v>
      </c>
      <c r="K70" s="3">
        <v>-2.9566486695108956E-2</v>
      </c>
      <c r="L70" s="4">
        <v>45412.5</v>
      </c>
      <c r="M70">
        <v>65.95</v>
      </c>
      <c r="N70">
        <v>69.599999999999994</v>
      </c>
      <c r="O70">
        <v>65.38</v>
      </c>
      <c r="P70">
        <v>69.2</v>
      </c>
      <c r="Q70">
        <v>31133</v>
      </c>
      <c r="R70">
        <v>300518</v>
      </c>
      <c r="S70">
        <v>28.45</v>
      </c>
      <c r="T70">
        <v>29.504999999999999</v>
      </c>
      <c r="U70">
        <v>28.45</v>
      </c>
      <c r="V70">
        <v>29.375</v>
      </c>
      <c r="W70">
        <v>425</v>
      </c>
      <c r="X70">
        <v>6.2985074626865659E-2</v>
      </c>
      <c r="Y70">
        <v>0.85321454594408963</v>
      </c>
      <c r="Z70">
        <v>-0.11101687429381947</v>
      </c>
      <c r="AB70" s="3">
        <f t="shared" si="0"/>
        <v>1.8862073741878205E-3</v>
      </c>
      <c r="AC70" s="3">
        <f t="shared" si="1"/>
        <v>5.1736593119884947E-3</v>
      </c>
      <c r="AD70" s="3">
        <f t="shared" si="2"/>
        <v>1.1184172362379258E-2</v>
      </c>
      <c r="AE70" s="76">
        <f t="shared" si="3"/>
        <v>1991.6666666666642</v>
      </c>
      <c r="AF70" s="76">
        <f t="shared" si="4"/>
        <v>4873.5595238095229</v>
      </c>
      <c r="AG70" s="76">
        <f t="shared" si="5"/>
        <v>8195.3303834808248</v>
      </c>
      <c r="AN70">
        <v>20321</v>
      </c>
      <c r="AO70" s="5">
        <f t="shared" si="6"/>
        <v>5.6914320873710242E-3</v>
      </c>
      <c r="AP70" s="5">
        <f t="shared" si="7"/>
        <v>1.0314621026868021</v>
      </c>
      <c r="AR70" s="5">
        <f t="shared" si="8"/>
        <v>0.70886733243735678</v>
      </c>
      <c r="AS70" s="5">
        <f t="shared" si="9"/>
        <v>0.73883265154483913</v>
      </c>
      <c r="AT70" s="5">
        <f t="shared" si="10"/>
        <v>0.74784817812604965</v>
      </c>
    </row>
    <row r="71" spans="1:46" x14ac:dyDescent="0.25">
      <c r="A71" s="3" t="s">
        <v>593</v>
      </c>
      <c r="B71" s="3">
        <v>0</v>
      </c>
      <c r="C71" s="3">
        <v>49.5</v>
      </c>
      <c r="D71" s="3">
        <v>0.44072688973856511</v>
      </c>
      <c r="E71" s="3">
        <v>0.95597088272359476</v>
      </c>
      <c r="F71" s="3">
        <v>49.5</v>
      </c>
      <c r="G71" s="3" t="s">
        <v>594</v>
      </c>
      <c r="H71" s="3">
        <v>0</v>
      </c>
      <c r="I71" s="3">
        <v>49.5</v>
      </c>
      <c r="J71" s="3">
        <v>0.41408909517755188</v>
      </c>
      <c r="K71" s="3">
        <v>-3.2592645097745405E-2</v>
      </c>
      <c r="L71" s="4">
        <v>45411.5</v>
      </c>
      <c r="M71">
        <v>67</v>
      </c>
      <c r="N71">
        <v>67.36</v>
      </c>
      <c r="O71">
        <v>65.010000000000005</v>
      </c>
      <c r="P71">
        <v>65.8</v>
      </c>
      <c r="Q71">
        <v>21764</v>
      </c>
      <c r="R71">
        <v>299350</v>
      </c>
      <c r="S71">
        <v>27.994</v>
      </c>
      <c r="T71">
        <v>27.994</v>
      </c>
      <c r="U71">
        <v>27.994</v>
      </c>
      <c r="V71">
        <v>27.994</v>
      </c>
      <c r="W71">
        <v>4</v>
      </c>
      <c r="X71">
        <v>3.4452426330450002E-2</v>
      </c>
      <c r="Y71">
        <v>-0.69262626808228311</v>
      </c>
      <c r="Z71">
        <v>-1.0317167546072605</v>
      </c>
      <c r="AB71" s="3">
        <f t="shared" si="0"/>
        <v>-2.602987781369602E-3</v>
      </c>
      <c r="AC71" s="3">
        <f t="shared" si="1"/>
        <v>9.716629338011526E-4</v>
      </c>
      <c r="AD71" s="3">
        <f t="shared" si="2"/>
        <v>8.0492619163593515E-3</v>
      </c>
      <c r="AE71" s="76">
        <f t="shared" si="3"/>
        <v>-676.04761904761835</v>
      </c>
      <c r="AF71" s="76">
        <f t="shared" si="4"/>
        <v>2850.8392857142826</v>
      </c>
      <c r="AG71" s="76">
        <f t="shared" si="5"/>
        <v>6503.9658659924135</v>
      </c>
      <c r="AN71">
        <v>20762</v>
      </c>
      <c r="AO71" s="5">
        <f t="shared" si="6"/>
        <v>-2.3433979269941237E-2</v>
      </c>
      <c r="AP71" s="5">
        <f t="shared" si="7"/>
        <v>1.0314186464976915</v>
      </c>
      <c r="AR71" s="5">
        <f t="shared" si="8"/>
        <v>0.7440294162023654</v>
      </c>
      <c r="AS71" s="5">
        <f t="shared" si="9"/>
        <v>0.75176748680385264</v>
      </c>
      <c r="AT71" s="5">
        <f t="shared" si="10"/>
        <v>0.75404418511626692</v>
      </c>
    </row>
    <row r="72" spans="1:46" x14ac:dyDescent="0.25">
      <c r="A72" s="3" t="s">
        <v>595</v>
      </c>
      <c r="B72" s="3">
        <v>0</v>
      </c>
      <c r="C72" s="3">
        <v>50</v>
      </c>
      <c r="D72" s="3">
        <v>0.43378825118620112</v>
      </c>
      <c r="E72" s="3">
        <v>0.95317092618019217</v>
      </c>
      <c r="F72" s="3">
        <v>50</v>
      </c>
      <c r="G72" s="3" t="s">
        <v>596</v>
      </c>
      <c r="H72" s="3">
        <v>6150</v>
      </c>
      <c r="I72" s="3">
        <v>50</v>
      </c>
      <c r="J72" s="3">
        <v>0.40950804859778928</v>
      </c>
      <c r="K72" s="3">
        <v>-3.5680441281053049E-2</v>
      </c>
      <c r="L72" s="4">
        <v>45408.5</v>
      </c>
      <c r="M72">
        <v>68.209999999999994</v>
      </c>
      <c r="N72">
        <v>69.2</v>
      </c>
      <c r="O72">
        <v>66.569999999999993</v>
      </c>
      <c r="P72">
        <v>67.510000000000005</v>
      </c>
      <c r="Q72">
        <v>21447</v>
      </c>
      <c r="R72">
        <v>297800</v>
      </c>
      <c r="S72">
        <v>29.864999999999998</v>
      </c>
      <c r="T72">
        <v>30.265000000000001</v>
      </c>
      <c r="U72">
        <v>28.885999999999999</v>
      </c>
      <c r="V72">
        <v>28.885999999999999</v>
      </c>
      <c r="W72">
        <v>66</v>
      </c>
      <c r="X72">
        <v>3.9253731343283728E-2</v>
      </c>
      <c r="Y72">
        <v>-0.43537076693903326</v>
      </c>
      <c r="Z72">
        <v>-1.0749104902102309</v>
      </c>
      <c r="AB72" s="3">
        <f t="shared" si="0"/>
        <v>-4.0372687166104759E-3</v>
      </c>
      <c r="AC72" s="3">
        <f t="shared" si="1"/>
        <v>1.4787034448864728E-4</v>
      </c>
      <c r="AD72" s="3">
        <f t="shared" si="2"/>
        <v>7.704296330627039E-3</v>
      </c>
      <c r="AE72" s="76">
        <f t="shared" si="3"/>
        <v>-3330.1904761904771</v>
      </c>
      <c r="AF72" s="76">
        <f t="shared" si="4"/>
        <v>1276.9940476190459</v>
      </c>
      <c r="AG72" s="76">
        <f t="shared" si="5"/>
        <v>5287.381373788452</v>
      </c>
      <c r="AN72">
        <v>20363</v>
      </c>
      <c r="AO72" s="5">
        <f t="shared" si="6"/>
        <v>4.5085662759222908E-4</v>
      </c>
      <c r="AP72" s="5">
        <f t="shared" si="7"/>
        <v>1.0312530705631622</v>
      </c>
      <c r="AR72" s="5">
        <f t="shared" si="8"/>
        <v>0.70900251373256906</v>
      </c>
      <c r="AS72" s="5">
        <f t="shared" si="9"/>
        <v>0.71649091758244143</v>
      </c>
      <c r="AT72" s="5">
        <f t="shared" si="10"/>
        <v>0.71860908945579283</v>
      </c>
    </row>
    <row r="73" spans="1:46" x14ac:dyDescent="0.25">
      <c r="A73" s="3" t="s">
        <v>597</v>
      </c>
      <c r="B73" s="3">
        <v>0</v>
      </c>
      <c r="C73" s="3">
        <v>50.5</v>
      </c>
      <c r="D73" s="3">
        <v>0.42840820375246769</v>
      </c>
      <c r="E73" s="3">
        <v>0.94964494706896119</v>
      </c>
      <c r="F73" s="3">
        <v>50.5</v>
      </c>
      <c r="G73" s="3" t="s">
        <v>598</v>
      </c>
      <c r="H73" s="3">
        <v>0</v>
      </c>
      <c r="I73" s="3">
        <v>50.5</v>
      </c>
      <c r="J73" s="3">
        <v>0.40650200266221936</v>
      </c>
      <c r="K73" s="3">
        <v>-3.9553500577757514E-2</v>
      </c>
      <c r="L73" s="4">
        <v>45407.5</v>
      </c>
      <c r="M73">
        <v>67</v>
      </c>
      <c r="N73">
        <v>69.97</v>
      </c>
      <c r="O73">
        <v>66.540000000000006</v>
      </c>
      <c r="P73">
        <v>68.41</v>
      </c>
      <c r="Q73">
        <v>36435</v>
      </c>
      <c r="R73">
        <v>295607</v>
      </c>
      <c r="S73">
        <v>29.645</v>
      </c>
      <c r="T73">
        <v>30.65</v>
      </c>
      <c r="U73">
        <v>29.36</v>
      </c>
      <c r="V73">
        <v>29.9</v>
      </c>
      <c r="W73">
        <v>90</v>
      </c>
      <c r="X73">
        <v>5.1773584905660266E-2</v>
      </c>
      <c r="Y73">
        <v>0.2473649010476387</v>
      </c>
      <c r="Z73">
        <v>0.40181020775167092</v>
      </c>
      <c r="AB73" s="3">
        <f t="shared" ref="AB73:AB136" si="11">AVERAGEA(X73:X93)-AVERAGE(X94:X114)</f>
        <v>-6.5523075107351003E-3</v>
      </c>
      <c r="AC73" s="3">
        <f t="shared" ref="AC73:AC136" si="12">AVERAGEA(X73:X93)-AVERAGE(X94:X149)</f>
        <v>-9.5717170460745543E-4</v>
      </c>
      <c r="AD73" s="3">
        <f t="shared" ref="AD73:AD136" si="13">AVERAGEA(X73:X93)-AVERAGE(X94:X206)</f>
        <v>7.0981176125487003E-3</v>
      </c>
      <c r="AE73" s="76">
        <f t="shared" ref="AE73:AE136" si="14">AVERAGEA(Q73:Q93)-AVERAGE(Q94:Q114)</f>
        <v>-4491.8095238095229</v>
      </c>
      <c r="AF73" s="76">
        <f t="shared" ref="AF73:AF136" si="15">AVERAGEA(Q73:Q93)-AVERAGE(Q94:Q149)</f>
        <v>1242.3452380952367</v>
      </c>
      <c r="AG73" s="76">
        <f t="shared" ref="AG73:AG136" si="16">AVERAGEA(Q73:Q93)-AVERAGE(Q94:Q206)</f>
        <v>5297.5655288664129</v>
      </c>
      <c r="AN73">
        <v>23599</v>
      </c>
      <c r="AO73" s="5">
        <f t="shared" ref="AO73:AO136" si="17">IFERROR((O73-O74)/O74,"")</f>
        <v>2.7644787644787741E-2</v>
      </c>
      <c r="AP73" s="5">
        <f t="shared" ref="AP73:AP136" si="18">_xlfn.STDEV.S(AO73:AO332)*SQRT(252)</f>
        <v>1.031321945166825</v>
      </c>
      <c r="AR73" s="5">
        <f t="shared" ref="AR73:AR136" si="19">IFERROR(AVERAGEA(AP73:AP93)-AVERAGE(AP94:AP114),"")</f>
        <v>0.67391715890532033</v>
      </c>
      <c r="AS73" s="5">
        <f t="shared" ref="AS73:AS136" si="20">IFERROR(AVERAGEA(AP73:AP93)-AVERAGE(AP94:AP149),"")</f>
        <v>0.68127742397836144</v>
      </c>
      <c r="AT73" s="5">
        <f t="shared" ref="AT73:AT136" si="21">IFERROR(AVERAGEA(AP73:AP93)-AVERAGE(AP94:AP206),"")</f>
        <v>0.68314130246252125</v>
      </c>
    </row>
    <row r="74" spans="1:46" x14ac:dyDescent="0.25">
      <c r="A74" s="3" t="s">
        <v>599</v>
      </c>
      <c r="B74" s="3">
        <v>0</v>
      </c>
      <c r="C74" s="3">
        <v>51</v>
      </c>
      <c r="D74" s="3">
        <v>0.42079665579653924</v>
      </c>
      <c r="E74" s="3">
        <v>0.94665982956804151</v>
      </c>
      <c r="F74" s="3">
        <v>51</v>
      </c>
      <c r="G74" s="3" t="s">
        <v>600</v>
      </c>
      <c r="H74" s="3">
        <v>0</v>
      </c>
      <c r="I74" s="3">
        <v>51</v>
      </c>
      <c r="J74" s="3">
        <v>0.40071966640266365</v>
      </c>
      <c r="K74" s="3">
        <v>-4.2791368609138347E-2</v>
      </c>
      <c r="L74" s="4">
        <v>45406.5</v>
      </c>
      <c r="M74">
        <v>66.25</v>
      </c>
      <c r="N74">
        <v>67.47</v>
      </c>
      <c r="O74">
        <v>64.75</v>
      </c>
      <c r="P74">
        <v>66.849999999999994</v>
      </c>
      <c r="Q74">
        <v>30108</v>
      </c>
      <c r="R74">
        <v>292075</v>
      </c>
      <c r="S74">
        <v>29.12</v>
      </c>
      <c r="T74">
        <v>29.33</v>
      </c>
      <c r="U74">
        <v>28.2</v>
      </c>
      <c r="V74">
        <v>29.105</v>
      </c>
      <c r="W74">
        <v>228</v>
      </c>
      <c r="X74">
        <v>4.1062801932367138E-2</v>
      </c>
      <c r="Y74">
        <v>-0.34665515991631562</v>
      </c>
      <c r="Z74">
        <v>-0.21655512395971005</v>
      </c>
      <c r="AB74" s="3">
        <f t="shared" si="11"/>
        <v>-9.1514939354215771E-3</v>
      </c>
      <c r="AC74" s="3">
        <f t="shared" si="12"/>
        <v>-1.5297539828058246E-3</v>
      </c>
      <c r="AD74" s="3">
        <f t="shared" si="13"/>
        <v>6.4576053741831757E-3</v>
      </c>
      <c r="AE74" s="76">
        <f t="shared" si="14"/>
        <v>-5144.6190476190459</v>
      </c>
      <c r="AF74" s="76">
        <f t="shared" si="15"/>
        <v>1118.8928571428551</v>
      </c>
      <c r="AG74" s="76">
        <f t="shared" si="16"/>
        <v>5050.4209860935516</v>
      </c>
      <c r="AN74">
        <v>21326</v>
      </c>
      <c r="AO74" s="5">
        <f t="shared" si="17"/>
        <v>-9.0296908478727182E-3</v>
      </c>
      <c r="AP74" s="5">
        <f t="shared" si="18"/>
        <v>1.0308584025386918</v>
      </c>
      <c r="AR74" s="5">
        <f t="shared" si="19"/>
        <v>0.63907069177163267</v>
      </c>
      <c r="AS74" s="5">
        <f t="shared" si="20"/>
        <v>0.64606843263191749</v>
      </c>
      <c r="AT74" s="5">
        <f t="shared" si="21"/>
        <v>0.64766802094828013</v>
      </c>
    </row>
    <row r="75" spans="1:46" x14ac:dyDescent="0.25">
      <c r="A75" s="3" t="s">
        <v>601</v>
      </c>
      <c r="B75" s="3">
        <v>0</v>
      </c>
      <c r="C75" s="3">
        <v>51.5</v>
      </c>
      <c r="D75" s="3">
        <v>0.41460769253261054</v>
      </c>
      <c r="E75" s="3">
        <v>0.94293661955925989</v>
      </c>
      <c r="F75" s="3">
        <v>51.5</v>
      </c>
      <c r="G75" s="3" t="s">
        <v>602</v>
      </c>
      <c r="H75" s="3">
        <v>0</v>
      </c>
      <c r="I75" s="3">
        <v>51.5</v>
      </c>
      <c r="J75" s="3">
        <v>0.39637701942949649</v>
      </c>
      <c r="K75" s="3">
        <v>-4.6820195351213428E-2</v>
      </c>
      <c r="L75" s="4">
        <v>45405.5</v>
      </c>
      <c r="M75">
        <v>66.239999999999995</v>
      </c>
      <c r="N75">
        <v>67.239999999999995</v>
      </c>
      <c r="O75">
        <v>65.34</v>
      </c>
      <c r="P75">
        <v>66.38</v>
      </c>
      <c r="Q75">
        <v>31308</v>
      </c>
      <c r="R75">
        <v>288230</v>
      </c>
      <c r="S75">
        <v>28.965</v>
      </c>
      <c r="T75">
        <v>29.905000000000001</v>
      </c>
      <c r="U75">
        <v>28.4</v>
      </c>
      <c r="V75">
        <v>28.6</v>
      </c>
      <c r="W75">
        <v>171</v>
      </c>
      <c r="X75">
        <v>2.7904244382434888E-2</v>
      </c>
      <c r="Y75">
        <v>-1.0787767208425127</v>
      </c>
      <c r="Z75">
        <v>-8.7553509415837394E-2</v>
      </c>
      <c r="AB75" s="3">
        <f t="shared" si="11"/>
        <v>-8.2238741834909368E-3</v>
      </c>
      <c r="AC75" s="3">
        <f t="shared" si="12"/>
        <v>-6.4822352216765272E-4</v>
      </c>
      <c r="AD75" s="3">
        <f t="shared" si="13"/>
        <v>7.664592813284174E-3</v>
      </c>
      <c r="AE75" s="76">
        <f t="shared" si="14"/>
        <v>-4249.0952380952403</v>
      </c>
      <c r="AF75" s="76">
        <f t="shared" si="15"/>
        <v>1903.5773809523816</v>
      </c>
      <c r="AG75" s="76">
        <f t="shared" si="16"/>
        <v>5690.0648967551642</v>
      </c>
      <c r="AN75">
        <v>18974</v>
      </c>
      <c r="AO75" s="5">
        <f t="shared" si="17"/>
        <v>-1.0149977276170303E-2</v>
      </c>
      <c r="AP75" s="5">
        <f t="shared" si="18"/>
        <v>1.0309102818913125</v>
      </c>
      <c r="AR75" s="5">
        <f t="shared" si="19"/>
        <v>0.60427144146529066</v>
      </c>
      <c r="AS75" s="5">
        <f t="shared" si="20"/>
        <v>0.61085193473751576</v>
      </c>
      <c r="AT75" s="5">
        <f t="shared" si="21"/>
        <v>0.61223055508201885</v>
      </c>
    </row>
    <row r="76" spans="1:46" x14ac:dyDescent="0.25">
      <c r="A76" s="3" t="s">
        <v>603</v>
      </c>
      <c r="B76" s="3">
        <v>0</v>
      </c>
      <c r="C76" s="3">
        <v>52</v>
      </c>
      <c r="D76" s="3">
        <v>0.40802048320426682</v>
      </c>
      <c r="E76" s="3">
        <v>0.93910127824485001</v>
      </c>
      <c r="F76" s="3">
        <v>52</v>
      </c>
      <c r="G76" s="3" t="s">
        <v>604</v>
      </c>
      <c r="H76" s="3">
        <v>4125</v>
      </c>
      <c r="I76" s="3">
        <v>52</v>
      </c>
      <c r="J76" s="3">
        <v>0.39142211862178028</v>
      </c>
      <c r="K76" s="3">
        <v>-5.0942613999535744E-2</v>
      </c>
      <c r="L76" s="4">
        <v>45404.5</v>
      </c>
      <c r="M76">
        <v>68.09</v>
      </c>
      <c r="N76">
        <v>68.19</v>
      </c>
      <c r="O76">
        <v>66.010000000000005</v>
      </c>
      <c r="P76">
        <v>66.400000000000006</v>
      </c>
      <c r="Q76">
        <v>35334</v>
      </c>
      <c r="R76">
        <v>286331</v>
      </c>
      <c r="S76">
        <v>29.85</v>
      </c>
      <c r="T76">
        <v>30.425000000000001</v>
      </c>
      <c r="U76">
        <v>29.074999999999999</v>
      </c>
      <c r="V76">
        <v>29.074999999999999</v>
      </c>
      <c r="W76">
        <v>383</v>
      </c>
      <c r="X76">
        <v>3.0064818645703938E-2</v>
      </c>
      <c r="Y76">
        <v>-0.97087893212990273</v>
      </c>
      <c r="Z76">
        <v>0.3212097264093981</v>
      </c>
      <c r="AB76" s="3">
        <f t="shared" si="11"/>
        <v>-5.1103483175996972E-3</v>
      </c>
      <c r="AC76" s="3">
        <f t="shared" si="12"/>
        <v>1.8809953558517611E-3</v>
      </c>
      <c r="AD76" s="3">
        <f t="shared" si="13"/>
        <v>9.7765415071529305E-3</v>
      </c>
      <c r="AE76" s="76">
        <f t="shared" si="14"/>
        <v>-3680.5238095238165</v>
      </c>
      <c r="AF76" s="76">
        <f t="shared" si="15"/>
        <v>2604.1666666666642</v>
      </c>
      <c r="AG76" s="76">
        <f t="shared" si="16"/>
        <v>6092.6009270965005</v>
      </c>
      <c r="AN76">
        <v>27718</v>
      </c>
      <c r="AO76" s="5">
        <f t="shared" si="17"/>
        <v>-3.0690161527165777E-2</v>
      </c>
      <c r="AP76" s="5">
        <f t="shared" si="18"/>
        <v>1.0309207847492348</v>
      </c>
      <c r="AR76" s="5">
        <f t="shared" si="19"/>
        <v>0.56948387877308471</v>
      </c>
      <c r="AS76" s="5">
        <f t="shared" si="20"/>
        <v>0.57569810251400078</v>
      </c>
      <c r="AT76" s="5">
        <f t="shared" si="21"/>
        <v>0.57679576917853037</v>
      </c>
    </row>
    <row r="77" spans="1:46" x14ac:dyDescent="0.25">
      <c r="A77" s="3" t="s">
        <v>605</v>
      </c>
      <c r="B77" s="3">
        <v>0</v>
      </c>
      <c r="C77" s="3">
        <v>52.5</v>
      </c>
      <c r="D77" s="3">
        <v>0.40256056771539545</v>
      </c>
      <c r="E77" s="3">
        <v>0.93452150959395108</v>
      </c>
      <c r="F77" s="3">
        <v>52.5</v>
      </c>
      <c r="G77" s="3" t="s">
        <v>606</v>
      </c>
      <c r="H77" s="3">
        <v>0</v>
      </c>
      <c r="I77" s="3">
        <v>52.5</v>
      </c>
      <c r="J77" s="3">
        <v>0.38754851180390876</v>
      </c>
      <c r="K77" s="3">
        <v>-5.5846332931552022E-2</v>
      </c>
      <c r="L77" s="4">
        <v>45401.5</v>
      </c>
      <c r="M77">
        <v>72.510000000000005</v>
      </c>
      <c r="N77">
        <v>73.3</v>
      </c>
      <c r="O77">
        <v>68.099999999999994</v>
      </c>
      <c r="P77">
        <v>68.52</v>
      </c>
      <c r="Q77">
        <v>32412</v>
      </c>
      <c r="R77">
        <v>282241</v>
      </c>
      <c r="S77">
        <v>33.615000000000002</v>
      </c>
      <c r="T77">
        <v>33.715000000000003</v>
      </c>
      <c r="U77">
        <v>30.574999999999999</v>
      </c>
      <c r="V77">
        <v>30.72</v>
      </c>
      <c r="W77">
        <v>644</v>
      </c>
      <c r="X77">
        <v>7.4391988555078725E-2</v>
      </c>
      <c r="Y77">
        <v>1.4877662671073826</v>
      </c>
      <c r="Z77">
        <v>5.3430972773477477E-2</v>
      </c>
      <c r="AB77" s="3">
        <f t="shared" si="11"/>
        <v>-3.2506396806897125E-3</v>
      </c>
      <c r="AC77" s="3">
        <f t="shared" si="12"/>
        <v>3.1850808126468039E-3</v>
      </c>
      <c r="AD77" s="3">
        <f t="shared" si="13"/>
        <v>1.1169257581070638E-2</v>
      </c>
      <c r="AE77" s="76">
        <f t="shared" si="14"/>
        <v>-3898.1904761904734</v>
      </c>
      <c r="AF77" s="76">
        <f t="shared" si="15"/>
        <v>2624.7440476190495</v>
      </c>
      <c r="AG77" s="76">
        <f t="shared" si="16"/>
        <v>5973.4761904761908</v>
      </c>
      <c r="AN77">
        <v>24943</v>
      </c>
      <c r="AO77" s="5">
        <f t="shared" si="17"/>
        <v>-7.3367571533398924E-4</v>
      </c>
      <c r="AP77" s="5">
        <f t="shared" si="18"/>
        <v>1.0306938191686796</v>
      </c>
      <c r="AR77" s="5">
        <f t="shared" si="19"/>
        <v>0.53431844809438056</v>
      </c>
      <c r="AS77" s="5">
        <f t="shared" si="20"/>
        <v>0.5402641913839521</v>
      </c>
      <c r="AT77" s="5">
        <f t="shared" si="21"/>
        <v>0.54111812225292732</v>
      </c>
    </row>
    <row r="78" spans="1:46" x14ac:dyDescent="0.25">
      <c r="A78" s="3" t="s">
        <v>607</v>
      </c>
      <c r="B78" s="3">
        <v>0</v>
      </c>
      <c r="C78" s="3">
        <v>53</v>
      </c>
      <c r="D78" s="3">
        <v>0.39661009728562163</v>
      </c>
      <c r="E78" s="3">
        <v>0.92981405786615601</v>
      </c>
      <c r="F78" s="3">
        <v>53</v>
      </c>
      <c r="G78" s="3" t="s">
        <v>608</v>
      </c>
      <c r="H78" s="3">
        <v>0</v>
      </c>
      <c r="I78" s="3">
        <v>53</v>
      </c>
      <c r="J78" s="3">
        <v>0.38299190947144357</v>
      </c>
      <c r="K78" s="3">
        <v>-6.0856005383943632E-2</v>
      </c>
      <c r="L78" s="4">
        <v>45400.5</v>
      </c>
      <c r="M78">
        <v>69.900000000000006</v>
      </c>
      <c r="N78">
        <v>72.290000000000006</v>
      </c>
      <c r="O78">
        <v>68.150000000000006</v>
      </c>
      <c r="P78">
        <v>71.55</v>
      </c>
      <c r="Q78">
        <v>40868</v>
      </c>
      <c r="R78">
        <v>283273</v>
      </c>
      <c r="S78">
        <v>30.98</v>
      </c>
      <c r="T78">
        <v>32.615000000000002</v>
      </c>
      <c r="U78">
        <v>30.39</v>
      </c>
      <c r="V78">
        <v>32.15</v>
      </c>
      <c r="W78">
        <v>700</v>
      </c>
      <c r="X78">
        <v>5.5847834884662093E-2</v>
      </c>
      <c r="Y78">
        <v>0.50188935431931647</v>
      </c>
      <c r="Z78">
        <v>0.89385836243891714</v>
      </c>
      <c r="AB78" s="3">
        <f t="shared" si="11"/>
        <v>-5.9846855982235367E-3</v>
      </c>
      <c r="AC78" s="3">
        <f t="shared" si="12"/>
        <v>8.4772392649411221E-4</v>
      </c>
      <c r="AD78" s="3">
        <f t="shared" si="13"/>
        <v>8.6938383908825093E-3</v>
      </c>
      <c r="AE78" s="76">
        <f t="shared" si="14"/>
        <v>-3896.3809523809541</v>
      </c>
      <c r="AF78" s="76">
        <f t="shared" si="15"/>
        <v>2636.3809523809541</v>
      </c>
      <c r="AG78" s="76">
        <f t="shared" si="16"/>
        <v>5793.1685630004249</v>
      </c>
      <c r="AN78">
        <v>23382</v>
      </c>
      <c r="AO78" s="5">
        <f t="shared" si="17"/>
        <v>-1.5600173335259255E-2</v>
      </c>
      <c r="AP78" s="5">
        <f t="shared" si="18"/>
        <v>1.0308038803382713</v>
      </c>
      <c r="AR78" s="5">
        <f t="shared" si="19"/>
        <v>0.49933598102245119</v>
      </c>
      <c r="AS78" s="5">
        <f t="shared" si="20"/>
        <v>0.50495454809542484</v>
      </c>
      <c r="AT78" s="5">
        <f t="shared" si="21"/>
        <v>0.50554783963774963</v>
      </c>
    </row>
    <row r="79" spans="1:46" x14ac:dyDescent="0.25">
      <c r="A79" s="3" t="s">
        <v>609</v>
      </c>
      <c r="B79" s="3">
        <v>0</v>
      </c>
      <c r="C79" s="3">
        <v>53.5</v>
      </c>
      <c r="D79" s="3">
        <v>0.39153939742977961</v>
      </c>
      <c r="E79" s="3">
        <v>0.92435955000860126</v>
      </c>
      <c r="F79" s="3">
        <v>53.5</v>
      </c>
      <c r="G79" s="3" t="s">
        <v>610</v>
      </c>
      <c r="H79" s="3">
        <v>0</v>
      </c>
      <c r="I79" s="3">
        <v>53.5</v>
      </c>
      <c r="J79" s="3">
        <v>0.37924403749659752</v>
      </c>
      <c r="K79" s="3">
        <v>-6.6637228137422524E-2</v>
      </c>
      <c r="L79" s="4">
        <v>45399.5</v>
      </c>
      <c r="M79">
        <v>74.13</v>
      </c>
      <c r="N79">
        <v>74.5</v>
      </c>
      <c r="O79">
        <v>69.23</v>
      </c>
      <c r="P79">
        <v>70.33</v>
      </c>
      <c r="Q79">
        <v>42915</v>
      </c>
      <c r="R79">
        <v>285563</v>
      </c>
      <c r="S79">
        <v>33.700000000000003</v>
      </c>
      <c r="T79">
        <v>33.700000000000003</v>
      </c>
      <c r="U79">
        <v>31.2</v>
      </c>
      <c r="V79">
        <v>31.75</v>
      </c>
      <c r="W79">
        <v>543</v>
      </c>
      <c r="X79">
        <v>7.5017793594305993E-2</v>
      </c>
      <c r="Y79">
        <v>1.5849059594839938</v>
      </c>
      <c r="Z79">
        <v>1.1168141608734796</v>
      </c>
      <c r="AB79" s="3">
        <f t="shared" si="11"/>
        <v>-9.1266029794271411E-3</v>
      </c>
      <c r="AC79" s="3">
        <f t="shared" si="12"/>
        <v>-1.7064929969989664E-3</v>
      </c>
      <c r="AD79" s="3">
        <f t="shared" si="13"/>
        <v>7.2069985457585695E-3</v>
      </c>
      <c r="AE79" s="76">
        <f t="shared" si="14"/>
        <v>-5230.5238095238092</v>
      </c>
      <c r="AF79" s="76">
        <f t="shared" si="15"/>
        <v>1863.0297619047597</v>
      </c>
      <c r="AG79" s="76">
        <f t="shared" si="16"/>
        <v>4968.7252423093123</v>
      </c>
      <c r="AN79">
        <v>43554</v>
      </c>
      <c r="AO79" s="5">
        <f t="shared" si="17"/>
        <v>-7.4551971326164302E-3</v>
      </c>
      <c r="AP79" s="5">
        <f t="shared" si="18"/>
        <v>1.0311197595455734</v>
      </c>
      <c r="AR79" s="5">
        <f t="shared" si="19"/>
        <v>0.46441708031045559</v>
      </c>
      <c r="AS79" s="5">
        <f t="shared" si="20"/>
        <v>0.46953560806748595</v>
      </c>
      <c r="AT79" s="5">
        <f t="shared" si="21"/>
        <v>0.46996662455668547</v>
      </c>
    </row>
    <row r="80" spans="1:46" x14ac:dyDescent="0.25">
      <c r="A80" s="3" t="s">
        <v>611</v>
      </c>
      <c r="B80" s="3">
        <v>0</v>
      </c>
      <c r="C80" s="3">
        <v>54</v>
      </c>
      <c r="D80" s="3">
        <v>0.38592001069904008</v>
      </c>
      <c r="E80" s="3">
        <v>0.91875805002393907</v>
      </c>
      <c r="F80" s="3">
        <v>54</v>
      </c>
      <c r="G80" s="3" t="s">
        <v>612</v>
      </c>
      <c r="H80" s="3">
        <v>0</v>
      </c>
      <c r="I80" s="3">
        <v>54</v>
      </c>
      <c r="J80" s="3">
        <v>0.37478677276397315</v>
      </c>
      <c r="K80" s="3">
        <v>-7.2542819332969619E-2</v>
      </c>
      <c r="L80" s="4">
        <v>45398.5</v>
      </c>
      <c r="M80">
        <v>70.25</v>
      </c>
      <c r="N80">
        <v>74.900000000000006</v>
      </c>
      <c r="O80">
        <v>69.75</v>
      </c>
      <c r="P80">
        <v>74.25</v>
      </c>
      <c r="Q80">
        <v>43720</v>
      </c>
      <c r="R80">
        <v>286818</v>
      </c>
      <c r="S80">
        <v>32.020000000000003</v>
      </c>
      <c r="T80">
        <v>33.71</v>
      </c>
      <c r="U80">
        <v>31.844999999999999</v>
      </c>
      <c r="V80">
        <v>33.354999999999997</v>
      </c>
      <c r="W80">
        <v>719</v>
      </c>
      <c r="X80">
        <v>7.1927374301676061E-2</v>
      </c>
      <c r="Y80">
        <v>1.466351158835232</v>
      </c>
      <c r="Z80">
        <v>1.2304543802106436</v>
      </c>
      <c r="AB80" s="3">
        <f t="shared" si="11"/>
        <v>-1.0732994227027538E-2</v>
      </c>
      <c r="AC80" s="3">
        <f t="shared" si="12"/>
        <v>-1.8859328522059376E-3</v>
      </c>
      <c r="AD80" s="3">
        <f t="shared" si="13"/>
        <v>6.6187691967871803E-3</v>
      </c>
      <c r="AE80" s="76">
        <f t="shared" si="14"/>
        <v>-5982.8095238095229</v>
      </c>
      <c r="AF80" s="76">
        <f t="shared" si="15"/>
        <v>1937.0892857142862</v>
      </c>
      <c r="AG80" s="76">
        <f t="shared" si="16"/>
        <v>4582.2932996207346</v>
      </c>
      <c r="AN80">
        <v>21470</v>
      </c>
      <c r="AO80" s="5">
        <f t="shared" si="17"/>
        <v>9.4066570188133976E-3</v>
      </c>
      <c r="AP80" s="5">
        <f t="shared" si="18"/>
        <v>1.0314043168765858</v>
      </c>
      <c r="AR80" s="5">
        <f t="shared" si="19"/>
        <v>0.42950828146482184</v>
      </c>
      <c r="AS80" s="5">
        <f t="shared" si="20"/>
        <v>0.43421325693192453</v>
      </c>
      <c r="AT80" s="5">
        <f t="shared" si="21"/>
        <v>0.43436678603464324</v>
      </c>
    </row>
    <row r="81" spans="1:46" x14ac:dyDescent="0.25">
      <c r="A81" s="3" t="s">
        <v>613</v>
      </c>
      <c r="B81" s="3">
        <v>0</v>
      </c>
      <c r="C81" s="3">
        <v>54.5</v>
      </c>
      <c r="D81" s="3">
        <v>0.38098161725607371</v>
      </c>
      <c r="E81" s="3">
        <v>0.912406133528325</v>
      </c>
      <c r="F81" s="3">
        <v>54.5</v>
      </c>
      <c r="G81" s="3" t="s">
        <v>614</v>
      </c>
      <c r="H81" s="3">
        <v>0</v>
      </c>
      <c r="I81" s="3">
        <v>54.5</v>
      </c>
      <c r="J81" s="3">
        <v>0.37093571351735594</v>
      </c>
      <c r="K81" s="3">
        <v>-7.9214378611352693E-2</v>
      </c>
      <c r="L81" s="4">
        <v>45397.5</v>
      </c>
      <c r="M81">
        <v>71.599999999999994</v>
      </c>
      <c r="N81">
        <v>71.64</v>
      </c>
      <c r="O81">
        <v>69.099999999999994</v>
      </c>
      <c r="P81">
        <v>70.16</v>
      </c>
      <c r="Q81">
        <v>35346</v>
      </c>
      <c r="R81">
        <v>287937</v>
      </c>
      <c r="S81">
        <v>31.23</v>
      </c>
      <c r="T81">
        <v>31.56</v>
      </c>
      <c r="U81">
        <v>29.85</v>
      </c>
      <c r="V81">
        <v>31.44</v>
      </c>
      <c r="W81">
        <v>530</v>
      </c>
      <c r="X81">
        <v>3.7026239067055489E-2</v>
      </c>
      <c r="Y81">
        <v>-0.48134204861974744</v>
      </c>
      <c r="Z81">
        <v>0.43311421997427019</v>
      </c>
      <c r="AB81" s="3">
        <f t="shared" si="11"/>
        <v>-1.1113986600002138E-2</v>
      </c>
      <c r="AC81" s="3">
        <f t="shared" si="12"/>
        <v>-2.4329436480077168E-3</v>
      </c>
      <c r="AD81" s="3">
        <f t="shared" si="13"/>
        <v>5.7950394627555094E-3</v>
      </c>
      <c r="AE81" s="76">
        <f t="shared" si="14"/>
        <v>-5320.5238095238128</v>
      </c>
      <c r="AF81" s="76">
        <f t="shared" si="15"/>
        <v>2291.0178571428551</v>
      </c>
      <c r="AG81" s="76">
        <f t="shared" si="16"/>
        <v>4510.356510745889</v>
      </c>
      <c r="AN81">
        <v>22188</v>
      </c>
      <c r="AO81" s="5">
        <f t="shared" si="17"/>
        <v>1.5280634734058067E-2</v>
      </c>
      <c r="AP81" s="5">
        <f t="shared" si="18"/>
        <v>1.0313317634546029</v>
      </c>
      <c r="AR81" s="5">
        <f t="shared" si="19"/>
        <v>0.39507434694388877</v>
      </c>
      <c r="AS81" s="5">
        <f t="shared" si="20"/>
        <v>0.39900090976289976</v>
      </c>
      <c r="AT81" s="5">
        <f t="shared" si="21"/>
        <v>0.39887229478470293</v>
      </c>
    </row>
    <row r="82" spans="1:46" x14ac:dyDescent="0.25">
      <c r="A82" s="3" t="s">
        <v>615</v>
      </c>
      <c r="B82" s="3">
        <v>0</v>
      </c>
      <c r="C82" s="3">
        <v>55</v>
      </c>
      <c r="D82" s="3">
        <v>0.37546280773333857</v>
      </c>
      <c r="E82" s="3">
        <v>0.9058818314547038</v>
      </c>
      <c r="F82" s="3">
        <v>55</v>
      </c>
      <c r="G82" s="3" t="s">
        <v>616</v>
      </c>
      <c r="H82" s="3">
        <v>7500</v>
      </c>
      <c r="I82" s="3">
        <v>55</v>
      </c>
      <c r="J82" s="3">
        <v>0.36637554390474553</v>
      </c>
      <c r="K82" s="3">
        <v>-8.6036366287480681E-2</v>
      </c>
      <c r="L82" s="4">
        <v>45394.5</v>
      </c>
      <c r="M82">
        <v>68.599999999999994</v>
      </c>
      <c r="N82">
        <v>71.87</v>
      </c>
      <c r="O82">
        <v>68.06</v>
      </c>
      <c r="P82">
        <v>71.64</v>
      </c>
      <c r="Q82">
        <v>52417</v>
      </c>
      <c r="R82">
        <v>289544</v>
      </c>
      <c r="S82">
        <v>29.565000000000001</v>
      </c>
      <c r="T82">
        <v>30.98</v>
      </c>
      <c r="U82">
        <v>28.95</v>
      </c>
      <c r="V82">
        <v>30.67</v>
      </c>
      <c r="W82">
        <v>1278</v>
      </c>
      <c r="X82">
        <v>6.0237154150197661E-2</v>
      </c>
      <c r="Y82">
        <v>0.84667219767641566</v>
      </c>
      <c r="Z82">
        <v>2.1501287788431083</v>
      </c>
      <c r="AB82" s="3">
        <f t="shared" si="11"/>
        <v>-1.1739360016535749E-2</v>
      </c>
      <c r="AC82" s="3">
        <f t="shared" si="12"/>
        <v>-2.0923090120883933E-3</v>
      </c>
      <c r="AD82" s="3">
        <f t="shared" si="13"/>
        <v>5.7799704756574533E-3</v>
      </c>
      <c r="AE82" s="76">
        <f t="shared" si="14"/>
        <v>-4914.6666666666642</v>
      </c>
      <c r="AF82" s="76">
        <f t="shared" si="15"/>
        <v>2841.5773809523816</v>
      </c>
      <c r="AG82" s="76">
        <f t="shared" si="16"/>
        <v>4686.4707121786778</v>
      </c>
      <c r="AN82">
        <v>27479</v>
      </c>
      <c r="AO82" s="5">
        <f t="shared" si="17"/>
        <v>8.3757961783439569E-2</v>
      </c>
      <c r="AP82" s="5">
        <f t="shared" si="18"/>
        <v>1.0311608528842404</v>
      </c>
      <c r="AR82" s="5">
        <f t="shared" si="19"/>
        <v>0.36056039146791569</v>
      </c>
      <c r="AS82" s="5">
        <f t="shared" si="20"/>
        <v>0.36369243399848666</v>
      </c>
      <c r="AT82" s="5">
        <f t="shared" si="21"/>
        <v>0.36334920036781293</v>
      </c>
    </row>
    <row r="83" spans="1:46" x14ac:dyDescent="0.25">
      <c r="A83" s="3" t="s">
        <v>617</v>
      </c>
      <c r="B83" s="3">
        <v>0</v>
      </c>
      <c r="C83" s="3">
        <v>55.5</v>
      </c>
      <c r="D83" s="3">
        <v>0.3704678843327584</v>
      </c>
      <c r="E83" s="3">
        <v>0.8985995823853834</v>
      </c>
      <c r="F83" s="3">
        <v>55.5</v>
      </c>
      <c r="G83" s="3" t="s">
        <v>618</v>
      </c>
      <c r="H83" s="3">
        <v>0</v>
      </c>
      <c r="I83" s="3">
        <v>55.5</v>
      </c>
      <c r="J83" s="3">
        <v>0.36227039292797358</v>
      </c>
      <c r="K83" s="3">
        <v>-9.362559322846245E-2</v>
      </c>
      <c r="L83" s="4">
        <v>45393.5</v>
      </c>
      <c r="M83">
        <v>63.25</v>
      </c>
      <c r="N83">
        <v>68.95</v>
      </c>
      <c r="O83">
        <v>62.8</v>
      </c>
      <c r="P83">
        <v>68.83</v>
      </c>
      <c r="Q83">
        <v>54777</v>
      </c>
      <c r="R83">
        <v>290698</v>
      </c>
      <c r="S83">
        <v>27.75</v>
      </c>
      <c r="T83">
        <v>29.684999999999999</v>
      </c>
      <c r="U83">
        <v>27.645</v>
      </c>
      <c r="V83">
        <v>29.43</v>
      </c>
      <c r="W83">
        <v>1133</v>
      </c>
      <c r="X83">
        <v>9.6364775932309715E-2</v>
      </c>
      <c r="Y83">
        <v>2.8969629965456685</v>
      </c>
      <c r="Z83">
        <v>2.5125688261980068</v>
      </c>
      <c r="AB83" s="3">
        <f t="shared" si="11"/>
        <v>-9.1450062852171041E-3</v>
      </c>
      <c r="AC83" s="3">
        <f t="shared" si="12"/>
        <v>-4.1066606751042484E-4</v>
      </c>
      <c r="AD83" s="3">
        <f t="shared" si="13"/>
        <v>7.0038418237216502E-3</v>
      </c>
      <c r="AE83" s="76">
        <f t="shared" si="14"/>
        <v>-5241.7142857142899</v>
      </c>
      <c r="AF83" s="76">
        <f t="shared" si="15"/>
        <v>2523.75</v>
      </c>
      <c r="AG83" s="76">
        <f t="shared" si="16"/>
        <v>3981.0935524652341</v>
      </c>
      <c r="AN83">
        <v>23461</v>
      </c>
      <c r="AO83" s="5">
        <f t="shared" si="17"/>
        <v>8.1875100337132443E-3</v>
      </c>
      <c r="AP83" s="5">
        <f t="shared" si="18"/>
        <v>1.0274474802274618</v>
      </c>
      <c r="AR83" s="5">
        <f t="shared" si="19"/>
        <v>0.32536037171147097</v>
      </c>
      <c r="AS83" s="5">
        <f t="shared" si="20"/>
        <v>0.32799885599206613</v>
      </c>
      <c r="AT83" s="5">
        <f t="shared" si="21"/>
        <v>0.32751193005970131</v>
      </c>
    </row>
    <row r="84" spans="1:46" x14ac:dyDescent="0.25">
      <c r="A84" s="3" t="s">
        <v>619</v>
      </c>
      <c r="B84" s="3">
        <v>0</v>
      </c>
      <c r="C84" s="3">
        <v>56</v>
      </c>
      <c r="D84" s="3">
        <v>0.36587266109118538</v>
      </c>
      <c r="E84" s="3">
        <v>0.89056635442527965</v>
      </c>
      <c r="F84" s="3">
        <v>56</v>
      </c>
      <c r="G84" s="3" t="s">
        <v>620</v>
      </c>
      <c r="H84" s="3">
        <v>0</v>
      </c>
      <c r="I84" s="3">
        <v>56</v>
      </c>
      <c r="J84" s="3">
        <v>0.35849287566847754</v>
      </c>
      <c r="K84" s="3">
        <v>-0.10196966811017678</v>
      </c>
      <c r="L84" s="4">
        <v>45392.5</v>
      </c>
      <c r="M84">
        <v>63.82</v>
      </c>
      <c r="N84">
        <v>65.099999999999994</v>
      </c>
      <c r="O84">
        <v>62.29</v>
      </c>
      <c r="P84">
        <v>62.85</v>
      </c>
      <c r="Q84">
        <v>29104</v>
      </c>
      <c r="R84">
        <v>292220</v>
      </c>
      <c r="S84">
        <v>27.53</v>
      </c>
      <c r="T84">
        <v>27.87</v>
      </c>
      <c r="U84">
        <v>26.824999999999999</v>
      </c>
      <c r="V84">
        <v>27.344999999999999</v>
      </c>
      <c r="W84">
        <v>1460</v>
      </c>
      <c r="X84">
        <v>4.4328758479255326E-2</v>
      </c>
      <c r="Y84">
        <v>-3.1081794762909787E-2</v>
      </c>
      <c r="Z84">
        <v>-0.11139153736415033</v>
      </c>
      <c r="AB84" s="3">
        <f t="shared" si="11"/>
        <v>-1.1628780807898378E-2</v>
      </c>
      <c r="AC84" s="3">
        <f t="shared" si="12"/>
        <v>-2.8032407885686533E-3</v>
      </c>
      <c r="AD84" s="3">
        <f t="shared" si="13"/>
        <v>4.6787557797271506E-3</v>
      </c>
      <c r="AE84" s="76">
        <f t="shared" si="14"/>
        <v>-6235.7142857142862</v>
      </c>
      <c r="AF84" s="76">
        <f t="shared" si="15"/>
        <v>2088.7380952380954</v>
      </c>
      <c r="AG84" s="76">
        <f t="shared" si="16"/>
        <v>3106.8537715971324</v>
      </c>
      <c r="AN84">
        <v>28209</v>
      </c>
      <c r="AO84" s="5">
        <f t="shared" si="17"/>
        <v>-3.3600000000000136E-3</v>
      </c>
      <c r="AP84" s="5">
        <f t="shared" si="18"/>
        <v>1.0274828770130289</v>
      </c>
      <c r="AR84" s="5">
        <f t="shared" si="19"/>
        <v>0.29046409309664734</v>
      </c>
      <c r="AS84" s="5">
        <f t="shared" si="20"/>
        <v>0.29258541389435211</v>
      </c>
      <c r="AT84" s="5">
        <f t="shared" si="21"/>
        <v>0.2919170421084003</v>
      </c>
    </row>
    <row r="85" spans="1:46" x14ac:dyDescent="0.25">
      <c r="A85" s="3" t="s">
        <v>621</v>
      </c>
      <c r="B85" s="3">
        <v>0</v>
      </c>
      <c r="C85" s="3">
        <v>56.5</v>
      </c>
      <c r="D85" s="3">
        <v>0.36156916189404531</v>
      </c>
      <c r="E85" s="3">
        <v>0.88178997258775149</v>
      </c>
      <c r="F85" s="3">
        <v>56.5</v>
      </c>
      <c r="G85" s="3" t="s">
        <v>622</v>
      </c>
      <c r="H85" s="3">
        <v>0</v>
      </c>
      <c r="I85" s="3">
        <v>56.5</v>
      </c>
      <c r="J85" s="3">
        <v>0.35493558355564131</v>
      </c>
      <c r="K85" s="3">
        <v>-0.11105633267365754</v>
      </c>
      <c r="L85" s="4">
        <v>45391.5</v>
      </c>
      <c r="M85">
        <v>63.39</v>
      </c>
      <c r="N85">
        <v>64.64</v>
      </c>
      <c r="O85">
        <v>62.5</v>
      </c>
      <c r="P85">
        <v>63.96</v>
      </c>
      <c r="Q85">
        <v>41382</v>
      </c>
      <c r="R85">
        <v>290662</v>
      </c>
      <c r="S85">
        <v>27.954999999999998</v>
      </c>
      <c r="T85">
        <v>28.57</v>
      </c>
      <c r="U85">
        <v>27.18</v>
      </c>
      <c r="V85">
        <v>27.25</v>
      </c>
      <c r="W85">
        <v>671</v>
      </c>
      <c r="X85">
        <v>3.5139573070607562E-2</v>
      </c>
      <c r="Y85">
        <v>-0.59959360662995675</v>
      </c>
      <c r="Z85">
        <v>1.2294776221731913</v>
      </c>
      <c r="AB85" s="3">
        <f t="shared" si="11"/>
        <v>-1.2411226794194777E-2</v>
      </c>
      <c r="AC85" s="3">
        <f t="shared" si="12"/>
        <v>-3.3883833139462596E-3</v>
      </c>
      <c r="AD85" s="3">
        <f t="shared" si="13"/>
        <v>4.1591332335283795E-3</v>
      </c>
      <c r="AE85" s="76">
        <f t="shared" si="14"/>
        <v>-5631.5714285714275</v>
      </c>
      <c r="AF85" s="76">
        <f t="shared" si="15"/>
        <v>2985.4642857142862</v>
      </c>
      <c r="AG85" s="76">
        <f t="shared" si="16"/>
        <v>3471.7079646017701</v>
      </c>
      <c r="AN85">
        <v>21911</v>
      </c>
      <c r="AO85" s="5">
        <f t="shared" si="17"/>
        <v>4.7076562238230903E-2</v>
      </c>
      <c r="AP85" s="5">
        <f t="shared" si="18"/>
        <v>1.0275461481127106</v>
      </c>
      <c r="AR85" s="5">
        <f t="shared" si="19"/>
        <v>0.25575228988427839</v>
      </c>
      <c r="AS85" s="5">
        <f t="shared" si="20"/>
        <v>0.25730075747583714</v>
      </c>
      <c r="AT85" s="5">
        <f t="shared" si="21"/>
        <v>0.25641990939787157</v>
      </c>
    </row>
    <row r="86" spans="1:46" x14ac:dyDescent="0.25">
      <c r="A86" s="3" t="s">
        <v>623</v>
      </c>
      <c r="B86" s="3">
        <v>0</v>
      </c>
      <c r="C86" s="3">
        <v>57</v>
      </c>
      <c r="D86" s="3">
        <v>0.35746478752398669</v>
      </c>
      <c r="E86" s="3">
        <v>0.87227798022284275</v>
      </c>
      <c r="F86" s="3">
        <v>57</v>
      </c>
      <c r="G86" s="3" t="s">
        <v>624</v>
      </c>
      <c r="H86" s="3">
        <v>0</v>
      </c>
      <c r="I86" s="3">
        <v>57</v>
      </c>
      <c r="J86" s="3">
        <v>0.35150904395613769</v>
      </c>
      <c r="K86" s="3">
        <v>-0.12087456290916013</v>
      </c>
      <c r="L86" s="4">
        <v>45390.5</v>
      </c>
      <c r="M86">
        <v>60.9</v>
      </c>
      <c r="N86">
        <v>63.8</v>
      </c>
      <c r="O86">
        <v>59.69</v>
      </c>
      <c r="P86">
        <v>63.39</v>
      </c>
      <c r="Q86">
        <v>37163</v>
      </c>
      <c r="R86">
        <v>301156</v>
      </c>
      <c r="S86">
        <v>26.495000000000001</v>
      </c>
      <c r="T86">
        <v>28.204999999999998</v>
      </c>
      <c r="U86">
        <v>26.46</v>
      </c>
      <c r="V86">
        <v>27.774999999999999</v>
      </c>
      <c r="W86">
        <v>895</v>
      </c>
      <c r="X86">
        <v>7.0424948594928025E-2</v>
      </c>
      <c r="Y86">
        <v>1.5588362034743479</v>
      </c>
      <c r="Z86">
        <v>0.81250967451084399</v>
      </c>
      <c r="AB86" s="3">
        <f t="shared" si="11"/>
        <v>-1.174484649650781E-2</v>
      </c>
      <c r="AC86" s="3">
        <f t="shared" si="12"/>
        <v>-2.7587532171239743E-3</v>
      </c>
      <c r="AD86" s="3">
        <f t="shared" si="13"/>
        <v>4.6721054990147212E-3</v>
      </c>
      <c r="AE86" s="76">
        <f t="shared" si="14"/>
        <v>-5970.7142857142862</v>
      </c>
      <c r="AF86" s="76">
        <f t="shared" si="15"/>
        <v>2900.3214285714275</v>
      </c>
      <c r="AG86" s="76">
        <f t="shared" si="16"/>
        <v>3047.3438685208566</v>
      </c>
      <c r="AN86">
        <v>22543</v>
      </c>
      <c r="AO86" s="5">
        <f t="shared" si="17"/>
        <v>2.4721030042918417E-2</v>
      </c>
      <c r="AP86" s="5">
        <f t="shared" si="18"/>
        <v>1.0263337315301804</v>
      </c>
      <c r="AR86" s="5">
        <f t="shared" si="19"/>
        <v>0.22118883863906652</v>
      </c>
      <c r="AS86" s="5">
        <f t="shared" si="20"/>
        <v>0.22208742475107218</v>
      </c>
      <c r="AT86" s="5">
        <f t="shared" si="21"/>
        <v>0.22098091864285824</v>
      </c>
    </row>
    <row r="87" spans="1:46" x14ac:dyDescent="0.25">
      <c r="A87" s="3" t="s">
        <v>625</v>
      </c>
      <c r="B87" s="3">
        <v>0</v>
      </c>
      <c r="C87" s="3">
        <v>57.5</v>
      </c>
      <c r="D87" s="3">
        <v>0.35264068029183204</v>
      </c>
      <c r="E87" s="3">
        <v>0.86252973287507129</v>
      </c>
      <c r="F87" s="3">
        <v>57.5</v>
      </c>
      <c r="G87" s="3" t="s">
        <v>626</v>
      </c>
      <c r="H87" s="3">
        <v>0</v>
      </c>
      <c r="I87" s="3">
        <v>57.5</v>
      </c>
      <c r="J87" s="3">
        <v>0.34728510038514909</v>
      </c>
      <c r="K87" s="3">
        <v>-0.13090587378589172</v>
      </c>
      <c r="L87" s="4">
        <v>45387.5</v>
      </c>
      <c r="M87">
        <v>58.36</v>
      </c>
      <c r="N87">
        <v>61.15</v>
      </c>
      <c r="O87">
        <v>58.25</v>
      </c>
      <c r="P87">
        <v>61.01</v>
      </c>
      <c r="Q87">
        <v>30835</v>
      </c>
      <c r="R87">
        <v>301216</v>
      </c>
      <c r="S87">
        <v>26.56</v>
      </c>
      <c r="T87">
        <v>27.024999999999999</v>
      </c>
      <c r="U87">
        <v>26.07</v>
      </c>
      <c r="V87">
        <v>26.765000000000001</v>
      </c>
      <c r="W87">
        <v>460</v>
      </c>
      <c r="X87">
        <v>5.0796987213172155E-2</v>
      </c>
      <c r="Y87">
        <v>0.38798219710741949</v>
      </c>
      <c r="Z87">
        <v>0.16481630932537589</v>
      </c>
      <c r="AB87" s="3">
        <f t="shared" si="11"/>
        <v>-1.282945366069594E-2</v>
      </c>
      <c r="AC87" s="3">
        <f t="shared" si="12"/>
        <v>-4.2488257268114907E-3</v>
      </c>
      <c r="AD87" s="3">
        <f t="shared" si="13"/>
        <v>3.5089369352203706E-3</v>
      </c>
      <c r="AE87" s="76">
        <f t="shared" si="14"/>
        <v>-6048.7142857142862</v>
      </c>
      <c r="AF87" s="76">
        <f t="shared" si="15"/>
        <v>2792.3809523809505</v>
      </c>
      <c r="AG87" s="76">
        <f t="shared" si="16"/>
        <v>2867.4997892962492</v>
      </c>
      <c r="AN87">
        <v>25154</v>
      </c>
      <c r="AO87" s="5">
        <f t="shared" si="17"/>
        <v>2.0318794885268814E-2</v>
      </c>
      <c r="AP87" s="5">
        <f t="shared" si="18"/>
        <v>1.0259158986840864</v>
      </c>
      <c r="AR87" s="5">
        <f t="shared" si="19"/>
        <v>0.18673305581177263</v>
      </c>
      <c r="AS87" s="5">
        <f t="shared" si="20"/>
        <v>0.18691347391242591</v>
      </c>
      <c r="AT87" s="5">
        <f t="shared" si="21"/>
        <v>0.18557518648643351</v>
      </c>
    </row>
    <row r="88" spans="1:46" x14ac:dyDescent="0.25">
      <c r="A88" s="3" t="s">
        <v>627</v>
      </c>
      <c r="B88" s="3">
        <v>0</v>
      </c>
      <c r="C88" s="3">
        <v>58</v>
      </c>
      <c r="D88" s="3">
        <v>0.34875401393494532</v>
      </c>
      <c r="E88" s="3">
        <v>0.85154433010993735</v>
      </c>
      <c r="F88" s="3">
        <v>58</v>
      </c>
      <c r="G88" s="3" t="s">
        <v>628</v>
      </c>
      <c r="H88" s="3">
        <v>0</v>
      </c>
      <c r="I88" s="3">
        <v>58</v>
      </c>
      <c r="J88" s="3">
        <v>0.34395716686514954</v>
      </c>
      <c r="K88" s="3">
        <v>-0.14218415934830805</v>
      </c>
      <c r="L88" s="4">
        <v>45386.5</v>
      </c>
      <c r="M88">
        <v>57.09</v>
      </c>
      <c r="N88">
        <v>59.24</v>
      </c>
      <c r="O88">
        <v>57.09</v>
      </c>
      <c r="P88">
        <v>58.39</v>
      </c>
      <c r="Q88">
        <v>26047</v>
      </c>
      <c r="R88">
        <v>303135</v>
      </c>
      <c r="S88">
        <v>25.684999999999999</v>
      </c>
      <c r="T88">
        <v>26.555</v>
      </c>
      <c r="U88">
        <v>25.52</v>
      </c>
      <c r="V88">
        <v>26</v>
      </c>
      <c r="W88">
        <v>1347</v>
      </c>
      <c r="X88">
        <v>3.6262438859841435E-2</v>
      </c>
      <c r="Y88">
        <v>-0.47029034485092985</v>
      </c>
      <c r="Z88">
        <v>-0.31936342377990617</v>
      </c>
      <c r="AB88" s="3">
        <f t="shared" si="11"/>
        <v>-1.0522761797162022E-2</v>
      </c>
      <c r="AC88" s="3">
        <f t="shared" si="12"/>
        <v>-3.6176075755709122E-3</v>
      </c>
      <c r="AD88" s="3">
        <f t="shared" si="13"/>
        <v>4.4354235146895349E-3</v>
      </c>
      <c r="AE88" s="76">
        <f t="shared" si="14"/>
        <v>-4126.6190476190495</v>
      </c>
      <c r="AF88" s="76">
        <f t="shared" si="15"/>
        <v>3821.4404761904734</v>
      </c>
      <c r="AG88" s="76">
        <f t="shared" si="16"/>
        <v>3708.7935103244818</v>
      </c>
      <c r="AN88">
        <v>22277</v>
      </c>
      <c r="AO88" s="5">
        <f t="shared" si="17"/>
        <v>3.3391915641477125E-3</v>
      </c>
      <c r="AP88" s="5">
        <f t="shared" si="18"/>
        <v>1.0256132559060815</v>
      </c>
      <c r="AR88" s="5">
        <f t="shared" si="19"/>
        <v>0.15242193235238638</v>
      </c>
      <c r="AS88" s="5">
        <f t="shared" si="20"/>
        <v>0.15186689018455446</v>
      </c>
      <c r="AT88" s="5">
        <f t="shared" si="21"/>
        <v>0.15021887995944821</v>
      </c>
    </row>
    <row r="89" spans="1:46" x14ac:dyDescent="0.25">
      <c r="A89" s="3" t="s">
        <v>629</v>
      </c>
      <c r="B89" s="3">
        <v>0</v>
      </c>
      <c r="C89" s="3">
        <v>58.5</v>
      </c>
      <c r="D89" s="3">
        <v>0.3448607583869569</v>
      </c>
      <c r="E89" s="3">
        <v>0.83983537342652637</v>
      </c>
      <c r="F89" s="3">
        <v>58.5</v>
      </c>
      <c r="G89" s="3" t="s">
        <v>630</v>
      </c>
      <c r="H89" s="3">
        <v>0</v>
      </c>
      <c r="I89" s="3">
        <v>58.5</v>
      </c>
      <c r="J89" s="3">
        <v>0.34056913312046994</v>
      </c>
      <c r="K89" s="3">
        <v>-0.15417554692611929</v>
      </c>
      <c r="L89" s="4">
        <v>45385.5</v>
      </c>
      <c r="M89">
        <v>59.29</v>
      </c>
      <c r="N89">
        <v>59.49</v>
      </c>
      <c r="O89">
        <v>56.9</v>
      </c>
      <c r="P89">
        <v>57.55</v>
      </c>
      <c r="Q89">
        <v>26576</v>
      </c>
      <c r="R89">
        <v>303974</v>
      </c>
      <c r="S89">
        <v>25.7</v>
      </c>
      <c r="T89">
        <v>25.954999999999998</v>
      </c>
      <c r="U89">
        <v>25.184999999999999</v>
      </c>
      <c r="V89">
        <v>25.864999999999998</v>
      </c>
      <c r="W89">
        <v>1769</v>
      </c>
      <c r="X89">
        <v>4.2127521145087894E-2</v>
      </c>
      <c r="Y89">
        <v>-0.12360944120394987</v>
      </c>
      <c r="Z89">
        <v>-0.24416872851724067</v>
      </c>
      <c r="AB89" s="3">
        <f t="shared" si="11"/>
        <v>-5.8222011542709354E-3</v>
      </c>
      <c r="AC89" s="3">
        <f t="shared" si="12"/>
        <v>-2.8281987805787306E-4</v>
      </c>
      <c r="AD89" s="3">
        <f t="shared" si="13"/>
        <v>7.1923670267848225E-3</v>
      </c>
      <c r="AE89" s="76">
        <f t="shared" si="14"/>
        <v>-1292.9047619047633</v>
      </c>
      <c r="AF89" s="76">
        <f t="shared" si="15"/>
        <v>5859.2976190476184</v>
      </c>
      <c r="AG89" s="76">
        <f t="shared" si="16"/>
        <v>5385.9363674673405</v>
      </c>
      <c r="AN89">
        <v>27807</v>
      </c>
      <c r="AO89" s="5">
        <f t="shared" si="17"/>
        <v>-2.8346994535519188E-2</v>
      </c>
      <c r="AP89" s="5">
        <f t="shared" si="18"/>
        <v>1.0257296417889934</v>
      </c>
      <c r="AR89" s="5">
        <f t="shared" si="19"/>
        <v>0.11812441929717205</v>
      </c>
      <c r="AS89" s="5">
        <f t="shared" si="20"/>
        <v>0.11683991682775663</v>
      </c>
      <c r="AT89" s="5">
        <f t="shared" si="21"/>
        <v>0.11487536534116222</v>
      </c>
    </row>
    <row r="90" spans="1:46" x14ac:dyDescent="0.25">
      <c r="A90" s="3" t="s">
        <v>631</v>
      </c>
      <c r="B90" s="3">
        <v>0</v>
      </c>
      <c r="C90" s="3">
        <v>59</v>
      </c>
      <c r="D90" s="3">
        <v>0.34091289804583153</v>
      </c>
      <c r="E90" s="3">
        <v>0.82740195818171314</v>
      </c>
      <c r="F90" s="3">
        <v>59</v>
      </c>
      <c r="G90" s="3" t="s">
        <v>632</v>
      </c>
      <c r="H90" s="3">
        <v>0</v>
      </c>
      <c r="I90" s="3">
        <v>59</v>
      </c>
      <c r="J90" s="3">
        <v>0.33707856304254585</v>
      </c>
      <c r="K90" s="3">
        <v>-0.16687988300507012</v>
      </c>
      <c r="L90" s="4">
        <v>45384.5</v>
      </c>
      <c r="M90">
        <v>61.48</v>
      </c>
      <c r="N90">
        <v>61.5</v>
      </c>
      <c r="O90">
        <v>58.56</v>
      </c>
      <c r="P90">
        <v>58.9</v>
      </c>
      <c r="Q90">
        <v>31781</v>
      </c>
      <c r="R90">
        <v>305461</v>
      </c>
      <c r="S90">
        <v>27.35</v>
      </c>
      <c r="T90">
        <v>27.5</v>
      </c>
      <c r="U90">
        <v>26.045000000000002</v>
      </c>
      <c r="V90">
        <v>26.32</v>
      </c>
      <c r="W90">
        <v>714</v>
      </c>
      <c r="X90" t="s">
        <v>467</v>
      </c>
      <c r="Y90" t="s">
        <v>467</v>
      </c>
      <c r="Z90">
        <v>0.30022667906955303</v>
      </c>
      <c r="AB90" s="3">
        <f t="shared" si="11"/>
        <v>-1.7304665820670612E-3</v>
      </c>
      <c r="AC90" s="3">
        <f t="shared" si="12"/>
        <v>2.0105033506330611E-3</v>
      </c>
      <c r="AD90" s="3">
        <f t="shared" si="13"/>
        <v>9.7341228605676289E-3</v>
      </c>
      <c r="AE90" s="76">
        <f t="shared" si="14"/>
        <v>2037</v>
      </c>
      <c r="AF90" s="76">
        <f t="shared" si="15"/>
        <v>8192.2440476190459</v>
      </c>
      <c r="AG90" s="76">
        <f t="shared" si="16"/>
        <v>7356.3801095659474</v>
      </c>
      <c r="AN90">
        <v>18178</v>
      </c>
      <c r="AO90" s="5" t="str">
        <f t="shared" si="17"/>
        <v/>
      </c>
      <c r="AP90" s="5">
        <f t="shared" si="18"/>
        <v>1.0254989576194289</v>
      </c>
      <c r="AR90" s="5">
        <f t="shared" si="19"/>
        <v>8.3899310734838473E-2</v>
      </c>
      <c r="AS90" s="5">
        <f t="shared" si="20"/>
        <v>8.1974925594609394E-2</v>
      </c>
      <c r="AT90" s="5">
        <f t="shared" si="21"/>
        <v>7.9581343107214764E-2</v>
      </c>
    </row>
    <row r="91" spans="1:46" x14ac:dyDescent="0.25">
      <c r="A91" s="3" t="s">
        <v>633</v>
      </c>
      <c r="B91" s="3">
        <v>0</v>
      </c>
      <c r="C91" s="3">
        <v>59.5</v>
      </c>
      <c r="D91" s="3">
        <v>0.33755587850618735</v>
      </c>
      <c r="E91" s="3">
        <v>0.81382819554545249</v>
      </c>
      <c r="F91" s="3">
        <v>59.5</v>
      </c>
      <c r="G91" s="3" t="s">
        <v>634</v>
      </c>
      <c r="H91" s="3">
        <v>0</v>
      </c>
      <c r="I91" s="3">
        <v>59.5</v>
      </c>
      <c r="J91" s="3">
        <v>0.33414106482240691</v>
      </c>
      <c r="K91" s="3">
        <v>-0.18072155097090073</v>
      </c>
      <c r="L91" s="4">
        <v>45383.5</v>
      </c>
      <c r="M91">
        <v>0</v>
      </c>
      <c r="N91">
        <v>0</v>
      </c>
      <c r="O91">
        <v>0</v>
      </c>
      <c r="P91">
        <v>0</v>
      </c>
      <c r="Q91">
        <v>0</v>
      </c>
      <c r="R91">
        <v>305049</v>
      </c>
      <c r="S91">
        <v>27.55</v>
      </c>
      <c r="T91">
        <v>28.125</v>
      </c>
      <c r="U91">
        <v>27.195</v>
      </c>
      <c r="V91">
        <v>27.48</v>
      </c>
      <c r="W91">
        <v>0</v>
      </c>
      <c r="X91">
        <v>0</v>
      </c>
      <c r="Y91">
        <v>-2.5756265319150757</v>
      </c>
      <c r="Z91">
        <v>-2.7531405120673385</v>
      </c>
      <c r="AB91" s="3">
        <f t="shared" si="11"/>
        <v>3.873888117646683E-3</v>
      </c>
      <c r="AC91" s="3">
        <f t="shared" si="12"/>
        <v>6.7143112092860335E-3</v>
      </c>
      <c r="AD91" s="3">
        <f t="shared" si="13"/>
        <v>1.3997428877925093E-2</v>
      </c>
      <c r="AE91" s="76">
        <f t="shared" si="14"/>
        <v>3146.4285714285725</v>
      </c>
      <c r="AF91" s="76">
        <f t="shared" si="15"/>
        <v>9023.1071428571413</v>
      </c>
      <c r="AG91" s="76">
        <f t="shared" si="16"/>
        <v>7924.8938053097336</v>
      </c>
      <c r="AN91">
        <v>17296</v>
      </c>
      <c r="AO91" s="5">
        <f t="shared" si="17"/>
        <v>-1</v>
      </c>
      <c r="AP91" s="5">
        <f t="shared" si="18"/>
        <v>1.0241807434372969</v>
      </c>
      <c r="AR91" s="5">
        <f t="shared" si="19"/>
        <v>4.8990123919556761E-2</v>
      </c>
      <c r="AS91" s="5">
        <f t="shared" si="20"/>
        <v>4.6681379009136326E-2</v>
      </c>
      <c r="AT91" s="5">
        <f t="shared" si="21"/>
        <v>4.3918835458982952E-2</v>
      </c>
    </row>
    <row r="92" spans="1:46" x14ac:dyDescent="0.25">
      <c r="A92" s="3" t="s">
        <v>635</v>
      </c>
      <c r="B92" s="3">
        <v>300</v>
      </c>
      <c r="C92" s="3">
        <v>60</v>
      </c>
      <c r="D92" s="3">
        <v>0.33400555896783235</v>
      </c>
      <c r="E92" s="3">
        <v>0.79956284033937375</v>
      </c>
      <c r="F92" s="3">
        <v>60</v>
      </c>
      <c r="G92" s="3" t="s">
        <v>636</v>
      </c>
      <c r="H92" s="3">
        <v>15026</v>
      </c>
      <c r="I92" s="3">
        <v>60</v>
      </c>
      <c r="J92" s="3">
        <v>0.33097004233853533</v>
      </c>
      <c r="K92" s="3">
        <v>-0.19523930747587878</v>
      </c>
      <c r="L92" s="4">
        <v>45380.5</v>
      </c>
      <c r="M92">
        <v>62.5</v>
      </c>
      <c r="N92">
        <v>62.89</v>
      </c>
      <c r="O92">
        <v>61.32</v>
      </c>
      <c r="P92">
        <v>61.93</v>
      </c>
      <c r="Q92">
        <v>0</v>
      </c>
      <c r="R92">
        <v>0</v>
      </c>
      <c r="S92">
        <v>27.55</v>
      </c>
      <c r="T92">
        <v>28.125</v>
      </c>
      <c r="U92">
        <v>27.195</v>
      </c>
      <c r="V92">
        <v>27.48</v>
      </c>
      <c r="W92">
        <v>0</v>
      </c>
      <c r="X92">
        <v>2.5120000000000003E-2</v>
      </c>
      <c r="Y92">
        <v>-1.1793964953783487</v>
      </c>
      <c r="Z92">
        <v>-2.8847751655426688</v>
      </c>
      <c r="AB92" s="3">
        <f t="shared" si="11"/>
        <v>4.7697153143554313E-3</v>
      </c>
      <c r="AC92" s="3">
        <f t="shared" si="12"/>
        <v>7.6712401801470667E-3</v>
      </c>
      <c r="AD92" s="3">
        <f t="shared" si="13"/>
        <v>1.5494460294563417E-2</v>
      </c>
      <c r="AE92" s="76">
        <f t="shared" si="14"/>
        <v>4222.9999999999964</v>
      </c>
      <c r="AF92" s="76">
        <f t="shared" si="15"/>
        <v>10145.440476190473</v>
      </c>
      <c r="AG92" s="76">
        <f t="shared" si="16"/>
        <v>9148.9249894648092</v>
      </c>
      <c r="AN92">
        <v>20476</v>
      </c>
      <c r="AO92" s="5">
        <f t="shared" si="17"/>
        <v>0</v>
      </c>
      <c r="AP92" s="5">
        <f t="shared" si="18"/>
        <v>0.28731526338155661</v>
      </c>
      <c r="AR92" s="5">
        <f t="shared" si="19"/>
        <v>1.4005475084158447E-2</v>
      </c>
      <c r="AS92" s="5">
        <f t="shared" si="20"/>
        <v>1.1354822919632912E-2</v>
      </c>
      <c r="AT92" s="5">
        <f t="shared" si="21"/>
        <v>8.2216077353058359E-3</v>
      </c>
    </row>
    <row r="93" spans="1:46" x14ac:dyDescent="0.25">
      <c r="A93" s="3" t="s">
        <v>637</v>
      </c>
      <c r="B93" s="3">
        <v>0</v>
      </c>
      <c r="C93" s="3">
        <v>60.5</v>
      </c>
      <c r="D93" s="3">
        <v>0.33086564360636894</v>
      </c>
      <c r="E93" s="3">
        <v>0.78423204645512556</v>
      </c>
      <c r="F93" s="3">
        <v>60.5</v>
      </c>
      <c r="G93" s="3" t="s">
        <v>638</v>
      </c>
      <c r="H93" s="3">
        <v>0</v>
      </c>
      <c r="I93" s="3">
        <v>60.5</v>
      </c>
      <c r="J93" s="3">
        <v>0.32817712047935982</v>
      </c>
      <c r="K93" s="3">
        <v>-0.21081368697057368</v>
      </c>
      <c r="L93" s="4">
        <v>45379.5</v>
      </c>
      <c r="M93">
        <v>62.5</v>
      </c>
      <c r="N93">
        <v>62.89</v>
      </c>
      <c r="O93">
        <v>61.32</v>
      </c>
      <c r="P93">
        <v>61.93</v>
      </c>
      <c r="Q93">
        <v>21520</v>
      </c>
      <c r="R93">
        <v>305054</v>
      </c>
      <c r="S93">
        <v>27.55</v>
      </c>
      <c r="T93">
        <v>28.125</v>
      </c>
      <c r="U93">
        <v>27.195</v>
      </c>
      <c r="V93">
        <v>27.48</v>
      </c>
      <c r="W93">
        <v>340</v>
      </c>
      <c r="X93">
        <v>2.5120000000000003E-2</v>
      </c>
      <c r="Y93">
        <v>-1.1647785087850917</v>
      </c>
      <c r="Z93">
        <v>-0.76788770396681882</v>
      </c>
      <c r="AB93" s="3">
        <f t="shared" si="11"/>
        <v>6.2402998116367833E-3</v>
      </c>
      <c r="AC93" s="3">
        <f t="shared" si="12"/>
        <v>8.9289963616993873E-3</v>
      </c>
      <c r="AD93" s="3">
        <f t="shared" si="13"/>
        <v>1.6758722560154919E-2</v>
      </c>
      <c r="AE93" s="76">
        <f t="shared" si="14"/>
        <v>6329.4285714285725</v>
      </c>
      <c r="AF93" s="76">
        <f t="shared" si="15"/>
        <v>11760.380952380954</v>
      </c>
      <c r="AG93" s="76">
        <f t="shared" si="16"/>
        <v>10907.855035819637</v>
      </c>
      <c r="AN93">
        <v>23464</v>
      </c>
      <c r="AO93" s="5">
        <f t="shared" si="17"/>
        <v>4.5871559633027708E-3</v>
      </c>
      <c r="AP93" s="5">
        <f t="shared" si="18"/>
        <v>0.28765695553191217</v>
      </c>
      <c r="AR93" s="5">
        <f t="shared" si="19"/>
        <v>1.4148151762127303E-2</v>
      </c>
      <c r="AS93" s="5">
        <f t="shared" si="20"/>
        <v>1.1159899648160276E-2</v>
      </c>
      <c r="AT93" s="5">
        <f t="shared" si="21"/>
        <v>7.6039667635868224E-3</v>
      </c>
    </row>
    <row r="94" spans="1:46" x14ac:dyDescent="0.25">
      <c r="A94" s="3" t="s">
        <v>639</v>
      </c>
      <c r="B94" s="3">
        <v>0</v>
      </c>
      <c r="C94" s="3">
        <v>61</v>
      </c>
      <c r="D94" s="3">
        <v>0.32743670355264198</v>
      </c>
      <c r="E94" s="3">
        <v>0.76823212764982052</v>
      </c>
      <c r="F94" s="3">
        <v>61</v>
      </c>
      <c r="G94" s="3" t="s">
        <v>640</v>
      </c>
      <c r="H94" s="3">
        <v>0</v>
      </c>
      <c r="I94" s="3">
        <v>61</v>
      </c>
      <c r="J94" s="3">
        <v>0.32506320647554005</v>
      </c>
      <c r="K94" s="3">
        <v>-0.22703972663296496</v>
      </c>
      <c r="L94" s="4">
        <v>45378.5</v>
      </c>
      <c r="M94">
        <v>62.5</v>
      </c>
      <c r="N94">
        <v>63.31</v>
      </c>
      <c r="O94">
        <v>61.04</v>
      </c>
      <c r="P94">
        <v>62.61</v>
      </c>
      <c r="Q94">
        <v>29533</v>
      </c>
      <c r="R94">
        <v>303156</v>
      </c>
      <c r="S94">
        <v>27.35</v>
      </c>
      <c r="T94">
        <v>27.687000000000001</v>
      </c>
      <c r="U94">
        <v>27.15</v>
      </c>
      <c r="V94">
        <v>27.687000000000001</v>
      </c>
      <c r="W94">
        <v>30</v>
      </c>
      <c r="X94">
        <v>3.5117574257425788E-2</v>
      </c>
      <c r="Y94">
        <v>-0.56130231053110236</v>
      </c>
      <c r="Z94">
        <v>8.9762098563371848E-2</v>
      </c>
      <c r="AB94" s="3">
        <f t="shared" si="11"/>
        <v>9.0315494372732036E-3</v>
      </c>
      <c r="AC94" s="3">
        <f t="shared" si="12"/>
        <v>1.1450908374107671E-2</v>
      </c>
      <c r="AD94" s="3">
        <f t="shared" si="13"/>
        <v>1.8883915824581932E-2</v>
      </c>
      <c r="AE94" s="76">
        <f t="shared" si="14"/>
        <v>8297.1904761904771</v>
      </c>
      <c r="AF94" s="76">
        <f t="shared" si="15"/>
        <v>13193.440476190477</v>
      </c>
      <c r="AG94" s="76">
        <f t="shared" si="16"/>
        <v>12281.93257479983</v>
      </c>
      <c r="AN94">
        <v>25963</v>
      </c>
      <c r="AO94" s="5">
        <f t="shared" si="17"/>
        <v>-1.8018018018017976E-2</v>
      </c>
      <c r="AP94" s="5">
        <f t="shared" si="18"/>
        <v>0.2876237600310268</v>
      </c>
      <c r="AR94" s="5">
        <f t="shared" si="19"/>
        <v>1.4415532349229931E-2</v>
      </c>
      <c r="AS94" s="5">
        <f t="shared" si="20"/>
        <v>1.1070268163238584E-2</v>
      </c>
      <c r="AT94" s="5">
        <f t="shared" si="21"/>
        <v>7.0839574431268426E-3</v>
      </c>
    </row>
    <row r="95" spans="1:46" x14ac:dyDescent="0.25">
      <c r="A95" s="3" t="s">
        <v>641</v>
      </c>
      <c r="B95" s="3">
        <v>0</v>
      </c>
      <c r="C95" s="3">
        <v>61.5</v>
      </c>
      <c r="D95" s="3">
        <v>0.32428400641030947</v>
      </c>
      <c r="E95" s="3">
        <v>0.75123290871556925</v>
      </c>
      <c r="F95" s="3">
        <v>61.5</v>
      </c>
      <c r="G95" s="3" t="s">
        <v>642</v>
      </c>
      <c r="H95" s="3">
        <v>0</v>
      </c>
      <c r="I95" s="3">
        <v>61.5</v>
      </c>
      <c r="J95" s="3">
        <v>0.32219942886595565</v>
      </c>
      <c r="K95" s="3">
        <v>-0.24425259173103217</v>
      </c>
      <c r="L95" s="4">
        <v>45377.5</v>
      </c>
      <c r="M95">
        <v>64.64</v>
      </c>
      <c r="N95">
        <v>65.78</v>
      </c>
      <c r="O95">
        <v>62.16</v>
      </c>
      <c r="P95">
        <v>63</v>
      </c>
      <c r="Q95">
        <v>39770</v>
      </c>
      <c r="R95">
        <v>299462</v>
      </c>
      <c r="S95">
        <v>27.61</v>
      </c>
      <c r="T95">
        <v>28.105</v>
      </c>
      <c r="U95">
        <v>27.132000000000001</v>
      </c>
      <c r="V95">
        <v>27.132000000000001</v>
      </c>
      <c r="W95">
        <v>563</v>
      </c>
      <c r="X95">
        <v>5.8680499270546353E-2</v>
      </c>
      <c r="Y95">
        <v>0.83830936358455999</v>
      </c>
      <c r="Z95">
        <v>1.1341788235803543</v>
      </c>
      <c r="AB95" s="3">
        <f t="shared" si="11"/>
        <v>1.2385500968910175E-2</v>
      </c>
      <c r="AC95" s="3">
        <f t="shared" si="12"/>
        <v>1.3989888551156925E-2</v>
      </c>
      <c r="AD95" s="3">
        <f t="shared" si="13"/>
        <v>2.1012103324578819E-2</v>
      </c>
      <c r="AE95" s="76">
        <f t="shared" si="14"/>
        <v>9005.5238095238055</v>
      </c>
      <c r="AF95" s="76">
        <f t="shared" si="15"/>
        <v>13528.261904761901</v>
      </c>
      <c r="AG95" s="76">
        <f t="shared" si="16"/>
        <v>12753.093131057729</v>
      </c>
      <c r="AN95">
        <v>19155</v>
      </c>
      <c r="AO95" s="5">
        <f t="shared" si="17"/>
        <v>7.782101167315124E-3</v>
      </c>
      <c r="AP95" s="5">
        <f t="shared" si="18"/>
        <v>0.28786669659501801</v>
      </c>
      <c r="AR95" s="5">
        <f t="shared" si="19"/>
        <v>1.4170103906208764E-2</v>
      </c>
      <c r="AS95" s="5">
        <f t="shared" si="20"/>
        <v>1.064814210233378E-2</v>
      </c>
      <c r="AT95" s="5">
        <f t="shared" si="21"/>
        <v>6.2402879194379257E-3</v>
      </c>
    </row>
    <row r="96" spans="1:46" x14ac:dyDescent="0.25">
      <c r="A96" s="3" t="s">
        <v>643</v>
      </c>
      <c r="B96" s="3">
        <v>0</v>
      </c>
      <c r="C96" s="3">
        <v>62</v>
      </c>
      <c r="D96" s="3">
        <v>0.32133161710403246</v>
      </c>
      <c r="E96" s="3">
        <v>0.73329031885713081</v>
      </c>
      <c r="F96" s="3">
        <v>62</v>
      </c>
      <c r="G96" s="3" t="s">
        <v>644</v>
      </c>
      <c r="H96" s="3">
        <v>570</v>
      </c>
      <c r="I96" s="3">
        <v>62</v>
      </c>
      <c r="J96" s="3">
        <v>0.31951235924553673</v>
      </c>
      <c r="K96" s="3">
        <v>-0.26239415315224401</v>
      </c>
      <c r="L96" s="4">
        <v>45376.5</v>
      </c>
      <c r="M96">
        <v>61.69</v>
      </c>
      <c r="N96">
        <v>65.489999999999995</v>
      </c>
      <c r="O96">
        <v>61.68</v>
      </c>
      <c r="P96">
        <v>64.84</v>
      </c>
      <c r="Q96">
        <v>36801</v>
      </c>
      <c r="R96">
        <v>297131</v>
      </c>
      <c r="S96">
        <v>28.824999999999999</v>
      </c>
      <c r="T96">
        <v>29.07</v>
      </c>
      <c r="U96">
        <v>28.07</v>
      </c>
      <c r="V96">
        <v>28.489000000000001</v>
      </c>
      <c r="W96">
        <v>127</v>
      </c>
      <c r="X96">
        <v>6.4412510566356634E-2</v>
      </c>
      <c r="Y96">
        <v>1.2014638569988489</v>
      </c>
      <c r="Z96">
        <v>0.86161120422440629</v>
      </c>
      <c r="AB96" s="3">
        <f t="shared" si="11"/>
        <v>1.2734873194946837E-2</v>
      </c>
      <c r="AC96" s="3">
        <f t="shared" si="12"/>
        <v>1.431677562377507E-2</v>
      </c>
      <c r="AD96" s="3">
        <f t="shared" si="13"/>
        <v>2.115628044788611E-2</v>
      </c>
      <c r="AE96" s="76">
        <f t="shared" si="14"/>
        <v>8793.6190476190495</v>
      </c>
      <c r="AF96" s="76">
        <f t="shared" si="15"/>
        <v>13143.851190476194</v>
      </c>
      <c r="AG96" s="76">
        <f t="shared" si="16"/>
        <v>12415.142435735361</v>
      </c>
      <c r="AN96">
        <v>33383</v>
      </c>
      <c r="AO96" s="5">
        <f t="shared" si="17"/>
        <v>4.897959183673474E-2</v>
      </c>
      <c r="AP96" s="5">
        <f t="shared" si="18"/>
        <v>0.28795194560919668</v>
      </c>
      <c r="AR96" s="5">
        <f t="shared" si="19"/>
        <v>1.3900902865812526E-2</v>
      </c>
      <c r="AS96" s="5">
        <f t="shared" si="20"/>
        <v>1.0240959964687157E-2</v>
      </c>
      <c r="AT96" s="5">
        <f t="shared" si="21"/>
        <v>5.3850210761015593E-3</v>
      </c>
    </row>
    <row r="97" spans="1:46" x14ac:dyDescent="0.25">
      <c r="A97" s="3" t="s">
        <v>645</v>
      </c>
      <c r="B97" s="3">
        <v>0</v>
      </c>
      <c r="C97" s="3">
        <v>62.5</v>
      </c>
      <c r="D97" s="3">
        <v>0.31905369625585756</v>
      </c>
      <c r="E97" s="3">
        <v>0.714207358572721</v>
      </c>
      <c r="F97" s="3">
        <v>62.5</v>
      </c>
      <c r="G97" s="3" t="s">
        <v>646</v>
      </c>
      <c r="H97" s="3">
        <v>0</v>
      </c>
      <c r="I97" s="3">
        <v>62.5</v>
      </c>
      <c r="J97" s="3">
        <v>0.31747942013024538</v>
      </c>
      <c r="K97" s="3">
        <v>-0.28166256283861318</v>
      </c>
      <c r="L97" s="4">
        <v>45373.5</v>
      </c>
      <c r="M97">
        <v>59.15</v>
      </c>
      <c r="N97">
        <v>62.06</v>
      </c>
      <c r="O97">
        <v>58.8</v>
      </c>
      <c r="P97">
        <v>61.5</v>
      </c>
      <c r="Q97">
        <v>30992</v>
      </c>
      <c r="R97">
        <v>297063</v>
      </c>
      <c r="S97">
        <v>26.524999999999999</v>
      </c>
      <c r="T97">
        <v>27.875</v>
      </c>
      <c r="U97">
        <v>26.524999999999999</v>
      </c>
      <c r="V97">
        <v>27.776</v>
      </c>
      <c r="W97">
        <v>398</v>
      </c>
      <c r="X97">
        <v>5.4170820870721254E-2</v>
      </c>
      <c r="Y97">
        <v>0.6316528880129606</v>
      </c>
      <c r="Z97">
        <v>0.34561990942607651</v>
      </c>
      <c r="AB97" s="3">
        <f t="shared" si="11"/>
        <v>1.0384012059838625E-2</v>
      </c>
      <c r="AC97" s="3">
        <f t="shared" si="12"/>
        <v>1.3177772427121523E-2</v>
      </c>
      <c r="AD97" s="3">
        <f t="shared" si="13"/>
        <v>1.9972966857172335E-2</v>
      </c>
      <c r="AE97" s="76">
        <f t="shared" si="14"/>
        <v>8447.6190476190495</v>
      </c>
      <c r="AF97" s="76">
        <f t="shared" si="15"/>
        <v>12844.583333333336</v>
      </c>
      <c r="AG97" s="76">
        <f t="shared" si="16"/>
        <v>12225.124736620317</v>
      </c>
      <c r="AN97">
        <v>37641</v>
      </c>
      <c r="AO97" s="5">
        <f t="shared" si="17"/>
        <v>0</v>
      </c>
      <c r="AP97" s="5">
        <f t="shared" si="18"/>
        <v>0.28367017653788373</v>
      </c>
      <c r="AR97" s="5">
        <f t="shared" si="19"/>
        <v>1.336156035043129E-2</v>
      </c>
      <c r="AS97" s="5">
        <f t="shared" si="20"/>
        <v>9.8186208657013996E-3</v>
      </c>
      <c r="AT97" s="5">
        <f t="shared" si="21"/>
        <v>4.5143835397516985E-3</v>
      </c>
    </row>
    <row r="98" spans="1:46" x14ac:dyDescent="0.25">
      <c r="A98" s="3" t="s">
        <v>647</v>
      </c>
      <c r="B98" s="3">
        <v>0</v>
      </c>
      <c r="C98" s="3">
        <v>63</v>
      </c>
      <c r="D98" s="3">
        <v>0.31630293750424388</v>
      </c>
      <c r="E98" s="3">
        <v>0.69457035611947182</v>
      </c>
      <c r="F98" s="3">
        <v>63</v>
      </c>
      <c r="G98" s="3" t="s">
        <v>648</v>
      </c>
      <c r="H98" s="3">
        <v>30</v>
      </c>
      <c r="I98" s="3">
        <v>63</v>
      </c>
      <c r="J98" s="3">
        <v>0.31495427462730019</v>
      </c>
      <c r="K98" s="3">
        <v>-0.30146373626903256</v>
      </c>
      <c r="L98" s="4">
        <v>45372.5</v>
      </c>
      <c r="M98">
        <v>60.18</v>
      </c>
      <c r="N98">
        <v>60.3</v>
      </c>
      <c r="O98">
        <v>58.8</v>
      </c>
      <c r="P98">
        <v>59.37</v>
      </c>
      <c r="Q98">
        <v>28063</v>
      </c>
      <c r="R98">
        <v>294791</v>
      </c>
      <c r="S98">
        <v>27.045000000000002</v>
      </c>
      <c r="T98">
        <v>27.39</v>
      </c>
      <c r="U98">
        <v>26.35</v>
      </c>
      <c r="V98">
        <v>26.402000000000001</v>
      </c>
      <c r="W98">
        <v>290</v>
      </c>
      <c r="X98">
        <v>2.4469820554649267E-2</v>
      </c>
      <c r="Y98">
        <v>-1.1160451979868806</v>
      </c>
      <c r="Z98">
        <v>7.9070522989298925E-2</v>
      </c>
      <c r="AB98" s="3">
        <f t="shared" si="11"/>
        <v>9.2399007184060244E-3</v>
      </c>
      <c r="AC98" s="3">
        <f t="shared" si="12"/>
        <v>1.2746567297197323E-2</v>
      </c>
      <c r="AD98" s="3">
        <f t="shared" si="13"/>
        <v>1.9404179720127743E-2</v>
      </c>
      <c r="AE98" s="76">
        <f t="shared" si="14"/>
        <v>8682.5238095238055</v>
      </c>
      <c r="AF98" s="76">
        <f t="shared" si="15"/>
        <v>12847.720238095237</v>
      </c>
      <c r="AG98" s="76">
        <f t="shared" si="16"/>
        <v>12328.348082595869</v>
      </c>
      <c r="AN98">
        <v>31430</v>
      </c>
      <c r="AO98" s="5">
        <f t="shared" si="17"/>
        <v>-1.9509754877438747E-2</v>
      </c>
      <c r="AP98" s="5">
        <f t="shared" si="18"/>
        <v>0.28528774776895782</v>
      </c>
      <c r="AR98" s="5">
        <f t="shared" si="19"/>
        <v>1.284428276414129E-2</v>
      </c>
      <c r="AS98" s="5">
        <f t="shared" si="20"/>
        <v>9.5484705849646634E-3</v>
      </c>
      <c r="AT98" s="5">
        <f t="shared" si="21"/>
        <v>3.811689084106562E-3</v>
      </c>
    </row>
    <row r="99" spans="1:46" x14ac:dyDescent="0.25">
      <c r="A99" s="3" t="s">
        <v>649</v>
      </c>
      <c r="B99" s="3">
        <v>0</v>
      </c>
      <c r="C99" s="3">
        <v>63.5</v>
      </c>
      <c r="D99" s="3">
        <v>0.31409725991577625</v>
      </c>
      <c r="E99" s="3">
        <v>0.67395906866151989</v>
      </c>
      <c r="F99" s="3">
        <v>63.5</v>
      </c>
      <c r="G99" s="3" t="s">
        <v>650</v>
      </c>
      <c r="H99" s="3">
        <v>0</v>
      </c>
      <c r="I99" s="3">
        <v>63.5</v>
      </c>
      <c r="J99" s="3">
        <v>0.31295854991376032</v>
      </c>
      <c r="K99" s="3">
        <v>-0.32222211624479496</v>
      </c>
      <c r="L99" s="4">
        <v>45371.5</v>
      </c>
      <c r="M99">
        <v>61.3</v>
      </c>
      <c r="N99">
        <v>61.46</v>
      </c>
      <c r="O99">
        <v>59.97</v>
      </c>
      <c r="P99">
        <v>60.01</v>
      </c>
      <c r="Q99">
        <v>24031</v>
      </c>
      <c r="R99">
        <v>292958</v>
      </c>
      <c r="S99">
        <v>28.385000000000002</v>
      </c>
      <c r="T99">
        <v>28.745000000000001</v>
      </c>
      <c r="U99">
        <v>27.414999999999999</v>
      </c>
      <c r="V99">
        <v>27.742000000000001</v>
      </c>
      <c r="W99">
        <v>621</v>
      </c>
      <c r="X99">
        <v>2.426314932421433E-2</v>
      </c>
      <c r="Y99">
        <v>-1.1606496256710062</v>
      </c>
      <c r="Z99">
        <v>-0.2952380912278732</v>
      </c>
      <c r="AB99" s="3">
        <f t="shared" si="11"/>
        <v>9.4597923872570544E-3</v>
      </c>
      <c r="AC99" s="3">
        <f t="shared" si="12"/>
        <v>1.3061954048702314E-2</v>
      </c>
      <c r="AD99" s="3">
        <f t="shared" si="13"/>
        <v>1.9796604799674815E-2</v>
      </c>
      <c r="AE99" s="76">
        <f t="shared" si="14"/>
        <v>8437.3333333333358</v>
      </c>
      <c r="AF99" s="76">
        <f t="shared" si="15"/>
        <v>12394.815476190481</v>
      </c>
      <c r="AG99" s="76">
        <f t="shared" si="16"/>
        <v>12168.717656974299</v>
      </c>
      <c r="AN99">
        <v>35966</v>
      </c>
      <c r="AO99" s="5">
        <f t="shared" si="17"/>
        <v>7.8991596638655279E-3</v>
      </c>
      <c r="AP99" s="5">
        <f t="shared" si="18"/>
        <v>0.28511048968723107</v>
      </c>
      <c r="AR99" s="5">
        <f t="shared" si="19"/>
        <v>1.2265321158018982E-2</v>
      </c>
      <c r="AS99" s="5">
        <f t="shared" si="20"/>
        <v>9.1762879277258458E-3</v>
      </c>
      <c r="AT99" s="5">
        <f t="shared" si="21"/>
        <v>3.0100636972641426E-3</v>
      </c>
    </row>
    <row r="100" spans="1:46" x14ac:dyDescent="0.25">
      <c r="A100" s="3" t="s">
        <v>651</v>
      </c>
      <c r="B100" s="3">
        <v>0</v>
      </c>
      <c r="C100" s="3">
        <v>64</v>
      </c>
      <c r="D100" s="3">
        <v>0.31186491573197067</v>
      </c>
      <c r="E100" s="3">
        <v>0.65267542279246171</v>
      </c>
      <c r="F100" s="3">
        <v>64</v>
      </c>
      <c r="G100" s="3" t="s">
        <v>652</v>
      </c>
      <c r="H100" s="3">
        <v>500</v>
      </c>
      <c r="I100" s="3">
        <v>64</v>
      </c>
      <c r="J100" s="3">
        <v>0.31092228555006107</v>
      </c>
      <c r="K100" s="3">
        <v>-0.34363226628730725</v>
      </c>
      <c r="L100" s="4">
        <v>45370.5</v>
      </c>
      <c r="M100">
        <v>61.41</v>
      </c>
      <c r="N100">
        <v>62.89</v>
      </c>
      <c r="O100">
        <v>59.5</v>
      </c>
      <c r="P100">
        <v>61.31</v>
      </c>
      <c r="Q100">
        <v>32342</v>
      </c>
      <c r="R100">
        <v>293112</v>
      </c>
      <c r="S100">
        <v>28.9</v>
      </c>
      <c r="T100">
        <v>29.675000000000001</v>
      </c>
      <c r="U100">
        <v>27.8</v>
      </c>
      <c r="V100">
        <v>28.866</v>
      </c>
      <c r="W100">
        <v>368</v>
      </c>
      <c r="X100">
        <v>5.7022708158116074E-2</v>
      </c>
      <c r="Y100">
        <v>0.7856086596329771</v>
      </c>
      <c r="Z100">
        <v>0.49098070280612094</v>
      </c>
      <c r="AB100" s="3">
        <f t="shared" si="11"/>
        <v>1.2170141667382825E-2</v>
      </c>
      <c r="AC100" s="3">
        <f t="shared" si="12"/>
        <v>1.5257941071004741E-2</v>
      </c>
      <c r="AD100" s="3">
        <f t="shared" si="13"/>
        <v>2.1774682156774562E-2</v>
      </c>
      <c r="AE100" s="76">
        <f t="shared" si="14"/>
        <v>9435.761904761901</v>
      </c>
      <c r="AF100" s="76">
        <f t="shared" si="15"/>
        <v>12824.410714285714</v>
      </c>
      <c r="AG100" s="76">
        <f t="shared" si="16"/>
        <v>12861.275600505687</v>
      </c>
      <c r="AN100">
        <v>26668</v>
      </c>
      <c r="AO100" s="5">
        <f t="shared" si="17"/>
        <v>8.4104289318750471E-4</v>
      </c>
      <c r="AP100" s="5">
        <f t="shared" si="18"/>
        <v>0.28509567030460586</v>
      </c>
      <c r="AR100" s="5">
        <f t="shared" si="19"/>
        <v>1.1482373855550065E-2</v>
      </c>
      <c r="AS100" s="5">
        <f t="shared" si="20"/>
        <v>8.7115065560747218E-3</v>
      </c>
      <c r="AT100" s="5">
        <f t="shared" si="21"/>
        <v>2.1132455840124909E-3</v>
      </c>
    </row>
    <row r="101" spans="1:46" x14ac:dyDescent="0.25">
      <c r="A101" s="3" t="s">
        <v>653</v>
      </c>
      <c r="B101" s="3">
        <v>0</v>
      </c>
      <c r="C101" s="3">
        <v>64.5</v>
      </c>
      <c r="D101" s="3">
        <v>0.3095772640362634</v>
      </c>
      <c r="E101" s="3">
        <v>0.63076706289005835</v>
      </c>
      <c r="F101" s="3">
        <v>64.5</v>
      </c>
      <c r="G101" s="3" t="s">
        <v>654</v>
      </c>
      <c r="H101" s="3">
        <v>0</v>
      </c>
      <c r="I101" s="3">
        <v>64.5</v>
      </c>
      <c r="J101" s="3">
        <v>0.30881910778632804</v>
      </c>
      <c r="K101" s="3">
        <v>-0.36564598666060816</v>
      </c>
      <c r="L101" s="4">
        <v>45369.5</v>
      </c>
      <c r="M101">
        <v>59.45</v>
      </c>
      <c r="N101">
        <v>62.34</v>
      </c>
      <c r="O101">
        <v>59.45</v>
      </c>
      <c r="P101">
        <v>61.42</v>
      </c>
      <c r="Q101">
        <v>40447</v>
      </c>
      <c r="R101">
        <v>295129</v>
      </c>
      <c r="S101">
        <v>28.024999999999999</v>
      </c>
      <c r="T101">
        <v>29.15</v>
      </c>
      <c r="U101">
        <v>28.024999999999999</v>
      </c>
      <c r="V101">
        <v>28.821999999999999</v>
      </c>
      <c r="W101">
        <v>756</v>
      </c>
      <c r="X101">
        <v>4.9149659863945587E-2</v>
      </c>
      <c r="Y101">
        <v>0.33943608595976488</v>
      </c>
      <c r="Z101">
        <v>1.2567473063497738</v>
      </c>
      <c r="AB101" s="3">
        <f t="shared" si="11"/>
        <v>1.5313026122202748E-2</v>
      </c>
      <c r="AC101" s="3">
        <f t="shared" si="12"/>
        <v>1.6648647477354173E-2</v>
      </c>
      <c r="AD101" s="3">
        <f t="shared" si="13"/>
        <v>2.281020006050611E-2</v>
      </c>
      <c r="AE101" s="76">
        <f t="shared" si="14"/>
        <v>10511.952380952382</v>
      </c>
      <c r="AF101" s="76">
        <f t="shared" si="15"/>
        <v>13267.84523809524</v>
      </c>
      <c r="AG101" s="76">
        <f t="shared" si="16"/>
        <v>13213.209018120524</v>
      </c>
      <c r="AN101">
        <v>40967</v>
      </c>
      <c r="AO101" s="5">
        <f t="shared" si="17"/>
        <v>2.2531819745442074E-2</v>
      </c>
      <c r="AP101" s="5">
        <f t="shared" si="18"/>
        <v>0.28722848864551059</v>
      </c>
      <c r="AR101" s="5">
        <f t="shared" si="19"/>
        <v>1.0730441873502583E-2</v>
      </c>
      <c r="AS101" s="5">
        <f t="shared" si="20"/>
        <v>8.2074241041509288E-3</v>
      </c>
      <c r="AT101" s="5">
        <f t="shared" si="21"/>
        <v>1.1856225756844974E-3</v>
      </c>
    </row>
    <row r="102" spans="1:46" x14ac:dyDescent="0.25">
      <c r="A102" s="3" t="s">
        <v>655</v>
      </c>
      <c r="B102" s="3">
        <v>2525</v>
      </c>
      <c r="C102" s="3">
        <v>65</v>
      </c>
      <c r="D102" s="3">
        <v>0.30768435311050613</v>
      </c>
      <c r="E102" s="3">
        <v>0.60818856061906557</v>
      </c>
      <c r="F102" s="3">
        <v>65</v>
      </c>
      <c r="G102" s="3" t="s">
        <v>656</v>
      </c>
      <c r="H102" s="3">
        <v>9680</v>
      </c>
      <c r="I102" s="3">
        <v>65</v>
      </c>
      <c r="J102" s="3">
        <v>0.30710119370434291</v>
      </c>
      <c r="K102" s="3">
        <v>-0.38830865554342248</v>
      </c>
      <c r="L102" s="4">
        <v>45366.5</v>
      </c>
      <c r="M102">
        <v>58.8</v>
      </c>
      <c r="N102">
        <v>60.25</v>
      </c>
      <c r="O102">
        <v>58.14</v>
      </c>
      <c r="P102">
        <v>59.38</v>
      </c>
      <c r="Q102">
        <v>37703</v>
      </c>
      <c r="R102">
        <v>294097</v>
      </c>
      <c r="S102">
        <v>26.254999999999999</v>
      </c>
      <c r="T102">
        <v>27.295000000000002</v>
      </c>
      <c r="U102">
        <v>26</v>
      </c>
      <c r="V102">
        <v>27.026</v>
      </c>
      <c r="W102">
        <v>1147</v>
      </c>
      <c r="X102">
        <v>3.7718984626385406E-2</v>
      </c>
      <c r="Y102">
        <v>-0.35557578610673674</v>
      </c>
      <c r="Z102">
        <v>1.043506442002073</v>
      </c>
      <c r="AB102" s="3">
        <f t="shared" si="11"/>
        <v>1.5030018379375468E-2</v>
      </c>
      <c r="AC102" s="3">
        <f t="shared" si="12"/>
        <v>1.623867778015152E-2</v>
      </c>
      <c r="AD102" s="3">
        <f t="shared" si="13"/>
        <v>2.2255999411770762E-2</v>
      </c>
      <c r="AE102" s="76">
        <f t="shared" si="14"/>
        <v>9736.4761904761945</v>
      </c>
      <c r="AF102" s="76">
        <f t="shared" si="15"/>
        <v>12222.916666666668</v>
      </c>
      <c r="AG102" s="76">
        <f t="shared" si="16"/>
        <v>12423.650231774129</v>
      </c>
      <c r="AN102">
        <v>37340</v>
      </c>
      <c r="AO102" s="5">
        <f t="shared" si="17"/>
        <v>5.6706652126499404E-2</v>
      </c>
      <c r="AP102" s="5">
        <f t="shared" si="18"/>
        <v>0.28657120638935041</v>
      </c>
      <c r="AR102" s="5">
        <f t="shared" si="19"/>
        <v>9.3106638327668523E-3</v>
      </c>
      <c r="AS102" s="5">
        <f t="shared" si="20"/>
        <v>7.2078988445706815E-3</v>
      </c>
      <c r="AT102" s="5">
        <f t="shared" si="21"/>
        <v>-1.8173969246149113E-4</v>
      </c>
    </row>
    <row r="103" spans="1:46" x14ac:dyDescent="0.25">
      <c r="A103" s="3" t="s">
        <v>657</v>
      </c>
      <c r="B103" s="3">
        <v>0</v>
      </c>
      <c r="C103" s="3">
        <v>65.5</v>
      </c>
      <c r="D103" s="3">
        <v>0.30614278072118695</v>
      </c>
      <c r="E103" s="3">
        <v>0.58508624582403257</v>
      </c>
      <c r="F103" s="3">
        <v>65.5</v>
      </c>
      <c r="G103" s="3" t="s">
        <v>658</v>
      </c>
      <c r="H103" s="3">
        <v>0</v>
      </c>
      <c r="I103" s="3">
        <v>65.5</v>
      </c>
      <c r="J103" s="3">
        <v>0.30572700699295574</v>
      </c>
      <c r="K103" s="3">
        <v>-0.41147267808377735</v>
      </c>
      <c r="L103" s="4">
        <v>45365.5</v>
      </c>
      <c r="M103">
        <v>55.94</v>
      </c>
      <c r="N103">
        <v>59.36</v>
      </c>
      <c r="O103">
        <v>55.02</v>
      </c>
      <c r="P103">
        <v>58.8</v>
      </c>
      <c r="Q103">
        <v>37445</v>
      </c>
      <c r="R103">
        <v>289989</v>
      </c>
      <c r="S103">
        <v>24.675000000000001</v>
      </c>
      <c r="T103">
        <v>26.6</v>
      </c>
      <c r="U103">
        <v>24.675000000000001</v>
      </c>
      <c r="V103">
        <v>26.048999999999999</v>
      </c>
      <c r="W103">
        <v>511</v>
      </c>
      <c r="X103">
        <v>7.6327822722476193E-2</v>
      </c>
      <c r="Y103">
        <v>1.9254215933639531</v>
      </c>
      <c r="Z103">
        <v>1.0412299225607187</v>
      </c>
      <c r="AB103" s="3">
        <f t="shared" si="11"/>
        <v>1.5825204764692222E-2</v>
      </c>
      <c r="AC103" s="3">
        <f t="shared" si="12"/>
        <v>1.7157369900654369E-2</v>
      </c>
      <c r="AD103" s="3">
        <f t="shared" si="13"/>
        <v>2.3228524522969068E-2</v>
      </c>
      <c r="AE103" s="76">
        <f t="shared" si="14"/>
        <v>9521.8571428571413</v>
      </c>
      <c r="AF103" s="76">
        <f t="shared" si="15"/>
        <v>11931.208333333332</v>
      </c>
      <c r="AG103" s="76">
        <f t="shared" si="16"/>
        <v>12246.517909818791</v>
      </c>
      <c r="AN103">
        <v>31656</v>
      </c>
      <c r="AO103" s="5">
        <f t="shared" si="17"/>
        <v>-9.1842247433819198E-3</v>
      </c>
      <c r="AP103" s="5">
        <f t="shared" si="18"/>
        <v>0.28077241137873099</v>
      </c>
      <c r="AR103" s="5">
        <f t="shared" si="19"/>
        <v>7.6426861517637223E-3</v>
      </c>
      <c r="AS103" s="5">
        <f t="shared" si="20"/>
        <v>6.2207011665751377E-3</v>
      </c>
      <c r="AT103" s="5">
        <f t="shared" si="21"/>
        <v>-1.5085214513200218E-3</v>
      </c>
    </row>
    <row r="104" spans="1:46" x14ac:dyDescent="0.25">
      <c r="A104" s="3" t="s">
        <v>659</v>
      </c>
      <c r="B104" s="3">
        <v>0</v>
      </c>
      <c r="C104" s="3">
        <v>66</v>
      </c>
      <c r="D104" s="3">
        <v>0.30445882763490811</v>
      </c>
      <c r="E104" s="3">
        <v>0.56162879566014901</v>
      </c>
      <c r="F104" s="3">
        <v>66</v>
      </c>
      <c r="G104" s="3" t="s">
        <v>660</v>
      </c>
      <c r="H104" s="3">
        <v>70</v>
      </c>
      <c r="I104" s="3">
        <v>66</v>
      </c>
      <c r="J104" s="3">
        <v>0.30420466839548821</v>
      </c>
      <c r="K104" s="3">
        <v>-0.43496838647692915</v>
      </c>
      <c r="L104" s="4">
        <v>45364.5</v>
      </c>
      <c r="M104">
        <v>56.86</v>
      </c>
      <c r="N104">
        <v>57.92</v>
      </c>
      <c r="O104">
        <v>55.53</v>
      </c>
      <c r="P104">
        <v>55.87</v>
      </c>
      <c r="Q104">
        <v>33194</v>
      </c>
      <c r="R104">
        <v>293878</v>
      </c>
      <c r="S104">
        <v>25.1</v>
      </c>
      <c r="T104">
        <v>25.425000000000001</v>
      </c>
      <c r="U104">
        <v>24.555</v>
      </c>
      <c r="V104">
        <v>24.902999999999999</v>
      </c>
      <c r="W104">
        <v>235</v>
      </c>
      <c r="X104">
        <v>4.2481336651262011E-2</v>
      </c>
      <c r="Y104">
        <v>-4.6811973647814385E-2</v>
      </c>
      <c r="Z104">
        <v>0.65155784858489263</v>
      </c>
      <c r="AB104" s="3">
        <f t="shared" si="11"/>
        <v>1.4086428435694298E-2</v>
      </c>
      <c r="AC104" s="3">
        <f t="shared" si="12"/>
        <v>1.5609133090050874E-2</v>
      </c>
      <c r="AD104" s="3">
        <f t="shared" si="13"/>
        <v>2.1448432024471248E-2</v>
      </c>
      <c r="AE104" s="76">
        <f t="shared" si="14"/>
        <v>9288.5714285714312</v>
      </c>
      <c r="AF104" s="76">
        <f t="shared" si="15"/>
        <v>11397.08928571429</v>
      </c>
      <c r="AG104" s="76">
        <f t="shared" si="16"/>
        <v>11944.462705436159</v>
      </c>
      <c r="AN104">
        <v>29921</v>
      </c>
      <c r="AO104" s="5">
        <f t="shared" si="17"/>
        <v>5.7960514399565347E-3</v>
      </c>
      <c r="AP104" s="5">
        <f t="shared" si="18"/>
        <v>0.2821556899962912</v>
      </c>
      <c r="AR104" s="5">
        <f t="shared" si="19"/>
        <v>6.5995343999509237E-3</v>
      </c>
      <c r="AS104" s="5">
        <f t="shared" si="20"/>
        <v>5.6767562619286505E-3</v>
      </c>
      <c r="AT104" s="5">
        <f t="shared" si="21"/>
        <v>-2.3908976713252206E-3</v>
      </c>
    </row>
    <row r="105" spans="1:46" x14ac:dyDescent="0.25">
      <c r="A105" s="3" t="s">
        <v>661</v>
      </c>
      <c r="B105" s="3">
        <v>0</v>
      </c>
      <c r="C105" s="3">
        <v>66.5</v>
      </c>
      <c r="D105" s="3">
        <v>0.30354159958141363</v>
      </c>
      <c r="E105" s="3">
        <v>0.53788924415155281</v>
      </c>
      <c r="F105" s="3">
        <v>66.5</v>
      </c>
      <c r="G105" s="3" t="s">
        <v>662</v>
      </c>
      <c r="H105" s="3">
        <v>0</v>
      </c>
      <c r="I105" s="3">
        <v>66.5</v>
      </c>
      <c r="J105" s="3">
        <v>0.30344508654517843</v>
      </c>
      <c r="K105" s="3">
        <v>-0.45872245020665731</v>
      </c>
      <c r="L105" s="4">
        <v>45363.5</v>
      </c>
      <c r="M105">
        <v>56.26</v>
      </c>
      <c r="N105">
        <v>57.08</v>
      </c>
      <c r="O105">
        <v>55.21</v>
      </c>
      <c r="P105">
        <v>57</v>
      </c>
      <c r="Q105">
        <v>34862</v>
      </c>
      <c r="R105">
        <v>289607</v>
      </c>
      <c r="S105">
        <v>25.01</v>
      </c>
      <c r="T105">
        <v>25.01</v>
      </c>
      <c r="U105">
        <v>24.355</v>
      </c>
      <c r="V105">
        <v>24.774999999999999</v>
      </c>
      <c r="W105">
        <v>301</v>
      </c>
      <c r="X105">
        <v>3.2241379310344785E-2</v>
      </c>
      <c r="Y105">
        <v>-0.64679449512826959</v>
      </c>
      <c r="Z105">
        <v>0.81261848896355016</v>
      </c>
      <c r="AB105" s="3">
        <f t="shared" si="11"/>
        <v>1.3908824318443778E-2</v>
      </c>
      <c r="AC105" s="3">
        <f t="shared" si="12"/>
        <v>1.5390179274617985E-2</v>
      </c>
      <c r="AD105" s="3">
        <f t="shared" si="13"/>
        <v>2.1556239651033534E-2</v>
      </c>
      <c r="AE105" s="76">
        <f t="shared" si="14"/>
        <v>9609.1904761904771</v>
      </c>
      <c r="AF105" s="76">
        <f t="shared" si="15"/>
        <v>11347.291666666668</v>
      </c>
      <c r="AG105" s="76">
        <f t="shared" si="16"/>
        <v>12045.320269700802</v>
      </c>
      <c r="AN105">
        <v>27769</v>
      </c>
      <c r="AO105" s="5">
        <f t="shared" si="17"/>
        <v>-1.004124081047162E-2</v>
      </c>
      <c r="AP105" s="5">
        <f t="shared" si="18"/>
        <v>0.2841699404450333</v>
      </c>
      <c r="AR105" s="5">
        <f t="shared" si="19"/>
        <v>5.5031279838806957E-3</v>
      </c>
      <c r="AS105" s="5">
        <f t="shared" si="20"/>
        <v>5.0695019848007727E-3</v>
      </c>
      <c r="AT105" s="5">
        <f t="shared" si="21"/>
        <v>-3.3298396483906756E-3</v>
      </c>
    </row>
    <row r="106" spans="1:46" x14ac:dyDescent="0.25">
      <c r="A106" s="3" t="s">
        <v>663</v>
      </c>
      <c r="B106" s="3">
        <v>0</v>
      </c>
      <c r="C106" s="3">
        <v>67</v>
      </c>
      <c r="D106" s="3">
        <v>0.30245874109499471</v>
      </c>
      <c r="E106" s="3">
        <v>0.51402366885476025</v>
      </c>
      <c r="F106" s="3">
        <v>67</v>
      </c>
      <c r="G106" s="3" t="s">
        <v>664</v>
      </c>
      <c r="H106" s="3">
        <v>30</v>
      </c>
      <c r="I106" s="3">
        <v>67</v>
      </c>
      <c r="J106" s="3">
        <v>0.30251764698706474</v>
      </c>
      <c r="K106" s="3">
        <v>-0.48257825019799161</v>
      </c>
      <c r="L106" s="4">
        <v>45362.5</v>
      </c>
      <c r="M106">
        <v>58</v>
      </c>
      <c r="N106">
        <v>58.39</v>
      </c>
      <c r="O106">
        <v>55.77</v>
      </c>
      <c r="P106">
        <v>56.13</v>
      </c>
      <c r="Q106">
        <v>32853</v>
      </c>
      <c r="R106">
        <v>289219</v>
      </c>
      <c r="S106">
        <v>25.97</v>
      </c>
      <c r="T106">
        <v>26.465</v>
      </c>
      <c r="U106">
        <v>24.76</v>
      </c>
      <c r="V106">
        <v>24.93</v>
      </c>
      <c r="W106">
        <v>446</v>
      </c>
      <c r="X106">
        <v>4.4406779661016908E-2</v>
      </c>
      <c r="Y106">
        <v>8.4405274765124605E-2</v>
      </c>
      <c r="Z106">
        <v>0.62187930298590266</v>
      </c>
      <c r="AB106" s="3">
        <f t="shared" si="11"/>
        <v>1.2650622138608368E-2</v>
      </c>
      <c r="AC106" s="3">
        <f t="shared" si="12"/>
        <v>1.5968141365937917E-2</v>
      </c>
      <c r="AD106" s="3">
        <f t="shared" si="13"/>
        <v>2.190604269385904E-2</v>
      </c>
      <c r="AE106" s="76">
        <f t="shared" si="14"/>
        <v>9168.8571428571413</v>
      </c>
      <c r="AF106" s="76">
        <f t="shared" si="15"/>
        <v>11174.089285714286</v>
      </c>
      <c r="AG106" s="76">
        <f t="shared" si="16"/>
        <v>11800.863463969657</v>
      </c>
      <c r="AN106">
        <v>35742</v>
      </c>
      <c r="AO106" s="5">
        <f t="shared" si="17"/>
        <v>-3.5121107266435886E-2</v>
      </c>
      <c r="AP106" s="5">
        <f t="shared" si="18"/>
        <v>0.28530526311298726</v>
      </c>
      <c r="AR106" s="5">
        <f t="shared" si="19"/>
        <v>4.3139275693405144E-3</v>
      </c>
      <c r="AS106" s="5">
        <f t="shared" si="20"/>
        <v>4.4236984371155974E-3</v>
      </c>
      <c r="AT106" s="5">
        <f t="shared" si="21"/>
        <v>-4.3703364280434642E-3</v>
      </c>
    </row>
    <row r="107" spans="1:46" x14ac:dyDescent="0.25">
      <c r="A107" s="3" t="s">
        <v>665</v>
      </c>
      <c r="B107" s="3">
        <v>0</v>
      </c>
      <c r="C107" s="3">
        <v>67.5</v>
      </c>
      <c r="D107" s="3">
        <v>0.30121260019477802</v>
      </c>
      <c r="E107" s="3">
        <v>0.49007690067844251</v>
      </c>
      <c r="F107" s="3">
        <v>67.5</v>
      </c>
      <c r="G107" s="3" t="s">
        <v>666</v>
      </c>
      <c r="H107" s="3">
        <v>0</v>
      </c>
      <c r="I107" s="3">
        <v>67.5</v>
      </c>
      <c r="J107" s="3">
        <v>0.30142639906817942</v>
      </c>
      <c r="K107" s="3">
        <v>-0.50649075423508227</v>
      </c>
      <c r="L107" s="4">
        <v>45359.5</v>
      </c>
      <c r="M107">
        <v>59</v>
      </c>
      <c r="N107">
        <v>60.24</v>
      </c>
      <c r="O107">
        <v>57.8</v>
      </c>
      <c r="P107">
        <v>58.5</v>
      </c>
      <c r="Q107">
        <v>32458</v>
      </c>
      <c r="R107">
        <v>287330</v>
      </c>
      <c r="S107">
        <v>26.335000000000001</v>
      </c>
      <c r="T107">
        <v>26.79</v>
      </c>
      <c r="U107">
        <v>25.975000000000001</v>
      </c>
      <c r="V107">
        <v>26.391999999999999</v>
      </c>
      <c r="W107">
        <v>355</v>
      </c>
      <c r="X107">
        <v>4.1503657084538272E-2</v>
      </c>
      <c r="Y107">
        <v>-7.631612479849828E-2</v>
      </c>
      <c r="Z107">
        <v>0.59371697063417117</v>
      </c>
      <c r="AB107" s="3">
        <f t="shared" si="11"/>
        <v>1.2107160498228145E-2</v>
      </c>
      <c r="AC107" s="3">
        <f t="shared" si="12"/>
        <v>1.5800080445494101E-2</v>
      </c>
      <c r="AD107" s="3">
        <f t="shared" si="13"/>
        <v>2.1902940397782806E-2</v>
      </c>
      <c r="AE107" s="76">
        <f t="shared" si="14"/>
        <v>9166.0476190476184</v>
      </c>
      <c r="AF107" s="76">
        <f t="shared" si="15"/>
        <v>11205</v>
      </c>
      <c r="AG107" s="76">
        <f t="shared" si="16"/>
        <v>11824.836915297092</v>
      </c>
      <c r="AN107">
        <v>30981</v>
      </c>
      <c r="AO107" s="5">
        <f t="shared" si="17"/>
        <v>6.9686411149825541E-3</v>
      </c>
      <c r="AP107" s="5">
        <f t="shared" si="18"/>
        <v>0.28494223955458564</v>
      </c>
      <c r="AR107" s="5">
        <f t="shared" si="19"/>
        <v>3.0739748998909744E-3</v>
      </c>
      <c r="AS107" s="5">
        <f t="shared" si="20"/>
        <v>3.6404958348746352E-3</v>
      </c>
      <c r="AT107" s="5">
        <f t="shared" si="21"/>
        <v>-5.5202086149995222E-3</v>
      </c>
    </row>
    <row r="108" spans="1:46" x14ac:dyDescent="0.25">
      <c r="A108" s="3" t="s">
        <v>667</v>
      </c>
      <c r="B108" s="3">
        <v>30</v>
      </c>
      <c r="C108" s="3">
        <v>68</v>
      </c>
      <c r="D108" s="3">
        <v>0.30026217215922574</v>
      </c>
      <c r="E108" s="3">
        <v>0.46621830333538261</v>
      </c>
      <c r="F108" s="3">
        <v>68</v>
      </c>
      <c r="G108" s="3" t="s">
        <v>668</v>
      </c>
      <c r="H108" s="3">
        <v>100</v>
      </c>
      <c r="I108" s="3">
        <v>68</v>
      </c>
      <c r="J108" s="3">
        <v>0.30063202231361436</v>
      </c>
      <c r="K108" s="3">
        <v>-0.53029044144204884</v>
      </c>
      <c r="L108" s="4">
        <v>45358.5</v>
      </c>
      <c r="M108">
        <v>58.79</v>
      </c>
      <c r="N108">
        <v>61.09</v>
      </c>
      <c r="O108">
        <v>57.4</v>
      </c>
      <c r="P108">
        <v>59.44</v>
      </c>
      <c r="Q108">
        <v>45252</v>
      </c>
      <c r="R108">
        <v>285313</v>
      </c>
      <c r="S108">
        <v>26.015000000000001</v>
      </c>
      <c r="T108">
        <v>26.925000000000001</v>
      </c>
      <c r="U108">
        <v>25.76</v>
      </c>
      <c r="V108">
        <v>25.992000000000001</v>
      </c>
      <c r="W108">
        <v>183</v>
      </c>
      <c r="X108">
        <v>6.1244813278008382E-2</v>
      </c>
      <c r="Y108">
        <v>1.0963023732270756</v>
      </c>
      <c r="Z108">
        <v>1.8050343033544234</v>
      </c>
      <c r="AB108" s="3">
        <f t="shared" si="11"/>
        <v>1.1150120996277456E-2</v>
      </c>
      <c r="AC108" s="3">
        <f t="shared" si="12"/>
        <v>1.5812567882560281E-2</v>
      </c>
      <c r="AD108" s="3">
        <f t="shared" si="13"/>
        <v>2.1728816492107627E-2</v>
      </c>
      <c r="AE108" s="76">
        <f t="shared" si="14"/>
        <v>9293.1428571428551</v>
      </c>
      <c r="AF108" s="76">
        <f t="shared" si="15"/>
        <v>11164.791666666668</v>
      </c>
      <c r="AG108" s="76">
        <f t="shared" si="16"/>
        <v>11794.780446691952</v>
      </c>
      <c r="AN108">
        <v>34131</v>
      </c>
      <c r="AO108" s="5">
        <f t="shared" si="17"/>
        <v>-1.1197243755383267E-2</v>
      </c>
      <c r="AP108" s="5">
        <f t="shared" si="18"/>
        <v>0.2854836788003971</v>
      </c>
      <c r="AR108" s="5">
        <f t="shared" si="19"/>
        <v>1.7698087287486564E-3</v>
      </c>
      <c r="AS108" s="5">
        <f t="shared" si="20"/>
        <v>2.7342897010012024E-3</v>
      </c>
      <c r="AT108" s="5">
        <f t="shared" si="21"/>
        <v>-6.805428445457895E-3</v>
      </c>
    </row>
    <row r="109" spans="1:46" x14ac:dyDescent="0.25">
      <c r="A109" s="3" t="s">
        <v>669</v>
      </c>
      <c r="B109" s="3">
        <v>0</v>
      </c>
      <c r="C109" s="3">
        <v>68.5</v>
      </c>
      <c r="D109" s="3">
        <v>0.29961896674527128</v>
      </c>
      <c r="E109" s="3">
        <v>0.44260474520597587</v>
      </c>
      <c r="F109" s="3">
        <v>68.5</v>
      </c>
      <c r="G109" s="3" t="s">
        <v>670</v>
      </c>
      <c r="H109" s="3">
        <v>0</v>
      </c>
      <c r="I109" s="3">
        <v>68.5</v>
      </c>
      <c r="J109" s="3">
        <v>0.30014769163031491</v>
      </c>
      <c r="K109" s="3">
        <v>-0.55382056822055525</v>
      </c>
      <c r="L109" s="4">
        <v>45357.5</v>
      </c>
      <c r="M109">
        <v>60.25</v>
      </c>
      <c r="N109">
        <v>62.8</v>
      </c>
      <c r="O109">
        <v>58.05</v>
      </c>
      <c r="P109">
        <v>58.79</v>
      </c>
      <c r="Q109">
        <v>53896</v>
      </c>
      <c r="R109">
        <v>282480</v>
      </c>
      <c r="S109">
        <v>27.065000000000001</v>
      </c>
      <c r="T109">
        <v>28.56</v>
      </c>
      <c r="U109">
        <v>26.15</v>
      </c>
      <c r="V109">
        <v>26.571999999999999</v>
      </c>
      <c r="W109">
        <v>287</v>
      </c>
      <c r="X109">
        <v>8.2925977653631286E-2</v>
      </c>
      <c r="Y109">
        <v>2.4083701238644259</v>
      </c>
      <c r="Z109">
        <v>2.7030344919864779</v>
      </c>
      <c r="AB109" s="3">
        <f t="shared" si="11"/>
        <v>9.3640854580876245E-3</v>
      </c>
      <c r="AC109" s="3">
        <f t="shared" si="12"/>
        <v>1.4017794988552899E-2</v>
      </c>
      <c r="AD109" s="3">
        <f t="shared" si="13"/>
        <v>1.998136522747242E-2</v>
      </c>
      <c r="AE109" s="76">
        <f t="shared" si="14"/>
        <v>8117.7619047619046</v>
      </c>
      <c r="AF109" s="76">
        <f t="shared" si="15"/>
        <v>9908.3095238095229</v>
      </c>
      <c r="AG109" s="76">
        <f t="shared" si="16"/>
        <v>10603.040876527604</v>
      </c>
      <c r="AN109">
        <v>28409</v>
      </c>
      <c r="AO109" s="5">
        <f t="shared" si="17"/>
        <v>2.3809523809523708E-2</v>
      </c>
      <c r="AP109" s="5">
        <f t="shared" si="18"/>
        <v>0.28545267629614729</v>
      </c>
      <c r="AR109" s="5">
        <f t="shared" si="19"/>
        <v>3.2001393148528567E-4</v>
      </c>
      <c r="AS109" s="5">
        <f t="shared" si="20"/>
        <v>1.7016749255248653E-3</v>
      </c>
      <c r="AT109" s="5">
        <f t="shared" si="21"/>
        <v>-8.232600143860791E-3</v>
      </c>
    </row>
    <row r="110" spans="1:46" x14ac:dyDescent="0.25">
      <c r="A110" s="3" t="s">
        <v>671</v>
      </c>
      <c r="B110" s="3">
        <v>30</v>
      </c>
      <c r="C110" s="3">
        <v>69</v>
      </c>
      <c r="D110" s="3">
        <v>0.29883933848717714</v>
      </c>
      <c r="E110" s="3">
        <v>0.41919966167810968</v>
      </c>
      <c r="F110" s="3">
        <v>69</v>
      </c>
      <c r="G110" s="3" t="s">
        <v>672</v>
      </c>
      <c r="H110" s="3">
        <v>0</v>
      </c>
      <c r="I110" s="3">
        <v>69</v>
      </c>
      <c r="J110" s="3">
        <v>0.29953147366254612</v>
      </c>
      <c r="K110" s="3">
        <v>-0.57711742767757379</v>
      </c>
      <c r="L110" s="4">
        <v>45356.5</v>
      </c>
      <c r="M110">
        <v>57.28</v>
      </c>
      <c r="N110">
        <v>61.39</v>
      </c>
      <c r="O110">
        <v>56.7</v>
      </c>
      <c r="P110">
        <v>60</v>
      </c>
      <c r="Q110">
        <v>59549</v>
      </c>
      <c r="R110">
        <v>282222</v>
      </c>
      <c r="S110">
        <v>26.66</v>
      </c>
      <c r="T110">
        <v>28.684999999999999</v>
      </c>
      <c r="U110">
        <v>26.66</v>
      </c>
      <c r="V110">
        <v>27.468</v>
      </c>
      <c r="W110">
        <v>465</v>
      </c>
      <c r="X110">
        <v>8.3229813664596225E-2</v>
      </c>
      <c r="Y110">
        <v>2.578571427094706</v>
      </c>
      <c r="Z110">
        <v>3.4392872177668292</v>
      </c>
      <c r="AB110" s="3">
        <f t="shared" si="11"/>
        <v>5.6752372928415284E-3</v>
      </c>
      <c r="AC110" s="3">
        <f t="shared" si="12"/>
        <v>1.1687955401470142E-2</v>
      </c>
      <c r="AD110" s="3">
        <f t="shared" si="13"/>
        <v>1.7596038886602092E-2</v>
      </c>
      <c r="AE110" s="76">
        <f t="shared" si="14"/>
        <v>6640.8571428571449</v>
      </c>
      <c r="AF110" s="76">
        <f t="shared" si="15"/>
        <v>8488.9702380952403</v>
      </c>
      <c r="AG110" s="76">
        <f t="shared" si="16"/>
        <v>9171.5490939738738</v>
      </c>
      <c r="AN110">
        <v>16621</v>
      </c>
      <c r="AO110" s="5">
        <f t="shared" si="17"/>
        <v>6.1400224634968199E-2</v>
      </c>
      <c r="AP110" s="5">
        <f t="shared" si="18"/>
        <v>0.28644383285478553</v>
      </c>
      <c r="AR110" s="5">
        <f t="shared" si="19"/>
        <v>-1.2539049940589742E-3</v>
      </c>
      <c r="AS110" s="5">
        <f t="shared" si="20"/>
        <v>6.5720552740528015E-4</v>
      </c>
      <c r="AT110" s="5">
        <f t="shared" si="21"/>
        <v>-9.6601467135333241E-3</v>
      </c>
    </row>
    <row r="111" spans="1:46" x14ac:dyDescent="0.25">
      <c r="A111" s="3" t="s">
        <v>673</v>
      </c>
      <c r="B111" s="3">
        <v>0</v>
      </c>
      <c r="C111" s="3">
        <v>69.5</v>
      </c>
      <c r="D111" s="3">
        <v>0.29793726231113993</v>
      </c>
      <c r="E111" s="3">
        <v>0.39605689992175924</v>
      </c>
      <c r="F111" s="3">
        <v>69.5</v>
      </c>
      <c r="G111" s="3" t="s">
        <v>674</v>
      </c>
      <c r="H111" s="3">
        <v>0</v>
      </c>
      <c r="I111" s="3">
        <v>69.5</v>
      </c>
      <c r="J111" s="3">
        <v>0.29879913873016117</v>
      </c>
      <c r="K111" s="3">
        <v>-0.60012686624702649</v>
      </c>
      <c r="L111" s="4">
        <v>45355.5</v>
      </c>
      <c r="M111">
        <v>56.35</v>
      </c>
      <c r="N111">
        <v>57.8</v>
      </c>
      <c r="O111">
        <v>53.42</v>
      </c>
      <c r="P111">
        <v>57.28</v>
      </c>
      <c r="Q111">
        <v>40336</v>
      </c>
      <c r="R111">
        <v>286353</v>
      </c>
      <c r="S111">
        <v>25.2</v>
      </c>
      <c r="T111">
        <v>27.28</v>
      </c>
      <c r="U111">
        <v>24.87</v>
      </c>
      <c r="V111">
        <v>26.885000000000002</v>
      </c>
      <c r="W111">
        <v>381</v>
      </c>
      <c r="X111">
        <v>7.817240763876486E-2</v>
      </c>
      <c r="Y111">
        <v>2.4444246163373191</v>
      </c>
      <c r="Z111">
        <v>1.6425324267152197</v>
      </c>
      <c r="AB111" s="3">
        <f t="shared" si="11"/>
        <v>4.4109476158568917E-3</v>
      </c>
      <c r="AC111" s="3">
        <f t="shared" si="12"/>
        <v>9.7899538549270568E-3</v>
      </c>
      <c r="AD111" s="3">
        <f t="shared" si="13"/>
        <v>1.5587727047636678E-2</v>
      </c>
      <c r="AE111" s="76">
        <f t="shared" si="14"/>
        <v>5375.2857142857138</v>
      </c>
      <c r="AF111" s="76">
        <f t="shared" si="15"/>
        <v>6808.0654761904734</v>
      </c>
      <c r="AG111" s="76">
        <f t="shared" si="16"/>
        <v>7463.2473662031152</v>
      </c>
      <c r="AN111">
        <v>16832</v>
      </c>
      <c r="AO111" s="5">
        <f t="shared" si="17"/>
        <v>-2.960944595821972E-2</v>
      </c>
      <c r="AP111" s="5">
        <f t="shared" si="18"/>
        <v>0.2797287597006391</v>
      </c>
      <c r="AR111" s="5">
        <f t="shared" si="19"/>
        <v>-2.6833119195829869E-3</v>
      </c>
      <c r="AS111" s="5">
        <f t="shared" si="20"/>
        <v>-4.1223940513851476E-4</v>
      </c>
      <c r="AT111" s="5">
        <f t="shared" si="21"/>
        <v>-1.111934024004485E-2</v>
      </c>
    </row>
    <row r="112" spans="1:46" x14ac:dyDescent="0.25">
      <c r="A112" s="3" t="s">
        <v>675</v>
      </c>
      <c r="B112" s="3">
        <v>4925</v>
      </c>
      <c r="C112" s="3">
        <v>70</v>
      </c>
      <c r="D112" s="3">
        <v>0.29740869878174392</v>
      </c>
      <c r="E112" s="3">
        <v>0.37350385701196703</v>
      </c>
      <c r="F112" s="3">
        <v>70</v>
      </c>
      <c r="G112" s="3" t="s">
        <v>676</v>
      </c>
      <c r="H112" s="3">
        <v>2675</v>
      </c>
      <c r="I112" s="3">
        <v>70</v>
      </c>
      <c r="J112" s="3">
        <v>0.29844833332605852</v>
      </c>
      <c r="K112" s="3">
        <v>-0.62252272053600699</v>
      </c>
      <c r="L112" s="4">
        <v>45352.5</v>
      </c>
      <c r="M112">
        <v>56.03</v>
      </c>
      <c r="N112">
        <v>56.85</v>
      </c>
      <c r="O112">
        <v>55.05</v>
      </c>
      <c r="P112">
        <v>56.31</v>
      </c>
      <c r="Q112">
        <v>24889</v>
      </c>
      <c r="R112">
        <v>282907</v>
      </c>
      <c r="S112">
        <v>25.274999999999999</v>
      </c>
      <c r="T112">
        <v>25.9</v>
      </c>
      <c r="U112">
        <v>25.125</v>
      </c>
      <c r="V112">
        <v>25.809000000000001</v>
      </c>
      <c r="W112">
        <v>577</v>
      </c>
      <c r="X112">
        <v>3.1288023639840158E-2</v>
      </c>
      <c r="Y112">
        <v>-0.56402055620155511</v>
      </c>
      <c r="Z112">
        <v>-3.1280238891157545E-2</v>
      </c>
      <c r="AB112" s="3">
        <f t="shared" si="11"/>
        <v>2.2066436938603107E-3</v>
      </c>
      <c r="AC112" s="3">
        <f t="shared" si="12"/>
        <v>7.8255921234815645E-3</v>
      </c>
      <c r="AD112" s="3">
        <f t="shared" si="13"/>
        <v>1.381242908948151E-2</v>
      </c>
      <c r="AE112" s="76">
        <f t="shared" si="14"/>
        <v>5022.3809523809505</v>
      </c>
      <c r="AF112" s="76">
        <f t="shared" si="15"/>
        <v>6066.4821428571413</v>
      </c>
      <c r="AG112" s="76">
        <f t="shared" si="16"/>
        <v>6851.9165613147889</v>
      </c>
      <c r="AN112">
        <v>14040</v>
      </c>
      <c r="AO112" s="5">
        <f t="shared" si="17"/>
        <v>-3.6199095022624948E-3</v>
      </c>
      <c r="AP112" s="5">
        <f t="shared" si="18"/>
        <v>0.27849562512262077</v>
      </c>
      <c r="AR112" s="5">
        <f t="shared" si="19"/>
        <v>-3.679821498255742E-3</v>
      </c>
      <c r="AS112" s="5">
        <f t="shared" si="20"/>
        <v>-1.0832672733558923E-3</v>
      </c>
      <c r="AT112" s="5">
        <f t="shared" si="21"/>
        <v>-1.2194826740550613E-2</v>
      </c>
    </row>
    <row r="113" spans="1:46" x14ac:dyDescent="0.25">
      <c r="A113" s="3" t="s">
        <v>677</v>
      </c>
      <c r="B113" s="3">
        <v>0</v>
      </c>
      <c r="C113" s="3">
        <v>70.5</v>
      </c>
      <c r="D113" s="3">
        <v>0.29730099753138756</v>
      </c>
      <c r="E113" s="3">
        <v>0.35171149737221846</v>
      </c>
      <c r="F113" s="3">
        <v>70.5</v>
      </c>
      <c r="G113" s="3" t="s">
        <v>678</v>
      </c>
      <c r="H113" s="3">
        <v>0</v>
      </c>
      <c r="I113" s="3">
        <v>70.5</v>
      </c>
      <c r="J113" s="3">
        <v>0.29852805745419747</v>
      </c>
      <c r="K113" s="3">
        <v>-0.64413538064355336</v>
      </c>
      <c r="L113" s="4">
        <v>45351.5</v>
      </c>
      <c r="M113">
        <v>57.53</v>
      </c>
      <c r="N113">
        <v>57.83</v>
      </c>
      <c r="O113">
        <v>55.25</v>
      </c>
      <c r="P113">
        <v>56.44</v>
      </c>
      <c r="Q113">
        <v>33973</v>
      </c>
      <c r="R113">
        <v>281610</v>
      </c>
      <c r="S113">
        <v>25.55</v>
      </c>
      <c r="T113">
        <v>25.55</v>
      </c>
      <c r="U113">
        <v>24.795000000000002</v>
      </c>
      <c r="V113">
        <v>24.864999999999998</v>
      </c>
      <c r="W113">
        <v>169</v>
      </c>
      <c r="X113">
        <v>4.590747330960851E-2</v>
      </c>
      <c r="Y113">
        <v>0.42026460738425403</v>
      </c>
      <c r="Z113">
        <v>0.95811545899281614</v>
      </c>
      <c r="AB113" s="3">
        <f t="shared" si="11"/>
        <v>3.8258486373380432E-3</v>
      </c>
      <c r="AC113" s="3">
        <f t="shared" si="12"/>
        <v>8.8019809359289672E-3</v>
      </c>
      <c r="AD113" s="3">
        <f t="shared" si="13"/>
        <v>1.4611728696095606E-2</v>
      </c>
      <c r="AE113" s="76">
        <f t="shared" si="14"/>
        <v>5671.7619047619046</v>
      </c>
      <c r="AF113" s="76">
        <f t="shared" si="15"/>
        <v>6262.4761904761908</v>
      </c>
      <c r="AG113" s="76">
        <f t="shared" si="16"/>
        <v>7120.5179098187946</v>
      </c>
      <c r="AN113">
        <v>26070</v>
      </c>
      <c r="AO113" s="5">
        <f t="shared" si="17"/>
        <v>-3.6068530207394559E-3</v>
      </c>
      <c r="AP113" s="5">
        <f t="shared" si="18"/>
        <v>0.27877683213114041</v>
      </c>
      <c r="AR113" s="5">
        <f t="shared" si="19"/>
        <v>-4.5558980989172104E-3</v>
      </c>
      <c r="AS113" s="5">
        <f t="shared" si="20"/>
        <v>-1.6527247345187179E-3</v>
      </c>
      <c r="AT113" s="5">
        <f t="shared" si="21"/>
        <v>-1.324762758443776E-2</v>
      </c>
    </row>
    <row r="114" spans="1:46" x14ac:dyDescent="0.25">
      <c r="A114" s="3" t="s">
        <v>679</v>
      </c>
      <c r="B114" s="3">
        <v>30</v>
      </c>
      <c r="C114" s="3">
        <v>71</v>
      </c>
      <c r="D114" s="3">
        <v>0.29717323764272791</v>
      </c>
      <c r="E114" s="3">
        <v>0.33051253712013556</v>
      </c>
      <c r="F114" s="3">
        <v>71</v>
      </c>
      <c r="G114" s="3" t="s">
        <v>680</v>
      </c>
      <c r="H114" s="3">
        <v>0</v>
      </c>
      <c r="I114" s="3">
        <v>71</v>
      </c>
      <c r="J114" s="3">
        <v>0.2985994753508715</v>
      </c>
      <c r="K114" s="3">
        <v>-0.66513127034984076</v>
      </c>
      <c r="L114" s="4">
        <v>45350.5</v>
      </c>
      <c r="M114">
        <v>56.2</v>
      </c>
      <c r="N114">
        <v>58.88</v>
      </c>
      <c r="O114">
        <v>55.45</v>
      </c>
      <c r="P114">
        <v>57.21</v>
      </c>
      <c r="Q114">
        <v>45987</v>
      </c>
      <c r="R114">
        <v>283709</v>
      </c>
      <c r="S114">
        <v>25.625</v>
      </c>
      <c r="T114">
        <v>25.65</v>
      </c>
      <c r="U114">
        <v>25.32</v>
      </c>
      <c r="V114">
        <v>25.619</v>
      </c>
      <c r="W114">
        <v>10</v>
      </c>
      <c r="X114">
        <v>6.3802083333333329E-2</v>
      </c>
      <c r="Y114">
        <v>1.6381290600735128</v>
      </c>
      <c r="Z114">
        <v>2.303284317784235</v>
      </c>
      <c r="AB114" s="3">
        <f t="shared" si="11"/>
        <v>1.0946296927845101E-3</v>
      </c>
      <c r="AC114" s="3">
        <f t="shared" si="12"/>
        <v>8.3920893060994428E-3</v>
      </c>
      <c r="AD114" s="3">
        <f t="shared" si="13"/>
        <v>1.4245558930019331E-2</v>
      </c>
      <c r="AE114" s="76">
        <f t="shared" si="14"/>
        <v>5243.6190476190459</v>
      </c>
      <c r="AF114" s="76">
        <f t="shared" si="15"/>
        <v>5748.0416666666679</v>
      </c>
      <c r="AG114" s="76">
        <f t="shared" si="16"/>
        <v>6708.399915718499</v>
      </c>
      <c r="AN114">
        <v>25956</v>
      </c>
      <c r="AO114" s="5">
        <f t="shared" si="17"/>
        <v>5.7197330791229739E-2</v>
      </c>
      <c r="AP114" s="5">
        <f t="shared" si="18"/>
        <v>0.28085329187288488</v>
      </c>
      <c r="AR114" s="5">
        <f t="shared" si="19"/>
        <v>-5.7153206557465364E-3</v>
      </c>
      <c r="AS114" s="5">
        <f t="shared" si="20"/>
        <v>-2.2359813556243613E-3</v>
      </c>
      <c r="AT114" s="5">
        <f t="shared" si="21"/>
        <v>-1.4337194173028256E-2</v>
      </c>
    </row>
    <row r="115" spans="1:46" x14ac:dyDescent="0.25">
      <c r="A115" s="3" t="s">
        <v>681</v>
      </c>
      <c r="B115" s="3">
        <v>0</v>
      </c>
      <c r="C115" s="3">
        <v>71.5</v>
      </c>
      <c r="D115" s="3">
        <v>0.29706149212251398</v>
      </c>
      <c r="E115" s="3">
        <v>0.30997807870943223</v>
      </c>
      <c r="F115" s="3">
        <v>71.5</v>
      </c>
      <c r="G115" s="3" t="s">
        <v>682</v>
      </c>
      <c r="H115" s="3">
        <v>0</v>
      </c>
      <c r="I115" s="3">
        <v>71.5</v>
      </c>
      <c r="J115" s="3">
        <v>0.29870071091693329</v>
      </c>
      <c r="K115" s="3">
        <v>-0.68543972905142558</v>
      </c>
      <c r="L115" s="4">
        <v>45349.5</v>
      </c>
      <c r="M115">
        <v>53.76</v>
      </c>
      <c r="N115">
        <v>56.26</v>
      </c>
      <c r="O115">
        <v>52.45</v>
      </c>
      <c r="P115">
        <v>55.96</v>
      </c>
      <c r="Q115">
        <v>36340</v>
      </c>
      <c r="R115">
        <v>287829</v>
      </c>
      <c r="S115">
        <v>23.25</v>
      </c>
      <c r="T115">
        <v>24.75</v>
      </c>
      <c r="U115">
        <v>23.25</v>
      </c>
      <c r="V115">
        <v>24.391999999999999</v>
      </c>
      <c r="W115">
        <v>110</v>
      </c>
      <c r="X115">
        <v>7.3044478527607273E-2</v>
      </c>
      <c r="Y115">
        <v>2.3330149437516989</v>
      </c>
      <c r="Z115">
        <v>1.277576267402426</v>
      </c>
      <c r="AB115" s="3">
        <f t="shared" si="11"/>
        <v>1.3255497008831385E-3</v>
      </c>
      <c r="AC115" s="3">
        <f t="shared" si="12"/>
        <v>7.5734219214777382E-3</v>
      </c>
      <c r="AD115" s="3">
        <f t="shared" si="13"/>
        <v>1.3452366748770431E-2</v>
      </c>
      <c r="AE115" s="76">
        <f t="shared" si="14"/>
        <v>5828.1428571428551</v>
      </c>
      <c r="AF115" s="76">
        <f t="shared" si="15"/>
        <v>5063.0178571428551</v>
      </c>
      <c r="AG115" s="76">
        <f t="shared" si="16"/>
        <v>5972.8305941845756</v>
      </c>
      <c r="AN115">
        <v>14877</v>
      </c>
      <c r="AO115" s="5">
        <f t="shared" si="17"/>
        <v>1.7458777885548123E-2</v>
      </c>
      <c r="AP115" s="5">
        <f t="shared" si="18"/>
        <v>0.27570138470267275</v>
      </c>
      <c r="AR115" s="5">
        <f t="shared" si="19"/>
        <v>-6.5597864981404852E-3</v>
      </c>
      <c r="AS115" s="5">
        <f t="shared" si="20"/>
        <v>-2.8412942866283264E-3</v>
      </c>
      <c r="AT115" s="5">
        <f t="shared" si="21"/>
        <v>-1.5458910938464021E-2</v>
      </c>
    </row>
    <row r="116" spans="1:46" x14ac:dyDescent="0.25">
      <c r="A116" s="3" t="s">
        <v>683</v>
      </c>
      <c r="B116" s="3">
        <v>40</v>
      </c>
      <c r="C116" s="3">
        <v>72</v>
      </c>
      <c r="D116" s="3">
        <v>0.29700759433668283</v>
      </c>
      <c r="E116" s="3">
        <v>0.29018410459457922</v>
      </c>
      <c r="F116" s="3">
        <v>72</v>
      </c>
      <c r="G116" s="3" t="s">
        <v>684</v>
      </c>
      <c r="H116" s="3">
        <v>0</v>
      </c>
      <c r="I116" s="3">
        <v>72</v>
      </c>
      <c r="J116" s="3">
        <v>0.29887573008635965</v>
      </c>
      <c r="K116" s="3">
        <v>-0.70498548284139273</v>
      </c>
      <c r="L116" s="4">
        <v>45348.5</v>
      </c>
      <c r="M116">
        <v>52.16</v>
      </c>
      <c r="N116">
        <v>54.55</v>
      </c>
      <c r="O116">
        <v>51.55</v>
      </c>
      <c r="P116">
        <v>53.83</v>
      </c>
      <c r="Q116">
        <v>30626</v>
      </c>
      <c r="R116">
        <v>289628</v>
      </c>
      <c r="S116">
        <v>23.2</v>
      </c>
      <c r="T116">
        <v>24.2</v>
      </c>
      <c r="U116">
        <v>23.074999999999999</v>
      </c>
      <c r="V116">
        <v>24.009</v>
      </c>
      <c r="W116">
        <v>117</v>
      </c>
      <c r="X116">
        <v>5.6818181818181823E-2</v>
      </c>
      <c r="Y116">
        <v>1.3244556363786113</v>
      </c>
      <c r="Z116">
        <v>0.63278300071138183</v>
      </c>
      <c r="AB116" s="3">
        <f t="shared" si="11"/>
        <v>8.0129399346981489E-4</v>
      </c>
      <c r="AC116" s="3">
        <f t="shared" si="12"/>
        <v>6.1097193817573892E-3</v>
      </c>
      <c r="AD116" s="3">
        <f t="shared" si="13"/>
        <v>1.1971849282040144E-2</v>
      </c>
      <c r="AE116" s="76">
        <f t="shared" si="14"/>
        <v>6223.6190476190495</v>
      </c>
      <c r="AF116" s="76">
        <f t="shared" si="15"/>
        <v>4792.4166666666679</v>
      </c>
      <c r="AG116" s="76">
        <f t="shared" si="16"/>
        <v>5644.8790560471971</v>
      </c>
      <c r="AN116">
        <v>15318</v>
      </c>
      <c r="AO116" s="5">
        <f t="shared" si="17"/>
        <v>9.2012529365700646E-3</v>
      </c>
      <c r="AP116" s="5">
        <f t="shared" si="18"/>
        <v>0.27565924708452899</v>
      </c>
      <c r="AR116" s="5">
        <f t="shared" si="19"/>
        <v>-7.1543782207681983E-3</v>
      </c>
      <c r="AS116" s="5">
        <f t="shared" si="20"/>
        <v>-3.1826113538502288E-3</v>
      </c>
      <c r="AT116" s="5">
        <f t="shared" si="21"/>
        <v>-1.6300623363350975E-2</v>
      </c>
    </row>
    <row r="117" spans="1:46" x14ac:dyDescent="0.25">
      <c r="A117" s="3" t="s">
        <v>685</v>
      </c>
      <c r="B117" s="3">
        <v>3000</v>
      </c>
      <c r="C117" s="3">
        <v>72.5</v>
      </c>
      <c r="D117" s="3">
        <v>0.29706054143545624</v>
      </c>
      <c r="E117" s="3">
        <v>0.27121149413298523</v>
      </c>
      <c r="F117" s="3">
        <v>72.5</v>
      </c>
      <c r="G117" s="3" t="s">
        <v>686</v>
      </c>
      <c r="H117" s="3">
        <v>0</v>
      </c>
      <c r="I117" s="3">
        <v>72.5</v>
      </c>
      <c r="J117" s="3">
        <v>0.29917567764709402</v>
      </c>
      <c r="K117" s="3">
        <v>-0.72368875851061376</v>
      </c>
      <c r="L117" s="4">
        <v>45345.5</v>
      </c>
      <c r="M117">
        <v>52.8</v>
      </c>
      <c r="N117">
        <v>53.01</v>
      </c>
      <c r="O117">
        <v>51.08</v>
      </c>
      <c r="P117">
        <v>52.51</v>
      </c>
      <c r="Q117">
        <v>30354</v>
      </c>
      <c r="R117">
        <v>289803</v>
      </c>
      <c r="S117">
        <v>22.77</v>
      </c>
      <c r="T117">
        <v>23.45</v>
      </c>
      <c r="U117">
        <v>22.65</v>
      </c>
      <c r="V117">
        <v>22.934000000000001</v>
      </c>
      <c r="W117">
        <v>122</v>
      </c>
      <c r="X117">
        <v>3.5536733566562319E-2</v>
      </c>
      <c r="Y117">
        <v>-0.17271196689979462</v>
      </c>
      <c r="Z117">
        <v>0.62126983818557524</v>
      </c>
      <c r="AB117" s="3">
        <f t="shared" si="11"/>
        <v>1.6550628941108883E-3</v>
      </c>
      <c r="AC117" s="3">
        <f t="shared" si="12"/>
        <v>5.9302391092987822E-3</v>
      </c>
      <c r="AD117" s="3">
        <f t="shared" si="13"/>
        <v>1.1687367492309086E-2</v>
      </c>
      <c r="AE117" s="76">
        <f t="shared" si="14"/>
        <v>6608.4285714285725</v>
      </c>
      <c r="AF117" s="76">
        <f t="shared" si="15"/>
        <v>4528.2321428571449</v>
      </c>
      <c r="AG117" s="76">
        <f t="shared" si="16"/>
        <v>5463.1074589127711</v>
      </c>
      <c r="AN117">
        <v>13157</v>
      </c>
      <c r="AO117" s="5">
        <f t="shared" si="17"/>
        <v>-2.4632423143020797E-2</v>
      </c>
      <c r="AP117" s="5">
        <f t="shared" si="18"/>
        <v>0.27553242586340287</v>
      </c>
      <c r="AR117" s="5">
        <f t="shared" si="19"/>
        <v>-7.8813737094485248E-3</v>
      </c>
      <c r="AS117" s="5">
        <f t="shared" si="20"/>
        <v>-3.5468477436135792E-3</v>
      </c>
      <c r="AT117" s="5">
        <f t="shared" si="21"/>
        <v>-1.7130715809147712E-2</v>
      </c>
    </row>
    <row r="118" spans="1:46" x14ac:dyDescent="0.25">
      <c r="A118" s="3" t="s">
        <v>687</v>
      </c>
      <c r="B118" s="3">
        <v>70</v>
      </c>
      <c r="C118" s="3">
        <v>73</v>
      </c>
      <c r="D118" s="3">
        <v>0.29727806472456908</v>
      </c>
      <c r="E118" s="3">
        <v>0.2531458228605637</v>
      </c>
      <c r="F118" s="3">
        <v>73</v>
      </c>
      <c r="G118" s="3" t="s">
        <v>688</v>
      </c>
      <c r="H118" s="3">
        <v>0</v>
      </c>
      <c r="I118" s="3">
        <v>73</v>
      </c>
      <c r="J118" s="3">
        <v>0.29966038841764703</v>
      </c>
      <c r="K118" s="3">
        <v>-0.74146559942947021</v>
      </c>
      <c r="L118" s="4">
        <v>45344.5</v>
      </c>
      <c r="M118">
        <v>54.31</v>
      </c>
      <c r="N118">
        <v>54.49</v>
      </c>
      <c r="O118">
        <v>52.37</v>
      </c>
      <c r="P118">
        <v>52.59</v>
      </c>
      <c r="Q118">
        <v>31221</v>
      </c>
      <c r="R118">
        <v>289539</v>
      </c>
      <c r="S118">
        <v>23.975000000000001</v>
      </c>
      <c r="T118">
        <v>23.975000000000001</v>
      </c>
      <c r="U118">
        <v>22.75</v>
      </c>
      <c r="V118">
        <v>23.193000000000001</v>
      </c>
      <c r="W118">
        <v>349</v>
      </c>
      <c r="X118">
        <v>3.922294172062913E-2</v>
      </c>
      <c r="Y118">
        <v>0.11003644880957578</v>
      </c>
      <c r="Z118">
        <v>0.73075417918047603</v>
      </c>
      <c r="AB118" s="3">
        <f t="shared" si="11"/>
        <v>4.1054000316981948E-3</v>
      </c>
      <c r="AC118" s="3">
        <f t="shared" si="12"/>
        <v>7.5292019713706498E-3</v>
      </c>
      <c r="AD118" s="3">
        <f t="shared" si="13"/>
        <v>1.2974658061681132E-2</v>
      </c>
      <c r="AE118" s="76">
        <f t="shared" si="14"/>
        <v>7402.4285714285725</v>
      </c>
      <c r="AF118" s="76">
        <f t="shared" si="15"/>
        <v>4704.9464285714312</v>
      </c>
      <c r="AG118" s="76">
        <f t="shared" si="16"/>
        <v>5664.5676359039207</v>
      </c>
      <c r="AN118">
        <v>11899</v>
      </c>
      <c r="AO118" s="5">
        <f t="shared" si="17"/>
        <v>-1.6895062887178632E-2</v>
      </c>
      <c r="AP118" s="5">
        <f t="shared" si="18"/>
        <v>0.2748936125793191</v>
      </c>
      <c r="AR118" s="5">
        <f t="shared" si="19"/>
        <v>-8.1304767430558922E-3</v>
      </c>
      <c r="AS118" s="5">
        <f t="shared" si="20"/>
        <v>-3.5812176805944396E-3</v>
      </c>
      <c r="AT118" s="5">
        <f t="shared" si="21"/>
        <v>-1.7658601183489775E-2</v>
      </c>
    </row>
    <row r="119" spans="1:46" x14ac:dyDescent="0.25">
      <c r="A119" s="3" t="s">
        <v>689</v>
      </c>
      <c r="B119" s="3">
        <v>0</v>
      </c>
      <c r="C119" s="3">
        <v>73.5</v>
      </c>
      <c r="D119" s="3">
        <v>0.29772832229643831</v>
      </c>
      <c r="E119" s="3">
        <v>0.2360768330479428</v>
      </c>
      <c r="F119" s="3">
        <v>73.5</v>
      </c>
      <c r="G119" s="3" t="s">
        <v>690</v>
      </c>
      <c r="H119" s="3">
        <v>0</v>
      </c>
      <c r="I119" s="3">
        <v>73.5</v>
      </c>
      <c r="J119" s="3">
        <v>0.30039988883148827</v>
      </c>
      <c r="K119" s="3">
        <v>-0.75822858817351901</v>
      </c>
      <c r="L119" s="4">
        <v>45343.5</v>
      </c>
      <c r="M119">
        <v>54.05</v>
      </c>
      <c r="N119">
        <v>54.98</v>
      </c>
      <c r="O119">
        <v>53.27</v>
      </c>
      <c r="P119">
        <v>54.51</v>
      </c>
      <c r="Q119">
        <v>23676</v>
      </c>
      <c r="R119">
        <v>288096</v>
      </c>
      <c r="S119">
        <v>24.1</v>
      </c>
      <c r="T119">
        <v>24.25</v>
      </c>
      <c r="U119">
        <v>23.655000000000001</v>
      </c>
      <c r="V119">
        <v>23.977</v>
      </c>
      <c r="W119">
        <v>476</v>
      </c>
      <c r="X119">
        <v>3.196261682242979E-2</v>
      </c>
      <c r="Y119">
        <v>-0.39572984662104016</v>
      </c>
      <c r="Z119">
        <v>-0.12647338055447757</v>
      </c>
      <c r="AB119" s="3">
        <f t="shared" si="11"/>
        <v>5.2769957529466699E-3</v>
      </c>
      <c r="AC119" s="3">
        <f t="shared" si="12"/>
        <v>8.4437520877679723E-3</v>
      </c>
      <c r="AD119" s="3">
        <f t="shared" si="13"/>
        <v>1.3652605645330867E-2</v>
      </c>
      <c r="AE119" s="76">
        <f t="shared" si="14"/>
        <v>8441.1428571428587</v>
      </c>
      <c r="AF119" s="76">
        <f t="shared" si="15"/>
        <v>4463.7678571428587</v>
      </c>
      <c r="AG119" s="76">
        <f t="shared" si="16"/>
        <v>5549.5233881163113</v>
      </c>
      <c r="AN119">
        <v>22440</v>
      </c>
      <c r="AO119" s="5">
        <f t="shared" si="17"/>
        <v>2.9969064191802095E-2</v>
      </c>
      <c r="AP119" s="5">
        <f t="shared" si="18"/>
        <v>0.27451348487975269</v>
      </c>
      <c r="AR119" s="5">
        <f t="shared" si="19"/>
        <v>-8.0732162779186267E-3</v>
      </c>
      <c r="AS119" s="5">
        <f t="shared" si="20"/>
        <v>-3.4691210251051041E-3</v>
      </c>
      <c r="AT119" s="5">
        <f t="shared" si="21"/>
        <v>-1.8044456455300784E-2</v>
      </c>
    </row>
    <row r="120" spans="1:46" x14ac:dyDescent="0.25">
      <c r="A120" s="3" t="s">
        <v>691</v>
      </c>
      <c r="B120" s="3">
        <v>30</v>
      </c>
      <c r="C120" s="3">
        <v>74</v>
      </c>
      <c r="D120" s="3">
        <v>0.29787717408981917</v>
      </c>
      <c r="E120" s="3">
        <v>0.21955353675891476</v>
      </c>
      <c r="F120" s="3">
        <v>74</v>
      </c>
      <c r="G120" s="3" t="s">
        <v>692</v>
      </c>
      <c r="H120" s="3">
        <v>0</v>
      </c>
      <c r="I120" s="3">
        <v>74</v>
      </c>
      <c r="J120" s="3">
        <v>0.30086562107184234</v>
      </c>
      <c r="K120" s="3">
        <v>-0.77442191023446294</v>
      </c>
      <c r="L120" s="4">
        <v>45342.5</v>
      </c>
      <c r="M120">
        <v>53.5</v>
      </c>
      <c r="N120">
        <v>55.07</v>
      </c>
      <c r="O120">
        <v>51.72</v>
      </c>
      <c r="P120">
        <v>54.21</v>
      </c>
      <c r="Q120">
        <v>35211</v>
      </c>
      <c r="R120">
        <v>288407</v>
      </c>
      <c r="S120">
        <v>24.355</v>
      </c>
      <c r="T120">
        <v>24.69</v>
      </c>
      <c r="U120">
        <v>23.425000000000001</v>
      </c>
      <c r="V120">
        <v>24.167999999999999</v>
      </c>
      <c r="W120">
        <v>578</v>
      </c>
      <c r="X120">
        <v>5.8658728769042226E-2</v>
      </c>
      <c r="Y120">
        <v>1.4705815211452433</v>
      </c>
      <c r="Z120">
        <v>1.2128577617391882</v>
      </c>
      <c r="AB120" s="3">
        <f t="shared" si="11"/>
        <v>5.5120628792253365E-3</v>
      </c>
      <c r="AC120" s="3">
        <f t="shared" si="12"/>
        <v>8.7756987352872601E-3</v>
      </c>
      <c r="AD120" s="3">
        <f t="shared" si="13"/>
        <v>1.3876700353403874E-2</v>
      </c>
      <c r="AE120" s="76">
        <f t="shared" si="14"/>
        <v>9641.1428571428587</v>
      </c>
      <c r="AF120" s="76">
        <f t="shared" si="15"/>
        <v>4540.2321428571449</v>
      </c>
      <c r="AG120" s="76">
        <f t="shared" si="16"/>
        <v>5652.809102402025</v>
      </c>
      <c r="AN120">
        <v>15814</v>
      </c>
      <c r="AO120" s="5">
        <f t="shared" si="17"/>
        <v>-2.2306238185255192E-2</v>
      </c>
      <c r="AP120" s="5">
        <f t="shared" si="18"/>
        <v>0.27271401398809747</v>
      </c>
      <c r="AR120" s="5">
        <f t="shared" si="19"/>
        <v>-8.1047173481764712E-3</v>
      </c>
      <c r="AS120" s="5">
        <f t="shared" si="20"/>
        <v>-3.4066184913527642E-3</v>
      </c>
      <c r="AT120" s="5">
        <f t="shared" si="21"/>
        <v>-1.848575504840072E-2</v>
      </c>
    </row>
    <row r="121" spans="1:46" x14ac:dyDescent="0.25">
      <c r="A121" s="3" t="s">
        <v>693</v>
      </c>
      <c r="B121" s="3">
        <v>0</v>
      </c>
      <c r="C121" s="3">
        <v>74.5</v>
      </c>
      <c r="D121" s="3">
        <v>0.29838090715267945</v>
      </c>
      <c r="E121" s="3">
        <v>0.20415357036250872</v>
      </c>
      <c r="F121" s="3">
        <v>74.5</v>
      </c>
      <c r="G121" s="3" t="s">
        <v>694</v>
      </c>
      <c r="H121" s="3">
        <v>0</v>
      </c>
      <c r="I121" s="3">
        <v>74.5</v>
      </c>
      <c r="J121" s="3">
        <v>0.30171292471054512</v>
      </c>
      <c r="K121" s="3">
        <v>-0.78947865006133977</v>
      </c>
      <c r="L121" s="4">
        <v>45341.5</v>
      </c>
      <c r="M121">
        <v>57.11</v>
      </c>
      <c r="N121">
        <v>57.11</v>
      </c>
      <c r="O121">
        <v>52.9</v>
      </c>
      <c r="P121">
        <v>53.14</v>
      </c>
      <c r="Q121">
        <v>37567</v>
      </c>
      <c r="R121">
        <v>290705</v>
      </c>
      <c r="S121">
        <v>25.2</v>
      </c>
      <c r="T121">
        <v>25.2</v>
      </c>
      <c r="U121">
        <v>24.414999999999999</v>
      </c>
      <c r="V121">
        <v>24.821999999999999</v>
      </c>
      <c r="W121">
        <v>0</v>
      </c>
      <c r="X121">
        <v>7.2761838921534761E-2</v>
      </c>
      <c r="Y121">
        <v>2.5081069984220732</v>
      </c>
      <c r="Z121">
        <v>1.5260169256351388</v>
      </c>
      <c r="AB121" s="3">
        <f t="shared" si="11"/>
        <v>4.5480234862105492E-3</v>
      </c>
      <c r="AC121" s="3">
        <f t="shared" si="12"/>
        <v>7.7445624476496916E-3</v>
      </c>
      <c r="AD121" s="3">
        <f t="shared" si="13"/>
        <v>1.2919441174517224E-2</v>
      </c>
      <c r="AE121" s="76">
        <f t="shared" si="14"/>
        <v>9677.3333333333358</v>
      </c>
      <c r="AF121" s="76">
        <f t="shared" si="15"/>
        <v>4144.7916666666679</v>
      </c>
      <c r="AG121" s="76">
        <f t="shared" si="16"/>
        <v>5252.3721028234322</v>
      </c>
      <c r="AN121">
        <v>18261</v>
      </c>
      <c r="AO121" s="5">
        <f t="shared" si="17"/>
        <v>-5.9889816953971997E-2</v>
      </c>
      <c r="AP121" s="5">
        <f t="shared" si="18"/>
        <v>0.27215635682194578</v>
      </c>
      <c r="AR121" s="5">
        <f t="shared" si="19"/>
        <v>-7.9684325739082795E-3</v>
      </c>
      <c r="AS121" s="5">
        <f t="shared" si="20"/>
        <v>-3.1920949019677569E-3</v>
      </c>
      <c r="AT121" s="5">
        <f t="shared" si="21"/>
        <v>-1.8791785190575006E-2</v>
      </c>
    </row>
    <row r="122" spans="1:46" x14ac:dyDescent="0.25">
      <c r="A122" s="3" t="s">
        <v>695</v>
      </c>
      <c r="B122" s="3">
        <v>10165</v>
      </c>
      <c r="C122" s="3">
        <v>75</v>
      </c>
      <c r="D122" s="3">
        <v>0.2993433813531266</v>
      </c>
      <c r="E122" s="3">
        <v>0.18997767064642346</v>
      </c>
      <c r="F122" s="3">
        <v>75</v>
      </c>
      <c r="G122" s="3" t="s">
        <v>696</v>
      </c>
      <c r="H122" s="3">
        <v>2175</v>
      </c>
      <c r="I122" s="3">
        <v>75</v>
      </c>
      <c r="J122" s="3">
        <v>0.30304599543279992</v>
      </c>
      <c r="K122" s="3">
        <v>-0.80330307813665291</v>
      </c>
      <c r="L122" s="4">
        <v>45338.5</v>
      </c>
      <c r="M122">
        <v>57.86</v>
      </c>
      <c r="N122">
        <v>58.21</v>
      </c>
      <c r="O122">
        <v>56.27</v>
      </c>
      <c r="P122">
        <v>57.11</v>
      </c>
      <c r="Q122">
        <v>23266</v>
      </c>
      <c r="R122">
        <v>286053</v>
      </c>
      <c r="S122">
        <v>25.2</v>
      </c>
      <c r="T122">
        <v>25.2</v>
      </c>
      <c r="U122">
        <v>24.414999999999999</v>
      </c>
      <c r="V122">
        <v>24.821999999999999</v>
      </c>
      <c r="W122">
        <v>445</v>
      </c>
      <c r="X122">
        <v>3.4372785258681746E-2</v>
      </c>
      <c r="Y122">
        <v>-0.12395487170577191</v>
      </c>
      <c r="Z122">
        <v>-0.10486285604154415</v>
      </c>
      <c r="AB122" s="3">
        <f t="shared" si="11"/>
        <v>9.4872252176302074E-4</v>
      </c>
      <c r="AC122" s="3">
        <f t="shared" si="12"/>
        <v>5.0872461093569091E-3</v>
      </c>
      <c r="AD122" s="3">
        <f t="shared" si="13"/>
        <v>1.0530909081359507E-2</v>
      </c>
      <c r="AE122" s="76">
        <f t="shared" si="14"/>
        <v>8575.4761904761908</v>
      </c>
      <c r="AF122" s="76">
        <f t="shared" si="15"/>
        <v>2900.2321428571413</v>
      </c>
      <c r="AG122" s="76">
        <f t="shared" si="16"/>
        <v>4473.0884955752226</v>
      </c>
      <c r="AN122">
        <v>12216</v>
      </c>
      <c r="AO122" s="5">
        <f t="shared" si="17"/>
        <v>2.494209869944781E-3</v>
      </c>
      <c r="AP122" s="5">
        <f t="shared" si="18"/>
        <v>0.26616528535403178</v>
      </c>
      <c r="AR122" s="5">
        <f t="shared" si="19"/>
        <v>-7.9579866126974208E-3</v>
      </c>
      <c r="AS122" s="5">
        <f t="shared" si="20"/>
        <v>-3.0653557049186153E-3</v>
      </c>
      <c r="AT122" s="5">
        <f t="shared" si="21"/>
        <v>-1.9177549967490715E-2</v>
      </c>
    </row>
    <row r="123" spans="1:46" x14ac:dyDescent="0.25">
      <c r="A123" s="3" t="s">
        <v>697</v>
      </c>
      <c r="B123" s="3">
        <v>0</v>
      </c>
      <c r="C123" s="3">
        <v>75.5</v>
      </c>
      <c r="D123" s="3">
        <v>0.29948226797398692</v>
      </c>
      <c r="E123" s="3">
        <v>0.17585448987946034</v>
      </c>
      <c r="F123" s="3">
        <v>75.5</v>
      </c>
      <c r="G123" s="3" t="s">
        <v>698</v>
      </c>
      <c r="H123" s="3">
        <v>0</v>
      </c>
      <c r="I123" s="3">
        <v>75.5</v>
      </c>
      <c r="J123" s="3">
        <v>0.30359942550192959</v>
      </c>
      <c r="K123" s="3">
        <v>-0.81704091892175756</v>
      </c>
      <c r="L123" s="4">
        <v>45337.5</v>
      </c>
      <c r="M123">
        <v>56.44</v>
      </c>
      <c r="N123">
        <v>59.05</v>
      </c>
      <c r="O123">
        <v>56.13</v>
      </c>
      <c r="P123">
        <v>57.95</v>
      </c>
      <c r="Q123">
        <v>31537</v>
      </c>
      <c r="R123">
        <v>285842</v>
      </c>
      <c r="S123">
        <v>24.85</v>
      </c>
      <c r="T123">
        <v>25.7</v>
      </c>
      <c r="U123">
        <v>24.805</v>
      </c>
      <c r="V123">
        <v>24.966000000000001</v>
      </c>
      <c r="W123">
        <v>425</v>
      </c>
      <c r="X123">
        <v>5.1544571932921356E-2</v>
      </c>
      <c r="Y123">
        <v>1.1349509305729799</v>
      </c>
      <c r="Z123">
        <v>0.86216501659658396</v>
      </c>
      <c r="AB123" s="3">
        <f t="shared" si="11"/>
        <v>-8.1566343384963796E-4</v>
      </c>
      <c r="AC123" s="3">
        <f t="shared" si="12"/>
        <v>4.7071544388977773E-3</v>
      </c>
      <c r="AD123" s="3">
        <f t="shared" si="13"/>
        <v>1.0110985199311903E-2</v>
      </c>
      <c r="AE123" s="76">
        <f t="shared" si="14"/>
        <v>8356.6190476190459</v>
      </c>
      <c r="AF123" s="76">
        <f t="shared" si="15"/>
        <v>2839.4940476190459</v>
      </c>
      <c r="AG123" s="76">
        <f t="shared" si="16"/>
        <v>4499.8997050147482</v>
      </c>
      <c r="AN123">
        <v>21593</v>
      </c>
      <c r="AO123" s="5">
        <f t="shared" si="17"/>
        <v>1.2994044396318462E-2</v>
      </c>
      <c r="AP123" s="5">
        <f t="shared" si="18"/>
        <v>0.26660371431953117</v>
      </c>
      <c r="AR123" s="5">
        <f t="shared" si="19"/>
        <v>-7.47879096457299E-3</v>
      </c>
      <c r="AS123" s="5">
        <f t="shared" si="20"/>
        <v>-2.6384663018758636E-3</v>
      </c>
      <c r="AT123" s="5">
        <f t="shared" si="21"/>
        <v>-1.9286297367202332E-2</v>
      </c>
    </row>
    <row r="124" spans="1:46" x14ac:dyDescent="0.25">
      <c r="A124" s="3" t="s">
        <v>699</v>
      </c>
      <c r="B124" s="3">
        <v>0</v>
      </c>
      <c r="C124" s="3">
        <v>76</v>
      </c>
      <c r="D124" s="3">
        <v>0.3002072420985864</v>
      </c>
      <c r="E124" s="3">
        <v>0.1630440541957596</v>
      </c>
      <c r="F124" s="3">
        <v>76</v>
      </c>
      <c r="G124" s="3" t="s">
        <v>700</v>
      </c>
      <c r="H124" s="3">
        <v>0</v>
      </c>
      <c r="I124" s="3">
        <v>76</v>
      </c>
      <c r="J124" s="3">
        <v>0.30477090468549523</v>
      </c>
      <c r="K124" s="3">
        <v>-0.82946270378490128</v>
      </c>
      <c r="L124" s="4">
        <v>45336.5</v>
      </c>
      <c r="M124">
        <v>56.65</v>
      </c>
      <c r="N124">
        <v>57.58</v>
      </c>
      <c r="O124">
        <v>55.41</v>
      </c>
      <c r="P124">
        <v>56.44</v>
      </c>
      <c r="Q124">
        <v>29341</v>
      </c>
      <c r="R124">
        <v>286484</v>
      </c>
      <c r="S124">
        <v>25.105</v>
      </c>
      <c r="T124">
        <v>25.414999999999999</v>
      </c>
      <c r="U124">
        <v>24.555</v>
      </c>
      <c r="V124">
        <v>24.856999999999999</v>
      </c>
      <c r="W124">
        <v>820</v>
      </c>
      <c r="X124">
        <v>3.7937062937062963E-2</v>
      </c>
      <c r="Y124">
        <v>0.15646400228089535</v>
      </c>
      <c r="Z124">
        <v>0.62324272304988693</v>
      </c>
      <c r="AB124" s="3">
        <f t="shared" si="11"/>
        <v>3.8357220042092854E-4</v>
      </c>
      <c r="AC124" s="3">
        <f t="shared" si="12"/>
        <v>5.136033396639976E-3</v>
      </c>
      <c r="AD124" s="3">
        <f t="shared" si="13"/>
        <v>1.0098128053701107E-2</v>
      </c>
      <c r="AE124" s="76">
        <f t="shared" si="14"/>
        <v>9031.8095238095229</v>
      </c>
      <c r="AF124" s="76">
        <f t="shared" si="15"/>
        <v>2848.6190476190459</v>
      </c>
      <c r="AG124" s="76">
        <f t="shared" si="16"/>
        <v>4574.3864306784635</v>
      </c>
      <c r="AN124">
        <v>18041</v>
      </c>
      <c r="AO124" s="5">
        <f t="shared" si="17"/>
        <v>-3.5964754540550774E-3</v>
      </c>
      <c r="AP124" s="5">
        <f t="shared" si="18"/>
        <v>0.269584384758559</v>
      </c>
      <c r="AR124" s="5">
        <f t="shared" si="19"/>
        <v>-6.3586883868736455E-3</v>
      </c>
      <c r="AS124" s="5">
        <f t="shared" si="20"/>
        <v>-1.7912804896593748E-3</v>
      </c>
      <c r="AT124" s="5">
        <f t="shared" si="21"/>
        <v>-1.9032498555162203E-2</v>
      </c>
    </row>
    <row r="125" spans="1:46" x14ac:dyDescent="0.25">
      <c r="A125" s="3" t="s">
        <v>701</v>
      </c>
      <c r="B125" s="3">
        <v>0</v>
      </c>
      <c r="C125" s="3">
        <v>76.5</v>
      </c>
      <c r="D125" s="3">
        <v>0.30089296707673324</v>
      </c>
      <c r="E125" s="3">
        <v>0.15095937546752122</v>
      </c>
      <c r="F125" s="3">
        <v>76.5</v>
      </c>
      <c r="G125" s="3" t="s">
        <v>702</v>
      </c>
      <c r="H125" s="3">
        <v>0</v>
      </c>
      <c r="I125" s="3">
        <v>76.5</v>
      </c>
      <c r="J125" s="3">
        <v>0.30594602116596298</v>
      </c>
      <c r="K125" s="3">
        <v>-0.84114291202182623</v>
      </c>
      <c r="L125" s="4">
        <v>45335.5</v>
      </c>
      <c r="M125">
        <v>57.2</v>
      </c>
      <c r="N125">
        <v>58</v>
      </c>
      <c r="O125">
        <v>55.61</v>
      </c>
      <c r="P125">
        <v>56.65</v>
      </c>
      <c r="Q125">
        <v>32485</v>
      </c>
      <c r="R125">
        <v>287140</v>
      </c>
      <c r="S125">
        <v>26.15</v>
      </c>
      <c r="T125">
        <v>26.495000000000001</v>
      </c>
      <c r="U125">
        <v>25.25</v>
      </c>
      <c r="V125">
        <v>25.436</v>
      </c>
      <c r="W125">
        <v>808</v>
      </c>
      <c r="X125">
        <v>4.0757162346521159E-2</v>
      </c>
      <c r="Y125">
        <v>0.37789784792746456</v>
      </c>
      <c r="Z125">
        <v>1.0063353573081042</v>
      </c>
      <c r="AB125" s="3">
        <f t="shared" si="11"/>
        <v>-1.0557457547747881E-3</v>
      </c>
      <c r="AC125" s="3">
        <f t="shared" si="12"/>
        <v>5.1255750091097757E-3</v>
      </c>
      <c r="AD125" s="3">
        <f t="shared" si="13"/>
        <v>1.0085310271497946E-2</v>
      </c>
      <c r="AE125" s="76">
        <f t="shared" si="14"/>
        <v>9322.2380952380954</v>
      </c>
      <c r="AF125" s="76">
        <f t="shared" si="15"/>
        <v>2667.75</v>
      </c>
      <c r="AG125" s="76">
        <f t="shared" si="16"/>
        <v>4527.9266750948154</v>
      </c>
      <c r="AN125">
        <v>23655</v>
      </c>
      <c r="AO125" s="5">
        <f t="shared" si="17"/>
        <v>-1.7317547269835729E-2</v>
      </c>
      <c r="AP125" s="5">
        <f t="shared" si="18"/>
        <v>0.26968575067641759</v>
      </c>
      <c r="AR125" s="5">
        <f t="shared" si="19"/>
        <v>-5.2364890055462965E-3</v>
      </c>
      <c r="AS125" s="5">
        <f t="shared" si="20"/>
        <v>-1.2062498494368468E-3</v>
      </c>
      <c r="AT125" s="5">
        <f t="shared" si="21"/>
        <v>-1.899955064624087E-2</v>
      </c>
    </row>
    <row r="126" spans="1:46" x14ac:dyDescent="0.25">
      <c r="A126" s="3" t="s">
        <v>703</v>
      </c>
      <c r="B126" s="3">
        <v>40</v>
      </c>
      <c r="C126" s="3">
        <v>77</v>
      </c>
      <c r="D126" s="3">
        <v>0.30159234430348364</v>
      </c>
      <c r="E126" s="3">
        <v>0.13962483420509642</v>
      </c>
      <c r="F126" s="3">
        <v>77</v>
      </c>
      <c r="G126" s="3" t="s">
        <v>704</v>
      </c>
      <c r="H126" s="3">
        <v>0</v>
      </c>
      <c r="I126" s="3">
        <v>77</v>
      </c>
      <c r="J126" s="3">
        <v>0.30718111619140365</v>
      </c>
      <c r="K126" s="3">
        <v>-0.85205923414041895</v>
      </c>
      <c r="L126" s="4">
        <v>45334.5</v>
      </c>
      <c r="M126">
        <v>58.64</v>
      </c>
      <c r="N126">
        <v>58.81</v>
      </c>
      <c r="O126">
        <v>56.59</v>
      </c>
      <c r="P126">
        <v>57.2</v>
      </c>
      <c r="Q126">
        <v>27933</v>
      </c>
      <c r="R126">
        <v>286130</v>
      </c>
      <c r="S126">
        <v>26.18</v>
      </c>
      <c r="T126">
        <v>26.324999999999999</v>
      </c>
      <c r="U126">
        <v>25.63</v>
      </c>
      <c r="V126">
        <v>25.728999999999999</v>
      </c>
      <c r="W126">
        <v>520</v>
      </c>
      <c r="X126">
        <v>3.6585365853658521E-2</v>
      </c>
      <c r="Y126">
        <v>8.4487578978610547E-2</v>
      </c>
      <c r="Z126">
        <v>0.48689803299599482</v>
      </c>
      <c r="AB126" s="3">
        <f t="shared" si="11"/>
        <v>-2.9590259346706782E-5</v>
      </c>
      <c r="AC126" s="3">
        <f t="shared" si="12"/>
        <v>5.747910044205759E-3</v>
      </c>
      <c r="AD126" s="3">
        <f t="shared" si="13"/>
        <v>1.0310983152648338E-2</v>
      </c>
      <c r="AE126" s="76">
        <f t="shared" si="14"/>
        <v>9368.9047619047597</v>
      </c>
      <c r="AF126" s="76">
        <f t="shared" si="15"/>
        <v>2421.7440476190459</v>
      </c>
      <c r="AG126" s="76">
        <f t="shared" si="16"/>
        <v>4233.7227138643066</v>
      </c>
      <c r="AN126">
        <v>30098</v>
      </c>
      <c r="AO126" s="5">
        <f t="shared" si="17"/>
        <v>-2.7663230240549817E-2</v>
      </c>
      <c r="AP126" s="5">
        <f t="shared" si="18"/>
        <v>0.26980487133678943</v>
      </c>
      <c r="AR126" s="5">
        <f t="shared" si="19"/>
        <v>-4.1246746813591306E-3</v>
      </c>
      <c r="AS126" s="5">
        <f t="shared" si="20"/>
        <v>-6.4385339133832264E-4</v>
      </c>
      <c r="AT126" s="5">
        <f t="shared" si="21"/>
        <v>-1.897665645531349E-2</v>
      </c>
    </row>
    <row r="127" spans="1:46" x14ac:dyDescent="0.25">
      <c r="A127" s="3" t="s">
        <v>705</v>
      </c>
      <c r="B127" s="3">
        <v>0</v>
      </c>
      <c r="C127" s="3">
        <v>77.5</v>
      </c>
      <c r="D127" s="3">
        <v>0.30236739220070064</v>
      </c>
      <c r="E127" s="3">
        <v>0.12906842988532014</v>
      </c>
      <c r="F127" s="3">
        <v>77.5</v>
      </c>
      <c r="G127" s="3" t="s">
        <v>706</v>
      </c>
      <c r="H127" s="3">
        <v>0</v>
      </c>
      <c r="I127" s="3">
        <v>77.5</v>
      </c>
      <c r="J127" s="3">
        <v>0.30854095499219969</v>
      </c>
      <c r="K127" s="3">
        <v>-0.86218654715581577</v>
      </c>
      <c r="L127" s="4">
        <v>45331.5</v>
      </c>
      <c r="M127">
        <v>60.68</v>
      </c>
      <c r="N127">
        <v>60.68</v>
      </c>
      <c r="O127">
        <v>58.2</v>
      </c>
      <c r="P127">
        <v>58.8</v>
      </c>
      <c r="Q127">
        <v>31446</v>
      </c>
      <c r="R127">
        <v>284512</v>
      </c>
      <c r="S127">
        <v>27.254999999999999</v>
      </c>
      <c r="T127">
        <v>27.45</v>
      </c>
      <c r="U127">
        <v>26.65</v>
      </c>
      <c r="V127">
        <v>27.117000000000001</v>
      </c>
      <c r="W127">
        <v>266</v>
      </c>
      <c r="X127">
        <v>3.9679999999999951E-2</v>
      </c>
      <c r="Y127">
        <v>0.30974074344948188</v>
      </c>
      <c r="Z127">
        <v>0.92003954652488373</v>
      </c>
      <c r="AB127" s="3">
        <f t="shared" si="11"/>
        <v>1.7315097175823815E-3</v>
      </c>
      <c r="AC127" s="3">
        <f t="shared" si="12"/>
        <v>8.1259451310830566E-3</v>
      </c>
      <c r="AD127" s="3">
        <f t="shared" si="13"/>
        <v>1.211602478626448E-2</v>
      </c>
      <c r="AE127" s="76">
        <f t="shared" si="14"/>
        <v>9567</v>
      </c>
      <c r="AF127" s="76">
        <f t="shared" si="15"/>
        <v>2691.5</v>
      </c>
      <c r="AG127" s="76">
        <f t="shared" si="16"/>
        <v>4441.1213653603045</v>
      </c>
      <c r="AN127">
        <v>30251</v>
      </c>
      <c r="AO127" s="5">
        <f t="shared" si="17"/>
        <v>-3.4185197477596997E-2</v>
      </c>
      <c r="AP127" s="5">
        <f t="shared" si="18"/>
        <v>0.26889685426271154</v>
      </c>
      <c r="AR127" s="5">
        <f t="shared" si="19"/>
        <v>-3.0421969082489175E-3</v>
      </c>
      <c r="AS127" s="5">
        <f t="shared" si="20"/>
        <v>-2.186516301067587E-4</v>
      </c>
      <c r="AT127" s="5">
        <f t="shared" si="21"/>
        <v>-1.8947158057671443E-2</v>
      </c>
    </row>
    <row r="128" spans="1:46" x14ac:dyDescent="0.25">
      <c r="A128" s="3" t="s">
        <v>707</v>
      </c>
      <c r="B128" s="3">
        <v>0</v>
      </c>
      <c r="C128" s="3">
        <v>78</v>
      </c>
      <c r="D128" s="3">
        <v>0.30329109577526403</v>
      </c>
      <c r="E128" s="3">
        <v>0.11932127080213471</v>
      </c>
      <c r="F128" s="3">
        <v>78</v>
      </c>
      <c r="G128" s="3" t="s">
        <v>708</v>
      </c>
      <c r="H128" s="3">
        <v>0</v>
      </c>
      <c r="I128" s="3">
        <v>78</v>
      </c>
      <c r="J128" s="3">
        <v>0.31009990817114103</v>
      </c>
      <c r="K128" s="3">
        <v>-0.87149767945771017</v>
      </c>
      <c r="L128" s="4">
        <v>45330.5</v>
      </c>
      <c r="M128">
        <v>62.5</v>
      </c>
      <c r="N128">
        <v>62.5</v>
      </c>
      <c r="O128">
        <v>60.26</v>
      </c>
      <c r="P128">
        <v>60.71</v>
      </c>
      <c r="Q128">
        <v>29391</v>
      </c>
      <c r="R128">
        <v>280639</v>
      </c>
      <c r="S128">
        <v>28.15</v>
      </c>
      <c r="T128">
        <v>28.504999999999999</v>
      </c>
      <c r="U128">
        <v>27.664999999999999</v>
      </c>
      <c r="V128">
        <v>27.812000000000001</v>
      </c>
      <c r="W128">
        <v>585</v>
      </c>
      <c r="X128">
        <v>3.5359116022099478E-2</v>
      </c>
      <c r="Y128">
        <v>-4.0376061986618851E-4</v>
      </c>
      <c r="Z128">
        <v>0.68234759716029458</v>
      </c>
      <c r="AB128" s="3">
        <f t="shared" si="11"/>
        <v>2.7860544924538308E-3</v>
      </c>
      <c r="AC128" s="3">
        <f t="shared" si="12"/>
        <v>8.9986206268543902E-3</v>
      </c>
      <c r="AD128" s="3">
        <f t="shared" si="13"/>
        <v>1.2631753870355762E-2</v>
      </c>
      <c r="AE128" s="76">
        <f t="shared" si="14"/>
        <v>9310.7619047619046</v>
      </c>
      <c r="AF128" s="76">
        <f t="shared" si="15"/>
        <v>2743.3630952380954</v>
      </c>
      <c r="AG128" s="76">
        <f t="shared" si="16"/>
        <v>4507.9928360724807</v>
      </c>
      <c r="AN128">
        <v>25043</v>
      </c>
      <c r="AO128" s="5">
        <f t="shared" si="17"/>
        <v>-3.1812339331619602E-2</v>
      </c>
      <c r="AP128" s="5">
        <f t="shared" si="18"/>
        <v>0.26712218695216228</v>
      </c>
      <c r="AR128" s="5">
        <f t="shared" si="19"/>
        <v>-2.0310224631754359E-3</v>
      </c>
      <c r="AS128" s="5">
        <f t="shared" si="20"/>
        <v>1.2702226048943999E-4</v>
      </c>
      <c r="AT128" s="5">
        <f t="shared" si="21"/>
        <v>-1.898090628980531E-2</v>
      </c>
    </row>
    <row r="129" spans="1:46" x14ac:dyDescent="0.25">
      <c r="A129" s="3" t="s">
        <v>709</v>
      </c>
      <c r="B129" s="3">
        <v>0</v>
      </c>
      <c r="C129" s="3">
        <v>78.5</v>
      </c>
      <c r="D129" s="3">
        <v>0.30444905064366046</v>
      </c>
      <c r="E129" s="3">
        <v>0.11041672030722388</v>
      </c>
      <c r="F129" s="3">
        <v>78.5</v>
      </c>
      <c r="G129" s="3" t="s">
        <v>710</v>
      </c>
      <c r="H129" s="3">
        <v>0</v>
      </c>
      <c r="I129" s="3">
        <v>78.5</v>
      </c>
      <c r="J129" s="3">
        <v>0.31194280919251738</v>
      </c>
      <c r="K129" s="3">
        <v>-0.87996443853624073</v>
      </c>
      <c r="L129" s="4">
        <v>45329.5</v>
      </c>
      <c r="M129">
        <v>63.35</v>
      </c>
      <c r="N129">
        <v>63.7</v>
      </c>
      <c r="O129">
        <v>62.24</v>
      </c>
      <c r="P129">
        <v>62.32</v>
      </c>
      <c r="Q129">
        <v>19305</v>
      </c>
      <c r="R129">
        <v>277076</v>
      </c>
      <c r="S129">
        <v>28.225000000000001</v>
      </c>
      <c r="T129">
        <v>28.844999999999999</v>
      </c>
      <c r="U129">
        <v>28.004999999999999</v>
      </c>
      <c r="V129">
        <v>28.186</v>
      </c>
      <c r="W129">
        <v>284</v>
      </c>
      <c r="X129">
        <v>2.3252110208631962E-2</v>
      </c>
      <c r="Y129">
        <v>-0.87951878608801037</v>
      </c>
      <c r="Z129">
        <v>-0.52413162998002949</v>
      </c>
      <c r="AB129" s="3">
        <f t="shared" si="11"/>
        <v>4.5736002123803812E-3</v>
      </c>
      <c r="AC129" s="3">
        <f t="shared" si="12"/>
        <v>1.0295717131708671E-2</v>
      </c>
      <c r="AD129" s="3">
        <f t="shared" si="13"/>
        <v>1.3479562386244506E-2</v>
      </c>
      <c r="AE129" s="76">
        <f t="shared" si="14"/>
        <v>8688.7619047619082</v>
      </c>
      <c r="AF129" s="76">
        <f t="shared" si="15"/>
        <v>2529.0059523809541</v>
      </c>
      <c r="AG129" s="76">
        <f t="shared" si="16"/>
        <v>4330.2570585756439</v>
      </c>
      <c r="AN129">
        <v>26136</v>
      </c>
      <c r="AO129" s="5">
        <f t="shared" si="17"/>
        <v>3.870967741935516E-3</v>
      </c>
      <c r="AP129" s="5">
        <f t="shared" si="18"/>
        <v>0.26558505156381851</v>
      </c>
      <c r="AR129" s="5">
        <f t="shared" si="19"/>
        <v>-1.148760129959514E-3</v>
      </c>
      <c r="AS129" s="5">
        <f t="shared" si="20"/>
        <v>3.8963989072060556E-4</v>
      </c>
      <c r="AT129" s="5">
        <f t="shared" si="21"/>
        <v>-1.9033033217009776E-2</v>
      </c>
    </row>
    <row r="130" spans="1:46" x14ac:dyDescent="0.25">
      <c r="A130" s="3" t="s">
        <v>711</v>
      </c>
      <c r="B130" s="3">
        <v>40</v>
      </c>
      <c r="C130" s="3">
        <v>79</v>
      </c>
      <c r="D130" s="3">
        <v>0.30491967564682465</v>
      </c>
      <c r="E130" s="3">
        <v>0.10156021799275526</v>
      </c>
      <c r="F130" s="3">
        <v>79</v>
      </c>
      <c r="G130" s="3" t="s">
        <v>712</v>
      </c>
      <c r="H130" s="3">
        <v>0</v>
      </c>
      <c r="I130" s="3">
        <v>79</v>
      </c>
      <c r="J130" s="3">
        <v>0.31318998804547704</v>
      </c>
      <c r="K130" s="3">
        <v>-0.88834684872684366</v>
      </c>
      <c r="L130" s="4">
        <v>45328.5</v>
      </c>
      <c r="M130">
        <v>62.79</v>
      </c>
      <c r="N130">
        <v>63.97</v>
      </c>
      <c r="O130">
        <v>62</v>
      </c>
      <c r="P130">
        <v>63.49</v>
      </c>
      <c r="Q130">
        <v>22237</v>
      </c>
      <c r="R130">
        <v>278078</v>
      </c>
      <c r="S130">
        <v>28.42</v>
      </c>
      <c r="T130">
        <v>29.2</v>
      </c>
      <c r="U130">
        <v>27.8</v>
      </c>
      <c r="V130">
        <v>28.606999999999999</v>
      </c>
      <c r="W130">
        <v>334</v>
      </c>
      <c r="X130">
        <v>3.0877742946708447E-2</v>
      </c>
      <c r="Y130">
        <v>-0.32112649128831067</v>
      </c>
      <c r="Z130">
        <v>-0.18460814565593714</v>
      </c>
      <c r="AB130" s="3">
        <f t="shared" si="11"/>
        <v>4.1107524349447977E-3</v>
      </c>
      <c r="AC130" s="3">
        <f t="shared" si="12"/>
        <v>1.0365449433650368E-2</v>
      </c>
      <c r="AD130" s="3">
        <f t="shared" si="13"/>
        <v>1.3372489821785447E-2</v>
      </c>
      <c r="AE130" s="76">
        <f t="shared" si="14"/>
        <v>7785.6666666666679</v>
      </c>
      <c r="AF130" s="76">
        <f t="shared" si="15"/>
        <v>2420.2261904761908</v>
      </c>
      <c r="AG130" s="76">
        <f t="shared" si="16"/>
        <v>4272.7479983143712</v>
      </c>
      <c r="AN130">
        <v>29878</v>
      </c>
      <c r="AO130" s="5">
        <f t="shared" si="17"/>
        <v>-1.1277589817947525E-3</v>
      </c>
      <c r="AP130" s="5">
        <f t="shared" si="18"/>
        <v>0.26553987084571751</v>
      </c>
      <c r="AR130" s="5">
        <f t="shared" si="19"/>
        <v>-2.3772511386466189E-4</v>
      </c>
      <c r="AS130" s="5">
        <f t="shared" si="20"/>
        <v>5.6814020545353783E-4</v>
      </c>
      <c r="AT130" s="5">
        <f t="shared" si="21"/>
        <v>-1.9043488370623418E-2</v>
      </c>
    </row>
    <row r="131" spans="1:46" x14ac:dyDescent="0.25">
      <c r="A131" s="3" t="s">
        <v>713</v>
      </c>
      <c r="B131" s="3">
        <v>0</v>
      </c>
      <c r="C131" s="3">
        <v>79.5</v>
      </c>
      <c r="D131" s="3">
        <v>0.30571909121675034</v>
      </c>
      <c r="E131" s="3">
        <v>9.3569495874171946E-2</v>
      </c>
      <c r="F131" s="3">
        <v>79.5</v>
      </c>
      <c r="G131" s="3" t="s">
        <v>714</v>
      </c>
      <c r="H131" s="3">
        <v>0</v>
      </c>
      <c r="I131" s="3">
        <v>79.5</v>
      </c>
      <c r="J131" s="3">
        <v>0.31482430362349906</v>
      </c>
      <c r="K131" s="3">
        <v>-0.89586639235246335</v>
      </c>
      <c r="L131" s="4">
        <v>45327.5</v>
      </c>
      <c r="M131">
        <v>63.8</v>
      </c>
      <c r="N131">
        <v>64.45</v>
      </c>
      <c r="O131">
        <v>62.07</v>
      </c>
      <c r="P131">
        <v>62.59</v>
      </c>
      <c r="Q131">
        <v>22594</v>
      </c>
      <c r="R131">
        <v>277917</v>
      </c>
      <c r="S131">
        <v>29.85</v>
      </c>
      <c r="T131">
        <v>29.85</v>
      </c>
      <c r="U131">
        <v>28.08</v>
      </c>
      <c r="V131">
        <v>28.341000000000001</v>
      </c>
      <c r="W131">
        <v>477</v>
      </c>
      <c r="X131">
        <v>3.8405680167823184E-2</v>
      </c>
      <c r="Y131">
        <v>0.23480140847168102</v>
      </c>
      <c r="Z131">
        <v>-0.14131444420655823</v>
      </c>
      <c r="AB131" s="3">
        <f t="shared" si="11"/>
        <v>6.4043986537355019E-3</v>
      </c>
      <c r="AC131" s="3">
        <f t="shared" si="12"/>
        <v>1.2261972065328888E-2</v>
      </c>
      <c r="AD131" s="3">
        <f t="shared" si="13"/>
        <v>1.487826877225672E-2</v>
      </c>
      <c r="AE131" s="76">
        <f t="shared" si="14"/>
        <v>7460.9047619047633</v>
      </c>
      <c r="AF131" s="76">
        <f t="shared" si="15"/>
        <v>2412.2738095238092</v>
      </c>
      <c r="AG131" s="76">
        <f t="shared" si="16"/>
        <v>4206.4795617361997</v>
      </c>
      <c r="AN131">
        <v>22370</v>
      </c>
      <c r="AO131" s="5">
        <f t="shared" si="17"/>
        <v>2.7463651050081053E-3</v>
      </c>
      <c r="AP131" s="5">
        <f t="shared" si="18"/>
        <v>0.26588530372958391</v>
      </c>
      <c r="AR131" s="5">
        <f t="shared" si="19"/>
        <v>9.9611330135512821E-4</v>
      </c>
      <c r="AS131" s="5">
        <f t="shared" si="20"/>
        <v>9.1488943766554476E-4</v>
      </c>
      <c r="AT131" s="5">
        <f t="shared" si="21"/>
        <v>-1.8912945481799281E-2</v>
      </c>
    </row>
    <row r="132" spans="1:46" x14ac:dyDescent="0.25">
      <c r="A132" s="3" t="s">
        <v>715</v>
      </c>
      <c r="B132" s="3">
        <v>7525</v>
      </c>
      <c r="C132" s="3">
        <v>80</v>
      </c>
      <c r="D132" s="3">
        <v>0.30697144096197859</v>
      </c>
      <c r="E132" s="3">
        <v>8.6485569674090587E-2</v>
      </c>
      <c r="F132" s="3">
        <v>80</v>
      </c>
      <c r="G132" s="3" t="s">
        <v>716</v>
      </c>
      <c r="H132" s="3">
        <v>0</v>
      </c>
      <c r="I132" s="3">
        <v>80</v>
      </c>
      <c r="J132" s="3">
        <v>0.31696071937571213</v>
      </c>
      <c r="K132" s="3">
        <v>-0.90249114760243287</v>
      </c>
      <c r="L132" s="4">
        <v>45324.5</v>
      </c>
      <c r="M132">
        <v>61.97</v>
      </c>
      <c r="N132">
        <v>64.38</v>
      </c>
      <c r="O132">
        <v>61.9</v>
      </c>
      <c r="P132">
        <v>63.5</v>
      </c>
      <c r="Q132">
        <v>25593</v>
      </c>
      <c r="R132">
        <v>275630</v>
      </c>
      <c r="S132">
        <v>28.63</v>
      </c>
      <c r="T132">
        <v>29.54</v>
      </c>
      <c r="U132">
        <v>28.63</v>
      </c>
      <c r="V132">
        <v>29.303999999999998</v>
      </c>
      <c r="W132">
        <v>1461</v>
      </c>
      <c r="X132">
        <v>3.8653366583541099E-2</v>
      </c>
      <c r="Y132">
        <v>0.26752781641615886</v>
      </c>
      <c r="Z132">
        <v>0.22355908163489374</v>
      </c>
      <c r="AB132" s="3">
        <f t="shared" si="11"/>
        <v>5.4300528931603489E-3</v>
      </c>
      <c r="AC132" s="3">
        <f t="shared" si="12"/>
        <v>1.1446077780505617E-2</v>
      </c>
      <c r="AD132" s="3">
        <f t="shared" si="13"/>
        <v>1.3841626101455198E-2</v>
      </c>
      <c r="AE132" s="76">
        <f t="shared" si="14"/>
        <v>6123.6190476190459</v>
      </c>
      <c r="AF132" s="76">
        <f t="shared" si="15"/>
        <v>1788.3511904761908</v>
      </c>
      <c r="AG132" s="76">
        <f t="shared" si="16"/>
        <v>3602.2890855457226</v>
      </c>
      <c r="AN132">
        <v>20192</v>
      </c>
      <c r="AO132" s="5">
        <f t="shared" si="17"/>
        <v>-2.8994845360824696E-3</v>
      </c>
      <c r="AP132" s="5">
        <f t="shared" si="18"/>
        <v>0.26705148490276415</v>
      </c>
      <c r="AR132" s="5">
        <f t="shared" si="19"/>
        <v>1.8884295045309973E-3</v>
      </c>
      <c r="AS132" s="5">
        <f t="shared" si="20"/>
        <v>1.0268718158580881E-3</v>
      </c>
      <c r="AT132" s="5">
        <f t="shared" si="21"/>
        <v>-1.8991436396519401E-2</v>
      </c>
    </row>
    <row r="133" spans="1:46" x14ac:dyDescent="0.25">
      <c r="A133" s="3" t="s">
        <v>717</v>
      </c>
      <c r="B133" s="3">
        <v>0</v>
      </c>
      <c r="C133" s="3">
        <v>80.5</v>
      </c>
      <c r="D133" s="3">
        <v>0.30759479009428514</v>
      </c>
      <c r="E133" s="3">
        <v>7.9445282656168154E-2</v>
      </c>
      <c r="F133" s="3">
        <v>80.5</v>
      </c>
      <c r="G133" s="3" t="s">
        <v>718</v>
      </c>
      <c r="H133" s="3">
        <v>0</v>
      </c>
      <c r="I133" s="3">
        <v>80.5</v>
      </c>
      <c r="J133" s="3">
        <v>0.31858682933834759</v>
      </c>
      <c r="K133" s="3">
        <v>-0.90903675209634038</v>
      </c>
      <c r="L133" s="4">
        <v>45323.5</v>
      </c>
      <c r="M133">
        <v>64.16</v>
      </c>
      <c r="N133">
        <v>64.88</v>
      </c>
      <c r="O133">
        <v>62.08</v>
      </c>
      <c r="P133">
        <v>62.32</v>
      </c>
      <c r="Q133">
        <v>27170</v>
      </c>
      <c r="R133">
        <v>275328</v>
      </c>
      <c r="S133">
        <v>30.14</v>
      </c>
      <c r="T133">
        <v>30.715</v>
      </c>
      <c r="U133">
        <v>28.8</v>
      </c>
      <c r="V133">
        <v>28.991</v>
      </c>
      <c r="W133">
        <v>1041</v>
      </c>
      <c r="X133">
        <v>4.3763676148796456E-2</v>
      </c>
      <c r="Y133">
        <v>0.64014130348601561</v>
      </c>
      <c r="Z133">
        <v>0.36590276106957054</v>
      </c>
      <c r="AB133" s="3">
        <f t="shared" si="11"/>
        <v>6.7960829535164552E-3</v>
      </c>
      <c r="AC133" s="3">
        <f t="shared" si="12"/>
        <v>1.2183043281138728E-2</v>
      </c>
      <c r="AD133" s="3">
        <f t="shared" si="13"/>
        <v>1.4262379118469788E-2</v>
      </c>
      <c r="AE133" s="76">
        <f t="shared" si="14"/>
        <v>5136.6190476190495</v>
      </c>
      <c r="AF133" s="76">
        <f t="shared" si="15"/>
        <v>1392.5833333333358</v>
      </c>
      <c r="AG133" s="76">
        <f t="shared" si="16"/>
        <v>3226.5267593763165</v>
      </c>
      <c r="AN133">
        <v>25424</v>
      </c>
      <c r="AO133" s="5">
        <f t="shared" si="17"/>
        <v>-1.3663806800127097E-2</v>
      </c>
      <c r="AP133" s="5">
        <f t="shared" si="18"/>
        <v>0.26748813235130658</v>
      </c>
      <c r="AR133" s="5">
        <f t="shared" si="19"/>
        <v>2.6947380696198397E-3</v>
      </c>
      <c r="AS133" s="5">
        <f t="shared" si="20"/>
        <v>1.0811585550958847E-3</v>
      </c>
      <c r="AT133" s="5">
        <f t="shared" si="21"/>
        <v>-1.9126114777802405E-2</v>
      </c>
    </row>
    <row r="134" spans="1:46" x14ac:dyDescent="0.25">
      <c r="A134" s="3" t="s">
        <v>719</v>
      </c>
      <c r="B134" s="3">
        <v>40</v>
      </c>
      <c r="C134" s="3">
        <v>81</v>
      </c>
      <c r="D134" s="3">
        <v>0.308828879757029</v>
      </c>
      <c r="E134" s="3">
        <v>7.3348752286942265E-2</v>
      </c>
      <c r="F134" s="3">
        <v>81</v>
      </c>
      <c r="G134" s="3" t="s">
        <v>720</v>
      </c>
      <c r="H134" s="3">
        <v>0</v>
      </c>
      <c r="I134" s="3">
        <v>81</v>
      </c>
      <c r="J134" s="3">
        <v>0.32086667053049961</v>
      </c>
      <c r="K134" s="3">
        <v>-0.91466178635218121</v>
      </c>
      <c r="L134" s="4">
        <v>45322.5</v>
      </c>
      <c r="M134">
        <v>63.98</v>
      </c>
      <c r="N134">
        <v>65.150000000000006</v>
      </c>
      <c r="O134">
        <v>62.94</v>
      </c>
      <c r="P134">
        <v>64.400000000000006</v>
      </c>
      <c r="Q134">
        <v>23711</v>
      </c>
      <c r="R134">
        <v>272614</v>
      </c>
      <c r="S134">
        <v>29.49</v>
      </c>
      <c r="T134">
        <v>31.05</v>
      </c>
      <c r="U134">
        <v>29.18</v>
      </c>
      <c r="V134">
        <v>30.234999999999999</v>
      </c>
      <c r="W134">
        <v>204</v>
      </c>
      <c r="X134">
        <v>3.5812672176308666E-2</v>
      </c>
      <c r="Y134">
        <v>7.632202809037307E-2</v>
      </c>
      <c r="Z134">
        <v>-2.8866415851881582E-2</v>
      </c>
      <c r="AB134" s="3">
        <f t="shared" si="11"/>
        <v>5.1973507989964071E-3</v>
      </c>
      <c r="AC134" s="3">
        <f t="shared" si="12"/>
        <v>1.1081646854612767E-2</v>
      </c>
      <c r="AD134" s="3">
        <f t="shared" si="13"/>
        <v>1.3164002387289826E-2</v>
      </c>
      <c r="AE134" s="76">
        <f t="shared" si="14"/>
        <v>3570.8095238095266</v>
      </c>
      <c r="AF134" s="76">
        <f t="shared" si="15"/>
        <v>757.625</v>
      </c>
      <c r="AG134" s="76">
        <f t="shared" si="16"/>
        <v>2664.1719342604301</v>
      </c>
      <c r="AN134">
        <v>24438</v>
      </c>
      <c r="AO134" s="5">
        <f t="shared" si="17"/>
        <v>2.7927486526212655E-2</v>
      </c>
      <c r="AP134" s="5">
        <f t="shared" si="18"/>
        <v>0.26724219064337973</v>
      </c>
      <c r="AR134" s="5">
        <f t="shared" si="19"/>
        <v>3.4396913103762472E-3</v>
      </c>
      <c r="AS134" s="5">
        <f t="shared" si="20"/>
        <v>1.0858171991325327E-3</v>
      </c>
      <c r="AT134" s="5">
        <f t="shared" si="21"/>
        <v>-1.9299977865845253E-2</v>
      </c>
    </row>
    <row r="135" spans="1:46" x14ac:dyDescent="0.25">
      <c r="A135" s="3" t="s">
        <v>721</v>
      </c>
      <c r="B135" s="3">
        <v>0</v>
      </c>
      <c r="C135" s="3">
        <v>81.5</v>
      </c>
      <c r="D135" s="3">
        <v>0.30946128348823954</v>
      </c>
      <c r="E135" s="3">
        <v>6.728938114621251E-2</v>
      </c>
      <c r="F135" s="3">
        <v>81.5</v>
      </c>
      <c r="G135" s="3" t="s">
        <v>722</v>
      </c>
      <c r="H135" s="3">
        <v>0</v>
      </c>
      <c r="I135" s="3">
        <v>81.5</v>
      </c>
      <c r="J135" s="3">
        <v>0.32268560905342897</v>
      </c>
      <c r="K135" s="3">
        <v>-0.92021445848570849</v>
      </c>
      <c r="L135" s="4">
        <v>45321.5</v>
      </c>
      <c r="M135">
        <v>61.71</v>
      </c>
      <c r="N135">
        <v>64.02</v>
      </c>
      <c r="O135">
        <v>61.23</v>
      </c>
      <c r="P135">
        <v>64.02</v>
      </c>
      <c r="Q135">
        <v>29131</v>
      </c>
      <c r="R135">
        <v>272609</v>
      </c>
      <c r="S135">
        <v>28.05</v>
      </c>
      <c r="T135">
        <v>29.390999999999998</v>
      </c>
      <c r="U135">
        <v>28.05</v>
      </c>
      <c r="V135">
        <v>29.390999999999998</v>
      </c>
      <c r="W135">
        <v>88</v>
      </c>
      <c r="X135">
        <v>4.386792452830187E-2</v>
      </c>
      <c r="Y135">
        <v>0.66720550900997233</v>
      </c>
      <c r="Z135">
        <v>0.59851189587771125</v>
      </c>
      <c r="AB135" s="3">
        <f t="shared" si="11"/>
        <v>1.0098744364455584E-2</v>
      </c>
      <c r="AC135" s="3">
        <f t="shared" si="12"/>
        <v>1.4180555422525987E-2</v>
      </c>
      <c r="AD135" s="3">
        <f t="shared" si="13"/>
        <v>1.594166934404161E-2</v>
      </c>
      <c r="AE135" s="76">
        <f t="shared" si="14"/>
        <v>2628.047619047622</v>
      </c>
      <c r="AF135" s="76">
        <f t="shared" si="15"/>
        <v>650.74404761904952</v>
      </c>
      <c r="AG135" s="76">
        <f t="shared" si="16"/>
        <v>2603.3118415507815</v>
      </c>
      <c r="AN135">
        <v>26517</v>
      </c>
      <c r="AO135" s="5">
        <f t="shared" si="17"/>
        <v>-5.5221698879324901E-3</v>
      </c>
      <c r="AP135" s="5">
        <f t="shared" si="18"/>
        <v>0.26843463588470257</v>
      </c>
      <c r="AR135" s="5">
        <f t="shared" si="19"/>
        <v>4.7341747763355313E-3</v>
      </c>
      <c r="AS135" s="5">
        <f t="shared" si="20"/>
        <v>1.4516910108248182E-3</v>
      </c>
      <c r="AT135" s="5">
        <f t="shared" si="21"/>
        <v>-1.9172496241718184E-2</v>
      </c>
    </row>
    <row r="136" spans="1:46" x14ac:dyDescent="0.25">
      <c r="A136" s="3" t="s">
        <v>723</v>
      </c>
      <c r="B136" s="3">
        <v>0</v>
      </c>
      <c r="C136" s="3">
        <v>82</v>
      </c>
      <c r="D136" s="3">
        <v>0.31091132559667334</v>
      </c>
      <c r="E136" s="3">
        <v>6.2217551966027781E-2</v>
      </c>
      <c r="F136" s="3">
        <v>82</v>
      </c>
      <c r="G136" s="3" t="s">
        <v>724</v>
      </c>
      <c r="H136" s="3">
        <v>0</v>
      </c>
      <c r="I136" s="3">
        <v>82</v>
      </c>
      <c r="J136" s="3">
        <v>0.32534155114861929</v>
      </c>
      <c r="K136" s="3">
        <v>-0.92481904092757783</v>
      </c>
      <c r="L136" s="4">
        <v>45320.5</v>
      </c>
      <c r="M136">
        <v>63.6</v>
      </c>
      <c r="N136">
        <v>64.13</v>
      </c>
      <c r="O136">
        <v>61.57</v>
      </c>
      <c r="P136">
        <v>61.77</v>
      </c>
      <c r="Q136">
        <v>28272</v>
      </c>
      <c r="R136">
        <v>269994</v>
      </c>
      <c r="S136">
        <v>28.54</v>
      </c>
      <c r="T136">
        <v>28.95</v>
      </c>
      <c r="U136">
        <v>28.155000000000001</v>
      </c>
      <c r="V136">
        <v>28.173999999999999</v>
      </c>
      <c r="W136">
        <v>205</v>
      </c>
      <c r="X136">
        <v>4.0538400633412436E-2</v>
      </c>
      <c r="Y136">
        <v>0.45433713571897083</v>
      </c>
      <c r="Z136">
        <v>0.50188050393728811</v>
      </c>
      <c r="AB136" s="3">
        <f t="shared" si="11"/>
        <v>8.0724429855515423E-3</v>
      </c>
      <c r="AC136" s="3">
        <f t="shared" si="12"/>
        <v>1.2942605519511038E-2</v>
      </c>
      <c r="AD136" s="3">
        <f t="shared" si="13"/>
        <v>1.4618112300864277E-2</v>
      </c>
      <c r="AE136" s="76">
        <f t="shared" si="14"/>
        <v>-29.047619047618355</v>
      </c>
      <c r="AF136" s="76">
        <f t="shared" si="15"/>
        <v>-1211.3392857142862</v>
      </c>
      <c r="AG136" s="76">
        <f t="shared" si="16"/>
        <v>1046.307206068268</v>
      </c>
      <c r="AN136">
        <v>31173</v>
      </c>
      <c r="AO136" s="5">
        <f t="shared" si="17"/>
        <v>-6.9354838709677373E-3</v>
      </c>
      <c r="AP136" s="5">
        <f t="shared" si="18"/>
        <v>0.26893300667776388</v>
      </c>
      <c r="AR136" s="5">
        <f t="shared" si="19"/>
        <v>5.3620200674290852E-3</v>
      </c>
      <c r="AS136" s="5">
        <f t="shared" si="20"/>
        <v>1.3566243292008062E-3</v>
      </c>
      <c r="AT136" s="5">
        <f t="shared" si="21"/>
        <v>-1.9455405136065473E-2</v>
      </c>
    </row>
    <row r="137" spans="1:46" x14ac:dyDescent="0.25">
      <c r="A137" s="3" t="s">
        <v>725</v>
      </c>
      <c r="B137" s="3">
        <v>0</v>
      </c>
      <c r="C137" s="3">
        <v>82.5</v>
      </c>
      <c r="D137" s="3">
        <v>0.31181805701261311</v>
      </c>
      <c r="E137" s="3">
        <v>5.718445500245526E-2</v>
      </c>
      <c r="F137" s="3">
        <v>82.5</v>
      </c>
      <c r="G137" s="3" t="s">
        <v>726</v>
      </c>
      <c r="H137" s="3">
        <v>0</v>
      </c>
      <c r="I137" s="3">
        <v>82.5</v>
      </c>
      <c r="J137" s="3">
        <v>0.32760830410878239</v>
      </c>
      <c r="K137" s="3">
        <v>-0.92935332794979453</v>
      </c>
      <c r="L137" s="4">
        <v>45317.5</v>
      </c>
      <c r="M137">
        <v>63.15</v>
      </c>
      <c r="N137">
        <v>65.150000000000006</v>
      </c>
      <c r="O137">
        <v>62</v>
      </c>
      <c r="P137">
        <v>63.1</v>
      </c>
      <c r="Q137">
        <v>25932</v>
      </c>
      <c r="R137">
        <v>269839</v>
      </c>
      <c r="S137">
        <v>27.14</v>
      </c>
      <c r="T137">
        <v>28.079000000000001</v>
      </c>
      <c r="U137">
        <v>26.84</v>
      </c>
      <c r="V137">
        <v>28.079000000000001</v>
      </c>
      <c r="W137">
        <v>62</v>
      </c>
      <c r="X137">
        <v>4.76190476190477E-2</v>
      </c>
      <c r="Y137">
        <v>0.96876962480708917</v>
      </c>
      <c r="Z137">
        <v>0.24598833065244785</v>
      </c>
      <c r="AB137" s="3">
        <f t="shared" ref="AB137:AB200" si="22">AVERAGEA(X137:X157)-AVERAGE(X158:X178)</f>
        <v>7.1019141856335163E-3</v>
      </c>
      <c r="AC137" s="3">
        <f t="shared" ref="AC137:AC200" si="23">AVERAGEA(X137:X157)-AVERAGE(X158:X213)</f>
        <v>1.1782877145527993E-2</v>
      </c>
      <c r="AD137" s="3">
        <f t="shared" ref="AD137:AD200" si="24">AVERAGEA(X137:X157)-AVERAGE(X158:X270)</f>
        <v>1.3624183739158247E-2</v>
      </c>
      <c r="AE137" s="76">
        <f t="shared" ref="AE137:AE200" si="25">AVERAGEA(Q137:Q157)-AVERAGE(Q158:Q178)</f>
        <v>-1954.7619047619046</v>
      </c>
      <c r="AF137" s="76">
        <f t="shared" ref="AF137:AF200" si="26">AVERAGEA(Q137:Q157)-AVERAGE(Q158:Q213)</f>
        <v>-2119.8809523809541</v>
      </c>
      <c r="AG137" s="76">
        <f t="shared" ref="AG137:AG200" si="27">AVERAGEA(Q137:Q157)-AVERAGE(Q158:Q270)</f>
        <v>218.23345975558186</v>
      </c>
      <c r="AN137">
        <v>25932</v>
      </c>
      <c r="AO137" s="5">
        <f t="shared" ref="AO137:AO200" si="28">IFERROR((O137-O138)/O138,"")</f>
        <v>-1.3994910941475867E-2</v>
      </c>
      <c r="AP137" s="5">
        <f t="shared" ref="AP137:AP200" si="29">_xlfn.STDEV.S(AO137:AO396)*SQRT(252)</f>
        <v>0.26910501942235976</v>
      </c>
      <c r="AR137" s="5">
        <f t="shared" ref="AR137:AR200" si="30">IFERROR(AVERAGEA(AP137:AP157)-AVERAGE(AP158:AP178),"")</f>
        <v>6.0476841244955781E-3</v>
      </c>
      <c r="AS137" s="5">
        <f t="shared" ref="AS137:AS200" si="31">IFERROR(AVERAGEA(AP137:AP157)-AVERAGE(AP158:AP213),"")</f>
        <v>1.2913003860295924E-3</v>
      </c>
      <c r="AT137" s="5">
        <f t="shared" ref="AT137:AT200" si="32">IFERROR(AVERAGEA(AP137:AP157)-AVERAGE(AP158:AP270),"")</f>
        <v>-1.9709984783209678E-2</v>
      </c>
    </row>
    <row r="138" spans="1:46" x14ac:dyDescent="0.25">
      <c r="A138" s="3" t="s">
        <v>727</v>
      </c>
      <c r="B138" s="3">
        <v>0</v>
      </c>
      <c r="C138" s="3">
        <v>83</v>
      </c>
      <c r="D138" s="3">
        <v>0.31380814014569003</v>
      </c>
      <c r="E138" s="3">
        <v>5.3184554036552825E-2</v>
      </c>
      <c r="F138" s="3">
        <v>83</v>
      </c>
      <c r="G138" s="3" t="s">
        <v>728</v>
      </c>
      <c r="H138" s="3">
        <v>0</v>
      </c>
      <c r="I138" s="3">
        <v>83</v>
      </c>
      <c r="J138" s="3">
        <v>0.33092396925764389</v>
      </c>
      <c r="K138" s="3">
        <v>-0.93291588257515623</v>
      </c>
      <c r="L138" s="4">
        <v>45316.5</v>
      </c>
      <c r="M138">
        <v>66.150000000000006</v>
      </c>
      <c r="N138">
        <v>66.430000000000007</v>
      </c>
      <c r="O138">
        <v>62.88</v>
      </c>
      <c r="P138">
        <v>63.41</v>
      </c>
      <c r="Q138">
        <v>31173</v>
      </c>
      <c r="R138">
        <v>268418</v>
      </c>
      <c r="S138">
        <v>28.8</v>
      </c>
      <c r="T138">
        <v>29.215</v>
      </c>
      <c r="U138">
        <v>27.484999999999999</v>
      </c>
      <c r="V138">
        <v>27.783999999999999</v>
      </c>
      <c r="W138">
        <v>123</v>
      </c>
      <c r="X138">
        <v>5.602904040404047E-2</v>
      </c>
      <c r="Y138">
        <v>1.5908308749613826</v>
      </c>
      <c r="Z138">
        <v>0.86321480043244259</v>
      </c>
      <c r="AB138" s="3">
        <f t="shared" si="22"/>
        <v>5.0255541566651199E-3</v>
      </c>
      <c r="AC138" s="3">
        <f t="shared" si="23"/>
        <v>1.0505794296713018E-2</v>
      </c>
      <c r="AD138" s="3">
        <f t="shared" si="24"/>
        <v>1.2312923146174833E-2</v>
      </c>
      <c r="AE138" s="76">
        <f t="shared" si="25"/>
        <v>-3433.2380952380954</v>
      </c>
      <c r="AF138" s="76">
        <f t="shared" si="26"/>
        <v>-3046.1964285714275</v>
      </c>
      <c r="AG138" s="76">
        <f t="shared" si="27"/>
        <v>-428.32996207332326</v>
      </c>
      <c r="AN138">
        <v>28272</v>
      </c>
      <c r="AO138" s="5">
        <f t="shared" si="28"/>
        <v>-3.6444303596893817E-3</v>
      </c>
      <c r="AP138" s="5">
        <f t="shared" si="29"/>
        <v>0.27443909894061624</v>
      </c>
      <c r="AR138" s="5">
        <f t="shared" si="30"/>
        <v>6.899600117582616E-3</v>
      </c>
      <c r="AS138" s="5">
        <f t="shared" si="31"/>
        <v>1.4220182223611544E-3</v>
      </c>
      <c r="AT138" s="5">
        <f t="shared" si="32"/>
        <v>-1.9793742785311319E-2</v>
      </c>
    </row>
    <row r="139" spans="1:46" x14ac:dyDescent="0.25">
      <c r="A139" s="3" t="s">
        <v>729</v>
      </c>
      <c r="B139" s="3">
        <v>0</v>
      </c>
      <c r="C139" s="3">
        <v>83.5</v>
      </c>
      <c r="D139" s="3">
        <v>0.31355632501388486</v>
      </c>
      <c r="E139" s="3">
        <v>4.8199079145609232E-2</v>
      </c>
      <c r="F139" s="3">
        <v>83.5</v>
      </c>
      <c r="G139" s="3" t="s">
        <v>730</v>
      </c>
      <c r="H139" s="3">
        <v>0</v>
      </c>
      <c r="I139" s="3">
        <v>83.5</v>
      </c>
      <c r="J139" s="3">
        <v>0.33241279921441141</v>
      </c>
      <c r="K139" s="3">
        <v>-0.93733175126178991</v>
      </c>
      <c r="L139" s="4">
        <v>45315.5</v>
      </c>
      <c r="M139">
        <v>63.36</v>
      </c>
      <c r="N139">
        <v>66.11</v>
      </c>
      <c r="O139">
        <v>63.11</v>
      </c>
      <c r="P139">
        <v>65.8</v>
      </c>
      <c r="Q139">
        <v>26517</v>
      </c>
      <c r="R139">
        <v>263929</v>
      </c>
      <c r="S139">
        <v>27.454999999999998</v>
      </c>
      <c r="T139">
        <v>29.13</v>
      </c>
      <c r="U139">
        <v>27.445</v>
      </c>
      <c r="V139">
        <v>28.928999999999998</v>
      </c>
      <c r="W139">
        <v>629</v>
      </c>
      <c r="X139">
        <v>4.8301400740621475E-2</v>
      </c>
      <c r="Y139">
        <v>1.0989037190684949</v>
      </c>
      <c r="Z139">
        <v>0.33736444937539412</v>
      </c>
      <c r="AB139" s="3">
        <f t="shared" si="22"/>
        <v>3.6844365089146042E-3</v>
      </c>
      <c r="AC139" s="3">
        <f t="shared" si="23"/>
        <v>8.7083322999017068E-3</v>
      </c>
      <c r="AD139" s="3">
        <f t="shared" si="24"/>
        <v>1.0863229355152444E-2</v>
      </c>
      <c r="AE139" s="76">
        <f t="shared" si="25"/>
        <v>-5251.2380952380954</v>
      </c>
      <c r="AF139" s="76">
        <f t="shared" si="26"/>
        <v>-4072.0357142857138</v>
      </c>
      <c r="AG139" s="76">
        <f t="shared" si="27"/>
        <v>-1216.0467762326152</v>
      </c>
      <c r="AN139">
        <v>29131</v>
      </c>
      <c r="AO139" s="5">
        <f t="shared" si="28"/>
        <v>2.451298701298698E-2</v>
      </c>
      <c r="AP139" s="5">
        <f t="shared" si="29"/>
        <v>0.27697987793284584</v>
      </c>
      <c r="AR139" s="5">
        <f t="shared" si="30"/>
        <v>7.4950387243246652E-3</v>
      </c>
      <c r="AS139" s="5">
        <f t="shared" si="31"/>
        <v>1.3586500871218266E-3</v>
      </c>
      <c r="AT139" s="5">
        <f t="shared" si="32"/>
        <v>-2.0089351957581936E-2</v>
      </c>
    </row>
    <row r="140" spans="1:46" x14ac:dyDescent="0.25">
      <c r="A140" s="3" t="s">
        <v>731</v>
      </c>
      <c r="B140" s="3">
        <v>0</v>
      </c>
      <c r="C140" s="3">
        <v>84</v>
      </c>
      <c r="D140" s="3">
        <v>0.31449087596329744</v>
      </c>
      <c r="E140" s="3">
        <v>4.4257370430314823E-2</v>
      </c>
      <c r="F140" s="3">
        <v>84</v>
      </c>
      <c r="G140" s="3" t="s">
        <v>732</v>
      </c>
      <c r="H140" s="3">
        <v>0</v>
      </c>
      <c r="I140" s="3">
        <v>84</v>
      </c>
      <c r="J140" s="3">
        <v>0.33504958651397565</v>
      </c>
      <c r="K140" s="3">
        <v>-0.94077374504905931</v>
      </c>
      <c r="L140" s="4">
        <v>45314.5</v>
      </c>
      <c r="M140">
        <v>62.11</v>
      </c>
      <c r="N140">
        <v>63.8</v>
      </c>
      <c r="O140">
        <v>61.6</v>
      </c>
      <c r="P140">
        <v>63.27</v>
      </c>
      <c r="Q140">
        <v>24438</v>
      </c>
      <c r="R140">
        <v>264950</v>
      </c>
      <c r="S140">
        <v>27.375</v>
      </c>
      <c r="T140">
        <v>27.78</v>
      </c>
      <c r="U140">
        <v>26.725000000000001</v>
      </c>
      <c r="V140">
        <v>27.227</v>
      </c>
      <c r="W140">
        <v>921</v>
      </c>
      <c r="X140">
        <v>3.4837688044338809E-2</v>
      </c>
      <c r="Y140">
        <v>0.17593198049131292</v>
      </c>
      <c r="Z140">
        <v>0.10518903705135139</v>
      </c>
      <c r="AB140" s="3">
        <f t="shared" si="22"/>
        <v>2.2001755862185654E-3</v>
      </c>
      <c r="AC140" s="3">
        <f t="shared" si="23"/>
        <v>8.11480964849913E-3</v>
      </c>
      <c r="AD140" s="3">
        <f t="shared" si="24"/>
        <v>1.0163045789062974E-2</v>
      </c>
      <c r="AE140" s="76">
        <f t="shared" si="25"/>
        <v>-8103.6190476190459</v>
      </c>
      <c r="AF140" s="76">
        <f t="shared" si="26"/>
        <v>-5988.125</v>
      </c>
      <c r="AG140" s="76">
        <f t="shared" si="27"/>
        <v>-2673.5840707964599</v>
      </c>
      <c r="AN140">
        <v>23711</v>
      </c>
      <c r="AO140" s="5">
        <f t="shared" si="28"/>
        <v>1.2159053565560336E-2</v>
      </c>
      <c r="AP140" s="5">
        <f t="shared" si="29"/>
        <v>0.2758974157191148</v>
      </c>
      <c r="AR140" s="5">
        <f t="shared" si="30"/>
        <v>7.8906887447158791E-3</v>
      </c>
      <c r="AS140" s="5">
        <f t="shared" si="31"/>
        <v>1.1379532390816682E-3</v>
      </c>
      <c r="AT140" s="5">
        <f t="shared" si="32"/>
        <v>-2.0548824157365642E-2</v>
      </c>
    </row>
    <row r="141" spans="1:46" x14ac:dyDescent="0.25">
      <c r="A141" s="3" t="s">
        <v>733</v>
      </c>
      <c r="B141" s="3">
        <v>0</v>
      </c>
      <c r="C141" s="3">
        <v>84.5</v>
      </c>
      <c r="D141" s="3">
        <v>0.31693196474767799</v>
      </c>
      <c r="E141" s="3">
        <v>4.1406699611585142E-2</v>
      </c>
      <c r="F141" s="3">
        <v>84.5</v>
      </c>
      <c r="G141" s="3" t="s">
        <v>734</v>
      </c>
      <c r="H141" s="3">
        <v>0</v>
      </c>
      <c r="I141" s="3">
        <v>84.5</v>
      </c>
      <c r="J141" s="3">
        <v>0.33903643584179743</v>
      </c>
      <c r="K141" s="3">
        <v>-0.94322219437029853</v>
      </c>
      <c r="L141" s="4">
        <v>45313.5</v>
      </c>
      <c r="M141">
        <v>63.15</v>
      </c>
      <c r="N141">
        <v>63.15</v>
      </c>
      <c r="O141">
        <v>60.86</v>
      </c>
      <c r="P141">
        <v>62.41</v>
      </c>
      <c r="Q141">
        <v>25424</v>
      </c>
      <c r="R141">
        <v>265672</v>
      </c>
      <c r="S141">
        <v>27.105</v>
      </c>
      <c r="T141">
        <v>27.8</v>
      </c>
      <c r="U141">
        <v>26.754999999999999</v>
      </c>
      <c r="V141">
        <v>27.263999999999999</v>
      </c>
      <c r="W141">
        <v>349</v>
      </c>
      <c r="X141">
        <v>3.6136973331229276E-2</v>
      </c>
      <c r="Y141">
        <v>0.28746399900083813</v>
      </c>
      <c r="Z141">
        <v>0.22679199372704512</v>
      </c>
      <c r="AB141" s="3">
        <f t="shared" si="22"/>
        <v>2.9102497923712903E-3</v>
      </c>
      <c r="AC141" s="3">
        <f t="shared" si="23"/>
        <v>8.3292312271627846E-3</v>
      </c>
      <c r="AD141" s="3">
        <f t="shared" si="24"/>
        <v>1.0110480092510577E-2</v>
      </c>
      <c r="AE141" s="76">
        <f t="shared" si="25"/>
        <v>-10179.476190476191</v>
      </c>
      <c r="AF141" s="76">
        <f t="shared" si="26"/>
        <v>-7434.8035714285725</v>
      </c>
      <c r="AG141" s="76">
        <f t="shared" si="27"/>
        <v>-4006.7850821744614</v>
      </c>
      <c r="AN141">
        <v>27170</v>
      </c>
      <c r="AO141" s="5">
        <f t="shared" si="28"/>
        <v>-3.2893691403146359E-2</v>
      </c>
      <c r="AP141" s="5">
        <f t="shared" si="29"/>
        <v>0.27675943164081146</v>
      </c>
      <c r="AR141" s="5">
        <f t="shared" si="30"/>
        <v>8.4776079493267265E-3</v>
      </c>
      <c r="AS141" s="5">
        <f t="shared" si="31"/>
        <v>9.4864995090326865E-4</v>
      </c>
      <c r="AT141" s="5">
        <f t="shared" si="32"/>
        <v>-2.0950229123273545E-2</v>
      </c>
    </row>
    <row r="142" spans="1:46" x14ac:dyDescent="0.25">
      <c r="A142" s="3" t="s">
        <v>735</v>
      </c>
      <c r="B142" s="3">
        <v>4625</v>
      </c>
      <c r="C142" s="3">
        <v>85</v>
      </c>
      <c r="D142" s="3">
        <v>0.31683044810936045</v>
      </c>
      <c r="E142" s="3">
        <v>3.7510207169800289E-2</v>
      </c>
      <c r="F142" s="3">
        <v>85</v>
      </c>
      <c r="G142" s="3" t="s">
        <v>736</v>
      </c>
      <c r="H142" s="3">
        <v>0</v>
      </c>
      <c r="I142" s="3">
        <v>85</v>
      </c>
      <c r="J142" s="3">
        <v>0.34107255171159584</v>
      </c>
      <c r="K142" s="3">
        <v>-0.94655791136845291</v>
      </c>
      <c r="L142" s="4">
        <v>45310.5</v>
      </c>
      <c r="M142">
        <v>63.37</v>
      </c>
      <c r="N142">
        <v>64.349999999999994</v>
      </c>
      <c r="O142">
        <v>62.93</v>
      </c>
      <c r="P142">
        <v>63.42</v>
      </c>
      <c r="Q142">
        <v>20192</v>
      </c>
      <c r="R142">
        <v>264703</v>
      </c>
      <c r="S142">
        <v>28.6</v>
      </c>
      <c r="T142">
        <v>29.13</v>
      </c>
      <c r="U142">
        <v>28.175000000000001</v>
      </c>
      <c r="V142">
        <v>28.428999999999998</v>
      </c>
      <c r="W142">
        <v>290</v>
      </c>
      <c r="X142">
        <v>2.2500396133734665E-2</v>
      </c>
      <c r="Y142">
        <v>-0.64455227770625123</v>
      </c>
      <c r="Z142">
        <v>-0.3750783488405105</v>
      </c>
      <c r="AB142" s="3">
        <f t="shared" si="22"/>
        <v>2.6767474676133302E-3</v>
      </c>
      <c r="AC142" s="3">
        <f t="shared" si="23"/>
        <v>8.3626441082759496E-3</v>
      </c>
      <c r="AD142" s="3">
        <f t="shared" si="24"/>
        <v>1.0084401621429599E-2</v>
      </c>
      <c r="AE142" s="76">
        <f t="shared" si="25"/>
        <v>-11209.61904761905</v>
      </c>
      <c r="AF142" s="76">
        <f t="shared" si="26"/>
        <v>-8110.9702380952403</v>
      </c>
      <c r="AG142" s="76">
        <f t="shared" si="27"/>
        <v>-4533.350611040878</v>
      </c>
      <c r="AN142">
        <v>25593</v>
      </c>
      <c r="AO142" s="5">
        <f t="shared" si="28"/>
        <v>7.5248158821645669E-3</v>
      </c>
      <c r="AP142" s="5">
        <f t="shared" si="29"/>
        <v>0.27500761496228349</v>
      </c>
      <c r="AR142" s="5">
        <f t="shared" si="30"/>
        <v>8.9597919194620013E-3</v>
      </c>
      <c r="AS142" s="5">
        <f t="shared" si="31"/>
        <v>6.8944068600268471E-4</v>
      </c>
      <c r="AT142" s="5">
        <f t="shared" si="32"/>
        <v>-2.1423629091621543E-2</v>
      </c>
    </row>
    <row r="143" spans="1:46" x14ac:dyDescent="0.25">
      <c r="A143" s="3" t="s">
        <v>737</v>
      </c>
      <c r="B143" s="3">
        <v>0</v>
      </c>
      <c r="C143" s="3">
        <v>85.5</v>
      </c>
      <c r="D143" s="3">
        <v>0.31840871358962947</v>
      </c>
      <c r="E143" s="3">
        <v>3.4720061917455199E-2</v>
      </c>
      <c r="F143" s="3">
        <v>85.5</v>
      </c>
      <c r="G143" s="3" t="s">
        <v>738</v>
      </c>
      <c r="H143" s="3">
        <v>0</v>
      </c>
      <c r="I143" s="3">
        <v>85.5</v>
      </c>
      <c r="J143" s="3">
        <v>0.34458034103204466</v>
      </c>
      <c r="K143" s="3">
        <v>-0.94889953102482028</v>
      </c>
      <c r="L143" s="4">
        <v>45309.5</v>
      </c>
      <c r="M143">
        <v>63.11</v>
      </c>
      <c r="N143">
        <v>64.13</v>
      </c>
      <c r="O143">
        <v>62.46</v>
      </c>
      <c r="P143">
        <v>63.28</v>
      </c>
      <c r="Q143">
        <v>22370</v>
      </c>
      <c r="R143">
        <v>263531</v>
      </c>
      <c r="S143">
        <v>27.675000000000001</v>
      </c>
      <c r="T143">
        <v>28.704999999999998</v>
      </c>
      <c r="U143">
        <v>27.55</v>
      </c>
      <c r="V143">
        <v>27.893000000000001</v>
      </c>
      <c r="W143">
        <v>381</v>
      </c>
      <c r="X143">
        <v>2.5539073252790864E-2</v>
      </c>
      <c r="Y143">
        <v>-0.42620660005788447</v>
      </c>
      <c r="Z143">
        <v>-0.11950854119723302</v>
      </c>
      <c r="AB143" s="3">
        <f t="shared" si="22"/>
        <v>5.2897843415041779E-3</v>
      </c>
      <c r="AC143" s="3">
        <f t="shared" si="23"/>
        <v>9.7742030811169035E-3</v>
      </c>
      <c r="AD143" s="3">
        <f t="shared" si="24"/>
        <v>1.154552072890357E-2</v>
      </c>
      <c r="AE143" s="76">
        <f t="shared" si="25"/>
        <v>-10816.476190476191</v>
      </c>
      <c r="AF143" s="76">
        <f t="shared" si="26"/>
        <v>-7996.4226190476184</v>
      </c>
      <c r="AG143" s="76">
        <f t="shared" si="27"/>
        <v>-4165.8655710071653</v>
      </c>
      <c r="AN143">
        <v>22594</v>
      </c>
      <c r="AO143" s="5">
        <f t="shared" si="28"/>
        <v>-6.3633471205854055E-3</v>
      </c>
      <c r="AP143" s="5">
        <f t="shared" si="29"/>
        <v>0.27491742091800186</v>
      </c>
      <c r="AR143" s="5">
        <f t="shared" si="30"/>
        <v>9.4322590954694641E-3</v>
      </c>
      <c r="AS143" s="5">
        <f t="shared" si="31"/>
        <v>4.8782511600731215E-4</v>
      </c>
      <c r="AT143" s="5">
        <f t="shared" si="32"/>
        <v>-2.1830545903080145E-2</v>
      </c>
    </row>
    <row r="144" spans="1:46" x14ac:dyDescent="0.25">
      <c r="A144" s="3" t="s">
        <v>739</v>
      </c>
      <c r="B144" s="3">
        <v>0</v>
      </c>
      <c r="C144" s="3">
        <v>86</v>
      </c>
      <c r="D144" s="3">
        <v>0.31955439696970994</v>
      </c>
      <c r="E144" s="3">
        <v>3.1953964737409329E-2</v>
      </c>
      <c r="F144" s="3">
        <v>86</v>
      </c>
      <c r="G144" s="3" t="s">
        <v>740</v>
      </c>
      <c r="H144" s="3">
        <v>0</v>
      </c>
      <c r="I144" s="3">
        <v>86</v>
      </c>
      <c r="J144" s="3">
        <v>0.34786914394931617</v>
      </c>
      <c r="K144" s="3">
        <v>-0.95119402489119498</v>
      </c>
      <c r="L144" s="4">
        <v>45308.5</v>
      </c>
      <c r="M144">
        <v>65.39</v>
      </c>
      <c r="N144">
        <v>66.12</v>
      </c>
      <c r="O144">
        <v>62.86</v>
      </c>
      <c r="P144">
        <v>63.31</v>
      </c>
      <c r="Q144">
        <v>29878</v>
      </c>
      <c r="R144">
        <v>261762</v>
      </c>
      <c r="S144">
        <v>29.135000000000002</v>
      </c>
      <c r="T144">
        <v>29.6</v>
      </c>
      <c r="U144">
        <v>27.44</v>
      </c>
      <c r="V144">
        <v>27.707999999999998</v>
      </c>
      <c r="W144">
        <v>218</v>
      </c>
      <c r="X144">
        <v>4.8671245147805388E-2</v>
      </c>
      <c r="Y144">
        <v>1.1799223164958828</v>
      </c>
      <c r="Z144">
        <v>0.75870145284375612</v>
      </c>
      <c r="AB144" s="3">
        <f t="shared" si="22"/>
        <v>8.1245625298549153E-3</v>
      </c>
      <c r="AC144" s="3">
        <f t="shared" si="23"/>
        <v>1.1768647761470154E-2</v>
      </c>
      <c r="AD144" s="3">
        <f t="shared" si="24"/>
        <v>1.3176366118739537E-2</v>
      </c>
      <c r="AE144" s="76">
        <f t="shared" si="25"/>
        <v>-10373.90476190476</v>
      </c>
      <c r="AF144" s="76">
        <f t="shared" si="26"/>
        <v>-7845.1071428571413</v>
      </c>
      <c r="AG144" s="76">
        <f t="shared" si="27"/>
        <v>-3876.064475347659</v>
      </c>
      <c r="AN144">
        <v>22237</v>
      </c>
      <c r="AO144" s="5">
        <f t="shared" si="28"/>
        <v>-3.3220547523838767E-2</v>
      </c>
      <c r="AP144" s="5">
        <f t="shared" si="29"/>
        <v>0.28166375355077961</v>
      </c>
      <c r="AR144" s="5">
        <f t="shared" si="30"/>
        <v>9.5249734668233499E-3</v>
      </c>
      <c r="AS144" s="5">
        <f t="shared" si="31"/>
        <v>1.8411910298610223E-5</v>
      </c>
      <c r="AT144" s="5">
        <f t="shared" si="32"/>
        <v>-2.2460188738919473E-2</v>
      </c>
    </row>
    <row r="145" spans="1:46" x14ac:dyDescent="0.25">
      <c r="A145" s="3" t="s">
        <v>741</v>
      </c>
      <c r="B145" s="3">
        <v>0</v>
      </c>
      <c r="C145" s="3">
        <v>86.5</v>
      </c>
      <c r="D145" s="3">
        <v>0.32021576789209943</v>
      </c>
      <c r="E145" s="3">
        <v>2.9203653601019196E-2</v>
      </c>
      <c r="F145" s="3">
        <v>86.5</v>
      </c>
      <c r="G145" s="3" t="s">
        <v>742</v>
      </c>
      <c r="H145" s="3">
        <v>0</v>
      </c>
      <c r="I145" s="3">
        <v>86.5</v>
      </c>
      <c r="J145" s="3">
        <v>0.35093119642820086</v>
      </c>
      <c r="K145" s="3">
        <v>-0.95344587175872764</v>
      </c>
      <c r="L145" s="4">
        <v>45307.5</v>
      </c>
      <c r="M145">
        <v>66.98</v>
      </c>
      <c r="N145">
        <v>67.400000000000006</v>
      </c>
      <c r="O145">
        <v>65.02</v>
      </c>
      <c r="P145">
        <v>65.489999999999995</v>
      </c>
      <c r="Q145">
        <v>26136</v>
      </c>
      <c r="R145">
        <v>260611</v>
      </c>
      <c r="S145">
        <v>31.31</v>
      </c>
      <c r="T145">
        <v>31.535</v>
      </c>
      <c r="U145">
        <v>29.32</v>
      </c>
      <c r="V145">
        <v>29.655999999999999</v>
      </c>
      <c r="W145">
        <v>899</v>
      </c>
      <c r="X145">
        <v>3.606060606060621E-2</v>
      </c>
      <c r="Y145">
        <v>0.34153576399469038</v>
      </c>
      <c r="Z145">
        <v>0.33924198426851176</v>
      </c>
      <c r="AB145" s="3">
        <f t="shared" si="22"/>
        <v>6.6961447996959009E-3</v>
      </c>
      <c r="AC145" s="3">
        <f t="shared" si="23"/>
        <v>1.0572638572652244E-2</v>
      </c>
      <c r="AD145" s="3">
        <f t="shared" si="24"/>
        <v>1.1855968171922429E-2</v>
      </c>
      <c r="AE145" s="76">
        <f t="shared" si="25"/>
        <v>-11283.142857142859</v>
      </c>
      <c r="AF145" s="76">
        <f t="shared" si="26"/>
        <v>-8844.3511904761908</v>
      </c>
      <c r="AG145" s="76">
        <f t="shared" si="27"/>
        <v>-4629.1133586177821</v>
      </c>
      <c r="AN145">
        <v>19305</v>
      </c>
      <c r="AO145" s="5">
        <f t="shared" si="28"/>
        <v>6.3457669091471379E-3</v>
      </c>
      <c r="AP145" s="5">
        <f t="shared" si="29"/>
        <v>0.28030254492645512</v>
      </c>
      <c r="AR145" s="5">
        <f t="shared" si="30"/>
        <v>9.2302201879649881E-3</v>
      </c>
      <c r="AS145" s="5">
        <f t="shared" si="31"/>
        <v>-8.0087024893166214E-4</v>
      </c>
      <c r="AT145" s="5">
        <f t="shared" si="32"/>
        <v>-2.3433645307509354E-2</v>
      </c>
    </row>
    <row r="146" spans="1:46" x14ac:dyDescent="0.25">
      <c r="A146" s="3" t="s">
        <v>743</v>
      </c>
      <c r="B146" s="3">
        <v>0</v>
      </c>
      <c r="C146" s="3">
        <v>87</v>
      </c>
      <c r="D146" s="3">
        <v>0.32323637397383448</v>
      </c>
      <c r="E146" s="3">
        <v>2.7621027404178145E-2</v>
      </c>
      <c r="F146" s="3">
        <v>87</v>
      </c>
      <c r="G146" s="3" t="s">
        <v>744</v>
      </c>
      <c r="H146" s="3">
        <v>0</v>
      </c>
      <c r="I146" s="3">
        <v>87</v>
      </c>
      <c r="J146" s="3">
        <v>0.35580665005987899</v>
      </c>
      <c r="K146" s="3">
        <v>-0.95469760708342399</v>
      </c>
      <c r="L146" s="4">
        <v>45306.5</v>
      </c>
      <c r="M146">
        <v>66</v>
      </c>
      <c r="N146">
        <v>67.52</v>
      </c>
      <c r="O146">
        <v>64.61</v>
      </c>
      <c r="P146">
        <v>66.900000000000006</v>
      </c>
      <c r="Q146">
        <v>25043</v>
      </c>
      <c r="R146">
        <v>259218</v>
      </c>
      <c r="S146">
        <v>31.46</v>
      </c>
      <c r="T146">
        <v>32.200000000000003</v>
      </c>
      <c r="U146">
        <v>30.93</v>
      </c>
      <c r="V146">
        <v>31.991</v>
      </c>
      <c r="W146">
        <v>0</v>
      </c>
      <c r="X146">
        <v>4.2762674504041101E-2</v>
      </c>
      <c r="Y146">
        <v>0.81757872254010122</v>
      </c>
      <c r="Z146">
        <v>0.21334313994343418</v>
      </c>
      <c r="AB146" s="3">
        <f t="shared" si="22"/>
        <v>9.9150163382548812E-3</v>
      </c>
      <c r="AC146" s="3">
        <f t="shared" si="23"/>
        <v>1.2671247604212295E-2</v>
      </c>
      <c r="AD146" s="3">
        <f t="shared" si="24"/>
        <v>1.3505338443127225E-2</v>
      </c>
      <c r="AE146" s="76">
        <f t="shared" si="25"/>
        <v>-11790.285714285714</v>
      </c>
      <c r="AF146" s="76">
        <f t="shared" si="26"/>
        <v>-9240.9880952380954</v>
      </c>
      <c r="AG146" s="76">
        <f t="shared" si="27"/>
        <v>-5106.8335440370829</v>
      </c>
      <c r="AN146">
        <v>29391</v>
      </c>
      <c r="AO146" s="5">
        <f t="shared" si="28"/>
        <v>-1.853854472423985E-3</v>
      </c>
      <c r="AP146" s="5">
        <f t="shared" si="29"/>
        <v>0.28024034609401866</v>
      </c>
      <c r="AR146" s="5">
        <f t="shared" si="30"/>
        <v>8.451887598838137E-3</v>
      </c>
      <c r="AS146" s="5">
        <f t="shared" si="31"/>
        <v>-1.9313681389930837E-3</v>
      </c>
      <c r="AT146" s="5">
        <f t="shared" si="32"/>
        <v>-2.4666748553951345E-2</v>
      </c>
    </row>
    <row r="147" spans="1:46" x14ac:dyDescent="0.25">
      <c r="A147" s="3" t="s">
        <v>745</v>
      </c>
      <c r="B147" s="3">
        <v>0</v>
      </c>
      <c r="C147" s="3">
        <v>87.5</v>
      </c>
      <c r="D147" s="3">
        <v>0.32297427784114263</v>
      </c>
      <c r="E147" s="3">
        <v>2.4901228648018251E-2</v>
      </c>
      <c r="F147" s="3">
        <v>87.5</v>
      </c>
      <c r="G147" s="3" t="s">
        <v>746</v>
      </c>
      <c r="H147" s="3">
        <v>0</v>
      </c>
      <c r="I147" s="3">
        <v>87.5</v>
      </c>
      <c r="J147" s="3">
        <v>0.35847765710878005</v>
      </c>
      <c r="K147" s="3">
        <v>-0.95687044407540311</v>
      </c>
      <c r="L147" s="4">
        <v>45303.5</v>
      </c>
      <c r="M147">
        <v>68.05</v>
      </c>
      <c r="N147">
        <v>69.45</v>
      </c>
      <c r="O147">
        <v>64.73</v>
      </c>
      <c r="P147">
        <v>65.81</v>
      </c>
      <c r="Q147">
        <v>30251</v>
      </c>
      <c r="R147">
        <v>260801</v>
      </c>
      <c r="S147">
        <v>31.46</v>
      </c>
      <c r="T147">
        <v>32.200000000000003</v>
      </c>
      <c r="U147">
        <v>30.93</v>
      </c>
      <c r="V147">
        <v>31.991</v>
      </c>
      <c r="W147">
        <v>1418</v>
      </c>
      <c r="X147">
        <v>6.7351598173515964E-2</v>
      </c>
      <c r="Y147">
        <v>2.5455361131015075</v>
      </c>
      <c r="Z147">
        <v>0.81997475305178469</v>
      </c>
      <c r="AB147" s="3">
        <f t="shared" si="22"/>
        <v>8.0293808119315281E-3</v>
      </c>
      <c r="AC147" s="3">
        <f t="shared" si="23"/>
        <v>1.1848414795124135E-2</v>
      </c>
      <c r="AD147" s="3">
        <f t="shared" si="24"/>
        <v>1.2558305503394717E-2</v>
      </c>
      <c r="AE147" s="76">
        <f t="shared" si="25"/>
        <v>-12724</v>
      </c>
      <c r="AF147" s="76">
        <f t="shared" si="26"/>
        <v>-9600.8571428571413</v>
      </c>
      <c r="AG147" s="76">
        <f t="shared" si="27"/>
        <v>-5541.0935524652341</v>
      </c>
      <c r="AN147">
        <v>31446</v>
      </c>
      <c r="AO147" s="5">
        <f t="shared" si="28"/>
        <v>-3.359211704986563E-2</v>
      </c>
      <c r="AP147" s="5">
        <f t="shared" si="29"/>
        <v>0.28041301093388987</v>
      </c>
      <c r="AR147" s="5">
        <f t="shared" si="30"/>
        <v>7.6819045473184855E-3</v>
      </c>
      <c r="AS147" s="5">
        <f t="shared" si="31"/>
        <v>-3.0612928742169698E-3</v>
      </c>
      <c r="AT147" s="5">
        <f t="shared" si="32"/>
        <v>-2.5896779336548992E-2</v>
      </c>
    </row>
    <row r="148" spans="1:46" x14ac:dyDescent="0.25">
      <c r="A148" s="3" t="s">
        <v>747</v>
      </c>
      <c r="B148" s="3">
        <v>0</v>
      </c>
      <c r="C148" s="3">
        <v>88</v>
      </c>
      <c r="D148" s="3">
        <v>0.32537202410113752</v>
      </c>
      <c r="E148" s="3">
        <v>2.3366991949183926E-2</v>
      </c>
      <c r="F148" s="3">
        <v>88</v>
      </c>
      <c r="G148" s="3" t="s">
        <v>748</v>
      </c>
      <c r="H148" s="3">
        <v>0</v>
      </c>
      <c r="I148" s="3">
        <v>88</v>
      </c>
      <c r="J148" s="3">
        <v>0.36309199619742821</v>
      </c>
      <c r="K148" s="3">
        <v>-0.95804835105583075</v>
      </c>
      <c r="L148" s="4">
        <v>45302.5</v>
      </c>
      <c r="M148">
        <v>70.08</v>
      </c>
      <c r="N148">
        <v>70.31</v>
      </c>
      <c r="O148">
        <v>66.98</v>
      </c>
      <c r="P148">
        <v>67.900000000000006</v>
      </c>
      <c r="Q148">
        <v>30098</v>
      </c>
      <c r="R148">
        <v>256467</v>
      </c>
      <c r="S148">
        <v>30.7</v>
      </c>
      <c r="T148">
        <v>31</v>
      </c>
      <c r="U148">
        <v>30.234999999999999</v>
      </c>
      <c r="V148">
        <v>30.817</v>
      </c>
      <c r="W148">
        <v>410</v>
      </c>
      <c r="X148">
        <v>4.6365914786967402E-2</v>
      </c>
      <c r="Y148">
        <v>1.1886579190583364</v>
      </c>
      <c r="Z148">
        <v>0.82476605946535075</v>
      </c>
      <c r="AB148" s="3">
        <f t="shared" si="22"/>
        <v>9.5800262614513729E-3</v>
      </c>
      <c r="AC148" s="3">
        <f t="shared" si="23"/>
        <v>1.2339407433876941E-2</v>
      </c>
      <c r="AD148" s="3">
        <f t="shared" si="24"/>
        <v>1.2625816509326534E-2</v>
      </c>
      <c r="AE148" s="76">
        <f t="shared" si="25"/>
        <v>-12519.714285714286</v>
      </c>
      <c r="AF148" s="76">
        <f t="shared" si="26"/>
        <v>-9576.4107142857138</v>
      </c>
      <c r="AG148" s="76">
        <f t="shared" si="27"/>
        <v>-5526.2857142857138</v>
      </c>
      <c r="AN148">
        <v>27933</v>
      </c>
      <c r="AO148" s="5">
        <f t="shared" si="28"/>
        <v>-3.2779783393501745E-2</v>
      </c>
      <c r="AP148" s="5">
        <f t="shared" si="29"/>
        <v>0.27852745147087588</v>
      </c>
      <c r="AR148" s="5">
        <f t="shared" si="30"/>
        <v>7.0219420491218765E-3</v>
      </c>
      <c r="AS148" s="5">
        <f t="shared" si="31"/>
        <v>-4.1448547948589876E-3</v>
      </c>
      <c r="AT148" s="5">
        <f t="shared" si="32"/>
        <v>-2.7087812679343015E-2</v>
      </c>
    </row>
    <row r="149" spans="1:46" x14ac:dyDescent="0.25">
      <c r="A149" s="3" t="s">
        <v>749</v>
      </c>
      <c r="B149" s="3">
        <v>0</v>
      </c>
      <c r="C149" s="3">
        <v>88.5</v>
      </c>
      <c r="D149" s="3">
        <v>0.32393599593477057</v>
      </c>
      <c r="E149" s="3">
        <v>2.0649484296155176E-2</v>
      </c>
      <c r="F149" s="3">
        <v>88.5</v>
      </c>
      <c r="G149" s="3" t="s">
        <v>750</v>
      </c>
      <c r="H149" s="3">
        <v>0</v>
      </c>
      <c r="I149" s="3">
        <v>88.5</v>
      </c>
      <c r="J149" s="3">
        <v>0.36535062938868379</v>
      </c>
      <c r="K149" s="3">
        <v>-0.96015477194060428</v>
      </c>
      <c r="L149" s="4">
        <v>45301.5</v>
      </c>
      <c r="M149">
        <v>71.819999999999993</v>
      </c>
      <c r="N149">
        <v>72.8</v>
      </c>
      <c r="O149">
        <v>69.25</v>
      </c>
      <c r="P149">
        <v>70.010000000000005</v>
      </c>
      <c r="Q149">
        <v>23655</v>
      </c>
      <c r="R149">
        <v>252367</v>
      </c>
      <c r="S149">
        <v>31.145</v>
      </c>
      <c r="T149">
        <v>31.45</v>
      </c>
      <c r="U149">
        <v>30.324999999999999</v>
      </c>
      <c r="V149">
        <v>30.942</v>
      </c>
      <c r="W149">
        <v>490</v>
      </c>
      <c r="X149">
        <v>4.9312404500625052E-2</v>
      </c>
      <c r="Y149">
        <v>1.4431421612195388</v>
      </c>
      <c r="Z149">
        <v>6.6313780481651846E-2</v>
      </c>
      <c r="AB149" s="3">
        <f t="shared" si="22"/>
        <v>8.7990610261342202E-3</v>
      </c>
      <c r="AC149" s="3">
        <f t="shared" si="23"/>
        <v>1.1610802954370003E-2</v>
      </c>
      <c r="AD149" s="3">
        <f t="shared" si="24"/>
        <v>1.195456716183764E-2</v>
      </c>
      <c r="AE149" s="76">
        <f t="shared" si="25"/>
        <v>-11900.190476190477</v>
      </c>
      <c r="AF149" s="76">
        <f t="shared" si="26"/>
        <v>-9140.9523809523816</v>
      </c>
      <c r="AG149" s="76">
        <f t="shared" si="27"/>
        <v>-5240.1142014327852</v>
      </c>
      <c r="AN149">
        <v>32485</v>
      </c>
      <c r="AO149" s="5">
        <f t="shared" si="28"/>
        <v>-2.6293588301462379E-2</v>
      </c>
      <c r="AP149" s="5">
        <f t="shared" si="29"/>
        <v>0.27668962394372837</v>
      </c>
      <c r="AR149" s="5">
        <f t="shared" si="30"/>
        <v>6.3635516556070915E-3</v>
      </c>
      <c r="AS149" s="5">
        <f t="shared" si="31"/>
        <v>-5.2842661537613744E-3</v>
      </c>
      <c r="AT149" s="5">
        <f t="shared" si="32"/>
        <v>-2.8265922828630829E-2</v>
      </c>
    </row>
    <row r="150" spans="1:46" x14ac:dyDescent="0.25">
      <c r="A150" s="3" t="s">
        <v>751</v>
      </c>
      <c r="B150" s="3">
        <v>0</v>
      </c>
      <c r="C150" s="3">
        <v>89</v>
      </c>
      <c r="D150" s="3">
        <v>0.3255452194175833</v>
      </c>
      <c r="E150" s="3">
        <v>1.9144461137480046E-2</v>
      </c>
      <c r="F150" s="3">
        <v>89</v>
      </c>
      <c r="G150" s="3" t="s">
        <v>752</v>
      </c>
      <c r="H150" s="3">
        <v>0</v>
      </c>
      <c r="I150" s="3">
        <v>89</v>
      </c>
      <c r="J150" s="3">
        <v>0.36969685487735471</v>
      </c>
      <c r="K150" s="3">
        <v>-0.96126863944219132</v>
      </c>
      <c r="L150" s="4">
        <v>45300.5</v>
      </c>
      <c r="M150">
        <v>71.989999999999995</v>
      </c>
      <c r="N150">
        <v>72.849999999999994</v>
      </c>
      <c r="O150">
        <v>71.12</v>
      </c>
      <c r="P150">
        <v>72.06</v>
      </c>
      <c r="Q150">
        <v>18041</v>
      </c>
      <c r="R150">
        <v>247917</v>
      </c>
      <c r="S150">
        <v>30.405000000000001</v>
      </c>
      <c r="T150">
        <v>31.8</v>
      </c>
      <c r="U150">
        <v>30.23</v>
      </c>
      <c r="V150">
        <v>30.640999999999998</v>
      </c>
      <c r="W150">
        <v>504</v>
      </c>
      <c r="X150">
        <v>2.2766153441242134E-2</v>
      </c>
      <c r="Y150">
        <v>-0.50184773472694122</v>
      </c>
      <c r="Z150">
        <v>-0.60096303842245424</v>
      </c>
      <c r="AB150" s="3">
        <f t="shared" si="22"/>
        <v>7.160323881708501E-3</v>
      </c>
      <c r="AC150" s="3">
        <f t="shared" si="23"/>
        <v>1.0681002963723259E-2</v>
      </c>
      <c r="AD150" s="3">
        <f t="shared" si="24"/>
        <v>1.0945317701972372E-2</v>
      </c>
      <c r="AE150" s="76">
        <f t="shared" si="25"/>
        <v>-11149.523809523813</v>
      </c>
      <c r="AF150" s="76">
        <f t="shared" si="26"/>
        <v>-8560.6666666666679</v>
      </c>
      <c r="AG150" s="76">
        <f t="shared" si="27"/>
        <v>-4768.0446691951147</v>
      </c>
      <c r="AN150">
        <v>29341</v>
      </c>
      <c r="AO150" s="5">
        <f t="shared" si="28"/>
        <v>-1.1260948144028948E-2</v>
      </c>
      <c r="AP150" s="5">
        <f t="shared" si="29"/>
        <v>0.27613211506977048</v>
      </c>
      <c r="AR150" s="5">
        <f t="shared" si="30"/>
        <v>5.8661105070048625E-3</v>
      </c>
      <c r="AS150" s="5">
        <f t="shared" si="31"/>
        <v>-6.3340758569819799E-3</v>
      </c>
      <c r="AT150" s="5">
        <f t="shared" si="32"/>
        <v>-2.9310675244605011E-2</v>
      </c>
    </row>
    <row r="151" spans="1:46" x14ac:dyDescent="0.25">
      <c r="A151" s="3" t="s">
        <v>753</v>
      </c>
      <c r="B151" s="3">
        <v>0</v>
      </c>
      <c r="C151" s="3">
        <v>89.5</v>
      </c>
      <c r="D151" s="3">
        <v>0.3268035542722475</v>
      </c>
      <c r="E151" s="3">
        <v>1.765279810788974E-2</v>
      </c>
      <c r="F151" s="3">
        <v>89.5</v>
      </c>
      <c r="G151" s="3" t="s">
        <v>754</v>
      </c>
      <c r="H151" s="3">
        <v>0</v>
      </c>
      <c r="I151" s="3">
        <v>89.5</v>
      </c>
      <c r="J151" s="3">
        <v>0.3739358787329245</v>
      </c>
      <c r="K151" s="3">
        <v>-0.96235535058978317</v>
      </c>
      <c r="L151" s="4">
        <v>45299.5</v>
      </c>
      <c r="M151">
        <v>75.989999999999995</v>
      </c>
      <c r="N151">
        <v>76.2</v>
      </c>
      <c r="O151">
        <v>71.930000000000007</v>
      </c>
      <c r="P151">
        <v>72.05</v>
      </c>
      <c r="Q151">
        <v>21593</v>
      </c>
      <c r="R151">
        <v>247220</v>
      </c>
      <c r="S151">
        <v>33.75</v>
      </c>
      <c r="T151">
        <v>33.950000000000003</v>
      </c>
      <c r="U151">
        <v>31.315000000000001</v>
      </c>
      <c r="V151">
        <v>31.58</v>
      </c>
      <c r="W151">
        <v>1341</v>
      </c>
      <c r="X151">
        <v>5.6295319709953807E-2</v>
      </c>
      <c r="Y151">
        <v>1.9854285676930816</v>
      </c>
      <c r="Z151">
        <v>-0.21611300063045785</v>
      </c>
      <c r="AB151" s="3">
        <f t="shared" si="22"/>
        <v>7.4179895048287689E-3</v>
      </c>
      <c r="AC151" s="3">
        <f t="shared" si="23"/>
        <v>1.1124251141537075E-2</v>
      </c>
      <c r="AD151" s="3">
        <f t="shared" si="24"/>
        <v>1.1504198587269514E-2</v>
      </c>
      <c r="AE151" s="76">
        <f t="shared" si="25"/>
        <v>-9648</v>
      </c>
      <c r="AF151" s="76">
        <f t="shared" si="26"/>
        <v>-7479.0119047619046</v>
      </c>
      <c r="AG151" s="76">
        <f t="shared" si="27"/>
        <v>-3774.458491361147</v>
      </c>
      <c r="AN151">
        <v>31537</v>
      </c>
      <c r="AO151" s="5">
        <f t="shared" si="28"/>
        <v>-4.3611221911979622E-2</v>
      </c>
      <c r="AP151" s="5">
        <f t="shared" si="29"/>
        <v>0.2786793628317169</v>
      </c>
      <c r="AR151" s="5">
        <f t="shared" si="30"/>
        <v>5.340635127477622E-3</v>
      </c>
      <c r="AS151" s="5">
        <f t="shared" si="31"/>
        <v>-7.376025319493773E-3</v>
      </c>
      <c r="AT151" s="5">
        <f t="shared" si="32"/>
        <v>-3.0338886649032615E-2</v>
      </c>
    </row>
    <row r="152" spans="1:46" x14ac:dyDescent="0.25">
      <c r="A152" s="3" t="s">
        <v>755</v>
      </c>
      <c r="B152" s="3">
        <v>13400</v>
      </c>
      <c r="C152" s="3">
        <v>90</v>
      </c>
      <c r="D152" s="3">
        <v>0.32766883876810254</v>
      </c>
      <c r="E152" s="3">
        <v>1.6170905055357E-2</v>
      </c>
      <c r="F152" s="3">
        <v>90</v>
      </c>
      <c r="G152" s="3" t="s">
        <v>756</v>
      </c>
      <c r="H152" s="3">
        <v>0</v>
      </c>
      <c r="I152" s="3">
        <v>90</v>
      </c>
      <c r="J152" s="3">
        <v>0.37806748933948431</v>
      </c>
      <c r="K152" s="3">
        <v>-0.96341655046043018</v>
      </c>
      <c r="L152" s="4">
        <v>45296.5</v>
      </c>
      <c r="M152">
        <v>75.849999999999994</v>
      </c>
      <c r="N152">
        <v>76.77</v>
      </c>
      <c r="O152">
        <v>75.209999999999994</v>
      </c>
      <c r="P152">
        <v>76.14</v>
      </c>
      <c r="Q152">
        <v>12216</v>
      </c>
      <c r="R152">
        <v>246559</v>
      </c>
      <c r="S152">
        <v>32.46</v>
      </c>
      <c r="T152">
        <v>35.045000000000002</v>
      </c>
      <c r="U152">
        <v>32.46</v>
      </c>
      <c r="V152">
        <v>34.551000000000002</v>
      </c>
      <c r="W152">
        <v>478</v>
      </c>
      <c r="X152">
        <v>2.013162988772748E-2</v>
      </c>
      <c r="Y152">
        <v>-0.70456574661934745</v>
      </c>
      <c r="Z152">
        <v>-1.2763476180381947</v>
      </c>
      <c r="AB152" s="3">
        <f t="shared" si="22"/>
        <v>6.3541044429968434E-3</v>
      </c>
      <c r="AC152" s="3">
        <f t="shared" si="23"/>
        <v>9.9856830248505959E-3</v>
      </c>
      <c r="AD152" s="3">
        <f t="shared" si="24"/>
        <v>1.0576794059166613E-2</v>
      </c>
      <c r="AE152" s="76">
        <f t="shared" si="25"/>
        <v>-9374.8571428571449</v>
      </c>
      <c r="AF152" s="76">
        <f t="shared" si="26"/>
        <v>-7041.3095238095266</v>
      </c>
      <c r="AG152" s="76">
        <f t="shared" si="27"/>
        <v>-3355.4075010535198</v>
      </c>
      <c r="AN152">
        <v>23266</v>
      </c>
      <c r="AO152" s="5">
        <f t="shared" si="28"/>
        <v>5.0781772016570284E-3</v>
      </c>
      <c r="AP152" s="5">
        <f t="shared" si="29"/>
        <v>0.27534432004038362</v>
      </c>
      <c r="AR152" s="5">
        <f t="shared" si="30"/>
        <v>4.4412454392786516E-3</v>
      </c>
      <c r="AS152" s="5">
        <f t="shared" si="31"/>
        <v>-8.7158532628512364E-3</v>
      </c>
      <c r="AT152" s="5">
        <f t="shared" si="32"/>
        <v>-3.157925486126345E-2</v>
      </c>
    </row>
    <row r="153" spans="1:46" x14ac:dyDescent="0.25">
      <c r="A153" s="3" t="s">
        <v>757</v>
      </c>
      <c r="B153" s="3">
        <v>0</v>
      </c>
      <c r="C153" s="3">
        <v>90.5</v>
      </c>
      <c r="D153" s="3">
        <v>0.32808656828736682</v>
      </c>
      <c r="E153" s="3">
        <v>1.4694880166149E-2</v>
      </c>
      <c r="F153" s="3">
        <v>90.5</v>
      </c>
      <c r="G153" s="3" t="s">
        <v>758</v>
      </c>
      <c r="H153" s="3">
        <v>0</v>
      </c>
      <c r="I153" s="3">
        <v>90.5</v>
      </c>
      <c r="J153" s="3">
        <v>0.38209130573761085</v>
      </c>
      <c r="K153" s="3">
        <v>-0.96445377177852587</v>
      </c>
      <c r="L153" s="4">
        <v>45295.5</v>
      </c>
      <c r="M153">
        <v>77.489999999999995</v>
      </c>
      <c r="N153">
        <v>78.290000000000006</v>
      </c>
      <c r="O153">
        <v>74.83</v>
      </c>
      <c r="P153">
        <v>75.87</v>
      </c>
      <c r="Q153">
        <v>18261</v>
      </c>
      <c r="R153">
        <v>247085</v>
      </c>
      <c r="S153">
        <v>33.575000000000003</v>
      </c>
      <c r="T153">
        <v>33.92</v>
      </c>
      <c r="U153">
        <v>32.125</v>
      </c>
      <c r="V153">
        <v>33.409999999999997</v>
      </c>
      <c r="W153">
        <v>1119</v>
      </c>
      <c r="X153">
        <v>4.5424707890245608E-2</v>
      </c>
      <c r="Y153">
        <v>1.24654620560673</v>
      </c>
      <c r="Z153">
        <v>-0.61495477862880532</v>
      </c>
      <c r="AB153" s="3">
        <f t="shared" si="22"/>
        <v>6.5147129942858088E-3</v>
      </c>
      <c r="AC153" s="3">
        <f t="shared" si="23"/>
        <v>9.9436522582421472E-3</v>
      </c>
      <c r="AD153" s="3">
        <f t="shared" si="24"/>
        <v>1.061025996394389E-2</v>
      </c>
      <c r="AE153" s="76">
        <f t="shared" si="25"/>
        <v>-8224.1428571428551</v>
      </c>
      <c r="AF153" s="76">
        <f t="shared" si="26"/>
        <v>-6014.1071428571413</v>
      </c>
      <c r="AG153" s="76">
        <f t="shared" si="27"/>
        <v>-2379.9848293299619</v>
      </c>
      <c r="AN153">
        <v>37567</v>
      </c>
      <c r="AO153" s="5">
        <f t="shared" si="28"/>
        <v>-1.5524273121957725E-2</v>
      </c>
      <c r="AP153" s="5">
        <f t="shared" si="29"/>
        <v>0.27530091125701794</v>
      </c>
      <c r="AR153" s="5">
        <f t="shared" si="30"/>
        <v>3.647759495365499E-3</v>
      </c>
      <c r="AS153" s="5">
        <f t="shared" si="31"/>
        <v>-9.8818829712548073E-3</v>
      </c>
      <c r="AT153" s="5">
        <f t="shared" si="32"/>
        <v>-3.2653376594354411E-2</v>
      </c>
    </row>
    <row r="154" spans="1:46" x14ac:dyDescent="0.25">
      <c r="A154" s="3" t="s">
        <v>759</v>
      </c>
      <c r="B154" s="3">
        <v>0</v>
      </c>
      <c r="C154" s="3">
        <v>91</v>
      </c>
      <c r="D154" s="3">
        <v>0.33312057582954491</v>
      </c>
      <c r="E154" s="3">
        <v>1.4503501252627412E-2</v>
      </c>
      <c r="F154" s="3">
        <v>91</v>
      </c>
      <c r="G154" s="3" t="s">
        <v>760</v>
      </c>
      <c r="H154" s="3">
        <v>0</v>
      </c>
      <c r="I154" s="3">
        <v>91</v>
      </c>
      <c r="J154" s="3">
        <v>0.38856378943614517</v>
      </c>
      <c r="K154" s="3">
        <v>-0.96452338245155589</v>
      </c>
      <c r="L154" s="4">
        <v>45294.5</v>
      </c>
      <c r="M154">
        <v>76.17</v>
      </c>
      <c r="N154">
        <v>77.8</v>
      </c>
      <c r="O154">
        <v>76.010000000000005</v>
      </c>
      <c r="P154">
        <v>77.489999999999995</v>
      </c>
      <c r="Q154">
        <v>15814</v>
      </c>
      <c r="R154">
        <v>245981</v>
      </c>
      <c r="S154">
        <v>30.484999999999999</v>
      </c>
      <c r="T154">
        <v>33.204999999999998</v>
      </c>
      <c r="U154">
        <v>30.484999999999999</v>
      </c>
      <c r="V154">
        <v>32.795000000000002</v>
      </c>
      <c r="W154">
        <v>1717</v>
      </c>
      <c r="X154">
        <v>2.2236024844720398E-2</v>
      </c>
      <c r="Y154">
        <v>-0.51678655434691234</v>
      </c>
      <c r="Z154">
        <v>-0.91828002479376081</v>
      </c>
      <c r="AB154" s="3">
        <f t="shared" si="22"/>
        <v>5.5765372653817057E-3</v>
      </c>
      <c r="AC154" s="3">
        <f t="shared" si="23"/>
        <v>9.0721639793567184E-3</v>
      </c>
      <c r="AD154" s="3">
        <f t="shared" si="24"/>
        <v>9.5210955525310212E-3</v>
      </c>
      <c r="AE154" s="76">
        <f t="shared" si="25"/>
        <v>-7387.3809523809541</v>
      </c>
      <c r="AF154" s="76">
        <f t="shared" si="26"/>
        <v>-5116.9464285714312</v>
      </c>
      <c r="AG154" s="76">
        <f t="shared" si="27"/>
        <v>-1622.7294563843243</v>
      </c>
      <c r="AN154">
        <v>35211</v>
      </c>
      <c r="AO154" s="5">
        <f t="shared" si="28"/>
        <v>1.9037404477812062E-2</v>
      </c>
      <c r="AP154" s="5">
        <f t="shared" si="29"/>
        <v>0.27487824819388446</v>
      </c>
      <c r="AR154" s="5">
        <f t="shared" si="30"/>
        <v>2.7748530539502547E-3</v>
      </c>
      <c r="AS154" s="5">
        <f t="shared" si="31"/>
        <v>-1.1018000377452875E-2</v>
      </c>
      <c r="AT154" s="5">
        <f t="shared" si="32"/>
        <v>-3.3698376817170972E-2</v>
      </c>
    </row>
    <row r="155" spans="1:46" x14ac:dyDescent="0.25">
      <c r="A155" s="3" t="s">
        <v>761</v>
      </c>
      <c r="B155" s="3">
        <v>0</v>
      </c>
      <c r="C155" s="3">
        <v>91.5</v>
      </c>
      <c r="D155" s="3">
        <v>0.33292152202863695</v>
      </c>
      <c r="E155" s="3">
        <v>1.3050925150398317E-2</v>
      </c>
      <c r="F155" s="3">
        <v>91.5</v>
      </c>
      <c r="G155" s="3" t="s">
        <v>762</v>
      </c>
      <c r="H155" s="3">
        <v>0</v>
      </c>
      <c r="I155" s="3">
        <v>91.5</v>
      </c>
      <c r="J155" s="3">
        <v>0.39243866088438595</v>
      </c>
      <c r="K155" s="3">
        <v>-0.96551880895464315</v>
      </c>
      <c r="L155" s="4">
        <v>45293.5</v>
      </c>
      <c r="M155">
        <v>80.5</v>
      </c>
      <c r="N155">
        <v>81.25</v>
      </c>
      <c r="O155">
        <v>74.59</v>
      </c>
      <c r="P155">
        <v>76.17</v>
      </c>
      <c r="Q155">
        <v>22440</v>
      </c>
      <c r="R155">
        <v>246427</v>
      </c>
      <c r="S155">
        <v>33.395000000000003</v>
      </c>
      <c r="T155">
        <v>33.395000000000003</v>
      </c>
      <c r="U155">
        <v>30.07</v>
      </c>
      <c r="V155">
        <v>30.571999999999999</v>
      </c>
      <c r="W155">
        <v>317</v>
      </c>
      <c r="X155">
        <v>8.3073468878632858E-2</v>
      </c>
      <c r="Y155">
        <v>4.1919695632307805</v>
      </c>
      <c r="Z155">
        <v>-0.18017126320429025</v>
      </c>
      <c r="AB155" s="3">
        <f t="shared" si="22"/>
        <v>6.6437725202100201E-3</v>
      </c>
      <c r="AC155" s="3">
        <f t="shared" si="23"/>
        <v>9.8461214256191157E-3</v>
      </c>
      <c r="AD155" s="3">
        <f t="shared" si="24"/>
        <v>1.0227227377779795E-2</v>
      </c>
      <c r="AE155" s="76">
        <f t="shared" si="25"/>
        <v>-5640.8095238095266</v>
      </c>
      <c r="AF155" s="76">
        <f t="shared" si="26"/>
        <v>-3796.3452380952403</v>
      </c>
      <c r="AG155" s="76">
        <f t="shared" si="27"/>
        <v>-401.87652760219135</v>
      </c>
      <c r="AN155">
        <v>23676</v>
      </c>
      <c r="AO155" s="5">
        <f t="shared" si="28"/>
        <v>-6.034265558075072E-2</v>
      </c>
      <c r="AP155" s="5">
        <f t="shared" si="29"/>
        <v>0.28005542284903301</v>
      </c>
      <c r="AR155" s="5">
        <f t="shared" si="30"/>
        <v>1.9311715158543685E-3</v>
      </c>
      <c r="AS155" s="5">
        <f t="shared" si="31"/>
        <v>-1.2133319542798948E-2</v>
      </c>
      <c r="AT155" s="5">
        <f t="shared" si="32"/>
        <v>-3.4731815848289826E-2</v>
      </c>
    </row>
    <row r="156" spans="1:46" x14ac:dyDescent="0.25">
      <c r="A156" s="3" t="s">
        <v>763</v>
      </c>
      <c r="B156" s="3">
        <v>0</v>
      </c>
      <c r="C156" s="3">
        <v>92</v>
      </c>
      <c r="D156" s="3">
        <v>0.33210038827727772</v>
      </c>
      <c r="E156" s="3">
        <v>1.1593985095407449E-2</v>
      </c>
      <c r="F156" s="3">
        <v>92</v>
      </c>
      <c r="G156" s="3" t="s">
        <v>764</v>
      </c>
      <c r="H156" s="3">
        <v>0</v>
      </c>
      <c r="I156" s="3">
        <v>92</v>
      </c>
      <c r="J156" s="3">
        <v>0.39620632038224818</v>
      </c>
      <c r="K156" s="3">
        <v>-0.96649396834788093</v>
      </c>
      <c r="L156" s="4">
        <v>45292.5</v>
      </c>
      <c r="M156">
        <v>80.17</v>
      </c>
      <c r="N156">
        <v>80.91</v>
      </c>
      <c r="O156">
        <v>79.38</v>
      </c>
      <c r="P156">
        <v>80.19</v>
      </c>
      <c r="Q156">
        <v>0</v>
      </c>
      <c r="R156">
        <v>0</v>
      </c>
      <c r="S156">
        <v>33.549999999999997</v>
      </c>
      <c r="T156">
        <v>34.064999999999998</v>
      </c>
      <c r="U156">
        <v>31.635000000000002</v>
      </c>
      <c r="V156">
        <v>32.35</v>
      </c>
      <c r="W156">
        <v>0</v>
      </c>
      <c r="X156">
        <v>1.9084445553199464E-2</v>
      </c>
      <c r="Y156">
        <v>-0.81759092498987329</v>
      </c>
      <c r="Z156">
        <v>-2.7716709861518645</v>
      </c>
      <c r="AB156" s="3">
        <f t="shared" si="22"/>
        <v>3.6872935485861014E-3</v>
      </c>
      <c r="AC156" s="3">
        <f t="shared" si="23"/>
        <v>7.1857426666205836E-3</v>
      </c>
      <c r="AD156" s="3">
        <f t="shared" si="24"/>
        <v>7.5356760515504842E-3</v>
      </c>
      <c r="AE156" s="76">
        <f t="shared" si="25"/>
        <v>-3830.1428571428587</v>
      </c>
      <c r="AF156" s="76">
        <f t="shared" si="26"/>
        <v>-2505.9107142857174</v>
      </c>
      <c r="AG156" s="76">
        <f t="shared" si="27"/>
        <v>687.65360303413399</v>
      </c>
      <c r="AN156">
        <v>31221</v>
      </c>
      <c r="AO156" s="5">
        <f t="shared" si="28"/>
        <v>0</v>
      </c>
      <c r="AP156" s="5">
        <f t="shared" si="29"/>
        <v>0.27374976258679312</v>
      </c>
      <c r="AR156" s="5">
        <f t="shared" si="30"/>
        <v>7.7782345145249732E-4</v>
      </c>
      <c r="AS156" s="5">
        <f t="shared" si="31"/>
        <v>-1.3557592947358921E-2</v>
      </c>
      <c r="AT156" s="5">
        <f t="shared" si="32"/>
        <v>-3.6064869264852306E-2</v>
      </c>
    </row>
    <row r="157" spans="1:46" x14ac:dyDescent="0.25">
      <c r="A157" s="3" t="s">
        <v>765</v>
      </c>
      <c r="B157" s="3">
        <v>0</v>
      </c>
      <c r="C157" s="3">
        <v>92.5</v>
      </c>
      <c r="D157" s="3">
        <v>0.3368996070965824</v>
      </c>
      <c r="E157" s="3">
        <v>1.1450877325226554E-2</v>
      </c>
      <c r="F157" s="3">
        <v>92.5</v>
      </c>
      <c r="G157" s="3" t="s">
        <v>766</v>
      </c>
      <c r="H157" s="3">
        <v>0</v>
      </c>
      <c r="I157" s="3">
        <v>92.5</v>
      </c>
      <c r="J157" s="3">
        <v>0.40256431637606643</v>
      </c>
      <c r="K157" s="3">
        <v>-0.96652216975222349</v>
      </c>
      <c r="L157" s="4">
        <v>45289.5</v>
      </c>
      <c r="M157">
        <v>80.17</v>
      </c>
      <c r="N157">
        <v>80.91</v>
      </c>
      <c r="O157">
        <v>79.38</v>
      </c>
      <c r="P157">
        <v>80.19</v>
      </c>
      <c r="Q157">
        <v>11899</v>
      </c>
      <c r="R157">
        <v>246338</v>
      </c>
      <c r="S157">
        <v>33.549999999999997</v>
      </c>
      <c r="T157">
        <v>34.064999999999998</v>
      </c>
      <c r="U157">
        <v>31.635000000000002</v>
      </c>
      <c r="V157">
        <v>32.35</v>
      </c>
      <c r="W157">
        <v>209</v>
      </c>
      <c r="X157">
        <v>1.9041692594897339E-2</v>
      </c>
      <c r="Y157">
        <v>-0.80476955737529987</v>
      </c>
      <c r="Z157">
        <v>-1.5035301045292833</v>
      </c>
      <c r="AB157" s="3">
        <f t="shared" si="22"/>
        <v>4.513129193330568E-3</v>
      </c>
      <c r="AC157" s="3">
        <f t="shared" si="23"/>
        <v>8.3289557552297389E-3</v>
      </c>
      <c r="AD157" s="3">
        <f t="shared" si="24"/>
        <v>8.365832857526085E-3</v>
      </c>
      <c r="AE157" s="76">
        <f t="shared" si="25"/>
        <v>-3364.3333333333321</v>
      </c>
      <c r="AF157" s="76">
        <f t="shared" si="26"/>
        <v>-1065.3452380952367</v>
      </c>
      <c r="AG157" s="76">
        <f t="shared" si="27"/>
        <v>2028.9211967973024</v>
      </c>
      <c r="AN157">
        <v>30354</v>
      </c>
      <c r="AO157" s="5">
        <f t="shared" si="28"/>
        <v>6.3387423935091286E-3</v>
      </c>
      <c r="AP157" s="5">
        <f t="shared" si="29"/>
        <v>0.27465105482803553</v>
      </c>
      <c r="AR157" s="5">
        <f t="shared" si="30"/>
        <v>-5.5655653470598754E-5</v>
      </c>
      <c r="AS157" s="5">
        <f t="shared" si="31"/>
        <v>-1.4672863345155662E-2</v>
      </c>
      <c r="AT157" s="5">
        <f t="shared" si="32"/>
        <v>-3.7104604920471962E-2</v>
      </c>
    </row>
    <row r="158" spans="1:46" x14ac:dyDescent="0.25">
      <c r="A158" s="3" t="s">
        <v>767</v>
      </c>
      <c r="B158" s="3">
        <v>0</v>
      </c>
      <c r="C158" s="3">
        <v>93</v>
      </c>
      <c r="D158" s="3">
        <v>0.33521039294868826</v>
      </c>
      <c r="E158" s="3">
        <v>1.0003322478105817E-2</v>
      </c>
      <c r="F158" s="3">
        <v>93</v>
      </c>
      <c r="G158" s="3" t="s">
        <v>768</v>
      </c>
      <c r="H158" s="3">
        <v>0</v>
      </c>
      <c r="I158" s="3">
        <v>93</v>
      </c>
      <c r="J158" s="3">
        <v>0.40618774500365756</v>
      </c>
      <c r="K158" s="3">
        <v>-0.96746149273219839</v>
      </c>
      <c r="L158" s="4">
        <v>45288.5</v>
      </c>
      <c r="M158">
        <v>80.349999999999994</v>
      </c>
      <c r="N158">
        <v>80.5</v>
      </c>
      <c r="O158">
        <v>78.88</v>
      </c>
      <c r="P158">
        <v>80.239999999999995</v>
      </c>
      <c r="Q158">
        <v>13157</v>
      </c>
      <c r="R158">
        <v>247527</v>
      </c>
      <c r="S158">
        <v>34.015000000000001</v>
      </c>
      <c r="T158">
        <v>34.015000000000001</v>
      </c>
      <c r="U158">
        <v>33.104999999999997</v>
      </c>
      <c r="V158">
        <v>33.104999999999997</v>
      </c>
      <c r="W158">
        <v>1002</v>
      </c>
      <c r="X158">
        <v>2.0490766506450854E-2</v>
      </c>
      <c r="Y158">
        <v>-0.68143171151754112</v>
      </c>
      <c r="Z158">
        <v>-1.3638263046769015</v>
      </c>
      <c r="AB158" s="3">
        <f t="shared" si="22"/>
        <v>4.2056456059479316E-3</v>
      </c>
      <c r="AC158" s="3">
        <f t="shared" si="23"/>
        <v>7.8738007271099281E-3</v>
      </c>
      <c r="AD158" s="3">
        <f t="shared" si="24"/>
        <v>8.0926364151806818E-3</v>
      </c>
      <c r="AE158" s="76">
        <f t="shared" si="25"/>
        <v>-1619.0476190476184</v>
      </c>
      <c r="AF158" s="76">
        <f t="shared" si="26"/>
        <v>260.20238095238165</v>
      </c>
      <c r="AG158" s="76">
        <f t="shared" si="27"/>
        <v>3310.8272229245667</v>
      </c>
      <c r="AN158">
        <v>30626</v>
      </c>
      <c r="AO158" s="5">
        <f t="shared" si="28"/>
        <v>-1.8980134126281877E-3</v>
      </c>
      <c r="AP158" s="5">
        <f t="shared" si="29"/>
        <v>0.27781769702247949</v>
      </c>
      <c r="AR158" s="5">
        <f t="shared" si="30"/>
        <v>-8.6810240520429627E-4</v>
      </c>
      <c r="AS158" s="5">
        <f t="shared" si="31"/>
        <v>-1.5825199560971392E-2</v>
      </c>
      <c r="AT158" s="5">
        <f t="shared" si="32"/>
        <v>-3.8183119401320242E-2</v>
      </c>
    </row>
    <row r="159" spans="1:46" x14ac:dyDescent="0.25">
      <c r="A159" s="3" t="s">
        <v>769</v>
      </c>
      <c r="B159" s="3">
        <v>0</v>
      </c>
      <c r="C159" s="3">
        <v>93.5</v>
      </c>
      <c r="D159" s="3">
        <v>0.33987006340888948</v>
      </c>
      <c r="E159" s="3">
        <v>9.8841297061094801E-3</v>
      </c>
      <c r="F159" s="3">
        <v>93.5</v>
      </c>
      <c r="G159" s="3" t="s">
        <v>770</v>
      </c>
      <c r="H159" s="3">
        <v>0</v>
      </c>
      <c r="I159" s="3">
        <v>93.5</v>
      </c>
      <c r="J159" s="3">
        <v>0.41247557678414254</v>
      </c>
      <c r="K159" s="3">
        <v>-0.96746995521812951</v>
      </c>
      <c r="L159" s="4">
        <v>45287.5</v>
      </c>
      <c r="M159">
        <v>79.06</v>
      </c>
      <c r="N159">
        <v>80.98</v>
      </c>
      <c r="O159">
        <v>79.03</v>
      </c>
      <c r="P159">
        <v>80.040000000000006</v>
      </c>
      <c r="Q159">
        <v>15318</v>
      </c>
      <c r="R159">
        <v>249272</v>
      </c>
      <c r="S159">
        <v>36.875</v>
      </c>
      <c r="T159">
        <v>36.875</v>
      </c>
      <c r="U159">
        <v>35.5</v>
      </c>
      <c r="V159">
        <v>35.512999999999998</v>
      </c>
      <c r="W159">
        <v>628</v>
      </c>
      <c r="X159">
        <v>2.5064267352185126E-2</v>
      </c>
      <c r="Y159">
        <v>-0.26341886848008605</v>
      </c>
      <c r="Z159">
        <v>-1.1326267505149257</v>
      </c>
      <c r="AB159" s="3">
        <f t="shared" si="22"/>
        <v>5.9413364032811188E-3</v>
      </c>
      <c r="AC159" s="3">
        <f t="shared" si="23"/>
        <v>9.0062350964304483E-3</v>
      </c>
      <c r="AD159" s="3">
        <f t="shared" si="24"/>
        <v>8.8759281100619959E-3</v>
      </c>
      <c r="AE159" s="76">
        <f t="shared" si="25"/>
        <v>-440</v>
      </c>
      <c r="AF159" s="76">
        <f t="shared" si="26"/>
        <v>1333.8095238095229</v>
      </c>
      <c r="AG159" s="76">
        <f t="shared" si="27"/>
        <v>4300.0497260851262</v>
      </c>
      <c r="AN159">
        <v>36340</v>
      </c>
      <c r="AO159" s="5">
        <f t="shared" si="28"/>
        <v>2.9036458333333386E-2</v>
      </c>
      <c r="AP159" s="5">
        <f t="shared" si="29"/>
        <v>0.27857693572358333</v>
      </c>
      <c r="AR159" s="5">
        <f t="shared" si="30"/>
        <v>-1.5785248895022752E-3</v>
      </c>
      <c r="AS159" s="5">
        <f t="shared" si="31"/>
        <v>-1.6953243804975204E-2</v>
      </c>
      <c r="AT159" s="5">
        <f t="shared" si="32"/>
        <v>-3.9256700596791538E-2</v>
      </c>
    </row>
    <row r="160" spans="1:46" x14ac:dyDescent="0.25">
      <c r="A160" s="3" t="s">
        <v>771</v>
      </c>
      <c r="B160" s="3">
        <v>0</v>
      </c>
      <c r="C160" s="3">
        <v>94</v>
      </c>
      <c r="D160" s="3">
        <v>0.33708794766095174</v>
      </c>
      <c r="E160" s="3">
        <v>8.4366170613163639E-3</v>
      </c>
      <c r="F160" s="3">
        <v>94</v>
      </c>
      <c r="G160" s="3" t="s">
        <v>772</v>
      </c>
      <c r="H160" s="3">
        <v>0</v>
      </c>
      <c r="I160" s="3">
        <v>94</v>
      </c>
      <c r="J160" s="3">
        <v>0.41595803784241669</v>
      </c>
      <c r="K160" s="3">
        <v>-0.96837665923507066</v>
      </c>
      <c r="L160" s="4">
        <v>45286.5</v>
      </c>
      <c r="M160">
        <v>77.8</v>
      </c>
      <c r="N160">
        <v>79.349999999999994</v>
      </c>
      <c r="O160">
        <v>76.8</v>
      </c>
      <c r="P160">
        <v>79.14</v>
      </c>
      <c r="Q160">
        <v>0</v>
      </c>
      <c r="R160">
        <v>0</v>
      </c>
      <c r="S160">
        <v>34.173999999999999</v>
      </c>
      <c r="T160">
        <v>34.173999999999999</v>
      </c>
      <c r="U160">
        <v>34.173999999999999</v>
      </c>
      <c r="V160">
        <v>34.173999999999999</v>
      </c>
      <c r="W160">
        <v>0</v>
      </c>
      <c r="X160">
        <v>3.277634961439585E-2</v>
      </c>
      <c r="Y160">
        <v>0.43736809944102023</v>
      </c>
      <c r="Z160">
        <v>-3.0622841816913859</v>
      </c>
      <c r="AB160" s="3">
        <f t="shared" si="22"/>
        <v>5.3613017221184125E-3</v>
      </c>
      <c r="AC160" s="3">
        <f t="shared" si="23"/>
        <v>8.9838915917189559E-3</v>
      </c>
      <c r="AD160" s="3">
        <f t="shared" si="24"/>
        <v>8.6620934097756015E-3</v>
      </c>
      <c r="AE160" s="76">
        <f t="shared" si="25"/>
        <v>1095.5238095238092</v>
      </c>
      <c r="AF160" s="76">
        <f t="shared" si="26"/>
        <v>2740.8630952380954</v>
      </c>
      <c r="AG160" s="76">
        <f t="shared" si="27"/>
        <v>5494.4037083860094</v>
      </c>
      <c r="AN160">
        <v>45987</v>
      </c>
      <c r="AO160" s="5">
        <f t="shared" si="28"/>
        <v>0</v>
      </c>
      <c r="AP160" s="5">
        <f t="shared" si="29"/>
        <v>0.27786367351848951</v>
      </c>
      <c r="AR160" s="5">
        <f t="shared" si="30"/>
        <v>-2.2584487807101317E-3</v>
      </c>
      <c r="AS160" s="5">
        <f t="shared" si="31"/>
        <v>-1.8045845552602857E-2</v>
      </c>
      <c r="AT160" s="5">
        <f t="shared" si="32"/>
        <v>-4.0280492957473935E-2</v>
      </c>
    </row>
    <row r="161" spans="1:46" x14ac:dyDescent="0.25">
      <c r="A161" s="3" t="s">
        <v>773</v>
      </c>
      <c r="B161" s="3">
        <v>0</v>
      </c>
      <c r="C161" s="3">
        <v>94.5</v>
      </c>
      <c r="D161" s="3">
        <v>0.34160403167744385</v>
      </c>
      <c r="E161" s="3">
        <v>8.339340131148518E-3</v>
      </c>
      <c r="F161" s="3">
        <v>94.5</v>
      </c>
      <c r="G161" s="3" t="s">
        <v>774</v>
      </c>
      <c r="H161" s="3">
        <v>0</v>
      </c>
      <c r="I161" s="3">
        <v>94.5</v>
      </c>
      <c r="J161" s="3">
        <v>0.42217921971938382</v>
      </c>
      <c r="K161" s="3">
        <v>-0.9683674736276523</v>
      </c>
      <c r="L161" s="4">
        <v>45285.5</v>
      </c>
      <c r="M161">
        <v>77.8</v>
      </c>
      <c r="N161">
        <v>79.349999999999994</v>
      </c>
      <c r="O161">
        <v>76.8</v>
      </c>
      <c r="P161">
        <v>79.14</v>
      </c>
      <c r="Q161">
        <v>0</v>
      </c>
      <c r="R161">
        <v>0</v>
      </c>
      <c r="S161">
        <v>34.56</v>
      </c>
      <c r="T161">
        <v>34.664999999999999</v>
      </c>
      <c r="U161">
        <v>33.479999999999997</v>
      </c>
      <c r="V161">
        <v>34.173999999999999</v>
      </c>
      <c r="W161">
        <v>0</v>
      </c>
      <c r="X161">
        <v>3.277634961439585E-2</v>
      </c>
      <c r="Y161">
        <v>0.44099071093365833</v>
      </c>
      <c r="Z161">
        <v>-3.3296720355696245</v>
      </c>
      <c r="AB161" s="3">
        <f t="shared" si="22"/>
        <v>7.7805998724260021E-3</v>
      </c>
      <c r="AC161" s="3">
        <f t="shared" si="23"/>
        <v>1.0013009238249986E-2</v>
      </c>
      <c r="AD161" s="3">
        <f t="shared" si="24"/>
        <v>9.3592953244421608E-3</v>
      </c>
      <c r="AE161" s="76">
        <f t="shared" si="25"/>
        <v>3371.3333333333321</v>
      </c>
      <c r="AF161" s="76">
        <f t="shared" si="26"/>
        <v>4571.9047619047597</v>
      </c>
      <c r="AG161" s="76">
        <f t="shared" si="27"/>
        <v>7094.1323219553306</v>
      </c>
      <c r="AN161">
        <v>33973</v>
      </c>
      <c r="AO161" s="5">
        <f t="shared" si="28"/>
        <v>0</v>
      </c>
      <c r="AP161" s="5">
        <f t="shared" si="29"/>
        <v>0.27794286903389293</v>
      </c>
      <c r="AR161" s="5">
        <f t="shared" si="30"/>
        <v>-2.9192948943970731E-3</v>
      </c>
      <c r="AS161" s="5">
        <f t="shared" si="31"/>
        <v>-1.9089621505759713E-2</v>
      </c>
      <c r="AT161" s="5">
        <f t="shared" si="32"/>
        <v>-4.1250695209684773E-2</v>
      </c>
    </row>
    <row r="162" spans="1:46" x14ac:dyDescent="0.25">
      <c r="A162" s="3" t="s">
        <v>775</v>
      </c>
      <c r="B162" s="3">
        <v>6737</v>
      </c>
      <c r="C162" s="3">
        <v>95</v>
      </c>
      <c r="D162" s="3">
        <v>0.33736588056559941</v>
      </c>
      <c r="E162" s="3">
        <v>6.8803143525175319E-3</v>
      </c>
      <c r="F162" s="3">
        <v>95</v>
      </c>
      <c r="G162" s="3" t="s">
        <v>776</v>
      </c>
      <c r="H162" s="3">
        <v>0</v>
      </c>
      <c r="I162" s="3">
        <v>95</v>
      </c>
      <c r="J162" s="3">
        <v>0.42552369364470299</v>
      </c>
      <c r="K162" s="3">
        <v>-0.9692443876802237</v>
      </c>
      <c r="L162" s="4">
        <v>45282.5</v>
      </c>
      <c r="M162">
        <v>77.8</v>
      </c>
      <c r="N162">
        <v>79.349999999999994</v>
      </c>
      <c r="O162">
        <v>76.8</v>
      </c>
      <c r="P162">
        <v>79.14</v>
      </c>
      <c r="Q162">
        <v>14877</v>
      </c>
      <c r="R162">
        <v>250381</v>
      </c>
      <c r="S162">
        <v>34.56</v>
      </c>
      <c r="T162">
        <v>34.664999999999999</v>
      </c>
      <c r="U162">
        <v>33.479999999999997</v>
      </c>
      <c r="V162">
        <v>34.173999999999999</v>
      </c>
      <c r="W162">
        <v>704</v>
      </c>
      <c r="X162">
        <v>3.3860045146726823E-2</v>
      </c>
      <c r="Y162">
        <v>0.55755398307614901</v>
      </c>
      <c r="Z162">
        <v>-1.5153131722066107</v>
      </c>
      <c r="AB162" s="3">
        <f t="shared" si="22"/>
        <v>6.9522968534460675E-3</v>
      </c>
      <c r="AC162" s="3">
        <f t="shared" si="23"/>
        <v>9.1423877046095184E-3</v>
      </c>
      <c r="AD162" s="3">
        <f t="shared" si="24"/>
        <v>8.3869232765595852E-3</v>
      </c>
      <c r="AE162" s="76">
        <f t="shared" si="25"/>
        <v>4180.0952380952367</v>
      </c>
      <c r="AF162" s="76">
        <f t="shared" si="26"/>
        <v>5517.6547619047633</v>
      </c>
      <c r="AG162" s="76">
        <f t="shared" si="27"/>
        <v>7939.0185419300469</v>
      </c>
      <c r="AN162">
        <v>24889</v>
      </c>
      <c r="AO162" s="5">
        <f t="shared" si="28"/>
        <v>1.9784889124950137E-2</v>
      </c>
      <c r="AP162" s="5">
        <f t="shared" si="29"/>
        <v>0.27794286903389293</v>
      </c>
      <c r="AR162" s="5">
        <f t="shared" si="30"/>
        <v>-4.2291480131619874E-3</v>
      </c>
      <c r="AS162" s="5">
        <f t="shared" si="31"/>
        <v>-2.0311692195845998E-2</v>
      </c>
      <c r="AT162" s="5">
        <f t="shared" si="32"/>
        <v>-4.2382484566864997E-2</v>
      </c>
    </row>
    <row r="163" spans="1:46" x14ac:dyDescent="0.25">
      <c r="A163" s="3" t="s">
        <v>777</v>
      </c>
      <c r="B163" s="3">
        <v>0</v>
      </c>
      <c r="C163" s="3">
        <v>95.5</v>
      </c>
      <c r="D163" s="3">
        <v>0.34173100654258698</v>
      </c>
      <c r="E163" s="3">
        <v>6.803344852101329E-3</v>
      </c>
      <c r="F163" s="3">
        <v>95.5</v>
      </c>
      <c r="G163" s="3" t="s">
        <v>778</v>
      </c>
      <c r="H163" s="3">
        <v>0</v>
      </c>
      <c r="I163" s="3">
        <v>95.5</v>
      </c>
      <c r="J163" s="3">
        <v>0.43168154782251145</v>
      </c>
      <c r="K163" s="3">
        <v>-0.96921936707963641</v>
      </c>
      <c r="L163" s="4">
        <v>45281.5</v>
      </c>
      <c r="M163">
        <v>75.31</v>
      </c>
      <c r="N163">
        <v>78.75</v>
      </c>
      <c r="O163">
        <v>75.31</v>
      </c>
      <c r="P163">
        <v>78.14</v>
      </c>
      <c r="Q163">
        <v>25956</v>
      </c>
      <c r="R163">
        <v>251461</v>
      </c>
      <c r="S163">
        <v>34.270000000000003</v>
      </c>
      <c r="T163">
        <v>36.244999999999997</v>
      </c>
      <c r="U163">
        <v>33.97</v>
      </c>
      <c r="V163">
        <v>34.203000000000003</v>
      </c>
      <c r="W163">
        <v>655</v>
      </c>
      <c r="X163">
        <v>4.7824273599332646E-2</v>
      </c>
      <c r="Y163">
        <v>1.799257583190055</v>
      </c>
      <c r="Z163">
        <v>0.10735311620863051</v>
      </c>
      <c r="AB163" s="3">
        <f t="shared" si="22"/>
        <v>8.0850632008367118E-3</v>
      </c>
      <c r="AC163" s="3">
        <f t="shared" si="23"/>
        <v>9.5541480747726275E-3</v>
      </c>
      <c r="AD163" s="3">
        <f t="shared" si="24"/>
        <v>8.5006043095441769E-3</v>
      </c>
      <c r="AE163" s="76">
        <f t="shared" si="25"/>
        <v>4820.5714285714312</v>
      </c>
      <c r="AF163" s="76">
        <f t="shared" si="26"/>
        <v>6182.8988095238092</v>
      </c>
      <c r="AG163" s="76">
        <f t="shared" si="27"/>
        <v>8542.7994100295</v>
      </c>
      <c r="AN163">
        <v>40336</v>
      </c>
      <c r="AO163" s="5">
        <f t="shared" si="28"/>
        <v>4.7864199248643352E-2</v>
      </c>
      <c r="AP163" s="5">
        <f t="shared" si="29"/>
        <v>0.27763950791719216</v>
      </c>
      <c r="AR163" s="5">
        <f t="shared" si="30"/>
        <v>-5.4097808264104152E-3</v>
      </c>
      <c r="AS163" s="5">
        <f t="shared" si="31"/>
        <v>-2.1471143639457124E-2</v>
      </c>
      <c r="AT163" s="5">
        <f t="shared" si="32"/>
        <v>-4.3429711035038177E-2</v>
      </c>
    </row>
    <row r="164" spans="1:46" x14ac:dyDescent="0.25">
      <c r="A164" s="3" t="s">
        <v>779</v>
      </c>
      <c r="B164" s="3">
        <v>0</v>
      </c>
      <c r="C164" s="3">
        <v>96</v>
      </c>
      <c r="D164" s="3">
        <v>0.34606547605094451</v>
      </c>
      <c r="E164" s="3">
        <v>6.7287381462961034E-3</v>
      </c>
      <c r="F164" s="3">
        <v>96</v>
      </c>
      <c r="G164" s="3" t="s">
        <v>780</v>
      </c>
      <c r="H164" s="3">
        <v>0</v>
      </c>
      <c r="I164" s="3">
        <v>96</v>
      </c>
      <c r="J164" s="3">
        <v>0.43780761984417227</v>
      </c>
      <c r="K164" s="3">
        <v>-0.9691928096296617</v>
      </c>
      <c r="L164" s="4">
        <v>45280.5</v>
      </c>
      <c r="M164">
        <v>71.930000000000007</v>
      </c>
      <c r="N164">
        <v>75.739999999999995</v>
      </c>
      <c r="O164">
        <v>71.87</v>
      </c>
      <c r="P164">
        <v>75.36</v>
      </c>
      <c r="Q164">
        <v>26070</v>
      </c>
      <c r="R164">
        <v>256416</v>
      </c>
      <c r="S164">
        <v>34.56</v>
      </c>
      <c r="T164">
        <v>34.56</v>
      </c>
      <c r="U164">
        <v>32.905000000000001</v>
      </c>
      <c r="V164">
        <v>33.521000000000001</v>
      </c>
      <c r="W164">
        <v>694</v>
      </c>
      <c r="X164">
        <v>5.3757466314765807E-2</v>
      </c>
      <c r="Y164">
        <v>2.3896244116949776</v>
      </c>
      <c r="Z164">
        <v>0.13799349209638659</v>
      </c>
      <c r="AB164" s="3">
        <f t="shared" si="22"/>
        <v>6.8870017876109905E-3</v>
      </c>
      <c r="AC164" s="3">
        <f t="shared" si="23"/>
        <v>8.2126957265256546E-3</v>
      </c>
      <c r="AD164" s="3">
        <f t="shared" si="24"/>
        <v>6.999637790600987E-3</v>
      </c>
      <c r="AE164" s="76">
        <f t="shared" si="25"/>
        <v>4849.5714285714275</v>
      </c>
      <c r="AF164" s="76">
        <f t="shared" si="26"/>
        <v>6105.2678571428587</v>
      </c>
      <c r="AG164" s="76">
        <f t="shared" si="27"/>
        <v>8437.4955752212372</v>
      </c>
      <c r="AN164">
        <v>59549</v>
      </c>
      <c r="AO164" s="5">
        <f t="shared" si="28"/>
        <v>1.7268223637650373E-2</v>
      </c>
      <c r="AP164" s="5">
        <f t="shared" si="29"/>
        <v>0.27360644787135924</v>
      </c>
      <c r="AR164" s="5">
        <f t="shared" si="30"/>
        <v>-6.5734250895974067E-3</v>
      </c>
      <c r="AS164" s="5">
        <f t="shared" si="31"/>
        <v>-2.2535960339199967E-2</v>
      </c>
      <c r="AT164" s="5">
        <f t="shared" si="32"/>
        <v>-4.4388306526132237E-2</v>
      </c>
    </row>
    <row r="165" spans="1:46" x14ac:dyDescent="0.25">
      <c r="A165" s="3" t="s">
        <v>781</v>
      </c>
      <c r="B165" s="3">
        <v>0</v>
      </c>
      <c r="C165" s="3">
        <v>96.5</v>
      </c>
      <c r="D165" s="3">
        <v>0.33958799946851553</v>
      </c>
      <c r="E165" s="3">
        <v>5.2589203212015517E-3</v>
      </c>
      <c r="F165" s="3">
        <v>96.5</v>
      </c>
      <c r="G165" s="3" t="s">
        <v>782</v>
      </c>
      <c r="H165" s="3">
        <v>0</v>
      </c>
      <c r="I165" s="3">
        <v>96.5</v>
      </c>
      <c r="J165" s="3">
        <v>0.44098843342889504</v>
      </c>
      <c r="K165" s="3">
        <v>-0.97002971437003105</v>
      </c>
      <c r="L165" s="4">
        <v>45279.5</v>
      </c>
      <c r="M165">
        <v>71.989999999999995</v>
      </c>
      <c r="N165">
        <v>72.040000000000006</v>
      </c>
      <c r="O165">
        <v>70.650000000000006</v>
      </c>
      <c r="P165">
        <v>71.930000000000007</v>
      </c>
      <c r="Q165">
        <v>14040</v>
      </c>
      <c r="R165">
        <v>253872</v>
      </c>
      <c r="S165">
        <v>34.33</v>
      </c>
      <c r="T165">
        <v>34.33</v>
      </c>
      <c r="U165">
        <v>32.18</v>
      </c>
      <c r="V165">
        <v>32.567999999999998</v>
      </c>
      <c r="W165">
        <v>584</v>
      </c>
      <c r="X165">
        <v>2.0613970043007569E-2</v>
      </c>
      <c r="Y165">
        <v>-0.60586132489215483</v>
      </c>
      <c r="Z165">
        <v>-1.6110585944388327</v>
      </c>
      <c r="AB165" s="3">
        <f t="shared" si="22"/>
        <v>5.6283498213498817E-3</v>
      </c>
      <c r="AC165" s="3">
        <f t="shared" si="23"/>
        <v>6.7301127360863099E-3</v>
      </c>
      <c r="AD165" s="3">
        <f t="shared" si="24"/>
        <v>5.3302944654508889E-3</v>
      </c>
      <c r="AE165" s="76">
        <f t="shared" si="25"/>
        <v>4569.5714285714275</v>
      </c>
      <c r="AF165" s="76">
        <f t="shared" si="26"/>
        <v>5913.7440476190459</v>
      </c>
      <c r="AG165" s="76">
        <f t="shared" si="27"/>
        <v>8052.3978086809911</v>
      </c>
      <c r="AN165">
        <v>53896</v>
      </c>
      <c r="AO165" s="5">
        <f t="shared" si="28"/>
        <v>6.5610859728506915E-2</v>
      </c>
      <c r="AP165" s="5">
        <f t="shared" si="29"/>
        <v>0.27320163865034225</v>
      </c>
      <c r="AR165" s="5">
        <f t="shared" si="30"/>
        <v>-7.8672870870284961E-3</v>
      </c>
      <c r="AS165" s="5">
        <f t="shared" si="31"/>
        <v>-2.3514578789345708E-2</v>
      </c>
      <c r="AT165" s="5">
        <f t="shared" si="32"/>
        <v>-4.5153825977850059E-2</v>
      </c>
    </row>
    <row r="166" spans="1:46" x14ac:dyDescent="0.25">
      <c r="A166" s="3" t="s">
        <v>783</v>
      </c>
      <c r="B166" s="3">
        <v>0</v>
      </c>
      <c r="C166" s="3">
        <v>97</v>
      </c>
      <c r="D166" s="3">
        <v>0.34376004073534011</v>
      </c>
      <c r="E166" s="3">
        <v>5.2027536407480745E-3</v>
      </c>
      <c r="F166" s="3">
        <v>97</v>
      </c>
      <c r="G166" s="3" t="s">
        <v>784</v>
      </c>
      <c r="H166" s="3">
        <v>0</v>
      </c>
      <c r="I166" s="3">
        <v>97</v>
      </c>
      <c r="J166" s="3">
        <v>0.44705512777781536</v>
      </c>
      <c r="K166" s="3">
        <v>-0.96998940990067095</v>
      </c>
      <c r="L166" s="4">
        <v>45278.5</v>
      </c>
      <c r="M166">
        <v>67.430000000000007</v>
      </c>
      <c r="N166">
        <v>70.599999999999994</v>
      </c>
      <c r="O166">
        <v>66.3</v>
      </c>
      <c r="P166">
        <v>68.83</v>
      </c>
      <c r="Q166">
        <v>16832</v>
      </c>
      <c r="R166">
        <v>245343</v>
      </c>
      <c r="S166">
        <v>33.634999999999998</v>
      </c>
      <c r="T166">
        <v>37.384999999999998</v>
      </c>
      <c r="U166">
        <v>32.465000000000003</v>
      </c>
      <c r="V166">
        <v>35.521999999999998</v>
      </c>
      <c r="W166">
        <v>2614</v>
      </c>
      <c r="X166">
        <v>6.4409826243259388E-2</v>
      </c>
      <c r="Y166">
        <v>3.5254555036815152</v>
      </c>
      <c r="Z166">
        <v>-1.2372432790978167</v>
      </c>
      <c r="AB166" s="3">
        <f t="shared" si="22"/>
        <v>5.9437168433568582E-3</v>
      </c>
      <c r="AC166" s="3">
        <f t="shared" si="23"/>
        <v>6.9345463576677216E-3</v>
      </c>
      <c r="AD166" s="3">
        <f t="shared" si="24"/>
        <v>5.1998744369026288E-3</v>
      </c>
      <c r="AE166" s="76">
        <f t="shared" si="25"/>
        <v>4580.5714285714312</v>
      </c>
      <c r="AF166" s="76">
        <f t="shared" si="26"/>
        <v>6121.3630952380954</v>
      </c>
      <c r="AG166" s="76">
        <f t="shared" si="27"/>
        <v>8050.374631268438</v>
      </c>
      <c r="AN166">
        <v>45252</v>
      </c>
      <c r="AO166" s="5">
        <f t="shared" si="28"/>
        <v>1.3593112822836947E-3</v>
      </c>
      <c r="AP166" s="5">
        <f t="shared" si="29"/>
        <v>0.26745451808647636</v>
      </c>
      <c r="AR166" s="5">
        <f t="shared" si="30"/>
        <v>-9.0883825423772047E-3</v>
      </c>
      <c r="AS166" s="5">
        <f t="shared" si="31"/>
        <v>-2.449515024272958E-2</v>
      </c>
      <c r="AT166" s="5">
        <f t="shared" si="32"/>
        <v>-4.5866079567235762E-2</v>
      </c>
    </row>
    <row r="167" spans="1:46" x14ac:dyDescent="0.25">
      <c r="A167" s="3" t="s">
        <v>785</v>
      </c>
      <c r="B167" s="3">
        <v>0</v>
      </c>
      <c r="C167" s="3">
        <v>97.5</v>
      </c>
      <c r="D167" s="3">
        <v>0.34790377846933823</v>
      </c>
      <c r="E167" s="3">
        <v>5.1482360469073778E-3</v>
      </c>
      <c r="F167" s="3">
        <v>97.5</v>
      </c>
      <c r="G167" s="3" t="s">
        <v>786</v>
      </c>
      <c r="H167" s="3">
        <v>0</v>
      </c>
      <c r="I167" s="3">
        <v>97.5</v>
      </c>
      <c r="J167" s="3">
        <v>0.45309117192112947</v>
      </c>
      <c r="K167" s="3">
        <v>-0.96994813140510783</v>
      </c>
      <c r="L167" s="4">
        <v>45275.5</v>
      </c>
      <c r="M167">
        <v>66.760000000000005</v>
      </c>
      <c r="N167">
        <v>67.819999999999993</v>
      </c>
      <c r="O167">
        <v>66.209999999999994</v>
      </c>
      <c r="P167">
        <v>67.569999999999993</v>
      </c>
      <c r="Q167">
        <v>16621</v>
      </c>
      <c r="R167">
        <v>240613</v>
      </c>
      <c r="S167">
        <v>33.895000000000003</v>
      </c>
      <c r="T167">
        <v>34.43</v>
      </c>
      <c r="U167">
        <v>33.01</v>
      </c>
      <c r="V167">
        <v>33.189</v>
      </c>
      <c r="W167">
        <v>215</v>
      </c>
      <c r="X167">
        <v>2.3218921257571377E-2</v>
      </c>
      <c r="Y167">
        <v>-0.31893263304859804</v>
      </c>
      <c r="Z167">
        <v>-1.2759689082227168</v>
      </c>
      <c r="AB167" s="3">
        <f t="shared" si="22"/>
        <v>4.4591812670797086E-3</v>
      </c>
      <c r="AC167" s="3">
        <f t="shared" si="23"/>
        <v>5.1515697764083559E-3</v>
      </c>
      <c r="AD167" s="3">
        <f t="shared" si="24"/>
        <v>3.1302406842715971E-3</v>
      </c>
      <c r="AE167" s="76">
        <f t="shared" si="25"/>
        <v>4582.6190476190459</v>
      </c>
      <c r="AF167" s="76">
        <f t="shared" si="26"/>
        <v>6266.4940476190459</v>
      </c>
      <c r="AG167" s="76">
        <f t="shared" si="27"/>
        <v>7969.8238516645579</v>
      </c>
      <c r="AN167">
        <v>32458</v>
      </c>
      <c r="AO167" s="5">
        <f t="shared" si="28"/>
        <v>3.3338384603727668E-3</v>
      </c>
      <c r="AP167" s="5">
        <f t="shared" si="29"/>
        <v>0.26744684070369057</v>
      </c>
      <c r="AR167" s="5">
        <f t="shared" si="30"/>
        <v>-1.0033569076054516E-2</v>
      </c>
      <c r="AS167" s="5">
        <f t="shared" si="31"/>
        <v>-2.5199187378731613E-2</v>
      </c>
      <c r="AT167" s="5">
        <f t="shared" si="32"/>
        <v>-4.6295432413925364E-2</v>
      </c>
    </row>
    <row r="168" spans="1:46" x14ac:dyDescent="0.25">
      <c r="A168" s="3" t="s">
        <v>787</v>
      </c>
      <c r="B168" s="3">
        <v>0</v>
      </c>
      <c r="C168" s="3">
        <v>98</v>
      </c>
      <c r="D168" s="3">
        <v>0.35201963038480655</v>
      </c>
      <c r="E168" s="3">
        <v>5.0952937299358243E-3</v>
      </c>
      <c r="F168" s="3">
        <v>98</v>
      </c>
      <c r="G168" s="3" t="s">
        <v>788</v>
      </c>
      <c r="H168" s="3">
        <v>0</v>
      </c>
      <c r="I168" s="3">
        <v>98</v>
      </c>
      <c r="J168" s="3">
        <v>0.45909689323267139</v>
      </c>
      <c r="K168" s="3">
        <v>-0.96990592956602983</v>
      </c>
      <c r="L168" s="4">
        <v>45274.5</v>
      </c>
      <c r="M168">
        <v>69.34</v>
      </c>
      <c r="N168">
        <v>70.16</v>
      </c>
      <c r="O168">
        <v>65.989999999999995</v>
      </c>
      <c r="P168">
        <v>66.73</v>
      </c>
      <c r="Q168">
        <v>28409</v>
      </c>
      <c r="R168">
        <v>245111</v>
      </c>
      <c r="S168">
        <v>36.65</v>
      </c>
      <c r="T168">
        <v>36.65</v>
      </c>
      <c r="U168">
        <v>34.585000000000001</v>
      </c>
      <c r="V168">
        <v>34.85</v>
      </c>
      <c r="W168">
        <v>413</v>
      </c>
      <c r="X168">
        <v>6.1134730977862511E-2</v>
      </c>
      <c r="Y168">
        <v>3.6492255485917537</v>
      </c>
      <c r="Z168">
        <v>0.49195977459365797</v>
      </c>
      <c r="AB168" s="3">
        <f t="shared" si="22"/>
        <v>6.4171125463277981E-3</v>
      </c>
      <c r="AC168" s="3">
        <f t="shared" si="23"/>
        <v>6.4480704568861125E-3</v>
      </c>
      <c r="AD168" s="3">
        <f t="shared" si="24"/>
        <v>4.0884817593017583E-3</v>
      </c>
      <c r="AE168" s="76">
        <f t="shared" si="25"/>
        <v>5445.5238095238092</v>
      </c>
      <c r="AF168" s="76">
        <f t="shared" si="26"/>
        <v>6996.0892857142862</v>
      </c>
      <c r="AG168" s="76">
        <f t="shared" si="27"/>
        <v>8566.4020227560068</v>
      </c>
      <c r="AN168">
        <v>32853</v>
      </c>
      <c r="AO168" s="5">
        <f t="shared" si="28"/>
        <v>-2.841578327444062E-2</v>
      </c>
      <c r="AP168" s="5">
        <f t="shared" si="29"/>
        <v>0.26828911729567517</v>
      </c>
      <c r="AR168" s="5">
        <f t="shared" si="30"/>
        <v>-1.0988816983238059E-2</v>
      </c>
      <c r="AS168" s="5">
        <f t="shared" si="31"/>
        <v>-2.5919253272911724E-2</v>
      </c>
      <c r="AT168" s="5">
        <f t="shared" si="32"/>
        <v>-4.6728608713016817E-2</v>
      </c>
    </row>
    <row r="169" spans="1:46" x14ac:dyDescent="0.25">
      <c r="A169" s="3" t="s">
        <v>789</v>
      </c>
      <c r="B169" s="3">
        <v>0</v>
      </c>
      <c r="C169" s="3">
        <v>98.5</v>
      </c>
      <c r="D169" s="3">
        <v>0.34171974259600163</v>
      </c>
      <c r="E169" s="3">
        <v>3.6037780138172405E-3</v>
      </c>
      <c r="F169" s="3">
        <v>98.5</v>
      </c>
      <c r="G169" s="3" t="s">
        <v>790</v>
      </c>
      <c r="H169" s="3">
        <v>0</v>
      </c>
      <c r="I169" s="3">
        <v>98.5</v>
      </c>
      <c r="J169" s="3">
        <v>0.46209587514587785</v>
      </c>
      <c r="K169" s="3">
        <v>-0.9706960759301837</v>
      </c>
      <c r="L169" s="4">
        <v>45273.5</v>
      </c>
      <c r="M169">
        <v>68.209999999999994</v>
      </c>
      <c r="N169">
        <v>70</v>
      </c>
      <c r="O169">
        <v>67.92</v>
      </c>
      <c r="P169">
        <v>68.88</v>
      </c>
      <c r="Q169">
        <v>34131</v>
      </c>
      <c r="R169">
        <v>249154</v>
      </c>
      <c r="S169">
        <v>34.674999999999997</v>
      </c>
      <c r="T169">
        <v>36.25</v>
      </c>
      <c r="U169">
        <v>34.674999999999997</v>
      </c>
      <c r="V169">
        <v>35.811999999999998</v>
      </c>
      <c r="W169">
        <v>2335</v>
      </c>
      <c r="X169">
        <v>3.0906389301634449E-2</v>
      </c>
      <c r="Y169">
        <v>0.61211408308213089</v>
      </c>
      <c r="Z169">
        <v>1.3596306739042401</v>
      </c>
      <c r="AB169" s="3">
        <f t="shared" si="22"/>
        <v>4.3726712663635092E-3</v>
      </c>
      <c r="AC169" s="3">
        <f t="shared" si="23"/>
        <v>4.5253542756615479E-3</v>
      </c>
      <c r="AD169" s="3">
        <f t="shared" si="24"/>
        <v>2.0329141051670767E-3</v>
      </c>
      <c r="AE169" s="76">
        <f t="shared" si="25"/>
        <v>5210.0952380952403</v>
      </c>
      <c r="AF169" s="76">
        <f t="shared" si="26"/>
        <v>6827.9285714285725</v>
      </c>
      <c r="AG169" s="76">
        <f t="shared" si="27"/>
        <v>8282.667509481671</v>
      </c>
      <c r="AN169">
        <v>34862</v>
      </c>
      <c r="AO169" s="5">
        <f t="shared" si="28"/>
        <v>1.570210856886492E-2</v>
      </c>
      <c r="AP169" s="5">
        <f t="shared" si="29"/>
        <v>0.26692338533249887</v>
      </c>
      <c r="AR169" s="5">
        <f t="shared" si="30"/>
        <v>-1.2063321019644413E-2</v>
      </c>
      <c r="AS169" s="5">
        <f t="shared" si="31"/>
        <v>-2.6735569245571467E-2</v>
      </c>
      <c r="AT169" s="5">
        <f t="shared" si="32"/>
        <v>-4.7243650044088648E-2</v>
      </c>
    </row>
    <row r="170" spans="1:46" x14ac:dyDescent="0.25">
      <c r="A170" s="3" t="s">
        <v>791</v>
      </c>
      <c r="B170" s="3">
        <v>0</v>
      </c>
      <c r="C170" s="3">
        <v>99</v>
      </c>
      <c r="D170" s="3">
        <v>0.34565123898510564</v>
      </c>
      <c r="E170" s="3">
        <v>3.5674823618155223E-3</v>
      </c>
      <c r="F170" s="3">
        <v>99</v>
      </c>
      <c r="G170" s="3" t="s">
        <v>792</v>
      </c>
      <c r="H170" s="3">
        <v>0</v>
      </c>
      <c r="I170" s="3">
        <v>99</v>
      </c>
      <c r="J170" s="3">
        <v>0.46804652313062872</v>
      </c>
      <c r="K170" s="3">
        <v>-0.97064224977870217</v>
      </c>
      <c r="L170" s="4">
        <v>45272.5</v>
      </c>
      <c r="M170">
        <v>67.3</v>
      </c>
      <c r="N170">
        <v>68.63</v>
      </c>
      <c r="O170">
        <v>66.87</v>
      </c>
      <c r="P170">
        <v>68.239999999999995</v>
      </c>
      <c r="Q170">
        <v>30981</v>
      </c>
      <c r="R170">
        <v>263377</v>
      </c>
      <c r="S170">
        <v>36.43</v>
      </c>
      <c r="T170">
        <v>36.534999999999997</v>
      </c>
      <c r="U170">
        <v>34.534999999999997</v>
      </c>
      <c r="V170">
        <v>34.703000000000003</v>
      </c>
      <c r="W170">
        <v>850</v>
      </c>
      <c r="X170">
        <v>2.5727232860692749E-2</v>
      </c>
      <c r="Y170">
        <v>-1.4378341158146157E-2</v>
      </c>
      <c r="Z170">
        <v>0.92730932939822897</v>
      </c>
      <c r="AB170" s="3">
        <f t="shared" si="22"/>
        <v>4.2405045012491732E-3</v>
      </c>
      <c r="AC170" s="3">
        <f t="shared" si="23"/>
        <v>4.7714627215203753E-3</v>
      </c>
      <c r="AD170" s="3">
        <f t="shared" si="24"/>
        <v>2.0993909250076534E-3</v>
      </c>
      <c r="AE170" s="76">
        <f t="shared" si="25"/>
        <v>4788.2380952380954</v>
      </c>
      <c r="AF170" s="76">
        <f t="shared" si="26"/>
        <v>6687.2738095238092</v>
      </c>
      <c r="AG170" s="76">
        <f t="shared" si="27"/>
        <v>7928.1913190054802</v>
      </c>
      <c r="AN170">
        <v>33194</v>
      </c>
      <c r="AO170" s="5">
        <f t="shared" si="28"/>
        <v>9.2061575611228404E-3</v>
      </c>
      <c r="AP170" s="5">
        <f t="shared" si="29"/>
        <v>0.26772955193775894</v>
      </c>
      <c r="AR170" s="5">
        <f t="shared" si="30"/>
        <v>-1.3128438116119745E-2</v>
      </c>
      <c r="AS170" s="5">
        <f t="shared" si="31"/>
        <v>-2.7666866212512409E-2</v>
      </c>
      <c r="AT170" s="5">
        <f t="shared" si="32"/>
        <v>-4.7742926941702568E-2</v>
      </c>
    </row>
    <row r="171" spans="1:46" x14ac:dyDescent="0.25">
      <c r="A171" s="3" t="s">
        <v>793</v>
      </c>
      <c r="B171" s="3">
        <v>0</v>
      </c>
      <c r="C171" s="3">
        <v>99.5</v>
      </c>
      <c r="D171" s="3">
        <v>0.34955719859044071</v>
      </c>
      <c r="E171" s="3">
        <v>3.5321939310945277E-3</v>
      </c>
      <c r="F171" s="3">
        <v>99.5</v>
      </c>
      <c r="G171" s="3" t="s">
        <v>794</v>
      </c>
      <c r="H171" s="3">
        <v>0</v>
      </c>
      <c r="I171" s="3">
        <v>99.5</v>
      </c>
      <c r="J171" s="3">
        <v>0.47396784176796308</v>
      </c>
      <c r="K171" s="3">
        <v>-0.97058792435836538</v>
      </c>
      <c r="L171" s="4">
        <v>45271.5</v>
      </c>
      <c r="M171">
        <v>68.41</v>
      </c>
      <c r="N171">
        <v>68.5</v>
      </c>
      <c r="O171">
        <v>66.260000000000005</v>
      </c>
      <c r="P171">
        <v>67.34</v>
      </c>
      <c r="Q171">
        <v>35742</v>
      </c>
      <c r="R171">
        <v>266457</v>
      </c>
      <c r="S171">
        <v>36.344999999999999</v>
      </c>
      <c r="T171">
        <v>37.155000000000001</v>
      </c>
      <c r="U171">
        <v>35.950000000000003</v>
      </c>
      <c r="V171">
        <v>36.118000000000002</v>
      </c>
      <c r="W171">
        <v>1187</v>
      </c>
      <c r="X171">
        <v>3.1999999999999924E-2</v>
      </c>
      <c r="Y171">
        <v>0.71871928175183231</v>
      </c>
      <c r="Z171">
        <v>1.6794984073144743</v>
      </c>
      <c r="AB171" s="3">
        <f t="shared" si="22"/>
        <v>5.4340038722783188E-3</v>
      </c>
      <c r="AC171" s="3">
        <f t="shared" si="23"/>
        <v>5.5314773420965385E-3</v>
      </c>
      <c r="AD171" s="3">
        <f t="shared" si="24"/>
        <v>2.5003119939774471E-3</v>
      </c>
      <c r="AE171" s="76">
        <f t="shared" si="25"/>
        <v>4193.5238095238128</v>
      </c>
      <c r="AF171" s="76">
        <f t="shared" si="26"/>
        <v>6419.0714285714312</v>
      </c>
      <c r="AG171" s="76">
        <f t="shared" si="27"/>
        <v>7518.48798988622</v>
      </c>
      <c r="AN171">
        <v>37445</v>
      </c>
      <c r="AO171" s="5">
        <f t="shared" si="28"/>
        <v>-3.1994156318480606E-2</v>
      </c>
      <c r="AP171" s="5">
        <f t="shared" si="29"/>
        <v>0.26754744323773128</v>
      </c>
      <c r="AR171" s="5">
        <f t="shared" si="30"/>
        <v>-1.4202020582605279E-2</v>
      </c>
      <c r="AS171" s="5">
        <f t="shared" si="31"/>
        <v>-2.8651097204515863E-2</v>
      </c>
      <c r="AT171" s="5">
        <f t="shared" si="32"/>
        <v>-4.8264886730310375E-2</v>
      </c>
    </row>
    <row r="172" spans="1:46" x14ac:dyDescent="0.25">
      <c r="A172" s="3" t="s">
        <v>795</v>
      </c>
      <c r="B172" s="3">
        <v>9300</v>
      </c>
      <c r="C172" s="3">
        <v>100</v>
      </c>
      <c r="D172" s="3">
        <v>0.35343797708896013</v>
      </c>
      <c r="E172" s="3">
        <v>3.4978701145199306E-3</v>
      </c>
      <c r="F172" s="3">
        <v>100</v>
      </c>
      <c r="G172" s="3" t="s">
        <v>796</v>
      </c>
      <c r="H172" s="3">
        <v>0</v>
      </c>
      <c r="I172" s="3">
        <v>100</v>
      </c>
      <c r="J172" s="3">
        <v>0.47986013340109968</v>
      </c>
      <c r="K172" s="3">
        <v>-0.9705331262797019</v>
      </c>
      <c r="L172" s="4">
        <v>45268.5</v>
      </c>
      <c r="M172">
        <v>70</v>
      </c>
      <c r="N172">
        <v>70.760000000000005</v>
      </c>
      <c r="O172">
        <v>68.45</v>
      </c>
      <c r="P172">
        <v>68.62</v>
      </c>
      <c r="Q172">
        <v>27769</v>
      </c>
      <c r="R172">
        <v>272838</v>
      </c>
      <c r="S172">
        <v>41.274999999999999</v>
      </c>
      <c r="T172">
        <v>41.65</v>
      </c>
      <c r="U172">
        <v>38.594999999999999</v>
      </c>
      <c r="V172">
        <v>38.597999999999999</v>
      </c>
      <c r="W172">
        <v>143</v>
      </c>
      <c r="X172">
        <v>3.3546325878594282E-2</v>
      </c>
      <c r="Y172">
        <v>0.91920968878182185</v>
      </c>
      <c r="Z172">
        <v>0.51371690896729549</v>
      </c>
      <c r="AB172" s="3">
        <f t="shared" si="22"/>
        <v>6.0522805474159079E-3</v>
      </c>
      <c r="AC172" s="3">
        <f t="shared" si="23"/>
        <v>5.8847506041793812E-3</v>
      </c>
      <c r="AD172" s="3">
        <f t="shared" si="24"/>
        <v>2.6332971070519469E-3</v>
      </c>
      <c r="AE172" s="76">
        <f t="shared" si="25"/>
        <v>3668</v>
      </c>
      <c r="AF172" s="76">
        <f t="shared" si="26"/>
        <v>5766.9166666666679</v>
      </c>
      <c r="AG172" s="76">
        <f t="shared" si="27"/>
        <v>6861.0105351875245</v>
      </c>
      <c r="AN172">
        <v>37703</v>
      </c>
      <c r="AO172" s="5">
        <f t="shared" si="28"/>
        <v>-2.9133284777859117E-3</v>
      </c>
      <c r="AP172" s="5">
        <f t="shared" si="29"/>
        <v>0.26590824809810021</v>
      </c>
      <c r="AR172" s="5">
        <f t="shared" si="30"/>
        <v>-1.5207223369869738E-2</v>
      </c>
      <c r="AS172" s="5">
        <f t="shared" si="31"/>
        <v>-2.957667785559781E-2</v>
      </c>
      <c r="AT172" s="5">
        <f t="shared" si="32"/>
        <v>-4.8738694898320833E-2</v>
      </c>
    </row>
    <row r="173" spans="1:46" x14ac:dyDescent="0.25">
      <c r="A173" s="3" t="s">
        <v>797</v>
      </c>
      <c r="B173" s="3">
        <v>0</v>
      </c>
      <c r="C173" s="3">
        <v>100.5</v>
      </c>
      <c r="D173" s="3">
        <v>0.35729392162074597</v>
      </c>
      <c r="E173" s="3">
        <v>3.4644707055529675E-3</v>
      </c>
      <c r="F173" s="3">
        <v>100.5</v>
      </c>
      <c r="G173" s="3" t="s">
        <v>798</v>
      </c>
      <c r="H173" s="3">
        <v>0</v>
      </c>
      <c r="I173" s="3">
        <v>100.5</v>
      </c>
      <c r="J173" s="3">
        <v>0.48572369558682355</v>
      </c>
      <c r="K173" s="3">
        <v>-0.97047788055288176</v>
      </c>
      <c r="L173" s="4">
        <v>45267.5</v>
      </c>
      <c r="M173">
        <v>68.86</v>
      </c>
      <c r="N173">
        <v>70.19</v>
      </c>
      <c r="O173">
        <v>68.650000000000006</v>
      </c>
      <c r="P173">
        <v>69.97</v>
      </c>
      <c r="Q173">
        <v>29921</v>
      </c>
      <c r="R173">
        <v>280249</v>
      </c>
      <c r="S173">
        <v>39.799999999999997</v>
      </c>
      <c r="T173">
        <v>40.884999999999998</v>
      </c>
      <c r="U173">
        <v>39.61</v>
      </c>
      <c r="V173">
        <v>39.968000000000004</v>
      </c>
      <c r="W173">
        <v>82</v>
      </c>
      <c r="X173">
        <v>2.2318840579710029E-2</v>
      </c>
      <c r="Y173">
        <v>-0.35891976912021045</v>
      </c>
      <c r="Z173">
        <v>0.86537377905452528</v>
      </c>
      <c r="AB173" s="3">
        <f t="shared" si="22"/>
        <v>6.6744799635897814E-3</v>
      </c>
      <c r="AC173" s="3">
        <f t="shared" si="23"/>
        <v>5.8692020528268371E-3</v>
      </c>
      <c r="AD173" s="3">
        <f t="shared" si="24"/>
        <v>2.3165185522110304E-3</v>
      </c>
      <c r="AE173" s="76">
        <f t="shared" si="25"/>
        <v>3557.7619047619046</v>
      </c>
      <c r="AF173" s="76">
        <f t="shared" si="26"/>
        <v>5900.2261904761908</v>
      </c>
      <c r="AG173" s="76">
        <f t="shared" si="27"/>
        <v>6902.7859249894645</v>
      </c>
      <c r="AN173">
        <v>40447</v>
      </c>
      <c r="AO173" s="5">
        <f t="shared" si="28"/>
        <v>4.5361428153351223E-3</v>
      </c>
      <c r="AP173" s="5">
        <f t="shared" si="29"/>
        <v>0.26606469608449212</v>
      </c>
      <c r="AR173" s="5">
        <f t="shared" si="30"/>
        <v>-1.594964811207622E-2</v>
      </c>
      <c r="AS173" s="5">
        <f t="shared" si="31"/>
        <v>-3.0278327095636715E-2</v>
      </c>
      <c r="AT173" s="5">
        <f t="shared" si="32"/>
        <v>-4.9010646767006283E-2</v>
      </c>
    </row>
    <row r="174" spans="1:46" x14ac:dyDescent="0.25">
      <c r="A174" s="3" t="s">
        <v>799</v>
      </c>
      <c r="B174" s="3">
        <v>0</v>
      </c>
      <c r="C174" s="3">
        <v>101</v>
      </c>
      <c r="D174" s="3">
        <v>0.36112537110972304</v>
      </c>
      <c r="E174" s="3">
        <v>3.4319577302495585E-3</v>
      </c>
      <c r="F174" s="3">
        <v>101</v>
      </c>
      <c r="G174" s="3" t="s">
        <v>800</v>
      </c>
      <c r="H174" s="3">
        <v>0</v>
      </c>
      <c r="I174" s="3">
        <v>101</v>
      </c>
      <c r="J174" s="3">
        <v>0.49155882120395866</v>
      </c>
      <c r="K174" s="3">
        <v>-0.97042221070398393</v>
      </c>
      <c r="L174" s="4">
        <v>45266.5</v>
      </c>
      <c r="M174">
        <v>69</v>
      </c>
      <c r="N174">
        <v>70</v>
      </c>
      <c r="O174">
        <v>68.34</v>
      </c>
      <c r="P174">
        <v>68.959999999999994</v>
      </c>
      <c r="Q174">
        <v>31656</v>
      </c>
      <c r="R174">
        <v>285145</v>
      </c>
      <c r="S174">
        <v>38.994999999999997</v>
      </c>
      <c r="T174">
        <v>39.78</v>
      </c>
      <c r="U174">
        <v>38.92</v>
      </c>
      <c r="V174">
        <v>39.313000000000002</v>
      </c>
      <c r="W174">
        <v>1323</v>
      </c>
      <c r="X174">
        <v>2.3509417929471699E-2</v>
      </c>
      <c r="Y174">
        <v>-0.21711330740061205</v>
      </c>
      <c r="Z174">
        <v>1.1587210726779866</v>
      </c>
      <c r="AB174" s="3">
        <f t="shared" si="22"/>
        <v>5.5696367147421884E-3</v>
      </c>
      <c r="AC174" s="3">
        <f t="shared" si="23"/>
        <v>5.6496729078375982E-3</v>
      </c>
      <c r="AD174" s="3">
        <f t="shared" si="24"/>
        <v>2.2231679991945447E-3</v>
      </c>
      <c r="AE174" s="76">
        <f t="shared" si="25"/>
        <v>2915.6666666666642</v>
      </c>
      <c r="AF174" s="76">
        <f t="shared" si="26"/>
        <v>5632.7321428571413</v>
      </c>
      <c r="AG174" s="76">
        <f t="shared" si="27"/>
        <v>6640.8128950695318</v>
      </c>
      <c r="AN174">
        <v>32342</v>
      </c>
      <c r="AO174" s="5">
        <f t="shared" si="28"/>
        <v>-1.0232422160501853E-3</v>
      </c>
      <c r="AP174" s="5">
        <f t="shared" si="29"/>
        <v>0.26661785774440622</v>
      </c>
      <c r="AR174" s="5">
        <f t="shared" si="30"/>
        <v>-1.6536692154989319E-2</v>
      </c>
      <c r="AS174" s="5">
        <f t="shared" si="31"/>
        <v>-3.08943923264548E-2</v>
      </c>
      <c r="AT174" s="5">
        <f t="shared" si="32"/>
        <v>-4.9248156950097099E-2</v>
      </c>
    </row>
    <row r="175" spans="1:46" x14ac:dyDescent="0.25">
      <c r="A175" s="3" t="s">
        <v>801</v>
      </c>
      <c r="B175" s="3">
        <v>0</v>
      </c>
      <c r="C175" s="3">
        <v>101.5</v>
      </c>
      <c r="D175" s="3">
        <v>0.34228973365729243</v>
      </c>
      <c r="E175" s="3">
        <v>1.8958602555131689E-3</v>
      </c>
      <c r="F175" s="3">
        <v>101.5</v>
      </c>
      <c r="G175" s="3" t="s">
        <v>802</v>
      </c>
      <c r="H175" s="3">
        <v>0</v>
      </c>
      <c r="I175" s="3">
        <v>101.5</v>
      </c>
      <c r="J175" s="3">
        <v>0.4943429157083612</v>
      </c>
      <c r="K175" s="3">
        <v>-0.97115291047471675</v>
      </c>
      <c r="L175" s="4">
        <v>45265.5</v>
      </c>
      <c r="M175">
        <v>70.61</v>
      </c>
      <c r="N175">
        <v>70.88</v>
      </c>
      <c r="O175">
        <v>68.41</v>
      </c>
      <c r="P175">
        <v>68.91</v>
      </c>
      <c r="Q175">
        <v>37340</v>
      </c>
      <c r="R175">
        <v>291063</v>
      </c>
      <c r="S175">
        <v>39.454999999999998</v>
      </c>
      <c r="T175">
        <v>39.92</v>
      </c>
      <c r="U175">
        <v>37.94</v>
      </c>
      <c r="V175">
        <v>38.195</v>
      </c>
      <c r="W175">
        <v>2351</v>
      </c>
      <c r="X175">
        <v>3.4281748785565565E-2</v>
      </c>
      <c r="Y175">
        <v>1.0121010645667545</v>
      </c>
      <c r="Z175">
        <v>2.0754771965618271</v>
      </c>
      <c r="AB175" s="3">
        <f t="shared" si="22"/>
        <v>5.306243232149694E-3</v>
      </c>
      <c r="AC175" s="3">
        <f t="shared" si="23"/>
        <v>5.5525220601992178E-3</v>
      </c>
      <c r="AD175" s="3">
        <f t="shared" si="24"/>
        <v>2.01372423005583E-3</v>
      </c>
      <c r="AE175" s="76">
        <f t="shared" si="25"/>
        <v>2282.9523809523816</v>
      </c>
      <c r="AF175" s="76">
        <f t="shared" si="26"/>
        <v>5695.6845238095229</v>
      </c>
      <c r="AG175" s="76">
        <f t="shared" si="27"/>
        <v>6435.6603455541517</v>
      </c>
      <c r="AN175">
        <v>24031</v>
      </c>
      <c r="AO175" s="5">
        <f t="shared" si="28"/>
        <v>-2.4664955802680411E-2</v>
      </c>
      <c r="AP175" s="5">
        <f t="shared" si="29"/>
        <v>0.26662434598057677</v>
      </c>
      <c r="AR175" s="5">
        <f t="shared" si="30"/>
        <v>-1.6854104725393892E-2</v>
      </c>
      <c r="AS175" s="5">
        <f t="shared" si="31"/>
        <v>-3.1362485456439215E-2</v>
      </c>
      <c r="AT175" s="5">
        <f t="shared" si="32"/>
        <v>-4.9353146315079865E-2</v>
      </c>
    </row>
    <row r="176" spans="1:46" x14ac:dyDescent="0.25">
      <c r="A176" s="3" t="s">
        <v>803</v>
      </c>
      <c r="B176" s="3">
        <v>0</v>
      </c>
      <c r="C176" s="3">
        <v>102</v>
      </c>
      <c r="D176" s="3">
        <v>0.34588362494505387</v>
      </c>
      <c r="E176" s="3">
        <v>1.8782546057143441E-3</v>
      </c>
      <c r="F176" s="3">
        <v>102</v>
      </c>
      <c r="G176" s="3" t="s">
        <v>804</v>
      </c>
      <c r="H176" s="3">
        <v>0</v>
      </c>
      <c r="I176" s="3">
        <v>102</v>
      </c>
      <c r="J176" s="3">
        <v>0.50012796076485455</v>
      </c>
      <c r="K176" s="3">
        <v>-0.97108788595446416</v>
      </c>
      <c r="L176" s="4">
        <v>45264.5</v>
      </c>
      <c r="M176">
        <v>72.05</v>
      </c>
      <c r="N176">
        <v>72.08</v>
      </c>
      <c r="O176">
        <v>70.14</v>
      </c>
      <c r="P176">
        <v>70.430000000000007</v>
      </c>
      <c r="Q176">
        <v>40967</v>
      </c>
      <c r="R176">
        <v>299357</v>
      </c>
      <c r="S176">
        <v>41.814999999999998</v>
      </c>
      <c r="T176">
        <v>41.9</v>
      </c>
      <c r="U176">
        <v>39.905000000000001</v>
      </c>
      <c r="V176">
        <v>40.103999999999999</v>
      </c>
      <c r="W176">
        <v>852</v>
      </c>
      <c r="X176">
        <v>2.7405000706314415E-2</v>
      </c>
      <c r="Y176">
        <v>0.26470938426301283</v>
      </c>
      <c r="Z176">
        <v>2.7528629979708725</v>
      </c>
      <c r="AB176" s="3">
        <f t="shared" si="22"/>
        <v>5.2242183385822379E-3</v>
      </c>
      <c r="AC176" s="3">
        <f t="shared" si="23"/>
        <v>5.1190972235267591E-3</v>
      </c>
      <c r="AD176" s="3">
        <f t="shared" si="24"/>
        <v>1.4450984696075184E-3</v>
      </c>
      <c r="AE176" s="76">
        <f t="shared" si="25"/>
        <v>1863.4285714285725</v>
      </c>
      <c r="AF176" s="76">
        <f t="shared" si="26"/>
        <v>5116.7142857142862</v>
      </c>
      <c r="AG176" s="76">
        <f t="shared" si="27"/>
        <v>5678.2604298356528</v>
      </c>
      <c r="AN176">
        <v>28063</v>
      </c>
      <c r="AO176" s="5">
        <f t="shared" si="28"/>
        <v>-6.0932407538613099E-3</v>
      </c>
      <c r="AP176" s="5">
        <f t="shared" si="29"/>
        <v>0.26568450226954149</v>
      </c>
      <c r="AR176" s="5">
        <f t="shared" si="30"/>
        <v>-1.7256353734471708E-2</v>
      </c>
      <c r="AS176" s="5">
        <f t="shared" si="31"/>
        <v>-3.1906844418409797E-2</v>
      </c>
      <c r="AT176" s="5">
        <f t="shared" si="32"/>
        <v>-4.9472950787667891E-2</v>
      </c>
    </row>
    <row r="177" spans="1:46" x14ac:dyDescent="0.25">
      <c r="A177" s="3" t="s">
        <v>805</v>
      </c>
      <c r="B177" s="3">
        <v>0</v>
      </c>
      <c r="C177" s="3">
        <v>102.5</v>
      </c>
      <c r="D177" s="3">
        <v>0.34945555452314064</v>
      </c>
      <c r="E177" s="3">
        <v>1.8611005329353789E-3</v>
      </c>
      <c r="F177" s="3">
        <v>102.5</v>
      </c>
      <c r="G177" s="3" t="s">
        <v>806</v>
      </c>
      <c r="H177" s="3">
        <v>0</v>
      </c>
      <c r="I177" s="3">
        <v>102.5</v>
      </c>
      <c r="J177" s="3">
        <v>0.50588541823378141</v>
      </c>
      <c r="K177" s="3">
        <v>-0.97102273238785186</v>
      </c>
      <c r="L177" s="4">
        <v>45261.5</v>
      </c>
      <c r="M177">
        <v>70.790000000000006</v>
      </c>
      <c r="N177">
        <v>73.17</v>
      </c>
      <c r="O177">
        <v>70.569999999999993</v>
      </c>
      <c r="P177">
        <v>72.45</v>
      </c>
      <c r="Q177">
        <v>26668</v>
      </c>
      <c r="R177">
        <v>304826</v>
      </c>
      <c r="S177">
        <v>42.795000000000002</v>
      </c>
      <c r="T177">
        <v>44.12</v>
      </c>
      <c r="U177">
        <v>41.744999999999997</v>
      </c>
      <c r="V177">
        <v>43.496000000000002</v>
      </c>
      <c r="W177">
        <v>1009</v>
      </c>
      <c r="X177">
        <v>3.6853295535081626E-2</v>
      </c>
      <c r="Y177">
        <v>1.3433888799266522</v>
      </c>
      <c r="Z177">
        <v>0.57092140739203068</v>
      </c>
      <c r="AB177" s="3">
        <f t="shared" si="22"/>
        <v>5.9062690937012642E-3</v>
      </c>
      <c r="AC177" s="3">
        <f t="shared" si="23"/>
        <v>5.5825000363927367E-3</v>
      </c>
      <c r="AD177" s="3">
        <f t="shared" si="24"/>
        <v>1.7301879767438293E-3</v>
      </c>
      <c r="AE177" s="76">
        <f t="shared" si="25"/>
        <v>785.1428571428587</v>
      </c>
      <c r="AF177" s="76">
        <f t="shared" si="26"/>
        <v>4270.4821428571413</v>
      </c>
      <c r="AG177" s="76">
        <f t="shared" si="27"/>
        <v>4684.2212389380547</v>
      </c>
      <c r="AN177">
        <v>30992</v>
      </c>
      <c r="AO177" s="5">
        <f t="shared" si="28"/>
        <v>1.9877892943346068E-3</v>
      </c>
      <c r="AP177" s="5">
        <f t="shared" si="29"/>
        <v>0.26588013817591782</v>
      </c>
      <c r="AR177" s="5">
        <f t="shared" si="30"/>
        <v>-1.7743550929762486E-2</v>
      </c>
      <c r="AS177" s="5">
        <f t="shared" si="31"/>
        <v>-3.2467774684734718E-2</v>
      </c>
      <c r="AT177" s="5">
        <f t="shared" si="32"/>
        <v>-4.9577311656517187E-2</v>
      </c>
    </row>
    <row r="178" spans="1:46" x14ac:dyDescent="0.25">
      <c r="A178" s="3" t="s">
        <v>807</v>
      </c>
      <c r="B178" s="3">
        <v>0</v>
      </c>
      <c r="C178" s="3">
        <v>103</v>
      </c>
      <c r="D178" s="3">
        <v>0.35300580506689139</v>
      </c>
      <c r="E178" s="3">
        <v>1.8443803840066998E-3</v>
      </c>
      <c r="F178" s="3">
        <v>103</v>
      </c>
      <c r="G178" s="3" t="s">
        <v>808</v>
      </c>
      <c r="H178" s="3">
        <v>0</v>
      </c>
      <c r="I178" s="3">
        <v>103</v>
      </c>
      <c r="J178" s="3">
        <v>0.51161556182777101</v>
      </c>
      <c r="K178" s="3">
        <v>-0.97095745889810758</v>
      </c>
      <c r="L178" s="4">
        <v>45260.5</v>
      </c>
      <c r="M178">
        <v>70.55</v>
      </c>
      <c r="N178">
        <v>71.73</v>
      </c>
      <c r="O178">
        <v>70.430000000000007</v>
      </c>
      <c r="P178">
        <v>70.55</v>
      </c>
      <c r="Q178">
        <v>35966</v>
      </c>
      <c r="R178">
        <v>305946</v>
      </c>
      <c r="S178">
        <v>40.44</v>
      </c>
      <c r="T178">
        <v>43.03</v>
      </c>
      <c r="U178">
        <v>40.375</v>
      </c>
      <c r="V178">
        <v>42.091000000000001</v>
      </c>
      <c r="W178">
        <v>1661</v>
      </c>
      <c r="X178">
        <v>1.7926089354660744E-2</v>
      </c>
      <c r="Y178">
        <v>-0.76840832629752709</v>
      </c>
      <c r="Z178">
        <v>2.1151329410748057</v>
      </c>
      <c r="AB178" s="3">
        <f t="shared" si="22"/>
        <v>5.9728684932764016E-3</v>
      </c>
      <c r="AC178" s="3">
        <f t="shared" si="23"/>
        <v>5.8556720689683164E-3</v>
      </c>
      <c r="AD178" s="3">
        <f t="shared" si="24"/>
        <v>1.8866881695724959E-3</v>
      </c>
      <c r="AE178" s="76">
        <f t="shared" si="25"/>
        <v>2000.7619047619046</v>
      </c>
      <c r="AF178" s="76">
        <f t="shared" si="26"/>
        <v>5530.7202380952367</v>
      </c>
      <c r="AG178" s="76">
        <f t="shared" si="27"/>
        <v>5831.7678044669192</v>
      </c>
      <c r="AN178">
        <v>36801</v>
      </c>
      <c r="AO178" s="5">
        <f t="shared" si="28"/>
        <v>-1.7009213323882402E-3</v>
      </c>
      <c r="AP178" s="5">
        <f t="shared" si="29"/>
        <v>0.26597015777991273</v>
      </c>
      <c r="AR178" s="5">
        <f t="shared" si="30"/>
        <v>-1.8257900895909174E-2</v>
      </c>
      <c r="AS178" s="5">
        <f t="shared" si="31"/>
        <v>-3.3037530000955495E-2</v>
      </c>
      <c r="AT178" s="5">
        <f t="shared" si="32"/>
        <v>-4.9682512210996121E-2</v>
      </c>
    </row>
    <row r="179" spans="1:46" x14ac:dyDescent="0.25">
      <c r="A179" s="3" t="s">
        <v>809</v>
      </c>
      <c r="B179" s="3">
        <v>0</v>
      </c>
      <c r="C179" s="3">
        <v>103.5</v>
      </c>
      <c r="D179" s="3">
        <v>0.35653465312476829</v>
      </c>
      <c r="E179" s="3">
        <v>1.8280774249123397E-3</v>
      </c>
      <c r="F179" s="3">
        <v>103.5</v>
      </c>
      <c r="G179" s="3" t="s">
        <v>810</v>
      </c>
      <c r="H179" s="3">
        <v>0</v>
      </c>
      <c r="I179" s="3">
        <v>103.5</v>
      </c>
      <c r="J179" s="3">
        <v>0.51731866117245762</v>
      </c>
      <c r="K179" s="3">
        <v>-0.97089207408050004</v>
      </c>
      <c r="L179" s="4">
        <v>45259.5</v>
      </c>
      <c r="M179">
        <v>72.52</v>
      </c>
      <c r="N179">
        <v>73.25</v>
      </c>
      <c r="O179">
        <v>70.55</v>
      </c>
      <c r="P179">
        <v>70.78</v>
      </c>
      <c r="Q179">
        <v>31430</v>
      </c>
      <c r="R179">
        <v>310122</v>
      </c>
      <c r="S179">
        <v>41.274999999999999</v>
      </c>
      <c r="T179">
        <v>41.274999999999999</v>
      </c>
      <c r="U179">
        <v>39.57</v>
      </c>
      <c r="V179">
        <v>40.36</v>
      </c>
      <c r="W179">
        <v>219</v>
      </c>
      <c r="X179">
        <v>3.6966046002190618E-2</v>
      </c>
      <c r="Y179">
        <v>1.401640136525345</v>
      </c>
      <c r="Z179">
        <v>1.4613715866424646</v>
      </c>
      <c r="AB179" s="3">
        <f t="shared" si="22"/>
        <v>6.5105628344196351E-3</v>
      </c>
      <c r="AC179" s="3">
        <f t="shared" si="23"/>
        <v>6.1335593537447698E-3</v>
      </c>
      <c r="AD179" s="3">
        <f t="shared" si="24"/>
        <v>2.1960463467367193E-3</v>
      </c>
      <c r="AE179" s="76">
        <f t="shared" si="25"/>
        <v>1207.1904761904734</v>
      </c>
      <c r="AF179" s="76">
        <f t="shared" si="26"/>
        <v>5085.5</v>
      </c>
      <c r="AG179" s="76">
        <f t="shared" si="27"/>
        <v>5276.4146649810355</v>
      </c>
      <c r="AN179">
        <v>39770</v>
      </c>
      <c r="AO179" s="5">
        <f t="shared" si="28"/>
        <v>-2.027496181085971E-2</v>
      </c>
      <c r="AP179" s="5">
        <f t="shared" si="29"/>
        <v>0.26864013876776899</v>
      </c>
      <c r="AR179" s="5">
        <f t="shared" si="30"/>
        <v>-1.8908688134489648E-2</v>
      </c>
      <c r="AS179" s="5">
        <f t="shared" si="31"/>
        <v>-3.3702582094034483E-2</v>
      </c>
      <c r="AT179" s="5">
        <f t="shared" si="32"/>
        <v>-4.9856958033444532E-2</v>
      </c>
    </row>
    <row r="180" spans="1:46" x14ac:dyDescent="0.25">
      <c r="A180" s="3" t="s">
        <v>811</v>
      </c>
      <c r="B180" s="3">
        <v>0</v>
      </c>
      <c r="C180" s="3">
        <v>104</v>
      </c>
      <c r="D180" s="3">
        <v>0.36004236932294892</v>
      </c>
      <c r="E180" s="3">
        <v>1.8121757813198301E-3</v>
      </c>
      <c r="F180" s="3">
        <v>104</v>
      </c>
      <c r="G180" s="3" t="s">
        <v>812</v>
      </c>
      <c r="H180" s="3">
        <v>0</v>
      </c>
      <c r="I180" s="3">
        <v>104</v>
      </c>
      <c r="J180" s="3">
        <v>0.5229949818888181</v>
      </c>
      <c r="K180" s="3">
        <v>-0.97082658603810013</v>
      </c>
      <c r="L180" s="4">
        <v>45258.5</v>
      </c>
      <c r="M180">
        <v>73.040000000000006</v>
      </c>
      <c r="N180">
        <v>73.709999999999994</v>
      </c>
      <c r="O180">
        <v>72.010000000000005</v>
      </c>
      <c r="P180">
        <v>72.5</v>
      </c>
      <c r="Q180">
        <v>37641</v>
      </c>
      <c r="R180">
        <v>314934</v>
      </c>
      <c r="S180">
        <v>44.094999999999999</v>
      </c>
      <c r="T180">
        <v>44.094999999999999</v>
      </c>
      <c r="U180">
        <v>42.07</v>
      </c>
      <c r="V180">
        <v>42.774000000000001</v>
      </c>
      <c r="W180">
        <v>4863</v>
      </c>
      <c r="X180">
        <v>2.2262964903090474E-2</v>
      </c>
      <c r="Y180">
        <v>-0.26058921722555495</v>
      </c>
      <c r="Z180">
        <v>2.5613539489223016</v>
      </c>
      <c r="AB180" s="3">
        <f t="shared" si="22"/>
        <v>5.7603965091018484E-3</v>
      </c>
      <c r="AC180" s="3">
        <f t="shared" si="23"/>
        <v>5.0312472909797082E-3</v>
      </c>
      <c r="AD180" s="3">
        <f t="shared" si="24"/>
        <v>1.1353759614753343E-3</v>
      </c>
      <c r="AE180" s="76">
        <f t="shared" si="25"/>
        <v>764</v>
      </c>
      <c r="AF180" s="76">
        <f t="shared" si="26"/>
        <v>4962.7380952380954</v>
      </c>
      <c r="AG180" s="76">
        <f t="shared" si="27"/>
        <v>4965.7311420143269</v>
      </c>
      <c r="AN180">
        <v>29533</v>
      </c>
      <c r="AO180" s="5">
        <f t="shared" si="28"/>
        <v>-1.0715757659019111E-2</v>
      </c>
      <c r="AP180" s="5">
        <f t="shared" si="29"/>
        <v>0.27021056176496933</v>
      </c>
      <c r="AR180" s="5">
        <f t="shared" si="30"/>
        <v>-1.9689308764673952E-2</v>
      </c>
      <c r="AS180" s="5">
        <f t="shared" si="31"/>
        <v>-3.4499172784427268E-2</v>
      </c>
      <c r="AT180" s="5">
        <f t="shared" si="32"/>
        <v>-5.0166201880482431E-2</v>
      </c>
    </row>
    <row r="181" spans="1:46" x14ac:dyDescent="0.25">
      <c r="A181" s="3" t="s">
        <v>813</v>
      </c>
      <c r="B181" s="3">
        <v>0</v>
      </c>
      <c r="C181" s="3">
        <v>104.5</v>
      </c>
      <c r="D181" s="3">
        <v>0.36352921856020087</v>
      </c>
      <c r="E181" s="3">
        <v>1.7966603836915163E-3</v>
      </c>
      <c r="F181" s="3">
        <v>104.5</v>
      </c>
      <c r="G181" s="3" t="s">
        <v>814</v>
      </c>
      <c r="H181" s="3">
        <v>0</v>
      </c>
      <c r="I181" s="3">
        <v>104.5</v>
      </c>
      <c r="J181" s="3">
        <v>0.52864478567329487</v>
      </c>
      <c r="K181" s="3">
        <v>-0.97076100241471441</v>
      </c>
      <c r="L181" s="4">
        <v>45257.5</v>
      </c>
      <c r="M181">
        <v>76.36</v>
      </c>
      <c r="N181">
        <v>76.5</v>
      </c>
      <c r="O181">
        <v>72.790000000000006</v>
      </c>
      <c r="P181">
        <v>73.069999999999993</v>
      </c>
      <c r="Q181">
        <v>33383</v>
      </c>
      <c r="R181">
        <v>327759</v>
      </c>
      <c r="S181">
        <v>45.045000000000002</v>
      </c>
      <c r="T181">
        <v>45.045000000000002</v>
      </c>
      <c r="U181">
        <v>43.74</v>
      </c>
      <c r="V181">
        <v>43.984000000000002</v>
      </c>
      <c r="W181">
        <v>1244</v>
      </c>
      <c r="X181">
        <v>4.8420777864787178E-2</v>
      </c>
      <c r="Y181">
        <v>2.7696353589364784</v>
      </c>
      <c r="Z181">
        <v>1.9406438558614494</v>
      </c>
      <c r="AB181" s="3">
        <f t="shared" si="22"/>
        <v>6.6430715400905768E-3</v>
      </c>
      <c r="AC181" s="3">
        <f t="shared" si="23"/>
        <v>5.4239495238916913E-3</v>
      </c>
      <c r="AD181" s="3">
        <f t="shared" si="24"/>
        <v>1.6888929283361449E-3</v>
      </c>
      <c r="AE181" s="76">
        <f t="shared" si="25"/>
        <v>933.61904761904952</v>
      </c>
      <c r="AF181" s="76">
        <f t="shared" si="26"/>
        <v>4761.3571428571449</v>
      </c>
      <c r="AG181" s="76">
        <f t="shared" si="27"/>
        <v>4588.8798988622002</v>
      </c>
      <c r="AN181">
        <v>21520</v>
      </c>
      <c r="AO181" s="5">
        <f t="shared" si="28"/>
        <v>-4.2236842105263073E-2</v>
      </c>
      <c r="AP181" s="5">
        <f t="shared" si="29"/>
        <v>0.27043881867591696</v>
      </c>
      <c r="AR181" s="5">
        <f t="shared" si="30"/>
        <v>-2.0378183895380708E-2</v>
      </c>
      <c r="AS181" s="5">
        <f t="shared" si="31"/>
        <v>-3.5251562871495445E-2</v>
      </c>
      <c r="AT181" s="5">
        <f t="shared" si="32"/>
        <v>-5.0446394420530838E-2</v>
      </c>
    </row>
    <row r="182" spans="1:46" x14ac:dyDescent="0.25">
      <c r="A182" s="3" t="s">
        <v>815</v>
      </c>
      <c r="B182" s="3">
        <v>3750</v>
      </c>
      <c r="C182" s="3">
        <v>105</v>
      </c>
      <c r="D182" s="3">
        <v>0.36699546019360668</v>
      </c>
      <c r="E182" s="3">
        <v>1.7815169165675551E-3</v>
      </c>
      <c r="F182" s="3">
        <v>105</v>
      </c>
      <c r="G182" s="3" t="s">
        <v>816</v>
      </c>
      <c r="H182" s="3">
        <v>0</v>
      </c>
      <c r="I182" s="3">
        <v>105</v>
      </c>
      <c r="J182" s="3">
        <v>0.5342683303757837</v>
      </c>
      <c r="K182" s="3">
        <v>-0.97069533042525025</v>
      </c>
      <c r="L182" s="4">
        <v>45254.5</v>
      </c>
      <c r="M182">
        <v>76.62</v>
      </c>
      <c r="N182">
        <v>77.19</v>
      </c>
      <c r="O182">
        <v>76</v>
      </c>
      <c r="P182">
        <v>76.459999999999994</v>
      </c>
      <c r="Q182">
        <v>19155</v>
      </c>
      <c r="R182">
        <v>331346</v>
      </c>
      <c r="S182">
        <v>46.25</v>
      </c>
      <c r="T182">
        <v>47.18</v>
      </c>
      <c r="U182">
        <v>44.93</v>
      </c>
      <c r="V182">
        <v>46.656999999999996</v>
      </c>
      <c r="W182">
        <v>355</v>
      </c>
      <c r="X182">
        <v>1.5803452855245655E-2</v>
      </c>
      <c r="Y182">
        <v>-1.0322087664356772</v>
      </c>
      <c r="Z182">
        <v>-0.46128065213626457</v>
      </c>
      <c r="AB182" s="3">
        <f t="shared" si="22"/>
        <v>4.7820348167601813E-3</v>
      </c>
      <c r="AC182" s="3">
        <f t="shared" si="23"/>
        <v>3.4969108368101236E-3</v>
      </c>
      <c r="AD182" s="3">
        <f t="shared" si="24"/>
        <v>-1.0524374186952207E-4</v>
      </c>
      <c r="AE182" s="76">
        <f t="shared" si="25"/>
        <v>469.33333333333212</v>
      </c>
      <c r="AF182" s="76">
        <f t="shared" si="26"/>
        <v>4161.5357142857138</v>
      </c>
      <c r="AG182" s="76">
        <f t="shared" si="27"/>
        <v>3916.2237673830605</v>
      </c>
      <c r="AN182">
        <v>31781</v>
      </c>
      <c r="AO182" s="5">
        <f t="shared" si="28"/>
        <v>1.8084393837910169E-2</v>
      </c>
      <c r="AP182" s="5">
        <f t="shared" si="29"/>
        <v>0.26766301905184375</v>
      </c>
      <c r="AR182" s="5">
        <f t="shared" si="30"/>
        <v>-2.1009706073304157E-2</v>
      </c>
      <c r="AS182" s="5">
        <f t="shared" si="31"/>
        <v>-3.5968595711129481E-2</v>
      </c>
      <c r="AT182" s="5">
        <f t="shared" si="32"/>
        <v>-5.0710179253026177E-2</v>
      </c>
    </row>
    <row r="183" spans="1:46" x14ac:dyDescent="0.25">
      <c r="A183" s="3" t="s">
        <v>817</v>
      </c>
      <c r="B183" s="3">
        <v>0</v>
      </c>
      <c r="C183" s="3">
        <v>105.5</v>
      </c>
      <c r="D183" s="3">
        <v>0.37044134821570673</v>
      </c>
      <c r="E183" s="3">
        <v>1.7667317716539579E-3</v>
      </c>
      <c r="F183" s="3">
        <v>105.5</v>
      </c>
      <c r="G183" s="3" t="s">
        <v>818</v>
      </c>
      <c r="H183" s="3">
        <v>0</v>
      </c>
      <c r="I183" s="3">
        <v>105.5</v>
      </c>
      <c r="J183" s="3">
        <v>0.53986587007573106</v>
      </c>
      <c r="K183" s="3">
        <v>-0.97062957688370111</v>
      </c>
      <c r="L183" s="4">
        <v>45253.5</v>
      </c>
      <c r="M183">
        <v>75.3</v>
      </c>
      <c r="N183">
        <v>77.400000000000006</v>
      </c>
      <c r="O183">
        <v>74.650000000000006</v>
      </c>
      <c r="P183">
        <v>76.569999999999993</v>
      </c>
      <c r="Q183">
        <v>25963</v>
      </c>
      <c r="R183">
        <v>330259</v>
      </c>
      <c r="S183">
        <v>44.05</v>
      </c>
      <c r="T183">
        <v>45.13</v>
      </c>
      <c r="U183">
        <v>43.354999999999997</v>
      </c>
      <c r="V183">
        <v>44.616</v>
      </c>
      <c r="W183">
        <v>0</v>
      </c>
      <c r="X183">
        <v>3.6486665782141436E-2</v>
      </c>
      <c r="Y183">
        <v>1.5262259232211011</v>
      </c>
      <c r="Z183">
        <v>0.72426633142863484</v>
      </c>
      <c r="AB183" s="3">
        <f t="shared" si="22"/>
        <v>4.7622993619096804E-3</v>
      </c>
      <c r="AC183" s="3">
        <f t="shared" si="23"/>
        <v>3.3057613043113096E-3</v>
      </c>
      <c r="AD183" s="3">
        <f t="shared" si="24"/>
        <v>-2.5348661502811246E-4</v>
      </c>
      <c r="AE183" s="76">
        <f t="shared" si="25"/>
        <v>534.52380952380918</v>
      </c>
      <c r="AF183" s="76">
        <f t="shared" si="26"/>
        <v>4319.9702380952403</v>
      </c>
      <c r="AG183" s="76">
        <f t="shared" si="27"/>
        <v>4052.5339233038358</v>
      </c>
      <c r="AN183">
        <v>26576</v>
      </c>
      <c r="AO183" s="5">
        <f t="shared" si="28"/>
        <v>-2.0053475935827739E-3</v>
      </c>
      <c r="AP183" s="5">
        <f t="shared" si="29"/>
        <v>0.26900044305413445</v>
      </c>
      <c r="AR183" s="5">
        <f t="shared" si="30"/>
        <v>-2.0748803775233804E-2</v>
      </c>
      <c r="AS183" s="5">
        <f t="shared" si="31"/>
        <v>-3.603320556706413E-2</v>
      </c>
      <c r="AT183" s="5">
        <f t="shared" si="32"/>
        <v>-5.0386942137480295E-2</v>
      </c>
    </row>
    <row r="184" spans="1:46" x14ac:dyDescent="0.25">
      <c r="A184" s="3" t="s">
        <v>819</v>
      </c>
      <c r="B184" s="3">
        <v>0</v>
      </c>
      <c r="C184" s="3">
        <v>106</v>
      </c>
      <c r="D184" s="3">
        <v>0.37386713142362765</v>
      </c>
      <c r="E184" s="3">
        <v>1.7522920043878669E-3</v>
      </c>
      <c r="F184" s="3">
        <v>106</v>
      </c>
      <c r="G184" s="3" t="s">
        <v>820</v>
      </c>
      <c r="H184" s="3">
        <v>0</v>
      </c>
      <c r="I184" s="3">
        <v>106</v>
      </c>
      <c r="J184" s="3">
        <v>0.54543765518770804</v>
      </c>
      <c r="K184" s="3">
        <v>-0.97056374822144964</v>
      </c>
      <c r="L184" s="4">
        <v>45252.5</v>
      </c>
      <c r="M184">
        <v>75.37</v>
      </c>
      <c r="N184">
        <v>76.2</v>
      </c>
      <c r="O184">
        <v>74.8</v>
      </c>
      <c r="P184">
        <v>75.099999999999994</v>
      </c>
      <c r="Q184">
        <v>23464</v>
      </c>
      <c r="R184">
        <v>326829</v>
      </c>
      <c r="S184">
        <v>44.05</v>
      </c>
      <c r="T184">
        <v>45.13</v>
      </c>
      <c r="U184">
        <v>43.354999999999997</v>
      </c>
      <c r="V184">
        <v>44.616</v>
      </c>
      <c r="W184">
        <v>248</v>
      </c>
      <c r="X184">
        <v>1.8274376713222892E-2</v>
      </c>
      <c r="Y184">
        <v>-0.73977078947761488</v>
      </c>
      <c r="Z184">
        <v>0.29844140618533627</v>
      </c>
      <c r="AB184" s="3">
        <f t="shared" si="22"/>
        <v>3.0328175334697442E-3</v>
      </c>
      <c r="AC184" s="3">
        <f t="shared" si="23"/>
        <v>2.0550662102675823E-3</v>
      </c>
      <c r="AD184" s="3">
        <f t="shared" si="24"/>
        <v>-1.3175667079919559E-3</v>
      </c>
      <c r="AE184" s="76">
        <f t="shared" si="25"/>
        <v>569.52380952380918</v>
      </c>
      <c r="AF184" s="76">
        <f t="shared" si="26"/>
        <v>4284.3809523809505</v>
      </c>
      <c r="AG184" s="76">
        <f t="shared" si="27"/>
        <v>4022.6704593341747</v>
      </c>
      <c r="AN184">
        <v>26047</v>
      </c>
      <c r="AO184" s="5">
        <f t="shared" si="28"/>
        <v>-3.7293553542887738E-3</v>
      </c>
      <c r="AP184" s="5">
        <f t="shared" si="29"/>
        <v>0.27034959017594434</v>
      </c>
      <c r="AR184" s="5">
        <f t="shared" si="30"/>
        <v>-2.0705188337660829E-2</v>
      </c>
      <c r="AS184" s="5">
        <f t="shared" si="31"/>
        <v>-3.6158943274343991E-2</v>
      </c>
      <c r="AT184" s="5">
        <f t="shared" si="32"/>
        <v>-5.0130168888060933E-2</v>
      </c>
    </row>
    <row r="185" spans="1:46" x14ac:dyDescent="0.25">
      <c r="A185" s="3" t="s">
        <v>821</v>
      </c>
      <c r="B185" s="3">
        <v>0</v>
      </c>
      <c r="C185" s="3">
        <v>106.5</v>
      </c>
      <c r="D185" s="3">
        <v>0.37727305358061508</v>
      </c>
      <c r="E185" s="3">
        <v>1.7381852936790574E-3</v>
      </c>
      <c r="F185" s="3">
        <v>106.5</v>
      </c>
      <c r="G185" s="3" t="s">
        <v>822</v>
      </c>
      <c r="H185" s="3">
        <v>0</v>
      </c>
      <c r="I185" s="3">
        <v>106.5</v>
      </c>
      <c r="J185" s="3">
        <v>0.55098393274608104</v>
      </c>
      <c r="K185" s="3">
        <v>-0.97049785046084125</v>
      </c>
      <c r="L185" s="4">
        <v>45251.5</v>
      </c>
      <c r="M185">
        <v>76.61</v>
      </c>
      <c r="N185">
        <v>76.8</v>
      </c>
      <c r="O185">
        <v>75.08</v>
      </c>
      <c r="P185">
        <v>75.209999999999994</v>
      </c>
      <c r="Q185">
        <v>20476</v>
      </c>
      <c r="R185">
        <v>325105</v>
      </c>
      <c r="S185">
        <v>46.174999999999997</v>
      </c>
      <c r="T185">
        <v>46.174999999999997</v>
      </c>
      <c r="U185">
        <v>43.204999999999998</v>
      </c>
      <c r="V185">
        <v>44.064999999999998</v>
      </c>
      <c r="W185">
        <v>1487</v>
      </c>
      <c r="X185">
        <v>2.2445517421375426E-2</v>
      </c>
      <c r="Y185">
        <v>-0.23718605955812283</v>
      </c>
      <c r="Z185">
        <v>-0.22131004689992112</v>
      </c>
      <c r="AB185" s="3">
        <f t="shared" si="22"/>
        <v>2.7752423429646296E-3</v>
      </c>
      <c r="AC185" s="3">
        <f t="shared" si="23"/>
        <v>1.6641798931146708E-3</v>
      </c>
      <c r="AD185" s="3">
        <f t="shared" si="24"/>
        <v>-1.6316337334979884E-3</v>
      </c>
      <c r="AE185" s="76">
        <f t="shared" si="25"/>
        <v>533.38095238095411</v>
      </c>
      <c r="AF185" s="76">
        <f t="shared" si="26"/>
        <v>4227.3392857142862</v>
      </c>
      <c r="AG185" s="76">
        <f t="shared" si="27"/>
        <v>3955.9683944374228</v>
      </c>
      <c r="AN185">
        <v>30835</v>
      </c>
      <c r="AO185" s="5">
        <f t="shared" si="28"/>
        <v>-1.2884564817249592E-2</v>
      </c>
      <c r="AP185" s="5">
        <f t="shared" si="29"/>
        <v>0.27034847302628506</v>
      </c>
      <c r="AR185" s="5">
        <f t="shared" si="30"/>
        <v>-2.0609119586306623E-2</v>
      </c>
      <c r="AS185" s="5">
        <f t="shared" si="31"/>
        <v>-3.6175769821174542E-2</v>
      </c>
      <c r="AT185" s="5">
        <f t="shared" si="32"/>
        <v>-4.9785289214381634E-2</v>
      </c>
    </row>
    <row r="186" spans="1:46" x14ac:dyDescent="0.25">
      <c r="A186" s="3" t="s">
        <v>823</v>
      </c>
      <c r="B186" s="3">
        <v>0</v>
      </c>
      <c r="C186" s="3">
        <v>107</v>
      </c>
      <c r="D186" s="3">
        <v>0.38065935357045649</v>
      </c>
      <c r="E186" s="3">
        <v>1.7243999045608801E-3</v>
      </c>
      <c r="F186" s="3">
        <v>107</v>
      </c>
      <c r="G186" s="3" t="s">
        <v>824</v>
      </c>
      <c r="H186" s="3">
        <v>0</v>
      </c>
      <c r="I186" s="3">
        <v>107</v>
      </c>
      <c r="J186" s="3">
        <v>0.55650494568296194</v>
      </c>
      <c r="K186" s="3">
        <v>-0.97043188942683023</v>
      </c>
      <c r="L186" s="4">
        <v>45250.5</v>
      </c>
      <c r="M186">
        <v>76.63</v>
      </c>
      <c r="N186">
        <v>77.8</v>
      </c>
      <c r="O186">
        <v>76.06</v>
      </c>
      <c r="P186">
        <v>76.66</v>
      </c>
      <c r="Q186">
        <v>17296</v>
      </c>
      <c r="R186">
        <v>325696</v>
      </c>
      <c r="S186">
        <v>47.034999999999997</v>
      </c>
      <c r="T186">
        <v>47.52</v>
      </c>
      <c r="U186">
        <v>45.21</v>
      </c>
      <c r="V186">
        <v>45.820999999999998</v>
      </c>
      <c r="W186">
        <v>849</v>
      </c>
      <c r="X186">
        <v>2.2553467271548864E-2</v>
      </c>
      <c r="Y186">
        <v>-0.23783325749723869</v>
      </c>
      <c r="Z186">
        <v>-0.74701786392496017</v>
      </c>
      <c r="AB186" s="3">
        <f t="shared" si="22"/>
        <v>1.8649237406684824E-3</v>
      </c>
      <c r="AC186" s="3">
        <f t="shared" si="23"/>
        <v>1.2348801874339892E-3</v>
      </c>
      <c r="AD186" s="3">
        <f t="shared" si="24"/>
        <v>-1.9323640898255556E-3</v>
      </c>
      <c r="AE186" s="76">
        <f t="shared" si="25"/>
        <v>470.33333333333212</v>
      </c>
      <c r="AF186" s="76">
        <f t="shared" si="26"/>
        <v>4381.8154761904771</v>
      </c>
      <c r="AG186" s="76">
        <f t="shared" si="27"/>
        <v>4032.7555836493884</v>
      </c>
      <c r="AN186">
        <v>37163</v>
      </c>
      <c r="AO186" s="5">
        <f t="shared" si="28"/>
        <v>2.5042836430736485E-3</v>
      </c>
      <c r="AP186" s="5">
        <f t="shared" si="29"/>
        <v>0.27092934260592971</v>
      </c>
      <c r="AR186" s="5">
        <f t="shared" si="30"/>
        <v>-1.9886711381133959E-2</v>
      </c>
      <c r="AS186" s="5">
        <f t="shared" si="31"/>
        <v>-3.5747768937495927E-2</v>
      </c>
      <c r="AT186" s="5">
        <f t="shared" si="32"/>
        <v>-4.9071099312984479E-2</v>
      </c>
    </row>
    <row r="187" spans="1:46" x14ac:dyDescent="0.25">
      <c r="A187" s="3" t="s">
        <v>825</v>
      </c>
      <c r="B187" s="3">
        <v>0</v>
      </c>
      <c r="C187" s="3">
        <v>107.5</v>
      </c>
      <c r="D187" s="3">
        <v>0.3840262655452012</v>
      </c>
      <c r="E187" s="3">
        <v>1.7109246535069913E-3</v>
      </c>
      <c r="F187" s="3">
        <v>107.5</v>
      </c>
      <c r="G187" s="3" t="s">
        <v>826</v>
      </c>
      <c r="H187" s="3">
        <v>0</v>
      </c>
      <c r="I187" s="3">
        <v>107.5</v>
      </c>
      <c r="J187" s="3">
        <v>0.56200093372011173</v>
      </c>
      <c r="K187" s="3">
        <v>-0.97036587056939982</v>
      </c>
      <c r="L187" s="4">
        <v>45247.5</v>
      </c>
      <c r="M187">
        <v>77.150000000000006</v>
      </c>
      <c r="N187">
        <v>77.88</v>
      </c>
      <c r="O187">
        <v>75.87</v>
      </c>
      <c r="P187">
        <v>76.23</v>
      </c>
      <c r="Q187">
        <v>18178</v>
      </c>
      <c r="R187">
        <v>325823</v>
      </c>
      <c r="S187">
        <v>46.1</v>
      </c>
      <c r="T187">
        <v>46.75</v>
      </c>
      <c r="U187">
        <v>44.85</v>
      </c>
      <c r="V187">
        <v>45.064</v>
      </c>
      <c r="W187">
        <v>285</v>
      </c>
      <c r="X187">
        <v>2.5162744116174147E-2</v>
      </c>
      <c r="Y187">
        <v>9.398391753121163E-2</v>
      </c>
      <c r="Z187">
        <v>-0.58163935976379821</v>
      </c>
      <c r="AB187" s="3">
        <f t="shared" si="22"/>
        <v>7.4801373788721884E-4</v>
      </c>
      <c r="AC187" s="3">
        <f t="shared" si="23"/>
        <v>7.5508114126266943E-4</v>
      </c>
      <c r="AD187" s="3">
        <f t="shared" si="24"/>
        <v>-2.2542173839996543E-3</v>
      </c>
      <c r="AE187" s="76">
        <f t="shared" si="25"/>
        <v>642.66666666666424</v>
      </c>
      <c r="AF187" s="76">
        <f t="shared" si="26"/>
        <v>4571.9880952380954</v>
      </c>
      <c r="AG187" s="76">
        <f t="shared" si="27"/>
        <v>4212.9093973872732</v>
      </c>
      <c r="AN187">
        <v>41382</v>
      </c>
      <c r="AO187" s="5">
        <f t="shared" si="28"/>
        <v>-8.1056347234931408E-3</v>
      </c>
      <c r="AP187" s="5">
        <f t="shared" si="29"/>
        <v>0.27095147561816252</v>
      </c>
      <c r="AR187" s="5">
        <f t="shared" si="30"/>
        <v>-1.9372975539612869E-2</v>
      </c>
      <c r="AS187" s="5">
        <f t="shared" si="31"/>
        <v>-3.5344998462631338E-2</v>
      </c>
      <c r="AT187" s="5">
        <f t="shared" si="32"/>
        <v>-4.8454129393374845E-2</v>
      </c>
    </row>
    <row r="188" spans="1:46" x14ac:dyDescent="0.25">
      <c r="A188" s="3" t="s">
        <v>827</v>
      </c>
      <c r="B188" s="3">
        <v>0</v>
      </c>
      <c r="C188" s="3">
        <v>108</v>
      </c>
      <c r="D188" s="3">
        <v>0.38737401906654761</v>
      </c>
      <c r="E188" s="3">
        <v>1.6977488761932456E-3</v>
      </c>
      <c r="F188" s="3">
        <v>108</v>
      </c>
      <c r="G188" s="3" t="s">
        <v>828</v>
      </c>
      <c r="H188" s="3">
        <v>0</v>
      </c>
      <c r="I188" s="3">
        <v>108</v>
      </c>
      <c r="J188" s="3">
        <v>0.5674721331610677</v>
      </c>
      <c r="K188" s="3">
        <v>-0.97029979904902919</v>
      </c>
      <c r="L188" s="4">
        <v>45246.5</v>
      </c>
      <c r="M188">
        <v>79.88</v>
      </c>
      <c r="N188">
        <v>79.89</v>
      </c>
      <c r="O188">
        <v>76.489999999999995</v>
      </c>
      <c r="P188">
        <v>77.2</v>
      </c>
      <c r="Q188">
        <v>27807</v>
      </c>
      <c r="R188">
        <v>327916</v>
      </c>
      <c r="S188">
        <v>46.47</v>
      </c>
      <c r="T188">
        <v>47.82</v>
      </c>
      <c r="U188">
        <v>45.484999999999999</v>
      </c>
      <c r="V188">
        <v>45.848999999999997</v>
      </c>
      <c r="W188">
        <v>239</v>
      </c>
      <c r="X188">
        <v>4.3273514063892148E-2</v>
      </c>
      <c r="Y188">
        <v>2.3768710907991757</v>
      </c>
      <c r="Z188">
        <v>1.0701301375450993</v>
      </c>
      <c r="AB188" s="3">
        <f t="shared" si="22"/>
        <v>-2.7513156160924659E-4</v>
      </c>
      <c r="AC188" s="3">
        <f t="shared" si="23"/>
        <v>2.6674091235692754E-4</v>
      </c>
      <c r="AD188" s="3">
        <f t="shared" si="24"/>
        <v>-2.7931899624099969E-3</v>
      </c>
      <c r="AE188" s="76">
        <f t="shared" si="25"/>
        <v>698.52380952381282</v>
      </c>
      <c r="AF188" s="76">
        <f t="shared" si="26"/>
        <v>4524.4821428571449</v>
      </c>
      <c r="AG188" s="76">
        <f t="shared" si="27"/>
        <v>4280.063211125158</v>
      </c>
      <c r="AN188">
        <v>29104</v>
      </c>
      <c r="AO188" s="5">
        <f t="shared" si="28"/>
        <v>-2.6473208603792778E-2</v>
      </c>
      <c r="AP188" s="5">
        <f t="shared" si="29"/>
        <v>0.27082297939527322</v>
      </c>
      <c r="AR188" s="5">
        <f t="shared" si="30"/>
        <v>-1.8847902719457188E-2</v>
      </c>
      <c r="AS188" s="5">
        <f t="shared" si="31"/>
        <v>-3.4953533833232409E-2</v>
      </c>
      <c r="AT188" s="5">
        <f t="shared" si="32"/>
        <v>-4.7844109905866961E-2</v>
      </c>
    </row>
    <row r="189" spans="1:46" x14ac:dyDescent="0.25">
      <c r="A189" s="3" t="s">
        <v>829</v>
      </c>
      <c r="B189" s="3">
        <v>0</v>
      </c>
      <c r="C189" s="3">
        <v>108.5</v>
      </c>
      <c r="D189" s="3">
        <v>0.39070283924127586</v>
      </c>
      <c r="E189" s="3">
        <v>1.6848623975061008E-3</v>
      </c>
      <c r="F189" s="3">
        <v>108.5</v>
      </c>
      <c r="G189" s="3" t="s">
        <v>830</v>
      </c>
      <c r="H189" s="3">
        <v>0</v>
      </c>
      <c r="I189" s="3">
        <v>108.5</v>
      </c>
      <c r="J189" s="3">
        <v>0.57291877695648974</v>
      </c>
      <c r="K189" s="3">
        <v>-0.97023367975431574</v>
      </c>
      <c r="L189" s="4">
        <v>45245.5</v>
      </c>
      <c r="M189">
        <v>78.569999999999993</v>
      </c>
      <c r="N189">
        <v>80.3</v>
      </c>
      <c r="O189">
        <v>78.569999999999993</v>
      </c>
      <c r="P189">
        <v>79.8</v>
      </c>
      <c r="Q189">
        <v>22277</v>
      </c>
      <c r="R189">
        <v>332217</v>
      </c>
      <c r="S189">
        <v>48.494999999999997</v>
      </c>
      <c r="T189">
        <v>49.38</v>
      </c>
      <c r="U189">
        <v>46.484999999999999</v>
      </c>
      <c r="V189">
        <v>47.036999999999999</v>
      </c>
      <c r="W189">
        <v>349</v>
      </c>
      <c r="X189">
        <v>2.2354309342292336E-2</v>
      </c>
      <c r="Y189">
        <v>-0.22486872835642094</v>
      </c>
      <c r="Z189">
        <v>0.15059961661753368</v>
      </c>
      <c r="AB189" s="3">
        <f t="shared" si="22"/>
        <v>-8.8096024590503946E-4</v>
      </c>
      <c r="AC189" s="3">
        <f t="shared" si="23"/>
        <v>-1.034940244887303E-3</v>
      </c>
      <c r="AD189" s="3">
        <f t="shared" si="24"/>
        <v>-3.7592709975063261E-3</v>
      </c>
      <c r="AE189" s="76">
        <f t="shared" si="25"/>
        <v>546.23809523809541</v>
      </c>
      <c r="AF189" s="76">
        <f t="shared" si="26"/>
        <v>4126.8511904761908</v>
      </c>
      <c r="AG189" s="76">
        <f t="shared" si="27"/>
        <v>4037.5684787189239</v>
      </c>
      <c r="AN189">
        <v>54777</v>
      </c>
      <c r="AO189" s="5">
        <f t="shared" si="28"/>
        <v>2.5851938895417023E-2</v>
      </c>
      <c r="AP189" s="5">
        <f t="shared" si="29"/>
        <v>0.27002443611958998</v>
      </c>
      <c r="AR189" s="5">
        <f t="shared" si="30"/>
        <v>-1.8342662445380298E-2</v>
      </c>
      <c r="AS189" s="5">
        <f t="shared" si="31"/>
        <v>-3.45670350170173E-2</v>
      </c>
      <c r="AT189" s="5">
        <f t="shared" si="32"/>
        <v>-4.7223608184495114E-2</v>
      </c>
    </row>
    <row r="190" spans="1:46" x14ac:dyDescent="0.25">
      <c r="A190" s="3" t="s">
        <v>831</v>
      </c>
      <c r="B190" s="3">
        <v>0</v>
      </c>
      <c r="C190" s="3">
        <v>109</v>
      </c>
      <c r="D190" s="3">
        <v>0.34795414332385322</v>
      </c>
      <c r="E190" s="3">
        <v>4.1510439494700838E-4</v>
      </c>
      <c r="F190" s="3">
        <v>109</v>
      </c>
      <c r="G190" s="3" t="s">
        <v>832</v>
      </c>
      <c r="H190" s="3">
        <v>0</v>
      </c>
      <c r="I190" s="3">
        <v>109</v>
      </c>
      <c r="J190" s="3">
        <v>0.57534240785715929</v>
      </c>
      <c r="K190" s="3">
        <v>-0.97085303387637478</v>
      </c>
      <c r="L190" s="4">
        <v>45244.5</v>
      </c>
      <c r="M190">
        <v>77.39</v>
      </c>
      <c r="N190">
        <v>79.09</v>
      </c>
      <c r="O190">
        <v>76.59</v>
      </c>
      <c r="P190">
        <v>78.569999999999993</v>
      </c>
      <c r="Q190">
        <v>25154</v>
      </c>
      <c r="R190">
        <v>333644</v>
      </c>
      <c r="S190">
        <v>46.895000000000003</v>
      </c>
      <c r="T190">
        <v>48</v>
      </c>
      <c r="U190">
        <v>46.064999999999998</v>
      </c>
      <c r="V190">
        <v>47.607999999999997</v>
      </c>
      <c r="W190">
        <v>1538</v>
      </c>
      <c r="X190">
        <v>3.1847133757961783E-2</v>
      </c>
      <c r="Y190">
        <v>1.0230289156775925</v>
      </c>
      <c r="Z190">
        <v>0.6590850458122246</v>
      </c>
      <c r="AB190" s="3">
        <f t="shared" si="22"/>
        <v>-5.1915369705453351E-4</v>
      </c>
      <c r="AC190" s="3">
        <f t="shared" si="23"/>
        <v>-9.7662727211998007E-4</v>
      </c>
      <c r="AD190" s="3">
        <f t="shared" si="24"/>
        <v>-3.5741905961711208E-3</v>
      </c>
      <c r="AE190" s="76">
        <f t="shared" si="25"/>
        <v>503.95238095237801</v>
      </c>
      <c r="AF190" s="76">
        <f t="shared" si="26"/>
        <v>4067.0654761904734</v>
      </c>
      <c r="AG190" s="76">
        <f t="shared" si="27"/>
        <v>4007.3510324483759</v>
      </c>
      <c r="AN190">
        <v>52417</v>
      </c>
      <c r="AO190" s="5">
        <f t="shared" si="28"/>
        <v>5.513981882630979E-3</v>
      </c>
      <c r="AP190" s="5">
        <f t="shared" si="29"/>
        <v>0.26914551745793086</v>
      </c>
      <c r="AR190" s="5">
        <f t="shared" si="30"/>
        <v>-1.779254673306202E-2</v>
      </c>
      <c r="AS190" s="5">
        <f t="shared" si="31"/>
        <v>-3.4134628876193063E-2</v>
      </c>
      <c r="AT190" s="5">
        <f t="shared" si="32"/>
        <v>-4.6562317476295023E-2</v>
      </c>
    </row>
    <row r="191" spans="1:46" x14ac:dyDescent="0.25">
      <c r="A191" s="3" t="s">
        <v>833</v>
      </c>
      <c r="B191" s="3">
        <v>0</v>
      </c>
      <c r="C191" s="3">
        <v>109.5</v>
      </c>
      <c r="D191" s="3">
        <v>0.35092430807549291</v>
      </c>
      <c r="E191" s="3">
        <v>4.1191337774988982E-4</v>
      </c>
      <c r="F191" s="3">
        <v>109.5</v>
      </c>
      <c r="G191" s="3" t="s">
        <v>834</v>
      </c>
      <c r="H191" s="3">
        <v>0</v>
      </c>
      <c r="I191" s="3">
        <v>109.5</v>
      </c>
      <c r="J191" s="3">
        <v>0.58074726083044814</v>
      </c>
      <c r="K191" s="3">
        <v>-0.97078081133342187</v>
      </c>
      <c r="L191" s="4">
        <v>45243.5</v>
      </c>
      <c r="M191">
        <v>78.5</v>
      </c>
      <c r="N191">
        <v>79.010000000000005</v>
      </c>
      <c r="O191">
        <v>76.17</v>
      </c>
      <c r="P191">
        <v>77.040000000000006</v>
      </c>
      <c r="Q191">
        <v>22543</v>
      </c>
      <c r="R191">
        <v>334761</v>
      </c>
      <c r="S191">
        <v>45.94</v>
      </c>
      <c r="T191">
        <v>47.994999999999997</v>
      </c>
      <c r="U191">
        <v>44.564999999999998</v>
      </c>
      <c r="V191">
        <v>47.872999999999998</v>
      </c>
      <c r="W191">
        <v>195</v>
      </c>
      <c r="X191">
        <v>3.6555541253700648E-2</v>
      </c>
      <c r="Y191">
        <v>1.6758936128823707</v>
      </c>
      <c r="Z191">
        <v>0.23984944853306683</v>
      </c>
      <c r="AB191" s="3">
        <f t="shared" si="22"/>
        <v>2.0973162693189301E-5</v>
      </c>
      <c r="AC191" s="3">
        <f t="shared" si="23"/>
        <v>-7.0948366346719471E-4</v>
      </c>
      <c r="AD191" s="3">
        <f t="shared" si="24"/>
        <v>-3.3465949060053936E-3</v>
      </c>
      <c r="AE191" s="76">
        <f t="shared" si="25"/>
        <v>828.23809523809541</v>
      </c>
      <c r="AF191" s="76">
        <f t="shared" si="26"/>
        <v>4182.5535714285725</v>
      </c>
      <c r="AG191" s="76">
        <f t="shared" si="27"/>
        <v>4048.2629582806585</v>
      </c>
      <c r="AN191">
        <v>35346</v>
      </c>
      <c r="AO191" s="5">
        <f t="shared" si="28"/>
        <v>2.6263952724879866E-4</v>
      </c>
      <c r="AP191" s="5">
        <f t="shared" si="29"/>
        <v>0.26921574405243709</v>
      </c>
      <c r="AR191" s="5">
        <f t="shared" si="30"/>
        <v>-1.7259054270466812E-2</v>
      </c>
      <c r="AS191" s="5">
        <f t="shared" si="31"/>
        <v>-3.3687901856578328E-2</v>
      </c>
      <c r="AT191" s="5">
        <f t="shared" si="32"/>
        <v>-4.5933690401153693E-2</v>
      </c>
    </row>
    <row r="192" spans="1:46" x14ac:dyDescent="0.25">
      <c r="A192" s="3" t="s">
        <v>835</v>
      </c>
      <c r="B192" s="3">
        <v>0</v>
      </c>
      <c r="C192" s="3">
        <v>110</v>
      </c>
      <c r="D192" s="3">
        <v>0.35387844837434052</v>
      </c>
      <c r="E192" s="3">
        <v>4.0879093171682779E-4</v>
      </c>
      <c r="F192" s="3">
        <v>110</v>
      </c>
      <c r="G192" s="3" t="s">
        <v>836</v>
      </c>
      <c r="H192" s="3">
        <v>0</v>
      </c>
      <c r="I192" s="3">
        <v>110</v>
      </c>
      <c r="J192" s="3">
        <v>0.58612820113118214</v>
      </c>
      <c r="K192" s="3">
        <v>-0.97070869019511541</v>
      </c>
      <c r="L192" s="4">
        <v>45240.5</v>
      </c>
      <c r="M192">
        <v>77.69</v>
      </c>
      <c r="N192">
        <v>78.86</v>
      </c>
      <c r="O192">
        <v>76.150000000000006</v>
      </c>
      <c r="P192">
        <v>78.5</v>
      </c>
      <c r="Q192">
        <v>21911</v>
      </c>
      <c r="R192">
        <v>333953</v>
      </c>
      <c r="S192">
        <v>47.045000000000002</v>
      </c>
      <c r="T192">
        <v>47.354999999999997</v>
      </c>
      <c r="U192">
        <v>45.734999999999999</v>
      </c>
      <c r="V192">
        <v>46.631999999999998</v>
      </c>
      <c r="W192">
        <v>268</v>
      </c>
      <c r="X192">
        <v>3.5822868473231906E-2</v>
      </c>
      <c r="Y192">
        <v>1.6375783707176004</v>
      </c>
      <c r="Z192">
        <v>0.15607994954208287</v>
      </c>
      <c r="AB192" s="3">
        <f t="shared" si="22"/>
        <v>-5.5673055483835415E-4</v>
      </c>
      <c r="AC192" s="3">
        <f t="shared" si="23"/>
        <v>-1.4085070952756518E-3</v>
      </c>
      <c r="AD192" s="3">
        <f t="shared" si="24"/>
        <v>-4.09242193469702E-3</v>
      </c>
      <c r="AE192" s="76">
        <f t="shared" si="25"/>
        <v>1472.7142857142826</v>
      </c>
      <c r="AF192" s="76">
        <f t="shared" si="26"/>
        <v>4448.9583333333321</v>
      </c>
      <c r="AG192" s="76">
        <f t="shared" si="27"/>
        <v>4317.8048883270094</v>
      </c>
      <c r="AN192">
        <v>43720</v>
      </c>
      <c r="AO192" s="5">
        <f t="shared" si="28"/>
        <v>1.2767655273307726E-2</v>
      </c>
      <c r="AP192" s="5">
        <f t="shared" si="29"/>
        <v>0.26999775437576373</v>
      </c>
      <c r="AR192" s="5">
        <f t="shared" si="30"/>
        <v>-1.6786245864880478E-2</v>
      </c>
      <c r="AS192" s="5">
        <f t="shared" si="31"/>
        <v>-3.3281945188871453E-2</v>
      </c>
      <c r="AT192" s="5">
        <f t="shared" si="32"/>
        <v>-4.5354266882482008E-2</v>
      </c>
    </row>
    <row r="193" spans="1:46" x14ac:dyDescent="0.25">
      <c r="A193" s="3" t="s">
        <v>837</v>
      </c>
      <c r="B193" s="3">
        <v>0</v>
      </c>
      <c r="C193" s="3">
        <v>110.5</v>
      </c>
      <c r="D193" s="3">
        <v>0.35681674109200689</v>
      </c>
      <c r="E193" s="3">
        <v>4.0573480894572078E-4</v>
      </c>
      <c r="F193" s="3">
        <v>110.5</v>
      </c>
      <c r="G193" s="3" t="s">
        <v>838</v>
      </c>
      <c r="H193" s="3">
        <v>0</v>
      </c>
      <c r="I193" s="3">
        <v>110.5</v>
      </c>
      <c r="J193" s="3">
        <v>0.59148544906909328</v>
      </c>
      <c r="K193" s="3">
        <v>-0.97063666978710084</v>
      </c>
      <c r="L193" s="4">
        <v>45239.5</v>
      </c>
      <c r="M193">
        <v>75.650000000000006</v>
      </c>
      <c r="N193">
        <v>77.69</v>
      </c>
      <c r="O193">
        <v>75.19</v>
      </c>
      <c r="P193">
        <v>77.3</v>
      </c>
      <c r="Q193">
        <v>28209</v>
      </c>
      <c r="R193">
        <v>335381</v>
      </c>
      <c r="S193">
        <v>45.01</v>
      </c>
      <c r="T193">
        <v>49.06</v>
      </c>
      <c r="U193">
        <v>45.01</v>
      </c>
      <c r="V193">
        <v>48.128999999999998</v>
      </c>
      <c r="W193">
        <v>1555</v>
      </c>
      <c r="X193">
        <v>3.3138918345705197E-2</v>
      </c>
      <c r="Y193">
        <v>1.280810355796455</v>
      </c>
      <c r="Z193">
        <v>1.2147233397210138</v>
      </c>
      <c r="AB193" s="3">
        <f t="shared" si="22"/>
        <v>-1.6490564544330739E-3</v>
      </c>
      <c r="AC193" s="3">
        <f t="shared" si="23"/>
        <v>-1.9987735656933035E-3</v>
      </c>
      <c r="AD193" s="3">
        <f t="shared" si="24"/>
        <v>-4.4484615392776199E-3</v>
      </c>
      <c r="AE193" s="76">
        <f t="shared" si="25"/>
        <v>1015.9047619047633</v>
      </c>
      <c r="AF193" s="76">
        <f t="shared" si="26"/>
        <v>4314.5595238095229</v>
      </c>
      <c r="AG193" s="76">
        <f t="shared" si="27"/>
        <v>4275.9220396123055</v>
      </c>
      <c r="AN193">
        <v>42915</v>
      </c>
      <c r="AO193" s="5">
        <f t="shared" si="28"/>
        <v>4.6766435061463699E-3</v>
      </c>
      <c r="AP193" s="5">
        <f t="shared" si="29"/>
        <v>0.27202431681666089</v>
      </c>
      <c r="AR193" s="5">
        <f t="shared" si="30"/>
        <v>-1.6321247453150001E-2</v>
      </c>
      <c r="AS193" s="5">
        <f t="shared" si="31"/>
        <v>-3.288794640606435E-2</v>
      </c>
      <c r="AT193" s="5">
        <f t="shared" si="32"/>
        <v>-4.4794776230593414E-2</v>
      </c>
    </row>
    <row r="194" spans="1:46" x14ac:dyDescent="0.25">
      <c r="A194" s="3" t="s">
        <v>839</v>
      </c>
      <c r="B194" s="3">
        <v>0</v>
      </c>
      <c r="C194" s="3">
        <v>111</v>
      </c>
      <c r="D194" s="3">
        <v>0.35973935995392559</v>
      </c>
      <c r="E194" s="3">
        <v>4.0274285974122931E-4</v>
      </c>
      <c r="F194" s="3">
        <v>111</v>
      </c>
      <c r="G194" s="3" t="s">
        <v>840</v>
      </c>
      <c r="H194" s="3">
        <v>0</v>
      </c>
      <c r="I194" s="3">
        <v>111</v>
      </c>
      <c r="J194" s="3">
        <v>0.59681922191321735</v>
      </c>
      <c r="K194" s="3">
        <v>-0.97056474944267546</v>
      </c>
      <c r="L194" s="4">
        <v>45238.5</v>
      </c>
      <c r="M194">
        <v>75.44</v>
      </c>
      <c r="N194">
        <v>76.44</v>
      </c>
      <c r="O194">
        <v>74.84</v>
      </c>
      <c r="P194">
        <v>75.400000000000006</v>
      </c>
      <c r="Q194">
        <v>23461</v>
      </c>
      <c r="R194">
        <v>335876</v>
      </c>
      <c r="S194">
        <v>45.75</v>
      </c>
      <c r="T194">
        <v>46.21</v>
      </c>
      <c r="U194">
        <v>45</v>
      </c>
      <c r="V194">
        <v>45.777000000000001</v>
      </c>
      <c r="W194">
        <v>908</v>
      </c>
      <c r="X194">
        <v>2.1133271694624152E-2</v>
      </c>
      <c r="Y194">
        <v>-0.345995345891979</v>
      </c>
      <c r="Z194">
        <v>0.45985397954358542</v>
      </c>
      <c r="AB194" s="3">
        <f t="shared" si="22"/>
        <v>-2.1867741770484443E-3</v>
      </c>
      <c r="AC194" s="3">
        <f t="shared" si="23"/>
        <v>-2.5692578886481118E-3</v>
      </c>
      <c r="AD194" s="3">
        <f t="shared" si="24"/>
        <v>-5.1857722294992893E-3</v>
      </c>
      <c r="AE194" s="76">
        <f t="shared" si="25"/>
        <v>1667.4761904761908</v>
      </c>
      <c r="AF194" s="76">
        <f t="shared" si="26"/>
        <v>4688.5178571428587</v>
      </c>
      <c r="AG194" s="76">
        <f t="shared" si="27"/>
        <v>4557.793931731987</v>
      </c>
      <c r="AN194">
        <v>40868</v>
      </c>
      <c r="AO194" s="5">
        <f t="shared" si="28"/>
        <v>-1.336005344020161E-4</v>
      </c>
      <c r="AP194" s="5">
        <f t="shared" si="29"/>
        <v>0.27344827695077756</v>
      </c>
      <c r="AR194" s="5">
        <f t="shared" si="30"/>
        <v>-1.5935477659164199E-2</v>
      </c>
      <c r="AS194" s="5">
        <f t="shared" si="31"/>
        <v>-3.2576705200635381E-2</v>
      </c>
      <c r="AT194" s="5">
        <f t="shared" si="32"/>
        <v>-4.4327410568332781E-2</v>
      </c>
    </row>
    <row r="195" spans="1:46" x14ac:dyDescent="0.25">
      <c r="A195" s="3" t="s">
        <v>841</v>
      </c>
      <c r="B195" s="3">
        <v>0</v>
      </c>
      <c r="C195" s="3">
        <v>111.5</v>
      </c>
      <c r="D195" s="3">
        <v>0.36264647562219315</v>
      </c>
      <c r="E195" s="3">
        <v>3.9981302727840149E-4</v>
      </c>
      <c r="F195" s="3">
        <v>111.5</v>
      </c>
      <c r="G195" s="3" t="s">
        <v>842</v>
      </c>
      <c r="H195" s="3">
        <v>0</v>
      </c>
      <c r="I195" s="3">
        <v>111.5</v>
      </c>
      <c r="J195" s="3">
        <v>0.60212973394759928</v>
      </c>
      <c r="K195" s="3">
        <v>-0.97049292850266222</v>
      </c>
      <c r="L195" s="4">
        <v>45237.5</v>
      </c>
      <c r="M195">
        <v>75.709999999999994</v>
      </c>
      <c r="N195">
        <v>76.5</v>
      </c>
      <c r="O195">
        <v>74.849999999999994</v>
      </c>
      <c r="P195">
        <v>75.36</v>
      </c>
      <c r="Q195">
        <v>27479</v>
      </c>
      <c r="R195">
        <v>335835</v>
      </c>
      <c r="S195">
        <v>45.24</v>
      </c>
      <c r="T195">
        <v>47.05</v>
      </c>
      <c r="U195">
        <v>45.005000000000003</v>
      </c>
      <c r="V195">
        <v>46.057000000000002</v>
      </c>
      <c r="W195">
        <v>2222</v>
      </c>
      <c r="X195">
        <v>2.1295818275684119E-2</v>
      </c>
      <c r="Y195">
        <v>-0.33765399337735391</v>
      </c>
      <c r="Z195">
        <v>1.1426652807392592</v>
      </c>
      <c r="AB195" s="3">
        <f t="shared" si="22"/>
        <v>1.5234435025486201E-4</v>
      </c>
      <c r="AC195" s="3">
        <f t="shared" si="23"/>
        <v>-1.155474115892681E-3</v>
      </c>
      <c r="AD195" s="3">
        <f t="shared" si="24"/>
        <v>-4.0001371940839962E-3</v>
      </c>
      <c r="AE195" s="76">
        <f t="shared" si="25"/>
        <v>2578.6666666666679</v>
      </c>
      <c r="AF195" s="76">
        <f t="shared" si="26"/>
        <v>5255.2797619047633</v>
      </c>
      <c r="AG195" s="76">
        <f t="shared" si="27"/>
        <v>4985.482511588707</v>
      </c>
      <c r="AN195">
        <v>32412</v>
      </c>
      <c r="AO195" s="5">
        <f t="shared" si="28"/>
        <v>-9.9206349206349218E-3</v>
      </c>
      <c r="AP195" s="5">
        <f t="shared" si="29"/>
        <v>0.27626583950151401</v>
      </c>
      <c r="AR195" s="5">
        <f t="shared" si="30"/>
        <v>-1.5755222449169881E-2</v>
      </c>
      <c r="AS195" s="5">
        <f t="shared" si="31"/>
        <v>-3.2370295494182799E-2</v>
      </c>
      <c r="AT195" s="5">
        <f t="shared" si="32"/>
        <v>-4.3962185271934628E-2</v>
      </c>
    </row>
    <row r="196" spans="1:46" x14ac:dyDescent="0.25">
      <c r="A196" s="3" t="s">
        <v>843</v>
      </c>
      <c r="B196" s="3">
        <v>0</v>
      </c>
      <c r="C196" s="3">
        <v>112</v>
      </c>
      <c r="D196" s="3">
        <v>0.36553825577534732</v>
      </c>
      <c r="E196" s="3">
        <v>3.9694334261191353E-4</v>
      </c>
      <c r="F196" s="3">
        <v>112</v>
      </c>
      <c r="G196" s="3" t="s">
        <v>844</v>
      </c>
      <c r="H196" s="3">
        <v>0</v>
      </c>
      <c r="I196" s="3">
        <v>112</v>
      </c>
      <c r="J196" s="3">
        <v>0.60741719652568427</v>
      </c>
      <c r="K196" s="3">
        <v>-0.97042120631529527</v>
      </c>
      <c r="L196" s="4">
        <v>45236.5</v>
      </c>
      <c r="M196">
        <v>77.48</v>
      </c>
      <c r="N196">
        <v>77.48</v>
      </c>
      <c r="O196">
        <v>75.599999999999994</v>
      </c>
      <c r="P196">
        <v>75.88</v>
      </c>
      <c r="Q196">
        <v>22188</v>
      </c>
      <c r="R196">
        <v>338083</v>
      </c>
      <c r="S196">
        <v>47</v>
      </c>
      <c r="T196">
        <v>47</v>
      </c>
      <c r="U196">
        <v>44.695</v>
      </c>
      <c r="V196">
        <v>44.832000000000001</v>
      </c>
      <c r="W196">
        <v>2335</v>
      </c>
      <c r="X196">
        <v>2.3915532375016025E-2</v>
      </c>
      <c r="Y196">
        <v>6.2508042833304975E-3</v>
      </c>
      <c r="Z196">
        <v>0.29034686391826053</v>
      </c>
      <c r="AB196" s="3">
        <f t="shared" si="22"/>
        <v>-6.5632781003851365E-5</v>
      </c>
      <c r="AC196" s="3">
        <f t="shared" si="23"/>
        <v>-9.5545826030815628E-4</v>
      </c>
      <c r="AD196" s="3">
        <f t="shared" si="24"/>
        <v>-4.1822102412012313E-3</v>
      </c>
      <c r="AE196" s="76">
        <f t="shared" si="25"/>
        <v>3808.8095238095229</v>
      </c>
      <c r="AF196" s="76">
        <f t="shared" si="26"/>
        <v>6002.9107142857138</v>
      </c>
      <c r="AG196" s="76">
        <f t="shared" si="27"/>
        <v>5482.3097345132737</v>
      </c>
      <c r="AN196">
        <v>35334</v>
      </c>
      <c r="AO196" s="5">
        <f t="shared" si="28"/>
        <v>-1.9455252918287938E-2</v>
      </c>
      <c r="AP196" s="5">
        <f t="shared" si="29"/>
        <v>0.27608775606728303</v>
      </c>
      <c r="AR196" s="5">
        <f t="shared" si="30"/>
        <v>-1.5764628552334126E-2</v>
      </c>
      <c r="AS196" s="5">
        <f t="shared" si="31"/>
        <v>-3.2337505036100667E-2</v>
      </c>
      <c r="AT196" s="5">
        <f t="shared" si="32"/>
        <v>-4.3764056862620804E-2</v>
      </c>
    </row>
    <row r="197" spans="1:46" x14ac:dyDescent="0.25">
      <c r="A197" s="3" t="s">
        <v>845</v>
      </c>
      <c r="B197" s="3">
        <v>0</v>
      </c>
      <c r="C197" s="3">
        <v>112.5</v>
      </c>
      <c r="D197" s="3">
        <v>0.36841486518523692</v>
      </c>
      <c r="E197" s="3">
        <v>3.9413192000501134E-4</v>
      </c>
      <c r="F197" s="3">
        <v>112.5</v>
      </c>
      <c r="G197" s="3" t="s">
        <v>846</v>
      </c>
      <c r="H197" s="3">
        <v>0</v>
      </c>
      <c r="I197" s="3">
        <v>112.5</v>
      </c>
      <c r="J197" s="3">
        <v>0.6126818181235083</v>
      </c>
      <c r="K197" s="3">
        <v>-0.97034958223610179</v>
      </c>
      <c r="L197" s="4">
        <v>45233.5</v>
      </c>
      <c r="M197">
        <v>78.61</v>
      </c>
      <c r="N197">
        <v>79.75</v>
      </c>
      <c r="O197">
        <v>77.099999999999994</v>
      </c>
      <c r="P197">
        <v>77.2</v>
      </c>
      <c r="Q197">
        <v>21470</v>
      </c>
      <c r="R197">
        <v>338875</v>
      </c>
      <c r="S197">
        <v>49.225000000000001</v>
      </c>
      <c r="T197">
        <v>50.37</v>
      </c>
      <c r="U197">
        <v>46.96</v>
      </c>
      <c r="V197">
        <v>48.057000000000002</v>
      </c>
      <c r="W197">
        <v>2334</v>
      </c>
      <c r="X197">
        <v>3.3822590938098349E-2</v>
      </c>
      <c r="Y197">
        <v>1.3636464988401373</v>
      </c>
      <c r="Z197">
        <v>0.19129480352291792</v>
      </c>
      <c r="AB197" s="3">
        <f t="shared" si="22"/>
        <v>-6.6892114438294945E-4</v>
      </c>
      <c r="AC197" s="3">
        <f t="shared" si="23"/>
        <v>-1.6007358094642342E-3</v>
      </c>
      <c r="AD197" s="3">
        <f t="shared" si="24"/>
        <v>-5.0085352051250746E-3</v>
      </c>
      <c r="AE197" s="76">
        <f t="shared" si="25"/>
        <v>3438.8571428571413</v>
      </c>
      <c r="AF197" s="76">
        <f t="shared" si="26"/>
        <v>5590.75</v>
      </c>
      <c r="AG197" s="76">
        <f t="shared" si="27"/>
        <v>5114.1150442477883</v>
      </c>
      <c r="AN197">
        <v>31308</v>
      </c>
      <c r="AO197" s="5">
        <f t="shared" si="28"/>
        <v>1.1280167890870928E-2</v>
      </c>
      <c r="AP197" s="5">
        <f t="shared" si="29"/>
        <v>0.27553389104249082</v>
      </c>
      <c r="AR197" s="5">
        <f t="shared" si="30"/>
        <v>-1.5611152828012453E-2</v>
      </c>
      <c r="AS197" s="5">
        <f t="shared" si="31"/>
        <v>-3.2208569214148719E-2</v>
      </c>
      <c r="AT197" s="5">
        <f t="shared" si="32"/>
        <v>-4.349216434869424E-2</v>
      </c>
    </row>
    <row r="198" spans="1:46" x14ac:dyDescent="0.25">
      <c r="A198" s="3" t="s">
        <v>847</v>
      </c>
      <c r="B198" s="3">
        <v>0</v>
      </c>
      <c r="C198" s="3">
        <v>113</v>
      </c>
      <c r="D198" s="3">
        <v>0.37127646579112794</v>
      </c>
      <c r="E198" s="3">
        <v>3.9137695255451056E-4</v>
      </c>
      <c r="F198" s="3">
        <v>113</v>
      </c>
      <c r="G198" s="3" t="s">
        <v>848</v>
      </c>
      <c r="H198" s="3">
        <v>0</v>
      </c>
      <c r="I198" s="3">
        <v>113</v>
      </c>
      <c r="J198" s="3">
        <v>0.61792380439165107</v>
      </c>
      <c r="K198" s="3">
        <v>-0.97027805562779335</v>
      </c>
      <c r="L198" s="4">
        <v>45232.5</v>
      </c>
      <c r="M198">
        <v>78.349999999999994</v>
      </c>
      <c r="N198">
        <v>79.2</v>
      </c>
      <c r="O198">
        <v>76.239999999999995</v>
      </c>
      <c r="P198">
        <v>79.06</v>
      </c>
      <c r="Q198">
        <v>43554</v>
      </c>
      <c r="R198">
        <v>337427</v>
      </c>
      <c r="S198">
        <v>48.174999999999997</v>
      </c>
      <c r="T198">
        <v>49.344999999999999</v>
      </c>
      <c r="U198">
        <v>46.225000000000001</v>
      </c>
      <c r="V198">
        <v>48.564</v>
      </c>
      <c r="W198">
        <v>2264</v>
      </c>
      <c r="X198">
        <v>3.7279596977330069E-2</v>
      </c>
      <c r="Y198">
        <v>1.8697272138609744</v>
      </c>
      <c r="Z198">
        <v>3.862293869908052</v>
      </c>
      <c r="AB198" s="3">
        <f t="shared" si="22"/>
        <v>-7.8419576632480018E-4</v>
      </c>
      <c r="AC198" s="3">
        <f t="shared" si="23"/>
        <v>-2.0076726383057401E-3</v>
      </c>
      <c r="AD198" s="3">
        <f t="shared" si="24"/>
        <v>-5.4497967004703621E-3</v>
      </c>
      <c r="AE198" s="76">
        <f t="shared" si="25"/>
        <v>3890.8571428571413</v>
      </c>
      <c r="AF198" s="76">
        <f t="shared" si="26"/>
        <v>5838.1964285714275</v>
      </c>
      <c r="AG198" s="76">
        <f t="shared" si="27"/>
        <v>5441.7863463969661</v>
      </c>
      <c r="AN198">
        <v>30108</v>
      </c>
      <c r="AO198" s="5">
        <f t="shared" si="28"/>
        <v>-2.7178767385479259E-2</v>
      </c>
      <c r="AP198" s="5">
        <f t="shared" si="29"/>
        <v>0.27551357496842849</v>
      </c>
      <c r="AR198" s="5">
        <f t="shared" si="30"/>
        <v>-1.5343929200698325E-2</v>
      </c>
      <c r="AS198" s="5">
        <f t="shared" si="31"/>
        <v>-3.1943312365667886E-2</v>
      </c>
      <c r="AT198" s="5">
        <f t="shared" si="32"/>
        <v>-4.310272993109221E-2</v>
      </c>
    </row>
    <row r="199" spans="1:46" x14ac:dyDescent="0.25">
      <c r="A199" s="3" t="s">
        <v>849</v>
      </c>
      <c r="B199" s="3">
        <v>0</v>
      </c>
      <c r="C199" s="3">
        <v>113.5</v>
      </c>
      <c r="D199" s="3">
        <v>0.37412321677117732</v>
      </c>
      <c r="E199" s="3">
        <v>3.8867670809011727E-4</v>
      </c>
      <c r="F199" s="3">
        <v>113.5</v>
      </c>
      <c r="G199" s="3" t="s">
        <v>850</v>
      </c>
      <c r="H199" s="3">
        <v>0</v>
      </c>
      <c r="I199" s="3">
        <v>113.5</v>
      </c>
      <c r="J199" s="3">
        <v>0.62314335820609534</v>
      </c>
      <c r="K199" s="3">
        <v>-0.97020662586014417</v>
      </c>
      <c r="L199" s="4">
        <v>45231.5</v>
      </c>
      <c r="M199">
        <v>79.400000000000006</v>
      </c>
      <c r="N199">
        <v>80.2</v>
      </c>
      <c r="O199">
        <v>78.37</v>
      </c>
      <c r="P199">
        <v>78.66</v>
      </c>
      <c r="Q199">
        <v>23382</v>
      </c>
      <c r="R199">
        <v>334301</v>
      </c>
      <c r="S199">
        <v>46.59</v>
      </c>
      <c r="T199">
        <v>48.945</v>
      </c>
      <c r="U199">
        <v>46.45</v>
      </c>
      <c r="V199">
        <v>47.756999999999998</v>
      </c>
      <c r="W199">
        <v>3915</v>
      </c>
      <c r="X199">
        <v>2.3267641449459607E-2</v>
      </c>
      <c r="Y199">
        <v>-6.2984575620227218E-2</v>
      </c>
      <c r="Z199">
        <v>0.63674760522286455</v>
      </c>
      <c r="AB199" s="3">
        <f t="shared" si="22"/>
        <v>2.0337765721061343E-4</v>
      </c>
      <c r="AC199" s="3">
        <f t="shared" si="23"/>
        <v>-1.8441069551795343E-3</v>
      </c>
      <c r="AD199" s="3">
        <f t="shared" si="24"/>
        <v>-5.3837074046445312E-3</v>
      </c>
      <c r="AE199" s="76">
        <f t="shared" si="25"/>
        <v>4133.9047619047597</v>
      </c>
      <c r="AF199" s="76">
        <f t="shared" si="26"/>
        <v>5735.3511904761908</v>
      </c>
      <c r="AG199" s="76">
        <f t="shared" si="27"/>
        <v>5219.6873156342153</v>
      </c>
      <c r="AN199">
        <v>36435</v>
      </c>
      <c r="AO199" s="5">
        <f t="shared" si="28"/>
        <v>2.8150991682661399E-3</v>
      </c>
      <c r="AP199" s="5">
        <f t="shared" si="29"/>
        <v>0.27435064251819652</v>
      </c>
      <c r="AR199" s="5">
        <f t="shared" si="30"/>
        <v>-1.5065662419108006E-2</v>
      </c>
      <c r="AS199" s="5">
        <f t="shared" si="31"/>
        <v>-3.1717668826042267E-2</v>
      </c>
      <c r="AT199" s="5">
        <f t="shared" si="32"/>
        <v>-4.2692779604600606E-2</v>
      </c>
    </row>
    <row r="200" spans="1:46" x14ac:dyDescent="0.25">
      <c r="A200" s="3" t="s">
        <v>851</v>
      </c>
      <c r="B200" s="3">
        <v>0</v>
      </c>
      <c r="C200" s="3">
        <v>114</v>
      </c>
      <c r="D200" s="3">
        <v>0.37695527461135475</v>
      </c>
      <c r="E200" s="3">
        <v>3.8602952532759818E-4</v>
      </c>
      <c r="F200" s="3">
        <v>114</v>
      </c>
      <c r="G200" s="3" t="s">
        <v>852</v>
      </c>
      <c r="H200" s="3">
        <v>0</v>
      </c>
      <c r="I200" s="3">
        <v>114</v>
      </c>
      <c r="J200" s="3">
        <v>0.62834067971790597</v>
      </c>
      <c r="K200" s="3">
        <v>-0.97013529230988138</v>
      </c>
      <c r="L200" s="4">
        <v>45230.5</v>
      </c>
      <c r="M200">
        <v>78.650000000000006</v>
      </c>
      <c r="N200">
        <v>79.5</v>
      </c>
      <c r="O200">
        <v>78.150000000000006</v>
      </c>
      <c r="P200">
        <v>79.41</v>
      </c>
      <c r="Q200">
        <v>24943</v>
      </c>
      <c r="R200">
        <v>336041</v>
      </c>
      <c r="S200">
        <v>51.49</v>
      </c>
      <c r="T200">
        <v>51.96</v>
      </c>
      <c r="U200">
        <v>47.65</v>
      </c>
      <c r="V200">
        <v>48.006</v>
      </c>
      <c r="W200">
        <v>2901</v>
      </c>
      <c r="X200">
        <v>1.699181875393322E-2</v>
      </c>
      <c r="Y200">
        <v>-0.94696228634290025</v>
      </c>
      <c r="Z200">
        <v>0.923582819060775</v>
      </c>
      <c r="AB200" s="3">
        <f t="shared" si="22"/>
        <v>-3.0157716148283484E-4</v>
      </c>
      <c r="AC200" s="3">
        <f t="shared" si="23"/>
        <v>-2.157205615939118E-3</v>
      </c>
      <c r="AD200" s="3">
        <f t="shared" si="24"/>
        <v>-5.7683791777526951E-3</v>
      </c>
      <c r="AE200" s="76">
        <f t="shared" si="25"/>
        <v>4860.5714285714312</v>
      </c>
      <c r="AF200" s="76">
        <f t="shared" si="26"/>
        <v>6144.2738095238092</v>
      </c>
      <c r="AG200" s="76">
        <f t="shared" si="27"/>
        <v>5464.0206489675511</v>
      </c>
      <c r="AN200">
        <v>21447</v>
      </c>
      <c r="AO200" s="5">
        <f t="shared" si="28"/>
        <v>-4.2048929663608342E-3</v>
      </c>
      <c r="AP200" s="5">
        <f t="shared" si="29"/>
        <v>0.27438145268331643</v>
      </c>
      <c r="AR200" s="5">
        <f t="shared" si="30"/>
        <v>-1.4971305147636893E-2</v>
      </c>
      <c r="AS200" s="5">
        <f t="shared" si="31"/>
        <v>-3.1406838367915191E-2</v>
      </c>
      <c r="AT200" s="5">
        <f t="shared" si="32"/>
        <v>-4.221166175395874E-2</v>
      </c>
    </row>
    <row r="201" spans="1:46" x14ac:dyDescent="0.25">
      <c r="A201" s="3" t="s">
        <v>853</v>
      </c>
      <c r="B201" s="3">
        <v>0</v>
      </c>
      <c r="C201" s="3">
        <v>114.5</v>
      </c>
      <c r="D201" s="3">
        <v>0.37977279317203722</v>
      </c>
      <c r="E201" s="3">
        <v>3.8343381025892427E-4</v>
      </c>
      <c r="F201" s="3">
        <v>114.5</v>
      </c>
      <c r="G201" s="3" t="s">
        <v>854</v>
      </c>
      <c r="H201" s="3">
        <v>0</v>
      </c>
      <c r="I201" s="3">
        <v>114.5</v>
      </c>
      <c r="J201" s="3">
        <v>0.63351596640172381</v>
      </c>
      <c r="K201" s="3">
        <v>-0.97006405436059362</v>
      </c>
      <c r="L201" s="4">
        <v>45229.5</v>
      </c>
      <c r="M201">
        <v>79.45</v>
      </c>
      <c r="N201">
        <v>81</v>
      </c>
      <c r="O201">
        <v>78.48</v>
      </c>
      <c r="P201">
        <v>78.78</v>
      </c>
      <c r="Q201">
        <v>27718</v>
      </c>
      <c r="R201">
        <v>337361</v>
      </c>
      <c r="S201">
        <v>54.424999999999997</v>
      </c>
      <c r="T201">
        <v>54.424999999999997</v>
      </c>
      <c r="U201">
        <v>50.546999999999997</v>
      </c>
      <c r="V201">
        <v>50.546999999999997</v>
      </c>
      <c r="W201">
        <v>0</v>
      </c>
      <c r="X201">
        <v>3.1642390758412811E-2</v>
      </c>
      <c r="Y201">
        <v>1.0421893101061757</v>
      </c>
      <c r="Z201">
        <v>1.4624615675817412</v>
      </c>
      <c r="AB201" s="3">
        <f t="shared" ref="AB201:AB264" si="33">AVERAGEA(X201:X221)-AVERAGE(X222:X242)</f>
        <v>-6.6952131156225794E-4</v>
      </c>
      <c r="AC201" s="3">
        <f t="shared" ref="AC201:AC264" si="34">AVERAGEA(X201:X221)-AVERAGE(X222:X277)</f>
        <v>-2.5107408665997061E-3</v>
      </c>
      <c r="AD201" s="3">
        <f t="shared" ref="AD201:AD264" si="35">AVERAGEA(X201:X221)-AVERAGE(X222:X334)</f>
        <v>-6.0411717636710653E-3</v>
      </c>
      <c r="AE201" s="76">
        <f t="shared" ref="AE201:AE264" si="36">AVERAGEA(Q201:Q221)-AVERAGE(Q222:Q242)</f>
        <v>5633.4761904761908</v>
      </c>
      <c r="AF201" s="76">
        <f t="shared" ref="AF201:AF264" si="37">AVERAGEA(Q201:Q221)-AVERAGE(Q222:Q277)</f>
        <v>6538.0416666666679</v>
      </c>
      <c r="AG201" s="76">
        <f t="shared" ref="AG201:AG264" si="38">AVERAGEA(Q201:Q221)-AVERAGE(Q222:Q334)</f>
        <v>5635.1647703329108</v>
      </c>
      <c r="AN201">
        <v>21764</v>
      </c>
      <c r="AO201" s="5">
        <f t="shared" ref="AO201:AO265" si="39">IFERROR((O201-O202)/O202,"")</f>
        <v>-1.0340479192938123E-2</v>
      </c>
      <c r="AP201" s="5">
        <f t="shared" ref="AP201:AP264" si="40">_xlfn.STDEV.S(AO201:AO460)*SQRT(252)</f>
        <v>0.27612258952171903</v>
      </c>
      <c r="AR201" s="5">
        <f t="shared" ref="AR201:AR264" si="41">IFERROR(AVERAGEA(AP201:AP221)-AVERAGE(AP222:AP242),"")</f>
        <v>-1.5025197571200799E-2</v>
      </c>
      <c r="AS201" s="5">
        <f t="shared" ref="AS201:AS264" si="42">IFERROR(AVERAGEA(AP201:AP221)-AVERAGE(AP222:AP277),"")</f>
        <v>-3.1088286211129468E-2</v>
      </c>
      <c r="AT201" s="5">
        <f t="shared" ref="AT201:AT264" si="43">IFERROR(AVERAGEA(AP201:AP221)-AVERAGE(AP222:AP334),"")</f>
        <v>-4.1727421468353176E-2</v>
      </c>
    </row>
    <row r="202" spans="1:46" x14ac:dyDescent="0.25">
      <c r="A202" s="3" t="s">
        <v>855</v>
      </c>
      <c r="B202" s="3">
        <v>600</v>
      </c>
      <c r="C202" s="3">
        <v>115</v>
      </c>
      <c r="D202" s="3">
        <v>0.38257592375225974</v>
      </c>
      <c r="E202" s="3">
        <v>3.8088803276094745E-4</v>
      </c>
      <c r="F202" s="3">
        <v>115</v>
      </c>
      <c r="G202" s="3" t="s">
        <v>856</v>
      </c>
      <c r="H202" s="3">
        <v>0</v>
      </c>
      <c r="I202" s="3">
        <v>115</v>
      </c>
      <c r="J202" s="3">
        <v>0.63866941310336833</v>
      </c>
      <c r="K202" s="3">
        <v>-0.96999291140260291</v>
      </c>
      <c r="L202" s="4">
        <v>45226.5</v>
      </c>
      <c r="M202">
        <v>79.64</v>
      </c>
      <c r="N202">
        <v>80.36</v>
      </c>
      <c r="O202">
        <v>79.3</v>
      </c>
      <c r="P202">
        <v>79.36</v>
      </c>
      <c r="Q202">
        <v>18974</v>
      </c>
      <c r="R202">
        <v>335256</v>
      </c>
      <c r="S202">
        <v>51</v>
      </c>
      <c r="T202">
        <v>51.594999999999999</v>
      </c>
      <c r="U202">
        <v>49.85</v>
      </c>
      <c r="V202">
        <v>50.531999999999996</v>
      </c>
      <c r="W202">
        <v>226</v>
      </c>
      <c r="X202">
        <v>1.3259944958719069E-2</v>
      </c>
      <c r="Y202">
        <v>-1.4753341853150641</v>
      </c>
      <c r="Z202">
        <v>-0.15990633614569535</v>
      </c>
      <c r="AB202" s="3">
        <f t="shared" si="33"/>
        <v>-1.0038858747498935E-3</v>
      </c>
      <c r="AC202" s="3">
        <f t="shared" si="34"/>
        <v>-2.8817486388618314E-3</v>
      </c>
      <c r="AD202" s="3">
        <f t="shared" si="35"/>
        <v>-6.5129375339100688E-3</v>
      </c>
      <c r="AE202" s="76">
        <f t="shared" si="36"/>
        <v>5019.5714285714275</v>
      </c>
      <c r="AF202" s="76">
        <f t="shared" si="37"/>
        <v>5901.6488095238092</v>
      </c>
      <c r="AG202" s="76">
        <f t="shared" si="38"/>
        <v>4891.7475769068697</v>
      </c>
      <c r="AN202">
        <v>31133</v>
      </c>
      <c r="AO202" s="5">
        <f t="shared" si="39"/>
        <v>-1.2594458438288227E-3</v>
      </c>
      <c r="AP202" s="5">
        <f t="shared" si="40"/>
        <v>0.27689173222077001</v>
      </c>
      <c r="AR202" s="5">
        <f t="shared" si="41"/>
        <v>-1.5159643989956728E-2</v>
      </c>
      <c r="AS202" s="5">
        <f t="shared" si="42"/>
        <v>-3.0853010923368007E-2</v>
      </c>
      <c r="AT202" s="5">
        <f t="shared" si="43"/>
        <v>-4.1341760203990996E-2</v>
      </c>
    </row>
    <row r="203" spans="1:46" x14ac:dyDescent="0.25">
      <c r="A203" s="3" t="s">
        <v>857</v>
      </c>
      <c r="B203" s="3">
        <v>0</v>
      </c>
      <c r="C203" s="3">
        <v>115.5</v>
      </c>
      <c r="D203" s="3">
        <v>0.38536481515180526</v>
      </c>
      <c r="E203" s="3">
        <v>3.7839072340822854E-4</v>
      </c>
      <c r="F203" s="3">
        <v>115.5</v>
      </c>
      <c r="G203" s="3" t="s">
        <v>858</v>
      </c>
      <c r="H203" s="3">
        <v>0</v>
      </c>
      <c r="I203" s="3">
        <v>115.5</v>
      </c>
      <c r="J203" s="3">
        <v>0.64380121208619301</v>
      </c>
      <c r="K203" s="3">
        <v>-0.96992186283288118</v>
      </c>
      <c r="L203" s="4">
        <v>45225.5</v>
      </c>
      <c r="M203">
        <v>79.94</v>
      </c>
      <c r="N203">
        <v>80.709999999999994</v>
      </c>
      <c r="O203">
        <v>79.400000000000006</v>
      </c>
      <c r="P203">
        <v>79.58</v>
      </c>
      <c r="Q203">
        <v>21326</v>
      </c>
      <c r="R203">
        <v>331998</v>
      </c>
      <c r="S203">
        <v>51</v>
      </c>
      <c r="T203">
        <v>52.2</v>
      </c>
      <c r="U203">
        <v>49.51</v>
      </c>
      <c r="V203">
        <v>50.808999999999997</v>
      </c>
      <c r="W203">
        <v>2153</v>
      </c>
      <c r="X203">
        <v>1.6224919494674115E-2</v>
      </c>
      <c r="Y203">
        <v>-1.1206774149653911</v>
      </c>
      <c r="Z203">
        <v>0.27967828951732354</v>
      </c>
      <c r="AB203" s="3">
        <f t="shared" si="33"/>
        <v>-1.1489605690768838E-3</v>
      </c>
      <c r="AC203" s="3">
        <f t="shared" si="34"/>
        <v>-2.9342499026272957E-3</v>
      </c>
      <c r="AD203" s="3">
        <f t="shared" si="35"/>
        <v>-6.4186405701976874E-3</v>
      </c>
      <c r="AE203" s="76">
        <f t="shared" si="36"/>
        <v>4680.3809523809541</v>
      </c>
      <c r="AF203" s="76">
        <f t="shared" si="37"/>
        <v>5564.8809523809541</v>
      </c>
      <c r="AG203" s="76">
        <f t="shared" si="38"/>
        <v>4616.5895490939729</v>
      </c>
      <c r="AN203">
        <v>13200</v>
      </c>
      <c r="AO203" s="5">
        <f t="shared" si="39"/>
        <v>-4.3887147335422488E-3</v>
      </c>
      <c r="AP203" s="5">
        <f t="shared" si="40"/>
        <v>0.28489008456385717</v>
      </c>
      <c r="AR203" s="5">
        <f t="shared" si="41"/>
        <v>-1.5341939951717731E-2</v>
      </c>
      <c r="AS203" s="5">
        <f t="shared" si="42"/>
        <v>-3.064731344837951E-2</v>
      </c>
      <c r="AT203" s="5">
        <f t="shared" si="43"/>
        <v>-4.0985212678513294E-2</v>
      </c>
    </row>
    <row r="204" spans="1:46" x14ac:dyDescent="0.25">
      <c r="A204" s="3" t="s">
        <v>859</v>
      </c>
      <c r="B204" s="3">
        <v>0</v>
      </c>
      <c r="C204" s="3">
        <v>116</v>
      </c>
      <c r="D204" s="3">
        <v>0.38813961373120826</v>
      </c>
      <c r="E204" s="3">
        <v>3.7594047047550204E-4</v>
      </c>
      <c r="F204" s="3">
        <v>116</v>
      </c>
      <c r="G204" s="3" t="s">
        <v>860</v>
      </c>
      <c r="H204" s="3">
        <v>0</v>
      </c>
      <c r="I204" s="3">
        <v>116</v>
      </c>
      <c r="J204" s="3">
        <v>0.64891155307658011</v>
      </c>
      <c r="K204" s="3">
        <v>-0.96985090805493379</v>
      </c>
      <c r="L204" s="4">
        <v>45224.5</v>
      </c>
      <c r="M204">
        <v>80.739999999999995</v>
      </c>
      <c r="N204">
        <v>80.98</v>
      </c>
      <c r="O204">
        <v>79.75</v>
      </c>
      <c r="P204">
        <v>79.930000000000007</v>
      </c>
      <c r="Q204">
        <v>23599</v>
      </c>
      <c r="R204">
        <v>331051</v>
      </c>
      <c r="S204">
        <v>50.28</v>
      </c>
      <c r="T204">
        <v>51.104999999999997</v>
      </c>
      <c r="U204">
        <v>48.91</v>
      </c>
      <c r="V204">
        <v>49.923999999999999</v>
      </c>
      <c r="W204">
        <v>797</v>
      </c>
      <c r="X204">
        <v>1.5325193122352403E-2</v>
      </c>
      <c r="Y204">
        <v>-1.272737432275072</v>
      </c>
      <c r="Z204">
        <v>0.72057465548176935</v>
      </c>
      <c r="AB204" s="3">
        <f t="shared" si="33"/>
        <v>-1.5639708509227017E-3</v>
      </c>
      <c r="AC204" s="3">
        <f t="shared" si="34"/>
        <v>-3.0374590220369653E-3</v>
      </c>
      <c r="AD204" s="3">
        <f t="shared" si="35"/>
        <v>-6.5259861498484645E-3</v>
      </c>
      <c r="AE204" s="76">
        <f t="shared" si="36"/>
        <v>5041.7142857142862</v>
      </c>
      <c r="AF204" s="76">
        <f t="shared" si="37"/>
        <v>5634.3928571428587</v>
      </c>
      <c r="AG204" s="76">
        <f t="shared" si="38"/>
        <v>4681.6207332490521</v>
      </c>
      <c r="AN204">
        <v>48552</v>
      </c>
      <c r="AO204" s="5">
        <f t="shared" si="39"/>
        <v>-5.7349457673606004E-3</v>
      </c>
      <c r="AP204" s="5">
        <f t="shared" si="40"/>
        <v>0.28485130615259374</v>
      </c>
      <c r="AR204" s="5">
        <f t="shared" si="41"/>
        <v>-1.5912384160450432E-2</v>
      </c>
      <c r="AS204" s="5">
        <f t="shared" si="42"/>
        <v>-3.0819323472604299E-2</v>
      </c>
      <c r="AT204" s="5">
        <f t="shared" si="43"/>
        <v>-4.1022972530746049E-2</v>
      </c>
    </row>
    <row r="205" spans="1:46" x14ac:dyDescent="0.25">
      <c r="A205" s="3" t="s">
        <v>861</v>
      </c>
      <c r="B205" s="3">
        <v>0</v>
      </c>
      <c r="C205" s="3">
        <v>116.5</v>
      </c>
      <c r="D205" s="3">
        <v>0.39090046346977314</v>
      </c>
      <c r="E205" s="3">
        <v>3.7353591711680837E-4</v>
      </c>
      <c r="F205" s="3">
        <v>116.5</v>
      </c>
      <c r="G205" s="3" t="s">
        <v>862</v>
      </c>
      <c r="H205" s="3">
        <v>0</v>
      </c>
      <c r="I205" s="3">
        <v>116.5</v>
      </c>
      <c r="J205" s="3">
        <v>0.65400062330834285</v>
      </c>
      <c r="K205" s="3">
        <v>-0.96978004647870764</v>
      </c>
      <c r="L205" s="4">
        <v>45223.5</v>
      </c>
      <c r="M205">
        <v>80.260000000000005</v>
      </c>
      <c r="N205">
        <v>81.34</v>
      </c>
      <c r="O205">
        <v>80.209999999999994</v>
      </c>
      <c r="P205">
        <v>80.66</v>
      </c>
      <c r="Q205">
        <v>20363</v>
      </c>
      <c r="R205">
        <v>328461</v>
      </c>
      <c r="S205">
        <v>50.6</v>
      </c>
      <c r="T205">
        <v>53.024999999999999</v>
      </c>
      <c r="U205">
        <v>48.49</v>
      </c>
      <c r="V205">
        <v>49.264000000000003</v>
      </c>
      <c r="W205">
        <v>2201</v>
      </c>
      <c r="X205">
        <v>1.3883769504853295E-2</v>
      </c>
      <c r="Y205">
        <v>-1.5099532371090791</v>
      </c>
      <c r="Z205">
        <v>0.12023651376925944</v>
      </c>
      <c r="AB205" s="3">
        <f t="shared" si="33"/>
        <v>-3.7031504502533022E-4</v>
      </c>
      <c r="AC205" s="3">
        <f t="shared" si="34"/>
        <v>-2.1294249769664153E-3</v>
      </c>
      <c r="AD205" s="3">
        <f t="shared" si="35"/>
        <v>-5.8678012417549032E-3</v>
      </c>
      <c r="AE205" s="76">
        <f t="shared" si="36"/>
        <v>5437.3809523809505</v>
      </c>
      <c r="AF205" s="76">
        <f t="shared" si="37"/>
        <v>5552.4642857142862</v>
      </c>
      <c r="AG205" s="76">
        <f t="shared" si="38"/>
        <v>4514.7041719342596</v>
      </c>
      <c r="AN205">
        <v>34658</v>
      </c>
      <c r="AO205" s="5">
        <f t="shared" si="39"/>
        <v>1.8735948038969706E-3</v>
      </c>
      <c r="AP205" s="5">
        <f t="shared" si="40"/>
        <v>0.28749620196162173</v>
      </c>
      <c r="AR205" s="5">
        <f t="shared" si="41"/>
        <v>-1.6507748412973866E-2</v>
      </c>
      <c r="AS205" s="5">
        <f t="shared" si="42"/>
        <v>-3.0784056363174772E-2</v>
      </c>
      <c r="AT205" s="5">
        <f t="shared" si="43"/>
        <v>-4.0876044605518802E-2</v>
      </c>
    </row>
    <row r="206" spans="1:4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>
        <v>45222.5</v>
      </c>
      <c r="M206">
        <v>81.39</v>
      </c>
      <c r="N206">
        <v>81.5</v>
      </c>
      <c r="O206">
        <v>80.06</v>
      </c>
      <c r="P206">
        <v>80.3</v>
      </c>
      <c r="Q206">
        <v>20762</v>
      </c>
      <c r="R206">
        <v>327172</v>
      </c>
      <c r="S206">
        <v>48.23</v>
      </c>
      <c r="T206">
        <v>51.61</v>
      </c>
      <c r="U206">
        <v>48.23</v>
      </c>
      <c r="V206">
        <v>51.276000000000003</v>
      </c>
      <c r="W206">
        <v>192</v>
      </c>
      <c r="X206">
        <v>1.7565259819468135E-2</v>
      </c>
      <c r="Y206">
        <v>-1.0087341058118109</v>
      </c>
      <c r="Z206">
        <v>0.20482385107933412</v>
      </c>
      <c r="AB206" s="3">
        <f t="shared" si="33"/>
        <v>-7.0124354312666587E-4</v>
      </c>
      <c r="AC206" s="3">
        <f t="shared" si="34"/>
        <v>-2.2357183523734094E-3</v>
      </c>
      <c r="AD206" s="3">
        <f t="shared" si="35"/>
        <v>-5.905379674944547E-3</v>
      </c>
      <c r="AE206" s="76">
        <f t="shared" si="36"/>
        <v>5466.8095238095229</v>
      </c>
      <c r="AF206" s="76">
        <f t="shared" si="37"/>
        <v>5343.1904761904771</v>
      </c>
      <c r="AG206" s="76">
        <f t="shared" si="38"/>
        <v>4410.2954066582388</v>
      </c>
      <c r="AN206">
        <v>20614</v>
      </c>
      <c r="AO206" s="5">
        <f t="shared" si="39"/>
        <v>-1.2092793682132329E-2</v>
      </c>
      <c r="AP206" s="5">
        <f t="shared" si="40"/>
        <v>0.29426160012726593</v>
      </c>
      <c r="AR206" s="5">
        <f t="shared" si="41"/>
        <v>-1.7009716060640612E-2</v>
      </c>
      <c r="AS206" s="5">
        <f t="shared" si="42"/>
        <v>-3.0688325772064151E-2</v>
      </c>
      <c r="AT206" s="5">
        <f t="shared" si="43"/>
        <v>-4.0742325599813223E-2</v>
      </c>
    </row>
    <row r="207" spans="1:4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">
        <v>45219.5</v>
      </c>
      <c r="M207">
        <v>81.98</v>
      </c>
      <c r="N207">
        <v>82.5</v>
      </c>
      <c r="O207">
        <v>81.040000000000006</v>
      </c>
      <c r="P207">
        <v>81.67</v>
      </c>
      <c r="Q207">
        <v>20321</v>
      </c>
      <c r="R207">
        <v>324672</v>
      </c>
      <c r="S207">
        <v>52.844999999999999</v>
      </c>
      <c r="T207">
        <v>52.844999999999999</v>
      </c>
      <c r="U207">
        <v>49.51</v>
      </c>
      <c r="V207">
        <v>51.112000000000002</v>
      </c>
      <c r="W207">
        <v>1686</v>
      </c>
      <c r="X207">
        <v>1.7870257037943621E-2</v>
      </c>
      <c r="Y207">
        <v>-0.98444085846022522</v>
      </c>
      <c r="Z207">
        <v>0.12550428623455992</v>
      </c>
      <c r="AB207" s="3">
        <f t="shared" si="33"/>
        <v>2.4181570386764412E-4</v>
      </c>
      <c r="AC207" s="3">
        <f t="shared" si="34"/>
        <v>-1.2195794597268661E-3</v>
      </c>
      <c r="AD207" s="3">
        <f t="shared" si="35"/>
        <v>-5.2529932880931475E-3</v>
      </c>
      <c r="AE207" s="76">
        <f t="shared" si="36"/>
        <v>5582.6666666666679</v>
      </c>
      <c r="AF207" s="76">
        <f t="shared" si="37"/>
        <v>5514.75</v>
      </c>
      <c r="AG207" s="76">
        <f t="shared" si="38"/>
        <v>4526.0417193426038</v>
      </c>
      <c r="AN207">
        <v>37056</v>
      </c>
      <c r="AO207" s="5">
        <f t="shared" si="39"/>
        <v>2.4740227610094362E-3</v>
      </c>
      <c r="AP207" s="5">
        <f t="shared" si="40"/>
        <v>0.29430005112384022</v>
      </c>
      <c r="AR207" s="5">
        <f t="shared" si="41"/>
        <v>-1.7801036258694614E-2</v>
      </c>
      <c r="AS207" s="5">
        <f t="shared" si="42"/>
        <v>-3.088931183961624E-2</v>
      </c>
      <c r="AT207" s="5">
        <f t="shared" si="43"/>
        <v>-4.0905165761881745E-2</v>
      </c>
    </row>
    <row r="208" spans="1:4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">
        <v>45218.5</v>
      </c>
      <c r="M208">
        <v>81.7</v>
      </c>
      <c r="N208">
        <v>82.25</v>
      </c>
      <c r="O208">
        <v>80.84</v>
      </c>
      <c r="P208">
        <v>82</v>
      </c>
      <c r="Q208">
        <v>19481</v>
      </c>
      <c r="R208">
        <v>327814</v>
      </c>
      <c r="S208">
        <v>48.93</v>
      </c>
      <c r="T208">
        <v>50.61</v>
      </c>
      <c r="U208">
        <v>46.835000000000001</v>
      </c>
      <c r="V208">
        <v>50.171999999999997</v>
      </c>
      <c r="W208">
        <v>581</v>
      </c>
      <c r="X208">
        <v>1.7090909090909049E-2</v>
      </c>
      <c r="Y208">
        <v>-1.1107063799110479</v>
      </c>
      <c r="Z208">
        <v>-4.0170617628249576E-2</v>
      </c>
      <c r="AB208" s="3">
        <f t="shared" si="33"/>
        <v>1.3128080635725521E-3</v>
      </c>
      <c r="AC208" s="3">
        <f t="shared" si="34"/>
        <v>-2.3078917191672599E-6</v>
      </c>
      <c r="AD208" s="3">
        <f t="shared" si="35"/>
        <v>-4.2785900570727411E-3</v>
      </c>
      <c r="AE208" s="76">
        <f t="shared" si="36"/>
        <v>5450.0952380952403</v>
      </c>
      <c r="AF208" s="76">
        <f t="shared" si="37"/>
        <v>5504.5357142857138</v>
      </c>
      <c r="AG208" s="76">
        <f t="shared" si="38"/>
        <v>4555.384323640963</v>
      </c>
      <c r="AN208">
        <v>26168</v>
      </c>
      <c r="AO208" s="5">
        <f t="shared" si="39"/>
        <v>-8.0981595092024117E-3</v>
      </c>
      <c r="AP208" s="5">
        <f t="shared" si="40"/>
        <v>0.29429735035707127</v>
      </c>
      <c r="AR208" s="5">
        <f t="shared" si="41"/>
        <v>-1.8189685212308626E-2</v>
      </c>
      <c r="AS208" s="5">
        <f t="shared" si="42"/>
        <v>-3.0837644560652411E-2</v>
      </c>
      <c r="AT208" s="5">
        <f t="shared" si="43"/>
        <v>-4.0859188392493917E-2</v>
      </c>
    </row>
    <row r="209" spans="1:4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">
        <v>45217.5</v>
      </c>
      <c r="M209">
        <v>82.5</v>
      </c>
      <c r="N209">
        <v>83.35</v>
      </c>
      <c r="O209">
        <v>81.5</v>
      </c>
      <c r="P209">
        <v>81.790000000000006</v>
      </c>
      <c r="Q209">
        <v>20872</v>
      </c>
      <c r="R209">
        <v>327174</v>
      </c>
      <c r="S209">
        <v>48.9</v>
      </c>
      <c r="T209">
        <v>51.575000000000003</v>
      </c>
      <c r="U209">
        <v>47.65</v>
      </c>
      <c r="V209">
        <v>50.832999999999998</v>
      </c>
      <c r="W209">
        <v>390</v>
      </c>
      <c r="X209">
        <v>2.2211550006003052E-2</v>
      </c>
      <c r="Y209">
        <v>-0.41456750409253101</v>
      </c>
      <c r="Z209">
        <v>0.2266957968640208</v>
      </c>
      <c r="AB209" s="3">
        <f t="shared" si="33"/>
        <v>1.9629963889108669E-3</v>
      </c>
      <c r="AC209" s="3">
        <f t="shared" si="34"/>
        <v>8.9670253137131423E-4</v>
      </c>
      <c r="AD209" s="3">
        <f t="shared" si="35"/>
        <v>-3.5402573435915179E-3</v>
      </c>
      <c r="AE209" s="76">
        <f t="shared" si="36"/>
        <v>5379.952380952378</v>
      </c>
      <c r="AF209" s="76">
        <f t="shared" si="37"/>
        <v>5617.1904761904734</v>
      </c>
      <c r="AG209" s="76">
        <f t="shared" si="38"/>
        <v>4612.3447113358598</v>
      </c>
      <c r="AN209">
        <v>17421</v>
      </c>
      <c r="AO209" s="5">
        <f t="shared" si="39"/>
        <v>6.1387354205030267E-4</v>
      </c>
      <c r="AP209" s="5">
        <f t="shared" si="40"/>
        <v>0.29425932413771116</v>
      </c>
      <c r="AR209" s="5">
        <f t="shared" si="41"/>
        <v>-1.8604039377308312E-2</v>
      </c>
      <c r="AS209" s="5">
        <f t="shared" si="42"/>
        <v>-3.0799801916589709E-2</v>
      </c>
      <c r="AT209" s="5">
        <f t="shared" si="43"/>
        <v>-4.0826496553279801E-2</v>
      </c>
    </row>
    <row r="210" spans="1:4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">
        <v>45216.5</v>
      </c>
      <c r="M210">
        <v>83.29</v>
      </c>
      <c r="N210">
        <v>83.71</v>
      </c>
      <c r="O210">
        <v>81.45</v>
      </c>
      <c r="P210">
        <v>82.65</v>
      </c>
      <c r="Q210">
        <v>21089</v>
      </c>
      <c r="R210">
        <v>325279</v>
      </c>
      <c r="S210">
        <v>48.21</v>
      </c>
      <c r="T210">
        <v>49.39</v>
      </c>
      <c r="U210">
        <v>46.405000000000001</v>
      </c>
      <c r="V210">
        <v>48.896000000000001</v>
      </c>
      <c r="W210">
        <v>203</v>
      </c>
      <c r="X210">
        <v>2.6507154585972213E-2</v>
      </c>
      <c r="Y210">
        <v>0.18600937552059266</v>
      </c>
      <c r="Z210">
        <v>0.27737173495200046</v>
      </c>
      <c r="AB210" s="3">
        <f t="shared" si="33"/>
        <v>1.2343817840211012E-3</v>
      </c>
      <c r="AC210" s="3">
        <f t="shared" si="34"/>
        <v>2.0610766048990981E-4</v>
      </c>
      <c r="AD210" s="3">
        <f t="shared" si="35"/>
        <v>-4.1233133078251577E-3</v>
      </c>
      <c r="AE210" s="76">
        <f t="shared" si="36"/>
        <v>5407.7142857142862</v>
      </c>
      <c r="AF210" s="76">
        <f t="shared" si="37"/>
        <v>5477.9345238095266</v>
      </c>
      <c r="AG210" s="76">
        <f t="shared" si="38"/>
        <v>4424.3303834808285</v>
      </c>
      <c r="AN210">
        <v>25330</v>
      </c>
      <c r="AO210" s="5">
        <f t="shared" si="39"/>
        <v>-1.8083182640144666E-2</v>
      </c>
      <c r="AP210" s="5">
        <f t="shared" si="40"/>
        <v>0.29432433970803934</v>
      </c>
      <c r="AR210" s="5">
        <f t="shared" si="41"/>
        <v>-1.8999043378335745E-2</v>
      </c>
      <c r="AS210" s="5">
        <f t="shared" si="42"/>
        <v>-3.0732268884707037E-2</v>
      </c>
      <c r="AT210" s="5">
        <f t="shared" si="43"/>
        <v>-4.0765523217028921E-2</v>
      </c>
    </row>
    <row r="211" spans="1:46" x14ac:dyDescent="0.25">
      <c r="L211" s="4">
        <v>45215.5</v>
      </c>
      <c r="M211">
        <v>85.26</v>
      </c>
      <c r="N211">
        <v>85.98</v>
      </c>
      <c r="O211">
        <v>82.95</v>
      </c>
      <c r="P211">
        <v>83.41</v>
      </c>
      <c r="Q211">
        <v>25036</v>
      </c>
      <c r="R211">
        <v>324123</v>
      </c>
      <c r="S211">
        <v>52.664999999999999</v>
      </c>
      <c r="T211">
        <v>52.984999999999999</v>
      </c>
      <c r="U211">
        <v>48.26</v>
      </c>
      <c r="V211">
        <v>48.466999999999999</v>
      </c>
      <c r="W211">
        <v>691</v>
      </c>
      <c r="X211">
        <v>3.5563380281690156E-2</v>
      </c>
      <c r="Y211">
        <v>1.4821808948768849</v>
      </c>
      <c r="Z211">
        <v>1.0432899482168076</v>
      </c>
      <c r="AB211" s="3">
        <f t="shared" si="33"/>
        <v>1.1902337151831095E-3</v>
      </c>
      <c r="AC211" s="3">
        <f t="shared" si="34"/>
        <v>-5.7905110476680344E-5</v>
      </c>
      <c r="AD211" s="3">
        <f t="shared" si="35"/>
        <v>-4.3704867200053885E-3</v>
      </c>
      <c r="AE211" s="76">
        <f t="shared" si="36"/>
        <v>5706.9523809523816</v>
      </c>
      <c r="AF211" s="76">
        <f t="shared" si="37"/>
        <v>5510.5238095238128</v>
      </c>
      <c r="AG211" s="76">
        <f t="shared" si="38"/>
        <v>4410.5048461862643</v>
      </c>
      <c r="AN211">
        <v>30747</v>
      </c>
      <c r="AO211" s="5">
        <f t="shared" si="39"/>
        <v>-2.100790747078958E-2</v>
      </c>
      <c r="AP211" s="5">
        <f t="shared" si="40"/>
        <v>0.2937351086093446</v>
      </c>
      <c r="AR211" s="5">
        <f t="shared" si="41"/>
        <v>-1.9569916292682676E-2</v>
      </c>
      <c r="AS211" s="5">
        <f t="shared" si="42"/>
        <v>-3.0677174404341589E-2</v>
      </c>
      <c r="AT211" s="5">
        <f t="shared" si="43"/>
        <v>-4.0702811058834276E-2</v>
      </c>
    </row>
    <row r="212" spans="1:46" x14ac:dyDescent="0.25">
      <c r="L212" s="4">
        <v>45212.5</v>
      </c>
      <c r="M212">
        <v>85.2</v>
      </c>
      <c r="N212">
        <v>86.6</v>
      </c>
      <c r="O212">
        <v>84.73</v>
      </c>
      <c r="P212">
        <v>85.66</v>
      </c>
      <c r="Q212">
        <v>26594</v>
      </c>
      <c r="R212">
        <v>329794</v>
      </c>
      <c r="S212">
        <v>53.31</v>
      </c>
      <c r="T212">
        <v>55.67</v>
      </c>
      <c r="U212">
        <v>51.185000000000002</v>
      </c>
      <c r="V212">
        <v>53.981999999999999</v>
      </c>
      <c r="W212">
        <v>520</v>
      </c>
      <c r="X212">
        <v>2.2320362855096566E-2</v>
      </c>
      <c r="Y212">
        <v>-0.37494859980486245</v>
      </c>
      <c r="Z212">
        <v>1.370728011008012</v>
      </c>
      <c r="AB212" s="3">
        <f t="shared" si="33"/>
        <v>9.6761170807431809E-4</v>
      </c>
      <c r="AC212" s="3">
        <f t="shared" si="34"/>
        <v>-2.6694921971691724E-4</v>
      </c>
      <c r="AD212" s="3">
        <f t="shared" si="35"/>
        <v>-4.6488136428782419E-3</v>
      </c>
      <c r="AE212" s="76">
        <f t="shared" si="36"/>
        <v>5436.1428571428587</v>
      </c>
      <c r="AF212" s="76">
        <f t="shared" si="37"/>
        <v>5232.2976190476184</v>
      </c>
      <c r="AG212" s="76">
        <f t="shared" si="38"/>
        <v>4116.8567214496434</v>
      </c>
      <c r="AN212">
        <v>20492</v>
      </c>
      <c r="AO212" s="5">
        <f t="shared" si="39"/>
        <v>1.5338526063511097E-2</v>
      </c>
      <c r="AP212" s="5">
        <f t="shared" si="40"/>
        <v>0.29324716796330991</v>
      </c>
      <c r="AR212" s="5">
        <f t="shared" si="41"/>
        <v>-2.0174840826081397E-2</v>
      </c>
      <c r="AS212" s="5">
        <f t="shared" si="42"/>
        <v>-3.060880080646311E-2</v>
      </c>
      <c r="AT212" s="5">
        <f t="shared" si="43"/>
        <v>-4.0605642761823546E-2</v>
      </c>
    </row>
    <row r="213" spans="1:46" x14ac:dyDescent="0.25">
      <c r="L213" s="4">
        <v>45211.5</v>
      </c>
      <c r="M213">
        <v>83.78</v>
      </c>
      <c r="N213">
        <v>85.7</v>
      </c>
      <c r="O213">
        <v>83.45</v>
      </c>
      <c r="P213">
        <v>85.45</v>
      </c>
      <c r="Q213">
        <v>19116</v>
      </c>
      <c r="R213">
        <v>330049</v>
      </c>
      <c r="S213">
        <v>45.795000000000002</v>
      </c>
      <c r="T213">
        <v>53.164999999999999</v>
      </c>
      <c r="U213">
        <v>45.344999999999999</v>
      </c>
      <c r="V213">
        <v>53.002000000000002</v>
      </c>
      <c r="W213">
        <v>1726</v>
      </c>
      <c r="X213">
        <v>2.6661926768574474E-2</v>
      </c>
      <c r="Y213">
        <v>0.25374864642279837</v>
      </c>
      <c r="Z213">
        <v>-1.2316354307683594E-2</v>
      </c>
      <c r="AB213" s="3">
        <f t="shared" si="33"/>
        <v>7.2926862212764273E-4</v>
      </c>
      <c r="AC213" s="3">
        <f t="shared" si="34"/>
        <v>-5.7753902753132982E-4</v>
      </c>
      <c r="AD213" s="3">
        <f t="shared" si="35"/>
        <v>-4.752529494139849E-3</v>
      </c>
      <c r="AE213" s="76">
        <f t="shared" si="36"/>
        <v>4941.7619047619046</v>
      </c>
      <c r="AF213" s="76">
        <f t="shared" si="37"/>
        <v>4773.0119047619046</v>
      </c>
      <c r="AG213" s="76">
        <f t="shared" si="38"/>
        <v>3816.7100716392779</v>
      </c>
      <c r="AN213">
        <v>24297</v>
      </c>
      <c r="AO213" s="5">
        <f t="shared" si="39"/>
        <v>3.5962598897148329E-4</v>
      </c>
      <c r="AP213" s="5">
        <f t="shared" si="40"/>
        <v>0.2935573240463496</v>
      </c>
      <c r="AR213" s="5">
        <f t="shared" si="41"/>
        <v>-2.0729934859718913E-2</v>
      </c>
      <c r="AS213" s="5">
        <f t="shared" si="42"/>
        <v>-3.0502267900975877E-2</v>
      </c>
      <c r="AT213" s="5">
        <f t="shared" si="43"/>
        <v>-4.0472907789673995E-2</v>
      </c>
    </row>
    <row r="214" spans="1:46" x14ac:dyDescent="0.25">
      <c r="L214" s="4">
        <v>45210.5</v>
      </c>
      <c r="M214">
        <v>84.39</v>
      </c>
      <c r="N214">
        <v>85.03</v>
      </c>
      <c r="O214">
        <v>83.42</v>
      </c>
      <c r="P214">
        <v>83.78</v>
      </c>
      <c r="Q214">
        <v>30964</v>
      </c>
      <c r="R214">
        <v>328918</v>
      </c>
      <c r="S214">
        <v>48.685000000000002</v>
      </c>
      <c r="T214">
        <v>49.53</v>
      </c>
      <c r="U214">
        <v>45.674999999999997</v>
      </c>
      <c r="V214">
        <v>46.067999999999998</v>
      </c>
      <c r="W214">
        <v>3008</v>
      </c>
      <c r="X214">
        <v>1.9665323073164764E-2</v>
      </c>
      <c r="Y214">
        <v>-0.73398211178427852</v>
      </c>
      <c r="Z214">
        <v>2.2459435601521625</v>
      </c>
      <c r="AB214" s="3">
        <f t="shared" si="33"/>
        <v>2.2658228469274663E-3</v>
      </c>
      <c r="AC214" s="3">
        <f t="shared" si="34"/>
        <v>1.1035363991492367E-4</v>
      </c>
      <c r="AD214" s="3">
        <f t="shared" si="35"/>
        <v>-3.9210294248377617E-3</v>
      </c>
      <c r="AE214" s="76">
        <f t="shared" si="36"/>
        <v>5796.7619047619046</v>
      </c>
      <c r="AF214" s="76">
        <f t="shared" si="37"/>
        <v>5227.2619047619046</v>
      </c>
      <c r="AG214" s="76">
        <f t="shared" si="38"/>
        <v>4369.751790981878</v>
      </c>
      <c r="AN214">
        <v>25314</v>
      </c>
      <c r="AO214" s="5">
        <f t="shared" si="39"/>
        <v>2.2554547683255741E-2</v>
      </c>
      <c r="AP214" s="5">
        <f t="shared" si="40"/>
        <v>0.29373130512155954</v>
      </c>
      <c r="AR214" s="5">
        <f t="shared" si="41"/>
        <v>-2.1339220047236485E-2</v>
      </c>
      <c r="AS214" s="5">
        <f t="shared" si="42"/>
        <v>-3.044667250659705E-2</v>
      </c>
      <c r="AT214" s="5">
        <f t="shared" si="43"/>
        <v>-4.0362505569799589E-2</v>
      </c>
    </row>
    <row r="215" spans="1:46" x14ac:dyDescent="0.25">
      <c r="L215" s="4">
        <v>45209.5</v>
      </c>
      <c r="M215">
        <v>81.87</v>
      </c>
      <c r="N215">
        <v>85.06</v>
      </c>
      <c r="O215">
        <v>81.58</v>
      </c>
      <c r="P215">
        <v>84.74</v>
      </c>
      <c r="Q215">
        <v>30485</v>
      </c>
      <c r="R215">
        <v>324524</v>
      </c>
      <c r="S215">
        <v>46.01</v>
      </c>
      <c r="T215">
        <v>49.73</v>
      </c>
      <c r="U215">
        <v>45.23</v>
      </c>
      <c r="V215">
        <v>49.454999999999998</v>
      </c>
      <c r="W215">
        <v>2089</v>
      </c>
      <c r="X215">
        <v>4.3149411035337926E-2</v>
      </c>
      <c r="Y215">
        <v>2.6083465920260727</v>
      </c>
      <c r="Z215">
        <v>2.2753952488553582</v>
      </c>
      <c r="AB215" s="3">
        <f t="shared" si="33"/>
        <v>1.7822794471420225E-3</v>
      </c>
      <c r="AC215" s="3">
        <f t="shared" si="34"/>
        <v>-4.4550125971679067E-4</v>
      </c>
      <c r="AD215" s="3">
        <f t="shared" si="35"/>
        <v>-4.0565529098746528E-3</v>
      </c>
      <c r="AE215" s="76">
        <f t="shared" si="36"/>
        <v>5539.0952380952367</v>
      </c>
      <c r="AF215" s="76">
        <f t="shared" si="37"/>
        <v>4696.5595238095229</v>
      </c>
      <c r="AG215" s="76">
        <f t="shared" si="38"/>
        <v>3913.131900547829</v>
      </c>
      <c r="AN215">
        <v>22618</v>
      </c>
      <c r="AO215" s="5">
        <f t="shared" si="39"/>
        <v>1.9749999999999979E-2</v>
      </c>
      <c r="AP215" s="5">
        <f t="shared" si="40"/>
        <v>0.29315978271823717</v>
      </c>
      <c r="AR215" s="5">
        <f t="shared" si="41"/>
        <v>-2.1975303447371142E-2</v>
      </c>
      <c r="AS215" s="5">
        <f t="shared" si="42"/>
        <v>-3.040223463231001E-2</v>
      </c>
      <c r="AT215" s="5">
        <f t="shared" si="43"/>
        <v>-4.0280243335464927E-2</v>
      </c>
    </row>
    <row r="216" spans="1:46" x14ac:dyDescent="0.25">
      <c r="L216" s="4">
        <v>45208.5</v>
      </c>
      <c r="M216">
        <v>80.650000000000006</v>
      </c>
      <c r="N216">
        <v>81.99</v>
      </c>
      <c r="O216">
        <v>80</v>
      </c>
      <c r="P216">
        <v>81.63</v>
      </c>
      <c r="Q216">
        <v>36589</v>
      </c>
      <c r="R216">
        <v>325268</v>
      </c>
      <c r="S216">
        <v>41.17</v>
      </c>
      <c r="T216">
        <v>44.534999999999997</v>
      </c>
      <c r="U216">
        <v>40.619999999999997</v>
      </c>
      <c r="V216">
        <v>43.953000000000003</v>
      </c>
      <c r="W216">
        <v>864</v>
      </c>
      <c r="X216">
        <v>2.4613481756338838E-2</v>
      </c>
      <c r="Y216">
        <v>-8.842934545737766E-3</v>
      </c>
      <c r="Z216">
        <v>3.6776636024677511</v>
      </c>
      <c r="AB216" s="3">
        <f t="shared" si="33"/>
        <v>-3.9506133505678998E-4</v>
      </c>
      <c r="AC216" s="3">
        <f t="shared" si="34"/>
        <v>-2.1123521566416281E-3</v>
      </c>
      <c r="AD216" s="3">
        <f t="shared" si="35"/>
        <v>-5.5076608881442606E-3</v>
      </c>
      <c r="AE216" s="76">
        <f t="shared" si="36"/>
        <v>5240.4761904761908</v>
      </c>
      <c r="AF216" s="76">
        <f t="shared" si="37"/>
        <v>4126.9880952380954</v>
      </c>
      <c r="AG216" s="76">
        <f t="shared" si="38"/>
        <v>3334.0370838600938</v>
      </c>
      <c r="AN216">
        <v>35694</v>
      </c>
      <c r="AO216" s="5">
        <f t="shared" si="39"/>
        <v>0</v>
      </c>
      <c r="AP216" s="5">
        <f t="shared" si="40"/>
        <v>0.29257948523711774</v>
      </c>
      <c r="AR216" s="5">
        <f t="shared" si="41"/>
        <v>-2.2404339938584317E-2</v>
      </c>
      <c r="AS216" s="5">
        <f t="shared" si="42"/>
        <v>-3.0206076725488362E-2</v>
      </c>
      <c r="AT216" s="5">
        <f t="shared" si="43"/>
        <v>-4.0070931126427345E-2</v>
      </c>
    </row>
    <row r="217" spans="1:46" x14ac:dyDescent="0.25">
      <c r="L217" s="4">
        <v>45205.5</v>
      </c>
      <c r="M217">
        <v>80.849999999999994</v>
      </c>
      <c r="N217">
        <v>81.25</v>
      </c>
      <c r="O217">
        <v>80</v>
      </c>
      <c r="P217">
        <v>80.62</v>
      </c>
      <c r="Q217">
        <v>15846</v>
      </c>
      <c r="R217">
        <v>322957</v>
      </c>
      <c r="S217">
        <v>36</v>
      </c>
      <c r="T217">
        <v>38.515000000000001</v>
      </c>
      <c r="U217">
        <v>35.914999999999999</v>
      </c>
      <c r="V217">
        <v>38.231000000000002</v>
      </c>
      <c r="W217">
        <v>2784</v>
      </c>
      <c r="X217">
        <v>1.5271838729383019E-2</v>
      </c>
      <c r="Y217">
        <v>-1.4103861440471284</v>
      </c>
      <c r="Z217">
        <v>-0.64520886369766095</v>
      </c>
      <c r="AB217" s="3">
        <f t="shared" si="33"/>
        <v>2.2360332580395603E-4</v>
      </c>
      <c r="AC217" s="3">
        <f t="shared" si="34"/>
        <v>-1.7157472279494129E-3</v>
      </c>
      <c r="AD217" s="3">
        <f t="shared" si="35"/>
        <v>-5.1121516623862696E-3</v>
      </c>
      <c r="AE217" s="76">
        <f t="shared" si="36"/>
        <v>4716.8095238095248</v>
      </c>
      <c r="AF217" s="76">
        <f t="shared" si="37"/>
        <v>3278.2976190476184</v>
      </c>
      <c r="AG217" s="76">
        <f t="shared" si="38"/>
        <v>2559.0311841550792</v>
      </c>
      <c r="AN217">
        <v>34207</v>
      </c>
      <c r="AO217" s="5">
        <f t="shared" si="39"/>
        <v>-3.735990037359865E-3</v>
      </c>
      <c r="AP217" s="5">
        <f t="shared" si="40"/>
        <v>0.29399839534462441</v>
      </c>
      <c r="AR217" s="5">
        <f t="shared" si="41"/>
        <v>-2.2816316493441069E-2</v>
      </c>
      <c r="AS217" s="5">
        <f t="shared" si="42"/>
        <v>-2.9987497840456789E-2</v>
      </c>
      <c r="AT217" s="5">
        <f t="shared" si="43"/>
        <v>-3.9834994901256415E-2</v>
      </c>
    </row>
    <row r="218" spans="1:46" x14ac:dyDescent="0.25">
      <c r="L218" s="4">
        <v>45204.5</v>
      </c>
      <c r="M218">
        <v>81.849999999999994</v>
      </c>
      <c r="N218">
        <v>82.37</v>
      </c>
      <c r="O218">
        <v>80.3</v>
      </c>
      <c r="P218">
        <v>80.86</v>
      </c>
      <c r="Q218">
        <v>24617</v>
      </c>
      <c r="R218">
        <v>322524</v>
      </c>
      <c r="S218">
        <v>37.619999999999997</v>
      </c>
      <c r="T218">
        <v>37.619999999999997</v>
      </c>
      <c r="U218">
        <v>36.049999999999997</v>
      </c>
      <c r="V218">
        <v>36.207000000000001</v>
      </c>
      <c r="W218">
        <v>1067</v>
      </c>
      <c r="X218">
        <v>2.5917115312382714E-2</v>
      </c>
      <c r="Y218">
        <v>0.18242375995955259</v>
      </c>
      <c r="Z218">
        <v>1.3794856151062165</v>
      </c>
      <c r="AB218" s="3">
        <f t="shared" si="33"/>
        <v>-1.6653243410033602E-6</v>
      </c>
      <c r="AC218" s="3">
        <f t="shared" si="34"/>
        <v>-2.1405219709457711E-3</v>
      </c>
      <c r="AD218" s="3">
        <f t="shared" si="35"/>
        <v>-5.1847287564273092E-3</v>
      </c>
      <c r="AE218" s="76">
        <f t="shared" si="36"/>
        <v>4738.5714285714294</v>
      </c>
      <c r="AF218" s="76">
        <f t="shared" si="37"/>
        <v>3078.875</v>
      </c>
      <c r="AG218" s="76">
        <f t="shared" si="38"/>
        <v>2622.5322376738332</v>
      </c>
      <c r="AN218">
        <v>29219</v>
      </c>
      <c r="AO218" s="5">
        <f t="shared" si="39"/>
        <v>9.3011563599798251E-3</v>
      </c>
      <c r="AP218" s="5">
        <f t="shared" si="40"/>
        <v>0.29561442091654461</v>
      </c>
      <c r="AR218" s="5">
        <f t="shared" si="41"/>
        <v>-2.3343620511715568E-2</v>
      </c>
      <c r="AS218" s="5">
        <f t="shared" si="42"/>
        <v>-2.9849386666235378E-2</v>
      </c>
      <c r="AT218" s="5">
        <f t="shared" si="43"/>
        <v>-3.9678355429596412E-2</v>
      </c>
    </row>
    <row r="219" spans="1:46" x14ac:dyDescent="0.25">
      <c r="L219" s="4">
        <v>45203.5</v>
      </c>
      <c r="M219">
        <v>79.87</v>
      </c>
      <c r="N219">
        <v>82.49</v>
      </c>
      <c r="O219">
        <v>79.56</v>
      </c>
      <c r="P219">
        <v>81.819999999999993</v>
      </c>
      <c r="Q219">
        <v>34912</v>
      </c>
      <c r="R219">
        <v>319395</v>
      </c>
      <c r="S219">
        <v>37.6</v>
      </c>
      <c r="T219">
        <v>38.645000000000003</v>
      </c>
      <c r="U219">
        <v>36.965000000000003</v>
      </c>
      <c r="V219">
        <v>38.441000000000003</v>
      </c>
      <c r="W219">
        <v>1342</v>
      </c>
      <c r="X219">
        <v>3.630731102850053E-2</v>
      </c>
      <c r="Y219">
        <v>1.7650093091070851</v>
      </c>
      <c r="Z219">
        <v>3.8408134956674149</v>
      </c>
      <c r="AB219" s="3">
        <f t="shared" si="33"/>
        <v>-6.6765705990551663E-4</v>
      </c>
      <c r="AC219" s="3">
        <f t="shared" si="34"/>
        <v>-2.6502474673247012E-3</v>
      </c>
      <c r="AD219" s="3">
        <f t="shared" si="35"/>
        <v>-5.4794028781760748E-3</v>
      </c>
      <c r="AE219" s="76">
        <f t="shared" si="36"/>
        <v>4388.0476190476184</v>
      </c>
      <c r="AF219" s="76">
        <f t="shared" si="37"/>
        <v>2625.25</v>
      </c>
      <c r="AG219" s="76">
        <f t="shared" si="38"/>
        <v>2336.7964601769927</v>
      </c>
      <c r="AN219">
        <v>32467</v>
      </c>
      <c r="AO219" s="5">
        <f t="shared" si="39"/>
        <v>7.5471698113210406E-4</v>
      </c>
      <c r="AP219" s="5">
        <f t="shared" si="40"/>
        <v>0.29594836105001987</v>
      </c>
      <c r="AR219" s="5">
        <f t="shared" si="41"/>
        <v>-2.3801215640542495E-2</v>
      </c>
      <c r="AS219" s="5">
        <f t="shared" si="42"/>
        <v>-2.9698904916680091E-2</v>
      </c>
      <c r="AT219" s="5">
        <f t="shared" si="43"/>
        <v>-3.9519697812723409E-2</v>
      </c>
    </row>
    <row r="220" spans="1:46" x14ac:dyDescent="0.25">
      <c r="L220" s="4">
        <v>45202.5</v>
      </c>
      <c r="M220">
        <v>80.7</v>
      </c>
      <c r="N220">
        <v>80.91</v>
      </c>
      <c r="O220">
        <v>79.5</v>
      </c>
      <c r="P220">
        <v>79.8</v>
      </c>
      <c r="Q220">
        <v>27463</v>
      </c>
      <c r="R220">
        <v>313183</v>
      </c>
      <c r="S220">
        <v>37.89</v>
      </c>
      <c r="T220">
        <v>37.89</v>
      </c>
      <c r="U220">
        <v>35.880000000000003</v>
      </c>
      <c r="V220">
        <v>36.987000000000002</v>
      </c>
      <c r="W220">
        <v>1976</v>
      </c>
      <c r="X220">
        <v>1.7317612380250511E-2</v>
      </c>
      <c r="Y220">
        <v>-1.059737247136475</v>
      </c>
      <c r="Z220">
        <v>2.4403442968173992</v>
      </c>
      <c r="AB220" s="3">
        <f t="shared" si="33"/>
        <v>-2.1524409662900916E-3</v>
      </c>
      <c r="AC220" s="3">
        <f t="shared" si="34"/>
        <v>-4.0980210508897406E-3</v>
      </c>
      <c r="AD220" s="3">
        <f t="shared" si="35"/>
        <v>-6.6027007115043862E-3</v>
      </c>
      <c r="AE220" s="76">
        <f t="shared" si="36"/>
        <v>4013.3809523809541</v>
      </c>
      <c r="AF220" s="76">
        <f t="shared" si="37"/>
        <v>2038.125</v>
      </c>
      <c r="AG220" s="76">
        <f t="shared" si="38"/>
        <v>1702.5436156763608</v>
      </c>
      <c r="AN220">
        <v>23462</v>
      </c>
      <c r="AO220" s="5">
        <f t="shared" si="39"/>
        <v>-1.3647642679900675E-2</v>
      </c>
      <c r="AP220" s="5">
        <f t="shared" si="40"/>
        <v>0.29639765926666917</v>
      </c>
      <c r="AR220" s="5">
        <f t="shared" si="41"/>
        <v>-2.4231313654488329E-2</v>
      </c>
      <c r="AS220" s="5">
        <f t="shared" si="42"/>
        <v>-2.951620666234156E-2</v>
      </c>
      <c r="AT220" s="5">
        <f t="shared" si="43"/>
        <v>-3.9351228188534815E-2</v>
      </c>
    </row>
    <row r="221" spans="1:46" x14ac:dyDescent="0.25">
      <c r="L221" s="4">
        <v>45201.5</v>
      </c>
      <c r="M221">
        <v>81.42</v>
      </c>
      <c r="N221">
        <v>81.66</v>
      </c>
      <c r="O221">
        <v>80.599999999999994</v>
      </c>
      <c r="P221">
        <v>80.7</v>
      </c>
      <c r="Q221">
        <v>27763</v>
      </c>
      <c r="R221">
        <v>313620</v>
      </c>
      <c r="S221">
        <v>40.61</v>
      </c>
      <c r="T221">
        <v>40.61</v>
      </c>
      <c r="U221">
        <v>38.555</v>
      </c>
      <c r="V221">
        <v>39.335000000000001</v>
      </c>
      <c r="W221">
        <v>1432</v>
      </c>
      <c r="X221">
        <v>1.2771084337349425E-2</v>
      </c>
      <c r="Y221">
        <v>-1.7442955971846961</v>
      </c>
      <c r="Z221">
        <v>2.6830732321491659</v>
      </c>
      <c r="AB221" s="3">
        <f t="shared" si="33"/>
        <v>-2.2460774633794485E-3</v>
      </c>
      <c r="AC221" s="3">
        <f t="shared" si="34"/>
        <v>-3.9997111434203515E-3</v>
      </c>
      <c r="AD221" s="3">
        <f t="shared" si="35"/>
        <v>-6.3664200977597597E-3</v>
      </c>
      <c r="AE221" s="76">
        <f t="shared" si="36"/>
        <v>3643.4285714285706</v>
      </c>
      <c r="AF221" s="76">
        <f t="shared" si="37"/>
        <v>1404.5416666666642</v>
      </c>
      <c r="AG221" s="76">
        <f t="shared" si="38"/>
        <v>1038.9624947324046</v>
      </c>
      <c r="AN221">
        <v>11805</v>
      </c>
      <c r="AO221" s="5">
        <f t="shared" si="39"/>
        <v>-9.8280098280099665E-3</v>
      </c>
      <c r="AP221" s="5">
        <f t="shared" si="40"/>
        <v>0.29651579983273485</v>
      </c>
      <c r="AR221" s="5">
        <f t="shared" si="41"/>
        <v>-2.4113847093315655E-2</v>
      </c>
      <c r="AS221" s="5">
        <f t="shared" si="42"/>
        <v>-2.8971081120705788E-2</v>
      </c>
      <c r="AT221" s="5">
        <f t="shared" si="43"/>
        <v>-3.8874168282857835E-2</v>
      </c>
    </row>
    <row r="222" spans="1:46" x14ac:dyDescent="0.25">
      <c r="L222" s="4">
        <v>45198.5</v>
      </c>
      <c r="M222">
        <v>83</v>
      </c>
      <c r="N222">
        <v>83.24</v>
      </c>
      <c r="O222">
        <v>81.400000000000006</v>
      </c>
      <c r="P222">
        <v>81.45</v>
      </c>
      <c r="Q222">
        <v>14233</v>
      </c>
      <c r="R222">
        <v>312544</v>
      </c>
      <c r="S222">
        <v>43</v>
      </c>
      <c r="T222">
        <v>43</v>
      </c>
      <c r="U222">
        <v>41.23</v>
      </c>
      <c r="V222">
        <v>41.859000000000002</v>
      </c>
      <c r="W222">
        <v>2016</v>
      </c>
      <c r="X222">
        <v>2.2485640962971884E-2</v>
      </c>
      <c r="Y222">
        <v>-0.31271954135210855</v>
      </c>
      <c r="Z222">
        <v>-1.0792621539300657</v>
      </c>
      <c r="AB222" s="3">
        <f t="shared" si="33"/>
        <v>-2.8397523773353098E-3</v>
      </c>
      <c r="AC222" s="3">
        <f t="shared" si="34"/>
        <v>-4.3026834561679002E-3</v>
      </c>
      <c r="AD222" s="3">
        <f t="shared" si="35"/>
        <v>-6.3640762180766051E-3</v>
      </c>
      <c r="AE222" s="76">
        <f t="shared" si="36"/>
        <v>2843.5714285714294</v>
      </c>
      <c r="AF222" s="76">
        <f t="shared" si="37"/>
        <v>417.01190476190459</v>
      </c>
      <c r="AG222" s="76">
        <f t="shared" si="38"/>
        <v>277.64433206911053</v>
      </c>
      <c r="AN222">
        <v>27537</v>
      </c>
      <c r="AO222" s="5">
        <f t="shared" si="39"/>
        <v>-5.1332192617940297E-3</v>
      </c>
      <c r="AP222" s="5">
        <f t="shared" si="40"/>
        <v>0.29650099502331184</v>
      </c>
      <c r="AR222" s="5">
        <f t="shared" si="41"/>
        <v>-2.3686171759566221E-2</v>
      </c>
      <c r="AS222" s="5">
        <f t="shared" si="42"/>
        <v>-2.8212087803605068E-2</v>
      </c>
      <c r="AT222" s="5">
        <f t="shared" si="43"/>
        <v>-3.8232492005156438E-2</v>
      </c>
    </row>
    <row r="223" spans="1:46" x14ac:dyDescent="0.25">
      <c r="L223" s="4">
        <v>45197.5</v>
      </c>
      <c r="M223">
        <v>81.83</v>
      </c>
      <c r="N223">
        <v>83.24</v>
      </c>
      <c r="O223">
        <v>81.819999999999993</v>
      </c>
      <c r="P223">
        <v>83.11</v>
      </c>
      <c r="Q223">
        <v>14315</v>
      </c>
      <c r="R223">
        <v>312145</v>
      </c>
      <c r="S223">
        <v>40.630000000000003</v>
      </c>
      <c r="T223">
        <v>41.6</v>
      </c>
      <c r="U223">
        <v>39.5</v>
      </c>
      <c r="V223">
        <v>39.735999999999997</v>
      </c>
      <c r="W223">
        <v>1780</v>
      </c>
      <c r="X223">
        <v>1.7180883242589252E-2</v>
      </c>
      <c r="Y223">
        <v>-1.146865813449732</v>
      </c>
      <c r="Z223">
        <v>-1.0639902843330495</v>
      </c>
      <c r="AB223" s="3">
        <f t="shared" si="33"/>
        <v>-3.0634483527140106E-3</v>
      </c>
      <c r="AC223" s="3">
        <f t="shared" si="34"/>
        <v>-4.8932246998965243E-3</v>
      </c>
      <c r="AD223" s="3">
        <f t="shared" si="35"/>
        <v>-6.5203700502013996E-3</v>
      </c>
      <c r="AE223" s="76">
        <f t="shared" si="36"/>
        <v>2245.0476190476184</v>
      </c>
      <c r="AF223" s="76">
        <f t="shared" si="37"/>
        <v>6.5416666666678793</v>
      </c>
      <c r="AG223" s="76">
        <f t="shared" si="38"/>
        <v>122.85756426464286</v>
      </c>
      <c r="AN223">
        <v>21814</v>
      </c>
      <c r="AO223" s="5">
        <f t="shared" si="39"/>
        <v>2.6960784313725351E-3</v>
      </c>
      <c r="AP223" s="5">
        <f t="shared" si="40"/>
        <v>0.29660661150201462</v>
      </c>
      <c r="AR223" s="5">
        <f t="shared" si="41"/>
        <v>-2.3292192781800281E-2</v>
      </c>
      <c r="AS223" s="5">
        <f t="shared" si="42"/>
        <v>-2.745517158853511E-2</v>
      </c>
      <c r="AT223" s="5">
        <f t="shared" si="43"/>
        <v>-3.7603142322722549E-2</v>
      </c>
    </row>
    <row r="224" spans="1:46" x14ac:dyDescent="0.25">
      <c r="L224" s="4">
        <v>45196.5</v>
      </c>
      <c r="M224">
        <v>82.65</v>
      </c>
      <c r="N224">
        <v>83.05</v>
      </c>
      <c r="O224">
        <v>81.599999999999994</v>
      </c>
      <c r="P224">
        <v>81.86</v>
      </c>
      <c r="Q224">
        <v>22128</v>
      </c>
      <c r="R224">
        <v>311418</v>
      </c>
      <c r="S224">
        <v>40.32</v>
      </c>
      <c r="T224">
        <v>40.32</v>
      </c>
      <c r="U224">
        <v>38.72</v>
      </c>
      <c r="V224">
        <v>39.295999999999999</v>
      </c>
      <c r="W224">
        <v>339</v>
      </c>
      <c r="X224">
        <v>1.7060830685963087E-2</v>
      </c>
      <c r="Y224">
        <v>-1.1764493669913609</v>
      </c>
      <c r="Z224">
        <v>1.2343707689091772</v>
      </c>
      <c r="AB224" s="3">
        <f t="shared" si="33"/>
        <v>-3.4360464647098313E-3</v>
      </c>
      <c r="AC224" s="3">
        <f t="shared" si="34"/>
        <v>-4.9845866594146644E-3</v>
      </c>
      <c r="AD224" s="3">
        <f t="shared" si="35"/>
        <v>-6.7149689924845823E-3</v>
      </c>
      <c r="AE224" s="76">
        <f t="shared" si="36"/>
        <v>1987.7619047619046</v>
      </c>
      <c r="AF224" s="76">
        <f t="shared" si="37"/>
        <v>-192.98214285714494</v>
      </c>
      <c r="AG224" s="76">
        <f t="shared" si="38"/>
        <v>107.60682680151513</v>
      </c>
      <c r="AN224">
        <v>24171</v>
      </c>
      <c r="AO224" s="5">
        <f t="shared" si="39"/>
        <v>-1.102896618591699E-2</v>
      </c>
      <c r="AP224" s="5">
        <f t="shared" si="40"/>
        <v>0.29663820181639194</v>
      </c>
      <c r="AR224" s="5">
        <f t="shared" si="41"/>
        <v>-2.2883597985817516E-2</v>
      </c>
      <c r="AS224" s="5">
        <f t="shared" si="42"/>
        <v>-2.6657921909870652E-2</v>
      </c>
      <c r="AT224" s="5">
        <f t="shared" si="43"/>
        <v>-3.6954243570139489E-2</v>
      </c>
    </row>
    <row r="225" spans="12:46" x14ac:dyDescent="0.25">
      <c r="L225" s="4">
        <v>45195.5</v>
      </c>
      <c r="M225">
        <v>84.99</v>
      </c>
      <c r="N225">
        <v>85.13</v>
      </c>
      <c r="O225">
        <v>82.51</v>
      </c>
      <c r="P225">
        <v>82.51</v>
      </c>
      <c r="Q225">
        <v>20500</v>
      </c>
      <c r="R225">
        <v>309458</v>
      </c>
      <c r="S225">
        <v>42.85</v>
      </c>
      <c r="T225">
        <v>42.98</v>
      </c>
      <c r="U225">
        <v>39.299999999999997</v>
      </c>
      <c r="V225">
        <v>40.322000000000003</v>
      </c>
      <c r="W225">
        <v>828</v>
      </c>
      <c r="X225">
        <v>3.0482838859802096E-2</v>
      </c>
      <c r="Y225">
        <v>0.87472025229066508</v>
      </c>
      <c r="Z225">
        <v>0.77537434905662006</v>
      </c>
      <c r="AB225" s="3">
        <f t="shared" si="33"/>
        <v>-3.3480844260471362E-3</v>
      </c>
      <c r="AC225" s="3">
        <f t="shared" si="34"/>
        <v>-4.8207197202397023E-3</v>
      </c>
      <c r="AD225" s="3">
        <f t="shared" si="35"/>
        <v>-6.4003935140694961E-3</v>
      </c>
      <c r="AE225" s="76">
        <f t="shared" si="36"/>
        <v>1382.3809523809541</v>
      </c>
      <c r="AF225" s="76">
        <f t="shared" si="37"/>
        <v>-609.75</v>
      </c>
      <c r="AG225" s="76">
        <f t="shared" si="38"/>
        <v>-296.82806573956987</v>
      </c>
      <c r="AN225">
        <v>24059</v>
      </c>
      <c r="AO225" s="5">
        <f t="shared" si="39"/>
        <v>-2.5970959745012262E-2</v>
      </c>
      <c r="AP225" s="5">
        <f t="shared" si="40"/>
        <v>0.29978624506202139</v>
      </c>
      <c r="AR225" s="5">
        <f t="shared" si="41"/>
        <v>-2.2446276349444849E-2</v>
      </c>
      <c r="AS225" s="5">
        <f t="shared" si="42"/>
        <v>-2.5841848818955016E-2</v>
      </c>
      <c r="AT225" s="5">
        <f t="shared" si="43"/>
        <v>-3.628531425878706E-2</v>
      </c>
    </row>
    <row r="226" spans="12:46" x14ac:dyDescent="0.25">
      <c r="L226" s="4">
        <v>45194.5</v>
      </c>
      <c r="M226">
        <v>85.95</v>
      </c>
      <c r="N226">
        <v>85.96</v>
      </c>
      <c r="O226">
        <v>84.71</v>
      </c>
      <c r="P226">
        <v>84.89</v>
      </c>
      <c r="Q226">
        <v>18021</v>
      </c>
      <c r="R226">
        <v>306618</v>
      </c>
      <c r="S226">
        <v>39.475000000000001</v>
      </c>
      <c r="T226">
        <v>44.73</v>
      </c>
      <c r="U226">
        <v>39.475000000000001</v>
      </c>
      <c r="V226">
        <v>44.442</v>
      </c>
      <c r="W226">
        <v>486</v>
      </c>
      <c r="X226">
        <v>1.4902241297091083E-2</v>
      </c>
      <c r="Y226">
        <v>-1.5242547489595937</v>
      </c>
      <c r="Z226">
        <v>2.9314222147651576E-2</v>
      </c>
      <c r="AB226" s="3">
        <f t="shared" si="33"/>
        <v>-4.2932626374787772E-3</v>
      </c>
      <c r="AC226" s="3">
        <f t="shared" si="34"/>
        <v>-5.7458710764700521E-3</v>
      </c>
      <c r="AD226" s="3">
        <f t="shared" si="35"/>
        <v>-6.9571357932010844E-3</v>
      </c>
      <c r="AE226" s="76">
        <f t="shared" si="36"/>
        <v>402.85714285714494</v>
      </c>
      <c r="AF226" s="76">
        <f t="shared" si="37"/>
        <v>-1371.7559523809505</v>
      </c>
      <c r="AG226" s="76">
        <f t="shared" si="38"/>
        <v>-919.26970080067258</v>
      </c>
      <c r="AN226">
        <v>33956</v>
      </c>
      <c r="AO226" s="5">
        <f t="shared" si="39"/>
        <v>1.4491017964071781E-2</v>
      </c>
      <c r="AP226" s="5">
        <f t="shared" si="40"/>
        <v>0.30262536996886258</v>
      </c>
      <c r="AR226" s="5">
        <f t="shared" si="41"/>
        <v>-2.1476239068230651E-2</v>
      </c>
      <c r="AS226" s="5">
        <f t="shared" si="42"/>
        <v>-2.4719903092414841E-2</v>
      </c>
      <c r="AT226" s="5">
        <f t="shared" si="43"/>
        <v>-3.5377153494599189E-2</v>
      </c>
    </row>
    <row r="227" spans="12:46" x14ac:dyDescent="0.25">
      <c r="L227" s="4">
        <v>45191.5</v>
      </c>
      <c r="M227">
        <v>83.88</v>
      </c>
      <c r="N227">
        <v>86.13</v>
      </c>
      <c r="O227">
        <v>83.5</v>
      </c>
      <c r="P227">
        <v>85.3</v>
      </c>
      <c r="Q227">
        <v>22372</v>
      </c>
      <c r="R227">
        <v>305227</v>
      </c>
      <c r="S227">
        <v>39.914999999999999</v>
      </c>
      <c r="T227">
        <v>41.734999999999999</v>
      </c>
      <c r="U227">
        <v>39.454999999999998</v>
      </c>
      <c r="V227">
        <v>39.790999999999997</v>
      </c>
      <c r="W227">
        <v>2931</v>
      </c>
      <c r="X227">
        <v>3.1801692865779871E-2</v>
      </c>
      <c r="Y227">
        <v>0.931959191053777</v>
      </c>
      <c r="Z227">
        <v>1.3374974909506274</v>
      </c>
      <c r="AB227" s="3">
        <f t="shared" si="33"/>
        <v>-3.9440729948567038E-3</v>
      </c>
      <c r="AC227" s="3">
        <f t="shared" si="34"/>
        <v>-5.4830000410358744E-3</v>
      </c>
      <c r="AD227" s="3">
        <f t="shared" si="35"/>
        <v>-6.7635885704078261E-3</v>
      </c>
      <c r="AE227" s="76">
        <f t="shared" si="36"/>
        <v>-91.285714285713766</v>
      </c>
      <c r="AF227" s="76">
        <f t="shared" si="37"/>
        <v>-1545.6369047619046</v>
      </c>
      <c r="AG227" s="76">
        <f t="shared" si="38"/>
        <v>-1151.151285292879</v>
      </c>
      <c r="AN227">
        <v>34073</v>
      </c>
      <c r="AO227" s="5">
        <f t="shared" si="39"/>
        <v>2.3033570203381468E-2</v>
      </c>
      <c r="AP227" s="5">
        <f t="shared" si="40"/>
        <v>0.30300415491961896</v>
      </c>
      <c r="AR227" s="5">
        <f t="shared" si="41"/>
        <v>-2.0553907853089692E-2</v>
      </c>
      <c r="AS227" s="5">
        <f t="shared" si="42"/>
        <v>-2.3662233434801949E-2</v>
      </c>
      <c r="AT227" s="5">
        <f t="shared" si="43"/>
        <v>-3.455800770886297E-2</v>
      </c>
    </row>
    <row r="228" spans="12:46" x14ac:dyDescent="0.25">
      <c r="L228" s="4">
        <v>45190.5</v>
      </c>
      <c r="M228">
        <v>82.7</v>
      </c>
      <c r="N228">
        <v>84.61</v>
      </c>
      <c r="O228">
        <v>81.62</v>
      </c>
      <c r="P228">
        <v>84.43</v>
      </c>
      <c r="Q228">
        <v>19727</v>
      </c>
      <c r="R228">
        <v>307449</v>
      </c>
      <c r="S228">
        <v>35.695</v>
      </c>
      <c r="T228">
        <v>39.335000000000001</v>
      </c>
      <c r="U228">
        <v>35.695</v>
      </c>
      <c r="V228">
        <v>39.104999999999997</v>
      </c>
      <c r="W228">
        <v>4217</v>
      </c>
      <c r="X228">
        <v>3.6642156862745037E-2</v>
      </c>
      <c r="Y228">
        <v>1.6012361973414928</v>
      </c>
      <c r="Z228">
        <v>0.53894953323559036</v>
      </c>
      <c r="AB228" s="3">
        <f t="shared" si="33"/>
        <v>-4.6403396923916651E-3</v>
      </c>
      <c r="AC228" s="3">
        <f t="shared" si="34"/>
        <v>-6.1639230220857932E-3</v>
      </c>
      <c r="AD228" s="3">
        <f t="shared" si="35"/>
        <v>-7.2428025002024693E-3</v>
      </c>
      <c r="AE228" s="76">
        <f t="shared" si="36"/>
        <v>-18.095238095240347</v>
      </c>
      <c r="AF228" s="76">
        <f t="shared" si="37"/>
        <v>-1618.5059523809541</v>
      </c>
      <c r="AG228" s="76">
        <f t="shared" si="38"/>
        <v>-1228.9700800674254</v>
      </c>
      <c r="AN228">
        <v>31344</v>
      </c>
      <c r="AO228" s="5">
        <f t="shared" si="39"/>
        <v>1.3913043478260926E-2</v>
      </c>
      <c r="AP228" s="5">
        <f t="shared" si="40"/>
        <v>0.30688230696980828</v>
      </c>
      <c r="AR228" s="5">
        <f t="shared" si="41"/>
        <v>-1.9629822067762093E-2</v>
      </c>
      <c r="AS228" s="5">
        <f t="shared" si="42"/>
        <v>-2.2594420662565229E-2</v>
      </c>
      <c r="AT228" s="5">
        <f t="shared" si="43"/>
        <v>-3.3742107243463104E-2</v>
      </c>
    </row>
    <row r="229" spans="12:46" x14ac:dyDescent="0.25">
      <c r="L229" s="4">
        <v>45189.5</v>
      </c>
      <c r="M229">
        <v>81.599999999999994</v>
      </c>
      <c r="N229">
        <v>82.97</v>
      </c>
      <c r="O229">
        <v>80.5</v>
      </c>
      <c r="P229">
        <v>82.76</v>
      </c>
      <c r="Q229">
        <v>19611</v>
      </c>
      <c r="R229">
        <v>307483</v>
      </c>
      <c r="S229">
        <v>38.575000000000003</v>
      </c>
      <c r="T229">
        <v>39.270000000000003</v>
      </c>
      <c r="U229">
        <v>35.674999999999997</v>
      </c>
      <c r="V229">
        <v>37.283999999999999</v>
      </c>
      <c r="W229">
        <v>2595</v>
      </c>
      <c r="X229">
        <v>3.0505125355069766E-2</v>
      </c>
      <c r="Y229">
        <v>0.74206982146690137</v>
      </c>
      <c r="Z229">
        <v>0.39604338303340592</v>
      </c>
      <c r="AB229" s="3">
        <f t="shared" si="33"/>
        <v>-3.9964625666988572E-3</v>
      </c>
      <c r="AC229" s="3">
        <f t="shared" si="34"/>
        <v>-6.4917833682616166E-3</v>
      </c>
      <c r="AD229" s="3">
        <f t="shared" si="35"/>
        <v>-7.5169887932571879E-3</v>
      </c>
      <c r="AE229" s="76">
        <f t="shared" si="36"/>
        <v>302.76190476190459</v>
      </c>
      <c r="AF229" s="76">
        <f t="shared" si="37"/>
        <v>-1511.8095238095266</v>
      </c>
      <c r="AG229" s="76">
        <f t="shared" si="38"/>
        <v>-1165.0294985250766</v>
      </c>
      <c r="AN229">
        <v>23849</v>
      </c>
      <c r="AO229" s="5">
        <f t="shared" si="39"/>
        <v>-6.2073246430784806E-4</v>
      </c>
      <c r="AP229" s="5">
        <f t="shared" si="40"/>
        <v>0.30661669587271168</v>
      </c>
      <c r="AR229" s="5">
        <f t="shared" si="41"/>
        <v>-1.8954442308257657E-2</v>
      </c>
      <c r="AS229" s="5">
        <f t="shared" si="42"/>
        <v>-2.1769061205659024E-2</v>
      </c>
      <c r="AT229" s="5">
        <f t="shared" si="43"/>
        <v>-3.3151229749891264E-2</v>
      </c>
    </row>
    <row r="230" spans="12:46" x14ac:dyDescent="0.25">
      <c r="L230" s="4">
        <v>45188.5</v>
      </c>
      <c r="M230">
        <v>80.97</v>
      </c>
      <c r="N230">
        <v>81.69</v>
      </c>
      <c r="O230">
        <v>80.55</v>
      </c>
      <c r="P230">
        <v>81.3</v>
      </c>
      <c r="Q230">
        <v>17135</v>
      </c>
      <c r="R230">
        <v>307583</v>
      </c>
      <c r="S230">
        <v>34.25</v>
      </c>
      <c r="T230">
        <v>37.49</v>
      </c>
      <c r="U230">
        <v>34.049999999999997</v>
      </c>
      <c r="V230">
        <v>36.781999999999996</v>
      </c>
      <c r="W230">
        <v>1535</v>
      </c>
      <c r="X230">
        <v>1.3871988318325633E-2</v>
      </c>
      <c r="Y230">
        <v>-1.5482969196806953</v>
      </c>
      <c r="Z230">
        <v>-0.2792571026111127</v>
      </c>
      <c r="AB230" s="3">
        <f t="shared" si="33"/>
        <v>-3.6470138262427558E-3</v>
      </c>
      <c r="AC230" s="3">
        <f t="shared" si="34"/>
        <v>-7.1545792712854848E-3</v>
      </c>
      <c r="AD230" s="3">
        <f t="shared" si="35"/>
        <v>-7.788801987946431E-3</v>
      </c>
      <c r="AE230" s="76">
        <f t="shared" si="36"/>
        <v>557.04761904762199</v>
      </c>
      <c r="AF230" s="76">
        <f t="shared" si="37"/>
        <v>-1518.3690476190459</v>
      </c>
      <c r="AG230" s="76">
        <f t="shared" si="38"/>
        <v>-1189.917404129792</v>
      </c>
      <c r="AN230">
        <v>19731</v>
      </c>
      <c r="AO230" s="5">
        <f t="shared" si="39"/>
        <v>-2.3532325984641782E-3</v>
      </c>
      <c r="AP230" s="5">
        <f t="shared" si="40"/>
        <v>0.3070856231245333</v>
      </c>
      <c r="AR230" s="5">
        <f t="shared" si="41"/>
        <v>-1.8264280056010274E-2</v>
      </c>
      <c r="AS230" s="5">
        <f t="shared" si="42"/>
        <v>-2.0911422855235673E-2</v>
      </c>
      <c r="AT230" s="5">
        <f t="shared" si="43"/>
        <v>-3.2554443363568497E-2</v>
      </c>
    </row>
    <row r="231" spans="12:46" x14ac:dyDescent="0.25">
      <c r="L231" s="4">
        <v>45187.5</v>
      </c>
      <c r="M231">
        <v>82.18</v>
      </c>
      <c r="N231">
        <v>82.65</v>
      </c>
      <c r="O231">
        <v>80.739999999999995</v>
      </c>
      <c r="P231">
        <v>80.88</v>
      </c>
      <c r="Q231">
        <v>20789</v>
      </c>
      <c r="R231">
        <v>304447</v>
      </c>
      <c r="S231">
        <v>34.494999999999997</v>
      </c>
      <c r="T231">
        <v>36.484999999999999</v>
      </c>
      <c r="U231">
        <v>33.950000000000003</v>
      </c>
      <c r="V231">
        <v>34.475000000000001</v>
      </c>
      <c r="W231">
        <v>2546</v>
      </c>
      <c r="X231">
        <v>2.3062062303791486E-2</v>
      </c>
      <c r="Y231">
        <v>-0.39778950871574714</v>
      </c>
      <c r="Z231">
        <v>0.65422811517674984</v>
      </c>
      <c r="AB231" s="3">
        <f t="shared" si="33"/>
        <v>-3.383443260068654E-3</v>
      </c>
      <c r="AC231" s="3">
        <f t="shared" si="34"/>
        <v>-6.9028913146869271E-3</v>
      </c>
      <c r="AD231" s="3">
        <f t="shared" si="35"/>
        <v>-7.8719250402669722E-3</v>
      </c>
      <c r="AE231" s="76">
        <f t="shared" si="36"/>
        <v>56.095238095240347</v>
      </c>
      <c r="AF231" s="76">
        <f t="shared" si="37"/>
        <v>-1822.0833333333321</v>
      </c>
      <c r="AG231" s="76">
        <f t="shared" si="38"/>
        <v>-1629.6139907290344</v>
      </c>
      <c r="AN231">
        <v>31210</v>
      </c>
      <c r="AO231" s="5">
        <f t="shared" si="39"/>
        <v>-1.2354740061162143E-2</v>
      </c>
      <c r="AP231" s="5">
        <f t="shared" si="40"/>
        <v>0.30707181333780453</v>
      </c>
      <c r="AR231" s="5">
        <f t="shared" si="41"/>
        <v>-1.7546084138778562E-2</v>
      </c>
      <c r="AS231" s="5">
        <f t="shared" si="42"/>
        <v>-2.0116546614648068E-2</v>
      </c>
      <c r="AT231" s="5">
        <f t="shared" si="43"/>
        <v>-3.1938266688560701E-2</v>
      </c>
    </row>
    <row r="232" spans="12:46" x14ac:dyDescent="0.25">
      <c r="L232" s="4">
        <v>45184.5</v>
      </c>
      <c r="M232">
        <v>82.82</v>
      </c>
      <c r="N232">
        <v>84.09</v>
      </c>
      <c r="O232">
        <v>81.75</v>
      </c>
      <c r="P232">
        <v>82.1</v>
      </c>
      <c r="Q232">
        <v>18108</v>
      </c>
      <c r="R232">
        <v>302658</v>
      </c>
      <c r="S232">
        <v>35.130000000000003</v>
      </c>
      <c r="T232">
        <v>36.71</v>
      </c>
      <c r="U232">
        <v>34.814999999999998</v>
      </c>
      <c r="V232">
        <v>36.482999999999997</v>
      </c>
      <c r="W232">
        <v>2236</v>
      </c>
      <c r="X232">
        <v>2.793696275071637E-2</v>
      </c>
      <c r="Y232">
        <v>0.20946386986233897</v>
      </c>
      <c r="Z232">
        <v>-3.5841351813968893E-2</v>
      </c>
      <c r="AB232" s="3">
        <f t="shared" si="33"/>
        <v>-3.8754163614881619E-3</v>
      </c>
      <c r="AC232" s="3">
        <f t="shared" si="34"/>
        <v>-7.2461454448865849E-3</v>
      </c>
      <c r="AD232" s="3">
        <f t="shared" si="35"/>
        <v>-8.20761691007647E-3</v>
      </c>
      <c r="AE232" s="76">
        <f t="shared" si="36"/>
        <v>-629.33333333333212</v>
      </c>
      <c r="AF232" s="76">
        <f t="shared" si="37"/>
        <v>-2385.25</v>
      </c>
      <c r="AG232" s="76">
        <f t="shared" si="38"/>
        <v>-2068.5714285714275</v>
      </c>
      <c r="AN232">
        <v>29534</v>
      </c>
      <c r="AO232" s="5">
        <f t="shared" si="39"/>
        <v>-8.3697234352255907E-3</v>
      </c>
      <c r="AP232" s="5">
        <f t="shared" si="40"/>
        <v>0.30712135804625873</v>
      </c>
      <c r="AR232" s="5">
        <f t="shared" si="41"/>
        <v>-1.6498287522349386E-2</v>
      </c>
      <c r="AS232" s="5">
        <f t="shared" si="42"/>
        <v>-1.9085746681913596E-2</v>
      </c>
      <c r="AT232" s="5">
        <f t="shared" si="43"/>
        <v>-3.1101605507830532E-2</v>
      </c>
    </row>
    <row r="233" spans="12:46" x14ac:dyDescent="0.25">
      <c r="L233" s="4">
        <v>45183.5</v>
      </c>
      <c r="M233">
        <v>83.76</v>
      </c>
      <c r="N233">
        <v>84.08</v>
      </c>
      <c r="O233">
        <v>82.44</v>
      </c>
      <c r="P233">
        <v>82.93</v>
      </c>
      <c r="Q233">
        <v>17111</v>
      </c>
      <c r="R233">
        <v>301244</v>
      </c>
      <c r="S233">
        <v>37.450000000000003</v>
      </c>
      <c r="T233">
        <v>37.72</v>
      </c>
      <c r="U233">
        <v>35.18</v>
      </c>
      <c r="V233">
        <v>35.521000000000001</v>
      </c>
      <c r="W233">
        <v>2223</v>
      </c>
      <c r="X233">
        <v>2.0216962524654838E-2</v>
      </c>
      <c r="Y233">
        <v>-0.7897063077362465</v>
      </c>
      <c r="Z233">
        <v>-0.31497971558562804</v>
      </c>
      <c r="AB233" s="3">
        <f t="shared" si="33"/>
        <v>-4.1416095712466065E-3</v>
      </c>
      <c r="AC233" s="3">
        <f t="shared" si="34"/>
        <v>-7.5189097320057345E-3</v>
      </c>
      <c r="AD233" s="3">
        <f t="shared" si="35"/>
        <v>-8.5748873172018757E-3</v>
      </c>
      <c r="AE233" s="76">
        <f t="shared" si="36"/>
        <v>-797.23809523809541</v>
      </c>
      <c r="AF233" s="76">
        <f t="shared" si="37"/>
        <v>-2611.7559523809541</v>
      </c>
      <c r="AG233" s="76">
        <f t="shared" si="38"/>
        <v>-2291.0383480825985</v>
      </c>
      <c r="AN233">
        <v>23106</v>
      </c>
      <c r="AO233" s="5">
        <f t="shared" si="39"/>
        <v>2.3209631376442903E-2</v>
      </c>
      <c r="AP233" s="5">
        <f t="shared" si="40"/>
        <v>0.30734961535687083</v>
      </c>
      <c r="AR233" s="5">
        <f t="shared" si="41"/>
        <v>-1.5308165129155615E-2</v>
      </c>
      <c r="AS233" s="5">
        <f t="shared" si="42"/>
        <v>-1.7974395945980548E-2</v>
      </c>
      <c r="AT233" s="5">
        <f t="shared" si="43"/>
        <v>-3.0179154770056449E-2</v>
      </c>
    </row>
    <row r="234" spans="12:46" x14ac:dyDescent="0.25">
      <c r="L234" s="4">
        <v>45182.5</v>
      </c>
      <c r="M234">
        <v>81.12</v>
      </c>
      <c r="N234">
        <v>83.88</v>
      </c>
      <c r="O234">
        <v>80.569999999999993</v>
      </c>
      <c r="P234">
        <v>83.76</v>
      </c>
      <c r="Q234">
        <v>25914</v>
      </c>
      <c r="R234">
        <v>302096</v>
      </c>
      <c r="S234">
        <v>35.270000000000003</v>
      </c>
      <c r="T234">
        <v>37.975000000000001</v>
      </c>
      <c r="U234">
        <v>35.270000000000003</v>
      </c>
      <c r="V234">
        <v>36.817</v>
      </c>
      <c r="W234">
        <v>1868</v>
      </c>
      <c r="X234">
        <v>4.0439828955406258E-2</v>
      </c>
      <c r="Y234">
        <v>1.7292559838910595</v>
      </c>
      <c r="Z234">
        <v>1.4847488827703395</v>
      </c>
      <c r="AB234" s="3">
        <f t="shared" si="33"/>
        <v>-4.0718142745651449E-3</v>
      </c>
      <c r="AC234" s="3">
        <f t="shared" si="34"/>
        <v>-7.6132545856687044E-3</v>
      </c>
      <c r="AD234" s="3">
        <f t="shared" si="35"/>
        <v>-8.419326167863294E-3</v>
      </c>
      <c r="AE234" s="76">
        <f t="shared" si="36"/>
        <v>-736.14285714285506</v>
      </c>
      <c r="AF234" s="76">
        <f t="shared" si="37"/>
        <v>-2763.125</v>
      </c>
      <c r="AG234" s="76">
        <f t="shared" si="38"/>
        <v>-2273.4323640960793</v>
      </c>
      <c r="AN234">
        <v>24575</v>
      </c>
      <c r="AO234" s="5">
        <f t="shared" si="39"/>
        <v>-5.0629785132132723E-3</v>
      </c>
      <c r="AP234" s="5">
        <f t="shared" si="40"/>
        <v>0.307351927070596</v>
      </c>
      <c r="AR234" s="5">
        <f t="shared" si="41"/>
        <v>-1.4305147327177248E-2</v>
      </c>
      <c r="AS234" s="5">
        <f t="shared" si="42"/>
        <v>-1.6876626865048927E-2</v>
      </c>
      <c r="AT234" s="5">
        <f t="shared" si="43"/>
        <v>-2.9269271618299786E-2</v>
      </c>
    </row>
    <row r="235" spans="12:46" x14ac:dyDescent="0.25">
      <c r="L235" s="4">
        <v>45181.5</v>
      </c>
      <c r="M235">
        <v>81.849999999999994</v>
      </c>
      <c r="N235">
        <v>82.41</v>
      </c>
      <c r="O235">
        <v>80.98</v>
      </c>
      <c r="P235">
        <v>81.12</v>
      </c>
      <c r="Q235">
        <v>20036</v>
      </c>
      <c r="R235">
        <v>301437</v>
      </c>
      <c r="S235">
        <v>35.130000000000003</v>
      </c>
      <c r="T235">
        <v>36.575000000000003</v>
      </c>
      <c r="U235">
        <v>34.335000000000001</v>
      </c>
      <c r="V235">
        <v>34.701000000000001</v>
      </c>
      <c r="W235">
        <v>1240</v>
      </c>
      <c r="X235">
        <v>1.748379997554704E-2</v>
      </c>
      <c r="Y235">
        <v>-1.1339147557527578</v>
      </c>
      <c r="Z235">
        <v>0.22373841925204344</v>
      </c>
      <c r="AB235" s="3">
        <f t="shared" si="33"/>
        <v>-4.8110541465057367E-3</v>
      </c>
      <c r="AC235" s="3">
        <f t="shared" si="34"/>
        <v>-8.4926269895524847E-3</v>
      </c>
      <c r="AD235" s="3">
        <f t="shared" si="35"/>
        <v>-9.4107301566010784E-3</v>
      </c>
      <c r="AE235" s="76">
        <f t="shared" si="36"/>
        <v>-1300.2380952380954</v>
      </c>
      <c r="AF235" s="76">
        <f t="shared" si="37"/>
        <v>-3115.6071428571449</v>
      </c>
      <c r="AG235" s="76">
        <f t="shared" si="38"/>
        <v>-2890.116308470293</v>
      </c>
      <c r="AN235">
        <v>39670</v>
      </c>
      <c r="AO235" s="5">
        <f t="shared" si="39"/>
        <v>-4.67059980334311E-3</v>
      </c>
      <c r="AP235" s="5">
        <f t="shared" si="40"/>
        <v>0.30733712775275523</v>
      </c>
      <c r="AR235" s="5">
        <f t="shared" si="41"/>
        <v>-1.3221913388097306E-2</v>
      </c>
      <c r="AS235" s="5">
        <f t="shared" si="42"/>
        <v>-1.5705041234184758E-2</v>
      </c>
      <c r="AT235" s="5">
        <f t="shared" si="43"/>
        <v>-2.8349443936001695E-2</v>
      </c>
    </row>
    <row r="236" spans="12:46" x14ac:dyDescent="0.25">
      <c r="L236" s="4">
        <v>45180.5</v>
      </c>
      <c r="M236">
        <v>81.790000000000006</v>
      </c>
      <c r="N236">
        <v>82.7</v>
      </c>
      <c r="O236">
        <v>81.36</v>
      </c>
      <c r="P236">
        <v>81.73</v>
      </c>
      <c r="Q236">
        <v>18374</v>
      </c>
      <c r="R236">
        <v>296990</v>
      </c>
      <c r="S236">
        <v>36.54</v>
      </c>
      <c r="T236">
        <v>37.71</v>
      </c>
      <c r="U236">
        <v>35.604999999999997</v>
      </c>
      <c r="V236">
        <v>35.847999999999999</v>
      </c>
      <c r="W236">
        <v>1664</v>
      </c>
      <c r="X236">
        <v>1.6044061302682034E-2</v>
      </c>
      <c r="Y236">
        <v>-1.3150249574963571</v>
      </c>
      <c r="Z236">
        <v>-0.1023052831917954</v>
      </c>
      <c r="AB236" s="3">
        <f t="shared" si="33"/>
        <v>-4.2341108143859989E-3</v>
      </c>
      <c r="AC236" s="3">
        <f t="shared" si="34"/>
        <v>-7.962896295944686E-3</v>
      </c>
      <c r="AD236" s="3">
        <f t="shared" si="35"/>
        <v>-9.1000458989777475E-3</v>
      </c>
      <c r="AE236" s="76">
        <f t="shared" si="36"/>
        <v>-1501.6666666666642</v>
      </c>
      <c r="AF236" s="76">
        <f t="shared" si="37"/>
        <v>-3448.0357142857138</v>
      </c>
      <c r="AG236" s="76">
        <f t="shared" si="38"/>
        <v>-3185.936788874842</v>
      </c>
      <c r="AN236">
        <v>26662</v>
      </c>
      <c r="AO236" s="5">
        <f t="shared" si="39"/>
        <v>9.8425196850391596E-4</v>
      </c>
      <c r="AP236" s="5">
        <f t="shared" si="40"/>
        <v>0.30908592907581561</v>
      </c>
      <c r="AR236" s="5">
        <f t="shared" si="41"/>
        <v>-1.2099890957798065E-2</v>
      </c>
      <c r="AS236" s="5">
        <f t="shared" si="42"/>
        <v>-1.4507799160673573E-2</v>
      </c>
      <c r="AT236" s="5">
        <f t="shared" si="43"/>
        <v>-2.7420603437508684E-2</v>
      </c>
    </row>
    <row r="237" spans="12:46" x14ac:dyDescent="0.25">
      <c r="L237" s="4">
        <v>45177.5</v>
      </c>
      <c r="M237">
        <v>83.52</v>
      </c>
      <c r="N237">
        <v>84</v>
      </c>
      <c r="O237">
        <v>81.28</v>
      </c>
      <c r="P237">
        <v>81.62</v>
      </c>
      <c r="Q237">
        <v>19866</v>
      </c>
      <c r="R237">
        <v>295606</v>
      </c>
      <c r="S237">
        <v>35.090000000000003</v>
      </c>
      <c r="T237">
        <v>36.86</v>
      </c>
      <c r="U237">
        <v>33.984999999999999</v>
      </c>
      <c r="V237">
        <v>34.508000000000003</v>
      </c>
      <c r="W237">
        <v>1926</v>
      </c>
      <c r="X237">
        <v>3.2508664993426542E-2</v>
      </c>
      <c r="Y237">
        <v>0.56143209776729874</v>
      </c>
      <c r="Z237">
        <v>0.17976870713381632</v>
      </c>
      <c r="AB237" s="3">
        <f t="shared" si="33"/>
        <v>-2.5942251984536722E-3</v>
      </c>
      <c r="AC237" s="3">
        <f t="shared" si="34"/>
        <v>-6.9817210716653193E-3</v>
      </c>
      <c r="AD237" s="3">
        <f t="shared" si="35"/>
        <v>-8.2956976100909859E-3</v>
      </c>
      <c r="AE237" s="76">
        <f t="shared" si="36"/>
        <v>-1845.3333333333358</v>
      </c>
      <c r="AF237" s="76">
        <f t="shared" si="37"/>
        <v>-3951.3095238095229</v>
      </c>
      <c r="AG237" s="76">
        <f t="shared" si="38"/>
        <v>-3546.2886641382211</v>
      </c>
      <c r="AN237">
        <v>37155</v>
      </c>
      <c r="AO237" s="5">
        <f t="shared" si="39"/>
        <v>-1.6813838151687438E-2</v>
      </c>
      <c r="AP237" s="5">
        <f t="shared" si="40"/>
        <v>0.30909065913917144</v>
      </c>
      <c r="AR237" s="5">
        <f t="shared" si="41"/>
        <v>-1.1086092822448546E-2</v>
      </c>
      <c r="AS237" s="5">
        <f t="shared" si="42"/>
        <v>-1.3431051576838715E-2</v>
      </c>
      <c r="AT237" s="5">
        <f t="shared" si="43"/>
        <v>-2.6963873745746603E-2</v>
      </c>
    </row>
    <row r="238" spans="12:46" x14ac:dyDescent="0.25">
      <c r="L238" s="4">
        <v>45176.5</v>
      </c>
      <c r="M238">
        <v>83.67</v>
      </c>
      <c r="N238">
        <v>84.29</v>
      </c>
      <c r="O238">
        <v>82.67</v>
      </c>
      <c r="P238">
        <v>83.29</v>
      </c>
      <c r="Q238">
        <v>17273</v>
      </c>
      <c r="R238">
        <v>296115</v>
      </c>
      <c r="S238">
        <v>30.954999999999998</v>
      </c>
      <c r="T238">
        <v>33.11</v>
      </c>
      <c r="U238">
        <v>30.57</v>
      </c>
      <c r="V238">
        <v>32.755000000000003</v>
      </c>
      <c r="W238">
        <v>187</v>
      </c>
      <c r="X238">
        <v>1.929720071471119E-2</v>
      </c>
      <c r="Y238">
        <v>-0.9639181873416871</v>
      </c>
      <c r="Z238">
        <v>-0.31636661184753567</v>
      </c>
      <c r="AB238" s="3">
        <f t="shared" si="33"/>
        <v>-2.9876382330088318E-3</v>
      </c>
      <c r="AC238" s="3">
        <f t="shared" si="34"/>
        <v>-7.0843054659778248E-3</v>
      </c>
      <c r="AD238" s="3">
        <f t="shared" si="35"/>
        <v>-8.5375156564994163E-3</v>
      </c>
      <c r="AE238" s="76">
        <f t="shared" si="36"/>
        <v>-2432.7619047619064</v>
      </c>
      <c r="AF238" s="76">
        <f t="shared" si="37"/>
        <v>-4273.3869047619064</v>
      </c>
      <c r="AG238" s="76">
        <f t="shared" si="38"/>
        <v>-3835.7517909818798</v>
      </c>
      <c r="AN238">
        <v>28076</v>
      </c>
      <c r="AO238" s="5">
        <f t="shared" si="39"/>
        <v>-5.0547598989048219E-3</v>
      </c>
      <c r="AP238" s="5">
        <f t="shared" si="40"/>
        <v>0.30868604441121061</v>
      </c>
      <c r="AR238" s="5">
        <f t="shared" si="41"/>
        <v>-1.0050118635403227E-2</v>
      </c>
      <c r="AS238" s="5">
        <f t="shared" si="42"/>
        <v>-1.2328245532977844E-2</v>
      </c>
      <c r="AT238" s="5">
        <f t="shared" si="43"/>
        <v>-2.6494622682581848E-2</v>
      </c>
    </row>
    <row r="239" spans="12:46" x14ac:dyDescent="0.25">
      <c r="L239" s="4">
        <v>45175.5</v>
      </c>
      <c r="M239">
        <v>83.95</v>
      </c>
      <c r="N239">
        <v>84.81</v>
      </c>
      <c r="O239">
        <v>83.09</v>
      </c>
      <c r="P239">
        <v>83.7</v>
      </c>
      <c r="Q239">
        <v>18272</v>
      </c>
      <c r="R239">
        <v>295128</v>
      </c>
      <c r="S239">
        <v>33.68</v>
      </c>
      <c r="T239">
        <v>34.1</v>
      </c>
      <c r="U239">
        <v>30.8</v>
      </c>
      <c r="V239">
        <v>31.074999999999999</v>
      </c>
      <c r="W239">
        <v>2975</v>
      </c>
      <c r="X239">
        <v>2.0432406747445935E-2</v>
      </c>
      <c r="Y239">
        <v>-0.86000419488650559</v>
      </c>
      <c r="Z239">
        <v>-0.13939003256837718</v>
      </c>
      <c r="AB239" s="3">
        <f t="shared" si="33"/>
        <v>-2.4286110849875281E-3</v>
      </c>
      <c r="AC239" s="3">
        <f t="shared" si="34"/>
        <v>-6.6449496402821231E-3</v>
      </c>
      <c r="AD239" s="3">
        <f t="shared" si="35"/>
        <v>-8.0521254748277954E-3</v>
      </c>
      <c r="AE239" s="76">
        <f t="shared" si="36"/>
        <v>-2488.0476190476165</v>
      </c>
      <c r="AF239" s="76">
        <f t="shared" si="37"/>
        <v>-4213.0357142857119</v>
      </c>
      <c r="AG239" s="76">
        <f t="shared" si="38"/>
        <v>-3808.826801517067</v>
      </c>
      <c r="AN239">
        <v>25265</v>
      </c>
      <c r="AO239" s="5">
        <f t="shared" si="39"/>
        <v>-5.6247008137864868E-3</v>
      </c>
      <c r="AP239" s="5">
        <f t="shared" si="40"/>
        <v>0.31008325461700198</v>
      </c>
      <c r="AR239" s="5">
        <f t="shared" si="41"/>
        <v>-8.9734978989506331E-3</v>
      </c>
      <c r="AS239" s="5">
        <f t="shared" si="42"/>
        <v>-1.1226086099647647E-2</v>
      </c>
      <c r="AT239" s="5">
        <f t="shared" si="43"/>
        <v>-2.6136861270413592E-2</v>
      </c>
    </row>
    <row r="240" spans="12:46" x14ac:dyDescent="0.25">
      <c r="L240" s="4">
        <v>45174.5</v>
      </c>
      <c r="M240">
        <v>84.18</v>
      </c>
      <c r="N240">
        <v>84.81</v>
      </c>
      <c r="O240">
        <v>83.56</v>
      </c>
      <c r="P240">
        <v>83.91</v>
      </c>
      <c r="Q240">
        <v>21166</v>
      </c>
      <c r="R240">
        <v>293464</v>
      </c>
      <c r="S240">
        <v>36.25</v>
      </c>
      <c r="T240">
        <v>37</v>
      </c>
      <c r="U240">
        <v>32.924999999999997</v>
      </c>
      <c r="V240">
        <v>34.448999999999998</v>
      </c>
      <c r="W240">
        <v>3024</v>
      </c>
      <c r="X240">
        <v>1.459598318542737E-2</v>
      </c>
      <c r="Y240">
        <v>-1.5132195830580202</v>
      </c>
      <c r="Z240">
        <v>0.40993328564961257</v>
      </c>
      <c r="AB240" s="3">
        <f t="shared" si="33"/>
        <v>-1.6009291067860393E-3</v>
      </c>
      <c r="AC240" s="3">
        <f t="shared" si="34"/>
        <v>-6.3528261360685546E-3</v>
      </c>
      <c r="AD240" s="3">
        <f t="shared" si="35"/>
        <v>-7.8801921795148937E-3</v>
      </c>
      <c r="AE240" s="76">
        <f t="shared" si="36"/>
        <v>-2322.3333333333321</v>
      </c>
      <c r="AF240" s="76">
        <f t="shared" si="37"/>
        <v>-4134.6011904761908</v>
      </c>
      <c r="AG240" s="76">
        <f t="shared" si="38"/>
        <v>-3806.9591234723957</v>
      </c>
      <c r="AN240">
        <v>28259</v>
      </c>
      <c r="AO240" s="5">
        <f t="shared" si="39"/>
        <v>-2.2686567164178833E-3</v>
      </c>
      <c r="AP240" s="5">
        <f t="shared" si="40"/>
        <v>0.31053954471821432</v>
      </c>
      <c r="AR240" s="5">
        <f t="shared" si="41"/>
        <v>-7.9924442448451871E-3</v>
      </c>
      <c r="AS240" s="5">
        <f t="shared" si="42"/>
        <v>-1.0202726098204218E-2</v>
      </c>
      <c r="AT240" s="5">
        <f t="shared" si="43"/>
        <v>-2.5860272790423522E-2</v>
      </c>
    </row>
    <row r="241" spans="12:46" x14ac:dyDescent="0.25">
      <c r="L241" s="4">
        <v>45173.5</v>
      </c>
      <c r="M241">
        <v>85.64</v>
      </c>
      <c r="N241">
        <v>85.64</v>
      </c>
      <c r="O241">
        <v>83.75</v>
      </c>
      <c r="P241">
        <v>84.08</v>
      </c>
      <c r="Q241">
        <v>16284</v>
      </c>
      <c r="R241">
        <v>292444</v>
      </c>
      <c r="S241">
        <v>35.75</v>
      </c>
      <c r="T241">
        <v>37.155000000000001</v>
      </c>
      <c r="U241">
        <v>34.314999999999998</v>
      </c>
      <c r="V241">
        <v>35.616999999999997</v>
      </c>
      <c r="W241">
        <v>0</v>
      </c>
      <c r="X241">
        <v>2.1971634503603822E-2</v>
      </c>
      <c r="Y241">
        <v>-0.7567217456620744</v>
      </c>
      <c r="Z241">
        <v>-0.54091429903171884</v>
      </c>
      <c r="AB241" s="3">
        <f t="shared" si="33"/>
        <v>-1.126469274964615E-3</v>
      </c>
      <c r="AC241" s="3">
        <f t="shared" si="34"/>
        <v>-5.859633726217589E-3</v>
      </c>
      <c r="AD241" s="3">
        <f t="shared" si="35"/>
        <v>-7.5143666448039201E-3</v>
      </c>
      <c r="AE241" s="76">
        <f t="shared" si="36"/>
        <v>-2993.0476190476184</v>
      </c>
      <c r="AF241" s="76">
        <f t="shared" si="37"/>
        <v>-4396.0238095238092</v>
      </c>
      <c r="AG241" s="76">
        <f t="shared" si="38"/>
        <v>-4122.492203961232</v>
      </c>
      <c r="AN241">
        <v>31837</v>
      </c>
      <c r="AO241" s="5">
        <f t="shared" si="39"/>
        <v>-1.4705882352941176E-2</v>
      </c>
      <c r="AP241" s="5">
        <f t="shared" si="40"/>
        <v>0.31646317331425067</v>
      </c>
      <c r="AR241" s="5">
        <f t="shared" si="41"/>
        <v>-7.0316288279715367E-3</v>
      </c>
      <c r="AS241" s="5">
        <f t="shared" si="42"/>
        <v>-9.2022005611073765E-3</v>
      </c>
      <c r="AT241" s="5">
        <f t="shared" si="43"/>
        <v>-2.581518193755622E-2</v>
      </c>
    </row>
    <row r="242" spans="12:46" x14ac:dyDescent="0.25">
      <c r="L242" s="4">
        <v>45170.5</v>
      </c>
      <c r="M242">
        <v>86.02</v>
      </c>
      <c r="N242">
        <v>86.4</v>
      </c>
      <c r="O242">
        <v>85</v>
      </c>
      <c r="P242">
        <v>85.64</v>
      </c>
      <c r="Q242">
        <v>14352</v>
      </c>
      <c r="R242">
        <v>289890</v>
      </c>
      <c r="S242">
        <v>35.75</v>
      </c>
      <c r="T242">
        <v>37.155000000000001</v>
      </c>
      <c r="U242">
        <v>34.314999999999998</v>
      </c>
      <c r="V242">
        <v>35.616999999999997</v>
      </c>
      <c r="W242">
        <v>3052</v>
      </c>
      <c r="X242">
        <v>1.6277177072433504E-2</v>
      </c>
      <c r="Y242">
        <v>-1.2997322342140181</v>
      </c>
      <c r="Z242">
        <v>-0.91768385107248507</v>
      </c>
      <c r="AB242" s="3">
        <f t="shared" si="33"/>
        <v>-6.2151403838032332E-5</v>
      </c>
      <c r="AC242" s="3">
        <f t="shared" si="34"/>
        <v>-5.4935855567572051E-3</v>
      </c>
      <c r="AD242" s="3">
        <f t="shared" si="35"/>
        <v>-7.1084688188162437E-3</v>
      </c>
      <c r="AE242" s="76">
        <f t="shared" si="36"/>
        <v>-3354.6666666666661</v>
      </c>
      <c r="AF242" s="76">
        <f t="shared" si="37"/>
        <v>-4528.7619047619064</v>
      </c>
      <c r="AG242" s="76">
        <f t="shared" si="38"/>
        <v>-4336.6342182890858</v>
      </c>
      <c r="AN242">
        <v>25633</v>
      </c>
      <c r="AO242" s="5">
        <f t="shared" si="39"/>
        <v>-6.661213041953877E-3</v>
      </c>
      <c r="AP242" s="5">
        <f t="shared" si="40"/>
        <v>0.31978188787699524</v>
      </c>
      <c r="AR242" s="5">
        <f t="shared" si="41"/>
        <v>-6.3607835093359433E-3</v>
      </c>
      <c r="AS242" s="5">
        <f t="shared" si="42"/>
        <v>-8.4843095028489524E-3</v>
      </c>
      <c r="AT242" s="5">
        <f t="shared" si="43"/>
        <v>-2.6311713004163406E-2</v>
      </c>
    </row>
    <row r="243" spans="12:46" x14ac:dyDescent="0.25">
      <c r="L243" s="4">
        <v>45169.5</v>
      </c>
      <c r="M243">
        <v>86.01</v>
      </c>
      <c r="N243">
        <v>87.3</v>
      </c>
      <c r="O243">
        <v>85.57</v>
      </c>
      <c r="P243">
        <v>86.03</v>
      </c>
      <c r="Q243">
        <v>13640</v>
      </c>
      <c r="R243">
        <v>289505</v>
      </c>
      <c r="S243">
        <v>39</v>
      </c>
      <c r="T243">
        <v>39</v>
      </c>
      <c r="U243">
        <v>34.82</v>
      </c>
      <c r="V243">
        <v>35.029000000000003</v>
      </c>
      <c r="W243">
        <v>2848</v>
      </c>
      <c r="X243">
        <v>2.0350546994471284E-2</v>
      </c>
      <c r="Y243">
        <v>-0.92636675845359784</v>
      </c>
      <c r="Z243">
        <v>-1.0772663209840916</v>
      </c>
      <c r="AB243" s="3">
        <f t="shared" si="33"/>
        <v>1.351675279096725E-3</v>
      </c>
      <c r="AC243" s="3">
        <f t="shared" si="34"/>
        <v>-4.6086130123434467E-3</v>
      </c>
      <c r="AD243" s="3">
        <f t="shared" si="35"/>
        <v>-6.3614003367661077E-3</v>
      </c>
      <c r="AE243" s="76">
        <f t="shared" si="36"/>
        <v>-3239.9523809523798</v>
      </c>
      <c r="AF243" s="76">
        <f t="shared" si="37"/>
        <v>-4294.0595238095248</v>
      </c>
      <c r="AG243" s="76">
        <f t="shared" si="38"/>
        <v>-4184.1571849978918</v>
      </c>
      <c r="AN243">
        <v>25988</v>
      </c>
      <c r="AO243" s="5">
        <f t="shared" si="39"/>
        <v>1.1107172397494952E-2</v>
      </c>
      <c r="AP243" s="5">
        <f t="shared" si="40"/>
        <v>0.31970277531877772</v>
      </c>
      <c r="AR243" s="5">
        <f t="shared" si="41"/>
        <v>-5.8460178738934943E-3</v>
      </c>
      <c r="AS243" s="5">
        <f t="shared" si="42"/>
        <v>-7.9499106243758333E-3</v>
      </c>
      <c r="AT243" s="5">
        <f t="shared" si="43"/>
        <v>-2.7236401412206734E-2</v>
      </c>
    </row>
    <row r="244" spans="12:46" x14ac:dyDescent="0.25">
      <c r="L244" s="4">
        <v>45168.5</v>
      </c>
      <c r="M244">
        <v>85.01</v>
      </c>
      <c r="N244">
        <v>86.7</v>
      </c>
      <c r="O244">
        <v>84.63</v>
      </c>
      <c r="P244">
        <v>86</v>
      </c>
      <c r="Q244">
        <v>16779</v>
      </c>
      <c r="R244">
        <v>290520</v>
      </c>
      <c r="S244">
        <v>34.424999999999997</v>
      </c>
      <c r="T244">
        <v>36.1</v>
      </c>
      <c r="U244">
        <v>34.424999999999997</v>
      </c>
      <c r="V244">
        <v>35.991999999999997</v>
      </c>
      <c r="W244">
        <v>3143</v>
      </c>
      <c r="X244">
        <v>2.4148390107326265E-2</v>
      </c>
      <c r="Y244">
        <v>-0.57353760199901538</v>
      </c>
      <c r="Z244">
        <v>-0.51992854499136631</v>
      </c>
      <c r="AB244" s="3">
        <f t="shared" si="33"/>
        <v>1.8061421833956669E-3</v>
      </c>
      <c r="AC244" s="3">
        <f t="shared" si="34"/>
        <v>-4.5959895982089806E-3</v>
      </c>
      <c r="AD244" s="3">
        <f t="shared" si="35"/>
        <v>-6.3470349719505458E-3</v>
      </c>
      <c r="AE244" s="76">
        <f t="shared" si="36"/>
        <v>-2099.8095238095229</v>
      </c>
      <c r="AF244" s="76">
        <f t="shared" si="37"/>
        <v>-3556.3630952380954</v>
      </c>
      <c r="AG244" s="76">
        <f t="shared" si="38"/>
        <v>-3537.5263379688149</v>
      </c>
      <c r="AN244">
        <v>24463</v>
      </c>
      <c r="AO244" s="5">
        <f t="shared" si="39"/>
        <v>1.3014671083767088E-3</v>
      </c>
      <c r="AP244" s="5">
        <f t="shared" si="40"/>
        <v>0.32014970598024184</v>
      </c>
      <c r="AR244" s="5">
        <f t="shared" si="41"/>
        <v>-5.2645834454823071E-3</v>
      </c>
      <c r="AS244" s="5">
        <f t="shared" si="42"/>
        <v>-7.5195451137406444E-3</v>
      </c>
      <c r="AT244" s="5">
        <f t="shared" si="43"/>
        <v>-2.8179558364673285E-2</v>
      </c>
    </row>
    <row r="245" spans="12:46" x14ac:dyDescent="0.25">
      <c r="L245" s="4">
        <v>45167.5</v>
      </c>
      <c r="M245">
        <v>85.72</v>
      </c>
      <c r="N245">
        <v>86.79</v>
      </c>
      <c r="O245">
        <v>84.52</v>
      </c>
      <c r="P245">
        <v>85</v>
      </c>
      <c r="Q245">
        <v>15342</v>
      </c>
      <c r="R245">
        <v>290511</v>
      </c>
      <c r="S245">
        <v>36.884999999999998</v>
      </c>
      <c r="T245">
        <v>36.884999999999998</v>
      </c>
      <c r="U245">
        <v>34.805</v>
      </c>
      <c r="V245">
        <v>35.195</v>
      </c>
      <c r="W245">
        <v>1953</v>
      </c>
      <c r="X245">
        <v>2.6611957796014187E-2</v>
      </c>
      <c r="Y245">
        <v>-0.34174949572936469</v>
      </c>
      <c r="Z245">
        <v>-0.80752094138076014</v>
      </c>
      <c r="AB245" s="3">
        <f t="shared" si="33"/>
        <v>2.9216685938756801E-3</v>
      </c>
      <c r="AC245" s="3">
        <f t="shared" si="34"/>
        <v>-3.8133946098467507E-3</v>
      </c>
      <c r="AD245" s="3">
        <f t="shared" si="35"/>
        <v>-5.4979850197450324E-3</v>
      </c>
      <c r="AE245" s="76">
        <f t="shared" si="36"/>
        <v>-1264.3333333333358</v>
      </c>
      <c r="AF245" s="76">
        <f t="shared" si="37"/>
        <v>-3079.2083333333358</v>
      </c>
      <c r="AG245" s="76">
        <f t="shared" si="38"/>
        <v>-3080.5002107037508</v>
      </c>
      <c r="AN245">
        <v>23985</v>
      </c>
      <c r="AO245" s="5">
        <f t="shared" si="39"/>
        <v>-2.7138643067847077E-3</v>
      </c>
      <c r="AP245" s="5">
        <f t="shared" si="40"/>
        <v>0.32036564745231427</v>
      </c>
      <c r="AR245" s="5">
        <f t="shared" si="41"/>
        <v>-4.6661226739844741E-3</v>
      </c>
      <c r="AS245" s="5">
        <f t="shared" si="42"/>
        <v>-7.0905380081580094E-3</v>
      </c>
      <c r="AT245" s="5">
        <f t="shared" si="43"/>
        <v>-2.9116964868162842E-2</v>
      </c>
    </row>
    <row r="246" spans="12:46" x14ac:dyDescent="0.25">
      <c r="L246" s="4">
        <v>45166.5</v>
      </c>
      <c r="M246">
        <v>85.3</v>
      </c>
      <c r="N246">
        <v>86.5</v>
      </c>
      <c r="O246">
        <v>84.75</v>
      </c>
      <c r="P246">
        <v>85.6</v>
      </c>
      <c r="Q246">
        <v>9092</v>
      </c>
      <c r="R246">
        <v>289825</v>
      </c>
      <c r="S246">
        <v>35.494999999999997</v>
      </c>
      <c r="T246">
        <v>38.479999999999997</v>
      </c>
      <c r="U246">
        <v>35.494999999999997</v>
      </c>
      <c r="V246">
        <v>38.414000000000001</v>
      </c>
      <c r="W246">
        <v>105</v>
      </c>
      <c r="X246">
        <v>2.0573712673407005E-2</v>
      </c>
      <c r="Y246">
        <v>-0.95675748260187277</v>
      </c>
      <c r="Z246">
        <v>-1.8332391477792316</v>
      </c>
      <c r="AB246" s="3">
        <f t="shared" si="33"/>
        <v>3.5578562922968515E-3</v>
      </c>
      <c r="AC246" s="3">
        <f t="shared" si="34"/>
        <v>-3.1559946295708491E-3</v>
      </c>
      <c r="AD246" s="3">
        <f t="shared" si="35"/>
        <v>-5.2471394567801498E-3</v>
      </c>
      <c r="AE246" s="76">
        <f t="shared" si="36"/>
        <v>-834.23809523809541</v>
      </c>
      <c r="AF246" s="76">
        <f t="shared" si="37"/>
        <v>-2612.8273809523816</v>
      </c>
      <c r="AG246" s="76">
        <f t="shared" si="38"/>
        <v>-2775.5541508638853</v>
      </c>
      <c r="AN246">
        <v>22342</v>
      </c>
      <c r="AO246" s="5">
        <f t="shared" si="39"/>
        <v>2.9585798816568047E-3</v>
      </c>
      <c r="AP246" s="5">
        <f t="shared" si="40"/>
        <v>0.32722383327443871</v>
      </c>
      <c r="AR246" s="5">
        <f t="shared" si="41"/>
        <v>-4.1197776955814169E-3</v>
      </c>
      <c r="AS246" s="5">
        <f t="shared" si="42"/>
        <v>-6.6719660298603656E-3</v>
      </c>
      <c r="AT246" s="5">
        <f t="shared" si="43"/>
        <v>-3.0088476640785178E-2</v>
      </c>
    </row>
    <row r="247" spans="12:46" x14ac:dyDescent="0.25">
      <c r="L247" s="4">
        <v>45163.5</v>
      </c>
      <c r="M247">
        <v>85.06</v>
      </c>
      <c r="N247">
        <v>86.5</v>
      </c>
      <c r="O247">
        <v>84.5</v>
      </c>
      <c r="P247">
        <v>85.25</v>
      </c>
      <c r="Q247">
        <v>15061</v>
      </c>
      <c r="R247">
        <v>289588</v>
      </c>
      <c r="S247">
        <v>34.299999999999997</v>
      </c>
      <c r="T247">
        <v>35.700000000000003</v>
      </c>
      <c r="U247">
        <v>33.56</v>
      </c>
      <c r="V247">
        <v>34.777000000000001</v>
      </c>
      <c r="W247">
        <v>449</v>
      </c>
      <c r="X247">
        <v>2.2870211549456832E-2</v>
      </c>
      <c r="Y247">
        <v>-0.73151192589822533</v>
      </c>
      <c r="Z247">
        <v>-0.83551674220896266</v>
      </c>
      <c r="AB247" s="3">
        <f t="shared" si="33"/>
        <v>4.5648384698447828E-3</v>
      </c>
      <c r="AC247" s="3">
        <f t="shared" si="34"/>
        <v>-2.6367153343316574E-3</v>
      </c>
      <c r="AD247" s="3">
        <f t="shared" si="35"/>
        <v>-4.9301910632265425E-3</v>
      </c>
      <c r="AE247" s="76">
        <f t="shared" si="36"/>
        <v>-253.19047619047706</v>
      </c>
      <c r="AF247" s="76">
        <f t="shared" si="37"/>
        <v>-2173.9880952380954</v>
      </c>
      <c r="AG247" s="76">
        <f t="shared" si="38"/>
        <v>-2378.2418879056058</v>
      </c>
      <c r="AN247">
        <v>31350</v>
      </c>
      <c r="AO247" s="5">
        <f t="shared" si="39"/>
        <v>-6.9338347631919539E-3</v>
      </c>
      <c r="AP247" s="5">
        <f t="shared" si="40"/>
        <v>0.32829585857710503</v>
      </c>
      <c r="AR247" s="5">
        <f t="shared" si="41"/>
        <v>-4.0069994975763246E-3</v>
      </c>
      <c r="AS247" s="5">
        <f t="shared" si="42"/>
        <v>-6.6223171194935149E-3</v>
      </c>
      <c r="AT247" s="5">
        <f t="shared" si="43"/>
        <v>-3.1422993695496115E-2</v>
      </c>
    </row>
    <row r="248" spans="12:46" x14ac:dyDescent="0.25">
      <c r="L248" s="4">
        <v>45162.5</v>
      </c>
      <c r="M248">
        <v>87.45</v>
      </c>
      <c r="N248">
        <v>87.45</v>
      </c>
      <c r="O248">
        <v>85.09</v>
      </c>
      <c r="P248">
        <v>85.21</v>
      </c>
      <c r="Q248">
        <v>21549</v>
      </c>
      <c r="R248">
        <v>289316</v>
      </c>
      <c r="S248">
        <v>33.164999999999999</v>
      </c>
      <c r="T248">
        <v>33.479999999999997</v>
      </c>
      <c r="U248">
        <v>31.725000000000001</v>
      </c>
      <c r="V248">
        <v>31.937999999999999</v>
      </c>
      <c r="W248">
        <v>499</v>
      </c>
      <c r="X248">
        <v>2.6233881725211201E-2</v>
      </c>
      <c r="Y248">
        <v>-0.3836293980147476</v>
      </c>
      <c r="Z248">
        <v>0.30224571981728715</v>
      </c>
      <c r="AB248" s="3">
        <f t="shared" si="33"/>
        <v>4.1905176531611445E-3</v>
      </c>
      <c r="AC248" s="3">
        <f t="shared" si="34"/>
        <v>-2.7196352071910644E-3</v>
      </c>
      <c r="AD248" s="3">
        <f t="shared" si="35"/>
        <v>-5.0612765117775196E-3</v>
      </c>
      <c r="AE248" s="76">
        <f t="shared" si="36"/>
        <v>335</v>
      </c>
      <c r="AF248" s="76">
        <f t="shared" si="37"/>
        <v>-1772.5833333333321</v>
      </c>
      <c r="AG248" s="76">
        <f t="shared" si="38"/>
        <v>-1990.7151285292894</v>
      </c>
      <c r="AN248">
        <v>33400</v>
      </c>
      <c r="AO248" s="5">
        <f t="shared" si="39"/>
        <v>-2.5872925014310145E-2</v>
      </c>
      <c r="AP248" s="5">
        <f t="shared" si="40"/>
        <v>0.32836443387110642</v>
      </c>
      <c r="AR248" s="5">
        <f t="shared" si="41"/>
        <v>-3.9161125582784506E-3</v>
      </c>
      <c r="AS248" s="5">
        <f t="shared" si="42"/>
        <v>-6.6868561956199835E-3</v>
      </c>
      <c r="AT248" s="5">
        <f t="shared" si="43"/>
        <v>-3.279088839700961E-2</v>
      </c>
    </row>
    <row r="249" spans="12:46" x14ac:dyDescent="0.25">
      <c r="L249" s="4">
        <v>45161.5</v>
      </c>
      <c r="M249">
        <v>89.96</v>
      </c>
      <c r="N249">
        <v>90.24</v>
      </c>
      <c r="O249">
        <v>87.35</v>
      </c>
      <c r="P249">
        <v>88</v>
      </c>
      <c r="Q249">
        <v>21917</v>
      </c>
      <c r="R249">
        <v>287644</v>
      </c>
      <c r="S249">
        <v>41.65</v>
      </c>
      <c r="T249">
        <v>42.494999999999997</v>
      </c>
      <c r="U249">
        <v>36.475000000000001</v>
      </c>
      <c r="V249">
        <v>36.786000000000001</v>
      </c>
      <c r="W249">
        <v>719</v>
      </c>
      <c r="X249">
        <v>3.2923217133743458E-2</v>
      </c>
      <c r="Y249">
        <v>0.27292935116872258</v>
      </c>
      <c r="Z249">
        <v>0.38035150229549858</v>
      </c>
      <c r="AB249" s="3">
        <f t="shared" si="33"/>
        <v>4.4611152085853659E-3</v>
      </c>
      <c r="AC249" s="3">
        <f t="shared" si="34"/>
        <v>-2.1940796729056251E-3</v>
      </c>
      <c r="AD249" s="3">
        <f t="shared" si="35"/>
        <v>-4.5918899972769468E-3</v>
      </c>
      <c r="AE249" s="76">
        <f t="shared" si="36"/>
        <v>250.47619047619082</v>
      </c>
      <c r="AF249" s="76">
        <f t="shared" si="37"/>
        <v>-1862.5535714285688</v>
      </c>
      <c r="AG249" s="76">
        <f t="shared" si="38"/>
        <v>-2082.2642225031595</v>
      </c>
      <c r="AN249">
        <v>24592</v>
      </c>
      <c r="AO249" s="5">
        <f t="shared" si="39"/>
        <v>-4.6718322698269229E-3</v>
      </c>
      <c r="AP249" s="5">
        <f t="shared" si="40"/>
        <v>0.32762619084166883</v>
      </c>
      <c r="AR249" s="5">
        <f t="shared" si="41"/>
        <v>-3.9518651420743511E-3</v>
      </c>
      <c r="AS249" s="5">
        <f t="shared" si="42"/>
        <v>-6.8098336987384434E-3</v>
      </c>
      <c r="AT249" s="5">
        <f t="shared" si="43"/>
        <v>-3.4181219316295808E-2</v>
      </c>
    </row>
    <row r="250" spans="12:46" x14ac:dyDescent="0.25">
      <c r="L250" s="4">
        <v>45160.5</v>
      </c>
      <c r="M250">
        <v>87.78</v>
      </c>
      <c r="N250">
        <v>90.44</v>
      </c>
      <c r="O250">
        <v>87.76</v>
      </c>
      <c r="P250">
        <v>90.01</v>
      </c>
      <c r="Q250">
        <v>21214</v>
      </c>
      <c r="R250">
        <v>287456</v>
      </c>
      <c r="S250">
        <v>39.354999999999997</v>
      </c>
      <c r="T250">
        <v>44.7</v>
      </c>
      <c r="U250">
        <v>39.354999999999997</v>
      </c>
      <c r="V250">
        <v>42.908000000000001</v>
      </c>
      <c r="W250">
        <v>5920</v>
      </c>
      <c r="X250">
        <v>3.0265386787125835E-2</v>
      </c>
      <c r="Y250">
        <v>3.0094138246109372E-2</v>
      </c>
      <c r="Z250">
        <v>0.26649671308429818</v>
      </c>
      <c r="AB250" s="3">
        <f t="shared" si="33"/>
        <v>2.349125635666291E-3</v>
      </c>
      <c r="AC250" s="3">
        <f t="shared" si="34"/>
        <v>-3.0492804745666235E-3</v>
      </c>
      <c r="AD250" s="3">
        <f t="shared" si="35"/>
        <v>-5.6715025809176457E-3</v>
      </c>
      <c r="AE250" s="76">
        <f t="shared" si="36"/>
        <v>-120.61904761904952</v>
      </c>
      <c r="AF250" s="76">
        <f t="shared" si="37"/>
        <v>-1926.2678571428587</v>
      </c>
      <c r="AG250" s="76">
        <f t="shared" si="38"/>
        <v>-2350.0745891276893</v>
      </c>
      <c r="AN250">
        <v>16441</v>
      </c>
      <c r="AO250" s="5">
        <f t="shared" si="39"/>
        <v>1.0361501266405776E-2</v>
      </c>
      <c r="AP250" s="5">
        <f t="shared" si="40"/>
        <v>0.32763747885334538</v>
      </c>
      <c r="AR250" s="5">
        <f t="shared" si="41"/>
        <v>-3.9700933225344515E-3</v>
      </c>
      <c r="AS250" s="5">
        <f t="shared" si="42"/>
        <v>-6.9067077345618122E-3</v>
      </c>
      <c r="AT250" s="5">
        <f t="shared" si="43"/>
        <v>-3.5542471745001414E-2</v>
      </c>
    </row>
    <row r="251" spans="12:46" x14ac:dyDescent="0.25">
      <c r="L251" s="4">
        <v>45159.5</v>
      </c>
      <c r="M251">
        <v>88.55</v>
      </c>
      <c r="N251">
        <v>88.71</v>
      </c>
      <c r="O251">
        <v>86.86</v>
      </c>
      <c r="P251">
        <v>87.85</v>
      </c>
      <c r="Q251">
        <v>12815</v>
      </c>
      <c r="R251">
        <v>287750</v>
      </c>
      <c r="S251">
        <v>38.575000000000003</v>
      </c>
      <c r="T251">
        <v>40.869999999999997</v>
      </c>
      <c r="U251">
        <v>38.479999999999997</v>
      </c>
      <c r="V251">
        <v>40.781999999999996</v>
      </c>
      <c r="W251">
        <v>430</v>
      </c>
      <c r="X251">
        <v>2.083333333333327E-2</v>
      </c>
      <c r="Y251">
        <v>-0.88991518007419779</v>
      </c>
      <c r="Z251">
        <v>-1.2274068632554054</v>
      </c>
      <c r="AB251" s="3">
        <f t="shared" si="33"/>
        <v>1.3016153329055147E-3</v>
      </c>
      <c r="AC251" s="3">
        <f t="shared" si="34"/>
        <v>-3.5493137629637149E-3</v>
      </c>
      <c r="AD251" s="3">
        <f t="shared" si="35"/>
        <v>-6.2679358855563042E-3</v>
      </c>
      <c r="AE251" s="76">
        <f t="shared" si="36"/>
        <v>-322.23809523809541</v>
      </c>
      <c r="AF251" s="76">
        <f t="shared" si="37"/>
        <v>-2041.0059523809541</v>
      </c>
      <c r="AG251" s="76">
        <f t="shared" si="38"/>
        <v>-2560.0092709650235</v>
      </c>
      <c r="AN251">
        <v>29961</v>
      </c>
      <c r="AO251" s="5">
        <f t="shared" si="39"/>
        <v>-4.6980634811504135E-3</v>
      </c>
      <c r="AP251" s="5">
        <f t="shared" si="40"/>
        <v>0.32820700613293152</v>
      </c>
      <c r="AR251" s="5">
        <f t="shared" si="41"/>
        <v>-3.9643114031912008E-3</v>
      </c>
      <c r="AS251" s="5">
        <f t="shared" si="42"/>
        <v>-7.0165660559194931E-3</v>
      </c>
      <c r="AT251" s="5">
        <f t="shared" si="43"/>
        <v>-3.6896410310229943E-2</v>
      </c>
    </row>
    <row r="252" spans="12:46" x14ac:dyDescent="0.25">
      <c r="L252" s="4">
        <v>45156.5</v>
      </c>
      <c r="M252">
        <v>88.8</v>
      </c>
      <c r="N252">
        <v>89.09</v>
      </c>
      <c r="O252">
        <v>87.27</v>
      </c>
      <c r="P252">
        <v>88.05</v>
      </c>
      <c r="Q252">
        <v>14205</v>
      </c>
      <c r="R252">
        <v>287371</v>
      </c>
      <c r="S252">
        <v>36.265000000000001</v>
      </c>
      <c r="T252">
        <v>37.75</v>
      </c>
      <c r="U252">
        <v>35.685000000000002</v>
      </c>
      <c r="V252">
        <v>36.409999999999997</v>
      </c>
      <c r="W252">
        <v>545</v>
      </c>
      <c r="X252">
        <v>2.054407946720857E-2</v>
      </c>
      <c r="Y252">
        <v>-0.94409064638477425</v>
      </c>
      <c r="Z252">
        <v>-0.98678580664772075</v>
      </c>
      <c r="AB252" s="3">
        <f t="shared" si="33"/>
        <v>9.3654145822963039E-4</v>
      </c>
      <c r="AC252" s="3">
        <f t="shared" si="34"/>
        <v>-3.577476584009788E-3</v>
      </c>
      <c r="AD252" s="3">
        <f t="shared" si="35"/>
        <v>-6.3440872196313391E-3</v>
      </c>
      <c r="AE252" s="76">
        <f t="shared" si="36"/>
        <v>-207.1428571428587</v>
      </c>
      <c r="AF252" s="76">
        <f t="shared" si="37"/>
        <v>-1762.5</v>
      </c>
      <c r="AG252" s="76">
        <f t="shared" si="38"/>
        <v>-2277.7180783817967</v>
      </c>
      <c r="AN252">
        <v>20433</v>
      </c>
      <c r="AO252" s="5">
        <f t="shared" si="39"/>
        <v>-4.9030786773090855E-3</v>
      </c>
      <c r="AP252" s="5">
        <f t="shared" si="40"/>
        <v>0.33180761816885457</v>
      </c>
      <c r="AR252" s="5">
        <f t="shared" si="41"/>
        <v>-3.9926206900268713E-3</v>
      </c>
      <c r="AS252" s="5">
        <f t="shared" si="42"/>
        <v>-7.1523697448468981E-3</v>
      </c>
      <c r="AT252" s="5">
        <f t="shared" si="43"/>
        <v>-3.8279425007187673E-2</v>
      </c>
    </row>
    <row r="253" spans="12:46" x14ac:dyDescent="0.25">
      <c r="L253" s="4">
        <v>45155.5</v>
      </c>
      <c r="M253">
        <v>88.59</v>
      </c>
      <c r="N253">
        <v>89.87</v>
      </c>
      <c r="O253">
        <v>87.7</v>
      </c>
      <c r="P253">
        <v>88.85</v>
      </c>
      <c r="Q253">
        <v>16867</v>
      </c>
      <c r="R253">
        <v>287265</v>
      </c>
      <c r="S253">
        <v>37.15</v>
      </c>
      <c r="T253">
        <v>39.325000000000003</v>
      </c>
      <c r="U253">
        <v>36.325000000000003</v>
      </c>
      <c r="V253">
        <v>36.825000000000003</v>
      </c>
      <c r="W253">
        <v>594</v>
      </c>
      <c r="X253">
        <v>2.498560736902708E-2</v>
      </c>
      <c r="Y253">
        <v>-0.50907995555993868</v>
      </c>
      <c r="Z253">
        <v>-0.49490739547607604</v>
      </c>
      <c r="AB253" s="3">
        <f t="shared" si="33"/>
        <v>9.6165225068389759E-5</v>
      </c>
      <c r="AC253" s="3">
        <f t="shared" si="34"/>
        <v>-3.8247358830033711E-3</v>
      </c>
      <c r="AD253" s="3">
        <f t="shared" si="35"/>
        <v>-5.9449218844047358E-3</v>
      </c>
      <c r="AE253" s="76">
        <f t="shared" si="36"/>
        <v>-322.42857142857247</v>
      </c>
      <c r="AF253" s="76">
        <f t="shared" si="37"/>
        <v>-1523.6845238095229</v>
      </c>
      <c r="AG253" s="76">
        <f t="shared" si="38"/>
        <v>-1836.3973872734932</v>
      </c>
      <c r="AN253">
        <v>20101</v>
      </c>
      <c r="AO253" s="5">
        <f t="shared" si="39"/>
        <v>9.7869890616005591E-3</v>
      </c>
      <c r="AP253" s="5">
        <f t="shared" si="40"/>
        <v>0.33321102268454716</v>
      </c>
      <c r="AR253" s="5">
        <f t="shared" si="41"/>
        <v>-4.1281974943814803E-3</v>
      </c>
      <c r="AS253" s="5">
        <f t="shared" si="42"/>
        <v>-7.4407393180017656E-3</v>
      </c>
      <c r="AT253" s="5">
        <f t="shared" si="43"/>
        <v>-3.9814204376576845E-2</v>
      </c>
    </row>
    <row r="254" spans="12:46" x14ac:dyDescent="0.25">
      <c r="L254" s="4">
        <v>45154.5</v>
      </c>
      <c r="M254">
        <v>86.85</v>
      </c>
      <c r="N254">
        <v>88.89</v>
      </c>
      <c r="O254">
        <v>86.85</v>
      </c>
      <c r="P254">
        <v>88.58</v>
      </c>
      <c r="Q254">
        <v>18010</v>
      </c>
      <c r="R254">
        <v>287412</v>
      </c>
      <c r="S254">
        <v>41.83</v>
      </c>
      <c r="T254">
        <v>41.83</v>
      </c>
      <c r="U254">
        <v>37.159999999999997</v>
      </c>
      <c r="V254">
        <v>37.783999999999999</v>
      </c>
      <c r="W254">
        <v>1424</v>
      </c>
      <c r="X254">
        <v>2.3118766999093453E-2</v>
      </c>
      <c r="Y254">
        <v>-0.69482679551012305</v>
      </c>
      <c r="Z254">
        <v>-0.28080935061779477</v>
      </c>
      <c r="AB254" s="3">
        <f t="shared" si="33"/>
        <v>-9.8507804582311648E-5</v>
      </c>
      <c r="AC254" s="3">
        <f t="shared" si="34"/>
        <v>-4.3153503049531208E-3</v>
      </c>
      <c r="AD254" s="3">
        <f t="shared" si="35"/>
        <v>-5.8479288979584945E-3</v>
      </c>
      <c r="AE254" s="76">
        <f t="shared" si="36"/>
        <v>-575.66666666666788</v>
      </c>
      <c r="AF254" s="76">
        <f t="shared" si="37"/>
        <v>-1489.4107142857138</v>
      </c>
      <c r="AG254" s="76">
        <f t="shared" si="38"/>
        <v>-1693.0745891276893</v>
      </c>
      <c r="AN254">
        <v>21974</v>
      </c>
      <c r="AO254" s="5">
        <f t="shared" si="39"/>
        <v>1.7301038062282753E-3</v>
      </c>
      <c r="AP254" s="5">
        <f t="shared" si="40"/>
        <v>0.33310903745682058</v>
      </c>
      <c r="AR254" s="5">
        <f t="shared" si="41"/>
        <v>-4.3584175767376609E-3</v>
      </c>
      <c r="AS254" s="5">
        <f t="shared" si="42"/>
        <v>-7.8410453225083443E-3</v>
      </c>
      <c r="AT254" s="5">
        <f t="shared" si="43"/>
        <v>-4.1429801025268276E-2</v>
      </c>
    </row>
    <row r="255" spans="12:46" x14ac:dyDescent="0.25">
      <c r="L255" s="4">
        <v>45153.5</v>
      </c>
      <c r="M255">
        <v>88.24</v>
      </c>
      <c r="N255">
        <v>88.6</v>
      </c>
      <c r="O255">
        <v>86.7</v>
      </c>
      <c r="P255">
        <v>86.87</v>
      </c>
      <c r="Q255">
        <v>14757</v>
      </c>
      <c r="R255">
        <v>287875</v>
      </c>
      <c r="S255">
        <v>36.835000000000001</v>
      </c>
      <c r="T255">
        <v>40.5</v>
      </c>
      <c r="U255">
        <v>36.200000000000003</v>
      </c>
      <c r="V255">
        <v>38.813000000000002</v>
      </c>
      <c r="W255">
        <v>1701</v>
      </c>
      <c r="X255">
        <v>2.1950092421441674E-2</v>
      </c>
      <c r="Y255">
        <v>-0.81510863374711262</v>
      </c>
      <c r="Z255">
        <v>-0.8492635938865738</v>
      </c>
      <c r="AB255" s="3">
        <f t="shared" si="33"/>
        <v>-6.5962476313115651E-4</v>
      </c>
      <c r="AC255" s="3">
        <f t="shared" si="34"/>
        <v>-4.402068117478411E-3</v>
      </c>
      <c r="AD255" s="3">
        <f t="shared" si="35"/>
        <v>-5.8640659497363398E-3</v>
      </c>
      <c r="AE255" s="76">
        <f t="shared" si="36"/>
        <v>-582.66666666666788</v>
      </c>
      <c r="AF255" s="76">
        <f t="shared" si="37"/>
        <v>-1273.7321428571449</v>
      </c>
      <c r="AG255" s="76">
        <f t="shared" si="38"/>
        <v>-1724.3957016434906</v>
      </c>
      <c r="AN255">
        <v>19468</v>
      </c>
      <c r="AO255" s="5">
        <f t="shared" si="39"/>
        <v>8.1395348837209631E-3</v>
      </c>
      <c r="AP255" s="5">
        <f t="shared" si="40"/>
        <v>0.33394151903271102</v>
      </c>
      <c r="AR255" s="5">
        <f t="shared" si="41"/>
        <v>-4.20209051087167E-3</v>
      </c>
      <c r="AS255" s="5">
        <f t="shared" si="42"/>
        <v>-8.007702924171356E-3</v>
      </c>
      <c r="AT255" s="5">
        <f t="shared" si="43"/>
        <v>-4.2843275734877395E-2</v>
      </c>
    </row>
    <row r="256" spans="12:46" x14ac:dyDescent="0.25">
      <c r="L256" s="4">
        <v>45152.5</v>
      </c>
      <c r="M256">
        <v>86.56</v>
      </c>
      <c r="N256">
        <v>88.16</v>
      </c>
      <c r="O256">
        <v>86</v>
      </c>
      <c r="P256">
        <v>87.95</v>
      </c>
      <c r="Q256">
        <v>14519</v>
      </c>
      <c r="R256">
        <v>288171</v>
      </c>
      <c r="S256">
        <v>36.65</v>
      </c>
      <c r="T256">
        <v>36.655000000000001</v>
      </c>
      <c r="U256">
        <v>33.725000000000001</v>
      </c>
      <c r="V256">
        <v>34.433999999999997</v>
      </c>
      <c r="W256">
        <v>461</v>
      </c>
      <c r="X256">
        <v>2.545668827342365E-2</v>
      </c>
      <c r="Y256">
        <v>-0.48150456164507005</v>
      </c>
      <c r="Z256">
        <v>-0.90733232743000702</v>
      </c>
      <c r="AB256" s="3">
        <f t="shared" si="33"/>
        <v>-1.271925304682401E-3</v>
      </c>
      <c r="AC256" s="3">
        <f t="shared" si="34"/>
        <v>-4.6258455152021725E-3</v>
      </c>
      <c r="AD256" s="3">
        <f t="shared" si="35"/>
        <v>-6.1197189295161998E-3</v>
      </c>
      <c r="AE256" s="76">
        <f t="shared" si="36"/>
        <v>-859.76190476190459</v>
      </c>
      <c r="AF256" s="76">
        <f t="shared" si="37"/>
        <v>-1206.297619047622</v>
      </c>
      <c r="AG256" s="76">
        <f t="shared" si="38"/>
        <v>-1707.4268857985699</v>
      </c>
      <c r="AN256">
        <v>27595</v>
      </c>
      <c r="AO256" s="5">
        <f t="shared" si="39"/>
        <v>2.3809523809523808E-2</v>
      </c>
      <c r="AP256" s="5">
        <f t="shared" si="40"/>
        <v>0.33430070178677834</v>
      </c>
      <c r="AR256" s="5">
        <f t="shared" si="41"/>
        <v>-4.098247793122789E-3</v>
      </c>
      <c r="AS256" s="5">
        <f t="shared" si="42"/>
        <v>-8.214040579977544E-3</v>
      </c>
      <c r="AT256" s="5">
        <f t="shared" si="43"/>
        <v>-4.4298293091916519E-2</v>
      </c>
    </row>
    <row r="257" spans="12:46" x14ac:dyDescent="0.25">
      <c r="L257" s="4">
        <v>45149.5</v>
      </c>
      <c r="M257">
        <v>84.85</v>
      </c>
      <c r="N257">
        <v>86.92</v>
      </c>
      <c r="O257">
        <v>84</v>
      </c>
      <c r="P257">
        <v>86.8</v>
      </c>
      <c r="Q257">
        <v>12534</v>
      </c>
      <c r="R257">
        <v>288647</v>
      </c>
      <c r="S257">
        <v>37</v>
      </c>
      <c r="T257">
        <v>37.024999999999999</v>
      </c>
      <c r="U257">
        <v>35.18</v>
      </c>
      <c r="V257">
        <v>35.299999999999997</v>
      </c>
      <c r="W257">
        <v>665</v>
      </c>
      <c r="X257">
        <v>3.4662867996201351E-2</v>
      </c>
      <c r="Y257">
        <v>0.4201987754628223</v>
      </c>
      <c r="Z257">
        <v>-1.2352765916043902</v>
      </c>
      <c r="AB257" s="3">
        <f t="shared" si="33"/>
        <v>-2.4825139853033307E-3</v>
      </c>
      <c r="AC257" s="3">
        <f t="shared" si="34"/>
        <v>-4.9562513044109392E-3</v>
      </c>
      <c r="AD257" s="3">
        <f t="shared" si="35"/>
        <v>-6.4282562775241185E-3</v>
      </c>
      <c r="AE257" s="76">
        <f t="shared" si="36"/>
        <v>-1904.8095238095229</v>
      </c>
      <c r="AF257" s="76">
        <f t="shared" si="37"/>
        <v>-1420.8154761904771</v>
      </c>
      <c r="AG257" s="76">
        <f t="shared" si="38"/>
        <v>-1822.482511588707</v>
      </c>
      <c r="AN257">
        <v>21284</v>
      </c>
      <c r="AO257" s="5">
        <f t="shared" si="39"/>
        <v>1.1682524388775128E-2</v>
      </c>
      <c r="AP257" s="5">
        <f t="shared" si="40"/>
        <v>0.33402184174887034</v>
      </c>
      <c r="AR257" s="5">
        <f t="shared" si="41"/>
        <v>-4.0134028306685332E-3</v>
      </c>
      <c r="AS257" s="5">
        <f t="shared" si="42"/>
        <v>-8.4621455198212736E-3</v>
      </c>
      <c r="AT257" s="5">
        <f t="shared" si="43"/>
        <v>-4.5797896365823598E-2</v>
      </c>
    </row>
    <row r="258" spans="12:46" x14ac:dyDescent="0.25">
      <c r="L258" s="4">
        <v>45148.5</v>
      </c>
      <c r="M258">
        <v>84.24</v>
      </c>
      <c r="N258">
        <v>85.34</v>
      </c>
      <c r="O258">
        <v>83.03</v>
      </c>
      <c r="P258">
        <v>84.55</v>
      </c>
      <c r="Q258">
        <v>14140</v>
      </c>
      <c r="R258">
        <v>289906</v>
      </c>
      <c r="S258">
        <v>37.094999999999999</v>
      </c>
      <c r="T258">
        <v>39.465000000000003</v>
      </c>
      <c r="U258">
        <v>36.590000000000003</v>
      </c>
      <c r="V258">
        <v>37.055999999999997</v>
      </c>
      <c r="W258">
        <v>1296</v>
      </c>
      <c r="X258">
        <v>2.7411890352438618E-2</v>
      </c>
      <c r="Y258">
        <v>-0.27297255476002635</v>
      </c>
      <c r="Z258">
        <v>-0.97973612729665926</v>
      </c>
      <c r="AB258" s="3">
        <f t="shared" si="33"/>
        <v>-4.611180043074297E-3</v>
      </c>
      <c r="AC258" s="3">
        <f t="shared" si="34"/>
        <v>-5.7459734864143616E-3</v>
      </c>
      <c r="AD258" s="3">
        <f t="shared" si="35"/>
        <v>-7.5274887315158329E-3</v>
      </c>
      <c r="AE258" s="76">
        <f t="shared" si="36"/>
        <v>-2845.6190476190459</v>
      </c>
      <c r="AF258" s="76">
        <f t="shared" si="37"/>
        <v>-1528.2261904761872</v>
      </c>
      <c r="AG258" s="76">
        <f t="shared" si="38"/>
        <v>-1825.2739148756846</v>
      </c>
      <c r="AN258">
        <v>26377</v>
      </c>
      <c r="AO258" s="5">
        <f t="shared" si="39"/>
        <v>-5.6287425149700466E-3</v>
      </c>
      <c r="AP258" s="5">
        <f t="shared" si="40"/>
        <v>0.33425334069321672</v>
      </c>
      <c r="AR258" s="5">
        <f t="shared" si="41"/>
        <v>-3.9121045442783164E-3</v>
      </c>
      <c r="AS258" s="5">
        <f t="shared" si="42"/>
        <v>-8.7033857059933273E-3</v>
      </c>
      <c r="AT258" s="5">
        <f t="shared" si="43"/>
        <v>-4.7286337418154467E-2</v>
      </c>
    </row>
    <row r="259" spans="12:46" x14ac:dyDescent="0.25">
      <c r="L259" s="4">
        <v>45147.5</v>
      </c>
      <c r="M259">
        <v>84.27</v>
      </c>
      <c r="N259">
        <v>85.82</v>
      </c>
      <c r="O259">
        <v>83.5</v>
      </c>
      <c r="P259">
        <v>83.9</v>
      </c>
      <c r="Q259">
        <v>18243</v>
      </c>
      <c r="R259">
        <v>289556</v>
      </c>
      <c r="S259">
        <v>33.15</v>
      </c>
      <c r="T259">
        <v>43.244999999999997</v>
      </c>
      <c r="U259">
        <v>33.15</v>
      </c>
      <c r="V259">
        <v>39.823</v>
      </c>
      <c r="W259">
        <v>668</v>
      </c>
      <c r="X259">
        <v>2.8053204353083349E-2</v>
      </c>
      <c r="Y259">
        <v>-0.21065168206625842</v>
      </c>
      <c r="Z259">
        <v>-0.26937446821228156</v>
      </c>
      <c r="AB259" s="3">
        <f t="shared" si="33"/>
        <v>-5.2827509775756412E-3</v>
      </c>
      <c r="AC259" s="3">
        <f t="shared" si="34"/>
        <v>-5.522877380286742E-3</v>
      </c>
      <c r="AD259" s="3">
        <f t="shared" si="35"/>
        <v>-7.3982374996677328E-3</v>
      </c>
      <c r="AE259" s="76">
        <f t="shared" si="36"/>
        <v>-3186.7142857142826</v>
      </c>
      <c r="AF259" s="76">
        <f t="shared" si="37"/>
        <v>-1301.4464285714275</v>
      </c>
      <c r="AG259" s="76">
        <f t="shared" si="38"/>
        <v>-1482.0429835651048</v>
      </c>
      <c r="AN259">
        <v>20688</v>
      </c>
      <c r="AO259" s="5">
        <f t="shared" si="39"/>
        <v>1.458080194410696E-2</v>
      </c>
      <c r="AP259" s="5">
        <f t="shared" si="40"/>
        <v>0.33444707786156169</v>
      </c>
      <c r="AR259" s="5">
        <f t="shared" si="41"/>
        <v>-3.7796055587972499E-3</v>
      </c>
      <c r="AS259" s="5">
        <f t="shared" si="42"/>
        <v>-8.9860644160880687E-3</v>
      </c>
      <c r="AT259" s="5">
        <f t="shared" si="43"/>
        <v>-4.8780616726912807E-2</v>
      </c>
    </row>
    <row r="260" spans="12:46" x14ac:dyDescent="0.25">
      <c r="L260" s="4">
        <v>45146.5</v>
      </c>
      <c r="M260">
        <v>82.7</v>
      </c>
      <c r="N260">
        <v>84.72</v>
      </c>
      <c r="O260">
        <v>82.3</v>
      </c>
      <c r="P260">
        <v>83.97</v>
      </c>
      <c r="Q260">
        <v>19288</v>
      </c>
      <c r="R260">
        <v>290400</v>
      </c>
      <c r="S260">
        <v>29.81</v>
      </c>
      <c r="T260">
        <v>31.695</v>
      </c>
      <c r="U260">
        <v>29.785</v>
      </c>
      <c r="V260">
        <v>31.065999999999999</v>
      </c>
      <c r="W260">
        <v>821</v>
      </c>
      <c r="X260">
        <v>2.8933524629363962E-2</v>
      </c>
      <c r="Y260">
        <v>-0.12668661606480441</v>
      </c>
      <c r="Z260">
        <v>-8.1814985050671571E-2</v>
      </c>
      <c r="AB260" s="3">
        <f t="shared" si="33"/>
        <v>-6.274132410087653E-3</v>
      </c>
      <c r="AC260" s="3">
        <f t="shared" si="34"/>
        <v>-5.7105603786398451E-3</v>
      </c>
      <c r="AD260" s="3">
        <f t="shared" si="35"/>
        <v>-7.8329549499154827E-3</v>
      </c>
      <c r="AE260" s="76">
        <f t="shared" si="36"/>
        <v>-3095.2857142857174</v>
      </c>
      <c r="AF260" s="76">
        <f t="shared" si="37"/>
        <v>-1199.3273809523816</v>
      </c>
      <c r="AG260" s="76">
        <f t="shared" si="38"/>
        <v>-1430.0535187526366</v>
      </c>
      <c r="AN260">
        <v>17152</v>
      </c>
      <c r="AO260" s="5">
        <f t="shared" si="39"/>
        <v>-3.1492248062016124E-3</v>
      </c>
      <c r="AP260" s="5">
        <f t="shared" si="40"/>
        <v>0.3341615860228252</v>
      </c>
      <c r="AR260" s="5">
        <f t="shared" si="41"/>
        <v>-3.6456850298565158E-3</v>
      </c>
      <c r="AS260" s="5">
        <f t="shared" si="42"/>
        <v>-9.2788709147603732E-3</v>
      </c>
      <c r="AT260" s="5">
        <f t="shared" si="43"/>
        <v>-5.0287644490600802E-2</v>
      </c>
    </row>
    <row r="261" spans="12:46" x14ac:dyDescent="0.25">
      <c r="L261" s="4">
        <v>45145.5</v>
      </c>
      <c r="M261">
        <v>83.64</v>
      </c>
      <c r="N261">
        <v>84.6</v>
      </c>
      <c r="O261">
        <v>82.56</v>
      </c>
      <c r="P261">
        <v>82.64</v>
      </c>
      <c r="Q261">
        <v>15288</v>
      </c>
      <c r="R261">
        <v>286080</v>
      </c>
      <c r="S261">
        <v>29.8</v>
      </c>
      <c r="T261">
        <v>31.07</v>
      </c>
      <c r="U261">
        <v>29.55</v>
      </c>
      <c r="V261">
        <v>30.486999999999998</v>
      </c>
      <c r="W261">
        <v>1380</v>
      </c>
      <c r="X261">
        <v>2.4065117376430249E-2</v>
      </c>
      <c r="Y261">
        <v>-0.60812276452707059</v>
      </c>
      <c r="Z261">
        <v>-0.74665301723973221</v>
      </c>
      <c r="AB261" s="3">
        <f t="shared" si="33"/>
        <v>-7.9305483537312586E-3</v>
      </c>
      <c r="AC261" s="3">
        <f t="shared" si="34"/>
        <v>-6.3769193362585817E-3</v>
      </c>
      <c r="AD261" s="3">
        <f t="shared" si="35"/>
        <v>-8.6000790723146821E-3</v>
      </c>
      <c r="AE261" s="76">
        <f t="shared" si="36"/>
        <v>-3427.8095238095229</v>
      </c>
      <c r="AF261" s="76">
        <f t="shared" si="37"/>
        <v>-1357.2142857142862</v>
      </c>
      <c r="AG261" s="76">
        <f t="shared" si="38"/>
        <v>-1674.3514538558775</v>
      </c>
      <c r="AN261">
        <v>29834</v>
      </c>
      <c r="AO261" s="5">
        <f t="shared" si="39"/>
        <v>-8.2882882882882609E-3</v>
      </c>
      <c r="AP261" s="5">
        <f t="shared" si="40"/>
        <v>0.33416278667927068</v>
      </c>
      <c r="AR261" s="5">
        <f t="shared" si="41"/>
        <v>-3.4765316549003611E-3</v>
      </c>
      <c r="AS261" s="5">
        <f t="shared" si="42"/>
        <v>-9.5862540363502724E-3</v>
      </c>
      <c r="AT261" s="5">
        <f t="shared" si="43"/>
        <v>-5.1790728173454481E-2</v>
      </c>
    </row>
    <row r="262" spans="12:46" x14ac:dyDescent="0.25">
      <c r="L262" s="4">
        <v>45142.5</v>
      </c>
      <c r="M262">
        <v>84.77</v>
      </c>
      <c r="N262">
        <v>85.63</v>
      </c>
      <c r="O262">
        <v>83.25</v>
      </c>
      <c r="P262">
        <v>83.41</v>
      </c>
      <c r="Q262">
        <v>12874</v>
      </c>
      <c r="R262">
        <v>284844</v>
      </c>
      <c r="S262">
        <v>29.5</v>
      </c>
      <c r="T262">
        <v>29.785</v>
      </c>
      <c r="U262">
        <v>28.645</v>
      </c>
      <c r="V262">
        <v>28.853000000000002</v>
      </c>
      <c r="W262">
        <v>1454</v>
      </c>
      <c r="X262">
        <v>2.859202306583368E-2</v>
      </c>
      <c r="Y262">
        <v>-0.15079525429755672</v>
      </c>
      <c r="Z262">
        <v>-1.1587358595461361</v>
      </c>
      <c r="AB262" s="3">
        <f t="shared" si="33"/>
        <v>-8.2315617545018517E-3</v>
      </c>
      <c r="AC262" s="3">
        <f t="shared" si="34"/>
        <v>-6.6522522851740797E-3</v>
      </c>
      <c r="AD262" s="3">
        <f t="shared" si="35"/>
        <v>-8.8885040749240897E-3</v>
      </c>
      <c r="AE262" s="76">
        <f t="shared" si="36"/>
        <v>-2723.1904761904771</v>
      </c>
      <c r="AF262" s="76">
        <f t="shared" si="37"/>
        <v>-951.95833333333576</v>
      </c>
      <c r="AG262" s="76">
        <f t="shared" si="38"/>
        <v>-1317.0021070375078</v>
      </c>
      <c r="AN262">
        <v>22544</v>
      </c>
      <c r="AO262" s="5">
        <f t="shared" si="39"/>
        <v>1.8050541516246173E-3</v>
      </c>
      <c r="AP262" s="5">
        <f t="shared" si="40"/>
        <v>0.33406188957720506</v>
      </c>
      <c r="AR262" s="5">
        <f t="shared" si="41"/>
        <v>-3.3082445571260277E-3</v>
      </c>
      <c r="AS262" s="5">
        <f t="shared" si="42"/>
        <v>-9.885343878460684E-3</v>
      </c>
      <c r="AT262" s="5">
        <f t="shared" si="43"/>
        <v>-5.329046457830322E-2</v>
      </c>
    </row>
    <row r="263" spans="12:46" x14ac:dyDescent="0.25">
      <c r="L263" s="4">
        <v>45141.5</v>
      </c>
      <c r="M263">
        <v>83.24</v>
      </c>
      <c r="N263">
        <v>85.83</v>
      </c>
      <c r="O263">
        <v>83.1</v>
      </c>
      <c r="P263">
        <v>84.41</v>
      </c>
      <c r="Q263">
        <v>17738</v>
      </c>
      <c r="R263">
        <v>284457</v>
      </c>
      <c r="S263">
        <v>29.875</v>
      </c>
      <c r="T263">
        <v>31.35</v>
      </c>
      <c r="U263">
        <v>29.68</v>
      </c>
      <c r="V263">
        <v>30.472999999999999</v>
      </c>
      <c r="W263">
        <v>2083</v>
      </c>
      <c r="X263">
        <v>3.2250443000590712E-2</v>
      </c>
      <c r="Y263">
        <v>0.20369196980408397</v>
      </c>
      <c r="Z263">
        <v>-0.33875590050491111</v>
      </c>
      <c r="AB263" s="3">
        <f t="shared" si="33"/>
        <v>-1.0726162834796129E-2</v>
      </c>
      <c r="AC263" s="3">
        <f t="shared" si="34"/>
        <v>-7.6114424175365535E-3</v>
      </c>
      <c r="AD263" s="3">
        <f t="shared" si="35"/>
        <v>-9.8011913307262562E-3</v>
      </c>
      <c r="AE263" s="76">
        <f t="shared" si="36"/>
        <v>-2827.6190476190495</v>
      </c>
      <c r="AF263" s="76">
        <f t="shared" si="37"/>
        <v>-755.55952380952658</v>
      </c>
      <c r="AG263" s="76">
        <f t="shared" si="38"/>
        <v>-1138.9941002949854</v>
      </c>
      <c r="AN263">
        <v>32266</v>
      </c>
      <c r="AO263" s="5">
        <f t="shared" si="39"/>
        <v>1.2048192771083653E-3</v>
      </c>
      <c r="AP263" s="5">
        <f t="shared" si="40"/>
        <v>0.33406679391251881</v>
      </c>
      <c r="AR263" s="5">
        <f t="shared" si="41"/>
        <v>-3.075411721065513E-3</v>
      </c>
      <c r="AS263" s="5">
        <f t="shared" si="42"/>
        <v>-1.0278005103367016E-2</v>
      </c>
      <c r="AT263" s="5">
        <f t="shared" si="43"/>
        <v>-5.4786549692982134E-2</v>
      </c>
    </row>
    <row r="264" spans="12:46" x14ac:dyDescent="0.25">
      <c r="L264" s="4">
        <v>45140.5</v>
      </c>
      <c r="M264">
        <v>84.65</v>
      </c>
      <c r="N264">
        <v>84.99</v>
      </c>
      <c r="O264">
        <v>83</v>
      </c>
      <c r="P264">
        <v>83.2</v>
      </c>
      <c r="Q264">
        <v>25616</v>
      </c>
      <c r="R264">
        <v>284554</v>
      </c>
      <c r="S264">
        <v>27.3</v>
      </c>
      <c r="T264">
        <v>29.155000000000001</v>
      </c>
      <c r="U264">
        <v>27.3</v>
      </c>
      <c r="V264">
        <v>28.742000000000001</v>
      </c>
      <c r="W264">
        <v>2301</v>
      </c>
      <c r="X264">
        <v>2.2913068508923374E-2</v>
      </c>
      <c r="Y264">
        <v>-0.70135862175951624</v>
      </c>
      <c r="Z264">
        <v>0.9878441673759305</v>
      </c>
      <c r="AB264" s="3">
        <f t="shared" si="33"/>
        <v>-1.2466637584094852E-2</v>
      </c>
      <c r="AC264" s="3">
        <f t="shared" si="34"/>
        <v>-8.5531061549865978E-3</v>
      </c>
      <c r="AD264" s="3">
        <f t="shared" si="35"/>
        <v>-1.0509836706569776E-2</v>
      </c>
      <c r="AE264" s="76">
        <f t="shared" si="36"/>
        <v>-2927.1428571428587</v>
      </c>
      <c r="AF264" s="76">
        <f t="shared" si="37"/>
        <v>-695.48214285714494</v>
      </c>
      <c r="AG264" s="76">
        <f t="shared" si="38"/>
        <v>-1119.399494311001</v>
      </c>
      <c r="AN264">
        <v>26935</v>
      </c>
      <c r="AO264" s="5">
        <f t="shared" si="39"/>
        <v>-1.6587677725118551E-2</v>
      </c>
      <c r="AP264" s="5">
        <f t="shared" si="40"/>
        <v>0.33463099708115862</v>
      </c>
      <c r="AR264" s="5">
        <f t="shared" si="41"/>
        <v>-2.8709657981245695E-3</v>
      </c>
      <c r="AS264" s="5">
        <f t="shared" si="42"/>
        <v>-1.0664443236912236E-2</v>
      </c>
      <c r="AT264" s="5">
        <f t="shared" si="43"/>
        <v>-5.6283945157768467E-2</v>
      </c>
    </row>
    <row r="265" spans="12:46" x14ac:dyDescent="0.25">
      <c r="L265" s="4">
        <v>45139.5</v>
      </c>
      <c r="M265">
        <v>86.85</v>
      </c>
      <c r="N265">
        <v>87.84</v>
      </c>
      <c r="O265">
        <v>84.4</v>
      </c>
      <c r="P265">
        <v>84.62</v>
      </c>
      <c r="Q265">
        <v>24646</v>
      </c>
      <c r="R265">
        <v>282469</v>
      </c>
      <c r="S265">
        <v>29.114999999999998</v>
      </c>
      <c r="T265">
        <v>29.114999999999998</v>
      </c>
      <c r="U265">
        <v>26.98</v>
      </c>
      <c r="V265">
        <v>27.123000000000001</v>
      </c>
      <c r="W265">
        <v>2036</v>
      </c>
      <c r="X265">
        <v>3.8940457323975525E-2</v>
      </c>
      <c r="Y265">
        <v>0.74931739018320442</v>
      </c>
      <c r="Z265">
        <v>0.83155565273655563</v>
      </c>
      <c r="AB265" s="3">
        <f t="shared" ref="AB265:AB328" si="44">AVERAGEA(X265:X285)-AVERAGE(X286:X306)</f>
        <v>-1.5218644867491998E-2</v>
      </c>
      <c r="AC265" s="3">
        <f t="shared" ref="AC265:AC328" si="45">AVERAGEA(X265:X285)-AVERAGE(X286:X341)</f>
        <v>-9.0929322570784191E-3</v>
      </c>
      <c r="AD265" s="3">
        <f t="shared" ref="AD265:AD328" si="46">AVERAGEA(X265:X285)-AVERAGE(X286:X398)</f>
        <v>-1.1306341223344368E-2</v>
      </c>
      <c r="AE265" s="76">
        <f t="shared" ref="AE265:AE328" si="47">AVERAGEA(Q265:Q285)-AVERAGE(Q286:Q306)</f>
        <v>-4078.2857142857138</v>
      </c>
      <c r="AF265" s="76">
        <f t="shared" ref="AF265:AF328" si="48">AVERAGEA(Q265:Q285)-AVERAGE(Q286:Q341)</f>
        <v>-1257.5892857142862</v>
      </c>
      <c r="AG265" s="76">
        <f t="shared" ref="AG265:AG328" si="49">AVERAGEA(Q265:Q285)-AVERAGE(Q286:Q398)</f>
        <v>-1800.5840707964599</v>
      </c>
      <c r="AO265" s="5">
        <f t="shared" si="39"/>
        <v>-2.2016222479721802E-2</v>
      </c>
      <c r="AP265" s="5">
        <f t="shared" ref="AP265:AP328" si="50">_xlfn.STDEV.S(AO265:AO524)*SQRT(252)</f>
        <v>0.33511230974283152</v>
      </c>
      <c r="AR265" s="5">
        <f t="shared" ref="AR265:AR328" si="51">IFERROR(AVERAGEA(AP265:AP285)-AVERAGE(AP286:AP306),"")</f>
        <v>-2.6613447456805273E-3</v>
      </c>
      <c r="AS265" s="5">
        <f t="shared" ref="AS265:AS328" si="52">IFERROR(AVERAGEA(AP265:AP285)-AVERAGE(AP286:AP341),"")</f>
        <v>-1.1107193675463312E-2</v>
      </c>
      <c r="AT265" s="5">
        <f t="shared" ref="AT265:AT328" si="53">IFERROR(AVERAGEA(AP265:AP285)-AVERAGE(AP286:AP398),"")</f>
        <v>-5.779558715401284E-2</v>
      </c>
    </row>
    <row r="266" spans="12:46" x14ac:dyDescent="0.25">
      <c r="L266" s="4">
        <v>45138.5</v>
      </c>
      <c r="M266">
        <v>88.34</v>
      </c>
      <c r="N266">
        <v>89.42</v>
      </c>
      <c r="O266">
        <v>86.3</v>
      </c>
      <c r="P266">
        <v>86.81</v>
      </c>
      <c r="Q266">
        <v>21269</v>
      </c>
      <c r="R266">
        <v>282085</v>
      </c>
      <c r="S266">
        <v>27.805</v>
      </c>
      <c r="T266">
        <v>28.925000000000001</v>
      </c>
      <c r="U266">
        <v>27.17</v>
      </c>
      <c r="V266">
        <v>28.366</v>
      </c>
      <c r="W266">
        <v>622</v>
      </c>
      <c r="X266">
        <v>3.431588209414875E-2</v>
      </c>
      <c r="Y266">
        <v>0.27966253594994089</v>
      </c>
      <c r="Z266">
        <v>0.28933567038363162</v>
      </c>
      <c r="AB266" s="3">
        <f t="shared" si="44"/>
        <v>-1.53914978176533E-2</v>
      </c>
      <c r="AC266" s="3">
        <f t="shared" si="45"/>
        <v>-9.306723045748793E-3</v>
      </c>
      <c r="AD266" s="3">
        <f t="shared" si="46"/>
        <v>-1.1866716590386985E-2</v>
      </c>
      <c r="AE266" s="76">
        <f t="shared" si="47"/>
        <v>-4697.952380952378</v>
      </c>
      <c r="AF266" s="76">
        <f t="shared" si="48"/>
        <v>-1698.9107142857138</v>
      </c>
      <c r="AG266" s="76">
        <f t="shared" si="49"/>
        <v>-2297.6182048040428</v>
      </c>
      <c r="AO266" s="5">
        <f t="shared" ref="AO266:AO329" si="54">IFERROR((O266-O267)/O267,"")</f>
        <v>-2.0986954055587162E-2</v>
      </c>
      <c r="AP266" s="5">
        <f t="shared" si="50"/>
        <v>0.33490933872441031</v>
      </c>
      <c r="AR266" s="5">
        <f t="shared" si="51"/>
        <v>-2.6668428322195736E-3</v>
      </c>
      <c r="AS266" s="5">
        <f t="shared" si="52"/>
        <v>-1.1559311868773181E-2</v>
      </c>
      <c r="AT266" s="5">
        <f t="shared" si="53"/>
        <v>-5.9311729093665222E-2</v>
      </c>
    </row>
    <row r="267" spans="12:46" x14ac:dyDescent="0.25">
      <c r="L267" s="4">
        <v>45135.5</v>
      </c>
      <c r="M267">
        <v>90.92</v>
      </c>
      <c r="N267">
        <v>90.92</v>
      </c>
      <c r="O267">
        <v>88.15</v>
      </c>
      <c r="P267">
        <v>88.7</v>
      </c>
      <c r="Q267">
        <v>18254</v>
      </c>
      <c r="R267">
        <v>280934</v>
      </c>
      <c r="S267">
        <v>27.274999999999999</v>
      </c>
      <c r="T267">
        <v>27.274999999999999</v>
      </c>
      <c r="U267">
        <v>25.841000000000001</v>
      </c>
      <c r="V267">
        <v>25.841000000000001</v>
      </c>
      <c r="W267">
        <v>1286</v>
      </c>
      <c r="X267">
        <v>3.0513328927076405E-2</v>
      </c>
      <c r="Y267">
        <v>-4.6390420529433742E-2</v>
      </c>
      <c r="Z267">
        <v>-0.18660474452180453</v>
      </c>
      <c r="AB267" s="3">
        <f t="shared" si="44"/>
        <v>-1.5869966508325038E-2</v>
      </c>
      <c r="AC267" s="3">
        <f t="shared" si="45"/>
        <v>-9.6871761924471646E-3</v>
      </c>
      <c r="AD267" s="3">
        <f t="shared" si="46"/>
        <v>-1.2231405591658053E-2</v>
      </c>
      <c r="AE267" s="76">
        <f t="shared" si="47"/>
        <v>-5323</v>
      </c>
      <c r="AF267" s="76">
        <f t="shared" si="48"/>
        <v>-1848.6964285714275</v>
      </c>
      <c r="AG267" s="76">
        <f t="shared" si="49"/>
        <v>-2490.2098609355235</v>
      </c>
      <c r="AO267" s="5">
        <f t="shared" si="54"/>
        <v>-1.0773201660868519E-2</v>
      </c>
      <c r="AP267" s="5">
        <f t="shared" si="50"/>
        <v>0.3342906385813576</v>
      </c>
      <c r="AR267" s="5">
        <f t="shared" si="51"/>
        <v>-2.6189731167995944E-3</v>
      </c>
      <c r="AS267" s="5">
        <f t="shared" si="52"/>
        <v>-1.1970842169042262E-2</v>
      </c>
      <c r="AT267" s="5">
        <f t="shared" si="53"/>
        <v>-6.0801696422303764E-2</v>
      </c>
    </row>
    <row r="268" spans="12:46" x14ac:dyDescent="0.25">
      <c r="L268" s="4">
        <v>45134.5</v>
      </c>
      <c r="M268">
        <v>90.78</v>
      </c>
      <c r="N268">
        <v>91.28</v>
      </c>
      <c r="O268">
        <v>89.11</v>
      </c>
      <c r="P268">
        <v>90.92</v>
      </c>
      <c r="Q268">
        <v>22478</v>
      </c>
      <c r="R268">
        <v>279040</v>
      </c>
      <c r="S268">
        <v>29.25</v>
      </c>
      <c r="T268">
        <v>29.45</v>
      </c>
      <c r="U268">
        <v>28.105</v>
      </c>
      <c r="V268">
        <v>28.434000000000001</v>
      </c>
      <c r="W268">
        <v>448</v>
      </c>
      <c r="X268">
        <v>2.3505199306759119E-2</v>
      </c>
      <c r="Y268">
        <v>-0.638944570144791</v>
      </c>
      <c r="Z268">
        <v>0.49519062939132219</v>
      </c>
      <c r="AB268" s="3">
        <f t="shared" si="44"/>
        <v>-1.7026672053680247E-2</v>
      </c>
      <c r="AC268" s="3">
        <f t="shared" si="45"/>
        <v>-1.0455637255109375E-2</v>
      </c>
      <c r="AD268" s="3">
        <f t="shared" si="46"/>
        <v>-1.2822697895741857E-2</v>
      </c>
      <c r="AE268" s="76">
        <f t="shared" si="47"/>
        <v>-5992.9047619047633</v>
      </c>
      <c r="AF268" s="76">
        <f t="shared" si="48"/>
        <v>-2092.0833333333321</v>
      </c>
      <c r="AG268" s="76">
        <f t="shared" si="49"/>
        <v>-2687.4673409186689</v>
      </c>
      <c r="AO268" s="5">
        <f t="shared" si="54"/>
        <v>-1.328756505370394E-2</v>
      </c>
      <c r="AP268" s="5">
        <f t="shared" si="50"/>
        <v>0.33459739166738717</v>
      </c>
      <c r="AR268" s="5">
        <f t="shared" si="51"/>
        <v>-2.4694614800734316E-3</v>
      </c>
      <c r="AS268" s="5">
        <f t="shared" si="52"/>
        <v>-1.2275494869887604E-2</v>
      </c>
      <c r="AT268" s="5">
        <f t="shared" si="53"/>
        <v>-6.2199442759265755E-2</v>
      </c>
    </row>
    <row r="269" spans="12:46" x14ac:dyDescent="0.25">
      <c r="L269" s="4">
        <v>45133.5</v>
      </c>
      <c r="M269">
        <v>92.32</v>
      </c>
      <c r="N269">
        <v>93.53</v>
      </c>
      <c r="O269">
        <v>90.31</v>
      </c>
      <c r="P269">
        <v>90.77</v>
      </c>
      <c r="Q269">
        <v>19189</v>
      </c>
      <c r="R269">
        <v>273466</v>
      </c>
      <c r="S269">
        <v>32.78</v>
      </c>
      <c r="T269">
        <v>32.78</v>
      </c>
      <c r="U269">
        <v>29.065000000000001</v>
      </c>
      <c r="V269">
        <v>29.274999999999999</v>
      </c>
      <c r="W269">
        <v>639</v>
      </c>
      <c r="X269">
        <v>3.5287671232876697E-2</v>
      </c>
      <c r="Y269">
        <v>0.36700298754347094</v>
      </c>
      <c r="Z269">
        <v>-4.5119072988184725E-2</v>
      </c>
      <c r="AB269" s="3">
        <f t="shared" si="44"/>
        <v>-1.6819223241647533E-2</v>
      </c>
      <c r="AC269" s="3">
        <f t="shared" si="45"/>
        <v>-9.8073216270571743E-3</v>
      </c>
      <c r="AD269" s="3">
        <f t="shared" si="46"/>
        <v>-1.233356139654147E-2</v>
      </c>
      <c r="AE269" s="76">
        <f t="shared" si="47"/>
        <v>-6767.9523809523816</v>
      </c>
      <c r="AF269" s="76">
        <f t="shared" si="48"/>
        <v>-2264.0119047619046</v>
      </c>
      <c r="AG269" s="76">
        <f t="shared" si="49"/>
        <v>-2905.7328276443332</v>
      </c>
      <c r="AO269" s="5">
        <f t="shared" si="54"/>
        <v>-8.7805948853034478E-3</v>
      </c>
      <c r="AP269" s="5">
        <f t="shared" si="50"/>
        <v>0.33431891133071484</v>
      </c>
      <c r="AR269" s="5">
        <f t="shared" si="51"/>
        <v>-2.3238688512038363E-3</v>
      </c>
      <c r="AS269" s="5">
        <f t="shared" si="52"/>
        <v>-1.2587412594729508E-2</v>
      </c>
      <c r="AT269" s="5">
        <f t="shared" si="53"/>
        <v>-6.361175273769315E-2</v>
      </c>
    </row>
    <row r="270" spans="12:46" x14ac:dyDescent="0.25">
      <c r="L270" s="4">
        <v>45132.5</v>
      </c>
      <c r="M270">
        <v>91.25</v>
      </c>
      <c r="N270">
        <v>92.55</v>
      </c>
      <c r="O270">
        <v>91.11</v>
      </c>
      <c r="P270">
        <v>92.34</v>
      </c>
      <c r="Q270">
        <v>17369</v>
      </c>
      <c r="R270">
        <v>272188</v>
      </c>
      <c r="S270">
        <v>30.22</v>
      </c>
      <c r="T270">
        <v>32.869999999999997</v>
      </c>
      <c r="U270">
        <v>30.22</v>
      </c>
      <c r="V270">
        <v>32.648000000000003</v>
      </c>
      <c r="W270">
        <v>283</v>
      </c>
      <c r="X270">
        <v>1.5682857765192744E-2</v>
      </c>
      <c r="Y270">
        <v>-1.2963418958662893</v>
      </c>
      <c r="Z270">
        <v>-0.35541705855425643</v>
      </c>
      <c r="AB270" s="3">
        <f t="shared" si="44"/>
        <v>-1.5860119909646132E-2</v>
      </c>
      <c r="AC270" s="3">
        <f t="shared" si="45"/>
        <v>-9.3246371456472722E-3</v>
      </c>
      <c r="AD270" s="3">
        <f t="shared" si="46"/>
        <v>-1.2085382669991731E-2</v>
      </c>
      <c r="AE270" s="76">
        <f t="shared" si="47"/>
        <v>-6135.8095238095229</v>
      </c>
      <c r="AF270" s="76">
        <f t="shared" si="48"/>
        <v>-1959.6547619047597</v>
      </c>
      <c r="AG270" s="76">
        <f t="shared" si="49"/>
        <v>-2949.917404129792</v>
      </c>
      <c r="AO270" s="5">
        <f t="shared" si="54"/>
        <v>6.4067160057439338E-3</v>
      </c>
      <c r="AP270" s="5">
        <f t="shared" si="50"/>
        <v>0.33418709976393773</v>
      </c>
      <c r="AR270" s="5">
        <f t="shared" si="51"/>
        <v>-1.9195273036133886E-3</v>
      </c>
      <c r="AS270" s="5">
        <f t="shared" si="52"/>
        <v>-1.2754023614051757E-2</v>
      </c>
      <c r="AT270" s="5">
        <f t="shared" si="53"/>
        <v>-6.4905140093029723E-2</v>
      </c>
    </row>
    <row r="271" spans="12:46" x14ac:dyDescent="0.25">
      <c r="L271" s="4">
        <v>45131.5</v>
      </c>
      <c r="M271">
        <v>91.82</v>
      </c>
      <c r="N271">
        <v>92.59</v>
      </c>
      <c r="O271">
        <v>90.53</v>
      </c>
      <c r="P271">
        <v>91.29</v>
      </c>
      <c r="Q271">
        <v>17477</v>
      </c>
      <c r="R271">
        <v>268869</v>
      </c>
      <c r="S271">
        <v>28.15</v>
      </c>
      <c r="T271">
        <v>30.556999999999999</v>
      </c>
      <c r="U271">
        <v>28.15</v>
      </c>
      <c r="V271">
        <v>30.556999999999999</v>
      </c>
      <c r="W271">
        <v>281</v>
      </c>
      <c r="X271">
        <v>2.2687224669603549E-2</v>
      </c>
      <c r="Y271">
        <v>-0.71900222432560124</v>
      </c>
      <c r="Z271">
        <v>-0.34551598649233806</v>
      </c>
      <c r="AB271" s="3">
        <f t="shared" si="44"/>
        <v>-1.3343315328774617E-2</v>
      </c>
      <c r="AC271" s="3">
        <f t="shared" si="45"/>
        <v>-7.6376220177738451E-3</v>
      </c>
      <c r="AD271" s="3">
        <f t="shared" si="46"/>
        <v>-1.1048986057302163E-2</v>
      </c>
      <c r="AE271" s="76">
        <f t="shared" si="47"/>
        <v>-5876.9523809523816</v>
      </c>
      <c r="AF271" s="76">
        <f t="shared" si="48"/>
        <v>-1437.0238095238092</v>
      </c>
      <c r="AG271" s="76">
        <f t="shared" si="49"/>
        <v>-2834.9334176148332</v>
      </c>
      <c r="AO271" s="5">
        <f t="shared" si="54"/>
        <v>2.3250664304695304E-3</v>
      </c>
      <c r="AP271" s="5">
        <f t="shared" si="50"/>
        <v>0.33416485453678441</v>
      </c>
      <c r="AR271" s="5">
        <f t="shared" si="51"/>
        <v>-1.494932473759869E-3</v>
      </c>
      <c r="AS271" s="5">
        <f t="shared" si="52"/>
        <v>-1.2922902944493109E-2</v>
      </c>
      <c r="AT271" s="5">
        <f t="shared" si="53"/>
        <v>-6.6155633454228091E-2</v>
      </c>
    </row>
    <row r="272" spans="12:46" x14ac:dyDescent="0.25">
      <c r="L272" s="4">
        <v>45128.5</v>
      </c>
      <c r="M272">
        <v>90.8</v>
      </c>
      <c r="N272">
        <v>92.3</v>
      </c>
      <c r="O272">
        <v>90.32</v>
      </c>
      <c r="P272">
        <v>91.82</v>
      </c>
      <c r="Q272">
        <v>19015</v>
      </c>
      <c r="R272">
        <v>267524</v>
      </c>
      <c r="S272">
        <v>30</v>
      </c>
      <c r="T272">
        <v>30.53</v>
      </c>
      <c r="U272">
        <v>28.164000000000001</v>
      </c>
      <c r="V272">
        <v>28.164000000000001</v>
      </c>
      <c r="W272">
        <v>221</v>
      </c>
      <c r="X272">
        <v>2.2259696458684697E-2</v>
      </c>
      <c r="Y272">
        <v>-0.76530534231683089</v>
      </c>
      <c r="Z272">
        <v>-0.10029919431223833</v>
      </c>
      <c r="AB272" s="3">
        <f t="shared" si="44"/>
        <v>-1.2288118827287163E-2</v>
      </c>
      <c r="AC272" s="3">
        <f t="shared" si="45"/>
        <v>-6.6644141307599034E-3</v>
      </c>
      <c r="AD272" s="3">
        <f t="shared" si="46"/>
        <v>-1.0381417073515656E-2</v>
      </c>
      <c r="AE272" s="76">
        <f t="shared" si="47"/>
        <v>-6194.7142857142862</v>
      </c>
      <c r="AF272" s="76">
        <f t="shared" si="48"/>
        <v>-1321.5178571428587</v>
      </c>
      <c r="AG272" s="76">
        <f t="shared" si="49"/>
        <v>-2826.5941845764864</v>
      </c>
      <c r="AO272" s="5">
        <f t="shared" si="54"/>
        <v>1.7690140845070347E-2</v>
      </c>
      <c r="AP272" s="5">
        <f t="shared" si="50"/>
        <v>0.33424627487946512</v>
      </c>
      <c r="AR272" s="5">
        <f t="shared" si="51"/>
        <v>-1.1731695638087514E-3</v>
      </c>
      <c r="AS272" s="5">
        <f t="shared" si="52"/>
        <v>-1.3165767611787116E-2</v>
      </c>
      <c r="AT272" s="5">
        <f t="shared" si="53"/>
        <v>-6.7438796661024369E-2</v>
      </c>
    </row>
    <row r="273" spans="12:46" x14ac:dyDescent="0.25">
      <c r="L273" s="4">
        <v>45127.5</v>
      </c>
      <c r="M273">
        <v>88.95</v>
      </c>
      <c r="N273">
        <v>91.25</v>
      </c>
      <c r="O273">
        <v>88.75</v>
      </c>
      <c r="P273">
        <v>90.84</v>
      </c>
      <c r="Q273">
        <v>22015</v>
      </c>
      <c r="R273">
        <v>267109</v>
      </c>
      <c r="S273">
        <v>25.54</v>
      </c>
      <c r="T273">
        <v>28.018000000000001</v>
      </c>
      <c r="U273">
        <v>25.54</v>
      </c>
      <c r="V273">
        <v>28.018000000000001</v>
      </c>
      <c r="W273">
        <v>483</v>
      </c>
      <c r="X273">
        <v>2.8357531760435574E-2</v>
      </c>
      <c r="Y273">
        <v>-0.25066280267811897</v>
      </c>
      <c r="Z273">
        <v>0.37667521057824671</v>
      </c>
      <c r="AB273" s="3">
        <f t="shared" si="44"/>
        <v>-1.1293818443740954E-2</v>
      </c>
      <c r="AC273" s="3">
        <f t="shared" si="45"/>
        <v>-6.281669197396509E-3</v>
      </c>
      <c r="AD273" s="3">
        <f t="shared" si="46"/>
        <v>-9.932603503119513E-3</v>
      </c>
      <c r="AE273" s="76">
        <f t="shared" si="47"/>
        <v>-5734.0476190476184</v>
      </c>
      <c r="AF273" s="76">
        <f t="shared" si="48"/>
        <v>-1067.1785714285725</v>
      </c>
      <c r="AG273" s="76">
        <f t="shared" si="49"/>
        <v>-2634.4955752212372</v>
      </c>
      <c r="AO273" s="5">
        <f t="shared" si="54"/>
        <v>1.9529006318207958E-2</v>
      </c>
      <c r="AP273" s="5">
        <f t="shared" si="50"/>
        <v>0.33453969405489059</v>
      </c>
      <c r="AR273" s="5">
        <f t="shared" si="51"/>
        <v>-7.9616403816590298E-4</v>
      </c>
      <c r="AS273" s="5">
        <f t="shared" si="52"/>
        <v>-1.3390078491197999E-2</v>
      </c>
      <c r="AT273" s="5">
        <f t="shared" si="53"/>
        <v>-6.8709306557082905E-2</v>
      </c>
    </row>
    <row r="274" spans="12:46" x14ac:dyDescent="0.25">
      <c r="L274" s="4">
        <v>45126.5</v>
      </c>
      <c r="M274">
        <v>88.16</v>
      </c>
      <c r="N274">
        <v>89.45</v>
      </c>
      <c r="O274">
        <v>87.05</v>
      </c>
      <c r="P274">
        <v>88.98</v>
      </c>
      <c r="Q274">
        <v>19152</v>
      </c>
      <c r="R274">
        <v>267249</v>
      </c>
      <c r="S274">
        <v>27.155000000000001</v>
      </c>
      <c r="T274">
        <v>28.13</v>
      </c>
      <c r="U274">
        <v>25.59</v>
      </c>
      <c r="V274">
        <v>26.963000000000001</v>
      </c>
      <c r="W274">
        <v>881</v>
      </c>
      <c r="X274">
        <v>2.7624309392265262E-2</v>
      </c>
      <c r="Y274">
        <v>-0.32669727063831927</v>
      </c>
      <c r="Z274">
        <v>-7.5166806564031546E-2</v>
      </c>
      <c r="AB274" s="3">
        <f t="shared" si="44"/>
        <v>-8.794693825175337E-3</v>
      </c>
      <c r="AC274" s="3">
        <f t="shared" si="45"/>
        <v>-4.6492388533147244E-3</v>
      </c>
      <c r="AD274" s="3">
        <f t="shared" si="46"/>
        <v>-8.5090232455762582E-3</v>
      </c>
      <c r="AE274" s="76">
        <f t="shared" si="47"/>
        <v>-4542.2857142857138</v>
      </c>
      <c r="AF274" s="76">
        <f t="shared" si="48"/>
        <v>-315.88095238095048</v>
      </c>
      <c r="AG274" s="76">
        <f t="shared" si="49"/>
        <v>-2015.7741255794353</v>
      </c>
      <c r="AO274" s="5">
        <f t="shared" si="54"/>
        <v>9.7436492286278095E-3</v>
      </c>
      <c r="AP274" s="5">
        <f t="shared" si="50"/>
        <v>0.33430811706576574</v>
      </c>
      <c r="AR274" s="5">
        <f t="shared" si="51"/>
        <v>-5.92552951791947E-4</v>
      </c>
      <c r="AS274" s="5">
        <f t="shared" si="52"/>
        <v>-1.3680774681253172E-2</v>
      </c>
      <c r="AT274" s="5">
        <f t="shared" si="53"/>
        <v>-7.003916886398176E-2</v>
      </c>
    </row>
    <row r="275" spans="12:46" x14ac:dyDescent="0.25">
      <c r="L275" s="4">
        <v>45125.5</v>
      </c>
      <c r="M275">
        <v>86.88</v>
      </c>
      <c r="N275">
        <v>88.32</v>
      </c>
      <c r="O275">
        <v>86.21</v>
      </c>
      <c r="P275">
        <v>88.18</v>
      </c>
      <c r="Q275">
        <v>17626</v>
      </c>
      <c r="R275">
        <v>265208</v>
      </c>
      <c r="S275">
        <v>26</v>
      </c>
      <c r="T275">
        <v>27.495000000000001</v>
      </c>
      <c r="U275">
        <v>25.265000000000001</v>
      </c>
      <c r="V275">
        <v>27.068999999999999</v>
      </c>
      <c r="W275">
        <v>1764</v>
      </c>
      <c r="X275">
        <v>2.4554870243221217E-2</v>
      </c>
      <c r="Y275">
        <v>-0.58952079534519897</v>
      </c>
      <c r="Z275">
        <v>-0.31916555290279075</v>
      </c>
      <c r="AB275" s="3">
        <f t="shared" si="44"/>
        <v>-8.5168974153871542E-3</v>
      </c>
      <c r="AC275" s="3">
        <f t="shared" si="45"/>
        <v>-4.5933338546228046E-3</v>
      </c>
      <c r="AD275" s="3">
        <f t="shared" si="46"/>
        <v>-8.1433745609444698E-3</v>
      </c>
      <c r="AE275" s="76">
        <f t="shared" si="47"/>
        <v>-3744.5238095238092</v>
      </c>
      <c r="AF275" s="76">
        <f t="shared" si="48"/>
        <v>206.50595238095411</v>
      </c>
      <c r="AG275" s="76">
        <f t="shared" si="49"/>
        <v>-1564.0450906026126</v>
      </c>
      <c r="AO275" s="5">
        <f t="shared" si="54"/>
        <v>1.2092040385066763E-2</v>
      </c>
      <c r="AP275" s="5">
        <f t="shared" si="50"/>
        <v>0.33780508571522383</v>
      </c>
      <c r="AR275" s="5">
        <f t="shared" si="51"/>
        <v>-3.4925582815831246E-4</v>
      </c>
      <c r="AS275" s="5">
        <f t="shared" si="52"/>
        <v>-1.393008863704015E-2</v>
      </c>
      <c r="AT275" s="5">
        <f t="shared" si="53"/>
        <v>-7.1372025714780241E-2</v>
      </c>
    </row>
    <row r="276" spans="12:46" x14ac:dyDescent="0.25">
      <c r="L276" s="4">
        <v>45124.5</v>
      </c>
      <c r="M276">
        <v>85.93</v>
      </c>
      <c r="N276">
        <v>86.81</v>
      </c>
      <c r="O276">
        <v>85.18</v>
      </c>
      <c r="P276">
        <v>86.78</v>
      </c>
      <c r="Q276">
        <v>15446</v>
      </c>
      <c r="R276">
        <v>264630</v>
      </c>
      <c r="S276">
        <v>24.465</v>
      </c>
      <c r="T276">
        <v>25.785</v>
      </c>
      <c r="U276">
        <v>24.465</v>
      </c>
      <c r="V276">
        <v>25.100999999999999</v>
      </c>
      <c r="W276">
        <v>3052</v>
      </c>
      <c r="X276">
        <v>1.8984393198229622E-2</v>
      </c>
      <c r="Y276">
        <v>-1.0908007153407548</v>
      </c>
      <c r="Z276">
        <v>-0.65634591711723123</v>
      </c>
      <c r="AB276" s="3">
        <f t="shared" si="44"/>
        <v>-7.1218201746056538E-3</v>
      </c>
      <c r="AC276" s="3">
        <f t="shared" si="45"/>
        <v>-3.7217452643926695E-3</v>
      </c>
      <c r="AD276" s="3">
        <f t="shared" si="46"/>
        <v>-7.5208749755897968E-3</v>
      </c>
      <c r="AE276" s="76">
        <f t="shared" si="47"/>
        <v>-3606.4761904761908</v>
      </c>
      <c r="AF276" s="76">
        <f t="shared" si="48"/>
        <v>212.55952380952294</v>
      </c>
      <c r="AG276" s="76">
        <f t="shared" si="49"/>
        <v>-1594.8440792246111</v>
      </c>
      <c r="AO276" s="5">
        <f t="shared" si="54"/>
        <v>-7.4574691214167608E-3</v>
      </c>
      <c r="AP276" s="5">
        <f t="shared" si="50"/>
        <v>0.33778319827414771</v>
      </c>
      <c r="AR276" s="5">
        <f t="shared" si="51"/>
        <v>-3.7293311541275465E-4</v>
      </c>
      <c r="AS276" s="5">
        <f t="shared" si="52"/>
        <v>-1.4412665490660725E-2</v>
      </c>
      <c r="AT276" s="5">
        <f t="shared" si="53"/>
        <v>-7.2932638701642516E-2</v>
      </c>
    </row>
    <row r="277" spans="12:46" x14ac:dyDescent="0.25">
      <c r="L277" s="4">
        <v>45121.5</v>
      </c>
      <c r="M277">
        <v>85.86</v>
      </c>
      <c r="N277">
        <v>87.65</v>
      </c>
      <c r="O277">
        <v>85.82</v>
      </c>
      <c r="P277">
        <v>86.35</v>
      </c>
      <c r="Q277">
        <v>13232</v>
      </c>
      <c r="R277">
        <v>263361</v>
      </c>
      <c r="S277">
        <v>27.57</v>
      </c>
      <c r="T277">
        <v>28.7</v>
      </c>
      <c r="U277">
        <v>25.11</v>
      </c>
      <c r="V277">
        <v>25.957000000000001</v>
      </c>
      <c r="W277">
        <v>1817</v>
      </c>
      <c r="X277">
        <v>2.1313766596785612E-2</v>
      </c>
      <c r="Y277">
        <v>-0.90659039164262678</v>
      </c>
      <c r="Z277">
        <v>-1.0051804467844041</v>
      </c>
      <c r="AB277" s="3">
        <f t="shared" si="44"/>
        <v>-6.5017286307186978E-3</v>
      </c>
      <c r="AC277" s="3">
        <f t="shared" si="45"/>
        <v>-3.1760972766808823E-3</v>
      </c>
      <c r="AD277" s="3">
        <f t="shared" si="46"/>
        <v>-7.0826237851234417E-3</v>
      </c>
      <c r="AE277" s="76">
        <f t="shared" si="47"/>
        <v>-2785.1428571428587</v>
      </c>
      <c r="AF277" s="76">
        <f t="shared" si="48"/>
        <v>577.53571428571377</v>
      </c>
      <c r="AG277" s="76">
        <f t="shared" si="49"/>
        <v>-1239.9039190897602</v>
      </c>
      <c r="AO277" s="5">
        <f t="shared" si="54"/>
        <v>5.8602906704172527E-3</v>
      </c>
      <c r="AP277" s="5">
        <f t="shared" si="50"/>
        <v>0.33770180478451561</v>
      </c>
      <c r="AR277" s="5">
        <f t="shared" si="51"/>
        <v>-3.5792062673251079E-4</v>
      </c>
      <c r="AS277" s="5">
        <f t="shared" si="52"/>
        <v>-1.4879513266716105E-2</v>
      </c>
      <c r="AT277" s="5">
        <f t="shared" si="53"/>
        <v>-7.4477550369538736E-2</v>
      </c>
    </row>
    <row r="278" spans="12:46" x14ac:dyDescent="0.25">
      <c r="L278" s="4">
        <v>45120.5</v>
      </c>
      <c r="M278">
        <v>85.86</v>
      </c>
      <c r="N278">
        <v>86.96</v>
      </c>
      <c r="O278">
        <v>85.32</v>
      </c>
      <c r="P278">
        <v>85.88</v>
      </c>
      <c r="Q278">
        <v>13911</v>
      </c>
      <c r="R278">
        <v>262685</v>
      </c>
      <c r="S278">
        <v>26.885000000000002</v>
      </c>
      <c r="T278">
        <v>27.545000000000002</v>
      </c>
      <c r="U278">
        <v>26.23</v>
      </c>
      <c r="V278">
        <v>26.606999999999999</v>
      </c>
      <c r="W278">
        <v>370</v>
      </c>
      <c r="X278">
        <v>1.8844076755141912E-2</v>
      </c>
      <c r="Y278">
        <v>-1.1181434671930353</v>
      </c>
      <c r="Z278">
        <v>-0.91558818296246736</v>
      </c>
      <c r="AB278" s="3">
        <f t="shared" si="44"/>
        <v>-4.6643337970163311E-3</v>
      </c>
      <c r="AC278" s="3">
        <f t="shared" si="45"/>
        <v>-1.7649653907142078E-3</v>
      </c>
      <c r="AD278" s="3">
        <f t="shared" si="46"/>
        <v>-6.2405588466902841E-3</v>
      </c>
      <c r="AE278" s="76">
        <f t="shared" si="47"/>
        <v>-836.2857142857174</v>
      </c>
      <c r="AF278" s="76">
        <f t="shared" si="48"/>
        <v>1610.8690476190459</v>
      </c>
      <c r="AG278" s="76">
        <f t="shared" si="49"/>
        <v>-116.94732406237017</v>
      </c>
      <c r="AO278" s="5">
        <f t="shared" si="54"/>
        <v>-4.2016806722690661E-3</v>
      </c>
      <c r="AP278" s="5">
        <f t="shared" si="50"/>
        <v>0.33766799357958688</v>
      </c>
      <c r="AR278" s="5">
        <f t="shared" si="51"/>
        <v>-4.1949287066089802E-4</v>
      </c>
      <c r="AS278" s="5">
        <f t="shared" si="52"/>
        <v>-1.5359647657695763E-2</v>
      </c>
      <c r="AT278" s="5">
        <f t="shared" si="53"/>
        <v>-7.6013097407683583E-2</v>
      </c>
    </row>
    <row r="279" spans="12:46" x14ac:dyDescent="0.25">
      <c r="L279" s="4">
        <v>45119.5</v>
      </c>
      <c r="M279">
        <v>87.03</v>
      </c>
      <c r="N279">
        <v>88.32</v>
      </c>
      <c r="O279">
        <v>85.68</v>
      </c>
      <c r="P279">
        <v>85.83</v>
      </c>
      <c r="Q279">
        <v>20750</v>
      </c>
      <c r="R279">
        <v>261209</v>
      </c>
      <c r="S279">
        <v>28.454999999999998</v>
      </c>
      <c r="T279">
        <v>28.58</v>
      </c>
      <c r="U279">
        <v>26.32</v>
      </c>
      <c r="V279">
        <v>26.638999999999999</v>
      </c>
      <c r="W279">
        <v>1543</v>
      </c>
      <c r="X279">
        <v>3.0576789437108943E-2</v>
      </c>
      <c r="Y279">
        <v>-0.1105125677003499</v>
      </c>
      <c r="Z279">
        <v>0.17262616873410661</v>
      </c>
      <c r="AB279" s="3">
        <f t="shared" si="44"/>
        <v>-2.3990518600256437E-3</v>
      </c>
      <c r="AC279" s="3">
        <f t="shared" si="45"/>
        <v>-1.6013160617800795E-4</v>
      </c>
      <c r="AD279" s="3">
        <f t="shared" si="46"/>
        <v>-4.7383210320179926E-3</v>
      </c>
      <c r="AE279" s="76">
        <f t="shared" si="47"/>
        <v>1065.5238095238092</v>
      </c>
      <c r="AF279" s="76">
        <f t="shared" si="48"/>
        <v>2739.1785714285725</v>
      </c>
      <c r="AG279" s="76">
        <f t="shared" si="49"/>
        <v>1107.0796460177007</v>
      </c>
      <c r="AO279" s="5">
        <f t="shared" si="54"/>
        <v>7.2889724900071073E-3</v>
      </c>
      <c r="AP279" s="5">
        <f t="shared" si="50"/>
        <v>0.33766056431930985</v>
      </c>
      <c r="AR279" s="5">
        <f t="shared" si="51"/>
        <v>-8.7822385348540477E-4</v>
      </c>
      <c r="AS279" s="5">
        <f t="shared" si="52"/>
        <v>-1.5881592862108551E-2</v>
      </c>
      <c r="AT279" s="5">
        <f t="shared" si="53"/>
        <v>-7.758806190094153E-2</v>
      </c>
    </row>
    <row r="280" spans="12:46" x14ac:dyDescent="0.25">
      <c r="L280" s="4">
        <v>45118.5</v>
      </c>
      <c r="M280">
        <v>86.34</v>
      </c>
      <c r="N280">
        <v>87.22</v>
      </c>
      <c r="O280">
        <v>85.06</v>
      </c>
      <c r="P280">
        <v>87.05</v>
      </c>
      <c r="Q280">
        <v>20374</v>
      </c>
      <c r="R280">
        <v>258565</v>
      </c>
      <c r="S280">
        <v>29.93</v>
      </c>
      <c r="T280">
        <v>29.93</v>
      </c>
      <c r="U280">
        <v>28.91</v>
      </c>
      <c r="V280">
        <v>29.061</v>
      </c>
      <c r="W280">
        <v>540</v>
      </c>
      <c r="X280">
        <v>2.5069637883008318E-2</v>
      </c>
      <c r="Y280">
        <v>-0.60132781322965112</v>
      </c>
      <c r="Z280">
        <v>0.12735420100355513</v>
      </c>
      <c r="AB280" s="3">
        <f t="shared" si="44"/>
        <v>-9.4419870278353996E-4</v>
      </c>
      <c r="AC280" s="3">
        <f t="shared" si="45"/>
        <v>1.042894649529575E-3</v>
      </c>
      <c r="AD280" s="3">
        <f t="shared" si="46"/>
        <v>-3.78683710140712E-3</v>
      </c>
      <c r="AE280" s="76">
        <f t="shared" si="47"/>
        <v>2465.1428571428551</v>
      </c>
      <c r="AF280" s="76">
        <f t="shared" si="48"/>
        <v>3512.5892857142826</v>
      </c>
      <c r="AG280" s="76">
        <f t="shared" si="49"/>
        <v>1773.1226295828055</v>
      </c>
      <c r="AO280" s="5">
        <f t="shared" si="54"/>
        <v>-4.797004797004757E-3</v>
      </c>
      <c r="AP280" s="5">
        <f t="shared" si="50"/>
        <v>0.33759907584640764</v>
      </c>
      <c r="AR280" s="5">
        <f t="shared" si="51"/>
        <v>-1.4533731082068124E-3</v>
      </c>
      <c r="AS280" s="5">
        <f t="shared" si="52"/>
        <v>-1.6479497154859135E-2</v>
      </c>
      <c r="AT280" s="5">
        <f t="shared" si="53"/>
        <v>-7.9213598706158017E-2</v>
      </c>
    </row>
    <row r="281" spans="12:46" x14ac:dyDescent="0.25">
      <c r="L281" s="4">
        <v>45117.5</v>
      </c>
      <c r="M281">
        <v>86.16</v>
      </c>
      <c r="N281">
        <v>87.2</v>
      </c>
      <c r="O281">
        <v>85.47</v>
      </c>
      <c r="P281">
        <v>86.26</v>
      </c>
      <c r="Q281">
        <v>16824</v>
      </c>
      <c r="R281">
        <v>258266</v>
      </c>
      <c r="S281">
        <v>32.83</v>
      </c>
      <c r="T281">
        <v>32.83</v>
      </c>
      <c r="U281">
        <v>29.555</v>
      </c>
      <c r="V281">
        <v>30.227</v>
      </c>
      <c r="W281">
        <v>767</v>
      </c>
      <c r="X281">
        <v>2.00533209690507E-2</v>
      </c>
      <c r="Y281">
        <v>-1.0283656164958592</v>
      </c>
      <c r="Z281">
        <v>-0.36902540194291039</v>
      </c>
      <c r="AB281" s="3">
        <f t="shared" si="44"/>
        <v>1.0889081439453135E-3</v>
      </c>
      <c r="AC281" s="3">
        <f t="shared" si="45"/>
        <v>1.1649727071079766E-3</v>
      </c>
      <c r="AD281" s="3">
        <f t="shared" si="46"/>
        <v>-3.2824799706777236E-3</v>
      </c>
      <c r="AE281" s="76">
        <f t="shared" si="47"/>
        <v>2933.6666666666679</v>
      </c>
      <c r="AF281" s="76">
        <f t="shared" si="48"/>
        <v>3323.0654761904771</v>
      </c>
      <c r="AG281" s="76">
        <f t="shared" si="49"/>
        <v>1781.3737884534348</v>
      </c>
      <c r="AO281" s="5">
        <f t="shared" si="54"/>
        <v>-4.1943376441803499E-3</v>
      </c>
      <c r="AP281" s="5">
        <f t="shared" si="50"/>
        <v>0.33763779069243605</v>
      </c>
      <c r="AR281" s="5">
        <f t="shared" si="51"/>
        <v>-2.0235671589087789E-3</v>
      </c>
      <c r="AS281" s="5">
        <f t="shared" si="52"/>
        <v>-1.7098495300636729E-2</v>
      </c>
      <c r="AT281" s="5">
        <f t="shared" si="53"/>
        <v>-8.0855743657439805E-2</v>
      </c>
    </row>
    <row r="282" spans="12:46" x14ac:dyDescent="0.25">
      <c r="L282" s="4">
        <v>45114.5</v>
      </c>
      <c r="M282">
        <v>86.27</v>
      </c>
      <c r="N282">
        <v>87.85</v>
      </c>
      <c r="O282">
        <v>85.83</v>
      </c>
      <c r="P282">
        <v>86.15</v>
      </c>
      <c r="Q282">
        <v>23495</v>
      </c>
      <c r="R282">
        <v>256575</v>
      </c>
      <c r="S282">
        <v>33.299999999999997</v>
      </c>
      <c r="T282">
        <v>33.585000000000001</v>
      </c>
      <c r="U282">
        <v>32.704999999999998</v>
      </c>
      <c r="V282">
        <v>33.478000000000002</v>
      </c>
      <c r="W282">
        <v>256</v>
      </c>
      <c r="X282">
        <v>2.3570595099183151E-2</v>
      </c>
      <c r="Y282">
        <v>-0.72042687954226003</v>
      </c>
      <c r="Z282">
        <v>0.63440501114114389</v>
      </c>
      <c r="AB282" s="3">
        <f t="shared" si="44"/>
        <v>3.1804820270241313E-3</v>
      </c>
      <c r="AC282" s="3">
        <f t="shared" si="45"/>
        <v>2.46099972454384E-3</v>
      </c>
      <c r="AD282" s="3">
        <f t="shared" si="46"/>
        <v>-2.1080468881448031E-3</v>
      </c>
      <c r="AE282" s="76">
        <f t="shared" si="47"/>
        <v>3302.7619047619046</v>
      </c>
      <c r="AF282" s="76">
        <f t="shared" si="48"/>
        <v>3481.3809523809505</v>
      </c>
      <c r="AG282" s="76">
        <f t="shared" si="49"/>
        <v>2069.502317741255</v>
      </c>
      <c r="AO282" s="5">
        <f t="shared" si="54"/>
        <v>5.859603890776984E-3</v>
      </c>
      <c r="AP282" s="5">
        <f t="shared" si="50"/>
        <v>0.33760890488598022</v>
      </c>
      <c r="AR282" s="5">
        <f t="shared" si="51"/>
        <v>-2.6363936098185436E-3</v>
      </c>
      <c r="AS282" s="5">
        <f t="shared" si="52"/>
        <v>-1.7725170760434006E-2</v>
      </c>
      <c r="AT282" s="5">
        <f t="shared" si="53"/>
        <v>-8.2495814990359351E-2</v>
      </c>
    </row>
    <row r="283" spans="12:46" x14ac:dyDescent="0.25">
      <c r="L283" s="4">
        <v>45113.5</v>
      </c>
      <c r="M283">
        <v>85.7</v>
      </c>
      <c r="N283">
        <v>86.45</v>
      </c>
      <c r="O283">
        <v>85.33</v>
      </c>
      <c r="P283">
        <v>86.29</v>
      </c>
      <c r="Q283">
        <v>17058</v>
      </c>
      <c r="R283">
        <v>265501</v>
      </c>
      <c r="S283">
        <v>33.24</v>
      </c>
      <c r="T283">
        <v>33.24</v>
      </c>
      <c r="U283">
        <v>32.299999999999997</v>
      </c>
      <c r="V283">
        <v>32.347999999999999</v>
      </c>
      <c r="W283">
        <v>1410</v>
      </c>
      <c r="X283">
        <v>1.2861736334405197E-2</v>
      </c>
      <c r="Y283">
        <v>-1.6530866621279299</v>
      </c>
      <c r="Z283">
        <v>-0.25488789831895958</v>
      </c>
      <c r="AB283" s="3">
        <f t="shared" si="44"/>
        <v>3.4367725272159873E-3</v>
      </c>
      <c r="AC283" s="3">
        <f t="shared" si="45"/>
        <v>2.7247555198862752E-3</v>
      </c>
      <c r="AD283" s="3">
        <f t="shared" si="46"/>
        <v>-2.0411833456434603E-3</v>
      </c>
      <c r="AE283" s="76">
        <f t="shared" si="47"/>
        <v>2852.1428571428551</v>
      </c>
      <c r="AF283" s="76">
        <f t="shared" si="48"/>
        <v>3147.2678571428551</v>
      </c>
      <c r="AG283" s="76">
        <f t="shared" si="49"/>
        <v>1885.9051833122612</v>
      </c>
      <c r="AO283" s="5">
        <f t="shared" si="54"/>
        <v>-4.3173862310385593E-3</v>
      </c>
      <c r="AP283" s="5">
        <f t="shared" si="50"/>
        <v>0.33757285414881216</v>
      </c>
      <c r="AR283" s="5">
        <f t="shared" si="51"/>
        <v>-3.4736595611681298E-3</v>
      </c>
      <c r="AS283" s="5">
        <f t="shared" si="52"/>
        <v>-1.8349375357311015E-2</v>
      </c>
      <c r="AT283" s="5">
        <f t="shared" si="53"/>
        <v>-8.4156708926562851E-2</v>
      </c>
    </row>
    <row r="284" spans="12:46" x14ac:dyDescent="0.25">
      <c r="L284" s="4">
        <v>45112.5</v>
      </c>
      <c r="M284">
        <v>87.08</v>
      </c>
      <c r="N284">
        <v>87.32</v>
      </c>
      <c r="O284">
        <v>85.7</v>
      </c>
      <c r="P284">
        <v>85.81</v>
      </c>
      <c r="Q284">
        <v>18715</v>
      </c>
      <c r="R284">
        <v>263768</v>
      </c>
      <c r="S284">
        <v>33.825000000000003</v>
      </c>
      <c r="T284">
        <v>36.11</v>
      </c>
      <c r="U284">
        <v>33.805</v>
      </c>
      <c r="V284">
        <v>34.372999999999998</v>
      </c>
      <c r="W284">
        <v>303</v>
      </c>
      <c r="X284">
        <v>1.8533348587118068E-2</v>
      </c>
      <c r="Y284">
        <v>-1.1841847337649312</v>
      </c>
      <c r="Z284">
        <v>-2.3910874661436703E-2</v>
      </c>
      <c r="AB284" s="3">
        <f t="shared" si="44"/>
        <v>6.1117443483544726E-3</v>
      </c>
      <c r="AC284" s="3">
        <f t="shared" si="45"/>
        <v>4.5710708346574092E-3</v>
      </c>
      <c r="AD284" s="3">
        <f t="shared" si="46"/>
        <v>-4.11877969869405E-4</v>
      </c>
      <c r="AE284" s="76">
        <f t="shared" si="47"/>
        <v>3417.7619047619046</v>
      </c>
      <c r="AF284" s="76">
        <f t="shared" si="48"/>
        <v>3416.9880952380954</v>
      </c>
      <c r="AG284" s="76">
        <f t="shared" si="49"/>
        <v>2327.7134428992831</v>
      </c>
      <c r="AO284" s="5">
        <f t="shared" si="54"/>
        <v>-1.1305952930318457E-2</v>
      </c>
      <c r="AP284" s="5">
        <f t="shared" si="50"/>
        <v>0.33754162160374895</v>
      </c>
      <c r="AR284" s="5">
        <f t="shared" si="51"/>
        <v>-4.5340621272070836E-3</v>
      </c>
      <c r="AS284" s="5">
        <f t="shared" si="52"/>
        <v>-1.9087693197506306E-2</v>
      </c>
      <c r="AT284" s="5">
        <f t="shared" si="53"/>
        <v>-8.5886898101278808E-2</v>
      </c>
    </row>
    <row r="285" spans="12:46" x14ac:dyDescent="0.25">
      <c r="L285" s="4">
        <v>45111.5</v>
      </c>
      <c r="M285">
        <v>87.41</v>
      </c>
      <c r="N285">
        <v>88.1</v>
      </c>
      <c r="O285">
        <v>86.68</v>
      </c>
      <c r="P285">
        <v>87.69</v>
      </c>
      <c r="Q285">
        <v>13649</v>
      </c>
      <c r="R285">
        <v>261735</v>
      </c>
      <c r="S285">
        <v>37.82</v>
      </c>
      <c r="T285">
        <v>37.82</v>
      </c>
      <c r="U285">
        <v>33.929000000000002</v>
      </c>
      <c r="V285">
        <v>33.929000000000002</v>
      </c>
      <c r="W285">
        <v>0</v>
      </c>
      <c r="X285">
        <v>1.5931785033097584E-2</v>
      </c>
      <c r="Y285">
        <v>-1.4529937808186362</v>
      </c>
      <c r="Z285">
        <v>-0.73793854745610021</v>
      </c>
      <c r="AB285" s="3">
        <f t="shared" si="44"/>
        <v>8.3307580732105806E-3</v>
      </c>
      <c r="AC285" s="3">
        <f t="shared" si="45"/>
        <v>5.496588017786859E-3</v>
      </c>
      <c r="AD285" s="3">
        <f t="shared" si="46"/>
        <v>7.9364684064703317E-4</v>
      </c>
      <c r="AE285" s="76">
        <f t="shared" si="47"/>
        <v>4181.5714285714275</v>
      </c>
      <c r="AF285" s="76">
        <f t="shared" si="48"/>
        <v>3489.25</v>
      </c>
      <c r="AG285" s="76">
        <f t="shared" si="49"/>
        <v>2608.6106194690256</v>
      </c>
      <c r="AO285" s="5">
        <f t="shared" si="54"/>
        <v>-5.7352603808212893E-3</v>
      </c>
      <c r="AP285" s="5">
        <f t="shared" si="50"/>
        <v>0.3373490958469072</v>
      </c>
      <c r="AR285" s="5">
        <f t="shared" si="51"/>
        <v>-5.5437409211788191E-3</v>
      </c>
      <c r="AS285" s="5">
        <f t="shared" si="52"/>
        <v>-1.9767868452531312E-2</v>
      </c>
      <c r="AT285" s="5">
        <f t="shared" si="53"/>
        <v>-8.7570207692826252E-2</v>
      </c>
    </row>
    <row r="286" spans="12:46" x14ac:dyDescent="0.25">
      <c r="L286" s="4">
        <v>45110.5</v>
      </c>
      <c r="M286">
        <v>89.13</v>
      </c>
      <c r="N286">
        <v>89.85</v>
      </c>
      <c r="O286">
        <v>87.18</v>
      </c>
      <c r="P286">
        <v>87.58</v>
      </c>
      <c r="Q286">
        <v>14968</v>
      </c>
      <c r="R286">
        <v>260370</v>
      </c>
      <c r="S286">
        <v>37.82</v>
      </c>
      <c r="T286">
        <v>37.82</v>
      </c>
      <c r="U286">
        <v>33.929000000000002</v>
      </c>
      <c r="V286">
        <v>33.929000000000002</v>
      </c>
      <c r="W286">
        <v>401</v>
      </c>
      <c r="X286">
        <v>3.0306469920544695E-2</v>
      </c>
      <c r="Y286">
        <v>-0.18241120240045303</v>
      </c>
      <c r="Z286">
        <v>-0.5624545147561274</v>
      </c>
      <c r="AB286" s="3">
        <f t="shared" si="44"/>
        <v>1.2477085095957172E-2</v>
      </c>
      <c r="AC286" s="3">
        <f t="shared" si="45"/>
        <v>8.3241500853543683E-3</v>
      </c>
      <c r="AD286" s="3">
        <f t="shared" si="46"/>
        <v>3.524353864522288E-3</v>
      </c>
      <c r="AE286" s="76">
        <f t="shared" si="47"/>
        <v>5330.4285714285725</v>
      </c>
      <c r="AF286" s="76">
        <f t="shared" si="48"/>
        <v>4059.4642857142862</v>
      </c>
      <c r="AG286" s="76">
        <f t="shared" si="49"/>
        <v>3350.5335018963342</v>
      </c>
      <c r="AO286" s="5">
        <f t="shared" si="54"/>
        <v>8.0358167833781869E-4</v>
      </c>
      <c r="AP286" s="5">
        <f t="shared" si="50"/>
        <v>0.3375072373039652</v>
      </c>
      <c r="AR286" s="5">
        <f t="shared" si="51"/>
        <v>-6.6743145646502855E-3</v>
      </c>
      <c r="AS286" s="5">
        <f t="shared" si="52"/>
        <v>-2.0505444317330535E-2</v>
      </c>
      <c r="AT286" s="5">
        <f t="shared" si="53"/>
        <v>-8.9301696590012303E-2</v>
      </c>
    </row>
    <row r="287" spans="12:46" x14ac:dyDescent="0.25">
      <c r="L287" s="4">
        <v>45107.5</v>
      </c>
      <c r="M287">
        <v>88.1</v>
      </c>
      <c r="N287">
        <v>89.61</v>
      </c>
      <c r="O287">
        <v>87.11</v>
      </c>
      <c r="P287">
        <v>89.57</v>
      </c>
      <c r="Q287">
        <v>18164</v>
      </c>
      <c r="R287">
        <v>259282</v>
      </c>
      <c r="S287">
        <v>35.195</v>
      </c>
      <c r="T287">
        <v>37.65</v>
      </c>
      <c r="U287">
        <v>35.195</v>
      </c>
      <c r="V287">
        <v>37.103000000000002</v>
      </c>
      <c r="W287">
        <v>132</v>
      </c>
      <c r="X287">
        <v>2.8659864725438494E-2</v>
      </c>
      <c r="Y287">
        <v>-0.35333220564322071</v>
      </c>
      <c r="Z287">
        <v>-0.11173046623219028</v>
      </c>
      <c r="AB287" s="3">
        <f t="shared" si="44"/>
        <v>1.2127459837969323E-2</v>
      </c>
      <c r="AC287" s="3">
        <f t="shared" si="45"/>
        <v>7.4717918228786387E-3</v>
      </c>
      <c r="AD287" s="3">
        <f t="shared" si="46"/>
        <v>3.1837971165747034E-3</v>
      </c>
      <c r="AE287" s="76">
        <f t="shared" si="47"/>
        <v>5410.7142857142826</v>
      </c>
      <c r="AF287" s="76">
        <f t="shared" si="48"/>
        <v>3962.0416666666642</v>
      </c>
      <c r="AG287" s="76">
        <f t="shared" si="49"/>
        <v>3638.3076274757659</v>
      </c>
      <c r="AO287" s="5">
        <f t="shared" si="54"/>
        <v>1.1481056257181534E-4</v>
      </c>
      <c r="AP287" s="5">
        <f t="shared" si="50"/>
        <v>0.33797978545004354</v>
      </c>
      <c r="AR287" s="5">
        <f t="shared" si="51"/>
        <v>-7.4089805673143161E-3</v>
      </c>
      <c r="AS287" s="5">
        <f t="shared" si="52"/>
        <v>-2.0980452503098934E-2</v>
      </c>
      <c r="AT287" s="5">
        <f t="shared" si="53"/>
        <v>-9.0795480286349595E-2</v>
      </c>
    </row>
    <row r="288" spans="12:46" x14ac:dyDescent="0.25">
      <c r="L288" s="4">
        <v>45106.5</v>
      </c>
      <c r="M288">
        <v>87.23</v>
      </c>
      <c r="N288">
        <v>88.82</v>
      </c>
      <c r="O288">
        <v>87.1</v>
      </c>
      <c r="P288">
        <v>88.13</v>
      </c>
      <c r="Q288">
        <v>15214</v>
      </c>
      <c r="R288">
        <v>259229</v>
      </c>
      <c r="S288">
        <v>32.299999999999997</v>
      </c>
      <c r="T288">
        <v>35.18</v>
      </c>
      <c r="U288">
        <v>32.299999999999997</v>
      </c>
      <c r="V288">
        <v>35.18</v>
      </c>
      <c r="W288">
        <v>40</v>
      </c>
      <c r="X288">
        <v>1.9306319452239293E-2</v>
      </c>
      <c r="Y288">
        <v>-1.1840643479017787</v>
      </c>
      <c r="Z288">
        <v>-0.53297985317367458</v>
      </c>
      <c r="AB288" s="3">
        <f t="shared" si="44"/>
        <v>1.0908583157503451E-2</v>
      </c>
      <c r="AC288" s="3">
        <f t="shared" si="45"/>
        <v>7.0624760956739044E-3</v>
      </c>
      <c r="AD288" s="3">
        <f t="shared" si="46"/>
        <v>3.4742486145622267E-3</v>
      </c>
      <c r="AE288" s="76">
        <f t="shared" si="47"/>
        <v>5826.8095238095229</v>
      </c>
      <c r="AF288" s="76">
        <f t="shared" si="48"/>
        <v>4241.5535714285725</v>
      </c>
      <c r="AG288" s="76">
        <f t="shared" si="49"/>
        <v>4364.922882427305</v>
      </c>
      <c r="AO288" s="5">
        <f t="shared" si="54"/>
        <v>1.9555964569192164E-3</v>
      </c>
      <c r="AP288" s="5">
        <f t="shared" si="50"/>
        <v>0.33898910173017061</v>
      </c>
      <c r="AR288" s="5">
        <f t="shared" si="51"/>
        <v>-8.1643984241713818E-3</v>
      </c>
      <c r="AS288" s="5">
        <f t="shared" si="52"/>
        <v>-2.1456882432058677E-2</v>
      </c>
      <c r="AT288" s="5">
        <f t="shared" si="53"/>
        <v>-9.2311382285916455E-2</v>
      </c>
    </row>
    <row r="289" spans="12:46" x14ac:dyDescent="0.25">
      <c r="L289" s="4">
        <v>45105.5</v>
      </c>
      <c r="M289">
        <v>89.09</v>
      </c>
      <c r="N289">
        <v>89.7</v>
      </c>
      <c r="O289">
        <v>86.93</v>
      </c>
      <c r="P289">
        <v>88.21</v>
      </c>
      <c r="Q289">
        <v>17543</v>
      </c>
      <c r="R289">
        <v>259376</v>
      </c>
      <c r="S289">
        <v>33.799999999999997</v>
      </c>
      <c r="T289">
        <v>34.4</v>
      </c>
      <c r="U289">
        <v>33.799999999999997</v>
      </c>
      <c r="V289">
        <v>34.125</v>
      </c>
      <c r="W289">
        <v>30</v>
      </c>
      <c r="X289">
        <v>3.2000924214417699E-2</v>
      </c>
      <c r="Y289">
        <v>-5.447609233564913E-2</v>
      </c>
      <c r="Z289">
        <v>-0.23126434767082546</v>
      </c>
      <c r="AB289" s="3">
        <f t="shared" si="44"/>
        <v>1.0115186855474786E-2</v>
      </c>
      <c r="AC289" s="3">
        <f t="shared" si="45"/>
        <v>7.4616218698562789E-3</v>
      </c>
      <c r="AD289" s="3">
        <f t="shared" si="46"/>
        <v>4.1687231653164056E-3</v>
      </c>
      <c r="AE289" s="76">
        <f t="shared" si="47"/>
        <v>6490.8095238095266</v>
      </c>
      <c r="AF289" s="76">
        <f t="shared" si="48"/>
        <v>4728.5357142857138</v>
      </c>
      <c r="AG289" s="76">
        <f t="shared" si="49"/>
        <v>5063.7294563843243</v>
      </c>
      <c r="AO289" s="5">
        <f t="shared" si="54"/>
        <v>1.3170163170163283E-2</v>
      </c>
      <c r="AP289" s="5">
        <f t="shared" si="50"/>
        <v>0.33899029903241323</v>
      </c>
      <c r="AR289" s="5">
        <f t="shared" si="51"/>
        <v>-8.999841236048356E-3</v>
      </c>
      <c r="AS289" s="5">
        <f t="shared" si="52"/>
        <v>-2.1915144730847713E-2</v>
      </c>
      <c r="AT289" s="5">
        <f t="shared" si="53"/>
        <v>-9.3847228382666181E-2</v>
      </c>
    </row>
    <row r="290" spans="12:46" x14ac:dyDescent="0.25">
      <c r="L290" s="4">
        <v>45104.5</v>
      </c>
      <c r="M290">
        <v>86.56</v>
      </c>
      <c r="N290">
        <v>89.19</v>
      </c>
      <c r="O290">
        <v>85.8</v>
      </c>
      <c r="P290">
        <v>89.09</v>
      </c>
      <c r="Q290">
        <v>18604</v>
      </c>
      <c r="R290">
        <v>256360</v>
      </c>
      <c r="S290">
        <v>32.905000000000001</v>
      </c>
      <c r="T290">
        <v>34.506</v>
      </c>
      <c r="U290">
        <v>32.35</v>
      </c>
      <c r="V290">
        <v>34.506</v>
      </c>
      <c r="W290">
        <v>57</v>
      </c>
      <c r="X290">
        <v>3.8658912076633606E-2</v>
      </c>
      <c r="Y290">
        <v>0.55735780755429398</v>
      </c>
      <c r="Z290">
        <v>-0.10463423768522194</v>
      </c>
      <c r="AB290" s="3">
        <f t="shared" si="44"/>
        <v>1.0450370071127913E-2</v>
      </c>
      <c r="AC290" s="3">
        <f t="shared" si="45"/>
        <v>7.4004128771762781E-3</v>
      </c>
      <c r="AD290" s="3">
        <f t="shared" si="46"/>
        <v>4.3556573766867501E-3</v>
      </c>
      <c r="AE290" s="76">
        <f t="shared" si="47"/>
        <v>8190.8571428571431</v>
      </c>
      <c r="AF290" s="76">
        <f t="shared" si="48"/>
        <v>5153.5119047619046</v>
      </c>
      <c r="AG290" s="76">
        <f t="shared" si="49"/>
        <v>5780.7328276443332</v>
      </c>
      <c r="AO290" s="5">
        <f t="shared" si="54"/>
        <v>-5.8241118229466701E-4</v>
      </c>
      <c r="AP290" s="5">
        <f t="shared" si="50"/>
        <v>0.34102419305003667</v>
      </c>
      <c r="AR290" s="5">
        <f t="shared" si="51"/>
        <v>-9.8569594938651139E-3</v>
      </c>
      <c r="AS290" s="5">
        <f t="shared" si="52"/>
        <v>-2.237004363719014E-2</v>
      </c>
      <c r="AT290" s="5">
        <f t="shared" si="53"/>
        <v>-9.539416424279612E-2</v>
      </c>
    </row>
    <row r="291" spans="12:46" x14ac:dyDescent="0.25">
      <c r="L291" s="4">
        <v>45103.5</v>
      </c>
      <c r="M291">
        <v>87.69</v>
      </c>
      <c r="N291">
        <v>89.74</v>
      </c>
      <c r="O291">
        <v>85.85</v>
      </c>
      <c r="P291">
        <v>86.49</v>
      </c>
      <c r="Q291">
        <v>20614</v>
      </c>
      <c r="R291">
        <v>257719</v>
      </c>
      <c r="S291">
        <v>34.305</v>
      </c>
      <c r="T291">
        <v>34.305</v>
      </c>
      <c r="U291">
        <v>31.975000000000001</v>
      </c>
      <c r="V291">
        <v>31.975000000000001</v>
      </c>
      <c r="W291">
        <v>77</v>
      </c>
      <c r="X291">
        <v>4.2794279427942797E-2</v>
      </c>
      <c r="Y291">
        <v>0.93420813581273698</v>
      </c>
      <c r="Z291">
        <v>0.15147230651405363</v>
      </c>
      <c r="AB291" s="3">
        <f t="shared" si="44"/>
        <v>9.5699728145196804E-3</v>
      </c>
      <c r="AC291" s="3">
        <f t="shared" si="45"/>
        <v>6.6149547186050706E-3</v>
      </c>
      <c r="AD291" s="3">
        <f t="shared" si="46"/>
        <v>3.4079008056525431E-3</v>
      </c>
      <c r="AE291" s="76">
        <f t="shared" si="47"/>
        <v>7113.5714285714275</v>
      </c>
      <c r="AF291" s="76">
        <f t="shared" si="48"/>
        <v>4205.7619047619046</v>
      </c>
      <c r="AG291" s="76">
        <f t="shared" si="49"/>
        <v>5083.6266329540667</v>
      </c>
      <c r="AO291" s="5">
        <f t="shared" si="54"/>
        <v>-1.9417475728155373E-2</v>
      </c>
      <c r="AP291" s="5">
        <f t="shared" si="50"/>
        <v>0.34113080047586891</v>
      </c>
      <c r="AR291" s="5">
        <f t="shared" si="51"/>
        <v>-1.091077727894002E-2</v>
      </c>
      <c r="AS291" s="5">
        <f t="shared" si="52"/>
        <v>-2.2984803246700269E-2</v>
      </c>
      <c r="AT291" s="5">
        <f t="shared" si="53"/>
        <v>-9.7101481641332588E-2</v>
      </c>
    </row>
    <row r="292" spans="12:46" x14ac:dyDescent="0.25">
      <c r="L292" s="4">
        <v>45100.5</v>
      </c>
      <c r="M292">
        <v>90.9</v>
      </c>
      <c r="N292">
        <v>90.9</v>
      </c>
      <c r="O292">
        <v>87.55</v>
      </c>
      <c r="P292">
        <v>87.55</v>
      </c>
      <c r="Q292">
        <v>17974</v>
      </c>
      <c r="R292">
        <v>256407</v>
      </c>
      <c r="S292">
        <v>32.64</v>
      </c>
      <c r="T292">
        <v>33</v>
      </c>
      <c r="U292">
        <v>32.384999999999998</v>
      </c>
      <c r="V292">
        <v>32.506999999999998</v>
      </c>
      <c r="W292">
        <v>274</v>
      </c>
      <c r="X292">
        <v>3.7106778910057696E-2</v>
      </c>
      <c r="Y292">
        <v>0.4493165419574498</v>
      </c>
      <c r="Z292">
        <v>-0.22715736123757968</v>
      </c>
      <c r="AB292" s="3">
        <f t="shared" si="44"/>
        <v>7.7862885622369885E-3</v>
      </c>
      <c r="AC292" s="3">
        <f t="shared" si="45"/>
        <v>5.077856887790666E-3</v>
      </c>
      <c r="AD292" s="3">
        <f t="shared" si="46"/>
        <v>1.8289506001252856E-3</v>
      </c>
      <c r="AE292" s="76">
        <f t="shared" si="47"/>
        <v>6847.8095238095266</v>
      </c>
      <c r="AF292" s="76">
        <f t="shared" si="48"/>
        <v>3994.5714285714312</v>
      </c>
      <c r="AG292" s="76">
        <f t="shared" si="49"/>
        <v>5045.7446270543624</v>
      </c>
      <c r="AO292" s="5">
        <f t="shared" si="54"/>
        <v>-8.8305219064870495E-3</v>
      </c>
      <c r="AP292" s="5">
        <f t="shared" si="50"/>
        <v>0.34057080991401362</v>
      </c>
      <c r="AR292" s="5">
        <f t="shared" si="51"/>
        <v>-1.2028875867695132E-2</v>
      </c>
      <c r="AS292" s="5">
        <f t="shared" si="52"/>
        <v>-2.3684465471507987E-2</v>
      </c>
      <c r="AT292" s="5">
        <f t="shared" si="53"/>
        <v>-9.8827855287746846E-2</v>
      </c>
    </row>
    <row r="293" spans="12:46" x14ac:dyDescent="0.25">
      <c r="L293" s="4">
        <v>45099.5</v>
      </c>
      <c r="M293">
        <v>90.28</v>
      </c>
      <c r="N293">
        <v>91.29</v>
      </c>
      <c r="O293">
        <v>88.33</v>
      </c>
      <c r="P293">
        <v>90.95</v>
      </c>
      <c r="Q293">
        <v>22798</v>
      </c>
      <c r="R293">
        <v>256521</v>
      </c>
      <c r="S293">
        <v>36.9</v>
      </c>
      <c r="T293">
        <v>36.935000000000002</v>
      </c>
      <c r="U293">
        <v>34.055</v>
      </c>
      <c r="V293">
        <v>34.097000000000001</v>
      </c>
      <c r="W293">
        <v>531</v>
      </c>
      <c r="X293">
        <v>3.1352610952229722E-2</v>
      </c>
      <c r="Y293">
        <v>-0.11555329439221279</v>
      </c>
      <c r="Z293">
        <v>0.40339982319057716</v>
      </c>
      <c r="AB293" s="3">
        <f t="shared" si="44"/>
        <v>7.8216484998870558E-3</v>
      </c>
      <c r="AC293" s="3">
        <f t="shared" si="45"/>
        <v>4.6399505975348795E-3</v>
      </c>
      <c r="AD293" s="3">
        <f t="shared" si="46"/>
        <v>1.4306304631316463E-3</v>
      </c>
      <c r="AE293" s="76">
        <f t="shared" si="47"/>
        <v>7262.8571428571413</v>
      </c>
      <c r="AF293" s="76">
        <f t="shared" si="48"/>
        <v>4458.9285714285688</v>
      </c>
      <c r="AG293" s="76">
        <f t="shared" si="49"/>
        <v>5563.5979772439932</v>
      </c>
      <c r="AO293" s="5">
        <f t="shared" si="54"/>
        <v>-2.279013165173141E-2</v>
      </c>
      <c r="AP293" s="5">
        <f t="shared" si="50"/>
        <v>0.3408800386495458</v>
      </c>
      <c r="AR293" s="5">
        <f t="shared" si="51"/>
        <v>-1.3030391920231532E-2</v>
      </c>
      <c r="AS293" s="5">
        <f t="shared" si="52"/>
        <v>-2.4312105908236625E-2</v>
      </c>
      <c r="AT293" s="5">
        <f t="shared" si="53"/>
        <v>-0.10049892087122264</v>
      </c>
    </row>
    <row r="294" spans="12:46" x14ac:dyDescent="0.25">
      <c r="L294" s="4">
        <v>45098.5</v>
      </c>
      <c r="M294">
        <v>94.41</v>
      </c>
      <c r="N294">
        <v>95.4</v>
      </c>
      <c r="O294">
        <v>90.39</v>
      </c>
      <c r="P294">
        <v>90.85</v>
      </c>
      <c r="Q294">
        <v>32246</v>
      </c>
      <c r="R294">
        <v>254157</v>
      </c>
      <c r="S294">
        <v>36.799999999999997</v>
      </c>
      <c r="T294">
        <v>38.96</v>
      </c>
      <c r="U294">
        <v>36.743000000000002</v>
      </c>
      <c r="V294">
        <v>36.743000000000002</v>
      </c>
      <c r="W294">
        <v>2087</v>
      </c>
      <c r="X294">
        <v>5.3818884950048392E-2</v>
      </c>
      <c r="Y294">
        <v>1.6190511460617762</v>
      </c>
      <c r="Z294">
        <v>1.6741791923395835</v>
      </c>
      <c r="AB294" s="3">
        <f t="shared" si="44"/>
        <v>6.92901447340908E-3</v>
      </c>
      <c r="AC294" s="3">
        <f t="shared" si="45"/>
        <v>3.6430531749548911E-3</v>
      </c>
      <c r="AD294" s="3">
        <f t="shared" si="46"/>
        <v>7.0767136371720218E-4</v>
      </c>
      <c r="AE294" s="76">
        <f t="shared" si="47"/>
        <v>6564.7142857142862</v>
      </c>
      <c r="AF294" s="76">
        <f t="shared" si="48"/>
        <v>4090.5119047619046</v>
      </c>
      <c r="AG294" s="76">
        <f t="shared" si="49"/>
        <v>5274.0653181626622</v>
      </c>
      <c r="AO294" s="5">
        <f t="shared" si="54"/>
        <v>-2.6494345718901389E-2</v>
      </c>
      <c r="AP294" s="5">
        <f t="shared" si="50"/>
        <v>0.34011888283237474</v>
      </c>
      <c r="AR294" s="5">
        <f t="shared" si="51"/>
        <v>-1.4185780855540286E-2</v>
      </c>
      <c r="AS294" s="5">
        <f t="shared" si="52"/>
        <v>-2.5748104686517392E-2</v>
      </c>
      <c r="AT294" s="5">
        <f t="shared" si="53"/>
        <v>-0.10221997719228265</v>
      </c>
    </row>
    <row r="295" spans="12:46" x14ac:dyDescent="0.25">
      <c r="L295" s="4">
        <v>45097.5</v>
      </c>
      <c r="M295">
        <v>93.09</v>
      </c>
      <c r="N295">
        <v>96</v>
      </c>
      <c r="O295">
        <v>92.85</v>
      </c>
      <c r="P295">
        <v>94.51</v>
      </c>
      <c r="Q295">
        <v>26755</v>
      </c>
      <c r="R295">
        <v>249934</v>
      </c>
      <c r="S295">
        <v>32.65</v>
      </c>
      <c r="T295">
        <v>39.35</v>
      </c>
      <c r="U295">
        <v>31.88</v>
      </c>
      <c r="V295">
        <v>38.707999999999998</v>
      </c>
      <c r="W295">
        <v>310</v>
      </c>
      <c r="X295">
        <v>3.4351145038168003E-2</v>
      </c>
      <c r="Y295">
        <v>0.13598711257550811</v>
      </c>
      <c r="Z295">
        <v>0.97237409725317925</v>
      </c>
      <c r="AB295" s="3">
        <f t="shared" si="44"/>
        <v>5.603045369231445E-3</v>
      </c>
      <c r="AC295" s="3">
        <f t="shared" si="45"/>
        <v>2.3472095390993097E-3</v>
      </c>
      <c r="AD295" s="3">
        <f t="shared" si="46"/>
        <v>-6.1702473401199082E-4</v>
      </c>
      <c r="AE295" s="76">
        <f t="shared" si="47"/>
        <v>5722.6190476190495</v>
      </c>
      <c r="AF295" s="76">
        <f t="shared" si="48"/>
        <v>3411.1547619047633</v>
      </c>
      <c r="AG295" s="76">
        <f t="shared" si="49"/>
        <v>4449.0868099452164</v>
      </c>
      <c r="AO295" s="5">
        <f t="shared" si="54"/>
        <v>2.8239202657807279E-2</v>
      </c>
      <c r="AP295" s="5">
        <f t="shared" si="50"/>
        <v>0.34023983317646311</v>
      </c>
      <c r="AR295" s="5">
        <f t="shared" si="51"/>
        <v>-1.5122731949445578E-2</v>
      </c>
      <c r="AS295" s="5">
        <f t="shared" si="52"/>
        <v>-2.7028985170016617E-2</v>
      </c>
      <c r="AT295" s="5">
        <f t="shared" si="53"/>
        <v>-0.10387441963300098</v>
      </c>
    </row>
    <row r="296" spans="12:46" x14ac:dyDescent="0.25">
      <c r="L296" s="4">
        <v>45096.5</v>
      </c>
      <c r="M296">
        <v>91.7</v>
      </c>
      <c r="N296">
        <v>93.81</v>
      </c>
      <c r="O296">
        <v>90.3</v>
      </c>
      <c r="P296">
        <v>93.23</v>
      </c>
      <c r="Q296">
        <v>17389</v>
      </c>
      <c r="R296">
        <v>250280</v>
      </c>
      <c r="S296">
        <v>34.549999999999997</v>
      </c>
      <c r="T296">
        <v>37.049999999999997</v>
      </c>
      <c r="U296">
        <v>32.4</v>
      </c>
      <c r="V296">
        <v>35.008000000000003</v>
      </c>
      <c r="W296">
        <v>0</v>
      </c>
      <c r="X296">
        <v>3.7774429616874786E-2</v>
      </c>
      <c r="Y296">
        <v>0.39388471999651509</v>
      </c>
      <c r="Z296">
        <v>-0.29844957514163623</v>
      </c>
      <c r="AB296" s="3">
        <f t="shared" si="44"/>
        <v>5.7196400176761433E-3</v>
      </c>
      <c r="AC296" s="3">
        <f t="shared" si="45"/>
        <v>2.6562476296303553E-3</v>
      </c>
      <c r="AD296" s="3">
        <f t="shared" si="46"/>
        <v>-7.2102922291315819E-4</v>
      </c>
      <c r="AE296" s="76">
        <f t="shared" si="47"/>
        <v>5215.9523809523816</v>
      </c>
      <c r="AF296" s="76">
        <f t="shared" si="48"/>
        <v>2925.1726190476184</v>
      </c>
      <c r="AG296" s="76">
        <f t="shared" si="49"/>
        <v>3850.0185419300469</v>
      </c>
      <c r="AO296" s="5">
        <f t="shared" si="54"/>
        <v>-2.2099447513812469E-3</v>
      </c>
      <c r="AP296" s="5">
        <f t="shared" si="50"/>
        <v>0.33921826559044183</v>
      </c>
      <c r="AR296" s="5">
        <f t="shared" si="51"/>
        <v>-1.6181605207311434E-2</v>
      </c>
      <c r="AS296" s="5">
        <f t="shared" si="52"/>
        <v>-2.8625116458786459E-2</v>
      </c>
      <c r="AT296" s="5">
        <f t="shared" si="53"/>
        <v>-0.1055558915314993</v>
      </c>
    </row>
    <row r="297" spans="12:46" x14ac:dyDescent="0.25">
      <c r="L297" s="4">
        <v>45093.5</v>
      </c>
      <c r="M297">
        <v>92.92</v>
      </c>
      <c r="N297">
        <v>93.2</v>
      </c>
      <c r="O297">
        <v>90.5</v>
      </c>
      <c r="P297">
        <v>91.92</v>
      </c>
      <c r="Q297">
        <v>21954</v>
      </c>
      <c r="R297">
        <v>249414</v>
      </c>
      <c r="S297">
        <v>34.549999999999997</v>
      </c>
      <c r="T297">
        <v>37.049999999999997</v>
      </c>
      <c r="U297">
        <v>32.4</v>
      </c>
      <c r="V297">
        <v>35.008000000000003</v>
      </c>
      <c r="W297">
        <v>100</v>
      </c>
      <c r="X297">
        <v>2.8877005347593614E-2</v>
      </c>
      <c r="Y297">
        <v>-0.31956385574720558</v>
      </c>
      <c r="Z297">
        <v>0.30205417855219674</v>
      </c>
      <c r="AB297" s="3">
        <f t="shared" si="44"/>
        <v>4.1934395455602708E-3</v>
      </c>
      <c r="AC297" s="3">
        <f t="shared" si="45"/>
        <v>1.2915338263022533E-3</v>
      </c>
      <c r="AD297" s="3">
        <f t="shared" si="46"/>
        <v>-1.5969935623717374E-3</v>
      </c>
      <c r="AE297" s="76">
        <f t="shared" si="47"/>
        <v>4665.0476190476184</v>
      </c>
      <c r="AF297" s="76">
        <f t="shared" si="48"/>
        <v>2592.0714285714312</v>
      </c>
      <c r="AG297" s="76">
        <f t="shared" si="49"/>
        <v>3597.4993678887477</v>
      </c>
      <c r="AO297" s="5">
        <f t="shared" si="54"/>
        <v>-9.8468271334792735E-3</v>
      </c>
      <c r="AP297" s="5">
        <f t="shared" si="50"/>
        <v>0.33944418044285724</v>
      </c>
      <c r="AR297" s="5">
        <f t="shared" si="51"/>
        <v>-1.7158201073493584E-2</v>
      </c>
      <c r="AS297" s="5">
        <f t="shared" si="52"/>
        <v>-3.0165265855928713E-2</v>
      </c>
      <c r="AT297" s="5">
        <f t="shared" si="53"/>
        <v>-0.107180021305882</v>
      </c>
    </row>
    <row r="298" spans="12:46" x14ac:dyDescent="0.25">
      <c r="L298" s="4">
        <v>45092.5</v>
      </c>
      <c r="M298">
        <v>93.5</v>
      </c>
      <c r="N298">
        <v>95.25</v>
      </c>
      <c r="O298">
        <v>91.4</v>
      </c>
      <c r="P298">
        <v>92.93</v>
      </c>
      <c r="Q298">
        <v>33891</v>
      </c>
      <c r="R298">
        <v>247372</v>
      </c>
      <c r="S298">
        <v>37.35</v>
      </c>
      <c r="T298">
        <v>43.53</v>
      </c>
      <c r="U298">
        <v>37.35</v>
      </c>
      <c r="V298">
        <v>41.145000000000003</v>
      </c>
      <c r="W298">
        <v>184</v>
      </c>
      <c r="X298">
        <v>4.259320721318724E-2</v>
      </c>
      <c r="Y298">
        <v>0.72730150362739787</v>
      </c>
      <c r="Z298">
        <v>1.8531287956064209</v>
      </c>
      <c r="AB298" s="3">
        <f t="shared" si="44"/>
        <v>4.0976982284257127E-3</v>
      </c>
      <c r="AC298" s="3">
        <f t="shared" si="45"/>
        <v>1.0008744612648932E-3</v>
      </c>
      <c r="AD298" s="3">
        <f t="shared" si="46"/>
        <v>-1.8236195887646328E-3</v>
      </c>
      <c r="AE298" s="76">
        <f t="shared" si="47"/>
        <v>3867.7619047619046</v>
      </c>
      <c r="AF298" s="76">
        <f t="shared" si="48"/>
        <v>1936</v>
      </c>
      <c r="AG298" s="76">
        <f t="shared" si="49"/>
        <v>3003.1681415929197</v>
      </c>
      <c r="AO298" s="5">
        <f t="shared" si="54"/>
        <v>1.6572127683238895E-2</v>
      </c>
      <c r="AP298" s="5">
        <f t="shared" si="50"/>
        <v>0.33932116357071529</v>
      </c>
      <c r="AR298" s="5">
        <f t="shared" si="51"/>
        <v>-1.8433859867723001E-2</v>
      </c>
      <c r="AS298" s="5">
        <f t="shared" si="52"/>
        <v>-3.2161776099054074E-2</v>
      </c>
      <c r="AT298" s="5">
        <f t="shared" si="53"/>
        <v>-0.10884834776977192</v>
      </c>
    </row>
    <row r="299" spans="12:46" x14ac:dyDescent="0.25">
      <c r="L299" s="4">
        <v>45091.5</v>
      </c>
      <c r="M299">
        <v>90.39</v>
      </c>
      <c r="N299">
        <v>94.11</v>
      </c>
      <c r="O299">
        <v>89.91</v>
      </c>
      <c r="P299">
        <v>93.62</v>
      </c>
      <c r="Q299">
        <v>35045</v>
      </c>
      <c r="R299">
        <v>248701</v>
      </c>
      <c r="S299">
        <v>34.125</v>
      </c>
      <c r="T299">
        <v>40.055</v>
      </c>
      <c r="U299">
        <v>34.125</v>
      </c>
      <c r="V299">
        <v>38.311999999999998</v>
      </c>
      <c r="W299">
        <v>190</v>
      </c>
      <c r="X299">
        <v>4.7727272727272757E-2</v>
      </c>
      <c r="Y299">
        <v>1.0746276103110552</v>
      </c>
      <c r="Z299">
        <v>1.9487306777540057</v>
      </c>
      <c r="AB299" s="3">
        <f t="shared" si="44"/>
        <v>2.8259794656684892E-3</v>
      </c>
      <c r="AC299" s="3">
        <f t="shared" si="45"/>
        <v>3.006754663647318E-4</v>
      </c>
      <c r="AD299" s="3">
        <f t="shared" si="46"/>
        <v>-2.6739019689879795E-3</v>
      </c>
      <c r="AE299" s="76">
        <f t="shared" si="47"/>
        <v>2696.3809523809541</v>
      </c>
      <c r="AF299" s="76">
        <f t="shared" si="48"/>
        <v>879.85119047619082</v>
      </c>
      <c r="AG299" s="76">
        <f t="shared" si="49"/>
        <v>1928.1171512852925</v>
      </c>
      <c r="AO299" s="5">
        <f t="shared" si="54"/>
        <v>3.451846738004833E-2</v>
      </c>
      <c r="AP299" s="5">
        <f t="shared" si="50"/>
        <v>0.33918688139610681</v>
      </c>
      <c r="AR299" s="5">
        <f t="shared" si="51"/>
        <v>-1.9543500290141347E-2</v>
      </c>
      <c r="AS299" s="5">
        <f t="shared" si="52"/>
        <v>-3.4570131081995803E-2</v>
      </c>
      <c r="AT299" s="5">
        <f t="shared" si="53"/>
        <v>-0.11043283624965267</v>
      </c>
    </row>
    <row r="300" spans="12:46" x14ac:dyDescent="0.25">
      <c r="L300" s="4">
        <v>45090.5</v>
      </c>
      <c r="M300">
        <v>88</v>
      </c>
      <c r="N300">
        <v>91.05</v>
      </c>
      <c r="O300">
        <v>86.91</v>
      </c>
      <c r="P300">
        <v>90.72</v>
      </c>
      <c r="Q300">
        <v>34523</v>
      </c>
      <c r="R300">
        <v>249516</v>
      </c>
      <c r="S300">
        <v>31.035</v>
      </c>
      <c r="T300">
        <v>36.051000000000002</v>
      </c>
      <c r="U300">
        <v>31.035</v>
      </c>
      <c r="V300">
        <v>36.051000000000002</v>
      </c>
      <c r="W300">
        <v>35</v>
      </c>
      <c r="X300">
        <v>4.7844678146307648E-2</v>
      </c>
      <c r="Y300">
        <v>1.0177775095244082</v>
      </c>
      <c r="Z300">
        <v>1.9338022072045913</v>
      </c>
      <c r="AB300" s="3">
        <f t="shared" si="44"/>
        <v>2.0072429182027979E-3</v>
      </c>
      <c r="AC300" s="3">
        <f t="shared" si="45"/>
        <v>-6.7392225470357808E-4</v>
      </c>
      <c r="AD300" s="3">
        <f t="shared" si="46"/>
        <v>-3.5013463190274388E-3</v>
      </c>
      <c r="AE300" s="76">
        <f t="shared" si="47"/>
        <v>1945.0476190476184</v>
      </c>
      <c r="AF300" s="76">
        <f t="shared" si="48"/>
        <v>-59.988095238095411</v>
      </c>
      <c r="AG300" s="76">
        <f t="shared" si="49"/>
        <v>919.75052675937695</v>
      </c>
      <c r="AO300" s="5">
        <f t="shared" si="54"/>
        <v>2.3916116870876546E-2</v>
      </c>
      <c r="AP300" s="5">
        <f t="shared" si="50"/>
        <v>0.33828530925030104</v>
      </c>
      <c r="AR300" s="5">
        <f t="shared" si="51"/>
        <v>-1.9919691979346843E-2</v>
      </c>
      <c r="AS300" s="5">
        <f t="shared" si="52"/>
        <v>-3.6986998238497659E-2</v>
      </c>
      <c r="AT300" s="5">
        <f t="shared" si="53"/>
        <v>-0.11155221541781968</v>
      </c>
    </row>
    <row r="301" spans="12:46" x14ac:dyDescent="0.25">
      <c r="L301" s="4">
        <v>45089.5</v>
      </c>
      <c r="M301">
        <v>86.53</v>
      </c>
      <c r="N301">
        <v>88.46</v>
      </c>
      <c r="O301">
        <v>84.88</v>
      </c>
      <c r="P301">
        <v>88.22</v>
      </c>
      <c r="Q301">
        <v>20585</v>
      </c>
      <c r="R301">
        <v>252269</v>
      </c>
      <c r="S301">
        <v>31.605</v>
      </c>
      <c r="T301">
        <v>32.045000000000002</v>
      </c>
      <c r="U301">
        <v>29.4</v>
      </c>
      <c r="V301">
        <v>31.036000000000001</v>
      </c>
      <c r="W301">
        <v>203</v>
      </c>
      <c r="X301">
        <v>4.2905081495685504E-2</v>
      </c>
      <c r="Y301">
        <v>0.66555255815839764</v>
      </c>
      <c r="Z301">
        <v>9.3337354668465169E-2</v>
      </c>
      <c r="AB301" s="3">
        <f t="shared" si="44"/>
        <v>2.1035207888504583E-3</v>
      </c>
      <c r="AC301" s="3">
        <f t="shared" si="45"/>
        <v>-1.3157438896465035E-3</v>
      </c>
      <c r="AD301" s="3">
        <f t="shared" si="46"/>
        <v>-4.0891005183335202E-3</v>
      </c>
      <c r="AE301" s="76">
        <f t="shared" si="47"/>
        <v>1440.8095238095229</v>
      </c>
      <c r="AF301" s="76">
        <f t="shared" si="48"/>
        <v>-769.55357142857247</v>
      </c>
      <c r="AG301" s="76">
        <f t="shared" si="49"/>
        <v>122.20986093552347</v>
      </c>
      <c r="AO301" s="5">
        <f t="shared" si="54"/>
        <v>1.7257909875359512E-2</v>
      </c>
      <c r="AP301" s="5">
        <f t="shared" si="50"/>
        <v>0.33793874272350088</v>
      </c>
      <c r="AR301" s="5">
        <f t="shared" si="51"/>
        <v>-2.0182609208636959E-2</v>
      </c>
      <c r="AS301" s="5">
        <f t="shared" si="52"/>
        <v>-3.942759198614193E-2</v>
      </c>
      <c r="AT301" s="5">
        <f t="shared" si="53"/>
        <v>-0.11262232957402529</v>
      </c>
    </row>
    <row r="302" spans="12:46" x14ac:dyDescent="0.25">
      <c r="L302" s="4">
        <v>45086.5</v>
      </c>
      <c r="M302">
        <v>83.44</v>
      </c>
      <c r="N302">
        <v>87.3</v>
      </c>
      <c r="O302">
        <v>83.44</v>
      </c>
      <c r="P302">
        <v>86.14</v>
      </c>
      <c r="Q302">
        <v>21343</v>
      </c>
      <c r="R302">
        <v>253915</v>
      </c>
      <c r="S302">
        <v>27.15</v>
      </c>
      <c r="T302">
        <v>33.015000000000001</v>
      </c>
      <c r="U302">
        <v>27.15</v>
      </c>
      <c r="V302">
        <v>32.048999999999999</v>
      </c>
      <c r="W302">
        <v>284</v>
      </c>
      <c r="X302">
        <v>4.5957852125253003E-2</v>
      </c>
      <c r="Y302">
        <v>0.87142052495464162</v>
      </c>
      <c r="Z302">
        <v>0.19244619409641203</v>
      </c>
      <c r="AB302" s="3">
        <f t="shared" si="44"/>
        <v>1.1794713176034588E-4</v>
      </c>
      <c r="AC302" s="3">
        <f t="shared" si="45"/>
        <v>-2.5807571245752489E-3</v>
      </c>
      <c r="AD302" s="3">
        <f t="shared" si="46"/>
        <v>-5.4644925273101413E-3</v>
      </c>
      <c r="AE302" s="76">
        <f t="shared" si="47"/>
        <v>634</v>
      </c>
      <c r="AF302" s="76">
        <f t="shared" si="48"/>
        <v>-1306.1904761904771</v>
      </c>
      <c r="AG302" s="76">
        <f t="shared" si="49"/>
        <v>-666.16013485040094</v>
      </c>
      <c r="AO302" s="5">
        <f t="shared" si="54"/>
        <v>1.0781344639612363E-2</v>
      </c>
      <c r="AP302" s="5">
        <f t="shared" si="50"/>
        <v>0.33756177448796471</v>
      </c>
      <c r="AR302" s="5">
        <f t="shared" si="51"/>
        <v>-2.0499138427349572E-2</v>
      </c>
      <c r="AS302" s="5">
        <f t="shared" si="52"/>
        <v>-4.1900148649269497E-2</v>
      </c>
      <c r="AT302" s="5">
        <f t="shared" si="53"/>
        <v>-0.11372822638584329</v>
      </c>
    </row>
    <row r="303" spans="12:46" x14ac:dyDescent="0.25">
      <c r="L303" s="4">
        <v>45085.5</v>
      </c>
      <c r="M303">
        <v>83.99</v>
      </c>
      <c r="N303">
        <v>84.95</v>
      </c>
      <c r="O303">
        <v>82.55</v>
      </c>
      <c r="P303">
        <v>83.35</v>
      </c>
      <c r="Q303">
        <v>16905</v>
      </c>
      <c r="R303">
        <v>256590</v>
      </c>
      <c r="S303">
        <v>26.55</v>
      </c>
      <c r="T303">
        <v>28.5</v>
      </c>
      <c r="U303">
        <v>26.05</v>
      </c>
      <c r="V303">
        <v>26.945</v>
      </c>
      <c r="W303">
        <v>417</v>
      </c>
      <c r="X303">
        <v>2.939735423811864E-2</v>
      </c>
      <c r="Y303">
        <v>-0.29340438650848505</v>
      </c>
      <c r="Z303">
        <v>-0.39618705867900067</v>
      </c>
      <c r="AB303" s="3">
        <f t="shared" si="44"/>
        <v>-9.5509901173534972E-4</v>
      </c>
      <c r="AC303" s="3">
        <f t="shared" si="45"/>
        <v>-3.7867363967106146E-3</v>
      </c>
      <c r="AD303" s="3">
        <f t="shared" si="46"/>
        <v>-6.3823982866165613E-3</v>
      </c>
      <c r="AE303" s="76">
        <f t="shared" si="47"/>
        <v>355.04761904761835</v>
      </c>
      <c r="AF303" s="76">
        <f t="shared" si="48"/>
        <v>-1470.6666666666679</v>
      </c>
      <c r="AG303" s="76">
        <f t="shared" si="49"/>
        <v>-903.93215339233211</v>
      </c>
      <c r="AO303" s="5">
        <f t="shared" si="54"/>
        <v>3.084415584415583E-2</v>
      </c>
      <c r="AP303" s="5">
        <f t="shared" si="50"/>
        <v>0.33752099403942953</v>
      </c>
      <c r="AR303" s="5">
        <f t="shared" si="51"/>
        <v>-2.075773057133895E-2</v>
      </c>
      <c r="AS303" s="5">
        <f t="shared" si="52"/>
        <v>-4.4372977115058998E-2</v>
      </c>
      <c r="AT303" s="5">
        <f t="shared" si="53"/>
        <v>-0.11482784997254231</v>
      </c>
    </row>
    <row r="304" spans="12:46" x14ac:dyDescent="0.25">
      <c r="L304" s="4">
        <v>45084.5</v>
      </c>
      <c r="M304">
        <v>81.64</v>
      </c>
      <c r="N304">
        <v>84.19</v>
      </c>
      <c r="O304">
        <v>80.08</v>
      </c>
      <c r="P304">
        <v>83.86</v>
      </c>
      <c r="Q304">
        <v>23435</v>
      </c>
      <c r="R304">
        <v>255965</v>
      </c>
      <c r="S304">
        <v>25.35</v>
      </c>
      <c r="T304">
        <v>26.99</v>
      </c>
      <c r="U304">
        <v>25.2</v>
      </c>
      <c r="V304">
        <v>26.331</v>
      </c>
      <c r="W304">
        <v>735</v>
      </c>
      <c r="X304">
        <v>4.9518072289156619E-2</v>
      </c>
      <c r="Y304">
        <v>1.1500908199419662</v>
      </c>
      <c r="Z304">
        <v>0.45796965714597676</v>
      </c>
      <c r="AB304" s="3">
        <f t="shared" si="44"/>
        <v>-3.8671062868706266E-4</v>
      </c>
      <c r="AC304" s="3">
        <f t="shared" si="45"/>
        <v>-4.0930755568655795E-3</v>
      </c>
      <c r="AD304" s="3">
        <f t="shared" si="46"/>
        <v>-6.4652586953114384E-3</v>
      </c>
      <c r="AE304" s="76">
        <f t="shared" si="47"/>
        <v>766.47619047619082</v>
      </c>
      <c r="AF304" s="76">
        <f t="shared" si="48"/>
        <v>-1385.2857142857138</v>
      </c>
      <c r="AG304" s="76">
        <f t="shared" si="49"/>
        <v>-855.30847029076904</v>
      </c>
      <c r="AO304" s="5">
        <f t="shared" si="54"/>
        <v>-1.6207455429497002E-3</v>
      </c>
      <c r="AP304" s="5">
        <f t="shared" si="50"/>
        <v>0.33619432916314945</v>
      </c>
      <c r="AR304" s="5">
        <f t="shared" si="51"/>
        <v>-2.0551148140892372E-2</v>
      </c>
      <c r="AS304" s="5">
        <f t="shared" si="52"/>
        <v>-4.6541710616541609E-2</v>
      </c>
      <c r="AT304" s="5">
        <f t="shared" si="53"/>
        <v>-0.1156615622388576</v>
      </c>
    </row>
    <row r="305" spans="12:46" x14ac:dyDescent="0.25">
      <c r="L305" s="4">
        <v>45083.5</v>
      </c>
      <c r="M305">
        <v>83</v>
      </c>
      <c r="N305">
        <v>83.48</v>
      </c>
      <c r="O305">
        <v>80.209999999999994</v>
      </c>
      <c r="P305">
        <v>81.64</v>
      </c>
      <c r="Q305">
        <v>21782</v>
      </c>
      <c r="R305">
        <v>259133</v>
      </c>
      <c r="S305">
        <v>28.3</v>
      </c>
      <c r="T305">
        <v>28.3</v>
      </c>
      <c r="U305">
        <v>24.774999999999999</v>
      </c>
      <c r="V305">
        <v>24.86</v>
      </c>
      <c r="W305">
        <v>329</v>
      </c>
      <c r="X305">
        <v>4.1366223908918538E-2</v>
      </c>
      <c r="Y305">
        <v>0.58712246786619138</v>
      </c>
      <c r="Z305">
        <v>0.24445719003575631</v>
      </c>
      <c r="AB305" s="3">
        <f t="shared" si="44"/>
        <v>-8.6940724726743482E-4</v>
      </c>
      <c r="AC305" s="3">
        <f t="shared" si="45"/>
        <v>-5.2320556755912143E-3</v>
      </c>
      <c r="AD305" s="3">
        <f t="shared" si="46"/>
        <v>-7.6615738146296811E-3</v>
      </c>
      <c r="AE305" s="76">
        <f t="shared" si="47"/>
        <v>1358.5238095238092</v>
      </c>
      <c r="AF305" s="76">
        <f t="shared" si="48"/>
        <v>-1659.0952380952367</v>
      </c>
      <c r="AG305" s="76">
        <f t="shared" si="49"/>
        <v>-1214.8272229245667</v>
      </c>
      <c r="AO305" s="5">
        <f t="shared" si="54"/>
        <v>2.8201512626586187E-2</v>
      </c>
      <c r="AP305" s="5">
        <f t="shared" si="50"/>
        <v>0.33672308491322028</v>
      </c>
      <c r="AR305" s="5">
        <f t="shared" si="51"/>
        <v>-2.0087385017947157E-2</v>
      </c>
      <c r="AS305" s="5">
        <f t="shared" si="52"/>
        <v>-4.8511121461008833E-2</v>
      </c>
      <c r="AT305" s="5">
        <f t="shared" si="53"/>
        <v>-0.11631958133209874</v>
      </c>
    </row>
    <row r="306" spans="12:46" x14ac:dyDescent="0.25">
      <c r="L306" s="4">
        <v>45082.5</v>
      </c>
      <c r="M306">
        <v>79.05</v>
      </c>
      <c r="N306">
        <v>83.28</v>
      </c>
      <c r="O306">
        <v>78.010000000000005</v>
      </c>
      <c r="P306">
        <v>82.86</v>
      </c>
      <c r="Q306">
        <v>25856</v>
      </c>
      <c r="R306">
        <v>261342</v>
      </c>
      <c r="S306">
        <v>24.25</v>
      </c>
      <c r="T306">
        <v>28.695</v>
      </c>
      <c r="U306">
        <v>24.25</v>
      </c>
      <c r="V306">
        <v>28.478000000000002</v>
      </c>
      <c r="W306">
        <v>78</v>
      </c>
      <c r="X306">
        <v>6.6742654508611915E-2</v>
      </c>
      <c r="Y306">
        <v>2.4267508219957961</v>
      </c>
      <c r="Z306">
        <v>0.79013300413902876</v>
      </c>
      <c r="AB306" s="3">
        <f t="shared" si="44"/>
        <v>-2.1448909897659151E-3</v>
      </c>
      <c r="AC306" s="3">
        <f t="shared" si="45"/>
        <v>-6.6024538070309884E-3</v>
      </c>
      <c r="AD306" s="3">
        <f t="shared" si="46"/>
        <v>-9.1358077346346718E-3</v>
      </c>
      <c r="AE306" s="76">
        <f t="shared" si="47"/>
        <v>1160.2380952380954</v>
      </c>
      <c r="AF306" s="76">
        <f t="shared" si="48"/>
        <v>-2420.1785714285688</v>
      </c>
      <c r="AG306" s="76">
        <f t="shared" si="49"/>
        <v>-2045.6687737041721</v>
      </c>
      <c r="AO306" s="5">
        <f t="shared" si="54"/>
        <v>-6.2420382165604442E-3</v>
      </c>
      <c r="AP306" s="5">
        <f t="shared" si="50"/>
        <v>0.33566515251132878</v>
      </c>
      <c r="AR306" s="5">
        <f t="shared" si="51"/>
        <v>-1.9687959176681702E-2</v>
      </c>
      <c r="AS306" s="5">
        <f t="shared" si="52"/>
        <v>-5.0511121711423301E-2</v>
      </c>
      <c r="AT306" s="5">
        <f t="shared" si="53"/>
        <v>-0.11699152864658297</v>
      </c>
    </row>
    <row r="307" spans="12:46" x14ac:dyDescent="0.25">
      <c r="L307" s="4">
        <v>45079.5</v>
      </c>
      <c r="M307">
        <v>78.959999999999994</v>
      </c>
      <c r="N307">
        <v>80.55</v>
      </c>
      <c r="O307">
        <v>78.5</v>
      </c>
      <c r="P307">
        <v>78.52</v>
      </c>
      <c r="Q307">
        <v>18303</v>
      </c>
      <c r="R307">
        <v>262029</v>
      </c>
      <c r="S307">
        <v>23.75</v>
      </c>
      <c r="T307">
        <v>23.844999999999999</v>
      </c>
      <c r="U307">
        <v>23.125</v>
      </c>
      <c r="V307">
        <v>23.689</v>
      </c>
      <c r="W307">
        <v>299</v>
      </c>
      <c r="X307">
        <v>2.5302394470501078E-2</v>
      </c>
      <c r="Y307">
        <v>-0.56635787162287843</v>
      </c>
      <c r="Z307">
        <v>-0.19113321960256691</v>
      </c>
      <c r="AB307" s="3">
        <f t="shared" si="44"/>
        <v>-3.423015912347057E-3</v>
      </c>
      <c r="AC307" s="3">
        <f t="shared" si="45"/>
        <v>-8.5868740169697672E-3</v>
      </c>
      <c r="AD307" s="3">
        <f t="shared" si="46"/>
        <v>-1.0980425684967703E-2</v>
      </c>
      <c r="AE307" s="76">
        <f t="shared" si="47"/>
        <v>645.33333333333212</v>
      </c>
      <c r="AF307" s="76">
        <f t="shared" si="48"/>
        <v>-3152.4285714285725</v>
      </c>
      <c r="AG307" s="76">
        <f t="shared" si="49"/>
        <v>-2641.5587863463988</v>
      </c>
      <c r="AO307" s="5">
        <f t="shared" si="54"/>
        <v>6.3734862970040991E-4</v>
      </c>
      <c r="AP307" s="5">
        <f t="shared" si="50"/>
        <v>0.34001762468242014</v>
      </c>
      <c r="AR307" s="5">
        <f t="shared" si="51"/>
        <v>-1.9281883942830313E-2</v>
      </c>
      <c r="AS307" s="5">
        <f t="shared" si="52"/>
        <v>-5.2417687756649345E-2</v>
      </c>
      <c r="AT307" s="5">
        <f t="shared" si="53"/>
        <v>-0.11757511748129684</v>
      </c>
    </row>
    <row r="308" spans="12:46" x14ac:dyDescent="0.25">
      <c r="L308" s="4">
        <v>45078.5</v>
      </c>
      <c r="M308">
        <v>81.02</v>
      </c>
      <c r="N308">
        <v>81.11</v>
      </c>
      <c r="O308">
        <v>78.45</v>
      </c>
      <c r="P308">
        <v>78.95</v>
      </c>
      <c r="Q308">
        <v>28185</v>
      </c>
      <c r="R308">
        <v>262073</v>
      </c>
      <c r="S308">
        <v>25.2</v>
      </c>
      <c r="T308">
        <v>25.2</v>
      </c>
      <c r="U308">
        <v>23.103000000000002</v>
      </c>
      <c r="V308">
        <v>23.103000000000002</v>
      </c>
      <c r="W308">
        <v>195</v>
      </c>
      <c r="X308">
        <v>3.3051689860834947E-2</v>
      </c>
      <c r="Y308">
        <v>2.9874957170918447E-2</v>
      </c>
      <c r="Z308">
        <v>1.0964981512997642</v>
      </c>
      <c r="AB308" s="3">
        <f t="shared" si="44"/>
        <v>-3.6224522104786501E-3</v>
      </c>
      <c r="AC308" s="3">
        <f t="shared" si="45"/>
        <v>-8.8624310869490942E-3</v>
      </c>
      <c r="AD308" s="3">
        <f t="shared" si="46"/>
        <v>-1.0868462386363274E-2</v>
      </c>
      <c r="AE308" s="76">
        <f t="shared" si="47"/>
        <v>786.19047619047706</v>
      </c>
      <c r="AF308" s="76">
        <f t="shared" si="48"/>
        <v>-3094.2440476190459</v>
      </c>
      <c r="AG308" s="76">
        <f t="shared" si="49"/>
        <v>-2583.6013485040021</v>
      </c>
      <c r="AO308" s="5">
        <f t="shared" si="54"/>
        <v>-1.0843525406632195E-2</v>
      </c>
      <c r="AP308" s="5">
        <f t="shared" si="50"/>
        <v>0.34004496815185631</v>
      </c>
      <c r="AR308" s="5">
        <f t="shared" si="51"/>
        <v>-1.9055079803094954E-2</v>
      </c>
      <c r="AS308" s="5">
        <f t="shared" si="52"/>
        <v>-5.4497897569581955E-2</v>
      </c>
      <c r="AT308" s="5">
        <f t="shared" si="53"/>
        <v>-0.11835145261190694</v>
      </c>
    </row>
    <row r="309" spans="12:46" x14ac:dyDescent="0.25">
      <c r="L309" s="4">
        <v>45077.5</v>
      </c>
      <c r="M309">
        <v>80.48</v>
      </c>
      <c r="N309">
        <v>82</v>
      </c>
      <c r="O309">
        <v>79.31</v>
      </c>
      <c r="P309">
        <v>80.77</v>
      </c>
      <c r="Q309">
        <v>26242</v>
      </c>
      <c r="R309">
        <v>262879</v>
      </c>
      <c r="S309">
        <v>25.495000000000001</v>
      </c>
      <c r="T309">
        <v>27.95</v>
      </c>
      <c r="U309">
        <v>25.495000000000001</v>
      </c>
      <c r="V309">
        <v>26.852</v>
      </c>
      <c r="W309">
        <v>38</v>
      </c>
      <c r="X309">
        <v>3.2390126429861506E-2</v>
      </c>
      <c r="Y309">
        <v>-4.5212243844743948E-2</v>
      </c>
      <c r="Z309">
        <v>0.86681595932383149</v>
      </c>
      <c r="AB309" s="3">
        <f t="shared" si="44"/>
        <v>-6.353839632996898E-4</v>
      </c>
      <c r="AC309" s="3">
        <f t="shared" si="45"/>
        <v>-6.9969210187014776E-3</v>
      </c>
      <c r="AD309" s="3">
        <f t="shared" si="46"/>
        <v>-9.0780689145521405E-3</v>
      </c>
      <c r="AE309" s="76">
        <f t="shared" si="47"/>
        <v>1419.2857142857138</v>
      </c>
      <c r="AF309" s="76">
        <f t="shared" si="48"/>
        <v>-2872.6130952380954</v>
      </c>
      <c r="AG309" s="76">
        <f t="shared" si="49"/>
        <v>-2382.1609776654004</v>
      </c>
      <c r="AO309" s="5">
        <f t="shared" si="54"/>
        <v>-1.2943372744243835E-2</v>
      </c>
      <c r="AP309" s="5">
        <f t="shared" si="50"/>
        <v>0.34054782050773269</v>
      </c>
      <c r="AR309" s="5">
        <f t="shared" si="51"/>
        <v>-1.8834738025568454E-2</v>
      </c>
      <c r="AS309" s="5">
        <f t="shared" si="52"/>
        <v>-5.6591459595892846E-2</v>
      </c>
      <c r="AT309" s="5">
        <f t="shared" si="53"/>
        <v>-0.11914115815291482</v>
      </c>
    </row>
    <row r="310" spans="12:46" x14ac:dyDescent="0.25">
      <c r="L310" s="4">
        <v>45076.5</v>
      </c>
      <c r="M310">
        <v>83.05</v>
      </c>
      <c r="N310">
        <v>83.35</v>
      </c>
      <c r="O310">
        <v>80.349999999999994</v>
      </c>
      <c r="P310">
        <v>80.38</v>
      </c>
      <c r="Q310">
        <v>28884</v>
      </c>
      <c r="R310">
        <v>262178</v>
      </c>
      <c r="S310">
        <v>24.681000000000001</v>
      </c>
      <c r="T310">
        <v>24.681000000000001</v>
      </c>
      <c r="U310">
        <v>24.681000000000001</v>
      </c>
      <c r="V310">
        <v>24.681000000000001</v>
      </c>
      <c r="W310">
        <v>0</v>
      </c>
      <c r="X310">
        <v>3.6140224069389229E-2</v>
      </c>
      <c r="Y310">
        <v>0.23159733122030879</v>
      </c>
      <c r="Z310">
        <v>1.2398491371854066</v>
      </c>
      <c r="AB310" s="3">
        <f t="shared" si="44"/>
        <v>1.3989823019296098E-3</v>
      </c>
      <c r="AC310" s="3">
        <f t="shared" si="45"/>
        <v>-4.922636429353415E-3</v>
      </c>
      <c r="AD310" s="3">
        <f t="shared" si="46"/>
        <v>-7.4844279053406029E-3</v>
      </c>
      <c r="AE310" s="76">
        <f t="shared" si="47"/>
        <v>1544.7142857142844</v>
      </c>
      <c r="AF310" s="76">
        <f t="shared" si="48"/>
        <v>-2847.9880952380954</v>
      </c>
      <c r="AG310" s="76">
        <f t="shared" si="49"/>
        <v>-2461.7791824694505</v>
      </c>
      <c r="AO310" s="5">
        <f t="shared" si="54"/>
        <v>-2.7828191167574245E-2</v>
      </c>
      <c r="AP310" s="5">
        <f t="shared" si="50"/>
        <v>0.34032576119117874</v>
      </c>
      <c r="AR310" s="5">
        <f t="shared" si="51"/>
        <v>-1.841880793830053E-2</v>
      </c>
      <c r="AS310" s="5">
        <f t="shared" si="52"/>
        <v>-5.8592865200055744E-2</v>
      </c>
      <c r="AT310" s="5">
        <f t="shared" si="53"/>
        <v>-0.1198570743712401</v>
      </c>
    </row>
    <row r="311" spans="12:46" x14ac:dyDescent="0.25">
      <c r="L311" s="4">
        <v>45075.5</v>
      </c>
      <c r="M311">
        <v>83.01</v>
      </c>
      <c r="N311">
        <v>84.46</v>
      </c>
      <c r="O311">
        <v>82.65</v>
      </c>
      <c r="P311">
        <v>83</v>
      </c>
      <c r="Q311">
        <v>4744</v>
      </c>
      <c r="R311">
        <v>259977</v>
      </c>
      <c r="S311">
        <v>25.434999999999999</v>
      </c>
      <c r="T311">
        <v>25.434999999999999</v>
      </c>
      <c r="U311">
        <v>23.79</v>
      </c>
      <c r="V311">
        <v>24.52</v>
      </c>
      <c r="W311">
        <v>0</v>
      </c>
      <c r="X311">
        <v>2.1888982948361207E-2</v>
      </c>
      <c r="Y311">
        <v>-0.79876408191641612</v>
      </c>
      <c r="Z311">
        <v>-1.9868344080688154</v>
      </c>
      <c r="AB311" s="3">
        <f t="shared" si="44"/>
        <v>1.6905776270806083E-3</v>
      </c>
      <c r="AC311" s="3">
        <f t="shared" si="45"/>
        <v>-5.0182486185095972E-3</v>
      </c>
      <c r="AD311" s="3">
        <f t="shared" si="46"/>
        <v>-7.7169112750153541E-3</v>
      </c>
      <c r="AE311" s="76">
        <f t="shared" si="47"/>
        <v>-181.66666666666606</v>
      </c>
      <c r="AF311" s="76">
        <f t="shared" si="48"/>
        <v>-4199.5595238095248</v>
      </c>
      <c r="AG311" s="76">
        <f t="shared" si="49"/>
        <v>-3753.5667930889158</v>
      </c>
      <c r="AO311" s="5">
        <f t="shared" si="54"/>
        <v>8.9111328125000486E-3</v>
      </c>
      <c r="AP311" s="5">
        <f t="shared" si="50"/>
        <v>0.33923830226995899</v>
      </c>
      <c r="AR311" s="5">
        <f t="shared" si="51"/>
        <v>-1.7990969687034952E-2</v>
      </c>
      <c r="AS311" s="5">
        <f t="shared" si="52"/>
        <v>-6.058489001015277E-2</v>
      </c>
      <c r="AT311" s="5">
        <f t="shared" si="53"/>
        <v>-0.1205724453816589</v>
      </c>
    </row>
    <row r="312" spans="12:46" x14ac:dyDescent="0.25">
      <c r="L312" s="4">
        <v>45072.5</v>
      </c>
      <c r="M312">
        <v>82.69</v>
      </c>
      <c r="N312">
        <v>83.37</v>
      </c>
      <c r="O312">
        <v>81.92</v>
      </c>
      <c r="P312">
        <v>83.13</v>
      </c>
      <c r="Q312">
        <v>18423</v>
      </c>
      <c r="R312">
        <v>260070</v>
      </c>
      <c r="S312">
        <v>25.434999999999999</v>
      </c>
      <c r="T312">
        <v>25.434999999999999</v>
      </c>
      <c r="U312">
        <v>23.79</v>
      </c>
      <c r="V312">
        <v>24.52</v>
      </c>
      <c r="W312">
        <v>100</v>
      </c>
      <c r="X312">
        <v>1.7052804892390954E-2</v>
      </c>
      <c r="Y312">
        <v>-1.1739671013358304</v>
      </c>
      <c r="Z312">
        <v>-0.16827465528118493</v>
      </c>
      <c r="AB312" s="3">
        <f t="shared" si="44"/>
        <v>1.7203296446357333E-3</v>
      </c>
      <c r="AC312" s="3">
        <f t="shared" si="45"/>
        <v>-5.1238937737721792E-3</v>
      </c>
      <c r="AD312" s="3">
        <f t="shared" si="46"/>
        <v>-7.5969608377112925E-3</v>
      </c>
      <c r="AE312" s="76">
        <f t="shared" si="47"/>
        <v>-19.761904761904589</v>
      </c>
      <c r="AF312" s="76">
        <f t="shared" si="48"/>
        <v>-3882.1309523809505</v>
      </c>
      <c r="AG312" s="76">
        <f t="shared" si="49"/>
        <v>-3370.8209018120506</v>
      </c>
      <c r="AO312" s="5">
        <f t="shared" si="54"/>
        <v>-8.5925208761950117E-3</v>
      </c>
      <c r="AP312" s="5">
        <f t="shared" si="50"/>
        <v>0.33915800976087584</v>
      </c>
      <c r="AR312" s="5">
        <f t="shared" si="51"/>
        <v>-1.7519068449046049E-2</v>
      </c>
      <c r="AS312" s="5">
        <f t="shared" si="52"/>
        <v>-6.2530656696421882E-2</v>
      </c>
      <c r="AT312" s="5">
        <f t="shared" si="53"/>
        <v>-0.12124038547643412</v>
      </c>
    </row>
    <row r="313" spans="12:46" x14ac:dyDescent="0.25">
      <c r="L313" s="4">
        <v>45071.5</v>
      </c>
      <c r="M313">
        <v>85.03</v>
      </c>
      <c r="N313">
        <v>85.15</v>
      </c>
      <c r="O313">
        <v>82.63</v>
      </c>
      <c r="P313">
        <v>82.63</v>
      </c>
      <c r="Q313">
        <v>25144</v>
      </c>
      <c r="R313">
        <v>258395</v>
      </c>
      <c r="S313">
        <v>26.9</v>
      </c>
      <c r="T313">
        <v>26.9</v>
      </c>
      <c r="U313">
        <v>25.29</v>
      </c>
      <c r="V313">
        <v>25.452000000000002</v>
      </c>
      <c r="W313">
        <v>43</v>
      </c>
      <c r="X313">
        <v>2.9367206619275263E-2</v>
      </c>
      <c r="Y313">
        <v>-0.28696836517235358</v>
      </c>
      <c r="Z313">
        <v>0.77303400704198189</v>
      </c>
      <c r="AB313" s="3">
        <f t="shared" si="44"/>
        <v>2.6807866846850735E-3</v>
      </c>
      <c r="AC313" s="3">
        <f t="shared" si="45"/>
        <v>-4.6221760582225366E-3</v>
      </c>
      <c r="AD313" s="3">
        <f t="shared" si="46"/>
        <v>-7.2148444427871106E-3</v>
      </c>
      <c r="AE313" s="76">
        <f t="shared" si="47"/>
        <v>-301.28571428571377</v>
      </c>
      <c r="AF313" s="76">
        <f t="shared" si="48"/>
        <v>-3638.9702380952403</v>
      </c>
      <c r="AG313" s="76">
        <f t="shared" si="49"/>
        <v>-3182.2949852507372</v>
      </c>
      <c r="AO313" s="5">
        <f t="shared" si="54"/>
        <v>-2.2708456534594936E-2</v>
      </c>
      <c r="AP313" s="5">
        <f t="shared" si="50"/>
        <v>0.34021974418227074</v>
      </c>
      <c r="AR313" s="5">
        <f t="shared" si="51"/>
        <v>-1.696451656826059E-2</v>
      </c>
      <c r="AS313" s="5">
        <f t="shared" si="52"/>
        <v>-6.4403049866789241E-2</v>
      </c>
      <c r="AT313" s="5">
        <f t="shared" si="53"/>
        <v>-0.1218401050897559</v>
      </c>
    </row>
    <row r="314" spans="12:46" x14ac:dyDescent="0.25">
      <c r="L314" s="4">
        <v>45070.5</v>
      </c>
      <c r="M314">
        <v>85.81</v>
      </c>
      <c r="N314">
        <v>86.26</v>
      </c>
      <c r="O314">
        <v>84.55</v>
      </c>
      <c r="P314">
        <v>84.79</v>
      </c>
      <c r="Q314">
        <v>16907</v>
      </c>
      <c r="R314">
        <v>256489</v>
      </c>
      <c r="S314">
        <v>28.63</v>
      </c>
      <c r="T314">
        <v>28.63</v>
      </c>
      <c r="U314">
        <v>27.785</v>
      </c>
      <c r="V314">
        <v>27.785</v>
      </c>
      <c r="W314">
        <v>51</v>
      </c>
      <c r="X314">
        <v>1.9565217391304436E-2</v>
      </c>
      <c r="Y314">
        <v>-1.0076862031177967</v>
      </c>
      <c r="Z314">
        <v>-0.36019008264933383</v>
      </c>
      <c r="AB314" s="3">
        <f t="shared" si="44"/>
        <v>1.6105251578984112E-3</v>
      </c>
      <c r="AC314" s="3">
        <f t="shared" si="45"/>
        <v>-5.2582396827640862E-3</v>
      </c>
      <c r="AD314" s="3">
        <f t="shared" si="46"/>
        <v>-7.679385160634683E-3</v>
      </c>
      <c r="AE314" s="76">
        <f t="shared" si="47"/>
        <v>-594.8571428571413</v>
      </c>
      <c r="AF314" s="76">
        <f t="shared" si="48"/>
        <v>-3635.9821428571413</v>
      </c>
      <c r="AG314" s="76">
        <f t="shared" si="49"/>
        <v>-3218.0290771175714</v>
      </c>
      <c r="AO314" s="5">
        <f t="shared" si="54"/>
        <v>-9.3731693028705002E-3</v>
      </c>
      <c r="AP314" s="5">
        <f t="shared" si="50"/>
        <v>0.3395966863811285</v>
      </c>
      <c r="AR314" s="5">
        <f t="shared" si="51"/>
        <v>-1.6530463874385948E-2</v>
      </c>
      <c r="AS314" s="5">
        <f t="shared" si="52"/>
        <v>-6.6356780381046032E-2</v>
      </c>
      <c r="AT314" s="5">
        <f t="shared" si="53"/>
        <v>-0.12247752224050262</v>
      </c>
    </row>
    <row r="315" spans="12:46" x14ac:dyDescent="0.25">
      <c r="L315" s="4">
        <v>45069.5</v>
      </c>
      <c r="M315">
        <v>87.4</v>
      </c>
      <c r="N315">
        <v>87.76</v>
      </c>
      <c r="O315">
        <v>85.35</v>
      </c>
      <c r="P315">
        <v>85.8</v>
      </c>
      <c r="Q315">
        <v>17450</v>
      </c>
      <c r="R315">
        <v>255496</v>
      </c>
      <c r="S315">
        <v>29.126999999999999</v>
      </c>
      <c r="T315">
        <v>29.126999999999999</v>
      </c>
      <c r="U315">
        <v>29.126999999999999</v>
      </c>
      <c r="V315">
        <v>29.126999999999999</v>
      </c>
      <c r="W315">
        <v>40</v>
      </c>
      <c r="X315">
        <v>2.6798621149783281E-2</v>
      </c>
      <c r="Y315">
        <v>-0.50090300366962037</v>
      </c>
      <c r="Z315">
        <v>-0.29639282315275683</v>
      </c>
      <c r="AB315" s="3">
        <f t="shared" si="44"/>
        <v>1.9418655545801258E-3</v>
      </c>
      <c r="AC315" s="3">
        <f t="shared" si="45"/>
        <v>-5.4878751700936299E-3</v>
      </c>
      <c r="AD315" s="3">
        <f t="shared" si="46"/>
        <v>-7.4374382287039978E-3</v>
      </c>
      <c r="AE315" s="76">
        <f t="shared" si="47"/>
        <v>-285</v>
      </c>
      <c r="AF315" s="76">
        <f t="shared" si="48"/>
        <v>-3146.2023809523816</v>
      </c>
      <c r="AG315" s="76">
        <f t="shared" si="49"/>
        <v>-2762.9941002949854</v>
      </c>
      <c r="AO315" s="5">
        <f t="shared" si="54"/>
        <v>-1.6365103146248724E-2</v>
      </c>
      <c r="AP315" s="5">
        <f t="shared" si="50"/>
        <v>0.34142223879600497</v>
      </c>
      <c r="AR315" s="5">
        <f t="shared" si="51"/>
        <v>-1.5953207636277389E-2</v>
      </c>
      <c r="AS315" s="5">
        <f t="shared" si="52"/>
        <v>-6.8171523103404685E-2</v>
      </c>
      <c r="AT315" s="5">
        <f t="shared" si="53"/>
        <v>-0.12300010384413351</v>
      </c>
    </row>
    <row r="316" spans="12:46" x14ac:dyDescent="0.25">
      <c r="L316" s="4">
        <v>45068.5</v>
      </c>
      <c r="M316">
        <v>89.93</v>
      </c>
      <c r="N316">
        <v>89.93</v>
      </c>
      <c r="O316">
        <v>86.77</v>
      </c>
      <c r="P316">
        <v>87.25</v>
      </c>
      <c r="Q316">
        <v>17605</v>
      </c>
      <c r="R316">
        <v>254943</v>
      </c>
      <c r="S316">
        <v>30.2</v>
      </c>
      <c r="T316">
        <v>30.2</v>
      </c>
      <c r="U316">
        <v>29.710999999999999</v>
      </c>
      <c r="V316">
        <v>29.710999999999999</v>
      </c>
      <c r="W316">
        <v>171</v>
      </c>
      <c r="X316">
        <v>3.5244256078518971E-2</v>
      </c>
      <c r="Y316">
        <v>0.1023446066269345</v>
      </c>
      <c r="Z316">
        <v>-0.27733129639923831</v>
      </c>
      <c r="AB316" s="3">
        <f t="shared" si="44"/>
        <v>-6.8580574607322517E-4</v>
      </c>
      <c r="AC316" s="3">
        <f t="shared" si="45"/>
        <v>-5.5446185617528398E-3</v>
      </c>
      <c r="AD316" s="3">
        <f t="shared" si="46"/>
        <v>-7.6644009256448542E-3</v>
      </c>
      <c r="AE316" s="76">
        <f t="shared" si="47"/>
        <v>-691.42857142857247</v>
      </c>
      <c r="AF316" s="76">
        <f t="shared" si="48"/>
        <v>-2958.5892857142862</v>
      </c>
      <c r="AG316" s="76">
        <f t="shared" si="49"/>
        <v>-2717.0189633375485</v>
      </c>
      <c r="AO316" s="5">
        <f t="shared" si="54"/>
        <v>-2.8657785738273843E-2</v>
      </c>
      <c r="AP316" s="5">
        <f t="shared" si="50"/>
        <v>0.34106230969085555</v>
      </c>
      <c r="AR316" s="5">
        <f t="shared" si="51"/>
        <v>-1.5483089567642327E-2</v>
      </c>
      <c r="AS316" s="5">
        <f t="shared" si="52"/>
        <v>-7.0073340771242221E-2</v>
      </c>
      <c r="AT316" s="5">
        <f t="shared" si="53"/>
        <v>-0.12361769567692882</v>
      </c>
    </row>
    <row r="317" spans="12:46" x14ac:dyDescent="0.25">
      <c r="L317" s="4">
        <v>45065.5</v>
      </c>
      <c r="M317">
        <v>89.66</v>
      </c>
      <c r="N317">
        <v>91.25</v>
      </c>
      <c r="O317">
        <v>89.33</v>
      </c>
      <c r="P317">
        <v>89.43</v>
      </c>
      <c r="Q317">
        <v>14253</v>
      </c>
      <c r="R317">
        <v>253073</v>
      </c>
      <c r="S317">
        <v>30.175999999999998</v>
      </c>
      <c r="T317">
        <v>30.175999999999998</v>
      </c>
      <c r="U317">
        <v>30.175999999999998</v>
      </c>
      <c r="V317">
        <v>30.175999999999998</v>
      </c>
      <c r="W317">
        <v>0</v>
      </c>
      <c r="X317">
        <v>2.169736693411687E-2</v>
      </c>
      <c r="Y317">
        <v>-0.9037699497586269</v>
      </c>
      <c r="Z317">
        <v>-0.74349720685787035</v>
      </c>
      <c r="AB317" s="3">
        <f t="shared" si="44"/>
        <v>-1.1775003162719788E-3</v>
      </c>
      <c r="AC317" s="3">
        <f t="shared" si="45"/>
        <v>-6.0552805622985373E-3</v>
      </c>
      <c r="AD317" s="3">
        <f t="shared" si="46"/>
        <v>-7.8203197642125327E-3</v>
      </c>
      <c r="AE317" s="76">
        <f t="shared" si="47"/>
        <v>-879.19047619047706</v>
      </c>
      <c r="AF317" s="76">
        <f t="shared" si="48"/>
        <v>-3010.3333333333358</v>
      </c>
      <c r="AG317" s="76">
        <f t="shared" si="49"/>
        <v>-2658.0046354825135</v>
      </c>
      <c r="AO317" s="5">
        <f t="shared" si="54"/>
        <v>1.6037306642402143E-2</v>
      </c>
      <c r="AP317" s="5">
        <f t="shared" si="50"/>
        <v>0.34112866849800205</v>
      </c>
      <c r="AR317" s="5">
        <f t="shared" si="51"/>
        <v>-1.4781801510881321E-2</v>
      </c>
      <c r="AS317" s="5">
        <f t="shared" si="52"/>
        <v>-7.184553124335824E-2</v>
      </c>
      <c r="AT317" s="5">
        <f t="shared" si="53"/>
        <v>-0.12412010348923064</v>
      </c>
    </row>
    <row r="318" spans="12:46" x14ac:dyDescent="0.25">
      <c r="L318" s="4">
        <v>45064.5</v>
      </c>
      <c r="M318">
        <v>88.49</v>
      </c>
      <c r="N318">
        <v>90.21</v>
      </c>
      <c r="O318">
        <v>87.92</v>
      </c>
      <c r="P318">
        <v>89.65</v>
      </c>
      <c r="Q318">
        <v>11214</v>
      </c>
      <c r="R318">
        <v>254562</v>
      </c>
      <c r="S318">
        <v>29.984999999999999</v>
      </c>
      <c r="T318">
        <v>29.984999999999999</v>
      </c>
      <c r="U318">
        <v>29.785</v>
      </c>
      <c r="V318">
        <v>29.785</v>
      </c>
      <c r="W318">
        <v>94</v>
      </c>
      <c r="X318">
        <v>2.5747695075331596E-2</v>
      </c>
      <c r="Y318">
        <v>-0.61950645712542385</v>
      </c>
      <c r="Z318">
        <v>-1.1895762326323576</v>
      </c>
      <c r="AB318" s="3">
        <f t="shared" si="44"/>
        <v>-5.9471395889545281E-5</v>
      </c>
      <c r="AC318" s="3">
        <f t="shared" si="45"/>
        <v>-5.6747237823091823E-3</v>
      </c>
      <c r="AD318" s="3">
        <f t="shared" si="46"/>
        <v>-6.8964869141290158E-3</v>
      </c>
      <c r="AE318" s="76">
        <f t="shared" si="47"/>
        <v>-256.47619047618718</v>
      </c>
      <c r="AF318" s="76">
        <f t="shared" si="48"/>
        <v>-2760.2797619047597</v>
      </c>
      <c r="AG318" s="76">
        <f t="shared" si="49"/>
        <v>-2233.8314369995751</v>
      </c>
      <c r="AO318" s="5">
        <f t="shared" si="54"/>
        <v>4.2261564820103318E-3</v>
      </c>
      <c r="AP318" s="5">
        <f t="shared" si="50"/>
        <v>0.34078990034928092</v>
      </c>
      <c r="AR318" s="5">
        <f t="shared" si="51"/>
        <v>-1.412825493219716E-2</v>
      </c>
      <c r="AS318" s="5">
        <f t="shared" si="52"/>
        <v>-7.3682320132526624E-2</v>
      </c>
      <c r="AT318" s="5">
        <f t="shared" si="53"/>
        <v>-0.12467010732790151</v>
      </c>
    </row>
    <row r="319" spans="12:46" x14ac:dyDescent="0.25">
      <c r="L319" s="4">
        <v>45063.5</v>
      </c>
      <c r="M319">
        <v>88.94</v>
      </c>
      <c r="N319">
        <v>89.75</v>
      </c>
      <c r="O319">
        <v>87.55</v>
      </c>
      <c r="P319">
        <v>88.04</v>
      </c>
      <c r="Q319">
        <v>13624</v>
      </c>
      <c r="R319">
        <v>254597</v>
      </c>
      <c r="S319">
        <v>32.6</v>
      </c>
      <c r="T319">
        <v>32.6</v>
      </c>
      <c r="U319">
        <v>31.952999999999999</v>
      </c>
      <c r="V319">
        <v>31.952999999999999</v>
      </c>
      <c r="W319">
        <v>153</v>
      </c>
      <c r="X319">
        <v>2.5287356321839115E-2</v>
      </c>
      <c r="Y319">
        <v>-0.67430772660761629</v>
      </c>
      <c r="Z319">
        <v>-0.8828382321120295</v>
      </c>
      <c r="AB319" s="3">
        <f t="shared" si="44"/>
        <v>-1.0292063494221557E-3</v>
      </c>
      <c r="AC319" s="3">
        <f t="shared" si="45"/>
        <v>-6.243580581222187E-3</v>
      </c>
      <c r="AD319" s="3">
        <f t="shared" si="46"/>
        <v>-7.1578044300197249E-3</v>
      </c>
      <c r="AE319" s="76">
        <f t="shared" si="47"/>
        <v>-357.23809523809541</v>
      </c>
      <c r="AF319" s="76">
        <f t="shared" si="48"/>
        <v>-2654.0476190476184</v>
      </c>
      <c r="AG319" s="76">
        <f t="shared" si="49"/>
        <v>-1975.4875684787185</v>
      </c>
      <c r="AO319" s="5">
        <f t="shared" si="54"/>
        <v>1.0270020770828532E-2</v>
      </c>
      <c r="AP319" s="5">
        <f t="shared" si="50"/>
        <v>0.34223353947941282</v>
      </c>
      <c r="AR319" s="5">
        <f t="shared" si="51"/>
        <v>-1.3023733602001208E-2</v>
      </c>
      <c r="AS319" s="5">
        <f t="shared" si="52"/>
        <v>-7.5140759110648658E-2</v>
      </c>
      <c r="AT319" s="5">
        <f t="shared" si="53"/>
        <v>-0.12489751371629021</v>
      </c>
    </row>
    <row r="320" spans="12:46" x14ac:dyDescent="0.25">
      <c r="L320" s="4">
        <v>45062.5</v>
      </c>
      <c r="M320">
        <v>87</v>
      </c>
      <c r="N320">
        <v>89.23</v>
      </c>
      <c r="O320">
        <v>86.66</v>
      </c>
      <c r="P320">
        <v>88.93</v>
      </c>
      <c r="Q320">
        <v>16241</v>
      </c>
      <c r="R320">
        <v>256205</v>
      </c>
      <c r="S320">
        <v>32.35</v>
      </c>
      <c r="T320">
        <v>32.93</v>
      </c>
      <c r="U320">
        <v>31.635000000000002</v>
      </c>
      <c r="V320">
        <v>31.821000000000002</v>
      </c>
      <c r="W320">
        <v>443</v>
      </c>
      <c r="X320">
        <v>2.9039548022598952E-2</v>
      </c>
      <c r="Y320">
        <v>-0.4215554555421509</v>
      </c>
      <c r="Z320">
        <v>-0.53046090357237519</v>
      </c>
      <c r="AB320" s="3">
        <f t="shared" si="44"/>
        <v>-1.3309723781613839E-3</v>
      </c>
      <c r="AC320" s="3">
        <f t="shared" si="45"/>
        <v>-5.7363762588466816E-3</v>
      </c>
      <c r="AD320" s="3">
        <f t="shared" si="46"/>
        <v>-6.8441692284417766E-3</v>
      </c>
      <c r="AE320" s="76">
        <f t="shared" si="47"/>
        <v>-529.90476190476329</v>
      </c>
      <c r="AF320" s="76">
        <f t="shared" si="48"/>
        <v>-2474.5654761904771</v>
      </c>
      <c r="AG320" s="76">
        <f t="shared" si="49"/>
        <v>-1851.6620311841543</v>
      </c>
      <c r="AO320" s="5">
        <f t="shared" si="54"/>
        <v>6.1534889121096156E-3</v>
      </c>
      <c r="AP320" s="5">
        <f t="shared" si="50"/>
        <v>0.35033911985194388</v>
      </c>
      <c r="AR320" s="5">
        <f t="shared" si="51"/>
        <v>-1.1974540537628198E-2</v>
      </c>
      <c r="AS320" s="5">
        <f t="shared" si="52"/>
        <v>-7.6697334853643662E-2</v>
      </c>
      <c r="AT320" s="5">
        <f t="shared" si="53"/>
        <v>-0.12521274486838546</v>
      </c>
    </row>
    <row r="321" spans="12:46" x14ac:dyDescent="0.25">
      <c r="L321" s="4">
        <v>45061.5</v>
      </c>
      <c r="M321">
        <v>88.5</v>
      </c>
      <c r="N321">
        <v>89.19</v>
      </c>
      <c r="O321">
        <v>86.13</v>
      </c>
      <c r="P321">
        <v>87.14</v>
      </c>
      <c r="Q321">
        <v>18904</v>
      </c>
      <c r="R321">
        <v>255691</v>
      </c>
      <c r="S321">
        <v>32.305</v>
      </c>
      <c r="T321">
        <v>33.6</v>
      </c>
      <c r="U321">
        <v>32</v>
      </c>
      <c r="V321">
        <v>32.314</v>
      </c>
      <c r="W321">
        <v>278</v>
      </c>
      <c r="X321">
        <v>3.4560650553422202E-2</v>
      </c>
      <c r="Y321">
        <v>-2.5897017978672481E-2</v>
      </c>
      <c r="Z321">
        <v>-0.1464516010440966</v>
      </c>
      <c r="AB321" s="3">
        <f t="shared" si="44"/>
        <v>-2.1806769997197578E-3</v>
      </c>
      <c r="AC321" s="3">
        <f t="shared" si="45"/>
        <v>-5.7584948175345846E-3</v>
      </c>
      <c r="AD321" s="3">
        <f t="shared" si="46"/>
        <v>-7.1712334636091016E-3</v>
      </c>
      <c r="AE321" s="76">
        <f t="shared" si="47"/>
        <v>-1305.4761904761908</v>
      </c>
      <c r="AF321" s="76">
        <f t="shared" si="48"/>
        <v>-2771.2142857142862</v>
      </c>
      <c r="AG321" s="76">
        <f t="shared" si="49"/>
        <v>-2214.7218710493034</v>
      </c>
      <c r="AO321" s="5">
        <f t="shared" si="54"/>
        <v>-2.2804628999319322E-2</v>
      </c>
      <c r="AP321" s="5">
        <f t="shared" si="50"/>
        <v>0.35098818853043962</v>
      </c>
      <c r="AR321" s="5">
        <f t="shared" si="51"/>
        <v>-1.1214313759928096E-2</v>
      </c>
      <c r="AS321" s="5">
        <f t="shared" si="52"/>
        <v>-7.8576759327529944E-2</v>
      </c>
      <c r="AT321" s="5">
        <f t="shared" si="53"/>
        <v>-0.12586441009740751</v>
      </c>
    </row>
    <row r="322" spans="12:46" x14ac:dyDescent="0.25">
      <c r="L322" s="4">
        <v>45058.5</v>
      </c>
      <c r="M322">
        <v>88.54</v>
      </c>
      <c r="N322">
        <v>89.75</v>
      </c>
      <c r="O322">
        <v>88.14</v>
      </c>
      <c r="P322">
        <v>88.93</v>
      </c>
      <c r="Q322">
        <v>10957</v>
      </c>
      <c r="R322">
        <v>255914</v>
      </c>
      <c r="S322">
        <v>33.950000000000003</v>
      </c>
      <c r="T322">
        <v>33.950000000000003</v>
      </c>
      <c r="U322">
        <v>32.35</v>
      </c>
      <c r="V322">
        <v>32.767000000000003</v>
      </c>
      <c r="W322">
        <v>429</v>
      </c>
      <c r="X322">
        <v>1.8045281327056708E-2</v>
      </c>
      <c r="Y322">
        <v>-1.2274839441675784</v>
      </c>
      <c r="Z322">
        <v>-1.2624233686879631</v>
      </c>
      <c r="AB322" s="3">
        <f t="shared" si="44"/>
        <v>-4.8350261029852896E-3</v>
      </c>
      <c r="AC322" s="3">
        <f t="shared" si="45"/>
        <v>-7.3644178201710299E-3</v>
      </c>
      <c r="AD322" s="3">
        <f t="shared" si="46"/>
        <v>-7.989287108176122E-3</v>
      </c>
      <c r="AE322" s="76">
        <f t="shared" si="47"/>
        <v>-2439.1904761904734</v>
      </c>
      <c r="AF322" s="76">
        <f t="shared" si="48"/>
        <v>-3231.3630952380954</v>
      </c>
      <c r="AG322" s="76">
        <f t="shared" si="49"/>
        <v>-2533.5111672987769</v>
      </c>
      <c r="AO322" s="5">
        <f t="shared" si="54"/>
        <v>5.3610128892437421E-3</v>
      </c>
      <c r="AP322" s="5">
        <f t="shared" si="50"/>
        <v>0.35025248466533387</v>
      </c>
      <c r="AR322" s="5">
        <f t="shared" si="51"/>
        <v>-1.0541741317408648E-2</v>
      </c>
      <c r="AS322" s="5">
        <f t="shared" si="52"/>
        <v>-8.0451412224579355E-2</v>
      </c>
      <c r="AT322" s="5">
        <f t="shared" si="53"/>
        <v>-0.1265437913094401</v>
      </c>
    </row>
    <row r="323" spans="12:46" x14ac:dyDescent="0.25">
      <c r="L323" s="4">
        <v>45057.5</v>
      </c>
      <c r="M323">
        <v>89.22</v>
      </c>
      <c r="N323">
        <v>90.12</v>
      </c>
      <c r="O323">
        <v>87.67</v>
      </c>
      <c r="P323">
        <v>88.57</v>
      </c>
      <c r="Q323">
        <v>18111</v>
      </c>
      <c r="R323">
        <v>255709</v>
      </c>
      <c r="S323">
        <v>34.9</v>
      </c>
      <c r="T323">
        <v>35.159999999999997</v>
      </c>
      <c r="U323">
        <v>34.67</v>
      </c>
      <c r="V323">
        <v>34.993000000000002</v>
      </c>
      <c r="W323">
        <v>426</v>
      </c>
      <c r="X323">
        <v>2.7939331736800126E-2</v>
      </c>
      <c r="Y323">
        <v>-0.52167614800993189</v>
      </c>
      <c r="Z323">
        <v>-0.27115668344277977</v>
      </c>
      <c r="AB323" s="3">
        <f t="shared" si="44"/>
        <v>-5.5952703739903589E-3</v>
      </c>
      <c r="AC323" s="3">
        <f t="shared" si="45"/>
        <v>-6.7820599454578995E-3</v>
      </c>
      <c r="AD323" s="3">
        <f t="shared" si="46"/>
        <v>-7.1865286261313874E-3</v>
      </c>
      <c r="AE323" s="76">
        <f t="shared" si="47"/>
        <v>-3090.0476190476184</v>
      </c>
      <c r="AF323" s="76">
        <f t="shared" si="48"/>
        <v>-2897.0297619047633</v>
      </c>
      <c r="AG323" s="76">
        <f t="shared" si="49"/>
        <v>-2178.1247366203133</v>
      </c>
      <c r="AO323" s="5">
        <f t="shared" si="54"/>
        <v>5.3899082568807204E-3</v>
      </c>
      <c r="AP323" s="5">
        <f t="shared" si="50"/>
        <v>0.35035511375259981</v>
      </c>
      <c r="AR323" s="5">
        <f t="shared" si="51"/>
        <v>-9.7825985702740259E-3</v>
      </c>
      <c r="AS323" s="5">
        <f t="shared" si="52"/>
        <v>-8.2271816617806581E-2</v>
      </c>
      <c r="AT323" s="5">
        <f t="shared" si="53"/>
        <v>-0.12718806737555666</v>
      </c>
    </row>
    <row r="324" spans="12:46" x14ac:dyDescent="0.25">
      <c r="L324" s="4">
        <v>45056.5</v>
      </c>
      <c r="M324">
        <v>87.69</v>
      </c>
      <c r="N324">
        <v>89.75</v>
      </c>
      <c r="O324">
        <v>87.2</v>
      </c>
      <c r="P324">
        <v>89.06</v>
      </c>
      <c r="Q324">
        <v>19778</v>
      </c>
      <c r="R324">
        <v>256586</v>
      </c>
      <c r="S324">
        <v>35.700000000000003</v>
      </c>
      <c r="T324">
        <v>36</v>
      </c>
      <c r="U324">
        <v>34.74</v>
      </c>
      <c r="V324">
        <v>34.993000000000002</v>
      </c>
      <c r="W324">
        <v>213</v>
      </c>
      <c r="X324">
        <v>2.9842012873025126E-2</v>
      </c>
      <c r="Y324">
        <v>-0.38829916970979145</v>
      </c>
      <c r="Z324">
        <v>-3.0446359880775944E-2</v>
      </c>
      <c r="AB324" s="3">
        <f t="shared" si="44"/>
        <v>-5.9742173277646665E-3</v>
      </c>
      <c r="AC324" s="3">
        <f t="shared" si="45"/>
        <v>-6.691684678444082E-3</v>
      </c>
      <c r="AD324" s="3">
        <f t="shared" si="46"/>
        <v>-7.0688593457247581E-3</v>
      </c>
      <c r="AE324" s="76">
        <f t="shared" si="47"/>
        <v>-3328.9047619047633</v>
      </c>
      <c r="AF324" s="76">
        <f t="shared" si="48"/>
        <v>-2816.3035714285725</v>
      </c>
      <c r="AG324" s="76">
        <f t="shared" si="49"/>
        <v>-2052.4222503160563</v>
      </c>
      <c r="AO324" s="5">
        <f t="shared" si="54"/>
        <v>2.3474178403755867E-2</v>
      </c>
      <c r="AP324" s="5">
        <f t="shared" si="50"/>
        <v>0.35501566817121832</v>
      </c>
      <c r="AR324" s="5">
        <f t="shared" si="51"/>
        <v>-8.9999523949090832E-3</v>
      </c>
      <c r="AS324" s="5">
        <f t="shared" si="52"/>
        <v>-8.4159180934383349E-2</v>
      </c>
      <c r="AT324" s="5">
        <f t="shared" si="53"/>
        <v>-0.12787269432258364</v>
      </c>
    </row>
    <row r="325" spans="12:46" x14ac:dyDescent="0.25">
      <c r="L325" s="4">
        <v>45055.5</v>
      </c>
      <c r="M325">
        <v>85.45</v>
      </c>
      <c r="N325">
        <v>87.75</v>
      </c>
      <c r="O325">
        <v>85.2</v>
      </c>
      <c r="P325">
        <v>87.51</v>
      </c>
      <c r="Q325">
        <v>17934</v>
      </c>
      <c r="R325">
        <v>257311</v>
      </c>
      <c r="S325">
        <v>36.625</v>
      </c>
      <c r="T325">
        <v>36.909999999999997</v>
      </c>
      <c r="U325">
        <v>35.799999999999997</v>
      </c>
      <c r="V325">
        <v>35.950000000000003</v>
      </c>
      <c r="W325">
        <v>262</v>
      </c>
      <c r="X325">
        <v>2.9999999999999968E-2</v>
      </c>
      <c r="Y325">
        <v>-0.37920414204204617</v>
      </c>
      <c r="Z325">
        <v>-0.29338452179821611</v>
      </c>
      <c r="AB325" s="3">
        <f t="shared" si="44"/>
        <v>-8.05740983020517E-3</v>
      </c>
      <c r="AC325" s="3">
        <f t="shared" si="45"/>
        <v>-7.3722461627970179E-3</v>
      </c>
      <c r="AD325" s="3">
        <f t="shared" si="46"/>
        <v>-7.7794020045105702E-3</v>
      </c>
      <c r="AE325" s="76">
        <f t="shared" si="47"/>
        <v>-4618.6190476190459</v>
      </c>
      <c r="AF325" s="76">
        <f t="shared" si="48"/>
        <v>-3218.3333333333321</v>
      </c>
      <c r="AG325" s="76">
        <f t="shared" si="49"/>
        <v>-2435.7227138643066</v>
      </c>
      <c r="AO325" s="5">
        <f t="shared" si="54"/>
        <v>8.2840236686390865E-3</v>
      </c>
      <c r="AP325" s="5">
        <f t="shared" si="50"/>
        <v>0.35708425806430449</v>
      </c>
      <c r="AR325" s="5">
        <f t="shared" si="51"/>
        <v>-8.4300846812746522E-3</v>
      </c>
      <c r="AS325" s="5">
        <f t="shared" si="52"/>
        <v>-8.6283478876601649E-2</v>
      </c>
      <c r="AT325" s="5">
        <f t="shared" si="53"/>
        <v>-0.12880172981556071</v>
      </c>
    </row>
    <row r="326" spans="12:46" x14ac:dyDescent="0.25">
      <c r="L326" s="4">
        <v>45054.5</v>
      </c>
      <c r="M326">
        <v>85</v>
      </c>
      <c r="N326">
        <v>85.99</v>
      </c>
      <c r="O326">
        <v>84.5</v>
      </c>
      <c r="P326">
        <v>85.59</v>
      </c>
      <c r="Q326">
        <v>8809</v>
      </c>
      <c r="R326">
        <v>256698</v>
      </c>
      <c r="S326">
        <v>36.85</v>
      </c>
      <c r="T326">
        <v>37.25</v>
      </c>
      <c r="U326">
        <v>36.85</v>
      </c>
      <c r="V326">
        <v>36.874000000000002</v>
      </c>
      <c r="W326">
        <v>33</v>
      </c>
      <c r="X326">
        <v>1.7599811008740786E-2</v>
      </c>
      <c r="Y326">
        <v>-1.3082224261428903</v>
      </c>
      <c r="Z326">
        <v>-1.6080378419657966</v>
      </c>
      <c r="AB326" s="3">
        <f t="shared" si="44"/>
        <v>-8.5296819929461219E-3</v>
      </c>
      <c r="AC326" s="3">
        <f t="shared" si="45"/>
        <v>-7.8515714557275303E-3</v>
      </c>
      <c r="AD326" s="3">
        <f t="shared" si="46"/>
        <v>-8.3198743296187504E-3</v>
      </c>
      <c r="AE326" s="76">
        <f t="shared" si="47"/>
        <v>-6465.8571428571413</v>
      </c>
      <c r="AF326" s="76">
        <f t="shared" si="48"/>
        <v>-4351.8333333333321</v>
      </c>
      <c r="AG326" s="76">
        <f t="shared" si="49"/>
        <v>-3412.7846607669599</v>
      </c>
      <c r="AO326" s="5">
        <f t="shared" si="54"/>
        <v>2.3724792408066769E-3</v>
      </c>
      <c r="AP326" s="5">
        <f t="shared" si="50"/>
        <v>0.35710780289609806</v>
      </c>
      <c r="AR326" s="5">
        <f t="shared" si="51"/>
        <v>-7.9308656472781847E-3</v>
      </c>
      <c r="AS326" s="5">
        <f t="shared" si="52"/>
        <v>-8.8502201168948635E-2</v>
      </c>
      <c r="AT326" s="5">
        <f t="shared" si="53"/>
        <v>-0.12982489235159955</v>
      </c>
    </row>
    <row r="327" spans="12:46" x14ac:dyDescent="0.25">
      <c r="L327" s="4">
        <v>45051.5</v>
      </c>
      <c r="M327">
        <v>84.66</v>
      </c>
      <c r="N327">
        <v>86.9</v>
      </c>
      <c r="O327">
        <v>84.3</v>
      </c>
      <c r="P327">
        <v>84.96</v>
      </c>
      <c r="Q327">
        <v>13937</v>
      </c>
      <c r="R327">
        <v>256889</v>
      </c>
      <c r="S327">
        <v>35.924999999999997</v>
      </c>
      <c r="T327">
        <v>36.79</v>
      </c>
      <c r="U327">
        <v>35.924999999999997</v>
      </c>
      <c r="V327">
        <v>36.573999999999998</v>
      </c>
      <c r="W327">
        <v>337</v>
      </c>
      <c r="X327">
        <v>3.0480656506447931E-2</v>
      </c>
      <c r="Y327">
        <v>-0.39134853290758798</v>
      </c>
      <c r="Z327">
        <v>-0.91026003788965071</v>
      </c>
      <c r="AB327" s="3">
        <f t="shared" si="44"/>
        <v>-9.0463033705590334E-3</v>
      </c>
      <c r="AC327" s="3">
        <f t="shared" si="45"/>
        <v>-7.8531189058647782E-3</v>
      </c>
      <c r="AD327" s="3">
        <f t="shared" si="46"/>
        <v>-8.5347843866913214E-3</v>
      </c>
      <c r="AE327" s="76">
        <f t="shared" si="47"/>
        <v>-8047.5714285714275</v>
      </c>
      <c r="AF327" s="76">
        <f t="shared" si="48"/>
        <v>-5136.4702380952367</v>
      </c>
      <c r="AG327" s="76">
        <f t="shared" si="49"/>
        <v>-4009.2697008006726</v>
      </c>
      <c r="AO327" s="5">
        <f t="shared" si="54"/>
        <v>1.2612612612612579E-2</v>
      </c>
      <c r="AP327" s="5">
        <f t="shared" si="50"/>
        <v>0.35772325568865171</v>
      </c>
      <c r="AR327" s="5">
        <f t="shared" si="51"/>
        <v>-7.5488163892503124E-3</v>
      </c>
      <c r="AS327" s="5">
        <f t="shared" si="52"/>
        <v>-9.0683661647158131E-2</v>
      </c>
      <c r="AT327" s="5">
        <f t="shared" si="53"/>
        <v>-0.13081062407724475</v>
      </c>
    </row>
    <row r="328" spans="12:46" x14ac:dyDescent="0.25">
      <c r="L328" s="4">
        <v>45050.5</v>
      </c>
      <c r="M328">
        <v>85.3</v>
      </c>
      <c r="N328">
        <v>85.71</v>
      </c>
      <c r="O328">
        <v>83.25</v>
      </c>
      <c r="P328">
        <v>84.5</v>
      </c>
      <c r="Q328">
        <v>19952</v>
      </c>
      <c r="R328">
        <v>257443</v>
      </c>
      <c r="S328">
        <v>36.950000000000003</v>
      </c>
      <c r="T328">
        <v>36.950000000000003</v>
      </c>
      <c r="U328">
        <v>35.652999999999999</v>
      </c>
      <c r="V328">
        <v>35.652999999999999</v>
      </c>
      <c r="W328">
        <v>452</v>
      </c>
      <c r="X328">
        <v>2.7640449438202177E-2</v>
      </c>
      <c r="Y328">
        <v>-0.60473007741781948</v>
      </c>
      <c r="Z328">
        <v>-5.877587504848613E-2</v>
      </c>
      <c r="AB328" s="3">
        <f t="shared" si="44"/>
        <v>-1.0075502998225013E-2</v>
      </c>
      <c r="AC328" s="3">
        <f t="shared" si="45"/>
        <v>-9.2036745297446217E-3</v>
      </c>
      <c r="AD328" s="3">
        <f t="shared" si="46"/>
        <v>-9.2215083761837298E-3</v>
      </c>
      <c r="AE328" s="76">
        <f t="shared" si="47"/>
        <v>-8358.7619047619046</v>
      </c>
      <c r="AF328" s="76">
        <f t="shared" si="48"/>
        <v>-5407.9047619047633</v>
      </c>
      <c r="AG328" s="76">
        <f t="shared" si="49"/>
        <v>-4070.5115887062784</v>
      </c>
      <c r="AO328" s="5">
        <f t="shared" si="54"/>
        <v>-8.9285714285714281E-3</v>
      </c>
      <c r="AP328" s="5">
        <f t="shared" si="50"/>
        <v>0.35795599811681772</v>
      </c>
      <c r="AR328" s="5">
        <f t="shared" si="51"/>
        <v>-7.0558226336736585E-3</v>
      </c>
      <c r="AS328" s="5">
        <f t="shared" si="52"/>
        <v>-9.2691966983542151E-2</v>
      </c>
      <c r="AT328" s="5">
        <f t="shared" si="53"/>
        <v>-0.13169562116674699</v>
      </c>
    </row>
    <row r="329" spans="12:46" x14ac:dyDescent="0.25">
      <c r="L329" s="4">
        <v>45049.5</v>
      </c>
      <c r="M329">
        <v>89</v>
      </c>
      <c r="N329">
        <v>89.4</v>
      </c>
      <c r="O329">
        <v>84</v>
      </c>
      <c r="P329">
        <v>85.15</v>
      </c>
      <c r="Q329">
        <v>29468</v>
      </c>
      <c r="R329">
        <v>257358</v>
      </c>
      <c r="S329">
        <v>37.494999999999997</v>
      </c>
      <c r="T329">
        <v>37.494999999999997</v>
      </c>
      <c r="U329">
        <v>36.4</v>
      </c>
      <c r="V329">
        <v>36.781999999999996</v>
      </c>
      <c r="W329">
        <v>407</v>
      </c>
      <c r="X329">
        <v>6.3039925286014542E-2</v>
      </c>
      <c r="Y329">
        <v>1.9456113968942264</v>
      </c>
      <c r="Z329">
        <v>1.2833635618592458</v>
      </c>
      <c r="AB329" s="3">
        <f t="shared" ref="AB329:AB392" si="55">AVERAGEA(X329:X349)-AVERAGE(X350:X370)</f>
        <v>-1.0231004887027453E-2</v>
      </c>
      <c r="AC329" s="3">
        <f t="shared" ref="AC329:AC392" si="56">AVERAGEA(X329:X349)-AVERAGE(X350:X405)</f>
        <v>-8.9838978485908202E-3</v>
      </c>
      <c r="AD329" s="3">
        <f t="shared" ref="AD329:AD392" si="57">AVERAGEA(X329:X349)-AVERAGE(X350:X462)</f>
        <v>-8.9105734659295846E-3</v>
      </c>
      <c r="AE329" s="76">
        <f t="shared" ref="AE329:AE392" si="58">AVERAGEA(Q329:Q349)-AVERAGE(Q350:Q370)</f>
        <v>-8572.8095238095229</v>
      </c>
      <c r="AF329" s="76">
        <f t="shared" ref="AF329:AF392" si="59">AVERAGEA(Q329:Q349)-AVERAGE(Q350:Q405)</f>
        <v>-5489.2202380952367</v>
      </c>
      <c r="AG329" s="76">
        <f t="shared" ref="AG329:AG392" si="60">AVERAGEA(Q329:Q349)-AVERAGE(Q350:Q462)</f>
        <v>-4134.8803202696981</v>
      </c>
      <c r="AO329" s="5">
        <f t="shared" si="54"/>
        <v>-1.6623741512526359E-2</v>
      </c>
      <c r="AP329" s="5">
        <f t="shared" ref="AP329:AP392" si="61">_xlfn.STDEV.S(AO329:AO588)*SQRT(252)</f>
        <v>0.35797392584766624</v>
      </c>
      <c r="AR329" s="5">
        <f t="shared" ref="AR329:AR392" si="62">IFERROR(AVERAGEA(AP329:AP349)-AVERAGE(AP350:AP370),"")</f>
        <v>-8.5931261637849365E-3</v>
      </c>
      <c r="AS329" s="5">
        <f t="shared" ref="AS329:AS392" si="63">IFERROR(AVERAGEA(AP329:AP349)-AVERAGE(AP350:AP405),"")</f>
        <v>-9.4723614802078693E-2</v>
      </c>
      <c r="AT329" s="5">
        <f t="shared" ref="AT329:AT392" si="64">IFERROR(AVERAGEA(AP329:AP349)-AVERAGE(AP350:AP462),"")</f>
        <v>-0.13259937996799653</v>
      </c>
    </row>
    <row r="330" spans="12:46" x14ac:dyDescent="0.25">
      <c r="L330" s="4">
        <v>45048.5</v>
      </c>
      <c r="M330">
        <v>85.66</v>
      </c>
      <c r="N330">
        <v>90.85</v>
      </c>
      <c r="O330">
        <v>85.42</v>
      </c>
      <c r="P330">
        <v>88.52</v>
      </c>
      <c r="Q330">
        <v>23326</v>
      </c>
      <c r="R330">
        <v>255909</v>
      </c>
      <c r="S330">
        <v>37.86</v>
      </c>
      <c r="T330">
        <v>38.049999999999997</v>
      </c>
      <c r="U330">
        <v>37.274999999999999</v>
      </c>
      <c r="V330">
        <v>37.529000000000003</v>
      </c>
      <c r="W330">
        <v>244</v>
      </c>
      <c r="X330">
        <v>6.2135255750085737E-2</v>
      </c>
      <c r="Y330">
        <v>1.9003403706687216</v>
      </c>
      <c r="Z330">
        <v>0.40905350052650918</v>
      </c>
      <c r="AB330" s="3">
        <f t="shared" si="55"/>
        <v>-1.1647780991890871E-2</v>
      </c>
      <c r="AC330" s="3">
        <f t="shared" si="56"/>
        <v>-1.0529838632741026E-2</v>
      </c>
      <c r="AD330" s="3">
        <f t="shared" si="57"/>
        <v>-1.0900291332244662E-2</v>
      </c>
      <c r="AE330" s="76">
        <f t="shared" si="58"/>
        <v>-9077.2857142857138</v>
      </c>
      <c r="AF330" s="76">
        <f t="shared" si="59"/>
        <v>-6132.4880952380954</v>
      </c>
      <c r="AG330" s="76">
        <f t="shared" si="60"/>
        <v>-4786.5882848714682</v>
      </c>
      <c r="AO330" s="5">
        <f t="shared" ref="AO330:AO393" si="65">IFERROR((O330-O331)/O331,"")</f>
        <v>-9.3567251461986313E-4</v>
      </c>
      <c r="AP330" s="5">
        <f t="shared" si="61"/>
        <v>0.35965083833471218</v>
      </c>
      <c r="AR330" s="5">
        <f t="shared" si="62"/>
        <v>-1.0119301172918704E-2</v>
      </c>
      <c r="AS330" s="5">
        <f t="shared" si="63"/>
        <v>-9.6748552361507811E-2</v>
      </c>
      <c r="AT330" s="5">
        <f t="shared" si="64"/>
        <v>-0.13346072575035584</v>
      </c>
    </row>
    <row r="331" spans="12:46" x14ac:dyDescent="0.25">
      <c r="L331" s="4">
        <v>45047.5</v>
      </c>
      <c r="M331">
        <v>87.39</v>
      </c>
      <c r="N331">
        <v>88.37</v>
      </c>
      <c r="O331">
        <v>85.5</v>
      </c>
      <c r="P331">
        <v>85.63</v>
      </c>
      <c r="Q331">
        <v>4524</v>
      </c>
      <c r="R331">
        <v>258439</v>
      </c>
      <c r="S331">
        <v>38.537999999999997</v>
      </c>
      <c r="T331">
        <v>38.834000000000003</v>
      </c>
      <c r="U331">
        <v>38.537999999999997</v>
      </c>
      <c r="V331">
        <v>38.834000000000003</v>
      </c>
      <c r="W331">
        <v>10</v>
      </c>
      <c r="X331">
        <v>3.3240676395645173E-2</v>
      </c>
      <c r="Y331">
        <v>-0.21201084319431066</v>
      </c>
      <c r="Z331">
        <v>-2.2978906904167631</v>
      </c>
      <c r="AB331" s="3">
        <f t="shared" si="55"/>
        <v>-1.0892429620405753E-2</v>
      </c>
      <c r="AC331" s="3">
        <f t="shared" si="56"/>
        <v>-1.0804947872276576E-2</v>
      </c>
      <c r="AD331" s="3">
        <f t="shared" si="57"/>
        <v>-1.1568382052869575E-2</v>
      </c>
      <c r="AE331" s="76">
        <f t="shared" si="58"/>
        <v>-9467.4761904761926</v>
      </c>
      <c r="AF331" s="76">
        <f t="shared" si="59"/>
        <v>-6389.7559523809523</v>
      </c>
      <c r="AG331" s="76">
        <f t="shared" si="60"/>
        <v>-5096.9005478297531</v>
      </c>
      <c r="AO331" s="5">
        <f t="shared" si="65"/>
        <v>-7.3145245559038136E-3</v>
      </c>
      <c r="AP331" s="5">
        <f t="shared" si="61"/>
        <v>0.35966070676409595</v>
      </c>
      <c r="AR331" s="5">
        <f t="shared" si="62"/>
        <v>-1.2607449851184893E-2</v>
      </c>
      <c r="AS331" s="5">
        <f t="shared" si="63"/>
        <v>-9.8940446153184758E-2</v>
      </c>
      <c r="AT331" s="5">
        <f t="shared" si="64"/>
        <v>-0.13447520326308027</v>
      </c>
    </row>
    <row r="332" spans="12:46" x14ac:dyDescent="0.25">
      <c r="L332" s="4">
        <v>45044.5</v>
      </c>
      <c r="M332">
        <v>86.34</v>
      </c>
      <c r="N332">
        <v>88.16</v>
      </c>
      <c r="O332">
        <v>86.13</v>
      </c>
      <c r="P332">
        <v>87.65</v>
      </c>
      <c r="Q332">
        <v>13507</v>
      </c>
      <c r="R332">
        <v>257999</v>
      </c>
      <c r="S332">
        <v>39.799999999999997</v>
      </c>
      <c r="T332">
        <v>39.799999999999997</v>
      </c>
      <c r="U332">
        <v>38.299999999999997</v>
      </c>
      <c r="V332">
        <v>38.537999999999997</v>
      </c>
      <c r="W332">
        <v>3</v>
      </c>
      <c r="X332">
        <v>2.3607396208861511E-2</v>
      </c>
      <c r="Y332">
        <v>-0.92701393811135069</v>
      </c>
      <c r="Z332">
        <v>-1.08348373486246</v>
      </c>
      <c r="AB332" s="3">
        <f t="shared" si="55"/>
        <v>-1.2799791304913096E-2</v>
      </c>
      <c r="AC332" s="3">
        <f t="shared" si="56"/>
        <v>-1.1324116879501241E-2</v>
      </c>
      <c r="AD332" s="3">
        <f t="shared" si="57"/>
        <v>-1.2528894188779099E-2</v>
      </c>
      <c r="AE332" s="76">
        <f t="shared" si="58"/>
        <v>-9288.0476190476184</v>
      </c>
      <c r="AF332" s="76">
        <f t="shared" si="59"/>
        <v>-5827</v>
      </c>
      <c r="AG332" s="76">
        <f t="shared" si="60"/>
        <v>-4663.873577749684</v>
      </c>
      <c r="AO332" s="5">
        <f t="shared" si="65"/>
        <v>8.5480093676813789E-3</v>
      </c>
      <c r="AP332" s="5">
        <f t="shared" si="61"/>
        <v>0.35958258497645423</v>
      </c>
      <c r="AR332" s="5">
        <f t="shared" si="62"/>
        <v>-1.5088880857598908E-2</v>
      </c>
      <c r="AS332" s="5">
        <f t="shared" si="63"/>
        <v>-0.10117542789238132</v>
      </c>
      <c r="AT332" s="5">
        <f t="shared" si="64"/>
        <v>-0.13547849755234059</v>
      </c>
    </row>
    <row r="333" spans="12:46" x14ac:dyDescent="0.25">
      <c r="L333" s="4">
        <v>45043.5</v>
      </c>
      <c r="M333">
        <v>85.99</v>
      </c>
      <c r="N333">
        <v>87.9</v>
      </c>
      <c r="O333">
        <v>85.4</v>
      </c>
      <c r="P333">
        <v>86.68</v>
      </c>
      <c r="Q333">
        <v>21813</v>
      </c>
      <c r="R333">
        <v>257880</v>
      </c>
      <c r="S333">
        <v>39.039000000000001</v>
      </c>
      <c r="T333">
        <v>39.039000000000001</v>
      </c>
      <c r="U333">
        <v>39.039000000000001</v>
      </c>
      <c r="V333">
        <v>39.039000000000001</v>
      </c>
      <c r="W333">
        <v>0</v>
      </c>
      <c r="X333">
        <v>2.8768699654775604E-2</v>
      </c>
      <c r="Y333">
        <v>-0.54473394438403488</v>
      </c>
      <c r="Z333">
        <v>0.14032158692463922</v>
      </c>
      <c r="AB333" s="3">
        <f t="shared" si="55"/>
        <v>-1.3175274835016824E-2</v>
      </c>
      <c r="AC333" s="3">
        <f t="shared" si="56"/>
        <v>-1.1519625030923537E-2</v>
      </c>
      <c r="AD333" s="3">
        <f t="shared" si="57"/>
        <v>-1.2924162752947766E-2</v>
      </c>
      <c r="AE333" s="76">
        <f t="shared" si="58"/>
        <v>-9053.8095238095229</v>
      </c>
      <c r="AF333" s="76">
        <f t="shared" si="59"/>
        <v>-5584.5476190476184</v>
      </c>
      <c r="AG333" s="76">
        <f t="shared" si="60"/>
        <v>-4447.8820058997044</v>
      </c>
      <c r="AO333" s="5">
        <f t="shared" si="65"/>
        <v>2.935995302407516E-3</v>
      </c>
      <c r="AP333" s="5">
        <f t="shared" si="61"/>
        <v>0.36066528940974091</v>
      </c>
      <c r="AR333" s="5">
        <f t="shared" si="62"/>
        <v>-1.8695155237957006E-2</v>
      </c>
      <c r="AS333" s="5">
        <f t="shared" si="63"/>
        <v>-0.10341346171044713</v>
      </c>
      <c r="AT333" s="5">
        <f t="shared" si="64"/>
        <v>-0.13644590335661111</v>
      </c>
    </row>
    <row r="334" spans="12:46" x14ac:dyDescent="0.25">
      <c r="L334" s="4">
        <v>45042.5</v>
      </c>
      <c r="M334">
        <v>86.9</v>
      </c>
      <c r="N334">
        <v>87</v>
      </c>
      <c r="O334">
        <v>85.15</v>
      </c>
      <c r="P334">
        <v>86.24</v>
      </c>
      <c r="Q334">
        <v>23598</v>
      </c>
      <c r="R334">
        <v>256586</v>
      </c>
      <c r="S334">
        <v>38.551000000000002</v>
      </c>
      <c r="T334">
        <v>38.551000000000002</v>
      </c>
      <c r="U334">
        <v>38.551000000000002</v>
      </c>
      <c r="V334">
        <v>38.551000000000002</v>
      </c>
      <c r="W334">
        <v>0</v>
      </c>
      <c r="X334">
        <v>2.0885075637841435E-2</v>
      </c>
      <c r="Y334">
        <v>-1.1314169833267012</v>
      </c>
      <c r="Z334">
        <v>0.41670503223405192</v>
      </c>
      <c r="AB334" s="3">
        <f t="shared" si="55"/>
        <v>-1.3484240112565108E-2</v>
      </c>
      <c r="AC334" s="3">
        <f t="shared" si="56"/>
        <v>-1.2141312662306867E-2</v>
      </c>
      <c r="AD334" s="3">
        <f t="shared" si="57"/>
        <v>-1.3510243093008616E-2</v>
      </c>
      <c r="AE334" s="76">
        <f t="shared" si="58"/>
        <v>-8020.7619047619082</v>
      </c>
      <c r="AF334" s="76">
        <f t="shared" si="59"/>
        <v>-4887.1309523809541</v>
      </c>
      <c r="AG334" s="76">
        <f t="shared" si="60"/>
        <v>-3843.1597134428994</v>
      </c>
      <c r="AO334" s="5">
        <f t="shared" si="65"/>
        <v>-1.5948226048769162E-2</v>
      </c>
      <c r="AP334" s="5">
        <f t="shared" si="61"/>
        <v>0.36090051555379321</v>
      </c>
      <c r="AR334" s="5">
        <f t="shared" si="62"/>
        <v>-2.3670349741108876E-2</v>
      </c>
      <c r="AS334" s="5">
        <f t="shared" si="63"/>
        <v>-0.10566581965512817</v>
      </c>
      <c r="AT334" s="5">
        <f t="shared" si="64"/>
        <v>-0.1374354036864987</v>
      </c>
    </row>
    <row r="335" spans="12:46" x14ac:dyDescent="0.25">
      <c r="L335" s="4">
        <v>45041.5</v>
      </c>
      <c r="M335">
        <v>88.58</v>
      </c>
      <c r="N335">
        <v>88.92</v>
      </c>
      <c r="O335">
        <v>86.53</v>
      </c>
      <c r="P335">
        <v>86.81</v>
      </c>
      <c r="Q335">
        <v>25677</v>
      </c>
      <c r="R335">
        <v>255049</v>
      </c>
      <c r="S335">
        <v>39.832999999999998</v>
      </c>
      <c r="T335">
        <v>39.832999999999998</v>
      </c>
      <c r="U335">
        <v>39.832999999999998</v>
      </c>
      <c r="V335">
        <v>39.832999999999998</v>
      </c>
      <c r="W335">
        <v>0</v>
      </c>
      <c r="X335">
        <v>2.6523138386416609E-2</v>
      </c>
      <c r="Y335">
        <v>-0.76123039847061857</v>
      </c>
      <c r="Z335">
        <v>0.73243637465375089</v>
      </c>
      <c r="AB335" s="3">
        <f t="shared" si="55"/>
        <v>-1.2765730115261033E-2</v>
      </c>
      <c r="AC335" s="3">
        <f t="shared" si="56"/>
        <v>-1.1958267297162435E-2</v>
      </c>
      <c r="AD335" s="3">
        <f t="shared" si="57"/>
        <v>-1.2711567024087343E-2</v>
      </c>
      <c r="AE335" s="76">
        <f t="shared" si="58"/>
        <v>-7348.9523809523816</v>
      </c>
      <c r="AF335" s="76">
        <f t="shared" si="59"/>
        <v>-4487.625</v>
      </c>
      <c r="AG335" s="76">
        <f t="shared" si="60"/>
        <v>-3532.9064475347659</v>
      </c>
      <c r="AO335" s="5">
        <f t="shared" si="65"/>
        <v>-1.1876213315062147E-2</v>
      </c>
      <c r="AP335" s="5">
        <f t="shared" si="61"/>
        <v>0.36257650175419331</v>
      </c>
      <c r="AR335" s="5">
        <f t="shared" si="62"/>
        <v>-2.9927070598767869E-2</v>
      </c>
      <c r="AS335" s="5">
        <f t="shared" si="63"/>
        <v>-0.10777731462375212</v>
      </c>
      <c r="AT335" s="5">
        <f t="shared" si="64"/>
        <v>-0.13833128973802089</v>
      </c>
    </row>
    <row r="336" spans="12:46" x14ac:dyDescent="0.25">
      <c r="L336" s="4">
        <v>45040.5</v>
      </c>
      <c r="M336">
        <v>90.11</v>
      </c>
      <c r="N336">
        <v>90.11</v>
      </c>
      <c r="O336">
        <v>87.57</v>
      </c>
      <c r="P336">
        <v>88.56</v>
      </c>
      <c r="Q336">
        <v>20338</v>
      </c>
      <c r="R336">
        <v>257542</v>
      </c>
      <c r="S336">
        <v>39.924999999999997</v>
      </c>
      <c r="T336">
        <v>39.924999999999997</v>
      </c>
      <c r="U336">
        <v>39.924999999999997</v>
      </c>
      <c r="V336">
        <v>39.924999999999997</v>
      </c>
      <c r="W336">
        <v>0</v>
      </c>
      <c r="X336">
        <v>2.7623708537248572E-2</v>
      </c>
      <c r="Y336">
        <v>-0.69934027123519071</v>
      </c>
      <c r="Z336">
        <v>-6.5663353460386653E-2</v>
      </c>
      <c r="AB336" s="3">
        <f t="shared" si="55"/>
        <v>-1.317315415398429E-2</v>
      </c>
      <c r="AC336" s="3">
        <f t="shared" si="56"/>
        <v>-1.2080967243252624E-2</v>
      </c>
      <c r="AD336" s="3">
        <f t="shared" si="57"/>
        <v>-1.2831948838617345E-2</v>
      </c>
      <c r="AE336" s="76">
        <f t="shared" si="58"/>
        <v>-6719.7142857142862</v>
      </c>
      <c r="AF336" s="76">
        <f t="shared" si="59"/>
        <v>-4067.5595238095266</v>
      </c>
      <c r="AG336" s="76">
        <f t="shared" si="60"/>
        <v>-3347.2153392330401</v>
      </c>
      <c r="AO336" s="5">
        <f t="shared" si="65"/>
        <v>-1.8823529411764784E-2</v>
      </c>
      <c r="AP336" s="5">
        <f t="shared" si="61"/>
        <v>0.36240156773164678</v>
      </c>
      <c r="AR336" s="5">
        <f t="shared" si="62"/>
        <v>-3.6462518819996181E-2</v>
      </c>
      <c r="AS336" s="5">
        <f t="shared" si="63"/>
        <v>-0.1099727402968334</v>
      </c>
      <c r="AT336" s="5">
        <f t="shared" si="64"/>
        <v>-0.13926044406334703</v>
      </c>
    </row>
    <row r="337" spans="12:46" x14ac:dyDescent="0.25">
      <c r="L337" s="4">
        <v>45037.5</v>
      </c>
      <c r="M337">
        <v>91.95</v>
      </c>
      <c r="N337">
        <v>92.44</v>
      </c>
      <c r="O337">
        <v>89.25</v>
      </c>
      <c r="P337">
        <v>89.86</v>
      </c>
      <c r="Q337">
        <v>19095</v>
      </c>
      <c r="R337">
        <v>258157</v>
      </c>
      <c r="S337">
        <v>40.65</v>
      </c>
      <c r="T337">
        <v>41.15</v>
      </c>
      <c r="U337">
        <v>39.950000000000003</v>
      </c>
      <c r="V337">
        <v>40.164000000000001</v>
      </c>
      <c r="W337">
        <v>26</v>
      </c>
      <c r="X337">
        <v>3.3688879501531287E-2</v>
      </c>
      <c r="Y337">
        <v>-0.25802155588145032</v>
      </c>
      <c r="Z337">
        <v>-0.24271914893772614</v>
      </c>
      <c r="AB337" s="3">
        <f t="shared" si="55"/>
        <v>-7.5996848251162104E-3</v>
      </c>
      <c r="AC337" s="3">
        <f t="shared" si="56"/>
        <v>-8.514270131516944E-3</v>
      </c>
      <c r="AD337" s="3">
        <f t="shared" si="57"/>
        <v>-9.6695283742196693E-3</v>
      </c>
      <c r="AE337" s="76">
        <f t="shared" si="58"/>
        <v>-5393.5238095238092</v>
      </c>
      <c r="AF337" s="76">
        <f t="shared" si="59"/>
        <v>-3552.375</v>
      </c>
      <c r="AG337" s="76">
        <f t="shared" si="60"/>
        <v>-2681.501896333757</v>
      </c>
      <c r="AO337" s="5">
        <f t="shared" si="65"/>
        <v>-2.0307354555433529E-2</v>
      </c>
      <c r="AP337" s="5">
        <f t="shared" si="61"/>
        <v>0.36412112462043056</v>
      </c>
      <c r="AR337" s="5">
        <f t="shared" si="62"/>
        <v>-4.2983330070398118E-2</v>
      </c>
      <c r="AS337" s="5">
        <f t="shared" si="63"/>
        <v>-0.11215499044718308</v>
      </c>
      <c r="AT337" s="5">
        <f t="shared" si="64"/>
        <v>-0.14017754870891358</v>
      </c>
    </row>
    <row r="338" spans="12:46" x14ac:dyDescent="0.25">
      <c r="L338" s="4">
        <v>45036.5</v>
      </c>
      <c r="M338">
        <v>94.69</v>
      </c>
      <c r="N338">
        <v>94.69</v>
      </c>
      <c r="O338">
        <v>91.1</v>
      </c>
      <c r="P338">
        <v>91.74</v>
      </c>
      <c r="Q338">
        <v>22686</v>
      </c>
      <c r="R338">
        <v>259099</v>
      </c>
      <c r="S338">
        <v>40.4</v>
      </c>
      <c r="T338">
        <v>41.02</v>
      </c>
      <c r="U338">
        <v>40.4</v>
      </c>
      <c r="V338">
        <v>40.564999999999998</v>
      </c>
      <c r="W338">
        <v>326</v>
      </c>
      <c r="X338">
        <v>3.7670514165792271E-2</v>
      </c>
      <c r="Y338">
        <v>4.1813539893825032E-2</v>
      </c>
      <c r="Z338">
        <v>0.29771921840563048</v>
      </c>
      <c r="AB338" s="3">
        <f t="shared" si="55"/>
        <v>-7.4185174431131706E-3</v>
      </c>
      <c r="AC338" s="3">
        <f t="shared" si="56"/>
        <v>-8.8006644982733806E-3</v>
      </c>
      <c r="AD338" s="3">
        <f t="shared" si="57"/>
        <v>-9.1813567675676916E-3</v>
      </c>
      <c r="AE338" s="76">
        <f t="shared" si="58"/>
        <v>-4857.4285714285725</v>
      </c>
      <c r="AF338" s="76">
        <f t="shared" si="59"/>
        <v>-3226.875</v>
      </c>
      <c r="AG338" s="76">
        <f t="shared" si="60"/>
        <v>-2352.3362831858394</v>
      </c>
      <c r="AO338" s="5">
        <f t="shared" si="65"/>
        <v>-3.2703334041197837E-2</v>
      </c>
      <c r="AP338" s="5">
        <f t="shared" si="61"/>
        <v>0.36354758459538894</v>
      </c>
      <c r="AR338" s="5">
        <f t="shared" si="62"/>
        <v>-4.9753064504376887E-2</v>
      </c>
      <c r="AS338" s="5">
        <f t="shared" si="63"/>
        <v>-0.11448816761119052</v>
      </c>
      <c r="AT338" s="5">
        <f t="shared" si="64"/>
        <v>-0.14126270511727546</v>
      </c>
    </row>
    <row r="339" spans="12:46" x14ac:dyDescent="0.25">
      <c r="L339" s="4">
        <v>45035.5</v>
      </c>
      <c r="M339">
        <v>95.3</v>
      </c>
      <c r="N339">
        <v>96.47</v>
      </c>
      <c r="O339">
        <v>94.18</v>
      </c>
      <c r="P339">
        <v>94.39</v>
      </c>
      <c r="Q339">
        <v>17217</v>
      </c>
      <c r="R339">
        <v>262545</v>
      </c>
      <c r="S339">
        <v>42.424999999999997</v>
      </c>
      <c r="T339">
        <v>42.424999999999997</v>
      </c>
      <c r="U339">
        <v>39.805</v>
      </c>
      <c r="V339">
        <v>40.298000000000002</v>
      </c>
      <c r="W339">
        <v>212</v>
      </c>
      <c r="X339">
        <v>2.4628952462895159E-2</v>
      </c>
      <c r="Y339">
        <v>-0.88047551933479662</v>
      </c>
      <c r="Z339">
        <v>-0.5343274559082799</v>
      </c>
      <c r="AB339" s="3">
        <f t="shared" si="55"/>
        <v>-8.6339064063690289E-3</v>
      </c>
      <c r="AC339" s="3">
        <f t="shared" si="56"/>
        <v>-9.5593692945049429E-3</v>
      </c>
      <c r="AD339" s="3">
        <f t="shared" si="57"/>
        <v>-9.5224852652032281E-3</v>
      </c>
      <c r="AE339" s="76">
        <f t="shared" si="58"/>
        <v>-5298.3809523809541</v>
      </c>
      <c r="AF339" s="76">
        <f t="shared" si="59"/>
        <v>-3359.7857142857174</v>
      </c>
      <c r="AG339" s="76">
        <f t="shared" si="60"/>
        <v>-2531.8242730720631</v>
      </c>
      <c r="AO339" s="5">
        <f t="shared" si="65"/>
        <v>2.0036824434095185E-2</v>
      </c>
      <c r="AP339" s="5">
        <f t="shared" si="61"/>
        <v>0.36892445493452153</v>
      </c>
      <c r="AR339" s="5">
        <f t="shared" si="62"/>
        <v>-5.65235763196274E-2</v>
      </c>
      <c r="AS339" s="5">
        <f t="shared" si="63"/>
        <v>-0.11675698198864815</v>
      </c>
      <c r="AT339" s="5">
        <f t="shared" si="64"/>
        <v>-0.1423336277838706</v>
      </c>
    </row>
    <row r="340" spans="12:46" x14ac:dyDescent="0.25">
      <c r="L340" s="4">
        <v>45034.5</v>
      </c>
      <c r="M340">
        <v>92.98</v>
      </c>
      <c r="N340">
        <v>95.6</v>
      </c>
      <c r="O340">
        <v>92.33</v>
      </c>
      <c r="P340">
        <v>95.15</v>
      </c>
      <c r="Q340">
        <v>17956</v>
      </c>
      <c r="R340">
        <v>264073</v>
      </c>
      <c r="S340">
        <v>41.505000000000003</v>
      </c>
      <c r="T340">
        <v>42.99</v>
      </c>
      <c r="U340">
        <v>41.505000000000003</v>
      </c>
      <c r="V340">
        <v>42.722000000000001</v>
      </c>
      <c r="W340">
        <v>137</v>
      </c>
      <c r="X340">
        <v>3.4687599448392871E-2</v>
      </c>
      <c r="Y340">
        <v>-0.20514076787369559</v>
      </c>
      <c r="Z340">
        <v>-0.42930619697686601</v>
      </c>
      <c r="AB340" s="3">
        <f t="shared" si="55"/>
        <v>-7.6155425297575394E-3</v>
      </c>
      <c r="AC340" s="3">
        <f t="shared" si="56"/>
        <v>-8.8093478616130053E-3</v>
      </c>
      <c r="AD340" s="3">
        <f t="shared" si="57"/>
        <v>-8.7175393423243874E-3</v>
      </c>
      <c r="AE340" s="76">
        <f t="shared" si="58"/>
        <v>-4590.9047619047633</v>
      </c>
      <c r="AF340" s="76">
        <f t="shared" si="59"/>
        <v>-2559.8630952380954</v>
      </c>
      <c r="AG340" s="76">
        <f t="shared" si="60"/>
        <v>-2151.8158449220391</v>
      </c>
      <c r="AO340" s="5">
        <f t="shared" si="65"/>
        <v>1.9533369506239025E-3</v>
      </c>
      <c r="AP340" s="5">
        <f t="shared" si="61"/>
        <v>0.36844836425889521</v>
      </c>
      <c r="AR340" s="5">
        <f t="shared" si="62"/>
        <v>-6.3393770328553145E-2</v>
      </c>
      <c r="AS340" s="5">
        <f t="shared" si="63"/>
        <v>-0.11921577875226813</v>
      </c>
      <c r="AT340" s="5">
        <f t="shared" si="64"/>
        <v>-0.14356774117324395</v>
      </c>
    </row>
    <row r="341" spans="12:46" x14ac:dyDescent="0.25">
      <c r="L341" s="4">
        <v>45033.5</v>
      </c>
      <c r="M341">
        <v>94.27</v>
      </c>
      <c r="N341">
        <v>94.75</v>
      </c>
      <c r="O341">
        <v>92.15</v>
      </c>
      <c r="P341">
        <v>92.91</v>
      </c>
      <c r="Q341">
        <v>13215</v>
      </c>
      <c r="R341">
        <v>265414</v>
      </c>
      <c r="S341">
        <v>42.185000000000002</v>
      </c>
      <c r="T341">
        <v>42.185000000000002</v>
      </c>
      <c r="U341">
        <v>41.05</v>
      </c>
      <c r="V341">
        <v>41.127000000000002</v>
      </c>
      <c r="W341">
        <v>269</v>
      </c>
      <c r="X341">
        <v>2.7545290814704887E-2</v>
      </c>
      <c r="Y341">
        <v>-0.70110665639927616</v>
      </c>
      <c r="Z341">
        <v>-1.156204376355549</v>
      </c>
      <c r="AB341" s="3">
        <f t="shared" si="55"/>
        <v>-5.9394828342184541E-3</v>
      </c>
      <c r="AC341" s="3">
        <f t="shared" si="56"/>
        <v>-8.2783018128163507E-3</v>
      </c>
      <c r="AD341" s="3">
        <f t="shared" si="57"/>
        <v>-8.0020821620300081E-3</v>
      </c>
      <c r="AE341" s="76">
        <f t="shared" si="58"/>
        <v>-3779.6190476190459</v>
      </c>
      <c r="AF341" s="76">
        <f t="shared" si="59"/>
        <v>-1857.8928571428551</v>
      </c>
      <c r="AG341" s="76">
        <f t="shared" si="60"/>
        <v>-1729.5448798988618</v>
      </c>
      <c r="AO341" s="5">
        <f t="shared" si="65"/>
        <v>-1.0735373054213633E-2</v>
      </c>
      <c r="AP341" s="5">
        <f t="shared" si="61"/>
        <v>0.36939138378109526</v>
      </c>
      <c r="AR341" s="5">
        <f t="shared" si="62"/>
        <v>-7.0377349364718123E-2</v>
      </c>
      <c r="AS341" s="5">
        <f t="shared" si="63"/>
        <v>-0.1217248217184938</v>
      </c>
      <c r="AT341" s="5">
        <f t="shared" si="64"/>
        <v>-0.14484943822023272</v>
      </c>
    </row>
    <row r="342" spans="12:46" x14ac:dyDescent="0.25">
      <c r="L342" s="4">
        <v>45030.5</v>
      </c>
      <c r="M342">
        <v>94.39</v>
      </c>
      <c r="N342">
        <v>95</v>
      </c>
      <c r="O342">
        <v>93.15</v>
      </c>
      <c r="P342">
        <v>94.11</v>
      </c>
      <c r="Q342">
        <v>13874</v>
      </c>
      <c r="R342">
        <v>265267</v>
      </c>
      <c r="S342">
        <v>41.05</v>
      </c>
      <c r="T342">
        <v>41.88</v>
      </c>
      <c r="U342">
        <v>41.05</v>
      </c>
      <c r="V342">
        <v>41.149000000000001</v>
      </c>
      <c r="W342">
        <v>283</v>
      </c>
      <c r="X342">
        <v>1.9254787676935829E-2</v>
      </c>
      <c r="Y342">
        <v>-1.2750163086879076</v>
      </c>
      <c r="Z342">
        <v>-1.0747917390234503</v>
      </c>
      <c r="AB342" s="3">
        <f t="shared" si="55"/>
        <v>-5.2092521875302319E-3</v>
      </c>
      <c r="AC342" s="3">
        <f t="shared" si="56"/>
        <v>-7.2159970193932249E-3</v>
      </c>
      <c r="AD342" s="3">
        <f t="shared" si="57"/>
        <v>-7.0595931917091584E-3</v>
      </c>
      <c r="AE342" s="76">
        <f t="shared" si="58"/>
        <v>-2990.1904761904734</v>
      </c>
      <c r="AF342" s="76">
        <f t="shared" si="59"/>
        <v>-870.48809523809541</v>
      </c>
      <c r="AG342" s="76">
        <f t="shared" si="60"/>
        <v>-1011.732406236828</v>
      </c>
      <c r="AO342" s="5">
        <f t="shared" si="65"/>
        <v>5.3705692803449382E-4</v>
      </c>
      <c r="AP342" s="5">
        <f t="shared" si="61"/>
        <v>0.36921232962567235</v>
      </c>
      <c r="AR342" s="5">
        <f t="shared" si="62"/>
        <v>-7.7412881541773781E-2</v>
      </c>
      <c r="AS342" s="5">
        <f t="shared" si="63"/>
        <v>-0.12425732776907472</v>
      </c>
      <c r="AT342" s="5">
        <f t="shared" si="64"/>
        <v>-0.14618386663209482</v>
      </c>
    </row>
    <row r="343" spans="12:46" x14ac:dyDescent="0.25">
      <c r="L343" s="4">
        <v>45029.5</v>
      </c>
      <c r="M343">
        <v>96.08</v>
      </c>
      <c r="N343">
        <v>96.5</v>
      </c>
      <c r="O343">
        <v>93.1</v>
      </c>
      <c r="P343">
        <v>94.39</v>
      </c>
      <c r="Q343">
        <v>18272</v>
      </c>
      <c r="R343">
        <v>264577</v>
      </c>
      <c r="S343">
        <v>42.6</v>
      </c>
      <c r="T343">
        <v>42.604999999999997</v>
      </c>
      <c r="U343">
        <v>41.945</v>
      </c>
      <c r="V343">
        <v>42.093000000000004</v>
      </c>
      <c r="W343">
        <v>159</v>
      </c>
      <c r="X343">
        <v>3.4882527957320261E-2</v>
      </c>
      <c r="Y343">
        <v>-0.21262390427203923</v>
      </c>
      <c r="Z343">
        <v>-0.41159744317732927</v>
      </c>
      <c r="AB343" s="3">
        <f t="shared" si="55"/>
        <v>-2.7892871562508262E-3</v>
      </c>
      <c r="AC343" s="3">
        <f t="shared" si="56"/>
        <v>-4.7885944922260726E-3</v>
      </c>
      <c r="AD343" s="3">
        <f t="shared" si="57"/>
        <v>-5.0777534932285803E-3</v>
      </c>
      <c r="AE343" s="76">
        <f t="shared" si="58"/>
        <v>-1545.4761904761908</v>
      </c>
      <c r="AF343" s="76">
        <f t="shared" si="59"/>
        <v>469.20238095237801</v>
      </c>
      <c r="AG343" s="76">
        <f t="shared" si="60"/>
        <v>20.449220396119927</v>
      </c>
      <c r="AO343" s="5">
        <f t="shared" si="65"/>
        <v>-2.0927542328320635E-2</v>
      </c>
      <c r="AP343" s="5">
        <f t="shared" si="61"/>
        <v>0.36921334020013147</v>
      </c>
      <c r="AR343" s="5">
        <f t="shared" si="62"/>
        <v>-8.4311493013319416E-2</v>
      </c>
      <c r="AS343" s="5">
        <f t="shared" si="63"/>
        <v>-0.12672190056832838</v>
      </c>
      <c r="AT343" s="5">
        <f t="shared" si="64"/>
        <v>-0.14746300840563298</v>
      </c>
    </row>
    <row r="344" spans="12:46" x14ac:dyDescent="0.25">
      <c r="L344" s="4">
        <v>45028.5</v>
      </c>
      <c r="M344">
        <v>97.47</v>
      </c>
      <c r="N344">
        <v>98.23</v>
      </c>
      <c r="O344">
        <v>95.09</v>
      </c>
      <c r="P344">
        <v>96.27</v>
      </c>
      <c r="Q344">
        <v>20737</v>
      </c>
      <c r="R344">
        <v>263927</v>
      </c>
      <c r="S344">
        <v>43.295000000000002</v>
      </c>
      <c r="T344">
        <v>43.9</v>
      </c>
      <c r="U344">
        <v>42.88</v>
      </c>
      <c r="V344">
        <v>42.88</v>
      </c>
      <c r="W344">
        <v>94</v>
      </c>
      <c r="X344">
        <v>3.2454780361757113E-2</v>
      </c>
      <c r="Y344">
        <v>-0.37457385802961735</v>
      </c>
      <c r="Z344">
        <v>-3.60123780101178E-2</v>
      </c>
      <c r="AB344" s="3">
        <f t="shared" si="55"/>
        <v>1.6058385972218814E-4</v>
      </c>
      <c r="AC344" s="3">
        <f t="shared" si="56"/>
        <v>-2.676107125777108E-3</v>
      </c>
      <c r="AD344" s="3">
        <f t="shared" si="57"/>
        <v>-3.2819025535311061E-3</v>
      </c>
      <c r="AE344" s="76">
        <f t="shared" si="58"/>
        <v>347.8571428571413</v>
      </c>
      <c r="AF344" s="76">
        <f t="shared" si="59"/>
        <v>2102.7678571428551</v>
      </c>
      <c r="AG344" s="76">
        <f t="shared" si="60"/>
        <v>1230.5777496839437</v>
      </c>
      <c r="AO344" s="5">
        <f t="shared" si="65"/>
        <v>-1.6852770885028904E-2</v>
      </c>
      <c r="AP344" s="5">
        <f t="shared" si="61"/>
        <v>0.36857888804101119</v>
      </c>
      <c r="AR344" s="5">
        <f t="shared" si="62"/>
        <v>-9.1348297646009657E-2</v>
      </c>
      <c r="AS344" s="5">
        <f t="shared" si="63"/>
        <v>-0.12925834649115081</v>
      </c>
      <c r="AT344" s="5">
        <f t="shared" si="64"/>
        <v>-0.14879628606709155</v>
      </c>
    </row>
    <row r="345" spans="12:46" x14ac:dyDescent="0.25">
      <c r="L345" s="4">
        <v>45027.5</v>
      </c>
      <c r="M345">
        <v>96.75</v>
      </c>
      <c r="N345">
        <v>98.5</v>
      </c>
      <c r="O345">
        <v>96.72</v>
      </c>
      <c r="P345">
        <v>97.47</v>
      </c>
      <c r="Q345">
        <v>14011</v>
      </c>
      <c r="R345">
        <v>264247</v>
      </c>
      <c r="S345">
        <v>43.1</v>
      </c>
      <c r="T345">
        <v>44.365000000000002</v>
      </c>
      <c r="U345">
        <v>42.424999999999997</v>
      </c>
      <c r="V345">
        <v>43.692</v>
      </c>
      <c r="W345">
        <v>94</v>
      </c>
      <c r="X345">
        <v>1.8350515463917538E-2</v>
      </c>
      <c r="Y345">
        <v>-1.3616057514529269</v>
      </c>
      <c r="Z345">
        <v>-1.0581256769187177</v>
      </c>
      <c r="AB345" s="3">
        <f t="shared" si="55"/>
        <v>1.689430815420577E-3</v>
      </c>
      <c r="AC345" s="3">
        <f t="shared" si="56"/>
        <v>-1.7059737641115444E-3</v>
      </c>
      <c r="AD345" s="3">
        <f t="shared" si="57"/>
        <v>-2.8117480733255359E-3</v>
      </c>
      <c r="AE345" s="76">
        <f t="shared" si="58"/>
        <v>1388.3333333333358</v>
      </c>
      <c r="AF345" s="76">
        <f t="shared" si="59"/>
        <v>2973.4404761904771</v>
      </c>
      <c r="AG345" s="76">
        <f t="shared" si="60"/>
        <v>1706.6683522966705</v>
      </c>
      <c r="AO345" s="5">
        <f t="shared" si="65"/>
        <v>8.5505735140770922E-3</v>
      </c>
      <c r="AP345" s="5">
        <f t="shared" si="61"/>
        <v>0.3681721112636312</v>
      </c>
      <c r="AR345" s="5">
        <f t="shared" si="62"/>
        <v>-9.8515708873975205E-2</v>
      </c>
      <c r="AS345" s="5">
        <f t="shared" si="63"/>
        <v>-0.131889041234316</v>
      </c>
      <c r="AT345" s="5">
        <f t="shared" si="64"/>
        <v>-0.15019679931586427</v>
      </c>
    </row>
    <row r="346" spans="12:46" x14ac:dyDescent="0.25">
      <c r="L346" s="4">
        <v>45026.5</v>
      </c>
      <c r="M346">
        <v>97</v>
      </c>
      <c r="N346">
        <v>97.9</v>
      </c>
      <c r="O346">
        <v>95.9</v>
      </c>
      <c r="P346">
        <v>96.75</v>
      </c>
      <c r="Q346">
        <v>0</v>
      </c>
      <c r="R346">
        <v>0</v>
      </c>
      <c r="S346">
        <v>43.125</v>
      </c>
      <c r="T346">
        <v>43.125</v>
      </c>
      <c r="U346">
        <v>43.125</v>
      </c>
      <c r="V346">
        <v>43.125</v>
      </c>
      <c r="W346">
        <v>0</v>
      </c>
      <c r="X346">
        <v>2.0618556701030927E-2</v>
      </c>
      <c r="Y346">
        <v>-1.2360452986637573</v>
      </c>
      <c r="Z346">
        <v>-3.2396146326484199</v>
      </c>
      <c r="AB346" s="3">
        <f t="shared" si="55"/>
        <v>4.1655629054108897E-3</v>
      </c>
      <c r="AC346" s="3">
        <f t="shared" si="56"/>
        <v>2.9943700640592402E-4</v>
      </c>
      <c r="AD346" s="3">
        <f t="shared" si="57"/>
        <v>-1.4681996876107078E-3</v>
      </c>
      <c r="AE346" s="76">
        <f t="shared" si="58"/>
        <v>3359.4285714285725</v>
      </c>
      <c r="AF346" s="76">
        <f t="shared" si="59"/>
        <v>4501.2142857142862</v>
      </c>
      <c r="AG346" s="76">
        <f t="shared" si="60"/>
        <v>2859.2326169405824</v>
      </c>
      <c r="AO346" s="5">
        <f t="shared" si="65"/>
        <v>0</v>
      </c>
      <c r="AP346" s="5">
        <f t="shared" si="61"/>
        <v>0.36823516138360873</v>
      </c>
      <c r="AR346" s="5">
        <f t="shared" si="62"/>
        <v>-0.10576444208896707</v>
      </c>
      <c r="AS346" s="5">
        <f t="shared" si="63"/>
        <v>-0.13456677752548007</v>
      </c>
      <c r="AT346" s="5">
        <f t="shared" si="64"/>
        <v>-0.15163584250950246</v>
      </c>
    </row>
    <row r="347" spans="12:46" x14ac:dyDescent="0.25">
      <c r="L347" s="4">
        <v>45023.5</v>
      </c>
      <c r="M347">
        <v>97</v>
      </c>
      <c r="N347">
        <v>97.9</v>
      </c>
      <c r="O347">
        <v>95.9</v>
      </c>
      <c r="P347">
        <v>96.75</v>
      </c>
      <c r="Q347">
        <v>0</v>
      </c>
      <c r="R347">
        <v>0</v>
      </c>
      <c r="S347">
        <v>43.765000000000001</v>
      </c>
      <c r="T347">
        <v>44</v>
      </c>
      <c r="U347">
        <v>42.895000000000003</v>
      </c>
      <c r="V347">
        <v>43.125</v>
      </c>
      <c r="W347">
        <v>0</v>
      </c>
      <c r="X347">
        <v>2.0618556701030927E-2</v>
      </c>
      <c r="Y347">
        <v>-1.2694975790817558</v>
      </c>
      <c r="Z347">
        <v>-3.4823256453960014</v>
      </c>
      <c r="AB347" s="3">
        <f t="shared" si="55"/>
        <v>3.5743791279495701E-3</v>
      </c>
      <c r="AC347" s="3">
        <f t="shared" si="56"/>
        <v>3.6845117261388727E-5</v>
      </c>
      <c r="AD347" s="3">
        <f t="shared" si="57"/>
        <v>-1.6477314548691141E-3</v>
      </c>
      <c r="AE347" s="76">
        <f t="shared" si="58"/>
        <v>4436.4285714285725</v>
      </c>
      <c r="AF347" s="76">
        <f t="shared" si="59"/>
        <v>5708.2023809523816</v>
      </c>
      <c r="AG347" s="76">
        <f t="shared" si="60"/>
        <v>3861.169827222926</v>
      </c>
      <c r="AO347" s="5">
        <f t="shared" si="65"/>
        <v>0</v>
      </c>
      <c r="AP347" s="5">
        <f t="shared" si="61"/>
        <v>0.36910457821240183</v>
      </c>
      <c r="AR347" s="5">
        <f t="shared" si="62"/>
        <v>-0.11306097405867249</v>
      </c>
      <c r="AS347" s="5">
        <f t="shared" si="63"/>
        <v>-0.13727452092545767</v>
      </c>
      <c r="AT347" s="5">
        <f t="shared" si="64"/>
        <v>-0.15314666294745694</v>
      </c>
    </row>
    <row r="348" spans="12:46" x14ac:dyDescent="0.25">
      <c r="L348" s="4">
        <v>45022.5</v>
      </c>
      <c r="M348">
        <v>97</v>
      </c>
      <c r="N348">
        <v>97.9</v>
      </c>
      <c r="O348">
        <v>95.9</v>
      </c>
      <c r="P348">
        <v>96.75</v>
      </c>
      <c r="Q348">
        <v>12831</v>
      </c>
      <c r="R348">
        <v>262907</v>
      </c>
      <c r="S348">
        <v>43.765000000000001</v>
      </c>
      <c r="T348">
        <v>44</v>
      </c>
      <c r="U348">
        <v>42.895000000000003</v>
      </c>
      <c r="V348">
        <v>43.125</v>
      </c>
      <c r="W348">
        <v>74</v>
      </c>
      <c r="X348">
        <v>2.1059281878487945E-2</v>
      </c>
      <c r="Y348">
        <v>-1.2671987179989774</v>
      </c>
      <c r="Z348">
        <v>-1.5570116483599934</v>
      </c>
      <c r="AB348" s="3">
        <f t="shared" si="55"/>
        <v>4.357200667393972E-3</v>
      </c>
      <c r="AC348" s="3">
        <f t="shared" si="56"/>
        <v>6.2112818115859364E-4</v>
      </c>
      <c r="AD348" s="3">
        <f t="shared" si="57"/>
        <v>-1.0205447932278913E-3</v>
      </c>
      <c r="AE348" s="76">
        <f t="shared" si="58"/>
        <v>5940.1428571428587</v>
      </c>
      <c r="AF348" s="76">
        <f t="shared" si="59"/>
        <v>7146.6904761904771</v>
      </c>
      <c r="AG348" s="76">
        <f t="shared" si="60"/>
        <v>5112.7707543194265</v>
      </c>
      <c r="AO348" s="5">
        <f t="shared" si="65"/>
        <v>1.2457770270270343E-2</v>
      </c>
      <c r="AP348" s="5">
        <f t="shared" si="61"/>
        <v>0.37125377895509448</v>
      </c>
      <c r="AR348" s="5">
        <f t="shared" si="62"/>
        <v>-0.12000478323356695</v>
      </c>
      <c r="AS348" s="5">
        <f t="shared" si="63"/>
        <v>-0.13975452831037471</v>
      </c>
      <c r="AT348" s="5">
        <f t="shared" si="64"/>
        <v>-0.15446400858528464</v>
      </c>
    </row>
    <row r="349" spans="12:46" x14ac:dyDescent="0.25">
      <c r="L349" s="4">
        <v>45021.5</v>
      </c>
      <c r="M349">
        <v>94.97</v>
      </c>
      <c r="N349">
        <v>98</v>
      </c>
      <c r="O349">
        <v>94.72</v>
      </c>
      <c r="P349">
        <v>97.01</v>
      </c>
      <c r="Q349">
        <v>18643</v>
      </c>
      <c r="R349">
        <v>261927</v>
      </c>
      <c r="S349">
        <v>46.6</v>
      </c>
      <c r="T349">
        <v>47.2</v>
      </c>
      <c r="U349">
        <v>44.4</v>
      </c>
      <c r="V349">
        <v>44.575000000000003</v>
      </c>
      <c r="W349">
        <v>105</v>
      </c>
      <c r="X349">
        <v>3.4166666666666679E-2</v>
      </c>
      <c r="Y349">
        <v>-0.35854348284383408</v>
      </c>
      <c r="Z349">
        <v>-0.56157115233980981</v>
      </c>
      <c r="AB349" s="3">
        <f t="shared" si="55"/>
        <v>4.9075480161016316E-3</v>
      </c>
      <c r="AC349" s="3">
        <f t="shared" si="56"/>
        <v>7.7830824331181353E-4</v>
      </c>
      <c r="AD349" s="3">
        <f t="shared" si="57"/>
        <v>-6.5889893783521031E-4</v>
      </c>
      <c r="AE349" s="76">
        <f t="shared" si="58"/>
        <v>6148.7619047619046</v>
      </c>
      <c r="AF349" s="76">
        <f t="shared" si="59"/>
        <v>7536.3928571428551</v>
      </c>
      <c r="AG349" s="76">
        <f t="shared" si="60"/>
        <v>5390.0290771175714</v>
      </c>
      <c r="AO349" s="5">
        <f t="shared" si="65"/>
        <v>9.5107259854172472E-4</v>
      </c>
      <c r="AP349" s="5">
        <f t="shared" si="61"/>
        <v>0.37113148461677559</v>
      </c>
      <c r="AR349" s="5">
        <f t="shared" si="62"/>
        <v>-0.12704521467431934</v>
      </c>
      <c r="AS349" s="5">
        <f t="shared" si="63"/>
        <v>-0.14226734189057844</v>
      </c>
      <c r="AT349" s="5">
        <f t="shared" si="64"/>
        <v>-0.1558093402833759</v>
      </c>
    </row>
    <row r="350" spans="12:46" x14ac:dyDescent="0.25">
      <c r="L350" s="4">
        <v>45020.5</v>
      </c>
      <c r="M350">
        <v>96</v>
      </c>
      <c r="N350">
        <v>97.41</v>
      </c>
      <c r="O350">
        <v>94.63</v>
      </c>
      <c r="P350">
        <v>94.98</v>
      </c>
      <c r="Q350">
        <v>17456</v>
      </c>
      <c r="R350">
        <v>260971</v>
      </c>
      <c r="S350">
        <v>48.945</v>
      </c>
      <c r="T350">
        <v>48.945</v>
      </c>
      <c r="U350">
        <v>45.825000000000003</v>
      </c>
      <c r="V350">
        <v>46.567999999999998</v>
      </c>
      <c r="W350">
        <v>132</v>
      </c>
      <c r="X350">
        <v>3.0299727520435981E-2</v>
      </c>
      <c r="Y350">
        <v>-0.64356233190501799</v>
      </c>
      <c r="Z350">
        <v>-0.74829000470990781</v>
      </c>
      <c r="AB350" s="3">
        <f t="shared" si="55"/>
        <v>4.7081670060759931E-3</v>
      </c>
      <c r="AC350" s="3">
        <f t="shared" si="56"/>
        <v>1.4450700847684836E-3</v>
      </c>
      <c r="AD350" s="3">
        <f t="shared" si="57"/>
        <v>-1.5863869864510965E-4</v>
      </c>
      <c r="AE350" s="76">
        <f t="shared" si="58"/>
        <v>6309.6666666666679</v>
      </c>
      <c r="AF350" s="76">
        <f t="shared" si="59"/>
        <v>7984.9107142857138</v>
      </c>
      <c r="AG350" s="76">
        <f t="shared" si="60"/>
        <v>5558.5132743362847</v>
      </c>
      <c r="AO350" s="5">
        <f t="shared" si="65"/>
        <v>3.206456538335694E-2</v>
      </c>
      <c r="AP350" s="5">
        <f t="shared" si="61"/>
        <v>0.37127570621541861</v>
      </c>
      <c r="AR350" s="5">
        <f t="shared" si="62"/>
        <v>-0.13006580495938719</v>
      </c>
      <c r="AS350" s="5">
        <f t="shared" si="63"/>
        <v>-0.14207711177500865</v>
      </c>
      <c r="AT350" s="5">
        <f t="shared" si="64"/>
        <v>-0.15476856280191292</v>
      </c>
    </row>
    <row r="351" spans="12:46" x14ac:dyDescent="0.25">
      <c r="L351" s="4">
        <v>45019.5</v>
      </c>
      <c r="M351">
        <v>91.75</v>
      </c>
      <c r="N351">
        <v>96.16</v>
      </c>
      <c r="O351">
        <v>91.69</v>
      </c>
      <c r="P351">
        <v>96</v>
      </c>
      <c r="Q351">
        <v>17776</v>
      </c>
      <c r="R351">
        <v>262497</v>
      </c>
      <c r="S351">
        <v>49.9</v>
      </c>
      <c r="T351">
        <v>51.835000000000001</v>
      </c>
      <c r="U351">
        <v>49.9</v>
      </c>
      <c r="V351">
        <v>51.366999999999997</v>
      </c>
      <c r="W351">
        <v>79</v>
      </c>
      <c r="X351">
        <v>4.9158693500494871E-2</v>
      </c>
      <c r="Y351">
        <v>0.59401697221279526</v>
      </c>
      <c r="Z351">
        <v>-0.60056516619975475</v>
      </c>
      <c r="AB351" s="3">
        <f t="shared" si="55"/>
        <v>4.2949459056063483E-3</v>
      </c>
      <c r="AC351" s="3">
        <f t="shared" si="56"/>
        <v>1.1149255063675131E-3</v>
      </c>
      <c r="AD351" s="3">
        <f t="shared" si="57"/>
        <v>-5.4995535685467556E-4</v>
      </c>
      <c r="AE351" s="76">
        <f t="shared" si="58"/>
        <v>6170.9523809523816</v>
      </c>
      <c r="AF351" s="76">
        <f t="shared" si="59"/>
        <v>7883.6904761904771</v>
      </c>
      <c r="AG351" s="76">
        <f t="shared" si="60"/>
        <v>5419.458491361147</v>
      </c>
      <c r="AO351" s="5">
        <f t="shared" si="65"/>
        <v>1.0803660015433845E-2</v>
      </c>
      <c r="AP351" s="5">
        <f t="shared" si="61"/>
        <v>0.37001932432906559</v>
      </c>
      <c r="AR351" s="5">
        <f t="shared" si="62"/>
        <v>-0.13305959624308811</v>
      </c>
      <c r="AS351" s="5">
        <f t="shared" si="63"/>
        <v>-0.14189150492886721</v>
      </c>
      <c r="AT351" s="5">
        <f t="shared" si="64"/>
        <v>-0.15373491951191059</v>
      </c>
    </row>
    <row r="352" spans="12:46" x14ac:dyDescent="0.25">
      <c r="L352" s="4">
        <v>45016.5</v>
      </c>
      <c r="M352">
        <v>90.93</v>
      </c>
      <c r="N352">
        <v>92.9</v>
      </c>
      <c r="O352">
        <v>90.71</v>
      </c>
      <c r="P352">
        <v>91.75</v>
      </c>
      <c r="Q352">
        <v>16418</v>
      </c>
      <c r="R352">
        <v>262035</v>
      </c>
      <c r="S352">
        <v>44.95</v>
      </c>
      <c r="T352">
        <v>47.843000000000004</v>
      </c>
      <c r="U352">
        <v>44.95</v>
      </c>
      <c r="V352">
        <v>47.843000000000004</v>
      </c>
      <c r="W352">
        <v>6</v>
      </c>
      <c r="X352">
        <v>2.4217626893730086E-2</v>
      </c>
      <c r="Y352">
        <v>-1.0720748565673583</v>
      </c>
      <c r="Z352">
        <v>-0.77152677179181883</v>
      </c>
      <c r="AB352" s="3">
        <f t="shared" si="55"/>
        <v>1.1207807026927669E-3</v>
      </c>
      <c r="AC352" s="3">
        <f t="shared" si="56"/>
        <v>-4.5076409569577008E-4</v>
      </c>
      <c r="AD352" s="3">
        <f t="shared" si="57"/>
        <v>-2.2500766869933408E-3</v>
      </c>
      <c r="AE352" s="76">
        <f t="shared" si="58"/>
        <v>6032.7619047619082</v>
      </c>
      <c r="AF352" s="76">
        <f t="shared" si="59"/>
        <v>7819.6666666666679</v>
      </c>
      <c r="AG352" s="76">
        <f t="shared" si="60"/>
        <v>5579.7880320269724</v>
      </c>
      <c r="AO352" s="5">
        <f t="shared" si="65"/>
        <v>1.2953657174762665E-2</v>
      </c>
      <c r="AP352" s="5">
        <f t="shared" si="61"/>
        <v>0.37001104906043636</v>
      </c>
      <c r="AR352" s="5">
        <f t="shared" si="62"/>
        <v>-0.13446890211925477</v>
      </c>
      <c r="AS352" s="5">
        <f t="shared" si="63"/>
        <v>-0.14074441522240377</v>
      </c>
      <c r="AT352" s="5">
        <f t="shared" si="64"/>
        <v>-0.15172119833485687</v>
      </c>
    </row>
    <row r="353" spans="12:46" x14ac:dyDescent="0.25">
      <c r="L353" s="4">
        <v>45015.5</v>
      </c>
      <c r="M353">
        <v>90.43</v>
      </c>
      <c r="N353">
        <v>91.76</v>
      </c>
      <c r="O353">
        <v>89.55</v>
      </c>
      <c r="P353">
        <v>90.8</v>
      </c>
      <c r="Q353">
        <v>18870</v>
      </c>
      <c r="R353">
        <v>263021</v>
      </c>
      <c r="S353">
        <v>43.609000000000002</v>
      </c>
      <c r="T353">
        <v>43.609000000000002</v>
      </c>
      <c r="U353">
        <v>43.609000000000002</v>
      </c>
      <c r="V353">
        <v>43.609000000000002</v>
      </c>
      <c r="W353">
        <v>0</v>
      </c>
      <c r="X353">
        <v>2.4701017100704235E-2</v>
      </c>
      <c r="Y353">
        <v>-1.0712623029212982</v>
      </c>
      <c r="Z353">
        <v>-0.34723854108748903</v>
      </c>
      <c r="AB353" s="3">
        <f t="shared" si="55"/>
        <v>2.4220342678523965E-3</v>
      </c>
      <c r="AC353" s="3">
        <f t="shared" si="56"/>
        <v>1.0884753767516839E-3</v>
      </c>
      <c r="AD353" s="3">
        <f t="shared" si="57"/>
        <v>-1.2757262056480173E-3</v>
      </c>
      <c r="AE353" s="76">
        <f t="shared" si="58"/>
        <v>6104.1428571428551</v>
      </c>
      <c r="AF353" s="76">
        <f t="shared" si="59"/>
        <v>8000.9047619047597</v>
      </c>
      <c r="AG353" s="76">
        <f t="shared" si="60"/>
        <v>6001.8997050147482</v>
      </c>
      <c r="AO353" s="5">
        <f t="shared" si="65"/>
        <v>2.5750111957008955E-3</v>
      </c>
      <c r="AP353" s="5">
        <f t="shared" si="61"/>
        <v>0.3700169416851834</v>
      </c>
      <c r="AR353" s="5">
        <f t="shared" si="62"/>
        <v>-0.13595745939192194</v>
      </c>
      <c r="AS353" s="5">
        <f t="shared" si="63"/>
        <v>-0.13960980539273693</v>
      </c>
      <c r="AT353" s="5">
        <f t="shared" si="64"/>
        <v>-0.14970448465913</v>
      </c>
    </row>
    <row r="354" spans="12:46" x14ac:dyDescent="0.25">
      <c r="L354" s="4">
        <v>45014.5</v>
      </c>
      <c r="M354">
        <v>89.47</v>
      </c>
      <c r="N354">
        <v>91.1</v>
      </c>
      <c r="O354">
        <v>89.32</v>
      </c>
      <c r="P354">
        <v>90.02</v>
      </c>
      <c r="Q354">
        <v>31115</v>
      </c>
      <c r="R354">
        <v>264196</v>
      </c>
      <c r="S354">
        <v>42.802999999999997</v>
      </c>
      <c r="T354">
        <v>42.802999999999997</v>
      </c>
      <c r="U354">
        <v>42.802999999999997</v>
      </c>
      <c r="V354">
        <v>42.802999999999997</v>
      </c>
      <c r="W354">
        <v>0</v>
      </c>
      <c r="X354">
        <v>2.0314996576124185E-2</v>
      </c>
      <c r="Y354">
        <v>-1.3689102744515638</v>
      </c>
      <c r="Z354">
        <v>1.5020880579902565</v>
      </c>
      <c r="AB354" s="3">
        <f t="shared" si="55"/>
        <v>1.9056984383231806E-3</v>
      </c>
      <c r="AC354" s="3">
        <f t="shared" si="56"/>
        <v>1.5072568699186842E-3</v>
      </c>
      <c r="AD354" s="3">
        <f t="shared" si="57"/>
        <v>-1.1767996364047337E-3</v>
      </c>
      <c r="AE354" s="76">
        <f t="shared" si="58"/>
        <v>5746.1428571428587</v>
      </c>
      <c r="AF354" s="76">
        <f t="shared" si="59"/>
        <v>7904.2083333333321</v>
      </c>
      <c r="AG354" s="76">
        <f t="shared" si="60"/>
        <v>5993.8744205646872</v>
      </c>
      <c r="AO354" s="5">
        <f t="shared" si="65"/>
        <v>1.9401963022140933E-2</v>
      </c>
      <c r="AP354" s="5">
        <f t="shared" si="61"/>
        <v>0.37052697956211056</v>
      </c>
      <c r="AR354" s="5">
        <f t="shared" si="62"/>
        <v>-0.13516095165504821</v>
      </c>
      <c r="AS354" s="5">
        <f t="shared" si="63"/>
        <v>-0.13691294366367474</v>
      </c>
      <c r="AT354" s="5">
        <f t="shared" si="64"/>
        <v>-0.14637514930498946</v>
      </c>
    </row>
    <row r="355" spans="12:46" x14ac:dyDescent="0.25">
      <c r="L355" s="4">
        <v>45013.5</v>
      </c>
      <c r="M355">
        <v>87.62</v>
      </c>
      <c r="N355">
        <v>90.69</v>
      </c>
      <c r="O355">
        <v>87.62</v>
      </c>
      <c r="P355">
        <v>89.4</v>
      </c>
      <c r="Q355">
        <v>28217</v>
      </c>
      <c r="R355">
        <v>271991</v>
      </c>
      <c r="S355">
        <v>42.83</v>
      </c>
      <c r="T355">
        <v>42.83</v>
      </c>
      <c r="U355">
        <v>42.752000000000002</v>
      </c>
      <c r="V355">
        <v>42.752000000000002</v>
      </c>
      <c r="W355">
        <v>10</v>
      </c>
      <c r="X355">
        <v>3.4878436718927437E-2</v>
      </c>
      <c r="Y355">
        <v>-0.41995765805895169</v>
      </c>
      <c r="Z355">
        <v>1.1007210958327456</v>
      </c>
      <c r="AB355" s="3">
        <f t="shared" si="55"/>
        <v>1.1929679467204135E-3</v>
      </c>
      <c r="AC355" s="3">
        <f t="shared" si="56"/>
        <v>1.1249469620881747E-3</v>
      </c>
      <c r="AD355" s="3">
        <f t="shared" si="57"/>
        <v>-1.3681059474009508E-3</v>
      </c>
      <c r="AE355" s="76">
        <f t="shared" si="58"/>
        <v>5121.0952380952403</v>
      </c>
      <c r="AF355" s="76">
        <f t="shared" si="59"/>
        <v>7280.9166666666679</v>
      </c>
      <c r="AG355" s="76">
        <f t="shared" si="60"/>
        <v>5458.9827222924578</v>
      </c>
      <c r="AO355" s="5">
        <f t="shared" si="65"/>
        <v>1.0261731811368621E-2</v>
      </c>
      <c r="AP355" s="5">
        <f t="shared" si="61"/>
        <v>0.37246618035394707</v>
      </c>
      <c r="AR355" s="5">
        <f t="shared" si="62"/>
        <v>-0.13165210766835</v>
      </c>
      <c r="AS355" s="5">
        <f t="shared" si="63"/>
        <v>-0.13239107863938759</v>
      </c>
      <c r="AT355" s="5">
        <f t="shared" si="64"/>
        <v>-0.14142829588719186</v>
      </c>
    </row>
    <row r="356" spans="12:46" x14ac:dyDescent="0.25">
      <c r="L356" s="4">
        <v>45012.5</v>
      </c>
      <c r="M356">
        <v>88.02</v>
      </c>
      <c r="N356">
        <v>89.19</v>
      </c>
      <c r="O356">
        <v>86.73</v>
      </c>
      <c r="P356">
        <v>88.13</v>
      </c>
      <c r="Q356">
        <v>27940</v>
      </c>
      <c r="R356">
        <v>271774</v>
      </c>
      <c r="S356">
        <v>42.527999999999999</v>
      </c>
      <c r="T356">
        <v>42.527999999999999</v>
      </c>
      <c r="U356">
        <v>42.527999999999999</v>
      </c>
      <c r="V356">
        <v>42.527999999999999</v>
      </c>
      <c r="W356">
        <v>0</v>
      </c>
      <c r="X356">
        <v>2.652291105121287E-2</v>
      </c>
      <c r="Y356">
        <v>-0.98318337389739141</v>
      </c>
      <c r="Z356">
        <v>1.0643749252748169</v>
      </c>
      <c r="AB356" s="3">
        <f t="shared" si="55"/>
        <v>1.568610555330828E-3</v>
      </c>
      <c r="AC356" s="3">
        <f t="shared" si="56"/>
        <v>1.1716407447362395E-3</v>
      </c>
      <c r="AD356" s="3">
        <f t="shared" si="57"/>
        <v>-1.4587246973682758E-3</v>
      </c>
      <c r="AE356" s="76">
        <f t="shared" si="58"/>
        <v>4524.9523809523816</v>
      </c>
      <c r="AF356" s="76">
        <f t="shared" si="59"/>
        <v>6698.3273809523816</v>
      </c>
      <c r="AG356" s="76">
        <f t="shared" si="60"/>
        <v>5024.8512431521267</v>
      </c>
      <c r="AO356" s="5">
        <f t="shared" si="65"/>
        <v>1.2699145693835076E-3</v>
      </c>
      <c r="AP356" s="5">
        <f t="shared" si="61"/>
        <v>0.37343393612697989</v>
      </c>
      <c r="AR356" s="5">
        <f t="shared" si="62"/>
        <v>-0.125321888882026</v>
      </c>
      <c r="AS356" s="5">
        <f t="shared" si="63"/>
        <v>-0.12596806024281237</v>
      </c>
      <c r="AT356" s="5">
        <f t="shared" si="64"/>
        <v>-0.13484957513066465</v>
      </c>
    </row>
    <row r="357" spans="12:46" x14ac:dyDescent="0.25">
      <c r="L357" s="4">
        <v>45009.5</v>
      </c>
      <c r="M357">
        <v>92.75</v>
      </c>
      <c r="N357">
        <v>94.14</v>
      </c>
      <c r="O357">
        <v>86.62</v>
      </c>
      <c r="P357">
        <v>87.84</v>
      </c>
      <c r="Q357">
        <v>31761</v>
      </c>
      <c r="R357">
        <v>282024</v>
      </c>
      <c r="S357">
        <v>41.75</v>
      </c>
      <c r="T357">
        <v>41.75</v>
      </c>
      <c r="U357">
        <v>41.094000000000001</v>
      </c>
      <c r="V357">
        <v>41.094000000000001</v>
      </c>
      <c r="W357">
        <v>6</v>
      </c>
      <c r="X357">
        <v>8.3629893238434116E-2</v>
      </c>
      <c r="Y357">
        <v>2.8444286253135793</v>
      </c>
      <c r="Z357">
        <v>1.6032343199944572</v>
      </c>
      <c r="AB357" s="3">
        <f t="shared" si="55"/>
        <v>3.9067838961190371E-4</v>
      </c>
      <c r="AC357" s="3">
        <f t="shared" si="56"/>
        <v>1.8129037025510289E-3</v>
      </c>
      <c r="AD357" s="3">
        <f t="shared" si="57"/>
        <v>-1.071593275796888E-3</v>
      </c>
      <c r="AE357" s="76">
        <f t="shared" si="58"/>
        <v>3563.4761904761908</v>
      </c>
      <c r="AF357" s="76">
        <f t="shared" si="59"/>
        <v>5962.3154761904771</v>
      </c>
      <c r="AG357" s="76">
        <f t="shared" si="60"/>
        <v>4524.4723978086804</v>
      </c>
      <c r="AO357" s="5">
        <f t="shared" si="65"/>
        <v>-3.2178770949720617E-2</v>
      </c>
      <c r="AP357" s="5">
        <f t="shared" si="61"/>
        <v>0.37350841722595268</v>
      </c>
      <c r="AR357" s="5">
        <f t="shared" si="62"/>
        <v>-0.11832917322886349</v>
      </c>
      <c r="AS357" s="5">
        <f t="shared" si="63"/>
        <v>-0.1191888564582575</v>
      </c>
      <c r="AT357" s="5">
        <f t="shared" si="64"/>
        <v>-0.1279692958157902</v>
      </c>
    </row>
    <row r="358" spans="12:46" x14ac:dyDescent="0.25">
      <c r="L358" s="4">
        <v>45008.5</v>
      </c>
      <c r="M358">
        <v>89.92</v>
      </c>
      <c r="N358">
        <v>93.34</v>
      </c>
      <c r="O358">
        <v>89.5</v>
      </c>
      <c r="P358">
        <v>93.1</v>
      </c>
      <c r="Q358">
        <v>24528</v>
      </c>
      <c r="R358">
        <v>283752</v>
      </c>
      <c r="S358">
        <v>42.6</v>
      </c>
      <c r="T358">
        <v>43.81</v>
      </c>
      <c r="U358">
        <v>42.244999999999997</v>
      </c>
      <c r="V358">
        <v>43.186</v>
      </c>
      <c r="W358">
        <v>193</v>
      </c>
      <c r="X358">
        <v>4.2459088898717419E-2</v>
      </c>
      <c r="Y358">
        <v>0.15914011255866264</v>
      </c>
      <c r="Z358">
        <v>0.68242363564660991</v>
      </c>
      <c r="AB358" s="3">
        <f t="shared" si="55"/>
        <v>-3.686143538598044E-3</v>
      </c>
      <c r="AC358" s="3">
        <f t="shared" si="56"/>
        <v>-1.2168711132316407E-3</v>
      </c>
      <c r="AD358" s="3">
        <f t="shared" si="57"/>
        <v>-4.2277213958896998E-3</v>
      </c>
      <c r="AE358" s="76">
        <f t="shared" si="58"/>
        <v>2604</v>
      </c>
      <c r="AF358" s="76">
        <f t="shared" si="59"/>
        <v>5007.8095238095229</v>
      </c>
      <c r="AG358" s="76">
        <f t="shared" si="60"/>
        <v>3712.9776654024427</v>
      </c>
      <c r="AO358" s="5">
        <f t="shared" si="65"/>
        <v>1.3590033975084971E-2</v>
      </c>
      <c r="AP358" s="5">
        <f t="shared" si="61"/>
        <v>0.3724528903580242</v>
      </c>
      <c r="AR358" s="5">
        <f t="shared" si="62"/>
        <v>-0.1112873674629366</v>
      </c>
      <c r="AS358" s="5">
        <f t="shared" si="63"/>
        <v>-0.11247329714343129</v>
      </c>
      <c r="AT358" s="5">
        <f t="shared" si="64"/>
        <v>-0.12109542096473896</v>
      </c>
    </row>
    <row r="359" spans="12:46" x14ac:dyDescent="0.25">
      <c r="L359" s="4">
        <v>45007.5</v>
      </c>
      <c r="M359">
        <v>90.44</v>
      </c>
      <c r="N359">
        <v>90.95</v>
      </c>
      <c r="O359">
        <v>88.3</v>
      </c>
      <c r="P359">
        <v>89.71</v>
      </c>
      <c r="Q359">
        <v>18042</v>
      </c>
      <c r="R359">
        <v>283952</v>
      </c>
      <c r="S359">
        <v>41.55</v>
      </c>
      <c r="T359">
        <v>41.55</v>
      </c>
      <c r="U359">
        <v>39.945</v>
      </c>
      <c r="V359">
        <v>39.973999999999997</v>
      </c>
      <c r="W359">
        <v>107</v>
      </c>
      <c r="X359">
        <v>3.0165054069436606E-2</v>
      </c>
      <c r="Y359">
        <v>-0.70749725614138248</v>
      </c>
      <c r="Z359">
        <v>-0.15785274753640824</v>
      </c>
      <c r="AB359" s="3">
        <f t="shared" si="55"/>
        <v>-3.069214209704664E-3</v>
      </c>
      <c r="AC359" s="3">
        <f t="shared" si="56"/>
        <v>-8.4238080061017906E-4</v>
      </c>
      <c r="AD359" s="3">
        <f t="shared" si="57"/>
        <v>-3.9163593668304353E-3</v>
      </c>
      <c r="AE359" s="76">
        <f t="shared" si="58"/>
        <v>2111.5714285714312</v>
      </c>
      <c r="AF359" s="76">
        <f t="shared" si="59"/>
        <v>4203.0714285714312</v>
      </c>
      <c r="AG359" s="76">
        <f t="shared" si="60"/>
        <v>3464.4905183312258</v>
      </c>
      <c r="AO359" s="5">
        <f t="shared" si="65"/>
        <v>7.41585852823721E-3</v>
      </c>
      <c r="AP359" s="5">
        <f t="shared" si="61"/>
        <v>0.37224202254040811</v>
      </c>
      <c r="AR359" s="5">
        <f t="shared" si="62"/>
        <v>-0.10411702237459175</v>
      </c>
      <c r="AS359" s="5">
        <f t="shared" si="63"/>
        <v>-0.10563769417811386</v>
      </c>
      <c r="AT359" s="5">
        <f t="shared" si="64"/>
        <v>-0.11409148022846449</v>
      </c>
    </row>
    <row r="360" spans="12:46" x14ac:dyDescent="0.25">
      <c r="L360" s="4">
        <v>45006.5</v>
      </c>
      <c r="M360">
        <v>87.85</v>
      </c>
      <c r="N360">
        <v>91.5</v>
      </c>
      <c r="O360">
        <v>87.65</v>
      </c>
      <c r="P360">
        <v>90.44</v>
      </c>
      <c r="Q360">
        <v>25336</v>
      </c>
      <c r="R360">
        <v>284188</v>
      </c>
      <c r="S360">
        <v>38.984999999999999</v>
      </c>
      <c r="T360">
        <v>42.4</v>
      </c>
      <c r="U360">
        <v>38.984999999999999</v>
      </c>
      <c r="V360">
        <v>42.4</v>
      </c>
      <c r="W360">
        <v>53</v>
      </c>
      <c r="X360">
        <v>4.3874643874643807E-2</v>
      </c>
      <c r="Y360">
        <v>0.25682660859810269</v>
      </c>
      <c r="Z360">
        <v>0.82083245512667002</v>
      </c>
      <c r="AB360" s="3">
        <f t="shared" si="55"/>
        <v>-1.1462377889073852E-3</v>
      </c>
      <c r="AC360" s="3">
        <f t="shared" si="56"/>
        <v>2.5626386963790299E-4</v>
      </c>
      <c r="AD360" s="3">
        <f t="shared" si="57"/>
        <v>-2.9521129274206123E-3</v>
      </c>
      <c r="AE360" s="76">
        <f t="shared" si="58"/>
        <v>2403.3809523809541</v>
      </c>
      <c r="AF360" s="76">
        <f t="shared" si="59"/>
        <v>4334.8452380952367</v>
      </c>
      <c r="AG360" s="76">
        <f t="shared" si="60"/>
        <v>3644.9106616097779</v>
      </c>
      <c r="AO360" s="5">
        <f t="shared" si="65"/>
        <v>3.4218289085545792E-2</v>
      </c>
      <c r="AP360" s="5">
        <f t="shared" si="61"/>
        <v>0.37386406158564683</v>
      </c>
      <c r="AR360" s="5">
        <f t="shared" si="62"/>
        <v>-9.6889605689035541E-2</v>
      </c>
      <c r="AS360" s="5">
        <f t="shared" si="63"/>
        <v>-9.8816299362271931E-2</v>
      </c>
      <c r="AT360" s="5">
        <f t="shared" si="64"/>
        <v>-0.10706725938575229</v>
      </c>
    </row>
    <row r="361" spans="12:46" x14ac:dyDescent="0.25">
      <c r="L361" s="4">
        <v>45005.5</v>
      </c>
      <c r="M361">
        <v>87.75</v>
      </c>
      <c r="N361">
        <v>89.2</v>
      </c>
      <c r="O361">
        <v>84.75</v>
      </c>
      <c r="P361">
        <v>87.85</v>
      </c>
      <c r="Q361">
        <v>25914</v>
      </c>
      <c r="R361">
        <v>283335</v>
      </c>
      <c r="S361">
        <v>40.1</v>
      </c>
      <c r="T361">
        <v>40.700000000000003</v>
      </c>
      <c r="U361">
        <v>38.854999999999997</v>
      </c>
      <c r="V361">
        <v>39.325000000000003</v>
      </c>
      <c r="W361">
        <v>69</v>
      </c>
      <c r="X361">
        <v>5.0424929178470287E-2</v>
      </c>
      <c r="Y361">
        <v>0.7017656192088757</v>
      </c>
      <c r="Z361">
        <v>0.91925632524840706</v>
      </c>
      <c r="AB361" s="3">
        <f t="shared" si="55"/>
        <v>-3.2951622195965397E-4</v>
      </c>
      <c r="AC361" s="3">
        <f t="shared" si="56"/>
        <v>1.5680377242741073E-4</v>
      </c>
      <c r="AD361" s="3">
        <f t="shared" si="57"/>
        <v>-3.3472614680078658E-3</v>
      </c>
      <c r="AE361" s="76">
        <f t="shared" si="58"/>
        <v>2222.8095238095266</v>
      </c>
      <c r="AF361" s="76">
        <f t="shared" si="59"/>
        <v>3814.9702380952403</v>
      </c>
      <c r="AG361" s="76">
        <f t="shared" si="60"/>
        <v>3300.3986514959979</v>
      </c>
      <c r="AO361" s="5">
        <f t="shared" si="65"/>
        <v>-1.4649459365190153E-2</v>
      </c>
      <c r="AP361" s="5">
        <f t="shared" si="61"/>
        <v>0.37263013468654149</v>
      </c>
      <c r="AR361" s="5">
        <f t="shared" si="62"/>
        <v>-8.9743316578420051E-2</v>
      </c>
      <c r="AS361" s="5">
        <f t="shared" si="63"/>
        <v>-9.2073125636579656E-2</v>
      </c>
      <c r="AT361" s="5">
        <f t="shared" si="64"/>
        <v>-0.10011923414244284</v>
      </c>
    </row>
    <row r="362" spans="12:46" x14ac:dyDescent="0.25">
      <c r="L362" s="4">
        <v>45002.5</v>
      </c>
      <c r="M362">
        <v>88.25</v>
      </c>
      <c r="N362">
        <v>89.95</v>
      </c>
      <c r="O362">
        <v>86.01</v>
      </c>
      <c r="P362">
        <v>88.4</v>
      </c>
      <c r="Q362">
        <v>26476</v>
      </c>
      <c r="R362">
        <v>282384</v>
      </c>
      <c r="S362">
        <v>43.8</v>
      </c>
      <c r="T362">
        <v>44</v>
      </c>
      <c r="U362">
        <v>42.32</v>
      </c>
      <c r="V362">
        <v>42.856999999999999</v>
      </c>
      <c r="W362">
        <v>135</v>
      </c>
      <c r="X362">
        <v>4.3894830659536511E-2</v>
      </c>
      <c r="Y362">
        <v>0.26105801832171138</v>
      </c>
      <c r="Z362">
        <v>1.014328633974285</v>
      </c>
      <c r="AB362" s="3">
        <f t="shared" si="55"/>
        <v>-1.15095055507905E-3</v>
      </c>
      <c r="AC362" s="3">
        <f t="shared" si="56"/>
        <v>-1.2911590125983738E-3</v>
      </c>
      <c r="AD362" s="3">
        <f t="shared" si="57"/>
        <v>-4.5939809543420057E-3</v>
      </c>
      <c r="AE362" s="76">
        <f t="shared" si="58"/>
        <v>1618.3809523809505</v>
      </c>
      <c r="AF362" s="76">
        <f t="shared" si="59"/>
        <v>3166.1369047619046</v>
      </c>
      <c r="AG362" s="76">
        <f t="shared" si="60"/>
        <v>2802.8971765697424</v>
      </c>
      <c r="AO362" s="5">
        <f t="shared" si="65"/>
        <v>-2.7826086956521147E-3</v>
      </c>
      <c r="AP362" s="5">
        <f t="shared" si="61"/>
        <v>0.3724788853785459</v>
      </c>
      <c r="AR362" s="5">
        <f t="shared" si="62"/>
        <v>-8.2550638996269576E-2</v>
      </c>
      <c r="AS362" s="5">
        <f t="shared" si="63"/>
        <v>-8.5254362235743786E-2</v>
      </c>
      <c r="AT362" s="5">
        <f t="shared" si="64"/>
        <v>-9.3091124136641668E-2</v>
      </c>
    </row>
    <row r="363" spans="12:46" x14ac:dyDescent="0.25">
      <c r="L363" s="4">
        <v>45001.5</v>
      </c>
      <c r="M363">
        <v>89.76</v>
      </c>
      <c r="N363">
        <v>91.8</v>
      </c>
      <c r="O363">
        <v>86.25</v>
      </c>
      <c r="P363">
        <v>87.86</v>
      </c>
      <c r="Q363">
        <v>32652</v>
      </c>
      <c r="R363">
        <v>284062</v>
      </c>
      <c r="S363">
        <v>42</v>
      </c>
      <c r="T363">
        <v>44.65</v>
      </c>
      <c r="U363">
        <v>42</v>
      </c>
      <c r="V363">
        <v>44.341000000000001</v>
      </c>
      <c r="W363">
        <v>42</v>
      </c>
      <c r="X363">
        <v>5.9690255969025566E-2</v>
      </c>
      <c r="Y363">
        <v>1.3835278099722594</v>
      </c>
      <c r="Z363">
        <v>1.7887987903211069</v>
      </c>
      <c r="AB363" s="3">
        <f t="shared" si="55"/>
        <v>-2.3720223623602266E-3</v>
      </c>
      <c r="AC363" s="3">
        <f t="shared" si="56"/>
        <v>-1.4462826600710396E-3</v>
      </c>
      <c r="AD363" s="3">
        <f t="shared" si="57"/>
        <v>-5.0576055186803415E-3</v>
      </c>
      <c r="AE363" s="76">
        <f t="shared" si="58"/>
        <v>1368.8571428571413</v>
      </c>
      <c r="AF363" s="76">
        <f t="shared" si="59"/>
        <v>2834.4702380952367</v>
      </c>
      <c r="AG363" s="76">
        <f t="shared" si="60"/>
        <v>2653.0775389801929</v>
      </c>
      <c r="AO363" s="5">
        <f t="shared" si="65"/>
        <v>-3.0898876404494381E-2</v>
      </c>
      <c r="AP363" s="5">
        <f t="shared" si="61"/>
        <v>0.37331244942799724</v>
      </c>
      <c r="AR363" s="5">
        <f t="shared" si="62"/>
        <v>-7.5200831051507711E-2</v>
      </c>
      <c r="AS363" s="5">
        <f t="shared" si="63"/>
        <v>-7.8418493378517862E-2</v>
      </c>
      <c r="AT363" s="5">
        <f t="shared" si="64"/>
        <v>-8.6061287284922849E-2</v>
      </c>
    </row>
    <row r="364" spans="12:46" x14ac:dyDescent="0.25">
      <c r="L364" s="4">
        <v>45000.5</v>
      </c>
      <c r="M364">
        <v>92.98</v>
      </c>
      <c r="N364">
        <v>95.47</v>
      </c>
      <c r="O364">
        <v>89</v>
      </c>
      <c r="P364">
        <v>89.23</v>
      </c>
      <c r="Q364">
        <v>39255</v>
      </c>
      <c r="R364">
        <v>283641</v>
      </c>
      <c r="S364">
        <v>43.85</v>
      </c>
      <c r="T364">
        <v>43.9</v>
      </c>
      <c r="U364">
        <v>42.65</v>
      </c>
      <c r="V364">
        <v>42.905000000000001</v>
      </c>
      <c r="W364">
        <v>15</v>
      </c>
      <c r="X364">
        <v>6.7684904278690228E-2</v>
      </c>
      <c r="Y364">
        <v>2.0041121565455033</v>
      </c>
      <c r="Z364">
        <v>2.597534200618131</v>
      </c>
      <c r="AB364" s="3">
        <f t="shared" si="55"/>
        <v>-2.3882012778438516E-3</v>
      </c>
      <c r="AC364" s="3">
        <f t="shared" si="56"/>
        <v>-1.8423910191437548E-3</v>
      </c>
      <c r="AD364" s="3">
        <f t="shared" si="57"/>
        <v>-5.4221656823488507E-3</v>
      </c>
      <c r="AE364" s="76">
        <f t="shared" si="58"/>
        <v>884.28571428571377</v>
      </c>
      <c r="AF364" s="76">
        <f t="shared" si="59"/>
        <v>2354.5535714285688</v>
      </c>
      <c r="AG364" s="76">
        <f t="shared" si="60"/>
        <v>2113.2262958280662</v>
      </c>
      <c r="AO364" s="5">
        <f t="shared" si="65"/>
        <v>-3.6796536796536855E-2</v>
      </c>
      <c r="AP364" s="5">
        <f t="shared" si="61"/>
        <v>0.37223219804510166</v>
      </c>
      <c r="AR364" s="5">
        <f t="shared" si="62"/>
        <v>-6.8000070207879681E-2</v>
      </c>
      <c r="AS364" s="5">
        <f t="shared" si="63"/>
        <v>-7.1683191440608751E-2</v>
      </c>
      <c r="AT364" s="5">
        <f t="shared" si="64"/>
        <v>-7.912932354634028E-2</v>
      </c>
    </row>
    <row r="365" spans="12:46" x14ac:dyDescent="0.25">
      <c r="L365" s="4">
        <v>44999.5</v>
      </c>
      <c r="M365">
        <v>95.59</v>
      </c>
      <c r="N365">
        <v>96.9</v>
      </c>
      <c r="O365">
        <v>92.4</v>
      </c>
      <c r="P365">
        <v>92.87</v>
      </c>
      <c r="Q365">
        <v>28379</v>
      </c>
      <c r="R365">
        <v>287405</v>
      </c>
      <c r="S365">
        <v>46.75</v>
      </c>
      <c r="T365">
        <v>46.75</v>
      </c>
      <c r="U365">
        <v>44.185000000000002</v>
      </c>
      <c r="V365">
        <v>44.185000000000002</v>
      </c>
      <c r="W365">
        <v>141</v>
      </c>
      <c r="X365">
        <v>4.4928115015974442E-2</v>
      </c>
      <c r="Y365">
        <v>0.40443982330848199</v>
      </c>
      <c r="Z365">
        <v>1.3024916891863016</v>
      </c>
      <c r="AB365" s="3">
        <f t="shared" si="55"/>
        <v>-3.3486842845457873E-3</v>
      </c>
      <c r="AC365" s="3">
        <f t="shared" si="56"/>
        <v>-3.034343577132316E-3</v>
      </c>
      <c r="AD365" s="3">
        <f t="shared" si="57"/>
        <v>-6.8903644274107972E-3</v>
      </c>
      <c r="AE365" s="76">
        <f t="shared" si="58"/>
        <v>-56</v>
      </c>
      <c r="AF365" s="76">
        <f t="shared" si="59"/>
        <v>1428.3035714285725</v>
      </c>
      <c r="AG365" s="76">
        <f t="shared" si="60"/>
        <v>1181.4285714285725</v>
      </c>
      <c r="AO365" s="5">
        <f t="shared" si="65"/>
        <v>-2.8901734104046242E-2</v>
      </c>
      <c r="AP365" s="5">
        <f t="shared" si="61"/>
        <v>0.37036709264675827</v>
      </c>
      <c r="AR365" s="5">
        <f t="shared" si="62"/>
        <v>-6.0682351900709475E-2</v>
      </c>
      <c r="AS365" s="5">
        <f t="shared" si="63"/>
        <v>-6.484519324282656E-2</v>
      </c>
      <c r="AT365" s="5">
        <f t="shared" si="64"/>
        <v>-7.2107328396888826E-2</v>
      </c>
    </row>
    <row r="366" spans="12:46" x14ac:dyDescent="0.25">
      <c r="L366" s="4">
        <v>44998.5</v>
      </c>
      <c r="M366">
        <v>100.16</v>
      </c>
      <c r="N366">
        <v>100.16</v>
      </c>
      <c r="O366">
        <v>95.15</v>
      </c>
      <c r="P366">
        <v>95.51</v>
      </c>
      <c r="Q366">
        <v>35328</v>
      </c>
      <c r="R366">
        <v>288045</v>
      </c>
      <c r="S366">
        <v>49.25</v>
      </c>
      <c r="T366">
        <v>51.825000000000003</v>
      </c>
      <c r="U366">
        <v>48.8</v>
      </c>
      <c r="V366">
        <v>49.584000000000003</v>
      </c>
      <c r="W366">
        <v>36</v>
      </c>
      <c r="X366">
        <v>5.0606060606060516E-2</v>
      </c>
      <c r="Y366">
        <v>0.83369529304815837</v>
      </c>
      <c r="Z366">
        <v>2.2738526672473247</v>
      </c>
      <c r="AB366" s="3">
        <f t="shared" si="55"/>
        <v>-4.50570489076009E-3</v>
      </c>
      <c r="AC366" s="3">
        <f t="shared" si="56"/>
        <v>-3.9119912549366448E-3</v>
      </c>
      <c r="AD366" s="3">
        <f t="shared" si="57"/>
        <v>-7.9733082293080779E-3</v>
      </c>
      <c r="AE366" s="76">
        <f t="shared" si="58"/>
        <v>-885.52380952381282</v>
      </c>
      <c r="AF366" s="76">
        <f t="shared" si="59"/>
        <v>761.76785714285506</v>
      </c>
      <c r="AG366" s="76">
        <f t="shared" si="60"/>
        <v>374.75979772439678</v>
      </c>
      <c r="AO366" s="5">
        <f t="shared" si="65"/>
        <v>-3.1749262236694727E-2</v>
      </c>
      <c r="AP366" s="5">
        <f t="shared" si="61"/>
        <v>0.36936133236972057</v>
      </c>
      <c r="AR366" s="5">
        <f t="shared" si="62"/>
        <v>-5.3322347101429246E-2</v>
      </c>
      <c r="AS366" s="5">
        <f t="shared" si="63"/>
        <v>-5.7967889888570046E-2</v>
      </c>
      <c r="AT366" s="5">
        <f t="shared" si="64"/>
        <v>-6.5009167864563677E-2</v>
      </c>
    </row>
    <row r="367" spans="12:46" x14ac:dyDescent="0.25">
      <c r="L367" s="4">
        <v>44995.5</v>
      </c>
      <c r="M367">
        <v>99</v>
      </c>
      <c r="N367">
        <v>100.34</v>
      </c>
      <c r="O367">
        <v>98.27</v>
      </c>
      <c r="P367">
        <v>100.17</v>
      </c>
      <c r="Q367">
        <v>20858</v>
      </c>
      <c r="R367">
        <v>291404</v>
      </c>
      <c r="S367">
        <v>48</v>
      </c>
      <c r="T367">
        <v>54.23</v>
      </c>
      <c r="U367">
        <v>45.3</v>
      </c>
      <c r="V367">
        <v>52.856999999999999</v>
      </c>
      <c r="W367">
        <v>33</v>
      </c>
      <c r="X367">
        <v>2.1154828819621947E-2</v>
      </c>
      <c r="Y367">
        <v>-1.3173485449258322</v>
      </c>
      <c r="Z367">
        <v>0.34970664827467057</v>
      </c>
      <c r="AB367" s="3">
        <f t="shared" si="55"/>
        <v>-5.3680869311942617E-3</v>
      </c>
      <c r="AC367" s="3">
        <f t="shared" si="56"/>
        <v>-5.0530041885422511E-3</v>
      </c>
      <c r="AD367" s="3">
        <f t="shared" si="57"/>
        <v>-9.2695957605797227E-3</v>
      </c>
      <c r="AE367" s="76">
        <f t="shared" si="58"/>
        <v>-1906.7142857142862</v>
      </c>
      <c r="AF367" s="76">
        <f t="shared" si="59"/>
        <v>-218.875</v>
      </c>
      <c r="AG367" s="76">
        <f t="shared" si="60"/>
        <v>-772.37294563843534</v>
      </c>
      <c r="AO367" s="5">
        <f t="shared" si="65"/>
        <v>1.8025484305397233E-2</v>
      </c>
      <c r="AP367" s="5">
        <f t="shared" si="61"/>
        <v>0.36890246498898699</v>
      </c>
      <c r="AR367" s="5">
        <f t="shared" si="62"/>
        <v>-4.6016840893530531E-2</v>
      </c>
      <c r="AS367" s="5">
        <f t="shared" si="63"/>
        <v>-5.1029810119853081E-2</v>
      </c>
      <c r="AT367" s="5">
        <f t="shared" si="64"/>
        <v>-5.7854770424200397E-2</v>
      </c>
    </row>
    <row r="368" spans="12:46" x14ac:dyDescent="0.25">
      <c r="L368" s="4">
        <v>44994.5</v>
      </c>
      <c r="M368">
        <v>97.85</v>
      </c>
      <c r="N368">
        <v>99.84</v>
      </c>
      <c r="O368">
        <v>96.53</v>
      </c>
      <c r="P368">
        <v>99.3</v>
      </c>
      <c r="Q368">
        <v>24407</v>
      </c>
      <c r="R368">
        <v>289409</v>
      </c>
      <c r="S368">
        <v>41.15</v>
      </c>
      <c r="T368">
        <v>43.598999999999997</v>
      </c>
      <c r="U368">
        <v>41.15</v>
      </c>
      <c r="V368">
        <v>43.598999999999997</v>
      </c>
      <c r="W368">
        <v>4</v>
      </c>
      <c r="X368">
        <v>3.4486351323192353E-2</v>
      </c>
      <c r="Y368">
        <v>-0.34466364481260259</v>
      </c>
      <c r="Z368">
        <v>0.81506833436042903</v>
      </c>
      <c r="AB368" s="3">
        <f t="shared" si="55"/>
        <v>-4.9637395144523991E-3</v>
      </c>
      <c r="AC368" s="3">
        <f t="shared" si="56"/>
        <v>-4.6113373746945741E-3</v>
      </c>
      <c r="AD368" s="3">
        <f t="shared" si="57"/>
        <v>-8.7664064036657649E-3</v>
      </c>
      <c r="AE368" s="76">
        <f t="shared" si="58"/>
        <v>-2014.047619047622</v>
      </c>
      <c r="AF368" s="76">
        <f t="shared" si="59"/>
        <v>-308.29761904762199</v>
      </c>
      <c r="AG368" s="76">
        <f t="shared" si="60"/>
        <v>-949.11715128529249</v>
      </c>
      <c r="AO368" s="5">
        <f t="shared" si="65"/>
        <v>6.5693430656933831E-3</v>
      </c>
      <c r="AP368" s="5">
        <f t="shared" si="61"/>
        <v>0.37307831911012146</v>
      </c>
      <c r="AR368" s="5">
        <f t="shared" si="62"/>
        <v>-3.8706382407472428E-2</v>
      </c>
      <c r="AS368" s="5">
        <f t="shared" si="63"/>
        <v>-4.4089735937976327E-2</v>
      </c>
      <c r="AT368" s="5">
        <f t="shared" si="64"/>
        <v>-5.0646297088010994E-2</v>
      </c>
    </row>
    <row r="369" spans="12:46" x14ac:dyDescent="0.25">
      <c r="L369" s="4">
        <v>44993.5</v>
      </c>
      <c r="M369">
        <v>95.98</v>
      </c>
      <c r="N369">
        <v>99</v>
      </c>
      <c r="O369">
        <v>95.9</v>
      </c>
      <c r="P369">
        <v>97.83</v>
      </c>
      <c r="Q369">
        <v>18260</v>
      </c>
      <c r="R369">
        <v>292231</v>
      </c>
      <c r="S369">
        <v>44.6</v>
      </c>
      <c r="T369">
        <v>44.6</v>
      </c>
      <c r="U369">
        <v>42.338999999999999</v>
      </c>
      <c r="V369">
        <v>42.338999999999999</v>
      </c>
      <c r="W369">
        <v>33</v>
      </c>
      <c r="X369">
        <v>3.3251099431513401E-2</v>
      </c>
      <c r="Y369">
        <v>-0.41744870247837879</v>
      </c>
      <c r="Z369">
        <v>-3.0909665089999972E-2</v>
      </c>
      <c r="AB369" s="3">
        <f t="shared" si="55"/>
        <v>-5.1181614103097128E-3</v>
      </c>
      <c r="AC369" s="3">
        <f t="shared" si="56"/>
        <v>-4.5085163684770793E-3</v>
      </c>
      <c r="AD369" s="3">
        <f t="shared" si="57"/>
        <v>-9.0213330734080915E-3</v>
      </c>
      <c r="AE369" s="76">
        <f t="shared" si="58"/>
        <v>-2337.8571428571449</v>
      </c>
      <c r="AF369" s="76">
        <f t="shared" si="59"/>
        <v>-652.88095238095411</v>
      </c>
      <c r="AG369" s="76">
        <f t="shared" si="60"/>
        <v>-1307.2128107880344</v>
      </c>
      <c r="AO369" s="5">
        <f t="shared" si="65"/>
        <v>3.3405172413793198E-2</v>
      </c>
      <c r="AP369" s="5">
        <f t="shared" si="61"/>
        <v>0.3744314333544288</v>
      </c>
      <c r="AR369" s="5">
        <f t="shared" si="62"/>
        <v>-3.1577386151255327E-2</v>
      </c>
      <c r="AS369" s="5">
        <f t="shared" si="63"/>
        <v>-3.7343475639506851E-2</v>
      </c>
      <c r="AT369" s="5">
        <f t="shared" si="64"/>
        <v>-4.3612566097763261E-2</v>
      </c>
    </row>
    <row r="370" spans="12:46" x14ac:dyDescent="0.25">
      <c r="L370" s="4">
        <v>44992.5</v>
      </c>
      <c r="M370">
        <v>93.23</v>
      </c>
      <c r="N370">
        <v>96.86</v>
      </c>
      <c r="O370">
        <v>92.8</v>
      </c>
      <c r="P370">
        <v>95.94</v>
      </c>
      <c r="Q370">
        <v>21829</v>
      </c>
      <c r="R370">
        <v>294286</v>
      </c>
      <c r="S370">
        <v>42.8</v>
      </c>
      <c r="T370">
        <v>43.65</v>
      </c>
      <c r="U370">
        <v>42.8</v>
      </c>
      <c r="V370">
        <v>43.37</v>
      </c>
      <c r="W370">
        <v>24</v>
      </c>
      <c r="X370">
        <v>4.3958423559982703E-2</v>
      </c>
      <c r="Y370">
        <v>0.37379691679548577</v>
      </c>
      <c r="Z370">
        <v>0.35446902698077337</v>
      </c>
      <c r="AB370" s="3">
        <f t="shared" si="55"/>
        <v>-6.4240366450029965E-3</v>
      </c>
      <c r="AC370" s="3">
        <f t="shared" si="56"/>
        <v>-4.7416330512663751E-3</v>
      </c>
      <c r="AD370" s="3">
        <f t="shared" si="57"/>
        <v>-9.1170193327408597E-3</v>
      </c>
      <c r="AE370" s="76">
        <f t="shared" si="58"/>
        <v>-2233.3809523809541</v>
      </c>
      <c r="AF370" s="76">
        <f t="shared" si="59"/>
        <v>-593.02976190476329</v>
      </c>
      <c r="AG370" s="76">
        <f t="shared" si="60"/>
        <v>-1336.5292878213222</v>
      </c>
      <c r="AO370" s="5">
        <f t="shared" si="65"/>
        <v>7.7098490607014191E-3</v>
      </c>
      <c r="AP370" s="5">
        <f t="shared" si="61"/>
        <v>0.41659034524906874</v>
      </c>
      <c r="AR370" s="5">
        <f t="shared" si="62"/>
        <v>-2.4199615138522035E-2</v>
      </c>
      <c r="AS370" s="5">
        <f t="shared" si="63"/>
        <v>-3.0485747060808255E-2</v>
      </c>
      <c r="AT370" s="5">
        <f t="shared" si="64"/>
        <v>-3.6502184263431936E-2</v>
      </c>
    </row>
    <row r="371" spans="12:46" x14ac:dyDescent="0.25">
      <c r="L371" s="4">
        <v>44991.5</v>
      </c>
      <c r="M371">
        <v>92.36</v>
      </c>
      <c r="N371">
        <v>94.63</v>
      </c>
      <c r="O371">
        <v>92.09</v>
      </c>
      <c r="P371">
        <v>92.95</v>
      </c>
      <c r="Q371">
        <v>16038</v>
      </c>
      <c r="R371">
        <v>294752</v>
      </c>
      <c r="S371">
        <v>43.3</v>
      </c>
      <c r="T371">
        <v>43.3</v>
      </c>
      <c r="U371">
        <v>41.7</v>
      </c>
      <c r="V371">
        <v>42.149000000000001</v>
      </c>
      <c r="W371">
        <v>14</v>
      </c>
      <c r="X371">
        <v>2.7311827956989162E-2</v>
      </c>
      <c r="Y371">
        <v>-0.84430129469279747</v>
      </c>
      <c r="Z371">
        <v>-0.36382963349763375</v>
      </c>
      <c r="AB371" s="3">
        <f t="shared" si="55"/>
        <v>-4.5896348372583759E-3</v>
      </c>
      <c r="AC371" s="3">
        <f t="shared" si="56"/>
        <v>-3.5366752640117252E-3</v>
      </c>
      <c r="AD371" s="3">
        <f t="shared" si="57"/>
        <v>-8.206347955215347E-3</v>
      </c>
      <c r="AE371" s="76">
        <f t="shared" si="58"/>
        <v>-1709.9523809523816</v>
      </c>
      <c r="AF371" s="76">
        <f t="shared" si="59"/>
        <v>-560.80952380952658</v>
      </c>
      <c r="AG371" s="76">
        <f t="shared" si="60"/>
        <v>-1357.374631268438</v>
      </c>
      <c r="AO371" s="5">
        <f t="shared" si="65"/>
        <v>6.0083023814725489E-3</v>
      </c>
      <c r="AP371" s="5">
        <f t="shared" si="61"/>
        <v>0.41662716177498055</v>
      </c>
      <c r="AR371" s="5">
        <f t="shared" si="62"/>
        <v>-1.9007142455686354E-2</v>
      </c>
      <c r="AS371" s="5">
        <f t="shared" si="63"/>
        <v>-2.5634900870724731E-2</v>
      </c>
      <c r="AT371" s="5">
        <f t="shared" si="64"/>
        <v>-3.1394459588648393E-2</v>
      </c>
    </row>
    <row r="372" spans="12:46" x14ac:dyDescent="0.25">
      <c r="L372" s="4">
        <v>44988.5</v>
      </c>
      <c r="M372">
        <v>93</v>
      </c>
      <c r="N372">
        <v>93.51</v>
      </c>
      <c r="O372">
        <v>91.54</v>
      </c>
      <c r="P372">
        <v>92.27</v>
      </c>
      <c r="Q372">
        <v>20420</v>
      </c>
      <c r="R372">
        <v>294084</v>
      </c>
      <c r="S372">
        <v>45.65</v>
      </c>
      <c r="T372">
        <v>46.284999999999997</v>
      </c>
      <c r="U372">
        <v>44.98</v>
      </c>
      <c r="V372">
        <v>44.98</v>
      </c>
      <c r="W372">
        <v>8</v>
      </c>
      <c r="X372">
        <v>2.0319752449716337E-2</v>
      </c>
      <c r="Y372">
        <v>-1.3732339957387003</v>
      </c>
      <c r="Z372">
        <v>0.14269181942108725</v>
      </c>
      <c r="AB372" s="3">
        <f t="shared" si="55"/>
        <v>-4.3302713039842372E-3</v>
      </c>
      <c r="AC372" s="3">
        <f t="shared" si="56"/>
        <v>-3.3304101865628474E-3</v>
      </c>
      <c r="AD372" s="3">
        <f t="shared" si="57"/>
        <v>-8.3249210879510691E-3</v>
      </c>
      <c r="AE372" s="76">
        <f t="shared" si="58"/>
        <v>-2393</v>
      </c>
      <c r="AF372" s="76">
        <f t="shared" si="59"/>
        <v>-559.54761904761835</v>
      </c>
      <c r="AG372" s="76">
        <f t="shared" si="60"/>
        <v>-1401.7328276443332</v>
      </c>
      <c r="AO372" s="5">
        <f t="shared" si="65"/>
        <v>-1.4639397201291704E-2</v>
      </c>
      <c r="AP372" s="5">
        <f t="shared" si="61"/>
        <v>0.43263893256701036</v>
      </c>
      <c r="AR372" s="5">
        <f t="shared" si="62"/>
        <v>-1.3876827415407189E-2</v>
      </c>
      <c r="AS372" s="5">
        <f t="shared" si="63"/>
        <v>-2.084639648152864E-2</v>
      </c>
      <c r="AT372" s="5">
        <f t="shared" si="64"/>
        <v>-2.6323212662699991E-2</v>
      </c>
    </row>
    <row r="373" spans="12:46" x14ac:dyDescent="0.25">
      <c r="L373" s="4">
        <v>44987.5</v>
      </c>
      <c r="M373">
        <v>96.95</v>
      </c>
      <c r="N373">
        <v>98.41</v>
      </c>
      <c r="O373">
        <v>92.9</v>
      </c>
      <c r="P373">
        <v>93</v>
      </c>
      <c r="Q373">
        <v>24544</v>
      </c>
      <c r="R373">
        <v>294581</v>
      </c>
      <c r="S373">
        <v>47.5</v>
      </c>
      <c r="T373">
        <v>47.5</v>
      </c>
      <c r="U373">
        <v>46.814999999999998</v>
      </c>
      <c r="V373">
        <v>46.814999999999998</v>
      </c>
      <c r="W373">
        <v>3</v>
      </c>
      <c r="X373">
        <v>5.5249172766469373E-2</v>
      </c>
      <c r="Y373">
        <v>1.1999357900897358</v>
      </c>
      <c r="Z373">
        <v>0.6170888555407017</v>
      </c>
      <c r="AB373" s="3">
        <f t="shared" si="55"/>
        <v>-3.6601565242561918E-3</v>
      </c>
      <c r="AC373" s="3">
        <f t="shared" si="56"/>
        <v>-1.5218844724991382E-3</v>
      </c>
      <c r="AD373" s="3">
        <f t="shared" si="57"/>
        <v>-6.4875997144262579E-3</v>
      </c>
      <c r="AE373" s="76">
        <f t="shared" si="58"/>
        <v>-1882.3333333333358</v>
      </c>
      <c r="AF373" s="76">
        <f t="shared" si="59"/>
        <v>-379.68452380952658</v>
      </c>
      <c r="AG373" s="76">
        <f t="shared" si="60"/>
        <v>-1030.106616097768</v>
      </c>
      <c r="AO373" s="5">
        <f t="shared" si="65"/>
        <v>-3.6506948765816179E-2</v>
      </c>
      <c r="AP373" s="5">
        <f t="shared" si="61"/>
        <v>0.43247144249147035</v>
      </c>
      <c r="AR373" s="5">
        <f t="shared" si="62"/>
        <v>-9.5082492090953208E-3</v>
      </c>
      <c r="AS373" s="5">
        <f t="shared" si="63"/>
        <v>-1.6816351831294929E-2</v>
      </c>
      <c r="AT373" s="5">
        <f t="shared" si="64"/>
        <v>-2.1975423613432743E-2</v>
      </c>
    </row>
    <row r="374" spans="12:46" x14ac:dyDescent="0.25">
      <c r="L374" s="4">
        <v>44986.5</v>
      </c>
      <c r="M374">
        <v>99.73</v>
      </c>
      <c r="N374">
        <v>99.79</v>
      </c>
      <c r="O374">
        <v>96.42</v>
      </c>
      <c r="P374">
        <v>97.11</v>
      </c>
      <c r="Q374">
        <v>19314</v>
      </c>
      <c r="R374">
        <v>295467</v>
      </c>
      <c r="S374">
        <v>47.25</v>
      </c>
      <c r="T374">
        <v>48.2</v>
      </c>
      <c r="U374">
        <v>47</v>
      </c>
      <c r="V374">
        <v>47.084000000000003</v>
      </c>
      <c r="W374">
        <v>5</v>
      </c>
      <c r="X374">
        <v>3.3679792124725209E-2</v>
      </c>
      <c r="Y374">
        <v>-0.41929601451292936</v>
      </c>
      <c r="Z374">
        <v>-2.0619150958695358E-2</v>
      </c>
      <c r="AB374" s="3">
        <f t="shared" si="55"/>
        <v>-3.1829349826472328E-3</v>
      </c>
      <c r="AC374" s="3">
        <f t="shared" si="56"/>
        <v>-1.059443719795071E-3</v>
      </c>
      <c r="AD374" s="3">
        <f t="shared" si="57"/>
        <v>-6.0305213153997103E-3</v>
      </c>
      <c r="AE374" s="76">
        <f t="shared" si="58"/>
        <v>-706.28571428571377</v>
      </c>
      <c r="AF374" s="76">
        <f t="shared" si="59"/>
        <v>127.44047619047706</v>
      </c>
      <c r="AG374" s="76">
        <f t="shared" si="60"/>
        <v>-548.46439106616162</v>
      </c>
      <c r="AO374" s="5">
        <f t="shared" si="65"/>
        <v>-2.6060606060606045E-2</v>
      </c>
      <c r="AP374" s="5">
        <f t="shared" si="61"/>
        <v>0.45618306038143047</v>
      </c>
      <c r="AR374" s="5">
        <f t="shared" si="62"/>
        <v>-4.8686854341363217E-3</v>
      </c>
      <c r="AS374" s="5">
        <f t="shared" si="63"/>
        <v>-1.2688848214160497E-2</v>
      </c>
      <c r="AT374" s="5">
        <f t="shared" si="64"/>
        <v>-1.7558121348210887E-2</v>
      </c>
    </row>
    <row r="375" spans="12:46" x14ac:dyDescent="0.25">
      <c r="L375" s="4">
        <v>44985.5</v>
      </c>
      <c r="M375">
        <v>100.06</v>
      </c>
      <c r="N375">
        <v>100.79</v>
      </c>
      <c r="O375">
        <v>99</v>
      </c>
      <c r="P375">
        <v>99.54</v>
      </c>
      <c r="Q375">
        <v>18723</v>
      </c>
      <c r="R375">
        <v>295745</v>
      </c>
      <c r="S375">
        <v>48</v>
      </c>
      <c r="T375">
        <v>48</v>
      </c>
      <c r="U375">
        <v>46.664999999999999</v>
      </c>
      <c r="V375">
        <v>46.664999999999999</v>
      </c>
      <c r="W375">
        <v>4</v>
      </c>
      <c r="X375">
        <v>1.834956432598674E-2</v>
      </c>
      <c r="Y375">
        <v>-1.5685729421620447</v>
      </c>
      <c r="Z375">
        <v>-8.5943715848064817E-2</v>
      </c>
      <c r="AB375" s="3">
        <f t="shared" si="55"/>
        <v>-2.2244511914264672E-3</v>
      </c>
      <c r="AC375" s="3">
        <f t="shared" si="56"/>
        <v>4.9647912578724279E-4</v>
      </c>
      <c r="AD375" s="3">
        <f t="shared" si="57"/>
        <v>-4.9533754330567115E-3</v>
      </c>
      <c r="AE375" s="76">
        <f t="shared" si="58"/>
        <v>867.38095238095048</v>
      </c>
      <c r="AF375" s="76">
        <f t="shared" si="59"/>
        <v>634.15476190475965</v>
      </c>
      <c r="AG375" s="76">
        <f t="shared" si="60"/>
        <v>-63.436578171091242</v>
      </c>
      <c r="AO375" s="5">
        <f t="shared" si="65"/>
        <v>1.6844700082169276E-2</v>
      </c>
      <c r="AP375" s="5">
        <f t="shared" si="61"/>
        <v>0.48486775428066997</v>
      </c>
      <c r="AR375" s="5">
        <f t="shared" si="62"/>
        <v>-1.5194945734764431E-3</v>
      </c>
      <c r="AS375" s="5">
        <f t="shared" si="63"/>
        <v>-9.7520399723045603E-3</v>
      </c>
      <c r="AT375" s="5">
        <f t="shared" si="64"/>
        <v>-1.430479544457175E-2</v>
      </c>
    </row>
    <row r="376" spans="12:46" x14ac:dyDescent="0.25">
      <c r="L376" s="4">
        <v>44984.5</v>
      </c>
      <c r="M376">
        <v>97.55</v>
      </c>
      <c r="N376">
        <v>100.64</v>
      </c>
      <c r="O376">
        <v>97.36</v>
      </c>
      <c r="P376">
        <v>100.29</v>
      </c>
      <c r="Q376">
        <v>18728</v>
      </c>
      <c r="R376">
        <v>296630</v>
      </c>
      <c r="S376">
        <v>47.298999999999999</v>
      </c>
      <c r="T376">
        <v>47.298999999999999</v>
      </c>
      <c r="U376">
        <v>47.298999999999999</v>
      </c>
      <c r="V376">
        <v>47.298999999999999</v>
      </c>
      <c r="W376">
        <v>0</v>
      </c>
      <c r="X376">
        <v>3.3783087856627883E-2</v>
      </c>
      <c r="Y376">
        <v>-0.47067081017080414</v>
      </c>
      <c r="Z376">
        <v>-9.1591791144849985E-2</v>
      </c>
      <c r="AB376" s="3">
        <f t="shared" si="55"/>
        <v>-3.0958408383964589E-3</v>
      </c>
      <c r="AC376" s="3">
        <f t="shared" si="56"/>
        <v>8.1585941556842206E-4</v>
      </c>
      <c r="AD376" s="3">
        <f t="shared" si="57"/>
        <v>-4.3456851573213523E-3</v>
      </c>
      <c r="AE376" s="76">
        <f t="shared" si="58"/>
        <v>1456.2380952380954</v>
      </c>
      <c r="AF376" s="76">
        <f t="shared" si="59"/>
        <v>653.58928571428623</v>
      </c>
      <c r="AG376" s="76">
        <f t="shared" si="60"/>
        <v>-4.0240202275599586</v>
      </c>
      <c r="AO376" s="5">
        <f t="shared" si="65"/>
        <v>5.4735102757410012E-3</v>
      </c>
      <c r="AP376" s="5">
        <f t="shared" si="61"/>
        <v>0.51542298316494062</v>
      </c>
      <c r="AR376" s="5">
        <f t="shared" si="62"/>
        <v>4.7526388720098289E-4</v>
      </c>
      <c r="AS376" s="5">
        <f t="shared" si="63"/>
        <v>-8.1819649847801879E-3</v>
      </c>
      <c r="AT376" s="5">
        <f t="shared" si="64"/>
        <v>-1.2421310907927752E-2</v>
      </c>
    </row>
    <row r="377" spans="12:46" x14ac:dyDescent="0.25">
      <c r="L377" s="4">
        <v>44981.5</v>
      </c>
      <c r="M377">
        <v>97.09</v>
      </c>
      <c r="N377">
        <v>100.2</v>
      </c>
      <c r="O377">
        <v>96.83</v>
      </c>
      <c r="P377">
        <v>97.85</v>
      </c>
      <c r="Q377">
        <v>16989</v>
      </c>
      <c r="R377">
        <v>295182</v>
      </c>
      <c r="S377">
        <v>51.012999999999998</v>
      </c>
      <c r="T377">
        <v>51.012999999999998</v>
      </c>
      <c r="U377">
        <v>51.012999999999998</v>
      </c>
      <c r="V377">
        <v>51.012999999999998</v>
      </c>
      <c r="W377">
        <v>0</v>
      </c>
      <c r="X377">
        <v>3.5078588529197513E-2</v>
      </c>
      <c r="Y377">
        <v>-0.36445716189617661</v>
      </c>
      <c r="Z377">
        <v>-0.28496400454660098</v>
      </c>
      <c r="AB377" s="3">
        <f t="shared" si="55"/>
        <v>-3.6762758182536312E-3</v>
      </c>
      <c r="AC377" s="3">
        <f t="shared" si="56"/>
        <v>-5.8904057138424448E-5</v>
      </c>
      <c r="AD377" s="3">
        <f t="shared" si="57"/>
        <v>-5.0337877112821838E-3</v>
      </c>
      <c r="AE377" s="76">
        <f t="shared" si="58"/>
        <v>2325</v>
      </c>
      <c r="AF377" s="76">
        <f t="shared" si="59"/>
        <v>699.375</v>
      </c>
      <c r="AG377" s="76">
        <f t="shared" si="60"/>
        <v>154.81036662452607</v>
      </c>
      <c r="AO377" s="5">
        <f t="shared" si="65"/>
        <v>9.5923261390887474E-3</v>
      </c>
      <c r="AP377" s="5">
        <f t="shared" si="61"/>
        <v>0.52153578314555971</v>
      </c>
      <c r="AR377" s="5">
        <f t="shared" si="62"/>
        <v>1.0912085518219872E-3</v>
      </c>
      <c r="AS377" s="5">
        <f t="shared" si="63"/>
        <v>-8.0562351276510791E-3</v>
      </c>
      <c r="AT377" s="5">
        <f t="shared" si="64"/>
        <v>-1.1997175599438359E-2</v>
      </c>
    </row>
    <row r="378" spans="12:46" x14ac:dyDescent="0.25">
      <c r="L378" s="4">
        <v>44980.5</v>
      </c>
      <c r="M378">
        <v>96.07</v>
      </c>
      <c r="N378">
        <v>98.17</v>
      </c>
      <c r="O378">
        <v>95.91</v>
      </c>
      <c r="P378">
        <v>96.69</v>
      </c>
      <c r="Q378">
        <v>15334</v>
      </c>
      <c r="R378">
        <v>294648</v>
      </c>
      <c r="S378">
        <v>50.78</v>
      </c>
      <c r="T378">
        <v>50.78</v>
      </c>
      <c r="U378">
        <v>50.78</v>
      </c>
      <c r="V378">
        <v>50.78</v>
      </c>
      <c r="W378">
        <v>0</v>
      </c>
      <c r="X378">
        <v>2.2593222033390033E-2</v>
      </c>
      <c r="Y378">
        <v>-1.2654228447685734</v>
      </c>
      <c r="Z378">
        <v>-0.47718601168633151</v>
      </c>
      <c r="AB378" s="3">
        <f t="shared" si="55"/>
        <v>-3.3915845862871746E-4</v>
      </c>
      <c r="AC378" s="3">
        <f t="shared" si="56"/>
        <v>1.7390809464471607E-3</v>
      </c>
      <c r="AD378" s="3">
        <f t="shared" si="57"/>
        <v>-3.5638530569948451E-3</v>
      </c>
      <c r="AE378" s="76">
        <f t="shared" si="58"/>
        <v>3647.1428571428551</v>
      </c>
      <c r="AF378" s="76">
        <f t="shared" si="59"/>
        <v>929.92857142856883</v>
      </c>
      <c r="AG378" s="76">
        <f t="shared" si="60"/>
        <v>644.55372945638373</v>
      </c>
      <c r="AO378" s="5">
        <f t="shared" si="65"/>
        <v>-4.168837936425873E-4</v>
      </c>
      <c r="AP378" s="5">
        <f t="shared" si="61"/>
        <v>0.52155230297869926</v>
      </c>
      <c r="AR378" s="5">
        <f t="shared" si="62"/>
        <v>1.1761247783693696E-3</v>
      </c>
      <c r="AS378" s="5">
        <f t="shared" si="63"/>
        <v>-8.4028796995411215E-3</v>
      </c>
      <c r="AT378" s="5">
        <f t="shared" si="64"/>
        <v>-1.2011909020540723E-2</v>
      </c>
    </row>
    <row r="379" spans="12:46" x14ac:dyDescent="0.25">
      <c r="L379" s="4">
        <v>44979.5</v>
      </c>
      <c r="M379">
        <v>100.03</v>
      </c>
      <c r="N379">
        <v>100.6</v>
      </c>
      <c r="O379">
        <v>95.95</v>
      </c>
      <c r="P379">
        <v>96.3</v>
      </c>
      <c r="Q379">
        <v>18703</v>
      </c>
      <c r="R379">
        <v>293873</v>
      </c>
      <c r="S379">
        <v>50.567999999999998</v>
      </c>
      <c r="T379">
        <v>50.567999999999998</v>
      </c>
      <c r="U379">
        <v>50.567999999999998</v>
      </c>
      <c r="V379">
        <v>50.567999999999998</v>
      </c>
      <c r="W379">
        <v>0</v>
      </c>
      <c r="X379">
        <v>4.7424783273839789E-2</v>
      </c>
      <c r="Y379">
        <v>0.54962036689138705</v>
      </c>
      <c r="Z379">
        <v>-9.1865081354594827E-2</v>
      </c>
      <c r="AB379" s="3">
        <f t="shared" si="55"/>
        <v>1.3221646521769312E-3</v>
      </c>
      <c r="AC379" s="3">
        <f t="shared" si="56"/>
        <v>3.2278783130271355E-3</v>
      </c>
      <c r="AD379" s="3">
        <f t="shared" si="57"/>
        <v>-2.3089426291019316E-3</v>
      </c>
      <c r="AE379" s="76">
        <f t="shared" si="58"/>
        <v>4554.1904761904752</v>
      </c>
      <c r="AF379" s="76">
        <f t="shared" si="59"/>
        <v>1039.7559523809505</v>
      </c>
      <c r="AG379" s="76">
        <f t="shared" si="60"/>
        <v>859.3935946059828</v>
      </c>
      <c r="AO379" s="5">
        <f t="shared" si="65"/>
        <v>-6.831590932615636E-3</v>
      </c>
      <c r="AP379" s="5">
        <f t="shared" si="61"/>
        <v>0.52294907920917089</v>
      </c>
      <c r="AR379" s="5">
        <f t="shared" si="62"/>
        <v>1.1552093024419507E-3</v>
      </c>
      <c r="AS379" s="5">
        <f t="shared" si="63"/>
        <v>-8.7936797335915751E-3</v>
      </c>
      <c r="AT379" s="5">
        <f t="shared" si="64"/>
        <v>-1.2066558019318552E-2</v>
      </c>
    </row>
    <row r="380" spans="12:46" x14ac:dyDescent="0.25">
      <c r="L380" s="4">
        <v>44978.5</v>
      </c>
      <c r="M380">
        <v>98.05</v>
      </c>
      <c r="N380">
        <v>101.25</v>
      </c>
      <c r="O380">
        <v>96.61</v>
      </c>
      <c r="P380">
        <v>100.12</v>
      </c>
      <c r="Q380">
        <v>22658</v>
      </c>
      <c r="R380">
        <v>293884</v>
      </c>
      <c r="S380">
        <v>50.8</v>
      </c>
      <c r="T380">
        <v>50.8</v>
      </c>
      <c r="U380">
        <v>48.542000000000002</v>
      </c>
      <c r="V380">
        <v>48.542000000000002</v>
      </c>
      <c r="W380">
        <v>1</v>
      </c>
      <c r="X380">
        <v>4.8182762201453795E-2</v>
      </c>
      <c r="Y380">
        <v>0.61129392416703221</v>
      </c>
      <c r="Z380">
        <v>0.3720989011452796</v>
      </c>
      <c r="AB380" s="3">
        <f t="shared" si="55"/>
        <v>1.6832250189997983E-3</v>
      </c>
      <c r="AC380" s="3">
        <f t="shared" si="56"/>
        <v>2.9306913337610596E-3</v>
      </c>
      <c r="AD380" s="3">
        <f t="shared" si="57"/>
        <v>-2.7994362692242702E-3</v>
      </c>
      <c r="AE380" s="76">
        <f t="shared" si="58"/>
        <v>5874.9047619047597</v>
      </c>
      <c r="AF380" s="76">
        <f t="shared" si="59"/>
        <v>1357.375</v>
      </c>
      <c r="AG380" s="76">
        <f t="shared" si="60"/>
        <v>1104.0518331226267</v>
      </c>
      <c r="AO380" s="5">
        <f t="shared" si="65"/>
        <v>7.4035453597496737E-3</v>
      </c>
      <c r="AP380" s="5">
        <f t="shared" si="61"/>
        <v>0.523117208605688</v>
      </c>
      <c r="AR380" s="5">
        <f t="shared" si="62"/>
        <v>1.1710387939488642E-3</v>
      </c>
      <c r="AS380" s="5">
        <f t="shared" si="63"/>
        <v>-9.1756820528536842E-3</v>
      </c>
      <c r="AT380" s="5">
        <f t="shared" si="64"/>
        <v>-1.211803827241198E-2</v>
      </c>
    </row>
    <row r="381" spans="12:46" x14ac:dyDescent="0.25">
      <c r="L381" s="4">
        <v>44977.5</v>
      </c>
      <c r="M381">
        <v>96.3</v>
      </c>
      <c r="N381">
        <v>99.99</v>
      </c>
      <c r="O381">
        <v>95.9</v>
      </c>
      <c r="P381">
        <v>98.3</v>
      </c>
      <c r="Q381">
        <v>18598</v>
      </c>
      <c r="R381">
        <v>292375</v>
      </c>
      <c r="S381">
        <v>49.7</v>
      </c>
      <c r="T381">
        <v>49.7</v>
      </c>
      <c r="U381">
        <v>49.046999999999997</v>
      </c>
      <c r="V381">
        <v>49.046999999999997</v>
      </c>
      <c r="W381">
        <v>0</v>
      </c>
      <c r="X381">
        <v>4.173469387755091E-2</v>
      </c>
      <c r="Y381">
        <v>0.15993671561915371</v>
      </c>
      <c r="Z381">
        <v>-9.4987580229535837E-2</v>
      </c>
      <c r="AB381" s="3">
        <f t="shared" si="55"/>
        <v>6.896690327714769E-4</v>
      </c>
      <c r="AC381" s="3">
        <f t="shared" si="56"/>
        <v>1.5507438679061084E-3</v>
      </c>
      <c r="AD381" s="3">
        <f t="shared" si="57"/>
        <v>-4.0495899322197104E-3</v>
      </c>
      <c r="AE381" s="76">
        <f t="shared" si="58"/>
        <v>6494.7142857142844</v>
      </c>
      <c r="AF381" s="76">
        <f t="shared" si="59"/>
        <v>1294</v>
      </c>
      <c r="AG381" s="76">
        <f t="shared" si="60"/>
        <v>1054.228824273072</v>
      </c>
      <c r="AO381" s="5">
        <f t="shared" si="65"/>
        <v>3.873128860044013E-3</v>
      </c>
      <c r="AP381" s="5">
        <f t="shared" si="61"/>
        <v>0.52307774242421412</v>
      </c>
      <c r="AR381" s="5">
        <f t="shared" si="62"/>
        <v>1.1153368408567399E-3</v>
      </c>
      <c r="AS381" s="5">
        <f t="shared" si="63"/>
        <v>-9.6076080405619324E-3</v>
      </c>
      <c r="AT381" s="5">
        <f t="shared" si="64"/>
        <v>-1.2237769421729383E-2</v>
      </c>
    </row>
    <row r="382" spans="12:46" x14ac:dyDescent="0.25">
      <c r="L382" s="4">
        <v>44974.5</v>
      </c>
      <c r="M382">
        <v>98</v>
      </c>
      <c r="N382">
        <v>98.45</v>
      </c>
      <c r="O382">
        <v>95.53</v>
      </c>
      <c r="P382">
        <v>96.03</v>
      </c>
      <c r="Q382">
        <v>16835</v>
      </c>
      <c r="R382">
        <v>290869</v>
      </c>
      <c r="S382">
        <v>49.7</v>
      </c>
      <c r="T382">
        <v>49.7</v>
      </c>
      <c r="U382">
        <v>49.046999999999997</v>
      </c>
      <c r="V382">
        <v>49.046999999999997</v>
      </c>
      <c r="W382">
        <v>2</v>
      </c>
      <c r="X382">
        <v>3.0965005302226956E-2</v>
      </c>
      <c r="Y382">
        <v>-0.63911205347900168</v>
      </c>
      <c r="Z382">
        <v>-0.30227846106392198</v>
      </c>
      <c r="AB382" s="3">
        <f t="shared" si="55"/>
        <v>-9.3592837308871524E-4</v>
      </c>
      <c r="AC382" s="3">
        <f t="shared" si="56"/>
        <v>3.7563698107458132E-4</v>
      </c>
      <c r="AD382" s="3">
        <f t="shared" si="57"/>
        <v>-5.026121298497957E-3</v>
      </c>
      <c r="AE382" s="76">
        <f t="shared" si="58"/>
        <v>6676.5238095238092</v>
      </c>
      <c r="AF382" s="76">
        <f t="shared" si="59"/>
        <v>963.71428571428623</v>
      </c>
      <c r="AG382" s="76">
        <f t="shared" si="60"/>
        <v>891.45638432363921</v>
      </c>
      <c r="AO382" s="5">
        <f t="shared" si="65"/>
        <v>1.422656332944053E-2</v>
      </c>
      <c r="AP382" s="5">
        <f t="shared" si="61"/>
        <v>0.52346706487365369</v>
      </c>
      <c r="AR382" s="5">
        <f t="shared" si="62"/>
        <v>1.0698792116548006E-3</v>
      </c>
      <c r="AS382" s="5">
        <f t="shared" si="63"/>
        <v>-1.0036483131718565E-2</v>
      </c>
      <c r="AT382" s="5">
        <f t="shared" si="64"/>
        <v>-1.2359600251961145E-2</v>
      </c>
    </row>
    <row r="383" spans="12:46" x14ac:dyDescent="0.25">
      <c r="L383" s="4">
        <v>44973.5</v>
      </c>
      <c r="M383">
        <v>94.3</v>
      </c>
      <c r="N383">
        <v>98.31</v>
      </c>
      <c r="O383">
        <v>94.19</v>
      </c>
      <c r="P383">
        <v>97.85</v>
      </c>
      <c r="Q383">
        <v>23159</v>
      </c>
      <c r="R383">
        <v>288995</v>
      </c>
      <c r="S383">
        <v>54</v>
      </c>
      <c r="T383">
        <v>54</v>
      </c>
      <c r="U383">
        <v>52.011000000000003</v>
      </c>
      <c r="V383">
        <v>52.011000000000003</v>
      </c>
      <c r="W383">
        <v>11</v>
      </c>
      <c r="X383">
        <v>4.4909526923915463E-2</v>
      </c>
      <c r="Y383">
        <v>0.387296374579022</v>
      </c>
      <c r="Z383">
        <v>0.42865976094320607</v>
      </c>
      <c r="AB383" s="3">
        <f t="shared" si="55"/>
        <v>-1.516970557054978E-3</v>
      </c>
      <c r="AC383" s="3">
        <f t="shared" si="56"/>
        <v>2.2655778388935843E-4</v>
      </c>
      <c r="AD383" s="3">
        <f t="shared" si="57"/>
        <v>-5.1182307580003236E-3</v>
      </c>
      <c r="AE383" s="76">
        <f t="shared" si="58"/>
        <v>7396.8095238095248</v>
      </c>
      <c r="AF383" s="76">
        <f t="shared" si="59"/>
        <v>1252.6488095238092</v>
      </c>
      <c r="AG383" s="76">
        <f t="shared" si="60"/>
        <v>1114.4719764011825</v>
      </c>
      <c r="AO383" s="5">
        <f t="shared" si="65"/>
        <v>4.1348811498065172E-2</v>
      </c>
      <c r="AP383" s="5">
        <f t="shared" si="61"/>
        <v>0.52331256269416426</v>
      </c>
      <c r="AR383" s="5">
        <f t="shared" si="62"/>
        <v>1.0933597706149767E-3</v>
      </c>
      <c r="AS383" s="5">
        <f t="shared" si="63"/>
        <v>-1.0414257643402536E-2</v>
      </c>
      <c r="AT383" s="5">
        <f t="shared" si="64"/>
        <v>-1.244857792694154E-2</v>
      </c>
    </row>
    <row r="384" spans="12:46" x14ac:dyDescent="0.25">
      <c r="L384" s="4">
        <v>44972.5</v>
      </c>
      <c r="M384">
        <v>91.74</v>
      </c>
      <c r="N384">
        <v>95</v>
      </c>
      <c r="O384">
        <v>90.45</v>
      </c>
      <c r="P384">
        <v>94.59</v>
      </c>
      <c r="Q384">
        <v>21091</v>
      </c>
      <c r="R384">
        <v>288398</v>
      </c>
      <c r="S384">
        <v>54.2</v>
      </c>
      <c r="T384">
        <v>54.716000000000001</v>
      </c>
      <c r="U384">
        <v>54.2</v>
      </c>
      <c r="V384">
        <v>54.716000000000001</v>
      </c>
      <c r="W384">
        <v>1</v>
      </c>
      <c r="X384">
        <v>4.9306458604247913E-2</v>
      </c>
      <c r="Y384">
        <v>0.71916896114429563</v>
      </c>
      <c r="Z384">
        <v>0.1716198729818684</v>
      </c>
      <c r="AB384" s="3">
        <f t="shared" si="55"/>
        <v>4.4795353498384288E-4</v>
      </c>
      <c r="AC384" s="3">
        <f t="shared" si="56"/>
        <v>1.6820129460912644E-3</v>
      </c>
      <c r="AD384" s="3">
        <f t="shared" si="57"/>
        <v>-3.4656157930251855E-3</v>
      </c>
      <c r="AE384" s="76">
        <f t="shared" si="58"/>
        <v>8163.0476190476184</v>
      </c>
      <c r="AF384" s="76">
        <f t="shared" si="59"/>
        <v>1434.9345238095229</v>
      </c>
      <c r="AG384" s="76">
        <f t="shared" si="60"/>
        <v>1281.5920775389786</v>
      </c>
      <c r="AO384" s="5">
        <f t="shared" si="65"/>
        <v>6.0060060060060762E-3</v>
      </c>
      <c r="AP384" s="5">
        <f t="shared" si="61"/>
        <v>0.52228341013278079</v>
      </c>
      <c r="AR384" s="5">
        <f t="shared" si="62"/>
        <v>7.4408571036144178E-4</v>
      </c>
      <c r="AS384" s="5">
        <f t="shared" si="63"/>
        <v>-1.1032332145918367E-2</v>
      </c>
      <c r="AT384" s="5">
        <f t="shared" si="64"/>
        <v>-1.2723309934243421E-2</v>
      </c>
    </row>
    <row r="385" spans="12:46" x14ac:dyDescent="0.25">
      <c r="L385" s="4">
        <v>44971.5</v>
      </c>
      <c r="M385">
        <v>92.28</v>
      </c>
      <c r="N385">
        <v>93.5</v>
      </c>
      <c r="O385">
        <v>89.91</v>
      </c>
      <c r="P385">
        <v>91.39</v>
      </c>
      <c r="Q385">
        <v>20478</v>
      </c>
      <c r="R385">
        <v>289439</v>
      </c>
      <c r="S385">
        <v>52</v>
      </c>
      <c r="T385">
        <v>52.386000000000003</v>
      </c>
      <c r="U385">
        <v>52</v>
      </c>
      <c r="V385">
        <v>52.386000000000003</v>
      </c>
      <c r="W385">
        <v>1</v>
      </c>
      <c r="X385">
        <v>3.8539989264626977E-2</v>
      </c>
      <c r="Y385">
        <v>-7.8498941393752283E-2</v>
      </c>
      <c r="Z385">
        <v>0.10193693548818475</v>
      </c>
      <c r="AB385" s="3">
        <f t="shared" si="55"/>
        <v>2.8068049551177587E-4</v>
      </c>
      <c r="AC385" s="3">
        <f t="shared" si="56"/>
        <v>1.0483555705675315E-3</v>
      </c>
      <c r="AD385" s="3">
        <f t="shared" si="57"/>
        <v>-3.8738380273510148E-3</v>
      </c>
      <c r="AE385" s="76">
        <f t="shared" si="58"/>
        <v>8787.4761904761908</v>
      </c>
      <c r="AF385" s="76">
        <f t="shared" si="59"/>
        <v>1474.4464285714275</v>
      </c>
      <c r="AG385" s="76">
        <f t="shared" si="60"/>
        <v>1252.206068268013</v>
      </c>
      <c r="AO385" s="5">
        <f t="shared" si="65"/>
        <v>-1.93062827225132E-2</v>
      </c>
      <c r="AP385" s="5">
        <f t="shared" si="61"/>
        <v>0.52302395317656492</v>
      </c>
      <c r="AR385" s="5">
        <f t="shared" si="62"/>
        <v>2.9800423321979519E-4</v>
      </c>
      <c r="AS385" s="5">
        <f t="shared" si="63"/>
        <v>-1.1568294116703903E-2</v>
      </c>
      <c r="AT385" s="5">
        <f t="shared" si="64"/>
        <v>-1.2935762959539132E-2</v>
      </c>
    </row>
    <row r="386" spans="12:46" x14ac:dyDescent="0.25">
      <c r="L386" s="4">
        <v>44970.5</v>
      </c>
      <c r="M386">
        <v>93.15</v>
      </c>
      <c r="N386">
        <v>93.99</v>
      </c>
      <c r="O386">
        <v>91.68</v>
      </c>
      <c r="P386">
        <v>92.44</v>
      </c>
      <c r="Q386">
        <v>14171</v>
      </c>
      <c r="R386">
        <v>288219</v>
      </c>
      <c r="S386">
        <v>51.707000000000001</v>
      </c>
      <c r="T386">
        <v>51.707000000000001</v>
      </c>
      <c r="U386">
        <v>51.707000000000001</v>
      </c>
      <c r="V386">
        <v>51.707000000000001</v>
      </c>
      <c r="W386">
        <v>0</v>
      </c>
      <c r="X386">
        <v>2.5295663600525497E-2</v>
      </c>
      <c r="Y386">
        <v>-1.0441294951850359</v>
      </c>
      <c r="Z386">
        <v>-0.62636881325871552</v>
      </c>
      <c r="AB386" s="3">
        <f t="shared" si="55"/>
        <v>-5.4035505973921982E-4</v>
      </c>
      <c r="AC386" s="3">
        <f t="shared" si="56"/>
        <v>5.3914497152663526E-4</v>
      </c>
      <c r="AD386" s="3">
        <f t="shared" si="57"/>
        <v>-4.2550785627351803E-3</v>
      </c>
      <c r="AE386" s="76">
        <f t="shared" si="58"/>
        <v>9001.3333333333339</v>
      </c>
      <c r="AF386" s="76">
        <f t="shared" si="59"/>
        <v>1566.5535714285725</v>
      </c>
      <c r="AG386" s="76">
        <f t="shared" si="60"/>
        <v>1359.9949431099885</v>
      </c>
      <c r="AO386" s="5">
        <f t="shared" si="65"/>
        <v>1.1585567692817074E-2</v>
      </c>
      <c r="AP386" s="5">
        <f t="shared" si="61"/>
        <v>0.52267093303978474</v>
      </c>
      <c r="AR386" s="5">
        <f t="shared" si="62"/>
        <v>-1.7376237050470422E-4</v>
      </c>
      <c r="AS386" s="5">
        <f t="shared" si="63"/>
        <v>-1.2134189633435266E-2</v>
      </c>
      <c r="AT386" s="5">
        <f t="shared" si="64"/>
        <v>-1.3176654336103488E-2</v>
      </c>
    </row>
    <row r="387" spans="12:46" x14ac:dyDescent="0.25">
      <c r="L387" s="4">
        <v>44967.5</v>
      </c>
      <c r="M387">
        <v>91.32</v>
      </c>
      <c r="N387">
        <v>93.42</v>
      </c>
      <c r="O387">
        <v>90.63</v>
      </c>
      <c r="P387">
        <v>93.32</v>
      </c>
      <c r="Q387">
        <v>15252</v>
      </c>
      <c r="R387">
        <v>286853</v>
      </c>
      <c r="S387">
        <v>53.25</v>
      </c>
      <c r="T387">
        <v>53.947000000000003</v>
      </c>
      <c r="U387">
        <v>53.25</v>
      </c>
      <c r="V387">
        <v>53.947000000000003</v>
      </c>
      <c r="W387">
        <v>2</v>
      </c>
      <c r="X387">
        <v>3.0862831858407148E-2</v>
      </c>
      <c r="Y387">
        <v>-0.62808906691609445</v>
      </c>
      <c r="Z387">
        <v>-0.51376744399599195</v>
      </c>
      <c r="AB387" s="3">
        <f t="shared" si="55"/>
        <v>-3.7220749462282127E-4</v>
      </c>
      <c r="AC387" s="3">
        <f t="shared" si="56"/>
        <v>-1.1378013928498021E-4</v>
      </c>
      <c r="AD387" s="3">
        <f t="shared" si="57"/>
        <v>-3.9895576450317202E-3</v>
      </c>
      <c r="AE387" s="76">
        <f t="shared" si="58"/>
        <v>8503.1904761904771</v>
      </c>
      <c r="AF387" s="76">
        <f t="shared" si="59"/>
        <v>1557.3630952380954</v>
      </c>
      <c r="AG387" s="76">
        <f t="shared" si="60"/>
        <v>1551.7880320269724</v>
      </c>
      <c r="AO387" s="5">
        <f t="shared" si="65"/>
        <v>8.1201334816461586E-3</v>
      </c>
      <c r="AP387" s="5">
        <f t="shared" si="61"/>
        <v>0.52277395099063995</v>
      </c>
      <c r="AR387" s="5">
        <f t="shared" si="62"/>
        <v>-9.9419659511612579E-4</v>
      </c>
      <c r="AS387" s="5">
        <f t="shared" si="63"/>
        <v>-1.2594654777956071E-2</v>
      </c>
      <c r="AT387" s="5">
        <f t="shared" si="64"/>
        <v>-1.3386870556979069E-2</v>
      </c>
    </row>
    <row r="388" spans="12:46" x14ac:dyDescent="0.25">
      <c r="L388" s="4">
        <v>44966.5</v>
      </c>
      <c r="M388">
        <v>90.4</v>
      </c>
      <c r="N388">
        <v>92.99</v>
      </c>
      <c r="O388">
        <v>89.9</v>
      </c>
      <c r="P388">
        <v>91.32</v>
      </c>
      <c r="Q388">
        <v>19099</v>
      </c>
      <c r="R388">
        <v>285536</v>
      </c>
      <c r="S388">
        <v>52.734000000000002</v>
      </c>
      <c r="T388">
        <v>52.734000000000002</v>
      </c>
      <c r="U388">
        <v>52.734000000000002</v>
      </c>
      <c r="V388">
        <v>52.734000000000002</v>
      </c>
      <c r="W388">
        <v>0</v>
      </c>
      <c r="X388">
        <v>3.4105960264900544E-2</v>
      </c>
      <c r="Y388">
        <v>-0.41409030296855803</v>
      </c>
      <c r="Z388">
        <v>-8.8598519448231161E-2</v>
      </c>
      <c r="AB388" s="3">
        <f t="shared" si="55"/>
        <v>-1.5248804109108116E-3</v>
      </c>
      <c r="AC388" s="3">
        <f t="shared" si="56"/>
        <v>-6.4864212441273494E-4</v>
      </c>
      <c r="AD388" s="3">
        <f t="shared" si="57"/>
        <v>-4.0028444347703501E-3</v>
      </c>
      <c r="AE388" s="76">
        <f t="shared" si="58"/>
        <v>7642.5238095238092</v>
      </c>
      <c r="AF388" s="76">
        <f t="shared" si="59"/>
        <v>1509.0535714285688</v>
      </c>
      <c r="AG388" s="76">
        <f t="shared" si="60"/>
        <v>1649.2351453855881</v>
      </c>
      <c r="AO388" s="5">
        <f t="shared" si="65"/>
        <v>8.0735590939672447E-3</v>
      </c>
      <c r="AP388" s="5">
        <f t="shared" si="61"/>
        <v>0.52279693995817589</v>
      </c>
      <c r="AR388" s="5">
        <f t="shared" si="62"/>
        <v>-1.6002162941078923E-3</v>
      </c>
      <c r="AS388" s="5">
        <f t="shared" si="63"/>
        <v>-1.291045307687233E-2</v>
      </c>
      <c r="AT388" s="5">
        <f t="shared" si="64"/>
        <v>-1.3469829127390476E-2</v>
      </c>
    </row>
    <row r="389" spans="12:46" x14ac:dyDescent="0.25">
      <c r="L389" s="4">
        <v>44965.5</v>
      </c>
      <c r="M389">
        <v>90.6</v>
      </c>
      <c r="N389">
        <v>92.09</v>
      </c>
      <c r="O389">
        <v>89.18</v>
      </c>
      <c r="P389">
        <v>90.39</v>
      </c>
      <c r="Q389">
        <v>17236</v>
      </c>
      <c r="R389">
        <v>283174</v>
      </c>
      <c r="S389">
        <v>53.686999999999998</v>
      </c>
      <c r="T389">
        <v>53.686999999999998</v>
      </c>
      <c r="U389">
        <v>53.686999999999998</v>
      </c>
      <c r="V389">
        <v>53.686999999999998</v>
      </c>
      <c r="W389">
        <v>0</v>
      </c>
      <c r="X389">
        <v>3.1914893617021239E-2</v>
      </c>
      <c r="Y389">
        <v>-0.58764296930712112</v>
      </c>
      <c r="Z389">
        <v>-0.3261882189684101</v>
      </c>
      <c r="AB389" s="3">
        <f t="shared" si="55"/>
        <v>-1.1032516927740946E-3</v>
      </c>
      <c r="AC389" s="3">
        <f t="shared" si="56"/>
        <v>-1.2512172567149815E-3</v>
      </c>
      <c r="AD389" s="3">
        <f t="shared" si="57"/>
        <v>-3.6556001816589051E-3</v>
      </c>
      <c r="AE389" s="76">
        <f t="shared" si="58"/>
        <v>7365.1904761904771</v>
      </c>
      <c r="AF389" s="76">
        <f t="shared" si="59"/>
        <v>1320.25</v>
      </c>
      <c r="AG389" s="76">
        <f t="shared" si="60"/>
        <v>1736.8862199747164</v>
      </c>
      <c r="AO389" s="5">
        <f t="shared" si="65"/>
        <v>0</v>
      </c>
      <c r="AP389" s="5">
        <f t="shared" si="61"/>
        <v>0.52287205268062298</v>
      </c>
      <c r="AR389" s="5">
        <f t="shared" si="62"/>
        <v>-2.1425251795914591E-3</v>
      </c>
      <c r="AS389" s="5">
        <f t="shared" si="63"/>
        <v>-1.3176642803383043E-2</v>
      </c>
      <c r="AT389" s="5">
        <f t="shared" si="64"/>
        <v>-1.3531540590126623E-2</v>
      </c>
    </row>
    <row r="390" spans="12:46" x14ac:dyDescent="0.25">
      <c r="L390" s="4">
        <v>44964.5</v>
      </c>
      <c r="M390">
        <v>91.18</v>
      </c>
      <c r="N390">
        <v>92.35</v>
      </c>
      <c r="O390">
        <v>89.18</v>
      </c>
      <c r="P390">
        <v>90.5</v>
      </c>
      <c r="Q390">
        <v>19308</v>
      </c>
      <c r="R390">
        <v>283637</v>
      </c>
      <c r="S390">
        <v>57.4</v>
      </c>
      <c r="T390">
        <v>57.7</v>
      </c>
      <c r="U390">
        <v>55.402999999999999</v>
      </c>
      <c r="V390">
        <v>55.402999999999999</v>
      </c>
      <c r="W390">
        <v>6</v>
      </c>
      <c r="X390">
        <v>3.3885622661678112E-2</v>
      </c>
      <c r="Y390">
        <v>-0.46972023110518896</v>
      </c>
      <c r="Z390">
        <v>-0.10390037761755294</v>
      </c>
      <c r="AB390" s="3">
        <f t="shared" si="55"/>
        <v>-1.1632549626205552E-3</v>
      </c>
      <c r="AC390" s="3">
        <f t="shared" si="56"/>
        <v>-1.9811169969205233E-3</v>
      </c>
      <c r="AD390" s="3">
        <f t="shared" si="57"/>
        <v>-3.5050430053014323E-3</v>
      </c>
      <c r="AE390" s="76">
        <f t="shared" si="58"/>
        <v>7170.5238095238092</v>
      </c>
      <c r="AF390" s="76">
        <f t="shared" si="59"/>
        <v>1187.2976190476184</v>
      </c>
      <c r="AG390" s="76">
        <f t="shared" si="60"/>
        <v>1712.8390223345996</v>
      </c>
      <c r="AO390" s="5">
        <f t="shared" si="65"/>
        <v>-1.5020985199911635E-2</v>
      </c>
      <c r="AP390" s="5">
        <f t="shared" si="61"/>
        <v>0.52545814800956592</v>
      </c>
      <c r="AR390" s="5">
        <f t="shared" si="62"/>
        <v>-2.7858760578250985E-3</v>
      </c>
      <c r="AS390" s="5">
        <f t="shared" si="63"/>
        <v>-1.3396241793255936E-2</v>
      </c>
      <c r="AT390" s="5">
        <f t="shared" si="64"/>
        <v>-1.3613921478784152E-2</v>
      </c>
    </row>
    <row r="391" spans="12:46" x14ac:dyDescent="0.25">
      <c r="L391" s="4">
        <v>44963.5</v>
      </c>
      <c r="M391">
        <v>93.55</v>
      </c>
      <c r="N391">
        <v>96</v>
      </c>
      <c r="O391">
        <v>90.54</v>
      </c>
      <c r="P391">
        <v>91.18</v>
      </c>
      <c r="Q391">
        <v>21636</v>
      </c>
      <c r="R391">
        <v>283739</v>
      </c>
      <c r="S391">
        <v>58.109000000000002</v>
      </c>
      <c r="T391">
        <v>58.109000000000002</v>
      </c>
      <c r="U391">
        <v>58.109000000000002</v>
      </c>
      <c r="V391">
        <v>58.109000000000002</v>
      </c>
      <c r="W391">
        <v>0</v>
      </c>
      <c r="X391">
        <v>5.7937181663836948E-2</v>
      </c>
      <c r="Y391">
        <v>1.2441593406702813</v>
      </c>
      <c r="Z391">
        <v>0.15957616761937696</v>
      </c>
      <c r="AB391" s="3">
        <f t="shared" si="55"/>
        <v>1.7774175731058439E-3</v>
      </c>
      <c r="AC391" s="3">
        <f t="shared" si="56"/>
        <v>-2.7198307520148735E-4</v>
      </c>
      <c r="AD391" s="3">
        <f t="shared" si="57"/>
        <v>-1.8912900757673823E-3</v>
      </c>
      <c r="AE391" s="76">
        <f t="shared" si="58"/>
        <v>6740.3809523809541</v>
      </c>
      <c r="AF391" s="76">
        <f t="shared" si="59"/>
        <v>1227.8511904761908</v>
      </c>
      <c r="AG391" s="76">
        <f t="shared" si="60"/>
        <v>1694.3472397808691</v>
      </c>
      <c r="AO391" s="5">
        <f t="shared" si="65"/>
        <v>-2.6974744760881148E-2</v>
      </c>
      <c r="AP391" s="5">
        <f t="shared" si="61"/>
        <v>0.5254816018677867</v>
      </c>
      <c r="AR391" s="5">
        <f t="shared" si="62"/>
        <v>-3.705252200730258E-3</v>
      </c>
      <c r="AS391" s="5">
        <f t="shared" si="63"/>
        <v>-1.3829659677430106E-2</v>
      </c>
      <c r="AT391" s="5">
        <f t="shared" si="64"/>
        <v>-1.3896602208270936E-2</v>
      </c>
    </row>
    <row r="392" spans="12:46" x14ac:dyDescent="0.25">
      <c r="L392" s="4">
        <v>44960.5</v>
      </c>
      <c r="M392">
        <v>94.24</v>
      </c>
      <c r="N392">
        <v>96.2</v>
      </c>
      <c r="O392">
        <v>93.05</v>
      </c>
      <c r="P392">
        <v>93.67</v>
      </c>
      <c r="Q392">
        <v>17533</v>
      </c>
      <c r="R392">
        <v>282737</v>
      </c>
      <c r="S392">
        <v>58</v>
      </c>
      <c r="T392">
        <v>59.2</v>
      </c>
      <c r="U392">
        <v>57.889000000000003</v>
      </c>
      <c r="V392">
        <v>57.889000000000003</v>
      </c>
      <c r="W392">
        <v>8</v>
      </c>
      <c r="X392">
        <v>3.3001571503404985E-2</v>
      </c>
      <c r="Y392">
        <v>-0.50640461488544419</v>
      </c>
      <c r="Z392">
        <v>-0.29760292833486213</v>
      </c>
      <c r="AB392" s="3">
        <f t="shared" si="55"/>
        <v>1.1520280070777475E-3</v>
      </c>
      <c r="AC392" s="3">
        <f t="shared" si="56"/>
        <v>-1.2002323914393556E-3</v>
      </c>
      <c r="AD392" s="3">
        <f t="shared" si="57"/>
        <v>-3.0587527165789746E-3</v>
      </c>
      <c r="AE392" s="76">
        <f t="shared" si="58"/>
        <v>5324.3333333333321</v>
      </c>
      <c r="AF392" s="76">
        <f t="shared" si="59"/>
        <v>560.19642857142753</v>
      </c>
      <c r="AG392" s="76">
        <f t="shared" si="60"/>
        <v>1080.9494310998743</v>
      </c>
      <c r="AO392" s="5">
        <f t="shared" si="65"/>
        <v>1.4168937329700242E-2</v>
      </c>
      <c r="AP392" s="5">
        <f t="shared" si="61"/>
        <v>0.52484823429226168</v>
      </c>
      <c r="AR392" s="5">
        <f t="shared" si="62"/>
        <v>-4.2604125579003282E-3</v>
      </c>
      <c r="AS392" s="5">
        <f t="shared" si="63"/>
        <v>-1.4026203418410432E-2</v>
      </c>
      <c r="AT392" s="5">
        <f t="shared" si="64"/>
        <v>-1.396266529179635E-2</v>
      </c>
    </row>
    <row r="393" spans="12:46" x14ac:dyDescent="0.25">
      <c r="L393" s="4">
        <v>44959.5</v>
      </c>
      <c r="M393">
        <v>95.45</v>
      </c>
      <c r="N393">
        <v>97.14</v>
      </c>
      <c r="O393">
        <v>91.75</v>
      </c>
      <c r="P393">
        <v>93.59</v>
      </c>
      <c r="Q393">
        <v>25966</v>
      </c>
      <c r="R393">
        <v>281314</v>
      </c>
      <c r="S393">
        <v>57.1</v>
      </c>
      <c r="T393">
        <v>57.1</v>
      </c>
      <c r="U393">
        <v>56.7</v>
      </c>
      <c r="V393">
        <v>57.04</v>
      </c>
      <c r="W393">
        <v>3</v>
      </c>
      <c r="X393">
        <v>5.8138280660122971E-2</v>
      </c>
      <c r="Y393">
        <v>1.2888385995920684</v>
      </c>
      <c r="Z393">
        <v>0.62890532949986699</v>
      </c>
      <c r="AB393" s="3">
        <f t="shared" ref="AB393:AB456" si="66">AVERAGEA(X393:X413)-AVERAGE(X414:X434)</f>
        <v>1.3421058655676416E-3</v>
      </c>
      <c r="AC393" s="3">
        <f t="shared" ref="AC393:AC456" si="67">AVERAGEA(X393:X413)-AVERAGE(X414:X469)</f>
        <v>-1.3115156123032073E-3</v>
      </c>
      <c r="AD393" s="3">
        <f t="shared" ref="AD393:AD456" si="68">AVERAGEA(X393:X413)-AVERAGE(X414:X526)</f>
        <v>-3.0634271681178604E-3</v>
      </c>
      <c r="AE393" s="76">
        <f t="shared" ref="AE393:AE456" si="69">AVERAGEA(Q393:Q413)-AVERAGE(Q414:Q434)</f>
        <v>6478.1428571428569</v>
      </c>
      <c r="AF393" s="76">
        <f t="shared" ref="AF393:AF456" si="70">AVERAGEA(Q393:Q413)-AVERAGE(Q414:Q469)</f>
        <v>1568.6845238095229</v>
      </c>
      <c r="AG393" s="76">
        <f t="shared" ref="AG393:AG456" si="71">AVERAGEA(Q393:Q413)-AVERAGE(Q414:Q526)</f>
        <v>2025.5061104087654</v>
      </c>
      <c r="AO393" s="5">
        <f t="shared" si="65"/>
        <v>-5.4200542005420054E-3</v>
      </c>
      <c r="AP393" s="5">
        <f t="shared" ref="AP393:AP456" si="72">_xlfn.STDEV.S(AO393:AO652)*SQRT(252)</f>
        <v>0.52485396420445718</v>
      </c>
      <c r="AR393" s="5">
        <f t="shared" ref="AR393:AR456" si="73">IFERROR(AVERAGEA(AP393:AP413)-AVERAGE(AP414:AP434),"")</f>
        <v>-4.9483901318997381E-3</v>
      </c>
      <c r="AS393" s="5">
        <f t="shared" ref="AS393:AS456" si="74">IFERROR(AVERAGEA(AP393:AP413)-AVERAGE(AP414:AP469),"")</f>
        <v>-1.4208830861397903E-2</v>
      </c>
      <c r="AT393" s="5">
        <f t="shared" ref="AT393:AT456" si="75">IFERROR(AVERAGEA(AP393:AP413)-AVERAGE(AP414:AP526),"")</f>
        <v>-1.3997832724431669E-2</v>
      </c>
    </row>
    <row r="394" spans="12:46" x14ac:dyDescent="0.25">
      <c r="L394" s="4">
        <v>44958.5</v>
      </c>
      <c r="M394">
        <v>92.71</v>
      </c>
      <c r="N394">
        <v>97.55</v>
      </c>
      <c r="O394">
        <v>92.25</v>
      </c>
      <c r="P394">
        <v>95.6</v>
      </c>
      <c r="Q394">
        <v>31171</v>
      </c>
      <c r="R394">
        <v>279732</v>
      </c>
      <c r="S394">
        <v>57.4</v>
      </c>
      <c r="T394">
        <v>59.527000000000001</v>
      </c>
      <c r="U394">
        <v>57.4</v>
      </c>
      <c r="V394">
        <v>59.527000000000001</v>
      </c>
      <c r="W394">
        <v>3</v>
      </c>
      <c r="X394">
        <v>5.895439377085647E-2</v>
      </c>
      <c r="Y394">
        <v>1.3890080546481123</v>
      </c>
      <c r="Z394">
        <v>1.2289184493928462</v>
      </c>
      <c r="AB394" s="3">
        <f t="shared" si="66"/>
        <v>4.4818839083451412E-3</v>
      </c>
      <c r="AC394" s="3">
        <f t="shared" si="67"/>
        <v>7.8784841832452851E-4</v>
      </c>
      <c r="AD394" s="3">
        <f t="shared" si="68"/>
        <v>-1.4354961081878975E-3</v>
      </c>
      <c r="AE394" s="76">
        <f t="shared" si="69"/>
        <v>4924.5714285714294</v>
      </c>
      <c r="AF394" s="76">
        <f t="shared" si="70"/>
        <v>1371.8630952380954</v>
      </c>
      <c r="AG394" s="76">
        <f t="shared" si="71"/>
        <v>1798.2798145806992</v>
      </c>
      <c r="AO394" s="5">
        <f t="shared" ref="AO394:AO457" si="76">IFERROR((O394-O395)/O395,"")</f>
        <v>3.756607805646163E-2</v>
      </c>
      <c r="AP394" s="5">
        <f t="shared" si="72"/>
        <v>0.52619153864851365</v>
      </c>
      <c r="AR394" s="5">
        <f t="shared" si="73"/>
        <v>-5.6948063512742841E-3</v>
      </c>
      <c r="AS394" s="5">
        <f t="shared" si="74"/>
        <v>-1.4392963815275883E-2</v>
      </c>
      <c r="AT394" s="5">
        <f t="shared" si="75"/>
        <v>-1.4033358837935328E-2</v>
      </c>
    </row>
    <row r="395" spans="12:46" x14ac:dyDescent="0.25">
      <c r="L395" s="4">
        <v>44957.5</v>
      </c>
      <c r="M395">
        <v>89.9</v>
      </c>
      <c r="N395">
        <v>93.7</v>
      </c>
      <c r="O395">
        <v>88.91</v>
      </c>
      <c r="P395">
        <v>93</v>
      </c>
      <c r="Q395">
        <v>27276</v>
      </c>
      <c r="R395">
        <v>277955</v>
      </c>
      <c r="S395">
        <v>60.2</v>
      </c>
      <c r="T395">
        <v>60.2</v>
      </c>
      <c r="U395">
        <v>57.351999999999997</v>
      </c>
      <c r="V395">
        <v>57.351999999999997</v>
      </c>
      <c r="W395">
        <v>9</v>
      </c>
      <c r="X395">
        <v>5.3501619568859668E-2</v>
      </c>
      <c r="Y395">
        <v>1.035839506422553</v>
      </c>
      <c r="Z395">
        <v>0.82346286055915374</v>
      </c>
      <c r="AB395" s="3">
        <f t="shared" si="66"/>
        <v>5.0350100359219455E-3</v>
      </c>
      <c r="AC395" s="3">
        <f t="shared" si="67"/>
        <v>8.1117643496921021E-4</v>
      </c>
      <c r="AD395" s="3">
        <f t="shared" si="68"/>
        <v>-1.7382891632405778E-3</v>
      </c>
      <c r="AE395" s="76">
        <f t="shared" si="69"/>
        <v>3374.2380952380954</v>
      </c>
      <c r="AF395" s="76">
        <f t="shared" si="70"/>
        <v>449.49404761904952</v>
      </c>
      <c r="AG395" s="76">
        <f t="shared" si="71"/>
        <v>907.1487568478733</v>
      </c>
      <c r="AO395" s="5">
        <f t="shared" si="76"/>
        <v>1.5882084095063993E-2</v>
      </c>
      <c r="AP395" s="5">
        <f t="shared" si="72"/>
        <v>0.52562251660333215</v>
      </c>
      <c r="AR395" s="5">
        <f t="shared" si="73"/>
        <v>-6.8701813994471728E-3</v>
      </c>
      <c r="AS395" s="5">
        <f t="shared" si="74"/>
        <v>-1.4880873076591139E-2</v>
      </c>
      <c r="AT395" s="5">
        <f t="shared" si="75"/>
        <v>-1.4291281554866475E-2</v>
      </c>
    </row>
    <row r="396" spans="12:46" x14ac:dyDescent="0.25">
      <c r="L396" s="4">
        <v>44956.5</v>
      </c>
      <c r="M396">
        <v>89.53</v>
      </c>
      <c r="N396">
        <v>90.32</v>
      </c>
      <c r="O396">
        <v>87.52</v>
      </c>
      <c r="P396">
        <v>89.81</v>
      </c>
      <c r="Q396">
        <v>19457</v>
      </c>
      <c r="R396">
        <v>274011</v>
      </c>
      <c r="S396">
        <v>56.85</v>
      </c>
      <c r="T396">
        <v>56.85</v>
      </c>
      <c r="U396">
        <v>55.155999999999999</v>
      </c>
      <c r="V396">
        <v>55.155999999999999</v>
      </c>
      <c r="W396">
        <v>0</v>
      </c>
      <c r="X396">
        <v>3.1351472399507301E-2</v>
      </c>
      <c r="Y396">
        <v>-0.60002015288746458</v>
      </c>
      <c r="Z396">
        <v>-3.5441015938600849E-2</v>
      </c>
      <c r="AB396" s="3">
        <f t="shared" si="66"/>
        <v>5.5726780944980736E-3</v>
      </c>
      <c r="AC396" s="3">
        <f t="shared" si="67"/>
        <v>1.2406826971132004E-3</v>
      </c>
      <c r="AD396" s="3">
        <f t="shared" si="68"/>
        <v>-1.5140633752428953E-3</v>
      </c>
      <c r="AE396" s="76">
        <f t="shared" si="69"/>
        <v>867.71428571428623</v>
      </c>
      <c r="AF396" s="76">
        <f t="shared" si="70"/>
        <v>-944.02976190475965</v>
      </c>
      <c r="AG396" s="76">
        <f t="shared" si="71"/>
        <v>-396.29540665823879</v>
      </c>
      <c r="AO396" s="5">
        <f t="shared" si="76"/>
        <v>-1.2523976080333966E-2</v>
      </c>
      <c r="AP396" s="5">
        <f t="shared" si="72"/>
        <v>0.52552280527856587</v>
      </c>
      <c r="AR396" s="5">
        <f t="shared" si="73"/>
        <v>-7.8000742465366146E-3</v>
      </c>
      <c r="AS396" s="5">
        <f t="shared" si="74"/>
        <v>-1.5196845944700499E-2</v>
      </c>
      <c r="AT396" s="5">
        <f t="shared" si="75"/>
        <v>-1.4395128576287441E-2</v>
      </c>
    </row>
    <row r="397" spans="12:46" x14ac:dyDescent="0.25">
      <c r="L397" s="4">
        <v>44953.5</v>
      </c>
      <c r="M397">
        <v>89.31</v>
      </c>
      <c r="N397">
        <v>90.73</v>
      </c>
      <c r="O397">
        <v>88.63</v>
      </c>
      <c r="P397">
        <v>89.55</v>
      </c>
      <c r="Q397">
        <v>21758</v>
      </c>
      <c r="R397">
        <v>272480</v>
      </c>
      <c r="S397">
        <v>53.5</v>
      </c>
      <c r="T397">
        <v>55.424999999999997</v>
      </c>
      <c r="U397">
        <v>53</v>
      </c>
      <c r="V397">
        <v>55.424999999999997</v>
      </c>
      <c r="W397">
        <v>6</v>
      </c>
      <c r="X397">
        <v>2.4799244213509781E-2</v>
      </c>
      <c r="Y397">
        <v>-1.0966122613702627</v>
      </c>
      <c r="Z397">
        <v>0.22551927602287541</v>
      </c>
      <c r="AB397" s="3">
        <f t="shared" si="66"/>
        <v>7.1820048941298176E-3</v>
      </c>
      <c r="AC397" s="3">
        <f t="shared" si="67"/>
        <v>2.8415083138628727E-3</v>
      </c>
      <c r="AD397" s="3">
        <f t="shared" si="68"/>
        <v>3.3908654328902721E-4</v>
      </c>
      <c r="AE397" s="76">
        <f t="shared" si="69"/>
        <v>-692.57142857142753</v>
      </c>
      <c r="AF397" s="76">
        <f t="shared" si="70"/>
        <v>-1823.9702380952403</v>
      </c>
      <c r="AG397" s="76">
        <f t="shared" si="71"/>
        <v>-1053.7311420143269</v>
      </c>
      <c r="AO397" s="5">
        <f t="shared" si="76"/>
        <v>5.4993453160337935E-2</v>
      </c>
      <c r="AP397" s="5">
        <f t="shared" si="72"/>
        <v>0.52544519146312996</v>
      </c>
      <c r="AR397" s="5">
        <f t="shared" si="73"/>
        <v>-8.7903159766906658E-3</v>
      </c>
      <c r="AS397" s="5">
        <f t="shared" si="74"/>
        <v>-1.5534412705828449E-2</v>
      </c>
      <c r="AT397" s="5">
        <f t="shared" si="75"/>
        <v>-1.4519067157594323E-2</v>
      </c>
    </row>
    <row r="398" spans="12:46" x14ac:dyDescent="0.25">
      <c r="L398" s="4">
        <v>44952.5</v>
      </c>
      <c r="M398">
        <v>84.68</v>
      </c>
      <c r="N398">
        <v>89.6</v>
      </c>
      <c r="O398">
        <v>84.01</v>
      </c>
      <c r="P398">
        <v>89.39</v>
      </c>
      <c r="Q398">
        <v>26229</v>
      </c>
      <c r="R398">
        <v>269451</v>
      </c>
      <c r="S398">
        <v>56.6</v>
      </c>
      <c r="T398">
        <v>56.6</v>
      </c>
      <c r="U398">
        <v>54.814999999999998</v>
      </c>
      <c r="V398">
        <v>54.814999999999998</v>
      </c>
      <c r="W398">
        <v>1</v>
      </c>
      <c r="X398">
        <v>6.8370841487279704E-2</v>
      </c>
      <c r="Y398">
        <v>2.0879500348768616</v>
      </c>
      <c r="Z398">
        <v>0.71971970929206519</v>
      </c>
      <c r="AB398" s="3">
        <f t="shared" si="66"/>
        <v>5.9871248081240711E-3</v>
      </c>
      <c r="AC398" s="3">
        <f t="shared" si="67"/>
        <v>2.5252920272851448E-3</v>
      </c>
      <c r="AD398" s="3">
        <f t="shared" si="68"/>
        <v>4.0797169673307404E-4</v>
      </c>
      <c r="AE398" s="76">
        <f t="shared" si="69"/>
        <v>-2671.4761904761908</v>
      </c>
      <c r="AF398" s="76">
        <f t="shared" si="70"/>
        <v>-2806.9285714285725</v>
      </c>
      <c r="AG398" s="76">
        <f t="shared" si="71"/>
        <v>-1916.3489254108717</v>
      </c>
      <c r="AO398" s="5">
        <f t="shared" si="76"/>
        <v>3.7160493827160558E-2</v>
      </c>
      <c r="AP398" s="5">
        <f t="shared" si="72"/>
        <v>0.52279060144772815</v>
      </c>
      <c r="AR398" s="5">
        <f t="shared" si="73"/>
        <v>-9.890654741090632E-3</v>
      </c>
      <c r="AS398" s="5">
        <f t="shared" si="74"/>
        <v>-1.598438161930793E-2</v>
      </c>
      <c r="AT398" s="5">
        <f t="shared" si="75"/>
        <v>-1.4752682407929596E-2</v>
      </c>
    </row>
    <row r="399" spans="12:46" x14ac:dyDescent="0.25">
      <c r="L399" s="4">
        <v>44951.5</v>
      </c>
      <c r="M399">
        <v>81.760000000000005</v>
      </c>
      <c r="N399">
        <v>85</v>
      </c>
      <c r="O399">
        <v>81</v>
      </c>
      <c r="P399">
        <v>84.7</v>
      </c>
      <c r="Q399">
        <v>19056</v>
      </c>
      <c r="R399">
        <v>268049</v>
      </c>
      <c r="S399">
        <v>57.25</v>
      </c>
      <c r="T399">
        <v>57.25</v>
      </c>
      <c r="U399">
        <v>56.6</v>
      </c>
      <c r="V399">
        <v>56.66</v>
      </c>
      <c r="W399">
        <v>4</v>
      </c>
      <c r="X399">
        <v>4.716981132075472E-2</v>
      </c>
      <c r="Y399">
        <v>0.50201598265528513</v>
      </c>
      <c r="Z399">
        <v>-8.2153736681317424E-2</v>
      </c>
      <c r="AB399" s="3">
        <f t="shared" si="66"/>
        <v>3.6536970887407969E-3</v>
      </c>
      <c r="AC399" s="3">
        <f t="shared" si="67"/>
        <v>8.8448357383858617E-4</v>
      </c>
      <c r="AD399" s="3">
        <f t="shared" si="68"/>
        <v>-1.4888991165599788E-3</v>
      </c>
      <c r="AE399" s="76">
        <f t="shared" si="69"/>
        <v>-4002.8095238095229</v>
      </c>
      <c r="AF399" s="76">
        <f t="shared" si="70"/>
        <v>-3850.0714285714275</v>
      </c>
      <c r="AG399" s="76">
        <f t="shared" si="71"/>
        <v>-2983.0227560050553</v>
      </c>
      <c r="AO399" s="5">
        <f t="shared" si="76"/>
        <v>-6.2569009937431617E-3</v>
      </c>
      <c r="AP399" s="5">
        <f t="shared" si="72"/>
        <v>0.52171826764698037</v>
      </c>
      <c r="AR399" s="5">
        <f t="shared" si="73"/>
        <v>-1.0872970945164595E-2</v>
      </c>
      <c r="AS399" s="5">
        <f t="shared" si="74"/>
        <v>-1.6324202021916867E-2</v>
      </c>
      <c r="AT399" s="5">
        <f t="shared" si="75"/>
        <v>-1.4875214741008724E-2</v>
      </c>
    </row>
    <row r="400" spans="12:46" x14ac:dyDescent="0.25">
      <c r="L400" s="4">
        <v>44950.5</v>
      </c>
      <c r="M400">
        <v>84.8</v>
      </c>
      <c r="N400">
        <v>84.86</v>
      </c>
      <c r="O400">
        <v>81.510000000000005</v>
      </c>
      <c r="P400">
        <v>81.97</v>
      </c>
      <c r="Q400">
        <v>23219</v>
      </c>
      <c r="R400">
        <v>268081</v>
      </c>
      <c r="S400">
        <v>66</v>
      </c>
      <c r="T400">
        <v>66</v>
      </c>
      <c r="U400">
        <v>58.268999999999998</v>
      </c>
      <c r="V400">
        <v>58.268999999999998</v>
      </c>
      <c r="W400">
        <v>0</v>
      </c>
      <c r="X400">
        <v>3.9434961742201229E-2</v>
      </c>
      <c r="Y400">
        <v>-5.8437603233954596E-2</v>
      </c>
      <c r="Z400">
        <v>0.36175025963563801</v>
      </c>
      <c r="AB400" s="3">
        <f t="shared" si="66"/>
        <v>3.6050237601929908E-3</v>
      </c>
      <c r="AC400" s="3">
        <f t="shared" si="67"/>
        <v>9.945487896523969E-5</v>
      </c>
      <c r="AD400" s="3">
        <f t="shared" si="68"/>
        <v>-1.8813163107863975E-3</v>
      </c>
      <c r="AE400" s="76">
        <f t="shared" si="69"/>
        <v>-5615.7619047619064</v>
      </c>
      <c r="AF400" s="76">
        <f t="shared" si="70"/>
        <v>-4817.898809523811</v>
      </c>
      <c r="AG400" s="76">
        <f t="shared" si="71"/>
        <v>-3962.0004214074997</v>
      </c>
      <c r="AO400" s="5">
        <f t="shared" si="76"/>
        <v>-2.6746268656716359E-2</v>
      </c>
      <c r="AP400" s="5">
        <f t="shared" si="72"/>
        <v>0.52286802120507514</v>
      </c>
      <c r="AR400" s="5">
        <f t="shared" si="73"/>
        <v>-1.1791006856855302E-2</v>
      </c>
      <c r="AS400" s="5">
        <f t="shared" si="74"/>
        <v>-1.6609572072629142E-2</v>
      </c>
      <c r="AT400" s="5">
        <f t="shared" si="75"/>
        <v>-1.4938868512752834E-2</v>
      </c>
    </row>
    <row r="401" spans="12:46" x14ac:dyDescent="0.25">
      <c r="L401" s="4">
        <v>44949.5</v>
      </c>
      <c r="M401">
        <v>84.95</v>
      </c>
      <c r="N401">
        <v>85.92</v>
      </c>
      <c r="O401">
        <v>83.75</v>
      </c>
      <c r="P401">
        <v>84.46</v>
      </c>
      <c r="Q401">
        <v>21146</v>
      </c>
      <c r="R401">
        <v>265681</v>
      </c>
      <c r="S401">
        <v>65.2</v>
      </c>
      <c r="T401">
        <v>65.998999999999995</v>
      </c>
      <c r="U401">
        <v>64.599999999999994</v>
      </c>
      <c r="V401">
        <v>65.998999999999995</v>
      </c>
      <c r="W401">
        <v>2</v>
      </c>
      <c r="X401">
        <v>2.581796549672816E-2</v>
      </c>
      <c r="Y401">
        <v>-1.0012814931896146</v>
      </c>
      <c r="Z401">
        <v>0.13060147006030201</v>
      </c>
      <c r="AB401" s="3">
        <f t="shared" si="66"/>
        <v>2.9478834501608861E-3</v>
      </c>
      <c r="AC401" s="3">
        <f t="shared" si="67"/>
        <v>-9.5276783257195602E-4</v>
      </c>
      <c r="AD401" s="3">
        <f t="shared" si="68"/>
        <v>-2.9247766541052947E-3</v>
      </c>
      <c r="AE401" s="76">
        <f t="shared" si="69"/>
        <v>-7369.4761904761908</v>
      </c>
      <c r="AF401" s="76">
        <f t="shared" si="70"/>
        <v>-6198.9047619047597</v>
      </c>
      <c r="AG401" s="76">
        <f t="shared" si="71"/>
        <v>-5405.5343447113337</v>
      </c>
      <c r="AO401" s="5">
        <f t="shared" si="76"/>
        <v>3.8355507611170219E-3</v>
      </c>
      <c r="AP401" s="5">
        <f t="shared" si="72"/>
        <v>0.52221664427428793</v>
      </c>
      <c r="AR401" s="5">
        <f t="shared" si="73"/>
        <v>-1.2821695096342012E-2</v>
      </c>
      <c r="AS401" s="5">
        <f t="shared" si="74"/>
        <v>-1.6927160758722137E-2</v>
      </c>
      <c r="AT401" s="5">
        <f t="shared" si="75"/>
        <v>-1.5050748569325534E-2</v>
      </c>
    </row>
    <row r="402" spans="12:46" x14ac:dyDescent="0.25">
      <c r="L402" s="4">
        <v>44946.5</v>
      </c>
      <c r="M402">
        <v>84.05</v>
      </c>
      <c r="N402">
        <v>85.3</v>
      </c>
      <c r="O402">
        <v>83.43</v>
      </c>
      <c r="P402">
        <v>85.09</v>
      </c>
      <c r="Q402">
        <v>15652</v>
      </c>
      <c r="R402">
        <v>260620</v>
      </c>
      <c r="S402">
        <v>66.5</v>
      </c>
      <c r="T402">
        <v>66.897999999999996</v>
      </c>
      <c r="U402">
        <v>66.5</v>
      </c>
      <c r="V402">
        <v>66.897999999999996</v>
      </c>
      <c r="W402">
        <v>1</v>
      </c>
      <c r="X402">
        <v>2.2443590974555814E-2</v>
      </c>
      <c r="Y402">
        <v>-1.2369868296702353</v>
      </c>
      <c r="Z402">
        <v>-0.46530546957036961</v>
      </c>
      <c r="AB402" s="3">
        <f t="shared" si="66"/>
        <v>2.0291585626507833E-3</v>
      </c>
      <c r="AC402" s="3">
        <f t="shared" si="67"/>
        <v>-1.6420813451872504E-3</v>
      </c>
      <c r="AD402" s="3">
        <f t="shared" si="68"/>
        <v>-3.0294174556080092E-3</v>
      </c>
      <c r="AE402" s="76">
        <f t="shared" si="69"/>
        <v>-8538.1428571428569</v>
      </c>
      <c r="AF402" s="76">
        <f t="shared" si="70"/>
        <v>-7052.9285714285706</v>
      </c>
      <c r="AG402" s="76">
        <f t="shared" si="71"/>
        <v>-6224.3615676359059</v>
      </c>
      <c r="AO402" s="5">
        <f t="shared" si="76"/>
        <v>3.6088054853844749E-3</v>
      </c>
      <c r="AP402" s="5">
        <f t="shared" si="72"/>
        <v>0.52221935193985425</v>
      </c>
      <c r="AR402" s="5">
        <f t="shared" si="73"/>
        <v>-1.3802019030798363E-2</v>
      </c>
      <c r="AS402" s="5">
        <f t="shared" si="74"/>
        <v>-1.7195798404110674E-2</v>
      </c>
      <c r="AT402" s="5">
        <f t="shared" si="75"/>
        <v>-1.5108287041256441E-2</v>
      </c>
    </row>
    <row r="403" spans="12:46" x14ac:dyDescent="0.25">
      <c r="L403" s="4">
        <v>44945.5</v>
      </c>
      <c r="M403">
        <v>83.32</v>
      </c>
      <c r="N403">
        <v>85.41</v>
      </c>
      <c r="O403">
        <v>83.13</v>
      </c>
      <c r="P403">
        <v>84.26</v>
      </c>
      <c r="Q403">
        <v>20449</v>
      </c>
      <c r="R403">
        <v>260183</v>
      </c>
      <c r="S403">
        <v>60.3</v>
      </c>
      <c r="T403">
        <v>61.1</v>
      </c>
      <c r="U403">
        <v>60.3</v>
      </c>
      <c r="V403">
        <v>60.716999999999999</v>
      </c>
      <c r="W403">
        <v>17</v>
      </c>
      <c r="X403">
        <v>2.8755202421490742E-2</v>
      </c>
      <c r="Y403">
        <v>-0.8605789479046142</v>
      </c>
      <c r="Z403">
        <v>6.2787549797877429E-2</v>
      </c>
      <c r="AB403" s="3">
        <f t="shared" si="66"/>
        <v>2.4209446104850596E-3</v>
      </c>
      <c r="AC403" s="3">
        <f t="shared" si="67"/>
        <v>-1.5611902416814358E-3</v>
      </c>
      <c r="AD403" s="3">
        <f t="shared" si="68"/>
        <v>-2.183144089770446E-3</v>
      </c>
      <c r="AE403" s="76">
        <f t="shared" si="69"/>
        <v>-9361.5714285714275</v>
      </c>
      <c r="AF403" s="76">
        <f t="shared" si="70"/>
        <v>-7569.7738095238092</v>
      </c>
      <c r="AG403" s="76">
        <f t="shared" si="71"/>
        <v>-6575.9081331647722</v>
      </c>
      <c r="AO403" s="5">
        <f t="shared" si="76"/>
        <v>6.1550249010343415E-2</v>
      </c>
      <c r="AP403" s="5">
        <f t="shared" si="72"/>
        <v>0.5232577658356079</v>
      </c>
      <c r="AR403" s="5">
        <f t="shared" si="73"/>
        <v>-1.4855650505082862E-2</v>
      </c>
      <c r="AS403" s="5">
        <f t="shared" si="74"/>
        <v>-1.747794479305198E-2</v>
      </c>
      <c r="AT403" s="5">
        <f t="shared" si="75"/>
        <v>-1.5181811942274304E-2</v>
      </c>
    </row>
    <row r="404" spans="12:46" x14ac:dyDescent="0.25">
      <c r="L404" s="4">
        <v>44944.5</v>
      </c>
      <c r="M404">
        <v>79.290000000000006</v>
      </c>
      <c r="N404">
        <v>83.86</v>
      </c>
      <c r="O404">
        <v>78.31</v>
      </c>
      <c r="P404">
        <v>83.82</v>
      </c>
      <c r="Q404">
        <v>25082</v>
      </c>
      <c r="R404">
        <v>259969</v>
      </c>
      <c r="S404">
        <v>60</v>
      </c>
      <c r="T404">
        <v>62.2</v>
      </c>
      <c r="U404">
        <v>60</v>
      </c>
      <c r="V404">
        <v>61.709000000000003</v>
      </c>
      <c r="W404">
        <v>11</v>
      </c>
      <c r="X404">
        <v>7.1566731141199186E-2</v>
      </c>
      <c r="Y404">
        <v>1.9116644383165595</v>
      </c>
      <c r="Z404">
        <v>0.57947361693404786</v>
      </c>
      <c r="AB404" s="3">
        <f t="shared" si="66"/>
        <v>3.8228337375112512E-3</v>
      </c>
      <c r="AC404" s="3">
        <f t="shared" si="67"/>
        <v>-1.1850247636278483E-3</v>
      </c>
      <c r="AD404" s="3">
        <f t="shared" si="68"/>
        <v>-1.5990896136551108E-3</v>
      </c>
      <c r="AE404" s="76">
        <f t="shared" si="69"/>
        <v>-10313.238095238094</v>
      </c>
      <c r="AF404" s="76">
        <f t="shared" si="70"/>
        <v>-8313.2857142857156</v>
      </c>
      <c r="AG404" s="76">
        <f t="shared" si="71"/>
        <v>-7171.5410872313532</v>
      </c>
      <c r="AO404" s="5">
        <f t="shared" si="76"/>
        <v>1.6089269495264166E-2</v>
      </c>
      <c r="AP404" s="5">
        <f t="shared" si="72"/>
        <v>0.51980027316978306</v>
      </c>
      <c r="AR404" s="5">
        <f t="shared" si="73"/>
        <v>-1.593557659418543E-2</v>
      </c>
      <c r="AS404" s="5">
        <f t="shared" si="74"/>
        <v>-1.7880329978989806E-2</v>
      </c>
      <c r="AT404" s="5">
        <f t="shared" si="75"/>
        <v>-1.5291829758553144E-2</v>
      </c>
    </row>
    <row r="405" spans="12:46" x14ac:dyDescent="0.25">
      <c r="L405" s="4">
        <v>44943.5</v>
      </c>
      <c r="M405">
        <v>77.55</v>
      </c>
      <c r="N405">
        <v>80.2</v>
      </c>
      <c r="O405">
        <v>77.069999999999993</v>
      </c>
      <c r="P405">
        <v>79.42</v>
      </c>
      <c r="Q405">
        <v>19706</v>
      </c>
      <c r="R405">
        <v>260657</v>
      </c>
      <c r="S405">
        <v>65</v>
      </c>
      <c r="T405">
        <v>65</v>
      </c>
      <c r="U405">
        <v>54.5</v>
      </c>
      <c r="V405">
        <v>60.061</v>
      </c>
      <c r="W405">
        <v>7</v>
      </c>
      <c r="X405">
        <v>3.9262418464626317E-2</v>
      </c>
      <c r="Y405">
        <v>-0.14002344350526702</v>
      </c>
      <c r="Z405">
        <v>-5.6090952148637298E-3</v>
      </c>
      <c r="AB405" s="3">
        <f t="shared" si="66"/>
        <v>3.5238865406137035E-3</v>
      </c>
      <c r="AC405" s="3">
        <f t="shared" si="67"/>
        <v>-1.5461951719164396E-3</v>
      </c>
      <c r="AD405" s="3">
        <f t="shared" si="68"/>
        <v>-1.9479690446405212E-3</v>
      </c>
      <c r="AE405" s="76">
        <f t="shared" si="69"/>
        <v>-11361.095238095237</v>
      </c>
      <c r="AF405" s="76">
        <f t="shared" si="70"/>
        <v>-9048.5773809523816</v>
      </c>
      <c r="AG405" s="76">
        <f t="shared" si="71"/>
        <v>-7878.1369574378405</v>
      </c>
      <c r="AO405" s="5">
        <f t="shared" si="76"/>
        <v>-3.8774718883289564E-3</v>
      </c>
      <c r="AP405" s="5">
        <f t="shared" si="72"/>
        <v>0.52003839312137423</v>
      </c>
      <c r="AR405" s="5">
        <f t="shared" si="73"/>
        <v>-1.6731674151223563E-2</v>
      </c>
      <c r="AS405" s="5">
        <f t="shared" si="74"/>
        <v>-1.805006044047075E-2</v>
      </c>
      <c r="AT405" s="5">
        <f t="shared" si="75"/>
        <v>-1.5177176794841984E-2</v>
      </c>
    </row>
    <row r="406" spans="12:46" x14ac:dyDescent="0.25">
      <c r="L406" s="4">
        <v>44942.5</v>
      </c>
      <c r="M406">
        <v>79.72</v>
      </c>
      <c r="N406">
        <v>79.75</v>
      </c>
      <c r="O406">
        <v>77.37</v>
      </c>
      <c r="P406">
        <v>77.52</v>
      </c>
      <c r="Q406">
        <v>21447</v>
      </c>
      <c r="R406">
        <v>259966</v>
      </c>
      <c r="S406">
        <v>66.3</v>
      </c>
      <c r="T406">
        <v>66.3</v>
      </c>
      <c r="U406">
        <v>62.8</v>
      </c>
      <c r="V406">
        <v>64.811999999999998</v>
      </c>
      <c r="W406">
        <v>0</v>
      </c>
      <c r="X406">
        <v>2.9565217391304292E-2</v>
      </c>
      <c r="Y406">
        <v>-0.76627429779611589</v>
      </c>
      <c r="Z406">
        <v>0.19328208213630663</v>
      </c>
      <c r="AB406" s="3">
        <f t="shared" si="66"/>
        <v>3.4507233019798605E-3</v>
      </c>
      <c r="AC406" s="3">
        <f t="shared" si="67"/>
        <v>-2.3082382457890807E-3</v>
      </c>
      <c r="AD406" s="3">
        <f t="shared" si="68"/>
        <v>-2.2841879146131769E-3</v>
      </c>
      <c r="AE406" s="76">
        <f t="shared" si="69"/>
        <v>-12723.333333333336</v>
      </c>
      <c r="AF406" s="76">
        <f t="shared" si="70"/>
        <v>-9934.2261904761908</v>
      </c>
      <c r="AG406" s="76">
        <f t="shared" si="71"/>
        <v>-8648.9426885798566</v>
      </c>
      <c r="AO406" s="5">
        <f t="shared" si="76"/>
        <v>-1.0613810741687957E-2</v>
      </c>
      <c r="AP406" s="5">
        <f t="shared" si="72"/>
        <v>0.52014362385745805</v>
      </c>
      <c r="AR406" s="5">
        <f t="shared" si="73"/>
        <v>-1.7204394075089335E-2</v>
      </c>
      <c r="AS406" s="5">
        <f t="shared" si="74"/>
        <v>-1.8003592305206761E-2</v>
      </c>
      <c r="AT406" s="5">
        <f t="shared" si="75"/>
        <v>-1.4873807088103042E-2</v>
      </c>
    </row>
    <row r="407" spans="12:46" x14ac:dyDescent="0.25">
      <c r="L407" s="4">
        <v>44939.5</v>
      </c>
      <c r="M407">
        <v>80.5</v>
      </c>
      <c r="N407">
        <v>80.56</v>
      </c>
      <c r="O407">
        <v>78.2</v>
      </c>
      <c r="P407">
        <v>79.63</v>
      </c>
      <c r="Q407">
        <v>17383</v>
      </c>
      <c r="R407">
        <v>258593</v>
      </c>
      <c r="S407">
        <v>66.3</v>
      </c>
      <c r="T407">
        <v>66.3</v>
      </c>
      <c r="U407">
        <v>62.8</v>
      </c>
      <c r="V407">
        <v>64.811999999999998</v>
      </c>
      <c r="W407">
        <v>7</v>
      </c>
      <c r="X407">
        <v>2.9960644915576991E-2</v>
      </c>
      <c r="Y407">
        <v>-0.74751268447082531</v>
      </c>
      <c r="Z407">
        <v>-0.2441140492554674</v>
      </c>
      <c r="AB407" s="3">
        <f t="shared" si="66"/>
        <v>3.9019514134952943E-3</v>
      </c>
      <c r="AC407" s="3">
        <f t="shared" si="67"/>
        <v>-1.9553906712089786E-3</v>
      </c>
      <c r="AD407" s="3">
        <f t="shared" si="68"/>
        <v>-1.847608932320971E-3</v>
      </c>
      <c r="AE407" s="76">
        <f t="shared" si="69"/>
        <v>-13058.857142857143</v>
      </c>
      <c r="AF407" s="76">
        <f t="shared" si="70"/>
        <v>-10137.815476190475</v>
      </c>
      <c r="AG407" s="76">
        <f t="shared" si="71"/>
        <v>-8808.1171512852907</v>
      </c>
      <c r="AO407" s="5">
        <f t="shared" si="76"/>
        <v>-3.8216560509553776E-3</v>
      </c>
      <c r="AP407" s="5">
        <f t="shared" si="72"/>
        <v>0.52041467264792163</v>
      </c>
      <c r="AR407" s="5">
        <f t="shared" si="73"/>
        <v>-1.7732220391011522E-2</v>
      </c>
      <c r="AS407" s="5">
        <f t="shared" si="74"/>
        <v>-1.7962271043735822E-2</v>
      </c>
      <c r="AT407" s="5">
        <f t="shared" si="75"/>
        <v>-1.4575139606849863E-2</v>
      </c>
    </row>
    <row r="408" spans="12:46" x14ac:dyDescent="0.25">
      <c r="L408" s="4">
        <v>44938.5</v>
      </c>
      <c r="M408">
        <v>78.77</v>
      </c>
      <c r="N408">
        <v>80.86</v>
      </c>
      <c r="O408">
        <v>78.5</v>
      </c>
      <c r="P408">
        <v>80.17</v>
      </c>
      <c r="Q408">
        <v>16621</v>
      </c>
      <c r="R408">
        <v>258708</v>
      </c>
      <c r="S408">
        <v>69.599999999999994</v>
      </c>
      <c r="T408">
        <v>69.599999999999994</v>
      </c>
      <c r="U408">
        <v>66.808999999999997</v>
      </c>
      <c r="V408">
        <v>66.808999999999997</v>
      </c>
      <c r="W408">
        <v>5</v>
      </c>
      <c r="X408">
        <v>2.9229625959871185E-2</v>
      </c>
      <c r="Y408">
        <v>-0.79309115000512076</v>
      </c>
      <c r="Z408">
        <v>-0.3419934729834353</v>
      </c>
      <c r="AB408" s="3">
        <f t="shared" si="66"/>
        <v>2.6885304885977401E-3</v>
      </c>
      <c r="AC408" s="3">
        <f t="shared" si="67"/>
        <v>-2.3363665850403767E-3</v>
      </c>
      <c r="AD408" s="3">
        <f t="shared" si="68"/>
        <v>-1.7185259236319264E-3</v>
      </c>
      <c r="AE408" s="76">
        <f t="shared" si="69"/>
        <v>-12390</v>
      </c>
      <c r="AF408" s="76">
        <f t="shared" si="70"/>
        <v>-9362.8809523809505</v>
      </c>
      <c r="AG408" s="76">
        <f t="shared" si="71"/>
        <v>-7987.4909397387273</v>
      </c>
      <c r="AO408" s="5">
        <f t="shared" si="76"/>
        <v>-1.2737230926003202E-4</v>
      </c>
      <c r="AP408" s="5">
        <f t="shared" si="72"/>
        <v>0.52277093924568641</v>
      </c>
      <c r="AR408" s="5">
        <f t="shared" si="73"/>
        <v>-1.7480688273233791E-2</v>
      </c>
      <c r="AS408" s="5">
        <f t="shared" si="74"/>
        <v>-1.740056282239244E-2</v>
      </c>
      <c r="AT408" s="5">
        <f t="shared" si="75"/>
        <v>-1.382557736777168E-2</v>
      </c>
    </row>
    <row r="409" spans="12:46" x14ac:dyDescent="0.25">
      <c r="L409" s="4">
        <v>44937.5</v>
      </c>
      <c r="M409">
        <v>80.739999999999995</v>
      </c>
      <c r="N409">
        <v>81.64</v>
      </c>
      <c r="O409">
        <v>78.510000000000005</v>
      </c>
      <c r="P409">
        <v>79.03</v>
      </c>
      <c r="Q409">
        <v>19594</v>
      </c>
      <c r="R409">
        <v>257253</v>
      </c>
      <c r="S409">
        <v>67.594999999999999</v>
      </c>
      <c r="T409">
        <v>67.594999999999999</v>
      </c>
      <c r="U409">
        <v>65.346000000000004</v>
      </c>
      <c r="V409">
        <v>65.346000000000004</v>
      </c>
      <c r="W409">
        <v>6</v>
      </c>
      <c r="X409">
        <v>3.8565795958600241E-2</v>
      </c>
      <c r="Y409">
        <v>-0.20405182858726459</v>
      </c>
      <c r="Z409">
        <v>-2.1040944328907945E-2</v>
      </c>
      <c r="AB409" s="3">
        <f t="shared" si="66"/>
        <v>4.1855388544279754E-3</v>
      </c>
      <c r="AC409" s="3">
        <f t="shared" si="67"/>
        <v>-1.3587857878612705E-3</v>
      </c>
      <c r="AD409" s="3">
        <f t="shared" si="68"/>
        <v>-4.3955359880400863E-4</v>
      </c>
      <c r="AE409" s="76">
        <f t="shared" si="69"/>
        <v>-10720.333333333336</v>
      </c>
      <c r="AF409" s="76">
        <f t="shared" si="70"/>
        <v>-8088.2023809523816</v>
      </c>
      <c r="AG409" s="76">
        <f t="shared" si="71"/>
        <v>-6866.0143278550349</v>
      </c>
      <c r="AO409" s="5">
        <f t="shared" si="76"/>
        <v>-1.9237976264834381E-2</v>
      </c>
      <c r="AP409" s="5">
        <f t="shared" si="72"/>
        <v>0.52317178672014597</v>
      </c>
      <c r="AR409" s="5">
        <f t="shared" si="73"/>
        <v>-1.7326109672964107E-2</v>
      </c>
      <c r="AS409" s="5">
        <f t="shared" si="74"/>
        <v>-1.6911601333088555E-2</v>
      </c>
      <c r="AT409" s="5">
        <f t="shared" si="75"/>
        <v>-1.3186488692292331E-2</v>
      </c>
    </row>
    <row r="410" spans="12:46" x14ac:dyDescent="0.25">
      <c r="L410" s="4">
        <v>44936.5</v>
      </c>
      <c r="M410">
        <v>81.16</v>
      </c>
      <c r="N410">
        <v>82.58</v>
      </c>
      <c r="O410">
        <v>80.05</v>
      </c>
      <c r="P410">
        <v>80.8</v>
      </c>
      <c r="Q410">
        <v>16865</v>
      </c>
      <c r="R410">
        <v>259681</v>
      </c>
      <c r="S410">
        <v>73</v>
      </c>
      <c r="T410">
        <v>76</v>
      </c>
      <c r="U410">
        <v>70.070999999999998</v>
      </c>
      <c r="V410">
        <v>70.070999999999998</v>
      </c>
      <c r="W410">
        <v>17</v>
      </c>
      <c r="X410">
        <v>3.25862957238537E-2</v>
      </c>
      <c r="Y410">
        <v>-0.61057346789422773</v>
      </c>
      <c r="Z410">
        <v>-0.31756607467436593</v>
      </c>
      <c r="AB410" s="3">
        <f t="shared" si="66"/>
        <v>4.6878681139667783E-3</v>
      </c>
      <c r="AC410" s="3">
        <f t="shared" si="67"/>
        <v>-2.9601022786474307E-3</v>
      </c>
      <c r="AD410" s="3">
        <f t="shared" si="68"/>
        <v>-6.3435372303230486E-4</v>
      </c>
      <c r="AE410" s="76">
        <f t="shared" si="69"/>
        <v>-10144.142857142855</v>
      </c>
      <c r="AF410" s="76">
        <f t="shared" si="70"/>
        <v>-7691.9047619047597</v>
      </c>
      <c r="AG410" s="76">
        <f t="shared" si="71"/>
        <v>-6467.93257479983</v>
      </c>
      <c r="AO410" s="5">
        <f t="shared" si="76"/>
        <v>3.9475392806128967E-2</v>
      </c>
      <c r="AP410" s="5">
        <f t="shared" si="72"/>
        <v>0.52295686487056625</v>
      </c>
      <c r="AR410" s="5">
        <f t="shared" si="73"/>
        <v>-1.7308713715030843E-2</v>
      </c>
      <c r="AS410" s="5">
        <f t="shared" si="74"/>
        <v>-1.645401545545766E-2</v>
      </c>
      <c r="AT410" s="5">
        <f t="shared" si="75"/>
        <v>-1.2605911928788127E-2</v>
      </c>
    </row>
    <row r="411" spans="12:46" x14ac:dyDescent="0.25">
      <c r="L411" s="4">
        <v>44935.5</v>
      </c>
      <c r="M411">
        <v>77.64</v>
      </c>
      <c r="N411">
        <v>81.88</v>
      </c>
      <c r="O411">
        <v>77.010000000000005</v>
      </c>
      <c r="P411">
        <v>81</v>
      </c>
      <c r="Q411">
        <v>18162</v>
      </c>
      <c r="R411">
        <v>260189</v>
      </c>
      <c r="S411">
        <v>71.05</v>
      </c>
      <c r="T411">
        <v>75.400000000000006</v>
      </c>
      <c r="U411">
        <v>70.099999999999994</v>
      </c>
      <c r="V411">
        <v>74.302000000000007</v>
      </c>
      <c r="W411">
        <v>6</v>
      </c>
      <c r="X411">
        <v>6.1943525820401808E-2</v>
      </c>
      <c r="Y411">
        <v>1.3116662709306808</v>
      </c>
      <c r="Z411">
        <v>-0.17468612854015464</v>
      </c>
      <c r="AB411" s="3">
        <f t="shared" si="66"/>
        <v>4.1312636490423646E-3</v>
      </c>
      <c r="AC411" s="3">
        <f t="shared" si="67"/>
        <v>-3.5163004110883994E-3</v>
      </c>
      <c r="AD411" s="3">
        <f t="shared" si="68"/>
        <v>-4.3891386545139716E-4</v>
      </c>
      <c r="AE411" s="76">
        <f t="shared" si="69"/>
        <v>-9954.9523809523816</v>
      </c>
      <c r="AF411" s="76">
        <f t="shared" si="70"/>
        <v>-7551.1190476190459</v>
      </c>
      <c r="AG411" s="76">
        <f t="shared" si="71"/>
        <v>-6231.1007163927497</v>
      </c>
      <c r="AO411" s="5">
        <f t="shared" si="76"/>
        <v>-7.785130400932667E-4</v>
      </c>
      <c r="AP411" s="5">
        <f t="shared" si="72"/>
        <v>0.5215516713973013</v>
      </c>
      <c r="AR411" s="5">
        <f t="shared" si="73"/>
        <v>-1.711180177068139E-2</v>
      </c>
      <c r="AS411" s="5">
        <f t="shared" si="74"/>
        <v>-1.5932909855372213E-2</v>
      </c>
      <c r="AT411" s="5">
        <f t="shared" si="75"/>
        <v>-1.1931734798676152E-2</v>
      </c>
    </row>
    <row r="412" spans="12:46" x14ac:dyDescent="0.25">
      <c r="L412" s="4">
        <v>44932.5</v>
      </c>
      <c r="M412">
        <v>78.62</v>
      </c>
      <c r="N412">
        <v>79.66</v>
      </c>
      <c r="O412">
        <v>77.069999999999993</v>
      </c>
      <c r="P412">
        <v>77.62</v>
      </c>
      <c r="Q412">
        <v>10451</v>
      </c>
      <c r="R412">
        <v>261327</v>
      </c>
      <c r="S412">
        <v>72</v>
      </c>
      <c r="T412">
        <v>76</v>
      </c>
      <c r="U412">
        <v>68</v>
      </c>
      <c r="V412">
        <v>69.534000000000006</v>
      </c>
      <c r="W412">
        <v>7</v>
      </c>
      <c r="X412">
        <v>3.3393501805054196E-2</v>
      </c>
      <c r="Y412">
        <v>-0.54334771597786069</v>
      </c>
      <c r="Z412">
        <v>-1.0201369510478033</v>
      </c>
      <c r="AB412" s="3">
        <f t="shared" si="66"/>
        <v>1.4989780935135907E-3</v>
      </c>
      <c r="AC412" s="3">
        <f t="shared" si="67"/>
        <v>-5.1413104343822694E-3</v>
      </c>
      <c r="AD412" s="3">
        <f t="shared" si="68"/>
        <v>-2.0489345169506443E-3</v>
      </c>
      <c r="AE412" s="76">
        <f t="shared" si="69"/>
        <v>-9637.7142857142862</v>
      </c>
      <c r="AF412" s="76">
        <f t="shared" si="70"/>
        <v>-6933.3333333333321</v>
      </c>
      <c r="AG412" s="76">
        <f t="shared" si="71"/>
        <v>-5755.600084281501</v>
      </c>
      <c r="AO412" s="5">
        <f t="shared" si="76"/>
        <v>9.0909090909082051E-4</v>
      </c>
      <c r="AP412" s="5">
        <f t="shared" si="72"/>
        <v>0.52533093214695592</v>
      </c>
      <c r="AR412" s="5">
        <f t="shared" si="73"/>
        <v>-1.6767882346123586E-2</v>
      </c>
      <c r="AS412" s="5">
        <f t="shared" si="74"/>
        <v>-1.5274261555526136E-2</v>
      </c>
      <c r="AT412" s="5">
        <f t="shared" si="75"/>
        <v>-1.1168067178350616E-2</v>
      </c>
    </row>
    <row r="413" spans="12:46" x14ac:dyDescent="0.25">
      <c r="L413" s="4">
        <v>44931.5</v>
      </c>
      <c r="M413">
        <v>77.56</v>
      </c>
      <c r="N413">
        <v>79.75</v>
      </c>
      <c r="O413">
        <v>77</v>
      </c>
      <c r="P413">
        <v>78.53</v>
      </c>
      <c r="Q413">
        <v>33372</v>
      </c>
      <c r="R413">
        <v>262025</v>
      </c>
      <c r="S413">
        <v>72.421999999999997</v>
      </c>
      <c r="T413">
        <v>72.421999999999997</v>
      </c>
      <c r="U413">
        <v>72.421999999999997</v>
      </c>
      <c r="V413">
        <v>72.421999999999997</v>
      </c>
      <c r="W413">
        <v>0</v>
      </c>
      <c r="X413">
        <v>3.3244680851063829E-2</v>
      </c>
      <c r="Y413">
        <v>-0.56239253314274729</v>
      </c>
      <c r="Z413">
        <v>1.508512517737338</v>
      </c>
      <c r="AB413" s="3">
        <f t="shared" si="66"/>
        <v>-6.8628469921831053E-4</v>
      </c>
      <c r="AC413" s="3">
        <f t="shared" si="67"/>
        <v>-5.9729886658232006E-3</v>
      </c>
      <c r="AD413" s="3">
        <f t="shared" si="68"/>
        <v>-2.7613643479428435E-3</v>
      </c>
      <c r="AE413" s="76">
        <f t="shared" si="69"/>
        <v>-9180.7142857142862</v>
      </c>
      <c r="AF413" s="76">
        <f t="shared" si="70"/>
        <v>-5830.6547619047597</v>
      </c>
      <c r="AG413" s="76">
        <f t="shared" si="71"/>
        <v>-4739.6405394016001</v>
      </c>
      <c r="AO413" s="5">
        <f t="shared" si="76"/>
        <v>-1.9442644199611882E-3</v>
      </c>
      <c r="AP413" s="5">
        <f t="shared" si="72"/>
        <v>0.52533269096368185</v>
      </c>
      <c r="AR413" s="5">
        <f t="shared" si="73"/>
        <v>-1.6634670532135298E-2</v>
      </c>
      <c r="AS413" s="5">
        <f t="shared" si="74"/>
        <v>-1.480543052214256E-2</v>
      </c>
      <c r="AT413" s="5">
        <f t="shared" si="75"/>
        <v>-1.0658413500061581E-2</v>
      </c>
    </row>
    <row r="414" spans="12:46" x14ac:dyDescent="0.25">
      <c r="L414" s="4">
        <v>44930.5</v>
      </c>
      <c r="M414">
        <v>82.72</v>
      </c>
      <c r="N414">
        <v>84.12</v>
      </c>
      <c r="O414">
        <v>77.150000000000006</v>
      </c>
      <c r="P414">
        <v>77.5</v>
      </c>
      <c r="Q414">
        <v>20788</v>
      </c>
      <c r="R414">
        <v>278833</v>
      </c>
      <c r="S414">
        <v>65.022000000000006</v>
      </c>
      <c r="T414">
        <v>65.022000000000006</v>
      </c>
      <c r="U414">
        <v>65.022000000000006</v>
      </c>
      <c r="V414">
        <v>65.022000000000006</v>
      </c>
      <c r="W414">
        <v>0</v>
      </c>
      <c r="X414">
        <v>8.1884398496240587E-2</v>
      </c>
      <c r="Y414">
        <v>2.5963593862185714</v>
      </c>
      <c r="Z414">
        <v>0.13698283840109321</v>
      </c>
      <c r="AB414" s="3">
        <f t="shared" si="66"/>
        <v>-8.5709901995368459E-4</v>
      </c>
      <c r="AC414" s="3">
        <f t="shared" si="67"/>
        <v>-6.2921019568712988E-3</v>
      </c>
      <c r="AD414" s="3">
        <f t="shared" si="68"/>
        <v>-3.2152353466764275E-3</v>
      </c>
      <c r="AE414" s="76">
        <f t="shared" si="69"/>
        <v>-9477.9047619047615</v>
      </c>
      <c r="AF414" s="76">
        <f t="shared" si="70"/>
        <v>-6044.9404761904752</v>
      </c>
      <c r="AG414" s="76">
        <f t="shared" si="71"/>
        <v>-5079.6898440792229</v>
      </c>
      <c r="AO414" s="5">
        <f t="shared" si="76"/>
        <v>-5.7652375717601061E-2</v>
      </c>
      <c r="AP414" s="5">
        <f t="shared" si="72"/>
        <v>0.52532885350935321</v>
      </c>
      <c r="AR414" s="5">
        <f t="shared" si="73"/>
        <v>-1.6103669560138201E-2</v>
      </c>
      <c r="AS414" s="5">
        <f t="shared" si="74"/>
        <v>-1.4107393050939776E-2</v>
      </c>
      <c r="AT414" s="5">
        <f t="shared" si="75"/>
        <v>-9.9524553395832216E-3</v>
      </c>
    </row>
    <row r="415" spans="12:46" x14ac:dyDescent="0.25">
      <c r="L415" s="4">
        <v>44929.5</v>
      </c>
      <c r="M415">
        <v>85.12</v>
      </c>
      <c r="N415">
        <v>86.21</v>
      </c>
      <c r="O415">
        <v>81.87</v>
      </c>
      <c r="P415">
        <v>82.94</v>
      </c>
      <c r="Q415">
        <v>13101</v>
      </c>
      <c r="R415">
        <v>280176</v>
      </c>
      <c r="S415">
        <v>72.313999999999993</v>
      </c>
      <c r="T415">
        <v>72.313999999999993</v>
      </c>
      <c r="U415">
        <v>72.313999999999993</v>
      </c>
      <c r="V415">
        <v>72.313999999999993</v>
      </c>
      <c r="W415">
        <v>0</v>
      </c>
      <c r="X415">
        <v>5.2637962401455296E-2</v>
      </c>
      <c r="Y415">
        <v>0.7094929641519967</v>
      </c>
      <c r="Z415">
        <v>-0.73038735786299791</v>
      </c>
      <c r="AB415" s="3">
        <f t="shared" si="66"/>
        <v>-2.631636422727221E-3</v>
      </c>
      <c r="AC415" s="3">
        <f t="shared" si="67"/>
        <v>-8.4994178572799575E-3</v>
      </c>
      <c r="AD415" s="3">
        <f t="shared" si="68"/>
        <v>-5.1796890891638234E-3</v>
      </c>
      <c r="AE415" s="76">
        <f t="shared" si="69"/>
        <v>-6706.1428571428569</v>
      </c>
      <c r="AF415" s="76">
        <f t="shared" si="70"/>
        <v>-4209.4583333333339</v>
      </c>
      <c r="AG415" s="76">
        <f t="shared" si="71"/>
        <v>-3514.3624104509054</v>
      </c>
      <c r="AO415" s="5">
        <f t="shared" si="76"/>
        <v>-6.4320388349514692E-3</v>
      </c>
      <c r="AP415" s="5">
        <f t="shared" si="72"/>
        <v>0.5224807955314188</v>
      </c>
      <c r="AR415" s="5">
        <f t="shared" si="73"/>
        <v>-1.5456806849342808E-2</v>
      </c>
      <c r="AS415" s="5">
        <f t="shared" si="74"/>
        <v>-1.3337346285775098E-2</v>
      </c>
      <c r="AT415" s="5">
        <f t="shared" si="75"/>
        <v>-9.1715562964477249E-3</v>
      </c>
    </row>
    <row r="416" spans="12:46" x14ac:dyDescent="0.25">
      <c r="L416" s="4">
        <v>44928.5</v>
      </c>
      <c r="M416">
        <v>82.45</v>
      </c>
      <c r="N416">
        <v>86.87</v>
      </c>
      <c r="O416">
        <v>82.4</v>
      </c>
      <c r="P416">
        <v>85.32</v>
      </c>
      <c r="Q416">
        <v>2191</v>
      </c>
      <c r="R416">
        <v>279550</v>
      </c>
      <c r="S416">
        <v>76.314999999999998</v>
      </c>
      <c r="T416">
        <v>76.314999999999998</v>
      </c>
      <c r="U416">
        <v>76.314999999999998</v>
      </c>
      <c r="V416">
        <v>76.314999999999998</v>
      </c>
      <c r="W416">
        <v>0</v>
      </c>
      <c r="X416">
        <v>5.3195287397358071E-2</v>
      </c>
      <c r="Y416">
        <v>0.75820724834998443</v>
      </c>
      <c r="Z416">
        <v>-1.9684872578839203</v>
      </c>
      <c r="AB416" s="3">
        <f t="shared" si="66"/>
        <v>-3.9021965846753187E-3</v>
      </c>
      <c r="AC416" s="3">
        <f t="shared" si="67"/>
        <v>-9.4293113704490422E-3</v>
      </c>
      <c r="AD416" s="3">
        <f t="shared" si="68"/>
        <v>-6.0434211755220346E-3</v>
      </c>
      <c r="AE416" s="76">
        <f t="shared" si="69"/>
        <v>-5686.5238095238092</v>
      </c>
      <c r="AF416" s="76">
        <f t="shared" si="70"/>
        <v>-3302.6369047619046</v>
      </c>
      <c r="AG416" s="76">
        <f t="shared" si="71"/>
        <v>-2764.6114622840287</v>
      </c>
      <c r="AO416" s="5">
        <f t="shared" si="76"/>
        <v>2.258624968974941E-2</v>
      </c>
      <c r="AP416" s="5">
        <f t="shared" si="72"/>
        <v>0.52472896475137354</v>
      </c>
      <c r="AR416" s="5">
        <f t="shared" si="73"/>
        <v>-1.4484327486567805E-2</v>
      </c>
      <c r="AS416" s="5">
        <f t="shared" si="74"/>
        <v>-1.2300524599851426E-2</v>
      </c>
      <c r="AT416" s="5">
        <f t="shared" si="75"/>
        <v>-8.1475141299077736E-3</v>
      </c>
    </row>
    <row r="417" spans="12:46" x14ac:dyDescent="0.25">
      <c r="L417" s="4">
        <v>44925.5</v>
      </c>
      <c r="M417">
        <v>84.03</v>
      </c>
      <c r="N417">
        <v>85.97</v>
      </c>
      <c r="O417">
        <v>80.58</v>
      </c>
      <c r="P417">
        <v>82.26</v>
      </c>
      <c r="Q417">
        <v>7825</v>
      </c>
      <c r="R417">
        <v>279929</v>
      </c>
      <c r="S417">
        <v>76.314999999999998</v>
      </c>
      <c r="T417">
        <v>76.314999999999998</v>
      </c>
      <c r="U417">
        <v>76.314999999999998</v>
      </c>
      <c r="V417">
        <v>76.314999999999998</v>
      </c>
      <c r="W417">
        <v>0</v>
      </c>
      <c r="X417">
        <v>6.2652563059397884E-2</v>
      </c>
      <c r="Y417">
        <v>1.4146314491928311</v>
      </c>
      <c r="Z417">
        <v>-1.3956318882837817</v>
      </c>
      <c r="AB417" s="3">
        <f t="shared" si="66"/>
        <v>-4.2262952022139103E-3</v>
      </c>
      <c r="AC417" s="3">
        <f t="shared" si="67"/>
        <v>-9.8847348542991237E-3</v>
      </c>
      <c r="AD417" s="3">
        <f t="shared" si="68"/>
        <v>-6.6816198238447838E-3</v>
      </c>
      <c r="AE417" s="76">
        <f t="shared" si="69"/>
        <v>-4210.1904761904771</v>
      </c>
      <c r="AF417" s="76">
        <f t="shared" si="70"/>
        <v>-1943.6011904761908</v>
      </c>
      <c r="AG417" s="76">
        <f t="shared" si="71"/>
        <v>-1328.9388959123462</v>
      </c>
      <c r="AO417" s="5">
        <f t="shared" si="76"/>
        <v>-4.2879201805440068E-2</v>
      </c>
      <c r="AP417" s="5">
        <f t="shared" si="72"/>
        <v>0.52428792860223872</v>
      </c>
      <c r="AR417" s="5">
        <f t="shared" si="73"/>
        <v>-1.3624801540272569E-2</v>
      </c>
      <c r="AS417" s="5">
        <f t="shared" si="74"/>
        <v>-1.1375133311941843E-2</v>
      </c>
      <c r="AT417" s="5">
        <f t="shared" si="75"/>
        <v>-7.2241730112387881E-3</v>
      </c>
    </row>
    <row r="418" spans="12:46" x14ac:dyDescent="0.25">
      <c r="L418" s="4">
        <v>44924.5</v>
      </c>
      <c r="M418">
        <v>86.03</v>
      </c>
      <c r="N418">
        <v>86.66</v>
      </c>
      <c r="O418">
        <v>84.19</v>
      </c>
      <c r="P418">
        <v>84.21</v>
      </c>
      <c r="Q418">
        <v>6544</v>
      </c>
      <c r="R418">
        <v>279782</v>
      </c>
      <c r="S418">
        <v>83.83</v>
      </c>
      <c r="T418">
        <v>83.83</v>
      </c>
      <c r="U418">
        <v>83.83</v>
      </c>
      <c r="V418">
        <v>83.83</v>
      </c>
      <c r="W418">
        <v>0</v>
      </c>
      <c r="X418">
        <v>2.8004535147392276E-2</v>
      </c>
      <c r="Y418">
        <v>-0.92273581486970846</v>
      </c>
      <c r="Z418">
        <v>-1.5908130644556409</v>
      </c>
      <c r="AB418" s="3">
        <f t="shared" si="66"/>
        <v>-2.9666671539879397E-3</v>
      </c>
      <c r="AC418" s="3">
        <f t="shared" si="67"/>
        <v>-1.0266278509500008E-2</v>
      </c>
      <c r="AD418" s="3">
        <f t="shared" si="68"/>
        <v>-6.5557537867536597E-3</v>
      </c>
      <c r="AE418" s="76">
        <f t="shared" si="69"/>
        <v>-2487</v>
      </c>
      <c r="AF418" s="76">
        <f t="shared" si="70"/>
        <v>-799.93452380952658</v>
      </c>
      <c r="AG418" s="76">
        <f t="shared" si="71"/>
        <v>-204.92962494732637</v>
      </c>
      <c r="AO418" s="5">
        <f t="shared" si="76"/>
        <v>-2.1046511627907005E-2</v>
      </c>
      <c r="AP418" s="5">
        <f t="shared" si="72"/>
        <v>0.52253256180427765</v>
      </c>
      <c r="AR418" s="5">
        <f t="shared" si="73"/>
        <v>-1.2693691054830869E-2</v>
      </c>
      <c r="AS418" s="5">
        <f t="shared" si="74"/>
        <v>-1.0390382248220975E-2</v>
      </c>
      <c r="AT418" s="5">
        <f t="shared" si="75"/>
        <v>-6.2525004043540999E-3</v>
      </c>
    </row>
    <row r="419" spans="12:46" x14ac:dyDescent="0.25">
      <c r="L419" s="4">
        <v>44923.5</v>
      </c>
      <c r="M419">
        <v>88.2</v>
      </c>
      <c r="N419">
        <v>88.84</v>
      </c>
      <c r="O419">
        <v>86</v>
      </c>
      <c r="P419">
        <v>86.19</v>
      </c>
      <c r="Q419">
        <v>7704</v>
      </c>
      <c r="R419">
        <v>279652</v>
      </c>
      <c r="S419">
        <v>81.350999999999999</v>
      </c>
      <c r="T419">
        <v>81.350999999999999</v>
      </c>
      <c r="U419">
        <v>81.350999999999999</v>
      </c>
      <c r="V419">
        <v>81.350999999999999</v>
      </c>
      <c r="W419">
        <v>0</v>
      </c>
      <c r="X419">
        <v>3.1583629893238471E-2</v>
      </c>
      <c r="Y419">
        <v>-0.69717289098662449</v>
      </c>
      <c r="Z419">
        <v>-1.5126230280927764</v>
      </c>
      <c r="AB419" s="3">
        <f t="shared" si="66"/>
        <v>-1.8498595036665552E-3</v>
      </c>
      <c r="AC419" s="3">
        <f t="shared" si="67"/>
        <v>-9.1121418728730488E-3</v>
      </c>
      <c r="AD419" s="3">
        <f t="shared" si="68"/>
        <v>-4.8712849744158293E-3</v>
      </c>
      <c r="AE419" s="76">
        <f t="shared" si="69"/>
        <v>-619</v>
      </c>
      <c r="AF419" s="76">
        <f t="shared" si="70"/>
        <v>609.63690476190459</v>
      </c>
      <c r="AG419" s="76">
        <f t="shared" si="71"/>
        <v>1210.9768225874432</v>
      </c>
      <c r="AO419" s="5">
        <f t="shared" si="76"/>
        <v>-2.1504152918420758E-2</v>
      </c>
      <c r="AP419" s="5">
        <f t="shared" si="72"/>
        <v>0.52226217899240146</v>
      </c>
      <c r="AR419" s="5">
        <f t="shared" si="73"/>
        <v>-1.1842491498685659E-2</v>
      </c>
      <c r="AS419" s="5">
        <f t="shared" si="74"/>
        <v>-9.3967745386389634E-3</v>
      </c>
      <c r="AT419" s="5">
        <f t="shared" si="75"/>
        <v>-5.260926718635317E-3</v>
      </c>
    </row>
    <row r="420" spans="12:46" x14ac:dyDescent="0.25">
      <c r="L420" s="4">
        <v>44922.5</v>
      </c>
      <c r="M420">
        <v>89.92</v>
      </c>
      <c r="N420">
        <v>91.18</v>
      </c>
      <c r="O420">
        <v>87.89</v>
      </c>
      <c r="P420">
        <v>88.4</v>
      </c>
      <c r="Q420">
        <v>3730</v>
      </c>
      <c r="R420">
        <v>280140</v>
      </c>
      <c r="S420">
        <v>80.043000000000006</v>
      </c>
      <c r="T420">
        <v>80.043000000000006</v>
      </c>
      <c r="U420">
        <v>80.043000000000006</v>
      </c>
      <c r="V420">
        <v>80.043000000000006</v>
      </c>
      <c r="W420">
        <v>0</v>
      </c>
      <c r="X420">
        <v>3.6858615281201053E-2</v>
      </c>
      <c r="Y420">
        <v>-0.36094393154903232</v>
      </c>
      <c r="Z420">
        <v>-2.0415279323650366</v>
      </c>
      <c r="AB420" s="3">
        <f t="shared" si="66"/>
        <v>-1.4665239577480171E-3</v>
      </c>
      <c r="AC420" s="3">
        <f t="shared" si="67"/>
        <v>-9.583356394295077E-3</v>
      </c>
      <c r="AD420" s="3">
        <f t="shared" si="68"/>
        <v>-4.1847996986715194E-3</v>
      </c>
      <c r="AE420" s="76">
        <f t="shared" si="69"/>
        <v>-10.904761904763291</v>
      </c>
      <c r="AF420" s="76">
        <f t="shared" si="70"/>
        <v>967.70238095238165</v>
      </c>
      <c r="AG420" s="76">
        <f t="shared" si="71"/>
        <v>1663.04340497261</v>
      </c>
      <c r="AO420" s="5">
        <f t="shared" si="76"/>
        <v>-7.1170356981472603E-3</v>
      </c>
      <c r="AP420" s="5">
        <f t="shared" si="72"/>
        <v>0.52232345730973839</v>
      </c>
      <c r="AR420" s="5">
        <f t="shared" si="73"/>
        <v>-1.0966440870214145E-2</v>
      </c>
      <c r="AS420" s="5">
        <f t="shared" si="74"/>
        <v>-8.4076112498173705E-3</v>
      </c>
      <c r="AT420" s="5">
        <f t="shared" si="75"/>
        <v>-4.2756709627296274E-3</v>
      </c>
    </row>
    <row r="421" spans="12:46" x14ac:dyDescent="0.25">
      <c r="L421" s="4">
        <v>44921.5</v>
      </c>
      <c r="M421">
        <v>89.26</v>
      </c>
      <c r="N421">
        <v>90.65</v>
      </c>
      <c r="O421">
        <v>88.52</v>
      </c>
      <c r="P421">
        <v>89.37</v>
      </c>
      <c r="Q421">
        <v>0</v>
      </c>
      <c r="R421">
        <v>0</v>
      </c>
      <c r="S421">
        <v>82.977000000000004</v>
      </c>
      <c r="T421">
        <v>82.977000000000004</v>
      </c>
      <c r="U421">
        <v>82.977000000000004</v>
      </c>
      <c r="V421">
        <v>82.977000000000004</v>
      </c>
      <c r="W421">
        <v>0</v>
      </c>
      <c r="X421">
        <v>2.3862872507282203E-2</v>
      </c>
      <c r="Y421">
        <v>-1.2589081390877026</v>
      </c>
      <c r="Z421">
        <v>-2.6169232399887696</v>
      </c>
      <c r="AB421" s="3">
        <f t="shared" si="66"/>
        <v>-2.2221326692225957E-3</v>
      </c>
      <c r="AC421" s="3">
        <f t="shared" si="67"/>
        <v>-1.0151718808183968E-2</v>
      </c>
      <c r="AD421" s="3">
        <f t="shared" si="68"/>
        <v>-4.7640880992362994E-3</v>
      </c>
      <c r="AE421" s="76">
        <f t="shared" si="69"/>
        <v>1034.2857142857174</v>
      </c>
      <c r="AF421" s="76">
        <f t="shared" si="70"/>
        <v>1893.5416666666679</v>
      </c>
      <c r="AG421" s="76">
        <f t="shared" si="71"/>
        <v>2555.0889169827242</v>
      </c>
      <c r="AO421" s="5">
        <f t="shared" si="76"/>
        <v>0</v>
      </c>
      <c r="AP421" s="5">
        <f t="shared" si="72"/>
        <v>0.52245454387933654</v>
      </c>
      <c r="AR421" s="5">
        <f t="shared" si="73"/>
        <v>-1.011222895039765E-2</v>
      </c>
      <c r="AS421" s="5">
        <f t="shared" si="74"/>
        <v>-7.4316452158305069E-3</v>
      </c>
      <c r="AT421" s="5">
        <f t="shared" si="75"/>
        <v>-3.3032784691845452E-3</v>
      </c>
    </row>
    <row r="422" spans="12:46" x14ac:dyDescent="0.25">
      <c r="L422" s="4">
        <v>44918.5</v>
      </c>
      <c r="M422">
        <v>89.26</v>
      </c>
      <c r="N422">
        <v>90.65</v>
      </c>
      <c r="O422">
        <v>88.52</v>
      </c>
      <c r="P422">
        <v>89.37</v>
      </c>
      <c r="Q422">
        <v>6618</v>
      </c>
      <c r="R422">
        <v>280077</v>
      </c>
      <c r="S422">
        <v>82.977000000000004</v>
      </c>
      <c r="T422">
        <v>82.977000000000004</v>
      </c>
      <c r="U422">
        <v>82.977000000000004</v>
      </c>
      <c r="V422">
        <v>82.977000000000004</v>
      </c>
      <c r="W422">
        <v>0</v>
      </c>
      <c r="X422">
        <v>2.4317844502797233E-2</v>
      </c>
      <c r="Y422">
        <v>-1.1516670718528335</v>
      </c>
      <c r="Z422">
        <v>-1.9261631605361895</v>
      </c>
      <c r="AB422" s="3">
        <f t="shared" si="66"/>
        <v>-5.014790489970479E-3</v>
      </c>
      <c r="AC422" s="3">
        <f t="shared" si="67"/>
        <v>-1.0691969375457702E-2</v>
      </c>
      <c r="AD422" s="3">
        <f t="shared" si="68"/>
        <v>-4.8532900139911378E-3</v>
      </c>
      <c r="AE422" s="76">
        <f t="shared" si="69"/>
        <v>1070.2380952380954</v>
      </c>
      <c r="AF422" s="76">
        <f t="shared" si="70"/>
        <v>2342.9464285714312</v>
      </c>
      <c r="AG422" s="76">
        <f t="shared" si="71"/>
        <v>3199.7206068268024</v>
      </c>
      <c r="AO422" s="5">
        <f t="shared" si="76"/>
        <v>1.4904838339830282E-2</v>
      </c>
      <c r="AP422" s="5">
        <f t="shared" si="72"/>
        <v>0.5224858209578207</v>
      </c>
      <c r="AR422" s="5">
        <f t="shared" si="73"/>
        <v>-8.9344923349926608E-3</v>
      </c>
      <c r="AS422" s="5">
        <f t="shared" si="74"/>
        <v>-6.3716505783143473E-3</v>
      </c>
      <c r="AT422" s="5">
        <f t="shared" si="75"/>
        <v>-2.2501345138072892E-3</v>
      </c>
    </row>
    <row r="423" spans="12:46" x14ac:dyDescent="0.25">
      <c r="L423" s="4">
        <v>44917.5</v>
      </c>
      <c r="M423">
        <v>87.59</v>
      </c>
      <c r="N423">
        <v>90.55</v>
      </c>
      <c r="O423">
        <v>87.22</v>
      </c>
      <c r="P423">
        <v>89.16</v>
      </c>
      <c r="Q423">
        <v>8888</v>
      </c>
      <c r="R423">
        <v>278168</v>
      </c>
      <c r="S423">
        <v>91.938000000000002</v>
      </c>
      <c r="T423">
        <v>91.938000000000002</v>
      </c>
      <c r="U423">
        <v>91.938000000000002</v>
      </c>
      <c r="V423">
        <v>91.938000000000002</v>
      </c>
      <c r="W423">
        <v>0</v>
      </c>
      <c r="X423">
        <v>3.7290033594624843E-2</v>
      </c>
      <c r="Y423">
        <v>-0.42454680324975147</v>
      </c>
      <c r="Z423">
        <v>-1.6648198722067014</v>
      </c>
      <c r="AB423" s="3">
        <f t="shared" si="66"/>
        <v>-4.7730111379341508E-3</v>
      </c>
      <c r="AC423" s="3">
        <f t="shared" si="67"/>
        <v>-9.8431802652856407E-3</v>
      </c>
      <c r="AD423" s="3">
        <f t="shared" si="68"/>
        <v>-3.8927382069712316E-3</v>
      </c>
      <c r="AE423" s="76">
        <f t="shared" si="69"/>
        <v>1244.9523809523816</v>
      </c>
      <c r="AF423" s="76">
        <f t="shared" si="70"/>
        <v>2601.2321428571413</v>
      </c>
      <c r="AG423" s="76">
        <f t="shared" si="71"/>
        <v>3697.356510745889</v>
      </c>
      <c r="AO423" s="5">
        <f t="shared" si="76"/>
        <v>6.8105737042595338E-3</v>
      </c>
      <c r="AP423" s="5">
        <f t="shared" si="72"/>
        <v>0.52231557166873765</v>
      </c>
      <c r="AR423" s="5">
        <f t="shared" si="73"/>
        <v>-7.803532006090963E-3</v>
      </c>
      <c r="AS423" s="5">
        <f t="shared" si="74"/>
        <v>-5.3209498710672376E-3</v>
      </c>
      <c r="AT423" s="5">
        <f t="shared" si="75"/>
        <v>-1.2184315402520296E-3</v>
      </c>
    </row>
    <row r="424" spans="12:46" x14ac:dyDescent="0.25">
      <c r="L424" s="4">
        <v>44916.5</v>
      </c>
      <c r="M424">
        <v>89.3</v>
      </c>
      <c r="N424">
        <v>90.02</v>
      </c>
      <c r="O424">
        <v>86.63</v>
      </c>
      <c r="P424">
        <v>87.7</v>
      </c>
      <c r="Q424">
        <v>8937</v>
      </c>
      <c r="R424">
        <v>278647</v>
      </c>
      <c r="S424">
        <v>97.751999999999995</v>
      </c>
      <c r="T424">
        <v>97.751999999999995</v>
      </c>
      <c r="U424">
        <v>97.751999999999995</v>
      </c>
      <c r="V424">
        <v>97.751999999999995</v>
      </c>
      <c r="W424">
        <v>0</v>
      </c>
      <c r="X424">
        <v>3.8747285404046185E-2</v>
      </c>
      <c r="Y424">
        <v>-0.33058817117545919</v>
      </c>
      <c r="Z424">
        <v>-1.7066596825685632</v>
      </c>
      <c r="AB424" s="3">
        <f t="shared" si="66"/>
        <v>-6.3765822676961348E-3</v>
      </c>
      <c r="AC424" s="3">
        <f t="shared" si="67"/>
        <v>-1.0013653211174173E-2</v>
      </c>
      <c r="AD424" s="3">
        <f t="shared" si="68"/>
        <v>-3.4333139790656622E-3</v>
      </c>
      <c r="AE424" s="76">
        <f t="shared" si="69"/>
        <v>1171.4761904761872</v>
      </c>
      <c r="AF424" s="76">
        <f t="shared" si="70"/>
        <v>2791.2440476190459</v>
      </c>
      <c r="AG424" s="76">
        <f t="shared" si="71"/>
        <v>4242.4774546986919</v>
      </c>
      <c r="AO424" s="5">
        <f t="shared" si="76"/>
        <v>8.9680875844397392E-3</v>
      </c>
      <c r="AP424" s="5">
        <f t="shared" si="72"/>
        <v>0.52255537505939464</v>
      </c>
      <c r="AR424" s="5">
        <f t="shared" si="73"/>
        <v>-6.485316278641351E-3</v>
      </c>
      <c r="AS424" s="5">
        <f t="shared" si="74"/>
        <v>-4.1787183497236091E-3</v>
      </c>
      <c r="AT424" s="5">
        <f t="shared" si="75"/>
        <v>-1.103467960689164E-4</v>
      </c>
    </row>
    <row r="425" spans="12:46" x14ac:dyDescent="0.25">
      <c r="L425" s="4">
        <v>44915.5</v>
      </c>
      <c r="M425">
        <v>87.49</v>
      </c>
      <c r="N425">
        <v>90.68</v>
      </c>
      <c r="O425">
        <v>85.86</v>
      </c>
      <c r="P425">
        <v>89.3</v>
      </c>
      <c r="Q425">
        <v>10914</v>
      </c>
      <c r="R425">
        <v>278398</v>
      </c>
      <c r="S425">
        <v>105.688</v>
      </c>
      <c r="T425">
        <v>105.688</v>
      </c>
      <c r="U425">
        <v>105.688</v>
      </c>
      <c r="V425">
        <v>105.688</v>
      </c>
      <c r="W425">
        <v>0</v>
      </c>
      <c r="X425">
        <v>5.6960529425667775E-2</v>
      </c>
      <c r="Y425">
        <v>0.73085101401714991</v>
      </c>
      <c r="Z425">
        <v>-1.4667383720828691</v>
      </c>
      <c r="AB425" s="3">
        <f t="shared" si="66"/>
        <v>-9.9670098276736091E-3</v>
      </c>
      <c r="AC425" s="3">
        <f t="shared" si="67"/>
        <v>-1.1433216145002589E-2</v>
      </c>
      <c r="AD425" s="3">
        <f t="shared" si="68"/>
        <v>-4.6904511341861257E-3</v>
      </c>
      <c r="AE425" s="76">
        <f t="shared" si="69"/>
        <v>1293.4761904761908</v>
      </c>
      <c r="AF425" s="76">
        <f t="shared" si="70"/>
        <v>2976.9345238095229</v>
      </c>
      <c r="AG425" s="76">
        <f t="shared" si="71"/>
        <v>4641.351875263379</v>
      </c>
      <c r="AO425" s="5">
        <f t="shared" si="76"/>
        <v>3.3959537572254249E-2</v>
      </c>
      <c r="AP425" s="5">
        <f t="shared" si="72"/>
        <v>0.52362273891072564</v>
      </c>
      <c r="AR425" s="5">
        <f t="shared" si="73"/>
        <v>-5.0078441307372934E-3</v>
      </c>
      <c r="AS425" s="5">
        <f t="shared" si="74"/>
        <v>-2.9859334103572444E-3</v>
      </c>
      <c r="AT425" s="5">
        <f t="shared" si="75"/>
        <v>9.8463324703834676E-4</v>
      </c>
    </row>
    <row r="426" spans="12:46" x14ac:dyDescent="0.25">
      <c r="L426" s="4">
        <v>44914.5</v>
      </c>
      <c r="M426">
        <v>84.62</v>
      </c>
      <c r="N426">
        <v>85.83</v>
      </c>
      <c r="O426">
        <v>83.04</v>
      </c>
      <c r="P426">
        <v>83.98</v>
      </c>
      <c r="Q426">
        <v>5208</v>
      </c>
      <c r="R426">
        <v>234836</v>
      </c>
      <c r="S426">
        <v>108.54300000000001</v>
      </c>
      <c r="T426">
        <v>108.54300000000001</v>
      </c>
      <c r="U426">
        <v>108.54300000000001</v>
      </c>
      <c r="V426">
        <v>108.54300000000001</v>
      </c>
      <c r="W426">
        <v>0</v>
      </c>
      <c r="X426">
        <v>3.273111215391826E-2</v>
      </c>
      <c r="Y426">
        <v>-0.66483156527278675</v>
      </c>
      <c r="Z426">
        <v>-2.3283981384737773</v>
      </c>
      <c r="AB426" s="3">
        <f t="shared" si="66"/>
        <v>-1.0002685686233782E-2</v>
      </c>
      <c r="AC426" s="3">
        <f t="shared" si="67"/>
        <v>-1.1798596952172842E-2</v>
      </c>
      <c r="AD426" s="3">
        <f t="shared" si="68"/>
        <v>-5.0698305605979335E-3</v>
      </c>
      <c r="AE426" s="76">
        <f t="shared" si="69"/>
        <v>1948.3809523809505</v>
      </c>
      <c r="AF426" s="76">
        <f t="shared" si="70"/>
        <v>3343.6428571428551</v>
      </c>
      <c r="AG426" s="76">
        <f t="shared" si="71"/>
        <v>5019.9140328697831</v>
      </c>
      <c r="AO426" s="5">
        <f t="shared" si="76"/>
        <v>-3.6114120621147139E-4</v>
      </c>
      <c r="AP426" s="5">
        <f t="shared" si="72"/>
        <v>0.52716108712994414</v>
      </c>
      <c r="AR426" s="5">
        <f t="shared" si="73"/>
        <v>-3.612702900108844E-3</v>
      </c>
      <c r="AS426" s="5">
        <f t="shared" si="74"/>
        <v>-1.8279948312699412E-3</v>
      </c>
      <c r="AT426" s="5">
        <f t="shared" si="75"/>
        <v>2.0088465355219132E-3</v>
      </c>
    </row>
    <row r="427" spans="12:46" x14ac:dyDescent="0.25">
      <c r="L427" s="4">
        <v>44911.5</v>
      </c>
      <c r="M427">
        <v>85.24</v>
      </c>
      <c r="N427">
        <v>86.33</v>
      </c>
      <c r="O427">
        <v>83.07</v>
      </c>
      <c r="P427">
        <v>83.68</v>
      </c>
      <c r="Q427">
        <v>17925</v>
      </c>
      <c r="R427">
        <v>237393</v>
      </c>
      <c r="S427">
        <v>115.45099999999999</v>
      </c>
      <c r="T427">
        <v>115.45099999999999</v>
      </c>
      <c r="U427">
        <v>115.45099999999999</v>
      </c>
      <c r="V427">
        <v>115.45099999999999</v>
      </c>
      <c r="W427">
        <v>0</v>
      </c>
      <c r="X427">
        <v>3.7832192178252351E-2</v>
      </c>
      <c r="Y427">
        <v>-0.38398267771244321</v>
      </c>
      <c r="Z427">
        <v>-0.54016542822961877</v>
      </c>
      <c r="AB427" s="3">
        <f t="shared" si="66"/>
        <v>-9.8686044958765234E-3</v>
      </c>
      <c r="AC427" s="3">
        <f t="shared" si="67"/>
        <v>-1.2400310360439717E-2</v>
      </c>
      <c r="AD427" s="3">
        <f t="shared" si="68"/>
        <v>-5.4125459527426048E-3</v>
      </c>
      <c r="AE427" s="76">
        <f t="shared" si="69"/>
        <v>2682.3333333333358</v>
      </c>
      <c r="AF427" s="76">
        <f t="shared" si="70"/>
        <v>3855.8035714285725</v>
      </c>
      <c r="AG427" s="76">
        <f t="shared" si="71"/>
        <v>5718.1428571428587</v>
      </c>
      <c r="AO427" s="5">
        <f t="shared" si="76"/>
        <v>-2.2705882352941256E-2</v>
      </c>
      <c r="AP427" s="5">
        <f t="shared" si="72"/>
        <v>0.52717039321656167</v>
      </c>
      <c r="AR427" s="5">
        <f t="shared" si="73"/>
        <v>-2.4067449844036304E-3</v>
      </c>
      <c r="AS427" s="5">
        <f t="shared" si="74"/>
        <v>-8.4541437725915713E-4</v>
      </c>
      <c r="AT427" s="5">
        <f t="shared" si="75"/>
        <v>2.8702572185234088E-3</v>
      </c>
    </row>
    <row r="428" spans="12:46" x14ac:dyDescent="0.25">
      <c r="L428" s="4">
        <v>44910.5</v>
      </c>
      <c r="M428">
        <v>86.17</v>
      </c>
      <c r="N428">
        <v>87.75</v>
      </c>
      <c r="O428">
        <v>85</v>
      </c>
      <c r="P428">
        <v>85.2</v>
      </c>
      <c r="Q428">
        <v>31056</v>
      </c>
      <c r="R428">
        <v>245065</v>
      </c>
      <c r="S428">
        <v>134.767</v>
      </c>
      <c r="T428">
        <v>134.767</v>
      </c>
      <c r="U428">
        <v>134.767</v>
      </c>
      <c r="V428">
        <v>134.767</v>
      </c>
      <c r="W428">
        <v>0</v>
      </c>
      <c r="X428">
        <v>3.109452736318408E-2</v>
      </c>
      <c r="Y428">
        <v>-0.77984875772503892</v>
      </c>
      <c r="Z428">
        <v>1.3977917569661888</v>
      </c>
      <c r="AB428" s="3">
        <f t="shared" si="66"/>
        <v>-1.009290315038585E-2</v>
      </c>
      <c r="AC428" s="3">
        <f t="shared" si="67"/>
        <v>-1.2344068918084462E-2</v>
      </c>
      <c r="AD428" s="3">
        <f t="shared" si="68"/>
        <v>-5.4111999879405057E-3</v>
      </c>
      <c r="AE428" s="76">
        <f t="shared" si="69"/>
        <v>2960.3809523809541</v>
      </c>
      <c r="AF428" s="76">
        <f t="shared" si="70"/>
        <v>3996.7559523809541</v>
      </c>
      <c r="AG428" s="76">
        <f t="shared" si="71"/>
        <v>5927.2886641382211</v>
      </c>
      <c r="AO428" s="5">
        <f t="shared" si="76"/>
        <v>2.8315243039168814E-3</v>
      </c>
      <c r="AP428" s="5">
        <f t="shared" si="72"/>
        <v>0.53538753097290348</v>
      </c>
      <c r="AR428" s="5">
        <f t="shared" si="73"/>
        <v>-1.1428914141464741E-3</v>
      </c>
      <c r="AS428" s="5">
        <f t="shared" si="74"/>
        <v>2.1405812883579234E-4</v>
      </c>
      <c r="AT428" s="5">
        <f t="shared" si="75"/>
        <v>3.7876247870350932E-3</v>
      </c>
    </row>
    <row r="429" spans="12:46" x14ac:dyDescent="0.25">
      <c r="L429" s="4">
        <v>44909.5</v>
      </c>
      <c r="M429">
        <v>88.44</v>
      </c>
      <c r="N429">
        <v>89.43</v>
      </c>
      <c r="O429">
        <v>84.76</v>
      </c>
      <c r="P429">
        <v>86.19</v>
      </c>
      <c r="Q429">
        <v>36064</v>
      </c>
      <c r="R429">
        <v>265228</v>
      </c>
      <c r="S429">
        <v>131.511</v>
      </c>
      <c r="T429">
        <v>131.511</v>
      </c>
      <c r="U429">
        <v>131.511</v>
      </c>
      <c r="V429">
        <v>131.511</v>
      </c>
      <c r="W429">
        <v>0</v>
      </c>
      <c r="X429">
        <v>5.1802551303383265E-2</v>
      </c>
      <c r="Y429">
        <v>0.42996807534568232</v>
      </c>
      <c r="Z429">
        <v>2.200133368069173</v>
      </c>
      <c r="AB429" s="3">
        <f t="shared" si="66"/>
        <v>-7.3937137491146485E-3</v>
      </c>
      <c r="AC429" s="3">
        <f t="shared" si="67"/>
        <v>-1.1421409400776961E-2</v>
      </c>
      <c r="AD429" s="3">
        <f t="shared" si="68"/>
        <v>-3.9253028698019859E-3</v>
      </c>
      <c r="AE429" s="76">
        <f t="shared" si="69"/>
        <v>3546.4761904761908</v>
      </c>
      <c r="AF429" s="76">
        <f t="shared" si="70"/>
        <v>3980.6547619047633</v>
      </c>
      <c r="AG429" s="76">
        <f t="shared" si="71"/>
        <v>6049.3055204382654</v>
      </c>
      <c r="AO429" s="5">
        <f t="shared" si="76"/>
        <v>-2.7535566773749329E-2</v>
      </c>
      <c r="AP429" s="5">
        <f t="shared" si="72"/>
        <v>0.53549434117955741</v>
      </c>
      <c r="AR429" s="5">
        <f t="shared" si="73"/>
        <v>-2.9230911557698303E-4</v>
      </c>
      <c r="AS429" s="5">
        <f t="shared" si="74"/>
        <v>8.7102721700993424E-4</v>
      </c>
      <c r="AT429" s="5">
        <f t="shared" si="75"/>
        <v>4.3025066008138824E-3</v>
      </c>
    </row>
    <row r="430" spans="12:46" x14ac:dyDescent="0.25">
      <c r="L430" s="4">
        <v>44908.5</v>
      </c>
      <c r="M430">
        <v>90.15</v>
      </c>
      <c r="N430">
        <v>90.15</v>
      </c>
      <c r="O430">
        <v>87.16</v>
      </c>
      <c r="P430">
        <v>88.99</v>
      </c>
      <c r="Q430">
        <v>25913</v>
      </c>
      <c r="R430">
        <v>283072</v>
      </c>
      <c r="S430">
        <v>137.529</v>
      </c>
      <c r="T430">
        <v>137.529</v>
      </c>
      <c r="U430">
        <v>137.529</v>
      </c>
      <c r="V430">
        <v>137.529</v>
      </c>
      <c r="W430">
        <v>0</v>
      </c>
      <c r="X430">
        <v>3.4171428571428672E-2</v>
      </c>
      <c r="Y430">
        <v>-0.61273825893448297</v>
      </c>
      <c r="Z430">
        <v>0.71731312924437651</v>
      </c>
      <c r="AB430" s="3">
        <f t="shared" si="66"/>
        <v>-7.4134149804835348E-3</v>
      </c>
      <c r="AC430" s="3">
        <f t="shared" si="67"/>
        <v>-1.2041415915224396E-2</v>
      </c>
      <c r="AD430" s="3">
        <f t="shared" si="68"/>
        <v>-4.2725445094780184E-3</v>
      </c>
      <c r="AE430" s="76">
        <f t="shared" si="69"/>
        <v>2987.2857142857174</v>
      </c>
      <c r="AF430" s="76">
        <f t="shared" si="70"/>
        <v>3355.2202380952403</v>
      </c>
      <c r="AG430" s="76">
        <f t="shared" si="71"/>
        <v>5312.5756426464395</v>
      </c>
      <c r="AO430" s="5">
        <f t="shared" si="76"/>
        <v>-2.289377289377322E-3</v>
      </c>
      <c r="AP430" s="5">
        <f t="shared" si="72"/>
        <v>0.53493512007727417</v>
      </c>
      <c r="AR430" s="5">
        <f t="shared" si="73"/>
        <v>4.0009301060506264E-4</v>
      </c>
      <c r="AS430" s="5">
        <f t="shared" si="74"/>
        <v>1.5939873425452333E-3</v>
      </c>
      <c r="AT430" s="5">
        <f t="shared" si="75"/>
        <v>4.8062806405267944E-3</v>
      </c>
    </row>
    <row r="431" spans="12:46" x14ac:dyDescent="0.25">
      <c r="L431" s="4">
        <v>44907.5</v>
      </c>
      <c r="M431">
        <v>87.5</v>
      </c>
      <c r="N431">
        <v>90.42</v>
      </c>
      <c r="O431">
        <v>87.36</v>
      </c>
      <c r="P431">
        <v>89.81</v>
      </c>
      <c r="Q431">
        <v>20582</v>
      </c>
      <c r="R431">
        <v>289783</v>
      </c>
      <c r="S431">
        <v>136.59</v>
      </c>
      <c r="T431">
        <v>136.59</v>
      </c>
      <c r="U431">
        <v>136.59</v>
      </c>
      <c r="V431">
        <v>136.59</v>
      </c>
      <c r="W431">
        <v>0</v>
      </c>
      <c r="X431">
        <v>3.4517766497461952E-2</v>
      </c>
      <c r="Y431">
        <v>-0.61617896864572663</v>
      </c>
      <c r="Z431">
        <v>-0.112391002975347</v>
      </c>
      <c r="AB431" s="3">
        <f t="shared" si="66"/>
        <v>-8.5582333628724527E-3</v>
      </c>
      <c r="AC431" s="3">
        <f t="shared" si="67"/>
        <v>-1.2896108009850395E-2</v>
      </c>
      <c r="AD431" s="3">
        <f t="shared" si="68"/>
        <v>-5.1238377733462612E-3</v>
      </c>
      <c r="AE431" s="76">
        <f t="shared" si="69"/>
        <v>3035.6666666666642</v>
      </c>
      <c r="AF431" s="76">
        <f t="shared" si="70"/>
        <v>3217.9166666666642</v>
      </c>
      <c r="AG431" s="76">
        <f t="shared" si="71"/>
        <v>4968.1217867678024</v>
      </c>
      <c r="AO431" s="5">
        <f t="shared" si="76"/>
        <v>7.6124567474048048E-3</v>
      </c>
      <c r="AP431" s="5">
        <f t="shared" si="72"/>
        <v>0.53655204550341296</v>
      </c>
      <c r="AR431" s="5">
        <f t="shared" si="73"/>
        <v>1.2424985406709332E-3</v>
      </c>
      <c r="AS431" s="5">
        <f t="shared" si="74"/>
        <v>2.4044890637611172E-3</v>
      </c>
      <c r="AT431" s="5">
        <f t="shared" si="75"/>
        <v>5.4135025673172077E-3</v>
      </c>
    </row>
    <row r="432" spans="12:46" x14ac:dyDescent="0.25">
      <c r="L432" s="4">
        <v>44904.5</v>
      </c>
      <c r="M432">
        <v>88.65</v>
      </c>
      <c r="N432">
        <v>89.19</v>
      </c>
      <c r="O432">
        <v>86.7</v>
      </c>
      <c r="P432">
        <v>87.73</v>
      </c>
      <c r="Q432">
        <v>26049</v>
      </c>
      <c r="R432">
        <v>296159</v>
      </c>
      <c r="S432">
        <v>139.113</v>
      </c>
      <c r="T432">
        <v>139.113</v>
      </c>
      <c r="U432">
        <v>139.113</v>
      </c>
      <c r="V432">
        <v>139.113</v>
      </c>
      <c r="W432">
        <v>0</v>
      </c>
      <c r="X432">
        <v>2.8247305728871182E-2</v>
      </c>
      <c r="Y432">
        <v>-0.96001288448326272</v>
      </c>
      <c r="Z432">
        <v>0.75178643843340975</v>
      </c>
      <c r="AB432" s="3">
        <f t="shared" si="66"/>
        <v>-8.3067004125369354E-3</v>
      </c>
      <c r="AC432" s="3">
        <f t="shared" si="67"/>
        <v>-1.2074430771360632E-2</v>
      </c>
      <c r="AD432" s="3">
        <f t="shared" si="68"/>
        <v>-4.2826495832526956E-3</v>
      </c>
      <c r="AE432" s="76">
        <f t="shared" si="69"/>
        <v>2749.3333333333358</v>
      </c>
      <c r="AF432" s="76">
        <f t="shared" si="70"/>
        <v>3295.2797619047633</v>
      </c>
      <c r="AG432" s="76">
        <f t="shared" si="71"/>
        <v>4972.3826380109567</v>
      </c>
      <c r="AO432" s="5">
        <f t="shared" si="76"/>
        <v>-1.027397260273963E-2</v>
      </c>
      <c r="AP432" s="5">
        <f t="shared" si="72"/>
        <v>0.53695209378604569</v>
      </c>
      <c r="AR432" s="5">
        <f t="shared" si="73"/>
        <v>1.9840910335874318E-3</v>
      </c>
      <c r="AS432" s="5">
        <f t="shared" si="74"/>
        <v>3.1114841469914722E-3</v>
      </c>
      <c r="AT432" s="5">
        <f t="shared" si="75"/>
        <v>5.9277421888427329E-3</v>
      </c>
    </row>
    <row r="433" spans="12:46" x14ac:dyDescent="0.25">
      <c r="L433" s="4">
        <v>44903.5</v>
      </c>
      <c r="M433">
        <v>88.15</v>
      </c>
      <c r="N433">
        <v>89.54</v>
      </c>
      <c r="O433">
        <v>87.6</v>
      </c>
      <c r="P433">
        <v>88.93</v>
      </c>
      <c r="Q433">
        <v>29003</v>
      </c>
      <c r="R433">
        <v>303513</v>
      </c>
      <c r="S433">
        <v>138.893</v>
      </c>
      <c r="T433">
        <v>138.893</v>
      </c>
      <c r="U433">
        <v>138.893</v>
      </c>
      <c r="V433">
        <v>138.893</v>
      </c>
      <c r="W433">
        <v>0</v>
      </c>
      <c r="X433">
        <v>2.1983002832861327E-2</v>
      </c>
      <c r="Y433">
        <v>-1.3020200628391412</v>
      </c>
      <c r="Z433">
        <v>1.2234993162783068</v>
      </c>
      <c r="AB433" s="3">
        <f t="shared" si="66"/>
        <v>-7.489997117683618E-3</v>
      </c>
      <c r="AC433" s="3">
        <f t="shared" si="67"/>
        <v>-1.0739870645364892E-2</v>
      </c>
      <c r="AD433" s="3">
        <f t="shared" si="68"/>
        <v>-3.4269103493974537E-3</v>
      </c>
      <c r="AE433" s="76">
        <f t="shared" si="69"/>
        <v>3105.5238095238092</v>
      </c>
      <c r="AF433" s="76">
        <f t="shared" si="70"/>
        <v>3542.5595238095229</v>
      </c>
      <c r="AG433" s="76">
        <f t="shared" si="71"/>
        <v>5126.8575642646429</v>
      </c>
      <c r="AO433" s="5">
        <f t="shared" si="76"/>
        <v>1.7421602787456449E-2</v>
      </c>
      <c r="AP433" s="5">
        <f t="shared" si="72"/>
        <v>0.53683862992669862</v>
      </c>
      <c r="AR433" s="5">
        <f t="shared" si="73"/>
        <v>2.6195440905671941E-3</v>
      </c>
      <c r="AS433" s="5">
        <f t="shared" si="74"/>
        <v>3.7451728508808291E-3</v>
      </c>
      <c r="AT433" s="5">
        <f t="shared" si="75"/>
        <v>6.3591270128985355E-3</v>
      </c>
    </row>
    <row r="434" spans="12:46" x14ac:dyDescent="0.25">
      <c r="L434" s="4">
        <v>44902.5</v>
      </c>
      <c r="M434">
        <v>88.25</v>
      </c>
      <c r="N434">
        <v>88.67</v>
      </c>
      <c r="O434">
        <v>86.1</v>
      </c>
      <c r="P434">
        <v>88.19</v>
      </c>
      <c r="Q434">
        <v>24981</v>
      </c>
      <c r="R434">
        <v>310038</v>
      </c>
      <c r="S434">
        <v>149.245</v>
      </c>
      <c r="T434">
        <v>149.245</v>
      </c>
      <c r="U434">
        <v>149.245</v>
      </c>
      <c r="V434">
        <v>149.245</v>
      </c>
      <c r="W434">
        <v>0</v>
      </c>
      <c r="X434">
        <v>2.9496155170435068E-2</v>
      </c>
      <c r="Y434">
        <v>-0.93655579191013949</v>
      </c>
      <c r="Z434">
        <v>0.58820499162138951</v>
      </c>
      <c r="AB434" s="3">
        <f t="shared" si="66"/>
        <v>-4.3674556979496487E-3</v>
      </c>
      <c r="AC434" s="3">
        <f t="shared" si="67"/>
        <v>-9.0577895083595178E-3</v>
      </c>
      <c r="AD434" s="3">
        <f t="shared" si="68"/>
        <v>-1.4229802550697612E-3</v>
      </c>
      <c r="AE434" s="76">
        <f t="shared" si="69"/>
        <v>4543.2857142857138</v>
      </c>
      <c r="AF434" s="76">
        <f t="shared" si="70"/>
        <v>4287.6309523809541</v>
      </c>
      <c r="AG434" s="76">
        <f t="shared" si="71"/>
        <v>5848.7994100295</v>
      </c>
      <c r="AO434" s="5">
        <f t="shared" si="76"/>
        <v>1.1627906976743525E-3</v>
      </c>
      <c r="AP434" s="5">
        <f t="shared" si="72"/>
        <v>0.54026467668908951</v>
      </c>
      <c r="AR434" s="5">
        <f t="shared" si="73"/>
        <v>3.3041219147440515E-3</v>
      </c>
      <c r="AS434" s="5">
        <f t="shared" si="74"/>
        <v>4.4117672241003048E-3</v>
      </c>
      <c r="AT434" s="5">
        <f t="shared" si="75"/>
        <v>6.8463802829189513E-3</v>
      </c>
    </row>
    <row r="435" spans="12:46" x14ac:dyDescent="0.25">
      <c r="L435" s="4">
        <v>44901.5</v>
      </c>
      <c r="M435">
        <v>87.13</v>
      </c>
      <c r="N435">
        <v>89.49</v>
      </c>
      <c r="O435">
        <v>86</v>
      </c>
      <c r="P435">
        <v>88.61</v>
      </c>
      <c r="Q435">
        <v>48235</v>
      </c>
      <c r="R435">
        <v>320351</v>
      </c>
      <c r="S435">
        <v>138.488</v>
      </c>
      <c r="T435">
        <v>138.488</v>
      </c>
      <c r="U435">
        <v>138.488</v>
      </c>
      <c r="V435">
        <v>138.488</v>
      </c>
      <c r="W435">
        <v>0</v>
      </c>
      <c r="X435">
        <v>3.9695177434030879E-2</v>
      </c>
      <c r="Y435">
        <v>-0.40030899364424116</v>
      </c>
      <c r="Z435">
        <v>4.0636170128732845</v>
      </c>
      <c r="AB435" s="3">
        <f t="shared" si="66"/>
        <v>-5.5174744666116743E-3</v>
      </c>
      <c r="AC435" s="3">
        <f t="shared" si="67"/>
        <v>-9.9954321810401883E-3</v>
      </c>
      <c r="AD435" s="3">
        <f t="shared" si="68"/>
        <v>-1.4883993315341695E-3</v>
      </c>
      <c r="AE435" s="76">
        <f t="shared" si="69"/>
        <v>4715.7619047619046</v>
      </c>
      <c r="AF435" s="76">
        <f t="shared" si="70"/>
        <v>4224.9464285714275</v>
      </c>
      <c r="AG435" s="76">
        <f t="shared" si="71"/>
        <v>5874.7193426042977</v>
      </c>
      <c r="AO435" s="5">
        <f t="shared" si="76"/>
        <v>7.1436936409415555E-3</v>
      </c>
      <c r="AP435" s="5">
        <f t="shared" si="72"/>
        <v>0.54147848342111204</v>
      </c>
      <c r="AR435" s="5">
        <f t="shared" si="73"/>
        <v>3.6807213464444821E-3</v>
      </c>
      <c r="AS435" s="5">
        <f t="shared" si="74"/>
        <v>4.821064020685939E-3</v>
      </c>
      <c r="AT435" s="5">
        <f t="shared" si="75"/>
        <v>7.0824085165246409E-3</v>
      </c>
    </row>
    <row r="436" spans="12:46" x14ac:dyDescent="0.25">
      <c r="L436" s="4">
        <v>44900.5</v>
      </c>
      <c r="M436">
        <v>87.92</v>
      </c>
      <c r="N436">
        <v>88.34</v>
      </c>
      <c r="O436">
        <v>85.39</v>
      </c>
      <c r="P436">
        <v>87.17</v>
      </c>
      <c r="Q436">
        <v>27588</v>
      </c>
      <c r="R436">
        <v>343565</v>
      </c>
      <c r="S436">
        <v>134.69900000000001</v>
      </c>
      <c r="T436">
        <v>134.69900000000001</v>
      </c>
      <c r="U436">
        <v>134.69900000000001</v>
      </c>
      <c r="V436">
        <v>134.69900000000001</v>
      </c>
      <c r="W436">
        <v>0</v>
      </c>
      <c r="X436">
        <v>3.4705882352941211E-2</v>
      </c>
      <c r="Y436">
        <v>-0.68890989186698504</v>
      </c>
      <c r="Z436">
        <v>1.1127984343526371</v>
      </c>
      <c r="AB436" s="3">
        <f t="shared" si="66"/>
        <v>-6.0610205063330314E-3</v>
      </c>
      <c r="AC436" s="3">
        <f t="shared" si="67"/>
        <v>-1.0280604372544334E-2</v>
      </c>
      <c r="AD436" s="3">
        <f t="shared" si="68"/>
        <v>-1.8186600331004249E-3</v>
      </c>
      <c r="AE436" s="76">
        <f t="shared" si="69"/>
        <v>3348.9047619047633</v>
      </c>
      <c r="AF436" s="76">
        <f t="shared" si="70"/>
        <v>2807.8273809523816</v>
      </c>
      <c r="AG436" s="76">
        <f t="shared" si="71"/>
        <v>4446.5769068689406</v>
      </c>
      <c r="AO436" s="5">
        <f t="shared" si="76"/>
        <v>1.1130846654825314E-2</v>
      </c>
      <c r="AP436" s="5">
        <f t="shared" si="72"/>
        <v>0.54345292842595438</v>
      </c>
      <c r="AR436" s="5">
        <f t="shared" si="73"/>
        <v>4.0365596937136372E-3</v>
      </c>
      <c r="AS436" s="5">
        <f t="shared" si="74"/>
        <v>5.215683875695043E-3</v>
      </c>
      <c r="AT436" s="5">
        <f t="shared" si="75"/>
        <v>7.2613021131906486E-3</v>
      </c>
    </row>
    <row r="437" spans="12:46" x14ac:dyDescent="0.25">
      <c r="L437" s="4">
        <v>44897.5</v>
      </c>
      <c r="M437">
        <v>85</v>
      </c>
      <c r="N437">
        <v>87.98</v>
      </c>
      <c r="O437">
        <v>84.45</v>
      </c>
      <c r="P437">
        <v>87.98</v>
      </c>
      <c r="Q437">
        <v>29743</v>
      </c>
      <c r="R437">
        <v>353055</v>
      </c>
      <c r="S437">
        <v>135.56200000000001</v>
      </c>
      <c r="T437">
        <v>135.56200000000001</v>
      </c>
      <c r="U437">
        <v>135.56200000000001</v>
      </c>
      <c r="V437">
        <v>135.56200000000001</v>
      </c>
      <c r="W437">
        <v>0</v>
      </c>
      <c r="X437">
        <v>4.1597925995757734E-2</v>
      </c>
      <c r="Y437">
        <v>-0.33100372181869187</v>
      </c>
      <c r="Z437">
        <v>1.5215181419948096</v>
      </c>
      <c r="AB437" s="3">
        <f t="shared" si="66"/>
        <v>-6.3807266730491266E-3</v>
      </c>
      <c r="AC437" s="3">
        <f t="shared" si="67"/>
        <v>-1.0014172930346316E-2</v>
      </c>
      <c r="AD437" s="3">
        <f t="shared" si="68"/>
        <v>-1.1747993575303151E-3</v>
      </c>
      <c r="AE437" s="76">
        <f t="shared" si="69"/>
        <v>3255.3809523809505</v>
      </c>
      <c r="AF437" s="76">
        <f t="shared" si="70"/>
        <v>2492.1726190476184</v>
      </c>
      <c r="AG437" s="76">
        <f t="shared" si="71"/>
        <v>4188.673409186682</v>
      </c>
      <c r="AO437" s="5">
        <f t="shared" si="76"/>
        <v>6.915464409204701E-3</v>
      </c>
      <c r="AP437" s="5">
        <f t="shared" si="72"/>
        <v>0.54336316268829365</v>
      </c>
      <c r="AR437" s="5">
        <f t="shared" si="73"/>
        <v>4.3368324265459224E-3</v>
      </c>
      <c r="AS437" s="5">
        <f t="shared" si="74"/>
        <v>5.523196689285359E-3</v>
      </c>
      <c r="AT437" s="5">
        <f t="shared" si="75"/>
        <v>7.3408918271470336E-3</v>
      </c>
    </row>
    <row r="438" spans="12:46" x14ac:dyDescent="0.25">
      <c r="L438" s="4">
        <v>44896.5</v>
      </c>
      <c r="M438">
        <v>84.86</v>
      </c>
      <c r="N438">
        <v>88.75</v>
      </c>
      <c r="O438">
        <v>83.87</v>
      </c>
      <c r="P438">
        <v>84.88</v>
      </c>
      <c r="Q438">
        <v>28959</v>
      </c>
      <c r="R438">
        <v>361440</v>
      </c>
      <c r="S438">
        <v>139.25800000000001</v>
      </c>
      <c r="T438">
        <v>139.25800000000001</v>
      </c>
      <c r="U438">
        <v>139.25800000000001</v>
      </c>
      <c r="V438">
        <v>139.25800000000001</v>
      </c>
      <c r="W438">
        <v>0</v>
      </c>
      <c r="X438">
        <v>6.0157790927021636E-2</v>
      </c>
      <c r="Y438">
        <v>0.66324815105969825</v>
      </c>
      <c r="Z438">
        <v>1.3962984186840399</v>
      </c>
      <c r="AB438" s="3">
        <f t="shared" si="66"/>
        <v>-8.3014552598414254E-3</v>
      </c>
      <c r="AC438" s="3">
        <f t="shared" si="67"/>
        <v>-1.0419736542198271E-2</v>
      </c>
      <c r="AD438" s="3">
        <f t="shared" si="68"/>
        <v>-1.2816065618426742E-3</v>
      </c>
      <c r="AE438" s="76">
        <f t="shared" si="69"/>
        <v>3400.4761904761908</v>
      </c>
      <c r="AF438" s="76">
        <f t="shared" si="70"/>
        <v>2464.4821428571449</v>
      </c>
      <c r="AG438" s="76">
        <f t="shared" si="71"/>
        <v>4157.2958280657404</v>
      </c>
      <c r="AO438" s="5">
        <f t="shared" si="76"/>
        <v>3.7866600668234156E-2</v>
      </c>
      <c r="AP438" s="5">
        <f t="shared" si="72"/>
        <v>0.54384812825914497</v>
      </c>
      <c r="AR438" s="5">
        <f t="shared" si="73"/>
        <v>4.6301235420030951E-3</v>
      </c>
      <c r="AS438" s="5">
        <f t="shared" si="74"/>
        <v>5.7839946695538158E-3</v>
      </c>
      <c r="AT438" s="5">
        <f t="shared" si="75"/>
        <v>7.4213396681931387E-3</v>
      </c>
    </row>
    <row r="439" spans="12:46" x14ac:dyDescent="0.25">
      <c r="L439" s="4">
        <v>44895.5</v>
      </c>
      <c r="M439">
        <v>81.12</v>
      </c>
      <c r="N439">
        <v>85.25</v>
      </c>
      <c r="O439">
        <v>80.81</v>
      </c>
      <c r="P439">
        <v>84.9</v>
      </c>
      <c r="Q439">
        <v>32887</v>
      </c>
      <c r="R439">
        <v>359098</v>
      </c>
      <c r="S439">
        <v>146.39699999999999</v>
      </c>
      <c r="T439">
        <v>146.39699999999999</v>
      </c>
      <c r="U439">
        <v>146.39699999999999</v>
      </c>
      <c r="V439">
        <v>146.39699999999999</v>
      </c>
      <c r="W439">
        <v>0</v>
      </c>
      <c r="X439">
        <v>5.6302307887395354E-2</v>
      </c>
      <c r="Y439">
        <v>0.46734761484095655</v>
      </c>
      <c r="Z439">
        <v>2.1326927078659002</v>
      </c>
      <c r="AB439" s="3">
        <f t="shared" si="66"/>
        <v>-1.0304488813004012E-2</v>
      </c>
      <c r="AC439" s="3">
        <f t="shared" si="67"/>
        <v>-1.175845432562718E-2</v>
      </c>
      <c r="AD439" s="3">
        <f t="shared" si="68"/>
        <v>-2.5888487251295444E-3</v>
      </c>
      <c r="AE439" s="76">
        <f t="shared" si="69"/>
        <v>2399.4285714285688</v>
      </c>
      <c r="AF439" s="76">
        <f t="shared" si="70"/>
        <v>1671.1190476190459</v>
      </c>
      <c r="AG439" s="76">
        <f t="shared" si="71"/>
        <v>3453.3978086809911</v>
      </c>
      <c r="AO439" s="5">
        <f t="shared" si="76"/>
        <v>3.5361947469570852E-2</v>
      </c>
      <c r="AP439" s="5">
        <f t="shared" si="72"/>
        <v>0.54272704619782586</v>
      </c>
      <c r="AR439" s="5">
        <f t="shared" si="73"/>
        <v>4.6608846744978782E-3</v>
      </c>
      <c r="AS439" s="5">
        <f t="shared" si="74"/>
        <v>6.0073174466965806E-3</v>
      </c>
      <c r="AT439" s="5">
        <f t="shared" si="75"/>
        <v>7.4712534352354698E-3</v>
      </c>
    </row>
    <row r="440" spans="12:46" x14ac:dyDescent="0.25">
      <c r="L440" s="4">
        <v>44894.5</v>
      </c>
      <c r="M440">
        <v>78.86</v>
      </c>
      <c r="N440">
        <v>81.5</v>
      </c>
      <c r="O440">
        <v>78.05</v>
      </c>
      <c r="P440">
        <v>81.39</v>
      </c>
      <c r="Q440">
        <v>17137</v>
      </c>
      <c r="R440">
        <v>363750</v>
      </c>
      <c r="S440">
        <v>132.286</v>
      </c>
      <c r="T440">
        <v>132.286</v>
      </c>
      <c r="U440">
        <v>132.286</v>
      </c>
      <c r="V440">
        <v>132.286</v>
      </c>
      <c r="W440">
        <v>0</v>
      </c>
      <c r="X440">
        <v>4.3798400406246073E-2</v>
      </c>
      <c r="Y440">
        <v>-0.18541986557113102</v>
      </c>
      <c r="Z440">
        <v>-0.6756499693325585</v>
      </c>
      <c r="AB440" s="3">
        <f t="shared" si="66"/>
        <v>-8.9827873365520422E-3</v>
      </c>
      <c r="AC440" s="3">
        <f t="shared" si="67"/>
        <v>-1.0922849118723613E-2</v>
      </c>
      <c r="AD440" s="3">
        <f t="shared" si="68"/>
        <v>-2.2658455703984878E-3</v>
      </c>
      <c r="AE440" s="76">
        <f t="shared" si="69"/>
        <v>2056.9523809523816</v>
      </c>
      <c r="AF440" s="76">
        <f t="shared" si="70"/>
        <v>1152.3154761904771</v>
      </c>
      <c r="AG440" s="76">
        <f t="shared" si="71"/>
        <v>2807.9148756847862</v>
      </c>
      <c r="AO440" s="5">
        <f t="shared" si="76"/>
        <v>1.535059190841671E-2</v>
      </c>
      <c r="AP440" s="5">
        <f t="shared" si="72"/>
        <v>0.54236239682262488</v>
      </c>
      <c r="AR440" s="5">
        <f t="shared" si="73"/>
        <v>4.8534916696080233E-3</v>
      </c>
      <c r="AS440" s="5">
        <f t="shared" si="74"/>
        <v>6.3474086645483041E-3</v>
      </c>
      <c r="AT440" s="5">
        <f t="shared" si="75"/>
        <v>7.6451467373344073E-3</v>
      </c>
    </row>
    <row r="441" spans="12:46" x14ac:dyDescent="0.25">
      <c r="L441" s="4">
        <v>44893.5</v>
      </c>
      <c r="M441">
        <v>78.77</v>
      </c>
      <c r="N441">
        <v>79.040000000000006</v>
      </c>
      <c r="O441">
        <v>76.87</v>
      </c>
      <c r="P441">
        <v>78.59</v>
      </c>
      <c r="Q441">
        <v>22276</v>
      </c>
      <c r="R441">
        <v>363822</v>
      </c>
      <c r="S441">
        <v>123.282</v>
      </c>
      <c r="T441">
        <v>123.282</v>
      </c>
      <c r="U441">
        <v>123.282</v>
      </c>
      <c r="V441">
        <v>123.282</v>
      </c>
      <c r="W441">
        <v>0</v>
      </c>
      <c r="X441">
        <v>2.7569559141151084E-2</v>
      </c>
      <c r="Y441">
        <v>-1.0646873465719775</v>
      </c>
      <c r="Z441">
        <v>0.25811902712038498</v>
      </c>
      <c r="AB441" s="3">
        <f t="shared" si="66"/>
        <v>-9.2618758583876762E-3</v>
      </c>
      <c r="AC441" s="3">
        <f t="shared" si="67"/>
        <v>-1.0372730035687706E-2</v>
      </c>
      <c r="AD441" s="3">
        <f t="shared" si="68"/>
        <v>-1.9081518607504122E-3</v>
      </c>
      <c r="AE441" s="76">
        <f t="shared" si="69"/>
        <v>1786.4761904761908</v>
      </c>
      <c r="AF441" s="76">
        <f t="shared" si="70"/>
        <v>944.3928571428587</v>
      </c>
      <c r="AG441" s="76">
        <f t="shared" si="71"/>
        <v>2648.7357774968405</v>
      </c>
      <c r="AO441" s="5">
        <f t="shared" si="76"/>
        <v>-1.5749039692701534E-2</v>
      </c>
      <c r="AP441" s="5">
        <f t="shared" si="72"/>
        <v>0.54220740111800492</v>
      </c>
      <c r="AR441" s="5">
        <f t="shared" si="73"/>
        <v>4.9590147097317017E-3</v>
      </c>
      <c r="AS441" s="5">
        <f t="shared" si="74"/>
        <v>6.6449402685674341E-3</v>
      </c>
      <c r="AT441" s="5">
        <f t="shared" si="75"/>
        <v>7.7723634531750019E-3</v>
      </c>
    </row>
    <row r="442" spans="12:46" x14ac:dyDescent="0.25">
      <c r="L442" s="4">
        <v>44890.5</v>
      </c>
      <c r="M442">
        <v>78.709999999999994</v>
      </c>
      <c r="N442">
        <v>79.78</v>
      </c>
      <c r="O442">
        <v>78.099999999999994</v>
      </c>
      <c r="P442">
        <v>78.97</v>
      </c>
      <c r="Q442">
        <v>13609</v>
      </c>
      <c r="R442">
        <v>364944</v>
      </c>
      <c r="S442">
        <v>124.37</v>
      </c>
      <c r="T442">
        <v>124.37</v>
      </c>
      <c r="U442">
        <v>124.37</v>
      </c>
      <c r="V442">
        <v>124.37</v>
      </c>
      <c r="W442">
        <v>0</v>
      </c>
      <c r="X442">
        <v>2.2090729783037565E-2</v>
      </c>
      <c r="Y442">
        <v>-1.3865346265264213</v>
      </c>
      <c r="Z442">
        <v>-1.2442459306827487</v>
      </c>
      <c r="AB442" s="3">
        <f t="shared" si="66"/>
        <v>-9.2328749706405838E-3</v>
      </c>
      <c r="AC442" s="3">
        <f t="shared" si="67"/>
        <v>-1.0009399175483921E-2</v>
      </c>
      <c r="AD442" s="3">
        <f t="shared" si="68"/>
        <v>-1.8755869217058144E-3</v>
      </c>
      <c r="AE442" s="76">
        <f t="shared" si="69"/>
        <v>1573.9047619047597</v>
      </c>
      <c r="AF442" s="76">
        <f t="shared" si="70"/>
        <v>841.25595238095048</v>
      </c>
      <c r="AG442" s="76">
        <f t="shared" si="71"/>
        <v>2478.2279814580688</v>
      </c>
      <c r="AO442" s="5">
        <f t="shared" si="76"/>
        <v>3.2658997752214716E-2</v>
      </c>
      <c r="AP442" s="5">
        <f t="shared" si="72"/>
        <v>0.54368551958281364</v>
      </c>
      <c r="AR442" s="5">
        <f t="shared" si="73"/>
        <v>5.0782496575300096E-3</v>
      </c>
      <c r="AS442" s="5">
        <f t="shared" si="74"/>
        <v>6.9552192312241079E-3</v>
      </c>
      <c r="AT442" s="5">
        <f t="shared" si="75"/>
        <v>7.9217368697563906E-3</v>
      </c>
    </row>
    <row r="443" spans="12:46" x14ac:dyDescent="0.25">
      <c r="L443" s="4">
        <v>44889.5</v>
      </c>
      <c r="M443">
        <v>76.05</v>
      </c>
      <c r="N443">
        <v>78.75</v>
      </c>
      <c r="O443">
        <v>75.63</v>
      </c>
      <c r="P443">
        <v>78.69</v>
      </c>
      <c r="Q443">
        <v>16632</v>
      </c>
      <c r="R443">
        <v>366104</v>
      </c>
      <c r="S443">
        <v>129.62</v>
      </c>
      <c r="T443">
        <v>129.62</v>
      </c>
      <c r="U443">
        <v>129.62</v>
      </c>
      <c r="V443">
        <v>129.62</v>
      </c>
      <c r="W443">
        <v>0</v>
      </c>
      <c r="X443">
        <v>4.2110946146578544E-2</v>
      </c>
      <c r="Y443">
        <v>-0.32796748860766817</v>
      </c>
      <c r="Z443">
        <v>-0.720697081419442</v>
      </c>
      <c r="AB443" s="3">
        <f t="shared" si="66"/>
        <v>-5.4050079353422861E-3</v>
      </c>
      <c r="AC443" s="3">
        <f t="shared" si="67"/>
        <v>-6.3259179698481258E-3</v>
      </c>
      <c r="AD443" s="3">
        <f t="shared" si="68"/>
        <v>1.0153472918710479E-3</v>
      </c>
      <c r="AE443" s="76">
        <f t="shared" si="69"/>
        <v>2297.5238095238092</v>
      </c>
      <c r="AF443" s="76">
        <f t="shared" si="70"/>
        <v>1667.3154761904771</v>
      </c>
      <c r="AG443" s="76">
        <f t="shared" si="71"/>
        <v>3153.5444584913603</v>
      </c>
      <c r="AO443" s="5">
        <f t="shared" si="76"/>
        <v>2.7581521739130452E-2</v>
      </c>
      <c r="AP443" s="5">
        <f t="shared" si="72"/>
        <v>0.54334180026493961</v>
      </c>
      <c r="AR443" s="5">
        <f t="shared" si="73"/>
        <v>4.7364896749183538E-3</v>
      </c>
      <c r="AS443" s="5">
        <f t="shared" si="74"/>
        <v>6.937027742077051E-3</v>
      </c>
      <c r="AT443" s="5">
        <f t="shared" si="75"/>
        <v>7.7703216702003086E-3</v>
      </c>
    </row>
    <row r="444" spans="12:46" x14ac:dyDescent="0.25">
      <c r="L444" s="4">
        <v>44888.5</v>
      </c>
      <c r="M444">
        <v>74.09</v>
      </c>
      <c r="N444">
        <v>76.88</v>
      </c>
      <c r="O444">
        <v>73.599999999999994</v>
      </c>
      <c r="P444">
        <v>75.87</v>
      </c>
      <c r="Q444">
        <v>19416</v>
      </c>
      <c r="R444">
        <v>365206</v>
      </c>
      <c r="S444">
        <v>129.62</v>
      </c>
      <c r="T444">
        <v>129.62</v>
      </c>
      <c r="U444">
        <v>129.62</v>
      </c>
      <c r="V444">
        <v>129.62</v>
      </c>
      <c r="W444">
        <v>0</v>
      </c>
      <c r="X444">
        <v>4.3908969210174044E-2</v>
      </c>
      <c r="Y444">
        <v>-0.22853166125503496</v>
      </c>
      <c r="Z444">
        <v>-0.22869928814434748</v>
      </c>
      <c r="AB444" s="3">
        <f t="shared" si="66"/>
        <v>-4.9150116303630711E-3</v>
      </c>
      <c r="AC444" s="3">
        <f t="shared" si="67"/>
        <v>-5.1888378769153615E-3</v>
      </c>
      <c r="AD444" s="3">
        <f t="shared" si="68"/>
        <v>1.6832974693753167E-3</v>
      </c>
      <c r="AE444" s="76">
        <f t="shared" si="69"/>
        <v>2906.6666666666642</v>
      </c>
      <c r="AF444" s="76">
        <f t="shared" si="70"/>
        <v>2147.7261904761908</v>
      </c>
      <c r="AG444" s="76">
        <f t="shared" si="71"/>
        <v>3490.8643067846606</v>
      </c>
      <c r="AO444" s="5">
        <f t="shared" si="76"/>
        <v>4.0927694406548048E-3</v>
      </c>
      <c r="AP444" s="5">
        <f t="shared" si="72"/>
        <v>0.54453805235759478</v>
      </c>
      <c r="AR444" s="5">
        <f t="shared" si="73"/>
        <v>4.5227685064942458E-3</v>
      </c>
      <c r="AS444" s="5">
        <f t="shared" si="74"/>
        <v>6.9495545846905982E-3</v>
      </c>
      <c r="AT444" s="5">
        <f t="shared" si="75"/>
        <v>7.6577966757200855E-3</v>
      </c>
    </row>
    <row r="445" spans="12:46" x14ac:dyDescent="0.25">
      <c r="L445" s="4">
        <v>44887.5</v>
      </c>
      <c r="M445">
        <v>74.7</v>
      </c>
      <c r="N445">
        <v>74.7</v>
      </c>
      <c r="O445">
        <v>73.3</v>
      </c>
      <c r="P445">
        <v>73.87</v>
      </c>
      <c r="Q445">
        <v>17410</v>
      </c>
      <c r="R445">
        <v>364274</v>
      </c>
      <c r="S445">
        <v>119.639</v>
      </c>
      <c r="T445">
        <v>119.639</v>
      </c>
      <c r="U445">
        <v>119.639</v>
      </c>
      <c r="V445">
        <v>119.639</v>
      </c>
      <c r="W445">
        <v>0</v>
      </c>
      <c r="X445">
        <v>1.9299696719051636E-2</v>
      </c>
      <c r="Y445">
        <v>-1.5256956935577624</v>
      </c>
      <c r="Z445">
        <v>-0.58544233804360202</v>
      </c>
      <c r="AB445" s="3">
        <f t="shared" si="66"/>
        <v>-4.3259645413974285E-3</v>
      </c>
      <c r="AC445" s="3">
        <f t="shared" si="67"/>
        <v>-2.1582923990552047E-3</v>
      </c>
      <c r="AD445" s="3">
        <f t="shared" si="68"/>
        <v>3.8107871089611001E-3</v>
      </c>
      <c r="AE445" s="76">
        <f t="shared" si="69"/>
        <v>4001.2857142857174</v>
      </c>
      <c r="AF445" s="76">
        <f t="shared" si="70"/>
        <v>3053.0892857142862</v>
      </c>
      <c r="AG445" s="76">
        <f t="shared" si="71"/>
        <v>4090.3817951959572</v>
      </c>
      <c r="AO445" s="5">
        <f t="shared" si="76"/>
        <v>2.2600446428571293E-2</v>
      </c>
      <c r="AP445" s="5">
        <f t="shared" si="72"/>
        <v>0.54453143215433575</v>
      </c>
      <c r="AR445" s="5">
        <f t="shared" si="73"/>
        <v>4.1865186636440566E-3</v>
      </c>
      <c r="AS445" s="5">
        <f t="shared" si="74"/>
        <v>6.813640636305851E-3</v>
      </c>
      <c r="AT445" s="5">
        <f t="shared" si="75"/>
        <v>7.4064666519398914E-3</v>
      </c>
    </row>
    <row r="446" spans="12:46" x14ac:dyDescent="0.25">
      <c r="L446" s="4">
        <v>44886.5</v>
      </c>
      <c r="M446">
        <v>72.540000000000006</v>
      </c>
      <c r="N446">
        <v>75.2</v>
      </c>
      <c r="O446">
        <v>71.680000000000007</v>
      </c>
      <c r="P446">
        <v>74.28</v>
      </c>
      <c r="Q446">
        <v>18751</v>
      </c>
      <c r="R446">
        <v>362965</v>
      </c>
      <c r="S446">
        <v>116.128</v>
      </c>
      <c r="T446">
        <v>116.128</v>
      </c>
      <c r="U446">
        <v>116.128</v>
      </c>
      <c r="V446">
        <v>116.128</v>
      </c>
      <c r="W446">
        <v>0</v>
      </c>
      <c r="X446">
        <v>4.8632218844984754E-2</v>
      </c>
      <c r="Y446">
        <v>4.2784049929333679E-3</v>
      </c>
      <c r="Z446">
        <v>-0.35778772759558375</v>
      </c>
      <c r="AB446" s="3">
        <f t="shared" si="66"/>
        <v>-1.4503918640479188E-3</v>
      </c>
      <c r="AC446" s="3">
        <f t="shared" si="67"/>
        <v>1.4333046510756758E-3</v>
      </c>
      <c r="AD446" s="3">
        <f t="shared" si="68"/>
        <v>6.4333090233552603E-3</v>
      </c>
      <c r="AE446" s="76">
        <f t="shared" si="69"/>
        <v>4316.6190476190459</v>
      </c>
      <c r="AF446" s="76">
        <f t="shared" si="70"/>
        <v>3530.4226190476184</v>
      </c>
      <c r="AG446" s="76">
        <f t="shared" si="71"/>
        <v>4293.6544458491335</v>
      </c>
      <c r="AO446" s="5">
        <f t="shared" si="76"/>
        <v>-3.7526059763724256E-3</v>
      </c>
      <c r="AP446" s="5">
        <f t="shared" si="72"/>
        <v>0.54416325334946936</v>
      </c>
      <c r="AR446" s="5">
        <f t="shared" si="73"/>
        <v>3.3677457690101109E-3</v>
      </c>
      <c r="AS446" s="5">
        <f t="shared" si="74"/>
        <v>6.4419038183568533E-3</v>
      </c>
      <c r="AT446" s="5">
        <f t="shared" si="75"/>
        <v>6.9590518128695988E-3</v>
      </c>
    </row>
    <row r="447" spans="12:46" x14ac:dyDescent="0.25">
      <c r="L447" s="4">
        <v>44883.5</v>
      </c>
      <c r="M447">
        <v>72.38</v>
      </c>
      <c r="N447">
        <v>73.989999999999995</v>
      </c>
      <c r="O447">
        <v>71.95</v>
      </c>
      <c r="P447">
        <v>72.16</v>
      </c>
      <c r="Q447">
        <v>19317</v>
      </c>
      <c r="R447">
        <v>364594</v>
      </c>
      <c r="S447">
        <v>115.509</v>
      </c>
      <c r="T447">
        <v>115.509</v>
      </c>
      <c r="U447">
        <v>115.509</v>
      </c>
      <c r="V447">
        <v>115.509</v>
      </c>
      <c r="W447">
        <v>0</v>
      </c>
      <c r="X447">
        <v>2.7736233854520627E-2</v>
      </c>
      <c r="Y447">
        <v>-1.1263986460410218</v>
      </c>
      <c r="Z447">
        <v>-0.24496961046337457</v>
      </c>
      <c r="AB447" s="3">
        <f t="shared" si="66"/>
        <v>-1.255977405925722E-3</v>
      </c>
      <c r="AC447" s="3">
        <f t="shared" si="67"/>
        <v>1.4628761438878896E-3</v>
      </c>
      <c r="AD447" s="3">
        <f t="shared" si="68"/>
        <v>6.1188519774262387E-3</v>
      </c>
      <c r="AE447" s="76">
        <f t="shared" si="69"/>
        <v>4051.5714285714312</v>
      </c>
      <c r="AF447" s="76">
        <f t="shared" si="70"/>
        <v>3163.8690476190495</v>
      </c>
      <c r="AG447" s="76">
        <f t="shared" si="71"/>
        <v>3949.4799831437012</v>
      </c>
      <c r="AO447" s="5">
        <f t="shared" si="76"/>
        <v>8.3460842954517008E-4</v>
      </c>
      <c r="AP447" s="5">
        <f t="shared" si="72"/>
        <v>0.54421089953969581</v>
      </c>
      <c r="AR447" s="5">
        <f t="shared" si="73"/>
        <v>2.6778776027840401E-3</v>
      </c>
      <c r="AS447" s="5">
        <f t="shared" si="74"/>
        <v>6.0728024354201882E-3</v>
      </c>
      <c r="AT447" s="5">
        <f t="shared" si="75"/>
        <v>6.5296728357862044E-3</v>
      </c>
    </row>
    <row r="448" spans="12:46" x14ac:dyDescent="0.25">
      <c r="L448" s="4">
        <v>44882.5</v>
      </c>
      <c r="M448">
        <v>73.55</v>
      </c>
      <c r="N448">
        <v>74.709999999999994</v>
      </c>
      <c r="O448">
        <v>71.89</v>
      </c>
      <c r="P448">
        <v>72</v>
      </c>
      <c r="Q448">
        <v>21449</v>
      </c>
      <c r="R448">
        <v>367158</v>
      </c>
      <c r="S448">
        <v>112.556</v>
      </c>
      <c r="T448">
        <v>112.556</v>
      </c>
      <c r="U448">
        <v>112.556</v>
      </c>
      <c r="V448">
        <v>112.556</v>
      </c>
      <c r="W448">
        <v>0</v>
      </c>
      <c r="X448">
        <v>3.6623376623376537E-2</v>
      </c>
      <c r="Y448">
        <v>-0.66968014449164515</v>
      </c>
      <c r="Z448">
        <v>0.12885698358899772</v>
      </c>
      <c r="AB448" s="3">
        <f t="shared" si="66"/>
        <v>-2.4947354665758315E-3</v>
      </c>
      <c r="AC448" s="3">
        <f t="shared" si="67"/>
        <v>9.0090726608493821E-4</v>
      </c>
      <c r="AD448" s="3">
        <f t="shared" si="68"/>
        <v>5.6499382614544763E-3</v>
      </c>
      <c r="AE448" s="76">
        <f t="shared" si="69"/>
        <v>4050.8095238095229</v>
      </c>
      <c r="AF448" s="76">
        <f t="shared" si="70"/>
        <v>3171.9166666666642</v>
      </c>
      <c r="AG448" s="76">
        <f t="shared" si="71"/>
        <v>3914.1635061104062</v>
      </c>
      <c r="AO448" s="5">
        <f t="shared" si="76"/>
        <v>-1.628352490421453E-2</v>
      </c>
      <c r="AP448" s="5">
        <f t="shared" si="72"/>
        <v>0.54528151521003199</v>
      </c>
      <c r="AR448" s="5">
        <f t="shared" si="73"/>
        <v>2.0297350200723097E-3</v>
      </c>
      <c r="AS448" s="5">
        <f t="shared" si="74"/>
        <v>5.7405540365762509E-3</v>
      </c>
      <c r="AT448" s="5">
        <f t="shared" si="75"/>
        <v>6.1071767213806138E-3</v>
      </c>
    </row>
    <row r="449" spans="12:46" x14ac:dyDescent="0.25">
      <c r="L449" s="4">
        <v>44881.5</v>
      </c>
      <c r="M449">
        <v>77</v>
      </c>
      <c r="N449">
        <v>77.41</v>
      </c>
      <c r="O449">
        <v>73.08</v>
      </c>
      <c r="P449">
        <v>73.41</v>
      </c>
      <c r="Q449">
        <v>30683</v>
      </c>
      <c r="R449">
        <v>373883</v>
      </c>
      <c r="S449">
        <v>113.9</v>
      </c>
      <c r="T449">
        <v>113.9</v>
      </c>
      <c r="U449">
        <v>113.9</v>
      </c>
      <c r="V449">
        <v>113.9</v>
      </c>
      <c r="W449">
        <v>0</v>
      </c>
      <c r="X449">
        <v>5.7710249233639856E-2</v>
      </c>
      <c r="Y449">
        <v>0.44135530730736322</v>
      </c>
      <c r="Z449">
        <v>1.7606505807405799</v>
      </c>
      <c r="AB449" s="3">
        <f t="shared" si="66"/>
        <v>-2.1968374658346695E-3</v>
      </c>
      <c r="AC449" s="3">
        <f t="shared" si="67"/>
        <v>1.1904365817290777E-3</v>
      </c>
      <c r="AD449" s="3">
        <f t="shared" si="68"/>
        <v>5.8820376828574231E-3</v>
      </c>
      <c r="AE449" s="76">
        <f t="shared" si="69"/>
        <v>4156.2380952380954</v>
      </c>
      <c r="AF449" s="76">
        <f t="shared" si="70"/>
        <v>3053.7321428571413</v>
      </c>
      <c r="AG449" s="76">
        <f t="shared" si="71"/>
        <v>3850.2085967130188</v>
      </c>
      <c r="AO449" s="5">
        <f t="shared" si="76"/>
        <v>-1.2432432432432455E-2</v>
      </c>
      <c r="AP449" s="5">
        <f t="shared" si="72"/>
        <v>0.54507821482455165</v>
      </c>
      <c r="AR449" s="5">
        <f t="shared" si="73"/>
        <v>1.4311017983272833E-3</v>
      </c>
      <c r="AS449" s="5">
        <f t="shared" si="74"/>
        <v>5.4260348154573368E-3</v>
      </c>
      <c r="AT449" s="5">
        <f t="shared" si="75"/>
        <v>5.6844983248883763E-3</v>
      </c>
    </row>
    <row r="450" spans="12:46" x14ac:dyDescent="0.25">
      <c r="L450" s="4">
        <v>44880.5</v>
      </c>
      <c r="M450">
        <v>75.03</v>
      </c>
      <c r="N450">
        <v>77.25</v>
      </c>
      <c r="O450">
        <v>74</v>
      </c>
      <c r="P450">
        <v>77.150000000000006</v>
      </c>
      <c r="Q450">
        <v>20444</v>
      </c>
      <c r="R450">
        <v>376808</v>
      </c>
      <c r="S450">
        <v>113.705</v>
      </c>
      <c r="T450">
        <v>124.104</v>
      </c>
      <c r="U450">
        <v>113.705</v>
      </c>
      <c r="V450">
        <v>124.104</v>
      </c>
      <c r="W450">
        <v>0</v>
      </c>
      <c r="X450">
        <v>4.2938300964460302E-2</v>
      </c>
      <c r="Y450">
        <v>-0.33880898772335816</v>
      </c>
      <c r="Z450">
        <v>-7.446756084158894E-3</v>
      </c>
      <c r="AB450" s="3">
        <f t="shared" si="66"/>
        <v>-4.7313393818598434E-3</v>
      </c>
      <c r="AC450" s="3">
        <f t="shared" si="67"/>
        <v>-3.7415999274675871E-4</v>
      </c>
      <c r="AD450" s="3">
        <f t="shared" si="68"/>
        <v>4.4582564628376786E-3</v>
      </c>
      <c r="AE450" s="76">
        <f t="shared" si="69"/>
        <v>3522</v>
      </c>
      <c r="AF450" s="76">
        <f t="shared" si="70"/>
        <v>2559.4464285714275</v>
      </c>
      <c r="AG450" s="76">
        <f t="shared" si="71"/>
        <v>3204.4576485461439</v>
      </c>
      <c r="AO450" s="5">
        <f t="shared" si="76"/>
        <v>-7.9099074943022301E-3</v>
      </c>
      <c r="AP450" s="5">
        <f t="shared" si="72"/>
        <v>0.5449715925077685</v>
      </c>
      <c r="AR450" s="5">
        <f t="shared" si="73"/>
        <v>8.2698663886726642E-4</v>
      </c>
      <c r="AS450" s="5">
        <f t="shared" si="74"/>
        <v>5.1260783183094683E-3</v>
      </c>
      <c r="AT450" s="5">
        <f t="shared" si="75"/>
        <v>5.2708261075021801E-3</v>
      </c>
    </row>
    <row r="451" spans="12:46" x14ac:dyDescent="0.25">
      <c r="L451" s="4">
        <v>44879.5</v>
      </c>
      <c r="M451">
        <v>75.69</v>
      </c>
      <c r="N451">
        <v>76</v>
      </c>
      <c r="O451">
        <v>74.59</v>
      </c>
      <c r="P451">
        <v>75.03</v>
      </c>
      <c r="Q451">
        <v>20132</v>
      </c>
      <c r="R451">
        <v>377766</v>
      </c>
      <c r="S451">
        <v>113.70399999999999</v>
      </c>
      <c r="T451">
        <v>113.70399999999999</v>
      </c>
      <c r="U451">
        <v>113.70399999999999</v>
      </c>
      <c r="V451">
        <v>113.70399999999999</v>
      </c>
      <c r="W451">
        <v>0</v>
      </c>
      <c r="X451">
        <v>1.9228146733942405E-2</v>
      </c>
      <c r="Y451">
        <v>-1.5820697515553352</v>
      </c>
      <c r="Z451">
        <v>-4.7559294323382975E-2</v>
      </c>
      <c r="AB451" s="3">
        <f t="shared" si="66"/>
        <v>-5.3467578083803841E-3</v>
      </c>
      <c r="AC451" s="3">
        <f t="shared" si="67"/>
        <v>-6.1972916231175373E-4</v>
      </c>
      <c r="AD451" s="3">
        <f t="shared" si="68"/>
        <v>3.5330590139135976E-3</v>
      </c>
      <c r="AE451" s="76">
        <f t="shared" si="69"/>
        <v>3391.1428571428551</v>
      </c>
      <c r="AF451" s="76">
        <f t="shared" si="70"/>
        <v>2338.4880952380954</v>
      </c>
      <c r="AG451" s="76">
        <f t="shared" si="71"/>
        <v>2898.1748841129374</v>
      </c>
      <c r="AO451" s="5">
        <f t="shared" si="76"/>
        <v>2.1081451060917265E-2</v>
      </c>
      <c r="AP451" s="5">
        <f t="shared" si="72"/>
        <v>0.54633313831779995</v>
      </c>
      <c r="AR451" s="5">
        <f t="shared" si="73"/>
        <v>5.1882493084576264E-4</v>
      </c>
      <c r="AS451" s="5">
        <f t="shared" si="74"/>
        <v>5.0280049121913528E-3</v>
      </c>
      <c r="AT451" s="5">
        <f t="shared" si="75"/>
        <v>5.0571498792715275E-3</v>
      </c>
    </row>
    <row r="452" spans="12:46" x14ac:dyDescent="0.25">
      <c r="L452" s="4">
        <v>44876.5</v>
      </c>
      <c r="M452">
        <v>73.33</v>
      </c>
      <c r="N452">
        <v>76.540000000000006</v>
      </c>
      <c r="O452">
        <v>73.05</v>
      </c>
      <c r="P452">
        <v>75.790000000000006</v>
      </c>
      <c r="Q452">
        <v>20326</v>
      </c>
      <c r="R452">
        <v>380681</v>
      </c>
      <c r="S452">
        <v>97.852999999999994</v>
      </c>
      <c r="T452">
        <v>97.852999999999994</v>
      </c>
      <c r="U452">
        <v>97.852999999999994</v>
      </c>
      <c r="V452">
        <v>97.852999999999994</v>
      </c>
      <c r="W452">
        <v>0</v>
      </c>
      <c r="X452">
        <v>4.8137931034482884E-2</v>
      </c>
      <c r="Y452">
        <v>-5.6003590910377897E-2</v>
      </c>
      <c r="Z452">
        <v>-3.1850425504344809E-3</v>
      </c>
      <c r="AB452" s="3">
        <f t="shared" si="66"/>
        <v>-5.2873001370053394E-3</v>
      </c>
      <c r="AC452" s="3">
        <f t="shared" si="67"/>
        <v>-6.2469402717490324E-4</v>
      </c>
      <c r="AD452" s="3">
        <f t="shared" si="68"/>
        <v>3.9322145612662729E-3</v>
      </c>
      <c r="AE452" s="76">
        <f t="shared" si="69"/>
        <v>2411.5714285714312</v>
      </c>
      <c r="AF452" s="76">
        <f t="shared" si="70"/>
        <v>1957.1428571428587</v>
      </c>
      <c r="AG452" s="76">
        <f t="shared" si="71"/>
        <v>2512.2515802781309</v>
      </c>
      <c r="AO452" s="5">
        <f t="shared" si="76"/>
        <v>3.6170212765957409E-2</v>
      </c>
      <c r="AP452" s="5">
        <f t="shared" si="72"/>
        <v>0.5460120753049269</v>
      </c>
      <c r="AR452" s="5">
        <f t="shared" si="73"/>
        <v>1.624295723828828E-4</v>
      </c>
      <c r="AS452" s="5">
        <f t="shared" si="74"/>
        <v>4.8780391178652183E-3</v>
      </c>
      <c r="AT452" s="5">
        <f t="shared" si="75"/>
        <v>4.7966929772561562E-3</v>
      </c>
    </row>
    <row r="453" spans="12:46" x14ac:dyDescent="0.25">
      <c r="L453" s="4">
        <v>44875.5</v>
      </c>
      <c r="M453">
        <v>72.5</v>
      </c>
      <c r="N453">
        <v>74.290000000000006</v>
      </c>
      <c r="O453">
        <v>70.5</v>
      </c>
      <c r="P453">
        <v>73.17</v>
      </c>
      <c r="Q453">
        <v>27274</v>
      </c>
      <c r="R453">
        <v>381085</v>
      </c>
      <c r="S453">
        <v>113.452</v>
      </c>
      <c r="T453">
        <v>113.452</v>
      </c>
      <c r="U453">
        <v>113.452</v>
      </c>
      <c r="V453">
        <v>113.452</v>
      </c>
      <c r="W453">
        <v>0</v>
      </c>
      <c r="X453">
        <v>4.9829082303444731E-2</v>
      </c>
      <c r="Y453">
        <v>5.0396315452755872E-2</v>
      </c>
      <c r="Z453">
        <v>1.2395925435647992</v>
      </c>
      <c r="AB453" s="3">
        <f t="shared" si="66"/>
        <v>-5.7662350768864015E-3</v>
      </c>
      <c r="AC453" s="3">
        <f t="shared" si="67"/>
        <v>3.1282530559373356E-4</v>
      </c>
      <c r="AD453" s="3">
        <f t="shared" si="68"/>
        <v>4.2639924303205512E-3</v>
      </c>
      <c r="AE453" s="76">
        <f t="shared" si="69"/>
        <v>2914.8571428571413</v>
      </c>
      <c r="AF453" s="76">
        <f t="shared" si="70"/>
        <v>2438.1428571428551</v>
      </c>
      <c r="AG453" s="76">
        <f t="shared" si="71"/>
        <v>2752.6333754740808</v>
      </c>
      <c r="AO453" s="5">
        <f t="shared" si="76"/>
        <v>-2.8256374913852477E-2</v>
      </c>
      <c r="AP453" s="5">
        <f t="shared" si="72"/>
        <v>0.54513020825907066</v>
      </c>
      <c r="AR453" s="5">
        <f t="shared" si="73"/>
        <v>-1.7458713731910436E-4</v>
      </c>
      <c r="AS453" s="5">
        <f t="shared" si="74"/>
        <v>4.7341232443400827E-3</v>
      </c>
      <c r="AT453" s="5">
        <f t="shared" si="75"/>
        <v>4.5442119369845102E-3</v>
      </c>
    </row>
    <row r="454" spans="12:46" x14ac:dyDescent="0.25">
      <c r="L454" s="4">
        <v>44874.5</v>
      </c>
      <c r="M454">
        <v>76.06</v>
      </c>
      <c r="N454">
        <v>76.94</v>
      </c>
      <c r="O454">
        <v>72.55</v>
      </c>
      <c r="P454">
        <v>72.61</v>
      </c>
      <c r="Q454">
        <v>37958</v>
      </c>
      <c r="R454">
        <v>381337</v>
      </c>
      <c r="S454">
        <v>113.14400000000001</v>
      </c>
      <c r="T454">
        <v>113.14400000000001</v>
      </c>
      <c r="U454">
        <v>113.14400000000001</v>
      </c>
      <c r="V454">
        <v>113.14400000000001</v>
      </c>
      <c r="W454">
        <v>0</v>
      </c>
      <c r="X454">
        <v>5.6463022508038592E-2</v>
      </c>
      <c r="Y454">
        <v>0.41444050315484093</v>
      </c>
      <c r="Z454">
        <v>3.1791165415819833</v>
      </c>
      <c r="AB454" s="3">
        <f t="shared" si="66"/>
        <v>-6.1681534804201438E-3</v>
      </c>
      <c r="AC454" s="3">
        <f t="shared" si="67"/>
        <v>1.1056790340783912E-3</v>
      </c>
      <c r="AD454" s="3">
        <f t="shared" si="68"/>
        <v>4.5511039605684034E-3</v>
      </c>
      <c r="AE454" s="76">
        <f t="shared" si="69"/>
        <v>2465.5714285714275</v>
      </c>
      <c r="AF454" s="76">
        <f t="shared" si="70"/>
        <v>2166.9821428571449</v>
      </c>
      <c r="AG454" s="76">
        <f t="shared" si="71"/>
        <v>2432.307206068268</v>
      </c>
      <c r="AO454" s="5">
        <f t="shared" si="76"/>
        <v>-3.9708802117802783E-2</v>
      </c>
      <c r="AP454" s="5">
        <f t="shared" si="72"/>
        <v>0.54554887961268828</v>
      </c>
      <c r="AR454" s="5">
        <f t="shared" si="73"/>
        <v>-4.669473293212878E-4</v>
      </c>
      <c r="AS454" s="5">
        <f t="shared" si="74"/>
        <v>4.636597653408403E-3</v>
      </c>
      <c r="AT454" s="5">
        <f t="shared" si="75"/>
        <v>4.335975360720834E-3</v>
      </c>
    </row>
    <row r="455" spans="12:46" x14ac:dyDescent="0.25">
      <c r="L455" s="4">
        <v>44873.5</v>
      </c>
      <c r="M455">
        <v>77.75</v>
      </c>
      <c r="N455">
        <v>77.790000000000006</v>
      </c>
      <c r="O455">
        <v>75.55</v>
      </c>
      <c r="P455">
        <v>76.38</v>
      </c>
      <c r="Q455">
        <v>22831</v>
      </c>
      <c r="R455">
        <v>381337</v>
      </c>
      <c r="S455">
        <v>118.14700000000001</v>
      </c>
      <c r="T455">
        <v>118.14700000000001</v>
      </c>
      <c r="U455">
        <v>118.14700000000001</v>
      </c>
      <c r="V455">
        <v>118.14700000000001</v>
      </c>
      <c r="W455">
        <v>0</v>
      </c>
      <c r="X455">
        <v>2.9334730225248941E-2</v>
      </c>
      <c r="Y455">
        <v>-0.97759390728274809</v>
      </c>
      <c r="Z455">
        <v>0.59883858711663429</v>
      </c>
      <c r="AB455" s="3">
        <f t="shared" si="66"/>
        <v>-1.1334001706340795E-2</v>
      </c>
      <c r="AC455" s="3">
        <f t="shared" si="67"/>
        <v>-5.9099879972573238E-4</v>
      </c>
      <c r="AD455" s="3">
        <f t="shared" si="68"/>
        <v>2.7759518149449089E-3</v>
      </c>
      <c r="AE455" s="76">
        <f t="shared" si="69"/>
        <v>1191.3809523809541</v>
      </c>
      <c r="AF455" s="76">
        <f t="shared" si="70"/>
        <v>1058.6130952380954</v>
      </c>
      <c r="AG455" s="76">
        <f t="shared" si="71"/>
        <v>1321.7791824694505</v>
      </c>
      <c r="AO455" s="5">
        <f t="shared" si="76"/>
        <v>1.3238019592256957E-4</v>
      </c>
      <c r="AP455" s="5">
        <f t="shared" si="72"/>
        <v>0.54404564200255623</v>
      </c>
      <c r="AR455" s="5">
        <f t="shared" si="73"/>
        <v>-7.6945795598726274E-4</v>
      </c>
      <c r="AS455" s="5">
        <f t="shared" si="74"/>
        <v>4.4850906130241563E-3</v>
      </c>
      <c r="AT455" s="5">
        <f t="shared" si="75"/>
        <v>4.1051244303921264E-3</v>
      </c>
    </row>
    <row r="456" spans="12:46" x14ac:dyDescent="0.25">
      <c r="L456" s="4">
        <v>44872.5</v>
      </c>
      <c r="M456">
        <v>76.36</v>
      </c>
      <c r="N456">
        <v>78.2</v>
      </c>
      <c r="O456">
        <v>75.540000000000006</v>
      </c>
      <c r="P456">
        <v>77.8</v>
      </c>
      <c r="Q456">
        <v>17475</v>
      </c>
      <c r="R456">
        <v>384557</v>
      </c>
      <c r="S456">
        <v>109.68300000000001</v>
      </c>
      <c r="T456">
        <v>109.68300000000001</v>
      </c>
      <c r="U456">
        <v>109.68300000000001</v>
      </c>
      <c r="V456">
        <v>109.68300000000001</v>
      </c>
      <c r="W456">
        <v>0</v>
      </c>
      <c r="X456">
        <v>3.4771241830065316E-2</v>
      </c>
      <c r="Y456">
        <v>-0.68834847347016737</v>
      </c>
      <c r="Z456">
        <v>-0.39320303173378374</v>
      </c>
      <c r="AB456" s="3">
        <f t="shared" si="66"/>
        <v>-9.3013526266636712E-3</v>
      </c>
      <c r="AC456" s="3">
        <f t="shared" si="67"/>
        <v>6.4675987825184994E-4</v>
      </c>
      <c r="AD456" s="3">
        <f t="shared" si="68"/>
        <v>4.0342802565648817E-3</v>
      </c>
      <c r="AE456" s="76">
        <f t="shared" si="69"/>
        <v>781.95238095238165</v>
      </c>
      <c r="AF456" s="76">
        <f t="shared" si="70"/>
        <v>578.45238095238165</v>
      </c>
      <c r="AG456" s="76">
        <f t="shared" si="71"/>
        <v>981.52380952380918</v>
      </c>
      <c r="AO456" s="5">
        <f t="shared" si="76"/>
        <v>-8.2709728239463761E-3</v>
      </c>
      <c r="AP456" s="5">
        <f t="shared" si="72"/>
        <v>0.54404399640616918</v>
      </c>
      <c r="AR456" s="5">
        <f t="shared" si="73"/>
        <v>-9.9739875941717848E-4</v>
      </c>
      <c r="AS456" s="5">
        <f t="shared" si="74"/>
        <v>4.407342553794602E-3</v>
      </c>
      <c r="AT456" s="5">
        <f t="shared" si="75"/>
        <v>3.9473696192195984E-3</v>
      </c>
    </row>
    <row r="457" spans="12:46" x14ac:dyDescent="0.25">
      <c r="L457" s="4">
        <v>44869.5</v>
      </c>
      <c r="M457">
        <v>76.5</v>
      </c>
      <c r="N457">
        <v>79.5</v>
      </c>
      <c r="O457">
        <v>76.17</v>
      </c>
      <c r="P457">
        <v>76.459999999999994</v>
      </c>
      <c r="Q457">
        <v>20663</v>
      </c>
      <c r="R457">
        <v>385136</v>
      </c>
      <c r="S457">
        <v>114.786</v>
      </c>
      <c r="T457">
        <v>114.786</v>
      </c>
      <c r="U457">
        <v>114.786</v>
      </c>
      <c r="V457">
        <v>114.786</v>
      </c>
      <c r="W457">
        <v>0</v>
      </c>
      <c r="X457">
        <v>4.3455565705337318E-2</v>
      </c>
      <c r="Y457">
        <v>-0.22502650715292885</v>
      </c>
      <c r="Z457">
        <v>0.22258951037770208</v>
      </c>
      <c r="AB457" s="3">
        <f t="shared" ref="AB457:AB520" si="77">AVERAGEA(X457:X477)-AVERAGE(X478:X498)</f>
        <v>-9.2950070708835084E-3</v>
      </c>
      <c r="AC457" s="3">
        <f t="shared" ref="AC457:AC520" si="78">AVERAGEA(X457:X477)-AVERAGE(X478:X533)</f>
        <v>1.233405467384957E-3</v>
      </c>
      <c r="AD457" s="3">
        <f t="shared" ref="AD457:AD520" si="79">AVERAGEA(X457:X477)-AVERAGE(X478:X590)</f>
        <v>4.0372945877836658E-3</v>
      </c>
      <c r="AE457" s="76">
        <f t="shared" ref="AE457:AE520" si="80">AVERAGEA(Q457:Q477)-AVERAGE(Q478:Q498)</f>
        <v>240.52380952380918</v>
      </c>
      <c r="AF457" s="76">
        <f t="shared" ref="AF457:AF520" si="81">AVERAGEA(Q457:Q477)-AVERAGE(Q478:Q533)</f>
        <v>186.49404761904589</v>
      </c>
      <c r="AG457" s="76">
        <f t="shared" ref="AG457:AG520" si="82">AVERAGEA(Q457:Q477)-AVERAGE(Q478:Q590)</f>
        <v>811.85798567214442</v>
      </c>
      <c r="AO457" s="5">
        <f t="shared" si="76"/>
        <v>1.0748407643312132E-2</v>
      </c>
      <c r="AP457" s="5">
        <f t="shared" ref="AP457:AP520" si="83">_xlfn.STDEV.S(AO457:AO716)*SQRT(252)</f>
        <v>0.54400299470221625</v>
      </c>
      <c r="AR457" s="5">
        <f t="shared" ref="AR457:AR520" si="84">IFERROR(AVERAGEA(AP457:AP477)-AVERAGE(AP478:AP498),"")</f>
        <v>-1.3170151070468483E-3</v>
      </c>
      <c r="AS457" s="5">
        <f t="shared" ref="AS457:AS520" si="85">IFERROR(AVERAGEA(AP457:AP477)-AVERAGE(AP478:AP533),"")</f>
        <v>4.2873156669744894E-3</v>
      </c>
      <c r="AT457" s="5">
        <f t="shared" ref="AT457:AT520" si="86">IFERROR(AVERAGEA(AP457:AP477)-AVERAGE(AP478:AP590),"")</f>
        <v>3.756354411943108E-3</v>
      </c>
    </row>
    <row r="458" spans="12:46" x14ac:dyDescent="0.25">
      <c r="L458" s="4">
        <v>44868.5</v>
      </c>
      <c r="M458">
        <v>76.63</v>
      </c>
      <c r="N458">
        <v>78.2</v>
      </c>
      <c r="O458">
        <v>75.36</v>
      </c>
      <c r="P458">
        <v>76.650000000000006</v>
      </c>
      <c r="Q458">
        <v>26292</v>
      </c>
      <c r="R458">
        <v>385150</v>
      </c>
      <c r="S458">
        <v>125.44499999999999</v>
      </c>
      <c r="T458">
        <v>125.44499999999999</v>
      </c>
      <c r="U458">
        <v>125.44499999999999</v>
      </c>
      <c r="V458">
        <v>125.44499999999999</v>
      </c>
      <c r="W458">
        <v>0</v>
      </c>
      <c r="X458">
        <v>3.6806635562467646E-2</v>
      </c>
      <c r="Y458">
        <v>-0.54419162682316324</v>
      </c>
      <c r="Z458">
        <v>1.2834291771666977</v>
      </c>
      <c r="AB458" s="3">
        <f t="shared" si="77"/>
        <v>-7.7542659096845462E-3</v>
      </c>
      <c r="AC458" s="3">
        <f t="shared" si="78"/>
        <v>1.9865106848370589E-3</v>
      </c>
      <c r="AD458" s="3">
        <f t="shared" si="79"/>
        <v>5.0326771899479733E-3</v>
      </c>
      <c r="AE458" s="76">
        <f t="shared" si="80"/>
        <v>-622.8571428571413</v>
      </c>
      <c r="AF458" s="76">
        <f t="shared" si="81"/>
        <v>-451.11904761904589</v>
      </c>
      <c r="AG458" s="76">
        <f t="shared" si="82"/>
        <v>618.68183733670594</v>
      </c>
      <c r="AO458" s="5">
        <f t="shared" ref="AO458:AO521" si="87">IFERROR((O458-O459)/O459,"")</f>
        <v>-9.4637223974763252E-3</v>
      </c>
      <c r="AP458" s="5">
        <f t="shared" si="83"/>
        <v>0.54394731575301303</v>
      </c>
      <c r="AR458" s="5">
        <f t="shared" si="84"/>
        <v>-1.6801976309652744E-3</v>
      </c>
      <c r="AS458" s="5">
        <f t="shared" si="85"/>
        <v>4.1092230862977974E-3</v>
      </c>
      <c r="AT458" s="5">
        <f t="shared" si="86"/>
        <v>3.5158985251971808E-3</v>
      </c>
    </row>
    <row r="459" spans="12:46" x14ac:dyDescent="0.25">
      <c r="L459" s="4">
        <v>44867.5</v>
      </c>
      <c r="M459">
        <v>77.16</v>
      </c>
      <c r="N459">
        <v>78.569999999999993</v>
      </c>
      <c r="O459">
        <v>76.08</v>
      </c>
      <c r="P459">
        <v>76.89</v>
      </c>
      <c r="Q459">
        <v>13906</v>
      </c>
      <c r="R459">
        <v>392835</v>
      </c>
      <c r="S459">
        <v>125.863</v>
      </c>
      <c r="T459">
        <v>125.863</v>
      </c>
      <c r="U459">
        <v>125.863</v>
      </c>
      <c r="V459">
        <v>125.863</v>
      </c>
      <c r="W459">
        <v>0</v>
      </c>
      <c r="X459">
        <v>3.1210829781900162E-2</v>
      </c>
      <c r="Y459">
        <v>-0.80349993463865466</v>
      </c>
      <c r="Z459">
        <v>-1.002987201210239</v>
      </c>
      <c r="AB459" s="3">
        <f t="shared" si="77"/>
        <v>-6.0024227579495437E-3</v>
      </c>
      <c r="AC459" s="3">
        <f t="shared" si="78"/>
        <v>4.4698052631373317E-3</v>
      </c>
      <c r="AD459" s="3">
        <f t="shared" si="79"/>
        <v>6.9799541467015641E-3</v>
      </c>
      <c r="AE459" s="76">
        <f t="shared" si="80"/>
        <v>-1744.4761904761908</v>
      </c>
      <c r="AF459" s="76">
        <f t="shared" si="81"/>
        <v>-781.56547619047706</v>
      </c>
      <c r="AG459" s="76">
        <f t="shared" si="82"/>
        <v>342.20901812052398</v>
      </c>
      <c r="AO459" s="5">
        <f t="shared" si="87"/>
        <v>5.1525961157352432E-3</v>
      </c>
      <c r="AP459" s="5">
        <f t="shared" si="83"/>
        <v>0.54385500772177842</v>
      </c>
      <c r="AR459" s="5">
        <f t="shared" si="84"/>
        <v>-2.0152281372851633E-3</v>
      </c>
      <c r="AS459" s="5">
        <f t="shared" si="85"/>
        <v>3.9854677154281815E-3</v>
      </c>
      <c r="AT459" s="5">
        <f t="shared" si="86"/>
        <v>3.2809878358871503E-3</v>
      </c>
    </row>
    <row r="460" spans="12:46" x14ac:dyDescent="0.25">
      <c r="L460" s="4">
        <v>44866.5</v>
      </c>
      <c r="M460">
        <v>79.78</v>
      </c>
      <c r="N460">
        <v>80.69</v>
      </c>
      <c r="O460">
        <v>75.69</v>
      </c>
      <c r="P460">
        <v>77.180000000000007</v>
      </c>
      <c r="Q460">
        <v>20002</v>
      </c>
      <c r="R460">
        <v>395296</v>
      </c>
      <c r="S460">
        <v>116.193</v>
      </c>
      <c r="T460">
        <v>116.193</v>
      </c>
      <c r="U460">
        <v>116.193</v>
      </c>
      <c r="V460">
        <v>116.193</v>
      </c>
      <c r="W460">
        <v>0</v>
      </c>
      <c r="X460">
        <v>6.1147119970649387E-2</v>
      </c>
      <c r="Y460">
        <v>0.69582226810841308</v>
      </c>
      <c r="Z460">
        <v>0.12784835068765477</v>
      </c>
      <c r="AB460" s="3">
        <f t="shared" si="77"/>
        <v>-5.5019783672656392E-3</v>
      </c>
      <c r="AC460" s="3">
        <f t="shared" si="78"/>
        <v>5.5011697599800929E-3</v>
      </c>
      <c r="AD460" s="3">
        <f t="shared" si="79"/>
        <v>7.5862209189616336E-3</v>
      </c>
      <c r="AE460" s="76">
        <f t="shared" si="80"/>
        <v>-1923.6190476190459</v>
      </c>
      <c r="AF460" s="76">
        <f t="shared" si="81"/>
        <v>-360.55952380952294</v>
      </c>
      <c r="AG460" s="76">
        <f t="shared" si="82"/>
        <v>623.28782132322158</v>
      </c>
      <c r="AO460" s="5">
        <f t="shared" si="87"/>
        <v>-3.1477927063339829E-2</v>
      </c>
      <c r="AP460" s="5">
        <f t="shared" si="83"/>
        <v>0.54504633991232321</v>
      </c>
      <c r="AR460" s="5">
        <f t="shared" si="84"/>
        <v>-1.7181564890665912E-3</v>
      </c>
      <c r="AS460" s="5">
        <f t="shared" si="85"/>
        <v>4.1706460360174669E-3</v>
      </c>
      <c r="AT460" s="5">
        <f t="shared" si="86"/>
        <v>3.3293734321554469E-3</v>
      </c>
    </row>
    <row r="461" spans="12:46" x14ac:dyDescent="0.25">
      <c r="L461" s="4">
        <v>44865.5</v>
      </c>
      <c r="M461">
        <v>81.77</v>
      </c>
      <c r="N461">
        <v>82</v>
      </c>
      <c r="O461">
        <v>78.150000000000006</v>
      </c>
      <c r="P461">
        <v>79.61</v>
      </c>
      <c r="Q461">
        <v>13800</v>
      </c>
      <c r="R461">
        <v>394901</v>
      </c>
      <c r="S461">
        <v>123.352</v>
      </c>
      <c r="T461">
        <v>123.352</v>
      </c>
      <c r="U461">
        <v>123.352</v>
      </c>
      <c r="V461">
        <v>123.352</v>
      </c>
      <c r="W461">
        <v>0</v>
      </c>
      <c r="X461">
        <v>4.7963124454964423E-2</v>
      </c>
      <c r="Y461">
        <v>5.7377101230339615E-2</v>
      </c>
      <c r="Z461">
        <v>-1.0089630622623713</v>
      </c>
      <c r="AB461" s="3">
        <f t="shared" si="77"/>
        <v>-7.0048085437032226E-3</v>
      </c>
      <c r="AC461" s="3">
        <f t="shared" si="78"/>
        <v>4.6194619909999263E-3</v>
      </c>
      <c r="AD461" s="3">
        <f t="shared" si="79"/>
        <v>6.5050618178606329E-3</v>
      </c>
      <c r="AE461" s="76">
        <f t="shared" si="80"/>
        <v>-2423.5238095238092</v>
      </c>
      <c r="AF461" s="76">
        <f t="shared" si="81"/>
        <v>-631.45833333333576</v>
      </c>
      <c r="AG461" s="76">
        <f t="shared" si="82"/>
        <v>281.44922039611993</v>
      </c>
      <c r="AO461" s="5">
        <f t="shared" si="87"/>
        <v>-2.3247094113235837E-2</v>
      </c>
      <c r="AP461" s="5">
        <f t="shared" si="83"/>
        <v>0.5440655514549505</v>
      </c>
      <c r="AR461" s="5">
        <f t="shared" si="84"/>
        <v>-1.3609167054412508E-3</v>
      </c>
      <c r="AS461" s="5">
        <f t="shared" si="85"/>
        <v>4.3047857014231194E-3</v>
      </c>
      <c r="AT461" s="5">
        <f t="shared" si="86"/>
        <v>3.3277159780844556E-3</v>
      </c>
    </row>
    <row r="462" spans="12:46" x14ac:dyDescent="0.25">
      <c r="L462" s="4">
        <v>44862.5</v>
      </c>
      <c r="M462">
        <v>80.27</v>
      </c>
      <c r="N462">
        <v>82.58</v>
      </c>
      <c r="O462">
        <v>80.010000000000005</v>
      </c>
      <c r="P462">
        <v>81.599999999999994</v>
      </c>
      <c r="Q462">
        <v>18873</v>
      </c>
      <c r="R462">
        <v>394668</v>
      </c>
      <c r="S462">
        <v>112.244</v>
      </c>
      <c r="T462">
        <v>112.244</v>
      </c>
      <c r="U462">
        <v>112.244</v>
      </c>
      <c r="V462">
        <v>112.244</v>
      </c>
      <c r="W462">
        <v>0</v>
      </c>
      <c r="X462">
        <v>3.4148285942067404E-2</v>
      </c>
      <c r="Y462">
        <v>-0.62271369955763178</v>
      </c>
      <c r="Z462">
        <v>-7.5981325372364517E-2</v>
      </c>
      <c r="AB462" s="3">
        <f t="shared" si="77"/>
        <v>-6.0571046762226549E-3</v>
      </c>
      <c r="AC462" s="3">
        <f t="shared" si="78"/>
        <v>5.8147292455079519E-3</v>
      </c>
      <c r="AD462" s="3">
        <f t="shared" si="79"/>
        <v>7.1641255816173102E-3</v>
      </c>
      <c r="AE462" s="76">
        <f t="shared" si="80"/>
        <v>-2888.952380952378</v>
      </c>
      <c r="AF462" s="76">
        <f t="shared" si="81"/>
        <v>-490.94047619047342</v>
      </c>
      <c r="AG462" s="76">
        <f t="shared" si="82"/>
        <v>333.71091445427737</v>
      </c>
      <c r="AO462" s="5">
        <f t="shared" si="87"/>
        <v>6.8224299065420546E-2</v>
      </c>
      <c r="AP462" s="5">
        <f t="shared" si="83"/>
        <v>0.54415289461011851</v>
      </c>
      <c r="AR462" s="5">
        <f t="shared" si="84"/>
        <v>-9.6151992004511744E-4</v>
      </c>
      <c r="AS462" s="5">
        <f t="shared" si="85"/>
        <v>4.5003163718294603E-3</v>
      </c>
      <c r="AT462" s="5">
        <f t="shared" si="86"/>
        <v>3.3970304184216538E-3</v>
      </c>
    </row>
    <row r="463" spans="12:46" x14ac:dyDescent="0.25">
      <c r="L463" s="4">
        <v>44861.5</v>
      </c>
      <c r="M463">
        <v>75.260000000000005</v>
      </c>
      <c r="N463">
        <v>81</v>
      </c>
      <c r="O463">
        <v>74.900000000000006</v>
      </c>
      <c r="P463">
        <v>81</v>
      </c>
      <c r="Q463">
        <v>26463</v>
      </c>
      <c r="R463">
        <v>394182</v>
      </c>
      <c r="S463">
        <v>107.384</v>
      </c>
      <c r="T463">
        <v>107.384</v>
      </c>
      <c r="U463">
        <v>107.384</v>
      </c>
      <c r="V463">
        <v>107.384</v>
      </c>
      <c r="W463">
        <v>0</v>
      </c>
      <c r="X463">
        <v>7.8964401294498304E-2</v>
      </c>
      <c r="Y463">
        <v>1.6128460377180469</v>
      </c>
      <c r="Z463">
        <v>1.3563030918587171</v>
      </c>
      <c r="AB463" s="3">
        <f t="shared" si="77"/>
        <v>-5.3029449355856961E-3</v>
      </c>
      <c r="AC463" s="3">
        <f t="shared" si="78"/>
        <v>6.1800510247592769E-3</v>
      </c>
      <c r="AD463" s="3">
        <f t="shared" si="79"/>
        <v>7.1838828289310097E-3</v>
      </c>
      <c r="AE463" s="76">
        <f t="shared" si="80"/>
        <v>-2982.1904761904771</v>
      </c>
      <c r="AF463" s="76">
        <f t="shared" si="81"/>
        <v>-339.73809523809541</v>
      </c>
      <c r="AG463" s="76">
        <f t="shared" si="82"/>
        <v>347.86304256215954</v>
      </c>
      <c r="AO463" s="5">
        <f t="shared" si="87"/>
        <v>0</v>
      </c>
      <c r="AP463" s="5">
        <f t="shared" si="83"/>
        <v>0.54018402636279228</v>
      </c>
      <c r="AR463" s="5">
        <f t="shared" si="84"/>
        <v>-5.430135580365425E-4</v>
      </c>
      <c r="AS463" s="5">
        <f t="shared" si="85"/>
        <v>4.6949251613785936E-3</v>
      </c>
      <c r="AT463" s="5">
        <f t="shared" si="86"/>
        <v>3.4633425323964406E-3</v>
      </c>
    </row>
    <row r="464" spans="12:46" x14ac:dyDescent="0.25">
      <c r="L464" s="4">
        <v>44860.5</v>
      </c>
      <c r="M464">
        <v>77.25</v>
      </c>
      <c r="N464">
        <v>78.87</v>
      </c>
      <c r="O464">
        <v>74.900000000000006</v>
      </c>
      <c r="P464">
        <v>75.239999999999995</v>
      </c>
      <c r="Q464">
        <v>22977</v>
      </c>
      <c r="R464">
        <v>390119</v>
      </c>
      <c r="S464">
        <v>104.32</v>
      </c>
      <c r="T464">
        <v>104.32</v>
      </c>
      <c r="U464">
        <v>104.32</v>
      </c>
      <c r="V464">
        <v>104.32</v>
      </c>
      <c r="W464">
        <v>0</v>
      </c>
      <c r="X464">
        <v>5.4826681397597006E-2</v>
      </c>
      <c r="Y464">
        <v>0.44285128659387479</v>
      </c>
      <c r="Z464">
        <v>0.74203768075247201</v>
      </c>
      <c r="AB464" s="3">
        <f t="shared" si="77"/>
        <v>-7.4493852094306354E-3</v>
      </c>
      <c r="AC464" s="3">
        <f t="shared" si="78"/>
        <v>5.4617022796917478E-3</v>
      </c>
      <c r="AD464" s="3">
        <f t="shared" si="79"/>
        <v>6.1314681079822214E-3</v>
      </c>
      <c r="AE464" s="76">
        <f t="shared" si="80"/>
        <v>-3401.7619047619046</v>
      </c>
      <c r="AF464" s="76">
        <f t="shared" si="81"/>
        <v>-323.38690476190459</v>
      </c>
      <c r="AG464" s="76">
        <f t="shared" si="82"/>
        <v>252.19764011799634</v>
      </c>
      <c r="AO464" s="5">
        <f t="shared" si="87"/>
        <v>4.0422280872343536E-2</v>
      </c>
      <c r="AP464" s="5">
        <f t="shared" si="83"/>
        <v>0.54044761266511765</v>
      </c>
      <c r="AR464" s="5">
        <f t="shared" si="84"/>
        <v>9.532880868945437E-5</v>
      </c>
      <c r="AS464" s="5">
        <f t="shared" si="85"/>
        <v>5.0954440435616588E-3</v>
      </c>
      <c r="AT464" s="5">
        <f t="shared" si="86"/>
        <v>3.7470227640052922E-3</v>
      </c>
    </row>
    <row r="465" spans="12:46" x14ac:dyDescent="0.25">
      <c r="L465" s="4">
        <v>44859.5</v>
      </c>
      <c r="M465">
        <v>72.41</v>
      </c>
      <c r="N465">
        <v>77.8</v>
      </c>
      <c r="O465">
        <v>71.989999999999995</v>
      </c>
      <c r="P465">
        <v>76.84</v>
      </c>
      <c r="Q465">
        <v>31487</v>
      </c>
      <c r="R465">
        <v>388930</v>
      </c>
      <c r="S465">
        <v>99.793999999999997</v>
      </c>
      <c r="T465">
        <v>99.793999999999997</v>
      </c>
      <c r="U465">
        <v>99.793999999999997</v>
      </c>
      <c r="V465">
        <v>99.793999999999997</v>
      </c>
      <c r="W465">
        <v>0</v>
      </c>
      <c r="X465">
        <v>8.4202898550724672E-2</v>
      </c>
      <c r="Y465">
        <v>1.9418821852025572</v>
      </c>
      <c r="Z465">
        <v>2.3743547804069727</v>
      </c>
      <c r="AB465" s="3">
        <f t="shared" si="77"/>
        <v>-7.1799736751075177E-3</v>
      </c>
      <c r="AC465" s="3">
        <f t="shared" si="78"/>
        <v>6.1958418094019418E-3</v>
      </c>
      <c r="AD465" s="3">
        <f t="shared" si="79"/>
        <v>6.5215118838788319E-3</v>
      </c>
      <c r="AE465" s="76">
        <f t="shared" si="80"/>
        <v>-3579.4761904761908</v>
      </c>
      <c r="AF465" s="76">
        <f t="shared" si="81"/>
        <v>-547.69047619047342</v>
      </c>
      <c r="AG465" s="76">
        <f t="shared" si="82"/>
        <v>-39.041297935102193</v>
      </c>
      <c r="AO465" s="5">
        <f t="shared" si="87"/>
        <v>6.4311058545239413E-2</v>
      </c>
      <c r="AP465" s="5">
        <f t="shared" si="83"/>
        <v>0.5390780027700095</v>
      </c>
      <c r="AR465" s="5">
        <f t="shared" si="84"/>
        <v>7.5613980168665051E-4</v>
      </c>
      <c r="AS465" s="5">
        <f t="shared" si="85"/>
        <v>5.3639598618459017E-3</v>
      </c>
      <c r="AT465" s="5">
        <f t="shared" si="86"/>
        <v>3.9153713764732423E-3</v>
      </c>
    </row>
    <row r="466" spans="12:46" x14ac:dyDescent="0.25">
      <c r="L466" s="4">
        <v>44858.5</v>
      </c>
      <c r="M466">
        <v>69</v>
      </c>
      <c r="N466">
        <v>72.66</v>
      </c>
      <c r="O466">
        <v>67.64</v>
      </c>
      <c r="P466">
        <v>72.41</v>
      </c>
      <c r="Q466">
        <v>23321</v>
      </c>
      <c r="R466">
        <v>391180</v>
      </c>
      <c r="S466">
        <v>99.17</v>
      </c>
      <c r="T466">
        <v>99.17</v>
      </c>
      <c r="U466">
        <v>99.17</v>
      </c>
      <c r="V466">
        <v>99.17</v>
      </c>
      <c r="W466">
        <v>0</v>
      </c>
      <c r="X466">
        <v>7.5251086793584124E-2</v>
      </c>
      <c r="Y466">
        <v>1.5700105156075095</v>
      </c>
      <c r="Z466">
        <v>0.88452799496929346</v>
      </c>
      <c r="AB466" s="3">
        <f t="shared" si="77"/>
        <v>-1.8081342927788874E-3</v>
      </c>
      <c r="AC466" s="3">
        <f t="shared" si="78"/>
        <v>9.0145590471221171E-3</v>
      </c>
      <c r="AD466" s="3">
        <f t="shared" si="79"/>
        <v>7.881683843132252E-3</v>
      </c>
      <c r="AE466" s="76">
        <f t="shared" si="80"/>
        <v>-3710.4285714285725</v>
      </c>
      <c r="AF466" s="76">
        <f t="shared" si="81"/>
        <v>-949.42857142857247</v>
      </c>
      <c r="AG466" s="76">
        <f t="shared" si="82"/>
        <v>-647.27560050569082</v>
      </c>
      <c r="AO466" s="5">
        <f t="shared" si="87"/>
        <v>1.4701470147014763E-2</v>
      </c>
      <c r="AP466" s="5">
        <f t="shared" si="83"/>
        <v>0.53548057414329264</v>
      </c>
      <c r="AR466" s="5">
        <f t="shared" si="84"/>
        <v>1.2771226472468866E-3</v>
      </c>
      <c r="AS466" s="5">
        <f t="shared" si="85"/>
        <v>5.5998119702039828E-3</v>
      </c>
      <c r="AT466" s="5">
        <f t="shared" si="86"/>
        <v>4.1052433162596103E-3</v>
      </c>
    </row>
    <row r="467" spans="12:46" x14ac:dyDescent="0.25">
      <c r="L467" s="4">
        <v>44855.5</v>
      </c>
      <c r="M467">
        <v>66.709999999999994</v>
      </c>
      <c r="N467">
        <v>69.42</v>
      </c>
      <c r="O467">
        <v>66.66</v>
      </c>
      <c r="P467">
        <v>69.099999999999994</v>
      </c>
      <c r="Q467">
        <v>12835</v>
      </c>
      <c r="R467">
        <v>389204</v>
      </c>
      <c r="S467">
        <v>113.57599999999999</v>
      </c>
      <c r="T467">
        <v>113.57599999999999</v>
      </c>
      <c r="U467">
        <v>113.57599999999999</v>
      </c>
      <c r="V467">
        <v>113.57599999999999</v>
      </c>
      <c r="W467">
        <v>0</v>
      </c>
      <c r="X467">
        <v>4.1053101294065225E-2</v>
      </c>
      <c r="Y467">
        <v>-0.15971257305629949</v>
      </c>
      <c r="Z467">
        <v>-1.1873297658713062</v>
      </c>
      <c r="AB467" s="3">
        <f t="shared" si="77"/>
        <v>-4.7787857613481449E-4</v>
      </c>
      <c r="AC467" s="3">
        <f t="shared" si="78"/>
        <v>9.486864879678869E-3</v>
      </c>
      <c r="AD467" s="3">
        <f t="shared" si="79"/>
        <v>8.1336066421896017E-3</v>
      </c>
      <c r="AE467" s="76">
        <f t="shared" si="80"/>
        <v>-3396.7142857142862</v>
      </c>
      <c r="AF467" s="76">
        <f t="shared" si="81"/>
        <v>-846.17857142857247</v>
      </c>
      <c r="AG467" s="76">
        <f t="shared" si="82"/>
        <v>-643.65486725663868</v>
      </c>
      <c r="AO467" s="5">
        <f t="shared" si="87"/>
        <v>1.8034265103695571E-3</v>
      </c>
      <c r="AP467" s="5">
        <f t="shared" si="83"/>
        <v>0.53540580194501619</v>
      </c>
      <c r="AR467" s="5">
        <f t="shared" si="84"/>
        <v>2.2352285003156558E-3</v>
      </c>
      <c r="AS467" s="5">
        <f t="shared" si="85"/>
        <v>6.1839499205438297E-3</v>
      </c>
      <c r="AT467" s="5">
        <f t="shared" si="86"/>
        <v>4.6302236774306005E-3</v>
      </c>
    </row>
    <row r="468" spans="12:46" x14ac:dyDescent="0.25">
      <c r="L468" s="4">
        <v>44854.5</v>
      </c>
      <c r="M468">
        <v>67.23</v>
      </c>
      <c r="N468">
        <v>67.88</v>
      </c>
      <c r="O468">
        <v>66.540000000000006</v>
      </c>
      <c r="P468">
        <v>66.73</v>
      </c>
      <c r="Q468">
        <v>18013</v>
      </c>
      <c r="R468">
        <v>389120</v>
      </c>
      <c r="S468">
        <v>127.14700000000001</v>
      </c>
      <c r="T468">
        <v>127.14700000000001</v>
      </c>
      <c r="U468">
        <v>127.14700000000001</v>
      </c>
      <c r="V468">
        <v>127.14700000000001</v>
      </c>
      <c r="W468">
        <v>0</v>
      </c>
      <c r="X468">
        <v>1.9925650557620658E-2</v>
      </c>
      <c r="Y468">
        <v>-1.2711727161760724</v>
      </c>
      <c r="Z468">
        <v>-0.22922734059706165</v>
      </c>
      <c r="AB468" s="3">
        <f t="shared" si="77"/>
        <v>-1.1881481235372915E-3</v>
      </c>
      <c r="AC468" s="3">
        <f t="shared" si="78"/>
        <v>9.048773370449327E-3</v>
      </c>
      <c r="AD468" s="3">
        <f t="shared" si="79"/>
        <v>7.5101543277289254E-3</v>
      </c>
      <c r="AE468" s="76">
        <f t="shared" si="80"/>
        <v>-3613.7619047619046</v>
      </c>
      <c r="AF468" s="76">
        <f t="shared" si="81"/>
        <v>-886.70238095238165</v>
      </c>
      <c r="AG468" s="76">
        <f t="shared" si="82"/>
        <v>-549.83480825958759</v>
      </c>
      <c r="AO468" s="5">
        <f t="shared" si="87"/>
        <v>-6.7174205105237899E-3</v>
      </c>
      <c r="AP468" s="5">
        <f t="shared" si="83"/>
        <v>0.535935595719637</v>
      </c>
      <c r="AR468" s="5">
        <f t="shared" si="84"/>
        <v>2.9692006915028601E-3</v>
      </c>
      <c r="AS468" s="5">
        <f t="shared" si="85"/>
        <v>6.592698959796861E-3</v>
      </c>
      <c r="AT468" s="5">
        <f t="shared" si="86"/>
        <v>5.0232611300908836E-3</v>
      </c>
    </row>
    <row r="469" spans="12:46" x14ac:dyDescent="0.25">
      <c r="L469" s="4">
        <v>44853.5</v>
      </c>
      <c r="M469">
        <v>67.25</v>
      </c>
      <c r="N469">
        <v>69.69</v>
      </c>
      <c r="O469">
        <v>66.989999999999995</v>
      </c>
      <c r="P469">
        <v>67.39</v>
      </c>
      <c r="Q469">
        <v>19134</v>
      </c>
      <c r="R469">
        <v>388200</v>
      </c>
      <c r="S469">
        <v>112.51</v>
      </c>
      <c r="T469">
        <v>112.51</v>
      </c>
      <c r="U469">
        <v>112.51</v>
      </c>
      <c r="V469">
        <v>112.51</v>
      </c>
      <c r="W469">
        <v>0</v>
      </c>
      <c r="X469">
        <v>4.0124832813196648E-2</v>
      </c>
      <c r="Y469">
        <v>-0.21969811571169012</v>
      </c>
      <c r="Z469">
        <v>-6.9874550618571243E-2</v>
      </c>
      <c r="AB469" s="3">
        <f t="shared" si="77"/>
        <v>-1.0872374310810159E-3</v>
      </c>
      <c r="AC469" s="3">
        <f t="shared" si="78"/>
        <v>1.0081082873807275E-2</v>
      </c>
      <c r="AD469" s="3">
        <f t="shared" si="79"/>
        <v>8.3861771891631312E-3</v>
      </c>
      <c r="AE469" s="76">
        <f t="shared" si="80"/>
        <v>-3836.4761904761908</v>
      </c>
      <c r="AF469" s="76">
        <f t="shared" si="81"/>
        <v>-912.8928571428587</v>
      </c>
      <c r="AG469" s="76">
        <f t="shared" si="82"/>
        <v>-463.15929203539781</v>
      </c>
      <c r="AO469" s="5">
        <f t="shared" si="87"/>
        <v>7.2169598556606485E-3</v>
      </c>
      <c r="AP469" s="5">
        <f t="shared" si="83"/>
        <v>0.53685171222810257</v>
      </c>
      <c r="AR469" s="5">
        <f t="shared" si="84"/>
        <v>3.6911078031718336E-3</v>
      </c>
      <c r="AS469" s="5">
        <f t="shared" si="85"/>
        <v>6.9850775616764338E-3</v>
      </c>
      <c r="AT469" s="5">
        <f t="shared" si="86"/>
        <v>5.3974393993510006E-3</v>
      </c>
    </row>
    <row r="470" spans="12:46" x14ac:dyDescent="0.25">
      <c r="L470" s="4">
        <v>44852.5</v>
      </c>
      <c r="M470">
        <v>67.290000000000006</v>
      </c>
      <c r="N470">
        <v>68.39</v>
      </c>
      <c r="O470">
        <v>66.510000000000005</v>
      </c>
      <c r="P470">
        <v>67.459999999999994</v>
      </c>
      <c r="Q470">
        <v>18002</v>
      </c>
      <c r="R470">
        <v>389934</v>
      </c>
      <c r="S470">
        <v>113.22199999999999</v>
      </c>
      <c r="T470">
        <v>113.22199999999999</v>
      </c>
      <c r="U470">
        <v>113.22199999999999</v>
      </c>
      <c r="V470">
        <v>113.22199999999999</v>
      </c>
      <c r="W470">
        <v>0</v>
      </c>
      <c r="X470">
        <v>2.7642993677400314E-2</v>
      </c>
      <c r="Y470">
        <v>-0.88784578742182596</v>
      </c>
      <c r="Z470">
        <v>-0.26922645619133345</v>
      </c>
      <c r="AB470" s="3">
        <f t="shared" si="77"/>
        <v>-3.3156290602792196E-3</v>
      </c>
      <c r="AC470" s="3">
        <f t="shared" si="78"/>
        <v>9.8835317546899296E-3</v>
      </c>
      <c r="AD470" s="3">
        <f t="shared" si="79"/>
        <v>8.2649207352559692E-3</v>
      </c>
      <c r="AE470" s="76">
        <f t="shared" si="80"/>
        <v>-4338</v>
      </c>
      <c r="AF470" s="76">
        <f t="shared" si="81"/>
        <v>-1118.2380952380954</v>
      </c>
      <c r="AG470" s="76">
        <f t="shared" si="82"/>
        <v>-684.83480825958759</v>
      </c>
      <c r="AO470" s="5">
        <f t="shared" si="87"/>
        <v>3.7730153939028069E-3</v>
      </c>
      <c r="AP470" s="5">
        <f t="shared" si="83"/>
        <v>0.53690667040623985</v>
      </c>
      <c r="AR470" s="5">
        <f t="shared" si="84"/>
        <v>4.3543033276727261E-3</v>
      </c>
      <c r="AS470" s="5">
        <f t="shared" si="85"/>
        <v>7.1791321090846072E-3</v>
      </c>
      <c r="AT470" s="5">
        <f t="shared" si="86"/>
        <v>5.7116684750213587E-3</v>
      </c>
    </row>
    <row r="471" spans="12:46" x14ac:dyDescent="0.25">
      <c r="L471" s="4">
        <v>44851.5</v>
      </c>
      <c r="M471">
        <v>68.010000000000005</v>
      </c>
      <c r="N471">
        <v>68.63</v>
      </c>
      <c r="O471">
        <v>66.260000000000005</v>
      </c>
      <c r="P471">
        <v>67.540000000000006</v>
      </c>
      <c r="Q471">
        <v>16567</v>
      </c>
      <c r="R471">
        <v>389577</v>
      </c>
      <c r="S471">
        <v>127.97799999999999</v>
      </c>
      <c r="T471">
        <v>127.97799999999999</v>
      </c>
      <c r="U471">
        <v>127.97799999999999</v>
      </c>
      <c r="V471">
        <v>127.97799999999999</v>
      </c>
      <c r="W471">
        <v>0</v>
      </c>
      <c r="X471">
        <v>3.4487776484283909E-2</v>
      </c>
      <c r="Y471">
        <v>-0.52942674367907172</v>
      </c>
      <c r="Z471">
        <v>-0.49512200758463709</v>
      </c>
      <c r="AB471" s="3">
        <f t="shared" si="77"/>
        <v>-1.5848112780130763E-3</v>
      </c>
      <c r="AC471" s="3">
        <f t="shared" si="78"/>
        <v>1.08110334986906E-2</v>
      </c>
      <c r="AD471" s="3">
        <f t="shared" si="79"/>
        <v>9.5961120836591876E-3</v>
      </c>
      <c r="AE471" s="76">
        <f t="shared" si="80"/>
        <v>-4125.0952380952367</v>
      </c>
      <c r="AF471" s="76">
        <f t="shared" si="81"/>
        <v>-1080.9821428571413</v>
      </c>
      <c r="AG471" s="76">
        <f t="shared" si="82"/>
        <v>-623.94943109987435</v>
      </c>
      <c r="AO471" s="5">
        <f t="shared" si="87"/>
        <v>-1.2812872467222874E-2</v>
      </c>
      <c r="AP471" s="5">
        <f t="shared" si="83"/>
        <v>0.53990839918615585</v>
      </c>
      <c r="AR471" s="5">
        <f t="shared" si="84"/>
        <v>5.1709588410596696E-3</v>
      </c>
      <c r="AS471" s="5">
        <f t="shared" si="85"/>
        <v>7.4045160279118116E-3</v>
      </c>
      <c r="AT471" s="5">
        <f t="shared" si="86"/>
        <v>6.0472832140834321E-3</v>
      </c>
    </row>
    <row r="472" spans="12:46" x14ac:dyDescent="0.25">
      <c r="L472" s="4">
        <v>44848.5</v>
      </c>
      <c r="M472">
        <v>68.72</v>
      </c>
      <c r="N472">
        <v>69</v>
      </c>
      <c r="O472">
        <v>67.12</v>
      </c>
      <c r="P472">
        <v>68.05</v>
      </c>
      <c r="Q472">
        <v>13335</v>
      </c>
      <c r="R472">
        <v>387888</v>
      </c>
      <c r="S472">
        <v>141.99700000000001</v>
      </c>
      <c r="T472">
        <v>141.99700000000001</v>
      </c>
      <c r="U472">
        <v>141.99700000000001</v>
      </c>
      <c r="V472">
        <v>141.99700000000001</v>
      </c>
      <c r="W472">
        <v>0</v>
      </c>
      <c r="X472">
        <v>2.8326050926623405E-2</v>
      </c>
      <c r="Y472">
        <v>-0.83458476293060491</v>
      </c>
      <c r="Z472">
        <v>-1.0343387430092224</v>
      </c>
      <c r="AB472" s="3">
        <f t="shared" si="77"/>
        <v>-1.9864109182119657E-3</v>
      </c>
      <c r="AC472" s="3">
        <f t="shared" si="78"/>
        <v>1.1100845607425767E-2</v>
      </c>
      <c r="AD472" s="3">
        <f t="shared" si="79"/>
        <v>9.8831549159661899E-3</v>
      </c>
      <c r="AE472" s="76">
        <f t="shared" si="80"/>
        <v>-4390.0476190476184</v>
      </c>
      <c r="AF472" s="76">
        <f t="shared" si="81"/>
        <v>-1199.1369047619046</v>
      </c>
      <c r="AG472" s="76">
        <f t="shared" si="82"/>
        <v>-682.95912347239573</v>
      </c>
      <c r="AO472" s="5">
        <f t="shared" si="87"/>
        <v>2.0836501901140753E-2</v>
      </c>
      <c r="AP472" s="5">
        <f t="shared" si="83"/>
        <v>0.54004064042694433</v>
      </c>
      <c r="AR472" s="5">
        <f t="shared" si="84"/>
        <v>5.8602771141693655E-3</v>
      </c>
      <c r="AS472" s="5">
        <f t="shared" si="85"/>
        <v>7.492632589564896E-3</v>
      </c>
      <c r="AT472" s="5">
        <f t="shared" si="86"/>
        <v>6.2334214444056402E-3</v>
      </c>
    </row>
    <row r="473" spans="12:46" x14ac:dyDescent="0.25">
      <c r="L473" s="4">
        <v>44847.5</v>
      </c>
      <c r="M473">
        <v>66.37</v>
      </c>
      <c r="N473">
        <v>69.5</v>
      </c>
      <c r="O473">
        <v>65.75</v>
      </c>
      <c r="P473">
        <v>68.849999999999994</v>
      </c>
      <c r="Q473">
        <v>26083</v>
      </c>
      <c r="R473">
        <v>386805</v>
      </c>
      <c r="S473">
        <v>153.809</v>
      </c>
      <c r="T473">
        <v>153.809</v>
      </c>
      <c r="U473">
        <v>153.809</v>
      </c>
      <c r="V473">
        <v>153.809</v>
      </c>
      <c r="W473">
        <v>0</v>
      </c>
      <c r="X473">
        <v>5.6475903614457826E-2</v>
      </c>
      <c r="Y473">
        <v>0.62928256304584418</v>
      </c>
      <c r="Z473">
        <v>1.1235457119167265</v>
      </c>
      <c r="AB473" s="3">
        <f t="shared" si="77"/>
        <v>-2.1157816907439037E-3</v>
      </c>
      <c r="AC473" s="3">
        <f t="shared" si="78"/>
        <v>1.1481039410847861E-2</v>
      </c>
      <c r="AD473" s="3">
        <f t="shared" si="79"/>
        <v>1.0287008231413534E-2</v>
      </c>
      <c r="AE473" s="76">
        <f t="shared" si="80"/>
        <v>-3330.8571428571449</v>
      </c>
      <c r="AF473" s="76">
        <f t="shared" si="81"/>
        <v>-430.92857142857247</v>
      </c>
      <c r="AG473" s="76">
        <f t="shared" si="82"/>
        <v>69.317319848290936</v>
      </c>
      <c r="AO473" s="5">
        <f t="shared" si="87"/>
        <v>1.1382864174742267E-2</v>
      </c>
      <c r="AP473" s="5">
        <f t="shared" si="83"/>
        <v>0.53989866275518961</v>
      </c>
      <c r="AR473" s="5">
        <f t="shared" si="84"/>
        <v>6.4090332730636357E-3</v>
      </c>
      <c r="AS473" s="5">
        <f t="shared" si="85"/>
        <v>7.5609250667556527E-3</v>
      </c>
      <c r="AT473" s="5">
        <f t="shared" si="86"/>
        <v>6.409621859922443E-3</v>
      </c>
    </row>
    <row r="474" spans="12:46" x14ac:dyDescent="0.25">
      <c r="L474" s="4">
        <v>44846.5</v>
      </c>
      <c r="M474">
        <v>66.400000000000006</v>
      </c>
      <c r="N474">
        <v>68.64</v>
      </c>
      <c r="O474">
        <v>65.010000000000005</v>
      </c>
      <c r="P474">
        <v>66.48</v>
      </c>
      <c r="Q474">
        <v>21019</v>
      </c>
      <c r="R474">
        <v>389406</v>
      </c>
      <c r="S474">
        <v>160.19</v>
      </c>
      <c r="T474">
        <v>160.19</v>
      </c>
      <c r="U474">
        <v>160.19</v>
      </c>
      <c r="V474">
        <v>160.19</v>
      </c>
      <c r="W474">
        <v>0</v>
      </c>
      <c r="X474">
        <v>5.4260089686098585E-2</v>
      </c>
      <c r="Y474">
        <v>0.53910390305107303</v>
      </c>
      <c r="Z474">
        <v>0.29552055245305348</v>
      </c>
      <c r="AB474" s="3">
        <f t="shared" si="77"/>
        <v>9.4517007032678124E-4</v>
      </c>
      <c r="AC474" s="3">
        <f t="shared" si="78"/>
        <v>1.2777770416246975E-2</v>
      </c>
      <c r="AD474" s="3">
        <f t="shared" si="79"/>
        <v>1.1656995296579369E-2</v>
      </c>
      <c r="AE474" s="76">
        <f t="shared" si="80"/>
        <v>-3413.4285714285725</v>
      </c>
      <c r="AF474" s="76">
        <f t="shared" si="81"/>
        <v>-561.80357142857247</v>
      </c>
      <c r="AG474" s="76">
        <f t="shared" si="82"/>
        <v>-94.860935524651723</v>
      </c>
      <c r="AO474" s="5">
        <f t="shared" si="87"/>
        <v>-9.7486671744097565E-3</v>
      </c>
      <c r="AP474" s="5">
        <f t="shared" si="83"/>
        <v>0.53996380853552406</v>
      </c>
      <c r="AR474" s="5">
        <f t="shared" si="84"/>
        <v>6.9070933696225856E-3</v>
      </c>
      <c r="AS474" s="5">
        <f t="shared" si="85"/>
        <v>7.6348135551846941E-3</v>
      </c>
      <c r="AT474" s="5">
        <f t="shared" si="86"/>
        <v>6.5776033748010665E-3</v>
      </c>
    </row>
    <row r="475" spans="12:46" x14ac:dyDescent="0.25">
      <c r="L475" s="4">
        <v>44845.5</v>
      </c>
      <c r="M475">
        <v>66.900000000000006</v>
      </c>
      <c r="N475">
        <v>67.400000000000006</v>
      </c>
      <c r="O475">
        <v>65.650000000000006</v>
      </c>
      <c r="P475">
        <v>66.41</v>
      </c>
      <c r="Q475">
        <v>16720</v>
      </c>
      <c r="R475">
        <v>388546</v>
      </c>
      <c r="S475">
        <v>156.78100000000001</v>
      </c>
      <c r="T475">
        <v>156.78100000000001</v>
      </c>
      <c r="U475">
        <v>156.78100000000001</v>
      </c>
      <c r="V475">
        <v>156.78100000000001</v>
      </c>
      <c r="W475">
        <v>0</v>
      </c>
      <c r="X475">
        <v>2.536967236880255E-2</v>
      </c>
      <c r="Y475">
        <v>-0.93022724724471773</v>
      </c>
      <c r="Z475">
        <v>-0.42666085552601879</v>
      </c>
      <c r="AB475" s="3">
        <f t="shared" si="77"/>
        <v>3.4561200763789865E-3</v>
      </c>
      <c r="AC475" s="3">
        <f t="shared" si="78"/>
        <v>1.400891604370854E-2</v>
      </c>
      <c r="AD475" s="3">
        <f t="shared" si="79"/>
        <v>1.2403425324920558E-2</v>
      </c>
      <c r="AE475" s="76">
        <f t="shared" si="80"/>
        <v>-2809.4285714285688</v>
      </c>
      <c r="AF475" s="76">
        <f t="shared" si="81"/>
        <v>-258.01785714285506</v>
      </c>
      <c r="AG475" s="76">
        <f t="shared" si="82"/>
        <v>98.116308470293006</v>
      </c>
      <c r="AO475" s="5">
        <f t="shared" si="87"/>
        <v>-9.1310302845819616E-4</v>
      </c>
      <c r="AP475" s="5">
        <f t="shared" si="83"/>
        <v>0.53988299499096137</v>
      </c>
      <c r="AR475" s="5">
        <f t="shared" si="84"/>
        <v>7.3701468077769228E-3</v>
      </c>
      <c r="AS475" s="5">
        <f t="shared" si="85"/>
        <v>7.7103573242878198E-3</v>
      </c>
      <c r="AT475" s="5">
        <f t="shared" si="86"/>
        <v>6.7585844655565497E-3</v>
      </c>
    </row>
    <row r="476" spans="12:46" x14ac:dyDescent="0.25">
      <c r="L476" s="4">
        <v>44844.5</v>
      </c>
      <c r="M476">
        <v>68.98</v>
      </c>
      <c r="N476">
        <v>69.400000000000006</v>
      </c>
      <c r="O476">
        <v>65.709999999999994</v>
      </c>
      <c r="P476">
        <v>66.959999999999994</v>
      </c>
      <c r="Q476">
        <v>17059</v>
      </c>
      <c r="R476">
        <v>388903</v>
      </c>
      <c r="S476">
        <v>154.11799999999999</v>
      </c>
      <c r="T476">
        <v>154.11799999999999</v>
      </c>
      <c r="U476">
        <v>154.11799999999999</v>
      </c>
      <c r="V476">
        <v>154.11799999999999</v>
      </c>
      <c r="W476">
        <v>0</v>
      </c>
      <c r="X476">
        <v>5.3323699421965486E-2</v>
      </c>
      <c r="Y476">
        <v>0.50254698503072481</v>
      </c>
      <c r="Z476">
        <v>-0.35276503232544509</v>
      </c>
      <c r="AB476" s="3">
        <f t="shared" si="77"/>
        <v>1.0688796789591476E-2</v>
      </c>
      <c r="AC476" s="3">
        <f t="shared" si="78"/>
        <v>1.9203643464422285E-2</v>
      </c>
      <c r="AD476" s="3">
        <f t="shared" si="79"/>
        <v>1.667778166900441E-2</v>
      </c>
      <c r="AE476" s="76">
        <f t="shared" si="80"/>
        <v>-2275.3809523809541</v>
      </c>
      <c r="AF476" s="76">
        <f t="shared" si="81"/>
        <v>140.55357142857247</v>
      </c>
      <c r="AG476" s="76">
        <f t="shared" si="82"/>
        <v>383.12389380531022</v>
      </c>
      <c r="AO476" s="5">
        <f t="shared" si="87"/>
        <v>-2.8389767854502469E-2</v>
      </c>
      <c r="AP476" s="5">
        <f t="shared" si="83"/>
        <v>0.53991801925031635</v>
      </c>
      <c r="AR476" s="5">
        <f t="shared" si="84"/>
        <v>7.8135346530817662E-3</v>
      </c>
      <c r="AS476" s="5">
        <f t="shared" si="85"/>
        <v>7.7649399023842491E-3</v>
      </c>
      <c r="AT476" s="5">
        <f t="shared" si="86"/>
        <v>6.9226531321490148E-3</v>
      </c>
    </row>
    <row r="477" spans="12:46" x14ac:dyDescent="0.25">
      <c r="L477" s="4">
        <v>44841.5</v>
      </c>
      <c r="M477">
        <v>69.2</v>
      </c>
      <c r="N477">
        <v>70.39</v>
      </c>
      <c r="O477">
        <v>67.63</v>
      </c>
      <c r="P477">
        <v>68.66</v>
      </c>
      <c r="Q477">
        <v>15419</v>
      </c>
      <c r="R477">
        <v>387900</v>
      </c>
      <c r="S477">
        <v>156.20699999999999</v>
      </c>
      <c r="T477">
        <v>156.20699999999999</v>
      </c>
      <c r="U477">
        <v>156.20699999999999</v>
      </c>
      <c r="V477">
        <v>156.20699999999999</v>
      </c>
      <c r="W477">
        <v>0</v>
      </c>
      <c r="X477">
        <v>4.1261773060248245E-2</v>
      </c>
      <c r="Y477">
        <v>-9.5068857570191706E-2</v>
      </c>
      <c r="Z477">
        <v>-0.61837157905977302</v>
      </c>
      <c r="AB477" s="3">
        <f t="shared" si="77"/>
        <v>9.9547657052673488E-3</v>
      </c>
      <c r="AC477" s="3">
        <f t="shared" si="78"/>
        <v>1.8361082951676364E-2</v>
      </c>
      <c r="AD477" s="3">
        <f t="shared" si="79"/>
        <v>1.5924193276985819E-2</v>
      </c>
      <c r="AE477" s="76">
        <f t="shared" si="80"/>
        <v>-1935.5238095238092</v>
      </c>
      <c r="AF477" s="76">
        <f t="shared" si="81"/>
        <v>330</v>
      </c>
      <c r="AG477" s="76">
        <f t="shared" si="82"/>
        <v>535.2882427307195</v>
      </c>
      <c r="AO477" s="5">
        <f t="shared" si="87"/>
        <v>3.2519083969465581E-2</v>
      </c>
      <c r="AP477" s="5">
        <f t="shared" si="83"/>
        <v>0.53913690409857074</v>
      </c>
      <c r="AR477" s="5">
        <f t="shared" si="84"/>
        <v>8.2550123741721437E-3</v>
      </c>
      <c r="AS477" s="5">
        <f t="shared" si="85"/>
        <v>7.8211547766648959E-3</v>
      </c>
      <c r="AT477" s="5">
        <f t="shared" si="86"/>
        <v>7.0840157946731042E-3</v>
      </c>
    </row>
    <row r="478" spans="12:46" x14ac:dyDescent="0.25">
      <c r="L478" s="4">
        <v>44840.5</v>
      </c>
      <c r="M478">
        <v>66.89</v>
      </c>
      <c r="N478">
        <v>69.489999999999995</v>
      </c>
      <c r="O478">
        <v>65.5</v>
      </c>
      <c r="P478">
        <v>69.23</v>
      </c>
      <c r="Q478">
        <v>15702</v>
      </c>
      <c r="R478">
        <v>386201</v>
      </c>
      <c r="S478">
        <v>175.71199999999999</v>
      </c>
      <c r="T478">
        <v>175.71199999999999</v>
      </c>
      <c r="U478">
        <v>175.71199999999999</v>
      </c>
      <c r="V478">
        <v>175.71199999999999</v>
      </c>
      <c r="W478">
        <v>0</v>
      </c>
      <c r="X478">
        <v>5.8919078558771334E-2</v>
      </c>
      <c r="Y478">
        <v>0.81673777521661517</v>
      </c>
      <c r="Z478">
        <v>-0.569172251529665</v>
      </c>
      <c r="AB478" s="3">
        <f t="shared" si="77"/>
        <v>1.1365420199000269E-2</v>
      </c>
      <c r="AC478" s="3">
        <f t="shared" si="78"/>
        <v>1.8745486525327731E-2</v>
      </c>
      <c r="AD478" s="3">
        <f t="shared" si="79"/>
        <v>1.6388587878241913E-2</v>
      </c>
      <c r="AE478" s="76">
        <f t="shared" si="80"/>
        <v>-1003.8095238095266</v>
      </c>
      <c r="AF478" s="76">
        <f t="shared" si="81"/>
        <v>835.36309523809541</v>
      </c>
      <c r="AG478" s="76">
        <f t="shared" si="82"/>
        <v>1059.5731142014301</v>
      </c>
      <c r="AO478" s="5">
        <f t="shared" si="87"/>
        <v>-1.5629696423204182E-2</v>
      </c>
      <c r="AP478" s="5">
        <f t="shared" si="83"/>
        <v>0.53824733358900212</v>
      </c>
      <c r="AR478" s="5">
        <f t="shared" si="84"/>
        <v>8.7731634018954896E-3</v>
      </c>
      <c r="AS478" s="5">
        <f t="shared" si="85"/>
        <v>7.9360313292778928E-3</v>
      </c>
      <c r="AT478" s="5">
        <f t="shared" si="86"/>
        <v>7.3031560467839984E-3</v>
      </c>
    </row>
    <row r="479" spans="12:46" x14ac:dyDescent="0.25">
      <c r="L479" s="4">
        <v>44839.5</v>
      </c>
      <c r="M479">
        <v>67.72</v>
      </c>
      <c r="N479">
        <v>71.36</v>
      </c>
      <c r="O479">
        <v>66.540000000000006</v>
      </c>
      <c r="P479">
        <v>66.89</v>
      </c>
      <c r="Q479">
        <v>19794</v>
      </c>
      <c r="R479">
        <v>386111</v>
      </c>
      <c r="S479">
        <v>173.69300000000001</v>
      </c>
      <c r="T479">
        <v>173.69300000000001</v>
      </c>
      <c r="U479">
        <v>173.69300000000001</v>
      </c>
      <c r="V479">
        <v>173.69300000000001</v>
      </c>
      <c r="W479">
        <v>0</v>
      </c>
      <c r="X479">
        <v>7.2350645451816159E-2</v>
      </c>
      <c r="Y479">
        <v>1.5282257120738463</v>
      </c>
      <c r="Z479">
        <v>0.12128782224718779</v>
      </c>
      <c r="AB479" s="3">
        <f t="shared" si="77"/>
        <v>1.1369046483089361E-2</v>
      </c>
      <c r="AC479" s="3">
        <f t="shared" si="78"/>
        <v>1.8287394127770355E-2</v>
      </c>
      <c r="AD479" s="3">
        <f t="shared" si="79"/>
        <v>1.5557100308685186E-2</v>
      </c>
      <c r="AE479" s="76">
        <f t="shared" si="80"/>
        <v>379.42857142857247</v>
      </c>
      <c r="AF479" s="76">
        <f t="shared" si="81"/>
        <v>1728.1666666666679</v>
      </c>
      <c r="AG479" s="76">
        <f t="shared" si="82"/>
        <v>1792.6009270965042</v>
      </c>
      <c r="AO479" s="5">
        <f t="shared" si="87"/>
        <v>1.7431192660550467E-2</v>
      </c>
      <c r="AP479" s="5">
        <f t="shared" si="83"/>
        <v>0.53837235539313477</v>
      </c>
      <c r="AR479" s="5">
        <f t="shared" si="84"/>
        <v>9.2475158536999835E-3</v>
      </c>
      <c r="AS479" s="5">
        <f t="shared" si="85"/>
        <v>8.0464808881257621E-3</v>
      </c>
      <c r="AT479" s="5">
        <f t="shared" si="86"/>
        <v>7.5183568315863036E-3</v>
      </c>
    </row>
    <row r="480" spans="12:46" x14ac:dyDescent="0.25">
      <c r="L480" s="4">
        <v>44838.5</v>
      </c>
      <c r="M480">
        <v>66.62</v>
      </c>
      <c r="N480">
        <v>68.349999999999994</v>
      </c>
      <c r="O480">
        <v>65.400000000000006</v>
      </c>
      <c r="P480">
        <v>67.42</v>
      </c>
      <c r="Q480">
        <v>19875</v>
      </c>
      <c r="R480">
        <v>386450</v>
      </c>
      <c r="S480">
        <v>161.94999999999999</v>
      </c>
      <c r="T480">
        <v>161.94999999999999</v>
      </c>
      <c r="U480">
        <v>161.94999999999999</v>
      </c>
      <c r="V480">
        <v>161.94999999999999</v>
      </c>
      <c r="W480">
        <v>0</v>
      </c>
      <c r="X480">
        <v>4.432757325319292E-2</v>
      </c>
      <c r="Y480">
        <v>0.13323144156354397</v>
      </c>
      <c r="Z480">
        <v>0.14701623924515633</v>
      </c>
      <c r="AB480" s="3">
        <f t="shared" si="77"/>
        <v>1.3650876141452141E-2</v>
      </c>
      <c r="AC480" s="3">
        <f t="shared" si="78"/>
        <v>1.8974435813863294E-2</v>
      </c>
      <c r="AD480" s="3">
        <f t="shared" si="79"/>
        <v>1.5564775296226206E-2</v>
      </c>
      <c r="AE480" s="76">
        <f t="shared" si="80"/>
        <v>2328.4761904761908</v>
      </c>
      <c r="AF480" s="76">
        <f t="shared" si="81"/>
        <v>2943.3214285714312</v>
      </c>
      <c r="AG480" s="76">
        <f t="shared" si="82"/>
        <v>2615.3400758533498</v>
      </c>
      <c r="AO480" s="5">
        <f t="shared" si="87"/>
        <v>1.7898832684824992E-2</v>
      </c>
      <c r="AP480" s="5">
        <f t="shared" si="83"/>
        <v>0.54321590340201886</v>
      </c>
      <c r="AR480" s="5">
        <f t="shared" si="84"/>
        <v>9.6839284390723979E-3</v>
      </c>
      <c r="AS480" s="5">
        <f t="shared" si="85"/>
        <v>8.1311913755776066E-3</v>
      </c>
      <c r="AT480" s="5">
        <f t="shared" si="86"/>
        <v>7.7122902776177726E-3</v>
      </c>
    </row>
    <row r="481" spans="12:46" x14ac:dyDescent="0.25">
      <c r="L481" s="4">
        <v>44837.5</v>
      </c>
      <c r="M481">
        <v>66.55</v>
      </c>
      <c r="N481">
        <v>66.73</v>
      </c>
      <c r="O481">
        <v>64.25</v>
      </c>
      <c r="P481">
        <v>65.760000000000005</v>
      </c>
      <c r="Q481">
        <v>14309</v>
      </c>
      <c r="R481">
        <v>384074</v>
      </c>
      <c r="S481">
        <v>169.91200000000001</v>
      </c>
      <c r="T481">
        <v>169.91200000000001</v>
      </c>
      <c r="U481">
        <v>169.91200000000001</v>
      </c>
      <c r="V481">
        <v>169.91200000000001</v>
      </c>
      <c r="W481">
        <v>0</v>
      </c>
      <c r="X481">
        <v>3.8236201048412029E-2</v>
      </c>
      <c r="Y481">
        <v>-0.16943870249003484</v>
      </c>
      <c r="Z481">
        <v>-0.76093736837443138</v>
      </c>
      <c r="AB481" s="3">
        <f t="shared" si="77"/>
        <v>1.4899306471708326E-2</v>
      </c>
      <c r="AC481" s="3">
        <f t="shared" si="78"/>
        <v>1.9443683535563888E-2</v>
      </c>
      <c r="AD481" s="3">
        <f t="shared" si="79"/>
        <v>1.5577037352205891E-2</v>
      </c>
      <c r="AE481" s="76">
        <f t="shared" si="80"/>
        <v>3613.4285714285688</v>
      </c>
      <c r="AF481" s="76">
        <f t="shared" si="81"/>
        <v>3677.0238095238092</v>
      </c>
      <c r="AG481" s="76">
        <f t="shared" si="82"/>
        <v>3006.5086388537711</v>
      </c>
      <c r="AO481" s="5">
        <f t="shared" si="87"/>
        <v>-9.4048720320690626E-3</v>
      </c>
      <c r="AP481" s="5">
        <f t="shared" si="83"/>
        <v>0.54332088672950829</v>
      </c>
      <c r="AR481" s="5">
        <f t="shared" si="84"/>
        <v>9.5552841986755732E-3</v>
      </c>
      <c r="AS481" s="5">
        <f t="shared" si="85"/>
        <v>7.7578952567403103E-3</v>
      </c>
      <c r="AT481" s="5">
        <f t="shared" si="86"/>
        <v>7.4820956055889898E-3</v>
      </c>
    </row>
    <row r="482" spans="12:46" x14ac:dyDescent="0.25">
      <c r="L482" s="4">
        <v>44834.5</v>
      </c>
      <c r="M482">
        <v>64.86</v>
      </c>
      <c r="N482">
        <v>68.66</v>
      </c>
      <c r="O482">
        <v>64.86</v>
      </c>
      <c r="P482">
        <v>66.13</v>
      </c>
      <c r="Q482">
        <v>16143</v>
      </c>
      <c r="R482">
        <v>383191</v>
      </c>
      <c r="S482">
        <v>188.8</v>
      </c>
      <c r="T482">
        <v>188.8</v>
      </c>
      <c r="U482">
        <v>188.8</v>
      </c>
      <c r="V482">
        <v>188.8</v>
      </c>
      <c r="W482">
        <v>0</v>
      </c>
      <c r="X482">
        <v>5.7988707462230997E-2</v>
      </c>
      <c r="Y482">
        <v>0.84838663285281313</v>
      </c>
      <c r="Z482">
        <v>-0.4691484384411353</v>
      </c>
      <c r="AB482" s="3">
        <f t="shared" si="77"/>
        <v>1.6630121379018779E-2</v>
      </c>
      <c r="AC482" s="3">
        <f t="shared" si="78"/>
        <v>1.9680072380383107E-2</v>
      </c>
      <c r="AD482" s="3">
        <f t="shared" si="79"/>
        <v>1.6199127333527769E-2</v>
      </c>
      <c r="AE482" s="76">
        <f t="shared" si="80"/>
        <v>3915</v>
      </c>
      <c r="AF482" s="76">
        <f t="shared" si="81"/>
        <v>3926.9761904761872</v>
      </c>
      <c r="AG482" s="76">
        <f t="shared" si="82"/>
        <v>3178.1323219553306</v>
      </c>
      <c r="AO482" s="5">
        <f t="shared" si="87"/>
        <v>1.1225444340505127E-2</v>
      </c>
      <c r="AP482" s="5">
        <f t="shared" si="83"/>
        <v>0.54355272224467788</v>
      </c>
      <c r="AR482" s="5">
        <f t="shared" si="84"/>
        <v>9.181171522835041E-3</v>
      </c>
      <c r="AS482" s="5">
        <f t="shared" si="85"/>
        <v>7.2299659297377916E-3</v>
      </c>
      <c r="AT482" s="5">
        <f t="shared" si="86"/>
        <v>7.136099988159228E-3</v>
      </c>
    </row>
    <row r="483" spans="12:46" x14ac:dyDescent="0.25">
      <c r="L483" s="4">
        <v>44833.5</v>
      </c>
      <c r="M483">
        <v>65.53</v>
      </c>
      <c r="N483">
        <v>66.86</v>
      </c>
      <c r="O483">
        <v>64.14</v>
      </c>
      <c r="P483">
        <v>65.83</v>
      </c>
      <c r="Q483">
        <v>19934</v>
      </c>
      <c r="R483">
        <v>382634</v>
      </c>
      <c r="S483">
        <v>187.66499999999999</v>
      </c>
      <c r="T483">
        <v>187.66499999999999</v>
      </c>
      <c r="U483">
        <v>187.66499999999999</v>
      </c>
      <c r="V483">
        <v>187.66499999999999</v>
      </c>
      <c r="W483">
        <v>0</v>
      </c>
      <c r="X483">
        <v>4.0117994100294971E-2</v>
      </c>
      <c r="Y483">
        <v>-7.6493307219811985E-2</v>
      </c>
      <c r="Z483">
        <v>0.15450347560526223</v>
      </c>
      <c r="AB483" s="3">
        <f t="shared" si="77"/>
        <v>1.6995294019640721E-2</v>
      </c>
      <c r="AC483" s="3">
        <f t="shared" si="78"/>
        <v>1.9235217546665087E-2</v>
      </c>
      <c r="AD483" s="3">
        <f t="shared" si="79"/>
        <v>1.5688721383008065E-2</v>
      </c>
      <c r="AE483" s="76">
        <f t="shared" si="80"/>
        <v>5167</v>
      </c>
      <c r="AF483" s="76">
        <f t="shared" si="81"/>
        <v>4684.6190476190459</v>
      </c>
      <c r="AG483" s="76">
        <f t="shared" si="82"/>
        <v>3810.3978086809911</v>
      </c>
      <c r="AO483" s="5">
        <f t="shared" si="87"/>
        <v>-3.5730930557713834E-3</v>
      </c>
      <c r="AP483" s="5">
        <f t="shared" si="83"/>
        <v>0.54359445419847008</v>
      </c>
      <c r="AR483" s="5">
        <f t="shared" si="84"/>
        <v>8.8610938864585043E-3</v>
      </c>
      <c r="AS483" s="5">
        <f t="shared" si="85"/>
        <v>6.7293251113841324E-3</v>
      </c>
      <c r="AT483" s="5">
        <f t="shared" si="86"/>
        <v>6.8150427518008927E-3</v>
      </c>
    </row>
    <row r="484" spans="12:46" x14ac:dyDescent="0.25">
      <c r="L484" s="4">
        <v>44832.5</v>
      </c>
      <c r="M484">
        <v>67.8</v>
      </c>
      <c r="N484">
        <v>68.27</v>
      </c>
      <c r="O484">
        <v>64.37</v>
      </c>
      <c r="P484">
        <v>65.22</v>
      </c>
      <c r="Q484">
        <v>24121</v>
      </c>
      <c r="R484">
        <v>382653</v>
      </c>
      <c r="S484">
        <v>207.18700000000001</v>
      </c>
      <c r="T484">
        <v>207.18700000000001</v>
      </c>
      <c r="U484">
        <v>207.18700000000001</v>
      </c>
      <c r="V484">
        <v>207.18700000000001</v>
      </c>
      <c r="W484">
        <v>0</v>
      </c>
      <c r="X484">
        <v>5.5452865064694892E-2</v>
      </c>
      <c r="Y484">
        <v>0.71760454798303952</v>
      </c>
      <c r="Z484">
        <v>0.84960846755780739</v>
      </c>
      <c r="AB484" s="3">
        <f t="shared" si="77"/>
        <v>1.6382641337101912E-2</v>
      </c>
      <c r="AC484" s="3">
        <f t="shared" si="78"/>
        <v>1.8598623851943462E-2</v>
      </c>
      <c r="AD484" s="3">
        <f t="shared" si="79"/>
        <v>1.5275171904897494E-2</v>
      </c>
      <c r="AE484" s="76">
        <f t="shared" si="80"/>
        <v>5471.4285714285725</v>
      </c>
      <c r="AF484" s="76">
        <f t="shared" si="81"/>
        <v>4946.5238095238128</v>
      </c>
      <c r="AG484" s="76">
        <f t="shared" si="82"/>
        <v>3993.6021913190089</v>
      </c>
      <c r="AO484" s="5">
        <f t="shared" si="87"/>
        <v>-4.4530206323289294E-2</v>
      </c>
      <c r="AP484" s="5">
        <f t="shared" si="83"/>
        <v>0.5438594927776137</v>
      </c>
      <c r="AR484" s="5">
        <f t="shared" si="84"/>
        <v>8.5237125616262066E-3</v>
      </c>
      <c r="AS484" s="5">
        <f t="shared" si="85"/>
        <v>6.2062202620902784E-3</v>
      </c>
      <c r="AT484" s="5">
        <f t="shared" si="86"/>
        <v>6.4680828599866791E-3</v>
      </c>
    </row>
    <row r="485" spans="12:46" x14ac:dyDescent="0.25">
      <c r="L485" s="4">
        <v>44831.5</v>
      </c>
      <c r="M485">
        <v>70.33</v>
      </c>
      <c r="N485">
        <v>71.099999999999994</v>
      </c>
      <c r="O485">
        <v>67.37</v>
      </c>
      <c r="P485">
        <v>68.209999999999994</v>
      </c>
      <c r="Q485">
        <v>16530</v>
      </c>
      <c r="R485">
        <v>378479</v>
      </c>
      <c r="S485">
        <v>186.09899999999999</v>
      </c>
      <c r="T485">
        <v>186.09899999999999</v>
      </c>
      <c r="U485">
        <v>186.09899999999999</v>
      </c>
      <c r="V485">
        <v>186.09899999999999</v>
      </c>
      <c r="W485">
        <v>0</v>
      </c>
      <c r="X485">
        <v>5.7252494244052023E-2</v>
      </c>
      <c r="Y485">
        <v>0.82872052965679666</v>
      </c>
      <c r="Z485">
        <v>-0.39512274262000963</v>
      </c>
      <c r="AB485" s="3">
        <f t="shared" si="77"/>
        <v>1.9406414213697175E-2</v>
      </c>
      <c r="AC485" s="3">
        <f t="shared" si="78"/>
        <v>2.0465643428947265E-2</v>
      </c>
      <c r="AD485" s="3">
        <f t="shared" si="79"/>
        <v>1.6618219081655367E-2</v>
      </c>
      <c r="AE485" s="76">
        <f t="shared" si="80"/>
        <v>6671.0952380952385</v>
      </c>
      <c r="AF485" s="76">
        <f t="shared" si="81"/>
        <v>5501.2142857142862</v>
      </c>
      <c r="AG485" s="76">
        <f t="shared" si="82"/>
        <v>4426.9418457648571</v>
      </c>
      <c r="AO485" s="5">
        <f t="shared" si="87"/>
        <v>5.1014040561622627E-2</v>
      </c>
      <c r="AP485" s="5">
        <f t="shared" si="83"/>
        <v>0.54204156960220506</v>
      </c>
      <c r="AR485" s="5">
        <f t="shared" si="84"/>
        <v>8.1659314698997454E-3</v>
      </c>
      <c r="AS485" s="5">
        <f t="shared" si="85"/>
        <v>5.6546091147097188E-3</v>
      </c>
      <c r="AT485" s="5">
        <f t="shared" si="86"/>
        <v>6.1026191220002746E-3</v>
      </c>
    </row>
    <row r="486" spans="12:46" x14ac:dyDescent="0.25">
      <c r="L486" s="4">
        <v>44830.5</v>
      </c>
      <c r="M486">
        <v>65.150000000000006</v>
      </c>
      <c r="N486">
        <v>71.95</v>
      </c>
      <c r="O486">
        <v>64.099999999999994</v>
      </c>
      <c r="P486">
        <v>70</v>
      </c>
      <c r="Q486">
        <v>20571</v>
      </c>
      <c r="R486">
        <v>377489</v>
      </c>
      <c r="S486">
        <v>173.834</v>
      </c>
      <c r="T486">
        <v>173.834</v>
      </c>
      <c r="U486">
        <v>173.834</v>
      </c>
      <c r="V486">
        <v>173.834</v>
      </c>
      <c r="W486">
        <v>0</v>
      </c>
      <c r="X486">
        <v>0.11212683902299683</v>
      </c>
      <c r="Y486">
        <v>3.6811678187630834</v>
      </c>
      <c r="Z486">
        <v>0.28225525676160412</v>
      </c>
      <c r="AB486" s="3">
        <f t="shared" si="77"/>
        <v>2.0600886473821182E-2</v>
      </c>
      <c r="AC486" s="3">
        <f t="shared" si="78"/>
        <v>2.0686726399505438E-2</v>
      </c>
      <c r="AD486" s="3">
        <f t="shared" si="79"/>
        <v>1.6332260129338742E-2</v>
      </c>
      <c r="AE486" s="76">
        <f t="shared" si="80"/>
        <v>6313.8571428571449</v>
      </c>
      <c r="AF486" s="76">
        <f t="shared" si="81"/>
        <v>5352.7678571428587</v>
      </c>
      <c r="AG486" s="76">
        <f t="shared" si="82"/>
        <v>4149.3906447534791</v>
      </c>
      <c r="AO486" s="5">
        <f t="shared" si="87"/>
        <v>-1.912777352716144E-2</v>
      </c>
      <c r="AP486" s="5">
        <f t="shared" si="83"/>
        <v>0.54067919988227997</v>
      </c>
      <c r="AR486" s="5">
        <f t="shared" si="84"/>
        <v>7.4791105508218436E-3</v>
      </c>
      <c r="AS486" s="5">
        <f t="shared" si="85"/>
        <v>4.9039297164710227E-3</v>
      </c>
      <c r="AT486" s="5">
        <f t="shared" si="86"/>
        <v>5.5695235971722212E-3</v>
      </c>
    </row>
    <row r="487" spans="12:46" x14ac:dyDescent="0.25">
      <c r="L487" s="4">
        <v>44827.5</v>
      </c>
      <c r="M487">
        <v>70.010000000000005</v>
      </c>
      <c r="N487">
        <v>70.3</v>
      </c>
      <c r="O487">
        <v>65.349999999999994</v>
      </c>
      <c r="P487">
        <v>66</v>
      </c>
      <c r="Q487">
        <v>22610</v>
      </c>
      <c r="R487">
        <v>377004</v>
      </c>
      <c r="S487">
        <v>185.495</v>
      </c>
      <c r="T487">
        <v>185.495</v>
      </c>
      <c r="U487">
        <v>185.495</v>
      </c>
      <c r="V487">
        <v>185.495</v>
      </c>
      <c r="W487">
        <v>0</v>
      </c>
      <c r="X487">
        <v>7.0815450643776853E-2</v>
      </c>
      <c r="Y487">
        <v>1.8064564465095976</v>
      </c>
      <c r="Z487">
        <v>0.63575663480740108</v>
      </c>
      <c r="AB487" s="3">
        <f t="shared" si="77"/>
        <v>1.5338615269232116E-2</v>
      </c>
      <c r="AC487" s="3">
        <f t="shared" si="78"/>
        <v>1.6515378025114213E-2</v>
      </c>
      <c r="AD487" s="3">
        <f t="shared" si="79"/>
        <v>1.2217566528120574E-2</v>
      </c>
      <c r="AE487" s="76">
        <f t="shared" si="80"/>
        <v>5726.9047619047615</v>
      </c>
      <c r="AF487" s="76">
        <f t="shared" si="81"/>
        <v>4834.6428571428551</v>
      </c>
      <c r="AG487" s="76">
        <f t="shared" si="82"/>
        <v>3706.8432364096079</v>
      </c>
      <c r="AO487" s="5">
        <f t="shared" si="87"/>
        <v>-5.3035791914215487E-2</v>
      </c>
      <c r="AP487" s="5">
        <f t="shared" si="83"/>
        <v>0.54362394691956317</v>
      </c>
      <c r="AR487" s="5">
        <f t="shared" si="84"/>
        <v>7.0191859822358316E-3</v>
      </c>
      <c r="AS487" s="5">
        <f t="shared" si="85"/>
        <v>4.3216585152714426E-3</v>
      </c>
      <c r="AT487" s="5">
        <f t="shared" si="86"/>
        <v>5.2000809798780079E-3</v>
      </c>
    </row>
    <row r="488" spans="12:46" x14ac:dyDescent="0.25">
      <c r="L488" s="4">
        <v>44826.5</v>
      </c>
      <c r="M488">
        <v>69.900000000000006</v>
      </c>
      <c r="N488">
        <v>71.12</v>
      </c>
      <c r="O488">
        <v>69.010000000000005</v>
      </c>
      <c r="P488">
        <v>70.010000000000005</v>
      </c>
      <c r="Q488">
        <v>12485</v>
      </c>
      <c r="R488">
        <v>374431</v>
      </c>
      <c r="S488">
        <v>187.46799999999999</v>
      </c>
      <c r="T488">
        <v>187.46799999999999</v>
      </c>
      <c r="U488">
        <v>187.46799999999999</v>
      </c>
      <c r="V488">
        <v>187.46799999999999</v>
      </c>
      <c r="W488">
        <v>0</v>
      </c>
      <c r="X488">
        <v>2.9391280122579737E-2</v>
      </c>
      <c r="Y488">
        <v>-0.57490641021688038</v>
      </c>
      <c r="Z488">
        <v>-1.0375507660598882</v>
      </c>
      <c r="AB488" s="3">
        <f t="shared" si="77"/>
        <v>1.4379759255855822E-2</v>
      </c>
      <c r="AC488" s="3">
        <f t="shared" si="78"/>
        <v>1.503513809078983E-2</v>
      </c>
      <c r="AD488" s="3">
        <f t="shared" si="79"/>
        <v>1.0770731143716336E-2</v>
      </c>
      <c r="AE488" s="76">
        <f t="shared" si="80"/>
        <v>5418</v>
      </c>
      <c r="AF488" s="76">
        <f t="shared" si="81"/>
        <v>4261.4107142857138</v>
      </c>
      <c r="AG488" s="76">
        <f t="shared" si="82"/>
        <v>3371.4310998735782</v>
      </c>
      <c r="AO488" s="5">
        <f t="shared" si="87"/>
        <v>-1.3024602026047642E-3</v>
      </c>
      <c r="AP488" s="5">
        <f t="shared" si="83"/>
        <v>0.54113558203130907</v>
      </c>
      <c r="AR488" s="5">
        <f t="shared" si="84"/>
        <v>6.448458764930054E-3</v>
      </c>
      <c r="AS488" s="5">
        <f t="shared" si="85"/>
        <v>3.6191509396692467E-3</v>
      </c>
      <c r="AT488" s="5">
        <f t="shared" si="86"/>
        <v>4.7076203105906878E-3</v>
      </c>
    </row>
    <row r="489" spans="12:46" x14ac:dyDescent="0.25">
      <c r="L489" s="4">
        <v>44825.5</v>
      </c>
      <c r="M489">
        <v>71.790000000000006</v>
      </c>
      <c r="N489">
        <v>71.790000000000006</v>
      </c>
      <c r="O489">
        <v>69.099999999999994</v>
      </c>
      <c r="P489">
        <v>69.849999999999994</v>
      </c>
      <c r="Q489">
        <v>16725</v>
      </c>
      <c r="R489">
        <v>374064</v>
      </c>
      <c r="S489">
        <v>189.78100000000001</v>
      </c>
      <c r="T489">
        <v>189.78100000000001</v>
      </c>
      <c r="U489">
        <v>189.78100000000001</v>
      </c>
      <c r="V489">
        <v>189.78100000000001</v>
      </c>
      <c r="W489">
        <v>0</v>
      </c>
      <c r="X489">
        <v>3.8128986534372959E-2</v>
      </c>
      <c r="Y489">
        <v>-5.9401272058503374E-2</v>
      </c>
      <c r="Z489">
        <v>-0.35479788206940804</v>
      </c>
      <c r="AB489" s="3">
        <f t="shared" si="77"/>
        <v>1.5057028693592864E-2</v>
      </c>
      <c r="AC489" s="3">
        <f t="shared" si="78"/>
        <v>1.5302082768684507E-2</v>
      </c>
      <c r="AD489" s="3">
        <f t="shared" si="79"/>
        <v>1.1026805433474521E-2</v>
      </c>
      <c r="AE489" s="76">
        <f t="shared" si="80"/>
        <v>5483.5714285714275</v>
      </c>
      <c r="AF489" s="76">
        <f t="shared" si="81"/>
        <v>4430.1130952380954</v>
      </c>
      <c r="AG489" s="76">
        <f t="shared" si="82"/>
        <v>3551.0863885377148</v>
      </c>
      <c r="AO489" s="5">
        <f t="shared" si="87"/>
        <v>-1.6510105323085833E-2</v>
      </c>
      <c r="AP489" s="5">
        <f t="shared" si="83"/>
        <v>0.5412712861365242</v>
      </c>
      <c r="AR489" s="5">
        <f t="shared" si="84"/>
        <v>5.9779889780630091E-3</v>
      </c>
      <c r="AS489" s="5">
        <f t="shared" si="85"/>
        <v>3.0266857432903471E-3</v>
      </c>
      <c r="AT489" s="5">
        <f t="shared" si="86"/>
        <v>4.3234129663938248E-3</v>
      </c>
    </row>
    <row r="490" spans="12:46" x14ac:dyDescent="0.25">
      <c r="L490" s="4">
        <v>44824.5</v>
      </c>
      <c r="M490">
        <v>70.55</v>
      </c>
      <c r="N490">
        <v>73</v>
      </c>
      <c r="O490">
        <v>70.260000000000005</v>
      </c>
      <c r="P490">
        <v>71.040000000000006</v>
      </c>
      <c r="Q490">
        <v>14605</v>
      </c>
      <c r="R490">
        <v>371595</v>
      </c>
      <c r="S490">
        <v>194.25899999999999</v>
      </c>
      <c r="T490">
        <v>194.25899999999999</v>
      </c>
      <c r="U490">
        <v>194.25899999999999</v>
      </c>
      <c r="V490">
        <v>194.25899999999999</v>
      </c>
      <c r="W490">
        <v>0</v>
      </c>
      <c r="X490">
        <v>3.7370430987452199E-2</v>
      </c>
      <c r="Y490">
        <v>-0.10886327839811577</v>
      </c>
      <c r="Z490">
        <v>-0.70127255687756651</v>
      </c>
      <c r="AB490" s="3">
        <f t="shared" si="77"/>
        <v>1.6620332441886987E-2</v>
      </c>
      <c r="AC490" s="3">
        <f t="shared" si="78"/>
        <v>1.5799285760495135E-2</v>
      </c>
      <c r="AD490" s="3">
        <f t="shared" si="79"/>
        <v>1.1830633153592701E-2</v>
      </c>
      <c r="AE490" s="76">
        <f t="shared" si="80"/>
        <v>5547.8095238095229</v>
      </c>
      <c r="AF490" s="76">
        <f t="shared" si="81"/>
        <v>4657.6369047619046</v>
      </c>
      <c r="AG490" s="76">
        <f t="shared" si="82"/>
        <v>3679.7062789717675</v>
      </c>
      <c r="AO490" s="5">
        <f t="shared" si="87"/>
        <v>1.5680684248039832E-3</v>
      </c>
      <c r="AP490" s="5">
        <f t="shared" si="83"/>
        <v>0.54099320690281982</v>
      </c>
      <c r="AR490" s="5">
        <f t="shared" si="84"/>
        <v>5.4239034869040248E-3</v>
      </c>
      <c r="AS490" s="5">
        <f t="shared" si="85"/>
        <v>2.3991655477036966E-3</v>
      </c>
      <c r="AT490" s="5">
        <f t="shared" si="86"/>
        <v>3.9310853960241587E-3</v>
      </c>
    </row>
    <row r="491" spans="12:46" x14ac:dyDescent="0.25">
      <c r="L491" s="4">
        <v>44823.5</v>
      </c>
      <c r="M491">
        <v>73.319999999999993</v>
      </c>
      <c r="N491">
        <v>73.8</v>
      </c>
      <c r="O491">
        <v>70.150000000000006</v>
      </c>
      <c r="P491">
        <v>70.34</v>
      </c>
      <c r="Q491">
        <v>18640</v>
      </c>
      <c r="R491">
        <v>370876</v>
      </c>
      <c r="S491">
        <v>182.262</v>
      </c>
      <c r="T491">
        <v>182.262</v>
      </c>
      <c r="U491">
        <v>182.262</v>
      </c>
      <c r="V491">
        <v>182.262</v>
      </c>
      <c r="W491">
        <v>0</v>
      </c>
      <c r="X491">
        <v>5.0800278357689514E-2</v>
      </c>
      <c r="Y491">
        <v>0.69614647623259129</v>
      </c>
      <c r="Z491">
        <v>-2.5068957197015854E-2</v>
      </c>
      <c r="AB491" s="3">
        <f t="shared" si="77"/>
        <v>2.0309583764862707E-2</v>
      </c>
      <c r="AC491" s="3">
        <f t="shared" si="78"/>
        <v>1.907255089012394E-2</v>
      </c>
      <c r="AD491" s="3">
        <f t="shared" si="79"/>
        <v>1.4204698041044558E-2</v>
      </c>
      <c r="AE491" s="76">
        <f t="shared" si="80"/>
        <v>5455.1904761904734</v>
      </c>
      <c r="AF491" s="76">
        <f t="shared" si="81"/>
        <v>5229.9761904761908</v>
      </c>
      <c r="AG491" s="76">
        <f t="shared" si="82"/>
        <v>3948.2094395280219</v>
      </c>
      <c r="AO491" s="5">
        <f t="shared" si="87"/>
        <v>-1.3500210940795862E-2</v>
      </c>
      <c r="AP491" s="5">
        <f t="shared" si="83"/>
        <v>0.54142154433658696</v>
      </c>
      <c r="AR491" s="5">
        <f t="shared" si="84"/>
        <v>4.8599543279523871E-3</v>
      </c>
      <c r="AS491" s="5">
        <f t="shared" si="85"/>
        <v>1.8233429245486654E-3</v>
      </c>
      <c r="AT491" s="5">
        <f t="shared" si="86"/>
        <v>3.5386666808439049E-3</v>
      </c>
    </row>
    <row r="492" spans="12:46" x14ac:dyDescent="0.25">
      <c r="L492" s="4">
        <v>44820.5</v>
      </c>
      <c r="M492">
        <v>71.849999999999994</v>
      </c>
      <c r="N492">
        <v>73.930000000000007</v>
      </c>
      <c r="O492">
        <v>71.11</v>
      </c>
      <c r="P492">
        <v>73.260000000000005</v>
      </c>
      <c r="Q492">
        <v>15438</v>
      </c>
      <c r="R492">
        <v>363968</v>
      </c>
      <c r="S492">
        <v>187.79300000000001</v>
      </c>
      <c r="T492">
        <v>187.79300000000001</v>
      </c>
      <c r="U492">
        <v>187.79300000000001</v>
      </c>
      <c r="V492">
        <v>187.79300000000001</v>
      </c>
      <c r="W492">
        <v>0</v>
      </c>
      <c r="X492">
        <v>3.8961038961039064E-2</v>
      </c>
      <c r="Y492">
        <v>1.8443111882831164E-2</v>
      </c>
      <c r="Z492">
        <v>-0.54795551888791849</v>
      </c>
      <c r="AB492" s="3">
        <f t="shared" si="77"/>
        <v>2.0247812217901173E-2</v>
      </c>
      <c r="AC492" s="3">
        <f t="shared" si="78"/>
        <v>1.8475745301344285E-2</v>
      </c>
      <c r="AD492" s="3">
        <f t="shared" si="79"/>
        <v>1.3427375405120526E-2</v>
      </c>
      <c r="AE492" s="76">
        <f t="shared" si="80"/>
        <v>4459.3809523809505</v>
      </c>
      <c r="AF492" s="76">
        <f t="shared" si="81"/>
        <v>5163.0595238095229</v>
      </c>
      <c r="AG492" s="76">
        <f t="shared" si="82"/>
        <v>3677.8449220396105</v>
      </c>
      <c r="AO492" s="5">
        <f t="shared" si="87"/>
        <v>1.5857142857142847E-2</v>
      </c>
      <c r="AP492" s="5">
        <f t="shared" si="83"/>
        <v>0.54131660173299267</v>
      </c>
      <c r="AR492" s="5">
        <f t="shared" si="84"/>
        <v>4.0684748213553057E-3</v>
      </c>
      <c r="AS492" s="5">
        <f t="shared" si="85"/>
        <v>1.0621636681108493E-3</v>
      </c>
      <c r="AT492" s="5">
        <f t="shared" si="86"/>
        <v>2.9891447785816982E-3</v>
      </c>
    </row>
    <row r="493" spans="12:46" x14ac:dyDescent="0.25">
      <c r="L493" s="4">
        <v>44819.5</v>
      </c>
      <c r="M493">
        <v>72.38</v>
      </c>
      <c r="N493">
        <v>72.55</v>
      </c>
      <c r="O493">
        <v>70</v>
      </c>
      <c r="P493">
        <v>72.11</v>
      </c>
      <c r="Q493">
        <v>27109</v>
      </c>
      <c r="R493">
        <v>360252</v>
      </c>
      <c r="S493">
        <v>214.28299999999999</v>
      </c>
      <c r="T493">
        <v>214.28299999999999</v>
      </c>
      <c r="U493">
        <v>214.28299999999999</v>
      </c>
      <c r="V493">
        <v>214.28299999999999</v>
      </c>
      <c r="W493">
        <v>5</v>
      </c>
      <c r="X493">
        <v>3.6175344020428393E-2</v>
      </c>
      <c r="Y493">
        <v>-0.13510332236431158</v>
      </c>
      <c r="Z493">
        <v>1.3934376253464829</v>
      </c>
      <c r="AB493" s="3">
        <f t="shared" si="77"/>
        <v>2.057131355816904E-2</v>
      </c>
      <c r="AC493" s="3">
        <f t="shared" si="78"/>
        <v>1.920236915091364E-2</v>
      </c>
      <c r="AD493" s="3">
        <f t="shared" si="79"/>
        <v>1.3837832247759675E-2</v>
      </c>
      <c r="AE493" s="76">
        <f t="shared" si="80"/>
        <v>3798.8571428571413</v>
      </c>
      <c r="AF493" s="76">
        <f t="shared" si="81"/>
        <v>5490.9642857142862</v>
      </c>
      <c r="AG493" s="76">
        <f t="shared" si="82"/>
        <v>3893.5309734513285</v>
      </c>
      <c r="AO493" s="5">
        <f t="shared" si="87"/>
        <v>2.3242216050285099E-2</v>
      </c>
      <c r="AP493" s="5">
        <f t="shared" si="83"/>
        <v>0.54123244506381274</v>
      </c>
      <c r="AR493" s="5">
        <f t="shared" si="84"/>
        <v>3.2260724825173837E-3</v>
      </c>
      <c r="AS493" s="5">
        <f t="shared" si="85"/>
        <v>2.7231689764206646E-4</v>
      </c>
      <c r="AT493" s="5">
        <f t="shared" si="86"/>
        <v>2.4137808152246976E-3</v>
      </c>
    </row>
    <row r="494" spans="12:46" x14ac:dyDescent="0.25">
      <c r="L494" s="4">
        <v>44818.5</v>
      </c>
      <c r="M494">
        <v>70.489999999999995</v>
      </c>
      <c r="N494">
        <v>73.8</v>
      </c>
      <c r="O494">
        <v>68.41</v>
      </c>
      <c r="P494">
        <v>72.05</v>
      </c>
      <c r="Q494">
        <v>21271</v>
      </c>
      <c r="R494">
        <v>351846</v>
      </c>
      <c r="S494">
        <v>217.88200000000001</v>
      </c>
      <c r="T494">
        <v>217.88200000000001</v>
      </c>
      <c r="U494">
        <v>217.88200000000001</v>
      </c>
      <c r="V494">
        <v>217.88200000000001</v>
      </c>
      <c r="W494">
        <v>0</v>
      </c>
      <c r="X494">
        <v>7.4871509931935004E-2</v>
      </c>
      <c r="Y494">
        <v>2.1028764185021322</v>
      </c>
      <c r="Z494">
        <v>0.44807473313080115</v>
      </c>
      <c r="AB494" s="3">
        <f t="shared" si="77"/>
        <v>2.1963567235111101E-2</v>
      </c>
      <c r="AC494" s="3">
        <f t="shared" si="78"/>
        <v>2.0222667294052372E-2</v>
      </c>
      <c r="AD494" s="3">
        <f t="shared" si="79"/>
        <v>1.4231186709808032E-2</v>
      </c>
      <c r="AE494" s="76">
        <f t="shared" si="80"/>
        <v>3284.5714285714275</v>
      </c>
      <c r="AF494" s="76">
        <f t="shared" si="81"/>
        <v>5196.5535714285725</v>
      </c>
      <c r="AG494" s="76">
        <f t="shared" si="82"/>
        <v>3458.1479140328702</v>
      </c>
      <c r="AO494" s="5">
        <f t="shared" si="87"/>
        <v>5.8814880164680403E-3</v>
      </c>
      <c r="AP494" s="5">
        <f t="shared" si="83"/>
        <v>0.54086260110919526</v>
      </c>
      <c r="AR494" s="5">
        <f t="shared" si="84"/>
        <v>2.7561772664141948E-3</v>
      </c>
      <c r="AS494" s="5">
        <f t="shared" si="85"/>
        <v>-3.4591642914283405E-4</v>
      </c>
      <c r="AT494" s="5">
        <f t="shared" si="86"/>
        <v>1.9966332901507622E-3</v>
      </c>
    </row>
    <row r="495" spans="12:46" x14ac:dyDescent="0.25">
      <c r="L495" s="4">
        <v>44817.5</v>
      </c>
      <c r="M495">
        <v>71.989999999999995</v>
      </c>
      <c r="N495">
        <v>72.44</v>
      </c>
      <c r="O495">
        <v>68.010000000000005</v>
      </c>
      <c r="P495">
        <v>70.23</v>
      </c>
      <c r="Q495">
        <v>24199</v>
      </c>
      <c r="R495">
        <v>350841</v>
      </c>
      <c r="S495">
        <v>198.61199999999999</v>
      </c>
      <c r="T495">
        <v>198.61199999999999</v>
      </c>
      <c r="U495">
        <v>198.61199999999999</v>
      </c>
      <c r="V495">
        <v>198.61199999999999</v>
      </c>
      <c r="W495">
        <v>0</v>
      </c>
      <c r="X495">
        <v>6.7131383542960943E-2</v>
      </c>
      <c r="Y495">
        <v>1.7356915027344531</v>
      </c>
      <c r="Z495">
        <v>0.95769595955206488</v>
      </c>
      <c r="AB495" s="3">
        <f t="shared" si="77"/>
        <v>2.0132786500911496E-2</v>
      </c>
      <c r="AC495" s="3">
        <f t="shared" si="78"/>
        <v>1.8142928666230788E-2</v>
      </c>
      <c r="AD495" s="3">
        <f t="shared" si="79"/>
        <v>1.1371207099049596E-2</v>
      </c>
      <c r="AE495" s="76">
        <f t="shared" si="80"/>
        <v>3422.6190476190495</v>
      </c>
      <c r="AF495" s="76">
        <f t="shared" si="81"/>
        <v>5173.6428571428587</v>
      </c>
      <c r="AG495" s="76">
        <f t="shared" si="82"/>
        <v>3183.1694058154244</v>
      </c>
      <c r="AO495" s="5">
        <f t="shared" si="87"/>
        <v>3.468735737106346E-2</v>
      </c>
      <c r="AP495" s="5">
        <f t="shared" si="83"/>
        <v>0.54093697284402376</v>
      </c>
      <c r="AR495" s="5">
        <f t="shared" si="84"/>
        <v>2.3147636711159381E-3</v>
      </c>
      <c r="AS495" s="5">
        <f t="shared" si="85"/>
        <v>-9.1651634403122628E-4</v>
      </c>
      <c r="AT495" s="5">
        <f t="shared" si="86"/>
        <v>1.6502109184641789E-3</v>
      </c>
    </row>
    <row r="496" spans="12:46" x14ac:dyDescent="0.25">
      <c r="L496" s="4">
        <v>44816.5</v>
      </c>
      <c r="M496">
        <v>65.989999999999995</v>
      </c>
      <c r="N496">
        <v>72.62</v>
      </c>
      <c r="O496">
        <v>65.73</v>
      </c>
      <c r="P496">
        <v>72.040000000000006</v>
      </c>
      <c r="Q496">
        <v>22240</v>
      </c>
      <c r="R496">
        <v>345458</v>
      </c>
      <c r="S496">
        <v>190.58799999999999</v>
      </c>
      <c r="T496">
        <v>190.58799999999999</v>
      </c>
      <c r="U496">
        <v>190.58799999999999</v>
      </c>
      <c r="V496">
        <v>190.58799999999999</v>
      </c>
      <c r="W496">
        <v>0</v>
      </c>
      <c r="X496">
        <v>0.10275913497390009</v>
      </c>
      <c r="Y496">
        <v>4.0068990333483905</v>
      </c>
      <c r="Z496">
        <v>0.64868750709475642</v>
      </c>
      <c r="AB496" s="3">
        <f t="shared" si="77"/>
        <v>1.8270787390617459E-2</v>
      </c>
      <c r="AC496" s="3">
        <f t="shared" si="78"/>
        <v>1.6318214424813494E-2</v>
      </c>
      <c r="AD496" s="3">
        <f t="shared" si="79"/>
        <v>8.5659350207071133E-3</v>
      </c>
      <c r="AE496" s="76">
        <f t="shared" si="80"/>
        <v>2988.9523809523816</v>
      </c>
      <c r="AF496" s="76">
        <f t="shared" si="81"/>
        <v>4761.2142857142862</v>
      </c>
      <c r="AG496" s="76">
        <f t="shared" si="82"/>
        <v>2540.9962073324896</v>
      </c>
      <c r="AO496" s="5">
        <f t="shared" si="87"/>
        <v>2.7459954233410651E-3</v>
      </c>
      <c r="AP496" s="5">
        <f t="shared" si="83"/>
        <v>0.54056983352921917</v>
      </c>
      <c r="AR496" s="5">
        <f t="shared" si="84"/>
        <v>1.9446303415568966E-3</v>
      </c>
      <c r="AS496" s="5">
        <f t="shared" si="85"/>
        <v>-1.4415456809864224E-3</v>
      </c>
      <c r="AT496" s="5">
        <f t="shared" si="86"/>
        <v>1.3539257990168307E-3</v>
      </c>
    </row>
    <row r="497" spans="12:46" x14ac:dyDescent="0.25">
      <c r="L497" s="4">
        <v>44813.5</v>
      </c>
      <c r="M497">
        <v>67.05</v>
      </c>
      <c r="N497">
        <v>67.95</v>
      </c>
      <c r="O497">
        <v>65.55</v>
      </c>
      <c r="P497">
        <v>66.19</v>
      </c>
      <c r="Q497">
        <v>19885</v>
      </c>
      <c r="R497">
        <v>345348</v>
      </c>
      <c r="S497">
        <v>207.09100000000001</v>
      </c>
      <c r="T497">
        <v>207.09100000000001</v>
      </c>
      <c r="U497">
        <v>207.09100000000001</v>
      </c>
      <c r="V497">
        <v>207.09100000000001</v>
      </c>
      <c r="W497">
        <v>0</v>
      </c>
      <c r="X497">
        <v>3.4627037945462499E-2</v>
      </c>
      <c r="Y497">
        <v>-0.15616938260845928</v>
      </c>
      <c r="Z497">
        <v>0.26570502121163414</v>
      </c>
      <c r="AB497" s="3">
        <f t="shared" si="77"/>
        <v>1.5222073533475131E-2</v>
      </c>
      <c r="AC497" s="3">
        <f t="shared" si="78"/>
        <v>1.2369766645192112E-2</v>
      </c>
      <c r="AD497" s="3">
        <f t="shared" si="79"/>
        <v>3.5080291652912626E-3</v>
      </c>
      <c r="AE497" s="76">
        <f t="shared" si="80"/>
        <v>2814.0952380952403</v>
      </c>
      <c r="AF497" s="76">
        <f t="shared" si="81"/>
        <v>4363.8988095238128</v>
      </c>
      <c r="AG497" s="76">
        <f t="shared" si="82"/>
        <v>2075.53139485883</v>
      </c>
      <c r="AO497" s="5">
        <f t="shared" si="87"/>
        <v>-6.8181818181818612E-3</v>
      </c>
      <c r="AP497" s="5">
        <f t="shared" si="83"/>
        <v>0.54057715337010503</v>
      </c>
      <c r="AR497" s="5">
        <f t="shared" si="84"/>
        <v>1.5677618159254392E-3</v>
      </c>
      <c r="AS497" s="5">
        <f t="shared" si="85"/>
        <v>-1.9581354737708834E-3</v>
      </c>
      <c r="AT497" s="5">
        <f t="shared" si="86"/>
        <v>1.3519468687598346E-3</v>
      </c>
    </row>
    <row r="498" spans="12:46" x14ac:dyDescent="0.25">
      <c r="L498" s="4">
        <v>44812.5</v>
      </c>
      <c r="M498">
        <v>69.31</v>
      </c>
      <c r="N498">
        <v>69.31</v>
      </c>
      <c r="O498">
        <v>66</v>
      </c>
      <c r="P498">
        <v>67.2</v>
      </c>
      <c r="Q498">
        <v>24733</v>
      </c>
      <c r="R498">
        <v>343950</v>
      </c>
      <c r="S498">
        <v>220.541</v>
      </c>
      <c r="T498">
        <v>220.541</v>
      </c>
      <c r="U498">
        <v>220.541</v>
      </c>
      <c r="V498">
        <v>220.541</v>
      </c>
      <c r="W498">
        <v>0</v>
      </c>
      <c r="X498">
        <v>4.7619047619047651E-2</v>
      </c>
      <c r="Y498">
        <v>0.77375733843511496</v>
      </c>
      <c r="Z498">
        <v>1.0948756634457539</v>
      </c>
      <c r="AB498" s="3">
        <f t="shared" si="77"/>
        <v>1.4864160405693026E-2</v>
      </c>
      <c r="AC498" s="3">
        <f t="shared" si="78"/>
        <v>1.2238321805440058E-2</v>
      </c>
      <c r="AD498" s="3">
        <f t="shared" si="79"/>
        <v>2.6275236652799766E-3</v>
      </c>
      <c r="AE498" s="76">
        <f t="shared" si="80"/>
        <v>2669.6666666666642</v>
      </c>
      <c r="AF498" s="76">
        <f t="shared" si="81"/>
        <v>4189.7380952380954</v>
      </c>
      <c r="AG498" s="76">
        <f t="shared" si="82"/>
        <v>1585.4934681837331</v>
      </c>
      <c r="AO498" s="5">
        <f t="shared" si="87"/>
        <v>-2.9411764705882353E-2</v>
      </c>
      <c r="AP498" s="5">
        <f t="shared" si="83"/>
        <v>0.54094175509119768</v>
      </c>
      <c r="AR498" s="5">
        <f t="shared" si="84"/>
        <v>1.1937699002695368E-3</v>
      </c>
      <c r="AS498" s="5">
        <f t="shared" si="85"/>
        <v>-2.4912508771079978E-3</v>
      </c>
      <c r="AT498" s="5">
        <f t="shared" si="86"/>
        <v>1.3488841224146286E-3</v>
      </c>
    </row>
    <row r="499" spans="12:46" x14ac:dyDescent="0.25">
      <c r="L499" s="4">
        <v>44811.5</v>
      </c>
      <c r="M499">
        <v>69.510000000000005</v>
      </c>
      <c r="N499">
        <v>71.11</v>
      </c>
      <c r="O499">
        <v>68</v>
      </c>
      <c r="P499">
        <v>69.31</v>
      </c>
      <c r="Q499">
        <v>28872</v>
      </c>
      <c r="R499">
        <v>343012</v>
      </c>
      <c r="S499">
        <v>213.88300000000001</v>
      </c>
      <c r="T499">
        <v>213.88300000000001</v>
      </c>
      <c r="U499">
        <v>213.88300000000001</v>
      </c>
      <c r="V499">
        <v>213.88300000000001</v>
      </c>
      <c r="W499">
        <v>0</v>
      </c>
      <c r="X499">
        <v>4.2027027027027021E-2</v>
      </c>
      <c r="Y499">
        <v>0.3905140086061219</v>
      </c>
      <c r="Z499">
        <v>1.7735379061297603</v>
      </c>
      <c r="AB499" s="3">
        <f t="shared" si="77"/>
        <v>1.3345262460813502E-2</v>
      </c>
      <c r="AC499" s="3">
        <f t="shared" si="78"/>
        <v>1.0389043141942868E-2</v>
      </c>
      <c r="AD499" s="3">
        <f t="shared" si="79"/>
        <v>1.163169600947922E-3</v>
      </c>
      <c r="AE499" s="76">
        <f t="shared" si="80"/>
        <v>2063.4285714285725</v>
      </c>
      <c r="AF499" s="76">
        <f t="shared" si="81"/>
        <v>3606.047619047622</v>
      </c>
      <c r="AG499" s="76">
        <f t="shared" si="82"/>
        <v>907.47998314370125</v>
      </c>
      <c r="AO499" s="5">
        <f t="shared" si="87"/>
        <v>-1.7341040462427786E-2</v>
      </c>
      <c r="AP499" s="5">
        <f t="shared" si="83"/>
        <v>0.54011850547807083</v>
      </c>
      <c r="AR499" s="5">
        <f t="shared" si="84"/>
        <v>7.9174298426265555E-4</v>
      </c>
      <c r="AS499" s="5">
        <f t="shared" si="85"/>
        <v>-3.0284007600629437E-3</v>
      </c>
      <c r="AT499" s="5">
        <f t="shared" si="86"/>
        <v>1.4478094160154109E-3</v>
      </c>
    </row>
    <row r="500" spans="12:46" x14ac:dyDescent="0.25">
      <c r="L500" s="4">
        <v>44810.5</v>
      </c>
      <c r="M500">
        <v>74</v>
      </c>
      <c r="N500">
        <v>74.709999999999994</v>
      </c>
      <c r="O500">
        <v>69.2</v>
      </c>
      <c r="P500">
        <v>69.510000000000005</v>
      </c>
      <c r="Q500">
        <v>36850</v>
      </c>
      <c r="R500">
        <v>344755</v>
      </c>
      <c r="S500">
        <v>239.84200000000001</v>
      </c>
      <c r="T500">
        <v>239.84200000000001</v>
      </c>
      <c r="U500">
        <v>239.84200000000001</v>
      </c>
      <c r="V500">
        <v>239.84200000000001</v>
      </c>
      <c r="W500">
        <v>0</v>
      </c>
      <c r="X500">
        <v>7.1105949154729536E-2</v>
      </c>
      <c r="Y500">
        <v>2.4879054068955821</v>
      </c>
      <c r="Z500">
        <v>3.2283838883298528</v>
      </c>
      <c r="AB500" s="3">
        <f t="shared" si="77"/>
        <v>1.2653886517685047E-2</v>
      </c>
      <c r="AC500" s="3">
        <f t="shared" si="78"/>
        <v>8.9870239915087816E-3</v>
      </c>
      <c r="AD500" s="3">
        <f t="shared" si="79"/>
        <v>-1.7570064773334698E-4</v>
      </c>
      <c r="AE500" s="76">
        <f t="shared" si="80"/>
        <v>1359.4761904761908</v>
      </c>
      <c r="AF500" s="76">
        <f t="shared" si="81"/>
        <v>2737.0059523809505</v>
      </c>
      <c r="AG500" s="76">
        <f t="shared" si="82"/>
        <v>-93.296670880743477</v>
      </c>
      <c r="AO500" s="5">
        <f t="shared" si="87"/>
        <v>-6.1058344640434192E-2</v>
      </c>
      <c r="AP500" s="5">
        <f t="shared" si="83"/>
        <v>0.53983303566597363</v>
      </c>
      <c r="AR500" s="5">
        <f t="shared" si="84"/>
        <v>4.4330539711501249E-4</v>
      </c>
      <c r="AS500" s="5">
        <f t="shared" si="85"/>
        <v>-3.5283694270464849E-3</v>
      </c>
      <c r="AT500" s="5">
        <f t="shared" si="86"/>
        <v>1.5892018907072147E-3</v>
      </c>
    </row>
    <row r="501" spans="12:46" x14ac:dyDescent="0.25">
      <c r="L501" s="4">
        <v>44809.5</v>
      </c>
      <c r="M501">
        <v>77.489999999999995</v>
      </c>
      <c r="N501">
        <v>77.489999999999995</v>
      </c>
      <c r="O501">
        <v>73.7</v>
      </c>
      <c r="P501">
        <v>73.94</v>
      </c>
      <c r="Q501">
        <v>29606</v>
      </c>
      <c r="R501">
        <v>343507</v>
      </c>
      <c r="S501">
        <v>214.66499999999999</v>
      </c>
      <c r="T501">
        <v>214.66499999999999</v>
      </c>
      <c r="U501">
        <v>214.66499999999999</v>
      </c>
      <c r="V501">
        <v>214.66499999999999</v>
      </c>
      <c r="W501">
        <v>0</v>
      </c>
      <c r="X501">
        <v>4.6934984520123742E-2</v>
      </c>
      <c r="Y501">
        <v>0.83987310488724021</v>
      </c>
      <c r="Z501">
        <v>2.2138611290084476</v>
      </c>
      <c r="AB501" s="3">
        <f t="shared" si="77"/>
        <v>9.9889910862212168E-3</v>
      </c>
      <c r="AC501" s="3">
        <f t="shared" si="78"/>
        <v>6.1847043812231148E-3</v>
      </c>
      <c r="AD501" s="3">
        <f t="shared" si="79"/>
        <v>-4.0325317260465413E-3</v>
      </c>
      <c r="AE501" s="76">
        <f t="shared" si="80"/>
        <v>175.80952380952294</v>
      </c>
      <c r="AF501" s="76">
        <f t="shared" si="81"/>
        <v>1492.5416666666679</v>
      </c>
      <c r="AG501" s="76">
        <f t="shared" si="82"/>
        <v>-1809.6759376316877</v>
      </c>
      <c r="AO501" s="5">
        <f t="shared" si="87"/>
        <v>-4.8418334409296319E-2</v>
      </c>
      <c r="AP501" s="5">
        <f t="shared" si="83"/>
        <v>0.53633829446966863</v>
      </c>
      <c r="AR501" s="5">
        <f t="shared" si="84"/>
        <v>9.4911437387601438E-5</v>
      </c>
      <c r="AS501" s="5">
        <f t="shared" si="85"/>
        <v>-3.9927329471510786E-3</v>
      </c>
      <c r="AT501" s="5">
        <f t="shared" si="86"/>
        <v>1.9642357467120064E-3</v>
      </c>
    </row>
    <row r="502" spans="12:46" x14ac:dyDescent="0.25">
      <c r="L502" s="4">
        <v>44806.5</v>
      </c>
      <c r="M502">
        <v>80.75</v>
      </c>
      <c r="N502">
        <v>81.22</v>
      </c>
      <c r="O502">
        <v>77.45</v>
      </c>
      <c r="P502">
        <v>77.91</v>
      </c>
      <c r="Q502">
        <v>19114</v>
      </c>
      <c r="R502">
        <v>344722</v>
      </c>
      <c r="S502">
        <v>214.66499999999999</v>
      </c>
      <c r="T502">
        <v>214.66499999999999</v>
      </c>
      <c r="U502">
        <v>214.66499999999999</v>
      </c>
      <c r="V502">
        <v>214.66499999999999</v>
      </c>
      <c r="W502">
        <v>0</v>
      </c>
      <c r="X502">
        <v>4.6884715831364214E-2</v>
      </c>
      <c r="Y502">
        <v>0.77685309716332762</v>
      </c>
      <c r="Z502">
        <v>0.29750522816214731</v>
      </c>
      <c r="AB502" s="3">
        <f t="shared" si="77"/>
        <v>8.4260278590202117E-3</v>
      </c>
      <c r="AC502" s="3">
        <f t="shared" si="78"/>
        <v>4.3945271092346999E-3</v>
      </c>
      <c r="AD502" s="3">
        <f t="shared" si="79"/>
        <v>-6.8481853173612203E-3</v>
      </c>
      <c r="AE502" s="76">
        <f t="shared" si="80"/>
        <v>-768.57142857142753</v>
      </c>
      <c r="AF502" s="76">
        <f t="shared" si="81"/>
        <v>379.14880952381282</v>
      </c>
      <c r="AG502" s="76">
        <f t="shared" si="82"/>
        <v>-3217.9907290349765</v>
      </c>
      <c r="AO502" s="5">
        <f t="shared" si="87"/>
        <v>0</v>
      </c>
      <c r="AP502" s="5">
        <f t="shared" si="83"/>
        <v>0.53409339809056045</v>
      </c>
      <c r="AR502" s="5">
        <f t="shared" si="84"/>
        <v>-1.2612416907020751E-4</v>
      </c>
      <c r="AS502" s="5">
        <f t="shared" si="85"/>
        <v>-4.2975905733497743E-3</v>
      </c>
      <c r="AT502" s="5">
        <f t="shared" si="86"/>
        <v>2.7915103572989652E-3</v>
      </c>
    </row>
    <row r="503" spans="12:46" x14ac:dyDescent="0.25">
      <c r="L503" s="4">
        <v>44805.5</v>
      </c>
      <c r="M503">
        <v>80.41</v>
      </c>
      <c r="N503">
        <v>81.349999999999994</v>
      </c>
      <c r="O503">
        <v>77.45</v>
      </c>
      <c r="P503">
        <v>80.94</v>
      </c>
      <c r="Q503">
        <v>28260</v>
      </c>
      <c r="R503">
        <v>344360</v>
      </c>
      <c r="S503">
        <v>243.00399999999999</v>
      </c>
      <c r="T503">
        <v>243.00399999999999</v>
      </c>
      <c r="U503">
        <v>243.00399999999999</v>
      </c>
      <c r="V503">
        <v>243.00399999999999</v>
      </c>
      <c r="W503">
        <v>0</v>
      </c>
      <c r="X503">
        <v>4.8112509252405518E-2</v>
      </c>
      <c r="Y503">
        <v>0.88982875545683238</v>
      </c>
      <c r="Z503">
        <v>2.001055981444817</v>
      </c>
      <c r="AB503" s="3">
        <f t="shared" si="77"/>
        <v>6.9337090228975135E-3</v>
      </c>
      <c r="AC503" s="3">
        <f t="shared" si="78"/>
        <v>1.9899791223255622E-3</v>
      </c>
      <c r="AD503" s="3">
        <f t="shared" si="79"/>
        <v>-8.5870805988520829E-3</v>
      </c>
      <c r="AE503" s="76">
        <f t="shared" si="80"/>
        <v>-662.04761904762199</v>
      </c>
      <c r="AF503" s="76">
        <f t="shared" si="81"/>
        <v>46.172619047618355</v>
      </c>
      <c r="AG503" s="76">
        <f t="shared" si="82"/>
        <v>-3453.9207753898045</v>
      </c>
      <c r="AO503" s="5">
        <f t="shared" si="87"/>
        <v>-1.9620253164556924E-2</v>
      </c>
      <c r="AP503" s="5">
        <f t="shared" si="83"/>
        <v>0.53465256054108912</v>
      </c>
      <c r="AR503" s="5">
        <f t="shared" si="84"/>
        <v>-2.2964303567096778E-4</v>
      </c>
      <c r="AS503" s="5">
        <f t="shared" si="85"/>
        <v>-4.4452738925150337E-3</v>
      </c>
      <c r="AT503" s="5">
        <f t="shared" si="86"/>
        <v>4.1049338732344065E-3</v>
      </c>
    </row>
    <row r="504" spans="12:46" x14ac:dyDescent="0.25">
      <c r="L504" s="4">
        <v>44804.5</v>
      </c>
      <c r="M504">
        <v>81.06</v>
      </c>
      <c r="N504">
        <v>81.61</v>
      </c>
      <c r="O504">
        <v>79</v>
      </c>
      <c r="P504">
        <v>80.62</v>
      </c>
      <c r="Q504">
        <v>22953</v>
      </c>
      <c r="R504">
        <v>342649</v>
      </c>
      <c r="S504">
        <v>239.90700000000001</v>
      </c>
      <c r="T504">
        <v>239.90700000000001</v>
      </c>
      <c r="U504">
        <v>239.90700000000001</v>
      </c>
      <c r="V504">
        <v>239.90700000000001</v>
      </c>
      <c r="W504">
        <v>0</v>
      </c>
      <c r="X504">
        <v>3.0250347705146029E-2</v>
      </c>
      <c r="Y504">
        <v>-0.37452371435531817</v>
      </c>
      <c r="Z504">
        <v>1.0984647618153636</v>
      </c>
      <c r="AB504" s="3">
        <f t="shared" si="77"/>
        <v>6.1794698947530216E-3</v>
      </c>
      <c r="AC504" s="3">
        <f t="shared" si="78"/>
        <v>1.0610079134371481E-3</v>
      </c>
      <c r="AD504" s="3">
        <f t="shared" si="79"/>
        <v>-9.3979624462581651E-3</v>
      </c>
      <c r="AE504" s="76">
        <f t="shared" si="80"/>
        <v>-1369.047619047622</v>
      </c>
      <c r="AF504" s="76">
        <f t="shared" si="81"/>
        <v>-732.54166666666788</v>
      </c>
      <c r="AG504" s="76">
        <f t="shared" si="82"/>
        <v>-4188.9296249473264</v>
      </c>
      <c r="AO504" s="5">
        <f t="shared" si="87"/>
        <v>-1.1511511511511533E-2</v>
      </c>
      <c r="AP504" s="5">
        <f t="shared" si="83"/>
        <v>0.53424738018463958</v>
      </c>
      <c r="AR504" s="5">
        <f t="shared" si="84"/>
        <v>-3.8350467128600574E-4</v>
      </c>
      <c r="AS504" s="5">
        <f t="shared" si="85"/>
        <v>-4.6263021974076723E-3</v>
      </c>
      <c r="AT504" s="5">
        <f t="shared" si="86"/>
        <v>5.4568286706224711E-3</v>
      </c>
    </row>
    <row r="505" spans="12:46" x14ac:dyDescent="0.25">
      <c r="L505" s="4">
        <v>44803.5</v>
      </c>
      <c r="M505">
        <v>86.28</v>
      </c>
      <c r="N505">
        <v>86.89</v>
      </c>
      <c r="O505">
        <v>79.92</v>
      </c>
      <c r="P505">
        <v>81.06</v>
      </c>
      <c r="Q505">
        <v>30590</v>
      </c>
      <c r="R505">
        <v>344676</v>
      </c>
      <c r="S505">
        <v>252.93700000000001</v>
      </c>
      <c r="T505">
        <v>252.93700000000001</v>
      </c>
      <c r="U505">
        <v>252.93700000000001</v>
      </c>
      <c r="V505">
        <v>252.93700000000001</v>
      </c>
      <c r="W505">
        <v>0</v>
      </c>
      <c r="X505">
        <v>7.701657458563535E-2</v>
      </c>
      <c r="Y505">
        <v>2.9604620320138109</v>
      </c>
      <c r="Z505">
        <v>2.5812875580417201</v>
      </c>
      <c r="AB505" s="3">
        <f t="shared" si="77"/>
        <v>5.948910154694613E-3</v>
      </c>
      <c r="AC505" s="3">
        <f t="shared" si="78"/>
        <v>1.2459848861289119E-3</v>
      </c>
      <c r="AD505" s="3">
        <f t="shared" si="79"/>
        <v>-9.8332057116957E-3</v>
      </c>
      <c r="AE505" s="76">
        <f t="shared" si="80"/>
        <v>-1265.3333333333321</v>
      </c>
      <c r="AF505" s="76">
        <f t="shared" si="81"/>
        <v>-811.20833333333212</v>
      </c>
      <c r="AG505" s="76">
        <f t="shared" si="82"/>
        <v>-4616.4812473662023</v>
      </c>
      <c r="AO505" s="5">
        <f t="shared" si="87"/>
        <v>-6.7335745127786159E-2</v>
      </c>
      <c r="AP505" s="5">
        <f t="shared" si="83"/>
        <v>0.53412976949118929</v>
      </c>
      <c r="AR505" s="5">
        <f t="shared" si="84"/>
        <v>-9.2859468306050186E-4</v>
      </c>
      <c r="AS505" s="5">
        <f t="shared" si="85"/>
        <v>-4.8619361862374255E-3</v>
      </c>
      <c r="AT505" s="5">
        <f t="shared" si="86"/>
        <v>6.7922707221965695E-3</v>
      </c>
    </row>
    <row r="506" spans="12:46" x14ac:dyDescent="0.25">
      <c r="L506" s="4">
        <v>44802.5</v>
      </c>
      <c r="M506">
        <v>90.5</v>
      </c>
      <c r="N506">
        <v>90.5</v>
      </c>
      <c r="O506">
        <v>85.69</v>
      </c>
      <c r="P506">
        <v>86.28</v>
      </c>
      <c r="Q506">
        <v>13815</v>
      </c>
      <c r="R506">
        <v>344396</v>
      </c>
      <c r="S506">
        <v>272.60300000000001</v>
      </c>
      <c r="T506">
        <v>272.60300000000001</v>
      </c>
      <c r="U506">
        <v>272.60300000000001</v>
      </c>
      <c r="V506">
        <v>272.60300000000001</v>
      </c>
      <c r="W506">
        <v>0</v>
      </c>
      <c r="X506">
        <v>5.4020664869721492E-2</v>
      </c>
      <c r="Y506">
        <v>1.4653265774878568</v>
      </c>
      <c r="Z506">
        <v>-0.57056208657712759</v>
      </c>
      <c r="AB506" s="3">
        <f t="shared" si="77"/>
        <v>2.7361764865720187E-3</v>
      </c>
      <c r="AC506" s="3">
        <f t="shared" si="78"/>
        <v>-7.0911813562397202E-4</v>
      </c>
      <c r="AD506" s="3">
        <f t="shared" si="79"/>
        <v>-1.2112278984400086E-2</v>
      </c>
      <c r="AE506" s="76">
        <f t="shared" si="80"/>
        <v>-2461.1904761904752</v>
      </c>
      <c r="AF506" s="76">
        <f t="shared" si="81"/>
        <v>-1739.2202380952385</v>
      </c>
      <c r="AG506" s="76">
        <f t="shared" si="82"/>
        <v>-5669.9233038348084</v>
      </c>
      <c r="AO506" s="5">
        <f t="shared" si="87"/>
        <v>-2.6913468089938729E-2</v>
      </c>
      <c r="AP506" s="5">
        <f t="shared" si="83"/>
        <v>0.52975849568635092</v>
      </c>
      <c r="AR506" s="5">
        <f t="shared" si="84"/>
        <v>-1.4591937271400957E-3</v>
      </c>
      <c r="AS506" s="5">
        <f t="shared" si="85"/>
        <v>-5.0985565630455865E-3</v>
      </c>
      <c r="AT506" s="5">
        <f t="shared" si="86"/>
        <v>8.1489304380442107E-3</v>
      </c>
    </row>
    <row r="507" spans="12:46" x14ac:dyDescent="0.25">
      <c r="L507" s="4">
        <v>44799.5</v>
      </c>
      <c r="M507">
        <v>89.04</v>
      </c>
      <c r="N507">
        <v>90.49</v>
      </c>
      <c r="O507">
        <v>88.06</v>
      </c>
      <c r="P507">
        <v>90.45</v>
      </c>
      <c r="Q507">
        <v>12405</v>
      </c>
      <c r="R507">
        <v>344057</v>
      </c>
      <c r="S507">
        <v>339.19600000000003</v>
      </c>
      <c r="T507">
        <v>339.19600000000003</v>
      </c>
      <c r="U507">
        <v>339.19600000000003</v>
      </c>
      <c r="V507">
        <v>339.19600000000003</v>
      </c>
      <c r="W507">
        <v>0</v>
      </c>
      <c r="X507">
        <v>2.7242152466367631E-2</v>
      </c>
      <c r="Y507">
        <v>-0.54472984723551932</v>
      </c>
      <c r="Z507">
        <v>-0.84395008387693415</v>
      </c>
      <c r="AB507" s="3">
        <f t="shared" si="77"/>
        <v>9.6136269542767411E-4</v>
      </c>
      <c r="AC507" s="3">
        <f t="shared" si="78"/>
        <v>-2.0759670885636128E-3</v>
      </c>
      <c r="AD507" s="3">
        <f t="shared" si="79"/>
        <v>-1.3449764818440596E-2</v>
      </c>
      <c r="AE507" s="76">
        <f t="shared" si="80"/>
        <v>-2254.2857142857138</v>
      </c>
      <c r="AF507" s="76">
        <f t="shared" si="81"/>
        <v>-1585.0892857142862</v>
      </c>
      <c r="AG507" s="76">
        <f t="shared" si="82"/>
        <v>-5474.7496839443738</v>
      </c>
      <c r="AO507" s="5">
        <f t="shared" si="87"/>
        <v>9.862385321100911E-3</v>
      </c>
      <c r="AP507" s="5">
        <f t="shared" si="83"/>
        <v>0.53133975723778404</v>
      </c>
      <c r="AR507" s="5">
        <f t="shared" si="84"/>
        <v>-1.7495963279056115E-3</v>
      </c>
      <c r="AS507" s="5">
        <f t="shared" si="85"/>
        <v>-5.1356131847104525E-3</v>
      </c>
      <c r="AT507" s="5">
        <f t="shared" si="86"/>
        <v>9.7112112950253904E-3</v>
      </c>
    </row>
    <row r="508" spans="12:46" x14ac:dyDescent="0.25">
      <c r="L508" s="4">
        <v>44798.5</v>
      </c>
      <c r="M508">
        <v>89.2</v>
      </c>
      <c r="N508">
        <v>90.66</v>
      </c>
      <c r="O508">
        <v>87.2</v>
      </c>
      <c r="P508">
        <v>88.5</v>
      </c>
      <c r="Q508">
        <v>15311</v>
      </c>
      <c r="R508">
        <v>344699</v>
      </c>
      <c r="S508">
        <v>321.41399999999999</v>
      </c>
      <c r="T508">
        <v>321.41399999999999</v>
      </c>
      <c r="U508">
        <v>321.41399999999999</v>
      </c>
      <c r="V508">
        <v>321.41399999999999</v>
      </c>
      <c r="W508">
        <v>0</v>
      </c>
      <c r="X508">
        <v>3.8444444444444378E-2</v>
      </c>
      <c r="Y508">
        <v>0.32221435999113063</v>
      </c>
      <c r="Z508">
        <v>-0.29967422014971479</v>
      </c>
      <c r="AB508" s="3">
        <f t="shared" si="77"/>
        <v>2.9933736795663898E-3</v>
      </c>
      <c r="AC508" s="3">
        <f t="shared" si="78"/>
        <v>-1.5825748363978709E-3</v>
      </c>
      <c r="AD508" s="3">
        <f t="shared" si="79"/>
        <v>-1.2062730733877432E-2</v>
      </c>
      <c r="AE508" s="76">
        <f t="shared" si="80"/>
        <v>-2258.8095238095248</v>
      </c>
      <c r="AF508" s="76">
        <f t="shared" si="81"/>
        <v>-1632.5297619047615</v>
      </c>
      <c r="AG508" s="76">
        <f t="shared" si="82"/>
        <v>-5306.5747998314382</v>
      </c>
      <c r="AO508" s="5">
        <f t="shared" si="87"/>
        <v>-1.3239787258119289E-2</v>
      </c>
      <c r="AP508" s="5">
        <f t="shared" si="83"/>
        <v>0.53164709678138744</v>
      </c>
      <c r="AR508" s="5">
        <f t="shared" si="84"/>
        <v>-2.1595252902880668E-3</v>
      </c>
      <c r="AS508" s="5">
        <f t="shared" si="85"/>
        <v>-5.2123932709239318E-3</v>
      </c>
      <c r="AT508" s="5">
        <f t="shared" si="86"/>
        <v>1.1179403480639838E-2</v>
      </c>
    </row>
    <row r="509" spans="12:46" x14ac:dyDescent="0.25">
      <c r="L509" s="4">
        <v>44797.5</v>
      </c>
      <c r="M509">
        <v>90</v>
      </c>
      <c r="N509">
        <v>91.39</v>
      </c>
      <c r="O509">
        <v>88.37</v>
      </c>
      <c r="P509">
        <v>89.65</v>
      </c>
      <c r="Q509">
        <v>16693</v>
      </c>
      <c r="R509">
        <v>346140</v>
      </c>
      <c r="S509">
        <v>292.14999999999998</v>
      </c>
      <c r="T509">
        <v>292.14999999999998</v>
      </c>
      <c r="U509">
        <v>292.14999999999998</v>
      </c>
      <c r="V509">
        <v>292.14999999999998</v>
      </c>
      <c r="W509">
        <v>0</v>
      </c>
      <c r="X509">
        <v>3.2645119446546272E-2</v>
      </c>
      <c r="Y509">
        <v>-0.13607311264906002</v>
      </c>
      <c r="Z509">
        <v>-2.3893375717645774E-2</v>
      </c>
      <c r="AB509" s="3">
        <f t="shared" si="77"/>
        <v>1.2155099080454132E-3</v>
      </c>
      <c r="AC509" s="3">
        <f t="shared" si="78"/>
        <v>-2.271756894008381E-3</v>
      </c>
      <c r="AD509" s="3">
        <f t="shared" si="79"/>
        <v>-1.275817185478835E-2</v>
      </c>
      <c r="AE509" s="76">
        <f t="shared" si="80"/>
        <v>-2357.9047619047597</v>
      </c>
      <c r="AF509" s="76">
        <f t="shared" si="81"/>
        <v>-1776.0357142857138</v>
      </c>
      <c r="AG509" s="76">
        <f t="shared" si="82"/>
        <v>-5406.0113780025276</v>
      </c>
      <c r="AO509" s="5">
        <f t="shared" si="87"/>
        <v>-5.4023635340460308E-3</v>
      </c>
      <c r="AP509" s="5">
        <f t="shared" si="83"/>
        <v>0.53145194610267243</v>
      </c>
      <c r="AR509" s="5">
        <f t="shared" si="84"/>
        <v>-2.5229256904129027E-3</v>
      </c>
      <c r="AS509" s="5">
        <f t="shared" si="85"/>
        <v>-5.2826551192475257E-3</v>
      </c>
      <c r="AT509" s="5">
        <f t="shared" si="86"/>
        <v>1.2628458330813386E-2</v>
      </c>
    </row>
    <row r="510" spans="12:46" x14ac:dyDescent="0.25">
      <c r="L510" s="4">
        <v>44796.5</v>
      </c>
      <c r="M510">
        <v>92.51</v>
      </c>
      <c r="N510">
        <v>94.19</v>
      </c>
      <c r="O510">
        <v>88.85</v>
      </c>
      <c r="P510">
        <v>89.8</v>
      </c>
      <c r="Q510">
        <v>20114</v>
      </c>
      <c r="R510">
        <v>345501</v>
      </c>
      <c r="S510">
        <v>269.04899999999998</v>
      </c>
      <c r="T510">
        <v>269.04899999999998</v>
      </c>
      <c r="U510">
        <v>269.04899999999998</v>
      </c>
      <c r="V510">
        <v>269.04899999999998</v>
      </c>
      <c r="W510">
        <v>0</v>
      </c>
      <c r="X510">
        <v>5.421319796954318E-2</v>
      </c>
      <c r="Y510">
        <v>1.5033860166345898</v>
      </c>
      <c r="Z510">
        <v>0.63545105165616789</v>
      </c>
      <c r="AB510" s="3">
        <f t="shared" si="77"/>
        <v>1.7726243278078091E-4</v>
      </c>
      <c r="AC510" s="3">
        <f t="shared" si="78"/>
        <v>-3.5472054813152562E-3</v>
      </c>
      <c r="AD510" s="3">
        <f t="shared" si="79"/>
        <v>-1.354442947718882E-2</v>
      </c>
      <c r="AE510" s="76">
        <f t="shared" si="80"/>
        <v>-2039.4285714285725</v>
      </c>
      <c r="AF510" s="76">
        <f t="shared" si="81"/>
        <v>-1826.4761904761908</v>
      </c>
      <c r="AG510" s="76">
        <f t="shared" si="82"/>
        <v>-5377.9983143699974</v>
      </c>
      <c r="AO510" s="5">
        <f t="shared" si="87"/>
        <v>-2.2014309301045681E-2</v>
      </c>
      <c r="AP510" s="5">
        <f t="shared" si="83"/>
        <v>0.53144692720836162</v>
      </c>
      <c r="AR510" s="5">
        <f t="shared" si="84"/>
        <v>-2.8780314667514739E-3</v>
      </c>
      <c r="AS510" s="5">
        <f t="shared" si="85"/>
        <v>-5.3426834026562009E-3</v>
      </c>
      <c r="AT510" s="5">
        <f t="shared" si="86"/>
        <v>1.4084086177320931E-2</v>
      </c>
    </row>
    <row r="511" spans="12:46" x14ac:dyDescent="0.25">
      <c r="L511" s="4">
        <v>44795.5</v>
      </c>
      <c r="M511">
        <v>98.5</v>
      </c>
      <c r="N511">
        <v>98.69</v>
      </c>
      <c r="O511">
        <v>90.85</v>
      </c>
      <c r="P511">
        <v>93.04</v>
      </c>
      <c r="Q511">
        <v>20608</v>
      </c>
      <c r="R511">
        <v>344491</v>
      </c>
      <c r="S511">
        <v>276.74799999999999</v>
      </c>
      <c r="T511">
        <v>276.74799999999999</v>
      </c>
      <c r="U511">
        <v>276.74799999999999</v>
      </c>
      <c r="V511">
        <v>276.74799999999999</v>
      </c>
      <c r="W511">
        <v>0</v>
      </c>
      <c r="X511">
        <v>8.1412253374870236E-2</v>
      </c>
      <c r="Y511">
        <v>3.461673750629132</v>
      </c>
      <c r="Z511">
        <v>0.73533082973107478</v>
      </c>
      <c r="AB511" s="3">
        <f t="shared" si="77"/>
        <v>2.9614641932085295E-4</v>
      </c>
      <c r="AC511" s="3">
        <f t="shared" si="78"/>
        <v>-4.4908711101356996E-3</v>
      </c>
      <c r="AD511" s="3">
        <f t="shared" si="79"/>
        <v>-1.4343020316874379E-2</v>
      </c>
      <c r="AE511" s="76">
        <f t="shared" si="80"/>
        <v>-1584.4761904761908</v>
      </c>
      <c r="AF511" s="76">
        <f t="shared" si="81"/>
        <v>-1754.4047619047597</v>
      </c>
      <c r="AG511" s="76">
        <f t="shared" si="82"/>
        <v>-5359.6076696165183</v>
      </c>
      <c r="AO511" s="5">
        <f t="shared" si="87"/>
        <v>-4.9686192468619252E-2</v>
      </c>
      <c r="AP511" s="5">
        <f t="shared" si="83"/>
        <v>0.53120759556301456</v>
      </c>
      <c r="AR511" s="5">
        <f t="shared" si="84"/>
        <v>-3.08160187677331E-3</v>
      </c>
      <c r="AS511" s="5">
        <f t="shared" si="85"/>
        <v>-5.299925012220652E-3</v>
      </c>
      <c r="AT511" s="5">
        <f t="shared" si="86"/>
        <v>1.5637295033157583E-2</v>
      </c>
    </row>
    <row r="512" spans="12:46" x14ac:dyDescent="0.25">
      <c r="L512" s="4">
        <v>44792.5</v>
      </c>
      <c r="M512">
        <v>96.3</v>
      </c>
      <c r="N512">
        <v>99.22</v>
      </c>
      <c r="O512">
        <v>95.6</v>
      </c>
      <c r="P512">
        <v>98.43</v>
      </c>
      <c r="Q512">
        <v>14807</v>
      </c>
      <c r="R512">
        <v>344306</v>
      </c>
      <c r="S512">
        <v>244.55</v>
      </c>
      <c r="T512">
        <v>244.55</v>
      </c>
      <c r="U512">
        <v>244.55</v>
      </c>
      <c r="V512">
        <v>244.55</v>
      </c>
      <c r="W512">
        <v>0</v>
      </c>
      <c r="X512">
        <v>3.7610389610389657E-2</v>
      </c>
      <c r="Y512">
        <v>0.27016643268351948</v>
      </c>
      <c r="Z512">
        <v>-0.39623099400000927</v>
      </c>
      <c r="AB512" s="3">
        <f t="shared" si="77"/>
        <v>-5.3267834911571027E-4</v>
      </c>
      <c r="AC512" s="3">
        <f t="shared" si="78"/>
        <v>-6.2734326238465948E-3</v>
      </c>
      <c r="AD512" s="3">
        <f t="shared" si="79"/>
        <v>-1.574088940928188E-2</v>
      </c>
      <c r="AE512" s="76">
        <f t="shared" si="80"/>
        <v>-646.76190476190459</v>
      </c>
      <c r="AF512" s="76">
        <f t="shared" si="81"/>
        <v>-1364.7321428571413</v>
      </c>
      <c r="AG512" s="76">
        <f t="shared" si="82"/>
        <v>-4959.8305941845756</v>
      </c>
      <c r="AO512" s="5">
        <f t="shared" si="87"/>
        <v>3.1283710895361284E-2</v>
      </c>
      <c r="AP512" s="5">
        <f t="shared" si="83"/>
        <v>0.52878665248581402</v>
      </c>
      <c r="AR512" s="5">
        <f t="shared" si="84"/>
        <v>-3.2656292023497402E-3</v>
      </c>
      <c r="AS512" s="5">
        <f t="shared" si="85"/>
        <v>-5.2415355279875619E-3</v>
      </c>
      <c r="AT512" s="5">
        <f t="shared" si="86"/>
        <v>1.7208416642829127E-2</v>
      </c>
    </row>
    <row r="513" spans="12:46" x14ac:dyDescent="0.25">
      <c r="L513" s="4">
        <v>44791.5</v>
      </c>
      <c r="M513">
        <v>96.25</v>
      </c>
      <c r="N513">
        <v>97.49</v>
      </c>
      <c r="O513">
        <v>92.7</v>
      </c>
      <c r="P513">
        <v>96.53</v>
      </c>
      <c r="Q513">
        <v>19873</v>
      </c>
      <c r="R513">
        <v>344597</v>
      </c>
      <c r="S513">
        <v>241.00399999999999</v>
      </c>
      <c r="T513">
        <v>241.00399999999999</v>
      </c>
      <c r="U513">
        <v>241.00399999999999</v>
      </c>
      <c r="V513">
        <v>241.00399999999999</v>
      </c>
      <c r="W513">
        <v>0</v>
      </c>
      <c r="X513">
        <v>5.1867893881970682E-2</v>
      </c>
      <c r="Y513">
        <v>1.3822300120590512</v>
      </c>
      <c r="Z513">
        <v>0.53580159841259423</v>
      </c>
      <c r="AB513" s="3">
        <f t="shared" si="77"/>
        <v>-1.9241146616488028E-3</v>
      </c>
      <c r="AC513" s="3">
        <f t="shared" si="78"/>
        <v>-7.0986507151843056E-3</v>
      </c>
      <c r="AD513" s="3">
        <f t="shared" si="79"/>
        <v>-1.6480536688101878E-2</v>
      </c>
      <c r="AE513" s="76">
        <f t="shared" si="80"/>
        <v>672.04761904761835</v>
      </c>
      <c r="AF513" s="76">
        <f t="shared" si="81"/>
        <v>-418.64285714285506</v>
      </c>
      <c r="AG513" s="76">
        <f t="shared" si="82"/>
        <v>-4071.190897597975</v>
      </c>
      <c r="AO513" s="5">
        <f t="shared" si="87"/>
        <v>5.0959557627669834E-3</v>
      </c>
      <c r="AP513" s="5">
        <f t="shared" si="83"/>
        <v>0.52824912054452422</v>
      </c>
      <c r="AR513" s="5">
        <f t="shared" si="84"/>
        <v>-3.3876575863437397E-3</v>
      </c>
      <c r="AS513" s="5">
        <f t="shared" si="85"/>
        <v>-5.1010200588600396E-3</v>
      </c>
      <c r="AT513" s="5">
        <f t="shared" si="86"/>
        <v>1.8862006255706665E-2</v>
      </c>
    </row>
    <row r="514" spans="12:46" x14ac:dyDescent="0.25">
      <c r="L514" s="4">
        <v>44790.5</v>
      </c>
      <c r="M514">
        <v>92.35</v>
      </c>
      <c r="N514">
        <v>96.44</v>
      </c>
      <c r="O514">
        <v>92.23</v>
      </c>
      <c r="P514">
        <v>96.35</v>
      </c>
      <c r="Q514">
        <v>18640</v>
      </c>
      <c r="R514">
        <v>342511</v>
      </c>
      <c r="S514">
        <v>225.83500000000001</v>
      </c>
      <c r="T514">
        <v>225.83500000000001</v>
      </c>
      <c r="U514">
        <v>225.83500000000001</v>
      </c>
      <c r="V514">
        <v>225.83500000000001</v>
      </c>
      <c r="W514">
        <v>0</v>
      </c>
      <c r="X514">
        <v>4.6741423337404178E-2</v>
      </c>
      <c r="Y514">
        <v>0.94898740669547321</v>
      </c>
      <c r="Z514">
        <v>0.25300122296901989</v>
      </c>
      <c r="AB514" s="3">
        <f t="shared" si="77"/>
        <v>5.0162333287445682E-5</v>
      </c>
      <c r="AC514" s="3">
        <f t="shared" si="78"/>
        <v>-7.1265608530020896E-3</v>
      </c>
      <c r="AD514" s="3">
        <f t="shared" si="79"/>
        <v>-1.6148552194661721E-2</v>
      </c>
      <c r="AE514" s="76">
        <f t="shared" si="80"/>
        <v>2695.3809523809541</v>
      </c>
      <c r="AF514" s="76">
        <f t="shared" si="81"/>
        <v>714.69642857143117</v>
      </c>
      <c r="AG514" s="76">
        <f t="shared" si="82"/>
        <v>-3082.7067003792654</v>
      </c>
      <c r="AO514" s="5">
        <f t="shared" si="87"/>
        <v>2.398134784056857E-2</v>
      </c>
      <c r="AP514" s="5">
        <f t="shared" si="83"/>
        <v>0.53090037036390392</v>
      </c>
      <c r="AR514" s="5">
        <f t="shared" si="84"/>
        <v>-3.4556607048195076E-3</v>
      </c>
      <c r="AS514" s="5">
        <f t="shared" si="85"/>
        <v>-4.906677014944294E-3</v>
      </c>
      <c r="AT514" s="5">
        <f t="shared" si="86"/>
        <v>2.0506049177038244E-2</v>
      </c>
    </row>
    <row r="515" spans="12:46" x14ac:dyDescent="0.25">
      <c r="L515" s="4">
        <v>44789.5</v>
      </c>
      <c r="M515">
        <v>90.07</v>
      </c>
      <c r="N515">
        <v>92.66</v>
      </c>
      <c r="O515">
        <v>90.07</v>
      </c>
      <c r="P515">
        <v>92.47</v>
      </c>
      <c r="Q515">
        <v>18193</v>
      </c>
      <c r="R515">
        <v>339942</v>
      </c>
      <c r="S515">
        <v>225.91399999999999</v>
      </c>
      <c r="T515">
        <v>225.91399999999999</v>
      </c>
      <c r="U515">
        <v>225.91399999999999</v>
      </c>
      <c r="V515">
        <v>225.91399999999999</v>
      </c>
      <c r="W515">
        <v>0</v>
      </c>
      <c r="X515">
        <v>2.8987129266927852E-2</v>
      </c>
      <c r="Y515">
        <v>-0.43131553910012876</v>
      </c>
      <c r="Z515">
        <v>0.16961052806916938</v>
      </c>
      <c r="AB515" s="3">
        <f t="shared" si="77"/>
        <v>-8.9809943186362762E-4</v>
      </c>
      <c r="AC515" s="3">
        <f t="shared" si="78"/>
        <v>-8.0438660276271404E-3</v>
      </c>
      <c r="AD515" s="3">
        <f t="shared" si="79"/>
        <v>-1.7172495541052504E-2</v>
      </c>
      <c r="AE515" s="76">
        <f t="shared" si="80"/>
        <v>3124.8095238095248</v>
      </c>
      <c r="AF515" s="76">
        <f t="shared" si="81"/>
        <v>1006.6785714285725</v>
      </c>
      <c r="AG515" s="76">
        <f t="shared" si="82"/>
        <v>-3041.6182048040428</v>
      </c>
      <c r="AO515" s="5">
        <f t="shared" si="87"/>
        <v>1.7740112994350205E-2</v>
      </c>
      <c r="AP515" s="5">
        <f t="shared" si="83"/>
        <v>0.53136727743545975</v>
      </c>
      <c r="AR515" s="5">
        <f t="shared" si="84"/>
        <v>-3.8848309773196199E-3</v>
      </c>
      <c r="AS515" s="5">
        <f t="shared" si="85"/>
        <v>-5.0004249134439904E-3</v>
      </c>
      <c r="AT515" s="5">
        <f t="shared" si="86"/>
        <v>2.1873008505362224E-2</v>
      </c>
    </row>
    <row r="516" spans="12:46" x14ac:dyDescent="0.25">
      <c r="L516" s="4">
        <v>44788.5</v>
      </c>
      <c r="M516">
        <v>89.35</v>
      </c>
      <c r="N516">
        <v>90.87</v>
      </c>
      <c r="O516">
        <v>88.5</v>
      </c>
      <c r="P516">
        <v>90.68</v>
      </c>
      <c r="Q516">
        <v>14695</v>
      </c>
      <c r="R516">
        <v>339182</v>
      </c>
      <c r="S516">
        <v>220.11</v>
      </c>
      <c r="T516">
        <v>220.11</v>
      </c>
      <c r="U516">
        <v>220.11</v>
      </c>
      <c r="V516">
        <v>220.11</v>
      </c>
      <c r="W516">
        <v>0</v>
      </c>
      <c r="X516">
        <v>2.7272727272727323E-2</v>
      </c>
      <c r="Y516">
        <v>-0.56215212448772645</v>
      </c>
      <c r="Z516">
        <v>-0.44491084933562408</v>
      </c>
      <c r="AB516" s="3">
        <f t="shared" si="77"/>
        <v>-1.5409113386925903E-3</v>
      </c>
      <c r="AC516" s="3">
        <f t="shared" si="78"/>
        <v>-8.7912670505927333E-3</v>
      </c>
      <c r="AD516" s="3">
        <f t="shared" si="79"/>
        <v>-1.8005631855176497E-2</v>
      </c>
      <c r="AE516" s="76">
        <f t="shared" si="80"/>
        <v>2732.9523809523798</v>
      </c>
      <c r="AF516" s="76">
        <f t="shared" si="81"/>
        <v>653.23809523809541</v>
      </c>
      <c r="AG516" s="76">
        <f t="shared" si="82"/>
        <v>-3533.4673409186689</v>
      </c>
      <c r="AO516" s="5">
        <f t="shared" si="87"/>
        <v>1.9350380096751982E-2</v>
      </c>
      <c r="AP516" s="5">
        <f t="shared" si="83"/>
        <v>0.53218601495128526</v>
      </c>
      <c r="AR516" s="5">
        <f t="shared" si="84"/>
        <v>-4.2651445748321803E-3</v>
      </c>
      <c r="AS516" s="5">
        <f t="shared" si="85"/>
        <v>-5.0786165133230865E-3</v>
      </c>
      <c r="AT516" s="5">
        <f t="shared" si="86"/>
        <v>2.3257105961187241E-2</v>
      </c>
    </row>
    <row r="517" spans="12:46" x14ac:dyDescent="0.25">
      <c r="L517" s="4">
        <v>44785.5</v>
      </c>
      <c r="M517">
        <v>86.9</v>
      </c>
      <c r="N517">
        <v>89.25</v>
      </c>
      <c r="O517">
        <v>86.82</v>
      </c>
      <c r="P517">
        <v>89.07</v>
      </c>
      <c r="Q517">
        <v>16545</v>
      </c>
      <c r="R517">
        <v>338250</v>
      </c>
      <c r="S517">
        <v>206.108</v>
      </c>
      <c r="T517">
        <v>206.108</v>
      </c>
      <c r="U517">
        <v>206.108</v>
      </c>
      <c r="V517">
        <v>206.108</v>
      </c>
      <c r="W517">
        <v>0</v>
      </c>
      <c r="X517">
        <v>2.8262386601535319E-2</v>
      </c>
      <c r="Y517">
        <v>-0.49617085280467793</v>
      </c>
      <c r="Z517">
        <v>-0.11315861180849157</v>
      </c>
      <c r="AB517" s="3">
        <f t="shared" si="77"/>
        <v>-3.0147336836807287E-3</v>
      </c>
      <c r="AC517" s="3">
        <f t="shared" si="78"/>
        <v>-9.1823696855716994E-3</v>
      </c>
      <c r="AD517" s="3">
        <f t="shared" si="79"/>
        <v>-1.8103764682686881E-2</v>
      </c>
      <c r="AE517" s="76">
        <f t="shared" si="80"/>
        <v>2541.0952380952367</v>
      </c>
      <c r="AF517" s="76">
        <f t="shared" si="81"/>
        <v>528.36904761904589</v>
      </c>
      <c r="AG517" s="76">
        <f t="shared" si="82"/>
        <v>-3694.1508638853775</v>
      </c>
      <c r="AO517" s="5">
        <f t="shared" si="87"/>
        <v>1.7223198594024592E-2</v>
      </c>
      <c r="AP517" s="5">
        <f t="shared" si="83"/>
        <v>0.53194552731607525</v>
      </c>
      <c r="AR517" s="5">
        <f t="shared" si="84"/>
        <v>-4.685197195065216E-3</v>
      </c>
      <c r="AS517" s="5">
        <f t="shared" si="85"/>
        <v>-5.180579109608785E-3</v>
      </c>
      <c r="AT517" s="5">
        <f t="shared" si="86"/>
        <v>2.4642348933560876E-2</v>
      </c>
    </row>
    <row r="518" spans="12:46" x14ac:dyDescent="0.25">
      <c r="L518" s="4">
        <v>44784.5</v>
      </c>
      <c r="M518">
        <v>85.98</v>
      </c>
      <c r="N518">
        <v>88.03</v>
      </c>
      <c r="O518">
        <v>85.35</v>
      </c>
      <c r="P518">
        <v>87.06</v>
      </c>
      <c r="Q518">
        <v>15574</v>
      </c>
      <c r="R518">
        <v>337895</v>
      </c>
      <c r="S518">
        <v>208.11</v>
      </c>
      <c r="T518">
        <v>208.11</v>
      </c>
      <c r="U518">
        <v>208.11</v>
      </c>
      <c r="V518">
        <v>208.11</v>
      </c>
      <c r="W518">
        <v>0</v>
      </c>
      <c r="X518">
        <v>3.1345029239766162E-2</v>
      </c>
      <c r="Y518">
        <v>-0.28056956135115479</v>
      </c>
      <c r="Z518">
        <v>-0.30041584547246819</v>
      </c>
      <c r="AB518" s="3">
        <f t="shared" si="77"/>
        <v>-4.8896374705520128E-3</v>
      </c>
      <c r="AC518" s="3">
        <f t="shared" si="78"/>
        <v>-1.0026405510195156E-2</v>
      </c>
      <c r="AD518" s="3">
        <f t="shared" si="79"/>
        <v>-1.8734203329790113E-2</v>
      </c>
      <c r="AE518" s="76">
        <f t="shared" si="80"/>
        <v>2272.2857142857138</v>
      </c>
      <c r="AF518" s="76">
        <f t="shared" si="81"/>
        <v>293.08928571428623</v>
      </c>
      <c r="AG518" s="76">
        <f t="shared" si="82"/>
        <v>-3876.9974715549943</v>
      </c>
      <c r="AO518" s="5">
        <f t="shared" si="87"/>
        <v>1.305637982195839E-2</v>
      </c>
      <c r="AP518" s="5">
        <f t="shared" si="83"/>
        <v>0.53196525534699413</v>
      </c>
      <c r="AR518" s="5">
        <f t="shared" si="84"/>
        <v>-5.0865919026688022E-3</v>
      </c>
      <c r="AS518" s="5">
        <f t="shared" si="85"/>
        <v>-5.2677514301875394E-3</v>
      </c>
      <c r="AT518" s="5">
        <f t="shared" si="86"/>
        <v>2.6033730625789508E-2</v>
      </c>
    </row>
    <row r="519" spans="12:46" x14ac:dyDescent="0.25">
      <c r="L519" s="4">
        <v>44783.5</v>
      </c>
      <c r="M519">
        <v>85.5</v>
      </c>
      <c r="N519">
        <v>86.3</v>
      </c>
      <c r="O519">
        <v>84.25</v>
      </c>
      <c r="P519">
        <v>85.98</v>
      </c>
      <c r="Q519">
        <v>14481</v>
      </c>
      <c r="R519">
        <v>337158</v>
      </c>
      <c r="S519">
        <v>205.36699999999999</v>
      </c>
      <c r="T519">
        <v>205.36699999999999</v>
      </c>
      <c r="U519">
        <v>205.36699999999999</v>
      </c>
      <c r="V519">
        <v>205.36699999999999</v>
      </c>
      <c r="W519">
        <v>0</v>
      </c>
      <c r="X519">
        <v>2.4352577809455891E-2</v>
      </c>
      <c r="Y519">
        <v>-0.77589286022269932</v>
      </c>
      <c r="Z519">
        <v>-0.51312137712214012</v>
      </c>
      <c r="AB519" s="3">
        <f t="shared" si="77"/>
        <v>-4.8788045035966683E-3</v>
      </c>
      <c r="AC519" s="3">
        <f t="shared" si="78"/>
        <v>-9.8583944164989425E-3</v>
      </c>
      <c r="AD519" s="3">
        <f t="shared" si="79"/>
        <v>-1.8505033386459823E-2</v>
      </c>
      <c r="AE519" s="76">
        <f t="shared" si="80"/>
        <v>2114.2380952380954</v>
      </c>
      <c r="AF519" s="76">
        <f t="shared" si="81"/>
        <v>79.57142857143117</v>
      </c>
      <c r="AG519" s="76">
        <f t="shared" si="82"/>
        <v>-4058.1378002528436</v>
      </c>
      <c r="AO519" s="5">
        <f t="shared" si="87"/>
        <v>3.573555687909436E-3</v>
      </c>
      <c r="AP519" s="5">
        <f t="shared" si="83"/>
        <v>0.53186543450163437</v>
      </c>
      <c r="AR519" s="5">
        <f t="shared" si="84"/>
        <v>-5.4754776780606695E-3</v>
      </c>
      <c r="AS519" s="5">
        <f t="shared" si="85"/>
        <v>-5.3351622782605856E-3</v>
      </c>
      <c r="AT519" s="5">
        <f t="shared" si="86"/>
        <v>2.7413631740532796E-2</v>
      </c>
    </row>
    <row r="520" spans="12:46" x14ac:dyDescent="0.25">
      <c r="L520" s="4">
        <v>44782.5</v>
      </c>
      <c r="M520">
        <v>84.18</v>
      </c>
      <c r="N520">
        <v>86.08</v>
      </c>
      <c r="O520">
        <v>83.95</v>
      </c>
      <c r="P520">
        <v>85.5</v>
      </c>
      <c r="Q520">
        <v>12994</v>
      </c>
      <c r="R520">
        <v>337126</v>
      </c>
      <c r="S520">
        <v>192.184</v>
      </c>
      <c r="T520">
        <v>192.184</v>
      </c>
      <c r="U520">
        <v>192.184</v>
      </c>
      <c r="V520">
        <v>192.184</v>
      </c>
      <c r="W520">
        <v>0</v>
      </c>
      <c r="X520">
        <v>2.505882352941171E-2</v>
      </c>
      <c r="Y520">
        <v>-0.71463857497256844</v>
      </c>
      <c r="Z520">
        <v>-0.78142232087456198</v>
      </c>
      <c r="AB520" s="3">
        <f t="shared" si="77"/>
        <v>-4.3242022077578379E-3</v>
      </c>
      <c r="AC520" s="3">
        <f t="shared" si="78"/>
        <v>-1.0108587456108029E-2</v>
      </c>
      <c r="AD520" s="3">
        <f t="shared" si="79"/>
        <v>-1.7983102217866934E-2</v>
      </c>
      <c r="AE520" s="76">
        <f t="shared" si="80"/>
        <v>2240.9523809523816</v>
      </c>
      <c r="AF520" s="76">
        <f t="shared" si="81"/>
        <v>71.119047619049525</v>
      </c>
      <c r="AG520" s="76">
        <f t="shared" si="82"/>
        <v>-3985.5061104087654</v>
      </c>
      <c r="AO520" s="5">
        <f t="shared" si="87"/>
        <v>3.5863717872085732E-3</v>
      </c>
      <c r="AP520" s="5">
        <f t="shared" si="83"/>
        <v>0.53202827587924495</v>
      </c>
      <c r="AR520" s="5">
        <f t="shared" si="84"/>
        <v>-5.8791034488179239E-3</v>
      </c>
      <c r="AS520" s="5">
        <f t="shared" si="85"/>
        <v>-5.3986369065497364E-3</v>
      </c>
      <c r="AT520" s="5">
        <f t="shared" si="86"/>
        <v>2.8798884386851409E-2</v>
      </c>
    </row>
    <row r="521" spans="12:46" x14ac:dyDescent="0.25">
      <c r="L521" s="4">
        <v>44781.5</v>
      </c>
      <c r="M521">
        <v>85</v>
      </c>
      <c r="N521">
        <v>85.5</v>
      </c>
      <c r="O521">
        <v>83.65</v>
      </c>
      <c r="P521">
        <v>84.52</v>
      </c>
      <c r="Q521">
        <v>12976</v>
      </c>
      <c r="R521">
        <v>335556</v>
      </c>
      <c r="S521">
        <v>193.05500000000001</v>
      </c>
      <c r="T521">
        <v>193.05500000000001</v>
      </c>
      <c r="U521">
        <v>193.05500000000001</v>
      </c>
      <c r="V521">
        <v>193.05500000000001</v>
      </c>
      <c r="W521">
        <v>0</v>
      </c>
      <c r="X521">
        <v>2.1942830032024602E-2</v>
      </c>
      <c r="Y521">
        <v>-0.92391869946088878</v>
      </c>
      <c r="Z521">
        <v>-0.80574177571106365</v>
      </c>
      <c r="AB521" s="3">
        <f t="shared" ref="AB521:AB584" si="88">AVERAGEA(X521:X541)-AVERAGE(X542:X562)</f>
        <v>-4.9366593843295468E-3</v>
      </c>
      <c r="AC521" s="3">
        <f t="shared" ref="AC521:AC584" si="89">AVERAGEA(X521:X541)-AVERAGE(X542:X597)</f>
        <v>-1.0676145432606605E-2</v>
      </c>
      <c r="AD521" s="3">
        <f t="shared" ref="AD521:AD584" si="90">AVERAGEA(X521:X541)-AVERAGE(X542:X654)</f>
        <v>-1.8394690527887541E-2</v>
      </c>
      <c r="AE521" s="76">
        <f t="shared" ref="AE521:AE584" si="91">AVERAGEA(Q521:Q541)-AVERAGE(Q542:Q562)</f>
        <v>2046.476190476189</v>
      </c>
      <c r="AF521" s="76">
        <f t="shared" ref="AF521:AF584" si="92">AVERAGEA(Q521:Q541)-AVERAGE(Q542:Q597)</f>
        <v>-167.27380952380918</v>
      </c>
      <c r="AG521" s="76">
        <f t="shared" ref="AG521:AG584" si="93">AVERAGEA(Q521:Q541)-AVERAGE(Q542:Q654)</f>
        <v>-4289.5250737463139</v>
      </c>
      <c r="AO521" s="5">
        <f t="shared" si="87"/>
        <v>1.7964071856288106E-3</v>
      </c>
      <c r="AP521" s="5">
        <f t="shared" ref="AP521:AP584" si="94">_xlfn.STDEV.S(AO521:AO780)*SQRT(252)</f>
        <v>0.53212905164599111</v>
      </c>
      <c r="AR521" s="5">
        <f t="shared" ref="AR521:AR584" si="95">IFERROR(AVERAGEA(AP521:AP541)-AVERAGE(AP542:AP562),"")</f>
        <v>-6.286697871213609E-3</v>
      </c>
      <c r="AS521" s="5">
        <f t="shared" ref="AS521:AS584" si="96">IFERROR(AVERAGEA(AP521:AP541)-AVERAGE(AP542:AP597),"")</f>
        <v>-5.4412680041896477E-3</v>
      </c>
      <c r="AT521" s="5">
        <f t="shared" ref="AT521:AT584" si="97">IFERROR(AVERAGEA(AP521:AP541)-AVERAGE(AP542:AP654),"")</f>
        <v>3.0165835603147229E-2</v>
      </c>
    </row>
    <row r="522" spans="12:46" x14ac:dyDescent="0.25">
      <c r="L522" s="4">
        <v>44778.5</v>
      </c>
      <c r="M522">
        <v>84.31</v>
      </c>
      <c r="N522">
        <v>85.45</v>
      </c>
      <c r="O522">
        <v>83.5</v>
      </c>
      <c r="P522">
        <v>85.12</v>
      </c>
      <c r="Q522">
        <v>12353</v>
      </c>
      <c r="R522">
        <v>334527</v>
      </c>
      <c r="S522">
        <v>196.32</v>
      </c>
      <c r="T522">
        <v>196.32</v>
      </c>
      <c r="U522">
        <v>196.32</v>
      </c>
      <c r="V522">
        <v>196.32</v>
      </c>
      <c r="W522">
        <v>0</v>
      </c>
      <c r="X522">
        <v>2.3325358851674676E-2</v>
      </c>
      <c r="Y522">
        <v>-0.86230826956582163</v>
      </c>
      <c r="Z522">
        <v>-0.93398015231070186</v>
      </c>
      <c r="AB522" s="3">
        <f t="shared" si="88"/>
        <v>-4.8860068782900327E-3</v>
      </c>
      <c r="AC522" s="3">
        <f t="shared" si="89"/>
        <v>-1.0307497626204063E-2</v>
      </c>
      <c r="AD522" s="3">
        <f t="shared" si="90"/>
        <v>-1.8091817426198472E-2</v>
      </c>
      <c r="AE522" s="76">
        <f t="shared" si="91"/>
        <v>1822.5714285714312</v>
      </c>
      <c r="AF522" s="76">
        <f t="shared" si="92"/>
        <v>-134.57142857142753</v>
      </c>
      <c r="AG522" s="76">
        <f t="shared" si="93"/>
        <v>-4316.9633375474077</v>
      </c>
      <c r="AO522" s="5">
        <f t="shared" ref="AO522:AO585" si="98">IFERROR((O522-O523)/O523,"")</f>
        <v>2.6416906820364897E-3</v>
      </c>
      <c r="AP522" s="5">
        <f t="shared" si="94"/>
        <v>0.53216221458565327</v>
      </c>
      <c r="AR522" s="5">
        <f t="shared" si="95"/>
        <v>-6.6527995000260631E-3</v>
      </c>
      <c r="AS522" s="5">
        <f t="shared" si="96"/>
        <v>-5.4571204618805158E-3</v>
      </c>
      <c r="AT522" s="5">
        <f t="shared" si="97"/>
        <v>3.1533333612800418E-2</v>
      </c>
    </row>
    <row r="523" spans="12:46" x14ac:dyDescent="0.25">
      <c r="L523" s="4">
        <v>44777.5</v>
      </c>
      <c r="M523">
        <v>83.6</v>
      </c>
      <c r="N523">
        <v>84.85</v>
      </c>
      <c r="O523">
        <v>83.28</v>
      </c>
      <c r="P523">
        <v>84.4</v>
      </c>
      <c r="Q523">
        <v>17586</v>
      </c>
      <c r="R523">
        <v>333895</v>
      </c>
      <c r="S523">
        <v>199.24799999999999</v>
      </c>
      <c r="T523">
        <v>199.24799999999999</v>
      </c>
      <c r="U523">
        <v>199.24799999999999</v>
      </c>
      <c r="V523">
        <v>199.24799999999999</v>
      </c>
      <c r="W523">
        <v>0</v>
      </c>
      <c r="X523">
        <v>1.9186117560796689E-2</v>
      </c>
      <c r="Y523">
        <v>-1.1492754279512962</v>
      </c>
      <c r="Z523">
        <v>-0.10667487982810446</v>
      </c>
      <c r="AB523" s="3">
        <f t="shared" si="88"/>
        <v>-4.5652751883457701E-3</v>
      </c>
      <c r="AC523" s="3">
        <f t="shared" si="89"/>
        <v>-1.122856729945465E-2</v>
      </c>
      <c r="AD523" s="3">
        <f t="shared" si="90"/>
        <v>-1.7548303958323477E-2</v>
      </c>
      <c r="AE523" s="76">
        <f t="shared" si="91"/>
        <v>1325.5714285714275</v>
      </c>
      <c r="AF523" s="76">
        <f t="shared" si="92"/>
        <v>-290.88690476190459</v>
      </c>
      <c r="AG523" s="76">
        <f t="shared" si="93"/>
        <v>-4218.8263801095636</v>
      </c>
      <c r="AO523" s="5">
        <f t="shared" si="98"/>
        <v>1.9963257807715802E-2</v>
      </c>
      <c r="AP523" s="5">
        <f t="shared" si="94"/>
        <v>0.53272227564426211</v>
      </c>
      <c r="AR523" s="5">
        <f t="shared" si="95"/>
        <v>-6.9364044376991618E-3</v>
      </c>
      <c r="AS523" s="5">
        <f t="shared" si="96"/>
        <v>-5.3494414034022109E-3</v>
      </c>
      <c r="AT523" s="5">
        <f t="shared" si="97"/>
        <v>3.2950784213262807E-2</v>
      </c>
    </row>
    <row r="524" spans="12:46" x14ac:dyDescent="0.25">
      <c r="L524" s="4">
        <v>44776.5</v>
      </c>
      <c r="M524">
        <v>81.83</v>
      </c>
      <c r="N524">
        <v>84.1</v>
      </c>
      <c r="O524">
        <v>81.650000000000006</v>
      </c>
      <c r="P524">
        <v>83.82</v>
      </c>
      <c r="Q524">
        <v>14085</v>
      </c>
      <c r="R524">
        <v>336611</v>
      </c>
      <c r="S524">
        <v>199.19499999999999</v>
      </c>
      <c r="T524">
        <v>199.19499999999999</v>
      </c>
      <c r="U524">
        <v>199.19499999999999</v>
      </c>
      <c r="V524">
        <v>199.19499999999999</v>
      </c>
      <c r="W524">
        <v>0</v>
      </c>
      <c r="X524">
        <v>3.0567685589519507E-2</v>
      </c>
      <c r="Y524">
        <v>-0.46584360137055097</v>
      </c>
      <c r="Z524">
        <v>-0.68952349300491012</v>
      </c>
      <c r="AB524" s="3">
        <f t="shared" si="88"/>
        <v>-4.5608375793714725E-3</v>
      </c>
      <c r="AC524" s="3">
        <f t="shared" si="89"/>
        <v>-1.0977622415504477E-2</v>
      </c>
      <c r="AD524" s="3">
        <f t="shared" si="90"/>
        <v>-1.7349149820873599E-2</v>
      </c>
      <c r="AE524" s="76">
        <f t="shared" si="91"/>
        <v>925.04761904762199</v>
      </c>
      <c r="AF524" s="76">
        <f t="shared" si="92"/>
        <v>-551.49404761904589</v>
      </c>
      <c r="AG524" s="76">
        <f t="shared" si="93"/>
        <v>-4449.7581120943942</v>
      </c>
      <c r="AO524" s="5">
        <f t="shared" si="98"/>
        <v>2.523857358111508E-2</v>
      </c>
      <c r="AP524" s="5">
        <f t="shared" si="94"/>
        <v>0.5324740292014063</v>
      </c>
      <c r="AR524" s="5">
        <f t="shared" si="95"/>
        <v>-7.1496970476018218E-3</v>
      </c>
      <c r="AS524" s="5">
        <f t="shared" si="96"/>
        <v>-5.2147001147223593E-3</v>
      </c>
      <c r="AT524" s="5">
        <f t="shared" si="97"/>
        <v>3.4391637124202012E-2</v>
      </c>
    </row>
    <row r="525" spans="12:46" x14ac:dyDescent="0.25">
      <c r="L525" s="4">
        <v>44775.5</v>
      </c>
      <c r="M525">
        <v>80.150000000000006</v>
      </c>
      <c r="N525">
        <v>82.25</v>
      </c>
      <c r="O525">
        <v>79.64</v>
      </c>
      <c r="P525">
        <v>81.98</v>
      </c>
      <c r="Q525">
        <v>19579</v>
      </c>
      <c r="R525">
        <v>334972</v>
      </c>
      <c r="S525">
        <v>205.17400000000001</v>
      </c>
      <c r="T525">
        <v>205.17400000000001</v>
      </c>
      <c r="U525">
        <v>205.17400000000001</v>
      </c>
      <c r="V525">
        <v>205.17400000000001</v>
      </c>
      <c r="W525">
        <v>0</v>
      </c>
      <c r="X525">
        <v>3.3248407643312092E-2</v>
      </c>
      <c r="Y525">
        <v>-0.30654746763720292</v>
      </c>
      <c r="Z525">
        <v>0.17654226044099147</v>
      </c>
      <c r="AB525" s="3">
        <f t="shared" si="88"/>
        <v>-6.5658365925200662E-3</v>
      </c>
      <c r="AC525" s="3">
        <f t="shared" si="89"/>
        <v>-1.1205776145831139E-2</v>
      </c>
      <c r="AD525" s="3">
        <f t="shared" si="90"/>
        <v>-1.7382604572625561E-2</v>
      </c>
      <c r="AE525" s="76">
        <f t="shared" si="91"/>
        <v>878.33333333333576</v>
      </c>
      <c r="AF525" s="76">
        <f t="shared" si="92"/>
        <v>-255.97619047619082</v>
      </c>
      <c r="AG525" s="76">
        <f t="shared" si="93"/>
        <v>-4479.3333333333321</v>
      </c>
      <c r="AO525" s="5">
        <f t="shared" si="98"/>
        <v>1.9718309859155011E-2</v>
      </c>
      <c r="AP525" s="5">
        <f t="shared" si="94"/>
        <v>0.53198531399228688</v>
      </c>
      <c r="AR525" s="5">
        <f t="shared" si="95"/>
        <v>-7.4263928794231493E-3</v>
      </c>
      <c r="AS525" s="5">
        <f t="shared" si="96"/>
        <v>-5.0579250572244661E-3</v>
      </c>
      <c r="AT525" s="5">
        <f t="shared" si="97"/>
        <v>3.5844831616420214E-2</v>
      </c>
    </row>
    <row r="526" spans="12:46" x14ac:dyDescent="0.25">
      <c r="L526" s="4">
        <v>44774.5</v>
      </c>
      <c r="M526">
        <v>78.5</v>
      </c>
      <c r="N526">
        <v>80.87</v>
      </c>
      <c r="O526">
        <v>78.099999999999994</v>
      </c>
      <c r="P526">
        <v>80.63</v>
      </c>
      <c r="Q526">
        <v>11866</v>
      </c>
      <c r="R526">
        <v>337771</v>
      </c>
      <c r="S526">
        <v>200.79400000000001</v>
      </c>
      <c r="T526">
        <v>200.79400000000001</v>
      </c>
      <c r="U526">
        <v>200.79400000000001</v>
      </c>
      <c r="V526">
        <v>200.79400000000001</v>
      </c>
      <c r="W526">
        <v>0</v>
      </c>
      <c r="X526">
        <v>3.5081053698075106E-2</v>
      </c>
      <c r="Y526">
        <v>-0.22279415702081837</v>
      </c>
      <c r="Z526">
        <v>-1.0372902628343577</v>
      </c>
      <c r="AB526" s="3">
        <f t="shared" si="88"/>
        <v>-4.9766094122029522E-3</v>
      </c>
      <c r="AC526" s="3">
        <f t="shared" si="89"/>
        <v>-1.076104923850859E-2</v>
      </c>
      <c r="AD526" s="3">
        <f t="shared" si="90"/>
        <v>-1.6999439835420023E-2</v>
      </c>
      <c r="AE526" s="76">
        <f t="shared" si="91"/>
        <v>1064.5238095238092</v>
      </c>
      <c r="AF526" s="76">
        <f t="shared" si="92"/>
        <v>-269.875</v>
      </c>
      <c r="AG526" s="76">
        <f t="shared" si="93"/>
        <v>-4867.3868520859687</v>
      </c>
      <c r="AO526" s="5">
        <f t="shared" si="98"/>
        <v>7.2220789270052623E-3</v>
      </c>
      <c r="AP526" s="5">
        <f t="shared" si="94"/>
        <v>0.53191344913102279</v>
      </c>
      <c r="AR526" s="5">
        <f t="shared" si="95"/>
        <v>-6.8075232025077703E-3</v>
      </c>
      <c r="AS526" s="5">
        <f t="shared" si="96"/>
        <v>-4.3800185495328492E-3</v>
      </c>
      <c r="AT526" s="5">
        <f t="shared" si="97"/>
        <v>3.7750996836174E-2</v>
      </c>
    </row>
    <row r="527" spans="12:46" x14ac:dyDescent="0.25">
      <c r="L527" s="4">
        <v>44771.5</v>
      </c>
      <c r="M527">
        <v>78.959999999999994</v>
      </c>
      <c r="N527">
        <v>79.5</v>
      </c>
      <c r="O527">
        <v>77.540000000000006</v>
      </c>
      <c r="P527">
        <v>78.67</v>
      </c>
      <c r="Q527">
        <v>18602</v>
      </c>
      <c r="R527">
        <v>336994</v>
      </c>
      <c r="S527">
        <v>190.91499999999999</v>
      </c>
      <c r="T527">
        <v>190.91499999999999</v>
      </c>
      <c r="U527">
        <v>190.91499999999999</v>
      </c>
      <c r="V527">
        <v>190.91499999999999</v>
      </c>
      <c r="W527">
        <v>0</v>
      </c>
      <c r="X527">
        <v>2.5704918032786805E-2</v>
      </c>
      <c r="Y527">
        <v>-0.78485083386475563</v>
      </c>
      <c r="Z527">
        <v>2.9603336913037084E-2</v>
      </c>
      <c r="AB527" s="3">
        <f t="shared" si="88"/>
        <v>-2.5820208378448534E-3</v>
      </c>
      <c r="AC527" s="3">
        <f t="shared" si="89"/>
        <v>-9.1102123753090888E-3</v>
      </c>
      <c r="AD527" s="3">
        <f t="shared" si="90"/>
        <v>-1.5718026107633773E-2</v>
      </c>
      <c r="AE527" s="76">
        <f t="shared" si="91"/>
        <v>1841.2380952380954</v>
      </c>
      <c r="AF527" s="76">
        <f t="shared" si="92"/>
        <v>87.416666666667879</v>
      </c>
      <c r="AG527" s="76">
        <f t="shared" si="93"/>
        <v>-4650.9363674673405</v>
      </c>
      <c r="AO527" s="5">
        <f t="shared" si="98"/>
        <v>1.9324306559747775E-2</v>
      </c>
      <c r="AP527" s="5">
        <f t="shared" si="94"/>
        <v>0.53189866107113115</v>
      </c>
      <c r="AR527" s="5">
        <f t="shared" si="95"/>
        <v>-6.2338888048357743E-3</v>
      </c>
      <c r="AS527" s="5">
        <f t="shared" si="96"/>
        <v>-3.7215799681905581E-3</v>
      </c>
      <c r="AT527" s="5">
        <f t="shared" si="97"/>
        <v>3.964823975683246E-2</v>
      </c>
    </row>
    <row r="528" spans="12:46" x14ac:dyDescent="0.25">
      <c r="L528" s="4">
        <v>44770.5</v>
      </c>
      <c r="M528">
        <v>76.25</v>
      </c>
      <c r="N528">
        <v>80.12</v>
      </c>
      <c r="O528">
        <v>76.069999999999993</v>
      </c>
      <c r="P528">
        <v>78.7</v>
      </c>
      <c r="Q528">
        <v>16565</v>
      </c>
      <c r="R528">
        <v>338010</v>
      </c>
      <c r="S528">
        <v>198.93</v>
      </c>
      <c r="T528">
        <v>198.93</v>
      </c>
      <c r="U528">
        <v>198.93</v>
      </c>
      <c r="V528">
        <v>198.93</v>
      </c>
      <c r="W528">
        <v>0</v>
      </c>
      <c r="X528">
        <v>5.2865161206109013E-2</v>
      </c>
      <c r="Y528">
        <v>0.84619190927222998</v>
      </c>
      <c r="Z528">
        <v>-0.30223259117968237</v>
      </c>
      <c r="AB528" s="3">
        <f t="shared" si="88"/>
        <v>-2.6762891477619052E-3</v>
      </c>
      <c r="AC528" s="3">
        <f t="shared" si="89"/>
        <v>-8.5109753617872846E-3</v>
      </c>
      <c r="AD528" s="3">
        <f t="shared" si="90"/>
        <v>-1.5341078829100199E-2</v>
      </c>
      <c r="AE528" s="76">
        <f t="shared" si="91"/>
        <v>2134.0476190476184</v>
      </c>
      <c r="AF528" s="76">
        <f t="shared" si="92"/>
        <v>177.2321428571413</v>
      </c>
      <c r="AG528" s="76">
        <f t="shared" si="93"/>
        <v>-4697.1896333754739</v>
      </c>
      <c r="AO528" s="5">
        <f t="shared" si="98"/>
        <v>3.8268672472946959E-3</v>
      </c>
      <c r="AP528" s="5">
        <f t="shared" si="94"/>
        <v>0.53165873053359669</v>
      </c>
      <c r="AR528" s="5">
        <f t="shared" si="95"/>
        <v>-5.7223660484246874E-3</v>
      </c>
      <c r="AS528" s="5">
        <f t="shared" si="96"/>
        <v>-3.1088025760503957E-3</v>
      </c>
      <c r="AT528" s="5">
        <f t="shared" si="97"/>
        <v>4.1504983657250138E-2</v>
      </c>
    </row>
    <row r="529" spans="12:46" x14ac:dyDescent="0.25">
      <c r="L529" s="4">
        <v>44769.5</v>
      </c>
      <c r="M529">
        <v>76.61</v>
      </c>
      <c r="N529">
        <v>77.790000000000006</v>
      </c>
      <c r="O529">
        <v>75.78</v>
      </c>
      <c r="P529">
        <v>76.27</v>
      </c>
      <c r="Q529">
        <v>14499</v>
      </c>
      <c r="R529">
        <v>338516</v>
      </c>
      <c r="S529">
        <v>205.22499999999999</v>
      </c>
      <c r="T529">
        <v>205.22499999999999</v>
      </c>
      <c r="U529">
        <v>205.22499999999999</v>
      </c>
      <c r="V529">
        <v>205.22499999999999</v>
      </c>
      <c r="W529">
        <v>0</v>
      </c>
      <c r="X529">
        <v>2.6209414526013889E-2</v>
      </c>
      <c r="Y529">
        <v>-0.77131024433653295</v>
      </c>
      <c r="Z529">
        <v>-0.64733322500800161</v>
      </c>
      <c r="AB529" s="3">
        <f t="shared" si="88"/>
        <v>-2.6293473135621317E-3</v>
      </c>
      <c r="AC529" s="3">
        <f t="shared" si="89"/>
        <v>-9.2296229298608548E-3</v>
      </c>
      <c r="AD529" s="3">
        <f t="shared" si="90"/>
        <v>-1.6093840493088485E-2</v>
      </c>
      <c r="AE529" s="76">
        <f t="shared" si="91"/>
        <v>2730.8095238095248</v>
      </c>
      <c r="AF529" s="76">
        <f t="shared" si="92"/>
        <v>465.36904761904952</v>
      </c>
      <c r="AG529" s="76">
        <f t="shared" si="93"/>
        <v>-4488.7210282343003</v>
      </c>
      <c r="AO529" s="5">
        <f t="shared" si="98"/>
        <v>-9.2287409360571103E-4</v>
      </c>
      <c r="AP529" s="5">
        <f t="shared" si="94"/>
        <v>0.53165551820663837</v>
      </c>
      <c r="AR529" s="5">
        <f t="shared" si="95"/>
        <v>-5.1726300445579243E-3</v>
      </c>
      <c r="AS529" s="5">
        <f t="shared" si="96"/>
        <v>-2.4564387040056923E-3</v>
      </c>
      <c r="AT529" s="5">
        <f t="shared" si="97"/>
        <v>4.3395528921350845E-2</v>
      </c>
    </row>
    <row r="530" spans="12:46" x14ac:dyDescent="0.25">
      <c r="L530" s="4">
        <v>44768.5</v>
      </c>
      <c r="M530">
        <v>76.69</v>
      </c>
      <c r="N530">
        <v>77.5</v>
      </c>
      <c r="O530">
        <v>75.849999999999994</v>
      </c>
      <c r="P530">
        <v>76.760000000000005</v>
      </c>
      <c r="Q530">
        <v>19524</v>
      </c>
      <c r="R530">
        <v>339879</v>
      </c>
      <c r="S530">
        <v>199.91800000000001</v>
      </c>
      <c r="T530">
        <v>199.91800000000001</v>
      </c>
      <c r="U530">
        <v>199.91800000000001</v>
      </c>
      <c r="V530">
        <v>199.91800000000001</v>
      </c>
      <c r="W530">
        <v>0</v>
      </c>
      <c r="X530">
        <v>2.1676300578034755E-2</v>
      </c>
      <c r="Y530">
        <v>-1.063165157079164</v>
      </c>
      <c r="Z530">
        <v>0.13931709634297545</v>
      </c>
      <c r="AB530" s="3">
        <f t="shared" si="88"/>
        <v>-9.0514498889956996E-5</v>
      </c>
      <c r="AC530" s="3">
        <f t="shared" si="89"/>
        <v>-7.7034344150614387E-3</v>
      </c>
      <c r="AD530" s="3">
        <f t="shared" si="90"/>
        <v>-1.5025950815840662E-2</v>
      </c>
      <c r="AE530" s="76">
        <f t="shared" si="91"/>
        <v>3005.5238095238074</v>
      </c>
      <c r="AF530" s="76">
        <f t="shared" si="92"/>
        <v>517.74404761904589</v>
      </c>
      <c r="AG530" s="76">
        <f t="shared" si="93"/>
        <v>-4565.1154656552899</v>
      </c>
      <c r="AO530" s="5">
        <f t="shared" si="98"/>
        <v>4.7688435554377991E-3</v>
      </c>
      <c r="AP530" s="5">
        <f t="shared" si="94"/>
        <v>0.5316481756982413</v>
      </c>
      <c r="AR530" s="5">
        <f t="shared" si="95"/>
        <v>-4.747145838694844E-3</v>
      </c>
      <c r="AS530" s="5">
        <f t="shared" si="96"/>
        <v>-1.8861996778145595E-3</v>
      </c>
      <c r="AT530" s="5">
        <f t="shared" si="97"/>
        <v>4.5215971310978986E-2</v>
      </c>
    </row>
    <row r="531" spans="12:46" x14ac:dyDescent="0.25">
      <c r="L531" s="4">
        <v>44767.5</v>
      </c>
      <c r="M531">
        <v>76.12</v>
      </c>
      <c r="N531">
        <v>78.42</v>
      </c>
      <c r="O531">
        <v>75.489999999999995</v>
      </c>
      <c r="P531">
        <v>76.34</v>
      </c>
      <c r="Q531">
        <v>22154</v>
      </c>
      <c r="R531">
        <v>339645</v>
      </c>
      <c r="S531">
        <v>176.61600000000001</v>
      </c>
      <c r="T531">
        <v>176.61600000000001</v>
      </c>
      <c r="U531">
        <v>176.61600000000001</v>
      </c>
      <c r="V531">
        <v>176.61600000000001</v>
      </c>
      <c r="W531">
        <v>0</v>
      </c>
      <c r="X531">
        <v>3.7468030690537169E-2</v>
      </c>
      <c r="Y531">
        <v>-0.11068518489788667</v>
      </c>
      <c r="Z531">
        <v>0.54755074104379897</v>
      </c>
      <c r="AB531" s="3">
        <f t="shared" si="88"/>
        <v>8.7034655177610498E-4</v>
      </c>
      <c r="AC531" s="3">
        <f t="shared" si="89"/>
        <v>-6.9471219065927112E-3</v>
      </c>
      <c r="AD531" s="3">
        <f t="shared" si="90"/>
        <v>-1.4442461174268222E-2</v>
      </c>
      <c r="AE531" s="76">
        <f t="shared" si="91"/>
        <v>2975.1904761904771</v>
      </c>
      <c r="AF531" s="76">
        <f t="shared" si="92"/>
        <v>365.09523809524035</v>
      </c>
      <c r="AG531" s="76">
        <f t="shared" si="93"/>
        <v>-4891.366203118414</v>
      </c>
      <c r="AO531" s="5">
        <f t="shared" si="98"/>
        <v>-6.7105263157895409E-3</v>
      </c>
      <c r="AP531" s="5">
        <f t="shared" si="94"/>
        <v>0.53325836359453682</v>
      </c>
      <c r="AR531" s="5">
        <f t="shared" si="95"/>
        <v>-4.3327026297048654E-3</v>
      </c>
      <c r="AS531" s="5">
        <f t="shared" si="96"/>
        <v>-1.3032848084498783E-3</v>
      </c>
      <c r="AT531" s="5">
        <f t="shared" si="97"/>
        <v>4.7037062652746764E-2</v>
      </c>
    </row>
    <row r="532" spans="12:46" x14ac:dyDescent="0.25">
      <c r="L532" s="4">
        <v>44764.5</v>
      </c>
      <c r="M532">
        <v>78.2</v>
      </c>
      <c r="N532">
        <v>79.8</v>
      </c>
      <c r="O532">
        <v>76</v>
      </c>
      <c r="P532">
        <v>76.150000000000006</v>
      </c>
      <c r="Q532">
        <v>28556</v>
      </c>
      <c r="R532">
        <v>341442</v>
      </c>
      <c r="S532">
        <v>159.864</v>
      </c>
      <c r="T532">
        <v>159.864</v>
      </c>
      <c r="U532">
        <v>159.864</v>
      </c>
      <c r="V532">
        <v>159.864</v>
      </c>
      <c r="W532">
        <v>0</v>
      </c>
      <c r="X532">
        <v>4.7979797979797942E-2</v>
      </c>
      <c r="Y532">
        <v>0.49519349025040732</v>
      </c>
      <c r="Z532">
        <v>1.5689628954583297</v>
      </c>
      <c r="AB532" s="3">
        <f t="shared" si="88"/>
        <v>-1.5931247769310694E-3</v>
      </c>
      <c r="AC532" s="3">
        <f t="shared" si="89"/>
        <v>-8.467293203524226E-3</v>
      </c>
      <c r="AD532" s="3">
        <f t="shared" si="90"/>
        <v>-1.562226095553923E-2</v>
      </c>
      <c r="AE532" s="76">
        <f t="shared" si="91"/>
        <v>2190.3333333333358</v>
      </c>
      <c r="AF532" s="76">
        <f t="shared" si="92"/>
        <v>-79.571428571427532</v>
      </c>
      <c r="AG532" s="76">
        <f t="shared" si="93"/>
        <v>-5528.742098609353</v>
      </c>
      <c r="AO532" s="5">
        <f t="shared" si="98"/>
        <v>-2.1249195106246049E-2</v>
      </c>
      <c r="AP532" s="5">
        <f t="shared" si="94"/>
        <v>0.53326491656119868</v>
      </c>
      <c r="AR532" s="5">
        <f t="shared" si="95"/>
        <v>-3.9729508307752015E-3</v>
      </c>
      <c r="AS532" s="5">
        <f t="shared" si="96"/>
        <v>-7.7020341218803079E-4</v>
      </c>
      <c r="AT532" s="5">
        <f t="shared" si="97"/>
        <v>4.8779809669133867E-2</v>
      </c>
    </row>
    <row r="533" spans="12:46" x14ac:dyDescent="0.25">
      <c r="L533" s="4">
        <v>44763.5</v>
      </c>
      <c r="M533">
        <v>79.2</v>
      </c>
      <c r="N533">
        <v>79.8</v>
      </c>
      <c r="O533">
        <v>77.650000000000006</v>
      </c>
      <c r="P533">
        <v>78.099999999999994</v>
      </c>
      <c r="Q533">
        <v>31886</v>
      </c>
      <c r="R533">
        <v>345728</v>
      </c>
      <c r="S533">
        <v>155.6</v>
      </c>
      <c r="T533">
        <v>155.6</v>
      </c>
      <c r="U533">
        <v>155.6</v>
      </c>
      <c r="V533">
        <v>155.6</v>
      </c>
      <c r="W533">
        <v>0</v>
      </c>
      <c r="X533">
        <v>2.5717703349282195E-2</v>
      </c>
      <c r="Y533">
        <v>-0.84550684614089033</v>
      </c>
      <c r="Z533">
        <v>2.1698141063939427</v>
      </c>
      <c r="AB533" s="3">
        <f t="shared" si="88"/>
        <v>-2.2611433286787858E-3</v>
      </c>
      <c r="AC533" s="3">
        <f t="shared" si="89"/>
        <v>-9.3060833069254223E-3</v>
      </c>
      <c r="AD533" s="3">
        <f t="shared" si="90"/>
        <v>-1.6412236711696004E-2</v>
      </c>
      <c r="AE533" s="76">
        <f t="shared" si="91"/>
        <v>1773.0476190476202</v>
      </c>
      <c r="AF533" s="76">
        <f t="shared" si="92"/>
        <v>-691.04166666666424</v>
      </c>
      <c r="AG533" s="76">
        <f t="shared" si="93"/>
        <v>-6079.0421407501053</v>
      </c>
      <c r="AO533" s="5">
        <f t="shared" si="98"/>
        <v>-1.3341804320203267E-2</v>
      </c>
      <c r="AP533" s="5">
        <f t="shared" si="94"/>
        <v>0.5327728302735727</v>
      </c>
      <c r="AR533" s="5">
        <f t="shared" si="95"/>
        <v>-3.6751389406391999E-3</v>
      </c>
      <c r="AS533" s="5">
        <f t="shared" si="96"/>
        <v>-2.4783535352357333E-4</v>
      </c>
      <c r="AT533" s="5">
        <f t="shared" si="97"/>
        <v>5.0514806397477519E-2</v>
      </c>
    </row>
    <row r="534" spans="12:46" x14ac:dyDescent="0.25">
      <c r="L534" s="4">
        <v>44762.5</v>
      </c>
      <c r="M534">
        <v>83.6</v>
      </c>
      <c r="N534">
        <v>83.64</v>
      </c>
      <c r="O534">
        <v>78.7</v>
      </c>
      <c r="P534">
        <v>79.010000000000005</v>
      </c>
      <c r="Q534">
        <v>38179</v>
      </c>
      <c r="R534">
        <v>351259</v>
      </c>
      <c r="S534">
        <v>155.03800000000001</v>
      </c>
      <c r="T534">
        <v>155.03800000000001</v>
      </c>
      <c r="U534">
        <v>155.03800000000001</v>
      </c>
      <c r="V534">
        <v>155.03800000000001</v>
      </c>
      <c r="W534">
        <v>0</v>
      </c>
      <c r="X534">
        <v>5.7981220657276969E-2</v>
      </c>
      <c r="Y534">
        <v>1.0976770220055792</v>
      </c>
      <c r="Z534">
        <v>3.2165357979724098</v>
      </c>
      <c r="AB534" s="3">
        <f t="shared" si="88"/>
        <v>-2.5228389248500641E-3</v>
      </c>
      <c r="AC534" s="3">
        <f t="shared" si="89"/>
        <v>-8.0547422003559993E-3</v>
      </c>
      <c r="AD534" s="3">
        <f t="shared" si="90"/>
        <v>-1.5454461121677511E-2</v>
      </c>
      <c r="AE534" s="76">
        <f t="shared" si="91"/>
        <v>1336.1428571428587</v>
      </c>
      <c r="AF534" s="76">
        <f t="shared" si="92"/>
        <v>-1136.3333333333321</v>
      </c>
      <c r="AG534" s="76">
        <f t="shared" si="93"/>
        <v>-6617.1234723978087</v>
      </c>
      <c r="AO534" s="5">
        <f t="shared" si="98"/>
        <v>-4.9516908212560322E-2</v>
      </c>
      <c r="AP534" s="5">
        <f t="shared" si="94"/>
        <v>0.53287208847165557</v>
      </c>
      <c r="AR534" s="5">
        <f t="shared" si="95"/>
        <v>-3.2880879119773221E-3</v>
      </c>
      <c r="AS534" s="5">
        <f t="shared" si="96"/>
        <v>3.0386213302613374E-4</v>
      </c>
      <c r="AT534" s="5">
        <f t="shared" si="97"/>
        <v>5.2284983078303759E-2</v>
      </c>
    </row>
    <row r="535" spans="12:46" x14ac:dyDescent="0.25">
      <c r="L535" s="4">
        <v>44761.5</v>
      </c>
      <c r="M535">
        <v>85.2</v>
      </c>
      <c r="N535">
        <v>85.2</v>
      </c>
      <c r="O535">
        <v>82.8</v>
      </c>
      <c r="P535">
        <v>83.31</v>
      </c>
      <c r="Q535">
        <v>20971</v>
      </c>
      <c r="R535">
        <v>354389</v>
      </c>
      <c r="S535">
        <v>154.45699999999999</v>
      </c>
      <c r="T535">
        <v>154.45699999999999</v>
      </c>
      <c r="U535">
        <v>154.45699999999999</v>
      </c>
      <c r="V535">
        <v>154.45699999999999</v>
      </c>
      <c r="W535">
        <v>0</v>
      </c>
      <c r="X535">
        <v>2.8070175438596558E-2</v>
      </c>
      <c r="Y535">
        <v>-0.67266485978028234</v>
      </c>
      <c r="Z535">
        <v>0.49494190035977642</v>
      </c>
      <c r="AB535" s="3">
        <f t="shared" si="88"/>
        <v>-5.905463347366538E-3</v>
      </c>
      <c r="AC535" s="3">
        <f t="shared" si="89"/>
        <v>-9.8578355181061159E-3</v>
      </c>
      <c r="AD535" s="3">
        <f t="shared" si="90"/>
        <v>-1.7352510816567739E-2</v>
      </c>
      <c r="AE535" s="76">
        <f t="shared" si="91"/>
        <v>-69</v>
      </c>
      <c r="AF535" s="76">
        <f t="shared" si="92"/>
        <v>-2316.7380952380954</v>
      </c>
      <c r="AG535" s="76">
        <f t="shared" si="93"/>
        <v>-7866.6274757690699</v>
      </c>
      <c r="AO535" s="5">
        <f t="shared" si="98"/>
        <v>-1.0752688172043078E-2</v>
      </c>
      <c r="AP535" s="5">
        <f t="shared" si="94"/>
        <v>0.53043609520215962</v>
      </c>
      <c r="AR535" s="5">
        <f t="shared" si="95"/>
        <v>-2.9775364991945219E-3</v>
      </c>
      <c r="AS535" s="5">
        <f t="shared" si="96"/>
        <v>8.2472797490218408E-4</v>
      </c>
      <c r="AT535" s="5">
        <f t="shared" si="97"/>
        <v>5.4036427697752076E-2</v>
      </c>
    </row>
    <row r="536" spans="12:46" x14ac:dyDescent="0.25">
      <c r="L536" s="4">
        <v>44760.5</v>
      </c>
      <c r="M536">
        <v>85.5</v>
      </c>
      <c r="N536">
        <v>85.5</v>
      </c>
      <c r="O536">
        <v>83.7</v>
      </c>
      <c r="P536">
        <v>84.5</v>
      </c>
      <c r="Q536">
        <v>12216</v>
      </c>
      <c r="R536">
        <v>356839</v>
      </c>
      <c r="S536">
        <v>157.25800000000001</v>
      </c>
      <c r="T536">
        <v>157.25800000000001</v>
      </c>
      <c r="U536">
        <v>157.25800000000001</v>
      </c>
      <c r="V536">
        <v>157.25800000000001</v>
      </c>
      <c r="W536">
        <v>0</v>
      </c>
      <c r="X536">
        <v>2.1549144020112501E-2</v>
      </c>
      <c r="Y536">
        <v>-1.0088395538923687</v>
      </c>
      <c r="Z536">
        <v>-0.94064738834655182</v>
      </c>
      <c r="AB536" s="3">
        <f t="shared" si="88"/>
        <v>-6.7252920824530035E-3</v>
      </c>
      <c r="AC536" s="3">
        <f t="shared" si="89"/>
        <v>-1.0080419597006597E-2</v>
      </c>
      <c r="AD536" s="3">
        <f t="shared" si="90"/>
        <v>-1.7478606321099675E-2</v>
      </c>
      <c r="AE536" s="76">
        <f t="shared" si="91"/>
        <v>-612.09523809523671</v>
      </c>
      <c r="AF536" s="76">
        <f t="shared" si="92"/>
        <v>-2682.0059523809523</v>
      </c>
      <c r="AG536" s="76">
        <f t="shared" si="93"/>
        <v>-8237.1799410029507</v>
      </c>
      <c r="AO536" s="5">
        <f t="shared" si="98"/>
        <v>2.2751766255537987E-3</v>
      </c>
      <c r="AP536" s="5">
        <f t="shared" si="94"/>
        <v>0.53114163926298852</v>
      </c>
      <c r="AR536" s="5">
        <f t="shared" si="95"/>
        <v>-2.5040486449828814E-3</v>
      </c>
      <c r="AS536" s="5">
        <f t="shared" si="96"/>
        <v>1.4659844087923091E-3</v>
      </c>
      <c r="AT536" s="5">
        <f t="shared" si="97"/>
        <v>5.5911936162246767E-2</v>
      </c>
    </row>
    <row r="537" spans="12:46" x14ac:dyDescent="0.25">
      <c r="L537" s="4">
        <v>44757.5</v>
      </c>
      <c r="M537">
        <v>83.53</v>
      </c>
      <c r="N537">
        <v>85.74</v>
      </c>
      <c r="O537">
        <v>83.51</v>
      </c>
      <c r="P537">
        <v>85.01</v>
      </c>
      <c r="Q537">
        <v>14298</v>
      </c>
      <c r="R537">
        <v>358139</v>
      </c>
      <c r="S537">
        <v>159.56700000000001</v>
      </c>
      <c r="T537">
        <v>159.56700000000001</v>
      </c>
      <c r="U537">
        <v>159.56700000000001</v>
      </c>
      <c r="V537">
        <v>159.56700000000001</v>
      </c>
      <c r="W537">
        <v>0</v>
      </c>
      <c r="X537">
        <v>2.6516052318668132E-2</v>
      </c>
      <c r="Y537">
        <v>-0.76172658574282681</v>
      </c>
      <c r="Z537">
        <v>-0.53283157852818575</v>
      </c>
      <c r="AB537" s="3">
        <f t="shared" si="88"/>
        <v>-8.0083878294623656E-3</v>
      </c>
      <c r="AC537" s="3">
        <f t="shared" si="89"/>
        <v>-1.043341916459474E-2</v>
      </c>
      <c r="AD537" s="3">
        <f t="shared" si="90"/>
        <v>-1.7390590135660015E-2</v>
      </c>
      <c r="AE537" s="76">
        <f t="shared" si="91"/>
        <v>-1182.3333333333339</v>
      </c>
      <c r="AF537" s="76">
        <f t="shared" si="92"/>
        <v>-2953.1607142857119</v>
      </c>
      <c r="AG537" s="76">
        <f t="shared" si="93"/>
        <v>-8209.8179519595451</v>
      </c>
      <c r="AO537" s="5">
        <f t="shared" si="98"/>
        <v>3.0026423252462165E-3</v>
      </c>
      <c r="AP537" s="5">
        <f t="shared" si="94"/>
        <v>0.53120785697928441</v>
      </c>
      <c r="AR537" s="5">
        <f t="shared" si="95"/>
        <v>-2.0961674361812399E-3</v>
      </c>
      <c r="AS537" s="5">
        <f t="shared" si="96"/>
        <v>2.0699136775315097E-3</v>
      </c>
      <c r="AT537" s="5">
        <f t="shared" si="97"/>
        <v>5.7739338920750338E-2</v>
      </c>
    </row>
    <row r="538" spans="12:46" x14ac:dyDescent="0.25">
      <c r="L538" s="4">
        <v>44756.5</v>
      </c>
      <c r="M538">
        <v>84.1</v>
      </c>
      <c r="N538">
        <v>84.79</v>
      </c>
      <c r="O538">
        <v>83.26</v>
      </c>
      <c r="P538">
        <v>83.68</v>
      </c>
      <c r="Q538">
        <v>14522</v>
      </c>
      <c r="R538">
        <v>358309</v>
      </c>
      <c r="S538">
        <v>175.03299999999999</v>
      </c>
      <c r="T538">
        <v>175.03299999999999</v>
      </c>
      <c r="U538">
        <v>175.03299999999999</v>
      </c>
      <c r="V538">
        <v>175.03299999999999</v>
      </c>
      <c r="W538">
        <v>0</v>
      </c>
      <c r="X538">
        <v>1.7788629229159414E-2</v>
      </c>
      <c r="Y538">
        <v>-1.2466995278224338</v>
      </c>
      <c r="Z538">
        <v>-0.50058649889878715</v>
      </c>
      <c r="AB538" s="3">
        <f t="shared" si="88"/>
        <v>-7.6786085535643991E-3</v>
      </c>
      <c r="AC538" s="3">
        <f t="shared" si="89"/>
        <v>-9.0468804147398815E-3</v>
      </c>
      <c r="AD538" s="3">
        <f t="shared" si="90"/>
        <v>-1.6185009330867028E-2</v>
      </c>
      <c r="AE538" s="76">
        <f t="shared" si="91"/>
        <v>-1686.9047619047633</v>
      </c>
      <c r="AF538" s="76">
        <f t="shared" si="92"/>
        <v>-3134.4226190476184</v>
      </c>
      <c r="AG538" s="76">
        <f t="shared" si="93"/>
        <v>-8152.0425621576069</v>
      </c>
      <c r="AO538" s="5">
        <f t="shared" si="98"/>
        <v>-3.5902345619913492E-3</v>
      </c>
      <c r="AP538" s="5">
        <f t="shared" si="94"/>
        <v>0.53123546014119249</v>
      </c>
      <c r="AR538" s="5">
        <f t="shared" si="95"/>
        <v>-1.6410466699424697E-3</v>
      </c>
      <c r="AS538" s="5">
        <f t="shared" si="96"/>
        <v>2.6881837356997895E-3</v>
      </c>
      <c r="AT538" s="5">
        <f t="shared" si="97"/>
        <v>5.9571598230439338E-2</v>
      </c>
    </row>
    <row r="539" spans="12:46" x14ac:dyDescent="0.25">
      <c r="L539" s="4">
        <v>44755.5</v>
      </c>
      <c r="M539">
        <v>86.01</v>
      </c>
      <c r="N539">
        <v>86.57</v>
      </c>
      <c r="O539">
        <v>83.56</v>
      </c>
      <c r="P539">
        <v>83.64</v>
      </c>
      <c r="Q539">
        <v>14296</v>
      </c>
      <c r="R539">
        <v>358992</v>
      </c>
      <c r="S539">
        <v>180.505</v>
      </c>
      <c r="T539">
        <v>180.505</v>
      </c>
      <c r="U539">
        <v>180.505</v>
      </c>
      <c r="V539">
        <v>180.505</v>
      </c>
      <c r="W539">
        <v>0</v>
      </c>
      <c r="X539">
        <v>3.5579196217493982E-2</v>
      </c>
      <c r="Y539">
        <v>-0.30173170527332055</v>
      </c>
      <c r="Z539">
        <v>-0.53805888497737098</v>
      </c>
      <c r="AB539" s="3">
        <f t="shared" si="88"/>
        <v>-5.7841706164170684E-3</v>
      </c>
      <c r="AC539" s="3">
        <f t="shared" si="89"/>
        <v>-7.2499759570401542E-3</v>
      </c>
      <c r="AD539" s="3">
        <f t="shared" si="90"/>
        <v>-1.463850303979123E-2</v>
      </c>
      <c r="AE539" s="76">
        <f t="shared" si="91"/>
        <v>-1597.7142857142862</v>
      </c>
      <c r="AF539" s="76">
        <f t="shared" si="92"/>
        <v>-3094.6607142857138</v>
      </c>
      <c r="AG539" s="76">
        <f t="shared" si="93"/>
        <v>-7959.1150442477883</v>
      </c>
      <c r="AO539" s="5">
        <f t="shared" si="98"/>
        <v>2.7601104044162245E-3</v>
      </c>
      <c r="AP539" s="5">
        <f t="shared" si="94"/>
        <v>0.53120718755265761</v>
      </c>
      <c r="AR539" s="5">
        <f t="shared" si="95"/>
        <v>-1.1709654251229606E-3</v>
      </c>
      <c r="AS539" s="5">
        <f t="shared" si="96"/>
        <v>3.3310595765435602E-3</v>
      </c>
      <c r="AT539" s="5">
        <f t="shared" si="97"/>
        <v>6.1448708923065698E-2</v>
      </c>
    </row>
    <row r="540" spans="12:46" x14ac:dyDescent="0.25">
      <c r="L540" s="4">
        <v>44754.5</v>
      </c>
      <c r="M540">
        <v>84.6</v>
      </c>
      <c r="N540">
        <v>86.06</v>
      </c>
      <c r="O540">
        <v>83.33</v>
      </c>
      <c r="P540">
        <v>86.01</v>
      </c>
      <c r="Q540">
        <v>16960</v>
      </c>
      <c r="R540">
        <v>359070</v>
      </c>
      <c r="S540">
        <v>172.60900000000001</v>
      </c>
      <c r="T540">
        <v>172.60900000000001</v>
      </c>
      <c r="U540">
        <v>172.60900000000001</v>
      </c>
      <c r="V540">
        <v>172.60900000000001</v>
      </c>
      <c r="W540">
        <v>0</v>
      </c>
      <c r="X540">
        <v>3.2982964842334227E-2</v>
      </c>
      <c r="Y540">
        <v>-0.43284879450966157</v>
      </c>
      <c r="Z540">
        <v>-0.12381564974909282</v>
      </c>
      <c r="AB540" s="3">
        <f t="shared" si="88"/>
        <v>-5.1790267170611082E-3</v>
      </c>
      <c r="AC540" s="3">
        <f t="shared" si="89"/>
        <v>-7.2923811839856398E-3</v>
      </c>
      <c r="AD540" s="3">
        <f t="shared" si="90"/>
        <v>-1.4351854978180312E-2</v>
      </c>
      <c r="AE540" s="76">
        <f t="shared" si="91"/>
        <v>-1436.2380952380954</v>
      </c>
      <c r="AF540" s="76">
        <f t="shared" si="92"/>
        <v>-3098.8630952380954</v>
      </c>
      <c r="AG540" s="76">
        <f t="shared" si="93"/>
        <v>-7835.8449220396105</v>
      </c>
      <c r="AO540" s="5">
        <f t="shared" si="98"/>
        <v>7.6178960096734633E-3</v>
      </c>
      <c r="AP540" s="5">
        <f t="shared" si="94"/>
        <v>0.53123167914821723</v>
      </c>
      <c r="AR540" s="5">
        <f t="shared" si="95"/>
        <v>-8.4355525004564669E-4</v>
      </c>
      <c r="AS540" s="5">
        <f t="shared" si="96"/>
        <v>3.961972583784501E-3</v>
      </c>
      <c r="AT540" s="5">
        <f t="shared" si="97"/>
        <v>6.3307153217523282E-2</v>
      </c>
    </row>
    <row r="541" spans="12:46" x14ac:dyDescent="0.25">
      <c r="L541" s="4">
        <v>44753.5</v>
      </c>
      <c r="M541">
        <v>82.77</v>
      </c>
      <c r="N541">
        <v>84.62</v>
      </c>
      <c r="O541">
        <v>82.7</v>
      </c>
      <c r="P541">
        <v>84.35</v>
      </c>
      <c r="Q541">
        <v>11899</v>
      </c>
      <c r="R541">
        <v>358527</v>
      </c>
      <c r="S541">
        <v>164.52</v>
      </c>
      <c r="T541">
        <v>164.52</v>
      </c>
      <c r="U541">
        <v>164.52</v>
      </c>
      <c r="V541">
        <v>164.52</v>
      </c>
      <c r="W541">
        <v>0</v>
      </c>
      <c r="X541">
        <v>2.260951483749413E-2</v>
      </c>
      <c r="Y541">
        <v>-0.99563279072929201</v>
      </c>
      <c r="Z541">
        <v>-0.91831480012131383</v>
      </c>
      <c r="AB541" s="3">
        <f t="shared" si="88"/>
        <v>-5.4546612281666448E-3</v>
      </c>
      <c r="AC541" s="3">
        <f t="shared" si="89"/>
        <v>-7.3273948063184227E-3</v>
      </c>
      <c r="AD541" s="3">
        <f t="shared" si="90"/>
        <v>-1.457605435548321E-2</v>
      </c>
      <c r="AE541" s="76">
        <f t="shared" si="91"/>
        <v>-1308.0476190476184</v>
      </c>
      <c r="AF541" s="76">
        <f t="shared" si="92"/>
        <v>-3138.2083333333321</v>
      </c>
      <c r="AG541" s="76">
        <f t="shared" si="93"/>
        <v>-7878.6974294142456</v>
      </c>
      <c r="AO541" s="5">
        <f t="shared" si="98"/>
        <v>1.2106537530267377E-3</v>
      </c>
      <c r="AP541" s="5">
        <f t="shared" si="94"/>
        <v>0.53125523561051935</v>
      </c>
      <c r="AR541" s="5">
        <f t="shared" si="95"/>
        <v>-4.7867676394908187E-4</v>
      </c>
      <c r="AS541" s="5">
        <f t="shared" si="96"/>
        <v>4.6196405494512982E-3</v>
      </c>
      <c r="AT541" s="5">
        <f t="shared" si="97"/>
        <v>6.5182383457861204E-2</v>
      </c>
    </row>
    <row r="542" spans="12:46" x14ac:dyDescent="0.25">
      <c r="L542" s="4">
        <v>44750.5</v>
      </c>
      <c r="M542">
        <v>84.92</v>
      </c>
      <c r="N542">
        <v>85</v>
      </c>
      <c r="O542">
        <v>82.6</v>
      </c>
      <c r="P542">
        <v>82.69</v>
      </c>
      <c r="Q542">
        <v>13959</v>
      </c>
      <c r="R542">
        <v>358732</v>
      </c>
      <c r="S542">
        <v>175.21199999999999</v>
      </c>
      <c r="T542">
        <v>175.21199999999999</v>
      </c>
      <c r="U542">
        <v>175.21199999999999</v>
      </c>
      <c r="V542">
        <v>175.21199999999999</v>
      </c>
      <c r="W542">
        <v>0</v>
      </c>
      <c r="X542">
        <v>2.8742514970059949E-2</v>
      </c>
      <c r="Y542">
        <v>-0.67421647038998367</v>
      </c>
      <c r="Z542">
        <v>-0.60128660070125428</v>
      </c>
      <c r="AB542" s="3">
        <f t="shared" si="88"/>
        <v>-4.6596946708290371E-3</v>
      </c>
      <c r="AC542" s="3">
        <f t="shared" si="89"/>
        <v>-6.9791379992537803E-3</v>
      </c>
      <c r="AD542" s="3">
        <f t="shared" si="90"/>
        <v>-1.4119583712213071E-2</v>
      </c>
      <c r="AE542" s="76">
        <f t="shared" si="91"/>
        <v>-1539.4285714285706</v>
      </c>
      <c r="AF542" s="76">
        <f t="shared" si="92"/>
        <v>-3023.4464285714294</v>
      </c>
      <c r="AG542" s="76">
        <f t="shared" si="93"/>
        <v>-7759.7357774968386</v>
      </c>
      <c r="AO542" s="5">
        <f t="shared" si="98"/>
        <v>-1.9333011116482695E-3</v>
      </c>
      <c r="AP542" s="5">
        <f t="shared" si="94"/>
        <v>0.53174134078028601</v>
      </c>
      <c r="AR542" s="5">
        <f t="shared" si="95"/>
        <v>-1.383348003026752E-4</v>
      </c>
      <c r="AS542" s="5">
        <f t="shared" si="96"/>
        <v>5.2755964592747784E-3</v>
      </c>
      <c r="AT542" s="5">
        <f t="shared" si="97"/>
        <v>6.7056762336572706E-2</v>
      </c>
    </row>
    <row r="543" spans="12:46" x14ac:dyDescent="0.25">
      <c r="L543" s="4">
        <v>44749.5</v>
      </c>
      <c r="M543">
        <v>83.5</v>
      </c>
      <c r="N543">
        <v>85.46</v>
      </c>
      <c r="O543">
        <v>82.76</v>
      </c>
      <c r="P543">
        <v>84.4</v>
      </c>
      <c r="Q543">
        <v>14932</v>
      </c>
      <c r="R543">
        <v>357371</v>
      </c>
      <c r="S543">
        <v>183.18299999999999</v>
      </c>
      <c r="T543">
        <v>183.18299999999999</v>
      </c>
      <c r="U543">
        <v>183.18299999999999</v>
      </c>
      <c r="V543">
        <v>183.18299999999999</v>
      </c>
      <c r="W543">
        <v>0</v>
      </c>
      <c r="X543">
        <v>3.2537960954446714E-2</v>
      </c>
      <c r="Y543">
        <v>-0.45441068549519059</v>
      </c>
      <c r="Z543">
        <v>-0.46194561853986155</v>
      </c>
      <c r="AB543" s="3">
        <f t="shared" si="88"/>
        <v>-7.2001108040830111E-3</v>
      </c>
      <c r="AC543" s="3">
        <f t="shared" si="89"/>
        <v>-7.3214461493201557E-3</v>
      </c>
      <c r="AD543" s="3">
        <f t="shared" si="90"/>
        <v>-1.4050299054149354E-2</v>
      </c>
      <c r="AE543" s="76">
        <f t="shared" si="91"/>
        <v>-1776.8571428571449</v>
      </c>
      <c r="AF543" s="76">
        <f t="shared" si="92"/>
        <v>-2947.8214285714312</v>
      </c>
      <c r="AG543" s="76">
        <f t="shared" si="93"/>
        <v>-7403.4816687737039</v>
      </c>
      <c r="AO543" s="5">
        <f t="shared" si="98"/>
        <v>7.2551390568321972E-4</v>
      </c>
      <c r="AP543" s="5">
        <f t="shared" si="94"/>
        <v>0.53262788243725012</v>
      </c>
      <c r="AR543" s="5">
        <f t="shared" si="95"/>
        <v>3.1562599217105358E-4</v>
      </c>
      <c r="AS543" s="5">
        <f t="shared" si="96"/>
        <v>5.8935590580649899E-3</v>
      </c>
      <c r="AT543" s="5">
        <f t="shared" si="97"/>
        <v>6.8933201603093797E-2</v>
      </c>
    </row>
    <row r="544" spans="12:46" x14ac:dyDescent="0.25">
      <c r="L544" s="4">
        <v>44748.5</v>
      </c>
      <c r="M544">
        <v>82.98</v>
      </c>
      <c r="N544">
        <v>84.64</v>
      </c>
      <c r="O544">
        <v>82.7</v>
      </c>
      <c r="P544">
        <v>83.65</v>
      </c>
      <c r="Q544">
        <v>13821</v>
      </c>
      <c r="R544">
        <v>358135</v>
      </c>
      <c r="S544">
        <v>170.999</v>
      </c>
      <c r="T544">
        <v>170.999</v>
      </c>
      <c r="U544">
        <v>170.999</v>
      </c>
      <c r="V544">
        <v>170.999</v>
      </c>
      <c r="W544">
        <v>0</v>
      </c>
      <c r="X544">
        <v>2.2826214848805718E-2</v>
      </c>
      <c r="Y544">
        <v>-0.99803174888508883</v>
      </c>
      <c r="Z544">
        <v>-0.65000280164611834</v>
      </c>
      <c r="AB544" s="3">
        <f t="shared" si="88"/>
        <v>-6.9469883812602398E-3</v>
      </c>
      <c r="AC544" s="3">
        <f t="shared" si="89"/>
        <v>-7.2111052796504371E-3</v>
      </c>
      <c r="AD544" s="3">
        <f t="shared" si="90"/>
        <v>-1.3809351466520993E-2</v>
      </c>
      <c r="AE544" s="76">
        <f t="shared" si="91"/>
        <v>-796.19047619047342</v>
      </c>
      <c r="AF544" s="76">
        <f t="shared" si="92"/>
        <v>-2158.7976190476184</v>
      </c>
      <c r="AG544" s="76">
        <f t="shared" si="93"/>
        <v>-6568.9995785924984</v>
      </c>
      <c r="AO544" s="5">
        <f t="shared" si="98"/>
        <v>2.1812893843917453E-3</v>
      </c>
      <c r="AP544" s="5">
        <f t="shared" si="94"/>
        <v>0.5335250493965823</v>
      </c>
      <c r="AR544" s="5">
        <f t="shared" si="95"/>
        <v>7.8505392912120442E-4</v>
      </c>
      <c r="AS544" s="5">
        <f t="shared" si="96"/>
        <v>6.4889382468130696E-3</v>
      </c>
      <c r="AT544" s="5">
        <f t="shared" si="97"/>
        <v>7.0764384904549227E-2</v>
      </c>
    </row>
    <row r="545" spans="12:46" x14ac:dyDescent="0.25">
      <c r="L545" s="4">
        <v>44747.5</v>
      </c>
      <c r="M545">
        <v>84.99</v>
      </c>
      <c r="N545">
        <v>84.99</v>
      </c>
      <c r="O545">
        <v>82.52</v>
      </c>
      <c r="P545">
        <v>82.75</v>
      </c>
      <c r="Q545">
        <v>14757</v>
      </c>
      <c r="R545">
        <v>357749</v>
      </c>
      <c r="S545">
        <v>165.07300000000001</v>
      </c>
      <c r="T545">
        <v>165.07300000000001</v>
      </c>
      <c r="U545">
        <v>165.07300000000001</v>
      </c>
      <c r="V545">
        <v>165.07300000000001</v>
      </c>
      <c r="W545">
        <v>0</v>
      </c>
      <c r="X545">
        <v>2.8861883617667668E-2</v>
      </c>
      <c r="Y545">
        <v>-0.68617495230007708</v>
      </c>
      <c r="Z545">
        <v>-0.5131668863440606</v>
      </c>
      <c r="AB545" s="3">
        <f t="shared" si="88"/>
        <v>-8.5627601893532163E-3</v>
      </c>
      <c r="AC545" s="3">
        <f t="shared" si="89"/>
        <v>-7.0667920234513126E-3</v>
      </c>
      <c r="AD545" s="3">
        <f t="shared" si="90"/>
        <v>-1.3563630601036505E-2</v>
      </c>
      <c r="AE545" s="76">
        <f t="shared" si="91"/>
        <v>-1119.2857142857174</v>
      </c>
      <c r="AF545" s="76">
        <f t="shared" si="92"/>
        <v>-1856.6666666666679</v>
      </c>
      <c r="AG545" s="76">
        <f t="shared" si="93"/>
        <v>-6259.8942267172388</v>
      </c>
      <c r="AO545" s="5">
        <f t="shared" si="98"/>
        <v>-1.1736526946107832E-2</v>
      </c>
      <c r="AP545" s="5">
        <f t="shared" si="94"/>
        <v>0.53352659220963738</v>
      </c>
      <c r="AR545" s="5">
        <f t="shared" si="95"/>
        <v>1.1924752637160196E-3</v>
      </c>
      <c r="AS545" s="5">
        <f t="shared" si="96"/>
        <v>7.0254345320640565E-3</v>
      </c>
      <c r="AT545" s="5">
        <f t="shared" si="97"/>
        <v>7.2538997916410275E-2</v>
      </c>
    </row>
    <row r="546" spans="12:46" x14ac:dyDescent="0.25">
      <c r="L546" s="4">
        <v>44746.5</v>
      </c>
      <c r="M546">
        <v>85.58</v>
      </c>
      <c r="N546">
        <v>87.17</v>
      </c>
      <c r="O546">
        <v>83.5</v>
      </c>
      <c r="P546">
        <v>84.63</v>
      </c>
      <c r="Q546">
        <v>14027</v>
      </c>
      <c r="R546">
        <v>356246</v>
      </c>
      <c r="S546">
        <v>147.78399999999999</v>
      </c>
      <c r="T546">
        <v>147.78399999999999</v>
      </c>
      <c r="U546">
        <v>147.78399999999999</v>
      </c>
      <c r="V546">
        <v>147.78399999999999</v>
      </c>
      <c r="W546">
        <v>0</v>
      </c>
      <c r="X546">
        <v>4.1088222122704902E-2</v>
      </c>
      <c r="Y546">
        <v>-8.5792102658514557E-3</v>
      </c>
      <c r="Z546">
        <v>-0.63185976548527334</v>
      </c>
      <c r="AB546" s="3">
        <f t="shared" si="88"/>
        <v>-5.5151072497148512E-3</v>
      </c>
      <c r="AC546" s="3">
        <f t="shared" si="89"/>
        <v>-4.2851005727623515E-3</v>
      </c>
      <c r="AD546" s="3">
        <f t="shared" si="90"/>
        <v>-1.1344961483993513E-2</v>
      </c>
      <c r="AE546" s="76">
        <f t="shared" si="91"/>
        <v>-1380.9523809523816</v>
      </c>
      <c r="AF546" s="76">
        <f t="shared" si="92"/>
        <v>-1824.8273809523816</v>
      </c>
      <c r="AG546" s="76">
        <f t="shared" si="93"/>
        <v>-6158.4542772861387</v>
      </c>
      <c r="AO546" s="5">
        <f t="shared" si="98"/>
        <v>-1.7762616162804435E-2</v>
      </c>
      <c r="AP546" s="5">
        <f t="shared" si="94"/>
        <v>0.54117013804720171</v>
      </c>
      <c r="AR546" s="5">
        <f t="shared" si="95"/>
        <v>1.7428825209845344E-3</v>
      </c>
      <c r="AS546" s="5">
        <f t="shared" si="96"/>
        <v>7.6670662600335504E-3</v>
      </c>
      <c r="AT546" s="5">
        <f t="shared" si="97"/>
        <v>7.4404188322843623E-2</v>
      </c>
    </row>
    <row r="547" spans="12:46" x14ac:dyDescent="0.25">
      <c r="L547" s="4">
        <v>44743.5</v>
      </c>
      <c r="M547">
        <v>89.32</v>
      </c>
      <c r="N547">
        <v>90.35</v>
      </c>
      <c r="O547">
        <v>85.01</v>
      </c>
      <c r="P547">
        <v>86.18</v>
      </c>
      <c r="Q547">
        <v>18255</v>
      </c>
      <c r="R547">
        <v>355006</v>
      </c>
      <c r="S547">
        <v>147.78399999999999</v>
      </c>
      <c r="T547">
        <v>147.78399999999999</v>
      </c>
      <c r="U547">
        <v>147.78399999999999</v>
      </c>
      <c r="V547">
        <v>147.78399999999999</v>
      </c>
      <c r="W547">
        <v>0</v>
      </c>
      <c r="X547">
        <v>6.061293984108955E-2</v>
      </c>
      <c r="Y547">
        <v>1.058488338832442</v>
      </c>
      <c r="Z547">
        <v>3.4103816626613569E-2</v>
      </c>
      <c r="AB547" s="3">
        <f t="shared" si="88"/>
        <v>-8.7831890998375725E-3</v>
      </c>
      <c r="AC547" s="3">
        <f t="shared" si="89"/>
        <v>-6.1148385326066992E-3</v>
      </c>
      <c r="AD547" s="3">
        <f t="shared" si="90"/>
        <v>-1.2829126697800675E-2</v>
      </c>
      <c r="AE547" s="76">
        <f t="shared" si="91"/>
        <v>-2944.0952380952367</v>
      </c>
      <c r="AF547" s="76">
        <f t="shared" si="92"/>
        <v>-2619.1666666666679</v>
      </c>
      <c r="AG547" s="76">
        <f t="shared" si="93"/>
        <v>-6609.4504846186246</v>
      </c>
      <c r="AO547" s="5">
        <f t="shared" si="98"/>
        <v>-2.6231386025200368E-2</v>
      </c>
      <c r="AP547" s="5">
        <f t="shared" si="94"/>
        <v>0.5408397086965262</v>
      </c>
      <c r="AR547" s="5">
        <f t="shared" si="95"/>
        <v>1.6507856140302035E-3</v>
      </c>
      <c r="AS547" s="5">
        <f t="shared" si="96"/>
        <v>7.7434827963148711E-3</v>
      </c>
      <c r="AT547" s="5">
        <f t="shared" si="97"/>
        <v>7.5734032292399389E-2</v>
      </c>
    </row>
    <row r="548" spans="12:46" x14ac:dyDescent="0.25">
      <c r="L548" s="4">
        <v>44742.5</v>
      </c>
      <c r="M548">
        <v>88.1</v>
      </c>
      <c r="N548">
        <v>90.33</v>
      </c>
      <c r="O548">
        <v>87.3</v>
      </c>
      <c r="P548">
        <v>89.51</v>
      </c>
      <c r="Q548">
        <v>19044</v>
      </c>
      <c r="R548">
        <v>355570</v>
      </c>
      <c r="S548">
        <v>144.51400000000001</v>
      </c>
      <c r="T548">
        <v>144.51400000000001</v>
      </c>
      <c r="U548">
        <v>144.51400000000001</v>
      </c>
      <c r="V548">
        <v>144.51400000000001</v>
      </c>
      <c r="W548">
        <v>0</v>
      </c>
      <c r="X548">
        <v>3.4660260809883332E-2</v>
      </c>
      <c r="Y548">
        <v>-0.33677880617669509</v>
      </c>
      <c r="Z548">
        <v>0.11145260140535522</v>
      </c>
      <c r="AB548" s="3">
        <f t="shared" si="88"/>
        <v>-1.0169479310813558E-2</v>
      </c>
      <c r="AC548" s="3">
        <f t="shared" si="89"/>
        <v>-7.5484695086180387E-3</v>
      </c>
      <c r="AD548" s="3">
        <f t="shared" si="90"/>
        <v>-1.3938177675137428E-2</v>
      </c>
      <c r="AE548" s="76">
        <f t="shared" si="91"/>
        <v>-4184</v>
      </c>
      <c r="AF548" s="76">
        <f t="shared" si="92"/>
        <v>-3345.8571428571449</v>
      </c>
      <c r="AG548" s="76">
        <f t="shared" si="93"/>
        <v>-7040.3249051833118</v>
      </c>
      <c r="AO548" s="5">
        <f t="shared" si="98"/>
        <v>2.1811502697738233E-3</v>
      </c>
      <c r="AP548" s="5">
        <f t="shared" si="94"/>
        <v>0.54013728107198666</v>
      </c>
      <c r="AR548" s="5">
        <f t="shared" si="95"/>
        <v>1.6063004563564576E-3</v>
      </c>
      <c r="AS548" s="5">
        <f t="shared" si="96"/>
        <v>7.8596341667116487E-3</v>
      </c>
      <c r="AT548" s="5">
        <f t="shared" si="97"/>
        <v>7.7101429868258353E-2</v>
      </c>
    </row>
    <row r="549" spans="12:46" x14ac:dyDescent="0.25">
      <c r="L549" s="4">
        <v>44741.5</v>
      </c>
      <c r="M549">
        <v>87.42</v>
      </c>
      <c r="N549">
        <v>90.13</v>
      </c>
      <c r="O549">
        <v>87.11</v>
      </c>
      <c r="P549">
        <v>88.65</v>
      </c>
      <c r="Q549">
        <v>20820</v>
      </c>
      <c r="R549">
        <v>359744</v>
      </c>
      <c r="S549">
        <v>139.58799999999999</v>
      </c>
      <c r="T549">
        <v>139.58799999999999</v>
      </c>
      <c r="U549">
        <v>139.58799999999999</v>
      </c>
      <c r="V549">
        <v>139.58799999999999</v>
      </c>
      <c r="W549">
        <v>0</v>
      </c>
      <c r="X549">
        <v>3.5815939278937337E-2</v>
      </c>
      <c r="Y549">
        <v>-0.29475116789449757</v>
      </c>
      <c r="Z549">
        <v>0.31650024899230944</v>
      </c>
      <c r="AB549" s="3">
        <f t="shared" si="88"/>
        <v>-1.1089297297891224E-2</v>
      </c>
      <c r="AC549" s="3">
        <f t="shared" si="89"/>
        <v>-7.1862999851836779E-3</v>
      </c>
      <c r="AD549" s="3">
        <f t="shared" si="90"/>
        <v>-1.3283450088842741E-2</v>
      </c>
      <c r="AE549" s="76">
        <f t="shared" si="91"/>
        <v>-4941.0476190476184</v>
      </c>
      <c r="AF549" s="76">
        <f t="shared" si="92"/>
        <v>-3821.1190476190495</v>
      </c>
      <c r="AG549" s="76">
        <f t="shared" si="93"/>
        <v>-7215.1576064053952</v>
      </c>
      <c r="AO549" s="5">
        <f t="shared" si="98"/>
        <v>4.0119402985074618E-2</v>
      </c>
      <c r="AP549" s="5">
        <f t="shared" si="94"/>
        <v>0.54058621203944168</v>
      </c>
      <c r="AR549" s="5">
        <f t="shared" si="95"/>
        <v>1.6450515430093127E-3</v>
      </c>
      <c r="AS549" s="5">
        <f t="shared" si="96"/>
        <v>8.0036239186920266E-3</v>
      </c>
      <c r="AT549" s="5">
        <f t="shared" si="97"/>
        <v>7.8495459743803453E-2</v>
      </c>
    </row>
    <row r="550" spans="12:46" x14ac:dyDescent="0.25">
      <c r="L550" s="4">
        <v>44740.5</v>
      </c>
      <c r="M550">
        <v>84.32</v>
      </c>
      <c r="N550">
        <v>88.06</v>
      </c>
      <c r="O550">
        <v>83.75</v>
      </c>
      <c r="P550">
        <v>88.06</v>
      </c>
      <c r="Q550">
        <v>15768</v>
      </c>
      <c r="R550">
        <v>356461</v>
      </c>
      <c r="S550">
        <v>129.17599999999999</v>
      </c>
      <c r="T550">
        <v>129.17599999999999</v>
      </c>
      <c r="U550">
        <v>129.17599999999999</v>
      </c>
      <c r="V550">
        <v>129.17599999999999</v>
      </c>
      <c r="W550">
        <v>0</v>
      </c>
      <c r="X550">
        <v>5.130952380952384E-2</v>
      </c>
      <c r="Y550">
        <v>0.51914042315675024</v>
      </c>
      <c r="Z550">
        <v>-0.40757497685423766</v>
      </c>
      <c r="AB550" s="3">
        <f t="shared" si="88"/>
        <v>-1.2513265508966233E-2</v>
      </c>
      <c r="AC550" s="3">
        <f t="shared" si="89"/>
        <v>-9.0657613792648958E-3</v>
      </c>
      <c r="AD550" s="3">
        <f t="shared" si="90"/>
        <v>-1.437173585849065E-2</v>
      </c>
      <c r="AE550" s="76">
        <f t="shared" si="91"/>
        <v>-5253.9047619047615</v>
      </c>
      <c r="AF550" s="76">
        <f t="shared" si="92"/>
        <v>-4337.0833333333339</v>
      </c>
      <c r="AG550" s="76">
        <f t="shared" si="93"/>
        <v>-7670.6101980615258</v>
      </c>
      <c r="AO550" s="5">
        <f t="shared" si="98"/>
        <v>9.0361445783132526E-3</v>
      </c>
      <c r="AP550" s="5">
        <f t="shared" si="94"/>
        <v>0.5392953480345094</v>
      </c>
      <c r="AR550" s="5">
        <f t="shared" si="95"/>
        <v>1.6881159462744932E-3</v>
      </c>
      <c r="AS550" s="5">
        <f t="shared" si="96"/>
        <v>8.1472111366691635E-3</v>
      </c>
      <c r="AT550" s="5">
        <f t="shared" si="97"/>
        <v>7.9886899327722083E-2</v>
      </c>
    </row>
    <row r="551" spans="12:46" x14ac:dyDescent="0.25">
      <c r="L551" s="4">
        <v>44739.5</v>
      </c>
      <c r="M551">
        <v>84</v>
      </c>
      <c r="N551">
        <v>85.74</v>
      </c>
      <c r="O551">
        <v>83</v>
      </c>
      <c r="P551">
        <v>84.51</v>
      </c>
      <c r="Q551">
        <v>15667</v>
      </c>
      <c r="R551">
        <v>356429</v>
      </c>
      <c r="S551">
        <v>129.459</v>
      </c>
      <c r="T551">
        <v>129.459</v>
      </c>
      <c r="U551">
        <v>129.459</v>
      </c>
      <c r="V551">
        <v>129.459</v>
      </c>
      <c r="W551">
        <v>0</v>
      </c>
      <c r="X551">
        <v>3.2510678690080619E-2</v>
      </c>
      <c r="Y551">
        <v>-0.4640524298420684</v>
      </c>
      <c r="Z551">
        <v>-0.4349894892653558</v>
      </c>
      <c r="AB551" s="3">
        <f t="shared" si="88"/>
        <v>-1.4831846929015423E-2</v>
      </c>
      <c r="AC551" s="3">
        <f t="shared" si="89"/>
        <v>-1.1053168658990781E-2</v>
      </c>
      <c r="AD551" s="3">
        <f t="shared" si="90"/>
        <v>-1.6029704424097145E-2</v>
      </c>
      <c r="AE551" s="76">
        <f t="shared" si="91"/>
        <v>-5696.8571428571431</v>
      </c>
      <c r="AF551" s="76">
        <f t="shared" si="92"/>
        <v>-4747.7797619047615</v>
      </c>
      <c r="AG551" s="76">
        <f t="shared" si="93"/>
        <v>-8063.949009692371</v>
      </c>
      <c r="AO551" s="5">
        <f t="shared" si="98"/>
        <v>-1.2046741356469239E-4</v>
      </c>
      <c r="AP551" s="5">
        <f t="shared" si="94"/>
        <v>0.53930162659691905</v>
      </c>
      <c r="AR551" s="5">
        <f t="shared" si="95"/>
        <v>1.7731637548950019E-3</v>
      </c>
      <c r="AS551" s="5">
        <f t="shared" si="96"/>
        <v>8.3633564011567074E-3</v>
      </c>
      <c r="AT551" s="5">
        <f t="shared" si="97"/>
        <v>8.1340405374758062E-2</v>
      </c>
    </row>
    <row r="552" spans="12:46" x14ac:dyDescent="0.25">
      <c r="L552" s="4">
        <v>44736.5</v>
      </c>
      <c r="M552">
        <v>84.28</v>
      </c>
      <c r="N552">
        <v>84.5</v>
      </c>
      <c r="O552">
        <v>83.01</v>
      </c>
      <c r="P552">
        <v>83.81</v>
      </c>
      <c r="Q552">
        <v>14640</v>
      </c>
      <c r="R552">
        <v>354816</v>
      </c>
      <c r="S552">
        <v>128.505</v>
      </c>
      <c r="T552">
        <v>128.505</v>
      </c>
      <c r="U552">
        <v>128.505</v>
      </c>
      <c r="V552">
        <v>128.505</v>
      </c>
      <c r="W552">
        <v>0</v>
      </c>
      <c r="X552">
        <v>1.8226299694189541E-2</v>
      </c>
      <c r="Y552">
        <v>-1.2418178380078806</v>
      </c>
      <c r="Z552">
        <v>-0.58653669058138402</v>
      </c>
      <c r="AB552" s="3">
        <f t="shared" si="88"/>
        <v>-1.6383119748720282E-2</v>
      </c>
      <c r="AC552" s="3">
        <f t="shared" si="89"/>
        <v>-1.2964110213070097E-2</v>
      </c>
      <c r="AD552" s="3">
        <f t="shared" si="90"/>
        <v>-1.6847377170042754E-2</v>
      </c>
      <c r="AE552" s="76">
        <f t="shared" si="91"/>
        <v>-6220.9047619047633</v>
      </c>
      <c r="AF552" s="76">
        <f t="shared" si="92"/>
        <v>-5262.8273809523816</v>
      </c>
      <c r="AG552" s="76">
        <f t="shared" si="93"/>
        <v>-8266.5389801938472</v>
      </c>
      <c r="AO552" s="5">
        <f t="shared" si="98"/>
        <v>1.790312691600255E-2</v>
      </c>
      <c r="AP552" s="5">
        <f t="shared" si="94"/>
        <v>0.5393447785911748</v>
      </c>
      <c r="AR552" s="5">
        <f t="shared" si="95"/>
        <v>1.9109053027088763E-3</v>
      </c>
      <c r="AS552" s="5">
        <f t="shared" si="96"/>
        <v>8.6496605421195749E-3</v>
      </c>
      <c r="AT552" s="5">
        <f t="shared" si="97"/>
        <v>8.2821838259319491E-2</v>
      </c>
    </row>
    <row r="553" spans="12:46" x14ac:dyDescent="0.25">
      <c r="L553" s="4">
        <v>44735.5</v>
      </c>
      <c r="M553">
        <v>81.75</v>
      </c>
      <c r="N553">
        <v>84.25</v>
      </c>
      <c r="O553">
        <v>81.55</v>
      </c>
      <c r="P553">
        <v>84.19</v>
      </c>
      <c r="Q553">
        <v>16812</v>
      </c>
      <c r="R553">
        <v>356368</v>
      </c>
      <c r="S553">
        <v>133.34700000000001</v>
      </c>
      <c r="T553">
        <v>133.34700000000001</v>
      </c>
      <c r="U553">
        <v>133.34700000000001</v>
      </c>
      <c r="V553">
        <v>133.34700000000001</v>
      </c>
      <c r="W553">
        <v>0</v>
      </c>
      <c r="X553">
        <v>3.1952662721893524E-2</v>
      </c>
      <c r="Y553">
        <v>-0.51713624242912171</v>
      </c>
      <c r="Z553">
        <v>-0.28450783211828817</v>
      </c>
      <c r="AB553" s="3">
        <f t="shared" si="88"/>
        <v>-1.4188642712587331E-2</v>
      </c>
      <c r="AC553" s="3">
        <f t="shared" si="89"/>
        <v>-1.2828938113341216E-2</v>
      </c>
      <c r="AD553" s="3">
        <f t="shared" si="90"/>
        <v>-1.5702169601089298E-2</v>
      </c>
      <c r="AE553" s="76">
        <f t="shared" si="91"/>
        <v>-5731.7142857142862</v>
      </c>
      <c r="AF553" s="76">
        <f t="shared" si="92"/>
        <v>-5059.2083333333358</v>
      </c>
      <c r="AG553" s="76">
        <f t="shared" si="93"/>
        <v>-7752.0842815002106</v>
      </c>
      <c r="AO553" s="5">
        <f t="shared" si="98"/>
        <v>4.3103448275861366E-3</v>
      </c>
      <c r="AP553" s="5">
        <f t="shared" si="94"/>
        <v>0.53918681139648272</v>
      </c>
      <c r="AR553" s="5">
        <f t="shared" si="95"/>
        <v>2.0149260361449484E-3</v>
      </c>
      <c r="AS553" s="5">
        <f t="shared" si="96"/>
        <v>8.9243569585654159E-3</v>
      </c>
      <c r="AT553" s="5">
        <f t="shared" si="97"/>
        <v>8.4328766133500765E-2</v>
      </c>
    </row>
    <row r="554" spans="12:46" x14ac:dyDescent="0.25">
      <c r="L554" s="4">
        <v>44734.5</v>
      </c>
      <c r="M554">
        <v>84.5</v>
      </c>
      <c r="N554">
        <v>84.83</v>
      </c>
      <c r="O554">
        <v>81.2</v>
      </c>
      <c r="P554">
        <v>81.99</v>
      </c>
      <c r="Q554">
        <v>21270</v>
      </c>
      <c r="R554">
        <v>358009</v>
      </c>
      <c r="S554">
        <v>127.17100000000001</v>
      </c>
      <c r="T554">
        <v>127.17100000000001</v>
      </c>
      <c r="U554">
        <v>127.17100000000001</v>
      </c>
      <c r="V554">
        <v>127.17100000000001</v>
      </c>
      <c r="W554">
        <v>0</v>
      </c>
      <c r="X554">
        <v>4.3045179651369565E-2</v>
      </c>
      <c r="Y554">
        <v>6.9926537215839996E-2</v>
      </c>
      <c r="Z554">
        <v>0.30981960746149068</v>
      </c>
      <c r="AB554" s="3">
        <f t="shared" si="88"/>
        <v>-1.4641333928378984E-2</v>
      </c>
      <c r="AC554" s="3">
        <f t="shared" si="89"/>
        <v>-1.5941766044446373E-2</v>
      </c>
      <c r="AD554" s="3">
        <f t="shared" si="90"/>
        <v>-1.6836667788989776E-2</v>
      </c>
      <c r="AE554" s="76">
        <f t="shared" si="91"/>
        <v>-6302.9047619047615</v>
      </c>
      <c r="AF554" s="76">
        <f t="shared" si="92"/>
        <v>-5641.6428571428569</v>
      </c>
      <c r="AG554" s="76">
        <f t="shared" si="93"/>
        <v>-8127.7092288242729</v>
      </c>
      <c r="AO554" s="5">
        <f t="shared" si="98"/>
        <v>-2.8010533875987589E-2</v>
      </c>
      <c r="AP554" s="5">
        <f t="shared" si="94"/>
        <v>0.53932160412520869</v>
      </c>
      <c r="AR554" s="5">
        <f t="shared" si="95"/>
        <v>2.2797746435172517E-3</v>
      </c>
      <c r="AS554" s="5">
        <f t="shared" si="96"/>
        <v>9.8566202597908381E-3</v>
      </c>
      <c r="AT554" s="5">
        <f t="shared" si="97"/>
        <v>8.5880861893522509E-2</v>
      </c>
    </row>
    <row r="555" spans="12:46" x14ac:dyDescent="0.25">
      <c r="L555" s="4">
        <v>44733.5</v>
      </c>
      <c r="M555">
        <v>84.33</v>
      </c>
      <c r="N555">
        <v>85.43</v>
      </c>
      <c r="O555">
        <v>83.54</v>
      </c>
      <c r="P555">
        <v>84.61</v>
      </c>
      <c r="Q555">
        <v>13995</v>
      </c>
      <c r="R555">
        <v>354426</v>
      </c>
      <c r="S555">
        <v>125.56</v>
      </c>
      <c r="T555">
        <v>125.56</v>
      </c>
      <c r="U555">
        <v>125.56</v>
      </c>
      <c r="V555">
        <v>125.56</v>
      </c>
      <c r="W555">
        <v>0</v>
      </c>
      <c r="X555">
        <v>2.2634730538922163E-2</v>
      </c>
      <c r="Y555">
        <v>-1.0311145462160229</v>
      </c>
      <c r="Z555">
        <v>-0.69273853801344409</v>
      </c>
      <c r="AB555" s="3">
        <f t="shared" si="88"/>
        <v>-1.3751657413460579E-2</v>
      </c>
      <c r="AC555" s="3">
        <f t="shared" si="89"/>
        <v>-1.5699837434641734E-2</v>
      </c>
      <c r="AD555" s="3">
        <f t="shared" si="90"/>
        <v>-1.5707786365555775E-2</v>
      </c>
      <c r="AE555" s="76">
        <f t="shared" si="91"/>
        <v>-6572.2380952380954</v>
      </c>
      <c r="AF555" s="76">
        <f t="shared" si="92"/>
        <v>-6208.8690476190459</v>
      </c>
      <c r="AG555" s="76">
        <f t="shared" si="93"/>
        <v>-8418.6203118415506</v>
      </c>
      <c r="AO555" s="5">
        <f t="shared" si="98"/>
        <v>7.7201447527141193E-3</v>
      </c>
      <c r="AP555" s="5">
        <f t="shared" si="94"/>
        <v>0.53892312188677649</v>
      </c>
      <c r="AR555" s="5">
        <f t="shared" si="95"/>
        <v>2.4258110515196218E-3</v>
      </c>
      <c r="AS555" s="5">
        <f t="shared" si="96"/>
        <v>1.0705900852568284E-2</v>
      </c>
      <c r="AT555" s="5">
        <f t="shared" si="97"/>
        <v>8.7477557099695624E-2</v>
      </c>
    </row>
    <row r="556" spans="12:46" x14ac:dyDescent="0.25">
      <c r="L556" s="4">
        <v>44732.5</v>
      </c>
      <c r="M556">
        <v>83.5</v>
      </c>
      <c r="N556">
        <v>85.33</v>
      </c>
      <c r="O556">
        <v>82.9</v>
      </c>
      <c r="P556">
        <v>84.01</v>
      </c>
      <c r="Q556">
        <v>14284</v>
      </c>
      <c r="R556">
        <v>354684</v>
      </c>
      <c r="S556">
        <v>117.738</v>
      </c>
      <c r="T556">
        <v>117.738</v>
      </c>
      <c r="U556">
        <v>117.738</v>
      </c>
      <c r="V556">
        <v>117.738</v>
      </c>
      <c r="W556">
        <v>0</v>
      </c>
      <c r="X556">
        <v>2.9312424607961306E-2</v>
      </c>
      <c r="Y556">
        <v>-0.6936979482285639</v>
      </c>
      <c r="Z556">
        <v>-0.65249151651861148</v>
      </c>
      <c r="AB556" s="3">
        <f t="shared" si="88"/>
        <v>-1.1554004824336592E-2</v>
      </c>
      <c r="AC556" s="3">
        <f t="shared" si="89"/>
        <v>-1.4112976845153211E-2</v>
      </c>
      <c r="AD556" s="3">
        <f t="shared" si="90"/>
        <v>-1.3724506660904641E-2</v>
      </c>
      <c r="AE556" s="76">
        <f t="shared" si="91"/>
        <v>-6462.0476190476184</v>
      </c>
      <c r="AF556" s="76">
        <f t="shared" si="92"/>
        <v>-6251.9880952380954</v>
      </c>
      <c r="AG556" s="76">
        <f t="shared" si="93"/>
        <v>-8522.1672987779202</v>
      </c>
      <c r="AO556" s="5">
        <f t="shared" si="98"/>
        <v>1.3447432762836291E-2</v>
      </c>
      <c r="AP556" s="5">
        <f t="shared" si="94"/>
        <v>0.53898439576291435</v>
      </c>
      <c r="AR556" s="5">
        <f t="shared" si="95"/>
        <v>2.7306154809666472E-3</v>
      </c>
      <c r="AS556" s="5">
        <f t="shared" si="96"/>
        <v>1.1872867963042655E-2</v>
      </c>
      <c r="AT556" s="5">
        <f t="shared" si="97"/>
        <v>8.9134094666887931E-2</v>
      </c>
    </row>
    <row r="557" spans="12:46" x14ac:dyDescent="0.25">
      <c r="L557" s="4">
        <v>44729.5</v>
      </c>
      <c r="M557">
        <v>82.9</v>
      </c>
      <c r="N557">
        <v>84.18</v>
      </c>
      <c r="O557">
        <v>81.8</v>
      </c>
      <c r="P557">
        <v>82.12</v>
      </c>
      <c r="Q557">
        <v>14468</v>
      </c>
      <c r="R557">
        <v>354889</v>
      </c>
      <c r="S557">
        <v>117.738</v>
      </c>
      <c r="T557">
        <v>117.738</v>
      </c>
      <c r="U557">
        <v>117.738</v>
      </c>
      <c r="V557">
        <v>117.738</v>
      </c>
      <c r="W557">
        <v>0</v>
      </c>
      <c r="X557">
        <v>2.7610208816705447E-2</v>
      </c>
      <c r="Y557">
        <v>-0.78231879369702184</v>
      </c>
      <c r="Z557">
        <v>-0.63909097740192233</v>
      </c>
      <c r="AB557" s="3">
        <f t="shared" si="88"/>
        <v>-9.6492905938265552E-3</v>
      </c>
      <c r="AC557" s="3">
        <f t="shared" si="89"/>
        <v>-1.389961819852454E-2</v>
      </c>
      <c r="AD557" s="3">
        <f t="shared" si="90"/>
        <v>-1.2947592839028146E-2</v>
      </c>
      <c r="AE557" s="76">
        <f t="shared" si="91"/>
        <v>-6034.8571428571431</v>
      </c>
      <c r="AF557" s="76">
        <f t="shared" si="92"/>
        <v>-6413.7678571428569</v>
      </c>
      <c r="AG557" s="76">
        <f t="shared" si="93"/>
        <v>-8629.9342604298381</v>
      </c>
      <c r="AO557" s="5">
        <f t="shared" si="98"/>
        <v>-4.260499087036013E-3</v>
      </c>
      <c r="AP557" s="5">
        <f t="shared" si="94"/>
        <v>0.53890258663828206</v>
      </c>
      <c r="AR557" s="5">
        <f t="shared" si="95"/>
        <v>2.9496309208929539E-3</v>
      </c>
      <c r="AS557" s="5">
        <f t="shared" si="96"/>
        <v>1.2968436064731304E-2</v>
      </c>
      <c r="AT557" s="5">
        <f t="shared" si="97"/>
        <v>9.0738586705089719E-2</v>
      </c>
    </row>
    <row r="558" spans="12:46" x14ac:dyDescent="0.25">
      <c r="L558" s="4">
        <v>44728.5</v>
      </c>
      <c r="M558">
        <v>86.2</v>
      </c>
      <c r="N558">
        <v>86.9</v>
      </c>
      <c r="O558">
        <v>82.15</v>
      </c>
      <c r="P558">
        <v>83</v>
      </c>
      <c r="Q558">
        <v>17930</v>
      </c>
      <c r="R558">
        <v>354335</v>
      </c>
      <c r="S558">
        <v>124.364</v>
      </c>
      <c r="T558">
        <v>124.364</v>
      </c>
      <c r="U558">
        <v>124.364</v>
      </c>
      <c r="V558">
        <v>124.364</v>
      </c>
      <c r="W558">
        <v>0</v>
      </c>
      <c r="X558">
        <v>5.6709646609360072E-2</v>
      </c>
      <c r="Y558">
        <v>0.76719935850861343</v>
      </c>
      <c r="Z558">
        <v>-0.17723004617601087</v>
      </c>
      <c r="AB558" s="3">
        <f t="shared" si="88"/>
        <v>-1.0366549727775148E-2</v>
      </c>
      <c r="AC558" s="3">
        <f t="shared" si="89"/>
        <v>-1.4695829866246873E-2</v>
      </c>
      <c r="AD558" s="3">
        <f t="shared" si="90"/>
        <v>-1.140466467222695E-2</v>
      </c>
      <c r="AE558" s="76">
        <f t="shared" si="91"/>
        <v>-5446.3333333333321</v>
      </c>
      <c r="AF558" s="76">
        <f t="shared" si="92"/>
        <v>-6624.9880952380954</v>
      </c>
      <c r="AG558" s="76">
        <f t="shared" si="93"/>
        <v>-8021.4138221660323</v>
      </c>
      <c r="AO558" s="5">
        <f t="shared" si="98"/>
        <v>-1.2145262145262037E-2</v>
      </c>
      <c r="AP558" s="5">
        <f t="shared" si="94"/>
        <v>0.5390508040321772</v>
      </c>
      <c r="AR558" s="5">
        <f t="shared" si="95"/>
        <v>3.3998135170426602E-3</v>
      </c>
      <c r="AS558" s="5">
        <f t="shared" si="96"/>
        <v>1.4533741169034831E-2</v>
      </c>
      <c r="AT558" s="5">
        <f t="shared" si="97"/>
        <v>9.2398554815166234E-2</v>
      </c>
    </row>
    <row r="559" spans="12:46" x14ac:dyDescent="0.25">
      <c r="L559" s="4">
        <v>44727.5</v>
      </c>
      <c r="M559">
        <v>83.76</v>
      </c>
      <c r="N559">
        <v>86.98</v>
      </c>
      <c r="O559">
        <v>83.16</v>
      </c>
      <c r="P559">
        <v>86.35</v>
      </c>
      <c r="Q559">
        <v>18144</v>
      </c>
      <c r="R559">
        <v>353528</v>
      </c>
      <c r="S559">
        <v>120.33199999999999</v>
      </c>
      <c r="T559">
        <v>120.33199999999999</v>
      </c>
      <c r="U559">
        <v>120.33199999999999</v>
      </c>
      <c r="V559">
        <v>120.33199999999999</v>
      </c>
      <c r="W559">
        <v>0</v>
      </c>
      <c r="X559">
        <v>4.6687851381080517E-2</v>
      </c>
      <c r="Y559">
        <v>0.2430188866572302</v>
      </c>
      <c r="Z559">
        <v>-0.15702155416014421</v>
      </c>
      <c r="AB559" s="3">
        <f t="shared" si="88"/>
        <v>-6.3300793394858168E-3</v>
      </c>
      <c r="AC559" s="3">
        <f t="shared" si="89"/>
        <v>-1.5989141564790518E-2</v>
      </c>
      <c r="AD559" s="3">
        <f t="shared" si="90"/>
        <v>-9.9944731208350124E-3</v>
      </c>
      <c r="AE559" s="76">
        <f t="shared" si="91"/>
        <v>-4112.4761904761908</v>
      </c>
      <c r="AF559" s="76">
        <f t="shared" si="92"/>
        <v>-6777.7678571428551</v>
      </c>
      <c r="AG559" s="76">
        <f t="shared" si="93"/>
        <v>-7539.190897597975</v>
      </c>
      <c r="AO559" s="5">
        <f t="shared" si="98"/>
        <v>2.3507692307692264E-2</v>
      </c>
      <c r="AP559" s="5">
        <f t="shared" si="94"/>
        <v>0.53895468182598416</v>
      </c>
      <c r="AR559" s="5">
        <f t="shared" si="95"/>
        <v>3.7570210751015631E-3</v>
      </c>
      <c r="AS559" s="5">
        <f t="shared" si="96"/>
        <v>1.6615081900547057E-2</v>
      </c>
      <c r="AT559" s="5">
        <f t="shared" si="97"/>
        <v>9.4012851363844296E-2</v>
      </c>
    </row>
    <row r="560" spans="12:46" x14ac:dyDescent="0.25">
      <c r="L560" s="4">
        <v>44726.5</v>
      </c>
      <c r="M560">
        <v>81.819999999999993</v>
      </c>
      <c r="N560">
        <v>84.5</v>
      </c>
      <c r="O560">
        <v>81.25</v>
      </c>
      <c r="P560">
        <v>84.03</v>
      </c>
      <c r="Q560">
        <v>16337</v>
      </c>
      <c r="R560">
        <v>354195</v>
      </c>
      <c r="S560">
        <v>97.04</v>
      </c>
      <c r="T560">
        <v>97.04</v>
      </c>
      <c r="U560">
        <v>97.04</v>
      </c>
      <c r="V560">
        <v>97.04</v>
      </c>
      <c r="W560">
        <v>0</v>
      </c>
      <c r="X560">
        <v>3.9585870889159568E-2</v>
      </c>
      <c r="Y560">
        <v>-0.13686155822067475</v>
      </c>
      <c r="Z560">
        <v>-0.42014945674206816</v>
      </c>
      <c r="AB560" s="3">
        <f t="shared" si="88"/>
        <v>-6.9095929077217441E-3</v>
      </c>
      <c r="AC560" s="3">
        <f t="shared" si="89"/>
        <v>-1.7058007659048198E-2</v>
      </c>
      <c r="AD560" s="3">
        <f t="shared" si="90"/>
        <v>-1.1285484957351738E-2</v>
      </c>
      <c r="AE560" s="76">
        <f t="shared" si="91"/>
        <v>-3081.9047619047597</v>
      </c>
      <c r="AF560" s="76">
        <f t="shared" si="92"/>
        <v>-6982.5357142857138</v>
      </c>
      <c r="AG560" s="76">
        <f t="shared" si="93"/>
        <v>-7851.26801517067</v>
      </c>
      <c r="AO560" s="5">
        <f t="shared" si="98"/>
        <v>1.8042851772960753E-2</v>
      </c>
      <c r="AP560" s="5">
        <f t="shared" si="94"/>
        <v>0.53861572104155198</v>
      </c>
      <c r="AR560" s="5">
        <f t="shared" si="95"/>
        <v>4.094911038662552E-3</v>
      </c>
      <c r="AS560" s="5">
        <f t="shared" si="96"/>
        <v>1.9367488419610224E-2</v>
      </c>
      <c r="AT560" s="5">
        <f t="shared" si="97"/>
        <v>9.5597206009456592E-2</v>
      </c>
    </row>
    <row r="561" spans="12:46" x14ac:dyDescent="0.25">
      <c r="L561" s="4">
        <v>44725.5</v>
      </c>
      <c r="M561">
        <v>82.1</v>
      </c>
      <c r="N561">
        <v>82.24</v>
      </c>
      <c r="O561">
        <v>79.81</v>
      </c>
      <c r="P561">
        <v>81.849999999999994</v>
      </c>
      <c r="Q561">
        <v>16778</v>
      </c>
      <c r="R561">
        <v>354398</v>
      </c>
      <c r="S561">
        <v>83.402000000000001</v>
      </c>
      <c r="T561">
        <v>83.402000000000001</v>
      </c>
      <c r="U561">
        <v>83.402000000000001</v>
      </c>
      <c r="V561">
        <v>83.402000000000001</v>
      </c>
      <c r="W561">
        <v>0</v>
      </c>
      <c r="X561">
        <v>2.9966703662597023E-2</v>
      </c>
      <c r="Y561">
        <v>-0.65737772594720933</v>
      </c>
      <c r="Z561">
        <v>-0.36599696495725231</v>
      </c>
      <c r="AB561" s="3">
        <f t="shared" si="88"/>
        <v>-7.6194267552526576E-3</v>
      </c>
      <c r="AC561" s="3">
        <f t="shared" si="89"/>
        <v>-1.741708877659616E-2</v>
      </c>
      <c r="AD561" s="3">
        <f t="shared" si="90"/>
        <v>-1.2035799082901803E-2</v>
      </c>
      <c r="AE561" s="76">
        <f t="shared" si="91"/>
        <v>-2432.5238095238092</v>
      </c>
      <c r="AF561" s="76">
        <f t="shared" si="92"/>
        <v>-7151.8035714285688</v>
      </c>
      <c r="AG561" s="76">
        <f t="shared" si="93"/>
        <v>-8345.9342604298363</v>
      </c>
      <c r="AO561" s="5">
        <f t="shared" si="98"/>
        <v>-4.2420461634435852E-3</v>
      </c>
      <c r="AP561" s="5">
        <f t="shared" si="94"/>
        <v>0.53907406498070309</v>
      </c>
      <c r="AR561" s="5">
        <f t="shared" si="95"/>
        <v>4.6654502245283558E-3</v>
      </c>
      <c r="AS561" s="5">
        <f t="shared" si="96"/>
        <v>2.2449317288465664E-2</v>
      </c>
      <c r="AT561" s="5">
        <f t="shared" si="97"/>
        <v>9.7386847022860823E-2</v>
      </c>
    </row>
    <row r="562" spans="12:46" x14ac:dyDescent="0.25">
      <c r="L562" s="4">
        <v>44722.5</v>
      </c>
      <c r="M562">
        <v>81.09</v>
      </c>
      <c r="N562">
        <v>82.8</v>
      </c>
      <c r="O562">
        <v>80.150000000000006</v>
      </c>
      <c r="P562">
        <v>82.35</v>
      </c>
      <c r="Q562">
        <v>14888</v>
      </c>
      <c r="R562">
        <v>353310</v>
      </c>
      <c r="S562">
        <v>82.463999999999999</v>
      </c>
      <c r="T562">
        <v>82.463999999999999</v>
      </c>
      <c r="U562">
        <v>82.463999999999999</v>
      </c>
      <c r="V562">
        <v>82.463999999999999</v>
      </c>
      <c r="W562">
        <v>0</v>
      </c>
      <c r="X562">
        <v>3.3021806853582449E-2</v>
      </c>
      <c r="Y562">
        <v>-0.52248601267788275</v>
      </c>
      <c r="Z562">
        <v>-0.63926010332569883</v>
      </c>
      <c r="AB562" s="3">
        <f t="shared" si="88"/>
        <v>-7.6546779193987224E-3</v>
      </c>
      <c r="AC562" s="3">
        <f t="shared" si="89"/>
        <v>-1.8460524092814852E-2</v>
      </c>
      <c r="AD562" s="3">
        <f t="shared" si="90"/>
        <v>-1.2010000502555934E-2</v>
      </c>
      <c r="AE562" s="76">
        <f t="shared" si="91"/>
        <v>-2635.0952380952403</v>
      </c>
      <c r="AF562" s="76">
        <f t="shared" si="92"/>
        <v>-7928.5357142857138</v>
      </c>
      <c r="AG562" s="76">
        <f t="shared" si="93"/>
        <v>-8764.2073324905177</v>
      </c>
      <c r="AO562" s="5">
        <f t="shared" si="98"/>
        <v>9.3187256013097745E-3</v>
      </c>
      <c r="AP562" s="5">
        <f t="shared" si="94"/>
        <v>0.5390416782121048</v>
      </c>
      <c r="AR562" s="5">
        <f t="shared" si="95"/>
        <v>5.2208518077149213E-3</v>
      </c>
      <c r="AS562" s="5">
        <f t="shared" si="96"/>
        <v>2.5499773441493678E-2</v>
      </c>
      <c r="AT562" s="5">
        <f t="shared" si="97"/>
        <v>9.9174548255334782E-2</v>
      </c>
    </row>
    <row r="563" spans="12:46" x14ac:dyDescent="0.25">
      <c r="L563" s="4">
        <v>44721.5</v>
      </c>
      <c r="M563">
        <v>80.25</v>
      </c>
      <c r="N563">
        <v>82.2</v>
      </c>
      <c r="O563">
        <v>79.41</v>
      </c>
      <c r="P563">
        <v>81.09</v>
      </c>
      <c r="Q563">
        <v>19644</v>
      </c>
      <c r="R563">
        <v>354735</v>
      </c>
      <c r="S563">
        <v>84.88</v>
      </c>
      <c r="T563">
        <v>84.88</v>
      </c>
      <c r="U563">
        <v>84.88</v>
      </c>
      <c r="V563">
        <v>84.88</v>
      </c>
      <c r="W563">
        <v>0</v>
      </c>
      <c r="X563">
        <v>3.4478497281265522E-2</v>
      </c>
      <c r="Y563">
        <v>-0.46629562222192622</v>
      </c>
      <c r="Z563">
        <v>-1.7524236361539113E-2</v>
      </c>
      <c r="AB563" s="3">
        <f t="shared" si="88"/>
        <v>-7.8702068073672887E-3</v>
      </c>
      <c r="AC563" s="3">
        <f t="shared" si="89"/>
        <v>-1.9477943852630873E-2</v>
      </c>
      <c r="AD563" s="3">
        <f t="shared" si="90"/>
        <v>-1.2467567873805228E-2</v>
      </c>
      <c r="AE563" s="76">
        <f t="shared" si="91"/>
        <v>-1902.1904761904771</v>
      </c>
      <c r="AF563" s="76">
        <f t="shared" si="92"/>
        <v>-7687.25</v>
      </c>
      <c r="AG563" s="76">
        <f t="shared" si="93"/>
        <v>-8462.218710493049</v>
      </c>
      <c r="AO563" s="5">
        <f t="shared" si="98"/>
        <v>3.9190897597977531E-3</v>
      </c>
      <c r="AP563" s="5">
        <f t="shared" si="94"/>
        <v>0.53904176411964122</v>
      </c>
      <c r="AR563" s="5">
        <f t="shared" si="95"/>
        <v>5.8174613550656673E-3</v>
      </c>
      <c r="AS563" s="5">
        <f t="shared" si="96"/>
        <v>2.8619427899158834E-2</v>
      </c>
      <c r="AT563" s="5">
        <f t="shared" si="97"/>
        <v>0.10101265168323942</v>
      </c>
    </row>
    <row r="564" spans="12:46" x14ac:dyDescent="0.25">
      <c r="L564" s="4">
        <v>44720.5</v>
      </c>
      <c r="M564">
        <v>80.92</v>
      </c>
      <c r="N564">
        <v>81.98</v>
      </c>
      <c r="O564">
        <v>79.099999999999994</v>
      </c>
      <c r="P564">
        <v>80.239999999999995</v>
      </c>
      <c r="Q564">
        <v>27948</v>
      </c>
      <c r="R564">
        <v>356932</v>
      </c>
      <c r="S564">
        <v>79.406999999999996</v>
      </c>
      <c r="T564">
        <v>79.406999999999996</v>
      </c>
      <c r="U564">
        <v>79.406999999999996</v>
      </c>
      <c r="V564">
        <v>79.406999999999996</v>
      </c>
      <c r="W564">
        <v>0</v>
      </c>
      <c r="X564">
        <v>3.5015197568389174E-2</v>
      </c>
      <c r="Y564">
        <v>-0.46085756324000759</v>
      </c>
      <c r="Z564">
        <v>1.0365874289737842</v>
      </c>
      <c r="AB564" s="3">
        <f t="shared" si="88"/>
        <v>-2.0581911780779005E-3</v>
      </c>
      <c r="AC564" s="3">
        <f t="shared" si="89"/>
        <v>-1.5430669874698856E-2</v>
      </c>
      <c r="AD564" s="3">
        <f t="shared" si="90"/>
        <v>-9.1064766898189334E-3</v>
      </c>
      <c r="AE564" s="76">
        <f t="shared" si="91"/>
        <v>-713.8571428571413</v>
      </c>
      <c r="AF564" s="76">
        <f t="shared" si="92"/>
        <v>-7036.0892857142862</v>
      </c>
      <c r="AG564" s="76">
        <f t="shared" si="93"/>
        <v>-7902.757269279391</v>
      </c>
      <c r="AO564" s="5">
        <f t="shared" si="98"/>
        <v>-1.8975567406672469E-2</v>
      </c>
      <c r="AP564" s="5">
        <f t="shared" si="94"/>
        <v>0.53904925397998082</v>
      </c>
      <c r="AR564" s="5">
        <f t="shared" si="95"/>
        <v>6.1372615912848039E-3</v>
      </c>
      <c r="AS564" s="5">
        <f t="shared" si="96"/>
        <v>3.1547605573355453E-2</v>
      </c>
      <c r="AT564" s="5">
        <f t="shared" si="97"/>
        <v>0.1026858326537079</v>
      </c>
    </row>
    <row r="565" spans="12:46" x14ac:dyDescent="0.25">
      <c r="L565" s="4">
        <v>44719.5</v>
      </c>
      <c r="M565">
        <v>82.25</v>
      </c>
      <c r="N565">
        <v>82.93</v>
      </c>
      <c r="O565">
        <v>80.63</v>
      </c>
      <c r="P565">
        <v>80.900000000000006</v>
      </c>
      <c r="Q565">
        <v>18467</v>
      </c>
      <c r="R565">
        <v>359739</v>
      </c>
      <c r="S565">
        <v>80.41</v>
      </c>
      <c r="T565">
        <v>81.02</v>
      </c>
      <c r="U565">
        <v>79.608000000000004</v>
      </c>
      <c r="V565">
        <v>79.608000000000004</v>
      </c>
      <c r="W565">
        <v>12</v>
      </c>
      <c r="X565">
        <v>2.6373122348354677E-2</v>
      </c>
      <c r="Y565">
        <v>-0.84584562385501938</v>
      </c>
      <c r="Z565">
        <v>-0.21666097239641821</v>
      </c>
      <c r="AB565" s="3">
        <f t="shared" si="88"/>
        <v>-2.2219084494619415E-3</v>
      </c>
      <c r="AC565" s="3">
        <f t="shared" si="89"/>
        <v>-1.5598500724822474E-2</v>
      </c>
      <c r="AD565" s="3">
        <f t="shared" si="90"/>
        <v>-9.4106479503228146E-3</v>
      </c>
      <c r="AE565" s="76">
        <f t="shared" si="91"/>
        <v>-877.04761904761835</v>
      </c>
      <c r="AF565" s="76">
        <f t="shared" si="92"/>
        <v>-7389.375</v>
      </c>
      <c r="AG565" s="76">
        <f t="shared" si="93"/>
        <v>-8599.6852085967148</v>
      </c>
      <c r="AO565" s="5">
        <f t="shared" si="98"/>
        <v>-7.3864335836514652E-3</v>
      </c>
      <c r="AP565" s="5">
        <f t="shared" si="94"/>
        <v>0.53880696795685989</v>
      </c>
      <c r="AR565" s="5">
        <f t="shared" si="95"/>
        <v>6.3487464296055895E-3</v>
      </c>
      <c r="AS565" s="5">
        <f t="shared" si="96"/>
        <v>3.4386515183178701E-2</v>
      </c>
      <c r="AT565" s="5">
        <f t="shared" si="97"/>
        <v>0.10429653552574608</v>
      </c>
    </row>
    <row r="566" spans="12:46" x14ac:dyDescent="0.25">
      <c r="L566" s="4">
        <v>44718.5</v>
      </c>
      <c r="M566">
        <v>87.21</v>
      </c>
      <c r="N566">
        <v>87.21</v>
      </c>
      <c r="O566">
        <v>81.23</v>
      </c>
      <c r="P566">
        <v>82.11</v>
      </c>
      <c r="Q566">
        <v>16410</v>
      </c>
      <c r="R566">
        <v>361640</v>
      </c>
      <c r="S566">
        <v>83.004999999999995</v>
      </c>
      <c r="T566">
        <v>83.004999999999995</v>
      </c>
      <c r="U566">
        <v>82.558000000000007</v>
      </c>
      <c r="V566">
        <v>82.558000000000007</v>
      </c>
      <c r="W566">
        <v>15</v>
      </c>
      <c r="X566">
        <v>6.9261060921936415E-2</v>
      </c>
      <c r="Y566">
        <v>0.68858818584838521</v>
      </c>
      <c r="Z566">
        <v>-0.48962827519991842</v>
      </c>
      <c r="AB566" s="3">
        <f t="shared" si="88"/>
        <v>1.6962106032080287E-3</v>
      </c>
      <c r="AC566" s="3">
        <f t="shared" si="89"/>
        <v>-1.3369309095331121E-2</v>
      </c>
      <c r="AD566" s="3">
        <f t="shared" si="90"/>
        <v>-7.4446412345463495E-3</v>
      </c>
      <c r="AE566" s="76">
        <f t="shared" si="91"/>
        <v>427.66666666666788</v>
      </c>
      <c r="AF566" s="76">
        <f t="shared" si="92"/>
        <v>-6692.6845238095229</v>
      </c>
      <c r="AG566" s="76">
        <f t="shared" si="93"/>
        <v>-8190.3253265908133</v>
      </c>
      <c r="AO566" s="5">
        <f t="shared" si="98"/>
        <v>-5.5355273869054436E-2</v>
      </c>
      <c r="AP566" s="5">
        <f t="shared" si="94"/>
        <v>0.54038976768611247</v>
      </c>
      <c r="AR566" s="5">
        <f t="shared" si="95"/>
        <v>6.5959613208176338E-3</v>
      </c>
      <c r="AS566" s="5">
        <f t="shared" si="96"/>
        <v>3.7223031691907216E-2</v>
      </c>
      <c r="AT566" s="5">
        <f t="shared" si="97"/>
        <v>0.10591413889636891</v>
      </c>
    </row>
    <row r="567" spans="12:46" x14ac:dyDescent="0.25">
      <c r="L567" s="4">
        <v>44715.5</v>
      </c>
      <c r="M567">
        <v>86.34</v>
      </c>
      <c r="N567">
        <v>87.33</v>
      </c>
      <c r="O567">
        <v>85.99</v>
      </c>
      <c r="P567">
        <v>87.09</v>
      </c>
      <c r="Q567">
        <v>4565</v>
      </c>
      <c r="R567">
        <v>359751</v>
      </c>
      <c r="S567">
        <v>83.100999999999999</v>
      </c>
      <c r="T567">
        <v>83.100999999999999</v>
      </c>
      <c r="U567">
        <v>83.100999999999999</v>
      </c>
      <c r="V567">
        <v>83.100999999999999</v>
      </c>
      <c r="W567">
        <v>0</v>
      </c>
      <c r="X567">
        <v>1.5554265815438229E-2</v>
      </c>
      <c r="Y567">
        <v>-1.096768489866081</v>
      </c>
      <c r="Z567">
        <v>-1.8592625482699596</v>
      </c>
      <c r="AB567" s="3">
        <f t="shared" si="88"/>
        <v>2.6827643179062888E-4</v>
      </c>
      <c r="AC567" s="3">
        <f t="shared" si="89"/>
        <v>-1.4597498712303182E-2</v>
      </c>
      <c r="AD567" s="3">
        <f t="shared" si="90"/>
        <v>-8.4485289796378676E-3</v>
      </c>
      <c r="AE567" s="76">
        <f t="shared" si="91"/>
        <v>961.09523809523671</v>
      </c>
      <c r="AF567" s="76">
        <f t="shared" si="92"/>
        <v>-6495.7678571428587</v>
      </c>
      <c r="AG567" s="76">
        <f t="shared" si="93"/>
        <v>-7919.1921618204797</v>
      </c>
      <c r="AO567" s="5">
        <f t="shared" si="98"/>
        <v>4.3214202289183637E-3</v>
      </c>
      <c r="AP567" s="5">
        <f t="shared" si="94"/>
        <v>0.53735869888689358</v>
      </c>
      <c r="AR567" s="5">
        <f t="shared" si="95"/>
        <v>6.8472162466394204E-3</v>
      </c>
      <c r="AS567" s="5">
        <f t="shared" si="96"/>
        <v>3.9990089807463491E-2</v>
      </c>
      <c r="AT567" s="5">
        <f t="shared" si="97"/>
        <v>0.10747234699625302</v>
      </c>
    </row>
    <row r="568" spans="12:46" x14ac:dyDescent="0.25">
      <c r="L568" s="4">
        <v>44714.5</v>
      </c>
      <c r="M568">
        <v>86.15</v>
      </c>
      <c r="N568">
        <v>88.64</v>
      </c>
      <c r="O568">
        <v>85.62</v>
      </c>
      <c r="P568">
        <v>86.21</v>
      </c>
      <c r="Q568">
        <v>8333</v>
      </c>
      <c r="R568">
        <v>359874</v>
      </c>
      <c r="S568">
        <v>83.944999999999993</v>
      </c>
      <c r="T568">
        <v>83.944999999999993</v>
      </c>
      <c r="U568">
        <v>83.944999999999993</v>
      </c>
      <c r="V568">
        <v>83.944999999999993</v>
      </c>
      <c r="W568">
        <v>0</v>
      </c>
      <c r="X568">
        <v>3.5858465922583661E-2</v>
      </c>
      <c r="Y568">
        <v>-0.46628096589534163</v>
      </c>
      <c r="Z568">
        <v>-1.4782460500106258</v>
      </c>
      <c r="AB568" s="3">
        <f t="shared" si="88"/>
        <v>3.3901768959863909E-3</v>
      </c>
      <c r="AC568" s="3">
        <f t="shared" si="89"/>
        <v>-1.2169494891243943E-2</v>
      </c>
      <c r="AD568" s="3">
        <f t="shared" si="90"/>
        <v>-6.1449844863102204E-3</v>
      </c>
      <c r="AE568" s="76">
        <f t="shared" si="91"/>
        <v>2463.7619047619046</v>
      </c>
      <c r="AF568" s="76">
        <f t="shared" si="92"/>
        <v>-5438.9821428571449</v>
      </c>
      <c r="AG568" s="76">
        <f t="shared" si="93"/>
        <v>-6833.5145385587894</v>
      </c>
      <c r="AO568" s="5">
        <f t="shared" si="98"/>
        <v>2.1596468201885242E-2</v>
      </c>
      <c r="AP568" s="5">
        <f t="shared" si="94"/>
        <v>0.53771964591091714</v>
      </c>
      <c r="AR568" s="5">
        <f t="shared" si="95"/>
        <v>7.2223577221784963E-3</v>
      </c>
      <c r="AS568" s="5">
        <f t="shared" si="96"/>
        <v>4.2900480307125954E-2</v>
      </c>
      <c r="AT568" s="5">
        <f t="shared" si="97"/>
        <v>0.1091588224132482</v>
      </c>
    </row>
    <row r="569" spans="12:46" x14ac:dyDescent="0.25">
      <c r="L569" s="4">
        <v>44713.5</v>
      </c>
      <c r="M569">
        <v>84.22</v>
      </c>
      <c r="N569">
        <v>87.64</v>
      </c>
      <c r="O569">
        <v>83.81</v>
      </c>
      <c r="P569">
        <v>86.42</v>
      </c>
      <c r="Q569">
        <v>13337</v>
      </c>
      <c r="R569">
        <v>360951</v>
      </c>
      <c r="S569">
        <v>85.551000000000002</v>
      </c>
      <c r="T569">
        <v>85.551000000000002</v>
      </c>
      <c r="U569">
        <v>85.551000000000002</v>
      </c>
      <c r="V569">
        <v>85.551000000000002</v>
      </c>
      <c r="W569">
        <v>0</v>
      </c>
      <c r="X569">
        <v>4.5595238095238078E-2</v>
      </c>
      <c r="Y569">
        <v>-0.17129833948112777</v>
      </c>
      <c r="Z569">
        <v>-0.82193111514591666</v>
      </c>
      <c r="AB569" s="3">
        <f t="shared" si="88"/>
        <v>4.5995590765030153E-3</v>
      </c>
      <c r="AC569" s="3">
        <f t="shared" si="89"/>
        <v>-1.170885466200762E-2</v>
      </c>
      <c r="AD569" s="3">
        <f t="shared" si="90"/>
        <v>-6.0506034544824255E-3</v>
      </c>
      <c r="AE569" s="76">
        <f t="shared" si="91"/>
        <v>3543.1904761904771</v>
      </c>
      <c r="AF569" s="76">
        <f t="shared" si="92"/>
        <v>-4701.9107142857138</v>
      </c>
      <c r="AG569" s="76">
        <f t="shared" si="93"/>
        <v>-6201.9089759797716</v>
      </c>
      <c r="AO569" s="5">
        <f t="shared" si="98"/>
        <v>3.7125748502994283E-3</v>
      </c>
      <c r="AP569" s="5">
        <f t="shared" si="94"/>
        <v>0.53763392318821057</v>
      </c>
      <c r="AR569" s="5">
        <f t="shared" si="95"/>
        <v>7.5774984434104908E-3</v>
      </c>
      <c r="AS569" s="5">
        <f t="shared" si="96"/>
        <v>4.5809520518662217E-2</v>
      </c>
      <c r="AT569" s="5">
        <f t="shared" si="97"/>
        <v>0.11085261781221539</v>
      </c>
    </row>
    <row r="570" spans="12:46" x14ac:dyDescent="0.25">
      <c r="L570" s="4">
        <v>44712.5</v>
      </c>
      <c r="M570">
        <v>84</v>
      </c>
      <c r="N570">
        <v>85</v>
      </c>
      <c r="O570">
        <v>83.5</v>
      </c>
      <c r="P570">
        <v>84</v>
      </c>
      <c r="Q570">
        <v>12543</v>
      </c>
      <c r="R570">
        <v>363136</v>
      </c>
      <c r="S570">
        <v>94.004000000000005</v>
      </c>
      <c r="T570">
        <v>94.004000000000005</v>
      </c>
      <c r="U570">
        <v>94.004000000000005</v>
      </c>
      <c r="V570">
        <v>94.004000000000005</v>
      </c>
      <c r="W570">
        <v>0</v>
      </c>
      <c r="X570">
        <v>1.7780938833570414E-2</v>
      </c>
      <c r="Y570">
        <v>-0.99566411361542029</v>
      </c>
      <c r="Z570">
        <v>-0.83878219250617891</v>
      </c>
      <c r="AB570" s="3">
        <f t="shared" si="88"/>
        <v>8.2541733037677645E-3</v>
      </c>
      <c r="AC570" s="3">
        <f t="shared" si="89"/>
        <v>-9.7229212261170928E-3</v>
      </c>
      <c r="AD570" s="3">
        <f t="shared" si="90"/>
        <v>-4.3131129304490798E-3</v>
      </c>
      <c r="AE570" s="76">
        <f t="shared" si="91"/>
        <v>4405.6666666666642</v>
      </c>
      <c r="AF570" s="76">
        <f t="shared" si="92"/>
        <v>-4213.8214285714312</v>
      </c>
      <c r="AG570" s="76">
        <f t="shared" si="93"/>
        <v>-5792.6232616940579</v>
      </c>
      <c r="AO570" s="5">
        <f t="shared" si="98"/>
        <v>4.9344084727403611E-3</v>
      </c>
      <c r="AP570" s="5">
        <f t="shared" si="94"/>
        <v>0.53796923746408432</v>
      </c>
      <c r="AR570" s="5">
        <f t="shared" si="95"/>
        <v>7.8207812021023893E-3</v>
      </c>
      <c r="AS570" s="5">
        <f t="shared" si="96"/>
        <v>4.8632814692455228E-2</v>
      </c>
      <c r="AT570" s="5">
        <f t="shared" si="97"/>
        <v>0.11248835840706545</v>
      </c>
    </row>
    <row r="571" spans="12:46" x14ac:dyDescent="0.25">
      <c r="L571" s="4">
        <v>44711.5</v>
      </c>
      <c r="M571">
        <v>84.36</v>
      </c>
      <c r="N571">
        <v>85.05</v>
      </c>
      <c r="O571">
        <v>83.09</v>
      </c>
      <c r="P571">
        <v>83.2</v>
      </c>
      <c r="Q571">
        <v>11268</v>
      </c>
      <c r="R571">
        <v>364583</v>
      </c>
      <c r="S571">
        <v>86.25</v>
      </c>
      <c r="T571">
        <v>86.875</v>
      </c>
      <c r="U571">
        <v>86.25</v>
      </c>
      <c r="V571">
        <v>86.875</v>
      </c>
      <c r="W571">
        <v>0</v>
      </c>
      <c r="X571">
        <v>2.3094143984918034E-2</v>
      </c>
      <c r="Y571">
        <v>-0.81698346656195342</v>
      </c>
      <c r="Z571">
        <v>-0.96219634508550789</v>
      </c>
      <c r="AB571" s="3">
        <f t="shared" si="88"/>
        <v>8.084068795670564E-3</v>
      </c>
      <c r="AC571" s="3">
        <f t="shared" si="89"/>
        <v>-9.5812129590753595E-3</v>
      </c>
      <c r="AD571" s="3">
        <f t="shared" si="90"/>
        <v>-4.0251785027571874E-3</v>
      </c>
      <c r="AE571" s="76">
        <f t="shared" si="91"/>
        <v>4035.2857142857138</v>
      </c>
      <c r="AF571" s="76">
        <f t="shared" si="92"/>
        <v>-4547.75</v>
      </c>
      <c r="AG571" s="76">
        <f t="shared" si="93"/>
        <v>-6124.5461441213665</v>
      </c>
      <c r="AO571" s="5">
        <f t="shared" si="98"/>
        <v>-4.3139604553624859E-3</v>
      </c>
      <c r="AP571" s="5">
        <f t="shared" si="94"/>
        <v>0.53800000953925253</v>
      </c>
      <c r="AR571" s="5">
        <f t="shared" si="95"/>
        <v>8.061594523490645E-3</v>
      </c>
      <c r="AS571" s="5">
        <f t="shared" si="96"/>
        <v>5.1366502126989733E-2</v>
      </c>
      <c r="AT571" s="5">
        <f t="shared" si="97"/>
        <v>0.11413710801788396</v>
      </c>
    </row>
    <row r="572" spans="12:46" x14ac:dyDescent="0.25">
      <c r="L572" s="4">
        <v>44708.5</v>
      </c>
      <c r="M572">
        <v>84.87</v>
      </c>
      <c r="N572">
        <v>85.33</v>
      </c>
      <c r="O572">
        <v>83.45</v>
      </c>
      <c r="P572">
        <v>83.98</v>
      </c>
      <c r="Q572">
        <v>12447</v>
      </c>
      <c r="R572">
        <v>364523</v>
      </c>
      <c r="S572">
        <v>86.25</v>
      </c>
      <c r="T572">
        <v>86.875</v>
      </c>
      <c r="U572">
        <v>86.25</v>
      </c>
      <c r="V572">
        <v>86.875</v>
      </c>
      <c r="W572">
        <v>0</v>
      </c>
      <c r="X572">
        <v>2.3166974738139192E-2</v>
      </c>
      <c r="Y572">
        <v>-0.83577712091408807</v>
      </c>
      <c r="Z572">
        <v>-0.88937180655235892</v>
      </c>
      <c r="AB572" s="3">
        <f t="shared" si="88"/>
        <v>8.108010696553869E-3</v>
      </c>
      <c r="AC572" s="3">
        <f t="shared" si="89"/>
        <v>-8.6015371931080289E-3</v>
      </c>
      <c r="AD572" s="3">
        <f t="shared" si="90"/>
        <v>-2.9039345748777257E-3</v>
      </c>
      <c r="AE572" s="76">
        <f t="shared" si="91"/>
        <v>3331.1904761904771</v>
      </c>
      <c r="AF572" s="76">
        <f t="shared" si="92"/>
        <v>-4547.6726190476184</v>
      </c>
      <c r="AG572" s="76">
        <f t="shared" si="93"/>
        <v>-6040.649388959122</v>
      </c>
      <c r="AO572" s="5">
        <f t="shared" si="98"/>
        <v>2.8849710270003742E-2</v>
      </c>
      <c r="AP572" s="5">
        <f t="shared" si="94"/>
        <v>0.53825177010681147</v>
      </c>
      <c r="AR572" s="5">
        <f t="shared" si="95"/>
        <v>8.3501143963637947E-3</v>
      </c>
      <c r="AS572" s="5">
        <f t="shared" si="96"/>
        <v>5.4102757577495497E-2</v>
      </c>
      <c r="AT572" s="5">
        <f t="shared" si="97"/>
        <v>0.11580514941618852</v>
      </c>
    </row>
    <row r="573" spans="12:46" x14ac:dyDescent="0.25">
      <c r="L573" s="4">
        <v>44707.5</v>
      </c>
      <c r="M573">
        <v>81.150000000000006</v>
      </c>
      <c r="N573">
        <v>85.21</v>
      </c>
      <c r="O573">
        <v>81.11</v>
      </c>
      <c r="P573">
        <v>85.12</v>
      </c>
      <c r="Q573">
        <v>23608</v>
      </c>
      <c r="R573">
        <v>365343</v>
      </c>
      <c r="S573">
        <v>85.971000000000004</v>
      </c>
      <c r="T573">
        <v>85.971000000000004</v>
      </c>
      <c r="U573">
        <v>85.971000000000004</v>
      </c>
      <c r="V573">
        <v>85.971000000000004</v>
      </c>
      <c r="W573">
        <v>0</v>
      </c>
      <c r="X573">
        <v>5.0717466600692651E-2</v>
      </c>
      <c r="Y573">
        <v>-0.15402892800699236</v>
      </c>
      <c r="Z573">
        <v>-7.3569107295664307E-2</v>
      </c>
      <c r="AB573" s="3">
        <f t="shared" si="88"/>
        <v>8.5867391347694902E-3</v>
      </c>
      <c r="AC573" s="3">
        <f t="shared" si="89"/>
        <v>-8.0178830692000796E-3</v>
      </c>
      <c r="AD573" s="3">
        <f t="shared" si="90"/>
        <v>-1.6376327768461221E-3</v>
      </c>
      <c r="AE573" s="76">
        <f t="shared" si="91"/>
        <v>2866.9523809523816</v>
      </c>
      <c r="AF573" s="76">
        <f t="shared" si="92"/>
        <v>-4451.9761904761908</v>
      </c>
      <c r="AG573" s="76">
        <f t="shared" si="93"/>
        <v>-5785.2005899705</v>
      </c>
      <c r="AO573" s="5">
        <f t="shared" si="98"/>
        <v>1.0212977954913353E-2</v>
      </c>
      <c r="AP573" s="5">
        <f t="shared" si="94"/>
        <v>0.53787640581028839</v>
      </c>
      <c r="AR573" s="5">
        <f t="shared" si="95"/>
        <v>8.5893861044245012E-3</v>
      </c>
      <c r="AS573" s="5">
        <f t="shared" si="96"/>
        <v>5.67861811245437E-2</v>
      </c>
      <c r="AT573" s="5">
        <f t="shared" si="97"/>
        <v>0.11742652291558886</v>
      </c>
    </row>
    <row r="574" spans="12:46" x14ac:dyDescent="0.25">
      <c r="L574" s="4">
        <v>44706.5</v>
      </c>
      <c r="M574">
        <v>80.84</v>
      </c>
      <c r="N574">
        <v>82.63</v>
      </c>
      <c r="O574">
        <v>80.290000000000006</v>
      </c>
      <c r="P574">
        <v>81.5</v>
      </c>
      <c r="Q574">
        <v>13831</v>
      </c>
      <c r="R574">
        <v>378199</v>
      </c>
      <c r="S574">
        <v>85.625</v>
      </c>
      <c r="T574">
        <v>88.078000000000003</v>
      </c>
      <c r="U574">
        <v>84.84</v>
      </c>
      <c r="V574">
        <v>88.078000000000003</v>
      </c>
      <c r="W574">
        <v>46</v>
      </c>
      <c r="X574">
        <v>2.9953917050691104E-2</v>
      </c>
      <c r="Y574">
        <v>-0.682887399654587</v>
      </c>
      <c r="Z574">
        <v>-0.81449004826701432</v>
      </c>
      <c r="AB574" s="3">
        <f t="shared" si="88"/>
        <v>8.6060710748216834E-3</v>
      </c>
      <c r="AC574" s="3">
        <f t="shared" si="89"/>
        <v>-8.6010333630582442E-3</v>
      </c>
      <c r="AD574" s="3">
        <f t="shared" si="90"/>
        <v>-2.1233477497439243E-3</v>
      </c>
      <c r="AE574" s="76">
        <f t="shared" si="91"/>
        <v>2648.9523809523816</v>
      </c>
      <c r="AF574" s="76">
        <f t="shared" si="92"/>
        <v>-4657.2619047619046</v>
      </c>
      <c r="AG574" s="76">
        <f t="shared" si="93"/>
        <v>-5887.9894648124755</v>
      </c>
      <c r="AO574" s="5">
        <f t="shared" si="98"/>
        <v>3.7606616696821027E-2</v>
      </c>
      <c r="AP574" s="5">
        <f t="shared" si="94"/>
        <v>0.53885465653891274</v>
      </c>
      <c r="AR574" s="5">
        <f t="shared" si="95"/>
        <v>8.9242700828064958E-3</v>
      </c>
      <c r="AS574" s="5">
        <f t="shared" si="96"/>
        <v>5.9555302484777861E-2</v>
      </c>
      <c r="AT574" s="5">
        <f t="shared" si="97"/>
        <v>0.11904982016747245</v>
      </c>
    </row>
    <row r="575" spans="12:46" x14ac:dyDescent="0.25">
      <c r="L575" s="4">
        <v>44705.5</v>
      </c>
      <c r="M575">
        <v>78.12</v>
      </c>
      <c r="N575">
        <v>82.66</v>
      </c>
      <c r="O575">
        <v>77.38</v>
      </c>
      <c r="P575">
        <v>80.84</v>
      </c>
      <c r="Q575">
        <v>19829</v>
      </c>
      <c r="R575">
        <v>380374</v>
      </c>
      <c r="S575">
        <v>86.875</v>
      </c>
      <c r="T575">
        <v>86.875</v>
      </c>
      <c r="U575">
        <v>84.507000000000005</v>
      </c>
      <c r="V575">
        <v>84.507000000000005</v>
      </c>
      <c r="W575">
        <v>5</v>
      </c>
      <c r="X575">
        <v>6.5868263473053912E-2</v>
      </c>
      <c r="Y575">
        <v>0.18918181994746797</v>
      </c>
      <c r="Z575">
        <v>-0.37593899135293402</v>
      </c>
      <c r="AB575" s="3">
        <f t="shared" si="88"/>
        <v>8.2405676168369538E-3</v>
      </c>
      <c r="AC575" s="3">
        <f t="shared" si="89"/>
        <v>-8.1579440798888597E-3</v>
      </c>
      <c r="AD575" s="3">
        <f t="shared" si="90"/>
        <v>-1.8271941322111143E-3</v>
      </c>
      <c r="AE575" s="76">
        <f t="shared" si="91"/>
        <v>3117.7142857142862</v>
      </c>
      <c r="AF575" s="76">
        <f t="shared" si="92"/>
        <v>-4253.9702380952367</v>
      </c>
      <c r="AG575" s="76">
        <f t="shared" si="93"/>
        <v>-5534.7690686894239</v>
      </c>
      <c r="AO575" s="5">
        <f t="shared" si="98"/>
        <v>-5.3984575835475798E-3</v>
      </c>
      <c r="AP575" s="5">
        <f t="shared" si="94"/>
        <v>0.5377423063749448</v>
      </c>
      <c r="AR575" s="5">
        <f t="shared" si="95"/>
        <v>9.1159854815855423E-3</v>
      </c>
      <c r="AS575" s="5">
        <f t="shared" si="96"/>
        <v>6.2181283223399331E-2</v>
      </c>
      <c r="AT575" s="5">
        <f t="shared" si="97"/>
        <v>0.12056740036723507</v>
      </c>
    </row>
    <row r="576" spans="12:46" x14ac:dyDescent="0.25">
      <c r="L576" s="4">
        <v>44704.5</v>
      </c>
      <c r="M576">
        <v>80.16</v>
      </c>
      <c r="N576">
        <v>82.67</v>
      </c>
      <c r="O576">
        <v>77.8</v>
      </c>
      <c r="P576">
        <v>77.819999999999993</v>
      </c>
      <c r="Q576">
        <v>19319</v>
      </c>
      <c r="R576">
        <v>380043</v>
      </c>
      <c r="S576">
        <v>85.22</v>
      </c>
      <c r="T576">
        <v>85.22</v>
      </c>
      <c r="U576">
        <v>83.287999999999997</v>
      </c>
      <c r="V576">
        <v>83.287999999999997</v>
      </c>
      <c r="W576">
        <v>5</v>
      </c>
      <c r="X576">
        <v>5.8323353293413226E-2</v>
      </c>
      <c r="Y576">
        <v>1.8199550627743297E-2</v>
      </c>
      <c r="Z576">
        <v>-0.41454829750505151</v>
      </c>
      <c r="AB576" s="3">
        <f t="shared" si="88"/>
        <v>1.0634087336959905E-2</v>
      </c>
      <c r="AC576" s="3">
        <f t="shared" si="89"/>
        <v>-7.2904267762724448E-3</v>
      </c>
      <c r="AD576" s="3">
        <f t="shared" si="90"/>
        <v>-1.2367453556429431E-3</v>
      </c>
      <c r="AE576" s="76">
        <f t="shared" si="91"/>
        <v>3582.6190476190495</v>
      </c>
      <c r="AF576" s="76">
        <f t="shared" si="92"/>
        <v>-4121.8988095238092</v>
      </c>
      <c r="AG576" s="76">
        <f t="shared" si="93"/>
        <v>-5371.3468183733676</v>
      </c>
      <c r="AO576" s="5">
        <f t="shared" si="98"/>
        <v>-2.9441117764471052E-2</v>
      </c>
      <c r="AP576" s="5">
        <f t="shared" si="94"/>
        <v>0.53845257563346005</v>
      </c>
      <c r="AR576" s="5">
        <f t="shared" si="95"/>
        <v>9.3680090029343299E-3</v>
      </c>
      <c r="AS576" s="5">
        <f t="shared" si="96"/>
        <v>6.4851060181565667E-2</v>
      </c>
      <c r="AT576" s="5">
        <f t="shared" si="97"/>
        <v>0.12213311436162944</v>
      </c>
    </row>
    <row r="577" spans="12:46" x14ac:dyDescent="0.25">
      <c r="L577" s="4">
        <v>44701.5</v>
      </c>
      <c r="M577">
        <v>83.5</v>
      </c>
      <c r="N577">
        <v>84.2</v>
      </c>
      <c r="O577">
        <v>80.16</v>
      </c>
      <c r="P577">
        <v>80.37</v>
      </c>
      <c r="Q577">
        <v>19002</v>
      </c>
      <c r="R577">
        <v>380209</v>
      </c>
      <c r="S577">
        <v>87.902000000000001</v>
      </c>
      <c r="T577">
        <v>87.902000000000001</v>
      </c>
      <c r="U577">
        <v>87.902000000000001</v>
      </c>
      <c r="V577">
        <v>87.902000000000001</v>
      </c>
      <c r="W577">
        <v>0</v>
      </c>
      <c r="X577">
        <v>4.7771077214142206E-2</v>
      </c>
      <c r="Y577">
        <v>-0.23172813862425753</v>
      </c>
      <c r="Z577">
        <v>-0.4411452542424803</v>
      </c>
      <c r="AB577" s="3">
        <f t="shared" si="88"/>
        <v>1.044902316354672E-2</v>
      </c>
      <c r="AC577" s="3">
        <f t="shared" si="89"/>
        <v>-7.2990349384232309E-3</v>
      </c>
      <c r="AD577" s="3">
        <f t="shared" si="90"/>
        <v>-1.5509045965466164E-3</v>
      </c>
      <c r="AE577" s="76">
        <f t="shared" si="91"/>
        <v>4006.7619047619046</v>
      </c>
      <c r="AF577" s="76">
        <f t="shared" si="92"/>
        <v>-3974.3333333333358</v>
      </c>
      <c r="AG577" s="76">
        <f t="shared" si="93"/>
        <v>-5324.048883270123</v>
      </c>
      <c r="AO577" s="5">
        <f t="shared" si="98"/>
        <v>0</v>
      </c>
      <c r="AP577" s="5">
        <f t="shared" si="94"/>
        <v>0.53758945138522529</v>
      </c>
      <c r="AR577" s="5">
        <f t="shared" si="95"/>
        <v>9.4459948548630823E-3</v>
      </c>
      <c r="AS577" s="5">
        <f t="shared" si="96"/>
        <v>6.7386227602415139E-2</v>
      </c>
      <c r="AT577" s="5">
        <f t="shared" si="97"/>
        <v>0.12357602604064866</v>
      </c>
    </row>
    <row r="578" spans="12:46" x14ac:dyDescent="0.25">
      <c r="L578" s="4">
        <v>44700.5</v>
      </c>
      <c r="M578">
        <v>84.57</v>
      </c>
      <c r="N578">
        <v>85.55</v>
      </c>
      <c r="O578">
        <v>80.16</v>
      </c>
      <c r="P578">
        <v>82.97</v>
      </c>
      <c r="Q578">
        <v>28695</v>
      </c>
      <c r="R578">
        <v>380822</v>
      </c>
      <c r="S578">
        <v>91.024000000000001</v>
      </c>
      <c r="T578">
        <v>91.024000000000001</v>
      </c>
      <c r="U578">
        <v>91.024000000000001</v>
      </c>
      <c r="V578">
        <v>91.024000000000001</v>
      </c>
      <c r="W578">
        <v>0</v>
      </c>
      <c r="X578">
        <v>6.061628430049483E-2</v>
      </c>
      <c r="Y578">
        <v>8.6859582374538627E-2</v>
      </c>
      <c r="Z578">
        <v>0.27584263393631081</v>
      </c>
      <c r="AB578" s="3">
        <f t="shared" si="88"/>
        <v>7.3893411745094839E-3</v>
      </c>
      <c r="AC578" s="3">
        <f t="shared" si="89"/>
        <v>-8.8552773088665937E-3</v>
      </c>
      <c r="AD578" s="3">
        <f t="shared" si="90"/>
        <v>-2.8191088445980172E-3</v>
      </c>
      <c r="AE578" s="76">
        <f t="shared" si="91"/>
        <v>3050.9047619047597</v>
      </c>
      <c r="AF578" s="76">
        <f t="shared" si="92"/>
        <v>-4634.2142857142862</v>
      </c>
      <c r="AG578" s="76">
        <f t="shared" si="93"/>
        <v>-5686.9089759797716</v>
      </c>
      <c r="AO578" s="5">
        <f t="shared" si="98"/>
        <v>-3.1533164189923878E-2</v>
      </c>
      <c r="AP578" s="5">
        <f t="shared" si="94"/>
        <v>0.53809802862874256</v>
      </c>
      <c r="AR578" s="5">
        <f t="shared" si="95"/>
        <v>9.5268167593367536E-3</v>
      </c>
      <c r="AS578" s="5">
        <f t="shared" si="96"/>
        <v>6.9939449230358774E-2</v>
      </c>
      <c r="AT578" s="5">
        <f t="shared" si="97"/>
        <v>0.12507904242323425</v>
      </c>
    </row>
    <row r="579" spans="12:46" x14ac:dyDescent="0.25">
      <c r="L579" s="4">
        <v>44699.5</v>
      </c>
      <c r="M579">
        <v>88.92</v>
      </c>
      <c r="N579">
        <v>90</v>
      </c>
      <c r="O579">
        <v>82.77</v>
      </c>
      <c r="P579">
        <v>84.65</v>
      </c>
      <c r="Q579">
        <v>32158</v>
      </c>
      <c r="R579">
        <v>383216</v>
      </c>
      <c r="S579">
        <v>96.474999999999994</v>
      </c>
      <c r="T579">
        <v>96.474999999999994</v>
      </c>
      <c r="U579">
        <v>94.537999999999997</v>
      </c>
      <c r="V579">
        <v>94.537999999999997</v>
      </c>
      <c r="W579">
        <v>5</v>
      </c>
      <c r="X579">
        <v>7.9977876106194723E-2</v>
      </c>
      <c r="Y579">
        <v>0.5650501124419971</v>
      </c>
      <c r="Z579">
        <v>0.53385333118543532</v>
      </c>
      <c r="AB579" s="3">
        <f t="shared" si="88"/>
        <v>1.3166067161327719E-2</v>
      </c>
      <c r="AC579" s="3">
        <f t="shared" si="89"/>
        <v>-5.1809758972203718E-3</v>
      </c>
      <c r="AD579" s="3">
        <f t="shared" si="90"/>
        <v>2.3670696461763896E-4</v>
      </c>
      <c r="AE579" s="76">
        <f t="shared" si="91"/>
        <v>3715.6190476190495</v>
      </c>
      <c r="AF579" s="76">
        <f t="shared" si="92"/>
        <v>-4398.5833333333321</v>
      </c>
      <c r="AG579" s="76">
        <f t="shared" si="93"/>
        <v>-5532.1158870627878</v>
      </c>
      <c r="AO579" s="5">
        <f t="shared" si="98"/>
        <v>-7.633076665550724E-2</v>
      </c>
      <c r="AP579" s="5">
        <f t="shared" si="94"/>
        <v>0.53733621499405626</v>
      </c>
      <c r="AR579" s="5">
        <f t="shared" si="95"/>
        <v>9.2767961266702059E-3</v>
      </c>
      <c r="AS579" s="5">
        <f t="shared" si="96"/>
        <v>7.2177951207264557E-2</v>
      </c>
      <c r="AT579" s="5">
        <f t="shared" si="97"/>
        <v>0.1263295098240021</v>
      </c>
    </row>
    <row r="580" spans="12:46" x14ac:dyDescent="0.25">
      <c r="L580" s="4">
        <v>44698.5</v>
      </c>
      <c r="M580">
        <v>90.4</v>
      </c>
      <c r="N580">
        <v>92.75</v>
      </c>
      <c r="O580">
        <v>89.61</v>
      </c>
      <c r="P580">
        <v>92.24</v>
      </c>
      <c r="Q580">
        <v>19893</v>
      </c>
      <c r="R580">
        <v>382953</v>
      </c>
      <c r="S580">
        <v>94.174999999999997</v>
      </c>
      <c r="T580">
        <v>94.174999999999997</v>
      </c>
      <c r="U580">
        <v>94.174999999999997</v>
      </c>
      <c r="V580">
        <v>94.174999999999997</v>
      </c>
      <c r="W580">
        <v>0</v>
      </c>
      <c r="X580">
        <v>3.5803876852907646E-2</v>
      </c>
      <c r="Y580">
        <v>-0.50257672426315159</v>
      </c>
      <c r="Z580">
        <v>-0.3844284022391084</v>
      </c>
      <c r="AB580" s="3">
        <f t="shared" si="88"/>
        <v>9.7961899609330522E-3</v>
      </c>
      <c r="AC580" s="3">
        <f t="shared" si="89"/>
        <v>-8.1489583009336022E-3</v>
      </c>
      <c r="AD580" s="3">
        <f t="shared" si="90"/>
        <v>-2.8004368219724102E-3</v>
      </c>
      <c r="AE580" s="76">
        <f t="shared" si="91"/>
        <v>3270.6190476190495</v>
      </c>
      <c r="AF580" s="76">
        <f t="shared" si="92"/>
        <v>-5043.2202380952367</v>
      </c>
      <c r="AG580" s="76">
        <f t="shared" si="93"/>
        <v>-6242.4138221660323</v>
      </c>
      <c r="AO580" s="5">
        <f t="shared" si="98"/>
        <v>2.2595001711742599E-2</v>
      </c>
      <c r="AP580" s="5">
        <f t="shared" si="94"/>
        <v>0.53680219736956669</v>
      </c>
      <c r="AR580" s="5">
        <f t="shared" si="95"/>
        <v>9.0889879045655819E-3</v>
      </c>
      <c r="AS580" s="5">
        <f t="shared" si="96"/>
        <v>7.4474070947097182E-2</v>
      </c>
      <c r="AT580" s="5">
        <f t="shared" si="97"/>
        <v>0.12763386286426753</v>
      </c>
    </row>
    <row r="581" spans="12:46" x14ac:dyDescent="0.25">
      <c r="L581" s="4">
        <v>44697.5</v>
      </c>
      <c r="M581">
        <v>87.7</v>
      </c>
      <c r="N581">
        <v>90.35</v>
      </c>
      <c r="O581">
        <v>87.63</v>
      </c>
      <c r="P581">
        <v>90.24</v>
      </c>
      <c r="Q581">
        <v>14987</v>
      </c>
      <c r="R581">
        <v>385583</v>
      </c>
      <c r="S581">
        <v>92.86</v>
      </c>
      <c r="T581">
        <v>92.86</v>
      </c>
      <c r="U581">
        <v>92.86</v>
      </c>
      <c r="V581">
        <v>92.86</v>
      </c>
      <c r="W581">
        <v>0</v>
      </c>
      <c r="X581">
        <v>3.0884523674349938E-2</v>
      </c>
      <c r="Y581">
        <v>-0.61818654592949784</v>
      </c>
      <c r="Z581">
        <v>-0.75971906660844379</v>
      </c>
      <c r="AB581" s="3">
        <f t="shared" si="88"/>
        <v>1.0613238460983832E-2</v>
      </c>
      <c r="AC581" s="3">
        <f t="shared" si="89"/>
        <v>-7.7809310238265705E-3</v>
      </c>
      <c r="AD581" s="3">
        <f t="shared" si="90"/>
        <v>-2.918717944163457E-3</v>
      </c>
      <c r="AE581" s="76">
        <f t="shared" si="91"/>
        <v>1416.9047619047597</v>
      </c>
      <c r="AF581" s="76">
        <f t="shared" si="92"/>
        <v>-6341.5238095238128</v>
      </c>
      <c r="AG581" s="76">
        <f t="shared" si="93"/>
        <v>-7487.6287399915745</v>
      </c>
      <c r="AO581" s="5">
        <f t="shared" si="98"/>
        <v>3.4246575342467055E-4</v>
      </c>
      <c r="AP581" s="5">
        <f t="shared" si="94"/>
        <v>0.53914864085382008</v>
      </c>
      <c r="AR581" s="5">
        <f t="shared" si="95"/>
        <v>8.8768763710767029E-3</v>
      </c>
      <c r="AS581" s="5">
        <f t="shared" si="96"/>
        <v>7.6757354328778171E-2</v>
      </c>
      <c r="AT581" s="5">
        <f t="shared" si="97"/>
        <v>0.1289415256667763</v>
      </c>
    </row>
    <row r="582" spans="12:46" x14ac:dyDescent="0.25">
      <c r="L582" s="4">
        <v>44694.5</v>
      </c>
      <c r="M582">
        <v>88.07</v>
      </c>
      <c r="N582">
        <v>90.5</v>
      </c>
      <c r="O582">
        <v>87.6</v>
      </c>
      <c r="P582">
        <v>88.48</v>
      </c>
      <c r="Q582">
        <v>13904</v>
      </c>
      <c r="R582">
        <v>387018</v>
      </c>
      <c r="S582">
        <v>96.881</v>
      </c>
      <c r="T582">
        <v>96.881</v>
      </c>
      <c r="U582">
        <v>96.881</v>
      </c>
      <c r="V582">
        <v>96.881</v>
      </c>
      <c r="W582">
        <v>0</v>
      </c>
      <c r="X582">
        <v>3.273876721607593E-2</v>
      </c>
      <c r="Y582">
        <v>-0.5796394580958113</v>
      </c>
      <c r="Z582">
        <v>-0.85691926414180519</v>
      </c>
      <c r="AB582" s="3">
        <f t="shared" si="88"/>
        <v>1.029732462417516E-2</v>
      </c>
      <c r="AC582" s="3">
        <f t="shared" si="89"/>
        <v>-7.2421210459189742E-3</v>
      </c>
      <c r="AD582" s="3">
        <f t="shared" si="90"/>
        <v>-2.5183159990624926E-3</v>
      </c>
      <c r="AE582" s="76">
        <f t="shared" si="91"/>
        <v>-430.8571428571413</v>
      </c>
      <c r="AF582" s="76">
        <f t="shared" si="92"/>
        <v>-7442.9583333333321</v>
      </c>
      <c r="AG582" s="76">
        <f t="shared" si="93"/>
        <v>-8465.136114622841</v>
      </c>
      <c r="AO582" s="5">
        <f t="shared" si="98"/>
        <v>1.0264098719870841E-2</v>
      </c>
      <c r="AP582" s="5">
        <f t="shared" si="94"/>
        <v>0.53925400260516287</v>
      </c>
      <c r="AR582" s="5">
        <f t="shared" si="95"/>
        <v>8.5595573033468986E-3</v>
      </c>
      <c r="AS582" s="5">
        <f t="shared" si="96"/>
        <v>7.8939349986627771E-2</v>
      </c>
      <c r="AT582" s="5">
        <f t="shared" si="97"/>
        <v>0.13014539018807042</v>
      </c>
    </row>
    <row r="583" spans="12:46" x14ac:dyDescent="0.25">
      <c r="L583" s="4">
        <v>44693.5</v>
      </c>
      <c r="M583">
        <v>88.58</v>
      </c>
      <c r="N583">
        <v>89.05</v>
      </c>
      <c r="O583">
        <v>86.71</v>
      </c>
      <c r="P583">
        <v>88.16</v>
      </c>
      <c r="Q583">
        <v>22736</v>
      </c>
      <c r="R583">
        <v>387115</v>
      </c>
      <c r="S583">
        <v>106.70099999999999</v>
      </c>
      <c r="T583">
        <v>106.70099999999999</v>
      </c>
      <c r="U583">
        <v>106.70099999999999</v>
      </c>
      <c r="V583">
        <v>106.70099999999999</v>
      </c>
      <c r="W583">
        <v>0</v>
      </c>
      <c r="X583">
        <v>2.6739801165581115E-2</v>
      </c>
      <c r="Y583">
        <v>-0.73660216835205428</v>
      </c>
      <c r="Z583">
        <v>-0.20444947772272856</v>
      </c>
      <c r="AB583" s="3">
        <f t="shared" si="88"/>
        <v>9.8036852473798661E-3</v>
      </c>
      <c r="AC583" s="3">
        <f t="shared" si="89"/>
        <v>-7.1413877481126611E-3</v>
      </c>
      <c r="AD583" s="3">
        <f t="shared" si="90"/>
        <v>-2.2259241762345935E-3</v>
      </c>
      <c r="AE583" s="76">
        <f t="shared" si="91"/>
        <v>-712.04761904761835</v>
      </c>
      <c r="AF583" s="76">
        <f t="shared" si="92"/>
        <v>-7604.3511904761908</v>
      </c>
      <c r="AG583" s="76">
        <f t="shared" si="93"/>
        <v>-8497.5368731563394</v>
      </c>
      <c r="AO583" s="5">
        <f t="shared" si="98"/>
        <v>5.8730158730158577E-2</v>
      </c>
      <c r="AP583" s="5">
        <f t="shared" si="94"/>
        <v>0.53968093957711261</v>
      </c>
      <c r="AR583" s="5">
        <f t="shared" si="95"/>
        <v>8.2448910947676701E-3</v>
      </c>
      <c r="AS583" s="5">
        <f t="shared" si="96"/>
        <v>8.1117051467119394E-2</v>
      </c>
      <c r="AT583" s="5">
        <f t="shared" si="97"/>
        <v>0.13133766532282964</v>
      </c>
    </row>
    <row r="584" spans="12:46" x14ac:dyDescent="0.25">
      <c r="L584" s="4">
        <v>44692.5</v>
      </c>
      <c r="M584">
        <v>87.51</v>
      </c>
      <c r="N584">
        <v>90.04</v>
      </c>
      <c r="O584">
        <v>81.900000000000006</v>
      </c>
      <c r="P584">
        <v>89.2</v>
      </c>
      <c r="Q584">
        <v>30315</v>
      </c>
      <c r="R584">
        <v>388499</v>
      </c>
      <c r="S584">
        <v>94.012</v>
      </c>
      <c r="T584">
        <v>94.012</v>
      </c>
      <c r="U584">
        <v>94.012</v>
      </c>
      <c r="V584">
        <v>94.012</v>
      </c>
      <c r="W584">
        <v>0</v>
      </c>
      <c r="X584">
        <v>9.3563218390804601E-2</v>
      </c>
      <c r="Y584">
        <v>0.90473107326223501</v>
      </c>
      <c r="Z584">
        <v>0.35772786468010498</v>
      </c>
      <c r="AB584" s="3">
        <f t="shared" si="88"/>
        <v>8.3157956699385083E-3</v>
      </c>
      <c r="AC584" s="3">
        <f t="shared" si="89"/>
        <v>-7.7288439525688424E-3</v>
      </c>
      <c r="AD584" s="3">
        <f t="shared" si="90"/>
        <v>-2.3765946998377183E-3</v>
      </c>
      <c r="AE584" s="76">
        <f t="shared" si="91"/>
        <v>-1525.5238095238092</v>
      </c>
      <c r="AF584" s="76">
        <f t="shared" si="92"/>
        <v>-8195.3630952380954</v>
      </c>
      <c r="AG584" s="76">
        <f t="shared" si="93"/>
        <v>-8973.5769068689406</v>
      </c>
      <c r="AO584" s="5">
        <f t="shared" si="98"/>
        <v>-4.4897959183673404E-2</v>
      </c>
      <c r="AP584" s="5">
        <f t="shared" si="94"/>
        <v>0.53680901081704824</v>
      </c>
      <c r="AR584" s="5">
        <f t="shared" si="95"/>
        <v>7.9118903930767148E-3</v>
      </c>
      <c r="AS584" s="5">
        <f t="shared" si="96"/>
        <v>8.3288532296501017E-2</v>
      </c>
      <c r="AT584" s="5">
        <f t="shared" si="97"/>
        <v>0.13251091319523201</v>
      </c>
    </row>
    <row r="585" spans="12:46" x14ac:dyDescent="0.25">
      <c r="L585" s="4">
        <v>44691.5</v>
      </c>
      <c r="M585">
        <v>87</v>
      </c>
      <c r="N585">
        <v>88.69</v>
      </c>
      <c r="O585">
        <v>85.75</v>
      </c>
      <c r="P585">
        <v>87.52</v>
      </c>
      <c r="Q585">
        <v>20370</v>
      </c>
      <c r="R585">
        <v>389905</v>
      </c>
      <c r="S585">
        <v>98.801000000000002</v>
      </c>
      <c r="T585">
        <v>98.801000000000002</v>
      </c>
      <c r="U585">
        <v>98.801000000000002</v>
      </c>
      <c r="V585">
        <v>98.801000000000002</v>
      </c>
      <c r="W585">
        <v>0</v>
      </c>
      <c r="X585">
        <v>3.2176863303053492E-2</v>
      </c>
      <c r="Y585">
        <v>-0.60724960306331888</v>
      </c>
      <c r="Z585">
        <v>-0.39831366664065815</v>
      </c>
      <c r="AB585" s="3">
        <f t="shared" ref="AB585:AB648" si="99">AVERAGEA(X585:X605)-AVERAGE(X606:X626)</f>
        <v>3.2058224222522233E-3</v>
      </c>
      <c r="AC585" s="3">
        <f t="shared" ref="AC585:AC648" si="100">AVERAGEA(X585:X605)-AVERAGE(X606:X661)</f>
        <v>-1.0899763578231102E-2</v>
      </c>
      <c r="AD585" s="3">
        <f t="shared" ref="AD585:AD648" si="101">AVERAGEA(X585:X605)-AVERAGE(X606:X718)</f>
        <v>-5.4810298868572666E-3</v>
      </c>
      <c r="AE585" s="76">
        <f t="shared" ref="AE585:AE648" si="102">AVERAGEA(Q585:Q605)-AVERAGE(Q606:Q626)</f>
        <v>-2364.4761904761908</v>
      </c>
      <c r="AF585" s="76">
        <f t="shared" ref="AF585:AF648" si="103">AVERAGEA(Q585:Q605)-AVERAGE(Q606:Q661)</f>
        <v>-9065.1607142857138</v>
      </c>
      <c r="AG585" s="76">
        <f t="shared" ref="AG585:AG648" si="104">AVERAGEA(Q585:Q605)-AVERAGE(Q606:Q718)</f>
        <v>-9975.6257901390636</v>
      </c>
      <c r="AO585" s="5">
        <f t="shared" si="98"/>
        <v>-8.8996763754044857E-3</v>
      </c>
      <c r="AP585" s="5">
        <f t="shared" ref="AP585:AP648" si="105">_xlfn.STDEV.S(AO585:AO844)*SQRT(252)</f>
        <v>0.53561263884675692</v>
      </c>
      <c r="AR585" s="5">
        <f t="shared" ref="AR585:AR648" si="106">IFERROR(AVERAGEA(AP585:AP605)-AVERAGE(AP606:AP626),"")</f>
        <v>7.7196113407393963E-3</v>
      </c>
      <c r="AS585" s="5">
        <f t="shared" ref="AS585:AS648" si="107">IFERROR(AVERAGEA(AP585:AP605)-AVERAGE(AP606:AP661),"")</f>
        <v>8.5598189230152832E-2</v>
      </c>
      <c r="AT585" s="5">
        <f t="shared" ref="AT585:AT648" si="108">IFERROR(AVERAGEA(AP585:AP605)-AVERAGE(AP606:AP718),"")</f>
        <v>0.1338240558068795</v>
      </c>
    </row>
    <row r="586" spans="12:46" x14ac:dyDescent="0.25">
      <c r="L586" s="4">
        <v>44690.5</v>
      </c>
      <c r="M586">
        <v>91.37</v>
      </c>
      <c r="N586">
        <v>92.22</v>
      </c>
      <c r="O586">
        <v>86.52</v>
      </c>
      <c r="P586">
        <v>86.88</v>
      </c>
      <c r="Q586">
        <v>29898</v>
      </c>
      <c r="R586">
        <v>391324</v>
      </c>
      <c r="S586">
        <v>96.314999999999998</v>
      </c>
      <c r="T586">
        <v>96.314999999999998</v>
      </c>
      <c r="U586">
        <v>93.787000000000006</v>
      </c>
      <c r="V586">
        <v>93.787000000000006</v>
      </c>
      <c r="W586">
        <v>52</v>
      </c>
      <c r="X586">
        <v>6.3851237817855983E-2</v>
      </c>
      <c r="Y586">
        <v>0.17820074429575936</v>
      </c>
      <c r="Z586">
        <v>0.32186890372851662</v>
      </c>
      <c r="AB586" s="3">
        <f t="shared" si="99"/>
        <v>1.9786024882789063E-3</v>
      </c>
      <c r="AC586" s="3">
        <f t="shared" si="100"/>
        <v>-1.0806211585858851E-2</v>
      </c>
      <c r="AD586" s="3">
        <f t="shared" si="101"/>
        <v>-5.3630445007611244E-3</v>
      </c>
      <c r="AE586" s="76">
        <f t="shared" si="102"/>
        <v>-2850.1428571428587</v>
      </c>
      <c r="AF586" s="76">
        <f t="shared" si="103"/>
        <v>-9333.1845238095266</v>
      </c>
      <c r="AG586" s="76">
        <f t="shared" si="104"/>
        <v>-10231.398651495998</v>
      </c>
      <c r="AO586" s="5">
        <f t="shared" ref="AO586:AO649" si="109">IFERROR((O586-O587)/O587,"")</f>
        <v>-2.1266968325791964E-2</v>
      </c>
      <c r="AP586" s="5">
        <f t="shared" si="105"/>
        <v>0.53553303849064293</v>
      </c>
      <c r="AR586" s="5">
        <f t="shared" si="106"/>
        <v>7.5965354659889295E-3</v>
      </c>
      <c r="AS586" s="5">
        <f t="shared" si="107"/>
        <v>8.7950589838725668E-2</v>
      </c>
      <c r="AT586" s="5">
        <f t="shared" si="108"/>
        <v>0.13516814688111295</v>
      </c>
    </row>
    <row r="587" spans="12:46" x14ac:dyDescent="0.25">
      <c r="L587" s="4">
        <v>44687.5</v>
      </c>
      <c r="M587">
        <v>89.27</v>
      </c>
      <c r="N587">
        <v>92.45</v>
      </c>
      <c r="O587">
        <v>88.4</v>
      </c>
      <c r="P587">
        <v>91.78</v>
      </c>
      <c r="Q587">
        <v>23558</v>
      </c>
      <c r="R587">
        <v>397205</v>
      </c>
      <c r="S587">
        <v>101.708</v>
      </c>
      <c r="T587">
        <v>101.708</v>
      </c>
      <c r="U587">
        <v>101.708</v>
      </c>
      <c r="V587">
        <v>101.708</v>
      </c>
      <c r="W587">
        <v>0</v>
      </c>
      <c r="X587">
        <v>4.5659526493799292E-2</v>
      </c>
      <c r="Y587">
        <v>-0.26077159647757897</v>
      </c>
      <c r="Z587">
        <v>-0.15844041294088793</v>
      </c>
      <c r="AB587" s="3">
        <f t="shared" si="99"/>
        <v>-4.2602874807695229E-3</v>
      </c>
      <c r="AC587" s="3">
        <f t="shared" si="100"/>
        <v>-1.3772723293144822E-2</v>
      </c>
      <c r="AD587" s="3">
        <f t="shared" si="101"/>
        <v>-7.7478964673083905E-3</v>
      </c>
      <c r="AE587" s="76">
        <f t="shared" si="102"/>
        <v>-4504.4761904761908</v>
      </c>
      <c r="AF587" s="76">
        <f t="shared" si="103"/>
        <v>-10402.476190476191</v>
      </c>
      <c r="AG587" s="76">
        <f t="shared" si="104"/>
        <v>-11193.576064053941</v>
      </c>
      <c r="AO587" s="5">
        <f t="shared" si="109"/>
        <v>1.8198571757659671E-2</v>
      </c>
      <c r="AP587" s="5">
        <f t="shared" si="105"/>
        <v>0.53569439075995728</v>
      </c>
      <c r="AR587" s="5">
        <f t="shared" si="106"/>
        <v>7.5576322860541056E-3</v>
      </c>
      <c r="AS587" s="5">
        <f t="shared" si="107"/>
        <v>9.0268414219362325E-2</v>
      </c>
      <c r="AT587" s="5">
        <f t="shared" si="108"/>
        <v>0.13649341028409268</v>
      </c>
    </row>
    <row r="588" spans="12:46" x14ac:dyDescent="0.25">
      <c r="L588" s="4">
        <v>44686.5</v>
      </c>
      <c r="M588">
        <v>88.7</v>
      </c>
      <c r="N588">
        <v>91.99</v>
      </c>
      <c r="O588">
        <v>86.82</v>
      </c>
      <c r="P588">
        <v>88.99</v>
      </c>
      <c r="Q588">
        <v>27929</v>
      </c>
      <c r="R588">
        <v>401809</v>
      </c>
      <c r="S588">
        <v>106.508</v>
      </c>
      <c r="T588">
        <v>106.508</v>
      </c>
      <c r="U588">
        <v>106.508</v>
      </c>
      <c r="V588">
        <v>106.508</v>
      </c>
      <c r="W588">
        <v>0</v>
      </c>
      <c r="X588">
        <v>5.8650028360748736E-2</v>
      </c>
      <c r="Y588">
        <v>6.5748375585998692E-2</v>
      </c>
      <c r="Z588">
        <v>0.17605512492850364</v>
      </c>
      <c r="AB588" s="3">
        <f t="shared" si="99"/>
        <v>-7.658442144078792E-3</v>
      </c>
      <c r="AC588" s="3">
        <f t="shared" si="100"/>
        <v>-1.2983511217563456E-2</v>
      </c>
      <c r="AD588" s="3">
        <f t="shared" si="101"/>
        <v>-7.5560600153921978E-3</v>
      </c>
      <c r="AE588" s="76">
        <f t="shared" si="102"/>
        <v>-5488.7619047619046</v>
      </c>
      <c r="AF588" s="76">
        <f t="shared" si="103"/>
        <v>-10814.720238095237</v>
      </c>
      <c r="AG588" s="76">
        <f t="shared" si="104"/>
        <v>-11481.889169827224</v>
      </c>
      <c r="AO588" s="5">
        <f t="shared" si="109"/>
        <v>9.8871699430033069E-3</v>
      </c>
      <c r="AP588" s="5">
        <f t="shared" si="105"/>
        <v>0.53548129477262751</v>
      </c>
      <c r="AR588" s="5">
        <f t="shared" si="106"/>
        <v>7.4230220138081782E-3</v>
      </c>
      <c r="AS588" s="5">
        <f t="shared" si="107"/>
        <v>9.2490382426436923E-2</v>
      </c>
      <c r="AT588" s="5">
        <f t="shared" si="108"/>
        <v>0.13772189757389475</v>
      </c>
    </row>
    <row r="589" spans="12:46" x14ac:dyDescent="0.25">
      <c r="L589" s="4">
        <v>44685.5</v>
      </c>
      <c r="M589">
        <v>88.15</v>
      </c>
      <c r="N589">
        <v>89.32</v>
      </c>
      <c r="O589">
        <v>85.97</v>
      </c>
      <c r="P589">
        <v>87.94</v>
      </c>
      <c r="Q589">
        <v>24449</v>
      </c>
      <c r="R589">
        <v>399770</v>
      </c>
      <c r="S589">
        <v>103.821</v>
      </c>
      <c r="T589">
        <v>103.821</v>
      </c>
      <c r="U589">
        <v>103.821</v>
      </c>
      <c r="V589">
        <v>103.821</v>
      </c>
      <c r="W589">
        <v>0</v>
      </c>
      <c r="X589">
        <v>4.0216086434573764E-2</v>
      </c>
      <c r="Y589">
        <v>-0.3729747306699468</v>
      </c>
      <c r="Z589">
        <v>-0.10225108996448787</v>
      </c>
      <c r="AB589" s="3">
        <f t="shared" si="99"/>
        <v>-1.6478468752692696E-2</v>
      </c>
      <c r="AC589" s="3">
        <f t="shared" si="100"/>
        <v>-1.4264285291531752E-2</v>
      </c>
      <c r="AD589" s="3">
        <f t="shared" si="101"/>
        <v>-8.5197264392089592E-3</v>
      </c>
      <c r="AE589" s="76">
        <f t="shared" si="102"/>
        <v>-6772.2380952380954</v>
      </c>
      <c r="AF589" s="76">
        <f t="shared" si="103"/>
        <v>-11677.922619047622</v>
      </c>
      <c r="AG589" s="76">
        <f t="shared" si="104"/>
        <v>-11916.701222081756</v>
      </c>
      <c r="AO589" s="5">
        <f t="shared" si="109"/>
        <v>3.9289168278529983E-2</v>
      </c>
      <c r="AP589" s="5">
        <f t="shared" si="105"/>
        <v>0.53553377143645364</v>
      </c>
      <c r="AR589" s="5">
        <f t="shared" si="106"/>
        <v>8.8615162608560727E-3</v>
      </c>
      <c r="AS589" s="5">
        <f t="shared" si="107"/>
        <v>9.4714427266855084E-2</v>
      </c>
      <c r="AT589" s="5">
        <f t="shared" si="108"/>
        <v>0.13896624615783093</v>
      </c>
    </row>
    <row r="590" spans="12:46" x14ac:dyDescent="0.25">
      <c r="L590" s="4">
        <v>44684.5</v>
      </c>
      <c r="M590">
        <v>83.3</v>
      </c>
      <c r="N590">
        <v>89.06</v>
      </c>
      <c r="O590">
        <v>82.72</v>
      </c>
      <c r="P590">
        <v>88.45</v>
      </c>
      <c r="Q590">
        <v>23528</v>
      </c>
      <c r="R590">
        <v>401521</v>
      </c>
      <c r="S590">
        <v>99.426000000000002</v>
      </c>
      <c r="T590">
        <v>99.426000000000002</v>
      </c>
      <c r="U590">
        <v>99.426000000000002</v>
      </c>
      <c r="V590">
        <v>99.426000000000002</v>
      </c>
      <c r="W590">
        <v>0</v>
      </c>
      <c r="X590">
        <v>7.5846393109223628E-2</v>
      </c>
      <c r="Y590">
        <v>0.49678810003947965</v>
      </c>
      <c r="Z590">
        <v>-0.16924251568829213</v>
      </c>
      <c r="AB590" s="3">
        <f t="shared" si="99"/>
        <v>-2.1956780291024262E-2</v>
      </c>
      <c r="AC590" s="3">
        <f t="shared" si="100"/>
        <v>-1.5548340133132707E-2</v>
      </c>
      <c r="AD590" s="3">
        <f t="shared" si="101"/>
        <v>-9.6087293856857645E-3</v>
      </c>
      <c r="AE590" s="76">
        <f t="shared" si="102"/>
        <v>-8505.8571428571449</v>
      </c>
      <c r="AF590" s="76">
        <f t="shared" si="103"/>
        <v>-11952.511904761905</v>
      </c>
      <c r="AG590" s="76">
        <f t="shared" si="104"/>
        <v>-12260.878213232198</v>
      </c>
      <c r="AO590" s="5">
        <f t="shared" si="109"/>
        <v>3.3964095099466417E-3</v>
      </c>
      <c r="AP590" s="5">
        <f t="shared" si="105"/>
        <v>0.53431679248472463</v>
      </c>
      <c r="AR590" s="5">
        <f t="shared" si="106"/>
        <v>1.0303181960082619E-2</v>
      </c>
      <c r="AS590" s="5">
        <f t="shared" si="107"/>
        <v>9.6949703117234109E-2</v>
      </c>
      <c r="AT590" s="5">
        <f t="shared" si="108"/>
        <v>0.14021653058490163</v>
      </c>
    </row>
    <row r="591" spans="12:46" x14ac:dyDescent="0.25">
      <c r="L591" s="4">
        <v>44683.5</v>
      </c>
      <c r="M591">
        <v>83.59</v>
      </c>
      <c r="N591">
        <v>84.9</v>
      </c>
      <c r="O591">
        <v>82.44</v>
      </c>
      <c r="P591">
        <v>83.08</v>
      </c>
      <c r="Q591">
        <v>10836</v>
      </c>
      <c r="R591">
        <v>400641</v>
      </c>
      <c r="S591">
        <v>97.051000000000002</v>
      </c>
      <c r="T591">
        <v>97.051000000000002</v>
      </c>
      <c r="U591">
        <v>97.051000000000002</v>
      </c>
      <c r="V591">
        <v>97.051000000000002</v>
      </c>
      <c r="W591">
        <v>0</v>
      </c>
      <c r="X591">
        <v>2.964927082077869E-2</v>
      </c>
      <c r="Y591">
        <v>-0.62176164540190715</v>
      </c>
      <c r="Z591">
        <v>-1.1165795795962161</v>
      </c>
      <c r="AB591" s="3">
        <f t="shared" si="99"/>
        <v>-2.5850776260958705E-2</v>
      </c>
      <c r="AC591" s="3">
        <f t="shared" si="100"/>
        <v>-1.7739284124473904E-2</v>
      </c>
      <c r="AD591" s="3">
        <f t="shared" si="101"/>
        <v>-1.1760727253932776E-2</v>
      </c>
      <c r="AE591" s="76">
        <f t="shared" si="102"/>
        <v>-9850.8571428571413</v>
      </c>
      <c r="AF591" s="76">
        <f t="shared" si="103"/>
        <v>-12496.523809523809</v>
      </c>
      <c r="AG591" s="76">
        <f t="shared" si="104"/>
        <v>-12712.236831015591</v>
      </c>
      <c r="AO591" s="5">
        <f t="shared" si="109"/>
        <v>1.8228217280348944E-3</v>
      </c>
      <c r="AP591" s="5">
        <f t="shared" si="105"/>
        <v>0.53444791042015982</v>
      </c>
      <c r="AR591" s="5">
        <f t="shared" si="106"/>
        <v>1.2475421377923013E-2</v>
      </c>
      <c r="AS591" s="5">
        <f t="shared" si="107"/>
        <v>9.9251326832321407E-2</v>
      </c>
      <c r="AT591" s="5">
        <f t="shared" si="108"/>
        <v>0.14152960315000895</v>
      </c>
    </row>
    <row r="592" spans="12:46" x14ac:dyDescent="0.25">
      <c r="L592" s="4">
        <v>44680.5</v>
      </c>
      <c r="M592">
        <v>82.97</v>
      </c>
      <c r="N592">
        <v>85.84</v>
      </c>
      <c r="O592">
        <v>82.29</v>
      </c>
      <c r="P592">
        <v>83.75</v>
      </c>
      <c r="Q592">
        <v>16070</v>
      </c>
      <c r="R592">
        <v>399864</v>
      </c>
      <c r="S592">
        <v>99.45</v>
      </c>
      <c r="T592">
        <v>99.45</v>
      </c>
      <c r="U592">
        <v>99.45</v>
      </c>
      <c r="V592">
        <v>99.45</v>
      </c>
      <c r="W592">
        <v>0</v>
      </c>
      <c r="X592">
        <v>4.3568973981345079E-2</v>
      </c>
      <c r="Y592">
        <v>-0.27567322293308744</v>
      </c>
      <c r="Z592">
        <v>-0.73903398387808128</v>
      </c>
      <c r="AB592" s="3">
        <f t="shared" si="99"/>
        <v>-2.7018192569727324E-2</v>
      </c>
      <c r="AC592" s="3">
        <f t="shared" si="100"/>
        <v>-1.7036641815012347E-2</v>
      </c>
      <c r="AD592" s="3">
        <f t="shared" si="101"/>
        <v>-1.0846173234598931E-2</v>
      </c>
      <c r="AE592" s="76">
        <f t="shared" si="102"/>
        <v>-10692.047619047618</v>
      </c>
      <c r="AF592" s="76">
        <f t="shared" si="103"/>
        <v>-12352.946428571428</v>
      </c>
      <c r="AG592" s="76">
        <f t="shared" si="104"/>
        <v>-12469.884955752212</v>
      </c>
      <c r="AO592" s="5">
        <f t="shared" si="109"/>
        <v>2.9912390488110143E-2</v>
      </c>
      <c r="AP592" s="5">
        <f t="shared" si="105"/>
        <v>0.53491866706296209</v>
      </c>
      <c r="AR592" s="5">
        <f t="shared" si="106"/>
        <v>1.4607483797788201E-2</v>
      </c>
      <c r="AS592" s="5">
        <f t="shared" si="107"/>
        <v>0.1015624616470967</v>
      </c>
      <c r="AT592" s="5">
        <f t="shared" si="108"/>
        <v>0.14282623645417836</v>
      </c>
    </row>
    <row r="593" spans="12:46" x14ac:dyDescent="0.25">
      <c r="L593" s="4">
        <v>44679.5</v>
      </c>
      <c r="M593">
        <v>81.48</v>
      </c>
      <c r="N593">
        <v>83.67</v>
      </c>
      <c r="O593">
        <v>79.900000000000006</v>
      </c>
      <c r="P593">
        <v>83.52</v>
      </c>
      <c r="Q593">
        <v>20232</v>
      </c>
      <c r="R593">
        <v>399178</v>
      </c>
      <c r="S593">
        <v>100.142</v>
      </c>
      <c r="T593">
        <v>100.142</v>
      </c>
      <c r="U593">
        <v>100.142</v>
      </c>
      <c r="V593">
        <v>100.142</v>
      </c>
      <c r="W593">
        <v>0</v>
      </c>
      <c r="X593">
        <v>4.6399999999999948E-2</v>
      </c>
      <c r="Y593">
        <v>-0.19637074265673929</v>
      </c>
      <c r="Z593">
        <v>-0.43150069452084755</v>
      </c>
      <c r="AB593" s="3">
        <f t="shared" si="99"/>
        <v>-3.22423480385821E-2</v>
      </c>
      <c r="AC593" s="3">
        <f t="shared" si="100"/>
        <v>-1.5848175314633832E-2</v>
      </c>
      <c r="AD593" s="3">
        <f t="shared" si="101"/>
        <v>-9.5188308606000208E-3</v>
      </c>
      <c r="AE593" s="76">
        <f t="shared" si="102"/>
        <v>-11797.571428571428</v>
      </c>
      <c r="AF593" s="76">
        <f t="shared" si="103"/>
        <v>-11143.684523809523</v>
      </c>
      <c r="AG593" s="76">
        <f t="shared" si="104"/>
        <v>-11388.538980193847</v>
      </c>
      <c r="AO593" s="5">
        <f t="shared" si="109"/>
        <v>1.3959390862944272E-2</v>
      </c>
      <c r="AP593" s="5">
        <f t="shared" si="105"/>
        <v>0.53430934111261386</v>
      </c>
      <c r="AR593" s="5">
        <f t="shared" si="106"/>
        <v>1.7861897735284238E-2</v>
      </c>
      <c r="AS593" s="5">
        <f t="shared" si="107"/>
        <v>0.10385450528236173</v>
      </c>
      <c r="AT593" s="5">
        <f t="shared" si="108"/>
        <v>0.14409166581866556</v>
      </c>
    </row>
    <row r="594" spans="12:46" x14ac:dyDescent="0.25">
      <c r="L594" s="4">
        <v>44678.5</v>
      </c>
      <c r="M594">
        <v>81.25</v>
      </c>
      <c r="N594">
        <v>81.94</v>
      </c>
      <c r="O594">
        <v>78.8</v>
      </c>
      <c r="P594">
        <v>81.239999999999995</v>
      </c>
      <c r="Q594">
        <v>22303</v>
      </c>
      <c r="R594">
        <v>397810</v>
      </c>
      <c r="S594">
        <v>107.42700000000001</v>
      </c>
      <c r="T594">
        <v>107.42700000000001</v>
      </c>
      <c r="U594">
        <v>107.42700000000001</v>
      </c>
      <c r="V594">
        <v>107.42700000000001</v>
      </c>
      <c r="W594">
        <v>0</v>
      </c>
      <c r="X594">
        <v>3.7124615748403887E-2</v>
      </c>
      <c r="Y594">
        <v>-0.41225228626484844</v>
      </c>
      <c r="Z594">
        <v>-0.28326750083113755</v>
      </c>
      <c r="AB594" s="3">
        <f t="shared" si="99"/>
        <v>-3.8989609328940779E-2</v>
      </c>
      <c r="AC594" s="3">
        <f t="shared" si="100"/>
        <v>-1.5054479088910111E-2</v>
      </c>
      <c r="AD594" s="3">
        <f t="shared" si="101"/>
        <v>-8.7188786801511639E-3</v>
      </c>
      <c r="AE594" s="76">
        <f t="shared" si="102"/>
        <v>-12909.714285714286</v>
      </c>
      <c r="AF594" s="76">
        <f t="shared" si="103"/>
        <v>-10053.875</v>
      </c>
      <c r="AG594" s="76">
        <f t="shared" si="104"/>
        <v>-10414.409608091024</v>
      </c>
      <c r="AO594" s="5">
        <f t="shared" si="109"/>
        <v>-3.843807199511904E-2</v>
      </c>
      <c r="AP594" s="5">
        <f t="shared" si="105"/>
        <v>0.53422359762724325</v>
      </c>
      <c r="AR594" s="5">
        <f t="shared" si="106"/>
        <v>2.2631715582487999E-2</v>
      </c>
      <c r="AS594" s="5">
        <f t="shared" si="107"/>
        <v>0.10612704962929537</v>
      </c>
      <c r="AT594" s="5">
        <f t="shared" si="108"/>
        <v>0.14535918805804193</v>
      </c>
    </row>
    <row r="595" spans="12:46" x14ac:dyDescent="0.25">
      <c r="L595" s="4">
        <v>44677.5</v>
      </c>
      <c r="M595">
        <v>84.58</v>
      </c>
      <c r="N595">
        <v>85.25</v>
      </c>
      <c r="O595">
        <v>81.95</v>
      </c>
      <c r="P595">
        <v>82</v>
      </c>
      <c r="Q595">
        <v>22845</v>
      </c>
      <c r="R595">
        <v>396815</v>
      </c>
      <c r="S595">
        <v>103.208</v>
      </c>
      <c r="T595">
        <v>103.208</v>
      </c>
      <c r="U595">
        <v>103.208</v>
      </c>
      <c r="V595">
        <v>103.208</v>
      </c>
      <c r="W595">
        <v>0</v>
      </c>
      <c r="X595">
        <v>3.7461686911113602E-2</v>
      </c>
      <c r="Y595">
        <v>-0.40529772435819</v>
      </c>
      <c r="Z595">
        <v>-0.24886707388582424</v>
      </c>
      <c r="AB595" s="3">
        <f t="shared" si="99"/>
        <v>-4.1728155685825365E-2</v>
      </c>
      <c r="AC595" s="3">
        <f t="shared" si="100"/>
        <v>-1.6789366687417859E-2</v>
      </c>
      <c r="AD595" s="3">
        <f t="shared" si="101"/>
        <v>-9.5283530573292696E-3</v>
      </c>
      <c r="AE595" s="76">
        <f t="shared" si="102"/>
        <v>-13251.380952380954</v>
      </c>
      <c r="AF595" s="76">
        <f t="shared" si="103"/>
        <v>-9993.8928571428587</v>
      </c>
      <c r="AG595" s="76">
        <f t="shared" si="104"/>
        <v>-10301.481668773704</v>
      </c>
      <c r="AO595" s="5">
        <f t="shared" si="109"/>
        <v>-4.2527339003644513E-3</v>
      </c>
      <c r="AP595" s="5">
        <f t="shared" si="105"/>
        <v>0.53296068092652515</v>
      </c>
      <c r="AR595" s="5">
        <f t="shared" si="106"/>
        <v>2.9104352745227768E-2</v>
      </c>
      <c r="AS595" s="5">
        <f t="shared" si="107"/>
        <v>0.10828483310486781</v>
      </c>
      <c r="AT595" s="5">
        <f t="shared" si="108"/>
        <v>0.14651850662076632</v>
      </c>
    </row>
    <row r="596" spans="12:46" x14ac:dyDescent="0.25">
      <c r="L596" s="4">
        <v>44676.5</v>
      </c>
      <c r="M596">
        <v>88.09</v>
      </c>
      <c r="N596">
        <v>88.32</v>
      </c>
      <c r="O596">
        <v>82.3</v>
      </c>
      <c r="P596">
        <v>83.79</v>
      </c>
      <c r="Q596">
        <v>24044</v>
      </c>
      <c r="R596">
        <v>398069</v>
      </c>
      <c r="S596">
        <v>92.837000000000003</v>
      </c>
      <c r="T596">
        <v>92.837000000000003</v>
      </c>
      <c r="U596">
        <v>92.837000000000003</v>
      </c>
      <c r="V596">
        <v>92.837000000000003</v>
      </c>
      <c r="W596">
        <v>0</v>
      </c>
      <c r="X596">
        <v>7.0008140481451292E-2</v>
      </c>
      <c r="Y596">
        <v>0.38003792298453953</v>
      </c>
      <c r="Z596">
        <v>-0.16196572045963559</v>
      </c>
      <c r="AB596" s="3">
        <f t="shared" si="99"/>
        <v>-3.9821541486629836E-2</v>
      </c>
      <c r="AC596" s="3">
        <f t="shared" si="100"/>
        <v>-1.56162244744074E-2</v>
      </c>
      <c r="AD596" s="3">
        <f t="shared" si="101"/>
        <v>-8.8788531343629851E-3</v>
      </c>
      <c r="AE596" s="76">
        <f t="shared" si="102"/>
        <v>-13236.190476190477</v>
      </c>
      <c r="AF596" s="76">
        <f t="shared" si="103"/>
        <v>-9923.0238095238092</v>
      </c>
      <c r="AG596" s="76">
        <f t="shared" si="104"/>
        <v>-10441.386009270966</v>
      </c>
      <c r="AO596" s="5">
        <f t="shared" si="109"/>
        <v>-4.0233236151603534E-2</v>
      </c>
      <c r="AP596" s="5">
        <f t="shared" si="105"/>
        <v>0.53309624405663025</v>
      </c>
      <c r="AR596" s="5">
        <f t="shared" si="106"/>
        <v>3.6015464138357545E-2</v>
      </c>
      <c r="AS596" s="5">
        <f t="shared" si="107"/>
        <v>0.11057428691639215</v>
      </c>
      <c r="AT596" s="5">
        <f t="shared" si="108"/>
        <v>0.14771903583717449</v>
      </c>
    </row>
    <row r="597" spans="12:46" x14ac:dyDescent="0.25">
      <c r="L597" s="4">
        <v>44673.5</v>
      </c>
      <c r="M597">
        <v>85.99</v>
      </c>
      <c r="N597">
        <v>89.89</v>
      </c>
      <c r="O597">
        <v>85.75</v>
      </c>
      <c r="P597">
        <v>88.87</v>
      </c>
      <c r="Q597">
        <v>22329</v>
      </c>
      <c r="R597">
        <v>397717</v>
      </c>
      <c r="S597">
        <v>94.875</v>
      </c>
      <c r="T597">
        <v>94.875</v>
      </c>
      <c r="U597">
        <v>94.875</v>
      </c>
      <c r="V597">
        <v>94.875</v>
      </c>
      <c r="W597">
        <v>0</v>
      </c>
      <c r="X597">
        <v>4.7861271676300582E-2</v>
      </c>
      <c r="Y597">
        <v>-0.14762884411434343</v>
      </c>
      <c r="Z597">
        <v>-0.2878285031162795</v>
      </c>
      <c r="AB597" s="3">
        <f t="shared" si="99"/>
        <v>-4.5574077112686233E-2</v>
      </c>
      <c r="AC597" s="3">
        <f t="shared" si="100"/>
        <v>-1.7899576161524385E-2</v>
      </c>
      <c r="AD597" s="3">
        <f t="shared" si="101"/>
        <v>-1.1517609633362721E-2</v>
      </c>
      <c r="AE597" s="76">
        <f t="shared" si="102"/>
        <v>-14988.047619047622</v>
      </c>
      <c r="AF597" s="76">
        <f t="shared" si="103"/>
        <v>-10096.035714285717</v>
      </c>
      <c r="AG597" s="76">
        <f t="shared" si="104"/>
        <v>-10967.948166877373</v>
      </c>
      <c r="AO597" s="5">
        <f t="shared" si="109"/>
        <v>1.9864454311755283E-3</v>
      </c>
      <c r="AP597" s="5">
        <f t="shared" si="105"/>
        <v>0.53158113636175719</v>
      </c>
      <c r="AR597" s="5">
        <f t="shared" si="106"/>
        <v>4.2887408891811918E-2</v>
      </c>
      <c r="AS597" s="5">
        <f t="shared" si="107"/>
        <v>0.11286318672701157</v>
      </c>
      <c r="AT597" s="5">
        <f t="shared" si="108"/>
        <v>0.14890140286045095</v>
      </c>
    </row>
    <row r="598" spans="12:46" x14ac:dyDescent="0.25">
      <c r="L598" s="4">
        <v>44672.5</v>
      </c>
      <c r="M598">
        <v>86.5</v>
      </c>
      <c r="N598">
        <v>87.69</v>
      </c>
      <c r="O598">
        <v>85.58</v>
      </c>
      <c r="P598">
        <v>86.56</v>
      </c>
      <c r="Q598">
        <v>14749</v>
      </c>
      <c r="R598">
        <v>395473</v>
      </c>
      <c r="S598">
        <v>100.06100000000001</v>
      </c>
      <c r="T598">
        <v>100.06100000000001</v>
      </c>
      <c r="U598">
        <v>100.06100000000001</v>
      </c>
      <c r="V598">
        <v>100.06100000000001</v>
      </c>
      <c r="W598">
        <v>0</v>
      </c>
      <c r="X598">
        <v>2.6230730979612128E-2</v>
      </c>
      <c r="Y598">
        <v>-0.66520373232873919</v>
      </c>
      <c r="Z598">
        <v>-0.87477851087031344</v>
      </c>
      <c r="AB598" s="3">
        <f t="shared" si="99"/>
        <v>-4.7109957532774097E-2</v>
      </c>
      <c r="AC598" s="3">
        <f t="shared" si="100"/>
        <v>-1.8173158811907252E-2</v>
      </c>
      <c r="AD598" s="3">
        <f t="shared" si="101"/>
        <v>-1.1815972417462288E-2</v>
      </c>
      <c r="AE598" s="76">
        <f t="shared" si="102"/>
        <v>-15922.190476190473</v>
      </c>
      <c r="AF598" s="76">
        <f t="shared" si="103"/>
        <v>-10452.005952380954</v>
      </c>
      <c r="AG598" s="76">
        <f t="shared" si="104"/>
        <v>-11378.563000421407</v>
      </c>
      <c r="AO598" s="5">
        <f t="shared" si="109"/>
        <v>7.2565484396540814E-2</v>
      </c>
      <c r="AP598" s="5">
        <f t="shared" si="105"/>
        <v>0.53159518276908424</v>
      </c>
      <c r="AR598" s="5">
        <f t="shared" si="106"/>
        <v>4.992921199257927E-2</v>
      </c>
      <c r="AS598" s="5">
        <f t="shared" si="107"/>
        <v>0.11520262236796663</v>
      </c>
      <c r="AT598" s="5">
        <f t="shared" si="108"/>
        <v>0.15019285870339827</v>
      </c>
    </row>
    <row r="599" spans="12:46" x14ac:dyDescent="0.25">
      <c r="L599" s="4">
        <v>44671.5</v>
      </c>
      <c r="M599">
        <v>80.44</v>
      </c>
      <c r="N599">
        <v>88.5</v>
      </c>
      <c r="O599">
        <v>79.790000000000006</v>
      </c>
      <c r="P599">
        <v>86.85</v>
      </c>
      <c r="Q599">
        <v>30563</v>
      </c>
      <c r="R599">
        <v>395269</v>
      </c>
      <c r="S599">
        <v>96.75</v>
      </c>
      <c r="T599">
        <v>96.75</v>
      </c>
      <c r="U599">
        <v>94.230999999999995</v>
      </c>
      <c r="V599">
        <v>94.230999999999995</v>
      </c>
      <c r="W599">
        <v>1</v>
      </c>
      <c r="X599">
        <v>0.10868480159720481</v>
      </c>
      <c r="Y599">
        <v>1.3249970475988699</v>
      </c>
      <c r="Z599">
        <v>0.31047370675164082</v>
      </c>
      <c r="AB599" s="3">
        <f t="shared" si="99"/>
        <v>-4.2958455145564567E-2</v>
      </c>
      <c r="AC599" s="3">
        <f t="shared" si="100"/>
        <v>-1.5577153402448841E-2</v>
      </c>
      <c r="AD599" s="3">
        <f t="shared" si="101"/>
        <v>-9.7275245183277431E-3</v>
      </c>
      <c r="AE599" s="76">
        <f t="shared" si="102"/>
        <v>-14775.380952380954</v>
      </c>
      <c r="AF599" s="76">
        <f t="shared" si="103"/>
        <v>-9465.8154761904734</v>
      </c>
      <c r="AG599" s="76">
        <f t="shared" si="104"/>
        <v>-10609.309313105772</v>
      </c>
      <c r="AO599" s="5">
        <f t="shared" si="109"/>
        <v>3.3953722334005313E-3</v>
      </c>
      <c r="AP599" s="5">
        <f t="shared" si="105"/>
        <v>0.52783963610005891</v>
      </c>
      <c r="AR599" s="5">
        <f t="shared" si="106"/>
        <v>5.704040595895038E-2</v>
      </c>
      <c r="AS599" s="5">
        <f t="shared" si="107"/>
        <v>0.11760007896484026</v>
      </c>
      <c r="AT599" s="5">
        <f t="shared" si="108"/>
        <v>0.15153462999127693</v>
      </c>
    </row>
    <row r="600" spans="12:46" x14ac:dyDescent="0.25">
      <c r="L600" s="4">
        <v>44670.5</v>
      </c>
      <c r="M600">
        <v>80.14</v>
      </c>
      <c r="N600">
        <v>80.95</v>
      </c>
      <c r="O600">
        <v>79.52</v>
      </c>
      <c r="P600">
        <v>80.150000000000006</v>
      </c>
      <c r="Q600">
        <v>18375</v>
      </c>
      <c r="R600">
        <v>394827</v>
      </c>
      <c r="S600">
        <v>93.768000000000001</v>
      </c>
      <c r="T600">
        <v>93.768000000000001</v>
      </c>
      <c r="U600">
        <v>93.768000000000001</v>
      </c>
      <c r="V600">
        <v>93.768000000000001</v>
      </c>
      <c r="W600">
        <v>0</v>
      </c>
      <c r="X600">
        <v>1.8480227448953307E-2</v>
      </c>
      <c r="Y600">
        <v>-0.84789527128732445</v>
      </c>
      <c r="Z600">
        <v>-0.62921495907757519</v>
      </c>
      <c r="AB600" s="3">
        <f t="shared" si="99"/>
        <v>-4.6377843468968796E-2</v>
      </c>
      <c r="AC600" s="3">
        <f t="shared" si="100"/>
        <v>-1.9459050686279407E-2</v>
      </c>
      <c r="AD600" s="3">
        <f t="shared" si="101"/>
        <v>-1.3305369264929888E-2</v>
      </c>
      <c r="AE600" s="76">
        <f t="shared" si="102"/>
        <v>-15421.333333333336</v>
      </c>
      <c r="AF600" s="76">
        <f t="shared" si="103"/>
        <v>-9889.8988095238128</v>
      </c>
      <c r="AG600" s="76">
        <f t="shared" si="104"/>
        <v>-11336.743784239363</v>
      </c>
      <c r="AO600" s="5">
        <f t="shared" si="109"/>
        <v>2.765572499353839E-2</v>
      </c>
      <c r="AP600" s="5">
        <f t="shared" si="105"/>
        <v>0.52812026723669847</v>
      </c>
      <c r="AR600" s="5">
        <f t="shared" si="106"/>
        <v>6.4200135670376912E-2</v>
      </c>
      <c r="AS600" s="5">
        <f t="shared" si="107"/>
        <v>0.12015703899205915</v>
      </c>
      <c r="AT600" s="5">
        <f t="shared" si="108"/>
        <v>0.15299872994945202</v>
      </c>
    </row>
    <row r="601" spans="12:46" x14ac:dyDescent="0.25">
      <c r="L601" s="4">
        <v>44669.5</v>
      </c>
      <c r="M601">
        <v>77.38</v>
      </c>
      <c r="N601">
        <v>80.25</v>
      </c>
      <c r="O601">
        <v>77.38</v>
      </c>
      <c r="P601">
        <v>79.86</v>
      </c>
      <c r="Q601">
        <v>0</v>
      </c>
      <c r="R601">
        <v>0</v>
      </c>
      <c r="S601">
        <v>95.62</v>
      </c>
      <c r="T601">
        <v>95.62</v>
      </c>
      <c r="U601">
        <v>95.62</v>
      </c>
      <c r="V601">
        <v>95.62</v>
      </c>
      <c r="W601">
        <v>0</v>
      </c>
      <c r="X601">
        <v>3.7089687257689387E-2</v>
      </c>
      <c r="Y601">
        <v>-0.40366453490652066</v>
      </c>
      <c r="Z601">
        <v>-2.0041652024891787</v>
      </c>
      <c r="AB601" s="3">
        <f t="shared" si="99"/>
        <v>-4.6470147053125813E-2</v>
      </c>
      <c r="AC601" s="3">
        <f t="shared" si="100"/>
        <v>-1.8899204596152679E-2</v>
      </c>
      <c r="AD601" s="3">
        <f t="shared" si="101"/>
        <v>-1.291686137891114E-2</v>
      </c>
      <c r="AE601" s="76">
        <f t="shared" si="102"/>
        <v>-15986.428571428569</v>
      </c>
      <c r="AF601" s="76">
        <f t="shared" si="103"/>
        <v>-9918.25</v>
      </c>
      <c r="AG601" s="76">
        <f t="shared" si="104"/>
        <v>-11677.616940581542</v>
      </c>
      <c r="AO601" s="5">
        <f t="shared" si="109"/>
        <v>0</v>
      </c>
      <c r="AP601" s="5">
        <f t="shared" si="105"/>
        <v>0.52755402367836546</v>
      </c>
      <c r="AR601" s="5">
        <f t="shared" si="106"/>
        <v>7.1324834795381986E-2</v>
      </c>
      <c r="AS601" s="5">
        <f t="shared" si="107"/>
        <v>0.12269473642934037</v>
      </c>
      <c r="AT601" s="5">
        <f t="shared" si="108"/>
        <v>0.15444549450899858</v>
      </c>
    </row>
    <row r="602" spans="12:46" x14ac:dyDescent="0.25">
      <c r="L602" s="4">
        <v>44666.5</v>
      </c>
      <c r="M602">
        <v>77.38</v>
      </c>
      <c r="N602">
        <v>80.25</v>
      </c>
      <c r="O602">
        <v>77.38</v>
      </c>
      <c r="P602">
        <v>79.86</v>
      </c>
      <c r="Q602">
        <v>0</v>
      </c>
      <c r="R602">
        <v>0</v>
      </c>
      <c r="S602">
        <v>95.62</v>
      </c>
      <c r="T602">
        <v>95.62</v>
      </c>
      <c r="U602">
        <v>95.62</v>
      </c>
      <c r="V602">
        <v>95.62</v>
      </c>
      <c r="W602">
        <v>0</v>
      </c>
      <c r="X602">
        <v>3.7089687257689387E-2</v>
      </c>
      <c r="Y602">
        <v>-0.40272033182346434</v>
      </c>
      <c r="Z602">
        <v>-2.0990254983066476</v>
      </c>
      <c r="AB602" s="3">
        <f t="shared" si="99"/>
        <v>-4.8668025569193252E-2</v>
      </c>
      <c r="AC602" s="3">
        <f t="shared" si="100"/>
        <v>-1.9592076274700505E-2</v>
      </c>
      <c r="AD602" s="3">
        <f t="shared" si="101"/>
        <v>-1.3638834109674085E-2</v>
      </c>
      <c r="AE602" s="76">
        <f t="shared" si="102"/>
        <v>-15677.952380952378</v>
      </c>
      <c r="AF602" s="76">
        <f t="shared" si="103"/>
        <v>-8824.375</v>
      </c>
      <c r="AG602" s="76">
        <f t="shared" si="104"/>
        <v>-10777.462705436155</v>
      </c>
      <c r="AO602" s="5">
        <f t="shared" si="109"/>
        <v>0</v>
      </c>
      <c r="AP602" s="5">
        <f t="shared" si="105"/>
        <v>0.52770023776290986</v>
      </c>
      <c r="AR602" s="5">
        <f t="shared" si="106"/>
        <v>7.8455702869197064E-2</v>
      </c>
      <c r="AS602" s="5">
        <f t="shared" si="107"/>
        <v>0.12525329342374181</v>
      </c>
      <c r="AT602" s="5">
        <f t="shared" si="108"/>
        <v>0.15591475743555511</v>
      </c>
    </row>
    <row r="603" spans="12:46" x14ac:dyDescent="0.25">
      <c r="L603" s="4">
        <v>44665.5</v>
      </c>
      <c r="M603">
        <v>77.38</v>
      </c>
      <c r="N603">
        <v>80.25</v>
      </c>
      <c r="O603">
        <v>77.38</v>
      </c>
      <c r="P603">
        <v>79.86</v>
      </c>
      <c r="Q603">
        <v>15284</v>
      </c>
      <c r="R603">
        <v>392123</v>
      </c>
      <c r="S603">
        <v>95.62</v>
      </c>
      <c r="T603">
        <v>95.62</v>
      </c>
      <c r="U603">
        <v>95.62</v>
      </c>
      <c r="V603">
        <v>95.62</v>
      </c>
      <c r="W603">
        <v>0</v>
      </c>
      <c r="X603">
        <v>3.6251105216622517E-2</v>
      </c>
      <c r="Y603">
        <v>-0.41926586640968616</v>
      </c>
      <c r="Z603">
        <v>-0.97767791562913109</v>
      </c>
      <c r="AB603" s="3">
        <f t="shared" si="99"/>
        <v>-4.7469713772300859E-2</v>
      </c>
      <c r="AC603" s="3">
        <f t="shared" si="100"/>
        <v>-1.8730829503911181E-2</v>
      </c>
      <c r="AD603" s="3">
        <f t="shared" si="101"/>
        <v>-1.2910611853641375E-2</v>
      </c>
      <c r="AE603" s="76">
        <f t="shared" si="102"/>
        <v>-14888.476190476194</v>
      </c>
      <c r="AF603" s="76">
        <f t="shared" si="103"/>
        <v>-7512.1726190476184</v>
      </c>
      <c r="AG603" s="76">
        <f t="shared" si="104"/>
        <v>-9647.0577328276449</v>
      </c>
      <c r="AO603" s="5">
        <f t="shared" si="109"/>
        <v>1.9422504208208139E-3</v>
      </c>
      <c r="AP603" s="5">
        <f t="shared" si="105"/>
        <v>0.52777050698269878</v>
      </c>
      <c r="AR603" s="5">
        <f t="shared" si="106"/>
        <v>8.5628932231367971E-2</v>
      </c>
      <c r="AS603" s="5">
        <f t="shared" si="107"/>
        <v>0.12781762656298967</v>
      </c>
      <c r="AT603" s="5">
        <f t="shared" si="108"/>
        <v>0.15738533444887109</v>
      </c>
    </row>
    <row r="604" spans="12:46" x14ac:dyDescent="0.25">
      <c r="L604" s="4">
        <v>44664.5</v>
      </c>
      <c r="M604">
        <v>79.17</v>
      </c>
      <c r="N604">
        <v>79.17</v>
      </c>
      <c r="O604">
        <v>77.23</v>
      </c>
      <c r="P604">
        <v>77.900000000000006</v>
      </c>
      <c r="Q604">
        <v>15193</v>
      </c>
      <c r="R604">
        <v>391807</v>
      </c>
      <c r="S604">
        <v>105.324</v>
      </c>
      <c r="T604">
        <v>105.324</v>
      </c>
      <c r="U604">
        <v>105.324</v>
      </c>
      <c r="V604">
        <v>105.324</v>
      </c>
      <c r="W604">
        <v>0</v>
      </c>
      <c r="X604">
        <v>2.498390212491948E-2</v>
      </c>
      <c r="Y604">
        <v>-0.70220123741292251</v>
      </c>
      <c r="Z604">
        <v>-0.99566469157090576</v>
      </c>
      <c r="AB604" s="3">
        <f t="shared" si="99"/>
        <v>-4.5661709958945106E-2</v>
      </c>
      <c r="AC604" s="3">
        <f t="shared" si="100"/>
        <v>-1.799382989838258E-2</v>
      </c>
      <c r="AD604" s="3">
        <f t="shared" si="101"/>
        <v>-1.2237488578899433E-2</v>
      </c>
      <c r="AE604" s="76">
        <f t="shared" si="102"/>
        <v>-14712.047619047622</v>
      </c>
      <c r="AF604" s="76">
        <f t="shared" si="103"/>
        <v>-6844.625</v>
      </c>
      <c r="AG604" s="76">
        <f t="shared" si="104"/>
        <v>-9364.1087231352722</v>
      </c>
      <c r="AO604" s="5">
        <f t="shared" si="109"/>
        <v>4.9446974625895861E-3</v>
      </c>
      <c r="AP604" s="5">
        <f t="shared" si="105"/>
        <v>0.52779140044775952</v>
      </c>
      <c r="AR604" s="5">
        <f t="shared" si="106"/>
        <v>9.2829931064998428E-2</v>
      </c>
      <c r="AS604" s="5">
        <f t="shared" si="107"/>
        <v>0.13037684971879387</v>
      </c>
      <c r="AT604" s="5">
        <f t="shared" si="108"/>
        <v>0.15884826071316122</v>
      </c>
    </row>
    <row r="605" spans="12:46" x14ac:dyDescent="0.25">
      <c r="L605" s="4">
        <v>44663.5</v>
      </c>
      <c r="M605">
        <v>77.650000000000006</v>
      </c>
      <c r="N605">
        <v>79.290000000000006</v>
      </c>
      <c r="O605">
        <v>76.849999999999994</v>
      </c>
      <c r="P605">
        <v>78.900000000000006</v>
      </c>
      <c r="Q605">
        <v>16031</v>
      </c>
      <c r="R605">
        <v>392375</v>
      </c>
      <c r="S605">
        <v>103.75</v>
      </c>
      <c r="T605">
        <v>103.75</v>
      </c>
      <c r="U605">
        <v>102.21899999999999</v>
      </c>
      <c r="V605">
        <v>102.21899999999999</v>
      </c>
      <c r="W605">
        <v>1</v>
      </c>
      <c r="X605">
        <v>3.0595611285266607E-2</v>
      </c>
      <c r="Y605">
        <v>-0.57537426774302791</v>
      </c>
      <c r="Z605">
        <v>-0.94470001008356008</v>
      </c>
      <c r="AB605" s="3">
        <f t="shared" si="99"/>
        <v>-4.38207766783347E-2</v>
      </c>
      <c r="AC605" s="3">
        <f t="shared" si="100"/>
        <v>-1.6116427717760284E-2</v>
      </c>
      <c r="AD605" s="3">
        <f t="shared" si="101"/>
        <v>-1.0757911988145359E-2</v>
      </c>
      <c r="AE605" s="76">
        <f t="shared" si="102"/>
        <v>-14192.904761904763</v>
      </c>
      <c r="AF605" s="76">
        <f t="shared" si="103"/>
        <v>-6013.5357142857138</v>
      </c>
      <c r="AG605" s="76">
        <f t="shared" si="104"/>
        <v>-9126.0530973451314</v>
      </c>
      <c r="AO605" s="5">
        <f t="shared" si="109"/>
        <v>-9.0264345583494898E-3</v>
      </c>
      <c r="AP605" s="5">
        <f t="shared" si="105"/>
        <v>0.52786045255385272</v>
      </c>
      <c r="AR605" s="5">
        <f t="shared" si="106"/>
        <v>0.10000286986422302</v>
      </c>
      <c r="AS605" s="5">
        <f t="shared" si="107"/>
        <v>0.13293796877426561</v>
      </c>
      <c r="AT605" s="5">
        <f t="shared" si="108"/>
        <v>0.16029880721436623</v>
      </c>
    </row>
    <row r="606" spans="12:46" x14ac:dyDescent="0.25">
      <c r="L606" s="4">
        <v>44662.5</v>
      </c>
      <c r="M606">
        <v>79.75</v>
      </c>
      <c r="N606">
        <v>80.16</v>
      </c>
      <c r="O606">
        <v>77.55</v>
      </c>
      <c r="P606">
        <v>77.78</v>
      </c>
      <c r="Q606">
        <v>16219</v>
      </c>
      <c r="R606">
        <v>391603</v>
      </c>
      <c r="S606">
        <v>100.137</v>
      </c>
      <c r="T606">
        <v>100.137</v>
      </c>
      <c r="U606">
        <v>100.137</v>
      </c>
      <c r="V606">
        <v>100.137</v>
      </c>
      <c r="W606">
        <v>0</v>
      </c>
      <c r="X606">
        <v>3.2776591736782615E-2</v>
      </c>
      <c r="Y606">
        <v>-0.53014695221470987</v>
      </c>
      <c r="Z606">
        <v>-0.95399438645679346</v>
      </c>
      <c r="AB606" s="3">
        <f t="shared" si="99"/>
        <v>-4.0681882377794201E-2</v>
      </c>
      <c r="AC606" s="3">
        <f t="shared" si="100"/>
        <v>-1.3210522139184472E-2</v>
      </c>
      <c r="AD606" s="3">
        <f t="shared" si="101"/>
        <v>-8.8396866571235008E-3</v>
      </c>
      <c r="AE606" s="76">
        <f t="shared" si="102"/>
        <v>-14301.714285714286</v>
      </c>
      <c r="AF606" s="76">
        <f t="shared" si="103"/>
        <v>-5551.5416666666679</v>
      </c>
      <c r="AG606" s="76">
        <f t="shared" si="104"/>
        <v>-9442.6628739991575</v>
      </c>
      <c r="AO606" s="5">
        <f t="shared" si="109"/>
        <v>-2.465098729719542E-2</v>
      </c>
      <c r="AP606" s="5">
        <f t="shared" si="105"/>
        <v>0.5277348421087964</v>
      </c>
      <c r="AR606" s="5">
        <f t="shared" si="106"/>
        <v>0.10695848165421734</v>
      </c>
      <c r="AS606" s="5">
        <f t="shared" si="107"/>
        <v>0.1354954055885319</v>
      </c>
      <c r="AT606" s="5">
        <f t="shared" si="108"/>
        <v>0.16175289761891903</v>
      </c>
    </row>
    <row r="607" spans="12:46" x14ac:dyDescent="0.25">
      <c r="L607" s="4">
        <v>44659.5</v>
      </c>
      <c r="M607">
        <v>79.63</v>
      </c>
      <c r="N607">
        <v>80.98</v>
      </c>
      <c r="O607">
        <v>79.510000000000005</v>
      </c>
      <c r="P607">
        <v>79.92</v>
      </c>
      <c r="Q607">
        <v>13930</v>
      </c>
      <c r="R607">
        <v>391997</v>
      </c>
      <c r="S607">
        <v>103.88200000000001</v>
      </c>
      <c r="T607">
        <v>103.88200000000001</v>
      </c>
      <c r="U607">
        <v>103.88200000000001</v>
      </c>
      <c r="V607">
        <v>103.88200000000001</v>
      </c>
      <c r="W607">
        <v>0</v>
      </c>
      <c r="X607">
        <v>1.9048853181288052E-2</v>
      </c>
      <c r="Y607">
        <v>-0.88924629553273848</v>
      </c>
      <c r="Z607">
        <v>-1.1401751817828898</v>
      </c>
      <c r="AB607" s="3">
        <f t="shared" si="99"/>
        <v>-3.8671758183184399E-2</v>
      </c>
      <c r="AC607" s="3">
        <f t="shared" si="100"/>
        <v>-1.1679097519667961E-2</v>
      </c>
      <c r="AD607" s="3">
        <f t="shared" si="101"/>
        <v>-7.3105896584485658E-3</v>
      </c>
      <c r="AE607" s="76">
        <f t="shared" si="102"/>
        <v>-14328.190476190477</v>
      </c>
      <c r="AF607" s="76">
        <f t="shared" si="103"/>
        <v>-5213.6130952380954</v>
      </c>
      <c r="AG607" s="76">
        <f t="shared" si="104"/>
        <v>-9370.7513695743801</v>
      </c>
      <c r="AO607" s="5">
        <f t="shared" si="109"/>
        <v>4.1524757663086213E-2</v>
      </c>
      <c r="AP607" s="5">
        <f t="shared" si="105"/>
        <v>0.52706759630897682</v>
      </c>
      <c r="AR607" s="5">
        <f t="shared" si="106"/>
        <v>0.11380024293078167</v>
      </c>
      <c r="AS607" s="5">
        <f t="shared" si="107"/>
        <v>0.13802525703227514</v>
      </c>
      <c r="AT607" s="5">
        <f t="shared" si="108"/>
        <v>0.16326377288696675</v>
      </c>
    </row>
    <row r="608" spans="12:46" x14ac:dyDescent="0.25">
      <c r="L608" s="4">
        <v>44658.5</v>
      </c>
      <c r="M608">
        <v>77.17</v>
      </c>
      <c r="N608">
        <v>80.400000000000006</v>
      </c>
      <c r="O608">
        <v>76.34</v>
      </c>
      <c r="P608">
        <v>79.930000000000007</v>
      </c>
      <c r="Q608">
        <v>19504</v>
      </c>
      <c r="R608">
        <v>392640</v>
      </c>
      <c r="S608">
        <v>104.56399999999999</v>
      </c>
      <c r="T608">
        <v>104.56399999999999</v>
      </c>
      <c r="U608">
        <v>104.56399999999999</v>
      </c>
      <c r="V608">
        <v>104.56399999999999</v>
      </c>
      <c r="W608">
        <v>0</v>
      </c>
      <c r="X608">
        <v>5.2044609665427538E-2</v>
      </c>
      <c r="Y608">
        <v>-7.3490028505077937E-2</v>
      </c>
      <c r="Z608">
        <v>-0.68333676786425768</v>
      </c>
      <c r="AB608" s="3">
        <f t="shared" si="99"/>
        <v>-3.3157122015784253E-2</v>
      </c>
      <c r="AC608" s="3">
        <f t="shared" si="100"/>
        <v>-6.7407226301649109E-3</v>
      </c>
      <c r="AD608" s="3">
        <f t="shared" si="101"/>
        <v>-2.5855307040562395E-3</v>
      </c>
      <c r="AE608" s="76">
        <f t="shared" si="102"/>
        <v>-13573.761904761905</v>
      </c>
      <c r="AF608" s="76">
        <f t="shared" si="103"/>
        <v>-4298.1964285714275</v>
      </c>
      <c r="AG608" s="76">
        <f t="shared" si="104"/>
        <v>-8481.6485461441225</v>
      </c>
      <c r="AO608" s="5">
        <f t="shared" si="109"/>
        <v>-4.8233607091642599E-3</v>
      </c>
      <c r="AP608" s="5">
        <f t="shared" si="105"/>
        <v>0.52572266039154036</v>
      </c>
      <c r="AR608" s="5">
        <f t="shared" si="106"/>
        <v>0.12038339374075913</v>
      </c>
      <c r="AS608" s="5">
        <f t="shared" si="107"/>
        <v>0.14038667694359375</v>
      </c>
      <c r="AT608" s="5">
        <f t="shared" si="108"/>
        <v>0.16463886761664731</v>
      </c>
    </row>
    <row r="609" spans="12:46" x14ac:dyDescent="0.25">
      <c r="L609" s="4">
        <v>44657.5</v>
      </c>
      <c r="M609">
        <v>78.010000000000005</v>
      </c>
      <c r="N609">
        <v>79.56</v>
      </c>
      <c r="O609">
        <v>76.709999999999994</v>
      </c>
      <c r="P609">
        <v>77.3</v>
      </c>
      <c r="Q609">
        <v>19737</v>
      </c>
      <c r="R609">
        <v>390565</v>
      </c>
      <c r="S609">
        <v>106.791</v>
      </c>
      <c r="T609">
        <v>106.791</v>
      </c>
      <c r="U609">
        <v>106.791</v>
      </c>
      <c r="V609">
        <v>106.791</v>
      </c>
      <c r="W609">
        <v>0</v>
      </c>
      <c r="X609">
        <v>3.6185881157948303E-2</v>
      </c>
      <c r="Y609">
        <v>-0.45780481349117591</v>
      </c>
      <c r="Z609">
        <v>-0.66632021896706994</v>
      </c>
      <c r="AB609" s="3">
        <f t="shared" si="99"/>
        <v>-2.4871224780737493E-2</v>
      </c>
      <c r="AC609" s="3">
        <f t="shared" si="100"/>
        <v>-1.8866418914744512E-3</v>
      </c>
      <c r="AD609" s="3">
        <f t="shared" si="101"/>
        <v>1.8797705167257067E-3</v>
      </c>
      <c r="AE609" s="76">
        <f t="shared" si="102"/>
        <v>-12506.28571428571</v>
      </c>
      <c r="AF609" s="76">
        <f t="shared" si="103"/>
        <v>-3183.6190476190459</v>
      </c>
      <c r="AG609" s="76">
        <f t="shared" si="104"/>
        <v>-7607.7290349768227</v>
      </c>
      <c r="AO609" s="5">
        <f t="shared" si="109"/>
        <v>-9.4266528925620353E-3</v>
      </c>
      <c r="AP609" s="5">
        <f t="shared" si="105"/>
        <v>0.52572591967203675</v>
      </c>
      <c r="AR609" s="5">
        <f t="shared" si="106"/>
        <v>0.12714629142915695</v>
      </c>
      <c r="AS609" s="5">
        <f t="shared" si="107"/>
        <v>0.14278532004417155</v>
      </c>
      <c r="AT609" s="5">
        <f t="shared" si="108"/>
        <v>0.16602826911254842</v>
      </c>
    </row>
    <row r="610" spans="12:46" x14ac:dyDescent="0.25">
      <c r="L610" s="4">
        <v>44656.5</v>
      </c>
      <c r="M610">
        <v>78.760000000000005</v>
      </c>
      <c r="N610">
        <v>78.94</v>
      </c>
      <c r="O610">
        <v>77.44</v>
      </c>
      <c r="P610">
        <v>78.3</v>
      </c>
      <c r="Q610">
        <v>17897</v>
      </c>
      <c r="R610">
        <v>393249</v>
      </c>
      <c r="S610">
        <v>108.14</v>
      </c>
      <c r="T610">
        <v>108.56399999999999</v>
      </c>
      <c r="U610">
        <v>108.14</v>
      </c>
      <c r="V610">
        <v>108.56399999999999</v>
      </c>
      <c r="W610">
        <v>4</v>
      </c>
      <c r="X610">
        <v>1.917668115571465E-2</v>
      </c>
      <c r="Y610">
        <v>-0.88130670619742091</v>
      </c>
      <c r="Z610">
        <v>-0.81230748414542309</v>
      </c>
      <c r="AB610" s="3">
        <f t="shared" si="99"/>
        <v>-9.2031629887036337E-3</v>
      </c>
      <c r="AC610" s="3">
        <f t="shared" si="100"/>
        <v>7.699375198582617E-3</v>
      </c>
      <c r="AD610" s="3">
        <f t="shared" si="101"/>
        <v>1.101965364179152E-2</v>
      </c>
      <c r="AE610" s="76">
        <f t="shared" si="102"/>
        <v>-10936.714285714286</v>
      </c>
      <c r="AF610" s="76">
        <f t="shared" si="103"/>
        <v>-1847.9702380952403</v>
      </c>
      <c r="AG610" s="76">
        <f t="shared" si="104"/>
        <v>-6806.7905604719781</v>
      </c>
      <c r="AO610" s="5">
        <f t="shared" si="109"/>
        <v>3.8890329271454131E-3</v>
      </c>
      <c r="AP610" s="5">
        <f t="shared" si="105"/>
        <v>0.52588994181612281</v>
      </c>
      <c r="AR610" s="5">
        <f t="shared" si="106"/>
        <v>0.13074676380205347</v>
      </c>
      <c r="AS610" s="5">
        <f t="shared" si="107"/>
        <v>0.14313353150722191</v>
      </c>
      <c r="AT610" s="5">
        <f t="shared" si="108"/>
        <v>0.16556232284862493</v>
      </c>
    </row>
    <row r="611" spans="12:46" x14ac:dyDescent="0.25">
      <c r="L611" s="4">
        <v>44655.5</v>
      </c>
      <c r="M611">
        <v>78.22</v>
      </c>
      <c r="N611">
        <v>79.400000000000006</v>
      </c>
      <c r="O611">
        <v>77.14</v>
      </c>
      <c r="P611">
        <v>78.91</v>
      </c>
      <c r="Q611">
        <v>15607</v>
      </c>
      <c r="R611">
        <v>394078</v>
      </c>
      <c r="S611">
        <v>109.523</v>
      </c>
      <c r="T611">
        <v>109.523</v>
      </c>
      <c r="U611">
        <v>109.523</v>
      </c>
      <c r="V611">
        <v>109.523</v>
      </c>
      <c r="W611">
        <v>5</v>
      </c>
      <c r="X611">
        <v>2.9350649350649419E-2</v>
      </c>
      <c r="Y611">
        <v>-0.63875227095056653</v>
      </c>
      <c r="Z611">
        <v>-0.97840829350881064</v>
      </c>
      <c r="AB611" s="3">
        <f t="shared" si="99"/>
        <v>-8.8315766934192463E-4</v>
      </c>
      <c r="AC611" s="3">
        <f t="shared" si="100"/>
        <v>1.1564823887505682E-2</v>
      </c>
      <c r="AD611" s="3">
        <f t="shared" si="101"/>
        <v>1.6245473154934853E-2</v>
      </c>
      <c r="AE611" s="76">
        <f t="shared" si="102"/>
        <v>-8569.2380952380918</v>
      </c>
      <c r="AF611" s="76">
        <f t="shared" si="103"/>
        <v>-292.15476190475965</v>
      </c>
      <c r="AG611" s="76">
        <f t="shared" si="104"/>
        <v>-5275.560893383903</v>
      </c>
      <c r="AO611" s="5">
        <f t="shared" si="109"/>
        <v>1.0479434110557993E-2</v>
      </c>
      <c r="AP611" s="5">
        <f t="shared" si="105"/>
        <v>0.52589072384871005</v>
      </c>
      <c r="AR611" s="5">
        <f t="shared" si="106"/>
        <v>0.13431119657939306</v>
      </c>
      <c r="AS611" s="5">
        <f t="shared" si="107"/>
        <v>0.14345211093906135</v>
      </c>
      <c r="AT611" s="5">
        <f t="shared" si="108"/>
        <v>0.16510450530682869</v>
      </c>
    </row>
    <row r="612" spans="12:46" x14ac:dyDescent="0.25">
      <c r="L612" s="4">
        <v>44652.5</v>
      </c>
      <c r="M612">
        <v>77</v>
      </c>
      <c r="N612">
        <v>79.88</v>
      </c>
      <c r="O612">
        <v>76.34</v>
      </c>
      <c r="P612">
        <v>78.3</v>
      </c>
      <c r="Q612">
        <v>16907</v>
      </c>
      <c r="R612">
        <v>393481</v>
      </c>
      <c r="S612">
        <v>114.75</v>
      </c>
      <c r="T612">
        <v>114.75</v>
      </c>
      <c r="U612">
        <v>112.15</v>
      </c>
      <c r="V612">
        <v>112.15</v>
      </c>
      <c r="W612">
        <v>26</v>
      </c>
      <c r="X612">
        <v>4.5089797478028174E-2</v>
      </c>
      <c r="Y612">
        <v>-0.25789220173435584</v>
      </c>
      <c r="Z612">
        <v>-0.84108411891664825</v>
      </c>
      <c r="AB612" s="3">
        <f t="shared" si="99"/>
        <v>2.9007731938153827E-3</v>
      </c>
      <c r="AC612" s="3">
        <f t="shared" si="100"/>
        <v>1.330749094818752E-2</v>
      </c>
      <c r="AD612" s="3">
        <f t="shared" si="101"/>
        <v>1.7925759871909211E-2</v>
      </c>
      <c r="AE612" s="76">
        <f t="shared" si="102"/>
        <v>-6942.4285714285688</v>
      </c>
      <c r="AF612" s="76">
        <f t="shared" si="103"/>
        <v>514.63690476190459</v>
      </c>
      <c r="AG612" s="76">
        <f t="shared" si="104"/>
        <v>-4388.8398651495991</v>
      </c>
      <c r="AO612" s="5">
        <f t="shared" si="109"/>
        <v>1.3138686131386983E-2</v>
      </c>
      <c r="AP612" s="5">
        <f t="shared" si="105"/>
        <v>0.52586950362707729</v>
      </c>
      <c r="AR612" s="5">
        <f t="shared" si="106"/>
        <v>0.13652627316468241</v>
      </c>
      <c r="AS612" s="5">
        <f t="shared" si="107"/>
        <v>0.1430755945388546</v>
      </c>
      <c r="AT612" s="5">
        <f t="shared" si="108"/>
        <v>0.16384793762908789</v>
      </c>
    </row>
    <row r="613" spans="12:46" x14ac:dyDescent="0.25">
      <c r="L613" s="4">
        <v>44651.5</v>
      </c>
      <c r="M613">
        <v>78.510000000000005</v>
      </c>
      <c r="N613">
        <v>80.5</v>
      </c>
      <c r="O613">
        <v>75.349999999999994</v>
      </c>
      <c r="P613">
        <v>77.12</v>
      </c>
      <c r="Q613">
        <v>35658</v>
      </c>
      <c r="R613">
        <v>392901</v>
      </c>
      <c r="S613">
        <v>125.90600000000001</v>
      </c>
      <c r="T613">
        <v>125.90600000000001</v>
      </c>
      <c r="U613">
        <v>125.90600000000001</v>
      </c>
      <c r="V613">
        <v>125.90600000000001</v>
      </c>
      <c r="W613">
        <v>0</v>
      </c>
      <c r="X613">
        <v>6.3541024059222781E-2</v>
      </c>
      <c r="Y613">
        <v>0.21185402154275404</v>
      </c>
      <c r="Z613">
        <v>0.6427011478251089</v>
      </c>
      <c r="AB613" s="3">
        <f t="shared" si="99"/>
        <v>6.1894853523129581E-3</v>
      </c>
      <c r="AC613" s="3">
        <f t="shared" si="100"/>
        <v>1.6260072937680399E-2</v>
      </c>
      <c r="AD613" s="3">
        <f t="shared" si="101"/>
        <v>2.0368343674486561E-2</v>
      </c>
      <c r="AE613" s="76">
        <f t="shared" si="102"/>
        <v>-5798.7142857142899</v>
      </c>
      <c r="AF613" s="76">
        <f t="shared" si="103"/>
        <v>1305.1904761904771</v>
      </c>
      <c r="AG613" s="76">
        <f t="shared" si="104"/>
        <v>-3255.3240623683123</v>
      </c>
      <c r="AO613" s="5">
        <f t="shared" si="109"/>
        <v>-1.888020833333337E-2</v>
      </c>
      <c r="AP613" s="5">
        <f t="shared" si="105"/>
        <v>0.52577840725634095</v>
      </c>
      <c r="AR613" s="5">
        <f t="shared" si="106"/>
        <v>0.13874227378906567</v>
      </c>
      <c r="AS613" s="5">
        <f t="shared" si="107"/>
        <v>0.14274549981559675</v>
      </c>
      <c r="AT613" s="5">
        <f t="shared" si="108"/>
        <v>0.16263805556261013</v>
      </c>
    </row>
    <row r="614" spans="12:46" x14ac:dyDescent="0.25">
      <c r="L614" s="4">
        <v>44650.5</v>
      </c>
      <c r="M614">
        <v>81.05</v>
      </c>
      <c r="N614">
        <v>81.62</v>
      </c>
      <c r="O614">
        <v>76.8</v>
      </c>
      <c r="P614">
        <v>78.62</v>
      </c>
      <c r="Q614">
        <v>37766</v>
      </c>
      <c r="R614">
        <v>394496</v>
      </c>
      <c r="S614">
        <v>118.97</v>
      </c>
      <c r="T614">
        <v>118.97</v>
      </c>
      <c r="U614">
        <v>118.97</v>
      </c>
      <c r="V614">
        <v>118.97</v>
      </c>
      <c r="W614">
        <v>0</v>
      </c>
      <c r="X614">
        <v>5.95797280593326E-2</v>
      </c>
      <c r="Y614">
        <v>0.13000701710139359</v>
      </c>
      <c r="Z614">
        <v>0.82885432660544922</v>
      </c>
      <c r="AB614" s="3">
        <f t="shared" si="99"/>
        <v>2.0084390998533729E-2</v>
      </c>
      <c r="AC614" s="3">
        <f t="shared" si="100"/>
        <v>2.4826624712932066E-2</v>
      </c>
      <c r="AD614" s="3">
        <f t="shared" si="101"/>
        <v>2.7633263256385654E-2</v>
      </c>
      <c r="AE614" s="76">
        <f t="shared" si="102"/>
        <v>-1088.3809523809541</v>
      </c>
      <c r="AF614" s="76">
        <f t="shared" si="103"/>
        <v>3734.4583333333321</v>
      </c>
      <c r="AG614" s="76">
        <f t="shared" si="104"/>
        <v>-850.85250737463139</v>
      </c>
      <c r="AO614" s="5">
        <f t="shared" si="109"/>
        <v>-4.2035674192341332E-2</v>
      </c>
      <c r="AP614" s="5">
        <f t="shared" si="105"/>
        <v>0.5253422062491363</v>
      </c>
      <c r="AR614" s="5">
        <f t="shared" si="106"/>
        <v>0.13853678285024412</v>
      </c>
      <c r="AS614" s="5">
        <f t="shared" si="107"/>
        <v>0.14083297349976664</v>
      </c>
      <c r="AT614" s="5">
        <f t="shared" si="108"/>
        <v>0.16010957551383376</v>
      </c>
    </row>
    <row r="615" spans="12:46" x14ac:dyDescent="0.25">
      <c r="L615" s="4">
        <v>44649.5</v>
      </c>
      <c r="M615">
        <v>80.900000000000006</v>
      </c>
      <c r="N615">
        <v>81.99</v>
      </c>
      <c r="O615">
        <v>80.17</v>
      </c>
      <c r="P615">
        <v>81.430000000000007</v>
      </c>
      <c r="Q615">
        <v>25576</v>
      </c>
      <c r="R615">
        <v>395491</v>
      </c>
      <c r="S615">
        <v>108.381</v>
      </c>
      <c r="T615">
        <v>108.381</v>
      </c>
      <c r="U615">
        <v>108.381</v>
      </c>
      <c r="V615">
        <v>108.381</v>
      </c>
      <c r="W615">
        <v>380</v>
      </c>
      <c r="X615">
        <v>2.3125794155018971E-2</v>
      </c>
      <c r="Y615">
        <v>-0.76160697163452795</v>
      </c>
      <c r="Z615">
        <v>-7.7724601864923304E-2</v>
      </c>
      <c r="AB615" s="3">
        <f t="shared" si="99"/>
        <v>3.6685850335143814E-2</v>
      </c>
      <c r="AC615" s="3">
        <f t="shared" si="100"/>
        <v>3.4890463910351471E-2</v>
      </c>
      <c r="AD615" s="3">
        <f t="shared" si="101"/>
        <v>3.6608311168235028E-2</v>
      </c>
      <c r="AE615" s="76">
        <f t="shared" si="102"/>
        <v>3760.3809523809541</v>
      </c>
      <c r="AF615" s="76">
        <f t="shared" si="103"/>
        <v>6434.5535714285725</v>
      </c>
      <c r="AG615" s="76">
        <f t="shared" si="104"/>
        <v>1476.8798988622002</v>
      </c>
      <c r="AO615" s="5">
        <f t="shared" si="109"/>
        <v>2.953640683189928E-2</v>
      </c>
      <c r="AP615" s="5">
        <f t="shared" si="105"/>
        <v>0.52353822589817844</v>
      </c>
      <c r="AR615" s="5">
        <f t="shared" si="106"/>
        <v>0.13530411074642701</v>
      </c>
      <c r="AS615" s="5">
        <f t="shared" si="107"/>
        <v>0.13688644481515949</v>
      </c>
      <c r="AT615" s="5">
        <f t="shared" si="108"/>
        <v>0.15579123805886186</v>
      </c>
    </row>
    <row r="616" spans="12:46" x14ac:dyDescent="0.25">
      <c r="L616" s="4">
        <v>44648.5</v>
      </c>
      <c r="M616">
        <v>78.7</v>
      </c>
      <c r="N616">
        <v>81.99</v>
      </c>
      <c r="O616">
        <v>77.87</v>
      </c>
      <c r="P616">
        <v>80.599999999999994</v>
      </c>
      <c r="Q616">
        <v>22015</v>
      </c>
      <c r="R616">
        <v>394850</v>
      </c>
      <c r="S616">
        <v>97.6</v>
      </c>
      <c r="T616">
        <v>102.545</v>
      </c>
      <c r="U616">
        <v>97.6</v>
      </c>
      <c r="V616">
        <v>102.545</v>
      </c>
      <c r="W616">
        <v>3</v>
      </c>
      <c r="X616">
        <v>5.2645029389215309E-2</v>
      </c>
      <c r="Y616">
        <v>-4.1301136218077739E-2</v>
      </c>
      <c r="Z616">
        <v>-0.31697246991611416</v>
      </c>
      <c r="AB616" s="3">
        <f t="shared" si="99"/>
        <v>4.0982903214744869E-2</v>
      </c>
      <c r="AC616" s="3">
        <f t="shared" si="100"/>
        <v>3.7333917221344506E-2</v>
      </c>
      <c r="AD616" s="3">
        <f t="shared" si="101"/>
        <v>3.9132747593294527E-2</v>
      </c>
      <c r="AE616" s="76">
        <f t="shared" si="102"/>
        <v>5037.2857142857138</v>
      </c>
      <c r="AF616" s="76">
        <f t="shared" si="103"/>
        <v>6607.0238095238092</v>
      </c>
      <c r="AG616" s="76">
        <f t="shared" si="104"/>
        <v>2022.6514959966298</v>
      </c>
      <c r="AO616" s="5">
        <f t="shared" si="109"/>
        <v>8.2869351288359511E-3</v>
      </c>
      <c r="AP616" s="5">
        <f t="shared" si="105"/>
        <v>0.52304068193977327</v>
      </c>
      <c r="AR616" s="5">
        <f t="shared" si="106"/>
        <v>0.12841308045169436</v>
      </c>
      <c r="AS616" s="5">
        <f t="shared" si="107"/>
        <v>0.13046271061874709</v>
      </c>
      <c r="AT616" s="5">
        <f t="shared" si="108"/>
        <v>0.14933707207757679</v>
      </c>
    </row>
    <row r="617" spans="12:46" x14ac:dyDescent="0.25">
      <c r="L617" s="4">
        <v>44645.5</v>
      </c>
      <c r="M617">
        <v>78.260000000000005</v>
      </c>
      <c r="N617">
        <v>79.06</v>
      </c>
      <c r="O617">
        <v>77.23</v>
      </c>
      <c r="P617">
        <v>78.8</v>
      </c>
      <c r="Q617">
        <v>18496</v>
      </c>
      <c r="R617">
        <v>397995</v>
      </c>
      <c r="S617">
        <v>101.26900000000001</v>
      </c>
      <c r="T617">
        <v>101.26900000000001</v>
      </c>
      <c r="U617">
        <v>101.26900000000001</v>
      </c>
      <c r="V617">
        <v>101.26900000000001</v>
      </c>
      <c r="W617">
        <v>36</v>
      </c>
      <c r="X617">
        <v>2.3884103367267009E-2</v>
      </c>
      <c r="Y617">
        <v>-0.74289663480584012</v>
      </c>
      <c r="Z617">
        <v>-0.54483889114168937</v>
      </c>
      <c r="AB617" s="3">
        <f t="shared" si="99"/>
        <v>4.0005307338337064E-2</v>
      </c>
      <c r="AC617" s="3">
        <f t="shared" si="100"/>
        <v>3.4447951615567705E-2</v>
      </c>
      <c r="AD617" s="3">
        <f t="shared" si="101"/>
        <v>3.7962979254222935E-2</v>
      </c>
      <c r="AE617" s="76">
        <f t="shared" si="102"/>
        <v>4942.1428571428587</v>
      </c>
      <c r="AF617" s="76">
        <f t="shared" si="103"/>
        <v>5771.8988095238092</v>
      </c>
      <c r="AG617" s="76">
        <f t="shared" si="104"/>
        <v>1916.0611040876538</v>
      </c>
      <c r="AO617" s="5">
        <f t="shared" si="109"/>
        <v>1.7523056653491412E-2</v>
      </c>
      <c r="AP617" s="5">
        <f t="shared" si="105"/>
        <v>0.52315768778999394</v>
      </c>
      <c r="AR617" s="5">
        <f t="shared" si="106"/>
        <v>0.12069663280600862</v>
      </c>
      <c r="AS617" s="5">
        <f t="shared" si="107"/>
        <v>0.12346849756510514</v>
      </c>
      <c r="AT617" s="5">
        <f t="shared" si="108"/>
        <v>0.14239351779130943</v>
      </c>
    </row>
    <row r="618" spans="12:46" x14ac:dyDescent="0.25">
      <c r="L618" s="4">
        <v>44644.5</v>
      </c>
      <c r="M618">
        <v>76.62</v>
      </c>
      <c r="N618">
        <v>79.239999999999995</v>
      </c>
      <c r="O618">
        <v>75.900000000000006</v>
      </c>
      <c r="P618">
        <v>78.66</v>
      </c>
      <c r="Q618">
        <v>16432</v>
      </c>
      <c r="R618">
        <v>404154</v>
      </c>
      <c r="S618">
        <v>116</v>
      </c>
      <c r="T618">
        <v>116</v>
      </c>
      <c r="U618">
        <v>111.608</v>
      </c>
      <c r="V618">
        <v>111.608</v>
      </c>
      <c r="W618">
        <v>34</v>
      </c>
      <c r="X618">
        <v>4.1285537700865127E-2</v>
      </c>
      <c r="Y618">
        <v>-0.31567643525091882</v>
      </c>
      <c r="Z618">
        <v>-0.69688987366451149</v>
      </c>
      <c r="AB618" s="3">
        <f t="shared" si="99"/>
        <v>4.6351319253845412E-2</v>
      </c>
      <c r="AC618" s="3">
        <f t="shared" si="100"/>
        <v>3.853472647818286E-2</v>
      </c>
      <c r="AD618" s="3">
        <f t="shared" si="101"/>
        <v>4.201114857878261E-2</v>
      </c>
      <c r="AE618" s="76">
        <f t="shared" si="102"/>
        <v>7464.8095238095266</v>
      </c>
      <c r="AF618" s="76">
        <f t="shared" si="103"/>
        <v>7011.6547619047633</v>
      </c>
      <c r="AG618" s="76">
        <f t="shared" si="104"/>
        <v>3503.4622840286575</v>
      </c>
      <c r="AO618" s="5">
        <f t="shared" si="109"/>
        <v>6.5919578114715055E-4</v>
      </c>
      <c r="AP618" s="5">
        <f t="shared" si="105"/>
        <v>0.52307199419954697</v>
      </c>
      <c r="AR618" s="5">
        <f t="shared" si="106"/>
        <v>0.1130519816883746</v>
      </c>
      <c r="AS618" s="5">
        <f t="shared" si="107"/>
        <v>0.11664331446375675</v>
      </c>
      <c r="AT618" s="5">
        <f t="shared" si="108"/>
        <v>0.1354970959441063</v>
      </c>
    </row>
    <row r="619" spans="12:46" x14ac:dyDescent="0.25">
      <c r="L619" s="4">
        <v>44643.5</v>
      </c>
      <c r="M619">
        <v>80.900000000000006</v>
      </c>
      <c r="N619">
        <v>81.3</v>
      </c>
      <c r="O619">
        <v>75.849999999999994</v>
      </c>
      <c r="P619">
        <v>76.430000000000007</v>
      </c>
      <c r="Q619">
        <v>30569</v>
      </c>
      <c r="R619">
        <v>404548</v>
      </c>
      <c r="S619">
        <v>117.001</v>
      </c>
      <c r="T619">
        <v>117.001</v>
      </c>
      <c r="U619">
        <v>117.001</v>
      </c>
      <c r="V619">
        <v>117.001</v>
      </c>
      <c r="W619">
        <v>0</v>
      </c>
      <c r="X619">
        <v>6.8943706514864048E-2</v>
      </c>
      <c r="Y619">
        <v>0.36849847276323261</v>
      </c>
      <c r="Z619">
        <v>0.31925916482297201</v>
      </c>
      <c r="AB619" s="3">
        <f t="shared" si="99"/>
        <v>4.8229509504368398E-2</v>
      </c>
      <c r="AC619" s="3">
        <f t="shared" si="100"/>
        <v>4.0154323547036366E-2</v>
      </c>
      <c r="AD619" s="3">
        <f t="shared" si="101"/>
        <v>4.3650368869749365E-2</v>
      </c>
      <c r="AE619" s="76">
        <f t="shared" si="102"/>
        <v>8212.2857142857101</v>
      </c>
      <c r="AF619" s="76">
        <f t="shared" si="103"/>
        <v>7387.2738095238055</v>
      </c>
      <c r="AG619" s="76">
        <f t="shared" si="104"/>
        <v>4149.2115465655261</v>
      </c>
      <c r="AO619" s="5">
        <f t="shared" si="109"/>
        <v>-3.5110036890980856E-2</v>
      </c>
      <c r="AP619" s="5">
        <f t="shared" si="105"/>
        <v>0.52390365415900042</v>
      </c>
      <c r="AR619" s="5">
        <f t="shared" si="106"/>
        <v>0.10523364565593618</v>
      </c>
      <c r="AS619" s="5">
        <f t="shared" si="107"/>
        <v>0.10970476032782894</v>
      </c>
      <c r="AT619" s="5">
        <f t="shared" si="108"/>
        <v>0.12842501014594787</v>
      </c>
    </row>
    <row r="620" spans="12:46" x14ac:dyDescent="0.25">
      <c r="L620" s="4">
        <v>44642.5</v>
      </c>
      <c r="M620">
        <v>79.05</v>
      </c>
      <c r="N620">
        <v>81.400000000000006</v>
      </c>
      <c r="O620">
        <v>78.61</v>
      </c>
      <c r="P620">
        <v>80.430000000000007</v>
      </c>
      <c r="Q620">
        <v>18472</v>
      </c>
      <c r="R620">
        <v>407696</v>
      </c>
      <c r="S620">
        <v>96.3</v>
      </c>
      <c r="T620">
        <v>98.747</v>
      </c>
      <c r="U620">
        <v>96.3</v>
      </c>
      <c r="V620">
        <v>98.747</v>
      </c>
      <c r="W620">
        <v>6</v>
      </c>
      <c r="X620">
        <v>3.5442073170731787E-2</v>
      </c>
      <c r="Y620">
        <v>-0.45795707654785206</v>
      </c>
      <c r="Z620">
        <v>-0.55116782840544187</v>
      </c>
      <c r="AB620" s="3">
        <f t="shared" si="99"/>
        <v>4.5360607882859616E-2</v>
      </c>
      <c r="AC620" s="3">
        <f t="shared" si="100"/>
        <v>3.7676654362683554E-2</v>
      </c>
      <c r="AD620" s="3">
        <f t="shared" si="101"/>
        <v>4.1374002991327846E-2</v>
      </c>
      <c r="AE620" s="76">
        <f t="shared" si="102"/>
        <v>7612.0000000000036</v>
      </c>
      <c r="AF620" s="76">
        <f t="shared" si="103"/>
        <v>6841.3869047619082</v>
      </c>
      <c r="AG620" s="76">
        <f t="shared" si="104"/>
        <v>3570.2309313105798</v>
      </c>
      <c r="AO620" s="5">
        <f t="shared" si="109"/>
        <v>1.4060887512899942E-2</v>
      </c>
      <c r="AP620" s="5">
        <f t="shared" si="105"/>
        <v>0.52283167685737364</v>
      </c>
      <c r="AR620" s="5">
        <f t="shared" si="106"/>
        <v>9.7385722232939675E-2</v>
      </c>
      <c r="AS620" s="5">
        <f t="shared" si="107"/>
        <v>0.10278912389908085</v>
      </c>
      <c r="AT620" s="5">
        <f t="shared" si="108"/>
        <v>0.12131858935688089</v>
      </c>
    </row>
    <row r="621" spans="12:46" x14ac:dyDescent="0.25">
      <c r="L621" s="4">
        <v>44641.5</v>
      </c>
      <c r="M621">
        <v>78.72</v>
      </c>
      <c r="N621">
        <v>79.739999999999995</v>
      </c>
      <c r="O621">
        <v>77.52</v>
      </c>
      <c r="P621">
        <v>79.3</v>
      </c>
      <c r="Q621">
        <v>13937</v>
      </c>
      <c r="R621">
        <v>406517</v>
      </c>
      <c r="S621">
        <v>98.72</v>
      </c>
      <c r="T621">
        <v>98.72</v>
      </c>
      <c r="U621">
        <v>96.302000000000007</v>
      </c>
      <c r="V621">
        <v>96.302000000000007</v>
      </c>
      <c r="W621">
        <v>5</v>
      </c>
      <c r="X621">
        <v>2.7749999999999986E-2</v>
      </c>
      <c r="Y621">
        <v>-0.66080137216970569</v>
      </c>
      <c r="Z621">
        <v>-0.8738625055144511</v>
      </c>
      <c r="AB621" s="3">
        <f t="shared" si="99"/>
        <v>4.5524130259695289E-2</v>
      </c>
      <c r="AC621" s="3">
        <f t="shared" si="100"/>
        <v>3.7649624324168449E-2</v>
      </c>
      <c r="AD621" s="3">
        <f t="shared" si="101"/>
        <v>4.1218067656302683E-2</v>
      </c>
      <c r="AE621" s="76">
        <f t="shared" si="102"/>
        <v>7672.0476190476184</v>
      </c>
      <c r="AF621" s="76">
        <f t="shared" si="103"/>
        <v>6829.9702380952403</v>
      </c>
      <c r="AG621" s="76">
        <f t="shared" si="104"/>
        <v>3420.5276021913196</v>
      </c>
      <c r="AO621" s="5">
        <f t="shared" si="109"/>
        <v>-1.0214504596527034E-2</v>
      </c>
      <c r="AP621" s="5">
        <f t="shared" si="105"/>
        <v>0.52284829214353556</v>
      </c>
      <c r="AR621" s="5">
        <f t="shared" si="106"/>
        <v>8.9629253682047272E-2</v>
      </c>
      <c r="AS621" s="5">
        <f t="shared" si="107"/>
        <v>9.5957780147293337E-2</v>
      </c>
      <c r="AT621" s="5">
        <f t="shared" si="108"/>
        <v>0.1142883794686988</v>
      </c>
    </row>
    <row r="622" spans="12:46" x14ac:dyDescent="0.25">
      <c r="L622" s="4">
        <v>44638.5</v>
      </c>
      <c r="M622">
        <v>80</v>
      </c>
      <c r="N622">
        <v>80</v>
      </c>
      <c r="O622">
        <v>78.319999999999993</v>
      </c>
      <c r="P622">
        <v>78.5</v>
      </c>
      <c r="Q622">
        <v>19035</v>
      </c>
      <c r="R622">
        <v>406235</v>
      </c>
      <c r="S622">
        <v>105.044</v>
      </c>
      <c r="T622">
        <v>105.044</v>
      </c>
      <c r="U622">
        <v>105.044</v>
      </c>
      <c r="V622">
        <v>105.044</v>
      </c>
      <c r="W622">
        <v>14</v>
      </c>
      <c r="X622">
        <v>2.1217479161404481E-2</v>
      </c>
      <c r="Y622">
        <v>-0.84517086737636937</v>
      </c>
      <c r="Z622">
        <v>-0.53078858582205601</v>
      </c>
      <c r="AB622" s="3">
        <f t="shared" si="99"/>
        <v>4.4784407047547679E-2</v>
      </c>
      <c r="AC622" s="3">
        <f t="shared" si="100"/>
        <v>3.7963396963161297E-2</v>
      </c>
      <c r="AD622" s="3">
        <f t="shared" si="101"/>
        <v>4.170484962467047E-2</v>
      </c>
      <c r="AE622" s="76">
        <f t="shared" si="102"/>
        <v>7556.1428571428551</v>
      </c>
      <c r="AF622" s="76">
        <f t="shared" si="103"/>
        <v>6523.3749999999964</v>
      </c>
      <c r="AG622" s="76">
        <f t="shared" si="104"/>
        <v>3557.5726927939286</v>
      </c>
      <c r="AO622" s="5">
        <f t="shared" si="109"/>
        <v>2.6205450733752623E-2</v>
      </c>
      <c r="AP622" s="5">
        <f t="shared" si="105"/>
        <v>0.52276019219043401</v>
      </c>
      <c r="AR622" s="5">
        <f t="shared" si="106"/>
        <v>8.1932685120053139E-2</v>
      </c>
      <c r="AS622" s="5">
        <f t="shared" si="107"/>
        <v>8.9168582508965366E-2</v>
      </c>
      <c r="AT622" s="5">
        <f t="shared" si="108"/>
        <v>0.10728233796674463</v>
      </c>
    </row>
    <row r="623" spans="12:46" x14ac:dyDescent="0.25">
      <c r="L623" s="4">
        <v>44637.5</v>
      </c>
      <c r="M623">
        <v>79.180000000000007</v>
      </c>
      <c r="N623">
        <v>80.19</v>
      </c>
      <c r="O623">
        <v>76.319999999999993</v>
      </c>
      <c r="P623">
        <v>79.739999999999995</v>
      </c>
      <c r="Q623">
        <v>23816</v>
      </c>
      <c r="R623">
        <v>404264</v>
      </c>
      <c r="S623">
        <v>110.5</v>
      </c>
      <c r="T623">
        <v>110.5</v>
      </c>
      <c r="U623">
        <v>105.08799999999999</v>
      </c>
      <c r="V623">
        <v>105.08799999999999</v>
      </c>
      <c r="W623">
        <v>22</v>
      </c>
      <c r="X623">
        <v>4.9929041414011152E-2</v>
      </c>
      <c r="Y623">
        <v>-0.17780388034074249</v>
      </c>
      <c r="Z623">
        <v>-0.2096817985618557</v>
      </c>
      <c r="AB623" s="3">
        <f t="shared" si="99"/>
        <v>4.7494327940553416E-2</v>
      </c>
      <c r="AC623" s="3">
        <f t="shared" si="100"/>
        <v>3.9550818301397318E-2</v>
      </c>
      <c r="AD623" s="3">
        <f t="shared" si="101"/>
        <v>4.3346138061176494E-2</v>
      </c>
      <c r="AE623" s="76">
        <f t="shared" si="102"/>
        <v>8145.1904761904734</v>
      </c>
      <c r="AF623" s="76">
        <f t="shared" si="103"/>
        <v>6879.2202380952367</v>
      </c>
      <c r="AG623" s="76">
        <f t="shared" si="104"/>
        <v>4153.976401179938</v>
      </c>
      <c r="AO623" s="5">
        <f t="shared" si="109"/>
        <v>1.4219269102989943E-2</v>
      </c>
      <c r="AP623" s="5">
        <f t="shared" si="105"/>
        <v>0.52291553509432354</v>
      </c>
      <c r="AR623" s="5">
        <f t="shared" si="106"/>
        <v>7.4264823705834704E-2</v>
      </c>
      <c r="AS623" s="5">
        <f t="shared" si="107"/>
        <v>8.240034981843497E-2</v>
      </c>
      <c r="AT623" s="5">
        <f t="shared" si="108"/>
        <v>0.10028698636097816</v>
      </c>
    </row>
    <row r="624" spans="12:46" x14ac:dyDescent="0.25">
      <c r="L624" s="4">
        <v>44636.5</v>
      </c>
      <c r="M624">
        <v>77.510000000000005</v>
      </c>
      <c r="N624">
        <v>79.11</v>
      </c>
      <c r="O624">
        <v>75.25</v>
      </c>
      <c r="P624">
        <v>78.709999999999994</v>
      </c>
      <c r="Q624">
        <v>22569</v>
      </c>
      <c r="R624">
        <v>402419</v>
      </c>
      <c r="S624">
        <v>102.623</v>
      </c>
      <c r="T624">
        <v>102.623</v>
      </c>
      <c r="U624">
        <v>102.623</v>
      </c>
      <c r="V624">
        <v>102.623</v>
      </c>
      <c r="W624">
        <v>0</v>
      </c>
      <c r="X624">
        <v>5.0129870129870122E-2</v>
      </c>
      <c r="Y624">
        <v>-0.17715050021832932</v>
      </c>
      <c r="Z624">
        <v>-0.32489341653736381</v>
      </c>
      <c r="AB624" s="3">
        <f t="shared" si="99"/>
        <v>4.6412128773782119E-2</v>
      </c>
      <c r="AC624" s="3">
        <f t="shared" si="100"/>
        <v>3.9062185375430908E-2</v>
      </c>
      <c r="AD624" s="3">
        <f t="shared" si="101"/>
        <v>4.2732378042635771E-2</v>
      </c>
      <c r="AE624" s="76">
        <f t="shared" si="102"/>
        <v>7767.047619047622</v>
      </c>
      <c r="AF624" s="76">
        <f t="shared" si="103"/>
        <v>7217.9464285714312</v>
      </c>
      <c r="AG624" s="76">
        <f t="shared" si="104"/>
        <v>4495.9582806573999</v>
      </c>
      <c r="AO624" s="5">
        <f t="shared" si="109"/>
        <v>3.1995733902145697E-3</v>
      </c>
      <c r="AP624" s="5">
        <f t="shared" si="105"/>
        <v>0.5228950017404026</v>
      </c>
      <c r="AR624" s="5">
        <f t="shared" si="106"/>
        <v>6.6498415207688344E-2</v>
      </c>
      <c r="AS624" s="5">
        <f t="shared" si="107"/>
        <v>7.5591094257713209E-2</v>
      </c>
      <c r="AT624" s="5">
        <f t="shared" si="108"/>
        <v>9.3234015394157488E-2</v>
      </c>
    </row>
    <row r="625" spans="12:46" x14ac:dyDescent="0.25">
      <c r="L625" s="4">
        <v>44635.5</v>
      </c>
      <c r="M625">
        <v>77</v>
      </c>
      <c r="N625">
        <v>79.150000000000006</v>
      </c>
      <c r="O625">
        <v>75.010000000000005</v>
      </c>
      <c r="P625">
        <v>78</v>
      </c>
      <c r="Q625">
        <v>24733</v>
      </c>
      <c r="R625">
        <v>409959</v>
      </c>
      <c r="S625">
        <v>121.69</v>
      </c>
      <c r="T625">
        <v>121.69</v>
      </c>
      <c r="U625">
        <v>115.43899999999999</v>
      </c>
      <c r="V625">
        <v>115.43899999999999</v>
      </c>
      <c r="W625">
        <v>1</v>
      </c>
      <c r="X625">
        <v>5.447368421052632E-2</v>
      </c>
      <c r="Y625">
        <v>-6.4179799557895642E-2</v>
      </c>
      <c r="Z625">
        <v>-0.20510806824883812</v>
      </c>
      <c r="AB625" s="3">
        <f t="shared" si="99"/>
        <v>4.4839393928719287E-2</v>
      </c>
      <c r="AC625" s="3">
        <f t="shared" si="100"/>
        <v>3.7839982419922216E-2</v>
      </c>
      <c r="AD625" s="3">
        <f t="shared" si="101"/>
        <v>4.1639576320018613E-2</v>
      </c>
      <c r="AE625" s="76">
        <f t="shared" si="102"/>
        <v>8430.238095238099</v>
      </c>
      <c r="AF625" s="76">
        <f t="shared" si="103"/>
        <v>7302.3690476190495</v>
      </c>
      <c r="AG625" s="76">
        <f t="shared" si="104"/>
        <v>4637.2840286557148</v>
      </c>
      <c r="AO625" s="5">
        <f t="shared" si="109"/>
        <v>-1.0552697533306914E-2</v>
      </c>
      <c r="AP625" s="5">
        <f t="shared" si="105"/>
        <v>0.52289487605391272</v>
      </c>
      <c r="AR625" s="5">
        <f t="shared" si="106"/>
        <v>5.8674816399878316E-2</v>
      </c>
      <c r="AS625" s="5">
        <f t="shared" si="107"/>
        <v>6.8729199409182429E-2</v>
      </c>
      <c r="AT625" s="5">
        <f t="shared" si="108"/>
        <v>8.6149918777796874E-2</v>
      </c>
    </row>
    <row r="626" spans="12:46" x14ac:dyDescent="0.25">
      <c r="L626" s="4">
        <v>44634.5</v>
      </c>
      <c r="M626">
        <v>76</v>
      </c>
      <c r="N626">
        <v>81.5</v>
      </c>
      <c r="O626">
        <v>75.81</v>
      </c>
      <c r="P626">
        <v>77.489999999999995</v>
      </c>
      <c r="Q626">
        <v>19365</v>
      </c>
      <c r="R626">
        <v>408184</v>
      </c>
      <c r="S626">
        <v>114.52200000000001</v>
      </c>
      <c r="T626">
        <v>114.52200000000001</v>
      </c>
      <c r="U626">
        <v>114.52200000000001</v>
      </c>
      <c r="V626">
        <v>114.52200000000001</v>
      </c>
      <c r="W626">
        <v>1</v>
      </c>
      <c r="X626">
        <v>7.4937442381140487E-2</v>
      </c>
      <c r="Y626">
        <v>0.42163267604378446</v>
      </c>
      <c r="Z626">
        <v>-0.57542168950181316</v>
      </c>
      <c r="AB626" s="3">
        <f t="shared" si="99"/>
        <v>4.5224117155062644E-2</v>
      </c>
      <c r="AC626" s="3">
        <f t="shared" si="100"/>
        <v>3.7265908210578833E-2</v>
      </c>
      <c r="AD626" s="3">
        <f t="shared" si="101"/>
        <v>4.1404351128822091E-2</v>
      </c>
      <c r="AE626" s="76">
        <f t="shared" si="102"/>
        <v>8290.2380952380954</v>
      </c>
      <c r="AF626" s="76">
        <f t="shared" si="103"/>
        <v>6944.1904761904771</v>
      </c>
      <c r="AG626" s="76">
        <f t="shared" si="104"/>
        <v>4509.9047619047633</v>
      </c>
      <c r="AO626" s="5">
        <f t="shared" si="109"/>
        <v>2.8490028490028609E-2</v>
      </c>
      <c r="AP626" s="5">
        <f t="shared" si="105"/>
        <v>0.52294975438974356</v>
      </c>
      <c r="AR626" s="5">
        <f t="shared" si="106"/>
        <v>5.0927583935958143E-2</v>
      </c>
      <c r="AS626" s="5">
        <f t="shared" si="107"/>
        <v>6.1947982638482946E-2</v>
      </c>
      <c r="AT626" s="5">
        <f t="shared" si="108"/>
        <v>7.9075308973590053E-2</v>
      </c>
    </row>
    <row r="627" spans="12:46" x14ac:dyDescent="0.25">
      <c r="L627" s="4">
        <v>44631.5</v>
      </c>
      <c r="M627">
        <v>75.930000000000007</v>
      </c>
      <c r="N627">
        <v>78</v>
      </c>
      <c r="O627">
        <v>73.709999999999994</v>
      </c>
      <c r="P627">
        <v>76.98</v>
      </c>
      <c r="Q627">
        <v>22267</v>
      </c>
      <c r="R627">
        <v>407619</v>
      </c>
      <c r="S627">
        <v>131.22900000000001</v>
      </c>
      <c r="T627">
        <v>131.22900000000001</v>
      </c>
      <c r="U627">
        <v>131.22900000000001</v>
      </c>
      <c r="V627">
        <v>131.22900000000001</v>
      </c>
      <c r="W627">
        <v>0</v>
      </c>
      <c r="X627">
        <v>5.9147938783951554E-2</v>
      </c>
      <c r="Y627">
        <v>4.9537245581397681E-2</v>
      </c>
      <c r="Z627">
        <v>-0.4084341678013671</v>
      </c>
      <c r="AB627" s="3">
        <f t="shared" si="99"/>
        <v>4.4503687538364603E-2</v>
      </c>
      <c r="AC627" s="3">
        <f t="shared" si="100"/>
        <v>3.6436252974243251E-2</v>
      </c>
      <c r="AD627" s="3">
        <f t="shared" si="101"/>
        <v>4.0666162453846619E-2</v>
      </c>
      <c r="AE627" s="76">
        <f t="shared" si="102"/>
        <v>8554.3809523809541</v>
      </c>
      <c r="AF627" s="76">
        <f t="shared" si="103"/>
        <v>7084.4047619047633</v>
      </c>
      <c r="AG627" s="76">
        <f t="shared" si="104"/>
        <v>4773.6266329540667</v>
      </c>
      <c r="AO627" s="5">
        <f t="shared" si="109"/>
        <v>6.0270425776754864E-2</v>
      </c>
      <c r="AP627" s="5">
        <f t="shared" si="105"/>
        <v>0.52244163874059457</v>
      </c>
      <c r="AR627" s="5">
        <f t="shared" si="106"/>
        <v>4.3661986808829933E-2</v>
      </c>
      <c r="AS627" s="5">
        <f t="shared" si="107"/>
        <v>5.5478928538160666E-2</v>
      </c>
      <c r="AT627" s="5">
        <f t="shared" si="108"/>
        <v>7.2247813497975155E-2</v>
      </c>
    </row>
    <row r="628" spans="12:46" x14ac:dyDescent="0.25">
      <c r="L628" s="4">
        <v>44630.5</v>
      </c>
      <c r="M628">
        <v>72.53</v>
      </c>
      <c r="N628">
        <v>76.680000000000007</v>
      </c>
      <c r="O628">
        <v>69.52</v>
      </c>
      <c r="P628">
        <v>74.64</v>
      </c>
      <c r="Q628">
        <v>32703</v>
      </c>
      <c r="R628">
        <v>406229</v>
      </c>
      <c r="S628">
        <v>126.399</v>
      </c>
      <c r="T628">
        <v>126.399</v>
      </c>
      <c r="U628">
        <v>126.399</v>
      </c>
      <c r="V628">
        <v>126.399</v>
      </c>
      <c r="W628">
        <v>0</v>
      </c>
      <c r="X628">
        <v>0.105263157894737</v>
      </c>
      <c r="Y628">
        <v>1.153910753566207</v>
      </c>
      <c r="Z628">
        <v>0.22437691632563661</v>
      </c>
      <c r="AB628" s="3">
        <f t="shared" si="99"/>
        <v>4.3418912131649223E-2</v>
      </c>
      <c r="AC628" s="3">
        <f t="shared" si="100"/>
        <v>3.536639056738345E-2</v>
      </c>
      <c r="AD628" s="3">
        <f t="shared" si="101"/>
        <v>4.0036733054993459E-2</v>
      </c>
      <c r="AE628" s="76">
        <f t="shared" si="102"/>
        <v>9283</v>
      </c>
      <c r="AF628" s="76">
        <f t="shared" si="103"/>
        <v>7215.1845238095229</v>
      </c>
      <c r="AG628" s="76">
        <f t="shared" si="104"/>
        <v>5110.2532659081335</v>
      </c>
      <c r="AO628" s="5">
        <f t="shared" si="109"/>
        <v>3.4216007140731884E-2</v>
      </c>
      <c r="AP628" s="5">
        <f t="shared" si="105"/>
        <v>0.51941912090593789</v>
      </c>
      <c r="AR628" s="5">
        <f t="shared" si="106"/>
        <v>3.6588240183019927E-2</v>
      </c>
      <c r="AS628" s="5">
        <f t="shared" si="107"/>
        <v>4.9175830267420451E-2</v>
      </c>
      <c r="AT628" s="5">
        <f t="shared" si="108"/>
        <v>6.5529230423320761E-2</v>
      </c>
    </row>
    <row r="629" spans="12:46" x14ac:dyDescent="0.25">
      <c r="L629" s="4">
        <v>44629.5</v>
      </c>
      <c r="M629">
        <v>68.02</v>
      </c>
      <c r="N629">
        <v>74.67</v>
      </c>
      <c r="O629">
        <v>67.22</v>
      </c>
      <c r="P629">
        <v>72.2</v>
      </c>
      <c r="Q629">
        <v>36120</v>
      </c>
      <c r="R629">
        <v>409447</v>
      </c>
      <c r="S629">
        <v>155.88</v>
      </c>
      <c r="T629">
        <v>155.88</v>
      </c>
      <c r="U629">
        <v>155.88</v>
      </c>
      <c r="V629">
        <v>155.88</v>
      </c>
      <c r="W629">
        <v>0</v>
      </c>
      <c r="X629">
        <v>0.12979094076655057</v>
      </c>
      <c r="Y629">
        <v>1.716667013661733</v>
      </c>
      <c r="Z629">
        <v>0.39632660129357133</v>
      </c>
      <c r="AB629" s="3">
        <f t="shared" si="99"/>
        <v>4.3218834387862157E-2</v>
      </c>
      <c r="AC629" s="3">
        <f t="shared" si="100"/>
        <v>3.4825547619843029E-2</v>
      </c>
      <c r="AD629" s="3">
        <f t="shared" si="101"/>
        <v>3.9102159368068677E-2</v>
      </c>
      <c r="AE629" s="76">
        <f t="shared" si="102"/>
        <v>10000.571428571428</v>
      </c>
      <c r="AF629" s="76">
        <f t="shared" si="103"/>
        <v>7411.9226190476184</v>
      </c>
      <c r="AG629" s="76">
        <f t="shared" si="104"/>
        <v>5362.8390223345996</v>
      </c>
      <c r="AO629" s="5">
        <f t="shared" si="109"/>
        <v>0.18973451327433627</v>
      </c>
      <c r="AP629" s="5">
        <f t="shared" si="105"/>
        <v>0.51857774574028781</v>
      </c>
      <c r="AR629" s="5">
        <f t="shared" si="106"/>
        <v>2.9610262701872114E-2</v>
      </c>
      <c r="AS629" s="5">
        <f t="shared" si="107"/>
        <v>4.3008377888961391E-2</v>
      </c>
      <c r="AT629" s="5">
        <f t="shared" si="108"/>
        <v>5.8950358164209626E-2</v>
      </c>
    </row>
    <row r="630" spans="12:46" x14ac:dyDescent="0.25">
      <c r="L630" s="4">
        <v>44628.5</v>
      </c>
      <c r="M630">
        <v>57.4</v>
      </c>
      <c r="N630">
        <v>69.290000000000006</v>
      </c>
      <c r="O630">
        <v>56.5</v>
      </c>
      <c r="P630">
        <v>68.400000000000006</v>
      </c>
      <c r="Q630">
        <v>38498</v>
      </c>
      <c r="R630">
        <v>410568</v>
      </c>
      <c r="S630">
        <v>214.554</v>
      </c>
      <c r="T630">
        <v>214.554</v>
      </c>
      <c r="U630">
        <v>214.554</v>
      </c>
      <c r="V630">
        <v>214.554</v>
      </c>
      <c r="W630">
        <v>0</v>
      </c>
      <c r="X630">
        <v>0.19894229273603989</v>
      </c>
      <c r="Y630">
        <v>3.4520052710868745</v>
      </c>
      <c r="Z630">
        <v>0.52902173672004849</v>
      </c>
      <c r="AB630" s="3">
        <f t="shared" si="99"/>
        <v>3.6282006308865584E-2</v>
      </c>
      <c r="AC630" s="3">
        <f t="shared" si="100"/>
        <v>3.0334887529666288E-2</v>
      </c>
      <c r="AD630" s="3">
        <f t="shared" si="101"/>
        <v>3.4493953327867533E-2</v>
      </c>
      <c r="AE630" s="76">
        <f t="shared" si="102"/>
        <v>9694.5238095238055</v>
      </c>
      <c r="AF630" s="76">
        <f t="shared" si="103"/>
        <v>7083.2202380952331</v>
      </c>
      <c r="AG630" s="76">
        <f t="shared" si="104"/>
        <v>5167.3000421407451</v>
      </c>
      <c r="AO630" s="5">
        <f t="shared" si="109"/>
        <v>-5.6318197817669885E-3</v>
      </c>
      <c r="AP630" s="5">
        <f t="shared" si="105"/>
        <v>0.48576216538344158</v>
      </c>
      <c r="AR630" s="5">
        <f t="shared" si="106"/>
        <v>2.2278747790910269E-2</v>
      </c>
      <c r="AS630" s="5">
        <f t="shared" si="107"/>
        <v>3.6611172359469146E-2</v>
      </c>
      <c r="AT630" s="5">
        <f t="shared" si="108"/>
        <v>5.2172876472623531E-2</v>
      </c>
    </row>
    <row r="631" spans="12:46" x14ac:dyDescent="0.25">
      <c r="L631" s="4">
        <v>44627.5</v>
      </c>
      <c r="M631">
        <v>64.290000000000006</v>
      </c>
      <c r="N631">
        <v>64.290000000000006</v>
      </c>
      <c r="O631">
        <v>56.82</v>
      </c>
      <c r="P631">
        <v>58.36</v>
      </c>
      <c r="Q631">
        <v>47751</v>
      </c>
      <c r="R631">
        <v>415227</v>
      </c>
      <c r="S631">
        <v>227.20099999999999</v>
      </c>
      <c r="T631">
        <v>227.20099999999999</v>
      </c>
      <c r="U631">
        <v>227.20099999999999</v>
      </c>
      <c r="V631">
        <v>227.20099999999999</v>
      </c>
      <c r="W631">
        <v>11</v>
      </c>
      <c r="X631">
        <v>0.11318181818181827</v>
      </c>
      <c r="Y631">
        <v>1.5931834529310935</v>
      </c>
      <c r="Z631">
        <v>1.0982951085273776</v>
      </c>
      <c r="AB631" s="3">
        <f t="shared" si="99"/>
        <v>2.8613365446543408E-2</v>
      </c>
      <c r="AC631" s="3">
        <f t="shared" si="100"/>
        <v>2.266358608932343E-2</v>
      </c>
      <c r="AD631" s="3">
        <f t="shared" si="101"/>
        <v>2.6531361075844417E-2</v>
      </c>
      <c r="AE631" s="76">
        <f t="shared" si="102"/>
        <v>9421.4285714285725</v>
      </c>
      <c r="AF631" s="76">
        <f t="shared" si="103"/>
        <v>6360.6369047619046</v>
      </c>
      <c r="AG631" s="76">
        <f t="shared" si="104"/>
        <v>4394.5431942688556</v>
      </c>
      <c r="AO631" s="5">
        <f t="shared" si="109"/>
        <v>-0.11632970451010882</v>
      </c>
      <c r="AP631" s="5">
        <f t="shared" si="105"/>
        <v>0.48597113251203372</v>
      </c>
      <c r="AR631" s="5">
        <f t="shared" si="106"/>
        <v>1.6861456328125246E-2</v>
      </c>
      <c r="AS631" s="5">
        <f t="shared" si="107"/>
        <v>3.1805040317877786E-2</v>
      </c>
      <c r="AT631" s="5">
        <f t="shared" si="108"/>
        <v>4.7000540829341186E-2</v>
      </c>
    </row>
    <row r="632" spans="12:46" x14ac:dyDescent="0.25">
      <c r="L632" s="4">
        <v>44624.5</v>
      </c>
      <c r="M632">
        <v>66</v>
      </c>
      <c r="N632">
        <v>68.739999999999995</v>
      </c>
      <c r="O632">
        <v>64.3</v>
      </c>
      <c r="P632">
        <v>65.8</v>
      </c>
      <c r="Q632">
        <v>35931</v>
      </c>
      <c r="R632">
        <v>419043</v>
      </c>
      <c r="S632">
        <v>192.55</v>
      </c>
      <c r="T632">
        <v>192.55</v>
      </c>
      <c r="U632">
        <v>192.55</v>
      </c>
      <c r="V632">
        <v>192.55</v>
      </c>
      <c r="W632">
        <v>15</v>
      </c>
      <c r="X632">
        <v>6.4628820960698649E-2</v>
      </c>
      <c r="Y632">
        <v>0.32462922371486674</v>
      </c>
      <c r="Z632">
        <v>0.40646021818427808</v>
      </c>
      <c r="AB632" s="3">
        <f t="shared" si="99"/>
        <v>2.4946579888424698E-2</v>
      </c>
      <c r="AC632" s="3">
        <f t="shared" si="100"/>
        <v>1.8607008067609614E-2</v>
      </c>
      <c r="AD632" s="3">
        <f t="shared" si="101"/>
        <v>2.2820240795453459E-2</v>
      </c>
      <c r="AE632" s="76">
        <f t="shared" si="102"/>
        <v>9165.952380952378</v>
      </c>
      <c r="AF632" s="76">
        <f t="shared" si="103"/>
        <v>5351.4404761904734</v>
      </c>
      <c r="AG632" s="76">
        <f t="shared" si="104"/>
        <v>3503.3232195533055</v>
      </c>
      <c r="AO632" s="5">
        <f t="shared" si="109"/>
        <v>1.275791463222547E-2</v>
      </c>
      <c r="AP632" s="5">
        <f t="shared" si="105"/>
        <v>0.4718476274380482</v>
      </c>
      <c r="AR632" s="5">
        <f t="shared" si="106"/>
        <v>1.1525782783902427E-2</v>
      </c>
      <c r="AS632" s="5">
        <f t="shared" si="107"/>
        <v>2.707971754930566E-2</v>
      </c>
      <c r="AT632" s="5">
        <f t="shared" si="108"/>
        <v>4.1876036076056167E-2</v>
      </c>
    </row>
    <row r="633" spans="12:46" x14ac:dyDescent="0.25">
      <c r="L633" s="4">
        <v>44623.5</v>
      </c>
      <c r="M633">
        <v>68.7</v>
      </c>
      <c r="N633">
        <v>69.489999999999995</v>
      </c>
      <c r="O633">
        <v>63.49</v>
      </c>
      <c r="P633">
        <v>67.010000000000005</v>
      </c>
      <c r="Q633">
        <v>40643</v>
      </c>
      <c r="R633">
        <v>419896</v>
      </c>
      <c r="S633">
        <v>148</v>
      </c>
      <c r="T633">
        <v>160.82300000000001</v>
      </c>
      <c r="U633">
        <v>147.49</v>
      </c>
      <c r="V633">
        <v>160.82300000000001</v>
      </c>
      <c r="W633">
        <v>14</v>
      </c>
      <c r="X633">
        <v>8.5046066619418756E-2</v>
      </c>
      <c r="Y633">
        <v>0.89623606164885705</v>
      </c>
      <c r="Z633">
        <v>0.65908268196952047</v>
      </c>
      <c r="AB633" s="3">
        <f t="shared" si="99"/>
        <v>2.1955589050665018E-2</v>
      </c>
      <c r="AC633" s="3">
        <f t="shared" si="100"/>
        <v>1.6411571114514314E-2</v>
      </c>
      <c r="AD633" s="3">
        <f t="shared" si="101"/>
        <v>2.0720249107019362E-2</v>
      </c>
      <c r="AE633" s="76">
        <f t="shared" si="102"/>
        <v>8576.0476190476147</v>
      </c>
      <c r="AF633" s="76">
        <f t="shared" si="103"/>
        <v>4582.3333333333321</v>
      </c>
      <c r="AG633" s="76">
        <f t="shared" si="104"/>
        <v>2888.9161399072873</v>
      </c>
      <c r="AO633" s="5">
        <f t="shared" si="109"/>
        <v>0.1543636363636364</v>
      </c>
      <c r="AP633" s="5">
        <f t="shared" si="105"/>
        <v>0.47251778601682853</v>
      </c>
      <c r="AR633" s="5">
        <f t="shared" si="106"/>
        <v>6.8284335217309589E-3</v>
      </c>
      <c r="AS633" s="5">
        <f t="shared" si="107"/>
        <v>2.3007545899342619E-2</v>
      </c>
      <c r="AT633" s="5">
        <f t="shared" si="108"/>
        <v>3.7420121806161943E-2</v>
      </c>
    </row>
    <row r="634" spans="12:46" x14ac:dyDescent="0.25">
      <c r="L634" s="4">
        <v>44622.5</v>
      </c>
      <c r="M634">
        <v>70.55</v>
      </c>
      <c r="N634">
        <v>70.959999999999994</v>
      </c>
      <c r="O634">
        <v>55</v>
      </c>
      <c r="P634">
        <v>67.72</v>
      </c>
      <c r="Q634">
        <v>78462</v>
      </c>
      <c r="R634">
        <v>423198</v>
      </c>
      <c r="S634">
        <v>165.54300000000001</v>
      </c>
      <c r="T634">
        <v>165.54300000000001</v>
      </c>
      <c r="U634">
        <v>165.54300000000001</v>
      </c>
      <c r="V634">
        <v>165.54300000000001</v>
      </c>
      <c r="W634">
        <v>2</v>
      </c>
      <c r="X634">
        <v>0.1932203389830508</v>
      </c>
      <c r="Y634">
        <v>3.8932860047279636</v>
      </c>
      <c r="Z634">
        <v>2.9081111092685554</v>
      </c>
      <c r="AB634" s="3">
        <f t="shared" si="99"/>
        <v>2.1449113934765202E-2</v>
      </c>
      <c r="AC634" s="3">
        <f t="shared" si="100"/>
        <v>1.5541146966105569E-2</v>
      </c>
      <c r="AD634" s="3">
        <f t="shared" si="101"/>
        <v>1.934538093451646E-2</v>
      </c>
      <c r="AE634" s="76">
        <f t="shared" si="102"/>
        <v>9649.8571428571449</v>
      </c>
      <c r="AF634" s="76">
        <f t="shared" si="103"/>
        <v>4697.1190476190495</v>
      </c>
      <c r="AG634" s="76">
        <f t="shared" si="104"/>
        <v>2969.9654445849155</v>
      </c>
      <c r="AO634" s="5">
        <f t="shared" si="109"/>
        <v>-0.16666666666666666</v>
      </c>
      <c r="AP634" s="5">
        <f t="shared" si="105"/>
        <v>0.44829545476230281</v>
      </c>
      <c r="AR634" s="5">
        <f t="shared" si="106"/>
        <v>2.2382898454635924E-3</v>
      </c>
      <c r="AS634" s="5">
        <f t="shared" si="107"/>
        <v>1.8984430618011638E-2</v>
      </c>
      <c r="AT634" s="5">
        <f t="shared" si="108"/>
        <v>3.303930667027638E-2</v>
      </c>
    </row>
    <row r="635" spans="12:46" x14ac:dyDescent="0.25">
      <c r="L635" s="4">
        <v>44621.5</v>
      </c>
      <c r="M635">
        <v>82.6</v>
      </c>
      <c r="N635">
        <v>84.43</v>
      </c>
      <c r="O635">
        <v>66</v>
      </c>
      <c r="P635">
        <v>69.739999999999995</v>
      </c>
      <c r="Q635">
        <v>78655</v>
      </c>
      <c r="R635">
        <v>433635</v>
      </c>
      <c r="S635">
        <v>103.66500000000001</v>
      </c>
      <c r="T635">
        <v>121.67400000000001</v>
      </c>
      <c r="U635">
        <v>103.66500000000001</v>
      </c>
      <c r="V635">
        <v>121.67400000000001</v>
      </c>
      <c r="W635">
        <v>429</v>
      </c>
      <c r="X635">
        <v>0.21445194321619743</v>
      </c>
      <c r="Y635">
        <v>5.2092472106596039</v>
      </c>
      <c r="Z635">
        <v>3.1790396164779682</v>
      </c>
      <c r="AB635" s="3">
        <f t="shared" si="99"/>
        <v>1.2471902177374039E-2</v>
      </c>
      <c r="AC635" s="3">
        <f t="shared" si="100"/>
        <v>7.4192396796633267E-3</v>
      </c>
      <c r="AD635" s="3">
        <f t="shared" si="101"/>
        <v>1.1595481100999873E-2</v>
      </c>
      <c r="AE635" s="76">
        <f t="shared" si="102"/>
        <v>7566.9047619047633</v>
      </c>
      <c r="AF635" s="76">
        <f t="shared" si="103"/>
        <v>1837.25</v>
      </c>
      <c r="AG635" s="76">
        <f t="shared" si="104"/>
        <v>337.2275600505709</v>
      </c>
      <c r="AO635" s="5">
        <f t="shared" si="109"/>
        <v>-0.17623564653020474</v>
      </c>
      <c r="AP635" s="5">
        <f t="shared" si="105"/>
        <v>0.41620889659438226</v>
      </c>
      <c r="AR635" s="5">
        <f t="shared" si="106"/>
        <v>-8.2490959015024679E-4</v>
      </c>
      <c r="AS635" s="5">
        <f t="shared" si="107"/>
        <v>1.6315049195724907E-2</v>
      </c>
      <c r="AT635" s="5">
        <f t="shared" si="108"/>
        <v>2.995622192606967E-2</v>
      </c>
    </row>
    <row r="636" spans="12:46" x14ac:dyDescent="0.25">
      <c r="L636" s="4">
        <v>44620.5</v>
      </c>
      <c r="M636">
        <v>85.94</v>
      </c>
      <c r="N636">
        <v>86</v>
      </c>
      <c r="O636">
        <v>80.12</v>
      </c>
      <c r="P636">
        <v>82.65</v>
      </c>
      <c r="Q636">
        <v>36024</v>
      </c>
      <c r="R636">
        <v>440812</v>
      </c>
      <c r="S636">
        <v>116.49</v>
      </c>
      <c r="T636">
        <v>116.49</v>
      </c>
      <c r="U636">
        <v>98.594999999999999</v>
      </c>
      <c r="V636">
        <v>98.594999999999999</v>
      </c>
      <c r="W636">
        <v>30</v>
      </c>
      <c r="X636">
        <v>6.6636446056210288E-2</v>
      </c>
      <c r="Y636">
        <v>0.83418840449884124</v>
      </c>
      <c r="Z636">
        <v>0.54136787033723954</v>
      </c>
      <c r="AB636" s="3">
        <f t="shared" si="99"/>
        <v>3.225095937847533E-3</v>
      </c>
      <c r="AC636" s="3">
        <f t="shared" si="100"/>
        <v>-1.8312541515276004E-3</v>
      </c>
      <c r="AD636" s="3">
        <f t="shared" si="101"/>
        <v>2.3432865692283866E-3</v>
      </c>
      <c r="AE636" s="76">
        <f t="shared" si="102"/>
        <v>5333.3333333333321</v>
      </c>
      <c r="AF636" s="76">
        <f t="shared" si="103"/>
        <v>-1160.8988095238092</v>
      </c>
      <c r="AG636" s="76">
        <f t="shared" si="104"/>
        <v>-2571.0939738727357</v>
      </c>
      <c r="AO636" s="5">
        <f t="shared" si="109"/>
        <v>-7.9715138984608289E-2</v>
      </c>
      <c r="AP636" s="5">
        <f t="shared" si="105"/>
        <v>0.37692747375157765</v>
      </c>
      <c r="AR636" s="5">
        <f t="shared" si="106"/>
        <v>-2.3946300550151678E-3</v>
      </c>
      <c r="AS636" s="5">
        <f t="shared" si="107"/>
        <v>1.5129911369704596E-2</v>
      </c>
      <c r="AT636" s="5">
        <f t="shared" si="108"/>
        <v>2.8390362820674531E-2</v>
      </c>
    </row>
    <row r="637" spans="12:46" x14ac:dyDescent="0.25">
      <c r="L637" s="4">
        <v>44617.5</v>
      </c>
      <c r="M637">
        <v>88.24</v>
      </c>
      <c r="N637">
        <v>89.7</v>
      </c>
      <c r="O637">
        <v>87.06</v>
      </c>
      <c r="P637">
        <v>87.77</v>
      </c>
      <c r="Q637">
        <v>20866</v>
      </c>
      <c r="R637">
        <v>439664</v>
      </c>
      <c r="S637">
        <v>94.421999999999997</v>
      </c>
      <c r="T637">
        <v>94.421999999999997</v>
      </c>
      <c r="U637">
        <v>94.421999999999997</v>
      </c>
      <c r="V637">
        <v>94.421999999999997</v>
      </c>
      <c r="W637">
        <v>0</v>
      </c>
      <c r="X637">
        <v>2.7789473684210534E-2</v>
      </c>
      <c r="Y637">
        <v>-0.76457764700840436</v>
      </c>
      <c r="Z637">
        <v>-0.51804438544081144</v>
      </c>
      <c r="AB637" s="3">
        <f t="shared" si="99"/>
        <v>1.1055304146106171E-3</v>
      </c>
      <c r="AC637" s="3">
        <f t="shared" si="100"/>
        <v>-4.2501670992152879E-3</v>
      </c>
      <c r="AD637" s="3">
        <f t="shared" si="101"/>
        <v>3.4458725328874451E-5</v>
      </c>
      <c r="AE637" s="76">
        <f t="shared" si="102"/>
        <v>5083.4285714285725</v>
      </c>
      <c r="AF637" s="76">
        <f t="shared" si="103"/>
        <v>-2026.2797619047597</v>
      </c>
      <c r="AG637" s="76">
        <f t="shared" si="104"/>
        <v>-3328.0412979351022</v>
      </c>
      <c r="AO637" s="5">
        <f t="shared" si="109"/>
        <v>1.0562971561230372E-2</v>
      </c>
      <c r="AP637" s="5">
        <f t="shared" si="105"/>
        <v>0.36798734369730135</v>
      </c>
      <c r="AR637" s="5">
        <f t="shared" si="106"/>
        <v>-2.0883542470304106E-3</v>
      </c>
      <c r="AS637" s="5">
        <f t="shared" si="107"/>
        <v>1.5823237278920821E-2</v>
      </c>
      <c r="AT637" s="5">
        <f t="shared" si="108"/>
        <v>2.8687446163495167E-2</v>
      </c>
    </row>
    <row r="638" spans="12:46" x14ac:dyDescent="0.25">
      <c r="L638" s="4">
        <v>44616.5</v>
      </c>
      <c r="M638">
        <v>95</v>
      </c>
      <c r="N638">
        <v>95</v>
      </c>
      <c r="O638">
        <v>86.15</v>
      </c>
      <c r="P638">
        <v>87.21</v>
      </c>
      <c r="Q638">
        <v>49737</v>
      </c>
      <c r="R638">
        <v>439405</v>
      </c>
      <c r="S638">
        <v>106.1</v>
      </c>
      <c r="T638">
        <v>135</v>
      </c>
      <c r="U638">
        <v>106.1</v>
      </c>
      <c r="V638">
        <v>134.316</v>
      </c>
      <c r="W638">
        <v>2</v>
      </c>
      <c r="X638">
        <v>9.8563314400267221E-2</v>
      </c>
      <c r="Y638">
        <v>2.1865856968049551</v>
      </c>
      <c r="Z638">
        <v>1.479943788012859</v>
      </c>
      <c r="AB638" s="3">
        <f t="shared" si="99"/>
        <v>3.0552513286440097E-4</v>
      </c>
      <c r="AC638" s="3">
        <f t="shared" si="100"/>
        <v>-5.0617210285321332E-3</v>
      </c>
      <c r="AD638" s="3">
        <f t="shared" si="101"/>
        <v>-3.3331796978869344E-4</v>
      </c>
      <c r="AE638" s="76">
        <f t="shared" si="102"/>
        <v>5498.7619047619046</v>
      </c>
      <c r="AF638" s="76">
        <f t="shared" si="103"/>
        <v>-2199.2619047619046</v>
      </c>
      <c r="AG638" s="76">
        <f t="shared" si="104"/>
        <v>-3299.984407922464</v>
      </c>
      <c r="AO638" s="5">
        <f t="shared" si="109"/>
        <v>-3.7860174223810591E-2</v>
      </c>
      <c r="AP638" s="5">
        <f t="shared" si="105"/>
        <v>0.36890829170081219</v>
      </c>
      <c r="AR638" s="5">
        <f t="shared" si="106"/>
        <v>-1.3541734779375925E-3</v>
      </c>
      <c r="AS638" s="5">
        <f t="shared" si="107"/>
        <v>1.6958965149889982E-2</v>
      </c>
      <c r="AT638" s="5">
        <f t="shared" si="108"/>
        <v>2.9366653680013122E-2</v>
      </c>
    </row>
    <row r="639" spans="12:46" x14ac:dyDescent="0.25">
      <c r="L639" s="4">
        <v>44615.5</v>
      </c>
      <c r="M639">
        <v>89.79</v>
      </c>
      <c r="N639">
        <v>95.56</v>
      </c>
      <c r="O639">
        <v>89.54</v>
      </c>
      <c r="P639">
        <v>94.74</v>
      </c>
      <c r="Q639">
        <v>30152</v>
      </c>
      <c r="R639">
        <v>439379</v>
      </c>
      <c r="S639">
        <v>83.174999999999997</v>
      </c>
      <c r="T639">
        <v>88.891000000000005</v>
      </c>
      <c r="U639">
        <v>83.174999999999997</v>
      </c>
      <c r="V639">
        <v>88.891000000000005</v>
      </c>
      <c r="W639">
        <v>42</v>
      </c>
      <c r="X639">
        <v>6.6963292547274705E-2</v>
      </c>
      <c r="Y639">
        <v>0.93251655503085529</v>
      </c>
      <c r="Z639">
        <v>0.12877179437098249</v>
      </c>
      <c r="AB639" s="3">
        <f t="shared" si="99"/>
        <v>-2.7648889611361568E-3</v>
      </c>
      <c r="AC639" s="3">
        <f t="shared" si="100"/>
        <v>-7.5883243593439023E-3</v>
      </c>
      <c r="AD639" s="3">
        <f t="shared" si="101"/>
        <v>-2.9936226911121758E-3</v>
      </c>
      <c r="AE639" s="76">
        <f t="shared" si="102"/>
        <v>5577.5238095238092</v>
      </c>
      <c r="AF639" s="76">
        <f t="shared" si="103"/>
        <v>-3266.6190476190495</v>
      </c>
      <c r="AG639" s="76">
        <f t="shared" si="104"/>
        <v>-4311.214496418037</v>
      </c>
      <c r="AO639" s="5">
        <f t="shared" si="109"/>
        <v>1.6345062429058026E-2</v>
      </c>
      <c r="AP639" s="5">
        <f t="shared" si="105"/>
        <v>0.36668498692122542</v>
      </c>
      <c r="AR639" s="5">
        <f t="shared" si="106"/>
        <v>-6.4428353696105445E-4</v>
      </c>
      <c r="AS639" s="5">
        <f t="shared" si="107"/>
        <v>1.8064412895933857E-2</v>
      </c>
      <c r="AT639" s="5">
        <f t="shared" si="108"/>
        <v>3.0011769061925764E-2</v>
      </c>
    </row>
    <row r="640" spans="12:46" x14ac:dyDescent="0.25">
      <c r="L640" s="4">
        <v>44614.5</v>
      </c>
      <c r="M640">
        <v>89.9</v>
      </c>
      <c r="N640">
        <v>90.28</v>
      </c>
      <c r="O640">
        <v>88.1</v>
      </c>
      <c r="P640">
        <v>89.64</v>
      </c>
      <c r="Q640">
        <v>22306</v>
      </c>
      <c r="R640">
        <v>438361</v>
      </c>
      <c r="S640">
        <v>71.525000000000006</v>
      </c>
      <c r="T640">
        <v>80.344999999999999</v>
      </c>
      <c r="U640">
        <v>71.525000000000006</v>
      </c>
      <c r="V640">
        <v>79.789000000000001</v>
      </c>
      <c r="W640">
        <v>370</v>
      </c>
      <c r="X640">
        <v>2.4475131918715694E-2</v>
      </c>
      <c r="Y640">
        <v>-0.92128217911886245</v>
      </c>
      <c r="Z640">
        <v>-0.42692230973080836</v>
      </c>
      <c r="AB640" s="3">
        <f t="shared" si="99"/>
        <v>-2.2193541645885717E-3</v>
      </c>
      <c r="AC640" s="3">
        <f t="shared" si="100"/>
        <v>-7.6886126046411679E-3</v>
      </c>
      <c r="AD640" s="3">
        <f t="shared" si="101"/>
        <v>-3.8867949428520523E-3</v>
      </c>
      <c r="AE640" s="76">
        <f t="shared" si="102"/>
        <v>6652.0952380952403</v>
      </c>
      <c r="AF640" s="76">
        <f t="shared" si="103"/>
        <v>-3328.5476190476184</v>
      </c>
      <c r="AG640" s="76">
        <f t="shared" si="104"/>
        <v>-4570.4723978086804</v>
      </c>
      <c r="AO640" s="5">
        <f t="shared" si="109"/>
        <v>9.0888434446714718E-4</v>
      </c>
      <c r="AP640" s="5">
        <f t="shared" si="105"/>
        <v>0.36687705225511896</v>
      </c>
      <c r="AR640" s="5">
        <f t="shared" si="106"/>
        <v>1.1125337556683323E-4</v>
      </c>
      <c r="AS640" s="5">
        <f t="shared" si="107"/>
        <v>1.9207744343937849E-2</v>
      </c>
      <c r="AT640" s="5">
        <f t="shared" si="108"/>
        <v>3.0721385087484732E-2</v>
      </c>
    </row>
    <row r="641" spans="12:46" x14ac:dyDescent="0.25">
      <c r="L641" s="4">
        <v>44613.5</v>
      </c>
      <c r="M641">
        <v>89.07</v>
      </c>
      <c r="N641">
        <v>90.95</v>
      </c>
      <c r="O641">
        <v>88.02</v>
      </c>
      <c r="P641">
        <v>89.39</v>
      </c>
      <c r="Q641">
        <v>19946</v>
      </c>
      <c r="R641">
        <v>438258</v>
      </c>
      <c r="S641">
        <v>72.974999999999994</v>
      </c>
      <c r="T641">
        <v>73.900000000000006</v>
      </c>
      <c r="U641">
        <v>70.569999999999993</v>
      </c>
      <c r="V641">
        <v>73.762</v>
      </c>
      <c r="W641">
        <v>0</v>
      </c>
      <c r="X641">
        <v>3.4006499535747525E-2</v>
      </c>
      <c r="Y641">
        <v>-0.50632516234253444</v>
      </c>
      <c r="Z641">
        <v>-0.60535287285180639</v>
      </c>
      <c r="AB641" s="3">
        <f t="shared" si="99"/>
        <v>-1.00124759665704E-3</v>
      </c>
      <c r="AC641" s="3">
        <f t="shared" si="100"/>
        <v>-6.7999009185607667E-3</v>
      </c>
      <c r="AD641" s="3">
        <f t="shared" si="101"/>
        <v>-3.1959191562903749E-3</v>
      </c>
      <c r="AE641" s="76">
        <f t="shared" si="102"/>
        <v>8014.3809523809505</v>
      </c>
      <c r="AF641" s="76">
        <f t="shared" si="103"/>
        <v>-3152.9523809523816</v>
      </c>
      <c r="AG641" s="76">
        <f t="shared" si="104"/>
        <v>-4372.2380952380954</v>
      </c>
      <c r="AO641" s="5">
        <f t="shared" si="109"/>
        <v>2.1587743732590522E-2</v>
      </c>
      <c r="AP641" s="5">
        <f t="shared" si="105"/>
        <v>0.36746939367472897</v>
      </c>
      <c r="AR641" s="5">
        <f t="shared" si="106"/>
        <v>8.6356454350350331E-4</v>
      </c>
      <c r="AS641" s="5">
        <f t="shared" si="107"/>
        <v>2.0353558662958793E-2</v>
      </c>
      <c r="AT641" s="5">
        <f t="shared" si="108"/>
        <v>3.1465298557626753E-2</v>
      </c>
    </row>
    <row r="642" spans="12:46" x14ac:dyDescent="0.25">
      <c r="L642" s="4">
        <v>44610.5</v>
      </c>
      <c r="M642">
        <v>86.16</v>
      </c>
      <c r="N642">
        <v>89.66</v>
      </c>
      <c r="O642">
        <v>86.16</v>
      </c>
      <c r="P642">
        <v>89.07</v>
      </c>
      <c r="Q642">
        <v>21366</v>
      </c>
      <c r="R642">
        <v>437385</v>
      </c>
      <c r="S642">
        <v>72.974999999999994</v>
      </c>
      <c r="T642">
        <v>73.900000000000006</v>
      </c>
      <c r="U642">
        <v>70.569999999999993</v>
      </c>
      <c r="V642">
        <v>73.762</v>
      </c>
      <c r="W642">
        <v>46</v>
      </c>
      <c r="X642">
        <v>3.8958147818343718E-2</v>
      </c>
      <c r="Y642">
        <v>-0.28458914321213058</v>
      </c>
      <c r="Z642">
        <v>-0.51401940504060772</v>
      </c>
      <c r="AB642" s="3">
        <f t="shared" si="99"/>
        <v>-1.9271685384727247E-3</v>
      </c>
      <c r="AC642" s="3">
        <f t="shared" si="100"/>
        <v>-7.2716792313571518E-3</v>
      </c>
      <c r="AD642" s="3">
        <f t="shared" si="101"/>
        <v>-3.3733727076512982E-3</v>
      </c>
      <c r="AE642" s="76">
        <f t="shared" si="102"/>
        <v>8057.2857142857174</v>
      </c>
      <c r="AF642" s="76">
        <f t="shared" si="103"/>
        <v>-3718.5595238095229</v>
      </c>
      <c r="AG642" s="76">
        <f t="shared" si="104"/>
        <v>-4399.15718499789</v>
      </c>
      <c r="AO642" s="5">
        <f t="shared" si="109"/>
        <v>4.1958041958041897E-3</v>
      </c>
      <c r="AP642" s="5">
        <f t="shared" si="105"/>
        <v>0.36795763542527021</v>
      </c>
      <c r="AR642" s="5">
        <f t="shared" si="106"/>
        <v>1.6188863310183099E-3</v>
      </c>
      <c r="AS642" s="5">
        <f t="shared" si="107"/>
        <v>2.1491633583408165E-2</v>
      </c>
      <c r="AT642" s="5">
        <f t="shared" si="108"/>
        <v>3.2213223329068119E-2</v>
      </c>
    </row>
    <row r="643" spans="12:46" x14ac:dyDescent="0.25">
      <c r="L643" s="4">
        <v>44609.5</v>
      </c>
      <c r="M643">
        <v>89.84</v>
      </c>
      <c r="N643">
        <v>90.45</v>
      </c>
      <c r="O643">
        <v>85.8</v>
      </c>
      <c r="P643">
        <v>86.43</v>
      </c>
      <c r="Q643">
        <v>31592</v>
      </c>
      <c r="R643">
        <v>438767</v>
      </c>
      <c r="S643">
        <v>73.349999999999994</v>
      </c>
      <c r="T643">
        <v>75.150000000000006</v>
      </c>
      <c r="U643">
        <v>71.34</v>
      </c>
      <c r="V643">
        <v>74.914000000000001</v>
      </c>
      <c r="W643">
        <v>53</v>
      </c>
      <c r="X643">
        <v>5.1500719902536331E-2</v>
      </c>
      <c r="Y643">
        <v>0.27507640772390807</v>
      </c>
      <c r="Z643">
        <v>0.19893499895315492</v>
      </c>
      <c r="AB643" s="3">
        <f t="shared" si="99"/>
        <v>-3.1650940925997961E-4</v>
      </c>
      <c r="AC643" s="3">
        <f t="shared" si="100"/>
        <v>-5.2298573759467018E-3</v>
      </c>
      <c r="AD643" s="3">
        <f t="shared" si="101"/>
        <v>-2.0291802311507498E-3</v>
      </c>
      <c r="AE643" s="76">
        <f t="shared" si="102"/>
        <v>8514</v>
      </c>
      <c r="AF643" s="76">
        <f t="shared" si="103"/>
        <v>-3098.1071428571449</v>
      </c>
      <c r="AG643" s="76">
        <f t="shared" si="104"/>
        <v>-3858.9064475347659</v>
      </c>
      <c r="AO643" s="5">
        <f t="shared" si="109"/>
        <v>-2.2445026774524313E-2</v>
      </c>
      <c r="AP643" s="5">
        <f t="shared" si="105"/>
        <v>0.36821813115238333</v>
      </c>
      <c r="AR643" s="5">
        <f t="shared" si="106"/>
        <v>2.3164353847557884E-3</v>
      </c>
      <c r="AS643" s="5">
        <f t="shared" si="107"/>
        <v>2.2548749746358177E-2</v>
      </c>
      <c r="AT643" s="5">
        <f t="shared" si="108"/>
        <v>3.2919752849933037E-2</v>
      </c>
    </row>
    <row r="644" spans="12:46" x14ac:dyDescent="0.25">
      <c r="L644" s="4">
        <v>44608.5</v>
      </c>
      <c r="M644">
        <v>90.29</v>
      </c>
      <c r="N644">
        <v>91.21</v>
      </c>
      <c r="O644">
        <v>87.77</v>
      </c>
      <c r="P644">
        <v>89.78</v>
      </c>
      <c r="Q644">
        <v>31053</v>
      </c>
      <c r="R644">
        <v>436913</v>
      </c>
      <c r="S644">
        <v>69.094999999999999</v>
      </c>
      <c r="T644">
        <v>71</v>
      </c>
      <c r="U644">
        <v>68.97</v>
      </c>
      <c r="V644">
        <v>69.795000000000002</v>
      </c>
      <c r="W644">
        <v>104</v>
      </c>
      <c r="X644">
        <v>3.7603847835592452E-2</v>
      </c>
      <c r="Y644">
        <v>-0.32257296654456658</v>
      </c>
      <c r="Z644">
        <v>0.16436679161524739</v>
      </c>
      <c r="AB644" s="3">
        <f t="shared" si="99"/>
        <v>-3.5086734627991223E-3</v>
      </c>
      <c r="AC644" s="3">
        <f t="shared" si="100"/>
        <v>-6.9009692794002875E-3</v>
      </c>
      <c r="AD644" s="3">
        <f t="shared" si="101"/>
        <v>-3.2689210576928029E-3</v>
      </c>
      <c r="AE644" s="76">
        <f t="shared" si="102"/>
        <v>9178.4285714285725</v>
      </c>
      <c r="AF644" s="76">
        <f t="shared" si="103"/>
        <v>-3177.6666666666679</v>
      </c>
      <c r="AG644" s="76">
        <f t="shared" si="104"/>
        <v>-3759.6211546565537</v>
      </c>
      <c r="AO644" s="5">
        <f t="shared" si="109"/>
        <v>-2.8125346030340007E-2</v>
      </c>
      <c r="AP644" s="5">
        <f t="shared" si="105"/>
        <v>0.36749301582014621</v>
      </c>
      <c r="AR644" s="5">
        <f t="shared" si="106"/>
        <v>3.077557389622565E-3</v>
      </c>
      <c r="AS644" s="5">
        <f t="shared" si="107"/>
        <v>2.3624259491572541E-2</v>
      </c>
      <c r="AT644" s="5">
        <f t="shared" si="108"/>
        <v>3.3614663852792381E-2</v>
      </c>
    </row>
    <row r="645" spans="12:46" x14ac:dyDescent="0.25">
      <c r="L645" s="4">
        <v>44607.5</v>
      </c>
      <c r="M645">
        <v>91.48</v>
      </c>
      <c r="N645">
        <v>92.75</v>
      </c>
      <c r="O645">
        <v>90.31</v>
      </c>
      <c r="P645">
        <v>90.31</v>
      </c>
      <c r="Q645">
        <v>26149</v>
      </c>
      <c r="R645">
        <v>437571</v>
      </c>
      <c r="S645">
        <v>76.06</v>
      </c>
      <c r="T645">
        <v>76.17</v>
      </c>
      <c r="U645">
        <v>68.515000000000001</v>
      </c>
      <c r="V645">
        <v>70.918999999999997</v>
      </c>
      <c r="W645">
        <v>126</v>
      </c>
      <c r="X645">
        <v>2.604055496264672E-2</v>
      </c>
      <c r="Y645">
        <v>-0.81208284813006681</v>
      </c>
      <c r="Z645">
        <v>-0.1854533219748464</v>
      </c>
      <c r="AB645" s="3">
        <f t="shared" si="99"/>
        <v>-5.3056547747644331E-3</v>
      </c>
      <c r="AC645" s="3">
        <f t="shared" si="100"/>
        <v>-6.7042569913836822E-3</v>
      </c>
      <c r="AD645" s="3">
        <f t="shared" si="101"/>
        <v>-2.7012508332492496E-3</v>
      </c>
      <c r="AE645" s="76">
        <f t="shared" si="102"/>
        <v>11448.809523809525</v>
      </c>
      <c r="AF645" s="76">
        <f t="shared" si="103"/>
        <v>-2169.8690476190459</v>
      </c>
      <c r="AG645" s="76">
        <f t="shared" si="104"/>
        <v>-2815.5937631689849</v>
      </c>
      <c r="AO645" s="5">
        <f t="shared" si="109"/>
        <v>4.560622914349239E-3</v>
      </c>
      <c r="AP645" s="5">
        <f t="shared" si="105"/>
        <v>0.36679852099186372</v>
      </c>
      <c r="AR645" s="5">
        <f t="shared" si="106"/>
        <v>4.1796917790310473E-3</v>
      </c>
      <c r="AS645" s="5">
        <f t="shared" si="107"/>
        <v>2.4738147154602541E-2</v>
      </c>
      <c r="AT645" s="5">
        <f t="shared" si="108"/>
        <v>3.437061851531753E-2</v>
      </c>
    </row>
    <row r="646" spans="12:46" x14ac:dyDescent="0.25">
      <c r="L646" s="4">
        <v>44606.5</v>
      </c>
      <c r="M646">
        <v>93.7</v>
      </c>
      <c r="N646">
        <v>94</v>
      </c>
      <c r="O646">
        <v>89.9</v>
      </c>
      <c r="P646">
        <v>92</v>
      </c>
      <c r="Q646">
        <v>23371</v>
      </c>
      <c r="R646">
        <v>438070</v>
      </c>
      <c r="S646">
        <v>83.6</v>
      </c>
      <c r="T646">
        <v>83.6</v>
      </c>
      <c r="U646">
        <v>79.694999999999993</v>
      </c>
      <c r="V646">
        <v>80.771000000000001</v>
      </c>
      <c r="W646">
        <v>302</v>
      </c>
      <c r="X646">
        <v>4.5303867403314851E-2</v>
      </c>
      <c r="Y646">
        <v>1.8561629882281591E-2</v>
      </c>
      <c r="Z646">
        <v>-0.38934472454584573</v>
      </c>
      <c r="AB646" s="3">
        <f t="shared" si="99"/>
        <v>-1.0233286626394472E-2</v>
      </c>
      <c r="AC646" s="3">
        <f t="shared" si="100"/>
        <v>-6.0861861268527925E-3</v>
      </c>
      <c r="AD646" s="3">
        <f t="shared" si="101"/>
        <v>-2.3164500693876461E-3</v>
      </c>
      <c r="AE646" s="76">
        <f t="shared" si="102"/>
        <v>9792.5714285714275</v>
      </c>
      <c r="AF646" s="76">
        <f t="shared" si="103"/>
        <v>-2823.0833333333321</v>
      </c>
      <c r="AG646" s="76">
        <f t="shared" si="104"/>
        <v>-3404.0160134850412</v>
      </c>
      <c r="AO646" s="5">
        <f t="shared" si="109"/>
        <v>1.5819209039548088E-2</v>
      </c>
      <c r="AP646" s="5">
        <f t="shared" si="105"/>
        <v>0.36736663687635362</v>
      </c>
      <c r="AR646" s="5">
        <f t="shared" si="106"/>
        <v>5.2042719332228704E-3</v>
      </c>
      <c r="AS646" s="5">
        <f t="shared" si="107"/>
        <v>2.5885299755244728E-2</v>
      </c>
      <c r="AT646" s="5">
        <f t="shared" si="108"/>
        <v>3.5147181368965164E-2</v>
      </c>
    </row>
    <row r="647" spans="12:46" x14ac:dyDescent="0.25">
      <c r="L647" s="4">
        <v>44603.5</v>
      </c>
      <c r="M647">
        <v>90.5</v>
      </c>
      <c r="N647">
        <v>93.38</v>
      </c>
      <c r="O647">
        <v>88.5</v>
      </c>
      <c r="P647">
        <v>92.68</v>
      </c>
      <c r="Q647">
        <v>24984</v>
      </c>
      <c r="R647">
        <v>436900</v>
      </c>
      <c r="S647">
        <v>73.415000000000006</v>
      </c>
      <c r="T647">
        <v>77.426000000000002</v>
      </c>
      <c r="U647">
        <v>73.305000000000007</v>
      </c>
      <c r="V647">
        <v>77.426000000000002</v>
      </c>
      <c r="W647">
        <v>167</v>
      </c>
      <c r="X647">
        <v>5.3362493165664243E-2</v>
      </c>
      <c r="Y647">
        <v>0.36059734582789621</v>
      </c>
      <c r="Z647">
        <v>-0.27481009684648738</v>
      </c>
      <c r="AB647" s="3">
        <f t="shared" si="99"/>
        <v>-1.2628940510847307E-2</v>
      </c>
      <c r="AC647" s="3">
        <f t="shared" si="100"/>
        <v>-6.9248371773895645E-3</v>
      </c>
      <c r="AD647" s="3">
        <f t="shared" si="101"/>
        <v>-3.0466416506520627E-3</v>
      </c>
      <c r="AE647" s="76">
        <f t="shared" si="102"/>
        <v>8915.3809523809541</v>
      </c>
      <c r="AF647" s="76">
        <f t="shared" si="103"/>
        <v>-2686.9404761904734</v>
      </c>
      <c r="AG647" s="76">
        <f t="shared" si="104"/>
        <v>-3305.5103244837737</v>
      </c>
      <c r="AO647" s="5">
        <f t="shared" si="109"/>
        <v>-8.4033613445378148E-3</v>
      </c>
      <c r="AP647" s="5">
        <f t="shared" si="105"/>
        <v>0.37197120863575112</v>
      </c>
      <c r="AR647" s="5">
        <f t="shared" si="106"/>
        <v>6.7698100245571768E-3</v>
      </c>
      <c r="AS647" s="5">
        <f t="shared" si="107"/>
        <v>2.697313033882337E-2</v>
      </c>
      <c r="AT647" s="5">
        <f t="shared" si="108"/>
        <v>3.586608911415351E-2</v>
      </c>
    </row>
    <row r="648" spans="12:46" x14ac:dyDescent="0.25">
      <c r="L648" s="4">
        <v>44602.5</v>
      </c>
      <c r="M648">
        <v>91.45</v>
      </c>
      <c r="N648">
        <v>93.42</v>
      </c>
      <c r="O648">
        <v>89.25</v>
      </c>
      <c r="P648">
        <v>91.19</v>
      </c>
      <c r="Q648">
        <v>28871</v>
      </c>
      <c r="R648">
        <v>437756</v>
      </c>
      <c r="S648">
        <v>74.03</v>
      </c>
      <c r="T648">
        <v>74.680000000000007</v>
      </c>
      <c r="U648">
        <v>72.47</v>
      </c>
      <c r="V648">
        <v>74.352999999999994</v>
      </c>
      <c r="W648">
        <v>154</v>
      </c>
      <c r="X648">
        <v>4.3306677744314064E-2</v>
      </c>
      <c r="Y648">
        <v>-5.2002511420654998E-2</v>
      </c>
      <c r="Z648">
        <v>1.0009216762877316E-3</v>
      </c>
      <c r="AB648" s="3">
        <f t="shared" si="99"/>
        <v>-1.1951839921109091E-2</v>
      </c>
      <c r="AC648" s="3">
        <f t="shared" si="100"/>
        <v>-6.7928300140451189E-3</v>
      </c>
      <c r="AD648" s="3">
        <f t="shared" si="101"/>
        <v>-3.1813287493633741E-3</v>
      </c>
      <c r="AE648" s="76">
        <f t="shared" si="102"/>
        <v>7270.6190476190459</v>
      </c>
      <c r="AF648" s="76">
        <f t="shared" si="103"/>
        <v>-2664.4404761904771</v>
      </c>
      <c r="AG648" s="76">
        <f t="shared" si="104"/>
        <v>-3254.2941424357377</v>
      </c>
      <c r="AO648" s="5">
        <f t="shared" si="109"/>
        <v>-1.1189895856414857E-2</v>
      </c>
      <c r="AP648" s="5">
        <f t="shared" si="105"/>
        <v>0.37347144856454373</v>
      </c>
      <c r="AR648" s="5">
        <f t="shared" si="106"/>
        <v>8.0287315916310886E-3</v>
      </c>
      <c r="AS648" s="5">
        <f t="shared" si="107"/>
        <v>2.7788504203539233E-2</v>
      </c>
      <c r="AT648" s="5">
        <f t="shared" si="108"/>
        <v>3.6311299346886594E-2</v>
      </c>
    </row>
    <row r="649" spans="12:46" x14ac:dyDescent="0.25">
      <c r="L649" s="4">
        <v>44601.5</v>
      </c>
      <c r="M649">
        <v>96.29</v>
      </c>
      <c r="N649">
        <v>97.6</v>
      </c>
      <c r="O649">
        <v>90.26</v>
      </c>
      <c r="P649">
        <v>91.84</v>
      </c>
      <c r="Q649">
        <v>35633</v>
      </c>
      <c r="R649">
        <v>437815</v>
      </c>
      <c r="S649">
        <v>76.694999999999993</v>
      </c>
      <c r="T649">
        <v>76.694999999999993</v>
      </c>
      <c r="U649">
        <v>73.834999999999994</v>
      </c>
      <c r="V649">
        <v>74.417000000000002</v>
      </c>
      <c r="W649">
        <v>70</v>
      </c>
      <c r="X649">
        <v>7.5670103092783395E-2</v>
      </c>
      <c r="Y649">
        <v>1.3397006081155256</v>
      </c>
      <c r="Z649">
        <v>0.4742221599228359</v>
      </c>
      <c r="AB649" s="3">
        <f t="shared" ref="AB649:AB712" si="110">AVERAGEA(X649:X669)-AVERAGE(X670:X690)</f>
        <v>-1.2052802934700173E-2</v>
      </c>
      <c r="AC649" s="3">
        <f t="shared" ref="AC649:AC712" si="111">AVERAGEA(X649:X669)-AVERAGE(X670:X725)</f>
        <v>-6.0085473662485761E-3</v>
      </c>
      <c r="AD649" s="3">
        <f t="shared" ref="AD649:AD712" si="112">AVERAGEA(X649:X669)-AVERAGE(X670:X782)</f>
        <v>-2.5450947736483445E-3</v>
      </c>
      <c r="AE649" s="76">
        <f t="shared" ref="AE649:AE712" si="113">AVERAGEA(Q649:Q669)-AVERAGE(Q670:Q690)</f>
        <v>5123.4761904761908</v>
      </c>
      <c r="AF649" s="76">
        <f t="shared" ref="AF649:AF712" si="114">AVERAGEA(Q649:Q669)-AVERAGE(Q670:Q725)</f>
        <v>-3114.5654761904771</v>
      </c>
      <c r="AG649" s="76">
        <f t="shared" ref="AG649:AG712" si="115">AVERAGEA(Q649:Q669)-AVERAGE(Q670:Q782)</f>
        <v>-3640.7467340918665</v>
      </c>
      <c r="AO649" s="5">
        <f t="shared" si="109"/>
        <v>-5.2388451443569503E-2</v>
      </c>
      <c r="AP649" s="5">
        <f t="shared" ref="AP649:AP712" si="116">_xlfn.STDEV.S(AO649:AO908)*SQRT(252)</f>
        <v>0.37352447849337445</v>
      </c>
      <c r="AR649" s="5">
        <f t="shared" ref="AR649:AR712" si="117">IFERROR(AVERAGEA(AP649:AP669)-AVERAGE(AP670:AP690),"")</f>
        <v>9.164574672509529E-3</v>
      </c>
      <c r="AS649" s="5">
        <f t="shared" ref="AS649:AS712" si="118">IFERROR(AVERAGEA(AP649:AP669)-AVERAGE(AP670:AP725),"")</f>
        <v>2.8480217887618842E-2</v>
      </c>
      <c r="AT649" s="5">
        <f t="shared" ref="AT649:AT712" si="119">IFERROR(AVERAGEA(AP649:AP669)-AVERAGE(AP670:AP782),"")</f>
        <v>3.6655057181261663E-2</v>
      </c>
    </row>
    <row r="650" spans="12:46" x14ac:dyDescent="0.25">
      <c r="L650" s="4">
        <v>44600.5</v>
      </c>
      <c r="M650">
        <v>97</v>
      </c>
      <c r="N650">
        <v>98.49</v>
      </c>
      <c r="O650">
        <v>95.25</v>
      </c>
      <c r="P650">
        <v>95.81</v>
      </c>
      <c r="Q650">
        <v>30319</v>
      </c>
      <c r="R650">
        <v>436729</v>
      </c>
      <c r="S650">
        <v>81.48</v>
      </c>
      <c r="T650">
        <v>82</v>
      </c>
      <c r="U650">
        <v>75.48</v>
      </c>
      <c r="V650">
        <v>77.3</v>
      </c>
      <c r="W650">
        <v>321</v>
      </c>
      <c r="X650">
        <v>3.353342993169111E-2</v>
      </c>
      <c r="Y650">
        <v>-0.45465902973131095</v>
      </c>
      <c r="Z650">
        <v>0.10471316961406252</v>
      </c>
      <c r="AB650" s="3">
        <f t="shared" si="110"/>
        <v>-1.3909101181577246E-2</v>
      </c>
      <c r="AC650" s="3">
        <f t="shared" si="111"/>
        <v>-6.6951860173053643E-3</v>
      </c>
      <c r="AD650" s="3">
        <f t="shared" si="112"/>
        <v>-3.5641982443339465E-3</v>
      </c>
      <c r="AE650" s="76">
        <f t="shared" si="113"/>
        <v>3926.7142857142862</v>
      </c>
      <c r="AF650" s="76">
        <f t="shared" si="114"/>
        <v>-3610.0059523809505</v>
      </c>
      <c r="AG650" s="76">
        <f t="shared" si="115"/>
        <v>-4200.4669195111674</v>
      </c>
      <c r="AO650" s="5">
        <f t="shared" ref="AO650:AO713" si="120">IFERROR((O650-O651)/O651,"")</f>
        <v>1.6542155816435401E-2</v>
      </c>
      <c r="AP650" s="5">
        <f t="shared" si="116"/>
        <v>0.36941197963268196</v>
      </c>
      <c r="AR650" s="5">
        <f t="shared" si="117"/>
        <v>1.0527332006957657E-2</v>
      </c>
      <c r="AS650" s="5">
        <f t="shared" si="118"/>
        <v>2.9235220317297972E-2</v>
      </c>
      <c r="AT650" s="5">
        <f t="shared" si="119"/>
        <v>3.7063849434884888E-2</v>
      </c>
    </row>
    <row r="651" spans="12:46" x14ac:dyDescent="0.25">
      <c r="L651" s="4">
        <v>44599.5</v>
      </c>
      <c r="M651">
        <v>96.62</v>
      </c>
      <c r="N651">
        <v>96.8</v>
      </c>
      <c r="O651">
        <v>93.7</v>
      </c>
      <c r="P651">
        <v>96.29</v>
      </c>
      <c r="Q651">
        <v>24298</v>
      </c>
      <c r="R651">
        <v>433363</v>
      </c>
      <c r="S651">
        <v>78.8</v>
      </c>
      <c r="T651">
        <v>79.739999999999995</v>
      </c>
      <c r="U651">
        <v>77.849999999999994</v>
      </c>
      <c r="V651">
        <v>79.594999999999999</v>
      </c>
      <c r="W651">
        <v>68</v>
      </c>
      <c r="X651">
        <v>3.2669406681420529E-2</v>
      </c>
      <c r="Y651">
        <v>-0.48479248818364756</v>
      </c>
      <c r="Z651">
        <v>-0.31767834586997573</v>
      </c>
      <c r="AB651" s="3">
        <f t="shared" si="110"/>
        <v>-9.7884477592255631E-3</v>
      </c>
      <c r="AC651" s="3">
        <f t="shared" si="111"/>
        <v>-3.576965216052469E-3</v>
      </c>
      <c r="AD651" s="3">
        <f t="shared" si="112"/>
        <v>-7.1766801685816534E-4</v>
      </c>
      <c r="AE651" s="76">
        <f t="shared" si="113"/>
        <v>2847.8571428571449</v>
      </c>
      <c r="AF651" s="76">
        <f t="shared" si="114"/>
        <v>-3421.1607142857138</v>
      </c>
      <c r="AG651" s="76">
        <f t="shared" si="115"/>
        <v>-4085.0910240202284</v>
      </c>
      <c r="AO651" s="5">
        <f t="shared" si="120"/>
        <v>-7.8356628547225204E-3</v>
      </c>
      <c r="AP651" s="5">
        <f t="shared" si="116"/>
        <v>0.37018849126402092</v>
      </c>
      <c r="AR651" s="5">
        <f t="shared" si="117"/>
        <v>1.2113498228456088E-2</v>
      </c>
      <c r="AS651" s="5">
        <f t="shared" si="118"/>
        <v>3.018409563652158E-2</v>
      </c>
      <c r="AT651" s="5">
        <f t="shared" si="119"/>
        <v>3.7669327892107141E-2</v>
      </c>
    </row>
    <row r="652" spans="12:46" x14ac:dyDescent="0.25">
      <c r="L652" s="4">
        <v>44596.5</v>
      </c>
      <c r="M652">
        <v>94.89</v>
      </c>
      <c r="N652">
        <v>97.5</v>
      </c>
      <c r="O652">
        <v>94.44</v>
      </c>
      <c r="P652">
        <v>96.43</v>
      </c>
      <c r="Q652">
        <v>27888</v>
      </c>
      <c r="R652">
        <v>434582</v>
      </c>
      <c r="S652">
        <v>81.47</v>
      </c>
      <c r="T652">
        <v>82.652000000000001</v>
      </c>
      <c r="U652">
        <v>81.47</v>
      </c>
      <c r="V652">
        <v>82.652000000000001</v>
      </c>
      <c r="W652">
        <v>101</v>
      </c>
      <c r="X652">
        <v>3.2466843501326281E-2</v>
      </c>
      <c r="Y652">
        <v>-0.48408783880277878</v>
      </c>
      <c r="Z652">
        <v>-6.7764052374208697E-2</v>
      </c>
      <c r="AB652" s="3">
        <f t="shared" si="110"/>
        <v>-1.4593948470558275E-2</v>
      </c>
      <c r="AC652" s="3">
        <f t="shared" si="111"/>
        <v>-4.0373563263989692E-3</v>
      </c>
      <c r="AD652" s="3">
        <f t="shared" si="112"/>
        <v>-9.1862997996172702E-4</v>
      </c>
      <c r="AE652" s="76">
        <f t="shared" si="113"/>
        <v>124</v>
      </c>
      <c r="AF652" s="76">
        <f t="shared" si="114"/>
        <v>-4084.8630952380954</v>
      </c>
      <c r="AG652" s="76">
        <f t="shared" si="115"/>
        <v>-4524.3013063632534</v>
      </c>
      <c r="AO652" s="5">
        <f t="shared" si="120"/>
        <v>1.4393125671321198E-2</v>
      </c>
      <c r="AP652" s="5">
        <f t="shared" si="116"/>
        <v>0.37119923488381046</v>
      </c>
      <c r="AR652" s="5">
        <f t="shared" si="117"/>
        <v>1.3083959105003318E-2</v>
      </c>
      <c r="AS652" s="5">
        <f t="shared" si="118"/>
        <v>3.0693239272184758E-2</v>
      </c>
      <c r="AT652" s="5">
        <f t="shared" si="119"/>
        <v>3.7905968249485222E-2</v>
      </c>
    </row>
    <row r="653" spans="12:46" x14ac:dyDescent="0.25">
      <c r="L653" s="4">
        <v>44595.5</v>
      </c>
      <c r="M653">
        <v>94.25</v>
      </c>
      <c r="N653">
        <v>94.94</v>
      </c>
      <c r="O653">
        <v>93.1</v>
      </c>
      <c r="P653">
        <v>94.49</v>
      </c>
      <c r="Q653">
        <v>22092</v>
      </c>
      <c r="R653">
        <v>434287</v>
      </c>
      <c r="S653">
        <v>79.599999999999994</v>
      </c>
      <c r="T653">
        <v>80.222999999999999</v>
      </c>
      <c r="U653">
        <v>77.010000000000005</v>
      </c>
      <c r="V653">
        <v>80.222999999999999</v>
      </c>
      <c r="W653">
        <v>334</v>
      </c>
      <c r="X653">
        <v>2.0444444444444484E-2</v>
      </c>
      <c r="Y653">
        <v>-0.99973432839187693</v>
      </c>
      <c r="Z653">
        <v>-0.49477346425284585</v>
      </c>
      <c r="AB653" s="3">
        <f t="shared" si="110"/>
        <v>-1.6679976911851468E-2</v>
      </c>
      <c r="AC653" s="3">
        <f t="shared" si="111"/>
        <v>-4.7891055520725145E-3</v>
      </c>
      <c r="AD653" s="3">
        <f t="shared" si="112"/>
        <v>-1.1902758718846315E-3</v>
      </c>
      <c r="AE653" s="76">
        <f t="shared" si="113"/>
        <v>-2958.2857142857138</v>
      </c>
      <c r="AF653" s="76">
        <f t="shared" si="114"/>
        <v>-5131.8154761904771</v>
      </c>
      <c r="AG653" s="76">
        <f t="shared" si="115"/>
        <v>-5353.3105773282768</v>
      </c>
      <c r="AO653" s="5">
        <f t="shared" si="120"/>
        <v>3.90625E-2</v>
      </c>
      <c r="AP653" s="5">
        <f t="shared" si="116"/>
        <v>0.37128792273630906</v>
      </c>
      <c r="AR653" s="5">
        <f t="shared" si="117"/>
        <v>1.4320478438950401E-2</v>
      </c>
      <c r="AS653" s="5">
        <f t="shared" si="118"/>
        <v>3.1179202989446098E-2</v>
      </c>
      <c r="AT653" s="5">
        <f t="shared" si="119"/>
        <v>3.8098615243540968E-2</v>
      </c>
    </row>
    <row r="654" spans="12:46" x14ac:dyDescent="0.25">
      <c r="L654" s="4">
        <v>44594.5</v>
      </c>
      <c r="M654">
        <v>90</v>
      </c>
      <c r="N654">
        <v>94.62</v>
      </c>
      <c r="O654">
        <v>89.6</v>
      </c>
      <c r="P654">
        <v>94.38</v>
      </c>
      <c r="Q654">
        <v>40361</v>
      </c>
      <c r="R654">
        <v>433223</v>
      </c>
      <c r="S654">
        <v>77.150000000000006</v>
      </c>
      <c r="T654">
        <v>79.099999999999994</v>
      </c>
      <c r="U654">
        <v>76.290000000000006</v>
      </c>
      <c r="V654">
        <v>77.350999999999999</v>
      </c>
      <c r="W654">
        <v>379</v>
      </c>
      <c r="X654">
        <v>5.5939380432360269E-2</v>
      </c>
      <c r="Y654">
        <v>0.51189309024094987</v>
      </c>
      <c r="Z654">
        <v>0.77374916298580632</v>
      </c>
      <c r="AB654" s="3">
        <f t="shared" si="110"/>
        <v>-1.6062956103155966E-2</v>
      </c>
      <c r="AC654" s="3">
        <f t="shared" si="111"/>
        <v>-4.5235873740937863E-3</v>
      </c>
      <c r="AD654" s="3">
        <f t="shared" si="112"/>
        <v>-1.5369130429855604E-4</v>
      </c>
      <c r="AE654" s="76">
        <f t="shared" si="113"/>
        <v>-4220.8571428571413</v>
      </c>
      <c r="AF654" s="76">
        <f t="shared" si="114"/>
        <v>-5692.0357142857138</v>
      </c>
      <c r="AG654" s="76">
        <f t="shared" si="115"/>
        <v>-5457.7774968394406</v>
      </c>
      <c r="AO654" s="5">
        <f t="shared" si="120"/>
        <v>2.7994492886645225E-2</v>
      </c>
      <c r="AP654" s="5">
        <f t="shared" si="116"/>
        <v>0.37263005529453047</v>
      </c>
      <c r="AR654" s="5">
        <f t="shared" si="117"/>
        <v>1.5713106211317496E-2</v>
      </c>
      <c r="AS654" s="5">
        <f t="shared" si="118"/>
        <v>3.1682659820343462E-2</v>
      </c>
      <c r="AT654" s="5">
        <f t="shared" si="119"/>
        <v>3.8337586978803462E-2</v>
      </c>
    </row>
    <row r="655" spans="12:46" x14ac:dyDescent="0.25">
      <c r="L655" s="4">
        <v>44593.5</v>
      </c>
      <c r="M655">
        <v>89.74</v>
      </c>
      <c r="N655">
        <v>89.94</v>
      </c>
      <c r="O655">
        <v>87.16</v>
      </c>
      <c r="P655">
        <v>89.93</v>
      </c>
      <c r="Q655">
        <v>22349</v>
      </c>
      <c r="R655">
        <v>432151</v>
      </c>
      <c r="S655">
        <v>78.3</v>
      </c>
      <c r="T655">
        <v>78.38</v>
      </c>
      <c r="U655">
        <v>74.8</v>
      </c>
      <c r="V655">
        <v>76.167000000000002</v>
      </c>
      <c r="W655">
        <v>480</v>
      </c>
      <c r="X655">
        <v>3.1106635336242597E-2</v>
      </c>
      <c r="Y655">
        <v>-0.5370609737107781</v>
      </c>
      <c r="Z655">
        <v>-0.47519721418397576</v>
      </c>
      <c r="AB655" s="3">
        <f t="shared" si="110"/>
        <v>-1.7284088375856398E-2</v>
      </c>
      <c r="AC655" s="3">
        <f t="shared" si="111"/>
        <v>-5.441504741505461E-3</v>
      </c>
      <c r="AD655" s="3">
        <f t="shared" si="112"/>
        <v>-9.2328154736971008E-4</v>
      </c>
      <c r="AE655" s="76">
        <f t="shared" si="113"/>
        <v>-5942</v>
      </c>
      <c r="AF655" s="76">
        <f t="shared" si="114"/>
        <v>-7021.6130952380954</v>
      </c>
      <c r="AG655" s="76">
        <f t="shared" si="115"/>
        <v>-6582.8828487147075</v>
      </c>
      <c r="AO655" s="5">
        <f t="shared" si="120"/>
        <v>-1.0669693530079429E-2</v>
      </c>
      <c r="AP655" s="5">
        <f t="shared" si="116"/>
        <v>0.37512781198351564</v>
      </c>
      <c r="AR655" s="5">
        <f t="shared" si="117"/>
        <v>1.7152417690611099E-2</v>
      </c>
      <c r="AS655" s="5">
        <f t="shared" si="118"/>
        <v>3.2190979651589791E-2</v>
      </c>
      <c r="AT655" s="5">
        <f t="shared" si="119"/>
        <v>3.8497912478085095E-2</v>
      </c>
    </row>
    <row r="656" spans="12:46" x14ac:dyDescent="0.25">
      <c r="L656" s="4">
        <v>44592.5</v>
      </c>
      <c r="M656">
        <v>89.37</v>
      </c>
      <c r="N656">
        <v>89.95</v>
      </c>
      <c r="O656">
        <v>88.1</v>
      </c>
      <c r="P656">
        <v>89.72</v>
      </c>
      <c r="Q656">
        <v>17720</v>
      </c>
      <c r="R656">
        <v>432593</v>
      </c>
      <c r="S656">
        <v>84.85</v>
      </c>
      <c r="T656">
        <v>84.85</v>
      </c>
      <c r="U656">
        <v>84.671999999999997</v>
      </c>
      <c r="V656">
        <v>84.671999999999997</v>
      </c>
      <c r="W656">
        <v>1</v>
      </c>
      <c r="X656">
        <v>2.0693512304250653E-2</v>
      </c>
      <c r="Y656">
        <v>-0.99813691703301399</v>
      </c>
      <c r="Z656">
        <v>-0.80741288123064525</v>
      </c>
      <c r="AB656" s="3">
        <f t="shared" si="110"/>
        <v>-1.4796939017741151E-2</v>
      </c>
      <c r="AC656" s="3">
        <f t="shared" si="111"/>
        <v>-4.2781217778073005E-3</v>
      </c>
      <c r="AD656" s="3">
        <f t="shared" si="112"/>
        <v>6.1718996991580455E-4</v>
      </c>
      <c r="AE656" s="76">
        <f t="shared" si="113"/>
        <v>-7223.3809523809541</v>
      </c>
      <c r="AF656" s="76">
        <f t="shared" si="114"/>
        <v>-7946.2797619047633</v>
      </c>
      <c r="AG656" s="76">
        <f t="shared" si="115"/>
        <v>-7307.9692372524223</v>
      </c>
      <c r="AO656" s="5">
        <f t="shared" si="120"/>
        <v>-8.7758775877587892E-3</v>
      </c>
      <c r="AP656" s="5">
        <f t="shared" si="116"/>
        <v>0.37496170111978738</v>
      </c>
      <c r="AR656" s="5">
        <f t="shared" si="117"/>
        <v>1.818678344143404E-2</v>
      </c>
      <c r="AS656" s="5">
        <f t="shared" si="118"/>
        <v>3.2401998619967287E-2</v>
      </c>
      <c r="AT656" s="5">
        <f t="shared" si="119"/>
        <v>3.8376062153512414E-2</v>
      </c>
    </row>
    <row r="657" spans="12:46" x14ac:dyDescent="0.25">
      <c r="L657" s="4">
        <v>44589.5</v>
      </c>
      <c r="M657">
        <v>89.4</v>
      </c>
      <c r="N657">
        <v>90.63</v>
      </c>
      <c r="O657">
        <v>88.88</v>
      </c>
      <c r="P657">
        <v>89.39</v>
      </c>
      <c r="Q657">
        <v>19657</v>
      </c>
      <c r="R657">
        <v>432330</v>
      </c>
      <c r="S657">
        <v>92.061999999999998</v>
      </c>
      <c r="T657">
        <v>92.061999999999998</v>
      </c>
      <c r="U657">
        <v>92.061999999999998</v>
      </c>
      <c r="V657">
        <v>92.061999999999998</v>
      </c>
      <c r="W657">
        <v>55</v>
      </c>
      <c r="X657">
        <v>1.9908987485779295E-2</v>
      </c>
      <c r="Y657">
        <v>-1.0631843518158486</v>
      </c>
      <c r="Z657">
        <v>-0.68265212064726088</v>
      </c>
      <c r="AB657" s="3">
        <f t="shared" si="110"/>
        <v>-1.6212784811861405E-2</v>
      </c>
      <c r="AC657" s="3">
        <f t="shared" si="111"/>
        <v>-4.6954946864783062E-3</v>
      </c>
      <c r="AD657" s="3">
        <f t="shared" si="112"/>
        <v>6.524364052656953E-4</v>
      </c>
      <c r="AE657" s="76">
        <f t="shared" si="113"/>
        <v>-10494.142857142859</v>
      </c>
      <c r="AF657" s="76">
        <f t="shared" si="114"/>
        <v>-9184.3928571428551</v>
      </c>
      <c r="AG657" s="76">
        <f t="shared" si="115"/>
        <v>-8159.6839443742101</v>
      </c>
      <c r="AO657" s="5">
        <f t="shared" si="120"/>
        <v>1.1149032992036288E-2</v>
      </c>
      <c r="AP657" s="5">
        <f t="shared" si="116"/>
        <v>0.37502835779436328</v>
      </c>
      <c r="AR657" s="5">
        <f t="shared" si="117"/>
        <v>1.9295574763910195E-2</v>
      </c>
      <c r="AS657" s="5">
        <f t="shared" si="118"/>
        <v>3.2654671277132508E-2</v>
      </c>
      <c r="AT657" s="5">
        <f t="shared" si="119"/>
        <v>3.82817782702774E-2</v>
      </c>
    </row>
    <row r="658" spans="12:46" x14ac:dyDescent="0.25">
      <c r="L658" s="4">
        <v>44588.5</v>
      </c>
      <c r="M658">
        <v>87.9</v>
      </c>
      <c r="N658">
        <v>89.95</v>
      </c>
      <c r="O658">
        <v>87.9</v>
      </c>
      <c r="P658">
        <v>89.4</v>
      </c>
      <c r="Q658">
        <v>21715</v>
      </c>
      <c r="R658">
        <v>432005</v>
      </c>
      <c r="S658">
        <v>92.25</v>
      </c>
      <c r="T658">
        <v>92.9</v>
      </c>
      <c r="U658">
        <v>90.31</v>
      </c>
      <c r="V658">
        <v>92.301000000000002</v>
      </c>
      <c r="W658">
        <v>327</v>
      </c>
      <c r="X658">
        <v>2.3463431383770141E-2</v>
      </c>
      <c r="Y658">
        <v>-0.91503417738343451</v>
      </c>
      <c r="Z658">
        <v>-0.541091135731391</v>
      </c>
      <c r="AB658" s="3">
        <f t="shared" si="110"/>
        <v>-1.7540623444407488E-2</v>
      </c>
      <c r="AC658" s="3">
        <f t="shared" si="111"/>
        <v>-5.0874106783094925E-3</v>
      </c>
      <c r="AD658" s="3">
        <f t="shared" si="112"/>
        <v>2.092633235361574E-4</v>
      </c>
      <c r="AE658" s="76">
        <f t="shared" si="113"/>
        <v>-12767.047619047622</v>
      </c>
      <c r="AF658" s="76">
        <f t="shared" si="114"/>
        <v>-10071.672619047618</v>
      </c>
      <c r="AG658" s="76">
        <f t="shared" si="115"/>
        <v>-8842.4256215760652</v>
      </c>
      <c r="AO658" s="5">
        <f t="shared" si="120"/>
        <v>1.4660048482050218E-2</v>
      </c>
      <c r="AP658" s="5">
        <f t="shared" si="116"/>
        <v>0.37497940601422941</v>
      </c>
      <c r="AR658" s="5">
        <f t="shared" si="117"/>
        <v>2.0402219663463339E-2</v>
      </c>
      <c r="AS658" s="5">
        <f t="shared" si="118"/>
        <v>3.2895493516742758E-2</v>
      </c>
      <c r="AT658" s="5">
        <f t="shared" si="119"/>
        <v>3.8207142105302905E-2</v>
      </c>
    </row>
    <row r="659" spans="12:46" x14ac:dyDescent="0.25">
      <c r="L659" s="4">
        <v>44587.5</v>
      </c>
      <c r="M659">
        <v>87.37</v>
      </c>
      <c r="N659">
        <v>90</v>
      </c>
      <c r="O659">
        <v>86.63</v>
      </c>
      <c r="P659">
        <v>88.81</v>
      </c>
      <c r="Q659">
        <v>28002</v>
      </c>
      <c r="R659">
        <v>429841</v>
      </c>
      <c r="S659">
        <v>89.394999999999996</v>
      </c>
      <c r="T659">
        <v>92.444999999999993</v>
      </c>
      <c r="U659">
        <v>89.394999999999996</v>
      </c>
      <c r="V659">
        <v>91.837000000000003</v>
      </c>
      <c r="W659">
        <v>65</v>
      </c>
      <c r="X659">
        <v>3.9976275207591991E-2</v>
      </c>
      <c r="Y659">
        <v>-0.20382622843921233</v>
      </c>
      <c r="Z659">
        <v>-0.10246389400457859</v>
      </c>
      <c r="AB659" s="3">
        <f t="shared" si="110"/>
        <v>-1.6763887263345496E-2</v>
      </c>
      <c r="AC659" s="3">
        <f t="shared" si="111"/>
        <v>-4.1622520857082096E-3</v>
      </c>
      <c r="AD659" s="3">
        <f t="shared" si="112"/>
        <v>9.5467765334764781E-4</v>
      </c>
      <c r="AE659" s="76">
        <f t="shared" si="113"/>
        <v>-13977.238095238095</v>
      </c>
      <c r="AF659" s="76">
        <f t="shared" si="114"/>
        <v>-10551.97023809524</v>
      </c>
      <c r="AG659" s="76">
        <f t="shared" si="115"/>
        <v>-9269.4188790560474</v>
      </c>
      <c r="AO659" s="5">
        <f t="shared" si="120"/>
        <v>3.6120081329984406E-2</v>
      </c>
      <c r="AP659" s="5">
        <f t="shared" si="116"/>
        <v>0.37519656908194476</v>
      </c>
      <c r="AR659" s="5">
        <f t="shared" si="117"/>
        <v>2.1534441688388084E-2</v>
      </c>
      <c r="AS659" s="5">
        <f t="shared" si="118"/>
        <v>3.3130260411245338E-2</v>
      </c>
      <c r="AT659" s="5">
        <f t="shared" si="119"/>
        <v>3.8121993992872694E-2</v>
      </c>
    </row>
    <row r="660" spans="12:46" x14ac:dyDescent="0.25">
      <c r="L660" s="4">
        <v>44586.5</v>
      </c>
      <c r="M660">
        <v>84.3</v>
      </c>
      <c r="N660">
        <v>88.1</v>
      </c>
      <c r="O660">
        <v>83.61</v>
      </c>
      <c r="P660">
        <v>87.4</v>
      </c>
      <c r="Q660">
        <v>28175</v>
      </c>
      <c r="R660">
        <v>428910</v>
      </c>
      <c r="S660">
        <v>92.385000000000005</v>
      </c>
      <c r="T660">
        <v>95.51</v>
      </c>
      <c r="U660">
        <v>92.385000000000005</v>
      </c>
      <c r="V660">
        <v>93.581999999999994</v>
      </c>
      <c r="W660">
        <v>49</v>
      </c>
      <c r="X660">
        <v>5.319905213270136E-2</v>
      </c>
      <c r="Y660">
        <v>0.38001941753787544</v>
      </c>
      <c r="Z660">
        <v>-8.3963348533160273E-2</v>
      </c>
      <c r="AB660" s="3">
        <f t="shared" si="110"/>
        <v>-1.5739418592945816E-2</v>
      </c>
      <c r="AC660" s="3">
        <f t="shared" si="111"/>
        <v>-3.7184817832172784E-3</v>
      </c>
      <c r="AD660" s="3">
        <f t="shared" si="112"/>
        <v>1.2537485098026296E-3</v>
      </c>
      <c r="AE660" s="76">
        <f t="shared" si="113"/>
        <v>-16346</v>
      </c>
      <c r="AF660" s="76">
        <f t="shared" si="114"/>
        <v>-12016.089285714286</v>
      </c>
      <c r="AG660" s="76">
        <f t="shared" si="115"/>
        <v>-10632.030341340076</v>
      </c>
      <c r="AO660" s="5">
        <f t="shared" si="120"/>
        <v>7.1067212719826958E-3</v>
      </c>
      <c r="AP660" s="5">
        <f t="shared" si="116"/>
        <v>0.37448303632411001</v>
      </c>
      <c r="AR660" s="5">
        <f t="shared" si="117"/>
        <v>2.2636841488850534E-2</v>
      </c>
      <c r="AS660" s="5">
        <f t="shared" si="118"/>
        <v>3.3355224434780673E-2</v>
      </c>
      <c r="AT660" s="5">
        <f t="shared" si="119"/>
        <v>3.802236382095403E-2</v>
      </c>
    </row>
    <row r="661" spans="12:46" x14ac:dyDescent="0.25">
      <c r="L661" s="4">
        <v>44585.5</v>
      </c>
      <c r="M661">
        <v>84.4</v>
      </c>
      <c r="N661">
        <v>86.45</v>
      </c>
      <c r="O661">
        <v>83.02</v>
      </c>
      <c r="P661">
        <v>83.59</v>
      </c>
      <c r="Q661">
        <v>26649</v>
      </c>
      <c r="R661">
        <v>427051</v>
      </c>
      <c r="S661">
        <v>88.605000000000004</v>
      </c>
      <c r="T661">
        <v>93.6</v>
      </c>
      <c r="U661">
        <v>88.605000000000004</v>
      </c>
      <c r="V661">
        <v>93</v>
      </c>
      <c r="W661">
        <v>66</v>
      </c>
      <c r="X661">
        <v>4.025349137425193E-2</v>
      </c>
      <c r="Y661">
        <v>-0.15922629286728096</v>
      </c>
      <c r="Z661">
        <v>-0.18034118422860629</v>
      </c>
      <c r="AB661" s="3">
        <f t="shared" si="110"/>
        <v>-1.8131850424315171E-2</v>
      </c>
      <c r="AC661" s="3">
        <f t="shared" si="111"/>
        <v>-5.2903375316139326E-3</v>
      </c>
      <c r="AD661" s="3">
        <f t="shared" si="112"/>
        <v>6.2335202416829993E-5</v>
      </c>
      <c r="AE661" s="76">
        <f t="shared" si="113"/>
        <v>-19236.857142857141</v>
      </c>
      <c r="AF661" s="76">
        <f t="shared" si="114"/>
        <v>-13652.017857142859</v>
      </c>
      <c r="AG661" s="76">
        <f t="shared" si="115"/>
        <v>-12013.691529709231</v>
      </c>
      <c r="AO661" s="5">
        <f t="shared" si="120"/>
        <v>-3.1219980787704745E-3</v>
      </c>
      <c r="AP661" s="5">
        <f t="shared" si="116"/>
        <v>0.37465684223416462</v>
      </c>
      <c r="AR661" s="5">
        <f t="shared" si="117"/>
        <v>2.387368815115265E-2</v>
      </c>
      <c r="AS661" s="5">
        <f t="shared" si="118"/>
        <v>3.359718996221478E-2</v>
      </c>
      <c r="AT661" s="5">
        <f t="shared" si="119"/>
        <v>3.7946803650829308E-2</v>
      </c>
    </row>
    <row r="662" spans="12:46" x14ac:dyDescent="0.25">
      <c r="L662" s="4">
        <v>44582.5</v>
      </c>
      <c r="M662">
        <v>85.21</v>
      </c>
      <c r="N662">
        <v>85.65</v>
      </c>
      <c r="O662">
        <v>83.28</v>
      </c>
      <c r="P662">
        <v>84.52</v>
      </c>
      <c r="Q662">
        <v>20159</v>
      </c>
      <c r="R662">
        <v>425828</v>
      </c>
      <c r="S662">
        <v>74.765000000000001</v>
      </c>
      <c r="T662">
        <v>81.814999999999998</v>
      </c>
      <c r="U662">
        <v>74.765000000000001</v>
      </c>
      <c r="V662">
        <v>78.98</v>
      </c>
      <c r="W662">
        <v>50</v>
      </c>
      <c r="X662">
        <v>2.9136955987214216E-2</v>
      </c>
      <c r="Y662">
        <v>-0.61977630819726248</v>
      </c>
      <c r="Z662">
        <v>-0.62762609629676158</v>
      </c>
      <c r="AB662" s="3">
        <f t="shared" si="110"/>
        <v>-1.9162338712901843E-2</v>
      </c>
      <c r="AC662" s="3">
        <f t="shared" si="111"/>
        <v>-6.0341120364140188E-3</v>
      </c>
      <c r="AD662" s="3">
        <f t="shared" si="112"/>
        <v>-4.8428435361724115E-4</v>
      </c>
      <c r="AE662" s="76">
        <f t="shared" si="113"/>
        <v>-21808.142857142855</v>
      </c>
      <c r="AF662" s="76">
        <f t="shared" si="114"/>
        <v>-15642.904761904763</v>
      </c>
      <c r="AG662" s="76">
        <f t="shared" si="115"/>
        <v>-13496.353560893382</v>
      </c>
      <c r="AO662" s="5">
        <f t="shared" si="120"/>
        <v>3.4148764435614057E-2</v>
      </c>
      <c r="AP662" s="5">
        <f t="shared" si="116"/>
        <v>0.37499295006082556</v>
      </c>
      <c r="AR662" s="5">
        <f t="shared" si="117"/>
        <v>2.515895340015728E-2</v>
      </c>
      <c r="AS662" s="5">
        <f t="shared" si="118"/>
        <v>3.3822540356332365E-2</v>
      </c>
      <c r="AT662" s="5">
        <f t="shared" si="119"/>
        <v>3.787012129057421E-2</v>
      </c>
    </row>
    <row r="663" spans="12:46" x14ac:dyDescent="0.25">
      <c r="L663" s="4">
        <v>44581.5</v>
      </c>
      <c r="M663">
        <v>81.34</v>
      </c>
      <c r="N663">
        <v>85.97</v>
      </c>
      <c r="O663">
        <v>80.53</v>
      </c>
      <c r="P663">
        <v>85.71</v>
      </c>
      <c r="Q663">
        <v>31229</v>
      </c>
      <c r="R663">
        <v>425997</v>
      </c>
      <c r="S663">
        <v>71</v>
      </c>
      <c r="T663">
        <v>75.59</v>
      </c>
      <c r="U663">
        <v>71</v>
      </c>
      <c r="V663">
        <v>75.203000000000003</v>
      </c>
      <c r="W663">
        <v>51</v>
      </c>
      <c r="X663">
        <v>6.5700483091787415E-2</v>
      </c>
      <c r="Y663">
        <v>0.93580848876032119</v>
      </c>
      <c r="Z663">
        <v>0.13368881219854298</v>
      </c>
      <c r="AB663" s="3">
        <f t="shared" si="110"/>
        <v>-1.9290389251458574E-2</v>
      </c>
      <c r="AC663" s="3">
        <f t="shared" si="111"/>
        <v>-6.2877082166116968E-3</v>
      </c>
      <c r="AD663" s="3">
        <f t="shared" si="112"/>
        <v>2.6187984185384316E-4</v>
      </c>
      <c r="AE663" s="76">
        <f t="shared" si="113"/>
        <v>-22778.380952380954</v>
      </c>
      <c r="AF663" s="76">
        <f t="shared" si="114"/>
        <v>-16633.005952380954</v>
      </c>
      <c r="AG663" s="76">
        <f t="shared" si="115"/>
        <v>-13588.230509903078</v>
      </c>
      <c r="AO663" s="5">
        <f t="shared" si="120"/>
        <v>-3.3415841584157925E-3</v>
      </c>
      <c r="AP663" s="5">
        <f t="shared" si="116"/>
        <v>0.37469491850887932</v>
      </c>
      <c r="AR663" s="5">
        <f t="shared" si="117"/>
        <v>2.6545878947817847E-2</v>
      </c>
      <c r="AS663" s="5">
        <f t="shared" si="118"/>
        <v>3.404050893027688E-2</v>
      </c>
      <c r="AT663" s="5">
        <f t="shared" si="119"/>
        <v>3.7785581239303423E-2</v>
      </c>
    </row>
    <row r="664" spans="12:46" x14ac:dyDescent="0.25">
      <c r="L664" s="4">
        <v>44580.5</v>
      </c>
      <c r="M664">
        <v>82.8</v>
      </c>
      <c r="N664">
        <v>82.8</v>
      </c>
      <c r="O664">
        <v>80.8</v>
      </c>
      <c r="P664">
        <v>81.7</v>
      </c>
      <c r="Q664">
        <v>31779</v>
      </c>
      <c r="R664">
        <v>424064</v>
      </c>
      <c r="S664">
        <v>73.95</v>
      </c>
      <c r="T664">
        <v>76.5</v>
      </c>
      <c r="U664">
        <v>71.42</v>
      </c>
      <c r="V664">
        <v>75.602000000000004</v>
      </c>
      <c r="W664">
        <v>47</v>
      </c>
      <c r="X664">
        <v>2.4875621890547261E-2</v>
      </c>
      <c r="Y664">
        <v>-0.79908411110136646</v>
      </c>
      <c r="Z664">
        <v>0.16981308031561401</v>
      </c>
      <c r="AB664" s="3">
        <f t="shared" si="110"/>
        <v>-1.8123961877082179E-2</v>
      </c>
      <c r="AC664" s="3">
        <f t="shared" si="111"/>
        <v>-6.0828507369278043E-3</v>
      </c>
      <c r="AD664" s="3">
        <f t="shared" si="112"/>
        <v>2.1408420969672159E-4</v>
      </c>
      <c r="AE664" s="76">
        <f t="shared" si="113"/>
        <v>-22809.619047619046</v>
      </c>
      <c r="AF664" s="76">
        <f t="shared" si="114"/>
        <v>-16891.196428571428</v>
      </c>
      <c r="AG664" s="76">
        <f t="shared" si="115"/>
        <v>-13475.623261694058</v>
      </c>
      <c r="AO664" s="5">
        <f t="shared" si="120"/>
        <v>2.2784810126582244E-2</v>
      </c>
      <c r="AP664" s="5">
        <f t="shared" si="116"/>
        <v>0.37470115981292229</v>
      </c>
      <c r="AR664" s="5">
        <f t="shared" si="117"/>
        <v>2.792792620966883E-2</v>
      </c>
      <c r="AS664" s="5">
        <f t="shared" si="118"/>
        <v>3.4441522403373892E-2</v>
      </c>
      <c r="AT664" s="5">
        <f t="shared" si="119"/>
        <v>3.7717862062593477E-2</v>
      </c>
    </row>
    <row r="665" spans="12:46" x14ac:dyDescent="0.25">
      <c r="L665" s="4">
        <v>44579.5</v>
      </c>
      <c r="M665">
        <v>80.400000000000006</v>
      </c>
      <c r="N665">
        <v>82.97</v>
      </c>
      <c r="O665">
        <v>79</v>
      </c>
      <c r="P665">
        <v>82.87</v>
      </c>
      <c r="Q665">
        <v>46231</v>
      </c>
      <c r="R665">
        <v>436081</v>
      </c>
      <c r="S665">
        <v>83.275000000000006</v>
      </c>
      <c r="T665">
        <v>84.6</v>
      </c>
      <c r="U665">
        <v>74.89</v>
      </c>
      <c r="V665">
        <v>78.334000000000003</v>
      </c>
      <c r="W665">
        <v>129</v>
      </c>
      <c r="X665">
        <v>4.8004836759371207E-2</v>
      </c>
      <c r="Y665">
        <v>0.17355882183645766</v>
      </c>
      <c r="Z665">
        <v>1.1478913191198172</v>
      </c>
      <c r="AB665" s="3">
        <f t="shared" si="110"/>
        <v>-1.4439551558356092E-2</v>
      </c>
      <c r="AC665" s="3">
        <f t="shared" si="111"/>
        <v>-3.6221305517960753E-3</v>
      </c>
      <c r="AD665" s="3">
        <f t="shared" si="112"/>
        <v>2.4344327552734205E-3</v>
      </c>
      <c r="AE665" s="76">
        <f t="shared" si="113"/>
        <v>-24191.047619047618</v>
      </c>
      <c r="AF665" s="76">
        <f t="shared" si="114"/>
        <v>-17818.827380952382</v>
      </c>
      <c r="AG665" s="76">
        <f t="shared" si="115"/>
        <v>-14210.058575642648</v>
      </c>
      <c r="AO665" s="5">
        <f t="shared" si="120"/>
        <v>-1.1016524787180714E-2</v>
      </c>
      <c r="AP665" s="5">
        <f t="shared" si="116"/>
        <v>0.3751650750070451</v>
      </c>
      <c r="AR665" s="5">
        <f t="shared" si="117"/>
        <v>2.9157449063587748E-2</v>
      </c>
      <c r="AS665" s="5">
        <f t="shared" si="118"/>
        <v>3.4744889117756306E-2</v>
      </c>
      <c r="AT665" s="5">
        <f t="shared" si="119"/>
        <v>3.7554932983608513E-2</v>
      </c>
    </row>
    <row r="666" spans="12:46" x14ac:dyDescent="0.25">
      <c r="L666" s="4">
        <v>44578.5</v>
      </c>
      <c r="M666">
        <v>82.7</v>
      </c>
      <c r="N666">
        <v>82.75</v>
      </c>
      <c r="O666">
        <v>79.88</v>
      </c>
      <c r="P666">
        <v>80.11</v>
      </c>
      <c r="Q666">
        <v>15802</v>
      </c>
      <c r="R666">
        <v>446745</v>
      </c>
      <c r="S666">
        <v>89</v>
      </c>
      <c r="T666">
        <v>91.8</v>
      </c>
      <c r="U666">
        <v>85.7</v>
      </c>
      <c r="V666">
        <v>86.97</v>
      </c>
      <c r="W666">
        <v>0</v>
      </c>
      <c r="X666">
        <v>3.4978671541742896E-2</v>
      </c>
      <c r="Y666">
        <v>-0.40022348244321693</v>
      </c>
      <c r="Z666">
        <v>-0.94588478581814739</v>
      </c>
      <c r="AB666" s="3">
        <f t="shared" si="110"/>
        <v>-8.4675465497289631E-3</v>
      </c>
      <c r="AC666" s="3">
        <f t="shared" si="111"/>
        <v>-3.9091360713897072E-4</v>
      </c>
      <c r="AD666" s="3">
        <f t="shared" si="112"/>
        <v>4.9252828322126074E-3</v>
      </c>
      <c r="AE666" s="76">
        <f t="shared" si="113"/>
        <v>-26365.571428571428</v>
      </c>
      <c r="AF666" s="76">
        <f t="shared" si="114"/>
        <v>-19599.41071428571</v>
      </c>
      <c r="AG666" s="76">
        <f t="shared" si="115"/>
        <v>-15952.173198482933</v>
      </c>
      <c r="AO666" s="5">
        <f t="shared" si="120"/>
        <v>-1.987730061349699E-2</v>
      </c>
      <c r="AP666" s="5">
        <f t="shared" si="116"/>
        <v>0.37499761520733677</v>
      </c>
      <c r="AR666" s="5">
        <f t="shared" si="117"/>
        <v>2.9780502766016403E-2</v>
      </c>
      <c r="AS666" s="5">
        <f t="shared" si="118"/>
        <v>3.4661008394698933E-2</v>
      </c>
      <c r="AT666" s="5">
        <f t="shared" si="119"/>
        <v>3.7053040900941858E-2</v>
      </c>
    </row>
    <row r="667" spans="12:46" x14ac:dyDescent="0.25">
      <c r="L667" s="4">
        <v>44575.5</v>
      </c>
      <c r="M667">
        <v>82.05</v>
      </c>
      <c r="N667">
        <v>83.75</v>
      </c>
      <c r="O667">
        <v>81.5</v>
      </c>
      <c r="P667">
        <v>82.4</v>
      </c>
      <c r="Q667">
        <v>24949</v>
      </c>
      <c r="R667">
        <v>446199</v>
      </c>
      <c r="S667">
        <v>89</v>
      </c>
      <c r="T667">
        <v>91.8</v>
      </c>
      <c r="U667">
        <v>85.7</v>
      </c>
      <c r="V667">
        <v>86.97</v>
      </c>
      <c r="W667">
        <v>120</v>
      </c>
      <c r="X667">
        <v>2.8054862842892766E-2</v>
      </c>
      <c r="Y667">
        <v>-0.6987509693631111</v>
      </c>
      <c r="Z667">
        <v>-0.32408500444797728</v>
      </c>
      <c r="AB667" s="3">
        <f t="shared" si="110"/>
        <v>1.7905564137190785E-3</v>
      </c>
      <c r="AC667" s="3">
        <f t="shared" si="111"/>
        <v>6.8458617185861784E-3</v>
      </c>
      <c r="AD667" s="3">
        <f t="shared" si="112"/>
        <v>1.1248407445390726E-2</v>
      </c>
      <c r="AE667" s="76">
        <f t="shared" si="113"/>
        <v>-24782.952380952382</v>
      </c>
      <c r="AF667" s="76">
        <f t="shared" si="114"/>
        <v>-18591.386904761901</v>
      </c>
      <c r="AG667" s="76">
        <f t="shared" si="115"/>
        <v>-14667.05646860514</v>
      </c>
      <c r="AO667" s="5">
        <f t="shared" si="120"/>
        <v>5.09348807221148E-2</v>
      </c>
      <c r="AP667" s="5">
        <f t="shared" si="116"/>
        <v>0.37453027944111611</v>
      </c>
      <c r="AR667" s="5">
        <f t="shared" si="117"/>
        <v>3.0666432333332383E-2</v>
      </c>
      <c r="AS667" s="5">
        <f t="shared" si="118"/>
        <v>3.4710959365690353E-2</v>
      </c>
      <c r="AT667" s="5">
        <f t="shared" si="119"/>
        <v>3.6665773269374979E-2</v>
      </c>
    </row>
    <row r="668" spans="12:46" x14ac:dyDescent="0.25">
      <c r="L668" s="4">
        <v>44574.5</v>
      </c>
      <c r="M668">
        <v>80.2</v>
      </c>
      <c r="N668">
        <v>81.430000000000007</v>
      </c>
      <c r="O668">
        <v>77.55</v>
      </c>
      <c r="P668">
        <v>81.3</v>
      </c>
      <c r="Q668">
        <v>25056</v>
      </c>
      <c r="R668">
        <v>445280</v>
      </c>
      <c r="S668">
        <v>72</v>
      </c>
      <c r="T668">
        <v>85.98</v>
      </c>
      <c r="U668">
        <v>72</v>
      </c>
      <c r="V668">
        <v>85.46</v>
      </c>
      <c r="W668">
        <v>136</v>
      </c>
      <c r="X668">
        <v>4.691656590084655E-2</v>
      </c>
      <c r="Y668">
        <v>8.2354275909009983E-2</v>
      </c>
      <c r="Z668">
        <v>-0.32774673951009758</v>
      </c>
      <c r="AB668" s="3">
        <f t="shared" si="110"/>
        <v>5.0577186563205839E-3</v>
      </c>
      <c r="AC668" s="3">
        <f t="shared" si="111"/>
        <v>9.0025131970128264E-3</v>
      </c>
      <c r="AD668" s="3">
        <f t="shared" si="112"/>
        <v>1.2901552865363632E-2</v>
      </c>
      <c r="AE668" s="76">
        <f t="shared" si="113"/>
        <v>-23035.857142857141</v>
      </c>
      <c r="AF668" s="76">
        <f t="shared" si="114"/>
        <v>-17467.928571428569</v>
      </c>
      <c r="AG668" s="76">
        <f t="shared" si="115"/>
        <v>-13596.802781289509</v>
      </c>
      <c r="AO668" s="5">
        <f t="shared" si="120"/>
        <v>-2.0214782059381028E-2</v>
      </c>
      <c r="AP668" s="5">
        <f t="shared" si="116"/>
        <v>0.37357020255145051</v>
      </c>
      <c r="AR668" s="5">
        <f t="shared" si="117"/>
        <v>3.0282367673252764E-2</v>
      </c>
      <c r="AS668" s="5">
        <f t="shared" si="118"/>
        <v>3.3949302812960547E-2</v>
      </c>
      <c r="AT668" s="5">
        <f t="shared" si="119"/>
        <v>3.5569337632245457E-2</v>
      </c>
    </row>
    <row r="669" spans="12:46" x14ac:dyDescent="0.25">
      <c r="L669" s="4">
        <v>44573.5</v>
      </c>
      <c r="M669">
        <v>82.7</v>
      </c>
      <c r="N669">
        <v>83.24</v>
      </c>
      <c r="O669">
        <v>79.150000000000006</v>
      </c>
      <c r="P669">
        <v>80.510000000000005</v>
      </c>
      <c r="Q669">
        <v>20174</v>
      </c>
      <c r="R669">
        <v>446777</v>
      </c>
      <c r="S669">
        <v>82.25</v>
      </c>
      <c r="T669">
        <v>82.25</v>
      </c>
      <c r="U669">
        <v>73.400000000000006</v>
      </c>
      <c r="V669">
        <v>75.153000000000006</v>
      </c>
      <c r="W669">
        <v>87</v>
      </c>
      <c r="X669">
        <v>5.024570024570011E-2</v>
      </c>
      <c r="Y669">
        <v>0.22501092315492494</v>
      </c>
      <c r="Z669">
        <v>-0.67462894568697163</v>
      </c>
      <c r="AB669" s="3">
        <f t="shared" si="110"/>
        <v>4.0349178797068827E-3</v>
      </c>
      <c r="AC669" s="3">
        <f t="shared" si="111"/>
        <v>7.3339090968342624E-3</v>
      </c>
      <c r="AD669" s="3">
        <f t="shared" si="112"/>
        <v>1.1837480425549329E-2</v>
      </c>
      <c r="AE669" s="76">
        <f t="shared" si="113"/>
        <v>-20126.380952380954</v>
      </c>
      <c r="AF669" s="76">
        <f t="shared" si="114"/>
        <v>-15559.488095238092</v>
      </c>
      <c r="AG669" s="76">
        <f t="shared" si="115"/>
        <v>-11681.922039612306</v>
      </c>
      <c r="AO669" s="5">
        <f t="shared" si="120"/>
        <v>-1.21068397403894E-2</v>
      </c>
      <c r="AP669" s="5">
        <f t="shared" si="116"/>
        <v>0.37304993753050497</v>
      </c>
      <c r="AR669" s="5">
        <f t="shared" si="117"/>
        <v>2.9917427456243595E-2</v>
      </c>
      <c r="AS669" s="5">
        <f t="shared" si="118"/>
        <v>3.3225370185458569E-2</v>
      </c>
      <c r="AT669" s="5">
        <f t="shared" si="119"/>
        <v>3.4515505030060123E-2</v>
      </c>
    </row>
    <row r="670" spans="12:46" x14ac:dyDescent="0.25">
      <c r="L670" s="4">
        <v>44572.5</v>
      </c>
      <c r="M670">
        <v>81.400000000000006</v>
      </c>
      <c r="N670">
        <v>84.45</v>
      </c>
      <c r="O670">
        <v>80.12</v>
      </c>
      <c r="P670">
        <v>82.22</v>
      </c>
      <c r="Q670">
        <v>23494</v>
      </c>
      <c r="R670">
        <v>445989</v>
      </c>
      <c r="S670">
        <v>81.224999999999994</v>
      </c>
      <c r="T670">
        <v>82.05</v>
      </c>
      <c r="U670">
        <v>78.736000000000004</v>
      </c>
      <c r="V670">
        <v>78.736000000000004</v>
      </c>
      <c r="W670">
        <v>36</v>
      </c>
      <c r="X670">
        <v>5.0278680910357615E-2</v>
      </c>
      <c r="Y670">
        <v>0.2369235886587677</v>
      </c>
      <c r="Z670">
        <v>-0.44085456784562704</v>
      </c>
      <c r="AB670" s="3">
        <f t="shared" si="110"/>
        <v>4.7365349352835664E-3</v>
      </c>
      <c r="AC670" s="3">
        <f t="shared" si="111"/>
        <v>8.3950886735981445E-3</v>
      </c>
      <c r="AD670" s="3">
        <f t="shared" si="112"/>
        <v>1.2400014362807681E-2</v>
      </c>
      <c r="AE670" s="76">
        <f t="shared" si="113"/>
        <v>-17264.809523809527</v>
      </c>
      <c r="AF670" s="76">
        <f t="shared" si="114"/>
        <v>-13535.613095238092</v>
      </c>
      <c r="AG670" s="76">
        <f t="shared" si="115"/>
        <v>-9865.0813316477033</v>
      </c>
      <c r="AO670" s="5">
        <f t="shared" si="120"/>
        <v>4.0100250626567344E-3</v>
      </c>
      <c r="AP670" s="5">
        <f t="shared" si="116"/>
        <v>0.37416736318491528</v>
      </c>
      <c r="AR670" s="5">
        <f t="shared" si="117"/>
        <v>2.9679429766277909E-2</v>
      </c>
      <c r="AS670" s="5">
        <f t="shared" si="118"/>
        <v>3.2544889332220772E-2</v>
      </c>
      <c r="AT670" s="5">
        <f t="shared" si="119"/>
        <v>3.3495622167873274E-2</v>
      </c>
    </row>
    <row r="671" spans="12:46" x14ac:dyDescent="0.25">
      <c r="L671" s="4">
        <v>44571.5</v>
      </c>
      <c r="M671">
        <v>86.12</v>
      </c>
      <c r="N671">
        <v>87</v>
      </c>
      <c r="O671">
        <v>79.8</v>
      </c>
      <c r="P671">
        <v>81.56</v>
      </c>
      <c r="Q671">
        <v>30945</v>
      </c>
      <c r="R671">
        <v>446606</v>
      </c>
      <c r="S671">
        <v>86.5</v>
      </c>
      <c r="T671">
        <v>90.4</v>
      </c>
      <c r="U671">
        <v>84.46</v>
      </c>
      <c r="V671">
        <v>84.606999999999999</v>
      </c>
      <c r="W671">
        <v>74</v>
      </c>
      <c r="X671">
        <v>8.2949308755760398E-2</v>
      </c>
      <c r="Y671">
        <v>1.632164416359613</v>
      </c>
      <c r="Z671">
        <v>8.1529379087368084E-2</v>
      </c>
      <c r="AB671" s="3">
        <f t="shared" si="110"/>
        <v>7.3759799429943609E-3</v>
      </c>
      <c r="AC671" s="3">
        <f t="shared" si="111"/>
        <v>8.9313229585308782E-3</v>
      </c>
      <c r="AD671" s="3">
        <f t="shared" si="112"/>
        <v>1.3215846720455358E-2</v>
      </c>
      <c r="AE671" s="76">
        <f t="shared" si="113"/>
        <v>-16009.714285714286</v>
      </c>
      <c r="AF671" s="76">
        <f t="shared" si="114"/>
        <v>-12927.541666666668</v>
      </c>
      <c r="AG671" s="76">
        <f t="shared" si="115"/>
        <v>-9322.5617361989025</v>
      </c>
      <c r="AO671" s="5">
        <f t="shared" si="120"/>
        <v>-6.3490200680671252E-2</v>
      </c>
      <c r="AP671" s="5">
        <f t="shared" si="116"/>
        <v>0.37420802665527397</v>
      </c>
      <c r="AR671" s="5">
        <f t="shared" si="117"/>
        <v>2.9054688166746279E-2</v>
      </c>
      <c r="AS671" s="5">
        <f t="shared" si="118"/>
        <v>3.1732579863173849E-2</v>
      </c>
      <c r="AT671" s="5">
        <f t="shared" si="119"/>
        <v>3.2284755883149552E-2</v>
      </c>
    </row>
    <row r="672" spans="12:46" x14ac:dyDescent="0.25">
      <c r="L672" s="4">
        <v>44568.5</v>
      </c>
      <c r="M672">
        <v>86.8</v>
      </c>
      <c r="N672">
        <v>87.61</v>
      </c>
      <c r="O672">
        <v>85.21</v>
      </c>
      <c r="P672">
        <v>85.5</v>
      </c>
      <c r="Q672">
        <v>15833</v>
      </c>
      <c r="R672">
        <v>446946</v>
      </c>
      <c r="S672">
        <v>95.8</v>
      </c>
      <c r="T672">
        <v>96.27</v>
      </c>
      <c r="U672">
        <v>86.58</v>
      </c>
      <c r="V672">
        <v>88.174000000000007</v>
      </c>
      <c r="W672">
        <v>30</v>
      </c>
      <c r="X672">
        <v>2.7437978735566547E-2</v>
      </c>
      <c r="Y672">
        <v>-0.69056813978486098</v>
      </c>
      <c r="Z672">
        <v>-0.978681074194518</v>
      </c>
      <c r="AB672" s="3">
        <f t="shared" si="110"/>
        <v>6.326078338073117E-3</v>
      </c>
      <c r="AC672" s="3">
        <f t="shared" si="111"/>
        <v>7.3816623666382655E-3</v>
      </c>
      <c r="AD672" s="3">
        <f t="shared" si="112"/>
        <v>1.09140472671636E-2</v>
      </c>
      <c r="AE672" s="76">
        <f t="shared" si="113"/>
        <v>-13484.190476190477</v>
      </c>
      <c r="AF672" s="76">
        <f t="shared" si="114"/>
        <v>-11487.017857142859</v>
      </c>
      <c r="AG672" s="76">
        <f t="shared" si="115"/>
        <v>-8251.0986093552492</v>
      </c>
      <c r="AO672" s="5">
        <f t="shared" si="120"/>
        <v>-1.4063049337865294E-3</v>
      </c>
      <c r="AP672" s="5">
        <f t="shared" si="116"/>
        <v>0.36837793786308598</v>
      </c>
      <c r="AR672" s="5">
        <f t="shared" si="117"/>
        <v>2.8390085392389519E-2</v>
      </c>
      <c r="AS672" s="5">
        <f t="shared" si="118"/>
        <v>3.0888273555515711E-2</v>
      </c>
      <c r="AT672" s="5">
        <f t="shared" si="119"/>
        <v>3.1037848761318376E-2</v>
      </c>
    </row>
    <row r="673" spans="12:46" x14ac:dyDescent="0.25">
      <c r="L673" s="4">
        <v>44567.5</v>
      </c>
      <c r="M673">
        <v>87.47</v>
      </c>
      <c r="N673">
        <v>87.8</v>
      </c>
      <c r="O673">
        <v>85.33</v>
      </c>
      <c r="P673">
        <v>87.19</v>
      </c>
      <c r="Q673">
        <v>13390</v>
      </c>
      <c r="R673">
        <v>446694</v>
      </c>
      <c r="S673">
        <v>95.265000000000001</v>
      </c>
      <c r="T673">
        <v>97.02</v>
      </c>
      <c r="U673">
        <v>93.3</v>
      </c>
      <c r="V673">
        <v>96.501999999999995</v>
      </c>
      <c r="W673">
        <v>74</v>
      </c>
      <c r="X673">
        <v>2.8754365541327109E-2</v>
      </c>
      <c r="Y673">
        <v>-0.6502783232707573</v>
      </c>
      <c r="Z673">
        <v>-1.1783745310011391</v>
      </c>
      <c r="AB673" s="3">
        <f t="shared" si="110"/>
        <v>1.4013307580715686E-2</v>
      </c>
      <c r="AC673" s="3">
        <f t="shared" si="111"/>
        <v>1.3859800850050084E-2</v>
      </c>
      <c r="AD673" s="3">
        <f t="shared" si="112"/>
        <v>1.6408668348950162E-2</v>
      </c>
      <c r="AE673" s="76">
        <f t="shared" si="113"/>
        <v>-9691.8571428571449</v>
      </c>
      <c r="AF673" s="76">
        <f t="shared" si="114"/>
        <v>-8559.1666666666715</v>
      </c>
      <c r="AG673" s="76">
        <f t="shared" si="115"/>
        <v>-5544.6110408765308</v>
      </c>
      <c r="AO673" s="5">
        <f t="shared" si="120"/>
        <v>7.0364723818461684E-4</v>
      </c>
      <c r="AP673" s="5">
        <f t="shared" si="116"/>
        <v>0.36847648168426667</v>
      </c>
      <c r="AR673" s="5">
        <f t="shared" si="117"/>
        <v>2.8103101082602389E-2</v>
      </c>
      <c r="AS673" s="5">
        <f t="shared" si="118"/>
        <v>3.0346684283466041E-2</v>
      </c>
      <c r="AT673" s="5">
        <f t="shared" si="119"/>
        <v>3.021441735036795E-2</v>
      </c>
    </row>
    <row r="674" spans="12:46" x14ac:dyDescent="0.25">
      <c r="L674" s="4">
        <v>44566.5</v>
      </c>
      <c r="M674">
        <v>85.9</v>
      </c>
      <c r="N674">
        <v>88.55</v>
      </c>
      <c r="O674">
        <v>85.27</v>
      </c>
      <c r="P674">
        <v>88</v>
      </c>
      <c r="Q674">
        <v>20641</v>
      </c>
      <c r="R674">
        <v>447145</v>
      </c>
      <c r="S674">
        <v>95.7</v>
      </c>
      <c r="T674">
        <v>95.7</v>
      </c>
      <c r="U674">
        <v>88.385000000000005</v>
      </c>
      <c r="V674">
        <v>91.522000000000006</v>
      </c>
      <c r="W674">
        <v>138</v>
      </c>
      <c r="X674">
        <v>3.907087552114355E-2</v>
      </c>
      <c r="Y674">
        <v>-0.21712920498657295</v>
      </c>
      <c r="Z674">
        <v>-0.6973698721844136</v>
      </c>
      <c r="AB674" s="3">
        <f t="shared" si="110"/>
        <v>1.7999433625305768E-2</v>
      </c>
      <c r="AC674" s="3">
        <f t="shared" si="111"/>
        <v>1.6530147314080035E-2</v>
      </c>
      <c r="AD674" s="3">
        <f t="shared" si="112"/>
        <v>1.8706733577438128E-2</v>
      </c>
      <c r="AE674" s="76">
        <f t="shared" si="113"/>
        <v>-5690.1428571428551</v>
      </c>
      <c r="AF674" s="76">
        <f t="shared" si="114"/>
        <v>-5508.4761904761908</v>
      </c>
      <c r="AG674" s="76">
        <f t="shared" si="115"/>
        <v>-2795.7947745469864</v>
      </c>
      <c r="AO674" s="5">
        <f t="shared" si="120"/>
        <v>1.7420355566161481E-2</v>
      </c>
      <c r="AP674" s="5">
        <f t="shared" si="116"/>
        <v>0.36937255254017132</v>
      </c>
      <c r="AR674" s="5">
        <f t="shared" si="117"/>
        <v>2.7200097667025913E-2</v>
      </c>
      <c r="AS674" s="5">
        <f t="shared" si="118"/>
        <v>2.9364661356983013E-2</v>
      </c>
      <c r="AT674" s="5">
        <f t="shared" si="119"/>
        <v>2.9019209076664332E-2</v>
      </c>
    </row>
    <row r="675" spans="12:46" x14ac:dyDescent="0.25">
      <c r="L675" s="4">
        <v>44565.5</v>
      </c>
      <c r="M675">
        <v>83.95</v>
      </c>
      <c r="N675">
        <v>86.8</v>
      </c>
      <c r="O675">
        <v>83.81</v>
      </c>
      <c r="P675">
        <v>86.2</v>
      </c>
      <c r="Q675">
        <v>17529</v>
      </c>
      <c r="R675">
        <v>446191</v>
      </c>
      <c r="S675">
        <v>85</v>
      </c>
      <c r="T675">
        <v>96.625</v>
      </c>
      <c r="U675">
        <v>85</v>
      </c>
      <c r="V675">
        <v>88.741</v>
      </c>
      <c r="W675">
        <v>306</v>
      </c>
      <c r="X675">
        <v>3.7468671679197929E-2</v>
      </c>
      <c r="Y675">
        <v>-0.31282253448879299</v>
      </c>
      <c r="Z675">
        <v>-0.925772245474214</v>
      </c>
      <c r="AB675" s="3">
        <f t="shared" si="110"/>
        <v>1.9346972241758693E-2</v>
      </c>
      <c r="AC675" s="3">
        <f t="shared" si="111"/>
        <v>1.6831785315129952E-2</v>
      </c>
      <c r="AD675" s="3">
        <f t="shared" si="112"/>
        <v>1.9043550757615012E-2</v>
      </c>
      <c r="AE675" s="76">
        <f t="shared" si="113"/>
        <v>-3576.0476190476184</v>
      </c>
      <c r="AF675" s="76">
        <f t="shared" si="114"/>
        <v>-4185.7678571428551</v>
      </c>
      <c r="AG675" s="76">
        <f t="shared" si="115"/>
        <v>-1576.9469026548686</v>
      </c>
      <c r="AO675" s="5">
        <f t="shared" si="120"/>
        <v>5.0250626566416108E-2</v>
      </c>
      <c r="AP675" s="5">
        <f t="shared" si="116"/>
        <v>0.36913534177384599</v>
      </c>
      <c r="AR675" s="5">
        <f t="shared" si="117"/>
        <v>2.6047724908211667E-2</v>
      </c>
      <c r="AS675" s="5">
        <f t="shared" si="118"/>
        <v>2.8238266441396875E-2</v>
      </c>
      <c r="AT675" s="5">
        <f t="shared" si="119"/>
        <v>2.7686758084976115E-2</v>
      </c>
    </row>
    <row r="676" spans="12:46" x14ac:dyDescent="0.25">
      <c r="L676" s="4">
        <v>44564.5</v>
      </c>
      <c r="M676">
        <v>79.8</v>
      </c>
      <c r="N676">
        <v>84.4</v>
      </c>
      <c r="O676">
        <v>79.8</v>
      </c>
      <c r="P676">
        <v>83.81</v>
      </c>
      <c r="Q676">
        <v>9978</v>
      </c>
      <c r="R676">
        <v>446061</v>
      </c>
      <c r="S676">
        <v>80.433999999999997</v>
      </c>
      <c r="T676">
        <v>80.433999999999997</v>
      </c>
      <c r="U676">
        <v>80.433999999999997</v>
      </c>
      <c r="V676">
        <v>80.433999999999997</v>
      </c>
      <c r="W676">
        <v>0</v>
      </c>
      <c r="X676">
        <v>5.7514378594648766E-2</v>
      </c>
      <c r="Y676">
        <v>0.5271766780910041</v>
      </c>
      <c r="Z676">
        <v>-1.4489398012684818</v>
      </c>
      <c r="AB676" s="3">
        <f t="shared" si="110"/>
        <v>2.0263807834986242E-2</v>
      </c>
      <c r="AC676" s="3">
        <f t="shared" si="111"/>
        <v>1.7615137972913364E-2</v>
      </c>
      <c r="AD676" s="3">
        <f t="shared" si="112"/>
        <v>1.9547804655127676E-2</v>
      </c>
      <c r="AE676" s="76">
        <f t="shared" si="113"/>
        <v>-2825.7619047619046</v>
      </c>
      <c r="AF676" s="76">
        <f t="shared" si="114"/>
        <v>-3554.8630952380918</v>
      </c>
      <c r="AG676" s="76">
        <f t="shared" si="115"/>
        <v>-931.67930889169656</v>
      </c>
      <c r="AO676" s="5">
        <f t="shared" si="120"/>
        <v>3.1426775612822125E-3</v>
      </c>
      <c r="AP676" s="5">
        <f t="shared" si="116"/>
        <v>0.36628735735261997</v>
      </c>
      <c r="AR676" s="5">
        <f t="shared" si="117"/>
        <v>2.4640938509276844E-2</v>
      </c>
      <c r="AS676" s="5">
        <f t="shared" si="118"/>
        <v>2.6830672965389213E-2</v>
      </c>
      <c r="AT676" s="5">
        <f t="shared" si="119"/>
        <v>2.6208167631103396E-2</v>
      </c>
    </row>
    <row r="677" spans="12:46" x14ac:dyDescent="0.25">
      <c r="L677" s="4">
        <v>44561.5</v>
      </c>
      <c r="M677">
        <v>79.98</v>
      </c>
      <c r="N677">
        <v>81.25</v>
      </c>
      <c r="O677">
        <v>79.55</v>
      </c>
      <c r="P677">
        <v>80.900000000000006</v>
      </c>
      <c r="Q677">
        <v>3690</v>
      </c>
      <c r="R677">
        <v>445805</v>
      </c>
      <c r="S677">
        <v>82</v>
      </c>
      <c r="T677">
        <v>82</v>
      </c>
      <c r="U677">
        <v>67.364999999999995</v>
      </c>
      <c r="V677">
        <v>70.343000000000004</v>
      </c>
      <c r="W677">
        <v>82</v>
      </c>
      <c r="X677">
        <v>2.1118012422360284E-2</v>
      </c>
      <c r="Y677">
        <v>-0.97236182637300639</v>
      </c>
      <c r="Z677">
        <v>-1.9129309837737876</v>
      </c>
      <c r="AB677" s="3">
        <f t="shared" si="110"/>
        <v>1.8516117360203588E-2</v>
      </c>
      <c r="AC677" s="3">
        <f t="shared" si="111"/>
        <v>1.6193907189656583E-2</v>
      </c>
      <c r="AD677" s="3">
        <f t="shared" si="112"/>
        <v>1.842243664242918E-2</v>
      </c>
      <c r="AE677" s="76">
        <f t="shared" si="113"/>
        <v>-3461.3333333333321</v>
      </c>
      <c r="AF677" s="76">
        <f t="shared" si="114"/>
        <v>-3197.4345238095229</v>
      </c>
      <c r="AG677" s="76">
        <f t="shared" si="115"/>
        <v>-250.34934681837331</v>
      </c>
      <c r="AO677" s="5">
        <f t="shared" si="120"/>
        <v>3.7854889589905003E-3</v>
      </c>
      <c r="AP677" s="5">
        <f t="shared" si="116"/>
        <v>0.36667863540735574</v>
      </c>
      <c r="AR677" s="5">
        <f t="shared" si="117"/>
        <v>2.3395201128848964E-2</v>
      </c>
      <c r="AS677" s="5">
        <f t="shared" si="118"/>
        <v>2.5567749040279086E-2</v>
      </c>
      <c r="AT677" s="5">
        <f t="shared" si="119"/>
        <v>2.4876821330133525E-2</v>
      </c>
    </row>
    <row r="678" spans="12:46" x14ac:dyDescent="0.25">
      <c r="L678" s="4">
        <v>44560.5</v>
      </c>
      <c r="M678">
        <v>80.5</v>
      </c>
      <c r="N678">
        <v>80.650000000000006</v>
      </c>
      <c r="O678">
        <v>79.25</v>
      </c>
      <c r="P678">
        <v>80.05</v>
      </c>
      <c r="Q678">
        <v>8538</v>
      </c>
      <c r="R678">
        <v>445890</v>
      </c>
      <c r="S678">
        <v>94.35</v>
      </c>
      <c r="T678">
        <v>94.35</v>
      </c>
      <c r="U678">
        <v>87.027000000000001</v>
      </c>
      <c r="V678">
        <v>87.027000000000001</v>
      </c>
      <c r="W678">
        <v>0</v>
      </c>
      <c r="X678">
        <v>1.7692404903323716E-2</v>
      </c>
      <c r="Y678">
        <v>-1.1377991846666664</v>
      </c>
      <c r="Z678">
        <v>-1.6647037258294941</v>
      </c>
      <c r="AB678" s="3">
        <f t="shared" si="110"/>
        <v>2.1314268920218447E-2</v>
      </c>
      <c r="AC678" s="3">
        <f t="shared" si="111"/>
        <v>1.7761625046411905E-2</v>
      </c>
      <c r="AD678" s="3">
        <f t="shared" si="112"/>
        <v>2.0094188134089898E-2</v>
      </c>
      <c r="AE678" s="76">
        <f t="shared" si="113"/>
        <v>834.71428571428623</v>
      </c>
      <c r="AF678" s="76">
        <f t="shared" si="114"/>
        <v>-352.76785714285506</v>
      </c>
      <c r="AG678" s="76">
        <f t="shared" si="115"/>
        <v>2606.3438685208603</v>
      </c>
      <c r="AO678" s="5">
        <f t="shared" si="120"/>
        <v>1.4594802202022797E-2</v>
      </c>
      <c r="AP678" s="5">
        <f t="shared" si="116"/>
        <v>0.36669744986946817</v>
      </c>
      <c r="AR678" s="5">
        <f t="shared" si="117"/>
        <v>2.1970475739889694E-2</v>
      </c>
      <c r="AS678" s="5">
        <f t="shared" si="118"/>
        <v>2.4229256168737057E-2</v>
      </c>
      <c r="AT678" s="5">
        <f t="shared" si="119"/>
        <v>2.3486730561893765E-2</v>
      </c>
    </row>
    <row r="679" spans="12:46" x14ac:dyDescent="0.25">
      <c r="L679" s="4">
        <v>44559.5</v>
      </c>
      <c r="M679">
        <v>79.13</v>
      </c>
      <c r="N679">
        <v>80.87</v>
      </c>
      <c r="O679">
        <v>78.11</v>
      </c>
      <c r="P679">
        <v>80.239999999999995</v>
      </c>
      <c r="Q679">
        <v>13842</v>
      </c>
      <c r="R679">
        <v>442876</v>
      </c>
      <c r="S679">
        <v>99</v>
      </c>
      <c r="T679">
        <v>104.6</v>
      </c>
      <c r="U679">
        <v>96.475999999999999</v>
      </c>
      <c r="V679">
        <v>96.475999999999999</v>
      </c>
      <c r="W679">
        <v>67</v>
      </c>
      <c r="X679">
        <v>3.5937500000000067E-2</v>
      </c>
      <c r="Y679">
        <v>-0.3925545751513646</v>
      </c>
      <c r="Z679">
        <v>-1.3574189024498926</v>
      </c>
      <c r="AB679" s="3">
        <f t="shared" si="110"/>
        <v>2.2341451548156727E-2</v>
      </c>
      <c r="AC679" s="3">
        <f t="shared" si="111"/>
        <v>1.8967807458169075E-2</v>
      </c>
      <c r="AD679" s="3">
        <f t="shared" si="112"/>
        <v>2.1544741608062148E-2</v>
      </c>
      <c r="AE679" s="76">
        <f t="shared" si="113"/>
        <v>2978.9523809523853</v>
      </c>
      <c r="AF679" s="76">
        <f t="shared" si="114"/>
        <v>1378.0714285714348</v>
      </c>
      <c r="AG679" s="76">
        <f t="shared" si="115"/>
        <v>4477.604298356513</v>
      </c>
      <c r="AO679" s="5">
        <f t="shared" si="120"/>
        <v>2.4931111402703134E-2</v>
      </c>
      <c r="AP679" s="5">
        <f t="shared" si="116"/>
        <v>0.36655367218020846</v>
      </c>
      <c r="AR679" s="5">
        <f t="shared" si="117"/>
        <v>2.0627421346052777E-2</v>
      </c>
      <c r="AS679" s="5">
        <f t="shared" si="118"/>
        <v>2.2885649974486111E-2</v>
      </c>
      <c r="AT679" s="5">
        <f t="shared" si="119"/>
        <v>2.2091740611394683E-2</v>
      </c>
    </row>
    <row r="680" spans="12:46" x14ac:dyDescent="0.25">
      <c r="L680" s="4">
        <v>44558.5</v>
      </c>
      <c r="M680">
        <v>76.8</v>
      </c>
      <c r="N680">
        <v>79.69</v>
      </c>
      <c r="O680">
        <v>76.209999999999994</v>
      </c>
      <c r="P680">
        <v>79.14</v>
      </c>
      <c r="Q680">
        <v>4613</v>
      </c>
      <c r="R680">
        <v>445557</v>
      </c>
      <c r="S680">
        <v>106.59</v>
      </c>
      <c r="T680">
        <v>106.59</v>
      </c>
      <c r="U680">
        <v>106.59</v>
      </c>
      <c r="V680">
        <v>106.59</v>
      </c>
      <c r="W680">
        <v>3</v>
      </c>
      <c r="X680">
        <v>4.5867931988928481E-2</v>
      </c>
      <c r="Y680">
        <v>3.2780654775950872E-2</v>
      </c>
      <c r="Z680">
        <v>-2.0586140999172051</v>
      </c>
      <c r="AB680" s="3">
        <f t="shared" si="110"/>
        <v>2.060515624025222E-2</v>
      </c>
      <c r="AC680" s="3">
        <f t="shared" si="111"/>
        <v>1.8840651435039955E-2</v>
      </c>
      <c r="AD680" s="3">
        <f t="shared" si="112"/>
        <v>2.1469419510782732E-2</v>
      </c>
      <c r="AE680" s="76">
        <f t="shared" si="113"/>
        <v>3867.2857142857138</v>
      </c>
      <c r="AF680" s="76">
        <f t="shared" si="114"/>
        <v>2206.5</v>
      </c>
      <c r="AG680" s="76">
        <f t="shared" si="115"/>
        <v>5334.9342604298363</v>
      </c>
      <c r="AO680" s="5">
        <f t="shared" si="120"/>
        <v>1.559168443496785E-2</v>
      </c>
      <c r="AP680" s="5">
        <f t="shared" si="116"/>
        <v>0.3665771577025711</v>
      </c>
      <c r="AR680" s="5">
        <f t="shared" si="117"/>
        <v>1.9146597016984623E-2</v>
      </c>
      <c r="AS680" s="5">
        <f t="shared" si="118"/>
        <v>2.1481521895299727E-2</v>
      </c>
      <c r="AT680" s="5">
        <f t="shared" si="119"/>
        <v>2.0654519134626292E-2</v>
      </c>
    </row>
    <row r="681" spans="12:46" x14ac:dyDescent="0.25">
      <c r="L681" s="4">
        <v>44557.5</v>
      </c>
      <c r="M681">
        <v>75.87</v>
      </c>
      <c r="N681">
        <v>77.13</v>
      </c>
      <c r="O681">
        <v>75.040000000000006</v>
      </c>
      <c r="P681">
        <v>76.819999999999993</v>
      </c>
      <c r="Q681">
        <v>3632</v>
      </c>
      <c r="R681">
        <v>445233</v>
      </c>
      <c r="S681">
        <v>100</v>
      </c>
      <c r="T681">
        <v>106.893</v>
      </c>
      <c r="U681">
        <v>100</v>
      </c>
      <c r="V681">
        <v>106.893</v>
      </c>
      <c r="W681">
        <v>11</v>
      </c>
      <c r="X681">
        <v>2.7978580990629037E-2</v>
      </c>
      <c r="Y681">
        <v>-0.73120547444912642</v>
      </c>
      <c r="Z681">
        <v>-2.2385210653348468</v>
      </c>
      <c r="AB681" s="3">
        <f t="shared" si="110"/>
        <v>2.0149055322278203E-2</v>
      </c>
      <c r="AC681" s="3">
        <f t="shared" si="111"/>
        <v>1.7911171715406321E-2</v>
      </c>
      <c r="AD681" s="3">
        <f t="shared" si="112"/>
        <v>2.0765910359177228E-2</v>
      </c>
      <c r="AE681" s="76">
        <f t="shared" si="113"/>
        <v>5416.4761904761908</v>
      </c>
      <c r="AF681" s="76">
        <f t="shared" si="114"/>
        <v>3454.6607142857101</v>
      </c>
      <c r="AG681" s="76">
        <f t="shared" si="115"/>
        <v>6539.4475347661173</v>
      </c>
      <c r="AO681" s="5">
        <f t="shared" si="120"/>
        <v>7.1131391759495519E-3</v>
      </c>
      <c r="AP681" s="5">
        <f t="shared" si="116"/>
        <v>0.36641481056390651</v>
      </c>
      <c r="AR681" s="5">
        <f t="shared" si="117"/>
        <v>1.7737845708021005E-2</v>
      </c>
      <c r="AS681" s="5">
        <f t="shared" si="118"/>
        <v>2.0087420194354166E-2</v>
      </c>
      <c r="AT681" s="5">
        <f t="shared" si="119"/>
        <v>1.9237672133299688E-2</v>
      </c>
    </row>
    <row r="682" spans="12:46" x14ac:dyDescent="0.25">
      <c r="L682" s="4">
        <v>44554.5</v>
      </c>
      <c r="M682">
        <v>74.7</v>
      </c>
      <c r="N682">
        <v>76.87</v>
      </c>
      <c r="O682">
        <v>74.510000000000005</v>
      </c>
      <c r="P682">
        <v>75.86</v>
      </c>
      <c r="Q682">
        <v>2384</v>
      </c>
      <c r="R682">
        <v>444691</v>
      </c>
      <c r="S682">
        <v>158.30000000000001</v>
      </c>
      <c r="T682">
        <v>158.30000000000001</v>
      </c>
      <c r="U682">
        <v>129.36000000000001</v>
      </c>
      <c r="V682">
        <v>132.57900000000001</v>
      </c>
      <c r="W682">
        <v>0</v>
      </c>
      <c r="X682">
        <v>3.0451612903225799E-2</v>
      </c>
      <c r="Y682">
        <v>-0.62342986418846791</v>
      </c>
      <c r="Z682">
        <v>-2.4649751681525287</v>
      </c>
      <c r="AB682" s="3">
        <f t="shared" si="110"/>
        <v>2.2482283867302173E-2</v>
      </c>
      <c r="AC682" s="3">
        <f t="shared" si="111"/>
        <v>1.9693619560727731E-2</v>
      </c>
      <c r="AD682" s="3">
        <f t="shared" si="112"/>
        <v>2.2212753068797747E-2</v>
      </c>
      <c r="AE682" s="76">
        <f t="shared" si="113"/>
        <v>8008.3333333333285</v>
      </c>
      <c r="AF682" s="76">
        <f t="shared" si="114"/>
        <v>5361.6964285714275</v>
      </c>
      <c r="AG682" s="76">
        <f t="shared" si="115"/>
        <v>8377.1479140328665</v>
      </c>
      <c r="AO682" s="5">
        <f t="shared" si="120"/>
        <v>3.5016835016835708E-3</v>
      </c>
      <c r="AP682" s="5">
        <f t="shared" si="116"/>
        <v>0.3666380976865411</v>
      </c>
      <c r="AR682" s="5">
        <f t="shared" si="117"/>
        <v>1.61005116902464E-2</v>
      </c>
      <c r="AS682" s="5">
        <f t="shared" si="118"/>
        <v>1.855599901960564E-2</v>
      </c>
      <c r="AT682" s="5">
        <f t="shared" si="119"/>
        <v>1.7691262942546471E-2</v>
      </c>
    </row>
    <row r="683" spans="12:46" x14ac:dyDescent="0.25">
      <c r="L683" s="4">
        <v>44553.5</v>
      </c>
      <c r="M683">
        <v>77.5</v>
      </c>
      <c r="N683">
        <v>77.75</v>
      </c>
      <c r="O683">
        <v>74.25</v>
      </c>
      <c r="P683">
        <v>74.86</v>
      </c>
      <c r="Q683">
        <v>19471</v>
      </c>
      <c r="R683">
        <v>444848</v>
      </c>
      <c r="S683">
        <v>158.30000000000001</v>
      </c>
      <c r="T683">
        <v>158.30000000000001</v>
      </c>
      <c r="U683">
        <v>129.36000000000001</v>
      </c>
      <c r="V683">
        <v>132.57900000000001</v>
      </c>
      <c r="W683">
        <v>79</v>
      </c>
      <c r="X683">
        <v>4.3711752216810291E-2</v>
      </c>
      <c r="Y683">
        <v>-9.2503301480253458E-2</v>
      </c>
      <c r="Z683">
        <v>-1.2604387692184813</v>
      </c>
      <c r="AB683" s="3">
        <f t="shared" si="110"/>
        <v>2.3996252376878538E-2</v>
      </c>
      <c r="AC683" s="3">
        <f t="shared" si="111"/>
        <v>2.0609994982819034E-2</v>
      </c>
      <c r="AD683" s="3">
        <f t="shared" si="112"/>
        <v>2.2912721049043343E-2</v>
      </c>
      <c r="AE683" s="76">
        <f t="shared" si="113"/>
        <v>9811.1904761904771</v>
      </c>
      <c r="AF683" s="76">
        <f t="shared" si="114"/>
        <v>6807.5059523809541</v>
      </c>
      <c r="AG683" s="76">
        <f t="shared" si="115"/>
        <v>9856.4264643910647</v>
      </c>
      <c r="AO683" s="5">
        <f t="shared" si="120"/>
        <v>-1.5904572564612363E-2</v>
      </c>
      <c r="AP683" s="5">
        <f t="shared" si="116"/>
        <v>0.36665474890911132</v>
      </c>
      <c r="AR683" s="5">
        <f t="shared" si="117"/>
        <v>1.4407474463129233E-2</v>
      </c>
      <c r="AS683" s="5">
        <f t="shared" si="118"/>
        <v>1.6919626061176973E-2</v>
      </c>
      <c r="AT683" s="5">
        <f t="shared" si="119"/>
        <v>1.6087240847693807E-2</v>
      </c>
    </row>
    <row r="684" spans="12:46" x14ac:dyDescent="0.25">
      <c r="L684" s="4">
        <v>44552.5</v>
      </c>
      <c r="M684">
        <v>80.069999999999993</v>
      </c>
      <c r="N684">
        <v>80.17</v>
      </c>
      <c r="O684">
        <v>75.45</v>
      </c>
      <c r="P684">
        <v>77.52</v>
      </c>
      <c r="Q684">
        <v>31501</v>
      </c>
      <c r="R684">
        <v>450019</v>
      </c>
      <c r="S684">
        <v>174.3</v>
      </c>
      <c r="T684">
        <v>176.655</v>
      </c>
      <c r="U684">
        <v>172.72</v>
      </c>
      <c r="V684">
        <v>172.875</v>
      </c>
      <c r="W684">
        <v>44</v>
      </c>
      <c r="X684">
        <v>5.8618976651763528E-2</v>
      </c>
      <c r="Y684">
        <v>0.53487110178009545</v>
      </c>
      <c r="Z684">
        <v>-0.31224679178799997</v>
      </c>
      <c r="AB684" s="3">
        <f t="shared" si="110"/>
        <v>2.6539563582716433E-2</v>
      </c>
      <c r="AC684" s="3">
        <f t="shared" si="111"/>
        <v>2.2151575770430622E-2</v>
      </c>
      <c r="AD684" s="3">
        <f t="shared" si="112"/>
        <v>2.4120255264019133E-2</v>
      </c>
      <c r="AE684" s="76">
        <f t="shared" si="113"/>
        <v>11556.714285714286</v>
      </c>
      <c r="AF684" s="76">
        <f t="shared" si="114"/>
        <v>7990.3214285714275</v>
      </c>
      <c r="AG684" s="76">
        <f t="shared" si="115"/>
        <v>10969.159292035398</v>
      </c>
      <c r="AO684" s="5">
        <f t="shared" si="120"/>
        <v>-3.3807145601229355E-2</v>
      </c>
      <c r="AP684" s="5">
        <f t="shared" si="116"/>
        <v>0.36678367146400159</v>
      </c>
      <c r="AR684" s="5">
        <f t="shared" si="117"/>
        <v>1.2433071215795788E-2</v>
      </c>
      <c r="AS684" s="5">
        <f t="shared" si="118"/>
        <v>1.5102094728743742E-2</v>
      </c>
      <c r="AT684" s="5">
        <f t="shared" si="119"/>
        <v>1.4338941851813669E-2</v>
      </c>
    </row>
    <row r="685" spans="12:46" x14ac:dyDescent="0.25">
      <c r="L685" s="4">
        <v>44551.5</v>
      </c>
      <c r="M685">
        <v>80.52</v>
      </c>
      <c r="N685">
        <v>82.85</v>
      </c>
      <c r="O685">
        <v>78.09</v>
      </c>
      <c r="P685">
        <v>79.12</v>
      </c>
      <c r="Q685">
        <v>18013</v>
      </c>
      <c r="R685">
        <v>454406</v>
      </c>
      <c r="S685">
        <v>157.69999999999999</v>
      </c>
      <c r="T685">
        <v>180.267</v>
      </c>
      <c r="U685">
        <v>157.69999999999999</v>
      </c>
      <c r="V685">
        <v>180.267</v>
      </c>
      <c r="W685">
        <v>507</v>
      </c>
      <c r="X685">
        <v>6.528596900288014E-2</v>
      </c>
      <c r="Y685">
        <v>0.83199892949260479</v>
      </c>
      <c r="Z685">
        <v>-1.3968004411425032</v>
      </c>
      <c r="AB685" s="3">
        <f t="shared" si="110"/>
        <v>2.5322707765169039E-2</v>
      </c>
      <c r="AC685" s="3">
        <f t="shared" si="111"/>
        <v>2.0609565354451388E-2</v>
      </c>
      <c r="AD685" s="3">
        <f t="shared" si="112"/>
        <v>2.2675148516602531E-2</v>
      </c>
      <c r="AE685" s="76">
        <f t="shared" si="113"/>
        <v>12246.666666666664</v>
      </c>
      <c r="AF685" s="76">
        <f t="shared" si="114"/>
        <v>8142.7440476190459</v>
      </c>
      <c r="AG685" s="76">
        <f t="shared" si="115"/>
        <v>11090.181626632952</v>
      </c>
      <c r="AO685" s="5">
        <f t="shared" si="120"/>
        <v>7.1046495679605096E-2</v>
      </c>
      <c r="AP685" s="5">
        <f t="shared" si="116"/>
        <v>0.36520062637125772</v>
      </c>
      <c r="AR685" s="5">
        <f t="shared" si="117"/>
        <v>1.0495623886090322E-2</v>
      </c>
      <c r="AS685" s="5">
        <f t="shared" si="118"/>
        <v>1.3321528478538736E-2</v>
      </c>
      <c r="AT685" s="5">
        <f t="shared" si="119"/>
        <v>1.2618213934796452E-2</v>
      </c>
    </row>
    <row r="686" spans="12:46" x14ac:dyDescent="0.25">
      <c r="L686" s="4">
        <v>44550.5</v>
      </c>
      <c r="M686">
        <v>72.91</v>
      </c>
      <c r="N686">
        <v>81.010000000000005</v>
      </c>
      <c r="O686">
        <v>72.91</v>
      </c>
      <c r="P686">
        <v>79.38</v>
      </c>
      <c r="Q686">
        <v>13731</v>
      </c>
      <c r="R686">
        <v>221592</v>
      </c>
      <c r="S686">
        <v>140.82</v>
      </c>
      <c r="T686">
        <v>148.505</v>
      </c>
      <c r="U686">
        <v>139.4</v>
      </c>
      <c r="V686">
        <v>146.92599999999999</v>
      </c>
      <c r="W686">
        <v>410</v>
      </c>
      <c r="X686">
        <v>9.6142433234421468E-2</v>
      </c>
      <c r="Y686">
        <v>2.1313376393739878</v>
      </c>
      <c r="Z686">
        <v>-1.7951337115015984</v>
      </c>
      <c r="AB686" s="3">
        <f t="shared" si="110"/>
        <v>2.3001603436181808E-2</v>
      </c>
      <c r="AC686" s="3">
        <f t="shared" si="111"/>
        <v>1.8961699929221705E-2</v>
      </c>
      <c r="AD686" s="3">
        <f t="shared" si="112"/>
        <v>2.088488776427138E-2</v>
      </c>
      <c r="AE686" s="76">
        <f t="shared" si="113"/>
        <v>13506.761904761905</v>
      </c>
      <c r="AF686" s="76">
        <f t="shared" si="114"/>
        <v>9054.3630952380954</v>
      </c>
      <c r="AG686" s="76">
        <f t="shared" si="115"/>
        <v>11799.997892962492</v>
      </c>
      <c r="AO686" s="5">
        <f t="shared" si="120"/>
        <v>4.546707081840704E-3</v>
      </c>
      <c r="AP686" s="5">
        <f t="shared" si="116"/>
        <v>0.35969231201636592</v>
      </c>
      <c r="AR686" s="5">
        <f t="shared" si="117"/>
        <v>8.6241539869316708E-3</v>
      </c>
      <c r="AS686" s="5">
        <f t="shared" si="118"/>
        <v>1.1603799139584092E-2</v>
      </c>
      <c r="AT686" s="5">
        <f t="shared" si="119"/>
        <v>1.0970214153979696E-2</v>
      </c>
    </row>
    <row r="687" spans="12:46" x14ac:dyDescent="0.25">
      <c r="L687" s="4">
        <v>44547.5</v>
      </c>
      <c r="M687">
        <v>84.25</v>
      </c>
      <c r="N687">
        <v>84.5</v>
      </c>
      <c r="O687">
        <v>72.58</v>
      </c>
      <c r="P687">
        <v>73.650000000000006</v>
      </c>
      <c r="Q687">
        <v>40236</v>
      </c>
      <c r="R687">
        <v>229669</v>
      </c>
      <c r="S687">
        <v>124.5</v>
      </c>
      <c r="T687">
        <v>139.5</v>
      </c>
      <c r="U687">
        <v>124.5</v>
      </c>
      <c r="V687">
        <v>136.91300000000001</v>
      </c>
      <c r="W687">
        <v>675</v>
      </c>
      <c r="X687">
        <v>0.14739705700506989</v>
      </c>
      <c r="Y687">
        <v>4.4439730892755751</v>
      </c>
      <c r="Z687">
        <v>0.36937229173009817</v>
      </c>
      <c r="AB687" s="3">
        <f t="shared" si="110"/>
        <v>1.8350365789966967E-2</v>
      </c>
      <c r="AC687" s="3">
        <f t="shared" si="111"/>
        <v>1.4970609529500509E-2</v>
      </c>
      <c r="AD687" s="3">
        <f t="shared" si="112"/>
        <v>1.710446056274316E-2</v>
      </c>
      <c r="AE687" s="76">
        <f t="shared" si="113"/>
        <v>13965.523809523809</v>
      </c>
      <c r="AF687" s="76">
        <f t="shared" si="114"/>
        <v>9782.9821428571413</v>
      </c>
      <c r="AG687" s="76">
        <f t="shared" si="115"/>
        <v>12336.132743362832</v>
      </c>
      <c r="AO687" s="5">
        <f t="shared" si="120"/>
        <v>-9.6701929060360875E-2</v>
      </c>
      <c r="AP687" s="5">
        <f t="shared" si="116"/>
        <v>0.36168052618478064</v>
      </c>
      <c r="AR687" s="5">
        <f t="shared" si="117"/>
        <v>7.0784767807198223E-3</v>
      </c>
      <c r="AS687" s="5">
        <f t="shared" si="118"/>
        <v>1.0217552463541058E-2</v>
      </c>
      <c r="AT687" s="5">
        <f t="shared" si="119"/>
        <v>9.6503892077012265E-3</v>
      </c>
    </row>
    <row r="688" spans="12:46" x14ac:dyDescent="0.25">
      <c r="L688" s="4">
        <v>44546.5</v>
      </c>
      <c r="M688">
        <v>80.87</v>
      </c>
      <c r="N688">
        <v>85.23</v>
      </c>
      <c r="O688">
        <v>80.349999999999994</v>
      </c>
      <c r="P688">
        <v>84.35</v>
      </c>
      <c r="Q688">
        <v>44948</v>
      </c>
      <c r="R688">
        <v>232062</v>
      </c>
      <c r="S688">
        <v>128.71</v>
      </c>
      <c r="T688">
        <v>143</v>
      </c>
      <c r="U688">
        <v>126.19</v>
      </c>
      <c r="V688">
        <v>142.76499999999999</v>
      </c>
      <c r="W688">
        <v>847</v>
      </c>
      <c r="X688">
        <v>6.1114589855980089E-2</v>
      </c>
      <c r="Y688">
        <v>0.99248867044483524</v>
      </c>
      <c r="Z688">
        <v>0.76067121766417034</v>
      </c>
      <c r="AB688" s="3">
        <f t="shared" si="110"/>
        <v>1.2657085909706267E-2</v>
      </c>
      <c r="AC688" s="3">
        <f t="shared" si="111"/>
        <v>1.0184681430604671E-2</v>
      </c>
      <c r="AD688" s="3">
        <f t="shared" si="112"/>
        <v>1.232097212120558E-2</v>
      </c>
      <c r="AE688" s="76">
        <f t="shared" si="113"/>
        <v>13454.857142857145</v>
      </c>
      <c r="AF688" s="76">
        <f t="shared" si="114"/>
        <v>9296.4761904761908</v>
      </c>
      <c r="AG688" s="76">
        <f t="shared" si="115"/>
        <v>11944.533080488833</v>
      </c>
      <c r="AO688" s="5">
        <f t="shared" si="120"/>
        <v>1.183730008815008E-2</v>
      </c>
      <c r="AP688" s="5">
        <f t="shared" si="116"/>
        <v>0.34881762208785966</v>
      </c>
      <c r="AR688" s="5">
        <f t="shared" si="117"/>
        <v>5.3563562089837813E-3</v>
      </c>
      <c r="AS688" s="5">
        <f t="shared" si="118"/>
        <v>8.6437781967336758E-3</v>
      </c>
      <c r="AT688" s="5">
        <f t="shared" si="119"/>
        <v>8.1640511825412654E-3</v>
      </c>
    </row>
    <row r="689" spans="12:46" x14ac:dyDescent="0.25">
      <c r="L689" s="4">
        <v>44545.5</v>
      </c>
      <c r="M689">
        <v>79.849999999999994</v>
      </c>
      <c r="N689">
        <v>81.56</v>
      </c>
      <c r="O689">
        <v>79.41</v>
      </c>
      <c r="P689">
        <v>80.209999999999994</v>
      </c>
      <c r="Q689">
        <v>59668</v>
      </c>
      <c r="R689">
        <v>254394</v>
      </c>
      <c r="S689">
        <v>131.1</v>
      </c>
      <c r="T689">
        <v>132.405</v>
      </c>
      <c r="U689">
        <v>120.6</v>
      </c>
      <c r="V689">
        <v>132.28399999999999</v>
      </c>
      <c r="W689">
        <v>1015</v>
      </c>
      <c r="X689">
        <v>2.6251526251526318E-2</v>
      </c>
      <c r="Y689">
        <v>-0.7839094876288053</v>
      </c>
      <c r="Z689">
        <v>1.9978546556823358</v>
      </c>
      <c r="AB689" s="3">
        <f t="shared" si="110"/>
        <v>8.6637949224376981E-3</v>
      </c>
      <c r="AC689" s="3">
        <f t="shared" si="111"/>
        <v>8.635790291741309E-3</v>
      </c>
      <c r="AD689" s="3">
        <f t="shared" si="112"/>
        <v>1.0610014239279549E-2</v>
      </c>
      <c r="AE689" s="76">
        <f t="shared" si="113"/>
        <v>11713.142857142855</v>
      </c>
      <c r="AF689" s="76">
        <f t="shared" si="114"/>
        <v>8618.5714285714275</v>
      </c>
      <c r="AG689" s="76">
        <f t="shared" si="115"/>
        <v>11191.780025284446</v>
      </c>
      <c r="AO689" s="5">
        <f t="shared" si="120"/>
        <v>1.4824281150159701E-2</v>
      </c>
      <c r="AP689" s="5">
        <f t="shared" si="116"/>
        <v>0.34873184355859593</v>
      </c>
      <c r="AR689" s="5">
        <f t="shared" si="117"/>
        <v>4.2826279685618251E-3</v>
      </c>
      <c r="AS689" s="5">
        <f t="shared" si="118"/>
        <v>7.776362144758131E-3</v>
      </c>
      <c r="AT689" s="5">
        <f t="shared" si="119"/>
        <v>7.3638144121774829E-3</v>
      </c>
    </row>
    <row r="690" spans="12:46" x14ac:dyDescent="0.25">
      <c r="L690" s="4">
        <v>44544.5</v>
      </c>
      <c r="M690">
        <v>81.900000000000006</v>
      </c>
      <c r="N690">
        <v>83.25</v>
      </c>
      <c r="O690">
        <v>78.25</v>
      </c>
      <c r="P690">
        <v>79.95</v>
      </c>
      <c r="Q690">
        <v>56567</v>
      </c>
      <c r="R690">
        <v>303875</v>
      </c>
      <c r="S690">
        <v>118.95</v>
      </c>
      <c r="T690">
        <v>129.065</v>
      </c>
      <c r="U690">
        <v>116.77500000000001</v>
      </c>
      <c r="V690">
        <v>128.30099999999999</v>
      </c>
      <c r="W690">
        <v>635</v>
      </c>
      <c r="X690">
        <v>5.9304946032499112E-2</v>
      </c>
      <c r="Y690">
        <v>0.91212632702244012</v>
      </c>
      <c r="Z690">
        <v>1.8013514252072991</v>
      </c>
      <c r="AB690" s="3">
        <f t="shared" si="110"/>
        <v>8.1048548585412883E-3</v>
      </c>
      <c r="AC690" s="3">
        <f t="shared" si="111"/>
        <v>8.8008955557022164E-3</v>
      </c>
      <c r="AD690" s="3">
        <f t="shared" si="112"/>
        <v>1.0663964492061036E-2</v>
      </c>
      <c r="AE690" s="76">
        <f t="shared" si="113"/>
        <v>10550.952380952382</v>
      </c>
      <c r="AF690" s="76">
        <f t="shared" si="114"/>
        <v>7645.2857142857174</v>
      </c>
      <c r="AG690" s="76">
        <f t="shared" si="115"/>
        <v>9983.5297092288274</v>
      </c>
      <c r="AO690" s="5">
        <f t="shared" si="120"/>
        <v>-4.1406345706235401E-2</v>
      </c>
      <c r="AP690" s="5">
        <f t="shared" si="116"/>
        <v>0.34877572179801841</v>
      </c>
      <c r="AR690" s="5">
        <f t="shared" si="117"/>
        <v>3.4746479456277402E-3</v>
      </c>
      <c r="AS690" s="5">
        <f t="shared" si="118"/>
        <v>6.9202729394519102E-3</v>
      </c>
      <c r="AT690" s="5">
        <f t="shared" si="119"/>
        <v>6.5842181945184319E-3</v>
      </c>
    </row>
    <row r="691" spans="12:46" x14ac:dyDescent="0.25">
      <c r="L691" s="4">
        <v>44543.5</v>
      </c>
      <c r="M691">
        <v>84.31</v>
      </c>
      <c r="N691">
        <v>86.76</v>
      </c>
      <c r="O691">
        <v>81.63</v>
      </c>
      <c r="P691">
        <v>81.8</v>
      </c>
      <c r="Q691">
        <v>36487</v>
      </c>
      <c r="R691">
        <v>317924</v>
      </c>
      <c r="S691">
        <v>115.4</v>
      </c>
      <c r="T691">
        <v>118.625</v>
      </c>
      <c r="U691">
        <v>112.44</v>
      </c>
      <c r="V691">
        <v>116.084</v>
      </c>
      <c r="W691">
        <v>474</v>
      </c>
      <c r="X691">
        <v>6.3869521912350721E-2</v>
      </c>
      <c r="Y691">
        <v>1.1683531314058344</v>
      </c>
      <c r="Z691">
        <v>0.10442098077786913</v>
      </c>
      <c r="AB691" s="3">
        <f t="shared" si="110"/>
        <v>7.3986615230765274E-3</v>
      </c>
      <c r="AC691" s="3">
        <f t="shared" si="111"/>
        <v>8.5119647649770092E-3</v>
      </c>
      <c r="AD691" s="3">
        <f t="shared" si="112"/>
        <v>1.0553875297165671E-2</v>
      </c>
      <c r="AE691" s="76">
        <f t="shared" si="113"/>
        <v>9617.4761904761945</v>
      </c>
      <c r="AF691" s="76">
        <f t="shared" si="114"/>
        <v>6573.5357142857174</v>
      </c>
      <c r="AG691" s="76">
        <f t="shared" si="115"/>
        <v>8826.5246523388159</v>
      </c>
      <c r="AO691" s="5">
        <f t="shared" si="120"/>
        <v>2.2932330827067648E-2</v>
      </c>
      <c r="AP691" s="5">
        <f t="shared" si="116"/>
        <v>0.34619234385304409</v>
      </c>
      <c r="AR691" s="5">
        <f t="shared" si="117"/>
        <v>2.490240510890418E-3</v>
      </c>
      <c r="AS691" s="5">
        <f t="shared" si="118"/>
        <v>5.9903629938816705E-3</v>
      </c>
      <c r="AT691" s="5">
        <f t="shared" si="119"/>
        <v>5.6799952769047701E-3</v>
      </c>
    </row>
    <row r="692" spans="12:46" x14ac:dyDescent="0.25">
      <c r="L692" s="4">
        <v>44540.5</v>
      </c>
      <c r="M692">
        <v>80.319999999999993</v>
      </c>
      <c r="N692">
        <v>83.89</v>
      </c>
      <c r="O692">
        <v>79.8</v>
      </c>
      <c r="P692">
        <v>83.24</v>
      </c>
      <c r="Q692">
        <v>54227</v>
      </c>
      <c r="R692">
        <v>318620</v>
      </c>
      <c r="S692">
        <v>101.605</v>
      </c>
      <c r="T692">
        <v>107.75</v>
      </c>
      <c r="U692">
        <v>100.83</v>
      </c>
      <c r="V692">
        <v>105.776</v>
      </c>
      <c r="W692">
        <v>243</v>
      </c>
      <c r="X692">
        <v>4.5831465710443789E-2</v>
      </c>
      <c r="Y692">
        <v>0.25696842099918277</v>
      </c>
      <c r="Z692">
        <v>1.6791348343214501</v>
      </c>
      <c r="AB692" s="3">
        <f t="shared" si="110"/>
        <v>4.2830242835330892E-3</v>
      </c>
      <c r="AC692" s="3">
        <f t="shared" si="111"/>
        <v>6.2967173201962309E-3</v>
      </c>
      <c r="AD692" s="3">
        <f t="shared" si="112"/>
        <v>8.5612837515331233E-3</v>
      </c>
      <c r="AE692" s="76">
        <f t="shared" si="113"/>
        <v>8386.4285714285725</v>
      </c>
      <c r="AF692" s="76">
        <f t="shared" si="114"/>
        <v>6030.297619047622</v>
      </c>
      <c r="AG692" s="76">
        <f t="shared" si="115"/>
        <v>8131.4534344711356</v>
      </c>
      <c r="AO692" s="5">
        <f t="shared" si="120"/>
        <v>1.1290929619872465E-3</v>
      </c>
      <c r="AP692" s="5">
        <f t="shared" si="116"/>
        <v>0.3456945830264006</v>
      </c>
      <c r="AR692" s="5">
        <f t="shared" si="117"/>
        <v>1.8255100821608083E-3</v>
      </c>
      <c r="AS692" s="5">
        <f t="shared" si="118"/>
        <v>5.3103199523421019E-3</v>
      </c>
      <c r="AT692" s="5">
        <f t="shared" si="119"/>
        <v>4.9983648004506276E-3</v>
      </c>
    </row>
    <row r="693" spans="12:46" x14ac:dyDescent="0.25">
      <c r="L693" s="4">
        <v>44539.5</v>
      </c>
      <c r="M693">
        <v>89.24</v>
      </c>
      <c r="N693">
        <v>90.2</v>
      </c>
      <c r="O693">
        <v>79.709999999999994</v>
      </c>
      <c r="P693">
        <v>80.599999999999994</v>
      </c>
      <c r="Q693">
        <v>64569</v>
      </c>
      <c r="R693">
        <v>325742</v>
      </c>
      <c r="S693">
        <v>98.5</v>
      </c>
      <c r="T693">
        <v>104.35</v>
      </c>
      <c r="U693">
        <v>97.17</v>
      </c>
      <c r="V693">
        <v>100.44499999999999</v>
      </c>
      <c r="W693">
        <v>416</v>
      </c>
      <c r="X693">
        <v>0.12312206572769964</v>
      </c>
      <c r="Y693">
        <v>4.3287466022565546</v>
      </c>
      <c r="Z693">
        <v>2.6812038665732594</v>
      </c>
      <c r="AB693" s="3">
        <f t="shared" si="110"/>
        <v>3.4241115914941112E-3</v>
      </c>
      <c r="AC693" s="3">
        <f t="shared" si="111"/>
        <v>5.7072267346134561E-3</v>
      </c>
      <c r="AD693" s="3">
        <f t="shared" si="112"/>
        <v>7.6448028075354196E-3</v>
      </c>
      <c r="AE693" s="76">
        <f t="shared" si="113"/>
        <v>6774.2380952380954</v>
      </c>
      <c r="AF693" s="76">
        <f t="shared" si="114"/>
        <v>4720.6011904761908</v>
      </c>
      <c r="AG693" s="76">
        <f t="shared" si="115"/>
        <v>6809.7201854193008</v>
      </c>
      <c r="AO693" s="5">
        <f t="shared" si="120"/>
        <v>-6.3006935464911248E-2</v>
      </c>
      <c r="AP693" s="5">
        <f t="shared" si="116"/>
        <v>0.34618770605465898</v>
      </c>
      <c r="AR693" s="5">
        <f t="shared" si="117"/>
        <v>1.1390987634335992E-3</v>
      </c>
      <c r="AS693" s="5">
        <f t="shared" si="118"/>
        <v>4.6382684882916858E-3</v>
      </c>
      <c r="AT693" s="5">
        <f t="shared" si="119"/>
        <v>4.3496148387967559E-3</v>
      </c>
    </row>
    <row r="694" spans="12:46" x14ac:dyDescent="0.25">
      <c r="L694" s="4">
        <v>44538.5</v>
      </c>
      <c r="M694">
        <v>85.2</v>
      </c>
      <c r="N694">
        <v>90.75</v>
      </c>
      <c r="O694">
        <v>85.07</v>
      </c>
      <c r="P694">
        <v>89.6</v>
      </c>
      <c r="Q694">
        <v>63620</v>
      </c>
      <c r="R694">
        <v>337725</v>
      </c>
      <c r="S694">
        <v>98.6</v>
      </c>
      <c r="T694">
        <v>103.83499999999999</v>
      </c>
      <c r="U694">
        <v>98.6</v>
      </c>
      <c r="V694">
        <v>101.502</v>
      </c>
      <c r="W694">
        <v>364</v>
      </c>
      <c r="X694">
        <v>6.8848484848484937E-2</v>
      </c>
      <c r="Y694">
        <v>1.8350395565843487</v>
      </c>
      <c r="Z694">
        <v>2.8013434638322074</v>
      </c>
      <c r="AB694" s="3">
        <f t="shared" si="110"/>
        <v>2.1971501500672383E-3</v>
      </c>
      <c r="AC694" s="3">
        <f t="shared" si="111"/>
        <v>3.0764903409116473E-3</v>
      </c>
      <c r="AD694" s="3">
        <f t="shared" si="112"/>
        <v>4.6378269046102177E-3</v>
      </c>
      <c r="AE694" s="76">
        <f t="shared" si="113"/>
        <v>5965.6190476190495</v>
      </c>
      <c r="AF694" s="76">
        <f t="shared" si="114"/>
        <v>3544.4583333333321</v>
      </c>
      <c r="AG694" s="76">
        <f t="shared" si="115"/>
        <v>5334.2372524230923</v>
      </c>
      <c r="AO694" s="5">
        <f t="shared" si="120"/>
        <v>3.7439024390243818E-2</v>
      </c>
      <c r="AP694" s="5">
        <f t="shared" si="116"/>
        <v>0.33978682247183561</v>
      </c>
      <c r="AR694" s="5">
        <f t="shared" si="117"/>
        <v>3.2588356906160243E-4</v>
      </c>
      <c r="AS694" s="5">
        <f t="shared" si="118"/>
        <v>3.8468832576979417E-3</v>
      </c>
      <c r="AT694" s="5">
        <f t="shared" si="119"/>
        <v>3.608125228426462E-3</v>
      </c>
    </row>
    <row r="695" spans="12:46" x14ac:dyDescent="0.25">
      <c r="L695" s="4">
        <v>44537.5</v>
      </c>
      <c r="M695">
        <v>82.5</v>
      </c>
      <c r="N695">
        <v>85.5</v>
      </c>
      <c r="O695">
        <v>82</v>
      </c>
      <c r="P695">
        <v>85.41</v>
      </c>
      <c r="Q695">
        <v>45704</v>
      </c>
      <c r="R695">
        <v>338411</v>
      </c>
      <c r="S695">
        <v>95</v>
      </c>
      <c r="T695">
        <v>95.882999999999996</v>
      </c>
      <c r="U695">
        <v>94.594999999999999</v>
      </c>
      <c r="V695">
        <v>95.882999999999996</v>
      </c>
      <c r="W695">
        <v>244</v>
      </c>
      <c r="X695">
        <v>4.473986961523712E-2</v>
      </c>
      <c r="Y695">
        <v>0.39059434719276742</v>
      </c>
      <c r="Z695">
        <v>1.2132197094297748</v>
      </c>
      <c r="AB695" s="3">
        <f t="shared" si="110"/>
        <v>-4.2706176467794538E-4</v>
      </c>
      <c r="AC695" s="3">
        <f t="shared" si="111"/>
        <v>7.0478641042167472E-4</v>
      </c>
      <c r="AD695" s="3">
        <f t="shared" si="112"/>
        <v>2.3536889822630136E-3</v>
      </c>
      <c r="AE695" s="76">
        <f t="shared" si="113"/>
        <v>4621.5714285714275</v>
      </c>
      <c r="AF695" s="76">
        <f t="shared" si="114"/>
        <v>2054.3095238095229</v>
      </c>
      <c r="AG695" s="76">
        <f t="shared" si="115"/>
        <v>3700.9852507374599</v>
      </c>
      <c r="AO695" s="5">
        <f t="shared" si="120"/>
        <v>4.8191230985555361E-2</v>
      </c>
      <c r="AP695" s="5">
        <f t="shared" si="116"/>
        <v>0.33821199912432437</v>
      </c>
      <c r="AR695" s="5">
        <f t="shared" si="117"/>
        <v>-1.8175585340240996E-4</v>
      </c>
      <c r="AS695" s="5">
        <f t="shared" si="118"/>
        <v>3.2802717816128868E-3</v>
      </c>
      <c r="AT695" s="5">
        <f t="shared" si="119"/>
        <v>3.1735331784221721E-3</v>
      </c>
    </row>
    <row r="696" spans="12:46" x14ac:dyDescent="0.25">
      <c r="L696" s="4">
        <v>44536.5</v>
      </c>
      <c r="M696">
        <v>78.23</v>
      </c>
      <c r="N696">
        <v>81.8</v>
      </c>
      <c r="O696">
        <v>78.23</v>
      </c>
      <c r="P696">
        <v>81.650000000000006</v>
      </c>
      <c r="Q696">
        <v>30841</v>
      </c>
      <c r="R696">
        <v>349705</v>
      </c>
      <c r="S696">
        <v>86.6</v>
      </c>
      <c r="T696">
        <v>90.275000000000006</v>
      </c>
      <c r="U696">
        <v>86.6</v>
      </c>
      <c r="V696">
        <v>89.927999999999997</v>
      </c>
      <c r="W696">
        <v>92</v>
      </c>
      <c r="X696">
        <v>4.4641740652744698E-2</v>
      </c>
      <c r="Y696">
        <v>0.40436560877540229</v>
      </c>
      <c r="Z696">
        <v>-0.26840174997483313</v>
      </c>
      <c r="AB696" s="3">
        <f t="shared" si="110"/>
        <v>-2.7730940159277767E-3</v>
      </c>
      <c r="AC696" s="3">
        <f t="shared" si="111"/>
        <v>-4.3040881910803158E-4</v>
      </c>
      <c r="AD696" s="3">
        <f t="shared" si="112"/>
        <v>1.2296444520656022E-3</v>
      </c>
      <c r="AE696" s="76">
        <f t="shared" si="113"/>
        <v>3537.8571428571413</v>
      </c>
      <c r="AF696" s="76">
        <f t="shared" si="114"/>
        <v>1152.5297619047597</v>
      </c>
      <c r="AG696" s="76">
        <f t="shared" si="115"/>
        <v>2759.8352296670892</v>
      </c>
      <c r="AO696" s="5">
        <f t="shared" si="120"/>
        <v>2.9487179487179996E-3</v>
      </c>
      <c r="AP696" s="5">
        <f t="shared" si="116"/>
        <v>0.33541508718799595</v>
      </c>
      <c r="AR696" s="5">
        <f t="shared" si="117"/>
        <v>-5.1789509963556801E-4</v>
      </c>
      <c r="AS696" s="5">
        <f t="shared" si="118"/>
        <v>2.8615911915474967E-3</v>
      </c>
      <c r="AT696" s="5">
        <f t="shared" si="119"/>
        <v>2.879201299660239E-3</v>
      </c>
    </row>
    <row r="697" spans="12:46" x14ac:dyDescent="0.25">
      <c r="L697" s="4">
        <v>44533.5</v>
      </c>
      <c r="M697">
        <v>79.97</v>
      </c>
      <c r="N697">
        <v>80.42</v>
      </c>
      <c r="O697">
        <v>78</v>
      </c>
      <c r="P697">
        <v>78.75</v>
      </c>
      <c r="Q697">
        <v>24516</v>
      </c>
      <c r="R697">
        <v>354871</v>
      </c>
      <c r="S697">
        <v>91.59</v>
      </c>
      <c r="T697">
        <v>92.05</v>
      </c>
      <c r="U697">
        <v>89.477999999999994</v>
      </c>
      <c r="V697">
        <v>89.477999999999994</v>
      </c>
      <c r="W697">
        <v>93</v>
      </c>
      <c r="X697">
        <v>3.1691985332634912E-2</v>
      </c>
      <c r="Y697">
        <v>-0.39262061189140529</v>
      </c>
      <c r="Z697">
        <v>-0.89565700849982277</v>
      </c>
      <c r="AB697" s="3">
        <f t="shared" si="110"/>
        <v>-3.9866111063252968E-3</v>
      </c>
      <c r="AC697" s="3">
        <f t="shared" si="111"/>
        <v>-1.8539113453808972E-3</v>
      </c>
      <c r="AD697" s="3">
        <f t="shared" si="112"/>
        <v>6.6829089503325084E-4</v>
      </c>
      <c r="AE697" s="76">
        <f t="shared" si="113"/>
        <v>2432.4285714285725</v>
      </c>
      <c r="AF697" s="76">
        <f t="shared" si="114"/>
        <v>706.93452380952658</v>
      </c>
      <c r="AG697" s="76">
        <f t="shared" si="115"/>
        <v>2694.1091445427737</v>
      </c>
      <c r="AO697" s="5">
        <f t="shared" si="120"/>
        <v>2.4967148488830564E-2</v>
      </c>
      <c r="AP697" s="5">
        <f t="shared" si="116"/>
        <v>0.33572522195444326</v>
      </c>
      <c r="AR697" s="5">
        <f t="shared" si="117"/>
        <v>-7.8339748300398915E-4</v>
      </c>
      <c r="AS697" s="5">
        <f t="shared" si="118"/>
        <v>2.5730081288215523E-3</v>
      </c>
      <c r="AT697" s="5">
        <f t="shared" si="119"/>
        <v>2.7170893462873935E-3</v>
      </c>
    </row>
    <row r="698" spans="12:46" x14ac:dyDescent="0.25">
      <c r="L698" s="4">
        <v>44532.5</v>
      </c>
      <c r="M698">
        <v>76.36</v>
      </c>
      <c r="N698">
        <v>79.98</v>
      </c>
      <c r="O698">
        <v>76.099999999999994</v>
      </c>
      <c r="P698">
        <v>79.98</v>
      </c>
      <c r="Q698">
        <v>58346</v>
      </c>
      <c r="R698">
        <v>356677</v>
      </c>
      <c r="S698">
        <v>91.6</v>
      </c>
      <c r="T698">
        <v>94.83</v>
      </c>
      <c r="U698">
        <v>89.2</v>
      </c>
      <c r="V698">
        <v>94.83</v>
      </c>
      <c r="W698">
        <v>169</v>
      </c>
      <c r="X698">
        <v>5.1275274216994973E-2</v>
      </c>
      <c r="Y698">
        <v>0.83832780356419911</v>
      </c>
      <c r="Z698">
        <v>2.5281363742687732</v>
      </c>
      <c r="AB698" s="3">
        <f t="shared" si="110"/>
        <v>-6.049899812864537E-3</v>
      </c>
      <c r="AC698" s="3">
        <f t="shared" si="111"/>
        <v>-1.4165021508997719E-3</v>
      </c>
      <c r="AD698" s="3">
        <f t="shared" si="112"/>
        <v>1.4293065420828699E-3</v>
      </c>
      <c r="AE698" s="76">
        <f t="shared" si="113"/>
        <v>2775.4761904761908</v>
      </c>
      <c r="AF698" s="76">
        <f t="shared" si="114"/>
        <v>2477.3452380952367</v>
      </c>
      <c r="AG698" s="76">
        <f t="shared" si="115"/>
        <v>4432.5857564264625</v>
      </c>
      <c r="AO698" s="5">
        <f t="shared" si="120"/>
        <v>1.1564535424697465E-2</v>
      </c>
      <c r="AP698" s="5">
        <f t="shared" si="116"/>
        <v>0.33511095192292356</v>
      </c>
      <c r="AR698" s="5">
        <f t="shared" si="117"/>
        <v>-1.0353681763810019E-3</v>
      </c>
      <c r="AS698" s="5">
        <f t="shared" si="118"/>
        <v>2.343160585992321E-3</v>
      </c>
      <c r="AT698" s="5">
        <f t="shared" si="119"/>
        <v>2.5389062024135933E-3</v>
      </c>
    </row>
    <row r="699" spans="12:46" x14ac:dyDescent="0.25">
      <c r="L699" s="4">
        <v>44531.5</v>
      </c>
      <c r="M699">
        <v>75.67</v>
      </c>
      <c r="N699">
        <v>78.430000000000007</v>
      </c>
      <c r="O699">
        <v>75.23</v>
      </c>
      <c r="P699">
        <v>76.67</v>
      </c>
      <c r="Q699">
        <v>45150</v>
      </c>
      <c r="R699">
        <v>358740</v>
      </c>
      <c r="S699">
        <v>92.6</v>
      </c>
      <c r="T699">
        <v>95.674999999999997</v>
      </c>
      <c r="U699">
        <v>92.6</v>
      </c>
      <c r="V699">
        <v>95.674999999999997</v>
      </c>
      <c r="W699">
        <v>289</v>
      </c>
      <c r="X699">
        <v>4.3360433604336085E-2</v>
      </c>
      <c r="Y699">
        <v>0.36193167534268128</v>
      </c>
      <c r="Z699">
        <v>1.2978125483249923</v>
      </c>
      <c r="AB699" s="3">
        <f t="shared" si="110"/>
        <v>-7.6782573524087142E-3</v>
      </c>
      <c r="AC699" s="3">
        <f t="shared" si="111"/>
        <v>-2.7842199127424139E-3</v>
      </c>
      <c r="AD699" s="3">
        <f t="shared" si="112"/>
        <v>-9.6154155662386831E-5</v>
      </c>
      <c r="AE699" s="76">
        <f t="shared" si="113"/>
        <v>-56</v>
      </c>
      <c r="AF699" s="76">
        <f t="shared" si="114"/>
        <v>756.07142857143117</v>
      </c>
      <c r="AG699" s="76">
        <f t="shared" si="115"/>
        <v>2661.9481668773733</v>
      </c>
      <c r="AO699" s="5">
        <f t="shared" si="120"/>
        <v>2.8856673960612683E-2</v>
      </c>
      <c r="AP699" s="5">
        <f t="shared" si="116"/>
        <v>0.33512699905395704</v>
      </c>
      <c r="AR699" s="5">
        <f t="shared" si="117"/>
        <v>-6.266161237086787E-4</v>
      </c>
      <c r="AS699" s="5">
        <f t="shared" si="118"/>
        <v>2.3093263816992837E-3</v>
      </c>
      <c r="AT699" s="5">
        <f t="shared" si="119"/>
        <v>2.5086329989276734E-3</v>
      </c>
    </row>
    <row r="700" spans="12:46" x14ac:dyDescent="0.25">
      <c r="L700" s="4">
        <v>44530.5</v>
      </c>
      <c r="M700">
        <v>73.8</v>
      </c>
      <c r="N700">
        <v>75.48</v>
      </c>
      <c r="O700">
        <v>73.12</v>
      </c>
      <c r="P700">
        <v>75.260000000000005</v>
      </c>
      <c r="Q700">
        <v>31383</v>
      </c>
      <c r="R700">
        <v>368036</v>
      </c>
      <c r="S700">
        <v>98</v>
      </c>
      <c r="T700">
        <v>98</v>
      </c>
      <c r="U700">
        <v>92.513000000000005</v>
      </c>
      <c r="V700">
        <v>92.513000000000005</v>
      </c>
      <c r="W700">
        <v>27</v>
      </c>
      <c r="X700">
        <v>3.2100108813928177E-2</v>
      </c>
      <c r="Y700">
        <v>-0.33792413438423297</v>
      </c>
      <c r="Z700">
        <v>-0.1283934949163037</v>
      </c>
      <c r="AB700" s="3">
        <f t="shared" si="110"/>
        <v>-6.9016737160010264E-3</v>
      </c>
      <c r="AC700" s="3">
        <f t="shared" si="111"/>
        <v>-2.7721215095095134E-3</v>
      </c>
      <c r="AD700" s="3">
        <f t="shared" si="112"/>
        <v>7.2300597989960469E-5</v>
      </c>
      <c r="AE700" s="76">
        <f t="shared" si="113"/>
        <v>-291</v>
      </c>
      <c r="AF700" s="76">
        <f t="shared" si="114"/>
        <v>595.97619047619082</v>
      </c>
      <c r="AG700" s="76">
        <f t="shared" si="115"/>
        <v>2295.7050147492628</v>
      </c>
      <c r="AO700" s="5">
        <f t="shared" si="120"/>
        <v>-5.4406964091402539E-3</v>
      </c>
      <c r="AP700" s="5">
        <f t="shared" si="116"/>
        <v>0.33435127582276619</v>
      </c>
      <c r="AR700" s="5">
        <f t="shared" si="117"/>
        <v>-3.6389957881927115E-4</v>
      </c>
      <c r="AS700" s="5">
        <f t="shared" si="118"/>
        <v>2.1606439820828216E-3</v>
      </c>
      <c r="AT700" s="5">
        <f t="shared" si="119"/>
        <v>2.3797744374327023E-3</v>
      </c>
    </row>
    <row r="701" spans="12:46" x14ac:dyDescent="0.25">
      <c r="L701" s="4">
        <v>44529.5</v>
      </c>
      <c r="M701">
        <v>73.52</v>
      </c>
      <c r="N701">
        <v>75.760000000000005</v>
      </c>
      <c r="O701">
        <v>73.52</v>
      </c>
      <c r="P701">
        <v>74.05</v>
      </c>
      <c r="Q701">
        <v>30968</v>
      </c>
      <c r="R701">
        <v>374959</v>
      </c>
      <c r="S701">
        <v>94.25</v>
      </c>
      <c r="T701">
        <v>94.25</v>
      </c>
      <c r="U701">
        <v>92.45</v>
      </c>
      <c r="V701">
        <v>93.146000000000001</v>
      </c>
      <c r="W701">
        <v>0</v>
      </c>
      <c r="X701">
        <v>3.0245746691871578E-2</v>
      </c>
      <c r="Y701">
        <v>-0.43517858763265699</v>
      </c>
      <c r="Z701">
        <v>-0.14648692990353607</v>
      </c>
      <c r="AB701" s="3">
        <f t="shared" si="110"/>
        <v>-4.3403155680637184E-3</v>
      </c>
      <c r="AC701" s="3">
        <f t="shared" si="111"/>
        <v>-4.5022039478540693E-4</v>
      </c>
      <c r="AD701" s="3">
        <f t="shared" si="112"/>
        <v>1.8490170849940757E-3</v>
      </c>
      <c r="AE701" s="76">
        <f t="shared" si="113"/>
        <v>-177.76190476190459</v>
      </c>
      <c r="AF701" s="76">
        <f t="shared" si="114"/>
        <v>698.33928571428623</v>
      </c>
      <c r="AG701" s="76">
        <f t="shared" si="115"/>
        <v>2228.8697850821736</v>
      </c>
      <c r="AO701" s="5">
        <f t="shared" si="120"/>
        <v>4.4763393491544567E-2</v>
      </c>
      <c r="AP701" s="5">
        <f t="shared" si="116"/>
        <v>0.33480735051348665</v>
      </c>
      <c r="AR701" s="5">
        <f t="shared" si="117"/>
        <v>6.5251551163936217E-5</v>
      </c>
      <c r="AS701" s="5">
        <f t="shared" si="118"/>
        <v>2.1470406044734602E-3</v>
      </c>
      <c r="AT701" s="5">
        <f t="shared" si="119"/>
        <v>2.3844773813374576E-3</v>
      </c>
    </row>
    <row r="702" spans="12:46" x14ac:dyDescent="0.25">
      <c r="L702" s="4">
        <v>44526.5</v>
      </c>
      <c r="M702">
        <v>74.06</v>
      </c>
      <c r="N702">
        <v>74.239999999999995</v>
      </c>
      <c r="O702">
        <v>70.37</v>
      </c>
      <c r="P702">
        <v>72.75</v>
      </c>
      <c r="Q702">
        <v>39797</v>
      </c>
      <c r="R702">
        <v>380252</v>
      </c>
      <c r="S702">
        <v>92.45</v>
      </c>
      <c r="T702">
        <v>94.4</v>
      </c>
      <c r="U702">
        <v>87.75</v>
      </c>
      <c r="V702">
        <v>87.772000000000006</v>
      </c>
      <c r="W702">
        <v>75</v>
      </c>
      <c r="X702">
        <v>5.2999178307312933E-2</v>
      </c>
      <c r="Y702">
        <v>0.97745791822176753</v>
      </c>
      <c r="Z702">
        <v>0.77750532531783378</v>
      </c>
      <c r="AB702" s="3">
        <f t="shared" si="110"/>
        <v>-5.4718577274605606E-3</v>
      </c>
      <c r="AC702" s="3">
        <f t="shared" si="111"/>
        <v>-1.0170267559328136E-3</v>
      </c>
      <c r="AD702" s="3">
        <f t="shared" si="112"/>
        <v>1.5065876112726403E-3</v>
      </c>
      <c r="AE702" s="76">
        <f t="shared" si="113"/>
        <v>-1622.1428571428551</v>
      </c>
      <c r="AF702" s="76">
        <f t="shared" si="114"/>
        <v>467.75595238095048</v>
      </c>
      <c r="AG702" s="76">
        <f t="shared" si="115"/>
        <v>1827.8386009270944</v>
      </c>
      <c r="AO702" s="5">
        <f t="shared" si="120"/>
        <v>-2.412980169185959E-2</v>
      </c>
      <c r="AP702" s="5">
        <f t="shared" si="116"/>
        <v>0.33237280489536036</v>
      </c>
      <c r="AR702" s="5">
        <f t="shared" si="117"/>
        <v>4.0164472716425204E-4</v>
      </c>
      <c r="AS702" s="5">
        <f t="shared" si="118"/>
        <v>2.0714464078092076E-3</v>
      </c>
      <c r="AT702" s="5">
        <f t="shared" si="119"/>
        <v>2.3256655885663946E-3</v>
      </c>
    </row>
    <row r="703" spans="12:46" x14ac:dyDescent="0.25">
      <c r="L703" s="4">
        <v>44525.5</v>
      </c>
      <c r="M703">
        <v>73.02</v>
      </c>
      <c r="N703">
        <v>75.05</v>
      </c>
      <c r="O703">
        <v>72.11</v>
      </c>
      <c r="P703">
        <v>75</v>
      </c>
      <c r="Q703">
        <v>32116</v>
      </c>
      <c r="R703">
        <v>385992</v>
      </c>
      <c r="S703">
        <v>93.85</v>
      </c>
      <c r="T703">
        <v>93.983999999999995</v>
      </c>
      <c r="U703">
        <v>93.85</v>
      </c>
      <c r="V703">
        <v>93.983999999999995</v>
      </c>
      <c r="W703">
        <v>0</v>
      </c>
      <c r="X703">
        <v>4.2289988492520109E-2</v>
      </c>
      <c r="Y703">
        <v>0.31654288583177742</v>
      </c>
      <c r="Z703">
        <v>9.987976332501208E-3</v>
      </c>
      <c r="AB703" s="3">
        <f t="shared" si="110"/>
        <v>-6.5888389202850631E-3</v>
      </c>
      <c r="AC703" s="3">
        <f t="shared" si="111"/>
        <v>-2.3475445132766712E-3</v>
      </c>
      <c r="AD703" s="3">
        <f t="shared" si="112"/>
        <v>2.3946914111849099E-4</v>
      </c>
      <c r="AE703" s="76">
        <f t="shared" si="113"/>
        <v>-3150.5238095238092</v>
      </c>
      <c r="AF703" s="76">
        <f t="shared" si="114"/>
        <v>-492.74404761904589</v>
      </c>
      <c r="AG703" s="76">
        <f t="shared" si="115"/>
        <v>969.16856300042491</v>
      </c>
      <c r="AO703" s="5">
        <f t="shared" si="120"/>
        <v>4.613375888582609E-2</v>
      </c>
      <c r="AP703" s="5">
        <f t="shared" si="116"/>
        <v>0.33162878290982023</v>
      </c>
      <c r="AR703" s="5">
        <f t="shared" si="117"/>
        <v>8.8514565761321773E-4</v>
      </c>
      <c r="AS703" s="5">
        <f t="shared" si="118"/>
        <v>2.1118372743645364E-3</v>
      </c>
      <c r="AT703" s="5">
        <f t="shared" si="119"/>
        <v>2.3934135727600725E-3</v>
      </c>
    </row>
    <row r="704" spans="12:46" x14ac:dyDescent="0.25">
      <c r="L704" s="4">
        <v>44524.5</v>
      </c>
      <c r="M704">
        <v>69.52</v>
      </c>
      <c r="N704">
        <v>73.180000000000007</v>
      </c>
      <c r="O704">
        <v>68.930000000000007</v>
      </c>
      <c r="P704">
        <v>73.02</v>
      </c>
      <c r="Q704">
        <v>39158</v>
      </c>
      <c r="R704">
        <v>387940</v>
      </c>
      <c r="S704">
        <v>93.85</v>
      </c>
      <c r="T704">
        <v>93.983999999999995</v>
      </c>
      <c r="U704">
        <v>93.85</v>
      </c>
      <c r="V704">
        <v>93.983999999999995</v>
      </c>
      <c r="W704">
        <v>6</v>
      </c>
      <c r="X704">
        <v>6.097560975609756E-2</v>
      </c>
      <c r="Y704">
        <v>1.4723697833725042</v>
      </c>
      <c r="Z704">
        <v>0.74681572605664026</v>
      </c>
      <c r="AB704" s="3">
        <f t="shared" si="110"/>
        <v>-9.5510542152582659E-3</v>
      </c>
      <c r="AC704" s="3">
        <f t="shared" si="111"/>
        <v>-3.2159132445521363E-3</v>
      </c>
      <c r="AD704" s="3">
        <f t="shared" si="112"/>
        <v>-1.0005048214657558E-3</v>
      </c>
      <c r="AE704" s="76">
        <f t="shared" si="113"/>
        <v>-4542.6190476190495</v>
      </c>
      <c r="AF704" s="76">
        <f t="shared" si="114"/>
        <v>-849.80952380952658</v>
      </c>
      <c r="AG704" s="76">
        <f t="shared" si="115"/>
        <v>449.16519174041241</v>
      </c>
      <c r="AO704" s="5">
        <f t="shared" si="120"/>
        <v>2.6181818181819174E-3</v>
      </c>
      <c r="AP704" s="5">
        <f t="shared" si="116"/>
        <v>0.3291911112565245</v>
      </c>
      <c r="AR704" s="5">
        <f t="shared" si="117"/>
        <v>1.346158523209795E-3</v>
      </c>
      <c r="AS704" s="5">
        <f t="shared" si="118"/>
        <v>2.1436986696004023E-3</v>
      </c>
      <c r="AT704" s="5">
        <f t="shared" si="119"/>
        <v>2.4603719650292954E-3</v>
      </c>
    </row>
    <row r="705" spans="12:46" x14ac:dyDescent="0.25">
      <c r="L705" s="4">
        <v>44523.5</v>
      </c>
      <c r="M705">
        <v>69.7</v>
      </c>
      <c r="N705">
        <v>70.64</v>
      </c>
      <c r="O705">
        <v>68.75</v>
      </c>
      <c r="P705">
        <v>69.33</v>
      </c>
      <c r="Q705">
        <v>32429</v>
      </c>
      <c r="R705">
        <v>392046</v>
      </c>
      <c r="S705">
        <v>86.95</v>
      </c>
      <c r="T705">
        <v>91.4</v>
      </c>
      <c r="U705">
        <v>86.95</v>
      </c>
      <c r="V705">
        <v>90.927000000000007</v>
      </c>
      <c r="W705">
        <v>35</v>
      </c>
      <c r="X705">
        <v>2.7042495349835462E-2</v>
      </c>
      <c r="Y705">
        <v>-0.58478089330050198</v>
      </c>
      <c r="Z705">
        <v>9.5463288892494044E-2</v>
      </c>
      <c r="AB705" s="3">
        <f t="shared" si="110"/>
        <v>-1.123451251568864E-2</v>
      </c>
      <c r="AC705" s="3">
        <f t="shared" si="111"/>
        <v>-4.9839404321983943E-3</v>
      </c>
      <c r="AD705" s="3">
        <f t="shared" si="112"/>
        <v>-3.0456698272622804E-3</v>
      </c>
      <c r="AE705" s="76">
        <f t="shared" si="113"/>
        <v>-6212.047619047622</v>
      </c>
      <c r="AF705" s="76">
        <f t="shared" si="114"/>
        <v>-1612.625</v>
      </c>
      <c r="AG705" s="76">
        <f t="shared" si="115"/>
        <v>-615.08596713021689</v>
      </c>
      <c r="AO705" s="5">
        <f t="shared" si="120"/>
        <v>-7.2202166064981952E-3</v>
      </c>
      <c r="AP705" s="5">
        <f t="shared" si="116"/>
        <v>0.32984943192025307</v>
      </c>
      <c r="AR705" s="5">
        <f t="shared" si="117"/>
        <v>2.0622235095583696E-3</v>
      </c>
      <c r="AS705" s="5">
        <f t="shared" si="118"/>
        <v>2.3577689113495892E-3</v>
      </c>
      <c r="AT705" s="5">
        <f t="shared" si="119"/>
        <v>2.7022522224768863E-3</v>
      </c>
    </row>
    <row r="706" spans="12:46" x14ac:dyDescent="0.25">
      <c r="L706" s="4">
        <v>44522.5</v>
      </c>
      <c r="M706">
        <v>69.89</v>
      </c>
      <c r="N706">
        <v>71.209999999999994</v>
      </c>
      <c r="O706">
        <v>69.25</v>
      </c>
      <c r="P706">
        <v>69.7</v>
      </c>
      <c r="Q706">
        <v>33257</v>
      </c>
      <c r="R706">
        <v>386900</v>
      </c>
      <c r="S706">
        <v>84.25</v>
      </c>
      <c r="T706">
        <v>86.02</v>
      </c>
      <c r="U706">
        <v>81.95</v>
      </c>
      <c r="V706">
        <v>84.016999999999996</v>
      </c>
      <c r="W706">
        <v>61</v>
      </c>
      <c r="X706">
        <v>2.8323699421965227E-2</v>
      </c>
      <c r="Y706">
        <v>-0.50788091056195717</v>
      </c>
      <c r="Z706">
        <v>0.19180156566733977</v>
      </c>
      <c r="AB706" s="3">
        <f t="shared" si="110"/>
        <v>-1.3857615732123373E-2</v>
      </c>
      <c r="AC706" s="3">
        <f t="shared" si="111"/>
        <v>-5.1755448746918717E-3</v>
      </c>
      <c r="AD706" s="3">
        <f t="shared" si="112"/>
        <v>-3.8437531038024164E-3</v>
      </c>
      <c r="AE706" s="76">
        <f t="shared" si="113"/>
        <v>-7725.1904761904734</v>
      </c>
      <c r="AF706" s="76">
        <f t="shared" si="114"/>
        <v>-2225.8333333333321</v>
      </c>
      <c r="AG706" s="76">
        <f t="shared" si="115"/>
        <v>-1806.5292878213222</v>
      </c>
      <c r="AO706" s="5">
        <f t="shared" si="120"/>
        <v>9.3280862847981427E-3</v>
      </c>
      <c r="AP706" s="5">
        <f t="shared" si="116"/>
        <v>0.32988011299729658</v>
      </c>
      <c r="AR706" s="5">
        <f t="shared" si="117"/>
        <v>3.0275624672901902E-3</v>
      </c>
      <c r="AS706" s="5">
        <f t="shared" si="118"/>
        <v>2.5661646233124391E-3</v>
      </c>
      <c r="AT706" s="5">
        <f t="shared" si="119"/>
        <v>2.9337961929918333E-3</v>
      </c>
    </row>
    <row r="707" spans="12:46" x14ac:dyDescent="0.25">
      <c r="L707" s="4">
        <v>44519.5</v>
      </c>
      <c r="M707">
        <v>69.2</v>
      </c>
      <c r="N707">
        <v>69.88</v>
      </c>
      <c r="O707">
        <v>68.61</v>
      </c>
      <c r="P707">
        <v>69.75</v>
      </c>
      <c r="Q707">
        <v>26896</v>
      </c>
      <c r="R707">
        <v>387749</v>
      </c>
      <c r="S707">
        <v>91.125</v>
      </c>
      <c r="T707">
        <v>91.125</v>
      </c>
      <c r="U707">
        <v>86</v>
      </c>
      <c r="V707">
        <v>87.125</v>
      </c>
      <c r="W707">
        <v>6</v>
      </c>
      <c r="X707">
        <v>1.8867924528301827E-2</v>
      </c>
      <c r="Y707">
        <v>-1.111162807318532</v>
      </c>
      <c r="Z707">
        <v>-0.43071484196035348</v>
      </c>
      <c r="AB707" s="3">
        <f t="shared" si="110"/>
        <v>-1.2988377731710063E-2</v>
      </c>
      <c r="AC707" s="3">
        <f t="shared" si="111"/>
        <v>-4.4128114549105632E-3</v>
      </c>
      <c r="AD707" s="3">
        <f t="shared" si="112"/>
        <v>-3.5667664470670352E-3</v>
      </c>
      <c r="AE707" s="76">
        <f t="shared" si="113"/>
        <v>-8907.1904761904771</v>
      </c>
      <c r="AF707" s="76">
        <f t="shared" si="114"/>
        <v>-2749.0238095238092</v>
      </c>
      <c r="AG707" s="76">
        <f t="shared" si="115"/>
        <v>-2611.7817109144562</v>
      </c>
      <c r="AO707" s="5">
        <f t="shared" si="120"/>
        <v>3.5466344702686302E-2</v>
      </c>
      <c r="AP707" s="5">
        <f t="shared" si="116"/>
        <v>0.33113542127468454</v>
      </c>
      <c r="AR707" s="5">
        <f t="shared" si="117"/>
        <v>4.0228451070897231E-3</v>
      </c>
      <c r="AS707" s="5">
        <f t="shared" si="118"/>
        <v>2.799049904697426E-3</v>
      </c>
      <c r="AT707" s="5">
        <f t="shared" si="119"/>
        <v>3.266724287460554E-3</v>
      </c>
    </row>
    <row r="708" spans="12:46" x14ac:dyDescent="0.25">
      <c r="L708" s="4">
        <v>44518.5</v>
      </c>
      <c r="M708">
        <v>67.31</v>
      </c>
      <c r="N708">
        <v>69.27</v>
      </c>
      <c r="O708">
        <v>66.260000000000005</v>
      </c>
      <c r="P708">
        <v>68.680000000000007</v>
      </c>
      <c r="Q708">
        <v>31435</v>
      </c>
      <c r="R708">
        <v>388023</v>
      </c>
      <c r="S708">
        <v>93.6</v>
      </c>
      <c r="T708">
        <v>95.3</v>
      </c>
      <c r="U708">
        <v>91.364999999999995</v>
      </c>
      <c r="V708">
        <v>95.167000000000002</v>
      </c>
      <c r="W708">
        <v>36</v>
      </c>
      <c r="X708">
        <v>4.4395280235988072E-2</v>
      </c>
      <c r="Y708">
        <v>0.4775468742532844</v>
      </c>
      <c r="Z708">
        <v>-8.2538777445469308E-3</v>
      </c>
      <c r="AB708" s="3">
        <f t="shared" si="110"/>
        <v>-1.0885186670372256E-2</v>
      </c>
      <c r="AC708" s="3">
        <f t="shared" si="111"/>
        <v>-3.2257137019668716E-3</v>
      </c>
      <c r="AD708" s="3">
        <f t="shared" si="112"/>
        <v>-2.4809318275267958E-3</v>
      </c>
      <c r="AE708" s="76">
        <f t="shared" si="113"/>
        <v>-8745.9523809523816</v>
      </c>
      <c r="AF708" s="76">
        <f t="shared" si="114"/>
        <v>-2417.4702380952367</v>
      </c>
      <c r="AG708" s="76">
        <f t="shared" si="115"/>
        <v>-2500.1963758954917</v>
      </c>
      <c r="AO708" s="5">
        <f t="shared" si="120"/>
        <v>-7.3408239700373766E-3</v>
      </c>
      <c r="AP708" s="5">
        <f t="shared" si="116"/>
        <v>0.32975891624858988</v>
      </c>
      <c r="AR708" s="5">
        <f t="shared" si="117"/>
        <v>5.0512893286093763E-3</v>
      </c>
      <c r="AS708" s="5">
        <f t="shared" si="118"/>
        <v>3.0463303534881692E-3</v>
      </c>
      <c r="AT708" s="5">
        <f t="shared" si="119"/>
        <v>3.6529510090491102E-3</v>
      </c>
    </row>
    <row r="709" spans="12:46" x14ac:dyDescent="0.25">
      <c r="L709" s="4">
        <v>44517.5</v>
      </c>
      <c r="M709">
        <v>67.8</v>
      </c>
      <c r="N709">
        <v>68.45</v>
      </c>
      <c r="O709">
        <v>66.75</v>
      </c>
      <c r="P709">
        <v>67.16</v>
      </c>
      <c r="Q709">
        <v>28258</v>
      </c>
      <c r="R709">
        <v>387271</v>
      </c>
      <c r="S709">
        <v>97.99</v>
      </c>
      <c r="T709">
        <v>99.85</v>
      </c>
      <c r="U709">
        <v>95.004000000000005</v>
      </c>
      <c r="V709">
        <v>95.004000000000005</v>
      </c>
      <c r="W709">
        <v>50</v>
      </c>
      <c r="X709">
        <v>2.5563909774436133E-2</v>
      </c>
      <c r="Y709">
        <v>-0.70055641880051334</v>
      </c>
      <c r="Z709">
        <v>-0.31373501257308567</v>
      </c>
      <c r="AB709" s="3">
        <f t="shared" si="110"/>
        <v>-8.443151083695484E-3</v>
      </c>
      <c r="AC709" s="3">
        <f t="shared" si="111"/>
        <v>-1.7416416729635967E-3</v>
      </c>
      <c r="AD709" s="3">
        <f t="shared" si="112"/>
        <v>-1.5268410861471529E-3</v>
      </c>
      <c r="AE709" s="76">
        <f t="shared" si="113"/>
        <v>-8338.6666666666642</v>
      </c>
      <c r="AF709" s="76">
        <f t="shared" si="114"/>
        <v>-2085.8273809523816</v>
      </c>
      <c r="AG709" s="76">
        <f t="shared" si="115"/>
        <v>-2439.8196375895495</v>
      </c>
      <c r="AO709" s="5">
        <f t="shared" si="120"/>
        <v>8.7653014961462643E-3</v>
      </c>
      <c r="AP709" s="5">
        <f t="shared" si="116"/>
        <v>0.33117032259627338</v>
      </c>
      <c r="AR709" s="5">
        <f t="shared" si="117"/>
        <v>6.0022613254689383E-3</v>
      </c>
      <c r="AS709" s="5">
        <f t="shared" si="118"/>
        <v>3.2859950200445076E-3</v>
      </c>
      <c r="AT709" s="5">
        <f t="shared" si="119"/>
        <v>4.0411000280416443E-3</v>
      </c>
    </row>
    <row r="710" spans="12:46" x14ac:dyDescent="0.25">
      <c r="L710" s="4">
        <v>44516.5</v>
      </c>
      <c r="M710">
        <v>66.5</v>
      </c>
      <c r="N710">
        <v>67.89</v>
      </c>
      <c r="O710">
        <v>66.17</v>
      </c>
      <c r="P710">
        <v>67.77</v>
      </c>
      <c r="Q710">
        <v>33181</v>
      </c>
      <c r="R710">
        <v>388675</v>
      </c>
      <c r="S710">
        <v>84.38</v>
      </c>
      <c r="T710">
        <v>94.188999999999993</v>
      </c>
      <c r="U710">
        <v>84.38</v>
      </c>
      <c r="V710">
        <v>94.188999999999993</v>
      </c>
      <c r="W710">
        <v>64</v>
      </c>
      <c r="X710">
        <v>2.706530291109361E-2</v>
      </c>
      <c r="Y710">
        <v>-0.63177077565710993</v>
      </c>
      <c r="Z710">
        <v>0.173712344684746</v>
      </c>
      <c r="AB710" s="3">
        <f t="shared" si="110"/>
        <v>-4.6709933724603872E-3</v>
      </c>
      <c r="AC710" s="3">
        <f t="shared" si="111"/>
        <v>1.1730215047374981E-3</v>
      </c>
      <c r="AD710" s="3">
        <f t="shared" si="112"/>
        <v>1.1009548561696295E-3</v>
      </c>
      <c r="AE710" s="76">
        <f t="shared" si="113"/>
        <v>-6930.9047619047633</v>
      </c>
      <c r="AF710" s="76">
        <f t="shared" si="114"/>
        <v>-798</v>
      </c>
      <c r="AG710" s="76">
        <f t="shared" si="115"/>
        <v>-1407.3451327433613</v>
      </c>
      <c r="AO710" s="5">
        <f t="shared" si="120"/>
        <v>4.1227380015735712E-2</v>
      </c>
      <c r="AP710" s="5">
        <f t="shared" si="116"/>
        <v>0.33155722912293673</v>
      </c>
      <c r="AR710" s="5">
        <f t="shared" si="117"/>
        <v>7.086880583688504E-3</v>
      </c>
      <c r="AS710" s="5">
        <f t="shared" si="118"/>
        <v>3.5910712032967695E-3</v>
      </c>
      <c r="AT710" s="5">
        <f t="shared" si="119"/>
        <v>4.4802715489211664E-3</v>
      </c>
    </row>
    <row r="711" spans="12:46" x14ac:dyDescent="0.25">
      <c r="L711" s="4">
        <v>44515.5</v>
      </c>
      <c r="M711">
        <v>63.55</v>
      </c>
      <c r="N711">
        <v>66.97</v>
      </c>
      <c r="O711">
        <v>63.55</v>
      </c>
      <c r="P711">
        <v>66.739999999999995</v>
      </c>
      <c r="Q711">
        <v>32867</v>
      </c>
      <c r="R711">
        <v>391853</v>
      </c>
      <c r="S711">
        <v>78.295000000000002</v>
      </c>
      <c r="T711">
        <v>82.094999999999999</v>
      </c>
      <c r="U711">
        <v>78.284999999999997</v>
      </c>
      <c r="V711">
        <v>79.947000000000003</v>
      </c>
      <c r="W711">
        <v>50</v>
      </c>
      <c r="X711">
        <v>5.3630233652187574E-2</v>
      </c>
      <c r="Y711">
        <v>0.95293403540240595</v>
      </c>
      <c r="Z711">
        <v>0.15702934637532462</v>
      </c>
      <c r="AB711" s="3">
        <f t="shared" si="110"/>
        <v>-3.1345094121010345E-3</v>
      </c>
      <c r="AC711" s="3">
        <f t="shared" si="111"/>
        <v>2.0823568180971461E-3</v>
      </c>
      <c r="AD711" s="3">
        <f t="shared" si="112"/>
        <v>1.6381832217470735E-3</v>
      </c>
      <c r="AE711" s="76">
        <f t="shared" si="113"/>
        <v>-7025.6666666666642</v>
      </c>
      <c r="AF711" s="76">
        <f t="shared" si="114"/>
        <v>-781.70238095237801</v>
      </c>
      <c r="AG711" s="76">
        <f t="shared" si="115"/>
        <v>-1679.5731142014301</v>
      </c>
      <c r="AO711" s="5">
        <f t="shared" si="120"/>
        <v>7.1315372424721989E-3</v>
      </c>
      <c r="AP711" s="5">
        <f t="shared" si="116"/>
        <v>0.32949945755481164</v>
      </c>
      <c r="AR711" s="5">
        <f t="shared" si="117"/>
        <v>7.4118100249274121E-3</v>
      </c>
      <c r="AS711" s="5">
        <f t="shared" si="118"/>
        <v>3.5684975244858474E-3</v>
      </c>
      <c r="AT711" s="5">
        <f t="shared" si="119"/>
        <v>4.6277253167144039E-3</v>
      </c>
    </row>
    <row r="712" spans="12:46" x14ac:dyDescent="0.25">
      <c r="L712" s="4">
        <v>44512.5</v>
      </c>
      <c r="M712">
        <v>63.77</v>
      </c>
      <c r="N712">
        <v>64.489999999999995</v>
      </c>
      <c r="O712">
        <v>63.1</v>
      </c>
      <c r="P712">
        <v>63.35</v>
      </c>
      <c r="Q712">
        <v>23123</v>
      </c>
      <c r="R712">
        <v>396807</v>
      </c>
      <c r="S712">
        <v>77.77</v>
      </c>
      <c r="T712">
        <v>77.77</v>
      </c>
      <c r="U712">
        <v>74.06</v>
      </c>
      <c r="V712">
        <v>75.674999999999997</v>
      </c>
      <c r="W712">
        <v>30</v>
      </c>
      <c r="X712">
        <v>2.2032017752417078E-2</v>
      </c>
      <c r="Y712">
        <v>-0.92543148850177259</v>
      </c>
      <c r="Z712">
        <v>-0.76858504562829855</v>
      </c>
      <c r="AB712" s="3">
        <f t="shared" si="110"/>
        <v>-1.7288077382229816E-3</v>
      </c>
      <c r="AC712" s="3">
        <f t="shared" si="111"/>
        <v>3.1923117618852317E-3</v>
      </c>
      <c r="AD712" s="3">
        <f t="shared" si="112"/>
        <v>2.2681445584861112E-3</v>
      </c>
      <c r="AE712" s="76">
        <f t="shared" si="113"/>
        <v>-7911.1428571428587</v>
      </c>
      <c r="AF712" s="76">
        <f t="shared" si="114"/>
        <v>-852.47619047619082</v>
      </c>
      <c r="AG712" s="76">
        <f t="shared" si="115"/>
        <v>-1983.2966708807435</v>
      </c>
      <c r="AO712" s="5">
        <f t="shared" si="120"/>
        <v>1.659416787497988E-2</v>
      </c>
      <c r="AP712" s="5">
        <f t="shared" si="116"/>
        <v>0.33133689811133749</v>
      </c>
      <c r="AR712" s="5">
        <f t="shared" si="117"/>
        <v>7.7614341818433297E-3</v>
      </c>
      <c r="AS712" s="5">
        <f t="shared" si="118"/>
        <v>3.6114532594146431E-3</v>
      </c>
      <c r="AT712" s="5">
        <f t="shared" si="119"/>
        <v>4.8552409813887309E-3</v>
      </c>
    </row>
    <row r="713" spans="12:46" x14ac:dyDescent="0.25">
      <c r="L713" s="4">
        <v>44511.5</v>
      </c>
      <c r="M713">
        <v>63.09</v>
      </c>
      <c r="N713">
        <v>63.92</v>
      </c>
      <c r="O713">
        <v>62.07</v>
      </c>
      <c r="P713">
        <v>63.64</v>
      </c>
      <c r="Q713">
        <v>24473</v>
      </c>
      <c r="R713">
        <v>397940</v>
      </c>
      <c r="S713">
        <v>72</v>
      </c>
      <c r="T713">
        <v>75.099999999999994</v>
      </c>
      <c r="U713">
        <v>72</v>
      </c>
      <c r="V713">
        <v>74.790000000000006</v>
      </c>
      <c r="W713">
        <v>14</v>
      </c>
      <c r="X713">
        <v>3.0761556368473584E-2</v>
      </c>
      <c r="Y713">
        <v>-0.40816695721050555</v>
      </c>
      <c r="Z713">
        <v>-0.63388848612130611</v>
      </c>
      <c r="AB713" s="3">
        <f t="shared" ref="AB713:AB776" si="121">AVERAGEA(X713:X733)-AVERAGE(X734:X754)</f>
        <v>-5.2350609684280458E-4</v>
      </c>
      <c r="AC713" s="3">
        <f t="shared" ref="AC713:AC776" si="122">AVERAGEA(X713:X733)-AVERAGE(X734:X789)</f>
        <v>4.6743117114248361E-3</v>
      </c>
      <c r="AD713" s="3">
        <f t="shared" ref="AD713:AD776" si="123">AVERAGEA(X713:X733)-AVERAGE(X734:X846)</f>
        <v>3.463891037672813E-3</v>
      </c>
      <c r="AE713" s="76">
        <f t="shared" ref="AE713:AE776" si="124">AVERAGEA(Q713:Q733)-AVERAGE(Q734:Q754)</f>
        <v>-7753.761904761901</v>
      </c>
      <c r="AF713" s="76">
        <f t="shared" ref="AF713:AF776" si="125">AVERAGEA(Q713:Q733)-AVERAGE(Q734:Q789)</f>
        <v>-74.488095238095411</v>
      </c>
      <c r="AG713" s="76">
        <f t="shared" ref="AG713:AG776" si="126">AVERAGEA(Q713:Q733)-AVERAGE(Q734:Q846)</f>
        <v>-1403.5503581963749</v>
      </c>
      <c r="AO713" s="5">
        <f t="shared" si="120"/>
        <v>3.7786323357298077E-2</v>
      </c>
      <c r="AP713" s="5">
        <f t="shared" ref="AP713:AP776" si="127">_xlfn.STDEV.S(AO713:AO972)*SQRT(252)</f>
        <v>0.33113779765901719</v>
      </c>
      <c r="AR713" s="5">
        <f t="shared" ref="AR713:AR776" si="128">IFERROR(AVERAGEA(AP713:AP733)-AVERAGE(AP734:AP754),"")</f>
        <v>7.9356542388482887E-3</v>
      </c>
      <c r="AS713" s="5">
        <f t="shared" ref="AS713:AS776" si="129">IFERROR(AVERAGEA(AP713:AP733)-AVERAGE(AP734:AP789),"")</f>
        <v>3.53225316601119E-3</v>
      </c>
      <c r="AT713" s="5">
        <f t="shared" ref="AT713:AT776" si="130">IFERROR(AVERAGEA(AP713:AP733)-AVERAGE(AP734:AP846),"")</f>
        <v>4.9633254126325577E-3</v>
      </c>
    </row>
    <row r="714" spans="12:46" x14ac:dyDescent="0.25">
      <c r="L714" s="4">
        <v>44510.5</v>
      </c>
      <c r="M714">
        <v>60.14</v>
      </c>
      <c r="N714">
        <v>63.28</v>
      </c>
      <c r="O714">
        <v>59.81</v>
      </c>
      <c r="P714">
        <v>62.93</v>
      </c>
      <c r="Q714">
        <v>33666</v>
      </c>
      <c r="R714">
        <v>401417</v>
      </c>
      <c r="S714">
        <v>66.709999999999994</v>
      </c>
      <c r="T714">
        <v>70.37</v>
      </c>
      <c r="U714">
        <v>64.504999999999995</v>
      </c>
      <c r="V714">
        <v>70.123000000000005</v>
      </c>
      <c r="W714">
        <v>55</v>
      </c>
      <c r="X714">
        <v>5.7374338624338606E-2</v>
      </c>
      <c r="Y714">
        <v>1.1601663253558747</v>
      </c>
      <c r="Z714">
        <v>0.24918810917937073</v>
      </c>
      <c r="AB714" s="3">
        <f t="shared" si="121"/>
        <v>-8.83802493595022E-4</v>
      </c>
      <c r="AC714" s="3">
        <f t="shared" si="122"/>
        <v>5.0711352695053113E-3</v>
      </c>
      <c r="AD714" s="3">
        <f t="shared" si="123"/>
        <v>3.6020251799225023E-3</v>
      </c>
      <c r="AE714" s="76">
        <f t="shared" si="124"/>
        <v>-8381.2857142857138</v>
      </c>
      <c r="AF714" s="76">
        <f t="shared" si="125"/>
        <v>194.70238095238165</v>
      </c>
      <c r="AG714" s="76">
        <f t="shared" si="126"/>
        <v>-1214.0134850400354</v>
      </c>
      <c r="AO714" s="5">
        <f t="shared" ref="AO714:AO777" si="131">IFERROR((O714-O715)/O715,"")</f>
        <v>-1.3357822674903706E-3</v>
      </c>
      <c r="AP714" s="5">
        <f t="shared" si="127"/>
        <v>0.33002414475176045</v>
      </c>
      <c r="AR714" s="5">
        <f t="shared" si="128"/>
        <v>8.1581506779030422E-3</v>
      </c>
      <c r="AS714" s="5">
        <f t="shared" si="129"/>
        <v>3.4939434780575374E-3</v>
      </c>
      <c r="AT714" s="5">
        <f t="shared" si="130"/>
        <v>5.1177218745168673E-3</v>
      </c>
    </row>
    <row r="715" spans="12:46" x14ac:dyDescent="0.25">
      <c r="L715" s="4">
        <v>44509.5</v>
      </c>
      <c r="M715">
        <v>60.48</v>
      </c>
      <c r="N715">
        <v>61.4</v>
      </c>
      <c r="O715">
        <v>59.89</v>
      </c>
      <c r="P715">
        <v>60.32</v>
      </c>
      <c r="Q715">
        <v>29814</v>
      </c>
      <c r="R715">
        <v>402346</v>
      </c>
      <c r="S715">
        <v>76.5</v>
      </c>
      <c r="T715">
        <v>76.900000000000006</v>
      </c>
      <c r="U715">
        <v>72.587000000000003</v>
      </c>
      <c r="V715">
        <v>72.587000000000003</v>
      </c>
      <c r="W715">
        <v>30</v>
      </c>
      <c r="X715">
        <v>2.5233957219251302E-2</v>
      </c>
      <c r="Y715">
        <v>-0.73609595196498601</v>
      </c>
      <c r="Z715">
        <v>-0.10547394602984873</v>
      </c>
      <c r="AB715" s="3">
        <f t="shared" si="121"/>
        <v>-3.3398281121071946E-3</v>
      </c>
      <c r="AC715" s="3">
        <f t="shared" si="122"/>
        <v>2.4806304913106217E-3</v>
      </c>
      <c r="AD715" s="3">
        <f t="shared" si="123"/>
        <v>1.6179841982893947E-3</v>
      </c>
      <c r="AE715" s="76">
        <f t="shared" si="124"/>
        <v>-9616.7619047619046</v>
      </c>
      <c r="AF715" s="76">
        <f t="shared" si="125"/>
        <v>-577.4107142857174</v>
      </c>
      <c r="AG715" s="76">
        <f t="shared" si="126"/>
        <v>-2032.1694058154244</v>
      </c>
      <c r="AO715" s="5">
        <f t="shared" si="131"/>
        <v>1.505016722408084E-3</v>
      </c>
      <c r="AP715" s="5">
        <f t="shared" si="127"/>
        <v>0.33006023498650944</v>
      </c>
      <c r="AR715" s="5">
        <f t="shared" si="128"/>
        <v>8.3839920591202155E-3</v>
      </c>
      <c r="AS715" s="5">
        <f t="shared" si="129"/>
        <v>3.5488042922865448E-3</v>
      </c>
      <c r="AT715" s="5">
        <f t="shared" si="130"/>
        <v>5.3150711002478146E-3</v>
      </c>
    </row>
    <row r="716" spans="12:46" x14ac:dyDescent="0.25">
      <c r="L716" s="4">
        <v>44508.5</v>
      </c>
      <c r="M716">
        <v>59.84</v>
      </c>
      <c r="N716">
        <v>61.12</v>
      </c>
      <c r="O716">
        <v>59.8</v>
      </c>
      <c r="P716">
        <v>60.67</v>
      </c>
      <c r="Q716">
        <v>26371</v>
      </c>
      <c r="R716">
        <v>407437</v>
      </c>
      <c r="S716">
        <v>80.77</v>
      </c>
      <c r="T716">
        <v>80.77</v>
      </c>
      <c r="U716">
        <v>77.004999999999995</v>
      </c>
      <c r="V716">
        <v>79.073999999999998</v>
      </c>
      <c r="W716">
        <v>53</v>
      </c>
      <c r="X716">
        <v>2.21105527638191E-2</v>
      </c>
      <c r="Y716">
        <v>-0.91020229910589301</v>
      </c>
      <c r="Z716">
        <v>-0.417727257754062</v>
      </c>
      <c r="AB716" s="3">
        <f t="shared" si="121"/>
        <v>-2.9786684844463479E-3</v>
      </c>
      <c r="AC716" s="3">
        <f t="shared" si="122"/>
        <v>3.3475999567059156E-3</v>
      </c>
      <c r="AD716" s="3">
        <f t="shared" si="123"/>
        <v>2.3208417564201875E-3</v>
      </c>
      <c r="AE716" s="76">
        <f t="shared" si="124"/>
        <v>-10221.476190476191</v>
      </c>
      <c r="AF716" s="76">
        <f t="shared" si="125"/>
        <v>-762.72619047619082</v>
      </c>
      <c r="AG716" s="76">
        <f t="shared" si="126"/>
        <v>-2356.5861778339677</v>
      </c>
      <c r="AO716" s="5">
        <f t="shared" si="131"/>
        <v>8.6017878225670107E-3</v>
      </c>
      <c r="AP716" s="5">
        <f t="shared" si="127"/>
        <v>0.33125127364357665</v>
      </c>
      <c r="AR716" s="5">
        <f t="shared" si="128"/>
        <v>8.5635328129518573E-3</v>
      </c>
      <c r="AS716" s="5">
        <f t="shared" si="129"/>
        <v>3.5960789361079715E-3</v>
      </c>
      <c r="AT716" s="5">
        <f t="shared" si="130"/>
        <v>5.5086082519524293E-3</v>
      </c>
    </row>
    <row r="717" spans="12:46" x14ac:dyDescent="0.25">
      <c r="L717" s="4">
        <v>44505.5</v>
      </c>
      <c r="M717">
        <v>59.7</v>
      </c>
      <c r="N717">
        <v>61.23</v>
      </c>
      <c r="O717">
        <v>59.29</v>
      </c>
      <c r="P717">
        <v>59.6</v>
      </c>
      <c r="Q717">
        <v>28397</v>
      </c>
      <c r="R717">
        <v>407599</v>
      </c>
      <c r="S717">
        <v>73.16</v>
      </c>
      <c r="T717">
        <v>74.64</v>
      </c>
      <c r="U717">
        <v>73.03</v>
      </c>
      <c r="V717">
        <v>74.027000000000001</v>
      </c>
      <c r="W717">
        <v>75</v>
      </c>
      <c r="X717">
        <v>3.2561262168512885E-2</v>
      </c>
      <c r="Y717">
        <v>-0.29438581683772358</v>
      </c>
      <c r="Z717">
        <v>-0.20894241624239279</v>
      </c>
      <c r="AB717" s="3">
        <f t="shared" si="121"/>
        <v>-3.3668839874767542E-4</v>
      </c>
      <c r="AC717" s="3">
        <f t="shared" si="122"/>
        <v>4.704836108968817E-3</v>
      </c>
      <c r="AD717" s="3">
        <f t="shared" si="123"/>
        <v>3.7223852610252933E-3</v>
      </c>
      <c r="AE717" s="76">
        <f t="shared" si="124"/>
        <v>-10041.571428571431</v>
      </c>
      <c r="AF717" s="76">
        <f t="shared" si="125"/>
        <v>-652.07738095238165</v>
      </c>
      <c r="AG717" s="76">
        <f t="shared" si="126"/>
        <v>-2188.9776654024427</v>
      </c>
      <c r="AO717" s="5">
        <f t="shared" si="131"/>
        <v>6.2797012898845456E-3</v>
      </c>
      <c r="AP717" s="5">
        <f t="shared" si="127"/>
        <v>0.33123734697977808</v>
      </c>
      <c r="AR717" s="5">
        <f t="shared" si="128"/>
        <v>8.7584833903511794E-3</v>
      </c>
      <c r="AS717" s="5">
        <f t="shared" si="129"/>
        <v>3.5988755532923022E-3</v>
      </c>
      <c r="AT717" s="5">
        <f t="shared" si="130"/>
        <v>5.6585596677973804E-3</v>
      </c>
    </row>
    <row r="718" spans="12:46" x14ac:dyDescent="0.25">
      <c r="L718" s="4">
        <v>44504.5</v>
      </c>
      <c r="M718">
        <v>59.58</v>
      </c>
      <c r="N718">
        <v>61.45</v>
      </c>
      <c r="O718">
        <v>58.92</v>
      </c>
      <c r="P718">
        <v>59.96</v>
      </c>
      <c r="Q718">
        <v>52401</v>
      </c>
      <c r="R718">
        <v>411777</v>
      </c>
      <c r="S718">
        <v>77.525000000000006</v>
      </c>
      <c r="T718">
        <v>77.525000000000006</v>
      </c>
      <c r="U718">
        <v>72.814999999999998</v>
      </c>
      <c r="V718">
        <v>73.376000000000005</v>
      </c>
      <c r="W718">
        <v>55</v>
      </c>
      <c r="X718">
        <v>4.2571092041056725E-2</v>
      </c>
      <c r="Y718">
        <v>0.31503771400169467</v>
      </c>
      <c r="Z718">
        <v>2.0493097589341009</v>
      </c>
      <c r="AB718" s="3">
        <f t="shared" si="121"/>
        <v>1.4169333426754804E-3</v>
      </c>
      <c r="AC718" s="3">
        <f t="shared" si="122"/>
        <v>5.6835657494876887E-3</v>
      </c>
      <c r="AD718" s="3">
        <f t="shared" si="123"/>
        <v>4.5751872543472946E-3</v>
      </c>
      <c r="AE718" s="76">
        <f t="shared" si="124"/>
        <v>-8160.5714285714312</v>
      </c>
      <c r="AF718" s="76">
        <f t="shared" si="125"/>
        <v>720.39880952380918</v>
      </c>
      <c r="AG718" s="76">
        <f t="shared" si="126"/>
        <v>-877.24863042561992</v>
      </c>
      <c r="AO718" s="5">
        <f t="shared" si="131"/>
        <v>-2.7081922816519395E-3</v>
      </c>
      <c r="AP718" s="5">
        <f t="shared" si="127"/>
        <v>0.33132357154525077</v>
      </c>
      <c r="AR718" s="5">
        <f t="shared" si="128"/>
        <v>8.9549343818234317E-3</v>
      </c>
      <c r="AS718" s="5">
        <f t="shared" si="129"/>
        <v>3.6850233847585123E-3</v>
      </c>
      <c r="AT718" s="5">
        <f t="shared" si="130"/>
        <v>5.8777681979544916E-3</v>
      </c>
    </row>
    <row r="719" spans="12:46" x14ac:dyDescent="0.25">
      <c r="L719" s="4">
        <v>44503.5</v>
      </c>
      <c r="M719">
        <v>59.43</v>
      </c>
      <c r="N719">
        <v>60.37</v>
      </c>
      <c r="O719">
        <v>59.08</v>
      </c>
      <c r="P719">
        <v>59.75</v>
      </c>
      <c r="Q719">
        <v>22785</v>
      </c>
      <c r="R719">
        <v>425999</v>
      </c>
      <c r="S719">
        <v>73.52</v>
      </c>
      <c r="T719">
        <v>80.045000000000002</v>
      </c>
      <c r="U719">
        <v>73.52</v>
      </c>
      <c r="V719">
        <v>76.542000000000002</v>
      </c>
      <c r="W719">
        <v>70</v>
      </c>
      <c r="X719">
        <v>2.2671353251318086E-2</v>
      </c>
      <c r="Y719">
        <v>-0.84551691759257608</v>
      </c>
      <c r="Z719">
        <v>-0.69869713936491462</v>
      </c>
      <c r="AB719" s="3">
        <f t="shared" si="121"/>
        <v>7.6218567733707526E-3</v>
      </c>
      <c r="AC719" s="3">
        <f t="shared" si="122"/>
        <v>9.2881764447886803E-3</v>
      </c>
      <c r="AD719" s="3">
        <f t="shared" si="123"/>
        <v>7.6876173310366364E-3</v>
      </c>
      <c r="AE719" s="76">
        <f t="shared" si="124"/>
        <v>-4906.0952380952367</v>
      </c>
      <c r="AF719" s="76">
        <f t="shared" si="125"/>
        <v>2307.4583333333321</v>
      </c>
      <c r="AG719" s="76">
        <f t="shared" si="126"/>
        <v>468.4458491361147</v>
      </c>
      <c r="AO719" s="5">
        <f t="shared" si="131"/>
        <v>3.8312829525483302E-2</v>
      </c>
      <c r="AP719" s="5">
        <f t="shared" si="127"/>
        <v>0.33346250160663787</v>
      </c>
      <c r="AR719" s="5">
        <f t="shared" si="128"/>
        <v>9.0517537968778372E-3</v>
      </c>
      <c r="AS719" s="5">
        <f t="shared" si="129"/>
        <v>3.7284378181868805E-3</v>
      </c>
      <c r="AT719" s="5">
        <f t="shared" si="130"/>
        <v>6.0705350776293354E-3</v>
      </c>
    </row>
    <row r="720" spans="12:46" x14ac:dyDescent="0.25">
      <c r="L720" s="4">
        <v>44502.5</v>
      </c>
      <c r="M720">
        <v>56.9</v>
      </c>
      <c r="N720">
        <v>59.7</v>
      </c>
      <c r="O720">
        <v>56.9</v>
      </c>
      <c r="P720">
        <v>59.46</v>
      </c>
      <c r="Q720">
        <v>36733</v>
      </c>
      <c r="R720">
        <v>428525</v>
      </c>
      <c r="S720">
        <v>65.174999999999997</v>
      </c>
      <c r="T720">
        <v>70.665000000000006</v>
      </c>
      <c r="U720">
        <v>62.84</v>
      </c>
      <c r="V720">
        <v>67.605999999999995</v>
      </c>
      <c r="W720">
        <v>55</v>
      </c>
      <c r="X720">
        <v>4.7457627118644138E-2</v>
      </c>
      <c r="Y720">
        <v>0.61286693112254964</v>
      </c>
      <c r="Z720">
        <v>0.64653254838697549</v>
      </c>
      <c r="AB720" s="3">
        <f t="shared" si="121"/>
        <v>7.8439234150194381E-3</v>
      </c>
      <c r="AC720" s="3">
        <f t="shared" si="122"/>
        <v>9.3837542600259255E-3</v>
      </c>
      <c r="AD720" s="3">
        <f t="shared" si="123"/>
        <v>8.0057199402540705E-3</v>
      </c>
      <c r="AE720" s="76">
        <f t="shared" si="124"/>
        <v>-2800.5238095238055</v>
      </c>
      <c r="AF720" s="76">
        <f t="shared" si="125"/>
        <v>3812.2321428571449</v>
      </c>
      <c r="AG720" s="76">
        <f t="shared" si="126"/>
        <v>1811.3109987357784</v>
      </c>
      <c r="AO720" s="5">
        <f t="shared" si="131"/>
        <v>4.4130626654898504E-3</v>
      </c>
      <c r="AP720" s="5">
        <f t="shared" si="127"/>
        <v>0.33176069050901991</v>
      </c>
      <c r="AR720" s="5">
        <f t="shared" si="128"/>
        <v>8.1911908578342629E-3</v>
      </c>
      <c r="AS720" s="5">
        <f t="shared" si="129"/>
        <v>3.0963657532221411E-3</v>
      </c>
      <c r="AT720" s="5">
        <f t="shared" si="130"/>
        <v>5.6482038960696257E-3</v>
      </c>
    </row>
    <row r="721" spans="12:46" x14ac:dyDescent="0.25">
      <c r="L721" s="4">
        <v>44501.5</v>
      </c>
      <c r="M721">
        <v>59</v>
      </c>
      <c r="N721">
        <v>60.45</v>
      </c>
      <c r="O721">
        <v>56.65</v>
      </c>
      <c r="P721">
        <v>56.9</v>
      </c>
      <c r="Q721">
        <v>30269</v>
      </c>
      <c r="R721">
        <v>431588</v>
      </c>
      <c r="S721">
        <v>63.59</v>
      </c>
      <c r="T721">
        <v>65.75</v>
      </c>
      <c r="U721">
        <v>63.59</v>
      </c>
      <c r="V721">
        <v>65.619</v>
      </c>
      <c r="W721">
        <v>10</v>
      </c>
      <c r="X721">
        <v>6.472491909385121E-2</v>
      </c>
      <c r="Y721">
        <v>1.6516612641032651</v>
      </c>
      <c r="Z721">
        <v>3.7468939572287141E-2</v>
      </c>
      <c r="AB721" s="3">
        <f t="shared" si="121"/>
        <v>7.8914181959281321E-3</v>
      </c>
      <c r="AC721" s="3">
        <f t="shared" si="122"/>
        <v>8.9689166860028591E-3</v>
      </c>
      <c r="AD721" s="3">
        <f t="shared" si="123"/>
        <v>7.5270537859818618E-3</v>
      </c>
      <c r="AE721" s="76">
        <f t="shared" si="124"/>
        <v>-2471.3809523809505</v>
      </c>
      <c r="AF721" s="76">
        <f t="shared" si="125"/>
        <v>3878.7619047619046</v>
      </c>
      <c r="AG721" s="76">
        <f t="shared" si="126"/>
        <v>1652.6519174041277</v>
      </c>
      <c r="AO721" s="5">
        <f t="shared" si="131"/>
        <v>-2.5124763379796952E-2</v>
      </c>
      <c r="AP721" s="5">
        <f t="shared" si="127"/>
        <v>0.33324619037575554</v>
      </c>
      <c r="AR721" s="5">
        <f t="shared" si="128"/>
        <v>7.3392412492118142E-3</v>
      </c>
      <c r="AS721" s="5">
        <f t="shared" si="129"/>
        <v>2.5128387962811138E-3</v>
      </c>
      <c r="AT721" s="5">
        <f t="shared" si="130"/>
        <v>5.2807004133439417E-3</v>
      </c>
    </row>
    <row r="722" spans="12:46" x14ac:dyDescent="0.25">
      <c r="L722" s="4">
        <v>44498.5</v>
      </c>
      <c r="M722">
        <v>58.71</v>
      </c>
      <c r="N722">
        <v>59.55</v>
      </c>
      <c r="O722">
        <v>58.11</v>
      </c>
      <c r="P722">
        <v>58.73</v>
      </c>
      <c r="Q722">
        <v>24790</v>
      </c>
      <c r="R722">
        <v>430396</v>
      </c>
      <c r="S722">
        <v>72.62</v>
      </c>
      <c r="T722">
        <v>72.62</v>
      </c>
      <c r="U722">
        <v>64.864000000000004</v>
      </c>
      <c r="V722">
        <v>64.864000000000004</v>
      </c>
      <c r="W722">
        <v>22</v>
      </c>
      <c r="X722">
        <v>2.4201680672268869E-2</v>
      </c>
      <c r="Y722">
        <v>-0.72920077438449737</v>
      </c>
      <c r="Z722">
        <v>-0.48091467590889925</v>
      </c>
      <c r="AB722" s="3">
        <f t="shared" si="121"/>
        <v>7.2292213900849722E-3</v>
      </c>
      <c r="AC722" s="3">
        <f t="shared" si="122"/>
        <v>8.1705579217254132E-3</v>
      </c>
      <c r="AD722" s="3">
        <f t="shared" si="123"/>
        <v>6.6157136991014942E-3</v>
      </c>
      <c r="AE722" s="76">
        <f t="shared" si="124"/>
        <v>-2372.0952380952367</v>
      </c>
      <c r="AF722" s="76">
        <f t="shared" si="125"/>
        <v>3709.7440476190459</v>
      </c>
      <c r="AG722" s="76">
        <f t="shared" si="126"/>
        <v>1466.9502739148738</v>
      </c>
      <c r="AO722" s="5">
        <f t="shared" si="131"/>
        <v>3.2803867403314525E-3</v>
      </c>
      <c r="AP722" s="5">
        <f t="shared" si="127"/>
        <v>0.33262132081263912</v>
      </c>
      <c r="AR722" s="5">
        <f t="shared" si="128"/>
        <v>6.4058196079658236E-3</v>
      </c>
      <c r="AS722" s="5">
        <f t="shared" si="129"/>
        <v>1.8639080666625896E-3</v>
      </c>
      <c r="AT722" s="5">
        <f t="shared" si="130"/>
        <v>4.8544800246633768E-3</v>
      </c>
    </row>
    <row r="723" spans="12:46" x14ac:dyDescent="0.25">
      <c r="L723" s="4">
        <v>44497.5</v>
      </c>
      <c r="M723">
        <v>59.5</v>
      </c>
      <c r="N723">
        <v>59.65</v>
      </c>
      <c r="O723">
        <v>57.92</v>
      </c>
      <c r="P723">
        <v>58.71</v>
      </c>
      <c r="Q723">
        <v>21533</v>
      </c>
      <c r="R723">
        <v>428187</v>
      </c>
      <c r="S723">
        <v>78</v>
      </c>
      <c r="T723">
        <v>80.599999999999994</v>
      </c>
      <c r="U723">
        <v>77.031999999999996</v>
      </c>
      <c r="V723">
        <v>77.031999999999996</v>
      </c>
      <c r="W723">
        <v>0</v>
      </c>
      <c r="X723">
        <v>2.9021976178493489E-2</v>
      </c>
      <c r="Y723">
        <v>-0.43632534423276687</v>
      </c>
      <c r="Z723">
        <v>-0.78740176257092231</v>
      </c>
      <c r="AB723" s="3">
        <f t="shared" si="121"/>
        <v>8.2721961649005679E-3</v>
      </c>
      <c r="AC723" s="3">
        <f t="shared" si="122"/>
        <v>8.4467429687714451E-3</v>
      </c>
      <c r="AD723" s="3">
        <f t="shared" si="123"/>
        <v>7.6702010108346957E-3</v>
      </c>
      <c r="AE723" s="76">
        <f t="shared" si="124"/>
        <v>-567.90476190476329</v>
      </c>
      <c r="AF723" s="76">
        <f t="shared" si="125"/>
        <v>5096.2738095238055</v>
      </c>
      <c r="AG723" s="76">
        <f t="shared" si="126"/>
        <v>2834.9195111672962</v>
      </c>
      <c r="AO723" s="5">
        <f t="shared" si="131"/>
        <v>-1.5635622025832796E-2</v>
      </c>
      <c r="AP723" s="5">
        <f t="shared" si="127"/>
        <v>0.33271481360008198</v>
      </c>
      <c r="AR723" s="5">
        <f t="shared" si="128"/>
        <v>5.5179513218851506E-3</v>
      </c>
      <c r="AS723" s="5">
        <f t="shared" si="129"/>
        <v>1.2488310581104667E-3</v>
      </c>
      <c r="AT723" s="5">
        <f t="shared" si="130"/>
        <v>4.4683984607797322E-3</v>
      </c>
    </row>
    <row r="724" spans="12:46" x14ac:dyDescent="0.25">
      <c r="L724" s="4">
        <v>44496.5</v>
      </c>
      <c r="M724">
        <v>59.61</v>
      </c>
      <c r="N724">
        <v>60.16</v>
      </c>
      <c r="O724">
        <v>58.84</v>
      </c>
      <c r="P724">
        <v>59.86</v>
      </c>
      <c r="Q724">
        <v>23988</v>
      </c>
      <c r="R724">
        <v>428538</v>
      </c>
      <c r="S724">
        <v>86.3</v>
      </c>
      <c r="T724">
        <v>86.95</v>
      </c>
      <c r="U724">
        <v>86</v>
      </c>
      <c r="V724">
        <v>86.819000000000003</v>
      </c>
      <c r="W724">
        <v>47</v>
      </c>
      <c r="X724">
        <v>2.2335025380710544E-2</v>
      </c>
      <c r="Y724">
        <v>-0.83306785332796485</v>
      </c>
      <c r="Z724">
        <v>-0.55957899743599226</v>
      </c>
      <c r="AB724" s="3">
        <f t="shared" si="121"/>
        <v>8.771281022971214E-3</v>
      </c>
      <c r="AC724" s="3">
        <f t="shared" si="122"/>
        <v>8.2558709256045568E-3</v>
      </c>
      <c r="AD724" s="3">
        <f t="shared" si="123"/>
        <v>7.6701844370295411E-3</v>
      </c>
      <c r="AE724" s="76">
        <f t="shared" si="124"/>
        <v>740.80952380952658</v>
      </c>
      <c r="AF724" s="76">
        <f t="shared" si="125"/>
        <v>5913.3154761904771</v>
      </c>
      <c r="AG724" s="76">
        <f t="shared" si="126"/>
        <v>3523.3029919932596</v>
      </c>
      <c r="AO724" s="5">
        <f t="shared" si="131"/>
        <v>1.7024174327545355E-3</v>
      </c>
      <c r="AP724" s="5">
        <f t="shared" si="127"/>
        <v>0.33217324990255842</v>
      </c>
      <c r="AR724" s="5">
        <f t="shared" si="128"/>
        <v>4.584886356868767E-3</v>
      </c>
      <c r="AS724" s="5">
        <f t="shared" si="129"/>
        <v>5.8733332961491413E-4</v>
      </c>
      <c r="AT724" s="5">
        <f t="shared" si="130"/>
        <v>4.0474972715145996E-3</v>
      </c>
    </row>
    <row r="725" spans="12:46" x14ac:dyDescent="0.25">
      <c r="L725" s="4">
        <v>44495.5</v>
      </c>
      <c r="M725">
        <v>59.1</v>
      </c>
      <c r="N725">
        <v>60.2</v>
      </c>
      <c r="O725">
        <v>58.74</v>
      </c>
      <c r="P725">
        <v>59.79</v>
      </c>
      <c r="Q725">
        <v>22189</v>
      </c>
      <c r="R725">
        <v>426710</v>
      </c>
      <c r="S725">
        <v>90.15</v>
      </c>
      <c r="T725">
        <v>90.2</v>
      </c>
      <c r="U725">
        <v>87.8</v>
      </c>
      <c r="V725">
        <v>88.492999999999995</v>
      </c>
      <c r="W725">
        <v>56</v>
      </c>
      <c r="X725">
        <v>2.482993197278913E-2</v>
      </c>
      <c r="Y725">
        <v>-0.68782279894667742</v>
      </c>
      <c r="Z725">
        <v>-0.73349610821163969</v>
      </c>
      <c r="AB725" s="3">
        <f t="shared" si="121"/>
        <v>1.2906931609852353E-2</v>
      </c>
      <c r="AC725" s="3">
        <f t="shared" si="122"/>
        <v>1.0489003619055651E-2</v>
      </c>
      <c r="AD725" s="3">
        <f t="shared" si="123"/>
        <v>1.0015771309933197E-2</v>
      </c>
      <c r="AE725" s="76">
        <f t="shared" si="124"/>
        <v>3081.1428571428587</v>
      </c>
      <c r="AF725" s="76">
        <f t="shared" si="125"/>
        <v>7158.9166666666679</v>
      </c>
      <c r="AG725" s="76">
        <f t="shared" si="126"/>
        <v>4589.2355667930897</v>
      </c>
      <c r="AO725" s="5">
        <f t="shared" si="131"/>
        <v>3.2450896669514065E-3</v>
      </c>
      <c r="AP725" s="5">
        <f t="shared" si="127"/>
        <v>0.33318994179794015</v>
      </c>
      <c r="AR725" s="5">
        <f t="shared" si="128"/>
        <v>3.6420478207411788E-3</v>
      </c>
      <c r="AS725" s="5">
        <f t="shared" si="129"/>
        <v>-4.9892135615237088E-5</v>
      </c>
      <c r="AT725" s="5">
        <f t="shared" si="130"/>
        <v>3.6529594193765447E-3</v>
      </c>
    </row>
    <row r="726" spans="12:46" x14ac:dyDescent="0.25">
      <c r="L726" s="4">
        <v>44494.5</v>
      </c>
      <c r="M726">
        <v>58.8</v>
      </c>
      <c r="N726">
        <v>59.77</v>
      </c>
      <c r="O726">
        <v>58.55</v>
      </c>
      <c r="P726">
        <v>59.36</v>
      </c>
      <c r="Q726">
        <v>18868</v>
      </c>
      <c r="R726">
        <v>425980</v>
      </c>
      <c r="S726">
        <v>91</v>
      </c>
      <c r="T726">
        <v>91</v>
      </c>
      <c r="U726">
        <v>88</v>
      </c>
      <c r="V726">
        <v>88.643000000000001</v>
      </c>
      <c r="W726">
        <v>55</v>
      </c>
      <c r="X726">
        <v>2.1019986216402584E-2</v>
      </c>
      <c r="Y726">
        <v>-0.90807216791393675</v>
      </c>
      <c r="Z726">
        <v>-1.0615436054854928</v>
      </c>
      <c r="AB726" s="3">
        <f t="shared" si="121"/>
        <v>1.1410076059326001E-2</v>
      </c>
      <c r="AC726" s="3">
        <f t="shared" si="122"/>
        <v>1.0250217040247409E-2</v>
      </c>
      <c r="AD726" s="3">
        <f t="shared" si="123"/>
        <v>9.8459606738506844E-3</v>
      </c>
      <c r="AE726" s="76">
        <f t="shared" si="124"/>
        <v>4446.9523809523816</v>
      </c>
      <c r="AF726" s="76">
        <f t="shared" si="125"/>
        <v>8212.1904761904771</v>
      </c>
      <c r="AG726" s="76">
        <f t="shared" si="126"/>
        <v>5465.6519174041314</v>
      </c>
      <c r="AO726" s="5">
        <f t="shared" si="131"/>
        <v>1.1226252158894622E-2</v>
      </c>
      <c r="AP726" s="5">
        <f t="shared" si="127"/>
        <v>0.33360158630032127</v>
      </c>
      <c r="AR726" s="5">
        <f t="shared" si="128"/>
        <v>2.7345159284845044E-3</v>
      </c>
      <c r="AS726" s="5">
        <f t="shared" si="129"/>
        <v>-7.8999185245520742E-4</v>
      </c>
      <c r="AT726" s="5">
        <f t="shared" si="130"/>
        <v>3.166269828760393E-3</v>
      </c>
    </row>
    <row r="727" spans="12:46" x14ac:dyDescent="0.25">
      <c r="L727" s="4">
        <v>44491.5</v>
      </c>
      <c r="M727">
        <v>58.04</v>
      </c>
      <c r="N727">
        <v>60.2</v>
      </c>
      <c r="O727">
        <v>57.9</v>
      </c>
      <c r="P727">
        <v>59</v>
      </c>
      <c r="Q727">
        <v>22039</v>
      </c>
      <c r="R727">
        <v>426364</v>
      </c>
      <c r="S727">
        <v>88.61</v>
      </c>
      <c r="T727">
        <v>88.7</v>
      </c>
      <c r="U727">
        <v>87</v>
      </c>
      <c r="V727">
        <v>87.337999999999994</v>
      </c>
      <c r="W727">
        <v>94</v>
      </c>
      <c r="X727">
        <v>4.0104620749782112E-2</v>
      </c>
      <c r="Y727">
        <v>0.202060103802883</v>
      </c>
      <c r="Z727">
        <v>-0.75781668054820872</v>
      </c>
      <c r="AB727" s="3">
        <f t="shared" si="121"/>
        <v>1.5439890637396408E-2</v>
      </c>
      <c r="AC727" s="3">
        <f t="shared" si="122"/>
        <v>1.3043617381036897E-2</v>
      </c>
      <c r="AD727" s="3">
        <f t="shared" si="123"/>
        <v>1.2543252701611253E-2</v>
      </c>
      <c r="AE727" s="76">
        <f t="shared" si="124"/>
        <v>6227.4761904761872</v>
      </c>
      <c r="AF727" s="76">
        <f t="shared" si="125"/>
        <v>8900.8214285714239</v>
      </c>
      <c r="AG727" s="76">
        <f t="shared" si="126"/>
        <v>6388.5815423514505</v>
      </c>
      <c r="AO727" s="5">
        <f t="shared" si="131"/>
        <v>2.5323180449796347E-2</v>
      </c>
      <c r="AP727" s="5">
        <f t="shared" si="127"/>
        <v>0.33386046750566889</v>
      </c>
      <c r="AR727" s="5">
        <f t="shared" si="128"/>
        <v>1.3419860416293838E-3</v>
      </c>
      <c r="AS727" s="5">
        <f t="shared" si="129"/>
        <v>-1.8681293584393299E-3</v>
      </c>
      <c r="AT727" s="5">
        <f t="shared" si="130"/>
        <v>2.3716620176727488E-3</v>
      </c>
    </row>
    <row r="728" spans="12:46" x14ac:dyDescent="0.25">
      <c r="L728" s="4">
        <v>44490.5</v>
      </c>
      <c r="M728">
        <v>57.35</v>
      </c>
      <c r="N728">
        <v>58.62</v>
      </c>
      <c r="O728">
        <v>56.47</v>
      </c>
      <c r="P728">
        <v>58.12</v>
      </c>
      <c r="Q728">
        <v>30427</v>
      </c>
      <c r="R728">
        <v>426294</v>
      </c>
      <c r="S728">
        <v>90.644999999999996</v>
      </c>
      <c r="T728">
        <v>90.66</v>
      </c>
      <c r="U728">
        <v>87.814999999999998</v>
      </c>
      <c r="V728">
        <v>88.462999999999994</v>
      </c>
      <c r="W728">
        <v>40</v>
      </c>
      <c r="X728">
        <v>3.9269406392694037E-2</v>
      </c>
      <c r="Y728">
        <v>0.17033678002337108</v>
      </c>
      <c r="Z728">
        <v>3.709720839218561E-2</v>
      </c>
      <c r="AB728" s="3">
        <f t="shared" si="121"/>
        <v>1.5609979358294872E-2</v>
      </c>
      <c r="AC728" s="3">
        <f t="shared" si="122"/>
        <v>1.2535722247220875E-2</v>
      </c>
      <c r="AD728" s="3">
        <f t="shared" si="123"/>
        <v>1.2313389444232228E-2</v>
      </c>
      <c r="AE728" s="76">
        <f t="shared" si="124"/>
        <v>7692.9523809523816</v>
      </c>
      <c r="AF728" s="76">
        <f t="shared" si="125"/>
        <v>9379.8095238095229</v>
      </c>
      <c r="AG728" s="76">
        <f t="shared" si="126"/>
        <v>7129.7184997892946</v>
      </c>
      <c r="AO728" s="5">
        <f t="shared" si="131"/>
        <v>3.405969602636879E-2</v>
      </c>
      <c r="AP728" s="5">
        <f t="shared" si="127"/>
        <v>0.33503775186344903</v>
      </c>
      <c r="AR728" s="5">
        <f t="shared" si="128"/>
        <v>-8.350346703639433E-5</v>
      </c>
      <c r="AS728" s="5">
        <f t="shared" si="129"/>
        <v>-2.9515159603562546E-3</v>
      </c>
      <c r="AT728" s="5">
        <f t="shared" si="130"/>
        <v>1.5493846214881812E-3</v>
      </c>
    </row>
    <row r="729" spans="12:46" x14ac:dyDescent="0.25">
      <c r="L729" s="4">
        <v>44489.5</v>
      </c>
      <c r="M729">
        <v>54.75</v>
      </c>
      <c r="N729">
        <v>58.13</v>
      </c>
      <c r="O729">
        <v>54.61</v>
      </c>
      <c r="P729">
        <v>57.66</v>
      </c>
      <c r="Q729">
        <v>33358</v>
      </c>
      <c r="R729">
        <v>428871</v>
      </c>
      <c r="S729">
        <v>94.394999999999996</v>
      </c>
      <c r="T729">
        <v>94.394999999999996</v>
      </c>
      <c r="U729">
        <v>92.75</v>
      </c>
      <c r="V729">
        <v>93.450999999999993</v>
      </c>
      <c r="W729">
        <v>21</v>
      </c>
      <c r="X729">
        <v>6.0952380952381008E-2</v>
      </c>
      <c r="Y729">
        <v>1.4473245726509609</v>
      </c>
      <c r="Z729">
        <v>0.32530013564367205</v>
      </c>
      <c r="AB729" s="3">
        <f t="shared" si="121"/>
        <v>1.381807655587964E-2</v>
      </c>
      <c r="AC729" s="3">
        <f t="shared" si="122"/>
        <v>9.7843592141950222E-3</v>
      </c>
      <c r="AD729" s="3">
        <f t="shared" si="123"/>
        <v>1.1197617766128071E-2</v>
      </c>
      <c r="AE729" s="76">
        <f t="shared" si="124"/>
        <v>8340.3333333333358</v>
      </c>
      <c r="AF729" s="76">
        <f t="shared" si="125"/>
        <v>8889.2321428571449</v>
      </c>
      <c r="AG729" s="76">
        <f t="shared" si="126"/>
        <v>7219.4462705436163</v>
      </c>
      <c r="AO729" s="5">
        <f t="shared" si="131"/>
        <v>1.110905387891134E-2</v>
      </c>
      <c r="AP729" s="5">
        <f t="shared" si="127"/>
        <v>0.33400183831885577</v>
      </c>
      <c r="AR729" s="5">
        <f t="shared" si="128"/>
        <v>-1.587843075931239E-3</v>
      </c>
      <c r="AS729" s="5">
        <f t="shared" si="129"/>
        <v>-4.0766858373344483E-3</v>
      </c>
      <c r="AT729" s="5">
        <f t="shared" si="130"/>
        <v>6.8963177846403934E-4</v>
      </c>
    </row>
    <row r="730" spans="12:46" x14ac:dyDescent="0.25">
      <c r="L730" s="4">
        <v>44488.5</v>
      </c>
      <c r="M730">
        <v>57.75</v>
      </c>
      <c r="N730">
        <v>58.35</v>
      </c>
      <c r="O730">
        <v>54.01</v>
      </c>
      <c r="P730">
        <v>55.21</v>
      </c>
      <c r="Q730">
        <v>48144</v>
      </c>
      <c r="R730">
        <v>426986</v>
      </c>
      <c r="S730">
        <v>92.15</v>
      </c>
      <c r="T730">
        <v>93.935000000000002</v>
      </c>
      <c r="U730">
        <v>89.424999999999997</v>
      </c>
      <c r="V730">
        <v>89.932000000000002</v>
      </c>
      <c r="W730">
        <v>64</v>
      </c>
      <c r="X730">
        <v>7.3872340425531979E-2</v>
      </c>
      <c r="Y730">
        <v>2.2746515093479438</v>
      </c>
      <c r="Z730">
        <v>1.7407057250798015</v>
      </c>
      <c r="AB730" s="3">
        <f t="shared" si="121"/>
        <v>1.1425558338229329E-2</v>
      </c>
      <c r="AC730" s="3">
        <f t="shared" si="122"/>
        <v>8.2937094082364618E-3</v>
      </c>
      <c r="AD730" s="3">
        <f t="shared" si="123"/>
        <v>9.6210318135042522E-3</v>
      </c>
      <c r="AE730" s="76">
        <f t="shared" si="124"/>
        <v>8196.761904761901</v>
      </c>
      <c r="AF730" s="76">
        <f t="shared" si="125"/>
        <v>8676.1249999999964</v>
      </c>
      <c r="AG730" s="76">
        <f t="shared" si="126"/>
        <v>6972.820480404549</v>
      </c>
      <c r="AO730" s="5">
        <f t="shared" si="131"/>
        <v>-5.6429070580014042E-2</v>
      </c>
      <c r="AP730" s="5">
        <f t="shared" si="127"/>
        <v>0.3360713161535494</v>
      </c>
      <c r="AR730" s="5">
        <f t="shared" si="128"/>
        <v>-3.1738455725243142E-3</v>
      </c>
      <c r="AS730" s="5">
        <f t="shared" si="129"/>
        <v>-4.8534090395421781E-3</v>
      </c>
      <c r="AT730" s="5">
        <f t="shared" si="130"/>
        <v>-7.4342940500571331E-5</v>
      </c>
    </row>
    <row r="731" spans="12:46" x14ac:dyDescent="0.25">
      <c r="L731" s="4">
        <v>44487.5</v>
      </c>
      <c r="M731">
        <v>58.75</v>
      </c>
      <c r="N731">
        <v>59.68</v>
      </c>
      <c r="O731">
        <v>57.24</v>
      </c>
      <c r="P731">
        <v>57.41</v>
      </c>
      <c r="Q731">
        <v>31100</v>
      </c>
      <c r="R731">
        <v>426253</v>
      </c>
      <c r="S731">
        <v>89.35</v>
      </c>
      <c r="T731">
        <v>100.4</v>
      </c>
      <c r="U731">
        <v>89.35</v>
      </c>
      <c r="V731">
        <v>93.933000000000007</v>
      </c>
      <c r="W731">
        <v>37</v>
      </c>
      <c r="X731">
        <v>3.9616820912485751E-2</v>
      </c>
      <c r="Y731">
        <v>0.26334921930952521</v>
      </c>
      <c r="Z731">
        <v>0.13218654000276281</v>
      </c>
      <c r="AB731" s="3">
        <f t="shared" si="121"/>
        <v>1.0793269632299849E-2</v>
      </c>
      <c r="AC731" s="3">
        <f t="shared" si="122"/>
        <v>7.1443424130649552E-3</v>
      </c>
      <c r="AD731" s="3">
        <f t="shared" si="123"/>
        <v>8.3845888632763932E-3</v>
      </c>
      <c r="AE731" s="76">
        <f t="shared" si="124"/>
        <v>8362.1904761904771</v>
      </c>
      <c r="AF731" s="76">
        <f t="shared" si="125"/>
        <v>8486.3511904761908</v>
      </c>
      <c r="AG731" s="76">
        <f t="shared" si="126"/>
        <v>6648.8162663295407</v>
      </c>
      <c r="AO731" s="5">
        <f t="shared" si="131"/>
        <v>-1.7339055793991382E-2</v>
      </c>
      <c r="AP731" s="5">
        <f t="shared" si="127"/>
        <v>0.33135019516889197</v>
      </c>
      <c r="AR731" s="5">
        <f t="shared" si="128"/>
        <v>-4.8793768891448597E-3</v>
      </c>
      <c r="AS731" s="5">
        <f t="shared" si="129"/>
        <v>-5.745225546182231E-3</v>
      </c>
      <c r="AT731" s="5">
        <f t="shared" si="130"/>
        <v>-9.4857049440955077E-4</v>
      </c>
    </row>
    <row r="732" spans="12:46" x14ac:dyDescent="0.25">
      <c r="L732" s="4">
        <v>44484.5</v>
      </c>
      <c r="M732">
        <v>61.59</v>
      </c>
      <c r="N732">
        <v>61.96</v>
      </c>
      <c r="O732">
        <v>58.25</v>
      </c>
      <c r="P732">
        <v>58.38</v>
      </c>
      <c r="Q732">
        <v>28770</v>
      </c>
      <c r="R732">
        <v>428219</v>
      </c>
      <c r="S732">
        <v>104</v>
      </c>
      <c r="T732">
        <v>104</v>
      </c>
      <c r="U732">
        <v>92.57</v>
      </c>
      <c r="V732">
        <v>93.647999999999996</v>
      </c>
      <c r="W732">
        <v>152</v>
      </c>
      <c r="X732">
        <v>6.2785581316635655E-2</v>
      </c>
      <c r="Y732">
        <v>1.7149475138288999</v>
      </c>
      <c r="Z732">
        <v>-8.1031812201608655E-2</v>
      </c>
      <c r="AB732" s="3">
        <f t="shared" si="121"/>
        <v>6.989685643331689E-3</v>
      </c>
      <c r="AC732" s="3">
        <f t="shared" si="122"/>
        <v>5.8969437186564E-3</v>
      </c>
      <c r="AD732" s="3">
        <f t="shared" si="123"/>
        <v>7.4248585358019023E-3</v>
      </c>
      <c r="AE732" s="76">
        <f t="shared" si="124"/>
        <v>7604.3333333333321</v>
      </c>
      <c r="AF732" s="76">
        <f t="shared" si="125"/>
        <v>8270.8035714285688</v>
      </c>
      <c r="AG732" s="76">
        <f t="shared" si="126"/>
        <v>6714.1554993678874</v>
      </c>
      <c r="AO732" s="5">
        <f t="shared" si="131"/>
        <v>-1.4215603316974164E-2</v>
      </c>
      <c r="AP732" s="5">
        <f t="shared" si="127"/>
        <v>0.33089574944108985</v>
      </c>
      <c r="AR732" s="5">
        <f t="shared" si="128"/>
        <v>-5.7826277085931133E-3</v>
      </c>
      <c r="AS732" s="5">
        <f t="shared" si="129"/>
        <v>-6.022618463949414E-3</v>
      </c>
      <c r="AT732" s="5">
        <f t="shared" si="130"/>
        <v>-1.2581555340123729E-3</v>
      </c>
    </row>
    <row r="733" spans="12:46" x14ac:dyDescent="0.25">
      <c r="L733" s="4">
        <v>44483.5</v>
      </c>
      <c r="M733">
        <v>59.09</v>
      </c>
      <c r="N733">
        <v>61.8</v>
      </c>
      <c r="O733">
        <v>59.09</v>
      </c>
      <c r="P733">
        <v>61.37</v>
      </c>
      <c r="Q733">
        <v>35611</v>
      </c>
      <c r="R733">
        <v>428067</v>
      </c>
      <c r="S733">
        <v>102.15</v>
      </c>
      <c r="T733">
        <v>102.255</v>
      </c>
      <c r="U733">
        <v>96.73</v>
      </c>
      <c r="V733">
        <v>102.172</v>
      </c>
      <c r="W733">
        <v>76</v>
      </c>
      <c r="X733">
        <v>4.5622895622895517E-2</v>
      </c>
      <c r="Y733">
        <v>0.69107714919149599</v>
      </c>
      <c r="Z733">
        <v>0.5923135748918017</v>
      </c>
      <c r="AB733" s="3">
        <f t="shared" si="121"/>
        <v>5.7977655466688871E-3</v>
      </c>
      <c r="AC733" s="3">
        <f t="shared" si="122"/>
        <v>5.2158217137500962E-3</v>
      </c>
      <c r="AD733" s="3">
        <f t="shared" si="123"/>
        <v>6.609143321781967E-3</v>
      </c>
      <c r="AE733" s="76">
        <f t="shared" si="124"/>
        <v>9039.9523809523816</v>
      </c>
      <c r="AF733" s="76">
        <f t="shared" si="125"/>
        <v>9206.0238095238092</v>
      </c>
      <c r="AG733" s="76">
        <f t="shared" si="126"/>
        <v>7591.350611040878</v>
      </c>
      <c r="AO733" s="5">
        <f t="shared" si="131"/>
        <v>1.4420600858369157E-2</v>
      </c>
      <c r="AP733" s="5">
        <f t="shared" si="127"/>
        <v>0.33044079137295318</v>
      </c>
      <c r="AR733" s="5">
        <f t="shared" si="128"/>
        <v>-6.4232553703070794E-3</v>
      </c>
      <c r="AS733" s="5">
        <f t="shared" si="129"/>
        <v>-6.2360880711040401E-3</v>
      </c>
      <c r="AT733" s="5">
        <f t="shared" si="130"/>
        <v>-1.5182053821020669E-3</v>
      </c>
    </row>
    <row r="734" spans="12:46" x14ac:dyDescent="0.25">
      <c r="L734" s="4">
        <v>44482.5</v>
      </c>
      <c r="M734">
        <v>59.4</v>
      </c>
      <c r="N734">
        <v>60.24</v>
      </c>
      <c r="O734">
        <v>58.25</v>
      </c>
      <c r="P734">
        <v>59.19</v>
      </c>
      <c r="Q734">
        <v>28575</v>
      </c>
      <c r="R734">
        <v>433738</v>
      </c>
      <c r="S734">
        <v>91.375</v>
      </c>
      <c r="T734">
        <v>94.61</v>
      </c>
      <c r="U734">
        <v>90.29</v>
      </c>
      <c r="V734">
        <v>93.616</v>
      </c>
      <c r="W734">
        <v>244</v>
      </c>
      <c r="X734">
        <v>3.3728813559322064E-2</v>
      </c>
      <c r="Y734">
        <v>-5.5867484780133717E-2</v>
      </c>
      <c r="Z734">
        <v>-9.7512268151179235E-2</v>
      </c>
      <c r="AB734" s="3">
        <f t="shared" si="121"/>
        <v>6.7118396936459435E-3</v>
      </c>
      <c r="AC734" s="3">
        <f t="shared" si="122"/>
        <v>5.5623405083798441E-3</v>
      </c>
      <c r="AD734" s="3">
        <f t="shared" si="123"/>
        <v>6.7866022662899581E-3</v>
      </c>
      <c r="AE734" s="76">
        <f t="shared" si="124"/>
        <v>10450.90476190476</v>
      </c>
      <c r="AF734" s="76">
        <f t="shared" si="125"/>
        <v>9983.3095238095193</v>
      </c>
      <c r="AG734" s="76">
        <f t="shared" si="126"/>
        <v>8270.5566793088874</v>
      </c>
      <c r="AO734" s="5">
        <f t="shared" si="131"/>
        <v>-4.1032655154727643E-3</v>
      </c>
      <c r="AP734" s="5">
        <f t="shared" si="127"/>
        <v>0.33099564998490472</v>
      </c>
      <c r="AR734" s="5">
        <f t="shared" si="128"/>
        <v>-6.8818274672107216E-3</v>
      </c>
      <c r="AS734" s="5">
        <f t="shared" si="129"/>
        <v>-6.3784780077123515E-3</v>
      </c>
      <c r="AT734" s="5">
        <f t="shared" si="130"/>
        <v>-1.7109739203626795E-3</v>
      </c>
    </row>
    <row r="735" spans="12:46" x14ac:dyDescent="0.25">
      <c r="L735" s="4">
        <v>44481.5</v>
      </c>
      <c r="M735">
        <v>59</v>
      </c>
      <c r="N735">
        <v>59.5</v>
      </c>
      <c r="O735">
        <v>58.49</v>
      </c>
      <c r="P735">
        <v>59.25</v>
      </c>
      <c r="Q735">
        <v>19744</v>
      </c>
      <c r="R735">
        <v>439348</v>
      </c>
      <c r="S735">
        <v>86.31</v>
      </c>
      <c r="T735">
        <v>87.394999999999996</v>
      </c>
      <c r="U735">
        <v>85</v>
      </c>
      <c r="V735">
        <v>85.697999999999993</v>
      </c>
      <c r="W735">
        <v>598</v>
      </c>
      <c r="X735">
        <v>1.7392801790941933E-2</v>
      </c>
      <c r="Y735">
        <v>-1.0917253992501166</v>
      </c>
      <c r="Z735">
        <v>-0.95939350323247063</v>
      </c>
      <c r="AB735" s="3">
        <f t="shared" si="121"/>
        <v>6.5732592505755236E-3</v>
      </c>
      <c r="AC735" s="3">
        <f t="shared" si="122"/>
        <v>6.4142946838472228E-3</v>
      </c>
      <c r="AD735" s="3">
        <f t="shared" si="123"/>
        <v>7.5342348336251419E-3</v>
      </c>
      <c r="AE735" s="76">
        <f t="shared" si="124"/>
        <v>12350.047619047618</v>
      </c>
      <c r="AF735" s="76">
        <f t="shared" si="125"/>
        <v>11095.702380952378</v>
      </c>
      <c r="AG735" s="76">
        <f t="shared" si="126"/>
        <v>9229.0332911925834</v>
      </c>
      <c r="AO735" s="5">
        <f t="shared" si="131"/>
        <v>7.5796726959518491E-3</v>
      </c>
      <c r="AP735" s="5">
        <f t="shared" si="127"/>
        <v>0.3309381025306754</v>
      </c>
      <c r="AR735" s="5">
        <f t="shared" si="128"/>
        <v>-7.3458073674328994E-3</v>
      </c>
      <c r="AS735" s="5">
        <f t="shared" si="129"/>
        <v>-6.5389207057129917E-3</v>
      </c>
      <c r="AT735" s="5">
        <f t="shared" si="130"/>
        <v>-1.9204434616784671E-3</v>
      </c>
    </row>
    <row r="736" spans="12:46" x14ac:dyDescent="0.25">
      <c r="L736" s="4">
        <v>44480.5</v>
      </c>
      <c r="M736">
        <v>58.07</v>
      </c>
      <c r="N736">
        <v>60.25</v>
      </c>
      <c r="O736">
        <v>58.05</v>
      </c>
      <c r="P736">
        <v>59.14</v>
      </c>
      <c r="Q736">
        <v>24233</v>
      </c>
      <c r="R736">
        <v>440855</v>
      </c>
      <c r="S736">
        <v>92</v>
      </c>
      <c r="T736">
        <v>92.135000000000005</v>
      </c>
      <c r="U736">
        <v>83.5</v>
      </c>
      <c r="V736">
        <v>85.215999999999994</v>
      </c>
      <c r="W736">
        <v>229</v>
      </c>
      <c r="X736">
        <v>3.6727879799666158E-2</v>
      </c>
      <c r="Y736">
        <v>7.4154617859327837E-2</v>
      </c>
      <c r="Z736">
        <v>-0.54106624076387821</v>
      </c>
      <c r="AB736" s="3">
        <f t="shared" si="121"/>
        <v>7.4725379816500265E-3</v>
      </c>
      <c r="AC736" s="3">
        <f t="shared" si="122"/>
        <v>7.1703924486458404E-3</v>
      </c>
      <c r="AD736" s="3">
        <f t="shared" si="123"/>
        <v>8.1748380048727032E-3</v>
      </c>
      <c r="AE736" s="76">
        <f t="shared" si="124"/>
        <v>13408.333333333332</v>
      </c>
      <c r="AF736" s="76">
        <f t="shared" si="125"/>
        <v>11687.190476190473</v>
      </c>
      <c r="AG736" s="76">
        <f t="shared" si="126"/>
        <v>9868.9995785924984</v>
      </c>
      <c r="AO736" s="5">
        <f t="shared" si="131"/>
        <v>3.2837884548910772E-3</v>
      </c>
      <c r="AP736" s="5">
        <f t="shared" si="127"/>
        <v>0.33099407537292663</v>
      </c>
      <c r="AR736" s="5">
        <f t="shared" si="128"/>
        <v>-7.716302839772704E-3</v>
      </c>
      <c r="AS736" s="5">
        <f t="shared" si="129"/>
        <v>-6.6457470678067398E-3</v>
      </c>
      <c r="AT736" s="5">
        <f t="shared" si="130"/>
        <v>-2.0813442716138275E-3</v>
      </c>
    </row>
    <row r="737" spans="12:46" x14ac:dyDescent="0.25">
      <c r="L737" s="4">
        <v>44477.5</v>
      </c>
      <c r="M737">
        <v>59.9</v>
      </c>
      <c r="N737">
        <v>60.78</v>
      </c>
      <c r="O737">
        <v>57.86</v>
      </c>
      <c r="P737">
        <v>58.04</v>
      </c>
      <c r="Q737">
        <v>29796</v>
      </c>
      <c r="R737">
        <v>441847</v>
      </c>
      <c r="S737">
        <v>95</v>
      </c>
      <c r="T737">
        <v>95.674999999999997</v>
      </c>
      <c r="U737">
        <v>83.7</v>
      </c>
      <c r="V737">
        <v>87.605999999999995</v>
      </c>
      <c r="W737">
        <v>147</v>
      </c>
      <c r="X737">
        <v>4.8747913188647775E-2</v>
      </c>
      <c r="Y737">
        <v>0.79623546320345129</v>
      </c>
      <c r="Z737">
        <v>-2.621392790167884E-4</v>
      </c>
      <c r="AB737" s="3">
        <f t="shared" si="121"/>
        <v>7.6973805096416104E-3</v>
      </c>
      <c r="AC737" s="3">
        <f t="shared" si="122"/>
        <v>7.7257546753864009E-3</v>
      </c>
      <c r="AD737" s="3">
        <f t="shared" si="123"/>
        <v>8.3663991297408605E-3</v>
      </c>
      <c r="AE737" s="76">
        <f t="shared" si="124"/>
        <v>14229.333333333332</v>
      </c>
      <c r="AF737" s="76">
        <f t="shared" si="125"/>
        <v>12070.053571428569</v>
      </c>
      <c r="AG737" s="76">
        <f t="shared" si="126"/>
        <v>10227.28824273072</v>
      </c>
      <c r="AO737" s="5">
        <f t="shared" si="131"/>
        <v>1.904761904761895E-3</v>
      </c>
      <c r="AP737" s="5">
        <f t="shared" si="127"/>
        <v>0.33134947233372475</v>
      </c>
      <c r="AR737" s="5">
        <f t="shared" si="128"/>
        <v>-7.9879284971730025E-3</v>
      </c>
      <c r="AS737" s="5">
        <f t="shared" si="129"/>
        <v>-6.6972510428224274E-3</v>
      </c>
      <c r="AT737" s="5">
        <f t="shared" si="130"/>
        <v>-2.1877817289479018E-3</v>
      </c>
    </row>
    <row r="738" spans="12:46" x14ac:dyDescent="0.25">
      <c r="L738" s="4">
        <v>44476.5</v>
      </c>
      <c r="M738">
        <v>59.9</v>
      </c>
      <c r="N738">
        <v>60.74</v>
      </c>
      <c r="O738">
        <v>57.75</v>
      </c>
      <c r="P738">
        <v>60.4</v>
      </c>
      <c r="Q738">
        <v>49167</v>
      </c>
      <c r="R738">
        <v>441453</v>
      </c>
      <c r="S738">
        <v>89.26</v>
      </c>
      <c r="T738">
        <v>109.47</v>
      </c>
      <c r="U738">
        <v>89.26</v>
      </c>
      <c r="V738">
        <v>96.584000000000003</v>
      </c>
      <c r="W738">
        <v>80</v>
      </c>
      <c r="X738">
        <v>4.5964642582628779E-2</v>
      </c>
      <c r="Y738">
        <v>0.64144557584792306</v>
      </c>
      <c r="Z738">
        <v>1.8484287159704813</v>
      </c>
      <c r="AB738" s="3">
        <f t="shared" si="121"/>
        <v>5.3863188680255344E-3</v>
      </c>
      <c r="AC738" s="3">
        <f t="shared" si="122"/>
        <v>6.2490711484960437E-3</v>
      </c>
      <c r="AD738" s="3">
        <f t="shared" si="123"/>
        <v>7.1690036441667132E-3</v>
      </c>
      <c r="AE738" s="76">
        <f t="shared" si="124"/>
        <v>14347.09523809524</v>
      </c>
      <c r="AF738" s="76">
        <f t="shared" si="125"/>
        <v>11924.136904761908</v>
      </c>
      <c r="AG738" s="76">
        <f t="shared" si="126"/>
        <v>10471.036241045094</v>
      </c>
      <c r="AO738" s="5">
        <f t="shared" si="131"/>
        <v>-1.9358125318390228E-2</v>
      </c>
      <c r="AP738" s="5">
        <f t="shared" si="127"/>
        <v>0.33263515682229683</v>
      </c>
      <c r="AR738" s="5">
        <f t="shared" si="128"/>
        <v>-8.369214345854914E-3</v>
      </c>
      <c r="AS738" s="5">
        <f t="shared" si="129"/>
        <v>-6.8269100122694826E-3</v>
      </c>
      <c r="AT738" s="5">
        <f t="shared" si="130"/>
        <v>-2.3645352693921762E-3</v>
      </c>
    </row>
    <row r="739" spans="12:46" x14ac:dyDescent="0.25">
      <c r="L739" s="4">
        <v>44475.5</v>
      </c>
      <c r="M739">
        <v>65.05</v>
      </c>
      <c r="N739">
        <v>65.05</v>
      </c>
      <c r="O739">
        <v>58.89</v>
      </c>
      <c r="P739">
        <v>59.95</v>
      </c>
      <c r="Q739">
        <v>73082</v>
      </c>
      <c r="R739">
        <v>442488</v>
      </c>
      <c r="S739">
        <v>131.02500000000001</v>
      </c>
      <c r="T739">
        <v>132.93</v>
      </c>
      <c r="U739">
        <v>101.55500000000001</v>
      </c>
      <c r="V739">
        <v>108.191</v>
      </c>
      <c r="W739">
        <v>183</v>
      </c>
      <c r="X739">
        <v>9.6779261586802778E-2</v>
      </c>
      <c r="Y739">
        <v>3.7786997156997275</v>
      </c>
      <c r="Z739">
        <v>4.2104554439148707</v>
      </c>
      <c r="AB739" s="3">
        <f t="shared" si="121"/>
        <v>4.4991212920149279E-3</v>
      </c>
      <c r="AC739" s="3">
        <f t="shared" si="122"/>
        <v>5.1051586816010658E-3</v>
      </c>
      <c r="AD739" s="3">
        <f t="shared" si="123"/>
        <v>6.0907091328544979E-3</v>
      </c>
      <c r="AE739" s="76">
        <f t="shared" si="124"/>
        <v>13842.142857142859</v>
      </c>
      <c r="AF739" s="76">
        <f t="shared" si="125"/>
        <v>11098.202380952385</v>
      </c>
      <c r="AG739" s="76">
        <f t="shared" si="126"/>
        <v>9848.428992836074</v>
      </c>
      <c r="AO739" s="5">
        <f t="shared" si="131"/>
        <v>-7.434768940584717E-2</v>
      </c>
      <c r="AP739" s="5">
        <f t="shared" si="127"/>
        <v>0.33221330569697538</v>
      </c>
      <c r="AR739" s="5">
        <f t="shared" si="128"/>
        <v>-8.5911709594019836E-3</v>
      </c>
      <c r="AS739" s="5">
        <f t="shared" si="129"/>
        <v>-6.8502117758603154E-3</v>
      </c>
      <c r="AT739" s="5">
        <f t="shared" si="130"/>
        <v>-2.4657883252429125E-3</v>
      </c>
    </row>
    <row r="740" spans="12:46" x14ac:dyDescent="0.25">
      <c r="L740" s="4">
        <v>44474.5</v>
      </c>
      <c r="M740">
        <v>63.65</v>
      </c>
      <c r="N740">
        <v>65.400000000000006</v>
      </c>
      <c r="O740">
        <v>63.62</v>
      </c>
      <c r="P740">
        <v>64.28</v>
      </c>
      <c r="Q740">
        <v>46685</v>
      </c>
      <c r="R740">
        <v>444791</v>
      </c>
      <c r="S740">
        <v>108.205</v>
      </c>
      <c r="T740">
        <v>119.36</v>
      </c>
      <c r="U740">
        <v>107.95</v>
      </c>
      <c r="V740">
        <v>116.02</v>
      </c>
      <c r="W740">
        <v>165</v>
      </c>
      <c r="X740">
        <v>2.8262940616068724E-2</v>
      </c>
      <c r="Y740">
        <v>-0.4524607872409378</v>
      </c>
      <c r="Z740">
        <v>1.796968099193845</v>
      </c>
      <c r="AB740" s="3">
        <f t="shared" si="121"/>
        <v>5.533039680595056E-4</v>
      </c>
      <c r="AC740" s="3">
        <f t="shared" si="122"/>
        <v>1.3706605337274885E-3</v>
      </c>
      <c r="AD740" s="3">
        <f t="shared" si="123"/>
        <v>2.4863299067559921E-3</v>
      </c>
      <c r="AE740" s="76">
        <f t="shared" si="124"/>
        <v>11846.90476190476</v>
      </c>
      <c r="AF740" s="76">
        <f t="shared" si="125"/>
        <v>8837.0178571428551</v>
      </c>
      <c r="AG740" s="76">
        <f t="shared" si="126"/>
        <v>7652.5410872313514</v>
      </c>
      <c r="AO740" s="5">
        <f t="shared" si="131"/>
        <v>2.102391269459148E-2</v>
      </c>
      <c r="AP740" s="5">
        <f t="shared" si="127"/>
        <v>0.32323025818423307</v>
      </c>
      <c r="AR740" s="5">
        <f t="shared" si="128"/>
        <v>-8.6835137118918548E-3</v>
      </c>
      <c r="AS740" s="5">
        <f t="shared" si="129"/>
        <v>-6.7873413228379809E-3</v>
      </c>
      <c r="AT740" s="5">
        <f t="shared" si="130"/>
        <v>-2.489278822568497E-3</v>
      </c>
    </row>
    <row r="741" spans="12:46" x14ac:dyDescent="0.25">
      <c r="L741" s="4">
        <v>44473.5</v>
      </c>
      <c r="M741">
        <v>62.98</v>
      </c>
      <c r="N741">
        <v>64.489999999999995</v>
      </c>
      <c r="O741">
        <v>62.31</v>
      </c>
      <c r="P741">
        <v>63.54</v>
      </c>
      <c r="Q741">
        <v>33251</v>
      </c>
      <c r="R741">
        <v>439287</v>
      </c>
      <c r="S741">
        <v>96.4</v>
      </c>
      <c r="T741">
        <v>99.76</v>
      </c>
      <c r="U741">
        <v>94.234999999999999</v>
      </c>
      <c r="V741">
        <v>96.652000000000001</v>
      </c>
      <c r="W741">
        <v>171</v>
      </c>
      <c r="X741">
        <v>3.5246564268391151E-2</v>
      </c>
      <c r="Y741">
        <v>-4.1058395952211904E-2</v>
      </c>
      <c r="Z741">
        <v>0.41862258301165667</v>
      </c>
      <c r="AB741" s="3">
        <f t="shared" si="121"/>
        <v>1.2404232897789899E-3</v>
      </c>
      <c r="AC741" s="3">
        <f t="shared" si="122"/>
        <v>1.6250544162082284E-3</v>
      </c>
      <c r="AD741" s="3">
        <f t="shared" si="123"/>
        <v>2.6139321390185877E-3</v>
      </c>
      <c r="AE741" s="76">
        <f t="shared" si="124"/>
        <v>11323.38095238095</v>
      </c>
      <c r="AF741" s="76">
        <f t="shared" si="125"/>
        <v>7994.7916666666642</v>
      </c>
      <c r="AG741" s="76">
        <f t="shared" si="126"/>
        <v>6757.9410029498504</v>
      </c>
      <c r="AO741" s="5">
        <f t="shared" si="131"/>
        <v>1.9803600654664497E-2</v>
      </c>
      <c r="AP741" s="5">
        <f t="shared" si="127"/>
        <v>0.32287733452140543</v>
      </c>
      <c r="AR741" s="5">
        <f t="shared" si="128"/>
        <v>-8.3515021244948695E-3</v>
      </c>
      <c r="AS741" s="5">
        <f t="shared" si="129"/>
        <v>-6.3084746970652472E-3</v>
      </c>
      <c r="AT741" s="5">
        <f t="shared" si="130"/>
        <v>-2.0932256558847118E-3</v>
      </c>
    </row>
    <row r="742" spans="12:46" x14ac:dyDescent="0.25">
      <c r="L742" s="4">
        <v>44470.5</v>
      </c>
      <c r="M742">
        <v>61.85</v>
      </c>
      <c r="N742">
        <v>63.84</v>
      </c>
      <c r="O742">
        <v>61.1</v>
      </c>
      <c r="P742">
        <v>62.73</v>
      </c>
      <c r="Q742">
        <v>26777</v>
      </c>
      <c r="R742">
        <v>434501</v>
      </c>
      <c r="S742">
        <v>94.665000000000006</v>
      </c>
      <c r="T742">
        <v>97.59</v>
      </c>
      <c r="U742">
        <v>93.105000000000004</v>
      </c>
      <c r="V742">
        <v>93.625</v>
      </c>
      <c r="W742">
        <v>199</v>
      </c>
      <c r="X742">
        <v>4.3561208267090652E-2</v>
      </c>
      <c r="Y742">
        <v>0.4658020946237314</v>
      </c>
      <c r="Z742">
        <v>-0.26602701220058556</v>
      </c>
      <c r="AB742" s="3">
        <f t="shared" si="121"/>
        <v>2.8910511454940252E-4</v>
      </c>
      <c r="AC742" s="3">
        <f t="shared" si="122"/>
        <v>1.0248321565050969E-3</v>
      </c>
      <c r="AD742" s="3">
        <f t="shared" si="123"/>
        <v>1.9544379546815108E-3</v>
      </c>
      <c r="AE742" s="76">
        <f t="shared" si="124"/>
        <v>10896.714285714283</v>
      </c>
      <c r="AF742" s="76">
        <f t="shared" si="125"/>
        <v>7483.9464285714239</v>
      </c>
      <c r="AG742" s="76">
        <f t="shared" si="126"/>
        <v>6233.5815423514505</v>
      </c>
      <c r="AO742" s="5">
        <f t="shared" si="131"/>
        <v>1.3266998341625279E-2</v>
      </c>
      <c r="AP742" s="5">
        <f t="shared" si="127"/>
        <v>0.32312893119909852</v>
      </c>
      <c r="AR742" s="5">
        <f t="shared" si="128"/>
        <v>-7.9010575687225026E-3</v>
      </c>
      <c r="AS742" s="5">
        <f t="shared" si="129"/>
        <v>-5.7664238619614672E-3</v>
      </c>
      <c r="AT742" s="5">
        <f t="shared" si="130"/>
        <v>-1.6410992934982604E-3</v>
      </c>
    </row>
    <row r="743" spans="12:46" x14ac:dyDescent="0.25">
      <c r="L743" s="4">
        <v>44469.5</v>
      </c>
      <c r="M743">
        <v>62.9</v>
      </c>
      <c r="N743">
        <v>62.92</v>
      </c>
      <c r="O743">
        <v>60.3</v>
      </c>
      <c r="P743">
        <v>61.75</v>
      </c>
      <c r="Q743">
        <v>48944</v>
      </c>
      <c r="R743">
        <v>434750</v>
      </c>
      <c r="S743">
        <v>94.92</v>
      </c>
      <c r="T743">
        <v>97.774000000000001</v>
      </c>
      <c r="U743">
        <v>93.18</v>
      </c>
      <c r="V743">
        <v>97.774000000000001</v>
      </c>
      <c r="W743">
        <v>51</v>
      </c>
      <c r="X743">
        <v>4.1920000000000075E-2</v>
      </c>
      <c r="Y743">
        <v>0.38548971741130422</v>
      </c>
      <c r="Z743">
        <v>2.0727266818926835</v>
      </c>
      <c r="AB743" s="3">
        <f t="shared" si="121"/>
        <v>3.7720838087113018E-4</v>
      </c>
      <c r="AC743" s="3">
        <f t="shared" si="122"/>
        <v>7.6088818073725278E-4</v>
      </c>
      <c r="AD743" s="3">
        <f t="shared" si="123"/>
        <v>1.6000821180056288E-3</v>
      </c>
      <c r="AE743" s="76">
        <f t="shared" si="124"/>
        <v>10627.523809523809</v>
      </c>
      <c r="AF743" s="76">
        <f t="shared" si="125"/>
        <v>6970.6071428571413</v>
      </c>
      <c r="AG743" s="76">
        <f t="shared" si="126"/>
        <v>5976.434892541085</v>
      </c>
      <c r="AO743" s="5">
        <f t="shared" si="131"/>
        <v>-1.6954678839256703E-2</v>
      </c>
      <c r="AP743" s="5">
        <f t="shared" si="127"/>
        <v>0.32337103441578252</v>
      </c>
      <c r="AR743" s="5">
        <f t="shared" si="128"/>
        <v>-7.400968990457002E-3</v>
      </c>
      <c r="AS743" s="5">
        <f t="shared" si="129"/>
        <v>-5.1975007744533563E-3</v>
      </c>
      <c r="AT743" s="5">
        <f t="shared" si="130"/>
        <v>-1.1649715403744265E-3</v>
      </c>
    </row>
    <row r="744" spans="12:46" x14ac:dyDescent="0.25">
      <c r="L744" s="4">
        <v>44468.5</v>
      </c>
      <c r="M744">
        <v>62.5</v>
      </c>
      <c r="N744">
        <v>63.2</v>
      </c>
      <c r="O744">
        <v>61.34</v>
      </c>
      <c r="P744">
        <v>62.6</v>
      </c>
      <c r="Q744">
        <v>35365</v>
      </c>
      <c r="R744">
        <v>436453</v>
      </c>
      <c r="S744">
        <v>86.5</v>
      </c>
      <c r="T744">
        <v>86.608999999999995</v>
      </c>
      <c r="U744">
        <v>86.5</v>
      </c>
      <c r="V744">
        <v>86.608999999999995</v>
      </c>
      <c r="W744">
        <v>0</v>
      </c>
      <c r="X744">
        <v>2.8501379098988651E-2</v>
      </c>
      <c r="Y744">
        <v>-0.40045149707220068</v>
      </c>
      <c r="Z744">
        <v>0.68122126968068986</v>
      </c>
      <c r="AB744" s="3">
        <f t="shared" si="121"/>
        <v>9.2745039077408997E-4</v>
      </c>
      <c r="AC744" s="3">
        <f t="shared" si="122"/>
        <v>6.9539472566002708E-4</v>
      </c>
      <c r="AD744" s="3">
        <f t="shared" si="123"/>
        <v>1.3786676774750969E-3</v>
      </c>
      <c r="AE744" s="76">
        <f t="shared" si="124"/>
        <v>10701.90476190476</v>
      </c>
      <c r="AF744" s="76">
        <f t="shared" si="125"/>
        <v>6281.9107142857138</v>
      </c>
      <c r="AG744" s="76">
        <f t="shared" si="126"/>
        <v>5419.8773704171908</v>
      </c>
      <c r="AO744" s="5">
        <f t="shared" si="131"/>
        <v>-4.7055005679052268E-3</v>
      </c>
      <c r="AP744" s="5">
        <f t="shared" si="127"/>
        <v>0.32290330276537482</v>
      </c>
      <c r="AR744" s="5">
        <f t="shared" si="128"/>
        <v>-6.9121188098993369E-3</v>
      </c>
      <c r="AS744" s="5">
        <f t="shared" si="129"/>
        <v>-4.640236405160203E-3</v>
      </c>
      <c r="AT744" s="5">
        <f t="shared" si="130"/>
        <v>-6.9718623855113959E-4</v>
      </c>
    </row>
    <row r="745" spans="12:46" x14ac:dyDescent="0.25">
      <c r="L745" s="4">
        <v>44467.5</v>
      </c>
      <c r="M745">
        <v>65.260000000000005</v>
      </c>
      <c r="N745">
        <v>65.77</v>
      </c>
      <c r="O745">
        <v>61.63</v>
      </c>
      <c r="P745">
        <v>62.09</v>
      </c>
      <c r="Q745">
        <v>45094</v>
      </c>
      <c r="R745">
        <v>434246</v>
      </c>
      <c r="S745">
        <v>83</v>
      </c>
      <c r="T745">
        <v>84.15</v>
      </c>
      <c r="U745">
        <v>78.564999999999998</v>
      </c>
      <c r="V745">
        <v>78.564999999999998</v>
      </c>
      <c r="W745">
        <v>78</v>
      </c>
      <c r="X745">
        <v>6.458658346333844E-2</v>
      </c>
      <c r="Y745">
        <v>1.7261349831520725</v>
      </c>
      <c r="Z745">
        <v>1.7745455393185934</v>
      </c>
      <c r="AB745" s="3">
        <f t="shared" si="121"/>
        <v>-6.4279071920280567E-4</v>
      </c>
      <c r="AC745" s="3">
        <f t="shared" si="122"/>
        <v>-6.3870079919509104E-5</v>
      </c>
      <c r="AD745" s="3">
        <f t="shared" si="123"/>
        <v>5.7038049806510532E-4</v>
      </c>
      <c r="AE745" s="76">
        <f t="shared" si="124"/>
        <v>9702.2857142857138</v>
      </c>
      <c r="AF745" s="76">
        <f t="shared" si="125"/>
        <v>5513.7559523809505</v>
      </c>
      <c r="AG745" s="76">
        <f t="shared" si="126"/>
        <v>4563.5465655288644</v>
      </c>
      <c r="AO745" s="5">
        <f t="shared" si="131"/>
        <v>-3.097484276729558E-2</v>
      </c>
      <c r="AP745" s="5">
        <f t="shared" si="127"/>
        <v>0.3230364467177686</v>
      </c>
      <c r="AR745" s="5">
        <f t="shared" si="128"/>
        <v>-6.4162786393044402E-3</v>
      </c>
      <c r="AS745" s="5">
        <f t="shared" si="129"/>
        <v>-4.0540343472550422E-3</v>
      </c>
      <c r="AT745" s="5">
        <f t="shared" si="130"/>
        <v>-2.177896051263617E-4</v>
      </c>
    </row>
    <row r="746" spans="12:46" x14ac:dyDescent="0.25">
      <c r="L746" s="4">
        <v>44466.5</v>
      </c>
      <c r="M746">
        <v>64.099999999999994</v>
      </c>
      <c r="N746">
        <v>65.06</v>
      </c>
      <c r="O746">
        <v>63.6</v>
      </c>
      <c r="P746">
        <v>64.69</v>
      </c>
      <c r="Q746">
        <v>40278</v>
      </c>
      <c r="R746">
        <v>434511</v>
      </c>
      <c r="S746">
        <v>75</v>
      </c>
      <c r="T746">
        <v>76.97</v>
      </c>
      <c r="U746">
        <v>75</v>
      </c>
      <c r="V746">
        <v>76.507000000000005</v>
      </c>
      <c r="W746">
        <v>275</v>
      </c>
      <c r="X746">
        <v>2.4036878498518287E-2</v>
      </c>
      <c r="Y746">
        <v>-0.63167972901999681</v>
      </c>
      <c r="Z746">
        <v>1.3003616223264434</v>
      </c>
      <c r="AB746" s="3">
        <f t="shared" si="121"/>
        <v>-2.8700470551617854E-3</v>
      </c>
      <c r="AC746" s="3">
        <f t="shared" si="122"/>
        <v>-2.3235444708663705E-3</v>
      </c>
      <c r="AD746" s="3">
        <f t="shared" si="123"/>
        <v>-1.5752595474641182E-3</v>
      </c>
      <c r="AE746" s="76">
        <f t="shared" si="124"/>
        <v>8005.8095238095229</v>
      </c>
      <c r="AF746" s="76">
        <f t="shared" si="125"/>
        <v>4063.1488095238092</v>
      </c>
      <c r="AG746" s="76">
        <f t="shared" si="126"/>
        <v>3078.5617361989025</v>
      </c>
      <c r="AO746" s="5">
        <f t="shared" si="131"/>
        <v>6.1415220293724961E-2</v>
      </c>
      <c r="AP746" s="5">
        <f t="shared" si="127"/>
        <v>0.32215140762603778</v>
      </c>
      <c r="AR746" s="5">
        <f t="shared" si="128"/>
        <v>-5.8305725332395975E-3</v>
      </c>
      <c r="AS746" s="5">
        <f t="shared" si="129"/>
        <v>-3.4201842956249617E-3</v>
      </c>
      <c r="AT746" s="5">
        <f t="shared" si="130"/>
        <v>3.2166274225670088E-4</v>
      </c>
    </row>
    <row r="747" spans="12:46" x14ac:dyDescent="0.25">
      <c r="L747" s="4">
        <v>44463.5</v>
      </c>
      <c r="M747">
        <v>60.74</v>
      </c>
      <c r="N747">
        <v>64.16</v>
      </c>
      <c r="O747">
        <v>59.92</v>
      </c>
      <c r="P747">
        <v>63.75</v>
      </c>
      <c r="Q747">
        <v>37083</v>
      </c>
      <c r="R747">
        <v>434227</v>
      </c>
      <c r="S747">
        <v>68.3</v>
      </c>
      <c r="T747">
        <v>70.89</v>
      </c>
      <c r="U747">
        <v>68.254999999999995</v>
      </c>
      <c r="V747">
        <v>70.239999999999995</v>
      </c>
      <c r="W747">
        <v>349</v>
      </c>
      <c r="X747">
        <v>7.0082644628099086E-2</v>
      </c>
      <c r="Y747">
        <v>2.1283736942103397</v>
      </c>
      <c r="Z747">
        <v>0.9670778407864189</v>
      </c>
      <c r="AB747" s="3">
        <f t="shared" si="121"/>
        <v>2.5483860261604763E-7</v>
      </c>
      <c r="AC747" s="3">
        <f t="shared" si="122"/>
        <v>-3.40703839626956E-4</v>
      </c>
      <c r="AD747" s="3">
        <f t="shared" si="123"/>
        <v>4.3786602985283751E-5</v>
      </c>
      <c r="AE747" s="76">
        <f t="shared" si="124"/>
        <v>7876.4761904761908</v>
      </c>
      <c r="AF747" s="76">
        <f t="shared" si="125"/>
        <v>3603.3095238095266</v>
      </c>
      <c r="AG747" s="76">
        <f t="shared" si="126"/>
        <v>2417.4694479561767</v>
      </c>
      <c r="AO747" s="5">
        <f t="shared" si="131"/>
        <v>1.3360392355826131E-2</v>
      </c>
      <c r="AP747" s="5">
        <f t="shared" si="127"/>
        <v>0.31708162256801836</v>
      </c>
      <c r="AR747" s="5">
        <f t="shared" si="128"/>
        <v>-5.5459532264843792E-3</v>
      </c>
      <c r="AS747" s="5">
        <f t="shared" si="129"/>
        <v>-2.9858821750193276E-3</v>
      </c>
      <c r="AT747" s="5">
        <f t="shared" si="130"/>
        <v>7.014696837252532E-4</v>
      </c>
    </row>
    <row r="748" spans="12:46" x14ac:dyDescent="0.25">
      <c r="L748" s="4">
        <v>44462.5</v>
      </c>
      <c r="M748">
        <v>60.5</v>
      </c>
      <c r="N748">
        <v>61.16</v>
      </c>
      <c r="O748">
        <v>59.13</v>
      </c>
      <c r="P748">
        <v>60.62</v>
      </c>
      <c r="Q748">
        <v>35643</v>
      </c>
      <c r="R748">
        <v>432153</v>
      </c>
      <c r="S748">
        <v>68</v>
      </c>
      <c r="T748">
        <v>70.709999999999994</v>
      </c>
      <c r="U748">
        <v>68</v>
      </c>
      <c r="V748">
        <v>69.683999999999997</v>
      </c>
      <c r="W748">
        <v>607</v>
      </c>
      <c r="X748">
        <v>3.3631544068919716E-2</v>
      </c>
      <c r="Y748">
        <v>-8.9934890444064875E-3</v>
      </c>
      <c r="Z748">
        <v>0.82198405128304575</v>
      </c>
      <c r="AB748" s="3">
        <f t="shared" si="121"/>
        <v>-1.2656573961950697E-3</v>
      </c>
      <c r="AC748" s="3">
        <f t="shared" si="122"/>
        <v>-2.0523398983485173E-3</v>
      </c>
      <c r="AD748" s="3">
        <f t="shared" si="123"/>
        <v>-1.6211102086436564E-3</v>
      </c>
      <c r="AE748" s="76">
        <f t="shared" si="124"/>
        <v>6609.1428571428587</v>
      </c>
      <c r="AF748" s="76">
        <f t="shared" si="125"/>
        <v>2365.6488095238092</v>
      </c>
      <c r="AG748" s="76">
        <f t="shared" si="126"/>
        <v>1434.273493468183</v>
      </c>
      <c r="AO748" s="5">
        <f t="shared" si="131"/>
        <v>-1.1369336231399426E-2</v>
      </c>
      <c r="AP748" s="5">
        <f t="shared" si="127"/>
        <v>0.31693988657825017</v>
      </c>
      <c r="AR748" s="5">
        <f t="shared" si="128"/>
        <v>-5.0677831447313859E-3</v>
      </c>
      <c r="AS748" s="5">
        <f t="shared" si="129"/>
        <v>-2.3469315279786573E-3</v>
      </c>
      <c r="AT748" s="5">
        <f t="shared" si="130"/>
        <v>1.296296069216496E-3</v>
      </c>
    </row>
    <row r="749" spans="12:46" x14ac:dyDescent="0.25">
      <c r="L749" s="4">
        <v>44461.5</v>
      </c>
      <c r="M749">
        <v>60.36</v>
      </c>
      <c r="N749">
        <v>60.75</v>
      </c>
      <c r="O749">
        <v>59.81</v>
      </c>
      <c r="P749">
        <v>60.56</v>
      </c>
      <c r="Q749">
        <v>30572</v>
      </c>
      <c r="R749">
        <v>434764</v>
      </c>
      <c r="S749">
        <v>70.099999999999994</v>
      </c>
      <c r="T749">
        <v>72.655000000000001</v>
      </c>
      <c r="U749">
        <v>69.924999999999997</v>
      </c>
      <c r="V749">
        <v>71.691999999999993</v>
      </c>
      <c r="W749">
        <v>709</v>
      </c>
      <c r="X749">
        <v>1.550387596899221E-2</v>
      </c>
      <c r="Y749">
        <v>-1.1090311727728632</v>
      </c>
      <c r="Z749">
        <v>0.23318518355785561</v>
      </c>
      <c r="AB749" s="3">
        <f t="shared" si="121"/>
        <v>-1.5455486209388115E-3</v>
      </c>
      <c r="AC749" s="3">
        <f t="shared" si="122"/>
        <v>-2.503574661261939E-3</v>
      </c>
      <c r="AD749" s="3">
        <f t="shared" si="123"/>
        <v>-2.1212097680969148E-3</v>
      </c>
      <c r="AE749" s="76">
        <f t="shared" si="124"/>
        <v>5507.3333333333321</v>
      </c>
      <c r="AF749" s="76">
        <f t="shared" si="125"/>
        <v>1346.5</v>
      </c>
      <c r="AG749" s="76">
        <f t="shared" si="126"/>
        <v>540.80151706700417</v>
      </c>
      <c r="AO749" s="5">
        <f t="shared" si="131"/>
        <v>-6.6833751044275932E-4</v>
      </c>
      <c r="AP749" s="5">
        <f t="shared" si="127"/>
        <v>0.31734275380030147</v>
      </c>
      <c r="AR749" s="5">
        <f t="shared" si="128"/>
        <v>-4.5817187618095168E-3</v>
      </c>
      <c r="AS749" s="5">
        <f t="shared" si="129"/>
        <v>-1.6998645125928524E-3</v>
      </c>
      <c r="AT749" s="5">
        <f t="shared" si="130"/>
        <v>1.8991199786959623E-3</v>
      </c>
    </row>
    <row r="750" spans="12:46" x14ac:dyDescent="0.25">
      <c r="L750" s="4">
        <v>44460.5</v>
      </c>
      <c r="M750">
        <v>60.63</v>
      </c>
      <c r="N750">
        <v>61.4</v>
      </c>
      <c r="O750">
        <v>59.85</v>
      </c>
      <c r="P750">
        <v>60.18</v>
      </c>
      <c r="Q750">
        <v>26728</v>
      </c>
      <c r="R750">
        <v>441356</v>
      </c>
      <c r="S750">
        <v>72.525000000000006</v>
      </c>
      <c r="T750">
        <v>75.105000000000004</v>
      </c>
      <c r="U750">
        <v>71.25</v>
      </c>
      <c r="V750">
        <v>73.781999999999996</v>
      </c>
      <c r="W750">
        <v>358</v>
      </c>
      <c r="X750">
        <v>2.6226734348561712E-2</v>
      </c>
      <c r="Y750">
        <v>-0.46392754914741896</v>
      </c>
      <c r="Z750">
        <v>-0.20408943528864718</v>
      </c>
      <c r="AB750" s="3">
        <f t="shared" si="121"/>
        <v>-2.1460679062289129E-3</v>
      </c>
      <c r="AC750" s="3">
        <f t="shared" si="122"/>
        <v>-2.2695268925312095E-3</v>
      </c>
      <c r="AD750" s="3">
        <f t="shared" si="123"/>
        <v>-1.5319072798671354E-3</v>
      </c>
      <c r="AE750" s="76">
        <f t="shared" si="124"/>
        <v>4450.9047619047597</v>
      </c>
      <c r="AF750" s="76">
        <f t="shared" si="125"/>
        <v>766.70238095237801</v>
      </c>
      <c r="AG750" s="76">
        <f t="shared" si="126"/>
        <v>-250.11715128529249</v>
      </c>
      <c r="AO750" s="5">
        <f t="shared" si="131"/>
        <v>2.3076923076923102E-2</v>
      </c>
      <c r="AP750" s="5">
        <f t="shared" si="127"/>
        <v>0.31827434845507158</v>
      </c>
      <c r="AR750" s="5">
        <f t="shared" si="128"/>
        <v>-3.875437639429935E-3</v>
      </c>
      <c r="AS750" s="5">
        <f t="shared" si="129"/>
        <v>-9.4668469694891844E-4</v>
      </c>
      <c r="AT750" s="5">
        <f t="shared" si="130"/>
        <v>2.561157555412974E-3</v>
      </c>
    </row>
    <row r="751" spans="12:46" x14ac:dyDescent="0.25">
      <c r="L751" s="4">
        <v>44459.5</v>
      </c>
      <c r="M751">
        <v>59.1</v>
      </c>
      <c r="N751">
        <v>61.05</v>
      </c>
      <c r="O751">
        <v>58.5</v>
      </c>
      <c r="P751">
        <v>60.45</v>
      </c>
      <c r="Q751">
        <v>38467</v>
      </c>
      <c r="R751">
        <v>442399</v>
      </c>
      <c r="S751">
        <v>65.724999999999994</v>
      </c>
      <c r="T751">
        <v>75.38</v>
      </c>
      <c r="U751">
        <v>65.724999999999994</v>
      </c>
      <c r="V751">
        <v>75.316999999999993</v>
      </c>
      <c r="W751">
        <v>346</v>
      </c>
      <c r="X751">
        <v>4.2965459140690769E-2</v>
      </c>
      <c r="Y751">
        <v>0.5733062757224584</v>
      </c>
      <c r="Z751">
        <v>1.1538460360536362</v>
      </c>
      <c r="AB751" s="3">
        <f t="shared" si="121"/>
        <v>-3.1591760478763553E-4</v>
      </c>
      <c r="AC751" s="3">
        <f t="shared" si="122"/>
        <v>-1.5597761912612765E-3</v>
      </c>
      <c r="AD751" s="3">
        <f t="shared" si="123"/>
        <v>-7.197427533172443E-4</v>
      </c>
      <c r="AE751" s="76">
        <f t="shared" si="124"/>
        <v>4439.9523809523816</v>
      </c>
      <c r="AF751" s="76">
        <f t="shared" si="125"/>
        <v>398.22023809524035</v>
      </c>
      <c r="AG751" s="76">
        <f t="shared" si="126"/>
        <v>-551.05646860514025</v>
      </c>
      <c r="AO751" s="5">
        <f t="shared" si="131"/>
        <v>-8.8105726872247225E-3</v>
      </c>
      <c r="AP751" s="5">
        <f t="shared" si="127"/>
        <v>0.31819530528821555</v>
      </c>
      <c r="AR751" s="5">
        <f t="shared" si="128"/>
        <v>-2.7995072949044686E-3</v>
      </c>
      <c r="AS751" s="5">
        <f t="shared" si="129"/>
        <v>5.1386031850342295E-5</v>
      </c>
      <c r="AT751" s="5">
        <f t="shared" si="130"/>
        <v>3.4325305305918929E-3</v>
      </c>
    </row>
    <row r="752" spans="12:46" x14ac:dyDescent="0.25">
      <c r="L752" s="4">
        <v>44456.5</v>
      </c>
      <c r="M752">
        <v>59.35</v>
      </c>
      <c r="N752">
        <v>60.2</v>
      </c>
      <c r="O752">
        <v>59.02</v>
      </c>
      <c r="P752">
        <v>59.5</v>
      </c>
      <c r="Q752">
        <v>31009</v>
      </c>
      <c r="R752">
        <v>440731</v>
      </c>
      <c r="S752">
        <v>66.75</v>
      </c>
      <c r="T752">
        <v>66.775000000000006</v>
      </c>
      <c r="U752">
        <v>62.85</v>
      </c>
      <c r="V752">
        <v>65.102999999999994</v>
      </c>
      <c r="W752">
        <v>377</v>
      </c>
      <c r="X752">
        <v>1.9902175746331584E-2</v>
      </c>
      <c r="Y752">
        <v>-0.83823646030061261</v>
      </c>
      <c r="Z752">
        <v>0.32740320733833994</v>
      </c>
      <c r="AB752" s="3">
        <f t="shared" si="121"/>
        <v>-2.0334332035855072E-3</v>
      </c>
      <c r="AC752" s="3">
        <f t="shared" si="122"/>
        <v>-2.8156224061601405E-3</v>
      </c>
      <c r="AD752" s="3">
        <f t="shared" si="123"/>
        <v>-1.5642339867093756E-3</v>
      </c>
      <c r="AE752" s="76">
        <f t="shared" si="124"/>
        <v>3460.5238095238092</v>
      </c>
      <c r="AF752" s="76">
        <f t="shared" si="125"/>
        <v>-355.64285714285506</v>
      </c>
      <c r="AG752" s="76">
        <f t="shared" si="126"/>
        <v>-1315.8166877370422</v>
      </c>
      <c r="AO752" s="5">
        <f t="shared" si="131"/>
        <v>1.2176299091065011E-2</v>
      </c>
      <c r="AP752" s="5">
        <f t="shared" si="127"/>
        <v>0.32431964294882953</v>
      </c>
      <c r="AR752" s="5">
        <f t="shared" si="128"/>
        <v>-1.7223228229769627E-3</v>
      </c>
      <c r="AS752" s="5">
        <f t="shared" si="129"/>
        <v>1.0718326558827318E-3</v>
      </c>
      <c r="AT752" s="5">
        <f t="shared" si="130"/>
        <v>4.3147368252279827E-3</v>
      </c>
    </row>
    <row r="753" spans="12:46" x14ac:dyDescent="0.25">
      <c r="L753" s="4">
        <v>44455.5</v>
      </c>
      <c r="M753">
        <v>59.29</v>
      </c>
      <c r="N753">
        <v>60.84</v>
      </c>
      <c r="O753">
        <v>58.31</v>
      </c>
      <c r="P753">
        <v>59.14</v>
      </c>
      <c r="Q753">
        <v>43268</v>
      </c>
      <c r="R753">
        <v>439635</v>
      </c>
      <c r="S753">
        <v>68.534999999999997</v>
      </c>
      <c r="T753">
        <v>68.534999999999997</v>
      </c>
      <c r="U753">
        <v>60.76</v>
      </c>
      <c r="V753">
        <v>63.250999999999998</v>
      </c>
      <c r="W753">
        <v>338</v>
      </c>
      <c r="X753">
        <v>4.242119382964455E-2</v>
      </c>
      <c r="Y753">
        <v>0.55681467314925348</v>
      </c>
      <c r="Z753">
        <v>1.7560636208821387</v>
      </c>
      <c r="AB753" s="3">
        <f t="shared" si="121"/>
        <v>3.3630088186115299E-3</v>
      </c>
      <c r="AC753" s="3">
        <f t="shared" si="122"/>
        <v>9.9028477840801959E-4</v>
      </c>
      <c r="AD753" s="3">
        <f t="shared" si="123"/>
        <v>1.7338522060920611E-3</v>
      </c>
      <c r="AE753" s="76">
        <f t="shared" si="124"/>
        <v>5125.3809523809541</v>
      </c>
      <c r="AF753" s="76">
        <f t="shared" si="125"/>
        <v>721.84523809523671</v>
      </c>
      <c r="AG753" s="76">
        <f t="shared" si="126"/>
        <v>-496.06278971765641</v>
      </c>
      <c r="AO753" s="5">
        <f t="shared" si="131"/>
        <v>-7.3203949608443937E-3</v>
      </c>
      <c r="AP753" s="5">
        <f t="shared" si="127"/>
        <v>0.32494993403213496</v>
      </c>
      <c r="AR753" s="5">
        <f t="shared" si="128"/>
        <v>-9.2914654907422234E-4</v>
      </c>
      <c r="AS753" s="5">
        <f t="shared" si="129"/>
        <v>1.8046151733451254E-3</v>
      </c>
      <c r="AT753" s="5">
        <f t="shared" si="130"/>
        <v>4.9084193568277312E-3</v>
      </c>
    </row>
    <row r="754" spans="12:46" x14ac:dyDescent="0.25">
      <c r="L754" s="4">
        <v>44454.5</v>
      </c>
      <c r="M754">
        <v>59.64</v>
      </c>
      <c r="N754">
        <v>61.44</v>
      </c>
      <c r="O754">
        <v>58.74</v>
      </c>
      <c r="P754">
        <v>59.43</v>
      </c>
      <c r="Q754">
        <v>44794</v>
      </c>
      <c r="R754">
        <v>440679</v>
      </c>
      <c r="S754">
        <v>71.924999999999997</v>
      </c>
      <c r="T754">
        <v>77.275000000000006</v>
      </c>
      <c r="U754">
        <v>69.724999999999994</v>
      </c>
      <c r="V754">
        <v>70.706999999999994</v>
      </c>
      <c r="W754">
        <v>620</v>
      </c>
      <c r="X754">
        <v>4.3902439024390172E-2</v>
      </c>
      <c r="Y754">
        <v>0.66761605296696169</v>
      </c>
      <c r="Z754">
        <v>1.9843403744221511</v>
      </c>
      <c r="AB754" s="3">
        <f t="shared" si="121"/>
        <v>3.9476222222733157E-3</v>
      </c>
      <c r="AC754" s="3">
        <f t="shared" si="122"/>
        <v>1.499925596919631E-3</v>
      </c>
      <c r="AD754" s="3">
        <f t="shared" si="123"/>
        <v>2.0755611036995456E-3</v>
      </c>
      <c r="AE754" s="76">
        <f t="shared" si="124"/>
        <v>3821.1904761904771</v>
      </c>
      <c r="AF754" s="76">
        <f t="shared" si="125"/>
        <v>64.910714285713766</v>
      </c>
      <c r="AG754" s="76">
        <f t="shared" si="126"/>
        <v>-1243.3008849557518</v>
      </c>
      <c r="AO754" s="5">
        <f t="shared" si="131"/>
        <v>-9.1093117408906736E-3</v>
      </c>
      <c r="AP754" s="5">
        <f t="shared" si="127"/>
        <v>0.3258860634374639</v>
      </c>
      <c r="AR754" s="5">
        <f t="shared" si="128"/>
        <v>-5.5724449304445089E-4</v>
      </c>
      <c r="AS754" s="5">
        <f t="shared" si="129"/>
        <v>2.2582073916923573E-3</v>
      </c>
      <c r="AT754" s="5">
        <f t="shared" si="130"/>
        <v>5.2505567180362034E-3</v>
      </c>
    </row>
    <row r="755" spans="12:46" x14ac:dyDescent="0.25">
      <c r="L755" s="4">
        <v>44453.5</v>
      </c>
      <c r="M755">
        <v>61.5</v>
      </c>
      <c r="N755">
        <v>61.98</v>
      </c>
      <c r="O755">
        <v>59.28</v>
      </c>
      <c r="P755">
        <v>59.85</v>
      </c>
      <c r="Q755">
        <v>45855</v>
      </c>
      <c r="R755">
        <v>442571</v>
      </c>
      <c r="S755">
        <v>64.55</v>
      </c>
      <c r="T755">
        <v>66.394999999999996</v>
      </c>
      <c r="U755">
        <v>64.55</v>
      </c>
      <c r="V755">
        <v>65.763999999999996</v>
      </c>
      <c r="W755">
        <v>1133</v>
      </c>
      <c r="X755">
        <v>4.4262295081967142E-2</v>
      </c>
      <c r="Y755">
        <v>0.70379292146580241</v>
      </c>
      <c r="Z755">
        <v>2.1697231712046872</v>
      </c>
      <c r="AB755" s="3">
        <f t="shared" si="121"/>
        <v>2.245190272379266E-3</v>
      </c>
      <c r="AC755" s="3">
        <f t="shared" si="122"/>
        <v>6.4446327149468574E-4</v>
      </c>
      <c r="AD755" s="3">
        <f t="shared" si="123"/>
        <v>9.253565863608787E-4</v>
      </c>
      <c r="AE755" s="76">
        <f t="shared" si="124"/>
        <v>2761.6190476190459</v>
      </c>
      <c r="AF755" s="76">
        <f t="shared" si="125"/>
        <v>-581.14880952380918</v>
      </c>
      <c r="AG755" s="76">
        <f t="shared" si="126"/>
        <v>-2408.9144542772883</v>
      </c>
      <c r="AO755" s="5">
        <f t="shared" si="131"/>
        <v>-2.5961222477817916E-2</v>
      </c>
      <c r="AP755" s="5">
        <f t="shared" si="127"/>
        <v>0.32618107709064281</v>
      </c>
      <c r="AR755" s="5">
        <f t="shared" si="128"/>
        <v>-3.3361000381010308E-4</v>
      </c>
      <c r="AS755" s="5">
        <f t="shared" si="129"/>
        <v>2.5568190032768112E-3</v>
      </c>
      <c r="AT755" s="5">
        <f t="shared" si="130"/>
        <v>5.4559668636192105E-3</v>
      </c>
    </row>
    <row r="756" spans="12:46" x14ac:dyDescent="0.25">
      <c r="L756" s="4">
        <v>44452.5</v>
      </c>
      <c r="M756">
        <v>61</v>
      </c>
      <c r="N756">
        <v>62.69</v>
      </c>
      <c r="O756">
        <v>60.86</v>
      </c>
      <c r="P756">
        <v>61.5</v>
      </c>
      <c r="Q756">
        <v>31767</v>
      </c>
      <c r="R756">
        <v>443346</v>
      </c>
      <c r="S756">
        <v>59.35</v>
      </c>
      <c r="T756">
        <v>62.25</v>
      </c>
      <c r="U756">
        <v>59.35</v>
      </c>
      <c r="V756">
        <v>61.279000000000003</v>
      </c>
      <c r="W756">
        <v>1017</v>
      </c>
      <c r="X756">
        <v>2.8987802946301256E-2</v>
      </c>
      <c r="Y756">
        <v>-0.22821696235322761</v>
      </c>
      <c r="Z756">
        <v>0.52568983538888692</v>
      </c>
      <c r="AB756" s="3">
        <f t="shared" si="121"/>
        <v>4.3992380147541803E-3</v>
      </c>
      <c r="AC756" s="3">
        <f t="shared" si="122"/>
        <v>1.5806004020254491E-3</v>
      </c>
      <c r="AD756" s="3">
        <f t="shared" si="123"/>
        <v>1.7708905254533586E-3</v>
      </c>
      <c r="AE756" s="76">
        <f t="shared" si="124"/>
        <v>1828.8095238095229</v>
      </c>
      <c r="AF756" s="76">
        <f t="shared" si="125"/>
        <v>-1804.9702380952403</v>
      </c>
      <c r="AG756" s="76">
        <f t="shared" si="126"/>
        <v>-3625.005478297513</v>
      </c>
      <c r="AO756" s="5">
        <f t="shared" si="131"/>
        <v>4.2904290429042575E-3</v>
      </c>
      <c r="AP756" s="5">
        <f t="shared" si="127"/>
        <v>0.32710939130402888</v>
      </c>
      <c r="AR756" s="5">
        <f t="shared" si="128"/>
        <v>-1.3488656087395912E-4</v>
      </c>
      <c r="AS756" s="5">
        <f t="shared" si="129"/>
        <v>2.8468360482031829E-3</v>
      </c>
      <c r="AT756" s="5">
        <f t="shared" si="130"/>
        <v>5.6484179025795833E-3</v>
      </c>
    </row>
    <row r="757" spans="12:46" x14ac:dyDescent="0.25">
      <c r="L757" s="4">
        <v>44449.5</v>
      </c>
      <c r="M757">
        <v>63.13</v>
      </c>
      <c r="N757">
        <v>63.15</v>
      </c>
      <c r="O757">
        <v>60.6</v>
      </c>
      <c r="P757">
        <v>61.29</v>
      </c>
      <c r="Q757">
        <v>31351</v>
      </c>
      <c r="R757">
        <v>442880</v>
      </c>
      <c r="S757">
        <v>56</v>
      </c>
      <c r="T757">
        <v>57.994999999999997</v>
      </c>
      <c r="U757">
        <v>55.774999999999999</v>
      </c>
      <c r="V757">
        <v>57.915999999999997</v>
      </c>
      <c r="W757">
        <v>1180</v>
      </c>
      <c r="X757">
        <v>4.0637450199203139E-2</v>
      </c>
      <c r="Y757">
        <v>0.49337343128663536</v>
      </c>
      <c r="Z757">
        <v>0.4894497853969792</v>
      </c>
      <c r="AB757" s="3">
        <f t="shared" si="121"/>
        <v>3.5694933333236048E-3</v>
      </c>
      <c r="AC757" s="3">
        <f t="shared" si="122"/>
        <v>7.196950759167306E-4</v>
      </c>
      <c r="AD757" s="3">
        <f t="shared" si="123"/>
        <v>1.2048996562779718E-3</v>
      </c>
      <c r="AE757" s="76">
        <f t="shared" si="124"/>
        <v>1087.6190476190459</v>
      </c>
      <c r="AF757" s="76">
        <f t="shared" si="125"/>
        <v>-2491.8214285714275</v>
      </c>
      <c r="AG757" s="76">
        <f t="shared" si="126"/>
        <v>-4248.0151706700381</v>
      </c>
      <c r="AO757" s="5">
        <f t="shared" si="131"/>
        <v>-2.0685197155785408E-2</v>
      </c>
      <c r="AP757" s="5">
        <f t="shared" si="127"/>
        <v>0.32815755992888052</v>
      </c>
      <c r="AR757" s="5">
        <f t="shared" si="128"/>
        <v>-1.4739682984044045E-5</v>
      </c>
      <c r="AS757" s="5">
        <f t="shared" si="129"/>
        <v>3.0859641350799438E-3</v>
      </c>
      <c r="AT757" s="5">
        <f t="shared" si="130"/>
        <v>5.8101497260145685E-3</v>
      </c>
    </row>
    <row r="758" spans="12:46" x14ac:dyDescent="0.25">
      <c r="L758" s="4">
        <v>44448.5</v>
      </c>
      <c r="M758">
        <v>62.75</v>
      </c>
      <c r="N758">
        <v>63.12</v>
      </c>
      <c r="O758">
        <v>61.88</v>
      </c>
      <c r="P758">
        <v>62.77</v>
      </c>
      <c r="Q758">
        <v>29443</v>
      </c>
      <c r="R758">
        <v>441337</v>
      </c>
      <c r="S758">
        <v>55.6</v>
      </c>
      <c r="T758">
        <v>57.23</v>
      </c>
      <c r="U758">
        <v>54.73</v>
      </c>
      <c r="V758">
        <v>56.581000000000003</v>
      </c>
      <c r="W758">
        <v>1055</v>
      </c>
      <c r="X758">
        <v>1.9903691813804091E-2</v>
      </c>
      <c r="Y758">
        <v>-0.78238638697972962</v>
      </c>
      <c r="Z758">
        <v>0.2591833078898636</v>
      </c>
      <c r="AB758" s="3">
        <f t="shared" si="121"/>
        <v>1.9176226626851298E-3</v>
      </c>
      <c r="AC758" s="3">
        <f t="shared" si="122"/>
        <v>6.8668008292679245E-4</v>
      </c>
      <c r="AD758" s="3">
        <f t="shared" si="123"/>
        <v>1.2566778211932986E-3</v>
      </c>
      <c r="AE758" s="76">
        <f t="shared" si="124"/>
        <v>-84</v>
      </c>
      <c r="AF758" s="76">
        <f t="shared" si="125"/>
        <v>-3163.1369047619046</v>
      </c>
      <c r="AG758" s="76">
        <f t="shared" si="126"/>
        <v>-4734.2574799831418</v>
      </c>
      <c r="AO758" s="5">
        <f t="shared" si="131"/>
        <v>-9.6867936712940214E-4</v>
      </c>
      <c r="AP758" s="5">
        <f t="shared" si="127"/>
        <v>0.32735370889848758</v>
      </c>
      <c r="AR758" s="5">
        <f t="shared" si="128"/>
        <v>2.073127646917694E-5</v>
      </c>
      <c r="AS758" s="5">
        <f t="shared" si="129"/>
        <v>3.2985325881740302E-3</v>
      </c>
      <c r="AT758" s="5">
        <f t="shared" si="130"/>
        <v>5.9155555356091849E-3</v>
      </c>
    </row>
    <row r="759" spans="12:46" x14ac:dyDescent="0.25">
      <c r="L759" s="4">
        <v>44447.5</v>
      </c>
      <c r="M759">
        <v>62.3</v>
      </c>
      <c r="N759">
        <v>63.35</v>
      </c>
      <c r="O759">
        <v>61.94</v>
      </c>
      <c r="P759">
        <v>62.85</v>
      </c>
      <c r="Q759">
        <v>30436</v>
      </c>
      <c r="R759">
        <v>442250</v>
      </c>
      <c r="S759">
        <v>54.174999999999997</v>
      </c>
      <c r="T759">
        <v>55.575000000000003</v>
      </c>
      <c r="U759">
        <v>53.56</v>
      </c>
      <c r="V759">
        <v>55.287999999999997</v>
      </c>
      <c r="W759">
        <v>1427</v>
      </c>
      <c r="X759">
        <v>2.2541966426858573E-2</v>
      </c>
      <c r="Y759">
        <v>-0.62563721018345297</v>
      </c>
      <c r="Z759">
        <v>0.36787836830890824</v>
      </c>
      <c r="AB759" s="3">
        <f t="shared" si="121"/>
        <v>2.9403790138440786E-3</v>
      </c>
      <c r="AC759" s="3">
        <f t="shared" si="122"/>
        <v>1.7888213938762818E-3</v>
      </c>
      <c r="AD759" s="3">
        <f t="shared" si="123"/>
        <v>2.2216153677850209E-3</v>
      </c>
      <c r="AE759" s="76">
        <f t="shared" si="124"/>
        <v>-212.80952380952294</v>
      </c>
      <c r="AF759" s="76">
        <f t="shared" si="125"/>
        <v>-3480.6726190476184</v>
      </c>
      <c r="AG759" s="76">
        <f t="shared" si="126"/>
        <v>-4889.6873156342153</v>
      </c>
      <c r="AO759" s="5">
        <f t="shared" si="131"/>
        <v>5.3562733322512299E-3</v>
      </c>
      <c r="AP759" s="5">
        <f t="shared" si="127"/>
        <v>0.32990749584389867</v>
      </c>
      <c r="AR759" s="5">
        <f t="shared" si="128"/>
        <v>9.6590371901517091E-5</v>
      </c>
      <c r="AS759" s="5">
        <f t="shared" si="129"/>
        <v>3.5584871413696928E-3</v>
      </c>
      <c r="AT759" s="5">
        <f t="shared" si="130"/>
        <v>6.0720693575093687E-3</v>
      </c>
    </row>
    <row r="760" spans="12:46" x14ac:dyDescent="0.25">
      <c r="L760" s="4">
        <v>44446.5</v>
      </c>
      <c r="M760">
        <v>62.55</v>
      </c>
      <c r="N760">
        <v>62.88</v>
      </c>
      <c r="O760">
        <v>61.61</v>
      </c>
      <c r="P760">
        <v>62.17</v>
      </c>
      <c r="Q760">
        <v>25419</v>
      </c>
      <c r="R760">
        <v>443737</v>
      </c>
      <c r="S760">
        <v>53.075000000000003</v>
      </c>
      <c r="T760">
        <v>54.185000000000002</v>
      </c>
      <c r="U760">
        <v>51.284999999999997</v>
      </c>
      <c r="V760">
        <v>53.908000000000001</v>
      </c>
      <c r="W760">
        <v>2163</v>
      </c>
      <c r="X760">
        <v>2.0684039087947935E-2</v>
      </c>
      <c r="Y760">
        <v>-0.75614403639394689</v>
      </c>
      <c r="Z760">
        <v>-0.25430429519800368</v>
      </c>
      <c r="AB760" s="3">
        <f t="shared" si="121"/>
        <v>1.0716617816541943E-3</v>
      </c>
      <c r="AC760" s="3">
        <f t="shared" si="122"/>
        <v>1.1064437769641305E-3</v>
      </c>
      <c r="AD760" s="3">
        <f t="shared" si="123"/>
        <v>1.7402102281318596E-3</v>
      </c>
      <c r="AE760" s="76">
        <f t="shared" si="124"/>
        <v>-1043.3333333333321</v>
      </c>
      <c r="AF760" s="76">
        <f t="shared" si="125"/>
        <v>-3831.5297619047597</v>
      </c>
      <c r="AG760" s="76">
        <f t="shared" si="126"/>
        <v>-5359.4749262536861</v>
      </c>
      <c r="AO760" s="5">
        <f t="shared" si="131"/>
        <v>3.4201954397394276E-3</v>
      </c>
      <c r="AP760" s="5">
        <f t="shared" si="127"/>
        <v>0.33106983213255703</v>
      </c>
      <c r="AR760" s="5">
        <f t="shared" si="128"/>
        <v>6.8880247053704213E-5</v>
      </c>
      <c r="AS760" s="5">
        <f t="shared" si="129"/>
        <v>3.7387926335017418E-3</v>
      </c>
      <c r="AT760" s="5">
        <f t="shared" si="130"/>
        <v>6.1401269519355539E-3</v>
      </c>
    </row>
    <row r="761" spans="12:46" x14ac:dyDescent="0.25">
      <c r="L761" s="4">
        <v>44445.5</v>
      </c>
      <c r="M761">
        <v>61.4</v>
      </c>
      <c r="N761">
        <v>63.19</v>
      </c>
      <c r="O761">
        <v>61.4</v>
      </c>
      <c r="P761">
        <v>62.35</v>
      </c>
      <c r="Q761">
        <v>26368</v>
      </c>
      <c r="R761">
        <v>442550</v>
      </c>
      <c r="S761">
        <v>51.8</v>
      </c>
      <c r="T761">
        <v>52.55</v>
      </c>
      <c r="U761">
        <v>51.29</v>
      </c>
      <c r="V761">
        <v>51.505000000000003</v>
      </c>
      <c r="W761">
        <v>0</v>
      </c>
      <c r="X761">
        <v>2.9191128506196984E-2</v>
      </c>
      <c r="Y761">
        <v>-0.22563209901580644</v>
      </c>
      <c r="Z761">
        <v>-0.1119137037551568</v>
      </c>
      <c r="AB761" s="3">
        <f t="shared" si="121"/>
        <v>1.0204143554307307E-3</v>
      </c>
      <c r="AC761" s="3">
        <f t="shared" si="122"/>
        <v>9.3538628265982943E-4</v>
      </c>
      <c r="AD761" s="3">
        <f t="shared" si="123"/>
        <v>1.9846169960131069E-3</v>
      </c>
      <c r="AE761" s="76">
        <f t="shared" si="124"/>
        <v>-1788.0476190476184</v>
      </c>
      <c r="AF761" s="76">
        <f t="shared" si="125"/>
        <v>-4451.6011904761908</v>
      </c>
      <c r="AG761" s="76">
        <f t="shared" si="126"/>
        <v>-5680.2840286557112</v>
      </c>
      <c r="AO761" s="5">
        <f t="shared" si="131"/>
        <v>4.5811518324607517E-3</v>
      </c>
      <c r="AP761" s="5">
        <f t="shared" si="127"/>
        <v>0.33106983648174348</v>
      </c>
      <c r="AR761" s="5">
        <f t="shared" si="128"/>
        <v>-2.5302308369057336E-6</v>
      </c>
      <c r="AS761" s="5">
        <f t="shared" si="129"/>
        <v>3.8539852251865958E-3</v>
      </c>
      <c r="AT761" s="5">
        <f t="shared" si="130"/>
        <v>6.149632897496482E-3</v>
      </c>
    </row>
    <row r="762" spans="12:46" x14ac:dyDescent="0.25">
      <c r="L762" s="4">
        <v>44442.5</v>
      </c>
      <c r="M762">
        <v>61.32</v>
      </c>
      <c r="N762">
        <v>62.45</v>
      </c>
      <c r="O762">
        <v>61.12</v>
      </c>
      <c r="P762">
        <v>61.67</v>
      </c>
      <c r="Q762">
        <v>22857</v>
      </c>
      <c r="R762">
        <v>441707</v>
      </c>
      <c r="S762">
        <v>51.8</v>
      </c>
      <c r="T762">
        <v>52.55</v>
      </c>
      <c r="U762">
        <v>51.29</v>
      </c>
      <c r="V762">
        <v>51.505000000000003</v>
      </c>
      <c r="W762">
        <v>1289</v>
      </c>
      <c r="X762">
        <v>2.20381110190556E-2</v>
      </c>
      <c r="Y762">
        <v>-0.68830292777675084</v>
      </c>
      <c r="Z762">
        <v>-0.55063553429261047</v>
      </c>
      <c r="AB762" s="3">
        <f t="shared" si="121"/>
        <v>-9.9375176524431341E-4</v>
      </c>
      <c r="AC762" s="3">
        <f t="shared" si="122"/>
        <v>-5.244192596192826E-4</v>
      </c>
      <c r="AD762" s="3">
        <f t="shared" si="123"/>
        <v>1.0976314327745332E-3</v>
      </c>
      <c r="AE762" s="76">
        <f t="shared" si="124"/>
        <v>-3662.8571428571449</v>
      </c>
      <c r="AF762" s="76">
        <f t="shared" si="125"/>
        <v>-5504.3928571428587</v>
      </c>
      <c r="AG762" s="76">
        <f t="shared" si="126"/>
        <v>-6204.8558786346402</v>
      </c>
      <c r="AO762" s="5">
        <f t="shared" si="131"/>
        <v>2.6364399664147782E-2</v>
      </c>
      <c r="AP762" s="5">
        <f t="shared" si="127"/>
        <v>0.33188492031486122</v>
      </c>
      <c r="AR762" s="5">
        <f t="shared" si="128"/>
        <v>-3.1081653578235446E-5</v>
      </c>
      <c r="AS762" s="5">
        <f t="shared" si="129"/>
        <v>3.9767544260285725E-3</v>
      </c>
      <c r="AT762" s="5">
        <f t="shared" si="130"/>
        <v>6.1541325730545826E-3</v>
      </c>
    </row>
    <row r="763" spans="12:46" x14ac:dyDescent="0.25">
      <c r="L763" s="4">
        <v>44441.5</v>
      </c>
      <c r="M763">
        <v>60.35</v>
      </c>
      <c r="N763">
        <v>61.75</v>
      </c>
      <c r="O763">
        <v>59.55</v>
      </c>
      <c r="P763">
        <v>61.4</v>
      </c>
      <c r="Q763">
        <v>21200</v>
      </c>
      <c r="R763">
        <v>441297</v>
      </c>
      <c r="S763">
        <v>50.984999999999999</v>
      </c>
      <c r="T763">
        <v>52.594999999999999</v>
      </c>
      <c r="U763">
        <v>49.715000000000003</v>
      </c>
      <c r="V763">
        <v>51.915999999999997</v>
      </c>
      <c r="W763">
        <v>1321</v>
      </c>
      <c r="X763">
        <v>3.6303630363036347E-2</v>
      </c>
      <c r="Y763">
        <v>0.17397381010838348</v>
      </c>
      <c r="Z763">
        <v>-0.76857280803405248</v>
      </c>
      <c r="AB763" s="3">
        <f t="shared" si="121"/>
        <v>-1.433540616051783E-3</v>
      </c>
      <c r="AC763" s="3">
        <f t="shared" si="122"/>
        <v>-1.0947397299838346E-3</v>
      </c>
      <c r="AD763" s="3">
        <f t="shared" si="123"/>
        <v>1.4036928783311489E-3</v>
      </c>
      <c r="AE763" s="76">
        <f t="shared" si="124"/>
        <v>-4858.4761904761908</v>
      </c>
      <c r="AF763" s="76">
        <f t="shared" si="125"/>
        <v>-6628.1607142857138</v>
      </c>
      <c r="AG763" s="76">
        <f t="shared" si="126"/>
        <v>-6268.8849557522117</v>
      </c>
      <c r="AO763" s="5">
        <f t="shared" si="131"/>
        <v>-8.3892617449671583E-4</v>
      </c>
      <c r="AP763" s="5">
        <f t="shared" si="127"/>
        <v>0.33261352648860815</v>
      </c>
      <c r="AR763" s="5">
        <f t="shared" si="128"/>
        <v>-1.0282291960073131E-4</v>
      </c>
      <c r="AS763" s="5">
        <f t="shared" si="129"/>
        <v>4.02320482637053E-3</v>
      </c>
      <c r="AT763" s="5">
        <f t="shared" si="130"/>
        <v>6.0833506170267504E-3</v>
      </c>
    </row>
    <row r="764" spans="12:46" x14ac:dyDescent="0.25">
      <c r="L764" s="4">
        <v>44440.5</v>
      </c>
      <c r="M764">
        <v>60.6</v>
      </c>
      <c r="N764">
        <v>61.9</v>
      </c>
      <c r="O764">
        <v>59.6</v>
      </c>
      <c r="P764">
        <v>60</v>
      </c>
      <c r="Q764">
        <v>35210</v>
      </c>
      <c r="R764">
        <v>441736</v>
      </c>
      <c r="S764">
        <v>52.25</v>
      </c>
      <c r="T764">
        <v>52.9</v>
      </c>
      <c r="U764">
        <v>49.6</v>
      </c>
      <c r="V764">
        <v>50.231999999999999</v>
      </c>
      <c r="W764">
        <v>2047</v>
      </c>
      <c r="X764">
        <v>3.7735849056603724E-2</v>
      </c>
      <c r="Y764">
        <v>0.24924321086572906</v>
      </c>
      <c r="Z764">
        <v>0.91739413465371888</v>
      </c>
      <c r="AB764" s="3">
        <f t="shared" si="121"/>
        <v>-5.629603504265418E-3</v>
      </c>
      <c r="AC764" s="3">
        <f t="shared" si="122"/>
        <v>-2.3320458966388929E-3</v>
      </c>
      <c r="AD764" s="3">
        <f t="shared" si="123"/>
        <v>1.0135574035585945E-3</v>
      </c>
      <c r="AE764" s="76">
        <f t="shared" si="124"/>
        <v>-6624.1428571428587</v>
      </c>
      <c r="AF764" s="76">
        <f t="shared" si="125"/>
        <v>-7185.1309523809541</v>
      </c>
      <c r="AG764" s="76">
        <f t="shared" si="126"/>
        <v>-6316.8322798145819</v>
      </c>
      <c r="AO764" s="5">
        <f t="shared" si="131"/>
        <v>-5.0083472454089681E-3</v>
      </c>
      <c r="AP764" s="5">
        <f t="shared" si="127"/>
        <v>0.33276598202662055</v>
      </c>
      <c r="AR764" s="5">
        <f t="shared" si="128"/>
        <v>-2.2599475907147948E-4</v>
      </c>
      <c r="AS764" s="5">
        <f t="shared" si="129"/>
        <v>4.2236666916826704E-3</v>
      </c>
      <c r="AT764" s="5">
        <f t="shared" si="130"/>
        <v>5.9785335634892633E-3</v>
      </c>
    </row>
    <row r="765" spans="12:46" x14ac:dyDescent="0.25">
      <c r="L765" s="4">
        <v>44439.5</v>
      </c>
      <c r="M765">
        <v>60.95</v>
      </c>
      <c r="N765">
        <v>60.95</v>
      </c>
      <c r="O765">
        <v>59.9</v>
      </c>
      <c r="P765">
        <v>60.51</v>
      </c>
      <c r="Q765">
        <v>21714</v>
      </c>
      <c r="R765">
        <v>441194</v>
      </c>
      <c r="S765">
        <v>48.58</v>
      </c>
      <c r="T765">
        <v>50.47</v>
      </c>
      <c r="U765">
        <v>48.58</v>
      </c>
      <c r="V765">
        <v>50.338000000000001</v>
      </c>
      <c r="W765">
        <v>200</v>
      </c>
      <c r="X765">
        <v>1.7500000000000071E-2</v>
      </c>
      <c r="Y765">
        <v>-0.98490252455649996</v>
      </c>
      <c r="Z765">
        <v>-0.70302207742919587</v>
      </c>
      <c r="AB765" s="3">
        <f t="shared" si="121"/>
        <v>-6.1459852400512632E-3</v>
      </c>
      <c r="AC765" s="3">
        <f t="shared" si="122"/>
        <v>-3.1592632054992728E-3</v>
      </c>
      <c r="AD765" s="3">
        <f t="shared" si="123"/>
        <v>1.0244954112796634E-4</v>
      </c>
      <c r="AE765" s="76">
        <f t="shared" si="124"/>
        <v>-7403.3809523809505</v>
      </c>
      <c r="AF765" s="76">
        <f t="shared" si="125"/>
        <v>-8215.3690476190459</v>
      </c>
      <c r="AG765" s="76">
        <f t="shared" si="126"/>
        <v>-7075.2574799831418</v>
      </c>
      <c r="AO765" s="5">
        <f t="shared" si="131"/>
        <v>5.010856856522655E-4</v>
      </c>
      <c r="AP765" s="5">
        <f t="shared" si="127"/>
        <v>0.3326861561960115</v>
      </c>
      <c r="AR765" s="5">
        <f t="shared" si="128"/>
        <v>3.0701928170295822E-4</v>
      </c>
      <c r="AS765" s="5">
        <f t="shared" si="129"/>
        <v>4.5304572625145534E-3</v>
      </c>
      <c r="AT765" s="5">
        <f t="shared" si="130"/>
        <v>5.8891004328931462E-3</v>
      </c>
    </row>
    <row r="766" spans="12:46" x14ac:dyDescent="0.25">
      <c r="L766" s="4">
        <v>44438.5</v>
      </c>
      <c r="M766">
        <v>60</v>
      </c>
      <c r="N766">
        <v>61.01</v>
      </c>
      <c r="O766">
        <v>59.87</v>
      </c>
      <c r="P766">
        <v>60.6</v>
      </c>
      <c r="Q766">
        <v>17053</v>
      </c>
      <c r="R766">
        <v>441803</v>
      </c>
      <c r="S766">
        <v>48.85</v>
      </c>
      <c r="T766">
        <v>49.679000000000002</v>
      </c>
      <c r="U766">
        <v>48.7</v>
      </c>
      <c r="V766">
        <v>49.679000000000002</v>
      </c>
      <c r="W766">
        <v>90</v>
      </c>
      <c r="X766">
        <v>1.9989479221462398E-2</v>
      </c>
      <c r="Y766">
        <v>-0.85102520896272937</v>
      </c>
      <c r="Z766">
        <v>-1.1865139357357755</v>
      </c>
      <c r="AB766" s="3">
        <f t="shared" si="121"/>
        <v>-4.4061896379718538E-3</v>
      </c>
      <c r="AC766" s="3">
        <f t="shared" si="122"/>
        <v>-2.162172531560487E-3</v>
      </c>
      <c r="AD766" s="3">
        <f t="shared" si="123"/>
        <v>1.2277822670382216E-3</v>
      </c>
      <c r="AE766" s="76">
        <f t="shared" si="124"/>
        <v>-6779.2380952380954</v>
      </c>
      <c r="AF766" s="76">
        <f t="shared" si="125"/>
        <v>-8005.5833333333358</v>
      </c>
      <c r="AG766" s="76">
        <f t="shared" si="126"/>
        <v>-6660.6152549515391</v>
      </c>
      <c r="AO766" s="5">
        <f t="shared" si="131"/>
        <v>5.2751890276068227E-2</v>
      </c>
      <c r="AP766" s="5">
        <f t="shared" si="127"/>
        <v>0.33369925279165846</v>
      </c>
      <c r="AR766" s="5">
        <f t="shared" si="128"/>
        <v>8.2887206931231416E-4</v>
      </c>
      <c r="AS766" s="5">
        <f t="shared" si="129"/>
        <v>4.841260206270237E-3</v>
      </c>
      <c r="AT766" s="5">
        <f t="shared" si="130"/>
        <v>5.8032282292700965E-3</v>
      </c>
    </row>
    <row r="767" spans="12:46" x14ac:dyDescent="0.25">
      <c r="L767" s="4">
        <v>44435.5</v>
      </c>
      <c r="M767">
        <v>57.03</v>
      </c>
      <c r="N767">
        <v>59.95</v>
      </c>
      <c r="O767">
        <v>56.87</v>
      </c>
      <c r="P767">
        <v>59.9</v>
      </c>
      <c r="Q767">
        <v>29685</v>
      </c>
      <c r="R767">
        <v>441888</v>
      </c>
      <c r="S767">
        <v>47.805999999999997</v>
      </c>
      <c r="T767">
        <v>47.805999999999997</v>
      </c>
      <c r="U767">
        <v>47.805999999999997</v>
      </c>
      <c r="V767">
        <v>47.805999999999997</v>
      </c>
      <c r="W767">
        <v>0</v>
      </c>
      <c r="X767">
        <v>5.4677791585301005E-2</v>
      </c>
      <c r="Y767">
        <v>1.2957512461168865</v>
      </c>
      <c r="Z767">
        <v>0.26226668445739459</v>
      </c>
      <c r="AB767" s="3">
        <f t="shared" si="121"/>
        <v>-5.0178124320422596E-3</v>
      </c>
      <c r="AC767" s="3">
        <f t="shared" si="122"/>
        <v>-2.3213022161866423E-3</v>
      </c>
      <c r="AD767" s="3">
        <f t="shared" si="123"/>
        <v>1.2104455656119992E-3</v>
      </c>
      <c r="AE767" s="76">
        <f t="shared" si="124"/>
        <v>-7284.6666666666679</v>
      </c>
      <c r="AF767" s="76">
        <f t="shared" si="125"/>
        <v>-7891.5714285714275</v>
      </c>
      <c r="AG767" s="76">
        <f t="shared" si="126"/>
        <v>-6316.3274336283175</v>
      </c>
      <c r="AO767" s="5">
        <f t="shared" si="131"/>
        <v>2.2106398274622518E-2</v>
      </c>
      <c r="AP767" s="5">
        <f t="shared" si="127"/>
        <v>0.3301710431915254</v>
      </c>
      <c r="AR767" s="5">
        <f t="shared" si="128"/>
        <v>1.2726673738084893E-3</v>
      </c>
      <c r="AS767" s="5">
        <f t="shared" si="129"/>
        <v>5.1069725452649872E-3</v>
      </c>
      <c r="AT767" s="5">
        <f t="shared" si="130"/>
        <v>5.6666712177171896E-3</v>
      </c>
    </row>
    <row r="768" spans="12:46" x14ac:dyDescent="0.25">
      <c r="L768" s="4">
        <v>44434.5</v>
      </c>
      <c r="M768">
        <v>56.33</v>
      </c>
      <c r="N768">
        <v>57.6</v>
      </c>
      <c r="O768">
        <v>55.64</v>
      </c>
      <c r="P768">
        <v>56.88</v>
      </c>
      <c r="Q768">
        <v>17907</v>
      </c>
      <c r="R768">
        <v>443021</v>
      </c>
      <c r="S768">
        <v>44.215000000000003</v>
      </c>
      <c r="T768">
        <v>45.844999999999999</v>
      </c>
      <c r="U768">
        <v>44.2</v>
      </c>
      <c r="V768">
        <v>45.787999999999997</v>
      </c>
      <c r="W768">
        <v>317</v>
      </c>
      <c r="X768">
        <v>3.4519196900317024E-2</v>
      </c>
      <c r="Y768">
        <v>6.680555611831096E-2</v>
      </c>
      <c r="Z768">
        <v>-1.1257313861577256</v>
      </c>
      <c r="AB768" s="3">
        <f t="shared" si="121"/>
        <v>-6.4869578884705278E-3</v>
      </c>
      <c r="AC768" s="3">
        <f t="shared" si="122"/>
        <v>-4.1147767851047179E-3</v>
      </c>
      <c r="AD768" s="3">
        <f t="shared" si="123"/>
        <v>-3.6069749744598728E-4</v>
      </c>
      <c r="AE768" s="76">
        <f t="shared" si="124"/>
        <v>-8028.7619047619046</v>
      </c>
      <c r="AF768" s="76">
        <f t="shared" si="125"/>
        <v>-8781.952380952378</v>
      </c>
      <c r="AG768" s="76">
        <f t="shared" si="126"/>
        <v>-6803.5996628739995</v>
      </c>
      <c r="AO768" s="5">
        <f t="shared" si="131"/>
        <v>-3.04604909514427E-3</v>
      </c>
      <c r="AP768" s="5">
        <f t="shared" si="127"/>
        <v>0.32980478645967337</v>
      </c>
      <c r="AR768" s="5">
        <f t="shared" si="128"/>
        <v>1.9015997149136599E-3</v>
      </c>
      <c r="AS768" s="5">
        <f t="shared" si="129"/>
        <v>5.5370941062979906E-3</v>
      </c>
      <c r="AT768" s="5">
        <f t="shared" si="130"/>
        <v>5.7073704461095831E-3</v>
      </c>
    </row>
    <row r="769" spans="12:46" x14ac:dyDescent="0.25">
      <c r="L769" s="4">
        <v>44433.5</v>
      </c>
      <c r="M769">
        <v>56.78</v>
      </c>
      <c r="N769">
        <v>57.12</v>
      </c>
      <c r="O769">
        <v>55.81</v>
      </c>
      <c r="P769">
        <v>56.53</v>
      </c>
      <c r="Q769">
        <v>18472</v>
      </c>
      <c r="R769">
        <v>443858</v>
      </c>
      <c r="S769">
        <v>45.83</v>
      </c>
      <c r="T769">
        <v>46.13</v>
      </c>
      <c r="U769">
        <v>44.774999999999999</v>
      </c>
      <c r="V769">
        <v>45.284999999999997</v>
      </c>
      <c r="W769">
        <v>997</v>
      </c>
      <c r="X769">
        <v>2.3586604249189687E-2</v>
      </c>
      <c r="Y769">
        <v>-0.62491081510667557</v>
      </c>
      <c r="Z769">
        <v>-1.0930578168914895</v>
      </c>
      <c r="AB769" s="3">
        <f t="shared" si="121"/>
        <v>-6.6464286959080424E-3</v>
      </c>
      <c r="AC769" s="3">
        <f t="shared" si="122"/>
        <v>-4.8160144535698626E-3</v>
      </c>
      <c r="AD769" s="3">
        <f t="shared" si="123"/>
        <v>-8.7285802370171139E-4</v>
      </c>
      <c r="AE769" s="76">
        <f t="shared" si="124"/>
        <v>-7694.047619047622</v>
      </c>
      <c r="AF769" s="76">
        <f t="shared" si="125"/>
        <v>-8708.1190476190495</v>
      </c>
      <c r="AG769" s="76">
        <f t="shared" si="126"/>
        <v>-6442.931310577329</v>
      </c>
      <c r="AO769" s="5">
        <f t="shared" si="131"/>
        <v>9.7702189252759017E-3</v>
      </c>
      <c r="AP769" s="5">
        <f t="shared" si="127"/>
        <v>0.32995458533281236</v>
      </c>
      <c r="AR769" s="5">
        <f t="shared" si="128"/>
        <v>2.5422669569676315E-3</v>
      </c>
      <c r="AS769" s="5">
        <f t="shared" si="129"/>
        <v>6.0181196709036544E-3</v>
      </c>
      <c r="AT769" s="5">
        <f t="shared" si="130"/>
        <v>5.7854197137727215E-3</v>
      </c>
    </row>
    <row r="770" spans="12:46" x14ac:dyDescent="0.25">
      <c r="L770" s="4">
        <v>44432.5</v>
      </c>
      <c r="M770">
        <v>55.54</v>
      </c>
      <c r="N770">
        <v>56.86</v>
      </c>
      <c r="O770">
        <v>55.27</v>
      </c>
      <c r="P770">
        <v>56.79</v>
      </c>
      <c r="Q770">
        <v>17122</v>
      </c>
      <c r="R770">
        <v>443952</v>
      </c>
      <c r="S770">
        <v>43.625</v>
      </c>
      <c r="T770">
        <v>45.07</v>
      </c>
      <c r="U770">
        <v>43.625</v>
      </c>
      <c r="V770">
        <v>44.87</v>
      </c>
      <c r="W770">
        <v>160</v>
      </c>
      <c r="X770">
        <v>2.9368304396010275E-2</v>
      </c>
      <c r="Y770">
        <v>-0.28317945280739137</v>
      </c>
      <c r="Z770">
        <v>-1.2866326988314465</v>
      </c>
      <c r="AB770" s="3">
        <f t="shared" si="121"/>
        <v>-7.0935710419658474E-3</v>
      </c>
      <c r="AC770" s="3">
        <f t="shared" si="122"/>
        <v>-5.3363385852113754E-3</v>
      </c>
      <c r="AD770" s="3">
        <f t="shared" si="123"/>
        <v>-1.1519638525916212E-3</v>
      </c>
      <c r="AE770" s="76">
        <f t="shared" si="124"/>
        <v>-7657.6190476190459</v>
      </c>
      <c r="AF770" s="76">
        <f t="shared" si="125"/>
        <v>-8653.5833333333321</v>
      </c>
      <c r="AG770" s="76">
        <f t="shared" si="126"/>
        <v>-6225.1601348504009</v>
      </c>
      <c r="AO770" s="5">
        <f t="shared" si="131"/>
        <v>2.0871813816032557E-2</v>
      </c>
      <c r="AP770" s="5">
        <f t="shared" si="127"/>
        <v>0.3312388875239467</v>
      </c>
      <c r="AR770" s="5">
        <f t="shared" si="128"/>
        <v>3.1728513203911346E-3</v>
      </c>
      <c r="AS770" s="5">
        <f t="shared" si="129"/>
        <v>6.4974562243497735E-3</v>
      </c>
      <c r="AT770" s="5">
        <f t="shared" si="130"/>
        <v>5.865881995716471E-3</v>
      </c>
    </row>
    <row r="771" spans="12:46" x14ac:dyDescent="0.25">
      <c r="L771" s="4">
        <v>44431.5</v>
      </c>
      <c r="M771">
        <v>54.14</v>
      </c>
      <c r="N771">
        <v>56.39</v>
      </c>
      <c r="O771">
        <v>54.14</v>
      </c>
      <c r="P771">
        <v>55.62</v>
      </c>
      <c r="Q771">
        <v>23113</v>
      </c>
      <c r="R771">
        <v>444152</v>
      </c>
      <c r="S771">
        <v>42.274999999999999</v>
      </c>
      <c r="T771">
        <v>43.534999999999997</v>
      </c>
      <c r="U771">
        <v>40.61</v>
      </c>
      <c r="V771">
        <v>41.68</v>
      </c>
      <c r="W771">
        <v>587</v>
      </c>
      <c r="X771">
        <v>4.1743970315398886E-2</v>
      </c>
      <c r="Y771">
        <v>0.48283769127148046</v>
      </c>
      <c r="Z771">
        <v>-0.58693163220607936</v>
      </c>
      <c r="AB771" s="3">
        <f t="shared" si="121"/>
        <v>-4.0101119927423018E-3</v>
      </c>
      <c r="AC771" s="3">
        <f t="shared" si="122"/>
        <v>-3.6870849816760323E-3</v>
      </c>
      <c r="AD771" s="3">
        <f t="shared" si="123"/>
        <v>2.9409615184371879E-4</v>
      </c>
      <c r="AE771" s="76">
        <f t="shared" si="124"/>
        <v>-7472.5238095238092</v>
      </c>
      <c r="AF771" s="76">
        <f t="shared" si="125"/>
        <v>-8297.8630952380954</v>
      </c>
      <c r="AG771" s="76">
        <f t="shared" si="126"/>
        <v>-5883.7210282343003</v>
      </c>
      <c r="AO771" s="5">
        <f t="shared" si="131"/>
        <v>1.2909260991580873E-2</v>
      </c>
      <c r="AP771" s="5">
        <f t="shared" si="127"/>
        <v>0.33585291101974041</v>
      </c>
      <c r="AR771" s="5">
        <f t="shared" si="128"/>
        <v>3.4816883134585197E-3</v>
      </c>
      <c r="AS771" s="5">
        <f t="shared" si="129"/>
        <v>6.7657378581754135E-3</v>
      </c>
      <c r="AT771" s="5">
        <f t="shared" si="130"/>
        <v>5.7386753846394578E-3</v>
      </c>
    </row>
    <row r="772" spans="12:46" x14ac:dyDescent="0.25">
      <c r="L772" s="4">
        <v>44428.5</v>
      </c>
      <c r="M772">
        <v>53.9</v>
      </c>
      <c r="N772">
        <v>54.88</v>
      </c>
      <c r="O772">
        <v>53.45</v>
      </c>
      <c r="P772">
        <v>54.16</v>
      </c>
      <c r="Q772">
        <v>25316</v>
      </c>
      <c r="R772">
        <v>443881</v>
      </c>
      <c r="S772">
        <v>41.57</v>
      </c>
      <c r="T772">
        <v>42.625</v>
      </c>
      <c r="U772">
        <v>40.9</v>
      </c>
      <c r="V772">
        <v>41.944000000000003</v>
      </c>
      <c r="W772">
        <v>520</v>
      </c>
      <c r="X772">
        <v>2.5336640680368529E-2</v>
      </c>
      <c r="Y772">
        <v>-0.53507202728309344</v>
      </c>
      <c r="Z772">
        <v>-0.34969794620186889</v>
      </c>
      <c r="AB772" s="3">
        <f t="shared" si="121"/>
        <v>-5.1553766107720403E-3</v>
      </c>
      <c r="AC772" s="3">
        <f t="shared" si="122"/>
        <v>-4.9144378015842372E-3</v>
      </c>
      <c r="AD772" s="3">
        <f t="shared" si="123"/>
        <v>-1.0224618178376124E-3</v>
      </c>
      <c r="AE772" s="76">
        <f t="shared" si="124"/>
        <v>-8070.0952380952367</v>
      </c>
      <c r="AF772" s="76">
        <f t="shared" si="125"/>
        <v>-8772.5178571428551</v>
      </c>
      <c r="AG772" s="76">
        <f t="shared" si="126"/>
        <v>-6258.4424778761058</v>
      </c>
      <c r="AO772" s="5">
        <f t="shared" si="131"/>
        <v>1.790135212340516E-2</v>
      </c>
      <c r="AP772" s="5">
        <f t="shared" si="127"/>
        <v>0.33613545207191403</v>
      </c>
      <c r="AR772" s="5">
        <f t="shared" si="128"/>
        <v>3.5932702340952249E-3</v>
      </c>
      <c r="AS772" s="5">
        <f t="shared" si="129"/>
        <v>6.8354771543442938E-3</v>
      </c>
      <c r="AT772" s="5">
        <f t="shared" si="130"/>
        <v>5.4220286917985305E-3</v>
      </c>
    </row>
    <row r="773" spans="12:46" x14ac:dyDescent="0.25">
      <c r="L773" s="4">
        <v>44427.5</v>
      </c>
      <c r="M773">
        <v>56.44</v>
      </c>
      <c r="N773">
        <v>57.1</v>
      </c>
      <c r="O773">
        <v>52.51</v>
      </c>
      <c r="P773">
        <v>53.9</v>
      </c>
      <c r="Q773">
        <v>46833</v>
      </c>
      <c r="R773">
        <v>446355</v>
      </c>
      <c r="S773">
        <v>44.375</v>
      </c>
      <c r="T773">
        <v>44.48</v>
      </c>
      <c r="U773">
        <v>40.1</v>
      </c>
      <c r="V773">
        <v>40.395000000000003</v>
      </c>
      <c r="W773">
        <v>799</v>
      </c>
      <c r="X773">
        <v>8.0062794348508701E-2</v>
      </c>
      <c r="Y773">
        <v>2.7962786735807317</v>
      </c>
      <c r="Z773">
        <v>2.0350042936413861</v>
      </c>
      <c r="AB773" s="3">
        <f t="shared" si="121"/>
        <v>-3.4156331223996472E-3</v>
      </c>
      <c r="AC773" s="3">
        <f t="shared" si="122"/>
        <v>-3.5967036058668841E-3</v>
      </c>
      <c r="AD773" s="3">
        <f t="shared" si="123"/>
        <v>-4.1124884883843305E-5</v>
      </c>
      <c r="AE773" s="76">
        <f t="shared" si="124"/>
        <v>-7904.5238095238092</v>
      </c>
      <c r="AF773" s="76">
        <f t="shared" si="125"/>
        <v>-8385.8988095238055</v>
      </c>
      <c r="AG773" s="76">
        <f t="shared" si="126"/>
        <v>-5887.092709650231</v>
      </c>
      <c r="AO773" s="5">
        <f t="shared" si="131"/>
        <v>-5.1138417058185857E-2</v>
      </c>
      <c r="AP773" s="5">
        <f t="shared" si="127"/>
        <v>0.33625735793718148</v>
      </c>
      <c r="AR773" s="5">
        <f t="shared" si="128"/>
        <v>3.7273062241647281E-3</v>
      </c>
      <c r="AS773" s="5">
        <f t="shared" si="129"/>
        <v>6.9216103339753143E-3</v>
      </c>
      <c r="AT773" s="5">
        <f t="shared" si="130"/>
        <v>5.126050839516727E-3</v>
      </c>
    </row>
    <row r="774" spans="12:46" x14ac:dyDescent="0.25">
      <c r="L774" s="4">
        <v>44426.5</v>
      </c>
      <c r="M774">
        <v>57.33</v>
      </c>
      <c r="N774">
        <v>58.08</v>
      </c>
      <c r="O774">
        <v>55.34</v>
      </c>
      <c r="P774">
        <v>56.5</v>
      </c>
      <c r="Q774">
        <v>27618</v>
      </c>
      <c r="R774">
        <v>449574</v>
      </c>
      <c r="S774">
        <v>46.395000000000003</v>
      </c>
      <c r="T774">
        <v>47.524999999999999</v>
      </c>
      <c r="U774">
        <v>42.795000000000002</v>
      </c>
      <c r="V774">
        <v>45.384999999999998</v>
      </c>
      <c r="W774">
        <v>630</v>
      </c>
      <c r="X774">
        <v>4.708712837257252E-2</v>
      </c>
      <c r="Y774">
        <v>0.82663657041236427</v>
      </c>
      <c r="Z774">
        <v>-0.14550122485039774</v>
      </c>
      <c r="AB774" s="3">
        <f t="shared" si="121"/>
        <v>-5.815972560669614E-3</v>
      </c>
      <c r="AC774" s="3">
        <f t="shared" si="122"/>
        <v>-6.2499566711267628E-3</v>
      </c>
      <c r="AD774" s="3">
        <f t="shared" si="123"/>
        <v>-3.0543435930696604E-3</v>
      </c>
      <c r="AE774" s="76">
        <f t="shared" si="124"/>
        <v>-8770.3333333333358</v>
      </c>
      <c r="AF774" s="76">
        <f t="shared" si="125"/>
        <v>-9325.6428571428587</v>
      </c>
      <c r="AG774" s="76">
        <f t="shared" si="126"/>
        <v>-6961.1605562579025</v>
      </c>
      <c r="AO774" s="5">
        <f t="shared" si="131"/>
        <v>-2.8782028782028669E-2</v>
      </c>
      <c r="AP774" s="5">
        <f t="shared" si="127"/>
        <v>0.3324572995191703</v>
      </c>
      <c r="AR774" s="5">
        <f t="shared" si="128"/>
        <v>3.8644849105479717E-3</v>
      </c>
      <c r="AS774" s="5">
        <f t="shared" si="129"/>
        <v>6.9934146491865135E-3</v>
      </c>
      <c r="AT774" s="5">
        <f t="shared" si="130"/>
        <v>4.9040917417647045E-3</v>
      </c>
    </row>
    <row r="775" spans="12:46" x14ac:dyDescent="0.25">
      <c r="L775" s="4">
        <v>44425.5</v>
      </c>
      <c r="M775">
        <v>58.19</v>
      </c>
      <c r="N775">
        <v>58.25</v>
      </c>
      <c r="O775">
        <v>56.98</v>
      </c>
      <c r="P775">
        <v>57.02</v>
      </c>
      <c r="Q775">
        <v>24347</v>
      </c>
      <c r="R775">
        <v>448603</v>
      </c>
      <c r="S775">
        <v>46.854999999999997</v>
      </c>
      <c r="T775">
        <v>47.975000000000001</v>
      </c>
      <c r="U775">
        <v>46.674999999999997</v>
      </c>
      <c r="V775">
        <v>46.948999999999998</v>
      </c>
      <c r="W775">
        <v>519</v>
      </c>
      <c r="X775">
        <v>2.2986425339366571E-2</v>
      </c>
      <c r="Y775">
        <v>-0.70454686899533936</v>
      </c>
      <c r="Z775">
        <v>-0.46840630338578398</v>
      </c>
      <c r="AB775" s="3">
        <f t="shared" si="121"/>
        <v>-5.5793110146674998E-3</v>
      </c>
      <c r="AC775" s="3">
        <f t="shared" si="122"/>
        <v>-6.2953253522227137E-3</v>
      </c>
      <c r="AD775" s="3">
        <f t="shared" si="123"/>
        <v>-3.4890510324027124E-3</v>
      </c>
      <c r="AE775" s="76">
        <f t="shared" si="124"/>
        <v>-7525.0952380952403</v>
      </c>
      <c r="AF775" s="76">
        <f t="shared" si="125"/>
        <v>-8290.7619047619046</v>
      </c>
      <c r="AG775" s="76">
        <f t="shared" si="126"/>
        <v>-6546.3143699957873</v>
      </c>
      <c r="AO775" s="5">
        <f t="shared" si="131"/>
        <v>3.5999999999999942E-2</v>
      </c>
      <c r="AP775" s="5">
        <f t="shared" si="127"/>
        <v>0.33096134953695133</v>
      </c>
      <c r="AR775" s="5">
        <f t="shared" si="128"/>
        <v>4.2145953969829897E-3</v>
      </c>
      <c r="AS775" s="5">
        <f t="shared" si="129"/>
        <v>7.2784451291136865E-3</v>
      </c>
      <c r="AT775" s="5">
        <f t="shared" si="130"/>
        <v>4.9175174964112833E-3</v>
      </c>
    </row>
    <row r="776" spans="12:46" x14ac:dyDescent="0.25">
      <c r="L776" s="4">
        <v>44424.5</v>
      </c>
      <c r="M776">
        <v>55.25</v>
      </c>
      <c r="N776">
        <v>58.25</v>
      </c>
      <c r="O776">
        <v>55</v>
      </c>
      <c r="P776">
        <v>57.91</v>
      </c>
      <c r="Q776">
        <v>23253</v>
      </c>
      <c r="R776">
        <v>448883</v>
      </c>
      <c r="S776">
        <v>46.25</v>
      </c>
      <c r="T776">
        <v>48.215000000000003</v>
      </c>
      <c r="U776">
        <v>46.25</v>
      </c>
      <c r="V776">
        <v>47.988</v>
      </c>
      <c r="W776">
        <v>421</v>
      </c>
      <c r="X776">
        <v>5.7705965909090912E-2</v>
      </c>
      <c r="Y776">
        <v>1.3043044047399184</v>
      </c>
      <c r="Z776">
        <v>-0.58279582182013956</v>
      </c>
      <c r="AB776" s="3">
        <f t="shared" si="121"/>
        <v>-3.9013919160682115E-3</v>
      </c>
      <c r="AC776" s="3">
        <f t="shared" si="122"/>
        <v>-5.5700504701221912E-3</v>
      </c>
      <c r="AD776" s="3">
        <f t="shared" si="123"/>
        <v>-2.9496235464216564E-3</v>
      </c>
      <c r="AE776" s="76">
        <f t="shared" si="124"/>
        <v>-7115.5238095238092</v>
      </c>
      <c r="AF776" s="76">
        <f t="shared" si="125"/>
        <v>-8314.6964285714275</v>
      </c>
      <c r="AG776" s="76">
        <f t="shared" si="126"/>
        <v>-6572.2857142857138</v>
      </c>
      <c r="AO776" s="5">
        <f t="shared" si="131"/>
        <v>-2.719854941069784E-3</v>
      </c>
      <c r="AP776" s="5">
        <f t="shared" si="127"/>
        <v>0.33111008210104775</v>
      </c>
      <c r="AR776" s="5">
        <f t="shared" si="128"/>
        <v>4.5269966171223031E-3</v>
      </c>
      <c r="AS776" s="5">
        <f t="shared" si="129"/>
        <v>7.5843846083073485E-3</v>
      </c>
      <c r="AT776" s="5">
        <f t="shared" si="130"/>
        <v>4.9524192987462912E-3</v>
      </c>
    </row>
    <row r="777" spans="12:46" x14ac:dyDescent="0.25">
      <c r="L777" s="4">
        <v>44421.5</v>
      </c>
      <c r="M777">
        <v>56.32</v>
      </c>
      <c r="N777">
        <v>56.41</v>
      </c>
      <c r="O777">
        <v>55.15</v>
      </c>
      <c r="P777">
        <v>55.44</v>
      </c>
      <c r="Q777">
        <v>21566</v>
      </c>
      <c r="R777">
        <v>448697</v>
      </c>
      <c r="S777">
        <v>44.414999999999999</v>
      </c>
      <c r="T777">
        <v>45.4</v>
      </c>
      <c r="U777">
        <v>44.375</v>
      </c>
      <c r="V777">
        <v>44.628</v>
      </c>
      <c r="W777">
        <v>759</v>
      </c>
      <c r="X777">
        <v>2.1697950749095883E-2</v>
      </c>
      <c r="Y777">
        <v>-0.78128279601104966</v>
      </c>
      <c r="Z777">
        <v>-0.75234100669319548</v>
      </c>
      <c r="AB777" s="3">
        <f t="shared" ref="AB777:AB840" si="132">AVERAGEA(X777:X797)-AVERAGE(X798:X818)</f>
        <v>-5.153997305621081E-3</v>
      </c>
      <c r="AC777" s="3">
        <f t="shared" ref="AC777:AC840" si="133">AVERAGEA(X777:X797)-AVERAGE(X798:X853)</f>
        <v>-7.0212587142736184E-3</v>
      </c>
      <c r="AD777" s="3">
        <f t="shared" ref="AD777:AD840" si="134">AVERAGEA(X777:X797)-AVERAGE(X798:X910)</f>
        <v>-4.5005531836995148E-3</v>
      </c>
      <c r="AE777" s="76">
        <f t="shared" ref="AE777:AE840" si="135">AVERAGEA(Q777:Q797)-AVERAGE(Q798:Q818)</f>
        <v>-7426</v>
      </c>
      <c r="AF777" s="76">
        <f t="shared" ref="AF777:AF840" si="136">AVERAGEA(Q777:Q797)-AVERAGE(Q798:Q853)</f>
        <v>-8517.2083333333321</v>
      </c>
      <c r="AG777" s="76">
        <f t="shared" ref="AG777:AG840" si="137">AVERAGEA(Q777:Q797)-AVERAGE(Q798:Q910)</f>
        <v>-6863.3548251158863</v>
      </c>
      <c r="AO777" s="5">
        <f t="shared" si="131"/>
        <v>-1.3416815742397139E-2</v>
      </c>
      <c r="AP777" s="5">
        <f t="shared" ref="AP777:AP840" si="138">_xlfn.STDEV.S(AO777:AO1036)*SQRT(252)</f>
        <v>0.33106108499651749</v>
      </c>
      <c r="AR777" s="5">
        <f t="shared" ref="AR777:AR840" si="139">IFERROR(AVERAGEA(AP777:AP797)-AVERAGE(AP798:AP818),"")</f>
        <v>4.8637301974525649E-3</v>
      </c>
      <c r="AS777" s="5">
        <f t="shared" ref="AS777:AS840" si="140">IFERROR(AVERAGEA(AP777:AP797)-AVERAGE(AP798:AP853),"")</f>
        <v>7.9055797560257934E-3</v>
      </c>
      <c r="AT777" s="5">
        <f t="shared" ref="AT777:AT840" si="141">IFERROR(AVERAGEA(AP777:AP797)-AVERAGE(AP798:AP910),"")</f>
        <v>4.9997236693160585E-3</v>
      </c>
    </row>
    <row r="778" spans="12:46" x14ac:dyDescent="0.25">
      <c r="L778" s="4">
        <v>44420.5</v>
      </c>
      <c r="M778">
        <v>58.07</v>
      </c>
      <c r="N778">
        <v>58.18</v>
      </c>
      <c r="O778">
        <v>55.9</v>
      </c>
      <c r="P778">
        <v>56.04</v>
      </c>
      <c r="Q778">
        <v>21228</v>
      </c>
      <c r="R778">
        <v>446337</v>
      </c>
      <c r="S778">
        <v>46.15</v>
      </c>
      <c r="T778">
        <v>46.524999999999999</v>
      </c>
      <c r="U778">
        <v>45.325000000000003</v>
      </c>
      <c r="V778">
        <v>45.871000000000002</v>
      </c>
      <c r="W778">
        <v>768</v>
      </c>
      <c r="X778">
        <v>3.9825327510917052E-2</v>
      </c>
      <c r="Y778">
        <v>0.27297919638237761</v>
      </c>
      <c r="Z778">
        <v>-0.80572418109828836</v>
      </c>
      <c r="AB778" s="3">
        <f t="shared" si="132"/>
        <v>-4.6665415415157799E-3</v>
      </c>
      <c r="AC778" s="3">
        <f t="shared" si="133"/>
        <v>-6.3921490503502792E-3</v>
      </c>
      <c r="AD778" s="3">
        <f t="shared" si="134"/>
        <v>-4.0533083932491054E-3</v>
      </c>
      <c r="AE778" s="76">
        <f t="shared" si="135"/>
        <v>-7558.4285714285688</v>
      </c>
      <c r="AF778" s="76">
        <f t="shared" si="136"/>
        <v>-8360.2261904761872</v>
      </c>
      <c r="AG778" s="76">
        <f t="shared" si="137"/>
        <v>-6613.4306784660766</v>
      </c>
      <c r="AO778" s="5">
        <f t="shared" ref="AO778:AO841" si="142">IFERROR((O778-O779)/O779,"")</f>
        <v>-8.936550491511039E-4</v>
      </c>
      <c r="AP778" s="5">
        <f t="shared" si="138"/>
        <v>0.33102518329024211</v>
      </c>
      <c r="AR778" s="5">
        <f t="shared" si="139"/>
        <v>5.2385976172910631E-3</v>
      </c>
      <c r="AS778" s="5">
        <f t="shared" si="140"/>
        <v>8.2572762992600968E-3</v>
      </c>
      <c r="AT778" s="5">
        <f t="shared" si="141"/>
        <v>5.0916448002314429E-3</v>
      </c>
    </row>
    <row r="779" spans="12:46" x14ac:dyDescent="0.25">
      <c r="L779" s="4">
        <v>44419.5</v>
      </c>
      <c r="M779">
        <v>57.25</v>
      </c>
      <c r="N779">
        <v>58.2</v>
      </c>
      <c r="O779">
        <v>55.95</v>
      </c>
      <c r="P779">
        <v>58.11</v>
      </c>
      <c r="Q779">
        <v>26617</v>
      </c>
      <c r="R779">
        <v>446139</v>
      </c>
      <c r="S779">
        <v>44.975000000000001</v>
      </c>
      <c r="T779">
        <v>46.524999999999999</v>
      </c>
      <c r="U779">
        <v>44.575000000000003</v>
      </c>
      <c r="V779">
        <v>45.985999999999997</v>
      </c>
      <c r="W779">
        <v>515</v>
      </c>
      <c r="X779">
        <v>3.959176491289812E-2</v>
      </c>
      <c r="Y779">
        <v>0.26194456632593505</v>
      </c>
      <c r="Z779">
        <v>-0.35546375418143639</v>
      </c>
      <c r="AB779" s="3">
        <f t="shared" si="132"/>
        <v>-9.8397470297819506E-4</v>
      </c>
      <c r="AC779" s="3">
        <f t="shared" si="133"/>
        <v>-4.0460799782400872E-3</v>
      </c>
      <c r="AD779" s="3">
        <f t="shared" si="134"/>
        <v>-2.148456988485592E-3</v>
      </c>
      <c r="AE779" s="76">
        <f t="shared" si="135"/>
        <v>-6937.6190476190459</v>
      </c>
      <c r="AF779" s="76">
        <f t="shared" si="136"/>
        <v>-7550.3333333333321</v>
      </c>
      <c r="AG779" s="76">
        <f t="shared" si="137"/>
        <v>-5892.4698693636747</v>
      </c>
      <c r="AO779" s="5">
        <f t="shared" si="142"/>
        <v>-1.1309418625198808E-2</v>
      </c>
      <c r="AP779" s="5">
        <f t="shared" si="138"/>
        <v>0.33136494828557039</v>
      </c>
      <c r="AR779" s="5">
        <f t="shared" si="139"/>
        <v>5.6508966049493847E-3</v>
      </c>
      <c r="AS779" s="5">
        <f t="shared" si="140"/>
        <v>8.649369033891241E-3</v>
      </c>
      <c r="AT779" s="5">
        <f t="shared" si="141"/>
        <v>5.2348895089487368E-3</v>
      </c>
    </row>
    <row r="780" spans="12:46" x14ac:dyDescent="0.25">
      <c r="L780" s="4">
        <v>44418.5</v>
      </c>
      <c r="M780">
        <v>56.83</v>
      </c>
      <c r="N780">
        <v>57.6</v>
      </c>
      <c r="O780">
        <v>56.59</v>
      </c>
      <c r="P780">
        <v>57.17</v>
      </c>
      <c r="Q780">
        <v>22309</v>
      </c>
      <c r="R780">
        <v>445531</v>
      </c>
      <c r="S780">
        <v>44.39</v>
      </c>
      <c r="T780">
        <v>45.024999999999999</v>
      </c>
      <c r="U780">
        <v>44.215000000000003</v>
      </c>
      <c r="V780">
        <v>44.655000000000001</v>
      </c>
      <c r="W780">
        <v>886</v>
      </c>
      <c r="X780">
        <v>1.7750439367311039E-2</v>
      </c>
      <c r="Y780">
        <v>-1.0380756065096717</v>
      </c>
      <c r="Z780">
        <v>-0.74950066325219566</v>
      </c>
      <c r="AB780" s="3">
        <f t="shared" si="132"/>
        <v>-7.3014964675952032E-4</v>
      </c>
      <c r="AC780" s="3">
        <f t="shared" si="133"/>
        <v>-3.7795663909217722E-3</v>
      </c>
      <c r="AD780" s="3">
        <f t="shared" si="134"/>
        <v>-2.3233282771160588E-3</v>
      </c>
      <c r="AE780" s="76">
        <f t="shared" si="135"/>
        <v>-7030.6190476190459</v>
      </c>
      <c r="AF780" s="76">
        <f t="shared" si="136"/>
        <v>-7517.5059523809505</v>
      </c>
      <c r="AG780" s="76">
        <f t="shared" si="137"/>
        <v>-5969.0459334176157</v>
      </c>
      <c r="AO780" s="5">
        <f t="shared" si="142"/>
        <v>1.270579813886902E-2</v>
      </c>
      <c r="AP780" s="5">
        <f t="shared" si="138"/>
        <v>0.33184092374998719</v>
      </c>
      <c r="AR780" s="5">
        <f t="shared" si="139"/>
        <v>6.1392249358966366E-3</v>
      </c>
      <c r="AS780" s="5">
        <f t="shared" si="140"/>
        <v>9.060240019015009E-3</v>
      </c>
      <c r="AT780" s="5">
        <f t="shared" si="141"/>
        <v>5.3921885716908813E-3</v>
      </c>
    </row>
    <row r="781" spans="12:46" x14ac:dyDescent="0.25">
      <c r="L781" s="4">
        <v>44417.5</v>
      </c>
      <c r="M781">
        <v>56.9</v>
      </c>
      <c r="N781">
        <v>57.42</v>
      </c>
      <c r="O781">
        <v>55.88</v>
      </c>
      <c r="P781">
        <v>56.86</v>
      </c>
      <c r="Q781">
        <v>19656</v>
      </c>
      <c r="R781">
        <v>445353</v>
      </c>
      <c r="S781">
        <v>43.094999999999999</v>
      </c>
      <c r="T781">
        <v>43.57</v>
      </c>
      <c r="U781">
        <v>42.45</v>
      </c>
      <c r="V781">
        <v>42.786000000000001</v>
      </c>
      <c r="W781">
        <v>1221</v>
      </c>
      <c r="X781">
        <v>2.7450980392156848E-2</v>
      </c>
      <c r="Y781">
        <v>-0.4886771725715055</v>
      </c>
      <c r="Z781">
        <v>-1.0034958431529406</v>
      </c>
      <c r="AB781" s="3">
        <f t="shared" si="132"/>
        <v>2.0816539340678189E-3</v>
      </c>
      <c r="AC781" s="3">
        <f t="shared" si="133"/>
        <v>-1.6658022864616678E-3</v>
      </c>
      <c r="AD781" s="3">
        <f t="shared" si="134"/>
        <v>-1.0438422424947011E-3</v>
      </c>
      <c r="AE781" s="76">
        <f t="shared" si="135"/>
        <v>-6200.8095238095229</v>
      </c>
      <c r="AF781" s="76">
        <f t="shared" si="136"/>
        <v>-7080.8392857142862</v>
      </c>
      <c r="AG781" s="76">
        <f t="shared" si="137"/>
        <v>-5691.5486725663723</v>
      </c>
      <c r="AO781" s="5">
        <f t="shared" si="142"/>
        <v>-3.9215686274509604E-3</v>
      </c>
      <c r="AP781" s="5">
        <f t="shared" si="138"/>
        <v>0.33186555637042747</v>
      </c>
      <c r="AR781" s="5">
        <f t="shared" si="139"/>
        <v>6.6265490013741601E-3</v>
      </c>
      <c r="AS781" s="5">
        <f t="shared" si="140"/>
        <v>9.4779895628248068E-3</v>
      </c>
      <c r="AT781" s="5">
        <f t="shared" si="141"/>
        <v>5.6077882875396057E-3</v>
      </c>
    </row>
    <row r="782" spans="12:46" x14ac:dyDescent="0.25">
      <c r="L782" s="4">
        <v>44414.5</v>
      </c>
      <c r="M782">
        <v>56.1</v>
      </c>
      <c r="N782">
        <v>56.97</v>
      </c>
      <c r="O782">
        <v>56.1</v>
      </c>
      <c r="P782">
        <v>56.94</v>
      </c>
      <c r="Q782">
        <v>17045</v>
      </c>
      <c r="R782">
        <v>445882</v>
      </c>
      <c r="S782">
        <v>43.9</v>
      </c>
      <c r="T782">
        <v>44.57</v>
      </c>
      <c r="U782">
        <v>42.674999999999997</v>
      </c>
      <c r="V782">
        <v>43.118000000000002</v>
      </c>
      <c r="W782">
        <v>1142</v>
      </c>
      <c r="X782">
        <v>1.5689810640216365E-2</v>
      </c>
      <c r="Y782">
        <v>-1.2017889135012019</v>
      </c>
      <c r="Z782">
        <v>-1.2546410021758625</v>
      </c>
      <c r="AB782" s="3">
        <f t="shared" si="132"/>
        <v>2.9287699865112732E-3</v>
      </c>
      <c r="AC782" s="3">
        <f t="shared" si="133"/>
        <v>-1.1422261893561658E-3</v>
      </c>
      <c r="AD782" s="3">
        <f t="shared" si="134"/>
        <v>-9.4888794437580221E-4</v>
      </c>
      <c r="AE782" s="76">
        <f t="shared" si="135"/>
        <v>-5618.9047619047633</v>
      </c>
      <c r="AF782" s="76">
        <f t="shared" si="136"/>
        <v>-6765.5892857142862</v>
      </c>
      <c r="AG782" s="76">
        <f t="shared" si="137"/>
        <v>-5293.6611883691548</v>
      </c>
      <c r="AO782" s="5">
        <f t="shared" si="142"/>
        <v>2.6908292147171862E-2</v>
      </c>
      <c r="AP782" s="5">
        <f t="shared" si="138"/>
        <v>0.33193717144391599</v>
      </c>
      <c r="AR782" s="5">
        <f t="shared" si="139"/>
        <v>7.0656168889296489E-3</v>
      </c>
      <c r="AS782" s="5">
        <f t="shared" si="140"/>
        <v>9.867762733342389E-3</v>
      </c>
      <c r="AT782" s="5">
        <f t="shared" si="141"/>
        <v>5.8687551553808781E-3</v>
      </c>
    </row>
    <row r="783" spans="12:46" x14ac:dyDescent="0.25">
      <c r="L783" s="4">
        <v>44413.5</v>
      </c>
      <c r="M783">
        <v>55.45</v>
      </c>
      <c r="N783">
        <v>56.2</v>
      </c>
      <c r="O783">
        <v>54.63</v>
      </c>
      <c r="P783">
        <v>56.18</v>
      </c>
      <c r="Q783">
        <v>21423</v>
      </c>
      <c r="R783">
        <v>444969</v>
      </c>
      <c r="S783">
        <v>41.57</v>
      </c>
      <c r="T783">
        <v>43.2</v>
      </c>
      <c r="U783">
        <v>41.195</v>
      </c>
      <c r="V783">
        <v>43.2</v>
      </c>
      <c r="W783">
        <v>1263</v>
      </c>
      <c r="X783">
        <v>2.8807339449541291E-2</v>
      </c>
      <c r="Y783">
        <v>-0.43961656865872478</v>
      </c>
      <c r="Z783">
        <v>-0.90442784779301533</v>
      </c>
      <c r="AB783" s="3">
        <f t="shared" si="132"/>
        <v>4.7262555291446504E-3</v>
      </c>
      <c r="AC783" s="3">
        <f t="shared" si="133"/>
        <v>3.2773224567397147E-4</v>
      </c>
      <c r="AD783" s="3">
        <f t="shared" si="134"/>
        <v>5.9708140417737837E-4</v>
      </c>
      <c r="AE783" s="76">
        <f t="shared" si="135"/>
        <v>-3663.6190476190459</v>
      </c>
      <c r="AF783" s="76">
        <f t="shared" si="136"/>
        <v>-5182.6964285714275</v>
      </c>
      <c r="AG783" s="76">
        <f t="shared" si="137"/>
        <v>-3674.2022756005026</v>
      </c>
      <c r="AO783" s="5">
        <f t="shared" si="142"/>
        <v>8.8642659279779129E-3</v>
      </c>
      <c r="AP783" s="5">
        <f t="shared" si="138"/>
        <v>0.33143317043709841</v>
      </c>
      <c r="AR783" s="5">
        <f t="shared" si="139"/>
        <v>7.3950937391007998E-3</v>
      </c>
      <c r="AS783" s="5">
        <f t="shared" si="140"/>
        <v>1.0217161921887208E-2</v>
      </c>
      <c r="AT783" s="5">
        <f t="shared" si="141"/>
        <v>6.0764448268659788E-3</v>
      </c>
    </row>
    <row r="784" spans="12:46" x14ac:dyDescent="0.25">
      <c r="L784" s="4">
        <v>44412.5</v>
      </c>
      <c r="M784">
        <v>54.5</v>
      </c>
      <c r="N784">
        <v>55.63</v>
      </c>
      <c r="O784">
        <v>54.15</v>
      </c>
      <c r="P784">
        <v>55.4</v>
      </c>
      <c r="Q784">
        <v>21276</v>
      </c>
      <c r="R784">
        <v>445759</v>
      </c>
      <c r="S784">
        <v>41.54</v>
      </c>
      <c r="T784">
        <v>42.26</v>
      </c>
      <c r="U784">
        <v>41.54</v>
      </c>
      <c r="V784">
        <v>42.253</v>
      </c>
      <c r="W784">
        <v>777</v>
      </c>
      <c r="X784">
        <v>2.7195883866225724E-2</v>
      </c>
      <c r="Y784">
        <v>-0.53425591612566381</v>
      </c>
      <c r="Z784">
        <v>-0.93626773172832478</v>
      </c>
      <c r="AB784" s="3">
        <f t="shared" si="132"/>
        <v>6.5713833033366649E-3</v>
      </c>
      <c r="AC784" s="3">
        <f t="shared" si="133"/>
        <v>1.3670020870918953E-3</v>
      </c>
      <c r="AD784" s="3">
        <f t="shared" si="134"/>
        <v>1.4815406677568463E-3</v>
      </c>
      <c r="AE784" s="76">
        <f t="shared" si="135"/>
        <v>-1805.7142857142862</v>
      </c>
      <c r="AF784" s="76">
        <f t="shared" si="136"/>
        <v>-3800.1666666666679</v>
      </c>
      <c r="AG784" s="76">
        <f t="shared" si="137"/>
        <v>-2372.7804466919515</v>
      </c>
      <c r="AO784" s="5">
        <f t="shared" si="142"/>
        <v>2.7777777777777514E-3</v>
      </c>
      <c r="AP784" s="5">
        <f t="shared" si="138"/>
        <v>0.33159626163454176</v>
      </c>
      <c r="AR784" s="5">
        <f t="shared" si="139"/>
        <v>7.6388131694729022E-3</v>
      </c>
      <c r="AS784" s="5">
        <f t="shared" si="140"/>
        <v>1.0526477362244713E-2</v>
      </c>
      <c r="AT784" s="5">
        <f t="shared" si="141"/>
        <v>6.2502220024589494E-3</v>
      </c>
    </row>
    <row r="785" spans="12:46" x14ac:dyDescent="0.25">
      <c r="L785" s="4">
        <v>44411.5</v>
      </c>
      <c r="M785">
        <v>54.42</v>
      </c>
      <c r="N785">
        <v>55.17</v>
      </c>
      <c r="O785">
        <v>54</v>
      </c>
      <c r="P785">
        <v>54.36</v>
      </c>
      <c r="Q785">
        <v>19914</v>
      </c>
      <c r="R785">
        <v>447000</v>
      </c>
      <c r="S785">
        <v>41.59</v>
      </c>
      <c r="T785">
        <v>42.18</v>
      </c>
      <c r="U785">
        <v>41.12</v>
      </c>
      <c r="V785">
        <v>41.243000000000002</v>
      </c>
      <c r="W785">
        <v>934</v>
      </c>
      <c r="X785">
        <v>2.1996615905245379E-2</v>
      </c>
      <c r="Y785">
        <v>-0.83591099279707881</v>
      </c>
      <c r="Z785">
        <v>-1.0764503826969438</v>
      </c>
      <c r="AB785" s="3">
        <f t="shared" si="132"/>
        <v>1.2856221098183001E-2</v>
      </c>
      <c r="AC785" s="3">
        <f t="shared" si="133"/>
        <v>6.5834821048703918E-3</v>
      </c>
      <c r="AD785" s="3">
        <f t="shared" si="134"/>
        <v>5.8971043217141694E-3</v>
      </c>
      <c r="AE785" s="76">
        <f t="shared" si="135"/>
        <v>2092.4761904761908</v>
      </c>
      <c r="AF785" s="76">
        <f t="shared" si="136"/>
        <v>-1435.6309523809541</v>
      </c>
      <c r="AG785" s="76">
        <f t="shared" si="137"/>
        <v>-268.45933417615015</v>
      </c>
      <c r="AO785" s="5">
        <f t="shared" si="142"/>
        <v>1.7332328560663184E-2</v>
      </c>
      <c r="AP785" s="5">
        <f t="shared" si="138"/>
        <v>0.33189507584574746</v>
      </c>
      <c r="AR785" s="5">
        <f t="shared" si="139"/>
        <v>8.0491833951824576E-3</v>
      </c>
      <c r="AS785" s="5">
        <f t="shared" si="140"/>
        <v>1.085758682695187E-2</v>
      </c>
      <c r="AT785" s="5">
        <f t="shared" si="141"/>
        <v>6.4439166730636543E-3</v>
      </c>
    </row>
    <row r="786" spans="12:46" x14ac:dyDescent="0.25">
      <c r="L786" s="4">
        <v>44410.5</v>
      </c>
      <c r="M786">
        <v>53.19</v>
      </c>
      <c r="N786">
        <v>55.21</v>
      </c>
      <c r="O786">
        <v>53.08</v>
      </c>
      <c r="P786">
        <v>54.29</v>
      </c>
      <c r="Q786">
        <v>29055</v>
      </c>
      <c r="R786">
        <v>448954</v>
      </c>
      <c r="S786">
        <v>42.1</v>
      </c>
      <c r="T786">
        <v>42.69</v>
      </c>
      <c r="U786">
        <v>41.814999999999998</v>
      </c>
      <c r="V786">
        <v>42.152999999999999</v>
      </c>
      <c r="W786">
        <v>1356</v>
      </c>
      <c r="X786">
        <v>3.9473684210526362E-2</v>
      </c>
      <c r="Y786">
        <v>0.20379194630867789</v>
      </c>
      <c r="Z786">
        <v>-0.23695247606829828</v>
      </c>
      <c r="AB786" s="3">
        <f t="shared" si="132"/>
        <v>1.1371885648168024E-2</v>
      </c>
      <c r="AC786" s="3">
        <f t="shared" si="133"/>
        <v>6.4110285321744356E-3</v>
      </c>
      <c r="AD786" s="3">
        <f t="shared" si="134"/>
        <v>5.4859904488693823E-3</v>
      </c>
      <c r="AE786" s="76">
        <f t="shared" si="135"/>
        <v>1518.2857142857138</v>
      </c>
      <c r="AF786" s="76">
        <f t="shared" si="136"/>
        <v>-1388.8988095238128</v>
      </c>
      <c r="AG786" s="76">
        <f t="shared" si="137"/>
        <v>-252.04466919511469</v>
      </c>
      <c r="AO786" s="5">
        <f t="shared" si="142"/>
        <v>5.303030303030325E-3</v>
      </c>
      <c r="AP786" s="5">
        <f t="shared" si="138"/>
        <v>0.33205636604415595</v>
      </c>
      <c r="AR786" s="5">
        <f t="shared" si="139"/>
        <v>7.1410670487715433E-3</v>
      </c>
      <c r="AS786" s="5">
        <f t="shared" si="140"/>
        <v>1.0292958058018331E-2</v>
      </c>
      <c r="AT786" s="5">
        <f t="shared" si="141"/>
        <v>5.8687455259338051E-3</v>
      </c>
    </row>
    <row r="787" spans="12:46" x14ac:dyDescent="0.25">
      <c r="L787" s="4">
        <v>44407.5</v>
      </c>
      <c r="M787">
        <v>53.96</v>
      </c>
      <c r="N787">
        <v>54</v>
      </c>
      <c r="O787">
        <v>52.8</v>
      </c>
      <c r="P787">
        <v>53.25</v>
      </c>
      <c r="Q787">
        <v>24638</v>
      </c>
      <c r="R787">
        <v>450377</v>
      </c>
      <c r="S787">
        <v>40.51</v>
      </c>
      <c r="T787">
        <v>40.854999999999997</v>
      </c>
      <c r="U787">
        <v>39.42</v>
      </c>
      <c r="V787">
        <v>40.756</v>
      </c>
      <c r="W787">
        <v>389</v>
      </c>
      <c r="X787">
        <v>2.2164758034724841E-2</v>
      </c>
      <c r="Y787">
        <v>-0.82024698876145874</v>
      </c>
      <c r="Z787">
        <v>-0.63541271618015893</v>
      </c>
      <c r="AB787" s="3">
        <f t="shared" si="132"/>
        <v>9.5478757048536346E-3</v>
      </c>
      <c r="AC787" s="3">
        <f t="shared" si="133"/>
        <v>5.8495232119402871E-3</v>
      </c>
      <c r="AD787" s="3">
        <f t="shared" si="134"/>
        <v>4.8103758947870973E-3</v>
      </c>
      <c r="AE787" s="76">
        <f t="shared" si="135"/>
        <v>806.8571428571413</v>
      </c>
      <c r="AF787" s="76">
        <f t="shared" si="136"/>
        <v>-1585.4702380952403</v>
      </c>
      <c r="AG787" s="76">
        <f t="shared" si="137"/>
        <v>-513.96123050990354</v>
      </c>
      <c r="AO787" s="5">
        <f t="shared" si="142"/>
        <v>-4.1493775933611086E-3</v>
      </c>
      <c r="AP787" s="5">
        <f t="shared" si="138"/>
        <v>0.33206223063818552</v>
      </c>
      <c r="AR787" s="5">
        <f t="shared" si="139"/>
        <v>6.286216387417054E-3</v>
      </c>
      <c r="AS787" s="5">
        <f t="shared" si="140"/>
        <v>9.7499197218088307E-3</v>
      </c>
      <c r="AT787" s="5">
        <f t="shared" si="141"/>
        <v>5.3219461197270279E-3</v>
      </c>
    </row>
    <row r="788" spans="12:46" x14ac:dyDescent="0.25">
      <c r="L788" s="4">
        <v>44406.5</v>
      </c>
      <c r="M788">
        <v>54.14</v>
      </c>
      <c r="N788">
        <v>54.35</v>
      </c>
      <c r="O788">
        <v>53.02</v>
      </c>
      <c r="P788">
        <v>53.95</v>
      </c>
      <c r="Q788">
        <v>21808</v>
      </c>
      <c r="R788">
        <v>457695</v>
      </c>
      <c r="S788">
        <v>40.35</v>
      </c>
      <c r="T788">
        <v>41.154000000000003</v>
      </c>
      <c r="U788">
        <v>40.049999999999997</v>
      </c>
      <c r="V788">
        <v>41.154000000000003</v>
      </c>
      <c r="W788">
        <v>0</v>
      </c>
      <c r="X788">
        <v>2.5042364903031411E-2</v>
      </c>
      <c r="Y788">
        <v>-0.66449222923228757</v>
      </c>
      <c r="Z788">
        <v>-0.8854513552325991</v>
      </c>
      <c r="AB788" s="3">
        <f t="shared" si="132"/>
        <v>1.0730883548998538E-2</v>
      </c>
      <c r="AC788" s="3">
        <f t="shared" si="133"/>
        <v>6.9363210586274801E-3</v>
      </c>
      <c r="AD788" s="3">
        <f t="shared" si="134"/>
        <v>5.4386525646349659E-3</v>
      </c>
      <c r="AE788" s="76">
        <f t="shared" si="135"/>
        <v>2347.0952380952403</v>
      </c>
      <c r="AF788" s="76">
        <f t="shared" si="136"/>
        <v>-364.76190476190459</v>
      </c>
      <c r="AG788" s="76">
        <f t="shared" si="137"/>
        <v>530.67551622418978</v>
      </c>
      <c r="AO788" s="5">
        <f t="shared" si="142"/>
        <v>1.8896447467876307E-3</v>
      </c>
      <c r="AP788" s="5">
        <f t="shared" si="138"/>
        <v>0.33221367331515428</v>
      </c>
      <c r="AR788" s="5">
        <f t="shared" si="139"/>
        <v>5.4811373372983807E-3</v>
      </c>
      <c r="AS788" s="5">
        <f t="shared" si="140"/>
        <v>9.2337504713994045E-3</v>
      </c>
      <c r="AT788" s="5">
        <f t="shared" si="141"/>
        <v>4.8029231682310547E-3</v>
      </c>
    </row>
    <row r="789" spans="12:46" x14ac:dyDescent="0.25">
      <c r="L789" s="4">
        <v>44405.5</v>
      </c>
      <c r="M789">
        <v>53.11</v>
      </c>
      <c r="N789">
        <v>54.28</v>
      </c>
      <c r="O789">
        <v>52.92</v>
      </c>
      <c r="P789">
        <v>53.8</v>
      </c>
      <c r="Q789">
        <v>25345</v>
      </c>
      <c r="R789">
        <v>459504</v>
      </c>
      <c r="S789">
        <v>38.465000000000003</v>
      </c>
      <c r="T789">
        <v>39.715000000000003</v>
      </c>
      <c r="U789">
        <v>38.414999999999999</v>
      </c>
      <c r="V789">
        <v>39.698</v>
      </c>
      <c r="W789">
        <v>506</v>
      </c>
      <c r="X789">
        <v>2.5539906103286374E-2</v>
      </c>
      <c r="Y789">
        <v>-0.63084258810216642</v>
      </c>
      <c r="Z789">
        <v>-0.58825333135225943</v>
      </c>
      <c r="AB789" s="3">
        <f t="shared" si="132"/>
        <v>1.0563544789859613E-2</v>
      </c>
      <c r="AC789" s="3">
        <f t="shared" si="133"/>
        <v>7.0655210224700934E-3</v>
      </c>
      <c r="AD789" s="3">
        <f t="shared" si="134"/>
        <v>5.52753618740362E-3</v>
      </c>
      <c r="AE789" s="76">
        <f t="shared" si="135"/>
        <v>3043.9047619047633</v>
      </c>
      <c r="AF789" s="76">
        <f t="shared" si="136"/>
        <v>118.89880952380918</v>
      </c>
      <c r="AG789" s="76">
        <f t="shared" si="137"/>
        <v>1013.2330383480839</v>
      </c>
      <c r="AO789" s="5">
        <f t="shared" si="142"/>
        <v>2.4625876112900655E-3</v>
      </c>
      <c r="AP789" s="5">
        <f t="shared" si="138"/>
        <v>0.33248637863451685</v>
      </c>
      <c r="AR789" s="5">
        <f t="shared" si="139"/>
        <v>4.6624706061319521E-3</v>
      </c>
      <c r="AS789" s="5">
        <f t="shared" si="140"/>
        <v>8.6945333485545784E-3</v>
      </c>
      <c r="AT789" s="5">
        <f t="shared" si="141"/>
        <v>4.2695145628547926E-3</v>
      </c>
    </row>
    <row r="790" spans="12:46" x14ac:dyDescent="0.25">
      <c r="L790" s="4">
        <v>44404.5</v>
      </c>
      <c r="M790">
        <v>53.25</v>
      </c>
      <c r="N790">
        <v>53.78</v>
      </c>
      <c r="O790">
        <v>52.79</v>
      </c>
      <c r="P790">
        <v>53.1</v>
      </c>
      <c r="Q790">
        <v>24439</v>
      </c>
      <c r="R790">
        <v>462065</v>
      </c>
      <c r="S790">
        <v>37.695</v>
      </c>
      <c r="T790">
        <v>37.704999999999998</v>
      </c>
      <c r="U790">
        <v>37.26</v>
      </c>
      <c r="V790">
        <v>37.590000000000003</v>
      </c>
      <c r="W790">
        <v>559</v>
      </c>
      <c r="X790">
        <v>1.9419380149078111E-2</v>
      </c>
      <c r="Y790">
        <v>-0.99664690894586838</v>
      </c>
      <c r="Z790">
        <v>-0.67585275122655519</v>
      </c>
      <c r="AB790" s="3">
        <f t="shared" si="132"/>
        <v>1.0523679044708811E-2</v>
      </c>
      <c r="AC790" s="3">
        <f t="shared" si="133"/>
        <v>6.7061974214175785E-3</v>
      </c>
      <c r="AD790" s="3">
        <f t="shared" si="134"/>
        <v>5.0001702300344897E-3</v>
      </c>
      <c r="AE790" s="76">
        <f t="shared" si="135"/>
        <v>4004</v>
      </c>
      <c r="AF790" s="76">
        <f t="shared" si="136"/>
        <v>202.58928571428623</v>
      </c>
      <c r="AG790" s="76">
        <f t="shared" si="137"/>
        <v>1066.5941845764864</v>
      </c>
      <c r="AO790" s="5">
        <f t="shared" si="142"/>
        <v>4.4106012658227785E-2</v>
      </c>
      <c r="AP790" s="5">
        <f t="shared" si="138"/>
        <v>0.33276193204601251</v>
      </c>
      <c r="AR790" s="5">
        <f t="shared" si="139"/>
        <v>3.8609631425324253E-3</v>
      </c>
      <c r="AS790" s="5">
        <f t="shared" si="140"/>
        <v>8.1703563548530256E-3</v>
      </c>
      <c r="AT790" s="5">
        <f t="shared" si="141"/>
        <v>3.7704290863891932E-3</v>
      </c>
    </row>
    <row r="791" spans="12:46" x14ac:dyDescent="0.25">
      <c r="L791" s="4">
        <v>44403.5</v>
      </c>
      <c r="M791">
        <v>50.98</v>
      </c>
      <c r="N791">
        <v>53.36</v>
      </c>
      <c r="O791">
        <v>50.56</v>
      </c>
      <c r="P791">
        <v>53.15</v>
      </c>
      <c r="Q791">
        <v>25857</v>
      </c>
      <c r="R791">
        <v>460566</v>
      </c>
      <c r="S791">
        <v>36.14</v>
      </c>
      <c r="T791">
        <v>37.024999999999999</v>
      </c>
      <c r="U791">
        <v>35.909999999999997</v>
      </c>
      <c r="V791">
        <v>36.914000000000001</v>
      </c>
      <c r="W791">
        <v>173</v>
      </c>
      <c r="X791">
        <v>5.5843637814120405E-2</v>
      </c>
      <c r="Y791">
        <v>1.1922266016911249</v>
      </c>
      <c r="Z791">
        <v>-0.54825723832232998</v>
      </c>
      <c r="AB791" s="3">
        <f t="shared" si="132"/>
        <v>9.9871473785937866E-3</v>
      </c>
      <c r="AC791" s="3">
        <f t="shared" si="133"/>
        <v>7.1343694898137466E-3</v>
      </c>
      <c r="AD791" s="3">
        <f t="shared" si="134"/>
        <v>5.182286044101328E-3</v>
      </c>
      <c r="AE791" s="76">
        <f t="shared" si="135"/>
        <v>4162.4761904761872</v>
      </c>
      <c r="AF791" s="76">
        <f t="shared" si="136"/>
        <v>667.875</v>
      </c>
      <c r="AG791" s="76">
        <f t="shared" si="137"/>
        <v>1402.51201011378</v>
      </c>
      <c r="AO791" s="5">
        <f t="shared" si="142"/>
        <v>1.1402280456091223E-2</v>
      </c>
      <c r="AP791" s="5">
        <f t="shared" si="138"/>
        <v>0.33030311767762227</v>
      </c>
      <c r="AR791" s="5">
        <f t="shared" si="139"/>
        <v>3.0932936788362064E-3</v>
      </c>
      <c r="AS791" s="5">
        <f t="shared" si="140"/>
        <v>7.6585779003106036E-3</v>
      </c>
      <c r="AT791" s="5">
        <f t="shared" si="141"/>
        <v>3.2826173971793882E-3</v>
      </c>
    </row>
    <row r="792" spans="12:46" x14ac:dyDescent="0.25">
      <c r="L792" s="4">
        <v>44400.5</v>
      </c>
      <c r="M792">
        <v>50.14</v>
      </c>
      <c r="N792">
        <v>50.97</v>
      </c>
      <c r="O792">
        <v>49.99</v>
      </c>
      <c r="P792">
        <v>50.95</v>
      </c>
      <c r="Q792">
        <v>19728</v>
      </c>
      <c r="R792">
        <v>462115</v>
      </c>
      <c r="S792">
        <v>35.814999999999998</v>
      </c>
      <c r="T792">
        <v>35.94</v>
      </c>
      <c r="U792">
        <v>35.1</v>
      </c>
      <c r="V792">
        <v>35.523000000000003</v>
      </c>
      <c r="W792">
        <v>534</v>
      </c>
      <c r="X792">
        <v>1.8828049951969201E-2</v>
      </c>
      <c r="Y792">
        <v>-1.0196301051999557</v>
      </c>
      <c r="Z792">
        <v>-1.1098435172774679</v>
      </c>
      <c r="AB792" s="3">
        <f t="shared" si="132"/>
        <v>6.5976226848310227E-3</v>
      </c>
      <c r="AC792" s="3">
        <f t="shared" si="133"/>
        <v>5.3313969202582537E-3</v>
      </c>
      <c r="AD792" s="3">
        <f t="shared" si="134"/>
        <v>3.1203916783352492E-3</v>
      </c>
      <c r="AE792" s="76">
        <f t="shared" si="135"/>
        <v>4292.2857142857138</v>
      </c>
      <c r="AF792" s="76">
        <f t="shared" si="136"/>
        <v>901.85714285714494</v>
      </c>
      <c r="AG792" s="76">
        <f t="shared" si="137"/>
        <v>1681.9266750948154</v>
      </c>
      <c r="AO792" s="5">
        <f t="shared" si="142"/>
        <v>-1.1988011988011023E-3</v>
      </c>
      <c r="AP792" s="5">
        <f t="shared" si="138"/>
        <v>0.33083693634937511</v>
      </c>
      <c r="AR792" s="5">
        <f t="shared" si="139"/>
        <v>2.4862775977926854E-3</v>
      </c>
      <c r="AS792" s="5">
        <f t="shared" si="140"/>
        <v>7.2862094240169761E-3</v>
      </c>
      <c r="AT792" s="5">
        <f t="shared" si="141"/>
        <v>2.9541496037162052E-3</v>
      </c>
    </row>
    <row r="793" spans="12:46" x14ac:dyDescent="0.25">
      <c r="L793" s="4">
        <v>44399.5</v>
      </c>
      <c r="M793">
        <v>52.05</v>
      </c>
      <c r="N793">
        <v>52.29</v>
      </c>
      <c r="O793">
        <v>50.05</v>
      </c>
      <c r="P793">
        <v>50.25</v>
      </c>
      <c r="Q793">
        <v>32733</v>
      </c>
      <c r="R793">
        <v>464827</v>
      </c>
      <c r="S793">
        <v>35.674999999999997</v>
      </c>
      <c r="T793">
        <v>36.435000000000002</v>
      </c>
      <c r="U793">
        <v>35.65</v>
      </c>
      <c r="V793">
        <v>36.128999999999998</v>
      </c>
      <c r="W793">
        <v>585</v>
      </c>
      <c r="X793">
        <v>4.3775649794801676E-2</v>
      </c>
      <c r="Y793">
        <v>0.49298140605511132</v>
      </c>
      <c r="Z793">
        <v>3.6278834427725871E-2</v>
      </c>
      <c r="AB793" s="3">
        <f t="shared" si="132"/>
        <v>5.7208996641692073E-3</v>
      </c>
      <c r="AC793" s="3">
        <f t="shared" si="133"/>
        <v>5.4027646084418637E-3</v>
      </c>
      <c r="AD793" s="3">
        <f t="shared" si="134"/>
        <v>3.0789108179399907E-3</v>
      </c>
      <c r="AE793" s="76">
        <f t="shared" si="135"/>
        <v>4588.9047619047597</v>
      </c>
      <c r="AF793" s="76">
        <f t="shared" si="136"/>
        <v>1422.9880952380954</v>
      </c>
      <c r="AG793" s="76">
        <f t="shared" si="137"/>
        <v>2172.8563000421382</v>
      </c>
      <c r="AO793" s="5">
        <f t="shared" si="142"/>
        <v>-1.6506189821183011E-2</v>
      </c>
      <c r="AP793" s="5">
        <f t="shared" si="138"/>
        <v>0.33145472494513312</v>
      </c>
      <c r="AR793" s="5">
        <f t="shared" si="139"/>
        <v>1.9791443022992294E-3</v>
      </c>
      <c r="AS793" s="5">
        <f t="shared" si="140"/>
        <v>6.9141406972305641E-3</v>
      </c>
      <c r="AT793" s="5">
        <f t="shared" si="141"/>
        <v>2.6261058164485096E-3</v>
      </c>
    </row>
    <row r="794" spans="12:46" x14ac:dyDescent="0.25">
      <c r="L794" s="4">
        <v>44398.5</v>
      </c>
      <c r="M794">
        <v>51.17</v>
      </c>
      <c r="N794">
        <v>52.3</v>
      </c>
      <c r="O794">
        <v>50.89</v>
      </c>
      <c r="P794">
        <v>52.05</v>
      </c>
      <c r="Q794">
        <v>27695</v>
      </c>
      <c r="R794">
        <v>465710</v>
      </c>
      <c r="S794">
        <v>35.5</v>
      </c>
      <c r="T794">
        <v>36.200000000000003</v>
      </c>
      <c r="U794">
        <v>35.46</v>
      </c>
      <c r="V794">
        <v>35.948999999999998</v>
      </c>
      <c r="W794">
        <v>370</v>
      </c>
      <c r="X794">
        <v>2.6898130484547818E-2</v>
      </c>
      <c r="Y794">
        <v>-0.52239273523706875</v>
      </c>
      <c r="Z794">
        <v>-0.42779056820710426</v>
      </c>
      <c r="AB794" s="3">
        <f t="shared" si="132"/>
        <v>4.6357121283620503E-3</v>
      </c>
      <c r="AC794" s="3">
        <f t="shared" si="133"/>
        <v>4.2848511448238188E-3</v>
      </c>
      <c r="AD794" s="3">
        <f t="shared" si="134"/>
        <v>1.9503346941547525E-3</v>
      </c>
      <c r="AE794" s="76">
        <f t="shared" si="135"/>
        <v>4767.4761904761908</v>
      </c>
      <c r="AF794" s="76">
        <f t="shared" si="136"/>
        <v>1744.6607142857138</v>
      </c>
      <c r="AG794" s="76">
        <f t="shared" si="137"/>
        <v>2399.8027812895089</v>
      </c>
      <c r="AO794" s="5">
        <f t="shared" si="142"/>
        <v>7.722772277227734E-3</v>
      </c>
      <c r="AP794" s="5">
        <f t="shared" si="138"/>
        <v>0.33153837117357654</v>
      </c>
      <c r="AR794" s="5">
        <f t="shared" si="139"/>
        <v>1.453412275465138E-3</v>
      </c>
      <c r="AS794" s="5">
        <f t="shared" si="140"/>
        <v>6.540023724067312E-3</v>
      </c>
      <c r="AT794" s="5">
        <f t="shared" si="141"/>
        <v>2.2887406039189817E-3</v>
      </c>
    </row>
    <row r="795" spans="12:46" x14ac:dyDescent="0.25">
      <c r="L795" s="4">
        <v>44397.5</v>
      </c>
      <c r="M795">
        <v>52.42</v>
      </c>
      <c r="N795">
        <v>52.58</v>
      </c>
      <c r="O795">
        <v>50.5</v>
      </c>
      <c r="P795">
        <v>51.45</v>
      </c>
      <c r="Q795">
        <v>39356</v>
      </c>
      <c r="R795">
        <v>466126</v>
      </c>
      <c r="S795">
        <v>35.094999999999999</v>
      </c>
      <c r="T795">
        <v>35.314999999999998</v>
      </c>
      <c r="U795">
        <v>34.625</v>
      </c>
      <c r="V795">
        <v>35.164999999999999</v>
      </c>
      <c r="W795">
        <v>521</v>
      </c>
      <c r="X795">
        <v>3.9476181438603118E-2</v>
      </c>
      <c r="Y795">
        <v>0.2351565738221513</v>
      </c>
      <c r="Z795">
        <v>0.62410644475176369</v>
      </c>
      <c r="AB795" s="3">
        <f t="shared" si="132"/>
        <v>3.597468258919205E-3</v>
      </c>
      <c r="AC795" s="3">
        <f t="shared" si="133"/>
        <v>4.5846219733383375E-3</v>
      </c>
      <c r="AD795" s="3">
        <f t="shared" si="134"/>
        <v>1.7357092177350611E-3</v>
      </c>
      <c r="AE795" s="76">
        <f t="shared" si="135"/>
        <v>5029.2857142857138</v>
      </c>
      <c r="AF795" s="76">
        <f t="shared" si="136"/>
        <v>2176.6190476190495</v>
      </c>
      <c r="AG795" s="76">
        <f t="shared" si="137"/>
        <v>2388.5533080488858</v>
      </c>
      <c r="AO795" s="5">
        <f t="shared" si="142"/>
        <v>-2.8285549355397323E-2</v>
      </c>
      <c r="AP795" s="5">
        <f t="shared" si="138"/>
        <v>0.33215472182958072</v>
      </c>
      <c r="AR795" s="5">
        <f t="shared" si="139"/>
        <v>9.5052031727960173E-4</v>
      </c>
      <c r="AS795" s="5">
        <f t="shared" si="140"/>
        <v>6.1444311286635855E-3</v>
      </c>
      <c r="AT795" s="5">
        <f t="shared" si="141"/>
        <v>1.9738042185055704E-3</v>
      </c>
    </row>
    <row r="796" spans="12:46" x14ac:dyDescent="0.25">
      <c r="L796" s="4">
        <v>44396.5</v>
      </c>
      <c r="M796">
        <v>52.69</v>
      </c>
      <c r="N796">
        <v>53.97</v>
      </c>
      <c r="O796">
        <v>51.97</v>
      </c>
      <c r="P796">
        <v>52.5</v>
      </c>
      <c r="Q796">
        <v>26151</v>
      </c>
      <c r="R796">
        <v>468406</v>
      </c>
      <c r="S796">
        <v>36.450000000000003</v>
      </c>
      <c r="T796">
        <v>36.81</v>
      </c>
      <c r="U796">
        <v>35.615000000000002</v>
      </c>
      <c r="V796">
        <v>35.649000000000001</v>
      </c>
      <c r="W796">
        <v>421</v>
      </c>
      <c r="X796">
        <v>3.7821482602117998E-2</v>
      </c>
      <c r="Y796">
        <v>0.14336634324332462</v>
      </c>
      <c r="Z796">
        <v>-0.55280266617006191</v>
      </c>
      <c r="AB796" s="3">
        <f t="shared" si="132"/>
        <v>1.6564742472122002E-3</v>
      </c>
      <c r="AC796" s="3">
        <f t="shared" si="133"/>
        <v>4.1380772553993098E-3</v>
      </c>
      <c r="AD796" s="3">
        <f t="shared" si="134"/>
        <v>9.6500333019274021E-4</v>
      </c>
      <c r="AE796" s="76">
        <f t="shared" si="135"/>
        <v>3673.0952380952403</v>
      </c>
      <c r="AF796" s="76">
        <f t="shared" si="136"/>
        <v>1935.7619047619046</v>
      </c>
      <c r="AG796" s="76">
        <f t="shared" si="137"/>
        <v>1682.8782132321976</v>
      </c>
      <c r="AO796" s="5">
        <f t="shared" si="142"/>
        <v>-6.1197169630904623E-3</v>
      </c>
      <c r="AP796" s="5">
        <f t="shared" si="138"/>
        <v>0.33134031136251729</v>
      </c>
      <c r="AR796" s="5">
        <f t="shared" si="139"/>
        <v>4.4138810218768976E-4</v>
      </c>
      <c r="AS796" s="5">
        <f t="shared" si="140"/>
        <v>5.7411290844975871E-3</v>
      </c>
      <c r="AT796" s="5">
        <f t="shared" si="141"/>
        <v>1.6536479291476835E-3</v>
      </c>
    </row>
    <row r="797" spans="12:46" x14ac:dyDescent="0.25">
      <c r="L797" s="4">
        <v>44393.5</v>
      </c>
      <c r="M797">
        <v>52.88</v>
      </c>
      <c r="N797">
        <v>53.65</v>
      </c>
      <c r="O797">
        <v>52.29</v>
      </c>
      <c r="P797">
        <v>53.2</v>
      </c>
      <c r="Q797">
        <v>20240</v>
      </c>
      <c r="R797">
        <v>467555</v>
      </c>
      <c r="S797">
        <v>35.1</v>
      </c>
      <c r="T797">
        <v>35.524999999999999</v>
      </c>
      <c r="U797">
        <v>34.6</v>
      </c>
      <c r="V797">
        <v>34.841999999999999</v>
      </c>
      <c r="W797">
        <v>463</v>
      </c>
      <c r="X797">
        <v>2.5914634146341455E-2</v>
      </c>
      <c r="Y797">
        <v>-0.57086119250109102</v>
      </c>
      <c r="Z797">
        <v>-1.0758330170287691</v>
      </c>
      <c r="AB797" s="3">
        <f t="shared" si="132"/>
        <v>-1.4109739295551094E-3</v>
      </c>
      <c r="AC797" s="3">
        <f t="shared" si="133"/>
        <v>3.1470558093391332E-3</v>
      </c>
      <c r="AD797" s="3">
        <f t="shared" si="134"/>
        <v>-1.8959289084962555E-4</v>
      </c>
      <c r="AE797" s="76">
        <f t="shared" si="135"/>
        <v>1835.8095238095229</v>
      </c>
      <c r="AF797" s="76">
        <f t="shared" si="136"/>
        <v>1652.6666666666679</v>
      </c>
      <c r="AG797" s="76">
        <f t="shared" si="137"/>
        <v>1302.7867678044677</v>
      </c>
      <c r="AO797" s="5">
        <f t="shared" si="142"/>
        <v>7.902852737085516E-3</v>
      </c>
      <c r="AP797" s="5">
        <f t="shared" si="138"/>
        <v>0.33186589480979417</v>
      </c>
      <c r="AR797" s="5">
        <f t="shared" si="139"/>
        <v>4.1502118310277059E-5</v>
      </c>
      <c r="AS797" s="5">
        <f t="shared" si="140"/>
        <v>5.4036944876083015E-3</v>
      </c>
      <c r="AT797" s="5">
        <f t="shared" si="141"/>
        <v>1.4281567847657661E-3</v>
      </c>
    </row>
    <row r="798" spans="12:46" x14ac:dyDescent="0.25">
      <c r="L798" s="4">
        <v>44392.5</v>
      </c>
      <c r="M798">
        <v>52.48</v>
      </c>
      <c r="N798">
        <v>53.57</v>
      </c>
      <c r="O798">
        <v>51.88</v>
      </c>
      <c r="P798">
        <v>52.83</v>
      </c>
      <c r="Q798">
        <v>26930</v>
      </c>
      <c r="R798">
        <v>467062</v>
      </c>
      <c r="S798">
        <v>34.200000000000003</v>
      </c>
      <c r="T798">
        <v>34.604999999999997</v>
      </c>
      <c r="U798">
        <v>33.61</v>
      </c>
      <c r="V798">
        <v>33.796999999999997</v>
      </c>
      <c r="W798">
        <v>464</v>
      </c>
      <c r="X798">
        <v>3.1832736861932526E-2</v>
      </c>
      <c r="Y798">
        <v>-0.19641971815335244</v>
      </c>
      <c r="Z798">
        <v>-0.47016431828466676</v>
      </c>
      <c r="AB798" s="3">
        <f t="shared" si="132"/>
        <v>-4.4516960544370779E-3</v>
      </c>
      <c r="AC798" s="3">
        <f t="shared" si="133"/>
        <v>2.8975990518501638E-3</v>
      </c>
      <c r="AD798" s="3">
        <f t="shared" si="134"/>
        <v>-5.3556826924552881E-4</v>
      </c>
      <c r="AE798" s="76">
        <f t="shared" si="135"/>
        <v>-701.1428571428587</v>
      </c>
      <c r="AF798" s="76">
        <f t="shared" si="136"/>
        <v>1919.9166666666679</v>
      </c>
      <c r="AG798" s="76">
        <f t="shared" si="137"/>
        <v>1545.1142014327852</v>
      </c>
      <c r="AO798" s="5">
        <f t="shared" si="142"/>
        <v>4.6475600309837722E-3</v>
      </c>
      <c r="AP798" s="5">
        <f t="shared" si="138"/>
        <v>0.33248969425331909</v>
      </c>
      <c r="AR798" s="5">
        <f t="shared" si="139"/>
        <v>-3.581441590152501E-4</v>
      </c>
      <c r="AS798" s="5">
        <f t="shared" si="140"/>
        <v>5.0502747775661438E-3</v>
      </c>
      <c r="AT798" s="5">
        <f t="shared" si="141"/>
        <v>1.188669857196456E-3</v>
      </c>
    </row>
    <row r="799" spans="12:46" x14ac:dyDescent="0.25">
      <c r="L799" s="4">
        <v>44391.5</v>
      </c>
      <c r="M799">
        <v>53.09</v>
      </c>
      <c r="N799">
        <v>55.46</v>
      </c>
      <c r="O799">
        <v>51.64</v>
      </c>
      <c r="P799">
        <v>52.4</v>
      </c>
      <c r="Q799">
        <v>35709</v>
      </c>
      <c r="R799">
        <v>466622</v>
      </c>
      <c r="S799">
        <v>34.835000000000001</v>
      </c>
      <c r="T799">
        <v>35.174999999999997</v>
      </c>
      <c r="U799">
        <v>33.405000000000001</v>
      </c>
      <c r="V799">
        <v>34.774999999999999</v>
      </c>
      <c r="W799">
        <v>624</v>
      </c>
      <c r="X799">
        <v>7.3702488906038977E-2</v>
      </c>
      <c r="Y799">
        <v>2.3230983518980395</v>
      </c>
      <c r="Z799">
        <v>0.32356635659837663</v>
      </c>
      <c r="AB799" s="3">
        <f t="shared" si="132"/>
        <v>-6.3835312074004419E-3</v>
      </c>
      <c r="AC799" s="3">
        <f t="shared" si="133"/>
        <v>3.0042531509773748E-3</v>
      </c>
      <c r="AD799" s="3">
        <f t="shared" si="134"/>
        <v>-4.9772670712431438E-4</v>
      </c>
      <c r="AE799" s="76">
        <f t="shared" si="135"/>
        <v>-1151.0952380952367</v>
      </c>
      <c r="AF799" s="76">
        <f t="shared" si="136"/>
        <v>2466.6130952380954</v>
      </c>
      <c r="AG799" s="76">
        <f t="shared" si="137"/>
        <v>2058.3695743784228</v>
      </c>
      <c r="AO799" s="5">
        <f t="shared" si="142"/>
        <v>7.6097560975609867E-3</v>
      </c>
      <c r="AP799" s="5">
        <f t="shared" si="138"/>
        <v>0.33314791650308551</v>
      </c>
      <c r="AR799" s="5">
        <f t="shared" si="139"/>
        <v>-2.6553510024629468E-4</v>
      </c>
      <c r="AS799" s="5">
        <f t="shared" si="140"/>
        <v>4.6859730861417703E-3</v>
      </c>
      <c r="AT799" s="5">
        <f t="shared" si="141"/>
        <v>9.3698830641525399E-4</v>
      </c>
    </row>
    <row r="800" spans="12:46" x14ac:dyDescent="0.25">
      <c r="L800" s="4">
        <v>44390.5</v>
      </c>
      <c r="M800">
        <v>51.83</v>
      </c>
      <c r="N800">
        <v>53.3</v>
      </c>
      <c r="O800">
        <v>51.25</v>
      </c>
      <c r="P800">
        <v>53.11</v>
      </c>
      <c r="Q800">
        <v>26496</v>
      </c>
      <c r="R800">
        <v>465493</v>
      </c>
      <c r="S800">
        <v>34.305</v>
      </c>
      <c r="T800">
        <v>35.835000000000001</v>
      </c>
      <c r="U800">
        <v>34.145000000000003</v>
      </c>
      <c r="V800">
        <v>35.463000000000001</v>
      </c>
      <c r="W800">
        <v>939</v>
      </c>
      <c r="X800">
        <v>3.7801954637654386E-2</v>
      </c>
      <c r="Y800">
        <v>0.23640719410274486</v>
      </c>
      <c r="Z800">
        <v>-0.4830939508975598</v>
      </c>
      <c r="AB800" s="3">
        <f t="shared" si="132"/>
        <v>-8.2673641750242652E-3</v>
      </c>
      <c r="AC800" s="3">
        <f t="shared" si="133"/>
        <v>8.0903782924134082E-4</v>
      </c>
      <c r="AD800" s="3">
        <f t="shared" si="134"/>
        <v>-2.5771508618578909E-3</v>
      </c>
      <c r="AE800" s="76">
        <f t="shared" si="135"/>
        <v>-1066.3809523809505</v>
      </c>
      <c r="AF800" s="76">
        <f t="shared" si="136"/>
        <v>2837.25</v>
      </c>
      <c r="AG800" s="76">
        <f t="shared" si="137"/>
        <v>2255.1137800252836</v>
      </c>
      <c r="AO800" s="5">
        <f t="shared" si="142"/>
        <v>-4.8543689320388345E-3</v>
      </c>
      <c r="AP800" s="5">
        <f t="shared" si="138"/>
        <v>0.33378314666857262</v>
      </c>
      <c r="AR800" s="5">
        <f t="shared" si="139"/>
        <v>1.0039052119625858E-4</v>
      </c>
      <c r="AS800" s="5">
        <f t="shared" si="140"/>
        <v>4.3169910071431672E-3</v>
      </c>
      <c r="AT800" s="5">
        <f t="shared" si="141"/>
        <v>6.7747893736214149E-4</v>
      </c>
    </row>
    <row r="801" spans="12:46" x14ac:dyDescent="0.25">
      <c r="L801" s="4">
        <v>44389.5</v>
      </c>
      <c r="M801">
        <v>54.23</v>
      </c>
      <c r="N801">
        <v>54.25</v>
      </c>
      <c r="O801">
        <v>51.5</v>
      </c>
      <c r="P801">
        <v>51.83</v>
      </c>
      <c r="Q801">
        <v>31623</v>
      </c>
      <c r="R801">
        <v>466403</v>
      </c>
      <c r="S801">
        <v>35.234999999999999</v>
      </c>
      <c r="T801">
        <v>36.15</v>
      </c>
      <c r="U801">
        <v>34.395000000000003</v>
      </c>
      <c r="V801">
        <v>34.649000000000001</v>
      </c>
      <c r="W801">
        <v>1144</v>
      </c>
      <c r="X801">
        <v>5.220197418375095E-2</v>
      </c>
      <c r="Y801">
        <v>1.1394740773459691</v>
      </c>
      <c r="Z801">
        <v>-1.9500123821963668E-2</v>
      </c>
      <c r="AB801" s="3">
        <f t="shared" si="132"/>
        <v>-9.1564792213119847E-3</v>
      </c>
      <c r="AC801" s="3">
        <f t="shared" si="133"/>
        <v>2.9928468241098571E-4</v>
      </c>
      <c r="AD801" s="3">
        <f t="shared" si="134"/>
        <v>-2.8754284822737619E-3</v>
      </c>
      <c r="AE801" s="76">
        <f t="shared" si="135"/>
        <v>-1386.5238095238092</v>
      </c>
      <c r="AF801" s="76">
        <f t="shared" si="136"/>
        <v>2998.2202380952367</v>
      </c>
      <c r="AG801" s="76">
        <f t="shared" si="137"/>
        <v>2439.3784239359447</v>
      </c>
      <c r="AO801" s="5">
        <f t="shared" si="142"/>
        <v>-2.0726373835329975E-2</v>
      </c>
      <c r="AP801" s="5">
        <f t="shared" si="138"/>
        <v>0.33435626427788179</v>
      </c>
      <c r="AR801" s="5">
        <f t="shared" si="139"/>
        <v>3.4504731862017302E-4</v>
      </c>
      <c r="AS801" s="5">
        <f t="shared" si="140"/>
        <v>3.8632157206063278E-3</v>
      </c>
      <c r="AT801" s="5">
        <f t="shared" si="141"/>
        <v>3.604717254728218E-4</v>
      </c>
    </row>
    <row r="802" spans="12:46" x14ac:dyDescent="0.25">
      <c r="L802" s="4">
        <v>44386.5</v>
      </c>
      <c r="M802">
        <v>52.68</v>
      </c>
      <c r="N802">
        <v>54.45</v>
      </c>
      <c r="O802">
        <v>52.59</v>
      </c>
      <c r="P802">
        <v>54.13</v>
      </c>
      <c r="Q802">
        <v>29532</v>
      </c>
      <c r="R802">
        <v>468009</v>
      </c>
      <c r="S802">
        <v>35.840000000000003</v>
      </c>
      <c r="T802">
        <v>36.85</v>
      </c>
      <c r="U802">
        <v>35.564999999999998</v>
      </c>
      <c r="V802">
        <v>36.631999999999998</v>
      </c>
      <c r="W802">
        <v>660</v>
      </c>
      <c r="X802">
        <v>3.5294117647058809E-2</v>
      </c>
      <c r="Y802">
        <v>0.12230607467861931</v>
      </c>
      <c r="Z802">
        <v>-0.18405345034985912</v>
      </c>
      <c r="AB802" s="3">
        <f t="shared" si="132"/>
        <v>-1.0769215909594856E-2</v>
      </c>
      <c r="AC802" s="3">
        <f t="shared" si="133"/>
        <v>-1.2654146288367737E-3</v>
      </c>
      <c r="AD802" s="3">
        <f t="shared" si="134"/>
        <v>-4.0730138122563875E-3</v>
      </c>
      <c r="AE802" s="76">
        <f t="shared" si="135"/>
        <v>-2485.6190476190495</v>
      </c>
      <c r="AF802" s="76">
        <f t="shared" si="136"/>
        <v>2227.7738095238092</v>
      </c>
      <c r="AG802" s="76">
        <f t="shared" si="137"/>
        <v>2089.7475769068697</v>
      </c>
      <c r="AO802" s="5">
        <f t="shared" si="142"/>
        <v>3.3811676823275134E-2</v>
      </c>
      <c r="AP802" s="5">
        <f t="shared" si="138"/>
        <v>0.33416090064399956</v>
      </c>
      <c r="AR802" s="5">
        <f t="shared" si="139"/>
        <v>6.35637191877092E-4</v>
      </c>
      <c r="AS802" s="5">
        <f t="shared" si="140"/>
        <v>3.4149982460696671E-3</v>
      </c>
      <c r="AT802" s="5">
        <f t="shared" si="141"/>
        <v>4.294302717788856E-5</v>
      </c>
    </row>
    <row r="803" spans="12:46" x14ac:dyDescent="0.25">
      <c r="L803" s="4">
        <v>44385.5</v>
      </c>
      <c r="M803">
        <v>52.7</v>
      </c>
      <c r="N803">
        <v>53.25</v>
      </c>
      <c r="O803">
        <v>50.87</v>
      </c>
      <c r="P803">
        <v>52.8</v>
      </c>
      <c r="Q803">
        <v>47093</v>
      </c>
      <c r="R803">
        <v>467151</v>
      </c>
      <c r="S803">
        <v>32.29</v>
      </c>
      <c r="T803">
        <v>33.875</v>
      </c>
      <c r="U803">
        <v>31.47</v>
      </c>
      <c r="V803">
        <v>33.311999999999998</v>
      </c>
      <c r="W803">
        <v>1188</v>
      </c>
      <c r="X803">
        <v>4.4485981308411263E-2</v>
      </c>
      <c r="Y803">
        <v>0.70716188467305374</v>
      </c>
      <c r="Z803">
        <v>1.3571617097093169</v>
      </c>
      <c r="AB803" s="3">
        <f t="shared" si="132"/>
        <v>-1.2247673924935545E-2</v>
      </c>
      <c r="AC803" s="3">
        <f t="shared" si="133"/>
        <v>-1.6876924604226143E-3</v>
      </c>
      <c r="AD803" s="3">
        <f t="shared" si="134"/>
        <v>-4.750311887627548E-3</v>
      </c>
      <c r="AE803" s="76">
        <f t="shared" si="135"/>
        <v>-3715.1428571428587</v>
      </c>
      <c r="AF803" s="76">
        <f t="shared" si="136"/>
        <v>1995.0654761904771</v>
      </c>
      <c r="AG803" s="76">
        <f t="shared" si="137"/>
        <v>2047.8895912347252</v>
      </c>
      <c r="AO803" s="5">
        <f t="shared" si="142"/>
        <v>-2.9013170452376467E-2</v>
      </c>
      <c r="AP803" s="5">
        <f t="shared" si="138"/>
        <v>0.3334040862836577</v>
      </c>
      <c r="AR803" s="5">
        <f t="shared" si="139"/>
        <v>9.5643997061539698E-4</v>
      </c>
      <c r="AS803" s="5">
        <f t="shared" si="140"/>
        <v>3.0337794312547128E-3</v>
      </c>
      <c r="AT803" s="5">
        <f t="shared" si="141"/>
        <v>-2.4391002943585649E-4</v>
      </c>
    </row>
    <row r="804" spans="12:46" x14ac:dyDescent="0.25">
      <c r="L804" s="4">
        <v>44384.5</v>
      </c>
      <c r="M804">
        <v>53.5</v>
      </c>
      <c r="N804">
        <v>54.99</v>
      </c>
      <c r="O804">
        <v>52.39</v>
      </c>
      <c r="P804">
        <v>52.94</v>
      </c>
      <c r="Q804">
        <v>45097</v>
      </c>
      <c r="R804">
        <v>468939</v>
      </c>
      <c r="S804">
        <v>34.314999999999998</v>
      </c>
      <c r="T804">
        <v>36.229999999999997</v>
      </c>
      <c r="U804">
        <v>32.338000000000001</v>
      </c>
      <c r="V804">
        <v>32.338000000000001</v>
      </c>
      <c r="W804">
        <v>1153</v>
      </c>
      <c r="X804">
        <v>4.4812133746983819E-2</v>
      </c>
      <c r="Y804">
        <v>0.750938458965422</v>
      </c>
      <c r="Z804">
        <v>1.2263156256450012</v>
      </c>
      <c r="AB804" s="3">
        <f t="shared" si="132"/>
        <v>-1.2927698221334875E-2</v>
      </c>
      <c r="AC804" s="3">
        <f t="shared" si="133"/>
        <v>-2.1330016956197725E-3</v>
      </c>
      <c r="AD804" s="3">
        <f t="shared" si="134"/>
        <v>-5.1243939519138859E-3</v>
      </c>
      <c r="AE804" s="76">
        <f t="shared" si="135"/>
        <v>-4476.0000000000036</v>
      </c>
      <c r="AF804" s="76">
        <f t="shared" si="136"/>
        <v>1268.7083333333321</v>
      </c>
      <c r="AG804" s="76">
        <f t="shared" si="137"/>
        <v>1842.7530552043827</v>
      </c>
      <c r="AO804" s="5">
        <f t="shared" si="142"/>
        <v>3.6398467432949754E-3</v>
      </c>
      <c r="AP804" s="5">
        <f t="shared" si="138"/>
        <v>0.33248798714581024</v>
      </c>
      <c r="AR804" s="5">
        <f t="shared" si="139"/>
        <v>1.4231080074298408E-3</v>
      </c>
      <c r="AS804" s="5">
        <f t="shared" si="140"/>
        <v>2.7303315860786048E-3</v>
      </c>
      <c r="AT804" s="5">
        <f t="shared" si="141"/>
        <v>-4.5655028839791667E-4</v>
      </c>
    </row>
    <row r="805" spans="12:46" x14ac:dyDescent="0.25">
      <c r="L805" s="4">
        <v>44383.5</v>
      </c>
      <c r="M805">
        <v>58.02</v>
      </c>
      <c r="N805">
        <v>58.31</v>
      </c>
      <c r="O805">
        <v>52.2</v>
      </c>
      <c r="P805">
        <v>52.95</v>
      </c>
      <c r="Q805">
        <v>58431</v>
      </c>
      <c r="R805">
        <v>469832</v>
      </c>
      <c r="S805">
        <v>37.25</v>
      </c>
      <c r="T805">
        <v>38.365000000000002</v>
      </c>
      <c r="U805">
        <v>33.08</v>
      </c>
      <c r="V805">
        <v>34.104999999999997</v>
      </c>
      <c r="W805">
        <v>1434</v>
      </c>
      <c r="X805">
        <v>0.10620545802190161</v>
      </c>
      <c r="Y805">
        <v>4.5409935494003415</v>
      </c>
      <c r="Z805">
        <v>2.4610398395388118</v>
      </c>
      <c r="AB805" s="3">
        <f t="shared" si="132"/>
        <v>-1.4742868606806337E-2</v>
      </c>
      <c r="AC805" s="3">
        <f t="shared" si="133"/>
        <v>-3.3806048562843201E-3</v>
      </c>
      <c r="AD805" s="3">
        <f t="shared" si="134"/>
        <v>-6.2657693682763548E-3</v>
      </c>
      <c r="AE805" s="76">
        <f t="shared" si="135"/>
        <v>-5565.7142857142862</v>
      </c>
      <c r="AF805" s="76">
        <f t="shared" si="136"/>
        <v>608.35119047619082</v>
      </c>
      <c r="AG805" s="76">
        <f t="shared" si="137"/>
        <v>1328.5267593763165</v>
      </c>
      <c r="AO805" s="5">
        <f t="shared" si="142"/>
        <v>-9.0750740289148132E-2</v>
      </c>
      <c r="AP805" s="5">
        <f t="shared" si="138"/>
        <v>0.33316560540935958</v>
      </c>
      <c r="AR805" s="5">
        <f t="shared" si="139"/>
        <v>1.9448252232726615E-3</v>
      </c>
      <c r="AS805" s="5">
        <f t="shared" si="140"/>
        <v>2.4899228063860468E-3</v>
      </c>
      <c r="AT805" s="5">
        <f t="shared" si="141"/>
        <v>-6.1140686253091658E-4</v>
      </c>
    </row>
    <row r="806" spans="12:46" x14ac:dyDescent="0.25">
      <c r="L806" s="4">
        <v>44382.5</v>
      </c>
      <c r="M806">
        <v>57.53</v>
      </c>
      <c r="N806">
        <v>58.4</v>
      </c>
      <c r="O806">
        <v>57.41</v>
      </c>
      <c r="P806">
        <v>57.9</v>
      </c>
      <c r="Q806">
        <v>20982</v>
      </c>
      <c r="R806">
        <v>468165</v>
      </c>
      <c r="S806">
        <v>34.924999999999997</v>
      </c>
      <c r="T806">
        <v>36.869999999999997</v>
      </c>
      <c r="U806">
        <v>34.924999999999997</v>
      </c>
      <c r="V806">
        <v>35.826999999999998</v>
      </c>
      <c r="W806">
        <v>0</v>
      </c>
      <c r="X806">
        <v>1.7101399205389566E-2</v>
      </c>
      <c r="Y806">
        <v>-1.0481662560056813</v>
      </c>
      <c r="Z806">
        <v>-0.8175557183618537</v>
      </c>
      <c r="AB806" s="3">
        <f t="shared" si="132"/>
        <v>-1.6353578424967968E-2</v>
      </c>
      <c r="AC806" s="3">
        <f t="shared" si="133"/>
        <v>-5.4176011403026907E-3</v>
      </c>
      <c r="AD806" s="3">
        <f t="shared" si="134"/>
        <v>-8.6890958882341503E-3</v>
      </c>
      <c r="AE806" s="76">
        <f t="shared" si="135"/>
        <v>-8433.0000000000036</v>
      </c>
      <c r="AF806" s="76">
        <f t="shared" si="136"/>
        <v>-1758.3035714285725</v>
      </c>
      <c r="AG806" s="76">
        <f t="shared" si="137"/>
        <v>-771.90897597977164</v>
      </c>
      <c r="AO806" s="5">
        <f t="shared" si="142"/>
        <v>7.192982456140291E-3</v>
      </c>
      <c r="AP806" s="5">
        <f t="shared" si="138"/>
        <v>0.31983087480861189</v>
      </c>
      <c r="AR806" s="5">
        <f t="shared" si="139"/>
        <v>2.2441006305429778E-3</v>
      </c>
      <c r="AS806" s="5">
        <f t="shared" si="140"/>
        <v>2.0516085336187428E-3</v>
      </c>
      <c r="AT806" s="5">
        <f t="shared" si="141"/>
        <v>-9.416170090441045E-4</v>
      </c>
    </row>
    <row r="807" spans="12:46" x14ac:dyDescent="0.25">
      <c r="L807" s="4">
        <v>44379.5</v>
      </c>
      <c r="M807">
        <v>57.89</v>
      </c>
      <c r="N807">
        <v>58.41</v>
      </c>
      <c r="O807">
        <v>57</v>
      </c>
      <c r="P807">
        <v>57.51</v>
      </c>
      <c r="Q807">
        <v>23289</v>
      </c>
      <c r="R807">
        <v>466769</v>
      </c>
      <c r="S807">
        <v>34.924999999999997</v>
      </c>
      <c r="T807">
        <v>36.869999999999997</v>
      </c>
      <c r="U807">
        <v>34.924999999999997</v>
      </c>
      <c r="V807">
        <v>35.826999999999998</v>
      </c>
      <c r="W807">
        <v>1207</v>
      </c>
      <c r="X807">
        <v>2.4911660777385099E-2</v>
      </c>
      <c r="Y807">
        <v>-0.43224869035143221</v>
      </c>
      <c r="Z807">
        <v>-0.5568234905478302</v>
      </c>
      <c r="AB807" s="3">
        <f t="shared" si="132"/>
        <v>-1.4296322815033485E-2</v>
      </c>
      <c r="AC807" s="3">
        <f t="shared" si="133"/>
        <v>-4.0592949157291364E-3</v>
      </c>
      <c r="AD807" s="3">
        <f t="shared" si="134"/>
        <v>-7.2772778738942889E-3</v>
      </c>
      <c r="AE807" s="76">
        <f t="shared" si="135"/>
        <v>-7959.0952380952403</v>
      </c>
      <c r="AF807" s="76">
        <f t="shared" si="136"/>
        <v>-1133.5059523809541</v>
      </c>
      <c r="AG807" s="76">
        <f t="shared" si="137"/>
        <v>70.78466076695986</v>
      </c>
      <c r="AO807" s="5">
        <f t="shared" si="142"/>
        <v>7.4231177094379944E-3</v>
      </c>
      <c r="AP807" s="5">
        <f t="shared" si="138"/>
        <v>0.32046766735250265</v>
      </c>
      <c r="AR807" s="5">
        <f t="shared" si="139"/>
        <v>3.2101842483516774E-3</v>
      </c>
      <c r="AS807" s="5">
        <f t="shared" si="140"/>
        <v>2.3072755778723586E-3</v>
      </c>
      <c r="AT807" s="5">
        <f t="shared" si="141"/>
        <v>-5.9597128282523615E-4</v>
      </c>
    </row>
    <row r="808" spans="12:46" x14ac:dyDescent="0.25">
      <c r="L808" s="4">
        <v>44378.5</v>
      </c>
      <c r="M808">
        <v>56.6</v>
      </c>
      <c r="N808">
        <v>58.64</v>
      </c>
      <c r="O808">
        <v>56.58</v>
      </c>
      <c r="P808">
        <v>58.05</v>
      </c>
      <c r="Q808">
        <v>42837</v>
      </c>
      <c r="R808">
        <v>465310</v>
      </c>
      <c r="S808">
        <v>35.5</v>
      </c>
      <c r="T808">
        <v>36.954999999999998</v>
      </c>
      <c r="U808">
        <v>35.450000000000003</v>
      </c>
      <c r="V808">
        <v>36.143000000000001</v>
      </c>
      <c r="W808">
        <v>628</v>
      </c>
      <c r="X808">
        <v>3.7184115523465747E-2</v>
      </c>
      <c r="Y808">
        <v>0.45839906542423359</v>
      </c>
      <c r="Z808">
        <v>1.1027665242786717</v>
      </c>
      <c r="AB808" s="3">
        <f t="shared" si="132"/>
        <v>-1.1760951113897519E-2</v>
      </c>
      <c r="AC808" s="3">
        <f t="shared" si="133"/>
        <v>-2.657518954045892E-3</v>
      </c>
      <c r="AD808" s="3">
        <f t="shared" si="134"/>
        <v>-6.0399981785366659E-3</v>
      </c>
      <c r="AE808" s="76">
        <f t="shared" si="135"/>
        <v>-7445.952380952378</v>
      </c>
      <c r="AF808" s="76">
        <f t="shared" si="136"/>
        <v>-789.57738095238165</v>
      </c>
      <c r="AG808" s="76">
        <f t="shared" si="137"/>
        <v>723.72144964180552</v>
      </c>
      <c r="AO808" s="5">
        <f t="shared" si="142"/>
        <v>2.4628757696486769E-2</v>
      </c>
      <c r="AP808" s="5">
        <f t="shared" si="138"/>
        <v>0.32110550709029273</v>
      </c>
      <c r="AR808" s="5">
        <f t="shared" si="139"/>
        <v>4.1170732895442486E-3</v>
      </c>
      <c r="AS808" s="5">
        <f t="shared" si="140"/>
        <v>2.5183845093628143E-3</v>
      </c>
      <c r="AT808" s="5">
        <f t="shared" si="141"/>
        <v>-2.9316597074074968E-4</v>
      </c>
    </row>
    <row r="809" spans="12:46" x14ac:dyDescent="0.25">
      <c r="L809" s="4">
        <v>44377.5</v>
      </c>
      <c r="M809">
        <v>55.4</v>
      </c>
      <c r="N809">
        <v>56.68</v>
      </c>
      <c r="O809">
        <v>55.22</v>
      </c>
      <c r="P809">
        <v>56.68</v>
      </c>
      <c r="Q809">
        <v>29557</v>
      </c>
      <c r="R809">
        <v>461956</v>
      </c>
      <c r="S809">
        <v>33.875</v>
      </c>
      <c r="T809">
        <v>34.924999999999997</v>
      </c>
      <c r="U809">
        <v>33.74</v>
      </c>
      <c r="V809">
        <v>34.622</v>
      </c>
      <c r="W809">
        <v>1456</v>
      </c>
      <c r="X809">
        <v>2.6258992805755409E-2</v>
      </c>
      <c r="Y809">
        <v>-0.30423068528318253</v>
      </c>
      <c r="Z809">
        <v>1.4774820404730455E-2</v>
      </c>
      <c r="AB809" s="3">
        <f t="shared" si="132"/>
        <v>-1.2531016072072639E-2</v>
      </c>
      <c r="AC809" s="3">
        <f t="shared" si="133"/>
        <v>-3.0993194612459959E-3</v>
      </c>
      <c r="AD809" s="3">
        <f t="shared" si="134"/>
        <v>-6.4345248911686706E-3</v>
      </c>
      <c r="AE809" s="76">
        <f t="shared" si="135"/>
        <v>-8147.9047619047633</v>
      </c>
      <c r="AF809" s="76">
        <f t="shared" si="136"/>
        <v>-1682.4464285714312</v>
      </c>
      <c r="AG809" s="76">
        <f t="shared" si="137"/>
        <v>304.00505689001147</v>
      </c>
      <c r="AO809" s="5">
        <f t="shared" si="142"/>
        <v>2.1778584392014052E-3</v>
      </c>
      <c r="AP809" s="5">
        <f t="shared" si="138"/>
        <v>0.32104872427557324</v>
      </c>
      <c r="AR809" s="5">
        <f t="shared" si="139"/>
        <v>4.977645445767398E-3</v>
      </c>
      <c r="AS809" s="5">
        <f t="shared" si="140"/>
        <v>2.6958974488643372E-3</v>
      </c>
      <c r="AT809" s="5">
        <f t="shared" si="141"/>
        <v>-1.4850025761015129E-5</v>
      </c>
    </row>
    <row r="810" spans="12:46" x14ac:dyDescent="0.25">
      <c r="L810" s="4">
        <v>44376.5</v>
      </c>
      <c r="M810">
        <v>55.6</v>
      </c>
      <c r="N810">
        <v>56.2</v>
      </c>
      <c r="O810">
        <v>55.1</v>
      </c>
      <c r="P810">
        <v>55.38</v>
      </c>
      <c r="Q810">
        <v>25754</v>
      </c>
      <c r="R810">
        <v>460225</v>
      </c>
      <c r="S810">
        <v>32.854999999999997</v>
      </c>
      <c r="T810">
        <v>33.825000000000003</v>
      </c>
      <c r="U810">
        <v>32.854999999999997</v>
      </c>
      <c r="V810">
        <v>33.485999999999997</v>
      </c>
      <c r="W810">
        <v>0</v>
      </c>
      <c r="X810">
        <v>1.9909502262443465E-2</v>
      </c>
      <c r="Y810">
        <v>-0.74824788983524748</v>
      </c>
      <c r="Z810">
        <v>-0.30214589118174112</v>
      </c>
      <c r="AB810" s="3">
        <f t="shared" si="132"/>
        <v>-1.186437286227986E-2</v>
      </c>
      <c r="AC810" s="3">
        <f t="shared" si="133"/>
        <v>-2.8760236082601386E-3</v>
      </c>
      <c r="AD810" s="3">
        <f t="shared" si="134"/>
        <v>-6.1091424850788258E-3</v>
      </c>
      <c r="AE810" s="76">
        <f t="shared" si="135"/>
        <v>-8001.0000000000036</v>
      </c>
      <c r="AF810" s="76">
        <f t="shared" si="136"/>
        <v>-2308.0416666666679</v>
      </c>
      <c r="AG810" s="76">
        <f t="shared" si="137"/>
        <v>146.6911083017294</v>
      </c>
      <c r="AO810" s="5">
        <f t="shared" si="142"/>
        <v>9.5272993770612515E-3</v>
      </c>
      <c r="AP810" s="5">
        <f t="shared" si="138"/>
        <v>0.32171395872622588</v>
      </c>
      <c r="AR810" s="5">
        <f t="shared" si="139"/>
        <v>5.8212972453219325E-3</v>
      </c>
      <c r="AS810" s="5">
        <f t="shared" si="140"/>
        <v>2.8698333120930619E-3</v>
      </c>
      <c r="AT810" s="5">
        <f t="shared" si="141"/>
        <v>2.5399842891404845E-4</v>
      </c>
    </row>
    <row r="811" spans="12:46" x14ac:dyDescent="0.25">
      <c r="L811" s="4">
        <v>44375.5</v>
      </c>
      <c r="M811">
        <v>55.25</v>
      </c>
      <c r="N811">
        <v>55.94</v>
      </c>
      <c r="O811">
        <v>54.58</v>
      </c>
      <c r="P811">
        <v>55.48</v>
      </c>
      <c r="Q811">
        <v>29641</v>
      </c>
      <c r="R811">
        <v>457533</v>
      </c>
      <c r="S811">
        <v>32.1</v>
      </c>
      <c r="T811">
        <v>32.380000000000003</v>
      </c>
      <c r="U811">
        <v>31.75</v>
      </c>
      <c r="V811">
        <v>32.289000000000001</v>
      </c>
      <c r="W811">
        <v>787</v>
      </c>
      <c r="X811">
        <v>2.4642145316180458E-2</v>
      </c>
      <c r="Y811">
        <v>-0.4186726819601837</v>
      </c>
      <c r="Z811">
        <v>3.3105182132970631E-2</v>
      </c>
      <c r="AB811" s="3">
        <f t="shared" si="132"/>
        <v>-1.3123572196949779E-2</v>
      </c>
      <c r="AC811" s="3">
        <f t="shared" si="133"/>
        <v>-3.4340029649583166E-3</v>
      </c>
      <c r="AD811" s="3">
        <f t="shared" si="134"/>
        <v>-6.4865736845423107E-3</v>
      </c>
      <c r="AE811" s="76">
        <f t="shared" si="135"/>
        <v>-10194.047619047615</v>
      </c>
      <c r="AF811" s="76">
        <f t="shared" si="136"/>
        <v>-3638.7142857142826</v>
      </c>
      <c r="AG811" s="76">
        <f t="shared" si="137"/>
        <v>-816.40581542351356</v>
      </c>
      <c r="AO811" s="5">
        <f t="shared" si="142"/>
        <v>-5.1039008384980156E-3</v>
      </c>
      <c r="AP811" s="5">
        <f t="shared" si="138"/>
        <v>0.32232700712732015</v>
      </c>
      <c r="AR811" s="5">
        <f t="shared" si="139"/>
        <v>6.7076861493683415E-3</v>
      </c>
      <c r="AS811" s="5">
        <f t="shared" si="140"/>
        <v>3.0437370001566988E-3</v>
      </c>
      <c r="AT811" s="5">
        <f t="shared" si="141"/>
        <v>5.338465310537055E-4</v>
      </c>
    </row>
    <row r="812" spans="12:46" x14ac:dyDescent="0.25">
      <c r="L812" s="4">
        <v>44372.5</v>
      </c>
      <c r="M812">
        <v>55.19</v>
      </c>
      <c r="N812">
        <v>55.82</v>
      </c>
      <c r="O812">
        <v>54.86</v>
      </c>
      <c r="P812">
        <v>55.23</v>
      </c>
      <c r="Q812">
        <v>30705</v>
      </c>
      <c r="R812">
        <v>454896</v>
      </c>
      <c r="S812">
        <v>31.95</v>
      </c>
      <c r="T812">
        <v>32.4</v>
      </c>
      <c r="U812">
        <v>31.95</v>
      </c>
      <c r="V812">
        <v>32.384999999999998</v>
      </c>
      <c r="W812">
        <v>548</v>
      </c>
      <c r="X812">
        <v>1.7566331198536154E-2</v>
      </c>
      <c r="Y812">
        <v>-0.93801217062531295</v>
      </c>
      <c r="Z812">
        <v>0.12940348474823829</v>
      </c>
      <c r="AB812" s="3">
        <f t="shared" si="132"/>
        <v>-1.1446591506042204E-2</v>
      </c>
      <c r="AC812" s="3">
        <f t="shared" si="133"/>
        <v>-2.6359001007993411E-3</v>
      </c>
      <c r="AD812" s="3">
        <f t="shared" si="134"/>
        <v>-5.6074221457432898E-3</v>
      </c>
      <c r="AE812" s="76">
        <f t="shared" si="135"/>
        <v>-9725.3333333333285</v>
      </c>
      <c r="AF812" s="76">
        <f t="shared" si="136"/>
        <v>-3808.7976190476184</v>
      </c>
      <c r="AG812" s="76">
        <f t="shared" si="137"/>
        <v>-551.91108301727581</v>
      </c>
      <c r="AO812" s="5">
        <f t="shared" si="142"/>
        <v>1.0685335298452437E-2</v>
      </c>
      <c r="AP812" s="5">
        <f t="shared" si="138"/>
        <v>0.32288177097688314</v>
      </c>
      <c r="AR812" s="5">
        <f t="shared" si="139"/>
        <v>7.5555341337001924E-3</v>
      </c>
      <c r="AS812" s="5">
        <f t="shared" si="140"/>
        <v>3.1886707243756196E-3</v>
      </c>
      <c r="AT812" s="5">
        <f t="shared" si="141"/>
        <v>7.930143115748578E-4</v>
      </c>
    </row>
    <row r="813" spans="12:46" x14ac:dyDescent="0.25">
      <c r="L813" s="4">
        <v>44371.5</v>
      </c>
      <c r="M813">
        <v>54.65</v>
      </c>
      <c r="N813">
        <v>55.35</v>
      </c>
      <c r="O813">
        <v>54.28</v>
      </c>
      <c r="P813">
        <v>55</v>
      </c>
      <c r="Q813">
        <v>28892</v>
      </c>
      <c r="R813">
        <v>450029</v>
      </c>
      <c r="S813">
        <v>31.55</v>
      </c>
      <c r="T813">
        <v>32.024999999999999</v>
      </c>
      <c r="U813">
        <v>31.41</v>
      </c>
      <c r="V813">
        <v>32.015000000000001</v>
      </c>
      <c r="W813">
        <v>949</v>
      </c>
      <c r="X813">
        <v>1.9962686567164184E-2</v>
      </c>
      <c r="Y813">
        <v>-0.79453955617664818</v>
      </c>
      <c r="Z813">
        <v>-4.0645482590602126E-2</v>
      </c>
      <c r="AB813" s="3">
        <f t="shared" si="132"/>
        <v>-8.6016837383145195E-3</v>
      </c>
      <c r="AC813" s="3">
        <f t="shared" si="133"/>
        <v>-7.839496539505178E-4</v>
      </c>
      <c r="AD813" s="3">
        <f t="shared" si="134"/>
        <v>-3.9424489654106346E-3</v>
      </c>
      <c r="AE813" s="76">
        <f t="shared" si="135"/>
        <v>-9606</v>
      </c>
      <c r="AF813" s="76">
        <f t="shared" si="136"/>
        <v>-3818.8928571428551</v>
      </c>
      <c r="AG813" s="76">
        <f t="shared" si="137"/>
        <v>-355.88116308470126</v>
      </c>
      <c r="AO813" s="5">
        <f t="shared" si="142"/>
        <v>1.4579439252336469E-2</v>
      </c>
      <c r="AP813" s="5">
        <f t="shared" si="138"/>
        <v>0.32347774134563906</v>
      </c>
      <c r="AR813" s="5">
        <f t="shared" si="139"/>
        <v>8.3616979652348378E-3</v>
      </c>
      <c r="AS813" s="5">
        <f t="shared" si="140"/>
        <v>3.3051805226410602E-3</v>
      </c>
      <c r="AT813" s="5">
        <f t="shared" si="141"/>
        <v>1.0387930947127755E-3</v>
      </c>
    </row>
    <row r="814" spans="12:46" x14ac:dyDescent="0.25">
      <c r="L814" s="4">
        <v>44370.5</v>
      </c>
      <c r="M814">
        <v>53.6</v>
      </c>
      <c r="N814">
        <v>54.85</v>
      </c>
      <c r="O814">
        <v>53.5</v>
      </c>
      <c r="P814">
        <v>54.48</v>
      </c>
      <c r="Q814">
        <v>36673</v>
      </c>
      <c r="R814">
        <v>448386</v>
      </c>
      <c r="S814">
        <v>31.35</v>
      </c>
      <c r="T814">
        <v>31.684999999999999</v>
      </c>
      <c r="U814">
        <v>30.565000000000001</v>
      </c>
      <c r="V814">
        <v>31.545000000000002</v>
      </c>
      <c r="W814">
        <v>551</v>
      </c>
      <c r="X814">
        <v>2.5680045653414522E-2</v>
      </c>
      <c r="Y814">
        <v>-0.41382712394820542</v>
      </c>
      <c r="Z814">
        <v>0.59764378993731071</v>
      </c>
      <c r="AB814" s="3">
        <f t="shared" si="132"/>
        <v>-7.3448928457515161E-3</v>
      </c>
      <c r="AC814" s="3">
        <f t="shared" si="133"/>
        <v>2.3231095786391265E-5</v>
      </c>
      <c r="AD814" s="3">
        <f t="shared" si="134"/>
        <v>-3.0005098553176415E-3</v>
      </c>
      <c r="AE814" s="76">
        <f t="shared" si="135"/>
        <v>-9330.2380952380954</v>
      </c>
      <c r="AF814" s="76">
        <f t="shared" si="136"/>
        <v>-3772.8452380952367</v>
      </c>
      <c r="AG814" s="76">
        <f t="shared" si="137"/>
        <v>-65.844922039610537</v>
      </c>
      <c r="AO814" s="5">
        <f t="shared" si="142"/>
        <v>2.4119448698315428E-2</v>
      </c>
      <c r="AP814" s="5">
        <f t="shared" si="138"/>
        <v>0.32395924202689069</v>
      </c>
      <c r="AR814" s="5">
        <f t="shared" si="139"/>
        <v>8.9906315121031088E-3</v>
      </c>
      <c r="AS814" s="5">
        <f t="shared" si="140"/>
        <v>3.3318595503765702E-3</v>
      </c>
      <c r="AT814" s="5">
        <f t="shared" si="141"/>
        <v>1.2056404779843266E-3</v>
      </c>
    </row>
    <row r="815" spans="12:46" x14ac:dyDescent="0.25">
      <c r="L815" s="4">
        <v>44369.5</v>
      </c>
      <c r="M815">
        <v>52.57</v>
      </c>
      <c r="N815">
        <v>53.49</v>
      </c>
      <c r="O815">
        <v>52.24</v>
      </c>
      <c r="P815">
        <v>53.45</v>
      </c>
      <c r="Q815">
        <v>26739</v>
      </c>
      <c r="R815">
        <v>450149</v>
      </c>
      <c r="S815">
        <v>30.05</v>
      </c>
      <c r="T815">
        <v>30.835000000000001</v>
      </c>
      <c r="U815">
        <v>29.99</v>
      </c>
      <c r="V815">
        <v>30.734999999999999</v>
      </c>
      <c r="W815">
        <v>591</v>
      </c>
      <c r="X815">
        <v>2.414059482425647E-2</v>
      </c>
      <c r="Y815">
        <v>-0.5188193706918357</v>
      </c>
      <c r="Z815">
        <v>-0.23548534036312679</v>
      </c>
      <c r="AB815" s="3">
        <f t="shared" si="132"/>
        <v>-6.5371620111151774E-3</v>
      </c>
      <c r="AC815" s="3">
        <f t="shared" si="133"/>
        <v>2.6045495346174036E-4</v>
      </c>
      <c r="AD815" s="3">
        <f t="shared" si="134"/>
        <v>-2.7567024806174761E-3</v>
      </c>
      <c r="AE815" s="76">
        <f t="shared" si="135"/>
        <v>-8724.6190476190495</v>
      </c>
      <c r="AF815" s="76">
        <f t="shared" si="136"/>
        <v>-3493.0654761904771</v>
      </c>
      <c r="AG815" s="76">
        <f t="shared" si="137"/>
        <v>51.609776654026064</v>
      </c>
      <c r="AO815" s="5">
        <f t="shared" si="142"/>
        <v>1.220693664018606E-2</v>
      </c>
      <c r="AP815" s="5">
        <f t="shared" si="138"/>
        <v>0.3239386319959241</v>
      </c>
      <c r="AR815" s="5">
        <f t="shared" si="139"/>
        <v>9.6490182166010796E-3</v>
      </c>
      <c r="AS815" s="5">
        <f t="shared" si="140"/>
        <v>3.3749363212016159E-3</v>
      </c>
      <c r="AT815" s="5">
        <f t="shared" si="141"/>
        <v>1.3978823718316935E-3</v>
      </c>
    </row>
    <row r="816" spans="12:46" x14ac:dyDescent="0.25">
      <c r="L816" s="4">
        <v>44368.5</v>
      </c>
      <c r="M816">
        <v>51.78</v>
      </c>
      <c r="N816">
        <v>52.99</v>
      </c>
      <c r="O816">
        <v>51.61</v>
      </c>
      <c r="P816">
        <v>52.36</v>
      </c>
      <c r="Q816">
        <v>24944</v>
      </c>
      <c r="R816">
        <v>449101</v>
      </c>
      <c r="S816">
        <v>29.97</v>
      </c>
      <c r="T816">
        <v>30.2</v>
      </c>
      <c r="U816">
        <v>29.305</v>
      </c>
      <c r="V816">
        <v>29.614999999999998</v>
      </c>
      <c r="W816">
        <v>698</v>
      </c>
      <c r="X816">
        <v>2.6895342038589017E-2</v>
      </c>
      <c r="Y816">
        <v>-0.33728620357568739</v>
      </c>
      <c r="Z816">
        <v>-0.38088120903668005</v>
      </c>
      <c r="AB816" s="3">
        <f t="shared" si="132"/>
        <v>-4.7976466694113346E-3</v>
      </c>
      <c r="AC816" s="3">
        <f t="shared" si="133"/>
        <v>1.2868835734019535E-3</v>
      </c>
      <c r="AD816" s="3">
        <f t="shared" si="134"/>
        <v>-1.7758984105725045E-3</v>
      </c>
      <c r="AE816" s="76">
        <f t="shared" si="135"/>
        <v>-9590.1428571428551</v>
      </c>
      <c r="AF816" s="76">
        <f t="shared" si="136"/>
        <v>-3955.5595238095229</v>
      </c>
      <c r="AG816" s="76">
        <f t="shared" si="137"/>
        <v>-288.85630004213817</v>
      </c>
      <c r="AO816" s="5">
        <f t="shared" si="142"/>
        <v>8.0078124999999334E-3</v>
      </c>
      <c r="AP816" s="5">
        <f t="shared" si="138"/>
        <v>0.3244998239248561</v>
      </c>
      <c r="AR816" s="5">
        <f t="shared" si="139"/>
        <v>1.0229530184164337E-2</v>
      </c>
      <c r="AS816" s="5">
        <f t="shared" si="140"/>
        <v>3.3665868197159665E-3</v>
      </c>
      <c r="AT816" s="5">
        <f t="shared" si="141"/>
        <v>1.5427761252375105E-3</v>
      </c>
    </row>
    <row r="817" spans="12:46" x14ac:dyDescent="0.25">
      <c r="L817" s="4">
        <v>44365.5</v>
      </c>
      <c r="M817">
        <v>51.31</v>
      </c>
      <c r="N817">
        <v>52.09</v>
      </c>
      <c r="O817">
        <v>51.2</v>
      </c>
      <c r="P817">
        <v>52</v>
      </c>
      <c r="Q817">
        <v>19354</v>
      </c>
      <c r="R817">
        <v>449389</v>
      </c>
      <c r="S817">
        <v>28.934999999999999</v>
      </c>
      <c r="T817">
        <v>29.61</v>
      </c>
      <c r="U817">
        <v>28.8</v>
      </c>
      <c r="V817">
        <v>29.405000000000001</v>
      </c>
      <c r="W817">
        <v>604</v>
      </c>
      <c r="X817">
        <v>1.7420238794284604E-2</v>
      </c>
      <c r="Y817">
        <v>-1.016312514814238</v>
      </c>
      <c r="Z817">
        <v>-0.84068149846020312</v>
      </c>
      <c r="AB817" s="3">
        <f t="shared" si="132"/>
        <v>-2.1135265341081719E-3</v>
      </c>
      <c r="AC817" s="3">
        <f t="shared" si="133"/>
        <v>2.7843102745566464E-3</v>
      </c>
      <c r="AD817" s="3">
        <f t="shared" si="134"/>
        <v>-3.7573902233027645E-4</v>
      </c>
      <c r="AE817" s="76">
        <f t="shared" si="135"/>
        <v>-8882.2380952380954</v>
      </c>
      <c r="AF817" s="76">
        <f t="shared" si="136"/>
        <v>-3154.4404761904771</v>
      </c>
      <c r="AG817" s="76">
        <f t="shared" si="137"/>
        <v>515.06616097766528</v>
      </c>
      <c r="AO817" s="5">
        <f t="shared" si="142"/>
        <v>1.6881827209533296E-2</v>
      </c>
      <c r="AP817" s="5">
        <f t="shared" si="138"/>
        <v>0.32515884756516056</v>
      </c>
      <c r="AR817" s="5">
        <f t="shared" si="139"/>
        <v>1.0806628278992592E-2</v>
      </c>
      <c r="AS817" s="5">
        <f t="shared" si="140"/>
        <v>3.3858894345095703E-3</v>
      </c>
      <c r="AT817" s="5">
        <f t="shared" si="141"/>
        <v>1.6889125336133626E-3</v>
      </c>
    </row>
    <row r="818" spans="12:46" x14ac:dyDescent="0.25">
      <c r="L818" s="4">
        <v>44364.5</v>
      </c>
      <c r="M818">
        <v>51.09</v>
      </c>
      <c r="N818">
        <v>51.4</v>
      </c>
      <c r="O818">
        <v>50.35</v>
      </c>
      <c r="P818">
        <v>51.22</v>
      </c>
      <c r="Q818">
        <v>23747</v>
      </c>
      <c r="R818">
        <v>449493</v>
      </c>
      <c r="S818">
        <v>27.8</v>
      </c>
      <c r="T818">
        <v>28.67</v>
      </c>
      <c r="U818">
        <v>27.7</v>
      </c>
      <c r="V818">
        <v>28.31</v>
      </c>
      <c r="W818">
        <v>1079</v>
      </c>
      <c r="X818">
        <v>2.0428015564202279E-2</v>
      </c>
      <c r="Y818">
        <v>-0.8174397224526706</v>
      </c>
      <c r="Z818">
        <v>-0.50220263359191375</v>
      </c>
      <c r="AB818" s="3">
        <f t="shared" si="132"/>
        <v>1.0527819043490219E-3</v>
      </c>
      <c r="AC818" s="3">
        <f t="shared" si="133"/>
        <v>5.3300885465641344E-3</v>
      </c>
      <c r="AD818" s="3">
        <f t="shared" si="134"/>
        <v>1.9592359094876485E-3</v>
      </c>
      <c r="AE818" s="76">
        <f t="shared" si="135"/>
        <v>-6770.4761904761908</v>
      </c>
      <c r="AF818" s="76">
        <f t="shared" si="136"/>
        <v>-1172.1964285714275</v>
      </c>
      <c r="AG818" s="76">
        <f t="shared" si="137"/>
        <v>2389.2250316055652</v>
      </c>
      <c r="AO818" s="5">
        <f t="shared" si="142"/>
        <v>-7.88177339901475E-3</v>
      </c>
      <c r="AP818" s="5">
        <f t="shared" si="138"/>
        <v>0.32555030233160209</v>
      </c>
      <c r="AR818" s="5">
        <f t="shared" si="139"/>
        <v>1.1370515262905223E-2</v>
      </c>
      <c r="AS818" s="5">
        <f t="shared" si="140"/>
        <v>3.3539530472302959E-3</v>
      </c>
      <c r="AT818" s="5">
        <f t="shared" si="141"/>
        <v>1.7888693837819214E-3</v>
      </c>
    </row>
    <row r="819" spans="12:46" x14ac:dyDescent="0.25">
      <c r="L819" s="4">
        <v>44363.5</v>
      </c>
      <c r="M819">
        <v>51.4</v>
      </c>
      <c r="N819">
        <v>52.42</v>
      </c>
      <c r="O819">
        <v>50.75</v>
      </c>
      <c r="P819">
        <v>51.1</v>
      </c>
      <c r="Q819">
        <v>35075</v>
      </c>
      <c r="R819">
        <v>449185</v>
      </c>
      <c r="S819">
        <v>28</v>
      </c>
      <c r="T819">
        <v>28.774999999999999</v>
      </c>
      <c r="U819">
        <v>27.74</v>
      </c>
      <c r="V819">
        <v>28.03</v>
      </c>
      <c r="W819">
        <v>1296</v>
      </c>
      <c r="X819">
        <v>3.1730951928557891E-2</v>
      </c>
      <c r="Y819">
        <v>-2.6745409096399692E-2</v>
      </c>
      <c r="Z819">
        <v>0.41022145741336186</v>
      </c>
      <c r="AB819" s="3">
        <f t="shared" si="132"/>
        <v>6.1895739785175902E-3</v>
      </c>
      <c r="AC819" s="3">
        <f t="shared" si="133"/>
        <v>8.7439597419755599E-3</v>
      </c>
      <c r="AD819" s="3">
        <f t="shared" si="134"/>
        <v>5.1379399288968633E-3</v>
      </c>
      <c r="AE819" s="76">
        <f t="shared" si="135"/>
        <v>-1698.7142857142826</v>
      </c>
      <c r="AF819" s="76">
        <f t="shared" si="136"/>
        <v>2502.7380952380954</v>
      </c>
      <c r="AG819" s="76">
        <f t="shared" si="137"/>
        <v>5610.1597134428994</v>
      </c>
      <c r="AO819" s="5">
        <f t="shared" si="142"/>
        <v>-5.8765915768853507E-3</v>
      </c>
      <c r="AP819" s="5">
        <f t="shared" si="138"/>
        <v>0.32604608769351301</v>
      </c>
      <c r="AR819" s="5">
        <f t="shared" si="139"/>
        <v>1.1928853071502876E-2</v>
      </c>
      <c r="AS819" s="5">
        <f t="shared" si="140"/>
        <v>3.3016333513372631E-3</v>
      </c>
      <c r="AT819" s="5">
        <f t="shared" si="141"/>
        <v>1.8696621525230439E-3</v>
      </c>
    </row>
    <row r="820" spans="12:46" x14ac:dyDescent="0.25">
      <c r="L820" s="4">
        <v>44362.5</v>
      </c>
      <c r="M820">
        <v>52.63</v>
      </c>
      <c r="N820">
        <v>52.65</v>
      </c>
      <c r="O820">
        <v>51.05</v>
      </c>
      <c r="P820">
        <v>51.39</v>
      </c>
      <c r="Q820">
        <v>37153</v>
      </c>
      <c r="R820">
        <v>450706</v>
      </c>
      <c r="S820">
        <v>28.3</v>
      </c>
      <c r="T820">
        <v>28.704999999999998</v>
      </c>
      <c r="U820">
        <v>27.91</v>
      </c>
      <c r="V820">
        <v>28.135000000000002</v>
      </c>
      <c r="W820">
        <v>1007</v>
      </c>
      <c r="X820">
        <v>3.0245746691871484E-2</v>
      </c>
      <c r="Y820">
        <v>-0.13546932669636053</v>
      </c>
      <c r="Z820">
        <v>0.5706013412262112</v>
      </c>
      <c r="AB820" s="3">
        <f t="shared" si="132"/>
        <v>1.0374797012398313E-2</v>
      </c>
      <c r="AC820" s="3">
        <f t="shared" si="133"/>
        <v>1.1412919658805691E-2</v>
      </c>
      <c r="AD820" s="3">
        <f t="shared" si="134"/>
        <v>7.290287192637239E-3</v>
      </c>
      <c r="AE820" s="76">
        <f t="shared" si="135"/>
        <v>452.04761904761472</v>
      </c>
      <c r="AF820" s="76">
        <f t="shared" si="136"/>
        <v>3907.1011904761872</v>
      </c>
      <c r="AG820" s="76">
        <f t="shared" si="137"/>
        <v>6543.225874420561</v>
      </c>
      <c r="AO820" s="5">
        <f t="shared" si="142"/>
        <v>-2.5205270192858512E-2</v>
      </c>
      <c r="AP820" s="5">
        <f t="shared" si="138"/>
        <v>0.32661237097510398</v>
      </c>
      <c r="AR820" s="5">
        <f t="shared" si="139"/>
        <v>1.1474610308978395E-2</v>
      </c>
      <c r="AS820" s="5">
        <f t="shared" si="140"/>
        <v>2.5567752423092394E-3</v>
      </c>
      <c r="AT820" s="5">
        <f t="shared" si="141"/>
        <v>1.3639728949375596E-3</v>
      </c>
    </row>
    <row r="821" spans="12:46" x14ac:dyDescent="0.25">
      <c r="L821" s="4">
        <v>44361.5</v>
      </c>
      <c r="M821">
        <v>52.9</v>
      </c>
      <c r="N821">
        <v>53.99</v>
      </c>
      <c r="O821">
        <v>52.37</v>
      </c>
      <c r="P821">
        <v>52.56</v>
      </c>
      <c r="Q821">
        <v>28328</v>
      </c>
      <c r="R821">
        <v>451486</v>
      </c>
      <c r="S821">
        <v>29.1</v>
      </c>
      <c r="T821">
        <v>29.315000000000001</v>
      </c>
      <c r="U821">
        <v>28.574999999999999</v>
      </c>
      <c r="V821">
        <v>28.81</v>
      </c>
      <c r="W821">
        <v>862</v>
      </c>
      <c r="X821">
        <v>3.0681818181818268E-2</v>
      </c>
      <c r="Y821">
        <v>-9.9167302204618196E-2</v>
      </c>
      <c r="Z821">
        <v>-0.15225154207341335</v>
      </c>
      <c r="AB821" s="3">
        <f t="shared" si="132"/>
        <v>1.0791385527969256E-2</v>
      </c>
      <c r="AC821" s="3">
        <f t="shared" si="133"/>
        <v>1.1300181350982326E-2</v>
      </c>
      <c r="AD821" s="3">
        <f t="shared" si="134"/>
        <v>7.1492621014799251E-3</v>
      </c>
      <c r="AE821" s="76">
        <f t="shared" si="135"/>
        <v>1179.1904761904734</v>
      </c>
      <c r="AF821" s="76">
        <f t="shared" si="136"/>
        <v>4064.6309523809505</v>
      </c>
      <c r="AG821" s="76">
        <f t="shared" si="137"/>
        <v>6511.6982722292414</v>
      </c>
      <c r="AO821" s="5">
        <f t="shared" si="142"/>
        <v>-1.9091256204668033E-4</v>
      </c>
      <c r="AP821" s="5">
        <f t="shared" si="138"/>
        <v>0.32594645010168433</v>
      </c>
      <c r="AR821" s="5">
        <f t="shared" si="139"/>
        <v>1.046953986685295E-2</v>
      </c>
      <c r="AS821" s="5">
        <f t="shared" si="140"/>
        <v>1.4229483894943606E-3</v>
      </c>
      <c r="AT821" s="5">
        <f t="shared" si="141"/>
        <v>5.1887569477748752E-4</v>
      </c>
    </row>
    <row r="822" spans="12:46" x14ac:dyDescent="0.25">
      <c r="L822" s="4">
        <v>44358.5</v>
      </c>
      <c r="M822">
        <v>52.8</v>
      </c>
      <c r="N822">
        <v>53.85</v>
      </c>
      <c r="O822">
        <v>52.38</v>
      </c>
      <c r="P822">
        <v>52.7</v>
      </c>
      <c r="Q822">
        <v>23511</v>
      </c>
      <c r="R822">
        <v>449985</v>
      </c>
      <c r="S822">
        <v>28.5</v>
      </c>
      <c r="T822">
        <v>28.594999999999999</v>
      </c>
      <c r="U822">
        <v>27.7</v>
      </c>
      <c r="V822">
        <v>27.844999999999999</v>
      </c>
      <c r="W822">
        <v>458</v>
      </c>
      <c r="X822">
        <v>2.760563380281688E-2</v>
      </c>
      <c r="Y822">
        <v>-0.32054799032501691</v>
      </c>
      <c r="Z822">
        <v>-0.54411190473602766</v>
      </c>
      <c r="AB822" s="3">
        <f t="shared" si="132"/>
        <v>1.2518075099022075E-2</v>
      </c>
      <c r="AC822" s="3">
        <f t="shared" si="133"/>
        <v>1.188548080600911E-2</v>
      </c>
      <c r="AD822" s="3">
        <f t="shared" si="134"/>
        <v>7.9163070481213724E-3</v>
      </c>
      <c r="AE822" s="76">
        <f t="shared" si="135"/>
        <v>2441.9047619047597</v>
      </c>
      <c r="AF822" s="76">
        <f t="shared" si="136"/>
        <v>4714.4047619047597</v>
      </c>
      <c r="AG822" s="76">
        <f t="shared" si="137"/>
        <v>6806.5836493889583</v>
      </c>
      <c r="AO822" s="5">
        <f t="shared" si="142"/>
        <v>-4.9392097264437315E-3</v>
      </c>
      <c r="AP822" s="5">
        <f t="shared" si="138"/>
        <v>0.32663779943074744</v>
      </c>
      <c r="AR822" s="5">
        <f t="shared" si="139"/>
        <v>9.5182471909932564E-3</v>
      </c>
      <c r="AS822" s="5">
        <f t="shared" si="140"/>
        <v>3.7042352709970583E-4</v>
      </c>
      <c r="AT822" s="5">
        <f t="shared" si="141"/>
        <v>-2.7717700901291886E-4</v>
      </c>
    </row>
    <row r="823" spans="12:46" x14ac:dyDescent="0.25">
      <c r="L823" s="4">
        <v>44357.5</v>
      </c>
      <c r="M823">
        <v>53.25</v>
      </c>
      <c r="N823">
        <v>53.97</v>
      </c>
      <c r="O823">
        <v>52.64</v>
      </c>
      <c r="P823">
        <v>52.8</v>
      </c>
      <c r="Q823">
        <v>27188</v>
      </c>
      <c r="R823">
        <v>449486</v>
      </c>
      <c r="S823">
        <v>28.274999999999999</v>
      </c>
      <c r="T823">
        <v>28.725000000000001</v>
      </c>
      <c r="U823">
        <v>27.704999999999998</v>
      </c>
      <c r="V823">
        <v>28.684999999999999</v>
      </c>
      <c r="W823">
        <v>676</v>
      </c>
      <c r="X823">
        <v>2.5347817800647956E-2</v>
      </c>
      <c r="Y823">
        <v>-0.48965254512354783</v>
      </c>
      <c r="Z823">
        <v>-0.2696058420706815</v>
      </c>
      <c r="AB823" s="3">
        <f t="shared" si="132"/>
        <v>1.3935829283301619E-2</v>
      </c>
      <c r="AC823" s="3">
        <f t="shared" si="133"/>
        <v>1.2439933356906342E-2</v>
      </c>
      <c r="AD823" s="3">
        <f t="shared" si="134"/>
        <v>8.5249016829135049E-3</v>
      </c>
      <c r="AE823" s="76">
        <f t="shared" si="135"/>
        <v>3891.4761904761908</v>
      </c>
      <c r="AF823" s="76">
        <f t="shared" si="136"/>
        <v>5726.8214285714312</v>
      </c>
      <c r="AG823" s="76">
        <f t="shared" si="137"/>
        <v>7635.5082174462732</v>
      </c>
      <c r="AO823" s="5">
        <f t="shared" si="142"/>
        <v>5.5396370582616837E-3</v>
      </c>
      <c r="AP823" s="5">
        <f t="shared" si="138"/>
        <v>0.32723581927890688</v>
      </c>
      <c r="AR823" s="5">
        <f t="shared" si="139"/>
        <v>8.4802966865888396E-3</v>
      </c>
      <c r="AS823" s="5">
        <f t="shared" si="140"/>
        <v>-7.4403563038777376E-4</v>
      </c>
      <c r="AT823" s="5">
        <f t="shared" si="141"/>
        <v>-1.1305083113412051E-3</v>
      </c>
    </row>
    <row r="824" spans="12:46" x14ac:dyDescent="0.25">
      <c r="L824" s="4">
        <v>44356.5</v>
      </c>
      <c r="M824">
        <v>52.47</v>
      </c>
      <c r="N824">
        <v>54.19</v>
      </c>
      <c r="O824">
        <v>52.35</v>
      </c>
      <c r="P824">
        <v>53.22</v>
      </c>
      <c r="Q824">
        <v>36080</v>
      </c>
      <c r="R824">
        <v>451207</v>
      </c>
      <c r="S824">
        <v>27.9</v>
      </c>
      <c r="T824">
        <v>28.425000000000001</v>
      </c>
      <c r="U824">
        <v>27.805</v>
      </c>
      <c r="V824">
        <v>28.3</v>
      </c>
      <c r="W824">
        <v>685</v>
      </c>
      <c r="X824">
        <v>3.5534955581305448E-2</v>
      </c>
      <c r="Y824">
        <v>0.22564656664166838</v>
      </c>
      <c r="Z824">
        <v>0.43186050803404613</v>
      </c>
      <c r="AB824" s="3">
        <f t="shared" si="132"/>
        <v>1.609213018080809E-2</v>
      </c>
      <c r="AC824" s="3">
        <f t="shared" si="133"/>
        <v>1.3634405533210402E-2</v>
      </c>
      <c r="AD824" s="3">
        <f t="shared" si="134"/>
        <v>9.5162410917339138E-3</v>
      </c>
      <c r="AE824" s="76">
        <f t="shared" si="135"/>
        <v>6320.238095238099</v>
      </c>
      <c r="AF824" s="76">
        <f t="shared" si="136"/>
        <v>7275.3690476190495</v>
      </c>
      <c r="AG824" s="76">
        <f t="shared" si="137"/>
        <v>8888.9616519174051</v>
      </c>
      <c r="AO824" s="5">
        <f t="shared" si="142"/>
        <v>1.5715948777648474E-2</v>
      </c>
      <c r="AP824" s="5">
        <f t="shared" si="138"/>
        <v>0.32795198726980457</v>
      </c>
      <c r="AR824" s="5">
        <f t="shared" si="139"/>
        <v>7.4536421211467974E-3</v>
      </c>
      <c r="AS824" s="5">
        <f t="shared" si="140"/>
        <v>-1.8430069585759767E-3</v>
      </c>
      <c r="AT824" s="5">
        <f t="shared" si="141"/>
        <v>-1.9754482743868373E-3</v>
      </c>
    </row>
    <row r="825" spans="12:46" x14ac:dyDescent="0.25">
      <c r="L825" s="4">
        <v>44355.5</v>
      </c>
      <c r="M825">
        <v>51.78</v>
      </c>
      <c r="N825">
        <v>52.63</v>
      </c>
      <c r="O825">
        <v>51.54</v>
      </c>
      <c r="P825">
        <v>52.25</v>
      </c>
      <c r="Q825">
        <v>29755</v>
      </c>
      <c r="R825">
        <v>447295</v>
      </c>
      <c r="S825">
        <v>27.475000000000001</v>
      </c>
      <c r="T825">
        <v>27.85</v>
      </c>
      <c r="U825">
        <v>27.35</v>
      </c>
      <c r="V825">
        <v>27.8</v>
      </c>
      <c r="W825">
        <v>637</v>
      </c>
      <c r="X825">
        <v>2.2069244786394077E-2</v>
      </c>
      <c r="Y825">
        <v>-0.7404055063322289</v>
      </c>
      <c r="Z825">
        <v>-7.798500878060062E-2</v>
      </c>
      <c r="AB825" s="3">
        <f t="shared" si="132"/>
        <v>1.7100544985414214E-2</v>
      </c>
      <c r="AC825" s="3">
        <f t="shared" si="133"/>
        <v>1.384800709528029E-2</v>
      </c>
      <c r="AD825" s="3">
        <f t="shared" si="134"/>
        <v>9.8721852248670888E-3</v>
      </c>
      <c r="AE825" s="76">
        <f t="shared" si="135"/>
        <v>7456.047619047622</v>
      </c>
      <c r="AF825" s="76">
        <f t="shared" si="136"/>
        <v>7628.9583333333358</v>
      </c>
      <c r="AG825" s="76">
        <f t="shared" si="137"/>
        <v>9134.3813737884557</v>
      </c>
      <c r="AO825" s="5">
        <f t="shared" si="142"/>
        <v>4.5436105476673469E-2</v>
      </c>
      <c r="AP825" s="5">
        <f t="shared" si="138"/>
        <v>0.32842469581670491</v>
      </c>
      <c r="AR825" s="5">
        <f t="shared" si="139"/>
        <v>6.2682285216777989E-3</v>
      </c>
      <c r="AS825" s="5">
        <f t="shared" si="140"/>
        <v>-3.0319076231532516E-3</v>
      </c>
      <c r="AT825" s="5">
        <f t="shared" si="141"/>
        <v>-2.9198174249859821E-3</v>
      </c>
    </row>
    <row r="826" spans="12:46" x14ac:dyDescent="0.25">
      <c r="L826" s="4">
        <v>44354.5</v>
      </c>
      <c r="M826">
        <v>49.39</v>
      </c>
      <c r="N826">
        <v>52</v>
      </c>
      <c r="O826">
        <v>49.3</v>
      </c>
      <c r="P826">
        <v>51.95</v>
      </c>
      <c r="Q826">
        <v>13724</v>
      </c>
      <c r="R826">
        <v>447304</v>
      </c>
      <c r="S826">
        <v>25.9</v>
      </c>
      <c r="T826">
        <v>26.664999999999999</v>
      </c>
      <c r="U826">
        <v>25.9</v>
      </c>
      <c r="V826">
        <v>26.49</v>
      </c>
      <c r="W826">
        <v>360</v>
      </c>
      <c r="X826">
        <v>5.3233438485804474E-2</v>
      </c>
      <c r="Y826">
        <v>1.4663632343900084</v>
      </c>
      <c r="Z826">
        <v>-1.3513705957014139</v>
      </c>
      <c r="AB826" s="3">
        <f t="shared" si="132"/>
        <v>1.8920961165894312E-2</v>
      </c>
      <c r="AC826" s="3">
        <f t="shared" si="133"/>
        <v>1.4622111778058215E-2</v>
      </c>
      <c r="AD826" s="3">
        <f t="shared" si="134"/>
        <v>1.0603496046643353E-2</v>
      </c>
      <c r="AE826" s="76">
        <f t="shared" si="135"/>
        <v>8759.9523809523816</v>
      </c>
      <c r="AF826" s="76">
        <f t="shared" si="136"/>
        <v>8214.6011904761908</v>
      </c>
      <c r="AG826" s="76">
        <f t="shared" si="137"/>
        <v>9414.789717656975</v>
      </c>
      <c r="AO826" s="5">
        <f t="shared" si="142"/>
        <v>8.120178643929994E-4</v>
      </c>
      <c r="AP826" s="5">
        <f t="shared" si="138"/>
        <v>0.32611717444427862</v>
      </c>
      <c r="AR826" s="5">
        <f t="shared" si="139"/>
        <v>5.0885073769750822E-3</v>
      </c>
      <c r="AS826" s="5">
        <f t="shared" si="140"/>
        <v>-4.188025406423268E-3</v>
      </c>
      <c r="AT826" s="5">
        <f t="shared" si="141"/>
        <v>-3.859265172356241E-3</v>
      </c>
    </row>
    <row r="827" spans="12:46" x14ac:dyDescent="0.25">
      <c r="L827" s="4">
        <v>44351.5</v>
      </c>
      <c r="M827">
        <v>50.72</v>
      </c>
      <c r="N827">
        <v>51.5</v>
      </c>
      <c r="O827">
        <v>49.26</v>
      </c>
      <c r="P827">
        <v>50.14</v>
      </c>
      <c r="Q827">
        <v>34108</v>
      </c>
      <c r="R827">
        <v>446595</v>
      </c>
      <c r="S827">
        <v>25.75</v>
      </c>
      <c r="T827">
        <v>26.024999999999999</v>
      </c>
      <c r="U827">
        <v>25.45</v>
      </c>
      <c r="V827">
        <v>25.795000000000002</v>
      </c>
      <c r="W827">
        <v>411</v>
      </c>
      <c r="X827">
        <v>4.3377226955848218E-2</v>
      </c>
      <c r="Y827">
        <v>0.80026123357951517</v>
      </c>
      <c r="Z827">
        <v>0.26587024160654144</v>
      </c>
      <c r="AB827" s="3">
        <f t="shared" si="132"/>
        <v>1.8848543752766338E-2</v>
      </c>
      <c r="AC827" s="3">
        <f t="shared" si="133"/>
        <v>1.3809480560469756E-2</v>
      </c>
      <c r="AD827" s="3">
        <f t="shared" si="134"/>
        <v>9.5906993602194734E-3</v>
      </c>
      <c r="AE827" s="76">
        <f t="shared" si="135"/>
        <v>9436.4285714285761</v>
      </c>
      <c r="AF827" s="76">
        <f t="shared" si="136"/>
        <v>8904.6071428571449</v>
      </c>
      <c r="AG827" s="76">
        <f t="shared" si="137"/>
        <v>9954.6219974715568</v>
      </c>
      <c r="AO827" s="5">
        <f t="shared" si="142"/>
        <v>-1.7354877318970768E-2</v>
      </c>
      <c r="AP827" s="5">
        <f t="shared" si="138"/>
        <v>0.3268371170461048</v>
      </c>
      <c r="AR827" s="5">
        <f t="shared" si="139"/>
        <v>3.9221548830740693E-3</v>
      </c>
      <c r="AS827" s="5">
        <f t="shared" si="140"/>
        <v>-5.2870820484666181E-3</v>
      </c>
      <c r="AT827" s="5">
        <f t="shared" si="141"/>
        <v>-4.7385567445483168E-3</v>
      </c>
    </row>
    <row r="828" spans="12:46" x14ac:dyDescent="0.25">
      <c r="L828" s="4">
        <v>44350.5</v>
      </c>
      <c r="M828">
        <v>51.64</v>
      </c>
      <c r="N828">
        <v>52.66</v>
      </c>
      <c r="O828">
        <v>50.13</v>
      </c>
      <c r="P828">
        <v>50.29</v>
      </c>
      <c r="Q828">
        <v>32463</v>
      </c>
      <c r="R828">
        <v>445705</v>
      </c>
      <c r="S828">
        <v>26.25</v>
      </c>
      <c r="T828">
        <v>26.25</v>
      </c>
      <c r="U828">
        <v>25.675000000000001</v>
      </c>
      <c r="V828">
        <v>25.704999999999998</v>
      </c>
      <c r="W828">
        <v>471</v>
      </c>
      <c r="X828">
        <v>4.8653846153846041E-2</v>
      </c>
      <c r="Y828">
        <v>1.1974371851994823</v>
      </c>
      <c r="Z828">
        <v>0.13535059719036774</v>
      </c>
      <c r="AB828" s="3">
        <f t="shared" si="132"/>
        <v>1.8397703427533746E-2</v>
      </c>
      <c r="AC828" s="3">
        <f t="shared" si="133"/>
        <v>1.2852549864701208E-2</v>
      </c>
      <c r="AD828" s="3">
        <f t="shared" si="134"/>
        <v>8.5912052881661968E-3</v>
      </c>
      <c r="AE828" s="76">
        <f t="shared" si="135"/>
        <v>10213.09523809524</v>
      </c>
      <c r="AF828" s="76">
        <f t="shared" si="136"/>
        <v>9109.4107142857138</v>
      </c>
      <c r="AG828" s="76">
        <f t="shared" si="137"/>
        <v>10070.915297092288</v>
      </c>
      <c r="AO828" s="5">
        <f t="shared" si="142"/>
        <v>-1.3771394845563559E-2</v>
      </c>
      <c r="AP828" s="5">
        <f t="shared" si="138"/>
        <v>0.32683083254929368</v>
      </c>
      <c r="AR828" s="5">
        <f t="shared" si="139"/>
        <v>2.7595367658078129E-3</v>
      </c>
      <c r="AS828" s="5">
        <f t="shared" si="140"/>
        <v>-6.3853659484858216E-3</v>
      </c>
      <c r="AT828" s="5">
        <f t="shared" si="141"/>
        <v>-5.6073589897291387E-3</v>
      </c>
    </row>
    <row r="829" spans="12:46" x14ac:dyDescent="0.25">
      <c r="L829" s="4">
        <v>44349.5</v>
      </c>
      <c r="M829">
        <v>52</v>
      </c>
      <c r="N829">
        <v>52.25</v>
      </c>
      <c r="O829">
        <v>50.83</v>
      </c>
      <c r="P829">
        <v>51.43</v>
      </c>
      <c r="Q829">
        <v>28691</v>
      </c>
      <c r="R829">
        <v>448469</v>
      </c>
      <c r="S829">
        <v>25.7</v>
      </c>
      <c r="T829">
        <v>26.1</v>
      </c>
      <c r="U829">
        <v>25.28</v>
      </c>
      <c r="V829">
        <v>25.725000000000001</v>
      </c>
      <c r="W829">
        <v>1025</v>
      </c>
      <c r="X829">
        <v>2.7360308285163809E-2</v>
      </c>
      <c r="Y829">
        <v>-0.35847426819025469</v>
      </c>
      <c r="Z829">
        <v>-0.16157442584188919</v>
      </c>
      <c r="AB829" s="3">
        <f t="shared" si="132"/>
        <v>1.5998862961822555E-2</v>
      </c>
      <c r="AC829" s="3">
        <f t="shared" si="133"/>
        <v>1.0998894161047969E-2</v>
      </c>
      <c r="AD829" s="3">
        <f t="shared" si="134"/>
        <v>7.1033409525982499E-3</v>
      </c>
      <c r="AE829" s="76">
        <f t="shared" si="135"/>
        <v>10217.523809523809</v>
      </c>
      <c r="AF829" s="76">
        <f t="shared" si="136"/>
        <v>8801.0535714285688</v>
      </c>
      <c r="AG829" s="76">
        <f t="shared" si="137"/>
        <v>9991.2136536030303</v>
      </c>
      <c r="AO829" s="5">
        <f t="shared" si="142"/>
        <v>-1.6827852998065849E-2</v>
      </c>
      <c r="AP829" s="5">
        <f t="shared" si="138"/>
        <v>0.32705544359489314</v>
      </c>
      <c r="AR829" s="5">
        <f t="shared" si="139"/>
        <v>1.6426789152076959E-3</v>
      </c>
      <c r="AS829" s="5">
        <f t="shared" si="140"/>
        <v>-7.4442107644870914E-3</v>
      </c>
      <c r="AT829" s="5">
        <f t="shared" si="141"/>
        <v>-6.4587487473671268E-3</v>
      </c>
    </row>
    <row r="830" spans="12:46" x14ac:dyDescent="0.25">
      <c r="L830" s="4">
        <v>44348.5</v>
      </c>
      <c r="M830">
        <v>51.9</v>
      </c>
      <c r="N830">
        <v>53.3</v>
      </c>
      <c r="O830">
        <v>51.7</v>
      </c>
      <c r="P830">
        <v>51.87</v>
      </c>
      <c r="Q830">
        <v>22673</v>
      </c>
      <c r="R830">
        <v>449115</v>
      </c>
      <c r="S830">
        <v>25.18</v>
      </c>
      <c r="T830">
        <v>26.23</v>
      </c>
      <c r="U830">
        <v>25.18</v>
      </c>
      <c r="V830">
        <v>25.975000000000001</v>
      </c>
      <c r="W830">
        <v>765</v>
      </c>
      <c r="X830">
        <v>3.0989734650396946E-2</v>
      </c>
      <c r="Y830">
        <v>-0.10230234833803756</v>
      </c>
      <c r="Z830">
        <v>-0.64614256224525723</v>
      </c>
      <c r="AB830" s="3">
        <f t="shared" si="132"/>
        <v>1.7906264011913732E-2</v>
      </c>
      <c r="AC830" s="3">
        <f t="shared" si="133"/>
        <v>1.1329799110270652E-2</v>
      </c>
      <c r="AD830" s="3">
        <f t="shared" si="134"/>
        <v>7.3850022840790744E-3</v>
      </c>
      <c r="AE830" s="76">
        <f t="shared" si="135"/>
        <v>11640.428571428572</v>
      </c>
      <c r="AF830" s="76">
        <f t="shared" si="136"/>
        <v>8804.4761904761908</v>
      </c>
      <c r="AG830" s="76">
        <f t="shared" si="137"/>
        <v>10010.573535608935</v>
      </c>
      <c r="AO830" s="5">
        <f t="shared" si="142"/>
        <v>8.7804878048781034E-3</v>
      </c>
      <c r="AP830" s="5">
        <f t="shared" si="138"/>
        <v>0.32707577659048576</v>
      </c>
      <c r="AR830" s="5">
        <f t="shared" si="139"/>
        <v>5.4674747923605382E-4</v>
      </c>
      <c r="AS830" s="5">
        <f t="shared" si="140"/>
        <v>-8.4639541762658865E-3</v>
      </c>
      <c r="AT830" s="5">
        <f t="shared" si="141"/>
        <v>-7.2803348707333737E-3</v>
      </c>
    </row>
    <row r="831" spans="12:46" x14ac:dyDescent="0.25">
      <c r="L831" s="4">
        <v>44347.5</v>
      </c>
      <c r="M831">
        <v>51.63</v>
      </c>
      <c r="N831">
        <v>52.03</v>
      </c>
      <c r="O831">
        <v>51.25</v>
      </c>
      <c r="P831">
        <v>51.61</v>
      </c>
      <c r="Q831">
        <v>6001</v>
      </c>
      <c r="R831">
        <v>448201</v>
      </c>
      <c r="S831">
        <v>25.1</v>
      </c>
      <c r="T831">
        <v>25.2</v>
      </c>
      <c r="U831">
        <v>24.62</v>
      </c>
      <c r="V831">
        <v>24.93</v>
      </c>
      <c r="W831">
        <v>0</v>
      </c>
      <c r="X831">
        <v>1.5116279069767464E-2</v>
      </c>
      <c r="Y831">
        <v>-1.2749055117597043</v>
      </c>
      <c r="Z831">
        <v>-1.9923695522691529</v>
      </c>
      <c r="AB831" s="3">
        <f t="shared" si="132"/>
        <v>1.7625276504861953E-2</v>
      </c>
      <c r="AC831" s="3">
        <f t="shared" si="133"/>
        <v>9.8242444856005036E-3</v>
      </c>
      <c r="AD831" s="3">
        <f t="shared" si="134"/>
        <v>6.9442483622083814E-3</v>
      </c>
      <c r="AE831" s="76">
        <f t="shared" si="135"/>
        <v>11770.666666666672</v>
      </c>
      <c r="AF831" s="76">
        <f t="shared" si="136"/>
        <v>7733.6904761904807</v>
      </c>
      <c r="AG831" s="76">
        <f t="shared" si="137"/>
        <v>9339.8857985672184</v>
      </c>
      <c r="AO831" s="5">
        <f t="shared" si="142"/>
        <v>2.0509757068896878E-2</v>
      </c>
      <c r="AP831" s="5">
        <f t="shared" si="138"/>
        <v>0.32777319555352696</v>
      </c>
      <c r="AR831" s="5">
        <f t="shared" si="139"/>
        <v>-5.4730831504307131E-4</v>
      </c>
      <c r="AS831" s="5">
        <f t="shared" si="140"/>
        <v>-9.3034778604109136E-3</v>
      </c>
      <c r="AT831" s="5">
        <f t="shared" si="141"/>
        <v>-8.0918455709309556E-3</v>
      </c>
    </row>
    <row r="832" spans="12:46" x14ac:dyDescent="0.25">
      <c r="L832" s="4">
        <v>44344.5</v>
      </c>
      <c r="M832">
        <v>51.6</v>
      </c>
      <c r="N832">
        <v>52.4</v>
      </c>
      <c r="O832">
        <v>50.22</v>
      </c>
      <c r="P832">
        <v>51.81</v>
      </c>
      <c r="Q832">
        <v>31515</v>
      </c>
      <c r="R832">
        <v>448986</v>
      </c>
      <c r="S832">
        <v>25.1</v>
      </c>
      <c r="T832">
        <v>25.2</v>
      </c>
      <c r="U832">
        <v>24.62</v>
      </c>
      <c r="V832">
        <v>24.93</v>
      </c>
      <c r="W832">
        <v>403</v>
      </c>
      <c r="X832">
        <v>4.1132075471698108E-2</v>
      </c>
      <c r="Y832">
        <v>0.61553545528631926</v>
      </c>
      <c r="Z832">
        <v>4.820497027067043E-2</v>
      </c>
      <c r="AB832" s="3">
        <f t="shared" si="132"/>
        <v>1.9525375637613706E-2</v>
      </c>
      <c r="AC832" s="3">
        <f t="shared" si="133"/>
        <v>1.0660949790516235E-2</v>
      </c>
      <c r="AD832" s="3">
        <f t="shared" si="134"/>
        <v>8.0287676638144193E-3</v>
      </c>
      <c r="AE832" s="76">
        <f t="shared" si="135"/>
        <v>13747.857142857141</v>
      </c>
      <c r="AF832" s="76">
        <f t="shared" si="136"/>
        <v>8569.3690476190459</v>
      </c>
      <c r="AG832" s="76">
        <f t="shared" si="137"/>
        <v>10643.898440792243</v>
      </c>
      <c r="AO832" s="5">
        <f t="shared" si="142"/>
        <v>-1.4327772325809694E-2</v>
      </c>
      <c r="AP832" s="5">
        <f t="shared" si="138"/>
        <v>0.32801314094624862</v>
      </c>
      <c r="AR832" s="5">
        <f t="shared" si="139"/>
        <v>-1.7334009956697649E-3</v>
      </c>
      <c r="AS832" s="5">
        <f t="shared" si="140"/>
        <v>-1.0147602927790267E-2</v>
      </c>
      <c r="AT832" s="5">
        <f t="shared" si="141"/>
        <v>-8.9426297717015157E-3</v>
      </c>
    </row>
    <row r="833" spans="12:46" x14ac:dyDescent="0.25">
      <c r="L833" s="4">
        <v>44343.5</v>
      </c>
      <c r="M833">
        <v>53</v>
      </c>
      <c r="N833">
        <v>53.64</v>
      </c>
      <c r="O833">
        <v>50.95</v>
      </c>
      <c r="P833">
        <v>51.72</v>
      </c>
      <c r="Q833">
        <v>32827</v>
      </c>
      <c r="R833">
        <v>448824</v>
      </c>
      <c r="S833">
        <v>25.645</v>
      </c>
      <c r="T833">
        <v>26.1</v>
      </c>
      <c r="U833">
        <v>25.2</v>
      </c>
      <c r="V833">
        <v>25.2</v>
      </c>
      <c r="W833">
        <v>0</v>
      </c>
      <c r="X833">
        <v>5.0469043151969942E-2</v>
      </c>
      <c r="Y833">
        <v>1.325679427807023</v>
      </c>
      <c r="Z833">
        <v>0.1676289478314302</v>
      </c>
      <c r="AB833" s="3">
        <f t="shared" si="132"/>
        <v>1.8759286859839186E-2</v>
      </c>
      <c r="AC833" s="3">
        <f t="shared" si="133"/>
        <v>9.1569270427106358E-3</v>
      </c>
      <c r="AD833" s="3">
        <f t="shared" si="134"/>
        <v>7.1769711276240336E-3</v>
      </c>
      <c r="AE833" s="76">
        <f t="shared" si="135"/>
        <v>13626.142857142855</v>
      </c>
      <c r="AF833" s="76">
        <f t="shared" si="136"/>
        <v>7917.6249999999964</v>
      </c>
      <c r="AG833" s="76">
        <f t="shared" si="137"/>
        <v>10190.475347661184</v>
      </c>
      <c r="AO833" s="5">
        <f t="shared" si="142"/>
        <v>-3.1552936704048594E-2</v>
      </c>
      <c r="AP833" s="5">
        <f t="shared" si="138"/>
        <v>0.32820776197805651</v>
      </c>
      <c r="AR833" s="5">
        <f t="shared" si="139"/>
        <v>-2.9107549437626945E-3</v>
      </c>
      <c r="AS833" s="5">
        <f t="shared" si="140"/>
        <v>-1.0966488280423459E-2</v>
      </c>
      <c r="AT833" s="5">
        <f t="shared" si="141"/>
        <v>-9.7813707333448963E-3</v>
      </c>
    </row>
    <row r="834" spans="12:46" x14ac:dyDescent="0.25">
      <c r="L834" s="4">
        <v>44342.5</v>
      </c>
      <c r="M834">
        <v>53.3</v>
      </c>
      <c r="N834">
        <v>54.7</v>
      </c>
      <c r="O834">
        <v>52.61</v>
      </c>
      <c r="P834">
        <v>52.83</v>
      </c>
      <c r="Q834">
        <v>31827</v>
      </c>
      <c r="R834">
        <v>448186</v>
      </c>
      <c r="S834">
        <v>26.774999999999999</v>
      </c>
      <c r="T834">
        <v>26.914999999999999</v>
      </c>
      <c r="U834">
        <v>26.4</v>
      </c>
      <c r="V834">
        <v>26.425000000000001</v>
      </c>
      <c r="W834">
        <v>706</v>
      </c>
      <c r="X834">
        <v>3.9508506616257155E-2</v>
      </c>
      <c r="Y834">
        <v>0.53372601068896741</v>
      </c>
      <c r="Z834">
        <v>9.8012268100250238E-2</v>
      </c>
      <c r="AB834" s="3">
        <f t="shared" si="132"/>
        <v>1.739268899916491E-2</v>
      </c>
      <c r="AC834" s="3">
        <f t="shared" si="133"/>
        <v>7.7632195674106827E-3</v>
      </c>
      <c r="AD834" s="3">
        <f t="shared" si="134"/>
        <v>5.8463349192395819E-3</v>
      </c>
      <c r="AE834" s="76">
        <f t="shared" si="135"/>
        <v>13906.09523809524</v>
      </c>
      <c r="AF834" s="76">
        <f t="shared" si="136"/>
        <v>7819.4285714285725</v>
      </c>
      <c r="AG834" s="76">
        <f t="shared" si="137"/>
        <v>10230.428571428572</v>
      </c>
      <c r="AO834" s="5">
        <f t="shared" si="142"/>
        <v>7.2755121577637869E-3</v>
      </c>
      <c r="AP834" s="5">
        <f t="shared" si="138"/>
        <v>0.3267683455472653</v>
      </c>
      <c r="AR834" s="5">
        <f t="shared" si="139"/>
        <v>-4.066143921437837E-3</v>
      </c>
      <c r="AS834" s="5">
        <f t="shared" si="140"/>
        <v>-1.1768733146659827E-2</v>
      </c>
      <c r="AT834" s="5">
        <f t="shared" si="141"/>
        <v>-1.0566498197826568E-2</v>
      </c>
    </row>
    <row r="835" spans="12:46" x14ac:dyDescent="0.25">
      <c r="L835" s="4">
        <v>44341.5</v>
      </c>
      <c r="M835">
        <v>52.9</v>
      </c>
      <c r="N835">
        <v>53.8</v>
      </c>
      <c r="O835">
        <v>52.23</v>
      </c>
      <c r="P835">
        <v>53.07</v>
      </c>
      <c r="Q835">
        <v>36863</v>
      </c>
      <c r="R835">
        <v>446658</v>
      </c>
      <c r="S835">
        <v>25.25</v>
      </c>
      <c r="T835">
        <v>26.19</v>
      </c>
      <c r="U835">
        <v>25.25</v>
      </c>
      <c r="V835">
        <v>26.19</v>
      </c>
      <c r="W835">
        <v>864</v>
      </c>
      <c r="X835">
        <v>3.0373379763977564E-2</v>
      </c>
      <c r="Y835">
        <v>-0.13875212943709431</v>
      </c>
      <c r="Z835">
        <v>0.52174999134153988</v>
      </c>
      <c r="AB835" s="3">
        <f t="shared" si="132"/>
        <v>1.6846106638315084E-2</v>
      </c>
      <c r="AC835" s="3">
        <f t="shared" si="133"/>
        <v>7.3806255983076968E-3</v>
      </c>
      <c r="AD835" s="3">
        <f t="shared" si="134"/>
        <v>5.5390253568261966E-3</v>
      </c>
      <c r="AE835" s="76">
        <f t="shared" si="135"/>
        <v>14185.476190476191</v>
      </c>
      <c r="AF835" s="76">
        <f t="shared" si="136"/>
        <v>7708.7678571428587</v>
      </c>
      <c r="AG835" s="76">
        <f t="shared" si="137"/>
        <v>10071.083438685211</v>
      </c>
      <c r="AO835" s="5">
        <f t="shared" si="142"/>
        <v>3.1194471865745279E-2</v>
      </c>
      <c r="AP835" s="5">
        <f t="shared" si="138"/>
        <v>0.32750413167216624</v>
      </c>
      <c r="AR835" s="5">
        <f t="shared" si="139"/>
        <v>-5.1572344456766728E-3</v>
      </c>
      <c r="AS835" s="5">
        <f t="shared" si="140"/>
        <v>-1.247201660494579E-2</v>
      </c>
      <c r="AT835" s="5">
        <f t="shared" si="141"/>
        <v>-1.1286559402478802E-2</v>
      </c>
    </row>
    <row r="836" spans="12:46" x14ac:dyDescent="0.25">
      <c r="L836" s="4">
        <v>44340.5</v>
      </c>
      <c r="M836">
        <v>51.69</v>
      </c>
      <c r="N836">
        <v>52.9</v>
      </c>
      <c r="O836">
        <v>50.65</v>
      </c>
      <c r="P836">
        <v>52.6</v>
      </c>
      <c r="Q836">
        <v>20285</v>
      </c>
      <c r="R836">
        <v>447199</v>
      </c>
      <c r="S836">
        <v>24.475000000000001</v>
      </c>
      <c r="T836">
        <v>24.85</v>
      </c>
      <c r="U836">
        <v>24.454999999999998</v>
      </c>
      <c r="V836">
        <v>24.76</v>
      </c>
      <c r="W836">
        <v>400</v>
      </c>
      <c r="X836">
        <v>4.3186180422264873E-2</v>
      </c>
      <c r="Y836">
        <v>0.81392493557303336</v>
      </c>
      <c r="Z836">
        <v>-0.84970300172001345</v>
      </c>
      <c r="AB836" s="3">
        <f t="shared" si="132"/>
        <v>1.5207744213312988E-2</v>
      </c>
      <c r="AC836" s="3">
        <f t="shared" si="133"/>
        <v>6.3920778268605552E-3</v>
      </c>
      <c r="AD836" s="3">
        <f t="shared" si="134"/>
        <v>4.7788612817314113E-3</v>
      </c>
      <c r="AE836" s="76">
        <f t="shared" si="135"/>
        <v>13595.380952380954</v>
      </c>
      <c r="AF836" s="76">
        <f t="shared" si="136"/>
        <v>6972.4285714285725</v>
      </c>
      <c r="AG836" s="76">
        <f t="shared" si="137"/>
        <v>9393.8394437421011</v>
      </c>
      <c r="AO836" s="5">
        <f t="shared" si="142"/>
        <v>-4.911591355599214E-3</v>
      </c>
      <c r="AP836" s="5">
        <f t="shared" si="138"/>
        <v>0.32689962394016797</v>
      </c>
      <c r="AR836" s="5">
        <f t="shared" si="139"/>
        <v>-6.2771553629264454E-3</v>
      </c>
      <c r="AS836" s="5">
        <f t="shared" si="140"/>
        <v>-1.3160897080457146E-2</v>
      </c>
      <c r="AT836" s="5">
        <f t="shared" si="141"/>
        <v>-1.2002890841715852E-2</v>
      </c>
    </row>
    <row r="837" spans="12:46" x14ac:dyDescent="0.25">
      <c r="L837" s="4">
        <v>44337.5</v>
      </c>
      <c r="M837">
        <v>52.1</v>
      </c>
      <c r="N837">
        <v>53.64</v>
      </c>
      <c r="O837">
        <v>50.9</v>
      </c>
      <c r="P837">
        <v>51.4</v>
      </c>
      <c r="Q837">
        <v>39012</v>
      </c>
      <c r="R837">
        <v>447318</v>
      </c>
      <c r="S837">
        <v>25.3</v>
      </c>
      <c r="T837">
        <v>25.55</v>
      </c>
      <c r="U837">
        <v>24.6</v>
      </c>
      <c r="V837">
        <v>24.795000000000002</v>
      </c>
      <c r="W837">
        <v>980</v>
      </c>
      <c r="X837">
        <v>5.5075376884422149E-2</v>
      </c>
      <c r="Y837">
        <v>1.7039039407731629</v>
      </c>
      <c r="Z837">
        <v>0.70083904599195435</v>
      </c>
      <c r="AB837" s="3">
        <f t="shared" si="132"/>
        <v>1.3235322929972641E-2</v>
      </c>
      <c r="AC837" s="3">
        <f t="shared" si="133"/>
        <v>5.1625383014956006E-3</v>
      </c>
      <c r="AD837" s="3">
        <f t="shared" si="134"/>
        <v>3.864094786898746E-3</v>
      </c>
      <c r="AE837" s="76">
        <f t="shared" si="135"/>
        <v>13533.714285714286</v>
      </c>
      <c r="AF837" s="76">
        <f t="shared" si="136"/>
        <v>7486.1369047619046</v>
      </c>
      <c r="AG837" s="76">
        <f t="shared" si="137"/>
        <v>10011.93257479983</v>
      </c>
      <c r="AO837" s="5">
        <f t="shared" si="142"/>
        <v>2.6209677419354781E-2</v>
      </c>
      <c r="AP837" s="5">
        <f t="shared" si="138"/>
        <v>0.32753670253706052</v>
      </c>
      <c r="AR837" s="5">
        <f t="shared" si="139"/>
        <v>-7.3588363099795218E-3</v>
      </c>
      <c r="AS837" s="5">
        <f t="shared" si="140"/>
        <v>-1.3803100473766705E-2</v>
      </c>
      <c r="AT837" s="5">
        <f t="shared" si="141"/>
        <v>-1.2668645202283613E-2</v>
      </c>
    </row>
    <row r="838" spans="12:46" x14ac:dyDescent="0.25">
      <c r="L838" s="4">
        <v>44336.5</v>
      </c>
      <c r="M838">
        <v>49.75</v>
      </c>
      <c r="N838">
        <v>52.81</v>
      </c>
      <c r="O838">
        <v>49.6</v>
      </c>
      <c r="P838">
        <v>52.17</v>
      </c>
      <c r="Q838">
        <v>51140</v>
      </c>
      <c r="R838">
        <v>446316</v>
      </c>
      <c r="S838">
        <v>23.1</v>
      </c>
      <c r="T838">
        <v>24.684999999999999</v>
      </c>
      <c r="U838">
        <v>23.05</v>
      </c>
      <c r="V838">
        <v>24.684999999999999</v>
      </c>
      <c r="W838">
        <v>940</v>
      </c>
      <c r="X838">
        <v>6.1435406698564607E-2</v>
      </c>
      <c r="Y838">
        <v>2.2544868883372278</v>
      </c>
      <c r="Z838">
        <v>1.7259542568417547</v>
      </c>
      <c r="AB838" s="3">
        <f t="shared" si="132"/>
        <v>1.2103441538591504E-2</v>
      </c>
      <c r="AC838" s="3">
        <f t="shared" si="133"/>
        <v>2.6397311645540988E-3</v>
      </c>
      <c r="AD838" s="3">
        <f t="shared" si="134"/>
        <v>2.451488889763577E-3</v>
      </c>
      <c r="AE838" s="76">
        <f t="shared" si="135"/>
        <v>13697.857142857141</v>
      </c>
      <c r="AF838" s="76">
        <f t="shared" si="136"/>
        <v>7230.8154761904771</v>
      </c>
      <c r="AG838" s="76">
        <f t="shared" si="137"/>
        <v>10062.39275179098</v>
      </c>
      <c r="AO838" s="5">
        <f t="shared" si="142"/>
        <v>2.0366179798395435E-2</v>
      </c>
      <c r="AP838" s="5">
        <f t="shared" si="138"/>
        <v>0.32737498942922699</v>
      </c>
      <c r="AR838" s="5">
        <f t="shared" si="139"/>
        <v>-8.3466862856752533E-3</v>
      </c>
      <c r="AS838" s="5">
        <f t="shared" si="140"/>
        <v>-1.4326190709053666E-2</v>
      </c>
      <c r="AT838" s="5">
        <f t="shared" si="141"/>
        <v>-1.3339545642289952E-2</v>
      </c>
    </row>
    <row r="839" spans="12:46" x14ac:dyDescent="0.25">
      <c r="L839" s="4">
        <v>44335.5</v>
      </c>
      <c r="M839">
        <v>52.25</v>
      </c>
      <c r="N839">
        <v>53.01</v>
      </c>
      <c r="O839">
        <v>48.61</v>
      </c>
      <c r="P839">
        <v>49.26</v>
      </c>
      <c r="Q839">
        <v>80530</v>
      </c>
      <c r="R839">
        <v>446875</v>
      </c>
      <c r="S839">
        <v>24.05</v>
      </c>
      <c r="T839">
        <v>24.125</v>
      </c>
      <c r="U839">
        <v>22.57</v>
      </c>
      <c r="V839">
        <v>22.664999999999999</v>
      </c>
      <c r="W839">
        <v>1000</v>
      </c>
      <c r="X839">
        <v>7.8796561604584495E-2</v>
      </c>
      <c r="Y839">
        <v>3.7769771566932206</v>
      </c>
      <c r="Z839">
        <v>4.3007552262001543</v>
      </c>
      <c r="AB839" s="3">
        <f t="shared" si="132"/>
        <v>1.1145247123283183E-2</v>
      </c>
      <c r="AC839" s="3">
        <f t="shared" si="133"/>
        <v>1.0727807337361922E-3</v>
      </c>
      <c r="AD839" s="3">
        <f t="shared" si="134"/>
        <v>1.3929827372843803E-3</v>
      </c>
      <c r="AE839" s="76">
        <f t="shared" si="135"/>
        <v>12680.238095238095</v>
      </c>
      <c r="AF839" s="76">
        <f t="shared" si="136"/>
        <v>6648.1369047619046</v>
      </c>
      <c r="AG839" s="76">
        <f t="shared" si="137"/>
        <v>9629.8162663295407</v>
      </c>
      <c r="AO839" s="5">
        <f t="shared" si="142"/>
        <v>-7.25052470902499E-2</v>
      </c>
      <c r="AP839" s="5">
        <f t="shared" si="138"/>
        <v>0.32762728167724864</v>
      </c>
      <c r="AR839" s="5">
        <f t="shared" si="139"/>
        <v>-9.4077394315336127E-3</v>
      </c>
      <c r="AS839" s="5">
        <f t="shared" si="140"/>
        <v>-1.4771569952667651E-2</v>
      </c>
      <c r="AT839" s="5">
        <f t="shared" si="141"/>
        <v>-1.400114398789043E-2</v>
      </c>
    </row>
    <row r="840" spans="12:46" x14ac:dyDescent="0.25">
      <c r="L840" s="4">
        <v>44334.5</v>
      </c>
      <c r="M840">
        <v>55.84</v>
      </c>
      <c r="N840">
        <v>56.5</v>
      </c>
      <c r="O840">
        <v>52.41</v>
      </c>
      <c r="P840">
        <v>52.67</v>
      </c>
      <c r="Q840">
        <v>52669</v>
      </c>
      <c r="R840">
        <v>457394</v>
      </c>
      <c r="S840">
        <v>25.4</v>
      </c>
      <c r="T840">
        <v>25.774999999999999</v>
      </c>
      <c r="U840">
        <v>24.645</v>
      </c>
      <c r="V840">
        <v>24.81</v>
      </c>
      <c r="W840">
        <v>1313</v>
      </c>
      <c r="X840">
        <v>7.2197705207414004E-2</v>
      </c>
      <c r="Y840">
        <v>3.7523351212212877</v>
      </c>
      <c r="Z840">
        <v>2.2947215852291309</v>
      </c>
      <c r="AB840" s="3">
        <f t="shared" si="132"/>
        <v>8.6929170605006024E-3</v>
      </c>
      <c r="AC840" s="3">
        <f t="shared" si="133"/>
        <v>-1.2033030876845985E-3</v>
      </c>
      <c r="AD840" s="3">
        <f t="shared" si="134"/>
        <v>-9.0903618447912143E-4</v>
      </c>
      <c r="AE840" s="76">
        <f t="shared" si="135"/>
        <v>10549.714285714283</v>
      </c>
      <c r="AF840" s="76">
        <f t="shared" si="136"/>
        <v>4370.0595238095229</v>
      </c>
      <c r="AG840" s="76">
        <f t="shared" si="137"/>
        <v>7315.1040876527586</v>
      </c>
      <c r="AO840" s="5">
        <f t="shared" si="142"/>
        <v>-5.2260397830018096E-2</v>
      </c>
      <c r="AP840" s="5">
        <f t="shared" si="138"/>
        <v>0.3176576908995567</v>
      </c>
      <c r="AR840" s="5">
        <f t="shared" si="139"/>
        <v>-1.0489696170951412E-2</v>
      </c>
      <c r="AS840" s="5">
        <f t="shared" si="140"/>
        <v>-1.522831443402739E-2</v>
      </c>
      <c r="AT840" s="5">
        <f t="shared" si="141"/>
        <v>-1.468102619450673E-2</v>
      </c>
    </row>
    <row r="841" spans="12:46" x14ac:dyDescent="0.25">
      <c r="L841" s="4">
        <v>44333.5</v>
      </c>
      <c r="M841">
        <v>56.65</v>
      </c>
      <c r="N841">
        <v>56.74</v>
      </c>
      <c r="O841">
        <v>55.3</v>
      </c>
      <c r="P841">
        <v>55.74</v>
      </c>
      <c r="Q841">
        <v>36818</v>
      </c>
      <c r="R841">
        <v>457037</v>
      </c>
      <c r="S841">
        <v>26.1</v>
      </c>
      <c r="T841">
        <v>26.63</v>
      </c>
      <c r="U841">
        <v>25.7</v>
      </c>
      <c r="V841">
        <v>26.31</v>
      </c>
      <c r="W841">
        <v>1233</v>
      </c>
      <c r="X841">
        <v>2.6349496797804298E-2</v>
      </c>
      <c r="Y841">
        <v>-0.40934495088818679</v>
      </c>
      <c r="Z841">
        <v>0.77862244543439918</v>
      </c>
      <c r="AB841" s="3">
        <f t="shared" ref="AB841:AB904" si="143">AVERAGEA(X841:X861)-AVERAGE(X862:X882)</f>
        <v>6.3741233802257734E-3</v>
      </c>
      <c r="AC841" s="3">
        <f t="shared" ref="AC841:AC904" si="144">AVERAGEA(X841:X861)-AVERAGE(X862:X917)</f>
        <v>-3.5725110517841989E-3</v>
      </c>
      <c r="AD841" s="3">
        <f t="shared" ref="AD841:AD904" si="145">AVERAGEA(X841:X861)-AVERAGE(X862:X974)</f>
        <v>-3.3100525256965115E-3</v>
      </c>
      <c r="AE841" s="76">
        <f t="shared" ref="AE841:AE904" si="146">AVERAGEA(Q841:Q861)-AVERAGE(Q862:Q882)</f>
        <v>9144.3333333333358</v>
      </c>
      <c r="AF841" s="76">
        <f t="shared" ref="AF841:AF904" si="147">AVERAGEA(Q841:Q861)-AVERAGE(Q862:Q917)</f>
        <v>3051.25</v>
      </c>
      <c r="AG841" s="76">
        <f t="shared" ref="AG841:AG904" si="148">AVERAGEA(Q841:Q861)-AVERAGE(Q862:Q974)</f>
        <v>5957.1428571428587</v>
      </c>
      <c r="AO841" s="5">
        <f t="shared" si="142"/>
        <v>1.3377313542239267E-2</v>
      </c>
      <c r="AP841" s="5">
        <f t="shared" ref="AP841:AP904" si="149">_xlfn.STDEV.S(AO841:AO1100)*SQRT(252)</f>
        <v>0.31239238739682945</v>
      </c>
      <c r="AR841" s="5">
        <f t="shared" ref="AR841:AR904" si="150">IFERROR(AVERAGEA(AP841:AP861)-AVERAGE(AP862:AP882),"")</f>
        <v>-1.1056737336412881E-2</v>
      </c>
      <c r="AS841" s="5">
        <f t="shared" ref="AS841:AS904" si="151">IFERROR(AVERAGEA(AP841:AP861)-AVERAGE(AP862:AP917),"")</f>
        <v>-1.5168495792620695E-2</v>
      </c>
      <c r="AT841" s="5">
        <f t="shared" ref="AT841:AT904" si="152">IFERROR(AVERAGEA(AP841:AP861)-AVERAGE(AP862:AP974),"")</f>
        <v>-1.484598812799176E-2</v>
      </c>
    </row>
    <row r="842" spans="12:46" x14ac:dyDescent="0.25">
      <c r="L842" s="4">
        <v>44330.5</v>
      </c>
      <c r="M842">
        <v>54.65</v>
      </c>
      <c r="N842">
        <v>56.9</v>
      </c>
      <c r="O842">
        <v>54.57</v>
      </c>
      <c r="P842">
        <v>56.35</v>
      </c>
      <c r="Q842">
        <v>36883</v>
      </c>
      <c r="R842">
        <v>456912</v>
      </c>
      <c r="S842">
        <v>26.35</v>
      </c>
      <c r="T842">
        <v>26.875</v>
      </c>
      <c r="U842">
        <v>26.35</v>
      </c>
      <c r="V842">
        <v>26.83</v>
      </c>
      <c r="W842">
        <v>665</v>
      </c>
      <c r="X842">
        <v>4.2233097698024254E-2</v>
      </c>
      <c r="Y842">
        <v>1.1916826154094597</v>
      </c>
      <c r="Z842">
        <v>0.75680733966362845</v>
      </c>
      <c r="AB842" s="3">
        <f t="shared" si="143"/>
        <v>4.6445675218799685E-3</v>
      </c>
      <c r="AC842" s="3">
        <f t="shared" si="144"/>
        <v>-4.5083608697927442E-3</v>
      </c>
      <c r="AD842" s="3">
        <f t="shared" si="145"/>
        <v>-3.9733951577356381E-3</v>
      </c>
      <c r="AE842" s="76">
        <f t="shared" si="146"/>
        <v>7786.5238095238092</v>
      </c>
      <c r="AF842" s="76">
        <f t="shared" si="147"/>
        <v>2319.6011904761908</v>
      </c>
      <c r="AG842" s="76">
        <f t="shared" si="148"/>
        <v>5177.9148756847862</v>
      </c>
      <c r="AO842" s="5">
        <f t="shared" ref="AO842:AO905" si="153">IFERROR((O842-O843)/O843,"")</f>
        <v>2.5559105431309893E-2</v>
      </c>
      <c r="AP842" s="5">
        <f t="shared" si="149"/>
        <v>0.31297196078889433</v>
      </c>
      <c r="AR842" s="5">
        <f t="shared" si="150"/>
        <v>-1.1296627640778101E-2</v>
      </c>
      <c r="AS842" s="5">
        <f t="shared" si="151"/>
        <v>-1.4848492222963638E-2</v>
      </c>
      <c r="AT842" s="5">
        <f t="shared" si="152"/>
        <v>-1.4753055682853844E-2</v>
      </c>
    </row>
    <row r="843" spans="12:46" x14ac:dyDescent="0.25">
      <c r="L843" s="4">
        <v>44329.5</v>
      </c>
      <c r="M843">
        <v>55.17</v>
      </c>
      <c r="N843">
        <v>55.17</v>
      </c>
      <c r="O843">
        <v>53.21</v>
      </c>
      <c r="P843">
        <v>54.7</v>
      </c>
      <c r="Q843">
        <v>38480</v>
      </c>
      <c r="R843">
        <v>459061</v>
      </c>
      <c r="S843">
        <v>25.75</v>
      </c>
      <c r="T843">
        <v>26.3</v>
      </c>
      <c r="U843">
        <v>24.975000000000001</v>
      </c>
      <c r="V843">
        <v>26.25</v>
      </c>
      <c r="W843">
        <v>1365</v>
      </c>
      <c r="X843">
        <v>3.6876763875823157E-2</v>
      </c>
      <c r="Y843">
        <v>0.4985781769121661</v>
      </c>
      <c r="Z843">
        <v>0.84943928853088269</v>
      </c>
      <c r="AB843" s="3">
        <f t="shared" si="143"/>
        <v>2.7087488604230249E-3</v>
      </c>
      <c r="AC843" s="3">
        <f t="shared" si="144"/>
        <v>-6.036640273258901E-3</v>
      </c>
      <c r="AD843" s="3">
        <f t="shared" si="145"/>
        <v>-5.6157861227866292E-3</v>
      </c>
      <c r="AE843" s="76">
        <f t="shared" si="146"/>
        <v>6038.5238095238092</v>
      </c>
      <c r="AF843" s="76">
        <f t="shared" si="147"/>
        <v>1357.9642857142862</v>
      </c>
      <c r="AG843" s="76">
        <f t="shared" si="148"/>
        <v>4163.6257901390636</v>
      </c>
      <c r="AO843" s="5">
        <f t="shared" si="153"/>
        <v>3.0160226201697213E-3</v>
      </c>
      <c r="AP843" s="5">
        <f t="shared" si="149"/>
        <v>0.31281694724521564</v>
      </c>
      <c r="AR843" s="5">
        <f t="shared" si="150"/>
        <v>-1.153471803892997E-2</v>
      </c>
      <c r="AS843" s="5">
        <f t="shared" si="151"/>
        <v>-1.4513848540630869E-2</v>
      </c>
      <c r="AT843" s="5">
        <f t="shared" si="152"/>
        <v>-1.4626383508566987E-2</v>
      </c>
    </row>
    <row r="844" spans="12:46" x14ac:dyDescent="0.25">
      <c r="L844" s="4">
        <v>44328.5</v>
      </c>
      <c r="M844">
        <v>53.15</v>
      </c>
      <c r="N844">
        <v>55.47</v>
      </c>
      <c r="O844">
        <v>53.05</v>
      </c>
      <c r="P844">
        <v>54.83</v>
      </c>
      <c r="Q844">
        <v>50664</v>
      </c>
      <c r="R844">
        <v>463310</v>
      </c>
      <c r="S844">
        <v>26.44</v>
      </c>
      <c r="T844">
        <v>26.45</v>
      </c>
      <c r="U844">
        <v>25.8</v>
      </c>
      <c r="V844">
        <v>26.42</v>
      </c>
      <c r="W844">
        <v>1120</v>
      </c>
      <c r="X844">
        <v>4.6449136276391585E-2</v>
      </c>
      <c r="Y844">
        <v>1.2900962644880318</v>
      </c>
      <c r="Z844">
        <v>2.0360454234538827</v>
      </c>
      <c r="AB844" s="3">
        <f t="shared" si="143"/>
        <v>1.2787027126070216E-3</v>
      </c>
      <c r="AC844" s="3">
        <f t="shared" si="144"/>
        <v>-7.1294030489252695E-3</v>
      </c>
      <c r="AD844" s="3">
        <f t="shared" si="145"/>
        <v>-6.7634525847626754E-3</v>
      </c>
      <c r="AE844" s="76">
        <f t="shared" si="146"/>
        <v>4446.4761904761908</v>
      </c>
      <c r="AF844" s="76">
        <f t="shared" si="147"/>
        <v>641.72023809524035</v>
      </c>
      <c r="AG844" s="76">
        <f t="shared" si="148"/>
        <v>3351.2886641382211</v>
      </c>
      <c r="AO844" s="5">
        <f t="shared" si="153"/>
        <v>3.2703912789565893E-2</v>
      </c>
      <c r="AP844" s="5">
        <f t="shared" si="149"/>
        <v>0.3135738795603113</v>
      </c>
      <c r="AR844" s="5">
        <f t="shared" si="150"/>
        <v>-1.173529195651396E-2</v>
      </c>
      <c r="AS844" s="5">
        <f t="shared" si="151"/>
        <v>-1.4118046511454541E-2</v>
      </c>
      <c r="AT844" s="5">
        <f t="shared" si="152"/>
        <v>-1.4464617701747784E-2</v>
      </c>
    </row>
    <row r="845" spans="12:46" x14ac:dyDescent="0.25">
      <c r="L845" s="4">
        <v>44327.5</v>
      </c>
      <c r="M845">
        <v>52.1</v>
      </c>
      <c r="N845">
        <v>53.45</v>
      </c>
      <c r="O845">
        <v>51.37</v>
      </c>
      <c r="P845">
        <v>53.34</v>
      </c>
      <c r="Q845">
        <v>41045</v>
      </c>
      <c r="R845">
        <v>461026</v>
      </c>
      <c r="S845">
        <v>24.8</v>
      </c>
      <c r="T845">
        <v>25.995000000000001</v>
      </c>
      <c r="U845">
        <v>24.75</v>
      </c>
      <c r="V845">
        <v>25.805</v>
      </c>
      <c r="W845">
        <v>970</v>
      </c>
      <c r="X845">
        <v>4.086444007858557E-2</v>
      </c>
      <c r="Y845">
        <v>0.78469500929062708</v>
      </c>
      <c r="Z845">
        <v>1.1520642802809615</v>
      </c>
      <c r="AB845" s="3">
        <f t="shared" si="143"/>
        <v>-2.933612367402201E-4</v>
      </c>
      <c r="AC845" s="3">
        <f t="shared" si="144"/>
        <v>-8.7226500314958495E-3</v>
      </c>
      <c r="AD845" s="3">
        <f t="shared" si="145"/>
        <v>-8.2058659346941308E-3</v>
      </c>
      <c r="AE845" s="76">
        <f t="shared" si="146"/>
        <v>2363.5714285714275</v>
      </c>
      <c r="AF845" s="76">
        <f t="shared" si="147"/>
        <v>-661.72619047619082</v>
      </c>
      <c r="AG845" s="76">
        <f t="shared" si="148"/>
        <v>1991.3961230509885</v>
      </c>
      <c r="AO845" s="5">
        <f t="shared" si="153"/>
        <v>9.2337917485265011E-3</v>
      </c>
      <c r="AP845" s="5">
        <f t="shared" si="149"/>
        <v>0.31269985948284651</v>
      </c>
      <c r="AR845" s="5">
        <f t="shared" si="150"/>
        <v>-1.1927578427201158E-2</v>
      </c>
      <c r="AS845" s="5">
        <f t="shared" si="151"/>
        <v>-1.3729921347449381E-2</v>
      </c>
      <c r="AT845" s="5">
        <f t="shared" si="152"/>
        <v>-1.4315987570483357E-2</v>
      </c>
    </row>
    <row r="846" spans="12:46" x14ac:dyDescent="0.25">
      <c r="L846" s="4">
        <v>44326.5</v>
      </c>
      <c r="M846">
        <v>50.9</v>
      </c>
      <c r="N846">
        <v>52.77</v>
      </c>
      <c r="O846">
        <v>50.9</v>
      </c>
      <c r="P846">
        <v>51.93</v>
      </c>
      <c r="Q846">
        <v>37297</v>
      </c>
      <c r="R846">
        <v>459117</v>
      </c>
      <c r="S846">
        <v>25.175000000000001</v>
      </c>
      <c r="T846">
        <v>25.2</v>
      </c>
      <c r="U846">
        <v>24.824999999999999</v>
      </c>
      <c r="V846">
        <v>25.19</v>
      </c>
      <c r="W846">
        <v>1090</v>
      </c>
      <c r="X846">
        <v>3.7444933920704936E-2</v>
      </c>
      <c r="Y846">
        <v>0.51728580486007247</v>
      </c>
      <c r="Z846">
        <v>0.80466303284425955</v>
      </c>
      <c r="AB846" s="3">
        <f t="shared" si="143"/>
        <v>-1.4557996772818459E-3</v>
      </c>
      <c r="AC846" s="3">
        <f t="shared" si="144"/>
        <v>-9.4370039058205742E-3</v>
      </c>
      <c r="AD846" s="3">
        <f t="shared" si="145"/>
        <v>-9.2751005636034743E-3</v>
      </c>
      <c r="AE846" s="76">
        <f t="shared" si="146"/>
        <v>1193.4285714285725</v>
      </c>
      <c r="AF846" s="76">
        <f t="shared" si="147"/>
        <v>-1464.0892857142862</v>
      </c>
      <c r="AG846" s="76">
        <f t="shared" si="148"/>
        <v>1012.8116308470308</v>
      </c>
      <c r="AO846" s="5">
        <f t="shared" si="153"/>
        <v>3.0155838899008341E-2</v>
      </c>
      <c r="AP846" s="5">
        <f t="shared" si="149"/>
        <v>0.31340534295490252</v>
      </c>
      <c r="AR846" s="5">
        <f t="shared" si="150"/>
        <v>-1.203279646568356E-2</v>
      </c>
      <c r="AS846" s="5">
        <f t="shared" si="151"/>
        <v>-1.3251235623798485E-2</v>
      </c>
      <c r="AT846" s="5">
        <f t="shared" si="152"/>
        <v>-1.4016229839785177E-2</v>
      </c>
    </row>
    <row r="847" spans="12:46" x14ac:dyDescent="0.25">
      <c r="L847" s="4">
        <v>44323.5</v>
      </c>
      <c r="M847">
        <v>49.94</v>
      </c>
      <c r="N847">
        <v>51.1</v>
      </c>
      <c r="O847">
        <v>49.41</v>
      </c>
      <c r="P847">
        <v>51.07</v>
      </c>
      <c r="Q847">
        <v>29230</v>
      </c>
      <c r="R847">
        <v>458690</v>
      </c>
      <c r="S847">
        <v>24.225000000000001</v>
      </c>
      <c r="T847">
        <v>24.225000000000001</v>
      </c>
      <c r="U847">
        <v>23.875</v>
      </c>
      <c r="V847">
        <v>23.94</v>
      </c>
      <c r="W847">
        <v>685</v>
      </c>
      <c r="X847">
        <v>3.4086325131101346E-2</v>
      </c>
      <c r="Y847">
        <v>0.23964560711038291</v>
      </c>
      <c r="Z847">
        <v>-5.2639403124743614E-3</v>
      </c>
      <c r="AB847" s="3">
        <f t="shared" si="143"/>
        <v>-3.7735439416158242E-3</v>
      </c>
      <c r="AC847" s="3">
        <f t="shared" si="144"/>
        <v>-1.1143334363722453E-2</v>
      </c>
      <c r="AD847" s="3">
        <f t="shared" si="145"/>
        <v>-1.0639041620167849E-2</v>
      </c>
      <c r="AE847" s="76">
        <f t="shared" si="146"/>
        <v>-1112.2857142857138</v>
      </c>
      <c r="AF847" s="76">
        <f t="shared" si="147"/>
        <v>-2488.6369047619046</v>
      </c>
      <c r="AG847" s="76">
        <f t="shared" si="148"/>
        <v>-35.24230931310376</v>
      </c>
      <c r="AO847" s="5">
        <f t="shared" si="153"/>
        <v>4.4724537507623268E-3</v>
      </c>
      <c r="AP847" s="5">
        <f t="shared" si="149"/>
        <v>0.31278395992652153</v>
      </c>
      <c r="AR847" s="5">
        <f t="shared" si="150"/>
        <v>-1.2134936970365717E-2</v>
      </c>
      <c r="AS847" s="5">
        <f t="shared" si="151"/>
        <v>-1.2732875416816003E-2</v>
      </c>
      <c r="AT847" s="5">
        <f t="shared" si="152"/>
        <v>-1.3720475005274457E-2</v>
      </c>
    </row>
    <row r="848" spans="12:46" x14ac:dyDescent="0.25">
      <c r="L848" s="4">
        <v>44322.5</v>
      </c>
      <c r="M848">
        <v>49.58</v>
      </c>
      <c r="N848">
        <v>50.48</v>
      </c>
      <c r="O848">
        <v>49.19</v>
      </c>
      <c r="P848">
        <v>49.91</v>
      </c>
      <c r="Q848">
        <v>37282</v>
      </c>
      <c r="R848">
        <v>456064</v>
      </c>
      <c r="S848">
        <v>24.13</v>
      </c>
      <c r="T848">
        <v>24.95</v>
      </c>
      <c r="U848">
        <v>24.13</v>
      </c>
      <c r="V848">
        <v>24.33</v>
      </c>
      <c r="W848">
        <v>1075</v>
      </c>
      <c r="X848">
        <v>2.6450686897682981E-2</v>
      </c>
      <c r="Y848">
        <v>-0.40414085825748364</v>
      </c>
      <c r="Z848">
        <v>0.80477007642883891</v>
      </c>
      <c r="AB848" s="3">
        <f t="shared" si="143"/>
        <v>-5.4719607780216624E-3</v>
      </c>
      <c r="AC848" s="3">
        <f t="shared" si="144"/>
        <v>-1.2263158030621085E-2</v>
      </c>
      <c r="AD848" s="3">
        <f t="shared" si="145"/>
        <v>-1.171253732808316E-2</v>
      </c>
      <c r="AE848" s="76">
        <f t="shared" si="146"/>
        <v>-1456.1428571428587</v>
      </c>
      <c r="AF848" s="76">
        <f t="shared" si="147"/>
        <v>-2232.875</v>
      </c>
      <c r="AG848" s="76">
        <f t="shared" si="148"/>
        <v>43.494310998732544</v>
      </c>
      <c r="AO848" s="5">
        <f t="shared" si="153"/>
        <v>1.3182286302780651E-2</v>
      </c>
      <c r="AP848" s="5">
        <f t="shared" si="149"/>
        <v>0.31355560330961385</v>
      </c>
      <c r="AR848" s="5">
        <f t="shared" si="150"/>
        <v>-1.2172152223229482E-2</v>
      </c>
      <c r="AS848" s="5">
        <f t="shared" si="151"/>
        <v>-1.2154219081041362E-2</v>
      </c>
      <c r="AT848" s="5">
        <f t="shared" si="152"/>
        <v>-1.3310381175229813E-2</v>
      </c>
    </row>
    <row r="849" spans="12:46" x14ac:dyDescent="0.25">
      <c r="L849" s="4">
        <v>44321.5</v>
      </c>
      <c r="M849">
        <v>48.77</v>
      </c>
      <c r="N849">
        <v>49.5</v>
      </c>
      <c r="O849">
        <v>48.55</v>
      </c>
      <c r="P849">
        <v>49.34</v>
      </c>
      <c r="Q849">
        <v>30861</v>
      </c>
      <c r="R849">
        <v>454938</v>
      </c>
      <c r="S849">
        <v>23.4</v>
      </c>
      <c r="T849">
        <v>23.965</v>
      </c>
      <c r="U849">
        <v>23.324999999999999</v>
      </c>
      <c r="V849">
        <v>23.96</v>
      </c>
      <c r="W849">
        <v>625</v>
      </c>
      <c r="X849">
        <v>1.9153225806451669E-2</v>
      </c>
      <c r="Y849">
        <v>-1.0242642329545129</v>
      </c>
      <c r="Z849">
        <v>0.12840205298621823</v>
      </c>
      <c r="AB849" s="3">
        <f t="shared" si="143"/>
        <v>-7.1336593964716755E-3</v>
      </c>
      <c r="AC849" s="3">
        <f t="shared" si="144"/>
        <v>-1.3075490506214149E-2</v>
      </c>
      <c r="AD849" s="3">
        <f t="shared" si="145"/>
        <v>-1.2309283922893537E-2</v>
      </c>
      <c r="AE849" s="76">
        <f t="shared" si="146"/>
        <v>-2697.3333333333358</v>
      </c>
      <c r="AF849" s="76">
        <f t="shared" si="147"/>
        <v>-2877.5416666666679</v>
      </c>
      <c r="AG849" s="76">
        <f t="shared" si="148"/>
        <v>-573.88790560472262</v>
      </c>
      <c r="AO849" s="5">
        <f t="shared" si="153"/>
        <v>3.0991735537189789E-3</v>
      </c>
      <c r="AP849" s="5">
        <f t="shared" si="149"/>
        <v>0.31414932788104072</v>
      </c>
      <c r="AR849" s="5">
        <f t="shared" si="150"/>
        <v>-1.2087710688464148E-2</v>
      </c>
      <c r="AS849" s="5">
        <f t="shared" si="151"/>
        <v>-1.1541476291761776E-2</v>
      </c>
      <c r="AT849" s="5">
        <f t="shared" si="152"/>
        <v>-1.2905230844341087E-2</v>
      </c>
    </row>
    <row r="850" spans="12:46" x14ac:dyDescent="0.25">
      <c r="L850" s="4">
        <v>44320.5</v>
      </c>
      <c r="M850">
        <v>49.6</v>
      </c>
      <c r="N850">
        <v>50.05</v>
      </c>
      <c r="O850">
        <v>48.4</v>
      </c>
      <c r="P850">
        <v>48.77</v>
      </c>
      <c r="Q850">
        <v>29286</v>
      </c>
      <c r="R850">
        <v>462052</v>
      </c>
      <c r="S850">
        <v>24.105</v>
      </c>
      <c r="T850">
        <v>24.105</v>
      </c>
      <c r="U850">
        <v>22.995000000000001</v>
      </c>
      <c r="V850">
        <v>23.05</v>
      </c>
      <c r="W850">
        <v>715</v>
      </c>
      <c r="X850">
        <v>3.3707865168539297E-2</v>
      </c>
      <c r="Y850">
        <v>6.4780815071940376E-2</v>
      </c>
      <c r="Z850">
        <v>-3.7114833586521484E-2</v>
      </c>
      <c r="AB850" s="3">
        <f t="shared" si="143"/>
        <v>-5.6432363817475496E-3</v>
      </c>
      <c r="AC850" s="3">
        <f t="shared" si="144"/>
        <v>-1.1915855666847067E-2</v>
      </c>
      <c r="AD850" s="3">
        <f t="shared" si="145"/>
        <v>-1.1399762129674952E-2</v>
      </c>
      <c r="AE850" s="76">
        <f t="shared" si="146"/>
        <v>-2422.6190476190495</v>
      </c>
      <c r="AF850" s="76">
        <f t="shared" si="147"/>
        <v>-2843.2916666666679</v>
      </c>
      <c r="AG850" s="76">
        <f t="shared" si="148"/>
        <v>-660.69068689422784</v>
      </c>
      <c r="AO850" s="5">
        <f t="shared" si="153"/>
        <v>-9.4146541137945326E-3</v>
      </c>
      <c r="AP850" s="5">
        <f t="shared" si="149"/>
        <v>0.31493336481880718</v>
      </c>
      <c r="AR850" s="5">
        <f t="shared" si="150"/>
        <v>-1.2032973702287453E-2</v>
      </c>
      <c r="AS850" s="5">
        <f t="shared" si="151"/>
        <v>-1.0957524140023378E-2</v>
      </c>
      <c r="AT850" s="5">
        <f t="shared" si="152"/>
        <v>-1.2529682809862386E-2</v>
      </c>
    </row>
    <row r="851" spans="12:46" x14ac:dyDescent="0.25">
      <c r="L851" s="4">
        <v>44319.5</v>
      </c>
      <c r="M851">
        <v>48.95</v>
      </c>
      <c r="N851">
        <v>49.9</v>
      </c>
      <c r="O851">
        <v>48.86</v>
      </c>
      <c r="P851">
        <v>49.75</v>
      </c>
      <c r="Q851">
        <v>12704</v>
      </c>
      <c r="R851">
        <v>461123</v>
      </c>
      <c r="S851">
        <v>23.815000000000001</v>
      </c>
      <c r="T851">
        <v>23.815000000000001</v>
      </c>
      <c r="U851">
        <v>23.815000000000001</v>
      </c>
      <c r="V851">
        <v>23.815000000000001</v>
      </c>
      <c r="W851">
        <v>0</v>
      </c>
      <c r="X851">
        <v>2.1720969089390123E-2</v>
      </c>
      <c r="Y851">
        <v>-0.77722880614061907</v>
      </c>
      <c r="Z851">
        <v>-1.6588798382397678</v>
      </c>
      <c r="AB851" s="3">
        <f t="shared" si="143"/>
        <v>-8.9862016739145831E-3</v>
      </c>
      <c r="AC851" s="3">
        <f t="shared" si="144"/>
        <v>-1.4518091450797327E-2</v>
      </c>
      <c r="AD851" s="3">
        <f t="shared" si="145"/>
        <v>-1.334540851693513E-2</v>
      </c>
      <c r="AE851" s="76">
        <f t="shared" si="146"/>
        <v>-5196.9047619047633</v>
      </c>
      <c r="AF851" s="76">
        <f t="shared" si="147"/>
        <v>-4813.3809523809541</v>
      </c>
      <c r="AG851" s="76">
        <f t="shared" si="148"/>
        <v>-2373.1559207753889</v>
      </c>
      <c r="AO851" s="5">
        <f t="shared" si="153"/>
        <v>2.5393494228751329E-2</v>
      </c>
      <c r="AP851" s="5">
        <f t="shared" si="149"/>
        <v>0.31538614111475527</v>
      </c>
      <c r="AR851" s="5">
        <f t="shared" si="150"/>
        <v>-1.1963680700568413E-2</v>
      </c>
      <c r="AS851" s="5">
        <f t="shared" si="151"/>
        <v>-1.0366027911055231E-2</v>
      </c>
      <c r="AT851" s="5">
        <f t="shared" si="152"/>
        <v>-1.2162992769686631E-2</v>
      </c>
    </row>
    <row r="852" spans="12:46" x14ac:dyDescent="0.25">
      <c r="L852" s="4">
        <v>44316.5</v>
      </c>
      <c r="M852">
        <v>47.88</v>
      </c>
      <c r="N852">
        <v>49.41</v>
      </c>
      <c r="O852">
        <v>47.65</v>
      </c>
      <c r="P852">
        <v>48.82</v>
      </c>
      <c r="Q852">
        <v>32302</v>
      </c>
      <c r="R852">
        <v>461349</v>
      </c>
      <c r="S852">
        <v>22.965</v>
      </c>
      <c r="T852">
        <v>23.32</v>
      </c>
      <c r="U852">
        <v>22.73</v>
      </c>
      <c r="V852">
        <v>23.285</v>
      </c>
      <c r="W852">
        <v>770</v>
      </c>
      <c r="X852">
        <v>3.6766241905159772E-2</v>
      </c>
      <c r="Y852">
        <v>0.23077789695319564</v>
      </c>
      <c r="Z852">
        <v>0.25022175527788959</v>
      </c>
      <c r="AB852" s="3">
        <f t="shared" si="143"/>
        <v>-1.0480550623681112E-2</v>
      </c>
      <c r="AC852" s="3">
        <f t="shared" si="144"/>
        <v>-1.4949940953907871E-2</v>
      </c>
      <c r="AD852" s="3">
        <f t="shared" si="145"/>
        <v>-1.3655547652829704E-2</v>
      </c>
      <c r="AE852" s="76">
        <f t="shared" si="146"/>
        <v>-7309.6666666666679</v>
      </c>
      <c r="AF852" s="76">
        <f t="shared" si="147"/>
        <v>-5826.6547619047633</v>
      </c>
      <c r="AG852" s="76">
        <f t="shared" si="148"/>
        <v>-3204.0109565950297</v>
      </c>
      <c r="AO852" s="5">
        <f t="shared" si="153"/>
        <v>1.1247877758913437E-2</v>
      </c>
      <c r="AP852" s="5">
        <f t="shared" si="149"/>
        <v>0.31521826539585118</v>
      </c>
      <c r="AR852" s="5">
        <f t="shared" si="150"/>
        <v>-1.1801627631591816E-2</v>
      </c>
      <c r="AS852" s="5">
        <f t="shared" si="151"/>
        <v>-9.6850666323970991E-3</v>
      </c>
      <c r="AT852" s="5">
        <f t="shared" si="152"/>
        <v>-1.1769642335829278E-2</v>
      </c>
    </row>
    <row r="853" spans="12:46" x14ac:dyDescent="0.25">
      <c r="L853" s="4">
        <v>44315.5</v>
      </c>
      <c r="M853">
        <v>47.87</v>
      </c>
      <c r="N853">
        <v>48.18</v>
      </c>
      <c r="O853">
        <v>47.12</v>
      </c>
      <c r="P853">
        <v>48.08</v>
      </c>
      <c r="Q853">
        <v>23546</v>
      </c>
      <c r="R853">
        <v>455277</v>
      </c>
      <c r="S853">
        <v>21.664999999999999</v>
      </c>
      <c r="T853">
        <v>22.574999999999999</v>
      </c>
      <c r="U853">
        <v>21.574999999999999</v>
      </c>
      <c r="V853">
        <v>22.5</v>
      </c>
      <c r="W853">
        <v>0</v>
      </c>
      <c r="X853">
        <v>2.2405411118156884E-2</v>
      </c>
      <c r="Y853">
        <v>-0.73014917834595205</v>
      </c>
      <c r="Z853">
        <v>-0.60529641578393756</v>
      </c>
      <c r="AB853" s="3">
        <f t="shared" si="143"/>
        <v>-1.2194055411483707E-2</v>
      </c>
      <c r="AC853" s="3">
        <f t="shared" si="144"/>
        <v>-1.6315055308561564E-2</v>
      </c>
      <c r="AD853" s="3">
        <f t="shared" si="145"/>
        <v>-1.4917175438213848E-2</v>
      </c>
      <c r="AE853" s="76">
        <f t="shared" si="146"/>
        <v>-8406.5714285714312</v>
      </c>
      <c r="AF853" s="76">
        <f t="shared" si="147"/>
        <v>-6730.9345238095266</v>
      </c>
      <c r="AG853" s="76">
        <f t="shared" si="148"/>
        <v>-3989.1976401179963</v>
      </c>
      <c r="AO853" s="5">
        <f t="shared" si="153"/>
        <v>-3.3840947546532082E-3</v>
      </c>
      <c r="AP853" s="5">
        <f t="shared" si="149"/>
        <v>0.31589446709420976</v>
      </c>
      <c r="AR853" s="5">
        <f t="shared" si="150"/>
        <v>-1.1570620064332626E-2</v>
      </c>
      <c r="AS853" s="5">
        <f t="shared" si="151"/>
        <v>-8.9524628042414456E-3</v>
      </c>
      <c r="AT853" s="5">
        <f t="shared" si="152"/>
        <v>-1.1333221456440112E-2</v>
      </c>
    </row>
    <row r="854" spans="12:46" x14ac:dyDescent="0.25">
      <c r="L854" s="4">
        <v>44314.5</v>
      </c>
      <c r="M854">
        <v>47.31</v>
      </c>
      <c r="N854">
        <v>48.4</v>
      </c>
      <c r="O854">
        <v>47.28</v>
      </c>
      <c r="P854">
        <v>47.83</v>
      </c>
      <c r="Q854">
        <v>32443</v>
      </c>
      <c r="R854">
        <v>453687</v>
      </c>
      <c r="S854">
        <v>21.79</v>
      </c>
      <c r="T854">
        <v>22.02</v>
      </c>
      <c r="U854">
        <v>21.55</v>
      </c>
      <c r="V854">
        <v>21.555</v>
      </c>
      <c r="W854">
        <v>705</v>
      </c>
      <c r="X854">
        <v>2.362869198312231E-2</v>
      </c>
      <c r="Y854">
        <v>-0.66090524438334552</v>
      </c>
      <c r="Z854">
        <v>0.27878592820409653</v>
      </c>
      <c r="AB854" s="3">
        <f t="shared" si="143"/>
        <v>-1.3438884920608789E-2</v>
      </c>
      <c r="AC854" s="3">
        <f t="shared" si="144"/>
        <v>-1.6768299581527826E-2</v>
      </c>
      <c r="AD854" s="3">
        <f t="shared" si="145"/>
        <v>-1.5516447039028415E-2</v>
      </c>
      <c r="AE854" s="76">
        <f t="shared" si="146"/>
        <v>-9046.3333333333358</v>
      </c>
      <c r="AF854" s="76">
        <f t="shared" si="147"/>
        <v>-7124.3571428571449</v>
      </c>
      <c r="AG854" s="76">
        <f t="shared" si="148"/>
        <v>-4362.039190897598</v>
      </c>
      <c r="AO854" s="5">
        <f t="shared" si="153"/>
        <v>2.0064724919093845E-2</v>
      </c>
      <c r="AP854" s="5">
        <f t="shared" si="149"/>
        <v>0.31660431251700127</v>
      </c>
      <c r="AR854" s="5">
        <f t="shared" si="150"/>
        <v>-1.1332039636981039E-2</v>
      </c>
      <c r="AS854" s="5">
        <f t="shared" si="151"/>
        <v>-8.1535628203533994E-3</v>
      </c>
      <c r="AT854" s="5">
        <f t="shared" si="152"/>
        <v>-1.0894163740062246E-2</v>
      </c>
    </row>
    <row r="855" spans="12:46" x14ac:dyDescent="0.25">
      <c r="L855" s="4">
        <v>44313.5</v>
      </c>
      <c r="M855">
        <v>47.4</v>
      </c>
      <c r="N855">
        <v>47.89</v>
      </c>
      <c r="O855">
        <v>46.35</v>
      </c>
      <c r="P855">
        <v>47.42</v>
      </c>
      <c r="Q855">
        <v>28971</v>
      </c>
      <c r="R855">
        <v>457761</v>
      </c>
      <c r="S855">
        <v>19.93</v>
      </c>
      <c r="T855">
        <v>21.5</v>
      </c>
      <c r="U855">
        <v>19.75</v>
      </c>
      <c r="V855">
        <v>21.405000000000001</v>
      </c>
      <c r="W855">
        <v>739</v>
      </c>
      <c r="X855">
        <v>3.2661717921527021E-2</v>
      </c>
      <c r="Y855">
        <v>-6.4440396616928478E-2</v>
      </c>
      <c r="Z855">
        <v>-5.1082015229499601E-2</v>
      </c>
      <c r="AB855" s="3">
        <f t="shared" si="143"/>
        <v>-1.359613216575779E-2</v>
      </c>
      <c r="AC855" s="3">
        <f t="shared" si="144"/>
        <v>-1.6760404826124242E-2</v>
      </c>
      <c r="AD855" s="3">
        <f t="shared" si="145"/>
        <v>-1.5628152791369646E-2</v>
      </c>
      <c r="AE855" s="76">
        <f t="shared" si="146"/>
        <v>-9095.1428571428587</v>
      </c>
      <c r="AF855" s="76">
        <f t="shared" si="147"/>
        <v>-7227.1488095238092</v>
      </c>
      <c r="AG855" s="76">
        <f t="shared" si="148"/>
        <v>-4677.6047197640146</v>
      </c>
      <c r="AO855" s="5">
        <f t="shared" si="153"/>
        <v>-1.1305460750853267E-2</v>
      </c>
      <c r="AP855" s="5">
        <f t="shared" si="149"/>
        <v>0.31685134526465913</v>
      </c>
      <c r="AR855" s="5">
        <f t="shared" si="150"/>
        <v>-1.1097608028917183E-2</v>
      </c>
      <c r="AS855" s="5">
        <f t="shared" si="151"/>
        <v>-7.3607974689872679E-3</v>
      </c>
      <c r="AT855" s="5">
        <f t="shared" si="152"/>
        <v>-1.038689634234391E-2</v>
      </c>
    </row>
    <row r="856" spans="12:46" x14ac:dyDescent="0.25">
      <c r="L856" s="4">
        <v>44312.5</v>
      </c>
      <c r="M856">
        <v>47.15</v>
      </c>
      <c r="N856">
        <v>47.73</v>
      </c>
      <c r="O856">
        <v>46.88</v>
      </c>
      <c r="P856">
        <v>47.46</v>
      </c>
      <c r="Q856">
        <v>24335</v>
      </c>
      <c r="R856">
        <v>456544</v>
      </c>
      <c r="S856">
        <v>20.2</v>
      </c>
      <c r="T856">
        <v>20.46</v>
      </c>
      <c r="U856">
        <v>19.975000000000001</v>
      </c>
      <c r="V856">
        <v>20</v>
      </c>
      <c r="W856">
        <v>952</v>
      </c>
      <c r="X856">
        <v>1.8104366347177728E-2</v>
      </c>
      <c r="Y856">
        <v>-1.0373679752637992</v>
      </c>
      <c r="Z856">
        <v>-0.50025072237974511</v>
      </c>
      <c r="AB856" s="3">
        <f t="shared" si="143"/>
        <v>-1.2660334195788308E-2</v>
      </c>
      <c r="AC856" s="3">
        <f t="shared" si="144"/>
        <v>-1.6354395677963273E-2</v>
      </c>
      <c r="AD856" s="3">
        <f t="shared" si="145"/>
        <v>-1.5467318122241464E-2</v>
      </c>
      <c r="AE856" s="76">
        <f t="shared" si="146"/>
        <v>-9836.9523809523816</v>
      </c>
      <c r="AF856" s="76">
        <f t="shared" si="147"/>
        <v>-7654.2619047619046</v>
      </c>
      <c r="AG856" s="76">
        <f t="shared" si="148"/>
        <v>-5262.2600084281476</v>
      </c>
      <c r="AO856" s="5">
        <f t="shared" si="153"/>
        <v>1.6919739696312389E-2</v>
      </c>
      <c r="AP856" s="5">
        <f t="shared" si="149"/>
        <v>0.31722290052298457</v>
      </c>
      <c r="AR856" s="5">
        <f t="shared" si="150"/>
        <v>-1.0865397944548105E-2</v>
      </c>
      <c r="AS856" s="5">
        <f t="shared" si="151"/>
        <v>-6.5627685691728166E-3</v>
      </c>
      <c r="AT856" s="5">
        <f t="shared" si="152"/>
        <v>-9.8773693354579084E-3</v>
      </c>
    </row>
    <row r="857" spans="12:46" x14ac:dyDescent="0.25">
      <c r="L857" s="4">
        <v>44309.5</v>
      </c>
      <c r="M857">
        <v>46.95</v>
      </c>
      <c r="N857">
        <v>47.29</v>
      </c>
      <c r="O857">
        <v>46.1</v>
      </c>
      <c r="P857">
        <v>46.88</v>
      </c>
      <c r="Q857">
        <v>32007</v>
      </c>
      <c r="R857">
        <v>455240</v>
      </c>
      <c r="S857">
        <v>20.8</v>
      </c>
      <c r="T857">
        <v>20.8</v>
      </c>
      <c r="U857">
        <v>19.71</v>
      </c>
      <c r="V857">
        <v>20.045000000000002</v>
      </c>
      <c r="W857">
        <v>180</v>
      </c>
      <c r="X857">
        <v>2.5701943844492394E-2</v>
      </c>
      <c r="Y857">
        <v>-0.55548953876516494</v>
      </c>
      <c r="Z857">
        <v>0.26758179049046721</v>
      </c>
      <c r="AB857" s="3">
        <f t="shared" si="143"/>
        <v>-1.1607104619410898E-2</v>
      </c>
      <c r="AC857" s="3">
        <f t="shared" si="144"/>
        <v>-1.5142076484158544E-2</v>
      </c>
      <c r="AD857" s="3">
        <f t="shared" si="145"/>
        <v>-1.4292497198508058E-2</v>
      </c>
      <c r="AE857" s="76">
        <f t="shared" si="146"/>
        <v>-9801.0476190476184</v>
      </c>
      <c r="AF857" s="76">
        <f t="shared" si="147"/>
        <v>-7633.8095238095229</v>
      </c>
      <c r="AG857" s="76">
        <f t="shared" si="148"/>
        <v>-5307.0193847450464</v>
      </c>
      <c r="AO857" s="5">
        <f t="shared" si="153"/>
        <v>-1.0834236186348246E-3</v>
      </c>
      <c r="AP857" s="5">
        <f t="shared" si="149"/>
        <v>0.31766986456558149</v>
      </c>
      <c r="AR857" s="5">
        <f t="shared" si="150"/>
        <v>-1.0561474047711961E-2</v>
      </c>
      <c r="AS857" s="5">
        <f t="shared" si="151"/>
        <v>-5.75938476210619E-3</v>
      </c>
      <c r="AT857" s="5">
        <f t="shared" si="152"/>
        <v>-9.3107077558715612E-3</v>
      </c>
    </row>
    <row r="858" spans="12:46" x14ac:dyDescent="0.25">
      <c r="L858" s="4">
        <v>44308.5</v>
      </c>
      <c r="M858">
        <v>46.3</v>
      </c>
      <c r="N858">
        <v>47.36</v>
      </c>
      <c r="O858">
        <v>46.15</v>
      </c>
      <c r="P858">
        <v>47.1</v>
      </c>
      <c r="Q858">
        <v>38214</v>
      </c>
      <c r="R858">
        <v>452812</v>
      </c>
      <c r="S858">
        <v>21.3</v>
      </c>
      <c r="T858">
        <v>21.54</v>
      </c>
      <c r="U858">
        <v>21.3</v>
      </c>
      <c r="V858">
        <v>21.37</v>
      </c>
      <c r="W858">
        <v>456</v>
      </c>
      <c r="X858">
        <v>2.6888888888888907E-2</v>
      </c>
      <c r="Y858">
        <v>-0.4711064939732168</v>
      </c>
      <c r="Z858">
        <v>0.88765084450686238</v>
      </c>
      <c r="AB858" s="3">
        <f t="shared" si="143"/>
        <v>-9.5583079510467503E-3</v>
      </c>
      <c r="AC858" s="3">
        <f t="shared" si="144"/>
        <v>-1.3581443606733683E-2</v>
      </c>
      <c r="AD858" s="3">
        <f t="shared" si="145"/>
        <v>-1.293629905017496E-2</v>
      </c>
      <c r="AE858" s="76">
        <f t="shared" si="146"/>
        <v>-8070.6190476190495</v>
      </c>
      <c r="AF858" s="76">
        <f t="shared" si="147"/>
        <v>-6520.0238095238092</v>
      </c>
      <c r="AG858" s="76">
        <f t="shared" si="148"/>
        <v>-4491.9498525073759</v>
      </c>
      <c r="AO858" s="5">
        <f t="shared" si="153"/>
        <v>3.0594015185350546E-2</v>
      </c>
      <c r="AP858" s="5">
        <f t="shared" si="149"/>
        <v>0.3184545211578732</v>
      </c>
      <c r="AR858" s="5">
        <f t="shared" si="150"/>
        <v>-1.0262907792654541E-2</v>
      </c>
      <c r="AS858" s="5">
        <f t="shared" si="151"/>
        <v>-4.9108584682892586E-3</v>
      </c>
      <c r="AT858" s="5">
        <f t="shared" si="152"/>
        <v>-8.7387826168903171E-3</v>
      </c>
    </row>
    <row r="859" spans="12:46" x14ac:dyDescent="0.25">
      <c r="L859" s="4">
        <v>44307.5</v>
      </c>
      <c r="M859">
        <v>45</v>
      </c>
      <c r="N859">
        <v>46.5</v>
      </c>
      <c r="O859">
        <v>44.78</v>
      </c>
      <c r="P859">
        <v>46.4</v>
      </c>
      <c r="Q859">
        <v>38579</v>
      </c>
      <c r="R859">
        <v>450505</v>
      </c>
      <c r="S859">
        <v>21.015000000000001</v>
      </c>
      <c r="T859">
        <v>21.25</v>
      </c>
      <c r="U859">
        <v>20.85</v>
      </c>
      <c r="V859">
        <v>21.11</v>
      </c>
      <c r="W859">
        <v>2016</v>
      </c>
      <c r="X859">
        <v>3.8958097395243467E-2</v>
      </c>
      <c r="Y859">
        <v>0.31916929519517478</v>
      </c>
      <c r="Z859">
        <v>0.95061712115188424</v>
      </c>
      <c r="AB859" s="3">
        <f t="shared" si="143"/>
        <v>-1.040468631626186E-2</v>
      </c>
      <c r="AC859" s="3">
        <f t="shared" si="144"/>
        <v>-1.3936581815907546E-2</v>
      </c>
      <c r="AD859" s="3">
        <f t="shared" si="145"/>
        <v>-1.3225815400171863E-2</v>
      </c>
      <c r="AE859" s="76">
        <f t="shared" si="146"/>
        <v>-7919.3809523809505</v>
      </c>
      <c r="AF859" s="76">
        <f t="shared" si="147"/>
        <v>-6461.4523809523816</v>
      </c>
      <c r="AG859" s="76">
        <f t="shared" si="148"/>
        <v>-4587.5705857564244</v>
      </c>
      <c r="AO859" s="5">
        <f t="shared" si="153"/>
        <v>2.0277967646388711E-2</v>
      </c>
      <c r="AP859" s="5">
        <f t="shared" si="149"/>
        <v>0.31774950463112916</v>
      </c>
      <c r="AR859" s="5">
        <f t="shared" si="150"/>
        <v>-1.0115506712204181E-2</v>
      </c>
      <c r="AS859" s="5">
        <f t="shared" si="151"/>
        <v>-4.1924337000542877E-3</v>
      </c>
      <c r="AT859" s="5">
        <f t="shared" si="152"/>
        <v>-8.2851911746029128E-3</v>
      </c>
    </row>
    <row r="860" spans="12:46" x14ac:dyDescent="0.25">
      <c r="L860" s="4">
        <v>44306.5</v>
      </c>
      <c r="M860">
        <v>44.15</v>
      </c>
      <c r="N860">
        <v>45.19</v>
      </c>
      <c r="O860">
        <v>43.89</v>
      </c>
      <c r="P860">
        <v>45.17</v>
      </c>
      <c r="Q860">
        <v>30806</v>
      </c>
      <c r="R860">
        <v>448140</v>
      </c>
      <c r="S860">
        <v>20.85</v>
      </c>
      <c r="T860">
        <v>21.335000000000001</v>
      </c>
      <c r="U860">
        <v>20.675000000000001</v>
      </c>
      <c r="V860">
        <v>21.065000000000001</v>
      </c>
      <c r="W860">
        <v>1399</v>
      </c>
      <c r="X860">
        <v>2.9292474087426704E-2</v>
      </c>
      <c r="Y860">
        <v>-0.32299799519013694</v>
      </c>
      <c r="Z860">
        <v>0.21284050652529848</v>
      </c>
      <c r="AB860" s="3">
        <f t="shared" si="143"/>
        <v>-1.0826927603430157E-2</v>
      </c>
      <c r="AC860" s="3">
        <f t="shared" si="144"/>
        <v>-1.4258718742376091E-2</v>
      </c>
      <c r="AD860" s="3">
        <f t="shared" si="145"/>
        <v>-1.3425085259010369E-2</v>
      </c>
      <c r="AE860" s="76">
        <f t="shared" si="146"/>
        <v>-6885.4285714285688</v>
      </c>
      <c r="AF860" s="76">
        <f t="shared" si="147"/>
        <v>-5540.4940476190459</v>
      </c>
      <c r="AG860" s="76">
        <f t="shared" si="148"/>
        <v>-4046.1651917404124</v>
      </c>
      <c r="AO860" s="5">
        <f t="shared" si="153"/>
        <v>9.1220068415049369E-4</v>
      </c>
      <c r="AP860" s="5">
        <f t="shared" si="149"/>
        <v>0.31797916704234386</v>
      </c>
      <c r="AR860" s="5">
        <f t="shared" si="150"/>
        <v>-9.9032776061551697E-3</v>
      </c>
      <c r="AS860" s="5">
        <f t="shared" si="151"/>
        <v>-3.4465324324462476E-3</v>
      </c>
      <c r="AT860" s="5">
        <f t="shared" si="152"/>
        <v>-7.8060974310099063E-3</v>
      </c>
    </row>
    <row r="861" spans="12:46" x14ac:dyDescent="0.25">
      <c r="L861" s="4">
        <v>44305.5</v>
      </c>
      <c r="M861">
        <v>44.38</v>
      </c>
      <c r="N861">
        <v>44.95</v>
      </c>
      <c r="O861">
        <v>43.85</v>
      </c>
      <c r="P861">
        <v>43.87</v>
      </c>
      <c r="Q861">
        <v>25097</v>
      </c>
      <c r="R861">
        <v>448441</v>
      </c>
      <c r="S861">
        <v>20.875</v>
      </c>
      <c r="T861">
        <v>21.12</v>
      </c>
      <c r="U861">
        <v>20.85</v>
      </c>
      <c r="V861">
        <v>20.94</v>
      </c>
      <c r="W861">
        <v>1430</v>
      </c>
      <c r="X861">
        <v>2.4774774774774806E-2</v>
      </c>
      <c r="Y861">
        <v>-0.64046201020041427</v>
      </c>
      <c r="Z861">
        <v>-0.33524633158277539</v>
      </c>
      <c r="AB861" s="3">
        <f t="shared" si="143"/>
        <v>-1.0913344159937648E-2</v>
      </c>
      <c r="AC861" s="3">
        <f t="shared" si="144"/>
        <v>-1.4134330961816304E-2</v>
      </c>
      <c r="AD861" s="3">
        <f t="shared" si="145"/>
        <v>-1.3317430888650398E-2</v>
      </c>
      <c r="AE861" s="76">
        <f t="shared" si="146"/>
        <v>-7065.0952380952367</v>
      </c>
      <c r="AF861" s="76">
        <f t="shared" si="147"/>
        <v>-5316.6547619047597</v>
      </c>
      <c r="AG861" s="76">
        <f t="shared" si="148"/>
        <v>-4265.9907290349765</v>
      </c>
      <c r="AO861" s="5">
        <f t="shared" si="153"/>
        <v>-1.0158013544017963E-2</v>
      </c>
      <c r="AP861" s="5">
        <f t="shared" si="149"/>
        <v>0.31880839211861434</v>
      </c>
      <c r="AR861" s="5">
        <f t="shared" si="150"/>
        <v>-9.6161923851296738E-3</v>
      </c>
      <c r="AS861" s="5">
        <f t="shared" si="151"/>
        <v>-2.6738437844678331E-3</v>
      </c>
      <c r="AT861" s="5">
        <f t="shared" si="152"/>
        <v>-7.3078178964339213E-3</v>
      </c>
    </row>
    <row r="862" spans="12:46" x14ac:dyDescent="0.25">
      <c r="L862" s="4">
        <v>44302.5</v>
      </c>
      <c r="M862">
        <v>44.4</v>
      </c>
      <c r="N862">
        <v>44.9</v>
      </c>
      <c r="O862">
        <v>44.3</v>
      </c>
      <c r="P862">
        <v>44.4</v>
      </c>
      <c r="Q862">
        <v>21213</v>
      </c>
      <c r="R862">
        <v>446004</v>
      </c>
      <c r="S862">
        <v>20.625</v>
      </c>
      <c r="T862">
        <v>20.8</v>
      </c>
      <c r="U862">
        <v>20.5</v>
      </c>
      <c r="V862">
        <v>20.54</v>
      </c>
      <c r="W862">
        <v>425</v>
      </c>
      <c r="X862">
        <v>1.3704888076747405E-2</v>
      </c>
      <c r="Y862">
        <v>-1.3920673917523272</v>
      </c>
      <c r="Z862">
        <v>-0.72649687980765687</v>
      </c>
      <c r="AB862" s="3">
        <f t="shared" si="143"/>
        <v>-1.0971270630849114E-2</v>
      </c>
      <c r="AC862" s="3">
        <f t="shared" si="144"/>
        <v>-1.4120553362355702E-2</v>
      </c>
      <c r="AD862" s="3">
        <f t="shared" si="145"/>
        <v>-1.3286652991572244E-2</v>
      </c>
      <c r="AE862" s="76">
        <f t="shared" si="146"/>
        <v>-7206.0476190476184</v>
      </c>
      <c r="AF862" s="76">
        <f t="shared" si="147"/>
        <v>-4836.1904761904771</v>
      </c>
      <c r="AG862" s="76">
        <f t="shared" si="148"/>
        <v>-4139.048883270123</v>
      </c>
      <c r="AO862" s="5">
        <f t="shared" si="153"/>
        <v>1.18775696665143E-2</v>
      </c>
      <c r="AP862" s="5">
        <f t="shared" si="149"/>
        <v>0.31927888310319041</v>
      </c>
      <c r="AR862" s="5">
        <f t="shared" si="150"/>
        <v>-9.3233528451685532E-3</v>
      </c>
      <c r="AS862" s="5">
        <f t="shared" si="151"/>
        <v>-1.9125814966022281E-3</v>
      </c>
      <c r="AT862" s="5">
        <f t="shared" si="152"/>
        <v>-6.8305647496373356E-3</v>
      </c>
    </row>
    <row r="863" spans="12:46" x14ac:dyDescent="0.25">
      <c r="L863" s="4">
        <v>44301.5</v>
      </c>
      <c r="M863">
        <v>43.78</v>
      </c>
      <c r="N863">
        <v>44.55</v>
      </c>
      <c r="O863">
        <v>43.78</v>
      </c>
      <c r="P863">
        <v>44.35</v>
      </c>
      <c r="Q863">
        <v>18921</v>
      </c>
      <c r="R863">
        <v>444192</v>
      </c>
      <c r="S863">
        <v>19.899999999999999</v>
      </c>
      <c r="T863">
        <v>20.385000000000002</v>
      </c>
      <c r="U863">
        <v>19.850000000000001</v>
      </c>
      <c r="V863">
        <v>20.260000000000002</v>
      </c>
      <c r="W863">
        <v>600</v>
      </c>
      <c r="X863">
        <v>1.7523896222120985E-2</v>
      </c>
      <c r="Y863">
        <v>-1.1789928213575742</v>
      </c>
      <c r="Z863">
        <v>-0.95514373950209108</v>
      </c>
      <c r="AB863" s="3">
        <f t="shared" si="143"/>
        <v>-9.7257634413470823E-3</v>
      </c>
      <c r="AC863" s="3">
        <f t="shared" si="144"/>
        <v>-1.3076130089776837E-2</v>
      </c>
      <c r="AD863" s="3">
        <f t="shared" si="145"/>
        <v>-1.2074518450326921E-2</v>
      </c>
      <c r="AE863" s="76">
        <f t="shared" si="146"/>
        <v>-6598.7142857142862</v>
      </c>
      <c r="AF863" s="76">
        <f t="shared" si="147"/>
        <v>-3799.7797619047633</v>
      </c>
      <c r="AG863" s="76">
        <f t="shared" si="148"/>
        <v>-3407.3080488832711</v>
      </c>
      <c r="AO863" s="5">
        <f t="shared" si="153"/>
        <v>7.5949367088607202E-3</v>
      </c>
      <c r="AP863" s="5">
        <f t="shared" si="149"/>
        <v>0.31997461766915641</v>
      </c>
      <c r="AR863" s="5">
        <f t="shared" si="150"/>
        <v>-9.1573940093339634E-3</v>
      </c>
      <c r="AS863" s="5">
        <f t="shared" si="151"/>
        <v>-1.2429873684017823E-3</v>
      </c>
      <c r="AT863" s="5">
        <f t="shared" si="152"/>
        <v>-6.4404451636345672E-3</v>
      </c>
    </row>
    <row r="864" spans="12:46" x14ac:dyDescent="0.25">
      <c r="L864" s="4">
        <v>44300.5</v>
      </c>
      <c r="M864">
        <v>43.94</v>
      </c>
      <c r="N864">
        <v>44.18</v>
      </c>
      <c r="O864">
        <v>43.45</v>
      </c>
      <c r="P864">
        <v>43.77</v>
      </c>
      <c r="Q864">
        <v>23008</v>
      </c>
      <c r="R864">
        <v>444017</v>
      </c>
      <c r="S864">
        <v>19.600000000000001</v>
      </c>
      <c r="T864">
        <v>19.774999999999999</v>
      </c>
      <c r="U864">
        <v>19.600000000000001</v>
      </c>
      <c r="V864">
        <v>19.68</v>
      </c>
      <c r="W864">
        <v>2028</v>
      </c>
      <c r="X864">
        <v>1.6375056078959106E-2</v>
      </c>
      <c r="Y864">
        <v>-1.2868575882010016</v>
      </c>
      <c r="Z864">
        <v>-0.5700866575886655</v>
      </c>
      <c r="AB864" s="3">
        <f t="shared" si="143"/>
        <v>-9.4819418810205003E-3</v>
      </c>
      <c r="AC864" s="3">
        <f t="shared" si="144"/>
        <v>-1.2169866544921644E-2</v>
      </c>
      <c r="AD864" s="3">
        <f t="shared" si="145"/>
        <v>-1.1369865979188654E-2</v>
      </c>
      <c r="AE864" s="76">
        <f t="shared" si="146"/>
        <v>-6000.8095238095229</v>
      </c>
      <c r="AF864" s="76">
        <f t="shared" si="147"/>
        <v>-2404.3809523809505</v>
      </c>
      <c r="AG864" s="76">
        <f t="shared" si="148"/>
        <v>-2406.2254530130631</v>
      </c>
      <c r="AO864" s="5">
        <f t="shared" si="153"/>
        <v>-6.1756633119852706E-3</v>
      </c>
      <c r="AP864" s="5">
        <f t="shared" si="149"/>
        <v>0.32079305565217769</v>
      </c>
      <c r="AR864" s="5">
        <f t="shared" si="150"/>
        <v>-8.9501351351932712E-3</v>
      </c>
      <c r="AS864" s="5">
        <f t="shared" si="151"/>
        <v>-5.5540556384697792E-4</v>
      </c>
      <c r="AT864" s="5">
        <f t="shared" si="152"/>
        <v>-6.0592213675981221E-3</v>
      </c>
    </row>
    <row r="865" spans="12:46" x14ac:dyDescent="0.25">
      <c r="L865" s="4">
        <v>44299.5</v>
      </c>
      <c r="M865">
        <v>44.58</v>
      </c>
      <c r="N865">
        <v>44.69</v>
      </c>
      <c r="O865">
        <v>43.72</v>
      </c>
      <c r="P865">
        <v>43.77</v>
      </c>
      <c r="Q865">
        <v>23136</v>
      </c>
      <c r="R865">
        <v>444513</v>
      </c>
      <c r="S865">
        <v>19.72</v>
      </c>
      <c r="T865">
        <v>19.850000000000001</v>
      </c>
      <c r="U865">
        <v>19.47</v>
      </c>
      <c r="V865">
        <v>19.510000000000002</v>
      </c>
      <c r="W865">
        <v>1163</v>
      </c>
      <c r="X865">
        <v>2.2268135904499515E-2</v>
      </c>
      <c r="Y865">
        <v>-0.92633304832458663</v>
      </c>
      <c r="Z865">
        <v>-0.5625297364683054</v>
      </c>
      <c r="AB865" s="3">
        <f t="shared" si="143"/>
        <v>-9.3233908178887819E-3</v>
      </c>
      <c r="AC865" s="3">
        <f t="shared" si="144"/>
        <v>-1.1907029556289955E-2</v>
      </c>
      <c r="AD865" s="3">
        <f t="shared" si="145"/>
        <v>-1.0955319607023808E-2</v>
      </c>
      <c r="AE865" s="76">
        <f t="shared" si="146"/>
        <v>-4655.6190476190459</v>
      </c>
      <c r="AF865" s="76">
        <f t="shared" si="147"/>
        <v>-961.18452380952294</v>
      </c>
      <c r="AG865" s="76">
        <f t="shared" si="148"/>
        <v>-1454.4176148335428</v>
      </c>
      <c r="AO865" s="5">
        <f t="shared" si="153"/>
        <v>4.3648058810015558E-3</v>
      </c>
      <c r="AP865" s="5">
        <f t="shared" si="149"/>
        <v>0.32147168571599649</v>
      </c>
      <c r="AR865" s="5">
        <f t="shared" si="150"/>
        <v>-8.6903292052358805E-3</v>
      </c>
      <c r="AS865" s="5">
        <f t="shared" si="151"/>
        <v>1.3440259565061785E-4</v>
      </c>
      <c r="AT865" s="5">
        <f t="shared" si="152"/>
        <v>-5.6449704084644559E-3</v>
      </c>
    </row>
    <row r="866" spans="12:46" x14ac:dyDescent="0.25">
      <c r="L866" s="4">
        <v>44298.5</v>
      </c>
      <c r="M866">
        <v>43.56</v>
      </c>
      <c r="N866">
        <v>44.62</v>
      </c>
      <c r="O866">
        <v>43.53</v>
      </c>
      <c r="P866">
        <v>44.42</v>
      </c>
      <c r="Q866">
        <v>22158</v>
      </c>
      <c r="R866">
        <v>443734</v>
      </c>
      <c r="S866">
        <v>19.395</v>
      </c>
      <c r="T866">
        <v>19.725000000000001</v>
      </c>
      <c r="U866">
        <v>19.260000000000002</v>
      </c>
      <c r="V866">
        <v>19.649999999999999</v>
      </c>
      <c r="W866">
        <v>1480</v>
      </c>
      <c r="X866">
        <v>2.5017213679136938E-2</v>
      </c>
      <c r="Y866">
        <v>-0.75967074753465158</v>
      </c>
      <c r="Z866">
        <v>-0.6402697479322973</v>
      </c>
      <c r="AB866" s="3">
        <f t="shared" si="143"/>
        <v>-1.1293986002409447E-2</v>
      </c>
      <c r="AC866" s="3">
        <f t="shared" si="144"/>
        <v>-1.1271797340033814E-2</v>
      </c>
      <c r="AD866" s="3">
        <f t="shared" si="145"/>
        <v>-1.0712656276935566E-2</v>
      </c>
      <c r="AE866" s="76">
        <f t="shared" si="146"/>
        <v>-4204.2857142857138</v>
      </c>
      <c r="AF866" s="76">
        <f t="shared" si="147"/>
        <v>513.52380952380918</v>
      </c>
      <c r="AG866" s="76">
        <f t="shared" si="148"/>
        <v>-593.24610198061418</v>
      </c>
      <c r="AO866" s="5">
        <f t="shared" si="153"/>
        <v>8.5727525486562692E-3</v>
      </c>
      <c r="AP866" s="5">
        <f t="shared" si="149"/>
        <v>0.32234141728473942</v>
      </c>
      <c r="AR866" s="5">
        <f t="shared" si="150"/>
        <v>-8.0181280796179921E-3</v>
      </c>
      <c r="AS866" s="5">
        <f t="shared" si="151"/>
        <v>8.060865191618638E-4</v>
      </c>
      <c r="AT866" s="5">
        <f t="shared" si="152"/>
        <v>-5.2587862056777679E-3</v>
      </c>
    </row>
    <row r="867" spans="12:46" x14ac:dyDescent="0.25">
      <c r="L867" s="4">
        <v>44295.5</v>
      </c>
      <c r="M867">
        <v>43.57</v>
      </c>
      <c r="N867">
        <v>43.8</v>
      </c>
      <c r="O867">
        <v>43.16</v>
      </c>
      <c r="P867">
        <v>43.64</v>
      </c>
      <c r="Q867">
        <v>17457</v>
      </c>
      <c r="R867">
        <v>443565</v>
      </c>
      <c r="S867">
        <v>19.350000000000001</v>
      </c>
      <c r="T867">
        <v>19.364999999999998</v>
      </c>
      <c r="U867">
        <v>18.899999999999999</v>
      </c>
      <c r="V867">
        <v>18.940000000000001</v>
      </c>
      <c r="W867">
        <v>1182</v>
      </c>
      <c r="X867">
        <v>1.4591883264933894E-2</v>
      </c>
      <c r="Y867">
        <v>-1.4890939784447113</v>
      </c>
      <c r="Z867">
        <v>-1.097323972632404</v>
      </c>
      <c r="AB867" s="3">
        <f t="shared" si="143"/>
        <v>-1.1555833796438195E-2</v>
      </c>
      <c r="AC867" s="3">
        <f t="shared" si="144"/>
        <v>-1.0615707028461936E-2</v>
      </c>
      <c r="AD867" s="3">
        <f t="shared" si="145"/>
        <v>-1.0232409279483726E-2</v>
      </c>
      <c r="AE867" s="76">
        <f t="shared" si="146"/>
        <v>-5257.1428571428587</v>
      </c>
      <c r="AF867" s="76">
        <f t="shared" si="147"/>
        <v>1220.6607142857138</v>
      </c>
      <c r="AG867" s="76">
        <f t="shared" si="148"/>
        <v>-257.36915297092492</v>
      </c>
      <c r="AO867" s="5">
        <f t="shared" si="153"/>
        <v>-3.6934441366575184E-3</v>
      </c>
      <c r="AP867" s="5">
        <f t="shared" si="149"/>
        <v>0.32316013413185563</v>
      </c>
      <c r="AR867" s="5">
        <f t="shared" si="150"/>
        <v>-7.2069740277377892E-3</v>
      </c>
      <c r="AS867" s="5">
        <f t="shared" si="151"/>
        <v>1.4608794144932991E-3</v>
      </c>
      <c r="AT867" s="5">
        <f t="shared" si="152"/>
        <v>-4.9006305255845928E-3</v>
      </c>
    </row>
    <row r="868" spans="12:46" x14ac:dyDescent="0.25">
      <c r="L868" s="4">
        <v>44294.5</v>
      </c>
      <c r="M868">
        <v>43.86</v>
      </c>
      <c r="N868">
        <v>44.05</v>
      </c>
      <c r="O868">
        <v>43.32</v>
      </c>
      <c r="P868">
        <v>43.48</v>
      </c>
      <c r="Q868">
        <v>30530</v>
      </c>
      <c r="R868">
        <v>442919</v>
      </c>
      <c r="S868">
        <v>19.324999999999999</v>
      </c>
      <c r="T868">
        <v>19.45</v>
      </c>
      <c r="U868">
        <v>18.975000000000001</v>
      </c>
      <c r="V868">
        <v>18.989999999999998</v>
      </c>
      <c r="W868">
        <v>625</v>
      </c>
      <c r="X868">
        <v>1.6459977452085613E-2</v>
      </c>
      <c r="Y868">
        <v>-1.3928755496150538</v>
      </c>
      <c r="Z868">
        <v>0.17462136299859998</v>
      </c>
      <c r="AB868" s="3">
        <f t="shared" si="143"/>
        <v>-1.1101637240743333E-2</v>
      </c>
      <c r="AC868" s="3">
        <f t="shared" si="144"/>
        <v>-9.2355324982938206E-3</v>
      </c>
      <c r="AD868" s="3">
        <f t="shared" si="145"/>
        <v>-9.0026355245211923E-3</v>
      </c>
      <c r="AE868" s="76">
        <f t="shared" si="146"/>
        <v>-3551.2380952380954</v>
      </c>
      <c r="AF868" s="76">
        <f t="shared" si="147"/>
        <v>3251.1845238095229</v>
      </c>
      <c r="AG868" s="76">
        <f t="shared" si="148"/>
        <v>1342.556679308891</v>
      </c>
      <c r="AO868" s="5">
        <f t="shared" si="153"/>
        <v>-5.052824988516281E-3</v>
      </c>
      <c r="AP868" s="5">
        <f t="shared" si="149"/>
        <v>0.32394414778068453</v>
      </c>
      <c r="AR868" s="5">
        <f t="shared" si="150"/>
        <v>-6.3724961969673366E-3</v>
      </c>
      <c r="AS868" s="5">
        <f t="shared" si="151"/>
        <v>2.1401239822941287E-3</v>
      </c>
      <c r="AT868" s="5">
        <f t="shared" si="152"/>
        <v>-4.5619951191009922E-3</v>
      </c>
    </row>
    <row r="869" spans="12:46" x14ac:dyDescent="0.25">
      <c r="L869" s="4">
        <v>44293.5</v>
      </c>
      <c r="M869">
        <v>44.35</v>
      </c>
      <c r="N869">
        <v>44.35</v>
      </c>
      <c r="O869">
        <v>43.54</v>
      </c>
      <c r="P869">
        <v>43.86</v>
      </c>
      <c r="Q869">
        <v>24146</v>
      </c>
      <c r="R869">
        <v>451532</v>
      </c>
      <c r="S869">
        <v>19.649999999999999</v>
      </c>
      <c r="T869">
        <v>19.725000000000001</v>
      </c>
      <c r="U869">
        <v>19.175000000000001</v>
      </c>
      <c r="V869">
        <v>19.285</v>
      </c>
      <c r="W869">
        <v>828</v>
      </c>
      <c r="X869">
        <v>1.8991793669402166E-2</v>
      </c>
      <c r="Y869">
        <v>-1.2492520203937287</v>
      </c>
      <c r="Z869">
        <v>-0.43032764098208476</v>
      </c>
      <c r="AB869" s="3">
        <f t="shared" si="143"/>
        <v>-1.0033125411849374E-2</v>
      </c>
      <c r="AC869" s="3">
        <f t="shared" si="144"/>
        <v>-8.3053780010414781E-3</v>
      </c>
      <c r="AD869" s="3">
        <f t="shared" si="145"/>
        <v>-8.3300772947192785E-3</v>
      </c>
      <c r="AE869" s="76">
        <f t="shared" si="146"/>
        <v>-3043.9047619047633</v>
      </c>
      <c r="AF869" s="76">
        <f t="shared" si="147"/>
        <v>4145.1607142857138</v>
      </c>
      <c r="AG869" s="76">
        <f t="shared" si="148"/>
        <v>1841.0442477876095</v>
      </c>
      <c r="AO869" s="5">
        <f t="shared" si="153"/>
        <v>2.0867526377491223E-2</v>
      </c>
      <c r="AP869" s="5">
        <f t="shared" si="149"/>
        <v>0.3246890700357169</v>
      </c>
      <c r="AR869" s="5">
        <f t="shared" si="150"/>
        <v>-5.5515404360528264E-3</v>
      </c>
      <c r="AS869" s="5">
        <f t="shared" si="151"/>
        <v>2.8259528035629033E-3</v>
      </c>
      <c r="AT869" s="5">
        <f t="shared" si="152"/>
        <v>-4.2134470753502073E-3</v>
      </c>
    </row>
    <row r="870" spans="12:46" x14ac:dyDescent="0.25">
      <c r="L870" s="4">
        <v>44292.5</v>
      </c>
      <c r="M870">
        <v>42.65</v>
      </c>
      <c r="N870">
        <v>44.35</v>
      </c>
      <c r="O870">
        <v>42.65</v>
      </c>
      <c r="P870">
        <v>44.24</v>
      </c>
      <c r="Q870">
        <v>29166</v>
      </c>
      <c r="R870">
        <v>451256</v>
      </c>
      <c r="S870">
        <v>19.745000000000001</v>
      </c>
      <c r="T870">
        <v>19.824999999999999</v>
      </c>
      <c r="U870">
        <v>19.600000000000001</v>
      </c>
      <c r="V870">
        <v>19.78</v>
      </c>
      <c r="W870">
        <v>393</v>
      </c>
      <c r="X870">
        <v>4.0028255238992297E-2</v>
      </c>
      <c r="Y870">
        <v>0.24405271847481133</v>
      </c>
      <c r="Z870">
        <v>6.6168378422337984E-2</v>
      </c>
      <c r="AB870" s="3">
        <f t="shared" si="143"/>
        <v>-8.221864831735412E-3</v>
      </c>
      <c r="AC870" s="3">
        <f t="shared" si="144"/>
        <v>-6.872908141761308E-3</v>
      </c>
      <c r="AD870" s="3">
        <f t="shared" si="145"/>
        <v>-6.9774168678784498E-3</v>
      </c>
      <c r="AE870" s="76">
        <f t="shared" si="146"/>
        <v>-1974.7619047619046</v>
      </c>
      <c r="AF870" s="76">
        <f t="shared" si="147"/>
        <v>5028.3452380952403</v>
      </c>
      <c r="AG870" s="76">
        <f t="shared" si="148"/>
        <v>2584.1976401179963</v>
      </c>
      <c r="AO870" s="5">
        <f t="shared" si="153"/>
        <v>4.238285848834465E-3</v>
      </c>
      <c r="AP870" s="5">
        <f t="shared" si="149"/>
        <v>0.32492183807539032</v>
      </c>
      <c r="AR870" s="5">
        <f t="shared" si="150"/>
        <v>-4.9029892843356904E-3</v>
      </c>
      <c r="AS870" s="5">
        <f t="shared" si="151"/>
        <v>3.3601692275925799E-3</v>
      </c>
      <c r="AT870" s="5">
        <f t="shared" si="152"/>
        <v>-4.0253577447094679E-3</v>
      </c>
    </row>
    <row r="871" spans="12:46" x14ac:dyDescent="0.25">
      <c r="L871" s="4">
        <v>44291.5</v>
      </c>
      <c r="M871">
        <v>42.47</v>
      </c>
      <c r="N871">
        <v>42.47</v>
      </c>
      <c r="O871">
        <v>42.47</v>
      </c>
      <c r="P871">
        <v>42.47</v>
      </c>
      <c r="Q871">
        <v>0</v>
      </c>
      <c r="R871">
        <v>447921</v>
      </c>
      <c r="S871">
        <v>19.170000000000002</v>
      </c>
      <c r="T871">
        <v>19.170000000000002</v>
      </c>
      <c r="U871">
        <v>19.170000000000002</v>
      </c>
      <c r="V871">
        <v>19.170000000000002</v>
      </c>
      <c r="W871">
        <v>0</v>
      </c>
      <c r="X871">
        <v>0</v>
      </c>
      <c r="Y871">
        <v>-2.6183524168333956</v>
      </c>
      <c r="Z871">
        <v>-2.7350861110411921</v>
      </c>
      <c r="AB871" s="3">
        <f t="shared" si="143"/>
        <v>-9.2487755436921025E-3</v>
      </c>
      <c r="AC871" s="3">
        <f t="shared" si="144"/>
        <v>-7.5235698634642766E-3</v>
      </c>
      <c r="AD871" s="3">
        <f t="shared" si="145"/>
        <v>-7.4722752706120991E-3</v>
      </c>
      <c r="AE871" s="76">
        <f t="shared" si="146"/>
        <v>-2828.2857142857138</v>
      </c>
      <c r="AF871" s="76">
        <f t="shared" si="147"/>
        <v>4795.3452380952367</v>
      </c>
      <c r="AG871" s="76">
        <f t="shared" si="148"/>
        <v>2201.618626211548</v>
      </c>
      <c r="AO871" s="5">
        <f t="shared" si="153"/>
        <v>8.7885985748217925E-3</v>
      </c>
      <c r="AP871" s="5">
        <f t="shared" si="149"/>
        <v>0.32582584619812671</v>
      </c>
      <c r="AR871" s="5">
        <f t="shared" si="150"/>
        <v>-4.1513552704850465E-3</v>
      </c>
      <c r="AS871" s="5">
        <f t="shared" si="151"/>
        <v>3.9777606282113687E-3</v>
      </c>
      <c r="AT871" s="5">
        <f t="shared" si="152"/>
        <v>-3.8505368546234986E-3</v>
      </c>
    </row>
    <row r="872" spans="12:46" x14ac:dyDescent="0.25">
      <c r="L872" s="4">
        <v>44288.5</v>
      </c>
      <c r="M872">
        <v>42.5</v>
      </c>
      <c r="N872">
        <v>42.88</v>
      </c>
      <c r="O872">
        <v>42.1</v>
      </c>
      <c r="P872">
        <v>42.47</v>
      </c>
      <c r="Q872">
        <v>0</v>
      </c>
      <c r="R872">
        <v>0</v>
      </c>
      <c r="S872">
        <v>19</v>
      </c>
      <c r="T872">
        <v>19.274999999999999</v>
      </c>
      <c r="U872">
        <v>19</v>
      </c>
      <c r="V872">
        <v>19.170000000000002</v>
      </c>
      <c r="W872">
        <v>0</v>
      </c>
      <c r="X872">
        <v>1.8352941176470614E-2</v>
      </c>
      <c r="Y872">
        <v>-1.4268800874959979</v>
      </c>
      <c r="Z872">
        <v>-2.7350861110411921</v>
      </c>
      <c r="AB872" s="3">
        <f t="shared" si="143"/>
        <v>-8.0555714702127343E-3</v>
      </c>
      <c r="AC872" s="3">
        <f t="shared" si="144"/>
        <v>-5.6354436474073608E-3</v>
      </c>
      <c r="AD872" s="3">
        <f t="shared" si="145"/>
        <v>-5.7596552996817818E-3</v>
      </c>
      <c r="AE872" s="76">
        <f t="shared" si="146"/>
        <v>-1711.6190476190459</v>
      </c>
      <c r="AF872" s="76">
        <f t="shared" si="147"/>
        <v>6252.9345238095229</v>
      </c>
      <c r="AG872" s="76">
        <f t="shared" si="148"/>
        <v>3651.7665402444181</v>
      </c>
      <c r="AO872" s="5">
        <f t="shared" si="153"/>
        <v>0</v>
      </c>
      <c r="AP872" s="5">
        <f t="shared" si="149"/>
        <v>0.32667167731888302</v>
      </c>
      <c r="AR872" s="5">
        <f t="shared" si="150"/>
        <v>-3.404691462903342E-3</v>
      </c>
      <c r="AS872" s="5">
        <f t="shared" si="151"/>
        <v>4.6130053320012077E-3</v>
      </c>
      <c r="AT872" s="5">
        <f t="shared" si="152"/>
        <v>-3.7063689910415976E-3</v>
      </c>
    </row>
    <row r="873" spans="12:46" x14ac:dyDescent="0.25">
      <c r="L873" s="4">
        <v>44287.5</v>
      </c>
      <c r="M873">
        <v>42.5</v>
      </c>
      <c r="N873">
        <v>42.88</v>
      </c>
      <c r="O873">
        <v>42.1</v>
      </c>
      <c r="P873">
        <v>42.47</v>
      </c>
      <c r="Q873">
        <v>17082</v>
      </c>
      <c r="R873">
        <v>447921</v>
      </c>
      <c r="S873">
        <v>19</v>
      </c>
      <c r="T873">
        <v>19.274999999999999</v>
      </c>
      <c r="U873">
        <v>19</v>
      </c>
      <c r="V873">
        <v>19.170000000000002</v>
      </c>
      <c r="W873">
        <v>547</v>
      </c>
      <c r="X873">
        <v>1.8514122952765277E-2</v>
      </c>
      <c r="Y873">
        <v>-1.4473844716799287</v>
      </c>
      <c r="Z873">
        <v>-1.1160472892417275</v>
      </c>
      <c r="AB873" s="3">
        <f t="shared" si="143"/>
        <v>-8.942360962055515E-3</v>
      </c>
      <c r="AC873" s="3">
        <f t="shared" si="144"/>
        <v>-4.0956282018650494E-3</v>
      </c>
      <c r="AD873" s="3">
        <f t="shared" si="145"/>
        <v>-4.6272704031995876E-3</v>
      </c>
      <c r="AE873" s="76">
        <f t="shared" si="146"/>
        <v>-1095.2380952380954</v>
      </c>
      <c r="AF873" s="76">
        <f t="shared" si="147"/>
        <v>7897.0833333333321</v>
      </c>
      <c r="AG873" s="76">
        <f t="shared" si="148"/>
        <v>5203.2486304256199</v>
      </c>
      <c r="AO873" s="5">
        <f t="shared" si="153"/>
        <v>3.5756853396900733E-3</v>
      </c>
      <c r="AP873" s="5">
        <f t="shared" si="149"/>
        <v>0.32757128153133869</v>
      </c>
      <c r="AR873" s="5">
        <f t="shared" si="150"/>
        <v>-2.5043058990614209E-3</v>
      </c>
      <c r="AS873" s="5">
        <f t="shared" si="151"/>
        <v>5.1329036170933429E-3</v>
      </c>
      <c r="AT873" s="5">
        <f t="shared" si="152"/>
        <v>-3.631173175034863E-3</v>
      </c>
    </row>
    <row r="874" spans="12:46" x14ac:dyDescent="0.25">
      <c r="L874" s="4">
        <v>44286.5</v>
      </c>
      <c r="M874">
        <v>42.13</v>
      </c>
      <c r="N874">
        <v>42.78</v>
      </c>
      <c r="O874">
        <v>41.95</v>
      </c>
      <c r="P874">
        <v>42.55</v>
      </c>
      <c r="Q874">
        <v>18133</v>
      </c>
      <c r="R874">
        <v>446907</v>
      </c>
      <c r="S874">
        <v>19.05</v>
      </c>
      <c r="T874">
        <v>19.170000000000002</v>
      </c>
      <c r="U874">
        <v>18.7</v>
      </c>
      <c r="V874">
        <v>18.835000000000001</v>
      </c>
      <c r="W874">
        <v>481</v>
      </c>
      <c r="X874">
        <v>1.9766611097880405E-2</v>
      </c>
      <c r="Y874">
        <v>-1.381368489934216</v>
      </c>
      <c r="Z874">
        <v>-0.98871089223135999</v>
      </c>
      <c r="AB874" s="3">
        <f t="shared" si="143"/>
        <v>-9.55144400538116E-3</v>
      </c>
      <c r="AC874" s="3">
        <f t="shared" si="144"/>
        <v>-3.4699717046734885E-3</v>
      </c>
      <c r="AD874" s="3">
        <f t="shared" si="145"/>
        <v>-3.7772544560708762E-3</v>
      </c>
      <c r="AE874" s="76">
        <f t="shared" si="146"/>
        <v>-1333.3809523809541</v>
      </c>
      <c r="AF874" s="76">
        <f t="shared" si="147"/>
        <v>8287.6011904761908</v>
      </c>
      <c r="AG874" s="76">
        <f t="shared" si="148"/>
        <v>5627.0817530552049</v>
      </c>
      <c r="AO874" s="5">
        <f t="shared" si="153"/>
        <v>1.2062726176115802E-2</v>
      </c>
      <c r="AP874" s="5">
        <f t="shared" si="149"/>
        <v>0.32850022615212088</v>
      </c>
      <c r="AR874" s="5">
        <f t="shared" si="150"/>
        <v>-1.2875338435610617E-3</v>
      </c>
      <c r="AS874" s="5">
        <f t="shared" si="151"/>
        <v>5.6277876127997506E-3</v>
      </c>
      <c r="AT874" s="5">
        <f t="shared" si="152"/>
        <v>-3.6069161213048151E-3</v>
      </c>
    </row>
    <row r="875" spans="12:46" x14ac:dyDescent="0.25">
      <c r="L875" s="4">
        <v>44285.5</v>
      </c>
      <c r="M875">
        <v>41.99</v>
      </c>
      <c r="N875">
        <v>42.51</v>
      </c>
      <c r="O875">
        <v>41.45</v>
      </c>
      <c r="P875">
        <v>42.05</v>
      </c>
      <c r="Q875">
        <v>26180</v>
      </c>
      <c r="R875">
        <v>445839</v>
      </c>
      <c r="S875">
        <v>18.2</v>
      </c>
      <c r="T875">
        <v>18.850000000000001</v>
      </c>
      <c r="U875">
        <v>18.2</v>
      </c>
      <c r="V875">
        <v>18.805</v>
      </c>
      <c r="W875">
        <v>0</v>
      </c>
      <c r="X875">
        <v>2.5486895888434603E-2</v>
      </c>
      <c r="Y875">
        <v>-0.97796616333401987</v>
      </c>
      <c r="Z875">
        <v>-0.19129081309215229</v>
      </c>
      <c r="AB875" s="3">
        <f t="shared" si="143"/>
        <v>-7.5500353196981118E-3</v>
      </c>
      <c r="AC875" s="3">
        <f t="shared" si="144"/>
        <v>-2.1928981102007916E-3</v>
      </c>
      <c r="AD875" s="3">
        <f t="shared" si="145"/>
        <v>-2.5784736216546769E-3</v>
      </c>
      <c r="AE875" s="76">
        <f t="shared" si="146"/>
        <v>-933.57142857142753</v>
      </c>
      <c r="AF875" s="76">
        <f t="shared" si="147"/>
        <v>8950.9583333333358</v>
      </c>
      <c r="AG875" s="76">
        <f t="shared" si="148"/>
        <v>6001.072903497683</v>
      </c>
      <c r="AO875" s="5">
        <f t="shared" si="153"/>
        <v>1.5931372549019749E-2</v>
      </c>
      <c r="AP875" s="5">
        <f t="shared" si="149"/>
        <v>0.32926403158712542</v>
      </c>
      <c r="AR875" s="5">
        <f t="shared" si="150"/>
        <v>-5.597127147682901E-5</v>
      </c>
      <c r="AS875" s="5">
        <f t="shared" si="151"/>
        <v>6.13396315907766E-3</v>
      </c>
      <c r="AT875" s="5">
        <f t="shared" si="152"/>
        <v>-3.6081607196278842E-3</v>
      </c>
    </row>
    <row r="876" spans="12:46" x14ac:dyDescent="0.25">
      <c r="L876" s="4">
        <v>44284.5</v>
      </c>
      <c r="M876">
        <v>41.59</v>
      </c>
      <c r="N876">
        <v>42.31</v>
      </c>
      <c r="O876">
        <v>40.799999999999997</v>
      </c>
      <c r="P876">
        <v>41.85</v>
      </c>
      <c r="Q876">
        <v>20248</v>
      </c>
      <c r="R876">
        <v>445232</v>
      </c>
      <c r="S876">
        <v>18.260000000000002</v>
      </c>
      <c r="T876">
        <v>18.594999999999999</v>
      </c>
      <c r="U876">
        <v>18.125</v>
      </c>
      <c r="V876">
        <v>18.445</v>
      </c>
      <c r="W876">
        <v>815</v>
      </c>
      <c r="X876">
        <v>3.7293158804643248E-2</v>
      </c>
      <c r="Y876">
        <v>-4.761900484055577E-2</v>
      </c>
      <c r="Z876">
        <v>-0.71145059097730057</v>
      </c>
      <c r="AB876" s="3">
        <f t="shared" si="143"/>
        <v>-7.3205869839201992E-3</v>
      </c>
      <c r="AC876" s="3">
        <f t="shared" si="144"/>
        <v>-2.0013450051236739E-3</v>
      </c>
      <c r="AD876" s="3">
        <f t="shared" si="145"/>
        <v>-2.6965013073956476E-3</v>
      </c>
      <c r="AE876" s="76">
        <f t="shared" si="146"/>
        <v>-1396.4761904761908</v>
      </c>
      <c r="AF876" s="76">
        <f t="shared" si="147"/>
        <v>8680.6547619047633</v>
      </c>
      <c r="AG876" s="76">
        <f t="shared" si="148"/>
        <v>5624.1133586177821</v>
      </c>
      <c r="AO876" s="5">
        <f t="shared" si="153"/>
        <v>1.5430562468889932E-2</v>
      </c>
      <c r="AP876" s="5">
        <f t="shared" si="149"/>
        <v>0.32984724599106968</v>
      </c>
      <c r="AR876" s="5">
        <f t="shared" si="150"/>
        <v>1.1921362239846189E-3</v>
      </c>
      <c r="AS876" s="5">
        <f t="shared" si="151"/>
        <v>6.6332121220305518E-3</v>
      </c>
      <c r="AT876" s="5">
        <f t="shared" si="152"/>
        <v>-3.606290976612192E-3</v>
      </c>
    </row>
    <row r="877" spans="12:46" x14ac:dyDescent="0.25">
      <c r="L877" s="4">
        <v>44281.5</v>
      </c>
      <c r="M877">
        <v>40.49</v>
      </c>
      <c r="N877">
        <v>41.85</v>
      </c>
      <c r="O877">
        <v>40.18</v>
      </c>
      <c r="P877">
        <v>41.73</v>
      </c>
      <c r="Q877">
        <v>24199</v>
      </c>
      <c r="R877">
        <v>443436</v>
      </c>
      <c r="S877">
        <v>18.600000000000001</v>
      </c>
      <c r="T877">
        <v>18.82</v>
      </c>
      <c r="U877">
        <v>18.574999999999999</v>
      </c>
      <c r="V877">
        <v>18.7</v>
      </c>
      <c r="W877">
        <v>1210</v>
      </c>
      <c r="X877">
        <v>4.0240963855421731E-2</v>
      </c>
      <c r="Y877">
        <v>0.18534974574850088</v>
      </c>
      <c r="Z877">
        <v>-0.30214394060883021</v>
      </c>
      <c r="AB877" s="3">
        <f t="shared" si="143"/>
        <v>-8.5177772440908281E-3</v>
      </c>
      <c r="AC877" s="3">
        <f t="shared" si="144"/>
        <v>-3.1533712870570815E-3</v>
      </c>
      <c r="AD877" s="3">
        <f t="shared" si="145"/>
        <v>-3.9672606922270814E-3</v>
      </c>
      <c r="AE877" s="76">
        <f t="shared" si="146"/>
        <v>-759.04761904761835</v>
      </c>
      <c r="AF877" s="76">
        <f t="shared" si="147"/>
        <v>8742.7619047619046</v>
      </c>
      <c r="AG877" s="76">
        <f t="shared" si="148"/>
        <v>5837.5507796038801</v>
      </c>
      <c r="AO877" s="5">
        <f t="shared" si="153"/>
        <v>1.3878374968458167E-2</v>
      </c>
      <c r="AP877" s="5">
        <f t="shared" si="149"/>
        <v>0.33046000863604713</v>
      </c>
      <c r="AR877" s="5">
        <f t="shared" si="150"/>
        <v>2.4475434691134113E-3</v>
      </c>
      <c r="AS877" s="5">
        <f t="shared" si="151"/>
        <v>7.1681351967728957E-3</v>
      </c>
      <c r="AT877" s="5">
        <f t="shared" si="152"/>
        <v>-3.5659647471202316E-3</v>
      </c>
    </row>
    <row r="878" spans="12:46" x14ac:dyDescent="0.25">
      <c r="L878" s="4">
        <v>44280.5</v>
      </c>
      <c r="M878">
        <v>41.5</v>
      </c>
      <c r="N878">
        <v>41.69</v>
      </c>
      <c r="O878">
        <v>39.630000000000003</v>
      </c>
      <c r="P878">
        <v>40.35</v>
      </c>
      <c r="Q878">
        <v>45024</v>
      </c>
      <c r="R878">
        <v>444274</v>
      </c>
      <c r="S878">
        <v>18.600000000000001</v>
      </c>
      <c r="T878">
        <v>18.600000000000001</v>
      </c>
      <c r="U878">
        <v>18.274999999999999</v>
      </c>
      <c r="V878">
        <v>18.364999999999998</v>
      </c>
      <c r="W878">
        <v>1494</v>
      </c>
      <c r="X878">
        <v>4.9638554216867352E-2</v>
      </c>
      <c r="Y878">
        <v>0.93564698529146706</v>
      </c>
      <c r="Z878">
        <v>1.5223745463079086</v>
      </c>
      <c r="AB878" s="3">
        <f t="shared" si="143"/>
        <v>-8.3719592543968074E-3</v>
      </c>
      <c r="AC878" s="3">
        <f t="shared" si="144"/>
        <v>-2.8142638992545502E-3</v>
      </c>
      <c r="AD878" s="3">
        <f t="shared" si="145"/>
        <v>-4.1579302644855348E-3</v>
      </c>
      <c r="AE878" s="76">
        <f t="shared" si="146"/>
        <v>-875.95238095238165</v>
      </c>
      <c r="AF878" s="76">
        <f t="shared" si="147"/>
        <v>8427.7202380952367</v>
      </c>
      <c r="AG878" s="76">
        <f t="shared" si="148"/>
        <v>5636.966287399915</v>
      </c>
      <c r="AO878" s="5">
        <f t="shared" si="153"/>
        <v>-2.7007120058924489E-2</v>
      </c>
      <c r="AP878" s="5">
        <f t="shared" si="149"/>
        <v>0.33115540507910868</v>
      </c>
      <c r="AR878" s="5">
        <f t="shared" si="150"/>
        <v>3.6028338527242521E-3</v>
      </c>
      <c r="AS878" s="5">
        <f t="shared" si="151"/>
        <v>7.6006818956765865E-3</v>
      </c>
      <c r="AT878" s="5">
        <f t="shared" si="152"/>
        <v>-3.614268662219644E-3</v>
      </c>
    </row>
    <row r="879" spans="12:46" x14ac:dyDescent="0.25">
      <c r="L879" s="4">
        <v>44279.5</v>
      </c>
      <c r="M879">
        <v>41.5</v>
      </c>
      <c r="N879">
        <v>41.69</v>
      </c>
      <c r="O879">
        <v>40.729999999999997</v>
      </c>
      <c r="P879">
        <v>41.6</v>
      </c>
      <c r="Q879">
        <v>33969</v>
      </c>
      <c r="R879">
        <v>445932</v>
      </c>
      <c r="S879">
        <v>18.649999999999999</v>
      </c>
      <c r="T879">
        <v>18.824999999999999</v>
      </c>
      <c r="U879">
        <v>18.024999999999999</v>
      </c>
      <c r="V879">
        <v>18.59</v>
      </c>
      <c r="W879">
        <v>1964</v>
      </c>
      <c r="X879">
        <v>2.2471910112359571E-2</v>
      </c>
      <c r="Y879">
        <v>-1.1249246240435189</v>
      </c>
      <c r="Z879">
        <v>0.62028338325701238</v>
      </c>
      <c r="AB879" s="3">
        <f t="shared" si="143"/>
        <v>-8.9165419131737034E-3</v>
      </c>
      <c r="AC879" s="3">
        <f t="shared" si="144"/>
        <v>-3.4939982139887069E-3</v>
      </c>
      <c r="AD879" s="3">
        <f t="shared" si="145"/>
        <v>-5.1138571427472926E-3</v>
      </c>
      <c r="AE879" s="76">
        <f t="shared" si="146"/>
        <v>-1994</v>
      </c>
      <c r="AF879" s="76">
        <f t="shared" si="147"/>
        <v>6819.0595238095229</v>
      </c>
      <c r="AG879" s="76">
        <f t="shared" si="148"/>
        <v>4520.0851243152138</v>
      </c>
      <c r="AO879" s="5">
        <f t="shared" si="153"/>
        <v>-1.4278799612778397E-2</v>
      </c>
      <c r="AP879" s="5">
        <f t="shared" si="149"/>
        <v>0.33011718926829736</v>
      </c>
      <c r="AR879" s="5">
        <f t="shared" si="150"/>
        <v>4.8261166601950012E-3</v>
      </c>
      <c r="AS879" s="5">
        <f t="shared" si="151"/>
        <v>8.0382172200467172E-3</v>
      </c>
      <c r="AT879" s="5">
        <f t="shared" si="152"/>
        <v>-3.3533608038654461E-3</v>
      </c>
    </row>
    <row r="880" spans="12:46" x14ac:dyDescent="0.25">
      <c r="L880" s="4">
        <v>44278.5</v>
      </c>
      <c r="M880">
        <v>42.72</v>
      </c>
      <c r="N880">
        <v>42.85</v>
      </c>
      <c r="O880">
        <v>41.32</v>
      </c>
      <c r="P880">
        <v>41.43</v>
      </c>
      <c r="Q880">
        <v>47388</v>
      </c>
      <c r="R880">
        <v>446752</v>
      </c>
      <c r="S880">
        <v>17.850000000000001</v>
      </c>
      <c r="T880">
        <v>18.399999999999999</v>
      </c>
      <c r="U880">
        <v>17.625</v>
      </c>
      <c r="V880">
        <v>18.39</v>
      </c>
      <c r="W880">
        <v>1755</v>
      </c>
      <c r="X880">
        <v>3.6602870813397158E-2</v>
      </c>
      <c r="Y880">
        <v>-4.9958102658455454E-2</v>
      </c>
      <c r="Z880">
        <v>1.7833235640203562</v>
      </c>
      <c r="AB880" s="3">
        <f t="shared" si="143"/>
        <v>-8.8128016927802449E-3</v>
      </c>
      <c r="AC880" s="3">
        <f t="shared" si="144"/>
        <v>-2.5394557889552513E-3</v>
      </c>
      <c r="AD880" s="3">
        <f t="shared" si="145"/>
        <v>-4.6045596590571225E-3</v>
      </c>
      <c r="AE880" s="76">
        <f t="shared" si="146"/>
        <v>-2165.1428571428551</v>
      </c>
      <c r="AF880" s="76">
        <f t="shared" si="147"/>
        <v>6486.9107142857138</v>
      </c>
      <c r="AG880" s="76">
        <f t="shared" si="148"/>
        <v>4148.1112515802779</v>
      </c>
      <c r="AO880" s="5">
        <f t="shared" si="153"/>
        <v>-8.8750299832093416E-3</v>
      </c>
      <c r="AP880" s="5">
        <f t="shared" si="149"/>
        <v>0.33040613589605622</v>
      </c>
      <c r="AR880" s="5">
        <f t="shared" si="150"/>
        <v>6.0858398584499596E-3</v>
      </c>
      <c r="AS880" s="5">
        <f t="shared" si="151"/>
        <v>8.5142241047737599E-3</v>
      </c>
      <c r="AT880" s="5">
        <f t="shared" si="152"/>
        <v>-3.0216964094270105E-3</v>
      </c>
    </row>
    <row r="881" spans="12:46" x14ac:dyDescent="0.25">
      <c r="L881" s="4">
        <v>44277.5</v>
      </c>
      <c r="M881">
        <v>41.8</v>
      </c>
      <c r="N881">
        <v>43</v>
      </c>
      <c r="O881">
        <v>41.69</v>
      </c>
      <c r="P881">
        <v>42.84</v>
      </c>
      <c r="Q881">
        <v>25823</v>
      </c>
      <c r="R881">
        <v>457890</v>
      </c>
      <c r="S881">
        <v>17.27</v>
      </c>
      <c r="T881">
        <v>18.074999999999999</v>
      </c>
      <c r="U881">
        <v>17.27</v>
      </c>
      <c r="V881">
        <v>18.045000000000002</v>
      </c>
      <c r="W881">
        <v>1808</v>
      </c>
      <c r="X881">
        <v>3.1287317888703182E-2</v>
      </c>
      <c r="Y881">
        <v>-0.4541283077774283</v>
      </c>
      <c r="Z881">
        <v>-1.6764934181245677E-2</v>
      </c>
      <c r="AB881" s="3">
        <f t="shared" si="143"/>
        <v>-7.5335259085906742E-3</v>
      </c>
      <c r="AC881" s="3">
        <f t="shared" si="144"/>
        <v>-2.3161228219502547E-3</v>
      </c>
      <c r="AD881" s="3">
        <f t="shared" si="145"/>
        <v>-4.2549657924067924E-3</v>
      </c>
      <c r="AE881" s="76">
        <f t="shared" si="146"/>
        <v>-1933.9523809523816</v>
      </c>
      <c r="AF881" s="76">
        <f t="shared" si="147"/>
        <v>5857.0238095238092</v>
      </c>
      <c r="AG881" s="76">
        <f t="shared" si="148"/>
        <v>3555.6262115465652</v>
      </c>
      <c r="AO881" s="5">
        <f t="shared" si="153"/>
        <v>1.189320388349502E-2</v>
      </c>
      <c r="AP881" s="5">
        <f t="shared" si="149"/>
        <v>0.33105214393521265</v>
      </c>
      <c r="AR881" s="5">
        <f t="shared" si="150"/>
        <v>7.3029797825697185E-3</v>
      </c>
      <c r="AS881" s="5">
        <f t="shared" si="151"/>
        <v>8.95947936145991E-3</v>
      </c>
      <c r="AT881" s="5">
        <f t="shared" si="152"/>
        <v>-2.6798303098598542E-3</v>
      </c>
    </row>
    <row r="882" spans="12:46" x14ac:dyDescent="0.25">
      <c r="L882" s="4">
        <v>44274.5</v>
      </c>
      <c r="M882">
        <v>41.87</v>
      </c>
      <c r="N882">
        <v>42.32</v>
      </c>
      <c r="O882">
        <v>41.2</v>
      </c>
      <c r="P882">
        <v>41.97</v>
      </c>
      <c r="Q882">
        <v>27038</v>
      </c>
      <c r="R882">
        <v>455883</v>
      </c>
      <c r="S882">
        <v>17.350000000000001</v>
      </c>
      <c r="T882">
        <v>17.5</v>
      </c>
      <c r="U882">
        <v>17.234999999999999</v>
      </c>
      <c r="V882">
        <v>17.265000000000001</v>
      </c>
      <c r="W882">
        <v>1135</v>
      </c>
      <c r="X882">
        <v>2.6046511627906919E-2</v>
      </c>
      <c r="Y882">
        <v>-0.87073743565922623</v>
      </c>
      <c r="Z882">
        <v>0.10278179588520393</v>
      </c>
      <c r="AB882" s="3">
        <f t="shared" si="143"/>
        <v>-8.0239268432325123E-3</v>
      </c>
      <c r="AC882" s="3">
        <f t="shared" si="144"/>
        <v>-2.0315627383484178E-3</v>
      </c>
      <c r="AD882" s="3">
        <f t="shared" si="145"/>
        <v>-4.1587018109471852E-3</v>
      </c>
      <c r="AE882" s="76">
        <f t="shared" si="146"/>
        <v>-1863.5714285714275</v>
      </c>
      <c r="AF882" s="76">
        <f t="shared" si="147"/>
        <v>5524.1190476190495</v>
      </c>
      <c r="AG882" s="76">
        <f t="shared" si="148"/>
        <v>3366.5381373788441</v>
      </c>
      <c r="AO882" s="5">
        <f t="shared" si="153"/>
        <v>-2.3696682464454975E-2</v>
      </c>
      <c r="AP882" s="5">
        <f t="shared" si="149"/>
        <v>0.33186695781236392</v>
      </c>
      <c r="AR882" s="5">
        <f t="shared" si="150"/>
        <v>8.4932549932918988E-3</v>
      </c>
      <c r="AS882" s="5">
        <f t="shared" si="151"/>
        <v>9.3083763320436774E-3</v>
      </c>
      <c r="AT882" s="5">
        <f t="shared" si="152"/>
        <v>-2.4026498928095275E-3</v>
      </c>
    </row>
    <row r="883" spans="12:46" x14ac:dyDescent="0.25">
      <c r="L883" s="4">
        <v>44273.5</v>
      </c>
      <c r="M883">
        <v>43</v>
      </c>
      <c r="N883">
        <v>43.77</v>
      </c>
      <c r="O883">
        <v>42.2</v>
      </c>
      <c r="P883">
        <v>42.4</v>
      </c>
      <c r="Q883">
        <v>34122</v>
      </c>
      <c r="R883">
        <v>453331</v>
      </c>
      <c r="S883">
        <v>18.16</v>
      </c>
      <c r="T883">
        <v>18.399999999999999</v>
      </c>
      <c r="U883">
        <v>17.5</v>
      </c>
      <c r="V883">
        <v>17.760000000000002</v>
      </c>
      <c r="W883">
        <v>902</v>
      </c>
      <c r="X883">
        <v>3.738095238095239E-2</v>
      </c>
      <c r="Y883">
        <v>-6.5813607593256775E-3</v>
      </c>
      <c r="Z883">
        <v>0.71843529920263915</v>
      </c>
      <c r="AB883" s="3">
        <f t="shared" si="143"/>
        <v>-8.0783845515776664E-3</v>
      </c>
      <c r="AC883" s="3">
        <f t="shared" si="144"/>
        <v>-2.0739337579877073E-3</v>
      </c>
      <c r="AD883" s="3">
        <f t="shared" si="145"/>
        <v>-4.4713135473869736E-3</v>
      </c>
      <c r="AE883" s="76">
        <f t="shared" si="146"/>
        <v>-1046.1428571428587</v>
      </c>
      <c r="AF883" s="76">
        <f t="shared" si="147"/>
        <v>5502.9464285714275</v>
      </c>
      <c r="AG883" s="76">
        <f t="shared" si="148"/>
        <v>3540.936788874842</v>
      </c>
      <c r="AO883" s="5">
        <f t="shared" si="153"/>
        <v>1.3205282112845241E-2</v>
      </c>
      <c r="AP883" s="5">
        <f t="shared" si="149"/>
        <v>0.33120307520121783</v>
      </c>
      <c r="AR883" s="5">
        <f t="shared" si="150"/>
        <v>9.6544423551850889E-3</v>
      </c>
      <c r="AS883" s="5">
        <f t="shared" si="151"/>
        <v>9.6379335626410323E-3</v>
      </c>
      <c r="AT883" s="5">
        <f t="shared" si="152"/>
        <v>-2.0410492160031213E-3</v>
      </c>
    </row>
    <row r="884" spans="12:46" x14ac:dyDescent="0.25">
      <c r="L884" s="4">
        <v>44272.5</v>
      </c>
      <c r="M884">
        <v>42</v>
      </c>
      <c r="N884">
        <v>43.07</v>
      </c>
      <c r="O884">
        <v>41.65</v>
      </c>
      <c r="P884">
        <v>42.99</v>
      </c>
      <c r="Q884">
        <v>37667</v>
      </c>
      <c r="R884">
        <v>449616</v>
      </c>
      <c r="S884">
        <v>17.45</v>
      </c>
      <c r="T884">
        <v>18.11</v>
      </c>
      <c r="U884">
        <v>17.45</v>
      </c>
      <c r="V884">
        <v>17.97</v>
      </c>
      <c r="W884">
        <v>635</v>
      </c>
      <c r="X884">
        <v>3.3466886636813617E-2</v>
      </c>
      <c r="Y884">
        <v>-0.29947096220542901</v>
      </c>
      <c r="Z884">
        <v>1.042202530490173</v>
      </c>
      <c r="AB884" s="3">
        <f t="shared" si="143"/>
        <v>-8.6579203292088194E-3</v>
      </c>
      <c r="AC884" s="3">
        <f t="shared" si="144"/>
        <v>-2.3813178817602768E-3</v>
      </c>
      <c r="AD884" s="3">
        <f t="shared" si="145"/>
        <v>-4.6259862906131918E-3</v>
      </c>
      <c r="AE884" s="76">
        <f t="shared" si="146"/>
        <v>-607.38095238095048</v>
      </c>
      <c r="AF884" s="76">
        <f t="shared" si="147"/>
        <v>5199.8095238095229</v>
      </c>
      <c r="AG884" s="76">
        <f t="shared" si="148"/>
        <v>3692.9726085124312</v>
      </c>
      <c r="AO884" s="5">
        <f t="shared" si="153"/>
        <v>2.8894774861545252E-3</v>
      </c>
      <c r="AP884" s="5">
        <f t="shared" si="149"/>
        <v>0.33197717291060735</v>
      </c>
      <c r="AR884" s="5">
        <f t="shared" si="150"/>
        <v>1.0988559967243461E-2</v>
      </c>
      <c r="AS884" s="5">
        <f t="shared" si="151"/>
        <v>1.0026286551133579E-2</v>
      </c>
      <c r="AT884" s="5">
        <f t="shared" si="152"/>
        <v>-1.5747297941806071E-3</v>
      </c>
    </row>
    <row r="885" spans="12:46" x14ac:dyDescent="0.25">
      <c r="L885" s="4">
        <v>44271.5</v>
      </c>
      <c r="M885">
        <v>42.43</v>
      </c>
      <c r="N885">
        <v>42.64</v>
      </c>
      <c r="O885">
        <v>41.53</v>
      </c>
      <c r="P885">
        <v>41.6</v>
      </c>
      <c r="Q885">
        <v>40969</v>
      </c>
      <c r="R885">
        <v>444928</v>
      </c>
      <c r="S885">
        <v>17.829999999999998</v>
      </c>
      <c r="T885">
        <v>17.829999999999998</v>
      </c>
      <c r="U885">
        <v>17.274999999999999</v>
      </c>
      <c r="V885">
        <v>17.66</v>
      </c>
      <c r="W885">
        <v>819</v>
      </c>
      <c r="X885">
        <v>2.5904317386231026E-2</v>
      </c>
      <c r="Y885">
        <v>-0.88891631103231195</v>
      </c>
      <c r="Z885">
        <v>1.3583220915054262</v>
      </c>
      <c r="AB885" s="3">
        <f t="shared" si="143"/>
        <v>-7.498067350894283E-3</v>
      </c>
      <c r="AC885" s="3">
        <f t="shared" si="144"/>
        <v>-1.9377884710500559E-3</v>
      </c>
      <c r="AD885" s="3">
        <f t="shared" si="145"/>
        <v>-4.1336009939869495E-3</v>
      </c>
      <c r="AE885" s="76">
        <f t="shared" si="146"/>
        <v>693.52380952380918</v>
      </c>
      <c r="AF885" s="76">
        <f t="shared" si="147"/>
        <v>5541.6607142857138</v>
      </c>
      <c r="AG885" s="76">
        <f t="shared" si="148"/>
        <v>4119.3982300884963</v>
      </c>
      <c r="AO885" s="5">
        <f t="shared" si="153"/>
        <v>-1.2601046124583954E-2</v>
      </c>
      <c r="AP885" s="5">
        <f t="shared" si="149"/>
        <v>0.33298121632840644</v>
      </c>
      <c r="AR885" s="5">
        <f t="shared" si="150"/>
        <v>1.2242378979146373E-2</v>
      </c>
      <c r="AS885" s="5">
        <f t="shared" si="151"/>
        <v>1.0379224850569246E-2</v>
      </c>
      <c r="AT885" s="5">
        <f t="shared" si="152"/>
        <v>-1.1879881429883166E-3</v>
      </c>
    </row>
    <row r="886" spans="12:46" x14ac:dyDescent="0.25">
      <c r="L886" s="4">
        <v>44270.5</v>
      </c>
      <c r="M886">
        <v>42.85</v>
      </c>
      <c r="N886">
        <v>43.36</v>
      </c>
      <c r="O886">
        <v>42.06</v>
      </c>
      <c r="P886">
        <v>42.39</v>
      </c>
      <c r="Q886">
        <v>39349</v>
      </c>
      <c r="R886">
        <v>443480</v>
      </c>
      <c r="S886">
        <v>18.170000000000002</v>
      </c>
      <c r="T886">
        <v>18.88</v>
      </c>
      <c r="U886">
        <v>17.87</v>
      </c>
      <c r="V886">
        <v>17.93</v>
      </c>
      <c r="W886">
        <v>876</v>
      </c>
      <c r="X886">
        <v>3.1100478468899455E-2</v>
      </c>
      <c r="Y886">
        <v>-0.5124793778434088</v>
      </c>
      <c r="Z886">
        <v>1.2591789552886252</v>
      </c>
      <c r="AB886" s="3">
        <f t="shared" si="143"/>
        <v>-8.3330134510149548E-3</v>
      </c>
      <c r="AC886" s="3">
        <f t="shared" si="144"/>
        <v>-1.5789304730023171E-3</v>
      </c>
      <c r="AD886" s="3">
        <f t="shared" si="145"/>
        <v>-3.9424099459238748E-3</v>
      </c>
      <c r="AE886" s="76">
        <f t="shared" si="146"/>
        <v>129.90476190475965</v>
      </c>
      <c r="AF886" s="76">
        <f t="shared" si="147"/>
        <v>5041.6488095238092</v>
      </c>
      <c r="AG886" s="76">
        <f t="shared" si="148"/>
        <v>3633.15718499789</v>
      </c>
      <c r="AO886" s="5">
        <f t="shared" si="153"/>
        <v>1.3493975903614513E-2</v>
      </c>
      <c r="AP886" s="5">
        <f t="shared" si="149"/>
        <v>0.33340750775611322</v>
      </c>
      <c r="AR886" s="5">
        <f t="shared" si="150"/>
        <v>1.3418427276061629E-2</v>
      </c>
      <c r="AS886" s="5">
        <f t="shared" si="151"/>
        <v>1.0656872787100147E-2</v>
      </c>
      <c r="AT886" s="5">
        <f t="shared" si="152"/>
        <v>-6.9292067430221094E-4</v>
      </c>
    </row>
    <row r="887" spans="12:46" x14ac:dyDescent="0.25">
      <c r="L887" s="4">
        <v>44267.5</v>
      </c>
      <c r="M887">
        <v>41.8</v>
      </c>
      <c r="N887">
        <v>42.9</v>
      </c>
      <c r="O887">
        <v>41.5</v>
      </c>
      <c r="P887">
        <v>42.85</v>
      </c>
      <c r="Q887">
        <v>27844</v>
      </c>
      <c r="R887">
        <v>437639</v>
      </c>
      <c r="S887">
        <v>17.97</v>
      </c>
      <c r="T887">
        <v>18.565000000000001</v>
      </c>
      <c r="U887">
        <v>17.93</v>
      </c>
      <c r="V887">
        <v>18.45</v>
      </c>
      <c r="W887">
        <v>708</v>
      </c>
      <c r="X887">
        <v>3.3581194531062571E-2</v>
      </c>
      <c r="Y887">
        <v>-0.32405781295044928</v>
      </c>
      <c r="Z887">
        <v>0.27669788774484633</v>
      </c>
      <c r="AB887" s="3">
        <f t="shared" si="143"/>
        <v>-3.6675346050772523E-3</v>
      </c>
      <c r="AC887" s="3">
        <f t="shared" si="144"/>
        <v>1.620811093255195E-3</v>
      </c>
      <c r="AD887" s="3">
        <f t="shared" si="145"/>
        <v>-1.2262298818928249E-3</v>
      </c>
      <c r="AE887" s="76">
        <f t="shared" si="146"/>
        <v>1556.2380952380954</v>
      </c>
      <c r="AF887" s="76">
        <f t="shared" si="147"/>
        <v>5644.2202380952367</v>
      </c>
      <c r="AG887" s="76">
        <f t="shared" si="148"/>
        <v>4112.0307627475777</v>
      </c>
      <c r="AO887" s="5">
        <f t="shared" si="153"/>
        <v>1.1701608971233467E-2</v>
      </c>
      <c r="AP887" s="5">
        <f t="shared" si="149"/>
        <v>0.33419255389476232</v>
      </c>
      <c r="AR887" s="5">
        <f t="shared" si="150"/>
        <v>1.3914336592031062E-2</v>
      </c>
      <c r="AS887" s="5">
        <f t="shared" si="151"/>
        <v>1.0350951961928423E-2</v>
      </c>
      <c r="AT887" s="5">
        <f t="shared" si="152"/>
        <v>-6.60582001836163E-4</v>
      </c>
    </row>
    <row r="888" spans="12:46" x14ac:dyDescent="0.25">
      <c r="L888" s="4">
        <v>44266.5</v>
      </c>
      <c r="M888">
        <v>41.69</v>
      </c>
      <c r="N888">
        <v>42.67</v>
      </c>
      <c r="O888">
        <v>41.02</v>
      </c>
      <c r="P888">
        <v>41.93</v>
      </c>
      <c r="Q888">
        <v>46037</v>
      </c>
      <c r="R888">
        <v>437004</v>
      </c>
      <c r="S888">
        <v>17.475000000000001</v>
      </c>
      <c r="T888">
        <v>18.155000000000001</v>
      </c>
      <c r="U888">
        <v>17.475000000000001</v>
      </c>
      <c r="V888">
        <v>18.125</v>
      </c>
      <c r="W888">
        <v>1178</v>
      </c>
      <c r="X888">
        <v>4.0411462160176305E-2</v>
      </c>
      <c r="Y888">
        <v>0.20779503435564278</v>
      </c>
      <c r="Z888">
        <v>1.8410980953345244</v>
      </c>
      <c r="AB888" s="3">
        <f t="shared" si="143"/>
        <v>-2.9333177490232371E-3</v>
      </c>
      <c r="AC888" s="3">
        <f t="shared" si="144"/>
        <v>2.754621122687588E-3</v>
      </c>
      <c r="AD888" s="3">
        <f t="shared" si="145"/>
        <v>-4.2951715922348588E-4</v>
      </c>
      <c r="AE888" s="76">
        <f t="shared" si="146"/>
        <v>4237.2380952380954</v>
      </c>
      <c r="AF888" s="76">
        <f t="shared" si="147"/>
        <v>7339.1071428571449</v>
      </c>
      <c r="AG888" s="76">
        <f t="shared" si="148"/>
        <v>5726.2161820480433</v>
      </c>
      <c r="AO888" s="5">
        <f t="shared" si="153"/>
        <v>1.2839506172839583E-2</v>
      </c>
      <c r="AP888" s="5">
        <f t="shared" si="149"/>
        <v>0.33505987590713449</v>
      </c>
      <c r="AR888" s="5">
        <f t="shared" si="150"/>
        <v>1.4120980088217883E-2</v>
      </c>
      <c r="AS888" s="5">
        <f t="shared" si="151"/>
        <v>9.8331373383319653E-3</v>
      </c>
      <c r="AT888" s="5">
        <f t="shared" si="152"/>
        <v>-8.3856313571684105E-4</v>
      </c>
    </row>
    <row r="889" spans="12:46" x14ac:dyDescent="0.25">
      <c r="L889" s="4">
        <v>44265.5</v>
      </c>
      <c r="M889">
        <v>40.83</v>
      </c>
      <c r="N889">
        <v>41.85</v>
      </c>
      <c r="O889">
        <v>40.5</v>
      </c>
      <c r="P889">
        <v>41.54</v>
      </c>
      <c r="Q889">
        <v>39051</v>
      </c>
      <c r="R889">
        <v>437583</v>
      </c>
      <c r="S889">
        <v>17.149999999999999</v>
      </c>
      <c r="T889">
        <v>17.7</v>
      </c>
      <c r="U889">
        <v>17.149999999999999</v>
      </c>
      <c r="V889">
        <v>17.63</v>
      </c>
      <c r="W889">
        <v>589</v>
      </c>
      <c r="X889">
        <v>3.4500383337592672E-2</v>
      </c>
      <c r="Y889">
        <v>-0.259275659418362</v>
      </c>
      <c r="Z889">
        <v>1.2606735933738353</v>
      </c>
      <c r="AB889" s="3">
        <f t="shared" si="143"/>
        <v>-1.2731808784729251E-3</v>
      </c>
      <c r="AC889" s="3">
        <f t="shared" si="144"/>
        <v>3.9938557077575376E-3</v>
      </c>
      <c r="AD889" s="3">
        <f t="shared" si="145"/>
        <v>2.9832257117649863E-4</v>
      </c>
      <c r="AE889" s="76">
        <f t="shared" si="146"/>
        <v>4514.3333333333321</v>
      </c>
      <c r="AF889" s="76">
        <f t="shared" si="147"/>
        <v>7214.1547619047633</v>
      </c>
      <c r="AG889" s="76">
        <f t="shared" si="148"/>
        <v>5510.1487568478733</v>
      </c>
      <c r="AO889" s="5">
        <f t="shared" si="153"/>
        <v>3.8195334529607848E-2</v>
      </c>
      <c r="AP889" s="5">
        <f t="shared" si="149"/>
        <v>0.3358858559449861</v>
      </c>
      <c r="AR889" s="5">
        <f t="shared" si="150"/>
        <v>1.4427366089321603E-2</v>
      </c>
      <c r="AS889" s="5">
        <f t="shared" si="151"/>
        <v>9.3088171720615009E-3</v>
      </c>
      <c r="AT889" s="5">
        <f t="shared" si="152"/>
        <v>-1.0178634995031688E-3</v>
      </c>
    </row>
    <row r="890" spans="12:46" x14ac:dyDescent="0.25">
      <c r="L890" s="4">
        <v>44264.5</v>
      </c>
      <c r="M890">
        <v>39.130000000000003</v>
      </c>
      <c r="N890">
        <v>40.83</v>
      </c>
      <c r="O890">
        <v>39.01</v>
      </c>
      <c r="P890">
        <v>40.65</v>
      </c>
      <c r="Q890">
        <v>37075</v>
      </c>
      <c r="R890">
        <v>437009</v>
      </c>
      <c r="S890">
        <v>16.375</v>
      </c>
      <c r="T890">
        <v>16.975000000000001</v>
      </c>
      <c r="U890">
        <v>16.375</v>
      </c>
      <c r="V890">
        <v>16.925000000000001</v>
      </c>
      <c r="W890">
        <v>462</v>
      </c>
      <c r="X890">
        <v>4.642857142857143E-2</v>
      </c>
      <c r="Y890">
        <v>0.67413594037818236</v>
      </c>
      <c r="Z890">
        <v>1.0458322841303171</v>
      </c>
      <c r="AB890" s="3">
        <f t="shared" si="143"/>
        <v>-1.4777666739462444E-3</v>
      </c>
      <c r="AC890" s="3">
        <f t="shared" si="144"/>
        <v>4.0024627945271229E-3</v>
      </c>
      <c r="AD890" s="3">
        <f t="shared" si="145"/>
        <v>1.7946403926272225E-6</v>
      </c>
      <c r="AE890" s="76">
        <f t="shared" si="146"/>
        <v>5445.2857142857174</v>
      </c>
      <c r="AF890" s="76">
        <f t="shared" si="147"/>
        <v>7202.1547619047633</v>
      </c>
      <c r="AG890" s="76">
        <f t="shared" si="148"/>
        <v>5557.2587442056465</v>
      </c>
      <c r="AO890" s="5">
        <f t="shared" si="153"/>
        <v>1.8271991647089422E-2</v>
      </c>
      <c r="AP890" s="5">
        <f t="shared" si="149"/>
        <v>0.33404926453174744</v>
      </c>
      <c r="AR890" s="5">
        <f t="shared" si="150"/>
        <v>1.4744542639364477E-2</v>
      </c>
      <c r="AS890" s="5">
        <f t="shared" si="151"/>
        <v>8.7908946145952016E-3</v>
      </c>
      <c r="AT890" s="5">
        <f t="shared" si="152"/>
        <v>-1.0829214299555856E-3</v>
      </c>
    </row>
    <row r="891" spans="12:46" x14ac:dyDescent="0.25">
      <c r="L891" s="4">
        <v>44263.5</v>
      </c>
      <c r="M891">
        <v>39.200000000000003</v>
      </c>
      <c r="N891">
        <v>39.44</v>
      </c>
      <c r="O891">
        <v>38.31</v>
      </c>
      <c r="P891">
        <v>39.130000000000003</v>
      </c>
      <c r="Q891">
        <v>21702</v>
      </c>
      <c r="R891">
        <v>436053</v>
      </c>
      <c r="S891">
        <v>16.55</v>
      </c>
      <c r="T891">
        <v>16.55</v>
      </c>
      <c r="U891">
        <v>16.125</v>
      </c>
      <c r="V891">
        <v>16.149999999999999</v>
      </c>
      <c r="W891">
        <v>745</v>
      </c>
      <c r="X891">
        <v>2.9604401362326314E-2</v>
      </c>
      <c r="Y891">
        <v>-0.57416423578551079</v>
      </c>
      <c r="Z891">
        <v>-0.27105453957906106</v>
      </c>
      <c r="AB891" s="3">
        <f t="shared" si="143"/>
        <v>-1.5576701476200105E-3</v>
      </c>
      <c r="AC891" s="3">
        <f t="shared" si="144"/>
        <v>3.6095894589401115E-3</v>
      </c>
      <c r="AD891" s="3">
        <f t="shared" si="145"/>
        <v>-4.7214695275447915E-4</v>
      </c>
      <c r="AE891" s="76">
        <f t="shared" si="146"/>
        <v>5308.3333333333358</v>
      </c>
      <c r="AF891" s="76">
        <f t="shared" si="147"/>
        <v>6778.8571428571449</v>
      </c>
      <c r="AG891" s="76">
        <f t="shared" si="148"/>
        <v>5122.1011378002549</v>
      </c>
      <c r="AO891" s="5">
        <f t="shared" si="153"/>
        <v>1.4834437086092776E-2</v>
      </c>
      <c r="AP891" s="5">
        <f t="shared" si="149"/>
        <v>0.33454487156003176</v>
      </c>
      <c r="AR891" s="5">
        <f t="shared" si="150"/>
        <v>1.5016787509831209E-2</v>
      </c>
      <c r="AS891" s="5">
        <f t="shared" si="151"/>
        <v>8.3542059003620661E-3</v>
      </c>
      <c r="AT891" s="5">
        <f t="shared" si="152"/>
        <v>-1.1447114175263118E-3</v>
      </c>
    </row>
    <row r="892" spans="12:46" x14ac:dyDescent="0.25">
      <c r="L892" s="4">
        <v>44260.5</v>
      </c>
      <c r="M892">
        <v>38.17</v>
      </c>
      <c r="N892">
        <v>39.119999999999997</v>
      </c>
      <c r="O892">
        <v>37.75</v>
      </c>
      <c r="P892">
        <v>39.020000000000003</v>
      </c>
      <c r="Q892">
        <v>28974</v>
      </c>
      <c r="R892">
        <v>435266</v>
      </c>
      <c r="S892">
        <v>15.85</v>
      </c>
      <c r="T892">
        <v>16.45</v>
      </c>
      <c r="U892">
        <v>15.775</v>
      </c>
      <c r="V892">
        <v>16.364999999999998</v>
      </c>
      <c r="W892">
        <v>580</v>
      </c>
      <c r="X892">
        <v>3.6494405966968499E-2</v>
      </c>
      <c r="Y892">
        <v>-3.9033605690791597E-2</v>
      </c>
      <c r="Z892">
        <v>0.34346388859448584</v>
      </c>
      <c r="AB892" s="3">
        <f t="shared" si="143"/>
        <v>-5.8124501332632028E-4</v>
      </c>
      <c r="AC892" s="3">
        <f t="shared" si="144"/>
        <v>4.3222729248287156E-3</v>
      </c>
      <c r="AD892" s="3">
        <f t="shared" si="145"/>
        <v>3.8119088451013527E-5</v>
      </c>
      <c r="AE892" s="76">
        <f t="shared" si="146"/>
        <v>6257.4285714285725</v>
      </c>
      <c r="AF892" s="76">
        <f t="shared" si="147"/>
        <v>7286.8273809523816</v>
      </c>
      <c r="AG892" s="76">
        <f t="shared" si="148"/>
        <v>5679.0105351875245</v>
      </c>
      <c r="AO892" s="5">
        <f t="shared" si="153"/>
        <v>3.0013642564802222E-2</v>
      </c>
      <c r="AP892" s="5">
        <f t="shared" si="149"/>
        <v>0.33526317454134497</v>
      </c>
      <c r="AR892" s="5">
        <f t="shared" si="150"/>
        <v>1.5085970345026622E-2</v>
      </c>
      <c r="AS892" s="5">
        <f t="shared" si="151"/>
        <v>7.766672927078333E-3</v>
      </c>
      <c r="AT892" s="5">
        <f t="shared" si="152"/>
        <v>-1.3615503466604673E-3</v>
      </c>
    </row>
    <row r="893" spans="12:46" x14ac:dyDescent="0.25">
      <c r="L893" s="4">
        <v>44259.5</v>
      </c>
      <c r="M893">
        <v>37.54</v>
      </c>
      <c r="N893">
        <v>38.43</v>
      </c>
      <c r="O893">
        <v>36.65</v>
      </c>
      <c r="P893">
        <v>38.159999999999997</v>
      </c>
      <c r="Q893">
        <v>31664</v>
      </c>
      <c r="R893">
        <v>434570</v>
      </c>
      <c r="S893">
        <v>15.59</v>
      </c>
      <c r="T893">
        <v>15.975</v>
      </c>
      <c r="U893">
        <v>15.574999999999999</v>
      </c>
      <c r="V893">
        <v>15.93</v>
      </c>
      <c r="W893">
        <v>527</v>
      </c>
      <c r="X893">
        <v>4.6366241208648115E-2</v>
      </c>
      <c r="Y893">
        <v>0.68081193348243552</v>
      </c>
      <c r="Z893">
        <v>0.55566197679385543</v>
      </c>
      <c r="AB893" s="3">
        <f t="shared" si="143"/>
        <v>1.0042108314688158E-3</v>
      </c>
      <c r="AC893" s="3">
        <f t="shared" si="144"/>
        <v>5.0445333589737087E-3</v>
      </c>
      <c r="AD893" s="3">
        <f t="shared" si="145"/>
        <v>4.293666005958513E-4</v>
      </c>
      <c r="AE893" s="76">
        <f t="shared" si="146"/>
        <v>7336.3809523809505</v>
      </c>
      <c r="AF893" s="76">
        <f t="shared" si="147"/>
        <v>7568.5714285714275</v>
      </c>
      <c r="AG893" s="76">
        <f t="shared" si="148"/>
        <v>6111.5979772439932</v>
      </c>
      <c r="AO893" s="5">
        <f t="shared" si="153"/>
        <v>-1.2395580706009185E-2</v>
      </c>
      <c r="AP893" s="5">
        <f t="shared" si="149"/>
        <v>0.3345540990745024</v>
      </c>
      <c r="AR893" s="5">
        <f t="shared" si="150"/>
        <v>1.5237331169530188E-2</v>
      </c>
      <c r="AS893" s="5">
        <f t="shared" si="151"/>
        <v>7.2225311536953662E-3</v>
      </c>
      <c r="AT893" s="5">
        <f t="shared" si="152"/>
        <v>-1.5193659091689016E-3</v>
      </c>
    </row>
    <row r="894" spans="12:46" x14ac:dyDescent="0.25">
      <c r="L894" s="4">
        <v>44258.5</v>
      </c>
      <c r="M894">
        <v>38.39</v>
      </c>
      <c r="N894">
        <v>38.450000000000003</v>
      </c>
      <c r="O894">
        <v>37.11</v>
      </c>
      <c r="P894">
        <v>37.47</v>
      </c>
      <c r="Q894">
        <v>24897</v>
      </c>
      <c r="R894">
        <v>435178</v>
      </c>
      <c r="S894">
        <v>15.6</v>
      </c>
      <c r="T894">
        <v>15.68</v>
      </c>
      <c r="U894">
        <v>15.5</v>
      </c>
      <c r="V894">
        <v>15.525</v>
      </c>
      <c r="W894">
        <v>457</v>
      </c>
      <c r="X894">
        <v>3.6245604544225138E-2</v>
      </c>
      <c r="Y894">
        <v>-5.1003999129697129E-2</v>
      </c>
      <c r="Z894">
        <v>-4.2420934033420107E-2</v>
      </c>
      <c r="AB894" s="3">
        <f t="shared" si="143"/>
        <v>6.1973994112330399E-3</v>
      </c>
      <c r="AC894" s="3">
        <f t="shared" si="144"/>
        <v>8.3012432199304209E-3</v>
      </c>
      <c r="AD894" s="3">
        <f t="shared" si="145"/>
        <v>3.0170196063979762E-3</v>
      </c>
      <c r="AE894" s="76">
        <f t="shared" si="146"/>
        <v>9704.7142857142862</v>
      </c>
      <c r="AF894" s="76">
        <f t="shared" si="147"/>
        <v>8909.0357142857138</v>
      </c>
      <c r="AG894" s="76">
        <f t="shared" si="148"/>
        <v>7213.1592920353978</v>
      </c>
      <c r="AO894" s="5">
        <f t="shared" si="153"/>
        <v>7.602497963616648E-3</v>
      </c>
      <c r="AP894" s="5">
        <f t="shared" si="149"/>
        <v>0.33507313875438272</v>
      </c>
      <c r="AR894" s="5">
        <f t="shared" si="150"/>
        <v>1.4833373948710538E-2</v>
      </c>
      <c r="AS894" s="5">
        <f t="shared" si="151"/>
        <v>6.3455920846806069E-3</v>
      </c>
      <c r="AT894" s="5">
        <f t="shared" si="152"/>
        <v>-1.9949859807552595E-3</v>
      </c>
    </row>
    <row r="895" spans="12:46" x14ac:dyDescent="0.25">
      <c r="L895" s="4">
        <v>44257.5</v>
      </c>
      <c r="M895">
        <v>36.97</v>
      </c>
      <c r="N895">
        <v>38.450000000000003</v>
      </c>
      <c r="O895">
        <v>36.83</v>
      </c>
      <c r="P895">
        <v>38.35</v>
      </c>
      <c r="Q895">
        <v>26155</v>
      </c>
      <c r="R895">
        <v>433510</v>
      </c>
      <c r="S895">
        <v>16.004999999999999</v>
      </c>
      <c r="T895">
        <v>16.03</v>
      </c>
      <c r="U895">
        <v>15.8</v>
      </c>
      <c r="V895">
        <v>15.87</v>
      </c>
      <c r="W895">
        <v>601</v>
      </c>
      <c r="X895">
        <v>4.3269230769230893E-2</v>
      </c>
      <c r="Y895">
        <v>0.46945523687913027</v>
      </c>
      <c r="Z895">
        <v>2.8061345474299105E-2</v>
      </c>
      <c r="AB895" s="3">
        <f t="shared" si="143"/>
        <v>8.5273099383493811E-3</v>
      </c>
      <c r="AC895" s="3">
        <f t="shared" si="144"/>
        <v>1.0324765109348398E-2</v>
      </c>
      <c r="AD895" s="3">
        <f t="shared" si="145"/>
        <v>4.74637181889314E-3</v>
      </c>
      <c r="AE895" s="76">
        <f t="shared" si="146"/>
        <v>11191.571428571431</v>
      </c>
      <c r="AF895" s="76">
        <f t="shared" si="147"/>
        <v>9688.8750000000036</v>
      </c>
      <c r="AG895" s="76">
        <f t="shared" si="148"/>
        <v>7954.8874841972211</v>
      </c>
      <c r="AO895" s="5">
        <f t="shared" si="153"/>
        <v>-5.9379217273953814E-3</v>
      </c>
      <c r="AP895" s="5">
        <f t="shared" si="149"/>
        <v>0.33609579623564823</v>
      </c>
      <c r="AR895" s="5">
        <f t="shared" si="150"/>
        <v>1.3718409436947687E-2</v>
      </c>
      <c r="AS895" s="5">
        <f t="shared" si="151"/>
        <v>4.9793959228354168E-3</v>
      </c>
      <c r="AT895" s="5">
        <f t="shared" si="152"/>
        <v>-2.9154758663763602E-3</v>
      </c>
    </row>
    <row r="896" spans="12:46" x14ac:dyDescent="0.25">
      <c r="L896" s="4">
        <v>44256.5</v>
      </c>
      <c r="M896">
        <v>37.44</v>
      </c>
      <c r="N896">
        <v>38.21</v>
      </c>
      <c r="O896">
        <v>37.049999999999997</v>
      </c>
      <c r="P896">
        <v>37.130000000000003</v>
      </c>
      <c r="Q896">
        <v>20942</v>
      </c>
      <c r="R896">
        <v>431673</v>
      </c>
      <c r="S896">
        <v>16</v>
      </c>
      <c r="T896">
        <v>16.100000000000001</v>
      </c>
      <c r="U896">
        <v>15.925000000000001</v>
      </c>
      <c r="V896">
        <v>16.079999999999998</v>
      </c>
      <c r="W896">
        <v>362</v>
      </c>
      <c r="X896">
        <v>3.0647291941875921E-2</v>
      </c>
      <c r="Y896">
        <v>-0.47039262406363341</v>
      </c>
      <c r="Z896">
        <v>-0.40764640457560475</v>
      </c>
      <c r="AB896" s="3">
        <f t="shared" si="143"/>
        <v>7.411791827197825E-3</v>
      </c>
      <c r="AC896" s="3">
        <f t="shared" si="144"/>
        <v>9.2125699751990503E-3</v>
      </c>
      <c r="AD896" s="3">
        <f t="shared" si="145"/>
        <v>3.7952511301831762E-3</v>
      </c>
      <c r="AE896" s="76">
        <f t="shared" si="146"/>
        <v>12401.428571428572</v>
      </c>
      <c r="AF896" s="76">
        <f t="shared" si="147"/>
        <v>9776.6190476190495</v>
      </c>
      <c r="AG896" s="76">
        <f t="shared" si="148"/>
        <v>7999.1222081753076</v>
      </c>
      <c r="AO896" s="5">
        <f t="shared" si="153"/>
        <v>-4.5674368619022495E-3</v>
      </c>
      <c r="AP896" s="5">
        <f t="shared" si="149"/>
        <v>0.33700068688790796</v>
      </c>
      <c r="AR896" s="5">
        <f t="shared" si="150"/>
        <v>1.2619288342301305E-2</v>
      </c>
      <c r="AS896" s="5">
        <f t="shared" si="151"/>
        <v>3.7008255564590087E-3</v>
      </c>
      <c r="AT896" s="5">
        <f t="shared" si="152"/>
        <v>-3.8718118443715754E-3</v>
      </c>
    </row>
    <row r="897" spans="12:46" x14ac:dyDescent="0.25">
      <c r="L897" s="4">
        <v>44253.5</v>
      </c>
      <c r="M897">
        <v>37.85</v>
      </c>
      <c r="N897">
        <v>38.1</v>
      </c>
      <c r="O897">
        <v>37.22</v>
      </c>
      <c r="P897">
        <v>37.28</v>
      </c>
      <c r="Q897">
        <v>27103</v>
      </c>
      <c r="R897">
        <v>430536</v>
      </c>
      <c r="S897">
        <v>15.95</v>
      </c>
      <c r="T897">
        <v>15.975</v>
      </c>
      <c r="U897">
        <v>15.55</v>
      </c>
      <c r="V897">
        <v>15.695</v>
      </c>
      <c r="W897">
        <v>436</v>
      </c>
      <c r="X897">
        <v>2.227284231840047E-2</v>
      </c>
      <c r="Y897">
        <v>-1.1080339371906864</v>
      </c>
      <c r="Z897">
        <v>7.2834591683557104E-2</v>
      </c>
      <c r="AB897" s="3">
        <f t="shared" si="143"/>
        <v>7.5386960944813647E-3</v>
      </c>
      <c r="AC897" s="3">
        <f t="shared" si="144"/>
        <v>9.3707797542803006E-3</v>
      </c>
      <c r="AD897" s="3">
        <f t="shared" si="145"/>
        <v>3.6124288676918082E-3</v>
      </c>
      <c r="AE897" s="76">
        <f t="shared" si="146"/>
        <v>13572.857142857145</v>
      </c>
      <c r="AF897" s="76">
        <f t="shared" si="147"/>
        <v>10001.148809523809</v>
      </c>
      <c r="AG897" s="76">
        <f t="shared" si="148"/>
        <v>8235.4833544037101</v>
      </c>
      <c r="AO897" s="5">
        <f t="shared" si="153"/>
        <v>-2.386572252819312E-2</v>
      </c>
      <c r="AP897" s="5">
        <f t="shared" si="149"/>
        <v>0.33796673494572926</v>
      </c>
      <c r="AR897" s="5">
        <f t="shared" si="150"/>
        <v>1.147616315840605E-2</v>
      </c>
      <c r="AS897" s="5">
        <f t="shared" si="151"/>
        <v>2.3860815362209409E-3</v>
      </c>
      <c r="AT897" s="5">
        <f t="shared" si="152"/>
        <v>-4.7735800478381774E-3</v>
      </c>
    </row>
    <row r="898" spans="12:46" x14ac:dyDescent="0.25">
      <c r="L898" s="4">
        <v>44252.5</v>
      </c>
      <c r="M898">
        <v>39.51</v>
      </c>
      <c r="N898">
        <v>39.68</v>
      </c>
      <c r="O898">
        <v>38.130000000000003</v>
      </c>
      <c r="P898">
        <v>38.26</v>
      </c>
      <c r="Q898">
        <v>23309</v>
      </c>
      <c r="R898">
        <v>430501</v>
      </c>
      <c r="S898">
        <v>16.399999999999999</v>
      </c>
      <c r="T898">
        <v>16.399999999999999</v>
      </c>
      <c r="U898">
        <v>15.935</v>
      </c>
      <c r="V898">
        <v>15.935</v>
      </c>
      <c r="W898">
        <v>0</v>
      </c>
      <c r="X898">
        <v>4.0259740259740183E-2</v>
      </c>
      <c r="Y898">
        <v>0.2162032216988915</v>
      </c>
      <c r="Z898">
        <v>-0.23444135744284123</v>
      </c>
      <c r="AB898" s="3">
        <f t="shared" si="143"/>
        <v>7.5617808410844631E-3</v>
      </c>
      <c r="AC898" s="3">
        <f t="shared" si="144"/>
        <v>9.7006531053438275E-3</v>
      </c>
      <c r="AD898" s="3">
        <f t="shared" si="145"/>
        <v>3.7361828135453606E-3</v>
      </c>
      <c r="AE898" s="76">
        <f t="shared" si="146"/>
        <v>13741.142857142859</v>
      </c>
      <c r="AF898" s="76">
        <f t="shared" si="147"/>
        <v>9518.5238095238092</v>
      </c>
      <c r="AG898" s="76">
        <f t="shared" si="148"/>
        <v>7933.7134428992831</v>
      </c>
      <c r="AO898" s="5">
        <f t="shared" si="153"/>
        <v>-1.8324607329843006E-3</v>
      </c>
      <c r="AP898" s="5">
        <f t="shared" si="149"/>
        <v>0.33731471491555004</v>
      </c>
      <c r="AR898" s="5">
        <f t="shared" si="150"/>
        <v>1.0332113584258562E-2</v>
      </c>
      <c r="AS898" s="5">
        <f t="shared" si="151"/>
        <v>1.0902043487985291E-3</v>
      </c>
      <c r="AT898" s="5">
        <f t="shared" si="152"/>
        <v>-5.0353357008331434E-3</v>
      </c>
    </row>
    <row r="899" spans="12:46" x14ac:dyDescent="0.25">
      <c r="L899" s="4">
        <v>44251.5</v>
      </c>
      <c r="M899">
        <v>38.5</v>
      </c>
      <c r="N899">
        <v>39.36</v>
      </c>
      <c r="O899">
        <v>38.200000000000003</v>
      </c>
      <c r="P899">
        <v>39.15</v>
      </c>
      <c r="Q899">
        <v>21702</v>
      </c>
      <c r="R899">
        <v>429716</v>
      </c>
      <c r="S899">
        <v>16.125</v>
      </c>
      <c r="T899">
        <v>16.38</v>
      </c>
      <c r="U899">
        <v>16.05</v>
      </c>
      <c r="V899">
        <v>16.38</v>
      </c>
      <c r="W899">
        <v>773</v>
      </c>
      <c r="X899">
        <v>3.0550434553594855E-2</v>
      </c>
      <c r="Y899">
        <v>-0.50165527705920021</v>
      </c>
      <c r="Z899">
        <v>-0.37573651654726309</v>
      </c>
      <c r="AB899" s="3">
        <f t="shared" si="143"/>
        <v>7.987598377772985E-3</v>
      </c>
      <c r="AC899" s="3">
        <f t="shared" si="144"/>
        <v>9.8520465656250708E-3</v>
      </c>
      <c r="AD899" s="3">
        <f t="shared" si="145"/>
        <v>3.6973384169472906E-3</v>
      </c>
      <c r="AE899" s="76">
        <f t="shared" si="146"/>
        <v>14547.095238095237</v>
      </c>
      <c r="AF899" s="76">
        <f t="shared" si="147"/>
        <v>9585.5119047619046</v>
      </c>
      <c r="AG899" s="76">
        <f t="shared" si="148"/>
        <v>8123.0779603876945</v>
      </c>
      <c r="AO899" s="5">
        <f t="shared" si="153"/>
        <v>2.1117348302593059E-2</v>
      </c>
      <c r="AP899" s="5">
        <f t="shared" si="149"/>
        <v>0.33837105423643166</v>
      </c>
      <c r="AR899" s="5">
        <f t="shared" si="150"/>
        <v>9.2379481333139113E-3</v>
      </c>
      <c r="AS899" s="5">
        <f t="shared" si="151"/>
        <v>-2.0161964884074512E-4</v>
      </c>
      <c r="AT899" s="5">
        <f t="shared" si="152"/>
        <v>-5.232009337112653E-3</v>
      </c>
    </row>
    <row r="900" spans="12:46" x14ac:dyDescent="0.25">
      <c r="L900" s="4">
        <v>44250.5</v>
      </c>
      <c r="M900">
        <v>37.97</v>
      </c>
      <c r="N900">
        <v>38.75</v>
      </c>
      <c r="O900">
        <v>37.409999999999997</v>
      </c>
      <c r="P900">
        <v>38.67</v>
      </c>
      <c r="Q900">
        <v>26548</v>
      </c>
      <c r="R900">
        <v>428351</v>
      </c>
      <c r="S900">
        <v>16.100000000000001</v>
      </c>
      <c r="T900">
        <v>16.399999999999999</v>
      </c>
      <c r="U900">
        <v>16.05</v>
      </c>
      <c r="V900">
        <v>16.25</v>
      </c>
      <c r="W900">
        <v>419</v>
      </c>
      <c r="X900">
        <v>3.582887700534769E-2</v>
      </c>
      <c r="Y900">
        <v>-9.7702862661484979E-2</v>
      </c>
      <c r="Z900">
        <v>4.761029054028071E-3</v>
      </c>
      <c r="AB900" s="3">
        <f t="shared" si="143"/>
        <v>6.9709249199999199E-3</v>
      </c>
      <c r="AC900" s="3">
        <f t="shared" si="144"/>
        <v>8.6438052874297441E-3</v>
      </c>
      <c r="AD900" s="3">
        <f t="shared" si="145"/>
        <v>3.328558786870689E-3</v>
      </c>
      <c r="AE900" s="76">
        <f t="shared" si="146"/>
        <v>15212.333333333336</v>
      </c>
      <c r="AF900" s="76">
        <f t="shared" si="147"/>
        <v>9324.7023809523816</v>
      </c>
      <c r="AG900" s="76">
        <f t="shared" si="148"/>
        <v>8189.0320269700824</v>
      </c>
      <c r="AO900" s="5">
        <f t="shared" si="153"/>
        <v>2.4931506849314975E-2</v>
      </c>
      <c r="AP900" s="5">
        <f t="shared" si="149"/>
        <v>0.33868443468926229</v>
      </c>
      <c r="AR900" s="5">
        <f t="shared" si="150"/>
        <v>8.0270316303374667E-3</v>
      </c>
      <c r="AS900" s="5">
        <f t="shared" si="151"/>
        <v>-1.4999404860350785E-3</v>
      </c>
      <c r="AT900" s="5">
        <f t="shared" si="152"/>
        <v>-5.4771137566069217E-3</v>
      </c>
    </row>
    <row r="901" spans="12:46" x14ac:dyDescent="0.25">
      <c r="L901" s="4">
        <v>44249.5</v>
      </c>
      <c r="M901">
        <v>37.4</v>
      </c>
      <c r="N901">
        <v>38.15</v>
      </c>
      <c r="O901">
        <v>36.5</v>
      </c>
      <c r="P901">
        <v>37.96</v>
      </c>
      <c r="Q901">
        <v>34484</v>
      </c>
      <c r="R901">
        <v>427941</v>
      </c>
      <c r="S901">
        <v>16.25</v>
      </c>
      <c r="T901">
        <v>16.25</v>
      </c>
      <c r="U901">
        <v>15.824999999999999</v>
      </c>
      <c r="V901">
        <v>15.96</v>
      </c>
      <c r="W901">
        <v>499</v>
      </c>
      <c r="X901">
        <v>4.3114711262085145E-2</v>
      </c>
      <c r="Y901">
        <v>0.44513178311008966</v>
      </c>
      <c r="Z901">
        <v>0.63064044583841317</v>
      </c>
      <c r="AB901" s="3">
        <f t="shared" si="143"/>
        <v>8.8330836662464038E-3</v>
      </c>
      <c r="AC901" s="3">
        <f t="shared" si="144"/>
        <v>9.3772655090407081E-3</v>
      </c>
      <c r="AD901" s="3">
        <f t="shared" si="145"/>
        <v>4.0103257947176826E-3</v>
      </c>
      <c r="AE901" s="76">
        <f t="shared" si="146"/>
        <v>16112.047619047615</v>
      </c>
      <c r="AF901" s="76">
        <f t="shared" si="147"/>
        <v>8984.8392857142826</v>
      </c>
      <c r="AG901" s="76">
        <f t="shared" si="148"/>
        <v>8070.7054361567607</v>
      </c>
      <c r="AO901" s="5">
        <f t="shared" si="153"/>
        <v>-2.2757697456492674E-2</v>
      </c>
      <c r="AP901" s="5">
        <f t="shared" si="149"/>
        <v>0.33860595593395326</v>
      </c>
      <c r="AR901" s="5">
        <f t="shared" si="150"/>
        <v>6.8502927918305812E-3</v>
      </c>
      <c r="AS901" s="5">
        <f t="shared" si="151"/>
        <v>-2.7916118676591384E-3</v>
      </c>
      <c r="AT901" s="5">
        <f t="shared" si="152"/>
        <v>-5.6696247691922497E-3</v>
      </c>
    </row>
    <row r="902" spans="12:46" x14ac:dyDescent="0.25">
      <c r="L902" s="4">
        <v>44246.5</v>
      </c>
      <c r="M902">
        <v>38.270000000000003</v>
      </c>
      <c r="N902">
        <v>38.69</v>
      </c>
      <c r="O902">
        <v>37.35</v>
      </c>
      <c r="P902">
        <v>37.4</v>
      </c>
      <c r="Q902">
        <v>24613</v>
      </c>
      <c r="R902">
        <v>427428</v>
      </c>
      <c r="S902">
        <v>17.324999999999999</v>
      </c>
      <c r="T902">
        <v>17.45</v>
      </c>
      <c r="U902">
        <v>16.465</v>
      </c>
      <c r="V902">
        <v>16.555</v>
      </c>
      <c r="W902">
        <v>773</v>
      </c>
      <c r="X902">
        <v>3.5096909376636884E-2</v>
      </c>
      <c r="Y902">
        <v>-0.11551629926665817</v>
      </c>
      <c r="Z902">
        <v>-0.14593499257000186</v>
      </c>
      <c r="AB902" s="3">
        <f t="shared" si="143"/>
        <v>8.0107688980873698E-3</v>
      </c>
      <c r="AC902" s="3">
        <f t="shared" si="144"/>
        <v>7.8298224959966536E-3</v>
      </c>
      <c r="AD902" s="3">
        <f t="shared" si="145"/>
        <v>2.9572104650768608E-3</v>
      </c>
      <c r="AE902" s="76">
        <f t="shared" si="146"/>
        <v>15900.571428571428</v>
      </c>
      <c r="AF902" s="76">
        <f t="shared" si="147"/>
        <v>7925.7440476190459</v>
      </c>
      <c r="AG902" s="76">
        <f t="shared" si="148"/>
        <v>7218.4281500210709</v>
      </c>
      <c r="AO902" s="5">
        <f t="shared" si="153"/>
        <v>-1.0596026490066187E-2</v>
      </c>
      <c r="AP902" s="5">
        <f t="shared" si="149"/>
        <v>0.33809633118654664</v>
      </c>
      <c r="AR902" s="5">
        <f t="shared" si="150"/>
        <v>5.6483183385188651E-3</v>
      </c>
      <c r="AS902" s="5">
        <f t="shared" si="151"/>
        <v>-4.0812906379894542E-3</v>
      </c>
      <c r="AT902" s="5">
        <f t="shared" si="152"/>
        <v>-5.9042297844387193E-3</v>
      </c>
    </row>
    <row r="903" spans="12:46" x14ac:dyDescent="0.25">
      <c r="L903" s="4">
        <v>44245.5</v>
      </c>
      <c r="M903">
        <v>38.18</v>
      </c>
      <c r="N903">
        <v>38.86</v>
      </c>
      <c r="O903">
        <v>37.75</v>
      </c>
      <c r="P903">
        <v>38.32</v>
      </c>
      <c r="Q903">
        <v>31939</v>
      </c>
      <c r="R903">
        <v>427323</v>
      </c>
      <c r="S903">
        <v>16.899999999999999</v>
      </c>
      <c r="T903">
        <v>17.350000000000001</v>
      </c>
      <c r="U903">
        <v>16.84</v>
      </c>
      <c r="V903">
        <v>17.329999999999998</v>
      </c>
      <c r="W903">
        <v>1001</v>
      </c>
      <c r="X903">
        <v>2.8534704370179936E-2</v>
      </c>
      <c r="Y903">
        <v>-0.58525860370364646</v>
      </c>
      <c r="Z903">
        <v>0.43066988539624029</v>
      </c>
      <c r="AB903" s="3">
        <f t="shared" si="143"/>
        <v>9.5031037909152974E-3</v>
      </c>
      <c r="AC903" s="3">
        <f t="shared" si="144"/>
        <v>8.2987283414644106E-3</v>
      </c>
      <c r="AD903" s="3">
        <f t="shared" si="145"/>
        <v>3.6054675604653905E-3</v>
      </c>
      <c r="AE903" s="76">
        <f t="shared" si="146"/>
        <v>16409.904761904763</v>
      </c>
      <c r="AF903" s="76">
        <f t="shared" si="147"/>
        <v>7633.7619047619046</v>
      </c>
      <c r="AG903" s="76">
        <f t="shared" si="148"/>
        <v>7092.4104509060271</v>
      </c>
      <c r="AO903" s="5">
        <f t="shared" si="153"/>
        <v>-7.6235541535225855E-3</v>
      </c>
      <c r="AP903" s="5">
        <f t="shared" si="149"/>
        <v>0.33877589316692935</v>
      </c>
      <c r="AR903" s="5">
        <f t="shared" si="150"/>
        <v>4.3834765287339983E-3</v>
      </c>
      <c r="AS903" s="5">
        <f t="shared" si="151"/>
        <v>-5.2969286840049423E-3</v>
      </c>
      <c r="AT903" s="5">
        <f t="shared" si="152"/>
        <v>-5.8338213124047855E-3</v>
      </c>
    </row>
    <row r="904" spans="12:46" x14ac:dyDescent="0.25">
      <c r="L904" s="4">
        <v>44244.5</v>
      </c>
      <c r="M904">
        <v>38.9</v>
      </c>
      <c r="N904">
        <v>39.42</v>
      </c>
      <c r="O904">
        <v>38.04</v>
      </c>
      <c r="P904">
        <v>38.090000000000003</v>
      </c>
      <c r="Q904">
        <v>34277</v>
      </c>
      <c r="R904">
        <v>430827</v>
      </c>
      <c r="S904">
        <v>17.149999999999999</v>
      </c>
      <c r="T904">
        <v>17.3</v>
      </c>
      <c r="U904">
        <v>16.399999999999999</v>
      </c>
      <c r="V904">
        <v>16.54</v>
      </c>
      <c r="W904">
        <v>1080</v>
      </c>
      <c r="X904">
        <v>3.4901365705614633E-2</v>
      </c>
      <c r="Y904">
        <v>-0.12569310916504589</v>
      </c>
      <c r="Z904">
        <v>0.61494656798653946</v>
      </c>
      <c r="AB904" s="3">
        <f t="shared" si="143"/>
        <v>9.7544767949982458E-3</v>
      </c>
      <c r="AC904" s="3">
        <f t="shared" si="144"/>
        <v>8.229179698296174E-3</v>
      </c>
      <c r="AD904" s="3">
        <f t="shared" si="145"/>
        <v>3.8493781256232346E-3</v>
      </c>
      <c r="AE904" s="76">
        <f t="shared" si="146"/>
        <v>16205.047619047618</v>
      </c>
      <c r="AF904" s="76">
        <f t="shared" si="147"/>
        <v>6880.875</v>
      </c>
      <c r="AG904" s="76">
        <f t="shared" si="148"/>
        <v>6553.1327433628321</v>
      </c>
      <c r="AO904" s="5">
        <f t="shared" si="153"/>
        <v>-1.8322580645161311E-2</v>
      </c>
      <c r="AP904" s="5">
        <f t="shared" si="149"/>
        <v>0.33964213174672186</v>
      </c>
      <c r="AR904" s="5">
        <f t="shared" si="150"/>
        <v>3.1691859391057009E-3</v>
      </c>
      <c r="AS904" s="5">
        <f t="shared" si="151"/>
        <v>-6.5028693156756745E-3</v>
      </c>
      <c r="AT904" s="5">
        <f t="shared" si="152"/>
        <v>-5.7957015869169459E-3</v>
      </c>
    </row>
    <row r="905" spans="12:46" x14ac:dyDescent="0.25">
      <c r="L905" s="4">
        <v>44243.5</v>
      </c>
      <c r="M905">
        <v>39.54</v>
      </c>
      <c r="N905">
        <v>40.53</v>
      </c>
      <c r="O905">
        <v>38.75</v>
      </c>
      <c r="P905">
        <v>38.86</v>
      </c>
      <c r="Q905">
        <v>43857</v>
      </c>
      <c r="R905">
        <v>437154</v>
      </c>
      <c r="S905">
        <v>16.75</v>
      </c>
      <c r="T905">
        <v>16.95</v>
      </c>
      <c r="U905">
        <v>16.350000000000001</v>
      </c>
      <c r="V905">
        <v>16.715</v>
      </c>
      <c r="W905">
        <v>1306</v>
      </c>
      <c r="X905">
        <v>4.4289624284647951E-2</v>
      </c>
      <c r="Y905">
        <v>0.55289115699151914</v>
      </c>
      <c r="Z905">
        <v>1.3940650055185067</v>
      </c>
      <c r="AB905" s="3">
        <f t="shared" ref="AB905:AB968" si="154">AVERAGEA(X905:X925)-AVERAGE(X926:X946)</f>
        <v>1.0464367033829088E-2</v>
      </c>
      <c r="AC905" s="3">
        <f t="shared" ref="AC905:AC968" si="155">AVERAGEA(X905:X925)-AVERAGE(X926:X981)</f>
        <v>8.7205251954036722E-3</v>
      </c>
      <c r="AD905" s="3">
        <f t="shared" ref="AD905:AD968" si="156">AVERAGEA(X905:X925)-AVERAGE(X926:X1038)</f>
        <v>4.3616868120149241E-3</v>
      </c>
      <c r="AE905" s="76">
        <f t="shared" ref="AE905:AE968" si="157">AVERAGEA(Q905:Q925)-AVERAGE(Q926:Q946)</f>
        <v>15922.428571428569</v>
      </c>
      <c r="AF905" s="76">
        <f t="shared" ref="AF905:AF968" si="158">AVERAGEA(Q905:Q925)-AVERAGE(Q926:Q981)</f>
        <v>6388.6011904761872</v>
      </c>
      <c r="AG905" s="76">
        <f t="shared" ref="AG905:AG968" si="159">AVERAGEA(Q905:Q925)-AVERAGE(Q926:Q1038)</f>
        <v>6147.7075431942685</v>
      </c>
      <c r="AO905" s="5">
        <f t="shared" si="153"/>
        <v>-1.7245751965508489E-2</v>
      </c>
      <c r="AP905" s="5">
        <f t="shared" ref="AP905:AP968" si="160">_xlfn.STDEV.S(AO905:AO1164)*SQRT(252)</f>
        <v>0.33962729179510309</v>
      </c>
      <c r="AR905" s="5">
        <f t="shared" ref="AR905:AR968" si="161">IFERROR(AVERAGEA(AP905:AP925)-AVERAGE(AP926:AP946),"")</f>
        <v>1.8069784004918765E-3</v>
      </c>
      <c r="AS905" s="5">
        <f t="shared" ref="AS905:AS968" si="162">IFERROR(AVERAGEA(AP905:AP925)-AVERAGE(AP926:AP981),"")</f>
        <v>-7.7492568413835561E-3</v>
      </c>
      <c r="AT905" s="5">
        <f t="shared" ref="AT905:AT968" si="163">IFERROR(AVERAGEA(AP905:AP925)-AVERAGE(AP926:AP1038),"")</f>
        <v>-5.8737108532826987E-3</v>
      </c>
    </row>
    <row r="906" spans="12:46" x14ac:dyDescent="0.25">
      <c r="L906" s="4">
        <v>44242.5</v>
      </c>
      <c r="M906">
        <v>40.19</v>
      </c>
      <c r="N906">
        <v>40.64</v>
      </c>
      <c r="O906">
        <v>39.43</v>
      </c>
      <c r="P906">
        <v>39.520000000000003</v>
      </c>
      <c r="Q906">
        <v>30681</v>
      </c>
      <c r="R906">
        <v>447504</v>
      </c>
      <c r="S906">
        <v>17.07</v>
      </c>
      <c r="T906">
        <v>17.649999999999999</v>
      </c>
      <c r="U906">
        <v>16.95</v>
      </c>
      <c r="V906">
        <v>17.62</v>
      </c>
      <c r="W906">
        <v>0</v>
      </c>
      <c r="X906">
        <v>3.2104006367736825E-2</v>
      </c>
      <c r="Y906">
        <v>-0.32272320286868889</v>
      </c>
      <c r="Z906">
        <v>0.36446519044036391</v>
      </c>
      <c r="AB906" s="3">
        <f t="shared" si="154"/>
        <v>9.4632603854730435E-3</v>
      </c>
      <c r="AC906" s="3">
        <f t="shared" si="155"/>
        <v>7.7986699583114313E-3</v>
      </c>
      <c r="AD906" s="3">
        <f t="shared" si="156"/>
        <v>3.8280543526008071E-3</v>
      </c>
      <c r="AE906" s="76">
        <f t="shared" si="157"/>
        <v>15291.619047619048</v>
      </c>
      <c r="AF906" s="76">
        <f t="shared" si="158"/>
        <v>5373.5654761904771</v>
      </c>
      <c r="AG906" s="76">
        <f t="shared" si="159"/>
        <v>5199.6531816266324</v>
      </c>
      <c r="AO906" s="5">
        <f t="shared" ref="AO906:AO969" si="164">IFERROR((O906-O907)/O907,"")</f>
        <v>6.3950350782514764E-2</v>
      </c>
      <c r="AP906" s="5">
        <f t="shared" si="160"/>
        <v>0.3397134524755292</v>
      </c>
      <c r="AR906" s="5">
        <f t="shared" si="161"/>
        <v>6.9488103444864668E-4</v>
      </c>
      <c r="AS906" s="5">
        <f t="shared" si="162"/>
        <v>-8.9578652904007128E-3</v>
      </c>
      <c r="AT906" s="5">
        <f t="shared" si="163"/>
        <v>-5.8954360431781594E-3</v>
      </c>
    </row>
    <row r="907" spans="12:46" x14ac:dyDescent="0.25">
      <c r="L907" s="4">
        <v>44239.5</v>
      </c>
      <c r="M907">
        <v>37.69</v>
      </c>
      <c r="N907">
        <v>40.25</v>
      </c>
      <c r="O907">
        <v>37.06</v>
      </c>
      <c r="P907">
        <v>40.020000000000003</v>
      </c>
      <c r="Q907">
        <v>46084</v>
      </c>
      <c r="R907">
        <v>445991</v>
      </c>
      <c r="S907">
        <v>17.07</v>
      </c>
      <c r="T907">
        <v>17.649999999999999</v>
      </c>
      <c r="U907">
        <v>16.95</v>
      </c>
      <c r="V907">
        <v>17.62</v>
      </c>
      <c r="W907">
        <v>598</v>
      </c>
      <c r="X907">
        <v>8.1315319908233444E-2</v>
      </c>
      <c r="Y907">
        <v>3.2599258152425485</v>
      </c>
      <c r="Z907">
        <v>1.6273645390586169</v>
      </c>
      <c r="AB907" s="3">
        <f t="shared" si="154"/>
        <v>1.1915325469097758E-2</v>
      </c>
      <c r="AC907" s="3">
        <f t="shared" si="155"/>
        <v>9.0405845489622064E-3</v>
      </c>
      <c r="AD907" s="3">
        <f t="shared" si="156"/>
        <v>5.0957126329918764E-3</v>
      </c>
      <c r="AE907" s="76">
        <f t="shared" si="157"/>
        <v>15728</v>
      </c>
      <c r="AF907" s="76">
        <f t="shared" si="158"/>
        <v>5489.6904761904771</v>
      </c>
      <c r="AG907" s="76">
        <f t="shared" si="159"/>
        <v>5426.8010956595026</v>
      </c>
      <c r="AO907" s="5">
        <f t="shared" si="164"/>
        <v>-3.2375979112271407E-2</v>
      </c>
      <c r="AP907" s="5">
        <f t="shared" si="160"/>
        <v>0.3312271061582539</v>
      </c>
      <c r="AR907" s="5">
        <f t="shared" si="161"/>
        <v>-3.0853723912438458E-4</v>
      </c>
      <c r="AS907" s="5">
        <f t="shared" si="162"/>
        <v>-1.0147305916696825E-2</v>
      </c>
      <c r="AT907" s="5">
        <f t="shared" si="163"/>
        <v>-5.6887044856592794E-3</v>
      </c>
    </row>
    <row r="908" spans="12:46" x14ac:dyDescent="0.25">
      <c r="L908" s="4">
        <v>44238.5</v>
      </c>
      <c r="M908">
        <v>39.229999999999997</v>
      </c>
      <c r="N908">
        <v>40.119999999999997</v>
      </c>
      <c r="O908">
        <v>38.299999999999997</v>
      </c>
      <c r="P908">
        <v>38.76</v>
      </c>
      <c r="Q908">
        <v>55640</v>
      </c>
      <c r="R908">
        <v>445935</v>
      </c>
      <c r="S908">
        <v>18.149999999999999</v>
      </c>
      <c r="T908">
        <v>18.149999999999999</v>
      </c>
      <c r="U908">
        <v>17.375</v>
      </c>
      <c r="V908">
        <v>17.375</v>
      </c>
      <c r="W908">
        <v>1628</v>
      </c>
      <c r="X908">
        <v>4.7643979057591629E-2</v>
      </c>
      <c r="Y908">
        <v>0.93794761743192778</v>
      </c>
      <c r="Z908">
        <v>2.4807384546762181</v>
      </c>
      <c r="AB908" s="3">
        <f t="shared" si="154"/>
        <v>9.5799055443405376E-3</v>
      </c>
      <c r="AC908" s="3">
        <f t="shared" si="155"/>
        <v>6.6783865065275783E-3</v>
      </c>
      <c r="AD908" s="3">
        <f t="shared" si="156"/>
        <v>2.7791594986206966E-3</v>
      </c>
      <c r="AE908" s="76">
        <f t="shared" si="157"/>
        <v>14566.999999999998</v>
      </c>
      <c r="AF908" s="76">
        <f t="shared" si="158"/>
        <v>4150.9285714285688</v>
      </c>
      <c r="AG908" s="76">
        <f t="shared" si="159"/>
        <v>4374.3767383059421</v>
      </c>
      <c r="AO908" s="5">
        <f t="shared" si="164"/>
        <v>1.9701810436634579E-2</v>
      </c>
      <c r="AP908" s="5">
        <f t="shared" si="160"/>
        <v>0.32900945541530069</v>
      </c>
      <c r="AR908" s="5">
        <f t="shared" si="161"/>
        <v>-1.2809884184504239E-3</v>
      </c>
      <c r="AS908" s="5">
        <f t="shared" si="162"/>
        <v>-1.1182207922071863E-2</v>
      </c>
      <c r="AT908" s="5">
        <f t="shared" si="163"/>
        <v>-5.2576066201655003E-3</v>
      </c>
    </row>
    <row r="909" spans="12:46" x14ac:dyDescent="0.25">
      <c r="L909" s="4">
        <v>44237.5</v>
      </c>
      <c r="M909">
        <v>38.200000000000003</v>
      </c>
      <c r="N909">
        <v>39.72</v>
      </c>
      <c r="O909">
        <v>37.56</v>
      </c>
      <c r="P909">
        <v>39.33</v>
      </c>
      <c r="Q909">
        <v>38793</v>
      </c>
      <c r="R909">
        <v>458274</v>
      </c>
      <c r="S909">
        <v>18.850000000000001</v>
      </c>
      <c r="T909">
        <v>19.024999999999999</v>
      </c>
      <c r="U909">
        <v>18.45</v>
      </c>
      <c r="V909">
        <v>18.559999999999999</v>
      </c>
      <c r="W909">
        <v>505</v>
      </c>
      <c r="X909">
        <v>5.6692913385826681E-2</v>
      </c>
      <c r="Y909">
        <v>1.6897079721510957</v>
      </c>
      <c r="Z909">
        <v>1.1726875639935692</v>
      </c>
      <c r="AB909" s="3">
        <f t="shared" si="154"/>
        <v>9.4103649988321603E-3</v>
      </c>
      <c r="AC909" s="3">
        <f t="shared" si="155"/>
        <v>6.8104821974196358E-3</v>
      </c>
      <c r="AD909" s="3">
        <f t="shared" si="156"/>
        <v>2.8589745942407124E-3</v>
      </c>
      <c r="AE909" s="76">
        <f t="shared" si="157"/>
        <v>13365.190476190477</v>
      </c>
      <c r="AF909" s="76">
        <f t="shared" si="158"/>
        <v>2822.2619047619046</v>
      </c>
      <c r="AG909" s="76">
        <f t="shared" si="159"/>
        <v>3137.5002107037508</v>
      </c>
      <c r="AO909" s="5">
        <f t="shared" si="164"/>
        <v>2.6631158455406437E-4</v>
      </c>
      <c r="AP909" s="5">
        <f t="shared" si="160"/>
        <v>0.32943558323623273</v>
      </c>
      <c r="AR909" s="5">
        <f t="shared" si="161"/>
        <v>-2.109576798120627E-3</v>
      </c>
      <c r="AS909" s="5">
        <f t="shared" si="162"/>
        <v>-1.2054650768798802E-2</v>
      </c>
      <c r="AT909" s="5">
        <f t="shared" si="163"/>
        <v>-4.7427368891444499E-3</v>
      </c>
    </row>
    <row r="910" spans="12:46" x14ac:dyDescent="0.25">
      <c r="L910" s="4">
        <v>44236.5</v>
      </c>
      <c r="M910">
        <v>38.1</v>
      </c>
      <c r="N910">
        <v>38.729999999999997</v>
      </c>
      <c r="O910">
        <v>37.549999999999997</v>
      </c>
      <c r="P910">
        <v>38.26</v>
      </c>
      <c r="Q910">
        <v>36918</v>
      </c>
      <c r="R910">
        <v>465943</v>
      </c>
      <c r="S910">
        <v>18.855</v>
      </c>
      <c r="T910">
        <v>19.305</v>
      </c>
      <c r="U910">
        <v>18.75</v>
      </c>
      <c r="V910">
        <v>19.045000000000002</v>
      </c>
      <c r="W910">
        <v>581</v>
      </c>
      <c r="X910">
        <v>3.010204081632652E-2</v>
      </c>
      <c r="Y910">
        <v>-0.42273026694348076</v>
      </c>
      <c r="Z910">
        <v>1.0384800042768314</v>
      </c>
      <c r="AB910" s="3">
        <f t="shared" si="154"/>
        <v>8.7009985863712447E-3</v>
      </c>
      <c r="AC910" s="3">
        <f t="shared" si="155"/>
        <v>5.4836384310025452E-3</v>
      </c>
      <c r="AD910" s="3">
        <f t="shared" si="156"/>
        <v>1.9210417461260967E-3</v>
      </c>
      <c r="AE910" s="76">
        <f t="shared" si="157"/>
        <v>13473.190476190477</v>
      </c>
      <c r="AF910" s="76">
        <f t="shared" si="158"/>
        <v>2232.7142857142862</v>
      </c>
      <c r="AG910" s="76">
        <f t="shared" si="159"/>
        <v>2570.1605562579025</v>
      </c>
      <c r="AO910" s="5">
        <f t="shared" si="164"/>
        <v>-2.366094643785761E-2</v>
      </c>
      <c r="AP910" s="5">
        <f t="shared" si="160"/>
        <v>0.33058749313008501</v>
      </c>
      <c r="AR910" s="5">
        <f t="shared" si="161"/>
        <v>-3.1898641006009587E-3</v>
      </c>
      <c r="AS910" s="5">
        <f t="shared" si="162"/>
        <v>-1.3117244680499851E-2</v>
      </c>
      <c r="AT910" s="5">
        <f t="shared" si="163"/>
        <v>-4.2546925902612887E-3</v>
      </c>
    </row>
    <row r="911" spans="12:46" x14ac:dyDescent="0.25">
      <c r="L911" s="4">
        <v>44235.5</v>
      </c>
      <c r="M911">
        <v>39.200000000000003</v>
      </c>
      <c r="N911">
        <v>39.799999999999997</v>
      </c>
      <c r="O911">
        <v>38.46</v>
      </c>
      <c r="P911">
        <v>38.61</v>
      </c>
      <c r="Q911">
        <v>27552</v>
      </c>
      <c r="R911">
        <v>475208</v>
      </c>
      <c r="S911">
        <v>20.375</v>
      </c>
      <c r="T911">
        <v>20.375</v>
      </c>
      <c r="U911">
        <v>19.600000000000001</v>
      </c>
      <c r="V911">
        <v>20.18</v>
      </c>
      <c r="W911">
        <v>481</v>
      </c>
      <c r="X911">
        <v>3.5828877005347495E-2</v>
      </c>
      <c r="Y911">
        <v>5.5758103170769804E-2</v>
      </c>
      <c r="Z911">
        <v>0.21430697626681422</v>
      </c>
      <c r="AB911" s="3">
        <f t="shared" si="154"/>
        <v>8.520835966542982E-3</v>
      </c>
      <c r="AC911" s="3">
        <f t="shared" si="155"/>
        <v>4.7058321170471845E-3</v>
      </c>
      <c r="AD911" s="3">
        <f t="shared" si="156"/>
        <v>2.0340649383786547E-3</v>
      </c>
      <c r="AE911" s="76">
        <f t="shared" si="157"/>
        <v>12113.238095238094</v>
      </c>
      <c r="AF911" s="76">
        <f t="shared" si="158"/>
        <v>916.22619047618718</v>
      </c>
      <c r="AG911" s="76">
        <f t="shared" si="159"/>
        <v>1547.9199325747977</v>
      </c>
      <c r="AO911" s="5">
        <f t="shared" si="164"/>
        <v>3.3870967741935425E-2</v>
      </c>
      <c r="AP911" s="5">
        <f t="shared" si="160"/>
        <v>0.32978988484171834</v>
      </c>
      <c r="AR911" s="5">
        <f t="shared" si="161"/>
        <v>-4.285315213274854E-3</v>
      </c>
      <c r="AS911" s="5">
        <f t="shared" si="162"/>
        <v>-1.4188318340541461E-2</v>
      </c>
      <c r="AT911" s="5">
        <f t="shared" si="163"/>
        <v>-3.6081506755976656E-3</v>
      </c>
    </row>
    <row r="912" spans="12:46" x14ac:dyDescent="0.25">
      <c r="L912" s="4">
        <v>44232.5</v>
      </c>
      <c r="M912">
        <v>37.4</v>
      </c>
      <c r="N912">
        <v>38.729999999999997</v>
      </c>
      <c r="O912">
        <v>37.200000000000003</v>
      </c>
      <c r="P912">
        <v>38.200000000000003</v>
      </c>
      <c r="Q912">
        <v>32162</v>
      </c>
      <c r="R912">
        <v>474391</v>
      </c>
      <c r="S912">
        <v>18.55</v>
      </c>
      <c r="T912">
        <v>18.899999999999999</v>
      </c>
      <c r="U912">
        <v>18.3</v>
      </c>
      <c r="V912">
        <v>18.38</v>
      </c>
      <c r="W912">
        <v>1046</v>
      </c>
      <c r="X912">
        <v>4.074567243675084E-2</v>
      </c>
      <c r="Y912">
        <v>0.38716714521317169</v>
      </c>
      <c r="Z912">
        <v>0.6134048407951268</v>
      </c>
      <c r="AB912" s="3">
        <f t="shared" si="154"/>
        <v>7.1519453590750889E-3</v>
      </c>
      <c r="AC912" s="3">
        <f t="shared" si="155"/>
        <v>3.902391860407195E-3</v>
      </c>
      <c r="AD912" s="3">
        <f t="shared" si="156"/>
        <v>1.5611074984401979E-3</v>
      </c>
      <c r="AE912" s="76">
        <f t="shared" si="157"/>
        <v>10796.714285714284</v>
      </c>
      <c r="AF912" s="76">
        <f t="shared" si="158"/>
        <v>470.54166666666424</v>
      </c>
      <c r="AG912" s="76">
        <f t="shared" si="159"/>
        <v>1284.3961230509885</v>
      </c>
      <c r="AO912" s="5">
        <f t="shared" si="164"/>
        <v>1.7227235438884402E-2</v>
      </c>
      <c r="AP912" s="5">
        <f t="shared" si="160"/>
        <v>0.32838359075380796</v>
      </c>
      <c r="AR912" s="5">
        <f t="shared" si="161"/>
        <v>-5.2294186610776228E-3</v>
      </c>
      <c r="AS912" s="5">
        <f t="shared" si="162"/>
        <v>-1.5025012212538824E-2</v>
      </c>
      <c r="AT912" s="5">
        <f t="shared" si="163"/>
        <v>-2.9277484610499838E-3</v>
      </c>
    </row>
    <row r="913" spans="12:46" x14ac:dyDescent="0.25">
      <c r="L913" s="4">
        <v>44231.5</v>
      </c>
      <c r="M913">
        <v>37.549999999999997</v>
      </c>
      <c r="N913">
        <v>38.25</v>
      </c>
      <c r="O913">
        <v>36.57</v>
      </c>
      <c r="P913">
        <v>37.270000000000003</v>
      </c>
      <c r="Q913">
        <v>34498</v>
      </c>
      <c r="R913">
        <v>472964</v>
      </c>
      <c r="S913">
        <v>17.850000000000001</v>
      </c>
      <c r="T913">
        <v>18.350000000000001</v>
      </c>
      <c r="U913">
        <v>17.75</v>
      </c>
      <c r="V913">
        <v>18.12</v>
      </c>
      <c r="W913">
        <v>799</v>
      </c>
      <c r="X913">
        <v>4.7931526390870179E-2</v>
      </c>
      <c r="Y913">
        <v>0.94193856855291758</v>
      </c>
      <c r="Z913">
        <v>0.82499550164498558</v>
      </c>
      <c r="AB913" s="3">
        <f t="shared" si="154"/>
        <v>7.1852102157869968E-3</v>
      </c>
      <c r="AC913" s="3">
        <f t="shared" si="155"/>
        <v>3.2304607948468803E-3</v>
      </c>
      <c r="AD913" s="3">
        <f t="shared" si="156"/>
        <v>1.0533680486321736E-3</v>
      </c>
      <c r="AE913" s="76">
        <f t="shared" si="157"/>
        <v>9589.1904761904752</v>
      </c>
      <c r="AF913" s="76">
        <f t="shared" si="158"/>
        <v>-278.40476190476329</v>
      </c>
      <c r="AG913" s="76">
        <f t="shared" si="159"/>
        <v>912.23683101559072</v>
      </c>
      <c r="AO913" s="5">
        <f t="shared" si="164"/>
        <v>5.1466359976998249E-2</v>
      </c>
      <c r="AP913" s="5">
        <f t="shared" si="160"/>
        <v>0.32902056292534754</v>
      </c>
      <c r="AR913" s="5">
        <f t="shared" si="161"/>
        <v>-6.0968456353222567E-3</v>
      </c>
      <c r="AS913" s="5">
        <f t="shared" si="162"/>
        <v>-1.5770295563998282E-2</v>
      </c>
      <c r="AT913" s="5">
        <f t="shared" si="163"/>
        <v>-2.0528121290653289E-3</v>
      </c>
    </row>
    <row r="914" spans="12:46" x14ac:dyDescent="0.25">
      <c r="L914" s="4">
        <v>44230.5</v>
      </c>
      <c r="M914">
        <v>35.049999999999997</v>
      </c>
      <c r="N914">
        <v>37.85</v>
      </c>
      <c r="O914">
        <v>34.78</v>
      </c>
      <c r="P914">
        <v>37.43</v>
      </c>
      <c r="Q914">
        <v>50384</v>
      </c>
      <c r="R914">
        <v>472077</v>
      </c>
      <c r="S914">
        <v>17.649999999999999</v>
      </c>
      <c r="T914">
        <v>17.855</v>
      </c>
      <c r="U914">
        <v>17.350000000000001</v>
      </c>
      <c r="V914">
        <v>17.855</v>
      </c>
      <c r="W914">
        <v>432</v>
      </c>
      <c r="X914">
        <v>9.3002120569524407E-2</v>
      </c>
      <c r="Y914">
        <v>4.3284075660713359</v>
      </c>
      <c r="Z914">
        <v>2.2346848617325525</v>
      </c>
      <c r="AB914" s="3">
        <f t="shared" si="154"/>
        <v>6.5424825021661651E-3</v>
      </c>
      <c r="AC914" s="3">
        <f t="shared" si="155"/>
        <v>2.1801993309343917E-3</v>
      </c>
      <c r="AD914" s="3">
        <f t="shared" si="156"/>
        <v>-1.6065467569298386E-4</v>
      </c>
      <c r="AE914" s="76">
        <f t="shared" si="157"/>
        <v>7238.4761904761908</v>
      </c>
      <c r="AF914" s="76">
        <f t="shared" si="158"/>
        <v>-1293.6130952380954</v>
      </c>
      <c r="AG914" s="76">
        <f t="shared" si="159"/>
        <v>78.854193004637636</v>
      </c>
      <c r="AO914" s="5">
        <f t="shared" si="164"/>
        <v>5.3939393939393974E-2</v>
      </c>
      <c r="AP914" s="5">
        <f t="shared" si="160"/>
        <v>0.32352842398944287</v>
      </c>
      <c r="AR914" s="5">
        <f t="shared" si="161"/>
        <v>-7.1888752588316063E-3</v>
      </c>
      <c r="AS914" s="5">
        <f t="shared" si="162"/>
        <v>-1.654135440413157E-2</v>
      </c>
      <c r="AT914" s="5">
        <f t="shared" si="163"/>
        <v>-1.4500991691400178E-3</v>
      </c>
    </row>
    <row r="915" spans="12:46" x14ac:dyDescent="0.25">
      <c r="L915" s="4">
        <v>44229.5</v>
      </c>
      <c r="M915">
        <v>33.01</v>
      </c>
      <c r="N915">
        <v>35.200000000000003</v>
      </c>
      <c r="O915">
        <v>33</v>
      </c>
      <c r="P915">
        <v>34.97</v>
      </c>
      <c r="Q915">
        <v>37713</v>
      </c>
      <c r="R915">
        <v>472661</v>
      </c>
      <c r="S915">
        <v>18.2</v>
      </c>
      <c r="T915">
        <v>18.5</v>
      </c>
      <c r="U915">
        <v>18.105</v>
      </c>
      <c r="V915">
        <v>18.25</v>
      </c>
      <c r="W915">
        <v>347</v>
      </c>
      <c r="X915">
        <v>6.6767830045523599E-2</v>
      </c>
      <c r="Y915">
        <v>2.7334127696380359</v>
      </c>
      <c r="Z915">
        <v>1.1903214023266981</v>
      </c>
      <c r="AB915" s="3">
        <f t="shared" si="154"/>
        <v>4.1694767572330177E-3</v>
      </c>
      <c r="AC915" s="3">
        <f t="shared" si="155"/>
        <v>-6.9596316512804401E-4</v>
      </c>
      <c r="AD915" s="3">
        <f t="shared" si="156"/>
        <v>-3.2639311780535071E-3</v>
      </c>
      <c r="AE915" s="76">
        <f t="shared" si="157"/>
        <v>5476.3333333333321</v>
      </c>
      <c r="AF915" s="76">
        <f t="shared" si="158"/>
        <v>-2834.7321428571449</v>
      </c>
      <c r="AG915" s="76">
        <f t="shared" si="159"/>
        <v>-1414.5726927939322</v>
      </c>
      <c r="AO915" s="5">
        <f t="shared" si="164"/>
        <v>1.3513513513513443E-2</v>
      </c>
      <c r="AP915" s="5">
        <f t="shared" si="160"/>
        <v>0.31702278281191831</v>
      </c>
      <c r="AR915" s="5">
        <f t="shared" si="161"/>
        <v>-7.9712923940715719E-3</v>
      </c>
      <c r="AS915" s="5">
        <f t="shared" si="162"/>
        <v>-1.6985769779636173E-2</v>
      </c>
      <c r="AT915" s="5">
        <f t="shared" si="163"/>
        <v>-6.7735410533542595E-4</v>
      </c>
    </row>
    <row r="916" spans="12:46" x14ac:dyDescent="0.25">
      <c r="L916" s="4">
        <v>44228.5</v>
      </c>
      <c r="M916">
        <v>32.950000000000003</v>
      </c>
      <c r="N916">
        <v>33.4</v>
      </c>
      <c r="O916">
        <v>32.56</v>
      </c>
      <c r="P916">
        <v>32.85</v>
      </c>
      <c r="Q916">
        <v>25781</v>
      </c>
      <c r="R916">
        <v>469986</v>
      </c>
      <c r="S916">
        <v>19.05</v>
      </c>
      <c r="T916">
        <v>19.05</v>
      </c>
      <c r="U916">
        <v>17.875</v>
      </c>
      <c r="V916">
        <v>18.14</v>
      </c>
      <c r="W916">
        <v>837</v>
      </c>
      <c r="X916">
        <v>2.4742268041237001E-2</v>
      </c>
      <c r="Y916">
        <v>-0.92752827043484765</v>
      </c>
      <c r="Z916">
        <v>0.10829861402970142</v>
      </c>
      <c r="AB916" s="3">
        <f t="shared" si="154"/>
        <v>3.3115275161026067E-3</v>
      </c>
      <c r="AC916" s="3">
        <f t="shared" si="155"/>
        <v>-1.2698945740953274E-3</v>
      </c>
      <c r="AD916" s="3">
        <f t="shared" si="156"/>
        <v>-4.050889806865722E-3</v>
      </c>
      <c r="AE916" s="76">
        <f t="shared" si="157"/>
        <v>3835.8571428571449</v>
      </c>
      <c r="AF916" s="76">
        <f t="shared" si="158"/>
        <v>-3758.2142857142862</v>
      </c>
      <c r="AG916" s="76">
        <f t="shared" si="159"/>
        <v>-2313.3388116308452</v>
      </c>
      <c r="AO916" s="5">
        <f t="shared" si="164"/>
        <v>-1.0635065329686853E-2</v>
      </c>
      <c r="AP916" s="5">
        <f t="shared" si="160"/>
        <v>0.31782855230540785</v>
      </c>
      <c r="AR916" s="5">
        <f t="shared" si="161"/>
        <v>-8.3421146753205333E-3</v>
      </c>
      <c r="AS916" s="5">
        <f t="shared" si="162"/>
        <v>-1.707375560579516E-2</v>
      </c>
      <c r="AT916" s="5">
        <f t="shared" si="163"/>
        <v>1.4012288033491971E-3</v>
      </c>
    </row>
    <row r="917" spans="12:46" x14ac:dyDescent="0.25">
      <c r="L917" s="4">
        <v>44225.5</v>
      </c>
      <c r="M917">
        <v>33.950000000000003</v>
      </c>
      <c r="N917">
        <v>33.950000000000003</v>
      </c>
      <c r="O917">
        <v>32.909999999999997</v>
      </c>
      <c r="P917">
        <v>32.950000000000003</v>
      </c>
      <c r="Q917">
        <v>25425</v>
      </c>
      <c r="R917">
        <v>472526</v>
      </c>
      <c r="S917">
        <v>20.6</v>
      </c>
      <c r="T917">
        <v>20.6</v>
      </c>
      <c r="U917">
        <v>19.594999999999999</v>
      </c>
      <c r="V917">
        <v>19.82</v>
      </c>
      <c r="W917">
        <v>441</v>
      </c>
      <c r="X917">
        <v>3.0989272943981114E-2</v>
      </c>
      <c r="Y917">
        <v>-0.38255260661722951</v>
      </c>
      <c r="Z917">
        <v>7.8862685733425308E-2</v>
      </c>
      <c r="AB917" s="3">
        <f t="shared" si="154"/>
        <v>3.5600821791593115E-3</v>
      </c>
      <c r="AC917" s="3">
        <f t="shared" si="155"/>
        <v>-1.3367166606718245E-3</v>
      </c>
      <c r="AD917" s="3">
        <f t="shared" si="156"/>
        <v>-3.8677525420847056E-3</v>
      </c>
      <c r="AE917" s="76">
        <f t="shared" si="157"/>
        <v>702.04761904761835</v>
      </c>
      <c r="AF917" s="76">
        <f t="shared" si="158"/>
        <v>-5586.0595238095229</v>
      </c>
      <c r="AG917" s="76">
        <f t="shared" si="159"/>
        <v>-3735.5983986514984</v>
      </c>
      <c r="AO917" s="5">
        <f t="shared" si="164"/>
        <v>6.0808756460918275E-4</v>
      </c>
      <c r="AP917" s="5">
        <f t="shared" si="160"/>
        <v>0.31852708478399905</v>
      </c>
      <c r="AR917" s="5">
        <f t="shared" si="161"/>
        <v>-8.8128503777331613E-3</v>
      </c>
      <c r="AS917" s="5">
        <f t="shared" si="162"/>
        <v>-1.7232546513430758E-2</v>
      </c>
      <c r="AT917" s="5" t="str">
        <f t="shared" si="163"/>
        <v/>
      </c>
    </row>
    <row r="918" spans="12:46" x14ac:dyDescent="0.25">
      <c r="L918" s="4">
        <v>44224.5</v>
      </c>
      <c r="M918">
        <v>33.56</v>
      </c>
      <c r="N918">
        <v>33.97</v>
      </c>
      <c r="O918">
        <v>32.89</v>
      </c>
      <c r="P918">
        <v>33.950000000000003</v>
      </c>
      <c r="Q918">
        <v>20572</v>
      </c>
      <c r="R918">
        <v>474718</v>
      </c>
      <c r="S918">
        <v>20.6</v>
      </c>
      <c r="T918">
        <v>20.91</v>
      </c>
      <c r="U918">
        <v>20.350000000000001</v>
      </c>
      <c r="V918">
        <v>20.91</v>
      </c>
      <c r="W918">
        <v>0</v>
      </c>
      <c r="X918">
        <v>3.2393521295740794E-2</v>
      </c>
      <c r="Y918">
        <v>-0.27344317980569555</v>
      </c>
      <c r="Z918">
        <v>-0.37687238645337473</v>
      </c>
      <c r="AB918" s="3">
        <f t="shared" si="154"/>
        <v>3.0267771127898829E-3</v>
      </c>
      <c r="AC918" s="3">
        <f t="shared" si="155"/>
        <v>-1.4685909255991794E-3</v>
      </c>
      <c r="AD918" s="3">
        <f t="shared" si="156"/>
        <v>-4.074442016376828E-3</v>
      </c>
      <c r="AE918" s="76">
        <f t="shared" si="157"/>
        <v>-2202.8571428571449</v>
      </c>
      <c r="AF918" s="76">
        <f t="shared" si="158"/>
        <v>-6875.1190476190495</v>
      </c>
      <c r="AG918" s="76">
        <f t="shared" si="159"/>
        <v>-4879.7277707543217</v>
      </c>
      <c r="AO918" s="5">
        <f t="shared" si="164"/>
        <v>2.0794537554314145E-2</v>
      </c>
      <c r="AP918" s="5">
        <f t="shared" si="160"/>
        <v>0.31972267175268548</v>
      </c>
      <c r="AR918" s="5">
        <f t="shared" si="161"/>
        <v>-9.2487254999175095E-3</v>
      </c>
      <c r="AS918" s="5">
        <f t="shared" si="162"/>
        <v>-1.7344697223603545E-2</v>
      </c>
      <c r="AT918" s="5" t="str">
        <f t="shared" si="163"/>
        <v/>
      </c>
    </row>
    <row r="919" spans="12:46" x14ac:dyDescent="0.25">
      <c r="L919" s="4">
        <v>44223.5</v>
      </c>
      <c r="M919">
        <v>33.340000000000003</v>
      </c>
      <c r="N919">
        <v>33.450000000000003</v>
      </c>
      <c r="O919">
        <v>32.22</v>
      </c>
      <c r="P919">
        <v>33.28</v>
      </c>
      <c r="Q919">
        <v>24874</v>
      </c>
      <c r="R919">
        <v>476667</v>
      </c>
      <c r="S919">
        <v>19</v>
      </c>
      <c r="T919">
        <v>19.899999999999999</v>
      </c>
      <c r="U919">
        <v>18.899999999999999</v>
      </c>
      <c r="V919">
        <v>19.7</v>
      </c>
      <c r="W919">
        <v>382</v>
      </c>
      <c r="X919">
        <v>3.7216338880484236E-2</v>
      </c>
      <c r="Y919">
        <v>0.14036454806215801</v>
      </c>
      <c r="Z919">
        <v>-4.8762089708238307E-5</v>
      </c>
      <c r="AB919" s="3">
        <f t="shared" si="154"/>
        <v>3.3202377980492068E-3</v>
      </c>
      <c r="AC919" s="3">
        <f t="shared" si="155"/>
        <v>-7.8442329431938768E-4</v>
      </c>
      <c r="AD919" s="3">
        <f t="shared" si="156"/>
        <v>-3.5930018815974601E-3</v>
      </c>
      <c r="AE919" s="76">
        <f t="shared" si="157"/>
        <v>-4642.0952380952403</v>
      </c>
      <c r="AF919" s="76">
        <f t="shared" si="158"/>
        <v>-7579.9583333333358</v>
      </c>
      <c r="AG919" s="76">
        <f t="shared" si="159"/>
        <v>-5489.2261904761908</v>
      </c>
      <c r="AO919" s="5">
        <f t="shared" si="164"/>
        <v>-1.7982322462663923E-2</v>
      </c>
      <c r="AP919" s="5">
        <f t="shared" si="160"/>
        <v>0.31990832313922468</v>
      </c>
      <c r="AR919" s="5">
        <f t="shared" si="161"/>
        <v>-9.6827201522202144E-3</v>
      </c>
      <c r="AS919" s="5">
        <f t="shared" si="162"/>
        <v>-1.7474791541432333E-2</v>
      </c>
      <c r="AT919" s="5" t="str">
        <f t="shared" si="163"/>
        <v/>
      </c>
    </row>
    <row r="920" spans="12:46" x14ac:dyDescent="0.25">
      <c r="L920" s="4">
        <v>44222.5</v>
      </c>
      <c r="M920">
        <v>33.049999999999997</v>
      </c>
      <c r="N920">
        <v>33.6</v>
      </c>
      <c r="O920">
        <v>32.81</v>
      </c>
      <c r="P920">
        <v>33.35</v>
      </c>
      <c r="Q920">
        <v>21859</v>
      </c>
      <c r="R920">
        <v>476936</v>
      </c>
      <c r="S920">
        <v>19.8</v>
      </c>
      <c r="T920">
        <v>20.074999999999999</v>
      </c>
      <c r="U920">
        <v>19.175000000000001</v>
      </c>
      <c r="V920">
        <v>19.510000000000002</v>
      </c>
      <c r="W920">
        <v>785</v>
      </c>
      <c r="X920">
        <v>2.2898550724637656E-2</v>
      </c>
      <c r="Y920">
        <v>-1.1504578391988585</v>
      </c>
      <c r="Z920">
        <v>-0.27818431598857368</v>
      </c>
      <c r="AB920" s="3">
        <f t="shared" si="154"/>
        <v>1.6503610632216323E-3</v>
      </c>
      <c r="AC920" s="3">
        <f t="shared" si="155"/>
        <v>-1.4012138951169165E-3</v>
      </c>
      <c r="AD920" s="3">
        <f t="shared" si="156"/>
        <v>-4.2934598316216252E-3</v>
      </c>
      <c r="AE920" s="76">
        <f t="shared" si="157"/>
        <v>-6883.3333333333321</v>
      </c>
      <c r="AF920" s="76">
        <f t="shared" si="158"/>
        <v>-8514.6726190476184</v>
      </c>
      <c r="AG920" s="76">
        <f t="shared" si="159"/>
        <v>-6362.1595881595858</v>
      </c>
      <c r="AO920" s="5">
        <f t="shared" si="164"/>
        <v>-8.1620314389357924E-3</v>
      </c>
      <c r="AP920" s="5">
        <f t="shared" si="160"/>
        <v>0.31989776443686974</v>
      </c>
      <c r="AR920" s="5">
        <f t="shared" si="161"/>
        <v>-1.0121414224876335E-2</v>
      </c>
      <c r="AS920" s="5">
        <f t="shared" si="162"/>
        <v>-1.7670281639556584E-2</v>
      </c>
      <c r="AT920" s="5" t="str">
        <f t="shared" si="163"/>
        <v/>
      </c>
    </row>
    <row r="921" spans="12:46" x14ac:dyDescent="0.25">
      <c r="L921" s="4">
        <v>44221.5</v>
      </c>
      <c r="M921">
        <v>34.5</v>
      </c>
      <c r="N921">
        <v>34.69</v>
      </c>
      <c r="O921">
        <v>33.08</v>
      </c>
      <c r="P921">
        <v>33.159999999999997</v>
      </c>
      <c r="Q921">
        <v>22721</v>
      </c>
      <c r="R921">
        <v>479990</v>
      </c>
      <c r="S921">
        <v>22.15</v>
      </c>
      <c r="T921">
        <v>22.15</v>
      </c>
      <c r="U921">
        <v>20.05</v>
      </c>
      <c r="V921">
        <v>20.16</v>
      </c>
      <c r="W921">
        <v>1048</v>
      </c>
      <c r="X921">
        <v>4.7007299270072973E-2</v>
      </c>
      <c r="Y921">
        <v>1.0135810910783531</v>
      </c>
      <c r="Z921">
        <v>-0.20189035808692116</v>
      </c>
      <c r="AB921" s="3">
        <f t="shared" si="154"/>
        <v>2.6862946758619138E-3</v>
      </c>
      <c r="AC921" s="3">
        <f t="shared" si="155"/>
        <v>-8.0307335992601397E-4</v>
      </c>
      <c r="AD921" s="3">
        <f t="shared" si="156"/>
        <v>-3.6689828534917437E-3</v>
      </c>
      <c r="AE921" s="76">
        <f t="shared" si="157"/>
        <v>-8645.9047619047633</v>
      </c>
      <c r="AF921" s="76">
        <f t="shared" si="158"/>
        <v>-9482.6130952380954</v>
      </c>
      <c r="AG921" s="76">
        <f t="shared" si="159"/>
        <v>-7177.3445887445887</v>
      </c>
      <c r="AO921" s="5">
        <f t="shared" si="164"/>
        <v>-1.3714967203339323E-2</v>
      </c>
      <c r="AP921" s="5">
        <f t="shared" si="160"/>
        <v>0.32079749294687415</v>
      </c>
      <c r="AR921" s="5">
        <f t="shared" si="161"/>
        <v>-1.0517038976909476E-2</v>
      </c>
      <c r="AS921" s="5">
        <f t="shared" si="162"/>
        <v>-1.7814587406130844E-2</v>
      </c>
      <c r="AT921" s="5" t="str">
        <f t="shared" si="163"/>
        <v/>
      </c>
    </row>
    <row r="922" spans="12:46" x14ac:dyDescent="0.25">
      <c r="L922" s="4">
        <v>44218.5</v>
      </c>
      <c r="M922">
        <v>34.25</v>
      </c>
      <c r="N922">
        <v>34.29</v>
      </c>
      <c r="O922">
        <v>33.54</v>
      </c>
      <c r="P922">
        <v>34.24</v>
      </c>
      <c r="Q922">
        <v>16725</v>
      </c>
      <c r="R922">
        <v>482237</v>
      </c>
      <c r="S922">
        <v>20.75</v>
      </c>
      <c r="T922">
        <v>21.5</v>
      </c>
      <c r="U922">
        <v>20.75</v>
      </c>
      <c r="V922">
        <v>21.484999999999999</v>
      </c>
      <c r="W922">
        <v>936</v>
      </c>
      <c r="X922">
        <v>2.2761760242792108E-2</v>
      </c>
      <c r="Y922">
        <v>-1.1700546492608812</v>
      </c>
      <c r="Z922">
        <v>-0.76361376784741652</v>
      </c>
      <c r="AB922" s="3">
        <f t="shared" si="154"/>
        <v>5.4902993401120814E-4</v>
      </c>
      <c r="AC922" s="3">
        <f t="shared" si="155"/>
        <v>-2.3339386195438475E-3</v>
      </c>
      <c r="AD922" s="3">
        <f t="shared" si="156"/>
        <v>-5.1893611309336701E-3</v>
      </c>
      <c r="AE922" s="76">
        <f t="shared" si="157"/>
        <v>-11170.714285714286</v>
      </c>
      <c r="AF922" s="76">
        <f t="shared" si="158"/>
        <v>-11101.386904761905</v>
      </c>
      <c r="AG922" s="76">
        <f t="shared" si="159"/>
        <v>-8493.4250764525968</v>
      </c>
      <c r="AO922" s="5">
        <f t="shared" si="164"/>
        <v>3.009828009828E-2</v>
      </c>
      <c r="AP922" s="5">
        <f t="shared" si="160"/>
        <v>0.32124583756533687</v>
      </c>
      <c r="AR922" s="5">
        <f t="shared" si="161"/>
        <v>-1.0902640282982379E-2</v>
      </c>
      <c r="AS922" s="5">
        <f t="shared" si="162"/>
        <v>-1.7920548829345129E-2</v>
      </c>
      <c r="AT922" s="5" t="str">
        <f t="shared" si="163"/>
        <v/>
      </c>
    </row>
    <row r="923" spans="12:46" x14ac:dyDescent="0.25">
      <c r="L923" s="4">
        <v>44217.5</v>
      </c>
      <c r="M923">
        <v>32.950000000000003</v>
      </c>
      <c r="N923">
        <v>34.200000000000003</v>
      </c>
      <c r="O923">
        <v>32.56</v>
      </c>
      <c r="P923">
        <v>34.11</v>
      </c>
      <c r="Q923">
        <v>21925</v>
      </c>
      <c r="R923">
        <v>482995</v>
      </c>
      <c r="S923">
        <v>19.824999999999999</v>
      </c>
      <c r="T923">
        <v>20.5</v>
      </c>
      <c r="U923">
        <v>19.55</v>
      </c>
      <c r="V923">
        <v>20.065000000000001</v>
      </c>
      <c r="W923">
        <v>433</v>
      </c>
      <c r="X923">
        <v>4.9204920492049227E-2</v>
      </c>
      <c r="Y923">
        <v>1.0111074894767265</v>
      </c>
      <c r="Z923">
        <v>-0.30332957676815708</v>
      </c>
      <c r="AB923" s="3">
        <f t="shared" si="154"/>
        <v>3.0815861592055349E-4</v>
      </c>
      <c r="AC923" s="3">
        <f t="shared" si="155"/>
        <v>-3.0438212373996784E-3</v>
      </c>
      <c r="AD923" s="3">
        <f t="shared" si="156"/>
        <v>-5.5247413478704196E-3</v>
      </c>
      <c r="AE923" s="76">
        <f t="shared" si="157"/>
        <v>-13302.142857142855</v>
      </c>
      <c r="AF923" s="76">
        <f t="shared" si="158"/>
        <v>-12197.559523809523</v>
      </c>
      <c r="AG923" s="76">
        <f t="shared" si="159"/>
        <v>-9334.5330687830683</v>
      </c>
      <c r="AO923" s="5">
        <f t="shared" si="164"/>
        <v>-3.6719706242349277E-3</v>
      </c>
      <c r="AP923" s="5">
        <f t="shared" si="160"/>
        <v>0.32014473901271256</v>
      </c>
      <c r="AR923" s="5">
        <f t="shared" si="161"/>
        <v>-1.124439983175779E-2</v>
      </c>
      <c r="AS923" s="5">
        <f t="shared" si="162"/>
        <v>-1.7989310967700012E-2</v>
      </c>
      <c r="AT923" s="5" t="str">
        <f t="shared" si="163"/>
        <v/>
      </c>
    </row>
    <row r="924" spans="12:46" x14ac:dyDescent="0.25">
      <c r="L924" s="4">
        <v>44216.5</v>
      </c>
      <c r="M924">
        <v>33.33</v>
      </c>
      <c r="N924">
        <v>33.700000000000003</v>
      </c>
      <c r="O924">
        <v>32.68</v>
      </c>
      <c r="P924">
        <v>32.909999999999997</v>
      </c>
      <c r="Q924">
        <v>19674</v>
      </c>
      <c r="R924">
        <v>485186</v>
      </c>
      <c r="S924">
        <v>21.4</v>
      </c>
      <c r="T924">
        <v>21.6</v>
      </c>
      <c r="U924">
        <v>19.934999999999999</v>
      </c>
      <c r="V924">
        <v>20.260000000000002</v>
      </c>
      <c r="W924">
        <v>683</v>
      </c>
      <c r="X924">
        <v>3.216650898770114E-2</v>
      </c>
      <c r="Y924">
        <v>-0.38682902544321757</v>
      </c>
      <c r="Z924">
        <v>-0.52882037827373296</v>
      </c>
      <c r="AB924" s="3">
        <f t="shared" si="154"/>
        <v>-4.5232246342277044E-4</v>
      </c>
      <c r="AC924" s="3">
        <f t="shared" si="155"/>
        <v>-3.7468774720507483E-3</v>
      </c>
      <c r="AD924" s="3">
        <f t="shared" si="156"/>
        <v>-6.4213252381430663E-3</v>
      </c>
      <c r="AE924" s="76">
        <f t="shared" si="157"/>
        <v>-14793.380952380952</v>
      </c>
      <c r="AF924" s="76">
        <f t="shared" si="158"/>
        <v>-13048.196428571429</v>
      </c>
      <c r="AG924" s="76">
        <f t="shared" si="159"/>
        <v>-10134.670226969292</v>
      </c>
      <c r="AO924" s="5">
        <f t="shared" si="164"/>
        <v>3.058971933144115E-2</v>
      </c>
      <c r="AP924" s="5">
        <f t="shared" si="160"/>
        <v>0.32129989392173869</v>
      </c>
      <c r="AR924" s="5">
        <f t="shared" si="161"/>
        <v>-1.1550804026152883E-2</v>
      </c>
      <c r="AS924" s="5">
        <f t="shared" si="162"/>
        <v>-1.8092459361881419E-2</v>
      </c>
      <c r="AT924" s="5" t="str">
        <f t="shared" si="163"/>
        <v/>
      </c>
    </row>
    <row r="925" spans="12:46" x14ac:dyDescent="0.25">
      <c r="L925" s="4">
        <v>44215.5</v>
      </c>
      <c r="M925">
        <v>31.71</v>
      </c>
      <c r="N925">
        <v>33.119999999999997</v>
      </c>
      <c r="O925">
        <v>31.71</v>
      </c>
      <c r="P925">
        <v>33.090000000000003</v>
      </c>
      <c r="Q925">
        <v>25218</v>
      </c>
      <c r="R925">
        <v>485243</v>
      </c>
      <c r="S925">
        <v>19.100000000000001</v>
      </c>
      <c r="T925">
        <v>20.399999999999999</v>
      </c>
      <c r="U925">
        <v>18.899999999999999</v>
      </c>
      <c r="V925">
        <v>20.324999999999999</v>
      </c>
      <c r="W925">
        <v>1048</v>
      </c>
      <c r="X925">
        <v>4.45920303605312E-2</v>
      </c>
      <c r="Y925">
        <v>0.61875197590432807</v>
      </c>
      <c r="Z925">
        <v>-3.6166784832351466E-2</v>
      </c>
      <c r="AB925" s="3">
        <f t="shared" si="154"/>
        <v>7.0597607247362137E-5</v>
      </c>
      <c r="AC925" s="3">
        <f t="shared" si="155"/>
        <v>-4.0014051109208623E-3</v>
      </c>
      <c r="AD925" s="3">
        <f t="shared" si="156"/>
        <v>-6.5911145628056514E-3</v>
      </c>
      <c r="AE925" s="76">
        <f t="shared" si="157"/>
        <v>-16134.047619047618</v>
      </c>
      <c r="AF925" s="76">
        <f t="shared" si="158"/>
        <v>-13558.136904761905</v>
      </c>
      <c r="AG925" s="76">
        <f t="shared" si="159"/>
        <v>-10649.830637915544</v>
      </c>
      <c r="AO925" s="5">
        <f t="shared" si="164"/>
        <v>1.3422818791946364E-2</v>
      </c>
      <c r="AP925" s="5">
        <f t="shared" si="160"/>
        <v>0.32006471843899836</v>
      </c>
      <c r="AR925" s="5">
        <f t="shared" si="161"/>
        <v>-1.1937189199774212E-2</v>
      </c>
      <c r="AS925" s="5">
        <f t="shared" si="162"/>
        <v>-1.8272895315253113E-2</v>
      </c>
      <c r="AT925" s="5" t="str">
        <f t="shared" si="163"/>
        <v/>
      </c>
    </row>
    <row r="926" spans="12:46" x14ac:dyDescent="0.25">
      <c r="L926" s="4">
        <v>44214.5</v>
      </c>
      <c r="M926">
        <v>31.62</v>
      </c>
      <c r="N926">
        <v>32.32</v>
      </c>
      <c r="O926">
        <v>31.29</v>
      </c>
      <c r="P926">
        <v>31.62</v>
      </c>
      <c r="Q926">
        <v>22728</v>
      </c>
      <c r="R926">
        <v>484931</v>
      </c>
      <c r="S926">
        <v>20.100000000000001</v>
      </c>
      <c r="T926">
        <v>20.399999999999999</v>
      </c>
      <c r="U926">
        <v>19.625</v>
      </c>
      <c r="V926">
        <v>20.2</v>
      </c>
      <c r="W926">
        <v>0</v>
      </c>
      <c r="X926">
        <v>3.0755449387877009E-2</v>
      </c>
      <c r="Y926">
        <v>-0.49315781886638754</v>
      </c>
      <c r="Z926">
        <v>-0.26009134640579501</v>
      </c>
      <c r="AB926" s="3">
        <f t="shared" si="154"/>
        <v>2.893613042241408E-4</v>
      </c>
      <c r="AC926" s="3">
        <f t="shared" si="155"/>
        <v>-4.5391363490344394E-3</v>
      </c>
      <c r="AD926" s="3">
        <f t="shared" si="156"/>
        <v>-6.8475116632964531E-3</v>
      </c>
      <c r="AE926" s="76">
        <f t="shared" si="157"/>
        <v>-16462.238095238095</v>
      </c>
      <c r="AF926" s="76">
        <f t="shared" si="158"/>
        <v>-13822.595238095237</v>
      </c>
      <c r="AG926" s="76">
        <f t="shared" si="159"/>
        <v>-10838.266666666666</v>
      </c>
      <c r="AO926" s="5">
        <f t="shared" si="164"/>
        <v>-1.0436432637571215E-2</v>
      </c>
      <c r="AP926" s="5">
        <f t="shared" si="160"/>
        <v>0.32094721142963967</v>
      </c>
      <c r="AR926" s="5">
        <f t="shared" si="161"/>
        <v>-1.2164022464220159E-2</v>
      </c>
      <c r="AS926" s="5">
        <f t="shared" si="162"/>
        <v>-1.8408374598524846E-2</v>
      </c>
      <c r="AT926" s="5" t="str">
        <f t="shared" si="163"/>
        <v/>
      </c>
    </row>
    <row r="927" spans="12:46" x14ac:dyDescent="0.25">
      <c r="L927" s="4">
        <v>44211.5</v>
      </c>
      <c r="M927">
        <v>33.49</v>
      </c>
      <c r="N927">
        <v>33.49</v>
      </c>
      <c r="O927">
        <v>31.62</v>
      </c>
      <c r="P927">
        <v>31.74</v>
      </c>
      <c r="Q927">
        <v>32229</v>
      </c>
      <c r="R927">
        <v>485787</v>
      </c>
      <c r="S927">
        <v>20.100000000000001</v>
      </c>
      <c r="T927">
        <v>20.399999999999999</v>
      </c>
      <c r="U927">
        <v>19.625</v>
      </c>
      <c r="V927">
        <v>20.2</v>
      </c>
      <c r="W927">
        <v>523</v>
      </c>
      <c r="X927">
        <v>5.5837563451776678E-2</v>
      </c>
      <c r="Y927">
        <v>1.5597974876333374</v>
      </c>
      <c r="Z927">
        <v>0.60716558902042006</v>
      </c>
      <c r="AB927" s="3">
        <f t="shared" si="154"/>
        <v>1.0126053175495975E-3</v>
      </c>
      <c r="AC927" s="3">
        <f t="shared" si="155"/>
        <v>-4.2355396427479278E-3</v>
      </c>
      <c r="AD927" s="3">
        <f t="shared" si="156"/>
        <v>-6.5099869090021675E-3</v>
      </c>
      <c r="AE927" s="76">
        <f t="shared" si="157"/>
        <v>-17635.809523809527</v>
      </c>
      <c r="AF927" s="76">
        <f t="shared" si="158"/>
        <v>-14337.624999999998</v>
      </c>
      <c r="AG927" s="76">
        <f t="shared" si="159"/>
        <v>-11323.729395604396</v>
      </c>
      <c r="AO927" s="5">
        <f t="shared" si="164"/>
        <v>-3.479853479853471E-2</v>
      </c>
      <c r="AP927" s="5">
        <f t="shared" si="160"/>
        <v>0.32174867438742855</v>
      </c>
      <c r="AR927" s="5">
        <f t="shared" si="161"/>
        <v>-1.2857366037326567E-2</v>
      </c>
      <c r="AS927" s="5">
        <f t="shared" si="162"/>
        <v>-1.8856175498894179E-2</v>
      </c>
      <c r="AT927" s="5" t="str">
        <f t="shared" si="163"/>
        <v/>
      </c>
    </row>
    <row r="928" spans="12:46" x14ac:dyDescent="0.25">
      <c r="L928" s="4">
        <v>44210.5</v>
      </c>
      <c r="M928">
        <v>33.49</v>
      </c>
      <c r="N928">
        <v>33.92</v>
      </c>
      <c r="O928">
        <v>32.76</v>
      </c>
      <c r="P928">
        <v>33.53</v>
      </c>
      <c r="Q928">
        <v>22866</v>
      </c>
      <c r="R928">
        <v>485122</v>
      </c>
      <c r="S928">
        <v>21.25</v>
      </c>
      <c r="T928">
        <v>21.335000000000001</v>
      </c>
      <c r="U928">
        <v>20.32</v>
      </c>
      <c r="V928">
        <v>21.335000000000001</v>
      </c>
      <c r="W928">
        <v>341</v>
      </c>
      <c r="X928">
        <v>3.355510558287543E-2</v>
      </c>
      <c r="Y928">
        <v>-0.22915575053913492</v>
      </c>
      <c r="Z928">
        <v>-0.24791285638898974</v>
      </c>
      <c r="AB928" s="3">
        <f t="shared" si="154"/>
        <v>-7.810130523648387E-4</v>
      </c>
      <c r="AC928" s="3">
        <f t="shared" si="155"/>
        <v>-5.5816386584752603E-3</v>
      </c>
      <c r="AD928" s="3">
        <f t="shared" si="156"/>
        <v>-7.9510285620289431E-3</v>
      </c>
      <c r="AE928" s="76">
        <f t="shared" si="157"/>
        <v>-18419.333333333332</v>
      </c>
      <c r="AF928" s="76">
        <f t="shared" si="158"/>
        <v>-14703.095238095237</v>
      </c>
      <c r="AG928" s="76">
        <f t="shared" si="159"/>
        <v>-11703.838650023114</v>
      </c>
      <c r="AO928" s="5">
        <f t="shared" si="164"/>
        <v>-9.3740550347747881E-3</v>
      </c>
      <c r="AP928" s="5">
        <f t="shared" si="160"/>
        <v>0.31863260892503736</v>
      </c>
      <c r="AR928" s="5">
        <f t="shared" si="161"/>
        <v>-1.3566073286096436E-2</v>
      </c>
      <c r="AS928" s="5">
        <f t="shared" si="162"/>
        <v>-1.9453142774940868E-2</v>
      </c>
      <c r="AT928" s="5" t="str">
        <f t="shared" si="163"/>
        <v/>
      </c>
    </row>
    <row r="929" spans="12:46" x14ac:dyDescent="0.25">
      <c r="L929" s="4">
        <v>44209.5</v>
      </c>
      <c r="M929">
        <v>34.57</v>
      </c>
      <c r="N929">
        <v>34.659999999999997</v>
      </c>
      <c r="O929">
        <v>33.07</v>
      </c>
      <c r="P929">
        <v>33.65</v>
      </c>
      <c r="Q929">
        <v>27135</v>
      </c>
      <c r="R929">
        <v>487314</v>
      </c>
      <c r="S929">
        <v>23.475000000000001</v>
      </c>
      <c r="T929">
        <v>23.9</v>
      </c>
      <c r="U929">
        <v>21.5</v>
      </c>
      <c r="V929">
        <v>21.5</v>
      </c>
      <c r="W929">
        <v>535</v>
      </c>
      <c r="X929">
        <v>4.6288209606986791E-2</v>
      </c>
      <c r="Y929">
        <v>0.80700645681762984</v>
      </c>
      <c r="Z929">
        <v>0.13940996827013463</v>
      </c>
      <c r="AB929" s="3">
        <f t="shared" si="154"/>
        <v>-7.2703207838015205E-4</v>
      </c>
      <c r="AC929" s="3">
        <f t="shared" si="155"/>
        <v>-5.6009485870772147E-3</v>
      </c>
      <c r="AD929" s="3">
        <f t="shared" si="156"/>
        <v>-7.9444696803088674E-3</v>
      </c>
      <c r="AE929" s="76">
        <f t="shared" si="157"/>
        <v>-18421.523809523809</v>
      </c>
      <c r="AF929" s="76">
        <f t="shared" si="158"/>
        <v>-14593.892857142857</v>
      </c>
      <c r="AG929" s="76">
        <f t="shared" si="159"/>
        <v>-11671.967787114847</v>
      </c>
      <c r="AO929" s="5">
        <f t="shared" si="164"/>
        <v>-2.9636150234741726E-2</v>
      </c>
      <c r="AP929" s="5">
        <f t="shared" si="160"/>
        <v>0.31948684351591572</v>
      </c>
      <c r="AR929" s="5">
        <f t="shared" si="161"/>
        <v>-1.3992199364055935E-2</v>
      </c>
      <c r="AS929" s="5">
        <f t="shared" si="162"/>
        <v>-1.9853544450479821E-2</v>
      </c>
      <c r="AT929" s="5" t="str">
        <f t="shared" si="163"/>
        <v/>
      </c>
    </row>
    <row r="930" spans="12:46" x14ac:dyDescent="0.25">
      <c r="L930" s="4">
        <v>44208.5</v>
      </c>
      <c r="M930">
        <v>34.35</v>
      </c>
      <c r="N930">
        <v>35.42</v>
      </c>
      <c r="O930">
        <v>34.08</v>
      </c>
      <c r="P930">
        <v>34.659999999999997</v>
      </c>
      <c r="Q930">
        <v>25730</v>
      </c>
      <c r="R930">
        <v>489331</v>
      </c>
      <c r="S930">
        <v>23.24</v>
      </c>
      <c r="T930">
        <v>26.155000000000001</v>
      </c>
      <c r="U930">
        <v>23.2</v>
      </c>
      <c r="V930">
        <v>26.155000000000001</v>
      </c>
      <c r="W930">
        <v>135</v>
      </c>
      <c r="X930">
        <v>3.8111490329920464E-2</v>
      </c>
      <c r="Y930">
        <v>0.1531578454534839</v>
      </c>
      <c r="Z930">
        <v>1.6976801334113941E-2</v>
      </c>
      <c r="AB930" s="3">
        <f t="shared" si="154"/>
        <v>2.7928304582501562E-5</v>
      </c>
      <c r="AC930" s="3">
        <f t="shared" si="155"/>
        <v>-5.8647575951794595E-3</v>
      </c>
      <c r="AD930" s="3">
        <f t="shared" si="156"/>
        <v>-7.7586051907205592E-3</v>
      </c>
      <c r="AE930" s="76">
        <f t="shared" si="157"/>
        <v>-18784.238095238092</v>
      </c>
      <c r="AF930" s="76">
        <f t="shared" si="158"/>
        <v>-14800.553571428572</v>
      </c>
      <c r="AG930" s="76">
        <f t="shared" si="159"/>
        <v>-11853.108910891089</v>
      </c>
      <c r="AO930" s="5">
        <f t="shared" si="164"/>
        <v>-2.0497803806735077E-3</v>
      </c>
      <c r="AP930" s="5">
        <f t="shared" si="160"/>
        <v>0.31737718454215458</v>
      </c>
      <c r="AR930" s="5">
        <f t="shared" si="161"/>
        <v>-1.4475682873518747E-2</v>
      </c>
      <c r="AS930" s="5">
        <f t="shared" si="162"/>
        <v>-2.0212473072977577E-2</v>
      </c>
      <c r="AT930" s="5" t="str">
        <f t="shared" si="163"/>
        <v/>
      </c>
    </row>
    <row r="931" spans="12:46" x14ac:dyDescent="0.25">
      <c r="L931" s="4">
        <v>44207.5</v>
      </c>
      <c r="M931">
        <v>35.159999999999997</v>
      </c>
      <c r="N931">
        <v>35.200000000000003</v>
      </c>
      <c r="O931">
        <v>34.15</v>
      </c>
      <c r="P931">
        <v>34.53</v>
      </c>
      <c r="Q931">
        <v>15235</v>
      </c>
      <c r="R931">
        <v>490793</v>
      </c>
      <c r="S931">
        <v>21.35</v>
      </c>
      <c r="T931">
        <v>22.54</v>
      </c>
      <c r="U931">
        <v>21.2</v>
      </c>
      <c r="V931">
        <v>22.125</v>
      </c>
      <c r="W931">
        <v>460</v>
      </c>
      <c r="X931">
        <v>3.000000000000012E-2</v>
      </c>
      <c r="Y931">
        <v>-0.50638175577650535</v>
      </c>
      <c r="Z931">
        <v>-0.93059969311720026</v>
      </c>
      <c r="AB931" s="3">
        <f t="shared" si="154"/>
        <v>-2.9959207974215168E-4</v>
      </c>
      <c r="AC931" s="3">
        <f t="shared" si="155"/>
        <v>-6.0612797568753984E-3</v>
      </c>
      <c r="AD931" s="3">
        <f t="shared" si="156"/>
        <v>-7.9936311331580204E-3</v>
      </c>
      <c r="AE931" s="76">
        <f t="shared" si="157"/>
        <v>-19965.28571428571</v>
      </c>
      <c r="AF931" s="76">
        <f t="shared" si="158"/>
        <v>-15685.190476190477</v>
      </c>
      <c r="AG931" s="76">
        <f t="shared" si="159"/>
        <v>-12743.927619047619</v>
      </c>
      <c r="AO931" s="5">
        <f t="shared" si="164"/>
        <v>-4.0828229804607923E-3</v>
      </c>
      <c r="AP931" s="5">
        <f t="shared" si="160"/>
        <v>0.31862842276428294</v>
      </c>
      <c r="AR931" s="5">
        <f t="shared" si="161"/>
        <v>-1.4574891848931459E-2</v>
      </c>
      <c r="AS931" s="5">
        <f t="shared" si="162"/>
        <v>-2.0504509677988281E-2</v>
      </c>
      <c r="AT931" s="5" t="str">
        <f t="shared" si="163"/>
        <v/>
      </c>
    </row>
    <row r="932" spans="12:46" x14ac:dyDescent="0.25">
      <c r="L932" s="4">
        <v>44204.5</v>
      </c>
      <c r="M932">
        <v>35</v>
      </c>
      <c r="N932">
        <v>35.200000000000003</v>
      </c>
      <c r="O932">
        <v>34.29</v>
      </c>
      <c r="P932">
        <v>34.92</v>
      </c>
      <c r="Q932">
        <v>20905</v>
      </c>
      <c r="R932">
        <v>491784</v>
      </c>
      <c r="S932">
        <v>20.399999999999999</v>
      </c>
      <c r="T932">
        <v>20.7</v>
      </c>
      <c r="U932">
        <v>19.89</v>
      </c>
      <c r="V932">
        <v>20.12</v>
      </c>
      <c r="W932">
        <v>385</v>
      </c>
      <c r="X932">
        <v>2.6907155529272728E-2</v>
      </c>
      <c r="Y932">
        <v>-0.75788368153251395</v>
      </c>
      <c r="Z932">
        <v>-0.43203702353812229</v>
      </c>
      <c r="AB932" s="3">
        <f t="shared" si="154"/>
        <v>3.8237333672246077E-4</v>
      </c>
      <c r="AC932" s="3">
        <f t="shared" si="155"/>
        <v>-5.89654942995501E-3</v>
      </c>
      <c r="AD932" s="3">
        <f t="shared" si="156"/>
        <v>-7.8867118477049247E-3</v>
      </c>
      <c r="AE932" s="76">
        <f t="shared" si="157"/>
        <v>-19766.190476190473</v>
      </c>
      <c r="AF932" s="76">
        <f t="shared" si="158"/>
        <v>-15446.136904761906</v>
      </c>
      <c r="AG932" s="76">
        <f t="shared" si="159"/>
        <v>-12462.215007215009</v>
      </c>
      <c r="AO932" s="5">
        <f t="shared" si="164"/>
        <v>1.3897102306327583E-2</v>
      </c>
      <c r="AP932" s="5">
        <f t="shared" si="160"/>
        <v>0.31981336287188644</v>
      </c>
      <c r="AR932" s="5">
        <f t="shared" si="161"/>
        <v>-1.4678252906483891E-2</v>
      </c>
      <c r="AS932" s="5">
        <f t="shared" si="162"/>
        <v>-2.082557401738544E-2</v>
      </c>
      <c r="AT932" s="5" t="str">
        <f t="shared" si="163"/>
        <v/>
      </c>
    </row>
    <row r="933" spans="12:46" x14ac:dyDescent="0.25">
      <c r="L933" s="4">
        <v>44203.5</v>
      </c>
      <c r="M933">
        <v>33.82</v>
      </c>
      <c r="N933">
        <v>34.86</v>
      </c>
      <c r="O933">
        <v>33.82</v>
      </c>
      <c r="P933">
        <v>34.76</v>
      </c>
      <c r="Q933">
        <v>22691</v>
      </c>
      <c r="R933">
        <v>491577</v>
      </c>
      <c r="S933">
        <v>18.274999999999999</v>
      </c>
      <c r="T933">
        <v>19.420000000000002</v>
      </c>
      <c r="U933">
        <v>18.274999999999999</v>
      </c>
      <c r="V933">
        <v>19.305</v>
      </c>
      <c r="W933">
        <v>183</v>
      </c>
      <c r="X933">
        <v>3.138201569100782E-2</v>
      </c>
      <c r="Y933">
        <v>-0.40650415706049187</v>
      </c>
      <c r="Z933">
        <v>-0.28131449936124958</v>
      </c>
      <c r="AB933" s="3">
        <f t="shared" si="154"/>
        <v>1.6037079644216842E-3</v>
      </c>
      <c r="AC933" s="3">
        <f t="shared" si="155"/>
        <v>-5.399290721068116E-3</v>
      </c>
      <c r="AD933" s="3">
        <f t="shared" si="156"/>
        <v>-6.8779154079934568E-3</v>
      </c>
      <c r="AE933" s="76">
        <f t="shared" si="157"/>
        <v>-18208</v>
      </c>
      <c r="AF933" s="76">
        <f t="shared" si="158"/>
        <v>-14329.136904761906</v>
      </c>
      <c r="AG933" s="76">
        <f t="shared" si="159"/>
        <v>-11306.884353741496</v>
      </c>
      <c r="AO933" s="5">
        <f t="shared" si="164"/>
        <v>3.0155345720377764E-2</v>
      </c>
      <c r="AP933" s="5">
        <f t="shared" si="160"/>
        <v>0.3207694704084818</v>
      </c>
      <c r="AR933" s="5">
        <f t="shared" si="161"/>
        <v>-1.487483839824294E-2</v>
      </c>
      <c r="AS933" s="5">
        <f t="shared" si="162"/>
        <v>-2.1227203158311059E-2</v>
      </c>
      <c r="AT933" s="5" t="str">
        <f t="shared" si="163"/>
        <v/>
      </c>
    </row>
    <row r="934" spans="12:46" x14ac:dyDescent="0.25">
      <c r="L934" s="4">
        <v>44202.5</v>
      </c>
      <c r="M934">
        <v>33.14</v>
      </c>
      <c r="N934">
        <v>33.71</v>
      </c>
      <c r="O934">
        <v>32.83</v>
      </c>
      <c r="P934">
        <v>33.630000000000003</v>
      </c>
      <c r="Q934">
        <v>17364</v>
      </c>
      <c r="R934">
        <v>493675</v>
      </c>
      <c r="S934">
        <v>17.875</v>
      </c>
      <c r="T934">
        <v>18.52</v>
      </c>
      <c r="U934">
        <v>17.375</v>
      </c>
      <c r="V934">
        <v>17.565000000000001</v>
      </c>
      <c r="W934">
        <v>704</v>
      </c>
      <c r="X934">
        <v>2.6074074074074149E-2</v>
      </c>
      <c r="Y934">
        <v>-0.84426103393257457</v>
      </c>
      <c r="Z934">
        <v>-0.77810240573142975</v>
      </c>
      <c r="AB934" s="3">
        <f t="shared" si="154"/>
        <v>1.1577560655757976E-3</v>
      </c>
      <c r="AC934" s="3">
        <f t="shared" si="155"/>
        <v>-7.0163948530070214E-3</v>
      </c>
      <c r="AD934" s="3">
        <f t="shared" si="156"/>
        <v>-7.5556818902751122E-3</v>
      </c>
      <c r="AE934" s="76">
        <f t="shared" si="157"/>
        <v>-16819</v>
      </c>
      <c r="AF934" s="76">
        <f t="shared" si="158"/>
        <v>-13595.70238095238</v>
      </c>
      <c r="AG934" s="76">
        <f t="shared" si="159"/>
        <v>-10426.126165930289</v>
      </c>
      <c r="AO934" s="5">
        <f t="shared" si="164"/>
        <v>2.4427480916030015E-3</v>
      </c>
      <c r="AP934" s="5">
        <f t="shared" si="160"/>
        <v>0.31959937399477423</v>
      </c>
      <c r="AR934" s="5">
        <f t="shared" si="161"/>
        <v>-1.5058660285579062E-2</v>
      </c>
      <c r="AS934" s="5">
        <f t="shared" si="162"/>
        <v>-2.1538945091823802E-2</v>
      </c>
      <c r="AT934" s="5" t="str">
        <f t="shared" si="163"/>
        <v/>
      </c>
    </row>
    <row r="935" spans="12:46" x14ac:dyDescent="0.25">
      <c r="L935" s="4">
        <v>44201.5</v>
      </c>
      <c r="M935">
        <v>33.75</v>
      </c>
      <c r="N935">
        <v>33.75</v>
      </c>
      <c r="O935">
        <v>32.75</v>
      </c>
      <c r="P935">
        <v>32.96</v>
      </c>
      <c r="Q935">
        <v>19369</v>
      </c>
      <c r="R935">
        <v>491970</v>
      </c>
      <c r="S935">
        <v>18.905000000000001</v>
      </c>
      <c r="T935">
        <v>18.95</v>
      </c>
      <c r="U935">
        <v>17.925000000000001</v>
      </c>
      <c r="V935">
        <v>18.004999999999999</v>
      </c>
      <c r="W935">
        <v>510</v>
      </c>
      <c r="X935">
        <v>3.0581039755351678E-2</v>
      </c>
      <c r="Y935">
        <v>-0.50030985323325528</v>
      </c>
      <c r="Z935">
        <v>-0.60055894417388234</v>
      </c>
      <c r="AB935" s="3">
        <f t="shared" si="154"/>
        <v>-1.7375441890495821E-3</v>
      </c>
      <c r="AC935" s="3">
        <f t="shared" si="155"/>
        <v>-8.2036505792185133E-3</v>
      </c>
      <c r="AD935" s="3">
        <f t="shared" si="156"/>
        <v>-8.1945365498247644E-3</v>
      </c>
      <c r="AE935" s="76">
        <f t="shared" si="157"/>
        <v>-14678.857142857141</v>
      </c>
      <c r="AF935" s="76">
        <f t="shared" si="158"/>
        <v>-11910.732142857141</v>
      </c>
      <c r="AG935" s="76">
        <f t="shared" si="159"/>
        <v>-8649.7336309523816</v>
      </c>
      <c r="AO935" s="5">
        <f t="shared" si="164"/>
        <v>1.5290519877674969E-3</v>
      </c>
      <c r="AP935" s="5">
        <f t="shared" si="160"/>
        <v>0.32098585054159767</v>
      </c>
      <c r="AR935" s="5">
        <f t="shared" si="161"/>
        <v>-1.4902440517320314E-2</v>
      </c>
      <c r="AS935" s="5">
        <f t="shared" si="162"/>
        <v>-2.1726741695472285E-2</v>
      </c>
      <c r="AT935" s="5" t="str">
        <f t="shared" si="163"/>
        <v/>
      </c>
    </row>
    <row r="936" spans="12:46" x14ac:dyDescent="0.25">
      <c r="L936" s="4">
        <v>44200.5</v>
      </c>
      <c r="M936">
        <v>32.700000000000003</v>
      </c>
      <c r="N936">
        <v>34.25</v>
      </c>
      <c r="O936">
        <v>32.700000000000003</v>
      </c>
      <c r="P936">
        <v>33.69</v>
      </c>
      <c r="Q936">
        <v>19305</v>
      </c>
      <c r="R936">
        <v>492100</v>
      </c>
      <c r="S936">
        <v>19.45</v>
      </c>
      <c r="T936">
        <v>20.3</v>
      </c>
      <c r="U936">
        <v>19.45</v>
      </c>
      <c r="V936">
        <v>19.844999999999999</v>
      </c>
      <c r="W936">
        <v>803</v>
      </c>
      <c r="X936">
        <v>4.8361934477379014E-2</v>
      </c>
      <c r="Y936">
        <v>0.9648798425306514</v>
      </c>
      <c r="Z936">
        <v>-0.60579030537536571</v>
      </c>
      <c r="AB936" s="3">
        <f t="shared" si="154"/>
        <v>-3.1821886407128186E-3</v>
      </c>
      <c r="AC936" s="3">
        <f t="shared" si="155"/>
        <v>-9.1220920622651983E-3</v>
      </c>
      <c r="AD936" s="3">
        <f t="shared" si="156"/>
        <v>-9.0368669476276128E-3</v>
      </c>
      <c r="AE936" s="76">
        <f t="shared" si="157"/>
        <v>-14688.333333333332</v>
      </c>
      <c r="AF936" s="76">
        <f t="shared" si="158"/>
        <v>-11572.922619047618</v>
      </c>
      <c r="AG936" s="76">
        <f t="shared" si="159"/>
        <v>-8372.9423558897251</v>
      </c>
      <c r="AO936" s="5">
        <f t="shared" si="164"/>
        <v>2.0917889478613852E-2</v>
      </c>
      <c r="AP936" s="5">
        <f t="shared" si="160"/>
        <v>0.32238668161647382</v>
      </c>
      <c r="AR936" s="5">
        <f t="shared" si="161"/>
        <v>-1.4743886025834596E-2</v>
      </c>
      <c r="AS936" s="5">
        <f t="shared" si="162"/>
        <v>-2.1294711875995798E-2</v>
      </c>
      <c r="AT936" s="5" t="str">
        <f t="shared" si="163"/>
        <v/>
      </c>
    </row>
    <row r="937" spans="12:46" x14ac:dyDescent="0.25">
      <c r="L937" s="4">
        <v>44197.5</v>
      </c>
      <c r="M937">
        <v>32.049999999999997</v>
      </c>
      <c r="N937">
        <v>32.979999999999997</v>
      </c>
      <c r="O937">
        <v>32.03</v>
      </c>
      <c r="P937">
        <v>32.32</v>
      </c>
      <c r="Q937">
        <v>0</v>
      </c>
      <c r="R937">
        <v>0</v>
      </c>
      <c r="S937">
        <v>19.125</v>
      </c>
      <c r="T937">
        <v>19.125</v>
      </c>
      <c r="U937">
        <v>19.125</v>
      </c>
      <c r="V937">
        <v>19.125</v>
      </c>
      <c r="W937">
        <v>0</v>
      </c>
      <c r="X937">
        <v>2.9641185647425766E-2</v>
      </c>
      <c r="Y937">
        <v>-0.56204712425742254</v>
      </c>
      <c r="Z937">
        <v>-2.3963949300348202</v>
      </c>
      <c r="AB937" s="3">
        <f t="shared" si="154"/>
        <v>-3.5421896622958512E-3</v>
      </c>
      <c r="AC937" s="3">
        <f t="shared" si="155"/>
        <v>-9.1795156668888905E-3</v>
      </c>
      <c r="AD937" s="3">
        <f t="shared" si="156"/>
        <v>-8.981151937985786E-3</v>
      </c>
      <c r="AE937" s="76">
        <f t="shared" si="157"/>
        <v>-13606.809523809527</v>
      </c>
      <c r="AF937" s="76">
        <f t="shared" si="158"/>
        <v>-10689.410714285717</v>
      </c>
      <c r="AG937" s="76">
        <f t="shared" si="159"/>
        <v>-7511.4088145896676</v>
      </c>
      <c r="AO937" s="5">
        <f t="shared" si="164"/>
        <v>0</v>
      </c>
      <c r="AP937" s="5">
        <f t="shared" si="160"/>
        <v>0.32264285136273912</v>
      </c>
      <c r="AR937" s="5">
        <f t="shared" si="161"/>
        <v>-1.4671751963111268E-2</v>
      </c>
      <c r="AS937" s="5">
        <f t="shared" si="162"/>
        <v>-2.0878616724945565E-2</v>
      </c>
      <c r="AT937" s="5" t="str">
        <f t="shared" si="163"/>
        <v/>
      </c>
    </row>
    <row r="938" spans="12:46" x14ac:dyDescent="0.25">
      <c r="L938" s="4">
        <v>44196.5</v>
      </c>
      <c r="M938">
        <v>32.049999999999997</v>
      </c>
      <c r="N938">
        <v>32.979999999999997</v>
      </c>
      <c r="O938">
        <v>32.03</v>
      </c>
      <c r="P938">
        <v>32.32</v>
      </c>
      <c r="Q938">
        <v>5308</v>
      </c>
      <c r="R938">
        <v>490690</v>
      </c>
      <c r="S938">
        <v>19.125</v>
      </c>
      <c r="T938">
        <v>19.125</v>
      </c>
      <c r="U938">
        <v>19.125</v>
      </c>
      <c r="V938">
        <v>19.125</v>
      </c>
      <c r="W938">
        <v>0</v>
      </c>
      <c r="X938">
        <v>2.8666264333132036E-2</v>
      </c>
      <c r="Y938">
        <v>-0.66451671322192596</v>
      </c>
      <c r="Z938">
        <v>-2.0309111046898769</v>
      </c>
      <c r="AB938" s="3">
        <f t="shared" si="154"/>
        <v>-5.0454197150989893E-3</v>
      </c>
      <c r="AC938" s="3">
        <f t="shared" si="155"/>
        <v>-9.3613966171733135E-3</v>
      </c>
      <c r="AD938" s="3">
        <f t="shared" si="156"/>
        <v>-9.123318733701917E-3</v>
      </c>
      <c r="AE938" s="76">
        <f t="shared" si="157"/>
        <v>-11275.857142857141</v>
      </c>
      <c r="AF938" s="76">
        <f t="shared" si="158"/>
        <v>-8639.875</v>
      </c>
      <c r="AG938" s="76">
        <f t="shared" si="159"/>
        <v>-5455.1935483870984</v>
      </c>
      <c r="AO938" s="5">
        <f t="shared" si="164"/>
        <v>6.2480474851618639E-4</v>
      </c>
      <c r="AP938" s="5">
        <f t="shared" si="160"/>
        <v>0.32405911154189321</v>
      </c>
      <c r="AR938" s="5">
        <f t="shared" si="161"/>
        <v>-1.411495235107757E-2</v>
      </c>
      <c r="AS938" s="5">
        <f t="shared" si="162"/>
        <v>-2.0299259537691516E-2</v>
      </c>
      <c r="AT938" s="5" t="str">
        <f t="shared" si="163"/>
        <v/>
      </c>
    </row>
    <row r="939" spans="12:46" x14ac:dyDescent="0.25">
      <c r="L939" s="4">
        <v>44195.5</v>
      </c>
      <c r="M939">
        <v>33.14</v>
      </c>
      <c r="N939">
        <v>33.409999999999997</v>
      </c>
      <c r="O939">
        <v>32.01</v>
      </c>
      <c r="P939">
        <v>32.19</v>
      </c>
      <c r="Q939">
        <v>10507</v>
      </c>
      <c r="R939">
        <v>491169</v>
      </c>
      <c r="S939">
        <v>19.149999999999999</v>
      </c>
      <c r="T939">
        <v>19.274999999999999</v>
      </c>
      <c r="U939">
        <v>19</v>
      </c>
      <c r="V939">
        <v>19</v>
      </c>
      <c r="W939">
        <v>0</v>
      </c>
      <c r="X939">
        <v>4.2029420594416049E-2</v>
      </c>
      <c r="Y939">
        <v>0.40498828335321341</v>
      </c>
      <c r="Z939">
        <v>-1.6107748381436024</v>
      </c>
      <c r="AB939" s="3">
        <f t="shared" si="154"/>
        <v>-5.0133714017448275E-3</v>
      </c>
      <c r="AC939" s="3">
        <f t="shared" si="155"/>
        <v>-9.0668475753046887E-3</v>
      </c>
      <c r="AD939" s="3">
        <f t="shared" si="156"/>
        <v>-8.7399620051282698E-3</v>
      </c>
      <c r="AE939" s="76">
        <f t="shared" si="157"/>
        <v>-8516.2857142857138</v>
      </c>
      <c r="AF939" s="76">
        <f t="shared" si="158"/>
        <v>-6572.8333333333321</v>
      </c>
      <c r="AG939" s="76">
        <f t="shared" si="159"/>
        <v>-3287.8954451345744</v>
      </c>
      <c r="AO939" s="5">
        <f t="shared" si="164"/>
        <v>-1.8098159509202558E-2</v>
      </c>
      <c r="AP939" s="5">
        <f t="shared" si="160"/>
        <v>0.32550364961673683</v>
      </c>
      <c r="AR939" s="5">
        <f t="shared" si="161"/>
        <v>-1.3581618277365093E-2</v>
      </c>
      <c r="AS939" s="5">
        <f t="shared" si="162"/>
        <v>-1.9705934290538241E-2</v>
      </c>
      <c r="AT939" s="5" t="str">
        <f t="shared" si="163"/>
        <v/>
      </c>
    </row>
    <row r="940" spans="12:46" x14ac:dyDescent="0.25">
      <c r="L940" s="4">
        <v>44194.5</v>
      </c>
      <c r="M940">
        <v>33.31</v>
      </c>
      <c r="N940">
        <v>33.42</v>
      </c>
      <c r="O940">
        <v>32.6</v>
      </c>
      <c r="P940">
        <v>33.020000000000003</v>
      </c>
      <c r="Q940">
        <v>9514</v>
      </c>
      <c r="R940">
        <v>491700</v>
      </c>
      <c r="S940">
        <v>19</v>
      </c>
      <c r="T940">
        <v>19</v>
      </c>
      <c r="U940">
        <v>18.774999999999999</v>
      </c>
      <c r="V940">
        <v>18.774999999999999</v>
      </c>
      <c r="W940">
        <v>42</v>
      </c>
      <c r="X940">
        <v>2.5230769230769241E-2</v>
      </c>
      <c r="Y940">
        <v>-0.94412632892813764</v>
      </c>
      <c r="Z940">
        <v>-1.7567605474692243</v>
      </c>
      <c r="AB940" s="3">
        <f t="shared" si="154"/>
        <v>-4.7249230457804131E-3</v>
      </c>
      <c r="AC940" s="3">
        <f t="shared" si="155"/>
        <v>-9.4683493370443308E-3</v>
      </c>
      <c r="AD940" s="3">
        <f t="shared" si="156"/>
        <v>-8.5263289382309163E-3</v>
      </c>
      <c r="AE940" s="76">
        <f t="shared" si="157"/>
        <v>-5459.2857142857138</v>
      </c>
      <c r="AF940" s="76">
        <f t="shared" si="158"/>
        <v>-4379.6309523809505</v>
      </c>
      <c r="AG940" s="76">
        <f t="shared" si="159"/>
        <v>-1042.6227106227088</v>
      </c>
      <c r="AO940" s="5">
        <f t="shared" si="164"/>
        <v>8.3513764305599494E-3</v>
      </c>
      <c r="AP940" s="5">
        <f t="shared" si="160"/>
        <v>0.32547940583273727</v>
      </c>
      <c r="AR940" s="5">
        <f t="shared" si="161"/>
        <v>-1.2741742260690303E-2</v>
      </c>
      <c r="AS940" s="5">
        <f t="shared" si="162"/>
        <v>-1.8901889864733235E-2</v>
      </c>
      <c r="AT940" s="5" t="str">
        <f t="shared" si="163"/>
        <v/>
      </c>
    </row>
    <row r="941" spans="12:46" x14ac:dyDescent="0.25">
      <c r="L941" s="4">
        <v>44193.5</v>
      </c>
      <c r="M941">
        <v>32.5</v>
      </c>
      <c r="N941">
        <v>33.5</v>
      </c>
      <c r="O941">
        <v>32.33</v>
      </c>
      <c r="P941">
        <v>33.44</v>
      </c>
      <c r="Q941">
        <v>8046</v>
      </c>
      <c r="R941">
        <v>492427</v>
      </c>
      <c r="S941">
        <v>19.149999999999999</v>
      </c>
      <c r="T941">
        <v>19.149999999999999</v>
      </c>
      <c r="U941">
        <v>19.149999999999999</v>
      </c>
      <c r="V941">
        <v>19.149999999999999</v>
      </c>
      <c r="W941">
        <v>0</v>
      </c>
      <c r="X941">
        <v>3.6596809508914661E-2</v>
      </c>
      <c r="Y941">
        <v>-3.8994224434870745E-2</v>
      </c>
      <c r="Z941">
        <v>-1.9803241248517012</v>
      </c>
      <c r="AB941" s="3">
        <f t="shared" si="154"/>
        <v>-3.5293876559180093E-3</v>
      </c>
      <c r="AC941" s="3">
        <f t="shared" si="155"/>
        <v>-8.2035753864884639E-3</v>
      </c>
      <c r="AD941" s="3">
        <f t="shared" si="156"/>
        <v>-7.3462954880085321E-3</v>
      </c>
      <c r="AE941" s="76">
        <f t="shared" si="157"/>
        <v>-3092.6190476190459</v>
      </c>
      <c r="AF941" s="76">
        <f t="shared" si="158"/>
        <v>-2453.9464285714275</v>
      </c>
      <c r="AG941" s="76">
        <f t="shared" si="159"/>
        <v>642.78095238095193</v>
      </c>
      <c r="AO941" s="5">
        <f t="shared" si="164"/>
        <v>1.698647373387855E-2</v>
      </c>
      <c r="AP941" s="5">
        <f t="shared" si="160"/>
        <v>0.32685372119981382</v>
      </c>
      <c r="AR941" s="5">
        <f t="shared" si="161"/>
        <v>-1.1968838196977916E-2</v>
      </c>
      <c r="AS941" s="5">
        <f t="shared" si="162"/>
        <v>-1.805674782643818E-2</v>
      </c>
      <c r="AT941" s="5" t="str">
        <f t="shared" si="163"/>
        <v/>
      </c>
    </row>
    <row r="942" spans="12:46" x14ac:dyDescent="0.25">
      <c r="L942" s="4">
        <v>44190.5</v>
      </c>
      <c r="M942">
        <v>31.97</v>
      </c>
      <c r="N942">
        <v>32.4</v>
      </c>
      <c r="O942">
        <v>31.79</v>
      </c>
      <c r="P942">
        <v>32.08</v>
      </c>
      <c r="Q942">
        <v>0</v>
      </c>
      <c r="R942">
        <v>0</v>
      </c>
      <c r="S942">
        <v>17.649999999999999</v>
      </c>
      <c r="T942">
        <v>17.649999999999999</v>
      </c>
      <c r="U942">
        <v>17.649999999999999</v>
      </c>
      <c r="V942">
        <v>17.649999999999999</v>
      </c>
      <c r="W942">
        <v>0</v>
      </c>
      <c r="X942">
        <v>1.9080387863622129E-2</v>
      </c>
      <c r="Y942">
        <v>-1.4381023115161367</v>
      </c>
      <c r="Z942">
        <v>-2.9071449050624545</v>
      </c>
      <c r="AB942" s="3">
        <f t="shared" si="154"/>
        <v>-4.914897969546396E-3</v>
      </c>
      <c r="AC942" s="3">
        <f t="shared" si="155"/>
        <v>-8.9148227341514022E-3</v>
      </c>
      <c r="AD942" s="3">
        <f t="shared" si="156"/>
        <v>-7.8718778488585245E-3</v>
      </c>
      <c r="AE942" s="76">
        <f t="shared" si="157"/>
        <v>-1921.4761904761908</v>
      </c>
      <c r="AF942" s="76">
        <f t="shared" si="158"/>
        <v>-1308.6369047619046</v>
      </c>
      <c r="AG942" s="76">
        <f t="shared" si="159"/>
        <v>1815.0743713215634</v>
      </c>
      <c r="AO942" s="5">
        <f t="shared" si="164"/>
        <v>0</v>
      </c>
      <c r="AP942" s="5">
        <f t="shared" si="160"/>
        <v>0.32762206681312905</v>
      </c>
      <c r="AR942" s="5">
        <f t="shared" si="161"/>
        <v>-1.1162619161136311E-2</v>
      </c>
      <c r="AS942" s="5">
        <f t="shared" si="162"/>
        <v>-1.7240112268092855E-2</v>
      </c>
      <c r="AT942" s="5" t="str">
        <f t="shared" si="163"/>
        <v/>
      </c>
    </row>
    <row r="943" spans="12:46" x14ac:dyDescent="0.25">
      <c r="L943" s="4">
        <v>44189.5</v>
      </c>
      <c r="M943">
        <v>31.97</v>
      </c>
      <c r="N943">
        <v>32.4</v>
      </c>
      <c r="O943">
        <v>31.79</v>
      </c>
      <c r="P943">
        <v>32.08</v>
      </c>
      <c r="Q943">
        <v>3407</v>
      </c>
      <c r="R943">
        <v>492359</v>
      </c>
      <c r="S943">
        <v>17.649999999999999</v>
      </c>
      <c r="T943">
        <v>17.649999999999999</v>
      </c>
      <c r="U943">
        <v>17.649999999999999</v>
      </c>
      <c r="V943">
        <v>17.649999999999999</v>
      </c>
      <c r="W943">
        <v>0</v>
      </c>
      <c r="X943">
        <v>1.9677419354838691E-2</v>
      </c>
      <c r="Y943">
        <v>-1.4348429853610805</v>
      </c>
      <c r="Z943">
        <v>-2.7773828266388292</v>
      </c>
      <c r="AB943" s="3">
        <f t="shared" si="154"/>
        <v>-4.2237522655691057E-3</v>
      </c>
      <c r="AC943" s="3">
        <f t="shared" si="155"/>
        <v>-8.2471182929668777E-3</v>
      </c>
      <c r="AD943" s="3">
        <f t="shared" si="156"/>
        <v>-7.1235199426901985E-3</v>
      </c>
      <c r="AE943" s="76">
        <f t="shared" si="157"/>
        <v>-746.33333333333212</v>
      </c>
      <c r="AF943" s="76">
        <f t="shared" si="158"/>
        <v>134.80952380952658</v>
      </c>
      <c r="AG943" s="76">
        <f t="shared" si="159"/>
        <v>3316.1877705627739</v>
      </c>
      <c r="AO943" s="5">
        <f t="shared" si="164"/>
        <v>2.548387096774191E-2</v>
      </c>
      <c r="AP943" s="5">
        <f t="shared" si="160"/>
        <v>0.32912718271626423</v>
      </c>
      <c r="AR943" s="5">
        <f t="shared" si="161"/>
        <v>-1.0473825154950045E-2</v>
      </c>
      <c r="AS943" s="5">
        <f t="shared" si="162"/>
        <v>-1.612689558503283E-2</v>
      </c>
      <c r="AT943" s="5" t="str">
        <f t="shared" si="163"/>
        <v/>
      </c>
    </row>
    <row r="944" spans="12:46" x14ac:dyDescent="0.25">
      <c r="L944" s="4">
        <v>44188.5</v>
      </c>
      <c r="M944">
        <v>31</v>
      </c>
      <c r="N944">
        <v>31.98</v>
      </c>
      <c r="O944">
        <v>31</v>
      </c>
      <c r="P944">
        <v>31.92</v>
      </c>
      <c r="Q944">
        <v>8541</v>
      </c>
      <c r="R944">
        <v>492133</v>
      </c>
      <c r="S944">
        <v>17.649999999999999</v>
      </c>
      <c r="T944">
        <v>17.649999999999999</v>
      </c>
      <c r="U944">
        <v>17.5</v>
      </c>
      <c r="V944">
        <v>17.504999999999999</v>
      </c>
      <c r="W944">
        <v>77</v>
      </c>
      <c r="X944">
        <v>3.1973898858075056E-2</v>
      </c>
      <c r="Y944">
        <v>-0.48825751841391762</v>
      </c>
      <c r="Z944">
        <v>-2.3799695885176555</v>
      </c>
      <c r="AB944" s="3">
        <f t="shared" si="154"/>
        <v>-4.7785204930300001E-3</v>
      </c>
      <c r="AC944" s="3">
        <f t="shared" si="155"/>
        <v>-8.5627501206370638E-3</v>
      </c>
      <c r="AD944" s="3">
        <f t="shared" si="156"/>
        <v>-7.2572127456469182E-3</v>
      </c>
      <c r="AE944" s="76">
        <f t="shared" si="157"/>
        <v>1194.8095238095229</v>
      </c>
      <c r="AF944" s="76">
        <f t="shared" si="158"/>
        <v>1750.5654761904734</v>
      </c>
      <c r="AG944" s="76">
        <f t="shared" si="159"/>
        <v>4925.3087027914589</v>
      </c>
      <c r="AO944" s="5">
        <f t="shared" si="164"/>
        <v>1.8731514952349666E-2</v>
      </c>
      <c r="AP944" s="5">
        <f t="shared" si="160"/>
        <v>0.32875482484436264</v>
      </c>
      <c r="AR944" s="5">
        <f t="shared" si="161"/>
        <v>-9.6979316851522612E-3</v>
      </c>
      <c r="AS944" s="5">
        <f t="shared" si="162"/>
        <v>-1.490366818279687E-2</v>
      </c>
      <c r="AT944" s="5" t="str">
        <f t="shared" si="163"/>
        <v/>
      </c>
    </row>
    <row r="945" spans="12:46" x14ac:dyDescent="0.25">
      <c r="L945" s="4">
        <v>44187.5</v>
      </c>
      <c r="M945">
        <v>30.65</v>
      </c>
      <c r="N945">
        <v>31.37</v>
      </c>
      <c r="O945">
        <v>30.43</v>
      </c>
      <c r="P945">
        <v>31.15</v>
      </c>
      <c r="Q945">
        <v>11711</v>
      </c>
      <c r="R945">
        <v>492224</v>
      </c>
      <c r="S945">
        <v>17.2</v>
      </c>
      <c r="T945">
        <v>17.75</v>
      </c>
      <c r="U945">
        <v>17.175000000000001</v>
      </c>
      <c r="V945">
        <v>17.635000000000002</v>
      </c>
      <c r="W945">
        <v>210</v>
      </c>
      <c r="X945">
        <v>3.0519480519480561E-2</v>
      </c>
      <c r="Y945">
        <v>-0.62143880745070468</v>
      </c>
      <c r="Z945">
        <v>-2.1170347328148988</v>
      </c>
      <c r="AB945" s="3">
        <f t="shared" si="154"/>
        <v>-6.3695785332354565E-3</v>
      </c>
      <c r="AC945" s="3">
        <f t="shared" si="155"/>
        <v>-8.6687516557656108E-3</v>
      </c>
      <c r="AD945" s="3">
        <f t="shared" si="156"/>
        <v>-7.4436975778864808E-3</v>
      </c>
      <c r="AE945" s="76">
        <f t="shared" si="157"/>
        <v>2170.7619047619046</v>
      </c>
      <c r="AF945" s="76">
        <f t="shared" si="158"/>
        <v>2669.9523809523816</v>
      </c>
      <c r="AG945" s="76">
        <f t="shared" si="159"/>
        <v>5796.3028792912519</v>
      </c>
      <c r="AO945" s="5">
        <f t="shared" si="164"/>
        <v>2.4234264557388047E-2</v>
      </c>
      <c r="AP945" s="5">
        <f t="shared" si="160"/>
        <v>0.32932399705874393</v>
      </c>
      <c r="AR945" s="5">
        <f t="shared" si="161"/>
        <v>-9.0256812601181013E-3</v>
      </c>
      <c r="AS945" s="5">
        <f t="shared" si="162"/>
        <v>-1.3784258449068665E-2</v>
      </c>
      <c r="AT945" s="5" t="str">
        <f t="shared" si="163"/>
        <v/>
      </c>
    </row>
    <row r="946" spans="12:46" x14ac:dyDescent="0.25">
      <c r="L946" s="4">
        <v>44186.5</v>
      </c>
      <c r="M946">
        <v>30.8</v>
      </c>
      <c r="N946">
        <v>30.97</v>
      </c>
      <c r="O946">
        <v>29.71</v>
      </c>
      <c r="P946">
        <v>30.89</v>
      </c>
      <c r="Q946">
        <v>22094</v>
      </c>
      <c r="R946">
        <v>493217</v>
      </c>
      <c r="S946">
        <v>16.399999999999999</v>
      </c>
      <c r="T946">
        <v>16.850000000000001</v>
      </c>
      <c r="U946">
        <v>16.25</v>
      </c>
      <c r="V946">
        <v>16.795000000000002</v>
      </c>
      <c r="W946">
        <v>181</v>
      </c>
      <c r="X946">
        <v>3.9374999999999938E-2</v>
      </c>
      <c r="Y946">
        <v>-9.0436890641074612E-3</v>
      </c>
      <c r="Z946">
        <v>-0.88979592469422986</v>
      </c>
      <c r="AB946" s="3">
        <f t="shared" si="154"/>
        <v>-9.6087339676673433E-3</v>
      </c>
      <c r="AC946" s="3">
        <f t="shared" si="155"/>
        <v>-1.0058773207448607E-2</v>
      </c>
      <c r="AD946" s="3">
        <f t="shared" si="156"/>
        <v>-8.3271402125662738E-3</v>
      </c>
      <c r="AE946" s="76">
        <f t="shared" si="157"/>
        <v>3168.6666666666679</v>
      </c>
      <c r="AF946" s="76">
        <f t="shared" si="158"/>
        <v>3768.4464285714275</v>
      </c>
      <c r="AG946" s="76">
        <f t="shared" si="159"/>
        <v>6839.1411764705881</v>
      </c>
      <c r="AO946" s="5">
        <f t="shared" si="164"/>
        <v>-3.4762833008447049E-2</v>
      </c>
      <c r="AP946" s="5">
        <f t="shared" si="160"/>
        <v>0.32909366344216429</v>
      </c>
      <c r="AR946" s="5">
        <f t="shared" si="161"/>
        <v>-8.3169818693064057E-3</v>
      </c>
      <c r="AS946" s="5">
        <f t="shared" si="162"/>
        <v>-1.2550956777202582E-2</v>
      </c>
      <c r="AT946" s="5" t="str">
        <f t="shared" si="163"/>
        <v/>
      </c>
    </row>
    <row r="947" spans="12:46" x14ac:dyDescent="0.25">
      <c r="L947" s="4">
        <v>44183.5</v>
      </c>
      <c r="M947">
        <v>32</v>
      </c>
      <c r="N947">
        <v>32</v>
      </c>
      <c r="O947">
        <v>30.78</v>
      </c>
      <c r="P947">
        <v>31.1</v>
      </c>
      <c r="Q947">
        <v>14846</v>
      </c>
      <c r="R947">
        <v>495058</v>
      </c>
      <c r="S947">
        <v>15.75</v>
      </c>
      <c r="T947">
        <v>15.975</v>
      </c>
      <c r="U947">
        <v>15.69</v>
      </c>
      <c r="V947">
        <v>15.885</v>
      </c>
      <c r="W947">
        <v>190</v>
      </c>
      <c r="X947">
        <v>3.8244514106583041E-2</v>
      </c>
      <c r="Y947">
        <v>-0.11047143955979837</v>
      </c>
      <c r="Z947">
        <v>-1.8137426875940288</v>
      </c>
      <c r="AB947" s="3">
        <f t="shared" si="154"/>
        <v>-1.0959004854603827E-2</v>
      </c>
      <c r="AC947" s="3">
        <f t="shared" si="155"/>
        <v>-1.0711297159627417E-2</v>
      </c>
      <c r="AD947" s="3">
        <f t="shared" si="156"/>
        <v>-8.9425878147245952E-3</v>
      </c>
      <c r="AE947" s="76">
        <f t="shared" si="157"/>
        <v>3239.7142857142862</v>
      </c>
      <c r="AF947" s="76">
        <f t="shared" si="158"/>
        <v>4050.4642857142862</v>
      </c>
      <c r="AG947" s="76">
        <f t="shared" si="159"/>
        <v>7029.9642857142862</v>
      </c>
      <c r="AO947" s="5">
        <f t="shared" si="164"/>
        <v>-2.2546840266751265E-2</v>
      </c>
      <c r="AP947" s="5">
        <f t="shared" si="160"/>
        <v>0.32562117575108479</v>
      </c>
      <c r="AR947" s="5">
        <f t="shared" si="161"/>
        <v>-7.5258204675109908E-3</v>
      </c>
      <c r="AS947" s="5">
        <f t="shared" si="162"/>
        <v>-1.1296721862638748E-2</v>
      </c>
      <c r="AT947" s="5" t="str">
        <f t="shared" si="163"/>
        <v/>
      </c>
    </row>
    <row r="948" spans="12:46" x14ac:dyDescent="0.25">
      <c r="L948" s="4">
        <v>44182.5</v>
      </c>
      <c r="M948">
        <v>31.9</v>
      </c>
      <c r="N948">
        <v>32.4</v>
      </c>
      <c r="O948">
        <v>31.49</v>
      </c>
      <c r="P948">
        <v>31.96</v>
      </c>
      <c r="Q948">
        <v>24613</v>
      </c>
      <c r="R948">
        <v>496225</v>
      </c>
      <c r="S948">
        <v>16.175000000000001</v>
      </c>
      <c r="T948">
        <v>16.324999999999999</v>
      </c>
      <c r="U948">
        <v>15.9</v>
      </c>
      <c r="V948">
        <v>15.94</v>
      </c>
      <c r="W948">
        <v>186</v>
      </c>
      <c r="X948">
        <v>2.807775377969763E-2</v>
      </c>
      <c r="Y948">
        <v>-0.80680542799911414</v>
      </c>
      <c r="Z948">
        <v>-0.61271924262363031</v>
      </c>
      <c r="AB948" s="3">
        <f t="shared" si="154"/>
        <v>-1.196824338108373E-2</v>
      </c>
      <c r="AC948" s="3">
        <f t="shared" si="155"/>
        <v>-1.1110104249588922E-2</v>
      </c>
      <c r="AD948" s="3">
        <f t="shared" si="156"/>
        <v>-9.4491097479857469E-3</v>
      </c>
      <c r="AE948" s="76">
        <f t="shared" si="157"/>
        <v>3668.0952380952403</v>
      </c>
      <c r="AF948" s="76">
        <f t="shared" si="158"/>
        <v>4958.1130952380954</v>
      </c>
      <c r="AG948" s="76">
        <f t="shared" si="159"/>
        <v>7909.1124497991987</v>
      </c>
      <c r="AO948" s="5">
        <f t="shared" si="164"/>
        <v>2.2278803309992595E-3</v>
      </c>
      <c r="AP948" s="5">
        <f t="shared" si="160"/>
        <v>0.32485568004436371</v>
      </c>
      <c r="AR948" s="5">
        <f t="shared" si="161"/>
        <v>-6.4835101201249912E-3</v>
      </c>
      <c r="AS948" s="5">
        <f t="shared" si="162"/>
        <v>-9.8271885428863892E-3</v>
      </c>
      <c r="AT948" s="5" t="str">
        <f t="shared" si="163"/>
        <v/>
      </c>
    </row>
    <row r="949" spans="12:46" x14ac:dyDescent="0.25">
      <c r="L949" s="4">
        <v>44181.5</v>
      </c>
      <c r="M949">
        <v>32.409999999999997</v>
      </c>
      <c r="N949">
        <v>32.5</v>
      </c>
      <c r="O949">
        <v>31.42</v>
      </c>
      <c r="P949">
        <v>31.78</v>
      </c>
      <c r="Q949">
        <v>24029</v>
      </c>
      <c r="R949">
        <v>497948</v>
      </c>
      <c r="S949">
        <v>17.05</v>
      </c>
      <c r="T949">
        <v>17.05</v>
      </c>
      <c r="U949">
        <v>16.260000000000002</v>
      </c>
      <c r="V949">
        <v>16.38</v>
      </c>
      <c r="W949">
        <v>180</v>
      </c>
      <c r="X949">
        <v>3.4838709677419297E-2</v>
      </c>
      <c r="Y949">
        <v>-0.36588880567940268</v>
      </c>
      <c r="Z949">
        <v>-0.70512741232648291</v>
      </c>
      <c r="AB949" s="3">
        <f t="shared" si="154"/>
        <v>-1.0954532455834741E-2</v>
      </c>
      <c r="AC949" s="3">
        <f t="shared" si="155"/>
        <v>-1.0728601739406853E-2</v>
      </c>
      <c r="AD949" s="3">
        <f t="shared" si="156"/>
        <v>-9.0289084195770211E-3</v>
      </c>
      <c r="AE949" s="76">
        <f t="shared" si="157"/>
        <v>4323.5238095238092</v>
      </c>
      <c r="AF949" s="76">
        <f t="shared" si="158"/>
        <v>5520.6666666666679</v>
      </c>
      <c r="AG949" s="76">
        <f t="shared" si="159"/>
        <v>8435.3164924506382</v>
      </c>
      <c r="AO949" s="5">
        <f t="shared" si="164"/>
        <v>1.6170763260025874E-2</v>
      </c>
      <c r="AP949" s="5">
        <f t="shared" si="160"/>
        <v>0.32645958645766726</v>
      </c>
      <c r="AR949" s="5">
        <f t="shared" si="161"/>
        <v>-5.3797054893697793E-3</v>
      </c>
      <c r="AS949" s="5">
        <f t="shared" si="162"/>
        <v>-8.5578017365814385E-3</v>
      </c>
      <c r="AT949" s="5" t="str">
        <f t="shared" si="163"/>
        <v/>
      </c>
    </row>
    <row r="950" spans="12:46" x14ac:dyDescent="0.25">
      <c r="L950" s="4">
        <v>44180.5</v>
      </c>
      <c r="M950">
        <v>31</v>
      </c>
      <c r="N950">
        <v>32.4</v>
      </c>
      <c r="O950">
        <v>30.92</v>
      </c>
      <c r="P950">
        <v>32.18</v>
      </c>
      <c r="Q950">
        <v>23868</v>
      </c>
      <c r="R950">
        <v>499723</v>
      </c>
      <c r="S950">
        <v>17.100000000000001</v>
      </c>
      <c r="T950">
        <v>17.265000000000001</v>
      </c>
      <c r="U950">
        <v>16.66</v>
      </c>
      <c r="V950">
        <v>17.225000000000001</v>
      </c>
      <c r="W950">
        <v>221</v>
      </c>
      <c r="X950">
        <v>4.8492791612057565E-2</v>
      </c>
      <c r="Y950">
        <v>0.57060834787048464</v>
      </c>
      <c r="Z950">
        <v>-0.75010340480684867</v>
      </c>
      <c r="AB950" s="3">
        <f t="shared" si="154"/>
        <v>-1.0480780411607979E-2</v>
      </c>
      <c r="AC950" s="3">
        <f t="shared" si="155"/>
        <v>-1.126207379061181E-2</v>
      </c>
      <c r="AD950" s="3">
        <f t="shared" si="156"/>
        <v>-9.1120149724349953E-3</v>
      </c>
      <c r="AE950" s="76">
        <f t="shared" si="157"/>
        <v>4489.3333333333321</v>
      </c>
      <c r="AF950" s="76">
        <f t="shared" si="158"/>
        <v>5754.9880952380954</v>
      </c>
      <c r="AG950" s="76">
        <f t="shared" si="159"/>
        <v>8499.4409171075822</v>
      </c>
      <c r="AO950" s="5">
        <f t="shared" si="164"/>
        <v>1.8445322793148956E-2</v>
      </c>
      <c r="AP950" s="5">
        <f t="shared" si="160"/>
        <v>0.32736458758960468</v>
      </c>
      <c r="AR950" s="5">
        <f t="shared" si="161"/>
        <v>-4.383614008974579E-3</v>
      </c>
      <c r="AS950" s="5">
        <f t="shared" si="162"/>
        <v>-7.2237359074769913E-3</v>
      </c>
      <c r="AT950" s="5" t="str">
        <f t="shared" si="163"/>
        <v/>
      </c>
    </row>
    <row r="951" spans="12:46" x14ac:dyDescent="0.25">
      <c r="L951" s="4">
        <v>44179.5</v>
      </c>
      <c r="M951">
        <v>30.52</v>
      </c>
      <c r="N951">
        <v>31.42</v>
      </c>
      <c r="O951">
        <v>30.36</v>
      </c>
      <c r="P951">
        <v>30.81</v>
      </c>
      <c r="Q951">
        <v>10399</v>
      </c>
      <c r="R951">
        <v>279967</v>
      </c>
      <c r="S951">
        <v>16.45</v>
      </c>
      <c r="T951">
        <v>16.925000000000001</v>
      </c>
      <c r="U951">
        <v>16.45</v>
      </c>
      <c r="V951">
        <v>16.605</v>
      </c>
      <c r="W951">
        <v>159</v>
      </c>
      <c r="X951">
        <v>3.4426761935693481E-2</v>
      </c>
      <c r="Y951">
        <v>-0.39538280166115181</v>
      </c>
      <c r="Z951">
        <v>-2.513445057532695</v>
      </c>
      <c r="AB951" s="3">
        <f t="shared" si="154"/>
        <v>-1.0967736871610824E-2</v>
      </c>
      <c r="AC951" s="3">
        <f t="shared" si="155"/>
        <v>-1.2210260710660691E-2</v>
      </c>
      <c r="AD951" s="3">
        <f t="shared" si="156"/>
        <v>-9.8563715130418408E-3</v>
      </c>
      <c r="AE951" s="76">
        <f t="shared" si="157"/>
        <v>4995.8095238095193</v>
      </c>
      <c r="AF951" s="76">
        <f t="shared" si="158"/>
        <v>5990.327380952378</v>
      </c>
      <c r="AG951" s="76">
        <f t="shared" si="159"/>
        <v>8750.5505952380918</v>
      </c>
      <c r="AO951" s="5">
        <f t="shared" si="164"/>
        <v>1.9801980198019382E-3</v>
      </c>
      <c r="AP951" s="5">
        <f t="shared" si="160"/>
        <v>0.32800481920016317</v>
      </c>
      <c r="AR951" s="5">
        <f t="shared" si="161"/>
        <v>-3.3451013848050382E-3</v>
      </c>
      <c r="AS951" s="5">
        <f t="shared" si="162"/>
        <v>-5.8749319799122901E-3</v>
      </c>
      <c r="AT951" s="5" t="str">
        <f t="shared" si="163"/>
        <v/>
      </c>
    </row>
    <row r="952" spans="12:46" x14ac:dyDescent="0.25">
      <c r="L952" s="4">
        <v>44176.5</v>
      </c>
      <c r="M952">
        <v>30.79</v>
      </c>
      <c r="N952">
        <v>31.3</v>
      </c>
      <c r="O952">
        <v>30.3</v>
      </c>
      <c r="P952">
        <v>30.52</v>
      </c>
      <c r="Q952">
        <v>22111</v>
      </c>
      <c r="R952">
        <v>285625</v>
      </c>
      <c r="S952">
        <v>15.525</v>
      </c>
      <c r="T952">
        <v>15.96</v>
      </c>
      <c r="U952">
        <v>15.3</v>
      </c>
      <c r="V952">
        <v>15.96</v>
      </c>
      <c r="W952">
        <v>175</v>
      </c>
      <c r="X952">
        <v>3.3681374200067359E-2</v>
      </c>
      <c r="Y952">
        <v>-0.4698524394954201</v>
      </c>
      <c r="Z952">
        <v>-1.0486875094914683</v>
      </c>
      <c r="AB952" s="3">
        <f t="shared" si="154"/>
        <v>-1.1236015037801583E-2</v>
      </c>
      <c r="AC952" s="3">
        <f t="shared" si="155"/>
        <v>-1.2021948411855145E-2</v>
      </c>
      <c r="AD952" s="3">
        <f t="shared" si="156"/>
        <v>-9.7655111062586036E-3</v>
      </c>
      <c r="AE952" s="76">
        <f t="shared" si="157"/>
        <v>4792.5238095238055</v>
      </c>
      <c r="AF952" s="76">
        <f t="shared" si="158"/>
        <v>6387.9345238095193</v>
      </c>
      <c r="AG952" s="76">
        <f t="shared" si="159"/>
        <v>9140.9596142254341</v>
      </c>
      <c r="AO952" s="5">
        <f t="shared" si="164"/>
        <v>2.2957461174881826E-2</v>
      </c>
      <c r="AP952" s="5">
        <f t="shared" si="160"/>
        <v>0.32967382576463128</v>
      </c>
      <c r="AR952" s="5">
        <f t="shared" si="161"/>
        <v>-2.9139779336800342E-3</v>
      </c>
      <c r="AS952" s="5">
        <f t="shared" si="162"/>
        <v>-4.9695414450638964E-3</v>
      </c>
      <c r="AT952" s="5" t="str">
        <f t="shared" si="163"/>
        <v/>
      </c>
    </row>
    <row r="953" spans="12:46" x14ac:dyDescent="0.25">
      <c r="L953" s="4">
        <v>44175.5</v>
      </c>
      <c r="M953">
        <v>29.69</v>
      </c>
      <c r="N953">
        <v>31</v>
      </c>
      <c r="O953">
        <v>29.62</v>
      </c>
      <c r="P953">
        <v>30.9</v>
      </c>
      <c r="Q953">
        <v>41905</v>
      </c>
      <c r="R953">
        <v>293609</v>
      </c>
      <c r="S953">
        <v>15.3</v>
      </c>
      <c r="T953">
        <v>15.55</v>
      </c>
      <c r="U953">
        <v>15.275</v>
      </c>
      <c r="V953">
        <v>15.54</v>
      </c>
      <c r="W953">
        <v>315</v>
      </c>
      <c r="X953">
        <v>4.6732136810023667E-2</v>
      </c>
      <c r="Y953">
        <v>0.3851765810968712</v>
      </c>
      <c r="Z953">
        <v>1.5876020742321642</v>
      </c>
      <c r="AB953" s="3">
        <f t="shared" si="154"/>
        <v>-1.2067203534537004E-2</v>
      </c>
      <c r="AC953" s="3">
        <f t="shared" si="155"/>
        <v>-1.2697980420127389E-2</v>
      </c>
      <c r="AD953" s="3">
        <f t="shared" si="156"/>
        <v>-1.0524290234725772E-2</v>
      </c>
      <c r="AE953" s="76">
        <f t="shared" si="157"/>
        <v>4966.3809523809505</v>
      </c>
      <c r="AF953" s="76">
        <f t="shared" si="158"/>
        <v>6624.0535714285688</v>
      </c>
      <c r="AG953" s="76">
        <f t="shared" si="159"/>
        <v>9270.4304029304003</v>
      </c>
      <c r="AO953" s="5">
        <f t="shared" si="164"/>
        <v>3.047748052827628E-3</v>
      </c>
      <c r="AP953" s="5">
        <f t="shared" si="160"/>
        <v>0.32966301330591435</v>
      </c>
      <c r="AR953" s="5">
        <f t="shared" si="161"/>
        <v>-2.3894934805095414E-3</v>
      </c>
      <c r="AS953" s="5">
        <f t="shared" si="162"/>
        <v>-4.0671648361627621E-3</v>
      </c>
      <c r="AT953" s="5" t="str">
        <f t="shared" si="163"/>
        <v/>
      </c>
    </row>
    <row r="954" spans="12:46" x14ac:dyDescent="0.25">
      <c r="L954" s="4">
        <v>44174.5</v>
      </c>
      <c r="M954">
        <v>29.53</v>
      </c>
      <c r="N954">
        <v>30.16</v>
      </c>
      <c r="O954">
        <v>29.53</v>
      </c>
      <c r="P954">
        <v>29.7</v>
      </c>
      <c r="Q954">
        <v>38578</v>
      </c>
      <c r="R954">
        <v>287904</v>
      </c>
      <c r="S954">
        <v>14.35</v>
      </c>
      <c r="T954">
        <v>14.734999999999999</v>
      </c>
      <c r="U954">
        <v>14.35</v>
      </c>
      <c r="V954">
        <v>14.734999999999999</v>
      </c>
      <c r="W954">
        <v>128</v>
      </c>
      <c r="X954">
        <v>2.1319796954314688E-2</v>
      </c>
      <c r="Y954">
        <v>-1.2918901908647515</v>
      </c>
      <c r="Z954">
        <v>1.187927288772062</v>
      </c>
      <c r="AB954" s="3">
        <f t="shared" si="154"/>
        <v>-1.1796999710619101E-2</v>
      </c>
      <c r="AC954" s="3">
        <f t="shared" si="155"/>
        <v>-1.3199898341313451E-2</v>
      </c>
      <c r="AD954" s="3">
        <f t="shared" si="156"/>
        <v>-1.082522983058249E-2</v>
      </c>
      <c r="AE954" s="76">
        <f t="shared" si="157"/>
        <v>4743.6666666666679</v>
      </c>
      <c r="AF954" s="76">
        <f t="shared" si="158"/>
        <v>6197.0059523809541</v>
      </c>
      <c r="AG954" s="76">
        <f t="shared" si="159"/>
        <v>8783.2380952380954</v>
      </c>
      <c r="AO954" s="5">
        <f t="shared" si="164"/>
        <v>2.0359687818120894E-3</v>
      </c>
      <c r="AP954" s="5">
        <f t="shared" si="160"/>
        <v>0.33137131652229085</v>
      </c>
      <c r="AR954" s="5">
        <f t="shared" si="161"/>
        <v>-1.9412062213716164E-3</v>
      </c>
      <c r="AS954" s="5">
        <f t="shared" si="162"/>
        <v>-2.9976262192666359E-3</v>
      </c>
      <c r="AT954" s="5" t="str">
        <f t="shared" si="163"/>
        <v/>
      </c>
    </row>
    <row r="955" spans="12:46" x14ac:dyDescent="0.25">
      <c r="L955" s="4">
        <v>44173.5</v>
      </c>
      <c r="M955">
        <v>29.55</v>
      </c>
      <c r="N955">
        <v>30</v>
      </c>
      <c r="O955">
        <v>29.47</v>
      </c>
      <c r="P955">
        <v>29.57</v>
      </c>
      <c r="Q955">
        <v>49595</v>
      </c>
      <c r="R955">
        <v>302006</v>
      </c>
      <c r="S955">
        <v>14.3</v>
      </c>
      <c r="T955">
        <v>14.63</v>
      </c>
      <c r="U955">
        <v>14.3</v>
      </c>
      <c r="V955">
        <v>14.445</v>
      </c>
      <c r="W955">
        <v>710</v>
      </c>
      <c r="X955">
        <v>1.7713903743315544E-2</v>
      </c>
      <c r="Y955">
        <v>-1.573312557547776</v>
      </c>
      <c r="Z955">
        <v>2.7490250520780886</v>
      </c>
      <c r="AB955" s="3">
        <f t="shared" si="154"/>
        <v>-1.2172437071431862E-2</v>
      </c>
      <c r="AC955" s="3">
        <f t="shared" si="155"/>
        <v>-1.4166057732801954E-2</v>
      </c>
      <c r="AD955" s="3">
        <f t="shared" si="156"/>
        <v>-1.1153200583489162E-2</v>
      </c>
      <c r="AE955" s="76">
        <f t="shared" si="157"/>
        <v>4320.6190476190495</v>
      </c>
      <c r="AF955" s="76">
        <f t="shared" si="158"/>
        <v>5667.5119047619046</v>
      </c>
      <c r="AG955" s="76">
        <f t="shared" si="159"/>
        <v>8159.3258145363434</v>
      </c>
      <c r="AO955" s="5">
        <f t="shared" si="164"/>
        <v>1.0190217391303526E-3</v>
      </c>
      <c r="AP955" s="5">
        <f t="shared" si="160"/>
        <v>0.33311080715789843</v>
      </c>
      <c r="AR955" s="5">
        <f t="shared" si="161"/>
        <v>-1.5120416416433691E-3</v>
      </c>
      <c r="AS955" s="5">
        <f t="shared" si="162"/>
        <v>-6.1783314188162963E-4</v>
      </c>
      <c r="AT955" s="5" t="str">
        <f t="shared" si="163"/>
        <v/>
      </c>
    </row>
    <row r="956" spans="12:46" x14ac:dyDescent="0.25">
      <c r="L956" s="4">
        <v>44172.5</v>
      </c>
      <c r="M956">
        <v>29.92</v>
      </c>
      <c r="N956">
        <v>29.96</v>
      </c>
      <c r="O956">
        <v>29.44</v>
      </c>
      <c r="P956">
        <v>29.62</v>
      </c>
      <c r="Q956">
        <v>25359</v>
      </c>
      <c r="R956">
        <v>307987</v>
      </c>
      <c r="S956">
        <v>14.1</v>
      </c>
      <c r="T956">
        <v>14.4</v>
      </c>
      <c r="U956">
        <v>14.1</v>
      </c>
      <c r="V956">
        <v>14.355</v>
      </c>
      <c r="W956">
        <v>400</v>
      </c>
      <c r="X956">
        <v>1.7993079584775074E-2</v>
      </c>
      <c r="Y956">
        <v>-1.6138043136869862</v>
      </c>
      <c r="Z956">
        <v>-0.584329141225994</v>
      </c>
      <c r="AB956" s="3">
        <f t="shared" si="154"/>
        <v>-8.2216492549349734E-3</v>
      </c>
      <c r="AC956" s="3">
        <f t="shared" si="155"/>
        <v>-1.0866616524375962E-2</v>
      </c>
      <c r="AD956" s="3">
        <f t="shared" si="156"/>
        <v>-8.2893820847789526E-3</v>
      </c>
      <c r="AE956" s="76">
        <f t="shared" si="157"/>
        <v>4261.3333333333321</v>
      </c>
      <c r="AF956" s="76">
        <f t="shared" si="158"/>
        <v>5508.3571428571413</v>
      </c>
      <c r="AG956" s="76">
        <f t="shared" si="159"/>
        <v>7717.2780952380926</v>
      </c>
      <c r="AO956" s="5">
        <f t="shared" si="164"/>
        <v>1.8685121107266531E-2</v>
      </c>
      <c r="AP956" s="5">
        <f t="shared" si="160"/>
        <v>0.33487403693379075</v>
      </c>
      <c r="AR956" s="5">
        <f t="shared" si="161"/>
        <v>-1.5078330199865819E-3</v>
      </c>
      <c r="AS956" s="5">
        <f t="shared" si="162"/>
        <v>1.5634941408665948E-3</v>
      </c>
      <c r="AT956" s="5" t="str">
        <f t="shared" si="163"/>
        <v/>
      </c>
    </row>
    <row r="957" spans="12:46" x14ac:dyDescent="0.25">
      <c r="L957" s="4">
        <v>44169.5</v>
      </c>
      <c r="M957">
        <v>28.9</v>
      </c>
      <c r="N957">
        <v>30.32</v>
      </c>
      <c r="O957">
        <v>28.9</v>
      </c>
      <c r="P957">
        <v>30.11</v>
      </c>
      <c r="Q957">
        <v>35347</v>
      </c>
      <c r="R957">
        <v>313531</v>
      </c>
      <c r="S957">
        <v>14.55</v>
      </c>
      <c r="T957">
        <v>14.66</v>
      </c>
      <c r="U957">
        <v>14.465</v>
      </c>
      <c r="V957">
        <v>14.645</v>
      </c>
      <c r="W957">
        <v>212</v>
      </c>
      <c r="X957">
        <v>4.7972972972973031E-2</v>
      </c>
      <c r="Y957">
        <v>0.42223993487056316</v>
      </c>
      <c r="Z957">
        <v>0.87967070991245233</v>
      </c>
      <c r="AB957" s="3">
        <f t="shared" si="154"/>
        <v>-7.1190231805639131E-3</v>
      </c>
      <c r="AC957" s="3">
        <f t="shared" si="155"/>
        <v>-9.8009268460015064E-3</v>
      </c>
      <c r="AD957" s="3">
        <f t="shared" si="156"/>
        <v>-7.5389008335615126E-3</v>
      </c>
      <c r="AE957" s="76">
        <f t="shared" si="157"/>
        <v>4626.8095238095229</v>
      </c>
      <c r="AF957" s="76">
        <f t="shared" si="158"/>
        <v>6094.0892857142862</v>
      </c>
      <c r="AG957" s="76">
        <f t="shared" si="159"/>
        <v>8107.5965250965237</v>
      </c>
      <c r="AO957" s="5">
        <f t="shared" si="164"/>
        <v>0</v>
      </c>
      <c r="AP957" s="5">
        <f t="shared" si="160"/>
        <v>0.33553784832725686</v>
      </c>
      <c r="AR957" s="5">
        <f t="shared" si="161"/>
        <v>-1.3061020238295251E-3</v>
      </c>
      <c r="AS957" s="5">
        <f t="shared" si="162"/>
        <v>3.8027444995335502E-3</v>
      </c>
      <c r="AT957" s="5" t="str">
        <f t="shared" si="163"/>
        <v/>
      </c>
    </row>
    <row r="958" spans="12:46" x14ac:dyDescent="0.25">
      <c r="L958" s="4">
        <v>44168.5</v>
      </c>
      <c r="M958">
        <v>29.6</v>
      </c>
      <c r="N958">
        <v>29.75</v>
      </c>
      <c r="O958">
        <v>28.9</v>
      </c>
      <c r="P958">
        <v>29</v>
      </c>
      <c r="Q958">
        <v>40029</v>
      </c>
      <c r="R958">
        <v>321326</v>
      </c>
      <c r="S958">
        <v>14.6</v>
      </c>
      <c r="T958">
        <v>14.6</v>
      </c>
      <c r="U958">
        <v>14</v>
      </c>
      <c r="V958">
        <v>14.145</v>
      </c>
      <c r="W958">
        <v>304</v>
      </c>
      <c r="X958">
        <v>2.932045532942399E-2</v>
      </c>
      <c r="Y958">
        <v>-0.87621825800321262</v>
      </c>
      <c r="Z958">
        <v>1.5862961953634982</v>
      </c>
      <c r="AB958" s="3">
        <f t="shared" si="154"/>
        <v>-6.5900157543531679E-3</v>
      </c>
      <c r="AC958" s="3">
        <f t="shared" si="155"/>
        <v>-9.0125576644297517E-3</v>
      </c>
      <c r="AD958" s="3">
        <f t="shared" si="156"/>
        <v>-7.0253262727661692E-3</v>
      </c>
      <c r="AE958" s="76">
        <f t="shared" si="157"/>
        <v>4280.5714285714312</v>
      </c>
      <c r="AF958" s="76">
        <f t="shared" si="158"/>
        <v>6011.7916666666679</v>
      </c>
      <c r="AG958" s="76">
        <f t="shared" si="159"/>
        <v>7848.8721461187233</v>
      </c>
      <c r="AO958" s="5">
        <f t="shared" si="164"/>
        <v>1.2259194395796773E-2</v>
      </c>
      <c r="AP958" s="5">
        <f t="shared" si="160"/>
        <v>0.33734260017073792</v>
      </c>
      <c r="AR958" s="5">
        <f t="shared" si="161"/>
        <v>-1.0767797263139256E-3</v>
      </c>
      <c r="AS958" s="5">
        <f t="shared" si="162"/>
        <v>6.1581376154517531E-3</v>
      </c>
      <c r="AT958" s="5" t="str">
        <f t="shared" si="163"/>
        <v/>
      </c>
    </row>
    <row r="959" spans="12:46" x14ac:dyDescent="0.25">
      <c r="L959" s="4">
        <v>44167.5</v>
      </c>
      <c r="M959">
        <v>28.99</v>
      </c>
      <c r="N959">
        <v>29.65</v>
      </c>
      <c r="O959">
        <v>28.55</v>
      </c>
      <c r="P959">
        <v>29.55</v>
      </c>
      <c r="Q959">
        <v>46194</v>
      </c>
      <c r="R959">
        <v>334056</v>
      </c>
      <c r="S959">
        <v>14.45</v>
      </c>
      <c r="T959">
        <v>14.95</v>
      </c>
      <c r="U959">
        <v>14.45</v>
      </c>
      <c r="V959">
        <v>14.904999999999999</v>
      </c>
      <c r="W959">
        <v>356</v>
      </c>
      <c r="X959">
        <v>3.7542662116040883E-2</v>
      </c>
      <c r="Y959">
        <v>-0.3260295225443855</v>
      </c>
      <c r="Z959">
        <v>2.5589893694189265</v>
      </c>
      <c r="AB959" s="3">
        <f t="shared" si="154"/>
        <v>-3.4272062335651762E-3</v>
      </c>
      <c r="AC959" s="3">
        <f t="shared" si="155"/>
        <v>-7.0188500575774845E-3</v>
      </c>
      <c r="AD959" s="3">
        <f t="shared" si="156"/>
        <v>-5.2840381649502666E-3</v>
      </c>
      <c r="AE959" s="76">
        <f t="shared" si="157"/>
        <v>4361.5714285714275</v>
      </c>
      <c r="AF959" s="76">
        <f t="shared" si="158"/>
        <v>5830.4821428571413</v>
      </c>
      <c r="AG959" s="76">
        <f t="shared" si="159"/>
        <v>7518.3571428571413</v>
      </c>
      <c r="AO959" s="5">
        <f t="shared" si="164"/>
        <v>-5.5729710902124741E-3</v>
      </c>
      <c r="AP959" s="5">
        <f t="shared" si="160"/>
        <v>0.33874451586565768</v>
      </c>
      <c r="AR959" s="5">
        <f t="shared" si="161"/>
        <v>-1.749867808294947E-3</v>
      </c>
      <c r="AS959" s="5">
        <f t="shared" si="162"/>
        <v>7.8371710973776931E-3</v>
      </c>
      <c r="AT959" s="5" t="str">
        <f t="shared" si="163"/>
        <v/>
      </c>
    </row>
    <row r="960" spans="12:46" x14ac:dyDescent="0.25">
      <c r="L960" s="4">
        <v>44166.5</v>
      </c>
      <c r="M960">
        <v>29.3</v>
      </c>
      <c r="N960">
        <v>30</v>
      </c>
      <c r="O960">
        <v>28.71</v>
      </c>
      <c r="P960">
        <v>28.86</v>
      </c>
      <c r="Q960">
        <v>51666</v>
      </c>
      <c r="R960">
        <v>339995</v>
      </c>
      <c r="S960">
        <v>15.475</v>
      </c>
      <c r="T960">
        <v>15.475</v>
      </c>
      <c r="U960">
        <v>14.775</v>
      </c>
      <c r="V960">
        <v>14.91</v>
      </c>
      <c r="W960">
        <v>609</v>
      </c>
      <c r="X960">
        <v>4.5502645502645468E-2</v>
      </c>
      <c r="Y960">
        <v>0.22742588801762637</v>
      </c>
      <c r="Z960">
        <v>3.5969661038095828</v>
      </c>
      <c r="AB960" s="3">
        <f t="shared" si="154"/>
        <v>-2.7810883221351113E-3</v>
      </c>
      <c r="AC960" s="3">
        <f t="shared" si="155"/>
        <v>-6.737504894304136E-3</v>
      </c>
      <c r="AD960" s="3">
        <f t="shared" si="156"/>
        <v>-4.8445677843984986E-3</v>
      </c>
      <c r="AE960" s="76">
        <f t="shared" si="157"/>
        <v>4029.7142857142862</v>
      </c>
      <c r="AF960" s="76">
        <f t="shared" si="158"/>
        <v>5150.5059523809541</v>
      </c>
      <c r="AG960" s="76">
        <f t="shared" si="159"/>
        <v>6774.8155600268292</v>
      </c>
      <c r="AO960" s="5">
        <f t="shared" si="164"/>
        <v>2.3894436519258263E-2</v>
      </c>
      <c r="AP960" s="5">
        <f t="shared" si="160"/>
        <v>0.34039851517914355</v>
      </c>
      <c r="AR960" s="5">
        <f t="shared" si="161"/>
        <v>-2.4694261604681356E-3</v>
      </c>
      <c r="AS960" s="5">
        <f t="shared" si="162"/>
        <v>1.0264534591789443E-2</v>
      </c>
      <c r="AT960" s="5" t="str">
        <f t="shared" si="163"/>
        <v/>
      </c>
    </row>
    <row r="961" spans="12:46" x14ac:dyDescent="0.25">
      <c r="L961" s="4">
        <v>44165.5</v>
      </c>
      <c r="M961">
        <v>28.35</v>
      </c>
      <c r="N961">
        <v>29.4</v>
      </c>
      <c r="O961">
        <v>28.04</v>
      </c>
      <c r="P961">
        <v>29.14</v>
      </c>
      <c r="Q961">
        <v>41220</v>
      </c>
      <c r="R961">
        <v>355405</v>
      </c>
      <c r="S961">
        <v>14.984999999999999</v>
      </c>
      <c r="T961">
        <v>15.2</v>
      </c>
      <c r="U961">
        <v>14.95</v>
      </c>
      <c r="V961">
        <v>15.14</v>
      </c>
      <c r="W961">
        <v>60</v>
      </c>
      <c r="X961">
        <v>4.8312611012433372E-2</v>
      </c>
      <c r="Y961">
        <v>0.42331022299954763</v>
      </c>
      <c r="Z961">
        <v>2.2186970720751256</v>
      </c>
      <c r="AB961" s="3">
        <f t="shared" si="154"/>
        <v>-3.5068789890086369E-3</v>
      </c>
      <c r="AC961" s="3">
        <f t="shared" si="155"/>
        <v>-6.5253603003477545E-3</v>
      </c>
      <c r="AD961" s="3">
        <f t="shared" si="156"/>
        <v>-4.9583555118919639E-3</v>
      </c>
      <c r="AE961" s="76">
        <f t="shared" si="157"/>
        <v>2935.2857142857138</v>
      </c>
      <c r="AF961" s="76">
        <f t="shared" si="158"/>
        <v>4303.6904761904771</v>
      </c>
      <c r="AG961" s="76">
        <f t="shared" si="159"/>
        <v>5741.661904761906</v>
      </c>
      <c r="AO961" s="5">
        <f t="shared" si="164"/>
        <v>5.7388809182209524E-3</v>
      </c>
      <c r="AP961" s="5">
        <f t="shared" si="160"/>
        <v>0.34026306405203055</v>
      </c>
      <c r="AR961" s="5">
        <f t="shared" si="161"/>
        <v>-3.7001040831765586E-3</v>
      </c>
      <c r="AS961" s="5">
        <f t="shared" si="162"/>
        <v>1.2182172516140732E-2</v>
      </c>
      <c r="AT961" s="5" t="str">
        <f t="shared" si="163"/>
        <v/>
      </c>
    </row>
    <row r="962" spans="12:46" x14ac:dyDescent="0.25">
      <c r="L962" s="4">
        <v>44162.5</v>
      </c>
      <c r="M962">
        <v>28.15</v>
      </c>
      <c r="N962">
        <v>28.67</v>
      </c>
      <c r="O962">
        <v>27.88</v>
      </c>
      <c r="P962">
        <v>28.13</v>
      </c>
      <c r="Q962">
        <v>31247</v>
      </c>
      <c r="R962">
        <v>368601</v>
      </c>
      <c r="S962">
        <v>13.835000000000001</v>
      </c>
      <c r="T962">
        <v>14.6</v>
      </c>
      <c r="U962">
        <v>13.8</v>
      </c>
      <c r="V962">
        <v>14.484999999999999</v>
      </c>
      <c r="W962">
        <v>0</v>
      </c>
      <c r="X962">
        <v>2.8540462427745762E-2</v>
      </c>
      <c r="Y962">
        <v>-0.9371182781359304</v>
      </c>
      <c r="Z962">
        <v>0.60347676594626443</v>
      </c>
      <c r="AB962" s="3">
        <f t="shared" si="154"/>
        <v>-3.3616470653362873E-3</v>
      </c>
      <c r="AC962" s="3">
        <f t="shared" si="155"/>
        <v>-6.4888665144017602E-3</v>
      </c>
      <c r="AD962" s="3">
        <f t="shared" si="156"/>
        <v>-4.9956587802361466E-3</v>
      </c>
      <c r="AE962" s="76">
        <f t="shared" si="157"/>
        <v>2104.952380952378</v>
      </c>
      <c r="AF962" s="76">
        <f t="shared" si="158"/>
        <v>3463.6369047619046</v>
      </c>
      <c r="AG962" s="76">
        <f t="shared" si="159"/>
        <v>4872.2608695652161</v>
      </c>
      <c r="AO962" s="5">
        <f t="shared" si="164"/>
        <v>2.0497803806734945E-2</v>
      </c>
      <c r="AP962" s="5">
        <f t="shared" si="160"/>
        <v>0.34211779775545237</v>
      </c>
      <c r="AR962" s="5">
        <f t="shared" si="161"/>
        <v>-4.9283669981408096E-3</v>
      </c>
      <c r="AS962" s="5">
        <f t="shared" si="162"/>
        <v>1.4171843251194249E-2</v>
      </c>
      <c r="AT962" s="5" t="str">
        <f t="shared" si="163"/>
        <v/>
      </c>
    </row>
    <row r="963" spans="12:46" x14ac:dyDescent="0.25">
      <c r="L963" s="4">
        <v>44161.5</v>
      </c>
      <c r="M963">
        <v>27.68</v>
      </c>
      <c r="N963">
        <v>28.32</v>
      </c>
      <c r="O963">
        <v>27.32</v>
      </c>
      <c r="P963">
        <v>28.1</v>
      </c>
      <c r="Q963">
        <v>30300</v>
      </c>
      <c r="R963">
        <v>375287</v>
      </c>
      <c r="S963">
        <v>14.15</v>
      </c>
      <c r="T963">
        <v>14.275</v>
      </c>
      <c r="U963">
        <v>13.8</v>
      </c>
      <c r="V963">
        <v>13.93</v>
      </c>
      <c r="W963">
        <v>0</v>
      </c>
      <c r="X963">
        <v>3.6036036036036036E-2</v>
      </c>
      <c r="Y963">
        <v>-0.45671035743151472</v>
      </c>
      <c r="Z963">
        <v>0.45889548899310351</v>
      </c>
      <c r="AB963" s="3">
        <f t="shared" si="154"/>
        <v>-1.4004060223402615E-3</v>
      </c>
      <c r="AC963" s="3">
        <f t="shared" si="155"/>
        <v>-4.9271584677438099E-3</v>
      </c>
      <c r="AD963" s="3">
        <f t="shared" si="156"/>
        <v>-3.8837944683502712E-3</v>
      </c>
      <c r="AE963" s="76">
        <f t="shared" si="157"/>
        <v>2280.7142857142862</v>
      </c>
      <c r="AF963" s="76">
        <f t="shared" si="158"/>
        <v>3641.7678571428587</v>
      </c>
      <c r="AG963" s="76">
        <f t="shared" si="159"/>
        <v>4890.4852941176468</v>
      </c>
      <c r="AO963" s="5">
        <f t="shared" si="164"/>
        <v>-7.6280421358518287E-3</v>
      </c>
      <c r="AP963" s="5">
        <f t="shared" si="160"/>
        <v>0.34254426810691674</v>
      </c>
      <c r="AR963" s="5">
        <f t="shared" si="161"/>
        <v>-6.2515310248118516E-3</v>
      </c>
      <c r="AS963" s="5">
        <f t="shared" si="162"/>
        <v>1.619187321067217E-2</v>
      </c>
      <c r="AT963" s="5" t="str">
        <f t="shared" si="163"/>
        <v/>
      </c>
    </row>
    <row r="964" spans="12:46" x14ac:dyDescent="0.25">
      <c r="L964" s="4">
        <v>44160.5</v>
      </c>
      <c r="M964">
        <v>27.75</v>
      </c>
      <c r="N964">
        <v>28.12</v>
      </c>
      <c r="O964">
        <v>27.53</v>
      </c>
      <c r="P964">
        <v>27.62</v>
      </c>
      <c r="Q964">
        <v>34849</v>
      </c>
      <c r="R964">
        <v>378349</v>
      </c>
      <c r="S964">
        <v>14.15</v>
      </c>
      <c r="T964">
        <v>14.275</v>
      </c>
      <c r="U964">
        <v>13.8</v>
      </c>
      <c r="V964">
        <v>13.93</v>
      </c>
      <c r="W964">
        <v>347</v>
      </c>
      <c r="X964">
        <v>2.1651376146788987E-2</v>
      </c>
      <c r="Y964">
        <v>-1.4314989875730537</v>
      </c>
      <c r="Z964">
        <v>1.2620172244784278</v>
      </c>
      <c r="AB964" s="3">
        <f t="shared" si="154"/>
        <v>-1.3253487422177496E-3</v>
      </c>
      <c r="AC964" s="3">
        <f t="shared" si="155"/>
        <v>-4.8434583154601807E-3</v>
      </c>
      <c r="AD964" s="3">
        <f t="shared" si="156"/>
        <v>-3.8224210289323698E-3</v>
      </c>
      <c r="AE964" s="76">
        <f t="shared" si="157"/>
        <v>3258.2857142857138</v>
      </c>
      <c r="AF964" s="76">
        <f t="shared" si="158"/>
        <v>4285.0357142857138</v>
      </c>
      <c r="AG964" s="76">
        <f t="shared" si="159"/>
        <v>5335.8486140724963</v>
      </c>
      <c r="AO964" s="5">
        <f t="shared" si="164"/>
        <v>2.4944154877140794E-2</v>
      </c>
      <c r="AP964" s="5">
        <f t="shared" si="160"/>
        <v>0.34418547839147484</v>
      </c>
      <c r="AR964" s="5">
        <f t="shared" si="161"/>
        <v>-7.5036594981544025E-3</v>
      </c>
      <c r="AS964" s="5">
        <f t="shared" si="162"/>
        <v>1.8736542402572609E-2</v>
      </c>
      <c r="AT964" s="5" t="str">
        <f t="shared" si="163"/>
        <v/>
      </c>
    </row>
    <row r="965" spans="12:46" x14ac:dyDescent="0.25">
      <c r="L965" s="4">
        <v>44159.5</v>
      </c>
      <c r="M965">
        <v>27.25</v>
      </c>
      <c r="N965">
        <v>27.7</v>
      </c>
      <c r="O965">
        <v>26.86</v>
      </c>
      <c r="P965">
        <v>27.63</v>
      </c>
      <c r="Q965">
        <v>26473</v>
      </c>
      <c r="R965">
        <v>385124</v>
      </c>
      <c r="S965">
        <v>13.45</v>
      </c>
      <c r="T965">
        <v>13.9</v>
      </c>
      <c r="U965">
        <v>13.45</v>
      </c>
      <c r="V965">
        <v>13.9</v>
      </c>
      <c r="W965">
        <v>300</v>
      </c>
      <c r="X965">
        <v>3.0712979890310778E-2</v>
      </c>
      <c r="Y965">
        <v>-0.83880892540945773</v>
      </c>
      <c r="Z965">
        <v>-0.14503528789270748</v>
      </c>
      <c r="AB965" s="3">
        <f t="shared" si="154"/>
        <v>-2.2894166531030949E-3</v>
      </c>
      <c r="AC965" s="3">
        <f t="shared" si="155"/>
        <v>-4.2492404502142353E-3</v>
      </c>
      <c r="AD965" s="3">
        <f t="shared" si="156"/>
        <v>-3.2795005188470255E-3</v>
      </c>
      <c r="AE965" s="76">
        <f t="shared" si="157"/>
        <v>2757.1428571428551</v>
      </c>
      <c r="AF965" s="76">
        <f t="shared" si="158"/>
        <v>3995.9880952380954</v>
      </c>
      <c r="AG965" s="76">
        <f t="shared" si="159"/>
        <v>4917.4761904761908</v>
      </c>
      <c r="AO965" s="5">
        <f t="shared" si="164"/>
        <v>-8.1240768094534305E-3</v>
      </c>
      <c r="AP965" s="5">
        <f t="shared" si="160"/>
        <v>0.34379939875830928</v>
      </c>
      <c r="AR965" s="5">
        <f t="shared" si="161"/>
        <v>-8.7778196871510783E-3</v>
      </c>
      <c r="AS965" s="5">
        <f t="shared" si="162"/>
        <v>2.1192029398570789E-2</v>
      </c>
      <c r="AT965" s="5" t="str">
        <f t="shared" si="163"/>
        <v/>
      </c>
    </row>
    <row r="966" spans="12:46" x14ac:dyDescent="0.25">
      <c r="L966" s="4">
        <v>44158.5</v>
      </c>
      <c r="M966">
        <v>27.35</v>
      </c>
      <c r="N966">
        <v>27.55</v>
      </c>
      <c r="O966">
        <v>27.08</v>
      </c>
      <c r="P966">
        <v>27.25</v>
      </c>
      <c r="Q966">
        <v>31902</v>
      </c>
      <c r="R966">
        <v>386296</v>
      </c>
      <c r="S966">
        <v>13.3</v>
      </c>
      <c r="T966">
        <v>13.625</v>
      </c>
      <c r="U966">
        <v>13.3</v>
      </c>
      <c r="V966">
        <v>13.535</v>
      </c>
      <c r="W966">
        <v>131</v>
      </c>
      <c r="X966">
        <v>1.7891130567186997E-2</v>
      </c>
      <c r="Y966">
        <v>-1.746105276904528</v>
      </c>
      <c r="Z966">
        <v>0.80121685570132739</v>
      </c>
      <c r="AB966" s="3">
        <f t="shared" si="154"/>
        <v>5.3960806296122349E-4</v>
      </c>
      <c r="AC966" s="3">
        <f t="shared" si="155"/>
        <v>-2.1308956914822264E-3</v>
      </c>
      <c r="AD966" s="3">
        <f t="shared" si="156"/>
        <v>-1.4265643561771554E-3</v>
      </c>
      <c r="AE966" s="76">
        <f t="shared" si="157"/>
        <v>2866.2380952380954</v>
      </c>
      <c r="AF966" s="76">
        <f t="shared" si="158"/>
        <v>4059.5119047619046</v>
      </c>
      <c r="AG966" s="76">
        <f t="shared" si="159"/>
        <v>4796.8695970695953</v>
      </c>
      <c r="AO966" s="5">
        <f t="shared" si="164"/>
        <v>3.3587786259541945E-2</v>
      </c>
      <c r="AP966" s="5">
        <f t="shared" si="160"/>
        <v>0.34546218884179464</v>
      </c>
      <c r="AR966" s="5">
        <f t="shared" si="161"/>
        <v>-1.0065686326866163E-2</v>
      </c>
      <c r="AS966" s="5">
        <f t="shared" si="162"/>
        <v>2.3640845666026034E-2</v>
      </c>
      <c r="AT966" s="5" t="str">
        <f t="shared" si="163"/>
        <v/>
      </c>
    </row>
    <row r="967" spans="12:46" x14ac:dyDescent="0.25">
      <c r="L967" s="4">
        <v>44155.5</v>
      </c>
      <c r="M967">
        <v>26.27</v>
      </c>
      <c r="N967">
        <v>27</v>
      </c>
      <c r="O967">
        <v>26.2</v>
      </c>
      <c r="P967">
        <v>26.74</v>
      </c>
      <c r="Q967">
        <v>25862</v>
      </c>
      <c r="R967">
        <v>396767</v>
      </c>
      <c r="S967">
        <v>12.7</v>
      </c>
      <c r="T967">
        <v>12.91</v>
      </c>
      <c r="U967">
        <v>12.6</v>
      </c>
      <c r="V967">
        <v>12.895</v>
      </c>
      <c r="W967">
        <v>405</v>
      </c>
      <c r="X967">
        <v>2.9563932002956421E-2</v>
      </c>
      <c r="Y967">
        <v>-0.99476325167688151</v>
      </c>
      <c r="Z967">
        <v>-0.17000544571937681</v>
      </c>
      <c r="AB967" s="3">
        <f t="shared" si="154"/>
        <v>5.0351073557882639E-3</v>
      </c>
      <c r="AC967" s="3">
        <f t="shared" si="155"/>
        <v>1.0278543024580533E-3</v>
      </c>
      <c r="AD967" s="3">
        <f t="shared" si="156"/>
        <v>1.7087916734680672E-3</v>
      </c>
      <c r="AE967" s="76">
        <f t="shared" si="157"/>
        <v>3023.952380952378</v>
      </c>
      <c r="AF967" s="76">
        <f t="shared" si="158"/>
        <v>4230.0297619047597</v>
      </c>
      <c r="AG967" s="76">
        <f t="shared" si="159"/>
        <v>4874.8489583333321</v>
      </c>
      <c r="AO967" s="5">
        <f t="shared" si="164"/>
        <v>-4.1809198023564972E-3</v>
      </c>
      <c r="AP967" s="5">
        <f t="shared" si="160"/>
        <v>0.34288610699869526</v>
      </c>
      <c r="AR967" s="5">
        <f t="shared" si="161"/>
        <v>-1.1453050078199523E-2</v>
      </c>
      <c r="AS967" s="5">
        <f t="shared" si="162"/>
        <v>2.6368045594874157E-2</v>
      </c>
      <c r="AT967" s="5" t="str">
        <f t="shared" si="163"/>
        <v/>
      </c>
    </row>
    <row r="968" spans="12:46" x14ac:dyDescent="0.25">
      <c r="L968" s="4">
        <v>44154.5</v>
      </c>
      <c r="M968">
        <v>27.06</v>
      </c>
      <c r="N968">
        <v>27.15</v>
      </c>
      <c r="O968">
        <v>26.31</v>
      </c>
      <c r="P968">
        <v>26.35</v>
      </c>
      <c r="Q968">
        <v>31609</v>
      </c>
      <c r="R968">
        <v>399687</v>
      </c>
      <c r="S968">
        <v>13.475</v>
      </c>
      <c r="T968">
        <v>13.475</v>
      </c>
      <c r="U968">
        <v>13</v>
      </c>
      <c r="V968">
        <v>13.02</v>
      </c>
      <c r="W968">
        <v>335</v>
      </c>
      <c r="X968">
        <v>3.0545454545454539E-2</v>
      </c>
      <c r="Y968">
        <v>-0.91832907703590128</v>
      </c>
      <c r="Z968">
        <v>0.77366826710019276</v>
      </c>
      <c r="AB968" s="3">
        <f t="shared" si="154"/>
        <v>4.7922934224156263E-3</v>
      </c>
      <c r="AC968" s="3">
        <f t="shared" si="155"/>
        <v>2.4721680847082372E-3</v>
      </c>
      <c r="AD968" s="3">
        <f t="shared" si="156"/>
        <v>2.6993970049995833E-3</v>
      </c>
      <c r="AE968" s="76">
        <f t="shared" si="157"/>
        <v>2788.7619047619046</v>
      </c>
      <c r="AF968" s="76">
        <f t="shared" si="158"/>
        <v>4589.5714285714275</v>
      </c>
      <c r="AG968" s="76">
        <f t="shared" si="159"/>
        <v>5053.6666666666679</v>
      </c>
      <c r="AO968" s="5">
        <f t="shared" si="164"/>
        <v>-2.9151291512915227E-2</v>
      </c>
      <c r="AP968" s="5">
        <f t="shared" si="160"/>
        <v>0.34485535510776349</v>
      </c>
      <c r="AR968" s="5">
        <f t="shared" si="161"/>
        <v>-1.341389600449161E-2</v>
      </c>
      <c r="AS968" s="5">
        <f t="shared" si="162"/>
        <v>2.9070205842242347E-2</v>
      </c>
      <c r="AT968" s="5" t="str">
        <f t="shared" si="163"/>
        <v/>
      </c>
    </row>
    <row r="969" spans="12:46" x14ac:dyDescent="0.25">
      <c r="L969" s="4">
        <v>44153.5</v>
      </c>
      <c r="M969">
        <v>27.5</v>
      </c>
      <c r="N969">
        <v>28.14</v>
      </c>
      <c r="O969">
        <v>27.1</v>
      </c>
      <c r="P969">
        <v>27.19</v>
      </c>
      <c r="Q969">
        <v>33451</v>
      </c>
      <c r="R969">
        <v>398193</v>
      </c>
      <c r="S969">
        <v>13.85</v>
      </c>
      <c r="T969">
        <v>13.95</v>
      </c>
      <c r="U969">
        <v>13.59</v>
      </c>
      <c r="V969">
        <v>13.68</v>
      </c>
      <c r="W969">
        <v>215</v>
      </c>
      <c r="X969">
        <v>3.7983929875821741E-2</v>
      </c>
      <c r="Y969">
        <v>-0.40189011662140117</v>
      </c>
      <c r="Z969">
        <v>1.084676113822352</v>
      </c>
      <c r="AB969" s="3">
        <f t="shared" ref="AB969:AB1032" si="165">AVERAGEA(X969:X989)-AVERAGE(X990:X1010)</f>
        <v>3.4823081124303046E-3</v>
      </c>
      <c r="AC969" s="3">
        <f t="shared" ref="AC969:AC1032" si="166">AVERAGEA(X969:X989)-AVERAGE(X990:X1045)</f>
        <v>3.3236493026277958E-3</v>
      </c>
      <c r="AD969" s="3">
        <f t="shared" ref="AD969:AD1032" si="167">AVERAGEA(X969:X989)-AVERAGE(X990:X1102)</f>
        <v>3.3863763592464347E-3</v>
      </c>
      <c r="AE969" s="76">
        <f t="shared" ref="AE969:AE1032" si="168">AVERAGEA(Q969:Q989)-AVERAGE(Q990:Q1010)</f>
        <v>3135.0476190476184</v>
      </c>
      <c r="AF969" s="76">
        <f t="shared" ref="AF969:AF1032" si="169">AVERAGEA(Q969:Q989)-AVERAGE(Q990:Q1045)</f>
        <v>5396.2142857142862</v>
      </c>
      <c r="AG969" s="76">
        <f t="shared" ref="AG969:AG1032" si="170">AVERAGEA(Q969:Q989)-AVERAGE(Q990:Q1102)</f>
        <v>5677.4907834101359</v>
      </c>
      <c r="AO969" s="5">
        <f t="shared" si="164"/>
        <v>2.0715630885122436E-2</v>
      </c>
      <c r="AP969" s="5">
        <f t="shared" ref="AP969:AP1032" si="171">_xlfn.STDEV.S(AO969:AO1228)*SQRT(252)</f>
        <v>0.3428455379254659</v>
      </c>
      <c r="AR969" s="5">
        <f t="shared" ref="AR969:AR1032" si="172">IFERROR(AVERAGEA(AP969:AP989)-AVERAGE(AP990:AP1010),"")</f>
        <v>-1.520217101424981E-2</v>
      </c>
      <c r="AS969" s="5">
        <f t="shared" ref="AS969:AS1032" si="173">IFERROR(AVERAGEA(AP969:AP989)-AVERAGE(AP990:AP1045),"")</f>
        <v>3.167517119377905E-2</v>
      </c>
      <c r="AT969" s="5" t="str">
        <f t="shared" ref="AT969:AT1032" si="174">IFERROR(AVERAGEA(AP969:AP989)-AVERAGE(AP990:AP1102),"")</f>
        <v/>
      </c>
    </row>
    <row r="970" spans="12:46" x14ac:dyDescent="0.25">
      <c r="L970" s="4">
        <v>44152.5</v>
      </c>
      <c r="M970">
        <v>27.38</v>
      </c>
      <c r="N970">
        <v>27.48</v>
      </c>
      <c r="O970">
        <v>26.55</v>
      </c>
      <c r="P970">
        <v>26.64</v>
      </c>
      <c r="Q970">
        <v>25238</v>
      </c>
      <c r="R970">
        <v>398488</v>
      </c>
      <c r="S970">
        <v>14.35</v>
      </c>
      <c r="T970">
        <v>14.35</v>
      </c>
      <c r="U970">
        <v>13.85</v>
      </c>
      <c r="V970">
        <v>13.97</v>
      </c>
      <c r="W970">
        <v>160</v>
      </c>
      <c r="X970">
        <v>3.4988713318284417E-2</v>
      </c>
      <c r="Y970">
        <v>-0.59225999805236151</v>
      </c>
      <c r="Z970">
        <v>-0.15801304487905982</v>
      </c>
      <c r="AB970" s="3">
        <f t="shared" si="165"/>
        <v>1.259164605056165E-3</v>
      </c>
      <c r="AC970" s="3">
        <f t="shared" si="166"/>
        <v>2.5715002286733415E-3</v>
      </c>
      <c r="AD970" s="3">
        <f t="shared" si="167"/>
        <v>2.5995924489479044E-3</v>
      </c>
      <c r="AE970" s="76">
        <f t="shared" si="168"/>
        <v>2297.5714285714275</v>
      </c>
      <c r="AF970" s="76">
        <f t="shared" si="169"/>
        <v>5424.9107142857138</v>
      </c>
      <c r="AG970" s="76">
        <f t="shared" si="170"/>
        <v>5527.3278688524588</v>
      </c>
      <c r="AO970" s="5">
        <f t="shared" ref="AO970:AO1033" si="175">IFERROR((O970-O971)/O971,"")</f>
        <v>0</v>
      </c>
      <c r="AP970" s="5">
        <f t="shared" si="171"/>
        <v>0.34323521162744786</v>
      </c>
      <c r="AR970" s="5">
        <f t="shared" si="172"/>
        <v>-1.7449430357167062E-2</v>
      </c>
      <c r="AS970" s="5">
        <f t="shared" si="173"/>
        <v>3.4226688116901383E-2</v>
      </c>
      <c r="AT970" s="5" t="str">
        <f t="shared" si="174"/>
        <v/>
      </c>
    </row>
    <row r="971" spans="12:46" x14ac:dyDescent="0.25">
      <c r="L971" s="4">
        <v>44151.5</v>
      </c>
      <c r="M971">
        <v>26.58</v>
      </c>
      <c r="N971">
        <v>27.45</v>
      </c>
      <c r="O971">
        <v>26.55</v>
      </c>
      <c r="P971">
        <v>27.39</v>
      </c>
      <c r="Q971">
        <v>28218</v>
      </c>
      <c r="R971">
        <v>397888</v>
      </c>
      <c r="S971">
        <v>14.425000000000001</v>
      </c>
      <c r="T971">
        <v>14.6</v>
      </c>
      <c r="U971">
        <v>14.42</v>
      </c>
      <c r="V971">
        <v>14.494999999999999</v>
      </c>
      <c r="W971">
        <v>287</v>
      </c>
      <c r="X971">
        <v>3.4843205574912842E-2</v>
      </c>
      <c r="Y971">
        <v>-0.59800964309888893</v>
      </c>
      <c r="Z971">
        <v>0.31156549704645864</v>
      </c>
      <c r="AB971" s="3">
        <f t="shared" si="165"/>
        <v>2.8455631435645584E-4</v>
      </c>
      <c r="AC971" s="3">
        <f t="shared" si="166"/>
        <v>1.7396267898423176E-3</v>
      </c>
      <c r="AD971" s="3">
        <f t="shared" si="167"/>
        <v>1.8559531378616392E-3</v>
      </c>
      <c r="AE971" s="76">
        <f t="shared" si="168"/>
        <v>2215.5238095238092</v>
      </c>
      <c r="AF971" s="76">
        <f t="shared" si="169"/>
        <v>5381.4226190476184</v>
      </c>
      <c r="AG971" s="76">
        <f t="shared" si="170"/>
        <v>5413.6452380952396</v>
      </c>
      <c r="AO971" s="5">
        <f t="shared" si="175"/>
        <v>3.9138943248532287E-2</v>
      </c>
      <c r="AP971" s="5">
        <f t="shared" si="171"/>
        <v>0.34539548536201309</v>
      </c>
      <c r="AR971" s="5">
        <f t="shared" si="172"/>
        <v>-1.8057283260272339E-2</v>
      </c>
      <c r="AS971" s="5">
        <f t="shared" si="173"/>
        <v>3.6498990844467338E-2</v>
      </c>
      <c r="AT971" s="5" t="str">
        <f t="shared" si="174"/>
        <v/>
      </c>
    </row>
    <row r="972" spans="12:46" x14ac:dyDescent="0.25">
      <c r="L972" s="4">
        <v>44148.5</v>
      </c>
      <c r="M972">
        <v>25.83</v>
      </c>
      <c r="N972">
        <v>26.53</v>
      </c>
      <c r="O972">
        <v>25.55</v>
      </c>
      <c r="P972">
        <v>26.28</v>
      </c>
      <c r="Q972">
        <v>19870</v>
      </c>
      <c r="R972">
        <v>396769</v>
      </c>
      <c r="S972">
        <v>14.2</v>
      </c>
      <c r="T972">
        <v>14.324999999999999</v>
      </c>
      <c r="U972">
        <v>14.175000000000001</v>
      </c>
      <c r="V972">
        <v>14.24</v>
      </c>
      <c r="W972">
        <v>280</v>
      </c>
      <c r="X972">
        <v>3.7619961612284085E-2</v>
      </c>
      <c r="Y972">
        <v>-0.43014435346888968</v>
      </c>
      <c r="Z972">
        <v>-0.9257772899723492</v>
      </c>
      <c r="AB972" s="3">
        <f t="shared" si="165"/>
        <v>-7.7045603482168296E-4</v>
      </c>
      <c r="AC972" s="3">
        <f t="shared" si="166"/>
        <v>1.3275544642260273E-3</v>
      </c>
      <c r="AD972" s="3">
        <f t="shared" si="167"/>
        <v>1.5137562642577387E-3</v>
      </c>
      <c r="AE972" s="76">
        <f t="shared" si="168"/>
        <v>1596.3333333333358</v>
      </c>
      <c r="AF972" s="76">
        <f t="shared" si="169"/>
        <v>5094.5178571428587</v>
      </c>
      <c r="AG972" s="76">
        <f t="shared" si="170"/>
        <v>5091.1743341404363</v>
      </c>
      <c r="AO972" s="5">
        <f t="shared" si="175"/>
        <v>-1.9531250000000278E-3</v>
      </c>
      <c r="AP972" s="5">
        <f t="shared" si="171"/>
        <v>0.34071584234183894</v>
      </c>
      <c r="AR972" s="5">
        <f t="shared" si="172"/>
        <v>-1.8508071216089328E-2</v>
      </c>
      <c r="AS972" s="5">
        <f t="shared" si="173"/>
        <v>3.8491117870348979E-2</v>
      </c>
      <c r="AT972" s="5" t="str">
        <f t="shared" si="174"/>
        <v/>
      </c>
    </row>
    <row r="973" spans="12:46" x14ac:dyDescent="0.25">
      <c r="L973" s="4">
        <v>44147.5</v>
      </c>
      <c r="M973">
        <v>26.05</v>
      </c>
      <c r="N973">
        <v>26.2</v>
      </c>
      <c r="O973">
        <v>25.6</v>
      </c>
      <c r="P973">
        <v>25.92</v>
      </c>
      <c r="Q973">
        <v>24806</v>
      </c>
      <c r="R973">
        <v>392493</v>
      </c>
      <c r="S973">
        <v>14.05</v>
      </c>
      <c r="T973">
        <v>14.15</v>
      </c>
      <c r="U973">
        <v>13.95</v>
      </c>
      <c r="V973">
        <v>14</v>
      </c>
      <c r="W973">
        <v>294</v>
      </c>
      <c r="X973">
        <v>2.3041474654377798E-2</v>
      </c>
      <c r="Y973">
        <v>-1.3748825907346423</v>
      </c>
      <c r="Z973">
        <v>-0.18622790343329318</v>
      </c>
      <c r="AB973" s="3">
        <f t="shared" si="165"/>
        <v>2.1140929375003392E-5</v>
      </c>
      <c r="AC973" s="3">
        <f t="shared" si="166"/>
        <v>1.8943181654929239E-3</v>
      </c>
      <c r="AD973" s="3">
        <f t="shared" si="167"/>
        <v>2.012268537900902E-3</v>
      </c>
      <c r="AE973" s="76">
        <f t="shared" si="168"/>
        <v>2327.3333333333321</v>
      </c>
      <c r="AF973" s="76">
        <f t="shared" si="169"/>
        <v>5959.4642857142862</v>
      </c>
      <c r="AG973" s="76">
        <f t="shared" si="170"/>
        <v>5922.8694581280797</v>
      </c>
      <c r="AO973" s="5">
        <f t="shared" si="175"/>
        <v>-1.689708141321036E-2</v>
      </c>
      <c r="AP973" s="5">
        <f t="shared" si="171"/>
        <v>0.34288981097358212</v>
      </c>
      <c r="AR973" s="5">
        <f t="shared" si="172"/>
        <v>-1.8320796176148124E-2</v>
      </c>
      <c r="AS973" s="5">
        <f t="shared" si="173"/>
        <v>4.273677366462314E-2</v>
      </c>
      <c r="AT973" s="5" t="str">
        <f t="shared" si="174"/>
        <v/>
      </c>
    </row>
    <row r="974" spans="12:46" x14ac:dyDescent="0.25">
      <c r="L974" s="4">
        <v>44146.5</v>
      </c>
      <c r="M974">
        <v>26.04</v>
      </c>
      <c r="N974">
        <v>27.12</v>
      </c>
      <c r="O974">
        <v>26.04</v>
      </c>
      <c r="P974">
        <v>26.13</v>
      </c>
      <c r="Q974">
        <v>30183</v>
      </c>
      <c r="R974">
        <v>392087</v>
      </c>
      <c r="S974">
        <v>14.05</v>
      </c>
      <c r="T974">
        <v>14.35</v>
      </c>
      <c r="U974">
        <v>14.05</v>
      </c>
      <c r="V974">
        <v>14.095000000000001</v>
      </c>
      <c r="W974">
        <v>285</v>
      </c>
      <c r="X974">
        <v>4.0909090909090978E-2</v>
      </c>
      <c r="Y974">
        <v>-0.21291746396799566</v>
      </c>
      <c r="Z974">
        <v>0.63892818701481691</v>
      </c>
      <c r="AB974" s="3">
        <f t="shared" si="165"/>
        <v>-3.6203609125684544E-4</v>
      </c>
      <c r="AC974" s="3">
        <f t="shared" si="166"/>
        <v>2.1215057872404422E-3</v>
      </c>
      <c r="AD974" s="3">
        <f t="shared" si="167"/>
        <v>2.1215057872404422E-3</v>
      </c>
      <c r="AE974" s="76">
        <f t="shared" si="168"/>
        <v>1538.0476190476184</v>
      </c>
      <c r="AF974" s="76">
        <f t="shared" si="169"/>
        <v>5947.1726190476184</v>
      </c>
      <c r="AG974" s="76">
        <f t="shared" si="170"/>
        <v>5889.7518796992481</v>
      </c>
      <c r="AO974" s="5">
        <f t="shared" si="175"/>
        <v>-3.4443168771526927E-3</v>
      </c>
      <c r="AP974" s="5">
        <f t="shared" si="171"/>
        <v>0.34364095906688086</v>
      </c>
      <c r="AR974" s="5">
        <f t="shared" si="172"/>
        <v>-1.8196317407741525E-2</v>
      </c>
      <c r="AS974" s="5" t="str">
        <f t="shared" si="173"/>
        <v/>
      </c>
      <c r="AT974" s="5" t="str">
        <f t="shared" si="174"/>
        <v/>
      </c>
    </row>
    <row r="975" spans="12:46" x14ac:dyDescent="0.25">
      <c r="L975" s="4">
        <v>44145.5</v>
      </c>
      <c r="M975">
        <v>26.4</v>
      </c>
      <c r="N975">
        <v>26.66</v>
      </c>
      <c r="O975">
        <v>26.13</v>
      </c>
      <c r="P975">
        <v>26.23</v>
      </c>
      <c r="Q975">
        <v>25296</v>
      </c>
      <c r="R975">
        <v>388655</v>
      </c>
      <c r="S975">
        <v>13.8</v>
      </c>
      <c r="T975">
        <v>14.15</v>
      </c>
      <c r="U975">
        <v>13.7</v>
      </c>
      <c r="V975">
        <v>14.035</v>
      </c>
      <c r="W975">
        <v>910</v>
      </c>
      <c r="X975">
        <v>2.0622568093385259E-2</v>
      </c>
      <c r="Y975">
        <v>-1.5154684857325331</v>
      </c>
      <c r="Z975">
        <v>-5.4986762596687964E-2</v>
      </c>
      <c r="AB975" s="3">
        <f t="shared" si="165"/>
        <v>-3.1874760315427283E-3</v>
      </c>
      <c r="AC975" s="3">
        <f t="shared" si="166"/>
        <v>1.3428092887778631E-3</v>
      </c>
      <c r="AD975" s="3">
        <f t="shared" si="167"/>
        <v>1.3428092887778631E-3</v>
      </c>
      <c r="AE975" s="76">
        <f t="shared" si="168"/>
        <v>466.09523809524035</v>
      </c>
      <c r="AF975" s="76">
        <f t="shared" si="169"/>
        <v>5554.4107142857138</v>
      </c>
      <c r="AG975" s="76">
        <f t="shared" si="170"/>
        <v>5554.4107142857138</v>
      </c>
      <c r="AO975" s="5">
        <f t="shared" si="175"/>
        <v>3.1990521327014167E-2</v>
      </c>
      <c r="AP975" s="5">
        <f t="shared" si="171"/>
        <v>0.34583342227015812</v>
      </c>
      <c r="AR975" s="5">
        <f t="shared" si="172"/>
        <v>-1.7354549937683872E-2</v>
      </c>
      <c r="AS975" s="5" t="str">
        <f t="shared" si="173"/>
        <v/>
      </c>
      <c r="AT975" s="5" t="str">
        <f t="shared" si="174"/>
        <v/>
      </c>
    </row>
    <row r="976" spans="12:46" x14ac:dyDescent="0.25">
      <c r="L976" s="4">
        <v>44144.5</v>
      </c>
      <c r="M976">
        <v>25.7</v>
      </c>
      <c r="N976">
        <v>27.13</v>
      </c>
      <c r="O976">
        <v>25.32</v>
      </c>
      <c r="P976">
        <v>26.55</v>
      </c>
      <c r="Q976">
        <v>36883</v>
      </c>
      <c r="R976">
        <v>386258</v>
      </c>
      <c r="S976">
        <v>13.775</v>
      </c>
      <c r="T976">
        <v>14.13</v>
      </c>
      <c r="U976">
        <v>13.55</v>
      </c>
      <c r="V976">
        <v>13.855</v>
      </c>
      <c r="W976">
        <v>545</v>
      </c>
      <c r="X976">
        <v>7.0155038759689869E-2</v>
      </c>
      <c r="Y976">
        <v>1.743614454752813</v>
      </c>
      <c r="Z976">
        <v>1.6438125484246702</v>
      </c>
      <c r="AB976" s="3">
        <f t="shared" si="165"/>
        <v>-3.3798745239275035E-3</v>
      </c>
      <c r="AC976" s="3">
        <f t="shared" si="166"/>
        <v>1.4156062332537356E-3</v>
      </c>
      <c r="AD976" s="3">
        <f t="shared" si="167"/>
        <v>1.4156062332537356E-3</v>
      </c>
      <c r="AE976" s="76">
        <f t="shared" si="168"/>
        <v>397.95238095238165</v>
      </c>
      <c r="AF976" s="76">
        <f t="shared" si="169"/>
        <v>5304.3948051948064</v>
      </c>
      <c r="AG976" s="76">
        <f t="shared" si="170"/>
        <v>5304.3948051948064</v>
      </c>
      <c r="AO976" s="5">
        <f t="shared" si="175"/>
        <v>7.560684440907333E-3</v>
      </c>
      <c r="AP976" s="5">
        <f t="shared" si="171"/>
        <v>0.34334162518759054</v>
      </c>
      <c r="AR976" s="5">
        <f t="shared" si="172"/>
        <v>-1.6193858369825731E-2</v>
      </c>
      <c r="AS976" s="5" t="str">
        <f t="shared" si="173"/>
        <v/>
      </c>
      <c r="AT976" s="5" t="str">
        <f t="shared" si="174"/>
        <v/>
      </c>
    </row>
    <row r="977" spans="12:46" x14ac:dyDescent="0.25">
      <c r="L977" s="4">
        <v>44141.5</v>
      </c>
      <c r="M977">
        <v>25.8</v>
      </c>
      <c r="N977">
        <v>26.03</v>
      </c>
      <c r="O977">
        <v>25.13</v>
      </c>
      <c r="P977">
        <v>25.42</v>
      </c>
      <c r="Q977">
        <v>31548</v>
      </c>
      <c r="R977">
        <v>385167</v>
      </c>
      <c r="S977">
        <v>14.115</v>
      </c>
      <c r="T977">
        <v>14.15</v>
      </c>
      <c r="U977">
        <v>13.885</v>
      </c>
      <c r="V977">
        <v>13.9</v>
      </c>
      <c r="W977">
        <v>781</v>
      </c>
      <c r="X977">
        <v>3.5742652899126377E-2</v>
      </c>
      <c r="Y977">
        <v>-0.53367151979785032</v>
      </c>
      <c r="Z977">
        <v>0.92065307214288938</v>
      </c>
      <c r="AB977" s="3">
        <f t="shared" si="165"/>
        <v>-5.1790412468251737E-3</v>
      </c>
      <c r="AC977" s="3">
        <f t="shared" si="166"/>
        <v>-9.4570366197262168E-5</v>
      </c>
      <c r="AD977" s="3">
        <f t="shared" si="167"/>
        <v>-9.4570366197262168E-5</v>
      </c>
      <c r="AE977" s="76">
        <f t="shared" si="168"/>
        <v>-317.76190476190459</v>
      </c>
      <c r="AF977" s="76">
        <f t="shared" si="169"/>
        <v>4799.9232804232815</v>
      </c>
      <c r="AG977" s="76">
        <f t="shared" si="170"/>
        <v>4799.9232804232815</v>
      </c>
      <c r="AO977" s="5">
        <f t="shared" si="175"/>
        <v>1.1674718196457292E-2</v>
      </c>
      <c r="AP977" s="5">
        <f t="shared" si="171"/>
        <v>0.34543257900478258</v>
      </c>
      <c r="AR977" s="5">
        <f t="shared" si="172"/>
        <v>-1.4930235107877776E-2</v>
      </c>
      <c r="AS977" s="5" t="str">
        <f t="shared" si="173"/>
        <v/>
      </c>
      <c r="AT977" s="5" t="str">
        <f t="shared" si="174"/>
        <v/>
      </c>
    </row>
    <row r="978" spans="12:46" x14ac:dyDescent="0.25">
      <c r="L978" s="4">
        <v>44140.5</v>
      </c>
      <c r="M978">
        <v>25.18</v>
      </c>
      <c r="N978">
        <v>26.18</v>
      </c>
      <c r="O978">
        <v>24.84</v>
      </c>
      <c r="P978">
        <v>25.98</v>
      </c>
      <c r="Q978">
        <v>28677</v>
      </c>
      <c r="R978">
        <v>380687</v>
      </c>
      <c r="S978">
        <v>14.3</v>
      </c>
      <c r="T978">
        <v>14.5</v>
      </c>
      <c r="U978">
        <v>14.3</v>
      </c>
      <c r="V978">
        <v>14.455</v>
      </c>
      <c r="W978">
        <v>465</v>
      </c>
      <c r="X978">
        <v>5.5144032921810693E-2</v>
      </c>
      <c r="Y978">
        <v>0.795210363674686</v>
      </c>
      <c r="Z978">
        <v>0.53226020071051594</v>
      </c>
      <c r="AB978" s="3">
        <f t="shared" si="165"/>
        <v>-6.0803814715186116E-3</v>
      </c>
      <c r="AC978" s="3">
        <f t="shared" si="166"/>
        <v>-5.8944362824665114E-4</v>
      </c>
      <c r="AD978" s="3">
        <f t="shared" si="167"/>
        <v>-5.8944362824665114E-4</v>
      </c>
      <c r="AE978" s="76">
        <f t="shared" si="168"/>
        <v>-398.28571428571377</v>
      </c>
      <c r="AF978" s="76">
        <f t="shared" si="169"/>
        <v>4859.966756513928</v>
      </c>
      <c r="AG978" s="76">
        <f t="shared" si="170"/>
        <v>4859.966756513928</v>
      </c>
      <c r="AO978" s="5">
        <f t="shared" si="175"/>
        <v>4.2383550146873755E-2</v>
      </c>
      <c r="AP978" s="5">
        <f t="shared" si="171"/>
        <v>0.34717419972085067</v>
      </c>
      <c r="AR978" s="5">
        <f t="shared" si="172"/>
        <v>-1.3116887933154686E-2</v>
      </c>
      <c r="AS978" s="5" t="str">
        <f t="shared" si="173"/>
        <v/>
      </c>
      <c r="AT978" s="5" t="str">
        <f t="shared" si="174"/>
        <v/>
      </c>
    </row>
    <row r="979" spans="12:46" x14ac:dyDescent="0.25">
      <c r="L979" s="4">
        <v>44139.5</v>
      </c>
      <c r="M979">
        <v>24.3</v>
      </c>
      <c r="N979">
        <v>25.26</v>
      </c>
      <c r="O979">
        <v>23.83</v>
      </c>
      <c r="P979">
        <v>25.11</v>
      </c>
      <c r="Q979">
        <v>31108</v>
      </c>
      <c r="R979">
        <v>381753</v>
      </c>
      <c r="S979">
        <v>13.725</v>
      </c>
      <c r="T979">
        <v>14.105</v>
      </c>
      <c r="U979">
        <v>13.574999999999999</v>
      </c>
      <c r="V979">
        <v>13.885</v>
      </c>
      <c r="W979">
        <v>355</v>
      </c>
      <c r="X979">
        <v>6.0567556120288156E-2</v>
      </c>
      <c r="Y979">
        <v>1.181803445857605</v>
      </c>
      <c r="Z979">
        <v>0.90202168889203072</v>
      </c>
      <c r="AB979" s="3">
        <f t="shared" si="165"/>
        <v>-5.9528958694338094E-3</v>
      </c>
      <c r="AC979" s="3">
        <f t="shared" si="166"/>
        <v>-6.1455602599482656E-4</v>
      </c>
      <c r="AD979" s="3">
        <f t="shared" si="167"/>
        <v>-6.1455602599482656E-4</v>
      </c>
      <c r="AE979" s="76">
        <f t="shared" si="168"/>
        <v>-318.90476190476329</v>
      </c>
      <c r="AF979" s="76">
        <f t="shared" si="169"/>
        <v>5009.3452380952367</v>
      </c>
      <c r="AG979" s="76">
        <f t="shared" si="170"/>
        <v>5009.3452380952367</v>
      </c>
      <c r="AO979" s="5">
        <f t="shared" si="175"/>
        <v>9.745762711864274E-3</v>
      </c>
      <c r="AP979" s="5">
        <f t="shared" si="171"/>
        <v>0.34034955712602893</v>
      </c>
      <c r="AR979" s="5">
        <f t="shared" si="172"/>
        <v>-1.0975213313525134E-2</v>
      </c>
      <c r="AS979" s="5" t="str">
        <f t="shared" si="173"/>
        <v/>
      </c>
      <c r="AT979" s="5" t="str">
        <f t="shared" si="174"/>
        <v/>
      </c>
    </row>
    <row r="980" spans="12:46" x14ac:dyDescent="0.25">
      <c r="L980" s="4">
        <v>44138.5</v>
      </c>
      <c r="M980">
        <v>23.61</v>
      </c>
      <c r="N980">
        <v>24.67</v>
      </c>
      <c r="O980">
        <v>23.6</v>
      </c>
      <c r="P980">
        <v>24.39</v>
      </c>
      <c r="Q980">
        <v>29129</v>
      </c>
      <c r="R980">
        <v>380789</v>
      </c>
      <c r="S980">
        <v>13.73</v>
      </c>
      <c r="T980">
        <v>13.925000000000001</v>
      </c>
      <c r="U980">
        <v>13.585000000000001</v>
      </c>
      <c r="V980">
        <v>13.664999999999999</v>
      </c>
      <c r="W980">
        <v>127</v>
      </c>
      <c r="X980">
        <v>4.5746045318512195E-2</v>
      </c>
      <c r="Y980">
        <v>0.21124393100086949</v>
      </c>
      <c r="Z980">
        <v>0.64926464117463045</v>
      </c>
      <c r="AB980" s="3">
        <f t="shared" si="165"/>
        <v>-8.0035081288568621E-3</v>
      </c>
      <c r="AC980" s="3">
        <f t="shared" si="166"/>
        <v>-2.6367013425668412E-3</v>
      </c>
      <c r="AD980" s="3">
        <f t="shared" si="167"/>
        <v>-2.6367013425668412E-3</v>
      </c>
      <c r="AE980" s="76">
        <f t="shared" si="168"/>
        <v>-935.19047619047706</v>
      </c>
      <c r="AF980" s="76">
        <f t="shared" si="169"/>
        <v>4456.6386554621859</v>
      </c>
      <c r="AG980" s="76">
        <f t="shared" si="170"/>
        <v>4456.6386554621859</v>
      </c>
      <c r="AO980" s="5">
        <f t="shared" si="175"/>
        <v>3.5541904344010632E-2</v>
      </c>
      <c r="AP980" s="5">
        <f t="shared" si="171"/>
        <v>0.34222990464146141</v>
      </c>
      <c r="AR980" s="5">
        <f t="shared" si="172"/>
        <v>-8.4322679306792492E-3</v>
      </c>
      <c r="AS980" s="5" t="str">
        <f t="shared" si="173"/>
        <v/>
      </c>
      <c r="AT980" s="5" t="str">
        <f t="shared" si="174"/>
        <v/>
      </c>
    </row>
    <row r="981" spans="12:46" x14ac:dyDescent="0.25">
      <c r="L981" s="4">
        <v>44137.5</v>
      </c>
      <c r="M981">
        <v>23.39</v>
      </c>
      <c r="N981">
        <v>23.79</v>
      </c>
      <c r="O981">
        <v>22.79</v>
      </c>
      <c r="P981">
        <v>23.67</v>
      </c>
      <c r="Q981">
        <v>28628</v>
      </c>
      <c r="R981">
        <v>381389</v>
      </c>
      <c r="S981">
        <v>13.515000000000001</v>
      </c>
      <c r="T981">
        <v>13.705</v>
      </c>
      <c r="U981">
        <v>13.515000000000001</v>
      </c>
      <c r="V981">
        <v>13.654999999999999</v>
      </c>
      <c r="W981">
        <v>105</v>
      </c>
      <c r="X981">
        <v>4.2918454935622317E-2</v>
      </c>
      <c r="Y981">
        <v>3.4259898379959824E-2</v>
      </c>
      <c r="Z981">
        <v>0.60287750428550191</v>
      </c>
      <c r="AB981" s="3">
        <f t="shared" si="165"/>
        <v>-9.2911689929168484E-3</v>
      </c>
      <c r="AC981" s="3">
        <f t="shared" si="166"/>
        <v>-2.9478278032333896E-3</v>
      </c>
      <c r="AD981" s="3">
        <f t="shared" si="167"/>
        <v>-2.9478278032333896E-3</v>
      </c>
      <c r="AE981" s="76">
        <f t="shared" si="168"/>
        <v>-1663.3809523809541</v>
      </c>
      <c r="AF981" s="76">
        <f t="shared" si="169"/>
        <v>3898.0438095238096</v>
      </c>
      <c r="AG981" s="76">
        <f t="shared" si="170"/>
        <v>3898.0438095238096</v>
      </c>
      <c r="AO981" s="5">
        <f t="shared" si="175"/>
        <v>-1.6400517911092038E-2</v>
      </c>
      <c r="AP981" s="5">
        <f t="shared" si="171"/>
        <v>0.33765598439137851</v>
      </c>
      <c r="AR981" s="5">
        <f t="shared" si="172"/>
        <v>-5.5756174697788596E-3</v>
      </c>
      <c r="AS981" s="5" t="str">
        <f t="shared" si="173"/>
        <v/>
      </c>
      <c r="AT981" s="5" t="str">
        <f t="shared" si="174"/>
        <v/>
      </c>
    </row>
    <row r="982" spans="12:46" x14ac:dyDescent="0.25">
      <c r="L982" s="4">
        <v>44134.5</v>
      </c>
      <c r="M982">
        <v>23.3</v>
      </c>
      <c r="N982">
        <v>24.23</v>
      </c>
      <c r="O982">
        <v>23.17</v>
      </c>
      <c r="P982">
        <v>23.71</v>
      </c>
      <c r="Q982">
        <v>23226</v>
      </c>
      <c r="R982">
        <v>385380</v>
      </c>
      <c r="S982">
        <v>14.335000000000001</v>
      </c>
      <c r="T982">
        <v>14.385</v>
      </c>
      <c r="U982">
        <v>13.925000000000001</v>
      </c>
      <c r="V982">
        <v>14.06</v>
      </c>
      <c r="W982">
        <v>237</v>
      </c>
      <c r="X982">
        <v>4.6288209606986847E-2</v>
      </c>
      <c r="Y982">
        <v>0.26543285144010914</v>
      </c>
      <c r="Z982">
        <v>-0.1312232977871538</v>
      </c>
      <c r="AB982" s="3">
        <f t="shared" si="165"/>
        <v>-7.9439853511354061E-3</v>
      </c>
      <c r="AC982" s="3">
        <f t="shared" si="166"/>
        <v>-2.086497501644774E-3</v>
      </c>
      <c r="AD982" s="3">
        <f t="shared" si="167"/>
        <v>-2.086497501644774E-3</v>
      </c>
      <c r="AE982" s="76">
        <f t="shared" si="168"/>
        <v>-1263.3333333333321</v>
      </c>
      <c r="AF982" s="76">
        <f t="shared" si="169"/>
        <v>4009.1088435374149</v>
      </c>
      <c r="AG982" s="76">
        <f t="shared" si="170"/>
        <v>4009.1088435374149</v>
      </c>
      <c r="AO982" s="5">
        <f t="shared" si="175"/>
        <v>1.1790393013100574E-2</v>
      </c>
      <c r="AP982" s="5">
        <f t="shared" si="171"/>
        <v>0.33881573693336337</v>
      </c>
      <c r="AR982" s="5">
        <f t="shared" si="172"/>
        <v>-2.0313034553788856E-3</v>
      </c>
      <c r="AS982" s="5" t="str">
        <f t="shared" si="173"/>
        <v/>
      </c>
      <c r="AT982" s="5" t="str">
        <f t="shared" si="174"/>
        <v/>
      </c>
    </row>
    <row r="983" spans="12:46" x14ac:dyDescent="0.25">
      <c r="L983" s="4">
        <v>44133.5</v>
      </c>
      <c r="M983">
        <v>22.9</v>
      </c>
      <c r="N983">
        <v>24.08</v>
      </c>
      <c r="O983">
        <v>22.9</v>
      </c>
      <c r="P983">
        <v>23.67</v>
      </c>
      <c r="Q983">
        <v>29854</v>
      </c>
      <c r="R983">
        <v>384726</v>
      </c>
      <c r="S983">
        <v>14.4</v>
      </c>
      <c r="T983">
        <v>14.4</v>
      </c>
      <c r="U983">
        <v>14.125</v>
      </c>
      <c r="V983">
        <v>14.215</v>
      </c>
      <c r="W983">
        <v>0</v>
      </c>
      <c r="X983">
        <v>4.9579831932773093E-2</v>
      </c>
      <c r="Y983">
        <v>0.48741709283469026</v>
      </c>
      <c r="Z983">
        <v>0.79633679268270496</v>
      </c>
      <c r="AB983" s="3">
        <f t="shared" si="165"/>
        <v>-7.7634215456640204E-3</v>
      </c>
      <c r="AC983" s="3">
        <f t="shared" si="166"/>
        <v>-2.3641020555997677E-3</v>
      </c>
      <c r="AD983" s="3">
        <f t="shared" si="167"/>
        <v>-2.3641020555997677E-3</v>
      </c>
      <c r="AE983" s="76">
        <f t="shared" si="168"/>
        <v>-1423.8095238095229</v>
      </c>
      <c r="AF983" s="76">
        <f t="shared" si="169"/>
        <v>3978.0059523809541</v>
      </c>
      <c r="AG983" s="76">
        <f t="shared" si="170"/>
        <v>3978.0059523809541</v>
      </c>
      <c r="AO983" s="5">
        <f t="shared" si="175"/>
        <v>8.7412587412585548E-4</v>
      </c>
      <c r="AP983" s="5">
        <f t="shared" si="171"/>
        <v>0.34045127455841595</v>
      </c>
      <c r="AR983" s="5">
        <f t="shared" si="172"/>
        <v>1.4761008766092654E-3</v>
      </c>
      <c r="AS983" s="5" t="str">
        <f t="shared" si="173"/>
        <v/>
      </c>
      <c r="AT983" s="5" t="str">
        <f t="shared" si="174"/>
        <v/>
      </c>
    </row>
    <row r="984" spans="12:46" x14ac:dyDescent="0.25">
      <c r="L984" s="4">
        <v>44132.5</v>
      </c>
      <c r="M984">
        <v>23.8</v>
      </c>
      <c r="N984">
        <v>23.8</v>
      </c>
      <c r="O984">
        <v>22.88</v>
      </c>
      <c r="P984">
        <v>23.03</v>
      </c>
      <c r="Q984">
        <v>35922</v>
      </c>
      <c r="R984">
        <v>384226</v>
      </c>
      <c r="S984">
        <v>14.525</v>
      </c>
      <c r="T984">
        <v>14.65</v>
      </c>
      <c r="U984">
        <v>14.4</v>
      </c>
      <c r="V984">
        <v>14.484999999999999</v>
      </c>
      <c r="W984">
        <v>642</v>
      </c>
      <c r="X984">
        <v>3.847762442492688E-2</v>
      </c>
      <c r="Y984">
        <v>-0.25494946264606433</v>
      </c>
      <c r="Z984">
        <v>1.6655560510806884</v>
      </c>
      <c r="AB984" s="3">
        <f t="shared" si="165"/>
        <v>-9.3705554389161769E-3</v>
      </c>
      <c r="AC984" s="3">
        <f t="shared" si="166"/>
        <v>-3.6171092583189013E-3</v>
      </c>
      <c r="AD984" s="3">
        <f t="shared" si="167"/>
        <v>-3.6171092583189013E-3</v>
      </c>
      <c r="AE984" s="76">
        <f t="shared" si="168"/>
        <v>-1701.4285714285725</v>
      </c>
      <c r="AF984" s="76">
        <f t="shared" si="169"/>
        <v>3775.8389057750755</v>
      </c>
      <c r="AG984" s="76">
        <f t="shared" si="170"/>
        <v>3775.8389057750755</v>
      </c>
      <c r="AO984" s="5">
        <f t="shared" si="175"/>
        <v>-2.2639897479709573E-2</v>
      </c>
      <c r="AP984" s="5">
        <f t="shared" si="171"/>
        <v>0.3430017952707945</v>
      </c>
      <c r="AR984" s="5">
        <f t="shared" si="172"/>
        <v>4.9503049795873721E-3</v>
      </c>
      <c r="AS984" s="5" t="str">
        <f t="shared" si="173"/>
        <v/>
      </c>
      <c r="AT984" s="5" t="str">
        <f t="shared" si="174"/>
        <v/>
      </c>
    </row>
    <row r="985" spans="12:46" x14ac:dyDescent="0.25">
      <c r="L985" s="4">
        <v>44131.5</v>
      </c>
      <c r="M985">
        <v>23.91</v>
      </c>
      <c r="N985">
        <v>24.3</v>
      </c>
      <c r="O985">
        <v>23.41</v>
      </c>
      <c r="P985">
        <v>24.07</v>
      </c>
      <c r="Q985">
        <v>25527</v>
      </c>
      <c r="R985">
        <v>383100</v>
      </c>
      <c r="S985">
        <v>14.7</v>
      </c>
      <c r="T985">
        <v>14.85</v>
      </c>
      <c r="U985">
        <v>14.375</v>
      </c>
      <c r="V985">
        <v>14.744999999999999</v>
      </c>
      <c r="W985">
        <v>260</v>
      </c>
      <c r="X985">
        <v>3.5275465715418175E-2</v>
      </c>
      <c r="Y985">
        <v>-0.47027378073444143</v>
      </c>
      <c r="Z985">
        <v>0.24629406898238401</v>
      </c>
      <c r="AB985" s="3">
        <f t="shared" si="165"/>
        <v>-1.0563639365448248E-2</v>
      </c>
      <c r="AC985" s="3">
        <f t="shared" si="166"/>
        <v>-3.662372687181413E-3</v>
      </c>
      <c r="AD985" s="3">
        <f t="shared" si="167"/>
        <v>-3.662372687181413E-3</v>
      </c>
      <c r="AE985" s="76">
        <f t="shared" si="168"/>
        <v>-2141.0476190476184</v>
      </c>
      <c r="AF985" s="76">
        <f t="shared" si="169"/>
        <v>3026.0155279503124</v>
      </c>
      <c r="AG985" s="76">
        <f t="shared" si="170"/>
        <v>3026.0155279503124</v>
      </c>
      <c r="AO985" s="5">
        <f t="shared" si="175"/>
        <v>-1.3069139966273133E-2</v>
      </c>
      <c r="AP985" s="5">
        <f t="shared" si="171"/>
        <v>0.34295001120093166</v>
      </c>
      <c r="AR985" s="5">
        <f t="shared" si="172"/>
        <v>8.9142916380914872E-3</v>
      </c>
      <c r="AS985" s="5" t="str">
        <f t="shared" si="173"/>
        <v/>
      </c>
      <c r="AT985" s="5" t="str">
        <f t="shared" si="174"/>
        <v/>
      </c>
    </row>
    <row r="986" spans="12:46" x14ac:dyDescent="0.25">
      <c r="L986" s="4">
        <v>44130.5</v>
      </c>
      <c r="M986">
        <v>25.23</v>
      </c>
      <c r="N986">
        <v>25.23</v>
      </c>
      <c r="O986">
        <v>23.72</v>
      </c>
      <c r="P986">
        <v>23.85</v>
      </c>
      <c r="Q986">
        <v>23910</v>
      </c>
      <c r="R986">
        <v>382179</v>
      </c>
      <c r="S986">
        <v>15.15</v>
      </c>
      <c r="T986">
        <v>15.39</v>
      </c>
      <c r="U986">
        <v>14.865</v>
      </c>
      <c r="V986">
        <v>14.865</v>
      </c>
      <c r="W986">
        <v>140</v>
      </c>
      <c r="X986">
        <v>6.2864279766861014E-2</v>
      </c>
      <c r="Y986">
        <v>1.3870808488678537</v>
      </c>
      <c r="Z986">
        <v>1.3381261000784314E-2</v>
      </c>
      <c r="AB986" s="3">
        <f t="shared" si="165"/>
        <v>-8.1126050744357234E-3</v>
      </c>
      <c r="AC986" s="3">
        <f t="shared" si="166"/>
        <v>-1.4626238925762244E-3</v>
      </c>
      <c r="AD986" s="3">
        <f t="shared" si="167"/>
        <v>-1.4626238925762244E-3</v>
      </c>
      <c r="AE986" s="76">
        <f t="shared" si="168"/>
        <v>-2079.5238095238092</v>
      </c>
      <c r="AF986" s="76">
        <f t="shared" si="169"/>
        <v>3168.4888888888891</v>
      </c>
      <c r="AG986" s="76">
        <f t="shared" si="170"/>
        <v>3168.4888888888891</v>
      </c>
      <c r="AO986" s="5">
        <f t="shared" si="175"/>
        <v>-1.1666666666666714E-2</v>
      </c>
      <c r="AP986" s="5">
        <f t="shared" si="171"/>
        <v>0.34472671374653796</v>
      </c>
      <c r="AR986" s="5">
        <f t="shared" si="172"/>
        <v>1.2535669984737374E-2</v>
      </c>
      <c r="AS986" s="5" t="str">
        <f t="shared" si="173"/>
        <v/>
      </c>
      <c r="AT986" s="5" t="str">
        <f t="shared" si="174"/>
        <v/>
      </c>
    </row>
    <row r="987" spans="12:46" x14ac:dyDescent="0.25">
      <c r="L987" s="4">
        <v>44127.5</v>
      </c>
      <c r="M987">
        <v>24.02</v>
      </c>
      <c r="N987">
        <v>25.72</v>
      </c>
      <c r="O987">
        <v>24</v>
      </c>
      <c r="P987">
        <v>25.49</v>
      </c>
      <c r="Q987">
        <v>31137</v>
      </c>
      <c r="R987">
        <v>381556</v>
      </c>
      <c r="S987">
        <v>15.244999999999999</v>
      </c>
      <c r="T987">
        <v>15.65</v>
      </c>
      <c r="U987">
        <v>15.244999999999999</v>
      </c>
      <c r="V987">
        <v>15.41</v>
      </c>
      <c r="W987">
        <v>205</v>
      </c>
      <c r="X987">
        <v>7.3285044737963309E-2</v>
      </c>
      <c r="Y987">
        <v>2.1264867224498945</v>
      </c>
      <c r="Z987">
        <v>1.0379633156318884</v>
      </c>
      <c r="AB987" s="3">
        <f t="shared" si="165"/>
        <v>-9.4098351016494303E-3</v>
      </c>
      <c r="AC987" s="3">
        <f t="shared" si="166"/>
        <v>-2.9263961587175646E-3</v>
      </c>
      <c r="AD987" s="3">
        <f t="shared" si="167"/>
        <v>-2.9263961587175646E-3</v>
      </c>
      <c r="AE987" s="76">
        <f t="shared" si="168"/>
        <v>-2491.8095238095229</v>
      </c>
      <c r="AF987" s="76">
        <f t="shared" si="169"/>
        <v>2852.069264069265</v>
      </c>
      <c r="AG987" s="76">
        <f t="shared" si="170"/>
        <v>2852.069264069265</v>
      </c>
      <c r="AO987" s="5">
        <f t="shared" si="175"/>
        <v>3.9411000433087921E-2</v>
      </c>
      <c r="AP987" s="5">
        <f t="shared" si="171"/>
        <v>0.34671769341780106</v>
      </c>
      <c r="AR987" s="5">
        <f t="shared" si="172"/>
        <v>1.6190989436621339E-2</v>
      </c>
      <c r="AS987" s="5" t="str">
        <f t="shared" si="173"/>
        <v/>
      </c>
      <c r="AT987" s="5" t="str">
        <f t="shared" si="174"/>
        <v/>
      </c>
    </row>
    <row r="988" spans="12:46" x14ac:dyDescent="0.25">
      <c r="L988" s="4">
        <v>44126.5</v>
      </c>
      <c r="M988">
        <v>23.47</v>
      </c>
      <c r="N988">
        <v>24.26</v>
      </c>
      <c r="O988">
        <v>23.09</v>
      </c>
      <c r="P988">
        <v>24.18</v>
      </c>
      <c r="Q988">
        <v>28138</v>
      </c>
      <c r="R988">
        <v>379590</v>
      </c>
      <c r="S988">
        <v>14.824999999999999</v>
      </c>
      <c r="T988">
        <v>15.34</v>
      </c>
      <c r="U988">
        <v>14.8</v>
      </c>
      <c r="V988">
        <v>15.255000000000001</v>
      </c>
      <c r="W988">
        <v>371</v>
      </c>
      <c r="X988">
        <v>4.8108552631579017E-2</v>
      </c>
      <c r="Y988">
        <v>0.46597740470672322</v>
      </c>
      <c r="Z988">
        <v>0.62952172674726181</v>
      </c>
      <c r="AB988" s="3">
        <f t="shared" si="165"/>
        <v>-1.1184325524586126E-2</v>
      </c>
      <c r="AC988" s="3">
        <f t="shared" si="166"/>
        <v>-4.9894735234802673E-3</v>
      </c>
      <c r="AD988" s="3">
        <f t="shared" si="167"/>
        <v>-4.9894735234802673E-3</v>
      </c>
      <c r="AE988" s="76">
        <f t="shared" si="168"/>
        <v>-2291.1904761904734</v>
      </c>
      <c r="AF988" s="76">
        <f t="shared" si="169"/>
        <v>2754.8228128460687</v>
      </c>
      <c r="AG988" s="76">
        <f t="shared" si="170"/>
        <v>2754.8228128460687</v>
      </c>
      <c r="AO988" s="5">
        <f t="shared" si="175"/>
        <v>-1.1134903640257026E-2</v>
      </c>
      <c r="AP988" s="5">
        <f t="shared" si="171"/>
        <v>0.34006416111752397</v>
      </c>
      <c r="AR988" s="5">
        <f t="shared" si="172"/>
        <v>1.9995686199803353E-2</v>
      </c>
      <c r="AS988" s="5" t="str">
        <f t="shared" si="173"/>
        <v/>
      </c>
      <c r="AT988" s="5" t="str">
        <f t="shared" si="174"/>
        <v/>
      </c>
    </row>
    <row r="989" spans="12:46" x14ac:dyDescent="0.25">
      <c r="L989" s="4">
        <v>44125.5</v>
      </c>
      <c r="M989">
        <v>24.32</v>
      </c>
      <c r="N989">
        <v>24.44</v>
      </c>
      <c r="O989">
        <v>23.35</v>
      </c>
      <c r="P989">
        <v>23.56</v>
      </c>
      <c r="Q989">
        <v>39376</v>
      </c>
      <c r="R989">
        <v>384270</v>
      </c>
      <c r="S989">
        <v>14.81</v>
      </c>
      <c r="T989">
        <v>14.95</v>
      </c>
      <c r="U989">
        <v>14.81</v>
      </c>
      <c r="V989">
        <v>14.865</v>
      </c>
      <c r="W989">
        <v>739</v>
      </c>
      <c r="X989">
        <v>4.4040404040404033E-2</v>
      </c>
      <c r="Y989">
        <v>0.18794989332550593</v>
      </c>
      <c r="Z989">
        <v>2.2230919074266007</v>
      </c>
      <c r="AB989" s="3">
        <f t="shared" si="165"/>
        <v>-9.1887251913741266E-3</v>
      </c>
      <c r="AC989" s="3">
        <f t="shared" si="166"/>
        <v>-3.1648677531656844E-3</v>
      </c>
      <c r="AD989" s="3">
        <f t="shared" si="167"/>
        <v>-3.1648677531656844E-3</v>
      </c>
      <c r="AE989" s="76">
        <f t="shared" si="168"/>
        <v>-1351.7142857142862</v>
      </c>
      <c r="AF989" s="76">
        <f t="shared" si="169"/>
        <v>3397.3571428571449</v>
      </c>
      <c r="AG989" s="76">
        <f t="shared" si="170"/>
        <v>3397.3571428571449</v>
      </c>
      <c r="AO989" s="5">
        <f t="shared" si="175"/>
        <v>-3.5123966942148671E-2</v>
      </c>
      <c r="AP989" s="5">
        <f t="shared" si="171"/>
        <v>0.34220101716933593</v>
      </c>
      <c r="AR989" s="5">
        <f t="shared" si="172"/>
        <v>2.4555423328827597E-2</v>
      </c>
      <c r="AS989" s="5" t="str">
        <f t="shared" si="173"/>
        <v/>
      </c>
      <c r="AT989" s="5" t="str">
        <f t="shared" si="174"/>
        <v/>
      </c>
    </row>
    <row r="990" spans="12:46" x14ac:dyDescent="0.25">
      <c r="L990" s="4">
        <v>44124.5</v>
      </c>
      <c r="M990">
        <v>24.75</v>
      </c>
      <c r="N990">
        <v>24.86</v>
      </c>
      <c r="O990">
        <v>24.2</v>
      </c>
      <c r="P990">
        <v>24.41</v>
      </c>
      <c r="Q990">
        <v>28525</v>
      </c>
      <c r="R990">
        <v>382405</v>
      </c>
      <c r="S990">
        <v>14.56</v>
      </c>
      <c r="T990">
        <v>14.98</v>
      </c>
      <c r="U990">
        <v>14.56</v>
      </c>
      <c r="V990">
        <v>14.895</v>
      </c>
      <c r="W990">
        <v>1820</v>
      </c>
      <c r="X990">
        <v>2.6602176541717058E-2</v>
      </c>
      <c r="Y990">
        <v>-1.0120166998567819</v>
      </c>
      <c r="Z990">
        <v>0.75216880424663735</v>
      </c>
      <c r="AB990" s="3">
        <f t="shared" si="165"/>
        <v>-6.6562742868301952E-3</v>
      </c>
      <c r="AC990" s="3">
        <f t="shared" si="166"/>
        <v>-1.4629592360535654E-4</v>
      </c>
      <c r="AD990" s="3">
        <f t="shared" si="167"/>
        <v>-1.4629592360535654E-4</v>
      </c>
      <c r="AE990" s="76">
        <f t="shared" si="168"/>
        <v>-359.47619047619082</v>
      </c>
      <c r="AF990" s="76">
        <f t="shared" si="169"/>
        <v>3844.6701509872255</v>
      </c>
      <c r="AG990" s="76">
        <f t="shared" si="170"/>
        <v>3844.6701509872255</v>
      </c>
      <c r="AO990" s="5">
        <f t="shared" si="175"/>
        <v>-1.5059015059015099E-2</v>
      </c>
      <c r="AP990" s="5">
        <f t="shared" si="171"/>
        <v>0.33765549856070698</v>
      </c>
      <c r="AR990" s="5">
        <f t="shared" si="172"/>
        <v>3.2215864587783749E-2</v>
      </c>
      <c r="AS990" s="5" t="str">
        <f t="shared" si="173"/>
        <v/>
      </c>
      <c r="AT990" s="5" t="str">
        <f t="shared" si="174"/>
        <v/>
      </c>
    </row>
    <row r="991" spans="12:46" x14ac:dyDescent="0.25">
      <c r="L991" s="4">
        <v>44123.5</v>
      </c>
      <c r="M991">
        <v>24.81</v>
      </c>
      <c r="N991">
        <v>25.2</v>
      </c>
      <c r="O991">
        <v>24.57</v>
      </c>
      <c r="P991">
        <v>24.98</v>
      </c>
      <c r="Q991">
        <v>22965</v>
      </c>
      <c r="R991">
        <v>383892</v>
      </c>
      <c r="S991">
        <v>14.65</v>
      </c>
      <c r="T991">
        <v>14.75</v>
      </c>
      <c r="U991">
        <v>14.65</v>
      </c>
      <c r="V991">
        <v>14.72</v>
      </c>
      <c r="W991">
        <v>70</v>
      </c>
      <c r="X991">
        <v>2.5189924030387802E-2</v>
      </c>
      <c r="Y991">
        <v>-1.1265847391220645</v>
      </c>
      <c r="Z991">
        <v>-4.7553088213711722E-2</v>
      </c>
      <c r="AB991" s="3">
        <f t="shared" si="165"/>
        <v>-3.2285914589703715E-3</v>
      </c>
      <c r="AC991" s="3">
        <f t="shared" si="166"/>
        <v>2.0621966829103902E-3</v>
      </c>
      <c r="AD991" s="3">
        <f t="shared" si="167"/>
        <v>2.0621966829103902E-3</v>
      </c>
      <c r="AE991" s="76">
        <f t="shared" si="168"/>
        <v>1638.1428571428587</v>
      </c>
      <c r="AF991" s="76">
        <f t="shared" si="169"/>
        <v>4925.3785714285732</v>
      </c>
      <c r="AG991" s="76">
        <f t="shared" si="170"/>
        <v>4925.3785714285732</v>
      </c>
      <c r="AO991" s="5">
        <f t="shared" si="175"/>
        <v>-7.6736672051696793E-3</v>
      </c>
      <c r="AP991" s="5">
        <f t="shared" si="171"/>
        <v>0.33909291570893085</v>
      </c>
      <c r="AR991" s="5">
        <f t="shared" si="172"/>
        <v>4.0463047133855956E-2</v>
      </c>
      <c r="AS991" s="5" t="str">
        <f t="shared" si="173"/>
        <v/>
      </c>
      <c r="AT991" s="5" t="str">
        <f t="shared" si="174"/>
        <v/>
      </c>
    </row>
    <row r="992" spans="12:46" x14ac:dyDescent="0.25">
      <c r="L992" s="4">
        <v>44120.5</v>
      </c>
      <c r="M992">
        <v>25.01</v>
      </c>
      <c r="N992">
        <v>25.57</v>
      </c>
      <c r="O992">
        <v>24.76</v>
      </c>
      <c r="P992">
        <v>24.89</v>
      </c>
      <c r="Q992">
        <v>21932</v>
      </c>
      <c r="R992">
        <v>384571</v>
      </c>
      <c r="S992">
        <v>14.525</v>
      </c>
      <c r="T992">
        <v>14.65</v>
      </c>
      <c r="U992">
        <v>14.425000000000001</v>
      </c>
      <c r="V992">
        <v>14.5</v>
      </c>
      <c r="W992">
        <v>65</v>
      </c>
      <c r="X992">
        <v>3.1419705197827726E-2</v>
      </c>
      <c r="Y992">
        <v>-0.71808584660201247</v>
      </c>
      <c r="Z992">
        <v>-0.19705847185575492</v>
      </c>
      <c r="AB992" s="3">
        <f t="shared" si="165"/>
        <v>-2.1271787328328573E-3</v>
      </c>
      <c r="AC992" s="3">
        <f t="shared" si="166"/>
        <v>2.439800331231777E-3</v>
      </c>
      <c r="AD992" s="3">
        <f t="shared" si="167"/>
        <v>2.439800331231777E-3</v>
      </c>
      <c r="AE992" s="76">
        <f t="shared" si="168"/>
        <v>1953.0952380952367</v>
      </c>
      <c r="AF992" s="76">
        <f t="shared" si="169"/>
        <v>4920.1868131868141</v>
      </c>
      <c r="AG992" s="76">
        <f t="shared" si="170"/>
        <v>4920.1868131868141</v>
      </c>
      <c r="AO992" s="5">
        <f t="shared" si="175"/>
        <v>6.095083299471846E-3</v>
      </c>
      <c r="AP992" s="5">
        <f t="shared" si="171"/>
        <v>0.34161761802685908</v>
      </c>
      <c r="AR992" s="5">
        <f t="shared" si="172"/>
        <v>4.5612926881168636E-2</v>
      </c>
      <c r="AS992" s="5" t="str">
        <f t="shared" si="173"/>
        <v/>
      </c>
      <c r="AT992" s="5" t="str">
        <f t="shared" si="174"/>
        <v/>
      </c>
    </row>
    <row r="993" spans="12:46" x14ac:dyDescent="0.25">
      <c r="L993" s="4">
        <v>44119.5</v>
      </c>
      <c r="M993">
        <v>25.78</v>
      </c>
      <c r="N993">
        <v>25.78</v>
      </c>
      <c r="O993">
        <v>24.61</v>
      </c>
      <c r="P993">
        <v>24.96</v>
      </c>
      <c r="Q993">
        <v>33610</v>
      </c>
      <c r="R993">
        <v>385672</v>
      </c>
      <c r="S993">
        <v>14.175000000000001</v>
      </c>
      <c r="T993">
        <v>14.24</v>
      </c>
      <c r="U993">
        <v>13.9</v>
      </c>
      <c r="V993">
        <v>14.24</v>
      </c>
      <c r="W993">
        <v>555</v>
      </c>
      <c r="X993">
        <v>4.6447002778880572E-2</v>
      </c>
      <c r="Y993">
        <v>0.30663775931061588</v>
      </c>
      <c r="Z993">
        <v>1.473205623227082</v>
      </c>
      <c r="AB993" s="3">
        <f t="shared" si="165"/>
        <v>-2.812245506845848E-4</v>
      </c>
      <c r="AC993" s="3">
        <f t="shared" si="166"/>
        <v>3.5806571174758633E-3</v>
      </c>
      <c r="AD993" s="3">
        <f t="shared" si="167"/>
        <v>3.5806571174758633E-3</v>
      </c>
      <c r="AE993" s="76">
        <f t="shared" si="168"/>
        <v>2899.1428571428551</v>
      </c>
      <c r="AF993" s="76">
        <f t="shared" si="169"/>
        <v>5426.2005012531299</v>
      </c>
      <c r="AG993" s="76">
        <f t="shared" si="170"/>
        <v>5426.2005012531299</v>
      </c>
      <c r="AO993" s="5">
        <f t="shared" si="175"/>
        <v>-1.8740031897926591E-2</v>
      </c>
      <c r="AP993" s="5">
        <f t="shared" si="171"/>
        <v>0.34437327300989079</v>
      </c>
      <c r="AR993" s="5">
        <f t="shared" si="172"/>
        <v>5.0693523161574383E-2</v>
      </c>
      <c r="AS993" s="5" t="str">
        <f t="shared" si="173"/>
        <v/>
      </c>
      <c r="AT993" s="5" t="str">
        <f t="shared" si="174"/>
        <v/>
      </c>
    </row>
    <row r="994" spans="12:46" x14ac:dyDescent="0.25">
      <c r="L994" s="4">
        <v>44118.5</v>
      </c>
      <c r="M994">
        <v>25.19</v>
      </c>
      <c r="N994">
        <v>25.85</v>
      </c>
      <c r="O994">
        <v>25.08</v>
      </c>
      <c r="P994">
        <v>25.75</v>
      </c>
      <c r="Q994">
        <v>23850</v>
      </c>
      <c r="R994">
        <v>386280</v>
      </c>
      <c r="S994">
        <v>13.74</v>
      </c>
      <c r="T994">
        <v>13.945</v>
      </c>
      <c r="U994">
        <v>13.74</v>
      </c>
      <c r="V994">
        <v>13.87</v>
      </c>
      <c r="W994">
        <v>65</v>
      </c>
      <c r="X994">
        <v>2.9856533540131958E-2</v>
      </c>
      <c r="Y994">
        <v>-0.82300764677067695</v>
      </c>
      <c r="Z994">
        <v>0.10233494314518662</v>
      </c>
      <c r="AB994" s="3">
        <f t="shared" si="165"/>
        <v>-3.4748739019501568E-4</v>
      </c>
      <c r="AC994" s="3">
        <f t="shared" si="166"/>
        <v>3.1526187134993805E-3</v>
      </c>
      <c r="AD994" s="3">
        <f t="shared" si="167"/>
        <v>3.1526187134993805E-3</v>
      </c>
      <c r="AE994" s="76">
        <f t="shared" si="168"/>
        <v>3514.1904761904771</v>
      </c>
      <c r="AF994" s="76">
        <f t="shared" si="169"/>
        <v>5636.2458172458173</v>
      </c>
      <c r="AG994" s="76">
        <f t="shared" si="170"/>
        <v>5636.2458172458173</v>
      </c>
      <c r="AO994" s="5">
        <f t="shared" si="175"/>
        <v>-7.9681274900410856E-4</v>
      </c>
      <c r="AP994" s="5">
        <f t="shared" si="171"/>
        <v>0.34509162266595017</v>
      </c>
      <c r="AR994" s="5">
        <f t="shared" si="172"/>
        <v>5.4954492144884182E-2</v>
      </c>
      <c r="AS994" s="5" t="str">
        <f t="shared" si="173"/>
        <v/>
      </c>
      <c r="AT994" s="5" t="str">
        <f t="shared" si="174"/>
        <v/>
      </c>
    </row>
    <row r="995" spans="12:46" x14ac:dyDescent="0.25">
      <c r="L995" s="4">
        <v>44117.5</v>
      </c>
      <c r="M995">
        <v>25.79</v>
      </c>
      <c r="N995">
        <v>25.85</v>
      </c>
      <c r="O995">
        <v>25.1</v>
      </c>
      <c r="P995">
        <v>25.22</v>
      </c>
      <c r="Q995">
        <v>23138</v>
      </c>
      <c r="R995">
        <v>385205</v>
      </c>
      <c r="S995">
        <v>13.69</v>
      </c>
      <c r="T995">
        <v>13.7</v>
      </c>
      <c r="U995">
        <v>13.49</v>
      </c>
      <c r="V995">
        <v>13.595000000000001</v>
      </c>
      <c r="W995">
        <v>345</v>
      </c>
      <c r="X995">
        <v>2.9411764705882353E-2</v>
      </c>
      <c r="Y995">
        <v>-0.86562553838766487</v>
      </c>
      <c r="Z995">
        <v>1.084697976509166E-3</v>
      </c>
      <c r="AB995" s="3">
        <f t="shared" si="165"/>
        <v>1.9830774712126242E-5</v>
      </c>
      <c r="AC995" s="3">
        <f t="shared" si="166"/>
        <v>3.9736670055956838E-3</v>
      </c>
      <c r="AD995" s="3">
        <f t="shared" si="167"/>
        <v>3.9736670055956838E-3</v>
      </c>
      <c r="AE995" s="76">
        <f t="shared" si="168"/>
        <v>5104.047619047622</v>
      </c>
      <c r="AF995" s="76">
        <f t="shared" si="169"/>
        <v>6890.1984126984134</v>
      </c>
      <c r="AG995" s="76">
        <f t="shared" si="170"/>
        <v>6890.1984126984134</v>
      </c>
      <c r="AO995" s="5">
        <f t="shared" si="175"/>
        <v>-3.9682539682538839E-3</v>
      </c>
      <c r="AP995" s="5">
        <f t="shared" si="171"/>
        <v>0.34820487238595282</v>
      </c>
      <c r="AR995" s="5">
        <f t="shared" si="172"/>
        <v>6.1081883514141566E-2</v>
      </c>
      <c r="AS995" s="5" t="str">
        <f t="shared" si="173"/>
        <v/>
      </c>
      <c r="AT995" s="5" t="str">
        <f t="shared" si="174"/>
        <v/>
      </c>
    </row>
    <row r="996" spans="12:46" x14ac:dyDescent="0.25">
      <c r="L996" s="4">
        <v>44116.5</v>
      </c>
      <c r="M996">
        <v>25.5</v>
      </c>
      <c r="N996">
        <v>25.93</v>
      </c>
      <c r="O996">
        <v>25.2</v>
      </c>
      <c r="P996">
        <v>25.87</v>
      </c>
      <c r="Q996">
        <v>20898</v>
      </c>
      <c r="R996">
        <v>385246</v>
      </c>
      <c r="S996">
        <v>13.61</v>
      </c>
      <c r="T996">
        <v>13.84</v>
      </c>
      <c r="U996">
        <v>13.61</v>
      </c>
      <c r="V996">
        <v>13.84</v>
      </c>
      <c r="W996">
        <v>15</v>
      </c>
      <c r="X996">
        <v>2.7809523809523826E-2</v>
      </c>
      <c r="Y996">
        <v>-0.98826549855549317</v>
      </c>
      <c r="Z996">
        <v>-0.317356213283573</v>
      </c>
      <c r="AB996" s="3">
        <f t="shared" si="165"/>
        <v>4.8264215824646226E-3</v>
      </c>
      <c r="AC996" s="3">
        <f t="shared" si="166"/>
        <v>7.3284027240480346E-3</v>
      </c>
      <c r="AD996" s="3">
        <f t="shared" si="167"/>
        <v>7.3284027240480346E-3</v>
      </c>
      <c r="AE996" s="76">
        <f t="shared" si="168"/>
        <v>6982.8571428571413</v>
      </c>
      <c r="AF996" s="76">
        <f t="shared" si="169"/>
        <v>8141.3047619047611</v>
      </c>
      <c r="AG996" s="76">
        <f t="shared" si="170"/>
        <v>8141.3047619047611</v>
      </c>
      <c r="AO996" s="5">
        <f t="shared" si="175"/>
        <v>-1.2152097216777822E-2</v>
      </c>
      <c r="AP996" s="5">
        <f t="shared" si="171"/>
        <v>0.35128307184373242</v>
      </c>
      <c r="AR996" s="5">
        <f t="shared" si="172"/>
        <v>6.5797293994522499E-2</v>
      </c>
      <c r="AS996" s="5" t="str">
        <f t="shared" si="173"/>
        <v/>
      </c>
      <c r="AT996" s="5" t="str">
        <f t="shared" si="174"/>
        <v/>
      </c>
    </row>
    <row r="997" spans="12:46" x14ac:dyDescent="0.25">
      <c r="L997" s="4">
        <v>44113.5</v>
      </c>
      <c r="M997">
        <v>26.25</v>
      </c>
      <c r="N997">
        <v>26.58</v>
      </c>
      <c r="O997">
        <v>25.51</v>
      </c>
      <c r="P997">
        <v>25.71</v>
      </c>
      <c r="Q997">
        <v>25416</v>
      </c>
      <c r="R997">
        <v>386023</v>
      </c>
      <c r="S997">
        <v>13.73</v>
      </c>
      <c r="T997">
        <v>13.87</v>
      </c>
      <c r="U997">
        <v>13.705</v>
      </c>
      <c r="V997">
        <v>13.755000000000001</v>
      </c>
      <c r="W997">
        <v>55</v>
      </c>
      <c r="X997">
        <v>3.9629629629629508E-2</v>
      </c>
      <c r="Y997">
        <v>-0.20369498408170489</v>
      </c>
      <c r="Z997">
        <v>0.31655704160836162</v>
      </c>
      <c r="AB997" s="3">
        <f t="shared" si="165"/>
        <v>5.3701367289316418E-3</v>
      </c>
      <c r="AC997" s="3">
        <f t="shared" si="166"/>
        <v>7.8471503299329531E-3</v>
      </c>
      <c r="AD997" s="3">
        <f t="shared" si="167"/>
        <v>7.8471503299329531E-3</v>
      </c>
      <c r="AE997" s="76">
        <f t="shared" si="168"/>
        <v>6634.2380952380954</v>
      </c>
      <c r="AF997" s="76">
        <f t="shared" si="169"/>
        <v>7936.8921568627447</v>
      </c>
      <c r="AG997" s="76">
        <f t="shared" si="170"/>
        <v>7936.8921568627447</v>
      </c>
      <c r="AO997" s="5">
        <f t="shared" si="175"/>
        <v>-2.6335877862595333E-2</v>
      </c>
      <c r="AP997" s="5">
        <f t="shared" si="171"/>
        <v>0.35348406216248829</v>
      </c>
      <c r="AR997" s="5">
        <f t="shared" si="172"/>
        <v>7.0078183916122194E-2</v>
      </c>
      <c r="AS997" s="5" t="str">
        <f t="shared" si="173"/>
        <v/>
      </c>
      <c r="AT997" s="5" t="str">
        <f t="shared" si="174"/>
        <v/>
      </c>
    </row>
    <row r="998" spans="12:46" x14ac:dyDescent="0.25">
      <c r="L998" s="4">
        <v>44112.5</v>
      </c>
      <c r="M998">
        <v>27</v>
      </c>
      <c r="N998">
        <v>27.01</v>
      </c>
      <c r="O998">
        <v>26.2</v>
      </c>
      <c r="P998">
        <v>26.34</v>
      </c>
      <c r="Q998">
        <v>30062</v>
      </c>
      <c r="R998">
        <v>387337</v>
      </c>
      <c r="S998">
        <v>13.75</v>
      </c>
      <c r="T998">
        <v>14.05</v>
      </c>
      <c r="U998">
        <v>13.75</v>
      </c>
      <c r="V998">
        <v>13.9</v>
      </c>
      <c r="W998">
        <v>50</v>
      </c>
      <c r="X998">
        <v>3.033707865168548E-2</v>
      </c>
      <c r="Y998">
        <v>-0.83107029056089066</v>
      </c>
      <c r="Z998">
        <v>0.96932157048594814</v>
      </c>
      <c r="AB998" s="3">
        <f t="shared" si="165"/>
        <v>7.0803580177194528E-3</v>
      </c>
      <c r="AC998" s="3">
        <f t="shared" si="166"/>
        <v>8.4211548960399854E-3</v>
      </c>
      <c r="AD998" s="3">
        <f t="shared" si="167"/>
        <v>8.4211548960399854E-3</v>
      </c>
      <c r="AE998" s="76">
        <f t="shared" si="168"/>
        <v>7414.1428571428587</v>
      </c>
      <c r="AF998" s="76">
        <f t="shared" si="169"/>
        <v>8374.3939393939399</v>
      </c>
      <c r="AG998" s="76">
        <f t="shared" si="170"/>
        <v>8374.3939393939399</v>
      </c>
      <c r="AO998" s="5">
        <f t="shared" si="175"/>
        <v>-1.1693700490381074E-2</v>
      </c>
      <c r="AP998" s="5">
        <f t="shared" si="171"/>
        <v>0.35175477015647771</v>
      </c>
      <c r="AR998" s="5">
        <f t="shared" si="172"/>
        <v>7.4735861256197189E-2</v>
      </c>
      <c r="AS998" s="5" t="str">
        <f t="shared" si="173"/>
        <v/>
      </c>
      <c r="AT998" s="5" t="str">
        <f t="shared" si="174"/>
        <v/>
      </c>
    </row>
    <row r="999" spans="12:46" x14ac:dyDescent="0.25">
      <c r="L999" s="4">
        <v>44111.5</v>
      </c>
      <c r="M999">
        <v>26.7</v>
      </c>
      <c r="N999">
        <v>27.89</v>
      </c>
      <c r="O999">
        <v>26.51</v>
      </c>
      <c r="P999">
        <v>26.9</v>
      </c>
      <c r="Q999">
        <v>29278</v>
      </c>
      <c r="R999">
        <v>390731</v>
      </c>
      <c r="S999">
        <v>13.425000000000001</v>
      </c>
      <c r="T999">
        <v>13.71</v>
      </c>
      <c r="U999">
        <v>13.425000000000001</v>
      </c>
      <c r="V999">
        <v>13.71</v>
      </c>
      <c r="W999">
        <v>30</v>
      </c>
      <c r="X999">
        <v>5.12059369202226E-2</v>
      </c>
      <c r="Y999">
        <v>0.55587479346420909</v>
      </c>
      <c r="Z999">
        <v>0.87763235085034441</v>
      </c>
      <c r="AB999" s="3">
        <f t="shared" si="165"/>
        <v>7.8937342713627026E-3</v>
      </c>
      <c r="AC999" s="3">
        <f t="shared" si="166"/>
        <v>9.210605414520727E-3</v>
      </c>
      <c r="AD999" s="3">
        <f t="shared" si="167"/>
        <v>9.210605414520727E-3</v>
      </c>
      <c r="AE999" s="76">
        <f t="shared" si="168"/>
        <v>8156.0952380952367</v>
      </c>
      <c r="AF999" s="76">
        <f t="shared" si="169"/>
        <v>8708.9806547619046</v>
      </c>
      <c r="AG999" s="76">
        <f t="shared" si="170"/>
        <v>8708.9806547619046</v>
      </c>
      <c r="AO999" s="5">
        <f t="shared" si="175"/>
        <v>3.406510219530653E-3</v>
      </c>
      <c r="AP999" s="5">
        <f t="shared" si="171"/>
        <v>0.35399478286661512</v>
      </c>
      <c r="AR999" s="5">
        <f t="shared" si="172"/>
        <v>7.8855774501917497E-2</v>
      </c>
      <c r="AS999" s="5" t="str">
        <f t="shared" si="173"/>
        <v/>
      </c>
      <c r="AT999" s="5" t="str">
        <f t="shared" si="174"/>
        <v/>
      </c>
    </row>
    <row r="1000" spans="12:46" x14ac:dyDescent="0.25">
      <c r="L1000" s="4">
        <v>44110.5</v>
      </c>
      <c r="M1000">
        <v>26.95</v>
      </c>
      <c r="N1000">
        <v>27.11</v>
      </c>
      <c r="O1000">
        <v>26.42</v>
      </c>
      <c r="P1000">
        <v>26.79</v>
      </c>
      <c r="Q1000">
        <v>20486</v>
      </c>
      <c r="R1000">
        <v>393382</v>
      </c>
      <c r="S1000">
        <v>13.225</v>
      </c>
      <c r="T1000">
        <v>13.365</v>
      </c>
      <c r="U1000">
        <v>13.225</v>
      </c>
      <c r="V1000">
        <v>13.305</v>
      </c>
      <c r="W1000">
        <v>90</v>
      </c>
      <c r="X1000">
        <v>2.5395656974604257E-2</v>
      </c>
      <c r="Y1000">
        <v>-1.1574162046712784</v>
      </c>
      <c r="Z1000">
        <v>-0.33357286030764127</v>
      </c>
      <c r="AB1000" s="3">
        <f t="shared" si="165"/>
        <v>7.8768380261958551E-3</v>
      </c>
      <c r="AC1000" s="3">
        <f t="shared" si="166"/>
        <v>9.0751777338462791E-3</v>
      </c>
      <c r="AD1000" s="3">
        <f t="shared" si="167"/>
        <v>9.0751777338462791E-3</v>
      </c>
      <c r="AE1000" s="76">
        <f t="shared" si="168"/>
        <v>8646.1428571428587</v>
      </c>
      <c r="AF1000" s="76">
        <f t="shared" si="169"/>
        <v>8937.709677419356</v>
      </c>
      <c r="AG1000" s="76">
        <f t="shared" si="170"/>
        <v>8937.709677419356</v>
      </c>
      <c r="AO1000" s="5">
        <f t="shared" si="175"/>
        <v>-4.8964218455743507E-3</v>
      </c>
      <c r="AP1000" s="5">
        <f t="shared" si="171"/>
        <v>0.35749136380292285</v>
      </c>
      <c r="AR1000" s="5">
        <f t="shared" si="172"/>
        <v>8.2452796163034026E-2</v>
      </c>
      <c r="AS1000" s="5" t="str">
        <f t="shared" si="173"/>
        <v/>
      </c>
      <c r="AT1000" s="5" t="str">
        <f t="shared" si="174"/>
        <v/>
      </c>
    </row>
    <row r="1001" spans="12:46" x14ac:dyDescent="0.25">
      <c r="L1001" s="4">
        <v>44109.5</v>
      </c>
      <c r="M1001">
        <v>27.17</v>
      </c>
      <c r="N1001">
        <v>27.61</v>
      </c>
      <c r="O1001">
        <v>26.55</v>
      </c>
      <c r="P1001">
        <v>26.94</v>
      </c>
      <c r="Q1001">
        <v>19033</v>
      </c>
      <c r="R1001">
        <v>393744</v>
      </c>
      <c r="S1001">
        <v>13.385</v>
      </c>
      <c r="T1001">
        <v>13.44</v>
      </c>
      <c r="U1001">
        <v>13.25</v>
      </c>
      <c r="V1001">
        <v>13.42</v>
      </c>
      <c r="W1001">
        <v>150</v>
      </c>
      <c r="X1001">
        <v>4.038095238095233E-2</v>
      </c>
      <c r="Y1001">
        <v>-0.18242410469108036</v>
      </c>
      <c r="Z1001">
        <v>-0.53801190068560711</v>
      </c>
      <c r="AB1001" s="3">
        <f t="shared" si="165"/>
        <v>8.4103523419260806E-3</v>
      </c>
      <c r="AC1001" s="3">
        <f t="shared" si="166"/>
        <v>9.2531151487758867E-3</v>
      </c>
      <c r="AD1001" s="3">
        <f t="shared" si="167"/>
        <v>9.2531151487758867E-3</v>
      </c>
      <c r="AE1001" s="76">
        <f t="shared" si="168"/>
        <v>9198.9047619047633</v>
      </c>
      <c r="AF1001" s="76">
        <f t="shared" si="169"/>
        <v>9166.1095238095259</v>
      </c>
      <c r="AG1001" s="76">
        <f t="shared" si="170"/>
        <v>9166.1095238095259</v>
      </c>
      <c r="AO1001" s="5">
        <f t="shared" si="175"/>
        <v>2.4305555555555514E-2</v>
      </c>
      <c r="AP1001" s="5">
        <f t="shared" si="171"/>
        <v>0.36082601881290094</v>
      </c>
      <c r="AR1001" s="5">
        <f t="shared" si="172"/>
        <v>8.6019721322059095E-2</v>
      </c>
      <c r="AS1001" s="5" t="str">
        <f t="shared" si="173"/>
        <v/>
      </c>
      <c r="AT1001" s="5" t="str">
        <f t="shared" si="174"/>
        <v/>
      </c>
    </row>
    <row r="1002" spans="12:46" x14ac:dyDescent="0.25">
      <c r="L1002" s="4">
        <v>44106.5</v>
      </c>
      <c r="M1002">
        <v>26.25</v>
      </c>
      <c r="N1002">
        <v>27.44</v>
      </c>
      <c r="O1002">
        <v>25.92</v>
      </c>
      <c r="P1002">
        <v>27.03</v>
      </c>
      <c r="Q1002">
        <v>28573</v>
      </c>
      <c r="R1002">
        <v>394101</v>
      </c>
      <c r="S1002">
        <v>12.875</v>
      </c>
      <c r="T1002">
        <v>13.13</v>
      </c>
      <c r="U1002">
        <v>12.815</v>
      </c>
      <c r="V1002">
        <v>13.025</v>
      </c>
      <c r="W1002">
        <v>565</v>
      </c>
      <c r="X1002">
        <v>5.5575868372943309E-2</v>
      </c>
      <c r="Y1002">
        <v>0.82222393257476856</v>
      </c>
      <c r="Z1002">
        <v>0.76463337286111033</v>
      </c>
      <c r="AB1002" s="3">
        <f t="shared" si="165"/>
        <v>1.029703678305189E-2</v>
      </c>
      <c r="AC1002" s="3">
        <f t="shared" si="166"/>
        <v>1.1100847081946065E-2</v>
      </c>
      <c r="AD1002" s="3">
        <f t="shared" si="167"/>
        <v>1.1100847081946065E-2</v>
      </c>
      <c r="AE1002" s="76">
        <f t="shared" si="168"/>
        <v>9669.2380952380954</v>
      </c>
      <c r="AF1002" s="76">
        <f t="shared" si="169"/>
        <v>9588.6633825944191</v>
      </c>
      <c r="AG1002" s="76">
        <f t="shared" si="170"/>
        <v>9588.6633825944191</v>
      </c>
      <c r="AO1002" s="5">
        <f t="shared" si="175"/>
        <v>-1.2571428571428506E-2</v>
      </c>
      <c r="AP1002" s="5">
        <f t="shared" si="171"/>
        <v>0.36075768998049179</v>
      </c>
      <c r="AR1002" s="5">
        <f t="shared" si="172"/>
        <v>8.9862407902676855E-2</v>
      </c>
      <c r="AS1002" s="5" t="str">
        <f t="shared" si="173"/>
        <v/>
      </c>
      <c r="AT1002" s="5" t="str">
        <f t="shared" si="174"/>
        <v/>
      </c>
    </row>
    <row r="1003" spans="12:46" x14ac:dyDescent="0.25">
      <c r="L1003" s="4">
        <v>44105.5</v>
      </c>
      <c r="M1003">
        <v>27.35</v>
      </c>
      <c r="N1003">
        <v>27.35</v>
      </c>
      <c r="O1003">
        <v>26.25</v>
      </c>
      <c r="P1003">
        <v>26.51</v>
      </c>
      <c r="Q1003">
        <v>22669</v>
      </c>
      <c r="R1003">
        <v>393298</v>
      </c>
      <c r="S1003">
        <v>13.35</v>
      </c>
      <c r="T1003">
        <v>13.404999999999999</v>
      </c>
      <c r="U1003">
        <v>13.11</v>
      </c>
      <c r="V1003">
        <v>13.18</v>
      </c>
      <c r="W1003">
        <v>510</v>
      </c>
      <c r="X1003">
        <v>4.1213937804421182E-2</v>
      </c>
      <c r="Y1003">
        <v>-0.11162689587927332</v>
      </c>
      <c r="Z1003">
        <v>-3.0044141685409698E-2</v>
      </c>
      <c r="AB1003" s="3">
        <f t="shared" si="165"/>
        <v>1.0660354868331355E-2</v>
      </c>
      <c r="AC1003" s="3">
        <f t="shared" si="166"/>
        <v>1.04133117324278E-2</v>
      </c>
      <c r="AD1003" s="3">
        <f t="shared" si="167"/>
        <v>1.04133117324278E-2</v>
      </c>
      <c r="AE1003" s="76">
        <f t="shared" si="168"/>
        <v>9554.3809523809541</v>
      </c>
      <c r="AF1003" s="76">
        <f t="shared" si="169"/>
        <v>9226.7738095238092</v>
      </c>
      <c r="AG1003" s="76">
        <f t="shared" si="170"/>
        <v>9226.7738095238092</v>
      </c>
      <c r="AO1003" s="5">
        <f t="shared" si="175"/>
        <v>-6.8104426787741097E-3</v>
      </c>
      <c r="AP1003" s="5">
        <f t="shared" si="171"/>
        <v>0.3631619310289444</v>
      </c>
      <c r="AR1003" s="5">
        <f t="shared" si="172"/>
        <v>9.3523451441032912E-2</v>
      </c>
      <c r="AS1003" s="5" t="str">
        <f t="shared" si="173"/>
        <v/>
      </c>
      <c r="AT1003" s="5" t="str">
        <f t="shared" si="174"/>
        <v/>
      </c>
    </row>
    <row r="1004" spans="12:46" x14ac:dyDescent="0.25">
      <c r="L1004" s="4">
        <v>44104.5</v>
      </c>
      <c r="M1004">
        <v>26.69</v>
      </c>
      <c r="N1004">
        <v>27.24</v>
      </c>
      <c r="O1004">
        <v>26.43</v>
      </c>
      <c r="P1004">
        <v>26.93</v>
      </c>
      <c r="Q1004">
        <v>24770</v>
      </c>
      <c r="R1004">
        <v>392839</v>
      </c>
      <c r="S1004">
        <v>13.31</v>
      </c>
      <c r="T1004">
        <v>13.31</v>
      </c>
      <c r="U1004">
        <v>13.16</v>
      </c>
      <c r="V1004">
        <v>13.285</v>
      </c>
      <c r="W1004">
        <v>35</v>
      </c>
      <c r="X1004">
        <v>2.9433139534883676E-2</v>
      </c>
      <c r="Y1004">
        <v>-0.8823944517220409</v>
      </c>
      <c r="Z1004">
        <v>0.25383421102914971</v>
      </c>
      <c r="AB1004" s="3">
        <f t="shared" si="165"/>
        <v>1.023834184671478E-2</v>
      </c>
      <c r="AC1004" s="3">
        <f t="shared" si="166"/>
        <v>9.7603083089623094E-3</v>
      </c>
      <c r="AD1004" s="3">
        <f t="shared" si="167"/>
        <v>9.7603083089623094E-3</v>
      </c>
      <c r="AE1004" s="76">
        <f t="shared" si="168"/>
        <v>10191.476190476191</v>
      </c>
      <c r="AF1004" s="76">
        <f t="shared" si="169"/>
        <v>9603.2275132275136</v>
      </c>
      <c r="AG1004" s="76">
        <f t="shared" si="170"/>
        <v>9603.2275132275136</v>
      </c>
      <c r="AO1004" s="5">
        <f t="shared" si="175"/>
        <v>-8.9988751406074978E-3</v>
      </c>
      <c r="AP1004" s="5">
        <f t="shared" si="171"/>
        <v>0.36657119592147391</v>
      </c>
      <c r="AR1004" s="5">
        <f t="shared" si="172"/>
        <v>9.7109099740832594E-2</v>
      </c>
      <c r="AS1004" s="5" t="str">
        <f t="shared" si="173"/>
        <v/>
      </c>
      <c r="AT1004" s="5" t="str">
        <f t="shared" si="174"/>
        <v/>
      </c>
    </row>
    <row r="1005" spans="12:46" x14ac:dyDescent="0.25">
      <c r="L1005" s="4">
        <v>44103.5</v>
      </c>
      <c r="M1005">
        <v>27.52</v>
      </c>
      <c r="N1005">
        <v>27.7</v>
      </c>
      <c r="O1005">
        <v>26.67</v>
      </c>
      <c r="P1005">
        <v>26.79</v>
      </c>
      <c r="Q1005">
        <v>21015</v>
      </c>
      <c r="R1005">
        <v>395189</v>
      </c>
      <c r="S1005">
        <v>12.4</v>
      </c>
      <c r="T1005">
        <v>12.64</v>
      </c>
      <c r="U1005">
        <v>12.265000000000001</v>
      </c>
      <c r="V1005">
        <v>12.28</v>
      </c>
      <c r="W1005">
        <v>0</v>
      </c>
      <c r="X1005">
        <v>3.9343009931245135E-2</v>
      </c>
      <c r="Y1005">
        <v>-0.25362576769178058</v>
      </c>
      <c r="Z1005">
        <v>-0.24618293470464334</v>
      </c>
      <c r="AB1005" s="3">
        <f t="shared" si="165"/>
        <v>1.1108255932277052E-2</v>
      </c>
      <c r="AC1005" s="3">
        <f t="shared" si="166"/>
        <v>1.0586340972298998E-2</v>
      </c>
      <c r="AD1005" s="3">
        <f t="shared" si="167"/>
        <v>1.0586340972298998E-2</v>
      </c>
      <c r="AE1005" s="76">
        <f t="shared" si="168"/>
        <v>10785.761904761905</v>
      </c>
      <c r="AF1005" s="76">
        <f t="shared" si="169"/>
        <v>9901.2142857142862</v>
      </c>
      <c r="AG1005" s="76">
        <f t="shared" si="170"/>
        <v>9901.2142857142862</v>
      </c>
      <c r="AO1005" s="5">
        <f t="shared" si="175"/>
        <v>2.814186584425599E-2</v>
      </c>
      <c r="AP1005" s="5">
        <f t="shared" si="171"/>
        <v>0.36975402037486171</v>
      </c>
      <c r="AR1005" s="5">
        <f t="shared" si="172"/>
        <v>0.10148833880889643</v>
      </c>
      <c r="AS1005" s="5" t="str">
        <f t="shared" si="173"/>
        <v/>
      </c>
      <c r="AT1005" s="5" t="str">
        <f t="shared" si="174"/>
        <v/>
      </c>
    </row>
    <row r="1006" spans="12:46" x14ac:dyDescent="0.25">
      <c r="L1006" s="4">
        <v>44102.5</v>
      </c>
      <c r="M1006">
        <v>26.18</v>
      </c>
      <c r="N1006">
        <v>27.8</v>
      </c>
      <c r="O1006">
        <v>25.94</v>
      </c>
      <c r="P1006">
        <v>27.71</v>
      </c>
      <c r="Q1006">
        <v>26729</v>
      </c>
      <c r="R1006">
        <v>393131</v>
      </c>
      <c r="S1006">
        <v>12.06</v>
      </c>
      <c r="T1006">
        <v>12.35</v>
      </c>
      <c r="U1006">
        <v>11.95</v>
      </c>
      <c r="V1006">
        <v>12.35</v>
      </c>
      <c r="W1006">
        <v>77</v>
      </c>
      <c r="X1006">
        <v>6.9144981412639389E-2</v>
      </c>
      <c r="Y1006">
        <v>1.6655946937351684</v>
      </c>
      <c r="Z1006">
        <v>0.50834500723456366</v>
      </c>
      <c r="AB1006" s="3">
        <f t="shared" si="165"/>
        <v>1.3276759457087901E-2</v>
      </c>
      <c r="AC1006" s="3">
        <f t="shared" si="166"/>
        <v>1.2939875021750313E-2</v>
      </c>
      <c r="AD1006" s="3">
        <f t="shared" si="167"/>
        <v>1.2939875021750313E-2</v>
      </c>
      <c r="AE1006" s="76">
        <f t="shared" si="168"/>
        <v>10325.095238095237</v>
      </c>
      <c r="AF1006" s="76">
        <f t="shared" si="169"/>
        <v>9507.3961904761891</v>
      </c>
      <c r="AG1006" s="76">
        <f t="shared" si="170"/>
        <v>9507.3961904761891</v>
      </c>
      <c r="AO1006" s="5">
        <f t="shared" si="175"/>
        <v>-7.7041602465329634E-4</v>
      </c>
      <c r="AP1006" s="5">
        <f t="shared" si="171"/>
        <v>0.36847190797932128</v>
      </c>
      <c r="AR1006" s="5">
        <f t="shared" si="172"/>
        <v>0.10415372882841922</v>
      </c>
      <c r="AS1006" s="5" t="str">
        <f t="shared" si="173"/>
        <v/>
      </c>
      <c r="AT1006" s="5" t="str">
        <f t="shared" si="174"/>
        <v/>
      </c>
    </row>
    <row r="1007" spans="12:46" x14ac:dyDescent="0.25">
      <c r="L1007" s="4">
        <v>44099.5</v>
      </c>
      <c r="M1007">
        <v>26.9</v>
      </c>
      <c r="N1007">
        <v>26.9</v>
      </c>
      <c r="O1007">
        <v>25.96</v>
      </c>
      <c r="P1007">
        <v>26.17</v>
      </c>
      <c r="Q1007">
        <v>19056</v>
      </c>
      <c r="R1007">
        <v>395485</v>
      </c>
      <c r="S1007">
        <v>11.5</v>
      </c>
      <c r="T1007">
        <v>11.695</v>
      </c>
      <c r="U1007">
        <v>11.4</v>
      </c>
      <c r="V1007">
        <v>11.664999999999999</v>
      </c>
      <c r="W1007">
        <v>354</v>
      </c>
      <c r="X1007">
        <v>3.5606060606060523E-2</v>
      </c>
      <c r="Y1007">
        <v>-0.46986891081934473</v>
      </c>
      <c r="Z1007">
        <v>-0.49318364129003417</v>
      </c>
      <c r="AB1007" s="3">
        <f t="shared" si="165"/>
        <v>1.2732671432854996E-2</v>
      </c>
      <c r="AC1007" s="3">
        <f t="shared" si="166"/>
        <v>1.2721703130513816E-2</v>
      </c>
      <c r="AD1007" s="3">
        <f t="shared" si="167"/>
        <v>1.2721703130513816E-2</v>
      </c>
      <c r="AE1007" s="76">
        <f t="shared" si="168"/>
        <v>10578.09523809524</v>
      </c>
      <c r="AF1007" s="76">
        <f t="shared" si="169"/>
        <v>9840.0238095238092</v>
      </c>
      <c r="AG1007" s="76">
        <f t="shared" si="170"/>
        <v>9840.0238095238092</v>
      </c>
      <c r="AO1007" s="5">
        <f t="shared" si="175"/>
        <v>7.7101002313028418E-4</v>
      </c>
      <c r="AP1007" s="5">
        <f t="shared" si="171"/>
        <v>0.37269922816878542</v>
      </c>
      <c r="AR1007" s="5">
        <f t="shared" si="172"/>
        <v>0.10641247260428682</v>
      </c>
      <c r="AS1007" s="5" t="str">
        <f t="shared" si="173"/>
        <v/>
      </c>
      <c r="AT1007" s="5" t="str">
        <f t="shared" si="174"/>
        <v/>
      </c>
    </row>
    <row r="1008" spans="12:46" x14ac:dyDescent="0.25">
      <c r="L1008" s="4">
        <v>44098.5</v>
      </c>
      <c r="M1008">
        <v>26.4</v>
      </c>
      <c r="N1008">
        <v>26.9</v>
      </c>
      <c r="O1008">
        <v>25.94</v>
      </c>
      <c r="P1008">
        <v>26.79</v>
      </c>
      <c r="Q1008">
        <v>27060</v>
      </c>
      <c r="R1008">
        <v>397071</v>
      </c>
      <c r="S1008">
        <v>11.95</v>
      </c>
      <c r="T1008">
        <v>11.95</v>
      </c>
      <c r="U1008">
        <v>11.635</v>
      </c>
      <c r="V1008">
        <v>11.635</v>
      </c>
      <c r="W1008">
        <v>175</v>
      </c>
      <c r="X1008">
        <v>3.4273473759371557E-2</v>
      </c>
      <c r="Y1008">
        <v>-0.56347265299678184</v>
      </c>
      <c r="Z1008">
        <v>0.54292571860939443</v>
      </c>
      <c r="AB1008" s="3">
        <f t="shared" si="165"/>
        <v>1.2605351026914242E-2</v>
      </c>
      <c r="AC1008" s="3">
        <f t="shared" si="166"/>
        <v>1.267217611573046E-2</v>
      </c>
      <c r="AD1008" s="3">
        <f t="shared" si="167"/>
        <v>1.267217611573046E-2</v>
      </c>
      <c r="AE1008" s="76">
        <f t="shared" si="168"/>
        <v>10809.095238095237</v>
      </c>
      <c r="AF1008" s="76">
        <f t="shared" si="169"/>
        <v>10223.072463768116</v>
      </c>
      <c r="AG1008" s="76">
        <f t="shared" si="170"/>
        <v>10223.072463768116</v>
      </c>
      <c r="AO1008" s="5">
        <f t="shared" si="175"/>
        <v>-1.8539538403329489E-2</v>
      </c>
      <c r="AP1008" s="5">
        <f t="shared" si="171"/>
        <v>0.3771078367718072</v>
      </c>
      <c r="AR1008" s="5">
        <f t="shared" si="172"/>
        <v>0.11397205084502399</v>
      </c>
      <c r="AS1008" s="5" t="str">
        <f t="shared" si="173"/>
        <v/>
      </c>
      <c r="AT1008" s="5" t="str">
        <f t="shared" si="174"/>
        <v/>
      </c>
    </row>
    <row r="1009" spans="12:46" x14ac:dyDescent="0.25">
      <c r="L1009" s="4">
        <v>44097.5</v>
      </c>
      <c r="M1009">
        <v>28.01</v>
      </c>
      <c r="N1009">
        <v>28.33</v>
      </c>
      <c r="O1009">
        <v>26.43</v>
      </c>
      <c r="P1009">
        <v>26.5</v>
      </c>
      <c r="Q1009">
        <v>35353</v>
      </c>
      <c r="R1009">
        <v>396532</v>
      </c>
      <c r="S1009">
        <v>11.77</v>
      </c>
      <c r="T1009">
        <v>12.04</v>
      </c>
      <c r="U1009">
        <v>11.77</v>
      </c>
      <c r="V1009">
        <v>12.02</v>
      </c>
      <c r="W1009">
        <v>190</v>
      </c>
      <c r="X1009">
        <v>7.1752265861027134E-2</v>
      </c>
      <c r="Y1009">
        <v>1.8560776480164796</v>
      </c>
      <c r="Z1009">
        <v>1.6227433737840862</v>
      </c>
      <c r="AB1009" s="3">
        <f t="shared" si="165"/>
        <v>1.2389704002211711E-2</v>
      </c>
      <c r="AC1009" s="3">
        <f t="shared" si="166"/>
        <v>1.2389704002211711E-2</v>
      </c>
      <c r="AD1009" s="3">
        <f t="shared" si="167"/>
        <v>1.2389704002211711E-2</v>
      </c>
      <c r="AE1009" s="76">
        <f t="shared" si="168"/>
        <v>10261.047619047618</v>
      </c>
      <c r="AF1009" s="76">
        <f t="shared" si="169"/>
        <v>9862.6623376623356</v>
      </c>
      <c r="AG1009" s="76">
        <f t="shared" si="170"/>
        <v>9862.6623376623356</v>
      </c>
      <c r="AO1009" s="5">
        <f t="shared" si="175"/>
        <v>2.8404669260700406E-2</v>
      </c>
      <c r="AP1009" s="5">
        <f t="shared" si="171"/>
        <v>0.37841997968848468</v>
      </c>
      <c r="AR1009" s="5" t="str">
        <f t="shared" si="172"/>
        <v/>
      </c>
      <c r="AS1009" s="5" t="str">
        <f t="shared" si="173"/>
        <v/>
      </c>
      <c r="AT1009" s="5" t="str">
        <f t="shared" si="174"/>
        <v/>
      </c>
    </row>
    <row r="1010" spans="12:46" x14ac:dyDescent="0.25">
      <c r="L1010" s="4">
        <v>44096.5</v>
      </c>
      <c r="M1010">
        <v>26.48</v>
      </c>
      <c r="N1010">
        <v>28.06</v>
      </c>
      <c r="O1010">
        <v>25.7</v>
      </c>
      <c r="P1010">
        <v>27.85</v>
      </c>
      <c r="Q1010">
        <v>39871</v>
      </c>
      <c r="R1010">
        <v>396199</v>
      </c>
      <c r="S1010">
        <v>11.33</v>
      </c>
      <c r="T1010">
        <v>11.795</v>
      </c>
      <c r="U1010">
        <v>11.26</v>
      </c>
      <c r="V1010">
        <v>11.705</v>
      </c>
      <c r="W1010">
        <v>130</v>
      </c>
      <c r="X1010">
        <v>8.5045045045045023E-2</v>
      </c>
      <c r="Y1010">
        <v>2.8543024396425829</v>
      </c>
      <c r="Z1010">
        <v>2.2931988195837505</v>
      </c>
      <c r="AB1010" s="3">
        <f t="shared" si="165"/>
        <v>1.2348907748327316E-2</v>
      </c>
      <c r="AC1010" s="3">
        <f t="shared" si="166"/>
        <v>1.2348907748327316E-2</v>
      </c>
      <c r="AD1010" s="3">
        <f t="shared" si="167"/>
        <v>1.2348907748327316E-2</v>
      </c>
      <c r="AE1010" s="76">
        <f t="shared" si="168"/>
        <v>9498.1428571428587</v>
      </c>
      <c r="AF1010" s="76">
        <f t="shared" si="169"/>
        <v>9498.1428571428587</v>
      </c>
      <c r="AG1010" s="76">
        <f t="shared" si="170"/>
        <v>9498.1428571428587</v>
      </c>
      <c r="AO1010" s="5">
        <f t="shared" si="175"/>
        <v>-1.494825603679573E-2</v>
      </c>
      <c r="AP1010" s="5">
        <f t="shared" si="171"/>
        <v>0.37710045443582968</v>
      </c>
      <c r="AR1010" s="5" t="str">
        <f t="shared" si="172"/>
        <v/>
      </c>
      <c r="AS1010" s="5" t="str">
        <f t="shared" si="173"/>
        <v/>
      </c>
      <c r="AT1010" s="5" t="str">
        <f t="shared" si="174"/>
        <v/>
      </c>
    </row>
    <row r="1011" spans="12:46" x14ac:dyDescent="0.25">
      <c r="L1011" s="4">
        <v>44095.5</v>
      </c>
      <c r="M1011">
        <v>27.75</v>
      </c>
      <c r="N1011">
        <v>27.85</v>
      </c>
      <c r="O1011">
        <v>26.09</v>
      </c>
      <c r="P1011">
        <v>26.4</v>
      </c>
      <c r="Q1011">
        <v>41186</v>
      </c>
      <c r="R1011">
        <v>397009</v>
      </c>
      <c r="S1011">
        <v>11.5</v>
      </c>
      <c r="T1011">
        <v>11.51</v>
      </c>
      <c r="U1011">
        <v>11.425000000000001</v>
      </c>
      <c r="V1011">
        <v>11.494999999999999</v>
      </c>
      <c r="W1011">
        <v>75</v>
      </c>
      <c r="X1011">
        <v>6.1906436862469279E-2</v>
      </c>
      <c r="Y1011">
        <v>1.5282647040484372</v>
      </c>
      <c r="Z1011">
        <v>2.6735732764972289</v>
      </c>
      <c r="AB1011" s="3">
        <f t="shared" si="165"/>
        <v>1.3705217606789132E-2</v>
      </c>
      <c r="AC1011" s="3">
        <f t="shared" si="166"/>
        <v>1.3705217606789132E-2</v>
      </c>
      <c r="AD1011" s="3">
        <f t="shared" si="167"/>
        <v>1.3705217606789132E-2</v>
      </c>
      <c r="AE1011" s="76">
        <f t="shared" si="168"/>
        <v>8618.5</v>
      </c>
      <c r="AF1011" s="76">
        <f t="shared" si="169"/>
        <v>8618.5</v>
      </c>
      <c r="AG1011" s="76">
        <f t="shared" si="170"/>
        <v>8618.5</v>
      </c>
      <c r="AO1011" s="5">
        <f t="shared" si="175"/>
        <v>-6.1510791366906507E-2</v>
      </c>
      <c r="AP1011" s="5">
        <f t="shared" si="171"/>
        <v>0.37965790539721206</v>
      </c>
      <c r="AR1011" s="5" t="str">
        <f t="shared" si="172"/>
        <v/>
      </c>
      <c r="AS1011" s="5" t="str">
        <f t="shared" si="173"/>
        <v/>
      </c>
      <c r="AT1011" s="5" t="str">
        <f t="shared" si="174"/>
        <v/>
      </c>
    </row>
    <row r="1012" spans="12:46" x14ac:dyDescent="0.25">
      <c r="L1012" s="4">
        <v>44092.5</v>
      </c>
      <c r="M1012">
        <v>28.43</v>
      </c>
      <c r="N1012">
        <v>28.87</v>
      </c>
      <c r="O1012">
        <v>27.8</v>
      </c>
      <c r="P1012">
        <v>27.99</v>
      </c>
      <c r="Q1012">
        <v>22415</v>
      </c>
      <c r="R1012">
        <v>404479</v>
      </c>
      <c r="S1012">
        <v>11.105</v>
      </c>
      <c r="T1012">
        <v>11.475</v>
      </c>
      <c r="U1012">
        <v>11.105</v>
      </c>
      <c r="V1012">
        <v>11.475</v>
      </c>
      <c r="W1012">
        <v>50</v>
      </c>
      <c r="X1012">
        <v>3.5857908847184997E-2</v>
      </c>
      <c r="Y1012">
        <v>-0.37515998542327939</v>
      </c>
      <c r="Z1012">
        <v>0.1251629468307873</v>
      </c>
      <c r="AB1012" s="3">
        <f t="shared" si="165"/>
        <v>1.1463374307408312E-2</v>
      </c>
      <c r="AC1012" s="3">
        <f t="shared" si="166"/>
        <v>1.1463374307408312E-2</v>
      </c>
      <c r="AD1012" s="3">
        <f t="shared" si="167"/>
        <v>1.1463374307408312E-2</v>
      </c>
      <c r="AE1012" s="76">
        <f t="shared" si="168"/>
        <v>6920.4962406015038</v>
      </c>
      <c r="AF1012" s="76">
        <f t="shared" si="169"/>
        <v>6920.4962406015038</v>
      </c>
      <c r="AG1012" s="76">
        <f t="shared" si="170"/>
        <v>6920.4962406015038</v>
      </c>
      <c r="AO1012" s="5">
        <f t="shared" si="175"/>
        <v>-1.940035273368609E-2</v>
      </c>
      <c r="AP1012" s="5">
        <f t="shared" si="171"/>
        <v>0.34771553075562311</v>
      </c>
      <c r="AR1012" s="5" t="str">
        <f t="shared" si="172"/>
        <v/>
      </c>
      <c r="AS1012" s="5" t="str">
        <f t="shared" si="173"/>
        <v/>
      </c>
      <c r="AT1012" s="5" t="str">
        <f t="shared" si="174"/>
        <v/>
      </c>
    </row>
    <row r="1013" spans="12:46" x14ac:dyDescent="0.25">
      <c r="L1013" s="4">
        <v>44091.5</v>
      </c>
      <c r="M1013">
        <v>29.84</v>
      </c>
      <c r="N1013">
        <v>29.84</v>
      </c>
      <c r="O1013">
        <v>28.35</v>
      </c>
      <c r="P1013">
        <v>28.43</v>
      </c>
      <c r="Q1013">
        <v>28649</v>
      </c>
      <c r="R1013">
        <v>406337</v>
      </c>
      <c r="S1013">
        <v>11.515000000000001</v>
      </c>
      <c r="T1013">
        <v>11.515000000000001</v>
      </c>
      <c r="U1013">
        <v>11.12</v>
      </c>
      <c r="V1013">
        <v>11.12</v>
      </c>
      <c r="W1013">
        <v>115</v>
      </c>
      <c r="X1013">
        <v>5.0151464153483621E-2</v>
      </c>
      <c r="Y1013">
        <v>0.68925067433220821</v>
      </c>
      <c r="Z1013">
        <v>1.0674051019259099</v>
      </c>
      <c r="AB1013" s="3">
        <f t="shared" si="165"/>
        <v>1.0208541437320931E-2</v>
      </c>
      <c r="AC1013" s="3">
        <f t="shared" si="166"/>
        <v>1.0208541437320931E-2</v>
      </c>
      <c r="AD1013" s="3">
        <f t="shared" si="167"/>
        <v>1.0208541437320931E-2</v>
      </c>
      <c r="AE1013" s="76">
        <f t="shared" si="168"/>
        <v>6428.6984126984134</v>
      </c>
      <c r="AF1013" s="76">
        <f t="shared" si="169"/>
        <v>6428.6984126984134</v>
      </c>
      <c r="AG1013" s="76">
        <f t="shared" si="170"/>
        <v>6428.6984126984134</v>
      </c>
      <c r="AO1013" s="5">
        <f t="shared" si="175"/>
        <v>-2.4096385542168648E-2</v>
      </c>
      <c r="AP1013" s="5">
        <f t="shared" si="171"/>
        <v>0.34730629776386407</v>
      </c>
      <c r="AR1013" s="5" t="str">
        <f t="shared" si="172"/>
        <v/>
      </c>
      <c r="AS1013" s="5" t="str">
        <f t="shared" si="173"/>
        <v/>
      </c>
      <c r="AT1013" s="5" t="str">
        <f t="shared" si="174"/>
        <v/>
      </c>
    </row>
    <row r="1014" spans="12:46" x14ac:dyDescent="0.25">
      <c r="L1014" s="4">
        <v>44090.5</v>
      </c>
      <c r="M1014">
        <v>29.71</v>
      </c>
      <c r="N1014">
        <v>30.23</v>
      </c>
      <c r="O1014">
        <v>29.05</v>
      </c>
      <c r="P1014">
        <v>29.99</v>
      </c>
      <c r="Q1014">
        <v>31999</v>
      </c>
      <c r="R1014">
        <v>409785</v>
      </c>
      <c r="S1014">
        <v>11.2</v>
      </c>
      <c r="T1014">
        <v>11.445</v>
      </c>
      <c r="U1014">
        <v>11.2</v>
      </c>
      <c r="V1014">
        <v>11.32</v>
      </c>
      <c r="W1014">
        <v>100</v>
      </c>
      <c r="X1014">
        <v>3.8650507697346861E-2</v>
      </c>
      <c r="Y1014">
        <v>-0.15191887656809516</v>
      </c>
      <c r="Z1014">
        <v>1.6046604595181302</v>
      </c>
      <c r="AB1014" s="3">
        <f t="shared" si="165"/>
        <v>8.9306013576210333E-3</v>
      </c>
      <c r="AC1014" s="3">
        <f t="shared" si="166"/>
        <v>8.9306013576210333E-3</v>
      </c>
      <c r="AD1014" s="3">
        <f t="shared" si="167"/>
        <v>8.9306013576210333E-3</v>
      </c>
      <c r="AE1014" s="76">
        <f t="shared" si="168"/>
        <v>5648.7170868347348</v>
      </c>
      <c r="AF1014" s="76">
        <f t="shared" si="169"/>
        <v>5648.7170868347348</v>
      </c>
      <c r="AG1014" s="76">
        <f t="shared" si="170"/>
        <v>5648.7170868347348</v>
      </c>
      <c r="AO1014" s="5">
        <f t="shared" si="175"/>
        <v>-1.5587936292782135E-2</v>
      </c>
      <c r="AP1014" s="5">
        <f t="shared" si="171"/>
        <v>0.34409792783917487</v>
      </c>
      <c r="AR1014" s="5" t="str">
        <f t="shared" si="172"/>
        <v/>
      </c>
      <c r="AS1014" s="5" t="str">
        <f t="shared" si="173"/>
        <v/>
      </c>
      <c r="AT1014" s="5" t="str">
        <f t="shared" si="174"/>
        <v/>
      </c>
    </row>
    <row r="1015" spans="12:46" x14ac:dyDescent="0.25">
      <c r="L1015" s="4">
        <v>44089.5</v>
      </c>
      <c r="M1015">
        <v>30.53</v>
      </c>
      <c r="N1015">
        <v>30.78</v>
      </c>
      <c r="O1015">
        <v>29.51</v>
      </c>
      <c r="P1015">
        <v>29.79</v>
      </c>
      <c r="Q1015">
        <v>39469</v>
      </c>
      <c r="R1015">
        <v>408061</v>
      </c>
      <c r="S1015">
        <v>10.85</v>
      </c>
      <c r="T1015">
        <v>10.895</v>
      </c>
      <c r="U1015">
        <v>10.815</v>
      </c>
      <c r="V1015">
        <v>10.895</v>
      </c>
      <c r="W1015">
        <v>45</v>
      </c>
      <c r="X1015">
        <v>4.4718309859154919E-2</v>
      </c>
      <c r="Y1015">
        <v>0.29082640489602574</v>
      </c>
      <c r="Z1015">
        <v>2.8434904905602973</v>
      </c>
      <c r="AB1015" s="3">
        <f t="shared" si="165"/>
        <v>8.4002546488665328E-3</v>
      </c>
      <c r="AC1015" s="3">
        <f t="shared" si="166"/>
        <v>8.4002546488665328E-3</v>
      </c>
      <c r="AD1015" s="3">
        <f t="shared" si="167"/>
        <v>8.4002546488665328E-3</v>
      </c>
      <c r="AE1015" s="76">
        <f t="shared" si="168"/>
        <v>4907.2529761904771</v>
      </c>
      <c r="AF1015" s="76">
        <f t="shared" si="169"/>
        <v>4907.2529761904771</v>
      </c>
      <c r="AG1015" s="76">
        <f t="shared" si="170"/>
        <v>4907.2529761904771</v>
      </c>
      <c r="AO1015" s="5">
        <f t="shared" si="175"/>
        <v>4.1284403669724828E-2</v>
      </c>
      <c r="AP1015" s="5">
        <f t="shared" si="171"/>
        <v>0.34467938022178213</v>
      </c>
      <c r="AR1015" s="5" t="str">
        <f t="shared" si="172"/>
        <v/>
      </c>
      <c r="AS1015" s="5" t="str">
        <f t="shared" si="173"/>
        <v/>
      </c>
      <c r="AT1015" s="5" t="str">
        <f t="shared" si="174"/>
        <v/>
      </c>
    </row>
    <row r="1016" spans="12:46" x14ac:dyDescent="0.25">
      <c r="L1016" s="4">
        <v>44088.5</v>
      </c>
      <c r="M1016">
        <v>28.4</v>
      </c>
      <c r="N1016">
        <v>30.53</v>
      </c>
      <c r="O1016">
        <v>28.34</v>
      </c>
      <c r="P1016">
        <v>30.47</v>
      </c>
      <c r="Q1016">
        <v>38604</v>
      </c>
      <c r="R1016">
        <v>408236</v>
      </c>
      <c r="S1016">
        <v>10.725</v>
      </c>
      <c r="T1016">
        <v>10.8</v>
      </c>
      <c r="U1016">
        <v>10.65</v>
      </c>
      <c r="V1016">
        <v>10.705</v>
      </c>
      <c r="W1016">
        <v>150</v>
      </c>
      <c r="X1016">
        <v>7.7248677248677289E-2</v>
      </c>
      <c r="Y1016">
        <v>2.648619125592425</v>
      </c>
      <c r="Z1016">
        <v>3.1351103783801682</v>
      </c>
      <c r="AB1016" s="3">
        <f t="shared" si="165"/>
        <v>9.8845905772088835E-3</v>
      </c>
      <c r="AC1016" s="3">
        <f t="shared" si="166"/>
        <v>9.8845905772088835E-3</v>
      </c>
      <c r="AD1016" s="3">
        <f t="shared" si="167"/>
        <v>9.8845905772088835E-3</v>
      </c>
      <c r="AE1016" s="76">
        <f t="shared" si="168"/>
        <v>4286.7619047619046</v>
      </c>
      <c r="AF1016" s="76">
        <f t="shared" si="169"/>
        <v>4286.7619047619046</v>
      </c>
      <c r="AG1016" s="76">
        <f t="shared" si="170"/>
        <v>4286.7619047619046</v>
      </c>
      <c r="AO1016" s="5">
        <f t="shared" si="175"/>
        <v>2.9796511627906988E-2</v>
      </c>
      <c r="AP1016" s="5">
        <f t="shared" si="171"/>
        <v>0.33509166883381297</v>
      </c>
      <c r="AR1016" s="5" t="str">
        <f t="shared" si="172"/>
        <v/>
      </c>
      <c r="AS1016" s="5" t="str">
        <f t="shared" si="173"/>
        <v/>
      </c>
      <c r="AT1016" s="5" t="str">
        <f t="shared" si="174"/>
        <v/>
      </c>
    </row>
    <row r="1017" spans="12:46" x14ac:dyDescent="0.25">
      <c r="L1017" s="4">
        <v>44085.5</v>
      </c>
      <c r="M1017">
        <v>28.35</v>
      </c>
      <c r="N1017">
        <v>28.59</v>
      </c>
      <c r="O1017">
        <v>27.52</v>
      </c>
      <c r="P1017">
        <v>28.26</v>
      </c>
      <c r="Q1017">
        <v>17931</v>
      </c>
      <c r="R1017">
        <v>410500</v>
      </c>
      <c r="S1017">
        <v>10.4</v>
      </c>
      <c r="T1017">
        <v>10.494999999999999</v>
      </c>
      <c r="U1017">
        <v>10.37</v>
      </c>
      <c r="V1017">
        <v>10.494999999999999</v>
      </c>
      <c r="W1017">
        <v>110</v>
      </c>
      <c r="X1017">
        <v>3.9036847865742443E-2</v>
      </c>
      <c r="Y1017">
        <v>-4.210434313304779E-2</v>
      </c>
      <c r="Z1017">
        <v>-0.43662404094908175</v>
      </c>
      <c r="AB1017" s="3">
        <f t="shared" si="165"/>
        <v>6.5436429856797138E-3</v>
      </c>
      <c r="AC1017" s="3">
        <f t="shared" si="166"/>
        <v>6.5436429856797138E-3</v>
      </c>
      <c r="AD1017" s="3">
        <f t="shared" si="167"/>
        <v>6.5436429856797138E-3</v>
      </c>
      <c r="AE1017" s="76">
        <f t="shared" si="168"/>
        <v>2896.1190476190459</v>
      </c>
      <c r="AF1017" s="76">
        <f t="shared" si="169"/>
        <v>2896.1190476190459</v>
      </c>
      <c r="AG1017" s="76">
        <f t="shared" si="170"/>
        <v>2896.1190476190459</v>
      </c>
      <c r="AO1017" s="5">
        <f t="shared" si="175"/>
        <v>9.1675834250091685E-3</v>
      </c>
      <c r="AP1017" s="5">
        <f t="shared" si="171"/>
        <v>0.33235819849228559</v>
      </c>
      <c r="AR1017" s="5" t="str">
        <f t="shared" si="172"/>
        <v/>
      </c>
      <c r="AS1017" s="5" t="str">
        <f t="shared" si="173"/>
        <v/>
      </c>
      <c r="AT1017" s="5" t="str">
        <f t="shared" si="174"/>
        <v/>
      </c>
    </row>
    <row r="1018" spans="12:46" x14ac:dyDescent="0.25">
      <c r="L1018" s="4">
        <v>44084.5</v>
      </c>
      <c r="M1018">
        <v>27.41</v>
      </c>
      <c r="N1018">
        <v>28.52</v>
      </c>
      <c r="O1018">
        <v>27.27</v>
      </c>
      <c r="P1018">
        <v>28.42</v>
      </c>
      <c r="Q1018">
        <v>28979</v>
      </c>
      <c r="R1018">
        <v>409089</v>
      </c>
      <c r="S1018">
        <v>10.85</v>
      </c>
      <c r="T1018">
        <v>10.87</v>
      </c>
      <c r="U1018">
        <v>10.465</v>
      </c>
      <c r="V1018">
        <v>10.515000000000001</v>
      </c>
      <c r="W1018">
        <v>433</v>
      </c>
      <c r="X1018">
        <v>4.6886721680420101E-2</v>
      </c>
      <c r="Y1018">
        <v>0.57810313020436144</v>
      </c>
      <c r="Z1018">
        <v>1.776520810497551</v>
      </c>
      <c r="AB1018" s="3">
        <f t="shared" si="165"/>
        <v>6.8117874027536218E-3</v>
      </c>
      <c r="AC1018" s="3">
        <f t="shared" si="166"/>
        <v>6.8117874027536218E-3</v>
      </c>
      <c r="AD1018" s="3">
        <f t="shared" si="167"/>
        <v>6.8117874027536218E-3</v>
      </c>
      <c r="AE1018" s="76">
        <f t="shared" si="168"/>
        <v>3406.9413919413892</v>
      </c>
      <c r="AF1018" s="76">
        <f t="shared" si="169"/>
        <v>3406.9413919413892</v>
      </c>
      <c r="AG1018" s="76">
        <f t="shared" si="170"/>
        <v>3406.9413919413892</v>
      </c>
      <c r="AO1018" s="5">
        <f t="shared" si="175"/>
        <v>4.5228056726715204E-2</v>
      </c>
      <c r="AP1018" s="5">
        <f t="shared" si="171"/>
        <v>0.33709041063647976</v>
      </c>
      <c r="AR1018" s="5" t="str">
        <f t="shared" si="172"/>
        <v/>
      </c>
      <c r="AS1018" s="5" t="str">
        <f t="shared" si="173"/>
        <v/>
      </c>
      <c r="AT1018" s="5" t="str">
        <f t="shared" si="174"/>
        <v/>
      </c>
    </row>
    <row r="1019" spans="12:46" x14ac:dyDescent="0.25">
      <c r="L1019" s="4">
        <v>44083.5</v>
      </c>
      <c r="M1019">
        <v>26.66</v>
      </c>
      <c r="N1019">
        <v>27.29</v>
      </c>
      <c r="O1019">
        <v>26.09</v>
      </c>
      <c r="P1019">
        <v>27.2</v>
      </c>
      <c r="Q1019">
        <v>30267</v>
      </c>
      <c r="R1019">
        <v>407739</v>
      </c>
      <c r="S1019">
        <v>10.6</v>
      </c>
      <c r="T1019">
        <v>10.95</v>
      </c>
      <c r="U1019">
        <v>10.6</v>
      </c>
      <c r="V1019">
        <v>10.734999999999999</v>
      </c>
      <c r="W1019">
        <v>250</v>
      </c>
      <c r="X1019">
        <v>4.3859649122806994E-2</v>
      </c>
      <c r="Y1019">
        <v>0.35305471363448487</v>
      </c>
      <c r="Z1019">
        <v>2.1668640292636545</v>
      </c>
      <c r="AB1019" s="3">
        <f t="shared" si="165"/>
        <v>3.9005000096597464E-3</v>
      </c>
      <c r="AC1019" s="3">
        <f t="shared" si="166"/>
        <v>3.9005000096597464E-3</v>
      </c>
      <c r="AD1019" s="3">
        <f t="shared" si="167"/>
        <v>3.9005000096597464E-3</v>
      </c>
      <c r="AE1019" s="76">
        <f t="shared" si="168"/>
        <v>2640.6904761904734</v>
      </c>
      <c r="AF1019" s="76">
        <f t="shared" si="169"/>
        <v>2640.6904761904734</v>
      </c>
      <c r="AG1019" s="76">
        <f t="shared" si="170"/>
        <v>2640.6904761904734</v>
      </c>
      <c r="AO1019" s="5">
        <f t="shared" si="175"/>
        <v>-2.4672897196261687E-2</v>
      </c>
      <c r="AP1019" s="5">
        <f t="shared" si="171"/>
        <v>0.31999667063898896</v>
      </c>
      <c r="AR1019" s="5" t="str">
        <f t="shared" si="172"/>
        <v/>
      </c>
      <c r="AS1019" s="5" t="str">
        <f t="shared" si="173"/>
        <v/>
      </c>
      <c r="AT1019" s="5" t="str">
        <f t="shared" si="174"/>
        <v/>
      </c>
    </row>
    <row r="1020" spans="12:46" x14ac:dyDescent="0.25">
      <c r="L1020" s="4">
        <v>44082.5</v>
      </c>
      <c r="M1020">
        <v>27.36</v>
      </c>
      <c r="N1020">
        <v>27.97</v>
      </c>
      <c r="O1020">
        <v>26.75</v>
      </c>
      <c r="P1020">
        <v>26.79</v>
      </c>
      <c r="Q1020">
        <v>28212</v>
      </c>
      <c r="R1020">
        <v>407281</v>
      </c>
      <c r="S1020">
        <v>11.4</v>
      </c>
      <c r="T1020">
        <v>11.4</v>
      </c>
      <c r="U1020">
        <v>10.79</v>
      </c>
      <c r="V1020">
        <v>10.8</v>
      </c>
      <c r="W1020">
        <v>436</v>
      </c>
      <c r="X1020">
        <v>4.4590643274853764E-2</v>
      </c>
      <c r="Y1020">
        <v>0.41566097194096968</v>
      </c>
      <c r="Z1020">
        <v>1.9297190051732258</v>
      </c>
      <c r="AB1020" s="3">
        <f t="shared" si="165"/>
        <v>4.0823005437898921E-3</v>
      </c>
      <c r="AC1020" s="3">
        <f t="shared" si="166"/>
        <v>4.0823005437898921E-3</v>
      </c>
      <c r="AD1020" s="3">
        <f t="shared" si="167"/>
        <v>4.0823005437898921E-3</v>
      </c>
      <c r="AE1020" s="76">
        <f t="shared" si="168"/>
        <v>1608.3939393939399</v>
      </c>
      <c r="AF1020" s="76">
        <f t="shared" si="169"/>
        <v>1608.3939393939399</v>
      </c>
      <c r="AG1020" s="76">
        <f t="shared" si="170"/>
        <v>1608.3939393939399</v>
      </c>
      <c r="AO1020" s="5">
        <f t="shared" si="175"/>
        <v>3.3758439609902421E-3</v>
      </c>
      <c r="AP1020" s="5">
        <f t="shared" si="171"/>
        <v>0.31584019900015931</v>
      </c>
      <c r="AR1020" s="5" t="str">
        <f t="shared" si="172"/>
        <v/>
      </c>
      <c r="AS1020" s="5" t="str">
        <f t="shared" si="173"/>
        <v/>
      </c>
      <c r="AT1020" s="5" t="str">
        <f t="shared" si="174"/>
        <v/>
      </c>
    </row>
    <row r="1021" spans="12:46" x14ac:dyDescent="0.25">
      <c r="L1021" s="4">
        <v>44081.5</v>
      </c>
      <c r="M1021">
        <v>27.36</v>
      </c>
      <c r="N1021">
        <v>27.61</v>
      </c>
      <c r="O1021">
        <v>26.66</v>
      </c>
      <c r="P1021">
        <v>27.05</v>
      </c>
      <c r="Q1021">
        <v>22806</v>
      </c>
      <c r="R1021">
        <v>407291</v>
      </c>
      <c r="S1021">
        <v>12.105</v>
      </c>
      <c r="T1021">
        <v>12.105</v>
      </c>
      <c r="U1021">
        <v>11.68</v>
      </c>
      <c r="V1021">
        <v>11.68</v>
      </c>
      <c r="W1021">
        <v>0</v>
      </c>
      <c r="X1021">
        <v>3.328661527680446E-2</v>
      </c>
      <c r="Y1021">
        <v>-0.43646857116413934</v>
      </c>
      <c r="Z1021">
        <v>0.82815969584245974</v>
      </c>
      <c r="AB1021" s="3">
        <f t="shared" si="165"/>
        <v>3.9944656921680893E-3</v>
      </c>
      <c r="AC1021" s="3">
        <f t="shared" si="166"/>
        <v>3.9944656921680893E-3</v>
      </c>
      <c r="AD1021" s="3">
        <f t="shared" si="167"/>
        <v>3.9944656921680893E-3</v>
      </c>
      <c r="AE1021" s="76">
        <f t="shared" si="168"/>
        <v>903.8571428571413</v>
      </c>
      <c r="AF1021" s="76">
        <f t="shared" si="169"/>
        <v>903.8571428571413</v>
      </c>
      <c r="AG1021" s="76">
        <f t="shared" si="170"/>
        <v>903.8571428571413</v>
      </c>
      <c r="AO1021" s="5">
        <f t="shared" si="175"/>
        <v>-2.0213156927600173E-2</v>
      </c>
      <c r="AP1021" s="5">
        <f t="shared" si="171"/>
        <v>0.32123131744005312</v>
      </c>
      <c r="AR1021" s="5" t="str">
        <f t="shared" si="172"/>
        <v/>
      </c>
      <c r="AS1021" s="5" t="str">
        <f t="shared" si="173"/>
        <v/>
      </c>
      <c r="AT1021" s="5" t="str">
        <f t="shared" si="174"/>
        <v/>
      </c>
    </row>
    <row r="1022" spans="12:46" x14ac:dyDescent="0.25">
      <c r="L1022" s="4">
        <v>44078.5</v>
      </c>
      <c r="M1022">
        <v>28.54</v>
      </c>
      <c r="N1022">
        <v>28.96</v>
      </c>
      <c r="O1022">
        <v>27.21</v>
      </c>
      <c r="P1022">
        <v>27.36</v>
      </c>
      <c r="Q1022">
        <v>24229</v>
      </c>
      <c r="R1022">
        <v>407923</v>
      </c>
      <c r="S1022">
        <v>12.105</v>
      </c>
      <c r="T1022">
        <v>12.105</v>
      </c>
      <c r="U1022">
        <v>11.68</v>
      </c>
      <c r="V1022">
        <v>11.68</v>
      </c>
      <c r="W1022">
        <v>63</v>
      </c>
      <c r="X1022">
        <v>6.2056737588652482E-2</v>
      </c>
      <c r="Y1022">
        <v>1.712969047080706</v>
      </c>
      <c r="Z1022">
        <v>1.1829557794455294</v>
      </c>
      <c r="AB1022" s="3">
        <f t="shared" si="165"/>
        <v>3.0550151748305956E-3</v>
      </c>
      <c r="AC1022" s="3">
        <f t="shared" si="166"/>
        <v>3.0550151748305956E-3</v>
      </c>
      <c r="AD1022" s="3">
        <f t="shared" si="167"/>
        <v>3.0550151748305956E-3</v>
      </c>
      <c r="AE1022" s="76">
        <f t="shared" si="168"/>
        <v>-109.31746031746297</v>
      </c>
      <c r="AF1022" s="76">
        <f t="shared" si="169"/>
        <v>-109.31746031746297</v>
      </c>
      <c r="AG1022" s="76">
        <f t="shared" si="170"/>
        <v>-109.31746031746297</v>
      </c>
      <c r="AO1022" s="5">
        <f t="shared" si="175"/>
        <v>-2.8907922912205522E-2</v>
      </c>
      <c r="AP1022" s="5">
        <f t="shared" si="171"/>
        <v>0.31943247330543173</v>
      </c>
      <c r="AR1022" s="5" t="str">
        <f t="shared" si="172"/>
        <v/>
      </c>
      <c r="AS1022" s="5" t="str">
        <f t="shared" si="173"/>
        <v/>
      </c>
      <c r="AT1022" s="5" t="str">
        <f t="shared" si="174"/>
        <v/>
      </c>
    </row>
    <row r="1023" spans="12:46" x14ac:dyDescent="0.25">
      <c r="L1023" s="4">
        <v>44077.5</v>
      </c>
      <c r="M1023">
        <v>28.2</v>
      </c>
      <c r="N1023">
        <v>29.13</v>
      </c>
      <c r="O1023">
        <v>28.02</v>
      </c>
      <c r="P1023">
        <v>28.74</v>
      </c>
      <c r="Q1023">
        <v>20117</v>
      </c>
      <c r="R1023">
        <v>407080</v>
      </c>
      <c r="S1023">
        <v>11.515000000000001</v>
      </c>
      <c r="T1023">
        <v>11.8</v>
      </c>
      <c r="U1023">
        <v>11.5</v>
      </c>
      <c r="V1023">
        <v>11.734999999999999</v>
      </c>
      <c r="W1023">
        <v>373</v>
      </c>
      <c r="X1023">
        <v>3.9942425332853526E-2</v>
      </c>
      <c r="Y1023">
        <v>0.11988827184984151</v>
      </c>
      <c r="Z1023">
        <v>0.26809922382765017</v>
      </c>
      <c r="AB1023" s="3">
        <f t="shared" si="165"/>
        <v>3.2152411955767013E-3</v>
      </c>
      <c r="AC1023" s="3">
        <f t="shared" si="166"/>
        <v>3.2152411955767013E-3</v>
      </c>
      <c r="AD1023" s="3">
        <f t="shared" si="167"/>
        <v>3.2152411955767013E-3</v>
      </c>
      <c r="AE1023" s="76">
        <f t="shared" si="168"/>
        <v>-292.08333333333212</v>
      </c>
      <c r="AF1023" s="76">
        <f t="shared" si="169"/>
        <v>-292.08333333333212</v>
      </c>
      <c r="AG1023" s="76">
        <f t="shared" si="170"/>
        <v>-292.08333333333212</v>
      </c>
      <c r="AO1023" s="5">
        <f t="shared" si="175"/>
        <v>1.4115092290988078E-2</v>
      </c>
      <c r="AP1023" s="5">
        <f t="shared" si="171"/>
        <v>0.30942880126720496</v>
      </c>
      <c r="AR1023" s="5" t="str">
        <f t="shared" si="172"/>
        <v/>
      </c>
      <c r="AS1023" s="5" t="str">
        <f t="shared" si="173"/>
        <v/>
      </c>
      <c r="AT1023" s="5" t="str">
        <f t="shared" si="174"/>
        <v/>
      </c>
    </row>
    <row r="1024" spans="12:46" x14ac:dyDescent="0.25">
      <c r="L1024" s="4">
        <v>44076.5</v>
      </c>
      <c r="M1024">
        <v>27.79</v>
      </c>
      <c r="N1024">
        <v>28.56</v>
      </c>
      <c r="O1024">
        <v>27.63</v>
      </c>
      <c r="P1024">
        <v>28.23</v>
      </c>
      <c r="Q1024">
        <v>25482</v>
      </c>
      <c r="R1024">
        <v>407962</v>
      </c>
      <c r="S1024">
        <v>11.4</v>
      </c>
      <c r="T1024">
        <v>11.4</v>
      </c>
      <c r="U1024">
        <v>10.994999999999999</v>
      </c>
      <c r="V1024">
        <v>11.11</v>
      </c>
      <c r="W1024">
        <v>116</v>
      </c>
      <c r="X1024">
        <v>3.2347826086956515E-2</v>
      </c>
      <c r="Y1024">
        <v>-0.45955722570280982</v>
      </c>
      <c r="Z1024">
        <v>1.5117504371623411</v>
      </c>
      <c r="AB1024" s="3">
        <f t="shared" si="165"/>
        <v>-1.1116941115659959E-3</v>
      </c>
      <c r="AC1024" s="3">
        <f t="shared" si="166"/>
        <v>-1.1116941115659959E-3</v>
      </c>
      <c r="AD1024" s="3">
        <f t="shared" si="167"/>
        <v>-1.1116941115659959E-3</v>
      </c>
      <c r="AE1024" s="76">
        <f t="shared" si="168"/>
        <v>-1310.4285714285725</v>
      </c>
      <c r="AF1024" s="76">
        <f t="shared" si="169"/>
        <v>-1310.4285714285725</v>
      </c>
      <c r="AG1024" s="76">
        <f t="shared" si="170"/>
        <v>-1310.4285714285725</v>
      </c>
      <c r="AO1024" s="5">
        <f t="shared" si="175"/>
        <v>-3.6179450072364557E-4</v>
      </c>
      <c r="AP1024" s="5">
        <f t="shared" si="171"/>
        <v>0.3138526341527742</v>
      </c>
      <c r="AR1024" s="5" t="str">
        <f t="shared" si="172"/>
        <v/>
      </c>
      <c r="AS1024" s="5" t="str">
        <f t="shared" si="173"/>
        <v/>
      </c>
      <c r="AT1024" s="5" t="str">
        <f t="shared" si="174"/>
        <v/>
      </c>
    </row>
    <row r="1025" spans="12:46" x14ac:dyDescent="0.25">
      <c r="L1025" s="4">
        <v>44075.5</v>
      </c>
      <c r="M1025">
        <v>28.75</v>
      </c>
      <c r="N1025">
        <v>28.91</v>
      </c>
      <c r="O1025">
        <v>27.64</v>
      </c>
      <c r="P1025">
        <v>27.74</v>
      </c>
      <c r="Q1025">
        <v>25516</v>
      </c>
      <c r="R1025">
        <v>408318</v>
      </c>
      <c r="S1025">
        <v>11.2</v>
      </c>
      <c r="T1025">
        <v>11.835000000000001</v>
      </c>
      <c r="U1025">
        <v>11.2</v>
      </c>
      <c r="V1025">
        <v>11.295</v>
      </c>
      <c r="W1025">
        <v>376</v>
      </c>
      <c r="X1025">
        <v>4.3036258895289718E-2</v>
      </c>
      <c r="Y1025">
        <v>0.33608192196966002</v>
      </c>
      <c r="Z1025">
        <v>1.618819268110838</v>
      </c>
      <c r="AB1025" s="3">
        <f t="shared" si="165"/>
        <v>-2.4857743963128467E-3</v>
      </c>
      <c r="AC1025" s="3">
        <f t="shared" si="166"/>
        <v>-2.4857743963128467E-3</v>
      </c>
      <c r="AD1025" s="3">
        <f t="shared" si="167"/>
        <v>-2.4857743963128467E-3</v>
      </c>
      <c r="AE1025" s="76">
        <f t="shared" si="168"/>
        <v>-2647.1190476190459</v>
      </c>
      <c r="AF1025" s="76">
        <f t="shared" si="169"/>
        <v>-2647.1190476190459</v>
      </c>
      <c r="AG1025" s="76">
        <f t="shared" si="170"/>
        <v>-2647.1190476190459</v>
      </c>
      <c r="AO1025" s="5">
        <f t="shared" si="175"/>
        <v>-2.3321554770318026E-2</v>
      </c>
      <c r="AP1025" s="5">
        <f t="shared" si="171"/>
        <v>0.31973283112199141</v>
      </c>
      <c r="AR1025" s="5" t="str">
        <f t="shared" si="172"/>
        <v/>
      </c>
      <c r="AS1025" s="5" t="str">
        <f t="shared" si="173"/>
        <v/>
      </c>
      <c r="AT1025" s="5" t="str">
        <f t="shared" si="174"/>
        <v/>
      </c>
    </row>
    <row r="1026" spans="12:46" x14ac:dyDescent="0.25">
      <c r="L1026" s="4">
        <v>44074.5</v>
      </c>
      <c r="M1026">
        <v>29.51</v>
      </c>
      <c r="N1026">
        <v>30.16</v>
      </c>
      <c r="O1026">
        <v>28.3</v>
      </c>
      <c r="P1026">
        <v>28.66</v>
      </c>
      <c r="Q1026">
        <v>15340</v>
      </c>
      <c r="R1026">
        <v>408185</v>
      </c>
      <c r="S1026">
        <v>11.24</v>
      </c>
      <c r="T1026">
        <v>11.24</v>
      </c>
      <c r="U1026">
        <v>11.24</v>
      </c>
      <c r="V1026">
        <v>11.24</v>
      </c>
      <c r="W1026">
        <v>0</v>
      </c>
      <c r="X1026">
        <v>6.5263157894736828E-2</v>
      </c>
      <c r="Y1026">
        <v>1.9894461467044731</v>
      </c>
      <c r="Z1026">
        <v>-0.75951518075165203</v>
      </c>
      <c r="AB1026" s="3">
        <f t="shared" si="165"/>
        <v>-3.2619684998628218E-3</v>
      </c>
      <c r="AC1026" s="3">
        <f t="shared" si="166"/>
        <v>-3.2619684998628218E-3</v>
      </c>
      <c r="AD1026" s="3">
        <f t="shared" si="167"/>
        <v>-3.2619684998628218E-3</v>
      </c>
      <c r="AE1026" s="76">
        <f t="shared" si="168"/>
        <v>-4599.6476190476169</v>
      </c>
      <c r="AF1026" s="76">
        <f t="shared" si="169"/>
        <v>-4599.6476190476169</v>
      </c>
      <c r="AG1026" s="76">
        <f t="shared" si="170"/>
        <v>-4599.6476190476169</v>
      </c>
      <c r="AO1026" s="5">
        <f t="shared" si="175"/>
        <v>-5.2724077328646247E-3</v>
      </c>
      <c r="AP1026" s="5">
        <f t="shared" si="171"/>
        <v>0.31326252565034496</v>
      </c>
      <c r="AR1026" s="5" t="str">
        <f t="shared" si="172"/>
        <v/>
      </c>
      <c r="AS1026" s="5" t="str">
        <f t="shared" si="173"/>
        <v/>
      </c>
      <c r="AT1026" s="5" t="str">
        <f t="shared" si="174"/>
        <v/>
      </c>
    </row>
    <row r="1027" spans="12:46" x14ac:dyDescent="0.25">
      <c r="L1027" s="4">
        <v>44071.5</v>
      </c>
      <c r="M1027">
        <v>28.5</v>
      </c>
      <c r="N1027">
        <v>29.92</v>
      </c>
      <c r="O1027">
        <v>28.45</v>
      </c>
      <c r="P1027">
        <v>29.52</v>
      </c>
      <c r="Q1027">
        <v>26639</v>
      </c>
      <c r="R1027">
        <v>407363</v>
      </c>
      <c r="S1027">
        <v>11.125</v>
      </c>
      <c r="T1027">
        <v>11.175000000000001</v>
      </c>
      <c r="U1027">
        <v>11.125</v>
      </c>
      <c r="V1027">
        <v>11.17</v>
      </c>
      <c r="W1027">
        <v>20</v>
      </c>
      <c r="X1027">
        <v>5.1542776998597564E-2</v>
      </c>
      <c r="Y1027">
        <v>1.1361168197668572</v>
      </c>
      <c r="Z1027">
        <v>1.9714594735709057</v>
      </c>
      <c r="AB1027" s="3">
        <f t="shared" si="165"/>
        <v>-2.695075482700704E-3</v>
      </c>
      <c r="AC1027" s="3">
        <f t="shared" si="166"/>
        <v>-2.695075482700704E-3</v>
      </c>
      <c r="AD1027" s="3">
        <f t="shared" si="167"/>
        <v>-2.695075482700704E-3</v>
      </c>
      <c r="AE1027" s="76">
        <f t="shared" si="168"/>
        <v>-5110.6190476190459</v>
      </c>
      <c r="AF1027" s="76">
        <f t="shared" si="169"/>
        <v>-5110.6190476190459</v>
      </c>
      <c r="AG1027" s="76">
        <f t="shared" si="170"/>
        <v>-5110.6190476190459</v>
      </c>
      <c r="AO1027" s="5">
        <f t="shared" si="175"/>
        <v>1.3898788310762673E-2</v>
      </c>
      <c r="AP1027" s="5">
        <f t="shared" si="171"/>
        <v>0.31794485947814627</v>
      </c>
      <c r="AR1027" s="5" t="str">
        <f t="shared" si="172"/>
        <v/>
      </c>
      <c r="AS1027" s="5" t="str">
        <f t="shared" si="173"/>
        <v/>
      </c>
      <c r="AT1027" s="5" t="str">
        <f t="shared" si="174"/>
        <v/>
      </c>
    </row>
    <row r="1028" spans="12:46" x14ac:dyDescent="0.25">
      <c r="L1028" s="4">
        <v>44070.5</v>
      </c>
      <c r="M1028">
        <v>28.52</v>
      </c>
      <c r="N1028">
        <v>29.08</v>
      </c>
      <c r="O1028">
        <v>28.06</v>
      </c>
      <c r="P1028">
        <v>28.37</v>
      </c>
      <c r="Q1028">
        <v>22860</v>
      </c>
      <c r="R1028">
        <v>407881</v>
      </c>
      <c r="S1028">
        <v>9.25</v>
      </c>
      <c r="T1028">
        <v>9.2750000000000004</v>
      </c>
      <c r="U1028">
        <v>8.8699999999999992</v>
      </c>
      <c r="V1028">
        <v>8.8699999999999992</v>
      </c>
      <c r="W1028">
        <v>0</v>
      </c>
      <c r="X1028">
        <v>3.5589672016748064E-2</v>
      </c>
      <c r="Y1028">
        <v>-8.611956026261311E-2</v>
      </c>
      <c r="Z1028">
        <v>1.2156602834366299</v>
      </c>
      <c r="AB1028" s="3">
        <f t="shared" si="165"/>
        <v>-1.2613547692349319E-4</v>
      </c>
      <c r="AC1028" s="3">
        <f t="shared" si="166"/>
        <v>-1.2613547692349319E-4</v>
      </c>
      <c r="AD1028" s="3">
        <f t="shared" si="167"/>
        <v>-1.2613547692349319E-4</v>
      </c>
      <c r="AE1028" s="76">
        <f t="shared" si="168"/>
        <v>-5904.5714285714312</v>
      </c>
      <c r="AF1028" s="76">
        <f t="shared" si="169"/>
        <v>-5904.5714285714312</v>
      </c>
      <c r="AG1028" s="76">
        <f t="shared" si="170"/>
        <v>-5904.5714285714312</v>
      </c>
      <c r="AO1028" s="5">
        <f t="shared" si="175"/>
        <v>-8.8308018368067828E-3</v>
      </c>
      <c r="AP1028" s="5">
        <f t="shared" si="171"/>
        <v>0.32391003410146729</v>
      </c>
      <c r="AR1028" s="5" t="str">
        <f t="shared" si="172"/>
        <v/>
      </c>
      <c r="AS1028" s="5" t="str">
        <f t="shared" si="173"/>
        <v/>
      </c>
      <c r="AT1028" s="5" t="str">
        <f t="shared" si="174"/>
        <v/>
      </c>
    </row>
    <row r="1029" spans="12:46" x14ac:dyDescent="0.25">
      <c r="L1029" s="4">
        <v>44069.5</v>
      </c>
      <c r="M1029">
        <v>28.66</v>
      </c>
      <c r="N1029">
        <v>29.21</v>
      </c>
      <c r="O1029">
        <v>28.31</v>
      </c>
      <c r="P1029">
        <v>28.62</v>
      </c>
      <c r="Q1029">
        <v>18770</v>
      </c>
      <c r="R1029">
        <v>408749</v>
      </c>
      <c r="S1029">
        <v>9.34</v>
      </c>
      <c r="T1029">
        <v>9.34</v>
      </c>
      <c r="U1029">
        <v>9.15</v>
      </c>
      <c r="V1029">
        <v>9.15</v>
      </c>
      <c r="W1029">
        <v>36</v>
      </c>
      <c r="X1029">
        <v>3.2526201662450384E-2</v>
      </c>
      <c r="Y1029">
        <v>-0.3283733722815827</v>
      </c>
      <c r="Z1029">
        <v>0.20032035312546484</v>
      </c>
      <c r="AB1029" s="3">
        <f t="shared" si="165"/>
        <v>1.4701519539567845E-3</v>
      </c>
      <c r="AC1029" s="3">
        <f t="shared" si="166"/>
        <v>1.4701519539567845E-3</v>
      </c>
      <c r="AD1029" s="3">
        <f t="shared" si="167"/>
        <v>1.4701519539567845E-3</v>
      </c>
      <c r="AE1029" s="76">
        <f t="shared" si="168"/>
        <v>-6739.2619047619046</v>
      </c>
      <c r="AF1029" s="76">
        <f t="shared" si="169"/>
        <v>-6739.2619047619046</v>
      </c>
      <c r="AG1029" s="76">
        <f t="shared" si="170"/>
        <v>-6739.2619047619046</v>
      </c>
      <c r="AO1029" s="5">
        <f t="shared" si="175"/>
        <v>3.3211678832116794E-2</v>
      </c>
      <c r="AP1029" s="5">
        <f t="shared" si="171"/>
        <v>0.32759934809898961</v>
      </c>
      <c r="AR1029" s="5" t="str">
        <f t="shared" si="172"/>
        <v/>
      </c>
      <c r="AS1029" s="5" t="str">
        <f t="shared" si="173"/>
        <v/>
      </c>
      <c r="AT1029" s="5" t="str">
        <f t="shared" si="174"/>
        <v/>
      </c>
    </row>
    <row r="1030" spans="12:46" x14ac:dyDescent="0.25">
      <c r="L1030" s="4">
        <v>44068.5</v>
      </c>
      <c r="M1030">
        <v>27.67</v>
      </c>
      <c r="N1030">
        <v>28.78</v>
      </c>
      <c r="O1030">
        <v>27.4</v>
      </c>
      <c r="P1030">
        <v>28.61</v>
      </c>
      <c r="Q1030">
        <v>22839</v>
      </c>
      <c r="R1030">
        <v>408708</v>
      </c>
      <c r="S1030">
        <v>8.36</v>
      </c>
      <c r="T1030">
        <v>8.89</v>
      </c>
      <c r="U1030">
        <v>8.36</v>
      </c>
      <c r="V1030">
        <v>8.8650000000000002</v>
      </c>
      <c r="W1030">
        <v>114</v>
      </c>
      <c r="X1030">
        <v>5.3488372093023352E-2</v>
      </c>
      <c r="Y1030">
        <v>1.2729903575956325</v>
      </c>
      <c r="Z1030">
        <v>1.259566138430946</v>
      </c>
      <c r="AB1030" s="3" t="e">
        <f t="shared" si="165"/>
        <v>#DIV/0!</v>
      </c>
      <c r="AC1030" s="3" t="e">
        <f t="shared" si="166"/>
        <v>#DIV/0!</v>
      </c>
      <c r="AD1030" s="3" t="e">
        <f t="shared" si="167"/>
        <v>#DIV/0!</v>
      </c>
      <c r="AE1030" s="76">
        <f t="shared" si="168"/>
        <v>-8764.4761904761908</v>
      </c>
      <c r="AF1030" s="76">
        <f t="shared" si="169"/>
        <v>-8764.4761904761908</v>
      </c>
      <c r="AG1030" s="76">
        <f t="shared" si="170"/>
        <v>-8764.4761904761908</v>
      </c>
      <c r="AO1030" s="5">
        <f t="shared" si="175"/>
        <v>6.2015503875968908E-2</v>
      </c>
      <c r="AP1030" s="5">
        <f t="shared" si="171"/>
        <v>0.32102131854993754</v>
      </c>
      <c r="AR1030" s="5" t="str">
        <f t="shared" si="172"/>
        <v/>
      </c>
      <c r="AS1030" s="5" t="str">
        <f t="shared" si="173"/>
        <v/>
      </c>
      <c r="AT1030" s="5" t="str">
        <f t="shared" si="174"/>
        <v/>
      </c>
    </row>
    <row r="1031" spans="12:46" x14ac:dyDescent="0.25">
      <c r="L1031" s="4">
        <v>44067.5</v>
      </c>
      <c r="M1031">
        <v>25.8</v>
      </c>
      <c r="N1031">
        <v>27.68</v>
      </c>
      <c r="O1031">
        <v>25.8</v>
      </c>
      <c r="P1031">
        <v>27.48</v>
      </c>
      <c r="Q1031">
        <v>19529</v>
      </c>
      <c r="R1031">
        <v>411255</v>
      </c>
      <c r="S1031">
        <v>8.125</v>
      </c>
      <c r="T1031">
        <v>8.3650000000000002</v>
      </c>
      <c r="U1031">
        <v>8.0500000000000007</v>
      </c>
      <c r="V1031">
        <v>8.36</v>
      </c>
      <c r="W1031">
        <v>444</v>
      </c>
      <c r="X1031">
        <v>7.2868217054263523E-2</v>
      </c>
      <c r="Y1031">
        <v>2.878393509935318</v>
      </c>
      <c r="Z1031">
        <v>0.46936635788184577</v>
      </c>
      <c r="AB1031" s="3" t="e">
        <f t="shared" si="165"/>
        <v>#DIV/0!</v>
      </c>
      <c r="AC1031" s="3" t="e">
        <f t="shared" si="166"/>
        <v>#DIV/0!</v>
      </c>
      <c r="AD1031" s="3" t="e">
        <f t="shared" si="167"/>
        <v>#DIV/0!</v>
      </c>
      <c r="AE1031" s="76" t="e">
        <f t="shared" si="168"/>
        <v>#DIV/0!</v>
      </c>
      <c r="AF1031" s="76" t="e">
        <f t="shared" si="169"/>
        <v>#DIV/0!</v>
      </c>
      <c r="AG1031" s="76" t="e">
        <f t="shared" si="170"/>
        <v>#DIV/0!</v>
      </c>
      <c r="AO1031" s="5">
        <f t="shared" si="175"/>
        <v>2.0166073546856528E-2</v>
      </c>
      <c r="AP1031" s="5">
        <f t="shared" si="171"/>
        <v>0.25113062526424657</v>
      </c>
      <c r="AR1031" s="5" t="str">
        <f t="shared" si="172"/>
        <v/>
      </c>
      <c r="AS1031" s="5" t="str">
        <f t="shared" si="173"/>
        <v/>
      </c>
      <c r="AT1031" s="5" t="str">
        <f t="shared" si="174"/>
        <v/>
      </c>
    </row>
    <row r="1032" spans="12:46" x14ac:dyDescent="0.25">
      <c r="L1032" s="4">
        <v>44064.5</v>
      </c>
      <c r="M1032">
        <v>25.8</v>
      </c>
      <c r="N1032">
        <v>25.95</v>
      </c>
      <c r="O1032">
        <v>25.29</v>
      </c>
      <c r="P1032">
        <v>25.65</v>
      </c>
      <c r="Q1032">
        <v>11897</v>
      </c>
      <c r="R1032">
        <v>410470</v>
      </c>
      <c r="S1032">
        <v>7.9749999999999996</v>
      </c>
      <c r="T1032">
        <v>7.9749999999999996</v>
      </c>
      <c r="U1032">
        <v>7.47</v>
      </c>
      <c r="V1032">
        <v>7.62</v>
      </c>
      <c r="W1032">
        <v>95</v>
      </c>
      <c r="X1032">
        <v>2.5229357798165142E-2</v>
      </c>
      <c r="Y1032">
        <v>-0.92315677047657552</v>
      </c>
      <c r="Z1032">
        <v>-1.4892742859553951</v>
      </c>
      <c r="AB1032" s="3" t="e">
        <f t="shared" si="165"/>
        <v>#DIV/0!</v>
      </c>
      <c r="AC1032" s="3" t="e">
        <f t="shared" si="166"/>
        <v>#DIV/0!</v>
      </c>
      <c r="AD1032" s="3" t="e">
        <f t="shared" si="167"/>
        <v>#DIV/0!</v>
      </c>
      <c r="AE1032" s="76" t="e">
        <f t="shared" si="168"/>
        <v>#DIV/0!</v>
      </c>
      <c r="AF1032" s="76" t="e">
        <f t="shared" si="169"/>
        <v>#DIV/0!</v>
      </c>
      <c r="AG1032" s="76" t="e">
        <f t="shared" si="170"/>
        <v>#DIV/0!</v>
      </c>
      <c r="AO1032" s="5">
        <f t="shared" si="175"/>
        <v>-1.4419329696024981E-2</v>
      </c>
      <c r="AP1032" s="5">
        <f t="shared" si="171"/>
        <v>0.24846947876620035</v>
      </c>
      <c r="AR1032" s="5" t="str">
        <f t="shared" si="172"/>
        <v/>
      </c>
      <c r="AS1032" s="5" t="str">
        <f t="shared" si="173"/>
        <v/>
      </c>
      <c r="AT1032" s="5" t="str">
        <f t="shared" si="174"/>
        <v/>
      </c>
    </row>
    <row r="1033" spans="12:46" x14ac:dyDescent="0.25">
      <c r="L1033" s="4">
        <v>44063.5</v>
      </c>
      <c r="M1033">
        <v>26.16</v>
      </c>
      <c r="N1033">
        <v>26.28</v>
      </c>
      <c r="O1033">
        <v>25.66</v>
      </c>
      <c r="P1033">
        <v>25.9</v>
      </c>
      <c r="Q1033">
        <v>15251</v>
      </c>
      <c r="R1033">
        <v>410900</v>
      </c>
      <c r="S1033">
        <v>8.3249999999999993</v>
      </c>
      <c r="T1033">
        <v>8.375</v>
      </c>
      <c r="U1033">
        <v>8.15</v>
      </c>
      <c r="V1033">
        <v>8.15</v>
      </c>
      <c r="W1033">
        <v>578</v>
      </c>
      <c r="X1033">
        <v>2.3396226415094378E-2</v>
      </c>
      <c r="Y1033">
        <v>-1.1608271844051434</v>
      </c>
      <c r="Z1033">
        <v>-0.72836494544776043</v>
      </c>
      <c r="AB1033" s="3" t="e">
        <f t="shared" ref="AB1033:AB1050" si="176">AVERAGEA(X1033:X1053)-AVERAGE(X1054:X1074)</f>
        <v>#DIV/0!</v>
      </c>
      <c r="AC1033" s="3" t="e">
        <f t="shared" ref="AC1033:AC1050" si="177">AVERAGEA(X1033:X1053)-AVERAGE(X1054:X1109)</f>
        <v>#DIV/0!</v>
      </c>
      <c r="AD1033" s="3" t="e">
        <f t="shared" ref="AD1033:AD1050" si="178">AVERAGEA(X1033:X1053)-AVERAGE(X1054:X1166)</f>
        <v>#DIV/0!</v>
      </c>
      <c r="AE1033" s="76" t="e">
        <f t="shared" ref="AE1033:AE1050" si="179">AVERAGEA(Q1033:Q1053)-AVERAGE(Q1054:Q1074)</f>
        <v>#DIV/0!</v>
      </c>
      <c r="AF1033" s="76" t="e">
        <f t="shared" ref="AF1033:AF1050" si="180">AVERAGEA(Q1033:Q1053)-AVERAGE(Q1054:Q1109)</f>
        <v>#DIV/0!</v>
      </c>
      <c r="AG1033" s="76" t="e">
        <f t="shared" ref="AG1033:AG1050" si="181">AVERAGEA(Q1033:Q1053)-AVERAGE(Q1054:Q1166)</f>
        <v>#DIV/0!</v>
      </c>
      <c r="AO1033" s="5">
        <f t="shared" si="175"/>
        <v>-1.4971209213051844E-2</v>
      </c>
      <c r="AP1033" s="5">
        <f t="shared" ref="AP1033:AP1050" si="182">_xlfn.STDEV.S(AO1033:AO1292)*SQRT(252)</f>
        <v>0.24819067110874912</v>
      </c>
      <c r="AR1033" s="5" t="str">
        <f t="shared" ref="AR1033:AR1049" si="183">IFERROR(AVERAGEA(AP1033:AP1053)-AVERAGE(AP1054:AP1074),"")</f>
        <v/>
      </c>
      <c r="AS1033" s="5" t="str">
        <f t="shared" ref="AS1033:AS1049" si="184">IFERROR(AVERAGEA(AP1033:AP1053)-AVERAGE(AP1054:AP1109),"")</f>
        <v/>
      </c>
      <c r="AT1033" s="5" t="str">
        <f t="shared" ref="AT1033:AT1049" si="185">IFERROR(AVERAGEA(AP1033:AP1053)-AVERAGE(AP1054:AP1166),"")</f>
        <v/>
      </c>
    </row>
    <row r="1034" spans="12:46" x14ac:dyDescent="0.25">
      <c r="L1034" s="4">
        <v>44062.5</v>
      </c>
      <c r="M1034">
        <v>26.5</v>
      </c>
      <c r="N1034">
        <v>26.84</v>
      </c>
      <c r="O1034">
        <v>26.05</v>
      </c>
      <c r="P1034">
        <v>26.23</v>
      </c>
      <c r="Q1034">
        <v>15499</v>
      </c>
      <c r="R1034">
        <v>412522</v>
      </c>
      <c r="S1034">
        <v>8.8149999999999995</v>
      </c>
      <c r="T1034">
        <v>8.85</v>
      </c>
      <c r="U1034">
        <v>8.23</v>
      </c>
      <c r="V1034">
        <v>8.3550000000000004</v>
      </c>
      <c r="W1034">
        <v>51</v>
      </c>
      <c r="X1034">
        <v>3.0118185284025892E-2</v>
      </c>
      <c r="Y1034">
        <v>-0.54242946023448801</v>
      </c>
      <c r="Z1034">
        <v>-0.69330376924235382</v>
      </c>
      <c r="AB1034" s="3" t="e">
        <f t="shared" si="176"/>
        <v>#DIV/0!</v>
      </c>
      <c r="AC1034" s="3" t="e">
        <f t="shared" si="177"/>
        <v>#DIV/0!</v>
      </c>
      <c r="AD1034" s="3" t="e">
        <f t="shared" si="178"/>
        <v>#DIV/0!</v>
      </c>
      <c r="AE1034" s="76" t="e">
        <f t="shared" si="179"/>
        <v>#DIV/0!</v>
      </c>
      <c r="AF1034" s="76" t="e">
        <f t="shared" si="180"/>
        <v>#DIV/0!</v>
      </c>
      <c r="AG1034" s="76" t="e">
        <f t="shared" si="181"/>
        <v>#DIV/0!</v>
      </c>
      <c r="AO1034" s="5">
        <f t="shared" ref="AO1034:AO1050" si="186">IFERROR((O1034-O1035)/O1035,"")</f>
        <v>1.9230769230769505E-3</v>
      </c>
      <c r="AP1034" s="5">
        <f t="shared" si="182"/>
        <v>0.24630245561234895</v>
      </c>
      <c r="AR1034" s="5" t="str">
        <f t="shared" si="183"/>
        <v/>
      </c>
      <c r="AS1034" s="5" t="str">
        <f t="shared" si="184"/>
        <v/>
      </c>
      <c r="AT1034" s="5" t="str">
        <f t="shared" si="185"/>
        <v/>
      </c>
    </row>
    <row r="1035" spans="12:46" x14ac:dyDescent="0.25">
      <c r="L1035" s="4">
        <v>44061.5</v>
      </c>
      <c r="M1035">
        <v>26.23</v>
      </c>
      <c r="N1035">
        <v>26.83</v>
      </c>
      <c r="O1035">
        <v>26</v>
      </c>
      <c r="P1035">
        <v>26.55</v>
      </c>
      <c r="Q1035">
        <v>17472</v>
      </c>
      <c r="R1035">
        <v>413410</v>
      </c>
      <c r="S1035">
        <v>8.2249999999999996</v>
      </c>
      <c r="T1035">
        <v>8.7200000000000006</v>
      </c>
      <c r="U1035">
        <v>8.2249999999999996</v>
      </c>
      <c r="V1035">
        <v>8.5500000000000007</v>
      </c>
      <c r="W1035">
        <v>145</v>
      </c>
      <c r="X1035">
        <v>3.2245532245532178E-2</v>
      </c>
      <c r="Y1035">
        <v>-0.34588179634430627</v>
      </c>
      <c r="Z1035">
        <v>-0.20771868246592851</v>
      </c>
      <c r="AB1035" s="3" t="e">
        <f t="shared" si="176"/>
        <v>#DIV/0!</v>
      </c>
      <c r="AC1035" s="3" t="e">
        <f t="shared" si="177"/>
        <v>#DIV/0!</v>
      </c>
      <c r="AD1035" s="3" t="e">
        <f t="shared" si="178"/>
        <v>#DIV/0!</v>
      </c>
      <c r="AE1035" s="76" t="e">
        <f t="shared" si="179"/>
        <v>#DIV/0!</v>
      </c>
      <c r="AF1035" s="76" t="e">
        <f t="shared" si="180"/>
        <v>#DIV/0!</v>
      </c>
      <c r="AG1035" s="76" t="e">
        <f t="shared" si="181"/>
        <v>#DIV/0!</v>
      </c>
      <c r="AO1035" s="5">
        <f t="shared" si="186"/>
        <v>3.7509976057462147E-2</v>
      </c>
      <c r="AP1035" s="5">
        <f t="shared" si="182"/>
        <v>0.25434223401895345</v>
      </c>
      <c r="AR1035" s="5" t="str">
        <f t="shared" si="183"/>
        <v/>
      </c>
      <c r="AS1035" s="5" t="str">
        <f t="shared" si="184"/>
        <v/>
      </c>
      <c r="AT1035" s="5" t="str">
        <f t="shared" si="185"/>
        <v/>
      </c>
    </row>
    <row r="1036" spans="12:46" x14ac:dyDescent="0.25">
      <c r="L1036" s="4">
        <v>44060.5</v>
      </c>
      <c r="M1036">
        <v>25.74</v>
      </c>
      <c r="N1036">
        <v>26.38</v>
      </c>
      <c r="O1036">
        <v>25.06</v>
      </c>
      <c r="P1036">
        <v>26.3</v>
      </c>
      <c r="Q1036">
        <v>21701</v>
      </c>
      <c r="R1036">
        <v>412856</v>
      </c>
      <c r="S1036">
        <v>8.26</v>
      </c>
      <c r="T1036">
        <v>8.51</v>
      </c>
      <c r="U1036">
        <v>8.15</v>
      </c>
      <c r="V1036">
        <v>8.18</v>
      </c>
      <c r="W1036">
        <v>95</v>
      </c>
      <c r="X1036">
        <v>5.1866404715127712E-2</v>
      </c>
      <c r="Y1036">
        <v>1.5899807256858576</v>
      </c>
      <c r="Z1036">
        <v>0.85709112255504805</v>
      </c>
      <c r="AB1036" s="3" t="e">
        <f t="shared" si="176"/>
        <v>#DIV/0!</v>
      </c>
      <c r="AC1036" s="3" t="e">
        <f t="shared" si="177"/>
        <v>#DIV/0!</v>
      </c>
      <c r="AD1036" s="3" t="e">
        <f t="shared" si="178"/>
        <v>#DIV/0!</v>
      </c>
      <c r="AE1036" s="76" t="e">
        <f t="shared" si="179"/>
        <v>#DIV/0!</v>
      </c>
      <c r="AF1036" s="76" t="e">
        <f t="shared" si="180"/>
        <v>#DIV/0!</v>
      </c>
      <c r="AG1036" s="76" t="e">
        <f t="shared" si="181"/>
        <v>#DIV/0!</v>
      </c>
      <c r="AO1036" s="5">
        <f t="shared" si="186"/>
        <v>4.8115477145147332E-3</v>
      </c>
      <c r="AP1036" s="5">
        <f t="shared" si="182"/>
        <v>0.21559191902320782</v>
      </c>
      <c r="AR1036" s="5" t="str">
        <f t="shared" si="183"/>
        <v/>
      </c>
      <c r="AS1036" s="5" t="str">
        <f t="shared" si="184"/>
        <v/>
      </c>
      <c r="AT1036" s="5" t="str">
        <f t="shared" si="185"/>
        <v/>
      </c>
    </row>
    <row r="1037" spans="12:46" x14ac:dyDescent="0.25">
      <c r="L1037" s="4">
        <v>44057.5</v>
      </c>
      <c r="M1037">
        <v>25.45</v>
      </c>
      <c r="N1037">
        <v>25.57</v>
      </c>
      <c r="O1037">
        <v>24.94</v>
      </c>
      <c r="P1037">
        <v>25.48</v>
      </c>
      <c r="Q1037">
        <v>14615</v>
      </c>
      <c r="R1037">
        <v>414745</v>
      </c>
      <c r="S1037">
        <v>7.45</v>
      </c>
      <c r="T1037">
        <v>8.15</v>
      </c>
      <c r="U1037">
        <v>7.38</v>
      </c>
      <c r="V1037">
        <v>8.02</v>
      </c>
      <c r="W1037">
        <v>325</v>
      </c>
      <c r="X1037">
        <v>2.4147182828669952E-2</v>
      </c>
      <c r="Y1037">
        <v>-1.1249082810711455</v>
      </c>
      <c r="Z1037">
        <v>-0.87373334843290751</v>
      </c>
      <c r="AB1037" s="3" t="e">
        <f t="shared" si="176"/>
        <v>#DIV/0!</v>
      </c>
      <c r="AC1037" s="3" t="e">
        <f t="shared" si="177"/>
        <v>#DIV/0!</v>
      </c>
      <c r="AD1037" s="3" t="e">
        <f t="shared" si="178"/>
        <v>#DIV/0!</v>
      </c>
      <c r="AE1037" s="76" t="e">
        <f t="shared" si="179"/>
        <v>#DIV/0!</v>
      </c>
      <c r="AF1037" s="76" t="e">
        <f t="shared" si="180"/>
        <v>#DIV/0!</v>
      </c>
      <c r="AG1037" s="76" t="e">
        <f t="shared" si="181"/>
        <v>#DIV/0!</v>
      </c>
      <c r="AO1037" s="5">
        <f t="shared" si="186"/>
        <v>-1.2668250197941419E-2</v>
      </c>
      <c r="AP1037" s="5">
        <f t="shared" si="182"/>
        <v>0.22295484519367359</v>
      </c>
      <c r="AR1037" s="5" t="str">
        <f t="shared" si="183"/>
        <v/>
      </c>
      <c r="AS1037" s="5" t="str">
        <f t="shared" si="184"/>
        <v/>
      </c>
      <c r="AT1037" s="5" t="str">
        <f t="shared" si="185"/>
        <v/>
      </c>
    </row>
    <row r="1038" spans="12:46" x14ac:dyDescent="0.25">
      <c r="L1038" s="4">
        <v>44056.5</v>
      </c>
      <c r="M1038">
        <v>26.09</v>
      </c>
      <c r="N1038">
        <v>26.27</v>
      </c>
      <c r="O1038">
        <v>25.26</v>
      </c>
      <c r="P1038">
        <v>25.43</v>
      </c>
      <c r="Q1038">
        <v>22285</v>
      </c>
      <c r="R1038">
        <v>415677</v>
      </c>
      <c r="S1038">
        <v>7.4</v>
      </c>
      <c r="T1038">
        <v>7.48</v>
      </c>
      <c r="U1038">
        <v>7.2850000000000001</v>
      </c>
      <c r="V1038">
        <v>7.31</v>
      </c>
      <c r="W1038">
        <v>137</v>
      </c>
      <c r="X1038">
        <v>3.8846153846153766E-2</v>
      </c>
      <c r="Y1038">
        <v>0.35986035667186761</v>
      </c>
      <c r="Z1038">
        <v>0.98474513456556023</v>
      </c>
      <c r="AB1038" s="3" t="e">
        <f t="shared" si="176"/>
        <v>#DIV/0!</v>
      </c>
      <c r="AC1038" s="3" t="e">
        <f t="shared" si="177"/>
        <v>#DIV/0!</v>
      </c>
      <c r="AD1038" s="3" t="e">
        <f t="shared" si="178"/>
        <v>#DIV/0!</v>
      </c>
      <c r="AE1038" s="76" t="e">
        <f t="shared" si="179"/>
        <v>#DIV/0!</v>
      </c>
      <c r="AF1038" s="76" t="e">
        <f t="shared" si="180"/>
        <v>#DIV/0!</v>
      </c>
      <c r="AG1038" s="76" t="e">
        <f t="shared" si="181"/>
        <v>#DIV/0!</v>
      </c>
      <c r="AO1038" s="5">
        <f t="shared" si="186"/>
        <v>-1.2509773260359529E-2</v>
      </c>
      <c r="AP1038" s="5">
        <f t="shared" si="182"/>
        <v>0.22353463678724583</v>
      </c>
      <c r="AR1038" s="5" t="str">
        <f t="shared" si="183"/>
        <v/>
      </c>
      <c r="AS1038" s="5" t="str">
        <f t="shared" si="184"/>
        <v/>
      </c>
      <c r="AT1038" s="5" t="str">
        <f t="shared" si="185"/>
        <v/>
      </c>
    </row>
    <row r="1039" spans="12:46" x14ac:dyDescent="0.25">
      <c r="L1039" s="4">
        <v>44055.5</v>
      </c>
      <c r="M1039">
        <v>26</v>
      </c>
      <c r="N1039">
        <v>26.07</v>
      </c>
      <c r="O1039">
        <v>25.58</v>
      </c>
      <c r="P1039">
        <v>25.97</v>
      </c>
      <c r="Q1039">
        <v>16164</v>
      </c>
      <c r="R1039">
        <v>418768</v>
      </c>
      <c r="S1039">
        <v>7.1749999999999998</v>
      </c>
      <c r="T1039">
        <v>7.1749999999999998</v>
      </c>
      <c r="U1039">
        <v>7</v>
      </c>
      <c r="V1039">
        <v>7.17</v>
      </c>
      <c r="W1039">
        <v>196</v>
      </c>
      <c r="X1039">
        <v>1.8229166666666741E-2</v>
      </c>
      <c r="Y1039">
        <v>-1.7724011548213041</v>
      </c>
      <c r="Z1039">
        <v>-0.46814725783635197</v>
      </c>
      <c r="AB1039" s="3" t="e">
        <f t="shared" si="176"/>
        <v>#DIV/0!</v>
      </c>
      <c r="AC1039" s="3" t="e">
        <f t="shared" si="177"/>
        <v>#DIV/0!</v>
      </c>
      <c r="AD1039" s="3" t="e">
        <f t="shared" si="178"/>
        <v>#DIV/0!</v>
      </c>
      <c r="AE1039" s="76" t="e">
        <f t="shared" si="179"/>
        <v>#DIV/0!</v>
      </c>
      <c r="AF1039" s="76" t="e">
        <f t="shared" si="180"/>
        <v>#DIV/0!</v>
      </c>
      <c r="AG1039" s="76" t="e">
        <f t="shared" si="181"/>
        <v>#DIV/0!</v>
      </c>
      <c r="AO1039" s="5">
        <f t="shared" si="186"/>
        <v>-1.9923371647509697E-2</v>
      </c>
      <c r="AP1039" s="5">
        <f t="shared" si="182"/>
        <v>0.22288553496889668</v>
      </c>
      <c r="AR1039" s="5" t="str">
        <f t="shared" si="183"/>
        <v/>
      </c>
      <c r="AS1039" s="5" t="str">
        <f t="shared" si="184"/>
        <v/>
      </c>
      <c r="AT1039" s="5" t="str">
        <f t="shared" si="185"/>
        <v/>
      </c>
    </row>
    <row r="1040" spans="12:46" x14ac:dyDescent="0.25">
      <c r="L1040" s="4">
        <v>44054.5</v>
      </c>
      <c r="M1040">
        <v>26.88</v>
      </c>
      <c r="N1040">
        <v>27.17</v>
      </c>
      <c r="O1040">
        <v>26.1</v>
      </c>
      <c r="P1040">
        <v>26.19</v>
      </c>
      <c r="Q1040">
        <v>14891</v>
      </c>
      <c r="R1040">
        <v>418634</v>
      </c>
      <c r="S1040">
        <v>7.4950000000000001</v>
      </c>
      <c r="T1040">
        <v>7.9349999999999996</v>
      </c>
      <c r="U1040">
        <v>7.415</v>
      </c>
      <c r="V1040">
        <v>7.415</v>
      </c>
      <c r="W1040">
        <v>209</v>
      </c>
      <c r="X1040">
        <v>4.0301318267419971E-2</v>
      </c>
      <c r="Y1040">
        <v>0.42048956710711055</v>
      </c>
      <c r="Z1040">
        <v>-0.79827687166547301</v>
      </c>
      <c r="AB1040" s="3" t="e">
        <f t="shared" si="176"/>
        <v>#DIV/0!</v>
      </c>
      <c r="AC1040" s="3" t="e">
        <f t="shared" si="177"/>
        <v>#DIV/0!</v>
      </c>
      <c r="AD1040" s="3" t="e">
        <f t="shared" si="178"/>
        <v>#DIV/0!</v>
      </c>
      <c r="AE1040" s="76" t="e">
        <f t="shared" si="179"/>
        <v>#DIV/0!</v>
      </c>
      <c r="AF1040" s="76" t="e">
        <f t="shared" si="180"/>
        <v>#DIV/0!</v>
      </c>
      <c r="AG1040" s="76" t="e">
        <f t="shared" si="181"/>
        <v>#DIV/0!</v>
      </c>
      <c r="AO1040" s="5">
        <f t="shared" si="186"/>
        <v>-7.2270825408899857E-3</v>
      </c>
      <c r="AP1040" s="5">
        <f t="shared" si="182"/>
        <v>0.20172039296137156</v>
      </c>
      <c r="AR1040" s="5" t="str">
        <f t="shared" si="183"/>
        <v/>
      </c>
      <c r="AS1040" s="5" t="str">
        <f t="shared" si="184"/>
        <v/>
      </c>
      <c r="AT1040" s="5" t="str">
        <f t="shared" si="185"/>
        <v/>
      </c>
    </row>
    <row r="1041" spans="12:46" x14ac:dyDescent="0.25">
      <c r="L1041" s="4">
        <v>44053.5</v>
      </c>
      <c r="M1041">
        <v>26.55</v>
      </c>
      <c r="N1041">
        <v>27.3</v>
      </c>
      <c r="O1041">
        <v>26.29</v>
      </c>
      <c r="P1041">
        <v>26.71</v>
      </c>
      <c r="Q1041">
        <v>16855</v>
      </c>
      <c r="R1041">
        <v>418235</v>
      </c>
      <c r="S1041">
        <v>8.2799999999999994</v>
      </c>
      <c r="T1041">
        <v>8.2799999999999994</v>
      </c>
      <c r="U1041">
        <v>7.59</v>
      </c>
      <c r="V1041">
        <v>7.59</v>
      </c>
      <c r="W1041">
        <v>65</v>
      </c>
      <c r="X1041">
        <v>3.833017077798867E-2</v>
      </c>
      <c r="Y1041">
        <v>0.21705905343264065</v>
      </c>
      <c r="Z1041">
        <v>-0.3900199871430417</v>
      </c>
      <c r="AB1041" s="3" t="e">
        <f t="shared" si="176"/>
        <v>#DIV/0!</v>
      </c>
      <c r="AC1041" s="3" t="e">
        <f t="shared" si="177"/>
        <v>#DIV/0!</v>
      </c>
      <c r="AD1041" s="3" t="e">
        <f t="shared" si="178"/>
        <v>#DIV/0!</v>
      </c>
      <c r="AE1041" s="76" t="e">
        <f t="shared" si="179"/>
        <v>#DIV/0!</v>
      </c>
      <c r="AF1041" s="76" t="e">
        <f t="shared" si="180"/>
        <v>#DIV/0!</v>
      </c>
      <c r="AG1041" s="76" t="e">
        <f t="shared" si="181"/>
        <v>#DIV/0!</v>
      </c>
      <c r="AO1041" s="5">
        <f t="shared" si="186"/>
        <v>1.3102119460500957E-2</v>
      </c>
      <c r="AP1041" s="5">
        <f t="shared" si="182"/>
        <v>0.20214816025025609</v>
      </c>
      <c r="AR1041" s="5" t="str">
        <f t="shared" si="183"/>
        <v/>
      </c>
      <c r="AS1041" s="5" t="str">
        <f t="shared" si="184"/>
        <v/>
      </c>
      <c r="AT1041" s="5" t="str">
        <f t="shared" si="185"/>
        <v/>
      </c>
    </row>
    <row r="1042" spans="12:46" x14ac:dyDescent="0.25">
      <c r="L1042" s="4">
        <v>44050.5</v>
      </c>
      <c r="M1042">
        <v>26.35</v>
      </c>
      <c r="N1042">
        <v>26.75</v>
      </c>
      <c r="O1042">
        <v>25.95</v>
      </c>
      <c r="P1042">
        <v>26.42</v>
      </c>
      <c r="Q1042">
        <v>13518</v>
      </c>
      <c r="R1042">
        <v>420074</v>
      </c>
      <c r="S1042">
        <v>7.55</v>
      </c>
      <c r="T1042">
        <v>8.3000000000000007</v>
      </c>
      <c r="U1042">
        <v>7.55</v>
      </c>
      <c r="V1042">
        <v>7.93</v>
      </c>
      <c r="W1042">
        <v>107</v>
      </c>
      <c r="X1042">
        <v>2.997377294866994E-2</v>
      </c>
      <c r="Y1042">
        <v>-0.67818768504267724</v>
      </c>
      <c r="Z1042">
        <v>-1.1709689945801156</v>
      </c>
      <c r="AB1042" s="3" t="e">
        <f t="shared" si="176"/>
        <v>#DIV/0!</v>
      </c>
      <c r="AC1042" s="3" t="e">
        <f t="shared" si="177"/>
        <v>#DIV/0!</v>
      </c>
      <c r="AD1042" s="3" t="e">
        <f t="shared" si="178"/>
        <v>#DIV/0!</v>
      </c>
      <c r="AE1042" s="76" t="e">
        <f t="shared" si="179"/>
        <v>#DIV/0!</v>
      </c>
      <c r="AF1042" s="76" t="e">
        <f t="shared" si="180"/>
        <v>#DIV/0!</v>
      </c>
      <c r="AG1042" s="76" t="e">
        <f t="shared" si="181"/>
        <v>#DIV/0!</v>
      </c>
      <c r="AO1042" s="5">
        <f t="shared" si="186"/>
        <v>-1.1805026656511891E-2</v>
      </c>
      <c r="AP1042" s="5">
        <f t="shared" si="182"/>
        <v>0.21006584273765713</v>
      </c>
      <c r="AR1042" s="5" t="str">
        <f t="shared" si="183"/>
        <v/>
      </c>
      <c r="AS1042" s="5" t="str">
        <f t="shared" si="184"/>
        <v/>
      </c>
      <c r="AT1042" s="5" t="str">
        <f t="shared" si="185"/>
        <v/>
      </c>
    </row>
    <row r="1043" spans="12:46" x14ac:dyDescent="0.25">
      <c r="L1043" s="4">
        <v>44049.5</v>
      </c>
      <c r="M1043">
        <v>26.69</v>
      </c>
      <c r="N1043">
        <v>27.44</v>
      </c>
      <c r="O1043">
        <v>26.26</v>
      </c>
      <c r="P1043">
        <v>26.39</v>
      </c>
      <c r="Q1043">
        <v>19548</v>
      </c>
      <c r="R1043">
        <v>420002</v>
      </c>
      <c r="S1043">
        <v>7.75</v>
      </c>
      <c r="T1043">
        <v>7.95</v>
      </c>
      <c r="U1043">
        <v>7.75</v>
      </c>
      <c r="V1043">
        <v>7.94</v>
      </c>
      <c r="W1043">
        <v>48</v>
      </c>
      <c r="X1043">
        <v>4.4112149532710268E-2</v>
      </c>
      <c r="Y1043">
        <v>0.7450651294091416</v>
      </c>
      <c r="Z1043">
        <v>7.570124938002E-2</v>
      </c>
      <c r="AB1043" s="3" t="e">
        <f t="shared" si="176"/>
        <v>#DIV/0!</v>
      </c>
      <c r="AC1043" s="3" t="e">
        <f t="shared" si="177"/>
        <v>#DIV/0!</v>
      </c>
      <c r="AD1043" s="3" t="e">
        <f t="shared" si="178"/>
        <v>#DIV/0!</v>
      </c>
      <c r="AE1043" s="76" t="e">
        <f t="shared" si="179"/>
        <v>#DIV/0!</v>
      </c>
      <c r="AF1043" s="76" t="e">
        <f t="shared" si="180"/>
        <v>#DIV/0!</v>
      </c>
      <c r="AG1043" s="76" t="e">
        <f t="shared" si="181"/>
        <v>#DIV/0!</v>
      </c>
      <c r="AO1043" s="5">
        <f t="shared" si="186"/>
        <v>-9.0566037735848471E-3</v>
      </c>
      <c r="AP1043" s="5">
        <f t="shared" si="182"/>
        <v>0.19734250960498995</v>
      </c>
      <c r="AR1043" s="5" t="str">
        <f t="shared" si="183"/>
        <v/>
      </c>
      <c r="AS1043" s="5" t="str">
        <f t="shared" si="184"/>
        <v/>
      </c>
      <c r="AT1043" s="5" t="str">
        <f t="shared" si="185"/>
        <v/>
      </c>
    </row>
    <row r="1044" spans="12:46" x14ac:dyDescent="0.25">
      <c r="L1044" s="4">
        <v>44048.5</v>
      </c>
      <c r="M1044">
        <v>26.75</v>
      </c>
      <c r="N1044">
        <v>26.94</v>
      </c>
      <c r="O1044">
        <v>26.5</v>
      </c>
      <c r="P1044">
        <v>26.77</v>
      </c>
      <c r="Q1044">
        <v>14073</v>
      </c>
      <c r="R1044">
        <v>419975</v>
      </c>
      <c r="S1044">
        <v>7.37</v>
      </c>
      <c r="T1044">
        <v>7.4050000000000002</v>
      </c>
      <c r="U1044">
        <v>7.28</v>
      </c>
      <c r="V1044">
        <v>7.32</v>
      </c>
      <c r="W1044">
        <v>228</v>
      </c>
      <c r="X1044">
        <v>1.6679302501895425E-2</v>
      </c>
      <c r="Y1044">
        <v>-1.9669678001669941</v>
      </c>
      <c r="Z1044">
        <v>-1.1281485703102299</v>
      </c>
      <c r="AB1044" s="3" t="e">
        <f t="shared" si="176"/>
        <v>#DIV/0!</v>
      </c>
      <c r="AC1044" s="3" t="e">
        <f t="shared" si="177"/>
        <v>#DIV/0!</v>
      </c>
      <c r="AD1044" s="3" t="e">
        <f t="shared" si="178"/>
        <v>#DIV/0!</v>
      </c>
      <c r="AE1044" s="76" t="e">
        <f t="shared" si="179"/>
        <v>#DIV/0!</v>
      </c>
      <c r="AF1044" s="76" t="e">
        <f t="shared" si="180"/>
        <v>#DIV/0!</v>
      </c>
      <c r="AG1044" s="76" t="e">
        <f t="shared" si="181"/>
        <v>#DIV/0!</v>
      </c>
      <c r="AO1044" s="5">
        <f t="shared" si="186"/>
        <v>1.7274472168905923E-2</v>
      </c>
      <c r="AP1044" s="5">
        <f t="shared" si="182"/>
        <v>0.18121799824844217</v>
      </c>
      <c r="AR1044" s="5" t="str">
        <f t="shared" si="183"/>
        <v/>
      </c>
      <c r="AS1044" s="5" t="str">
        <f t="shared" si="184"/>
        <v/>
      </c>
      <c r="AT1044" s="5" t="str">
        <f t="shared" si="185"/>
        <v/>
      </c>
    </row>
    <row r="1045" spans="12:46" x14ac:dyDescent="0.25">
      <c r="L1045" s="4">
        <v>44047.5</v>
      </c>
      <c r="M1045">
        <v>26.38</v>
      </c>
      <c r="N1045">
        <v>26.9</v>
      </c>
      <c r="O1045">
        <v>26.05</v>
      </c>
      <c r="P1045">
        <v>26.83</v>
      </c>
      <c r="Q1045">
        <v>14916</v>
      </c>
      <c r="R1045">
        <v>418789</v>
      </c>
      <c r="S1045">
        <v>7.1849999999999996</v>
      </c>
      <c r="T1045">
        <v>7.4249999999999998</v>
      </c>
      <c r="U1045">
        <v>7.13</v>
      </c>
      <c r="V1045">
        <v>7.3550000000000004</v>
      </c>
      <c r="W1045">
        <v>565</v>
      </c>
      <c r="X1045">
        <v>3.2343987823439793E-2</v>
      </c>
      <c r="Y1045">
        <v>-1.2831327252174245</v>
      </c>
      <c r="Z1045">
        <v>-1.1476650584343886</v>
      </c>
      <c r="AB1045" s="3" t="e">
        <f t="shared" si="176"/>
        <v>#DIV/0!</v>
      </c>
      <c r="AC1045" s="3" t="e">
        <f t="shared" si="177"/>
        <v>#DIV/0!</v>
      </c>
      <c r="AD1045" s="3" t="e">
        <f t="shared" si="178"/>
        <v>#DIV/0!</v>
      </c>
      <c r="AE1045" s="76" t="e">
        <f t="shared" si="179"/>
        <v>#DIV/0!</v>
      </c>
      <c r="AF1045" s="76" t="e">
        <f t="shared" si="180"/>
        <v>#DIV/0!</v>
      </c>
      <c r="AG1045" s="76" t="e">
        <f t="shared" si="181"/>
        <v>#DIV/0!</v>
      </c>
      <c r="AO1045" s="5">
        <f t="shared" si="186"/>
        <v>2.0768025078369952E-2</v>
      </c>
      <c r="AP1045" s="5">
        <f t="shared" si="182"/>
        <v>0.18924472298081083</v>
      </c>
      <c r="AR1045" s="5" t="str">
        <f t="shared" si="183"/>
        <v/>
      </c>
      <c r="AS1045" s="5" t="str">
        <f t="shared" si="184"/>
        <v/>
      </c>
      <c r="AT1045" s="5" t="str">
        <f t="shared" si="185"/>
        <v/>
      </c>
    </row>
    <row r="1046" spans="12:46" x14ac:dyDescent="0.25">
      <c r="L1046" s="4">
        <v>44046.5</v>
      </c>
      <c r="M1046">
        <v>26.28</v>
      </c>
      <c r="N1046">
        <v>26.5</v>
      </c>
      <c r="O1046">
        <v>25.52</v>
      </c>
      <c r="P1046">
        <v>26.13</v>
      </c>
      <c r="Q1046">
        <v>13782</v>
      </c>
      <c r="R1046">
        <v>418370</v>
      </c>
      <c r="S1046">
        <v>6.33</v>
      </c>
      <c r="T1046">
        <v>7</v>
      </c>
      <c r="U1046">
        <v>6.33</v>
      </c>
      <c r="V1046">
        <v>6.8</v>
      </c>
      <c r="W1046">
        <v>255</v>
      </c>
      <c r="X1046">
        <v>3.8371182458888035E-2</v>
      </c>
      <c r="Y1046">
        <v>-0.47607238380570333</v>
      </c>
      <c r="Z1046">
        <v>-1.6925771428227572</v>
      </c>
      <c r="AB1046" s="3" t="e">
        <f t="shared" si="176"/>
        <v>#DIV/0!</v>
      </c>
      <c r="AC1046" s="3" t="e">
        <f t="shared" si="177"/>
        <v>#DIV/0!</v>
      </c>
      <c r="AD1046" s="3" t="e">
        <f t="shared" si="178"/>
        <v>#DIV/0!</v>
      </c>
      <c r="AE1046" s="76" t="e">
        <f t="shared" si="179"/>
        <v>#DIV/0!</v>
      </c>
      <c r="AF1046" s="76" t="e">
        <f t="shared" si="180"/>
        <v>#DIV/0!</v>
      </c>
      <c r="AG1046" s="76" t="e">
        <f t="shared" si="181"/>
        <v>#DIV/0!</v>
      </c>
      <c r="AO1046" s="5">
        <f t="shared" si="186"/>
        <v>0</v>
      </c>
      <c r="AP1046" s="5">
        <f t="shared" si="182"/>
        <v>0.1809304458931682</v>
      </c>
      <c r="AR1046" s="5" t="str">
        <f t="shared" si="183"/>
        <v/>
      </c>
      <c r="AS1046" s="5" t="str">
        <f t="shared" si="184"/>
        <v/>
      </c>
      <c r="AT1046" s="5" t="str">
        <f t="shared" si="185"/>
        <v/>
      </c>
    </row>
    <row r="1047" spans="12:46" x14ac:dyDescent="0.25">
      <c r="L1047" s="4">
        <v>44043.5</v>
      </c>
      <c r="M1047">
        <v>25.54</v>
      </c>
      <c r="N1047">
        <v>26.72</v>
      </c>
      <c r="O1047">
        <v>25.52</v>
      </c>
      <c r="P1047">
        <v>26.28</v>
      </c>
      <c r="Q1047">
        <v>19339</v>
      </c>
      <c r="R1047">
        <v>418737</v>
      </c>
      <c r="S1047">
        <v>6</v>
      </c>
      <c r="T1047">
        <v>6.0250000000000004</v>
      </c>
      <c r="U1047">
        <v>6</v>
      </c>
      <c r="V1047">
        <v>6.0250000000000004</v>
      </c>
      <c r="W1047">
        <v>30</v>
      </c>
      <c r="X1047">
        <v>4.5644731837200428E-2</v>
      </c>
      <c r="Y1047">
        <v>0.86912075520746224</v>
      </c>
      <c r="Z1047">
        <v>-1.0903681701902874</v>
      </c>
      <c r="AB1047" s="3" t="e">
        <f t="shared" si="176"/>
        <v>#DIV/0!</v>
      </c>
      <c r="AC1047" s="3" t="e">
        <f t="shared" si="177"/>
        <v>#DIV/0!</v>
      </c>
      <c r="AD1047" s="3" t="e">
        <f t="shared" si="178"/>
        <v>#DIV/0!</v>
      </c>
      <c r="AE1047" s="76" t="e">
        <f t="shared" si="179"/>
        <v>#DIV/0!</v>
      </c>
      <c r="AF1047" s="76" t="e">
        <f t="shared" si="180"/>
        <v>#DIV/0!</v>
      </c>
      <c r="AG1047" s="76" t="e">
        <f t="shared" si="181"/>
        <v>#DIV/0!</v>
      </c>
      <c r="AO1047" s="5">
        <f t="shared" si="186"/>
        <v>1.551929964186234E-2</v>
      </c>
      <c r="AP1047" s="5">
        <f t="shared" si="182"/>
        <v>0.20079784051584881</v>
      </c>
      <c r="AR1047" s="5" t="str">
        <f t="shared" si="183"/>
        <v/>
      </c>
      <c r="AS1047" s="5" t="str">
        <f t="shared" si="184"/>
        <v/>
      </c>
      <c r="AT1047" s="5" t="str">
        <f t="shared" si="185"/>
        <v/>
      </c>
    </row>
    <row r="1048" spans="12:46" x14ac:dyDescent="0.25">
      <c r="L1048" s="4">
        <v>44042.5</v>
      </c>
      <c r="M1048">
        <v>26.29</v>
      </c>
      <c r="N1048">
        <v>26.3</v>
      </c>
      <c r="O1048">
        <v>25.13</v>
      </c>
      <c r="P1048">
        <v>25.54</v>
      </c>
      <c r="Q1048">
        <v>21236</v>
      </c>
      <c r="R1048">
        <v>418966</v>
      </c>
      <c r="S1048">
        <v>5.19</v>
      </c>
      <c r="T1048">
        <v>5.43</v>
      </c>
      <c r="U1048">
        <v>5.13</v>
      </c>
      <c r="V1048">
        <v>5.2249999999999996</v>
      </c>
      <c r="W1048">
        <v>0</v>
      </c>
      <c r="X1048">
        <v>4.5366421093447143E-2</v>
      </c>
      <c r="Y1048">
        <v>1.107098644511588</v>
      </c>
      <c r="Z1048">
        <v>-0.68353754260765864</v>
      </c>
      <c r="AB1048" s="3" t="e">
        <f t="shared" si="176"/>
        <v>#DIV/0!</v>
      </c>
      <c r="AC1048" s="3" t="e">
        <f t="shared" si="177"/>
        <v>#DIV/0!</v>
      </c>
      <c r="AD1048" s="3" t="e">
        <f t="shared" si="178"/>
        <v>#DIV/0!</v>
      </c>
      <c r="AE1048" s="76" t="e">
        <f t="shared" si="179"/>
        <v>#DIV/0!</v>
      </c>
      <c r="AF1048" s="76" t="e">
        <f t="shared" si="180"/>
        <v>#DIV/0!</v>
      </c>
      <c r="AG1048" s="76" t="e">
        <f t="shared" si="181"/>
        <v>#DIV/0!</v>
      </c>
      <c r="AO1048" s="5">
        <f t="shared" si="186"/>
        <v>-1.0629921259842504E-2</v>
      </c>
      <c r="AP1048" s="5">
        <f t="shared" si="182"/>
        <v>0.21998419168375136</v>
      </c>
      <c r="AR1048" s="5" t="str">
        <f t="shared" si="183"/>
        <v/>
      </c>
      <c r="AS1048" s="5" t="str">
        <f t="shared" si="184"/>
        <v/>
      </c>
      <c r="AT1048" s="5" t="str">
        <f t="shared" si="185"/>
        <v/>
      </c>
    </row>
    <row r="1049" spans="12:46" x14ac:dyDescent="0.25">
      <c r="L1049" s="4">
        <v>44041.5</v>
      </c>
      <c r="M1049">
        <v>25.79</v>
      </c>
      <c r="N1049">
        <v>26.36</v>
      </c>
      <c r="O1049">
        <v>25.4</v>
      </c>
      <c r="P1049">
        <v>26.19</v>
      </c>
      <c r="Q1049">
        <v>21813</v>
      </c>
      <c r="R1049">
        <v>417230</v>
      </c>
      <c r="S1049">
        <v>5.15</v>
      </c>
      <c r="T1049">
        <v>5.22</v>
      </c>
      <c r="U1049">
        <v>5.0549999999999997</v>
      </c>
      <c r="V1049">
        <v>5.1749999999999998</v>
      </c>
      <c r="W1049">
        <v>1078</v>
      </c>
      <c r="X1049">
        <v>3.8247011952191268E-2</v>
      </c>
      <c r="Y1049">
        <v>0.70710678118654746</v>
      </c>
      <c r="Z1049">
        <v>-0.61128131423065279</v>
      </c>
      <c r="AB1049" s="3" t="e">
        <f t="shared" si="176"/>
        <v>#DIV/0!</v>
      </c>
      <c r="AC1049" s="3" t="e">
        <f t="shared" si="177"/>
        <v>#DIV/0!</v>
      </c>
      <c r="AD1049" s="3" t="e">
        <f t="shared" si="178"/>
        <v>#DIV/0!</v>
      </c>
      <c r="AE1049" s="76" t="e">
        <f t="shared" si="179"/>
        <v>#DIV/0!</v>
      </c>
      <c r="AF1049" s="76" t="e">
        <f t="shared" si="180"/>
        <v>#DIV/0!</v>
      </c>
      <c r="AG1049" s="76" t="e">
        <f t="shared" si="181"/>
        <v>#DIV/0!</v>
      </c>
      <c r="AO1049" s="5">
        <f t="shared" si="186"/>
        <v>1.6813450760608414E-2</v>
      </c>
      <c r="AP1049" s="5">
        <f t="shared" si="182"/>
        <v>0.11636969697866917</v>
      </c>
      <c r="AR1049" s="5" t="str">
        <f t="shared" si="183"/>
        <v/>
      </c>
      <c r="AS1049" s="5" t="str">
        <f t="shared" si="184"/>
        <v/>
      </c>
      <c r="AT1049" s="5" t="str">
        <f t="shared" si="185"/>
        <v/>
      </c>
    </row>
    <row r="1050" spans="12:46" x14ac:dyDescent="0.25">
      <c r="L1050" s="4">
        <v>44040.5</v>
      </c>
      <c r="M1050">
        <v>25.1</v>
      </c>
      <c r="N1050">
        <v>25.91</v>
      </c>
      <c r="O1050">
        <v>24.98</v>
      </c>
      <c r="P1050">
        <v>25.74</v>
      </c>
      <c r="Q1050">
        <v>21989</v>
      </c>
      <c r="R1050">
        <v>416584</v>
      </c>
      <c r="S1050">
        <v>4.7750000000000004</v>
      </c>
      <c r="T1050">
        <v>4.9749999999999996</v>
      </c>
      <c r="U1050">
        <v>4.7750000000000004</v>
      </c>
      <c r="V1050">
        <v>4.96</v>
      </c>
      <c r="W1050">
        <v>181</v>
      </c>
      <c r="X1050">
        <v>3.5307517084282453E-2</v>
      </c>
      <c r="Y1050" t="s">
        <v>467</v>
      </c>
      <c r="Z1050">
        <v>-0.70710678118654757</v>
      </c>
      <c r="AB1050" s="3" t="e">
        <f t="shared" si="176"/>
        <v>#DIV/0!</v>
      </c>
      <c r="AC1050" s="3" t="e">
        <f t="shared" si="177"/>
        <v>#DIV/0!</v>
      </c>
      <c r="AD1050" s="3" t="e">
        <f t="shared" si="178"/>
        <v>#DIV/0!</v>
      </c>
      <c r="AE1050" s="76" t="e">
        <f t="shared" si="179"/>
        <v>#DIV/0!</v>
      </c>
      <c r="AF1050" s="76" t="e">
        <f t="shared" si="180"/>
        <v>#DIV/0!</v>
      </c>
      <c r="AG1050" s="76" t="e">
        <f t="shared" si="181"/>
        <v>#DIV/0!</v>
      </c>
      <c r="AO1050" s="5">
        <f t="shared" si="186"/>
        <v>6.4464141821112065E-3</v>
      </c>
      <c r="AP1050" s="5" t="e">
        <f t="shared" si="182"/>
        <v>#DIV/0!</v>
      </c>
    </row>
    <row r="1051" spans="12:46" x14ac:dyDescent="0.25">
      <c r="L1051">
        <v>44039.5</v>
      </c>
      <c r="M1051">
        <v>26.34</v>
      </c>
      <c r="N1051">
        <v>26.53</v>
      </c>
      <c r="O1051">
        <v>24.82</v>
      </c>
      <c r="P1051">
        <v>25.01</v>
      </c>
      <c r="Q1051">
        <v>26346</v>
      </c>
      <c r="R1051">
        <v>416970</v>
      </c>
      <c r="S1051">
        <v>4.95</v>
      </c>
      <c r="T1051">
        <v>5.01</v>
      </c>
      <c r="U1051">
        <v>4.7850000000000001</v>
      </c>
      <c r="V1051">
        <v>4.7850000000000001</v>
      </c>
      <c r="W1051">
        <v>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D624-A988-4AAF-9CE1-D3D783900F38}">
  <dimension ref="A1:AF410"/>
  <sheetViews>
    <sheetView workbookViewId="0">
      <selection activeCell="R16" sqref="R16"/>
    </sheetView>
  </sheetViews>
  <sheetFormatPr defaultRowHeight="15" x14ac:dyDescent="0.25"/>
  <cols>
    <col min="1" max="1" width="17" style="2" customWidth="1"/>
    <col min="2" max="2" width="14.28515625" customWidth="1"/>
    <col min="3" max="3" width="14" bestFit="1" customWidth="1"/>
    <col min="6" max="7" width="8.85546875" style="5"/>
    <col min="9" max="9" width="10.5703125" style="2" bestFit="1" customWidth="1"/>
    <col min="18" max="18" width="12.28515625" customWidth="1"/>
    <col min="19" max="19" width="11.5703125" customWidth="1"/>
    <col min="26" max="26" width="14" bestFit="1" customWidth="1"/>
  </cols>
  <sheetData>
    <row r="1" spans="1:32" x14ac:dyDescent="0.25">
      <c r="A1" s="2" t="s">
        <v>66</v>
      </c>
      <c r="B1" t="s">
        <v>863</v>
      </c>
      <c r="C1" t="s">
        <v>864</v>
      </c>
      <c r="D1" t="s">
        <v>865</v>
      </c>
      <c r="F1" s="5" t="s">
        <v>866</v>
      </c>
      <c r="G1" s="5" t="s">
        <v>867</v>
      </c>
      <c r="I1" s="2" t="s">
        <v>66</v>
      </c>
      <c r="J1" t="s">
        <v>464</v>
      </c>
      <c r="K1" t="s">
        <v>868</v>
      </c>
      <c r="M1" t="s">
        <v>866</v>
      </c>
      <c r="N1" t="s">
        <v>867</v>
      </c>
      <c r="R1" t="s">
        <v>869</v>
      </c>
      <c r="S1" t="s">
        <v>77</v>
      </c>
      <c r="T1" t="s">
        <v>78</v>
      </c>
      <c r="U1" t="s">
        <v>79</v>
      </c>
      <c r="V1" t="s">
        <v>77</v>
      </c>
      <c r="W1" t="s">
        <v>78</v>
      </c>
      <c r="X1" t="s">
        <v>79</v>
      </c>
      <c r="Z1" t="s">
        <v>870</v>
      </c>
      <c r="AA1" t="s">
        <v>77</v>
      </c>
      <c r="AB1" t="s">
        <v>78</v>
      </c>
      <c r="AC1" t="s">
        <v>79</v>
      </c>
      <c r="AD1" t="s">
        <v>77</v>
      </c>
      <c r="AE1" t="s">
        <v>78</v>
      </c>
      <c r="AF1" t="s">
        <v>79</v>
      </c>
    </row>
    <row r="2" spans="1:32" x14ac:dyDescent="0.25">
      <c r="A2" s="2">
        <v>45498</v>
      </c>
      <c r="B2">
        <v>67202</v>
      </c>
      <c r="C2">
        <v>52731</v>
      </c>
      <c r="D2">
        <v>372504</v>
      </c>
      <c r="F2" s="5">
        <f>IFERROR(B2/C2,"")</f>
        <v>1.2744306005954751</v>
      </c>
      <c r="G2" s="5">
        <f>IFERROR(SUM(B2:C2)/SUM(B2:D2),"")</f>
        <v>0.24354993633703398</v>
      </c>
      <c r="I2" s="2">
        <v>45498</v>
      </c>
      <c r="J2">
        <v>112001</v>
      </c>
      <c r="K2">
        <v>101873</v>
      </c>
      <c r="M2" s="5">
        <f>IFERROR(I2/J2,"")</f>
        <v>0.40622851581682307</v>
      </c>
      <c r="N2" s="5">
        <f>IFERROR(SUM(I2:J2)/SUM(I2:J2,D2),"")</f>
        <v>0.29716624245523138</v>
      </c>
      <c r="S2" s="5">
        <f>IFERROR(AVERAGEA(N2:N22)-AVERAGE(N23:N43),"")</f>
        <v>2.9157749984113357E-3</v>
      </c>
      <c r="T2" s="5">
        <f>IFERROR(AVERAGEA(N2:N22)-AVERAGE(N23:N78),"")</f>
        <v>1.2347232840714761E-2</v>
      </c>
      <c r="U2" s="5">
        <f>IFERROR(AVERAGEA(N2:N22)-AVERAGE(N23:N135),"")</f>
        <v>2.2908784339414789E-2</v>
      </c>
      <c r="V2" s="5">
        <f>IFERROR(AVERAGEA(M2:M22)-AVERAGE(M23:M43),"")</f>
        <v>-6.2144526734941863E-2</v>
      </c>
      <c r="W2" s="5">
        <f>IFERROR(AVERAGEA(M2:M22)-AVERAGE(M23:M78),"")</f>
        <v>-0.1567560721726361</v>
      </c>
      <c r="X2" s="5">
        <f>IFERROR(AVERAGEA(M2:M22)-AVERAGE(M23:M135),"")</f>
        <v>-0.26810744720270063</v>
      </c>
      <c r="AA2" s="5">
        <f>IFERROR(AVERAGEA(G2:G22)-AVERAGE(G23:G43),"")</f>
        <v>-4.8255158859733527E-2</v>
      </c>
      <c r="AB2" s="5">
        <f>IFERROR(AVERAGEA(G2:G22)-AVERAGE(G23:G78),"")</f>
        <v>-6.6108520907413371E-2</v>
      </c>
      <c r="AC2" s="5">
        <f>IFERROR(AVERAGEA(G2:G22)-AVERAGE(G23:G135),"")</f>
        <v>-3.4892661936151037E-2</v>
      </c>
      <c r="AD2" s="5">
        <f>IFERROR(AVERAGEA(F2:F22)-AVERAGE(F23:F43),"")</f>
        <v>0.40487031196981582</v>
      </c>
      <c r="AE2" s="5">
        <f>IFERROR(AVERAGEA(F2:F22)-AVERAGE(F23:F78),"")</f>
        <v>0.4212180350629956</v>
      </c>
      <c r="AF2" s="5">
        <f>IFERROR(AVERAGEA(F2:F22)-AVERAGE(F23:F135),"")</f>
        <v>0.30449596461964501</v>
      </c>
    </row>
    <row r="3" spans="1:32" x14ac:dyDescent="0.25">
      <c r="A3" s="2">
        <v>45497</v>
      </c>
      <c r="B3">
        <v>65252</v>
      </c>
      <c r="C3">
        <v>52731</v>
      </c>
      <c r="D3">
        <v>372504</v>
      </c>
      <c r="F3" s="5">
        <f t="shared" ref="F3:F66" si="0">IFERROR(B3/C3,"")</f>
        <v>1.2374504560884489</v>
      </c>
      <c r="G3" s="5">
        <f t="shared" ref="G3:G66" si="1">IFERROR(SUM(B3:C3)/SUM(B3:D3),"")</f>
        <v>0.24054256279982955</v>
      </c>
      <c r="I3" s="2">
        <v>45497</v>
      </c>
      <c r="J3">
        <v>113676</v>
      </c>
      <c r="K3">
        <v>99698</v>
      </c>
      <c r="M3" s="5">
        <f t="shared" ref="M3:M66" si="2">IFERROR(I3/J3,"")</f>
        <v>0.40023399838136459</v>
      </c>
      <c r="N3" s="5">
        <f t="shared" ref="N3:N66" si="3">IFERROR(SUM(I3:J3)/SUM(I3:J3,D3),"")</f>
        <v>0.29937913432403507</v>
      </c>
      <c r="S3" s="5">
        <f t="shared" ref="S3:S66" si="4">IFERROR(AVERAGEA(N3:N23)-AVERAGE(N24:N44),"")</f>
        <v>3.4902641739767426E-3</v>
      </c>
      <c r="T3" s="5">
        <f t="shared" ref="T3:T66" si="5">IFERROR(AVERAGEA(N3:N23)-AVERAGE(N24:N79),"")</f>
        <v>1.2052339441738058E-2</v>
      </c>
      <c r="U3" s="5">
        <f t="shared" ref="U3:U66" si="6">IFERROR(AVERAGEA(N3:N23)-AVERAGE(N24:N136),"")</f>
        <v>2.2731350725711252E-2</v>
      </c>
      <c r="V3" s="5">
        <f t="shared" ref="V3:V66" si="7">IFERROR(AVERAGEA(M3:M23)-AVERAGE(M24:M44),"")</f>
        <v>-6.6790903115018951E-2</v>
      </c>
      <c r="W3" s="5">
        <f t="shared" ref="W3:W66" si="8">IFERROR(AVERAGEA(M3:M23)-AVERAGE(M24:M79),"")</f>
        <v>-0.15800935553906664</v>
      </c>
      <c r="X3" s="5">
        <f t="shared" ref="X3:X66" si="9">IFERROR(AVERAGEA(M3:M23)-AVERAGE(M24:M136),"")</f>
        <v>-0.27037190313123943</v>
      </c>
      <c r="AA3" s="5">
        <f t="shared" ref="AA3:AA66" si="10">IFERROR(AVERAGEA(G3:G23)-AVERAGE(G24:G44),"")</f>
        <v>-5.7051426595967791E-2</v>
      </c>
      <c r="AB3" s="5">
        <f t="shared" ref="AB3:AB66" si="11">IFERROR(AVERAGEA(G3:G23)-AVERAGE(G24:G79),"")</f>
        <v>-7.01058118082723E-2</v>
      </c>
      <c r="AC3" s="5">
        <f t="shared" ref="AC3:AC66" si="12">IFERROR(AVERAGEA(G3:G23)-AVERAGE(G24:G136),"")</f>
        <v>-3.8038850413011416E-2</v>
      </c>
      <c r="AD3" s="5">
        <f t="shared" ref="AD3:AD66" si="13">IFERROR(AVERAGEA(F3:F23)-AVERAGE(F24:F44),"")</f>
        <v>0.40022982934069351</v>
      </c>
      <c r="AE3" s="5">
        <f t="shared" ref="AE3:AE66" si="14">IFERROR(AVERAGEA(F3:F23)-AVERAGE(F24:F79),"")</f>
        <v>0.41059723262978576</v>
      </c>
      <c r="AF3" s="5">
        <f t="shared" ref="AF3:AF66" si="15">IFERROR(AVERAGEA(F3:F23)-AVERAGE(F24:F136),"")</f>
        <v>0.29002900144367338</v>
      </c>
    </row>
    <row r="4" spans="1:32" x14ac:dyDescent="0.25">
      <c r="A4" s="2">
        <v>45496</v>
      </c>
      <c r="B4">
        <v>65152</v>
      </c>
      <c r="C4">
        <v>52831</v>
      </c>
      <c r="D4">
        <v>372909</v>
      </c>
      <c r="F4" s="5">
        <f t="shared" si="0"/>
        <v>1.2332153470500276</v>
      </c>
      <c r="G4" s="5">
        <f t="shared" si="1"/>
        <v>0.24034410827636221</v>
      </c>
      <c r="I4" s="2">
        <v>45496</v>
      </c>
      <c r="J4">
        <v>112491</v>
      </c>
      <c r="K4">
        <v>99283</v>
      </c>
      <c r="M4" s="5">
        <f t="shared" si="2"/>
        <v>0.40444124418842398</v>
      </c>
      <c r="N4" s="5">
        <f t="shared" si="3"/>
        <v>0.29758559115156263</v>
      </c>
      <c r="S4" s="5">
        <f t="shared" si="4"/>
        <v>3.9591836539685232E-3</v>
      </c>
      <c r="T4" s="5">
        <f t="shared" si="5"/>
        <v>1.1825379008999048E-2</v>
      </c>
      <c r="U4" s="5">
        <f t="shared" si="6"/>
        <v>2.2519049696330284E-2</v>
      </c>
      <c r="V4" s="5">
        <f t="shared" si="7"/>
        <v>-7.115214911782608E-2</v>
      </c>
      <c r="W4" s="5">
        <f t="shared" si="8"/>
        <v>-0.15897758310053367</v>
      </c>
      <c r="X4" s="5">
        <f t="shared" si="9"/>
        <v>-0.27278127863630552</v>
      </c>
      <c r="AA4" s="5">
        <f t="shared" si="10"/>
        <v>-6.6261479358490805E-2</v>
      </c>
      <c r="AB4" s="5">
        <f t="shared" si="11"/>
        <v>-7.408385485648683E-2</v>
      </c>
      <c r="AC4" s="5">
        <f t="shared" si="12"/>
        <v>-4.1338943925361693E-2</v>
      </c>
      <c r="AD4" s="5">
        <f t="shared" si="13"/>
        <v>0.40005067249634974</v>
      </c>
      <c r="AE4" s="5">
        <f t="shared" si="14"/>
        <v>0.40366502239592517</v>
      </c>
      <c r="AF4" s="5">
        <f t="shared" si="15"/>
        <v>0.27875147596338334</v>
      </c>
    </row>
    <row r="5" spans="1:32" x14ac:dyDescent="0.25">
      <c r="A5" s="2">
        <v>45495</v>
      </c>
      <c r="B5">
        <v>65202</v>
      </c>
      <c r="C5">
        <v>52831</v>
      </c>
      <c r="D5">
        <v>372152</v>
      </c>
      <c r="F5" s="5">
        <f t="shared" si="0"/>
        <v>1.2341617610872404</v>
      </c>
      <c r="G5" s="5">
        <f t="shared" si="1"/>
        <v>0.24079276191641932</v>
      </c>
      <c r="I5" s="2">
        <v>45495</v>
      </c>
      <c r="J5">
        <v>108539</v>
      </c>
      <c r="K5">
        <v>98098</v>
      </c>
      <c r="M5" s="5">
        <f t="shared" si="2"/>
        <v>0.41915809064023068</v>
      </c>
      <c r="N5" s="5">
        <f t="shared" si="3"/>
        <v>0.29273678889214078</v>
      </c>
      <c r="S5" s="5">
        <f t="shared" si="4"/>
        <v>4.6702769925863197E-3</v>
      </c>
      <c r="T5" s="5">
        <f t="shared" si="5"/>
        <v>1.1814901015184565E-2</v>
      </c>
      <c r="U5" s="5">
        <f t="shared" si="6"/>
        <v>2.2515255402851264E-2</v>
      </c>
      <c r="V5" s="5">
        <f t="shared" si="7"/>
        <v>-7.6058574432362303E-2</v>
      </c>
      <c r="W5" s="5">
        <f t="shared" si="8"/>
        <v>-0.16043934102709856</v>
      </c>
      <c r="X5" s="5">
        <f t="shared" si="9"/>
        <v>-0.27591661097875331</v>
      </c>
      <c r="AA5" s="5">
        <f t="shared" si="10"/>
        <v>-7.6064965754089997E-2</v>
      </c>
      <c r="AB5" s="5">
        <f t="shared" si="11"/>
        <v>-7.8438132248648151E-2</v>
      </c>
      <c r="AC5" s="5">
        <f t="shared" si="12"/>
        <v>-4.4968571374280064E-2</v>
      </c>
      <c r="AD5" s="5">
        <f t="shared" si="13"/>
        <v>0.40841573577213974</v>
      </c>
      <c r="AE5" s="5">
        <f t="shared" si="14"/>
        <v>0.40286304083475188</v>
      </c>
      <c r="AF5" s="5">
        <f t="shared" si="15"/>
        <v>0.27277742072503608</v>
      </c>
    </row>
    <row r="6" spans="1:32" x14ac:dyDescent="0.25">
      <c r="A6" s="2">
        <v>45492</v>
      </c>
      <c r="B6">
        <v>63702</v>
      </c>
      <c r="C6">
        <v>52831</v>
      </c>
      <c r="D6">
        <v>368656</v>
      </c>
      <c r="F6" s="5">
        <f t="shared" si="0"/>
        <v>1.2057693399708505</v>
      </c>
      <c r="G6" s="5">
        <f t="shared" si="1"/>
        <v>0.24018063064084305</v>
      </c>
      <c r="I6" s="2">
        <v>45492</v>
      </c>
      <c r="J6">
        <v>108539</v>
      </c>
      <c r="K6">
        <v>98098</v>
      </c>
      <c r="M6" s="5">
        <f t="shared" si="2"/>
        <v>0.41913045080570116</v>
      </c>
      <c r="N6" s="5">
        <f t="shared" si="3"/>
        <v>0.29469070399684705</v>
      </c>
      <c r="S6" s="5">
        <f t="shared" si="4"/>
        <v>5.7411750425966357E-3</v>
      </c>
      <c r="T6" s="5">
        <f t="shared" si="5"/>
        <v>1.2144464473913208E-2</v>
      </c>
      <c r="U6" s="5">
        <f t="shared" si="6"/>
        <v>2.2811923991678029E-2</v>
      </c>
      <c r="V6" s="5">
        <f t="shared" si="7"/>
        <v>-8.1309323932987176E-2</v>
      </c>
      <c r="W6" s="5">
        <f t="shared" si="8"/>
        <v>-0.16235699675738258</v>
      </c>
      <c r="X6" s="5">
        <f t="shared" si="9"/>
        <v>-0.27956570778974688</v>
      </c>
      <c r="AA6" s="5">
        <f t="shared" si="10"/>
        <v>-8.6321489854899042E-2</v>
      </c>
      <c r="AB6" s="5">
        <f t="shared" si="11"/>
        <v>-8.2835942321899253E-2</v>
      </c>
      <c r="AC6" s="5">
        <f t="shared" si="12"/>
        <v>-4.8820367298844841E-2</v>
      </c>
      <c r="AD6" s="5">
        <f t="shared" si="13"/>
        <v>0.42263292892791438</v>
      </c>
      <c r="AE6" s="5">
        <f t="shared" si="14"/>
        <v>0.40590644602042614</v>
      </c>
      <c r="AF6" s="5">
        <f t="shared" si="15"/>
        <v>0.27038423920498533</v>
      </c>
    </row>
    <row r="7" spans="1:32" x14ac:dyDescent="0.25">
      <c r="A7" s="2">
        <v>45491</v>
      </c>
      <c r="B7">
        <v>63702</v>
      </c>
      <c r="C7">
        <v>52831</v>
      </c>
      <c r="D7">
        <v>367825</v>
      </c>
      <c r="F7" s="5">
        <f t="shared" si="0"/>
        <v>1.2057693399708505</v>
      </c>
      <c r="G7" s="5">
        <f t="shared" si="1"/>
        <v>0.24059270209225408</v>
      </c>
      <c r="I7" s="2">
        <v>45491</v>
      </c>
      <c r="J7">
        <v>108189</v>
      </c>
      <c r="K7">
        <v>97498</v>
      </c>
      <c r="M7" s="5">
        <f t="shared" si="2"/>
        <v>0.42047712798898224</v>
      </c>
      <c r="N7" s="5">
        <f t="shared" si="3"/>
        <v>0.29468557348443447</v>
      </c>
      <c r="S7" s="5">
        <f t="shared" si="4"/>
        <v>7.0776578158259218E-3</v>
      </c>
      <c r="T7" s="5">
        <f t="shared" si="5"/>
        <v>1.2647820527969922E-2</v>
      </c>
      <c r="U7" s="5">
        <f t="shared" si="6"/>
        <v>2.3239078779558664E-2</v>
      </c>
      <c r="V7" s="5">
        <f t="shared" si="7"/>
        <v>-8.6685088160548429E-2</v>
      </c>
      <c r="W7" s="5">
        <f t="shared" si="8"/>
        <v>-0.16430478009663119</v>
      </c>
      <c r="X7" s="5">
        <f t="shared" si="9"/>
        <v>-0.28337733792411113</v>
      </c>
      <c r="AA7" s="5">
        <f t="shared" si="10"/>
        <v>-9.6468391907005013E-2</v>
      </c>
      <c r="AB7" s="5">
        <f t="shared" si="11"/>
        <v>-8.6909921337927298E-2</v>
      </c>
      <c r="AC7" s="5">
        <f t="shared" si="12"/>
        <v>-5.2533226161392665E-2</v>
      </c>
      <c r="AD7" s="5">
        <f t="shared" si="13"/>
        <v>0.43742720649571387</v>
      </c>
      <c r="AE7" s="5">
        <f t="shared" si="14"/>
        <v>0.40974468606206005</v>
      </c>
      <c r="AF7" s="5">
        <f t="shared" si="15"/>
        <v>0.26876804165110413</v>
      </c>
    </row>
    <row r="8" spans="1:32" x14ac:dyDescent="0.25">
      <c r="A8" s="2">
        <v>45490</v>
      </c>
      <c r="B8">
        <v>63702</v>
      </c>
      <c r="C8">
        <v>52581</v>
      </c>
      <c r="D8">
        <v>366585</v>
      </c>
      <c r="F8" s="5">
        <f t="shared" si="0"/>
        <v>1.2115022536657729</v>
      </c>
      <c r="G8" s="5">
        <f t="shared" si="1"/>
        <v>0.2408173662367355</v>
      </c>
      <c r="I8" s="2">
        <v>45490</v>
      </c>
      <c r="J8">
        <v>107414</v>
      </c>
      <c r="K8">
        <v>94448</v>
      </c>
      <c r="M8" s="5">
        <f t="shared" si="2"/>
        <v>0.42350159197125142</v>
      </c>
      <c r="N8" s="5">
        <f t="shared" si="3"/>
        <v>0.29433539497467703</v>
      </c>
      <c r="S8" s="5">
        <f t="shared" si="4"/>
        <v>8.3464781018542933E-3</v>
      </c>
      <c r="T8" s="5">
        <f t="shared" si="5"/>
        <v>1.3120603614130255E-2</v>
      </c>
      <c r="U8" s="5">
        <f t="shared" si="6"/>
        <v>2.3654086481778192E-2</v>
      </c>
      <c r="V8" s="5">
        <f t="shared" si="7"/>
        <v>-9.1839788288404389E-2</v>
      </c>
      <c r="W8" s="5">
        <f t="shared" si="8"/>
        <v>-0.16611382804478153</v>
      </c>
      <c r="X8" s="5">
        <f t="shared" si="9"/>
        <v>-0.28732918941589453</v>
      </c>
      <c r="AA8" s="5">
        <f t="shared" si="10"/>
        <v>-9.4763033659769319E-2</v>
      </c>
      <c r="AB8" s="5">
        <f t="shared" si="11"/>
        <v>-8.3036998062099104E-2</v>
      </c>
      <c r="AC8" s="5">
        <f t="shared" si="12"/>
        <v>-4.9423287318856896E-2</v>
      </c>
      <c r="AD8" s="5">
        <f t="shared" si="13"/>
        <v>0.40450311070201372</v>
      </c>
      <c r="AE8" s="5">
        <f t="shared" si="14"/>
        <v>0.38036508647516998</v>
      </c>
      <c r="AF8" s="5">
        <f t="shared" si="15"/>
        <v>0.23844893025325986</v>
      </c>
    </row>
    <row r="9" spans="1:32" x14ac:dyDescent="0.25">
      <c r="A9" s="2">
        <v>45489</v>
      </c>
      <c r="B9">
        <v>63052</v>
      </c>
      <c r="C9">
        <v>49696</v>
      </c>
      <c r="D9">
        <v>363416</v>
      </c>
      <c r="F9" s="5">
        <f t="shared" si="0"/>
        <v>1.2687540244687701</v>
      </c>
      <c r="G9" s="5">
        <f t="shared" si="1"/>
        <v>0.23678396518846448</v>
      </c>
      <c r="I9" s="2">
        <v>45489</v>
      </c>
      <c r="J9">
        <v>107489</v>
      </c>
      <c r="K9">
        <v>94723</v>
      </c>
      <c r="M9" s="5">
        <f t="shared" si="2"/>
        <v>0.42319679222990259</v>
      </c>
      <c r="N9" s="5">
        <f t="shared" si="3"/>
        <v>0.29624279135698711</v>
      </c>
      <c r="S9" s="5">
        <f t="shared" si="4"/>
        <v>9.4441614225907466E-3</v>
      </c>
      <c r="T9" s="5">
        <f t="shared" si="5"/>
        <v>1.3514120030141963E-2</v>
      </c>
      <c r="U9" s="5">
        <f t="shared" si="6"/>
        <v>2.4020846171238008E-2</v>
      </c>
      <c r="V9" s="5">
        <f t="shared" si="7"/>
        <v>-9.7422747287579825E-2</v>
      </c>
      <c r="W9" s="5">
        <f t="shared" si="8"/>
        <v>-0.16826248648276876</v>
      </c>
      <c r="X9" s="5">
        <f t="shared" si="9"/>
        <v>-0.29218121799096253</v>
      </c>
      <c r="AA9" s="5">
        <f t="shared" si="10"/>
        <v>-9.2976110684391655E-2</v>
      </c>
      <c r="AB9" s="5">
        <f t="shared" si="11"/>
        <v>-7.9217534030497971E-2</v>
      </c>
      <c r="AC9" s="5">
        <f t="shared" si="12"/>
        <v>-4.6384621352618449E-2</v>
      </c>
      <c r="AD9" s="5">
        <f t="shared" si="13"/>
        <v>0.37002839665372089</v>
      </c>
      <c r="AE9" s="5">
        <f t="shared" si="14"/>
        <v>0.35083661124123933</v>
      </c>
      <c r="AF9" s="5">
        <f t="shared" si="15"/>
        <v>0.20757355366055308</v>
      </c>
    </row>
    <row r="10" spans="1:32" x14ac:dyDescent="0.25">
      <c r="A10" s="2">
        <v>45488</v>
      </c>
      <c r="B10">
        <v>63052</v>
      </c>
      <c r="C10">
        <v>49421</v>
      </c>
      <c r="D10">
        <v>363566</v>
      </c>
      <c r="F10" s="5">
        <f t="shared" si="0"/>
        <v>1.2758139252544465</v>
      </c>
      <c r="G10" s="5">
        <f t="shared" si="1"/>
        <v>0.2362684569961705</v>
      </c>
      <c r="I10" s="2">
        <v>45488</v>
      </c>
      <c r="J10">
        <v>105939</v>
      </c>
      <c r="K10">
        <v>94823</v>
      </c>
      <c r="M10" s="5">
        <f t="shared" si="2"/>
        <v>0.42937917103238654</v>
      </c>
      <c r="N10" s="5">
        <f t="shared" si="3"/>
        <v>0.29403700632824137</v>
      </c>
      <c r="S10" s="5">
        <f t="shared" si="4"/>
        <v>1.0896738685113705E-2</v>
      </c>
      <c r="T10" s="5">
        <f t="shared" si="5"/>
        <v>1.6586422601757467E-2</v>
      </c>
      <c r="U10" s="5">
        <f t="shared" si="6"/>
        <v>2.4571432284309858E-2</v>
      </c>
      <c r="V10" s="5">
        <f t="shared" si="7"/>
        <v>-0.10308029389917728</v>
      </c>
      <c r="W10" s="5">
        <f t="shared" si="8"/>
        <v>-0.16915130339365658</v>
      </c>
      <c r="X10" s="5">
        <f t="shared" si="9"/>
        <v>-0.29743115745016868</v>
      </c>
      <c r="AA10" s="5">
        <f t="shared" si="10"/>
        <v>-9.0117243930916774E-2</v>
      </c>
      <c r="AB10" s="5">
        <f t="shared" si="11"/>
        <v>-7.4462708367991209E-2</v>
      </c>
      <c r="AC10" s="5">
        <f t="shared" si="12"/>
        <v>-4.2600689891737015E-2</v>
      </c>
      <c r="AD10" s="5">
        <f t="shared" si="13"/>
        <v>0.33229746891002898</v>
      </c>
      <c r="AE10" s="5">
        <f t="shared" si="14"/>
        <v>0.31777861280058184</v>
      </c>
      <c r="AF10" s="5">
        <f t="shared" si="15"/>
        <v>0.17404958699211859</v>
      </c>
    </row>
    <row r="11" spans="1:32" x14ac:dyDescent="0.25">
      <c r="A11" s="2">
        <v>45485</v>
      </c>
      <c r="B11">
        <v>63052</v>
      </c>
      <c r="C11">
        <v>49421</v>
      </c>
      <c r="D11">
        <v>362207</v>
      </c>
      <c r="F11" s="5">
        <f t="shared" si="0"/>
        <v>1.2758139252544465</v>
      </c>
      <c r="G11" s="5">
        <f t="shared" si="1"/>
        <v>0.23694488918850595</v>
      </c>
      <c r="I11" s="2">
        <v>45485</v>
      </c>
      <c r="J11">
        <v>105439</v>
      </c>
      <c r="K11">
        <v>94723</v>
      </c>
      <c r="M11" s="5">
        <f t="shared" si="2"/>
        <v>0.43138686823661077</v>
      </c>
      <c r="N11" s="5">
        <f t="shared" si="3"/>
        <v>0.29412372279203558</v>
      </c>
      <c r="S11" s="5">
        <f t="shared" si="4"/>
        <v>1.2403586014669121E-2</v>
      </c>
      <c r="T11" s="5">
        <f t="shared" si="5"/>
        <v>1.7276984523299177E-2</v>
      </c>
      <c r="U11" s="5">
        <f t="shared" si="6"/>
        <v>2.517543451624038E-2</v>
      </c>
      <c r="V11" s="5">
        <f t="shared" si="7"/>
        <v>-0.1090354839508707</v>
      </c>
      <c r="W11" s="5">
        <f t="shared" si="8"/>
        <v>-0.17157754393699287</v>
      </c>
      <c r="X11" s="5">
        <f t="shared" si="9"/>
        <v>-0.30303238744908478</v>
      </c>
      <c r="AA11" s="5">
        <f t="shared" si="10"/>
        <v>-8.7136540638220072E-2</v>
      </c>
      <c r="AB11" s="5">
        <f t="shared" si="11"/>
        <v>-6.9560039297192566E-2</v>
      </c>
      <c r="AC11" s="5">
        <f t="shared" si="12"/>
        <v>-3.8686328392533442E-2</v>
      </c>
      <c r="AD11" s="5">
        <f t="shared" si="13"/>
        <v>0.29372465343338616</v>
      </c>
      <c r="AE11" s="5">
        <f t="shared" si="14"/>
        <v>0.28391691857323142</v>
      </c>
      <c r="AF11" s="5">
        <f t="shared" si="15"/>
        <v>0.13986939022085854</v>
      </c>
    </row>
    <row r="12" spans="1:32" x14ac:dyDescent="0.25">
      <c r="A12" s="2">
        <v>45484</v>
      </c>
      <c r="B12">
        <v>61227</v>
      </c>
      <c r="C12">
        <v>49721</v>
      </c>
      <c r="D12">
        <v>363359</v>
      </c>
      <c r="F12" s="5">
        <f t="shared" si="0"/>
        <v>1.2314112749140202</v>
      </c>
      <c r="G12" s="5">
        <f t="shared" si="1"/>
        <v>0.23391600798638856</v>
      </c>
      <c r="I12" s="2">
        <v>45484</v>
      </c>
      <c r="J12">
        <v>105042</v>
      </c>
      <c r="K12">
        <v>95573</v>
      </c>
      <c r="M12" s="5">
        <f t="shared" si="2"/>
        <v>0.43300774928123986</v>
      </c>
      <c r="N12" s="5">
        <f t="shared" si="3"/>
        <v>0.29291767613376535</v>
      </c>
      <c r="S12" s="5">
        <f t="shared" si="4"/>
        <v>1.4030582845896311E-2</v>
      </c>
      <c r="T12" s="5">
        <f t="shared" si="5"/>
        <v>1.8144546407909523E-2</v>
      </c>
      <c r="U12" s="5">
        <f t="shared" si="6"/>
        <v>2.5936957175321129E-2</v>
      </c>
      <c r="V12" s="5">
        <f t="shared" si="7"/>
        <v>-0.11490759453063271</v>
      </c>
      <c r="W12" s="5">
        <f t="shared" si="8"/>
        <v>-0.17428622112970282</v>
      </c>
      <c r="X12" s="5">
        <f t="shared" si="9"/>
        <v>-0.30903935614060107</v>
      </c>
      <c r="AA12" s="5">
        <f t="shared" si="10"/>
        <v>-8.3993799657616858E-2</v>
      </c>
      <c r="AB12" s="5">
        <f t="shared" si="11"/>
        <v>-6.4403631730700045E-2</v>
      </c>
      <c r="AC12" s="5">
        <f t="shared" si="12"/>
        <v>-3.4602595870982161E-2</v>
      </c>
      <c r="AD12" s="5">
        <f t="shared" si="13"/>
        <v>0.25541615471500867</v>
      </c>
      <c r="AE12" s="5">
        <f t="shared" si="14"/>
        <v>0.24968469080316824</v>
      </c>
      <c r="AF12" s="5">
        <f t="shared" si="15"/>
        <v>0.10534537697267954</v>
      </c>
    </row>
    <row r="13" spans="1:32" x14ac:dyDescent="0.25">
      <c r="A13" s="2">
        <v>45483</v>
      </c>
      <c r="B13">
        <v>59977</v>
      </c>
      <c r="C13">
        <v>49721</v>
      </c>
      <c r="D13">
        <v>363609</v>
      </c>
      <c r="F13" s="5">
        <f t="shared" si="0"/>
        <v>1.2062709921361197</v>
      </c>
      <c r="G13" s="5">
        <f t="shared" si="1"/>
        <v>0.23176923223193402</v>
      </c>
      <c r="I13" s="2">
        <v>45483</v>
      </c>
      <c r="J13">
        <v>104542</v>
      </c>
      <c r="K13">
        <v>95573</v>
      </c>
      <c r="M13" s="5">
        <f t="shared" si="2"/>
        <v>0.43506915880698666</v>
      </c>
      <c r="N13" s="5">
        <f t="shared" si="3"/>
        <v>0.29208541490633411</v>
      </c>
      <c r="S13" s="5">
        <f t="shared" si="4"/>
        <v>1.5418711530200246E-2</v>
      </c>
      <c r="T13" s="5">
        <f t="shared" si="5"/>
        <v>1.8865889969200023E-2</v>
      </c>
      <c r="U13" s="5">
        <f t="shared" si="6"/>
        <v>2.661873746683685E-2</v>
      </c>
      <c r="V13" s="5">
        <f t="shared" si="7"/>
        <v>-0.11998937900943196</v>
      </c>
      <c r="W13" s="5">
        <f t="shared" si="8"/>
        <v>-0.17645276479755667</v>
      </c>
      <c r="X13" s="5">
        <f t="shared" si="9"/>
        <v>-0.31465958957679629</v>
      </c>
      <c r="AA13" s="5">
        <f t="shared" si="10"/>
        <v>-8.0563781886825142E-2</v>
      </c>
      <c r="AB13" s="5">
        <f t="shared" si="11"/>
        <v>-5.8821871793978436E-2</v>
      </c>
      <c r="AC13" s="5">
        <f t="shared" si="12"/>
        <v>-3.0217008426999897E-2</v>
      </c>
      <c r="AD13" s="5">
        <f t="shared" si="13"/>
        <v>0.22010304353077481</v>
      </c>
      <c r="AE13" s="5">
        <f t="shared" si="14"/>
        <v>0.21737019629096122</v>
      </c>
      <c r="AF13" s="5">
        <f t="shared" si="15"/>
        <v>7.2977275719158796E-2</v>
      </c>
    </row>
    <row r="14" spans="1:32" x14ac:dyDescent="0.25">
      <c r="A14" s="2">
        <v>45482</v>
      </c>
      <c r="B14">
        <v>57402</v>
      </c>
      <c r="C14">
        <v>50096</v>
      </c>
      <c r="D14">
        <v>362325</v>
      </c>
      <c r="F14" s="5">
        <f t="shared" si="0"/>
        <v>1.1458399872245288</v>
      </c>
      <c r="G14" s="5">
        <f t="shared" si="1"/>
        <v>0.22880531604455295</v>
      </c>
      <c r="I14" s="2">
        <v>45482</v>
      </c>
      <c r="J14">
        <v>105017</v>
      </c>
      <c r="K14">
        <v>95513</v>
      </c>
      <c r="M14" s="5">
        <f t="shared" si="2"/>
        <v>0.43309178513954882</v>
      </c>
      <c r="N14" s="5">
        <f t="shared" si="3"/>
        <v>0.29347105439683008</v>
      </c>
      <c r="S14" s="5">
        <f t="shared" si="4"/>
        <v>1.6792796390082299E-2</v>
      </c>
      <c r="T14" s="5">
        <f t="shared" si="5"/>
        <v>1.9613616222247054E-2</v>
      </c>
      <c r="U14" s="5">
        <f t="shared" si="6"/>
        <v>2.7352794935374403E-2</v>
      </c>
      <c r="V14" s="5">
        <f t="shared" si="7"/>
        <v>-0.12519326084872806</v>
      </c>
      <c r="W14" s="5">
        <f t="shared" si="8"/>
        <v>-0.17873417732837338</v>
      </c>
      <c r="X14" s="5">
        <f t="shared" si="9"/>
        <v>-0.32034052491491694</v>
      </c>
      <c r="AA14" s="5">
        <f t="shared" si="10"/>
        <v>-7.7090395676955775E-2</v>
      </c>
      <c r="AB14" s="5">
        <f t="shared" si="11"/>
        <v>-5.3104824157109848E-2</v>
      </c>
      <c r="AC14" s="5">
        <f t="shared" si="12"/>
        <v>-2.5713032342610492E-2</v>
      </c>
      <c r="AD14" s="5">
        <f t="shared" si="13"/>
        <v>0.18638752573002459</v>
      </c>
      <c r="AE14" s="5">
        <f t="shared" si="14"/>
        <v>0.18566597006583563</v>
      </c>
      <c r="AF14" s="5">
        <f t="shared" si="15"/>
        <v>4.1679811830574121E-2</v>
      </c>
    </row>
    <row r="15" spans="1:32" x14ac:dyDescent="0.25">
      <c r="A15" s="2">
        <v>45481</v>
      </c>
      <c r="B15">
        <v>52252</v>
      </c>
      <c r="C15">
        <v>50096</v>
      </c>
      <c r="D15">
        <v>361404</v>
      </c>
      <c r="F15" s="5">
        <f t="shared" si="0"/>
        <v>1.0430373682529543</v>
      </c>
      <c r="G15" s="5">
        <f t="shared" si="1"/>
        <v>0.22069554417015991</v>
      </c>
      <c r="I15" s="2">
        <v>45481</v>
      </c>
      <c r="J15">
        <v>104867</v>
      </c>
      <c r="K15">
        <v>95753</v>
      </c>
      <c r="M15" s="5">
        <f t="shared" si="2"/>
        <v>0.43370173648526228</v>
      </c>
      <c r="N15" s="5">
        <f t="shared" si="3"/>
        <v>0.29379074239084557</v>
      </c>
      <c r="S15" s="5">
        <f t="shared" si="4"/>
        <v>1.8273802013792528E-2</v>
      </c>
      <c r="T15" s="5">
        <f t="shared" si="5"/>
        <v>2.0416626851189723E-2</v>
      </c>
      <c r="U15" s="5">
        <f t="shared" si="6"/>
        <v>2.8097570599996735E-2</v>
      </c>
      <c r="V15" s="5">
        <f t="shared" si="7"/>
        <v>-0.13049659229140731</v>
      </c>
      <c r="W15" s="5">
        <f t="shared" si="8"/>
        <v>-0.18108310160759311</v>
      </c>
      <c r="X15" s="5">
        <f t="shared" si="9"/>
        <v>-0.32594656907044794</v>
      </c>
      <c r="AA15" s="5">
        <f t="shared" si="10"/>
        <v>-7.3096679012514348E-2</v>
      </c>
      <c r="AB15" s="5">
        <f t="shared" si="11"/>
        <v>-4.7093627053964165E-2</v>
      </c>
      <c r="AC15" s="5">
        <f t="shared" si="12"/>
        <v>-2.0934316941091741E-2</v>
      </c>
      <c r="AD15" s="5">
        <f t="shared" si="13"/>
        <v>0.15489944491037144</v>
      </c>
      <c r="AE15" s="5">
        <f t="shared" si="14"/>
        <v>0.15750671474105982</v>
      </c>
      <c r="AF15" s="5">
        <f t="shared" si="15"/>
        <v>1.3135741740898377E-2</v>
      </c>
    </row>
    <row r="16" spans="1:32" x14ac:dyDescent="0.25">
      <c r="A16" s="2">
        <v>45478</v>
      </c>
      <c r="B16">
        <v>51752</v>
      </c>
      <c r="C16">
        <v>50096</v>
      </c>
      <c r="D16">
        <v>359688</v>
      </c>
      <c r="F16" s="5">
        <f t="shared" si="0"/>
        <v>1.0330565314595976</v>
      </c>
      <c r="G16" s="5">
        <f t="shared" si="1"/>
        <v>0.22067184358316577</v>
      </c>
      <c r="I16" s="2">
        <v>45478</v>
      </c>
      <c r="J16">
        <v>104917</v>
      </c>
      <c r="K16">
        <v>95778</v>
      </c>
      <c r="M16" s="5">
        <f t="shared" si="2"/>
        <v>0.43346645443541088</v>
      </c>
      <c r="N16" s="5">
        <f t="shared" si="3"/>
        <v>0.29484417241899846</v>
      </c>
      <c r="S16" s="5">
        <f t="shared" si="4"/>
        <v>1.969803757184041E-2</v>
      </c>
      <c r="T16" s="5">
        <f t="shared" si="5"/>
        <v>2.1172573127880456E-2</v>
      </c>
      <c r="U16" s="5">
        <f t="shared" si="6"/>
        <v>2.8821709004084706E-2</v>
      </c>
      <c r="V16" s="5">
        <f t="shared" si="7"/>
        <v>-0.13576044524298569</v>
      </c>
      <c r="W16" s="5">
        <f t="shared" si="8"/>
        <v>-0.1834444285546748</v>
      </c>
      <c r="X16" s="5">
        <f t="shared" si="9"/>
        <v>-0.33154110214803434</v>
      </c>
      <c r="AA16" s="5">
        <f t="shared" si="10"/>
        <v>-6.8964723764230518E-2</v>
      </c>
      <c r="AB16" s="5">
        <f t="shared" si="11"/>
        <v>-4.0859422647419763E-2</v>
      </c>
      <c r="AC16" s="5">
        <f t="shared" si="12"/>
        <v>-1.5823353889878045E-2</v>
      </c>
      <c r="AD16" s="5">
        <f t="shared" si="13"/>
        <v>0.12986716786864849</v>
      </c>
      <c r="AE16" s="5">
        <f t="shared" si="14"/>
        <v>0.13556633786411931</v>
      </c>
      <c r="AF16" s="5">
        <f t="shared" si="15"/>
        <v>-1.049429293330173E-2</v>
      </c>
    </row>
    <row r="17" spans="1:32" x14ac:dyDescent="0.25">
      <c r="A17" s="2">
        <v>45477</v>
      </c>
      <c r="B17">
        <v>48602</v>
      </c>
      <c r="C17">
        <v>50096</v>
      </c>
      <c r="D17">
        <v>359778</v>
      </c>
      <c r="F17" s="5">
        <f t="shared" si="0"/>
        <v>0.97017725966144996</v>
      </c>
      <c r="G17" s="5">
        <f t="shared" si="1"/>
        <v>0.21527408195848854</v>
      </c>
      <c r="I17" s="2">
        <v>45477</v>
      </c>
      <c r="J17">
        <v>104417</v>
      </c>
      <c r="K17">
        <v>96028</v>
      </c>
      <c r="M17" s="5">
        <f t="shared" si="2"/>
        <v>0.43553252822816207</v>
      </c>
      <c r="N17" s="5">
        <f t="shared" si="3"/>
        <v>0.29409894991288515</v>
      </c>
      <c r="S17" s="5">
        <f t="shared" si="4"/>
        <v>2.1004678317340209E-2</v>
      </c>
      <c r="T17" s="5">
        <f t="shared" si="5"/>
        <v>2.1879241672160488E-2</v>
      </c>
      <c r="U17" s="5">
        <f t="shared" si="6"/>
        <v>3.0290776847472389E-2</v>
      </c>
      <c r="V17" s="5">
        <f t="shared" si="7"/>
        <v>-0.14057691073933476</v>
      </c>
      <c r="W17" s="5">
        <f t="shared" si="8"/>
        <v>-0.18577455487509043</v>
      </c>
      <c r="X17" s="5">
        <f t="shared" si="9"/>
        <v>-0.33234525410322557</v>
      </c>
      <c r="AA17" s="5">
        <f t="shared" si="10"/>
        <v>-6.4732954472321386E-2</v>
      </c>
      <c r="AB17" s="5">
        <f t="shared" si="11"/>
        <v>-3.4538519030121978E-2</v>
      </c>
      <c r="AC17" s="5">
        <f t="shared" si="12"/>
        <v>-1.062284448818282E-2</v>
      </c>
      <c r="AD17" s="5">
        <f t="shared" si="13"/>
        <v>0.10720125358366117</v>
      </c>
      <c r="AE17" s="5">
        <f t="shared" si="14"/>
        <v>0.1153639660309751</v>
      </c>
      <c r="AF17" s="5">
        <f t="shared" si="15"/>
        <v>-3.2560036428801897E-2</v>
      </c>
    </row>
    <row r="18" spans="1:32" x14ac:dyDescent="0.25">
      <c r="A18" s="2">
        <v>45476</v>
      </c>
      <c r="B18">
        <v>47102</v>
      </c>
      <c r="C18">
        <v>47821</v>
      </c>
      <c r="D18">
        <v>359447</v>
      </c>
      <c r="F18" s="5">
        <f t="shared" si="0"/>
        <v>0.98496476443403524</v>
      </c>
      <c r="G18" s="5">
        <f t="shared" si="1"/>
        <v>0.20891123973853909</v>
      </c>
      <c r="I18" s="2">
        <v>45476</v>
      </c>
      <c r="J18">
        <v>101567</v>
      </c>
      <c r="K18">
        <v>93203</v>
      </c>
      <c r="M18" s="5">
        <f t="shared" si="2"/>
        <v>0.44774385381078502</v>
      </c>
      <c r="N18" s="5">
        <f t="shared" si="3"/>
        <v>0.29031767655827362</v>
      </c>
      <c r="S18" s="5">
        <f t="shared" si="4"/>
        <v>2.2193603558214092E-2</v>
      </c>
      <c r="T18" s="5">
        <f t="shared" si="5"/>
        <v>2.254106965710273E-2</v>
      </c>
      <c r="U18" s="5">
        <f t="shared" si="6"/>
        <v>3.0939015723511765E-2</v>
      </c>
      <c r="V18" s="5">
        <f t="shared" si="7"/>
        <v>-0.14501973484525055</v>
      </c>
      <c r="W18" s="5">
        <f t="shared" si="8"/>
        <v>-0.18794662518032657</v>
      </c>
      <c r="X18" s="5">
        <f t="shared" si="9"/>
        <v>-0.33779666727330238</v>
      </c>
      <c r="AA18" s="5">
        <f t="shared" si="10"/>
        <v>-6.0209875588015882E-2</v>
      </c>
      <c r="AB18" s="5">
        <f t="shared" si="11"/>
        <v>-2.7679617906009424E-2</v>
      </c>
      <c r="AC18" s="5">
        <f t="shared" si="12"/>
        <v>-5.1669478094500954E-3</v>
      </c>
      <c r="AD18" s="5">
        <f t="shared" si="13"/>
        <v>8.8594421086932718E-2</v>
      </c>
      <c r="AE18" s="5">
        <f t="shared" si="14"/>
        <v>9.6108237756273751E-2</v>
      </c>
      <c r="AF18" s="5">
        <f t="shared" si="15"/>
        <v>-5.1026532637980959E-2</v>
      </c>
    </row>
    <row r="19" spans="1:32" x14ac:dyDescent="0.25">
      <c r="A19" s="2">
        <v>45475</v>
      </c>
      <c r="B19">
        <v>47040</v>
      </c>
      <c r="C19">
        <v>46896</v>
      </c>
      <c r="D19">
        <v>358571</v>
      </c>
      <c r="F19" s="5">
        <f t="shared" si="0"/>
        <v>1.0030706243602865</v>
      </c>
      <c r="G19" s="5">
        <f t="shared" si="1"/>
        <v>0.2075901588262723</v>
      </c>
      <c r="I19" s="2">
        <v>45475</v>
      </c>
      <c r="J19">
        <v>99592</v>
      </c>
      <c r="K19">
        <v>97203</v>
      </c>
      <c r="M19" s="5">
        <f t="shared" si="2"/>
        <v>0.45661298096232628</v>
      </c>
      <c r="N19" s="5">
        <f t="shared" si="3"/>
        <v>0.28803823381079269</v>
      </c>
      <c r="S19" s="5">
        <f t="shared" si="4"/>
        <v>2.2596887689622869E-2</v>
      </c>
      <c r="T19" s="5">
        <f t="shared" si="5"/>
        <v>2.2834170886349481E-2</v>
      </c>
      <c r="U19" s="5">
        <f t="shared" si="6"/>
        <v>3.1296382097381059E-2</v>
      </c>
      <c r="V19" s="5">
        <f t="shared" si="7"/>
        <v>-0.14708381841430868</v>
      </c>
      <c r="W19" s="5">
        <f t="shared" si="8"/>
        <v>-0.18854265688134714</v>
      </c>
      <c r="X19" s="5">
        <f t="shared" si="9"/>
        <v>-0.34206955655872801</v>
      </c>
      <c r="AA19" s="5">
        <f t="shared" si="10"/>
        <v>-5.5573464566550212E-2</v>
      </c>
      <c r="AB19" s="5">
        <f t="shared" si="11"/>
        <v>-2.0262076227662795E-2</v>
      </c>
      <c r="AC19" s="5">
        <f t="shared" si="12"/>
        <v>5.9785553421892734E-4</v>
      </c>
      <c r="AD19" s="5">
        <f t="shared" si="13"/>
        <v>7.1827831764404215E-2</v>
      </c>
      <c r="AE19" s="5">
        <f t="shared" si="14"/>
        <v>7.9780148570043674E-2</v>
      </c>
      <c r="AF19" s="5">
        <f t="shared" si="15"/>
        <v>-6.8589469007676374E-2</v>
      </c>
    </row>
    <row r="20" spans="1:32" x14ac:dyDescent="0.25">
      <c r="A20" s="2">
        <v>45474</v>
      </c>
      <c r="B20">
        <v>45425</v>
      </c>
      <c r="C20">
        <v>46171</v>
      </c>
      <c r="D20">
        <v>357779</v>
      </c>
      <c r="F20" s="5">
        <f t="shared" si="0"/>
        <v>0.98384267180697837</v>
      </c>
      <c r="G20" s="5">
        <f t="shared" si="1"/>
        <v>0.2038297635605007</v>
      </c>
      <c r="I20" s="2">
        <v>45474</v>
      </c>
      <c r="J20">
        <v>99542</v>
      </c>
      <c r="K20">
        <v>97653</v>
      </c>
      <c r="M20" s="5">
        <f t="shared" si="2"/>
        <v>0.45683229189688773</v>
      </c>
      <c r="N20" s="5">
        <f t="shared" si="3"/>
        <v>0.28841973368868029</v>
      </c>
      <c r="S20" s="5">
        <f t="shared" si="4"/>
        <v>2.24700595292045E-2</v>
      </c>
      <c r="T20" s="5">
        <f t="shared" si="5"/>
        <v>2.2616832441633594E-2</v>
      </c>
      <c r="U20" s="5">
        <f t="shared" si="6"/>
        <v>3.1237914660743271E-2</v>
      </c>
      <c r="V20" s="5">
        <f t="shared" si="7"/>
        <v>-0.1475978063681383</v>
      </c>
      <c r="W20" s="5">
        <f t="shared" si="8"/>
        <v>-0.18719389661574265</v>
      </c>
      <c r="X20" s="5">
        <f t="shared" si="9"/>
        <v>-0.34464906945257529</v>
      </c>
      <c r="AA20" s="5">
        <f t="shared" si="10"/>
        <v>-5.1036751583050266E-2</v>
      </c>
      <c r="AB20" s="5">
        <f t="shared" si="11"/>
        <v>-1.2804573425505561E-2</v>
      </c>
      <c r="AC20" s="5">
        <f t="shared" si="12"/>
        <v>6.3015037221391679E-3</v>
      </c>
      <c r="AD20" s="5">
        <f t="shared" si="13"/>
        <v>5.6362852284146614E-2</v>
      </c>
      <c r="AE20" s="5">
        <f t="shared" si="14"/>
        <v>6.3254751957939503E-2</v>
      </c>
      <c r="AF20" s="5">
        <f t="shared" si="15"/>
        <v>-8.6102855638360842E-2</v>
      </c>
    </row>
    <row r="21" spans="1:32" x14ac:dyDescent="0.25">
      <c r="A21" s="2">
        <v>45471</v>
      </c>
      <c r="B21">
        <v>48438</v>
      </c>
      <c r="C21">
        <v>46246</v>
      </c>
      <c r="D21">
        <v>357843</v>
      </c>
      <c r="F21" s="5">
        <f t="shared" si="0"/>
        <v>1.0473986939410975</v>
      </c>
      <c r="G21" s="5">
        <f t="shared" si="1"/>
        <v>0.20923392416364106</v>
      </c>
      <c r="I21" s="2">
        <v>45471</v>
      </c>
      <c r="J21">
        <v>99242</v>
      </c>
      <c r="K21">
        <v>97268</v>
      </c>
      <c r="M21" s="5">
        <f t="shared" si="2"/>
        <v>0.45818302734729249</v>
      </c>
      <c r="N21" s="5">
        <f t="shared" si="3"/>
        <v>0.28795397925803295</v>
      </c>
      <c r="S21" s="5">
        <f t="shared" si="4"/>
        <v>2.2341738217082241E-2</v>
      </c>
      <c r="T21" s="5">
        <f t="shared" si="5"/>
        <v>2.2278513460426863E-2</v>
      </c>
      <c r="U21" s="5">
        <f t="shared" si="6"/>
        <v>3.1097986740364791E-2</v>
      </c>
      <c r="V21" s="5">
        <f t="shared" si="7"/>
        <v>-0.14803006890951209</v>
      </c>
      <c r="W21" s="5">
        <f t="shared" si="8"/>
        <v>-0.18559862759497969</v>
      </c>
      <c r="X21" s="5">
        <f t="shared" si="9"/>
        <v>-0.34686092961878934</v>
      </c>
      <c r="AA21" s="5">
        <f t="shared" si="10"/>
        <v>-4.5806134237708129E-2</v>
      </c>
      <c r="AB21" s="5">
        <f t="shared" si="11"/>
        <v>-4.929450519574885E-3</v>
      </c>
      <c r="AC21" s="5">
        <f t="shared" si="12"/>
        <v>1.2245215350873306E-2</v>
      </c>
      <c r="AD21" s="5">
        <f t="shared" si="13"/>
        <v>4.5443937759372166E-2</v>
      </c>
      <c r="AE21" s="5">
        <f t="shared" si="14"/>
        <v>5.143394656477196E-2</v>
      </c>
      <c r="AF21" s="5">
        <f t="shared" si="15"/>
        <v>-0.10214058984887275</v>
      </c>
    </row>
    <row r="22" spans="1:32" x14ac:dyDescent="0.25">
      <c r="A22" s="2">
        <v>45470</v>
      </c>
      <c r="B22">
        <v>47688</v>
      </c>
      <c r="C22">
        <v>44921</v>
      </c>
      <c r="D22">
        <v>358346</v>
      </c>
      <c r="F22" s="5">
        <f t="shared" si="0"/>
        <v>1.0615970258898957</v>
      </c>
      <c r="G22" s="5">
        <f t="shared" si="1"/>
        <v>0.20536195407524033</v>
      </c>
      <c r="I22" s="2">
        <v>45470</v>
      </c>
      <c r="J22">
        <v>98267</v>
      </c>
      <c r="K22">
        <v>96758</v>
      </c>
      <c r="M22" s="5">
        <f t="shared" si="2"/>
        <v>0.46271891886391159</v>
      </c>
      <c r="N22" s="5">
        <f t="shared" si="3"/>
        <v>0.28628135188803444</v>
      </c>
      <c r="S22" s="5">
        <f t="shared" si="4"/>
        <v>2.057412258647523E-2</v>
      </c>
      <c r="T22" s="5">
        <f t="shared" si="5"/>
        <v>2.1108675388614551E-2</v>
      </c>
      <c r="U22" s="5">
        <f t="shared" si="6"/>
        <v>3.0929980065142748E-2</v>
      </c>
      <c r="V22" s="5">
        <f t="shared" si="7"/>
        <v>-0.14125739623214484</v>
      </c>
      <c r="W22" s="5">
        <f t="shared" si="8"/>
        <v>-0.17984932626560257</v>
      </c>
      <c r="X22" s="5">
        <f t="shared" si="9"/>
        <v>-0.34069787303245502</v>
      </c>
      <c r="AA22" s="5">
        <f t="shared" si="10"/>
        <v>-4.079283836965153E-2</v>
      </c>
      <c r="AB22" s="5">
        <f t="shared" si="11"/>
        <v>1.0339586433909531E-3</v>
      </c>
      <c r="AC22" s="5">
        <f t="shared" si="12"/>
        <v>1.8081934520394638E-2</v>
      </c>
      <c r="AD22" s="5">
        <f t="shared" si="13"/>
        <v>3.2557758372330103E-2</v>
      </c>
      <c r="AE22" s="5">
        <f t="shared" si="14"/>
        <v>2.6630618750996593E-2</v>
      </c>
      <c r="AF22" s="5">
        <f t="shared" si="15"/>
        <v>-0.12067491916892359</v>
      </c>
    </row>
    <row r="23" spans="1:32" x14ac:dyDescent="0.25">
      <c r="A23" s="2">
        <v>45469</v>
      </c>
      <c r="B23">
        <v>39588</v>
      </c>
      <c r="C23">
        <v>41796</v>
      </c>
      <c r="D23">
        <v>355843</v>
      </c>
      <c r="F23" s="5">
        <f t="shared" si="0"/>
        <v>0.94717197817973009</v>
      </c>
      <c r="G23" s="5">
        <f t="shared" si="1"/>
        <v>0.18613672074231463</v>
      </c>
      <c r="I23" s="2">
        <v>45469</v>
      </c>
      <c r="J23">
        <v>97717</v>
      </c>
      <c r="K23">
        <v>96208</v>
      </c>
      <c r="M23" s="5">
        <f t="shared" si="2"/>
        <v>0.46531309802797877</v>
      </c>
      <c r="N23" s="5">
        <f t="shared" si="3"/>
        <v>0.28692921653851783</v>
      </c>
      <c r="S23" s="5">
        <f t="shared" si="4"/>
        <v>1.8858999249172836E-2</v>
      </c>
      <c r="T23" s="5">
        <f t="shared" si="5"/>
        <v>1.9966017166237249E-2</v>
      </c>
      <c r="U23" s="5">
        <f t="shared" si="6"/>
        <v>3.005979385972235E-2</v>
      </c>
      <c r="V23" s="5">
        <f t="shared" si="7"/>
        <v>-0.13464592168043643</v>
      </c>
      <c r="W23" s="5">
        <f t="shared" si="8"/>
        <v>-0.17433908732483727</v>
      </c>
      <c r="X23" s="5">
        <f t="shared" si="9"/>
        <v>-0.3392748755564986</v>
      </c>
      <c r="AA23" s="5">
        <f t="shared" si="10"/>
        <v>-3.5577387865366072E-2</v>
      </c>
      <c r="AB23" s="5">
        <f t="shared" si="11"/>
        <v>7.145417395682585E-3</v>
      </c>
      <c r="AC23" s="5">
        <f t="shared" si="12"/>
        <v>2.413114958226853E-2</v>
      </c>
      <c r="AD23" s="5">
        <f t="shared" si="13"/>
        <v>1.9538717938058836E-2</v>
      </c>
      <c r="AE23" s="5">
        <f t="shared" si="14"/>
        <v>1.7525895907775091E-3</v>
      </c>
      <c r="AF23" s="5">
        <f t="shared" si="15"/>
        <v>-0.13962321780542053</v>
      </c>
    </row>
    <row r="24" spans="1:32" x14ac:dyDescent="0.25">
      <c r="A24" s="2">
        <v>45468</v>
      </c>
      <c r="B24">
        <v>38638</v>
      </c>
      <c r="C24">
        <v>39671</v>
      </c>
      <c r="D24">
        <v>354577</v>
      </c>
      <c r="F24" s="5">
        <f t="shared" si="0"/>
        <v>0.97396082780872673</v>
      </c>
      <c r="G24" s="5">
        <f t="shared" si="1"/>
        <v>0.18089982120003881</v>
      </c>
      <c r="I24" s="2">
        <v>45468</v>
      </c>
      <c r="J24">
        <v>97717</v>
      </c>
      <c r="K24">
        <v>96208</v>
      </c>
      <c r="M24" s="5">
        <f t="shared" si="2"/>
        <v>0.46530286439411772</v>
      </c>
      <c r="N24" s="5">
        <f t="shared" si="3"/>
        <v>0.28765755521715197</v>
      </c>
      <c r="S24" s="5">
        <f t="shared" si="4"/>
        <v>1.7197887768483078E-2</v>
      </c>
      <c r="T24" s="5">
        <f t="shared" si="5"/>
        <v>1.8868027703090817E-2</v>
      </c>
      <c r="U24" s="5">
        <f t="shared" si="6"/>
        <v>2.9212781316293568E-2</v>
      </c>
      <c r="V24" s="5">
        <f t="shared" si="7"/>
        <v>-0.12872811039003407</v>
      </c>
      <c r="W24" s="5">
        <f t="shared" si="8"/>
        <v>-0.16936331114801573</v>
      </c>
      <c r="X24" s="5">
        <f t="shared" si="9"/>
        <v>-0.33817073942051157</v>
      </c>
      <c r="AA24" s="5">
        <f t="shared" si="10"/>
        <v>-2.9193384158510249E-2</v>
      </c>
      <c r="AB24" s="5">
        <f t="shared" si="11"/>
        <v>1.425729680982929E-2</v>
      </c>
      <c r="AC24" s="5">
        <f t="shared" si="12"/>
        <v>3.1246340721921118E-2</v>
      </c>
      <c r="AD24" s="5">
        <f t="shared" si="13"/>
        <v>9.8517846659803565E-3</v>
      </c>
      <c r="AE24" s="5">
        <f t="shared" si="14"/>
        <v>-1.8661725838328924E-2</v>
      </c>
      <c r="AF24" s="5">
        <f t="shared" si="15"/>
        <v>-0.15360758376278072</v>
      </c>
    </row>
    <row r="25" spans="1:32" x14ac:dyDescent="0.25">
      <c r="A25" s="2">
        <v>45467</v>
      </c>
      <c r="B25">
        <v>38613</v>
      </c>
      <c r="C25">
        <v>36320</v>
      </c>
      <c r="D25">
        <v>353485</v>
      </c>
      <c r="F25" s="5">
        <f t="shared" si="0"/>
        <v>1.0631332599118943</v>
      </c>
      <c r="G25" s="5">
        <f t="shared" si="1"/>
        <v>0.17490628311602222</v>
      </c>
      <c r="I25" s="2">
        <v>45467</v>
      </c>
      <c r="J25">
        <v>98667</v>
      </c>
      <c r="K25">
        <v>96258</v>
      </c>
      <c r="M25" s="5">
        <f t="shared" si="2"/>
        <v>0.46081263238975545</v>
      </c>
      <c r="N25" s="5">
        <f t="shared" si="3"/>
        <v>0.28964730044471776</v>
      </c>
      <c r="S25" s="5">
        <f t="shared" si="4"/>
        <v>1.5591873668279133E-2</v>
      </c>
      <c r="T25" s="5">
        <f t="shared" si="5"/>
        <v>1.7805685452773612E-2</v>
      </c>
      <c r="U25" s="5">
        <f t="shared" si="6"/>
        <v>2.8444960396935282E-2</v>
      </c>
      <c r="V25" s="5">
        <f t="shared" si="7"/>
        <v>-0.12280905685984644</v>
      </c>
      <c r="W25" s="5">
        <f t="shared" si="8"/>
        <v>-0.16436975952024202</v>
      </c>
      <c r="X25" s="5">
        <f t="shared" si="9"/>
        <v>-0.33706662696621525</v>
      </c>
      <c r="AA25" s="5">
        <f t="shared" si="10"/>
        <v>-2.2434730900273536E-2</v>
      </c>
      <c r="AB25" s="5">
        <f t="shared" si="11"/>
        <v>2.1680001167507013E-2</v>
      </c>
      <c r="AC25" s="5">
        <f t="shared" si="12"/>
        <v>3.8768307601785984E-2</v>
      </c>
      <c r="AD25" s="5">
        <f t="shared" si="13"/>
        <v>-1.7224429788166296E-3</v>
      </c>
      <c r="AE25" s="5">
        <f t="shared" si="14"/>
        <v>-4.0486652515567934E-2</v>
      </c>
      <c r="AF25" s="5">
        <f t="shared" si="15"/>
        <v>-0.16910284134256115</v>
      </c>
    </row>
    <row r="26" spans="1:32" x14ac:dyDescent="0.25">
      <c r="A26" s="2">
        <v>45464</v>
      </c>
      <c r="B26">
        <v>38088</v>
      </c>
      <c r="C26">
        <v>33795</v>
      </c>
      <c r="D26">
        <v>349260</v>
      </c>
      <c r="F26" s="5">
        <f t="shared" si="0"/>
        <v>1.1270306258322238</v>
      </c>
      <c r="G26" s="5">
        <f t="shared" si="1"/>
        <v>0.17068549162635968</v>
      </c>
      <c r="I26" s="2">
        <v>45464</v>
      </c>
      <c r="J26">
        <v>97867</v>
      </c>
      <c r="K26">
        <v>98208</v>
      </c>
      <c r="M26" s="5">
        <f t="shared" si="2"/>
        <v>0.4645488264685747</v>
      </c>
      <c r="N26" s="5">
        <f t="shared" si="3"/>
        <v>0.29097364750878518</v>
      </c>
      <c r="S26" s="5">
        <f t="shared" si="4"/>
        <v>1.394865230991954E-2</v>
      </c>
      <c r="T26" s="5">
        <f t="shared" si="5"/>
        <v>1.6682354141449585E-2</v>
      </c>
      <c r="U26" s="5">
        <f t="shared" si="6"/>
        <v>2.7604226820754529E-2</v>
      </c>
      <c r="V26" s="5">
        <f t="shared" si="7"/>
        <v>-0.11718151062504623</v>
      </c>
      <c r="W26" s="5">
        <f t="shared" si="8"/>
        <v>-0.15936961751595979</v>
      </c>
      <c r="X26" s="5">
        <f t="shared" si="9"/>
        <v>-0.33582955028038897</v>
      </c>
      <c r="AA26" s="5">
        <f t="shared" si="10"/>
        <v>-1.5270362329317611E-2</v>
      </c>
      <c r="AB26" s="5">
        <f t="shared" si="11"/>
        <v>2.9450159564625211E-2</v>
      </c>
      <c r="AC26" s="5">
        <f t="shared" si="12"/>
        <v>4.6595201240443473E-2</v>
      </c>
      <c r="AD26" s="5">
        <f t="shared" si="13"/>
        <v>-1.7210847229378712E-2</v>
      </c>
      <c r="AE26" s="5">
        <f t="shared" si="14"/>
        <v>-6.6032081881439386E-2</v>
      </c>
      <c r="AF26" s="5">
        <f t="shared" si="15"/>
        <v>-0.18880313321828579</v>
      </c>
    </row>
    <row r="27" spans="1:32" x14ac:dyDescent="0.25">
      <c r="A27" s="2">
        <v>45463</v>
      </c>
      <c r="B27">
        <v>37698</v>
      </c>
      <c r="C27">
        <v>33800</v>
      </c>
      <c r="D27">
        <v>342937</v>
      </c>
      <c r="F27" s="5">
        <f t="shared" si="0"/>
        <v>1.1153254437869822</v>
      </c>
      <c r="G27" s="5">
        <f t="shared" si="1"/>
        <v>0.17251921290431552</v>
      </c>
      <c r="I27" s="2">
        <v>45463</v>
      </c>
      <c r="J27">
        <v>97967</v>
      </c>
      <c r="K27">
        <v>94833</v>
      </c>
      <c r="M27" s="5">
        <f t="shared" si="2"/>
        <v>0.46406442985903418</v>
      </c>
      <c r="N27" s="5">
        <f t="shared" si="3"/>
        <v>0.29490076423770528</v>
      </c>
      <c r="S27" s="5">
        <f t="shared" si="4"/>
        <v>1.2123984054609627E-2</v>
      </c>
      <c r="T27" s="5">
        <f t="shared" si="5"/>
        <v>1.5462285002142862E-2</v>
      </c>
      <c r="U27" s="5">
        <f t="shared" si="6"/>
        <v>2.6689466012675689E-2</v>
      </c>
      <c r="V27" s="5">
        <f t="shared" si="7"/>
        <v>-0.11174395932961934</v>
      </c>
      <c r="W27" s="5">
        <f t="shared" si="8"/>
        <v>-0.15458304698909586</v>
      </c>
      <c r="X27" s="5">
        <f t="shared" si="9"/>
        <v>-0.33563213390710167</v>
      </c>
      <c r="AA27" s="5">
        <f t="shared" si="10"/>
        <v>-7.8261250628991474E-3</v>
      </c>
      <c r="AB27" s="5">
        <f t="shared" si="11"/>
        <v>3.7385776073165955E-2</v>
      </c>
      <c r="AC27" s="5">
        <f t="shared" si="12"/>
        <v>5.4605081442290315E-2</v>
      </c>
      <c r="AD27" s="5">
        <f t="shared" si="13"/>
        <v>-3.6328426271119985E-2</v>
      </c>
      <c r="AE27" s="5">
        <f t="shared" si="14"/>
        <v>-9.4211948828356928E-2</v>
      </c>
      <c r="AF27" s="5">
        <f t="shared" si="15"/>
        <v>-0.21144790148104808</v>
      </c>
    </row>
    <row r="28" spans="1:32" x14ac:dyDescent="0.25">
      <c r="A28" s="2">
        <v>45462</v>
      </c>
      <c r="B28">
        <v>53878</v>
      </c>
      <c r="C28">
        <v>88270</v>
      </c>
      <c r="D28">
        <v>342582</v>
      </c>
      <c r="F28" s="5">
        <f t="shared" si="0"/>
        <v>0.61037725161436507</v>
      </c>
      <c r="G28" s="5">
        <f t="shared" si="1"/>
        <v>0.29325191343634599</v>
      </c>
      <c r="I28" s="2">
        <v>45462</v>
      </c>
      <c r="J28">
        <v>97316</v>
      </c>
      <c r="K28">
        <v>93858</v>
      </c>
      <c r="M28" s="5">
        <f t="shared" si="2"/>
        <v>0.46715853508158989</v>
      </c>
      <c r="N28" s="5">
        <f t="shared" si="3"/>
        <v>0.29416927641338386</v>
      </c>
      <c r="S28" s="5">
        <f t="shared" si="4"/>
        <v>1.003869737613533E-2</v>
      </c>
      <c r="T28" s="5">
        <f t="shared" si="5"/>
        <v>1.4084970040310119E-2</v>
      </c>
      <c r="U28" s="5">
        <f t="shared" si="6"/>
        <v>2.5574458705708902E-2</v>
      </c>
      <c r="V28" s="5">
        <f t="shared" si="7"/>
        <v>-0.10624902329042485</v>
      </c>
      <c r="W28" s="5">
        <f t="shared" si="8"/>
        <v>-0.14974479477426683</v>
      </c>
      <c r="X28" s="5">
        <f t="shared" si="9"/>
        <v>-0.33531529101407864</v>
      </c>
      <c r="AA28" s="5">
        <f t="shared" si="10"/>
        <v>-1.5497441828371539E-4</v>
      </c>
      <c r="AB28" s="5">
        <f t="shared" si="11"/>
        <v>4.5411492229504469E-2</v>
      </c>
      <c r="AC28" s="5">
        <f t="shared" si="12"/>
        <v>6.2688114676437645E-2</v>
      </c>
      <c r="AD28" s="5">
        <f t="shared" si="13"/>
        <v>-5.447076992226374E-2</v>
      </c>
      <c r="AE28" s="5">
        <f t="shared" si="14"/>
        <v>-0.12189013983351527</v>
      </c>
      <c r="AF28" s="5">
        <f t="shared" si="15"/>
        <v>-0.23478190394471654</v>
      </c>
    </row>
    <row r="29" spans="1:32" x14ac:dyDescent="0.25">
      <c r="A29" s="2">
        <v>45461</v>
      </c>
      <c r="B29">
        <v>54428</v>
      </c>
      <c r="C29">
        <v>88895</v>
      </c>
      <c r="D29">
        <v>346400</v>
      </c>
      <c r="F29" s="5">
        <f t="shared" si="0"/>
        <v>0.61227290623769615</v>
      </c>
      <c r="G29" s="5">
        <f t="shared" si="1"/>
        <v>0.29266136162687889</v>
      </c>
      <c r="I29" s="2">
        <v>45461</v>
      </c>
      <c r="J29">
        <v>97941</v>
      </c>
      <c r="K29">
        <v>91883</v>
      </c>
      <c r="M29" s="5">
        <f t="shared" si="2"/>
        <v>0.46416720270366851</v>
      </c>
      <c r="N29" s="5">
        <f t="shared" si="3"/>
        <v>0.29277544803818684</v>
      </c>
      <c r="S29" s="5">
        <f t="shared" si="4"/>
        <v>7.9208510364350837E-3</v>
      </c>
      <c r="T29" s="5">
        <f t="shared" si="5"/>
        <v>1.2766819665086748E-2</v>
      </c>
      <c r="U29" s="5">
        <f t="shared" si="6"/>
        <v>2.4546322252456731E-2</v>
      </c>
      <c r="V29" s="5">
        <f t="shared" si="7"/>
        <v>-0.10088175867411031</v>
      </c>
      <c r="W29" s="5">
        <f t="shared" si="8"/>
        <v>-0.1448706292462999</v>
      </c>
      <c r="X29" s="5">
        <f t="shared" si="9"/>
        <v>-0.33561290062632354</v>
      </c>
      <c r="AA29" s="5">
        <f t="shared" si="10"/>
        <v>1.0951867377845259E-3</v>
      </c>
      <c r="AB29" s="5">
        <f t="shared" si="11"/>
        <v>4.7186256873043231E-2</v>
      </c>
      <c r="AC29" s="5">
        <f t="shared" si="12"/>
        <v>6.472163863435143E-2</v>
      </c>
      <c r="AD29" s="5">
        <f t="shared" si="13"/>
        <v>-4.9109185640794473E-2</v>
      </c>
      <c r="AE29" s="5">
        <f t="shared" si="14"/>
        <v>-0.12561208361415255</v>
      </c>
      <c r="AF29" s="5">
        <f t="shared" si="15"/>
        <v>-0.23419951527466332</v>
      </c>
    </row>
    <row r="30" spans="1:32" x14ac:dyDescent="0.25">
      <c r="A30" s="2">
        <v>45460</v>
      </c>
      <c r="B30">
        <v>55628</v>
      </c>
      <c r="C30">
        <v>91345</v>
      </c>
      <c r="D30">
        <v>338785</v>
      </c>
      <c r="F30" s="5">
        <f t="shared" si="0"/>
        <v>0.60898790300509054</v>
      </c>
      <c r="G30" s="5">
        <f t="shared" si="1"/>
        <v>0.3025642398066527</v>
      </c>
      <c r="I30" s="2">
        <v>45460</v>
      </c>
      <c r="J30">
        <v>98141</v>
      </c>
      <c r="K30">
        <v>91933</v>
      </c>
      <c r="M30" s="5">
        <f t="shared" si="2"/>
        <v>0.463211094241958</v>
      </c>
      <c r="N30" s="5">
        <f t="shared" si="3"/>
        <v>0.29768898765718738</v>
      </c>
      <c r="S30" s="5">
        <f t="shared" si="4"/>
        <v>5.8356447048379945E-3</v>
      </c>
      <c r="T30" s="5">
        <f t="shared" si="5"/>
        <v>1.1556785789853252E-2</v>
      </c>
      <c r="U30" s="5">
        <f t="shared" si="6"/>
        <v>2.3724742433515023E-2</v>
      </c>
      <c r="V30" s="5">
        <f t="shared" si="7"/>
        <v>-9.5348140411426141E-2</v>
      </c>
      <c r="W30" s="5">
        <f t="shared" si="8"/>
        <v>-0.1399127991904705</v>
      </c>
      <c r="X30" s="5">
        <f t="shared" si="9"/>
        <v>-0.33685411448060898</v>
      </c>
      <c r="AA30" s="5">
        <f t="shared" si="10"/>
        <v>1.9442581950304128E-3</v>
      </c>
      <c r="AB30" s="5">
        <f t="shared" si="11"/>
        <v>4.8704008858503012E-2</v>
      </c>
      <c r="AC30" s="5">
        <f t="shared" si="12"/>
        <v>6.6807397150679293E-2</v>
      </c>
      <c r="AD30" s="5">
        <f t="shared" si="13"/>
        <v>-4.1128007979227443E-2</v>
      </c>
      <c r="AE30" s="5">
        <f t="shared" si="14"/>
        <v>-0.12746797488855888</v>
      </c>
      <c r="AF30" s="5">
        <f t="shared" si="15"/>
        <v>-0.2340981337912279</v>
      </c>
    </row>
    <row r="31" spans="1:32" x14ac:dyDescent="0.25">
      <c r="A31" s="2">
        <v>45457</v>
      </c>
      <c r="B31">
        <v>55698</v>
      </c>
      <c r="C31">
        <v>92545</v>
      </c>
      <c r="D31">
        <v>338682</v>
      </c>
      <c r="F31" s="5">
        <f t="shared" si="0"/>
        <v>0.60184774974336808</v>
      </c>
      <c r="G31" s="5">
        <f t="shared" si="1"/>
        <v>0.30444729681162397</v>
      </c>
      <c r="I31" s="2">
        <v>45457</v>
      </c>
      <c r="J31">
        <v>97691</v>
      </c>
      <c r="K31">
        <v>91783</v>
      </c>
      <c r="M31" s="5">
        <f t="shared" si="2"/>
        <v>0.46531410262972023</v>
      </c>
      <c r="N31" s="5">
        <f t="shared" si="3"/>
        <v>0.29709233547101677</v>
      </c>
      <c r="S31" s="5">
        <f t="shared" si="4"/>
        <v>3.5965758348897592E-3</v>
      </c>
      <c r="T31" s="5">
        <f t="shared" si="5"/>
        <v>1.0129131477056741E-2</v>
      </c>
      <c r="U31" s="5">
        <f t="shared" si="6"/>
        <v>2.1808551054458725E-2</v>
      </c>
      <c r="V31" s="5">
        <f t="shared" si="7"/>
        <v>-8.977220909494088E-2</v>
      </c>
      <c r="W31" s="5">
        <f t="shared" si="8"/>
        <v>-0.13492538564921386</v>
      </c>
      <c r="X31" s="5">
        <f t="shared" si="9"/>
        <v>-0.32855052285670538</v>
      </c>
      <c r="AA31" s="5">
        <f t="shared" si="10"/>
        <v>2.3729736814567803E-3</v>
      </c>
      <c r="AB31" s="5">
        <f t="shared" si="11"/>
        <v>4.9823089757209837E-2</v>
      </c>
      <c r="AC31" s="5">
        <f t="shared" si="12"/>
        <v>6.6899781864560193E-2</v>
      </c>
      <c r="AD31" s="5">
        <f t="shared" si="13"/>
        <v>-3.3881957434669485E-2</v>
      </c>
      <c r="AE31" s="5">
        <f t="shared" si="14"/>
        <v>-0.12884944340230375</v>
      </c>
      <c r="AF31" s="5">
        <f t="shared" si="15"/>
        <v>-0.22370890564418433</v>
      </c>
    </row>
    <row r="32" spans="1:32" x14ac:dyDescent="0.25">
      <c r="A32" s="2">
        <v>45456</v>
      </c>
      <c r="B32">
        <v>55798</v>
      </c>
      <c r="C32">
        <v>92545</v>
      </c>
      <c r="D32">
        <v>334373</v>
      </c>
      <c r="F32" s="5">
        <f t="shared" si="0"/>
        <v>0.60292830514884654</v>
      </c>
      <c r="G32" s="5">
        <f t="shared" si="1"/>
        <v>0.30730905957125931</v>
      </c>
      <c r="I32" s="2">
        <v>45456</v>
      </c>
      <c r="J32">
        <v>97631</v>
      </c>
      <c r="K32">
        <v>90038</v>
      </c>
      <c r="M32" s="5">
        <f t="shared" si="2"/>
        <v>0.46558982290461021</v>
      </c>
      <c r="N32" s="5">
        <f t="shared" si="3"/>
        <v>0.29968374314078666</v>
      </c>
      <c r="S32" s="5">
        <f t="shared" si="4"/>
        <v>1.4969679791773105E-3</v>
      </c>
      <c r="T32" s="5">
        <f t="shared" si="5"/>
        <v>8.7788853093733743E-3</v>
      </c>
      <c r="U32" s="5">
        <f t="shared" si="6"/>
        <v>1.9933251895571213E-2</v>
      </c>
      <c r="V32" s="5">
        <f t="shared" si="7"/>
        <v>-8.4133144317587449E-2</v>
      </c>
      <c r="W32" s="5">
        <f t="shared" si="8"/>
        <v>-0.12997626916222593</v>
      </c>
      <c r="X32" s="5">
        <f t="shared" si="9"/>
        <v>-0.3200928716181336</v>
      </c>
      <c r="AA32" s="5">
        <f t="shared" si="10"/>
        <v>3.052721289290905E-3</v>
      </c>
      <c r="AB32" s="5">
        <f t="shared" si="11"/>
        <v>5.0954540056667552E-2</v>
      </c>
      <c r="AC32" s="5">
        <f t="shared" si="12"/>
        <v>6.7028115588874559E-2</v>
      </c>
      <c r="AD32" s="5">
        <f t="shared" si="13"/>
        <v>-2.6751359764752403E-2</v>
      </c>
      <c r="AE32" s="5">
        <f t="shared" si="14"/>
        <v>-0.1293382957575403</v>
      </c>
      <c r="AF32" s="5">
        <f t="shared" si="15"/>
        <v>-0.21309758112015476</v>
      </c>
    </row>
    <row r="33" spans="1:32" x14ac:dyDescent="0.25">
      <c r="A33" s="2">
        <v>45455</v>
      </c>
      <c r="B33">
        <v>56698</v>
      </c>
      <c r="C33">
        <v>92845</v>
      </c>
      <c r="D33">
        <v>333805</v>
      </c>
      <c r="F33" s="5">
        <f t="shared" si="0"/>
        <v>0.61067370348430183</v>
      </c>
      <c r="G33" s="5">
        <f t="shared" si="1"/>
        <v>0.30938992196098875</v>
      </c>
      <c r="I33" s="2">
        <v>45455</v>
      </c>
      <c r="J33">
        <v>95756</v>
      </c>
      <c r="K33">
        <v>90063</v>
      </c>
      <c r="M33" s="5">
        <f t="shared" si="2"/>
        <v>0.47469610259409334</v>
      </c>
      <c r="N33" s="5">
        <f t="shared" si="3"/>
        <v>0.29727630227192348</v>
      </c>
      <c r="S33" s="5">
        <f t="shared" si="4"/>
        <v>-4.2483130607712249E-4</v>
      </c>
      <c r="T33" s="5">
        <f t="shared" si="5"/>
        <v>7.5517673822544373E-3</v>
      </c>
      <c r="U33" s="5">
        <f t="shared" si="6"/>
        <v>1.8125756682379979E-2</v>
      </c>
      <c r="V33" s="5">
        <f t="shared" si="7"/>
        <v>-7.8886618249877083E-2</v>
      </c>
      <c r="W33" s="5">
        <f t="shared" si="8"/>
        <v>-0.12545249138569603</v>
      </c>
      <c r="X33" s="5">
        <f t="shared" si="9"/>
        <v>-0.31182954939411567</v>
      </c>
      <c r="AA33" s="5">
        <f t="shared" si="10"/>
        <v>4.1166586340069533E-3</v>
      </c>
      <c r="AB33" s="5">
        <f t="shared" si="11"/>
        <v>5.20914434222009E-2</v>
      </c>
      <c r="AC33" s="5">
        <f t="shared" si="12"/>
        <v>6.7158071693950411E-2</v>
      </c>
      <c r="AD33" s="5">
        <f t="shared" si="13"/>
        <v>-2.0910962879969297E-2</v>
      </c>
      <c r="AE33" s="5">
        <f t="shared" si="14"/>
        <v>-0.13004757838514525</v>
      </c>
      <c r="AF33" s="5">
        <f t="shared" si="15"/>
        <v>-0.20272793013539159</v>
      </c>
    </row>
    <row r="34" spans="1:32" x14ac:dyDescent="0.25">
      <c r="A34" s="2">
        <v>45454</v>
      </c>
      <c r="B34">
        <v>56748</v>
      </c>
      <c r="C34">
        <v>92445</v>
      </c>
      <c r="D34">
        <v>333575</v>
      </c>
      <c r="F34" s="5">
        <f t="shared" si="0"/>
        <v>0.61385688787927961</v>
      </c>
      <c r="G34" s="5">
        <f t="shared" si="1"/>
        <v>0.30903663871673348</v>
      </c>
      <c r="I34" s="2">
        <v>45454</v>
      </c>
      <c r="J34">
        <v>95806</v>
      </c>
      <c r="K34">
        <v>89913</v>
      </c>
      <c r="M34" s="5">
        <f t="shared" si="2"/>
        <v>0.47443792664342527</v>
      </c>
      <c r="N34" s="5">
        <f t="shared" si="3"/>
        <v>0.29749281329303862</v>
      </c>
      <c r="S34" s="5">
        <f t="shared" si="4"/>
        <v>-2.0199191149548046E-3</v>
      </c>
      <c r="T34" s="5">
        <f t="shared" si="5"/>
        <v>6.573197987145396E-3</v>
      </c>
      <c r="U34" s="5">
        <f t="shared" si="6"/>
        <v>1.6574090997314106E-2</v>
      </c>
      <c r="V34" s="5">
        <f t="shared" si="7"/>
        <v>-7.4298092710354924E-2</v>
      </c>
      <c r="W34" s="5">
        <f t="shared" si="8"/>
        <v>-0.12151286985156884</v>
      </c>
      <c r="X34" s="5">
        <f t="shared" si="9"/>
        <v>-0.30404066923920658</v>
      </c>
      <c r="AA34" s="5">
        <f t="shared" si="10"/>
        <v>5.5200279097626925E-3</v>
      </c>
      <c r="AB34" s="5">
        <f t="shared" si="11"/>
        <v>5.328602066553112E-2</v>
      </c>
      <c r="AC34" s="5">
        <f t="shared" si="12"/>
        <v>6.7301641860254807E-2</v>
      </c>
      <c r="AD34" s="5">
        <f t="shared" si="13"/>
        <v>-1.474624391637136E-2</v>
      </c>
      <c r="AE34" s="5">
        <f t="shared" si="14"/>
        <v>-0.13118224293344294</v>
      </c>
      <c r="AF34" s="5">
        <f t="shared" si="15"/>
        <v>-0.1928905687911201</v>
      </c>
    </row>
    <row r="35" spans="1:32" x14ac:dyDescent="0.25">
      <c r="A35" s="2">
        <v>45453</v>
      </c>
      <c r="B35">
        <v>57099</v>
      </c>
      <c r="C35">
        <v>92445</v>
      </c>
      <c r="D35">
        <v>331242</v>
      </c>
      <c r="F35" s="5">
        <f t="shared" si="0"/>
        <v>0.6176537400616583</v>
      </c>
      <c r="G35" s="5">
        <f t="shared" si="1"/>
        <v>0.31104067090139897</v>
      </c>
      <c r="I35" s="2">
        <v>45453</v>
      </c>
      <c r="J35">
        <v>95806</v>
      </c>
      <c r="K35">
        <v>89858</v>
      </c>
      <c r="M35" s="5">
        <f t="shared" si="2"/>
        <v>0.474427488883786</v>
      </c>
      <c r="N35" s="5">
        <f t="shared" si="3"/>
        <v>0.29896021384081728</v>
      </c>
      <c r="S35" s="5">
        <f t="shared" si="4"/>
        <v>-3.2476690695382171E-3</v>
      </c>
      <c r="T35" s="5">
        <f t="shared" si="5"/>
        <v>5.6878156251509715E-3</v>
      </c>
      <c r="U35" s="5">
        <f t="shared" si="6"/>
        <v>1.514416997853002E-2</v>
      </c>
      <c r="V35" s="5">
        <f t="shared" si="7"/>
        <v>-7.0705357956240777E-2</v>
      </c>
      <c r="W35" s="5">
        <f t="shared" si="8"/>
        <v>-0.1175545668658815</v>
      </c>
      <c r="X35" s="5">
        <f t="shared" si="9"/>
        <v>-0.29628478854636497</v>
      </c>
      <c r="AA35" s="5">
        <f t="shared" si="10"/>
        <v>7.7515159585272997E-3</v>
      </c>
      <c r="AB35" s="5">
        <f t="shared" si="11"/>
        <v>5.4556919615507793E-2</v>
      </c>
      <c r="AC35" s="5">
        <f t="shared" si="12"/>
        <v>6.7535667820917217E-2</v>
      </c>
      <c r="AD35" s="5">
        <f t="shared" si="13"/>
        <v>-8.778793327303358E-3</v>
      </c>
      <c r="AE35" s="5">
        <f t="shared" si="14"/>
        <v>-0.13309684322672011</v>
      </c>
      <c r="AF35" s="5">
        <f t="shared" si="15"/>
        <v>-0.18322687338735755</v>
      </c>
    </row>
    <row r="36" spans="1:32" x14ac:dyDescent="0.25">
      <c r="A36" s="2">
        <v>45450</v>
      </c>
      <c r="B36">
        <v>57423</v>
      </c>
      <c r="C36">
        <v>90695</v>
      </c>
      <c r="D36">
        <v>331118</v>
      </c>
      <c r="F36" s="5">
        <f t="shared" si="0"/>
        <v>0.63314405424775344</v>
      </c>
      <c r="G36" s="5">
        <f t="shared" si="1"/>
        <v>0.30907110484187333</v>
      </c>
      <c r="I36" s="2">
        <v>45450</v>
      </c>
      <c r="J36">
        <v>95656</v>
      </c>
      <c r="K36">
        <v>90083</v>
      </c>
      <c r="M36" s="5">
        <f t="shared" si="2"/>
        <v>0.47514008530567869</v>
      </c>
      <c r="N36" s="5">
        <f t="shared" si="3"/>
        <v>0.29881158094463645</v>
      </c>
      <c r="S36" s="5">
        <f t="shared" si="4"/>
        <v>-4.6123045953651576E-3</v>
      </c>
      <c r="T36" s="5">
        <f t="shared" si="5"/>
        <v>4.7760541890202735E-3</v>
      </c>
      <c r="U36" s="5">
        <f t="shared" si="6"/>
        <v>1.3645237460803095E-2</v>
      </c>
      <c r="V36" s="5">
        <f t="shared" si="7"/>
        <v>-6.6498873846543627E-2</v>
      </c>
      <c r="W36" s="5">
        <f t="shared" si="8"/>
        <v>-0.11405254065479775</v>
      </c>
      <c r="X36" s="5">
        <f t="shared" si="9"/>
        <v>-0.28830496347696377</v>
      </c>
      <c r="AA36" s="5">
        <f t="shared" si="10"/>
        <v>9.665549299515741E-3</v>
      </c>
      <c r="AB36" s="5">
        <f t="shared" si="11"/>
        <v>5.5512021926804378E-2</v>
      </c>
      <c r="AC36" s="5">
        <f t="shared" si="12"/>
        <v>6.7491583360431429E-2</v>
      </c>
      <c r="AD36" s="5">
        <f t="shared" si="13"/>
        <v>-7.8509363089418471E-4</v>
      </c>
      <c r="AE36" s="5">
        <f t="shared" si="14"/>
        <v>-0.13301209796084656</v>
      </c>
      <c r="AF36" s="5">
        <f t="shared" si="15"/>
        <v>-0.17245460236348142</v>
      </c>
    </row>
    <row r="37" spans="1:32" x14ac:dyDescent="0.25">
      <c r="A37" s="2">
        <v>45449</v>
      </c>
      <c r="B37">
        <v>58748</v>
      </c>
      <c r="C37">
        <v>90045</v>
      </c>
      <c r="D37">
        <v>330186</v>
      </c>
      <c r="F37" s="5">
        <f t="shared" si="0"/>
        <v>0.65242934088511295</v>
      </c>
      <c r="G37" s="5">
        <f t="shared" si="1"/>
        <v>0.31064618699358426</v>
      </c>
      <c r="I37" s="2">
        <v>45449</v>
      </c>
      <c r="J37">
        <v>95381</v>
      </c>
      <c r="K37">
        <v>90133</v>
      </c>
      <c r="M37" s="5">
        <f t="shared" si="2"/>
        <v>0.4764995124815215</v>
      </c>
      <c r="N37" s="5">
        <f t="shared" si="3"/>
        <v>0.29899196630263092</v>
      </c>
      <c r="S37" s="5">
        <f t="shared" si="4"/>
        <v>-5.8567594824482927E-3</v>
      </c>
      <c r="T37" s="5">
        <f t="shared" si="5"/>
        <v>3.9203347811201938E-3</v>
      </c>
      <c r="U37" s="5">
        <f t="shared" si="6"/>
        <v>1.2242647780548621E-2</v>
      </c>
      <c r="V37" s="5">
        <f t="shared" si="7"/>
        <v>-6.2377150386699332E-2</v>
      </c>
      <c r="W37" s="5">
        <f t="shared" si="8"/>
        <v>-0.11081891732352711</v>
      </c>
      <c r="X37" s="5">
        <f t="shared" si="9"/>
        <v>-0.28037798586209617</v>
      </c>
      <c r="AA37" s="5">
        <f t="shared" si="10"/>
        <v>1.2076627691363973E-2</v>
      </c>
      <c r="AB37" s="5">
        <f t="shared" si="11"/>
        <v>5.6660075838018242E-2</v>
      </c>
      <c r="AC37" s="5">
        <f t="shared" si="12"/>
        <v>6.7648542441082149E-2</v>
      </c>
      <c r="AD37" s="5">
        <f t="shared" si="13"/>
        <v>7.6906120798814204E-3</v>
      </c>
      <c r="AE37" s="5">
        <f t="shared" si="14"/>
        <v>-0.13371906759758367</v>
      </c>
      <c r="AF37" s="5">
        <f t="shared" si="15"/>
        <v>-0.1624962260580477</v>
      </c>
    </row>
    <row r="38" spans="1:32" x14ac:dyDescent="0.25">
      <c r="A38" s="2">
        <v>45448</v>
      </c>
      <c r="B38">
        <v>59348</v>
      </c>
      <c r="C38">
        <v>89495</v>
      </c>
      <c r="D38">
        <v>330342</v>
      </c>
      <c r="F38" s="5">
        <f t="shared" si="0"/>
        <v>0.66314319235711494</v>
      </c>
      <c r="G38" s="5">
        <f t="shared" si="1"/>
        <v>0.31061698508926616</v>
      </c>
      <c r="I38" s="2">
        <v>45448</v>
      </c>
      <c r="J38">
        <v>94606</v>
      </c>
      <c r="K38">
        <v>89783</v>
      </c>
      <c r="M38" s="5">
        <f t="shared" si="2"/>
        <v>0.48039236412066888</v>
      </c>
      <c r="N38" s="5">
        <f t="shared" si="3"/>
        <v>0.29773637530931385</v>
      </c>
      <c r="S38" s="5">
        <f t="shared" si="4"/>
        <v>-6.9870389274199196E-3</v>
      </c>
      <c r="T38" s="5">
        <f t="shared" si="5"/>
        <v>3.1726306060216869E-3</v>
      </c>
      <c r="U38" s="5">
        <f t="shared" si="6"/>
        <v>1.0948421734458536E-2</v>
      </c>
      <c r="V38" s="5">
        <f t="shared" si="7"/>
        <v>-5.8958039578322685E-2</v>
      </c>
      <c r="W38" s="5">
        <f t="shared" si="8"/>
        <v>-0.10804477849525063</v>
      </c>
      <c r="X38" s="5">
        <f t="shared" si="9"/>
        <v>-0.27281028511321981</v>
      </c>
      <c r="AA38" s="5">
        <f t="shared" si="10"/>
        <v>1.4742221054049987E-2</v>
      </c>
      <c r="AB38" s="5">
        <f t="shared" si="11"/>
        <v>5.780713804472204E-2</v>
      </c>
      <c r="AC38" s="5">
        <f t="shared" si="12"/>
        <v>6.7790373037861479E-2</v>
      </c>
      <c r="AD38" s="5">
        <f t="shared" si="13"/>
        <v>1.5971378986616824E-2</v>
      </c>
      <c r="AE38" s="5">
        <f t="shared" si="14"/>
        <v>-0.13541703978602027</v>
      </c>
      <c r="AF38" s="5">
        <f t="shared" si="15"/>
        <v>-0.153470688291516</v>
      </c>
    </row>
    <row r="39" spans="1:32" x14ac:dyDescent="0.25">
      <c r="A39" s="2">
        <v>45447</v>
      </c>
      <c r="B39">
        <v>60748</v>
      </c>
      <c r="C39">
        <v>87900</v>
      </c>
      <c r="D39">
        <v>330000</v>
      </c>
      <c r="F39" s="5">
        <f t="shared" si="0"/>
        <v>0.69110352673492603</v>
      </c>
      <c r="G39" s="5">
        <f t="shared" si="1"/>
        <v>0.31055807190252543</v>
      </c>
      <c r="I39" s="2">
        <v>45447</v>
      </c>
      <c r="J39">
        <v>88856</v>
      </c>
      <c r="K39">
        <v>89993</v>
      </c>
      <c r="M39" s="5">
        <f t="shared" si="2"/>
        <v>0.51146799315746827</v>
      </c>
      <c r="N39" s="5">
        <f t="shared" si="3"/>
        <v>0.28925723073079435</v>
      </c>
      <c r="S39" s="5">
        <f t="shared" si="4"/>
        <v>-7.6552974598032564E-3</v>
      </c>
      <c r="T39" s="5">
        <f t="shared" si="5"/>
        <v>2.462836457086226E-3</v>
      </c>
      <c r="U39" s="5">
        <f t="shared" si="6"/>
        <v>9.7872106425803684E-3</v>
      </c>
      <c r="V39" s="5">
        <f t="shared" si="7"/>
        <v>-5.592613174575789E-2</v>
      </c>
      <c r="W39" s="5">
        <f t="shared" si="8"/>
        <v>-0.10483245225103666</v>
      </c>
      <c r="X39" s="5">
        <f t="shared" si="9"/>
        <v>-0.26566038634332412</v>
      </c>
      <c r="AA39" s="5">
        <f t="shared" si="10"/>
        <v>1.7918914256083607E-2</v>
      </c>
      <c r="AB39" s="5">
        <f t="shared" si="11"/>
        <v>5.8863663456986237E-2</v>
      </c>
      <c r="AC39" s="5">
        <f t="shared" si="12"/>
        <v>6.7873865885291818E-2</v>
      </c>
      <c r="AD39" s="5">
        <f t="shared" si="13"/>
        <v>2.4115970912904405E-2</v>
      </c>
      <c r="AE39" s="5">
        <f t="shared" si="14"/>
        <v>-0.13657062084286575</v>
      </c>
      <c r="AF39" s="5">
        <f t="shared" si="15"/>
        <v>-0.14494585021278539</v>
      </c>
    </row>
    <row r="40" spans="1:32" x14ac:dyDescent="0.25">
      <c r="A40" s="2">
        <v>45446</v>
      </c>
      <c r="B40">
        <v>60948</v>
      </c>
      <c r="C40">
        <v>86145</v>
      </c>
      <c r="D40">
        <v>330170</v>
      </c>
      <c r="F40" s="5">
        <f t="shared" si="0"/>
        <v>0.70750478843809861</v>
      </c>
      <c r="G40" s="5">
        <f t="shared" si="1"/>
        <v>0.30820113857558623</v>
      </c>
      <c r="I40" s="2">
        <v>45446</v>
      </c>
      <c r="J40">
        <v>82806</v>
      </c>
      <c r="K40">
        <v>89983</v>
      </c>
      <c r="M40" s="5">
        <f t="shared" si="2"/>
        <v>0.54882496437456219</v>
      </c>
      <c r="N40" s="5">
        <f t="shared" si="3"/>
        <v>0.27976842298144505</v>
      </c>
      <c r="S40" s="5">
        <f t="shared" si="4"/>
        <v>-7.6013397132987937E-3</v>
      </c>
      <c r="T40" s="5">
        <f t="shared" si="5"/>
        <v>2.3725631036956019E-3</v>
      </c>
      <c r="U40" s="5">
        <f t="shared" si="6"/>
        <v>9.2615928216933652E-3</v>
      </c>
      <c r="V40" s="5">
        <f t="shared" si="7"/>
        <v>-5.4373131574154465E-2</v>
      </c>
      <c r="W40" s="5">
        <f t="shared" si="8"/>
        <v>-0.10351951313510155</v>
      </c>
      <c r="X40" s="5">
        <f t="shared" si="9"/>
        <v>-0.26007610112084534</v>
      </c>
      <c r="AA40" s="5">
        <f t="shared" si="10"/>
        <v>2.1484510605899121E-2</v>
      </c>
      <c r="AB40" s="5">
        <f t="shared" si="11"/>
        <v>6.0119708263466687E-2</v>
      </c>
      <c r="AC40" s="5">
        <f t="shared" si="12"/>
        <v>6.818393837073583E-2</v>
      </c>
      <c r="AD40" s="5">
        <f t="shared" si="13"/>
        <v>3.1405771289745865E-2</v>
      </c>
      <c r="AE40" s="5">
        <f t="shared" si="14"/>
        <v>-0.13894885913282351</v>
      </c>
      <c r="AF40" s="5">
        <f t="shared" si="15"/>
        <v>-0.13758507422032507</v>
      </c>
    </row>
    <row r="41" spans="1:32" x14ac:dyDescent="0.25">
      <c r="A41" s="2">
        <v>45443</v>
      </c>
      <c r="B41">
        <v>61623</v>
      </c>
      <c r="C41">
        <v>85895</v>
      </c>
      <c r="D41">
        <v>329627</v>
      </c>
      <c r="F41" s="5">
        <f t="shared" si="0"/>
        <v>0.71742243436754172</v>
      </c>
      <c r="G41" s="5">
        <f t="shared" si="1"/>
        <v>0.30916807259847634</v>
      </c>
      <c r="I41" s="2">
        <v>45443</v>
      </c>
      <c r="J41">
        <v>81806</v>
      </c>
      <c r="K41">
        <v>89183</v>
      </c>
      <c r="M41" s="5">
        <f t="shared" si="2"/>
        <v>0.55549715179815662</v>
      </c>
      <c r="N41" s="5">
        <f t="shared" si="3"/>
        <v>0.2785197734177326</v>
      </c>
      <c r="S41" s="5">
        <f t="shared" si="4"/>
        <v>-7.5661396849199813E-3</v>
      </c>
      <c r="T41" s="5">
        <f t="shared" si="5"/>
        <v>2.3757812595968653E-3</v>
      </c>
      <c r="U41" s="5">
        <f t="shared" si="6"/>
        <v>8.8999465579071013E-3</v>
      </c>
      <c r="V41" s="5">
        <f t="shared" si="7"/>
        <v>-5.1427564160512751E-2</v>
      </c>
      <c r="W41" s="5">
        <f t="shared" si="8"/>
        <v>-0.10186328945146461</v>
      </c>
      <c r="X41" s="5">
        <f t="shared" si="9"/>
        <v>-0.25437616570121835</v>
      </c>
      <c r="AA41" s="5">
        <f t="shared" si="10"/>
        <v>2.5716463835055936E-2</v>
      </c>
      <c r="AB41" s="5">
        <f t="shared" si="11"/>
        <v>6.1422928187467807E-2</v>
      </c>
      <c r="AC41" s="5">
        <f t="shared" si="12"/>
        <v>6.8553650737447208E-2</v>
      </c>
      <c r="AD41" s="5">
        <f t="shared" si="13"/>
        <v>3.5928883036259074E-2</v>
      </c>
      <c r="AE41" s="5">
        <f t="shared" si="14"/>
        <v>-0.14290221231188027</v>
      </c>
      <c r="AF41" s="5">
        <f t="shared" si="15"/>
        <v>-0.13164675658908065</v>
      </c>
    </row>
    <row r="42" spans="1:32" x14ac:dyDescent="0.25">
      <c r="A42" s="2">
        <v>45442</v>
      </c>
      <c r="B42">
        <v>62748</v>
      </c>
      <c r="C42">
        <v>86165</v>
      </c>
      <c r="D42">
        <v>329425</v>
      </c>
      <c r="F42" s="5">
        <f t="shared" si="0"/>
        <v>0.72823072012998313</v>
      </c>
      <c r="G42" s="5">
        <f t="shared" si="1"/>
        <v>0.31131333910331188</v>
      </c>
      <c r="I42" s="2">
        <v>45442</v>
      </c>
      <c r="J42">
        <v>72633</v>
      </c>
      <c r="K42">
        <v>88883</v>
      </c>
      <c r="M42" s="5">
        <f t="shared" si="2"/>
        <v>0.62563848388473564</v>
      </c>
      <c r="N42" s="5">
        <f t="shared" si="3"/>
        <v>0.26385474860335195</v>
      </c>
      <c r="S42" s="5">
        <f t="shared" si="4"/>
        <v>-7.7167891071983075E-3</v>
      </c>
      <c r="T42" s="5">
        <f t="shared" si="5"/>
        <v>2.3877351170935035E-3</v>
      </c>
      <c r="U42" s="5">
        <f t="shared" si="6"/>
        <v>8.5445338999388665E-3</v>
      </c>
      <c r="V42" s="5">
        <f t="shared" si="7"/>
        <v>-4.7712437620549997E-2</v>
      </c>
      <c r="W42" s="5">
        <f t="shared" si="8"/>
        <v>-0.10087162071809685</v>
      </c>
      <c r="X42" s="5">
        <f t="shared" si="9"/>
        <v>-0.2485153608393037</v>
      </c>
      <c r="AA42" s="5">
        <f t="shared" si="10"/>
        <v>2.9522519628654764E-2</v>
      </c>
      <c r="AB42" s="5">
        <f t="shared" si="11"/>
        <v>6.2149362110079348E-2</v>
      </c>
      <c r="AC42" s="5">
        <f t="shared" si="12"/>
        <v>6.8431382575436933E-2</v>
      </c>
      <c r="AD42" s="5">
        <f t="shared" si="13"/>
        <v>3.516583976152976E-2</v>
      </c>
      <c r="AE42" s="5">
        <f t="shared" si="14"/>
        <v>-0.15111200964512672</v>
      </c>
      <c r="AF42" s="5">
        <f t="shared" si="15"/>
        <v>-0.12930349072386838</v>
      </c>
    </row>
    <row r="43" spans="1:32" x14ac:dyDescent="0.25">
      <c r="A43" s="2">
        <v>45441</v>
      </c>
      <c r="B43">
        <v>63148</v>
      </c>
      <c r="C43">
        <v>86165</v>
      </c>
      <c r="D43">
        <v>329544</v>
      </c>
      <c r="F43" s="5">
        <f t="shared" si="0"/>
        <v>0.73287297626646553</v>
      </c>
      <c r="G43" s="5">
        <f t="shared" si="1"/>
        <v>0.31181125054034919</v>
      </c>
      <c r="I43" s="2">
        <v>45441</v>
      </c>
      <c r="J43">
        <v>72633</v>
      </c>
      <c r="K43">
        <v>88683</v>
      </c>
      <c r="M43" s="5">
        <f t="shared" si="2"/>
        <v>0.6256247160381645</v>
      </c>
      <c r="N43" s="5">
        <f t="shared" si="3"/>
        <v>0.26378295778990118</v>
      </c>
      <c r="S43" s="5">
        <f t="shared" si="4"/>
        <v>-6.5939551843149369E-3</v>
      </c>
      <c r="T43" s="5">
        <f t="shared" si="5"/>
        <v>3.4873138899169098E-3</v>
      </c>
      <c r="U43" s="5">
        <f t="shared" si="6"/>
        <v>9.2205710423308163E-3</v>
      </c>
      <c r="V43" s="5">
        <f t="shared" si="7"/>
        <v>-4.8514905616490744E-2</v>
      </c>
      <c r="W43" s="5">
        <f t="shared" si="8"/>
        <v>-0.10419445162243046</v>
      </c>
      <c r="X43" s="5">
        <f t="shared" si="9"/>
        <v>-0.24669586732186732</v>
      </c>
      <c r="AA43" s="5">
        <f t="shared" si="10"/>
        <v>3.3718756245324222E-2</v>
      </c>
      <c r="AB43" s="5">
        <f t="shared" si="11"/>
        <v>6.3076396703355103E-2</v>
      </c>
      <c r="AC43" s="5">
        <f t="shared" si="12"/>
        <v>6.841104812878035E-2</v>
      </c>
      <c r="AD43" s="5">
        <f t="shared" si="13"/>
        <v>3.341306423298751E-2</v>
      </c>
      <c r="AE43" s="5">
        <f t="shared" si="14"/>
        <v>-0.15920726817593855</v>
      </c>
      <c r="AF43" s="5">
        <f t="shared" si="15"/>
        <v>-0.12749681087156162</v>
      </c>
    </row>
    <row r="44" spans="1:32" x14ac:dyDescent="0.25">
      <c r="A44" s="2">
        <v>45440</v>
      </c>
      <c r="B44">
        <v>62798</v>
      </c>
      <c r="C44">
        <v>87540</v>
      </c>
      <c r="D44">
        <v>329293</v>
      </c>
      <c r="F44" s="5">
        <f t="shared" si="0"/>
        <v>0.71736349097555407</v>
      </c>
      <c r="G44" s="5">
        <f t="shared" si="1"/>
        <v>0.31344512760851573</v>
      </c>
      <c r="I44" s="2">
        <v>45440</v>
      </c>
      <c r="J44">
        <v>73058</v>
      </c>
      <c r="K44">
        <v>88408</v>
      </c>
      <c r="M44" s="5">
        <f t="shared" si="2"/>
        <v>0.62197158422075616</v>
      </c>
      <c r="N44" s="5">
        <f t="shared" si="3"/>
        <v>0.26462791793492946</v>
      </c>
      <c r="S44" s="5">
        <f t="shared" si="4"/>
        <v>-5.4395418740239565E-3</v>
      </c>
      <c r="T44" s="5">
        <f t="shared" si="5"/>
        <v>4.6416805048503651E-3</v>
      </c>
      <c r="U44" s="5">
        <f t="shared" si="6"/>
        <v>9.9417483560996223E-3</v>
      </c>
      <c r="V44" s="5">
        <f t="shared" si="7"/>
        <v>-4.9428206789624674E-2</v>
      </c>
      <c r="W44" s="5">
        <f t="shared" si="8"/>
        <v>-0.10792567674490272</v>
      </c>
      <c r="X44" s="5">
        <f t="shared" si="9"/>
        <v>-0.24505640774148363</v>
      </c>
      <c r="AA44" s="5">
        <f t="shared" si="10"/>
        <v>3.7939655867212374E-2</v>
      </c>
      <c r="AB44" s="5">
        <f t="shared" si="11"/>
        <v>6.4053326527941712E-2</v>
      </c>
      <c r="AC44" s="5">
        <f t="shared" si="12"/>
        <v>6.8395459721948021E-2</v>
      </c>
      <c r="AD44" s="5">
        <f t="shared" si="13"/>
        <v>3.1236968156610034E-2</v>
      </c>
      <c r="AE44" s="5">
        <f t="shared" si="14"/>
        <v>-0.16711108173401545</v>
      </c>
      <c r="AF44" s="5">
        <f t="shared" si="15"/>
        <v>-0.1260042503126112</v>
      </c>
    </row>
    <row r="45" spans="1:32" x14ac:dyDescent="0.25">
      <c r="A45" s="2">
        <v>45439</v>
      </c>
      <c r="B45">
        <v>62524</v>
      </c>
      <c r="C45">
        <v>87540</v>
      </c>
      <c r="D45">
        <v>326832</v>
      </c>
      <c r="F45" s="5">
        <f t="shared" si="0"/>
        <v>0.7142334932602239</v>
      </c>
      <c r="G45" s="5">
        <f t="shared" si="1"/>
        <v>0.31466818761323223</v>
      </c>
      <c r="I45" s="2">
        <v>45439</v>
      </c>
      <c r="J45">
        <v>73058</v>
      </c>
      <c r="K45">
        <v>88308</v>
      </c>
      <c r="M45" s="5">
        <f t="shared" si="2"/>
        <v>0.62195789646582167</v>
      </c>
      <c r="N45" s="5">
        <f t="shared" si="3"/>
        <v>0.26608866703044265</v>
      </c>
      <c r="S45" s="5">
        <f t="shared" si="4"/>
        <v>2.1935741165856615E-3</v>
      </c>
      <c r="T45" s="5">
        <f t="shared" si="5"/>
        <v>5.7337586616570402E-3</v>
      </c>
      <c r="U45" s="5">
        <f t="shared" si="6"/>
        <v>1.0628972056151154E-2</v>
      </c>
      <c r="V45" s="5">
        <f t="shared" si="7"/>
        <v>-4.9058017299985046E-2</v>
      </c>
      <c r="W45" s="5">
        <f t="shared" si="8"/>
        <v>-0.11120185701276308</v>
      </c>
      <c r="X45" s="5">
        <f t="shared" si="9"/>
        <v>-0.24312827154216576</v>
      </c>
      <c r="AA45" s="5">
        <f t="shared" si="10"/>
        <v>4.2140880500459776E-2</v>
      </c>
      <c r="AB45" s="5">
        <f t="shared" si="11"/>
        <v>6.4859540092215395E-2</v>
      </c>
      <c r="AC45" s="5">
        <f t="shared" si="12"/>
        <v>6.8158907949672221E-2</v>
      </c>
      <c r="AD45" s="5">
        <f t="shared" si="13"/>
        <v>2.9510216833549374E-2</v>
      </c>
      <c r="AE45" s="5">
        <f t="shared" si="14"/>
        <v>-0.1739172257545708</v>
      </c>
      <c r="AF45" s="5">
        <f t="shared" si="15"/>
        <v>-0.12297169941084818</v>
      </c>
    </row>
    <row r="46" spans="1:32" x14ac:dyDescent="0.25">
      <c r="A46" s="2">
        <v>45436</v>
      </c>
      <c r="B46">
        <v>62764</v>
      </c>
      <c r="C46">
        <v>87490</v>
      </c>
      <c r="D46">
        <v>326226</v>
      </c>
      <c r="F46" s="5">
        <f t="shared" si="0"/>
        <v>0.7173848439821694</v>
      </c>
      <c r="G46" s="5">
        <f t="shared" si="1"/>
        <v>0.31534167226326393</v>
      </c>
      <c r="I46" s="2">
        <v>45436</v>
      </c>
      <c r="J46">
        <v>73258</v>
      </c>
      <c r="K46">
        <v>88283</v>
      </c>
      <c r="M46" s="5">
        <f t="shared" si="2"/>
        <v>0.62021895219634715</v>
      </c>
      <c r="N46" s="5">
        <f t="shared" si="3"/>
        <v>0.26677604962689921</v>
      </c>
      <c r="S46" s="5">
        <f t="shared" si="4"/>
        <v>3.3285774794508116E-3</v>
      </c>
      <c r="T46" s="5">
        <f t="shared" si="5"/>
        <v>6.7603848349760409E-3</v>
      </c>
      <c r="U46" s="5">
        <f t="shared" si="6"/>
        <v>1.1340000425187569E-2</v>
      </c>
      <c r="V46" s="5">
        <f t="shared" si="7"/>
        <v>-4.9445298655700132E-2</v>
      </c>
      <c r="W46" s="5">
        <f t="shared" si="8"/>
        <v>-0.11431206041853947</v>
      </c>
      <c r="X46" s="5">
        <f t="shared" si="9"/>
        <v>-0.24143700177396854</v>
      </c>
      <c r="AA46" s="5">
        <f t="shared" si="10"/>
        <v>4.6266281226121697E-2</v>
      </c>
      <c r="AB46" s="5">
        <f t="shared" si="11"/>
        <v>6.5747061719485328E-2</v>
      </c>
      <c r="AC46" s="5">
        <f t="shared" si="12"/>
        <v>6.7834868743279042E-2</v>
      </c>
      <c r="AD46" s="5">
        <f t="shared" si="13"/>
        <v>2.8559592712878668E-2</v>
      </c>
      <c r="AE46" s="5">
        <f t="shared" si="14"/>
        <v>-0.18109734254469123</v>
      </c>
      <c r="AF46" s="5">
        <f t="shared" si="15"/>
        <v>-0.11940759090304653</v>
      </c>
    </row>
    <row r="47" spans="1:32" x14ac:dyDescent="0.25">
      <c r="A47" s="2">
        <v>45435</v>
      </c>
      <c r="B47">
        <v>63164</v>
      </c>
      <c r="C47">
        <v>87565</v>
      </c>
      <c r="D47">
        <v>326314</v>
      </c>
      <c r="F47" s="5">
        <f t="shared" si="0"/>
        <v>0.72133843430594413</v>
      </c>
      <c r="G47" s="5">
        <f t="shared" si="1"/>
        <v>0.31596522745329036</v>
      </c>
      <c r="I47" s="2">
        <v>45435</v>
      </c>
      <c r="J47">
        <v>73258</v>
      </c>
      <c r="K47">
        <v>81723</v>
      </c>
      <c r="M47" s="5">
        <f t="shared" si="2"/>
        <v>0.62020530181004119</v>
      </c>
      <c r="N47" s="5">
        <f t="shared" si="3"/>
        <v>0.26672164707521456</v>
      </c>
      <c r="S47" s="5">
        <f t="shared" si="4"/>
        <v>4.4772368370581961E-3</v>
      </c>
      <c r="T47" s="5">
        <f t="shared" si="5"/>
        <v>7.766722761067324E-3</v>
      </c>
      <c r="U47" s="5">
        <f t="shared" si="6"/>
        <v>1.203451443714515E-2</v>
      </c>
      <c r="V47" s="5">
        <f t="shared" si="7"/>
        <v>-4.9617039477810265E-2</v>
      </c>
      <c r="W47" s="5">
        <f t="shared" si="8"/>
        <v>-0.11729564092609601</v>
      </c>
      <c r="X47" s="5">
        <f t="shared" si="9"/>
        <v>-0.23927872795315686</v>
      </c>
      <c r="AA47" s="5">
        <f t="shared" si="10"/>
        <v>5.0510135847196935E-2</v>
      </c>
      <c r="AB47" s="5">
        <f t="shared" si="11"/>
        <v>6.6492560677931301E-2</v>
      </c>
      <c r="AC47" s="5">
        <f t="shared" si="12"/>
        <v>6.7410850036679432E-2</v>
      </c>
      <c r="AD47" s="5">
        <f t="shared" si="13"/>
        <v>2.6218144331395909E-2</v>
      </c>
      <c r="AE47" s="5">
        <f t="shared" si="14"/>
        <v>-0.18785966094859219</v>
      </c>
      <c r="AF47" s="5">
        <f t="shared" si="15"/>
        <v>-0.11602599501991406</v>
      </c>
    </row>
    <row r="48" spans="1:32" x14ac:dyDescent="0.25">
      <c r="A48" s="2">
        <v>45434</v>
      </c>
      <c r="B48">
        <v>63164</v>
      </c>
      <c r="C48">
        <v>88440</v>
      </c>
      <c r="D48">
        <v>325224</v>
      </c>
      <c r="F48" s="5">
        <f t="shared" si="0"/>
        <v>0.71420171867933058</v>
      </c>
      <c r="G48" s="5">
        <f t="shared" si="1"/>
        <v>0.3179427382620148</v>
      </c>
      <c r="I48" s="2">
        <v>45434</v>
      </c>
      <c r="J48">
        <v>73058</v>
      </c>
      <c r="K48">
        <v>81473</v>
      </c>
      <c r="M48" s="5">
        <f t="shared" si="2"/>
        <v>0.62188945769114945</v>
      </c>
      <c r="N48" s="5">
        <f t="shared" si="3"/>
        <v>0.26704468624074856</v>
      </c>
      <c r="S48" s="5">
        <f t="shared" si="4"/>
        <v>5.7319819349793688E-3</v>
      </c>
      <c r="T48" s="5">
        <f t="shared" si="5"/>
        <v>8.9649519086483775E-3</v>
      </c>
      <c r="U48" s="5">
        <f t="shared" si="6"/>
        <v>1.2861290507937495E-2</v>
      </c>
      <c r="V48" s="5">
        <f t="shared" si="7"/>
        <v>-4.9710707004966714E-2</v>
      </c>
      <c r="W48" s="5">
        <f t="shared" si="8"/>
        <v>-0.12047564924069676</v>
      </c>
      <c r="X48" s="5">
        <f t="shared" si="9"/>
        <v>-0.23707792218650836</v>
      </c>
      <c r="AA48" s="5">
        <f t="shared" si="10"/>
        <v>5.5071640505009345E-2</v>
      </c>
      <c r="AB48" s="5">
        <f t="shared" si="11"/>
        <v>6.7193205420980201E-2</v>
      </c>
      <c r="AC48" s="5">
        <f t="shared" si="12"/>
        <v>6.6926755074056044E-2</v>
      </c>
      <c r="AD48" s="5">
        <f t="shared" si="13"/>
        <v>2.3737533156056312E-2</v>
      </c>
      <c r="AE48" s="5">
        <f t="shared" si="14"/>
        <v>-0.19348615425623328</v>
      </c>
      <c r="AF48" s="5">
        <f t="shared" si="15"/>
        <v>-0.11167221514836201</v>
      </c>
    </row>
    <row r="49" spans="1:32" x14ac:dyDescent="0.25">
      <c r="A49" s="2">
        <v>45433</v>
      </c>
      <c r="B49">
        <v>60513</v>
      </c>
      <c r="C49">
        <v>85665</v>
      </c>
      <c r="D49">
        <v>325214</v>
      </c>
      <c r="F49" s="5">
        <f t="shared" si="0"/>
        <v>0.70639117492558223</v>
      </c>
      <c r="G49" s="5">
        <f t="shared" si="1"/>
        <v>0.31009860158848684</v>
      </c>
      <c r="I49" s="2">
        <v>45433</v>
      </c>
      <c r="J49">
        <v>73033</v>
      </c>
      <c r="K49">
        <v>80715</v>
      </c>
      <c r="M49" s="5">
        <f t="shared" si="2"/>
        <v>0.62208864485917326</v>
      </c>
      <c r="N49" s="5">
        <f t="shared" si="3"/>
        <v>0.26700775333573745</v>
      </c>
      <c r="S49" s="5">
        <f t="shared" si="4"/>
        <v>7.1069675820814582E-3</v>
      </c>
      <c r="T49" s="5">
        <f t="shared" si="5"/>
        <v>1.0289409150069428E-2</v>
      </c>
      <c r="U49" s="5">
        <f t="shared" si="6"/>
        <v>1.3807810602825932E-2</v>
      </c>
      <c r="V49" s="5">
        <f t="shared" si="7"/>
        <v>-4.9625338768597316E-2</v>
      </c>
      <c r="W49" s="5">
        <f t="shared" si="8"/>
        <v>-0.12356126006264101</v>
      </c>
      <c r="X49" s="5">
        <f t="shared" si="9"/>
        <v>-0.23480907698992892</v>
      </c>
      <c r="AA49" s="5">
        <f t="shared" si="10"/>
        <v>5.9437024960184548E-2</v>
      </c>
      <c r="AB49" s="5">
        <f t="shared" si="11"/>
        <v>6.7642491052201215E-2</v>
      </c>
      <c r="AC49" s="5">
        <f t="shared" si="12"/>
        <v>6.6213580317724369E-2</v>
      </c>
      <c r="AD49" s="5">
        <f t="shared" si="13"/>
        <v>1.7280870775611579E-2</v>
      </c>
      <c r="AE49" s="5">
        <f t="shared" si="14"/>
        <v>-0.2007041716190312</v>
      </c>
      <c r="AF49" s="5">
        <f t="shared" si="15"/>
        <v>-0.1082555453305547</v>
      </c>
    </row>
    <row r="50" spans="1:32" x14ac:dyDescent="0.25">
      <c r="A50" s="2">
        <v>45432</v>
      </c>
      <c r="B50">
        <v>60763</v>
      </c>
      <c r="C50">
        <v>82445</v>
      </c>
      <c r="D50">
        <v>323298</v>
      </c>
      <c r="F50" s="5">
        <f t="shared" si="0"/>
        <v>0.7370125538237613</v>
      </c>
      <c r="G50" s="5">
        <f t="shared" si="1"/>
        <v>0.30697997453408959</v>
      </c>
      <c r="I50" s="2">
        <v>45432</v>
      </c>
      <c r="J50">
        <v>73033</v>
      </c>
      <c r="K50">
        <v>80290</v>
      </c>
      <c r="M50" s="5">
        <f t="shared" si="2"/>
        <v>0.62207495241876964</v>
      </c>
      <c r="N50" s="5">
        <f t="shared" si="3"/>
        <v>0.26816415136623029</v>
      </c>
      <c r="S50" s="5">
        <f t="shared" si="4"/>
        <v>8.6786283587731994E-3</v>
      </c>
      <c r="T50" s="5">
        <f t="shared" si="5"/>
        <v>1.1675742106396436E-2</v>
      </c>
      <c r="U50" s="5">
        <f t="shared" si="6"/>
        <v>1.4886010193544352E-2</v>
      </c>
      <c r="V50" s="5">
        <f t="shared" si="7"/>
        <v>-4.9993594260774654E-2</v>
      </c>
      <c r="W50" s="5">
        <f t="shared" si="8"/>
        <v>-0.12665618133814749</v>
      </c>
      <c r="X50" s="5">
        <f t="shared" si="9"/>
        <v>-0.232733343307028</v>
      </c>
      <c r="AA50" s="5">
        <f t="shared" si="10"/>
        <v>6.4083562893251539E-2</v>
      </c>
      <c r="AB50" s="5">
        <f t="shared" si="11"/>
        <v>6.8354125441303648E-2</v>
      </c>
      <c r="AC50" s="5">
        <f t="shared" si="12"/>
        <v>6.5805489420226404E-2</v>
      </c>
      <c r="AD50" s="5">
        <f t="shared" si="13"/>
        <v>1.1907399469811675E-2</v>
      </c>
      <c r="AE50" s="5">
        <f t="shared" si="14"/>
        <v>-0.20783367123979601</v>
      </c>
      <c r="AF50" s="5">
        <f t="shared" si="15"/>
        <v>-0.10469435672297334</v>
      </c>
    </row>
    <row r="51" spans="1:32" x14ac:dyDescent="0.25">
      <c r="A51" s="2">
        <v>45429</v>
      </c>
      <c r="B51">
        <v>61213</v>
      </c>
      <c r="C51">
        <v>82545</v>
      </c>
      <c r="D51">
        <v>322522</v>
      </c>
      <c r="F51" s="5">
        <f t="shared" si="0"/>
        <v>0.74157126415894359</v>
      </c>
      <c r="G51" s="5">
        <f t="shared" si="1"/>
        <v>0.30830831260187014</v>
      </c>
      <c r="I51" s="2">
        <v>45429</v>
      </c>
      <c r="J51">
        <v>73033</v>
      </c>
      <c r="K51">
        <v>79890</v>
      </c>
      <c r="M51" s="5">
        <f t="shared" si="2"/>
        <v>0.62203387509755859</v>
      </c>
      <c r="N51" s="5">
        <f t="shared" si="3"/>
        <v>0.26863106144440613</v>
      </c>
      <c r="S51" s="5">
        <f t="shared" si="4"/>
        <v>1.0423996534455693E-2</v>
      </c>
      <c r="T51" s="5">
        <f t="shared" si="5"/>
        <v>1.3201160968831227E-2</v>
      </c>
      <c r="U51" s="5">
        <f t="shared" si="6"/>
        <v>1.6116558883051912E-2</v>
      </c>
      <c r="V51" s="5">
        <f t="shared" si="7"/>
        <v>-5.0496063750010811E-2</v>
      </c>
      <c r="W51" s="5">
        <f t="shared" si="8"/>
        <v>-0.12978491164683514</v>
      </c>
      <c r="X51" s="5">
        <f t="shared" si="9"/>
        <v>-0.23086555937601005</v>
      </c>
      <c r="AA51" s="5">
        <f t="shared" si="10"/>
        <v>6.9051771430278186E-2</v>
      </c>
      <c r="AB51" s="5">
        <f t="shared" si="11"/>
        <v>6.9396298711102977E-2</v>
      </c>
      <c r="AC51" s="5">
        <f t="shared" si="12"/>
        <v>6.5706951666527125E-2</v>
      </c>
      <c r="AD51" s="5">
        <f t="shared" si="13"/>
        <v>6.313402574614102E-3</v>
      </c>
      <c r="AE51" s="5">
        <f t="shared" si="14"/>
        <v>-0.21633732382760507</v>
      </c>
      <c r="AF51" s="5">
        <f t="shared" si="15"/>
        <v>-0.10234011249706421</v>
      </c>
    </row>
    <row r="52" spans="1:32" x14ac:dyDescent="0.25">
      <c r="A52" s="2">
        <v>45428</v>
      </c>
      <c r="B52">
        <v>61313</v>
      </c>
      <c r="C52">
        <v>83090</v>
      </c>
      <c r="D52">
        <v>321366</v>
      </c>
      <c r="F52" s="5">
        <f t="shared" si="0"/>
        <v>0.73791069924178598</v>
      </c>
      <c r="G52" s="5">
        <f t="shared" si="1"/>
        <v>0.3100313674804463</v>
      </c>
      <c r="I52" s="2">
        <v>45428</v>
      </c>
      <c r="J52">
        <v>72533</v>
      </c>
      <c r="K52">
        <v>78835</v>
      </c>
      <c r="M52" s="5">
        <f t="shared" si="2"/>
        <v>0.62630802531261631</v>
      </c>
      <c r="N52" s="5">
        <f t="shared" si="3"/>
        <v>0.26850387069312837</v>
      </c>
      <c r="S52" s="5">
        <f t="shared" si="4"/>
        <v>1.2046700822266609E-2</v>
      </c>
      <c r="T52" s="5">
        <f t="shared" si="5"/>
        <v>1.4621847558364875E-2</v>
      </c>
      <c r="U52" s="5">
        <f t="shared" si="6"/>
        <v>1.7291518756646862E-2</v>
      </c>
      <c r="V52" s="5">
        <f t="shared" si="7"/>
        <v>-5.1189005002614918E-2</v>
      </c>
      <c r="W52" s="5">
        <f t="shared" si="8"/>
        <v>-0.13291226879418583</v>
      </c>
      <c r="X52" s="5">
        <f t="shared" si="9"/>
        <v>-0.22901728797231524</v>
      </c>
      <c r="AA52" s="5">
        <f t="shared" si="10"/>
        <v>7.4060497187883184E-2</v>
      </c>
      <c r="AB52" s="5">
        <f t="shared" si="11"/>
        <v>7.0601703402810384E-2</v>
      </c>
      <c r="AC52" s="5">
        <f t="shared" si="12"/>
        <v>6.5643368138041169E-2</v>
      </c>
      <c r="AD52" s="5">
        <f t="shared" si="13"/>
        <v>3.1537616977562744E-3</v>
      </c>
      <c r="AE52" s="5">
        <f t="shared" si="14"/>
        <v>-0.22164524328889412</v>
      </c>
      <c r="AF52" s="5">
        <f t="shared" si="15"/>
        <v>-9.8624931279579386E-2</v>
      </c>
    </row>
    <row r="53" spans="1:32" x14ac:dyDescent="0.25">
      <c r="A53" s="2">
        <v>45427</v>
      </c>
      <c r="B53">
        <v>61013</v>
      </c>
      <c r="C53">
        <v>83065</v>
      </c>
      <c r="D53">
        <v>318191</v>
      </c>
      <c r="F53" s="5">
        <f t="shared" si="0"/>
        <v>0.73452115812917596</v>
      </c>
      <c r="G53" s="5">
        <f t="shared" si="1"/>
        <v>0.31167566936134589</v>
      </c>
      <c r="I53" s="2">
        <v>45427</v>
      </c>
      <c r="J53">
        <v>72904</v>
      </c>
      <c r="K53">
        <v>78885</v>
      </c>
      <c r="M53" s="5">
        <f t="shared" si="2"/>
        <v>0.62310709974761325</v>
      </c>
      <c r="N53" s="5">
        <f t="shared" si="3"/>
        <v>0.27107683003376692</v>
      </c>
      <c r="S53" s="5">
        <f t="shared" si="4"/>
        <v>1.3434160911199255E-2</v>
      </c>
      <c r="T53" s="5">
        <f t="shared" si="5"/>
        <v>1.5905632114166901E-2</v>
      </c>
      <c r="U53" s="5">
        <f t="shared" si="6"/>
        <v>1.831991052827936E-2</v>
      </c>
      <c r="V53" s="5">
        <f t="shared" si="7"/>
        <v>-5.1584926990488889E-2</v>
      </c>
      <c r="W53" s="5">
        <f t="shared" si="8"/>
        <v>-0.13616965729374941</v>
      </c>
      <c r="X53" s="5">
        <f t="shared" si="9"/>
        <v>-0.22706564248010774</v>
      </c>
      <c r="AA53" s="5">
        <f t="shared" si="10"/>
        <v>7.9388299353027325E-2</v>
      </c>
      <c r="AB53" s="5">
        <f t="shared" si="11"/>
        <v>7.1482173633647922E-2</v>
      </c>
      <c r="AC53" s="5">
        <f t="shared" si="12"/>
        <v>6.5274337571843505E-2</v>
      </c>
      <c r="AD53" s="5">
        <f t="shared" si="13"/>
        <v>-6.9488557701831155E-3</v>
      </c>
      <c r="AE53" s="5">
        <f t="shared" si="14"/>
        <v>-0.2266319520889879</v>
      </c>
      <c r="AF53" s="5">
        <f t="shared" si="15"/>
        <v>-9.4598011645531832E-2</v>
      </c>
    </row>
    <row r="54" spans="1:32" x14ac:dyDescent="0.25">
      <c r="A54" s="2">
        <v>45426</v>
      </c>
      <c r="B54">
        <v>60763</v>
      </c>
      <c r="C54">
        <v>83065</v>
      </c>
      <c r="D54">
        <v>315931</v>
      </c>
      <c r="F54" s="5">
        <f t="shared" si="0"/>
        <v>0.73151146692349367</v>
      </c>
      <c r="G54" s="5">
        <f t="shared" si="1"/>
        <v>0.31283346274896195</v>
      </c>
      <c r="I54" s="2">
        <v>45426</v>
      </c>
      <c r="J54">
        <v>72903</v>
      </c>
      <c r="K54">
        <v>78735</v>
      </c>
      <c r="M54" s="5">
        <f t="shared" si="2"/>
        <v>0.62310192996172997</v>
      </c>
      <c r="N54" s="5">
        <f t="shared" si="3"/>
        <v>0.27248422603969974</v>
      </c>
      <c r="S54" s="5">
        <f t="shared" si="4"/>
        <v>1.4603821265836314E-2</v>
      </c>
      <c r="T54" s="5">
        <f t="shared" si="5"/>
        <v>1.6925916434905319E-2</v>
      </c>
      <c r="U54" s="5">
        <f t="shared" si="6"/>
        <v>1.9137987813127089E-2</v>
      </c>
      <c r="V54" s="5">
        <f t="shared" si="7"/>
        <v>-5.1365578500224718E-2</v>
      </c>
      <c r="W54" s="5">
        <f t="shared" si="8"/>
        <v>-0.13886244309413687</v>
      </c>
      <c r="X54" s="5">
        <f t="shared" si="9"/>
        <v>-0.22470091103838741</v>
      </c>
      <c r="AA54" s="5">
        <f t="shared" si="10"/>
        <v>8.4602088088473332E-2</v>
      </c>
      <c r="AB54" s="5">
        <f t="shared" si="11"/>
        <v>7.181761860421762E-2</v>
      </c>
      <c r="AC54" s="5">
        <f t="shared" si="12"/>
        <v>6.4414872212314955E-2</v>
      </c>
      <c r="AD54" s="5">
        <f t="shared" si="13"/>
        <v>-1.0255349057670782E-2</v>
      </c>
      <c r="AE54" s="5">
        <f t="shared" si="14"/>
        <v>-0.22944925720119957</v>
      </c>
      <c r="AF54" s="5">
        <f t="shared" si="15"/>
        <v>-8.9336510043654282E-2</v>
      </c>
    </row>
    <row r="55" spans="1:32" x14ac:dyDescent="0.25">
      <c r="A55" s="2">
        <v>45425</v>
      </c>
      <c r="B55">
        <v>60338</v>
      </c>
      <c r="C55">
        <v>82715</v>
      </c>
      <c r="D55">
        <v>313456</v>
      </c>
      <c r="F55" s="5">
        <f t="shared" si="0"/>
        <v>0.72946865743819134</v>
      </c>
      <c r="G55" s="5">
        <f t="shared" si="1"/>
        <v>0.31336293479427568</v>
      </c>
      <c r="I55" s="2">
        <v>45425</v>
      </c>
      <c r="J55">
        <v>72903</v>
      </c>
      <c r="K55">
        <v>78735</v>
      </c>
      <c r="M55" s="5">
        <f t="shared" si="2"/>
        <v>0.62308821310508489</v>
      </c>
      <c r="N55" s="5">
        <f t="shared" si="3"/>
        <v>0.27404442962221853</v>
      </c>
      <c r="S55" s="5">
        <f t="shared" si="4"/>
        <v>1.5556545767781094E-2</v>
      </c>
      <c r="T55" s="5">
        <f t="shared" si="5"/>
        <v>1.7760912835286524E-2</v>
      </c>
      <c r="U55" s="5">
        <f t="shared" si="6"/>
        <v>1.9803404753805931E-2</v>
      </c>
      <c r="V55" s="5">
        <f t="shared" si="7"/>
        <v>-5.0937260097902337E-2</v>
      </c>
      <c r="W55" s="5">
        <f t="shared" si="8"/>
        <v>-0.1411558580851644</v>
      </c>
      <c r="X55" s="5">
        <f t="shared" si="9"/>
        <v>-0.22209542475231536</v>
      </c>
      <c r="AA55" s="5">
        <f t="shared" si="10"/>
        <v>8.9454569378483478E-2</v>
      </c>
      <c r="AB55" s="5">
        <f t="shared" si="11"/>
        <v>7.1648735573026062E-2</v>
      </c>
      <c r="AC55" s="5">
        <f t="shared" si="12"/>
        <v>6.3173221806165303E-2</v>
      </c>
      <c r="AD55" s="5">
        <f t="shared" si="13"/>
        <v>-1.6468808054147188E-2</v>
      </c>
      <c r="AE55" s="5">
        <f t="shared" si="14"/>
        <v>-0.2334270893719258</v>
      </c>
      <c r="AF55" s="5">
        <f t="shared" si="15"/>
        <v>-8.4743435023064029E-2</v>
      </c>
    </row>
    <row r="56" spans="1:32" x14ac:dyDescent="0.25">
      <c r="A56" s="2">
        <v>45422</v>
      </c>
      <c r="B56">
        <v>60188</v>
      </c>
      <c r="C56">
        <v>80174</v>
      </c>
      <c r="D56">
        <v>313285</v>
      </c>
      <c r="F56" s="5">
        <f t="shared" si="0"/>
        <v>0.7507171901115075</v>
      </c>
      <c r="G56" s="5">
        <f t="shared" si="1"/>
        <v>0.30940797580497614</v>
      </c>
      <c r="I56" s="2">
        <v>45422</v>
      </c>
      <c r="J56">
        <v>72428</v>
      </c>
      <c r="K56">
        <v>79235</v>
      </c>
      <c r="M56" s="5">
        <f t="shared" si="2"/>
        <v>0.6271331529242834</v>
      </c>
      <c r="N56" s="5">
        <f t="shared" si="3"/>
        <v>0.27334825518689043</v>
      </c>
      <c r="S56" s="5">
        <f t="shared" si="4"/>
        <v>1.5920708532715822E-2</v>
      </c>
      <c r="T56" s="5">
        <f t="shared" si="5"/>
        <v>1.8208780870619279E-2</v>
      </c>
      <c r="U56" s="5">
        <f t="shared" si="6"/>
        <v>2.0135829229312618E-2</v>
      </c>
      <c r="V56" s="5">
        <f t="shared" si="7"/>
        <v>-4.8945122399110863E-2</v>
      </c>
      <c r="W56" s="5">
        <f t="shared" si="8"/>
        <v>-0.14225327485594474</v>
      </c>
      <c r="X56" s="5">
        <f t="shared" si="9"/>
        <v>-0.21836938410942708</v>
      </c>
      <c r="AA56" s="5">
        <f t="shared" si="10"/>
        <v>9.322741135944948E-2</v>
      </c>
      <c r="AB56" s="5">
        <f t="shared" si="11"/>
        <v>7.047915287830317E-2</v>
      </c>
      <c r="AC56" s="5">
        <f t="shared" si="12"/>
        <v>6.1121533616768559E-2</v>
      </c>
      <c r="AD56" s="5">
        <f t="shared" si="13"/>
        <v>-1.4510441295318421E-2</v>
      </c>
      <c r="AE56" s="5">
        <f t="shared" si="14"/>
        <v>-0.23767517705666341</v>
      </c>
      <c r="AF56" s="5">
        <f t="shared" si="15"/>
        <v>-7.9566094700889822E-2</v>
      </c>
    </row>
    <row r="57" spans="1:32" x14ac:dyDescent="0.25">
      <c r="A57" s="2">
        <v>45421</v>
      </c>
      <c r="B57">
        <v>60288</v>
      </c>
      <c r="C57">
        <v>80499</v>
      </c>
      <c r="D57">
        <v>312377</v>
      </c>
      <c r="F57" s="5">
        <f t="shared" si="0"/>
        <v>0.74892855811873438</v>
      </c>
      <c r="G57" s="5">
        <f t="shared" si="1"/>
        <v>0.31067560529962662</v>
      </c>
      <c r="I57" s="2">
        <v>45421</v>
      </c>
      <c r="J57">
        <v>72428</v>
      </c>
      <c r="K57">
        <v>79285</v>
      </c>
      <c r="M57" s="5">
        <f t="shared" si="2"/>
        <v>0.62711934610923947</v>
      </c>
      <c r="N57" s="5">
        <f t="shared" si="3"/>
        <v>0.27392347277942292</v>
      </c>
      <c r="S57" s="5">
        <f t="shared" si="4"/>
        <v>1.6603468743100536E-2</v>
      </c>
      <c r="T57" s="5">
        <f t="shared" si="5"/>
        <v>1.8708102083435041E-2</v>
      </c>
      <c r="U57" s="5">
        <f t="shared" si="6"/>
        <v>2.0519021665573511E-2</v>
      </c>
      <c r="V57" s="5">
        <f t="shared" si="7"/>
        <v>-4.87048119636041E-2</v>
      </c>
      <c r="W57" s="5">
        <f t="shared" si="8"/>
        <v>-0.14461911124794891</v>
      </c>
      <c r="X57" s="5">
        <f t="shared" si="9"/>
        <v>-0.21514229242421878</v>
      </c>
      <c r="AA57" s="5">
        <f t="shared" si="10"/>
        <v>9.2093077366160764E-2</v>
      </c>
      <c r="AB57" s="5">
        <f t="shared" si="11"/>
        <v>6.9226703047582688E-2</v>
      </c>
      <c r="AC57" s="5">
        <f t="shared" si="12"/>
        <v>5.9074573152288479E-2</v>
      </c>
      <c r="AD57" s="5">
        <f t="shared" si="13"/>
        <v>-4.2367287862449921E-2</v>
      </c>
      <c r="AE57" s="5">
        <f t="shared" si="14"/>
        <v>-0.24325969042422579</v>
      </c>
      <c r="AF57" s="5">
        <f t="shared" si="15"/>
        <v>-7.5588381955335793E-2</v>
      </c>
    </row>
    <row r="58" spans="1:32" x14ac:dyDescent="0.25">
      <c r="A58" s="2">
        <v>45420</v>
      </c>
      <c r="B58">
        <v>60383</v>
      </c>
      <c r="C58">
        <v>80749</v>
      </c>
      <c r="D58">
        <v>311572</v>
      </c>
      <c r="F58" s="5">
        <f t="shared" si="0"/>
        <v>0.74778635029535967</v>
      </c>
      <c r="G58" s="5">
        <f t="shared" si="1"/>
        <v>0.31175337527390967</v>
      </c>
      <c r="I58" s="2">
        <v>45420</v>
      </c>
      <c r="J58">
        <v>73178</v>
      </c>
      <c r="K58">
        <v>79135</v>
      </c>
      <c r="M58" s="5">
        <f t="shared" si="2"/>
        <v>0.62067834595096882</v>
      </c>
      <c r="N58" s="5">
        <f t="shared" si="3"/>
        <v>0.27570030453076688</v>
      </c>
      <c r="S58" s="5">
        <f t="shared" si="4"/>
        <v>1.7014814507789744E-2</v>
      </c>
      <c r="T58" s="5">
        <f t="shared" si="5"/>
        <v>1.9147070574405622E-2</v>
      </c>
      <c r="U58" s="5">
        <f t="shared" si="6"/>
        <v>2.0808832319757942E-2</v>
      </c>
      <c r="V58" s="5">
        <f t="shared" si="7"/>
        <v>-4.8423287779049584E-2</v>
      </c>
      <c r="W58" s="5">
        <f t="shared" si="8"/>
        <v>-0.14728073805141617</v>
      </c>
      <c r="X58" s="5">
        <f t="shared" si="9"/>
        <v>-0.21185052418758687</v>
      </c>
      <c r="AA58" s="5">
        <f t="shared" si="10"/>
        <v>9.0149504164821037E-2</v>
      </c>
      <c r="AB58" s="5">
        <f t="shared" si="11"/>
        <v>6.7547013811142642E-2</v>
      </c>
      <c r="AC58" s="5">
        <f t="shared" si="12"/>
        <v>5.6622226818826449E-2</v>
      </c>
      <c r="AD58" s="5">
        <f t="shared" si="13"/>
        <v>-7.2125726794265654E-2</v>
      </c>
      <c r="AE58" s="5">
        <f t="shared" si="14"/>
        <v>-0.2504877111095134</v>
      </c>
      <c r="AF58" s="5">
        <f t="shared" si="15"/>
        <v>-7.3167772569071587E-2</v>
      </c>
    </row>
    <row r="59" spans="1:32" x14ac:dyDescent="0.25">
      <c r="A59" s="2">
        <v>45419</v>
      </c>
      <c r="B59">
        <v>60035</v>
      </c>
      <c r="C59">
        <v>80384</v>
      </c>
      <c r="D59">
        <v>311125</v>
      </c>
      <c r="F59" s="5">
        <f t="shared" si="0"/>
        <v>0.74685260748407645</v>
      </c>
      <c r="G59" s="5">
        <f t="shared" si="1"/>
        <v>0.31097523164962881</v>
      </c>
      <c r="I59" s="2">
        <v>45419</v>
      </c>
      <c r="J59">
        <v>73428</v>
      </c>
      <c r="K59">
        <v>78470</v>
      </c>
      <c r="M59" s="5">
        <f t="shared" si="2"/>
        <v>0.61855150623740263</v>
      </c>
      <c r="N59" s="5">
        <f t="shared" si="3"/>
        <v>0.27640637064739099</v>
      </c>
      <c r="S59" s="5">
        <f t="shared" si="4"/>
        <v>1.7488315432279411E-2</v>
      </c>
      <c r="T59" s="5">
        <f t="shared" si="5"/>
        <v>1.9602891331662931E-2</v>
      </c>
      <c r="U59" s="5">
        <f t="shared" si="6"/>
        <v>2.1067238896177898E-2</v>
      </c>
      <c r="V59" s="5">
        <f t="shared" si="7"/>
        <v>-4.8253943716679348E-2</v>
      </c>
      <c r="W59" s="5">
        <f t="shared" si="8"/>
        <v>-0.14991594316860191</v>
      </c>
      <c r="X59" s="5">
        <f t="shared" si="9"/>
        <v>-0.20825501312797434</v>
      </c>
      <c r="AA59" s="5">
        <f t="shared" si="10"/>
        <v>8.7642069174769521E-2</v>
      </c>
      <c r="AB59" s="5">
        <f t="shared" si="11"/>
        <v>6.5348621309511884E-2</v>
      </c>
      <c r="AC59" s="5">
        <f t="shared" si="12"/>
        <v>5.382926177223224E-2</v>
      </c>
      <c r="AD59" s="5">
        <f t="shared" si="13"/>
        <v>-0.1034130774336981</v>
      </c>
      <c r="AE59" s="5">
        <f t="shared" si="14"/>
        <v>-0.2571750283074633</v>
      </c>
      <c r="AF59" s="5">
        <f t="shared" si="15"/>
        <v>-7.1658406563944843E-2</v>
      </c>
    </row>
    <row r="60" spans="1:32" x14ac:dyDescent="0.25">
      <c r="A60" s="2">
        <v>45418</v>
      </c>
      <c r="B60">
        <v>60235</v>
      </c>
      <c r="C60">
        <v>80384</v>
      </c>
      <c r="D60">
        <v>306017</v>
      </c>
      <c r="F60" s="5">
        <f t="shared" si="0"/>
        <v>0.74934066480891715</v>
      </c>
      <c r="G60" s="5">
        <f t="shared" si="1"/>
        <v>0.31484027261573183</v>
      </c>
      <c r="I60" s="2">
        <v>45418</v>
      </c>
      <c r="J60">
        <v>73428</v>
      </c>
      <c r="K60">
        <v>78470</v>
      </c>
      <c r="M60" s="5">
        <f t="shared" si="2"/>
        <v>0.6185378874543771</v>
      </c>
      <c r="N60" s="5">
        <f t="shared" si="3"/>
        <v>0.27972781814373104</v>
      </c>
      <c r="S60" s="5">
        <f t="shared" si="4"/>
        <v>1.7190716470374789E-2</v>
      </c>
      <c r="T60" s="5">
        <f t="shared" si="5"/>
        <v>1.9562855521673472E-2</v>
      </c>
      <c r="U60" s="5">
        <f t="shared" si="6"/>
        <v>2.0885661548957546E-2</v>
      </c>
      <c r="V60" s="5">
        <f t="shared" si="7"/>
        <v>-4.7934792873140952E-2</v>
      </c>
      <c r="W60" s="5">
        <f t="shared" si="8"/>
        <v>-0.15256901423273717</v>
      </c>
      <c r="X60" s="5">
        <f t="shared" si="9"/>
        <v>-0.20459831473225276</v>
      </c>
      <c r="AA60" s="5">
        <f t="shared" si="10"/>
        <v>8.3954365504919054E-2</v>
      </c>
      <c r="AB60" s="5">
        <f t="shared" si="11"/>
        <v>6.2401571065572065E-2</v>
      </c>
      <c r="AC60" s="5">
        <f t="shared" si="12"/>
        <v>5.0413893957681921E-2</v>
      </c>
      <c r="AD60" s="5">
        <f t="shared" si="13"/>
        <v>-0.13539520052365051</v>
      </c>
      <c r="AE60" s="5">
        <f t="shared" si="14"/>
        <v>-0.2642164962056277</v>
      </c>
      <c r="AF60" s="5">
        <f t="shared" si="15"/>
        <v>-7.0311250986361817E-2</v>
      </c>
    </row>
    <row r="61" spans="1:32" x14ac:dyDescent="0.25">
      <c r="A61" s="2">
        <v>45415</v>
      </c>
      <c r="B61">
        <v>59035</v>
      </c>
      <c r="C61">
        <v>80134</v>
      </c>
      <c r="D61">
        <v>304693</v>
      </c>
      <c r="F61" s="5">
        <f t="shared" si="0"/>
        <v>0.7367035216013178</v>
      </c>
      <c r="G61" s="5">
        <f t="shared" si="1"/>
        <v>0.3135411456714024</v>
      </c>
      <c r="I61" s="2">
        <v>45415</v>
      </c>
      <c r="J61">
        <v>69673</v>
      </c>
      <c r="K61">
        <v>77020</v>
      </c>
      <c r="M61" s="5">
        <f t="shared" si="2"/>
        <v>0.65183069481721756</v>
      </c>
      <c r="N61" s="5">
        <f t="shared" si="3"/>
        <v>0.27416200352088349</v>
      </c>
      <c r="S61" s="5">
        <f t="shared" si="4"/>
        <v>1.6700724410194989E-2</v>
      </c>
      <c r="T61" s="5">
        <f t="shared" si="5"/>
        <v>1.9421026586735723E-2</v>
      </c>
      <c r="U61" s="5">
        <f t="shared" si="6"/>
        <v>2.0555120744822963E-2</v>
      </c>
      <c r="V61" s="5">
        <f t="shared" si="7"/>
        <v>-4.7874681957843501E-2</v>
      </c>
      <c r="W61" s="5">
        <f t="shared" si="8"/>
        <v>-0.15609966791619345</v>
      </c>
      <c r="X61" s="5">
        <f t="shared" si="9"/>
        <v>-0.20096287599860374</v>
      </c>
      <c r="AA61" s="5">
        <f t="shared" si="10"/>
        <v>8.0094482374725717E-2</v>
      </c>
      <c r="AB61" s="5">
        <f t="shared" si="11"/>
        <v>5.9242912505167056E-2</v>
      </c>
      <c r="AC61" s="5">
        <f t="shared" si="12"/>
        <v>4.6805179601235453E-2</v>
      </c>
      <c r="AD61" s="5">
        <f t="shared" si="13"/>
        <v>-0.16712328564407009</v>
      </c>
      <c r="AE61" s="5">
        <f t="shared" si="14"/>
        <v>-0.27187602934318789</v>
      </c>
      <c r="AF61" s="5">
        <f t="shared" si="15"/>
        <v>-6.9344703729849577E-2</v>
      </c>
    </row>
    <row r="62" spans="1:32" x14ac:dyDescent="0.25">
      <c r="A62" s="2">
        <v>45414</v>
      </c>
      <c r="B62">
        <v>54260</v>
      </c>
      <c r="C62">
        <v>79759</v>
      </c>
      <c r="D62">
        <v>305873</v>
      </c>
      <c r="F62" s="5">
        <f t="shared" si="0"/>
        <v>0.68029940194836946</v>
      </c>
      <c r="G62" s="5">
        <f t="shared" si="1"/>
        <v>0.30466341738426705</v>
      </c>
      <c r="I62" s="2">
        <v>45414</v>
      </c>
      <c r="J62">
        <v>68473</v>
      </c>
      <c r="K62">
        <v>77595</v>
      </c>
      <c r="M62" s="5">
        <f t="shared" si="2"/>
        <v>0.6632395250682751</v>
      </c>
      <c r="N62" s="5">
        <f t="shared" si="3"/>
        <v>0.27131456070135318</v>
      </c>
      <c r="S62" s="5">
        <f t="shared" si="4"/>
        <v>1.6276783728654542E-2</v>
      </c>
      <c r="T62" s="5">
        <f t="shared" si="5"/>
        <v>1.948413799123877E-2</v>
      </c>
      <c r="U62" s="5">
        <f t="shared" si="6"/>
        <v>2.0427815470946908E-2</v>
      </c>
      <c r="V62" s="5">
        <f t="shared" si="7"/>
        <v>-4.9497021308078648E-2</v>
      </c>
      <c r="W62" s="5">
        <f t="shared" si="8"/>
        <v>-0.16176997779977831</v>
      </c>
      <c r="X62" s="5">
        <f t="shared" si="9"/>
        <v>-0.19892763788477708</v>
      </c>
      <c r="AA62" s="5">
        <f t="shared" si="10"/>
        <v>7.4737139155279353E-2</v>
      </c>
      <c r="AB62" s="5">
        <f t="shared" si="11"/>
        <v>5.521299124269205E-2</v>
      </c>
      <c r="AC62" s="5">
        <f t="shared" si="12"/>
        <v>4.2452682611543419E-2</v>
      </c>
      <c r="AD62" s="5">
        <f t="shared" si="13"/>
        <v>-0.19628684967688226</v>
      </c>
      <c r="AE62" s="5">
        <f t="shared" si="14"/>
        <v>-0.27772445704646564</v>
      </c>
      <c r="AF62" s="5">
        <f t="shared" si="15"/>
        <v>-6.6843564410154377E-2</v>
      </c>
    </row>
    <row r="63" spans="1:32" x14ac:dyDescent="0.25">
      <c r="A63" s="2">
        <v>45413</v>
      </c>
      <c r="B63">
        <v>54210</v>
      </c>
      <c r="C63">
        <v>79759</v>
      </c>
      <c r="D63">
        <v>300835</v>
      </c>
      <c r="F63" s="5">
        <f t="shared" si="0"/>
        <v>0.67967251344675839</v>
      </c>
      <c r="G63" s="5">
        <f t="shared" si="1"/>
        <v>0.30811354081379194</v>
      </c>
      <c r="I63" s="2">
        <v>45413</v>
      </c>
      <c r="J63">
        <v>69773</v>
      </c>
      <c r="K63">
        <v>77595</v>
      </c>
      <c r="M63" s="5">
        <f t="shared" si="2"/>
        <v>0.65086781419746897</v>
      </c>
      <c r="N63" s="5">
        <f t="shared" si="3"/>
        <v>0.27687544619141824</v>
      </c>
      <c r="S63" s="5">
        <f t="shared" si="4"/>
        <v>1.5959639041009555E-2</v>
      </c>
      <c r="T63" s="5">
        <f t="shared" si="5"/>
        <v>1.9636508272966369E-2</v>
      </c>
      <c r="U63" s="5">
        <f t="shared" si="6"/>
        <v>2.0395114431550565E-2</v>
      </c>
      <c r="V63" s="5">
        <f t="shared" si="7"/>
        <v>-5.1890189057012481E-2</v>
      </c>
      <c r="W63" s="5">
        <f t="shared" si="8"/>
        <v>-0.16803392154946573</v>
      </c>
      <c r="X63" s="5">
        <f t="shared" si="9"/>
        <v>-0.19743613044681052</v>
      </c>
      <c r="AA63" s="5">
        <f t="shared" si="10"/>
        <v>6.8999094512284614E-2</v>
      </c>
      <c r="AB63" s="5">
        <f t="shared" si="11"/>
        <v>5.1041303814934574E-2</v>
      </c>
      <c r="AC63" s="5">
        <f t="shared" si="12"/>
        <v>3.7961153802435421E-2</v>
      </c>
      <c r="AD63" s="5">
        <f t="shared" si="13"/>
        <v>-0.22278284936096704</v>
      </c>
      <c r="AE63" s="5">
        <f t="shared" si="14"/>
        <v>-0.28161832582696211</v>
      </c>
      <c r="AF63" s="5">
        <f t="shared" si="15"/>
        <v>-6.230340345139429E-2</v>
      </c>
    </row>
    <row r="64" spans="1:32" x14ac:dyDescent="0.25">
      <c r="A64" s="2">
        <v>45412</v>
      </c>
      <c r="B64">
        <v>54210</v>
      </c>
      <c r="C64">
        <v>80009</v>
      </c>
      <c r="D64">
        <v>300518</v>
      </c>
      <c r="F64" s="5">
        <f t="shared" si="0"/>
        <v>0.67754877576272665</v>
      </c>
      <c r="G64" s="5">
        <f t="shared" si="1"/>
        <v>0.30873608641546496</v>
      </c>
      <c r="I64" s="2">
        <v>45412</v>
      </c>
      <c r="J64">
        <v>69898</v>
      </c>
      <c r="K64">
        <v>77395</v>
      </c>
      <c r="M64" s="5">
        <f t="shared" si="2"/>
        <v>0.64968954762654152</v>
      </c>
      <c r="N64" s="5">
        <f t="shared" si="3"/>
        <v>0.27730215377511858</v>
      </c>
      <c r="S64" s="5">
        <f t="shared" si="4"/>
        <v>1.5357942396497959E-2</v>
      </c>
      <c r="T64" s="5">
        <f t="shared" si="5"/>
        <v>1.9465029604964934E-2</v>
      </c>
      <c r="U64" s="5">
        <f t="shared" si="6"/>
        <v>2.0054433467895871E-2</v>
      </c>
      <c r="V64" s="5">
        <f t="shared" si="7"/>
        <v>-5.3227819555903388E-2</v>
      </c>
      <c r="W64" s="5">
        <f t="shared" si="8"/>
        <v>-0.17398761906773541</v>
      </c>
      <c r="X64" s="5">
        <f t="shared" si="9"/>
        <v>-0.1955305442845412</v>
      </c>
      <c r="AA64" s="5">
        <f t="shared" si="10"/>
        <v>6.2800795609678717E-2</v>
      </c>
      <c r="AB64" s="5">
        <f t="shared" si="11"/>
        <v>4.6492756138108826E-2</v>
      </c>
      <c r="AC64" s="5">
        <f t="shared" si="12"/>
        <v>3.3093660821053861E-2</v>
      </c>
      <c r="AD64" s="5">
        <f t="shared" si="13"/>
        <v>-0.24729163427487666</v>
      </c>
      <c r="AE64" s="5">
        <f t="shared" si="14"/>
        <v>-0.28473782578332585</v>
      </c>
      <c r="AF64" s="5">
        <f t="shared" si="15"/>
        <v>-5.7240806468661476E-2</v>
      </c>
    </row>
    <row r="65" spans="1:32" x14ac:dyDescent="0.25">
      <c r="A65" s="2">
        <v>45411</v>
      </c>
      <c r="B65">
        <v>54110</v>
      </c>
      <c r="C65">
        <v>78309</v>
      </c>
      <c r="D65">
        <v>299350</v>
      </c>
      <c r="F65" s="5">
        <f t="shared" si="0"/>
        <v>0.69098060248502724</v>
      </c>
      <c r="G65" s="5">
        <f t="shared" si="1"/>
        <v>0.30668945663074471</v>
      </c>
      <c r="I65" s="2">
        <v>45411</v>
      </c>
      <c r="J65">
        <v>69398</v>
      </c>
      <c r="K65">
        <v>77270</v>
      </c>
      <c r="M65" s="5">
        <f t="shared" si="2"/>
        <v>0.65435603331508108</v>
      </c>
      <c r="N65" s="5">
        <f t="shared" si="3"/>
        <v>0.2772099604258268</v>
      </c>
      <c r="S65" s="5">
        <f t="shared" si="4"/>
        <v>1.4670288243763707E-2</v>
      </c>
      <c r="T65" s="5">
        <f t="shared" si="5"/>
        <v>1.934873457019759E-2</v>
      </c>
      <c r="U65" s="5">
        <f t="shared" si="6"/>
        <v>1.9705037318194618E-2</v>
      </c>
      <c r="V65" s="5">
        <f t="shared" si="7"/>
        <v>-5.4669999592314777E-2</v>
      </c>
      <c r="W65" s="5">
        <f t="shared" si="8"/>
        <v>-0.18039745903878679</v>
      </c>
      <c r="X65" s="5">
        <f t="shared" si="9"/>
        <v>-0.19357954572908476</v>
      </c>
      <c r="AA65" s="5">
        <f t="shared" si="10"/>
        <v>5.637885003565421E-2</v>
      </c>
      <c r="AB65" s="5">
        <f t="shared" si="11"/>
        <v>4.197964329610826E-2</v>
      </c>
      <c r="AC65" s="5">
        <f t="shared" si="12"/>
        <v>2.8206102480256567E-2</v>
      </c>
      <c r="AD65" s="5">
        <f t="shared" si="13"/>
        <v>-0.27182902072520609</v>
      </c>
      <c r="AE65" s="5">
        <f t="shared" si="14"/>
        <v>-0.28813796136068259</v>
      </c>
      <c r="AF65" s="5">
        <f t="shared" si="15"/>
        <v>-5.2077362873288235E-2</v>
      </c>
    </row>
    <row r="66" spans="1:32" x14ac:dyDescent="0.25">
      <c r="A66" s="2">
        <v>45408</v>
      </c>
      <c r="B66">
        <v>54085</v>
      </c>
      <c r="C66">
        <v>77534</v>
      </c>
      <c r="D66">
        <v>297800</v>
      </c>
      <c r="F66" s="5">
        <f t="shared" si="0"/>
        <v>0.69756493925245699</v>
      </c>
      <c r="G66" s="5">
        <f t="shared" si="1"/>
        <v>0.30650483560345493</v>
      </c>
      <c r="I66" s="2">
        <v>45408</v>
      </c>
      <c r="J66">
        <v>69398</v>
      </c>
      <c r="K66">
        <v>77270</v>
      </c>
      <c r="M66" s="5">
        <f t="shared" si="2"/>
        <v>0.65431280440358508</v>
      </c>
      <c r="N66" s="5">
        <f t="shared" si="3"/>
        <v>0.27824607494801334</v>
      </c>
      <c r="S66" s="5">
        <f t="shared" si="4"/>
        <v>8.9368224733943347E-4</v>
      </c>
      <c r="T66" s="5">
        <f t="shared" si="5"/>
        <v>1.0289030677370359E-2</v>
      </c>
      <c r="U66" s="5">
        <f t="shared" si="6"/>
        <v>1.1622397462536571E-2</v>
      </c>
      <c r="V66" s="5">
        <f t="shared" si="7"/>
        <v>-8.73167621689106E-2</v>
      </c>
      <c r="W66" s="5">
        <f t="shared" si="8"/>
        <v>-0.21809808488686744</v>
      </c>
      <c r="X66" s="5">
        <f t="shared" si="9"/>
        <v>-0.2233460933343725</v>
      </c>
      <c r="AA66" s="5">
        <f t="shared" si="10"/>
        <v>4.9510724814254836E-2</v>
      </c>
      <c r="AB66" s="5">
        <f t="shared" si="11"/>
        <v>3.7161110946303311E-2</v>
      </c>
      <c r="AC66" s="5">
        <f t="shared" si="12"/>
        <v>2.3101319668544645E-2</v>
      </c>
      <c r="AD66" s="5">
        <f t="shared" si="13"/>
        <v>-0.29381715165852706</v>
      </c>
      <c r="AE66" s="5">
        <f t="shared" si="14"/>
        <v>-0.29080872351910725</v>
      </c>
      <c r="AF66" s="5">
        <f t="shared" si="15"/>
        <v>-4.5693511036475565E-2</v>
      </c>
    </row>
    <row r="67" spans="1:32" x14ac:dyDescent="0.25">
      <c r="A67" s="2">
        <v>45407</v>
      </c>
      <c r="B67">
        <v>53359</v>
      </c>
      <c r="C67">
        <v>76567</v>
      </c>
      <c r="D67">
        <v>295607</v>
      </c>
      <c r="F67" s="5">
        <f t="shared" ref="F67:F130" si="16">IFERROR(B67/C67,"")</f>
        <v>0.69689291731424763</v>
      </c>
      <c r="G67" s="5">
        <f t="shared" ref="G67:G130" si="17">IFERROR(SUM(B67:C67)/SUM(B67:D67),"")</f>
        <v>0.3053253214204304</v>
      </c>
      <c r="I67" s="2">
        <v>45407</v>
      </c>
      <c r="J67">
        <v>68648</v>
      </c>
      <c r="K67">
        <v>77278</v>
      </c>
      <c r="M67" s="5">
        <f t="shared" ref="M67:M130" si="18">IFERROR(I67/J67,"")</f>
        <v>0.66144680107213616</v>
      </c>
      <c r="N67" s="5">
        <f t="shared" ref="N67:N130" si="19">IFERROR(SUM(I67:J67)/SUM(I67:J67,D67),"")</f>
        <v>0.27841244733463194</v>
      </c>
      <c r="S67" s="5">
        <f t="shared" ref="S67:S130" si="20">IFERROR(AVERAGEA(N67:N87)-AVERAGE(N88:N108),"")</f>
        <v>2.7506317751985199E-4</v>
      </c>
      <c r="T67" s="5">
        <f t="shared" ref="T67:T130" si="21">IFERROR(AVERAGEA(N67:N87)-AVERAGE(N88:N143),"")</f>
        <v>1.0149268321421601E-2</v>
      </c>
      <c r="U67" s="5">
        <f t="shared" ref="U67:U130" si="22">IFERROR(AVERAGEA(N67:N87)-AVERAGE(N88:N200),"")</f>
        <v>1.1213524690986354E-2</v>
      </c>
      <c r="V67" s="5">
        <f t="shared" ref="V67:V130" si="23">IFERROR(AVERAGEA(M67:M87)-AVERAGE(M88:M108),"")</f>
        <v>-8.9427472345478765E-2</v>
      </c>
      <c r="W67" s="5">
        <f t="shared" ref="W67:W130" si="24">IFERROR(AVERAGEA(M67:M87)-AVERAGE(M88:M143),"")</f>
        <v>-0.22647156871632179</v>
      </c>
      <c r="X67" s="5">
        <f t="shared" ref="X67:X130" si="25">IFERROR(AVERAGEA(M67:M87)-AVERAGE(M88:M200),"")</f>
        <v>-0.22165378036462324</v>
      </c>
      <c r="AA67" s="5">
        <f t="shared" ref="AA67:AA130" si="26">IFERROR(AVERAGEA(G67:G87)-AVERAGE(G88:G108),"")</f>
        <v>4.26226436370368E-2</v>
      </c>
      <c r="AB67" s="5">
        <f t="shared" ref="AB67:AB130" si="27">IFERROR(AVERAGEA(G67:G87)-AVERAGE(G88:G143),"")</f>
        <v>3.2339256999365323E-2</v>
      </c>
      <c r="AC67" s="5">
        <f t="shared" ref="AC67:AC130" si="28">IFERROR(AVERAGEA(G67:G87)-AVERAGE(G88:G200),"")</f>
        <v>1.7989692423927034E-2</v>
      </c>
      <c r="AD67" s="5">
        <f t="shared" ref="AD67:AD130" si="29">IFERROR(AVERAGEA(F67:F87)-AVERAGE(F88:F108),"")</f>
        <v>-0.31400605255498992</v>
      </c>
      <c r="AE67" s="5">
        <f t="shared" ref="AE67:AE130" si="30">IFERROR(AVERAGEA(F67:F87)-AVERAGE(F88:F143),"")</f>
        <v>-0.29326195725471782</v>
      </c>
      <c r="AF67" s="5">
        <f t="shared" ref="AF67:AF130" si="31">IFERROR(AVERAGEA(F67:F87)-AVERAGE(F88:F200),"")</f>
        <v>-3.9618031833525191E-2</v>
      </c>
    </row>
    <row r="68" spans="1:32" x14ac:dyDescent="0.25">
      <c r="A68" s="2">
        <v>45406</v>
      </c>
      <c r="B68">
        <v>53509</v>
      </c>
      <c r="C68">
        <v>74617</v>
      </c>
      <c r="D68">
        <v>292075</v>
      </c>
      <c r="F68" s="5">
        <f t="shared" si="16"/>
        <v>0.71711540265623119</v>
      </c>
      <c r="G68" s="5">
        <f t="shared" si="17"/>
        <v>0.30491598068543385</v>
      </c>
      <c r="I68" s="2">
        <v>45406</v>
      </c>
      <c r="J68">
        <v>68623</v>
      </c>
      <c r="K68">
        <v>77303</v>
      </c>
      <c r="M68" s="5">
        <f t="shared" si="18"/>
        <v>0.66167319994753948</v>
      </c>
      <c r="N68" s="5">
        <f t="shared" si="19"/>
        <v>0.28078768000315191</v>
      </c>
      <c r="S68" s="5">
        <f t="shared" si="20"/>
        <v>-2.0440266072391244E-4</v>
      </c>
      <c r="T68" s="5">
        <f t="shared" si="21"/>
        <v>9.9234076875929222E-3</v>
      </c>
      <c r="U68" s="5">
        <f t="shared" si="22"/>
        <v>1.0753156561008281E-2</v>
      </c>
      <c r="V68" s="5">
        <f t="shared" si="23"/>
        <v>-9.1332181917030186E-2</v>
      </c>
      <c r="W68" s="5">
        <f t="shared" si="24"/>
        <v>-0.23479823723569859</v>
      </c>
      <c r="X68" s="5">
        <f t="shared" si="25"/>
        <v>-0.21969758078306367</v>
      </c>
      <c r="AA68" s="5">
        <f t="shared" si="26"/>
        <v>3.5355850874397021E-2</v>
      </c>
      <c r="AB68" s="5">
        <f t="shared" si="27"/>
        <v>2.7211227677998023E-2</v>
      </c>
      <c r="AC68" s="5">
        <f t="shared" si="28"/>
        <v>1.2602499946487877E-2</v>
      </c>
      <c r="AD68" s="5">
        <f t="shared" si="29"/>
        <v>-0.33166821274016078</v>
      </c>
      <c r="AE68" s="5">
        <f t="shared" si="30"/>
        <v>-0.29389736278790846</v>
      </c>
      <c r="AF68" s="5">
        <f t="shared" si="31"/>
        <v>-3.2114068465730283E-2</v>
      </c>
    </row>
    <row r="69" spans="1:32" x14ac:dyDescent="0.25">
      <c r="A69" s="2">
        <v>45405</v>
      </c>
      <c r="B69">
        <v>51159</v>
      </c>
      <c r="C69">
        <v>73709</v>
      </c>
      <c r="D69">
        <v>288230</v>
      </c>
      <c r="F69" s="5">
        <f t="shared" si="16"/>
        <v>0.69406721024569595</v>
      </c>
      <c r="G69" s="5">
        <f t="shared" si="17"/>
        <v>0.3022721000827891</v>
      </c>
      <c r="I69" s="2">
        <v>45405</v>
      </c>
      <c r="J69">
        <v>68348</v>
      </c>
      <c r="K69">
        <v>77303</v>
      </c>
      <c r="M69" s="5">
        <f t="shared" si="18"/>
        <v>0.66432082870018139</v>
      </c>
      <c r="N69" s="5">
        <f t="shared" si="19"/>
        <v>0.28297962849175212</v>
      </c>
      <c r="S69" s="5">
        <f t="shared" si="20"/>
        <v>-4.4018633374953708E-4</v>
      </c>
      <c r="T69" s="5">
        <f t="shared" si="21"/>
        <v>9.7840840114127303E-3</v>
      </c>
      <c r="U69" s="5">
        <f t="shared" si="22"/>
        <v>1.0324866240354891E-2</v>
      </c>
      <c r="V69" s="5">
        <f t="shared" si="23"/>
        <v>-9.3746386713605689E-2</v>
      </c>
      <c r="W69" s="5">
        <f t="shared" si="24"/>
        <v>-0.24385958347616654</v>
      </c>
      <c r="X69" s="5">
        <f t="shared" si="25"/>
        <v>-0.21770770222325408</v>
      </c>
      <c r="AA69" s="5">
        <f t="shared" si="26"/>
        <v>2.7551773682232078E-2</v>
      </c>
      <c r="AB69" s="5">
        <f t="shared" si="27"/>
        <v>2.1652168435634167E-2</v>
      </c>
      <c r="AC69" s="5">
        <f t="shared" si="28"/>
        <v>6.7935276935427447E-3</v>
      </c>
      <c r="AD69" s="5">
        <f t="shared" si="29"/>
        <v>-0.34616496077563386</v>
      </c>
      <c r="AE69" s="5">
        <f t="shared" si="30"/>
        <v>-0.29373197544508967</v>
      </c>
      <c r="AF69" s="5">
        <f t="shared" si="31"/>
        <v>-2.334738101547662E-2</v>
      </c>
    </row>
    <row r="70" spans="1:32" x14ac:dyDescent="0.25">
      <c r="A70" s="2">
        <v>45404</v>
      </c>
      <c r="B70">
        <v>50259</v>
      </c>
      <c r="C70">
        <v>72859</v>
      </c>
      <c r="D70">
        <v>286331</v>
      </c>
      <c r="F70" s="5">
        <f t="shared" si="16"/>
        <v>0.68981182832594468</v>
      </c>
      <c r="G70" s="5">
        <f t="shared" si="17"/>
        <v>0.30069190546319569</v>
      </c>
      <c r="I70" s="2">
        <v>45404</v>
      </c>
      <c r="J70">
        <v>68348</v>
      </c>
      <c r="K70">
        <v>77293</v>
      </c>
      <c r="M70" s="5">
        <f t="shared" si="18"/>
        <v>0.66430619769415344</v>
      </c>
      <c r="N70" s="5">
        <f t="shared" si="19"/>
        <v>0.28432100339179622</v>
      </c>
      <c r="S70" s="5">
        <f t="shared" si="20"/>
        <v>-6.3050552214238831E-4</v>
      </c>
      <c r="T70" s="5">
        <f t="shared" si="21"/>
        <v>9.6384619797244553E-3</v>
      </c>
      <c r="U70" s="5">
        <f t="shared" si="22"/>
        <v>9.8734119366583606E-3</v>
      </c>
      <c r="V70" s="5">
        <f t="shared" si="23"/>
        <v>-9.6269051923615123E-2</v>
      </c>
      <c r="W70" s="5">
        <f t="shared" si="24"/>
        <v>-0.25315005845470073</v>
      </c>
      <c r="X70" s="5">
        <f t="shared" si="25"/>
        <v>-0.21582999541759429</v>
      </c>
      <c r="AA70" s="5">
        <f t="shared" si="26"/>
        <v>1.9640120990388504E-2</v>
      </c>
      <c r="AB70" s="5">
        <f t="shared" si="27"/>
        <v>1.6093925801432846E-2</v>
      </c>
      <c r="AC70" s="5">
        <f t="shared" si="28"/>
        <v>9.6169379309044012E-4</v>
      </c>
      <c r="AD70" s="5">
        <f t="shared" si="29"/>
        <v>-0.3566414518547627</v>
      </c>
      <c r="AE70" s="5">
        <f t="shared" si="30"/>
        <v>-0.29035172811623611</v>
      </c>
      <c r="AF70" s="5">
        <f t="shared" si="31"/>
        <v>-1.0973568027595082E-2</v>
      </c>
    </row>
    <row r="71" spans="1:32" x14ac:dyDescent="0.25">
      <c r="A71" s="2">
        <v>45401</v>
      </c>
      <c r="B71">
        <v>50384</v>
      </c>
      <c r="C71">
        <v>72584</v>
      </c>
      <c r="D71">
        <v>282241</v>
      </c>
      <c r="F71" s="5">
        <f t="shared" si="16"/>
        <v>0.69414747051691827</v>
      </c>
      <c r="G71" s="5">
        <f t="shared" si="17"/>
        <v>0.30346808683913734</v>
      </c>
      <c r="I71" s="2">
        <v>45401</v>
      </c>
      <c r="J71">
        <v>68398</v>
      </c>
      <c r="K71">
        <v>77518</v>
      </c>
      <c r="M71" s="5">
        <f t="shared" si="18"/>
        <v>0.66377671861750343</v>
      </c>
      <c r="N71" s="5">
        <f t="shared" si="19"/>
        <v>0.28734218765781233</v>
      </c>
      <c r="S71" s="5">
        <f t="shared" si="20"/>
        <v>-7.8148591818416602E-4</v>
      </c>
      <c r="T71" s="5">
        <f t="shared" si="21"/>
        <v>9.3374578348450754E-3</v>
      </c>
      <c r="U71" s="5">
        <f t="shared" si="22"/>
        <v>9.258227500556937E-3</v>
      </c>
      <c r="V71" s="5">
        <f t="shared" si="23"/>
        <v>-9.9841162085588353E-2</v>
      </c>
      <c r="W71" s="5">
        <f t="shared" si="24"/>
        <v>-0.26175597757745306</v>
      </c>
      <c r="X71" s="5">
        <f t="shared" si="25"/>
        <v>-0.21338318156517211</v>
      </c>
      <c r="AA71" s="5">
        <f t="shared" si="26"/>
        <v>1.1790384192383568E-2</v>
      </c>
      <c r="AB71" s="5">
        <f t="shared" si="27"/>
        <v>1.0603884541001474E-2</v>
      </c>
      <c r="AC71" s="5">
        <f t="shared" si="28"/>
        <v>-4.8680621851743544E-3</v>
      </c>
      <c r="AD71" s="5">
        <f t="shared" si="29"/>
        <v>-0.36704470861914007</v>
      </c>
      <c r="AE71" s="5">
        <f t="shared" si="30"/>
        <v>-0.2889220859937035</v>
      </c>
      <c r="AF71" s="5">
        <f t="shared" si="31"/>
        <v>2.7783446307272364E-4</v>
      </c>
    </row>
    <row r="72" spans="1:32" x14ac:dyDescent="0.25">
      <c r="A72" s="2">
        <v>45400</v>
      </c>
      <c r="B72">
        <v>52134</v>
      </c>
      <c r="C72">
        <v>72209</v>
      </c>
      <c r="D72">
        <v>283273</v>
      </c>
      <c r="F72" s="5">
        <f t="shared" si="16"/>
        <v>0.72198756387707907</v>
      </c>
      <c r="G72" s="5">
        <f t="shared" si="17"/>
        <v>0.30504936018213219</v>
      </c>
      <c r="I72" s="2">
        <v>45400</v>
      </c>
      <c r="J72">
        <v>68398</v>
      </c>
      <c r="K72">
        <v>77918</v>
      </c>
      <c r="M72" s="5">
        <f t="shared" si="18"/>
        <v>0.66376209830696808</v>
      </c>
      <c r="N72" s="5">
        <f t="shared" si="19"/>
        <v>0.28659358150053771</v>
      </c>
      <c r="S72" s="5">
        <f t="shared" si="20"/>
        <v>-9.282799333718561E-4</v>
      </c>
      <c r="T72" s="5">
        <f t="shared" si="21"/>
        <v>8.9612227493931496E-3</v>
      </c>
      <c r="U72" s="5">
        <f t="shared" si="22"/>
        <v>8.563804261012109E-3</v>
      </c>
      <c r="V72" s="5">
        <f t="shared" si="23"/>
        <v>-0.1038413311445392</v>
      </c>
      <c r="W72" s="5">
        <f t="shared" si="24"/>
        <v>-0.27026511730031988</v>
      </c>
      <c r="X72" s="5">
        <f t="shared" si="25"/>
        <v>-0.21082100914992719</v>
      </c>
      <c r="AA72" s="5">
        <f t="shared" si="26"/>
        <v>4.0340174654844851E-3</v>
      </c>
      <c r="AB72" s="5">
        <f t="shared" si="27"/>
        <v>5.1483264855503863E-3</v>
      </c>
      <c r="AC72" s="5">
        <f t="shared" si="28"/>
        <v>-1.0729565465532331E-2</v>
      </c>
      <c r="AD72" s="5">
        <f t="shared" si="29"/>
        <v>-0.37913577344122373</v>
      </c>
      <c r="AE72" s="5">
        <f t="shared" si="30"/>
        <v>-0.28951628879041125</v>
      </c>
      <c r="AF72" s="5">
        <f t="shared" si="31"/>
        <v>1.0345034318953505E-2</v>
      </c>
    </row>
    <row r="73" spans="1:32" x14ac:dyDescent="0.25">
      <c r="A73" s="2">
        <v>45399</v>
      </c>
      <c r="B73">
        <v>51734</v>
      </c>
      <c r="C73">
        <v>71433</v>
      </c>
      <c r="D73">
        <v>285563</v>
      </c>
      <c r="F73" s="5">
        <f t="shared" si="16"/>
        <v>0.72423109767194438</v>
      </c>
      <c r="G73" s="5">
        <f t="shared" si="17"/>
        <v>0.30134073838475278</v>
      </c>
      <c r="I73" s="2">
        <v>45399</v>
      </c>
      <c r="J73">
        <v>67873</v>
      </c>
      <c r="K73">
        <v>76768</v>
      </c>
      <c r="M73" s="5">
        <f t="shared" si="18"/>
        <v>0.66888158767109163</v>
      </c>
      <c r="N73" s="5">
        <f t="shared" si="19"/>
        <v>0.28400717088520316</v>
      </c>
      <c r="S73" s="5">
        <f t="shared" si="20"/>
        <v>-9.8045130257373714E-4</v>
      </c>
      <c r="T73" s="5">
        <f t="shared" si="21"/>
        <v>8.6667065069851446E-3</v>
      </c>
      <c r="U73" s="5">
        <f t="shared" si="22"/>
        <v>7.9723871381624511E-3</v>
      </c>
      <c r="V73" s="5">
        <f t="shared" si="23"/>
        <v>-0.10740084841011721</v>
      </c>
      <c r="W73" s="5">
        <f t="shared" si="24"/>
        <v>-0.27852291947915375</v>
      </c>
      <c r="X73" s="5">
        <f t="shared" si="25"/>
        <v>-0.20806545926616749</v>
      </c>
      <c r="AA73" s="5">
        <f t="shared" si="26"/>
        <v>-3.6948120705212195E-3</v>
      </c>
      <c r="AB73" s="5">
        <f t="shared" si="27"/>
        <v>-2.0254813995573828E-4</v>
      </c>
      <c r="AC73" s="5">
        <f t="shared" si="28"/>
        <v>-1.6569410675526003E-2</v>
      </c>
      <c r="AD73" s="5">
        <f t="shared" si="29"/>
        <v>-0.39254687206664041</v>
      </c>
      <c r="AE73" s="5">
        <f t="shared" si="30"/>
        <v>-0.29316358447144675</v>
      </c>
      <c r="AF73" s="5">
        <f t="shared" si="31"/>
        <v>1.9084685100314247E-2</v>
      </c>
    </row>
    <row r="74" spans="1:32" x14ac:dyDescent="0.25">
      <c r="A74" s="2">
        <v>45398</v>
      </c>
      <c r="B74">
        <v>50859</v>
      </c>
      <c r="C74">
        <v>68408</v>
      </c>
      <c r="D74">
        <v>286818</v>
      </c>
      <c r="F74" s="5">
        <f t="shared" si="16"/>
        <v>0.74346567652906093</v>
      </c>
      <c r="G74" s="5">
        <f t="shared" si="17"/>
        <v>0.29369959491239517</v>
      </c>
      <c r="I74" s="2">
        <v>45398</v>
      </c>
      <c r="J74">
        <v>67713</v>
      </c>
      <c r="K74">
        <v>76893</v>
      </c>
      <c r="M74" s="5">
        <f t="shared" si="18"/>
        <v>0.67044732916869731</v>
      </c>
      <c r="N74" s="5">
        <f t="shared" si="19"/>
        <v>0.28282770191709028</v>
      </c>
      <c r="S74" s="5">
        <f t="shared" si="20"/>
        <v>-1.1011362083737652E-3</v>
      </c>
      <c r="T74" s="5">
        <f t="shared" si="21"/>
        <v>1.0072274305223228E-2</v>
      </c>
      <c r="U74" s="5">
        <f t="shared" si="22"/>
        <v>7.5002274941508573E-3</v>
      </c>
      <c r="V74" s="5">
        <f t="shared" si="23"/>
        <v>-0.10920598974819595</v>
      </c>
      <c r="W74" s="5">
        <f t="shared" si="24"/>
        <v>-0.2802638273415341</v>
      </c>
      <c r="X74" s="5">
        <f t="shared" si="25"/>
        <v>-0.20555926486751686</v>
      </c>
      <c r="AA74" s="5">
        <f t="shared" si="26"/>
        <v>-1.2864971283211069E-2</v>
      </c>
      <c r="AB74" s="5">
        <f t="shared" si="27"/>
        <v>-6.415082967631186E-3</v>
      </c>
      <c r="AC74" s="5">
        <f t="shared" si="28"/>
        <v>-2.3127937271327836E-2</v>
      </c>
      <c r="AD74" s="5">
        <f t="shared" si="29"/>
        <v>-0.38842765423268588</v>
      </c>
      <c r="AE74" s="5">
        <f t="shared" si="30"/>
        <v>-0.28683764634440689</v>
      </c>
      <c r="AF74" s="5">
        <f t="shared" si="31"/>
        <v>3.6411213745633053E-2</v>
      </c>
    </row>
    <row r="75" spans="1:32" x14ac:dyDescent="0.25">
      <c r="A75" s="2">
        <v>45397</v>
      </c>
      <c r="B75">
        <v>48584</v>
      </c>
      <c r="C75">
        <v>67208</v>
      </c>
      <c r="D75">
        <v>287937</v>
      </c>
      <c r="F75" s="5">
        <f t="shared" si="16"/>
        <v>0.72289013212712772</v>
      </c>
      <c r="G75" s="5">
        <f t="shared" si="17"/>
        <v>0.28680624874606481</v>
      </c>
      <c r="I75" s="2">
        <v>45397</v>
      </c>
      <c r="J75">
        <v>67240</v>
      </c>
      <c r="K75">
        <v>77043</v>
      </c>
      <c r="M75" s="5">
        <f t="shared" si="18"/>
        <v>0.67514872099940515</v>
      </c>
      <c r="N75" s="5">
        <f t="shared" si="19"/>
        <v>0.28118899379390577</v>
      </c>
      <c r="S75" s="5">
        <f t="shared" si="20"/>
        <v>-1.2043575534115836E-3</v>
      </c>
      <c r="T75" s="5">
        <f t="shared" si="21"/>
        <v>9.9257062638762883E-3</v>
      </c>
      <c r="U75" s="5">
        <f t="shared" si="22"/>
        <v>7.0617936246144541E-3</v>
      </c>
      <c r="V75" s="5">
        <f t="shared" si="23"/>
        <v>-0.11277275797133146</v>
      </c>
      <c r="W75" s="5">
        <f t="shared" si="24"/>
        <v>-0.28944340347251141</v>
      </c>
      <c r="X75" s="5">
        <f t="shared" si="25"/>
        <v>-0.20350082087833266</v>
      </c>
      <c r="AA75" s="5">
        <f t="shared" si="26"/>
        <v>-2.3205573484589653E-2</v>
      </c>
      <c r="AB75" s="5">
        <f t="shared" si="27"/>
        <v>-1.3215273908655734E-2</v>
      </c>
      <c r="AC75" s="5">
        <f t="shared" si="28"/>
        <v>-3.0141595930596482E-2</v>
      </c>
      <c r="AD75" s="5">
        <f t="shared" si="29"/>
        <v>-0.39497973101874329</v>
      </c>
      <c r="AE75" s="5">
        <f t="shared" si="30"/>
        <v>-0.28803156315454559</v>
      </c>
      <c r="AF75" s="5">
        <f t="shared" si="31"/>
        <v>4.7125082749263858E-2</v>
      </c>
    </row>
    <row r="76" spans="1:32" x14ac:dyDescent="0.25">
      <c r="A76" s="2">
        <v>45394</v>
      </c>
      <c r="B76">
        <v>45009</v>
      </c>
      <c r="C76">
        <v>62533</v>
      </c>
      <c r="D76">
        <v>289544</v>
      </c>
      <c r="F76" s="5">
        <f t="shared" si="16"/>
        <v>0.71976396462667713</v>
      </c>
      <c r="G76" s="5">
        <f t="shared" si="17"/>
        <v>0.27082798184776091</v>
      </c>
      <c r="I76" s="2">
        <v>45394</v>
      </c>
      <c r="J76">
        <v>65194</v>
      </c>
      <c r="K76">
        <v>76368</v>
      </c>
      <c r="M76" s="5">
        <f t="shared" si="18"/>
        <v>0.69629106973034327</v>
      </c>
      <c r="N76" s="5">
        <f t="shared" si="19"/>
        <v>0.27637879499765078</v>
      </c>
      <c r="S76" s="5">
        <f t="shared" si="20"/>
        <v>-1.2256544426946236E-3</v>
      </c>
      <c r="T76" s="5">
        <f t="shared" si="21"/>
        <v>9.8646003161309559E-3</v>
      </c>
      <c r="U76" s="5">
        <f t="shared" si="22"/>
        <v>6.6761779474958094E-3</v>
      </c>
      <c r="V76" s="5">
        <f t="shared" si="23"/>
        <v>-0.11626621394947967</v>
      </c>
      <c r="W76" s="5">
        <f t="shared" si="24"/>
        <v>-0.29851702838591343</v>
      </c>
      <c r="X76" s="5">
        <f t="shared" si="25"/>
        <v>-0.20141147487243016</v>
      </c>
      <c r="AA76" s="5">
        <f t="shared" si="26"/>
        <v>-3.3865251688859815E-2</v>
      </c>
      <c r="AB76" s="5">
        <f t="shared" si="27"/>
        <v>-2.0150273662447482E-2</v>
      </c>
      <c r="AC76" s="5">
        <f t="shared" si="28"/>
        <v>-3.7276844153134953E-2</v>
      </c>
      <c r="AD76" s="5">
        <f t="shared" si="29"/>
        <v>-0.39828172376528292</v>
      </c>
      <c r="AE76" s="5">
        <f t="shared" si="30"/>
        <v>-0.28668776129576101</v>
      </c>
      <c r="AF76" s="5">
        <f t="shared" si="31"/>
        <v>6.0113964486785743E-2</v>
      </c>
    </row>
    <row r="77" spans="1:32" x14ac:dyDescent="0.25">
      <c r="A77" s="2">
        <v>45393</v>
      </c>
      <c r="B77">
        <v>44310</v>
      </c>
      <c r="C77">
        <v>61893</v>
      </c>
      <c r="D77">
        <v>290698</v>
      </c>
      <c r="F77" s="5">
        <f t="shared" si="16"/>
        <v>0.71591294653676507</v>
      </c>
      <c r="G77" s="5">
        <f t="shared" si="17"/>
        <v>0.26758058054779404</v>
      </c>
      <c r="I77" s="2">
        <v>45393</v>
      </c>
      <c r="J77">
        <v>65644</v>
      </c>
      <c r="K77">
        <v>76718</v>
      </c>
      <c r="M77" s="5">
        <f t="shared" si="18"/>
        <v>0.69150265066114192</v>
      </c>
      <c r="N77" s="5">
        <f t="shared" si="19"/>
        <v>0.2763936425753295</v>
      </c>
      <c r="S77" s="5">
        <f t="shared" si="20"/>
        <v>-5.4368084666006622E-4</v>
      </c>
      <c r="T77" s="5">
        <f t="shared" si="21"/>
        <v>1.0132847043957338E-2</v>
      </c>
      <c r="U77" s="5">
        <f t="shared" si="22"/>
        <v>6.5915680154809975E-3</v>
      </c>
      <c r="V77" s="5">
        <f t="shared" si="23"/>
        <v>-0.12268719378369264</v>
      </c>
      <c r="W77" s="5">
        <f t="shared" si="24"/>
        <v>-0.30793793169713879</v>
      </c>
      <c r="X77" s="5">
        <f t="shared" si="25"/>
        <v>-0.19977146674324242</v>
      </c>
      <c r="AA77" s="5">
        <f t="shared" si="26"/>
        <v>-4.4563917929779068E-2</v>
      </c>
      <c r="AB77" s="5">
        <f t="shared" si="27"/>
        <v>-2.6948740255241493E-2</v>
      </c>
      <c r="AC77" s="5">
        <f t="shared" si="28"/>
        <v>-4.4199189261212773E-2</v>
      </c>
      <c r="AD77" s="5">
        <f t="shared" si="29"/>
        <v>-0.41842220587764267</v>
      </c>
      <c r="AE77" s="5">
        <f t="shared" si="30"/>
        <v>-0.2967360816282093</v>
      </c>
      <c r="AF77" s="5">
        <f t="shared" si="31"/>
        <v>6.3323159856400024E-2</v>
      </c>
    </row>
    <row r="78" spans="1:32" x14ac:dyDescent="0.25">
      <c r="A78" s="2">
        <v>45392</v>
      </c>
      <c r="B78">
        <v>42160</v>
      </c>
      <c r="C78">
        <v>61393</v>
      </c>
      <c r="D78">
        <v>292220</v>
      </c>
      <c r="F78" s="5">
        <f t="shared" si="16"/>
        <v>0.68672324206342739</v>
      </c>
      <c r="G78" s="5">
        <f t="shared" si="17"/>
        <v>0.26164745952856816</v>
      </c>
      <c r="I78" s="2">
        <v>45392</v>
      </c>
      <c r="J78">
        <v>65544</v>
      </c>
      <c r="K78">
        <v>75668</v>
      </c>
      <c r="M78" s="5">
        <f t="shared" si="18"/>
        <v>0.69254241425607221</v>
      </c>
      <c r="N78" s="5">
        <f t="shared" si="19"/>
        <v>0.27516891724295311</v>
      </c>
      <c r="S78" s="5">
        <f t="shared" si="20"/>
        <v>-3.6331925771238005E-4</v>
      </c>
      <c r="T78" s="5">
        <f t="shared" si="21"/>
        <v>1.0024402636292506E-2</v>
      </c>
      <c r="U78" s="5">
        <f t="shared" si="22"/>
        <v>6.1625317331014395E-3</v>
      </c>
      <c r="V78" s="5">
        <f t="shared" si="23"/>
        <v>-0.12722060002478053</v>
      </c>
      <c r="W78" s="5">
        <f t="shared" si="24"/>
        <v>-0.31569349562082394</v>
      </c>
      <c r="X78" s="5">
        <f t="shared" si="25"/>
        <v>-0.19669860191177135</v>
      </c>
      <c r="AA78" s="5">
        <f t="shared" si="26"/>
        <v>-4.5330536520258674E-2</v>
      </c>
      <c r="AB78" s="5">
        <f t="shared" si="27"/>
        <v>-2.6998595635364359E-2</v>
      </c>
      <c r="AC78" s="5">
        <f t="shared" si="28"/>
        <v>-4.5298809602116769E-2</v>
      </c>
      <c r="AD78" s="5">
        <f t="shared" si="29"/>
        <v>-0.37971870229717397</v>
      </c>
      <c r="AE78" s="5">
        <f t="shared" si="30"/>
        <v>-0.26750067478427919</v>
      </c>
      <c r="AF78" s="5">
        <f t="shared" si="31"/>
        <v>0.10043618472036953</v>
      </c>
    </row>
    <row r="79" spans="1:32" x14ac:dyDescent="0.25">
      <c r="A79" s="2">
        <v>45391</v>
      </c>
      <c r="B79">
        <v>40284</v>
      </c>
      <c r="C79">
        <v>60193</v>
      </c>
      <c r="D79">
        <v>290662</v>
      </c>
      <c r="F79" s="5">
        <f t="shared" si="16"/>
        <v>0.66924725466416357</v>
      </c>
      <c r="G79" s="5">
        <f t="shared" si="17"/>
        <v>0.25688310293783029</v>
      </c>
      <c r="I79" s="2">
        <v>45391</v>
      </c>
      <c r="J79">
        <v>65494</v>
      </c>
      <c r="K79">
        <v>75668</v>
      </c>
      <c r="M79" s="5">
        <f t="shared" si="18"/>
        <v>0.69305585244449874</v>
      </c>
      <c r="N79" s="5">
        <f t="shared" si="19"/>
        <v>0.27614451110330795</v>
      </c>
      <c r="S79" s="5">
        <f t="shared" si="20"/>
        <v>1.9260795277847853E-4</v>
      </c>
      <c r="T79" s="5">
        <f t="shared" si="21"/>
        <v>1.171903179215833E-2</v>
      </c>
      <c r="U79" s="5">
        <f t="shared" si="22"/>
        <v>5.9683128380828565E-3</v>
      </c>
      <c r="V79" s="5">
        <f t="shared" si="23"/>
        <v>-0.1325556978564103</v>
      </c>
      <c r="W79" s="5">
        <f t="shared" si="24"/>
        <v>-0.31740735602456882</v>
      </c>
      <c r="X79" s="5">
        <f t="shared" si="25"/>
        <v>-0.1937898152735148</v>
      </c>
      <c r="AA79" s="5">
        <f t="shared" si="26"/>
        <v>-4.5359409669284423E-2</v>
      </c>
      <c r="AB79" s="5">
        <f t="shared" si="27"/>
        <v>-2.6454235199806081E-2</v>
      </c>
      <c r="AC79" s="5">
        <f t="shared" si="28"/>
        <v>-4.589535190385996E-2</v>
      </c>
      <c r="AD79" s="5">
        <f t="shared" si="29"/>
        <v>-0.33974080175349153</v>
      </c>
      <c r="AE79" s="5">
        <f t="shared" si="30"/>
        <v>-0.2381282709226602</v>
      </c>
      <c r="AF79" s="5">
        <f t="shared" si="31"/>
        <v>0.13800538714499844</v>
      </c>
    </row>
    <row r="80" spans="1:32" x14ac:dyDescent="0.25">
      <c r="A80" s="2">
        <v>45390</v>
      </c>
      <c r="B80">
        <v>38759</v>
      </c>
      <c r="C80">
        <v>58768</v>
      </c>
      <c r="D80">
        <v>301156</v>
      </c>
      <c r="F80" s="5">
        <f t="shared" si="16"/>
        <v>0.65952559215899809</v>
      </c>
      <c r="G80" s="5">
        <f t="shared" si="17"/>
        <v>0.24462292096728477</v>
      </c>
      <c r="I80" s="2">
        <v>45390</v>
      </c>
      <c r="J80">
        <v>65494</v>
      </c>
      <c r="K80">
        <v>75568</v>
      </c>
      <c r="M80" s="5">
        <f t="shared" si="18"/>
        <v>0.69304058387027823</v>
      </c>
      <c r="N80" s="5">
        <f t="shared" si="19"/>
        <v>0.26910979516551792</v>
      </c>
      <c r="S80" s="5">
        <f t="shared" si="20"/>
        <v>5.5166454640287466E-4</v>
      </c>
      <c r="T80" s="5">
        <f t="shared" si="21"/>
        <v>1.1723719035690305E-2</v>
      </c>
      <c r="U80" s="5">
        <f t="shared" si="22"/>
        <v>5.6545664691539099E-3</v>
      </c>
      <c r="V80" s="5">
        <f t="shared" si="23"/>
        <v>-0.137089905249831</v>
      </c>
      <c r="W80" s="5">
        <f t="shared" si="24"/>
        <v>-0.32472715660334761</v>
      </c>
      <c r="X80" s="5">
        <f t="shared" si="25"/>
        <v>-0.1904217474417752</v>
      </c>
      <c r="AA80" s="5">
        <f t="shared" si="26"/>
        <v>-4.4934245220531688E-2</v>
      </c>
      <c r="AB80" s="5">
        <f t="shared" si="27"/>
        <v>-2.5602162792789401E-2</v>
      </c>
      <c r="AC80" s="5">
        <f t="shared" si="28"/>
        <v>-4.6209070703039423E-2</v>
      </c>
      <c r="AD80" s="5">
        <f t="shared" si="29"/>
        <v>-0.30048044499492566</v>
      </c>
      <c r="AE80" s="5">
        <f t="shared" si="30"/>
        <v>-0.20803515832933317</v>
      </c>
      <c r="AF80" s="5">
        <f t="shared" si="31"/>
        <v>0.17631005118240739</v>
      </c>
    </row>
    <row r="81" spans="1:32" x14ac:dyDescent="0.25">
      <c r="A81" s="2">
        <v>45387</v>
      </c>
      <c r="B81">
        <v>38509</v>
      </c>
      <c r="C81">
        <v>58838</v>
      </c>
      <c r="D81">
        <v>301216</v>
      </c>
      <c r="F81" s="5">
        <f t="shared" si="16"/>
        <v>0.6544919949692376</v>
      </c>
      <c r="G81" s="5">
        <f t="shared" si="17"/>
        <v>0.24424494998281326</v>
      </c>
      <c r="I81" s="2">
        <v>45387</v>
      </c>
      <c r="J81">
        <v>65494</v>
      </c>
      <c r="K81">
        <v>75568</v>
      </c>
      <c r="M81" s="5">
        <f t="shared" si="18"/>
        <v>0.69299477814761656</v>
      </c>
      <c r="N81" s="5">
        <f t="shared" si="19"/>
        <v>0.26906529288007436</v>
      </c>
      <c r="S81" s="5">
        <f t="shared" si="20"/>
        <v>1.210761542248584E-3</v>
      </c>
      <c r="T81" s="5">
        <f t="shared" si="21"/>
        <v>1.2168945742992127E-2</v>
      </c>
      <c r="U81" s="5">
        <f t="shared" si="22"/>
        <v>5.7187237056341433E-3</v>
      </c>
      <c r="V81" s="5">
        <f t="shared" si="23"/>
        <v>-0.14127821614485481</v>
      </c>
      <c r="W81" s="5">
        <f t="shared" si="24"/>
        <v>-0.33208827466101487</v>
      </c>
      <c r="X81" s="5">
        <f t="shared" si="25"/>
        <v>-0.18708028451180103</v>
      </c>
      <c r="AA81" s="5">
        <f t="shared" si="26"/>
        <v>-4.3421522937068996E-2</v>
      </c>
      <c r="AB81" s="5">
        <f t="shared" si="27"/>
        <v>-2.398046111706098E-2</v>
      </c>
      <c r="AC81" s="5">
        <f t="shared" si="28"/>
        <v>-4.5911827460087345E-2</v>
      </c>
      <c r="AD81" s="5">
        <f t="shared" si="29"/>
        <v>-0.26367479122627391</v>
      </c>
      <c r="AE81" s="5">
        <f t="shared" si="30"/>
        <v>-0.17694691375575278</v>
      </c>
      <c r="AF81" s="5">
        <f t="shared" si="31"/>
        <v>0.21488257097988028</v>
      </c>
    </row>
    <row r="82" spans="1:32" x14ac:dyDescent="0.25">
      <c r="A82" s="2">
        <v>45386</v>
      </c>
      <c r="B82">
        <v>36359</v>
      </c>
      <c r="C82">
        <v>54193</v>
      </c>
      <c r="D82">
        <v>303135</v>
      </c>
      <c r="F82" s="5">
        <f t="shared" si="16"/>
        <v>0.67091690808776039</v>
      </c>
      <c r="G82" s="5">
        <f t="shared" si="17"/>
        <v>0.23001013495492612</v>
      </c>
      <c r="I82" s="2">
        <v>45386</v>
      </c>
      <c r="J82">
        <v>65494</v>
      </c>
      <c r="K82">
        <v>75223</v>
      </c>
      <c r="M82" s="5">
        <f t="shared" si="18"/>
        <v>0.69297950957339605</v>
      </c>
      <c r="N82" s="5">
        <f t="shared" si="19"/>
        <v>0.26781638346436726</v>
      </c>
      <c r="S82" s="5">
        <f t="shared" si="20"/>
        <v>1.936094471748917E-3</v>
      </c>
      <c r="T82" s="5">
        <f t="shared" si="21"/>
        <v>1.2720865115706942E-2</v>
      </c>
      <c r="U82" s="5">
        <f t="shared" si="22"/>
        <v>5.8260588666901869E-3</v>
      </c>
      <c r="V82" s="5">
        <f t="shared" si="23"/>
        <v>-0.14609290366624095</v>
      </c>
      <c r="W82" s="5">
        <f t="shared" si="24"/>
        <v>-0.339109082668828</v>
      </c>
      <c r="X82" s="5">
        <f t="shared" si="25"/>
        <v>-0.18346863639614652</v>
      </c>
      <c r="AA82" s="5">
        <f t="shared" si="26"/>
        <v>-4.2073795063170993E-2</v>
      </c>
      <c r="AB82" s="5">
        <f t="shared" si="27"/>
        <v>-2.2228330853644729E-2</v>
      </c>
      <c r="AC82" s="5">
        <f t="shared" si="28"/>
        <v>-4.5647208318907895E-2</v>
      </c>
      <c r="AD82" s="5">
        <f t="shared" si="29"/>
        <v>-0.22670161883599138</v>
      </c>
      <c r="AE82" s="5">
        <f t="shared" si="30"/>
        <v>-0.14690836174460098</v>
      </c>
      <c r="AF82" s="5">
        <f t="shared" si="31"/>
        <v>0.2526840174410333</v>
      </c>
    </row>
    <row r="83" spans="1:32" x14ac:dyDescent="0.25">
      <c r="A83" s="2">
        <v>45385</v>
      </c>
      <c r="B83">
        <v>34109</v>
      </c>
      <c r="C83">
        <v>51743</v>
      </c>
      <c r="D83">
        <v>303974</v>
      </c>
      <c r="F83" s="5">
        <f t="shared" si="16"/>
        <v>0.6592002782985138</v>
      </c>
      <c r="G83" s="5">
        <f t="shared" si="17"/>
        <v>0.22023159050448149</v>
      </c>
      <c r="I83" s="2">
        <v>45385</v>
      </c>
      <c r="J83">
        <v>65494</v>
      </c>
      <c r="K83">
        <v>75223</v>
      </c>
      <c r="M83" s="5">
        <f t="shared" si="18"/>
        <v>0.69296424099917553</v>
      </c>
      <c r="N83" s="5">
        <f t="shared" si="19"/>
        <v>0.26727298585282017</v>
      </c>
      <c r="S83" s="5">
        <f t="shared" si="20"/>
        <v>2.9710650953802542E-3</v>
      </c>
      <c r="T83" s="5">
        <f t="shared" si="21"/>
        <v>1.3408056369467708E-2</v>
      </c>
      <c r="U83" s="5">
        <f t="shared" si="22"/>
        <v>6.0977999928520377E-3</v>
      </c>
      <c r="V83" s="5">
        <f t="shared" si="23"/>
        <v>-0.15127996456043313</v>
      </c>
      <c r="W83" s="5">
        <f t="shared" si="24"/>
        <v>-0.34596654849791353</v>
      </c>
      <c r="X83" s="5">
        <f t="shared" si="25"/>
        <v>-0.17985559544684959</v>
      </c>
      <c r="AA83" s="5">
        <f t="shared" si="26"/>
        <v>-3.9609923076902143E-2</v>
      </c>
      <c r="AB83" s="5">
        <f t="shared" si="27"/>
        <v>-1.9555717326351446E-2</v>
      </c>
      <c r="AC83" s="5">
        <f t="shared" si="28"/>
        <v>-4.4471248066931535E-2</v>
      </c>
      <c r="AD83" s="5">
        <f t="shared" si="29"/>
        <v>-0.1913075350127923</v>
      </c>
      <c r="AE83" s="5">
        <f t="shared" si="30"/>
        <v>-0.11847565296424822</v>
      </c>
      <c r="AF83" s="5">
        <f t="shared" si="31"/>
        <v>0.28923106884297367</v>
      </c>
    </row>
    <row r="84" spans="1:32" x14ac:dyDescent="0.25">
      <c r="A84" s="2">
        <v>45384</v>
      </c>
      <c r="B84">
        <v>33859</v>
      </c>
      <c r="C84">
        <v>50693</v>
      </c>
      <c r="D84">
        <v>305461</v>
      </c>
      <c r="F84" s="5">
        <f t="shared" si="16"/>
        <v>0.66792259286291988</v>
      </c>
      <c r="G84" s="5">
        <f t="shared" si="17"/>
        <v>0.2167927735742142</v>
      </c>
      <c r="I84" s="2">
        <v>45384</v>
      </c>
      <c r="J84">
        <v>65494</v>
      </c>
      <c r="K84">
        <v>70923</v>
      </c>
      <c r="M84" s="5">
        <f t="shared" si="18"/>
        <v>0.69294897242495501</v>
      </c>
      <c r="N84" s="5">
        <f t="shared" si="19"/>
        <v>0.26631663139893214</v>
      </c>
      <c r="S84" s="5">
        <f t="shared" si="20"/>
        <v>3.9809084634115366E-3</v>
      </c>
      <c r="T84" s="5">
        <f t="shared" si="21"/>
        <v>1.4073828871454808E-2</v>
      </c>
      <c r="U84" s="5">
        <f t="shared" si="22"/>
        <v>6.3858706089502393E-3</v>
      </c>
      <c r="V84" s="5">
        <f t="shared" si="23"/>
        <v>-0.15603471444756045</v>
      </c>
      <c r="W84" s="5">
        <f t="shared" si="24"/>
        <v>-0.35427809798982779</v>
      </c>
      <c r="X84" s="5">
        <f t="shared" si="25"/>
        <v>-0.17612578093862585</v>
      </c>
      <c r="AA84" s="5">
        <f t="shared" si="26"/>
        <v>-3.6893633767654005E-2</v>
      </c>
      <c r="AB84" s="5">
        <f t="shared" si="27"/>
        <v>-1.6700618080948859E-2</v>
      </c>
      <c r="AC84" s="5">
        <f t="shared" si="28"/>
        <v>-4.2978136018789498E-2</v>
      </c>
      <c r="AD84" s="5">
        <f t="shared" si="29"/>
        <v>-0.15867658941004503</v>
      </c>
      <c r="AE84" s="5">
        <f t="shared" si="30"/>
        <v>-9.1246333026403947E-2</v>
      </c>
      <c r="AF84" s="5">
        <f t="shared" si="31"/>
        <v>0.32505668968806301</v>
      </c>
    </row>
    <row r="85" spans="1:32" x14ac:dyDescent="0.25">
      <c r="A85" s="2">
        <v>45383</v>
      </c>
      <c r="B85">
        <v>33859</v>
      </c>
      <c r="C85">
        <v>50693</v>
      </c>
      <c r="D85">
        <v>305049</v>
      </c>
      <c r="F85" s="5">
        <f t="shared" si="16"/>
        <v>0.66792259286291988</v>
      </c>
      <c r="G85" s="5">
        <f t="shared" si="17"/>
        <v>0.21702203023092856</v>
      </c>
      <c r="I85" s="2">
        <v>45383</v>
      </c>
      <c r="J85">
        <v>65494</v>
      </c>
      <c r="K85">
        <v>70923</v>
      </c>
      <c r="M85" s="5">
        <f t="shared" si="18"/>
        <v>0.69293370385073438</v>
      </c>
      <c r="N85" s="5">
        <f t="shared" si="19"/>
        <v>0.26657867024422616</v>
      </c>
      <c r="S85" s="5">
        <f t="shared" si="20"/>
        <v>4.8197292362593958E-3</v>
      </c>
      <c r="T85" s="5">
        <f t="shared" si="21"/>
        <v>1.4623531301471537E-2</v>
      </c>
      <c r="U85" s="5">
        <f t="shared" si="22"/>
        <v>6.633965379961082E-3</v>
      </c>
      <c r="V85" s="5">
        <f t="shared" si="23"/>
        <v>-0.16167699395236534</v>
      </c>
      <c r="W85" s="5">
        <f t="shared" si="24"/>
        <v>-0.36320609922850045</v>
      </c>
      <c r="X85" s="5">
        <f t="shared" si="25"/>
        <v>-0.17294625121200724</v>
      </c>
      <c r="AA85" s="5">
        <f t="shared" si="26"/>
        <v>-3.4097255847091085E-2</v>
      </c>
      <c r="AB85" s="5">
        <f t="shared" si="27"/>
        <v>-1.3626655080239719E-2</v>
      </c>
      <c r="AC85" s="5">
        <f t="shared" si="28"/>
        <v>-4.136175516397389E-2</v>
      </c>
      <c r="AD85" s="5">
        <f t="shared" si="29"/>
        <v>-0.12872708931847232</v>
      </c>
      <c r="AE85" s="5">
        <f t="shared" si="30"/>
        <v>-6.7683839174727312E-2</v>
      </c>
      <c r="AF85" s="5">
        <f t="shared" si="31"/>
        <v>0.35913076647848807</v>
      </c>
    </row>
    <row r="86" spans="1:32" x14ac:dyDescent="0.25">
      <c r="A86" s="2">
        <v>45380</v>
      </c>
      <c r="B86">
        <v>33759</v>
      </c>
      <c r="C86">
        <v>48168</v>
      </c>
      <c r="D86">
        <v>305054</v>
      </c>
      <c r="F86" s="5">
        <f t="shared" si="16"/>
        <v>0.70085949177877427</v>
      </c>
      <c r="G86" s="5">
        <f t="shared" si="17"/>
        <v>0.2117080683547771</v>
      </c>
      <c r="I86" s="2">
        <v>45380</v>
      </c>
      <c r="J86">
        <v>0</v>
      </c>
      <c r="K86">
        <v>0</v>
      </c>
      <c r="M86" s="5" t="str">
        <f t="shared" si="18"/>
        <v/>
      </c>
      <c r="N86" s="5">
        <f t="shared" si="19"/>
        <v>0.1294965671139216</v>
      </c>
      <c r="S86" s="5">
        <f t="shared" si="20"/>
        <v>5.8174919088750943E-3</v>
      </c>
      <c r="T86" s="5">
        <f t="shared" si="21"/>
        <v>1.539453648206468E-2</v>
      </c>
      <c r="U86" s="5">
        <f t="shared" si="22"/>
        <v>6.9728867508354053E-3</v>
      </c>
      <c r="V86" s="5">
        <f t="shared" si="23"/>
        <v>-0.16701437825625176</v>
      </c>
      <c r="W86" s="5">
        <f t="shared" si="24"/>
        <v>-0.37289737408269086</v>
      </c>
      <c r="X86" s="5">
        <f t="shared" si="25"/>
        <v>-0.16963195269880205</v>
      </c>
      <c r="AA86" s="5">
        <f t="shared" si="26"/>
        <v>-3.0879432890247527E-2</v>
      </c>
      <c r="AB86" s="5">
        <f t="shared" si="27"/>
        <v>-9.9790596215517391E-3</v>
      </c>
      <c r="AC86" s="5">
        <f t="shared" si="28"/>
        <v>-3.9516810496488836E-2</v>
      </c>
      <c r="AD86" s="5">
        <f t="shared" si="29"/>
        <v>-9.9051121158417743E-2</v>
      </c>
      <c r="AE86" s="5">
        <f t="shared" si="30"/>
        <v>-4.3312808083358023E-2</v>
      </c>
      <c r="AF86" s="5">
        <f t="shared" si="31"/>
        <v>0.39335937821206735</v>
      </c>
    </row>
    <row r="87" spans="1:32" x14ac:dyDescent="0.25">
      <c r="A87" s="2">
        <v>45379</v>
      </c>
      <c r="B87">
        <v>33759</v>
      </c>
      <c r="C87">
        <v>48168</v>
      </c>
      <c r="D87">
        <v>305054</v>
      </c>
      <c r="F87" s="5">
        <f t="shared" si="16"/>
        <v>0.70085949177877427</v>
      </c>
      <c r="G87" s="5">
        <f t="shared" si="17"/>
        <v>0.2117080683547771</v>
      </c>
      <c r="I87" s="2">
        <v>45379</v>
      </c>
      <c r="J87">
        <v>65494</v>
      </c>
      <c r="K87">
        <v>70923</v>
      </c>
      <c r="M87" s="5">
        <f t="shared" si="18"/>
        <v>0.69287262955385231</v>
      </c>
      <c r="N87" s="5">
        <f t="shared" si="19"/>
        <v>0.26656841224541805</v>
      </c>
      <c r="S87" s="5">
        <f t="shared" si="20"/>
        <v>1.3329494116982921E-2</v>
      </c>
      <c r="T87" s="5">
        <f t="shared" si="21"/>
        <v>2.2896482872783536E-2</v>
      </c>
      <c r="U87" s="5">
        <f t="shared" si="22"/>
        <v>1.3887321640551453E-2</v>
      </c>
      <c r="V87" s="5">
        <f t="shared" si="23"/>
        <v>-0.13928456074659934</v>
      </c>
      <c r="W87" s="5">
        <f t="shared" si="24"/>
        <v>-0.35175437473916615</v>
      </c>
      <c r="X87" s="5">
        <f t="shared" si="25"/>
        <v>-0.13341412641283612</v>
      </c>
      <c r="AA87" s="5">
        <f t="shared" si="26"/>
        <v>-2.7005604631149149E-2</v>
      </c>
      <c r="AB87" s="5">
        <f t="shared" si="27"/>
        <v>-5.6227813420288708E-3</v>
      </c>
      <c r="AC87" s="5">
        <f t="shared" si="28"/>
        <v>-3.7410159666191267E-2</v>
      </c>
      <c r="AD87" s="5">
        <f t="shared" si="29"/>
        <v>-6.6807744177078354E-2</v>
      </c>
      <c r="AE87" s="5">
        <f t="shared" si="30"/>
        <v>-2.4859350621776133E-2</v>
      </c>
      <c r="AF87" s="5">
        <f t="shared" si="31"/>
        <v>0.42596044237799358</v>
      </c>
    </row>
    <row r="88" spans="1:32" x14ac:dyDescent="0.25">
      <c r="A88" s="2">
        <v>45378</v>
      </c>
      <c r="B88">
        <v>33110</v>
      </c>
      <c r="C88">
        <v>45633</v>
      </c>
      <c r="D88">
        <v>303156</v>
      </c>
      <c r="F88" s="5">
        <f t="shared" si="16"/>
        <v>0.72557140665746278</v>
      </c>
      <c r="G88" s="5">
        <f t="shared" si="17"/>
        <v>0.20618802353501842</v>
      </c>
      <c r="I88" s="2">
        <v>45378</v>
      </c>
      <c r="J88">
        <v>64444</v>
      </c>
      <c r="K88">
        <v>70698</v>
      </c>
      <c r="M88" s="5">
        <f t="shared" si="18"/>
        <v>0.7041462354912793</v>
      </c>
      <c r="N88" s="5">
        <f t="shared" si="19"/>
        <v>0.26592699853260948</v>
      </c>
      <c r="S88" s="5">
        <f t="shared" si="20"/>
        <v>1.4078909267784212E-2</v>
      </c>
      <c r="T88" s="5">
        <f t="shared" si="21"/>
        <v>2.1871172408636591E-2</v>
      </c>
      <c r="U88" s="5">
        <f t="shared" si="22"/>
        <v>1.4104754633769478E-2</v>
      </c>
      <c r="V88" s="5">
        <f t="shared" si="23"/>
        <v>-0.14408922908022692</v>
      </c>
      <c r="W88" s="5">
        <f t="shared" si="24"/>
        <v>-0.34345211723030544</v>
      </c>
      <c r="X88" s="5">
        <f t="shared" si="25"/>
        <v>-0.12965157282655559</v>
      </c>
      <c r="AA88" s="5">
        <f t="shared" si="26"/>
        <v>-2.3074435642359614E-2</v>
      </c>
      <c r="AB88" s="5">
        <f t="shared" si="27"/>
        <v>-4.4491250865829057E-3</v>
      </c>
      <c r="AC88" s="5">
        <f t="shared" si="28"/>
        <v>-3.5221832222140009E-2</v>
      </c>
      <c r="AD88" s="5">
        <f t="shared" si="29"/>
        <v>-3.8789906961591347E-2</v>
      </c>
      <c r="AE88" s="5">
        <f t="shared" si="30"/>
        <v>1.061335741961178E-2</v>
      </c>
      <c r="AF88" s="5">
        <f t="shared" si="31"/>
        <v>0.45604856484855172</v>
      </c>
    </row>
    <row r="89" spans="1:32" x14ac:dyDescent="0.25">
      <c r="A89" s="2">
        <v>45377</v>
      </c>
      <c r="B89">
        <v>32059</v>
      </c>
      <c r="C89">
        <v>41908</v>
      </c>
      <c r="D89">
        <v>299462</v>
      </c>
      <c r="F89" s="5">
        <f t="shared" si="16"/>
        <v>0.76498520568865136</v>
      </c>
      <c r="G89" s="5">
        <f t="shared" si="17"/>
        <v>0.19807513610351632</v>
      </c>
      <c r="I89" s="2">
        <v>45377</v>
      </c>
      <c r="J89">
        <v>64544</v>
      </c>
      <c r="K89">
        <v>70648</v>
      </c>
      <c r="M89" s="5">
        <f t="shared" si="18"/>
        <v>0.70303978681209722</v>
      </c>
      <c r="N89" s="5">
        <f t="shared" si="19"/>
        <v>0.26850406587474324</v>
      </c>
      <c r="S89" s="5">
        <f t="shared" si="20"/>
        <v>1.427253916414295E-2</v>
      </c>
      <c r="T89" s="5">
        <f t="shared" si="21"/>
        <v>2.0629857785485956E-2</v>
      </c>
      <c r="U89" s="5">
        <f t="shared" si="22"/>
        <v>1.4144131554107375E-2</v>
      </c>
      <c r="V89" s="5">
        <f t="shared" si="23"/>
        <v>-0.14756513179478625</v>
      </c>
      <c r="W89" s="5">
        <f t="shared" si="24"/>
        <v>-0.33492934788606943</v>
      </c>
      <c r="X89" s="5">
        <f t="shared" si="25"/>
        <v>-0.12600699756544287</v>
      </c>
      <c r="AA89" s="5">
        <f t="shared" si="26"/>
        <v>-1.8972519177354402E-2</v>
      </c>
      <c r="AB89" s="5">
        <f t="shared" si="27"/>
        <v>-3.080368556498958E-3</v>
      </c>
      <c r="AC89" s="5">
        <f t="shared" si="28"/>
        <v>-3.2863098434570581E-2</v>
      </c>
      <c r="AD89" s="5">
        <f t="shared" si="29"/>
        <v>-1.0235035473886045E-2</v>
      </c>
      <c r="AE89" s="5">
        <f t="shared" si="30"/>
        <v>4.4894302450887213E-2</v>
      </c>
      <c r="AF89" s="5">
        <f t="shared" si="31"/>
        <v>0.48479214476211208</v>
      </c>
    </row>
    <row r="90" spans="1:32" x14ac:dyDescent="0.25">
      <c r="A90" s="2">
        <v>45376</v>
      </c>
      <c r="B90">
        <v>32185</v>
      </c>
      <c r="C90">
        <v>39758</v>
      </c>
      <c r="D90">
        <v>297131</v>
      </c>
      <c r="F90" s="5">
        <f t="shared" si="16"/>
        <v>0.80952261180139851</v>
      </c>
      <c r="G90" s="5">
        <f t="shared" si="17"/>
        <v>0.19492838834488477</v>
      </c>
      <c r="I90" s="2">
        <v>45376</v>
      </c>
      <c r="J90">
        <v>64544</v>
      </c>
      <c r="K90">
        <v>70723</v>
      </c>
      <c r="M90" s="5">
        <f t="shared" si="18"/>
        <v>0.70302429350520579</v>
      </c>
      <c r="N90" s="5">
        <f t="shared" si="19"/>
        <v>0.27003987215361219</v>
      </c>
      <c r="S90" s="5">
        <f t="shared" si="20"/>
        <v>1.4091484045153813E-2</v>
      </c>
      <c r="T90" s="5">
        <f t="shared" si="21"/>
        <v>1.9205360255082904E-2</v>
      </c>
      <c r="U90" s="5">
        <f t="shared" si="22"/>
        <v>1.3900059304723711E-2</v>
      </c>
      <c r="V90" s="5">
        <f t="shared" si="23"/>
        <v>-0.14996656073073011</v>
      </c>
      <c r="W90" s="5">
        <f t="shared" si="24"/>
        <v>-0.32580692559104896</v>
      </c>
      <c r="X90" s="5">
        <f t="shared" si="25"/>
        <v>-0.12161188462956374</v>
      </c>
      <c r="AA90" s="5">
        <f t="shared" si="26"/>
        <v>-1.4910286104709541E-2</v>
      </c>
      <c r="AB90" s="5">
        <f t="shared" si="27"/>
        <v>-1.5312227065211736E-3</v>
      </c>
      <c r="AC90" s="5">
        <f t="shared" si="28"/>
        <v>-2.9345543121754053E-2</v>
      </c>
      <c r="AD90" s="5">
        <f t="shared" si="29"/>
        <v>1.5809236987027964E-2</v>
      </c>
      <c r="AE90" s="5">
        <f t="shared" si="30"/>
        <v>7.6785587149586609E-2</v>
      </c>
      <c r="AF90" s="5">
        <f t="shared" si="31"/>
        <v>0.50790936564267231</v>
      </c>
    </row>
    <row r="91" spans="1:32" x14ac:dyDescent="0.25">
      <c r="A91" s="2">
        <v>45373</v>
      </c>
      <c r="B91">
        <v>31410</v>
      </c>
      <c r="C91">
        <v>39958</v>
      </c>
      <c r="D91">
        <v>297063</v>
      </c>
      <c r="F91" s="5">
        <f t="shared" si="16"/>
        <v>0.78607537914810555</v>
      </c>
      <c r="G91" s="5">
        <f t="shared" si="17"/>
        <v>0.19370791274349877</v>
      </c>
      <c r="I91" s="2">
        <v>45373</v>
      </c>
      <c r="J91">
        <v>63737</v>
      </c>
      <c r="K91">
        <v>70998</v>
      </c>
      <c r="M91" s="5">
        <f t="shared" si="18"/>
        <v>0.71187850071387104</v>
      </c>
      <c r="N91" s="5">
        <f t="shared" si="19"/>
        <v>0.26862937713732821</v>
      </c>
      <c r="S91" s="5">
        <f t="shared" si="20"/>
        <v>1.3835798618312301E-2</v>
      </c>
      <c r="T91" s="5">
        <f t="shared" si="21"/>
        <v>1.7827346140768807E-2</v>
      </c>
      <c r="U91" s="5">
        <f t="shared" si="22"/>
        <v>1.3579167900201083E-2</v>
      </c>
      <c r="V91" s="5">
        <f t="shared" si="23"/>
        <v>-0.15291835108975271</v>
      </c>
      <c r="W91" s="5">
        <f t="shared" si="24"/>
        <v>-0.31679281681860227</v>
      </c>
      <c r="X91" s="5">
        <f t="shared" si="25"/>
        <v>-0.11723858047934121</v>
      </c>
      <c r="AA91" s="5">
        <f t="shared" si="26"/>
        <v>-1.064208103971126E-2</v>
      </c>
      <c r="AB91" s="5">
        <f t="shared" si="27"/>
        <v>1.7221431049091462E-4</v>
      </c>
      <c r="AC91" s="5">
        <f t="shared" si="28"/>
        <v>-2.5760101948514885E-2</v>
      </c>
      <c r="AD91" s="5">
        <f t="shared" si="29"/>
        <v>4.1936301086787475E-2</v>
      </c>
      <c r="AE91" s="5">
        <f t="shared" si="30"/>
        <v>0.10838267663811041</v>
      </c>
      <c r="AF91" s="5">
        <f t="shared" si="31"/>
        <v>0.53042093611836882</v>
      </c>
    </row>
    <row r="92" spans="1:32" x14ac:dyDescent="0.25">
      <c r="A92" s="2">
        <v>45372</v>
      </c>
      <c r="B92">
        <v>31160</v>
      </c>
      <c r="C92">
        <v>40533</v>
      </c>
      <c r="D92">
        <v>294791</v>
      </c>
      <c r="F92" s="5">
        <f t="shared" si="16"/>
        <v>0.76875632200922706</v>
      </c>
      <c r="G92" s="5">
        <f t="shared" si="17"/>
        <v>0.19562381986662447</v>
      </c>
      <c r="I92" s="2">
        <v>45372</v>
      </c>
      <c r="J92">
        <v>63587</v>
      </c>
      <c r="K92">
        <v>70273</v>
      </c>
      <c r="M92" s="5">
        <f t="shared" si="18"/>
        <v>0.71354207621054622</v>
      </c>
      <c r="N92" s="5">
        <f t="shared" si="19"/>
        <v>0.2698674922600619</v>
      </c>
      <c r="S92" s="5">
        <f t="shared" si="20"/>
        <v>1.3218399264439129E-2</v>
      </c>
      <c r="T92" s="5">
        <f t="shared" si="21"/>
        <v>1.6278561067512631E-2</v>
      </c>
      <c r="U92" s="5">
        <f t="shared" si="22"/>
        <v>1.302740561768595E-2</v>
      </c>
      <c r="V92" s="5">
        <f t="shared" si="23"/>
        <v>-0.15449733673033439</v>
      </c>
      <c r="W92" s="5">
        <f t="shared" si="24"/>
        <v>-0.30566129551255916</v>
      </c>
      <c r="X92" s="5">
        <f t="shared" si="25"/>
        <v>-0.11104016592376342</v>
      </c>
      <c r="AA92" s="5">
        <f t="shared" si="26"/>
        <v>-6.6777561617119841E-3</v>
      </c>
      <c r="AB92" s="5">
        <f t="shared" si="27"/>
        <v>1.880525235474273E-3</v>
      </c>
      <c r="AC92" s="5">
        <f t="shared" si="28"/>
        <v>-2.2271291481183286E-2</v>
      </c>
      <c r="AD92" s="5">
        <f t="shared" si="29"/>
        <v>6.477939089513618E-2</v>
      </c>
      <c r="AE92" s="5">
        <f t="shared" si="30"/>
        <v>0.1383919623440496</v>
      </c>
      <c r="AF92" s="5">
        <f t="shared" si="31"/>
        <v>0.55167075822128142</v>
      </c>
    </row>
    <row r="93" spans="1:32" x14ac:dyDescent="0.25">
      <c r="A93" s="2">
        <v>45371</v>
      </c>
      <c r="B93">
        <v>31160</v>
      </c>
      <c r="C93">
        <v>40533</v>
      </c>
      <c r="D93">
        <v>292958</v>
      </c>
      <c r="F93" s="5">
        <f t="shared" si="16"/>
        <v>0.76875632200922706</v>
      </c>
      <c r="G93" s="5">
        <f t="shared" si="17"/>
        <v>0.19660716685268928</v>
      </c>
      <c r="I93" s="2">
        <v>45371</v>
      </c>
      <c r="J93">
        <v>63247</v>
      </c>
      <c r="K93">
        <v>69098</v>
      </c>
      <c r="M93" s="5">
        <f t="shared" si="18"/>
        <v>0.71736208832039461</v>
      </c>
      <c r="N93" s="5">
        <f t="shared" si="19"/>
        <v>0.27047931151264021</v>
      </c>
      <c r="S93" s="5">
        <f t="shared" si="20"/>
        <v>1.2607712746237398E-2</v>
      </c>
      <c r="T93" s="5">
        <f t="shared" si="21"/>
        <v>1.471045121955028E-2</v>
      </c>
      <c r="U93" s="5">
        <f t="shared" si="22"/>
        <v>1.2376903623081914E-2</v>
      </c>
      <c r="V93" s="5">
        <f t="shared" si="23"/>
        <v>-0.15588772375104609</v>
      </c>
      <c r="W93" s="5">
        <f t="shared" si="24"/>
        <v>-0.29377149979633421</v>
      </c>
      <c r="X93" s="5">
        <f t="shared" si="25"/>
        <v>-0.10423736342322054</v>
      </c>
      <c r="AA93" s="5">
        <f t="shared" si="26"/>
        <v>-2.8332631265543529E-3</v>
      </c>
      <c r="AB93" s="5">
        <f t="shared" si="27"/>
        <v>3.5203647652106984E-3</v>
      </c>
      <c r="AC93" s="5">
        <f t="shared" si="28"/>
        <v>-1.8972268415588855E-2</v>
      </c>
      <c r="AD93" s="5">
        <f t="shared" si="29"/>
        <v>8.859782850923037E-2</v>
      </c>
      <c r="AE93" s="5">
        <f t="shared" si="30"/>
        <v>0.16917545251079658</v>
      </c>
      <c r="AF93" s="5">
        <f t="shared" si="31"/>
        <v>0.57340690536565408</v>
      </c>
    </row>
    <row r="94" spans="1:32" x14ac:dyDescent="0.25">
      <c r="A94" s="2">
        <v>45370</v>
      </c>
      <c r="B94">
        <v>31038</v>
      </c>
      <c r="C94">
        <v>33638</v>
      </c>
      <c r="D94">
        <v>293112</v>
      </c>
      <c r="F94" s="5">
        <f t="shared" si="16"/>
        <v>0.92270646292883052</v>
      </c>
      <c r="G94" s="5">
        <f t="shared" si="17"/>
        <v>0.1807662638210337</v>
      </c>
      <c r="I94" s="2">
        <v>45370</v>
      </c>
      <c r="J94">
        <v>63247</v>
      </c>
      <c r="K94">
        <v>68598</v>
      </c>
      <c r="M94" s="5">
        <f t="shared" si="18"/>
        <v>0.71734627729378464</v>
      </c>
      <c r="N94" s="5">
        <f t="shared" si="19"/>
        <v>0.27037380920969112</v>
      </c>
      <c r="S94" s="5">
        <f t="shared" si="20"/>
        <v>1.2066706531300153E-2</v>
      </c>
      <c r="T94" s="5">
        <f t="shared" si="21"/>
        <v>1.3226816729545288E-2</v>
      </c>
      <c r="U94" s="5">
        <f t="shared" si="22"/>
        <v>1.1691920379382437E-2</v>
      </c>
      <c r="V94" s="5">
        <f t="shared" si="23"/>
        <v>-0.15843488929593619</v>
      </c>
      <c r="W94" s="5">
        <f t="shared" si="24"/>
        <v>-0.28220630038480099</v>
      </c>
      <c r="X94" s="5">
        <f t="shared" si="25"/>
        <v>-9.7732421825721394E-2</v>
      </c>
      <c r="AA94" s="5">
        <f t="shared" si="26"/>
        <v>5.3155896422862892E-4</v>
      </c>
      <c r="AB94" s="5">
        <f t="shared" si="27"/>
        <v>5.1727343337707732E-3</v>
      </c>
      <c r="AC94" s="5">
        <f t="shared" si="28"/>
        <v>-1.5730199179761872E-2</v>
      </c>
      <c r="AD94" s="5">
        <f t="shared" si="29"/>
        <v>0.1167530928493028</v>
      </c>
      <c r="AE94" s="5">
        <f t="shared" si="30"/>
        <v>0.20000104939051433</v>
      </c>
      <c r="AF94" s="5">
        <f t="shared" si="31"/>
        <v>0.59549335509454548</v>
      </c>
    </row>
    <row r="95" spans="1:32" x14ac:dyDescent="0.25">
      <c r="A95" s="2">
        <v>45369</v>
      </c>
      <c r="B95">
        <v>26544</v>
      </c>
      <c r="C95">
        <v>32298</v>
      </c>
      <c r="D95">
        <v>295129</v>
      </c>
      <c r="F95" s="5">
        <f t="shared" si="16"/>
        <v>0.82184655396618989</v>
      </c>
      <c r="G95" s="5">
        <f t="shared" si="17"/>
        <v>0.16623395701907784</v>
      </c>
      <c r="I95" s="2">
        <v>45369</v>
      </c>
      <c r="J95">
        <v>63797</v>
      </c>
      <c r="K95">
        <v>66178</v>
      </c>
      <c r="M95" s="5">
        <f t="shared" si="18"/>
        <v>0.71114629214539871</v>
      </c>
      <c r="N95" s="5">
        <f t="shared" si="19"/>
        <v>0.27001570635303429</v>
      </c>
      <c r="S95" s="5">
        <f t="shared" si="20"/>
        <v>1.188963919776026E-2</v>
      </c>
      <c r="T95" s="5">
        <f t="shared" si="21"/>
        <v>1.2031477966594983E-2</v>
      </c>
      <c r="U95" s="5">
        <f t="shared" si="22"/>
        <v>1.1232067976798155E-2</v>
      </c>
      <c r="V95" s="5">
        <f t="shared" si="23"/>
        <v>-0.16529004839492067</v>
      </c>
      <c r="W95" s="5">
        <f t="shared" si="24"/>
        <v>-0.27327359056501155</v>
      </c>
      <c r="X95" s="5">
        <f t="shared" si="25"/>
        <v>-9.3604549710965657E-2</v>
      </c>
      <c r="AA95" s="5">
        <f t="shared" si="26"/>
        <v>4.9146904952557802E-3</v>
      </c>
      <c r="AB95" s="5">
        <f t="shared" si="27"/>
        <v>7.7276963197256965E-3</v>
      </c>
      <c r="AC95" s="5">
        <f t="shared" si="28"/>
        <v>-1.1613614828709706E-2</v>
      </c>
      <c r="AD95" s="5">
        <f t="shared" si="29"/>
        <v>0.13226139241250168</v>
      </c>
      <c r="AE95" s="5">
        <f t="shared" si="30"/>
        <v>0.21950564914323567</v>
      </c>
      <c r="AF95" s="5">
        <f t="shared" si="31"/>
        <v>0.6067012737373777</v>
      </c>
    </row>
    <row r="96" spans="1:32" x14ac:dyDescent="0.25">
      <c r="A96" s="2">
        <v>45366</v>
      </c>
      <c r="B96">
        <v>25438</v>
      </c>
      <c r="C96">
        <v>30113</v>
      </c>
      <c r="D96">
        <v>294097</v>
      </c>
      <c r="F96" s="5">
        <f t="shared" si="16"/>
        <v>0.84475143625676619</v>
      </c>
      <c r="G96" s="5">
        <f t="shared" si="17"/>
        <v>0.15887692765295383</v>
      </c>
      <c r="I96" s="2">
        <v>45366</v>
      </c>
      <c r="J96">
        <v>63347</v>
      </c>
      <c r="K96">
        <v>66103</v>
      </c>
      <c r="M96" s="5">
        <f t="shared" si="18"/>
        <v>0.71615072536978863</v>
      </c>
      <c r="N96" s="5">
        <f t="shared" si="19"/>
        <v>0.26988654700727388</v>
      </c>
      <c r="S96" s="5">
        <f t="shared" si="20"/>
        <v>1.1896910587427367E-2</v>
      </c>
      <c r="T96" s="5">
        <f t="shared" si="21"/>
        <v>1.0926816327209654E-2</v>
      </c>
      <c r="U96" s="5">
        <f t="shared" si="22"/>
        <v>1.0791916764046894E-2</v>
      </c>
      <c r="V96" s="5">
        <f t="shared" si="23"/>
        <v>-0.1719490193263028</v>
      </c>
      <c r="W96" s="5">
        <f t="shared" si="24"/>
        <v>-0.26275036904439675</v>
      </c>
      <c r="X96" s="5">
        <f t="shared" si="25"/>
        <v>-8.7883642911994464E-2</v>
      </c>
      <c r="AA96" s="5">
        <f t="shared" si="26"/>
        <v>1.0282897067285912E-2</v>
      </c>
      <c r="AB96" s="5">
        <f t="shared" si="27"/>
        <v>1.1149447629448E-2</v>
      </c>
      <c r="AC96" s="5">
        <f t="shared" si="28"/>
        <v>-6.6230680496202621E-3</v>
      </c>
      <c r="AD96" s="5">
        <f t="shared" si="29"/>
        <v>0.15241851000399664</v>
      </c>
      <c r="AE96" s="5">
        <f t="shared" si="30"/>
        <v>0.24414441228381267</v>
      </c>
      <c r="AF96" s="5">
        <f t="shared" si="31"/>
        <v>0.62302834803145968</v>
      </c>
    </row>
    <row r="97" spans="1:32" x14ac:dyDescent="0.25">
      <c r="A97" s="2">
        <v>45365</v>
      </c>
      <c r="B97">
        <v>20361</v>
      </c>
      <c r="C97">
        <v>30438</v>
      </c>
      <c r="D97">
        <v>289989</v>
      </c>
      <c r="F97" s="5">
        <f t="shared" si="16"/>
        <v>0.66893356987975561</v>
      </c>
      <c r="G97" s="5">
        <f t="shared" si="17"/>
        <v>0.1490633473009613</v>
      </c>
      <c r="I97" s="2">
        <v>45365</v>
      </c>
      <c r="J97">
        <v>62472</v>
      </c>
      <c r="K97">
        <v>66103</v>
      </c>
      <c r="M97" s="5">
        <f t="shared" si="18"/>
        <v>0.72616532206428475</v>
      </c>
      <c r="N97" s="5">
        <f t="shared" si="19"/>
        <v>0.27106574230945185</v>
      </c>
      <c r="S97" s="5">
        <f t="shared" si="20"/>
        <v>1.1935750180558036E-2</v>
      </c>
      <c r="T97" s="5">
        <f t="shared" si="21"/>
        <v>9.8953660779814157E-3</v>
      </c>
      <c r="U97" s="5">
        <f t="shared" si="22"/>
        <v>1.0311046179848626E-2</v>
      </c>
      <c r="V97" s="5">
        <f t="shared" si="23"/>
        <v>-0.17993651329256843</v>
      </c>
      <c r="W97" s="5">
        <f t="shared" si="24"/>
        <v>-0.2523895016891482</v>
      </c>
      <c r="X97" s="5">
        <f t="shared" si="25"/>
        <v>-8.216573427706575E-2</v>
      </c>
      <c r="AA97" s="5">
        <f t="shared" si="26"/>
        <v>1.589186879600768E-2</v>
      </c>
      <c r="AB97" s="5">
        <f t="shared" si="27"/>
        <v>1.4859332846525602E-2</v>
      </c>
      <c r="AC97" s="5">
        <f t="shared" si="28"/>
        <v>-1.3510900617377808E-3</v>
      </c>
      <c r="AD97" s="5">
        <f t="shared" si="29"/>
        <v>0.17166421713584856</v>
      </c>
      <c r="AE97" s="5">
        <f t="shared" si="30"/>
        <v>0.26762450898218804</v>
      </c>
      <c r="AF97" s="5">
        <f t="shared" si="31"/>
        <v>0.63829339419016751</v>
      </c>
    </row>
    <row r="98" spans="1:32" x14ac:dyDescent="0.25">
      <c r="A98" s="2">
        <v>45364</v>
      </c>
      <c r="B98">
        <v>54607</v>
      </c>
      <c r="C98">
        <v>43130</v>
      </c>
      <c r="D98">
        <v>293878</v>
      </c>
      <c r="F98" s="5">
        <f t="shared" si="16"/>
        <v>1.2661024808717829</v>
      </c>
      <c r="G98" s="5">
        <f t="shared" si="17"/>
        <v>0.24957419914967507</v>
      </c>
      <c r="I98" s="2">
        <v>45364</v>
      </c>
      <c r="J98">
        <v>60647</v>
      </c>
      <c r="K98">
        <v>65353</v>
      </c>
      <c r="M98" s="5">
        <f t="shared" si="18"/>
        <v>0.74800072550991803</v>
      </c>
      <c r="N98" s="5">
        <f t="shared" si="19"/>
        <v>0.26510106554568891</v>
      </c>
      <c r="S98" s="5">
        <f t="shared" si="20"/>
        <v>1.1165942025936904E-2</v>
      </c>
      <c r="T98" s="5">
        <f t="shared" si="21"/>
        <v>8.3634451322836534E-3</v>
      </c>
      <c r="U98" s="5">
        <f t="shared" si="22"/>
        <v>9.3395333614570974E-3</v>
      </c>
      <c r="V98" s="5">
        <f t="shared" si="23"/>
        <v>-0.18278111395678631</v>
      </c>
      <c r="W98" s="5">
        <f t="shared" si="24"/>
        <v>-0.23849985459323486</v>
      </c>
      <c r="X98" s="5">
        <f t="shared" si="25"/>
        <v>-7.352509655702022E-2</v>
      </c>
      <c r="AA98" s="5">
        <f t="shared" si="26"/>
        <v>2.1900607472824879E-2</v>
      </c>
      <c r="AB98" s="5">
        <f t="shared" si="27"/>
        <v>1.889312479385763E-2</v>
      </c>
      <c r="AC98" s="5">
        <f t="shared" si="28"/>
        <v>4.241258758256039E-3</v>
      </c>
      <c r="AD98" s="5">
        <f t="shared" si="29"/>
        <v>0.19986328517545116</v>
      </c>
      <c r="AE98" s="5">
        <f t="shared" si="30"/>
        <v>0.29995632963313978</v>
      </c>
      <c r="AF98" s="5">
        <f t="shared" si="31"/>
        <v>0.66210652692550498</v>
      </c>
    </row>
    <row r="99" spans="1:32" x14ac:dyDescent="0.25">
      <c r="A99" s="2">
        <v>45363</v>
      </c>
      <c r="B99">
        <v>54607</v>
      </c>
      <c r="C99">
        <v>43705</v>
      </c>
      <c r="D99">
        <v>289607</v>
      </c>
      <c r="F99" s="5">
        <f t="shared" si="16"/>
        <v>1.2494451435762499</v>
      </c>
      <c r="G99" s="5">
        <f t="shared" si="17"/>
        <v>0.25343435098564393</v>
      </c>
      <c r="I99" s="2">
        <v>45363</v>
      </c>
      <c r="J99">
        <v>60547</v>
      </c>
      <c r="K99">
        <v>64603</v>
      </c>
      <c r="M99" s="5">
        <f t="shared" si="18"/>
        <v>0.74921961451434427</v>
      </c>
      <c r="N99" s="5">
        <f t="shared" si="19"/>
        <v>0.2677761006480126</v>
      </c>
      <c r="S99" s="5">
        <f t="shared" si="20"/>
        <v>1.0555376663566318E-2</v>
      </c>
      <c r="T99" s="5">
        <f t="shared" si="21"/>
        <v>7.2402633981956677E-3</v>
      </c>
      <c r="U99" s="5">
        <f t="shared" si="22"/>
        <v>8.582609522484852E-3</v>
      </c>
      <c r="V99" s="5">
        <f t="shared" si="23"/>
        <v>-0.18655325471198092</v>
      </c>
      <c r="W99" s="5">
        <f t="shared" si="24"/>
        <v>-0.22540968367263903</v>
      </c>
      <c r="X99" s="5">
        <f t="shared" si="25"/>
        <v>-6.5481417179561574E-2</v>
      </c>
      <c r="AA99" s="5">
        <f t="shared" si="26"/>
        <v>2.2746798884698244E-2</v>
      </c>
      <c r="AB99" s="5">
        <f t="shared" si="27"/>
        <v>1.7970625645030547E-2</v>
      </c>
      <c r="AC99" s="5">
        <f t="shared" si="28"/>
        <v>4.816747277303024E-3</v>
      </c>
      <c r="AD99" s="5">
        <f t="shared" si="29"/>
        <v>0.19651342471353395</v>
      </c>
      <c r="AE99" s="5">
        <f t="shared" si="30"/>
        <v>0.30151956608984487</v>
      </c>
      <c r="AF99" s="5">
        <f t="shared" si="31"/>
        <v>0.65534238250847809</v>
      </c>
    </row>
    <row r="100" spans="1:32" x14ac:dyDescent="0.25">
      <c r="A100" s="2">
        <v>45362</v>
      </c>
      <c r="B100">
        <v>54857</v>
      </c>
      <c r="C100">
        <v>43965</v>
      </c>
      <c r="D100">
        <v>289219</v>
      </c>
      <c r="F100" s="5">
        <f t="shared" si="16"/>
        <v>1.2477425224610486</v>
      </c>
      <c r="G100" s="5">
        <f t="shared" si="17"/>
        <v>0.25466896539283218</v>
      </c>
      <c r="I100" s="2">
        <v>45362</v>
      </c>
      <c r="J100">
        <v>59797</v>
      </c>
      <c r="K100">
        <v>64603</v>
      </c>
      <c r="M100" s="5">
        <f t="shared" si="18"/>
        <v>0.75859992976236268</v>
      </c>
      <c r="N100" s="5">
        <f t="shared" si="19"/>
        <v>0.2666451982615663</v>
      </c>
      <c r="S100" s="5">
        <f t="shared" si="20"/>
        <v>9.8480570687422553E-3</v>
      </c>
      <c r="T100" s="5">
        <f t="shared" si="21"/>
        <v>5.94232962086505E-3</v>
      </c>
      <c r="U100" s="5">
        <f t="shared" si="22"/>
        <v>7.6177872240599243E-3</v>
      </c>
      <c r="V100" s="5">
        <f t="shared" si="23"/>
        <v>-0.1899858872213096</v>
      </c>
      <c r="W100" s="5">
        <f t="shared" si="24"/>
        <v>-0.21117091770992369</v>
      </c>
      <c r="X100" s="5">
        <f t="shared" si="25"/>
        <v>-5.6456574148268768E-2</v>
      </c>
      <c r="AA100" s="5">
        <f t="shared" si="26"/>
        <v>2.3367526183174669E-2</v>
      </c>
      <c r="AB100" s="5">
        <f t="shared" si="27"/>
        <v>1.6762580664229393E-2</v>
      </c>
      <c r="AC100" s="5">
        <f t="shared" si="28"/>
        <v>5.103419212970306E-3</v>
      </c>
      <c r="AD100" s="5">
        <f t="shared" si="29"/>
        <v>0.18999707993441528</v>
      </c>
      <c r="AE100" s="5">
        <f t="shared" si="30"/>
        <v>0.30188085445277035</v>
      </c>
      <c r="AF100" s="5">
        <f t="shared" si="31"/>
        <v>0.64774771562962363</v>
      </c>
    </row>
    <row r="101" spans="1:32" x14ac:dyDescent="0.25">
      <c r="A101" s="2">
        <v>45359</v>
      </c>
      <c r="B101">
        <v>54722</v>
      </c>
      <c r="C101">
        <v>43995</v>
      </c>
      <c r="D101">
        <v>287330</v>
      </c>
      <c r="F101" s="5">
        <f t="shared" si="16"/>
        <v>1.243823161722923</v>
      </c>
      <c r="G101" s="5">
        <f t="shared" si="17"/>
        <v>0.25571238735179913</v>
      </c>
      <c r="I101" s="2">
        <v>45359</v>
      </c>
      <c r="J101">
        <v>59872</v>
      </c>
      <c r="K101">
        <v>64053</v>
      </c>
      <c r="M101" s="5">
        <f t="shared" si="18"/>
        <v>0.757599545697488</v>
      </c>
      <c r="N101" s="5">
        <f t="shared" si="19"/>
        <v>0.26806279788364101</v>
      </c>
      <c r="S101" s="5">
        <f t="shared" si="20"/>
        <v>9.3541805305846215E-3</v>
      </c>
      <c r="T101" s="5">
        <f t="shared" si="21"/>
        <v>4.7925396147037724E-3</v>
      </c>
      <c r="U101" s="5">
        <f t="shared" si="22"/>
        <v>6.7472904431988834E-3</v>
      </c>
      <c r="V101" s="5">
        <f t="shared" si="23"/>
        <v>-0.19685983319412304</v>
      </c>
      <c r="W101" s="5">
        <f t="shared" si="24"/>
        <v>-0.1975163139847963</v>
      </c>
      <c r="X101" s="5">
        <f t="shared" si="25"/>
        <v>-4.7792155455448349E-2</v>
      </c>
      <c r="AA101" s="5">
        <f t="shared" si="26"/>
        <v>2.3563793115585069E-2</v>
      </c>
      <c r="AB101" s="5">
        <f t="shared" si="27"/>
        <v>1.5331554482788501E-2</v>
      </c>
      <c r="AC101" s="5">
        <f t="shared" si="28"/>
        <v>5.1848951202975446E-3</v>
      </c>
      <c r="AD101" s="5">
        <f t="shared" si="29"/>
        <v>0.1842367083516141</v>
      </c>
      <c r="AE101" s="5">
        <f t="shared" si="30"/>
        <v>0.30428535129438206</v>
      </c>
      <c r="AF101" s="5">
        <f t="shared" si="31"/>
        <v>0.64187006491958676</v>
      </c>
    </row>
    <row r="102" spans="1:32" x14ac:dyDescent="0.25">
      <c r="A102" s="2">
        <v>45358</v>
      </c>
      <c r="B102">
        <v>53702</v>
      </c>
      <c r="C102">
        <v>43805</v>
      </c>
      <c r="D102">
        <v>285313</v>
      </c>
      <c r="F102" s="5">
        <f t="shared" si="16"/>
        <v>1.2259331126583723</v>
      </c>
      <c r="G102" s="5">
        <f t="shared" si="17"/>
        <v>0.25470717308395591</v>
      </c>
      <c r="I102" s="2">
        <v>45358</v>
      </c>
      <c r="J102">
        <v>59470</v>
      </c>
      <c r="K102">
        <v>62228</v>
      </c>
      <c r="M102" s="5">
        <f t="shared" si="18"/>
        <v>0.76270388431141756</v>
      </c>
      <c r="N102" s="5">
        <f t="shared" si="19"/>
        <v>0.26869260088019459</v>
      </c>
      <c r="S102" s="5">
        <f t="shared" si="20"/>
        <v>9.1176119205567674E-3</v>
      </c>
      <c r="T102" s="5">
        <f t="shared" si="21"/>
        <v>3.832116138834718E-3</v>
      </c>
      <c r="U102" s="5">
        <f t="shared" si="22"/>
        <v>6.0049679952405843E-3</v>
      </c>
      <c r="V102" s="5">
        <f t="shared" si="23"/>
        <v>-0.20647828069227026</v>
      </c>
      <c r="W102" s="5">
        <f t="shared" si="24"/>
        <v>-0.18473118984301329</v>
      </c>
      <c r="X102" s="5">
        <f t="shared" si="25"/>
        <v>-3.9603709773648132E-2</v>
      </c>
      <c r="AA102" s="5">
        <f t="shared" si="26"/>
        <v>2.2869339504246911E-2</v>
      </c>
      <c r="AB102" s="5">
        <f t="shared" si="27"/>
        <v>1.323916671856093E-2</v>
      </c>
      <c r="AC102" s="5">
        <f t="shared" si="28"/>
        <v>4.7373683240792275E-3</v>
      </c>
      <c r="AD102" s="5">
        <f t="shared" si="29"/>
        <v>0.18516788874165691</v>
      </c>
      <c r="AE102" s="5">
        <f t="shared" si="30"/>
        <v>0.31046168985375389</v>
      </c>
      <c r="AF102" s="5">
        <f t="shared" si="31"/>
        <v>0.63927135298237525</v>
      </c>
    </row>
    <row r="103" spans="1:32" x14ac:dyDescent="0.25">
      <c r="A103" s="2">
        <v>45357</v>
      </c>
      <c r="B103">
        <v>54206</v>
      </c>
      <c r="C103">
        <v>44520</v>
      </c>
      <c r="D103">
        <v>282480</v>
      </c>
      <c r="F103" s="5">
        <f t="shared" si="16"/>
        <v>1.2175651392632525</v>
      </c>
      <c r="G103" s="5">
        <f t="shared" si="17"/>
        <v>0.25898333184682298</v>
      </c>
      <c r="I103" s="2">
        <v>45357</v>
      </c>
      <c r="J103">
        <v>59320</v>
      </c>
      <c r="K103">
        <v>62278</v>
      </c>
      <c r="M103" s="5">
        <f t="shared" si="18"/>
        <v>0.76461564396493598</v>
      </c>
      <c r="N103" s="5">
        <f t="shared" si="19"/>
        <v>0.27037351772020135</v>
      </c>
      <c r="S103" s="5">
        <f t="shared" si="20"/>
        <v>8.7463057278487355E-3</v>
      </c>
      <c r="T103" s="5">
        <f t="shared" si="21"/>
        <v>2.9063505254170452E-3</v>
      </c>
      <c r="U103" s="5">
        <f t="shared" si="22"/>
        <v>5.2129490440025461E-3</v>
      </c>
      <c r="V103" s="5">
        <f t="shared" si="23"/>
        <v>-0.21504808347751814</v>
      </c>
      <c r="W103" s="5">
        <f t="shared" si="24"/>
        <v>-0.1711197949771277</v>
      </c>
      <c r="X103" s="5">
        <f t="shared" si="25"/>
        <v>-3.0332273050840741E-2</v>
      </c>
      <c r="AA103" s="5">
        <f t="shared" si="26"/>
        <v>2.2394840015931033E-2</v>
      </c>
      <c r="AB103" s="5">
        <f t="shared" si="27"/>
        <v>1.1276648040090959E-2</v>
      </c>
      <c r="AC103" s="5">
        <f t="shared" si="28"/>
        <v>4.4549594571400009E-3</v>
      </c>
      <c r="AD103" s="5">
        <f t="shared" si="29"/>
        <v>0.18413512776769203</v>
      </c>
      <c r="AE103" s="5">
        <f t="shared" si="30"/>
        <v>0.31526802832347445</v>
      </c>
      <c r="AF103" s="5">
        <f t="shared" si="31"/>
        <v>0.63553734687933683</v>
      </c>
    </row>
    <row r="104" spans="1:32" x14ac:dyDescent="0.25">
      <c r="A104" s="2">
        <v>45356</v>
      </c>
      <c r="B104">
        <v>52941</v>
      </c>
      <c r="C104">
        <v>44320</v>
      </c>
      <c r="D104">
        <v>282222</v>
      </c>
      <c r="F104" s="5">
        <f t="shared" si="16"/>
        <v>1.1945171480144405</v>
      </c>
      <c r="G104" s="5">
        <f t="shared" si="17"/>
        <v>0.25629870112758674</v>
      </c>
      <c r="I104" s="2">
        <v>45356</v>
      </c>
      <c r="J104">
        <v>58970</v>
      </c>
      <c r="K104">
        <v>61128</v>
      </c>
      <c r="M104" s="5">
        <f t="shared" si="18"/>
        <v>0.76913684924537906</v>
      </c>
      <c r="N104" s="5">
        <f t="shared" si="19"/>
        <v>0.26989144944482962</v>
      </c>
      <c r="S104" s="5">
        <f t="shared" si="20"/>
        <v>8.1972168059884498E-3</v>
      </c>
      <c r="T104" s="5">
        <f t="shared" si="21"/>
        <v>1.7904518237041311E-3</v>
      </c>
      <c r="U104" s="5">
        <f t="shared" si="22"/>
        <v>4.234180247528474E-3</v>
      </c>
      <c r="V104" s="5">
        <f t="shared" si="23"/>
        <v>-0.22433577891940837</v>
      </c>
      <c r="W104" s="5">
        <f t="shared" si="24"/>
        <v>-0.15686986037553574</v>
      </c>
      <c r="X104" s="5">
        <f t="shared" si="25"/>
        <v>-2.0509748607153377E-2</v>
      </c>
      <c r="AA104" s="5">
        <f t="shared" si="26"/>
        <v>2.1869771797671328E-2</v>
      </c>
      <c r="AB104" s="5">
        <f t="shared" si="27"/>
        <v>9.0651893940982275E-3</v>
      </c>
      <c r="AC104" s="5">
        <f t="shared" si="28"/>
        <v>3.9519240241528142E-3</v>
      </c>
      <c r="AD104" s="5">
        <f t="shared" si="29"/>
        <v>0.18132244959924615</v>
      </c>
      <c r="AE104" s="5">
        <f t="shared" si="30"/>
        <v>0.32048393960194199</v>
      </c>
      <c r="AF104" s="5">
        <f t="shared" si="31"/>
        <v>0.63215897055797443</v>
      </c>
    </row>
    <row r="105" spans="1:32" x14ac:dyDescent="0.25">
      <c r="A105" s="2">
        <v>45355</v>
      </c>
      <c r="B105">
        <v>53041</v>
      </c>
      <c r="C105">
        <v>45301</v>
      </c>
      <c r="D105">
        <v>286353</v>
      </c>
      <c r="F105" s="5">
        <f t="shared" si="16"/>
        <v>1.1708571554711817</v>
      </c>
      <c r="G105" s="5">
        <f t="shared" si="17"/>
        <v>0.25563628328935911</v>
      </c>
      <c r="I105" s="2">
        <v>45355</v>
      </c>
      <c r="J105">
        <v>59695</v>
      </c>
      <c r="K105">
        <v>60928</v>
      </c>
      <c r="M105" s="5">
        <f t="shared" si="18"/>
        <v>0.75977887595275984</v>
      </c>
      <c r="N105" s="5">
        <f t="shared" si="19"/>
        <v>0.26839344614118954</v>
      </c>
      <c r="S105" s="5">
        <f t="shared" si="20"/>
        <v>7.6746580509927109E-3</v>
      </c>
      <c r="T105" s="5">
        <f t="shared" si="21"/>
        <v>6.9552157190733155E-4</v>
      </c>
      <c r="U105" s="5">
        <f t="shared" si="22"/>
        <v>3.290355466040451E-3</v>
      </c>
      <c r="V105" s="5">
        <f t="shared" si="23"/>
        <v>-0.23411285371874391</v>
      </c>
      <c r="W105" s="5">
        <f t="shared" si="24"/>
        <v>-0.14277743898948814</v>
      </c>
      <c r="X105" s="5">
        <f t="shared" si="25"/>
        <v>-1.090353904782948E-2</v>
      </c>
      <c r="AA105" s="5">
        <f t="shared" si="26"/>
        <v>2.1603519106859953E-2</v>
      </c>
      <c r="AB105" s="5">
        <f t="shared" si="27"/>
        <v>6.9085332484117024E-3</v>
      </c>
      <c r="AC105" s="5">
        <f t="shared" si="28"/>
        <v>3.5339543770595283E-3</v>
      </c>
      <c r="AD105" s="5">
        <f t="shared" si="29"/>
        <v>0.17972918007210792</v>
      </c>
      <c r="AE105" s="5">
        <f t="shared" si="30"/>
        <v>0.32838302020790833</v>
      </c>
      <c r="AF105" s="5">
        <f t="shared" si="31"/>
        <v>0.63126386649894628</v>
      </c>
    </row>
    <row r="106" spans="1:32" x14ac:dyDescent="0.25">
      <c r="A106" s="2">
        <v>45352</v>
      </c>
      <c r="B106">
        <v>53716</v>
      </c>
      <c r="C106">
        <v>45771</v>
      </c>
      <c r="D106">
        <v>282907</v>
      </c>
      <c r="F106" s="5">
        <f t="shared" si="16"/>
        <v>1.1735815254200257</v>
      </c>
      <c r="G106" s="5">
        <f t="shared" si="17"/>
        <v>0.26016883110090638</v>
      </c>
      <c r="I106" s="2">
        <v>45352</v>
      </c>
      <c r="J106">
        <v>59442</v>
      </c>
      <c r="K106">
        <v>60578</v>
      </c>
      <c r="M106" s="5">
        <f t="shared" si="18"/>
        <v>0.76296221526866526</v>
      </c>
      <c r="N106" s="5">
        <f t="shared" si="19"/>
        <v>0.27029592392075336</v>
      </c>
      <c r="S106" s="5">
        <f t="shared" si="20"/>
        <v>7.3734833173786929E-3</v>
      </c>
      <c r="T106" s="5">
        <f t="shared" si="21"/>
        <v>-2.0356394943293887E-4</v>
      </c>
      <c r="U106" s="5">
        <f t="shared" si="22"/>
        <v>2.5000106406868894E-3</v>
      </c>
      <c r="V106" s="5">
        <f t="shared" si="23"/>
        <v>-0.24317261677098567</v>
      </c>
      <c r="W106" s="5">
        <f t="shared" si="24"/>
        <v>-0.12824742702294301</v>
      </c>
      <c r="X106" s="5">
        <f t="shared" si="25"/>
        <v>-8.1288525504474851E-4</v>
      </c>
      <c r="AA106" s="5">
        <f t="shared" si="26"/>
        <v>2.1604274058330569E-2</v>
      </c>
      <c r="AB106" s="5">
        <f t="shared" si="27"/>
        <v>4.840738533557376E-3</v>
      </c>
      <c r="AC106" s="5">
        <f t="shared" si="28"/>
        <v>3.1892576609318934E-3</v>
      </c>
      <c r="AD106" s="5">
        <f t="shared" si="29"/>
        <v>0.17764008742272386</v>
      </c>
      <c r="AE106" s="5">
        <f t="shared" si="30"/>
        <v>0.33747584797419783</v>
      </c>
      <c r="AF106" s="5">
        <f t="shared" si="31"/>
        <v>0.63145370110137589</v>
      </c>
    </row>
    <row r="107" spans="1:32" x14ac:dyDescent="0.25">
      <c r="A107" s="2">
        <v>45351</v>
      </c>
      <c r="B107">
        <v>53666</v>
      </c>
      <c r="C107">
        <v>45771</v>
      </c>
      <c r="D107">
        <v>281610</v>
      </c>
      <c r="F107" s="5">
        <f t="shared" si="16"/>
        <v>1.1724891306722598</v>
      </c>
      <c r="G107" s="5">
        <f t="shared" si="17"/>
        <v>0.26095730972819625</v>
      </c>
      <c r="I107" s="2">
        <v>45351</v>
      </c>
      <c r="J107">
        <v>59384</v>
      </c>
      <c r="K107">
        <v>60578</v>
      </c>
      <c r="M107" s="5">
        <f t="shared" si="18"/>
        <v>0.76369055637882255</v>
      </c>
      <c r="N107" s="5">
        <f t="shared" si="19"/>
        <v>0.27109189972692799</v>
      </c>
      <c r="S107" s="5">
        <f t="shared" si="20"/>
        <v>6.9680990176600732E-3</v>
      </c>
      <c r="T107" s="5">
        <f t="shared" si="21"/>
        <v>-1.0704942257753203E-3</v>
      </c>
      <c r="U107" s="5">
        <f t="shared" si="22"/>
        <v>1.626659152986154E-3</v>
      </c>
      <c r="V107" s="5">
        <f t="shared" si="23"/>
        <v>-0.25248557591724519</v>
      </c>
      <c r="W107" s="5">
        <f t="shared" si="24"/>
        <v>-0.11424274536537371</v>
      </c>
      <c r="X107" s="5">
        <f t="shared" si="25"/>
        <v>9.1251606219737713E-3</v>
      </c>
      <c r="AA107" s="5">
        <f t="shared" si="26"/>
        <v>2.1497774515866069E-2</v>
      </c>
      <c r="AB107" s="5">
        <f t="shared" si="27"/>
        <v>2.5980993724685209E-3</v>
      </c>
      <c r="AC107" s="5">
        <f t="shared" si="28"/>
        <v>2.6249832531909656E-3</v>
      </c>
      <c r="AD107" s="5">
        <f t="shared" si="29"/>
        <v>0.17466485465483184</v>
      </c>
      <c r="AE107" s="5">
        <f t="shared" si="30"/>
        <v>0.34719781027233887</v>
      </c>
      <c r="AF107" s="5">
        <f t="shared" si="31"/>
        <v>0.63214585184260152</v>
      </c>
    </row>
    <row r="108" spans="1:32" x14ac:dyDescent="0.25">
      <c r="A108" s="2">
        <v>45350</v>
      </c>
      <c r="B108">
        <v>53271</v>
      </c>
      <c r="C108">
        <v>47221</v>
      </c>
      <c r="D108">
        <v>283709</v>
      </c>
      <c r="F108" s="5">
        <f t="shared" si="16"/>
        <v>1.1281209631308105</v>
      </c>
      <c r="G108" s="5">
        <f t="shared" si="17"/>
        <v>0.26156100582767872</v>
      </c>
      <c r="I108" s="2">
        <v>45350</v>
      </c>
      <c r="J108">
        <v>58459</v>
      </c>
      <c r="K108">
        <v>60003</v>
      </c>
      <c r="M108" s="5">
        <f t="shared" si="18"/>
        <v>0.77575736841204945</v>
      </c>
      <c r="N108" s="5">
        <f t="shared" si="19"/>
        <v>0.26788175000903186</v>
      </c>
      <c r="S108" s="5">
        <f t="shared" si="20"/>
        <v>6.7194151014369208E-3</v>
      </c>
      <c r="T108" s="5">
        <f t="shared" si="21"/>
        <v>-1.7782740443169076E-3</v>
      </c>
      <c r="U108" s="5">
        <f t="shared" si="22"/>
        <v>8.1826788354716351E-4</v>
      </c>
      <c r="V108" s="5">
        <f t="shared" si="23"/>
        <v>-0.26183381321755383</v>
      </c>
      <c r="W108" s="5">
        <f t="shared" si="24"/>
        <v>-0.10063788968416776</v>
      </c>
      <c r="X108" s="5">
        <f t="shared" si="25"/>
        <v>1.9040711847330138E-2</v>
      </c>
      <c r="AA108" s="5">
        <f t="shared" si="26"/>
        <v>2.1006252702709782E-2</v>
      </c>
      <c r="AB108" s="5">
        <f t="shared" si="27"/>
        <v>-1.2426611098159679E-4</v>
      </c>
      <c r="AC108" s="5">
        <f t="shared" si="28"/>
        <v>1.6471224092612646E-3</v>
      </c>
      <c r="AD108" s="5">
        <f t="shared" si="29"/>
        <v>0.15865556926165836</v>
      </c>
      <c r="AE108" s="5">
        <f t="shared" si="30"/>
        <v>0.35115486166773868</v>
      </c>
      <c r="AF108" s="5">
        <f t="shared" si="31"/>
        <v>0.62781586692133118</v>
      </c>
    </row>
    <row r="109" spans="1:32" x14ac:dyDescent="0.25">
      <c r="A109" s="2">
        <v>45349</v>
      </c>
      <c r="B109">
        <v>53446</v>
      </c>
      <c r="C109">
        <v>47501</v>
      </c>
      <c r="D109">
        <v>287829</v>
      </c>
      <c r="F109" s="5">
        <f t="shared" si="16"/>
        <v>1.1251552598892656</v>
      </c>
      <c r="G109" s="5">
        <f t="shared" si="17"/>
        <v>0.25965337366504104</v>
      </c>
      <c r="I109" s="2">
        <v>45349</v>
      </c>
      <c r="J109">
        <v>57634</v>
      </c>
      <c r="K109">
        <v>59453</v>
      </c>
      <c r="M109" s="5">
        <f t="shared" si="18"/>
        <v>0.78684457091300275</v>
      </c>
      <c r="N109" s="5">
        <f t="shared" si="19"/>
        <v>0.26351033233370519</v>
      </c>
      <c r="S109" s="5">
        <f t="shared" si="20"/>
        <v>1.0706396426624964E-2</v>
      </c>
      <c r="T109" s="5">
        <f t="shared" si="21"/>
        <v>-2.4119566452276975E-3</v>
      </c>
      <c r="U109" s="5">
        <f t="shared" si="22"/>
        <v>6.098101669604894E-5</v>
      </c>
      <c r="V109" s="5">
        <f t="shared" si="23"/>
        <v>-0.26185874049431901</v>
      </c>
      <c r="W109" s="5">
        <f t="shared" si="24"/>
        <v>-8.6691671781579549E-2</v>
      </c>
      <c r="X109" s="5">
        <f t="shared" si="25"/>
        <v>2.9328478477871123E-2</v>
      </c>
      <c r="AA109" s="5">
        <f t="shared" si="26"/>
        <v>2.0483467047632792E-2</v>
      </c>
      <c r="AB109" s="5">
        <f t="shared" si="27"/>
        <v>-2.8571756352754885E-3</v>
      </c>
      <c r="AC109" s="5">
        <f t="shared" si="28"/>
        <v>6.4911100661382837E-4</v>
      </c>
      <c r="AD109" s="5">
        <f t="shared" si="29"/>
        <v>0.14475905375141107</v>
      </c>
      <c r="AE109" s="5">
        <f t="shared" si="30"/>
        <v>0.35723664318298964</v>
      </c>
      <c r="AF109" s="5">
        <f t="shared" si="31"/>
        <v>0.6255515914890073</v>
      </c>
    </row>
    <row r="110" spans="1:32" x14ac:dyDescent="0.25">
      <c r="A110" s="2">
        <v>45348</v>
      </c>
      <c r="B110">
        <v>52346</v>
      </c>
      <c r="C110">
        <v>46851</v>
      </c>
      <c r="D110">
        <v>289628</v>
      </c>
      <c r="F110" s="5">
        <f t="shared" si="16"/>
        <v>1.1172867174660093</v>
      </c>
      <c r="G110" s="5">
        <f t="shared" si="17"/>
        <v>0.25511991255706296</v>
      </c>
      <c r="I110" s="2">
        <v>45348</v>
      </c>
      <c r="J110">
        <v>57034</v>
      </c>
      <c r="K110">
        <v>59403</v>
      </c>
      <c r="M110" s="5">
        <f t="shared" si="18"/>
        <v>0.79510467440474109</v>
      </c>
      <c r="N110" s="5">
        <f t="shared" si="19"/>
        <v>0.26117190887987551</v>
      </c>
      <c r="S110" s="5">
        <f t="shared" si="20"/>
        <v>1.1015270194459137E-2</v>
      </c>
      <c r="T110" s="5">
        <f t="shared" si="21"/>
        <v>-2.6169869997595407E-3</v>
      </c>
      <c r="U110" s="5">
        <f t="shared" si="22"/>
        <v>-2.9644640166265335E-4</v>
      </c>
      <c r="V110" s="5">
        <f t="shared" si="23"/>
        <v>-0.27344875371182265</v>
      </c>
      <c r="W110" s="5">
        <f t="shared" si="24"/>
        <v>-7.4364199288010635E-2</v>
      </c>
      <c r="X110" s="5">
        <f t="shared" si="25"/>
        <v>3.8125577837703428E-2</v>
      </c>
      <c r="AA110" s="5">
        <f t="shared" si="26"/>
        <v>1.9872386114010265E-2</v>
      </c>
      <c r="AB110" s="5">
        <f t="shared" si="27"/>
        <v>-5.6506025645181313E-3</v>
      </c>
      <c r="AC110" s="5">
        <f t="shared" si="28"/>
        <v>-3.5906569551380496E-4</v>
      </c>
      <c r="AD110" s="5">
        <f t="shared" si="29"/>
        <v>0.12701128210234591</v>
      </c>
      <c r="AE110" s="5">
        <f t="shared" si="30"/>
        <v>0.36073648347106813</v>
      </c>
      <c r="AF110" s="5">
        <f t="shared" si="31"/>
        <v>0.62110381055440744</v>
      </c>
    </row>
    <row r="111" spans="1:32" x14ac:dyDescent="0.25">
      <c r="A111" s="2">
        <v>45345</v>
      </c>
      <c r="B111">
        <v>52596</v>
      </c>
      <c r="C111">
        <v>45936</v>
      </c>
      <c r="D111">
        <v>289803</v>
      </c>
      <c r="F111" s="5">
        <f t="shared" si="16"/>
        <v>1.1449843260188088</v>
      </c>
      <c r="G111" s="5">
        <f t="shared" si="17"/>
        <v>0.25372938313569471</v>
      </c>
      <c r="I111" s="2">
        <v>45345</v>
      </c>
      <c r="J111">
        <v>57059</v>
      </c>
      <c r="K111">
        <v>56713</v>
      </c>
      <c r="M111" s="5">
        <f t="shared" si="18"/>
        <v>0.79470372772042974</v>
      </c>
      <c r="N111" s="5">
        <f t="shared" si="19"/>
        <v>0.26109681877172003</v>
      </c>
      <c r="S111" s="5">
        <f t="shared" si="20"/>
        <v>1.1536379142285558E-2</v>
      </c>
      <c r="T111" s="5">
        <f t="shared" si="21"/>
        <v>-2.7131883100085519E-3</v>
      </c>
      <c r="U111" s="5">
        <f t="shared" si="22"/>
        <v>-5.0473858127780824E-4</v>
      </c>
      <c r="V111" s="5">
        <f t="shared" si="23"/>
        <v>-0.28591261890342001</v>
      </c>
      <c r="W111" s="5">
        <f t="shared" si="24"/>
        <v>-6.2406504589975875E-2</v>
      </c>
      <c r="X111" s="5">
        <f t="shared" si="25"/>
        <v>4.6218725047515563E-2</v>
      </c>
      <c r="AA111" s="5">
        <f t="shared" si="26"/>
        <v>1.951541558048997E-2</v>
      </c>
      <c r="AB111" s="5">
        <f t="shared" si="27"/>
        <v>-8.1970067366570754E-3</v>
      </c>
      <c r="AC111" s="5">
        <f t="shared" si="28"/>
        <v>-1.1503834366713428E-3</v>
      </c>
      <c r="AD111" s="5">
        <f t="shared" si="29"/>
        <v>0.10956215295084404</v>
      </c>
      <c r="AE111" s="5">
        <f t="shared" si="30"/>
        <v>0.36442583926979488</v>
      </c>
      <c r="AF111" s="5">
        <f t="shared" si="31"/>
        <v>0.61686378771846195</v>
      </c>
    </row>
    <row r="112" spans="1:32" x14ac:dyDescent="0.25">
      <c r="A112" s="2">
        <v>45344</v>
      </c>
      <c r="B112">
        <v>50996</v>
      </c>
      <c r="C112">
        <v>46326</v>
      </c>
      <c r="D112">
        <v>289539</v>
      </c>
      <c r="F112" s="5">
        <f t="shared" si="16"/>
        <v>1.1008073220221906</v>
      </c>
      <c r="G112" s="5">
        <f t="shared" si="17"/>
        <v>0.25156839278190357</v>
      </c>
      <c r="I112" s="2">
        <v>45344</v>
      </c>
      <c r="J112">
        <v>54339</v>
      </c>
      <c r="K112">
        <v>56588</v>
      </c>
      <c r="M112" s="5">
        <f t="shared" si="18"/>
        <v>0.83446511713502269</v>
      </c>
      <c r="N112" s="5">
        <f t="shared" si="19"/>
        <v>0.25610833919973691</v>
      </c>
      <c r="S112" s="5">
        <f t="shared" si="20"/>
        <v>1.2111317946379291E-2</v>
      </c>
      <c r="T112" s="5">
        <f t="shared" si="21"/>
        <v>-2.7996779415248585E-3</v>
      </c>
      <c r="U112" s="5">
        <f t="shared" si="22"/>
        <v>-7.127188816364316E-4</v>
      </c>
      <c r="V112" s="5">
        <f t="shared" si="23"/>
        <v>-0.29730445790844429</v>
      </c>
      <c r="W112" s="5">
        <f t="shared" si="24"/>
        <v>-4.9770517967907102E-2</v>
      </c>
      <c r="X112" s="5">
        <f t="shared" si="25"/>
        <v>5.4928525354773661E-2</v>
      </c>
      <c r="AA112" s="5">
        <f t="shared" si="26"/>
        <v>1.8896128705002319E-2</v>
      </c>
      <c r="AB112" s="5">
        <f t="shared" si="27"/>
        <v>-1.081094075068198E-2</v>
      </c>
      <c r="AC112" s="5">
        <f t="shared" si="28"/>
        <v>-2.0821226483221378E-3</v>
      </c>
      <c r="AD112" s="5">
        <f t="shared" si="29"/>
        <v>9.1584975479033104E-2</v>
      </c>
      <c r="AE112" s="5">
        <f t="shared" si="30"/>
        <v>0.36809985735908446</v>
      </c>
      <c r="AF112" s="5">
        <f t="shared" si="31"/>
        <v>0.61176387217615147</v>
      </c>
    </row>
    <row r="113" spans="1:32" x14ac:dyDescent="0.25">
      <c r="A113" s="2">
        <v>45343</v>
      </c>
      <c r="B113">
        <v>50421</v>
      </c>
      <c r="C113">
        <v>45951</v>
      </c>
      <c r="D113">
        <v>288096</v>
      </c>
      <c r="F113" s="5">
        <f t="shared" si="16"/>
        <v>1.0972775347652934</v>
      </c>
      <c r="G113" s="5">
        <f t="shared" si="17"/>
        <v>0.25066325415899371</v>
      </c>
      <c r="I113" s="2">
        <v>45343</v>
      </c>
      <c r="J113">
        <v>53514</v>
      </c>
      <c r="K113">
        <v>55463</v>
      </c>
      <c r="M113" s="5">
        <f t="shared" si="18"/>
        <v>0.84731098404155925</v>
      </c>
      <c r="N113" s="5">
        <f t="shared" si="19"/>
        <v>0.25547547118125458</v>
      </c>
      <c r="S113" s="5">
        <f t="shared" si="20"/>
        <v>1.2870204734856255E-2</v>
      </c>
      <c r="T113" s="5">
        <f t="shared" si="21"/>
        <v>-2.6860765340284143E-3</v>
      </c>
      <c r="U113" s="5">
        <f t="shared" si="22"/>
        <v>-7.3848074416577036E-4</v>
      </c>
      <c r="V113" s="5">
        <f t="shared" si="23"/>
        <v>-0.30650388722892952</v>
      </c>
      <c r="W113" s="5">
        <f t="shared" si="24"/>
        <v>-3.6421846656359724E-2</v>
      </c>
      <c r="X113" s="5">
        <f t="shared" si="25"/>
        <v>6.4102108008193714E-2</v>
      </c>
      <c r="AA113" s="5">
        <f t="shared" si="26"/>
        <v>1.8726539400613557E-2</v>
      </c>
      <c r="AB113" s="5">
        <f t="shared" si="27"/>
        <v>-1.2870221469757609E-2</v>
      </c>
      <c r="AC113" s="5">
        <f t="shared" si="28"/>
        <v>-2.7067494856620467E-3</v>
      </c>
      <c r="AD113" s="5">
        <f t="shared" si="29"/>
        <v>7.6097815795603485E-2</v>
      </c>
      <c r="AE113" s="5">
        <f t="shared" si="30"/>
        <v>0.37548204507909466</v>
      </c>
      <c r="AF113" s="5">
        <f t="shared" si="31"/>
        <v>0.60892088878174333</v>
      </c>
    </row>
    <row r="114" spans="1:32" x14ac:dyDescent="0.25">
      <c r="A114" s="2">
        <v>45342</v>
      </c>
      <c r="B114">
        <v>50421</v>
      </c>
      <c r="C114">
        <v>45956</v>
      </c>
      <c r="D114">
        <v>288407</v>
      </c>
      <c r="F114" s="5">
        <f t="shared" si="16"/>
        <v>1.0971581512751327</v>
      </c>
      <c r="G114" s="5">
        <f t="shared" si="17"/>
        <v>0.25047039377936714</v>
      </c>
      <c r="I114" s="2">
        <v>45342</v>
      </c>
      <c r="J114">
        <v>53614</v>
      </c>
      <c r="K114">
        <v>55263</v>
      </c>
      <c r="M114" s="5">
        <f t="shared" si="18"/>
        <v>0.84571194091095614</v>
      </c>
      <c r="N114" s="5">
        <f t="shared" si="19"/>
        <v>0.25546064027798215</v>
      </c>
      <c r="S114" s="5">
        <f t="shared" si="20"/>
        <v>1.7592946280337224E-2</v>
      </c>
      <c r="T114" s="5">
        <f t="shared" si="21"/>
        <v>-2.6816549745539708E-3</v>
      </c>
      <c r="U114" s="5">
        <f t="shared" si="22"/>
        <v>-8.8406969884574638E-4</v>
      </c>
      <c r="V114" s="5">
        <f t="shared" si="23"/>
        <v>-0.30964601682348858</v>
      </c>
      <c r="W114" s="5">
        <f t="shared" si="24"/>
        <v>-2.2428513598412247E-2</v>
      </c>
      <c r="X114" s="5">
        <f t="shared" si="25"/>
        <v>7.3800529826476224E-2</v>
      </c>
      <c r="AA114" s="5">
        <f t="shared" si="26"/>
        <v>1.8642009469845483E-2</v>
      </c>
      <c r="AB114" s="5">
        <f t="shared" si="27"/>
        <v>-1.4966066852114879E-2</v>
      </c>
      <c r="AC114" s="5">
        <f t="shared" si="28"/>
        <v>-3.3456002550833475E-3</v>
      </c>
      <c r="AD114" s="5">
        <f t="shared" si="29"/>
        <v>5.937225940476365E-2</v>
      </c>
      <c r="AE114" s="5">
        <f t="shared" si="30"/>
        <v>0.38242283417958034</v>
      </c>
      <c r="AF114" s="5">
        <f t="shared" si="31"/>
        <v>0.60562526210369816</v>
      </c>
    </row>
    <row r="115" spans="1:32" x14ac:dyDescent="0.25">
      <c r="A115" s="2">
        <v>45341</v>
      </c>
      <c r="B115">
        <v>50006</v>
      </c>
      <c r="C115">
        <v>48330</v>
      </c>
      <c r="D115">
        <v>290705</v>
      </c>
      <c r="F115" s="5">
        <f t="shared" si="16"/>
        <v>1.0346782536726671</v>
      </c>
      <c r="G115" s="5">
        <f t="shared" si="17"/>
        <v>0.2527651327238003</v>
      </c>
      <c r="I115" s="2">
        <v>45341</v>
      </c>
      <c r="J115">
        <v>56414</v>
      </c>
      <c r="K115">
        <v>55263</v>
      </c>
      <c r="M115" s="5">
        <f t="shared" si="18"/>
        <v>0.80371893501613079</v>
      </c>
      <c r="N115" s="5">
        <f t="shared" si="19"/>
        <v>0.25927483055598022</v>
      </c>
      <c r="S115" s="5">
        <f t="shared" si="20"/>
        <v>1.7930772333840411E-2</v>
      </c>
      <c r="T115" s="5">
        <f t="shared" si="21"/>
        <v>-2.8079466359306471E-3</v>
      </c>
      <c r="U115" s="5">
        <f t="shared" si="22"/>
        <v>-1.1485911581459729E-3</v>
      </c>
      <c r="V115" s="5">
        <f t="shared" si="23"/>
        <v>-0.31650583796646869</v>
      </c>
      <c r="W115" s="5">
        <f t="shared" si="24"/>
        <v>-7.2062632741486388E-3</v>
      </c>
      <c r="X115" s="5">
        <f t="shared" si="25"/>
        <v>8.4566054479395025E-2</v>
      </c>
      <c r="AA115" s="5">
        <f t="shared" si="26"/>
        <v>1.939561785111199E-2</v>
      </c>
      <c r="AB115" s="5">
        <f t="shared" si="27"/>
        <v>-1.6502975530134245E-2</v>
      </c>
      <c r="AC115" s="5">
        <f t="shared" si="28"/>
        <v>-3.4155563847915738E-3</v>
      </c>
      <c r="AD115" s="5">
        <f t="shared" si="29"/>
        <v>3.3955994777657983E-2</v>
      </c>
      <c r="AE115" s="5">
        <f t="shared" si="30"/>
        <v>0.38340269667692528</v>
      </c>
      <c r="AF115" s="5">
        <f t="shared" si="31"/>
        <v>0.59743084433303117</v>
      </c>
    </row>
    <row r="116" spans="1:32" x14ac:dyDescent="0.25">
      <c r="A116" s="2">
        <v>45338</v>
      </c>
      <c r="B116">
        <v>50106</v>
      </c>
      <c r="C116">
        <v>48280</v>
      </c>
      <c r="D116">
        <v>286053</v>
      </c>
      <c r="F116" s="5">
        <f t="shared" si="16"/>
        <v>1.037821043910522</v>
      </c>
      <c r="G116" s="5">
        <f t="shared" si="17"/>
        <v>0.25592096535471165</v>
      </c>
      <c r="I116" s="2">
        <v>45338</v>
      </c>
      <c r="J116">
        <v>54839</v>
      </c>
      <c r="K116">
        <v>54413</v>
      </c>
      <c r="M116" s="5">
        <f t="shared" si="18"/>
        <v>0.82674738780794688</v>
      </c>
      <c r="N116" s="5">
        <f t="shared" si="19"/>
        <v>0.25937135903477204</v>
      </c>
      <c r="S116" s="5">
        <f t="shared" si="20"/>
        <v>1.8129610035466898E-2</v>
      </c>
      <c r="T116" s="5">
        <f t="shared" si="21"/>
        <v>-3.1136977467710047E-3</v>
      </c>
      <c r="U116" s="5">
        <f t="shared" si="22"/>
        <v>-1.5868226351738457E-3</v>
      </c>
      <c r="V116" s="5">
        <f t="shared" si="23"/>
        <v>-0.32064605021792636</v>
      </c>
      <c r="W116" s="5">
        <f t="shared" si="24"/>
        <v>1.0380028152215726E-2</v>
      </c>
      <c r="X116" s="5">
        <f t="shared" si="25"/>
        <v>9.7699354521394444E-2</v>
      </c>
      <c r="AA116" s="5">
        <f t="shared" si="26"/>
        <v>2.0262396058563531E-2</v>
      </c>
      <c r="AB116" s="5">
        <f t="shared" si="27"/>
        <v>-1.8252510765035146E-2</v>
      </c>
      <c r="AC116" s="5">
        <f t="shared" si="28"/>
        <v>-3.6251690786514301E-3</v>
      </c>
      <c r="AD116" s="5">
        <f t="shared" si="29"/>
        <v>1.2349563145901743E-2</v>
      </c>
      <c r="AE116" s="5">
        <f t="shared" si="30"/>
        <v>0.3865282084194871</v>
      </c>
      <c r="AF116" s="5">
        <f t="shared" si="31"/>
        <v>0.59147505514904108</v>
      </c>
    </row>
    <row r="117" spans="1:32" x14ac:dyDescent="0.25">
      <c r="A117" s="2">
        <v>45337</v>
      </c>
      <c r="B117">
        <v>49731</v>
      </c>
      <c r="C117">
        <v>48005</v>
      </c>
      <c r="D117">
        <v>285842</v>
      </c>
      <c r="F117" s="5">
        <f t="shared" si="16"/>
        <v>1.0359545880637433</v>
      </c>
      <c r="G117" s="5">
        <f t="shared" si="17"/>
        <v>0.25480084884951693</v>
      </c>
      <c r="I117" s="2">
        <v>45337</v>
      </c>
      <c r="J117">
        <v>54589</v>
      </c>
      <c r="K117">
        <v>54288</v>
      </c>
      <c r="M117" s="5">
        <f t="shared" si="18"/>
        <v>0.83051530528128381</v>
      </c>
      <c r="N117" s="5">
        <f t="shared" si="19"/>
        <v>0.25903133489558489</v>
      </c>
      <c r="S117" s="5">
        <f t="shared" si="20"/>
        <v>1.8176562195328122E-2</v>
      </c>
      <c r="T117" s="5">
        <f t="shared" si="21"/>
        <v>-3.6598284906875223E-3</v>
      </c>
      <c r="U117" s="5">
        <f t="shared" si="22"/>
        <v>-2.2153503185842194E-3</v>
      </c>
      <c r="V117" s="5">
        <f t="shared" si="23"/>
        <v>-0.32105556157485693</v>
      </c>
      <c r="W117" s="5">
        <f t="shared" si="24"/>
        <v>2.9973484085910274E-2</v>
      </c>
      <c r="X117" s="5">
        <f t="shared" si="25"/>
        <v>0.11246212125688748</v>
      </c>
      <c r="AA117" s="5">
        <f t="shared" si="26"/>
        <v>2.1469213490231176E-2</v>
      </c>
      <c r="AB117" s="5">
        <f t="shared" si="27"/>
        <v>-2.0075714991069138E-2</v>
      </c>
      <c r="AC117" s="5">
        <f t="shared" si="28"/>
        <v>-3.9602494890552675E-3</v>
      </c>
      <c r="AD117" s="5">
        <f t="shared" si="29"/>
        <v>-8.8145366437092365E-3</v>
      </c>
      <c r="AE117" s="5">
        <f t="shared" si="30"/>
        <v>0.39081811827015567</v>
      </c>
      <c r="AF117" s="5">
        <f t="shared" si="31"/>
        <v>0.58571229377066125</v>
      </c>
    </row>
    <row r="118" spans="1:32" x14ac:dyDescent="0.25">
      <c r="A118" s="2">
        <v>45336</v>
      </c>
      <c r="B118">
        <v>49221</v>
      </c>
      <c r="C118">
        <v>47280</v>
      </c>
      <c r="D118">
        <v>286484</v>
      </c>
      <c r="F118" s="5">
        <f t="shared" si="16"/>
        <v>1.0410532994923858</v>
      </c>
      <c r="G118" s="5">
        <f t="shared" si="17"/>
        <v>0.25197070381346526</v>
      </c>
      <c r="I118" s="2">
        <v>45336</v>
      </c>
      <c r="J118">
        <v>50889</v>
      </c>
      <c r="K118">
        <v>51478</v>
      </c>
      <c r="M118" s="5">
        <f t="shared" si="18"/>
        <v>0.89088015091670103</v>
      </c>
      <c r="N118" s="5">
        <f t="shared" si="19"/>
        <v>0.2514312441045285</v>
      </c>
      <c r="S118" s="5">
        <f t="shared" si="20"/>
        <v>1.803274388908499E-2</v>
      </c>
      <c r="T118" s="5">
        <f t="shared" si="21"/>
        <v>-4.245607441184851E-3</v>
      </c>
      <c r="U118" s="5">
        <f t="shared" si="22"/>
        <v>-2.8857359636071944E-3</v>
      </c>
      <c r="V118" s="5">
        <f t="shared" si="23"/>
        <v>-0.31849101644092215</v>
      </c>
      <c r="W118" s="5">
        <f t="shared" si="24"/>
        <v>5.1360770733627104E-2</v>
      </c>
      <c r="X118" s="5">
        <f t="shared" si="25"/>
        <v>0.12871150423188005</v>
      </c>
      <c r="AA118" s="5">
        <f t="shared" si="26"/>
        <v>2.2635549011161493E-2</v>
      </c>
      <c r="AB118" s="5">
        <f t="shared" si="27"/>
        <v>-2.181729593268017E-2</v>
      </c>
      <c r="AC118" s="5">
        <f t="shared" si="28"/>
        <v>-4.2370021658225399E-3</v>
      </c>
      <c r="AD118" s="5">
        <f t="shared" si="29"/>
        <v>-3.1339340067117472E-2</v>
      </c>
      <c r="AE118" s="5">
        <f t="shared" si="30"/>
        <v>0.39475057153844162</v>
      </c>
      <c r="AF118" s="5">
        <f t="shared" si="31"/>
        <v>0.57961607111463787</v>
      </c>
    </row>
    <row r="119" spans="1:32" x14ac:dyDescent="0.25">
      <c r="A119" s="2">
        <v>45335</v>
      </c>
      <c r="B119">
        <v>47346</v>
      </c>
      <c r="C119">
        <v>47180</v>
      </c>
      <c r="D119">
        <v>287140</v>
      </c>
      <c r="F119" s="5">
        <f t="shared" si="16"/>
        <v>1.0035184400169563</v>
      </c>
      <c r="G119" s="5">
        <f t="shared" si="17"/>
        <v>0.24766680815162995</v>
      </c>
      <c r="I119" s="2">
        <v>45335</v>
      </c>
      <c r="J119">
        <v>50389</v>
      </c>
      <c r="K119">
        <v>50903</v>
      </c>
      <c r="M119" s="5">
        <f t="shared" si="18"/>
        <v>0.89970033142154038</v>
      </c>
      <c r="N119" s="5">
        <f t="shared" si="19"/>
        <v>0.25002089514814663</v>
      </c>
      <c r="S119" s="5">
        <f t="shared" si="20"/>
        <v>1.8266240616538615E-2</v>
      </c>
      <c r="T119" s="5">
        <f t="shared" si="21"/>
        <v>-4.4124483007381143E-3</v>
      </c>
      <c r="U119" s="5">
        <f t="shared" si="22"/>
        <v>-3.1527805041138279E-3</v>
      </c>
      <c r="V119" s="5">
        <f t="shared" si="23"/>
        <v>-0.32351344982936436</v>
      </c>
      <c r="W119" s="5">
        <f t="shared" si="24"/>
        <v>7.0024617380931908E-2</v>
      </c>
      <c r="X119" s="5">
        <f t="shared" si="25"/>
        <v>0.14224023791813933</v>
      </c>
      <c r="AA119" s="5">
        <f t="shared" si="26"/>
        <v>2.3246324599994955E-2</v>
      </c>
      <c r="AB119" s="5">
        <f t="shared" si="27"/>
        <v>-2.3705529936505515E-2</v>
      </c>
      <c r="AC119" s="5">
        <f t="shared" si="28"/>
        <v>-4.5969718676215077E-3</v>
      </c>
      <c r="AD119" s="5">
        <f t="shared" si="29"/>
        <v>-5.4970529734575058E-2</v>
      </c>
      <c r="AE119" s="5">
        <f t="shared" si="30"/>
        <v>0.39831968830060271</v>
      </c>
      <c r="AF119" s="5">
        <f t="shared" si="31"/>
        <v>0.57309546890341267</v>
      </c>
    </row>
    <row r="120" spans="1:32" x14ac:dyDescent="0.25">
      <c r="A120" s="2">
        <v>45334</v>
      </c>
      <c r="B120">
        <v>45986</v>
      </c>
      <c r="C120">
        <v>47280</v>
      </c>
      <c r="D120">
        <v>286130</v>
      </c>
      <c r="F120" s="5">
        <f t="shared" si="16"/>
        <v>0.97263113367174281</v>
      </c>
      <c r="G120" s="5">
        <f t="shared" si="17"/>
        <v>0.24582757857225696</v>
      </c>
      <c r="I120" s="2">
        <v>45334</v>
      </c>
      <c r="J120">
        <v>49387</v>
      </c>
      <c r="K120">
        <v>50778</v>
      </c>
      <c r="M120" s="5">
        <f t="shared" si="18"/>
        <v>0.91793386923684372</v>
      </c>
      <c r="N120" s="5">
        <f t="shared" si="19"/>
        <v>0.2487088126327619</v>
      </c>
      <c r="S120" s="5">
        <f t="shared" si="20"/>
        <v>1.8378431895888669E-2</v>
      </c>
      <c r="T120" s="5">
        <f t="shared" si="21"/>
        <v>-4.5460235074208377E-3</v>
      </c>
      <c r="U120" s="5">
        <f t="shared" si="22"/>
        <v>-3.3605559684822262E-3</v>
      </c>
      <c r="V120" s="5">
        <f t="shared" si="23"/>
        <v>-0.32741880110626465</v>
      </c>
      <c r="W120" s="5">
        <f t="shared" si="24"/>
        <v>8.9280096623415517E-2</v>
      </c>
      <c r="X120" s="5">
        <f t="shared" si="25"/>
        <v>0.15617283861331366</v>
      </c>
      <c r="AA120" s="5">
        <f t="shared" si="26"/>
        <v>2.4257512173018136E-2</v>
      </c>
      <c r="AB120" s="5">
        <f t="shared" si="27"/>
        <v>-2.5454358572437635E-2</v>
      </c>
      <c r="AC120" s="5">
        <f t="shared" si="28"/>
        <v>-4.7908264345190854E-3</v>
      </c>
      <c r="AD120" s="5">
        <f t="shared" si="29"/>
        <v>-8.2278712386551267E-2</v>
      </c>
      <c r="AE120" s="5">
        <f t="shared" si="30"/>
        <v>0.40307006036247106</v>
      </c>
      <c r="AF120" s="5">
        <f t="shared" si="31"/>
        <v>0.5680501602900434</v>
      </c>
    </row>
    <row r="121" spans="1:32" x14ac:dyDescent="0.25">
      <c r="A121" s="2">
        <v>45331</v>
      </c>
      <c r="B121">
        <v>45836</v>
      </c>
      <c r="C121">
        <v>45755</v>
      </c>
      <c r="D121">
        <v>284512</v>
      </c>
      <c r="F121" s="5">
        <f t="shared" si="16"/>
        <v>1.0017702983280516</v>
      </c>
      <c r="G121" s="5">
        <f t="shared" si="17"/>
        <v>0.24352637442402747</v>
      </c>
      <c r="I121" s="2">
        <v>45331</v>
      </c>
      <c r="J121">
        <v>49307</v>
      </c>
      <c r="K121">
        <v>49728</v>
      </c>
      <c r="M121" s="5">
        <f t="shared" si="18"/>
        <v>0.91936236234206092</v>
      </c>
      <c r="N121" s="5">
        <f t="shared" si="19"/>
        <v>0.24960569695371226</v>
      </c>
      <c r="S121" s="5">
        <f t="shared" si="20"/>
        <v>1.8533162815250304E-2</v>
      </c>
      <c r="T121" s="5">
        <f t="shared" si="21"/>
        <v>-4.809203304729448E-3</v>
      </c>
      <c r="U121" s="5">
        <f t="shared" si="22"/>
        <v>-3.6812058241462164E-3</v>
      </c>
      <c r="V121" s="5">
        <f t="shared" si="23"/>
        <v>-0.33214325993120819</v>
      </c>
      <c r="W121" s="5">
        <f t="shared" si="24"/>
        <v>0.10917218195784972</v>
      </c>
      <c r="X121" s="5">
        <f t="shared" si="25"/>
        <v>0.17079718955790568</v>
      </c>
      <c r="AA121" s="5">
        <f t="shared" si="26"/>
        <v>2.5856648655961961E-2</v>
      </c>
      <c r="AB121" s="5">
        <f t="shared" si="27"/>
        <v>-2.7334478265680917E-2</v>
      </c>
      <c r="AC121" s="5">
        <f t="shared" si="28"/>
        <v>-5.0572818956768628E-3</v>
      </c>
      <c r="AD121" s="5">
        <f t="shared" si="29"/>
        <v>-0.1043995699994047</v>
      </c>
      <c r="AE121" s="5">
        <f t="shared" si="30"/>
        <v>0.41069116050547427</v>
      </c>
      <c r="AF121" s="5">
        <f t="shared" si="31"/>
        <v>0.56562785631770152</v>
      </c>
    </row>
    <row r="122" spans="1:32" x14ac:dyDescent="0.25">
      <c r="A122" s="2">
        <v>45330</v>
      </c>
      <c r="B122">
        <v>44271</v>
      </c>
      <c r="C122">
        <v>41955</v>
      </c>
      <c r="D122">
        <v>280639</v>
      </c>
      <c r="F122" s="5">
        <f t="shared" si="16"/>
        <v>1.0552020021451556</v>
      </c>
      <c r="G122" s="5">
        <f t="shared" si="17"/>
        <v>0.23503468578359887</v>
      </c>
      <c r="I122" s="2">
        <v>45330</v>
      </c>
      <c r="J122">
        <v>49807</v>
      </c>
      <c r="K122">
        <v>49728</v>
      </c>
      <c r="M122" s="5">
        <f t="shared" si="18"/>
        <v>0.91011303632019591</v>
      </c>
      <c r="N122" s="5">
        <f t="shared" si="19"/>
        <v>0.25317476368900621</v>
      </c>
      <c r="S122" s="5">
        <f t="shared" si="20"/>
        <v>1.8899784408549003E-2</v>
      </c>
      <c r="T122" s="5">
        <f t="shared" si="21"/>
        <v>-5.2235222688918337E-3</v>
      </c>
      <c r="U122" s="5">
        <f t="shared" si="22"/>
        <v>-4.1452945237355765E-3</v>
      </c>
      <c r="V122" s="5">
        <f t="shared" si="23"/>
        <v>-0.33662799412499345</v>
      </c>
      <c r="W122" s="5">
        <f t="shared" si="24"/>
        <v>0.13332438535945468</v>
      </c>
      <c r="X122" s="5">
        <f t="shared" si="25"/>
        <v>0.18897755350091194</v>
      </c>
      <c r="AA122" s="5">
        <f t="shared" si="26"/>
        <v>2.8935741271254728E-2</v>
      </c>
      <c r="AB122" s="5">
        <f t="shared" si="27"/>
        <v>-2.8910362194345979E-2</v>
      </c>
      <c r="AC122" s="5">
        <f t="shared" si="28"/>
        <v>-5.0348232724446162E-3</v>
      </c>
      <c r="AD122" s="5">
        <f t="shared" si="29"/>
        <v>-0.13511447920575059</v>
      </c>
      <c r="AE122" s="5">
        <f t="shared" si="30"/>
        <v>0.41981196979579394</v>
      </c>
      <c r="AF122" s="5">
        <f t="shared" si="31"/>
        <v>0.56410951579737401</v>
      </c>
    </row>
    <row r="123" spans="1:32" x14ac:dyDescent="0.25">
      <c r="A123" s="2">
        <v>45329</v>
      </c>
      <c r="B123">
        <v>43446</v>
      </c>
      <c r="C123">
        <v>42555</v>
      </c>
      <c r="D123">
        <v>277076</v>
      </c>
      <c r="F123" s="5">
        <f t="shared" si="16"/>
        <v>1.0209376101515686</v>
      </c>
      <c r="G123" s="5">
        <f t="shared" si="17"/>
        <v>0.23686711083323922</v>
      </c>
      <c r="I123" s="2">
        <v>45329</v>
      </c>
      <c r="J123">
        <v>48557</v>
      </c>
      <c r="K123">
        <v>47515</v>
      </c>
      <c r="M123" s="5">
        <f t="shared" si="18"/>
        <v>0.93352142842432606</v>
      </c>
      <c r="N123" s="5">
        <f t="shared" si="19"/>
        <v>0.25308791736080782</v>
      </c>
      <c r="S123" s="5">
        <f t="shared" si="20"/>
        <v>1.4353746641089127E-2</v>
      </c>
      <c r="T123" s="5">
        <f t="shared" si="21"/>
        <v>-5.7805766870265285E-3</v>
      </c>
      <c r="U123" s="5">
        <f t="shared" si="22"/>
        <v>-4.7704534300609946E-3</v>
      </c>
      <c r="V123" s="5">
        <f t="shared" si="23"/>
        <v>-0.28163930072617505</v>
      </c>
      <c r="W123" s="5">
        <f t="shared" si="24"/>
        <v>0.16035152913625561</v>
      </c>
      <c r="X123" s="5">
        <f t="shared" si="25"/>
        <v>0.20988505783306488</v>
      </c>
      <c r="AA123" s="5">
        <f t="shared" si="26"/>
        <v>2.3891403757268476E-2</v>
      </c>
      <c r="AB123" s="5">
        <f t="shared" si="27"/>
        <v>-3.0066948335689903E-2</v>
      </c>
      <c r="AC123" s="5">
        <f t="shared" si="28"/>
        <v>-4.5744132086466827E-3</v>
      </c>
      <c r="AD123" s="5">
        <f t="shared" si="29"/>
        <v>-0.11807462824435488</v>
      </c>
      <c r="AE123" s="5">
        <f t="shared" si="30"/>
        <v>0.42444140062748609</v>
      </c>
      <c r="AF123" s="5">
        <f t="shared" si="31"/>
        <v>0.55836744210341704</v>
      </c>
    </row>
    <row r="124" spans="1:32" x14ac:dyDescent="0.25">
      <c r="A124" s="2">
        <v>45328</v>
      </c>
      <c r="B124">
        <v>43446</v>
      </c>
      <c r="C124">
        <v>42555</v>
      </c>
      <c r="D124">
        <v>278078</v>
      </c>
      <c r="F124" s="5">
        <f t="shared" si="16"/>
        <v>1.0209376101515686</v>
      </c>
      <c r="G124" s="5">
        <f t="shared" si="17"/>
        <v>0.23621521702707379</v>
      </c>
      <c r="I124" s="2">
        <v>45328</v>
      </c>
      <c r="J124">
        <v>47957</v>
      </c>
      <c r="K124">
        <v>47515</v>
      </c>
      <c r="M124" s="5">
        <f t="shared" si="18"/>
        <v>0.94518005713451636</v>
      </c>
      <c r="N124" s="5">
        <f t="shared" si="19"/>
        <v>0.25119626887977531</v>
      </c>
      <c r="S124" s="5">
        <f t="shared" si="20"/>
        <v>1.0110599135503551E-2</v>
      </c>
      <c r="T124" s="5">
        <f t="shared" si="21"/>
        <v>-6.2354475301014123E-3</v>
      </c>
      <c r="U124" s="5">
        <f t="shared" si="22"/>
        <v>-5.2831961875835498E-3</v>
      </c>
      <c r="V124" s="5">
        <f t="shared" si="23"/>
        <v>-0.22572285853205765</v>
      </c>
      <c r="W124" s="5">
        <f t="shared" si="24"/>
        <v>0.18771221777145786</v>
      </c>
      <c r="X124" s="5">
        <f t="shared" si="25"/>
        <v>0.23082299703688325</v>
      </c>
      <c r="AA124" s="5">
        <f t="shared" si="26"/>
        <v>1.8917055654760789E-2</v>
      </c>
      <c r="AB124" s="5">
        <f t="shared" si="27"/>
        <v>-3.1339002741325644E-2</v>
      </c>
      <c r="AC124" s="5">
        <f t="shared" si="28"/>
        <v>-4.1861719567087285E-3</v>
      </c>
      <c r="AD124" s="5">
        <f t="shared" si="29"/>
        <v>-9.9820186056013394E-2</v>
      </c>
      <c r="AE124" s="5">
        <f t="shared" si="30"/>
        <v>0.43009768379146002</v>
      </c>
      <c r="AF124" s="5">
        <f t="shared" si="31"/>
        <v>0.5537038074166617</v>
      </c>
    </row>
    <row r="125" spans="1:32" x14ac:dyDescent="0.25">
      <c r="A125" s="2">
        <v>45327</v>
      </c>
      <c r="B125">
        <v>43696</v>
      </c>
      <c r="C125">
        <v>41831</v>
      </c>
      <c r="D125">
        <v>277917</v>
      </c>
      <c r="F125" s="5">
        <f t="shared" si="16"/>
        <v>1.0445841600726733</v>
      </c>
      <c r="G125" s="5">
        <f t="shared" si="17"/>
        <v>0.23532373625647968</v>
      </c>
      <c r="I125" s="2">
        <v>45327</v>
      </c>
      <c r="J125">
        <v>47957</v>
      </c>
      <c r="K125">
        <v>47515</v>
      </c>
      <c r="M125" s="5">
        <f t="shared" si="18"/>
        <v>0.94515920512125451</v>
      </c>
      <c r="N125" s="5">
        <f t="shared" si="19"/>
        <v>0.25130320230818343</v>
      </c>
      <c r="S125" s="5">
        <f t="shared" si="20"/>
        <v>6.0397493253888102E-3</v>
      </c>
      <c r="T125" s="5">
        <f t="shared" si="21"/>
        <v>-6.728402083318763E-3</v>
      </c>
      <c r="U125" s="5">
        <f t="shared" si="22"/>
        <v>-5.7927932923353409E-3</v>
      </c>
      <c r="V125" s="5">
        <f t="shared" si="23"/>
        <v>-0.16670244076803087</v>
      </c>
      <c r="W125" s="5">
        <f t="shared" si="24"/>
        <v>0.21685897753097594</v>
      </c>
      <c r="X125" s="5">
        <f t="shared" si="25"/>
        <v>0.25319151305398557</v>
      </c>
      <c r="AA125" s="5">
        <f t="shared" si="26"/>
        <v>1.3785851070001465E-2</v>
      </c>
      <c r="AB125" s="5">
        <f t="shared" si="27"/>
        <v>-3.2916240459670149E-2</v>
      </c>
      <c r="AC125" s="5">
        <f t="shared" si="28"/>
        <v>-3.9987180946546297E-3</v>
      </c>
      <c r="AD125" s="5">
        <f t="shared" si="29"/>
        <v>-7.7202587837387426E-2</v>
      </c>
      <c r="AE125" s="5">
        <f t="shared" si="30"/>
        <v>0.4387513461266197</v>
      </c>
      <c r="AF125" s="5">
        <f t="shared" si="31"/>
        <v>0.5513738650798462</v>
      </c>
    </row>
    <row r="126" spans="1:32" x14ac:dyDescent="0.25">
      <c r="A126" s="2">
        <v>45324</v>
      </c>
      <c r="B126">
        <v>43446</v>
      </c>
      <c r="C126">
        <v>41581</v>
      </c>
      <c r="D126">
        <v>275630</v>
      </c>
      <c r="F126" s="5">
        <f t="shared" si="16"/>
        <v>1.0448522161564175</v>
      </c>
      <c r="G126" s="5">
        <f t="shared" si="17"/>
        <v>0.23575585667268345</v>
      </c>
      <c r="I126" s="2">
        <v>45324</v>
      </c>
      <c r="J126">
        <v>47957</v>
      </c>
      <c r="K126">
        <v>48715</v>
      </c>
      <c r="M126" s="5">
        <f t="shared" si="18"/>
        <v>0.94509664908146884</v>
      </c>
      <c r="N126" s="5">
        <f t="shared" si="19"/>
        <v>0.25285502465364273</v>
      </c>
      <c r="S126" s="5">
        <f t="shared" si="20"/>
        <v>2.3091164169654899E-3</v>
      </c>
      <c r="T126" s="5">
        <f t="shared" si="21"/>
        <v>-7.2180451037201498E-3</v>
      </c>
      <c r="U126" s="5">
        <f t="shared" si="22"/>
        <v>-6.3036143086477869E-3</v>
      </c>
      <c r="V126" s="5">
        <f t="shared" si="23"/>
        <v>-0.10734276158951817</v>
      </c>
      <c r="W126" s="5">
        <f t="shared" si="24"/>
        <v>0.24660482679472118</v>
      </c>
      <c r="X126" s="5">
        <f t="shared" si="25"/>
        <v>0.27581651375333271</v>
      </c>
      <c r="AA126" s="5">
        <f t="shared" si="26"/>
        <v>8.5199870971364167E-3</v>
      </c>
      <c r="AB126" s="5">
        <f t="shared" si="27"/>
        <v>-3.4713856794111458E-2</v>
      </c>
      <c r="AC126" s="5">
        <f t="shared" si="28"/>
        <v>-3.9949201792479627E-3</v>
      </c>
      <c r="AD126" s="5">
        <f t="shared" si="29"/>
        <v>-5.141574886495659E-2</v>
      </c>
      <c r="AE126" s="5">
        <f t="shared" si="30"/>
        <v>0.44920807773607463</v>
      </c>
      <c r="AF126" s="5">
        <f t="shared" si="31"/>
        <v>0.55025744001302157</v>
      </c>
    </row>
    <row r="127" spans="1:32" x14ac:dyDescent="0.25">
      <c r="A127" s="2">
        <v>45323</v>
      </c>
      <c r="B127">
        <v>43621</v>
      </c>
      <c r="C127">
        <v>41306</v>
      </c>
      <c r="D127">
        <v>275328</v>
      </c>
      <c r="F127" s="5">
        <f t="shared" si="16"/>
        <v>1.056045126615988</v>
      </c>
      <c r="G127" s="5">
        <f t="shared" si="17"/>
        <v>0.23574134987717033</v>
      </c>
      <c r="I127" s="2">
        <v>45323</v>
      </c>
      <c r="J127">
        <v>47957</v>
      </c>
      <c r="K127">
        <v>48690</v>
      </c>
      <c r="M127" s="5">
        <f t="shared" si="18"/>
        <v>0.94507579706820699</v>
      </c>
      <c r="N127" s="5">
        <f t="shared" si="19"/>
        <v>0.25306016147235005</v>
      </c>
      <c r="S127" s="5">
        <f t="shared" si="20"/>
        <v>-1.2634239788203439E-3</v>
      </c>
      <c r="T127" s="5">
        <f t="shared" si="21"/>
        <v>-7.7958081175368843E-3</v>
      </c>
      <c r="U127" s="5">
        <f t="shared" si="22"/>
        <v>-6.8705127597127325E-3</v>
      </c>
      <c r="V127" s="5">
        <f t="shared" si="23"/>
        <v>-4.8822355739349232E-2</v>
      </c>
      <c r="W127" s="5">
        <f t="shared" si="24"/>
        <v>0.27599841518067458</v>
      </c>
      <c r="X127" s="5">
        <f t="shared" si="25"/>
        <v>0.29792739755224584</v>
      </c>
      <c r="AA127" s="5">
        <f t="shared" si="26"/>
        <v>3.0802585761354195E-3</v>
      </c>
      <c r="AB127" s="5">
        <f t="shared" si="27"/>
        <v>-3.6740845901695074E-2</v>
      </c>
      <c r="AC127" s="5">
        <f t="shared" si="28"/>
        <v>-4.2435413733546146E-3</v>
      </c>
      <c r="AD127" s="5">
        <f t="shared" si="29"/>
        <v>-2.1843761945248841E-2</v>
      </c>
      <c r="AE127" s="5">
        <f t="shared" si="30"/>
        <v>0.46190722911593984</v>
      </c>
      <c r="AF127" s="5">
        <f t="shared" si="31"/>
        <v>0.55108253789595563</v>
      </c>
    </row>
    <row r="128" spans="1:32" x14ac:dyDescent="0.25">
      <c r="A128" s="2">
        <v>45322</v>
      </c>
      <c r="B128">
        <v>39774</v>
      </c>
      <c r="C128">
        <v>41131</v>
      </c>
      <c r="D128">
        <v>272614</v>
      </c>
      <c r="F128" s="5">
        <f t="shared" si="16"/>
        <v>0.96700785295762315</v>
      </c>
      <c r="G128" s="5">
        <f t="shared" si="17"/>
        <v>0.22885615766055006</v>
      </c>
      <c r="I128" s="2">
        <v>45322</v>
      </c>
      <c r="J128">
        <v>47957</v>
      </c>
      <c r="K128">
        <v>48690</v>
      </c>
      <c r="M128" s="5">
        <f t="shared" si="18"/>
        <v>0.94505494505494503</v>
      </c>
      <c r="N128" s="5">
        <f t="shared" si="19"/>
        <v>0.25493518596966874</v>
      </c>
      <c r="S128" s="5">
        <f t="shared" si="20"/>
        <v>-4.5632393419916817E-3</v>
      </c>
      <c r="T128" s="5">
        <f t="shared" si="21"/>
        <v>-8.378528972094984E-3</v>
      </c>
      <c r="U128" s="5">
        <f t="shared" si="22"/>
        <v>-7.4147501816339834E-3</v>
      </c>
      <c r="V128" s="5">
        <f t="shared" si="23"/>
        <v>9.8743794679791996E-3</v>
      </c>
      <c r="W128" s="5">
        <f t="shared" si="24"/>
        <v>0.30566911180199086</v>
      </c>
      <c r="X128" s="5">
        <f t="shared" si="25"/>
        <v>0.32015825429184441</v>
      </c>
      <c r="AA128" s="5">
        <f t="shared" si="26"/>
        <v>-2.3599650933977812E-3</v>
      </c>
      <c r="AB128" s="5">
        <f t="shared" si="27"/>
        <v>-3.8926920623933048E-2</v>
      </c>
      <c r="AC128" s="5">
        <f t="shared" si="28"/>
        <v>-4.6209912075150794E-3</v>
      </c>
      <c r="AD128" s="5">
        <f t="shared" si="29"/>
        <v>1.1321640553913603E-2</v>
      </c>
      <c r="AE128" s="5">
        <f t="shared" si="30"/>
        <v>0.47657713578434663</v>
      </c>
      <c r="AF128" s="5">
        <f t="shared" si="31"/>
        <v>0.55358458556975298</v>
      </c>
    </row>
    <row r="129" spans="1:32" x14ac:dyDescent="0.25">
      <c r="A129" s="2">
        <v>45321</v>
      </c>
      <c r="B129">
        <v>39774</v>
      </c>
      <c r="C129">
        <v>41131</v>
      </c>
      <c r="D129">
        <v>272609</v>
      </c>
      <c r="F129" s="5">
        <f t="shared" si="16"/>
        <v>0.96700785295762315</v>
      </c>
      <c r="G129" s="5">
        <f t="shared" si="17"/>
        <v>0.2288593945360014</v>
      </c>
      <c r="I129" s="2">
        <v>45321</v>
      </c>
      <c r="J129">
        <v>47232</v>
      </c>
      <c r="K129">
        <v>48465</v>
      </c>
      <c r="M129" s="5">
        <f t="shared" si="18"/>
        <v>0.95954014227642281</v>
      </c>
      <c r="N129" s="5">
        <f t="shared" si="19"/>
        <v>0.25345736960581877</v>
      </c>
      <c r="S129" s="5">
        <f t="shared" si="20"/>
        <v>-7.6788535716415529E-3</v>
      </c>
      <c r="T129" s="5">
        <f t="shared" si="21"/>
        <v>-9.083247736013933E-3</v>
      </c>
      <c r="U129" s="5">
        <f t="shared" si="22"/>
        <v>-8.0718209339373237E-3</v>
      </c>
      <c r="V129" s="5">
        <f t="shared" si="23"/>
        <v>6.8464209190074898E-2</v>
      </c>
      <c r="W129" s="5">
        <f t="shared" si="24"/>
        <v>0.33533052481040004</v>
      </c>
      <c r="X129" s="5">
        <f t="shared" si="25"/>
        <v>0.34233029613615951</v>
      </c>
      <c r="AA129" s="5">
        <f t="shared" si="26"/>
        <v>-7.8968793822862815E-3</v>
      </c>
      <c r="AB129" s="5">
        <f t="shared" si="27"/>
        <v>-4.1224594059356801E-2</v>
      </c>
      <c r="AC129" s="5">
        <f t="shared" si="28"/>
        <v>-5.0508862566912838E-3</v>
      </c>
      <c r="AD129" s="5">
        <f t="shared" si="29"/>
        <v>5.8072704680340093E-2</v>
      </c>
      <c r="AE129" s="5">
        <f t="shared" si="30"/>
        <v>0.50182110116361911</v>
      </c>
      <c r="AF129" s="5">
        <f t="shared" si="31"/>
        <v>0.56557408926483199</v>
      </c>
    </row>
    <row r="130" spans="1:32" x14ac:dyDescent="0.25">
      <c r="A130" s="2">
        <v>45320</v>
      </c>
      <c r="B130">
        <v>38096</v>
      </c>
      <c r="C130">
        <v>41181</v>
      </c>
      <c r="D130">
        <v>269994</v>
      </c>
      <c r="F130" s="5">
        <f t="shared" si="16"/>
        <v>0.92508681187926467</v>
      </c>
      <c r="G130" s="5">
        <f t="shared" si="17"/>
        <v>0.22697847802995383</v>
      </c>
      <c r="I130" s="2">
        <v>45320</v>
      </c>
      <c r="J130">
        <v>48083</v>
      </c>
      <c r="K130">
        <v>48390</v>
      </c>
      <c r="M130" s="5">
        <f t="shared" si="18"/>
        <v>0.94253686334047382</v>
      </c>
      <c r="N130" s="5">
        <f t="shared" si="19"/>
        <v>0.2570274383112684</v>
      </c>
      <c r="S130" s="5">
        <f t="shared" si="20"/>
        <v>-1.9081764606394103E-2</v>
      </c>
      <c r="T130" s="5">
        <f t="shared" si="21"/>
        <v>-1.5458764060681973E-2</v>
      </c>
      <c r="U130" s="5">
        <f t="shared" si="22"/>
        <v>-1.3701425630470609E-2</v>
      </c>
      <c r="V130" s="5">
        <f t="shared" si="23"/>
        <v>4.892941982366894E-2</v>
      </c>
      <c r="W130" s="5">
        <f t="shared" si="24"/>
        <v>0.29154593875666657</v>
      </c>
      <c r="X130" s="5">
        <f t="shared" si="25"/>
        <v>0.29605601787833125</v>
      </c>
      <c r="AA130" s="5">
        <f t="shared" si="26"/>
        <v>-1.3433597276817533E-2</v>
      </c>
      <c r="AB130" s="5">
        <f t="shared" si="27"/>
        <v>-4.3434940760834984E-2</v>
      </c>
      <c r="AC130" s="5">
        <f t="shared" si="28"/>
        <v>-5.487680559096958E-3</v>
      </c>
      <c r="AD130" s="5">
        <f t="shared" si="29"/>
        <v>0.10509285584880601</v>
      </c>
      <c r="AE130" s="5">
        <f t="shared" si="30"/>
        <v>0.52706137317202584</v>
      </c>
      <c r="AF130" s="5">
        <f t="shared" si="31"/>
        <v>0.57755458834449402</v>
      </c>
    </row>
    <row r="131" spans="1:32" x14ac:dyDescent="0.25">
      <c r="A131" s="2">
        <v>45317</v>
      </c>
      <c r="B131">
        <v>37996</v>
      </c>
      <c r="C131">
        <v>41181</v>
      </c>
      <c r="D131">
        <v>269839</v>
      </c>
      <c r="F131" s="5">
        <f t="shared" ref="F131:F194" si="32">IFERROR(B131/C131,"")</f>
        <v>0.9226585075641679</v>
      </c>
      <c r="G131" s="5">
        <f t="shared" ref="G131:G194" si="33">IFERROR(SUM(B131:C131)/SUM(B131:D131),"")</f>
        <v>0.2268577944850666</v>
      </c>
      <c r="I131" s="2">
        <v>45317</v>
      </c>
      <c r="J131">
        <v>48333</v>
      </c>
      <c r="K131">
        <v>48140</v>
      </c>
      <c r="M131" s="5">
        <f t="shared" ref="M131:M194" si="34">IFERROR(I131/J131,"")</f>
        <v>0.93759956965220448</v>
      </c>
      <c r="N131" s="5">
        <f t="shared" ref="N131:N194" si="35">IFERROR(SUM(I131:J131)/SUM(I131:J131,D131),"")</f>
        <v>0.25764190938377779</v>
      </c>
      <c r="S131" s="5">
        <f t="shared" ref="S131:S194" si="36">IFERROR(AVERAGEA(N131:N151)-AVERAGE(N152:N172),"")</f>
        <v>-2.202264711310653E-2</v>
      </c>
      <c r="T131" s="5">
        <f t="shared" ref="T131:T194" si="37">IFERROR(AVERAGEA(N131:N151)-AVERAGE(N152:N207),"")</f>
        <v>-1.6189011065009196E-2</v>
      </c>
      <c r="U131" s="5">
        <f t="shared" ref="U131:U194" si="38">IFERROR(AVERAGEA(N131:N151)-AVERAGE(N152:N264),"")</f>
        <v>-1.4500014039725395E-2</v>
      </c>
      <c r="V131" s="5">
        <f t="shared" ref="V131:V194" si="39">IFERROR(AVERAGEA(M131:M151)-AVERAGE(M152:M172),"")</f>
        <v>0.10537150836294029</v>
      </c>
      <c r="W131" s="5">
        <f t="shared" ref="W131:W194" si="40">IFERROR(AVERAGEA(M131:M151)-AVERAGE(M152:M207),"")</f>
        <v>0.32105012697917323</v>
      </c>
      <c r="X131" s="5">
        <f t="shared" ref="X131:X194" si="41">IFERROR(AVERAGEA(M131:M151)-AVERAGE(M152:M264),"")</f>
        <v>0.31832609260901779</v>
      </c>
      <c r="AA131" s="5">
        <f t="shared" ref="AA131:AA194" si="42">IFERROR(AVERAGEA(G131:G151)-AVERAGE(G152:G172),"")</f>
        <v>-1.8965700210152148E-2</v>
      </c>
      <c r="AB131" s="5">
        <f t="shared" ref="AB131:AB194" si="43">IFERROR(AVERAGEA(G131:G151)-AVERAGE(G152:G207),"")</f>
        <v>-4.5557271187692122E-2</v>
      </c>
      <c r="AC131" s="5">
        <f t="shared" ref="AC131:AC194" si="44">IFERROR(AVERAGEA(G131:G151)-AVERAGE(G152:G264),"")</f>
        <v>-5.8115462585591193E-3</v>
      </c>
      <c r="AD131" s="5">
        <f t="shared" ref="AD131:AD194" si="45">IFERROR(AVERAGEA(F131:F151)-AVERAGE(F152:F172),"")</f>
        <v>0.15444400079627685</v>
      </c>
      <c r="AE131" s="5">
        <f t="shared" ref="AE131:AE194" si="46">IFERROR(AVERAGEA(F131:F151)-AVERAGE(F152:F207),"")</f>
        <v>0.55429861789059753</v>
      </c>
      <c r="AF131" s="5">
        <f t="shared" ref="AF131:AF194" si="47">IFERROR(AVERAGEA(F131:F151)-AVERAGE(F152:F264),"")</f>
        <v>0.59157915176994424</v>
      </c>
    </row>
    <row r="132" spans="1:32" x14ac:dyDescent="0.25">
      <c r="A132" s="2">
        <v>45316</v>
      </c>
      <c r="B132">
        <v>37136</v>
      </c>
      <c r="C132">
        <v>39855</v>
      </c>
      <c r="D132">
        <v>268418</v>
      </c>
      <c r="F132" s="5">
        <f t="shared" si="32"/>
        <v>0.9317776941412621</v>
      </c>
      <c r="G132" s="5">
        <f t="shared" si="33"/>
        <v>0.2228980715615401</v>
      </c>
      <c r="I132" s="2">
        <v>45316</v>
      </c>
      <c r="J132">
        <v>47783</v>
      </c>
      <c r="K132">
        <v>48140</v>
      </c>
      <c r="M132" s="5">
        <f t="shared" si="34"/>
        <v>0.94837075947512717</v>
      </c>
      <c r="N132" s="5">
        <f t="shared" si="35"/>
        <v>0.25752315935350206</v>
      </c>
      <c r="S132" s="5">
        <f t="shared" si="36"/>
        <v>-2.4839312921280665E-2</v>
      </c>
      <c r="T132" s="5">
        <f t="shared" si="37"/>
        <v>-1.7011239755367114E-2</v>
      </c>
      <c r="U132" s="5">
        <f t="shared" si="38"/>
        <v>-1.5399261518262763E-2</v>
      </c>
      <c r="V132" s="5">
        <f t="shared" si="39"/>
        <v>0.16157808374480587</v>
      </c>
      <c r="W132" s="5">
        <f t="shared" si="40"/>
        <v>0.35074290463690583</v>
      </c>
      <c r="X132" s="5">
        <f t="shared" si="41"/>
        <v>0.34082979438820193</v>
      </c>
      <c r="AA132" s="5">
        <f t="shared" si="42"/>
        <v>-2.4561799216584357E-2</v>
      </c>
      <c r="AB132" s="5">
        <f t="shared" si="43"/>
        <v>-4.7738951518096318E-2</v>
      </c>
      <c r="AC132" s="5">
        <f t="shared" si="44"/>
        <v>-6.124397414961319E-3</v>
      </c>
      <c r="AD132" s="5">
        <f t="shared" si="45"/>
        <v>0.20374501354311436</v>
      </c>
      <c r="AE132" s="5">
        <f t="shared" si="46"/>
        <v>0.58143543140787246</v>
      </c>
      <c r="AF132" s="5">
        <f t="shared" si="47"/>
        <v>0.60523801579874714</v>
      </c>
    </row>
    <row r="133" spans="1:32" x14ac:dyDescent="0.25">
      <c r="A133" s="2">
        <v>45315</v>
      </c>
      <c r="B133">
        <v>37293</v>
      </c>
      <c r="C133">
        <v>39850</v>
      </c>
      <c r="D133">
        <v>263929</v>
      </c>
      <c r="F133" s="5">
        <f t="shared" si="32"/>
        <v>0.93583437892095356</v>
      </c>
      <c r="G133" s="5">
        <f t="shared" si="33"/>
        <v>0.22617805038232397</v>
      </c>
      <c r="I133" s="2">
        <v>45315</v>
      </c>
      <c r="J133">
        <v>45763</v>
      </c>
      <c r="K133">
        <v>47490</v>
      </c>
      <c r="M133" s="5">
        <f t="shared" si="34"/>
        <v>0.99021043200839109</v>
      </c>
      <c r="N133" s="5">
        <f t="shared" si="35"/>
        <v>0.25655268769348211</v>
      </c>
      <c r="S133" s="5">
        <f t="shared" si="36"/>
        <v>-2.7631300751693871E-2</v>
      </c>
      <c r="T133" s="5">
        <f t="shared" si="37"/>
        <v>-1.79486279161363E-2</v>
      </c>
      <c r="U133" s="5">
        <f t="shared" si="38"/>
        <v>-1.6374499630471356E-2</v>
      </c>
      <c r="V133" s="5">
        <f t="shared" si="39"/>
        <v>0.21730475405127758</v>
      </c>
      <c r="W133" s="5">
        <f t="shared" si="40"/>
        <v>0.37986309958621656</v>
      </c>
      <c r="X133" s="5">
        <f t="shared" si="41"/>
        <v>0.36281943866424371</v>
      </c>
      <c r="AA133" s="5">
        <f t="shared" si="42"/>
        <v>-2.995477421400522E-2</v>
      </c>
      <c r="AB133" s="5">
        <f t="shared" si="43"/>
        <v>-4.9868297470501366E-2</v>
      </c>
      <c r="AC133" s="5">
        <f t="shared" si="44"/>
        <v>-6.3113227833135888E-3</v>
      </c>
      <c r="AD133" s="5">
        <f t="shared" si="45"/>
        <v>0.25315526412388223</v>
      </c>
      <c r="AE133" s="5">
        <f t="shared" si="46"/>
        <v>0.60824837845669177</v>
      </c>
      <c r="AF133" s="5">
        <f t="shared" si="47"/>
        <v>0.61855466421302152</v>
      </c>
    </row>
    <row r="134" spans="1:32" x14ac:dyDescent="0.25">
      <c r="A134" s="2">
        <v>45314</v>
      </c>
      <c r="B134">
        <v>36968</v>
      </c>
      <c r="C134">
        <v>39939</v>
      </c>
      <c r="D134">
        <v>264950</v>
      </c>
      <c r="F134" s="5">
        <f t="shared" si="32"/>
        <v>0.92561155762537872</v>
      </c>
      <c r="G134" s="5">
        <f t="shared" si="33"/>
        <v>0.22496833471305253</v>
      </c>
      <c r="I134" s="2">
        <v>45314</v>
      </c>
      <c r="J134">
        <v>44853</v>
      </c>
      <c r="K134">
        <v>47465</v>
      </c>
      <c r="M134" s="5">
        <f t="shared" si="34"/>
        <v>1.0102780193075156</v>
      </c>
      <c r="N134" s="5">
        <f t="shared" si="35"/>
        <v>0.25390786698468393</v>
      </c>
      <c r="S134" s="5">
        <f t="shared" si="36"/>
        <v>-2.9875926702424921E-2</v>
      </c>
      <c r="T134" s="5">
        <f t="shared" si="37"/>
        <v>-1.8882372529052144E-2</v>
      </c>
      <c r="U134" s="5">
        <f t="shared" si="38"/>
        <v>-1.7348694707600171E-2</v>
      </c>
      <c r="V134" s="5">
        <f t="shared" si="39"/>
        <v>0.27010999925003143</v>
      </c>
      <c r="W134" s="5">
        <f t="shared" si="40"/>
        <v>0.40696949875109856</v>
      </c>
      <c r="X134" s="5">
        <f t="shared" si="41"/>
        <v>0.38278617368896695</v>
      </c>
      <c r="AA134" s="5">
        <f t="shared" si="42"/>
        <v>-3.5274786981798645E-2</v>
      </c>
      <c r="AB134" s="5">
        <f t="shared" si="43"/>
        <v>-5.2188657107017311E-2</v>
      </c>
      <c r="AC134" s="5">
        <f t="shared" si="44"/>
        <v>-6.6836307700572362E-3</v>
      </c>
      <c r="AD134" s="5">
        <f t="shared" si="45"/>
        <v>0.30270745983470415</v>
      </c>
      <c r="AE134" s="5">
        <f t="shared" si="46"/>
        <v>0.63486741995131135</v>
      </c>
      <c r="AF134" s="5">
        <f t="shared" si="47"/>
        <v>0.63154566795243183</v>
      </c>
    </row>
    <row r="135" spans="1:32" x14ac:dyDescent="0.25">
      <c r="A135" s="2">
        <v>45313</v>
      </c>
      <c r="B135">
        <v>36846</v>
      </c>
      <c r="C135">
        <v>44164</v>
      </c>
      <c r="D135">
        <v>265672</v>
      </c>
      <c r="F135" s="5">
        <f t="shared" si="32"/>
        <v>0.83429942939951096</v>
      </c>
      <c r="G135" s="5">
        <f t="shared" si="33"/>
        <v>0.2336723567996031</v>
      </c>
      <c r="I135" s="2">
        <v>45313</v>
      </c>
      <c r="J135">
        <v>44098</v>
      </c>
      <c r="K135">
        <v>46165</v>
      </c>
      <c r="M135" s="5">
        <f t="shared" si="34"/>
        <v>1.0275522699442152</v>
      </c>
      <c r="N135" s="5">
        <f t="shared" si="35"/>
        <v>0.25180309955700497</v>
      </c>
      <c r="S135" s="5">
        <f t="shared" si="36"/>
        <v>-4.0263045231374556E-2</v>
      </c>
      <c r="T135" s="5">
        <f t="shared" si="37"/>
        <v>-2.5459309319611073E-2</v>
      </c>
      <c r="U135" s="5">
        <f t="shared" si="38"/>
        <v>-2.3156158323461712E-2</v>
      </c>
      <c r="V135" s="5">
        <f t="shared" si="39"/>
        <v>0.23659509707297277</v>
      </c>
      <c r="W135" s="5">
        <f t="shared" si="40"/>
        <v>0.35969918817298419</v>
      </c>
      <c r="X135" s="5">
        <f t="shared" si="41"/>
        <v>0.33392553713085382</v>
      </c>
      <c r="AA135" s="5">
        <f t="shared" si="42"/>
        <v>-4.0801673560274782E-2</v>
      </c>
      <c r="AB135" s="5">
        <f t="shared" si="43"/>
        <v>-5.4682896072521164E-2</v>
      </c>
      <c r="AC135" s="5">
        <f t="shared" si="44"/>
        <v>-7.1929737721704856E-3</v>
      </c>
      <c r="AD135" s="5">
        <f t="shared" si="45"/>
        <v>0.35368482552478053</v>
      </c>
      <c r="AE135" s="5">
        <f t="shared" si="46"/>
        <v>0.66256676151456273</v>
      </c>
      <c r="AF135" s="5">
        <f t="shared" si="47"/>
        <v>0.6455933062685475</v>
      </c>
    </row>
    <row r="136" spans="1:32" x14ac:dyDescent="0.25">
      <c r="A136" s="2">
        <v>45310</v>
      </c>
      <c r="B136">
        <v>36196</v>
      </c>
      <c r="C136">
        <v>44089</v>
      </c>
      <c r="D136">
        <v>264703</v>
      </c>
      <c r="F136" s="5">
        <f t="shared" si="32"/>
        <v>0.82097575358933073</v>
      </c>
      <c r="G136" s="5">
        <f t="shared" si="33"/>
        <v>0.23271823947499623</v>
      </c>
      <c r="I136" s="2">
        <v>45310</v>
      </c>
      <c r="J136">
        <v>43818</v>
      </c>
      <c r="K136">
        <v>45990</v>
      </c>
      <c r="M136" s="5">
        <f t="shared" si="34"/>
        <v>1.0340499338171527</v>
      </c>
      <c r="N136" s="5">
        <f t="shared" si="35"/>
        <v>0.25189426590660513</v>
      </c>
      <c r="S136" s="5">
        <f t="shared" si="36"/>
        <v>-4.208475681597193E-2</v>
      </c>
      <c r="T136" s="5">
        <f t="shared" si="37"/>
        <v>-2.6130075943413295E-2</v>
      </c>
      <c r="U136" s="5">
        <f t="shared" si="38"/>
        <v>-2.3911961373131757E-2</v>
      </c>
      <c r="V136" s="5">
        <f t="shared" si="39"/>
        <v>0.28525543063305936</v>
      </c>
      <c r="W136" s="5">
        <f t="shared" si="40"/>
        <v>0.38439164234869161</v>
      </c>
      <c r="X136" s="5">
        <f t="shared" si="41"/>
        <v>0.35202945627104576</v>
      </c>
      <c r="AA136" s="5">
        <f t="shared" si="42"/>
        <v>-4.6779079933656986E-2</v>
      </c>
      <c r="AB136" s="5">
        <f t="shared" si="43"/>
        <v>-5.7586424214139009E-2</v>
      </c>
      <c r="AC136" s="5">
        <f t="shared" si="44"/>
        <v>-8.1194378290343483E-3</v>
      </c>
      <c r="AD136" s="5">
        <f t="shared" si="45"/>
        <v>0.40915494723003032</v>
      </c>
      <c r="AE136" s="5">
        <f t="shared" si="46"/>
        <v>0.69462803770724169</v>
      </c>
      <c r="AF136" s="5">
        <f t="shared" si="47"/>
        <v>0.66400618868117989</v>
      </c>
    </row>
    <row r="137" spans="1:32" x14ac:dyDescent="0.25">
      <c r="A137" s="2">
        <v>45309</v>
      </c>
      <c r="B137">
        <v>36296</v>
      </c>
      <c r="C137">
        <v>43704</v>
      </c>
      <c r="D137">
        <v>263531</v>
      </c>
      <c r="F137" s="5">
        <f t="shared" si="32"/>
        <v>0.83049606443346147</v>
      </c>
      <c r="G137" s="5">
        <f t="shared" si="33"/>
        <v>0.23287563567771177</v>
      </c>
      <c r="I137" s="2">
        <v>45309</v>
      </c>
      <c r="J137">
        <v>41868</v>
      </c>
      <c r="K137">
        <v>45640</v>
      </c>
      <c r="M137" s="5">
        <f t="shared" si="34"/>
        <v>1.0821868730295214</v>
      </c>
      <c r="N137" s="5">
        <f t="shared" si="35"/>
        <v>0.24857431253350365</v>
      </c>
      <c r="S137" s="5">
        <f t="shared" si="36"/>
        <v>-4.3916904467357659E-2</v>
      </c>
      <c r="T137" s="5">
        <f t="shared" si="37"/>
        <v>-2.6870459789788664E-2</v>
      </c>
      <c r="U137" s="5">
        <f t="shared" si="38"/>
        <v>-2.4717044043207931E-2</v>
      </c>
      <c r="V137" s="5">
        <f t="shared" si="39"/>
        <v>0.33269702805186607</v>
      </c>
      <c r="W137" s="5">
        <f t="shared" si="40"/>
        <v>0.40859533882743815</v>
      </c>
      <c r="X137" s="5">
        <f t="shared" si="41"/>
        <v>0.36975788841961532</v>
      </c>
      <c r="AA137" s="5">
        <f t="shared" si="42"/>
        <v>-5.3486132067024378E-2</v>
      </c>
      <c r="AB137" s="5">
        <f t="shared" si="43"/>
        <v>-6.0903102406102999E-2</v>
      </c>
      <c r="AC137" s="5">
        <f t="shared" si="44"/>
        <v>-9.3735612002707747E-3</v>
      </c>
      <c r="AD137" s="5">
        <f t="shared" si="45"/>
        <v>0.46128368999241676</v>
      </c>
      <c r="AE137" s="5">
        <f t="shared" si="46"/>
        <v>0.72443025522046489</v>
      </c>
      <c r="AF137" s="5">
        <f t="shared" si="47"/>
        <v>0.68055510432666999</v>
      </c>
    </row>
    <row r="138" spans="1:32" x14ac:dyDescent="0.25">
      <c r="A138" s="2">
        <v>45308</v>
      </c>
      <c r="B138">
        <v>35886</v>
      </c>
      <c r="C138">
        <v>43604</v>
      </c>
      <c r="D138">
        <v>261762</v>
      </c>
      <c r="F138" s="5">
        <f t="shared" si="32"/>
        <v>0.82299789010182556</v>
      </c>
      <c r="G138" s="5">
        <f t="shared" si="33"/>
        <v>0.23293636374292312</v>
      </c>
      <c r="I138" s="2">
        <v>45308</v>
      </c>
      <c r="J138">
        <v>40722</v>
      </c>
      <c r="K138">
        <v>43515</v>
      </c>
      <c r="M138" s="5">
        <f t="shared" si="34"/>
        <v>1.1126172584843574</v>
      </c>
      <c r="N138" s="5">
        <f t="shared" si="35"/>
        <v>0.24736049132815016</v>
      </c>
      <c r="S138" s="5">
        <f t="shared" si="36"/>
        <v>-4.5741193682137166E-2</v>
      </c>
      <c r="T138" s="5">
        <f t="shared" si="37"/>
        <v>-2.7759912681308146E-2</v>
      </c>
      <c r="U138" s="5">
        <f t="shared" si="38"/>
        <v>-2.5584703831588423E-2</v>
      </c>
      <c r="V138" s="5">
        <f t="shared" si="39"/>
        <v>0.37661230976110993</v>
      </c>
      <c r="W138" s="5">
        <f t="shared" si="40"/>
        <v>0.43056300191123731</v>
      </c>
      <c r="X138" s="5">
        <f t="shared" si="41"/>
        <v>0.38529014944571216</v>
      </c>
      <c r="AA138" s="5">
        <f t="shared" si="42"/>
        <v>-6.1252608890769333E-2</v>
      </c>
      <c r="AB138" s="5">
        <f t="shared" si="43"/>
        <v>-6.4944970980266525E-2</v>
      </c>
      <c r="AC138" s="5">
        <f t="shared" si="44"/>
        <v>-1.1195415426890815E-2</v>
      </c>
      <c r="AD138" s="5">
        <f t="shared" si="45"/>
        <v>0.51364608590419059</v>
      </c>
      <c r="AE138" s="5">
        <f t="shared" si="46"/>
        <v>0.754264796900455</v>
      </c>
      <c r="AF138" s="5">
        <f t="shared" si="47"/>
        <v>0.69742835848943741</v>
      </c>
    </row>
    <row r="139" spans="1:32" x14ac:dyDescent="0.25">
      <c r="A139" s="2">
        <v>45307</v>
      </c>
      <c r="B139">
        <v>34838</v>
      </c>
      <c r="C139">
        <v>42434</v>
      </c>
      <c r="D139">
        <v>260611</v>
      </c>
      <c r="F139" s="5">
        <f t="shared" si="32"/>
        <v>0.82099260027336574</v>
      </c>
      <c r="G139" s="5">
        <f t="shared" si="33"/>
        <v>0.22869454811280829</v>
      </c>
      <c r="I139" s="2">
        <v>45307</v>
      </c>
      <c r="J139">
        <v>40622</v>
      </c>
      <c r="K139">
        <v>42740</v>
      </c>
      <c r="M139" s="5">
        <f t="shared" si="34"/>
        <v>1.11533159371769</v>
      </c>
      <c r="N139" s="5">
        <f t="shared" si="35"/>
        <v>0.24796271714664975</v>
      </c>
      <c r="S139" s="5">
        <f t="shared" si="36"/>
        <v>-4.7288245723997646E-2</v>
      </c>
      <c r="T139" s="5">
        <f t="shared" si="37"/>
        <v>-2.845485700181638E-2</v>
      </c>
      <c r="U139" s="5">
        <f t="shared" si="38"/>
        <v>-2.6290706769730554E-2</v>
      </c>
      <c r="V139" s="5">
        <f t="shared" si="39"/>
        <v>0.4187857699883929</v>
      </c>
      <c r="W139" s="5">
        <f t="shared" si="40"/>
        <v>0.45091197728530907</v>
      </c>
      <c r="X139" s="5">
        <f t="shared" si="41"/>
        <v>0.39926319991873471</v>
      </c>
      <c r="AA139" s="5">
        <f t="shared" si="42"/>
        <v>-6.8829781590737826E-2</v>
      </c>
      <c r="AB139" s="5">
        <f t="shared" si="43"/>
        <v>-6.8840384989725611E-2</v>
      </c>
      <c r="AC139" s="5">
        <f t="shared" si="44"/>
        <v>-1.2936343703366771E-2</v>
      </c>
      <c r="AD139" s="5">
        <f t="shared" si="45"/>
        <v>0.56786607338204309</v>
      </c>
      <c r="AE139" s="5">
        <f t="shared" si="46"/>
        <v>0.78546657230210482</v>
      </c>
      <c r="AF139" s="5">
        <f t="shared" si="47"/>
        <v>0.71569960069225624</v>
      </c>
    </row>
    <row r="140" spans="1:32" x14ac:dyDescent="0.25">
      <c r="A140" s="2">
        <v>45306</v>
      </c>
      <c r="B140">
        <v>34288</v>
      </c>
      <c r="C140">
        <v>42264</v>
      </c>
      <c r="D140">
        <v>259218</v>
      </c>
      <c r="F140" s="5">
        <f t="shared" si="32"/>
        <v>0.81128146886238883</v>
      </c>
      <c r="G140" s="5">
        <f t="shared" si="33"/>
        <v>0.22798939750424399</v>
      </c>
      <c r="I140" s="2">
        <v>45306</v>
      </c>
      <c r="J140">
        <v>40072</v>
      </c>
      <c r="K140">
        <v>42290</v>
      </c>
      <c r="M140" s="5">
        <f t="shared" si="34"/>
        <v>1.1306148931922539</v>
      </c>
      <c r="N140" s="5">
        <f t="shared" si="35"/>
        <v>0.24776259736038725</v>
      </c>
      <c r="S140" s="5">
        <f t="shared" si="36"/>
        <v>-4.8804047471612405E-2</v>
      </c>
      <c r="T140" s="5">
        <f t="shared" si="37"/>
        <v>-2.9100590058466796E-2</v>
      </c>
      <c r="U140" s="5">
        <f t="shared" si="38"/>
        <v>-2.69938242378642E-2</v>
      </c>
      <c r="V140" s="5">
        <f t="shared" si="39"/>
        <v>0.47000181412766806</v>
      </c>
      <c r="W140" s="5">
        <f t="shared" si="40"/>
        <v>0.47711948270700766</v>
      </c>
      <c r="X140" s="5">
        <f t="shared" si="41"/>
        <v>0.41852066426307466</v>
      </c>
      <c r="AA140" s="5">
        <f t="shared" si="42"/>
        <v>-7.5671380580173586E-2</v>
      </c>
      <c r="AB140" s="5">
        <f t="shared" si="43"/>
        <v>-7.2156175929651789E-2</v>
      </c>
      <c r="AC140" s="5">
        <f t="shared" si="44"/>
        <v>-1.4145926092733435E-2</v>
      </c>
      <c r="AD140" s="5">
        <f t="shared" si="45"/>
        <v>0.62362639828242594</v>
      </c>
      <c r="AE140" s="5">
        <f t="shared" si="46"/>
        <v>0.81768922484258111</v>
      </c>
      <c r="AF140" s="5">
        <f t="shared" si="47"/>
        <v>0.73499446101106702</v>
      </c>
    </row>
    <row r="141" spans="1:32" x14ac:dyDescent="0.25">
      <c r="A141" s="2">
        <v>45303</v>
      </c>
      <c r="B141">
        <v>34438</v>
      </c>
      <c r="C141">
        <v>41359</v>
      </c>
      <c r="D141">
        <v>260801</v>
      </c>
      <c r="F141" s="5">
        <f t="shared" si="32"/>
        <v>0.83266036412872657</v>
      </c>
      <c r="G141" s="5">
        <f t="shared" si="33"/>
        <v>0.22518553289086685</v>
      </c>
      <c r="I141" s="2">
        <v>45303</v>
      </c>
      <c r="J141">
        <v>39097</v>
      </c>
      <c r="K141">
        <v>41160</v>
      </c>
      <c r="M141" s="5">
        <f t="shared" si="34"/>
        <v>1.1587334066552422</v>
      </c>
      <c r="N141" s="5">
        <f t="shared" si="35"/>
        <v>0.24449523610881777</v>
      </c>
      <c r="S141" s="5">
        <f t="shared" si="36"/>
        <v>-4.9910431050806503E-2</v>
      </c>
      <c r="T141" s="5">
        <f t="shared" si="37"/>
        <v>-2.9468194595912267E-2</v>
      </c>
      <c r="U141" s="5">
        <f t="shared" si="38"/>
        <v>-2.7504904913276951E-2</v>
      </c>
      <c r="V141" s="5">
        <f t="shared" si="39"/>
        <v>0.52047115792288745</v>
      </c>
      <c r="W141" s="5">
        <f t="shared" si="40"/>
        <v>0.50231561684619985</v>
      </c>
      <c r="X141" s="5">
        <f t="shared" si="41"/>
        <v>0.43704871905011045</v>
      </c>
      <c r="AA141" s="5">
        <f t="shared" si="42"/>
        <v>-8.2927246846089236E-2</v>
      </c>
      <c r="AB141" s="5">
        <f t="shared" si="43"/>
        <v>-7.5793229425984349E-2</v>
      </c>
      <c r="AC141" s="5">
        <f t="shared" si="44"/>
        <v>-1.5628557598305254E-2</v>
      </c>
      <c r="AD141" s="5">
        <f t="shared" si="45"/>
        <v>0.68906023200614475</v>
      </c>
      <c r="AE141" s="5">
        <f t="shared" si="46"/>
        <v>0.85666076165775884</v>
      </c>
      <c r="AF141" s="5">
        <f t="shared" si="47"/>
        <v>0.76010341568550077</v>
      </c>
    </row>
    <row r="142" spans="1:32" x14ac:dyDescent="0.25">
      <c r="A142" s="2">
        <v>45302</v>
      </c>
      <c r="B142">
        <v>35438</v>
      </c>
      <c r="C142">
        <v>40419</v>
      </c>
      <c r="D142">
        <v>256467</v>
      </c>
      <c r="F142" s="5">
        <f t="shared" si="32"/>
        <v>0.87676587743388013</v>
      </c>
      <c r="G142" s="5">
        <f t="shared" si="33"/>
        <v>0.22826217787460429</v>
      </c>
      <c r="I142" s="2">
        <v>45302</v>
      </c>
      <c r="J142">
        <v>36997</v>
      </c>
      <c r="K142">
        <v>38985</v>
      </c>
      <c r="M142" s="5">
        <f t="shared" si="34"/>
        <v>1.2244776603508392</v>
      </c>
      <c r="N142" s="5">
        <f t="shared" si="35"/>
        <v>0.24293760294716707</v>
      </c>
      <c r="S142" s="5">
        <f t="shared" si="36"/>
        <v>-5.1152185303379893E-2</v>
      </c>
      <c r="T142" s="5">
        <f t="shared" si="37"/>
        <v>-3.0082530373036209E-2</v>
      </c>
      <c r="U142" s="5">
        <f t="shared" si="38"/>
        <v>-2.8207786375960164E-2</v>
      </c>
      <c r="V142" s="5">
        <f t="shared" si="39"/>
        <v>0.57365593331526943</v>
      </c>
      <c r="W142" s="5">
        <f t="shared" si="40"/>
        <v>0.52957666617751087</v>
      </c>
      <c r="X142" s="5">
        <f t="shared" si="41"/>
        <v>0.4572096288077111</v>
      </c>
      <c r="AA142" s="5">
        <f t="shared" si="42"/>
        <v>-9.1472555594838661E-2</v>
      </c>
      <c r="AB142" s="5">
        <f t="shared" si="43"/>
        <v>-8.0358154424359757E-2</v>
      </c>
      <c r="AC142" s="5">
        <f t="shared" si="44"/>
        <v>-1.783525866805441E-2</v>
      </c>
      <c r="AD142" s="5">
        <f t="shared" si="45"/>
        <v>0.75018451789534579</v>
      </c>
      <c r="AE142" s="5">
        <f t="shared" si="46"/>
        <v>0.89230338371211726</v>
      </c>
      <c r="AF142" s="5">
        <f t="shared" si="47"/>
        <v>0.78233807810882927</v>
      </c>
    </row>
    <row r="143" spans="1:32" x14ac:dyDescent="0.25">
      <c r="A143" s="2">
        <v>45301</v>
      </c>
      <c r="B143">
        <v>34363</v>
      </c>
      <c r="C143">
        <v>40569</v>
      </c>
      <c r="D143">
        <v>252367</v>
      </c>
      <c r="F143" s="5">
        <f t="shared" si="32"/>
        <v>0.84702605437649436</v>
      </c>
      <c r="G143" s="5">
        <f t="shared" si="33"/>
        <v>0.22894051005349847</v>
      </c>
      <c r="I143" s="2">
        <v>45301</v>
      </c>
      <c r="J143">
        <v>35822</v>
      </c>
      <c r="K143">
        <v>36385</v>
      </c>
      <c r="M143" s="5">
        <f t="shared" si="34"/>
        <v>1.2646139244039976</v>
      </c>
      <c r="N143" s="5">
        <f t="shared" si="35"/>
        <v>0.24325467030495668</v>
      </c>
      <c r="S143" s="5">
        <f t="shared" si="36"/>
        <v>-5.2927565197337323E-2</v>
      </c>
      <c r="T143" s="5">
        <f t="shared" si="37"/>
        <v>-3.1185068083645129E-2</v>
      </c>
      <c r="U143" s="5">
        <f t="shared" si="38"/>
        <v>-2.9318703479846386E-2</v>
      </c>
      <c r="V143" s="5">
        <f t="shared" si="39"/>
        <v>0.63414415459908968</v>
      </c>
      <c r="W143" s="5">
        <f t="shared" si="40"/>
        <v>0.56143195639894172</v>
      </c>
      <c r="X143" s="5">
        <f t="shared" si="41"/>
        <v>0.48092533108436286</v>
      </c>
      <c r="AA143" s="5">
        <f t="shared" si="42"/>
        <v>-0.10229606310054823</v>
      </c>
      <c r="AB143" s="5">
        <f t="shared" si="43"/>
        <v>-8.6584183687414051E-2</v>
      </c>
      <c r="AC143" s="5">
        <f t="shared" si="44"/>
        <v>-2.1461443713353651E-2</v>
      </c>
      <c r="AD143" s="5">
        <f t="shared" si="45"/>
        <v>0.83205691415260929</v>
      </c>
      <c r="AE143" s="5">
        <f t="shared" si="46"/>
        <v>0.94153176418399842</v>
      </c>
      <c r="AF143" s="5">
        <f t="shared" si="47"/>
        <v>0.8161367101192305</v>
      </c>
    </row>
    <row r="144" spans="1:32" x14ac:dyDescent="0.25">
      <c r="A144" s="2">
        <v>45300</v>
      </c>
      <c r="B144">
        <v>33563</v>
      </c>
      <c r="C144">
        <v>40069</v>
      </c>
      <c r="D144">
        <v>247917</v>
      </c>
      <c r="F144" s="5">
        <f t="shared" si="32"/>
        <v>0.83763008809803086</v>
      </c>
      <c r="G144" s="5">
        <f t="shared" si="33"/>
        <v>0.22899153783715701</v>
      </c>
      <c r="I144" s="2">
        <v>45300</v>
      </c>
      <c r="J144">
        <v>35272</v>
      </c>
      <c r="K144">
        <v>31785</v>
      </c>
      <c r="M144" s="5">
        <f t="shared" si="34"/>
        <v>1.2843048310274439</v>
      </c>
      <c r="N144" s="5">
        <f t="shared" si="35"/>
        <v>0.24528066388828851</v>
      </c>
      <c r="S144" s="5">
        <f t="shared" si="36"/>
        <v>-4.5124256201055757E-2</v>
      </c>
      <c r="T144" s="5">
        <f t="shared" si="37"/>
        <v>-2.5734221595910489E-2</v>
      </c>
      <c r="U144" s="5">
        <f t="shared" si="38"/>
        <v>-2.4724685005099889E-2</v>
      </c>
      <c r="V144" s="5">
        <f t="shared" si="39"/>
        <v>0.59307237943461111</v>
      </c>
      <c r="W144" s="5">
        <f t="shared" si="40"/>
        <v>0.52267509313683824</v>
      </c>
      <c r="X144" s="5">
        <f t="shared" si="41"/>
        <v>0.44371028129686607</v>
      </c>
      <c r="AA144" s="5">
        <f t="shared" si="42"/>
        <v>-9.5919096288068578E-2</v>
      </c>
      <c r="AB144" s="5">
        <f t="shared" si="43"/>
        <v>-8.1100333703715749E-2</v>
      </c>
      <c r="AC144" s="5">
        <f t="shared" si="44"/>
        <v>-1.4837463767906706E-2</v>
      </c>
      <c r="AD144" s="5">
        <f t="shared" si="45"/>
        <v>0.80911440419160052</v>
      </c>
      <c r="AE144" s="5">
        <f t="shared" si="46"/>
        <v>0.91912569656988519</v>
      </c>
      <c r="AF144" s="5">
        <f t="shared" si="47"/>
        <v>0.78784793134453923</v>
      </c>
    </row>
    <row r="145" spans="1:32" x14ac:dyDescent="0.25">
      <c r="A145" s="2">
        <v>45299</v>
      </c>
      <c r="B145">
        <v>33563</v>
      </c>
      <c r="C145">
        <v>37994</v>
      </c>
      <c r="D145">
        <v>247220</v>
      </c>
      <c r="F145" s="5">
        <f t="shared" si="32"/>
        <v>0.88337632257724907</v>
      </c>
      <c r="G145" s="5">
        <f t="shared" si="33"/>
        <v>0.2244735347907785</v>
      </c>
      <c r="I145" s="2">
        <v>45299</v>
      </c>
      <c r="J145">
        <v>34297</v>
      </c>
      <c r="K145">
        <v>29435</v>
      </c>
      <c r="M145" s="5">
        <f t="shared" si="34"/>
        <v>1.3207860745837829</v>
      </c>
      <c r="N145" s="5">
        <f t="shared" si="35"/>
        <v>0.24354988739841379</v>
      </c>
      <c r="S145" s="5">
        <f t="shared" si="36"/>
        <v>-3.7664402324581625E-2</v>
      </c>
      <c r="T145" s="5">
        <f t="shared" si="37"/>
        <v>-2.0502121667143214E-2</v>
      </c>
      <c r="U145" s="5">
        <f t="shared" si="38"/>
        <v>-2.0364029754720181E-2</v>
      </c>
      <c r="V145" s="5">
        <f t="shared" si="39"/>
        <v>0.55102599795176055</v>
      </c>
      <c r="W145" s="5">
        <f t="shared" si="40"/>
        <v>0.48260873137037585</v>
      </c>
      <c r="X145" s="5">
        <f t="shared" si="41"/>
        <v>0.40548434037242476</v>
      </c>
      <c r="AA145" s="5">
        <f t="shared" si="42"/>
        <v>-8.9924540044750978E-2</v>
      </c>
      <c r="AB145" s="5">
        <f t="shared" si="43"/>
        <v>-7.5732423819743599E-2</v>
      </c>
      <c r="AC145" s="5">
        <f t="shared" si="44"/>
        <v>-8.4032975279075828E-3</v>
      </c>
      <c r="AD145" s="5">
        <f t="shared" si="45"/>
        <v>0.78572147931987457</v>
      </c>
      <c r="AE145" s="5">
        <f t="shared" si="46"/>
        <v>0.89649486984156468</v>
      </c>
      <c r="AF145" s="5">
        <f t="shared" si="47"/>
        <v>0.75943101280649339</v>
      </c>
    </row>
    <row r="146" spans="1:32" x14ac:dyDescent="0.25">
      <c r="A146" s="2">
        <v>45296</v>
      </c>
      <c r="B146">
        <v>33463</v>
      </c>
      <c r="C146">
        <v>36055</v>
      </c>
      <c r="D146">
        <v>246559</v>
      </c>
      <c r="F146" s="5">
        <f t="shared" si="32"/>
        <v>0.92810983220080434</v>
      </c>
      <c r="G146" s="5">
        <f t="shared" si="33"/>
        <v>0.21994007789241229</v>
      </c>
      <c r="I146" s="2">
        <v>45296</v>
      </c>
      <c r="J146">
        <v>34147</v>
      </c>
      <c r="K146">
        <v>26635</v>
      </c>
      <c r="M146" s="5">
        <f t="shared" si="34"/>
        <v>1.3265001317831728</v>
      </c>
      <c r="N146" s="5">
        <f t="shared" si="35"/>
        <v>0.24368868902644769</v>
      </c>
      <c r="S146" s="5">
        <f t="shared" si="36"/>
        <v>-3.0730261101134637E-2</v>
      </c>
      <c r="T146" s="5">
        <f t="shared" si="37"/>
        <v>-1.5450124951422506E-2</v>
      </c>
      <c r="U146" s="5">
        <f t="shared" si="38"/>
        <v>-1.6222098859671574E-2</v>
      </c>
      <c r="V146" s="5">
        <f t="shared" si="39"/>
        <v>0.50813927082058252</v>
      </c>
      <c r="W146" s="5">
        <f t="shared" si="40"/>
        <v>0.44038858622223798</v>
      </c>
      <c r="X146" s="5">
        <f t="shared" si="41"/>
        <v>0.36547660690317851</v>
      </c>
      <c r="AA146" s="5">
        <f t="shared" si="42"/>
        <v>-8.4095493237835578E-2</v>
      </c>
      <c r="AB146" s="5">
        <f t="shared" si="43"/>
        <v>-7.0451843566162659E-2</v>
      </c>
      <c r="AC146" s="5">
        <f t="shared" si="44"/>
        <v>-2.0512037151803053E-3</v>
      </c>
      <c r="AD146" s="5">
        <f t="shared" si="45"/>
        <v>0.76006760308887922</v>
      </c>
      <c r="AE146" s="5">
        <f t="shared" si="46"/>
        <v>0.87167625298220386</v>
      </c>
      <c r="AF146" s="5">
        <f t="shared" si="47"/>
        <v>0.72859610790217544</v>
      </c>
    </row>
    <row r="147" spans="1:32" x14ac:dyDescent="0.25">
      <c r="A147" s="2">
        <v>45295</v>
      </c>
      <c r="B147">
        <v>33363</v>
      </c>
      <c r="C147">
        <v>34655</v>
      </c>
      <c r="D147">
        <v>247085</v>
      </c>
      <c r="F147" s="5">
        <f t="shared" si="32"/>
        <v>0.96271822247871885</v>
      </c>
      <c r="G147" s="5">
        <f t="shared" si="33"/>
        <v>0.21585957607512465</v>
      </c>
      <c r="I147" s="2">
        <v>45295</v>
      </c>
      <c r="J147">
        <v>34297</v>
      </c>
      <c r="K147">
        <v>26610</v>
      </c>
      <c r="M147" s="5">
        <f t="shared" si="34"/>
        <v>1.3206694463072572</v>
      </c>
      <c r="N147" s="5">
        <f t="shared" si="35"/>
        <v>0.24364127257199006</v>
      </c>
      <c r="S147" s="5">
        <f t="shared" si="36"/>
        <v>-2.4429812322709826E-2</v>
      </c>
      <c r="T147" s="5">
        <f t="shared" si="37"/>
        <v>-1.0919241817121811E-2</v>
      </c>
      <c r="U147" s="5">
        <f t="shared" si="38"/>
        <v>-1.2489743398779757E-2</v>
      </c>
      <c r="V147" s="5">
        <f t="shared" si="39"/>
        <v>0.46526815327373738</v>
      </c>
      <c r="W147" s="5">
        <f t="shared" si="40"/>
        <v>0.39864424176785684</v>
      </c>
      <c r="X147" s="5">
        <f t="shared" si="41"/>
        <v>0.32544861340104991</v>
      </c>
      <c r="AA147" s="5">
        <f t="shared" si="42"/>
        <v>-7.8225135973926857E-2</v>
      </c>
      <c r="AB147" s="5">
        <f t="shared" si="43"/>
        <v>-6.3230174484364327E-2</v>
      </c>
      <c r="AC147" s="5">
        <f t="shared" si="44"/>
        <v>4.2099252150876454E-3</v>
      </c>
      <c r="AD147" s="5">
        <f t="shared" si="45"/>
        <v>0.73409771150859493</v>
      </c>
      <c r="AE147" s="5">
        <f t="shared" si="46"/>
        <v>0.83801004368254806</v>
      </c>
      <c r="AF147" s="5">
        <f t="shared" si="47"/>
        <v>0.69558961126630103</v>
      </c>
    </row>
    <row r="148" spans="1:32" x14ac:dyDescent="0.25">
      <c r="A148" s="2">
        <v>45294</v>
      </c>
      <c r="B148">
        <v>33413</v>
      </c>
      <c r="C148">
        <v>33380</v>
      </c>
      <c r="D148">
        <v>245981</v>
      </c>
      <c r="F148" s="5">
        <f t="shared" si="32"/>
        <v>1.0009886159376873</v>
      </c>
      <c r="G148" s="5">
        <f t="shared" si="33"/>
        <v>0.21355035904518918</v>
      </c>
      <c r="I148" s="2">
        <v>45294</v>
      </c>
      <c r="J148">
        <v>34242</v>
      </c>
      <c r="K148">
        <v>26360</v>
      </c>
      <c r="M148" s="5">
        <f t="shared" si="34"/>
        <v>1.3227615209391974</v>
      </c>
      <c r="N148" s="5">
        <f t="shared" si="35"/>
        <v>0.24433746931803868</v>
      </c>
      <c r="S148" s="5">
        <f t="shared" si="36"/>
        <v>-1.8530549139788244E-2</v>
      </c>
      <c r="T148" s="5">
        <f t="shared" si="37"/>
        <v>-6.7101753471172088E-3</v>
      </c>
      <c r="U148" s="5">
        <f t="shared" si="38"/>
        <v>-9.0428988046172831E-3</v>
      </c>
      <c r="V148" s="5">
        <f t="shared" si="39"/>
        <v>0.42272681084868913</v>
      </c>
      <c r="W148" s="5">
        <f t="shared" si="40"/>
        <v>0.35749848154779007</v>
      </c>
      <c r="X148" s="5">
        <f t="shared" si="41"/>
        <v>0.28597528571068742</v>
      </c>
      <c r="AA148" s="5">
        <f t="shared" si="42"/>
        <v>-7.1999163505179264E-2</v>
      </c>
      <c r="AB148" s="5">
        <f t="shared" si="43"/>
        <v>-5.6144714486992209E-2</v>
      </c>
      <c r="AC148" s="5">
        <f t="shared" si="44"/>
        <v>1.0382381186908929E-2</v>
      </c>
      <c r="AD148" s="5">
        <f t="shared" si="45"/>
        <v>0.7090464146593175</v>
      </c>
      <c r="AE148" s="5">
        <f t="shared" si="46"/>
        <v>0.80190713083864396</v>
      </c>
      <c r="AF148" s="5">
        <f t="shared" si="47"/>
        <v>0.66033995182141592</v>
      </c>
    </row>
    <row r="149" spans="1:32" x14ac:dyDescent="0.25">
      <c r="A149" s="2">
        <v>45293</v>
      </c>
      <c r="B149">
        <v>33677</v>
      </c>
      <c r="C149">
        <v>30679</v>
      </c>
      <c r="D149">
        <v>246427</v>
      </c>
      <c r="F149" s="5">
        <f t="shared" si="32"/>
        <v>1.0977215684996251</v>
      </c>
      <c r="G149" s="5">
        <f t="shared" si="33"/>
        <v>0.20707696366918396</v>
      </c>
      <c r="I149" s="2">
        <v>45293</v>
      </c>
      <c r="J149">
        <v>34242</v>
      </c>
      <c r="K149">
        <v>26360</v>
      </c>
      <c r="M149" s="5">
        <f t="shared" si="34"/>
        <v>1.3227323170375562</v>
      </c>
      <c r="N149" s="5">
        <f t="shared" si="35"/>
        <v>0.24400083445309576</v>
      </c>
      <c r="S149" s="5">
        <f t="shared" si="36"/>
        <v>-1.3006532546168181E-2</v>
      </c>
      <c r="T149" s="5">
        <f t="shared" si="37"/>
        <v>-2.8645024989965573E-3</v>
      </c>
      <c r="U149" s="5">
        <f t="shared" si="38"/>
        <v>-5.8850146156697036E-3</v>
      </c>
      <c r="V149" s="5">
        <f t="shared" si="39"/>
        <v>0.37996589504203571</v>
      </c>
      <c r="W149" s="5">
        <f t="shared" si="40"/>
        <v>0.31628623342495765</v>
      </c>
      <c r="X149" s="5">
        <f t="shared" si="41"/>
        <v>0.24643223631844868</v>
      </c>
      <c r="AA149" s="5">
        <f t="shared" si="42"/>
        <v>-6.6101931097287042E-2</v>
      </c>
      <c r="AB149" s="5">
        <f t="shared" si="43"/>
        <v>-4.9316083818846251E-2</v>
      </c>
      <c r="AC149" s="5">
        <f t="shared" si="44"/>
        <v>1.6697794588027504E-2</v>
      </c>
      <c r="AD149" s="5">
        <f t="shared" si="45"/>
        <v>0.68136914135730942</v>
      </c>
      <c r="AE149" s="5">
        <f t="shared" si="46"/>
        <v>0.7635543402895707</v>
      </c>
      <c r="AF149" s="5">
        <f t="shared" si="47"/>
        <v>0.61994571945341947</v>
      </c>
    </row>
    <row r="150" spans="1:32" x14ac:dyDescent="0.25">
      <c r="A150" s="2">
        <v>45292</v>
      </c>
      <c r="B150">
        <v>33677</v>
      </c>
      <c r="C150">
        <v>30679</v>
      </c>
      <c r="D150">
        <v>246338</v>
      </c>
      <c r="F150" s="5">
        <f t="shared" si="32"/>
        <v>1.0977215684996251</v>
      </c>
      <c r="G150" s="5">
        <f t="shared" si="33"/>
        <v>0.20713628200093984</v>
      </c>
      <c r="I150" s="2">
        <v>45292</v>
      </c>
      <c r="J150">
        <v>0</v>
      </c>
      <c r="K150">
        <v>0</v>
      </c>
      <c r="M150" s="5" t="str">
        <f t="shared" si="34"/>
        <v/>
      </c>
      <c r="N150" s="5">
        <f t="shared" si="35"/>
        <v>0.1553063813736584</v>
      </c>
      <c r="S150" s="5">
        <f t="shared" si="36"/>
        <v>-8.0605354797992357E-3</v>
      </c>
      <c r="T150" s="5">
        <f t="shared" si="37"/>
        <v>5.6890984793050992E-4</v>
      </c>
      <c r="U150" s="5">
        <f t="shared" si="38"/>
        <v>-3.0751132483832211E-3</v>
      </c>
      <c r="V150" s="5">
        <f t="shared" si="39"/>
        <v>0.33742279097397654</v>
      </c>
      <c r="W150" s="5">
        <f t="shared" si="40"/>
        <v>0.27511908593385914</v>
      </c>
      <c r="X150" s="5">
        <f t="shared" si="41"/>
        <v>0.20702483676056382</v>
      </c>
      <c r="AA150" s="5">
        <f t="shared" si="42"/>
        <v>-6.0334097843455503E-2</v>
      </c>
      <c r="AB150" s="5">
        <f t="shared" si="43"/>
        <v>-4.2538867809382375E-2</v>
      </c>
      <c r="AC150" s="5">
        <f t="shared" si="44"/>
        <v>2.3094234209421499E-2</v>
      </c>
      <c r="AD150" s="5">
        <f t="shared" si="45"/>
        <v>0.64885170175701667</v>
      </c>
      <c r="AE150" s="5">
        <f t="shared" si="46"/>
        <v>0.72013154287875836</v>
      </c>
      <c r="AF150" s="5">
        <f t="shared" si="47"/>
        <v>0.5747872858625831</v>
      </c>
    </row>
    <row r="151" spans="1:32" x14ac:dyDescent="0.25">
      <c r="A151" s="2">
        <v>45289</v>
      </c>
      <c r="B151">
        <v>33677</v>
      </c>
      <c r="C151">
        <v>30679</v>
      </c>
      <c r="D151">
        <v>246338</v>
      </c>
      <c r="F151" s="5">
        <f t="shared" si="32"/>
        <v>1.0977215684996251</v>
      </c>
      <c r="G151" s="5">
        <f t="shared" si="33"/>
        <v>0.20713628200093984</v>
      </c>
      <c r="I151" s="2">
        <v>45289</v>
      </c>
      <c r="J151">
        <v>34242</v>
      </c>
      <c r="K151">
        <v>26360</v>
      </c>
      <c r="M151" s="5">
        <f t="shared" si="34"/>
        <v>1.3226155014309913</v>
      </c>
      <c r="N151" s="5">
        <f t="shared" si="35"/>
        <v>0.24405819516431448</v>
      </c>
      <c r="S151" s="5">
        <f t="shared" si="36"/>
        <v>9.2002861481693676E-4</v>
      </c>
      <c r="T151" s="5">
        <f t="shared" si="37"/>
        <v>8.0938131000947711E-3</v>
      </c>
      <c r="U151" s="5">
        <f t="shared" si="38"/>
        <v>3.831658240017799E-3</v>
      </c>
      <c r="V151" s="5">
        <f t="shared" si="39"/>
        <v>0.3569579119841586</v>
      </c>
      <c r="W151" s="5">
        <f t="shared" si="40"/>
        <v>0.29637943564616398</v>
      </c>
      <c r="X151" s="5">
        <f t="shared" si="41"/>
        <v>0.23016553614854673</v>
      </c>
      <c r="AA151" s="5">
        <f t="shared" si="42"/>
        <v>-5.4667508421146482E-2</v>
      </c>
      <c r="AB151" s="5">
        <f t="shared" si="43"/>
        <v>-3.5755651417534506E-2</v>
      </c>
      <c r="AC151" s="5">
        <f t="shared" si="44"/>
        <v>2.948872065884961E-2</v>
      </c>
      <c r="AD151" s="5">
        <f t="shared" si="45"/>
        <v>0.61591022023595654</v>
      </c>
      <c r="AE151" s="5">
        <f t="shared" si="46"/>
        <v>0.67705921457829199</v>
      </c>
      <c r="AF151" s="5">
        <f t="shared" si="47"/>
        <v>0.52937293292845411</v>
      </c>
    </row>
    <row r="152" spans="1:32" x14ac:dyDescent="0.25">
      <c r="A152" s="2">
        <v>45288</v>
      </c>
      <c r="B152">
        <v>33577</v>
      </c>
      <c r="C152">
        <v>30679</v>
      </c>
      <c r="D152">
        <v>247527</v>
      </c>
      <c r="F152" s="5">
        <f t="shared" si="32"/>
        <v>1.0944620098438671</v>
      </c>
      <c r="G152" s="5">
        <f t="shared" si="33"/>
        <v>0.20609205761699645</v>
      </c>
      <c r="I152" s="2">
        <v>45288</v>
      </c>
      <c r="J152">
        <v>34242</v>
      </c>
      <c r="K152">
        <v>25485</v>
      </c>
      <c r="M152" s="5">
        <f t="shared" si="34"/>
        <v>1.3225862975293499</v>
      </c>
      <c r="N152" s="5">
        <f t="shared" si="35"/>
        <v>0.24316862198332401</v>
      </c>
      <c r="S152" s="5">
        <f t="shared" si="36"/>
        <v>5.2662792797165681E-3</v>
      </c>
      <c r="T152" s="5">
        <f t="shared" si="37"/>
        <v>1.115519131807996E-2</v>
      </c>
      <c r="U152" s="5">
        <f t="shared" si="38"/>
        <v>6.3086881155980379E-3</v>
      </c>
      <c r="V152" s="5">
        <f t="shared" si="39"/>
        <v>0.31447727519030055</v>
      </c>
      <c r="W152" s="5">
        <f t="shared" si="40"/>
        <v>0.25546374678266137</v>
      </c>
      <c r="X152" s="5">
        <f t="shared" si="41"/>
        <v>0.19101925704588829</v>
      </c>
      <c r="AA152" s="5">
        <f t="shared" si="42"/>
        <v>-4.8654205884034435E-2</v>
      </c>
      <c r="AB152" s="5">
        <f t="shared" si="43"/>
        <v>-2.8874581721257203E-2</v>
      </c>
      <c r="AC152" s="5">
        <f t="shared" si="44"/>
        <v>3.5971992083691978E-2</v>
      </c>
      <c r="AD152" s="5">
        <f t="shared" si="45"/>
        <v>0.58414110085926074</v>
      </c>
      <c r="AE152" s="5">
        <f t="shared" si="46"/>
        <v>0.63348741447324153</v>
      </c>
      <c r="AF152" s="5">
        <f t="shared" si="47"/>
        <v>0.48365692163974761</v>
      </c>
    </row>
    <row r="153" spans="1:32" x14ac:dyDescent="0.25">
      <c r="A153" s="2">
        <v>45287</v>
      </c>
      <c r="B153">
        <v>33627</v>
      </c>
      <c r="C153">
        <v>30679</v>
      </c>
      <c r="D153">
        <v>249272</v>
      </c>
      <c r="F153" s="5">
        <f t="shared" si="32"/>
        <v>1.0960917891717461</v>
      </c>
      <c r="G153" s="5">
        <f t="shared" si="33"/>
        <v>0.20507178437262819</v>
      </c>
      <c r="I153" s="2">
        <v>45287</v>
      </c>
      <c r="J153">
        <v>34242</v>
      </c>
      <c r="K153">
        <v>25485</v>
      </c>
      <c r="M153" s="5">
        <f t="shared" si="34"/>
        <v>1.3225570936277087</v>
      </c>
      <c r="N153" s="5">
        <f t="shared" si="35"/>
        <v>0.24187578504931553</v>
      </c>
      <c r="S153" s="5">
        <f t="shared" si="36"/>
        <v>9.2415244265208196E-3</v>
      </c>
      <c r="T153" s="5">
        <f t="shared" si="37"/>
        <v>1.3925752902269661E-2</v>
      </c>
      <c r="U153" s="5">
        <f t="shared" si="38"/>
        <v>8.5411621873442978E-3</v>
      </c>
      <c r="V153" s="5">
        <f t="shared" si="39"/>
        <v>0.27278787201526344</v>
      </c>
      <c r="W153" s="5">
        <f t="shared" si="40"/>
        <v>0.215149599835604</v>
      </c>
      <c r="X153" s="5">
        <f t="shared" si="41"/>
        <v>0.15236731487438016</v>
      </c>
      <c r="AA153" s="5">
        <f t="shared" si="42"/>
        <v>-4.258577067948921E-2</v>
      </c>
      <c r="AB153" s="5">
        <f t="shared" si="43"/>
        <v>-2.1977082693263761E-2</v>
      </c>
      <c r="AC153" s="5">
        <f t="shared" si="44"/>
        <v>4.2445369817536355E-2</v>
      </c>
      <c r="AD153" s="5">
        <f t="shared" si="45"/>
        <v>0.55235683894767618</v>
      </c>
      <c r="AE153" s="5">
        <f t="shared" si="46"/>
        <v>0.59015205927311221</v>
      </c>
      <c r="AF153" s="5">
        <f t="shared" si="47"/>
        <v>0.4379877639602851</v>
      </c>
    </row>
    <row r="154" spans="1:32" x14ac:dyDescent="0.25">
      <c r="A154" s="2">
        <v>45286</v>
      </c>
      <c r="B154">
        <v>33627</v>
      </c>
      <c r="C154">
        <v>30679</v>
      </c>
      <c r="D154">
        <v>250381</v>
      </c>
      <c r="F154" s="5">
        <f t="shared" si="32"/>
        <v>1.0960917891717461</v>
      </c>
      <c r="G154" s="5">
        <f t="shared" si="33"/>
        <v>0.20434908337490904</v>
      </c>
      <c r="I154" s="2">
        <v>45286</v>
      </c>
      <c r="J154">
        <v>34242</v>
      </c>
      <c r="K154">
        <v>25485</v>
      </c>
      <c r="M154" s="5">
        <f t="shared" si="34"/>
        <v>1.3225278897260675</v>
      </c>
      <c r="N154" s="5">
        <f t="shared" si="35"/>
        <v>0.24106041362921291</v>
      </c>
      <c r="S154" s="5">
        <f t="shared" si="36"/>
        <v>1.304095896260038E-2</v>
      </c>
      <c r="T154" s="5">
        <f t="shared" si="37"/>
        <v>1.6506588808649358E-2</v>
      </c>
      <c r="U154" s="5">
        <f t="shared" si="38"/>
        <v>1.0667436042649192E-2</v>
      </c>
      <c r="V154" s="5">
        <f t="shared" si="39"/>
        <v>0.23095841621836422</v>
      </c>
      <c r="W154" s="5">
        <f t="shared" si="40"/>
        <v>0.174833369488954</v>
      </c>
      <c r="X154" s="5">
        <f t="shared" si="41"/>
        <v>0.11367643267993321</v>
      </c>
      <c r="AA154" s="5">
        <f t="shared" si="42"/>
        <v>-3.6702044198797024E-2</v>
      </c>
      <c r="AB154" s="5">
        <f t="shared" si="43"/>
        <v>-1.5196039518687199E-2</v>
      </c>
      <c r="AC154" s="5">
        <f t="shared" si="44"/>
        <v>4.8872915610751994E-2</v>
      </c>
      <c r="AD154" s="5">
        <f t="shared" si="45"/>
        <v>0.51974712106666887</v>
      </c>
      <c r="AE154" s="5">
        <f t="shared" si="46"/>
        <v>0.54647577503156453</v>
      </c>
      <c r="AF154" s="5">
        <f t="shared" si="47"/>
        <v>0.39144437297744805</v>
      </c>
    </row>
    <row r="155" spans="1:32" x14ac:dyDescent="0.25">
      <c r="A155" s="2">
        <v>45285</v>
      </c>
      <c r="B155">
        <v>33077</v>
      </c>
      <c r="C155">
        <v>29929</v>
      </c>
      <c r="D155">
        <v>250381</v>
      </c>
      <c r="F155" s="5">
        <f t="shared" si="32"/>
        <v>1.1051822646931071</v>
      </c>
      <c r="G155" s="5">
        <f t="shared" si="33"/>
        <v>0.2010485438132405</v>
      </c>
      <c r="I155" s="2">
        <v>45285</v>
      </c>
      <c r="J155">
        <v>0</v>
      </c>
      <c r="K155">
        <v>0</v>
      </c>
      <c r="M155" s="5" t="str">
        <f t="shared" si="34"/>
        <v/>
      </c>
      <c r="N155" s="5">
        <f t="shared" si="35"/>
        <v>0.15316269033301089</v>
      </c>
      <c r="S155" s="5">
        <f t="shared" si="36"/>
        <v>1.566617200692344E-2</v>
      </c>
      <c r="T155" s="5">
        <f t="shared" si="37"/>
        <v>1.831965513391709E-2</v>
      </c>
      <c r="U155" s="5">
        <f t="shared" si="38"/>
        <v>1.2127061429115127E-2</v>
      </c>
      <c r="V155" s="5">
        <f t="shared" si="39"/>
        <v>0.19089672096739374</v>
      </c>
      <c r="W155" s="5">
        <f t="shared" si="40"/>
        <v>0.13569429834186264</v>
      </c>
      <c r="X155" s="5">
        <f t="shared" si="41"/>
        <v>7.6054689848697898E-2</v>
      </c>
      <c r="AA155" s="5">
        <f t="shared" si="42"/>
        <v>-3.1431521363051329E-2</v>
      </c>
      <c r="AB155" s="5">
        <f t="shared" si="43"/>
        <v>-8.7643315079102835E-3</v>
      </c>
      <c r="AC155" s="5">
        <f t="shared" si="44"/>
        <v>5.3929997947476438E-2</v>
      </c>
      <c r="AD155" s="5">
        <f t="shared" si="45"/>
        <v>0.48654643913809148</v>
      </c>
      <c r="AE155" s="5">
        <f t="shared" si="46"/>
        <v>0.50211247821430793</v>
      </c>
      <c r="AF155" s="5">
        <f t="shared" si="47"/>
        <v>0.34628618467196037</v>
      </c>
    </row>
    <row r="156" spans="1:32" x14ac:dyDescent="0.25">
      <c r="A156" s="2">
        <v>45282</v>
      </c>
      <c r="B156">
        <v>33077</v>
      </c>
      <c r="C156">
        <v>29929</v>
      </c>
      <c r="D156">
        <v>250381</v>
      </c>
      <c r="F156" s="5">
        <f t="shared" si="32"/>
        <v>1.1051822646931071</v>
      </c>
      <c r="G156" s="5">
        <f t="shared" si="33"/>
        <v>0.2010485438132405</v>
      </c>
      <c r="I156" s="2">
        <v>45282</v>
      </c>
      <c r="J156">
        <v>34242</v>
      </c>
      <c r="K156">
        <v>25573</v>
      </c>
      <c r="M156" s="5">
        <f t="shared" si="34"/>
        <v>1.3224110741195023</v>
      </c>
      <c r="N156" s="5">
        <f t="shared" si="35"/>
        <v>0.24105121171246269</v>
      </c>
      <c r="S156" s="5">
        <f t="shared" si="36"/>
        <v>2.2329706033176022E-2</v>
      </c>
      <c r="T156" s="5">
        <f t="shared" si="37"/>
        <v>2.419758773855657E-2</v>
      </c>
      <c r="U156" s="5">
        <f t="shared" si="38"/>
        <v>1.7617271511019439E-2</v>
      </c>
      <c r="V156" s="5">
        <f t="shared" si="39"/>
        <v>0.21289646931985162</v>
      </c>
      <c r="W156" s="5">
        <f t="shared" si="40"/>
        <v>0.15941793346612709</v>
      </c>
      <c r="X156" s="5">
        <f t="shared" si="41"/>
        <v>0.10143414490636571</v>
      </c>
      <c r="AA156" s="5">
        <f t="shared" si="42"/>
        <v>-2.6197644327456138E-2</v>
      </c>
      <c r="AB156" s="5">
        <f t="shared" si="43"/>
        <v>-2.2189764182147798E-3</v>
      </c>
      <c r="AC156" s="5">
        <f t="shared" si="44"/>
        <v>5.9041941995907454E-2</v>
      </c>
      <c r="AD156" s="5">
        <f t="shared" si="45"/>
        <v>0.45276791290822649</v>
      </c>
      <c r="AE156" s="5">
        <f t="shared" si="46"/>
        <v>0.45717384416375584</v>
      </c>
      <c r="AF156" s="5">
        <f t="shared" si="47"/>
        <v>0.30058834944653873</v>
      </c>
    </row>
    <row r="157" spans="1:32" x14ac:dyDescent="0.25">
      <c r="A157" s="2">
        <v>45281</v>
      </c>
      <c r="B157">
        <v>31252</v>
      </c>
      <c r="C157">
        <v>29455</v>
      </c>
      <c r="D157">
        <v>251461</v>
      </c>
      <c r="F157" s="5">
        <f t="shared" si="32"/>
        <v>1.061008317772874</v>
      </c>
      <c r="G157" s="5">
        <f t="shared" si="33"/>
        <v>0.19446900386971119</v>
      </c>
      <c r="I157" s="2">
        <v>45281</v>
      </c>
      <c r="J157">
        <v>34275</v>
      </c>
      <c r="K157">
        <v>24735</v>
      </c>
      <c r="M157" s="5">
        <f t="shared" si="34"/>
        <v>1.3211086797957694</v>
      </c>
      <c r="N157" s="5">
        <f t="shared" si="35"/>
        <v>0.24033810952307585</v>
      </c>
      <c r="S157" s="5">
        <f t="shared" si="36"/>
        <v>2.4601203254778714E-2</v>
      </c>
      <c r="T157" s="5">
        <f t="shared" si="37"/>
        <v>2.5746977943062355E-2</v>
      </c>
      <c r="U157" s="5">
        <f t="shared" si="38"/>
        <v>1.8792994606807556E-2</v>
      </c>
      <c r="V157" s="5">
        <f t="shared" si="39"/>
        <v>0.17306569795806759</v>
      </c>
      <c r="W157" s="5">
        <f t="shared" si="40"/>
        <v>0.12100298167116075</v>
      </c>
      <c r="X157" s="5">
        <f t="shared" si="41"/>
        <v>6.4697361715007173E-2</v>
      </c>
      <c r="AA157" s="5">
        <f t="shared" si="42"/>
        <v>-2.09097951953362E-2</v>
      </c>
      <c r="AB157" s="5">
        <f t="shared" si="43"/>
        <v>4.373634603826726E-3</v>
      </c>
      <c r="AC157" s="5">
        <f t="shared" si="44"/>
        <v>6.4196247139002793E-2</v>
      </c>
      <c r="AD157" s="5">
        <f t="shared" si="45"/>
        <v>0.41869874094957416</v>
      </c>
      <c r="AE157" s="5">
        <f t="shared" si="46"/>
        <v>0.41227945971422741</v>
      </c>
      <c r="AF157" s="5">
        <f t="shared" si="47"/>
        <v>0.25467779099054844</v>
      </c>
    </row>
    <row r="158" spans="1:32" x14ac:dyDescent="0.25">
      <c r="A158" s="2">
        <v>45280</v>
      </c>
      <c r="B158">
        <v>29952</v>
      </c>
      <c r="C158">
        <v>28055</v>
      </c>
      <c r="D158">
        <v>256416</v>
      </c>
      <c r="F158" s="5">
        <f t="shared" si="32"/>
        <v>1.0676171805382284</v>
      </c>
      <c r="G158" s="5">
        <f t="shared" si="33"/>
        <v>0.18448713993569174</v>
      </c>
      <c r="I158" s="2">
        <v>45280</v>
      </c>
      <c r="J158">
        <v>34275</v>
      </c>
      <c r="K158">
        <v>24735</v>
      </c>
      <c r="M158" s="5">
        <f t="shared" si="34"/>
        <v>1.3210795040116703</v>
      </c>
      <c r="N158" s="5">
        <f t="shared" si="35"/>
        <v>0.23679127067514755</v>
      </c>
      <c r="S158" s="5">
        <f t="shared" si="36"/>
        <v>2.6800244338168522E-2</v>
      </c>
      <c r="T158" s="5">
        <f t="shared" si="37"/>
        <v>2.7224796107620075E-2</v>
      </c>
      <c r="U158" s="5">
        <f t="shared" si="38"/>
        <v>1.990777656050513E-2</v>
      </c>
      <c r="V158" s="5">
        <f t="shared" si="39"/>
        <v>0.13430175545763356</v>
      </c>
      <c r="W158" s="5">
        <f t="shared" si="40"/>
        <v>8.3740450240283648E-2</v>
      </c>
      <c r="X158" s="5">
        <f t="shared" si="41"/>
        <v>2.9068710299920086E-2</v>
      </c>
      <c r="AA158" s="5">
        <f t="shared" si="42"/>
        <v>-1.509034169190393E-2</v>
      </c>
      <c r="AB158" s="5">
        <f t="shared" si="43"/>
        <v>1.1450473450740017E-2</v>
      </c>
      <c r="AC158" s="5">
        <f t="shared" si="44"/>
        <v>6.9828847496748586E-2</v>
      </c>
      <c r="AD158" s="5">
        <f t="shared" si="45"/>
        <v>0.38627132109407092</v>
      </c>
      <c r="AE158" s="5">
        <f t="shared" si="46"/>
        <v>0.36915150477868891</v>
      </c>
      <c r="AF158" s="5">
        <f t="shared" si="47"/>
        <v>0.21062636745024516</v>
      </c>
    </row>
    <row r="159" spans="1:32" x14ac:dyDescent="0.25">
      <c r="A159" s="2">
        <v>45279</v>
      </c>
      <c r="B159">
        <v>30277</v>
      </c>
      <c r="C159">
        <v>27955</v>
      </c>
      <c r="D159">
        <v>253872</v>
      </c>
      <c r="F159" s="5">
        <f t="shared" si="32"/>
        <v>1.0830620640314792</v>
      </c>
      <c r="G159" s="5">
        <f t="shared" si="33"/>
        <v>0.18657883269679337</v>
      </c>
      <c r="I159" s="2">
        <v>45279</v>
      </c>
      <c r="J159">
        <v>34325</v>
      </c>
      <c r="K159">
        <v>24735</v>
      </c>
      <c r="M159" s="5">
        <f t="shared" si="34"/>
        <v>1.3191260014566641</v>
      </c>
      <c r="N159" s="5">
        <f t="shared" si="35"/>
        <v>0.2387098321918219</v>
      </c>
      <c r="S159" s="5">
        <f t="shared" si="36"/>
        <v>2.8700779836838886E-2</v>
      </c>
      <c r="T159" s="5">
        <f t="shared" si="37"/>
        <v>2.8601789967231339E-2</v>
      </c>
      <c r="U159" s="5">
        <f t="shared" si="38"/>
        <v>2.0939327731332891E-2</v>
      </c>
      <c r="V159" s="5">
        <f t="shared" si="39"/>
        <v>9.8377032868330216E-2</v>
      </c>
      <c r="W159" s="5">
        <f t="shared" si="40"/>
        <v>4.8172667339309472E-2</v>
      </c>
      <c r="X159" s="5">
        <f t="shared" si="41"/>
        <v>-4.99121398263358E-3</v>
      </c>
      <c r="AA159" s="5">
        <f t="shared" si="42"/>
        <v>-8.6771455735356606E-3</v>
      </c>
      <c r="AB159" s="5">
        <f t="shared" si="43"/>
        <v>1.9142292820497286E-2</v>
      </c>
      <c r="AC159" s="5">
        <f t="shared" si="44"/>
        <v>7.6071838518277701E-2</v>
      </c>
      <c r="AD159" s="5">
        <f t="shared" si="45"/>
        <v>0.35344182644393812</v>
      </c>
      <c r="AE159" s="5">
        <f t="shared" si="46"/>
        <v>0.3257811800357191</v>
      </c>
      <c r="AF159" s="5">
        <f t="shared" si="47"/>
        <v>0.16609811864217561</v>
      </c>
    </row>
    <row r="160" spans="1:32" x14ac:dyDescent="0.25">
      <c r="A160" s="2">
        <v>45278</v>
      </c>
      <c r="B160">
        <v>30617</v>
      </c>
      <c r="C160">
        <v>27905</v>
      </c>
      <c r="D160">
        <v>245343</v>
      </c>
      <c r="F160" s="5">
        <f t="shared" si="32"/>
        <v>1.0971868840709551</v>
      </c>
      <c r="G160" s="5">
        <f t="shared" si="33"/>
        <v>0.192592105046649</v>
      </c>
      <c r="I160" s="2">
        <v>45278</v>
      </c>
      <c r="J160">
        <v>32025</v>
      </c>
      <c r="K160">
        <v>24785</v>
      </c>
      <c r="M160" s="5">
        <f t="shared" si="34"/>
        <v>1.4138329430132708</v>
      </c>
      <c r="N160" s="5">
        <f t="shared" si="35"/>
        <v>0.23959075891224438</v>
      </c>
      <c r="S160" s="5">
        <f t="shared" si="36"/>
        <v>3.0396956404252162E-2</v>
      </c>
      <c r="T160" s="5">
        <f t="shared" si="37"/>
        <v>2.9807071324412848E-2</v>
      </c>
      <c r="U160" s="5">
        <f t="shared" si="38"/>
        <v>2.1849796359381501E-2</v>
      </c>
      <c r="V160" s="5">
        <f t="shared" si="39"/>
        <v>6.2574797888141576E-2</v>
      </c>
      <c r="W160" s="5">
        <f t="shared" si="40"/>
        <v>1.2845588818358511E-2</v>
      </c>
      <c r="X160" s="5">
        <f t="shared" si="41"/>
        <v>-3.8860474602964934E-2</v>
      </c>
      <c r="AA160" s="5">
        <f t="shared" si="42"/>
        <v>-2.4572727347138001E-3</v>
      </c>
      <c r="AB160" s="5">
        <f t="shared" si="43"/>
        <v>2.6771948702738635E-2</v>
      </c>
      <c r="AC160" s="5">
        <f t="shared" si="44"/>
        <v>8.2227538882219481E-2</v>
      </c>
      <c r="AD160" s="5">
        <f t="shared" si="45"/>
        <v>0.31982324578731258</v>
      </c>
      <c r="AE160" s="5">
        <f t="shared" si="46"/>
        <v>0.28152908009790661</v>
      </c>
      <c r="AF160" s="5">
        <f t="shared" si="47"/>
        <v>0.12084683421476122</v>
      </c>
    </row>
    <row r="161" spans="1:32" x14ac:dyDescent="0.25">
      <c r="A161" s="2">
        <v>45275</v>
      </c>
      <c r="B161">
        <v>30117</v>
      </c>
      <c r="C161">
        <v>25255</v>
      </c>
      <c r="D161">
        <v>240613</v>
      </c>
      <c r="F161" s="5">
        <f t="shared" si="32"/>
        <v>1.1925163333993269</v>
      </c>
      <c r="G161" s="5">
        <f t="shared" si="33"/>
        <v>0.18707704782336942</v>
      </c>
      <c r="I161" s="2">
        <v>45275</v>
      </c>
      <c r="J161">
        <v>32025</v>
      </c>
      <c r="K161">
        <v>24635</v>
      </c>
      <c r="M161" s="5">
        <f t="shared" si="34"/>
        <v>1.4137392661982826</v>
      </c>
      <c r="N161" s="5">
        <f t="shared" si="35"/>
        <v>0.24314828270627498</v>
      </c>
      <c r="S161" s="5">
        <f t="shared" si="36"/>
        <v>3.2097298614996328E-2</v>
      </c>
      <c r="T161" s="5">
        <f t="shared" si="37"/>
        <v>3.1003589774634577E-2</v>
      </c>
      <c r="U161" s="5">
        <f t="shared" si="38"/>
        <v>2.2749989386297242E-2</v>
      </c>
      <c r="V161" s="5">
        <f t="shared" si="39"/>
        <v>2.252463417101902E-2</v>
      </c>
      <c r="W161" s="5">
        <f t="shared" si="40"/>
        <v>-2.7236362080946042E-2</v>
      </c>
      <c r="X161" s="5">
        <f t="shared" si="41"/>
        <v>-7.7400433812566449E-2</v>
      </c>
      <c r="AA161" s="5">
        <f t="shared" si="42"/>
        <v>3.6451497805412014E-3</v>
      </c>
      <c r="AB161" s="5">
        <f t="shared" si="43"/>
        <v>3.4209011619734719E-2</v>
      </c>
      <c r="AC161" s="5">
        <f t="shared" si="44"/>
        <v>8.812918143001422E-2</v>
      </c>
      <c r="AD161" s="5">
        <f t="shared" si="45"/>
        <v>0.28533311014145735</v>
      </c>
      <c r="AE161" s="5">
        <f t="shared" si="46"/>
        <v>0.23638092790388435</v>
      </c>
      <c r="AF161" s="5">
        <f t="shared" si="47"/>
        <v>7.4758587925038089E-2</v>
      </c>
    </row>
    <row r="162" spans="1:32" x14ac:dyDescent="0.25">
      <c r="A162" s="2">
        <v>45274</v>
      </c>
      <c r="B162">
        <v>27115</v>
      </c>
      <c r="C162">
        <v>23431</v>
      </c>
      <c r="D162">
        <v>245111</v>
      </c>
      <c r="F162" s="5">
        <f t="shared" si="32"/>
        <v>1.1572276044556358</v>
      </c>
      <c r="G162" s="5">
        <f t="shared" si="33"/>
        <v>0.17096162106765611</v>
      </c>
      <c r="I162" s="2">
        <v>45274</v>
      </c>
      <c r="J162">
        <v>30875</v>
      </c>
      <c r="K162">
        <v>23785</v>
      </c>
      <c r="M162" s="5">
        <f t="shared" si="34"/>
        <v>1.4663643724696356</v>
      </c>
      <c r="N162" s="5">
        <f t="shared" si="35"/>
        <v>0.23703231027827928</v>
      </c>
      <c r="S162" s="5">
        <f t="shared" si="36"/>
        <v>3.3476430421165271E-2</v>
      </c>
      <c r="T162" s="5">
        <f t="shared" si="37"/>
        <v>3.1958727893274141E-2</v>
      </c>
      <c r="U162" s="5">
        <f t="shared" si="38"/>
        <v>2.3413913033830946E-2</v>
      </c>
      <c r="V162" s="5">
        <f t="shared" si="39"/>
        <v>-1.7422924023856035E-2</v>
      </c>
      <c r="W162" s="5">
        <f t="shared" si="40"/>
        <v>-6.7299778689981604E-2</v>
      </c>
      <c r="X162" s="5">
        <f t="shared" si="41"/>
        <v>-0.11582220344082395</v>
      </c>
      <c r="AA162" s="5">
        <f t="shared" si="42"/>
        <v>1.001107900865672E-2</v>
      </c>
      <c r="AB162" s="5">
        <f t="shared" si="43"/>
        <v>4.1817543445708955E-2</v>
      </c>
      <c r="AC162" s="5">
        <f t="shared" si="44"/>
        <v>9.4215982469293358E-2</v>
      </c>
      <c r="AD162" s="5">
        <f t="shared" si="45"/>
        <v>0.24601040938008889</v>
      </c>
      <c r="AE162" s="5">
        <f t="shared" si="46"/>
        <v>0.186613493195803</v>
      </c>
      <c r="AF162" s="5">
        <f t="shared" si="47"/>
        <v>2.3863384652755504E-2</v>
      </c>
    </row>
    <row r="163" spans="1:32" x14ac:dyDescent="0.25">
      <c r="A163" s="2">
        <v>45273</v>
      </c>
      <c r="B163">
        <v>25290</v>
      </c>
      <c r="C163">
        <v>18106</v>
      </c>
      <c r="D163">
        <v>249154</v>
      </c>
      <c r="F163" s="5">
        <f t="shared" si="32"/>
        <v>1.3967745498729702</v>
      </c>
      <c r="G163" s="5">
        <f t="shared" si="33"/>
        <v>0.14833703640403351</v>
      </c>
      <c r="I163" s="2">
        <v>45273</v>
      </c>
      <c r="J163">
        <v>28550</v>
      </c>
      <c r="K163">
        <v>23160</v>
      </c>
      <c r="M163" s="5">
        <f t="shared" si="34"/>
        <v>1.5857443082311733</v>
      </c>
      <c r="N163" s="5">
        <f t="shared" si="35"/>
        <v>0.22857045548135008</v>
      </c>
      <c r="S163" s="5">
        <f t="shared" si="36"/>
        <v>3.4455040538474313E-2</v>
      </c>
      <c r="T163" s="5">
        <f t="shared" si="37"/>
        <v>3.2793207224146526E-2</v>
      </c>
      <c r="U163" s="5">
        <f t="shared" si="38"/>
        <v>2.4035196762904831E-2</v>
      </c>
      <c r="V163" s="5">
        <f t="shared" si="39"/>
        <v>-5.7607211031108441E-2</v>
      </c>
      <c r="W163" s="5">
        <f t="shared" si="40"/>
        <v>-0.10846860018396798</v>
      </c>
      <c r="X163" s="5">
        <f t="shared" si="41"/>
        <v>-0.1556140098580604</v>
      </c>
      <c r="AA163" s="5">
        <f t="shared" si="42"/>
        <v>1.689785029104468E-2</v>
      </c>
      <c r="AB163" s="5">
        <f t="shared" si="43"/>
        <v>5.0074658232229813E-2</v>
      </c>
      <c r="AC163" s="5">
        <f t="shared" si="44"/>
        <v>0.10096074511560987</v>
      </c>
      <c r="AD163" s="5">
        <f t="shared" si="45"/>
        <v>0.20822400924032319</v>
      </c>
      <c r="AE163" s="5">
        <f t="shared" si="46"/>
        <v>0.13831640648725813</v>
      </c>
      <c r="AF163" s="5">
        <f t="shared" si="47"/>
        <v>-2.5301365525464747E-2</v>
      </c>
    </row>
    <row r="164" spans="1:32" x14ac:dyDescent="0.25">
      <c r="A164" s="2">
        <v>45272</v>
      </c>
      <c r="B164">
        <v>28300</v>
      </c>
      <c r="C164">
        <v>100707</v>
      </c>
      <c r="D164">
        <v>263377</v>
      </c>
      <c r="F164" s="5">
        <f t="shared" si="32"/>
        <v>0.28101323641852105</v>
      </c>
      <c r="G164" s="5">
        <f t="shared" si="33"/>
        <v>0.32877742211710975</v>
      </c>
      <c r="I164" s="2">
        <v>45272</v>
      </c>
      <c r="J164">
        <v>83749</v>
      </c>
      <c r="K164">
        <v>100707</v>
      </c>
      <c r="M164" s="5">
        <f t="shared" si="34"/>
        <v>0.54056764856893813</v>
      </c>
      <c r="N164" s="5">
        <f t="shared" si="35"/>
        <v>0.32880137003756388</v>
      </c>
      <c r="S164" s="5">
        <f t="shared" si="36"/>
        <v>3.5411959661056869E-2</v>
      </c>
      <c r="T164" s="5">
        <f t="shared" si="37"/>
        <v>3.3750191224321546E-2</v>
      </c>
      <c r="U164" s="5">
        <f t="shared" si="38"/>
        <v>2.4834046708428648E-2</v>
      </c>
      <c r="V164" s="5">
        <f t="shared" si="39"/>
        <v>-0.10162692958397412</v>
      </c>
      <c r="W164" s="5">
        <f t="shared" si="40"/>
        <v>-0.15403569698256392</v>
      </c>
      <c r="X164" s="5">
        <f t="shared" si="41"/>
        <v>-0.19991538877173354</v>
      </c>
      <c r="AA164" s="5">
        <f t="shared" si="42"/>
        <v>2.4774290447873992E-2</v>
      </c>
      <c r="AB164" s="5">
        <f t="shared" si="43"/>
        <v>5.9371569260525253E-2</v>
      </c>
      <c r="AC164" s="5">
        <f t="shared" si="44"/>
        <v>0.1087707829424478</v>
      </c>
      <c r="AD164" s="5">
        <f t="shared" si="45"/>
        <v>0.1589631443152616</v>
      </c>
      <c r="AE164" s="5">
        <f t="shared" si="46"/>
        <v>7.8565052483853481E-2</v>
      </c>
      <c r="AF164" s="5">
        <f t="shared" si="47"/>
        <v>-8.5913880060588366E-2</v>
      </c>
    </row>
    <row r="165" spans="1:32" x14ac:dyDescent="0.25">
      <c r="A165" s="2">
        <v>45271</v>
      </c>
      <c r="B165">
        <v>27425</v>
      </c>
      <c r="C165">
        <v>101207</v>
      </c>
      <c r="D165">
        <v>266457</v>
      </c>
      <c r="F165" s="5">
        <f t="shared" si="32"/>
        <v>0.27097928008932187</v>
      </c>
      <c r="G165" s="5">
        <f t="shared" si="33"/>
        <v>0.32557727499373557</v>
      </c>
      <c r="I165" s="2">
        <v>45271</v>
      </c>
      <c r="J165">
        <v>83949</v>
      </c>
      <c r="K165">
        <v>101207</v>
      </c>
      <c r="M165" s="5">
        <f t="shared" si="34"/>
        <v>0.53926788883727028</v>
      </c>
      <c r="N165" s="5">
        <f t="shared" si="35"/>
        <v>0.3265795080330674</v>
      </c>
      <c r="S165" s="5">
        <f t="shared" si="36"/>
        <v>3.1676553219294135E-2</v>
      </c>
      <c r="T165" s="5">
        <f t="shared" si="37"/>
        <v>2.9862207610410696E-2</v>
      </c>
      <c r="U165" s="5">
        <f t="shared" si="38"/>
        <v>2.0798714176958888E-2</v>
      </c>
      <c r="V165" s="5">
        <f t="shared" si="39"/>
        <v>-9.5785054838462336E-2</v>
      </c>
      <c r="W165" s="5">
        <f t="shared" si="40"/>
        <v>-0.14965732390542807</v>
      </c>
      <c r="X165" s="5">
        <f t="shared" si="41"/>
        <v>-0.19431809212984108</v>
      </c>
      <c r="AA165" s="5">
        <f t="shared" si="42"/>
        <v>2.4185302015967969E-2</v>
      </c>
      <c r="AB165" s="5">
        <f t="shared" si="43"/>
        <v>6.0035854845308573E-2</v>
      </c>
      <c r="AC165" s="5">
        <f t="shared" si="44"/>
        <v>0.10795252205873179</v>
      </c>
      <c r="AD165" s="5">
        <f t="shared" si="45"/>
        <v>0.16276013358783753</v>
      </c>
      <c r="AE165" s="5">
        <f t="shared" si="46"/>
        <v>7.1807820205321171E-2</v>
      </c>
      <c r="AF165" s="5">
        <f t="shared" si="47"/>
        <v>-9.3269410335375502E-2</v>
      </c>
    </row>
    <row r="166" spans="1:32" x14ac:dyDescent="0.25">
      <c r="A166" s="2">
        <v>45268</v>
      </c>
      <c r="B166">
        <v>27425</v>
      </c>
      <c r="C166">
        <v>101257</v>
      </c>
      <c r="D166">
        <v>272838</v>
      </c>
      <c r="F166" s="5">
        <f t="shared" si="32"/>
        <v>0.27084547241178386</v>
      </c>
      <c r="G166" s="5">
        <f t="shared" si="33"/>
        <v>0.32048714883442919</v>
      </c>
      <c r="I166" s="2">
        <v>45268</v>
      </c>
      <c r="J166">
        <v>83949</v>
      </c>
      <c r="K166">
        <v>101257</v>
      </c>
      <c r="M166" s="5">
        <f t="shared" si="34"/>
        <v>0.53923215285470938</v>
      </c>
      <c r="N166" s="5">
        <f t="shared" si="35"/>
        <v>0.32139135192946239</v>
      </c>
      <c r="S166" s="5">
        <f t="shared" si="36"/>
        <v>2.8128741528624768E-2</v>
      </c>
      <c r="T166" s="5">
        <f t="shared" si="37"/>
        <v>2.6091719037610317E-2</v>
      </c>
      <c r="U166" s="5">
        <f t="shared" si="38"/>
        <v>1.6932394709079146E-2</v>
      </c>
      <c r="V166" s="5">
        <f t="shared" si="39"/>
        <v>-9.0079682200286393E-2</v>
      </c>
      <c r="W166" s="5">
        <f t="shared" si="40"/>
        <v>-0.14508561208251236</v>
      </c>
      <c r="X166" s="5">
        <f t="shared" si="41"/>
        <v>-0.18875558387528713</v>
      </c>
      <c r="AA166" s="5">
        <f t="shared" si="42"/>
        <v>2.3894974583903439E-2</v>
      </c>
      <c r="AB166" s="5">
        <f t="shared" si="43"/>
        <v>6.0972913368014137E-2</v>
      </c>
      <c r="AC166" s="5">
        <f t="shared" si="44"/>
        <v>0.10738310786513708</v>
      </c>
      <c r="AD166" s="5">
        <f t="shared" si="45"/>
        <v>0.16692133803722603</v>
      </c>
      <c r="AE166" s="5">
        <f t="shared" si="46"/>
        <v>6.5353996327210534E-2</v>
      </c>
      <c r="AF166" s="5">
        <f t="shared" si="47"/>
        <v>-0.10010073269112074</v>
      </c>
    </row>
    <row r="167" spans="1:32" x14ac:dyDescent="0.25">
      <c r="A167" s="2">
        <v>45267</v>
      </c>
      <c r="B167">
        <v>27425</v>
      </c>
      <c r="C167">
        <v>101532</v>
      </c>
      <c r="D167">
        <v>280249</v>
      </c>
      <c r="F167" s="5">
        <f t="shared" si="32"/>
        <v>0.27011188590789109</v>
      </c>
      <c r="G167" s="5">
        <f t="shared" si="33"/>
        <v>0.31513956295850992</v>
      </c>
      <c r="I167" s="2">
        <v>45267</v>
      </c>
      <c r="J167">
        <v>83259</v>
      </c>
      <c r="K167">
        <v>101532</v>
      </c>
      <c r="M167" s="5">
        <f t="shared" si="34"/>
        <v>0.54368897056174104</v>
      </c>
      <c r="N167" s="5">
        <f t="shared" si="35"/>
        <v>0.3144174668216011</v>
      </c>
      <c r="S167" s="5">
        <f t="shared" si="36"/>
        <v>2.5044091720591244E-2</v>
      </c>
      <c r="T167" s="5">
        <f t="shared" si="37"/>
        <v>2.2705086688400544E-2</v>
      </c>
      <c r="U167" s="5">
        <f t="shared" si="38"/>
        <v>1.3475313353154439E-2</v>
      </c>
      <c r="V167" s="5">
        <f t="shared" si="39"/>
        <v>-8.628993222217296E-2</v>
      </c>
      <c r="W167" s="5">
        <f t="shared" si="40"/>
        <v>-0.14174974386304418</v>
      </c>
      <c r="X167" s="5">
        <f t="shared" si="41"/>
        <v>-0.18434202182264692</v>
      </c>
      <c r="AA167" s="5">
        <f t="shared" si="42"/>
        <v>2.3647524737546666E-2</v>
      </c>
      <c r="AB167" s="5">
        <f t="shared" si="43"/>
        <v>6.2019700420810758E-2</v>
      </c>
      <c r="AC167" s="5">
        <f t="shared" si="44"/>
        <v>0.10694203311113981</v>
      </c>
      <c r="AD167" s="5">
        <f t="shared" si="45"/>
        <v>0.17122150223533639</v>
      </c>
      <c r="AE167" s="5">
        <f t="shared" si="46"/>
        <v>5.9088286073202462E-2</v>
      </c>
      <c r="AF167" s="5">
        <f t="shared" si="47"/>
        <v>-0.10673920492750072</v>
      </c>
    </row>
    <row r="168" spans="1:32" x14ac:dyDescent="0.25">
      <c r="A168" s="2">
        <v>45266</v>
      </c>
      <c r="B168">
        <v>26425</v>
      </c>
      <c r="C168">
        <v>101802</v>
      </c>
      <c r="D168">
        <v>285145</v>
      </c>
      <c r="F168" s="5">
        <f t="shared" si="32"/>
        <v>0.25957250348716138</v>
      </c>
      <c r="G168" s="5">
        <f t="shared" si="33"/>
        <v>0.31019759441858663</v>
      </c>
      <c r="I168" s="2">
        <v>45266</v>
      </c>
      <c r="J168">
        <v>82514</v>
      </c>
      <c r="K168">
        <v>101802</v>
      </c>
      <c r="M168" s="5">
        <f t="shared" si="34"/>
        <v>0.54858569454880379</v>
      </c>
      <c r="N168" s="5">
        <f t="shared" si="35"/>
        <v>0.30945086880184053</v>
      </c>
      <c r="S168" s="5">
        <f t="shared" si="36"/>
        <v>2.2120900441710667E-2</v>
      </c>
      <c r="T168" s="5">
        <f t="shared" si="37"/>
        <v>1.9605758051105093E-2</v>
      </c>
      <c r="U168" s="5">
        <f t="shared" si="38"/>
        <v>1.0312377147129181E-2</v>
      </c>
      <c r="V168" s="5">
        <f t="shared" si="39"/>
        <v>-8.2590151930349132E-2</v>
      </c>
      <c r="W168" s="5">
        <f t="shared" si="40"/>
        <v>-0.13849956711822886</v>
      </c>
      <c r="X168" s="5">
        <f t="shared" si="41"/>
        <v>-0.17998749316281515</v>
      </c>
      <c r="AA168" s="5">
        <f t="shared" si="42"/>
        <v>2.2800150267848207E-2</v>
      </c>
      <c r="AB168" s="5">
        <f t="shared" si="43"/>
        <v>6.2876615501304162E-2</v>
      </c>
      <c r="AC168" s="5">
        <f t="shared" si="44"/>
        <v>0.1063699602930098</v>
      </c>
      <c r="AD168" s="5">
        <f t="shared" si="45"/>
        <v>0.1717983481960432</v>
      </c>
      <c r="AE168" s="5">
        <f t="shared" si="46"/>
        <v>5.020682969156387E-2</v>
      </c>
      <c r="AF168" s="5">
        <f t="shared" si="47"/>
        <v>-0.11550426631778077</v>
      </c>
    </row>
    <row r="169" spans="1:32" x14ac:dyDescent="0.25">
      <c r="A169" s="2">
        <v>45265</v>
      </c>
      <c r="B169">
        <v>25575</v>
      </c>
      <c r="C169">
        <v>102522</v>
      </c>
      <c r="D169">
        <v>291063</v>
      </c>
      <c r="F169" s="5">
        <f t="shared" si="32"/>
        <v>0.24945865277696494</v>
      </c>
      <c r="G169" s="5">
        <f t="shared" si="33"/>
        <v>0.30560406527340395</v>
      </c>
      <c r="I169" s="2">
        <v>45265</v>
      </c>
      <c r="J169">
        <v>82414</v>
      </c>
      <c r="K169">
        <v>102522</v>
      </c>
      <c r="M169" s="5">
        <f t="shared" si="34"/>
        <v>0.54923920693086126</v>
      </c>
      <c r="N169" s="5">
        <f t="shared" si="35"/>
        <v>0.30491089979032437</v>
      </c>
      <c r="S169" s="5">
        <f t="shared" si="36"/>
        <v>1.9323930273348389E-2</v>
      </c>
      <c r="T169" s="5">
        <f t="shared" si="37"/>
        <v>1.6654226165762342E-2</v>
      </c>
      <c r="U169" s="5">
        <f t="shared" si="38"/>
        <v>7.3239389488051199E-3</v>
      </c>
      <c r="V169" s="5">
        <f t="shared" si="39"/>
        <v>-7.8346180938780763E-2</v>
      </c>
      <c r="W169" s="5">
        <f t="shared" si="40"/>
        <v>-0.1349375607883847</v>
      </c>
      <c r="X169" s="5">
        <f t="shared" si="41"/>
        <v>-0.17552208414671389</v>
      </c>
      <c r="AA169" s="5">
        <f t="shared" si="42"/>
        <v>2.0957490414741098E-2</v>
      </c>
      <c r="AB169" s="5">
        <f t="shared" si="43"/>
        <v>6.3134133332181402E-2</v>
      </c>
      <c r="AC169" s="5">
        <f t="shared" si="44"/>
        <v>0.10530677370288405</v>
      </c>
      <c r="AD169" s="5">
        <f t="shared" si="45"/>
        <v>0.16573439456264072</v>
      </c>
      <c r="AE169" s="5">
        <f t="shared" si="46"/>
        <v>3.6805186374773535E-2</v>
      </c>
      <c r="AF169" s="5">
        <f t="shared" si="47"/>
        <v>-0.12768192561080416</v>
      </c>
    </row>
    <row r="170" spans="1:32" x14ac:dyDescent="0.25">
      <c r="A170" s="2">
        <v>45264</v>
      </c>
      <c r="B170">
        <v>25575</v>
      </c>
      <c r="C170">
        <v>103684</v>
      </c>
      <c r="D170">
        <v>299357</v>
      </c>
      <c r="F170" s="5">
        <f t="shared" si="32"/>
        <v>0.24666293738667489</v>
      </c>
      <c r="G170" s="5">
        <f t="shared" si="33"/>
        <v>0.30157296974447989</v>
      </c>
      <c r="I170" s="2">
        <v>45264</v>
      </c>
      <c r="J170">
        <v>82114</v>
      </c>
      <c r="K170">
        <v>103684</v>
      </c>
      <c r="M170" s="5">
        <f t="shared" si="34"/>
        <v>0.55123365077818642</v>
      </c>
      <c r="N170" s="5">
        <f t="shared" si="35"/>
        <v>0.29849438175917137</v>
      </c>
      <c r="S170" s="5">
        <f t="shared" si="36"/>
        <v>1.6525440635396016E-2</v>
      </c>
      <c r="T170" s="5">
        <f t="shared" si="37"/>
        <v>1.3793679812820814E-2</v>
      </c>
      <c r="U170" s="5">
        <f t="shared" si="38"/>
        <v>4.5336596315750932E-3</v>
      </c>
      <c r="V170" s="5">
        <f t="shared" si="39"/>
        <v>-7.3936293689568333E-2</v>
      </c>
      <c r="W170" s="5">
        <f t="shared" si="40"/>
        <v>-0.13118018139360044</v>
      </c>
      <c r="X170" s="5">
        <f t="shared" si="41"/>
        <v>-0.17154244254017448</v>
      </c>
      <c r="AA170" s="5">
        <f t="shared" si="42"/>
        <v>1.9295009452030165E-2</v>
      </c>
      <c r="AB170" s="5">
        <f t="shared" si="43"/>
        <v>6.3650397018294003E-2</v>
      </c>
      <c r="AC170" s="5">
        <f t="shared" si="44"/>
        <v>0.10445672682735554</v>
      </c>
      <c r="AD170" s="5">
        <f t="shared" si="45"/>
        <v>0.15982819690271571</v>
      </c>
      <c r="AE170" s="5">
        <f t="shared" si="46"/>
        <v>2.3512666385366421E-2</v>
      </c>
      <c r="AF170" s="5">
        <f t="shared" si="47"/>
        <v>-0.13950564600471138</v>
      </c>
    </row>
    <row r="171" spans="1:32" x14ac:dyDescent="0.25">
      <c r="A171" s="2">
        <v>45261</v>
      </c>
      <c r="B171">
        <v>25575</v>
      </c>
      <c r="C171">
        <v>106115</v>
      </c>
      <c r="D171">
        <v>304826</v>
      </c>
      <c r="F171" s="5">
        <f t="shared" si="32"/>
        <v>0.24101210950384017</v>
      </c>
      <c r="G171" s="5">
        <f t="shared" si="33"/>
        <v>0.30168424525103316</v>
      </c>
      <c r="I171" s="2">
        <v>45261</v>
      </c>
      <c r="J171">
        <v>83284</v>
      </c>
      <c r="K171">
        <v>106115</v>
      </c>
      <c r="M171" s="5">
        <f t="shared" si="34"/>
        <v>0.5434537246049661</v>
      </c>
      <c r="N171" s="5">
        <f t="shared" si="35"/>
        <v>0.29661652487129964</v>
      </c>
      <c r="S171" s="5">
        <f t="shared" si="36"/>
        <v>1.4135305295263523E-2</v>
      </c>
      <c r="T171" s="5">
        <f t="shared" si="37"/>
        <v>1.1214002415941893E-2</v>
      </c>
      <c r="U171" s="5">
        <f t="shared" si="38"/>
        <v>2.0241095371753004E-3</v>
      </c>
      <c r="V171" s="5">
        <f t="shared" si="39"/>
        <v>-7.0644726814776848E-2</v>
      </c>
      <c r="W171" s="5">
        <f t="shared" si="40"/>
        <v>-0.12755386287246118</v>
      </c>
      <c r="X171" s="5">
        <f t="shared" si="41"/>
        <v>-0.16768899299800621</v>
      </c>
      <c r="AA171" s="5">
        <f t="shared" si="42"/>
        <v>1.7945804695868373E-2</v>
      </c>
      <c r="AB171" s="5">
        <f t="shared" si="43"/>
        <v>6.4454679716905106E-2</v>
      </c>
      <c r="AC171" s="5">
        <f t="shared" si="44"/>
        <v>0.10386022314008186</v>
      </c>
      <c r="AD171" s="5">
        <f t="shared" si="45"/>
        <v>0.15402691657035308</v>
      </c>
      <c r="AE171" s="5">
        <f t="shared" si="46"/>
        <v>1.0220997612213317E-2</v>
      </c>
      <c r="AF171" s="5">
        <f t="shared" si="47"/>
        <v>-0.15121183156446374</v>
      </c>
    </row>
    <row r="172" spans="1:32" x14ac:dyDescent="0.25">
      <c r="A172" s="2">
        <v>45260</v>
      </c>
      <c r="B172">
        <v>25275</v>
      </c>
      <c r="C172">
        <v>108021</v>
      </c>
      <c r="D172">
        <v>305946</v>
      </c>
      <c r="F172" s="5">
        <f t="shared" si="32"/>
        <v>0.2339822812230955</v>
      </c>
      <c r="G172" s="5">
        <f t="shared" si="33"/>
        <v>0.30346824757195351</v>
      </c>
      <c r="I172" s="2">
        <v>45260</v>
      </c>
      <c r="J172">
        <v>81439</v>
      </c>
      <c r="K172">
        <v>108021</v>
      </c>
      <c r="M172" s="5">
        <f t="shared" si="34"/>
        <v>0.55575338596986701</v>
      </c>
      <c r="N172" s="5">
        <f t="shared" si="35"/>
        <v>0.29284748465832267</v>
      </c>
      <c r="S172" s="5">
        <f t="shared" si="36"/>
        <v>1.1805302056947131E-2</v>
      </c>
      <c r="T172" s="5">
        <f t="shared" si="37"/>
        <v>8.7360972445772456E-3</v>
      </c>
      <c r="U172" s="5">
        <f t="shared" si="38"/>
        <v>-3.9861324833001532E-4</v>
      </c>
      <c r="V172" s="5">
        <f t="shared" si="39"/>
        <v>-6.6897373237396751E-2</v>
      </c>
      <c r="W172" s="5">
        <f t="shared" si="40"/>
        <v>-0.12330068420557638</v>
      </c>
      <c r="X172" s="5">
        <f t="shared" si="41"/>
        <v>-0.16326557594614233</v>
      </c>
      <c r="AA172" s="5">
        <f t="shared" si="42"/>
        <v>1.6735252077232143E-2</v>
      </c>
      <c r="AB172" s="5">
        <f t="shared" si="43"/>
        <v>6.5541193334914843E-2</v>
      </c>
      <c r="AC172" s="5">
        <f t="shared" si="44"/>
        <v>0.10337577204762488</v>
      </c>
      <c r="AD172" s="5">
        <f t="shared" si="45"/>
        <v>0.14826331850090774</v>
      </c>
      <c r="AE172" s="5">
        <f t="shared" si="46"/>
        <v>-2.4504345636178759E-3</v>
      </c>
      <c r="AF172" s="5">
        <f t="shared" si="47"/>
        <v>-0.16278427264751932</v>
      </c>
    </row>
    <row r="173" spans="1:32" x14ac:dyDescent="0.25">
      <c r="A173" s="2">
        <v>45259</v>
      </c>
      <c r="B173">
        <v>25275</v>
      </c>
      <c r="C173">
        <v>109442</v>
      </c>
      <c r="D173">
        <v>310122</v>
      </c>
      <c r="F173" s="5">
        <f t="shared" si="32"/>
        <v>0.23094424443997735</v>
      </c>
      <c r="G173" s="5">
        <f t="shared" si="33"/>
        <v>0.30284439988400297</v>
      </c>
      <c r="I173" s="2">
        <v>45259</v>
      </c>
      <c r="J173">
        <v>80089</v>
      </c>
      <c r="K173">
        <v>109442</v>
      </c>
      <c r="M173" s="5">
        <f t="shared" si="34"/>
        <v>0.56510881644170863</v>
      </c>
      <c r="N173" s="5">
        <f t="shared" si="35"/>
        <v>0.28784531655452728</v>
      </c>
      <c r="S173" s="5">
        <f t="shared" si="36"/>
        <v>9.5531281558007275E-3</v>
      </c>
      <c r="T173" s="5">
        <f t="shared" si="37"/>
        <v>6.5107452633476059E-3</v>
      </c>
      <c r="U173" s="5">
        <f t="shared" si="38"/>
        <v>-2.582979946541164E-3</v>
      </c>
      <c r="V173" s="5">
        <f t="shared" si="39"/>
        <v>-6.316982499366619E-2</v>
      </c>
      <c r="W173" s="5">
        <f t="shared" si="40"/>
        <v>-0.11935037737619203</v>
      </c>
      <c r="X173" s="5">
        <f t="shared" si="41"/>
        <v>-0.15918368362505719</v>
      </c>
      <c r="AA173" s="5">
        <f t="shared" si="42"/>
        <v>1.4915141634937734E-2</v>
      </c>
      <c r="AB173" s="5">
        <f t="shared" si="43"/>
        <v>6.6347051609642188E-2</v>
      </c>
      <c r="AC173" s="5">
        <f t="shared" si="44"/>
        <v>0.10255183120805209</v>
      </c>
      <c r="AD173" s="5">
        <f t="shared" si="45"/>
        <v>0.13929193267962697</v>
      </c>
      <c r="AE173" s="5">
        <f t="shared" si="46"/>
        <v>-1.728787268611634E-2</v>
      </c>
      <c r="AF173" s="5">
        <f t="shared" si="47"/>
        <v>-0.17597569790263776</v>
      </c>
    </row>
    <row r="174" spans="1:32" x14ac:dyDescent="0.25">
      <c r="A174" s="2">
        <v>45258</v>
      </c>
      <c r="B174">
        <v>24650</v>
      </c>
      <c r="C174">
        <v>110642</v>
      </c>
      <c r="D174">
        <v>314934</v>
      </c>
      <c r="F174" s="5">
        <f t="shared" si="32"/>
        <v>0.2227906220061098</v>
      </c>
      <c r="G174" s="5">
        <f t="shared" si="33"/>
        <v>0.3004979721295527</v>
      </c>
      <c r="I174" s="2">
        <v>45258</v>
      </c>
      <c r="J174">
        <v>80189</v>
      </c>
      <c r="K174">
        <v>110642</v>
      </c>
      <c r="M174" s="5">
        <f t="shared" si="34"/>
        <v>0.564391624786442</v>
      </c>
      <c r="N174" s="5">
        <f t="shared" si="35"/>
        <v>0.28486015518380675</v>
      </c>
      <c r="S174" s="5">
        <f t="shared" si="36"/>
        <v>7.4426576679159084E-3</v>
      </c>
      <c r="T174" s="5">
        <f t="shared" si="37"/>
        <v>4.4405031085452129E-3</v>
      </c>
      <c r="U174" s="5">
        <f t="shared" si="38"/>
        <v>-4.6151246934803547E-3</v>
      </c>
      <c r="V174" s="5">
        <f t="shared" si="39"/>
        <v>-5.9796709477006438E-2</v>
      </c>
      <c r="W174" s="5">
        <f t="shared" si="40"/>
        <v>-0.11570617150647933</v>
      </c>
      <c r="X174" s="5">
        <f t="shared" si="41"/>
        <v>-0.15542716425505176</v>
      </c>
      <c r="AA174" s="5">
        <f t="shared" si="42"/>
        <v>1.3028135510665784E-2</v>
      </c>
      <c r="AB174" s="5">
        <f t="shared" si="43"/>
        <v>6.7125615484433521E-2</v>
      </c>
      <c r="AC174" s="5">
        <f t="shared" si="44"/>
        <v>0.10165687333463264</v>
      </c>
      <c r="AD174" s="5">
        <f t="shared" si="45"/>
        <v>0.13022434261140048</v>
      </c>
      <c r="AE174" s="5">
        <f t="shared" si="46"/>
        <v>-3.2537545062746753E-2</v>
      </c>
      <c r="AF174" s="5">
        <f t="shared" si="47"/>
        <v>-0.18894469051376109</v>
      </c>
    </row>
    <row r="175" spans="1:32" x14ac:dyDescent="0.25">
      <c r="A175" s="2">
        <v>45257</v>
      </c>
      <c r="B175">
        <v>24250</v>
      </c>
      <c r="C175">
        <v>112397</v>
      </c>
      <c r="D175">
        <v>327759</v>
      </c>
      <c r="F175" s="5">
        <f t="shared" si="32"/>
        <v>0.21575308949527122</v>
      </c>
      <c r="G175" s="5">
        <f t="shared" si="33"/>
        <v>0.29424038449115647</v>
      </c>
      <c r="I175" s="2">
        <v>45257</v>
      </c>
      <c r="J175">
        <v>77639</v>
      </c>
      <c r="K175">
        <v>112397</v>
      </c>
      <c r="M175" s="5">
        <f t="shared" si="34"/>
        <v>0.58291580262496945</v>
      </c>
      <c r="N175" s="5">
        <f t="shared" si="35"/>
        <v>0.2727052845302948</v>
      </c>
      <c r="S175" s="5">
        <f t="shared" si="36"/>
        <v>5.4343746589248787E-3</v>
      </c>
      <c r="T175" s="5">
        <f t="shared" si="37"/>
        <v>2.469060918038779E-3</v>
      </c>
      <c r="U175" s="5">
        <f t="shared" si="38"/>
        <v>-6.5736802840212216E-3</v>
      </c>
      <c r="V175" s="5">
        <f t="shared" si="39"/>
        <v>-5.681187171253177E-2</v>
      </c>
      <c r="W175" s="5">
        <f t="shared" si="40"/>
        <v>-0.1120405715708338</v>
      </c>
      <c r="X175" s="5">
        <f t="shared" si="41"/>
        <v>-0.15154958587170064</v>
      </c>
      <c r="AA175" s="5">
        <f t="shared" si="42"/>
        <v>1.1229593571693286E-2</v>
      </c>
      <c r="AB175" s="5">
        <f t="shared" si="43"/>
        <v>6.8032568910623675E-2</v>
      </c>
      <c r="AC175" s="5">
        <f t="shared" si="44"/>
        <v>0.1008809519766671</v>
      </c>
      <c r="AD175" s="5">
        <f t="shared" si="45"/>
        <v>0.1214891048373985</v>
      </c>
      <c r="AE175" s="5">
        <f t="shared" si="46"/>
        <v>-4.7436233992357524E-2</v>
      </c>
      <c r="AF175" s="5">
        <f t="shared" si="47"/>
        <v>-0.20150294589431442</v>
      </c>
    </row>
    <row r="176" spans="1:32" x14ac:dyDescent="0.25">
      <c r="A176" s="2">
        <v>45254</v>
      </c>
      <c r="B176">
        <v>24250</v>
      </c>
      <c r="C176">
        <v>113197</v>
      </c>
      <c r="D176">
        <v>331346</v>
      </c>
      <c r="F176" s="5">
        <f t="shared" si="32"/>
        <v>0.21422829226922974</v>
      </c>
      <c r="G176" s="5">
        <f t="shared" si="33"/>
        <v>0.29319337106142795</v>
      </c>
      <c r="I176" s="2">
        <v>45254</v>
      </c>
      <c r="J176">
        <v>77639</v>
      </c>
      <c r="K176">
        <v>113197</v>
      </c>
      <c r="M176" s="5">
        <f t="shared" si="34"/>
        <v>0.58287716225093056</v>
      </c>
      <c r="N176" s="5">
        <f t="shared" si="35"/>
        <v>0.27054700278928051</v>
      </c>
      <c r="S176" s="5">
        <f t="shared" si="36"/>
        <v>4.2108880277484384E-3</v>
      </c>
      <c r="T176" s="5">
        <f t="shared" si="37"/>
        <v>1.1676377321438447E-3</v>
      </c>
      <c r="U176" s="5">
        <f t="shared" si="38"/>
        <v>-7.8944618091697505E-3</v>
      </c>
      <c r="V176" s="5">
        <f t="shared" si="39"/>
        <v>-5.5453359972344685E-2</v>
      </c>
      <c r="W176" s="5">
        <f t="shared" si="40"/>
        <v>-0.10925973230820762</v>
      </c>
      <c r="X176" s="5">
        <f t="shared" si="41"/>
        <v>-0.14855650009010113</v>
      </c>
      <c r="AA176" s="5">
        <f t="shared" si="42"/>
        <v>9.8490499123285447E-3</v>
      </c>
      <c r="AB176" s="5">
        <f t="shared" si="43"/>
        <v>6.9352003278226326E-2</v>
      </c>
      <c r="AC176" s="5">
        <f t="shared" si="44"/>
        <v>0.10046023961717818</v>
      </c>
      <c r="AD176" s="5">
        <f t="shared" si="45"/>
        <v>0.11304947407365397</v>
      </c>
      <c r="AE176" s="5">
        <f t="shared" si="46"/>
        <v>-6.2246724603248094E-2</v>
      </c>
      <c r="AF176" s="5">
        <f t="shared" si="47"/>
        <v>-0.2138263844253212</v>
      </c>
    </row>
    <row r="177" spans="1:32" x14ac:dyDescent="0.25">
      <c r="A177" s="2">
        <v>45253</v>
      </c>
      <c r="B177">
        <v>23975</v>
      </c>
      <c r="C177">
        <v>113522</v>
      </c>
      <c r="D177">
        <v>330259</v>
      </c>
      <c r="F177" s="5">
        <f t="shared" si="32"/>
        <v>0.21119254417645919</v>
      </c>
      <c r="G177" s="5">
        <f t="shared" si="33"/>
        <v>0.2939502646679038</v>
      </c>
      <c r="I177" s="2">
        <v>45253</v>
      </c>
      <c r="J177">
        <v>76004</v>
      </c>
      <c r="K177">
        <v>113522</v>
      </c>
      <c r="M177" s="5">
        <f t="shared" si="34"/>
        <v>0.59540287353297194</v>
      </c>
      <c r="N177" s="5">
        <f t="shared" si="35"/>
        <v>0.26855526714446443</v>
      </c>
      <c r="S177" s="5">
        <f t="shared" si="36"/>
        <v>2.9686604253722493E-3</v>
      </c>
      <c r="T177" s="5">
        <f t="shared" si="37"/>
        <v>-1.042444738427184E-4</v>
      </c>
      <c r="U177" s="5">
        <f t="shared" si="38"/>
        <v>-9.1853432250458833E-3</v>
      </c>
      <c r="V177" s="5">
        <f t="shared" si="39"/>
        <v>-5.2379683597981064E-2</v>
      </c>
      <c r="W177" s="5">
        <f t="shared" si="40"/>
        <v>-0.10530494325928574</v>
      </c>
      <c r="X177" s="5">
        <f t="shared" si="41"/>
        <v>-0.14447944380291178</v>
      </c>
      <c r="AA177" s="5">
        <f t="shared" si="42"/>
        <v>8.6899959733451326E-3</v>
      </c>
      <c r="AB177" s="5">
        <f t="shared" si="43"/>
        <v>7.0852672064077249E-2</v>
      </c>
      <c r="AC177" s="5">
        <f t="shared" si="44"/>
        <v>0.10019834021177024</v>
      </c>
      <c r="AD177" s="5">
        <f t="shared" si="45"/>
        <v>0.10468114258758175</v>
      </c>
      <c r="AE177" s="5">
        <f t="shared" si="46"/>
        <v>-7.6508149152961308E-2</v>
      </c>
      <c r="AF177" s="5">
        <f t="shared" si="47"/>
        <v>-0.22607958983572621</v>
      </c>
    </row>
    <row r="178" spans="1:32" x14ac:dyDescent="0.25">
      <c r="A178" s="2">
        <v>45252</v>
      </c>
      <c r="B178">
        <v>23625</v>
      </c>
      <c r="C178">
        <v>114497</v>
      </c>
      <c r="D178">
        <v>326829</v>
      </c>
      <c r="F178" s="5">
        <f t="shared" si="32"/>
        <v>0.20633728394630427</v>
      </c>
      <c r="G178" s="5">
        <f t="shared" si="33"/>
        <v>0.29706786306514021</v>
      </c>
      <c r="I178" s="2">
        <v>45252</v>
      </c>
      <c r="J178">
        <v>73954</v>
      </c>
      <c r="K178">
        <v>114497</v>
      </c>
      <c r="M178" s="5">
        <f t="shared" si="34"/>
        <v>0.61189387997944666</v>
      </c>
      <c r="N178" s="5">
        <f t="shared" si="35"/>
        <v>0.26725705381864651</v>
      </c>
      <c r="S178" s="5">
        <f t="shared" si="36"/>
        <v>1.8334376000335162E-3</v>
      </c>
      <c r="T178" s="5">
        <f t="shared" si="37"/>
        <v>-1.2391985959546714E-3</v>
      </c>
      <c r="U178" s="5">
        <f t="shared" si="38"/>
        <v>-1.037540117474095E-2</v>
      </c>
      <c r="V178" s="5">
        <f t="shared" si="39"/>
        <v>-5.0043822357844103E-2</v>
      </c>
      <c r="W178" s="5">
        <f t="shared" si="40"/>
        <v>-0.10193980886330278</v>
      </c>
      <c r="X178" s="5">
        <f t="shared" si="41"/>
        <v>-0.14092443298182555</v>
      </c>
      <c r="AA178" s="5">
        <f t="shared" si="42"/>
        <v>7.4425235105504695E-3</v>
      </c>
      <c r="AB178" s="5">
        <f t="shared" si="43"/>
        <v>7.2338464733429891E-2</v>
      </c>
      <c r="AC178" s="5">
        <f t="shared" si="44"/>
        <v>9.9908889629231723E-2</v>
      </c>
      <c r="AD178" s="5">
        <f t="shared" si="45"/>
        <v>9.6464156339392398E-2</v>
      </c>
      <c r="AE178" s="5">
        <f t="shared" si="46"/>
        <v>-9.0734009705380814E-2</v>
      </c>
      <c r="AF178" s="5">
        <f t="shared" si="47"/>
        <v>-0.23812417276951195</v>
      </c>
    </row>
    <row r="179" spans="1:32" x14ac:dyDescent="0.25">
      <c r="A179" s="2">
        <v>45251</v>
      </c>
      <c r="B179">
        <v>23625</v>
      </c>
      <c r="C179">
        <v>115172</v>
      </c>
      <c r="D179">
        <v>325105</v>
      </c>
      <c r="F179" s="5">
        <f t="shared" si="32"/>
        <v>0.20512798249574549</v>
      </c>
      <c r="G179" s="5">
        <f t="shared" si="33"/>
        <v>0.29919465749231516</v>
      </c>
      <c r="I179" s="2">
        <v>45251</v>
      </c>
      <c r="J179">
        <v>70954</v>
      </c>
      <c r="K179">
        <v>115172</v>
      </c>
      <c r="M179" s="5">
        <f t="shared" si="34"/>
        <v>0.63775121909969834</v>
      </c>
      <c r="N179" s="5">
        <f t="shared" si="35"/>
        <v>0.2633183023271623</v>
      </c>
      <c r="S179" s="5">
        <f t="shared" si="36"/>
        <v>7.4090034111479186E-4</v>
      </c>
      <c r="T179" s="5">
        <f t="shared" si="37"/>
        <v>-2.3617922304507988E-3</v>
      </c>
      <c r="U179" s="5">
        <f t="shared" si="38"/>
        <v>-1.1528397276624303E-2</v>
      </c>
      <c r="V179" s="5">
        <f t="shared" si="39"/>
        <v>-4.8072967928710741E-2</v>
      </c>
      <c r="W179" s="5">
        <f t="shared" si="40"/>
        <v>-9.877813682102532E-2</v>
      </c>
      <c r="X179" s="5">
        <f t="shared" si="41"/>
        <v>-0.13736058154698982</v>
      </c>
      <c r="AA179" s="5">
        <f t="shared" si="42"/>
        <v>6.0108542619254357E-3</v>
      </c>
      <c r="AB179" s="5">
        <f t="shared" si="43"/>
        <v>7.3795202620346861E-2</v>
      </c>
      <c r="AC179" s="5">
        <f t="shared" si="44"/>
        <v>9.956904339069278E-2</v>
      </c>
      <c r="AD179" s="5">
        <f t="shared" si="45"/>
        <v>8.8490886909393912E-2</v>
      </c>
      <c r="AE179" s="5">
        <f t="shared" si="46"/>
        <v>-0.10513116502445567</v>
      </c>
      <c r="AF179" s="5">
        <f t="shared" si="47"/>
        <v>-0.24987089750756014</v>
      </c>
    </row>
    <row r="180" spans="1:32" x14ac:dyDescent="0.25">
      <c r="A180" s="2">
        <v>45250</v>
      </c>
      <c r="B180">
        <v>23625</v>
      </c>
      <c r="C180">
        <v>115522</v>
      </c>
      <c r="D180">
        <v>325696</v>
      </c>
      <c r="F180" s="5">
        <f t="shared" si="32"/>
        <v>0.20450650092623049</v>
      </c>
      <c r="G180" s="5">
        <f t="shared" si="33"/>
        <v>0.29934192835000206</v>
      </c>
      <c r="I180" s="2">
        <v>45250</v>
      </c>
      <c r="J180">
        <v>70704</v>
      </c>
      <c r="K180">
        <v>115522</v>
      </c>
      <c r="M180" s="5">
        <f t="shared" si="34"/>
        <v>0.63999207965603078</v>
      </c>
      <c r="N180" s="5">
        <f t="shared" si="35"/>
        <v>0.26254726593456357</v>
      </c>
      <c r="S180" s="5">
        <f t="shared" si="36"/>
        <v>8.2378671854010932E-5</v>
      </c>
      <c r="T180" s="5">
        <f t="shared" si="37"/>
        <v>-3.1881355331643824E-3</v>
      </c>
      <c r="U180" s="5">
        <f t="shared" si="38"/>
        <v>-1.2384139616562595E-2</v>
      </c>
      <c r="V180" s="5">
        <f t="shared" si="39"/>
        <v>-4.884849033627614E-2</v>
      </c>
      <c r="W180" s="5">
        <f t="shared" si="40"/>
        <v>-9.7336235717081609E-2</v>
      </c>
      <c r="X180" s="5">
        <f t="shared" si="41"/>
        <v>-0.13547281882770079</v>
      </c>
      <c r="AA180" s="5">
        <f t="shared" si="42"/>
        <v>4.9022432329693943E-3</v>
      </c>
      <c r="AB180" s="5">
        <f t="shared" si="43"/>
        <v>7.5256829119978996E-2</v>
      </c>
      <c r="AC180" s="5">
        <f t="shared" si="44"/>
        <v>9.9194458858653412E-2</v>
      </c>
      <c r="AD180" s="5">
        <f t="shared" si="45"/>
        <v>8.0479058633091322E-2</v>
      </c>
      <c r="AE180" s="5">
        <f t="shared" si="46"/>
        <v>-0.11950896577905011</v>
      </c>
      <c r="AF180" s="5">
        <f t="shared" si="47"/>
        <v>-0.26142355851703214</v>
      </c>
    </row>
    <row r="181" spans="1:32" x14ac:dyDescent="0.25">
      <c r="A181" s="2">
        <v>45247</v>
      </c>
      <c r="B181">
        <v>23525</v>
      </c>
      <c r="C181">
        <v>116222</v>
      </c>
      <c r="D181">
        <v>325823</v>
      </c>
      <c r="F181" s="5">
        <f t="shared" si="32"/>
        <v>0.20241434496050661</v>
      </c>
      <c r="G181" s="5">
        <f t="shared" si="33"/>
        <v>0.30016324075863993</v>
      </c>
      <c r="I181" s="2">
        <v>45247</v>
      </c>
      <c r="J181">
        <v>71054</v>
      </c>
      <c r="K181">
        <v>116222</v>
      </c>
      <c r="M181" s="5">
        <f t="shared" si="34"/>
        <v>0.63679736538407405</v>
      </c>
      <c r="N181" s="5">
        <f t="shared" si="35"/>
        <v>0.26305063737774925</v>
      </c>
      <c r="S181" s="5">
        <f t="shared" si="36"/>
        <v>-2.5448118575910339E-4</v>
      </c>
      <c r="T181" s="5">
        <f t="shared" si="37"/>
        <v>-3.9357166467278715E-3</v>
      </c>
      <c r="U181" s="5">
        <f t="shared" si="38"/>
        <v>-1.3133725769884197E-2</v>
      </c>
      <c r="V181" s="5">
        <f t="shared" si="39"/>
        <v>-5.0467461033905203E-2</v>
      </c>
      <c r="W181" s="5">
        <f t="shared" si="40"/>
        <v>-9.568852075052392E-2</v>
      </c>
      <c r="X181" s="5">
        <f t="shared" si="41"/>
        <v>-0.13356924909364032</v>
      </c>
      <c r="AA181" s="5">
        <f t="shared" si="42"/>
        <v>4.084267122283769E-3</v>
      </c>
      <c r="AB181" s="5">
        <f t="shared" si="43"/>
        <v>7.688422573996026E-2</v>
      </c>
      <c r="AC181" s="5">
        <f t="shared" si="44"/>
        <v>9.896323248400038E-2</v>
      </c>
      <c r="AD181" s="5">
        <f t="shared" si="45"/>
        <v>7.2483979880675092E-2</v>
      </c>
      <c r="AE181" s="5">
        <f t="shared" si="46"/>
        <v>-0.13391048269024836</v>
      </c>
      <c r="AF181" s="5">
        <f t="shared" si="47"/>
        <v>-0.27322708263618317</v>
      </c>
    </row>
    <row r="182" spans="1:32" x14ac:dyDescent="0.25">
      <c r="A182" s="2">
        <v>45246</v>
      </c>
      <c r="B182">
        <v>23225</v>
      </c>
      <c r="C182">
        <v>116334</v>
      </c>
      <c r="D182">
        <v>327916</v>
      </c>
      <c r="F182" s="5">
        <f t="shared" si="32"/>
        <v>0.19964068973816768</v>
      </c>
      <c r="G182" s="5">
        <f t="shared" si="33"/>
        <v>0.29853788972672335</v>
      </c>
      <c r="I182" s="2">
        <v>45246</v>
      </c>
      <c r="J182">
        <v>71029</v>
      </c>
      <c r="K182">
        <v>116334</v>
      </c>
      <c r="M182" s="5">
        <f t="shared" si="34"/>
        <v>0.63700741950470929</v>
      </c>
      <c r="N182" s="5">
        <f t="shared" si="35"/>
        <v>0.26176802321523851</v>
      </c>
      <c r="S182" s="5">
        <f t="shared" si="36"/>
        <v>-7.6600804117193944E-4</v>
      </c>
      <c r="T182" s="5">
        <f t="shared" si="37"/>
        <v>-4.6829613623280975E-3</v>
      </c>
      <c r="U182" s="5">
        <f t="shared" si="38"/>
        <v>-1.3899447251350283E-2</v>
      </c>
      <c r="V182" s="5">
        <f t="shared" si="39"/>
        <v>-5.1850448835735863E-2</v>
      </c>
      <c r="W182" s="5">
        <f t="shared" si="40"/>
        <v>-9.4825973761627602E-2</v>
      </c>
      <c r="X182" s="5">
        <f t="shared" si="41"/>
        <v>-0.13226313163976489</v>
      </c>
      <c r="AA182" s="5">
        <f t="shared" si="42"/>
        <v>8.5800946772605635E-3</v>
      </c>
      <c r="AB182" s="5">
        <f t="shared" si="43"/>
        <v>7.8394839834634356E-2</v>
      </c>
      <c r="AC182" s="5">
        <f t="shared" si="44"/>
        <v>9.8588104613916733E-2</v>
      </c>
      <c r="AD182" s="5">
        <f t="shared" si="45"/>
        <v>4.680286308502514E-2</v>
      </c>
      <c r="AE182" s="5">
        <f t="shared" si="46"/>
        <v>-0.14871632059116097</v>
      </c>
      <c r="AF182" s="5">
        <f t="shared" si="47"/>
        <v>-0.28495290032209258</v>
      </c>
    </row>
    <row r="183" spans="1:32" x14ac:dyDescent="0.25">
      <c r="A183" s="2">
        <v>45245</v>
      </c>
      <c r="B183">
        <v>23125</v>
      </c>
      <c r="C183">
        <v>116684</v>
      </c>
      <c r="D183">
        <v>332217</v>
      </c>
      <c r="F183" s="5">
        <f t="shared" si="32"/>
        <v>0.19818484110932091</v>
      </c>
      <c r="G183" s="5">
        <f t="shared" si="33"/>
        <v>0.29618919296818397</v>
      </c>
      <c r="I183" s="2">
        <v>45245</v>
      </c>
      <c r="J183">
        <v>68854</v>
      </c>
      <c r="K183">
        <v>116684</v>
      </c>
      <c r="M183" s="5">
        <f t="shared" si="34"/>
        <v>0.65711505504400614</v>
      </c>
      <c r="N183" s="5">
        <f t="shared" si="35"/>
        <v>0.25564622375178125</v>
      </c>
      <c r="S183" s="5">
        <f t="shared" si="36"/>
        <v>-1.1541715992880452E-3</v>
      </c>
      <c r="T183" s="5">
        <f t="shared" si="37"/>
        <v>-5.3363698353666167E-3</v>
      </c>
      <c r="U183" s="5">
        <f t="shared" si="38"/>
        <v>-1.4567350348989594E-2</v>
      </c>
      <c r="V183" s="5">
        <f t="shared" si="39"/>
        <v>-5.3398881782451113E-2</v>
      </c>
      <c r="W183" s="5">
        <f t="shared" si="40"/>
        <v>-9.4215823915909547E-2</v>
      </c>
      <c r="X183" s="5">
        <f t="shared" si="41"/>
        <v>-0.13105914894257342</v>
      </c>
      <c r="AA183" s="5">
        <f t="shared" si="42"/>
        <v>1.282345955682862E-2</v>
      </c>
      <c r="AB183" s="5">
        <f t="shared" si="43"/>
        <v>7.9829106128525396E-2</v>
      </c>
      <c r="AC183" s="5">
        <f t="shared" si="44"/>
        <v>9.8096796528994917E-2</v>
      </c>
      <c r="AD183" s="5">
        <f t="shared" si="45"/>
        <v>2.1048694622724587E-2</v>
      </c>
      <c r="AE183" s="5">
        <f t="shared" si="46"/>
        <v>-0.16372664972087697</v>
      </c>
      <c r="AF183" s="5">
        <f t="shared" si="47"/>
        <v>-0.29654738772355588</v>
      </c>
    </row>
    <row r="184" spans="1:32" x14ac:dyDescent="0.25">
      <c r="A184" s="2">
        <v>45244</v>
      </c>
      <c r="B184">
        <v>23100</v>
      </c>
      <c r="C184">
        <v>116984</v>
      </c>
      <c r="D184">
        <v>333644</v>
      </c>
      <c r="F184" s="5">
        <f t="shared" si="32"/>
        <v>0.19746290090952609</v>
      </c>
      <c r="G184" s="5">
        <f t="shared" si="33"/>
        <v>0.29570555255336395</v>
      </c>
      <c r="I184" s="2">
        <v>45244</v>
      </c>
      <c r="J184">
        <v>66854</v>
      </c>
      <c r="K184">
        <v>116984</v>
      </c>
      <c r="M184" s="5">
        <f t="shared" si="34"/>
        <v>0.67675830915128488</v>
      </c>
      <c r="N184" s="5">
        <f t="shared" si="35"/>
        <v>0.25148628578864007</v>
      </c>
      <c r="S184" s="5">
        <f t="shared" si="36"/>
        <v>-1.1213117159482033E-3</v>
      </c>
      <c r="T184" s="5">
        <f t="shared" si="37"/>
        <v>-5.507401541662571E-3</v>
      </c>
      <c r="U184" s="5">
        <f t="shared" si="38"/>
        <v>-1.4816186523967101E-2</v>
      </c>
      <c r="V184" s="5">
        <f t="shared" si="39"/>
        <v>-5.6638998764509174E-2</v>
      </c>
      <c r="W184" s="5">
        <f t="shared" si="40"/>
        <v>-9.5420720110102386E-2</v>
      </c>
      <c r="X184" s="5">
        <f t="shared" si="41"/>
        <v>-0.131232539820482</v>
      </c>
      <c r="AA184" s="5">
        <f t="shared" si="42"/>
        <v>1.7048347419200416E-2</v>
      </c>
      <c r="AB184" s="5">
        <f t="shared" si="43"/>
        <v>8.1403797830381264E-2</v>
      </c>
      <c r="AC184" s="5">
        <f t="shared" si="44"/>
        <v>9.7750254182657426E-2</v>
      </c>
      <c r="AD184" s="5">
        <f t="shared" si="45"/>
        <v>-3.9992530666230763E-3</v>
      </c>
      <c r="AE184" s="5">
        <f t="shared" si="46"/>
        <v>-0.17866014138638731</v>
      </c>
      <c r="AF184" s="5">
        <f t="shared" si="47"/>
        <v>-0.30800585732350977</v>
      </c>
    </row>
    <row r="185" spans="1:32" x14ac:dyDescent="0.25">
      <c r="A185" s="2">
        <v>45243</v>
      </c>
      <c r="B185">
        <v>23000</v>
      </c>
      <c r="C185">
        <v>116874</v>
      </c>
      <c r="D185">
        <v>334761</v>
      </c>
      <c r="F185" s="5">
        <f t="shared" si="32"/>
        <v>0.19679312764173384</v>
      </c>
      <c r="G185" s="5">
        <f t="shared" si="33"/>
        <v>0.29469803111864906</v>
      </c>
      <c r="I185" s="2">
        <v>45243</v>
      </c>
      <c r="J185">
        <v>66629</v>
      </c>
      <c r="K185">
        <v>116874</v>
      </c>
      <c r="M185" s="5">
        <f t="shared" si="34"/>
        <v>0.67902865118792122</v>
      </c>
      <c r="N185" s="5">
        <f t="shared" si="35"/>
        <v>0.25047858084825797</v>
      </c>
      <c r="S185" s="5">
        <f t="shared" si="36"/>
        <v>-8.5521996480686369E-4</v>
      </c>
      <c r="T185" s="5">
        <f t="shared" si="37"/>
        <v>-5.4551101559942028E-3</v>
      </c>
      <c r="U185" s="5">
        <f t="shared" si="38"/>
        <v>-1.4827185845137869E-2</v>
      </c>
      <c r="V185" s="5">
        <f t="shared" si="39"/>
        <v>-6.100326749670848E-2</v>
      </c>
      <c r="W185" s="5">
        <f t="shared" si="40"/>
        <v>-9.7530492870637753E-2</v>
      </c>
      <c r="X185" s="5">
        <f t="shared" si="41"/>
        <v>-0.13231570072621712</v>
      </c>
      <c r="AA185" s="5">
        <f t="shared" si="42"/>
        <v>2.112424625332282E-2</v>
      </c>
      <c r="AB185" s="5">
        <f t="shared" si="43"/>
        <v>8.3060536419775954E-2</v>
      </c>
      <c r="AC185" s="5">
        <f t="shared" si="44"/>
        <v>9.7481224395825183E-2</v>
      </c>
      <c r="AD185" s="5">
        <f t="shared" si="45"/>
        <v>-2.9763728285150129E-2</v>
      </c>
      <c r="AE185" s="5">
        <f t="shared" si="46"/>
        <v>-0.19346241482633836</v>
      </c>
      <c r="AF185" s="5">
        <f t="shared" si="47"/>
        <v>-0.31939138361938413</v>
      </c>
    </row>
    <row r="186" spans="1:32" x14ac:dyDescent="0.25">
      <c r="A186" s="2">
        <v>45240</v>
      </c>
      <c r="B186">
        <v>23000</v>
      </c>
      <c r="C186">
        <v>117599</v>
      </c>
      <c r="D186">
        <v>333953</v>
      </c>
      <c r="F186" s="5">
        <f t="shared" si="32"/>
        <v>0.19557989438685702</v>
      </c>
      <c r="G186" s="5">
        <f t="shared" si="33"/>
        <v>0.29627733104064463</v>
      </c>
      <c r="I186" s="2">
        <v>45240</v>
      </c>
      <c r="J186">
        <v>66804</v>
      </c>
      <c r="K186">
        <v>117599</v>
      </c>
      <c r="M186" s="5">
        <f t="shared" si="34"/>
        <v>0.67720495778695888</v>
      </c>
      <c r="N186" s="5">
        <f t="shared" si="35"/>
        <v>0.25122142077188858</v>
      </c>
      <c r="S186" s="5">
        <f t="shared" si="36"/>
        <v>-9.1850182449582096E-4</v>
      </c>
      <c r="T186" s="5">
        <f t="shared" si="37"/>
        <v>-5.6067403012245998E-3</v>
      </c>
      <c r="U186" s="5">
        <f t="shared" si="38"/>
        <v>-1.4994610871928604E-2</v>
      </c>
      <c r="V186" s="5">
        <f t="shared" si="39"/>
        <v>-6.5360036824395062E-2</v>
      </c>
      <c r="W186" s="5">
        <f t="shared" si="40"/>
        <v>-9.9691844907749627E-2</v>
      </c>
      <c r="X186" s="5">
        <f t="shared" si="41"/>
        <v>-0.13335862976140334</v>
      </c>
      <c r="AA186" s="5">
        <f t="shared" si="42"/>
        <v>2.480637644160727E-2</v>
      </c>
      <c r="AB186" s="5">
        <f t="shared" si="43"/>
        <v>8.4428930614740494E-2</v>
      </c>
      <c r="AC186" s="5">
        <f t="shared" si="44"/>
        <v>9.7019855401594884E-2</v>
      </c>
      <c r="AD186" s="5">
        <f t="shared" si="45"/>
        <v>-5.3555374778859757E-2</v>
      </c>
      <c r="AE186" s="5">
        <f t="shared" si="46"/>
        <v>-0.20865266557073225</v>
      </c>
      <c r="AF186" s="5">
        <f t="shared" si="47"/>
        <v>-0.33054945762520882</v>
      </c>
    </row>
    <row r="187" spans="1:32" x14ac:dyDescent="0.25">
      <c r="A187" s="2">
        <v>45239</v>
      </c>
      <c r="B187">
        <v>23000</v>
      </c>
      <c r="C187">
        <v>116724</v>
      </c>
      <c r="D187">
        <v>335381</v>
      </c>
      <c r="F187" s="5">
        <f t="shared" si="32"/>
        <v>0.1970460230972208</v>
      </c>
      <c r="G187" s="5">
        <f t="shared" si="33"/>
        <v>0.29409077993285693</v>
      </c>
      <c r="I187" s="2">
        <v>45239</v>
      </c>
      <c r="J187">
        <v>68721</v>
      </c>
      <c r="K187">
        <v>116724</v>
      </c>
      <c r="M187" s="5">
        <f t="shared" si="34"/>
        <v>0.65829950088037137</v>
      </c>
      <c r="N187" s="5">
        <f t="shared" si="35"/>
        <v>0.25361585076812487</v>
      </c>
      <c r="S187" s="5">
        <f t="shared" si="36"/>
        <v>-1.0138227377115006E-3</v>
      </c>
      <c r="T187" s="5">
        <f t="shared" si="37"/>
        <v>-5.8784543000127143E-3</v>
      </c>
      <c r="U187" s="5">
        <f t="shared" si="38"/>
        <v>-1.5214652910188142E-2</v>
      </c>
      <c r="V187" s="5">
        <f t="shared" si="39"/>
        <v>-6.9579697596462098E-2</v>
      </c>
      <c r="W187" s="5">
        <f t="shared" si="40"/>
        <v>-0.1017320382438085</v>
      </c>
      <c r="X187" s="5">
        <f t="shared" si="41"/>
        <v>-0.13428523742407972</v>
      </c>
      <c r="AA187" s="5">
        <f t="shared" si="42"/>
        <v>2.83710244977049E-2</v>
      </c>
      <c r="AB187" s="5">
        <f t="shared" si="43"/>
        <v>8.5707437961634741E-2</v>
      </c>
      <c r="AC187" s="5">
        <f t="shared" si="44"/>
        <v>9.6484703550560769E-2</v>
      </c>
      <c r="AD187" s="5">
        <f t="shared" si="45"/>
        <v>-7.7397650251601252E-2</v>
      </c>
      <c r="AE187" s="5">
        <f t="shared" si="46"/>
        <v>-0.22380599974618082</v>
      </c>
      <c r="AF187" s="5">
        <f t="shared" si="47"/>
        <v>-0.34165207546328963</v>
      </c>
    </row>
    <row r="188" spans="1:32" x14ac:dyDescent="0.25">
      <c r="A188" s="2">
        <v>45238</v>
      </c>
      <c r="B188">
        <v>18400</v>
      </c>
      <c r="C188">
        <v>116839</v>
      </c>
      <c r="D188">
        <v>335876</v>
      </c>
      <c r="F188" s="5">
        <f t="shared" si="32"/>
        <v>0.1574816628009483</v>
      </c>
      <c r="G188" s="5">
        <f t="shared" si="33"/>
        <v>0.28706154548252549</v>
      </c>
      <c r="I188" s="2">
        <v>45238</v>
      </c>
      <c r="J188">
        <v>68421</v>
      </c>
      <c r="K188">
        <v>116839</v>
      </c>
      <c r="M188" s="5">
        <f t="shared" si="34"/>
        <v>0.66117127782405982</v>
      </c>
      <c r="N188" s="5">
        <f t="shared" si="35"/>
        <v>0.25283682026983439</v>
      </c>
      <c r="S188" s="5">
        <f t="shared" si="36"/>
        <v>-1.2143741494697879E-3</v>
      </c>
      <c r="T188" s="5">
        <f t="shared" si="37"/>
        <v>-6.2693130599689728E-3</v>
      </c>
      <c r="U188" s="5">
        <f t="shared" si="38"/>
        <v>-1.5531375528204439E-2</v>
      </c>
      <c r="V188" s="5">
        <f t="shared" si="39"/>
        <v>-7.2698573694507385E-2</v>
      </c>
      <c r="W188" s="5">
        <f t="shared" si="40"/>
        <v>-0.10266746990006703</v>
      </c>
      <c r="X188" s="5">
        <f t="shared" si="41"/>
        <v>-0.13418839915030822</v>
      </c>
      <c r="AA188" s="5">
        <f t="shared" si="42"/>
        <v>3.204246427460844E-2</v>
      </c>
      <c r="AB188" s="5">
        <f t="shared" si="43"/>
        <v>8.7125197569766333E-2</v>
      </c>
      <c r="AC188" s="5">
        <f t="shared" si="44"/>
        <v>9.605473256229119E-2</v>
      </c>
      <c r="AD188" s="5">
        <f t="shared" si="45"/>
        <v>-0.10054859627173117</v>
      </c>
      <c r="AE188" s="5">
        <f t="shared" si="46"/>
        <v>-0.23892296237247629</v>
      </c>
      <c r="AF188" s="5">
        <f t="shared" si="47"/>
        <v>-0.35269032549197066</v>
      </c>
    </row>
    <row r="189" spans="1:32" x14ac:dyDescent="0.25">
      <c r="A189" s="2">
        <v>45237</v>
      </c>
      <c r="B189">
        <v>9650</v>
      </c>
      <c r="C189">
        <v>116964</v>
      </c>
      <c r="D189">
        <v>335835</v>
      </c>
      <c r="F189" s="5">
        <f t="shared" si="32"/>
        <v>8.2504018330426462E-2</v>
      </c>
      <c r="G189" s="5">
        <f t="shared" si="33"/>
        <v>0.27379019091834994</v>
      </c>
      <c r="I189" s="2">
        <v>45237</v>
      </c>
      <c r="J189">
        <v>67531</v>
      </c>
      <c r="K189">
        <v>116964</v>
      </c>
      <c r="M189" s="5">
        <f t="shared" si="34"/>
        <v>0.66987013371636728</v>
      </c>
      <c r="N189" s="5">
        <f t="shared" si="35"/>
        <v>0.25137593819033754</v>
      </c>
      <c r="S189" s="5">
        <f t="shared" si="36"/>
        <v>-1.3338394148301735E-3</v>
      </c>
      <c r="T189" s="5">
        <f t="shared" si="37"/>
        <v>-6.5331822035382126E-3</v>
      </c>
      <c r="U189" s="5">
        <f t="shared" si="38"/>
        <v>-1.5680471380602079E-2</v>
      </c>
      <c r="V189" s="5">
        <f t="shared" si="39"/>
        <v>-7.5535755624508871E-2</v>
      </c>
      <c r="W189" s="5">
        <f t="shared" si="40"/>
        <v>-0.10353135546477066</v>
      </c>
      <c r="X189" s="5">
        <f t="shared" si="41"/>
        <v>-0.13415747958737412</v>
      </c>
      <c r="AA189" s="5">
        <f t="shared" si="42"/>
        <v>3.6388457126330376E-2</v>
      </c>
      <c r="AB189" s="5">
        <f t="shared" si="43"/>
        <v>8.9261837781481668E-2</v>
      </c>
      <c r="AC189" s="5">
        <f t="shared" si="44"/>
        <v>9.6182164177429835E-2</v>
      </c>
      <c r="AD189" s="5">
        <f t="shared" si="45"/>
        <v>-0.12111363155047869</v>
      </c>
      <c r="AE189" s="5">
        <f t="shared" si="46"/>
        <v>-0.2527692088034762</v>
      </c>
      <c r="AF189" s="5">
        <f t="shared" si="47"/>
        <v>-0.36185623297160985</v>
      </c>
    </row>
    <row r="190" spans="1:32" x14ac:dyDescent="0.25">
      <c r="A190" s="2">
        <v>45236</v>
      </c>
      <c r="B190">
        <v>9350</v>
      </c>
      <c r="C190">
        <v>118128</v>
      </c>
      <c r="D190">
        <v>338083</v>
      </c>
      <c r="F190" s="5">
        <f t="shared" si="32"/>
        <v>7.9151428958417994E-2</v>
      </c>
      <c r="G190" s="5">
        <f t="shared" si="33"/>
        <v>0.27381589093588166</v>
      </c>
      <c r="I190" s="2">
        <v>45236</v>
      </c>
      <c r="J190">
        <v>67146</v>
      </c>
      <c r="K190">
        <v>118128</v>
      </c>
      <c r="M190" s="5">
        <f t="shared" si="34"/>
        <v>0.67369612486224051</v>
      </c>
      <c r="N190" s="5">
        <f t="shared" si="35"/>
        <v>0.24947998179658798</v>
      </c>
      <c r="S190" s="5">
        <f t="shared" si="36"/>
        <v>-1.4700807805271832E-3</v>
      </c>
      <c r="T190" s="5">
        <f t="shared" si="37"/>
        <v>-6.7845873249501309E-3</v>
      </c>
      <c r="U190" s="5">
        <f t="shared" si="38"/>
        <v>-1.5792925740523378E-2</v>
      </c>
      <c r="V190" s="5">
        <f t="shared" si="39"/>
        <v>-7.8783977411185147E-2</v>
      </c>
      <c r="W190" s="5">
        <f t="shared" si="40"/>
        <v>-0.10473820199830819</v>
      </c>
      <c r="X190" s="5">
        <f t="shared" si="41"/>
        <v>-0.13449637781408463</v>
      </c>
      <c r="AA190" s="5">
        <f t="shared" si="42"/>
        <v>4.1369039295412885E-2</v>
      </c>
      <c r="AB190" s="5">
        <f t="shared" si="43"/>
        <v>9.1974502750583109E-2</v>
      </c>
      <c r="AC190" s="5">
        <f t="shared" si="44"/>
        <v>9.6918908813832305E-2</v>
      </c>
      <c r="AD190" s="5">
        <f t="shared" si="45"/>
        <v>-0.13870766701894771</v>
      </c>
      <c r="AE190" s="5">
        <f t="shared" si="46"/>
        <v>-0.26304241422090474</v>
      </c>
      <c r="AF190" s="5">
        <f t="shared" si="47"/>
        <v>-0.36750891401641339</v>
      </c>
    </row>
    <row r="191" spans="1:32" x14ac:dyDescent="0.25">
      <c r="A191" s="2">
        <v>45233</v>
      </c>
      <c r="B191">
        <v>9350</v>
      </c>
      <c r="C191">
        <v>119153</v>
      </c>
      <c r="D191">
        <v>338875</v>
      </c>
      <c r="F191" s="5">
        <f t="shared" si="32"/>
        <v>7.847053787986874E-2</v>
      </c>
      <c r="G191" s="5">
        <f t="shared" si="33"/>
        <v>0.27494447748931272</v>
      </c>
      <c r="I191" s="2">
        <v>45233</v>
      </c>
      <c r="J191">
        <v>67197</v>
      </c>
      <c r="K191">
        <v>119153</v>
      </c>
      <c r="M191" s="5">
        <f t="shared" si="34"/>
        <v>0.67314016994806314</v>
      </c>
      <c r="N191" s="5">
        <f t="shared" si="35"/>
        <v>0.2491219906714971</v>
      </c>
      <c r="S191" s="5">
        <f t="shared" si="36"/>
        <v>-1.3868855206735642E-3</v>
      </c>
      <c r="T191" s="5">
        <f t="shared" si="37"/>
        <v>-6.8928781057305821E-3</v>
      </c>
      <c r="U191" s="5">
        <f t="shared" si="38"/>
        <v>-1.5780856530523912E-2</v>
      </c>
      <c r="V191" s="5">
        <f t="shared" si="39"/>
        <v>-8.2179120190701727E-2</v>
      </c>
      <c r="W191" s="5">
        <f t="shared" si="40"/>
        <v>-0.10595492525479755</v>
      </c>
      <c r="X191" s="5">
        <f t="shared" si="41"/>
        <v>-0.13481884308608572</v>
      </c>
      <c r="AA191" s="5">
        <f t="shared" si="42"/>
        <v>4.6497168691971041E-2</v>
      </c>
      <c r="AB191" s="5">
        <f t="shared" si="43"/>
        <v>9.4765771178125735E-2</v>
      </c>
      <c r="AC191" s="5">
        <f t="shared" si="44"/>
        <v>9.7689996837598825E-2</v>
      </c>
      <c r="AD191" s="5">
        <f t="shared" si="45"/>
        <v>-0.1562465839839457</v>
      </c>
      <c r="AE191" s="5">
        <f t="shared" si="46"/>
        <v>-0.27341700407390429</v>
      </c>
      <c r="AF191" s="5">
        <f t="shared" si="47"/>
        <v>-0.37305181622383504</v>
      </c>
    </row>
    <row r="192" spans="1:32" x14ac:dyDescent="0.25">
      <c r="A192" s="2">
        <v>45232</v>
      </c>
      <c r="B192">
        <v>9150</v>
      </c>
      <c r="C192">
        <v>120278</v>
      </c>
      <c r="D192">
        <v>337427</v>
      </c>
      <c r="F192" s="5">
        <f t="shared" si="32"/>
        <v>7.6073762450323421E-2</v>
      </c>
      <c r="G192" s="5">
        <f t="shared" si="33"/>
        <v>0.27723383063263757</v>
      </c>
      <c r="I192" s="2">
        <v>45232</v>
      </c>
      <c r="J192">
        <v>66845</v>
      </c>
      <c r="K192">
        <v>120278</v>
      </c>
      <c r="M192" s="5">
        <f t="shared" si="34"/>
        <v>0.67666990799611038</v>
      </c>
      <c r="N192" s="5">
        <f t="shared" si="35"/>
        <v>0.24933482238200327</v>
      </c>
      <c r="S192" s="5">
        <f t="shared" si="36"/>
        <v>-1.5950126982495205E-3</v>
      </c>
      <c r="T192" s="5">
        <f t="shared" si="37"/>
        <v>-7.1637847047518188E-3</v>
      </c>
      <c r="U192" s="5">
        <f t="shared" si="38"/>
        <v>-1.5896966586411321E-2</v>
      </c>
      <c r="V192" s="5">
        <f t="shared" si="39"/>
        <v>-8.3571703029135858E-2</v>
      </c>
      <c r="W192" s="5">
        <f t="shared" si="40"/>
        <v>-0.10586528218645341</v>
      </c>
      <c r="X192" s="5">
        <f t="shared" si="41"/>
        <v>-0.1339639165213814</v>
      </c>
      <c r="AA192" s="5">
        <f t="shared" si="42"/>
        <v>5.1537745978879723E-2</v>
      </c>
      <c r="AB192" s="5">
        <f t="shared" si="43"/>
        <v>9.7467599598131838E-2</v>
      </c>
      <c r="AC192" s="5">
        <f t="shared" si="44"/>
        <v>9.8405166944875971E-2</v>
      </c>
      <c r="AD192" s="5">
        <f t="shared" si="45"/>
        <v>-0.17317829695919199</v>
      </c>
      <c r="AE192" s="5">
        <f t="shared" si="46"/>
        <v>-0.28369552014718818</v>
      </c>
      <c r="AF192" s="5">
        <f t="shared" si="47"/>
        <v>-0.37860573807501419</v>
      </c>
    </row>
    <row r="193" spans="1:32" x14ac:dyDescent="0.25">
      <c r="A193" s="2">
        <v>45231</v>
      </c>
      <c r="B193">
        <v>4537</v>
      </c>
      <c r="C193">
        <v>121328</v>
      </c>
      <c r="D193">
        <v>334301</v>
      </c>
      <c r="F193" s="5">
        <f t="shared" si="32"/>
        <v>3.7394500857180532E-2</v>
      </c>
      <c r="G193" s="5">
        <f t="shared" si="33"/>
        <v>0.27352085986361441</v>
      </c>
      <c r="I193" s="2">
        <v>45231</v>
      </c>
      <c r="J193">
        <v>66420</v>
      </c>
      <c r="K193">
        <v>121328</v>
      </c>
      <c r="M193" s="5">
        <f t="shared" si="34"/>
        <v>0.68098464317976515</v>
      </c>
      <c r="N193" s="5">
        <f t="shared" si="35"/>
        <v>0.25036551018943742</v>
      </c>
      <c r="S193" s="5">
        <f t="shared" si="36"/>
        <v>-1.7688953004195707E-3</v>
      </c>
      <c r="T193" s="5">
        <f t="shared" si="37"/>
        <v>-7.3999048932650857E-3</v>
      </c>
      <c r="U193" s="5">
        <f t="shared" si="38"/>
        <v>-1.5966422999917906E-2</v>
      </c>
      <c r="V193" s="5">
        <f t="shared" si="39"/>
        <v>-8.4602310143576998E-2</v>
      </c>
      <c r="W193" s="5">
        <f t="shared" si="40"/>
        <v>-0.10562789600807643</v>
      </c>
      <c r="X193" s="5">
        <f t="shared" si="41"/>
        <v>-0.13298726624240664</v>
      </c>
      <c r="AA193" s="5">
        <f t="shared" si="42"/>
        <v>5.6528906259169787E-2</v>
      </c>
      <c r="AB193" s="5">
        <f t="shared" si="43"/>
        <v>0.10015694002538233</v>
      </c>
      <c r="AC193" s="5">
        <f t="shared" si="44"/>
        <v>9.9096711583131852E-2</v>
      </c>
      <c r="AD193" s="5">
        <f t="shared" si="45"/>
        <v>-0.19004076439755427</v>
      </c>
      <c r="AE193" s="5">
        <f t="shared" si="46"/>
        <v>-0.29382118648641126</v>
      </c>
      <c r="AF193" s="5">
        <f t="shared" si="47"/>
        <v>-0.38404180368646684</v>
      </c>
    </row>
    <row r="194" spans="1:32" x14ac:dyDescent="0.25">
      <c r="A194" s="2">
        <v>45230</v>
      </c>
      <c r="B194">
        <v>4237</v>
      </c>
      <c r="C194">
        <v>121418</v>
      </c>
      <c r="D194">
        <v>336041</v>
      </c>
      <c r="F194" s="5">
        <f t="shared" si="32"/>
        <v>3.4895979179363851E-2</v>
      </c>
      <c r="G194" s="5">
        <f t="shared" si="33"/>
        <v>0.27215960285555862</v>
      </c>
      <c r="I194" s="2">
        <v>45230</v>
      </c>
      <c r="J194">
        <v>66212</v>
      </c>
      <c r="K194">
        <v>121418</v>
      </c>
      <c r="M194" s="5">
        <f t="shared" si="34"/>
        <v>0.68310880202984359</v>
      </c>
      <c r="N194" s="5">
        <f t="shared" si="35"/>
        <v>0.24904186304284184</v>
      </c>
      <c r="S194" s="5">
        <f t="shared" si="36"/>
        <v>-1.6237777842840195E-3</v>
      </c>
      <c r="T194" s="5">
        <f t="shared" si="37"/>
        <v>-7.4197917357046173E-3</v>
      </c>
      <c r="U194" s="5">
        <f t="shared" si="38"/>
        <v>-1.5861652780880642E-2</v>
      </c>
      <c r="V194" s="5">
        <f t="shared" si="39"/>
        <v>-8.614746111624938E-2</v>
      </c>
      <c r="W194" s="5">
        <f t="shared" si="40"/>
        <v>-0.1057939778796021</v>
      </c>
      <c r="X194" s="5">
        <f t="shared" si="41"/>
        <v>-0.1322863364604786</v>
      </c>
      <c r="AA194" s="5">
        <f t="shared" si="42"/>
        <v>6.2039917533125294E-2</v>
      </c>
      <c r="AB194" s="5">
        <f t="shared" si="43"/>
        <v>0.10325505870818272</v>
      </c>
      <c r="AC194" s="5">
        <f t="shared" si="44"/>
        <v>0.1001817776664036</v>
      </c>
      <c r="AD194" s="5">
        <f t="shared" si="45"/>
        <v>-0.20493970862150468</v>
      </c>
      <c r="AE194" s="5">
        <f t="shared" si="46"/>
        <v>-0.30230717398333845</v>
      </c>
      <c r="AF194" s="5">
        <f t="shared" si="47"/>
        <v>-0.38788283937182694</v>
      </c>
    </row>
    <row r="195" spans="1:32" x14ac:dyDescent="0.25">
      <c r="A195" s="2">
        <v>45229</v>
      </c>
      <c r="B195">
        <v>4187</v>
      </c>
      <c r="C195">
        <v>122093</v>
      </c>
      <c r="D195">
        <v>337361</v>
      </c>
      <c r="F195" s="5">
        <f t="shared" ref="F195:F258" si="48">IFERROR(B195/C195,"")</f>
        <v>3.4293530341624828E-2</v>
      </c>
      <c r="G195" s="5">
        <f t="shared" ref="G195:G258" si="49">IFERROR(SUM(B195:C195)/SUM(B195:D195),"")</f>
        <v>0.27236590379194248</v>
      </c>
      <c r="I195" s="2">
        <v>45229</v>
      </c>
      <c r="J195">
        <v>66062</v>
      </c>
      <c r="K195">
        <v>122093</v>
      </c>
      <c r="M195" s="5">
        <f t="shared" ref="M195:M258" si="50">IFERROR(I195/J195,"")</f>
        <v>0.68464472768005813</v>
      </c>
      <c r="N195" s="5">
        <f t="shared" ref="N195:N258" si="51">IFERROR(SUM(I195:J195)/SUM(I195:J195,D195),"")</f>
        <v>0.24805640006062604</v>
      </c>
      <c r="S195" s="5">
        <f t="shared" ref="S195:S258" si="52">IFERROR(AVERAGEA(N195:N215)-AVERAGE(N216:N236),"")</f>
        <v>-1.5544103272560617E-3</v>
      </c>
      <c r="T195" s="5">
        <f t="shared" ref="T195:T258" si="53">IFERROR(AVERAGEA(N195:N215)-AVERAGE(N216:N271),"")</f>
        <v>-7.4584359955695012E-3</v>
      </c>
      <c r="U195" s="5">
        <f t="shared" ref="U195:U258" si="54">IFERROR(AVERAGEA(N195:N215)-AVERAGE(N216:N328),"")</f>
        <v>-1.5735458719326134E-2</v>
      </c>
      <c r="V195" s="5">
        <f t="shared" ref="V195:V258" si="55">IFERROR(AVERAGEA(M195:M215)-AVERAGE(M216:M236),"")</f>
        <v>-8.7568735585512147E-2</v>
      </c>
      <c r="W195" s="5">
        <f t="shared" ref="W195:W258" si="56">IFERROR(AVERAGEA(M195:M215)-AVERAGE(M216:M271),"")</f>
        <v>-0.10571109142367141</v>
      </c>
      <c r="X195" s="5">
        <f t="shared" ref="X195:X258" si="57">IFERROR(AVERAGEA(M195:M215)-AVERAGE(M216:M328),"")</f>
        <v>-0.13157367199270753</v>
      </c>
      <c r="AA195" s="5">
        <f t="shared" ref="AA195:AA258" si="58">IFERROR(AVERAGEA(G195:G215)-AVERAGE(G216:G236),"")</f>
        <v>6.7623797469556296E-2</v>
      </c>
      <c r="AB195" s="5">
        <f t="shared" ref="AB195:AB258" si="59">IFERROR(AVERAGEA(G195:G215)-AVERAGE(G216:G271),"")</f>
        <v>0.1063794814906264</v>
      </c>
      <c r="AC195" s="5">
        <f t="shared" ref="AC195:AC258" si="60">IFERROR(AVERAGEA(G195:G215)-AVERAGE(G216:G328),"")</f>
        <v>0.10130220684255231</v>
      </c>
      <c r="AD195" s="5">
        <f t="shared" ref="AD195:AD258" si="61">IFERROR(AVERAGEA(F195:F215)-AVERAGE(F216:F236),"")</f>
        <v>-0.21999547200115957</v>
      </c>
      <c r="AE195" s="5">
        <f t="shared" ref="AE195:AE258" si="62">IFERROR(AVERAGEA(F195:F215)-AVERAGE(F216:F271),"")</f>
        <v>-0.30985396182761804</v>
      </c>
      <c r="AF195" s="5">
        <f t="shared" ref="AF195:AF258" si="63">IFERROR(AVERAGEA(F195:F215)-AVERAGE(F216:F328),"")</f>
        <v>-0.39159567432149667</v>
      </c>
    </row>
    <row r="196" spans="1:32" x14ac:dyDescent="0.25">
      <c r="A196" s="2">
        <v>45226</v>
      </c>
      <c r="B196">
        <v>3987</v>
      </c>
      <c r="C196">
        <v>122193</v>
      </c>
      <c r="D196">
        <v>335256</v>
      </c>
      <c r="F196" s="5">
        <f t="shared" si="48"/>
        <v>3.2628710318921707E-2</v>
      </c>
      <c r="G196" s="5">
        <f t="shared" si="49"/>
        <v>0.2734507060567446</v>
      </c>
      <c r="I196" s="2">
        <v>45226</v>
      </c>
      <c r="J196">
        <v>66062</v>
      </c>
      <c r="K196">
        <v>122193</v>
      </c>
      <c r="M196" s="5">
        <f t="shared" si="50"/>
        <v>0.68459931579425393</v>
      </c>
      <c r="N196" s="5">
        <f t="shared" si="51"/>
        <v>0.24922068150059121</v>
      </c>
      <c r="S196" s="5">
        <f t="shared" si="52"/>
        <v>-1.5452914644682458E-3</v>
      </c>
      <c r="T196" s="5">
        <f t="shared" si="53"/>
        <v>-7.5332983114772545E-3</v>
      </c>
      <c r="U196" s="5">
        <f t="shared" si="54"/>
        <v>-1.5618883495233438E-2</v>
      </c>
      <c r="V196" s="5">
        <f t="shared" si="55"/>
        <v>-8.8021306762079199E-2</v>
      </c>
      <c r="W196" s="5">
        <f t="shared" si="56"/>
        <v>-0.10491903332421926</v>
      </c>
      <c r="X196" s="5">
        <f t="shared" si="57"/>
        <v>-0.13041740504244692</v>
      </c>
      <c r="AA196" s="5">
        <f t="shared" si="58"/>
        <v>7.3390295052797427E-2</v>
      </c>
      <c r="AB196" s="5">
        <f t="shared" si="59"/>
        <v>0.10948388604373513</v>
      </c>
      <c r="AC196" s="5">
        <f t="shared" si="60"/>
        <v>0.10247773127065787</v>
      </c>
      <c r="AD196" s="5">
        <f t="shared" si="61"/>
        <v>-0.23525601628737305</v>
      </c>
      <c r="AE196" s="5">
        <f t="shared" si="62"/>
        <v>-0.31703349387851365</v>
      </c>
      <c r="AF196" s="5">
        <f t="shared" si="63"/>
        <v>-0.39519267344684644</v>
      </c>
    </row>
    <row r="197" spans="1:32" x14ac:dyDescent="0.25">
      <c r="A197" s="2">
        <v>45225</v>
      </c>
      <c r="B197">
        <v>3987</v>
      </c>
      <c r="C197">
        <v>122213</v>
      </c>
      <c r="D197">
        <v>331998</v>
      </c>
      <c r="F197" s="5">
        <f t="shared" si="48"/>
        <v>3.2623370672514383E-2</v>
      </c>
      <c r="G197" s="5">
        <f t="shared" si="49"/>
        <v>0.27542678056211506</v>
      </c>
      <c r="I197" s="2">
        <v>45225</v>
      </c>
      <c r="J197">
        <v>64262</v>
      </c>
      <c r="K197">
        <v>122213</v>
      </c>
      <c r="M197" s="5">
        <f t="shared" si="50"/>
        <v>0.70375960910024582</v>
      </c>
      <c r="N197" s="5">
        <f t="shared" si="51"/>
        <v>0.24799710069424782</v>
      </c>
      <c r="S197" s="5">
        <f t="shared" si="52"/>
        <v>-1.7498160348521918E-3</v>
      </c>
      <c r="T197" s="5">
        <f t="shared" si="53"/>
        <v>-7.8310658690562973E-3</v>
      </c>
      <c r="U197" s="5">
        <f t="shared" si="54"/>
        <v>-1.5685072931096E-2</v>
      </c>
      <c r="V197" s="5">
        <f t="shared" si="55"/>
        <v>-8.6991067526343335E-2</v>
      </c>
      <c r="W197" s="5">
        <f t="shared" si="56"/>
        <v>-0.1029748825782405</v>
      </c>
      <c r="X197" s="5">
        <f t="shared" si="57"/>
        <v>-0.12810536761438196</v>
      </c>
      <c r="AA197" s="5">
        <f t="shared" si="58"/>
        <v>7.9112445703597101E-2</v>
      </c>
      <c r="AB197" s="5">
        <f t="shared" si="59"/>
        <v>0.11249307102287115</v>
      </c>
      <c r="AC197" s="5">
        <f t="shared" si="60"/>
        <v>0.10359835221917904</v>
      </c>
      <c r="AD197" s="5">
        <f t="shared" si="61"/>
        <v>-0.25040383563264934</v>
      </c>
      <c r="AE197" s="5">
        <f t="shared" si="62"/>
        <v>-0.32403406057322987</v>
      </c>
      <c r="AF197" s="5">
        <f t="shared" si="63"/>
        <v>-0.39880011268192178</v>
      </c>
    </row>
    <row r="198" spans="1:32" x14ac:dyDescent="0.25">
      <c r="A198" s="2">
        <v>45224</v>
      </c>
      <c r="B198">
        <v>3987</v>
      </c>
      <c r="C198">
        <v>122093</v>
      </c>
      <c r="D198">
        <v>331051</v>
      </c>
      <c r="F198" s="5">
        <f t="shared" si="48"/>
        <v>3.2655434791511388E-2</v>
      </c>
      <c r="G198" s="5">
        <f t="shared" si="49"/>
        <v>0.27580715374805032</v>
      </c>
      <c r="I198" s="2">
        <v>45224</v>
      </c>
      <c r="J198">
        <v>64162</v>
      </c>
      <c r="K198">
        <v>122093</v>
      </c>
      <c r="M198" s="5">
        <f t="shared" si="50"/>
        <v>0.70484087154390451</v>
      </c>
      <c r="N198" s="5">
        <f t="shared" si="51"/>
        <v>0.24835788092281075</v>
      </c>
      <c r="S198" s="5">
        <f t="shared" si="52"/>
        <v>-1.915607845088152E-3</v>
      </c>
      <c r="T198" s="5">
        <f t="shared" si="53"/>
        <v>-8.1008040811038073E-3</v>
      </c>
      <c r="U198" s="5">
        <f t="shared" si="54"/>
        <v>-1.568286505877714E-2</v>
      </c>
      <c r="V198" s="5">
        <f t="shared" si="55"/>
        <v>-8.6426342946817281E-2</v>
      </c>
      <c r="W198" s="5">
        <f t="shared" si="56"/>
        <v>-0.10178248396348999</v>
      </c>
      <c r="X198" s="5">
        <f t="shared" si="57"/>
        <v>-0.12657302041983065</v>
      </c>
      <c r="AA198" s="5">
        <f t="shared" si="58"/>
        <v>8.4866869910408316E-2</v>
      </c>
      <c r="AB198" s="5">
        <f t="shared" si="59"/>
        <v>0.11544062041880632</v>
      </c>
      <c r="AC198" s="5">
        <f t="shared" si="60"/>
        <v>0.10468164618806644</v>
      </c>
      <c r="AD198" s="5">
        <f t="shared" si="61"/>
        <v>-0.26585578220265954</v>
      </c>
      <c r="AE198" s="5">
        <f t="shared" si="62"/>
        <v>-0.33109675565611568</v>
      </c>
      <c r="AF198" s="5">
        <f t="shared" si="63"/>
        <v>-0.40245902853153598</v>
      </c>
    </row>
    <row r="199" spans="1:32" x14ac:dyDescent="0.25">
      <c r="A199" s="2">
        <v>45223</v>
      </c>
      <c r="B199">
        <v>3987</v>
      </c>
      <c r="C199">
        <v>122143</v>
      </c>
      <c r="D199">
        <v>328461</v>
      </c>
      <c r="F199" s="5">
        <f t="shared" si="48"/>
        <v>3.2642067085301651E-2</v>
      </c>
      <c r="G199" s="5">
        <f t="shared" si="49"/>
        <v>0.27745819868849142</v>
      </c>
      <c r="I199" s="2">
        <v>45223</v>
      </c>
      <c r="J199">
        <v>63097</v>
      </c>
      <c r="K199">
        <v>122143</v>
      </c>
      <c r="M199" s="5">
        <f t="shared" si="50"/>
        <v>0.71672187267223486</v>
      </c>
      <c r="N199" s="5">
        <f t="shared" si="51"/>
        <v>0.24799613536303089</v>
      </c>
      <c r="S199" s="5">
        <f t="shared" si="52"/>
        <v>-2.0756838191141047E-3</v>
      </c>
      <c r="T199" s="5">
        <f t="shared" si="53"/>
        <v>-8.3612917843826073E-3</v>
      </c>
      <c r="U199" s="5">
        <f t="shared" si="54"/>
        <v>-1.5673875561683981E-2</v>
      </c>
      <c r="V199" s="5">
        <f t="shared" si="55"/>
        <v>-8.5423598669655654E-2</v>
      </c>
      <c r="W199" s="5">
        <f t="shared" si="56"/>
        <v>-0.10030528632755442</v>
      </c>
      <c r="X199" s="5">
        <f t="shared" si="57"/>
        <v>-0.12472823231669428</v>
      </c>
      <c r="AA199" s="5">
        <f t="shared" si="58"/>
        <v>9.0764657083996642E-2</v>
      </c>
      <c r="AB199" s="5">
        <f t="shared" si="59"/>
        <v>0.11859767825495135</v>
      </c>
      <c r="AC199" s="5">
        <f t="shared" si="60"/>
        <v>0.10589147353820333</v>
      </c>
      <c r="AD199" s="5">
        <f t="shared" si="61"/>
        <v>-0.28131671979402928</v>
      </c>
      <c r="AE199" s="5">
        <f t="shared" si="62"/>
        <v>-0.33789076113965943</v>
      </c>
      <c r="AF199" s="5">
        <f t="shared" si="63"/>
        <v>-0.40625475469538141</v>
      </c>
    </row>
    <row r="200" spans="1:32" x14ac:dyDescent="0.25">
      <c r="A200" s="2">
        <v>45222</v>
      </c>
      <c r="B200">
        <v>3937</v>
      </c>
      <c r="C200">
        <v>122808</v>
      </c>
      <c r="D200">
        <v>327172</v>
      </c>
      <c r="F200" s="5">
        <f t="shared" si="48"/>
        <v>3.2058172106051726E-2</v>
      </c>
      <c r="G200" s="5">
        <f t="shared" si="49"/>
        <v>0.27922505656320429</v>
      </c>
      <c r="I200" s="2">
        <v>45222</v>
      </c>
      <c r="J200">
        <v>63797</v>
      </c>
      <c r="K200">
        <v>122808</v>
      </c>
      <c r="M200" s="5">
        <f t="shared" si="50"/>
        <v>0.70884210856309859</v>
      </c>
      <c r="N200" s="5">
        <f t="shared" si="51"/>
        <v>0.24993408850709894</v>
      </c>
      <c r="S200" s="5">
        <f t="shared" si="52"/>
        <v>-2.2653994728951132E-3</v>
      </c>
      <c r="T200" s="5">
        <f t="shared" si="53"/>
        <v>-8.6344527705902729E-3</v>
      </c>
      <c r="U200" s="5">
        <f t="shared" si="54"/>
        <v>-1.5642799810199393E-2</v>
      </c>
      <c r="V200" s="5">
        <f t="shared" si="55"/>
        <v>-8.3493461867340635E-2</v>
      </c>
      <c r="W200" s="5">
        <f t="shared" si="56"/>
        <v>-9.8528379039531711E-2</v>
      </c>
      <c r="X200" s="5">
        <f t="shared" si="57"/>
        <v>-0.12260560999312431</v>
      </c>
      <c r="AA200" s="5">
        <f t="shared" si="58"/>
        <v>9.7038434036499505E-2</v>
      </c>
      <c r="AB200" s="5">
        <f t="shared" si="59"/>
        <v>0.12195075078869091</v>
      </c>
      <c r="AC200" s="5">
        <f t="shared" si="60"/>
        <v>0.10727610325312298</v>
      </c>
      <c r="AD200" s="5">
        <f t="shared" si="61"/>
        <v>-0.2970539687977537</v>
      </c>
      <c r="AE200" s="5">
        <f t="shared" si="62"/>
        <v>-0.3444259340932867</v>
      </c>
      <c r="AF200" s="5">
        <f t="shared" si="63"/>
        <v>-0.40973964777072636</v>
      </c>
    </row>
    <row r="201" spans="1:32" x14ac:dyDescent="0.25">
      <c r="A201" s="2">
        <v>45219</v>
      </c>
      <c r="B201">
        <v>3937</v>
      </c>
      <c r="C201">
        <v>123258</v>
      </c>
      <c r="D201">
        <v>324672</v>
      </c>
      <c r="F201" s="5">
        <f t="shared" si="48"/>
        <v>3.1941131610118613E-2</v>
      </c>
      <c r="G201" s="5">
        <f t="shared" si="49"/>
        <v>0.28148769438795046</v>
      </c>
      <c r="I201" s="2">
        <v>45219</v>
      </c>
      <c r="J201">
        <v>63447</v>
      </c>
      <c r="K201">
        <v>123258</v>
      </c>
      <c r="M201" s="5">
        <f t="shared" si="50"/>
        <v>0.71270509243935887</v>
      </c>
      <c r="N201" s="5">
        <f t="shared" si="51"/>
        <v>0.2507649917616272</v>
      </c>
      <c r="S201" s="5">
        <f t="shared" si="52"/>
        <v>-2.7696999733543004E-3</v>
      </c>
      <c r="T201" s="5">
        <f t="shared" si="53"/>
        <v>-8.9636526569006891E-3</v>
      </c>
      <c r="U201" s="5">
        <f t="shared" si="54"/>
        <v>-1.575106697783496E-2</v>
      </c>
      <c r="V201" s="5">
        <f t="shared" si="55"/>
        <v>-7.8989911913144195E-2</v>
      </c>
      <c r="W201" s="5">
        <f t="shared" si="56"/>
        <v>-9.5324554290190933E-2</v>
      </c>
      <c r="X201" s="5">
        <f t="shared" si="57"/>
        <v>-0.11934080801378411</v>
      </c>
      <c r="AA201" s="5">
        <f t="shared" si="58"/>
        <v>0.10276122679968591</v>
      </c>
      <c r="AB201" s="5">
        <f t="shared" si="59"/>
        <v>0.12505576646301567</v>
      </c>
      <c r="AC201" s="5">
        <f t="shared" si="60"/>
        <v>0.10830132055781277</v>
      </c>
      <c r="AD201" s="5">
        <f t="shared" si="61"/>
        <v>-0.31293557184964782</v>
      </c>
      <c r="AE201" s="5">
        <f t="shared" si="62"/>
        <v>-0.35188267646648297</v>
      </c>
      <c r="AF201" s="5">
        <f t="shared" si="63"/>
        <v>-0.41304444818143277</v>
      </c>
    </row>
    <row r="202" spans="1:32" x14ac:dyDescent="0.25">
      <c r="A202" s="2">
        <v>45218</v>
      </c>
      <c r="B202">
        <v>3937</v>
      </c>
      <c r="C202">
        <v>123283</v>
      </c>
      <c r="D202">
        <v>327814</v>
      </c>
      <c r="F202" s="5">
        <f t="shared" si="48"/>
        <v>3.1934654413017204E-2</v>
      </c>
      <c r="G202" s="5">
        <f t="shared" si="49"/>
        <v>0.27958350365027668</v>
      </c>
      <c r="I202" s="2">
        <v>45218</v>
      </c>
      <c r="J202">
        <v>64522</v>
      </c>
      <c r="K202">
        <v>123283</v>
      </c>
      <c r="M202" s="5">
        <f t="shared" si="50"/>
        <v>0.70081522581445088</v>
      </c>
      <c r="N202" s="5">
        <f t="shared" si="51"/>
        <v>0.25080332941762618</v>
      </c>
      <c r="S202" s="5">
        <f t="shared" si="52"/>
        <v>-3.7784635507258635E-3</v>
      </c>
      <c r="T202" s="5">
        <f t="shared" si="53"/>
        <v>-9.6384588154593831E-3</v>
      </c>
      <c r="U202" s="5">
        <f t="shared" si="54"/>
        <v>-1.6136028253816992E-2</v>
      </c>
      <c r="V202" s="5">
        <f t="shared" si="55"/>
        <v>-7.2460193882294632E-2</v>
      </c>
      <c r="W202" s="5">
        <f t="shared" si="56"/>
        <v>-9.0785459450210992E-2</v>
      </c>
      <c r="X202" s="5">
        <f t="shared" si="57"/>
        <v>-0.11493405373882004</v>
      </c>
      <c r="AA202" s="5">
        <f t="shared" si="58"/>
        <v>0.10823998085717443</v>
      </c>
      <c r="AB202" s="5">
        <f t="shared" si="59"/>
        <v>0.12792659839499171</v>
      </c>
      <c r="AC202" s="5">
        <f t="shared" si="60"/>
        <v>0.10913032231144978</v>
      </c>
      <c r="AD202" s="5">
        <f t="shared" si="61"/>
        <v>-0.32857955114663795</v>
      </c>
      <c r="AE202" s="5">
        <f t="shared" si="62"/>
        <v>-0.35934959704347719</v>
      </c>
      <c r="AF202" s="5">
        <f t="shared" si="63"/>
        <v>-0.41634930969267159</v>
      </c>
    </row>
    <row r="203" spans="1:32" x14ac:dyDescent="0.25">
      <c r="A203" s="2">
        <v>45217</v>
      </c>
      <c r="B203">
        <v>3937</v>
      </c>
      <c r="C203">
        <v>120983</v>
      </c>
      <c r="D203">
        <v>327174</v>
      </c>
      <c r="F203" s="5">
        <f t="shared" si="48"/>
        <v>3.2541762065744773E-2</v>
      </c>
      <c r="G203" s="5">
        <f t="shared" si="49"/>
        <v>0.27631421783965282</v>
      </c>
      <c r="I203" s="2">
        <v>45217</v>
      </c>
      <c r="J203">
        <v>64672</v>
      </c>
      <c r="K203">
        <v>120983</v>
      </c>
      <c r="M203" s="5">
        <f t="shared" si="50"/>
        <v>0.69917429490351313</v>
      </c>
      <c r="N203" s="5">
        <f t="shared" si="51"/>
        <v>0.25142599579465663</v>
      </c>
      <c r="S203" s="5">
        <f t="shared" si="52"/>
        <v>-4.4637647441676531E-3</v>
      </c>
      <c r="T203" s="5">
        <f t="shared" si="53"/>
        <v>-1.0119356552307612E-2</v>
      </c>
      <c r="U203" s="5">
        <f t="shared" si="54"/>
        <v>-1.63433891281074E-2</v>
      </c>
      <c r="V203" s="5">
        <f t="shared" si="55"/>
        <v>-6.7960722380477234E-2</v>
      </c>
      <c r="W203" s="5">
        <f t="shared" si="56"/>
        <v>-8.7438390833104007E-2</v>
      </c>
      <c r="X203" s="5">
        <f t="shared" si="57"/>
        <v>-0.11137925795764969</v>
      </c>
      <c r="AA203" s="5">
        <f t="shared" si="58"/>
        <v>0.10278282297236113</v>
      </c>
      <c r="AB203" s="5">
        <f t="shared" si="59"/>
        <v>0.1232587504086487</v>
      </c>
      <c r="AC203" s="5">
        <f t="shared" si="60"/>
        <v>0.10350154912157752</v>
      </c>
      <c r="AD203" s="5">
        <f t="shared" si="61"/>
        <v>-0.3088135406618216</v>
      </c>
      <c r="AE203" s="5">
        <f t="shared" si="62"/>
        <v>-0.34282998884689014</v>
      </c>
      <c r="AF203" s="5">
        <f t="shared" si="63"/>
        <v>-0.39848163758044441</v>
      </c>
    </row>
    <row r="204" spans="1:32" x14ac:dyDescent="0.25">
      <c r="A204" s="2">
        <v>45216</v>
      </c>
      <c r="B204">
        <v>3937</v>
      </c>
      <c r="C204">
        <v>120558</v>
      </c>
      <c r="D204">
        <v>325279</v>
      </c>
      <c r="F204" s="5">
        <f t="shared" si="48"/>
        <v>3.2656480698087229E-2</v>
      </c>
      <c r="G204" s="5">
        <f t="shared" si="49"/>
        <v>0.27679456793856472</v>
      </c>
      <c r="I204" s="2">
        <v>45216</v>
      </c>
      <c r="J204">
        <v>65366</v>
      </c>
      <c r="K204">
        <v>120558</v>
      </c>
      <c r="M204" s="5">
        <f t="shared" si="50"/>
        <v>0.69173576477067589</v>
      </c>
      <c r="N204" s="5">
        <f t="shared" si="51"/>
        <v>0.25370932476179331</v>
      </c>
      <c r="S204" s="5">
        <f t="shared" si="52"/>
        <v>-5.1661662558099564E-3</v>
      </c>
      <c r="T204" s="5">
        <f t="shared" si="53"/>
        <v>-1.0652493381927586E-2</v>
      </c>
      <c r="U204" s="5">
        <f t="shared" si="54"/>
        <v>-1.6588410419928368E-2</v>
      </c>
      <c r="V204" s="5">
        <f t="shared" si="55"/>
        <v>-6.3450280518354996E-2</v>
      </c>
      <c r="W204" s="5">
        <f t="shared" si="56"/>
        <v>-8.401399463480963E-2</v>
      </c>
      <c r="X204" s="5">
        <f t="shared" si="57"/>
        <v>-0.10774713915861123</v>
      </c>
      <c r="AA204" s="5">
        <f t="shared" si="58"/>
        <v>9.7609621356570281E-2</v>
      </c>
      <c r="AB204" s="5">
        <f t="shared" si="59"/>
        <v>0.11876218675728364</v>
      </c>
      <c r="AC204" s="5">
        <f t="shared" si="60"/>
        <v>9.8041977271401487E-2</v>
      </c>
      <c r="AD204" s="5">
        <f t="shared" si="61"/>
        <v>-0.28885137089270435</v>
      </c>
      <c r="AE204" s="5">
        <f t="shared" si="62"/>
        <v>-0.32597773392661145</v>
      </c>
      <c r="AF204" s="5">
        <f t="shared" si="63"/>
        <v>-0.38030743977616882</v>
      </c>
    </row>
    <row r="205" spans="1:32" x14ac:dyDescent="0.25">
      <c r="A205" s="2">
        <v>45215</v>
      </c>
      <c r="B205">
        <v>3937</v>
      </c>
      <c r="C205">
        <v>120658</v>
      </c>
      <c r="D205">
        <v>324123</v>
      </c>
      <c r="F205" s="5">
        <f t="shared" si="48"/>
        <v>3.2629415372374813E-2</v>
      </c>
      <c r="G205" s="5">
        <f t="shared" si="49"/>
        <v>0.27766882540927712</v>
      </c>
      <c r="I205" s="2">
        <v>45215</v>
      </c>
      <c r="J205">
        <v>65322</v>
      </c>
      <c r="K205">
        <v>120658</v>
      </c>
      <c r="M205" s="5">
        <f t="shared" si="50"/>
        <v>0.69218639968157747</v>
      </c>
      <c r="N205" s="5">
        <f t="shared" si="51"/>
        <v>0.25430681452169512</v>
      </c>
      <c r="S205" s="5">
        <f t="shared" si="52"/>
        <v>-5.8042321873881253E-3</v>
      </c>
      <c r="T205" s="5">
        <f t="shared" si="53"/>
        <v>-1.1188182353403908E-2</v>
      </c>
      <c r="U205" s="5">
        <f t="shared" si="54"/>
        <v>-1.6842091713905327E-2</v>
      </c>
      <c r="V205" s="5">
        <f t="shared" si="55"/>
        <v>-5.8598180316809967E-2</v>
      </c>
      <c r="W205" s="5">
        <f t="shared" si="56"/>
        <v>-8.0198966894099111E-2</v>
      </c>
      <c r="X205" s="5">
        <f t="shared" si="57"/>
        <v>-0.10373009833274816</v>
      </c>
      <c r="AA205" s="5">
        <f t="shared" si="58"/>
        <v>9.2867876977817509E-2</v>
      </c>
      <c r="AB205" s="5">
        <f t="shared" si="59"/>
        <v>0.11447693896094374</v>
      </c>
      <c r="AC205" s="5">
        <f t="shared" si="60"/>
        <v>9.2838507456091401E-2</v>
      </c>
      <c r="AD205" s="5">
        <f t="shared" si="61"/>
        <v>-0.27055453225877751</v>
      </c>
      <c r="AE205" s="5">
        <f t="shared" si="62"/>
        <v>-0.3099916492609876</v>
      </c>
      <c r="AF205" s="5">
        <f t="shared" si="63"/>
        <v>-0.36293766492217688</v>
      </c>
    </row>
    <row r="206" spans="1:32" x14ac:dyDescent="0.25">
      <c r="A206" s="2">
        <v>45212</v>
      </c>
      <c r="B206">
        <v>3937</v>
      </c>
      <c r="C206">
        <v>119898</v>
      </c>
      <c r="D206">
        <v>329794</v>
      </c>
      <c r="F206" s="5">
        <f t="shared" si="48"/>
        <v>3.2836244140853059E-2</v>
      </c>
      <c r="G206" s="5">
        <f t="shared" si="49"/>
        <v>0.27298739719021492</v>
      </c>
      <c r="I206" s="2">
        <v>45212</v>
      </c>
      <c r="J206">
        <v>65071</v>
      </c>
      <c r="K206">
        <v>119898</v>
      </c>
      <c r="M206" s="5">
        <f t="shared" si="50"/>
        <v>0.69481028415115798</v>
      </c>
      <c r="N206" s="5">
        <f t="shared" si="51"/>
        <v>0.25059932693596804</v>
      </c>
      <c r="S206" s="5">
        <f t="shared" si="52"/>
        <v>-6.43052727737492E-3</v>
      </c>
      <c r="T206" s="5">
        <f t="shared" si="53"/>
        <v>-1.1721272406794436E-2</v>
      </c>
      <c r="U206" s="5">
        <f t="shared" si="54"/>
        <v>-1.7096306847586007E-2</v>
      </c>
      <c r="V206" s="5">
        <f t="shared" si="55"/>
        <v>-5.3303347763923314E-2</v>
      </c>
      <c r="W206" s="5">
        <f t="shared" si="56"/>
        <v>-7.6100972137531309E-2</v>
      </c>
      <c r="X206" s="5">
        <f t="shared" si="57"/>
        <v>-9.9459609629612644E-2</v>
      </c>
      <c r="AA206" s="5">
        <f t="shared" si="58"/>
        <v>8.8654176330261403E-2</v>
      </c>
      <c r="AB206" s="5">
        <f t="shared" si="59"/>
        <v>0.1110910637526519</v>
      </c>
      <c r="AC206" s="5">
        <f t="shared" si="60"/>
        <v>8.7956307952864438E-2</v>
      </c>
      <c r="AD206" s="5">
        <f t="shared" si="61"/>
        <v>-0.25099360465633708</v>
      </c>
      <c r="AE206" s="5">
        <f t="shared" si="62"/>
        <v>-0.29852656721642445</v>
      </c>
      <c r="AF206" s="5">
        <f t="shared" si="63"/>
        <v>-0.3448172662810271</v>
      </c>
    </row>
    <row r="207" spans="1:32" x14ac:dyDescent="0.25">
      <c r="A207" s="2">
        <v>45211</v>
      </c>
      <c r="B207">
        <v>3937</v>
      </c>
      <c r="C207">
        <v>120048</v>
      </c>
      <c r="D207">
        <v>330049</v>
      </c>
      <c r="F207" s="5">
        <f t="shared" si="48"/>
        <v>3.2795215247234437E-2</v>
      </c>
      <c r="G207" s="5">
        <f t="shared" si="49"/>
        <v>0.27307426316090866</v>
      </c>
      <c r="I207" s="2">
        <v>45211</v>
      </c>
      <c r="J207">
        <v>65021</v>
      </c>
      <c r="K207">
        <v>120048</v>
      </c>
      <c r="M207" s="5">
        <f t="shared" si="50"/>
        <v>0.69532920133495335</v>
      </c>
      <c r="N207" s="5">
        <f t="shared" si="51"/>
        <v>0.25036737901476558</v>
      </c>
      <c r="S207" s="5">
        <f t="shared" si="52"/>
        <v>-6.8359708387384921E-3</v>
      </c>
      <c r="T207" s="5">
        <f t="shared" si="53"/>
        <v>-1.2047842845937351E-2</v>
      </c>
      <c r="U207" s="5">
        <f t="shared" si="54"/>
        <v>-1.7153963185307042E-2</v>
      </c>
      <c r="V207" s="5">
        <f t="shared" si="55"/>
        <v>-4.7797499979153057E-2</v>
      </c>
      <c r="W207" s="5">
        <f t="shared" si="56"/>
        <v>-7.1899627598145166E-2</v>
      </c>
      <c r="X207" s="5">
        <f t="shared" si="57"/>
        <v>-9.515465427555736E-2</v>
      </c>
      <c r="AA207" s="5">
        <f t="shared" si="58"/>
        <v>8.5022209618373756E-2</v>
      </c>
      <c r="AB207" s="5">
        <f t="shared" si="59"/>
        <v>0.10792327649455211</v>
      </c>
      <c r="AC207" s="5">
        <f t="shared" si="60"/>
        <v>8.3285864331757303E-2</v>
      </c>
      <c r="AD207" s="5">
        <f t="shared" si="61"/>
        <v>-0.23393011619344506</v>
      </c>
      <c r="AE207" s="5">
        <f t="shared" si="62"/>
        <v>-0.28971303473572102</v>
      </c>
      <c r="AF207" s="5">
        <f t="shared" si="63"/>
        <v>-0.32898499741427167</v>
      </c>
    </row>
    <row r="208" spans="1:32" x14ac:dyDescent="0.25">
      <c r="A208" s="2">
        <v>45210</v>
      </c>
      <c r="B208">
        <v>3937</v>
      </c>
      <c r="C208">
        <v>119509</v>
      </c>
      <c r="D208">
        <v>328918</v>
      </c>
      <c r="F208" s="5">
        <f t="shared" si="48"/>
        <v>3.2943125622338067E-2</v>
      </c>
      <c r="G208" s="5">
        <f t="shared" si="49"/>
        <v>0.27289085780477668</v>
      </c>
      <c r="I208" s="2">
        <v>45210</v>
      </c>
      <c r="J208">
        <v>64791</v>
      </c>
      <c r="K208">
        <v>119509</v>
      </c>
      <c r="M208" s="5">
        <f t="shared" si="50"/>
        <v>0.69778209936565261</v>
      </c>
      <c r="N208" s="5">
        <f t="shared" si="51"/>
        <v>0.25061799557549341</v>
      </c>
      <c r="S208" s="5">
        <f t="shared" si="52"/>
        <v>-7.2663128402792321E-3</v>
      </c>
      <c r="T208" s="5">
        <f t="shared" si="53"/>
        <v>-1.243996600484365E-2</v>
      </c>
      <c r="U208" s="5">
        <f t="shared" si="54"/>
        <v>-1.6167423537353953E-2</v>
      </c>
      <c r="V208" s="5">
        <f t="shared" si="55"/>
        <v>-4.231721612690853E-2</v>
      </c>
      <c r="W208" s="5">
        <f t="shared" si="56"/>
        <v>-6.7723818074097331E-2</v>
      </c>
      <c r="X208" s="5">
        <f t="shared" si="57"/>
        <v>-9.048706900435699E-2</v>
      </c>
      <c r="AA208" s="5">
        <f t="shared" si="58"/>
        <v>8.161362929085117E-2</v>
      </c>
      <c r="AB208" s="5">
        <f t="shared" si="59"/>
        <v>0.10480993868833621</v>
      </c>
      <c r="AC208" s="5">
        <f t="shared" si="60"/>
        <v>7.8694557957062372E-2</v>
      </c>
      <c r="AD208" s="5">
        <f t="shared" si="61"/>
        <v>-0.21657085561812076</v>
      </c>
      <c r="AE208" s="5">
        <f t="shared" si="62"/>
        <v>-0.28062639041589221</v>
      </c>
      <c r="AF208" s="5">
        <f t="shared" si="63"/>
        <v>-0.31311779439802101</v>
      </c>
    </row>
    <row r="209" spans="1:32" x14ac:dyDescent="0.25">
      <c r="A209" s="2">
        <v>45209</v>
      </c>
      <c r="B209">
        <v>3937</v>
      </c>
      <c r="C209">
        <v>120259</v>
      </c>
      <c r="D209">
        <v>324524</v>
      </c>
      <c r="F209" s="5">
        <f t="shared" si="48"/>
        <v>3.2737674519162804E-2</v>
      </c>
      <c r="G209" s="5">
        <f t="shared" si="49"/>
        <v>0.27677839187020858</v>
      </c>
      <c r="I209" s="2">
        <v>45209</v>
      </c>
      <c r="J209">
        <v>64496</v>
      </c>
      <c r="K209">
        <v>120259</v>
      </c>
      <c r="M209" s="5">
        <f t="shared" si="50"/>
        <v>0.70095819895807487</v>
      </c>
      <c r="N209" s="5">
        <f t="shared" si="51"/>
        <v>0.25264319057455858</v>
      </c>
      <c r="S209" s="5">
        <f t="shared" si="52"/>
        <v>-7.6688891829715389E-3</v>
      </c>
      <c r="T209" s="5">
        <f t="shared" si="53"/>
        <v>-1.2804388033610448E-2</v>
      </c>
      <c r="U209" s="5">
        <f t="shared" si="54"/>
        <v>-1.6244500249488703E-2</v>
      </c>
      <c r="V209" s="5">
        <f t="shared" si="55"/>
        <v>-3.6886730846282245E-2</v>
      </c>
      <c r="W209" s="5">
        <f t="shared" si="56"/>
        <v>-6.3618984356652142E-2</v>
      </c>
      <c r="X209" s="5">
        <f t="shared" si="57"/>
        <v>-8.6236866181249372E-2</v>
      </c>
      <c r="AA209" s="5">
        <f t="shared" si="58"/>
        <v>7.8259183693737189E-2</v>
      </c>
      <c r="AB209" s="5">
        <f t="shared" si="59"/>
        <v>0.10165352174394895</v>
      </c>
      <c r="AC209" s="5">
        <f t="shared" si="60"/>
        <v>7.408810540280375E-2</v>
      </c>
      <c r="AD209" s="5">
        <f t="shared" si="61"/>
        <v>-0.20176157917642232</v>
      </c>
      <c r="AE209" s="5">
        <f t="shared" si="62"/>
        <v>-0.27238168036868537</v>
      </c>
      <c r="AF209" s="5">
        <f t="shared" si="63"/>
        <v>-0.29814352699858315</v>
      </c>
    </row>
    <row r="210" spans="1:32" x14ac:dyDescent="0.25">
      <c r="A210" s="2">
        <v>45208</v>
      </c>
      <c r="B210">
        <v>3937</v>
      </c>
      <c r="C210">
        <v>120109</v>
      </c>
      <c r="D210">
        <v>325268</v>
      </c>
      <c r="F210" s="5">
        <f t="shared" si="48"/>
        <v>3.277855947514341E-2</v>
      </c>
      <c r="G210" s="5">
        <f t="shared" si="49"/>
        <v>0.27607864433336154</v>
      </c>
      <c r="I210" s="2">
        <v>45208</v>
      </c>
      <c r="J210">
        <v>64396</v>
      </c>
      <c r="K210">
        <v>120109</v>
      </c>
      <c r="M210" s="5">
        <f t="shared" si="50"/>
        <v>0.70203118206099757</v>
      </c>
      <c r="N210" s="5">
        <f t="shared" si="51"/>
        <v>0.25203738111444285</v>
      </c>
      <c r="S210" s="5">
        <f t="shared" si="52"/>
        <v>-7.8136674403379569E-3</v>
      </c>
      <c r="T210" s="5">
        <f t="shared" si="53"/>
        <v>-1.3069510748168423E-2</v>
      </c>
      <c r="U210" s="5">
        <f t="shared" si="54"/>
        <v>-1.624202389311874E-2</v>
      </c>
      <c r="V210" s="5">
        <f t="shared" si="55"/>
        <v>-3.2141606562824943E-2</v>
      </c>
      <c r="W210" s="5">
        <f t="shared" si="56"/>
        <v>-5.9896152952834125E-2</v>
      </c>
      <c r="X210" s="5">
        <f t="shared" si="57"/>
        <v>-8.2326424442762836E-2</v>
      </c>
      <c r="AA210" s="5">
        <f t="shared" si="58"/>
        <v>7.4788837115082663E-2</v>
      </c>
      <c r="AB210" s="5">
        <f t="shared" si="59"/>
        <v>9.8304585730826927E-2</v>
      </c>
      <c r="AC210" s="5">
        <f t="shared" si="60"/>
        <v>6.9353320716845912E-2</v>
      </c>
      <c r="AD210" s="5">
        <f t="shared" si="61"/>
        <v>-0.18837967534935307</v>
      </c>
      <c r="AE210" s="5">
        <f t="shared" si="62"/>
        <v>-0.2649916860685364</v>
      </c>
      <c r="AF210" s="5">
        <f t="shared" si="63"/>
        <v>-0.28403349313538684</v>
      </c>
    </row>
    <row r="211" spans="1:32" x14ac:dyDescent="0.25">
      <c r="A211" s="2">
        <v>45205</v>
      </c>
      <c r="B211">
        <v>3937</v>
      </c>
      <c r="C211">
        <v>119759</v>
      </c>
      <c r="D211">
        <v>322957</v>
      </c>
      <c r="F211" s="5">
        <f t="shared" si="48"/>
        <v>3.2874355998296578E-2</v>
      </c>
      <c r="G211" s="5">
        <f t="shared" si="49"/>
        <v>0.27693981681529062</v>
      </c>
      <c r="I211" s="2">
        <v>45205</v>
      </c>
      <c r="J211">
        <v>64071</v>
      </c>
      <c r="K211">
        <v>119759</v>
      </c>
      <c r="M211" s="5">
        <f t="shared" si="50"/>
        <v>0.70554541056015985</v>
      </c>
      <c r="N211" s="5">
        <f t="shared" si="51"/>
        <v>0.25281734619985052</v>
      </c>
      <c r="S211" s="5">
        <f t="shared" si="52"/>
        <v>-7.832351607460708E-3</v>
      </c>
      <c r="T211" s="5">
        <f t="shared" si="53"/>
        <v>-1.3264775058140776E-2</v>
      </c>
      <c r="U211" s="5">
        <f t="shared" si="54"/>
        <v>-1.61830523897038E-2</v>
      </c>
      <c r="V211" s="5">
        <f t="shared" si="55"/>
        <v>-2.7248737915901544E-2</v>
      </c>
      <c r="W211" s="5">
        <f t="shared" si="56"/>
        <v>-5.6087955175624593E-2</v>
      </c>
      <c r="X211" s="5">
        <f t="shared" si="57"/>
        <v>-7.834934065300847E-2</v>
      </c>
      <c r="AA211" s="5">
        <f t="shared" si="58"/>
        <v>7.1329211452353714E-2</v>
      </c>
      <c r="AB211" s="5">
        <f t="shared" si="59"/>
        <v>9.4970581149702415E-2</v>
      </c>
      <c r="AC211" s="5">
        <f t="shared" si="60"/>
        <v>6.455282577578822E-2</v>
      </c>
      <c r="AD211" s="5">
        <f t="shared" si="61"/>
        <v>-0.17416097893434918</v>
      </c>
      <c r="AE211" s="5">
        <f t="shared" si="62"/>
        <v>-0.25745256464425748</v>
      </c>
      <c r="AF211" s="5">
        <f t="shared" si="63"/>
        <v>-0.26916018425783156</v>
      </c>
    </row>
    <row r="212" spans="1:32" x14ac:dyDescent="0.25">
      <c r="A212" s="2">
        <v>45204</v>
      </c>
      <c r="B212">
        <v>3837</v>
      </c>
      <c r="C212">
        <v>119514</v>
      </c>
      <c r="D212">
        <v>322524</v>
      </c>
      <c r="F212" s="5">
        <f t="shared" si="48"/>
        <v>3.2105025352678347E-2</v>
      </c>
      <c r="G212" s="5">
        <f t="shared" si="49"/>
        <v>0.27664928511354081</v>
      </c>
      <c r="I212" s="2">
        <v>45204</v>
      </c>
      <c r="J212">
        <v>62271</v>
      </c>
      <c r="K212">
        <v>119514</v>
      </c>
      <c r="M212" s="5">
        <f t="shared" si="50"/>
        <v>0.72592378474731412</v>
      </c>
      <c r="N212" s="5">
        <f t="shared" si="51"/>
        <v>0.24994244172660868</v>
      </c>
      <c r="S212" s="5">
        <f t="shared" si="52"/>
        <v>-7.9795686495341411E-3</v>
      </c>
      <c r="T212" s="5">
        <f t="shared" si="53"/>
        <v>-1.3611183009509531E-2</v>
      </c>
      <c r="U212" s="5">
        <f t="shared" si="54"/>
        <v>-1.6216167102547974E-2</v>
      </c>
      <c r="V212" s="5">
        <f t="shared" si="55"/>
        <v>-2.2144196737953759E-2</v>
      </c>
      <c r="W212" s="5">
        <f t="shared" si="56"/>
        <v>-5.1991583794876783E-2</v>
      </c>
      <c r="X212" s="5">
        <f t="shared" si="57"/>
        <v>-7.4183863614874612E-2</v>
      </c>
      <c r="AA212" s="5">
        <f t="shared" si="58"/>
        <v>6.7700377168021908E-2</v>
      </c>
      <c r="AB212" s="5">
        <f t="shared" si="59"/>
        <v>8.9381962524020475E-2</v>
      </c>
      <c r="AC212" s="5">
        <f t="shared" si="60"/>
        <v>5.9648109057421211E-2</v>
      </c>
      <c r="AD212" s="5">
        <f t="shared" si="61"/>
        <v>-0.15844805664501169</v>
      </c>
      <c r="AE212" s="5">
        <f t="shared" si="62"/>
        <v>-0.24616469651028175</v>
      </c>
      <c r="AF212" s="5">
        <f t="shared" si="63"/>
        <v>-0.25410874363693825</v>
      </c>
    </row>
    <row r="213" spans="1:32" x14ac:dyDescent="0.25">
      <c r="A213" s="2">
        <v>45203</v>
      </c>
      <c r="B213">
        <v>3837</v>
      </c>
      <c r="C213">
        <v>119269</v>
      </c>
      <c r="D213">
        <v>319395</v>
      </c>
      <c r="F213" s="5">
        <f t="shared" si="48"/>
        <v>3.2170974855159344E-2</v>
      </c>
      <c r="G213" s="5">
        <f t="shared" si="49"/>
        <v>0.27820502100560224</v>
      </c>
      <c r="I213" s="2">
        <v>45203</v>
      </c>
      <c r="J213">
        <v>61821</v>
      </c>
      <c r="K213">
        <v>119269</v>
      </c>
      <c r="M213" s="5">
        <f t="shared" si="50"/>
        <v>0.73119166626227339</v>
      </c>
      <c r="N213" s="5">
        <f t="shared" si="51"/>
        <v>0.2509831878973498</v>
      </c>
      <c r="S213" s="5">
        <f t="shared" si="52"/>
        <v>-7.8715176912002027E-3</v>
      </c>
      <c r="T213" s="5">
        <f t="shared" si="53"/>
        <v>-1.3840042013023079E-2</v>
      </c>
      <c r="U213" s="5">
        <f t="shared" si="54"/>
        <v>-1.6074383682330995E-2</v>
      </c>
      <c r="V213" s="5">
        <f t="shared" si="55"/>
        <v>-1.8251268793730069E-2</v>
      </c>
      <c r="W213" s="5">
        <f t="shared" si="56"/>
        <v>-4.8861948268341338E-2</v>
      </c>
      <c r="X213" s="5">
        <f t="shared" si="57"/>
        <v>-7.1030159376437974E-2</v>
      </c>
      <c r="AA213" s="5">
        <f t="shared" si="58"/>
        <v>6.4087687604552523E-2</v>
      </c>
      <c r="AB213" s="5">
        <f t="shared" si="59"/>
        <v>8.3728483490950995E-2</v>
      </c>
      <c r="AC213" s="5">
        <f t="shared" si="60"/>
        <v>5.4792004049859178E-2</v>
      </c>
      <c r="AD213" s="5">
        <f t="shared" si="61"/>
        <v>-0.14429085293589258</v>
      </c>
      <c r="AE213" s="5">
        <f t="shared" si="62"/>
        <v>-0.23577295951614499</v>
      </c>
      <c r="AF213" s="5">
        <f t="shared" si="63"/>
        <v>-0.23972945755766326</v>
      </c>
    </row>
    <row r="214" spans="1:32" x14ac:dyDescent="0.25">
      <c r="A214" s="2">
        <v>45202</v>
      </c>
      <c r="B214">
        <v>3487</v>
      </c>
      <c r="C214">
        <v>119394</v>
      </c>
      <c r="D214">
        <v>313183</v>
      </c>
      <c r="F214" s="5">
        <f t="shared" si="48"/>
        <v>2.9205822738161046E-2</v>
      </c>
      <c r="G214" s="5">
        <f t="shared" si="49"/>
        <v>0.28179579144345784</v>
      </c>
      <c r="I214" s="2">
        <v>45202</v>
      </c>
      <c r="J214">
        <v>62096</v>
      </c>
      <c r="K214">
        <v>119394</v>
      </c>
      <c r="M214" s="5">
        <f t="shared" si="50"/>
        <v>0.72793738727132185</v>
      </c>
      <c r="N214" s="5">
        <f t="shared" si="51"/>
        <v>0.25517918764462605</v>
      </c>
      <c r="S214" s="5">
        <f t="shared" si="52"/>
        <v>-7.7722768083740013E-3</v>
      </c>
      <c r="T214" s="5">
        <f t="shared" si="53"/>
        <v>-1.407719227604165E-2</v>
      </c>
      <c r="U214" s="5">
        <f t="shared" si="54"/>
        <v>-1.59125402284232E-2</v>
      </c>
      <c r="V214" s="5">
        <f t="shared" si="55"/>
        <v>-1.518883405806426E-2</v>
      </c>
      <c r="W214" s="5">
        <f t="shared" si="56"/>
        <v>-4.5722686456228456E-2</v>
      </c>
      <c r="X214" s="5">
        <f t="shared" si="57"/>
        <v>-6.8145044286023748E-2</v>
      </c>
      <c r="AA214" s="5">
        <f t="shared" si="58"/>
        <v>6.0608174809121035E-2</v>
      </c>
      <c r="AB214" s="5">
        <f t="shared" si="59"/>
        <v>7.8121933334972277E-2</v>
      </c>
      <c r="AC214" s="5">
        <f t="shared" si="60"/>
        <v>4.9999897166799367E-2</v>
      </c>
      <c r="AD214" s="5">
        <f t="shared" si="61"/>
        <v>-0.13110544759850098</v>
      </c>
      <c r="AE214" s="5">
        <f t="shared" si="62"/>
        <v>-0.22539734263725639</v>
      </c>
      <c r="AF214" s="5">
        <f t="shared" si="63"/>
        <v>-0.22518376163281748</v>
      </c>
    </row>
    <row r="215" spans="1:32" x14ac:dyDescent="0.25">
      <c r="A215" s="2">
        <v>45201</v>
      </c>
      <c r="B215">
        <v>3487</v>
      </c>
      <c r="C215">
        <v>119144</v>
      </c>
      <c r="D215">
        <v>313620</v>
      </c>
      <c r="F215" s="5">
        <f t="shared" si="48"/>
        <v>2.9267105351507419E-2</v>
      </c>
      <c r="G215" s="5">
        <f t="shared" si="49"/>
        <v>0.28110193443682652</v>
      </c>
      <c r="I215" s="2">
        <v>45201</v>
      </c>
      <c r="J215">
        <v>61896</v>
      </c>
      <c r="K215">
        <v>119144</v>
      </c>
      <c r="M215" s="5">
        <f t="shared" si="50"/>
        <v>0.73027336176812718</v>
      </c>
      <c r="N215" s="5">
        <f t="shared" si="51"/>
        <v>0.25455828977673828</v>
      </c>
      <c r="S215" s="5">
        <f t="shared" si="52"/>
        <v>-7.8582991763855303E-3</v>
      </c>
      <c r="T215" s="5">
        <f t="shared" si="53"/>
        <v>-1.45143522917483E-2</v>
      </c>
      <c r="U215" s="5">
        <f t="shared" si="54"/>
        <v>-1.5905385554737195E-2</v>
      </c>
      <c r="V215" s="5">
        <f t="shared" si="55"/>
        <v>-1.1899888137649972E-2</v>
      </c>
      <c r="W215" s="5">
        <f t="shared" si="56"/>
        <v>-4.2197799855689833E-2</v>
      </c>
      <c r="X215" s="5">
        <f t="shared" si="57"/>
        <v>-6.5105797541951116E-2</v>
      </c>
      <c r="AA215" s="5">
        <f t="shared" si="58"/>
        <v>5.6930149935668806E-2</v>
      </c>
      <c r="AB215" s="5">
        <f t="shared" si="59"/>
        <v>7.2320607278385379E-2</v>
      </c>
      <c r="AC215" s="5">
        <f t="shared" si="60"/>
        <v>4.5053908450920055E-2</v>
      </c>
      <c r="AD215" s="5">
        <f t="shared" si="61"/>
        <v>-0.11858694265015721</v>
      </c>
      <c r="AE215" s="5">
        <f t="shared" si="62"/>
        <v>-0.21537599682870598</v>
      </c>
      <c r="AF215" s="5">
        <f t="shared" si="63"/>
        <v>-0.21029082263470014</v>
      </c>
    </row>
    <row r="216" spans="1:32" x14ac:dyDescent="0.25">
      <c r="A216" s="2">
        <v>45198</v>
      </c>
      <c r="B216">
        <v>3487</v>
      </c>
      <c r="C216">
        <v>119269</v>
      </c>
      <c r="D216">
        <v>312544</v>
      </c>
      <c r="F216" s="5">
        <f t="shared" si="48"/>
        <v>2.9236431931180775E-2</v>
      </c>
      <c r="G216" s="5">
        <f t="shared" si="49"/>
        <v>0.28200321617275442</v>
      </c>
      <c r="I216" s="2">
        <v>45198</v>
      </c>
      <c r="J216">
        <v>60896</v>
      </c>
      <c r="K216">
        <v>119269</v>
      </c>
      <c r="M216" s="5">
        <f t="shared" si="50"/>
        <v>0.74221623751970578</v>
      </c>
      <c r="N216" s="5">
        <f t="shared" si="51"/>
        <v>0.25342658812625707</v>
      </c>
      <c r="S216" s="5">
        <f t="shared" si="52"/>
        <v>-7.7884147134012482E-3</v>
      </c>
      <c r="T216" s="5">
        <f t="shared" si="53"/>
        <v>-1.4872384801413674E-2</v>
      </c>
      <c r="U216" s="5">
        <f t="shared" si="54"/>
        <v>-1.5728793458218648E-2</v>
      </c>
      <c r="V216" s="5">
        <f t="shared" si="55"/>
        <v>-8.5683839843461174E-3</v>
      </c>
      <c r="W216" s="5">
        <f t="shared" si="56"/>
        <v>-3.8571326398857075E-2</v>
      </c>
      <c r="X216" s="5">
        <f t="shared" si="57"/>
        <v>-6.2141522254867132E-2</v>
      </c>
      <c r="AA216" s="5">
        <f t="shared" si="58"/>
        <v>5.3202599800703437E-2</v>
      </c>
      <c r="AB216" s="5">
        <f t="shared" si="59"/>
        <v>6.6480595969349299E-2</v>
      </c>
      <c r="AC216" s="5">
        <f t="shared" si="60"/>
        <v>4.0105175902500179E-2</v>
      </c>
      <c r="AD216" s="5">
        <f t="shared" si="61"/>
        <v>-0.10562981602252008</v>
      </c>
      <c r="AE216" s="5">
        <f t="shared" si="62"/>
        <v>-0.20515965955202287</v>
      </c>
      <c r="AF216" s="5">
        <f t="shared" si="63"/>
        <v>-0.19498385167332166</v>
      </c>
    </row>
    <row r="217" spans="1:32" x14ac:dyDescent="0.25">
      <c r="A217" s="2">
        <v>45197</v>
      </c>
      <c r="B217">
        <v>3187</v>
      </c>
      <c r="C217">
        <v>119200</v>
      </c>
      <c r="D217">
        <v>312145</v>
      </c>
      <c r="F217" s="5">
        <f t="shared" si="48"/>
        <v>2.6736577181208053E-2</v>
      </c>
      <c r="G217" s="5">
        <f t="shared" si="49"/>
        <v>0.2816524444689919</v>
      </c>
      <c r="I217" s="2">
        <v>45197</v>
      </c>
      <c r="J217">
        <v>59646</v>
      </c>
      <c r="K217">
        <v>119200</v>
      </c>
      <c r="M217" s="5">
        <f t="shared" si="50"/>
        <v>0.75775408241960907</v>
      </c>
      <c r="N217" s="5">
        <f t="shared" si="51"/>
        <v>0.25142929772559403</v>
      </c>
      <c r="S217" s="5">
        <f t="shared" si="52"/>
        <v>-7.6077277408844179E-3</v>
      </c>
      <c r="T217" s="5">
        <f t="shared" si="53"/>
        <v>-1.5149479114865305E-2</v>
      </c>
      <c r="U217" s="5">
        <f t="shared" si="54"/>
        <v>-1.5498146550609992E-2</v>
      </c>
      <c r="V217" s="5">
        <f t="shared" si="55"/>
        <v>-6.0378907606526422E-3</v>
      </c>
      <c r="W217" s="5">
        <f t="shared" si="56"/>
        <v>-3.5440460007084562E-2</v>
      </c>
      <c r="X217" s="5">
        <f t="shared" si="57"/>
        <v>-5.9651796979573901E-2</v>
      </c>
      <c r="AA217" s="5">
        <f t="shared" si="58"/>
        <v>4.9344272517149207E-2</v>
      </c>
      <c r="AB217" s="5">
        <f t="shared" si="59"/>
        <v>6.0459150952615309E-2</v>
      </c>
      <c r="AC217" s="5">
        <f t="shared" si="60"/>
        <v>3.4986188390516343E-2</v>
      </c>
      <c r="AD217" s="5">
        <f t="shared" si="61"/>
        <v>-9.3552862384721491E-2</v>
      </c>
      <c r="AE217" s="5">
        <f t="shared" si="62"/>
        <v>-0.19452895141516441</v>
      </c>
      <c r="AF217" s="5">
        <f t="shared" si="63"/>
        <v>-0.17943251038307784</v>
      </c>
    </row>
    <row r="218" spans="1:32" x14ac:dyDescent="0.25">
      <c r="A218" s="2">
        <v>45196</v>
      </c>
      <c r="B218">
        <v>3187</v>
      </c>
      <c r="C218">
        <v>119125</v>
      </c>
      <c r="D218">
        <v>311418</v>
      </c>
      <c r="F218" s="5">
        <f t="shared" si="48"/>
        <v>2.6753410283315845E-2</v>
      </c>
      <c r="G218" s="5">
        <f t="shared" si="49"/>
        <v>0.28200032278145393</v>
      </c>
      <c r="I218" s="2">
        <v>45196</v>
      </c>
      <c r="J218">
        <v>59461</v>
      </c>
      <c r="K218">
        <v>119125</v>
      </c>
      <c r="M218" s="5">
        <f t="shared" si="50"/>
        <v>0.76009485208792316</v>
      </c>
      <c r="N218" s="5">
        <f t="shared" si="51"/>
        <v>0.25153397824911372</v>
      </c>
      <c r="S218" s="5">
        <f t="shared" si="52"/>
        <v>-7.4173262344496838E-3</v>
      </c>
      <c r="T218" s="5">
        <f t="shared" si="53"/>
        <v>-1.5368932062816199E-2</v>
      </c>
      <c r="U218" s="5">
        <f t="shared" si="54"/>
        <v>-1.5147767876590168E-2</v>
      </c>
      <c r="V218" s="5">
        <f t="shared" si="55"/>
        <v>-4.6088750544952539E-3</v>
      </c>
      <c r="W218" s="5">
        <f t="shared" si="56"/>
        <v>-3.3011201238862586E-2</v>
      </c>
      <c r="X218" s="5">
        <f t="shared" si="57"/>
        <v>-5.7902453705859669E-2</v>
      </c>
      <c r="AA218" s="5">
        <f t="shared" si="58"/>
        <v>4.558205411764138E-2</v>
      </c>
      <c r="AB218" s="5">
        <f t="shared" si="59"/>
        <v>5.4369991908209708E-2</v>
      </c>
      <c r="AC218" s="5">
        <f t="shared" si="60"/>
        <v>3.0013494566429155E-2</v>
      </c>
      <c r="AD218" s="5">
        <f t="shared" si="61"/>
        <v>-8.2903449501990856E-2</v>
      </c>
      <c r="AE218" s="5">
        <f t="shared" si="62"/>
        <v>-0.18424580092170317</v>
      </c>
      <c r="AF218" s="5">
        <f t="shared" si="63"/>
        <v>-0.16427826411976426</v>
      </c>
    </row>
    <row r="219" spans="1:32" x14ac:dyDescent="0.25">
      <c r="A219" s="2">
        <v>45195</v>
      </c>
      <c r="B219">
        <v>3187</v>
      </c>
      <c r="C219">
        <v>119475</v>
      </c>
      <c r="D219">
        <v>309458</v>
      </c>
      <c r="F219" s="5">
        <f t="shared" si="48"/>
        <v>2.6675036618539445E-2</v>
      </c>
      <c r="G219" s="5">
        <f t="shared" si="49"/>
        <v>0.28386096454688514</v>
      </c>
      <c r="I219" s="2">
        <v>45195</v>
      </c>
      <c r="J219">
        <v>59061</v>
      </c>
      <c r="K219">
        <v>119475</v>
      </c>
      <c r="M219" s="5">
        <f t="shared" si="50"/>
        <v>0.76522578351196224</v>
      </c>
      <c r="N219" s="5">
        <f t="shared" si="51"/>
        <v>0.25200017403326935</v>
      </c>
      <c r="S219" s="5">
        <f t="shared" si="52"/>
        <v>-7.0626141845597235E-3</v>
      </c>
      <c r="T219" s="5">
        <f t="shared" si="53"/>
        <v>-1.5541576516326372E-2</v>
      </c>
      <c r="U219" s="5">
        <f t="shared" si="54"/>
        <v>-1.4757161365625493E-2</v>
      </c>
      <c r="V219" s="5">
        <f t="shared" si="55"/>
        <v>-4.7272054605304037E-3</v>
      </c>
      <c r="W219" s="5">
        <f t="shared" si="56"/>
        <v>-3.079578499930169E-2</v>
      </c>
      <c r="X219" s="5">
        <f t="shared" si="57"/>
        <v>-5.6530339885021874E-2</v>
      </c>
      <c r="AA219" s="5">
        <f t="shared" si="58"/>
        <v>4.1609137830899118E-2</v>
      </c>
      <c r="AB219" s="5">
        <f t="shared" si="59"/>
        <v>4.8164952481130674E-2</v>
      </c>
      <c r="AC219" s="5">
        <f t="shared" si="60"/>
        <v>2.3905739611275567E-2</v>
      </c>
      <c r="AD219" s="5">
        <f t="shared" si="61"/>
        <v>-7.1642868903166845E-2</v>
      </c>
      <c r="AE219" s="5">
        <f t="shared" si="62"/>
        <v>-0.17376637221951724</v>
      </c>
      <c r="AF219" s="5">
        <f t="shared" si="63"/>
        <v>-0.15110697375118592</v>
      </c>
    </row>
    <row r="220" spans="1:32" x14ac:dyDescent="0.25">
      <c r="A220" s="2">
        <v>45194</v>
      </c>
      <c r="B220">
        <v>3187</v>
      </c>
      <c r="C220">
        <v>120786</v>
      </c>
      <c r="D220">
        <v>306618</v>
      </c>
      <c r="F220" s="5">
        <f t="shared" si="48"/>
        <v>2.638550825426788E-2</v>
      </c>
      <c r="G220" s="5">
        <f t="shared" si="49"/>
        <v>0.28791358853296978</v>
      </c>
      <c r="I220" s="2">
        <v>45194</v>
      </c>
      <c r="J220">
        <v>57929</v>
      </c>
      <c r="K220">
        <v>120786</v>
      </c>
      <c r="M220" s="5">
        <f t="shared" si="50"/>
        <v>0.78016192235322546</v>
      </c>
      <c r="N220" s="5">
        <f t="shared" si="51"/>
        <v>0.25167849934470798</v>
      </c>
      <c r="S220" s="5">
        <f t="shared" si="52"/>
        <v>-6.7241358853120659E-3</v>
      </c>
      <c r="T220" s="5">
        <f t="shared" si="53"/>
        <v>-1.5683016616663825E-2</v>
      </c>
      <c r="U220" s="5">
        <f t="shared" si="54"/>
        <v>-1.4362933153603374E-2</v>
      </c>
      <c r="V220" s="5">
        <f t="shared" si="55"/>
        <v>-5.0888674229938591E-3</v>
      </c>
      <c r="W220" s="5">
        <f t="shared" si="56"/>
        <v>-2.8824915727030165E-2</v>
      </c>
      <c r="X220" s="5">
        <f t="shared" si="57"/>
        <v>-5.5395571912733921E-2</v>
      </c>
      <c r="AA220" s="5">
        <f t="shared" si="58"/>
        <v>3.7583804473830834E-2</v>
      </c>
      <c r="AB220" s="5">
        <f t="shared" si="59"/>
        <v>4.1939727064396054E-2</v>
      </c>
      <c r="AC220" s="5">
        <f t="shared" si="60"/>
        <v>1.7729180454021165E-2</v>
      </c>
      <c r="AD220" s="5">
        <f t="shared" si="61"/>
        <v>-6.0115590211124392E-2</v>
      </c>
      <c r="AE220" s="5">
        <f t="shared" si="62"/>
        <v>-0.16301635553853394</v>
      </c>
      <c r="AF220" s="5">
        <f t="shared" si="63"/>
        <v>-0.13793195130333241</v>
      </c>
    </row>
    <row r="221" spans="1:32" x14ac:dyDescent="0.25">
      <c r="A221" s="2">
        <v>45191</v>
      </c>
      <c r="B221">
        <v>3187</v>
      </c>
      <c r="C221">
        <v>117011</v>
      </c>
      <c r="D221">
        <v>305227</v>
      </c>
      <c r="F221" s="5">
        <f t="shared" si="48"/>
        <v>2.7236755518711915E-2</v>
      </c>
      <c r="G221" s="5">
        <f t="shared" si="49"/>
        <v>0.28253628724216961</v>
      </c>
      <c r="I221" s="2">
        <v>45191</v>
      </c>
      <c r="J221">
        <v>56757</v>
      </c>
      <c r="K221">
        <v>117011</v>
      </c>
      <c r="M221" s="5">
        <f t="shared" si="50"/>
        <v>0.79621896858537278</v>
      </c>
      <c r="N221" s="5">
        <f t="shared" si="51"/>
        <v>0.25037882974151165</v>
      </c>
      <c r="S221" s="5">
        <f t="shared" si="52"/>
        <v>-6.3622939743233631E-3</v>
      </c>
      <c r="T221" s="5">
        <f t="shared" si="53"/>
        <v>-1.5767599253198761E-2</v>
      </c>
      <c r="U221" s="5">
        <f t="shared" si="54"/>
        <v>-1.3926633583262626E-2</v>
      </c>
      <c r="V221" s="5">
        <f t="shared" si="55"/>
        <v>-6.6104901268069227E-3</v>
      </c>
      <c r="W221" s="5">
        <f t="shared" si="56"/>
        <v>-2.7529359411371579E-2</v>
      </c>
      <c r="X221" s="5">
        <f t="shared" si="57"/>
        <v>-5.5110819323679006E-2</v>
      </c>
      <c r="AA221" s="5">
        <f t="shared" si="58"/>
        <v>3.3148730081152988E-2</v>
      </c>
      <c r="AB221" s="5">
        <f t="shared" si="59"/>
        <v>3.5457851111684757E-2</v>
      </c>
      <c r="AC221" s="5">
        <f t="shared" si="60"/>
        <v>1.1281104959127292E-2</v>
      </c>
      <c r="AD221" s="5">
        <f t="shared" si="61"/>
        <v>-4.9231546452835562E-2</v>
      </c>
      <c r="AE221" s="5">
        <f t="shared" si="62"/>
        <v>-0.15190966276277418</v>
      </c>
      <c r="AF221" s="5">
        <f t="shared" si="63"/>
        <v>-0.12439978166964061</v>
      </c>
    </row>
    <row r="222" spans="1:32" x14ac:dyDescent="0.25">
      <c r="A222" s="2">
        <v>45190</v>
      </c>
      <c r="B222">
        <v>3187</v>
      </c>
      <c r="C222">
        <v>116858</v>
      </c>
      <c r="D222">
        <v>307449</v>
      </c>
      <c r="F222" s="5">
        <f t="shared" si="48"/>
        <v>2.7272416094747471E-2</v>
      </c>
      <c r="G222" s="5">
        <f t="shared" si="49"/>
        <v>0.28081095875029827</v>
      </c>
      <c r="I222" s="2">
        <v>45190</v>
      </c>
      <c r="J222">
        <v>55149</v>
      </c>
      <c r="K222">
        <v>116858</v>
      </c>
      <c r="M222" s="5">
        <f t="shared" si="50"/>
        <v>0.81941648987288984</v>
      </c>
      <c r="N222" s="5">
        <f t="shared" si="51"/>
        <v>0.24605677459856592</v>
      </c>
      <c r="S222" s="5">
        <f t="shared" si="52"/>
        <v>-5.9269123091623133E-3</v>
      </c>
      <c r="T222" s="5">
        <f t="shared" si="53"/>
        <v>-1.5663657678143983E-2</v>
      </c>
      <c r="U222" s="5">
        <f t="shared" si="54"/>
        <v>-1.3303465984278673E-2</v>
      </c>
      <c r="V222" s="5">
        <f t="shared" si="55"/>
        <v>-1.0233716494834399E-2</v>
      </c>
      <c r="W222" s="5">
        <f t="shared" si="56"/>
        <v>-2.791790852158349E-2</v>
      </c>
      <c r="X222" s="5">
        <f t="shared" si="57"/>
        <v>-5.6505418108532823E-2</v>
      </c>
      <c r="AA222" s="5">
        <f t="shared" si="58"/>
        <v>2.8824846675949922E-2</v>
      </c>
      <c r="AB222" s="5">
        <f t="shared" si="59"/>
        <v>2.9212145625774844E-2</v>
      </c>
      <c r="AC222" s="5">
        <f t="shared" si="60"/>
        <v>5.0158704187052428E-3</v>
      </c>
      <c r="AD222" s="5">
        <f t="shared" si="61"/>
        <v>-3.7930032207269149E-2</v>
      </c>
      <c r="AE222" s="5">
        <f t="shared" si="62"/>
        <v>-0.14016576974167616</v>
      </c>
      <c r="AF222" s="5">
        <f t="shared" si="63"/>
        <v>-0.11077859437840776</v>
      </c>
    </row>
    <row r="223" spans="1:32" x14ac:dyDescent="0.25">
      <c r="A223" s="2">
        <v>45189</v>
      </c>
      <c r="B223">
        <v>17332</v>
      </c>
      <c r="C223">
        <v>43248</v>
      </c>
      <c r="D223">
        <v>307483</v>
      </c>
      <c r="F223" s="5">
        <f t="shared" si="48"/>
        <v>0.40075841657417682</v>
      </c>
      <c r="G223" s="5">
        <f t="shared" si="49"/>
        <v>0.16459138788739971</v>
      </c>
      <c r="I223" s="2">
        <v>45189</v>
      </c>
      <c r="J223">
        <v>56922</v>
      </c>
      <c r="K223">
        <v>115508</v>
      </c>
      <c r="M223" s="5">
        <f t="shared" si="50"/>
        <v>0.79387583008327189</v>
      </c>
      <c r="N223" s="5">
        <f t="shared" si="51"/>
        <v>0.24929808542117315</v>
      </c>
      <c r="S223" s="5">
        <f t="shared" si="52"/>
        <v>-5.2365977899863636E-3</v>
      </c>
      <c r="T223" s="5">
        <f t="shared" si="53"/>
        <v>-1.5237749364666875E-2</v>
      </c>
      <c r="U223" s="5">
        <f t="shared" si="54"/>
        <v>-1.2416850399037005E-2</v>
      </c>
      <c r="V223" s="5">
        <f t="shared" si="55"/>
        <v>-1.484619620749783E-2</v>
      </c>
      <c r="W223" s="5">
        <f t="shared" si="56"/>
        <v>-2.9399533507089792E-2</v>
      </c>
      <c r="X223" s="5">
        <f t="shared" si="57"/>
        <v>-5.9005108983635646E-2</v>
      </c>
      <c r="AA223" s="5">
        <f t="shared" si="58"/>
        <v>2.46527811038523E-2</v>
      </c>
      <c r="AB223" s="5">
        <f t="shared" si="59"/>
        <v>2.3024752778958241E-2</v>
      </c>
      <c r="AC223" s="5">
        <f t="shared" si="60"/>
        <v>-1.2139084446466109E-3</v>
      </c>
      <c r="AD223" s="5">
        <f t="shared" si="61"/>
        <v>-2.6830184138583901E-2</v>
      </c>
      <c r="AE223" s="5">
        <f t="shared" si="62"/>
        <v>-0.12850610220884429</v>
      </c>
      <c r="AF223" s="5">
        <f t="shared" si="63"/>
        <v>-9.7486384434439022E-2</v>
      </c>
    </row>
    <row r="224" spans="1:32" x14ac:dyDescent="0.25">
      <c r="A224" s="2">
        <v>45188</v>
      </c>
      <c r="B224">
        <v>17557</v>
      </c>
      <c r="C224">
        <v>43214</v>
      </c>
      <c r="D224">
        <v>307583</v>
      </c>
      <c r="F224" s="5">
        <f t="shared" si="48"/>
        <v>0.4062803721016337</v>
      </c>
      <c r="G224" s="5">
        <f t="shared" si="49"/>
        <v>0.1649798834816508</v>
      </c>
      <c r="I224" s="2">
        <v>45188</v>
      </c>
      <c r="J224">
        <v>56922</v>
      </c>
      <c r="K224">
        <v>115658</v>
      </c>
      <c r="M224" s="5">
        <f t="shared" si="50"/>
        <v>0.79385826218333866</v>
      </c>
      <c r="N224" s="5">
        <f t="shared" si="51"/>
        <v>0.24923540309451223</v>
      </c>
      <c r="S224" s="5">
        <f t="shared" si="52"/>
        <v>-4.8477058474887258E-3</v>
      </c>
      <c r="T224" s="5">
        <f t="shared" si="53"/>
        <v>-1.4934575263132854E-2</v>
      </c>
      <c r="U224" s="5">
        <f t="shared" si="54"/>
        <v>-1.1690890457561998E-2</v>
      </c>
      <c r="V224" s="5">
        <f t="shared" si="55"/>
        <v>-1.7913577702463046E-2</v>
      </c>
      <c r="W224" s="5">
        <f t="shared" si="56"/>
        <v>-2.9607104555102626E-2</v>
      </c>
      <c r="X224" s="5">
        <f t="shared" si="57"/>
        <v>-6.0126421611539471E-2</v>
      </c>
      <c r="AA224" s="5">
        <f t="shared" si="58"/>
        <v>2.6276733031272981E-2</v>
      </c>
      <c r="AB224" s="5">
        <f t="shared" si="59"/>
        <v>2.2332969996380903E-2</v>
      </c>
      <c r="AC224" s="5">
        <f t="shared" si="60"/>
        <v>-1.9627083581392479E-3</v>
      </c>
      <c r="AD224" s="5">
        <f t="shared" si="61"/>
        <v>-3.4794152648243371E-2</v>
      </c>
      <c r="AE224" s="5">
        <f t="shared" si="62"/>
        <v>-0.13420168541369687</v>
      </c>
      <c r="AF224" s="5">
        <f t="shared" si="63"/>
        <v>-0.10166277293987308</v>
      </c>
    </row>
    <row r="225" spans="1:32" x14ac:dyDescent="0.25">
      <c r="A225" s="2">
        <v>45187</v>
      </c>
      <c r="B225">
        <v>17432</v>
      </c>
      <c r="C225">
        <v>44341</v>
      </c>
      <c r="D225">
        <v>304447</v>
      </c>
      <c r="F225" s="5">
        <f t="shared" si="48"/>
        <v>0.39313502176315374</v>
      </c>
      <c r="G225" s="5">
        <f t="shared" si="49"/>
        <v>0.16867729779913712</v>
      </c>
      <c r="I225" s="2">
        <v>45187</v>
      </c>
      <c r="J225">
        <v>56882</v>
      </c>
      <c r="K225">
        <v>114058</v>
      </c>
      <c r="M225" s="5">
        <f t="shared" si="50"/>
        <v>0.79439893112056537</v>
      </c>
      <c r="N225" s="5">
        <f t="shared" si="51"/>
        <v>0.25108236822166902</v>
      </c>
      <c r="S225" s="5">
        <f t="shared" si="52"/>
        <v>-4.5393646345325278E-3</v>
      </c>
      <c r="T225" s="5">
        <f t="shared" si="53"/>
        <v>-1.4641681309744581E-2</v>
      </c>
      <c r="U225" s="5">
        <f t="shared" si="54"/>
        <v>-1.0970947263966468E-2</v>
      </c>
      <c r="V225" s="5">
        <f t="shared" si="55"/>
        <v>-2.0846422702030631E-2</v>
      </c>
      <c r="W225" s="5">
        <f t="shared" si="56"/>
        <v>-2.974188053284188E-2</v>
      </c>
      <c r="X225" s="5">
        <f t="shared" si="57"/>
        <v>-6.1315426311404964E-2</v>
      </c>
      <c r="AA225" s="5">
        <f t="shared" si="58"/>
        <v>2.767262513247068E-2</v>
      </c>
      <c r="AB225" s="5">
        <f t="shared" si="59"/>
        <v>2.1519956001919305E-2</v>
      </c>
      <c r="AC225" s="5">
        <f t="shared" si="60"/>
        <v>-2.8334615675141561E-3</v>
      </c>
      <c r="AD225" s="5">
        <f t="shared" si="61"/>
        <v>-4.2419408713318119E-2</v>
      </c>
      <c r="AE225" s="5">
        <f t="shared" si="62"/>
        <v>-0.1396000341523318</v>
      </c>
      <c r="AF225" s="5">
        <f t="shared" si="63"/>
        <v>-0.10566978821341128</v>
      </c>
    </row>
    <row r="226" spans="1:32" x14ac:dyDescent="0.25">
      <c r="A226" s="2">
        <v>45184</v>
      </c>
      <c r="B226">
        <v>18507</v>
      </c>
      <c r="C226">
        <v>45266</v>
      </c>
      <c r="D226">
        <v>302658</v>
      </c>
      <c r="F226" s="5">
        <f t="shared" si="48"/>
        <v>0.40884990942429195</v>
      </c>
      <c r="G226" s="5">
        <f t="shared" si="49"/>
        <v>0.17403822274862116</v>
      </c>
      <c r="I226" s="2">
        <v>45184</v>
      </c>
      <c r="J226">
        <v>56532</v>
      </c>
      <c r="K226">
        <v>113583</v>
      </c>
      <c r="M226" s="5">
        <f t="shared" si="50"/>
        <v>0.79926413358805637</v>
      </c>
      <c r="N226" s="5">
        <f t="shared" si="51"/>
        <v>0.25153941648078265</v>
      </c>
      <c r="S226" s="5">
        <f t="shared" si="52"/>
        <v>-4.3086048280830402E-3</v>
      </c>
      <c r="T226" s="5">
        <f t="shared" si="53"/>
        <v>-1.4391498229041177E-2</v>
      </c>
      <c r="U226" s="5">
        <f t="shared" si="54"/>
        <v>-1.0279537970074359E-2</v>
      </c>
      <c r="V226" s="5">
        <f t="shared" si="55"/>
        <v>-2.3831007754216205E-2</v>
      </c>
      <c r="W226" s="5">
        <f t="shared" si="56"/>
        <v>-3.0111271266001327E-2</v>
      </c>
      <c r="X226" s="5">
        <f t="shared" si="57"/>
        <v>-6.2800169509584336E-2</v>
      </c>
      <c r="AA226" s="5">
        <f t="shared" si="58"/>
        <v>2.8750566444053605E-2</v>
      </c>
      <c r="AB226" s="5">
        <f t="shared" si="59"/>
        <v>2.0436703384030086E-2</v>
      </c>
      <c r="AC226" s="5">
        <f t="shared" si="60"/>
        <v>-4.0093854047842103E-3</v>
      </c>
      <c r="AD226" s="5">
        <f t="shared" si="61"/>
        <v>-4.9315645789710982E-2</v>
      </c>
      <c r="AE226" s="5">
        <f t="shared" si="62"/>
        <v>-0.14316698654739618</v>
      </c>
      <c r="AF226" s="5">
        <f t="shared" si="63"/>
        <v>-0.10842195706606556</v>
      </c>
    </row>
    <row r="227" spans="1:32" x14ac:dyDescent="0.25">
      <c r="A227" s="2">
        <v>45183</v>
      </c>
      <c r="B227">
        <v>17082</v>
      </c>
      <c r="C227">
        <v>46355</v>
      </c>
      <c r="D227">
        <v>301244</v>
      </c>
      <c r="F227" s="5">
        <f t="shared" si="48"/>
        <v>0.36850393700787404</v>
      </c>
      <c r="G227" s="5">
        <f t="shared" si="49"/>
        <v>0.17395202930780601</v>
      </c>
      <c r="I227" s="2">
        <v>45183</v>
      </c>
      <c r="J227">
        <v>56332</v>
      </c>
      <c r="K227">
        <v>113593</v>
      </c>
      <c r="M227" s="5">
        <f t="shared" si="50"/>
        <v>0.80208407299581053</v>
      </c>
      <c r="N227" s="5">
        <f t="shared" si="51"/>
        <v>0.25204899207714787</v>
      </c>
      <c r="S227" s="5">
        <f t="shared" si="52"/>
        <v>-4.0701318077822068E-3</v>
      </c>
      <c r="T227" s="5">
        <f t="shared" si="53"/>
        <v>-1.3978880411667227E-2</v>
      </c>
      <c r="U227" s="5">
        <f t="shared" si="54"/>
        <v>-9.6067680719971182E-3</v>
      </c>
      <c r="V227" s="5">
        <f t="shared" si="55"/>
        <v>-2.7194028938578252E-2</v>
      </c>
      <c r="W227" s="5">
        <f t="shared" si="56"/>
        <v>-3.2066860328845426E-2</v>
      </c>
      <c r="X227" s="5">
        <f t="shared" si="57"/>
        <v>-6.4471394523070491E-2</v>
      </c>
      <c r="AA227" s="5">
        <f t="shared" si="58"/>
        <v>2.941053774723712E-2</v>
      </c>
      <c r="AB227" s="5">
        <f t="shared" si="59"/>
        <v>1.9002663396620212E-2</v>
      </c>
      <c r="AC227" s="5">
        <f t="shared" si="60"/>
        <v>-5.5212776414875209E-3</v>
      </c>
      <c r="AD227" s="5">
        <f t="shared" si="61"/>
        <v>-5.6188437241700306E-2</v>
      </c>
      <c r="AE227" s="5">
        <f t="shared" si="62"/>
        <v>-0.14703632838805192</v>
      </c>
      <c r="AF227" s="5">
        <f t="shared" si="63"/>
        <v>-0.11157253639359027</v>
      </c>
    </row>
    <row r="228" spans="1:32" x14ac:dyDescent="0.25">
      <c r="A228" s="2">
        <v>45182</v>
      </c>
      <c r="B228">
        <v>17332</v>
      </c>
      <c r="C228">
        <v>46755</v>
      </c>
      <c r="D228">
        <v>302096</v>
      </c>
      <c r="F228" s="5">
        <f t="shared" si="48"/>
        <v>0.37069832103518341</v>
      </c>
      <c r="G228" s="5">
        <f t="shared" si="49"/>
        <v>0.17501358610312331</v>
      </c>
      <c r="I228" s="2">
        <v>45182</v>
      </c>
      <c r="J228">
        <v>56332</v>
      </c>
      <c r="K228">
        <v>113693</v>
      </c>
      <c r="M228" s="5">
        <f t="shared" si="50"/>
        <v>0.80206632109635734</v>
      </c>
      <c r="N228" s="5">
        <f t="shared" si="51"/>
        <v>0.25151507643517257</v>
      </c>
      <c r="S228" s="5">
        <f t="shared" si="52"/>
        <v>-3.909398850238166E-3</v>
      </c>
      <c r="T228" s="5">
        <f t="shared" si="53"/>
        <v>-1.3594006854685425E-2</v>
      </c>
      <c r="U228" s="5">
        <f t="shared" si="54"/>
        <v>-8.9247761456923147E-3</v>
      </c>
      <c r="V228" s="5">
        <f t="shared" si="55"/>
        <v>-3.0903712363570035E-2</v>
      </c>
      <c r="W228" s="5">
        <f t="shared" si="56"/>
        <v>-3.4249048309766272E-2</v>
      </c>
      <c r="X228" s="5">
        <f t="shared" si="57"/>
        <v>-6.6458209913902833E-2</v>
      </c>
      <c r="AA228" s="5">
        <f t="shared" si="58"/>
        <v>2.9326351907623921E-2</v>
      </c>
      <c r="AB228" s="5">
        <f t="shared" si="59"/>
        <v>1.7063753370513718E-2</v>
      </c>
      <c r="AC228" s="5">
        <f t="shared" si="60"/>
        <v>-7.4572585414064974E-3</v>
      </c>
      <c r="AD228" s="5">
        <f t="shared" si="61"/>
        <v>-6.3758026874911278E-2</v>
      </c>
      <c r="AE228" s="5">
        <f t="shared" si="62"/>
        <v>-0.15080128102501716</v>
      </c>
      <c r="AF228" s="5">
        <f t="shared" si="63"/>
        <v>-0.11459911620186475</v>
      </c>
    </row>
    <row r="229" spans="1:32" x14ac:dyDescent="0.25">
      <c r="A229" s="2">
        <v>45181</v>
      </c>
      <c r="B229">
        <v>16705</v>
      </c>
      <c r="C229">
        <v>47055</v>
      </c>
      <c r="D229">
        <v>301437</v>
      </c>
      <c r="F229" s="5">
        <f t="shared" si="48"/>
        <v>0.35501009457018384</v>
      </c>
      <c r="G229" s="5">
        <f t="shared" si="49"/>
        <v>0.17459070036172258</v>
      </c>
      <c r="I229" s="2">
        <v>45181</v>
      </c>
      <c r="J229">
        <v>56282</v>
      </c>
      <c r="K229">
        <v>111118</v>
      </c>
      <c r="M229" s="5">
        <f t="shared" si="50"/>
        <v>0.80276109590988243</v>
      </c>
      <c r="N229" s="5">
        <f t="shared" si="51"/>
        <v>0.25183172002978405</v>
      </c>
      <c r="S229" s="5">
        <f t="shared" si="52"/>
        <v>-3.7781840261609245E-3</v>
      </c>
      <c r="T229" s="5">
        <f t="shared" si="53"/>
        <v>-1.3233690303439072E-2</v>
      </c>
      <c r="U229" s="5">
        <f t="shared" si="54"/>
        <v>-8.2390049886795769E-3</v>
      </c>
      <c r="V229" s="5">
        <f t="shared" si="55"/>
        <v>-3.457402906972995E-2</v>
      </c>
      <c r="W229" s="5">
        <f t="shared" si="56"/>
        <v>-3.6431187894351957E-2</v>
      </c>
      <c r="X229" s="5">
        <f t="shared" si="57"/>
        <v>-6.8520582166423094E-2</v>
      </c>
      <c r="AA229" s="5">
        <f t="shared" si="58"/>
        <v>2.8930398399240331E-2</v>
      </c>
      <c r="AB229" s="5">
        <f t="shared" si="59"/>
        <v>1.4876399229793391E-2</v>
      </c>
      <c r="AC229" s="5">
        <f t="shared" si="60"/>
        <v>-9.5666873909556194E-3</v>
      </c>
      <c r="AD229" s="5">
        <f t="shared" si="61"/>
        <v>-7.1623220167033763E-2</v>
      </c>
      <c r="AE229" s="5">
        <f t="shared" si="62"/>
        <v>-0.15478736856531383</v>
      </c>
      <c r="AF229" s="5">
        <f t="shared" si="63"/>
        <v>-0.11802436733831423</v>
      </c>
    </row>
    <row r="230" spans="1:32" x14ac:dyDescent="0.25">
      <c r="A230" s="2">
        <v>45180</v>
      </c>
      <c r="B230">
        <v>16005</v>
      </c>
      <c r="C230">
        <v>47093</v>
      </c>
      <c r="D230">
        <v>296990</v>
      </c>
      <c r="F230" s="5">
        <f t="shared" si="48"/>
        <v>0.33985942709107508</v>
      </c>
      <c r="G230" s="5">
        <f t="shared" si="49"/>
        <v>0.17522938837173135</v>
      </c>
      <c r="I230" s="2">
        <v>45180</v>
      </c>
      <c r="J230">
        <v>56452</v>
      </c>
      <c r="K230">
        <v>111118</v>
      </c>
      <c r="M230" s="5">
        <f t="shared" si="50"/>
        <v>0.80032594062212148</v>
      </c>
      <c r="N230" s="5">
        <f t="shared" si="51"/>
        <v>0.25495833145185165</v>
      </c>
      <c r="S230" s="5">
        <f t="shared" si="52"/>
        <v>-3.7908251827379891E-3</v>
      </c>
      <c r="T230" s="5">
        <f t="shared" si="53"/>
        <v>-1.2900208946389435E-2</v>
      </c>
      <c r="U230" s="5">
        <f t="shared" si="54"/>
        <v>-7.5640317507322807E-3</v>
      </c>
      <c r="V230" s="5">
        <f t="shared" si="55"/>
        <v>-3.7753322990017435E-2</v>
      </c>
      <c r="W230" s="5">
        <f t="shared" si="56"/>
        <v>-3.8646500857207222E-2</v>
      </c>
      <c r="X230" s="5">
        <f t="shared" si="57"/>
        <v>-7.0616838445217822E-2</v>
      </c>
      <c r="AA230" s="5">
        <f t="shared" si="58"/>
        <v>2.8401666227067746E-2</v>
      </c>
      <c r="AB230" s="5">
        <f t="shared" si="59"/>
        <v>1.2500834822152612E-2</v>
      </c>
      <c r="AC230" s="5">
        <f t="shared" si="60"/>
        <v>-1.1756905633589027E-2</v>
      </c>
      <c r="AD230" s="5">
        <f t="shared" si="61"/>
        <v>-7.446714742936722E-2</v>
      </c>
      <c r="AE230" s="5">
        <f t="shared" si="62"/>
        <v>-0.15611929788361051</v>
      </c>
      <c r="AF230" s="5">
        <f t="shared" si="63"/>
        <v>-0.11944124509533038</v>
      </c>
    </row>
    <row r="231" spans="1:32" x14ac:dyDescent="0.25">
      <c r="A231" s="2">
        <v>45177</v>
      </c>
      <c r="B231">
        <v>16205</v>
      </c>
      <c r="C231">
        <v>45968</v>
      </c>
      <c r="D231">
        <v>295606</v>
      </c>
      <c r="F231" s="5">
        <f t="shared" si="48"/>
        <v>0.35252784545770971</v>
      </c>
      <c r="G231" s="5">
        <f t="shared" si="49"/>
        <v>0.17377487219764157</v>
      </c>
      <c r="I231" s="2">
        <v>45177</v>
      </c>
      <c r="J231">
        <v>56302</v>
      </c>
      <c r="K231">
        <v>109758</v>
      </c>
      <c r="M231" s="5">
        <f t="shared" si="50"/>
        <v>0.80240488792582854</v>
      </c>
      <c r="N231" s="5">
        <f t="shared" si="51"/>
        <v>0.25555989271818375</v>
      </c>
      <c r="S231" s="5">
        <f t="shared" si="52"/>
        <v>-4.0894003879579643E-3</v>
      </c>
      <c r="T231" s="5">
        <f t="shared" si="53"/>
        <v>-1.2815915673739853E-2</v>
      </c>
      <c r="U231" s="5">
        <f t="shared" si="54"/>
        <v>-7.0989443533430174E-3</v>
      </c>
      <c r="V231" s="5">
        <f t="shared" si="55"/>
        <v>-4.0211361377847976E-2</v>
      </c>
      <c r="W231" s="5">
        <f t="shared" si="56"/>
        <v>-4.0329976923718758E-2</v>
      </c>
      <c r="X231" s="5">
        <f t="shared" si="57"/>
        <v>-7.2181258654415048E-2</v>
      </c>
      <c r="AA231" s="5">
        <f t="shared" si="58"/>
        <v>2.7641184169802602E-2</v>
      </c>
      <c r="AB231" s="5">
        <f t="shared" si="59"/>
        <v>1.0035179783658421E-2</v>
      </c>
      <c r="AC231" s="5">
        <f t="shared" si="60"/>
        <v>-1.3994017790102065E-2</v>
      </c>
      <c r="AD231" s="5">
        <f t="shared" si="61"/>
        <v>-7.5692940739946313E-2</v>
      </c>
      <c r="AE231" s="5">
        <f t="shared" si="62"/>
        <v>-0.15629608072879259</v>
      </c>
      <c r="AF231" s="5">
        <f t="shared" si="63"/>
        <v>-0.12007718883728302</v>
      </c>
    </row>
    <row r="232" spans="1:32" x14ac:dyDescent="0.25">
      <c r="A232" s="2">
        <v>45176</v>
      </c>
      <c r="B232">
        <v>16155</v>
      </c>
      <c r="C232">
        <v>45518</v>
      </c>
      <c r="D232">
        <v>296115</v>
      </c>
      <c r="F232" s="5">
        <f t="shared" si="48"/>
        <v>0.35491453930313283</v>
      </c>
      <c r="G232" s="5">
        <f t="shared" si="49"/>
        <v>0.1723730253669771</v>
      </c>
      <c r="I232" s="2">
        <v>45176</v>
      </c>
      <c r="J232">
        <v>55863</v>
      </c>
      <c r="K232">
        <v>103658</v>
      </c>
      <c r="M232" s="5">
        <f t="shared" si="50"/>
        <v>0.80869269462792903</v>
      </c>
      <c r="N232" s="5">
        <f t="shared" si="51"/>
        <v>0.25440761014619012</v>
      </c>
      <c r="S232" s="5">
        <f t="shared" si="52"/>
        <v>-4.5943657818565131E-3</v>
      </c>
      <c r="T232" s="5">
        <f t="shared" si="53"/>
        <v>-1.2841263505287359E-2</v>
      </c>
      <c r="U232" s="5">
        <f t="shared" si="54"/>
        <v>-6.7073370133606258E-3</v>
      </c>
      <c r="V232" s="5">
        <f t="shared" si="55"/>
        <v>-4.2416561464881486E-2</v>
      </c>
      <c r="W232" s="5">
        <f t="shared" si="56"/>
        <v>-4.2113256692943635E-2</v>
      </c>
      <c r="X232" s="5">
        <f t="shared" si="57"/>
        <v>-7.3845485142938649E-2</v>
      </c>
      <c r="AA232" s="5">
        <f t="shared" si="58"/>
        <v>2.6663194536030416E-2</v>
      </c>
      <c r="AB232" s="5">
        <f t="shared" si="59"/>
        <v>7.4706176394404855E-3</v>
      </c>
      <c r="AC232" s="5">
        <f t="shared" si="60"/>
        <v>-1.6269079128773345E-2</v>
      </c>
      <c r="AD232" s="5">
        <f t="shared" si="61"/>
        <v>-7.6084121171314689E-2</v>
      </c>
      <c r="AE232" s="5">
        <f t="shared" si="62"/>
        <v>-0.15645644222958521</v>
      </c>
      <c r="AF232" s="5">
        <f t="shared" si="63"/>
        <v>-0.12071319618778337</v>
      </c>
    </row>
    <row r="233" spans="1:32" x14ac:dyDescent="0.25">
      <c r="A233" s="2">
        <v>45175</v>
      </c>
      <c r="B233">
        <v>15655</v>
      </c>
      <c r="C233">
        <v>45868</v>
      </c>
      <c r="D233">
        <v>295128</v>
      </c>
      <c r="F233" s="5">
        <f t="shared" si="48"/>
        <v>0.34130548530565974</v>
      </c>
      <c r="G233" s="5">
        <f t="shared" si="49"/>
        <v>0.1725019697126883</v>
      </c>
      <c r="I233" s="2">
        <v>45175</v>
      </c>
      <c r="J233">
        <v>55913</v>
      </c>
      <c r="K233">
        <v>95168</v>
      </c>
      <c r="M233" s="5">
        <f t="shared" si="50"/>
        <v>0.80795163915368517</v>
      </c>
      <c r="N233" s="5">
        <f t="shared" si="51"/>
        <v>0.25513356351081229</v>
      </c>
      <c r="S233" s="5">
        <f t="shared" si="52"/>
        <v>-5.1800675817357811E-3</v>
      </c>
      <c r="T233" s="5">
        <f t="shared" si="53"/>
        <v>-1.2850641595731849E-2</v>
      </c>
      <c r="U233" s="5">
        <f t="shared" si="54"/>
        <v>-6.2861915655207934E-3</v>
      </c>
      <c r="V233" s="5">
        <f t="shared" si="55"/>
        <v>-4.4461861988978946E-2</v>
      </c>
      <c r="W233" s="5">
        <f t="shared" si="56"/>
        <v>-4.3893346560638924E-2</v>
      </c>
      <c r="X233" s="5">
        <f t="shared" si="57"/>
        <v>-7.5547512659993599E-2</v>
      </c>
      <c r="AA233" s="5">
        <f t="shared" si="58"/>
        <v>2.5767169768647791E-2</v>
      </c>
      <c r="AB233" s="5">
        <f t="shared" si="59"/>
        <v>4.9573812753085367E-3</v>
      </c>
      <c r="AC233" s="5">
        <f t="shared" si="60"/>
        <v>-1.8488641915685416E-2</v>
      </c>
      <c r="AD233" s="5">
        <f t="shared" si="61"/>
        <v>-7.9301213431303419E-2</v>
      </c>
      <c r="AE233" s="5">
        <f t="shared" si="62"/>
        <v>-0.15849144529580073</v>
      </c>
      <c r="AF233" s="5">
        <f t="shared" si="63"/>
        <v>-0.12297027857840559</v>
      </c>
    </row>
    <row r="234" spans="1:32" x14ac:dyDescent="0.25">
      <c r="A234" s="2">
        <v>45174</v>
      </c>
      <c r="B234">
        <v>15807</v>
      </c>
      <c r="C234">
        <v>46168</v>
      </c>
      <c r="D234">
        <v>293464</v>
      </c>
      <c r="F234" s="5">
        <f t="shared" si="48"/>
        <v>0.34238000346560388</v>
      </c>
      <c r="G234" s="5">
        <f t="shared" si="49"/>
        <v>0.17436184549247549</v>
      </c>
      <c r="I234" s="2">
        <v>45174</v>
      </c>
      <c r="J234">
        <v>55953</v>
      </c>
      <c r="K234">
        <v>98968</v>
      </c>
      <c r="M234" s="5">
        <f t="shared" si="50"/>
        <v>0.80735617393169268</v>
      </c>
      <c r="N234" s="5">
        <f t="shared" si="51"/>
        <v>0.25628308805826794</v>
      </c>
      <c r="S234" s="5">
        <f t="shared" si="52"/>
        <v>-5.9097152110488826E-3</v>
      </c>
      <c r="T234" s="5">
        <f t="shared" si="53"/>
        <v>-1.2969909424158377E-2</v>
      </c>
      <c r="U234" s="5">
        <f t="shared" si="54"/>
        <v>-5.9544014747558993E-3</v>
      </c>
      <c r="V234" s="5">
        <f t="shared" si="55"/>
        <v>-4.6129708346376641E-2</v>
      </c>
      <c r="W234" s="5">
        <f t="shared" si="56"/>
        <v>-4.5403167130255495E-2</v>
      </c>
      <c r="X234" s="5">
        <f t="shared" si="57"/>
        <v>-7.7020844063006466E-2</v>
      </c>
      <c r="AA234" s="5">
        <f t="shared" si="58"/>
        <v>2.516706243803063E-2</v>
      </c>
      <c r="AB234" s="5">
        <f t="shared" si="59"/>
        <v>2.4464052105258316E-3</v>
      </c>
      <c r="AC234" s="5">
        <f t="shared" si="60"/>
        <v>-2.0686164744384089E-2</v>
      </c>
      <c r="AD234" s="5">
        <f t="shared" si="61"/>
        <v>-8.0543487993546825E-2</v>
      </c>
      <c r="AE234" s="5">
        <f t="shared" si="62"/>
        <v>-0.15947523685399162</v>
      </c>
      <c r="AF234" s="5">
        <f t="shared" si="63"/>
        <v>-0.12425861325976789</v>
      </c>
    </row>
    <row r="235" spans="1:32" x14ac:dyDescent="0.25">
      <c r="A235" s="2">
        <v>45173</v>
      </c>
      <c r="B235">
        <v>15457</v>
      </c>
      <c r="C235">
        <v>46293</v>
      </c>
      <c r="D235">
        <v>292444</v>
      </c>
      <c r="F235" s="5">
        <f t="shared" si="48"/>
        <v>0.33389497332210055</v>
      </c>
      <c r="G235" s="5">
        <f t="shared" si="49"/>
        <v>0.17433948627023607</v>
      </c>
      <c r="I235" s="2">
        <v>45173</v>
      </c>
      <c r="J235">
        <v>55953</v>
      </c>
      <c r="K235">
        <v>98843</v>
      </c>
      <c r="M235" s="5">
        <f t="shared" si="50"/>
        <v>0.80733830178900146</v>
      </c>
      <c r="N235" s="5">
        <f t="shared" si="51"/>
        <v>0.2569453972609701</v>
      </c>
      <c r="S235" s="5">
        <f t="shared" si="52"/>
        <v>-6.5802095232110891E-3</v>
      </c>
      <c r="T235" s="5">
        <f t="shared" si="53"/>
        <v>-1.3078458503132939E-2</v>
      </c>
      <c r="U235" s="5">
        <f t="shared" si="54"/>
        <v>-5.5910391196008491E-3</v>
      </c>
      <c r="V235" s="5">
        <f t="shared" si="55"/>
        <v>-4.702331071148913E-2</v>
      </c>
      <c r="W235" s="5">
        <f t="shared" si="56"/>
        <v>-4.6138644701412379E-2</v>
      </c>
      <c r="X235" s="5">
        <f t="shared" si="57"/>
        <v>-7.7844646280513463E-2</v>
      </c>
      <c r="AA235" s="5">
        <f t="shared" si="58"/>
        <v>2.4442894135436516E-2</v>
      </c>
      <c r="AB235" s="5">
        <f t="shared" si="59"/>
        <v>-2.2077038138362814E-4</v>
      </c>
      <c r="AC235" s="5">
        <f t="shared" si="60"/>
        <v>-2.2994032711555645E-2</v>
      </c>
      <c r="AD235" s="5">
        <f t="shared" si="61"/>
        <v>-7.8955868958241915E-2</v>
      </c>
      <c r="AE235" s="5">
        <f t="shared" si="62"/>
        <v>-0.15891196408764513</v>
      </c>
      <c r="AF235" s="5">
        <f t="shared" si="63"/>
        <v>-0.12437818918705862</v>
      </c>
    </row>
    <row r="236" spans="1:32" x14ac:dyDescent="0.25">
      <c r="A236" s="2">
        <v>45170</v>
      </c>
      <c r="B236">
        <v>15357</v>
      </c>
      <c r="C236">
        <v>45193</v>
      </c>
      <c r="D236">
        <v>289890</v>
      </c>
      <c r="F236" s="5">
        <f t="shared" si="48"/>
        <v>0.33980926249640431</v>
      </c>
      <c r="G236" s="5">
        <f t="shared" si="49"/>
        <v>0.17278278735304189</v>
      </c>
      <c r="I236" s="2">
        <v>45170</v>
      </c>
      <c r="J236">
        <v>55953</v>
      </c>
      <c r="K236">
        <v>98540</v>
      </c>
      <c r="M236" s="5">
        <f t="shared" si="50"/>
        <v>0.8072846853609279</v>
      </c>
      <c r="N236" s="5">
        <f t="shared" si="51"/>
        <v>0.25861799991304635</v>
      </c>
      <c r="S236" s="5">
        <f t="shared" si="52"/>
        <v>-6.8616020970139191E-3</v>
      </c>
      <c r="T236" s="5">
        <f t="shared" si="53"/>
        <v>-1.3160554723281481E-2</v>
      </c>
      <c r="U236" s="5">
        <f t="shared" si="54"/>
        <v>-5.2001489307335613E-3</v>
      </c>
      <c r="V236" s="5">
        <f t="shared" si="55"/>
        <v>-4.8061660259809624E-2</v>
      </c>
      <c r="W236" s="5">
        <f t="shared" si="56"/>
        <v>-4.6725340146494654E-2</v>
      </c>
      <c r="X236" s="5">
        <f t="shared" si="57"/>
        <v>-7.875438554933778E-2</v>
      </c>
      <c r="AA236" s="5">
        <f t="shared" si="58"/>
        <v>2.4272349499796397E-2</v>
      </c>
      <c r="AB236" s="5">
        <f t="shared" si="59"/>
        <v>-2.842220456418354E-3</v>
      </c>
      <c r="AC236" s="5">
        <f t="shared" si="60"/>
        <v>-2.523582776866698E-2</v>
      </c>
      <c r="AD236" s="5">
        <f t="shared" si="61"/>
        <v>-7.9644495189603259E-2</v>
      </c>
      <c r="AE236" s="5">
        <f t="shared" si="62"/>
        <v>-0.15780861814685504</v>
      </c>
      <c r="AF236" s="5">
        <f t="shared" si="63"/>
        <v>-0.12413679846799303</v>
      </c>
    </row>
    <row r="237" spans="1:32" x14ac:dyDescent="0.25">
      <c r="A237" s="2">
        <v>45169</v>
      </c>
      <c r="B237">
        <v>15257</v>
      </c>
      <c r="C237">
        <v>44268</v>
      </c>
      <c r="D237">
        <v>289505</v>
      </c>
      <c r="F237" s="5">
        <f t="shared" si="48"/>
        <v>0.34465076353121893</v>
      </c>
      <c r="G237" s="5">
        <f t="shared" si="49"/>
        <v>0.17054407930550383</v>
      </c>
      <c r="I237" s="2">
        <v>45169</v>
      </c>
      <c r="J237">
        <v>55813</v>
      </c>
      <c r="K237">
        <v>98475</v>
      </c>
      <c r="M237" s="5">
        <f t="shared" si="50"/>
        <v>0.80929174206726029</v>
      </c>
      <c r="N237" s="5">
        <f t="shared" si="51"/>
        <v>0.25860528007334432</v>
      </c>
      <c r="S237" s="5">
        <f t="shared" si="52"/>
        <v>-7.2181926193645718E-3</v>
      </c>
      <c r="T237" s="5">
        <f t="shared" si="53"/>
        <v>-1.3276459287593967E-2</v>
      </c>
      <c r="U237" s="5">
        <f t="shared" si="54"/>
        <v>-4.8450514830668534E-3</v>
      </c>
      <c r="V237" s="5">
        <f t="shared" si="55"/>
        <v>-4.9414362508175103E-2</v>
      </c>
      <c r="W237" s="5">
        <f t="shared" si="56"/>
        <v>-4.7527623958555365E-2</v>
      </c>
      <c r="X237" s="5">
        <f t="shared" si="57"/>
        <v>-7.9850073663389698E-2</v>
      </c>
      <c r="AA237" s="5">
        <f t="shared" si="58"/>
        <v>2.4008628388437092E-2</v>
      </c>
      <c r="AB237" s="5">
        <f t="shared" si="59"/>
        <v>-5.546929300096648E-3</v>
      </c>
      <c r="AC237" s="5">
        <f t="shared" si="60"/>
        <v>-2.7438918494620018E-2</v>
      </c>
      <c r="AD237" s="5">
        <f t="shared" si="61"/>
        <v>-8.041953337722213E-2</v>
      </c>
      <c r="AE237" s="5">
        <f t="shared" si="62"/>
        <v>-0.15647760688833129</v>
      </c>
      <c r="AF237" s="5">
        <f t="shared" si="63"/>
        <v>-0.12369072315035279</v>
      </c>
    </row>
    <row r="238" spans="1:32" x14ac:dyDescent="0.25">
      <c r="A238" s="2">
        <v>45168</v>
      </c>
      <c r="B238">
        <v>15030</v>
      </c>
      <c r="C238">
        <v>44343</v>
      </c>
      <c r="D238">
        <v>290520</v>
      </c>
      <c r="F238" s="5">
        <f t="shared" si="48"/>
        <v>0.33894865029429672</v>
      </c>
      <c r="G238" s="5">
        <f t="shared" si="49"/>
        <v>0.16968901921444557</v>
      </c>
      <c r="I238" s="2">
        <v>45168</v>
      </c>
      <c r="J238">
        <v>55813</v>
      </c>
      <c r="K238">
        <v>98225</v>
      </c>
      <c r="M238" s="5">
        <f t="shared" si="50"/>
        <v>0.80927382509451207</v>
      </c>
      <c r="N238" s="5">
        <f t="shared" si="51"/>
        <v>0.25793292992865918</v>
      </c>
      <c r="S238" s="5">
        <f t="shared" si="52"/>
        <v>-7.7344099323321536E-3</v>
      </c>
      <c r="T238" s="5">
        <f t="shared" si="53"/>
        <v>-1.3426235189276159E-2</v>
      </c>
      <c r="U238" s="5">
        <f t="shared" si="54"/>
        <v>-4.5660168499873643E-3</v>
      </c>
      <c r="V238" s="5">
        <f t="shared" si="55"/>
        <v>-5.0244817895867877E-2</v>
      </c>
      <c r="W238" s="5">
        <f t="shared" si="56"/>
        <v>-4.8036189873483237E-2</v>
      </c>
      <c r="X238" s="5">
        <f t="shared" si="57"/>
        <v>-8.0537907704453682E-2</v>
      </c>
      <c r="AA238" s="5">
        <f t="shared" si="58"/>
        <v>2.3548167359484951E-2</v>
      </c>
      <c r="AB238" s="5">
        <f t="shared" si="59"/>
        <v>-8.2717813301497745E-3</v>
      </c>
      <c r="AC238" s="5">
        <f t="shared" si="60"/>
        <v>-2.9689052499522056E-2</v>
      </c>
      <c r="AD238" s="5">
        <f t="shared" si="61"/>
        <v>-7.9988248427284414E-2</v>
      </c>
      <c r="AE238" s="5">
        <f t="shared" si="62"/>
        <v>-0.15408347783288834</v>
      </c>
      <c r="AF238" s="5">
        <f t="shared" si="63"/>
        <v>-0.12191898093672282</v>
      </c>
    </row>
    <row r="239" spans="1:32" x14ac:dyDescent="0.25">
      <c r="A239" s="2">
        <v>45167</v>
      </c>
      <c r="B239">
        <v>15030</v>
      </c>
      <c r="C239">
        <v>43518</v>
      </c>
      <c r="D239">
        <v>290511</v>
      </c>
      <c r="F239" s="5">
        <f t="shared" si="48"/>
        <v>0.34537432786433198</v>
      </c>
      <c r="G239" s="5">
        <f t="shared" si="49"/>
        <v>0.167730956657757</v>
      </c>
      <c r="I239" s="2">
        <v>45167</v>
      </c>
      <c r="J239">
        <v>56138</v>
      </c>
      <c r="K239">
        <v>97350</v>
      </c>
      <c r="M239" s="5">
        <f t="shared" si="50"/>
        <v>0.80457087890555412</v>
      </c>
      <c r="N239" s="5">
        <f t="shared" si="51"/>
        <v>0.25855248381893542</v>
      </c>
      <c r="S239" s="5">
        <f t="shared" si="52"/>
        <v>-8.2251791682835251E-3</v>
      </c>
      <c r="T239" s="5">
        <f t="shared" si="53"/>
        <v>-1.3503181806250819E-2</v>
      </c>
      <c r="U239" s="5">
        <f t="shared" si="54"/>
        <v>-4.2325068151222722E-3</v>
      </c>
      <c r="V239" s="5">
        <f t="shared" si="55"/>
        <v>-5.0353770453297142E-2</v>
      </c>
      <c r="W239" s="5">
        <f t="shared" si="56"/>
        <v>-4.8206826894396149E-2</v>
      </c>
      <c r="X239" s="5">
        <f t="shared" si="57"/>
        <v>-8.0797345011048627E-2</v>
      </c>
      <c r="AA239" s="5">
        <f t="shared" si="58"/>
        <v>2.2780522207798692E-2</v>
      </c>
      <c r="AB239" s="5">
        <f t="shared" si="59"/>
        <v>-1.1171550809921743E-2</v>
      </c>
      <c r="AC239" s="5">
        <f t="shared" si="60"/>
        <v>-3.2096216227535695E-2</v>
      </c>
      <c r="AD239" s="5">
        <f t="shared" si="61"/>
        <v>-7.7278388167726142E-2</v>
      </c>
      <c r="AE239" s="5">
        <f t="shared" si="62"/>
        <v>-0.15008146884050538</v>
      </c>
      <c r="AF239" s="5">
        <f t="shared" si="63"/>
        <v>-0.11864276995350997</v>
      </c>
    </row>
    <row r="240" spans="1:32" x14ac:dyDescent="0.25">
      <c r="A240" s="2">
        <v>45166</v>
      </c>
      <c r="B240">
        <v>15030</v>
      </c>
      <c r="C240">
        <v>43518</v>
      </c>
      <c r="D240">
        <v>289825</v>
      </c>
      <c r="F240" s="5">
        <f t="shared" si="48"/>
        <v>0.34537432786433198</v>
      </c>
      <c r="G240" s="5">
        <f t="shared" si="49"/>
        <v>0.16806124470036427</v>
      </c>
      <c r="I240" s="2">
        <v>45166</v>
      </c>
      <c r="J240">
        <v>56138</v>
      </c>
      <c r="K240">
        <v>97250</v>
      </c>
      <c r="M240" s="5">
        <f t="shared" si="50"/>
        <v>0.80455306565962448</v>
      </c>
      <c r="N240" s="5">
        <f t="shared" si="51"/>
        <v>0.25900406259827319</v>
      </c>
      <c r="S240" s="5">
        <f t="shared" si="52"/>
        <v>-9.0053765168938704E-3</v>
      </c>
      <c r="T240" s="5">
        <f t="shared" si="53"/>
        <v>-1.3758090955449997E-2</v>
      </c>
      <c r="U240" s="5">
        <f t="shared" si="54"/>
        <v>-4.0649850847672697E-3</v>
      </c>
      <c r="V240" s="5">
        <f t="shared" si="55"/>
        <v>-4.8260104341210752E-2</v>
      </c>
      <c r="W240" s="5">
        <f t="shared" si="56"/>
        <v>-4.679397262914986E-2</v>
      </c>
      <c r="X240" s="5">
        <f t="shared" si="57"/>
        <v>-7.9643228159867907E-2</v>
      </c>
      <c r="AA240" s="5">
        <f t="shared" si="58"/>
        <v>2.2100343847378523E-2</v>
      </c>
      <c r="AB240" s="5">
        <f t="shared" si="59"/>
        <v>-1.3985652172985058E-2</v>
      </c>
      <c r="AC240" s="5">
        <f t="shared" si="60"/>
        <v>-3.4393111819939981E-2</v>
      </c>
      <c r="AD240" s="5">
        <f t="shared" si="61"/>
        <v>-7.4874512554359895E-2</v>
      </c>
      <c r="AE240" s="5">
        <f t="shared" si="62"/>
        <v>-0.14645613216489156</v>
      </c>
      <c r="AF240" s="5">
        <f t="shared" si="63"/>
        <v>-0.11564579510968614</v>
      </c>
    </row>
    <row r="241" spans="1:32" x14ac:dyDescent="0.25">
      <c r="A241" s="2">
        <v>45163</v>
      </c>
      <c r="B241">
        <v>15030</v>
      </c>
      <c r="C241">
        <v>42868</v>
      </c>
      <c r="D241">
        <v>289588</v>
      </c>
      <c r="F241" s="5">
        <f t="shared" si="48"/>
        <v>0.3506111785014463</v>
      </c>
      <c r="G241" s="5">
        <f t="shared" si="49"/>
        <v>0.16661966237488704</v>
      </c>
      <c r="I241" s="2">
        <v>45163</v>
      </c>
      <c r="J241">
        <v>56238</v>
      </c>
      <c r="K241">
        <v>95275</v>
      </c>
      <c r="M241" s="5">
        <f t="shared" si="50"/>
        <v>0.80306909918560399</v>
      </c>
      <c r="N241" s="5">
        <f t="shared" si="51"/>
        <v>0.25934489205578676</v>
      </c>
      <c r="S241" s="5">
        <f t="shared" si="52"/>
        <v>-9.7299946217351829E-3</v>
      </c>
      <c r="T241" s="5">
        <f t="shared" si="53"/>
        <v>-1.3986364044876243E-2</v>
      </c>
      <c r="U241" s="5">
        <f t="shared" si="54"/>
        <v>-3.8659913075639873E-3</v>
      </c>
      <c r="V241" s="5">
        <f t="shared" si="55"/>
        <v>-4.6208657607518688E-2</v>
      </c>
      <c r="W241" s="5">
        <f t="shared" si="56"/>
        <v>-4.5383620005892467E-2</v>
      </c>
      <c r="X241" s="5">
        <f t="shared" si="57"/>
        <v>-7.8588319833964304E-2</v>
      </c>
      <c r="AA241" s="5">
        <f t="shared" si="58"/>
        <v>2.2968288864187003E-2</v>
      </c>
      <c r="AB241" s="5">
        <f t="shared" si="59"/>
        <v>-1.6810283582267965E-2</v>
      </c>
      <c r="AC241" s="5">
        <f t="shared" si="60"/>
        <v>-3.6727294227337448E-2</v>
      </c>
      <c r="AD241" s="5">
        <f t="shared" si="61"/>
        <v>-8.7799882099299564E-2</v>
      </c>
      <c r="AE241" s="5">
        <f t="shared" si="62"/>
        <v>-0.14307087116390244</v>
      </c>
      <c r="AF241" s="5">
        <f t="shared" si="63"/>
        <v>-0.11315892959606011</v>
      </c>
    </row>
    <row r="242" spans="1:32" x14ac:dyDescent="0.25">
      <c r="A242" s="2">
        <v>45162</v>
      </c>
      <c r="B242">
        <v>15080</v>
      </c>
      <c r="C242">
        <v>42368</v>
      </c>
      <c r="D242">
        <v>289316</v>
      </c>
      <c r="F242" s="5">
        <f t="shared" si="48"/>
        <v>0.35592900302114805</v>
      </c>
      <c r="G242" s="5">
        <f t="shared" si="49"/>
        <v>0.165668869894222</v>
      </c>
      <c r="I242" s="2">
        <v>45162</v>
      </c>
      <c r="J242">
        <v>57238</v>
      </c>
      <c r="K242">
        <v>93825</v>
      </c>
      <c r="M242" s="5">
        <f t="shared" si="50"/>
        <v>0.78902127956951673</v>
      </c>
      <c r="N242" s="5">
        <f t="shared" si="51"/>
        <v>0.26141388148556605</v>
      </c>
      <c r="S242" s="5">
        <f t="shared" si="52"/>
        <v>-1.0431060962808936E-2</v>
      </c>
      <c r="T242" s="5">
        <f t="shared" si="53"/>
        <v>-1.4185180064496317E-2</v>
      </c>
      <c r="U242" s="5">
        <f t="shared" si="54"/>
        <v>-3.667765434527237E-3</v>
      </c>
      <c r="V242" s="5">
        <f t="shared" si="55"/>
        <v>-4.3355353288411891E-2</v>
      </c>
      <c r="W242" s="5">
        <f t="shared" si="56"/>
        <v>-4.3479590959540126E-2</v>
      </c>
      <c r="X242" s="5">
        <f t="shared" si="57"/>
        <v>-7.7040294281021993E-2</v>
      </c>
      <c r="AA242" s="5">
        <f t="shared" si="58"/>
        <v>2.4065961870991012E-2</v>
      </c>
      <c r="AB242" s="5">
        <f t="shared" si="59"/>
        <v>-1.9446684059993807E-2</v>
      </c>
      <c r="AC242" s="5">
        <f t="shared" si="60"/>
        <v>-3.8904952295744727E-2</v>
      </c>
      <c r="AD242" s="5">
        <f t="shared" si="61"/>
        <v>-9.8663086127213306E-2</v>
      </c>
      <c r="AE242" s="5">
        <f t="shared" si="62"/>
        <v>-0.13826489765779815</v>
      </c>
      <c r="AF242" s="5">
        <f t="shared" si="63"/>
        <v>-0.10955343268044826</v>
      </c>
    </row>
    <row r="243" spans="1:32" x14ac:dyDescent="0.25">
      <c r="A243" s="2">
        <v>45161</v>
      </c>
      <c r="B243">
        <v>14780</v>
      </c>
      <c r="C243">
        <v>42093</v>
      </c>
      <c r="D243">
        <v>287644</v>
      </c>
      <c r="F243" s="5">
        <f t="shared" si="48"/>
        <v>0.35112726581616893</v>
      </c>
      <c r="G243" s="5">
        <f t="shared" si="49"/>
        <v>0.16508038790538637</v>
      </c>
      <c r="I243" s="2">
        <v>45161</v>
      </c>
      <c r="J243">
        <v>57238</v>
      </c>
      <c r="K243">
        <v>93975</v>
      </c>
      <c r="M243" s="5">
        <f t="shared" si="50"/>
        <v>0.78900380865858344</v>
      </c>
      <c r="N243" s="5">
        <f t="shared" si="51"/>
        <v>0.26253259256030748</v>
      </c>
      <c r="S243" s="5">
        <f t="shared" si="52"/>
        <v>-1.0970896427162813E-2</v>
      </c>
      <c r="T243" s="5">
        <f t="shared" si="53"/>
        <v>-1.4217621747504294E-2</v>
      </c>
      <c r="U243" s="5">
        <f t="shared" si="54"/>
        <v>-3.3608543994468887E-3</v>
      </c>
      <c r="V243" s="5">
        <f t="shared" si="55"/>
        <v>-3.9834015103576204E-2</v>
      </c>
      <c r="W243" s="5">
        <f t="shared" si="56"/>
        <v>-4.090750697882406E-2</v>
      </c>
      <c r="X243" s="5">
        <f t="shared" si="57"/>
        <v>-7.4776691087068969E-2</v>
      </c>
      <c r="AA243" s="5">
        <f t="shared" si="58"/>
        <v>2.5288427289391235E-2</v>
      </c>
      <c r="AB243" s="5">
        <f t="shared" si="59"/>
        <v>-2.1914615805053161E-2</v>
      </c>
      <c r="AC243" s="5">
        <f t="shared" si="60"/>
        <v>-4.0992685016554176E-2</v>
      </c>
      <c r="AD243" s="5">
        <f t="shared" si="61"/>
        <v>-0.10934267127866104</v>
      </c>
      <c r="AE243" s="5">
        <f t="shared" si="62"/>
        <v>-0.13327448891726207</v>
      </c>
      <c r="AF243" s="5">
        <f t="shared" si="63"/>
        <v>-0.10631124270676179</v>
      </c>
    </row>
    <row r="244" spans="1:32" x14ac:dyDescent="0.25">
      <c r="A244" s="2">
        <v>45160</v>
      </c>
      <c r="B244">
        <v>14780</v>
      </c>
      <c r="C244">
        <v>41693</v>
      </c>
      <c r="D244">
        <v>287456</v>
      </c>
      <c r="F244" s="5">
        <f t="shared" si="48"/>
        <v>0.35449595855419375</v>
      </c>
      <c r="G244" s="5">
        <f t="shared" si="49"/>
        <v>0.16419958770560203</v>
      </c>
      <c r="I244" s="2">
        <v>45160</v>
      </c>
      <c r="J244">
        <v>56988</v>
      </c>
      <c r="K244">
        <v>93925</v>
      </c>
      <c r="M244" s="5">
        <f t="shared" si="50"/>
        <v>0.79244753281392577</v>
      </c>
      <c r="N244" s="5">
        <f t="shared" si="51"/>
        <v>0.26218416648699705</v>
      </c>
      <c r="S244" s="5">
        <f t="shared" si="52"/>
        <v>-1.139875040369126E-2</v>
      </c>
      <c r="T244" s="5">
        <f t="shared" si="53"/>
        <v>-1.4232744322531521E-2</v>
      </c>
      <c r="U244" s="5">
        <f t="shared" si="54"/>
        <v>-3.0495180959775325E-3</v>
      </c>
      <c r="V244" s="5">
        <f t="shared" si="55"/>
        <v>-3.6545053406229711E-2</v>
      </c>
      <c r="W244" s="5">
        <f t="shared" si="56"/>
        <v>-3.8495185132551124E-2</v>
      </c>
      <c r="X244" s="5">
        <f t="shared" si="57"/>
        <v>-7.265106514244668E-2</v>
      </c>
      <c r="AA244" s="5">
        <f t="shared" si="58"/>
        <v>2.6223175107378482E-2</v>
      </c>
      <c r="AB244" s="5">
        <f t="shared" si="59"/>
        <v>-2.4534398098791349E-2</v>
      </c>
      <c r="AC244" s="5">
        <f t="shared" si="60"/>
        <v>-4.315850507053709E-2</v>
      </c>
      <c r="AD244" s="5">
        <f t="shared" si="61"/>
        <v>-0.11979544442532591</v>
      </c>
      <c r="AE244" s="5">
        <f t="shared" si="62"/>
        <v>-0.12840926886926513</v>
      </c>
      <c r="AF244" s="5">
        <f t="shared" si="63"/>
        <v>-0.10308579556505715</v>
      </c>
    </row>
    <row r="245" spans="1:32" x14ac:dyDescent="0.25">
      <c r="A245" s="2">
        <v>45159</v>
      </c>
      <c r="B245">
        <v>14780</v>
      </c>
      <c r="C245">
        <v>40963</v>
      </c>
      <c r="D245">
        <v>287750</v>
      </c>
      <c r="F245" s="5">
        <f t="shared" si="48"/>
        <v>0.36081341698606056</v>
      </c>
      <c r="G245" s="5">
        <f t="shared" si="49"/>
        <v>0.16228278305525876</v>
      </c>
      <c r="I245" s="2">
        <v>45159</v>
      </c>
      <c r="J245">
        <v>56888</v>
      </c>
      <c r="K245">
        <v>94175</v>
      </c>
      <c r="M245" s="5">
        <f t="shared" si="50"/>
        <v>0.7938229503585994</v>
      </c>
      <c r="N245" s="5">
        <f t="shared" si="51"/>
        <v>0.26179524213885691</v>
      </c>
      <c r="S245" s="5">
        <f t="shared" si="52"/>
        <v>-1.1606181138903882E-2</v>
      </c>
      <c r="T245" s="5">
        <f t="shared" si="53"/>
        <v>-1.4068242260961761E-2</v>
      </c>
      <c r="U245" s="5">
        <f t="shared" si="54"/>
        <v>-2.5916255854661063E-3</v>
      </c>
      <c r="V245" s="5">
        <f t="shared" si="55"/>
        <v>-3.3612056519658373E-2</v>
      </c>
      <c r="W245" s="5">
        <f t="shared" si="56"/>
        <v>-3.6279016182843571E-2</v>
      </c>
      <c r="X245" s="5">
        <f t="shared" si="57"/>
        <v>-7.0671597330741687E-2</v>
      </c>
      <c r="AA245" s="5">
        <f t="shared" si="58"/>
        <v>2.6377343866729963E-2</v>
      </c>
      <c r="AB245" s="5">
        <f t="shared" si="59"/>
        <v>-2.7564453802372019E-2</v>
      </c>
      <c r="AC245" s="5">
        <f t="shared" si="60"/>
        <v>-4.5703534568094673E-2</v>
      </c>
      <c r="AD245" s="5">
        <f t="shared" si="61"/>
        <v>-0.1268694142612582</v>
      </c>
      <c r="AE245" s="5">
        <f t="shared" si="62"/>
        <v>-0.12125110781420456</v>
      </c>
      <c r="AF245" s="5">
        <f t="shared" si="63"/>
        <v>-9.83559796606569E-2</v>
      </c>
    </row>
    <row r="246" spans="1:32" x14ac:dyDescent="0.25">
      <c r="A246" s="2">
        <v>45156</v>
      </c>
      <c r="B246">
        <v>14780</v>
      </c>
      <c r="C246">
        <v>40013</v>
      </c>
      <c r="D246">
        <v>287371</v>
      </c>
      <c r="F246" s="5">
        <f t="shared" si="48"/>
        <v>0.36937995151575737</v>
      </c>
      <c r="G246" s="5">
        <f t="shared" si="49"/>
        <v>0.16013665961351867</v>
      </c>
      <c r="I246" s="2">
        <v>45156</v>
      </c>
      <c r="J246">
        <v>56788</v>
      </c>
      <c r="K246">
        <v>93975</v>
      </c>
      <c r="M246" s="5">
        <f t="shared" si="50"/>
        <v>0.79516799323800802</v>
      </c>
      <c r="N246" s="5">
        <f t="shared" si="51"/>
        <v>0.26185479624468616</v>
      </c>
      <c r="S246" s="5">
        <f t="shared" si="52"/>
        <v>-1.1697774904137148E-2</v>
      </c>
      <c r="T246" s="5">
        <f t="shared" si="53"/>
        <v>-1.3788660079209036E-2</v>
      </c>
      <c r="U246" s="5">
        <f t="shared" si="54"/>
        <v>-2.05422191360638E-3</v>
      </c>
      <c r="V246" s="5">
        <f t="shared" si="55"/>
        <v>-3.0749066583977358E-2</v>
      </c>
      <c r="W246" s="5">
        <f t="shared" si="56"/>
        <v>-3.4351038999250738E-2</v>
      </c>
      <c r="X246" s="5">
        <f t="shared" si="57"/>
        <v>-6.8760835242868024E-2</v>
      </c>
      <c r="AA246" s="5">
        <f t="shared" si="58"/>
        <v>2.6881726925784416E-2</v>
      </c>
      <c r="AB246" s="5">
        <f t="shared" si="59"/>
        <v>-3.0459734809741873E-2</v>
      </c>
      <c r="AC246" s="5">
        <f t="shared" si="60"/>
        <v>-4.8136435109442571E-2</v>
      </c>
      <c r="AD246" s="5">
        <f t="shared" si="61"/>
        <v>-0.13605329744364925</v>
      </c>
      <c r="AE246" s="5">
        <f t="shared" si="62"/>
        <v>-0.11439392555928141</v>
      </c>
      <c r="AF246" s="5">
        <f t="shared" si="63"/>
        <v>-9.383262657728636E-2</v>
      </c>
    </row>
    <row r="247" spans="1:32" x14ac:dyDescent="0.25">
      <c r="A247" s="2">
        <v>45155</v>
      </c>
      <c r="B247">
        <v>14780</v>
      </c>
      <c r="C247">
        <v>39488</v>
      </c>
      <c r="D247">
        <v>287265</v>
      </c>
      <c r="F247" s="5">
        <f t="shared" si="48"/>
        <v>0.37429092382495949</v>
      </c>
      <c r="G247" s="5">
        <f t="shared" si="49"/>
        <v>0.1588953336866423</v>
      </c>
      <c r="I247" s="2">
        <v>45155</v>
      </c>
      <c r="J247">
        <v>56788</v>
      </c>
      <c r="K247">
        <v>93875</v>
      </c>
      <c r="M247" s="5">
        <f t="shared" si="50"/>
        <v>0.79515038388391912</v>
      </c>
      <c r="N247" s="5">
        <f t="shared" si="51"/>
        <v>0.26192421532959242</v>
      </c>
      <c r="S247" s="5">
        <f t="shared" si="52"/>
        <v>-1.1904413897465771E-2</v>
      </c>
      <c r="T247" s="5">
        <f t="shared" si="53"/>
        <v>-1.3515780128561472E-2</v>
      </c>
      <c r="U247" s="5">
        <f t="shared" si="54"/>
        <v>-1.5329155834498676E-3</v>
      </c>
      <c r="V247" s="5">
        <f t="shared" si="55"/>
        <v>-2.7525096670742544E-2</v>
      </c>
      <c r="W247" s="5">
        <f t="shared" si="56"/>
        <v>-3.2307874975256334E-2</v>
      </c>
      <c r="X247" s="5">
        <f t="shared" si="57"/>
        <v>-6.6721620998674069E-2</v>
      </c>
      <c r="AA247" s="5">
        <f t="shared" si="58"/>
        <v>2.1705105827981186E-2</v>
      </c>
      <c r="AB247" s="5">
        <f t="shared" si="59"/>
        <v>-3.3304753631129946E-2</v>
      </c>
      <c r="AC247" s="5">
        <f t="shared" si="60"/>
        <v>-5.055218638254147E-2</v>
      </c>
      <c r="AD247" s="5">
        <f t="shared" si="61"/>
        <v>-0.13462739162066134</v>
      </c>
      <c r="AE247" s="5">
        <f t="shared" si="62"/>
        <v>-0.10708451322283702</v>
      </c>
      <c r="AF247" s="5">
        <f t="shared" si="63"/>
        <v>-8.8850265171064369E-2</v>
      </c>
    </row>
    <row r="248" spans="1:32" x14ac:dyDescent="0.25">
      <c r="A248" s="2">
        <v>45154</v>
      </c>
      <c r="B248">
        <v>13155</v>
      </c>
      <c r="C248">
        <v>38038</v>
      </c>
      <c r="D248">
        <v>287412</v>
      </c>
      <c r="F248" s="5">
        <f t="shared" si="48"/>
        <v>0.34583837215416163</v>
      </c>
      <c r="G248" s="5">
        <f t="shared" si="49"/>
        <v>0.15118796237503876</v>
      </c>
      <c r="I248" s="2">
        <v>45154</v>
      </c>
      <c r="J248">
        <v>56888</v>
      </c>
      <c r="K248">
        <v>93775</v>
      </c>
      <c r="M248" s="5">
        <f t="shared" si="50"/>
        <v>0.7937350583602869</v>
      </c>
      <c r="N248" s="5">
        <f t="shared" si="51"/>
        <v>0.26201297200696361</v>
      </c>
      <c r="S248" s="5">
        <f t="shared" si="52"/>
        <v>-1.2338447847824896E-2</v>
      </c>
      <c r="T248" s="5">
        <f t="shared" si="53"/>
        <v>-1.3297428983139403E-2</v>
      </c>
      <c r="U248" s="5">
        <f t="shared" si="54"/>
        <v>-1.0414822520738998E-3</v>
      </c>
      <c r="V248" s="5">
        <f t="shared" si="55"/>
        <v>-2.3870964315147458E-2</v>
      </c>
      <c r="W248" s="5">
        <f t="shared" si="56"/>
        <v>-3.0064021579533473E-2</v>
      </c>
      <c r="X248" s="5">
        <f t="shared" si="57"/>
        <v>-6.4595431798925462E-2</v>
      </c>
      <c r="AA248" s="5">
        <f t="shared" si="58"/>
        <v>1.6444160097822777E-2</v>
      </c>
      <c r="AB248" s="5">
        <f t="shared" si="59"/>
        <v>-3.6055877733763342E-2</v>
      </c>
      <c r="AC248" s="5">
        <f t="shared" si="60"/>
        <v>-5.2881022631928232E-2</v>
      </c>
      <c r="AD248" s="5">
        <f t="shared" si="61"/>
        <v>-0.1341546573301266</v>
      </c>
      <c r="AE248" s="5">
        <f t="shared" si="62"/>
        <v>-0.10053858455161219</v>
      </c>
      <c r="AF248" s="5">
        <f t="shared" si="63"/>
        <v>-8.4375268748217824E-2</v>
      </c>
    </row>
    <row r="249" spans="1:32" x14ac:dyDescent="0.25">
      <c r="A249" s="2">
        <v>45153</v>
      </c>
      <c r="B249">
        <v>12855</v>
      </c>
      <c r="C249">
        <v>37363</v>
      </c>
      <c r="D249">
        <v>287875</v>
      </c>
      <c r="F249" s="5">
        <f t="shared" si="48"/>
        <v>0.34405695474132164</v>
      </c>
      <c r="G249" s="5">
        <f t="shared" si="49"/>
        <v>0.14853309592331104</v>
      </c>
      <c r="I249" s="2">
        <v>45153</v>
      </c>
      <c r="J249">
        <v>56888</v>
      </c>
      <c r="K249">
        <v>94775</v>
      </c>
      <c r="M249" s="5">
        <f t="shared" si="50"/>
        <v>0.79371747996062436</v>
      </c>
      <c r="N249" s="5">
        <f t="shared" si="51"/>
        <v>0.26169995588793482</v>
      </c>
      <c r="S249" s="5">
        <f t="shared" si="52"/>
        <v>-1.2743515573222286E-2</v>
      </c>
      <c r="T249" s="5">
        <f t="shared" si="53"/>
        <v>-1.2963617532215699E-2</v>
      </c>
      <c r="U249" s="5">
        <f t="shared" si="54"/>
        <v>-4.7328123738277217E-4</v>
      </c>
      <c r="V249" s="5">
        <f t="shared" si="55"/>
        <v>-1.9195684948461578E-2</v>
      </c>
      <c r="W249" s="5">
        <f t="shared" si="56"/>
        <v>-2.7645728226746713E-2</v>
      </c>
      <c r="X249" s="5">
        <f t="shared" si="57"/>
        <v>-6.2471899207523052E-2</v>
      </c>
      <c r="AA249" s="5">
        <f t="shared" si="58"/>
        <v>1.157664172866299E-2</v>
      </c>
      <c r="AB249" s="5">
        <f t="shared" si="59"/>
        <v>-3.8391708537884373E-2</v>
      </c>
      <c r="AC249" s="5">
        <f t="shared" si="60"/>
        <v>-5.4815925206379623E-2</v>
      </c>
      <c r="AD249" s="5">
        <f t="shared" si="61"/>
        <v>-0.13273273006825786</v>
      </c>
      <c r="AE249" s="5">
        <f t="shared" si="62"/>
        <v>-9.27639037788896E-2</v>
      </c>
      <c r="AF249" s="5">
        <f t="shared" si="63"/>
        <v>-7.8678927852793901E-2</v>
      </c>
    </row>
    <row r="250" spans="1:32" x14ac:dyDescent="0.25">
      <c r="A250" s="2">
        <v>45152</v>
      </c>
      <c r="B250">
        <v>13280</v>
      </c>
      <c r="C250">
        <v>36276</v>
      </c>
      <c r="D250">
        <v>288171</v>
      </c>
      <c r="F250" s="5">
        <f t="shared" si="48"/>
        <v>0.36608225824236412</v>
      </c>
      <c r="G250" s="5">
        <f t="shared" si="49"/>
        <v>0.14673390045806228</v>
      </c>
      <c r="I250" s="2">
        <v>45152</v>
      </c>
      <c r="J250">
        <v>56888</v>
      </c>
      <c r="K250">
        <v>93875</v>
      </c>
      <c r="M250" s="5">
        <f t="shared" si="50"/>
        <v>0.79369990156096193</v>
      </c>
      <c r="N250" s="5">
        <f t="shared" si="51"/>
        <v>0.26149954768061384</v>
      </c>
      <c r="S250" s="5">
        <f t="shared" si="52"/>
        <v>-1.3199589776487719E-2</v>
      </c>
      <c r="T250" s="5">
        <f t="shared" si="53"/>
        <v>-1.2584341934726961E-2</v>
      </c>
      <c r="U250" s="5">
        <f t="shared" si="54"/>
        <v>1.4153718979414975E-4</v>
      </c>
      <c r="V250" s="5">
        <f t="shared" si="55"/>
        <v>-1.3981748036942743E-2</v>
      </c>
      <c r="W250" s="5">
        <f t="shared" si="56"/>
        <v>-2.5297330384905559E-2</v>
      </c>
      <c r="X250" s="5">
        <f t="shared" si="57"/>
        <v>-6.0565845617558955E-2</v>
      </c>
      <c r="AA250" s="5">
        <f t="shared" si="58"/>
        <v>6.7927638527243428E-3</v>
      </c>
      <c r="AB250" s="5">
        <f t="shared" si="59"/>
        <v>-4.059456604900788E-2</v>
      </c>
      <c r="AC250" s="5">
        <f t="shared" si="60"/>
        <v>-5.657597486237903E-2</v>
      </c>
      <c r="AD250" s="5">
        <f t="shared" si="61"/>
        <v>-0.13102280955291062</v>
      </c>
      <c r="AE250" s="5">
        <f t="shared" si="62"/>
        <v>-8.4874899332783638E-2</v>
      </c>
      <c r="AF250" s="5">
        <f t="shared" si="63"/>
        <v>-7.311444389134375E-2</v>
      </c>
    </row>
    <row r="251" spans="1:32" x14ac:dyDescent="0.25">
      <c r="A251" s="2">
        <v>45149</v>
      </c>
      <c r="B251">
        <v>13280</v>
      </c>
      <c r="C251">
        <v>36288</v>
      </c>
      <c r="D251">
        <v>288647</v>
      </c>
      <c r="F251" s="5">
        <f t="shared" si="48"/>
        <v>0.36596119929453264</v>
      </c>
      <c r="G251" s="5">
        <f t="shared" si="49"/>
        <v>0.1465576630249989</v>
      </c>
      <c r="I251" s="2">
        <v>45149</v>
      </c>
      <c r="J251">
        <v>56433</v>
      </c>
      <c r="K251">
        <v>93875</v>
      </c>
      <c r="M251" s="5">
        <f t="shared" si="50"/>
        <v>0.80004607233356373</v>
      </c>
      <c r="N251" s="5">
        <f t="shared" si="51"/>
        <v>0.26031381573383833</v>
      </c>
      <c r="S251" s="5">
        <f t="shared" si="52"/>
        <v>-1.3586617518993482E-2</v>
      </c>
      <c r="T251" s="5">
        <f t="shared" si="53"/>
        <v>-1.2072211647827402E-2</v>
      </c>
      <c r="U251" s="5">
        <f t="shared" si="54"/>
        <v>9.0498704401242858E-4</v>
      </c>
      <c r="V251" s="5">
        <f t="shared" si="55"/>
        <v>-9.2416453628425543E-3</v>
      </c>
      <c r="W251" s="5">
        <f t="shared" si="56"/>
        <v>-2.3442002668502826E-2</v>
      </c>
      <c r="X251" s="5">
        <f t="shared" si="57"/>
        <v>-5.9355776178281805E-2</v>
      </c>
      <c r="AA251" s="5">
        <f t="shared" si="58"/>
        <v>2.1382252866774254E-3</v>
      </c>
      <c r="AB251" s="5">
        <f t="shared" si="59"/>
        <v>-4.2708952812435169E-2</v>
      </c>
      <c r="AC251" s="5">
        <f t="shared" si="60"/>
        <v>-5.8278571332850249E-2</v>
      </c>
      <c r="AD251" s="5">
        <f t="shared" si="61"/>
        <v>-0.13521972686007594</v>
      </c>
      <c r="AE251" s="5">
        <f t="shared" si="62"/>
        <v>-8.1187709640922201E-2</v>
      </c>
      <c r="AF251" s="5">
        <f t="shared" si="63"/>
        <v>-7.1197871706604077E-2</v>
      </c>
    </row>
    <row r="252" spans="1:32" x14ac:dyDescent="0.25">
      <c r="A252" s="2">
        <v>45148</v>
      </c>
      <c r="B252">
        <v>13280</v>
      </c>
      <c r="C252">
        <v>35538</v>
      </c>
      <c r="D252">
        <v>289906</v>
      </c>
      <c r="F252" s="5">
        <f t="shared" si="48"/>
        <v>0.37368450672519554</v>
      </c>
      <c r="G252" s="5">
        <f t="shared" si="49"/>
        <v>0.14412323897922794</v>
      </c>
      <c r="I252" s="2">
        <v>45148</v>
      </c>
      <c r="J252">
        <v>56433</v>
      </c>
      <c r="K252">
        <v>93875</v>
      </c>
      <c r="M252" s="5">
        <f t="shared" si="50"/>
        <v>0.80002835220527002</v>
      </c>
      <c r="N252" s="5">
        <f t="shared" si="51"/>
        <v>0.25947477183150397</v>
      </c>
      <c r="S252" s="5">
        <f t="shared" si="52"/>
        <v>-1.3794591990508642E-2</v>
      </c>
      <c r="T252" s="5">
        <f t="shared" si="53"/>
        <v>-1.1483660007698571E-2</v>
      </c>
      <c r="U252" s="5">
        <f t="shared" si="54"/>
        <v>1.7541000151458652E-3</v>
      </c>
      <c r="V252" s="5">
        <f t="shared" si="55"/>
        <v>-4.961040039484943E-3</v>
      </c>
      <c r="W252" s="5">
        <f t="shared" si="56"/>
        <v>-2.192849699811783E-2</v>
      </c>
      <c r="X252" s="5">
        <f t="shared" si="57"/>
        <v>-5.8448769100031051E-2</v>
      </c>
      <c r="AA252" s="5">
        <f t="shared" si="58"/>
        <v>-2.1173069288750179E-3</v>
      </c>
      <c r="AB252" s="5">
        <f t="shared" si="59"/>
        <v>-4.4541570243074147E-2</v>
      </c>
      <c r="AC252" s="5">
        <f t="shared" si="60"/>
        <v>-5.9734107560702326E-2</v>
      </c>
      <c r="AD252" s="5">
        <f t="shared" si="61"/>
        <v>-0.1409715330214163</v>
      </c>
      <c r="AE252" s="5">
        <f t="shared" si="62"/>
        <v>-7.8731905540022851E-2</v>
      </c>
      <c r="AF252" s="5">
        <f t="shared" si="63"/>
        <v>-7.037209335705652E-2</v>
      </c>
    </row>
    <row r="253" spans="1:32" x14ac:dyDescent="0.25">
      <c r="A253" s="2">
        <v>45147</v>
      </c>
      <c r="B253">
        <v>12549</v>
      </c>
      <c r="C253">
        <v>36166</v>
      </c>
      <c r="D253">
        <v>289556</v>
      </c>
      <c r="F253" s="5">
        <f t="shared" si="48"/>
        <v>0.34698335453188078</v>
      </c>
      <c r="G253" s="5">
        <f t="shared" si="49"/>
        <v>0.14401175388963286</v>
      </c>
      <c r="I253" s="2">
        <v>45147</v>
      </c>
      <c r="J253">
        <v>56108</v>
      </c>
      <c r="K253">
        <v>93500</v>
      </c>
      <c r="M253" s="5">
        <f t="shared" si="50"/>
        <v>0.80464461395879372</v>
      </c>
      <c r="N253" s="5">
        <f t="shared" si="51"/>
        <v>0.25908943197607026</v>
      </c>
      <c r="S253" s="5">
        <f t="shared" si="52"/>
        <v>-1.3749460448613415E-2</v>
      </c>
      <c r="T253" s="5">
        <f t="shared" si="53"/>
        <v>-1.0705778760398188E-2</v>
      </c>
      <c r="U253" s="5">
        <f t="shared" si="54"/>
        <v>2.7514462364787162E-3</v>
      </c>
      <c r="V253" s="5">
        <f t="shared" si="55"/>
        <v>-1.2814033785767398E-3</v>
      </c>
      <c r="W253" s="5">
        <f t="shared" si="56"/>
        <v>-2.1218368971132273E-2</v>
      </c>
      <c r="X253" s="5">
        <f t="shared" si="57"/>
        <v>-5.793604739630287E-2</v>
      </c>
      <c r="AA253" s="5">
        <f t="shared" si="58"/>
        <v>-6.2228904778368621E-3</v>
      </c>
      <c r="AB253" s="5">
        <f t="shared" si="59"/>
        <v>-4.6154446835088986E-2</v>
      </c>
      <c r="AC253" s="5">
        <f t="shared" si="60"/>
        <v>-6.0777620590802023E-2</v>
      </c>
      <c r="AD253" s="5">
        <f t="shared" si="61"/>
        <v>-0.14874440652543552</v>
      </c>
      <c r="AE253" s="5">
        <f t="shared" si="62"/>
        <v>-7.7430218089582059E-2</v>
      </c>
      <c r="AF253" s="5">
        <f t="shared" si="63"/>
        <v>-7.0330890523726597E-2</v>
      </c>
    </row>
    <row r="254" spans="1:32" x14ac:dyDescent="0.25">
      <c r="A254" s="2">
        <v>45146</v>
      </c>
      <c r="B254">
        <v>12774</v>
      </c>
      <c r="C254">
        <v>36166</v>
      </c>
      <c r="D254">
        <v>290400</v>
      </c>
      <c r="F254" s="5">
        <f t="shared" si="48"/>
        <v>0.3532046673671404</v>
      </c>
      <c r="G254" s="5">
        <f t="shared" si="49"/>
        <v>0.14422113514469265</v>
      </c>
      <c r="I254" s="2">
        <v>45146</v>
      </c>
      <c r="J254">
        <v>55858</v>
      </c>
      <c r="K254">
        <v>93240</v>
      </c>
      <c r="M254" s="5">
        <f t="shared" si="50"/>
        <v>0.80822800673135453</v>
      </c>
      <c r="N254" s="5">
        <f t="shared" si="51"/>
        <v>0.25805561517000336</v>
      </c>
      <c r="S254" s="5">
        <f t="shared" si="52"/>
        <v>-1.3458224107546657E-2</v>
      </c>
      <c r="T254" s="5">
        <f t="shared" si="53"/>
        <v>-9.8028861193791839E-3</v>
      </c>
      <c r="U254" s="5">
        <f t="shared" si="54"/>
        <v>3.8763075168963268E-3</v>
      </c>
      <c r="V254" s="5">
        <f t="shared" si="55"/>
        <v>2.6872045720002236E-3</v>
      </c>
      <c r="W254" s="5">
        <f t="shared" si="56"/>
        <v>-2.0197768557528528E-2</v>
      </c>
      <c r="X254" s="5">
        <f t="shared" si="57"/>
        <v>-5.7666308959170798E-2</v>
      </c>
      <c r="AA254" s="5">
        <f t="shared" si="58"/>
        <v>-1.0297776370502554E-2</v>
      </c>
      <c r="AB254" s="5">
        <f t="shared" si="59"/>
        <v>-4.7764109493938861E-2</v>
      </c>
      <c r="AC254" s="5">
        <f t="shared" si="60"/>
        <v>-6.1853711093876718E-2</v>
      </c>
      <c r="AD254" s="5">
        <f t="shared" si="61"/>
        <v>-0.15550360847062844</v>
      </c>
      <c r="AE254" s="5">
        <f t="shared" si="62"/>
        <v>-7.4520458717892091E-2</v>
      </c>
      <c r="AF254" s="5">
        <f t="shared" si="63"/>
        <v>-6.8817449881510007E-2</v>
      </c>
    </row>
    <row r="255" spans="1:32" x14ac:dyDescent="0.25">
      <c r="A255" s="2">
        <v>45145</v>
      </c>
      <c r="B255">
        <v>13099</v>
      </c>
      <c r="C255">
        <v>34866</v>
      </c>
      <c r="D255">
        <v>286080</v>
      </c>
      <c r="F255" s="5">
        <f t="shared" si="48"/>
        <v>0.37569551999082201</v>
      </c>
      <c r="G255" s="5">
        <f t="shared" si="49"/>
        <v>0.14358843868341092</v>
      </c>
      <c r="I255" s="2">
        <v>45145</v>
      </c>
      <c r="J255">
        <v>55108</v>
      </c>
      <c r="K255">
        <v>89540</v>
      </c>
      <c r="M255" s="5">
        <f t="shared" si="50"/>
        <v>0.81920955215213764</v>
      </c>
      <c r="N255" s="5">
        <f t="shared" si="51"/>
        <v>0.25949892967983579</v>
      </c>
      <c r="S255" s="5">
        <f t="shared" si="52"/>
        <v>-1.3032358653783882E-2</v>
      </c>
      <c r="T255" s="5">
        <f t="shared" si="53"/>
        <v>-8.8272358753243019E-3</v>
      </c>
      <c r="U255" s="5">
        <f t="shared" si="54"/>
        <v>5.0542380989256896E-3</v>
      </c>
      <c r="V255" s="5">
        <f t="shared" si="55"/>
        <v>6.4859260049155987E-3</v>
      </c>
      <c r="W255" s="5">
        <f t="shared" si="56"/>
        <v>-1.9347971324562896E-2</v>
      </c>
      <c r="X255" s="5">
        <f t="shared" si="57"/>
        <v>-5.756806278605231E-2</v>
      </c>
      <c r="AA255" s="5">
        <f t="shared" si="58"/>
        <v>-1.482209261901804E-2</v>
      </c>
      <c r="AB255" s="5">
        <f t="shared" si="59"/>
        <v>-4.9696734775499518E-2</v>
      </c>
      <c r="AC255" s="5">
        <f t="shared" si="60"/>
        <v>-6.3282455879257432E-2</v>
      </c>
      <c r="AD255" s="5">
        <f t="shared" si="61"/>
        <v>-0.16331597072207588</v>
      </c>
      <c r="AE255" s="5">
        <f t="shared" si="62"/>
        <v>-7.3022865522750335E-2</v>
      </c>
      <c r="AF255" s="5">
        <f t="shared" si="63"/>
        <v>-6.8470979435808099E-2</v>
      </c>
    </row>
    <row r="256" spans="1:32" x14ac:dyDescent="0.25">
      <c r="A256" s="2">
        <v>45142</v>
      </c>
      <c r="B256">
        <v>13099</v>
      </c>
      <c r="C256">
        <v>34866</v>
      </c>
      <c r="D256">
        <v>284844</v>
      </c>
      <c r="F256" s="5">
        <f t="shared" si="48"/>
        <v>0.37569551999082201</v>
      </c>
      <c r="G256" s="5">
        <f t="shared" si="49"/>
        <v>0.14412170343951036</v>
      </c>
      <c r="I256" s="2">
        <v>45142</v>
      </c>
      <c r="J256">
        <v>55208</v>
      </c>
      <c r="K256">
        <v>89340</v>
      </c>
      <c r="M256" s="5">
        <f t="shared" si="50"/>
        <v>0.81767135197797425</v>
      </c>
      <c r="N256" s="5">
        <f t="shared" si="51"/>
        <v>0.26051807660555459</v>
      </c>
      <c r="S256" s="5">
        <f t="shared" si="52"/>
        <v>-1.257682815683947E-2</v>
      </c>
      <c r="T256" s="5">
        <f t="shared" si="53"/>
        <v>-7.8926815119524374E-3</v>
      </c>
      <c r="U256" s="5">
        <f t="shared" si="54"/>
        <v>6.1907550919531595E-3</v>
      </c>
      <c r="V256" s="5">
        <f t="shared" si="55"/>
        <v>1.0716585887424523E-2</v>
      </c>
      <c r="W256" s="5">
        <f t="shared" si="56"/>
        <v>-1.8458931014055491E-2</v>
      </c>
      <c r="X256" s="5">
        <f t="shared" si="57"/>
        <v>-5.7747341067566405E-2</v>
      </c>
      <c r="AA256" s="5">
        <f t="shared" si="58"/>
        <v>-1.9283880818903698E-2</v>
      </c>
      <c r="AB256" s="5">
        <f t="shared" si="59"/>
        <v>-5.1553414656902274E-2</v>
      </c>
      <c r="AC256" s="5">
        <f t="shared" si="60"/>
        <v>-6.4647269263730378E-2</v>
      </c>
      <c r="AD256" s="5">
        <f t="shared" si="61"/>
        <v>-0.17367747628523095</v>
      </c>
      <c r="AE256" s="5">
        <f t="shared" si="62"/>
        <v>-7.387654600751864E-2</v>
      </c>
      <c r="AF256" s="5">
        <f t="shared" si="63"/>
        <v>-7.0154159070025035E-2</v>
      </c>
    </row>
    <row r="257" spans="1:32" x14ac:dyDescent="0.25">
      <c r="A257" s="2">
        <v>45141</v>
      </c>
      <c r="B257">
        <v>12999</v>
      </c>
      <c r="C257">
        <v>34366</v>
      </c>
      <c r="D257">
        <v>284457</v>
      </c>
      <c r="F257" s="5">
        <f t="shared" si="48"/>
        <v>0.37825176046092068</v>
      </c>
      <c r="G257" s="5">
        <f t="shared" si="49"/>
        <v>0.14274219310353142</v>
      </c>
      <c r="I257" s="2">
        <v>45141</v>
      </c>
      <c r="J257">
        <v>55433</v>
      </c>
      <c r="K257">
        <v>88965</v>
      </c>
      <c r="M257" s="5">
        <f t="shared" si="50"/>
        <v>0.814334421734346</v>
      </c>
      <c r="N257" s="5">
        <f t="shared" si="51"/>
        <v>0.26121013632668538</v>
      </c>
      <c r="S257" s="5">
        <f t="shared" si="52"/>
        <v>-1.2840544087261818E-2</v>
      </c>
      <c r="T257" s="5">
        <f t="shared" si="53"/>
        <v>-7.4051178621282743E-3</v>
      </c>
      <c r="U257" s="5">
        <f t="shared" si="54"/>
        <v>6.8768782930187511E-3</v>
      </c>
      <c r="V257" s="5">
        <f t="shared" si="55"/>
        <v>1.5019535459787514E-2</v>
      </c>
      <c r="W257" s="5">
        <f t="shared" si="56"/>
        <v>-1.7497526876143144E-2</v>
      </c>
      <c r="X257" s="5">
        <f t="shared" si="57"/>
        <v>-5.7912904655996855E-2</v>
      </c>
      <c r="AA257" s="5">
        <f t="shared" si="58"/>
        <v>-2.4661638836476929E-2</v>
      </c>
      <c r="AB257" s="5">
        <f t="shared" si="59"/>
        <v>-5.4075830412021325E-2</v>
      </c>
      <c r="AC257" s="5">
        <f t="shared" si="60"/>
        <v>-6.6624224031183954E-2</v>
      </c>
      <c r="AD257" s="5">
        <f t="shared" si="61"/>
        <v>-0.17779960670431266</v>
      </c>
      <c r="AE257" s="5">
        <f t="shared" si="62"/>
        <v>-7.038589903797482E-2</v>
      </c>
      <c r="AF257" s="5">
        <f t="shared" si="63"/>
        <v>-6.8828815580536051E-2</v>
      </c>
    </row>
    <row r="258" spans="1:32" x14ac:dyDescent="0.25">
      <c r="A258" s="2">
        <v>45140</v>
      </c>
      <c r="B258">
        <v>13399</v>
      </c>
      <c r="C258">
        <v>32966</v>
      </c>
      <c r="D258">
        <v>284554</v>
      </c>
      <c r="F258" s="5">
        <f t="shared" si="48"/>
        <v>0.4064490687374871</v>
      </c>
      <c r="G258" s="5">
        <f t="shared" si="49"/>
        <v>0.14010981539289072</v>
      </c>
      <c r="I258" s="2">
        <v>45140</v>
      </c>
      <c r="J258">
        <v>54833</v>
      </c>
      <c r="K258">
        <v>87115</v>
      </c>
      <c r="M258" s="5">
        <f t="shared" si="50"/>
        <v>0.82322688891725782</v>
      </c>
      <c r="N258" s="5">
        <f t="shared" si="51"/>
        <v>0.25998954559757831</v>
      </c>
      <c r="S258" s="5">
        <f t="shared" si="52"/>
        <v>-1.2899878871906911E-2</v>
      </c>
      <c r="T258" s="5">
        <f t="shared" si="53"/>
        <v>-6.8128686542269223E-3</v>
      </c>
      <c r="U258" s="5">
        <f t="shared" si="54"/>
        <v>7.5938377328594875E-3</v>
      </c>
      <c r="V258" s="5">
        <f t="shared" si="55"/>
        <v>1.9513490902822284E-2</v>
      </c>
      <c r="W258" s="5">
        <f t="shared" si="56"/>
        <v>-1.6660482941665333E-2</v>
      </c>
      <c r="X258" s="5">
        <f t="shared" si="57"/>
        <v>-5.7920012502927887E-2</v>
      </c>
      <c r="AA258" s="5">
        <f t="shared" si="58"/>
        <v>-2.9862697905957136E-2</v>
      </c>
      <c r="AB258" s="5">
        <f t="shared" si="59"/>
        <v>-5.6425909578475458E-2</v>
      </c>
      <c r="AC258" s="5">
        <f t="shared" si="60"/>
        <v>-6.8486125580291962E-2</v>
      </c>
      <c r="AD258" s="5">
        <f t="shared" si="61"/>
        <v>-0.18132867605184122</v>
      </c>
      <c r="AE258" s="5">
        <f t="shared" si="62"/>
        <v>-6.6740360860936487E-2</v>
      </c>
      <c r="AF258" s="5">
        <f t="shared" si="63"/>
        <v>-6.7654561996528972E-2</v>
      </c>
    </row>
    <row r="259" spans="1:32" x14ac:dyDescent="0.25">
      <c r="A259" s="2">
        <v>45139</v>
      </c>
      <c r="B259">
        <v>13399</v>
      </c>
      <c r="C259">
        <v>31341</v>
      </c>
      <c r="D259">
        <v>282469</v>
      </c>
      <c r="F259" s="5">
        <f t="shared" ref="F259:F322" si="64">IFERROR(B259/C259,"")</f>
        <v>0.42752305287004244</v>
      </c>
      <c r="G259" s="5">
        <f t="shared" ref="G259:G322" si="65">IFERROR(SUM(B259:C259)/SUM(B259:D259),"")</f>
        <v>0.1367321803495625</v>
      </c>
      <c r="I259" s="2">
        <v>45139</v>
      </c>
      <c r="J259">
        <v>54333</v>
      </c>
      <c r="K259">
        <v>86345</v>
      </c>
      <c r="M259" s="5">
        <f t="shared" ref="M259:M322" si="66">IFERROR(I259/J259,"")</f>
        <v>0.83078423794011003</v>
      </c>
      <c r="N259" s="5">
        <f t="shared" ref="N259:N322" si="67">IFERROR(SUM(I259:J259)/SUM(I259:J259,D259),"")</f>
        <v>0.26043813049659503</v>
      </c>
      <c r="S259" s="5">
        <f t="shared" ref="S259:S322" si="68">IFERROR(AVERAGEA(N259:N279)-AVERAGE(N280:N300),"")</f>
        <v>-1.2667978674411828E-2</v>
      </c>
      <c r="T259" s="5">
        <f t="shared" ref="T259:T322" si="69">IFERROR(AVERAGEA(N259:N279)-AVERAGE(N280:N335),"")</f>
        <v>-6.0880255735003552E-3</v>
      </c>
      <c r="U259" s="5">
        <f t="shared" ref="U259:U322" si="70">IFERROR(AVERAGEA(N259:N279)-AVERAGE(N280:N392),"")</f>
        <v>8.4027726494403931E-3</v>
      </c>
      <c r="V259" s="5">
        <f t="shared" ref="V259:V322" si="71">IFERROR(AVERAGEA(M259:M279)-AVERAGE(M280:M300),"")</f>
        <v>2.3595090432153465E-2</v>
      </c>
      <c r="W259" s="5">
        <f t="shared" ref="W259:W322" si="72">IFERROR(AVERAGEA(M259:M279)-AVERAGE(M280:M335),"")</f>
        <v>-1.5899674239470252E-2</v>
      </c>
      <c r="X259" s="5">
        <f t="shared" ref="X259:X322" si="73">IFERROR(AVERAGEA(M259:M279)-AVERAGE(M280:M392),"")</f>
        <v>-5.8078331396844596E-2</v>
      </c>
      <c r="AA259" s="5">
        <f t="shared" ref="AA259:AA322" si="74">IFERROR(AVERAGEA(G259:G279)-AVERAGE(G280:G300),"")</f>
        <v>-3.4782410870789732E-2</v>
      </c>
      <c r="AB259" s="5">
        <f t="shared" ref="AB259:AB322" si="75">IFERROR(AVERAGEA(G259:G279)-AVERAGE(G280:G335),"")</f>
        <v>-5.8560182163106211E-2</v>
      </c>
      <c r="AC259" s="5">
        <f t="shared" ref="AC259:AC322" si="76">IFERROR(AVERAGEA(G259:G279)-AVERAGE(G280:G392),"")</f>
        <v>-7.0109377493085739E-2</v>
      </c>
      <c r="AD259" s="5">
        <f t="shared" ref="AD259:AD322" si="77">IFERROR(AVERAGEA(F259:F279)-AVERAGE(F280:F300),"")</f>
        <v>-0.18314535948295269</v>
      </c>
      <c r="AE259" s="5">
        <f t="shared" ref="AE259:AE322" si="78">IFERROR(AVERAGEA(F259:F279)-AVERAGE(F280:F335),"")</f>
        <v>-6.2736177247502745E-2</v>
      </c>
      <c r="AF259" s="5">
        <f t="shared" ref="AF259:AF322" si="79">IFERROR(AVERAGEA(F259:F279)-AVERAGE(F280:F392),"")</f>
        <v>-6.6002689616213084E-2</v>
      </c>
    </row>
    <row r="260" spans="1:32" x14ac:dyDescent="0.25">
      <c r="A260" s="2">
        <v>45138</v>
      </c>
      <c r="B260">
        <v>13399</v>
      </c>
      <c r="C260">
        <v>31341</v>
      </c>
      <c r="D260">
        <v>282085</v>
      </c>
      <c r="F260" s="5">
        <f t="shared" si="64"/>
        <v>0.42752305287004244</v>
      </c>
      <c r="G260" s="5">
        <f t="shared" si="65"/>
        <v>0.13689283255564905</v>
      </c>
      <c r="I260" s="2">
        <v>45138</v>
      </c>
      <c r="J260">
        <v>53008</v>
      </c>
      <c r="K260">
        <v>85345</v>
      </c>
      <c r="M260" s="5">
        <f t="shared" si="66"/>
        <v>0.85153184424992456</v>
      </c>
      <c r="N260" s="5">
        <f t="shared" si="67"/>
        <v>0.25812203634106634</v>
      </c>
      <c r="S260" s="5">
        <f t="shared" si="68"/>
        <v>-1.2326323689885121E-2</v>
      </c>
      <c r="T260" s="5">
        <f t="shared" si="69"/>
        <v>-5.3240455890135596E-3</v>
      </c>
      <c r="U260" s="5">
        <f t="shared" si="70"/>
        <v>9.3091605803674593E-3</v>
      </c>
      <c r="V260" s="5">
        <f t="shared" si="71"/>
        <v>2.7266749041550131E-2</v>
      </c>
      <c r="W260" s="5">
        <f t="shared" si="72"/>
        <v>-1.5451343673306805E-2</v>
      </c>
      <c r="X260" s="5">
        <f t="shared" si="73"/>
        <v>-5.9453255367304725E-2</v>
      </c>
      <c r="AA260" s="5">
        <f t="shared" si="74"/>
        <v>-3.9428110868445665E-2</v>
      </c>
      <c r="AB260" s="5">
        <f t="shared" si="75"/>
        <v>-6.0468691890126408E-2</v>
      </c>
      <c r="AC260" s="5">
        <f t="shared" si="76"/>
        <v>-7.1361761973484428E-2</v>
      </c>
      <c r="AD260" s="5">
        <f t="shared" si="77"/>
        <v>-0.18557478832047664</v>
      </c>
      <c r="AE260" s="5">
        <f t="shared" si="78"/>
        <v>-5.9570069153162708E-2</v>
      </c>
      <c r="AF260" s="5">
        <f t="shared" si="79"/>
        <v>-6.5686927067332535E-2</v>
      </c>
    </row>
    <row r="261" spans="1:32" x14ac:dyDescent="0.25">
      <c r="A261" s="2">
        <v>45135</v>
      </c>
      <c r="B261">
        <v>13212</v>
      </c>
      <c r="C261">
        <v>31308</v>
      </c>
      <c r="D261">
        <v>280934</v>
      </c>
      <c r="F261" s="5">
        <f t="shared" si="64"/>
        <v>0.42200076657723268</v>
      </c>
      <c r="G261" s="5">
        <f t="shared" si="65"/>
        <v>0.13679352535227712</v>
      </c>
      <c r="I261" s="2">
        <v>45135</v>
      </c>
      <c r="J261">
        <v>53008</v>
      </c>
      <c r="K261">
        <v>83945</v>
      </c>
      <c r="M261" s="5">
        <f t="shared" si="66"/>
        <v>0.85147524901901595</v>
      </c>
      <c r="N261" s="5">
        <f t="shared" si="67"/>
        <v>0.25889990687907732</v>
      </c>
      <c r="S261" s="5">
        <f t="shared" si="68"/>
        <v>-1.1685446948284162E-2</v>
      </c>
      <c r="T261" s="5">
        <f t="shared" si="69"/>
        <v>-4.4046957550766819E-3</v>
      </c>
      <c r="U261" s="5">
        <f t="shared" si="70"/>
        <v>1.0404241151343085E-2</v>
      </c>
      <c r="V261" s="5">
        <f t="shared" si="71"/>
        <v>2.9153181975974385E-2</v>
      </c>
      <c r="W261" s="5">
        <f t="shared" si="72"/>
        <v>-1.5994361480135999E-2</v>
      </c>
      <c r="X261" s="5">
        <f t="shared" si="73"/>
        <v>-6.2258695270555497E-2</v>
      </c>
      <c r="AA261" s="5">
        <f t="shared" si="74"/>
        <v>-4.391571541914005E-2</v>
      </c>
      <c r="AB261" s="5">
        <f t="shared" si="75"/>
        <v>-6.2372858075944976E-2</v>
      </c>
      <c r="AC261" s="5">
        <f t="shared" si="76"/>
        <v>-7.2558210921463445E-2</v>
      </c>
      <c r="AD261" s="5">
        <f t="shared" si="77"/>
        <v>-0.1862854885360109</v>
      </c>
      <c r="AE261" s="5">
        <f t="shared" si="78"/>
        <v>-5.6356302392742696E-2</v>
      </c>
      <c r="AF261" s="5">
        <f t="shared" si="79"/>
        <v>-6.5064223149012501E-2</v>
      </c>
    </row>
    <row r="262" spans="1:32" x14ac:dyDescent="0.25">
      <c r="A262" s="2">
        <v>45134</v>
      </c>
      <c r="B262">
        <v>13838</v>
      </c>
      <c r="C262">
        <v>31008</v>
      </c>
      <c r="D262">
        <v>279040</v>
      </c>
      <c r="F262" s="5">
        <f t="shared" si="64"/>
        <v>0.44627192982456143</v>
      </c>
      <c r="G262" s="5">
        <f t="shared" si="65"/>
        <v>0.13846229846303945</v>
      </c>
      <c r="I262" s="2">
        <v>45134</v>
      </c>
      <c r="J262">
        <v>52608</v>
      </c>
      <c r="K262">
        <v>83910</v>
      </c>
      <c r="M262" s="5">
        <f t="shared" si="66"/>
        <v>0.85793035279805352</v>
      </c>
      <c r="N262" s="5">
        <f t="shared" si="67"/>
        <v>0.25941260463610255</v>
      </c>
      <c r="S262" s="5">
        <f t="shared" si="68"/>
        <v>-1.0608535455083667E-2</v>
      </c>
      <c r="T262" s="5">
        <f t="shared" si="69"/>
        <v>-3.5350391433567885E-3</v>
      </c>
      <c r="U262" s="5">
        <f t="shared" si="70"/>
        <v>1.1470576460608062E-2</v>
      </c>
      <c r="V262" s="5">
        <f t="shared" si="71"/>
        <v>2.7508681058383111E-2</v>
      </c>
      <c r="W262" s="5">
        <f t="shared" si="72"/>
        <v>-1.6482523462791887E-2</v>
      </c>
      <c r="X262" s="5">
        <f t="shared" si="73"/>
        <v>-6.5406700554388464E-2</v>
      </c>
      <c r="AA262" s="5">
        <f t="shared" si="74"/>
        <v>-5.15831506349895E-2</v>
      </c>
      <c r="AB262" s="5">
        <f t="shared" si="75"/>
        <v>-6.6293966111099362E-2</v>
      </c>
      <c r="AC262" s="5">
        <f t="shared" si="76"/>
        <v>-7.5614566867977795E-2</v>
      </c>
      <c r="AD262" s="5">
        <f t="shared" si="77"/>
        <v>-0.15679489839694588</v>
      </c>
      <c r="AE262" s="5">
        <f t="shared" si="78"/>
        <v>-3.2639346980900263E-2</v>
      </c>
      <c r="AF262" s="5">
        <f t="shared" si="79"/>
        <v>-4.6701028109573495E-2</v>
      </c>
    </row>
    <row r="263" spans="1:32" x14ac:dyDescent="0.25">
      <c r="A263" s="2">
        <v>45133</v>
      </c>
      <c r="B263">
        <v>13713</v>
      </c>
      <c r="C263">
        <v>30658</v>
      </c>
      <c r="D263">
        <v>273466</v>
      </c>
      <c r="F263" s="5">
        <f t="shared" si="64"/>
        <v>0.44728945136669057</v>
      </c>
      <c r="G263" s="5">
        <f t="shared" si="65"/>
        <v>0.13960300405553791</v>
      </c>
      <c r="I263" s="2">
        <v>45133</v>
      </c>
      <c r="J263">
        <v>52608</v>
      </c>
      <c r="K263">
        <v>76760</v>
      </c>
      <c r="M263" s="5">
        <f t="shared" si="66"/>
        <v>0.85791134428223847</v>
      </c>
      <c r="N263" s="5">
        <f t="shared" si="67"/>
        <v>0.26330591826123967</v>
      </c>
      <c r="S263" s="5">
        <f t="shared" si="68"/>
        <v>-9.562718780813273E-3</v>
      </c>
      <c r="T263" s="5">
        <f t="shared" si="69"/>
        <v>-2.6731015924543744E-3</v>
      </c>
      <c r="U263" s="5">
        <f t="shared" si="70"/>
        <v>1.249254508526354E-2</v>
      </c>
      <c r="V263" s="5">
        <f t="shared" si="71"/>
        <v>2.5324896884890813E-2</v>
      </c>
      <c r="W263" s="5">
        <f t="shared" si="72"/>
        <v>-1.7437795734321138E-2</v>
      </c>
      <c r="X263" s="5">
        <f t="shared" si="73"/>
        <v>-6.8999609335350098E-2</v>
      </c>
      <c r="AA263" s="5">
        <f t="shared" si="74"/>
        <v>-5.9345885920515581E-2</v>
      </c>
      <c r="AB263" s="5">
        <f t="shared" si="75"/>
        <v>-7.0176066454394406E-2</v>
      </c>
      <c r="AC263" s="5">
        <f t="shared" si="76"/>
        <v>-7.8771882292095849E-2</v>
      </c>
      <c r="AD263" s="5">
        <f t="shared" si="77"/>
        <v>-0.12833709896382584</v>
      </c>
      <c r="AE263" s="5">
        <f t="shared" si="78"/>
        <v>-1.0356752303175953E-2</v>
      </c>
      <c r="AF263" s="5">
        <f t="shared" si="79"/>
        <v>-2.9670617700350843E-2</v>
      </c>
    </row>
    <row r="264" spans="1:32" x14ac:dyDescent="0.25">
      <c r="A264" s="2">
        <v>45132</v>
      </c>
      <c r="B264">
        <v>13238</v>
      </c>
      <c r="C264">
        <v>29958</v>
      </c>
      <c r="D264">
        <v>272188</v>
      </c>
      <c r="F264" s="5">
        <f t="shared" si="64"/>
        <v>0.44188530609519994</v>
      </c>
      <c r="G264" s="5">
        <f t="shared" si="65"/>
        <v>0.13696319407452504</v>
      </c>
      <c r="I264" s="2">
        <v>45132</v>
      </c>
      <c r="J264">
        <v>52758</v>
      </c>
      <c r="K264">
        <v>74435</v>
      </c>
      <c r="M264" s="5">
        <f t="shared" si="66"/>
        <v>0.85545320141021264</v>
      </c>
      <c r="N264" s="5">
        <f t="shared" si="67"/>
        <v>0.26451180561935594</v>
      </c>
      <c r="S264" s="5">
        <f t="shared" si="68"/>
        <v>-8.5588533638318864E-3</v>
      </c>
      <c r="T264" s="5">
        <f t="shared" si="69"/>
        <v>-1.8615662377879927E-3</v>
      </c>
      <c r="U264" s="5">
        <f t="shared" si="70"/>
        <v>1.347045977795025E-2</v>
      </c>
      <c r="V264" s="5">
        <f t="shared" si="71"/>
        <v>2.3141161151992495E-2</v>
      </c>
      <c r="W264" s="5">
        <f t="shared" si="72"/>
        <v>-1.8393046796614798E-2</v>
      </c>
      <c r="X264" s="5">
        <f t="shared" si="73"/>
        <v>-7.278300751605471E-2</v>
      </c>
      <c r="AA264" s="5">
        <f t="shared" si="74"/>
        <v>-6.716886508807704E-2</v>
      </c>
      <c r="AB264" s="5">
        <f t="shared" si="75"/>
        <v>-7.4085159926847305E-2</v>
      </c>
      <c r="AC264" s="5">
        <f t="shared" si="76"/>
        <v>-8.1850473725693401E-2</v>
      </c>
      <c r="AD264" s="5">
        <f t="shared" si="77"/>
        <v>-0.10060763654140065</v>
      </c>
      <c r="AE264" s="5">
        <f t="shared" si="78"/>
        <v>1.1409968990080732E-2</v>
      </c>
      <c r="AF264" s="5">
        <f t="shared" si="79"/>
        <v>-1.3591735443467867E-2</v>
      </c>
    </row>
    <row r="265" spans="1:32" x14ac:dyDescent="0.25">
      <c r="A265" s="2">
        <v>45131</v>
      </c>
      <c r="B265">
        <v>12913</v>
      </c>
      <c r="C265">
        <v>27158</v>
      </c>
      <c r="D265">
        <v>268869</v>
      </c>
      <c r="F265" s="5">
        <f t="shared" si="64"/>
        <v>0.47547683923705725</v>
      </c>
      <c r="G265" s="5">
        <f t="shared" si="65"/>
        <v>0.12970479704797047</v>
      </c>
      <c r="I265" s="2">
        <v>45131</v>
      </c>
      <c r="J265">
        <v>52758</v>
      </c>
      <c r="K265">
        <v>74460</v>
      </c>
      <c r="M265" s="5">
        <f t="shared" si="66"/>
        <v>0.85543424693885284</v>
      </c>
      <c r="N265" s="5">
        <f t="shared" si="67"/>
        <v>0.26690351676037061</v>
      </c>
      <c r="S265" s="5">
        <f t="shared" si="68"/>
        <v>-7.7095851100097978E-3</v>
      </c>
      <c r="T265" s="5">
        <f t="shared" si="69"/>
        <v>9.6882438682721617E-4</v>
      </c>
      <c r="U265" s="5">
        <f t="shared" si="70"/>
        <v>1.4324932406402258E-2</v>
      </c>
      <c r="V265" s="5">
        <f t="shared" si="71"/>
        <v>2.1075511298397798E-2</v>
      </c>
      <c r="W265" s="5">
        <f t="shared" si="72"/>
        <v>-1.8861486179528764E-2</v>
      </c>
      <c r="X265" s="5">
        <f t="shared" si="73"/>
        <v>-7.6373156965444777E-2</v>
      </c>
      <c r="AA265" s="5">
        <f t="shared" si="74"/>
        <v>-7.4978927444529941E-2</v>
      </c>
      <c r="AB265" s="5">
        <f t="shared" si="75"/>
        <v>-7.773301953474146E-2</v>
      </c>
      <c r="AC265" s="5">
        <f t="shared" si="76"/>
        <v>-8.4601179301377782E-2</v>
      </c>
      <c r="AD265" s="5">
        <f t="shared" si="77"/>
        <v>-7.2406598972175051E-2</v>
      </c>
      <c r="AE265" s="5">
        <f t="shared" si="78"/>
        <v>3.254538716136246E-2</v>
      </c>
      <c r="AF265" s="5">
        <f t="shared" si="79"/>
        <v>3.0838893311700977E-3</v>
      </c>
    </row>
    <row r="266" spans="1:32" x14ac:dyDescent="0.25">
      <c r="A266" s="2">
        <v>45128</v>
      </c>
      <c r="B266">
        <v>12913</v>
      </c>
      <c r="C266">
        <v>27158</v>
      </c>
      <c r="D266">
        <v>267524</v>
      </c>
      <c r="F266" s="5">
        <f t="shared" si="64"/>
        <v>0.47547683923705725</v>
      </c>
      <c r="G266" s="5">
        <f t="shared" si="65"/>
        <v>0.13027194850371429</v>
      </c>
      <c r="I266" s="2">
        <v>45128</v>
      </c>
      <c r="J266">
        <v>52758</v>
      </c>
      <c r="K266">
        <v>74460</v>
      </c>
      <c r="M266" s="5">
        <f t="shared" si="66"/>
        <v>0.85537738352477355</v>
      </c>
      <c r="N266" s="5">
        <f t="shared" si="67"/>
        <v>0.26787991571111902</v>
      </c>
      <c r="S266" s="5">
        <f t="shared" si="68"/>
        <v>-6.98674585753567E-3</v>
      </c>
      <c r="T266" s="5">
        <f t="shared" si="69"/>
        <v>1.5600312745825407E-3</v>
      </c>
      <c r="U266" s="5">
        <f t="shared" si="70"/>
        <v>1.5145890255800931E-2</v>
      </c>
      <c r="V266" s="5">
        <f t="shared" si="71"/>
        <v>1.9392053647476093E-2</v>
      </c>
      <c r="W266" s="5">
        <f t="shared" si="72"/>
        <v>-1.9336903633096258E-2</v>
      </c>
      <c r="X266" s="5">
        <f t="shared" si="73"/>
        <v>-8.0522662358589958E-2</v>
      </c>
      <c r="AA266" s="5">
        <f t="shared" si="74"/>
        <v>-8.2309226638947658E-2</v>
      </c>
      <c r="AB266" s="5">
        <f t="shared" si="75"/>
        <v>-8.085477791423834E-2</v>
      </c>
      <c r="AC266" s="5">
        <f t="shared" si="76"/>
        <v>-8.6844424951628363E-2</v>
      </c>
      <c r="AD266" s="5">
        <f t="shared" si="77"/>
        <v>-4.5307571866873952E-2</v>
      </c>
      <c r="AE266" s="5">
        <f t="shared" si="78"/>
        <v>5.1613676041504408E-2</v>
      </c>
      <c r="AF266" s="5">
        <f t="shared" si="79"/>
        <v>1.7611932107135964E-2</v>
      </c>
    </row>
    <row r="267" spans="1:32" x14ac:dyDescent="0.25">
      <c r="A267" s="2">
        <v>45127</v>
      </c>
      <c r="B267">
        <v>13013</v>
      </c>
      <c r="C267">
        <v>26533</v>
      </c>
      <c r="D267">
        <v>267109</v>
      </c>
      <c r="F267" s="5">
        <f t="shared" si="64"/>
        <v>0.49044585987261147</v>
      </c>
      <c r="G267" s="5">
        <f t="shared" si="65"/>
        <v>0.12895925388465865</v>
      </c>
      <c r="I267" s="2">
        <v>45127</v>
      </c>
      <c r="J267">
        <v>52558</v>
      </c>
      <c r="K267">
        <v>74460</v>
      </c>
      <c r="M267" s="5">
        <f t="shared" si="66"/>
        <v>0.85861334145134893</v>
      </c>
      <c r="N267" s="5">
        <f t="shared" si="67"/>
        <v>0.26778126833226423</v>
      </c>
      <c r="S267" s="5">
        <f t="shared" si="68"/>
        <v>-6.388542383166107E-3</v>
      </c>
      <c r="T267" s="5">
        <f t="shared" si="69"/>
        <v>2.0976551924592468E-3</v>
      </c>
      <c r="U267" s="5">
        <f t="shared" si="70"/>
        <v>1.5924111874971336E-2</v>
      </c>
      <c r="V267" s="5">
        <f t="shared" si="71"/>
        <v>1.7710438498181436E-2</v>
      </c>
      <c r="W267" s="5">
        <f t="shared" si="72"/>
        <v>-1.9914343298217063E-2</v>
      </c>
      <c r="X267" s="5">
        <f t="shared" si="73"/>
        <v>-8.4902814966690943E-2</v>
      </c>
      <c r="AA267" s="5">
        <f t="shared" si="74"/>
        <v>-9.0099774554153772E-2</v>
      </c>
      <c r="AB267" s="5">
        <f t="shared" si="75"/>
        <v>-8.4243497785529364E-2</v>
      </c>
      <c r="AC267" s="5">
        <f t="shared" si="76"/>
        <v>-8.9344888876797646E-2</v>
      </c>
      <c r="AD267" s="5">
        <f t="shared" si="77"/>
        <v>-1.4286416474019847E-2</v>
      </c>
      <c r="AE267" s="5">
        <f t="shared" si="78"/>
        <v>7.3132162938661982E-2</v>
      </c>
      <c r="AF267" s="5">
        <f t="shared" si="79"/>
        <v>3.4172820372634805E-2</v>
      </c>
    </row>
    <row r="268" spans="1:32" x14ac:dyDescent="0.25">
      <c r="A268" s="2">
        <v>45126</v>
      </c>
      <c r="B268">
        <v>13013</v>
      </c>
      <c r="C268">
        <v>26883</v>
      </c>
      <c r="D268">
        <v>267249</v>
      </c>
      <c r="F268" s="5">
        <f t="shared" si="64"/>
        <v>0.48406055871740505</v>
      </c>
      <c r="G268" s="5">
        <f t="shared" si="65"/>
        <v>0.12989304725780984</v>
      </c>
      <c r="I268" s="2">
        <v>45126</v>
      </c>
      <c r="J268">
        <v>52371</v>
      </c>
      <c r="K268">
        <v>74460</v>
      </c>
      <c r="M268" s="5">
        <f t="shared" si="66"/>
        <v>0.86166007905138342</v>
      </c>
      <c r="N268" s="5">
        <f t="shared" si="67"/>
        <v>0.26730108075208503</v>
      </c>
      <c r="S268" s="5">
        <f t="shared" si="68"/>
        <v>-5.6164668130116446E-3</v>
      </c>
      <c r="T268" s="5">
        <f t="shared" si="69"/>
        <v>2.7685889145955822E-3</v>
      </c>
      <c r="U268" s="5">
        <f t="shared" si="70"/>
        <v>1.6847019271089891E-2</v>
      </c>
      <c r="V268" s="5">
        <f t="shared" si="71"/>
        <v>1.5641987867553109E-2</v>
      </c>
      <c r="W268" s="5">
        <f t="shared" si="72"/>
        <v>-2.0806971849413824E-2</v>
      </c>
      <c r="X268" s="5">
        <f t="shared" si="73"/>
        <v>-9.0068520614003056E-2</v>
      </c>
      <c r="AA268" s="5">
        <f t="shared" si="74"/>
        <v>-8.6533127148126693E-2</v>
      </c>
      <c r="AB268" s="5">
        <f t="shared" si="75"/>
        <v>-7.9823804039220375E-2</v>
      </c>
      <c r="AC268" s="5">
        <f t="shared" si="76"/>
        <v>-8.5063161261077797E-2</v>
      </c>
      <c r="AD268" s="5">
        <f t="shared" si="77"/>
        <v>-3.1961340055653986E-3</v>
      </c>
      <c r="AE268" s="5">
        <f t="shared" si="78"/>
        <v>8.0849302548209656E-2</v>
      </c>
      <c r="AF268" s="5">
        <f t="shared" si="79"/>
        <v>3.8607777765238549E-2</v>
      </c>
    </row>
    <row r="269" spans="1:32" x14ac:dyDescent="0.25">
      <c r="A269" s="2">
        <v>45125</v>
      </c>
      <c r="B269">
        <v>12913</v>
      </c>
      <c r="C269">
        <v>26783</v>
      </c>
      <c r="D269">
        <v>265208</v>
      </c>
      <c r="F269" s="5">
        <f t="shared" si="64"/>
        <v>0.48213418959787924</v>
      </c>
      <c r="G269" s="5">
        <f t="shared" si="65"/>
        <v>0.13019179807414794</v>
      </c>
      <c r="I269" s="2">
        <v>45125</v>
      </c>
      <c r="J269">
        <v>52271</v>
      </c>
      <c r="K269">
        <v>74310</v>
      </c>
      <c r="M269" s="5">
        <f t="shared" si="66"/>
        <v>0.86328939564959539</v>
      </c>
      <c r="N269" s="5">
        <f t="shared" si="67"/>
        <v>0.26860155982835271</v>
      </c>
      <c r="S269" s="5">
        <f t="shared" si="68"/>
        <v>-4.4851579467058977E-3</v>
      </c>
      <c r="T269" s="5">
        <f t="shared" si="69"/>
        <v>3.7280560731594026E-3</v>
      </c>
      <c r="U269" s="5">
        <f t="shared" si="70"/>
        <v>1.8005010844588498E-2</v>
      </c>
      <c r="V269" s="5">
        <f t="shared" si="71"/>
        <v>1.3151081753948635E-2</v>
      </c>
      <c r="W269" s="5">
        <f t="shared" si="72"/>
        <v>-2.2036614408555866E-2</v>
      </c>
      <c r="X269" s="5">
        <f t="shared" si="73"/>
        <v>-9.5544279440775037E-2</v>
      </c>
      <c r="AA269" s="5">
        <f t="shared" si="74"/>
        <v>-8.2560367188971154E-2</v>
      </c>
      <c r="AB269" s="5">
        <f t="shared" si="75"/>
        <v>-7.5096892209859864E-2</v>
      </c>
      <c r="AC269" s="5">
        <f t="shared" si="76"/>
        <v>-8.0544175917163827E-2</v>
      </c>
      <c r="AD269" s="5">
        <f t="shared" si="77"/>
        <v>8.4094298758661257E-3</v>
      </c>
      <c r="AE269" s="5">
        <f t="shared" si="78"/>
        <v>8.9120088965349564E-2</v>
      </c>
      <c r="AF269" s="5">
        <f t="shared" si="79"/>
        <v>4.3435836599064692E-2</v>
      </c>
    </row>
    <row r="270" spans="1:32" x14ac:dyDescent="0.25">
      <c r="A270" s="2">
        <v>45124</v>
      </c>
      <c r="B270">
        <v>12913</v>
      </c>
      <c r="C270">
        <v>26758</v>
      </c>
      <c r="D270">
        <v>264630</v>
      </c>
      <c r="F270" s="5">
        <f t="shared" si="64"/>
        <v>0.48258464758203157</v>
      </c>
      <c r="G270" s="5">
        <f t="shared" si="65"/>
        <v>0.13036762941955499</v>
      </c>
      <c r="I270" s="2">
        <v>45124</v>
      </c>
      <c r="J270">
        <v>52321</v>
      </c>
      <c r="K270">
        <v>74560</v>
      </c>
      <c r="M270" s="5">
        <f t="shared" si="66"/>
        <v>0.86244528965424971</v>
      </c>
      <c r="N270" s="5">
        <f t="shared" si="67"/>
        <v>0.26912932403507561</v>
      </c>
      <c r="S270" s="5">
        <f t="shared" si="68"/>
        <v>-3.3119044144251375E-3</v>
      </c>
      <c r="T270" s="5">
        <f t="shared" si="69"/>
        <v>4.7442116781276633E-3</v>
      </c>
      <c r="U270" s="5">
        <f t="shared" si="70"/>
        <v>1.9215117693752559E-2</v>
      </c>
      <c r="V270" s="5">
        <f t="shared" si="71"/>
        <v>9.0573213778837314E-3</v>
      </c>
      <c r="W270" s="5">
        <f t="shared" si="72"/>
        <v>-2.4446251355343285E-2</v>
      </c>
      <c r="X270" s="5">
        <f t="shared" si="73"/>
        <v>-0.10234912029341814</v>
      </c>
      <c r="AA270" s="5">
        <f t="shared" si="74"/>
        <v>-7.8667634460197672E-2</v>
      </c>
      <c r="AB270" s="5">
        <f t="shared" si="75"/>
        <v>-7.0325915675246653E-2</v>
      </c>
      <c r="AC270" s="5">
        <f t="shared" si="76"/>
        <v>-7.6020521084401826E-2</v>
      </c>
      <c r="AD270" s="5">
        <f t="shared" si="77"/>
        <v>2.0886156400191092E-2</v>
      </c>
      <c r="AE270" s="5">
        <f t="shared" si="78"/>
        <v>9.7908624885667428E-2</v>
      </c>
      <c r="AF270" s="5">
        <f t="shared" si="79"/>
        <v>4.8444482845547698E-2</v>
      </c>
    </row>
    <row r="271" spans="1:32" x14ac:dyDescent="0.25">
      <c r="A271" s="2">
        <v>45121</v>
      </c>
      <c r="B271">
        <v>11963</v>
      </c>
      <c r="C271">
        <v>27383</v>
      </c>
      <c r="D271">
        <v>263361</v>
      </c>
      <c r="F271" s="5">
        <f t="shared" si="64"/>
        <v>0.43687689442354743</v>
      </c>
      <c r="G271" s="5">
        <f t="shared" si="65"/>
        <v>0.12998047617002581</v>
      </c>
      <c r="I271" s="2">
        <v>45121</v>
      </c>
      <c r="J271">
        <v>52996</v>
      </c>
      <c r="K271">
        <v>74860</v>
      </c>
      <c r="M271" s="5">
        <f t="shared" si="66"/>
        <v>0.85140387953807839</v>
      </c>
      <c r="N271" s="5">
        <f t="shared" si="67"/>
        <v>0.27143283961956188</v>
      </c>
      <c r="S271" s="5">
        <f t="shared" si="68"/>
        <v>-1.9547345566282015E-3</v>
      </c>
      <c r="T271" s="5">
        <f t="shared" si="69"/>
        <v>5.9044753579426401E-3</v>
      </c>
      <c r="U271" s="5">
        <f t="shared" si="70"/>
        <v>2.0583200966033721E-2</v>
      </c>
      <c r="V271" s="5">
        <f t="shared" si="71"/>
        <v>4.4303909660357021E-3</v>
      </c>
      <c r="W271" s="5">
        <f t="shared" si="72"/>
        <v>-2.7637500281937344E-2</v>
      </c>
      <c r="X271" s="5">
        <f t="shared" si="73"/>
        <v>-0.11050062845119457</v>
      </c>
      <c r="AA271" s="5">
        <f t="shared" si="74"/>
        <v>-7.463823380423204E-2</v>
      </c>
      <c r="AB271" s="5">
        <f t="shared" si="75"/>
        <v>-6.5414758985999577E-2</v>
      </c>
      <c r="AC271" s="5">
        <f t="shared" si="76"/>
        <v>-7.1449549088270503E-2</v>
      </c>
      <c r="AD271" s="5">
        <f t="shared" si="77"/>
        <v>3.3383637346018569E-2</v>
      </c>
      <c r="AE271" s="5">
        <f t="shared" si="78"/>
        <v>0.1066750403606182</v>
      </c>
      <c r="AF271" s="5">
        <f t="shared" si="79"/>
        <v>5.3640482409655965E-2</v>
      </c>
    </row>
    <row r="272" spans="1:32" x14ac:dyDescent="0.25">
      <c r="A272" s="2">
        <v>45120</v>
      </c>
      <c r="B272">
        <v>11963</v>
      </c>
      <c r="C272">
        <v>28633</v>
      </c>
      <c r="D272">
        <v>262685</v>
      </c>
      <c r="F272" s="5">
        <f t="shared" si="64"/>
        <v>0.41780463102015158</v>
      </c>
      <c r="G272" s="5">
        <f t="shared" si="65"/>
        <v>0.13385606088083329</v>
      </c>
      <c r="I272" s="2">
        <v>45120</v>
      </c>
      <c r="J272">
        <v>52996</v>
      </c>
      <c r="K272">
        <v>75160</v>
      </c>
      <c r="M272" s="5">
        <f t="shared" si="66"/>
        <v>0.85138501018944823</v>
      </c>
      <c r="N272" s="5">
        <f t="shared" si="67"/>
        <v>0.27193937932544532</v>
      </c>
      <c r="S272" s="5">
        <f t="shared" si="68"/>
        <v>-3.8609489068480718E-4</v>
      </c>
      <c r="T272" s="5">
        <f t="shared" si="69"/>
        <v>7.1904617375951885E-3</v>
      </c>
      <c r="U272" s="5">
        <f t="shared" si="70"/>
        <v>2.2036256024009215E-2</v>
      </c>
      <c r="V272" s="5">
        <f t="shared" si="71"/>
        <v>-8.2361327327018508E-4</v>
      </c>
      <c r="W272" s="5">
        <f t="shared" si="72"/>
        <v>-3.1099767375264653E-2</v>
      </c>
      <c r="X272" s="5">
        <f t="shared" si="73"/>
        <v>-0.11885700617862771</v>
      </c>
      <c r="AA272" s="5">
        <f t="shared" si="74"/>
        <v>-7.0930299978020833E-2</v>
      </c>
      <c r="AB272" s="5">
        <f t="shared" si="75"/>
        <v>-6.055883446150373E-2</v>
      </c>
      <c r="AC272" s="5">
        <f t="shared" si="76"/>
        <v>-6.6929531744271575E-2</v>
      </c>
      <c r="AD272" s="5">
        <f t="shared" si="77"/>
        <v>4.9979267622108137E-2</v>
      </c>
      <c r="AE272" s="5">
        <f t="shared" si="78"/>
        <v>0.11969484719847107</v>
      </c>
      <c r="AF272" s="5">
        <f t="shared" si="79"/>
        <v>6.1434437864134495E-2</v>
      </c>
    </row>
    <row r="273" spans="1:32" x14ac:dyDescent="0.25">
      <c r="A273" s="2">
        <v>45119</v>
      </c>
      <c r="B273">
        <v>11712</v>
      </c>
      <c r="C273">
        <v>29058</v>
      </c>
      <c r="D273">
        <v>261209</v>
      </c>
      <c r="F273" s="5">
        <f t="shared" si="64"/>
        <v>0.40305595705141439</v>
      </c>
      <c r="G273" s="5">
        <f t="shared" si="65"/>
        <v>0.13500938807003135</v>
      </c>
      <c r="I273" s="2">
        <v>45119</v>
      </c>
      <c r="J273">
        <v>53461</v>
      </c>
      <c r="K273">
        <v>75360</v>
      </c>
      <c r="M273" s="5">
        <f t="shared" si="66"/>
        <v>0.84396101831241466</v>
      </c>
      <c r="N273" s="5">
        <f t="shared" si="67"/>
        <v>0.27399392421669366</v>
      </c>
      <c r="S273" s="5">
        <f t="shared" si="68"/>
        <v>1.1309081326117965E-3</v>
      </c>
      <c r="T273" s="5">
        <f t="shared" si="69"/>
        <v>8.4417524555286394E-3</v>
      </c>
      <c r="U273" s="5">
        <f t="shared" si="70"/>
        <v>2.339403088243236E-2</v>
      </c>
      <c r="V273" s="5">
        <f t="shared" si="71"/>
        <v>-6.2802565796034049E-3</v>
      </c>
      <c r="W273" s="5">
        <f t="shared" si="72"/>
        <v>-3.4266237301502134E-2</v>
      </c>
      <c r="X273" s="5">
        <f t="shared" si="73"/>
        <v>-0.12726111758058067</v>
      </c>
      <c r="AA273" s="5">
        <f t="shared" si="74"/>
        <v>-6.7328313422299779E-2</v>
      </c>
      <c r="AB273" s="5">
        <f t="shared" si="75"/>
        <v>-5.581186825861395E-2</v>
      </c>
      <c r="AC273" s="5">
        <f t="shared" si="76"/>
        <v>-6.260997787311981E-2</v>
      </c>
      <c r="AD273" s="5">
        <f t="shared" si="77"/>
        <v>6.5498031006153479E-2</v>
      </c>
      <c r="AE273" s="5">
        <f t="shared" si="78"/>
        <v>0.1334386362110021</v>
      </c>
      <c r="AF273" s="5">
        <f t="shared" si="79"/>
        <v>6.9794323942939607E-2</v>
      </c>
    </row>
    <row r="274" spans="1:32" x14ac:dyDescent="0.25">
      <c r="A274" s="2">
        <v>45118</v>
      </c>
      <c r="B274">
        <v>11612</v>
      </c>
      <c r="C274">
        <v>28558</v>
      </c>
      <c r="D274">
        <v>258565</v>
      </c>
      <c r="F274" s="5">
        <f t="shared" si="64"/>
        <v>0.40661110722039356</v>
      </c>
      <c r="G274" s="5">
        <f t="shared" si="65"/>
        <v>0.13446700252732355</v>
      </c>
      <c r="I274" s="2">
        <v>45118</v>
      </c>
      <c r="J274">
        <v>53486</v>
      </c>
      <c r="K274">
        <v>73385</v>
      </c>
      <c r="M274" s="5">
        <f t="shared" si="66"/>
        <v>0.84354784429570351</v>
      </c>
      <c r="N274" s="5">
        <f t="shared" si="67"/>
        <v>0.27607099160341464</v>
      </c>
      <c r="S274" s="5">
        <f t="shared" si="68"/>
        <v>2.5456237674911231E-3</v>
      </c>
      <c r="T274" s="5">
        <f t="shared" si="69"/>
        <v>9.5729526929094755E-3</v>
      </c>
      <c r="U274" s="5">
        <f t="shared" si="70"/>
        <v>2.4642456177326744E-2</v>
      </c>
      <c r="V274" s="5">
        <f t="shared" si="71"/>
        <v>-1.201451378266416E-2</v>
      </c>
      <c r="W274" s="5">
        <f t="shared" si="72"/>
        <v>-3.7263973532978723E-2</v>
      </c>
      <c r="X274" s="5">
        <f t="shared" si="73"/>
        <v>-0.13555651289841708</v>
      </c>
      <c r="AA274" s="5">
        <f t="shared" si="74"/>
        <v>-6.3614893054160293E-2</v>
      </c>
      <c r="AB274" s="5">
        <f t="shared" si="75"/>
        <v>-5.1017430620195564E-2</v>
      </c>
      <c r="AC274" s="5">
        <f t="shared" si="76"/>
        <v>-5.8113627621195429E-2</v>
      </c>
      <c r="AD274" s="5">
        <f t="shared" si="77"/>
        <v>8.2100439992220997E-2</v>
      </c>
      <c r="AE274" s="5">
        <f t="shared" si="78"/>
        <v>0.14816513332493614</v>
      </c>
      <c r="AF274" s="5">
        <f t="shared" si="79"/>
        <v>7.8139205632110464E-2</v>
      </c>
    </row>
    <row r="275" spans="1:32" x14ac:dyDescent="0.25">
      <c r="A275" s="2">
        <v>45117</v>
      </c>
      <c r="B275">
        <v>10712</v>
      </c>
      <c r="C275">
        <v>27383</v>
      </c>
      <c r="D275">
        <v>258266</v>
      </c>
      <c r="F275" s="5">
        <f t="shared" si="64"/>
        <v>0.39119161523573021</v>
      </c>
      <c r="G275" s="5">
        <f t="shared" si="65"/>
        <v>0.12854255451965677</v>
      </c>
      <c r="I275" s="2">
        <v>45117</v>
      </c>
      <c r="J275">
        <v>53486</v>
      </c>
      <c r="K275">
        <v>73385</v>
      </c>
      <c r="M275" s="5">
        <f t="shared" si="66"/>
        <v>0.84352914781438137</v>
      </c>
      <c r="N275" s="5">
        <f t="shared" si="67"/>
        <v>0.27630026704476995</v>
      </c>
      <c r="S275" s="5">
        <f t="shared" si="68"/>
        <v>3.8100568997799233E-3</v>
      </c>
      <c r="T275" s="5">
        <f t="shared" si="69"/>
        <v>1.0690374782597545E-2</v>
      </c>
      <c r="U275" s="5">
        <f t="shared" si="70"/>
        <v>2.5460208353194957E-2</v>
      </c>
      <c r="V275" s="5">
        <f t="shared" si="71"/>
        <v>-1.882253641452869E-2</v>
      </c>
      <c r="W275" s="5">
        <f t="shared" si="72"/>
        <v>-4.0998392736531941E-2</v>
      </c>
      <c r="X275" s="5">
        <f t="shared" si="73"/>
        <v>-0.13929774715651055</v>
      </c>
      <c r="AA275" s="5">
        <f t="shared" si="74"/>
        <v>-6.0077978958298944E-2</v>
      </c>
      <c r="AB275" s="5">
        <f t="shared" si="75"/>
        <v>-4.594417646006127E-2</v>
      </c>
      <c r="AC275" s="5">
        <f t="shared" si="76"/>
        <v>-5.4405307865154129E-2</v>
      </c>
      <c r="AD275" s="5">
        <f t="shared" si="77"/>
        <v>9.9537850876884937E-2</v>
      </c>
      <c r="AE275" s="5">
        <f t="shared" si="78"/>
        <v>0.16315062670835817</v>
      </c>
      <c r="AF275" s="5">
        <f t="shared" si="79"/>
        <v>8.8712494877834114E-2</v>
      </c>
    </row>
    <row r="276" spans="1:32" x14ac:dyDescent="0.25">
      <c r="A276" s="2">
        <v>45114</v>
      </c>
      <c r="B276">
        <v>10287</v>
      </c>
      <c r="C276">
        <v>27383</v>
      </c>
      <c r="D276">
        <v>256575</v>
      </c>
      <c r="F276" s="5">
        <f t="shared" si="64"/>
        <v>0.3756710367746412</v>
      </c>
      <c r="G276" s="5">
        <f t="shared" si="65"/>
        <v>0.12802256622882291</v>
      </c>
      <c r="I276" s="2">
        <v>45114</v>
      </c>
      <c r="J276">
        <v>53086</v>
      </c>
      <c r="K276">
        <v>73485</v>
      </c>
      <c r="M276" s="5">
        <f t="shared" si="66"/>
        <v>0.84982858003993522</v>
      </c>
      <c r="N276" s="5">
        <f t="shared" si="67"/>
        <v>0.27679515185681064</v>
      </c>
      <c r="S276" s="5">
        <f t="shared" si="68"/>
        <v>4.9289983490106715E-3</v>
      </c>
      <c r="T276" s="5">
        <f t="shared" si="69"/>
        <v>1.1730115704786825E-2</v>
      </c>
      <c r="U276" s="5">
        <f t="shared" si="70"/>
        <v>2.6196864629874528E-2</v>
      </c>
      <c r="V276" s="5">
        <f t="shared" si="71"/>
        <v>-2.5633783776925934E-2</v>
      </c>
      <c r="W276" s="5">
        <f t="shared" si="72"/>
        <v>-4.4735061424412748E-2</v>
      </c>
      <c r="X276" s="5">
        <f t="shared" si="73"/>
        <v>-0.14307065469333535</v>
      </c>
      <c r="AA276" s="5">
        <f t="shared" si="74"/>
        <v>-5.6477294369568221E-2</v>
      </c>
      <c r="AB276" s="5">
        <f t="shared" si="75"/>
        <v>-4.2794220606132805E-2</v>
      </c>
      <c r="AC276" s="5">
        <f t="shared" si="76"/>
        <v>-5.0561666015349949E-2</v>
      </c>
      <c r="AD276" s="5">
        <f t="shared" si="77"/>
        <v>0.11661029873930406</v>
      </c>
      <c r="AE276" s="5">
        <f t="shared" si="78"/>
        <v>0.17316002818731507</v>
      </c>
      <c r="AF276" s="5">
        <f t="shared" si="79"/>
        <v>9.9191361541951517E-2</v>
      </c>
    </row>
    <row r="277" spans="1:32" x14ac:dyDescent="0.25">
      <c r="A277" s="2">
        <v>45113</v>
      </c>
      <c r="B277">
        <v>10662</v>
      </c>
      <c r="C277">
        <v>24683</v>
      </c>
      <c r="D277">
        <v>265501</v>
      </c>
      <c r="F277" s="5">
        <f t="shared" si="64"/>
        <v>0.43195721751812988</v>
      </c>
      <c r="G277" s="5">
        <f t="shared" si="65"/>
        <v>0.11748535795722728</v>
      </c>
      <c r="I277" s="2">
        <v>45113</v>
      </c>
      <c r="J277">
        <v>53086</v>
      </c>
      <c r="K277">
        <v>69158</v>
      </c>
      <c r="M277" s="5">
        <f t="shared" si="66"/>
        <v>0.8498097426816863</v>
      </c>
      <c r="N277" s="5">
        <f t="shared" si="67"/>
        <v>0.27</v>
      </c>
      <c r="S277" s="5">
        <f t="shared" si="68"/>
        <v>5.9541624786975111E-3</v>
      </c>
      <c r="T277" s="5">
        <f t="shared" si="69"/>
        <v>1.2676453551538625E-2</v>
      </c>
      <c r="U277" s="5">
        <f t="shared" si="70"/>
        <v>2.6854246606025312E-2</v>
      </c>
      <c r="V277" s="5">
        <f t="shared" si="71"/>
        <v>-3.3453901955593279E-2</v>
      </c>
      <c r="W277" s="5">
        <f t="shared" si="72"/>
        <v>-4.9245868853625918E-2</v>
      </c>
      <c r="X277" s="5">
        <f t="shared" si="73"/>
        <v>-0.1475972086716465</v>
      </c>
      <c r="AA277" s="5">
        <f t="shared" si="74"/>
        <v>-5.2988175118897196E-2</v>
      </c>
      <c r="AB277" s="5">
        <f t="shared" si="75"/>
        <v>-3.9729832379260699E-2</v>
      </c>
      <c r="AC277" s="5">
        <f t="shared" si="76"/>
        <v>-4.6789626247387889E-2</v>
      </c>
      <c r="AD277" s="5">
        <f t="shared" si="77"/>
        <v>0.13463756319884801</v>
      </c>
      <c r="AE277" s="5">
        <f t="shared" si="78"/>
        <v>0.18390850483108545</v>
      </c>
      <c r="AF277" s="5">
        <f t="shared" si="79"/>
        <v>0.11042489613694084</v>
      </c>
    </row>
    <row r="278" spans="1:32" x14ac:dyDescent="0.25">
      <c r="A278" s="2">
        <v>45112</v>
      </c>
      <c r="B278">
        <v>10687</v>
      </c>
      <c r="C278">
        <v>24683</v>
      </c>
      <c r="D278">
        <v>263768</v>
      </c>
      <c r="F278" s="5">
        <f t="shared" si="64"/>
        <v>0.43297006036543367</v>
      </c>
      <c r="G278" s="5">
        <f t="shared" si="65"/>
        <v>0.11823974219256664</v>
      </c>
      <c r="I278" s="2">
        <v>45112</v>
      </c>
      <c r="J278">
        <v>53086</v>
      </c>
      <c r="K278">
        <v>69163</v>
      </c>
      <c r="M278" s="5">
        <f t="shared" si="66"/>
        <v>0.84979090532343748</v>
      </c>
      <c r="N278" s="5">
        <f t="shared" si="67"/>
        <v>0.27129067370968546</v>
      </c>
      <c r="S278" s="5">
        <f t="shared" si="68"/>
        <v>7.3766306670377535E-3</v>
      </c>
      <c r="T278" s="5">
        <f t="shared" si="69"/>
        <v>1.3993911486708976E-2</v>
      </c>
      <c r="U278" s="5">
        <f t="shared" si="70"/>
        <v>2.7868612241199797E-2</v>
      </c>
      <c r="V278" s="5">
        <f t="shared" si="71"/>
        <v>-4.1273846648270163E-2</v>
      </c>
      <c r="W278" s="5">
        <f t="shared" si="72"/>
        <v>-5.3868641170821352E-2</v>
      </c>
      <c r="X278" s="5">
        <f t="shared" si="73"/>
        <v>-0.15215634473059536</v>
      </c>
      <c r="AA278" s="5">
        <f t="shared" si="74"/>
        <v>-4.909387523691161E-2</v>
      </c>
      <c r="AB278" s="5">
        <f t="shared" si="75"/>
        <v>-3.6313211438793319E-2</v>
      </c>
      <c r="AC278" s="5">
        <f t="shared" si="76"/>
        <v>-4.2649601749958133E-2</v>
      </c>
      <c r="AD278" s="5">
        <f t="shared" si="77"/>
        <v>0.1492164044380257</v>
      </c>
      <c r="AE278" s="5">
        <f t="shared" si="78"/>
        <v>0.19086449141223127</v>
      </c>
      <c r="AF278" s="5">
        <f t="shared" si="79"/>
        <v>0.11794606434255328</v>
      </c>
    </row>
    <row r="279" spans="1:32" x14ac:dyDescent="0.25">
      <c r="A279" s="2">
        <v>45111</v>
      </c>
      <c r="B279">
        <v>11162</v>
      </c>
      <c r="C279">
        <v>24308</v>
      </c>
      <c r="D279">
        <v>261735</v>
      </c>
      <c r="F279" s="5">
        <f t="shared" si="64"/>
        <v>0.45919038999506334</v>
      </c>
      <c r="G279" s="5">
        <f t="shared" si="65"/>
        <v>0.1193452330882724</v>
      </c>
      <c r="I279" s="2">
        <v>45111</v>
      </c>
      <c r="J279">
        <v>52786</v>
      </c>
      <c r="K279">
        <v>68413</v>
      </c>
      <c r="M279" s="5">
        <f t="shared" si="66"/>
        <v>0.85460159890880161</v>
      </c>
      <c r="N279" s="5">
        <f t="shared" si="67"/>
        <v>0.27221437469413179</v>
      </c>
      <c r="S279" s="5">
        <f t="shared" si="68"/>
        <v>8.4864991489002617E-3</v>
      </c>
      <c r="T279" s="5">
        <f t="shared" si="69"/>
        <v>1.5109025625551942E-2</v>
      </c>
      <c r="U279" s="5">
        <f t="shared" si="70"/>
        <v>2.8690394220874937E-2</v>
      </c>
      <c r="V279" s="5">
        <f t="shared" si="71"/>
        <v>-4.9159742590926037E-2</v>
      </c>
      <c r="W279" s="5">
        <f t="shared" si="72"/>
        <v>-5.878245343547972E-2</v>
      </c>
      <c r="X279" s="5">
        <f t="shared" si="73"/>
        <v>-0.15678852933845533</v>
      </c>
      <c r="AA279" s="5">
        <f t="shared" si="74"/>
        <v>-4.533256560291607E-2</v>
      </c>
      <c r="AB279" s="5">
        <f t="shared" si="75"/>
        <v>-3.3025772060079894E-2</v>
      </c>
      <c r="AC279" s="5">
        <f t="shared" si="76"/>
        <v>-3.8591709130228302E-2</v>
      </c>
      <c r="AD279" s="5">
        <f t="shared" si="77"/>
        <v>0.16251036389608348</v>
      </c>
      <c r="AE279" s="5">
        <f t="shared" si="78"/>
        <v>0.19657752704671377</v>
      </c>
      <c r="AF279" s="5">
        <f t="shared" si="79"/>
        <v>0.12469377803123238</v>
      </c>
    </row>
    <row r="280" spans="1:32" x14ac:dyDescent="0.25">
      <c r="A280" s="2">
        <v>45110</v>
      </c>
      <c r="B280">
        <v>11162</v>
      </c>
      <c r="C280">
        <v>24308</v>
      </c>
      <c r="D280">
        <v>260370</v>
      </c>
      <c r="F280" s="5">
        <f t="shared" si="64"/>
        <v>0.45919038999506334</v>
      </c>
      <c r="G280" s="5">
        <f t="shared" si="65"/>
        <v>0.11989588967009195</v>
      </c>
      <c r="I280" s="2">
        <v>45110</v>
      </c>
      <c r="J280">
        <v>52786</v>
      </c>
      <c r="K280">
        <v>68413</v>
      </c>
      <c r="M280" s="5">
        <f t="shared" si="66"/>
        <v>0.85458265449172133</v>
      </c>
      <c r="N280" s="5">
        <f t="shared" si="67"/>
        <v>0.27324948501951063</v>
      </c>
      <c r="S280" s="5">
        <f t="shared" si="68"/>
        <v>9.2792557783122898E-3</v>
      </c>
      <c r="T280" s="5">
        <f t="shared" si="69"/>
        <v>1.596941508133165E-2</v>
      </c>
      <c r="U280" s="5">
        <f t="shared" si="70"/>
        <v>2.9299843817568505E-2</v>
      </c>
      <c r="V280" s="5">
        <f t="shared" si="71"/>
        <v>-5.6463052976404637E-2</v>
      </c>
      <c r="W280" s="5">
        <f t="shared" si="72"/>
        <v>-6.330648281767981E-2</v>
      </c>
      <c r="X280" s="5">
        <f t="shared" si="73"/>
        <v>-0.1611486232238758</v>
      </c>
      <c r="AA280" s="5">
        <f t="shared" si="74"/>
        <v>-4.1663889175589053E-2</v>
      </c>
      <c r="AB280" s="5">
        <f t="shared" si="75"/>
        <v>-2.9887885973123723E-2</v>
      </c>
      <c r="AC280" s="5">
        <f t="shared" si="76"/>
        <v>-3.464667985181491E-2</v>
      </c>
      <c r="AD280" s="5">
        <f t="shared" si="77"/>
        <v>0.1741169464980955</v>
      </c>
      <c r="AE280" s="5">
        <f t="shared" si="78"/>
        <v>0.20016154118890306</v>
      </c>
      <c r="AF280" s="5">
        <f t="shared" si="79"/>
        <v>0.12953691974599257</v>
      </c>
    </row>
    <row r="281" spans="1:32" x14ac:dyDescent="0.25">
      <c r="A281" s="2">
        <v>45107</v>
      </c>
      <c r="B281">
        <v>11162</v>
      </c>
      <c r="C281">
        <v>24308</v>
      </c>
      <c r="D281">
        <v>259282</v>
      </c>
      <c r="F281" s="5">
        <f t="shared" si="64"/>
        <v>0.45919038999506334</v>
      </c>
      <c r="G281" s="5">
        <f t="shared" si="65"/>
        <v>0.12033845402236457</v>
      </c>
      <c r="I281" s="2">
        <v>45107</v>
      </c>
      <c r="J281">
        <v>52786</v>
      </c>
      <c r="K281">
        <v>68413</v>
      </c>
      <c r="M281" s="5">
        <f t="shared" si="66"/>
        <v>0.85452582124048038</v>
      </c>
      <c r="N281" s="5">
        <f t="shared" si="67"/>
        <v>0.27407573318401346</v>
      </c>
      <c r="S281" s="5">
        <f t="shared" si="68"/>
        <v>1.0044664111147905E-2</v>
      </c>
      <c r="T281" s="5">
        <f t="shared" si="69"/>
        <v>1.676275322601678E-2</v>
      </c>
      <c r="U281" s="5">
        <f t="shared" si="70"/>
        <v>2.9825913837501272E-2</v>
      </c>
      <c r="V281" s="5">
        <f t="shared" si="71"/>
        <v>-6.4252862040837133E-2</v>
      </c>
      <c r="W281" s="5">
        <f t="shared" si="72"/>
        <v>-6.7829260249804402E-2</v>
      </c>
      <c r="X281" s="5">
        <f t="shared" si="73"/>
        <v>-0.16548366192334696</v>
      </c>
      <c r="AA281" s="5">
        <f t="shared" si="74"/>
        <v>-3.8125924948586243E-2</v>
      </c>
      <c r="AB281" s="5">
        <f t="shared" si="75"/>
        <v>-2.6866885904271914E-2</v>
      </c>
      <c r="AC281" s="5">
        <f t="shared" si="76"/>
        <v>-3.0800367244142118E-2</v>
      </c>
      <c r="AD281" s="5">
        <f t="shared" si="77"/>
        <v>0.18494158061510002</v>
      </c>
      <c r="AE281" s="5">
        <f t="shared" si="78"/>
        <v>0.20346293768722312</v>
      </c>
      <c r="AF281" s="5">
        <f t="shared" si="79"/>
        <v>0.13392158195467263</v>
      </c>
    </row>
    <row r="282" spans="1:32" x14ac:dyDescent="0.25">
      <c r="A282" s="2">
        <v>45106</v>
      </c>
      <c r="B282">
        <v>10787</v>
      </c>
      <c r="C282">
        <v>14008</v>
      </c>
      <c r="D282">
        <v>259229</v>
      </c>
      <c r="F282" s="5">
        <f t="shared" si="64"/>
        <v>0.77005996573386637</v>
      </c>
      <c r="G282" s="5">
        <f t="shared" si="65"/>
        <v>8.7298960651212579E-2</v>
      </c>
      <c r="I282" s="2">
        <v>45106</v>
      </c>
      <c r="J282">
        <v>52736</v>
      </c>
      <c r="K282">
        <v>68413</v>
      </c>
      <c r="M282" s="5">
        <f t="shared" si="66"/>
        <v>0.85531705097087374</v>
      </c>
      <c r="N282" s="5">
        <f t="shared" si="67"/>
        <v>0.27401273136154997</v>
      </c>
      <c r="S282" s="5">
        <f t="shared" si="68"/>
        <v>1.0557158733042915E-2</v>
      </c>
      <c r="T282" s="5">
        <f t="shared" si="69"/>
        <v>1.7391316715879013E-2</v>
      </c>
      <c r="U282" s="5">
        <f t="shared" si="70"/>
        <v>3.0185257016482447E-2</v>
      </c>
      <c r="V282" s="5">
        <f t="shared" si="71"/>
        <v>-7.0543345820240577E-2</v>
      </c>
      <c r="W282" s="5">
        <f t="shared" si="72"/>
        <v>-7.1553094495044212E-2</v>
      </c>
      <c r="X282" s="5">
        <f t="shared" si="73"/>
        <v>-0.16889882417753077</v>
      </c>
      <c r="AA282" s="5">
        <f t="shared" si="74"/>
        <v>-3.4765518814640267E-2</v>
      </c>
      <c r="AB282" s="5">
        <f t="shared" si="75"/>
        <v>-2.4027248587898703E-2</v>
      </c>
      <c r="AC282" s="5">
        <f t="shared" si="76"/>
        <v>-2.712340042325545E-2</v>
      </c>
      <c r="AD282" s="5">
        <f t="shared" si="77"/>
        <v>0.19200887975704689</v>
      </c>
      <c r="AE282" s="5">
        <f t="shared" si="78"/>
        <v>0.20455360292896502</v>
      </c>
      <c r="AF282" s="5">
        <f t="shared" si="79"/>
        <v>0.13625228914909143</v>
      </c>
    </row>
    <row r="283" spans="1:32" x14ac:dyDescent="0.25">
      <c r="A283" s="2">
        <v>45105</v>
      </c>
      <c r="B283">
        <v>10787</v>
      </c>
      <c r="C283">
        <v>14008</v>
      </c>
      <c r="D283">
        <v>259376</v>
      </c>
      <c r="F283" s="5">
        <f t="shared" si="64"/>
        <v>0.77005996573386637</v>
      </c>
      <c r="G283" s="5">
        <f t="shared" si="65"/>
        <v>8.7253801408306964E-2</v>
      </c>
      <c r="I283" s="2">
        <v>45105</v>
      </c>
      <c r="J283">
        <v>52886</v>
      </c>
      <c r="K283">
        <v>68413</v>
      </c>
      <c r="M283" s="5">
        <f t="shared" si="66"/>
        <v>0.85287221570926142</v>
      </c>
      <c r="N283" s="5">
        <f t="shared" si="67"/>
        <v>0.27420271037896615</v>
      </c>
      <c r="S283" s="5">
        <f t="shared" si="68"/>
        <v>1.0061747933533816E-2</v>
      </c>
      <c r="T283" s="5">
        <f t="shared" si="69"/>
        <v>1.7477258999811118E-2</v>
      </c>
      <c r="U283" s="5">
        <f t="shared" si="70"/>
        <v>2.9976412712266864E-2</v>
      </c>
      <c r="V283" s="5">
        <f t="shared" si="71"/>
        <v>-6.9652573562654974E-2</v>
      </c>
      <c r="W283" s="5">
        <f t="shared" si="72"/>
        <v>-7.1032332879514604E-2</v>
      </c>
      <c r="X283" s="5">
        <f t="shared" si="73"/>
        <v>-0.16803932009570988</v>
      </c>
      <c r="AA283" s="5">
        <f t="shared" si="74"/>
        <v>-2.9826207205765759E-2</v>
      </c>
      <c r="AB283" s="5">
        <f t="shared" si="75"/>
        <v>-1.9578103661902768E-2</v>
      </c>
      <c r="AC283" s="5">
        <f t="shared" si="76"/>
        <v>-2.1827951534291928E-2</v>
      </c>
      <c r="AD283" s="5">
        <f t="shared" si="77"/>
        <v>0.18331202255217705</v>
      </c>
      <c r="AE283" s="5">
        <f t="shared" si="78"/>
        <v>0.19067773611721323</v>
      </c>
      <c r="AF283" s="5">
        <f t="shared" si="79"/>
        <v>0.12338316222377865</v>
      </c>
    </row>
    <row r="284" spans="1:32" x14ac:dyDescent="0.25">
      <c r="A284" s="2">
        <v>45104</v>
      </c>
      <c r="B284">
        <v>10687</v>
      </c>
      <c r="C284">
        <v>14008</v>
      </c>
      <c r="D284">
        <v>256360</v>
      </c>
      <c r="F284" s="5">
        <f t="shared" si="64"/>
        <v>0.76292118789263275</v>
      </c>
      <c r="G284" s="5">
        <f t="shared" si="65"/>
        <v>8.7865364430449552E-2</v>
      </c>
      <c r="I284" s="2">
        <v>45104</v>
      </c>
      <c r="J284">
        <v>52886</v>
      </c>
      <c r="K284">
        <v>68413</v>
      </c>
      <c r="M284" s="5">
        <f t="shared" si="66"/>
        <v>0.85285330711341378</v>
      </c>
      <c r="N284" s="5">
        <f t="shared" si="67"/>
        <v>0.27653449978834488</v>
      </c>
      <c r="S284" s="5">
        <f t="shared" si="68"/>
        <v>9.6989353356769503E-3</v>
      </c>
      <c r="T284" s="5">
        <f t="shared" si="69"/>
        <v>1.7586614164916581E-2</v>
      </c>
      <c r="U284" s="5">
        <f t="shared" si="70"/>
        <v>2.9791228378980905E-2</v>
      </c>
      <c r="V284" s="5">
        <f t="shared" si="71"/>
        <v>-6.8646303269640052E-2</v>
      </c>
      <c r="W284" s="5">
        <f t="shared" si="72"/>
        <v>-7.0302394935253476E-2</v>
      </c>
      <c r="X284" s="5">
        <f t="shared" si="73"/>
        <v>-0.16708351296230561</v>
      </c>
      <c r="AA284" s="5">
        <f t="shared" si="74"/>
        <v>-2.478510541266804E-2</v>
      </c>
      <c r="AB284" s="5">
        <f t="shared" si="75"/>
        <v>-1.5132319059910554E-2</v>
      </c>
      <c r="AC284" s="5">
        <f t="shared" si="76"/>
        <v>-1.6516760098331112E-2</v>
      </c>
      <c r="AD284" s="5">
        <f t="shared" si="77"/>
        <v>0.1743692074023086</v>
      </c>
      <c r="AE284" s="5">
        <f t="shared" si="78"/>
        <v>0.17677927318375786</v>
      </c>
      <c r="AF284" s="5">
        <f t="shared" si="79"/>
        <v>0.11036689975166786</v>
      </c>
    </row>
    <row r="285" spans="1:32" x14ac:dyDescent="0.25">
      <c r="A285" s="2">
        <v>45103</v>
      </c>
      <c r="B285">
        <v>10837</v>
      </c>
      <c r="C285">
        <v>14408</v>
      </c>
      <c r="D285">
        <v>257719</v>
      </c>
      <c r="F285" s="5">
        <f t="shared" si="64"/>
        <v>0.75215158245419211</v>
      </c>
      <c r="G285" s="5">
        <f t="shared" si="65"/>
        <v>8.921629606593065E-2</v>
      </c>
      <c r="I285" s="2">
        <v>45103</v>
      </c>
      <c r="J285">
        <v>52886</v>
      </c>
      <c r="K285">
        <v>68413</v>
      </c>
      <c r="M285" s="5">
        <f t="shared" si="66"/>
        <v>0.85283439851756604</v>
      </c>
      <c r="N285" s="5">
        <f t="shared" si="67"/>
        <v>0.27547595218550047</v>
      </c>
      <c r="S285" s="5">
        <f t="shared" si="68"/>
        <v>9.3716865909749258E-3</v>
      </c>
      <c r="T285" s="5">
        <f t="shared" si="69"/>
        <v>1.775050837477149E-2</v>
      </c>
      <c r="U285" s="5">
        <f t="shared" si="70"/>
        <v>2.9592891171498825E-2</v>
      </c>
      <c r="V285" s="5">
        <f t="shared" si="71"/>
        <v>-6.7682257371385224E-2</v>
      </c>
      <c r="W285" s="5">
        <f t="shared" si="72"/>
        <v>-6.977909236501012E-2</v>
      </c>
      <c r="X285" s="5">
        <f t="shared" si="73"/>
        <v>-0.16614749260711181</v>
      </c>
      <c r="AA285" s="5">
        <f t="shared" si="74"/>
        <v>-1.9658019499077556E-2</v>
      </c>
      <c r="AB285" s="5">
        <f t="shared" si="75"/>
        <v>-1.0613236241990759E-2</v>
      </c>
      <c r="AC285" s="5">
        <f t="shared" si="76"/>
        <v>-1.115756661426745E-2</v>
      </c>
      <c r="AD285" s="5">
        <f t="shared" si="77"/>
        <v>0.16576633405440372</v>
      </c>
      <c r="AE285" s="5">
        <f t="shared" si="78"/>
        <v>0.1628362264570386</v>
      </c>
      <c r="AF285" s="5">
        <f t="shared" si="79"/>
        <v>9.7691031219963198E-2</v>
      </c>
    </row>
    <row r="286" spans="1:32" x14ac:dyDescent="0.25">
      <c r="A286" s="2">
        <v>45100</v>
      </c>
      <c r="B286">
        <v>11088</v>
      </c>
      <c r="C286">
        <v>14883</v>
      </c>
      <c r="D286">
        <v>256407</v>
      </c>
      <c r="F286" s="5">
        <f t="shared" si="64"/>
        <v>0.74501108647450109</v>
      </c>
      <c r="G286" s="5">
        <f t="shared" si="65"/>
        <v>9.1972462443958097E-2</v>
      </c>
      <c r="I286" s="2">
        <v>45100</v>
      </c>
      <c r="J286">
        <v>52636</v>
      </c>
      <c r="K286">
        <v>68163</v>
      </c>
      <c r="M286" s="5">
        <f t="shared" si="66"/>
        <v>0.8568280264457786</v>
      </c>
      <c r="N286" s="5">
        <f t="shared" si="67"/>
        <v>0.27597891247320999</v>
      </c>
      <c r="S286" s="5">
        <f t="shared" si="68"/>
        <v>9.0141940481279215E-3</v>
      </c>
      <c r="T286" s="5">
        <f t="shared" si="69"/>
        <v>1.7951794105078245E-2</v>
      </c>
      <c r="U286" s="5">
        <f t="shared" si="70"/>
        <v>2.9444041181773406E-2</v>
      </c>
      <c r="V286" s="5">
        <f t="shared" si="71"/>
        <v>-6.6112196201953299E-2</v>
      </c>
      <c r="W286" s="5">
        <f t="shared" si="72"/>
        <v>-6.9412361537766865E-2</v>
      </c>
      <c r="X286" s="5">
        <f t="shared" si="73"/>
        <v>-0.16523413602521897</v>
      </c>
      <c r="AA286" s="5">
        <f t="shared" si="74"/>
        <v>-1.4037315584828014E-2</v>
      </c>
      <c r="AB286" s="5">
        <f t="shared" si="75"/>
        <v>-5.7719712615006968E-3</v>
      </c>
      <c r="AC286" s="5">
        <f t="shared" si="76"/>
        <v>-5.5710541994916096E-3</v>
      </c>
      <c r="AD286" s="5">
        <f t="shared" si="77"/>
        <v>0.1547692192497489</v>
      </c>
      <c r="AE286" s="5">
        <f t="shared" si="78"/>
        <v>0.14731051740651713</v>
      </c>
      <c r="AF286" s="5">
        <f t="shared" si="79"/>
        <v>8.403075160371376E-2</v>
      </c>
    </row>
    <row r="287" spans="1:32" x14ac:dyDescent="0.25">
      <c r="A287" s="2">
        <v>45099</v>
      </c>
      <c r="B287">
        <v>10825</v>
      </c>
      <c r="C287">
        <v>13825</v>
      </c>
      <c r="D287">
        <v>256521</v>
      </c>
      <c r="F287" s="5">
        <f t="shared" si="64"/>
        <v>0.78300180831826405</v>
      </c>
      <c r="G287" s="5">
        <f t="shared" si="65"/>
        <v>8.7669069712025774E-2</v>
      </c>
      <c r="I287" s="2">
        <v>45099</v>
      </c>
      <c r="J287">
        <v>52636</v>
      </c>
      <c r="K287">
        <v>68163</v>
      </c>
      <c r="M287" s="5">
        <f t="shared" si="66"/>
        <v>0.85680902804164449</v>
      </c>
      <c r="N287" s="5">
        <f t="shared" si="67"/>
        <v>0.27588805835328123</v>
      </c>
      <c r="S287" s="5">
        <f t="shared" si="68"/>
        <v>8.7184066626894152E-3</v>
      </c>
      <c r="T287" s="5">
        <f t="shared" si="69"/>
        <v>1.824370569384326E-2</v>
      </c>
      <c r="U287" s="5">
        <f t="shared" si="70"/>
        <v>2.9347938182132216E-2</v>
      </c>
      <c r="V287" s="5">
        <f t="shared" si="71"/>
        <v>-6.4836563827282201E-2</v>
      </c>
      <c r="W287" s="5">
        <f t="shared" si="72"/>
        <v>-6.9236711948734375E-2</v>
      </c>
      <c r="X287" s="5">
        <f t="shared" si="73"/>
        <v>-0.1645328559165925</v>
      </c>
      <c r="AA287" s="5">
        <f t="shared" si="74"/>
        <v>-8.2388078964485134E-3</v>
      </c>
      <c r="AB287" s="5">
        <f t="shared" si="75"/>
        <v>-8.8409342654066636E-4</v>
      </c>
      <c r="AC287" s="5">
        <f t="shared" si="76"/>
        <v>4.0538296059655643E-5</v>
      </c>
      <c r="AD287" s="5">
        <f t="shared" si="77"/>
        <v>0.14178787114920754</v>
      </c>
      <c r="AE287" s="5">
        <f t="shared" si="78"/>
        <v>0.13054105328111798</v>
      </c>
      <c r="AF287" s="5">
        <f t="shared" si="79"/>
        <v>6.9280882430730051E-2</v>
      </c>
    </row>
    <row r="288" spans="1:32" x14ac:dyDescent="0.25">
      <c r="A288" s="2">
        <v>45098</v>
      </c>
      <c r="B288">
        <v>24320</v>
      </c>
      <c r="C288">
        <v>41818</v>
      </c>
      <c r="D288">
        <v>254157</v>
      </c>
      <c r="F288" s="5">
        <f t="shared" si="64"/>
        <v>0.58156774594672156</v>
      </c>
      <c r="G288" s="5">
        <f t="shared" si="65"/>
        <v>0.2064908912096661</v>
      </c>
      <c r="I288" s="2">
        <v>45098</v>
      </c>
      <c r="J288">
        <v>52786</v>
      </c>
      <c r="K288">
        <v>68163</v>
      </c>
      <c r="M288" s="5">
        <f t="shared" si="66"/>
        <v>0.85435532148675786</v>
      </c>
      <c r="N288" s="5">
        <f t="shared" si="67"/>
        <v>0.27804715927974299</v>
      </c>
      <c r="S288" s="5">
        <f t="shared" si="68"/>
        <v>8.6055249318499616E-3</v>
      </c>
      <c r="T288" s="5">
        <f t="shared" si="69"/>
        <v>1.8647509886478675E-2</v>
      </c>
      <c r="U288" s="5">
        <f t="shared" si="70"/>
        <v>2.9344320024731141E-2</v>
      </c>
      <c r="V288" s="5">
        <f t="shared" si="71"/>
        <v>-6.4410252957813885E-2</v>
      </c>
      <c r="W288" s="5">
        <f t="shared" si="72"/>
        <v>-6.8945358054610661E-2</v>
      </c>
      <c r="X288" s="5">
        <f t="shared" si="73"/>
        <v>-0.16385321645794593</v>
      </c>
      <c r="AA288" s="5">
        <f t="shared" si="74"/>
        <v>-2.1131198122119332E-3</v>
      </c>
      <c r="AB288" s="5">
        <f t="shared" si="75"/>
        <v>4.22770221047572E-3</v>
      </c>
      <c r="AC288" s="5">
        <f t="shared" si="76"/>
        <v>5.8869885185713622E-3</v>
      </c>
      <c r="AD288" s="5">
        <f t="shared" si="77"/>
        <v>0.12686777079765971</v>
      </c>
      <c r="AE288" s="5">
        <f t="shared" si="78"/>
        <v>0.11167835972657891</v>
      </c>
      <c r="AF288" s="5">
        <f t="shared" si="79"/>
        <v>5.234367541937196E-2</v>
      </c>
    </row>
    <row r="289" spans="1:32" x14ac:dyDescent="0.25">
      <c r="A289" s="2">
        <v>45097</v>
      </c>
      <c r="B289">
        <v>24695</v>
      </c>
      <c r="C289">
        <v>42293</v>
      </c>
      <c r="D289">
        <v>249934</v>
      </c>
      <c r="F289" s="5">
        <f t="shared" si="64"/>
        <v>0.58390277350861841</v>
      </c>
      <c r="G289" s="5">
        <f t="shared" si="65"/>
        <v>0.21137062116230493</v>
      </c>
      <c r="I289" s="2">
        <v>45097</v>
      </c>
      <c r="J289">
        <v>52966</v>
      </c>
      <c r="K289">
        <v>67913</v>
      </c>
      <c r="M289" s="5">
        <f t="shared" si="66"/>
        <v>0.85143299475134993</v>
      </c>
      <c r="N289" s="5">
        <f t="shared" si="67"/>
        <v>0.28179265913211893</v>
      </c>
      <c r="S289" s="5">
        <f t="shared" si="68"/>
        <v>8.3845060992600584E-3</v>
      </c>
      <c r="T289" s="5">
        <f t="shared" si="69"/>
        <v>1.9003760243963774E-2</v>
      </c>
      <c r="U289" s="5">
        <f t="shared" si="70"/>
        <v>2.9286505122164991E-2</v>
      </c>
      <c r="V289" s="5">
        <f t="shared" si="71"/>
        <v>-6.2382727274719829E-2</v>
      </c>
      <c r="W289" s="5">
        <f t="shared" si="72"/>
        <v>-6.8538072042679254E-2</v>
      </c>
      <c r="X289" s="5">
        <f t="shared" si="73"/>
        <v>-0.16307994724562336</v>
      </c>
      <c r="AA289" s="5">
        <f t="shared" si="74"/>
        <v>-1.5131420177777466E-3</v>
      </c>
      <c r="AB289" s="5">
        <f t="shared" si="75"/>
        <v>3.7721766257246547E-3</v>
      </c>
      <c r="AC289" s="5">
        <f t="shared" si="76"/>
        <v>6.1033066789186463E-3</v>
      </c>
      <c r="AD289" s="5">
        <f t="shared" si="77"/>
        <v>0.12188432944105942</v>
      </c>
      <c r="AE289" s="5">
        <f t="shared" si="78"/>
        <v>0.10279145354792607</v>
      </c>
      <c r="AF289" s="5">
        <f t="shared" si="79"/>
        <v>4.5028259051496711E-2</v>
      </c>
    </row>
    <row r="290" spans="1:32" x14ac:dyDescent="0.25">
      <c r="A290" s="2">
        <v>45096</v>
      </c>
      <c r="B290">
        <v>24860</v>
      </c>
      <c r="C290">
        <v>42238</v>
      </c>
      <c r="D290">
        <v>250280</v>
      </c>
      <c r="F290" s="5">
        <f t="shared" si="64"/>
        <v>0.58856953454235528</v>
      </c>
      <c r="G290" s="5">
        <f t="shared" si="65"/>
        <v>0.21141351952561299</v>
      </c>
      <c r="I290" s="2">
        <v>45096</v>
      </c>
      <c r="J290">
        <v>54029</v>
      </c>
      <c r="K290">
        <v>66938</v>
      </c>
      <c r="M290" s="5">
        <f t="shared" si="66"/>
        <v>0.8346628662385015</v>
      </c>
      <c r="N290" s="5">
        <f t="shared" si="67"/>
        <v>0.28369656988308695</v>
      </c>
      <c r="S290" s="5">
        <f t="shared" si="68"/>
        <v>8.0485339626063523E-3</v>
      </c>
      <c r="T290" s="5">
        <f t="shared" si="69"/>
        <v>1.9202421085520338E-2</v>
      </c>
      <c r="U290" s="5">
        <f t="shared" si="70"/>
        <v>2.9079732768554217E-2</v>
      </c>
      <c r="V290" s="5">
        <f t="shared" si="71"/>
        <v>-6.0215108039816556E-2</v>
      </c>
      <c r="W290" s="5">
        <f t="shared" si="72"/>
        <v>-6.7991751642693443E-2</v>
      </c>
      <c r="X290" s="5">
        <f t="shared" si="73"/>
        <v>-0.16219142894930183</v>
      </c>
      <c r="AA290" s="5">
        <f t="shared" si="74"/>
        <v>-9.1743588762824291E-4</v>
      </c>
      <c r="AB290" s="5">
        <f t="shared" si="75"/>
        <v>3.0937393238668898E-3</v>
      </c>
      <c r="AC290" s="5">
        <f t="shared" si="76"/>
        <v>6.1063549413132023E-3</v>
      </c>
      <c r="AD290" s="5">
        <f t="shared" si="77"/>
        <v>0.11652854830360965</v>
      </c>
      <c r="AE290" s="5">
        <f t="shared" si="78"/>
        <v>9.3809420305889346E-2</v>
      </c>
      <c r="AF290" s="5">
        <f t="shared" si="79"/>
        <v>3.7603597533958921E-2</v>
      </c>
    </row>
    <row r="291" spans="1:32" x14ac:dyDescent="0.25">
      <c r="A291" s="2">
        <v>45093</v>
      </c>
      <c r="B291">
        <v>24870</v>
      </c>
      <c r="C291">
        <v>42498</v>
      </c>
      <c r="D291">
        <v>249414</v>
      </c>
      <c r="F291" s="5">
        <f t="shared" si="64"/>
        <v>0.58520400960045182</v>
      </c>
      <c r="G291" s="5">
        <f t="shared" si="65"/>
        <v>0.21266359831051007</v>
      </c>
      <c r="I291" s="2">
        <v>45093</v>
      </c>
      <c r="J291">
        <v>54879</v>
      </c>
      <c r="K291">
        <v>64763</v>
      </c>
      <c r="M291" s="5">
        <f t="shared" si="66"/>
        <v>0.82168042420598042</v>
      </c>
      <c r="N291" s="5">
        <f t="shared" si="67"/>
        <v>0.28613625045079083</v>
      </c>
      <c r="S291" s="5">
        <f t="shared" si="68"/>
        <v>7.7640851526148413E-3</v>
      </c>
      <c r="T291" s="5">
        <f t="shared" si="69"/>
        <v>1.9424165056088072E-2</v>
      </c>
      <c r="U291" s="5">
        <f t="shared" si="70"/>
        <v>2.8881577956700794E-2</v>
      </c>
      <c r="V291" s="5">
        <f t="shared" si="71"/>
        <v>-5.6993456633846584E-2</v>
      </c>
      <c r="W291" s="5">
        <f t="shared" si="72"/>
        <v>-6.6764973507610681E-2</v>
      </c>
      <c r="X291" s="5">
        <f t="shared" si="73"/>
        <v>-0.16061559309309326</v>
      </c>
      <c r="AA291" s="5">
        <f t="shared" si="74"/>
        <v>2.8970847843673431E-5</v>
      </c>
      <c r="AB291" s="5">
        <f t="shared" si="75"/>
        <v>2.5423587413983262E-3</v>
      </c>
      <c r="AC291" s="5">
        <f t="shared" si="76"/>
        <v>6.1945330802800902E-3</v>
      </c>
      <c r="AD291" s="5">
        <f t="shared" si="77"/>
        <v>0.109576446163823</v>
      </c>
      <c r="AE291" s="5">
        <f t="shared" si="78"/>
        <v>8.4082797184929114E-2</v>
      </c>
      <c r="AF291" s="5">
        <f t="shared" si="79"/>
        <v>2.9536507973639325E-2</v>
      </c>
    </row>
    <row r="292" spans="1:32" x14ac:dyDescent="0.25">
      <c r="A292" s="2">
        <v>45092</v>
      </c>
      <c r="B292">
        <v>24695</v>
      </c>
      <c r="C292">
        <v>41448</v>
      </c>
      <c r="D292">
        <v>247372</v>
      </c>
      <c r="F292" s="5">
        <f t="shared" si="64"/>
        <v>0.59580679405520165</v>
      </c>
      <c r="G292" s="5">
        <f t="shared" si="65"/>
        <v>0.21097236176897438</v>
      </c>
      <c r="I292" s="2">
        <v>45092</v>
      </c>
      <c r="J292">
        <v>55699</v>
      </c>
      <c r="K292">
        <v>64213</v>
      </c>
      <c r="M292" s="5">
        <f t="shared" si="66"/>
        <v>0.80956570135909078</v>
      </c>
      <c r="N292" s="5">
        <f t="shared" si="67"/>
        <v>0.28949371415113034</v>
      </c>
      <c r="S292" s="5">
        <f t="shared" si="68"/>
        <v>7.5339615618078004E-3</v>
      </c>
      <c r="T292" s="5">
        <f t="shared" si="69"/>
        <v>1.9571479831333227E-2</v>
      </c>
      <c r="U292" s="5">
        <f t="shared" si="70"/>
        <v>2.8601097103236744E-2</v>
      </c>
      <c r="V292" s="5">
        <f t="shared" si="71"/>
        <v>-5.4478776422485886E-2</v>
      </c>
      <c r="W292" s="5">
        <f t="shared" si="72"/>
        <v>-6.5835814806220361E-2</v>
      </c>
      <c r="X292" s="5">
        <f t="shared" si="73"/>
        <v>-0.159257302354186</v>
      </c>
      <c r="AA292" s="5">
        <f t="shared" si="74"/>
        <v>9.9612908200513717E-4</v>
      </c>
      <c r="AB292" s="5">
        <f t="shared" si="75"/>
        <v>1.9238650164003779E-3</v>
      </c>
      <c r="AC292" s="5">
        <f t="shared" si="76"/>
        <v>6.193837084091991E-3</v>
      </c>
      <c r="AD292" s="5">
        <f t="shared" si="77"/>
        <v>0.10381627251061865</v>
      </c>
      <c r="AE292" s="5">
        <f t="shared" si="78"/>
        <v>7.3916585811635238E-2</v>
      </c>
      <c r="AF292" s="5">
        <f t="shared" si="79"/>
        <v>2.1172900242200254E-2</v>
      </c>
    </row>
    <row r="293" spans="1:32" x14ac:dyDescent="0.25">
      <c r="A293" s="2">
        <v>45091</v>
      </c>
      <c r="B293">
        <v>24620</v>
      </c>
      <c r="C293">
        <v>41698</v>
      </c>
      <c r="D293">
        <v>248701</v>
      </c>
      <c r="F293" s="5">
        <f t="shared" si="64"/>
        <v>0.59043599213391529</v>
      </c>
      <c r="G293" s="5">
        <f t="shared" si="65"/>
        <v>0.21052063526326983</v>
      </c>
      <c r="I293" s="2">
        <v>45091</v>
      </c>
      <c r="J293">
        <v>55474</v>
      </c>
      <c r="K293">
        <v>61213</v>
      </c>
      <c r="M293" s="5">
        <f t="shared" si="66"/>
        <v>0.81283123625482212</v>
      </c>
      <c r="N293" s="5">
        <f t="shared" si="67"/>
        <v>0.28793240681887156</v>
      </c>
      <c r="S293" s="5">
        <f t="shared" si="68"/>
        <v>7.2828399501932983E-3</v>
      </c>
      <c r="T293" s="5">
        <f t="shared" si="69"/>
        <v>1.9560047042048612E-2</v>
      </c>
      <c r="U293" s="5">
        <f t="shared" si="70"/>
        <v>2.8164698453271686E-2</v>
      </c>
      <c r="V293" s="5">
        <f t="shared" si="71"/>
        <v>-5.2141135700817354E-2</v>
      </c>
      <c r="W293" s="5">
        <f t="shared" si="72"/>
        <v>-6.4330652745707151E-2</v>
      </c>
      <c r="X293" s="5">
        <f t="shared" si="73"/>
        <v>-0.1573518048684891</v>
      </c>
      <c r="AA293" s="5">
        <f t="shared" si="74"/>
        <v>2.5541579319054986E-3</v>
      </c>
      <c r="AB293" s="5">
        <f t="shared" si="75"/>
        <v>1.7022151936120222E-3</v>
      </c>
      <c r="AC293" s="5">
        <f t="shared" si="76"/>
        <v>6.4947978791058403E-3</v>
      </c>
      <c r="AD293" s="5">
        <f t="shared" si="77"/>
        <v>9.6288402646781623E-2</v>
      </c>
      <c r="AE293" s="5">
        <f t="shared" si="78"/>
        <v>6.1904819887595997E-2</v>
      </c>
      <c r="AF293" s="5">
        <f t="shared" si="79"/>
        <v>1.1172880969452292E-2</v>
      </c>
    </row>
    <row r="294" spans="1:32" x14ac:dyDescent="0.25">
      <c r="A294" s="2">
        <v>45090</v>
      </c>
      <c r="B294">
        <v>25076</v>
      </c>
      <c r="C294">
        <v>42098</v>
      </c>
      <c r="D294">
        <v>249516</v>
      </c>
      <c r="F294" s="5">
        <f t="shared" si="64"/>
        <v>0.59565775096204099</v>
      </c>
      <c r="G294" s="5">
        <f t="shared" si="65"/>
        <v>0.21211279168903344</v>
      </c>
      <c r="I294" s="2">
        <v>45090</v>
      </c>
      <c r="J294">
        <v>55624</v>
      </c>
      <c r="K294">
        <v>61213</v>
      </c>
      <c r="M294" s="5">
        <f t="shared" si="66"/>
        <v>0.81062131454048614</v>
      </c>
      <c r="N294" s="5">
        <f t="shared" si="67"/>
        <v>0.28756531422208265</v>
      </c>
      <c r="S294" s="5">
        <f t="shared" si="68"/>
        <v>6.9010127309716562E-3</v>
      </c>
      <c r="T294" s="5">
        <f t="shared" si="69"/>
        <v>1.9465975390034085E-2</v>
      </c>
      <c r="U294" s="5">
        <f t="shared" si="70"/>
        <v>2.7659958011078511E-2</v>
      </c>
      <c r="V294" s="5">
        <f t="shared" si="71"/>
        <v>-4.8843968922013037E-2</v>
      </c>
      <c r="W294" s="5">
        <f t="shared" si="72"/>
        <v>-6.2269596395288618E-2</v>
      </c>
      <c r="X294" s="5">
        <f t="shared" si="73"/>
        <v>-0.15499930143497354</v>
      </c>
      <c r="AA294" s="5">
        <f t="shared" si="74"/>
        <v>3.9386374718696215E-3</v>
      </c>
      <c r="AB294" s="5">
        <f t="shared" si="75"/>
        <v>1.4205486202356621E-3</v>
      </c>
      <c r="AC294" s="5">
        <f t="shared" si="76"/>
        <v>6.6714513690222799E-3</v>
      </c>
      <c r="AD294" s="5">
        <f t="shared" si="77"/>
        <v>9.1922260800840483E-2</v>
      </c>
      <c r="AE294" s="5">
        <f t="shared" si="78"/>
        <v>5.2865005038668811E-2</v>
      </c>
      <c r="AF294" s="5">
        <f t="shared" si="79"/>
        <v>3.2140060751196797E-3</v>
      </c>
    </row>
    <row r="295" spans="1:32" x14ac:dyDescent="0.25">
      <c r="A295" s="2">
        <v>45089</v>
      </c>
      <c r="B295">
        <v>25436</v>
      </c>
      <c r="C295">
        <v>41823</v>
      </c>
      <c r="D295">
        <v>252269</v>
      </c>
      <c r="F295" s="5">
        <f t="shared" si="64"/>
        <v>0.6081821007579562</v>
      </c>
      <c r="G295" s="5">
        <f t="shared" si="65"/>
        <v>0.21049485491099371</v>
      </c>
      <c r="I295" s="2">
        <v>45089</v>
      </c>
      <c r="J295">
        <v>56424</v>
      </c>
      <c r="K295">
        <v>61183</v>
      </c>
      <c r="M295" s="5">
        <f t="shared" si="66"/>
        <v>0.79911030767049485</v>
      </c>
      <c r="N295" s="5">
        <f t="shared" si="67"/>
        <v>0.28693658806835848</v>
      </c>
      <c r="S295" s="5">
        <f t="shared" si="68"/>
        <v>6.4562422366178929E-3</v>
      </c>
      <c r="T295" s="5">
        <f t="shared" si="69"/>
        <v>1.9331808867915967E-2</v>
      </c>
      <c r="U295" s="5">
        <f t="shared" si="70"/>
        <v>2.7140674590341418E-2</v>
      </c>
      <c r="V295" s="5">
        <f t="shared" si="71"/>
        <v>-4.4470534512442317E-2</v>
      </c>
      <c r="W295" s="5">
        <f t="shared" si="72"/>
        <v>-5.9520836364358343E-2</v>
      </c>
      <c r="X295" s="5">
        <f t="shared" si="73"/>
        <v>-0.15205169121938811</v>
      </c>
      <c r="AA295" s="5">
        <f t="shared" si="74"/>
        <v>5.2948414826891887E-3</v>
      </c>
      <c r="AB295" s="5">
        <f t="shared" si="75"/>
        <v>1.03273201657339E-3</v>
      </c>
      <c r="AC295" s="5">
        <f t="shared" si="76"/>
        <v>6.7569890644024466E-3</v>
      </c>
      <c r="AD295" s="5">
        <f t="shared" si="77"/>
        <v>8.7980622340032955E-2</v>
      </c>
      <c r="AE295" s="5">
        <f t="shared" si="78"/>
        <v>4.3663271120299718E-2</v>
      </c>
      <c r="AF295" s="5">
        <f t="shared" si="79"/>
        <v>-4.8654291597010624E-3</v>
      </c>
    </row>
    <row r="296" spans="1:32" x14ac:dyDescent="0.25">
      <c r="A296" s="2">
        <v>45086</v>
      </c>
      <c r="B296">
        <v>24811</v>
      </c>
      <c r="C296">
        <v>41823</v>
      </c>
      <c r="D296">
        <v>253915</v>
      </c>
      <c r="F296" s="5">
        <f t="shared" si="64"/>
        <v>0.59323817038471649</v>
      </c>
      <c r="G296" s="5">
        <f t="shared" si="65"/>
        <v>0.20787461511344599</v>
      </c>
      <c r="I296" s="2">
        <v>45086</v>
      </c>
      <c r="J296">
        <v>56424</v>
      </c>
      <c r="K296">
        <v>61183</v>
      </c>
      <c r="M296" s="5">
        <f t="shared" si="66"/>
        <v>0.79905713880618179</v>
      </c>
      <c r="N296" s="5">
        <f t="shared" si="67"/>
        <v>0.28560174439051839</v>
      </c>
      <c r="S296" s="5">
        <f t="shared" si="68"/>
        <v>6.000349635540525E-3</v>
      </c>
      <c r="T296" s="5">
        <f t="shared" si="69"/>
        <v>1.9210092720343408E-2</v>
      </c>
      <c r="U296" s="5">
        <f t="shared" si="70"/>
        <v>2.6646340250356865E-2</v>
      </c>
      <c r="V296" s="5">
        <f t="shared" si="71"/>
        <v>-3.9553704612727447E-2</v>
      </c>
      <c r="W296" s="5">
        <f t="shared" si="72"/>
        <v>-5.6227471847076882E-2</v>
      </c>
      <c r="X296" s="5">
        <f t="shared" si="73"/>
        <v>-0.14858609324844418</v>
      </c>
      <c r="AA296" s="5">
        <f t="shared" si="74"/>
        <v>6.7792898944055713E-3</v>
      </c>
      <c r="AB296" s="5">
        <f t="shared" si="75"/>
        <v>7.7413845490681421E-4</v>
      </c>
      <c r="AC296" s="5">
        <f t="shared" si="76"/>
        <v>6.9817490377166724E-3</v>
      </c>
      <c r="AD296" s="5">
        <f t="shared" si="77"/>
        <v>8.3946676955855115E-2</v>
      </c>
      <c r="AE296" s="5">
        <f t="shared" si="78"/>
        <v>3.4210936324077068E-2</v>
      </c>
      <c r="AF296" s="5">
        <f t="shared" si="79"/>
        <v>-1.3323515075754799E-2</v>
      </c>
    </row>
    <row r="297" spans="1:32" x14ac:dyDescent="0.25">
      <c r="A297" s="2">
        <v>45085</v>
      </c>
      <c r="B297">
        <v>24811</v>
      </c>
      <c r="C297">
        <v>41823</v>
      </c>
      <c r="D297">
        <v>256590</v>
      </c>
      <c r="F297" s="5">
        <f t="shared" si="64"/>
        <v>0.59323817038471649</v>
      </c>
      <c r="G297" s="5">
        <f t="shared" si="65"/>
        <v>0.20615424597183377</v>
      </c>
      <c r="I297" s="2">
        <v>45085</v>
      </c>
      <c r="J297">
        <v>56954</v>
      </c>
      <c r="K297">
        <v>61183</v>
      </c>
      <c r="M297" s="5">
        <f t="shared" si="66"/>
        <v>0.79160375039505571</v>
      </c>
      <c r="N297" s="5">
        <f t="shared" si="67"/>
        <v>0.28452523359795218</v>
      </c>
      <c r="S297" s="5">
        <f t="shared" si="68"/>
        <v>5.6001749604212558E-3</v>
      </c>
      <c r="T297" s="5">
        <f t="shared" si="69"/>
        <v>1.915067854720276E-2</v>
      </c>
      <c r="U297" s="5">
        <f t="shared" si="70"/>
        <v>2.6230368413065308E-2</v>
      </c>
      <c r="V297" s="5">
        <f t="shared" si="71"/>
        <v>-3.4635295907685659E-2</v>
      </c>
      <c r="W297" s="5">
        <f t="shared" si="72"/>
        <v>-5.2899537642010386E-2</v>
      </c>
      <c r="X297" s="5">
        <f t="shared" si="73"/>
        <v>-0.14514669439106753</v>
      </c>
      <c r="AA297" s="5">
        <f t="shared" si="74"/>
        <v>8.7037888860238277E-3</v>
      </c>
      <c r="AB297" s="5">
        <f t="shared" si="75"/>
        <v>6.1347000441439037E-4</v>
      </c>
      <c r="AC297" s="5">
        <f t="shared" si="76"/>
        <v>7.2959416368691965E-3</v>
      </c>
      <c r="AD297" s="5">
        <f t="shared" si="77"/>
        <v>7.9671445687888698E-2</v>
      </c>
      <c r="AE297" s="5">
        <f t="shared" si="78"/>
        <v>2.5078682412084663E-2</v>
      </c>
      <c r="AF297" s="5">
        <f t="shared" si="79"/>
        <v>-2.1483355876734889E-2</v>
      </c>
    </row>
    <row r="298" spans="1:32" x14ac:dyDescent="0.25">
      <c r="A298" s="2">
        <v>45084</v>
      </c>
      <c r="B298">
        <v>23911</v>
      </c>
      <c r="C298">
        <v>41600</v>
      </c>
      <c r="D298">
        <v>255965</v>
      </c>
      <c r="F298" s="5">
        <f t="shared" si="64"/>
        <v>0.57478365384615382</v>
      </c>
      <c r="G298" s="5">
        <f t="shared" si="65"/>
        <v>0.20378193084398213</v>
      </c>
      <c r="I298" s="2">
        <v>45084</v>
      </c>
      <c r="J298">
        <v>56954</v>
      </c>
      <c r="K298">
        <v>61183</v>
      </c>
      <c r="M298" s="5">
        <f t="shared" si="66"/>
        <v>0.79158619236576888</v>
      </c>
      <c r="N298" s="5">
        <f t="shared" si="67"/>
        <v>0.28501995793331342</v>
      </c>
      <c r="S298" s="5">
        <f t="shared" si="68"/>
        <v>5.1979851568016433E-3</v>
      </c>
      <c r="T298" s="5">
        <f t="shared" si="69"/>
        <v>1.9116358468149408E-2</v>
      </c>
      <c r="U298" s="5">
        <f t="shared" si="70"/>
        <v>2.5831564651753264E-2</v>
      </c>
      <c r="V298" s="5">
        <f t="shared" si="71"/>
        <v>-2.936291699032656E-2</v>
      </c>
      <c r="W298" s="5">
        <f t="shared" si="72"/>
        <v>-4.9415226009706048E-2</v>
      </c>
      <c r="X298" s="5">
        <f t="shared" si="73"/>
        <v>-0.14138205036420204</v>
      </c>
      <c r="AA298" s="5">
        <f t="shared" si="74"/>
        <v>1.0978987383299887E-2</v>
      </c>
      <c r="AB298" s="5">
        <f t="shared" si="75"/>
        <v>4.6469966297482679E-4</v>
      </c>
      <c r="AC298" s="5">
        <f t="shared" si="76"/>
        <v>7.6611278187193599E-3</v>
      </c>
      <c r="AD298" s="5">
        <f t="shared" si="77"/>
        <v>7.4221822073503418E-2</v>
      </c>
      <c r="AE298" s="5">
        <f t="shared" si="78"/>
        <v>1.5249696379879774E-2</v>
      </c>
      <c r="AF298" s="5">
        <f t="shared" si="79"/>
        <v>-2.9925768278761589E-2</v>
      </c>
    </row>
    <row r="299" spans="1:32" x14ac:dyDescent="0.25">
      <c r="A299" s="2">
        <v>45083</v>
      </c>
      <c r="B299">
        <v>23736</v>
      </c>
      <c r="C299">
        <v>42250</v>
      </c>
      <c r="D299">
        <v>259133</v>
      </c>
      <c r="F299" s="5">
        <f t="shared" si="64"/>
        <v>0.56179881656804731</v>
      </c>
      <c r="G299" s="5">
        <f t="shared" si="65"/>
        <v>0.20295953174068571</v>
      </c>
      <c r="I299" s="2">
        <v>45083</v>
      </c>
      <c r="J299">
        <v>57004</v>
      </c>
      <c r="K299">
        <v>61208</v>
      </c>
      <c r="M299" s="5">
        <f t="shared" si="66"/>
        <v>0.79087432460879936</v>
      </c>
      <c r="N299" s="5">
        <f t="shared" si="67"/>
        <v>0.28261724157023421</v>
      </c>
      <c r="S299" s="5">
        <f t="shared" si="68"/>
        <v>4.6718648023735265E-3</v>
      </c>
      <c r="T299" s="5">
        <f t="shared" si="69"/>
        <v>1.8994673599697864E-2</v>
      </c>
      <c r="U299" s="5">
        <f t="shared" si="70"/>
        <v>2.5382113540723311E-2</v>
      </c>
      <c r="V299" s="5">
        <f t="shared" si="71"/>
        <v>-2.4090655021689278E-2</v>
      </c>
      <c r="W299" s="5">
        <f t="shared" si="72"/>
        <v>-4.5814437929748819E-2</v>
      </c>
      <c r="X299" s="5">
        <f t="shared" si="73"/>
        <v>-0.1376472389987482</v>
      </c>
      <c r="AA299" s="5">
        <f t="shared" si="74"/>
        <v>1.3074555082658063E-2</v>
      </c>
      <c r="AB299" s="5">
        <f t="shared" si="75"/>
        <v>2.3822433033673929E-4</v>
      </c>
      <c r="AC299" s="5">
        <f t="shared" si="76"/>
        <v>7.9821114781583047E-3</v>
      </c>
      <c r="AD299" s="5">
        <f t="shared" si="77"/>
        <v>6.7672096752104838E-2</v>
      </c>
      <c r="AE299" s="5">
        <f t="shared" si="78"/>
        <v>4.9338586240939009E-3</v>
      </c>
      <c r="AF299" s="5">
        <f t="shared" si="79"/>
        <v>-3.8732580345528345E-2</v>
      </c>
    </row>
    <row r="300" spans="1:32" x14ac:dyDescent="0.25">
      <c r="A300" s="2">
        <v>45082</v>
      </c>
      <c r="B300">
        <v>23461</v>
      </c>
      <c r="C300">
        <v>42650</v>
      </c>
      <c r="D300">
        <v>261342</v>
      </c>
      <c r="F300" s="5">
        <f t="shared" si="64"/>
        <v>0.55008206330597886</v>
      </c>
      <c r="G300" s="5">
        <f t="shared" si="65"/>
        <v>0.2018946230451393</v>
      </c>
      <c r="I300" s="2">
        <v>45082</v>
      </c>
      <c r="J300">
        <v>56334</v>
      </c>
      <c r="K300">
        <v>61183</v>
      </c>
      <c r="M300" s="5">
        <f t="shared" si="66"/>
        <v>0.80026271878439303</v>
      </c>
      <c r="N300" s="5">
        <f t="shared" si="67"/>
        <v>0.27956929964328836</v>
      </c>
      <c r="S300" s="5">
        <f t="shared" si="68"/>
        <v>1.0026345739024778E-2</v>
      </c>
      <c r="T300" s="5">
        <f t="shared" si="69"/>
        <v>1.8992569781818736E-2</v>
      </c>
      <c r="U300" s="5">
        <f t="shared" si="70"/>
        <v>2.5080697330727098E-2</v>
      </c>
      <c r="V300" s="5">
        <f t="shared" si="71"/>
        <v>-1.9108844011678117E-2</v>
      </c>
      <c r="W300" s="5">
        <f t="shared" si="72"/>
        <v>-4.2083909928556484E-2</v>
      </c>
      <c r="X300" s="5">
        <f t="shared" si="73"/>
        <v>-0.13391023467425123</v>
      </c>
      <c r="AA300" s="5">
        <f t="shared" si="74"/>
        <v>1.5372304294913264E-2</v>
      </c>
      <c r="AB300" s="5">
        <f t="shared" si="75"/>
        <v>3.6801109004142019E-5</v>
      </c>
      <c r="AC300" s="5">
        <f t="shared" si="76"/>
        <v>8.3679597591986843E-3</v>
      </c>
      <c r="AD300" s="5">
        <f t="shared" si="77"/>
        <v>6.125138865282459E-2</v>
      </c>
      <c r="AE300" s="5">
        <f t="shared" si="78"/>
        <v>-5.1017156976220224E-3</v>
      </c>
      <c r="AF300" s="5">
        <f t="shared" si="79"/>
        <v>-4.6944727280504972E-2</v>
      </c>
    </row>
    <row r="301" spans="1:32" x14ac:dyDescent="0.25">
      <c r="A301" s="2">
        <v>45079</v>
      </c>
      <c r="B301">
        <v>23111</v>
      </c>
      <c r="C301">
        <v>42650</v>
      </c>
      <c r="D301">
        <v>262029</v>
      </c>
      <c r="F301" s="5">
        <f t="shared" si="64"/>
        <v>0.54187573270808909</v>
      </c>
      <c r="G301" s="5">
        <f t="shared" si="65"/>
        <v>0.20061929894139541</v>
      </c>
      <c r="I301" s="2">
        <v>45079</v>
      </c>
      <c r="J301">
        <v>56259</v>
      </c>
      <c r="K301">
        <v>61088</v>
      </c>
      <c r="M301" s="5">
        <f t="shared" si="66"/>
        <v>0.80127624024600508</v>
      </c>
      <c r="N301" s="5">
        <f t="shared" si="67"/>
        <v>0.27888608486736549</v>
      </c>
      <c r="S301" s="5">
        <f t="shared" si="68"/>
        <v>9.7363928396504984E-3</v>
      </c>
      <c r="T301" s="5">
        <f t="shared" si="69"/>
        <v>1.9091038402812621E-2</v>
      </c>
      <c r="U301" s="5">
        <f t="shared" si="70"/>
        <v>2.4909336281400102E-2</v>
      </c>
      <c r="V301" s="5">
        <f t="shared" si="71"/>
        <v>-1.3759749573212132E-2</v>
      </c>
      <c r="W301" s="5">
        <f t="shared" si="72"/>
        <v>-3.8686101630552083E-2</v>
      </c>
      <c r="X301" s="5">
        <f t="shared" si="73"/>
        <v>-0.13054906407331668</v>
      </c>
      <c r="AA301" s="5">
        <f t="shared" si="74"/>
        <v>1.7597905259645913E-2</v>
      </c>
      <c r="AB301" s="5">
        <f t="shared" si="75"/>
        <v>-1.1169789876830372E-4</v>
      </c>
      <c r="AC301" s="5">
        <f t="shared" si="76"/>
        <v>8.730713926091177E-3</v>
      </c>
      <c r="AD301" s="5">
        <f t="shared" si="77"/>
        <v>5.4034438120613759E-2</v>
      </c>
      <c r="AE301" s="5">
        <f t="shared" si="78"/>
        <v>-1.538974784503E-2</v>
      </c>
      <c r="AF301" s="5">
        <f t="shared" si="79"/>
        <v>-5.5465847238081567E-2</v>
      </c>
    </row>
    <row r="302" spans="1:32" x14ac:dyDescent="0.25">
      <c r="A302" s="2">
        <v>45078</v>
      </c>
      <c r="B302">
        <v>21736</v>
      </c>
      <c r="C302">
        <v>42975</v>
      </c>
      <c r="D302">
        <v>262073</v>
      </c>
      <c r="F302" s="5">
        <f t="shared" si="64"/>
        <v>0.50578243164630599</v>
      </c>
      <c r="G302" s="5">
        <f t="shared" si="65"/>
        <v>0.19802377105366237</v>
      </c>
      <c r="I302" s="2">
        <v>45078</v>
      </c>
      <c r="J302">
        <v>55114</v>
      </c>
      <c r="K302">
        <v>60618</v>
      </c>
      <c r="M302" s="5">
        <f t="shared" si="66"/>
        <v>0.81790470660812131</v>
      </c>
      <c r="N302" s="5">
        <f t="shared" si="67"/>
        <v>0.27657101845334214</v>
      </c>
      <c r="S302" s="5">
        <f t="shared" si="68"/>
        <v>9.3019151532708344E-3</v>
      </c>
      <c r="T302" s="5">
        <f t="shared" si="69"/>
        <v>1.9092126150167088E-2</v>
      </c>
      <c r="U302" s="5">
        <f t="shared" si="70"/>
        <v>2.4668382011687556E-2</v>
      </c>
      <c r="V302" s="5">
        <f t="shared" si="71"/>
        <v>-7.5464381088056198E-3</v>
      </c>
      <c r="W302" s="5">
        <f t="shared" si="72"/>
        <v>-3.4491187384016131E-2</v>
      </c>
      <c r="X302" s="5">
        <f t="shared" si="73"/>
        <v>-0.12653849985313703</v>
      </c>
      <c r="AA302" s="5">
        <f t="shared" si="74"/>
        <v>1.9961805936950489E-2</v>
      </c>
      <c r="AB302" s="5">
        <f t="shared" si="75"/>
        <v>-2.4556248618584631E-4</v>
      </c>
      <c r="AC302" s="5">
        <f t="shared" si="76"/>
        <v>9.1354013726009931E-3</v>
      </c>
      <c r="AD302" s="5">
        <f t="shared" si="77"/>
        <v>4.7109612355182962E-2</v>
      </c>
      <c r="AE302" s="5">
        <f t="shared" si="78"/>
        <v>-2.5754774708485417E-2</v>
      </c>
      <c r="AF302" s="5">
        <f t="shared" si="79"/>
        <v>-6.3624939505944833E-2</v>
      </c>
    </row>
    <row r="303" spans="1:32" x14ac:dyDescent="0.25">
      <c r="A303" s="2">
        <v>45077</v>
      </c>
      <c r="B303">
        <v>21711</v>
      </c>
      <c r="C303">
        <v>43525</v>
      </c>
      <c r="D303">
        <v>262879</v>
      </c>
      <c r="F303" s="5">
        <f t="shared" si="64"/>
        <v>0.49881677197013213</v>
      </c>
      <c r="G303" s="5">
        <f t="shared" si="65"/>
        <v>0.19882053548298614</v>
      </c>
      <c r="I303" s="2">
        <v>45077</v>
      </c>
      <c r="J303">
        <v>50439</v>
      </c>
      <c r="K303">
        <v>60368</v>
      </c>
      <c r="M303" s="5">
        <f t="shared" si="66"/>
        <v>0.89369337219215295</v>
      </c>
      <c r="N303" s="5">
        <f t="shared" si="67"/>
        <v>0.26651041448680923</v>
      </c>
      <c r="S303" s="5">
        <f t="shared" si="68"/>
        <v>8.9298310979862294E-3</v>
      </c>
      <c r="T303" s="5">
        <f t="shared" si="69"/>
        <v>1.9205763156441014E-2</v>
      </c>
      <c r="U303" s="5">
        <f t="shared" si="70"/>
        <v>2.4535122854299318E-2</v>
      </c>
      <c r="V303" s="5">
        <f t="shared" si="71"/>
        <v>-1.9455261014031944E-3</v>
      </c>
      <c r="W303" s="5">
        <f t="shared" si="72"/>
        <v>-3.096781327086795E-2</v>
      </c>
      <c r="X303" s="5">
        <f t="shared" si="73"/>
        <v>-0.12324059938744769</v>
      </c>
      <c r="AA303" s="5">
        <f t="shared" si="74"/>
        <v>2.2176961803973272E-2</v>
      </c>
      <c r="AB303" s="5">
        <f t="shared" si="75"/>
        <v>-4.0310305925211898E-4</v>
      </c>
      <c r="AC303" s="5">
        <f t="shared" si="76"/>
        <v>9.5526479892311389E-3</v>
      </c>
      <c r="AD303" s="5">
        <f t="shared" si="77"/>
        <v>4.2811532687437814E-2</v>
      </c>
      <c r="AE303" s="5">
        <f t="shared" si="78"/>
        <v>-3.3770818851608486E-2</v>
      </c>
      <c r="AF303" s="5">
        <f t="shared" si="79"/>
        <v>-6.9695738259944406E-2</v>
      </c>
    </row>
    <row r="304" spans="1:32" x14ac:dyDescent="0.25">
      <c r="A304" s="2">
        <v>45076</v>
      </c>
      <c r="B304">
        <v>21611</v>
      </c>
      <c r="C304">
        <v>43550</v>
      </c>
      <c r="D304">
        <v>262178</v>
      </c>
      <c r="F304" s="5">
        <f t="shared" si="64"/>
        <v>0.49623421354764641</v>
      </c>
      <c r="G304" s="5">
        <f t="shared" si="65"/>
        <v>0.19906274534962226</v>
      </c>
      <c r="I304" s="2">
        <v>45076</v>
      </c>
      <c r="J304">
        <v>50439</v>
      </c>
      <c r="K304">
        <v>61318</v>
      </c>
      <c r="M304" s="5">
        <f t="shared" si="66"/>
        <v>0.8936735462638038</v>
      </c>
      <c r="N304" s="5">
        <f t="shared" si="67"/>
        <v>0.26703066596215191</v>
      </c>
      <c r="S304" s="5">
        <f t="shared" si="68"/>
        <v>9.196799052783422E-3</v>
      </c>
      <c r="T304" s="5">
        <f t="shared" si="69"/>
        <v>1.9855492330132896E-2</v>
      </c>
      <c r="U304" s="5">
        <f t="shared" si="70"/>
        <v>2.4953314903472579E-2</v>
      </c>
      <c r="V304" s="5">
        <f t="shared" si="71"/>
        <v>4.5413572980046446E-5</v>
      </c>
      <c r="W304" s="5">
        <f t="shared" si="72"/>
        <v>-3.103537912565757E-2</v>
      </c>
      <c r="X304" s="5">
        <f t="shared" si="73"/>
        <v>-0.12358335235249529</v>
      </c>
      <c r="AA304" s="5">
        <f t="shared" si="74"/>
        <v>2.4580557444149526E-2</v>
      </c>
      <c r="AB304" s="5">
        <f t="shared" si="75"/>
        <v>-5.2397858615785275E-4</v>
      </c>
      <c r="AC304" s="5">
        <f t="shared" si="76"/>
        <v>1.0021910720882932E-2</v>
      </c>
      <c r="AD304" s="5">
        <f t="shared" si="77"/>
        <v>3.9697901582128714E-2</v>
      </c>
      <c r="AE304" s="5">
        <f t="shared" si="78"/>
        <v>-4.100247080130609E-2</v>
      </c>
      <c r="AF304" s="5">
        <f t="shared" si="79"/>
        <v>-7.5091584025944957E-2</v>
      </c>
    </row>
    <row r="305" spans="1:32" x14ac:dyDescent="0.25">
      <c r="A305" s="2">
        <v>45075</v>
      </c>
      <c r="B305">
        <v>21611</v>
      </c>
      <c r="C305">
        <v>43550</v>
      </c>
      <c r="D305">
        <v>259977</v>
      </c>
      <c r="F305" s="5">
        <f t="shared" si="64"/>
        <v>0.49623421354764641</v>
      </c>
      <c r="G305" s="5">
        <f t="shared" si="65"/>
        <v>0.20041028732415159</v>
      </c>
      <c r="I305" s="2">
        <v>45075</v>
      </c>
      <c r="J305">
        <v>50439</v>
      </c>
      <c r="K305">
        <v>61318</v>
      </c>
      <c r="M305" s="5">
        <f t="shared" si="66"/>
        <v>0.89365372033545476</v>
      </c>
      <c r="N305" s="5">
        <f t="shared" si="67"/>
        <v>0.26868190755884114</v>
      </c>
      <c r="S305" s="5">
        <f t="shared" si="68"/>
        <v>9.2386795331496074E-3</v>
      </c>
      <c r="T305" s="5">
        <f t="shared" si="69"/>
        <v>2.0354920342603056E-2</v>
      </c>
      <c r="U305" s="5">
        <f t="shared" si="70"/>
        <v>2.52378802861013E-2</v>
      </c>
      <c r="V305" s="5">
        <f t="shared" si="71"/>
        <v>2.0382910850097469E-3</v>
      </c>
      <c r="W305" s="5">
        <f t="shared" si="72"/>
        <v>-3.12787664113654E-2</v>
      </c>
      <c r="X305" s="5">
        <f t="shared" si="73"/>
        <v>-0.12395796776113388</v>
      </c>
      <c r="AA305" s="5">
        <f t="shared" si="74"/>
        <v>2.6967427307528963E-2</v>
      </c>
      <c r="AB305" s="5">
        <f t="shared" si="75"/>
        <v>-8.1197119616333024E-4</v>
      </c>
      <c r="AC305" s="5">
        <f t="shared" si="76"/>
        <v>1.0385848382642809E-2</v>
      </c>
      <c r="AD305" s="5">
        <f t="shared" si="77"/>
        <v>3.7028465198630012E-2</v>
      </c>
      <c r="AE305" s="5">
        <f t="shared" si="78"/>
        <v>-4.793546935657661E-2</v>
      </c>
      <c r="AF305" s="5">
        <f t="shared" si="79"/>
        <v>-8.0393142536780371E-2</v>
      </c>
    </row>
    <row r="306" spans="1:32" x14ac:dyDescent="0.25">
      <c r="A306" s="2">
        <v>45072</v>
      </c>
      <c r="B306">
        <v>21511</v>
      </c>
      <c r="C306">
        <v>45749</v>
      </c>
      <c r="D306">
        <v>260070</v>
      </c>
      <c r="F306" s="5">
        <f t="shared" si="64"/>
        <v>0.47019606985945051</v>
      </c>
      <c r="G306" s="5">
        <f t="shared" si="65"/>
        <v>0.20548070754284667</v>
      </c>
      <c r="I306" s="2">
        <v>45072</v>
      </c>
      <c r="J306">
        <v>50439</v>
      </c>
      <c r="K306">
        <v>60818</v>
      </c>
      <c r="M306" s="5">
        <f t="shared" si="66"/>
        <v>0.89359424255040742</v>
      </c>
      <c r="N306" s="5">
        <f t="shared" si="67"/>
        <v>0.26860546542138081</v>
      </c>
      <c r="S306" s="5">
        <f t="shared" si="68"/>
        <v>9.2485786865271757E-3</v>
      </c>
      <c r="T306" s="5">
        <f t="shared" si="69"/>
        <v>2.0805625703909592E-2</v>
      </c>
      <c r="U306" s="5">
        <f t="shared" si="70"/>
        <v>2.5463739101400373E-2</v>
      </c>
      <c r="V306" s="5">
        <f t="shared" si="71"/>
        <v>4.20588092278118E-3</v>
      </c>
      <c r="W306" s="5">
        <f t="shared" si="72"/>
        <v>-3.1794499876093396E-2</v>
      </c>
      <c r="X306" s="5">
        <f t="shared" si="73"/>
        <v>-0.12431235948510433</v>
      </c>
      <c r="AA306" s="5">
        <f t="shared" si="74"/>
        <v>2.9494464640173468E-2</v>
      </c>
      <c r="AB306" s="5">
        <f t="shared" si="75"/>
        <v>-1.1256683291422653E-3</v>
      </c>
      <c r="AC306" s="5">
        <f t="shared" si="76"/>
        <v>1.0704274003094372E-2</v>
      </c>
      <c r="AD306" s="5">
        <f t="shared" si="77"/>
        <v>3.4944873313742353E-2</v>
      </c>
      <c r="AE306" s="5">
        <f t="shared" si="78"/>
        <v>-5.4918429173205552E-2</v>
      </c>
      <c r="AF306" s="5">
        <f t="shared" si="79"/>
        <v>-8.5724455421147205E-2</v>
      </c>
    </row>
    <row r="307" spans="1:32" x14ac:dyDescent="0.25">
      <c r="A307" s="2">
        <v>45071</v>
      </c>
      <c r="B307">
        <v>20936</v>
      </c>
      <c r="C307">
        <v>46998</v>
      </c>
      <c r="D307">
        <v>258395</v>
      </c>
      <c r="F307" s="5">
        <f t="shared" si="64"/>
        <v>0.44546576450061703</v>
      </c>
      <c r="G307" s="5">
        <f t="shared" si="65"/>
        <v>0.2081764109227191</v>
      </c>
      <c r="I307" s="2">
        <v>45071</v>
      </c>
      <c r="J307">
        <v>50439</v>
      </c>
      <c r="K307">
        <v>60968</v>
      </c>
      <c r="M307" s="5">
        <f t="shared" si="66"/>
        <v>0.89357441662205828</v>
      </c>
      <c r="N307" s="5">
        <f t="shared" si="67"/>
        <v>0.26987468388409319</v>
      </c>
      <c r="S307" s="5">
        <f t="shared" si="68"/>
        <v>9.4504058159530224E-3</v>
      </c>
      <c r="T307" s="5">
        <f t="shared" si="69"/>
        <v>2.1364709425952783E-2</v>
      </c>
      <c r="U307" s="5">
        <f t="shared" si="70"/>
        <v>2.5792682006227391E-2</v>
      </c>
      <c r="V307" s="5">
        <f t="shared" si="71"/>
        <v>5.125194281196066E-3</v>
      </c>
      <c r="W307" s="5">
        <f t="shared" si="72"/>
        <v>-3.3498757981018312E-2</v>
      </c>
      <c r="X307" s="5">
        <f t="shared" si="73"/>
        <v>-0.12547080990286741</v>
      </c>
      <c r="AA307" s="5">
        <f t="shared" si="74"/>
        <v>3.172879874035428E-2</v>
      </c>
      <c r="AB307" s="5">
        <f t="shared" si="75"/>
        <v>-1.7063180092374286E-3</v>
      </c>
      <c r="AC307" s="5">
        <f t="shared" si="76"/>
        <v>1.0688654998987385E-2</v>
      </c>
      <c r="AD307" s="5">
        <f t="shared" si="77"/>
        <v>3.8642644249247793E-2</v>
      </c>
      <c r="AE307" s="5">
        <f t="shared" si="78"/>
        <v>-6.0562569320588178E-2</v>
      </c>
      <c r="AF307" s="5">
        <f t="shared" si="79"/>
        <v>-8.9307315403119369E-2</v>
      </c>
    </row>
    <row r="308" spans="1:32" x14ac:dyDescent="0.25">
      <c r="A308" s="2">
        <v>45070</v>
      </c>
      <c r="B308">
        <v>20636</v>
      </c>
      <c r="C308">
        <v>46998</v>
      </c>
      <c r="D308">
        <v>256489</v>
      </c>
      <c r="F308" s="5">
        <f t="shared" si="64"/>
        <v>0.43908251414953831</v>
      </c>
      <c r="G308" s="5">
        <f t="shared" si="65"/>
        <v>0.20866769713966613</v>
      </c>
      <c r="I308" s="2">
        <v>45070</v>
      </c>
      <c r="J308">
        <v>50439</v>
      </c>
      <c r="K308">
        <v>60968</v>
      </c>
      <c r="M308" s="5">
        <f t="shared" si="66"/>
        <v>0.89355459069370924</v>
      </c>
      <c r="N308" s="5">
        <f t="shared" si="67"/>
        <v>0.271333928033682</v>
      </c>
      <c r="S308" s="5">
        <f t="shared" si="68"/>
        <v>9.9066485285185801E-3</v>
      </c>
      <c r="T308" s="5">
        <f t="shared" si="69"/>
        <v>2.1929969498576979E-2</v>
      </c>
      <c r="U308" s="5">
        <f t="shared" si="70"/>
        <v>2.6113331037269372E-2</v>
      </c>
      <c r="V308" s="5">
        <f t="shared" si="71"/>
        <v>6.4753707382149139E-3</v>
      </c>
      <c r="W308" s="5">
        <f t="shared" si="72"/>
        <v>-3.5208164517876672E-2</v>
      </c>
      <c r="X308" s="5">
        <f t="shared" si="73"/>
        <v>-0.12653760149797022</v>
      </c>
      <c r="AA308" s="5">
        <f t="shared" si="74"/>
        <v>3.4010588837831757E-2</v>
      </c>
      <c r="AB308" s="5">
        <f t="shared" si="75"/>
        <v>-2.5001043606988349E-3</v>
      </c>
      <c r="AC308" s="5">
        <f t="shared" si="76"/>
        <v>1.0480185053807989E-2</v>
      </c>
      <c r="AD308" s="5">
        <f t="shared" si="77"/>
        <v>4.3902531727344929E-2</v>
      </c>
      <c r="AE308" s="5">
        <f t="shared" si="78"/>
        <v>-6.5108106510963271E-2</v>
      </c>
      <c r="AF308" s="5">
        <f t="shared" si="79"/>
        <v>-9.1780998377819722E-2</v>
      </c>
    </row>
    <row r="309" spans="1:32" x14ac:dyDescent="0.25">
      <c r="A309" s="2">
        <v>45069</v>
      </c>
      <c r="B309">
        <v>20636</v>
      </c>
      <c r="C309">
        <v>46922</v>
      </c>
      <c r="D309">
        <v>255496</v>
      </c>
      <c r="F309" s="5">
        <f t="shared" si="64"/>
        <v>0.4397937001832829</v>
      </c>
      <c r="G309" s="5">
        <f t="shared" si="65"/>
        <v>0.20912293300810392</v>
      </c>
      <c r="I309" s="2">
        <v>45069</v>
      </c>
      <c r="J309">
        <v>50439</v>
      </c>
      <c r="K309">
        <v>60968</v>
      </c>
      <c r="M309" s="5">
        <f t="shared" si="66"/>
        <v>0.89353476476536009</v>
      </c>
      <c r="N309" s="5">
        <f t="shared" si="67"/>
        <v>0.27209946325397999</v>
      </c>
      <c r="S309" s="5">
        <f t="shared" si="68"/>
        <v>1.0218944995817658E-2</v>
      </c>
      <c r="T309" s="5">
        <f t="shared" si="69"/>
        <v>2.2372489602045881E-2</v>
      </c>
      <c r="U309" s="5">
        <f t="shared" si="70"/>
        <v>2.6322316848656824E-2</v>
      </c>
      <c r="V309" s="5">
        <f t="shared" si="71"/>
        <v>9.4573030464070174E-3</v>
      </c>
      <c r="W309" s="5">
        <f t="shared" si="72"/>
        <v>-3.5743964160593888E-2</v>
      </c>
      <c r="X309" s="5">
        <f t="shared" si="73"/>
        <v>-0.12656377172744038</v>
      </c>
      <c r="AA309" s="5">
        <f t="shared" si="74"/>
        <v>3.6113097990311205E-2</v>
      </c>
      <c r="AB309" s="5">
        <f t="shared" si="75"/>
        <v>-3.3810613209446228E-3</v>
      </c>
      <c r="AC309" s="5">
        <f t="shared" si="76"/>
        <v>1.0153983650609738E-2</v>
      </c>
      <c r="AD309" s="5">
        <f t="shared" si="77"/>
        <v>4.8345838595615809E-2</v>
      </c>
      <c r="AE309" s="5">
        <f t="shared" si="78"/>
        <v>-7.0046783040164595E-2</v>
      </c>
      <c r="AF309" s="5">
        <f t="shared" si="79"/>
        <v>-9.4588274903211478E-2</v>
      </c>
    </row>
    <row r="310" spans="1:32" x14ac:dyDescent="0.25">
      <c r="A310" s="2">
        <v>45068</v>
      </c>
      <c r="B310">
        <v>20636</v>
      </c>
      <c r="C310">
        <v>46897</v>
      </c>
      <c r="D310">
        <v>254943</v>
      </c>
      <c r="F310" s="5">
        <f t="shared" si="64"/>
        <v>0.44002814678977331</v>
      </c>
      <c r="G310" s="5">
        <f t="shared" si="65"/>
        <v>0.20942023592453393</v>
      </c>
      <c r="I310" s="2">
        <v>45068</v>
      </c>
      <c r="J310">
        <v>50439</v>
      </c>
      <c r="K310">
        <v>60680</v>
      </c>
      <c r="M310" s="5">
        <f t="shared" si="66"/>
        <v>0.89351493883701105</v>
      </c>
      <c r="N310" s="5">
        <f t="shared" si="67"/>
        <v>0.27252675131973175</v>
      </c>
      <c r="S310" s="5">
        <f t="shared" si="68"/>
        <v>1.0988039625288215E-2</v>
      </c>
      <c r="T310" s="5">
        <f t="shared" si="69"/>
        <v>2.2870507919897476E-2</v>
      </c>
      <c r="U310" s="5">
        <f t="shared" si="70"/>
        <v>2.6602544210969803E-2</v>
      </c>
      <c r="V310" s="5">
        <f t="shared" si="71"/>
        <v>9.3963066048670107E-3</v>
      </c>
      <c r="W310" s="5">
        <f t="shared" si="72"/>
        <v>-3.8282303366103831E-2</v>
      </c>
      <c r="X310" s="5">
        <f t="shared" si="73"/>
        <v>-0.12852145180496888</v>
      </c>
      <c r="AA310" s="5">
        <f t="shared" si="74"/>
        <v>3.8972830733429553E-2</v>
      </c>
      <c r="AB310" s="5">
        <f t="shared" si="75"/>
        <v>-3.9401631059005349E-3</v>
      </c>
      <c r="AC310" s="5">
        <f t="shared" si="76"/>
        <v>9.69366197761376E-3</v>
      </c>
      <c r="AD310" s="5">
        <f t="shared" si="77"/>
        <v>5.1156935020082617E-2</v>
      </c>
      <c r="AE310" s="5">
        <f t="shared" si="78"/>
        <v>-7.4560459747446461E-2</v>
      </c>
      <c r="AF310" s="5">
        <f t="shared" si="79"/>
        <v>-9.7816816859443545E-2</v>
      </c>
    </row>
    <row r="311" spans="1:32" x14ac:dyDescent="0.25">
      <c r="A311" s="2">
        <v>45065</v>
      </c>
      <c r="B311">
        <v>20436</v>
      </c>
      <c r="C311">
        <v>47197</v>
      </c>
      <c r="D311">
        <v>253073</v>
      </c>
      <c r="F311" s="5">
        <f t="shared" si="64"/>
        <v>0.43299362247600481</v>
      </c>
      <c r="G311" s="5">
        <f t="shared" si="65"/>
        <v>0.2108878536728343</v>
      </c>
      <c r="I311" s="2">
        <v>45065</v>
      </c>
      <c r="J311">
        <v>50521</v>
      </c>
      <c r="K311">
        <v>60680</v>
      </c>
      <c r="M311" s="5">
        <f t="shared" si="66"/>
        <v>0.89200530472476791</v>
      </c>
      <c r="N311" s="5">
        <f t="shared" si="67"/>
        <v>0.27415325575992588</v>
      </c>
      <c r="S311" s="5">
        <f t="shared" si="68"/>
        <v>1.1746400248994648E-2</v>
      </c>
      <c r="T311" s="5">
        <f t="shared" si="69"/>
        <v>2.3300561132481579E-2</v>
      </c>
      <c r="U311" s="5">
        <f t="shared" si="70"/>
        <v>2.684245110759137E-2</v>
      </c>
      <c r="V311" s="5">
        <f t="shared" si="71"/>
        <v>9.3314530521448891E-3</v>
      </c>
      <c r="W311" s="5">
        <f t="shared" si="72"/>
        <v>-4.082318696491527E-2</v>
      </c>
      <c r="X311" s="5">
        <f t="shared" si="73"/>
        <v>-0.13052969076414089</v>
      </c>
      <c r="AA311" s="5">
        <f t="shared" si="74"/>
        <v>3.5995238309897204E-2</v>
      </c>
      <c r="AB311" s="5">
        <f t="shared" si="75"/>
        <v>-4.8027689173580079E-3</v>
      </c>
      <c r="AC311" s="5">
        <f t="shared" si="76"/>
        <v>8.964575136938574E-3</v>
      </c>
      <c r="AD311" s="5">
        <f t="shared" si="77"/>
        <v>4.1905468345377672E-2</v>
      </c>
      <c r="AE311" s="5">
        <f t="shared" si="78"/>
        <v>-7.8695520748262915E-2</v>
      </c>
      <c r="AF311" s="5">
        <f t="shared" si="79"/>
        <v>-0.10073316085073852</v>
      </c>
    </row>
    <row r="312" spans="1:32" x14ac:dyDescent="0.25">
      <c r="A312" s="2">
        <v>45064</v>
      </c>
      <c r="B312">
        <v>20236</v>
      </c>
      <c r="C312">
        <v>47572</v>
      </c>
      <c r="D312">
        <v>254562</v>
      </c>
      <c r="F312" s="5">
        <f t="shared" si="64"/>
        <v>0.42537627175649539</v>
      </c>
      <c r="G312" s="5">
        <f t="shared" si="65"/>
        <v>0.21034215342618731</v>
      </c>
      <c r="I312" s="2">
        <v>45064</v>
      </c>
      <c r="J312">
        <v>51321</v>
      </c>
      <c r="K312">
        <v>60680</v>
      </c>
      <c r="M312" s="5">
        <f t="shared" si="66"/>
        <v>0.87808109740651974</v>
      </c>
      <c r="N312" s="5">
        <f t="shared" si="67"/>
        <v>0.27464260985276978</v>
      </c>
      <c r="S312" s="5">
        <f t="shared" si="68"/>
        <v>1.2454477012979581E-2</v>
      </c>
      <c r="T312" s="5">
        <f t="shared" si="69"/>
        <v>2.3652274491833714E-2</v>
      </c>
      <c r="U312" s="5">
        <f t="shared" si="70"/>
        <v>2.703039078923003E-2</v>
      </c>
      <c r="V312" s="5">
        <f t="shared" si="71"/>
        <v>8.5648192617824304E-3</v>
      </c>
      <c r="W312" s="5">
        <f t="shared" si="72"/>
        <v>-4.3843432701692331E-2</v>
      </c>
      <c r="X312" s="5">
        <f t="shared" si="73"/>
        <v>-0.13302841842741087</v>
      </c>
      <c r="AA312" s="5">
        <f t="shared" si="74"/>
        <v>3.2527990111282767E-2</v>
      </c>
      <c r="AB312" s="5">
        <f t="shared" si="75"/>
        <v>-6.0445175948958818E-3</v>
      </c>
      <c r="AC312" s="5">
        <f t="shared" si="76"/>
        <v>7.8919196575187311E-3</v>
      </c>
      <c r="AD312" s="5">
        <f t="shared" si="77"/>
        <v>3.4397258198738456E-2</v>
      </c>
      <c r="AE312" s="5">
        <f t="shared" si="78"/>
        <v>-8.1527412464698412E-2</v>
      </c>
      <c r="AF312" s="5">
        <f t="shared" si="79"/>
        <v>-0.10245112088343511</v>
      </c>
    </row>
    <row r="313" spans="1:32" x14ac:dyDescent="0.25">
      <c r="A313" s="2">
        <v>45063</v>
      </c>
      <c r="B313">
        <v>20036</v>
      </c>
      <c r="C313">
        <v>49322</v>
      </c>
      <c r="D313">
        <v>254597</v>
      </c>
      <c r="F313" s="5">
        <f t="shared" si="64"/>
        <v>0.40622845788897449</v>
      </c>
      <c r="G313" s="5">
        <f t="shared" si="65"/>
        <v>0.21409763701748699</v>
      </c>
      <c r="I313" s="2">
        <v>45063</v>
      </c>
      <c r="J313">
        <v>51321</v>
      </c>
      <c r="K313">
        <v>60530</v>
      </c>
      <c r="M313" s="5">
        <f t="shared" si="66"/>
        <v>0.87806161220552992</v>
      </c>
      <c r="N313" s="5">
        <f t="shared" si="67"/>
        <v>0.2746131556978868</v>
      </c>
      <c r="S313" s="5">
        <f t="shared" si="68"/>
        <v>1.2931857239234235E-2</v>
      </c>
      <c r="T313" s="5">
        <f t="shared" si="69"/>
        <v>2.3809058383550269E-2</v>
      </c>
      <c r="U313" s="5">
        <f t="shared" si="70"/>
        <v>2.704564697886136E-2</v>
      </c>
      <c r="V313" s="5">
        <f t="shared" si="71"/>
        <v>8.1521387525235189E-3</v>
      </c>
      <c r="W313" s="5">
        <f t="shared" si="72"/>
        <v>-4.6427561905976078E-2</v>
      </c>
      <c r="X313" s="5">
        <f t="shared" si="73"/>
        <v>-0.13492029366547664</v>
      </c>
      <c r="AA313" s="5">
        <f t="shared" si="74"/>
        <v>2.8837669410343242E-2</v>
      </c>
      <c r="AB313" s="5">
        <f t="shared" si="75"/>
        <v>-7.3146650129002622E-3</v>
      </c>
      <c r="AC313" s="5">
        <f t="shared" si="76"/>
        <v>6.6727332459224631E-3</v>
      </c>
      <c r="AD313" s="5">
        <f t="shared" si="77"/>
        <v>2.3993886166664202E-2</v>
      </c>
      <c r="AE313" s="5">
        <f t="shared" si="78"/>
        <v>-8.6578555109853461E-2</v>
      </c>
      <c r="AF313" s="5">
        <f t="shared" si="79"/>
        <v>-0.10609622115540196</v>
      </c>
    </row>
    <row r="314" spans="1:32" x14ac:dyDescent="0.25">
      <c r="A314" s="2">
        <v>45062</v>
      </c>
      <c r="B314">
        <v>20910</v>
      </c>
      <c r="C314">
        <v>47830</v>
      </c>
      <c r="D314">
        <v>256205</v>
      </c>
      <c r="F314" s="5">
        <f t="shared" si="64"/>
        <v>0.43717332218273053</v>
      </c>
      <c r="G314" s="5">
        <f t="shared" si="65"/>
        <v>0.2115434919755651</v>
      </c>
      <c r="I314" s="2">
        <v>45062</v>
      </c>
      <c r="J314">
        <v>50696</v>
      </c>
      <c r="K314">
        <v>60868</v>
      </c>
      <c r="M314" s="5">
        <f t="shared" si="66"/>
        <v>0.88886697175319551</v>
      </c>
      <c r="N314" s="5">
        <f t="shared" si="67"/>
        <v>0.27206837082306945</v>
      </c>
      <c r="S314" s="5">
        <f t="shared" si="68"/>
        <v>1.3171100845077999E-2</v>
      </c>
      <c r="T314" s="5">
        <f t="shared" si="69"/>
        <v>2.3735801519003563E-2</v>
      </c>
      <c r="U314" s="5">
        <f t="shared" si="70"/>
        <v>2.6888968483415959E-2</v>
      </c>
      <c r="V314" s="5">
        <f t="shared" si="71"/>
        <v>8.6081280299119545E-3</v>
      </c>
      <c r="W314" s="5">
        <f t="shared" si="72"/>
        <v>-4.8090593443860685E-2</v>
      </c>
      <c r="X314" s="5">
        <f t="shared" si="73"/>
        <v>-0.13589711434157548</v>
      </c>
      <c r="AA314" s="5">
        <f t="shared" si="74"/>
        <v>2.4558079433723207E-2</v>
      </c>
      <c r="AB314" s="5">
        <f t="shared" si="75"/>
        <v>-8.9568718322517726E-3</v>
      </c>
      <c r="AC314" s="5">
        <f t="shared" si="76"/>
        <v>5.074248699134809E-3</v>
      </c>
      <c r="AD314" s="5">
        <f t="shared" si="77"/>
        <v>1.246198849652197E-2</v>
      </c>
      <c r="AE314" s="5">
        <f t="shared" si="78"/>
        <v>-9.1831788092179956E-2</v>
      </c>
      <c r="AF314" s="5">
        <f t="shared" si="79"/>
        <v>-0.10960080873519096</v>
      </c>
    </row>
    <row r="315" spans="1:32" x14ac:dyDescent="0.25">
      <c r="A315" s="2">
        <v>45061</v>
      </c>
      <c r="B315">
        <v>20910</v>
      </c>
      <c r="C315">
        <v>47565</v>
      </c>
      <c r="D315">
        <v>255691</v>
      </c>
      <c r="F315" s="5">
        <f t="shared" si="64"/>
        <v>0.43960895616524753</v>
      </c>
      <c r="G315" s="5">
        <f t="shared" si="65"/>
        <v>0.21123436757710556</v>
      </c>
      <c r="I315" s="2">
        <v>45061</v>
      </c>
      <c r="J315">
        <v>50196</v>
      </c>
      <c r="K315">
        <v>60798</v>
      </c>
      <c r="M315" s="5">
        <f t="shared" si="66"/>
        <v>0.89770101203283126</v>
      </c>
      <c r="N315" s="5">
        <f t="shared" si="67"/>
        <v>0.27142767589500438</v>
      </c>
      <c r="S315" s="5">
        <f t="shared" si="68"/>
        <v>1.342712078419217E-2</v>
      </c>
      <c r="T315" s="5">
        <f t="shared" si="69"/>
        <v>2.3714083413262338E-2</v>
      </c>
      <c r="U315" s="5">
        <f t="shared" si="70"/>
        <v>2.6813637653471417E-2</v>
      </c>
      <c r="V315" s="5">
        <f t="shared" si="71"/>
        <v>8.3764097956958716E-3</v>
      </c>
      <c r="W315" s="5">
        <f t="shared" si="72"/>
        <v>-5.0385665914882916E-2</v>
      </c>
      <c r="X315" s="5">
        <f t="shared" si="73"/>
        <v>-0.13755338860834265</v>
      </c>
      <c r="AA315" s="5">
        <f t="shared" si="74"/>
        <v>2.0231239242981314E-2</v>
      </c>
      <c r="AB315" s="5">
        <f t="shared" si="75"/>
        <v>-1.0530069219094079E-2</v>
      </c>
      <c r="AC315" s="5">
        <f t="shared" si="76"/>
        <v>3.5298846171556986E-3</v>
      </c>
      <c r="AD315" s="5">
        <f t="shared" si="77"/>
        <v>-7.6320802868123927E-4</v>
      </c>
      <c r="AE315" s="5">
        <f t="shared" si="78"/>
        <v>-9.8676660420030593E-2</v>
      </c>
      <c r="AF315" s="5">
        <f t="shared" si="79"/>
        <v>-0.11458149568738935</v>
      </c>
    </row>
    <row r="316" spans="1:32" x14ac:dyDescent="0.25">
      <c r="A316" s="2">
        <v>45058</v>
      </c>
      <c r="B316">
        <v>21187</v>
      </c>
      <c r="C316">
        <v>47765</v>
      </c>
      <c r="D316">
        <v>255914</v>
      </c>
      <c r="F316" s="5">
        <f t="shared" si="64"/>
        <v>0.4435674657175756</v>
      </c>
      <c r="G316" s="5">
        <f t="shared" si="65"/>
        <v>0.21224751128157457</v>
      </c>
      <c r="I316" s="2">
        <v>45058</v>
      </c>
      <c r="J316">
        <v>50196</v>
      </c>
      <c r="K316">
        <v>60798</v>
      </c>
      <c r="M316" s="5">
        <f t="shared" si="66"/>
        <v>0.89764124631444742</v>
      </c>
      <c r="N316" s="5">
        <f t="shared" si="67"/>
        <v>0.27124908875523968</v>
      </c>
      <c r="S316" s="5">
        <f t="shared" si="68"/>
        <v>1.3824391179958706E-2</v>
      </c>
      <c r="T316" s="5">
        <f t="shared" si="69"/>
        <v>2.3712613968142893E-2</v>
      </c>
      <c r="U316" s="5">
        <f t="shared" si="70"/>
        <v>2.6802363049895417E-2</v>
      </c>
      <c r="V316" s="5">
        <f t="shared" si="71"/>
        <v>7.2757089087428506E-3</v>
      </c>
      <c r="W316" s="5">
        <f t="shared" si="72"/>
        <v>-5.3280202876092586E-2</v>
      </c>
      <c r="X316" s="5">
        <f t="shared" si="73"/>
        <v>-0.13985550371902944</v>
      </c>
      <c r="AA316" s="5">
        <f t="shared" si="74"/>
        <v>1.5746059771060222E-2</v>
      </c>
      <c r="AB316" s="5">
        <f t="shared" si="75"/>
        <v>-1.209174243889502E-2</v>
      </c>
      <c r="AC316" s="5">
        <f t="shared" si="76"/>
        <v>1.894613767853992E-3</v>
      </c>
      <c r="AD316" s="5">
        <f t="shared" si="77"/>
        <v>-1.4307569653029817E-2</v>
      </c>
      <c r="AE316" s="5">
        <f t="shared" si="78"/>
        <v>-0.10555864516685864</v>
      </c>
      <c r="AF316" s="5">
        <f t="shared" si="79"/>
        <v>-0.12030755968979623</v>
      </c>
    </row>
    <row r="317" spans="1:32" x14ac:dyDescent="0.25">
      <c r="A317" s="2">
        <v>45057</v>
      </c>
      <c r="B317">
        <v>20862</v>
      </c>
      <c r="C317">
        <v>47765</v>
      </c>
      <c r="D317">
        <v>255709</v>
      </c>
      <c r="F317" s="5">
        <f t="shared" si="64"/>
        <v>0.43676332042290378</v>
      </c>
      <c r="G317" s="5">
        <f t="shared" si="65"/>
        <v>0.21159229934389029</v>
      </c>
      <c r="I317" s="2">
        <v>45057</v>
      </c>
      <c r="J317">
        <v>50196</v>
      </c>
      <c r="K317">
        <v>60648</v>
      </c>
      <c r="M317" s="5">
        <f t="shared" si="66"/>
        <v>0.89762132440831943</v>
      </c>
      <c r="N317" s="5">
        <f t="shared" si="67"/>
        <v>0.27140545130242022</v>
      </c>
      <c r="S317" s="5">
        <f t="shared" si="68"/>
        <v>1.4348011289560925E-2</v>
      </c>
      <c r="T317" s="5">
        <f t="shared" si="69"/>
        <v>2.3874525589131362E-2</v>
      </c>
      <c r="U317" s="5">
        <f t="shared" si="70"/>
        <v>2.6839787799261328E-2</v>
      </c>
      <c r="V317" s="5">
        <f t="shared" si="71"/>
        <v>5.3566089709042863E-3</v>
      </c>
      <c r="W317" s="5">
        <f t="shared" si="72"/>
        <v>-5.7915633687373846E-2</v>
      </c>
      <c r="X317" s="5">
        <f t="shared" si="73"/>
        <v>-0.14221615909006502</v>
      </c>
      <c r="AA317" s="5">
        <f t="shared" si="74"/>
        <v>1.1328967579493282E-2</v>
      </c>
      <c r="AB317" s="5">
        <f t="shared" si="75"/>
        <v>-1.3278325782921763E-2</v>
      </c>
      <c r="AC317" s="5">
        <f t="shared" si="76"/>
        <v>2.6319688630460636E-4</v>
      </c>
      <c r="AD317" s="5">
        <f t="shared" si="77"/>
        <v>-2.7887889688257561E-2</v>
      </c>
      <c r="AE317" s="5">
        <f t="shared" si="78"/>
        <v>-0.1134749914154598</v>
      </c>
      <c r="AF317" s="5">
        <f t="shared" si="79"/>
        <v>-0.12645124964109289</v>
      </c>
    </row>
    <row r="318" spans="1:32" x14ac:dyDescent="0.25">
      <c r="A318" s="2">
        <v>45056</v>
      </c>
      <c r="B318">
        <v>20710</v>
      </c>
      <c r="C318">
        <v>47914</v>
      </c>
      <c r="D318">
        <v>256586</v>
      </c>
      <c r="F318" s="5">
        <f t="shared" si="64"/>
        <v>0.43223275034436698</v>
      </c>
      <c r="G318" s="5">
        <f t="shared" si="65"/>
        <v>0.21101442145075489</v>
      </c>
      <c r="I318" s="2">
        <v>45056</v>
      </c>
      <c r="J318">
        <v>50196</v>
      </c>
      <c r="K318">
        <v>60648</v>
      </c>
      <c r="M318" s="5">
        <f t="shared" si="66"/>
        <v>0.89760140250219145</v>
      </c>
      <c r="N318" s="5">
        <f t="shared" si="67"/>
        <v>0.27072686861566969</v>
      </c>
      <c r="S318" s="5">
        <f t="shared" si="68"/>
        <v>1.5211284300383043E-2</v>
      </c>
      <c r="T318" s="5">
        <f t="shared" si="69"/>
        <v>2.4124313356174543E-2</v>
      </c>
      <c r="U318" s="5">
        <f t="shared" si="70"/>
        <v>2.690894798170973E-2</v>
      </c>
      <c r="V318" s="5">
        <f t="shared" si="71"/>
        <v>1.4986344707917931E-3</v>
      </c>
      <c r="W318" s="5">
        <f t="shared" si="72"/>
        <v>-6.3446037753475126E-2</v>
      </c>
      <c r="X318" s="5">
        <f t="shared" si="73"/>
        <v>-0.14463991860324965</v>
      </c>
      <c r="AA318" s="5">
        <f t="shared" si="74"/>
        <v>6.1451306419474938E-3</v>
      </c>
      <c r="AB318" s="5">
        <f t="shared" si="75"/>
        <v>-1.4875137867312399E-2</v>
      </c>
      <c r="AC318" s="5">
        <f t="shared" si="76"/>
        <v>-1.8363224988971749E-3</v>
      </c>
      <c r="AD318" s="5">
        <f t="shared" si="77"/>
        <v>-3.9753451417039121E-2</v>
      </c>
      <c r="AE318" s="5">
        <f t="shared" si="78"/>
        <v>-0.120028746215398</v>
      </c>
      <c r="AF318" s="5">
        <f t="shared" si="79"/>
        <v>-0.1319410455190741</v>
      </c>
    </row>
    <row r="319" spans="1:32" x14ac:dyDescent="0.25">
      <c r="A319" s="2">
        <v>45055</v>
      </c>
      <c r="B319">
        <v>19735</v>
      </c>
      <c r="C319">
        <v>47964</v>
      </c>
      <c r="D319">
        <v>257311</v>
      </c>
      <c r="F319" s="5">
        <f t="shared" si="64"/>
        <v>0.4114544241514469</v>
      </c>
      <c r="G319" s="5">
        <f t="shared" si="65"/>
        <v>0.20829820620903972</v>
      </c>
      <c r="I319" s="2">
        <v>45055</v>
      </c>
      <c r="J319">
        <v>50196</v>
      </c>
      <c r="K319">
        <v>60568</v>
      </c>
      <c r="M319" s="5">
        <f t="shared" si="66"/>
        <v>0.89758148059606346</v>
      </c>
      <c r="N319" s="5">
        <f t="shared" si="67"/>
        <v>0.27016808391148223</v>
      </c>
      <c r="S319" s="5">
        <f t="shared" si="68"/>
        <v>1.6079893132052436E-2</v>
      </c>
      <c r="T319" s="5">
        <f t="shared" si="69"/>
        <v>2.441472850372603E-2</v>
      </c>
      <c r="U319" s="5">
        <f t="shared" si="70"/>
        <v>2.7005714338980996E-2</v>
      </c>
      <c r="V319" s="5">
        <f t="shared" si="71"/>
        <v>-2.1016616847461256E-3</v>
      </c>
      <c r="W319" s="5">
        <f t="shared" si="72"/>
        <v>-6.977098498809764E-2</v>
      </c>
      <c r="X319" s="5">
        <f t="shared" si="73"/>
        <v>-0.14712960801344821</v>
      </c>
      <c r="AA319" s="5">
        <f t="shared" si="74"/>
        <v>2.8419940582527503E-4</v>
      </c>
      <c r="AB319" s="5">
        <f t="shared" si="75"/>
        <v>-1.6887539764664811E-2</v>
      </c>
      <c r="AC319" s="5">
        <f t="shared" si="76"/>
        <v>-4.3424926654066776E-3</v>
      </c>
      <c r="AD319" s="5">
        <f t="shared" si="77"/>
        <v>-4.9526786175295434E-2</v>
      </c>
      <c r="AE319" s="5">
        <f t="shared" si="78"/>
        <v>-0.12550032373064962</v>
      </c>
      <c r="AF319" s="5">
        <f t="shared" si="79"/>
        <v>-0.13631081678458218</v>
      </c>
    </row>
    <row r="320" spans="1:32" x14ac:dyDescent="0.25">
      <c r="A320" s="2">
        <v>45054</v>
      </c>
      <c r="B320">
        <v>19735</v>
      </c>
      <c r="C320">
        <v>47964</v>
      </c>
      <c r="D320">
        <v>256698</v>
      </c>
      <c r="F320" s="5">
        <f t="shared" si="64"/>
        <v>0.4114544241514469</v>
      </c>
      <c r="G320" s="5">
        <f t="shared" si="65"/>
        <v>0.20869181897489805</v>
      </c>
      <c r="I320" s="2">
        <v>45054</v>
      </c>
      <c r="J320">
        <v>50196</v>
      </c>
      <c r="K320">
        <v>60568</v>
      </c>
      <c r="M320" s="5">
        <f t="shared" si="66"/>
        <v>0.89756155868993548</v>
      </c>
      <c r="N320" s="5">
        <f t="shared" si="67"/>
        <v>0.27063657131167101</v>
      </c>
      <c r="S320" s="5">
        <f t="shared" si="68"/>
        <v>1.7222645745965603E-2</v>
      </c>
      <c r="T320" s="5">
        <f t="shared" si="69"/>
        <v>2.4734681526664581E-2</v>
      </c>
      <c r="U320" s="5">
        <f t="shared" si="70"/>
        <v>2.720152073096696E-2</v>
      </c>
      <c r="V320" s="5">
        <f t="shared" si="71"/>
        <v>-6.2700808053712809E-3</v>
      </c>
      <c r="W320" s="5">
        <f t="shared" si="72"/>
        <v>-7.609479774367911E-2</v>
      </c>
      <c r="X320" s="5">
        <f t="shared" si="73"/>
        <v>-0.1496882243333959</v>
      </c>
      <c r="AA320" s="5">
        <f t="shared" si="74"/>
        <v>-5.3417306102575279E-3</v>
      </c>
      <c r="AB320" s="5">
        <f t="shared" si="75"/>
        <v>-1.8762196737610953E-2</v>
      </c>
      <c r="AC320" s="5">
        <f t="shared" si="76"/>
        <v>-6.6885826447159458E-3</v>
      </c>
      <c r="AD320" s="5">
        <f t="shared" si="77"/>
        <v>-5.9336078416399762E-2</v>
      </c>
      <c r="AE320" s="5">
        <f t="shared" si="78"/>
        <v>-0.13033964802630232</v>
      </c>
      <c r="AF320" s="5">
        <f t="shared" si="79"/>
        <v>-0.13975539678495091</v>
      </c>
    </row>
    <row r="321" spans="1:32" x14ac:dyDescent="0.25">
      <c r="A321" s="2">
        <v>45051</v>
      </c>
      <c r="B321">
        <v>19111</v>
      </c>
      <c r="C321">
        <v>48110</v>
      </c>
      <c r="D321">
        <v>256889</v>
      </c>
      <c r="F321" s="5">
        <f t="shared" si="64"/>
        <v>0.39723550197464147</v>
      </c>
      <c r="G321" s="5">
        <f t="shared" si="65"/>
        <v>0.2074018080281386</v>
      </c>
      <c r="I321" s="2">
        <v>45051</v>
      </c>
      <c r="J321">
        <v>50096</v>
      </c>
      <c r="K321">
        <v>60468</v>
      </c>
      <c r="M321" s="5">
        <f t="shared" si="66"/>
        <v>0.8992933567550303</v>
      </c>
      <c r="N321" s="5">
        <f t="shared" si="67"/>
        <v>0.27027633537479123</v>
      </c>
      <c r="S321" s="5">
        <f t="shared" si="68"/>
        <v>6.8785916968534533E-3</v>
      </c>
      <c r="T321" s="5">
        <f t="shared" si="69"/>
        <v>1.7184679886101895E-2</v>
      </c>
      <c r="U321" s="5">
        <f t="shared" si="70"/>
        <v>1.9844372552698608E-2</v>
      </c>
      <c r="V321" s="5">
        <f t="shared" si="71"/>
        <v>-5.2552712677407687E-2</v>
      </c>
      <c r="W321" s="5">
        <f t="shared" si="72"/>
        <v>-0.12372851504946347</v>
      </c>
      <c r="X321" s="5">
        <f t="shared" si="73"/>
        <v>-0.19242925093767838</v>
      </c>
      <c r="AA321" s="5">
        <f t="shared" si="74"/>
        <v>-1.1092081691777084E-2</v>
      </c>
      <c r="AB321" s="5">
        <f t="shared" si="75"/>
        <v>-2.0629427186625332E-2</v>
      </c>
      <c r="AC321" s="5">
        <f t="shared" si="76"/>
        <v>-9.2329996152600013E-3</v>
      </c>
      <c r="AD321" s="5">
        <f t="shared" si="77"/>
        <v>-6.920841319170068E-2</v>
      </c>
      <c r="AE321" s="5">
        <f t="shared" si="78"/>
        <v>-0.13551501698034585</v>
      </c>
      <c r="AF321" s="5">
        <f t="shared" si="79"/>
        <v>-0.14262215282120694</v>
      </c>
    </row>
    <row r="322" spans="1:32" x14ac:dyDescent="0.25">
      <c r="A322" s="2">
        <v>45050</v>
      </c>
      <c r="B322">
        <v>19111</v>
      </c>
      <c r="C322">
        <v>48109</v>
      </c>
      <c r="D322">
        <v>257443</v>
      </c>
      <c r="F322" s="5">
        <f t="shared" si="64"/>
        <v>0.3972437589640192</v>
      </c>
      <c r="G322" s="5">
        <f t="shared" si="65"/>
        <v>0.20704545944564057</v>
      </c>
      <c r="I322" s="2">
        <v>45050</v>
      </c>
      <c r="J322">
        <v>49421</v>
      </c>
      <c r="K322">
        <v>60368</v>
      </c>
      <c r="M322" s="5">
        <f t="shared" si="66"/>
        <v>0.91155581635337202</v>
      </c>
      <c r="N322" s="5">
        <f t="shared" si="67"/>
        <v>0.2684491097256716</v>
      </c>
      <c r="S322" s="5">
        <f t="shared" si="68"/>
        <v>8.1461505826905811E-3</v>
      </c>
      <c r="T322" s="5">
        <f t="shared" si="69"/>
        <v>1.7552722931962E-2</v>
      </c>
      <c r="U322" s="5">
        <f t="shared" si="70"/>
        <v>2.0074971322930318E-2</v>
      </c>
      <c r="V322" s="5">
        <f t="shared" si="71"/>
        <v>-5.7609611205880262E-2</v>
      </c>
      <c r="W322" s="5">
        <f t="shared" si="72"/>
        <v>-0.13065916650246201</v>
      </c>
      <c r="X322" s="5">
        <f t="shared" si="73"/>
        <v>-0.19553388875376021</v>
      </c>
      <c r="AA322" s="5">
        <f t="shared" si="74"/>
        <v>-1.6777391721917639E-2</v>
      </c>
      <c r="AB322" s="5">
        <f t="shared" si="75"/>
        <v>-2.2181189619621289E-2</v>
      </c>
      <c r="AC322" s="5">
        <f t="shared" si="76"/>
        <v>-1.1731976225933805E-2</v>
      </c>
      <c r="AD322" s="5">
        <f t="shared" si="77"/>
        <v>-7.8309076458103977E-2</v>
      </c>
      <c r="AE322" s="5">
        <f t="shared" si="78"/>
        <v>-0.13810128019492834</v>
      </c>
      <c r="AF322" s="5">
        <f t="shared" si="79"/>
        <v>-0.14487730062842769</v>
      </c>
    </row>
    <row r="323" spans="1:32" x14ac:dyDescent="0.25">
      <c r="A323" s="2">
        <v>45049</v>
      </c>
      <c r="B323">
        <v>19111</v>
      </c>
      <c r="C323">
        <v>47309</v>
      </c>
      <c r="D323">
        <v>257358</v>
      </c>
      <c r="F323" s="5">
        <f t="shared" ref="F323:F386" si="80">IFERROR(B323/C323,"")</f>
        <v>0.4039611913166628</v>
      </c>
      <c r="G323" s="5">
        <f t="shared" ref="G323:G386" si="81">IFERROR(SUM(B323:C323)/SUM(B323:D323),"")</f>
        <v>0.20514055927209385</v>
      </c>
      <c r="I323" s="2">
        <v>45049</v>
      </c>
      <c r="J323">
        <v>49321</v>
      </c>
      <c r="K323">
        <v>60418</v>
      </c>
      <c r="M323" s="5">
        <f t="shared" ref="M323:M386" si="82">IFERROR(I323/J323,"")</f>
        <v>0.91338375134324123</v>
      </c>
      <c r="N323" s="5">
        <f t="shared" ref="N323:N386" si="83">IFERROR(SUM(I323:J323)/SUM(I323:J323,D323),"")</f>
        <v>0.26830391666287584</v>
      </c>
      <c r="S323" s="5">
        <f t="shared" ref="S323:S386" si="84">IFERROR(AVERAGEA(N323:N343)-AVERAGE(N344:N364),"")</f>
        <v>9.5388494656936107E-3</v>
      </c>
      <c r="T323" s="5">
        <f t="shared" ref="T323:T386" si="85">IFERROR(AVERAGEA(N323:N343)-AVERAGE(N344:N399),"")</f>
        <v>1.8116830700957987E-2</v>
      </c>
      <c r="U323" s="5">
        <f t="shared" ref="U323:U386" si="86">IFERROR(AVERAGEA(N323:N343)-AVERAGE(N344:N456),"")</f>
        <v>2.0408588796334864E-2</v>
      </c>
      <c r="V323" s="5">
        <f t="shared" ref="V323:V386" si="87">IFERROR(AVERAGEA(M323:M343)-AVERAGE(M344:M364),"")</f>
        <v>-6.2404316523577696E-2</v>
      </c>
      <c r="W323" s="5">
        <f t="shared" ref="W323:W386" si="88">IFERROR(AVERAGEA(M323:M343)-AVERAGE(M344:M399),"")</f>
        <v>-0.13937327121508125</v>
      </c>
      <c r="X323" s="5">
        <f t="shared" ref="X323:X386" si="89">IFERROR(AVERAGEA(M323:M343)-AVERAGE(M344:M456),"")</f>
        <v>-0.19894067669225857</v>
      </c>
      <c r="AA323" s="5">
        <f t="shared" ref="AA323:AA386" si="90">IFERROR(AVERAGEA(G323:G343)-AVERAGE(G344:G364),"")</f>
        <v>-2.2703877242542192E-2</v>
      </c>
      <c r="AB323" s="5">
        <f t="shared" ref="AB323:AB386" si="91">IFERROR(AVERAGEA(G323:G343)-AVERAGE(G344:G399),"")</f>
        <v>-2.3856825858677905E-2</v>
      </c>
      <c r="AC323" s="5">
        <f t="shared" ref="AC323:AC386" si="92">IFERROR(AVERAGEA(G323:G343)-AVERAGE(G344:G456),"")</f>
        <v>-1.4378818562026552E-2</v>
      </c>
      <c r="AD323" s="5">
        <f t="shared" ref="AD323:AD386" si="93">IFERROR(AVERAGEA(F323:F343)-AVERAGE(F344:F364),"")</f>
        <v>-8.6854445115079282E-2</v>
      </c>
      <c r="AE323" s="5">
        <f t="shared" ref="AE323:AE386" si="94">IFERROR(AVERAGEA(F323:F343)-AVERAGE(F344:F399),"")</f>
        <v>-0.14084333548725503</v>
      </c>
      <c r="AF323" s="5">
        <f t="shared" ref="AF323:AF386" si="95">IFERROR(AVERAGEA(F323:F343)-AVERAGE(F344:F456),"")</f>
        <v>-0.14706932669056016</v>
      </c>
    </row>
    <row r="324" spans="1:32" x14ac:dyDescent="0.25">
      <c r="A324" s="2">
        <v>45048</v>
      </c>
      <c r="B324">
        <v>19386</v>
      </c>
      <c r="C324">
        <v>47259</v>
      </c>
      <c r="D324">
        <v>255909</v>
      </c>
      <c r="F324" s="5">
        <f t="shared" si="80"/>
        <v>0.41020757950866504</v>
      </c>
      <c r="G324" s="5">
        <f t="shared" si="81"/>
        <v>0.20661656652839525</v>
      </c>
      <c r="I324" s="2">
        <v>45048</v>
      </c>
      <c r="J324">
        <v>49321</v>
      </c>
      <c r="K324">
        <v>60278</v>
      </c>
      <c r="M324" s="5">
        <f t="shared" si="82"/>
        <v>0.91336347600413614</v>
      </c>
      <c r="N324" s="5">
        <f t="shared" si="83"/>
        <v>0.26941172440176087</v>
      </c>
      <c r="S324" s="5">
        <f t="shared" si="84"/>
        <v>1.1020198175429263E-2</v>
      </c>
      <c r="T324" s="5">
        <f t="shared" si="85"/>
        <v>1.8752567000071718E-2</v>
      </c>
      <c r="U324" s="5">
        <f t="shared" si="86"/>
        <v>2.0807055675084174E-2</v>
      </c>
      <c r="V324" s="5">
        <f t="shared" si="87"/>
        <v>-6.7286923360811768E-2</v>
      </c>
      <c r="W324" s="5">
        <f t="shared" si="88"/>
        <v>-0.14864027955547332</v>
      </c>
      <c r="X324" s="5">
        <f t="shared" si="89"/>
        <v>-0.20251483708541196</v>
      </c>
      <c r="AA324" s="5">
        <f t="shared" si="90"/>
        <v>-2.8194998889653489E-2</v>
      </c>
      <c r="AB324" s="5">
        <f t="shared" si="91"/>
        <v>-2.5290914850481572E-2</v>
      </c>
      <c r="AC324" s="5">
        <f t="shared" si="92"/>
        <v>-1.6832418419656103E-2</v>
      </c>
      <c r="AD324" s="5">
        <f t="shared" si="93"/>
        <v>-9.5357219755524192E-2</v>
      </c>
      <c r="AE324" s="5">
        <f t="shared" si="94"/>
        <v>-0.14450101175580954</v>
      </c>
      <c r="AF324" s="5">
        <f t="shared" si="95"/>
        <v>-0.1500096945965097</v>
      </c>
    </row>
    <row r="325" spans="1:32" x14ac:dyDescent="0.25">
      <c r="A325" s="2">
        <v>45047</v>
      </c>
      <c r="B325">
        <v>19386</v>
      </c>
      <c r="C325">
        <v>47259</v>
      </c>
      <c r="D325">
        <v>258439</v>
      </c>
      <c r="F325" s="5">
        <f t="shared" si="80"/>
        <v>0.41020757950866504</v>
      </c>
      <c r="G325" s="5">
        <f t="shared" si="81"/>
        <v>0.20500855163588488</v>
      </c>
      <c r="I325" s="2">
        <v>45047</v>
      </c>
      <c r="J325">
        <v>49321</v>
      </c>
      <c r="K325">
        <v>60368</v>
      </c>
      <c r="M325" s="5">
        <f t="shared" si="82"/>
        <v>0.91334320066503116</v>
      </c>
      <c r="N325" s="5">
        <f t="shared" si="83"/>
        <v>0.26747768610033246</v>
      </c>
      <c r="S325" s="5">
        <f t="shared" si="84"/>
        <v>1.2320628339111073E-2</v>
      </c>
      <c r="T325" s="5">
        <f t="shared" si="85"/>
        <v>1.9297110471186318E-2</v>
      </c>
      <c r="U325" s="5">
        <f t="shared" si="86"/>
        <v>2.1093400251729177E-2</v>
      </c>
      <c r="V325" s="5">
        <f t="shared" si="87"/>
        <v>-7.2167360449747808E-2</v>
      </c>
      <c r="W325" s="5">
        <f t="shared" si="88"/>
        <v>-0.1588930372260372</v>
      </c>
      <c r="X325" s="5">
        <f t="shared" si="89"/>
        <v>-0.20617220108466017</v>
      </c>
      <c r="AA325" s="5">
        <f t="shared" si="90"/>
        <v>-3.395471726089308E-2</v>
      </c>
      <c r="AB325" s="5">
        <f t="shared" si="91"/>
        <v>-2.6893139309323189E-2</v>
      </c>
      <c r="AC325" s="5">
        <f t="shared" si="92"/>
        <v>-1.9489801258566392E-2</v>
      </c>
      <c r="AD325" s="5">
        <f t="shared" si="93"/>
        <v>-0.10467125004527877</v>
      </c>
      <c r="AE325" s="5">
        <f t="shared" si="94"/>
        <v>-0.14888821332993574</v>
      </c>
      <c r="AF325" s="5">
        <f t="shared" si="95"/>
        <v>-0.15366979524951796</v>
      </c>
    </row>
    <row r="326" spans="1:32" x14ac:dyDescent="0.25">
      <c r="A326" s="2">
        <v>45044</v>
      </c>
      <c r="B326">
        <v>19386</v>
      </c>
      <c r="C326">
        <v>47259</v>
      </c>
      <c r="D326">
        <v>257999</v>
      </c>
      <c r="F326" s="5">
        <f t="shared" si="80"/>
        <v>0.41020757950866504</v>
      </c>
      <c r="G326" s="5">
        <f t="shared" si="81"/>
        <v>0.20528640603245402</v>
      </c>
      <c r="I326" s="2">
        <v>45044</v>
      </c>
      <c r="J326">
        <v>49271</v>
      </c>
      <c r="K326">
        <v>62703</v>
      </c>
      <c r="M326" s="5">
        <f t="shared" si="82"/>
        <v>0.91420916969414057</v>
      </c>
      <c r="N326" s="5">
        <f t="shared" si="83"/>
        <v>0.26770153896807963</v>
      </c>
      <c r="S326" s="5">
        <f t="shared" si="84"/>
        <v>1.3764723122679984E-2</v>
      </c>
      <c r="T326" s="5">
        <f t="shared" si="85"/>
        <v>1.9957357943285486E-2</v>
      </c>
      <c r="U326" s="5">
        <f t="shared" si="86"/>
        <v>2.1507122323640077E-2</v>
      </c>
      <c r="V326" s="5">
        <f t="shared" si="87"/>
        <v>-7.7101692626696083E-2</v>
      </c>
      <c r="W326" s="5">
        <f t="shared" si="88"/>
        <v>-0.1691481622605151</v>
      </c>
      <c r="X326" s="5">
        <f t="shared" si="89"/>
        <v>-0.20991939919639746</v>
      </c>
      <c r="AA326" s="5">
        <f t="shared" si="90"/>
        <v>-3.9845753486473484E-2</v>
      </c>
      <c r="AB326" s="5">
        <f t="shared" si="91"/>
        <v>-2.8609770750817304E-2</v>
      </c>
      <c r="AC326" s="5">
        <f t="shared" si="92"/>
        <v>-2.2289991341650051E-2</v>
      </c>
      <c r="AD326" s="5">
        <f t="shared" si="93"/>
        <v>-0.11479242999139955</v>
      </c>
      <c r="AE326" s="5">
        <f t="shared" si="94"/>
        <v>-0.15380348367145019</v>
      </c>
      <c r="AF326" s="5">
        <f t="shared" si="95"/>
        <v>-0.15784543990661709</v>
      </c>
    </row>
    <row r="327" spans="1:32" x14ac:dyDescent="0.25">
      <c r="A327" s="2">
        <v>45043</v>
      </c>
      <c r="B327">
        <v>19486</v>
      </c>
      <c r="C327">
        <v>46486</v>
      </c>
      <c r="D327">
        <v>257880</v>
      </c>
      <c r="F327" s="5">
        <f t="shared" si="80"/>
        <v>0.41917996816245751</v>
      </c>
      <c r="G327" s="5">
        <f t="shared" si="81"/>
        <v>0.20371033682052295</v>
      </c>
      <c r="I327" s="2">
        <v>45043</v>
      </c>
      <c r="J327">
        <v>49971</v>
      </c>
      <c r="K327">
        <v>61053</v>
      </c>
      <c r="M327" s="5">
        <f t="shared" si="82"/>
        <v>0.90138280202517462</v>
      </c>
      <c r="N327" s="5">
        <f t="shared" si="83"/>
        <v>0.26924232205704829</v>
      </c>
      <c r="S327" s="5">
        <f t="shared" si="84"/>
        <v>1.5173378511586927E-2</v>
      </c>
      <c r="T327" s="5">
        <f t="shared" si="85"/>
        <v>2.0585297105841643E-2</v>
      </c>
      <c r="U327" s="5">
        <f t="shared" si="86"/>
        <v>2.1890466560079064E-2</v>
      </c>
      <c r="V327" s="5">
        <f t="shared" si="87"/>
        <v>-8.224619760915497E-2</v>
      </c>
      <c r="W327" s="5">
        <f t="shared" si="88"/>
        <v>-0.18016774623103948</v>
      </c>
      <c r="X327" s="5">
        <f t="shared" si="89"/>
        <v>-0.21391393785799517</v>
      </c>
      <c r="AA327" s="5">
        <f t="shared" si="90"/>
        <v>-4.6030715717738035E-2</v>
      </c>
      <c r="AB327" s="5">
        <f t="shared" si="91"/>
        <v>-3.0550969063380756E-2</v>
      </c>
      <c r="AC327" s="5">
        <f t="shared" si="92"/>
        <v>-2.5366757360056696E-2</v>
      </c>
      <c r="AD327" s="5">
        <f t="shared" si="93"/>
        <v>-0.1263548889031969</v>
      </c>
      <c r="AE327" s="5">
        <f t="shared" si="94"/>
        <v>-0.1598767491771198</v>
      </c>
      <c r="AF327" s="5">
        <f t="shared" si="95"/>
        <v>-0.16290359379210106</v>
      </c>
    </row>
    <row r="328" spans="1:32" x14ac:dyDescent="0.25">
      <c r="A328" s="2">
        <v>45042</v>
      </c>
      <c r="B328">
        <v>19236</v>
      </c>
      <c r="C328">
        <v>45961</v>
      </c>
      <c r="D328">
        <v>256586</v>
      </c>
      <c r="F328" s="5">
        <f t="shared" si="80"/>
        <v>0.41852875263810624</v>
      </c>
      <c r="G328" s="5">
        <f t="shared" si="81"/>
        <v>0.20261169794550987</v>
      </c>
      <c r="I328" s="2">
        <v>45042</v>
      </c>
      <c r="J328">
        <v>49851</v>
      </c>
      <c r="K328">
        <v>60683</v>
      </c>
      <c r="M328" s="5">
        <f t="shared" si="82"/>
        <v>0.9035325269302521</v>
      </c>
      <c r="N328" s="5">
        <f t="shared" si="83"/>
        <v>0.26998199038918397</v>
      </c>
      <c r="S328" s="5">
        <f t="shared" si="84"/>
        <v>1.6433730568887833E-2</v>
      </c>
      <c r="T328" s="5">
        <f t="shared" si="85"/>
        <v>2.1174234109705231E-2</v>
      </c>
      <c r="U328" s="5">
        <f t="shared" si="86"/>
        <v>2.2159018563083971E-2</v>
      </c>
      <c r="V328" s="5">
        <f t="shared" si="87"/>
        <v>-8.6780775324634241E-2</v>
      </c>
      <c r="W328" s="5">
        <f t="shared" si="88"/>
        <v>-0.19188331924676161</v>
      </c>
      <c r="X328" s="5">
        <f t="shared" si="89"/>
        <v>-0.21739600439768358</v>
      </c>
      <c r="AA328" s="5">
        <f t="shared" si="90"/>
        <v>-5.2150550539391244E-2</v>
      </c>
      <c r="AB328" s="5">
        <f t="shared" si="91"/>
        <v>-3.2583097647359727E-2</v>
      </c>
      <c r="AC328" s="5">
        <f t="shared" si="92"/>
        <v>-2.8529008462870264E-2</v>
      </c>
      <c r="AD328" s="5">
        <f t="shared" si="93"/>
        <v>-0.14595030482611687</v>
      </c>
      <c r="AE328" s="5">
        <f t="shared" si="94"/>
        <v>-0.17064198833190808</v>
      </c>
      <c r="AF328" s="5">
        <f t="shared" si="95"/>
        <v>-0.17349147071507415</v>
      </c>
    </row>
    <row r="329" spans="1:32" x14ac:dyDescent="0.25">
      <c r="A329" s="2">
        <v>45041</v>
      </c>
      <c r="B329">
        <v>18611</v>
      </c>
      <c r="C329">
        <v>45561</v>
      </c>
      <c r="D329">
        <v>255049</v>
      </c>
      <c r="F329" s="5">
        <f t="shared" si="80"/>
        <v>0.40848532736331511</v>
      </c>
      <c r="G329" s="5">
        <f t="shared" si="81"/>
        <v>0.2010268747983372</v>
      </c>
      <c r="I329" s="2">
        <v>45041</v>
      </c>
      <c r="J329">
        <v>48886</v>
      </c>
      <c r="K329">
        <v>59703</v>
      </c>
      <c r="M329" s="5">
        <f t="shared" si="82"/>
        <v>0.92134762508693691</v>
      </c>
      <c r="N329" s="5">
        <f t="shared" si="83"/>
        <v>0.26915031406171197</v>
      </c>
      <c r="S329" s="5">
        <f t="shared" si="84"/>
        <v>1.7195736384342047E-2</v>
      </c>
      <c r="T329" s="5">
        <f t="shared" si="85"/>
        <v>2.1402119114961371E-2</v>
      </c>
      <c r="U329" s="5">
        <f t="shared" si="86"/>
        <v>2.2074619279160684E-2</v>
      </c>
      <c r="V329" s="5">
        <f t="shared" si="87"/>
        <v>-9.1835860405194536E-2</v>
      </c>
      <c r="W329" s="5">
        <f t="shared" si="88"/>
        <v>-0.20408062489564838</v>
      </c>
      <c r="X329" s="5">
        <f t="shared" si="89"/>
        <v>-0.22136796930540981</v>
      </c>
      <c r="AA329" s="5">
        <f t="shared" si="90"/>
        <v>-5.8550424353060626E-2</v>
      </c>
      <c r="AB329" s="5">
        <f t="shared" si="91"/>
        <v>-3.4895847088287274E-2</v>
      </c>
      <c r="AC329" s="5">
        <f t="shared" si="92"/>
        <v>-3.2050032740308154E-2</v>
      </c>
      <c r="AD329" s="5">
        <f t="shared" si="93"/>
        <v>-0.1645675927159499</v>
      </c>
      <c r="AE329" s="5">
        <f t="shared" si="94"/>
        <v>-0.18234798254972662</v>
      </c>
      <c r="AF329" s="5">
        <f t="shared" si="95"/>
        <v>-0.18481032548806908</v>
      </c>
    </row>
    <row r="330" spans="1:32" x14ac:dyDescent="0.25">
      <c r="A330" s="2">
        <v>45040</v>
      </c>
      <c r="B330">
        <v>18386</v>
      </c>
      <c r="C330">
        <v>45660</v>
      </c>
      <c r="D330">
        <v>257542</v>
      </c>
      <c r="F330" s="5">
        <f t="shared" si="80"/>
        <v>0.40267192290845377</v>
      </c>
      <c r="G330" s="5">
        <f t="shared" si="81"/>
        <v>0.19915544112342501</v>
      </c>
      <c r="I330" s="2">
        <v>45040</v>
      </c>
      <c r="J330">
        <v>50599</v>
      </c>
      <c r="K330">
        <v>59403</v>
      </c>
      <c r="M330" s="5">
        <f t="shared" si="82"/>
        <v>0.89013616869898615</v>
      </c>
      <c r="N330" s="5">
        <f t="shared" si="83"/>
        <v>0.27079316271260345</v>
      </c>
      <c r="S330" s="5">
        <f t="shared" si="84"/>
        <v>1.7946180934967221E-2</v>
      </c>
      <c r="T330" s="5">
        <f t="shared" si="85"/>
        <v>2.1697392942271271E-2</v>
      </c>
      <c r="U330" s="5">
        <f t="shared" si="86"/>
        <v>2.2036193061780035E-2</v>
      </c>
      <c r="V330" s="5">
        <f t="shared" si="87"/>
        <v>-9.7529938444583797E-2</v>
      </c>
      <c r="W330" s="5">
        <f t="shared" si="88"/>
        <v>-0.21745105267656117</v>
      </c>
      <c r="X330" s="5">
        <f t="shared" si="89"/>
        <v>-0.22615724857291353</v>
      </c>
      <c r="AA330" s="5">
        <f t="shared" si="90"/>
        <v>-6.489184279935456E-2</v>
      </c>
      <c r="AB330" s="5">
        <f t="shared" si="91"/>
        <v>-3.7106956917009326E-2</v>
      </c>
      <c r="AC330" s="5">
        <f t="shared" si="92"/>
        <v>-3.5522998570117731E-2</v>
      </c>
      <c r="AD330" s="5">
        <f t="shared" si="93"/>
        <v>-0.18257253894510733</v>
      </c>
      <c r="AE330" s="5">
        <f t="shared" si="94"/>
        <v>-0.19342885728575282</v>
      </c>
      <c r="AF330" s="5">
        <f t="shared" si="95"/>
        <v>-0.19559405005102676</v>
      </c>
    </row>
    <row r="331" spans="1:32" x14ac:dyDescent="0.25">
      <c r="A331" s="2">
        <v>45037</v>
      </c>
      <c r="B331">
        <v>18136</v>
      </c>
      <c r="C331">
        <v>44383</v>
      </c>
      <c r="D331">
        <v>258157</v>
      </c>
      <c r="F331" s="5">
        <f t="shared" si="80"/>
        <v>0.40862492395737104</v>
      </c>
      <c r="G331" s="5">
        <f t="shared" si="81"/>
        <v>0.19496002195362297</v>
      </c>
      <c r="I331" s="2">
        <v>45037</v>
      </c>
      <c r="J331">
        <v>50599</v>
      </c>
      <c r="K331">
        <v>59253</v>
      </c>
      <c r="M331" s="5">
        <f t="shared" si="82"/>
        <v>0.89007687898970334</v>
      </c>
      <c r="N331" s="5">
        <f t="shared" si="83"/>
        <v>0.27031625837707363</v>
      </c>
      <c r="S331" s="5">
        <f t="shared" si="84"/>
        <v>1.7929358348035912E-2</v>
      </c>
      <c r="T331" s="5">
        <f t="shared" si="85"/>
        <v>2.1469943805312364E-2</v>
      </c>
      <c r="U331" s="5">
        <f t="shared" si="86"/>
        <v>2.1469943805312364E-2</v>
      </c>
      <c r="V331" s="5">
        <f t="shared" si="87"/>
        <v>-0.10174236263878633</v>
      </c>
      <c r="W331" s="5">
        <f t="shared" si="88"/>
        <v>-0.22957877962043516</v>
      </c>
      <c r="X331" s="5">
        <f t="shared" si="89"/>
        <v>-0.22957877962043516</v>
      </c>
      <c r="AA331" s="5">
        <f t="shared" si="90"/>
        <v>-7.3096167509514393E-2</v>
      </c>
      <c r="AB331" s="5">
        <f t="shared" si="91"/>
        <v>-4.025885703924667E-2</v>
      </c>
      <c r="AC331" s="5">
        <f t="shared" si="92"/>
        <v>-4.025885703924667E-2</v>
      </c>
      <c r="AD331" s="5">
        <f t="shared" si="93"/>
        <v>-0.19798032635783019</v>
      </c>
      <c r="AE331" s="5">
        <f t="shared" si="94"/>
        <v>-0.20483890883434847</v>
      </c>
      <c r="AF331" s="5">
        <f t="shared" si="95"/>
        <v>-0.20483890883434847</v>
      </c>
    </row>
    <row r="332" spans="1:32" x14ac:dyDescent="0.25">
      <c r="A332" s="2">
        <v>45036</v>
      </c>
      <c r="B332">
        <v>18136</v>
      </c>
      <c r="C332">
        <v>42833</v>
      </c>
      <c r="D332">
        <v>259099</v>
      </c>
      <c r="F332" s="5">
        <f t="shared" si="80"/>
        <v>0.42341185534517778</v>
      </c>
      <c r="G332" s="5">
        <f t="shared" si="81"/>
        <v>0.19048764637514529</v>
      </c>
      <c r="I332" s="2">
        <v>45036</v>
      </c>
      <c r="J332">
        <v>51079</v>
      </c>
      <c r="K332">
        <v>58640</v>
      </c>
      <c r="M332" s="5">
        <f t="shared" si="82"/>
        <v>0.88169306368566336</v>
      </c>
      <c r="N332" s="5">
        <f t="shared" si="83"/>
        <v>0.27058336664658489</v>
      </c>
      <c r="S332" s="5">
        <f t="shared" si="84"/>
        <v>1.7794513722609623E-2</v>
      </c>
      <c r="T332" s="5">
        <f t="shared" si="85"/>
        <v>2.0859997550061016E-2</v>
      </c>
      <c r="U332" s="5">
        <f t="shared" si="86"/>
        <v>2.0859997550061016E-2</v>
      </c>
      <c r="V332" s="5">
        <f t="shared" si="87"/>
        <v>-0.10586650088065186</v>
      </c>
      <c r="W332" s="5">
        <f t="shared" si="88"/>
        <v>-0.23311971269937415</v>
      </c>
      <c r="X332" s="5">
        <f t="shared" si="89"/>
        <v>-0.23311971269937415</v>
      </c>
      <c r="AA332" s="5">
        <f t="shared" si="90"/>
        <v>-7.0210695194553946E-2</v>
      </c>
      <c r="AB332" s="5">
        <f t="shared" si="91"/>
        <v>-3.7351461838997319E-2</v>
      </c>
      <c r="AC332" s="5">
        <f t="shared" si="92"/>
        <v>-3.7351461838997319E-2</v>
      </c>
      <c r="AD332" s="5">
        <f t="shared" si="93"/>
        <v>-0.1882909546578046</v>
      </c>
      <c r="AE332" s="5">
        <f t="shared" si="94"/>
        <v>-0.19710065125281501</v>
      </c>
      <c r="AF332" s="5">
        <f t="shared" si="95"/>
        <v>-0.19710065125281501</v>
      </c>
    </row>
    <row r="333" spans="1:32" x14ac:dyDescent="0.25">
      <c r="A333" s="2">
        <v>45035</v>
      </c>
      <c r="B333">
        <v>16913</v>
      </c>
      <c r="C333">
        <v>43758</v>
      </c>
      <c r="D333">
        <v>262545</v>
      </c>
      <c r="F333" s="5">
        <f t="shared" si="80"/>
        <v>0.38651218062982767</v>
      </c>
      <c r="G333" s="5">
        <f t="shared" si="81"/>
        <v>0.18771038562447404</v>
      </c>
      <c r="I333" s="2">
        <v>45035</v>
      </c>
      <c r="J333">
        <v>51079</v>
      </c>
      <c r="K333">
        <v>58640</v>
      </c>
      <c r="M333" s="5">
        <f t="shared" si="82"/>
        <v>0.88167348616848407</v>
      </c>
      <c r="N333" s="5">
        <f t="shared" si="83"/>
        <v>0.26798156466169815</v>
      </c>
      <c r="S333" s="5">
        <f t="shared" si="84"/>
        <v>1.7692190448449219E-2</v>
      </c>
      <c r="T333" s="5">
        <f t="shared" si="85"/>
        <v>2.0244324689236842E-2</v>
      </c>
      <c r="U333" s="5">
        <f t="shared" si="86"/>
        <v>2.0244324689236842E-2</v>
      </c>
      <c r="V333" s="5">
        <f t="shared" si="87"/>
        <v>-0.11019322038946688</v>
      </c>
      <c r="W333" s="5">
        <f t="shared" si="88"/>
        <v>-0.23644827131023238</v>
      </c>
      <c r="X333" s="5">
        <f t="shared" si="89"/>
        <v>-0.23644827131023238</v>
      </c>
      <c r="AA333" s="5">
        <f t="shared" si="90"/>
        <v>-6.7210427213295704E-2</v>
      </c>
      <c r="AB333" s="5">
        <f t="shared" si="91"/>
        <v>-3.4216764519116594E-2</v>
      </c>
      <c r="AC333" s="5">
        <f t="shared" si="92"/>
        <v>-3.4216764519116594E-2</v>
      </c>
      <c r="AD333" s="5">
        <f t="shared" si="93"/>
        <v>-0.18037262294976703</v>
      </c>
      <c r="AE333" s="5">
        <f t="shared" si="94"/>
        <v>-0.19006719316968551</v>
      </c>
      <c r="AF333" s="5">
        <f t="shared" si="95"/>
        <v>-0.19006719316968551</v>
      </c>
    </row>
    <row r="334" spans="1:32" x14ac:dyDescent="0.25">
      <c r="A334" s="2">
        <v>45034</v>
      </c>
      <c r="B334">
        <v>16286</v>
      </c>
      <c r="C334">
        <v>43460</v>
      </c>
      <c r="D334">
        <v>264073</v>
      </c>
      <c r="F334" s="5">
        <f t="shared" si="80"/>
        <v>0.37473538886332258</v>
      </c>
      <c r="G334" s="5">
        <f t="shared" si="81"/>
        <v>0.1845043064180916</v>
      </c>
      <c r="I334" s="2">
        <v>45034</v>
      </c>
      <c r="J334">
        <v>50179</v>
      </c>
      <c r="K334">
        <v>58540</v>
      </c>
      <c r="M334" s="5">
        <f t="shared" si="82"/>
        <v>0.89746706789692898</v>
      </c>
      <c r="N334" s="5">
        <f t="shared" si="83"/>
        <v>0.26500615108854786</v>
      </c>
      <c r="S334" s="5">
        <f t="shared" si="84"/>
        <v>1.7560384049574829E-2</v>
      </c>
      <c r="T334" s="5">
        <f t="shared" si="85"/>
        <v>1.9706046051554987E-2</v>
      </c>
      <c r="U334" s="5">
        <f t="shared" si="86"/>
        <v>1.9706046051554987E-2</v>
      </c>
      <c r="V334" s="5">
        <f t="shared" si="87"/>
        <v>-0.11362757713558735</v>
      </c>
      <c r="W334" s="5">
        <f t="shared" si="88"/>
        <v>-0.239502920752106</v>
      </c>
      <c r="X334" s="5">
        <f t="shared" si="89"/>
        <v>-0.239502920752106</v>
      </c>
      <c r="AA334" s="5">
        <f t="shared" si="90"/>
        <v>-6.4142994182331603E-2</v>
      </c>
      <c r="AB334" s="5">
        <f t="shared" si="91"/>
        <v>-3.0947269361644103E-2</v>
      </c>
      <c r="AC334" s="5">
        <f t="shared" si="92"/>
        <v>-3.0947269361644103E-2</v>
      </c>
      <c r="AD334" s="5">
        <f t="shared" si="93"/>
        <v>-0.1712236278179875</v>
      </c>
      <c r="AE334" s="5">
        <f t="shared" si="94"/>
        <v>-0.18163524418552635</v>
      </c>
      <c r="AF334" s="5">
        <f t="shared" si="95"/>
        <v>-0.18163524418552635</v>
      </c>
    </row>
    <row r="335" spans="1:32" x14ac:dyDescent="0.25">
      <c r="A335" s="2">
        <v>45033</v>
      </c>
      <c r="B335">
        <v>16286</v>
      </c>
      <c r="C335">
        <v>43360</v>
      </c>
      <c r="D335">
        <v>265414</v>
      </c>
      <c r="F335" s="5">
        <f t="shared" si="80"/>
        <v>0.37559963099630994</v>
      </c>
      <c r="G335" s="5">
        <f t="shared" si="81"/>
        <v>0.18349227834861256</v>
      </c>
      <c r="I335" s="2">
        <v>45033</v>
      </c>
      <c r="J335">
        <v>50279</v>
      </c>
      <c r="K335">
        <v>58640</v>
      </c>
      <c r="M335" s="5">
        <f t="shared" si="82"/>
        <v>0.89566220489667658</v>
      </c>
      <c r="N335" s="5">
        <f t="shared" si="83"/>
        <v>0.26422270643091988</v>
      </c>
      <c r="S335" s="5">
        <f t="shared" si="84"/>
        <v>1.7414573541687406E-2</v>
      </c>
      <c r="T335" s="5">
        <f t="shared" si="85"/>
        <v>1.9257775723051457E-2</v>
      </c>
      <c r="U335" s="5">
        <f t="shared" si="86"/>
        <v>1.9257775723051457E-2</v>
      </c>
      <c r="V335" s="5">
        <f t="shared" si="87"/>
        <v>-0.1162757293013218</v>
      </c>
      <c r="W335" s="5">
        <f t="shared" si="88"/>
        <v>-0.24254736246614828</v>
      </c>
      <c r="X335" s="5">
        <f t="shared" si="89"/>
        <v>-0.24254736246614828</v>
      </c>
      <c r="AA335" s="5">
        <f t="shared" si="90"/>
        <v>-6.0819051059636975E-2</v>
      </c>
      <c r="AB335" s="5">
        <f t="shared" si="91"/>
        <v>-2.7352300838941329E-2</v>
      </c>
      <c r="AC335" s="5">
        <f t="shared" si="92"/>
        <v>-2.7352300838941329E-2</v>
      </c>
      <c r="AD335" s="5">
        <f t="shared" si="93"/>
        <v>-0.16057787798141304</v>
      </c>
      <c r="AE335" s="5">
        <f t="shared" si="94"/>
        <v>-0.17135738842144338</v>
      </c>
      <c r="AF335" s="5">
        <f t="shared" si="95"/>
        <v>-0.17135738842144338</v>
      </c>
    </row>
    <row r="336" spans="1:32" x14ac:dyDescent="0.25">
      <c r="A336" s="2">
        <v>45030</v>
      </c>
      <c r="B336">
        <v>15811</v>
      </c>
      <c r="C336">
        <v>43160</v>
      </c>
      <c r="D336">
        <v>265267</v>
      </c>
      <c r="F336" s="5">
        <f t="shared" si="80"/>
        <v>0.36633456904541239</v>
      </c>
      <c r="G336" s="5">
        <f t="shared" si="81"/>
        <v>0.18187565923796717</v>
      </c>
      <c r="I336" s="2">
        <v>45030</v>
      </c>
      <c r="J336">
        <v>50429</v>
      </c>
      <c r="K336">
        <v>58540</v>
      </c>
      <c r="M336" s="5">
        <f t="shared" si="82"/>
        <v>0.89293858692419048</v>
      </c>
      <c r="N336" s="5">
        <f t="shared" si="83"/>
        <v>0.2646302179493577</v>
      </c>
      <c r="S336" s="5">
        <f t="shared" si="84"/>
        <v>1.730970142997415E-2</v>
      </c>
      <c r="T336" s="5">
        <f t="shared" si="85"/>
        <v>1.8898612050747249E-2</v>
      </c>
      <c r="U336" s="5">
        <f t="shared" si="86"/>
        <v>1.8898612050747249E-2</v>
      </c>
      <c r="V336" s="5">
        <f t="shared" si="87"/>
        <v>-0.11884266365672935</v>
      </c>
      <c r="W336" s="5">
        <f t="shared" si="88"/>
        <v>-0.24564679394176714</v>
      </c>
      <c r="X336" s="5">
        <f t="shared" si="89"/>
        <v>-0.24564679394176714</v>
      </c>
      <c r="AA336" s="5">
        <f t="shared" si="90"/>
        <v>-5.7070786296725351E-2</v>
      </c>
      <c r="AB336" s="5">
        <f t="shared" si="91"/>
        <v>-2.3578383001165604E-2</v>
      </c>
      <c r="AC336" s="5">
        <f t="shared" si="92"/>
        <v>-2.3578383001165604E-2</v>
      </c>
      <c r="AD336" s="5">
        <f t="shared" si="93"/>
        <v>-0.14904759080667945</v>
      </c>
      <c r="AE336" s="5">
        <f t="shared" si="94"/>
        <v>-0.16068464140052924</v>
      </c>
      <c r="AF336" s="5">
        <f t="shared" si="95"/>
        <v>-0.16068464140052924</v>
      </c>
    </row>
    <row r="337" spans="1:32" x14ac:dyDescent="0.25">
      <c r="A337" s="2">
        <v>45029</v>
      </c>
      <c r="B337">
        <v>15786</v>
      </c>
      <c r="C337">
        <v>43408</v>
      </c>
      <c r="D337">
        <v>264577</v>
      </c>
      <c r="F337" s="5">
        <f t="shared" si="80"/>
        <v>0.3636656837449318</v>
      </c>
      <c r="G337" s="5">
        <f t="shared" si="81"/>
        <v>0.18282675100611234</v>
      </c>
      <c r="I337" s="2">
        <v>45029</v>
      </c>
      <c r="J337">
        <v>50429</v>
      </c>
      <c r="K337">
        <v>57053</v>
      </c>
      <c r="M337" s="5">
        <f t="shared" si="82"/>
        <v>0.8929187570643875</v>
      </c>
      <c r="N337" s="5">
        <f t="shared" si="83"/>
        <v>0.26513533406474371</v>
      </c>
      <c r="S337" s="5">
        <f t="shared" si="84"/>
        <v>1.7014162538223049E-2</v>
      </c>
      <c r="T337" s="5">
        <f t="shared" si="85"/>
        <v>1.8428720055310044E-2</v>
      </c>
      <c r="U337" s="5">
        <f t="shared" si="86"/>
        <v>1.8428720055310044E-2</v>
      </c>
      <c r="V337" s="5">
        <f t="shared" si="87"/>
        <v>-0.12083159973036628</v>
      </c>
      <c r="W337" s="5">
        <f t="shared" si="88"/>
        <v>-0.24851493647150125</v>
      </c>
      <c r="X337" s="5">
        <f t="shared" si="89"/>
        <v>-0.24851493647150125</v>
      </c>
      <c r="AA337" s="5">
        <f t="shared" si="90"/>
        <v>-5.3268049343009549E-2</v>
      </c>
      <c r="AB337" s="5">
        <f t="shared" si="91"/>
        <v>-1.9669053324552876E-2</v>
      </c>
      <c r="AC337" s="5">
        <f t="shared" si="92"/>
        <v>-1.9669053324552876E-2</v>
      </c>
      <c r="AD337" s="5">
        <f t="shared" si="93"/>
        <v>-0.1396833535196137</v>
      </c>
      <c r="AE337" s="5">
        <f t="shared" si="94"/>
        <v>-0.15051998585220838</v>
      </c>
      <c r="AF337" s="5">
        <f t="shared" si="95"/>
        <v>-0.15051998585220838</v>
      </c>
    </row>
    <row r="338" spans="1:32" x14ac:dyDescent="0.25">
      <c r="A338" s="2">
        <v>45028</v>
      </c>
      <c r="B338">
        <v>15111</v>
      </c>
      <c r="C338">
        <v>40833</v>
      </c>
      <c r="D338">
        <v>263927</v>
      </c>
      <c r="F338" s="5">
        <f t="shared" si="80"/>
        <v>0.37006832708838439</v>
      </c>
      <c r="G338" s="5">
        <f t="shared" si="81"/>
        <v>0.17489550475035248</v>
      </c>
      <c r="I338" s="2">
        <v>45028</v>
      </c>
      <c r="J338">
        <v>50429</v>
      </c>
      <c r="K338">
        <v>56953</v>
      </c>
      <c r="M338" s="5">
        <f t="shared" si="82"/>
        <v>0.89289892720458464</v>
      </c>
      <c r="N338" s="5">
        <f t="shared" si="83"/>
        <v>0.26561282639182604</v>
      </c>
      <c r="S338" s="5">
        <f t="shared" si="84"/>
        <v>1.6586597802199177E-2</v>
      </c>
      <c r="T338" s="5">
        <f t="shared" si="85"/>
        <v>1.7845395013857734E-2</v>
      </c>
      <c r="U338" s="5">
        <f t="shared" si="86"/>
        <v>1.7845395013857734E-2</v>
      </c>
      <c r="V338" s="5">
        <f t="shared" si="87"/>
        <v>-0.12125897129911767</v>
      </c>
      <c r="W338" s="5">
        <f t="shared" si="88"/>
        <v>-0.25041846685453972</v>
      </c>
      <c r="X338" s="5">
        <f t="shared" si="89"/>
        <v>-0.25041846685453972</v>
      </c>
      <c r="AA338" s="5">
        <f t="shared" si="90"/>
        <v>-4.9622231761039276E-2</v>
      </c>
      <c r="AB338" s="5">
        <f t="shared" si="91"/>
        <v>-1.5808243847412334E-2</v>
      </c>
      <c r="AC338" s="5">
        <f t="shared" si="92"/>
        <v>-1.5808243847412334E-2</v>
      </c>
      <c r="AD338" s="5">
        <f t="shared" si="93"/>
        <v>-0.1304976770675485</v>
      </c>
      <c r="AE338" s="5">
        <f t="shared" si="94"/>
        <v>-0.1408047999326219</v>
      </c>
      <c r="AF338" s="5">
        <f t="shared" si="95"/>
        <v>-0.1408047999326219</v>
      </c>
    </row>
    <row r="339" spans="1:32" x14ac:dyDescent="0.25">
      <c r="A339" s="2">
        <v>45027</v>
      </c>
      <c r="B339">
        <v>14861</v>
      </c>
      <c r="C339">
        <v>38533</v>
      </c>
      <c r="D339">
        <v>264247</v>
      </c>
      <c r="F339" s="5">
        <f t="shared" si="80"/>
        <v>0.38566942620610906</v>
      </c>
      <c r="G339" s="5">
        <f t="shared" si="81"/>
        <v>0.1680954284868767</v>
      </c>
      <c r="I339" s="2">
        <v>45027</v>
      </c>
      <c r="J339">
        <v>50429</v>
      </c>
      <c r="K339">
        <v>56953</v>
      </c>
      <c r="M339" s="5">
        <f t="shared" si="82"/>
        <v>0.89287909734478177</v>
      </c>
      <c r="N339" s="5">
        <f t="shared" si="83"/>
        <v>0.26537448950940079</v>
      </c>
      <c r="S339" s="5">
        <f t="shared" si="84"/>
        <v>1.549166413559111E-2</v>
      </c>
      <c r="T339" s="5">
        <f t="shared" si="85"/>
        <v>1.6815391541907088E-2</v>
      </c>
      <c r="U339" s="5">
        <f t="shared" si="86"/>
        <v>1.6815391541907088E-2</v>
      </c>
      <c r="V339" s="5">
        <f t="shared" si="87"/>
        <v>-0.11794343185418887</v>
      </c>
      <c r="W339" s="5">
        <f t="shared" si="88"/>
        <v>-0.24981453745418614</v>
      </c>
      <c r="X339" s="5">
        <f t="shared" si="89"/>
        <v>-0.24981453745418614</v>
      </c>
      <c r="AA339" s="5">
        <f t="shared" si="90"/>
        <v>-4.5572324390372981E-2</v>
      </c>
      <c r="AB339" s="5">
        <f t="shared" si="91"/>
        <v>-1.1473338889964213E-2</v>
      </c>
      <c r="AC339" s="5">
        <f t="shared" si="92"/>
        <v>-1.1473338889964213E-2</v>
      </c>
      <c r="AD339" s="5">
        <f t="shared" si="93"/>
        <v>-0.12306229496118298</v>
      </c>
      <c r="AE339" s="5">
        <f t="shared" si="94"/>
        <v>-0.13251966652167552</v>
      </c>
      <c r="AF339" s="5">
        <f t="shared" si="95"/>
        <v>-0.13251966652167552</v>
      </c>
    </row>
    <row r="340" spans="1:32" x14ac:dyDescent="0.25">
      <c r="A340" s="2">
        <v>45026</v>
      </c>
      <c r="B340">
        <v>14861</v>
      </c>
      <c r="C340">
        <v>38533</v>
      </c>
      <c r="D340">
        <v>262907</v>
      </c>
      <c r="F340" s="5">
        <f t="shared" si="80"/>
        <v>0.38566942620610906</v>
      </c>
      <c r="G340" s="5">
        <f t="shared" si="81"/>
        <v>0.16880755988757545</v>
      </c>
      <c r="I340" s="2">
        <v>45026</v>
      </c>
      <c r="J340">
        <v>50429</v>
      </c>
      <c r="K340">
        <v>56953</v>
      </c>
      <c r="M340" s="5">
        <f t="shared" si="82"/>
        <v>0.8928592674849789</v>
      </c>
      <c r="N340" s="5">
        <f t="shared" si="83"/>
        <v>0.26636473733264132</v>
      </c>
      <c r="S340" s="5">
        <f t="shared" si="84"/>
        <v>1.4419587433825598E-2</v>
      </c>
      <c r="T340" s="5">
        <f t="shared" si="85"/>
        <v>1.5807571107896601E-2</v>
      </c>
      <c r="U340" s="5">
        <f t="shared" si="86"/>
        <v>1.5807571107896601E-2</v>
      </c>
      <c r="V340" s="5">
        <f t="shared" si="87"/>
        <v>-0.11557910739257871</v>
      </c>
      <c r="W340" s="5">
        <f t="shared" si="88"/>
        <v>-0.24968762114145049</v>
      </c>
      <c r="X340" s="5">
        <f t="shared" si="89"/>
        <v>-0.24968762114145049</v>
      </c>
      <c r="AA340" s="5">
        <f t="shared" si="90"/>
        <v>-4.1218756140371654E-2</v>
      </c>
      <c r="AB340" s="5">
        <f t="shared" si="91"/>
        <v>-6.6939374647611571E-3</v>
      </c>
      <c r="AC340" s="5">
        <f t="shared" si="92"/>
        <v>-6.6939374647611571E-3</v>
      </c>
      <c r="AD340" s="5">
        <f t="shared" si="93"/>
        <v>-0.11668269036071477</v>
      </c>
      <c r="AE340" s="5">
        <f t="shared" si="94"/>
        <v>-0.12555987407301072</v>
      </c>
      <c r="AF340" s="5">
        <f t="shared" si="95"/>
        <v>-0.12555987407301072</v>
      </c>
    </row>
    <row r="341" spans="1:32" x14ac:dyDescent="0.25">
      <c r="A341" s="2">
        <v>45023</v>
      </c>
      <c r="B341">
        <v>14861</v>
      </c>
      <c r="C341">
        <v>37533</v>
      </c>
      <c r="D341">
        <v>262907</v>
      </c>
      <c r="F341" s="5">
        <f t="shared" si="80"/>
        <v>0.39594490181973196</v>
      </c>
      <c r="G341" s="5">
        <f t="shared" si="81"/>
        <v>0.16617137275175151</v>
      </c>
      <c r="I341" s="2">
        <v>45023</v>
      </c>
      <c r="J341">
        <v>0</v>
      </c>
      <c r="K341">
        <v>0</v>
      </c>
      <c r="M341" s="5" t="str">
        <f t="shared" si="82"/>
        <v/>
      </c>
      <c r="N341" s="5">
        <f t="shared" si="83"/>
        <v>0.14621180138343129</v>
      </c>
      <c r="S341" s="5">
        <f t="shared" si="84"/>
        <v>1.3034573714669623E-2</v>
      </c>
      <c r="T341" s="5">
        <f t="shared" si="85"/>
        <v>1.4534448347719359E-2</v>
      </c>
      <c r="U341" s="5">
        <f t="shared" si="86"/>
        <v>1.4534448347719359E-2</v>
      </c>
      <c r="V341" s="5">
        <f t="shared" si="87"/>
        <v>-0.11299857740618269</v>
      </c>
      <c r="W341" s="5">
        <f t="shared" si="88"/>
        <v>-0.24890730138619643</v>
      </c>
      <c r="X341" s="5">
        <f t="shared" si="89"/>
        <v>-0.24890730138619643</v>
      </c>
      <c r="AA341" s="5">
        <f t="shared" si="90"/>
        <v>-3.6920713320433063E-2</v>
      </c>
      <c r="AB341" s="5">
        <f t="shared" si="91"/>
        <v>-1.9617192675807915E-3</v>
      </c>
      <c r="AC341" s="5">
        <f t="shared" si="92"/>
        <v>-1.9617192675807915E-3</v>
      </c>
      <c r="AD341" s="5">
        <f t="shared" si="93"/>
        <v>-0.10838551261599011</v>
      </c>
      <c r="AE341" s="5">
        <f t="shared" si="94"/>
        <v>-0.11713248544984639</v>
      </c>
      <c r="AF341" s="5">
        <f t="shared" si="95"/>
        <v>-0.11713248544984639</v>
      </c>
    </row>
    <row r="342" spans="1:32" x14ac:dyDescent="0.25">
      <c r="A342" s="2">
        <v>45022</v>
      </c>
      <c r="B342">
        <v>14861</v>
      </c>
      <c r="C342">
        <v>37533</v>
      </c>
      <c r="D342">
        <v>262907</v>
      </c>
      <c r="F342" s="5">
        <f t="shared" si="80"/>
        <v>0.39594490181973196</v>
      </c>
      <c r="G342" s="5">
        <f t="shared" si="81"/>
        <v>0.16617137275175151</v>
      </c>
      <c r="I342" s="2">
        <v>45022</v>
      </c>
      <c r="J342">
        <v>50779</v>
      </c>
      <c r="K342">
        <v>56953</v>
      </c>
      <c r="M342" s="5">
        <f t="shared" si="82"/>
        <v>0.88662636129108485</v>
      </c>
      <c r="N342" s="5">
        <f t="shared" si="83"/>
        <v>0.2670723819931532</v>
      </c>
      <c r="S342" s="5">
        <f t="shared" si="84"/>
        <v>1.7424126743491308E-2</v>
      </c>
      <c r="T342" s="5">
        <f t="shared" si="85"/>
        <v>1.9016478588572944E-2</v>
      </c>
      <c r="U342" s="5">
        <f t="shared" si="86"/>
        <v>1.9016478588572944E-2</v>
      </c>
      <c r="V342" s="5">
        <f t="shared" si="87"/>
        <v>-6.800636630648127E-2</v>
      </c>
      <c r="W342" s="5">
        <f t="shared" si="88"/>
        <v>-0.20515225611506382</v>
      </c>
      <c r="X342" s="5">
        <f t="shared" si="89"/>
        <v>-0.20515225611506382</v>
      </c>
      <c r="AA342" s="5">
        <f t="shared" si="90"/>
        <v>-3.2580737348228694E-2</v>
      </c>
      <c r="AB342" s="5">
        <f t="shared" si="91"/>
        <v>2.7266537122249968E-3</v>
      </c>
      <c r="AC342" s="5">
        <f t="shared" si="92"/>
        <v>2.7266537122249968E-3</v>
      </c>
      <c r="AD342" s="5">
        <f t="shared" si="93"/>
        <v>-9.9797177417813798E-2</v>
      </c>
      <c r="AE342" s="5">
        <f t="shared" si="94"/>
        <v>-0.10767348478994287</v>
      </c>
      <c r="AF342" s="5">
        <f t="shared" si="95"/>
        <v>-0.10767348478994287</v>
      </c>
    </row>
    <row r="343" spans="1:32" x14ac:dyDescent="0.25">
      <c r="A343" s="2">
        <v>45021</v>
      </c>
      <c r="B343">
        <v>14611</v>
      </c>
      <c r="C343">
        <v>36708</v>
      </c>
      <c r="D343">
        <v>261927</v>
      </c>
      <c r="F343" s="5">
        <f t="shared" si="80"/>
        <v>0.39803312629399584</v>
      </c>
      <c r="G343" s="5">
        <f t="shared" si="81"/>
        <v>0.16382970572648972</v>
      </c>
      <c r="I343" s="2">
        <v>45021</v>
      </c>
      <c r="J343">
        <v>50454</v>
      </c>
      <c r="K343">
        <v>57003</v>
      </c>
      <c r="M343" s="5">
        <f t="shared" si="82"/>
        <v>0.89231775478653819</v>
      </c>
      <c r="N343" s="5">
        <f t="shared" si="83"/>
        <v>0.26713616599795187</v>
      </c>
      <c r="S343" s="5">
        <f t="shared" si="84"/>
        <v>1.5939051744550736E-2</v>
      </c>
      <c r="T343" s="5">
        <f t="shared" si="85"/>
        <v>1.7622121548081432E-2</v>
      </c>
      <c r="U343" s="5">
        <f t="shared" si="86"/>
        <v>1.7622121548081432E-2</v>
      </c>
      <c r="V343" s="5">
        <f t="shared" si="87"/>
        <v>-6.5622963591781103E-2</v>
      </c>
      <c r="W343" s="5">
        <f t="shared" si="88"/>
        <v>-0.20375177365027741</v>
      </c>
      <c r="X343" s="5">
        <f t="shared" si="89"/>
        <v>-0.20375177365027741</v>
      </c>
      <c r="AA343" s="5">
        <f t="shared" si="90"/>
        <v>-2.828221237473233E-2</v>
      </c>
      <c r="AB343" s="5">
        <f t="shared" si="91"/>
        <v>7.4534547099760207E-3</v>
      </c>
      <c r="AC343" s="5">
        <f t="shared" si="92"/>
        <v>7.4534547099760207E-3</v>
      </c>
      <c r="AD343" s="5">
        <f t="shared" si="93"/>
        <v>-9.1495046225761323E-2</v>
      </c>
      <c r="AE343" s="5">
        <f t="shared" si="94"/>
        <v>-9.8339422069796734E-2</v>
      </c>
      <c r="AF343" s="5">
        <f t="shared" si="95"/>
        <v>-9.8339422069796734E-2</v>
      </c>
    </row>
    <row r="344" spans="1:32" x14ac:dyDescent="0.25">
      <c r="A344" s="2">
        <v>45020</v>
      </c>
      <c r="B344">
        <v>14611</v>
      </c>
      <c r="C344">
        <v>37235</v>
      </c>
      <c r="D344">
        <v>260971</v>
      </c>
      <c r="F344" s="5">
        <f t="shared" si="80"/>
        <v>0.39239962400966832</v>
      </c>
      <c r="G344" s="5">
        <f t="shared" si="81"/>
        <v>0.16573907428304727</v>
      </c>
      <c r="I344" s="2">
        <v>45020</v>
      </c>
      <c r="J344">
        <v>50454</v>
      </c>
      <c r="K344">
        <v>57003</v>
      </c>
      <c r="M344" s="5">
        <f t="shared" si="82"/>
        <v>0.89229793475244779</v>
      </c>
      <c r="N344" s="5">
        <f t="shared" si="83"/>
        <v>0.26785058003338524</v>
      </c>
      <c r="S344" s="5">
        <f t="shared" si="84"/>
        <v>1.4390037829352997E-2</v>
      </c>
      <c r="T344" s="5">
        <f t="shared" si="85"/>
        <v>1.617821667816377E-2</v>
      </c>
      <c r="U344" s="5">
        <f t="shared" si="86"/>
        <v>1.617821667816377E-2</v>
      </c>
      <c r="V344" s="5">
        <f t="shared" si="87"/>
        <v>-6.4117660305776814E-2</v>
      </c>
      <c r="W344" s="5">
        <f t="shared" si="88"/>
        <v>-0.20321690815803684</v>
      </c>
      <c r="X344" s="5">
        <f t="shared" si="89"/>
        <v>-0.20321690815803684</v>
      </c>
      <c r="AA344" s="5">
        <f t="shared" si="90"/>
        <v>-2.3695276573501067E-2</v>
      </c>
      <c r="AB344" s="5">
        <f t="shared" si="91"/>
        <v>1.2390785012860367E-2</v>
      </c>
      <c r="AC344" s="5">
        <f t="shared" si="92"/>
        <v>1.2390785012860367E-2</v>
      </c>
      <c r="AD344" s="5">
        <f t="shared" si="93"/>
        <v>-8.4111301956955542E-2</v>
      </c>
      <c r="AE344" s="5">
        <f t="shared" si="94"/>
        <v>-8.9622149321646305E-2</v>
      </c>
      <c r="AF344" s="5">
        <f t="shared" si="95"/>
        <v>-8.9622149321646305E-2</v>
      </c>
    </row>
    <row r="345" spans="1:32" x14ac:dyDescent="0.25">
      <c r="A345" s="2">
        <v>45019</v>
      </c>
      <c r="B345">
        <v>14361</v>
      </c>
      <c r="C345">
        <v>37110</v>
      </c>
      <c r="D345">
        <v>262497</v>
      </c>
      <c r="F345" s="5">
        <f t="shared" si="80"/>
        <v>0.38698464025869039</v>
      </c>
      <c r="G345" s="5">
        <f t="shared" si="81"/>
        <v>0.16393708913010244</v>
      </c>
      <c r="I345" s="2">
        <v>45019</v>
      </c>
      <c r="J345">
        <v>50454</v>
      </c>
      <c r="K345">
        <v>57003</v>
      </c>
      <c r="M345" s="5">
        <f t="shared" si="82"/>
        <v>0.89227811471835727</v>
      </c>
      <c r="N345" s="5">
        <f t="shared" si="83"/>
        <v>0.26670670726597201</v>
      </c>
      <c r="S345" s="5">
        <f t="shared" si="84"/>
        <v>1.2737970789492709E-2</v>
      </c>
      <c r="T345" s="5">
        <f t="shared" si="85"/>
        <v>1.4680286249482394E-2</v>
      </c>
      <c r="U345" s="5">
        <f t="shared" si="86"/>
        <v>1.4680286249482394E-2</v>
      </c>
      <c r="V345" s="5">
        <f t="shared" si="87"/>
        <v>-6.2481848464424838E-2</v>
      </c>
      <c r="W345" s="5">
        <f t="shared" si="88"/>
        <v>-0.2028418705869004</v>
      </c>
      <c r="X345" s="5">
        <f t="shared" si="89"/>
        <v>-0.2028418705869004</v>
      </c>
      <c r="AA345" s="5">
        <f t="shared" si="90"/>
        <v>-1.8282036061033541E-2</v>
      </c>
      <c r="AB345" s="5">
        <f t="shared" si="91"/>
        <v>1.7043870704995912E-2</v>
      </c>
      <c r="AC345" s="5">
        <f t="shared" si="92"/>
        <v>1.7043870704995912E-2</v>
      </c>
      <c r="AD345" s="5">
        <f t="shared" si="93"/>
        <v>-7.6018606154844182E-2</v>
      </c>
      <c r="AE345" s="5">
        <f t="shared" si="94"/>
        <v>-8.1978712261478071E-2</v>
      </c>
      <c r="AF345" s="5">
        <f t="shared" si="95"/>
        <v>-8.1978712261478071E-2</v>
      </c>
    </row>
    <row r="346" spans="1:32" x14ac:dyDescent="0.25">
      <c r="A346" s="2">
        <v>45016</v>
      </c>
      <c r="B346">
        <v>13835</v>
      </c>
      <c r="C346">
        <v>36385</v>
      </c>
      <c r="D346">
        <v>262035</v>
      </c>
      <c r="F346" s="5">
        <f t="shared" si="80"/>
        <v>0.38023910952315515</v>
      </c>
      <c r="G346" s="5">
        <f t="shared" si="81"/>
        <v>0.1608300907911803</v>
      </c>
      <c r="I346" s="2">
        <v>45016</v>
      </c>
      <c r="J346">
        <v>50454</v>
      </c>
      <c r="K346">
        <v>57003</v>
      </c>
      <c r="M346" s="5">
        <f t="shared" si="82"/>
        <v>0.89221865461608596</v>
      </c>
      <c r="N346" s="5">
        <f t="shared" si="83"/>
        <v>0.26704521615082305</v>
      </c>
      <c r="S346" s="5">
        <f t="shared" si="84"/>
        <v>1.1135112479705944E-2</v>
      </c>
      <c r="T346" s="5">
        <f t="shared" si="85"/>
        <v>1.3266142892251809E-2</v>
      </c>
      <c r="U346" s="5">
        <f t="shared" si="86"/>
        <v>1.3266142892251809E-2</v>
      </c>
      <c r="V346" s="5">
        <f t="shared" si="87"/>
        <v>-6.0850195349424263E-2</v>
      </c>
      <c r="W346" s="5">
        <f t="shared" si="88"/>
        <v>-0.20264146632596547</v>
      </c>
      <c r="X346" s="5">
        <f t="shared" si="89"/>
        <v>-0.20264146632596547</v>
      </c>
      <c r="AA346" s="5">
        <f t="shared" si="90"/>
        <v>-1.2768658483917561E-2</v>
      </c>
      <c r="AB346" s="5">
        <f t="shared" si="91"/>
        <v>2.1873775418152414E-2</v>
      </c>
      <c r="AC346" s="5">
        <f t="shared" si="92"/>
        <v>2.1873775418152414E-2</v>
      </c>
      <c r="AD346" s="5">
        <f t="shared" si="93"/>
        <v>-6.7671862274919725E-2</v>
      </c>
      <c r="AE346" s="5">
        <f t="shared" si="94"/>
        <v>-7.4095361040557028E-2</v>
      </c>
      <c r="AF346" s="5">
        <f t="shared" si="95"/>
        <v>-7.4095361040557028E-2</v>
      </c>
    </row>
    <row r="347" spans="1:32" x14ac:dyDescent="0.25">
      <c r="A347" s="2">
        <v>45015</v>
      </c>
      <c r="B347">
        <v>13185</v>
      </c>
      <c r="C347">
        <v>35835</v>
      </c>
      <c r="D347">
        <v>263021</v>
      </c>
      <c r="F347" s="5">
        <f t="shared" si="80"/>
        <v>0.36793637505232313</v>
      </c>
      <c r="G347" s="5">
        <f t="shared" si="81"/>
        <v>0.15709474075522126</v>
      </c>
      <c r="I347" s="2">
        <v>45015</v>
      </c>
      <c r="J347">
        <v>50554</v>
      </c>
      <c r="K347">
        <v>57253</v>
      </c>
      <c r="M347" s="5">
        <f t="shared" si="82"/>
        <v>0.89043399137555879</v>
      </c>
      <c r="N347" s="5">
        <f t="shared" si="83"/>
        <v>0.2665132881563903</v>
      </c>
      <c r="S347" s="5">
        <f t="shared" si="84"/>
        <v>9.4284734854813701E-3</v>
      </c>
      <c r="T347" s="5">
        <f t="shared" si="85"/>
        <v>1.1807158781464155E-2</v>
      </c>
      <c r="U347" s="5">
        <f t="shared" si="86"/>
        <v>1.1807158781464155E-2</v>
      </c>
      <c r="V347" s="5">
        <f t="shared" si="87"/>
        <v>-5.9116234155037306E-2</v>
      </c>
      <c r="W347" s="5">
        <f t="shared" si="88"/>
        <v>-0.20254700251879454</v>
      </c>
      <c r="X347" s="5">
        <f t="shared" si="89"/>
        <v>-0.20254700251879454</v>
      </c>
      <c r="AA347" s="5">
        <f t="shared" si="90"/>
        <v>-7.3271503385499426E-3</v>
      </c>
      <c r="AB347" s="5">
        <f t="shared" si="91"/>
        <v>2.6772537270855573E-2</v>
      </c>
      <c r="AC347" s="5">
        <f t="shared" si="92"/>
        <v>2.6772537270855573E-2</v>
      </c>
      <c r="AD347" s="5">
        <f t="shared" si="93"/>
        <v>-5.8674466330196573E-2</v>
      </c>
      <c r="AE347" s="5">
        <f t="shared" si="94"/>
        <v>-6.5655840120707021E-2</v>
      </c>
      <c r="AF347" s="5">
        <f t="shared" si="95"/>
        <v>-6.5655840120707021E-2</v>
      </c>
    </row>
    <row r="348" spans="1:32" x14ac:dyDescent="0.25">
      <c r="A348" s="2">
        <v>45014</v>
      </c>
      <c r="B348">
        <v>10911</v>
      </c>
      <c r="C348">
        <v>37558</v>
      </c>
      <c r="D348">
        <v>264196</v>
      </c>
      <c r="F348" s="5">
        <f t="shared" si="80"/>
        <v>0.29051067681985199</v>
      </c>
      <c r="G348" s="5">
        <f t="shared" si="81"/>
        <v>0.15501894999440297</v>
      </c>
      <c r="I348" s="2">
        <v>45014</v>
      </c>
      <c r="J348">
        <v>50554</v>
      </c>
      <c r="K348">
        <v>57253</v>
      </c>
      <c r="M348" s="5">
        <f t="shared" si="82"/>
        <v>0.89041421054713776</v>
      </c>
      <c r="N348" s="5">
        <f t="shared" si="83"/>
        <v>0.26564080897477232</v>
      </c>
      <c r="S348" s="5">
        <f t="shared" si="84"/>
        <v>7.6920154211738145E-3</v>
      </c>
      <c r="T348" s="5">
        <f t="shared" si="85"/>
        <v>1.0333981613064702E-2</v>
      </c>
      <c r="U348" s="5">
        <f t="shared" si="86"/>
        <v>1.0333981613064702E-2</v>
      </c>
      <c r="V348" s="5">
        <f t="shared" si="87"/>
        <v>-5.7890347756758165E-2</v>
      </c>
      <c r="W348" s="5">
        <f t="shared" si="88"/>
        <v>-0.20256575422898471</v>
      </c>
      <c r="X348" s="5">
        <f t="shared" si="89"/>
        <v>-0.20256575422898471</v>
      </c>
      <c r="AA348" s="5">
        <f t="shared" si="90"/>
        <v>-1.5179806392301709E-3</v>
      </c>
      <c r="AB348" s="5">
        <f t="shared" si="91"/>
        <v>3.179070516566343E-2</v>
      </c>
      <c r="AC348" s="5">
        <f t="shared" si="92"/>
        <v>3.179070516566343E-2</v>
      </c>
      <c r="AD348" s="5">
        <f t="shared" si="93"/>
        <v>-4.8994530710463113E-2</v>
      </c>
      <c r="AE348" s="5">
        <f t="shared" si="94"/>
        <v>-5.6228776752160203E-2</v>
      </c>
      <c r="AF348" s="5">
        <f t="shared" si="95"/>
        <v>-5.6228776752160203E-2</v>
      </c>
    </row>
    <row r="349" spans="1:32" x14ac:dyDescent="0.25">
      <c r="A349" s="2">
        <v>45013</v>
      </c>
      <c r="B349">
        <v>10461</v>
      </c>
      <c r="C349">
        <v>37210</v>
      </c>
      <c r="D349">
        <v>271991</v>
      </c>
      <c r="F349" s="5">
        <f t="shared" si="80"/>
        <v>0.28113410373555497</v>
      </c>
      <c r="G349" s="5">
        <f t="shared" si="81"/>
        <v>0.14912939292127309</v>
      </c>
      <c r="I349" s="2">
        <v>45013</v>
      </c>
      <c r="J349">
        <v>50804</v>
      </c>
      <c r="K349">
        <v>57303</v>
      </c>
      <c r="M349" s="5">
        <f t="shared" si="82"/>
        <v>0.88601291236910484</v>
      </c>
      <c r="N349" s="5">
        <f t="shared" si="83"/>
        <v>0.26050819993039848</v>
      </c>
      <c r="S349" s="5">
        <f t="shared" si="84"/>
        <v>5.8831173192049058E-3</v>
      </c>
      <c r="T349" s="5">
        <f t="shared" si="85"/>
        <v>8.8892629383571509E-3</v>
      </c>
      <c r="U349" s="5">
        <f t="shared" si="86"/>
        <v>8.8892629383571509E-3</v>
      </c>
      <c r="V349" s="5">
        <f t="shared" si="87"/>
        <v>-5.6977410774114223E-2</v>
      </c>
      <c r="W349" s="5">
        <f t="shared" si="88"/>
        <v>-0.20279732935026074</v>
      </c>
      <c r="X349" s="5">
        <f t="shared" si="89"/>
        <v>-0.20279732935026074</v>
      </c>
      <c r="AA349" s="5">
        <f t="shared" si="90"/>
        <v>4.0590145424304058E-3</v>
      </c>
      <c r="AB349" s="5">
        <f t="shared" si="91"/>
        <v>3.6675552171440279E-2</v>
      </c>
      <c r="AC349" s="5">
        <f t="shared" si="92"/>
        <v>3.6675552171440279E-2</v>
      </c>
      <c r="AD349" s="5">
        <f t="shared" si="93"/>
        <v>-3.6078119071158543E-2</v>
      </c>
      <c r="AE349" s="5">
        <f t="shared" si="94"/>
        <v>-4.2761283880223155E-2</v>
      </c>
      <c r="AF349" s="5">
        <f t="shared" si="95"/>
        <v>-4.2761283880223155E-2</v>
      </c>
    </row>
    <row r="350" spans="1:32" x14ac:dyDescent="0.25">
      <c r="A350" s="2">
        <v>45012</v>
      </c>
      <c r="B350">
        <v>10561</v>
      </c>
      <c r="C350">
        <v>37111</v>
      </c>
      <c r="D350">
        <v>271774</v>
      </c>
      <c r="F350" s="5">
        <f t="shared" si="80"/>
        <v>0.28457869634340222</v>
      </c>
      <c r="G350" s="5">
        <f t="shared" si="81"/>
        <v>0.14923336025494136</v>
      </c>
      <c r="I350" s="2">
        <v>45012</v>
      </c>
      <c r="J350">
        <v>50679</v>
      </c>
      <c r="K350">
        <v>57103</v>
      </c>
      <c r="M350" s="5">
        <f t="shared" si="82"/>
        <v>0.88817853548807202</v>
      </c>
      <c r="N350" s="5">
        <f t="shared" si="83"/>
        <v>0.26040847427646169</v>
      </c>
      <c r="S350" s="5">
        <f t="shared" si="84"/>
        <v>4.2183185631915476E-3</v>
      </c>
      <c r="T350" s="5">
        <f t="shared" si="85"/>
        <v>7.6479785918777965E-3</v>
      </c>
      <c r="U350" s="5">
        <f t="shared" si="86"/>
        <v>7.6479785918777965E-3</v>
      </c>
      <c r="V350" s="5">
        <f t="shared" si="87"/>
        <v>-5.5853647600679457E-2</v>
      </c>
      <c r="W350" s="5">
        <f t="shared" si="88"/>
        <v>-0.20305033287060792</v>
      </c>
      <c r="X350" s="5">
        <f t="shared" si="89"/>
        <v>-0.20305033287060792</v>
      </c>
      <c r="AA350" s="5">
        <f t="shared" si="90"/>
        <v>9.4957472745098859E-3</v>
      </c>
      <c r="AB350" s="5">
        <f t="shared" si="91"/>
        <v>4.1541154419990178E-2</v>
      </c>
      <c r="AC350" s="5">
        <f t="shared" si="92"/>
        <v>4.1541154419990178E-2</v>
      </c>
      <c r="AD350" s="5">
        <f t="shared" si="93"/>
        <v>-2.6861217843636931E-2</v>
      </c>
      <c r="AE350" s="5">
        <f t="shared" si="94"/>
        <v>-3.1731851372511222E-2</v>
      </c>
      <c r="AF350" s="5">
        <f t="shared" si="95"/>
        <v>-3.1731851372511222E-2</v>
      </c>
    </row>
    <row r="351" spans="1:32" x14ac:dyDescent="0.25">
      <c r="A351" s="2">
        <v>45009</v>
      </c>
      <c r="B351">
        <v>9811</v>
      </c>
      <c r="C351">
        <v>32008</v>
      </c>
      <c r="D351">
        <v>282024</v>
      </c>
      <c r="F351" s="5">
        <f t="shared" si="80"/>
        <v>0.30651712071982007</v>
      </c>
      <c r="G351" s="5">
        <f t="shared" si="81"/>
        <v>0.12913356163326056</v>
      </c>
      <c r="I351" s="2">
        <v>45009</v>
      </c>
      <c r="J351">
        <v>50679</v>
      </c>
      <c r="K351">
        <v>52815</v>
      </c>
      <c r="M351" s="5">
        <f t="shared" si="82"/>
        <v>0.88811933937133725</v>
      </c>
      <c r="N351" s="5">
        <f t="shared" si="83"/>
        <v>0.25333587495234466</v>
      </c>
      <c r="S351" s="5">
        <f t="shared" si="84"/>
        <v>2.5430886215429271E-3</v>
      </c>
      <c r="T351" s="5">
        <f t="shared" si="85"/>
        <v>6.4758525341201967E-3</v>
      </c>
      <c r="U351" s="5">
        <f t="shared" si="86"/>
        <v>6.4758525341201967E-3</v>
      </c>
      <c r="V351" s="5">
        <f t="shared" si="87"/>
        <v>-5.4838098443743988E-2</v>
      </c>
      <c r="W351" s="5">
        <f t="shared" si="88"/>
        <v>-0.20365990770318887</v>
      </c>
      <c r="X351" s="5">
        <f t="shared" si="89"/>
        <v>-0.20365990770318887</v>
      </c>
      <c r="AA351" s="5">
        <f t="shared" si="90"/>
        <v>1.5255101334988141E-2</v>
      </c>
      <c r="AB351" s="5">
        <f t="shared" si="91"/>
        <v>4.6500670029624797E-2</v>
      </c>
      <c r="AC351" s="5">
        <f t="shared" si="92"/>
        <v>4.6500670029624797E-2</v>
      </c>
      <c r="AD351" s="5">
        <f t="shared" si="93"/>
        <v>-1.5592368952527247E-2</v>
      </c>
      <c r="AE351" s="5">
        <f t="shared" si="94"/>
        <v>-2.0617392584372451E-2</v>
      </c>
      <c r="AF351" s="5">
        <f t="shared" si="95"/>
        <v>-2.0617392584372451E-2</v>
      </c>
    </row>
    <row r="352" spans="1:32" x14ac:dyDescent="0.25">
      <c r="A352" s="2">
        <v>45008</v>
      </c>
      <c r="B352">
        <v>33130</v>
      </c>
      <c r="C352">
        <v>57970</v>
      </c>
      <c r="D352">
        <v>283752</v>
      </c>
      <c r="F352" s="5">
        <f t="shared" si="80"/>
        <v>0.57150250129377267</v>
      </c>
      <c r="G352" s="5">
        <f t="shared" si="81"/>
        <v>0.24302924887689009</v>
      </c>
      <c r="I352" s="2">
        <v>45008</v>
      </c>
      <c r="J352">
        <v>50679</v>
      </c>
      <c r="K352">
        <v>52765</v>
      </c>
      <c r="M352" s="5">
        <f t="shared" si="82"/>
        <v>0.88809960733242566</v>
      </c>
      <c r="N352" s="5">
        <f t="shared" si="83"/>
        <v>0.25218019233658112</v>
      </c>
      <c r="S352" s="5">
        <f t="shared" si="84"/>
        <v>1.5603700803468179E-3</v>
      </c>
      <c r="T352" s="5">
        <f t="shared" si="85"/>
        <v>5.6649367316423116E-3</v>
      </c>
      <c r="U352" s="5">
        <f t="shared" si="86"/>
        <v>5.6649367316423116E-3</v>
      </c>
      <c r="V352" s="5">
        <f t="shared" si="87"/>
        <v>-5.8385314185932735E-2</v>
      </c>
      <c r="W352" s="5">
        <f t="shared" si="88"/>
        <v>-0.20453826717063794</v>
      </c>
      <c r="X352" s="5">
        <f t="shared" si="89"/>
        <v>-0.20453826717063794</v>
      </c>
      <c r="AA352" s="5">
        <f t="shared" si="90"/>
        <v>2.3009929094159692E-2</v>
      </c>
      <c r="AB352" s="5">
        <f t="shared" si="91"/>
        <v>5.2539696752428228E-2</v>
      </c>
      <c r="AC352" s="5">
        <f t="shared" si="92"/>
        <v>5.2539696752428228E-2</v>
      </c>
      <c r="AD352" s="5">
        <f t="shared" si="93"/>
        <v>-7.6197531142400132E-3</v>
      </c>
      <c r="AE352" s="5">
        <f t="shared" si="94"/>
        <v>-1.0973731962429234E-2</v>
      </c>
      <c r="AF352" s="5">
        <f t="shared" si="95"/>
        <v>-1.0973731962429234E-2</v>
      </c>
    </row>
    <row r="353" spans="1:32" x14ac:dyDescent="0.25">
      <c r="A353" s="2">
        <v>45007</v>
      </c>
      <c r="B353">
        <v>33130</v>
      </c>
      <c r="C353">
        <v>57970</v>
      </c>
      <c r="D353">
        <v>283952</v>
      </c>
      <c r="F353" s="5">
        <f t="shared" si="80"/>
        <v>0.57150250129377267</v>
      </c>
      <c r="G353" s="5">
        <f t="shared" si="81"/>
        <v>0.24289965124836022</v>
      </c>
      <c r="I353" s="2">
        <v>45007</v>
      </c>
      <c r="J353">
        <v>50729</v>
      </c>
      <c r="K353">
        <v>52765</v>
      </c>
      <c r="M353" s="5">
        <f t="shared" si="82"/>
        <v>0.88720455755090777</v>
      </c>
      <c r="N353" s="5">
        <f t="shared" si="83"/>
        <v>0.25214386548955986</v>
      </c>
      <c r="S353" s="5">
        <f t="shared" si="84"/>
        <v>8.6483783499766154E-4</v>
      </c>
      <c r="T353" s="5">
        <f t="shared" si="85"/>
        <v>4.9588708973477558E-3</v>
      </c>
      <c r="U353" s="5">
        <f t="shared" si="86"/>
        <v>4.9588708973477558E-3</v>
      </c>
      <c r="V353" s="5">
        <f t="shared" si="87"/>
        <v>-6.4449318829328139E-2</v>
      </c>
      <c r="W353" s="5">
        <f t="shared" si="88"/>
        <v>-0.20585078382440358</v>
      </c>
      <c r="X353" s="5">
        <f t="shared" si="89"/>
        <v>-0.20585078382440358</v>
      </c>
      <c r="AA353" s="5">
        <f t="shared" si="90"/>
        <v>2.5463214948205359E-2</v>
      </c>
      <c r="AB353" s="5">
        <f t="shared" si="91"/>
        <v>5.3154642192811963E-2</v>
      </c>
      <c r="AC353" s="5">
        <f t="shared" si="92"/>
        <v>5.3154642192811963E-2</v>
      </c>
      <c r="AD353" s="5">
        <f t="shared" si="93"/>
        <v>-1.0901716721892218E-2</v>
      </c>
      <c r="AE353" s="5">
        <f t="shared" si="94"/>
        <v>-1.4250979786046281E-2</v>
      </c>
      <c r="AF353" s="5">
        <f t="shared" si="95"/>
        <v>-1.4250979786046281E-2</v>
      </c>
    </row>
    <row r="354" spans="1:32" x14ac:dyDescent="0.25">
      <c r="A354" s="2">
        <v>45006</v>
      </c>
      <c r="B354">
        <v>32900</v>
      </c>
      <c r="C354">
        <v>58115</v>
      </c>
      <c r="D354">
        <v>284188</v>
      </c>
      <c r="F354" s="5">
        <f t="shared" si="80"/>
        <v>0.56611890217671856</v>
      </c>
      <c r="G354" s="5">
        <f t="shared" si="81"/>
        <v>0.24257535254249032</v>
      </c>
      <c r="I354" s="2">
        <v>45006</v>
      </c>
      <c r="J354">
        <v>50379</v>
      </c>
      <c r="K354">
        <v>52753</v>
      </c>
      <c r="M354" s="5">
        <f t="shared" si="82"/>
        <v>0.89334841898410056</v>
      </c>
      <c r="N354" s="5">
        <f t="shared" si="83"/>
        <v>0.25129553471927668</v>
      </c>
      <c r="S354" s="5">
        <f t="shared" si="84"/>
        <v>1.3741928232074985E-4</v>
      </c>
      <c r="T354" s="5">
        <f t="shared" si="85"/>
        <v>4.1762196667433638E-3</v>
      </c>
      <c r="U354" s="5">
        <f t="shared" si="86"/>
        <v>4.1762196667433638E-3</v>
      </c>
      <c r="V354" s="5">
        <f t="shared" si="87"/>
        <v>-7.1517580187349883E-2</v>
      </c>
      <c r="W354" s="5">
        <f t="shared" si="88"/>
        <v>-0.20659917423397978</v>
      </c>
      <c r="X354" s="5">
        <f t="shared" si="89"/>
        <v>-0.20659917423397978</v>
      </c>
      <c r="AA354" s="5">
        <f t="shared" si="90"/>
        <v>2.8100030136158111E-2</v>
      </c>
      <c r="AB354" s="5">
        <f t="shared" si="91"/>
        <v>5.3989629863201938E-2</v>
      </c>
      <c r="AC354" s="5">
        <f t="shared" si="92"/>
        <v>5.3989629863201938E-2</v>
      </c>
      <c r="AD354" s="5">
        <f t="shared" si="93"/>
        <v>-1.246338535227931E-2</v>
      </c>
      <c r="AE354" s="5">
        <f t="shared" si="94"/>
        <v>-1.5863842178048371E-2</v>
      </c>
      <c r="AF354" s="5">
        <f t="shared" si="95"/>
        <v>-1.5863842178048371E-2</v>
      </c>
    </row>
    <row r="355" spans="1:32" x14ac:dyDescent="0.25">
      <c r="A355" s="2">
        <v>45005</v>
      </c>
      <c r="B355">
        <v>33910</v>
      </c>
      <c r="C355">
        <v>57925</v>
      </c>
      <c r="D355">
        <v>283335</v>
      </c>
      <c r="F355" s="5">
        <f t="shared" si="80"/>
        <v>0.58541217091066033</v>
      </c>
      <c r="G355" s="5">
        <f t="shared" si="81"/>
        <v>0.2447823653277181</v>
      </c>
      <c r="I355" s="2">
        <v>45005</v>
      </c>
      <c r="J355">
        <v>49629</v>
      </c>
      <c r="K355">
        <v>51453</v>
      </c>
      <c r="M355" s="5">
        <f t="shared" si="82"/>
        <v>0.90682866872191659</v>
      </c>
      <c r="N355" s="5">
        <f t="shared" si="83"/>
        <v>0.25037503075649059</v>
      </c>
      <c r="S355" s="5">
        <f t="shared" si="84"/>
        <v>-5.6952199945750626E-4</v>
      </c>
      <c r="T355" s="5">
        <f t="shared" si="85"/>
        <v>3.5537526907796768E-3</v>
      </c>
      <c r="U355" s="5">
        <f t="shared" si="86"/>
        <v>3.5537526907796768E-3</v>
      </c>
      <c r="V355" s="5">
        <f t="shared" si="87"/>
        <v>-7.9487104000889652E-2</v>
      </c>
      <c r="W355" s="5">
        <f t="shared" si="88"/>
        <v>-0.20848103786485861</v>
      </c>
      <c r="X355" s="5">
        <f t="shared" si="89"/>
        <v>-0.20848103786485861</v>
      </c>
      <c r="AA355" s="5">
        <f t="shared" si="90"/>
        <v>3.0718751035969577E-2</v>
      </c>
      <c r="AB355" s="5">
        <f t="shared" si="91"/>
        <v>5.4980419234263528E-2</v>
      </c>
      <c r="AC355" s="5">
        <f t="shared" si="92"/>
        <v>5.4980419234263528E-2</v>
      </c>
      <c r="AD355" s="5">
        <f t="shared" si="93"/>
        <v>-1.4693720709708202E-2</v>
      </c>
      <c r="AE355" s="5">
        <f t="shared" si="94"/>
        <v>-1.7244239608736223E-2</v>
      </c>
      <c r="AF355" s="5">
        <f t="shared" si="95"/>
        <v>-1.7244239608736223E-2</v>
      </c>
    </row>
    <row r="356" spans="1:32" x14ac:dyDescent="0.25">
      <c r="A356" s="2">
        <v>45002</v>
      </c>
      <c r="B356">
        <v>34307</v>
      </c>
      <c r="C356">
        <v>57975</v>
      </c>
      <c r="D356">
        <v>282384</v>
      </c>
      <c r="F356" s="5">
        <f t="shared" si="80"/>
        <v>0.5917550668391548</v>
      </c>
      <c r="G356" s="5">
        <f t="shared" si="81"/>
        <v>0.24630470872723972</v>
      </c>
      <c r="I356" s="2">
        <v>45002</v>
      </c>
      <c r="J356">
        <v>49629</v>
      </c>
      <c r="K356">
        <v>51453</v>
      </c>
      <c r="M356" s="5">
        <f t="shared" si="82"/>
        <v>0.90676822019383829</v>
      </c>
      <c r="N356" s="5">
        <f t="shared" si="83"/>
        <v>0.25100062331737466</v>
      </c>
      <c r="S356" s="5">
        <f t="shared" si="84"/>
        <v>-1.044554159266381E-3</v>
      </c>
      <c r="T356" s="5">
        <f t="shared" si="85"/>
        <v>3.0918230139009573E-3</v>
      </c>
      <c r="U356" s="5">
        <f t="shared" si="86"/>
        <v>3.0918230139009573E-3</v>
      </c>
      <c r="V356" s="5">
        <f t="shared" si="87"/>
        <v>-8.9622506085929365E-2</v>
      </c>
      <c r="W356" s="5">
        <f t="shared" si="88"/>
        <v>-0.2118104814377727</v>
      </c>
      <c r="X356" s="5">
        <f t="shared" si="89"/>
        <v>-0.2118104814377727</v>
      </c>
      <c r="AA356" s="5">
        <f t="shared" si="90"/>
        <v>3.397515344988844E-2</v>
      </c>
      <c r="AB356" s="5">
        <f t="shared" si="91"/>
        <v>5.6137774563747272E-2</v>
      </c>
      <c r="AC356" s="5">
        <f t="shared" si="92"/>
        <v>5.6137774563747272E-2</v>
      </c>
      <c r="AD356" s="5">
        <f t="shared" si="93"/>
        <v>-1.8730034764901204E-2</v>
      </c>
      <c r="AE356" s="5">
        <f t="shared" si="94"/>
        <v>-1.8081759447792778E-2</v>
      </c>
      <c r="AF356" s="5">
        <f t="shared" si="95"/>
        <v>-1.8081759447792778E-2</v>
      </c>
    </row>
    <row r="357" spans="1:32" x14ac:dyDescent="0.25">
      <c r="A357" s="2">
        <v>45001</v>
      </c>
      <c r="B357">
        <v>34057</v>
      </c>
      <c r="C357">
        <v>58974</v>
      </c>
      <c r="D357">
        <v>284062</v>
      </c>
      <c r="F357" s="5">
        <f t="shared" si="80"/>
        <v>0.57749177603689761</v>
      </c>
      <c r="G357" s="5">
        <f t="shared" si="81"/>
        <v>0.24670571980917175</v>
      </c>
      <c r="I357" s="2">
        <v>45001</v>
      </c>
      <c r="J357">
        <v>49429</v>
      </c>
      <c r="K357">
        <v>50053</v>
      </c>
      <c r="M357" s="5">
        <f t="shared" si="82"/>
        <v>0.91041696170264419</v>
      </c>
      <c r="N357" s="5">
        <f t="shared" si="83"/>
        <v>0.24949008169261172</v>
      </c>
      <c r="S357" s="5">
        <f t="shared" si="84"/>
        <v>-1.4710784429992074E-3</v>
      </c>
      <c r="T357" s="5">
        <f t="shared" si="85"/>
        <v>2.7011480553141842E-3</v>
      </c>
      <c r="U357" s="5">
        <f t="shared" si="86"/>
        <v>2.7011480553141842E-3</v>
      </c>
      <c r="V357" s="5">
        <f t="shared" si="87"/>
        <v>-9.9345015341795406E-2</v>
      </c>
      <c r="W357" s="5">
        <f t="shared" si="88"/>
        <v>-0.21556702148456375</v>
      </c>
      <c r="X357" s="5">
        <f t="shared" si="89"/>
        <v>-0.21556702148456375</v>
      </c>
      <c r="AA357" s="5">
        <f t="shared" si="90"/>
        <v>3.7374210966382659E-2</v>
      </c>
      <c r="AB357" s="5">
        <f t="shared" si="91"/>
        <v>5.6937085602451476E-2</v>
      </c>
      <c r="AC357" s="5">
        <f t="shared" si="92"/>
        <v>5.6937085602451476E-2</v>
      </c>
      <c r="AD357" s="5">
        <f t="shared" si="93"/>
        <v>-1.8612899728578602E-2</v>
      </c>
      <c r="AE357" s="5">
        <f t="shared" si="94"/>
        <v>-1.9782986009544756E-2</v>
      </c>
      <c r="AF357" s="5">
        <f t="shared" si="95"/>
        <v>-1.9782986009544756E-2</v>
      </c>
    </row>
    <row r="358" spans="1:32" x14ac:dyDescent="0.25">
      <c r="A358" s="2">
        <v>45000</v>
      </c>
      <c r="B358">
        <v>33588</v>
      </c>
      <c r="C358">
        <v>59035</v>
      </c>
      <c r="D358">
        <v>283641</v>
      </c>
      <c r="F358" s="5">
        <f t="shared" si="80"/>
        <v>0.56895062251206907</v>
      </c>
      <c r="G358" s="5">
        <f t="shared" si="81"/>
        <v>0.246164926753556</v>
      </c>
      <c r="I358" s="2">
        <v>45000</v>
      </c>
      <c r="J358">
        <v>48554</v>
      </c>
      <c r="K358">
        <v>49328</v>
      </c>
      <c r="M358" s="5">
        <f t="shared" si="82"/>
        <v>0.92680314701157474</v>
      </c>
      <c r="N358" s="5">
        <f t="shared" si="83"/>
        <v>0.24802555707260171</v>
      </c>
      <c r="S358" s="5">
        <f t="shared" si="84"/>
        <v>-1.491197730027094E-3</v>
      </c>
      <c r="T358" s="5">
        <f t="shared" si="85"/>
        <v>2.4388922708395711E-3</v>
      </c>
      <c r="U358" s="5">
        <f t="shared" si="86"/>
        <v>2.4388922708395711E-3</v>
      </c>
      <c r="V358" s="5">
        <f t="shared" si="87"/>
        <v>-0.11363535319081253</v>
      </c>
      <c r="W358" s="5">
        <f t="shared" si="88"/>
        <v>-0.22014368403643902</v>
      </c>
      <c r="X358" s="5">
        <f t="shared" si="89"/>
        <v>-0.22014368403643902</v>
      </c>
      <c r="AA358" s="5">
        <f t="shared" si="90"/>
        <v>4.0908856856839537E-2</v>
      </c>
      <c r="AB358" s="5">
        <f t="shared" si="91"/>
        <v>5.792930348009756E-2</v>
      </c>
      <c r="AC358" s="5">
        <f t="shared" si="92"/>
        <v>5.792930348009756E-2</v>
      </c>
      <c r="AD358" s="5">
        <f t="shared" si="93"/>
        <v>-1.6097898692759238E-2</v>
      </c>
      <c r="AE358" s="5">
        <f t="shared" si="94"/>
        <v>-1.8683848849301299E-2</v>
      </c>
      <c r="AF358" s="5">
        <f t="shared" si="95"/>
        <v>-1.8683848849301299E-2</v>
      </c>
    </row>
    <row r="359" spans="1:32" x14ac:dyDescent="0.25">
      <c r="A359" s="2">
        <v>44999</v>
      </c>
      <c r="B359">
        <v>33563</v>
      </c>
      <c r="C359">
        <v>60742</v>
      </c>
      <c r="D359">
        <v>287405</v>
      </c>
      <c r="F359" s="5">
        <f t="shared" si="80"/>
        <v>0.55255013005827924</v>
      </c>
      <c r="G359" s="5">
        <f t="shared" si="81"/>
        <v>0.2470592858452752</v>
      </c>
      <c r="I359" s="2">
        <v>44999</v>
      </c>
      <c r="J359">
        <v>46604</v>
      </c>
      <c r="K359">
        <v>49665</v>
      </c>
      <c r="M359" s="5">
        <f t="shared" si="82"/>
        <v>0.96556089606042395</v>
      </c>
      <c r="N359" s="5">
        <f t="shared" si="83"/>
        <v>0.24169146825396826</v>
      </c>
      <c r="S359" s="5">
        <f t="shared" si="84"/>
        <v>-1.456756187315611E-3</v>
      </c>
      <c r="T359" s="5">
        <f t="shared" si="85"/>
        <v>2.2028951204023928E-3</v>
      </c>
      <c r="U359" s="5">
        <f t="shared" si="86"/>
        <v>2.2028951204023928E-3</v>
      </c>
      <c r="V359" s="5">
        <f t="shared" si="87"/>
        <v>-0.12994487818027811</v>
      </c>
      <c r="W359" s="5">
        <f t="shared" si="88"/>
        <v>-0.22602911722198793</v>
      </c>
      <c r="X359" s="5">
        <f t="shared" si="89"/>
        <v>-0.22602911722198793</v>
      </c>
      <c r="AA359" s="5">
        <f t="shared" si="90"/>
        <v>4.4658357267272492E-2</v>
      </c>
      <c r="AB359" s="5">
        <f t="shared" si="91"/>
        <v>5.9174478848846912E-2</v>
      </c>
      <c r="AC359" s="5">
        <f t="shared" si="92"/>
        <v>5.9174478848846912E-2</v>
      </c>
      <c r="AD359" s="5">
        <f t="shared" si="93"/>
        <v>-1.4796782494526539E-2</v>
      </c>
      <c r="AE359" s="5">
        <f t="shared" si="94"/>
        <v>-1.8037465013878817E-2</v>
      </c>
      <c r="AF359" s="5">
        <f t="shared" si="95"/>
        <v>-1.8037465013878817E-2</v>
      </c>
    </row>
    <row r="360" spans="1:32" x14ac:dyDescent="0.25">
      <c r="A360" s="2">
        <v>44998</v>
      </c>
      <c r="B360">
        <v>33529</v>
      </c>
      <c r="C360">
        <v>61595</v>
      </c>
      <c r="D360">
        <v>288045</v>
      </c>
      <c r="F360" s="5">
        <f t="shared" si="80"/>
        <v>0.54434613199123305</v>
      </c>
      <c r="G360" s="5">
        <f t="shared" si="81"/>
        <v>0.24825599148156557</v>
      </c>
      <c r="I360" s="2">
        <v>44998</v>
      </c>
      <c r="J360">
        <v>46854</v>
      </c>
      <c r="K360">
        <v>49515</v>
      </c>
      <c r="M360" s="5">
        <f t="shared" si="82"/>
        <v>0.96038758697229687</v>
      </c>
      <c r="N360" s="5">
        <f t="shared" si="83"/>
        <v>0.24178132493807533</v>
      </c>
      <c r="S360" s="5">
        <f t="shared" si="84"/>
        <v>-9.4070513393409994E-4</v>
      </c>
      <c r="T360" s="5">
        <f t="shared" si="85"/>
        <v>2.3532931667838985E-3</v>
      </c>
      <c r="U360" s="5">
        <f t="shared" si="86"/>
        <v>2.3532931667838985E-3</v>
      </c>
      <c r="V360" s="5">
        <f t="shared" si="87"/>
        <v>-0.15082929423215652</v>
      </c>
      <c r="W360" s="5">
        <f t="shared" si="88"/>
        <v>-0.23443752106666116</v>
      </c>
      <c r="X360" s="5">
        <f t="shared" si="89"/>
        <v>-0.23443752106666116</v>
      </c>
      <c r="AA360" s="5">
        <f t="shared" si="90"/>
        <v>4.8536501046828884E-2</v>
      </c>
      <c r="AB360" s="5">
        <f t="shared" si="91"/>
        <v>6.0620418667393206E-2</v>
      </c>
      <c r="AC360" s="5">
        <f t="shared" si="92"/>
        <v>6.0620418667393206E-2</v>
      </c>
      <c r="AD360" s="5">
        <f t="shared" si="93"/>
        <v>-1.3154515964960867E-2</v>
      </c>
      <c r="AE360" s="5">
        <f t="shared" si="94"/>
        <v>-1.6813104996431183E-2</v>
      </c>
      <c r="AF360" s="5">
        <f t="shared" si="95"/>
        <v>-1.6813104996431183E-2</v>
      </c>
    </row>
    <row r="361" spans="1:32" x14ac:dyDescent="0.25">
      <c r="A361" s="2">
        <v>44995</v>
      </c>
      <c r="B361">
        <v>34629</v>
      </c>
      <c r="C361">
        <v>61195</v>
      </c>
      <c r="D361">
        <v>291404</v>
      </c>
      <c r="F361" s="5">
        <f t="shared" si="80"/>
        <v>0.56587956532396433</v>
      </c>
      <c r="G361" s="5">
        <f t="shared" si="81"/>
        <v>0.24746144390384991</v>
      </c>
      <c r="I361" s="2">
        <v>44995</v>
      </c>
      <c r="J361">
        <v>46304</v>
      </c>
      <c r="K361">
        <v>49565</v>
      </c>
      <c r="M361" s="5">
        <f t="shared" si="82"/>
        <v>0.97173030407740157</v>
      </c>
      <c r="N361" s="5">
        <f t="shared" si="83"/>
        <v>0.23856358586162116</v>
      </c>
      <c r="S361" s="5">
        <f t="shared" si="84"/>
        <v>-4.3098547893449801E-4</v>
      </c>
      <c r="T361" s="5">
        <f t="shared" si="85"/>
        <v>2.5090474108205585E-3</v>
      </c>
      <c r="U361" s="5">
        <f t="shared" si="86"/>
        <v>2.5090474108205585E-3</v>
      </c>
      <c r="V361" s="5">
        <f t="shared" si="87"/>
        <v>-0.17054694160882078</v>
      </c>
      <c r="W361" s="5">
        <f t="shared" si="88"/>
        <v>-0.24242692869988303</v>
      </c>
      <c r="X361" s="5">
        <f t="shared" si="89"/>
        <v>-0.24242692869988303</v>
      </c>
      <c r="AA361" s="5">
        <f t="shared" si="90"/>
        <v>5.2659121445650187E-2</v>
      </c>
      <c r="AB361" s="5">
        <f t="shared" si="91"/>
        <v>6.2410249144372681E-2</v>
      </c>
      <c r="AC361" s="5">
        <f t="shared" si="92"/>
        <v>6.2410249144372681E-2</v>
      </c>
      <c r="AD361" s="5">
        <f t="shared" si="93"/>
        <v>-1.2288905409950868E-2</v>
      </c>
      <c r="AE361" s="5">
        <f t="shared" si="94"/>
        <v>-1.6047216710688983E-2</v>
      </c>
      <c r="AF361" s="5">
        <f t="shared" si="95"/>
        <v>-1.6047216710688983E-2</v>
      </c>
    </row>
    <row r="362" spans="1:32" x14ac:dyDescent="0.25">
      <c r="A362" s="2">
        <v>44994</v>
      </c>
      <c r="B362">
        <v>34654</v>
      </c>
      <c r="C362">
        <v>58960</v>
      </c>
      <c r="D362">
        <v>289409</v>
      </c>
      <c r="F362" s="5">
        <f t="shared" si="80"/>
        <v>0.58775440976933513</v>
      </c>
      <c r="G362" s="5">
        <f t="shared" si="81"/>
        <v>0.24440829924051558</v>
      </c>
      <c r="I362" s="2">
        <v>44994</v>
      </c>
      <c r="J362">
        <v>45904</v>
      </c>
      <c r="K362">
        <v>49465</v>
      </c>
      <c r="M362" s="5">
        <f t="shared" si="82"/>
        <v>0.98017601951899613</v>
      </c>
      <c r="N362" s="5">
        <f t="shared" si="83"/>
        <v>0.23901216648654902</v>
      </c>
      <c r="S362" s="5">
        <f t="shared" si="84"/>
        <v>1.8576846878284869E-4</v>
      </c>
      <c r="T362" s="5">
        <f t="shared" si="85"/>
        <v>2.7597693248113953E-3</v>
      </c>
      <c r="U362" s="5">
        <f t="shared" si="86"/>
        <v>2.7597693248113953E-3</v>
      </c>
      <c r="V362" s="5">
        <f t="shared" si="87"/>
        <v>-0.19069170829334869</v>
      </c>
      <c r="W362" s="5">
        <f t="shared" si="88"/>
        <v>-0.25007205212322459</v>
      </c>
      <c r="X362" s="5">
        <f t="shared" si="89"/>
        <v>-0.25007205212322459</v>
      </c>
      <c r="AA362" s="5">
        <f t="shared" si="90"/>
        <v>5.6800105952610147E-2</v>
      </c>
      <c r="AB362" s="5">
        <f t="shared" si="91"/>
        <v>6.4324549057248048E-2</v>
      </c>
      <c r="AC362" s="5">
        <f t="shared" si="92"/>
        <v>6.4324549057248048E-2</v>
      </c>
      <c r="AD362" s="5">
        <f t="shared" si="93"/>
        <v>-1.312212699114168E-2</v>
      </c>
      <c r="AE362" s="5">
        <f t="shared" si="94"/>
        <v>-1.6094430014295669E-2</v>
      </c>
      <c r="AF362" s="5">
        <f t="shared" si="95"/>
        <v>-1.6094430014295669E-2</v>
      </c>
    </row>
    <row r="363" spans="1:32" x14ac:dyDescent="0.25">
      <c r="A363" s="2">
        <v>44993</v>
      </c>
      <c r="B363">
        <v>34903</v>
      </c>
      <c r="C363">
        <v>59585</v>
      </c>
      <c r="D363">
        <v>292231</v>
      </c>
      <c r="F363" s="5">
        <f t="shared" si="80"/>
        <v>0.58576823025929348</v>
      </c>
      <c r="G363" s="5">
        <f t="shared" si="81"/>
        <v>0.24433244810831636</v>
      </c>
      <c r="I363" s="2">
        <v>44993</v>
      </c>
      <c r="J363">
        <v>45904</v>
      </c>
      <c r="K363">
        <v>48915</v>
      </c>
      <c r="M363" s="5">
        <f t="shared" si="82"/>
        <v>0.98015423492506104</v>
      </c>
      <c r="N363" s="5">
        <f t="shared" si="83"/>
        <v>0.23724969200893697</v>
      </c>
      <c r="S363" s="5">
        <f t="shared" si="84"/>
        <v>1.0045954978271654E-3</v>
      </c>
      <c r="T363" s="5">
        <f t="shared" si="85"/>
        <v>2.9856597095279658E-3</v>
      </c>
      <c r="U363" s="5">
        <f t="shared" si="86"/>
        <v>2.9856597095279658E-3</v>
      </c>
      <c r="V363" s="5">
        <f t="shared" si="87"/>
        <v>-0.21290035256874351</v>
      </c>
      <c r="W363" s="5">
        <f t="shared" si="88"/>
        <v>-0.2571485433910915</v>
      </c>
      <c r="X363" s="5">
        <f t="shared" si="89"/>
        <v>-0.2571485433910915</v>
      </c>
      <c r="AA363" s="5">
        <f t="shared" si="90"/>
        <v>6.0591949233144538E-2</v>
      </c>
      <c r="AB363" s="5">
        <f t="shared" si="91"/>
        <v>6.6201358238350577E-2</v>
      </c>
      <c r="AC363" s="5">
        <f t="shared" si="92"/>
        <v>6.6201358238350577E-2</v>
      </c>
      <c r="AD363" s="5">
        <f t="shared" si="93"/>
        <v>-1.0245108509994272E-2</v>
      </c>
      <c r="AE363" s="5">
        <f t="shared" si="94"/>
        <v>-1.4768076322741908E-2</v>
      </c>
      <c r="AF363" s="5">
        <f t="shared" si="95"/>
        <v>-1.4768076322741908E-2</v>
      </c>
    </row>
    <row r="364" spans="1:32" x14ac:dyDescent="0.25">
      <c r="A364" s="2">
        <v>44992</v>
      </c>
      <c r="B364">
        <v>35003</v>
      </c>
      <c r="C364">
        <v>60530</v>
      </c>
      <c r="D364">
        <v>294286</v>
      </c>
      <c r="F364" s="5">
        <f t="shared" si="80"/>
        <v>0.57827523542045267</v>
      </c>
      <c r="G364" s="5">
        <f t="shared" si="81"/>
        <v>0.24507014794045442</v>
      </c>
      <c r="I364" s="2">
        <v>44992</v>
      </c>
      <c r="J364">
        <v>46204</v>
      </c>
      <c r="K364">
        <v>48315</v>
      </c>
      <c r="M364" s="5">
        <f t="shared" si="82"/>
        <v>0.97376850489135136</v>
      </c>
      <c r="N364" s="5">
        <f t="shared" si="83"/>
        <v>0.23657654572716755</v>
      </c>
      <c r="S364" s="5">
        <f t="shared" si="84"/>
        <v>1.837655668464333E-3</v>
      </c>
      <c r="T364" s="5">
        <f t="shared" si="85"/>
        <v>3.2197857111020134E-3</v>
      </c>
      <c r="U364" s="5">
        <f t="shared" si="86"/>
        <v>3.2197857111020134E-3</v>
      </c>
      <c r="V364" s="5">
        <f t="shared" si="87"/>
        <v>-0.23457825677674737</v>
      </c>
      <c r="W364" s="5">
        <f t="shared" si="88"/>
        <v>-0.26424641924234016</v>
      </c>
      <c r="X364" s="5">
        <f t="shared" si="89"/>
        <v>-0.26424641924234016</v>
      </c>
      <c r="AA364" s="5">
        <f t="shared" si="90"/>
        <v>6.4596362013431108E-2</v>
      </c>
      <c r="AB364" s="5">
        <f t="shared" si="91"/>
        <v>6.8363884857702811E-2</v>
      </c>
      <c r="AC364" s="5">
        <f t="shared" si="92"/>
        <v>6.8363884857702811E-2</v>
      </c>
      <c r="AD364" s="5">
        <f t="shared" si="93"/>
        <v>-8.0336167221074506E-3</v>
      </c>
      <c r="AE364" s="5">
        <f t="shared" si="94"/>
        <v>-1.3093588571198245E-2</v>
      </c>
      <c r="AF364" s="5">
        <f t="shared" si="95"/>
        <v>-1.3093588571198245E-2</v>
      </c>
    </row>
    <row r="365" spans="1:32" x14ac:dyDescent="0.25">
      <c r="A365" s="2">
        <v>44991</v>
      </c>
      <c r="B365">
        <v>33693</v>
      </c>
      <c r="C365">
        <v>60231</v>
      </c>
      <c r="D365">
        <v>294752</v>
      </c>
      <c r="F365" s="5">
        <f t="shared" si="80"/>
        <v>0.55939632415201479</v>
      </c>
      <c r="G365" s="5">
        <f t="shared" si="81"/>
        <v>0.24165114388333728</v>
      </c>
      <c r="I365" s="2">
        <v>44991</v>
      </c>
      <c r="J365">
        <v>46204</v>
      </c>
      <c r="K365">
        <v>47590</v>
      </c>
      <c r="M365" s="5">
        <f t="shared" si="82"/>
        <v>0.97374686174357195</v>
      </c>
      <c r="N365" s="5">
        <f t="shared" si="83"/>
        <v>0.2362889204994468</v>
      </c>
      <c r="S365" s="5">
        <f t="shared" si="84"/>
        <v>2.7878614988199601E-3</v>
      </c>
      <c r="T365" s="5">
        <f t="shared" si="85"/>
        <v>3.4950768408573141E-3</v>
      </c>
      <c r="U365" s="5">
        <f t="shared" si="86"/>
        <v>3.4950768408573141E-3</v>
      </c>
      <c r="V365" s="5">
        <f t="shared" si="87"/>
        <v>-0.25719846242119593</v>
      </c>
      <c r="W365" s="5">
        <f t="shared" si="88"/>
        <v>-0.27187580262032551</v>
      </c>
      <c r="X365" s="5">
        <f t="shared" si="89"/>
        <v>-0.27187580262032551</v>
      </c>
      <c r="AA365" s="5">
        <f t="shared" si="90"/>
        <v>6.8403993291320631E-2</v>
      </c>
      <c r="AB365" s="5">
        <f t="shared" si="91"/>
        <v>7.0531847646070067E-2</v>
      </c>
      <c r="AC365" s="5">
        <f t="shared" si="92"/>
        <v>7.0531847646070067E-2</v>
      </c>
      <c r="AD365" s="5">
        <f t="shared" si="93"/>
        <v>-5.4644645534212E-3</v>
      </c>
      <c r="AE365" s="5">
        <f t="shared" si="94"/>
        <v>-1.0771201667350017E-2</v>
      </c>
      <c r="AF365" s="5">
        <f t="shared" si="95"/>
        <v>-1.0771201667350017E-2</v>
      </c>
    </row>
    <row r="366" spans="1:32" x14ac:dyDescent="0.25">
      <c r="A366" s="2">
        <v>44988</v>
      </c>
      <c r="B366">
        <v>33718</v>
      </c>
      <c r="C366">
        <v>60280</v>
      </c>
      <c r="D366">
        <v>294084</v>
      </c>
      <c r="F366" s="5">
        <f t="shared" si="80"/>
        <v>0.55935633709356336</v>
      </c>
      <c r="G366" s="5">
        <f t="shared" si="81"/>
        <v>0.24221169752784205</v>
      </c>
      <c r="I366" s="2">
        <v>44988</v>
      </c>
      <c r="J366">
        <v>46204</v>
      </c>
      <c r="K366">
        <v>47590</v>
      </c>
      <c r="M366" s="5">
        <f t="shared" si="82"/>
        <v>0.9736819323002337</v>
      </c>
      <c r="N366" s="5">
        <f t="shared" si="83"/>
        <v>0.23669265669286432</v>
      </c>
      <c r="S366" s="5">
        <f t="shared" si="84"/>
        <v>3.8846309199792317E-3</v>
      </c>
      <c r="T366" s="5">
        <f t="shared" si="85"/>
        <v>3.8846309199792317E-3</v>
      </c>
      <c r="U366" s="5">
        <f t="shared" si="86"/>
        <v>3.8846309199792317E-3</v>
      </c>
      <c r="V366" s="5">
        <f t="shared" si="87"/>
        <v>-0.28072004424495034</v>
      </c>
      <c r="W366" s="5">
        <f t="shared" si="88"/>
        <v>-0.28072004424495034</v>
      </c>
      <c r="X366" s="5">
        <f t="shared" si="89"/>
        <v>-0.28072004424495034</v>
      </c>
      <c r="AA366" s="5">
        <f t="shared" si="90"/>
        <v>7.0651813532058849E-2</v>
      </c>
      <c r="AB366" s="5">
        <f t="shared" si="91"/>
        <v>7.0651813532058849E-2</v>
      </c>
      <c r="AC366" s="5">
        <f t="shared" si="92"/>
        <v>7.0651813532058849E-2</v>
      </c>
      <c r="AD366" s="5">
        <f t="shared" si="93"/>
        <v>-1.1920212213268E-2</v>
      </c>
      <c r="AE366" s="5">
        <f t="shared" si="94"/>
        <v>-1.1920212213268E-2</v>
      </c>
      <c r="AF366" s="5">
        <f t="shared" si="95"/>
        <v>-1.1920212213268E-2</v>
      </c>
    </row>
    <row r="367" spans="1:32" x14ac:dyDescent="0.25">
      <c r="A367" s="2">
        <v>44987</v>
      </c>
      <c r="B367">
        <v>33568</v>
      </c>
      <c r="C367">
        <v>59643</v>
      </c>
      <c r="D367">
        <v>294581</v>
      </c>
      <c r="F367" s="5">
        <f t="shared" si="80"/>
        <v>0.56281541840618343</v>
      </c>
      <c r="G367" s="5">
        <f t="shared" si="81"/>
        <v>0.24036339068366547</v>
      </c>
      <c r="I367" s="2">
        <v>44987</v>
      </c>
      <c r="J367">
        <v>46154</v>
      </c>
      <c r="K367">
        <v>47490</v>
      </c>
      <c r="M367" s="5">
        <f t="shared" si="82"/>
        <v>0.97471508428305242</v>
      </c>
      <c r="N367" s="5">
        <f t="shared" si="83"/>
        <v>0.23628675574636657</v>
      </c>
      <c r="S367" s="5">
        <f t="shared" si="84"/>
        <v>4.3686123457188919E-3</v>
      </c>
      <c r="T367" s="5">
        <f t="shared" si="85"/>
        <v>4.3686123457188919E-3</v>
      </c>
      <c r="U367" s="5">
        <f t="shared" si="86"/>
        <v>4.3686123457188919E-3</v>
      </c>
      <c r="V367" s="5">
        <f t="shared" si="87"/>
        <v>-0.29067210550190881</v>
      </c>
      <c r="W367" s="5">
        <f t="shared" si="88"/>
        <v>-0.29067210550190881</v>
      </c>
      <c r="X367" s="5">
        <f t="shared" si="89"/>
        <v>-0.29067210550190881</v>
      </c>
      <c r="AA367" s="5">
        <f t="shared" si="90"/>
        <v>7.1016989499243427E-2</v>
      </c>
      <c r="AB367" s="5">
        <f t="shared" si="91"/>
        <v>7.1016989499243427E-2</v>
      </c>
      <c r="AC367" s="5">
        <f t="shared" si="92"/>
        <v>7.1016989499243427E-2</v>
      </c>
      <c r="AD367" s="5">
        <f t="shared" si="93"/>
        <v>-1.3168172469556483E-2</v>
      </c>
      <c r="AE367" s="5">
        <f t="shared" si="94"/>
        <v>-1.3168172469556483E-2</v>
      </c>
      <c r="AF367" s="5">
        <f t="shared" si="95"/>
        <v>-1.3168172469556483E-2</v>
      </c>
    </row>
    <row r="368" spans="1:32" x14ac:dyDescent="0.25">
      <c r="A368" s="2">
        <v>44986</v>
      </c>
      <c r="B368">
        <v>33593</v>
      </c>
      <c r="C368">
        <v>59093</v>
      </c>
      <c r="D368">
        <v>295467</v>
      </c>
      <c r="F368" s="5">
        <f t="shared" si="80"/>
        <v>0.568476807743726</v>
      </c>
      <c r="G368" s="5">
        <f t="shared" si="81"/>
        <v>0.23878728233454333</v>
      </c>
      <c r="I368" s="2">
        <v>44986</v>
      </c>
      <c r="J368">
        <v>46154</v>
      </c>
      <c r="K368">
        <v>47490</v>
      </c>
      <c r="M368" s="5">
        <f t="shared" si="82"/>
        <v>0.97469341768860773</v>
      </c>
      <c r="N368" s="5">
        <f t="shared" si="83"/>
        <v>0.23574327417765328</v>
      </c>
      <c r="S368" s="5">
        <f t="shared" si="84"/>
        <v>5.0077585178583961E-3</v>
      </c>
      <c r="T368" s="5">
        <f t="shared" si="85"/>
        <v>5.0077585178583961E-3</v>
      </c>
      <c r="U368" s="5">
        <f t="shared" si="86"/>
        <v>5.0077585178583961E-3</v>
      </c>
      <c r="V368" s="5">
        <f t="shared" si="87"/>
        <v>-0.30195951234475138</v>
      </c>
      <c r="W368" s="5">
        <f t="shared" si="88"/>
        <v>-0.30195951234475138</v>
      </c>
      <c r="X368" s="5">
        <f t="shared" si="89"/>
        <v>-0.30195951234475138</v>
      </c>
      <c r="AA368" s="5">
        <f t="shared" si="90"/>
        <v>7.1788816019801083E-2</v>
      </c>
      <c r="AB368" s="5">
        <f t="shared" si="91"/>
        <v>7.1788816019801083E-2</v>
      </c>
      <c r="AC368" s="5">
        <f t="shared" si="92"/>
        <v>7.1788816019801083E-2</v>
      </c>
      <c r="AD368" s="5">
        <f t="shared" si="93"/>
        <v>-1.4697629032653592E-2</v>
      </c>
      <c r="AE368" s="5">
        <f t="shared" si="94"/>
        <v>-1.4697629032653592E-2</v>
      </c>
      <c r="AF368" s="5">
        <f t="shared" si="95"/>
        <v>-1.4697629032653592E-2</v>
      </c>
    </row>
    <row r="369" spans="1:32" x14ac:dyDescent="0.25">
      <c r="A369" s="2">
        <v>44985</v>
      </c>
      <c r="B369">
        <v>33078</v>
      </c>
      <c r="C369">
        <v>57693</v>
      </c>
      <c r="D369">
        <v>295745</v>
      </c>
      <c r="F369" s="5">
        <f t="shared" si="80"/>
        <v>0.57334511985856174</v>
      </c>
      <c r="G369" s="5">
        <f t="shared" si="81"/>
        <v>0.23484409442299931</v>
      </c>
      <c r="I369" s="2">
        <v>44985</v>
      </c>
      <c r="J369">
        <v>46154</v>
      </c>
      <c r="K369">
        <v>47190</v>
      </c>
      <c r="M369" s="5">
        <f t="shared" si="82"/>
        <v>0.97467175109416304</v>
      </c>
      <c r="N369" s="5">
        <f t="shared" si="83"/>
        <v>0.23557190268917816</v>
      </c>
      <c r="S369" s="5">
        <f t="shared" si="84"/>
        <v>5.7242600824302381E-3</v>
      </c>
      <c r="T369" s="5">
        <f t="shared" si="85"/>
        <v>5.7242600824302381E-3</v>
      </c>
      <c r="U369" s="5">
        <f t="shared" si="86"/>
        <v>5.7242600824302381E-3</v>
      </c>
      <c r="V369" s="5">
        <f t="shared" si="87"/>
        <v>-0.31346338068982382</v>
      </c>
      <c r="W369" s="5">
        <f t="shared" si="88"/>
        <v>-0.31346338068982382</v>
      </c>
      <c r="X369" s="5">
        <f t="shared" si="89"/>
        <v>-0.31346338068982382</v>
      </c>
      <c r="AA369" s="5">
        <f t="shared" si="90"/>
        <v>7.2168819243936144E-2</v>
      </c>
      <c r="AB369" s="5">
        <f t="shared" si="91"/>
        <v>7.2168819243936144E-2</v>
      </c>
      <c r="AC369" s="5">
        <f t="shared" si="92"/>
        <v>7.2168819243936144E-2</v>
      </c>
      <c r="AD369" s="5">
        <f t="shared" si="93"/>
        <v>-1.5674199757010454E-2</v>
      </c>
      <c r="AE369" s="5">
        <f t="shared" si="94"/>
        <v>-1.5674199757010454E-2</v>
      </c>
      <c r="AF369" s="5">
        <f t="shared" si="95"/>
        <v>-1.5674199757010454E-2</v>
      </c>
    </row>
    <row r="370" spans="1:32" x14ac:dyDescent="0.25">
      <c r="A370" s="2">
        <v>44984</v>
      </c>
      <c r="B370">
        <v>30878</v>
      </c>
      <c r="C370">
        <v>57748</v>
      </c>
      <c r="D370">
        <v>296630</v>
      </c>
      <c r="F370" s="5">
        <f t="shared" si="80"/>
        <v>0.53470250051949852</v>
      </c>
      <c r="G370" s="5">
        <f t="shared" si="81"/>
        <v>0.23004443798409369</v>
      </c>
      <c r="I370" s="2">
        <v>44984</v>
      </c>
      <c r="J370">
        <v>46154</v>
      </c>
      <c r="K370">
        <v>47190</v>
      </c>
      <c r="M370" s="5">
        <f t="shared" si="82"/>
        <v>0.97465008449971835</v>
      </c>
      <c r="N370" s="5">
        <f t="shared" si="83"/>
        <v>0.23503228734707352</v>
      </c>
      <c r="S370" s="5">
        <f t="shared" si="84"/>
        <v>6.7196196192814417E-3</v>
      </c>
      <c r="T370" s="5">
        <f t="shared" si="85"/>
        <v>6.7196196192814417E-3</v>
      </c>
      <c r="U370" s="5">
        <f t="shared" si="86"/>
        <v>6.7196196192814417E-3</v>
      </c>
      <c r="V370" s="5">
        <f t="shared" si="87"/>
        <v>-0.32595040622903315</v>
      </c>
      <c r="W370" s="5">
        <f t="shared" si="88"/>
        <v>-0.32595040622903315</v>
      </c>
      <c r="X370" s="5">
        <f t="shared" si="89"/>
        <v>-0.32595040622903315</v>
      </c>
      <c r="AA370" s="5">
        <f t="shared" si="90"/>
        <v>7.290755470013971E-2</v>
      </c>
      <c r="AB370" s="5">
        <f t="shared" si="91"/>
        <v>7.290755470013971E-2</v>
      </c>
      <c r="AC370" s="5">
        <f t="shared" si="92"/>
        <v>7.290755470013971E-2</v>
      </c>
      <c r="AD370" s="5">
        <f t="shared" si="93"/>
        <v>-1.4938838984968283E-2</v>
      </c>
      <c r="AE370" s="5">
        <f t="shared" si="94"/>
        <v>-1.4938838984968283E-2</v>
      </c>
      <c r="AF370" s="5">
        <f t="shared" si="95"/>
        <v>-1.4938838984968283E-2</v>
      </c>
    </row>
    <row r="371" spans="1:32" x14ac:dyDescent="0.25">
      <c r="A371" s="2">
        <v>44981</v>
      </c>
      <c r="B371">
        <v>30978</v>
      </c>
      <c r="C371">
        <v>57497</v>
      </c>
      <c r="D371">
        <v>295182</v>
      </c>
      <c r="F371" s="5">
        <f t="shared" si="80"/>
        <v>0.53877593613579844</v>
      </c>
      <c r="G371" s="5">
        <f t="shared" si="81"/>
        <v>0.23060963308371801</v>
      </c>
      <c r="I371" s="2">
        <v>44981</v>
      </c>
      <c r="J371">
        <v>46154</v>
      </c>
      <c r="K371">
        <v>43690</v>
      </c>
      <c r="M371" s="5">
        <f t="shared" si="82"/>
        <v>0.97458508471638428</v>
      </c>
      <c r="N371" s="5">
        <f t="shared" si="83"/>
        <v>0.23590729892808238</v>
      </c>
      <c r="S371" s="5">
        <f t="shared" si="84"/>
        <v>7.931088816336973E-3</v>
      </c>
      <c r="T371" s="5">
        <f t="shared" si="85"/>
        <v>7.931088816336973E-3</v>
      </c>
      <c r="U371" s="5">
        <f t="shared" si="86"/>
        <v>7.931088816336973E-3</v>
      </c>
      <c r="V371" s="5">
        <f t="shared" si="87"/>
        <v>-0.34039233468670904</v>
      </c>
      <c r="W371" s="5">
        <f t="shared" si="88"/>
        <v>-0.34039233468670904</v>
      </c>
      <c r="X371" s="5">
        <f t="shared" si="89"/>
        <v>-0.34039233468670904</v>
      </c>
      <c r="AA371" s="5">
        <f t="shared" si="90"/>
        <v>7.4105004023923199E-2</v>
      </c>
      <c r="AB371" s="5">
        <f t="shared" si="91"/>
        <v>7.4105004023923199E-2</v>
      </c>
      <c r="AC371" s="5">
        <f t="shared" si="92"/>
        <v>7.4105004023923199E-2</v>
      </c>
      <c r="AD371" s="5">
        <f t="shared" si="93"/>
        <v>-1.1263340035521763E-2</v>
      </c>
      <c r="AE371" s="5">
        <f t="shared" si="94"/>
        <v>-1.1263340035521763E-2</v>
      </c>
      <c r="AF371" s="5">
        <f t="shared" si="95"/>
        <v>-1.1263340035521763E-2</v>
      </c>
    </row>
    <row r="372" spans="1:32" x14ac:dyDescent="0.25">
      <c r="A372" s="2">
        <v>44980</v>
      </c>
      <c r="B372">
        <v>30878</v>
      </c>
      <c r="C372">
        <v>57832</v>
      </c>
      <c r="D372">
        <v>294648</v>
      </c>
      <c r="F372" s="5">
        <f t="shared" si="80"/>
        <v>0.53392585419836769</v>
      </c>
      <c r="G372" s="5">
        <f t="shared" si="81"/>
        <v>0.23140250105645377</v>
      </c>
      <c r="I372" s="2">
        <v>44980</v>
      </c>
      <c r="J372">
        <v>46154</v>
      </c>
      <c r="K372">
        <v>43340</v>
      </c>
      <c r="M372" s="5">
        <f t="shared" si="82"/>
        <v>0.97456341812193958</v>
      </c>
      <c r="N372" s="5">
        <f t="shared" si="83"/>
        <v>0.23623186151764469</v>
      </c>
      <c r="S372" s="5">
        <f t="shared" si="84"/>
        <v>9.4386333901855524E-3</v>
      </c>
      <c r="T372" s="5">
        <f t="shared" si="85"/>
        <v>9.4386333901855524E-3</v>
      </c>
      <c r="U372" s="5">
        <f t="shared" si="86"/>
        <v>9.4386333901855524E-3</v>
      </c>
      <c r="V372" s="5">
        <f t="shared" si="87"/>
        <v>-0.35717234222266736</v>
      </c>
      <c r="W372" s="5">
        <f t="shared" si="88"/>
        <v>-0.35717234222266736</v>
      </c>
      <c r="X372" s="5">
        <f t="shared" si="89"/>
        <v>-0.35717234222266736</v>
      </c>
      <c r="AA372" s="5">
        <f t="shared" si="90"/>
        <v>7.4989364867127956E-2</v>
      </c>
      <c r="AB372" s="5">
        <f t="shared" si="91"/>
        <v>7.4989364867127956E-2</v>
      </c>
      <c r="AC372" s="5">
        <f t="shared" si="92"/>
        <v>7.4989364867127956E-2</v>
      </c>
      <c r="AD372" s="5">
        <f t="shared" si="93"/>
        <v>-1.2060056716428513E-2</v>
      </c>
      <c r="AE372" s="5">
        <f t="shared" si="94"/>
        <v>-1.2060056716428513E-2</v>
      </c>
      <c r="AF372" s="5">
        <f t="shared" si="95"/>
        <v>-1.2060056716428513E-2</v>
      </c>
    </row>
    <row r="373" spans="1:32" x14ac:dyDescent="0.25">
      <c r="A373" s="2">
        <v>44979</v>
      </c>
      <c r="B373">
        <v>30528</v>
      </c>
      <c r="C373">
        <v>57502</v>
      </c>
      <c r="D373">
        <v>293873</v>
      </c>
      <c r="F373" s="5">
        <f t="shared" si="80"/>
        <v>0.53090327292963724</v>
      </c>
      <c r="G373" s="5">
        <f t="shared" si="81"/>
        <v>0.23050355718598703</v>
      </c>
      <c r="I373" s="2">
        <v>44979</v>
      </c>
      <c r="J373">
        <v>46240</v>
      </c>
      <c r="K373">
        <v>44015</v>
      </c>
      <c r="M373" s="5">
        <f t="shared" si="82"/>
        <v>0.97272923875432526</v>
      </c>
      <c r="N373" s="5">
        <f t="shared" si="83"/>
        <v>0.2368758634300375</v>
      </c>
      <c r="S373" s="5">
        <f t="shared" si="84"/>
        <v>1.0261416628238706E-2</v>
      </c>
      <c r="T373" s="5">
        <f t="shared" si="85"/>
        <v>1.0261416628238706E-2</v>
      </c>
      <c r="U373" s="5">
        <f t="shared" si="86"/>
        <v>1.0261416628238706E-2</v>
      </c>
      <c r="V373" s="5">
        <f t="shared" si="87"/>
        <v>-0.36538238246176236</v>
      </c>
      <c r="W373" s="5">
        <f t="shared" si="88"/>
        <v>-0.36538238246176236</v>
      </c>
      <c r="X373" s="5">
        <f t="shared" si="89"/>
        <v>-0.36538238246176236</v>
      </c>
      <c r="AA373" s="5">
        <f t="shared" si="90"/>
        <v>7.3824419145671311E-2</v>
      </c>
      <c r="AB373" s="5">
        <f t="shared" si="91"/>
        <v>7.3824419145671311E-2</v>
      </c>
      <c r="AC373" s="5">
        <f t="shared" si="92"/>
        <v>7.3824419145671311E-2</v>
      </c>
      <c r="AD373" s="5">
        <f t="shared" si="93"/>
        <v>-8.3849471204729964E-3</v>
      </c>
      <c r="AE373" s="5">
        <f t="shared" si="94"/>
        <v>-8.3849471204729964E-3</v>
      </c>
      <c r="AF373" s="5">
        <f t="shared" si="95"/>
        <v>-8.3849471204729964E-3</v>
      </c>
    </row>
    <row r="374" spans="1:32" x14ac:dyDescent="0.25">
      <c r="A374" s="2">
        <v>44978</v>
      </c>
      <c r="B374">
        <v>31678</v>
      </c>
      <c r="C374">
        <v>57252</v>
      </c>
      <c r="D374">
        <v>293884</v>
      </c>
      <c r="F374" s="5">
        <f t="shared" si="80"/>
        <v>0.55330818137357651</v>
      </c>
      <c r="G374" s="5">
        <f t="shared" si="81"/>
        <v>0.23230602851515358</v>
      </c>
      <c r="I374" s="2">
        <v>44978</v>
      </c>
      <c r="J374">
        <v>45729</v>
      </c>
      <c r="K374">
        <v>44140</v>
      </c>
      <c r="M374" s="5">
        <f t="shared" si="82"/>
        <v>0.98357716110127058</v>
      </c>
      <c r="N374" s="5">
        <f t="shared" si="83"/>
        <v>0.2358531530899059</v>
      </c>
      <c r="S374" s="5">
        <f t="shared" si="84"/>
        <v>1.0707471086146447E-2</v>
      </c>
      <c r="T374" s="5">
        <f t="shared" si="85"/>
        <v>1.0707471086146447E-2</v>
      </c>
      <c r="U374" s="5">
        <f t="shared" si="86"/>
        <v>1.0707471086146447E-2</v>
      </c>
      <c r="V374" s="5">
        <f t="shared" si="87"/>
        <v>-0.36981921614096636</v>
      </c>
      <c r="W374" s="5">
        <f t="shared" si="88"/>
        <v>-0.36981921614096636</v>
      </c>
      <c r="X374" s="5">
        <f t="shared" si="89"/>
        <v>-0.36981921614096636</v>
      </c>
      <c r="AA374" s="5">
        <f t="shared" si="90"/>
        <v>7.2423732793586493E-2</v>
      </c>
      <c r="AB374" s="5">
        <f t="shared" si="91"/>
        <v>7.2423732793586493E-2</v>
      </c>
      <c r="AC374" s="5">
        <f t="shared" si="92"/>
        <v>7.2423732793586493E-2</v>
      </c>
      <c r="AD374" s="5">
        <f t="shared" si="93"/>
        <v>-8.7596110908644276E-3</v>
      </c>
      <c r="AE374" s="5">
        <f t="shared" si="94"/>
        <v>-8.7596110908644276E-3</v>
      </c>
      <c r="AF374" s="5">
        <f t="shared" si="95"/>
        <v>-8.7596110908644276E-3</v>
      </c>
    </row>
    <row r="375" spans="1:32" x14ac:dyDescent="0.25">
      <c r="A375" s="2">
        <v>44977</v>
      </c>
      <c r="B375">
        <v>31653</v>
      </c>
      <c r="C375">
        <v>57177</v>
      </c>
      <c r="D375">
        <v>292375</v>
      </c>
      <c r="F375" s="5">
        <f t="shared" si="80"/>
        <v>0.5535967259562411</v>
      </c>
      <c r="G375" s="5">
        <f t="shared" si="81"/>
        <v>0.23302422581025958</v>
      </c>
      <c r="I375" s="2">
        <v>44977</v>
      </c>
      <c r="J375">
        <v>46029</v>
      </c>
      <c r="K375">
        <v>43815</v>
      </c>
      <c r="M375" s="5">
        <f t="shared" si="82"/>
        <v>0.97714484346824826</v>
      </c>
      <c r="N375" s="5">
        <f t="shared" si="83"/>
        <v>0.23737743915321835</v>
      </c>
      <c r="S375" s="5">
        <f t="shared" si="84"/>
        <v>1.1106701057162299E-2</v>
      </c>
      <c r="T375" s="5">
        <f t="shared" si="85"/>
        <v>1.1106701057162299E-2</v>
      </c>
      <c r="U375" s="5">
        <f t="shared" si="86"/>
        <v>1.1106701057162299E-2</v>
      </c>
      <c r="V375" s="5">
        <f t="shared" si="87"/>
        <v>-0.37147438362823193</v>
      </c>
      <c r="W375" s="5">
        <f t="shared" si="88"/>
        <v>-0.37147438362823193</v>
      </c>
      <c r="X375" s="5">
        <f t="shared" si="89"/>
        <v>-0.37147438362823193</v>
      </c>
      <c r="AA375" s="5">
        <f t="shared" si="90"/>
        <v>7.1196399249370546E-2</v>
      </c>
      <c r="AB375" s="5">
        <f t="shared" si="91"/>
        <v>7.1196399249370546E-2</v>
      </c>
      <c r="AC375" s="5">
        <f t="shared" si="92"/>
        <v>7.1196399249370546E-2</v>
      </c>
      <c r="AD375" s="5">
        <f t="shared" si="93"/>
        <v>-9.3512562708648606E-3</v>
      </c>
      <c r="AE375" s="5">
        <f t="shared" si="94"/>
        <v>-9.3512562708648606E-3</v>
      </c>
      <c r="AF375" s="5">
        <f t="shared" si="95"/>
        <v>-9.3512562708648606E-3</v>
      </c>
    </row>
    <row r="376" spans="1:32" x14ac:dyDescent="0.25">
      <c r="A376" s="2">
        <v>44974</v>
      </c>
      <c r="B376">
        <v>32578</v>
      </c>
      <c r="C376">
        <v>56902</v>
      </c>
      <c r="D376">
        <v>290869</v>
      </c>
      <c r="F376" s="5">
        <f t="shared" si="80"/>
        <v>0.57252820638993362</v>
      </c>
      <c r="G376" s="5">
        <f t="shared" si="81"/>
        <v>0.23525761866075631</v>
      </c>
      <c r="I376" s="2">
        <v>44974</v>
      </c>
      <c r="J376">
        <v>46279</v>
      </c>
      <c r="K376">
        <v>43765</v>
      </c>
      <c r="M376" s="5">
        <f t="shared" si="82"/>
        <v>0.97180146502733422</v>
      </c>
      <c r="N376" s="5">
        <f t="shared" si="83"/>
        <v>0.2388059310900707</v>
      </c>
      <c r="S376" s="5">
        <f t="shared" si="84"/>
        <v>1.1994980917053755E-2</v>
      </c>
      <c r="T376" s="5">
        <f t="shared" si="85"/>
        <v>1.1994980917053755E-2</v>
      </c>
      <c r="U376" s="5">
        <f t="shared" si="86"/>
        <v>1.1994980917053755E-2</v>
      </c>
      <c r="V376" s="5">
        <f t="shared" si="87"/>
        <v>-0.37525508033154575</v>
      </c>
      <c r="W376" s="5">
        <f t="shared" si="88"/>
        <v>-0.37525508033154575</v>
      </c>
      <c r="X376" s="5">
        <f t="shared" si="89"/>
        <v>-0.37525508033154575</v>
      </c>
      <c r="AA376" s="5">
        <f t="shared" si="90"/>
        <v>7.0579398395036935E-2</v>
      </c>
      <c r="AB376" s="5">
        <f t="shared" si="91"/>
        <v>7.0579398395036935E-2</v>
      </c>
      <c r="AC376" s="5">
        <f t="shared" si="92"/>
        <v>7.0579398395036935E-2</v>
      </c>
      <c r="AD376" s="5">
        <f t="shared" si="93"/>
        <v>-7.4196913426269884E-3</v>
      </c>
      <c r="AE376" s="5">
        <f t="shared" si="94"/>
        <v>-7.4196913426269884E-3</v>
      </c>
      <c r="AF376" s="5">
        <f t="shared" si="95"/>
        <v>-7.4196913426269884E-3</v>
      </c>
    </row>
    <row r="377" spans="1:32" x14ac:dyDescent="0.25">
      <c r="A377" s="2">
        <v>44973</v>
      </c>
      <c r="B377">
        <v>31263</v>
      </c>
      <c r="C377">
        <v>55257</v>
      </c>
      <c r="D377">
        <v>288995</v>
      </c>
      <c r="F377" s="5">
        <f t="shared" si="80"/>
        <v>0.56577447201259567</v>
      </c>
      <c r="G377" s="5">
        <f t="shared" si="81"/>
        <v>0.23040357908472364</v>
      </c>
      <c r="I377" s="2">
        <v>44973</v>
      </c>
      <c r="J377">
        <v>46279</v>
      </c>
      <c r="K377">
        <v>43765</v>
      </c>
      <c r="M377" s="5">
        <f t="shared" si="82"/>
        <v>0.97177985695455826</v>
      </c>
      <c r="N377" s="5">
        <f t="shared" si="83"/>
        <v>0.23998085454980578</v>
      </c>
      <c r="S377" s="5">
        <f t="shared" si="84"/>
        <v>1.2822769236818826E-2</v>
      </c>
      <c r="T377" s="5">
        <f t="shared" si="85"/>
        <v>1.2822769236818826E-2</v>
      </c>
      <c r="U377" s="5">
        <f t="shared" si="86"/>
        <v>1.2822769236818826E-2</v>
      </c>
      <c r="V377" s="5">
        <f t="shared" si="87"/>
        <v>-0.37878272359071485</v>
      </c>
      <c r="W377" s="5">
        <f t="shared" si="88"/>
        <v>-0.37878272359071485</v>
      </c>
      <c r="X377" s="5">
        <f t="shared" si="89"/>
        <v>-0.37878272359071485</v>
      </c>
      <c r="AA377" s="5">
        <f t="shared" si="90"/>
        <v>6.8704125452962367E-2</v>
      </c>
      <c r="AB377" s="5">
        <f t="shared" si="91"/>
        <v>6.8704125452962367E-2</v>
      </c>
      <c r="AC377" s="5">
        <f t="shared" si="92"/>
        <v>6.8704125452962367E-2</v>
      </c>
      <c r="AD377" s="5">
        <f t="shared" si="93"/>
        <v>2.0096534830358337E-3</v>
      </c>
      <c r="AE377" s="5">
        <f t="shared" si="94"/>
        <v>2.0096534830358337E-3</v>
      </c>
      <c r="AF377" s="5">
        <f t="shared" si="95"/>
        <v>2.0096534830358337E-3</v>
      </c>
    </row>
    <row r="378" spans="1:32" x14ac:dyDescent="0.25">
      <c r="A378" s="2">
        <v>44972</v>
      </c>
      <c r="B378">
        <v>32338</v>
      </c>
      <c r="C378">
        <v>54625</v>
      </c>
      <c r="D378">
        <v>288398</v>
      </c>
      <c r="F378" s="5">
        <f t="shared" si="80"/>
        <v>0.59199999999999997</v>
      </c>
      <c r="G378" s="5">
        <f t="shared" si="81"/>
        <v>0.23167830435234349</v>
      </c>
      <c r="I378" s="2">
        <v>44972</v>
      </c>
      <c r="J378">
        <v>46379</v>
      </c>
      <c r="K378">
        <v>39940</v>
      </c>
      <c r="M378" s="5">
        <f t="shared" si="82"/>
        <v>0.96966299402746936</v>
      </c>
      <c r="N378" s="5">
        <f t="shared" si="83"/>
        <v>0.24055626216263901</v>
      </c>
      <c r="S378" s="5">
        <f t="shared" si="84"/>
        <v>1.3907421661044778E-2</v>
      </c>
      <c r="T378" s="5">
        <f t="shared" si="85"/>
        <v>1.3907421661044778E-2</v>
      </c>
      <c r="U378" s="5">
        <f t="shared" si="86"/>
        <v>1.3907421661044778E-2</v>
      </c>
      <c r="V378" s="5">
        <f t="shared" si="87"/>
        <v>-0.38740668714256099</v>
      </c>
      <c r="W378" s="5">
        <f t="shared" si="88"/>
        <v>-0.38740668714256099</v>
      </c>
      <c r="X378" s="5">
        <f t="shared" si="89"/>
        <v>-0.38740668714256099</v>
      </c>
      <c r="AA378" s="5">
        <f t="shared" si="90"/>
        <v>6.5209582120229315E-2</v>
      </c>
      <c r="AB378" s="5">
        <f t="shared" si="91"/>
        <v>6.5209582120229315E-2</v>
      </c>
      <c r="AC378" s="5">
        <f t="shared" si="92"/>
        <v>6.5209582120229315E-2</v>
      </c>
      <c r="AD378" s="5">
        <f t="shared" si="93"/>
        <v>-3.9002876032208089E-3</v>
      </c>
      <c r="AE378" s="5">
        <f t="shared" si="94"/>
        <v>-3.9002876032208089E-3</v>
      </c>
      <c r="AF378" s="5">
        <f t="shared" si="95"/>
        <v>-3.9002876032208089E-3</v>
      </c>
    </row>
    <row r="379" spans="1:32" x14ac:dyDescent="0.25">
      <c r="A379" s="2">
        <v>44971</v>
      </c>
      <c r="B379">
        <v>32313</v>
      </c>
      <c r="C379">
        <v>55584</v>
      </c>
      <c r="D379">
        <v>289439</v>
      </c>
      <c r="F379" s="5">
        <f t="shared" si="80"/>
        <v>0.58133635578583764</v>
      </c>
      <c r="G379" s="5">
        <f t="shared" si="81"/>
        <v>0.23294093327962345</v>
      </c>
      <c r="I379" s="2">
        <v>44971</v>
      </c>
      <c r="J379">
        <v>46378</v>
      </c>
      <c r="K379">
        <v>39390</v>
      </c>
      <c r="M379" s="5">
        <f t="shared" si="82"/>
        <v>0.96966233990254003</v>
      </c>
      <c r="N379" s="5">
        <f t="shared" si="83"/>
        <v>0.23989463953696019</v>
      </c>
      <c r="S379" s="5">
        <f t="shared" si="84"/>
        <v>1.4246576253141768E-2</v>
      </c>
      <c r="T379" s="5">
        <f t="shared" si="85"/>
        <v>1.4246576253141768E-2</v>
      </c>
      <c r="U379" s="5">
        <f t="shared" si="86"/>
        <v>1.4246576253141768E-2</v>
      </c>
      <c r="V379" s="5">
        <f t="shared" si="87"/>
        <v>-0.3860926993153968</v>
      </c>
      <c r="W379" s="5">
        <f t="shared" si="88"/>
        <v>-0.3860926993153968</v>
      </c>
      <c r="X379" s="5">
        <f t="shared" si="89"/>
        <v>-0.3860926993153968</v>
      </c>
      <c r="AA379" s="5">
        <f t="shared" si="90"/>
        <v>6.1699119009310438E-2</v>
      </c>
      <c r="AB379" s="5">
        <f t="shared" si="91"/>
        <v>6.1699119009310438E-2</v>
      </c>
      <c r="AC379" s="5">
        <f t="shared" si="92"/>
        <v>6.1699119009310438E-2</v>
      </c>
      <c r="AD379" s="5">
        <f t="shared" si="93"/>
        <v>-9.3740693174648726E-3</v>
      </c>
      <c r="AE379" s="5">
        <f t="shared" si="94"/>
        <v>-9.3740693174648726E-3</v>
      </c>
      <c r="AF379" s="5">
        <f t="shared" si="95"/>
        <v>-9.3740693174648726E-3</v>
      </c>
    </row>
    <row r="380" spans="1:32" x14ac:dyDescent="0.25">
      <c r="A380" s="2">
        <v>44970</v>
      </c>
      <c r="B380">
        <v>32313</v>
      </c>
      <c r="C380">
        <v>55819</v>
      </c>
      <c r="D380">
        <v>288219</v>
      </c>
      <c r="F380" s="5">
        <f t="shared" si="80"/>
        <v>0.5788889087944965</v>
      </c>
      <c r="G380" s="5">
        <f t="shared" si="81"/>
        <v>0.23417501215620523</v>
      </c>
      <c r="I380" s="2">
        <v>44970</v>
      </c>
      <c r="J380">
        <v>46428</v>
      </c>
      <c r="K380">
        <v>39390</v>
      </c>
      <c r="M380" s="5">
        <f t="shared" si="82"/>
        <v>0.96859653657275779</v>
      </c>
      <c r="N380" s="5">
        <f t="shared" si="83"/>
        <v>0.24076371711488156</v>
      </c>
      <c r="S380" s="5">
        <f t="shared" si="84"/>
        <v>1.4638605230872043E-2</v>
      </c>
      <c r="T380" s="5">
        <f t="shared" si="85"/>
        <v>1.4638605230872043E-2</v>
      </c>
      <c r="U380" s="5">
        <f t="shared" si="86"/>
        <v>1.4638605230872043E-2</v>
      </c>
      <c r="V380" s="5">
        <f t="shared" si="87"/>
        <v>-0.38433695616684016</v>
      </c>
      <c r="W380" s="5">
        <f t="shared" si="88"/>
        <v>-0.38433695616684016</v>
      </c>
      <c r="X380" s="5">
        <f t="shared" si="89"/>
        <v>-0.38433695616684016</v>
      </c>
      <c r="AA380" s="5">
        <f t="shared" si="90"/>
        <v>5.8064486326297626E-2</v>
      </c>
      <c r="AB380" s="5">
        <f t="shared" si="91"/>
        <v>5.8064486326297626E-2</v>
      </c>
      <c r="AC380" s="5">
        <f t="shared" si="92"/>
        <v>5.8064486326297626E-2</v>
      </c>
      <c r="AD380" s="5">
        <f t="shared" si="93"/>
        <v>-1.2962730077408446E-2</v>
      </c>
      <c r="AE380" s="5">
        <f t="shared" si="94"/>
        <v>-1.2962730077408446E-2</v>
      </c>
      <c r="AF380" s="5">
        <f t="shared" si="95"/>
        <v>-1.2962730077408446E-2</v>
      </c>
    </row>
    <row r="381" spans="1:32" x14ac:dyDescent="0.25">
      <c r="A381" s="2">
        <v>44967</v>
      </c>
      <c r="B381">
        <v>32313</v>
      </c>
      <c r="C381">
        <v>56784</v>
      </c>
      <c r="D381">
        <v>286853</v>
      </c>
      <c r="F381" s="5">
        <f t="shared" si="80"/>
        <v>0.56905114116652578</v>
      </c>
      <c r="G381" s="5">
        <f t="shared" si="81"/>
        <v>0.23699162122622688</v>
      </c>
      <c r="I381" s="2">
        <v>44967</v>
      </c>
      <c r="J381">
        <v>45967</v>
      </c>
      <c r="K381">
        <v>39240</v>
      </c>
      <c r="M381" s="5">
        <f t="shared" si="82"/>
        <v>0.97824526290599778</v>
      </c>
      <c r="N381" s="5">
        <f t="shared" si="83"/>
        <v>0.24070177110382304</v>
      </c>
      <c r="S381" s="5">
        <f t="shared" si="84"/>
        <v>1.4822992353231118E-2</v>
      </c>
      <c r="T381" s="5">
        <f t="shared" si="85"/>
        <v>1.4822992353231118E-2</v>
      </c>
      <c r="U381" s="5">
        <f t="shared" si="86"/>
        <v>1.4822992353231118E-2</v>
      </c>
      <c r="V381" s="5">
        <f t="shared" si="87"/>
        <v>-0.37623702075527254</v>
      </c>
      <c r="W381" s="5">
        <f t="shared" si="88"/>
        <v>-0.37623702075527254</v>
      </c>
      <c r="X381" s="5">
        <f t="shared" si="89"/>
        <v>-0.37623702075527254</v>
      </c>
      <c r="AA381" s="5">
        <f t="shared" si="90"/>
        <v>5.4377629292539365E-2</v>
      </c>
      <c r="AB381" s="5">
        <f t="shared" si="91"/>
        <v>5.4377629292539365E-2</v>
      </c>
      <c r="AC381" s="5">
        <f t="shared" si="92"/>
        <v>5.4377629292539365E-2</v>
      </c>
      <c r="AD381" s="5">
        <f t="shared" si="93"/>
        <v>-1.6463650641616479E-2</v>
      </c>
      <c r="AE381" s="5">
        <f t="shared" si="94"/>
        <v>-1.6463650641616479E-2</v>
      </c>
      <c r="AF381" s="5">
        <f t="shared" si="95"/>
        <v>-1.6463650641616479E-2</v>
      </c>
    </row>
    <row r="382" spans="1:32" x14ac:dyDescent="0.25">
      <c r="A382" s="2">
        <v>44966</v>
      </c>
      <c r="B382">
        <v>32063</v>
      </c>
      <c r="C382">
        <v>56069</v>
      </c>
      <c r="D382">
        <v>285536</v>
      </c>
      <c r="F382" s="5">
        <f t="shared" si="80"/>
        <v>0.57184897180260041</v>
      </c>
      <c r="G382" s="5">
        <f t="shared" si="81"/>
        <v>0.2358564287014141</v>
      </c>
      <c r="I382" s="2">
        <v>44966</v>
      </c>
      <c r="J382">
        <v>45128</v>
      </c>
      <c r="K382">
        <v>38195</v>
      </c>
      <c r="M382" s="5">
        <f t="shared" si="82"/>
        <v>0.99641021095550431</v>
      </c>
      <c r="N382" s="5">
        <f t="shared" si="83"/>
        <v>0.23984772249287864</v>
      </c>
      <c r="S382" s="5">
        <f t="shared" si="84"/>
        <v>1.5288171026726388E-2</v>
      </c>
      <c r="T382" s="5">
        <f t="shared" si="85"/>
        <v>1.5288171026726388E-2</v>
      </c>
      <c r="U382" s="5">
        <f t="shared" si="86"/>
        <v>1.5288171026726388E-2</v>
      </c>
      <c r="V382" s="5">
        <f t="shared" si="87"/>
        <v>-0.37377593287352417</v>
      </c>
      <c r="W382" s="5">
        <f t="shared" si="88"/>
        <v>-0.37377593287352417</v>
      </c>
      <c r="X382" s="5">
        <f t="shared" si="89"/>
        <v>-0.37377593287352417</v>
      </c>
      <c r="AA382" s="5">
        <f t="shared" si="90"/>
        <v>5.070586403335689E-2</v>
      </c>
      <c r="AB382" s="5">
        <f t="shared" si="91"/>
        <v>5.070586403335689E-2</v>
      </c>
      <c r="AC382" s="5">
        <f t="shared" si="92"/>
        <v>5.070586403335689E-2</v>
      </c>
      <c r="AD382" s="5">
        <f t="shared" si="93"/>
        <v>-1.9543218763837467E-2</v>
      </c>
      <c r="AE382" s="5">
        <f t="shared" si="94"/>
        <v>-1.9543218763837467E-2</v>
      </c>
      <c r="AF382" s="5">
        <f t="shared" si="95"/>
        <v>-1.9543218763837467E-2</v>
      </c>
    </row>
    <row r="383" spans="1:32" x14ac:dyDescent="0.25">
      <c r="A383" s="2">
        <v>44965</v>
      </c>
      <c r="B383">
        <v>31963</v>
      </c>
      <c r="C383">
        <v>53342</v>
      </c>
      <c r="D383">
        <v>283174</v>
      </c>
      <c r="F383" s="5">
        <f t="shared" si="80"/>
        <v>0.59920887855723448</v>
      </c>
      <c r="G383" s="5">
        <f t="shared" si="81"/>
        <v>0.23150573031298935</v>
      </c>
      <c r="I383" s="2">
        <v>44965</v>
      </c>
      <c r="J383">
        <v>44278</v>
      </c>
      <c r="K383">
        <v>36320</v>
      </c>
      <c r="M383" s="5">
        <f t="shared" si="82"/>
        <v>1.0155156059442612</v>
      </c>
      <c r="N383" s="5">
        <f t="shared" si="83"/>
        <v>0.23963191798440994</v>
      </c>
      <c r="S383" s="5">
        <f t="shared" si="84"/>
        <v>1.6087505350178527E-2</v>
      </c>
      <c r="T383" s="5">
        <f t="shared" si="85"/>
        <v>1.6087505350178527E-2</v>
      </c>
      <c r="U383" s="5">
        <f t="shared" si="86"/>
        <v>1.6087505350178527E-2</v>
      </c>
      <c r="V383" s="5">
        <f t="shared" si="87"/>
        <v>-0.37112714893672516</v>
      </c>
      <c r="W383" s="5">
        <f t="shared" si="88"/>
        <v>-0.37112714893672516</v>
      </c>
      <c r="X383" s="5">
        <f t="shared" si="89"/>
        <v>-0.37112714893672516</v>
      </c>
      <c r="AA383" s="5">
        <f t="shared" si="90"/>
        <v>4.7027769403986786E-2</v>
      </c>
      <c r="AB383" s="5">
        <f t="shared" si="91"/>
        <v>4.7027769403986786E-2</v>
      </c>
      <c r="AC383" s="5">
        <f t="shared" si="92"/>
        <v>4.7027769403986786E-2</v>
      </c>
      <c r="AD383" s="5">
        <f t="shared" si="93"/>
        <v>-1.8576893894711954E-2</v>
      </c>
      <c r="AE383" s="5">
        <f t="shared" si="94"/>
        <v>-1.8576893894711954E-2</v>
      </c>
      <c r="AF383" s="5">
        <f t="shared" si="95"/>
        <v>-1.8576893894711954E-2</v>
      </c>
    </row>
    <row r="384" spans="1:32" x14ac:dyDescent="0.25">
      <c r="A384" s="2">
        <v>44964</v>
      </c>
      <c r="B384">
        <v>32213</v>
      </c>
      <c r="C384">
        <v>53577</v>
      </c>
      <c r="D384">
        <v>283637</v>
      </c>
      <c r="F384" s="5">
        <f t="shared" si="80"/>
        <v>0.60124680366575212</v>
      </c>
      <c r="G384" s="5">
        <f t="shared" si="81"/>
        <v>0.23222449902145756</v>
      </c>
      <c r="I384" s="2">
        <v>44964</v>
      </c>
      <c r="J384">
        <v>43926</v>
      </c>
      <c r="K384">
        <v>34895</v>
      </c>
      <c r="M384" s="5">
        <f t="shared" si="82"/>
        <v>1.0236306515503346</v>
      </c>
      <c r="N384" s="5">
        <f t="shared" si="83"/>
        <v>0.23861357700247229</v>
      </c>
      <c r="S384" s="5">
        <f t="shared" si="84"/>
        <v>1.5848513693606375E-2</v>
      </c>
      <c r="T384" s="5">
        <f t="shared" si="85"/>
        <v>1.5848513693606375E-2</v>
      </c>
      <c r="U384" s="5">
        <f t="shared" si="86"/>
        <v>1.5848513693606375E-2</v>
      </c>
      <c r="V384" s="5">
        <f t="shared" si="87"/>
        <v>-0.35398552657878524</v>
      </c>
      <c r="W384" s="5">
        <f t="shared" si="88"/>
        <v>-0.35398552657878524</v>
      </c>
      <c r="X384" s="5">
        <f t="shared" si="89"/>
        <v>-0.35398552657878524</v>
      </c>
      <c r="AA384" s="5">
        <f t="shared" si="90"/>
        <v>4.4875272041648234E-2</v>
      </c>
      <c r="AB384" s="5">
        <f t="shared" si="91"/>
        <v>4.4875272041648234E-2</v>
      </c>
      <c r="AC384" s="5">
        <f t="shared" si="92"/>
        <v>4.4875272041648234E-2</v>
      </c>
      <c r="AD384" s="5">
        <f t="shared" si="93"/>
        <v>-3.6183742501980531E-2</v>
      </c>
      <c r="AE384" s="5">
        <f t="shared" si="94"/>
        <v>-3.6183742501980531E-2</v>
      </c>
      <c r="AF384" s="5">
        <f t="shared" si="95"/>
        <v>-3.6183742501980531E-2</v>
      </c>
    </row>
    <row r="385" spans="1:32" x14ac:dyDescent="0.25">
      <c r="A385" s="2">
        <v>44963</v>
      </c>
      <c r="B385">
        <v>31894</v>
      </c>
      <c r="C385">
        <v>52852</v>
      </c>
      <c r="D385">
        <v>283739</v>
      </c>
      <c r="F385" s="5">
        <f t="shared" si="80"/>
        <v>0.60345871490199043</v>
      </c>
      <c r="G385" s="5">
        <f t="shared" si="81"/>
        <v>0.22998493832856154</v>
      </c>
      <c r="I385" s="2">
        <v>44963</v>
      </c>
      <c r="J385">
        <v>43926</v>
      </c>
      <c r="K385">
        <v>34895</v>
      </c>
      <c r="M385" s="5">
        <f t="shared" si="82"/>
        <v>1.0236078859900741</v>
      </c>
      <c r="N385" s="5">
        <f t="shared" si="83"/>
        <v>0.23854621767553699</v>
      </c>
      <c r="S385" s="5">
        <f t="shared" si="84"/>
        <v>1.589449549033356E-2</v>
      </c>
      <c r="T385" s="5">
        <f t="shared" si="85"/>
        <v>1.589449549033356E-2</v>
      </c>
      <c r="U385" s="5">
        <f t="shared" si="86"/>
        <v>1.589449549033356E-2</v>
      </c>
      <c r="V385" s="5">
        <f t="shared" si="87"/>
        <v>-0.34118386835431713</v>
      </c>
      <c r="W385" s="5">
        <f t="shared" si="88"/>
        <v>-0.34118386835431713</v>
      </c>
      <c r="X385" s="5">
        <f t="shared" si="89"/>
        <v>-0.34118386835431713</v>
      </c>
      <c r="AA385" s="5">
        <f t="shared" si="90"/>
        <v>4.3326512709124521E-2</v>
      </c>
      <c r="AB385" s="5">
        <f t="shared" si="91"/>
        <v>4.3326512709124521E-2</v>
      </c>
      <c r="AC385" s="5">
        <f t="shared" si="92"/>
        <v>4.3326512709124521E-2</v>
      </c>
      <c r="AD385" s="5">
        <f t="shared" si="93"/>
        <v>-5.8189676264544077E-2</v>
      </c>
      <c r="AE385" s="5">
        <f t="shared" si="94"/>
        <v>-5.8189676264544077E-2</v>
      </c>
      <c r="AF385" s="5">
        <f t="shared" si="95"/>
        <v>-5.8189676264544077E-2</v>
      </c>
    </row>
    <row r="386" spans="1:32" x14ac:dyDescent="0.25">
      <c r="A386" s="2">
        <v>44960</v>
      </c>
      <c r="B386">
        <v>25887</v>
      </c>
      <c r="C386">
        <v>46522</v>
      </c>
      <c r="D386">
        <v>282737</v>
      </c>
      <c r="F386" s="5">
        <f t="shared" si="80"/>
        <v>0.55644641245002369</v>
      </c>
      <c r="G386" s="5">
        <f t="shared" si="81"/>
        <v>0.20388516272181018</v>
      </c>
      <c r="I386" s="2">
        <v>44960</v>
      </c>
      <c r="J386">
        <v>44042</v>
      </c>
      <c r="K386">
        <v>32720</v>
      </c>
      <c r="M386" s="5">
        <f t="shared" si="82"/>
        <v>1.0208437400663004</v>
      </c>
      <c r="N386" s="5">
        <f t="shared" si="83"/>
        <v>0.23942066880257384</v>
      </c>
      <c r="S386" s="5">
        <f t="shared" si="84"/>
        <v>1.555873752482223E-2</v>
      </c>
      <c r="T386" s="5">
        <f t="shared" si="85"/>
        <v>1.555873752482223E-2</v>
      </c>
      <c r="U386" s="5">
        <f t="shared" si="86"/>
        <v>1.555873752482223E-2</v>
      </c>
      <c r="V386" s="5">
        <f t="shared" si="87"/>
        <v>-0.32290148438084953</v>
      </c>
      <c r="W386" s="5">
        <f t="shared" si="88"/>
        <v>-0.32290148438084953</v>
      </c>
      <c r="X386" s="5">
        <f t="shared" si="89"/>
        <v>-0.32290148438084953</v>
      </c>
      <c r="AA386" s="5">
        <f t="shared" si="90"/>
        <v>4.6812795804487772E-2</v>
      </c>
      <c r="AB386" s="5">
        <f t="shared" si="91"/>
        <v>4.6812795804487772E-2</v>
      </c>
      <c r="AC386" s="5">
        <f t="shared" si="92"/>
        <v>4.6812795804487772E-2</v>
      </c>
      <c r="AD386" s="5">
        <f t="shared" si="93"/>
        <v>-0.11674821650643441</v>
      </c>
      <c r="AE386" s="5">
        <f t="shared" si="94"/>
        <v>-0.11674821650643441</v>
      </c>
      <c r="AF386" s="5">
        <f t="shared" si="95"/>
        <v>-0.11674821650643441</v>
      </c>
    </row>
    <row r="387" spans="1:32" x14ac:dyDescent="0.25">
      <c r="A387" s="2">
        <v>44959</v>
      </c>
      <c r="B387">
        <v>25887</v>
      </c>
      <c r="C387">
        <v>46522</v>
      </c>
      <c r="D387">
        <v>281314</v>
      </c>
      <c r="F387" s="5">
        <f t="shared" ref="F387:F407" si="96">IFERROR(B387/C387,"")</f>
        <v>0.55644641245002369</v>
      </c>
      <c r="G387" s="5">
        <f t="shared" ref="G387:G407" si="97">IFERROR(SUM(B387:C387)/SUM(B387:D387),"")</f>
        <v>0.20470537680614492</v>
      </c>
      <c r="I387" s="2">
        <v>44959</v>
      </c>
      <c r="J387">
        <v>44042</v>
      </c>
      <c r="K387">
        <v>32720</v>
      </c>
      <c r="M387" s="5">
        <f t="shared" ref="M387:M407" si="98">IFERROR(I387/J387,"")</f>
        <v>1.0208210344670996</v>
      </c>
      <c r="N387" s="5">
        <f t="shared" ref="N387:N407" si="99">IFERROR(SUM(I387:J387)/SUM(I387:J387,D387),"")</f>
        <v>0.24033863062527847</v>
      </c>
      <c r="S387" s="5" t="str">
        <f t="shared" ref="S387:S407" si="100">IFERROR(AVERAGEA(N387:N407)-AVERAGE(N408:N428),"")</f>
        <v/>
      </c>
      <c r="T387" s="5" t="str">
        <f t="shared" ref="T387:T407" si="101">IFERROR(AVERAGEA(N387:N407)-AVERAGE(N408:N463),"")</f>
        <v/>
      </c>
      <c r="U387" s="5" t="str">
        <f t="shared" ref="U387:U407" si="102">IFERROR(AVERAGEA(N387:N407)-AVERAGE(N408:N520),"")</f>
        <v/>
      </c>
      <c r="V387" s="5" t="str">
        <f t="shared" ref="V387:V407" si="103">IFERROR(AVERAGEA(M387:M407)-AVERAGE(M408:M428),"")</f>
        <v/>
      </c>
      <c r="W387" s="5" t="str">
        <f t="shared" ref="W387:W407" si="104">IFERROR(AVERAGEA(M387:M407)-AVERAGE(M408:M463),"")</f>
        <v/>
      </c>
      <c r="X387" s="5" t="str">
        <f t="shared" ref="X387:X407" si="105">IFERROR(AVERAGEA(M387:M407)-AVERAGE(M408:M520),"")</f>
        <v/>
      </c>
      <c r="AA387" s="5" t="str">
        <f t="shared" ref="AA387:AA407" si="106">IFERROR(AVERAGEA(G387:G407)-AVERAGE(G408:G428),"")</f>
        <v/>
      </c>
      <c r="AB387" s="5" t="str">
        <f t="shared" ref="AB387:AB407" si="107">IFERROR(AVERAGEA(G387:G407)-AVERAGE(G408:G463),"")</f>
        <v/>
      </c>
      <c r="AC387" s="5" t="str">
        <f t="shared" ref="AC387:AC407" si="108">IFERROR(AVERAGEA(G387:G407)-AVERAGE(G408:G520),"")</f>
        <v/>
      </c>
      <c r="AD387" s="5" t="str">
        <f t="shared" ref="AD387:AD407" si="109">IFERROR(AVERAGEA(F387:F407)-AVERAGE(F408:F428),"")</f>
        <v/>
      </c>
      <c r="AE387" s="5" t="str">
        <f t="shared" ref="AE387:AE407" si="110">IFERROR(AVERAGEA(F387:F407)-AVERAGE(F408:F463),"")</f>
        <v/>
      </c>
      <c r="AF387" s="5" t="str">
        <f t="shared" ref="AF387:AF407" si="111">IFERROR(AVERAGEA(F387:F407)-AVERAGE(F408:F520),"")</f>
        <v/>
      </c>
    </row>
    <row r="388" spans="1:32" x14ac:dyDescent="0.25">
      <c r="A388" s="2">
        <v>44958</v>
      </c>
      <c r="B388">
        <v>25887</v>
      </c>
      <c r="C388">
        <v>46522</v>
      </c>
      <c r="D388">
        <v>279732</v>
      </c>
      <c r="F388" s="5">
        <f t="shared" si="96"/>
        <v>0.55644641245002369</v>
      </c>
      <c r="G388" s="5">
        <f t="shared" si="97"/>
        <v>0.20562501952342954</v>
      </c>
      <c r="I388" s="2">
        <v>44958</v>
      </c>
      <c r="J388">
        <v>44042</v>
      </c>
      <c r="K388">
        <v>32720</v>
      </c>
      <c r="M388" s="5">
        <f t="shared" si="98"/>
        <v>1.0207983288678988</v>
      </c>
      <c r="N388" s="5">
        <f t="shared" si="99"/>
        <v>0.24136771422062636</v>
      </c>
      <c r="S388" s="5" t="str">
        <f t="shared" si="100"/>
        <v/>
      </c>
      <c r="T388" s="5" t="str">
        <f t="shared" si="101"/>
        <v/>
      </c>
      <c r="U388" s="5" t="str">
        <f t="shared" si="102"/>
        <v/>
      </c>
      <c r="V388" s="5" t="str">
        <f t="shared" si="103"/>
        <v/>
      </c>
      <c r="W388" s="5" t="str">
        <f t="shared" si="104"/>
        <v/>
      </c>
      <c r="X388" s="5" t="str">
        <f t="shared" si="105"/>
        <v/>
      </c>
      <c r="AA388" s="5" t="str">
        <f t="shared" si="106"/>
        <v/>
      </c>
      <c r="AB388" s="5" t="str">
        <f t="shared" si="107"/>
        <v/>
      </c>
      <c r="AC388" s="5" t="str">
        <f t="shared" si="108"/>
        <v/>
      </c>
      <c r="AD388" s="5" t="str">
        <f t="shared" si="109"/>
        <v/>
      </c>
      <c r="AE388" s="5" t="str">
        <f t="shared" si="110"/>
        <v/>
      </c>
      <c r="AF388" s="5" t="str">
        <f t="shared" si="111"/>
        <v/>
      </c>
    </row>
    <row r="389" spans="1:32" x14ac:dyDescent="0.25">
      <c r="A389" s="2">
        <v>44957</v>
      </c>
      <c r="B389">
        <v>24871</v>
      </c>
      <c r="C389">
        <v>43962</v>
      </c>
      <c r="D389">
        <v>277955</v>
      </c>
      <c r="F389" s="5">
        <f t="shared" si="96"/>
        <v>0.56573859242072699</v>
      </c>
      <c r="G389" s="5">
        <f t="shared" si="97"/>
        <v>0.19848726022815091</v>
      </c>
      <c r="I389" s="2">
        <v>44957</v>
      </c>
      <c r="J389">
        <v>43512</v>
      </c>
      <c r="K389">
        <v>32090</v>
      </c>
      <c r="M389" s="5">
        <f t="shared" si="98"/>
        <v>1.033209229637801</v>
      </c>
      <c r="N389" s="5">
        <f t="shared" si="99"/>
        <v>0.24143887954937449</v>
      </c>
      <c r="S389" s="5" t="str">
        <f t="shared" si="100"/>
        <v/>
      </c>
      <c r="T389" s="5" t="str">
        <f t="shared" si="101"/>
        <v/>
      </c>
      <c r="U389" s="5" t="str">
        <f t="shared" si="102"/>
        <v/>
      </c>
      <c r="V389" s="5" t="str">
        <f t="shared" si="103"/>
        <v/>
      </c>
      <c r="W389" s="5" t="str">
        <f t="shared" si="104"/>
        <v/>
      </c>
      <c r="X389" s="5" t="str">
        <f t="shared" si="105"/>
        <v/>
      </c>
      <c r="AA389" s="5" t="str">
        <f t="shared" si="106"/>
        <v/>
      </c>
      <c r="AB389" s="5" t="str">
        <f t="shared" si="107"/>
        <v/>
      </c>
      <c r="AC389" s="5" t="str">
        <f t="shared" si="108"/>
        <v/>
      </c>
      <c r="AD389" s="5" t="str">
        <f t="shared" si="109"/>
        <v/>
      </c>
      <c r="AE389" s="5" t="str">
        <f t="shared" si="110"/>
        <v/>
      </c>
      <c r="AF389" s="5" t="str">
        <f t="shared" si="111"/>
        <v/>
      </c>
    </row>
    <row r="390" spans="1:32" x14ac:dyDescent="0.25">
      <c r="A390" s="2">
        <v>44956</v>
      </c>
      <c r="B390">
        <v>24896</v>
      </c>
      <c r="C390">
        <v>42562</v>
      </c>
      <c r="D390">
        <v>274011</v>
      </c>
      <c r="F390" s="5">
        <f t="shared" si="96"/>
        <v>0.58493491847187629</v>
      </c>
      <c r="G390" s="5">
        <f t="shared" si="97"/>
        <v>0.19755234003672367</v>
      </c>
      <c r="I390" s="2">
        <v>44956</v>
      </c>
      <c r="J390">
        <v>43237</v>
      </c>
      <c r="K390">
        <v>32005</v>
      </c>
      <c r="M390" s="5">
        <f t="shared" si="98"/>
        <v>1.0397576150056664</v>
      </c>
      <c r="N390" s="5">
        <f t="shared" si="99"/>
        <v>0.24348985654493049</v>
      </c>
      <c r="S390" s="5" t="str">
        <f t="shared" si="100"/>
        <v/>
      </c>
      <c r="T390" s="5" t="str">
        <f t="shared" si="101"/>
        <v/>
      </c>
      <c r="U390" s="5" t="str">
        <f t="shared" si="102"/>
        <v/>
      </c>
      <c r="V390" s="5" t="str">
        <f t="shared" si="103"/>
        <v/>
      </c>
      <c r="W390" s="5" t="str">
        <f t="shared" si="104"/>
        <v/>
      </c>
      <c r="X390" s="5" t="str">
        <f t="shared" si="105"/>
        <v/>
      </c>
      <c r="AA390" s="5" t="str">
        <f t="shared" si="106"/>
        <v/>
      </c>
      <c r="AB390" s="5" t="str">
        <f t="shared" si="107"/>
        <v/>
      </c>
      <c r="AC390" s="5" t="str">
        <f t="shared" si="108"/>
        <v/>
      </c>
      <c r="AD390" s="5" t="str">
        <f t="shared" si="109"/>
        <v/>
      </c>
      <c r="AE390" s="5" t="str">
        <f t="shared" si="110"/>
        <v/>
      </c>
      <c r="AF390" s="5" t="str">
        <f t="shared" si="111"/>
        <v/>
      </c>
    </row>
    <row r="391" spans="1:32" x14ac:dyDescent="0.25">
      <c r="A391" s="2">
        <v>44953</v>
      </c>
      <c r="B391">
        <v>24896</v>
      </c>
      <c r="C391">
        <v>41862</v>
      </c>
      <c r="D391">
        <v>272480</v>
      </c>
      <c r="F391" s="5">
        <f t="shared" si="96"/>
        <v>0.5947159715254885</v>
      </c>
      <c r="G391" s="5">
        <f t="shared" si="97"/>
        <v>0.19678809567324415</v>
      </c>
      <c r="I391" s="2">
        <v>44953</v>
      </c>
      <c r="J391">
        <v>43237</v>
      </c>
      <c r="K391">
        <v>31855</v>
      </c>
      <c r="M391" s="5">
        <f t="shared" si="98"/>
        <v>1.0396882299882046</v>
      </c>
      <c r="N391" s="5">
        <f t="shared" si="99"/>
        <v>0.24451714864003105</v>
      </c>
      <c r="S391" s="5" t="str">
        <f t="shared" si="100"/>
        <v/>
      </c>
      <c r="T391" s="5" t="str">
        <f t="shared" si="101"/>
        <v/>
      </c>
      <c r="U391" s="5" t="str">
        <f t="shared" si="102"/>
        <v/>
      </c>
      <c r="V391" s="5" t="str">
        <f t="shared" si="103"/>
        <v/>
      </c>
      <c r="W391" s="5" t="str">
        <f t="shared" si="104"/>
        <v/>
      </c>
      <c r="X391" s="5" t="str">
        <f t="shared" si="105"/>
        <v/>
      </c>
      <c r="AA391" s="5" t="str">
        <f t="shared" si="106"/>
        <v/>
      </c>
      <c r="AB391" s="5" t="str">
        <f t="shared" si="107"/>
        <v/>
      </c>
      <c r="AC391" s="5" t="str">
        <f t="shared" si="108"/>
        <v/>
      </c>
      <c r="AD391" s="5" t="str">
        <f t="shared" si="109"/>
        <v/>
      </c>
      <c r="AE391" s="5" t="str">
        <f t="shared" si="110"/>
        <v/>
      </c>
      <c r="AF391" s="5" t="str">
        <f t="shared" si="111"/>
        <v/>
      </c>
    </row>
    <row r="392" spans="1:32" x14ac:dyDescent="0.25">
      <c r="A392" s="2">
        <v>44952</v>
      </c>
      <c r="B392">
        <v>22746</v>
      </c>
      <c r="C392">
        <v>40886</v>
      </c>
      <c r="D392">
        <v>269451</v>
      </c>
      <c r="F392" s="5">
        <f t="shared" si="96"/>
        <v>0.55632734921489013</v>
      </c>
      <c r="G392" s="5">
        <f t="shared" si="97"/>
        <v>0.19103947064245247</v>
      </c>
      <c r="I392" s="2">
        <v>44952</v>
      </c>
      <c r="J392">
        <v>43237</v>
      </c>
      <c r="K392">
        <v>31855</v>
      </c>
      <c r="M392" s="5">
        <f t="shared" si="98"/>
        <v>1.0396651016490506</v>
      </c>
      <c r="N392" s="5">
        <f t="shared" si="99"/>
        <v>0.24658595235432279</v>
      </c>
      <c r="S392" s="5" t="str">
        <f t="shared" si="100"/>
        <v/>
      </c>
      <c r="T392" s="5" t="str">
        <f t="shared" si="101"/>
        <v/>
      </c>
      <c r="U392" s="5" t="str">
        <f t="shared" si="102"/>
        <v/>
      </c>
      <c r="V392" s="5" t="str">
        <f t="shared" si="103"/>
        <v/>
      </c>
      <c r="W392" s="5" t="str">
        <f t="shared" si="104"/>
        <v/>
      </c>
      <c r="X392" s="5" t="str">
        <f t="shared" si="105"/>
        <v/>
      </c>
      <c r="AA392" s="5" t="str">
        <f t="shared" si="106"/>
        <v/>
      </c>
      <c r="AB392" s="5" t="str">
        <f t="shared" si="107"/>
        <v/>
      </c>
      <c r="AC392" s="5" t="str">
        <f t="shared" si="108"/>
        <v/>
      </c>
      <c r="AD392" s="5" t="str">
        <f t="shared" si="109"/>
        <v/>
      </c>
      <c r="AE392" s="5" t="str">
        <f t="shared" si="110"/>
        <v/>
      </c>
      <c r="AF392" s="5" t="str">
        <f t="shared" si="111"/>
        <v/>
      </c>
    </row>
    <row r="393" spans="1:32" x14ac:dyDescent="0.25">
      <c r="A393" s="2">
        <v>44951</v>
      </c>
      <c r="B393">
        <v>20576</v>
      </c>
      <c r="C393">
        <v>34645</v>
      </c>
      <c r="D393">
        <v>268049</v>
      </c>
      <c r="F393" s="5">
        <f t="shared" si="96"/>
        <v>0.59390965507288207</v>
      </c>
      <c r="G393" s="5">
        <f t="shared" si="97"/>
        <v>0.17082005753704335</v>
      </c>
      <c r="I393" s="2">
        <v>44951</v>
      </c>
      <c r="J393">
        <v>39587</v>
      </c>
      <c r="K393">
        <v>30455</v>
      </c>
      <c r="M393" s="5">
        <f t="shared" si="98"/>
        <v>1.1354990274585091</v>
      </c>
      <c r="N393" s="5">
        <f t="shared" si="99"/>
        <v>0.23976493744806246</v>
      </c>
      <c r="S393" s="5" t="str">
        <f t="shared" si="100"/>
        <v/>
      </c>
      <c r="T393" s="5" t="str">
        <f t="shared" si="101"/>
        <v/>
      </c>
      <c r="U393" s="5" t="str">
        <f t="shared" si="102"/>
        <v/>
      </c>
      <c r="V393" s="5" t="str">
        <f t="shared" si="103"/>
        <v/>
      </c>
      <c r="W393" s="5" t="str">
        <f t="shared" si="104"/>
        <v/>
      </c>
      <c r="X393" s="5" t="str">
        <f t="shared" si="105"/>
        <v/>
      </c>
      <c r="AA393" s="5" t="str">
        <f t="shared" si="106"/>
        <v/>
      </c>
      <c r="AB393" s="5" t="str">
        <f t="shared" si="107"/>
        <v/>
      </c>
      <c r="AC393" s="5" t="str">
        <f t="shared" si="108"/>
        <v/>
      </c>
      <c r="AD393" s="5" t="str">
        <f t="shared" si="109"/>
        <v/>
      </c>
      <c r="AE393" s="5" t="str">
        <f t="shared" si="110"/>
        <v/>
      </c>
      <c r="AF393" s="5" t="str">
        <f t="shared" si="111"/>
        <v/>
      </c>
    </row>
    <row r="394" spans="1:32" x14ac:dyDescent="0.25">
      <c r="A394" s="2">
        <v>44950</v>
      </c>
      <c r="B394">
        <v>19201</v>
      </c>
      <c r="C394">
        <v>34335</v>
      </c>
      <c r="D394">
        <v>268081</v>
      </c>
      <c r="F394" s="5">
        <f t="shared" si="96"/>
        <v>0.55922528032619778</v>
      </c>
      <c r="G394" s="5">
        <f t="shared" si="97"/>
        <v>0.16645886256012588</v>
      </c>
      <c r="I394" s="2">
        <v>44950</v>
      </c>
      <c r="J394">
        <v>37942</v>
      </c>
      <c r="K394">
        <v>29880</v>
      </c>
      <c r="M394" s="5">
        <f t="shared" si="98"/>
        <v>1.1847029676875231</v>
      </c>
      <c r="N394" s="5">
        <f t="shared" si="99"/>
        <v>0.23617771167582691</v>
      </c>
      <c r="S394" s="5" t="str">
        <f t="shared" si="100"/>
        <v/>
      </c>
      <c r="T394" s="5" t="str">
        <f t="shared" si="101"/>
        <v/>
      </c>
      <c r="U394" s="5" t="str">
        <f t="shared" si="102"/>
        <v/>
      </c>
      <c r="V394" s="5" t="str">
        <f t="shared" si="103"/>
        <v/>
      </c>
      <c r="W394" s="5" t="str">
        <f t="shared" si="104"/>
        <v/>
      </c>
      <c r="X394" s="5" t="str">
        <f t="shared" si="105"/>
        <v/>
      </c>
      <c r="AA394" s="5" t="str">
        <f t="shared" si="106"/>
        <v/>
      </c>
      <c r="AB394" s="5" t="str">
        <f t="shared" si="107"/>
        <v/>
      </c>
      <c r="AC394" s="5" t="str">
        <f t="shared" si="108"/>
        <v/>
      </c>
      <c r="AD394" s="5" t="str">
        <f t="shared" si="109"/>
        <v/>
      </c>
      <c r="AE394" s="5" t="str">
        <f t="shared" si="110"/>
        <v/>
      </c>
      <c r="AF394" s="5" t="str">
        <f t="shared" si="111"/>
        <v/>
      </c>
    </row>
    <row r="395" spans="1:32" x14ac:dyDescent="0.25">
      <c r="A395" s="2">
        <v>44949</v>
      </c>
      <c r="B395">
        <v>19201</v>
      </c>
      <c r="C395">
        <v>33810</v>
      </c>
      <c r="D395">
        <v>265681</v>
      </c>
      <c r="F395" s="5">
        <f t="shared" si="96"/>
        <v>0.5679089026915114</v>
      </c>
      <c r="G395" s="5">
        <f t="shared" si="97"/>
        <v>0.16633928683493782</v>
      </c>
      <c r="I395" s="2">
        <v>44949</v>
      </c>
      <c r="J395">
        <v>36592</v>
      </c>
      <c r="K395">
        <v>29680</v>
      </c>
      <c r="M395" s="5">
        <f t="shared" si="98"/>
        <v>1.2283832531700918</v>
      </c>
      <c r="N395" s="5">
        <f t="shared" si="99"/>
        <v>0.23483823029646739</v>
      </c>
      <c r="S395" s="5" t="str">
        <f t="shared" si="100"/>
        <v/>
      </c>
      <c r="T395" s="5" t="str">
        <f t="shared" si="101"/>
        <v/>
      </c>
      <c r="U395" s="5" t="str">
        <f t="shared" si="102"/>
        <v/>
      </c>
      <c r="V395" s="5" t="str">
        <f t="shared" si="103"/>
        <v/>
      </c>
      <c r="W395" s="5" t="str">
        <f t="shared" si="104"/>
        <v/>
      </c>
      <c r="X395" s="5" t="str">
        <f t="shared" si="105"/>
        <v/>
      </c>
      <c r="AA395" s="5" t="str">
        <f t="shared" si="106"/>
        <v/>
      </c>
      <c r="AB395" s="5" t="str">
        <f t="shared" si="107"/>
        <v/>
      </c>
      <c r="AC395" s="5" t="str">
        <f t="shared" si="108"/>
        <v/>
      </c>
      <c r="AD395" s="5" t="str">
        <f t="shared" si="109"/>
        <v/>
      </c>
      <c r="AE395" s="5" t="str">
        <f t="shared" si="110"/>
        <v/>
      </c>
      <c r="AF395" s="5" t="str">
        <f t="shared" si="111"/>
        <v/>
      </c>
    </row>
    <row r="396" spans="1:32" x14ac:dyDescent="0.25">
      <c r="A396" s="2">
        <v>44946</v>
      </c>
      <c r="B396">
        <v>19551</v>
      </c>
      <c r="C396">
        <v>33255</v>
      </c>
      <c r="D396">
        <v>260620</v>
      </c>
      <c r="F396" s="5">
        <f t="shared" si="96"/>
        <v>0.58791159224176814</v>
      </c>
      <c r="G396" s="5">
        <f t="shared" si="97"/>
        <v>0.16847996018198874</v>
      </c>
      <c r="I396" s="2">
        <v>44946</v>
      </c>
      <c r="J396">
        <v>36592</v>
      </c>
      <c r="K396">
        <v>29230</v>
      </c>
      <c r="M396" s="5">
        <f t="shared" si="98"/>
        <v>1.2283012680367293</v>
      </c>
      <c r="N396" s="5">
        <f t="shared" si="99"/>
        <v>0.23830511050450376</v>
      </c>
      <c r="S396" s="5" t="str">
        <f t="shared" si="100"/>
        <v/>
      </c>
      <c r="T396" s="5" t="str">
        <f t="shared" si="101"/>
        <v/>
      </c>
      <c r="U396" s="5" t="str">
        <f t="shared" si="102"/>
        <v/>
      </c>
      <c r="V396" s="5" t="str">
        <f t="shared" si="103"/>
        <v/>
      </c>
      <c r="W396" s="5" t="str">
        <f t="shared" si="104"/>
        <v/>
      </c>
      <c r="X396" s="5" t="str">
        <f t="shared" si="105"/>
        <v/>
      </c>
      <c r="AA396" s="5" t="str">
        <f t="shared" si="106"/>
        <v/>
      </c>
      <c r="AB396" s="5" t="str">
        <f t="shared" si="107"/>
        <v/>
      </c>
      <c r="AC396" s="5" t="str">
        <f t="shared" si="108"/>
        <v/>
      </c>
      <c r="AD396" s="5" t="str">
        <f t="shared" si="109"/>
        <v/>
      </c>
      <c r="AE396" s="5" t="str">
        <f t="shared" si="110"/>
        <v/>
      </c>
      <c r="AF396" s="5" t="str">
        <f t="shared" si="111"/>
        <v/>
      </c>
    </row>
    <row r="397" spans="1:32" x14ac:dyDescent="0.25">
      <c r="A397" s="2">
        <v>44945</v>
      </c>
      <c r="B397">
        <v>19039</v>
      </c>
      <c r="C397">
        <v>29545</v>
      </c>
      <c r="D397">
        <v>260183</v>
      </c>
      <c r="F397" s="5">
        <f t="shared" si="96"/>
        <v>0.64440683702826196</v>
      </c>
      <c r="G397" s="5">
        <f t="shared" si="97"/>
        <v>0.15734842130149918</v>
      </c>
      <c r="I397" s="2">
        <v>44945</v>
      </c>
      <c r="J397">
        <v>35967</v>
      </c>
      <c r="K397">
        <v>28330</v>
      </c>
      <c r="M397" s="5">
        <f t="shared" si="98"/>
        <v>1.2496177051185808</v>
      </c>
      <c r="N397" s="5">
        <f t="shared" si="99"/>
        <v>0.23721250677963618</v>
      </c>
      <c r="S397" s="5" t="str">
        <f t="shared" si="100"/>
        <v/>
      </c>
      <c r="T397" s="5" t="str">
        <f t="shared" si="101"/>
        <v/>
      </c>
      <c r="U397" s="5" t="str">
        <f t="shared" si="102"/>
        <v/>
      </c>
      <c r="V397" s="5" t="str">
        <f t="shared" si="103"/>
        <v/>
      </c>
      <c r="W397" s="5" t="str">
        <f t="shared" si="104"/>
        <v/>
      </c>
      <c r="X397" s="5" t="str">
        <f t="shared" si="105"/>
        <v/>
      </c>
      <c r="AA397" s="5" t="str">
        <f t="shared" si="106"/>
        <v/>
      </c>
      <c r="AB397" s="5" t="str">
        <f t="shared" si="107"/>
        <v/>
      </c>
      <c r="AC397" s="5" t="str">
        <f t="shared" si="108"/>
        <v/>
      </c>
      <c r="AD397" s="5" t="str">
        <f t="shared" si="109"/>
        <v/>
      </c>
      <c r="AE397" s="5" t="str">
        <f t="shared" si="110"/>
        <v/>
      </c>
      <c r="AF397" s="5" t="str">
        <f t="shared" si="111"/>
        <v/>
      </c>
    </row>
    <row r="398" spans="1:32" x14ac:dyDescent="0.25">
      <c r="A398" s="2">
        <v>44944</v>
      </c>
      <c r="B398">
        <v>15177</v>
      </c>
      <c r="C398">
        <v>28245</v>
      </c>
      <c r="D398">
        <v>259969</v>
      </c>
      <c r="F398" s="5">
        <f t="shared" si="96"/>
        <v>0.5373340414232608</v>
      </c>
      <c r="G398" s="5">
        <f t="shared" si="97"/>
        <v>0.14312224159582848</v>
      </c>
      <c r="I398" s="2">
        <v>44944</v>
      </c>
      <c r="J398">
        <v>36217</v>
      </c>
      <c r="K398">
        <v>28180</v>
      </c>
      <c r="M398" s="5">
        <f t="shared" si="98"/>
        <v>1.2409641880884668</v>
      </c>
      <c r="N398" s="5">
        <f t="shared" si="99"/>
        <v>0.23791809574062675</v>
      </c>
      <c r="S398" s="5" t="str">
        <f t="shared" si="100"/>
        <v/>
      </c>
      <c r="T398" s="5" t="str">
        <f t="shared" si="101"/>
        <v/>
      </c>
      <c r="U398" s="5" t="str">
        <f t="shared" si="102"/>
        <v/>
      </c>
      <c r="V398" s="5" t="str">
        <f t="shared" si="103"/>
        <v/>
      </c>
      <c r="W398" s="5" t="str">
        <f t="shared" si="104"/>
        <v/>
      </c>
      <c r="X398" s="5" t="str">
        <f t="shared" si="105"/>
        <v/>
      </c>
      <c r="AA398" s="5" t="str">
        <f t="shared" si="106"/>
        <v/>
      </c>
      <c r="AB398" s="5" t="str">
        <f t="shared" si="107"/>
        <v/>
      </c>
      <c r="AC398" s="5" t="str">
        <f t="shared" si="108"/>
        <v/>
      </c>
      <c r="AD398" s="5" t="str">
        <f t="shared" si="109"/>
        <v/>
      </c>
      <c r="AE398" s="5" t="str">
        <f t="shared" si="110"/>
        <v/>
      </c>
      <c r="AF398" s="5" t="str">
        <f t="shared" si="111"/>
        <v/>
      </c>
    </row>
    <row r="399" spans="1:32" x14ac:dyDescent="0.25">
      <c r="A399" s="2">
        <v>44943</v>
      </c>
      <c r="B399">
        <v>15427</v>
      </c>
      <c r="C399">
        <v>27862</v>
      </c>
      <c r="D399">
        <v>260657</v>
      </c>
      <c r="F399" s="5">
        <f t="shared" si="96"/>
        <v>0.55369320221089657</v>
      </c>
      <c r="G399" s="5">
        <f t="shared" si="97"/>
        <v>0.14242332519592296</v>
      </c>
      <c r="I399" s="2">
        <v>44943</v>
      </c>
      <c r="J399">
        <v>33817</v>
      </c>
      <c r="K399">
        <v>28180</v>
      </c>
      <c r="M399" s="5">
        <f t="shared" si="98"/>
        <v>1.3290061211816542</v>
      </c>
      <c r="N399" s="5">
        <f t="shared" si="99"/>
        <v>0.23204494766025272</v>
      </c>
      <c r="S399" s="5" t="str">
        <f t="shared" si="100"/>
        <v/>
      </c>
      <c r="T399" s="5" t="str">
        <f t="shared" si="101"/>
        <v/>
      </c>
      <c r="U399" s="5" t="str">
        <f t="shared" si="102"/>
        <v/>
      </c>
      <c r="V399" s="5" t="str">
        <f t="shared" si="103"/>
        <v/>
      </c>
      <c r="W399" s="5" t="str">
        <f t="shared" si="104"/>
        <v/>
      </c>
      <c r="X399" s="5" t="str">
        <f t="shared" si="105"/>
        <v/>
      </c>
      <c r="AA399" s="5" t="str">
        <f t="shared" si="106"/>
        <v/>
      </c>
      <c r="AB399" s="5" t="str">
        <f t="shared" si="107"/>
        <v/>
      </c>
      <c r="AC399" s="5" t="str">
        <f t="shared" si="108"/>
        <v/>
      </c>
      <c r="AD399" s="5" t="str">
        <f t="shared" si="109"/>
        <v/>
      </c>
      <c r="AE399" s="5" t="str">
        <f t="shared" si="110"/>
        <v/>
      </c>
      <c r="AF399" s="5" t="str">
        <f t="shared" si="111"/>
        <v/>
      </c>
    </row>
    <row r="400" spans="1:32" x14ac:dyDescent="0.25">
      <c r="A400" s="2">
        <v>44942</v>
      </c>
      <c r="B400">
        <v>15427</v>
      </c>
      <c r="C400">
        <v>27237</v>
      </c>
      <c r="D400">
        <v>259966</v>
      </c>
      <c r="F400" s="5">
        <f t="shared" si="96"/>
        <v>0.56639864889672142</v>
      </c>
      <c r="G400" s="5">
        <f t="shared" si="97"/>
        <v>0.1409774311865975</v>
      </c>
      <c r="I400" s="2">
        <v>44942</v>
      </c>
      <c r="J400">
        <v>33167</v>
      </c>
      <c r="K400">
        <v>27205</v>
      </c>
      <c r="M400" s="5">
        <f t="shared" si="98"/>
        <v>1.3550215575722857</v>
      </c>
      <c r="N400" s="5">
        <f t="shared" si="99"/>
        <v>0.23104044960437772</v>
      </c>
      <c r="S400" s="5" t="str">
        <f t="shared" si="100"/>
        <v/>
      </c>
      <c r="T400" s="5" t="str">
        <f t="shared" si="101"/>
        <v/>
      </c>
      <c r="U400" s="5" t="str">
        <f t="shared" si="102"/>
        <v/>
      </c>
      <c r="V400" s="5" t="str">
        <f t="shared" si="103"/>
        <v/>
      </c>
      <c r="W400" s="5" t="str">
        <f t="shared" si="104"/>
        <v/>
      </c>
      <c r="X400" s="5" t="str">
        <f t="shared" si="105"/>
        <v/>
      </c>
      <c r="AA400" s="5" t="str">
        <f t="shared" si="106"/>
        <v/>
      </c>
      <c r="AB400" s="5" t="str">
        <f t="shared" si="107"/>
        <v/>
      </c>
      <c r="AC400" s="5" t="str">
        <f t="shared" si="108"/>
        <v/>
      </c>
      <c r="AD400" s="5" t="str">
        <f t="shared" si="109"/>
        <v/>
      </c>
      <c r="AE400" s="5" t="str">
        <f t="shared" si="110"/>
        <v/>
      </c>
      <c r="AF400" s="5" t="str">
        <f t="shared" si="111"/>
        <v/>
      </c>
    </row>
    <row r="401" spans="1:32" x14ac:dyDescent="0.25">
      <c r="A401" s="2">
        <v>44939</v>
      </c>
      <c r="B401">
        <v>15277</v>
      </c>
      <c r="C401">
        <v>26767</v>
      </c>
      <c r="D401">
        <v>258593</v>
      </c>
      <c r="F401" s="5">
        <f t="shared" si="96"/>
        <v>0.57074009040983298</v>
      </c>
      <c r="G401" s="5">
        <f t="shared" si="97"/>
        <v>0.13984971909645186</v>
      </c>
      <c r="I401" s="2">
        <v>44939</v>
      </c>
      <c r="J401">
        <v>31867</v>
      </c>
      <c r="K401">
        <v>26680</v>
      </c>
      <c r="M401" s="5">
        <f t="shared" si="98"/>
        <v>1.4102049141745379</v>
      </c>
      <c r="N401" s="5">
        <f t="shared" si="99"/>
        <v>0.22899889385478192</v>
      </c>
      <c r="S401" s="5" t="str">
        <f t="shared" si="100"/>
        <v/>
      </c>
      <c r="T401" s="5" t="str">
        <f t="shared" si="101"/>
        <v/>
      </c>
      <c r="U401" s="5" t="str">
        <f t="shared" si="102"/>
        <v/>
      </c>
      <c r="V401" s="5" t="str">
        <f t="shared" si="103"/>
        <v/>
      </c>
      <c r="W401" s="5" t="str">
        <f t="shared" si="104"/>
        <v/>
      </c>
      <c r="X401" s="5" t="str">
        <f t="shared" si="105"/>
        <v/>
      </c>
      <c r="AA401" s="5" t="str">
        <f t="shared" si="106"/>
        <v/>
      </c>
      <c r="AB401" s="5" t="str">
        <f t="shared" si="107"/>
        <v/>
      </c>
      <c r="AC401" s="5" t="str">
        <f t="shared" si="108"/>
        <v/>
      </c>
      <c r="AD401" s="5" t="str">
        <f t="shared" si="109"/>
        <v/>
      </c>
      <c r="AE401" s="5" t="str">
        <f t="shared" si="110"/>
        <v/>
      </c>
      <c r="AF401" s="5" t="str">
        <f t="shared" si="111"/>
        <v/>
      </c>
    </row>
    <row r="402" spans="1:32" x14ac:dyDescent="0.25">
      <c r="A402" s="2">
        <v>44938</v>
      </c>
      <c r="B402">
        <v>15277</v>
      </c>
      <c r="C402">
        <v>26542</v>
      </c>
      <c r="D402">
        <v>258708</v>
      </c>
      <c r="F402" s="5">
        <f t="shared" si="96"/>
        <v>0.57557832868660985</v>
      </c>
      <c r="G402" s="5">
        <f t="shared" si="97"/>
        <v>0.13915222259564033</v>
      </c>
      <c r="I402" s="2">
        <v>44938</v>
      </c>
      <c r="J402">
        <v>31867</v>
      </c>
      <c r="K402">
        <v>26630</v>
      </c>
      <c r="M402" s="5">
        <f t="shared" si="98"/>
        <v>1.410173533749647</v>
      </c>
      <c r="N402" s="5">
        <f t="shared" si="99"/>
        <v>0.22891810451457917</v>
      </c>
      <c r="S402" s="5" t="str">
        <f t="shared" si="100"/>
        <v/>
      </c>
      <c r="T402" s="5" t="str">
        <f t="shared" si="101"/>
        <v/>
      </c>
      <c r="U402" s="5" t="str">
        <f t="shared" si="102"/>
        <v/>
      </c>
      <c r="V402" s="5" t="str">
        <f t="shared" si="103"/>
        <v/>
      </c>
      <c r="W402" s="5" t="str">
        <f t="shared" si="104"/>
        <v/>
      </c>
      <c r="X402" s="5" t="str">
        <f t="shared" si="105"/>
        <v/>
      </c>
      <c r="AA402" s="5" t="str">
        <f t="shared" si="106"/>
        <v/>
      </c>
      <c r="AB402" s="5" t="str">
        <f t="shared" si="107"/>
        <v/>
      </c>
      <c r="AC402" s="5" t="str">
        <f t="shared" si="108"/>
        <v/>
      </c>
      <c r="AD402" s="5" t="str">
        <f t="shared" si="109"/>
        <v/>
      </c>
      <c r="AE402" s="5" t="str">
        <f t="shared" si="110"/>
        <v/>
      </c>
      <c r="AF402" s="5" t="str">
        <f t="shared" si="111"/>
        <v/>
      </c>
    </row>
    <row r="403" spans="1:32" x14ac:dyDescent="0.25">
      <c r="A403" s="2">
        <v>44937</v>
      </c>
      <c r="B403">
        <v>15277</v>
      </c>
      <c r="C403">
        <v>25662</v>
      </c>
      <c r="D403">
        <v>257253</v>
      </c>
      <c r="F403" s="5">
        <f t="shared" si="96"/>
        <v>0.59531603148624423</v>
      </c>
      <c r="G403" s="5">
        <f t="shared" si="97"/>
        <v>0.13729073885281967</v>
      </c>
      <c r="I403" s="2">
        <v>44937</v>
      </c>
      <c r="J403">
        <v>31117</v>
      </c>
      <c r="K403">
        <v>25380</v>
      </c>
      <c r="M403" s="5">
        <f t="shared" si="98"/>
        <v>1.4441302182086961</v>
      </c>
      <c r="N403" s="5">
        <f t="shared" si="99"/>
        <v>0.22818002622207154</v>
      </c>
      <c r="S403" s="5" t="str">
        <f t="shared" si="100"/>
        <v/>
      </c>
      <c r="T403" s="5" t="str">
        <f t="shared" si="101"/>
        <v/>
      </c>
      <c r="U403" s="5" t="str">
        <f t="shared" si="102"/>
        <v/>
      </c>
      <c r="V403" s="5" t="str">
        <f t="shared" si="103"/>
        <v/>
      </c>
      <c r="W403" s="5" t="str">
        <f t="shared" si="104"/>
        <v/>
      </c>
      <c r="X403" s="5" t="str">
        <f t="shared" si="105"/>
        <v/>
      </c>
      <c r="AA403" s="5" t="str">
        <f t="shared" si="106"/>
        <v/>
      </c>
      <c r="AB403" s="5" t="str">
        <f t="shared" si="107"/>
        <v/>
      </c>
      <c r="AC403" s="5" t="str">
        <f t="shared" si="108"/>
        <v/>
      </c>
      <c r="AD403" s="5" t="str">
        <f t="shared" si="109"/>
        <v/>
      </c>
      <c r="AE403" s="5" t="str">
        <f t="shared" si="110"/>
        <v/>
      </c>
      <c r="AF403" s="5" t="str">
        <f t="shared" si="111"/>
        <v/>
      </c>
    </row>
    <row r="404" spans="1:32" x14ac:dyDescent="0.25">
      <c r="A404" s="2">
        <v>44936</v>
      </c>
      <c r="B404">
        <v>14877</v>
      </c>
      <c r="C404">
        <v>27037</v>
      </c>
      <c r="D404">
        <v>259681</v>
      </c>
      <c r="F404" s="5">
        <f t="shared" si="96"/>
        <v>0.55024595924104003</v>
      </c>
      <c r="G404" s="5">
        <f t="shared" si="97"/>
        <v>0.13897445249423895</v>
      </c>
      <c r="I404" s="2">
        <v>44936</v>
      </c>
      <c r="J404">
        <v>29617</v>
      </c>
      <c r="K404">
        <v>24380</v>
      </c>
      <c r="M404" s="5">
        <f t="shared" si="98"/>
        <v>1.5172367221528176</v>
      </c>
      <c r="N404" s="5">
        <f t="shared" si="99"/>
        <v>0.22305630187234093</v>
      </c>
      <c r="S404" s="5" t="str">
        <f t="shared" si="100"/>
        <v/>
      </c>
      <c r="T404" s="5" t="str">
        <f t="shared" si="101"/>
        <v/>
      </c>
      <c r="U404" s="5" t="str">
        <f t="shared" si="102"/>
        <v/>
      </c>
      <c r="V404" s="5" t="str">
        <f t="shared" si="103"/>
        <v/>
      </c>
      <c r="W404" s="5" t="str">
        <f t="shared" si="104"/>
        <v/>
      </c>
      <c r="X404" s="5" t="str">
        <f t="shared" si="105"/>
        <v/>
      </c>
      <c r="AA404" s="5" t="str">
        <f t="shared" si="106"/>
        <v/>
      </c>
      <c r="AB404" s="5" t="str">
        <f t="shared" si="107"/>
        <v/>
      </c>
      <c r="AC404" s="5" t="str">
        <f t="shared" si="108"/>
        <v/>
      </c>
      <c r="AD404" s="5" t="str">
        <f t="shared" si="109"/>
        <v/>
      </c>
      <c r="AE404" s="5" t="str">
        <f t="shared" si="110"/>
        <v/>
      </c>
      <c r="AF404" s="5" t="str">
        <f t="shared" si="111"/>
        <v/>
      </c>
    </row>
    <row r="405" spans="1:32" x14ac:dyDescent="0.25">
      <c r="A405" s="2">
        <v>44935</v>
      </c>
      <c r="B405">
        <v>14877</v>
      </c>
      <c r="C405">
        <v>26087</v>
      </c>
      <c r="D405">
        <v>260189</v>
      </c>
      <c r="F405" s="5">
        <f t="shared" si="96"/>
        <v>0.57028404952658407</v>
      </c>
      <c r="G405" s="5">
        <f t="shared" si="97"/>
        <v>0.13602388154858161</v>
      </c>
      <c r="I405" s="2">
        <v>44935</v>
      </c>
      <c r="J405">
        <v>29517</v>
      </c>
      <c r="K405">
        <v>24130</v>
      </c>
      <c r="M405" s="5">
        <f t="shared" si="98"/>
        <v>1.5223430565436866</v>
      </c>
      <c r="N405" s="5">
        <f t="shared" si="99"/>
        <v>0.22248319841262726</v>
      </c>
      <c r="S405" s="5" t="str">
        <f t="shared" si="100"/>
        <v/>
      </c>
      <c r="T405" s="5" t="str">
        <f t="shared" si="101"/>
        <v/>
      </c>
      <c r="U405" s="5" t="str">
        <f t="shared" si="102"/>
        <v/>
      </c>
      <c r="V405" s="5" t="str">
        <f t="shared" si="103"/>
        <v/>
      </c>
      <c r="W405" s="5" t="str">
        <f t="shared" si="104"/>
        <v/>
      </c>
      <c r="X405" s="5" t="str">
        <f t="shared" si="105"/>
        <v/>
      </c>
      <c r="AA405" s="5" t="str">
        <f t="shared" si="106"/>
        <v/>
      </c>
      <c r="AB405" s="5" t="str">
        <f t="shared" si="107"/>
        <v/>
      </c>
      <c r="AC405" s="5" t="str">
        <f t="shared" si="108"/>
        <v/>
      </c>
      <c r="AD405" s="5" t="str">
        <f t="shared" si="109"/>
        <v/>
      </c>
      <c r="AE405" s="5" t="str">
        <f t="shared" si="110"/>
        <v/>
      </c>
      <c r="AF405" s="5" t="str">
        <f t="shared" si="111"/>
        <v/>
      </c>
    </row>
    <row r="406" spans="1:32" x14ac:dyDescent="0.25">
      <c r="A406" s="2">
        <v>44932</v>
      </c>
      <c r="B406">
        <v>14877</v>
      </c>
      <c r="C406">
        <v>25887</v>
      </c>
      <c r="D406">
        <v>261327</v>
      </c>
      <c r="F406" s="5">
        <f t="shared" si="96"/>
        <v>0.57468999884111716</v>
      </c>
      <c r="G406" s="5">
        <f t="shared" si="97"/>
        <v>0.13493947188098951</v>
      </c>
      <c r="I406" s="2">
        <v>44932</v>
      </c>
      <c r="J406">
        <v>29017</v>
      </c>
      <c r="K406">
        <v>22630</v>
      </c>
      <c r="M406" s="5">
        <f t="shared" si="98"/>
        <v>1.5484715856222215</v>
      </c>
      <c r="N406" s="5">
        <f t="shared" si="99"/>
        <v>0.22056156718643743</v>
      </c>
      <c r="S406" s="5" t="str">
        <f t="shared" si="100"/>
        <v/>
      </c>
      <c r="T406" s="5" t="str">
        <f t="shared" si="101"/>
        <v/>
      </c>
      <c r="U406" s="5" t="str">
        <f t="shared" si="102"/>
        <v/>
      </c>
      <c r="V406" s="5" t="str">
        <f t="shared" si="103"/>
        <v/>
      </c>
      <c r="W406" s="5" t="str">
        <f t="shared" si="104"/>
        <v/>
      </c>
      <c r="X406" s="5" t="str">
        <f t="shared" si="105"/>
        <v/>
      </c>
      <c r="AA406" s="5" t="str">
        <f t="shared" si="106"/>
        <v/>
      </c>
      <c r="AB406" s="5" t="str">
        <f t="shared" si="107"/>
        <v/>
      </c>
      <c r="AC406" s="5" t="str">
        <f t="shared" si="108"/>
        <v/>
      </c>
      <c r="AD406" s="5" t="str">
        <f t="shared" si="109"/>
        <v/>
      </c>
      <c r="AE406" s="5" t="str">
        <f t="shared" si="110"/>
        <v/>
      </c>
      <c r="AF406" s="5" t="str">
        <f t="shared" si="111"/>
        <v/>
      </c>
    </row>
    <row r="407" spans="1:32" x14ac:dyDescent="0.25">
      <c r="A407" s="2">
        <v>44931</v>
      </c>
      <c r="B407">
        <v>14427</v>
      </c>
      <c r="C407">
        <v>20937</v>
      </c>
      <c r="D407">
        <v>262025</v>
      </c>
      <c r="F407" s="5">
        <f t="shared" si="96"/>
        <v>0.68906720160481449</v>
      </c>
      <c r="G407" s="5">
        <f t="shared" si="97"/>
        <v>0.11891495650477993</v>
      </c>
      <c r="I407" s="2">
        <v>44931</v>
      </c>
      <c r="J407">
        <v>28767</v>
      </c>
      <c r="K407">
        <v>22130</v>
      </c>
      <c r="M407" s="5">
        <f t="shared" si="98"/>
        <v>1.5618938366878716</v>
      </c>
      <c r="N407" s="5">
        <f t="shared" si="99"/>
        <v>0.21952025926135535</v>
      </c>
      <c r="S407" s="5" t="str">
        <f t="shared" si="100"/>
        <v/>
      </c>
      <c r="T407" s="5" t="str">
        <f t="shared" si="101"/>
        <v/>
      </c>
      <c r="U407" s="5" t="str">
        <f t="shared" si="102"/>
        <v/>
      </c>
      <c r="V407" s="5" t="str">
        <f t="shared" si="103"/>
        <v/>
      </c>
      <c r="W407" s="5" t="str">
        <f t="shared" si="104"/>
        <v/>
      </c>
      <c r="X407" s="5" t="str">
        <f t="shared" si="105"/>
        <v/>
      </c>
      <c r="AA407" s="5" t="str">
        <f t="shared" si="106"/>
        <v/>
      </c>
      <c r="AB407" s="5" t="str">
        <f t="shared" si="107"/>
        <v/>
      </c>
      <c r="AC407" s="5" t="str">
        <f t="shared" si="108"/>
        <v/>
      </c>
      <c r="AD407" s="5" t="str">
        <f t="shared" si="109"/>
        <v/>
      </c>
      <c r="AE407" s="5" t="str">
        <f t="shared" si="110"/>
        <v/>
      </c>
      <c r="AF407" s="5" t="str">
        <f t="shared" si="111"/>
        <v/>
      </c>
    </row>
    <row r="408" spans="1:32" x14ac:dyDescent="0.25">
      <c r="A408" s="2">
        <v>44930</v>
      </c>
      <c r="B408">
        <v>13442</v>
      </c>
      <c r="C408">
        <v>20412</v>
      </c>
      <c r="D408">
        <v>278833</v>
      </c>
      <c r="I408" s="2">
        <v>44930</v>
      </c>
      <c r="J408">
        <v>28167</v>
      </c>
      <c r="K408">
        <v>22255</v>
      </c>
    </row>
    <row r="409" spans="1:32" x14ac:dyDescent="0.25">
      <c r="A409" s="2">
        <v>44929</v>
      </c>
      <c r="B409">
        <v>12867</v>
      </c>
      <c r="C409">
        <v>20912</v>
      </c>
      <c r="D409">
        <v>280176</v>
      </c>
      <c r="I409" s="2">
        <v>44929</v>
      </c>
      <c r="J409">
        <v>28167</v>
      </c>
      <c r="K409">
        <v>21755</v>
      </c>
    </row>
    <row r="410" spans="1:32" x14ac:dyDescent="0.25">
      <c r="A410" s="2">
        <v>44928</v>
      </c>
      <c r="B410">
        <v>12867</v>
      </c>
      <c r="C410">
        <v>20912</v>
      </c>
      <c r="D410">
        <v>279550</v>
      </c>
      <c r="I410" s="2">
        <v>44928</v>
      </c>
      <c r="J410">
        <v>28167</v>
      </c>
      <c r="K410">
        <v>21755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5A8CB-4854-45E6-BF79-5C129BA7BBEE}">
  <dimension ref="A1:GN89"/>
  <sheetViews>
    <sheetView topLeftCell="FL40" workbookViewId="0">
      <selection activeCell="GN52" sqref="GN52"/>
    </sheetView>
  </sheetViews>
  <sheetFormatPr defaultRowHeight="15" x14ac:dyDescent="0.25"/>
  <cols>
    <col min="1" max="1" width="16" customWidth="1"/>
    <col min="2" max="8" width="8.85546875" customWidth="1"/>
    <col min="9" max="9" width="19.42578125" customWidth="1"/>
    <col min="10" max="195" width="8.85546875" customWidth="1"/>
  </cols>
  <sheetData>
    <row r="1" spans="1:196" x14ac:dyDescent="0.25">
      <c r="A1" t="str">
        <f>_xll.ICESeries(B1:GM1,B2:GM2,,DATE(2024,6,1),DATE(2024,9,30),,"DayOfWeek=12345")</f>
        <v>Time Series</v>
      </c>
      <c r="B1" t="s">
        <v>461</v>
      </c>
      <c r="C1" t="s">
        <v>475</v>
      </c>
      <c r="D1" t="s">
        <v>477</v>
      </c>
      <c r="E1" t="s">
        <v>479</v>
      </c>
      <c r="F1" t="s">
        <v>481</v>
      </c>
      <c r="G1" t="s">
        <v>483</v>
      </c>
      <c r="H1" t="s">
        <v>485</v>
      </c>
      <c r="I1" t="s">
        <v>487</v>
      </c>
      <c r="J1" t="s">
        <v>489</v>
      </c>
      <c r="K1" t="s">
        <v>491</v>
      </c>
      <c r="L1" t="s">
        <v>493</v>
      </c>
      <c r="M1" t="s">
        <v>495</v>
      </c>
      <c r="N1" t="s">
        <v>497</v>
      </c>
      <c r="O1" t="s">
        <v>499</v>
      </c>
      <c r="P1" t="s">
        <v>501</v>
      </c>
      <c r="Q1" t="s">
        <v>503</v>
      </c>
      <c r="R1" t="s">
        <v>505</v>
      </c>
      <c r="S1" t="s">
        <v>507</v>
      </c>
      <c r="T1" t="s">
        <v>509</v>
      </c>
      <c r="U1" t="s">
        <v>511</v>
      </c>
      <c r="V1" t="s">
        <v>513</v>
      </c>
      <c r="W1" t="s">
        <v>515</v>
      </c>
      <c r="X1" t="s">
        <v>517</v>
      </c>
      <c r="Y1" t="s">
        <v>519</v>
      </c>
      <c r="Z1" t="s">
        <v>521</v>
      </c>
      <c r="AA1" t="s">
        <v>523</v>
      </c>
      <c r="AB1" t="s">
        <v>525</v>
      </c>
      <c r="AC1" t="s">
        <v>527</v>
      </c>
      <c r="AD1" t="s">
        <v>529</v>
      </c>
      <c r="AE1" t="s">
        <v>531</v>
      </c>
      <c r="AF1" t="s">
        <v>533</v>
      </c>
      <c r="AG1" t="s">
        <v>535</v>
      </c>
      <c r="AH1" t="s">
        <v>537</v>
      </c>
      <c r="AI1" t="s">
        <v>539</v>
      </c>
      <c r="AJ1" t="s">
        <v>541</v>
      </c>
      <c r="AK1" t="s">
        <v>543</v>
      </c>
      <c r="AL1" t="s">
        <v>545</v>
      </c>
      <c r="AM1" t="s">
        <v>547</v>
      </c>
      <c r="AN1" t="s">
        <v>549</v>
      </c>
      <c r="AO1" t="s">
        <v>551</v>
      </c>
      <c r="AP1" t="s">
        <v>553</v>
      </c>
      <c r="AQ1" t="s">
        <v>555</v>
      </c>
      <c r="AR1" t="s">
        <v>557</v>
      </c>
      <c r="AS1" t="s">
        <v>559</v>
      </c>
      <c r="AT1" t="s">
        <v>561</v>
      </c>
      <c r="AU1" t="s">
        <v>563</v>
      </c>
      <c r="AV1" t="s">
        <v>565</v>
      </c>
      <c r="AW1" t="s">
        <v>567</v>
      </c>
      <c r="AX1" t="s">
        <v>569</v>
      </c>
      <c r="AY1" t="s">
        <v>571</v>
      </c>
      <c r="AZ1" t="s">
        <v>573</v>
      </c>
      <c r="BA1" t="s">
        <v>575</v>
      </c>
      <c r="BB1" t="s">
        <v>577</v>
      </c>
      <c r="BC1" t="s">
        <v>579</v>
      </c>
      <c r="BD1" t="s">
        <v>581</v>
      </c>
      <c r="BE1" t="s">
        <v>583</v>
      </c>
      <c r="BF1" t="s">
        <v>585</v>
      </c>
      <c r="BG1" t="s">
        <v>587</v>
      </c>
      <c r="BH1" t="s">
        <v>589</v>
      </c>
      <c r="BI1" t="s">
        <v>591</v>
      </c>
      <c r="BJ1" t="s">
        <v>593</v>
      </c>
      <c r="BK1" t="s">
        <v>595</v>
      </c>
      <c r="BL1" t="s">
        <v>597</v>
      </c>
      <c r="BM1" t="s">
        <v>599</v>
      </c>
      <c r="BN1" t="s">
        <v>601</v>
      </c>
      <c r="BO1" t="s">
        <v>603</v>
      </c>
      <c r="BP1" t="s">
        <v>605</v>
      </c>
      <c r="BQ1" t="s">
        <v>607</v>
      </c>
      <c r="BR1" t="s">
        <v>609</v>
      </c>
      <c r="BS1" t="s">
        <v>611</v>
      </c>
      <c r="BT1" t="s">
        <v>613</v>
      </c>
      <c r="BU1" t="s">
        <v>615</v>
      </c>
      <c r="BV1" t="s">
        <v>617</v>
      </c>
      <c r="BW1" t="s">
        <v>619</v>
      </c>
      <c r="BX1" t="s">
        <v>621</v>
      </c>
      <c r="BY1" t="s">
        <v>623</v>
      </c>
      <c r="BZ1" t="s">
        <v>625</v>
      </c>
      <c r="CA1" t="s">
        <v>627</v>
      </c>
      <c r="CB1" t="s">
        <v>629</v>
      </c>
      <c r="CC1" t="s">
        <v>631</v>
      </c>
      <c r="CD1" t="s">
        <v>633</v>
      </c>
      <c r="CE1" t="s">
        <v>635</v>
      </c>
      <c r="CF1" t="s">
        <v>637</v>
      </c>
      <c r="CG1" t="s">
        <v>639</v>
      </c>
      <c r="CH1" t="s">
        <v>641</v>
      </c>
      <c r="CI1" t="s">
        <v>643</v>
      </c>
      <c r="CJ1" t="s">
        <v>645</v>
      </c>
      <c r="CK1" t="s">
        <v>647</v>
      </c>
      <c r="CL1" t="s">
        <v>649</v>
      </c>
      <c r="CM1" t="s">
        <v>651</v>
      </c>
      <c r="CN1" t="s">
        <v>653</v>
      </c>
      <c r="CO1" t="s">
        <v>655</v>
      </c>
      <c r="CP1" t="s">
        <v>657</v>
      </c>
      <c r="CQ1" t="s">
        <v>659</v>
      </c>
      <c r="CR1" t="s">
        <v>661</v>
      </c>
      <c r="CS1" t="s">
        <v>663</v>
      </c>
      <c r="CT1" t="s">
        <v>665</v>
      </c>
      <c r="CU1" t="s">
        <v>667</v>
      </c>
      <c r="CV1" t="s">
        <v>669</v>
      </c>
      <c r="CW1" t="s">
        <v>671</v>
      </c>
      <c r="CX1" t="s">
        <v>673</v>
      </c>
      <c r="CY1" t="s">
        <v>675</v>
      </c>
      <c r="CZ1" t="s">
        <v>677</v>
      </c>
      <c r="DA1" t="s">
        <v>679</v>
      </c>
      <c r="DB1" t="s">
        <v>681</v>
      </c>
      <c r="DC1" t="s">
        <v>683</v>
      </c>
      <c r="DD1" t="s">
        <v>685</v>
      </c>
      <c r="DE1" t="s">
        <v>687</v>
      </c>
      <c r="DF1" t="s">
        <v>689</v>
      </c>
      <c r="DG1" t="s">
        <v>691</v>
      </c>
      <c r="DH1" t="s">
        <v>693</v>
      </c>
      <c r="DI1" t="s">
        <v>695</v>
      </c>
      <c r="DJ1" t="s">
        <v>697</v>
      </c>
      <c r="DK1" t="s">
        <v>699</v>
      </c>
      <c r="DL1" t="s">
        <v>701</v>
      </c>
      <c r="DM1" t="s">
        <v>703</v>
      </c>
      <c r="DN1" t="s">
        <v>705</v>
      </c>
      <c r="DO1" t="s">
        <v>707</v>
      </c>
      <c r="DP1" t="s">
        <v>709</v>
      </c>
      <c r="DQ1" t="s">
        <v>711</v>
      </c>
      <c r="DR1" t="s">
        <v>713</v>
      </c>
      <c r="DS1" t="s">
        <v>715</v>
      </c>
      <c r="DT1" t="s">
        <v>717</v>
      </c>
      <c r="DU1" t="s">
        <v>719</v>
      </c>
      <c r="DV1" t="s">
        <v>721</v>
      </c>
      <c r="DW1" t="s">
        <v>723</v>
      </c>
      <c r="DX1" t="s">
        <v>725</v>
      </c>
      <c r="DY1" t="s">
        <v>727</v>
      </c>
      <c r="DZ1" t="s">
        <v>729</v>
      </c>
      <c r="EA1" t="s">
        <v>731</v>
      </c>
      <c r="EB1" t="s">
        <v>733</v>
      </c>
      <c r="EC1" t="s">
        <v>735</v>
      </c>
      <c r="ED1" t="s">
        <v>737</v>
      </c>
      <c r="EE1" t="s">
        <v>739</v>
      </c>
      <c r="EF1" t="s">
        <v>741</v>
      </c>
      <c r="EG1" t="s">
        <v>743</v>
      </c>
      <c r="EH1" t="s">
        <v>745</v>
      </c>
      <c r="EI1" t="s">
        <v>747</v>
      </c>
      <c r="EJ1" t="s">
        <v>749</v>
      </c>
      <c r="EK1" t="s">
        <v>751</v>
      </c>
      <c r="EL1" t="s">
        <v>753</v>
      </c>
      <c r="EM1" t="s">
        <v>755</v>
      </c>
      <c r="EN1" t="s">
        <v>757</v>
      </c>
      <c r="EO1" t="s">
        <v>759</v>
      </c>
      <c r="EP1" t="s">
        <v>761</v>
      </c>
      <c r="EQ1" t="s">
        <v>763</v>
      </c>
      <c r="ER1" t="s">
        <v>765</v>
      </c>
      <c r="ES1" t="s">
        <v>767</v>
      </c>
      <c r="ET1" t="s">
        <v>769</v>
      </c>
      <c r="EU1" t="s">
        <v>771</v>
      </c>
      <c r="EV1" t="s">
        <v>773</v>
      </c>
      <c r="EW1" t="s">
        <v>775</v>
      </c>
      <c r="EX1" t="s">
        <v>777</v>
      </c>
      <c r="EY1" t="s">
        <v>779</v>
      </c>
      <c r="EZ1" t="s">
        <v>781</v>
      </c>
      <c r="FA1" t="s">
        <v>783</v>
      </c>
      <c r="FB1" t="s">
        <v>785</v>
      </c>
      <c r="FC1" t="s">
        <v>787</v>
      </c>
      <c r="FD1" t="s">
        <v>789</v>
      </c>
      <c r="FE1" t="s">
        <v>791</v>
      </c>
      <c r="FF1" t="s">
        <v>793</v>
      </c>
      <c r="FG1" t="s">
        <v>795</v>
      </c>
      <c r="FH1" t="s">
        <v>797</v>
      </c>
      <c r="FI1" t="s">
        <v>799</v>
      </c>
      <c r="FJ1" t="s">
        <v>801</v>
      </c>
      <c r="FK1" t="s">
        <v>803</v>
      </c>
      <c r="FL1" t="s">
        <v>805</v>
      </c>
      <c r="FM1" t="s">
        <v>807</v>
      </c>
      <c r="FN1" t="s">
        <v>809</v>
      </c>
      <c r="FO1" t="s">
        <v>811</v>
      </c>
      <c r="FP1" t="s">
        <v>813</v>
      </c>
      <c r="FQ1" t="s">
        <v>815</v>
      </c>
      <c r="FR1" t="s">
        <v>817</v>
      </c>
      <c r="FS1" t="s">
        <v>819</v>
      </c>
      <c r="FT1" t="s">
        <v>821</v>
      </c>
      <c r="FU1" t="s">
        <v>823</v>
      </c>
      <c r="FV1" t="s">
        <v>825</v>
      </c>
      <c r="FW1" t="s">
        <v>827</v>
      </c>
      <c r="FX1" t="s">
        <v>829</v>
      </c>
      <c r="FY1" t="s">
        <v>831</v>
      </c>
      <c r="FZ1" t="s">
        <v>833</v>
      </c>
      <c r="GA1" t="s">
        <v>835</v>
      </c>
      <c r="GB1" t="s">
        <v>837</v>
      </c>
      <c r="GC1" t="s">
        <v>839</v>
      </c>
      <c r="GD1" t="s">
        <v>841</v>
      </c>
      <c r="GE1" t="s">
        <v>843</v>
      </c>
      <c r="GF1" t="s">
        <v>845</v>
      </c>
      <c r="GG1" t="s">
        <v>847</v>
      </c>
      <c r="GH1" t="s">
        <v>849</v>
      </c>
      <c r="GI1" t="s">
        <v>851</v>
      </c>
      <c r="GJ1" t="s">
        <v>853</v>
      </c>
      <c r="GK1" t="s">
        <v>855</v>
      </c>
      <c r="GL1" t="s">
        <v>857</v>
      </c>
      <c r="GM1" t="s">
        <v>859</v>
      </c>
    </row>
    <row r="2" spans="1:196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  <c r="GM2" t="s">
        <v>450</v>
      </c>
    </row>
    <row r="3" spans="1:196" x14ac:dyDescent="0.25">
      <c r="B3" t="s">
        <v>468</v>
      </c>
      <c r="C3" t="s">
        <v>871</v>
      </c>
      <c r="D3" t="s">
        <v>872</v>
      </c>
      <c r="E3" t="s">
        <v>873</v>
      </c>
      <c r="F3" t="s">
        <v>874</v>
      </c>
      <c r="G3" t="s">
        <v>875</v>
      </c>
      <c r="H3" t="s">
        <v>876</v>
      </c>
      <c r="I3" t="s">
        <v>877</v>
      </c>
      <c r="J3" t="s">
        <v>878</v>
      </c>
      <c r="K3" t="s">
        <v>879</v>
      </c>
      <c r="L3" t="s">
        <v>880</v>
      </c>
      <c r="M3" t="s">
        <v>881</v>
      </c>
      <c r="N3" t="s">
        <v>882</v>
      </c>
      <c r="O3" t="s">
        <v>883</v>
      </c>
      <c r="P3" t="s">
        <v>884</v>
      </c>
      <c r="Q3" t="s">
        <v>885</v>
      </c>
      <c r="R3" t="s">
        <v>886</v>
      </c>
      <c r="S3" t="s">
        <v>887</v>
      </c>
      <c r="T3" t="s">
        <v>888</v>
      </c>
      <c r="U3" t="s">
        <v>889</v>
      </c>
      <c r="V3" t="s">
        <v>890</v>
      </c>
      <c r="W3" t="s">
        <v>891</v>
      </c>
      <c r="X3" t="s">
        <v>892</v>
      </c>
      <c r="Y3" t="s">
        <v>893</v>
      </c>
      <c r="Z3" t="s">
        <v>894</v>
      </c>
      <c r="AA3" t="s">
        <v>895</v>
      </c>
      <c r="AB3" t="s">
        <v>896</v>
      </c>
      <c r="AC3" t="s">
        <v>897</v>
      </c>
      <c r="AD3" t="s">
        <v>898</v>
      </c>
      <c r="AE3" t="s">
        <v>899</v>
      </c>
      <c r="AF3" t="s">
        <v>900</v>
      </c>
      <c r="AG3" t="s">
        <v>901</v>
      </c>
      <c r="AH3" t="s">
        <v>902</v>
      </c>
      <c r="AI3" t="s">
        <v>903</v>
      </c>
      <c r="AJ3" t="s">
        <v>904</v>
      </c>
      <c r="AK3" t="s">
        <v>905</v>
      </c>
      <c r="AL3" t="s">
        <v>906</v>
      </c>
      <c r="AM3" t="s">
        <v>907</v>
      </c>
      <c r="AN3" t="s">
        <v>908</v>
      </c>
      <c r="AO3" t="s">
        <v>909</v>
      </c>
      <c r="AP3" t="s">
        <v>910</v>
      </c>
      <c r="AQ3" t="s">
        <v>911</v>
      </c>
      <c r="AR3" t="s">
        <v>912</v>
      </c>
      <c r="AS3" t="s">
        <v>913</v>
      </c>
      <c r="AT3" t="s">
        <v>914</v>
      </c>
      <c r="AU3" t="s">
        <v>915</v>
      </c>
      <c r="AV3" t="s">
        <v>916</v>
      </c>
      <c r="AW3" t="s">
        <v>917</v>
      </c>
      <c r="AX3" t="s">
        <v>918</v>
      </c>
      <c r="AY3" t="s">
        <v>919</v>
      </c>
      <c r="AZ3" t="s">
        <v>920</v>
      </c>
      <c r="BA3" t="s">
        <v>921</v>
      </c>
      <c r="BB3" t="s">
        <v>922</v>
      </c>
      <c r="BC3" t="s">
        <v>923</v>
      </c>
      <c r="BD3" t="s">
        <v>924</v>
      </c>
      <c r="BE3" t="s">
        <v>925</v>
      </c>
      <c r="BF3" t="s">
        <v>926</v>
      </c>
      <c r="BG3" t="s">
        <v>927</v>
      </c>
      <c r="BH3" t="s">
        <v>928</v>
      </c>
      <c r="BI3" t="s">
        <v>929</v>
      </c>
      <c r="BJ3" t="s">
        <v>930</v>
      </c>
      <c r="BK3" t="s">
        <v>931</v>
      </c>
      <c r="BL3" t="s">
        <v>932</v>
      </c>
      <c r="BM3" t="s">
        <v>933</v>
      </c>
      <c r="BN3" t="s">
        <v>934</v>
      </c>
      <c r="BO3" t="s">
        <v>935</v>
      </c>
      <c r="BP3" t="s">
        <v>936</v>
      </c>
      <c r="BQ3" t="s">
        <v>937</v>
      </c>
      <c r="BR3" t="s">
        <v>938</v>
      </c>
      <c r="BS3" t="s">
        <v>939</v>
      </c>
      <c r="BT3" t="s">
        <v>940</v>
      </c>
      <c r="BU3" t="s">
        <v>941</v>
      </c>
      <c r="BV3" t="s">
        <v>942</v>
      </c>
      <c r="BW3" t="s">
        <v>943</v>
      </c>
      <c r="BX3" t="s">
        <v>944</v>
      </c>
      <c r="BY3" t="s">
        <v>945</v>
      </c>
      <c r="BZ3" t="s">
        <v>946</v>
      </c>
      <c r="CA3" t="s">
        <v>947</v>
      </c>
      <c r="CB3" t="s">
        <v>948</v>
      </c>
      <c r="CC3" t="s">
        <v>949</v>
      </c>
      <c r="CD3" t="s">
        <v>950</v>
      </c>
      <c r="CE3" t="s">
        <v>951</v>
      </c>
      <c r="CF3" t="s">
        <v>952</v>
      </c>
      <c r="CG3" t="s">
        <v>953</v>
      </c>
      <c r="CH3" t="s">
        <v>954</v>
      </c>
      <c r="CI3" t="s">
        <v>955</v>
      </c>
      <c r="CJ3" t="s">
        <v>956</v>
      </c>
      <c r="CK3" t="s">
        <v>957</v>
      </c>
      <c r="CL3" t="s">
        <v>958</v>
      </c>
      <c r="CM3" t="s">
        <v>959</v>
      </c>
      <c r="CN3" t="s">
        <v>960</v>
      </c>
      <c r="CO3" t="s">
        <v>961</v>
      </c>
      <c r="CP3" t="s">
        <v>962</v>
      </c>
      <c r="CQ3" t="s">
        <v>963</v>
      </c>
      <c r="CR3" t="s">
        <v>964</v>
      </c>
      <c r="CS3" t="s">
        <v>965</v>
      </c>
      <c r="CT3" t="s">
        <v>966</v>
      </c>
      <c r="CU3" t="s">
        <v>967</v>
      </c>
      <c r="CV3" t="s">
        <v>968</v>
      </c>
      <c r="CW3" t="s">
        <v>969</v>
      </c>
      <c r="CX3" t="s">
        <v>970</v>
      </c>
      <c r="CY3" t="s">
        <v>971</v>
      </c>
      <c r="CZ3" t="s">
        <v>972</v>
      </c>
      <c r="DA3" t="s">
        <v>973</v>
      </c>
      <c r="DB3" t="s">
        <v>974</v>
      </c>
      <c r="DC3" t="s">
        <v>975</v>
      </c>
      <c r="DD3" t="s">
        <v>976</v>
      </c>
      <c r="DE3" t="s">
        <v>977</v>
      </c>
      <c r="DF3" t="s">
        <v>978</v>
      </c>
      <c r="DG3" t="s">
        <v>979</v>
      </c>
      <c r="DH3" t="s">
        <v>980</v>
      </c>
      <c r="DI3" t="s">
        <v>981</v>
      </c>
      <c r="DJ3" t="s">
        <v>982</v>
      </c>
      <c r="DK3" t="s">
        <v>983</v>
      </c>
      <c r="DL3" t="s">
        <v>984</v>
      </c>
      <c r="DM3" t="s">
        <v>985</v>
      </c>
      <c r="DN3" t="s">
        <v>986</v>
      </c>
      <c r="DO3" t="s">
        <v>987</v>
      </c>
      <c r="DP3" t="s">
        <v>988</v>
      </c>
      <c r="DQ3" t="s">
        <v>989</v>
      </c>
      <c r="DR3" t="s">
        <v>990</v>
      </c>
      <c r="DS3" t="s">
        <v>991</v>
      </c>
      <c r="DT3" t="s">
        <v>992</v>
      </c>
      <c r="DU3" t="s">
        <v>993</v>
      </c>
      <c r="DV3" t="s">
        <v>994</v>
      </c>
      <c r="DW3" t="s">
        <v>995</v>
      </c>
      <c r="DX3" t="s">
        <v>996</v>
      </c>
      <c r="DY3" t="s">
        <v>997</v>
      </c>
      <c r="DZ3" t="s">
        <v>998</v>
      </c>
      <c r="EA3" t="s">
        <v>999</v>
      </c>
      <c r="EB3" t="s">
        <v>1000</v>
      </c>
      <c r="EC3" t="s">
        <v>1001</v>
      </c>
      <c r="ED3" t="s">
        <v>1002</v>
      </c>
      <c r="EE3" t="s">
        <v>1003</v>
      </c>
      <c r="EF3" t="s">
        <v>1004</v>
      </c>
      <c r="EG3" t="s">
        <v>1005</v>
      </c>
      <c r="EH3" t="s">
        <v>1006</v>
      </c>
      <c r="EI3" t="s">
        <v>1007</v>
      </c>
      <c r="EJ3" t="s">
        <v>1008</v>
      </c>
      <c r="EK3" t="s">
        <v>1009</v>
      </c>
      <c r="EL3" t="s">
        <v>1010</v>
      </c>
      <c r="EM3" t="s">
        <v>1011</v>
      </c>
      <c r="EN3" t="s">
        <v>1012</v>
      </c>
      <c r="EO3" t="s">
        <v>1013</v>
      </c>
      <c r="EP3" t="s">
        <v>1014</v>
      </c>
      <c r="EQ3" t="s">
        <v>1015</v>
      </c>
      <c r="ER3" t="s">
        <v>1016</v>
      </c>
      <c r="ES3" t="s">
        <v>1017</v>
      </c>
      <c r="ET3" t="s">
        <v>1018</v>
      </c>
      <c r="EU3" t="s">
        <v>1019</v>
      </c>
      <c r="EV3" t="s">
        <v>1020</v>
      </c>
      <c r="EW3" t="s">
        <v>1021</v>
      </c>
      <c r="EX3" t="s">
        <v>1022</v>
      </c>
      <c r="EY3" t="s">
        <v>1023</v>
      </c>
      <c r="EZ3" t="s">
        <v>1024</v>
      </c>
      <c r="FA3" t="s">
        <v>1025</v>
      </c>
      <c r="FB3" t="s">
        <v>1026</v>
      </c>
      <c r="FC3" t="s">
        <v>1027</v>
      </c>
      <c r="FD3" t="s">
        <v>1028</v>
      </c>
      <c r="FE3" t="s">
        <v>1029</v>
      </c>
      <c r="FF3" t="s">
        <v>1030</v>
      </c>
      <c r="FG3" t="s">
        <v>1031</v>
      </c>
      <c r="FH3" t="s">
        <v>1032</v>
      </c>
      <c r="FI3" t="s">
        <v>1033</v>
      </c>
      <c r="FJ3" t="s">
        <v>1034</v>
      </c>
      <c r="FK3" t="s">
        <v>1035</v>
      </c>
      <c r="FL3" t="s">
        <v>1036</v>
      </c>
      <c r="FM3" t="s">
        <v>1037</v>
      </c>
      <c r="FN3" t="s">
        <v>1038</v>
      </c>
      <c r="FO3" t="s">
        <v>1039</v>
      </c>
      <c r="FP3" t="s">
        <v>1040</v>
      </c>
      <c r="FQ3" t="s">
        <v>1041</v>
      </c>
      <c r="FR3" t="s">
        <v>1042</v>
      </c>
      <c r="FS3" t="s">
        <v>1043</v>
      </c>
      <c r="FT3" t="s">
        <v>1044</v>
      </c>
      <c r="FU3" t="s">
        <v>1045</v>
      </c>
      <c r="FV3" t="s">
        <v>1046</v>
      </c>
      <c r="FW3" t="s">
        <v>1047</v>
      </c>
      <c r="FX3" t="s">
        <v>1048</v>
      </c>
      <c r="FY3" t="s">
        <v>1049</v>
      </c>
      <c r="FZ3" t="s">
        <v>1050</v>
      </c>
      <c r="GA3" t="s">
        <v>1051</v>
      </c>
      <c r="GB3" t="s">
        <v>1052</v>
      </c>
      <c r="GC3" t="s">
        <v>1053</v>
      </c>
      <c r="GD3" t="s">
        <v>1054</v>
      </c>
      <c r="GE3" t="s">
        <v>1055</v>
      </c>
      <c r="GF3" t="s">
        <v>1056</v>
      </c>
      <c r="GG3" t="s">
        <v>1057</v>
      </c>
      <c r="GH3" t="s">
        <v>1058</v>
      </c>
      <c r="GI3" t="s">
        <v>1059</v>
      </c>
      <c r="GJ3" t="s">
        <v>1060</v>
      </c>
      <c r="GK3" t="s">
        <v>1061</v>
      </c>
      <c r="GL3" t="s">
        <v>1062</v>
      </c>
      <c r="GM3" t="s">
        <v>1063</v>
      </c>
    </row>
    <row r="4" spans="1:196" x14ac:dyDescent="0.25">
      <c r="A4" s="4">
        <f>DATE(2024,9,30)</f>
        <v>45565</v>
      </c>
    </row>
    <row r="5" spans="1:196" x14ac:dyDescent="0.25">
      <c r="A5" s="4">
        <f>DATE(2024,9,27)</f>
        <v>45562</v>
      </c>
    </row>
    <row r="6" spans="1:196" x14ac:dyDescent="0.25">
      <c r="A6" s="4">
        <f>DATE(2024,9,26)</f>
        <v>45561</v>
      </c>
      <c r="GN6">
        <f t="shared" ref="GN6:GN37" si="0">SUMPRODUCT(C6:GM6)</f>
        <v>0</v>
      </c>
    </row>
    <row r="7" spans="1:196" x14ac:dyDescent="0.25">
      <c r="A7" s="4">
        <f>DATE(2024,9,25)</f>
        <v>45560</v>
      </c>
      <c r="GN7">
        <f t="shared" si="0"/>
        <v>0</v>
      </c>
    </row>
    <row r="8" spans="1:196" x14ac:dyDescent="0.25">
      <c r="A8" s="4">
        <f>DATE(2024,9,24)</f>
        <v>45559</v>
      </c>
      <c r="GN8">
        <f t="shared" si="0"/>
        <v>0</v>
      </c>
    </row>
    <row r="9" spans="1:196" x14ac:dyDescent="0.25">
      <c r="A9" s="4">
        <f>DATE(2024,9,23)</f>
        <v>45558</v>
      </c>
      <c r="GN9">
        <f t="shared" si="0"/>
        <v>0</v>
      </c>
    </row>
    <row r="10" spans="1:196" x14ac:dyDescent="0.25">
      <c r="A10" s="4">
        <f>DATE(2024,9,20)</f>
        <v>45555</v>
      </c>
      <c r="GN10">
        <f t="shared" si="0"/>
        <v>0</v>
      </c>
    </row>
    <row r="11" spans="1:196" x14ac:dyDescent="0.25">
      <c r="A11" s="4">
        <f>DATE(2024,9,19)</f>
        <v>45554</v>
      </c>
      <c r="GN11">
        <f t="shared" si="0"/>
        <v>0</v>
      </c>
    </row>
    <row r="12" spans="1:196" x14ac:dyDescent="0.25">
      <c r="A12" s="4">
        <f>DATE(2024,9,18)</f>
        <v>45553</v>
      </c>
      <c r="GN12">
        <f t="shared" si="0"/>
        <v>0</v>
      </c>
    </row>
    <row r="13" spans="1:196" x14ac:dyDescent="0.25">
      <c r="A13" s="4">
        <f>DATE(2024,9,17)</f>
        <v>45552</v>
      </c>
      <c r="GN13">
        <f t="shared" si="0"/>
        <v>0</v>
      </c>
    </row>
    <row r="14" spans="1:196" x14ac:dyDescent="0.25">
      <c r="A14" s="4">
        <f>DATE(2024,9,16)</f>
        <v>45551</v>
      </c>
      <c r="GN14">
        <f t="shared" si="0"/>
        <v>0</v>
      </c>
    </row>
    <row r="15" spans="1:196" x14ac:dyDescent="0.25">
      <c r="A15" s="4">
        <f>DATE(2024,9,13)</f>
        <v>45548</v>
      </c>
      <c r="GN15">
        <f t="shared" si="0"/>
        <v>0</v>
      </c>
    </row>
    <row r="16" spans="1:196" x14ac:dyDescent="0.25">
      <c r="A16" s="4">
        <f>DATE(2024,9,12)</f>
        <v>45547</v>
      </c>
      <c r="GN16">
        <f t="shared" si="0"/>
        <v>0</v>
      </c>
    </row>
    <row r="17" spans="1:196" x14ac:dyDescent="0.25">
      <c r="A17" s="4">
        <f>DATE(2024,9,11)</f>
        <v>45546</v>
      </c>
      <c r="GN17">
        <f t="shared" si="0"/>
        <v>0</v>
      </c>
    </row>
    <row r="18" spans="1:196" x14ac:dyDescent="0.25">
      <c r="A18" s="4">
        <f>DATE(2024,9,10)</f>
        <v>45545</v>
      </c>
      <c r="GN18">
        <f t="shared" si="0"/>
        <v>0</v>
      </c>
    </row>
    <row r="19" spans="1:196" x14ac:dyDescent="0.25">
      <c r="A19" s="4">
        <f>DATE(2024,9,9)</f>
        <v>45544</v>
      </c>
      <c r="GN19">
        <f t="shared" si="0"/>
        <v>0</v>
      </c>
    </row>
    <row r="20" spans="1:196" x14ac:dyDescent="0.25">
      <c r="A20" s="4">
        <f>DATE(2024,9,6)</f>
        <v>45541</v>
      </c>
      <c r="GN20">
        <f t="shared" si="0"/>
        <v>0</v>
      </c>
    </row>
    <row r="21" spans="1:196" x14ac:dyDescent="0.25">
      <c r="A21" s="4">
        <f>DATE(2024,9,5)</f>
        <v>45540</v>
      </c>
      <c r="GN21">
        <f t="shared" si="0"/>
        <v>0</v>
      </c>
    </row>
    <row r="22" spans="1:196" x14ac:dyDescent="0.25">
      <c r="A22" s="4">
        <f>DATE(2024,9,4)</f>
        <v>45539</v>
      </c>
      <c r="GN22">
        <f t="shared" si="0"/>
        <v>0</v>
      </c>
    </row>
    <row r="23" spans="1:196" x14ac:dyDescent="0.25">
      <c r="A23" s="4">
        <f>DATE(2024,9,3)</f>
        <v>45538</v>
      </c>
      <c r="GN23">
        <f t="shared" si="0"/>
        <v>0</v>
      </c>
    </row>
    <row r="24" spans="1:196" x14ac:dyDescent="0.25">
      <c r="A24" s="4">
        <f>DATE(2024,9,2)</f>
        <v>45537</v>
      </c>
      <c r="GN24">
        <f t="shared" si="0"/>
        <v>0</v>
      </c>
    </row>
    <row r="25" spans="1:196" x14ac:dyDescent="0.25">
      <c r="A25" s="4">
        <f>DATE(2024,8,30)</f>
        <v>45534</v>
      </c>
      <c r="GN25">
        <f t="shared" si="0"/>
        <v>0</v>
      </c>
    </row>
    <row r="26" spans="1:196" x14ac:dyDescent="0.25">
      <c r="A26" s="4">
        <f>DATE(2024,8,29)</f>
        <v>45533</v>
      </c>
      <c r="GN26">
        <f t="shared" si="0"/>
        <v>0</v>
      </c>
    </row>
    <row r="27" spans="1:196" x14ac:dyDescent="0.25">
      <c r="A27" s="4">
        <f>DATE(2024,8,28)</f>
        <v>45532</v>
      </c>
      <c r="GN27">
        <f t="shared" si="0"/>
        <v>0</v>
      </c>
    </row>
    <row r="28" spans="1:196" x14ac:dyDescent="0.25">
      <c r="A28" s="4">
        <f>DATE(2024,8,27)</f>
        <v>45531</v>
      </c>
      <c r="GN28">
        <f t="shared" si="0"/>
        <v>0</v>
      </c>
    </row>
    <row r="29" spans="1:196" x14ac:dyDescent="0.25">
      <c r="A29" s="4">
        <f>DATE(2024,8,26)</f>
        <v>45530</v>
      </c>
      <c r="GN29">
        <f t="shared" si="0"/>
        <v>0</v>
      </c>
    </row>
    <row r="30" spans="1:196" x14ac:dyDescent="0.25">
      <c r="A30" s="4">
        <f>DATE(2024,8,23)</f>
        <v>45527</v>
      </c>
      <c r="GN30">
        <f t="shared" si="0"/>
        <v>0</v>
      </c>
    </row>
    <row r="31" spans="1:196" x14ac:dyDescent="0.25">
      <c r="A31" s="4">
        <f>DATE(2024,8,22)</f>
        <v>45526</v>
      </c>
      <c r="GN31">
        <f t="shared" si="0"/>
        <v>0</v>
      </c>
    </row>
    <row r="32" spans="1:196" x14ac:dyDescent="0.25">
      <c r="A32" s="4">
        <f>DATE(2024,8,21)</f>
        <v>45525</v>
      </c>
      <c r="GN32">
        <f t="shared" si="0"/>
        <v>0</v>
      </c>
    </row>
    <row r="33" spans="1:196" x14ac:dyDescent="0.25">
      <c r="A33" s="4">
        <f>DATE(2024,8,20)</f>
        <v>45524</v>
      </c>
      <c r="GN33">
        <f t="shared" si="0"/>
        <v>0</v>
      </c>
    </row>
    <row r="34" spans="1:196" x14ac:dyDescent="0.25">
      <c r="A34" s="4">
        <f>DATE(2024,8,19)</f>
        <v>45523</v>
      </c>
      <c r="GN34">
        <f t="shared" si="0"/>
        <v>0</v>
      </c>
    </row>
    <row r="35" spans="1:196" x14ac:dyDescent="0.25">
      <c r="A35" s="4">
        <f>DATE(2024,8,16)</f>
        <v>45520</v>
      </c>
      <c r="GN35">
        <f t="shared" si="0"/>
        <v>0</v>
      </c>
    </row>
    <row r="36" spans="1:196" x14ac:dyDescent="0.25">
      <c r="A36" s="4">
        <f>DATE(2024,8,15)</f>
        <v>45519</v>
      </c>
      <c r="GN36">
        <f t="shared" si="0"/>
        <v>0</v>
      </c>
    </row>
    <row r="37" spans="1:196" x14ac:dyDescent="0.25">
      <c r="A37" s="4">
        <f>DATE(2024,8,14)</f>
        <v>45518</v>
      </c>
      <c r="GN37">
        <f t="shared" si="0"/>
        <v>0</v>
      </c>
    </row>
    <row r="38" spans="1:196" x14ac:dyDescent="0.25">
      <c r="A38" s="4">
        <f>DATE(2024,8,13)</f>
        <v>45517</v>
      </c>
      <c r="GN38">
        <f t="shared" ref="GN38:GN69" si="1">SUMPRODUCT(C38:GM38)</f>
        <v>0</v>
      </c>
    </row>
    <row r="39" spans="1:196" x14ac:dyDescent="0.25">
      <c r="A39" s="4">
        <f>DATE(2024,8,12)</f>
        <v>45516</v>
      </c>
      <c r="GN39">
        <f t="shared" si="1"/>
        <v>0</v>
      </c>
    </row>
    <row r="40" spans="1:196" x14ac:dyDescent="0.25">
      <c r="A40" s="4">
        <f>DATE(2024,8,9)</f>
        <v>45513</v>
      </c>
      <c r="GN40">
        <f t="shared" si="1"/>
        <v>0</v>
      </c>
    </row>
    <row r="41" spans="1:196" x14ac:dyDescent="0.25">
      <c r="A41" s="4">
        <f>DATE(2024,8,8)</f>
        <v>45512</v>
      </c>
      <c r="GN41">
        <f t="shared" si="1"/>
        <v>0</v>
      </c>
    </row>
    <row r="42" spans="1:196" x14ac:dyDescent="0.25">
      <c r="A42" s="4">
        <f>DATE(2024,8,7)</f>
        <v>45511</v>
      </c>
      <c r="GN42">
        <f t="shared" si="1"/>
        <v>0</v>
      </c>
    </row>
    <row r="43" spans="1:196" x14ac:dyDescent="0.25">
      <c r="A43" s="4">
        <f>DATE(2024,8,6)</f>
        <v>45510</v>
      </c>
      <c r="GN43">
        <f t="shared" si="1"/>
        <v>0</v>
      </c>
    </row>
    <row r="44" spans="1:196" x14ac:dyDescent="0.25">
      <c r="A44" s="4">
        <f>DATE(2024,8,5)</f>
        <v>45509</v>
      </c>
      <c r="GN44">
        <f t="shared" si="1"/>
        <v>0</v>
      </c>
    </row>
    <row r="45" spans="1:196" x14ac:dyDescent="0.25">
      <c r="A45" s="4">
        <f>DATE(2024,8,2)</f>
        <v>45506</v>
      </c>
      <c r="GN45">
        <f t="shared" si="1"/>
        <v>0</v>
      </c>
    </row>
    <row r="46" spans="1:196" x14ac:dyDescent="0.25">
      <c r="A46" s="4">
        <f>DATE(2024,8,1)</f>
        <v>45505</v>
      </c>
      <c r="GN46">
        <f t="shared" si="1"/>
        <v>0</v>
      </c>
    </row>
    <row r="47" spans="1:196" x14ac:dyDescent="0.25">
      <c r="A47" s="4">
        <f>DATE(2024,7,31)</f>
        <v>45504</v>
      </c>
      <c r="GN47">
        <f t="shared" si="1"/>
        <v>0</v>
      </c>
    </row>
    <row r="48" spans="1:196" x14ac:dyDescent="0.25">
      <c r="A48" s="4">
        <f>DATE(2024,7,30)</f>
        <v>45503</v>
      </c>
      <c r="GN48">
        <f t="shared" si="1"/>
        <v>0</v>
      </c>
    </row>
    <row r="49" spans="1:196" x14ac:dyDescent="0.25">
      <c r="A49" s="4">
        <f>DATE(2024,7,29)</f>
        <v>45502</v>
      </c>
      <c r="GN49">
        <f t="shared" si="1"/>
        <v>0</v>
      </c>
    </row>
    <row r="50" spans="1:196" x14ac:dyDescent="0.25">
      <c r="A50" s="4">
        <f>DATE(2024,7,26)</f>
        <v>45499</v>
      </c>
      <c r="GN50">
        <f t="shared" si="1"/>
        <v>0</v>
      </c>
    </row>
    <row r="51" spans="1:196" x14ac:dyDescent="0.25">
      <c r="A51" s="4">
        <f>DATE(2024,7,25)</f>
        <v>45498</v>
      </c>
      <c r="B51">
        <v>0</v>
      </c>
      <c r="CE51">
        <v>300</v>
      </c>
      <c r="CO51">
        <v>2525</v>
      </c>
      <c r="CU51">
        <v>30</v>
      </c>
      <c r="CW51">
        <v>30</v>
      </c>
      <c r="CY51">
        <v>4925</v>
      </c>
      <c r="DA51">
        <v>30</v>
      </c>
      <c r="DC51">
        <v>40</v>
      </c>
      <c r="DD51">
        <v>3000</v>
      </c>
      <c r="DE51">
        <v>70</v>
      </c>
      <c r="DG51">
        <v>30</v>
      </c>
      <c r="DI51">
        <v>10165</v>
      </c>
      <c r="DM51">
        <v>40</v>
      </c>
      <c r="DQ51">
        <v>40</v>
      </c>
      <c r="DS51">
        <v>7525</v>
      </c>
      <c r="DU51">
        <v>40</v>
      </c>
      <c r="EC51">
        <v>4625</v>
      </c>
      <c r="EM51">
        <v>13400</v>
      </c>
      <c r="EW51">
        <v>6737</v>
      </c>
      <c r="FG51">
        <v>9300</v>
      </c>
      <c r="FQ51">
        <v>3750</v>
      </c>
      <c r="GK51">
        <v>600</v>
      </c>
      <c r="GN51">
        <f t="shared" si="1"/>
        <v>67202</v>
      </c>
    </row>
    <row r="52" spans="1:196" x14ac:dyDescent="0.25">
      <c r="A52" s="4">
        <f>DATE(2024,7,24)</f>
        <v>45497</v>
      </c>
      <c r="B52">
        <v>372504</v>
      </c>
      <c r="CE52">
        <v>300</v>
      </c>
      <c r="CO52">
        <v>2525</v>
      </c>
      <c r="CU52">
        <v>30</v>
      </c>
      <c r="CW52">
        <v>30</v>
      </c>
      <c r="CY52">
        <v>4925</v>
      </c>
      <c r="DA52">
        <v>30</v>
      </c>
      <c r="DC52">
        <v>40</v>
      </c>
      <c r="DD52">
        <v>4000</v>
      </c>
      <c r="DE52">
        <v>70</v>
      </c>
      <c r="DG52">
        <v>30</v>
      </c>
      <c r="DI52">
        <v>8215</v>
      </c>
      <c r="DM52">
        <v>40</v>
      </c>
      <c r="DQ52">
        <v>40</v>
      </c>
      <c r="DS52">
        <v>6525</v>
      </c>
      <c r="DU52">
        <v>40</v>
      </c>
      <c r="EC52">
        <v>4625</v>
      </c>
      <c r="EM52">
        <v>13400</v>
      </c>
      <c r="EW52">
        <v>6737</v>
      </c>
      <c r="FG52">
        <v>9300</v>
      </c>
      <c r="FQ52">
        <v>3750</v>
      </c>
      <c r="GK52">
        <v>600</v>
      </c>
      <c r="GN52">
        <f t="shared" si="1"/>
        <v>65252</v>
      </c>
    </row>
    <row r="53" spans="1:196" x14ac:dyDescent="0.25">
      <c r="A53" s="4">
        <f>DATE(2024,7,23)</f>
        <v>45496</v>
      </c>
      <c r="B53">
        <v>372909</v>
      </c>
      <c r="CE53">
        <v>300</v>
      </c>
      <c r="CO53">
        <v>2425</v>
      </c>
      <c r="CU53">
        <v>30</v>
      </c>
      <c r="CW53">
        <v>30</v>
      </c>
      <c r="CY53">
        <v>4925</v>
      </c>
      <c r="DA53">
        <v>30</v>
      </c>
      <c r="DC53">
        <v>40</v>
      </c>
      <c r="DD53">
        <v>4000</v>
      </c>
      <c r="DE53">
        <v>70</v>
      </c>
      <c r="DG53">
        <v>30</v>
      </c>
      <c r="DI53">
        <v>8215</v>
      </c>
      <c r="DM53">
        <v>40</v>
      </c>
      <c r="DQ53">
        <v>40</v>
      </c>
      <c r="DS53">
        <v>6525</v>
      </c>
      <c r="DU53">
        <v>40</v>
      </c>
      <c r="EC53">
        <v>4625</v>
      </c>
      <c r="EM53">
        <v>13400</v>
      </c>
      <c r="EW53">
        <v>6737</v>
      </c>
      <c r="FG53">
        <v>9300</v>
      </c>
      <c r="FQ53">
        <v>3750</v>
      </c>
      <c r="GK53">
        <v>600</v>
      </c>
      <c r="GN53">
        <f t="shared" si="1"/>
        <v>65152</v>
      </c>
    </row>
    <row r="54" spans="1:196" x14ac:dyDescent="0.25">
      <c r="A54" s="4">
        <f>DATE(2024,7,22)</f>
        <v>45495</v>
      </c>
      <c r="B54">
        <v>372152</v>
      </c>
      <c r="CE54">
        <v>300</v>
      </c>
      <c r="CO54">
        <v>2275</v>
      </c>
      <c r="CU54">
        <v>30</v>
      </c>
      <c r="CW54">
        <v>30</v>
      </c>
      <c r="CY54">
        <v>4925</v>
      </c>
      <c r="DA54">
        <v>30</v>
      </c>
      <c r="DC54">
        <v>40</v>
      </c>
      <c r="DD54">
        <v>4000</v>
      </c>
      <c r="DE54">
        <v>70</v>
      </c>
      <c r="DG54">
        <v>30</v>
      </c>
      <c r="DI54">
        <v>8215</v>
      </c>
      <c r="DM54">
        <v>40</v>
      </c>
      <c r="DQ54">
        <v>40</v>
      </c>
      <c r="DS54">
        <v>6525</v>
      </c>
      <c r="DU54">
        <v>40</v>
      </c>
      <c r="EC54">
        <v>4625</v>
      </c>
      <c r="EM54">
        <v>13400</v>
      </c>
      <c r="EW54">
        <v>6737</v>
      </c>
      <c r="FG54">
        <v>9300</v>
      </c>
      <c r="FQ54">
        <v>3750</v>
      </c>
      <c r="GA54">
        <v>200</v>
      </c>
      <c r="GK54">
        <v>600</v>
      </c>
      <c r="GN54">
        <f t="shared" si="1"/>
        <v>65202</v>
      </c>
    </row>
    <row r="55" spans="1:196" x14ac:dyDescent="0.25">
      <c r="A55" s="4">
        <f>DATE(2024,7,19)</f>
        <v>45492</v>
      </c>
      <c r="B55">
        <v>368656</v>
      </c>
      <c r="CE55">
        <v>300</v>
      </c>
      <c r="CO55">
        <v>2275</v>
      </c>
      <c r="CU55">
        <v>30</v>
      </c>
      <c r="CW55">
        <v>30</v>
      </c>
      <c r="CY55">
        <v>4925</v>
      </c>
      <c r="DA55">
        <v>30</v>
      </c>
      <c r="DC55">
        <v>40</v>
      </c>
      <c r="DD55">
        <v>4000</v>
      </c>
      <c r="DE55">
        <v>70</v>
      </c>
      <c r="DG55">
        <v>30</v>
      </c>
      <c r="DI55">
        <v>7715</v>
      </c>
      <c r="DM55">
        <v>40</v>
      </c>
      <c r="DQ55">
        <v>40</v>
      </c>
      <c r="DS55">
        <v>6525</v>
      </c>
      <c r="DU55">
        <v>40</v>
      </c>
      <c r="EC55">
        <v>4625</v>
      </c>
      <c r="EM55">
        <v>13400</v>
      </c>
      <c r="EW55">
        <v>5737</v>
      </c>
      <c r="FG55">
        <v>9300</v>
      </c>
      <c r="FQ55">
        <v>3750</v>
      </c>
      <c r="GA55">
        <v>200</v>
      </c>
      <c r="GK55">
        <v>600</v>
      </c>
      <c r="GN55">
        <f t="shared" si="1"/>
        <v>63702</v>
      </c>
    </row>
    <row r="56" spans="1:196" x14ac:dyDescent="0.25">
      <c r="A56" s="4">
        <f>DATE(2024,7,18)</f>
        <v>45491</v>
      </c>
      <c r="B56">
        <v>367825</v>
      </c>
      <c r="CE56">
        <v>300</v>
      </c>
      <c r="CO56">
        <v>2275</v>
      </c>
      <c r="CU56">
        <v>30</v>
      </c>
      <c r="CW56">
        <v>30</v>
      </c>
      <c r="CY56">
        <v>4925</v>
      </c>
      <c r="DA56">
        <v>30</v>
      </c>
      <c r="DC56">
        <v>40</v>
      </c>
      <c r="DD56">
        <v>4000</v>
      </c>
      <c r="DE56">
        <v>70</v>
      </c>
      <c r="DG56">
        <v>30</v>
      </c>
      <c r="DI56">
        <v>7715</v>
      </c>
      <c r="DM56">
        <v>40</v>
      </c>
      <c r="DQ56">
        <v>40</v>
      </c>
      <c r="DS56">
        <v>6525</v>
      </c>
      <c r="DU56">
        <v>40</v>
      </c>
      <c r="EC56">
        <v>4625</v>
      </c>
      <c r="EM56">
        <v>13400</v>
      </c>
      <c r="EW56">
        <v>5737</v>
      </c>
      <c r="FG56">
        <v>9300</v>
      </c>
      <c r="FQ56">
        <v>3750</v>
      </c>
      <c r="GA56">
        <v>200</v>
      </c>
      <c r="GK56">
        <v>600</v>
      </c>
      <c r="GN56">
        <f t="shared" si="1"/>
        <v>63702</v>
      </c>
    </row>
    <row r="57" spans="1:196" x14ac:dyDescent="0.25">
      <c r="A57" s="4">
        <f>DATE(2024,7,17)</f>
        <v>45490</v>
      </c>
      <c r="B57">
        <v>366585</v>
      </c>
      <c r="CE57">
        <v>300</v>
      </c>
      <c r="CO57">
        <v>2275</v>
      </c>
      <c r="CU57">
        <v>30</v>
      </c>
      <c r="CW57">
        <v>30</v>
      </c>
      <c r="CY57">
        <v>4925</v>
      </c>
      <c r="DA57">
        <v>30</v>
      </c>
      <c r="DC57">
        <v>40</v>
      </c>
      <c r="DD57">
        <v>4000</v>
      </c>
      <c r="DE57">
        <v>70</v>
      </c>
      <c r="DG57">
        <v>30</v>
      </c>
      <c r="DI57">
        <v>7715</v>
      </c>
      <c r="DM57">
        <v>40</v>
      </c>
      <c r="DQ57">
        <v>40</v>
      </c>
      <c r="DS57">
        <v>6275</v>
      </c>
      <c r="DU57">
        <v>40</v>
      </c>
      <c r="EC57">
        <v>4625</v>
      </c>
      <c r="EM57">
        <v>13650</v>
      </c>
      <c r="EW57">
        <v>5737</v>
      </c>
      <c r="FG57">
        <v>9300</v>
      </c>
      <c r="FQ57">
        <v>3750</v>
      </c>
      <c r="GA57">
        <v>200</v>
      </c>
      <c r="GK57">
        <v>600</v>
      </c>
      <c r="GN57">
        <f t="shared" si="1"/>
        <v>63702</v>
      </c>
    </row>
    <row r="58" spans="1:196" x14ac:dyDescent="0.25">
      <c r="A58" s="4">
        <f>DATE(2024,7,16)</f>
        <v>45489</v>
      </c>
      <c r="B58">
        <v>363416</v>
      </c>
      <c r="CE58">
        <v>300</v>
      </c>
      <c r="CO58">
        <v>2275</v>
      </c>
      <c r="CY58">
        <v>4925</v>
      </c>
      <c r="DC58">
        <v>40</v>
      </c>
      <c r="DD58">
        <v>4000</v>
      </c>
      <c r="DE58">
        <v>40</v>
      </c>
      <c r="DI58">
        <v>7715</v>
      </c>
      <c r="DM58">
        <v>40</v>
      </c>
      <c r="DQ58">
        <v>40</v>
      </c>
      <c r="DS58">
        <v>6275</v>
      </c>
      <c r="DU58">
        <v>40</v>
      </c>
      <c r="EC58">
        <v>4625</v>
      </c>
      <c r="EM58">
        <v>13150</v>
      </c>
      <c r="EW58">
        <v>5737</v>
      </c>
      <c r="FG58">
        <v>9300</v>
      </c>
      <c r="FQ58">
        <v>3750</v>
      </c>
      <c r="GA58">
        <v>200</v>
      </c>
      <c r="GK58">
        <v>600</v>
      </c>
      <c r="GN58">
        <f t="shared" si="1"/>
        <v>63052</v>
      </c>
    </row>
    <row r="59" spans="1:196" x14ac:dyDescent="0.25">
      <c r="A59" s="4">
        <f>DATE(2024,7,15)</f>
        <v>45488</v>
      </c>
      <c r="B59">
        <v>363566</v>
      </c>
      <c r="CE59">
        <v>300</v>
      </c>
      <c r="CO59">
        <v>2275</v>
      </c>
      <c r="CY59">
        <v>4925</v>
      </c>
      <c r="DC59">
        <v>40</v>
      </c>
      <c r="DD59">
        <v>4000</v>
      </c>
      <c r="DE59">
        <v>40</v>
      </c>
      <c r="DI59">
        <v>7715</v>
      </c>
      <c r="DM59">
        <v>40</v>
      </c>
      <c r="DQ59">
        <v>40</v>
      </c>
      <c r="DS59">
        <v>6275</v>
      </c>
      <c r="DU59">
        <v>40</v>
      </c>
      <c r="EC59">
        <v>4625</v>
      </c>
      <c r="EM59">
        <v>13150</v>
      </c>
      <c r="EW59">
        <v>5737</v>
      </c>
      <c r="FG59">
        <v>9300</v>
      </c>
      <c r="FQ59">
        <v>3750</v>
      </c>
      <c r="GA59">
        <v>200</v>
      </c>
      <c r="GK59">
        <v>600</v>
      </c>
      <c r="GN59">
        <f t="shared" si="1"/>
        <v>63052</v>
      </c>
    </row>
    <row r="60" spans="1:196" x14ac:dyDescent="0.25">
      <c r="A60" s="4">
        <f>DATE(2024,7,12)</f>
        <v>45485</v>
      </c>
      <c r="B60">
        <v>362207</v>
      </c>
      <c r="CE60">
        <v>300</v>
      </c>
      <c r="CO60">
        <v>2275</v>
      </c>
      <c r="CY60">
        <v>4925</v>
      </c>
      <c r="DC60">
        <v>40</v>
      </c>
      <c r="DD60">
        <v>4000</v>
      </c>
      <c r="DE60">
        <v>40</v>
      </c>
      <c r="DI60">
        <v>7715</v>
      </c>
      <c r="DM60">
        <v>40</v>
      </c>
      <c r="DQ60">
        <v>40</v>
      </c>
      <c r="DS60">
        <v>6275</v>
      </c>
      <c r="DU60">
        <v>40</v>
      </c>
      <c r="EC60">
        <v>4625</v>
      </c>
      <c r="EM60">
        <v>13150</v>
      </c>
      <c r="EW60">
        <v>5737</v>
      </c>
      <c r="FG60">
        <v>9300</v>
      </c>
      <c r="FQ60">
        <v>3750</v>
      </c>
      <c r="GA60">
        <v>200</v>
      </c>
      <c r="GK60">
        <v>600</v>
      </c>
      <c r="GN60">
        <f t="shared" si="1"/>
        <v>63052</v>
      </c>
    </row>
    <row r="61" spans="1:196" x14ac:dyDescent="0.25">
      <c r="A61" s="4">
        <f>DATE(2024,7,11)</f>
        <v>45484</v>
      </c>
      <c r="B61">
        <v>363359</v>
      </c>
      <c r="CE61">
        <v>300</v>
      </c>
      <c r="CO61">
        <v>2275</v>
      </c>
      <c r="CY61">
        <v>4200</v>
      </c>
      <c r="DC61">
        <v>40</v>
      </c>
      <c r="DD61">
        <v>4000</v>
      </c>
      <c r="DE61">
        <v>40</v>
      </c>
      <c r="DI61">
        <v>7715</v>
      </c>
      <c r="DM61">
        <v>40</v>
      </c>
      <c r="DQ61">
        <v>40</v>
      </c>
      <c r="DS61">
        <v>5250</v>
      </c>
      <c r="DU61">
        <v>40</v>
      </c>
      <c r="EC61">
        <v>4600</v>
      </c>
      <c r="EM61">
        <v>13100</v>
      </c>
      <c r="EW61">
        <v>5737</v>
      </c>
      <c r="FG61">
        <v>9300</v>
      </c>
      <c r="FQ61">
        <v>3750</v>
      </c>
      <c r="GA61">
        <v>200</v>
      </c>
      <c r="GK61">
        <v>600</v>
      </c>
      <c r="GN61">
        <f t="shared" si="1"/>
        <v>61227</v>
      </c>
    </row>
    <row r="62" spans="1:196" x14ac:dyDescent="0.25">
      <c r="A62" s="4">
        <f>DATE(2024,7,10)</f>
        <v>45483</v>
      </c>
      <c r="B62">
        <v>363609</v>
      </c>
      <c r="CE62">
        <v>300</v>
      </c>
      <c r="CO62">
        <v>2275</v>
      </c>
      <c r="CY62">
        <v>3950</v>
      </c>
      <c r="DC62">
        <v>40</v>
      </c>
      <c r="DD62">
        <v>4000</v>
      </c>
      <c r="DE62">
        <v>40</v>
      </c>
      <c r="DI62">
        <v>7215</v>
      </c>
      <c r="DM62">
        <v>40</v>
      </c>
      <c r="DQ62">
        <v>40</v>
      </c>
      <c r="DS62">
        <v>5250</v>
      </c>
      <c r="DU62">
        <v>40</v>
      </c>
      <c r="EC62">
        <v>4600</v>
      </c>
      <c r="EM62">
        <v>13350</v>
      </c>
      <c r="EW62">
        <v>5737</v>
      </c>
      <c r="FG62">
        <v>9050</v>
      </c>
      <c r="FQ62">
        <v>3250</v>
      </c>
      <c r="GA62">
        <v>200</v>
      </c>
      <c r="GK62">
        <v>600</v>
      </c>
      <c r="GN62">
        <f t="shared" si="1"/>
        <v>59977</v>
      </c>
    </row>
    <row r="63" spans="1:196" x14ac:dyDescent="0.25">
      <c r="A63" s="4">
        <f>DATE(2024,7,9)</f>
        <v>45482</v>
      </c>
      <c r="B63">
        <v>362325</v>
      </c>
      <c r="CE63">
        <v>300</v>
      </c>
      <c r="CO63">
        <v>2250</v>
      </c>
      <c r="CY63">
        <v>3950</v>
      </c>
      <c r="DC63">
        <v>40</v>
      </c>
      <c r="DD63">
        <v>4000</v>
      </c>
      <c r="DE63">
        <v>40</v>
      </c>
      <c r="DI63">
        <v>7215</v>
      </c>
      <c r="DM63">
        <v>40</v>
      </c>
      <c r="DQ63">
        <v>40</v>
      </c>
      <c r="DS63">
        <v>5000</v>
      </c>
      <c r="DU63">
        <v>40</v>
      </c>
      <c r="EC63">
        <v>4325</v>
      </c>
      <c r="EM63">
        <v>14325</v>
      </c>
      <c r="EW63">
        <v>5737</v>
      </c>
      <c r="FG63">
        <v>7550</v>
      </c>
      <c r="FQ63">
        <v>1750</v>
      </c>
      <c r="GA63">
        <v>200</v>
      </c>
      <c r="GK63">
        <v>600</v>
      </c>
      <c r="GN63">
        <f t="shared" si="1"/>
        <v>57402</v>
      </c>
    </row>
    <row r="64" spans="1:196" x14ac:dyDescent="0.25">
      <c r="A64" s="4">
        <f>DATE(2024,7,8)</f>
        <v>45481</v>
      </c>
      <c r="B64">
        <v>361404</v>
      </c>
      <c r="CE64">
        <v>300</v>
      </c>
      <c r="CO64">
        <v>2250</v>
      </c>
      <c r="CY64">
        <v>3950</v>
      </c>
      <c r="DC64">
        <v>40</v>
      </c>
      <c r="DD64">
        <v>4000</v>
      </c>
      <c r="DE64">
        <v>40</v>
      </c>
      <c r="DI64">
        <v>7215</v>
      </c>
      <c r="DM64">
        <v>40</v>
      </c>
      <c r="DQ64">
        <v>40</v>
      </c>
      <c r="DS64">
        <v>3750</v>
      </c>
      <c r="DU64">
        <v>40</v>
      </c>
      <c r="EC64">
        <v>4325</v>
      </c>
      <c r="EM64">
        <v>13425</v>
      </c>
      <c r="EW64">
        <v>5737</v>
      </c>
      <c r="FG64">
        <v>6050</v>
      </c>
      <c r="FQ64">
        <v>250</v>
      </c>
      <c r="GA64">
        <v>200</v>
      </c>
      <c r="GK64">
        <v>600</v>
      </c>
      <c r="GN64">
        <f t="shared" si="1"/>
        <v>52252</v>
      </c>
    </row>
    <row r="65" spans="1:196" x14ac:dyDescent="0.25">
      <c r="A65" s="4">
        <f>DATE(2024,7,5)</f>
        <v>45478</v>
      </c>
      <c r="B65">
        <v>359688</v>
      </c>
      <c r="CE65">
        <v>300</v>
      </c>
      <c r="CO65">
        <v>2250</v>
      </c>
      <c r="CY65">
        <v>3950</v>
      </c>
      <c r="DC65">
        <v>40</v>
      </c>
      <c r="DD65">
        <v>4000</v>
      </c>
      <c r="DE65">
        <v>40</v>
      </c>
      <c r="DI65">
        <v>7215</v>
      </c>
      <c r="DM65">
        <v>40</v>
      </c>
      <c r="DQ65">
        <v>40</v>
      </c>
      <c r="DS65">
        <v>3750</v>
      </c>
      <c r="DU65">
        <v>40</v>
      </c>
      <c r="EC65">
        <v>4325</v>
      </c>
      <c r="EM65">
        <v>13425</v>
      </c>
      <c r="EW65">
        <v>5737</v>
      </c>
      <c r="FG65">
        <v>5800</v>
      </c>
      <c r="GA65">
        <v>200</v>
      </c>
      <c r="GK65">
        <v>600</v>
      </c>
      <c r="GN65">
        <f t="shared" si="1"/>
        <v>51752</v>
      </c>
    </row>
    <row r="66" spans="1:196" x14ac:dyDescent="0.25">
      <c r="A66" s="4">
        <f>DATE(2024,7,4)</f>
        <v>45477</v>
      </c>
      <c r="B66">
        <v>359778</v>
      </c>
      <c r="CE66">
        <v>300</v>
      </c>
      <c r="CO66">
        <v>2250</v>
      </c>
      <c r="CY66">
        <v>3300</v>
      </c>
      <c r="DC66">
        <v>40</v>
      </c>
      <c r="DD66">
        <v>4000</v>
      </c>
      <c r="DE66">
        <v>40</v>
      </c>
      <c r="DI66">
        <v>7215</v>
      </c>
      <c r="DM66">
        <v>40</v>
      </c>
      <c r="DQ66">
        <v>40</v>
      </c>
      <c r="DS66">
        <v>3750</v>
      </c>
      <c r="DU66">
        <v>40</v>
      </c>
      <c r="EC66">
        <v>4325</v>
      </c>
      <c r="EM66">
        <v>10925</v>
      </c>
      <c r="EW66">
        <v>5737</v>
      </c>
      <c r="FG66">
        <v>5800</v>
      </c>
      <c r="GA66">
        <v>200</v>
      </c>
      <c r="GK66">
        <v>600</v>
      </c>
      <c r="GN66">
        <f t="shared" si="1"/>
        <v>48602</v>
      </c>
    </row>
    <row r="67" spans="1:196" x14ac:dyDescent="0.25">
      <c r="A67" s="4">
        <f>DATE(2024,7,3)</f>
        <v>45476</v>
      </c>
      <c r="B67">
        <v>359447</v>
      </c>
      <c r="CE67">
        <v>300</v>
      </c>
      <c r="CO67">
        <v>2250</v>
      </c>
      <c r="CY67">
        <v>3300</v>
      </c>
      <c r="DC67">
        <v>40</v>
      </c>
      <c r="DD67">
        <v>4000</v>
      </c>
      <c r="DE67">
        <v>40</v>
      </c>
      <c r="DI67">
        <v>5215</v>
      </c>
      <c r="DM67">
        <v>40</v>
      </c>
      <c r="DQ67">
        <v>40</v>
      </c>
      <c r="DS67">
        <v>3750</v>
      </c>
      <c r="DU67">
        <v>40</v>
      </c>
      <c r="EC67">
        <v>4325</v>
      </c>
      <c r="EM67">
        <v>11225</v>
      </c>
      <c r="EW67">
        <v>5737</v>
      </c>
      <c r="FG67">
        <v>6000</v>
      </c>
      <c r="GA67">
        <v>200</v>
      </c>
      <c r="GK67">
        <v>600</v>
      </c>
      <c r="GN67">
        <f t="shared" si="1"/>
        <v>47102</v>
      </c>
    </row>
    <row r="68" spans="1:196" x14ac:dyDescent="0.25">
      <c r="A68" s="4">
        <f>DATE(2024,7,2)</f>
        <v>45475</v>
      </c>
      <c r="B68">
        <v>358571</v>
      </c>
      <c r="CE68">
        <v>300</v>
      </c>
      <c r="CO68">
        <v>2250</v>
      </c>
      <c r="CY68">
        <v>2623</v>
      </c>
      <c r="DC68">
        <v>40</v>
      </c>
      <c r="DD68">
        <v>4000</v>
      </c>
      <c r="DE68">
        <v>40</v>
      </c>
      <c r="DI68">
        <v>5040</v>
      </c>
      <c r="DM68">
        <v>40</v>
      </c>
      <c r="DQ68">
        <v>40</v>
      </c>
      <c r="DS68">
        <v>3750</v>
      </c>
      <c r="DU68">
        <v>40</v>
      </c>
      <c r="EC68">
        <v>4350</v>
      </c>
      <c r="EM68">
        <v>11300</v>
      </c>
      <c r="EW68">
        <v>6477</v>
      </c>
      <c r="FG68">
        <v>5950</v>
      </c>
      <c r="GA68">
        <v>200</v>
      </c>
      <c r="GK68">
        <v>600</v>
      </c>
      <c r="GN68">
        <f t="shared" si="1"/>
        <v>47040</v>
      </c>
    </row>
    <row r="69" spans="1:196" x14ac:dyDescent="0.25">
      <c r="A69" s="4">
        <f>DATE(2024,7,1)</f>
        <v>45474</v>
      </c>
      <c r="B69">
        <v>357779</v>
      </c>
      <c r="CE69">
        <v>300</v>
      </c>
      <c r="CO69">
        <v>2250</v>
      </c>
      <c r="CY69">
        <v>2623</v>
      </c>
      <c r="DC69">
        <v>40</v>
      </c>
      <c r="DD69">
        <v>4000</v>
      </c>
      <c r="DE69">
        <v>40</v>
      </c>
      <c r="DI69">
        <v>5025</v>
      </c>
      <c r="DM69">
        <v>40</v>
      </c>
      <c r="DQ69">
        <v>40</v>
      </c>
      <c r="DS69">
        <v>3750</v>
      </c>
      <c r="DU69">
        <v>40</v>
      </c>
      <c r="EC69">
        <v>4350</v>
      </c>
      <c r="EM69">
        <v>10800</v>
      </c>
      <c r="EW69">
        <v>6077</v>
      </c>
      <c r="FG69">
        <v>5250</v>
      </c>
      <c r="GA69">
        <v>200</v>
      </c>
      <c r="GK69">
        <v>600</v>
      </c>
      <c r="GN69">
        <f t="shared" si="1"/>
        <v>45425</v>
      </c>
    </row>
    <row r="70" spans="1:196" x14ac:dyDescent="0.25">
      <c r="A70" s="4">
        <f>DATE(2024,6,28)</f>
        <v>45471</v>
      </c>
      <c r="B70">
        <v>357843</v>
      </c>
      <c r="CE70">
        <v>300</v>
      </c>
      <c r="CO70">
        <v>2250</v>
      </c>
      <c r="CY70">
        <v>2473</v>
      </c>
      <c r="DC70">
        <v>40</v>
      </c>
      <c r="DD70">
        <v>4000</v>
      </c>
      <c r="DE70">
        <v>40</v>
      </c>
      <c r="DI70">
        <v>5025</v>
      </c>
      <c r="DM70">
        <v>40</v>
      </c>
      <c r="DQ70">
        <v>40</v>
      </c>
      <c r="DS70">
        <v>3750</v>
      </c>
      <c r="DU70">
        <v>40</v>
      </c>
      <c r="EC70">
        <v>4350</v>
      </c>
      <c r="EM70">
        <v>10800</v>
      </c>
      <c r="EW70">
        <v>7450</v>
      </c>
      <c r="FG70">
        <v>7040</v>
      </c>
      <c r="GA70">
        <v>200</v>
      </c>
      <c r="GK70">
        <v>600</v>
      </c>
      <c r="GN70">
        <f t="shared" ref="GN70:GN76" si="2">SUMPRODUCT(C70:GM70)</f>
        <v>48438</v>
      </c>
    </row>
    <row r="71" spans="1:196" x14ac:dyDescent="0.25">
      <c r="A71" s="4">
        <f>DATE(2024,6,27)</f>
        <v>45470</v>
      </c>
      <c r="B71">
        <v>358346</v>
      </c>
      <c r="CE71">
        <v>300</v>
      </c>
      <c r="CO71">
        <v>2250</v>
      </c>
      <c r="CY71">
        <v>2473</v>
      </c>
      <c r="DC71">
        <v>40</v>
      </c>
      <c r="DD71">
        <v>4000</v>
      </c>
      <c r="DE71">
        <v>40</v>
      </c>
      <c r="DI71">
        <v>3525</v>
      </c>
      <c r="DM71">
        <v>40</v>
      </c>
      <c r="DQ71">
        <v>40</v>
      </c>
      <c r="DS71">
        <v>3300</v>
      </c>
      <c r="DU71">
        <v>40</v>
      </c>
      <c r="EC71">
        <v>5550</v>
      </c>
      <c r="EM71">
        <v>10800</v>
      </c>
      <c r="EW71">
        <v>7450</v>
      </c>
      <c r="FG71">
        <v>7040</v>
      </c>
      <c r="GA71">
        <v>200</v>
      </c>
      <c r="GK71">
        <v>600</v>
      </c>
      <c r="GN71">
        <f t="shared" si="2"/>
        <v>47688</v>
      </c>
    </row>
    <row r="72" spans="1:196" x14ac:dyDescent="0.25">
      <c r="A72" s="4">
        <f>DATE(2024,6,26)</f>
        <v>45469</v>
      </c>
      <c r="B72">
        <v>355843</v>
      </c>
      <c r="CE72">
        <v>300</v>
      </c>
      <c r="CO72">
        <v>2250</v>
      </c>
      <c r="CY72">
        <v>1523</v>
      </c>
      <c r="DC72">
        <v>40</v>
      </c>
      <c r="DD72">
        <v>4000</v>
      </c>
      <c r="DE72">
        <v>40</v>
      </c>
      <c r="DI72">
        <v>3425</v>
      </c>
      <c r="DM72">
        <v>40</v>
      </c>
      <c r="DQ72">
        <v>40</v>
      </c>
      <c r="DS72">
        <v>2750</v>
      </c>
      <c r="DU72">
        <v>40</v>
      </c>
      <c r="EC72">
        <v>5500</v>
      </c>
      <c r="EM72">
        <v>8250</v>
      </c>
      <c r="EW72">
        <v>3550</v>
      </c>
      <c r="FG72">
        <v>7040</v>
      </c>
      <c r="GA72">
        <v>200</v>
      </c>
      <c r="GK72">
        <v>600</v>
      </c>
      <c r="GN72">
        <f t="shared" si="2"/>
        <v>39588</v>
      </c>
    </row>
    <row r="73" spans="1:196" x14ac:dyDescent="0.25">
      <c r="A73" s="4">
        <f>DATE(2024,6,25)</f>
        <v>45468</v>
      </c>
      <c r="B73">
        <v>354577</v>
      </c>
      <c r="CE73">
        <v>300</v>
      </c>
      <c r="CO73">
        <v>2250</v>
      </c>
      <c r="CY73">
        <v>1523</v>
      </c>
      <c r="DC73">
        <v>40</v>
      </c>
      <c r="DD73">
        <v>4000</v>
      </c>
      <c r="DE73">
        <v>40</v>
      </c>
      <c r="DI73">
        <v>3425</v>
      </c>
      <c r="DM73">
        <v>40</v>
      </c>
      <c r="DQ73">
        <v>40</v>
      </c>
      <c r="DS73">
        <v>2750</v>
      </c>
      <c r="DU73">
        <v>40</v>
      </c>
      <c r="EC73">
        <v>5500</v>
      </c>
      <c r="EM73">
        <v>7800</v>
      </c>
      <c r="EW73">
        <v>3050</v>
      </c>
      <c r="FG73">
        <v>7040</v>
      </c>
      <c r="GA73">
        <v>200</v>
      </c>
      <c r="GK73">
        <v>600</v>
      </c>
      <c r="GN73">
        <f t="shared" si="2"/>
        <v>38638</v>
      </c>
    </row>
    <row r="74" spans="1:196" x14ac:dyDescent="0.25">
      <c r="A74" s="4">
        <f>DATE(2024,6,24)</f>
        <v>45467</v>
      </c>
      <c r="B74">
        <v>353485</v>
      </c>
      <c r="CE74">
        <v>300</v>
      </c>
      <c r="CO74">
        <v>2250</v>
      </c>
      <c r="CY74">
        <v>1523</v>
      </c>
      <c r="DC74">
        <v>40</v>
      </c>
      <c r="DD74">
        <v>4000</v>
      </c>
      <c r="DE74">
        <v>40</v>
      </c>
      <c r="DI74">
        <v>3400</v>
      </c>
      <c r="DM74">
        <v>40</v>
      </c>
      <c r="DQ74">
        <v>40</v>
      </c>
      <c r="DS74">
        <v>2750</v>
      </c>
      <c r="DU74">
        <v>40</v>
      </c>
      <c r="EC74">
        <v>5600</v>
      </c>
      <c r="EM74">
        <v>7800</v>
      </c>
      <c r="EW74">
        <v>2950</v>
      </c>
      <c r="FG74">
        <v>7040</v>
      </c>
      <c r="GA74">
        <v>200</v>
      </c>
      <c r="GK74">
        <v>600</v>
      </c>
      <c r="GN74">
        <f t="shared" si="2"/>
        <v>38613</v>
      </c>
    </row>
    <row r="75" spans="1:196" x14ac:dyDescent="0.25">
      <c r="A75" s="4">
        <f>DATE(2024,6,21)</f>
        <v>45464</v>
      </c>
      <c r="B75">
        <v>349260</v>
      </c>
      <c r="CE75">
        <v>300</v>
      </c>
      <c r="CO75">
        <v>2250</v>
      </c>
      <c r="CY75">
        <v>1073</v>
      </c>
      <c r="DC75">
        <v>40</v>
      </c>
      <c r="DD75">
        <v>4000</v>
      </c>
      <c r="DE75">
        <v>40</v>
      </c>
      <c r="DI75">
        <v>3400</v>
      </c>
      <c r="DM75">
        <v>40</v>
      </c>
      <c r="DQ75">
        <v>40</v>
      </c>
      <c r="DS75">
        <v>2750</v>
      </c>
      <c r="DU75">
        <v>40</v>
      </c>
      <c r="EC75">
        <v>5525</v>
      </c>
      <c r="EM75">
        <v>7800</v>
      </c>
      <c r="EW75">
        <v>2950</v>
      </c>
      <c r="FG75">
        <v>7040</v>
      </c>
      <c r="GA75">
        <v>200</v>
      </c>
      <c r="GK75">
        <v>600</v>
      </c>
      <c r="GN75">
        <f t="shared" si="2"/>
        <v>38088</v>
      </c>
    </row>
    <row r="76" spans="1:196" x14ac:dyDescent="0.25">
      <c r="A76" s="4">
        <f>DATE(2024,6,20)</f>
        <v>45463</v>
      </c>
      <c r="B76">
        <v>342937</v>
      </c>
      <c r="CE76">
        <v>300</v>
      </c>
      <c r="CO76">
        <v>2200</v>
      </c>
      <c r="CY76">
        <v>1073</v>
      </c>
      <c r="DD76">
        <v>4000</v>
      </c>
      <c r="DI76">
        <v>3400</v>
      </c>
      <c r="DS76">
        <v>2750</v>
      </c>
      <c r="EC76">
        <v>5525</v>
      </c>
      <c r="EM76">
        <v>7800</v>
      </c>
      <c r="EW76">
        <v>2800</v>
      </c>
      <c r="FG76">
        <v>7050</v>
      </c>
      <c r="GA76">
        <v>200</v>
      </c>
      <c r="GK76">
        <v>600</v>
      </c>
      <c r="GN76">
        <f t="shared" si="2"/>
        <v>37698</v>
      </c>
    </row>
    <row r="77" spans="1:196" x14ac:dyDescent="0.25">
      <c r="A77" s="4">
        <f>DATE(2024,6,19)</f>
        <v>45462</v>
      </c>
      <c r="B77">
        <v>342582</v>
      </c>
      <c r="CE77">
        <v>300</v>
      </c>
      <c r="CO77">
        <v>2200</v>
      </c>
      <c r="CY77">
        <v>1023</v>
      </c>
      <c r="DD77">
        <v>4000</v>
      </c>
      <c r="DI77">
        <v>3625</v>
      </c>
      <c r="DS77">
        <v>2750</v>
      </c>
      <c r="EC77">
        <v>5525</v>
      </c>
      <c r="EM77">
        <v>7800</v>
      </c>
      <c r="EW77">
        <v>2800</v>
      </c>
      <c r="FG77">
        <v>7300</v>
      </c>
      <c r="GA77">
        <v>200</v>
      </c>
      <c r="GK77">
        <v>600</v>
      </c>
    </row>
    <row r="78" spans="1:196" x14ac:dyDescent="0.25">
      <c r="A78" s="4">
        <f>DATE(2024,6,18)</f>
        <v>45461</v>
      </c>
      <c r="B78">
        <v>346400</v>
      </c>
      <c r="CE78">
        <v>300</v>
      </c>
      <c r="CO78">
        <v>2200</v>
      </c>
      <c r="CY78">
        <v>1023</v>
      </c>
      <c r="DD78">
        <v>4000</v>
      </c>
      <c r="DI78">
        <v>3625</v>
      </c>
      <c r="DS78">
        <v>2750</v>
      </c>
      <c r="EC78">
        <v>5525</v>
      </c>
      <c r="EM78">
        <v>7750</v>
      </c>
      <c r="EW78">
        <v>2700</v>
      </c>
      <c r="FG78">
        <v>7300</v>
      </c>
      <c r="GA78">
        <v>200</v>
      </c>
      <c r="GK78">
        <v>600</v>
      </c>
    </row>
    <row r="79" spans="1:196" x14ac:dyDescent="0.25">
      <c r="A79" s="4">
        <f>DATE(2024,6,17)</f>
        <v>45460</v>
      </c>
      <c r="B79">
        <v>338785</v>
      </c>
      <c r="CE79">
        <v>300</v>
      </c>
      <c r="CO79">
        <v>2100</v>
      </c>
      <c r="CY79">
        <v>523</v>
      </c>
      <c r="DD79">
        <v>4000</v>
      </c>
      <c r="DI79">
        <v>3625</v>
      </c>
      <c r="DS79">
        <v>2750</v>
      </c>
      <c r="EC79">
        <v>5525</v>
      </c>
      <c r="EM79">
        <v>7000</v>
      </c>
      <c r="EW79">
        <v>2700</v>
      </c>
      <c r="FG79">
        <v>7300</v>
      </c>
      <c r="GA79">
        <v>200</v>
      </c>
      <c r="GK79">
        <v>600</v>
      </c>
    </row>
    <row r="80" spans="1:196" x14ac:dyDescent="0.25">
      <c r="A80" s="4">
        <f>DATE(2024,6,14)</f>
        <v>45457</v>
      </c>
      <c r="B80">
        <v>338682</v>
      </c>
      <c r="CE80">
        <v>300</v>
      </c>
      <c r="CO80">
        <v>2100</v>
      </c>
      <c r="CY80">
        <v>523</v>
      </c>
      <c r="DD80">
        <v>4000</v>
      </c>
      <c r="DI80">
        <v>3625</v>
      </c>
      <c r="DS80">
        <v>2750</v>
      </c>
      <c r="EC80">
        <v>5525</v>
      </c>
      <c r="EM80">
        <v>6650</v>
      </c>
      <c r="EW80">
        <v>2700</v>
      </c>
      <c r="FG80">
        <v>7300</v>
      </c>
      <c r="GA80">
        <v>200</v>
      </c>
      <c r="GK80">
        <v>600</v>
      </c>
    </row>
    <row r="81" spans="1:193" x14ac:dyDescent="0.25">
      <c r="A81" s="4">
        <f>DATE(2024,6,13)</f>
        <v>45456</v>
      </c>
      <c r="B81">
        <v>334373</v>
      </c>
      <c r="CE81">
        <v>300</v>
      </c>
      <c r="CO81">
        <v>2100</v>
      </c>
      <c r="CY81">
        <v>523</v>
      </c>
      <c r="DD81">
        <v>4000</v>
      </c>
      <c r="DI81">
        <v>3400</v>
      </c>
      <c r="DS81">
        <v>2850</v>
      </c>
      <c r="EC81">
        <v>5525</v>
      </c>
      <c r="EM81">
        <v>6000</v>
      </c>
      <c r="EW81">
        <v>2700</v>
      </c>
      <c r="FG81">
        <v>7300</v>
      </c>
      <c r="GA81">
        <v>200</v>
      </c>
      <c r="GK81">
        <v>600</v>
      </c>
    </row>
    <row r="82" spans="1:193" x14ac:dyDescent="0.25">
      <c r="A82" s="4">
        <f>DATE(2024,6,12)</f>
        <v>45455</v>
      </c>
      <c r="B82">
        <v>333805</v>
      </c>
      <c r="CE82">
        <v>300</v>
      </c>
      <c r="CO82">
        <v>2100</v>
      </c>
      <c r="CY82">
        <v>523</v>
      </c>
      <c r="DD82">
        <v>4000</v>
      </c>
      <c r="DI82">
        <v>3400</v>
      </c>
      <c r="DS82">
        <v>2850</v>
      </c>
      <c r="EC82">
        <v>5525</v>
      </c>
      <c r="EM82">
        <v>6150</v>
      </c>
      <c r="EW82">
        <v>2700</v>
      </c>
      <c r="FG82">
        <v>5100</v>
      </c>
      <c r="GA82">
        <v>200</v>
      </c>
      <c r="GK82">
        <v>600</v>
      </c>
    </row>
    <row r="83" spans="1:193" x14ac:dyDescent="0.25">
      <c r="A83" s="4">
        <f>DATE(2024,6,11)</f>
        <v>45454</v>
      </c>
      <c r="B83">
        <v>333575</v>
      </c>
      <c r="CE83">
        <v>300</v>
      </c>
      <c r="CO83">
        <v>2100</v>
      </c>
      <c r="CY83">
        <v>523</v>
      </c>
      <c r="DD83">
        <v>4000</v>
      </c>
      <c r="DI83">
        <v>3400</v>
      </c>
      <c r="DS83">
        <v>2850</v>
      </c>
      <c r="EC83">
        <v>5525</v>
      </c>
      <c r="EM83">
        <v>5850</v>
      </c>
      <c r="EW83">
        <v>2700</v>
      </c>
      <c r="FG83">
        <v>5050</v>
      </c>
      <c r="GA83">
        <v>200</v>
      </c>
      <c r="GK83">
        <v>600</v>
      </c>
    </row>
    <row r="84" spans="1:193" x14ac:dyDescent="0.25">
      <c r="A84" s="4">
        <f>DATE(2024,6,10)</f>
        <v>45453</v>
      </c>
      <c r="B84">
        <v>331242</v>
      </c>
      <c r="CE84">
        <v>300</v>
      </c>
      <c r="CO84">
        <v>2100</v>
      </c>
      <c r="CY84">
        <v>523</v>
      </c>
      <c r="DD84">
        <v>4000</v>
      </c>
      <c r="DI84">
        <v>3400</v>
      </c>
      <c r="DS84">
        <v>2850</v>
      </c>
      <c r="EC84">
        <v>5525</v>
      </c>
      <c r="EM84">
        <v>5600</v>
      </c>
      <c r="EW84">
        <v>2550</v>
      </c>
      <c r="FG84">
        <v>5050</v>
      </c>
      <c r="GA84">
        <v>200</v>
      </c>
      <c r="GK84">
        <v>600</v>
      </c>
    </row>
    <row r="85" spans="1:193" x14ac:dyDescent="0.25">
      <c r="A85" s="4">
        <f>DATE(2024,6,7)</f>
        <v>45450</v>
      </c>
      <c r="B85">
        <v>331118</v>
      </c>
      <c r="CE85">
        <v>300</v>
      </c>
      <c r="CO85">
        <v>2100</v>
      </c>
      <c r="CY85">
        <v>523</v>
      </c>
      <c r="DD85">
        <v>4000</v>
      </c>
      <c r="DI85">
        <v>3400</v>
      </c>
      <c r="DS85">
        <v>2850</v>
      </c>
      <c r="EC85">
        <v>5525</v>
      </c>
      <c r="EM85">
        <v>5600</v>
      </c>
      <c r="EW85">
        <v>2550</v>
      </c>
      <c r="FG85">
        <v>5050</v>
      </c>
      <c r="GA85">
        <v>200</v>
      </c>
      <c r="GK85">
        <v>600</v>
      </c>
    </row>
    <row r="86" spans="1:193" x14ac:dyDescent="0.25">
      <c r="A86" s="4">
        <f>DATE(2024,6,6)</f>
        <v>45449</v>
      </c>
      <c r="B86">
        <v>330186</v>
      </c>
      <c r="CE86">
        <v>300</v>
      </c>
      <c r="CO86">
        <v>2100</v>
      </c>
      <c r="CY86">
        <v>523</v>
      </c>
      <c r="DD86">
        <v>4000</v>
      </c>
      <c r="DI86">
        <v>3400</v>
      </c>
      <c r="DS86">
        <v>2850</v>
      </c>
      <c r="EC86">
        <v>5525</v>
      </c>
      <c r="EM86">
        <v>5250</v>
      </c>
      <c r="EW86">
        <v>2550</v>
      </c>
      <c r="FG86">
        <v>5050</v>
      </c>
      <c r="GA86">
        <v>200</v>
      </c>
    </row>
    <row r="87" spans="1:193" x14ac:dyDescent="0.25">
      <c r="A87" s="4">
        <f>DATE(2024,6,5)</f>
        <v>45448</v>
      </c>
      <c r="B87">
        <v>330342</v>
      </c>
      <c r="CE87">
        <v>300</v>
      </c>
      <c r="CO87">
        <v>2100</v>
      </c>
      <c r="CY87">
        <v>523</v>
      </c>
      <c r="DD87">
        <v>4000</v>
      </c>
      <c r="DI87">
        <v>3400</v>
      </c>
      <c r="DS87">
        <v>2850</v>
      </c>
      <c r="EC87">
        <v>5325</v>
      </c>
      <c r="EM87">
        <v>4900</v>
      </c>
      <c r="EW87">
        <v>2300</v>
      </c>
      <c r="FG87">
        <v>3950</v>
      </c>
      <c r="GA87">
        <v>200</v>
      </c>
    </row>
    <row r="88" spans="1:193" x14ac:dyDescent="0.25">
      <c r="A88" s="4">
        <f>DATE(2024,6,4)</f>
        <v>45447</v>
      </c>
      <c r="B88">
        <v>330000</v>
      </c>
      <c r="CE88">
        <v>300</v>
      </c>
      <c r="CO88">
        <v>2100</v>
      </c>
      <c r="CY88">
        <v>523</v>
      </c>
      <c r="DD88">
        <v>4000</v>
      </c>
      <c r="DI88">
        <v>3400</v>
      </c>
      <c r="DS88">
        <v>2300</v>
      </c>
      <c r="EC88">
        <v>5325</v>
      </c>
      <c r="EM88">
        <v>3200</v>
      </c>
      <c r="EW88">
        <v>1850</v>
      </c>
      <c r="FG88">
        <v>3250</v>
      </c>
      <c r="GA88">
        <v>200</v>
      </c>
    </row>
    <row r="89" spans="1:193" x14ac:dyDescent="0.25">
      <c r="A89" s="4">
        <f>DATE(2024,6,3)</f>
        <v>45446</v>
      </c>
      <c r="B89">
        <v>330170</v>
      </c>
      <c r="CE89">
        <v>300</v>
      </c>
      <c r="CO89">
        <v>2100</v>
      </c>
      <c r="CY89">
        <v>523</v>
      </c>
      <c r="DD89">
        <v>4000</v>
      </c>
      <c r="DI89">
        <v>3400</v>
      </c>
      <c r="DS89">
        <v>2300</v>
      </c>
      <c r="EC89">
        <v>5325</v>
      </c>
      <c r="EM89">
        <v>3200</v>
      </c>
      <c r="EW89">
        <v>1850</v>
      </c>
      <c r="FG89">
        <v>3250</v>
      </c>
      <c r="GA89">
        <v>200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5251-0EFE-48B0-AA3F-9B939BAF26B0}">
  <dimension ref="A1:GN89"/>
  <sheetViews>
    <sheetView topLeftCell="A22" workbookViewId="0">
      <selection activeCell="B53" sqref="B53"/>
    </sheetView>
  </sheetViews>
  <sheetFormatPr defaultRowHeight="15" x14ac:dyDescent="0.25"/>
  <cols>
    <col min="1" max="1" width="18.7109375" customWidth="1"/>
    <col min="2" max="196" width="8.85546875" customWidth="1"/>
  </cols>
  <sheetData>
    <row r="1" spans="1:196" x14ac:dyDescent="0.25">
      <c r="A1" t="str">
        <f>_xll.ICESeries(B1:GM1,B2:GM2,,DATE(2024,6,1),DATE(2024,9,30),,"DayOfWeek=12345")</f>
        <v>Time Series</v>
      </c>
      <c r="B1" t="s">
        <v>461</v>
      </c>
      <c r="C1" t="s">
        <v>476</v>
      </c>
      <c r="D1" t="s">
        <v>478</v>
      </c>
      <c r="E1" t="s">
        <v>480</v>
      </c>
      <c r="F1" t="s">
        <v>482</v>
      </c>
      <c r="G1" t="s">
        <v>484</v>
      </c>
      <c r="H1" t="s">
        <v>486</v>
      </c>
      <c r="I1" t="s">
        <v>488</v>
      </c>
      <c r="J1" t="s">
        <v>490</v>
      </c>
      <c r="K1" t="s">
        <v>492</v>
      </c>
      <c r="L1" t="s">
        <v>494</v>
      </c>
      <c r="M1" t="s">
        <v>496</v>
      </c>
      <c r="N1" t="s">
        <v>498</v>
      </c>
      <c r="O1" t="s">
        <v>500</v>
      </c>
      <c r="P1" t="s">
        <v>502</v>
      </c>
      <c r="Q1" t="s">
        <v>504</v>
      </c>
      <c r="R1" t="s">
        <v>506</v>
      </c>
      <c r="S1" t="s">
        <v>508</v>
      </c>
      <c r="T1" t="s">
        <v>510</v>
      </c>
      <c r="U1" t="s">
        <v>512</v>
      </c>
      <c r="V1" t="s">
        <v>514</v>
      </c>
      <c r="W1" t="s">
        <v>516</v>
      </c>
      <c r="X1" t="s">
        <v>518</v>
      </c>
      <c r="Y1" t="s">
        <v>520</v>
      </c>
      <c r="Z1" t="s">
        <v>522</v>
      </c>
      <c r="AA1" t="s">
        <v>524</v>
      </c>
      <c r="AB1" t="s">
        <v>526</v>
      </c>
      <c r="AC1" t="s">
        <v>528</v>
      </c>
      <c r="AD1" t="s">
        <v>530</v>
      </c>
      <c r="AE1" t="s">
        <v>532</v>
      </c>
      <c r="AF1" t="s">
        <v>534</v>
      </c>
      <c r="AG1" t="s">
        <v>536</v>
      </c>
      <c r="AH1" t="s">
        <v>538</v>
      </c>
      <c r="AI1" t="s">
        <v>540</v>
      </c>
      <c r="AJ1" t="s">
        <v>542</v>
      </c>
      <c r="AK1" t="s">
        <v>544</v>
      </c>
      <c r="AL1" t="s">
        <v>546</v>
      </c>
      <c r="AM1" t="s">
        <v>548</v>
      </c>
      <c r="AN1" t="s">
        <v>550</v>
      </c>
      <c r="AO1" t="s">
        <v>552</v>
      </c>
      <c r="AP1" t="s">
        <v>554</v>
      </c>
      <c r="AQ1" t="s">
        <v>556</v>
      </c>
      <c r="AR1" t="s">
        <v>558</v>
      </c>
      <c r="AS1" t="s">
        <v>560</v>
      </c>
      <c r="AT1" t="s">
        <v>562</v>
      </c>
      <c r="AU1" t="s">
        <v>564</v>
      </c>
      <c r="AV1" t="s">
        <v>566</v>
      </c>
      <c r="AW1" t="s">
        <v>568</v>
      </c>
      <c r="AX1" t="s">
        <v>570</v>
      </c>
      <c r="AY1" t="s">
        <v>572</v>
      </c>
      <c r="AZ1" t="s">
        <v>574</v>
      </c>
      <c r="BA1" t="s">
        <v>576</v>
      </c>
      <c r="BB1" t="s">
        <v>578</v>
      </c>
      <c r="BC1" t="s">
        <v>580</v>
      </c>
      <c r="BD1" t="s">
        <v>582</v>
      </c>
      <c r="BE1" t="s">
        <v>584</v>
      </c>
      <c r="BF1" t="s">
        <v>586</v>
      </c>
      <c r="BG1" t="s">
        <v>588</v>
      </c>
      <c r="BH1" t="s">
        <v>590</v>
      </c>
      <c r="BI1" t="s">
        <v>592</v>
      </c>
      <c r="BJ1" t="s">
        <v>594</v>
      </c>
      <c r="BK1" t="s">
        <v>596</v>
      </c>
      <c r="BL1" t="s">
        <v>598</v>
      </c>
      <c r="BM1" t="s">
        <v>600</v>
      </c>
      <c r="BN1" t="s">
        <v>602</v>
      </c>
      <c r="BO1" t="s">
        <v>604</v>
      </c>
      <c r="BP1" t="s">
        <v>606</v>
      </c>
      <c r="BQ1" t="s">
        <v>608</v>
      </c>
      <c r="BR1" t="s">
        <v>610</v>
      </c>
      <c r="BS1" t="s">
        <v>612</v>
      </c>
      <c r="BT1" t="s">
        <v>614</v>
      </c>
      <c r="BU1" t="s">
        <v>616</v>
      </c>
      <c r="BV1" t="s">
        <v>618</v>
      </c>
      <c r="BW1" t="s">
        <v>620</v>
      </c>
      <c r="BX1" t="s">
        <v>622</v>
      </c>
      <c r="BY1" t="s">
        <v>624</v>
      </c>
      <c r="BZ1" t="s">
        <v>626</v>
      </c>
      <c r="CA1" t="s">
        <v>628</v>
      </c>
      <c r="CB1" t="s">
        <v>630</v>
      </c>
      <c r="CC1" t="s">
        <v>632</v>
      </c>
      <c r="CD1" t="s">
        <v>634</v>
      </c>
      <c r="CE1" t="s">
        <v>636</v>
      </c>
      <c r="CF1" t="s">
        <v>638</v>
      </c>
      <c r="CG1" t="s">
        <v>640</v>
      </c>
      <c r="CH1" t="s">
        <v>642</v>
      </c>
      <c r="CI1" t="s">
        <v>644</v>
      </c>
      <c r="CJ1" t="s">
        <v>646</v>
      </c>
      <c r="CK1" t="s">
        <v>648</v>
      </c>
      <c r="CL1" t="s">
        <v>650</v>
      </c>
      <c r="CM1" t="s">
        <v>652</v>
      </c>
      <c r="CN1" t="s">
        <v>654</v>
      </c>
      <c r="CO1" t="s">
        <v>656</v>
      </c>
      <c r="CP1" t="s">
        <v>658</v>
      </c>
      <c r="CQ1" t="s">
        <v>660</v>
      </c>
      <c r="CR1" t="s">
        <v>662</v>
      </c>
      <c r="CS1" t="s">
        <v>664</v>
      </c>
      <c r="CT1" t="s">
        <v>666</v>
      </c>
      <c r="CU1" t="s">
        <v>668</v>
      </c>
      <c r="CV1" t="s">
        <v>670</v>
      </c>
      <c r="CW1" t="s">
        <v>672</v>
      </c>
      <c r="CX1" t="s">
        <v>674</v>
      </c>
      <c r="CY1" t="s">
        <v>676</v>
      </c>
      <c r="CZ1" t="s">
        <v>678</v>
      </c>
      <c r="DA1" t="s">
        <v>680</v>
      </c>
      <c r="DB1" t="s">
        <v>682</v>
      </c>
      <c r="DC1" t="s">
        <v>684</v>
      </c>
      <c r="DD1" t="s">
        <v>686</v>
      </c>
      <c r="DE1" t="s">
        <v>688</v>
      </c>
      <c r="DF1" t="s">
        <v>690</v>
      </c>
      <c r="DG1" t="s">
        <v>692</v>
      </c>
      <c r="DH1" t="s">
        <v>694</v>
      </c>
      <c r="DI1" t="s">
        <v>696</v>
      </c>
      <c r="DJ1" t="s">
        <v>698</v>
      </c>
      <c r="DK1" t="s">
        <v>700</v>
      </c>
      <c r="DL1" t="s">
        <v>702</v>
      </c>
      <c r="DM1" t="s">
        <v>704</v>
      </c>
      <c r="DN1" t="s">
        <v>706</v>
      </c>
      <c r="DO1" t="s">
        <v>708</v>
      </c>
      <c r="DP1" t="s">
        <v>710</v>
      </c>
      <c r="DQ1" t="s">
        <v>712</v>
      </c>
      <c r="DR1" t="s">
        <v>714</v>
      </c>
      <c r="DS1" t="s">
        <v>716</v>
      </c>
      <c r="DT1" t="s">
        <v>718</v>
      </c>
      <c r="DU1" t="s">
        <v>720</v>
      </c>
      <c r="DV1" t="s">
        <v>722</v>
      </c>
      <c r="DW1" t="s">
        <v>724</v>
      </c>
      <c r="DX1" t="s">
        <v>726</v>
      </c>
      <c r="DY1" t="s">
        <v>728</v>
      </c>
      <c r="DZ1" t="s">
        <v>730</v>
      </c>
      <c r="EA1" t="s">
        <v>732</v>
      </c>
      <c r="EB1" t="s">
        <v>734</v>
      </c>
      <c r="EC1" t="s">
        <v>736</v>
      </c>
      <c r="ED1" t="s">
        <v>738</v>
      </c>
      <c r="EE1" t="s">
        <v>740</v>
      </c>
      <c r="EF1" t="s">
        <v>742</v>
      </c>
      <c r="EG1" t="s">
        <v>744</v>
      </c>
      <c r="EH1" t="s">
        <v>746</v>
      </c>
      <c r="EI1" t="s">
        <v>748</v>
      </c>
      <c r="EJ1" t="s">
        <v>750</v>
      </c>
      <c r="EK1" t="s">
        <v>752</v>
      </c>
      <c r="EL1" t="s">
        <v>754</v>
      </c>
      <c r="EM1" t="s">
        <v>756</v>
      </c>
      <c r="EN1" t="s">
        <v>758</v>
      </c>
      <c r="EO1" t="s">
        <v>760</v>
      </c>
      <c r="EP1" t="s">
        <v>762</v>
      </c>
      <c r="EQ1" t="s">
        <v>764</v>
      </c>
      <c r="ER1" t="s">
        <v>766</v>
      </c>
      <c r="ES1" t="s">
        <v>768</v>
      </c>
      <c r="ET1" t="s">
        <v>770</v>
      </c>
      <c r="EU1" t="s">
        <v>772</v>
      </c>
      <c r="EV1" t="s">
        <v>774</v>
      </c>
      <c r="EW1" t="s">
        <v>776</v>
      </c>
      <c r="EX1" t="s">
        <v>778</v>
      </c>
      <c r="EY1" t="s">
        <v>780</v>
      </c>
      <c r="EZ1" t="s">
        <v>782</v>
      </c>
      <c r="FA1" t="s">
        <v>784</v>
      </c>
      <c r="FB1" t="s">
        <v>786</v>
      </c>
      <c r="FC1" t="s">
        <v>788</v>
      </c>
      <c r="FD1" t="s">
        <v>790</v>
      </c>
      <c r="FE1" t="s">
        <v>792</v>
      </c>
      <c r="FF1" t="s">
        <v>794</v>
      </c>
      <c r="FG1" t="s">
        <v>796</v>
      </c>
      <c r="FH1" t="s">
        <v>798</v>
      </c>
      <c r="FI1" t="s">
        <v>800</v>
      </c>
      <c r="FJ1" t="s">
        <v>802</v>
      </c>
      <c r="FK1" t="s">
        <v>804</v>
      </c>
      <c r="FL1" t="s">
        <v>806</v>
      </c>
      <c r="FM1" t="s">
        <v>808</v>
      </c>
      <c r="FN1" t="s">
        <v>810</v>
      </c>
      <c r="FO1" t="s">
        <v>812</v>
      </c>
      <c r="FP1" t="s">
        <v>814</v>
      </c>
      <c r="FQ1" t="s">
        <v>816</v>
      </c>
      <c r="FR1" t="s">
        <v>818</v>
      </c>
      <c r="FS1" t="s">
        <v>820</v>
      </c>
      <c r="FT1" t="s">
        <v>822</v>
      </c>
      <c r="FU1" t="s">
        <v>824</v>
      </c>
      <c r="FV1" t="s">
        <v>826</v>
      </c>
      <c r="FW1" t="s">
        <v>828</v>
      </c>
      <c r="FX1" t="s">
        <v>830</v>
      </c>
      <c r="FY1" t="s">
        <v>832</v>
      </c>
      <c r="FZ1" t="s">
        <v>834</v>
      </c>
      <c r="GA1" t="s">
        <v>836</v>
      </c>
      <c r="GB1" t="s">
        <v>838</v>
      </c>
      <c r="GC1" t="s">
        <v>840</v>
      </c>
      <c r="GD1" t="s">
        <v>842</v>
      </c>
      <c r="GE1" t="s">
        <v>844</v>
      </c>
      <c r="GF1" t="s">
        <v>846</v>
      </c>
      <c r="GG1" t="s">
        <v>848</v>
      </c>
      <c r="GH1" t="s">
        <v>850</v>
      </c>
      <c r="GI1" t="s">
        <v>852</v>
      </c>
      <c r="GJ1" t="s">
        <v>854</v>
      </c>
      <c r="GK1" t="s">
        <v>856</v>
      </c>
      <c r="GL1" t="s">
        <v>858</v>
      </c>
      <c r="GM1" t="s">
        <v>860</v>
      </c>
    </row>
    <row r="2" spans="1:196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  <c r="GM2" t="s">
        <v>450</v>
      </c>
    </row>
    <row r="3" spans="1:196" x14ac:dyDescent="0.25">
      <c r="B3" t="s">
        <v>468</v>
      </c>
      <c r="C3" t="s">
        <v>1064</v>
      </c>
      <c r="D3" t="s">
        <v>1065</v>
      </c>
      <c r="E3" t="s">
        <v>1066</v>
      </c>
      <c r="F3" t="s">
        <v>1067</v>
      </c>
      <c r="G3" t="s">
        <v>1068</v>
      </c>
      <c r="H3" t="s">
        <v>1069</v>
      </c>
      <c r="I3" t="s">
        <v>1070</v>
      </c>
      <c r="J3" t="s">
        <v>1071</v>
      </c>
      <c r="K3" t="s">
        <v>1072</v>
      </c>
      <c r="L3" t="s">
        <v>1073</v>
      </c>
      <c r="M3" t="s">
        <v>1074</v>
      </c>
      <c r="N3" t="s">
        <v>1075</v>
      </c>
      <c r="O3" t="s">
        <v>1076</v>
      </c>
      <c r="P3" t="s">
        <v>1077</v>
      </c>
      <c r="Q3" t="s">
        <v>1078</v>
      </c>
      <c r="R3" t="s">
        <v>1079</v>
      </c>
      <c r="S3" t="s">
        <v>1080</v>
      </c>
      <c r="T3" t="s">
        <v>1081</v>
      </c>
      <c r="U3" t="s">
        <v>1082</v>
      </c>
      <c r="V3" t="s">
        <v>1083</v>
      </c>
      <c r="W3" t="s">
        <v>1084</v>
      </c>
      <c r="X3" t="s">
        <v>1085</v>
      </c>
      <c r="Y3" t="s">
        <v>1086</v>
      </c>
      <c r="Z3" t="s">
        <v>1087</v>
      </c>
      <c r="AA3" t="s">
        <v>1088</v>
      </c>
      <c r="AB3" t="s">
        <v>1089</v>
      </c>
      <c r="AC3" t="s">
        <v>1090</v>
      </c>
      <c r="AD3" t="s">
        <v>1091</v>
      </c>
      <c r="AE3" t="s">
        <v>1092</v>
      </c>
      <c r="AF3" t="s">
        <v>1093</v>
      </c>
      <c r="AG3" t="s">
        <v>1094</v>
      </c>
      <c r="AH3" t="s">
        <v>1095</v>
      </c>
      <c r="AI3" t="s">
        <v>1096</v>
      </c>
      <c r="AJ3" t="s">
        <v>1097</v>
      </c>
      <c r="AK3" t="s">
        <v>1098</v>
      </c>
      <c r="AL3" t="s">
        <v>1099</v>
      </c>
      <c r="AM3" t="s">
        <v>1100</v>
      </c>
      <c r="AN3" t="s">
        <v>1101</v>
      </c>
      <c r="AO3" t="s">
        <v>1102</v>
      </c>
      <c r="AP3" t="s">
        <v>1103</v>
      </c>
      <c r="AQ3" t="s">
        <v>1104</v>
      </c>
      <c r="AR3" t="s">
        <v>1105</v>
      </c>
      <c r="AS3" t="s">
        <v>1106</v>
      </c>
      <c r="AT3" t="s">
        <v>1107</v>
      </c>
      <c r="AU3" t="s">
        <v>1108</v>
      </c>
      <c r="AV3" t="s">
        <v>1109</v>
      </c>
      <c r="AW3" t="s">
        <v>1110</v>
      </c>
      <c r="AX3" t="s">
        <v>1111</v>
      </c>
      <c r="AY3" t="s">
        <v>1112</v>
      </c>
      <c r="AZ3" t="s">
        <v>1113</v>
      </c>
      <c r="BA3" t="s">
        <v>1114</v>
      </c>
      <c r="BB3" t="s">
        <v>1115</v>
      </c>
      <c r="BC3" t="s">
        <v>1116</v>
      </c>
      <c r="BD3" t="s">
        <v>1117</v>
      </c>
      <c r="BE3" t="s">
        <v>1118</v>
      </c>
      <c r="BF3" t="s">
        <v>1119</v>
      </c>
      <c r="BG3" t="s">
        <v>1120</v>
      </c>
      <c r="BH3" t="s">
        <v>1121</v>
      </c>
      <c r="BI3" t="s">
        <v>1122</v>
      </c>
      <c r="BJ3" t="s">
        <v>1123</v>
      </c>
      <c r="BK3" t="s">
        <v>1124</v>
      </c>
      <c r="BL3" t="s">
        <v>1125</v>
      </c>
      <c r="BM3" t="s">
        <v>1126</v>
      </c>
      <c r="BN3" t="s">
        <v>1127</v>
      </c>
      <c r="BO3" t="s">
        <v>1128</v>
      </c>
      <c r="BP3" t="s">
        <v>1129</v>
      </c>
      <c r="BQ3" t="s">
        <v>1130</v>
      </c>
      <c r="BR3" t="s">
        <v>1131</v>
      </c>
      <c r="BS3" t="s">
        <v>1132</v>
      </c>
      <c r="BT3" t="s">
        <v>1133</v>
      </c>
      <c r="BU3" t="s">
        <v>1134</v>
      </c>
      <c r="BV3" t="s">
        <v>1135</v>
      </c>
      <c r="BW3" t="s">
        <v>1136</v>
      </c>
      <c r="BX3" t="s">
        <v>1137</v>
      </c>
      <c r="BY3" t="s">
        <v>1138</v>
      </c>
      <c r="BZ3" t="s">
        <v>1139</v>
      </c>
      <c r="CA3" t="s">
        <v>1140</v>
      </c>
      <c r="CB3" t="s">
        <v>1141</v>
      </c>
      <c r="CC3" t="s">
        <v>1142</v>
      </c>
      <c r="CD3" t="s">
        <v>1143</v>
      </c>
      <c r="CE3" t="s">
        <v>1144</v>
      </c>
      <c r="CF3" t="s">
        <v>1145</v>
      </c>
      <c r="CG3" t="s">
        <v>1146</v>
      </c>
      <c r="CH3" t="s">
        <v>1147</v>
      </c>
      <c r="CI3" t="s">
        <v>1148</v>
      </c>
      <c r="CJ3" t="s">
        <v>1149</v>
      </c>
      <c r="CK3" t="s">
        <v>1150</v>
      </c>
      <c r="CL3" t="s">
        <v>1151</v>
      </c>
      <c r="CM3" t="s">
        <v>1152</v>
      </c>
      <c r="CN3" t="s">
        <v>1153</v>
      </c>
      <c r="CO3" t="s">
        <v>1154</v>
      </c>
      <c r="CP3" t="s">
        <v>1155</v>
      </c>
      <c r="CQ3" t="s">
        <v>1156</v>
      </c>
      <c r="CR3" t="s">
        <v>1157</v>
      </c>
      <c r="CS3" t="s">
        <v>1158</v>
      </c>
      <c r="CT3" t="s">
        <v>1159</v>
      </c>
      <c r="CU3" t="s">
        <v>1160</v>
      </c>
      <c r="CV3" t="s">
        <v>1161</v>
      </c>
      <c r="CW3" t="s">
        <v>1162</v>
      </c>
      <c r="CX3" t="s">
        <v>1163</v>
      </c>
      <c r="CY3" t="s">
        <v>1164</v>
      </c>
      <c r="CZ3" t="s">
        <v>1165</v>
      </c>
      <c r="DA3" t="s">
        <v>1166</v>
      </c>
      <c r="DB3" t="s">
        <v>1167</v>
      </c>
      <c r="DC3" t="s">
        <v>1168</v>
      </c>
      <c r="DD3" t="s">
        <v>1169</v>
      </c>
      <c r="DE3" t="s">
        <v>1170</v>
      </c>
      <c r="DF3" t="s">
        <v>1171</v>
      </c>
      <c r="DG3" t="s">
        <v>1172</v>
      </c>
      <c r="DH3" t="s">
        <v>1173</v>
      </c>
      <c r="DI3" t="s">
        <v>1174</v>
      </c>
      <c r="DJ3" t="s">
        <v>1175</v>
      </c>
      <c r="DK3" t="s">
        <v>1176</v>
      </c>
      <c r="DL3" t="s">
        <v>1177</v>
      </c>
      <c r="DM3" t="s">
        <v>1178</v>
      </c>
      <c r="DN3" t="s">
        <v>1179</v>
      </c>
      <c r="DO3" t="s">
        <v>1180</v>
      </c>
      <c r="DP3" t="s">
        <v>1181</v>
      </c>
      <c r="DQ3" t="s">
        <v>1182</v>
      </c>
      <c r="DR3" t="s">
        <v>1183</v>
      </c>
      <c r="DS3" t="s">
        <v>1184</v>
      </c>
      <c r="DT3" t="s">
        <v>1185</v>
      </c>
      <c r="DU3" t="s">
        <v>1186</v>
      </c>
      <c r="DV3" t="s">
        <v>1187</v>
      </c>
      <c r="DW3" t="s">
        <v>1188</v>
      </c>
      <c r="DX3" t="s">
        <v>1189</v>
      </c>
      <c r="DY3" t="s">
        <v>1190</v>
      </c>
      <c r="DZ3" t="s">
        <v>1191</v>
      </c>
      <c r="EA3" t="s">
        <v>1192</v>
      </c>
      <c r="EB3" t="s">
        <v>1193</v>
      </c>
      <c r="EC3" t="s">
        <v>1194</v>
      </c>
      <c r="ED3" t="s">
        <v>1195</v>
      </c>
      <c r="EE3" t="s">
        <v>1196</v>
      </c>
      <c r="EF3" t="s">
        <v>1197</v>
      </c>
      <c r="EG3" t="s">
        <v>1198</v>
      </c>
      <c r="EH3" t="s">
        <v>1199</v>
      </c>
      <c r="EI3" t="s">
        <v>1200</v>
      </c>
      <c r="EJ3" t="s">
        <v>1201</v>
      </c>
      <c r="EK3" t="s">
        <v>1202</v>
      </c>
      <c r="EL3" t="s">
        <v>1203</v>
      </c>
      <c r="EM3" t="s">
        <v>1204</v>
      </c>
      <c r="EN3" t="s">
        <v>1205</v>
      </c>
      <c r="EO3" t="s">
        <v>1206</v>
      </c>
      <c r="EP3" t="s">
        <v>1207</v>
      </c>
      <c r="EQ3" t="s">
        <v>1208</v>
      </c>
      <c r="ER3" t="s">
        <v>1209</v>
      </c>
      <c r="ES3" t="s">
        <v>1210</v>
      </c>
      <c r="ET3" t="s">
        <v>1211</v>
      </c>
      <c r="EU3" t="s">
        <v>1212</v>
      </c>
      <c r="EV3" t="s">
        <v>1213</v>
      </c>
      <c r="EW3" t="s">
        <v>1214</v>
      </c>
      <c r="EX3" t="s">
        <v>1215</v>
      </c>
      <c r="EY3" t="s">
        <v>1216</v>
      </c>
      <c r="EZ3" t="s">
        <v>1217</v>
      </c>
      <c r="FA3" t="s">
        <v>1218</v>
      </c>
      <c r="FB3" t="s">
        <v>1219</v>
      </c>
      <c r="FC3" t="s">
        <v>1220</v>
      </c>
      <c r="FD3" t="s">
        <v>1221</v>
      </c>
      <c r="FE3" t="s">
        <v>1222</v>
      </c>
      <c r="FF3" t="s">
        <v>1223</v>
      </c>
      <c r="FG3" t="s">
        <v>1224</v>
      </c>
      <c r="FH3" t="s">
        <v>1225</v>
      </c>
      <c r="FI3" t="s">
        <v>1226</v>
      </c>
      <c r="FJ3" t="s">
        <v>1227</v>
      </c>
      <c r="FK3" t="s">
        <v>1228</v>
      </c>
      <c r="FL3" t="s">
        <v>1229</v>
      </c>
      <c r="FM3" t="s">
        <v>1230</v>
      </c>
      <c r="FN3" t="s">
        <v>1231</v>
      </c>
      <c r="FO3" t="s">
        <v>1232</v>
      </c>
      <c r="FP3" t="s">
        <v>1233</v>
      </c>
      <c r="FQ3" t="s">
        <v>1234</v>
      </c>
      <c r="FR3" t="s">
        <v>1235</v>
      </c>
      <c r="FS3" t="s">
        <v>1236</v>
      </c>
      <c r="FT3" t="s">
        <v>1237</v>
      </c>
      <c r="FU3" t="s">
        <v>1238</v>
      </c>
      <c r="FV3" t="s">
        <v>1239</v>
      </c>
      <c r="FW3" t="s">
        <v>1240</v>
      </c>
      <c r="FX3" t="s">
        <v>1241</v>
      </c>
      <c r="FY3" t="s">
        <v>1242</v>
      </c>
      <c r="FZ3" t="s">
        <v>1243</v>
      </c>
      <c r="GA3" t="s">
        <v>1244</v>
      </c>
      <c r="GB3" t="s">
        <v>1245</v>
      </c>
      <c r="GC3" t="s">
        <v>1246</v>
      </c>
      <c r="GD3" t="s">
        <v>1247</v>
      </c>
      <c r="GE3" t="s">
        <v>1248</v>
      </c>
      <c r="GF3" t="s">
        <v>1249</v>
      </c>
      <c r="GG3" t="s">
        <v>1250</v>
      </c>
      <c r="GH3" t="s">
        <v>1251</v>
      </c>
      <c r="GI3" t="s">
        <v>1252</v>
      </c>
      <c r="GJ3" t="s">
        <v>1253</v>
      </c>
      <c r="GK3" t="s">
        <v>1254</v>
      </c>
      <c r="GL3" t="s">
        <v>1255</v>
      </c>
      <c r="GM3" t="s">
        <v>1256</v>
      </c>
    </row>
    <row r="4" spans="1:196" x14ac:dyDescent="0.25">
      <c r="A4" s="4">
        <f>DATE(2024,9,30)</f>
        <v>45565</v>
      </c>
      <c r="GN4">
        <f>SUMPRODUCT(C4:GM4)</f>
        <v>0</v>
      </c>
    </row>
    <row r="5" spans="1:196" x14ac:dyDescent="0.25">
      <c r="A5" s="4">
        <f>DATE(2024,9,27)</f>
        <v>45562</v>
      </c>
      <c r="GN5">
        <f t="shared" ref="GN5:GN36" si="0">SUMPRODUCT(C5:GM5)</f>
        <v>0</v>
      </c>
    </row>
    <row r="6" spans="1:196" x14ac:dyDescent="0.25">
      <c r="A6" s="4">
        <f>DATE(2024,9,26)</f>
        <v>45561</v>
      </c>
      <c r="GN6">
        <f t="shared" si="0"/>
        <v>0</v>
      </c>
    </row>
    <row r="7" spans="1:196" x14ac:dyDescent="0.25">
      <c r="A7" s="4">
        <f>DATE(2024,9,25)</f>
        <v>45560</v>
      </c>
      <c r="GN7">
        <f t="shared" si="0"/>
        <v>0</v>
      </c>
    </row>
    <row r="8" spans="1:196" x14ac:dyDescent="0.25">
      <c r="A8" s="4">
        <f>DATE(2024,9,24)</f>
        <v>45559</v>
      </c>
      <c r="GN8">
        <f t="shared" si="0"/>
        <v>0</v>
      </c>
    </row>
    <row r="9" spans="1:196" x14ac:dyDescent="0.25">
      <c r="A9" s="4">
        <f>DATE(2024,9,23)</f>
        <v>45558</v>
      </c>
      <c r="GN9">
        <f t="shared" si="0"/>
        <v>0</v>
      </c>
    </row>
    <row r="10" spans="1:196" x14ac:dyDescent="0.25">
      <c r="A10" s="4">
        <f>DATE(2024,9,20)</f>
        <v>45555</v>
      </c>
      <c r="GN10">
        <f t="shared" si="0"/>
        <v>0</v>
      </c>
    </row>
    <row r="11" spans="1:196" x14ac:dyDescent="0.25">
      <c r="A11" s="4">
        <f>DATE(2024,9,19)</f>
        <v>45554</v>
      </c>
      <c r="GN11">
        <f t="shared" si="0"/>
        <v>0</v>
      </c>
    </row>
    <row r="12" spans="1:196" x14ac:dyDescent="0.25">
      <c r="A12" s="4">
        <f>DATE(2024,9,18)</f>
        <v>45553</v>
      </c>
      <c r="GN12">
        <f t="shared" si="0"/>
        <v>0</v>
      </c>
    </row>
    <row r="13" spans="1:196" x14ac:dyDescent="0.25">
      <c r="A13" s="4">
        <f>DATE(2024,9,17)</f>
        <v>45552</v>
      </c>
      <c r="GN13">
        <f t="shared" si="0"/>
        <v>0</v>
      </c>
    </row>
    <row r="14" spans="1:196" x14ac:dyDescent="0.25">
      <c r="A14" s="4">
        <f>DATE(2024,9,16)</f>
        <v>45551</v>
      </c>
      <c r="GN14">
        <f t="shared" si="0"/>
        <v>0</v>
      </c>
    </row>
    <row r="15" spans="1:196" x14ac:dyDescent="0.25">
      <c r="A15" s="4">
        <f>DATE(2024,9,13)</f>
        <v>45548</v>
      </c>
      <c r="GN15">
        <f t="shared" si="0"/>
        <v>0</v>
      </c>
    </row>
    <row r="16" spans="1:196" x14ac:dyDescent="0.25">
      <c r="A16" s="4">
        <f>DATE(2024,9,12)</f>
        <v>45547</v>
      </c>
      <c r="GN16">
        <f t="shared" si="0"/>
        <v>0</v>
      </c>
    </row>
    <row r="17" spans="1:196" x14ac:dyDescent="0.25">
      <c r="A17" s="4">
        <f>DATE(2024,9,11)</f>
        <v>45546</v>
      </c>
      <c r="GN17">
        <f t="shared" si="0"/>
        <v>0</v>
      </c>
    </row>
    <row r="18" spans="1:196" x14ac:dyDescent="0.25">
      <c r="A18" s="4">
        <f>DATE(2024,9,10)</f>
        <v>45545</v>
      </c>
      <c r="GN18">
        <f t="shared" si="0"/>
        <v>0</v>
      </c>
    </row>
    <row r="19" spans="1:196" x14ac:dyDescent="0.25">
      <c r="A19" s="4">
        <f>DATE(2024,9,9)</f>
        <v>45544</v>
      </c>
      <c r="GN19">
        <f t="shared" si="0"/>
        <v>0</v>
      </c>
    </row>
    <row r="20" spans="1:196" x14ac:dyDescent="0.25">
      <c r="A20" s="4">
        <f>DATE(2024,9,6)</f>
        <v>45541</v>
      </c>
      <c r="GN20">
        <f t="shared" si="0"/>
        <v>0</v>
      </c>
    </row>
    <row r="21" spans="1:196" x14ac:dyDescent="0.25">
      <c r="A21" s="4">
        <f>DATE(2024,9,5)</f>
        <v>45540</v>
      </c>
      <c r="GN21">
        <f t="shared" si="0"/>
        <v>0</v>
      </c>
    </row>
    <row r="22" spans="1:196" x14ac:dyDescent="0.25">
      <c r="A22" s="4">
        <f>DATE(2024,9,4)</f>
        <v>45539</v>
      </c>
      <c r="GN22">
        <f t="shared" si="0"/>
        <v>0</v>
      </c>
    </row>
    <row r="23" spans="1:196" x14ac:dyDescent="0.25">
      <c r="A23" s="4">
        <f>DATE(2024,9,3)</f>
        <v>45538</v>
      </c>
      <c r="GN23">
        <f t="shared" si="0"/>
        <v>0</v>
      </c>
    </row>
    <row r="24" spans="1:196" x14ac:dyDescent="0.25">
      <c r="A24" s="4">
        <f>DATE(2024,9,2)</f>
        <v>45537</v>
      </c>
      <c r="GN24">
        <f t="shared" si="0"/>
        <v>0</v>
      </c>
    </row>
    <row r="25" spans="1:196" x14ac:dyDescent="0.25">
      <c r="A25" s="4">
        <f>DATE(2024,8,30)</f>
        <v>45534</v>
      </c>
      <c r="GN25">
        <f t="shared" si="0"/>
        <v>0</v>
      </c>
    </row>
    <row r="26" spans="1:196" x14ac:dyDescent="0.25">
      <c r="A26" s="4">
        <f>DATE(2024,8,29)</f>
        <v>45533</v>
      </c>
      <c r="GN26">
        <f t="shared" si="0"/>
        <v>0</v>
      </c>
    </row>
    <row r="27" spans="1:196" x14ac:dyDescent="0.25">
      <c r="A27" s="4">
        <f>DATE(2024,8,28)</f>
        <v>45532</v>
      </c>
      <c r="GN27">
        <f t="shared" si="0"/>
        <v>0</v>
      </c>
    </row>
    <row r="28" spans="1:196" x14ac:dyDescent="0.25">
      <c r="A28" s="4">
        <f>DATE(2024,8,27)</f>
        <v>45531</v>
      </c>
      <c r="GN28">
        <f t="shared" si="0"/>
        <v>0</v>
      </c>
    </row>
    <row r="29" spans="1:196" x14ac:dyDescent="0.25">
      <c r="A29" s="4">
        <f>DATE(2024,8,26)</f>
        <v>45530</v>
      </c>
      <c r="GN29">
        <f t="shared" si="0"/>
        <v>0</v>
      </c>
    </row>
    <row r="30" spans="1:196" x14ac:dyDescent="0.25">
      <c r="A30" s="4">
        <f>DATE(2024,8,23)</f>
        <v>45527</v>
      </c>
      <c r="GN30">
        <f t="shared" si="0"/>
        <v>0</v>
      </c>
    </row>
    <row r="31" spans="1:196" x14ac:dyDescent="0.25">
      <c r="A31" s="4">
        <f>DATE(2024,8,22)</f>
        <v>45526</v>
      </c>
      <c r="GN31">
        <f t="shared" si="0"/>
        <v>0</v>
      </c>
    </row>
    <row r="32" spans="1:196" x14ac:dyDescent="0.25">
      <c r="A32" s="4">
        <f>DATE(2024,8,21)</f>
        <v>45525</v>
      </c>
      <c r="GN32">
        <f t="shared" si="0"/>
        <v>0</v>
      </c>
    </row>
    <row r="33" spans="1:196" x14ac:dyDescent="0.25">
      <c r="A33" s="4">
        <f>DATE(2024,8,20)</f>
        <v>45524</v>
      </c>
      <c r="GN33">
        <f t="shared" si="0"/>
        <v>0</v>
      </c>
    </row>
    <row r="34" spans="1:196" x14ac:dyDescent="0.25">
      <c r="A34" s="4">
        <f>DATE(2024,8,19)</f>
        <v>45523</v>
      </c>
      <c r="GN34">
        <f t="shared" si="0"/>
        <v>0</v>
      </c>
    </row>
    <row r="35" spans="1:196" x14ac:dyDescent="0.25">
      <c r="A35" s="4">
        <f>DATE(2024,8,16)</f>
        <v>45520</v>
      </c>
      <c r="GN35">
        <f t="shared" si="0"/>
        <v>0</v>
      </c>
    </row>
    <row r="36" spans="1:196" x14ac:dyDescent="0.25">
      <c r="A36" s="4">
        <f>DATE(2024,8,15)</f>
        <v>45519</v>
      </c>
      <c r="GN36">
        <f t="shared" si="0"/>
        <v>0</v>
      </c>
    </row>
    <row r="37" spans="1:196" x14ac:dyDescent="0.25">
      <c r="A37" s="4">
        <f>DATE(2024,8,14)</f>
        <v>45518</v>
      </c>
      <c r="GN37">
        <f t="shared" ref="GN37:GN68" si="1">SUMPRODUCT(C37:GM37)</f>
        <v>0</v>
      </c>
    </row>
    <row r="38" spans="1:196" x14ac:dyDescent="0.25">
      <c r="A38" s="4">
        <f>DATE(2024,8,13)</f>
        <v>45517</v>
      </c>
      <c r="GN38">
        <f t="shared" si="1"/>
        <v>0</v>
      </c>
    </row>
    <row r="39" spans="1:196" x14ac:dyDescent="0.25">
      <c r="A39" s="4">
        <f>DATE(2024,8,12)</f>
        <v>45516</v>
      </c>
      <c r="GN39">
        <f t="shared" si="1"/>
        <v>0</v>
      </c>
    </row>
    <row r="40" spans="1:196" x14ac:dyDescent="0.25">
      <c r="A40" s="4">
        <f>DATE(2024,8,9)</f>
        <v>45513</v>
      </c>
      <c r="GN40">
        <f t="shared" si="1"/>
        <v>0</v>
      </c>
    </row>
    <row r="41" spans="1:196" x14ac:dyDescent="0.25">
      <c r="A41" s="4">
        <f>DATE(2024,8,8)</f>
        <v>45512</v>
      </c>
      <c r="GN41">
        <f t="shared" si="1"/>
        <v>0</v>
      </c>
    </row>
    <row r="42" spans="1:196" x14ac:dyDescent="0.25">
      <c r="A42" s="4">
        <f>DATE(2024,8,7)</f>
        <v>45511</v>
      </c>
      <c r="GN42">
        <f t="shared" si="1"/>
        <v>0</v>
      </c>
    </row>
    <row r="43" spans="1:196" x14ac:dyDescent="0.25">
      <c r="A43" s="4">
        <f>DATE(2024,8,6)</f>
        <v>45510</v>
      </c>
      <c r="GN43">
        <f t="shared" si="1"/>
        <v>0</v>
      </c>
    </row>
    <row r="44" spans="1:196" x14ac:dyDescent="0.25">
      <c r="A44" s="4">
        <f>DATE(2024,8,5)</f>
        <v>45509</v>
      </c>
      <c r="GN44">
        <f t="shared" si="1"/>
        <v>0</v>
      </c>
    </row>
    <row r="45" spans="1:196" x14ac:dyDescent="0.25">
      <c r="A45" s="4">
        <f>DATE(2024,8,2)</f>
        <v>45506</v>
      </c>
      <c r="GN45">
        <f t="shared" si="1"/>
        <v>0</v>
      </c>
    </row>
    <row r="46" spans="1:196" x14ac:dyDescent="0.25">
      <c r="A46" s="4">
        <f>DATE(2024,8,1)</f>
        <v>45505</v>
      </c>
      <c r="GN46">
        <f t="shared" si="1"/>
        <v>0</v>
      </c>
    </row>
    <row r="47" spans="1:196" x14ac:dyDescent="0.25">
      <c r="A47" s="4">
        <f>DATE(2024,7,31)</f>
        <v>45504</v>
      </c>
      <c r="GN47">
        <f t="shared" si="1"/>
        <v>0</v>
      </c>
    </row>
    <row r="48" spans="1:196" x14ac:dyDescent="0.25">
      <c r="A48" s="4">
        <f>DATE(2024,7,30)</f>
        <v>45503</v>
      </c>
      <c r="GN48">
        <f t="shared" si="1"/>
        <v>0</v>
      </c>
    </row>
    <row r="49" spans="1:196" x14ac:dyDescent="0.25">
      <c r="A49" s="4">
        <f>DATE(2024,7,29)</f>
        <v>45502</v>
      </c>
      <c r="GN49">
        <f t="shared" si="1"/>
        <v>0</v>
      </c>
    </row>
    <row r="50" spans="1:196" x14ac:dyDescent="0.25">
      <c r="A50" s="4">
        <f>DATE(2024,7,26)</f>
        <v>45499</v>
      </c>
      <c r="GN50">
        <f t="shared" si="1"/>
        <v>0</v>
      </c>
    </row>
    <row r="51" spans="1:196" x14ac:dyDescent="0.25">
      <c r="A51" s="4">
        <f>DATE(2024,7,25)</f>
        <v>45498</v>
      </c>
      <c r="B51">
        <v>0</v>
      </c>
      <c r="W51">
        <v>750</v>
      </c>
      <c r="AG51">
        <v>1000</v>
      </c>
      <c r="AQ51">
        <v>1550</v>
      </c>
      <c r="BA51">
        <v>800</v>
      </c>
      <c r="BK51">
        <v>6150</v>
      </c>
      <c r="BO51">
        <v>4125</v>
      </c>
      <c r="BU51">
        <v>7500</v>
      </c>
      <c r="CE51">
        <v>15026</v>
      </c>
      <c r="CI51">
        <v>570</v>
      </c>
      <c r="CK51">
        <v>30</v>
      </c>
      <c r="CM51">
        <v>500</v>
      </c>
      <c r="CO51">
        <v>9680</v>
      </c>
      <c r="CQ51">
        <v>70</v>
      </c>
      <c r="CS51">
        <v>30</v>
      </c>
      <c r="CU51">
        <v>100</v>
      </c>
      <c r="CY51">
        <v>2675</v>
      </c>
      <c r="DI51">
        <v>2175</v>
      </c>
      <c r="GN51">
        <f t="shared" si="1"/>
        <v>52731</v>
      </c>
    </row>
    <row r="52" spans="1:196" x14ac:dyDescent="0.25">
      <c r="A52" s="4">
        <f>DATE(2024,7,24)</f>
        <v>45497</v>
      </c>
      <c r="B52">
        <v>372504</v>
      </c>
      <c r="W52">
        <v>750</v>
      </c>
      <c r="AG52">
        <v>1000</v>
      </c>
      <c r="AQ52">
        <v>1550</v>
      </c>
      <c r="BA52">
        <v>800</v>
      </c>
      <c r="BK52">
        <v>6150</v>
      </c>
      <c r="BO52">
        <v>4125</v>
      </c>
      <c r="BU52">
        <v>7500</v>
      </c>
      <c r="CE52">
        <v>15076</v>
      </c>
      <c r="CI52">
        <v>570</v>
      </c>
      <c r="CK52">
        <v>30</v>
      </c>
      <c r="CM52">
        <v>500</v>
      </c>
      <c r="CO52">
        <v>9630</v>
      </c>
      <c r="CQ52">
        <v>70</v>
      </c>
      <c r="CS52">
        <v>30</v>
      </c>
      <c r="CU52">
        <v>100</v>
      </c>
      <c r="CY52">
        <v>2675</v>
      </c>
      <c r="DI52">
        <v>2175</v>
      </c>
      <c r="GN52">
        <f t="shared" si="1"/>
        <v>52731</v>
      </c>
    </row>
    <row r="53" spans="1:196" x14ac:dyDescent="0.25">
      <c r="A53" s="4">
        <f>DATE(2024,7,23)</f>
        <v>45496</v>
      </c>
      <c r="B53">
        <v>372909</v>
      </c>
      <c r="W53">
        <v>750</v>
      </c>
      <c r="AG53">
        <v>1000</v>
      </c>
      <c r="AQ53">
        <v>1550</v>
      </c>
      <c r="BA53">
        <v>800</v>
      </c>
      <c r="BK53">
        <v>6150</v>
      </c>
      <c r="BO53">
        <v>4125</v>
      </c>
      <c r="BU53">
        <v>7500</v>
      </c>
      <c r="CE53">
        <v>15076</v>
      </c>
      <c r="CI53">
        <v>570</v>
      </c>
      <c r="CK53">
        <v>30</v>
      </c>
      <c r="CM53">
        <v>500</v>
      </c>
      <c r="CO53">
        <v>9730</v>
      </c>
      <c r="CQ53">
        <v>70</v>
      </c>
      <c r="CS53">
        <v>30</v>
      </c>
      <c r="CU53">
        <v>100</v>
      </c>
      <c r="CY53">
        <v>2675</v>
      </c>
      <c r="DI53">
        <v>2175</v>
      </c>
      <c r="GN53">
        <f t="shared" si="1"/>
        <v>52831</v>
      </c>
    </row>
    <row r="54" spans="1:196" x14ac:dyDescent="0.25">
      <c r="A54" s="4">
        <f>DATE(2024,7,22)</f>
        <v>45495</v>
      </c>
      <c r="B54">
        <v>372152</v>
      </c>
      <c r="W54">
        <v>750</v>
      </c>
      <c r="AG54">
        <v>1000</v>
      </c>
      <c r="AQ54">
        <v>1550</v>
      </c>
      <c r="BA54">
        <v>800</v>
      </c>
      <c r="BK54">
        <v>6150</v>
      </c>
      <c r="BO54">
        <v>4125</v>
      </c>
      <c r="BU54">
        <v>7500</v>
      </c>
      <c r="CE54">
        <v>15076</v>
      </c>
      <c r="CI54">
        <v>570</v>
      </c>
      <c r="CK54">
        <v>30</v>
      </c>
      <c r="CM54">
        <v>500</v>
      </c>
      <c r="CO54">
        <v>9730</v>
      </c>
      <c r="CQ54">
        <v>70</v>
      </c>
      <c r="CS54">
        <v>30</v>
      </c>
      <c r="CU54">
        <v>100</v>
      </c>
      <c r="CY54">
        <v>2675</v>
      </c>
      <c r="DI54">
        <v>2175</v>
      </c>
      <c r="GN54">
        <f t="shared" si="1"/>
        <v>52831</v>
      </c>
    </row>
    <row r="55" spans="1:196" x14ac:dyDescent="0.25">
      <c r="A55" s="4">
        <f>DATE(2024,7,19)</f>
        <v>45492</v>
      </c>
      <c r="B55">
        <v>368656</v>
      </c>
      <c r="W55">
        <v>750</v>
      </c>
      <c r="AG55">
        <v>1000</v>
      </c>
      <c r="AQ55">
        <v>1550</v>
      </c>
      <c r="BA55">
        <v>800</v>
      </c>
      <c r="BK55">
        <v>6150</v>
      </c>
      <c r="BO55">
        <v>4125</v>
      </c>
      <c r="BU55">
        <v>7500</v>
      </c>
      <c r="CE55">
        <v>15076</v>
      </c>
      <c r="CI55">
        <v>570</v>
      </c>
      <c r="CK55">
        <v>30</v>
      </c>
      <c r="CM55">
        <v>500</v>
      </c>
      <c r="CO55">
        <v>9730</v>
      </c>
      <c r="CQ55">
        <v>70</v>
      </c>
      <c r="CS55">
        <v>30</v>
      </c>
      <c r="CU55">
        <v>100</v>
      </c>
      <c r="CY55">
        <v>2675</v>
      </c>
      <c r="DI55">
        <v>2175</v>
      </c>
      <c r="GN55">
        <f t="shared" si="1"/>
        <v>52831</v>
      </c>
    </row>
    <row r="56" spans="1:196" x14ac:dyDescent="0.25">
      <c r="A56" s="4">
        <f>DATE(2024,7,18)</f>
        <v>45491</v>
      </c>
      <c r="B56">
        <v>367825</v>
      </c>
      <c r="W56">
        <v>750</v>
      </c>
      <c r="AG56">
        <v>1000</v>
      </c>
      <c r="AQ56">
        <v>1550</v>
      </c>
      <c r="BA56">
        <v>800</v>
      </c>
      <c r="BK56">
        <v>6150</v>
      </c>
      <c r="BO56">
        <v>4125</v>
      </c>
      <c r="BU56">
        <v>7400</v>
      </c>
      <c r="CE56">
        <v>15076</v>
      </c>
      <c r="CI56">
        <v>570</v>
      </c>
      <c r="CK56">
        <v>30</v>
      </c>
      <c r="CM56">
        <v>500</v>
      </c>
      <c r="CO56">
        <v>9830</v>
      </c>
      <c r="CQ56">
        <v>70</v>
      </c>
      <c r="CS56">
        <v>30</v>
      </c>
      <c r="CU56">
        <v>100</v>
      </c>
      <c r="CY56">
        <v>2675</v>
      </c>
      <c r="DI56">
        <v>2175</v>
      </c>
      <c r="GN56">
        <f t="shared" si="1"/>
        <v>52831</v>
      </c>
    </row>
    <row r="57" spans="1:196" x14ac:dyDescent="0.25">
      <c r="A57" s="4">
        <f>DATE(2024,7,17)</f>
        <v>45490</v>
      </c>
      <c r="B57">
        <v>366585</v>
      </c>
      <c r="W57">
        <v>750</v>
      </c>
      <c r="AG57">
        <v>1000</v>
      </c>
      <c r="AQ57">
        <v>1550</v>
      </c>
      <c r="BA57">
        <v>800</v>
      </c>
      <c r="BK57">
        <v>6150</v>
      </c>
      <c r="BO57">
        <v>4125</v>
      </c>
      <c r="BU57">
        <v>7400</v>
      </c>
      <c r="CE57">
        <v>14826</v>
      </c>
      <c r="CI57">
        <v>570</v>
      </c>
      <c r="CK57">
        <v>30</v>
      </c>
      <c r="CM57">
        <v>500</v>
      </c>
      <c r="CO57">
        <v>9830</v>
      </c>
      <c r="CQ57">
        <v>70</v>
      </c>
      <c r="CS57">
        <v>30</v>
      </c>
      <c r="CU57">
        <v>100</v>
      </c>
      <c r="CY57">
        <v>2675</v>
      </c>
      <c r="DI57">
        <v>2175</v>
      </c>
      <c r="GN57">
        <f t="shared" si="1"/>
        <v>52581</v>
      </c>
    </row>
    <row r="58" spans="1:196" x14ac:dyDescent="0.25">
      <c r="A58" s="4">
        <f>DATE(2024,7,16)</f>
        <v>45489</v>
      </c>
      <c r="B58">
        <v>363416</v>
      </c>
      <c r="W58">
        <v>750</v>
      </c>
      <c r="AG58">
        <v>1000</v>
      </c>
      <c r="AQ58">
        <v>1550</v>
      </c>
      <c r="BA58">
        <v>800</v>
      </c>
      <c r="BK58">
        <v>6150</v>
      </c>
      <c r="BO58">
        <v>4125</v>
      </c>
      <c r="BU58">
        <v>7175</v>
      </c>
      <c r="CE58">
        <v>13076</v>
      </c>
      <c r="CI58">
        <v>40</v>
      </c>
      <c r="CM58">
        <v>40</v>
      </c>
      <c r="CO58">
        <v>10000</v>
      </c>
      <c r="CQ58">
        <v>40</v>
      </c>
      <c r="CU58">
        <v>100</v>
      </c>
      <c r="CY58">
        <v>2675</v>
      </c>
      <c r="DI58">
        <v>2175</v>
      </c>
      <c r="GN58">
        <f t="shared" si="1"/>
        <v>49696</v>
      </c>
    </row>
    <row r="59" spans="1:196" x14ac:dyDescent="0.25">
      <c r="A59" s="4">
        <f>DATE(2024,7,15)</f>
        <v>45488</v>
      </c>
      <c r="B59">
        <v>363566</v>
      </c>
      <c r="W59">
        <v>750</v>
      </c>
      <c r="AG59">
        <v>1000</v>
      </c>
      <c r="AQ59">
        <v>1550</v>
      </c>
      <c r="BA59">
        <v>800</v>
      </c>
      <c r="BK59">
        <v>6150</v>
      </c>
      <c r="BO59">
        <v>4125</v>
      </c>
      <c r="BU59">
        <v>7175</v>
      </c>
      <c r="CE59">
        <v>12801</v>
      </c>
      <c r="CI59">
        <v>40</v>
      </c>
      <c r="CM59">
        <v>40</v>
      </c>
      <c r="CO59">
        <v>10000</v>
      </c>
      <c r="CQ59">
        <v>40</v>
      </c>
      <c r="CU59">
        <v>100</v>
      </c>
      <c r="CY59">
        <v>2675</v>
      </c>
      <c r="DI59">
        <v>2175</v>
      </c>
      <c r="GN59">
        <f t="shared" si="1"/>
        <v>49421</v>
      </c>
    </row>
    <row r="60" spans="1:196" x14ac:dyDescent="0.25">
      <c r="A60" s="4">
        <f>DATE(2024,7,12)</f>
        <v>45485</v>
      </c>
      <c r="B60">
        <v>362207</v>
      </c>
      <c r="W60">
        <v>750</v>
      </c>
      <c r="AG60">
        <v>1000</v>
      </c>
      <c r="AQ60">
        <v>1550</v>
      </c>
      <c r="BA60">
        <v>800</v>
      </c>
      <c r="BK60">
        <v>6150</v>
      </c>
      <c r="BO60">
        <v>4125</v>
      </c>
      <c r="BU60">
        <v>7175</v>
      </c>
      <c r="CE60">
        <v>12801</v>
      </c>
      <c r="CI60">
        <v>40</v>
      </c>
      <c r="CM60">
        <v>40</v>
      </c>
      <c r="CO60">
        <v>10000</v>
      </c>
      <c r="CQ60">
        <v>40</v>
      </c>
      <c r="CU60">
        <v>100</v>
      </c>
      <c r="CY60">
        <v>2675</v>
      </c>
      <c r="DI60">
        <v>2175</v>
      </c>
      <c r="GN60">
        <f t="shared" si="1"/>
        <v>49421</v>
      </c>
    </row>
    <row r="61" spans="1:196" x14ac:dyDescent="0.25">
      <c r="A61" s="4">
        <f>DATE(2024,7,11)</f>
        <v>45484</v>
      </c>
      <c r="B61">
        <v>363359</v>
      </c>
      <c r="W61">
        <v>750</v>
      </c>
      <c r="AG61">
        <v>1000</v>
      </c>
      <c r="AQ61">
        <v>1550</v>
      </c>
      <c r="BA61">
        <v>800</v>
      </c>
      <c r="BK61">
        <v>6150</v>
      </c>
      <c r="BO61">
        <v>4125</v>
      </c>
      <c r="BU61">
        <v>7175</v>
      </c>
      <c r="CE61">
        <v>13001</v>
      </c>
      <c r="CI61">
        <v>40</v>
      </c>
      <c r="CM61">
        <v>40</v>
      </c>
      <c r="CO61">
        <v>10000</v>
      </c>
      <c r="CQ61">
        <v>40</v>
      </c>
      <c r="CU61">
        <v>100</v>
      </c>
      <c r="CY61">
        <v>2775</v>
      </c>
      <c r="DI61">
        <v>2175</v>
      </c>
      <c r="GN61">
        <f t="shared" si="1"/>
        <v>49721</v>
      </c>
    </row>
    <row r="62" spans="1:196" x14ac:dyDescent="0.25">
      <c r="A62" s="4">
        <f>DATE(2024,7,10)</f>
        <v>45483</v>
      </c>
      <c r="B62">
        <v>363609</v>
      </c>
      <c r="W62">
        <v>750</v>
      </c>
      <c r="AG62">
        <v>1000</v>
      </c>
      <c r="AQ62">
        <v>1550</v>
      </c>
      <c r="BA62">
        <v>800</v>
      </c>
      <c r="BK62">
        <v>6150</v>
      </c>
      <c r="BO62">
        <v>4125</v>
      </c>
      <c r="BU62">
        <v>7175</v>
      </c>
      <c r="CE62">
        <v>13001</v>
      </c>
      <c r="CI62">
        <v>40</v>
      </c>
      <c r="CM62">
        <v>40</v>
      </c>
      <c r="CO62">
        <v>10000</v>
      </c>
      <c r="CQ62">
        <v>40</v>
      </c>
      <c r="CU62">
        <v>100</v>
      </c>
      <c r="CY62">
        <v>2775</v>
      </c>
      <c r="DI62">
        <v>2175</v>
      </c>
      <c r="GN62">
        <f t="shared" si="1"/>
        <v>49721</v>
      </c>
    </row>
    <row r="63" spans="1:196" x14ac:dyDescent="0.25">
      <c r="A63" s="4">
        <f>DATE(2024,7,9)</f>
        <v>45482</v>
      </c>
      <c r="B63">
        <v>362325</v>
      </c>
      <c r="W63">
        <v>750</v>
      </c>
      <c r="AG63">
        <v>1000</v>
      </c>
      <c r="AQ63">
        <v>1550</v>
      </c>
      <c r="BA63">
        <v>800</v>
      </c>
      <c r="BK63">
        <v>6150</v>
      </c>
      <c r="BO63">
        <v>4125</v>
      </c>
      <c r="BU63">
        <v>6825</v>
      </c>
      <c r="CE63">
        <v>13326</v>
      </c>
      <c r="CI63">
        <v>40</v>
      </c>
      <c r="CM63">
        <v>40</v>
      </c>
      <c r="CO63">
        <v>10400</v>
      </c>
      <c r="CQ63">
        <v>40</v>
      </c>
      <c r="CU63">
        <v>100</v>
      </c>
      <c r="CY63">
        <v>2775</v>
      </c>
      <c r="DI63">
        <v>2175</v>
      </c>
      <c r="GN63">
        <f t="shared" si="1"/>
        <v>50096</v>
      </c>
    </row>
    <row r="64" spans="1:196" x14ac:dyDescent="0.25">
      <c r="A64" s="4">
        <f>DATE(2024,7,8)</f>
        <v>45481</v>
      </c>
      <c r="B64">
        <v>361404</v>
      </c>
      <c r="W64">
        <v>750</v>
      </c>
      <c r="AG64">
        <v>1000</v>
      </c>
      <c r="AQ64">
        <v>1550</v>
      </c>
      <c r="BA64">
        <v>800</v>
      </c>
      <c r="BK64">
        <v>6150</v>
      </c>
      <c r="BO64">
        <v>4125</v>
      </c>
      <c r="BU64">
        <v>6825</v>
      </c>
      <c r="CE64">
        <v>13326</v>
      </c>
      <c r="CI64">
        <v>40</v>
      </c>
      <c r="CM64">
        <v>40</v>
      </c>
      <c r="CO64">
        <v>10400</v>
      </c>
      <c r="CQ64">
        <v>40</v>
      </c>
      <c r="CU64">
        <v>100</v>
      </c>
      <c r="CY64">
        <v>2775</v>
      </c>
      <c r="DI64">
        <v>2175</v>
      </c>
      <c r="GN64">
        <f t="shared" si="1"/>
        <v>50096</v>
      </c>
    </row>
    <row r="65" spans="1:196" x14ac:dyDescent="0.25">
      <c r="A65" s="4">
        <f>DATE(2024,7,5)</f>
        <v>45478</v>
      </c>
      <c r="B65">
        <v>359688</v>
      </c>
      <c r="W65">
        <v>750</v>
      </c>
      <c r="AG65">
        <v>1000</v>
      </c>
      <c r="AQ65">
        <v>1550</v>
      </c>
      <c r="BA65">
        <v>800</v>
      </c>
      <c r="BK65">
        <v>6150</v>
      </c>
      <c r="BO65">
        <v>4125</v>
      </c>
      <c r="BU65">
        <v>6825</v>
      </c>
      <c r="CE65">
        <v>13326</v>
      </c>
      <c r="CI65">
        <v>40</v>
      </c>
      <c r="CM65">
        <v>40</v>
      </c>
      <c r="CO65">
        <v>10400</v>
      </c>
      <c r="CQ65">
        <v>40</v>
      </c>
      <c r="CU65">
        <v>100</v>
      </c>
      <c r="CY65">
        <v>2775</v>
      </c>
      <c r="DI65">
        <v>2175</v>
      </c>
      <c r="GN65">
        <f t="shared" si="1"/>
        <v>50096</v>
      </c>
    </row>
    <row r="66" spans="1:196" x14ac:dyDescent="0.25">
      <c r="A66" s="4">
        <f>DATE(2024,7,4)</f>
        <v>45477</v>
      </c>
      <c r="B66">
        <v>359778</v>
      </c>
      <c r="W66">
        <v>750</v>
      </c>
      <c r="AG66">
        <v>1000</v>
      </c>
      <c r="AQ66">
        <v>1550</v>
      </c>
      <c r="BA66">
        <v>800</v>
      </c>
      <c r="BK66">
        <v>6300</v>
      </c>
      <c r="BO66">
        <v>4125</v>
      </c>
      <c r="BU66">
        <v>6825</v>
      </c>
      <c r="CE66">
        <v>13326</v>
      </c>
      <c r="CI66">
        <v>40</v>
      </c>
      <c r="CM66">
        <v>40</v>
      </c>
      <c r="CO66">
        <v>10400</v>
      </c>
      <c r="CQ66">
        <v>40</v>
      </c>
      <c r="CU66">
        <v>100</v>
      </c>
      <c r="CY66">
        <v>2625</v>
      </c>
      <c r="DI66">
        <v>2175</v>
      </c>
      <c r="GN66">
        <f t="shared" si="1"/>
        <v>50096</v>
      </c>
    </row>
    <row r="67" spans="1:196" x14ac:dyDescent="0.25">
      <c r="A67" s="4">
        <f>DATE(2024,7,3)</f>
        <v>45476</v>
      </c>
      <c r="B67">
        <v>359447</v>
      </c>
      <c r="W67">
        <v>750</v>
      </c>
      <c r="AG67">
        <v>1000</v>
      </c>
      <c r="AQ67">
        <v>1550</v>
      </c>
      <c r="BA67">
        <v>800</v>
      </c>
      <c r="BK67">
        <v>6125</v>
      </c>
      <c r="BO67">
        <v>4125</v>
      </c>
      <c r="BU67">
        <v>7075</v>
      </c>
      <c r="CE67">
        <v>13226</v>
      </c>
      <c r="CI67">
        <v>40</v>
      </c>
      <c r="CM67">
        <v>40</v>
      </c>
      <c r="CO67">
        <v>8150</v>
      </c>
      <c r="CQ67">
        <v>40</v>
      </c>
      <c r="CU67">
        <v>100</v>
      </c>
      <c r="CY67">
        <v>2625</v>
      </c>
      <c r="DI67">
        <v>2175</v>
      </c>
      <c r="GN67">
        <f t="shared" si="1"/>
        <v>47821</v>
      </c>
    </row>
    <row r="68" spans="1:196" x14ac:dyDescent="0.25">
      <c r="A68" s="4">
        <f>DATE(2024,7,2)</f>
        <v>45475</v>
      </c>
      <c r="B68">
        <v>358571</v>
      </c>
      <c r="W68">
        <v>750</v>
      </c>
      <c r="AG68">
        <v>1000</v>
      </c>
      <c r="AQ68">
        <v>1550</v>
      </c>
      <c r="BA68">
        <v>800</v>
      </c>
      <c r="BK68">
        <v>5975</v>
      </c>
      <c r="BO68">
        <v>4125</v>
      </c>
      <c r="BU68">
        <v>6825</v>
      </c>
      <c r="CE68">
        <v>12576</v>
      </c>
      <c r="CI68">
        <v>40</v>
      </c>
      <c r="CM68">
        <v>40</v>
      </c>
      <c r="CO68">
        <v>8275</v>
      </c>
      <c r="CQ68">
        <v>40</v>
      </c>
      <c r="CU68">
        <v>100</v>
      </c>
      <c r="CY68">
        <v>2625</v>
      </c>
      <c r="DI68">
        <v>2175</v>
      </c>
      <c r="GN68">
        <f t="shared" si="1"/>
        <v>46896</v>
      </c>
    </row>
    <row r="69" spans="1:196" x14ac:dyDescent="0.25">
      <c r="A69" s="4">
        <f>DATE(2024,7,1)</f>
        <v>45474</v>
      </c>
      <c r="B69">
        <v>357779</v>
      </c>
      <c r="W69">
        <v>750</v>
      </c>
      <c r="AG69">
        <v>1000</v>
      </c>
      <c r="AQ69">
        <v>1550</v>
      </c>
      <c r="BA69">
        <v>800</v>
      </c>
      <c r="BK69">
        <v>5975</v>
      </c>
      <c r="BO69">
        <v>4125</v>
      </c>
      <c r="BU69">
        <v>6800</v>
      </c>
      <c r="CE69">
        <v>12576</v>
      </c>
      <c r="CI69">
        <v>40</v>
      </c>
      <c r="CM69">
        <v>40</v>
      </c>
      <c r="CO69">
        <v>7575</v>
      </c>
      <c r="CQ69">
        <v>40</v>
      </c>
      <c r="CU69">
        <v>100</v>
      </c>
      <c r="CY69">
        <v>2625</v>
      </c>
      <c r="DI69">
        <v>2175</v>
      </c>
      <c r="GN69">
        <f t="shared" ref="GN69:GN71" si="2">SUMPRODUCT(C69:GM69)</f>
        <v>46171</v>
      </c>
    </row>
    <row r="70" spans="1:196" x14ac:dyDescent="0.25">
      <c r="A70" s="4">
        <f>DATE(2024,6,28)</f>
        <v>45471</v>
      </c>
      <c r="B70">
        <v>357843</v>
      </c>
      <c r="W70">
        <v>750</v>
      </c>
      <c r="AG70">
        <v>1000</v>
      </c>
      <c r="AQ70">
        <v>1550</v>
      </c>
      <c r="BA70">
        <v>800</v>
      </c>
      <c r="BK70">
        <v>5925</v>
      </c>
      <c r="BO70">
        <v>4125</v>
      </c>
      <c r="BU70">
        <v>6800</v>
      </c>
      <c r="CE70">
        <v>12926</v>
      </c>
      <c r="CI70">
        <v>40</v>
      </c>
      <c r="CM70">
        <v>40</v>
      </c>
      <c r="CO70">
        <v>7350</v>
      </c>
      <c r="CQ70">
        <v>40</v>
      </c>
      <c r="CU70">
        <v>100</v>
      </c>
      <c r="CY70">
        <v>2625</v>
      </c>
      <c r="DI70">
        <v>2175</v>
      </c>
      <c r="GN70">
        <f t="shared" si="2"/>
        <v>46246</v>
      </c>
    </row>
    <row r="71" spans="1:196" x14ac:dyDescent="0.25">
      <c r="A71" s="4">
        <f>DATE(2024,6,27)</f>
        <v>45470</v>
      </c>
      <c r="B71">
        <v>358346</v>
      </c>
      <c r="W71">
        <v>750</v>
      </c>
      <c r="AG71">
        <v>1000</v>
      </c>
      <c r="AQ71">
        <v>1550</v>
      </c>
      <c r="BA71">
        <v>800</v>
      </c>
      <c r="BK71">
        <v>5425</v>
      </c>
      <c r="BO71">
        <v>4125</v>
      </c>
      <c r="BU71">
        <v>5600</v>
      </c>
      <c r="CE71">
        <v>13301</v>
      </c>
      <c r="CI71">
        <v>40</v>
      </c>
      <c r="CM71">
        <v>40</v>
      </c>
      <c r="CO71">
        <v>7350</v>
      </c>
      <c r="CQ71">
        <v>40</v>
      </c>
      <c r="CU71">
        <v>100</v>
      </c>
      <c r="CY71">
        <v>2625</v>
      </c>
      <c r="DI71">
        <v>2175</v>
      </c>
      <c r="GN71">
        <f t="shared" si="2"/>
        <v>44921</v>
      </c>
    </row>
    <row r="72" spans="1:196" x14ac:dyDescent="0.25">
      <c r="A72" s="4">
        <f>DATE(2024,6,26)</f>
        <v>45469</v>
      </c>
      <c r="B72">
        <v>355843</v>
      </c>
      <c r="W72">
        <v>750</v>
      </c>
      <c r="AG72">
        <v>1000</v>
      </c>
      <c r="AQ72">
        <v>1550</v>
      </c>
      <c r="BA72">
        <v>800</v>
      </c>
      <c r="BK72">
        <v>5075</v>
      </c>
      <c r="BO72">
        <v>4125</v>
      </c>
      <c r="BU72">
        <v>3225</v>
      </c>
      <c r="CE72">
        <v>13301</v>
      </c>
      <c r="CI72">
        <v>40</v>
      </c>
      <c r="CM72">
        <v>40</v>
      </c>
      <c r="CO72">
        <v>6950</v>
      </c>
      <c r="CQ72">
        <v>40</v>
      </c>
      <c r="CU72">
        <v>100</v>
      </c>
      <c r="CY72">
        <v>2625</v>
      </c>
      <c r="DI72">
        <v>2175</v>
      </c>
    </row>
    <row r="73" spans="1:196" x14ac:dyDescent="0.25">
      <c r="A73" s="4">
        <f>DATE(2024,6,25)</f>
        <v>45468</v>
      </c>
      <c r="B73">
        <v>354577</v>
      </c>
      <c r="W73">
        <v>750</v>
      </c>
      <c r="AG73">
        <v>1000</v>
      </c>
      <c r="AQ73">
        <v>1550</v>
      </c>
      <c r="BA73">
        <v>800</v>
      </c>
      <c r="BK73">
        <v>4375</v>
      </c>
      <c r="BO73">
        <v>4125</v>
      </c>
      <c r="BU73">
        <v>2175</v>
      </c>
      <c r="CE73">
        <v>12601</v>
      </c>
      <c r="CI73">
        <v>40</v>
      </c>
      <c r="CM73">
        <v>40</v>
      </c>
      <c r="CO73">
        <v>7275</v>
      </c>
      <c r="CQ73">
        <v>40</v>
      </c>
      <c r="CU73">
        <v>100</v>
      </c>
      <c r="CY73">
        <v>2625</v>
      </c>
      <c r="DI73">
        <v>2175</v>
      </c>
    </row>
    <row r="74" spans="1:196" x14ac:dyDescent="0.25">
      <c r="A74" s="4">
        <f>DATE(2024,6,24)</f>
        <v>45467</v>
      </c>
      <c r="B74">
        <v>353485</v>
      </c>
      <c r="W74">
        <v>750</v>
      </c>
      <c r="AG74">
        <v>1000</v>
      </c>
      <c r="AQ74">
        <v>1350</v>
      </c>
      <c r="BA74">
        <v>800</v>
      </c>
      <c r="BK74">
        <v>2875</v>
      </c>
      <c r="BO74">
        <v>4125</v>
      </c>
      <c r="BU74">
        <v>2175</v>
      </c>
      <c r="CE74">
        <v>10900</v>
      </c>
      <c r="CI74">
        <v>40</v>
      </c>
      <c r="CM74">
        <v>40</v>
      </c>
      <c r="CO74">
        <v>7325</v>
      </c>
      <c r="CQ74">
        <v>40</v>
      </c>
      <c r="CU74">
        <v>100</v>
      </c>
      <c r="CY74">
        <v>2625</v>
      </c>
      <c r="DI74">
        <v>2175</v>
      </c>
    </row>
    <row r="75" spans="1:196" x14ac:dyDescent="0.25">
      <c r="A75" s="4">
        <f>DATE(2024,6,21)</f>
        <v>45464</v>
      </c>
      <c r="B75">
        <v>349260</v>
      </c>
      <c r="W75">
        <v>750</v>
      </c>
      <c r="AG75">
        <v>1000</v>
      </c>
      <c r="AQ75">
        <v>1350</v>
      </c>
      <c r="BA75">
        <v>800</v>
      </c>
      <c r="BK75">
        <v>2875</v>
      </c>
      <c r="BO75">
        <v>4125</v>
      </c>
      <c r="BU75">
        <v>1600</v>
      </c>
      <c r="CE75">
        <v>8925</v>
      </c>
      <c r="CI75">
        <v>40</v>
      </c>
      <c r="CM75">
        <v>40</v>
      </c>
      <c r="CO75">
        <v>7350</v>
      </c>
      <c r="CQ75">
        <v>40</v>
      </c>
      <c r="CU75">
        <v>100</v>
      </c>
      <c r="CY75">
        <v>2625</v>
      </c>
      <c r="DI75">
        <v>2175</v>
      </c>
    </row>
    <row r="76" spans="1:196" x14ac:dyDescent="0.25">
      <c r="A76" s="4">
        <f>DATE(2024,6,20)</f>
        <v>45463</v>
      </c>
      <c r="B76">
        <v>342937</v>
      </c>
      <c r="W76">
        <v>750</v>
      </c>
      <c r="AG76">
        <v>1000</v>
      </c>
      <c r="AQ76">
        <v>1350</v>
      </c>
      <c r="BA76">
        <v>800</v>
      </c>
      <c r="BK76">
        <v>2875</v>
      </c>
      <c r="BO76">
        <v>4125</v>
      </c>
      <c r="BU76">
        <v>1600</v>
      </c>
      <c r="CE76">
        <v>9050</v>
      </c>
      <c r="CO76">
        <v>7350</v>
      </c>
      <c r="CU76">
        <v>100</v>
      </c>
      <c r="CY76">
        <v>2625</v>
      </c>
      <c r="DI76">
        <v>2175</v>
      </c>
    </row>
    <row r="77" spans="1:196" x14ac:dyDescent="0.25">
      <c r="A77" s="4">
        <f>DATE(2024,6,19)</f>
        <v>45462</v>
      </c>
      <c r="B77">
        <v>342582</v>
      </c>
      <c r="W77">
        <v>750</v>
      </c>
      <c r="AG77">
        <v>1000</v>
      </c>
      <c r="AQ77">
        <v>1350</v>
      </c>
      <c r="BA77">
        <v>800</v>
      </c>
      <c r="BK77">
        <v>2875</v>
      </c>
      <c r="BO77">
        <v>4125</v>
      </c>
      <c r="BU77">
        <v>1600</v>
      </c>
      <c r="CE77">
        <v>8975</v>
      </c>
      <c r="CO77">
        <v>6550</v>
      </c>
      <c r="CU77">
        <v>100</v>
      </c>
      <c r="CY77">
        <v>2575</v>
      </c>
      <c r="DI77">
        <v>2175</v>
      </c>
    </row>
    <row r="78" spans="1:196" x14ac:dyDescent="0.25">
      <c r="A78" s="4">
        <f>DATE(2024,6,18)</f>
        <v>45461</v>
      </c>
      <c r="B78">
        <v>346400</v>
      </c>
      <c r="W78">
        <v>750</v>
      </c>
      <c r="AG78">
        <v>1000</v>
      </c>
      <c r="AQ78">
        <v>1350</v>
      </c>
      <c r="BA78">
        <v>800</v>
      </c>
      <c r="BK78">
        <v>2875</v>
      </c>
      <c r="BO78">
        <v>3900</v>
      </c>
      <c r="BU78">
        <v>1400</v>
      </c>
      <c r="CE78">
        <v>7775</v>
      </c>
      <c r="CO78">
        <v>5950</v>
      </c>
      <c r="CU78">
        <v>100</v>
      </c>
      <c r="CY78">
        <v>2575</v>
      </c>
      <c r="DI78">
        <v>2175</v>
      </c>
    </row>
    <row r="79" spans="1:196" x14ac:dyDescent="0.25">
      <c r="A79" s="4">
        <f>DATE(2024,6,17)</f>
        <v>45460</v>
      </c>
      <c r="B79">
        <v>338785</v>
      </c>
      <c r="W79">
        <v>750</v>
      </c>
      <c r="AG79">
        <v>1000</v>
      </c>
      <c r="AQ79">
        <v>1350</v>
      </c>
      <c r="BA79">
        <v>800</v>
      </c>
      <c r="BK79">
        <v>2875</v>
      </c>
      <c r="BO79">
        <v>2025</v>
      </c>
      <c r="BU79">
        <v>1300</v>
      </c>
      <c r="CE79">
        <v>7000</v>
      </c>
      <c r="CO79">
        <v>6150</v>
      </c>
      <c r="CU79">
        <v>100</v>
      </c>
      <c r="CY79">
        <v>2575</v>
      </c>
      <c r="DI79">
        <v>2425</v>
      </c>
    </row>
    <row r="80" spans="1:196" x14ac:dyDescent="0.25">
      <c r="A80" s="4">
        <f>DATE(2024,6,14)</f>
        <v>45457</v>
      </c>
      <c r="B80">
        <v>338682</v>
      </c>
      <c r="W80">
        <v>750</v>
      </c>
      <c r="AG80">
        <v>1000</v>
      </c>
      <c r="AQ80">
        <v>1350</v>
      </c>
      <c r="BA80">
        <v>800</v>
      </c>
      <c r="BK80">
        <v>2875</v>
      </c>
      <c r="BO80">
        <v>1650</v>
      </c>
      <c r="BU80">
        <v>1300</v>
      </c>
      <c r="CE80">
        <v>6900</v>
      </c>
      <c r="CO80">
        <v>5900</v>
      </c>
      <c r="CU80">
        <v>100</v>
      </c>
      <c r="CY80">
        <v>2575</v>
      </c>
      <c r="DI80">
        <v>2425</v>
      </c>
    </row>
    <row r="81" spans="1:113" x14ac:dyDescent="0.25">
      <c r="A81" s="4">
        <f>DATE(2024,6,13)</f>
        <v>45456</v>
      </c>
      <c r="B81">
        <v>334373</v>
      </c>
      <c r="W81">
        <v>750</v>
      </c>
      <c r="AG81">
        <v>1000</v>
      </c>
      <c r="AQ81">
        <v>1350</v>
      </c>
      <c r="BA81">
        <v>800</v>
      </c>
      <c r="BK81">
        <v>1750</v>
      </c>
      <c r="BO81">
        <v>1650</v>
      </c>
      <c r="BU81">
        <v>850</v>
      </c>
      <c r="CE81">
        <v>6875</v>
      </c>
      <c r="CO81">
        <v>5700</v>
      </c>
      <c r="CU81">
        <v>100</v>
      </c>
      <c r="CY81">
        <v>2575</v>
      </c>
      <c r="DI81">
        <v>2300</v>
      </c>
    </row>
    <row r="82" spans="1:113" x14ac:dyDescent="0.25">
      <c r="A82" s="4">
        <f>DATE(2024,6,12)</f>
        <v>45455</v>
      </c>
      <c r="B82">
        <v>333805</v>
      </c>
      <c r="W82">
        <v>750</v>
      </c>
      <c r="AG82">
        <v>1000</v>
      </c>
      <c r="AQ82">
        <v>1350</v>
      </c>
      <c r="BA82">
        <v>800</v>
      </c>
      <c r="BK82">
        <v>1750</v>
      </c>
      <c r="BO82">
        <v>300</v>
      </c>
      <c r="BU82">
        <v>850</v>
      </c>
      <c r="CE82">
        <v>6875</v>
      </c>
      <c r="CO82">
        <v>5700</v>
      </c>
      <c r="CU82">
        <v>100</v>
      </c>
      <c r="CY82">
        <v>2575</v>
      </c>
      <c r="DI82">
        <v>2300</v>
      </c>
    </row>
    <row r="83" spans="1:113" x14ac:dyDescent="0.25">
      <c r="A83" s="4">
        <f>DATE(2024,6,11)</f>
        <v>45454</v>
      </c>
      <c r="B83">
        <v>333575</v>
      </c>
      <c r="W83">
        <v>750</v>
      </c>
      <c r="AG83">
        <v>1000</v>
      </c>
      <c r="AQ83">
        <v>1350</v>
      </c>
      <c r="BA83">
        <v>500</v>
      </c>
      <c r="BK83">
        <v>1900</v>
      </c>
      <c r="BO83">
        <v>300</v>
      </c>
      <c r="BU83">
        <v>500</v>
      </c>
      <c r="CE83">
        <v>6475</v>
      </c>
      <c r="CO83">
        <v>5700</v>
      </c>
      <c r="CU83">
        <v>100</v>
      </c>
      <c r="CY83">
        <v>2575</v>
      </c>
      <c r="DI83">
        <v>2300</v>
      </c>
    </row>
    <row r="84" spans="1:113" x14ac:dyDescent="0.25">
      <c r="A84" s="4">
        <f>DATE(2024,6,10)</f>
        <v>45453</v>
      </c>
      <c r="B84">
        <v>331242</v>
      </c>
      <c r="W84">
        <v>750</v>
      </c>
      <c r="AG84">
        <v>1000</v>
      </c>
      <c r="AQ84">
        <v>1350</v>
      </c>
      <c r="BA84">
        <v>500</v>
      </c>
      <c r="BK84">
        <v>1900</v>
      </c>
      <c r="BO84">
        <v>300</v>
      </c>
      <c r="BU84">
        <v>500</v>
      </c>
      <c r="CE84">
        <v>6475</v>
      </c>
      <c r="CO84">
        <v>5650</v>
      </c>
      <c r="CU84">
        <v>100</v>
      </c>
      <c r="CY84">
        <v>2675</v>
      </c>
      <c r="DI84">
        <v>2300</v>
      </c>
    </row>
    <row r="85" spans="1:113" x14ac:dyDescent="0.25">
      <c r="A85" s="4">
        <f>DATE(2024,6,7)</f>
        <v>45450</v>
      </c>
      <c r="B85">
        <v>331118</v>
      </c>
      <c r="W85">
        <v>750</v>
      </c>
      <c r="AG85">
        <v>1000</v>
      </c>
      <c r="AQ85">
        <v>1350</v>
      </c>
      <c r="BA85">
        <v>500</v>
      </c>
      <c r="BK85">
        <v>1900</v>
      </c>
      <c r="BO85">
        <v>300</v>
      </c>
      <c r="BU85">
        <v>500</v>
      </c>
      <c r="CE85">
        <v>6225</v>
      </c>
      <c r="CO85">
        <v>5575</v>
      </c>
      <c r="CU85">
        <v>100</v>
      </c>
      <c r="CY85">
        <v>2775</v>
      </c>
      <c r="DI85">
        <v>2300</v>
      </c>
    </row>
    <row r="86" spans="1:113" x14ac:dyDescent="0.25">
      <c r="A86" s="4">
        <f>DATE(2024,6,6)</f>
        <v>45449</v>
      </c>
      <c r="B86">
        <v>330186</v>
      </c>
      <c r="W86">
        <v>750</v>
      </c>
      <c r="AG86">
        <v>1000</v>
      </c>
      <c r="AQ86">
        <v>1350</v>
      </c>
      <c r="BA86">
        <v>500</v>
      </c>
      <c r="BK86">
        <v>1900</v>
      </c>
      <c r="BO86">
        <v>300</v>
      </c>
      <c r="BU86">
        <v>500</v>
      </c>
      <c r="CE86">
        <v>6225</v>
      </c>
      <c r="CO86">
        <v>5550</v>
      </c>
      <c r="CU86">
        <v>100</v>
      </c>
      <c r="CY86">
        <v>2775</v>
      </c>
      <c r="DI86">
        <v>2300</v>
      </c>
    </row>
    <row r="87" spans="1:113" x14ac:dyDescent="0.25">
      <c r="A87" s="4">
        <f>DATE(2024,6,5)</f>
        <v>45448</v>
      </c>
      <c r="B87">
        <v>330342</v>
      </c>
      <c r="W87">
        <v>750</v>
      </c>
      <c r="AG87">
        <v>1000</v>
      </c>
      <c r="AQ87">
        <v>1350</v>
      </c>
      <c r="BA87">
        <v>500</v>
      </c>
      <c r="BK87">
        <v>1900</v>
      </c>
      <c r="BU87">
        <v>500</v>
      </c>
      <c r="CE87">
        <v>6025</v>
      </c>
      <c r="CO87">
        <v>5350</v>
      </c>
      <c r="CU87">
        <v>100</v>
      </c>
      <c r="CY87">
        <v>2775</v>
      </c>
      <c r="DI87">
        <v>2200</v>
      </c>
    </row>
    <row r="88" spans="1:113" x14ac:dyDescent="0.25">
      <c r="A88" s="4">
        <f>DATE(2024,6,4)</f>
        <v>45447</v>
      </c>
      <c r="B88">
        <v>330000</v>
      </c>
      <c r="W88">
        <v>750</v>
      </c>
      <c r="AG88">
        <v>1000</v>
      </c>
      <c r="AQ88">
        <v>1350</v>
      </c>
      <c r="BA88">
        <v>500</v>
      </c>
      <c r="BK88">
        <v>1550</v>
      </c>
      <c r="BU88">
        <v>500</v>
      </c>
      <c r="CE88">
        <v>6025</v>
      </c>
      <c r="CO88">
        <v>5350</v>
      </c>
      <c r="CU88">
        <v>100</v>
      </c>
      <c r="CY88">
        <v>2775</v>
      </c>
      <c r="DI88">
        <v>2200</v>
      </c>
    </row>
    <row r="89" spans="1:113" x14ac:dyDescent="0.25">
      <c r="A89" s="4">
        <f>DATE(2024,6,3)</f>
        <v>45446</v>
      </c>
      <c r="B89">
        <v>330170</v>
      </c>
      <c r="W89">
        <v>750</v>
      </c>
      <c r="AG89">
        <v>1000</v>
      </c>
      <c r="AQ89">
        <v>1350</v>
      </c>
      <c r="BA89">
        <v>500</v>
      </c>
      <c r="BK89">
        <v>1550</v>
      </c>
      <c r="BU89">
        <v>500</v>
      </c>
      <c r="CE89">
        <v>5325</v>
      </c>
      <c r="CO89">
        <v>3850</v>
      </c>
      <c r="CU89">
        <v>100</v>
      </c>
      <c r="CY89">
        <v>2675</v>
      </c>
      <c r="DI89">
        <v>1450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6AC4-1DD3-4373-8D77-5091FD3B0D90}">
  <dimension ref="A1:GN584"/>
  <sheetViews>
    <sheetView topLeftCell="FL1" workbookViewId="0">
      <selection activeCell="GN5" sqref="GN5"/>
    </sheetView>
  </sheetViews>
  <sheetFormatPr defaultRowHeight="15" x14ac:dyDescent="0.25"/>
  <cols>
    <col min="1" max="1" width="16" customWidth="1"/>
    <col min="2" max="2" width="24.7109375" bestFit="1" customWidth="1"/>
    <col min="3" max="3" width="23.28515625" bestFit="1" customWidth="1"/>
    <col min="4" max="8" width="8.85546875" customWidth="1"/>
    <col min="9" max="9" width="19.42578125" customWidth="1"/>
    <col min="10" max="195" width="8.85546875" customWidth="1"/>
  </cols>
  <sheetData>
    <row r="1" spans="1:196" x14ac:dyDescent="0.25">
      <c r="A1" t="str">
        <f ca="1">_xll.ICESeries(B1:GM1,B2:GM2,,DATE(2023,1,1),TODAY(),,"DayOfWeek=12345")</f>
        <v>Time Series</v>
      </c>
      <c r="B1" t="s">
        <v>1257</v>
      </c>
      <c r="C1" t="s">
        <v>1258</v>
      </c>
      <c r="D1" t="s">
        <v>1259</v>
      </c>
      <c r="E1" t="s">
        <v>1260</v>
      </c>
      <c r="F1" t="s">
        <v>1261</v>
      </c>
      <c r="G1" t="s">
        <v>1262</v>
      </c>
      <c r="H1" t="s">
        <v>1263</v>
      </c>
      <c r="I1" t="s">
        <v>1264</v>
      </c>
      <c r="J1" t="s">
        <v>1265</v>
      </c>
      <c r="K1" t="s">
        <v>1266</v>
      </c>
      <c r="L1" t="s">
        <v>1267</v>
      </c>
      <c r="M1" t="s">
        <v>1268</v>
      </c>
      <c r="N1" t="s">
        <v>1269</v>
      </c>
      <c r="O1" t="s">
        <v>1270</v>
      </c>
      <c r="P1" t="s">
        <v>1271</v>
      </c>
      <c r="Q1" t="s">
        <v>1272</v>
      </c>
      <c r="R1" t="s">
        <v>1273</v>
      </c>
      <c r="S1" t="s">
        <v>1274</v>
      </c>
      <c r="T1" t="s">
        <v>1275</v>
      </c>
      <c r="U1" t="s">
        <v>1276</v>
      </c>
      <c r="V1" t="s">
        <v>1277</v>
      </c>
      <c r="W1" t="s">
        <v>1278</v>
      </c>
      <c r="X1" t="s">
        <v>1279</v>
      </c>
      <c r="Y1" t="s">
        <v>1280</v>
      </c>
      <c r="Z1" t="s">
        <v>1281</v>
      </c>
      <c r="AA1" t="s">
        <v>1282</v>
      </c>
      <c r="AB1" t="s">
        <v>1283</v>
      </c>
      <c r="AC1" t="s">
        <v>1284</v>
      </c>
      <c r="AD1" t="s">
        <v>1285</v>
      </c>
      <c r="AE1" t="s">
        <v>1286</v>
      </c>
      <c r="AF1" t="s">
        <v>1287</v>
      </c>
      <c r="AG1" t="s">
        <v>1288</v>
      </c>
      <c r="AH1" t="s">
        <v>1289</v>
      </c>
      <c r="AI1" t="s">
        <v>1290</v>
      </c>
      <c r="AJ1" t="s">
        <v>1291</v>
      </c>
      <c r="AK1" t="s">
        <v>1292</v>
      </c>
      <c r="AL1" t="s">
        <v>1293</v>
      </c>
      <c r="AM1" t="s">
        <v>1294</v>
      </c>
      <c r="AN1" t="s">
        <v>1295</v>
      </c>
      <c r="AO1" t="s">
        <v>1296</v>
      </c>
      <c r="AP1" t="s">
        <v>1297</v>
      </c>
      <c r="AQ1" t="s">
        <v>1298</v>
      </c>
      <c r="AR1" t="s">
        <v>1299</v>
      </c>
      <c r="AS1" t="s">
        <v>1300</v>
      </c>
      <c r="AT1" t="s">
        <v>1301</v>
      </c>
      <c r="AU1" t="s">
        <v>1302</v>
      </c>
      <c r="AV1" t="s">
        <v>1303</v>
      </c>
      <c r="AW1" t="s">
        <v>1304</v>
      </c>
      <c r="AX1" t="s">
        <v>1305</v>
      </c>
      <c r="AY1" t="s">
        <v>1306</v>
      </c>
      <c r="AZ1" t="s">
        <v>1307</v>
      </c>
      <c r="BA1" t="s">
        <v>1308</v>
      </c>
      <c r="BB1" t="s">
        <v>1309</v>
      </c>
      <c r="BC1" t="s">
        <v>1310</v>
      </c>
      <c r="BD1" t="s">
        <v>1311</v>
      </c>
      <c r="BE1" t="s">
        <v>1312</v>
      </c>
      <c r="BF1" t="s">
        <v>1313</v>
      </c>
      <c r="BG1" t="s">
        <v>1314</v>
      </c>
      <c r="BH1" t="s">
        <v>1315</v>
      </c>
      <c r="BI1" t="s">
        <v>1316</v>
      </c>
      <c r="BJ1" t="s">
        <v>1317</v>
      </c>
      <c r="BK1" t="s">
        <v>1318</v>
      </c>
      <c r="BL1" t="s">
        <v>1319</v>
      </c>
      <c r="BM1" t="s">
        <v>1320</v>
      </c>
      <c r="BN1" t="s">
        <v>1321</v>
      </c>
      <c r="BO1" t="s">
        <v>1322</v>
      </c>
      <c r="BP1" t="s">
        <v>1323</v>
      </c>
      <c r="BQ1" t="s">
        <v>1324</v>
      </c>
      <c r="BR1" t="s">
        <v>1325</v>
      </c>
      <c r="BS1" t="s">
        <v>1326</v>
      </c>
      <c r="BT1" t="s">
        <v>1327</v>
      </c>
      <c r="BU1" t="s">
        <v>1328</v>
      </c>
      <c r="BV1" t="s">
        <v>1329</v>
      </c>
      <c r="BW1" t="s">
        <v>1330</v>
      </c>
      <c r="BX1" t="s">
        <v>1331</v>
      </c>
      <c r="BY1" t="s">
        <v>1332</v>
      </c>
      <c r="BZ1" t="s">
        <v>1333</v>
      </c>
      <c r="CA1" t="s">
        <v>1334</v>
      </c>
      <c r="CB1" t="s">
        <v>1335</v>
      </c>
      <c r="CC1" t="s">
        <v>1336</v>
      </c>
      <c r="CD1" t="s">
        <v>1337</v>
      </c>
      <c r="CE1" t="s">
        <v>1338</v>
      </c>
      <c r="CF1" t="s">
        <v>1339</v>
      </c>
      <c r="CG1" t="s">
        <v>1340</v>
      </c>
      <c r="CH1" t="s">
        <v>1341</v>
      </c>
      <c r="CI1" t="s">
        <v>1342</v>
      </c>
      <c r="CJ1" t="s">
        <v>1343</v>
      </c>
      <c r="CK1" t="s">
        <v>1344</v>
      </c>
      <c r="CL1" t="s">
        <v>1345</v>
      </c>
      <c r="CM1" t="s">
        <v>1346</v>
      </c>
      <c r="CN1" t="s">
        <v>1347</v>
      </c>
      <c r="CO1" t="s">
        <v>1348</v>
      </c>
      <c r="CP1" t="s">
        <v>1349</v>
      </c>
      <c r="CQ1" t="s">
        <v>1350</v>
      </c>
      <c r="CR1" t="s">
        <v>1351</v>
      </c>
      <c r="CS1" t="s">
        <v>1352</v>
      </c>
      <c r="CT1" t="s">
        <v>1353</v>
      </c>
      <c r="CU1" t="s">
        <v>1354</v>
      </c>
      <c r="CV1" t="s">
        <v>1355</v>
      </c>
      <c r="CW1" t="s">
        <v>1356</v>
      </c>
      <c r="CX1" t="s">
        <v>1357</v>
      </c>
      <c r="CY1" t="s">
        <v>1358</v>
      </c>
      <c r="CZ1" t="s">
        <v>1359</v>
      </c>
      <c r="DA1" t="s">
        <v>1360</v>
      </c>
      <c r="DB1" t="s">
        <v>1361</v>
      </c>
      <c r="DC1" t="s">
        <v>1362</v>
      </c>
      <c r="DD1" t="s">
        <v>1363</v>
      </c>
      <c r="DE1" t="s">
        <v>1364</v>
      </c>
      <c r="DF1" t="s">
        <v>1365</v>
      </c>
      <c r="DG1" t="s">
        <v>1366</v>
      </c>
      <c r="DH1" t="s">
        <v>1367</v>
      </c>
      <c r="DI1" t="s">
        <v>1368</v>
      </c>
      <c r="DJ1" t="s">
        <v>1369</v>
      </c>
      <c r="DK1" t="s">
        <v>1370</v>
      </c>
      <c r="DL1" t="s">
        <v>1371</v>
      </c>
      <c r="DM1" t="s">
        <v>1372</v>
      </c>
      <c r="DN1" t="s">
        <v>1373</v>
      </c>
      <c r="DO1" t="s">
        <v>1374</v>
      </c>
      <c r="DP1" t="s">
        <v>1375</v>
      </c>
      <c r="DQ1" t="s">
        <v>1376</v>
      </c>
      <c r="DR1" t="s">
        <v>1377</v>
      </c>
      <c r="DS1" t="s">
        <v>1378</v>
      </c>
      <c r="DT1" t="s">
        <v>1379</v>
      </c>
      <c r="DU1" t="s">
        <v>1380</v>
      </c>
      <c r="DV1" t="s">
        <v>1381</v>
      </c>
      <c r="DW1" t="s">
        <v>1382</v>
      </c>
      <c r="DX1" t="s">
        <v>1383</v>
      </c>
      <c r="DY1" t="s">
        <v>1384</v>
      </c>
      <c r="DZ1" t="s">
        <v>1385</v>
      </c>
      <c r="EA1" t="s">
        <v>1386</v>
      </c>
      <c r="EB1" t="s">
        <v>1387</v>
      </c>
      <c r="EC1" t="s">
        <v>1388</v>
      </c>
      <c r="ED1" t="s">
        <v>1389</v>
      </c>
      <c r="EE1" t="s">
        <v>1390</v>
      </c>
      <c r="EF1" t="s">
        <v>1391</v>
      </c>
      <c r="EG1" t="s">
        <v>1392</v>
      </c>
      <c r="EH1" t="s">
        <v>1393</v>
      </c>
      <c r="EI1" t="s">
        <v>1394</v>
      </c>
      <c r="EJ1" t="s">
        <v>1395</v>
      </c>
      <c r="EK1" t="s">
        <v>1396</v>
      </c>
      <c r="EL1" t="s">
        <v>1397</v>
      </c>
      <c r="EM1" t="s">
        <v>1398</v>
      </c>
      <c r="EN1" t="s">
        <v>1399</v>
      </c>
      <c r="EO1" t="s">
        <v>1400</v>
      </c>
      <c r="EP1" t="s">
        <v>1401</v>
      </c>
      <c r="EQ1" t="s">
        <v>1402</v>
      </c>
      <c r="ER1" t="s">
        <v>1403</v>
      </c>
      <c r="ES1" t="s">
        <v>1404</v>
      </c>
      <c r="ET1" t="s">
        <v>1405</v>
      </c>
      <c r="EU1" t="s">
        <v>1406</v>
      </c>
      <c r="EV1" t="s">
        <v>1407</v>
      </c>
      <c r="EW1" t="s">
        <v>1408</v>
      </c>
      <c r="EX1" t="s">
        <v>1409</v>
      </c>
      <c r="EY1" t="s">
        <v>1410</v>
      </c>
      <c r="EZ1" t="s">
        <v>1411</v>
      </c>
      <c r="FA1" t="s">
        <v>1412</v>
      </c>
      <c r="FB1" t="s">
        <v>1413</v>
      </c>
      <c r="FC1" t="s">
        <v>1414</v>
      </c>
      <c r="FD1" t="s">
        <v>1415</v>
      </c>
      <c r="FE1" t="s">
        <v>1416</v>
      </c>
      <c r="FF1" t="s">
        <v>1417</v>
      </c>
      <c r="FG1" t="s">
        <v>1418</v>
      </c>
      <c r="FH1" t="s">
        <v>1419</v>
      </c>
      <c r="FI1" t="s">
        <v>1420</v>
      </c>
      <c r="FJ1" t="s">
        <v>1421</v>
      </c>
      <c r="FK1" t="s">
        <v>1422</v>
      </c>
      <c r="FL1" t="s">
        <v>1423</v>
      </c>
      <c r="FM1" t="s">
        <v>1424</v>
      </c>
      <c r="FN1" t="s">
        <v>1425</v>
      </c>
      <c r="FO1" t="s">
        <v>1426</v>
      </c>
      <c r="FP1" t="s">
        <v>1427</v>
      </c>
      <c r="FQ1" t="s">
        <v>1428</v>
      </c>
      <c r="FR1" t="s">
        <v>1429</v>
      </c>
      <c r="FS1" t="s">
        <v>1430</v>
      </c>
      <c r="FT1" t="s">
        <v>1431</v>
      </c>
      <c r="FU1" t="s">
        <v>1432</v>
      </c>
      <c r="FV1" t="s">
        <v>1433</v>
      </c>
      <c r="FW1" t="s">
        <v>1434</v>
      </c>
      <c r="FX1" t="s">
        <v>1435</v>
      </c>
      <c r="FY1" t="s">
        <v>1436</v>
      </c>
      <c r="FZ1" t="s">
        <v>1437</v>
      </c>
      <c r="GA1" t="s">
        <v>1438</v>
      </c>
      <c r="GB1" t="s">
        <v>1439</v>
      </c>
      <c r="GC1" t="s">
        <v>1440</v>
      </c>
      <c r="GD1" t="s">
        <v>1441</v>
      </c>
      <c r="GE1" t="s">
        <v>1442</v>
      </c>
      <c r="GF1" t="s">
        <v>1443</v>
      </c>
      <c r="GG1" t="s">
        <v>1444</v>
      </c>
      <c r="GH1" t="s">
        <v>1445</v>
      </c>
      <c r="GI1" t="s">
        <v>1446</v>
      </c>
      <c r="GJ1" t="s">
        <v>1447</v>
      </c>
      <c r="GK1" t="s">
        <v>1448</v>
      </c>
      <c r="GL1" t="s">
        <v>1449</v>
      </c>
      <c r="GM1" t="s">
        <v>1450</v>
      </c>
    </row>
    <row r="2" spans="1:196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  <c r="GM2" t="s">
        <v>450</v>
      </c>
    </row>
    <row r="3" spans="1:196" x14ac:dyDescent="0.25">
      <c r="B3" t="s">
        <v>1451</v>
      </c>
      <c r="C3" t="s">
        <v>1452</v>
      </c>
      <c r="D3" t="s">
        <v>1453</v>
      </c>
      <c r="E3" t="s">
        <v>1454</v>
      </c>
      <c r="F3" t="s">
        <v>1455</v>
      </c>
      <c r="G3" t="s">
        <v>1456</v>
      </c>
      <c r="H3" t="s">
        <v>1457</v>
      </c>
      <c r="I3" t="s">
        <v>1458</v>
      </c>
      <c r="J3" t="s">
        <v>1459</v>
      </c>
      <c r="K3" t="s">
        <v>1460</v>
      </c>
      <c r="L3" t="s">
        <v>1461</v>
      </c>
      <c r="M3" t="s">
        <v>1462</v>
      </c>
      <c r="N3" t="s">
        <v>1463</v>
      </c>
      <c r="O3" t="s">
        <v>1464</v>
      </c>
      <c r="P3" t="s">
        <v>1465</v>
      </c>
      <c r="Q3" t="s">
        <v>1466</v>
      </c>
      <c r="R3" t="s">
        <v>1467</v>
      </c>
      <c r="S3" t="s">
        <v>1468</v>
      </c>
      <c r="T3" t="s">
        <v>1469</v>
      </c>
      <c r="U3" t="s">
        <v>1470</v>
      </c>
      <c r="V3" t="s">
        <v>1471</v>
      </c>
      <c r="W3" t="s">
        <v>1472</v>
      </c>
      <c r="X3" t="s">
        <v>1473</v>
      </c>
      <c r="Y3" t="s">
        <v>1474</v>
      </c>
      <c r="Z3" t="s">
        <v>1475</v>
      </c>
      <c r="AA3" t="s">
        <v>1476</v>
      </c>
      <c r="AB3" t="s">
        <v>1477</v>
      </c>
      <c r="AC3" t="s">
        <v>1478</v>
      </c>
      <c r="AD3" t="s">
        <v>1479</v>
      </c>
      <c r="AE3" t="s">
        <v>1480</v>
      </c>
      <c r="AF3" t="s">
        <v>1481</v>
      </c>
      <c r="AG3" t="s">
        <v>1482</v>
      </c>
      <c r="AH3" t="s">
        <v>1483</v>
      </c>
      <c r="AI3" t="s">
        <v>1484</v>
      </c>
      <c r="AJ3" t="s">
        <v>1485</v>
      </c>
      <c r="AK3" t="s">
        <v>1486</v>
      </c>
      <c r="AL3" t="s">
        <v>1487</v>
      </c>
      <c r="AM3" t="s">
        <v>1488</v>
      </c>
      <c r="AN3" t="s">
        <v>1489</v>
      </c>
      <c r="AO3" t="s">
        <v>1490</v>
      </c>
      <c r="AP3" t="s">
        <v>1491</v>
      </c>
      <c r="AQ3" t="s">
        <v>1492</v>
      </c>
      <c r="AR3" t="s">
        <v>1493</v>
      </c>
      <c r="AS3" t="s">
        <v>1494</v>
      </c>
      <c r="AT3" t="s">
        <v>1495</v>
      </c>
      <c r="AU3" t="s">
        <v>1496</v>
      </c>
      <c r="AV3" t="s">
        <v>1497</v>
      </c>
      <c r="AW3" t="s">
        <v>1498</v>
      </c>
      <c r="AX3" t="s">
        <v>1499</v>
      </c>
      <c r="AY3" t="s">
        <v>1500</v>
      </c>
      <c r="AZ3" t="s">
        <v>1501</v>
      </c>
      <c r="BA3" t="s">
        <v>1502</v>
      </c>
      <c r="BB3" t="s">
        <v>1503</v>
      </c>
      <c r="BC3" t="s">
        <v>1504</v>
      </c>
      <c r="BD3" t="s">
        <v>1505</v>
      </c>
      <c r="BE3" t="s">
        <v>1506</v>
      </c>
      <c r="BF3" t="s">
        <v>1507</v>
      </c>
      <c r="BG3" t="s">
        <v>1508</v>
      </c>
      <c r="BH3" t="s">
        <v>1509</v>
      </c>
      <c r="BI3" t="s">
        <v>1510</v>
      </c>
      <c r="BJ3" t="s">
        <v>1511</v>
      </c>
      <c r="BK3" t="s">
        <v>1512</v>
      </c>
      <c r="BL3" t="s">
        <v>1513</v>
      </c>
      <c r="BM3" t="s">
        <v>1514</v>
      </c>
      <c r="BN3" t="s">
        <v>1515</v>
      </c>
      <c r="BO3" t="s">
        <v>1516</v>
      </c>
      <c r="BP3" t="s">
        <v>1517</v>
      </c>
      <c r="BQ3" t="s">
        <v>1518</v>
      </c>
      <c r="BR3" t="s">
        <v>1519</v>
      </c>
      <c r="BS3" t="s">
        <v>1520</v>
      </c>
      <c r="BT3" t="s">
        <v>1521</v>
      </c>
      <c r="BU3" t="s">
        <v>1522</v>
      </c>
      <c r="BV3" t="s">
        <v>1523</v>
      </c>
      <c r="BW3" t="s">
        <v>1524</v>
      </c>
      <c r="BX3" t="s">
        <v>1525</v>
      </c>
      <c r="BY3" t="s">
        <v>1526</v>
      </c>
      <c r="BZ3" t="s">
        <v>1527</v>
      </c>
      <c r="CA3" t="s">
        <v>1528</v>
      </c>
      <c r="CB3" t="s">
        <v>1529</v>
      </c>
      <c r="CC3" t="s">
        <v>1530</v>
      </c>
      <c r="CD3" t="s">
        <v>1531</v>
      </c>
      <c r="CE3" t="s">
        <v>1532</v>
      </c>
      <c r="CF3" t="s">
        <v>1533</v>
      </c>
      <c r="CG3" t="s">
        <v>1534</v>
      </c>
      <c r="CH3" t="s">
        <v>1535</v>
      </c>
      <c r="CI3" t="s">
        <v>1536</v>
      </c>
      <c r="CJ3" t="s">
        <v>1537</v>
      </c>
      <c r="CK3" t="s">
        <v>1538</v>
      </c>
      <c r="CL3" t="s">
        <v>1539</v>
      </c>
      <c r="CM3" t="s">
        <v>1540</v>
      </c>
      <c r="CN3" t="s">
        <v>1541</v>
      </c>
      <c r="CO3" t="s">
        <v>1542</v>
      </c>
      <c r="CP3" t="s">
        <v>1543</v>
      </c>
      <c r="CQ3" t="s">
        <v>1544</v>
      </c>
      <c r="CR3" t="s">
        <v>1545</v>
      </c>
      <c r="CS3" t="s">
        <v>1546</v>
      </c>
      <c r="CT3" t="s">
        <v>1547</v>
      </c>
      <c r="CU3" t="s">
        <v>1548</v>
      </c>
      <c r="CV3" t="s">
        <v>1549</v>
      </c>
      <c r="CW3" t="s">
        <v>1550</v>
      </c>
      <c r="CX3" t="s">
        <v>1551</v>
      </c>
      <c r="CY3" t="s">
        <v>1552</v>
      </c>
      <c r="CZ3" t="s">
        <v>1553</v>
      </c>
      <c r="DA3" t="s">
        <v>1554</v>
      </c>
      <c r="DB3" t="s">
        <v>1555</v>
      </c>
      <c r="DC3" t="s">
        <v>1556</v>
      </c>
      <c r="DD3" t="s">
        <v>1557</v>
      </c>
      <c r="DE3" t="s">
        <v>1558</v>
      </c>
      <c r="DF3" t="s">
        <v>1559</v>
      </c>
      <c r="DG3" t="s">
        <v>1560</v>
      </c>
      <c r="DH3" t="s">
        <v>1561</v>
      </c>
      <c r="DI3" t="s">
        <v>1562</v>
      </c>
      <c r="DJ3" t="s">
        <v>1563</v>
      </c>
      <c r="DK3" t="s">
        <v>1564</v>
      </c>
      <c r="DL3" t="s">
        <v>1565</v>
      </c>
      <c r="DM3" t="s">
        <v>1566</v>
      </c>
      <c r="DN3" t="s">
        <v>1567</v>
      </c>
      <c r="DO3" t="s">
        <v>1568</v>
      </c>
      <c r="DP3" t="s">
        <v>1569</v>
      </c>
      <c r="DQ3" t="s">
        <v>1570</v>
      </c>
      <c r="DR3" t="s">
        <v>1571</v>
      </c>
      <c r="DS3" t="s">
        <v>1572</v>
      </c>
      <c r="DT3" t="s">
        <v>1573</v>
      </c>
      <c r="DU3" t="s">
        <v>1574</v>
      </c>
      <c r="DV3" t="s">
        <v>1575</v>
      </c>
      <c r="DW3" t="s">
        <v>1576</v>
      </c>
      <c r="DX3" t="s">
        <v>1577</v>
      </c>
      <c r="DY3" t="s">
        <v>1578</v>
      </c>
      <c r="DZ3" t="s">
        <v>1579</v>
      </c>
      <c r="EA3" t="s">
        <v>1580</v>
      </c>
      <c r="EB3" t="s">
        <v>1581</v>
      </c>
      <c r="EC3" t="s">
        <v>1582</v>
      </c>
      <c r="ED3" t="s">
        <v>1583</v>
      </c>
      <c r="EE3" t="s">
        <v>1584</v>
      </c>
      <c r="EF3" t="s">
        <v>1585</v>
      </c>
      <c r="EG3" t="s">
        <v>1586</v>
      </c>
      <c r="EH3" t="s">
        <v>1587</v>
      </c>
      <c r="EI3" t="s">
        <v>1588</v>
      </c>
      <c r="EJ3" t="s">
        <v>1589</v>
      </c>
      <c r="EK3" t="s">
        <v>1590</v>
      </c>
      <c r="EL3" t="s">
        <v>1591</v>
      </c>
      <c r="EM3" t="s">
        <v>1592</v>
      </c>
      <c r="EN3" t="s">
        <v>1593</v>
      </c>
      <c r="EO3" t="s">
        <v>1594</v>
      </c>
      <c r="EP3" t="s">
        <v>1595</v>
      </c>
      <c r="EQ3" t="s">
        <v>1596</v>
      </c>
      <c r="ER3" t="s">
        <v>1597</v>
      </c>
      <c r="ES3" t="s">
        <v>1598</v>
      </c>
      <c r="ET3" t="s">
        <v>1599</v>
      </c>
      <c r="EU3" t="s">
        <v>1600</v>
      </c>
      <c r="EV3" t="s">
        <v>1601</v>
      </c>
      <c r="EW3" t="s">
        <v>1602</v>
      </c>
      <c r="EX3" t="s">
        <v>1603</v>
      </c>
      <c r="EY3" t="s">
        <v>1604</v>
      </c>
      <c r="EZ3" t="s">
        <v>1605</v>
      </c>
      <c r="FA3" t="s">
        <v>1606</v>
      </c>
      <c r="FB3" t="s">
        <v>1607</v>
      </c>
      <c r="FC3" t="s">
        <v>1608</v>
      </c>
      <c r="FD3" t="s">
        <v>1609</v>
      </c>
      <c r="FE3" t="s">
        <v>1610</v>
      </c>
      <c r="FF3" t="s">
        <v>1611</v>
      </c>
      <c r="FG3" t="s">
        <v>1612</v>
      </c>
      <c r="FH3" t="s">
        <v>1613</v>
      </c>
      <c r="FI3" t="s">
        <v>1614</v>
      </c>
      <c r="FJ3" t="s">
        <v>1615</v>
      </c>
      <c r="FK3" t="s">
        <v>1616</v>
      </c>
      <c r="FL3" t="s">
        <v>1617</v>
      </c>
      <c r="FM3" t="s">
        <v>1618</v>
      </c>
      <c r="FN3" t="s">
        <v>1619</v>
      </c>
      <c r="FO3" t="s">
        <v>1620</v>
      </c>
      <c r="FP3" t="s">
        <v>1621</v>
      </c>
      <c r="FQ3" t="s">
        <v>1622</v>
      </c>
      <c r="FR3" t="s">
        <v>1623</v>
      </c>
      <c r="FS3" t="s">
        <v>1624</v>
      </c>
      <c r="FT3" t="s">
        <v>1625</v>
      </c>
      <c r="FU3" t="s">
        <v>1626</v>
      </c>
      <c r="FV3" t="s">
        <v>1627</v>
      </c>
      <c r="FW3" t="s">
        <v>1628</v>
      </c>
      <c r="FX3" t="s">
        <v>1629</v>
      </c>
      <c r="FY3" t="s">
        <v>1630</v>
      </c>
      <c r="FZ3" t="s">
        <v>1631</v>
      </c>
      <c r="GA3" t="s">
        <v>1632</v>
      </c>
      <c r="GB3" t="s">
        <v>1633</v>
      </c>
      <c r="GC3" t="s">
        <v>1634</v>
      </c>
      <c r="GD3" t="s">
        <v>1635</v>
      </c>
      <c r="GE3" t="s">
        <v>1636</v>
      </c>
      <c r="GF3" t="s">
        <v>1637</v>
      </c>
      <c r="GG3" t="s">
        <v>1638</v>
      </c>
      <c r="GH3" t="s">
        <v>1639</v>
      </c>
      <c r="GI3" t="s">
        <v>1640</v>
      </c>
      <c r="GJ3" t="s">
        <v>1641</v>
      </c>
      <c r="GK3" t="s">
        <v>1642</v>
      </c>
      <c r="GL3" t="s">
        <v>1643</v>
      </c>
      <c r="GM3" t="s">
        <v>1644</v>
      </c>
    </row>
    <row r="4" spans="1:196" x14ac:dyDescent="0.25">
      <c r="A4" s="4">
        <f>DATE(2024,7,26)</f>
        <v>45499</v>
      </c>
    </row>
    <row r="5" spans="1:196" x14ac:dyDescent="0.25">
      <c r="A5" s="4">
        <f>DATE(2024,7,25)</f>
        <v>45498</v>
      </c>
      <c r="BU5">
        <v>2200</v>
      </c>
      <c r="BW5">
        <v>175</v>
      </c>
      <c r="CC5">
        <v>1000</v>
      </c>
      <c r="CE5">
        <v>4575</v>
      </c>
      <c r="CI5">
        <v>650</v>
      </c>
      <c r="CO5">
        <v>5050</v>
      </c>
      <c r="CQ5">
        <v>200</v>
      </c>
      <c r="CY5">
        <v>10550</v>
      </c>
      <c r="DA5">
        <v>550</v>
      </c>
      <c r="DC5">
        <v>250</v>
      </c>
      <c r="DE5">
        <v>125</v>
      </c>
      <c r="DI5">
        <v>13275</v>
      </c>
      <c r="DK5">
        <v>200</v>
      </c>
      <c r="DM5">
        <v>50</v>
      </c>
      <c r="DO5">
        <v>500</v>
      </c>
      <c r="DQ5">
        <v>225</v>
      </c>
      <c r="DS5">
        <v>16497</v>
      </c>
      <c r="DT5">
        <v>50</v>
      </c>
      <c r="DU5">
        <v>125</v>
      </c>
      <c r="DW5">
        <v>400</v>
      </c>
      <c r="DY5">
        <v>100</v>
      </c>
      <c r="EC5">
        <v>8331</v>
      </c>
      <c r="EE5">
        <v>100</v>
      </c>
      <c r="EG5">
        <v>200</v>
      </c>
      <c r="EI5">
        <v>50</v>
      </c>
      <c r="EK5">
        <v>300</v>
      </c>
      <c r="EM5">
        <v>19833</v>
      </c>
      <c r="EO5">
        <v>250</v>
      </c>
      <c r="ES5">
        <v>100</v>
      </c>
      <c r="EW5">
        <v>3700</v>
      </c>
      <c r="EY5">
        <v>190</v>
      </c>
      <c r="FC5">
        <v>50</v>
      </c>
      <c r="FG5">
        <v>11025</v>
      </c>
      <c r="FK5">
        <v>50</v>
      </c>
      <c r="FQ5">
        <v>575</v>
      </c>
      <c r="GA5">
        <v>6650</v>
      </c>
      <c r="GK5">
        <v>3850</v>
      </c>
      <c r="GN5">
        <f t="shared" ref="GN5:GN69" si="0">SUMPRODUCT(C5:GM5)</f>
        <v>112001</v>
      </c>
    </row>
    <row r="6" spans="1:196" x14ac:dyDescent="0.25">
      <c r="A6" s="4">
        <f>DATE(2024,7,24)</f>
        <v>45497</v>
      </c>
      <c r="BU6">
        <v>2200</v>
      </c>
      <c r="BW6">
        <v>175</v>
      </c>
      <c r="CC6">
        <v>1000</v>
      </c>
      <c r="CE6">
        <v>4575</v>
      </c>
      <c r="CI6">
        <v>650</v>
      </c>
      <c r="CO6">
        <v>5050</v>
      </c>
      <c r="CQ6">
        <v>200</v>
      </c>
      <c r="CY6">
        <v>11650</v>
      </c>
      <c r="DA6">
        <v>550</v>
      </c>
      <c r="DC6">
        <v>250</v>
      </c>
      <c r="DE6">
        <v>125</v>
      </c>
      <c r="DI6">
        <v>12725</v>
      </c>
      <c r="DK6">
        <v>200</v>
      </c>
      <c r="DM6">
        <v>50</v>
      </c>
      <c r="DO6">
        <v>500</v>
      </c>
      <c r="DQ6">
        <v>225</v>
      </c>
      <c r="DS6">
        <v>16672</v>
      </c>
      <c r="DT6">
        <v>50</v>
      </c>
      <c r="DU6">
        <v>125</v>
      </c>
      <c r="DW6">
        <v>400</v>
      </c>
      <c r="DY6">
        <v>100</v>
      </c>
      <c r="EC6">
        <v>8331</v>
      </c>
      <c r="EE6">
        <v>100</v>
      </c>
      <c r="EG6">
        <v>200</v>
      </c>
      <c r="EI6">
        <v>50</v>
      </c>
      <c r="EK6">
        <v>300</v>
      </c>
      <c r="EM6">
        <v>20783</v>
      </c>
      <c r="EO6">
        <v>250</v>
      </c>
      <c r="ES6">
        <v>100</v>
      </c>
      <c r="EW6">
        <v>3700</v>
      </c>
      <c r="EY6">
        <v>190</v>
      </c>
      <c r="FC6">
        <v>50</v>
      </c>
      <c r="FG6">
        <v>11025</v>
      </c>
      <c r="FK6">
        <v>50</v>
      </c>
      <c r="FQ6">
        <v>575</v>
      </c>
      <c r="GA6">
        <v>6650</v>
      </c>
      <c r="GK6">
        <v>3850</v>
      </c>
      <c r="GN6">
        <f t="shared" si="0"/>
        <v>113676</v>
      </c>
    </row>
    <row r="7" spans="1:196" x14ac:dyDescent="0.25">
      <c r="A7" s="4">
        <f>DATE(2024,7,23)</f>
        <v>45496</v>
      </c>
      <c r="BU7">
        <v>2200</v>
      </c>
      <c r="BW7">
        <v>175</v>
      </c>
      <c r="CC7">
        <v>1000</v>
      </c>
      <c r="CE7">
        <v>4575</v>
      </c>
      <c r="CI7">
        <v>650</v>
      </c>
      <c r="CO7">
        <v>5050</v>
      </c>
      <c r="CQ7">
        <v>200</v>
      </c>
      <c r="CY7">
        <v>11650</v>
      </c>
      <c r="DA7">
        <v>550</v>
      </c>
      <c r="DC7">
        <v>250</v>
      </c>
      <c r="DE7">
        <v>125</v>
      </c>
      <c r="DI7">
        <v>12375</v>
      </c>
      <c r="DK7">
        <v>200</v>
      </c>
      <c r="DM7">
        <v>50</v>
      </c>
      <c r="DO7">
        <v>250</v>
      </c>
      <c r="DQ7">
        <v>225</v>
      </c>
      <c r="DS7">
        <v>16672</v>
      </c>
      <c r="DT7">
        <v>50</v>
      </c>
      <c r="DU7">
        <v>125</v>
      </c>
      <c r="DW7">
        <v>400</v>
      </c>
      <c r="DY7">
        <v>100</v>
      </c>
      <c r="EC7">
        <v>8281</v>
      </c>
      <c r="EE7">
        <v>100</v>
      </c>
      <c r="EG7">
        <v>200</v>
      </c>
      <c r="EI7">
        <v>50</v>
      </c>
      <c r="EK7">
        <v>300</v>
      </c>
      <c r="EM7">
        <v>20783</v>
      </c>
      <c r="EO7">
        <v>250</v>
      </c>
      <c r="ES7">
        <v>100</v>
      </c>
      <c r="EW7">
        <v>3165</v>
      </c>
      <c r="EY7">
        <v>190</v>
      </c>
      <c r="FC7">
        <v>50</v>
      </c>
      <c r="FG7">
        <v>11025</v>
      </c>
      <c r="FK7">
        <v>50</v>
      </c>
      <c r="FQ7">
        <v>575</v>
      </c>
      <c r="GA7">
        <v>6650</v>
      </c>
      <c r="GK7">
        <v>3850</v>
      </c>
      <c r="GN7">
        <f t="shared" si="0"/>
        <v>112491</v>
      </c>
    </row>
    <row r="8" spans="1:196" x14ac:dyDescent="0.25">
      <c r="A8" s="4">
        <f>DATE(2024,7,22)</f>
        <v>45495</v>
      </c>
      <c r="BU8">
        <v>2200</v>
      </c>
      <c r="BW8">
        <v>175</v>
      </c>
      <c r="CC8">
        <v>1000</v>
      </c>
      <c r="CE8">
        <v>4575</v>
      </c>
      <c r="CI8">
        <v>650</v>
      </c>
      <c r="CO8">
        <v>5050</v>
      </c>
      <c r="CQ8">
        <v>200</v>
      </c>
      <c r="CY8">
        <v>11350</v>
      </c>
      <c r="DA8">
        <v>550</v>
      </c>
      <c r="DC8">
        <v>250</v>
      </c>
      <c r="DE8">
        <v>125</v>
      </c>
      <c r="DI8">
        <v>12375</v>
      </c>
      <c r="DK8">
        <v>200</v>
      </c>
      <c r="DM8">
        <v>50</v>
      </c>
      <c r="DO8">
        <v>250</v>
      </c>
      <c r="DQ8">
        <v>225</v>
      </c>
      <c r="DS8">
        <v>16422</v>
      </c>
      <c r="DT8">
        <v>50</v>
      </c>
      <c r="DU8">
        <v>125</v>
      </c>
      <c r="DW8">
        <v>400</v>
      </c>
      <c r="DY8">
        <v>100</v>
      </c>
      <c r="EC8">
        <v>8281</v>
      </c>
      <c r="EE8">
        <v>100</v>
      </c>
      <c r="EG8">
        <v>200</v>
      </c>
      <c r="EI8">
        <v>50</v>
      </c>
      <c r="EK8">
        <v>300</v>
      </c>
      <c r="EM8">
        <v>19733</v>
      </c>
      <c r="EO8">
        <v>250</v>
      </c>
      <c r="ES8">
        <v>100</v>
      </c>
      <c r="EW8">
        <v>3165</v>
      </c>
      <c r="EY8">
        <v>190</v>
      </c>
      <c r="FC8">
        <v>50</v>
      </c>
      <c r="FG8">
        <v>10725</v>
      </c>
      <c r="FK8">
        <v>50</v>
      </c>
      <c r="FQ8">
        <v>575</v>
      </c>
      <c r="GA8">
        <v>6650</v>
      </c>
      <c r="GK8">
        <v>3850</v>
      </c>
      <c r="GN8">
        <f t="shared" si="0"/>
        <v>110591</v>
      </c>
    </row>
    <row r="9" spans="1:196" x14ac:dyDescent="0.25">
      <c r="A9" s="4">
        <f>DATE(2024,7,19)</f>
        <v>45492</v>
      </c>
      <c r="BU9">
        <v>2200</v>
      </c>
      <c r="BW9">
        <v>175</v>
      </c>
      <c r="CC9">
        <v>1000</v>
      </c>
      <c r="CE9">
        <v>4675</v>
      </c>
      <c r="CI9">
        <v>650</v>
      </c>
      <c r="CO9">
        <v>5025</v>
      </c>
      <c r="CQ9">
        <v>200</v>
      </c>
      <c r="CY9">
        <v>11150</v>
      </c>
      <c r="DA9">
        <v>550</v>
      </c>
      <c r="DC9">
        <v>250</v>
      </c>
      <c r="DE9">
        <v>125</v>
      </c>
      <c r="DI9">
        <v>12275</v>
      </c>
      <c r="DK9">
        <v>200</v>
      </c>
      <c r="DM9">
        <v>50</v>
      </c>
      <c r="DO9">
        <v>250</v>
      </c>
      <c r="DQ9">
        <v>225</v>
      </c>
      <c r="DS9">
        <v>16422</v>
      </c>
      <c r="DT9">
        <v>50</v>
      </c>
      <c r="DU9">
        <v>125</v>
      </c>
      <c r="DW9">
        <v>400</v>
      </c>
      <c r="DY9">
        <v>100</v>
      </c>
      <c r="EC9">
        <v>8281</v>
      </c>
      <c r="EE9">
        <v>100</v>
      </c>
      <c r="EG9">
        <v>200</v>
      </c>
      <c r="EI9">
        <v>50</v>
      </c>
      <c r="EK9">
        <v>300</v>
      </c>
      <c r="EM9">
        <v>18406</v>
      </c>
      <c r="EO9">
        <v>250</v>
      </c>
      <c r="ES9">
        <v>100</v>
      </c>
      <c r="EW9">
        <v>3165</v>
      </c>
      <c r="EY9">
        <v>190</v>
      </c>
      <c r="FC9">
        <v>50</v>
      </c>
      <c r="FG9">
        <v>10225</v>
      </c>
      <c r="FK9">
        <v>50</v>
      </c>
      <c r="FQ9">
        <v>575</v>
      </c>
      <c r="GA9">
        <v>6650</v>
      </c>
      <c r="GK9">
        <v>3850</v>
      </c>
      <c r="GN9">
        <f t="shared" si="0"/>
        <v>108539</v>
      </c>
    </row>
    <row r="10" spans="1:196" x14ac:dyDescent="0.25">
      <c r="A10" s="4">
        <f>DATE(2024,7,18)</f>
        <v>45491</v>
      </c>
      <c r="BU10">
        <v>2200</v>
      </c>
      <c r="BW10">
        <v>175</v>
      </c>
      <c r="CC10">
        <v>1000</v>
      </c>
      <c r="CE10">
        <v>4675</v>
      </c>
      <c r="CI10">
        <v>650</v>
      </c>
      <c r="CO10">
        <v>5025</v>
      </c>
      <c r="CQ10">
        <v>200</v>
      </c>
      <c r="CY10">
        <v>10750</v>
      </c>
      <c r="DA10">
        <v>550</v>
      </c>
      <c r="DC10">
        <v>250</v>
      </c>
      <c r="DE10">
        <v>125</v>
      </c>
      <c r="DI10">
        <v>12275</v>
      </c>
      <c r="DK10">
        <v>200</v>
      </c>
      <c r="DM10">
        <v>50</v>
      </c>
      <c r="DO10">
        <v>250</v>
      </c>
      <c r="DQ10">
        <v>225</v>
      </c>
      <c r="DS10">
        <v>16472</v>
      </c>
      <c r="DT10">
        <v>50</v>
      </c>
      <c r="DU10">
        <v>125</v>
      </c>
      <c r="DW10">
        <v>400</v>
      </c>
      <c r="DY10">
        <v>100</v>
      </c>
      <c r="EC10">
        <v>8281</v>
      </c>
      <c r="EE10">
        <v>100</v>
      </c>
      <c r="EG10">
        <v>200</v>
      </c>
      <c r="EI10">
        <v>50</v>
      </c>
      <c r="EK10">
        <v>300</v>
      </c>
      <c r="EM10">
        <v>18406</v>
      </c>
      <c r="EO10">
        <v>250</v>
      </c>
      <c r="ES10">
        <v>100</v>
      </c>
      <c r="EW10">
        <v>3165</v>
      </c>
      <c r="EY10">
        <v>190</v>
      </c>
      <c r="FC10">
        <v>50</v>
      </c>
      <c r="FG10">
        <v>10225</v>
      </c>
      <c r="FK10">
        <v>50</v>
      </c>
      <c r="FQ10">
        <v>575</v>
      </c>
      <c r="GA10">
        <v>6650</v>
      </c>
      <c r="GK10">
        <v>3850</v>
      </c>
      <c r="GN10">
        <f t="shared" si="0"/>
        <v>108189</v>
      </c>
    </row>
    <row r="11" spans="1:196" x14ac:dyDescent="0.25">
      <c r="A11" s="4">
        <f>DATE(2024,7,17)</f>
        <v>45490</v>
      </c>
      <c r="BU11">
        <v>2200</v>
      </c>
      <c r="BW11">
        <v>175</v>
      </c>
      <c r="CC11">
        <v>1000</v>
      </c>
      <c r="CE11">
        <v>4675</v>
      </c>
      <c r="CI11">
        <v>650</v>
      </c>
      <c r="CO11">
        <v>5275</v>
      </c>
      <c r="CQ11">
        <v>200</v>
      </c>
      <c r="CY11">
        <v>9925</v>
      </c>
      <c r="DA11">
        <v>550</v>
      </c>
      <c r="DC11">
        <v>250</v>
      </c>
      <c r="DE11">
        <v>125</v>
      </c>
      <c r="DI11">
        <v>11975</v>
      </c>
      <c r="DK11">
        <v>200</v>
      </c>
      <c r="DM11">
        <v>50</v>
      </c>
      <c r="DO11">
        <v>250</v>
      </c>
      <c r="DQ11">
        <v>225</v>
      </c>
      <c r="DS11">
        <v>16972</v>
      </c>
      <c r="DT11">
        <v>50</v>
      </c>
      <c r="DU11">
        <v>125</v>
      </c>
      <c r="DW11">
        <v>400</v>
      </c>
      <c r="DY11">
        <v>100</v>
      </c>
      <c r="EC11">
        <v>8031</v>
      </c>
      <c r="EE11">
        <v>100</v>
      </c>
      <c r="EG11">
        <v>200</v>
      </c>
      <c r="EI11">
        <v>50</v>
      </c>
      <c r="EK11">
        <v>300</v>
      </c>
      <c r="EM11">
        <v>18406</v>
      </c>
      <c r="EO11">
        <v>250</v>
      </c>
      <c r="ES11">
        <v>100</v>
      </c>
      <c r="EW11">
        <v>3015</v>
      </c>
      <c r="EY11">
        <v>190</v>
      </c>
      <c r="FC11">
        <v>50</v>
      </c>
      <c r="FG11">
        <v>10225</v>
      </c>
      <c r="FK11">
        <v>50</v>
      </c>
      <c r="FQ11">
        <v>575</v>
      </c>
      <c r="GA11">
        <v>6650</v>
      </c>
      <c r="GK11">
        <v>3850</v>
      </c>
      <c r="GN11">
        <f t="shared" si="0"/>
        <v>107414</v>
      </c>
    </row>
    <row r="12" spans="1:196" x14ac:dyDescent="0.25">
      <c r="A12" s="4">
        <f>DATE(2024,7,16)</f>
        <v>45489</v>
      </c>
      <c r="BU12">
        <v>2200</v>
      </c>
      <c r="BW12">
        <v>175</v>
      </c>
      <c r="CC12">
        <v>1000</v>
      </c>
      <c r="CE12">
        <v>4675</v>
      </c>
      <c r="CI12">
        <v>650</v>
      </c>
      <c r="CO12">
        <v>5375</v>
      </c>
      <c r="CQ12">
        <v>200</v>
      </c>
      <c r="CY12">
        <v>9925</v>
      </c>
      <c r="DA12">
        <v>550</v>
      </c>
      <c r="DC12">
        <v>250</v>
      </c>
      <c r="DE12">
        <v>125</v>
      </c>
      <c r="DI12">
        <v>12175</v>
      </c>
      <c r="DK12">
        <v>200</v>
      </c>
      <c r="DM12">
        <v>50</v>
      </c>
      <c r="DO12">
        <v>250</v>
      </c>
      <c r="DQ12">
        <v>225</v>
      </c>
      <c r="DS12">
        <v>16972</v>
      </c>
      <c r="DT12">
        <v>50</v>
      </c>
      <c r="DU12">
        <v>125</v>
      </c>
      <c r="DW12">
        <v>400</v>
      </c>
      <c r="DY12">
        <v>100</v>
      </c>
      <c r="EC12">
        <v>8031</v>
      </c>
      <c r="EE12">
        <v>100</v>
      </c>
      <c r="EG12">
        <v>200</v>
      </c>
      <c r="EI12">
        <v>50</v>
      </c>
      <c r="EK12">
        <v>300</v>
      </c>
      <c r="EM12">
        <v>18306</v>
      </c>
      <c r="EO12">
        <v>250</v>
      </c>
      <c r="ES12">
        <v>100</v>
      </c>
      <c r="EW12">
        <v>3015</v>
      </c>
      <c r="EY12">
        <v>190</v>
      </c>
      <c r="FC12">
        <v>50</v>
      </c>
      <c r="FG12">
        <v>10100</v>
      </c>
      <c r="FK12">
        <v>50</v>
      </c>
      <c r="FQ12">
        <v>575</v>
      </c>
      <c r="GA12">
        <v>6650</v>
      </c>
      <c r="GK12">
        <v>3850</v>
      </c>
      <c r="GN12">
        <f t="shared" si="0"/>
        <v>107489</v>
      </c>
    </row>
    <row r="13" spans="1:196" x14ac:dyDescent="0.25">
      <c r="A13" s="4">
        <f>DATE(2024,7,15)</f>
        <v>45488</v>
      </c>
      <c r="BU13">
        <v>2200</v>
      </c>
      <c r="BW13">
        <v>175</v>
      </c>
      <c r="CC13">
        <v>1000</v>
      </c>
      <c r="CE13">
        <v>4675</v>
      </c>
      <c r="CI13">
        <v>650</v>
      </c>
      <c r="CO13">
        <v>5375</v>
      </c>
      <c r="CQ13">
        <v>200</v>
      </c>
      <c r="CY13">
        <v>9925</v>
      </c>
      <c r="DA13">
        <v>550</v>
      </c>
      <c r="DC13">
        <v>250</v>
      </c>
      <c r="DE13">
        <v>125</v>
      </c>
      <c r="DI13">
        <v>11675</v>
      </c>
      <c r="DK13">
        <v>200</v>
      </c>
      <c r="DM13">
        <v>50</v>
      </c>
      <c r="DO13">
        <v>250</v>
      </c>
      <c r="DQ13">
        <v>225</v>
      </c>
      <c r="DS13">
        <v>16972</v>
      </c>
      <c r="DT13">
        <v>50</v>
      </c>
      <c r="DU13">
        <v>125</v>
      </c>
      <c r="DW13">
        <v>400</v>
      </c>
      <c r="DY13">
        <v>100</v>
      </c>
      <c r="EC13">
        <v>7681</v>
      </c>
      <c r="EE13">
        <v>100</v>
      </c>
      <c r="EG13">
        <v>200</v>
      </c>
      <c r="EI13">
        <v>50</v>
      </c>
      <c r="EK13">
        <v>300</v>
      </c>
      <c r="EM13">
        <v>18306</v>
      </c>
      <c r="EO13">
        <v>250</v>
      </c>
      <c r="ES13">
        <v>100</v>
      </c>
      <c r="EW13">
        <v>2915</v>
      </c>
      <c r="EY13">
        <v>190</v>
      </c>
      <c r="FC13">
        <v>50</v>
      </c>
      <c r="FG13">
        <v>10000</v>
      </c>
      <c r="FK13">
        <v>50</v>
      </c>
      <c r="FQ13">
        <v>575</v>
      </c>
      <c r="GA13">
        <v>6150</v>
      </c>
      <c r="GK13">
        <v>3850</v>
      </c>
      <c r="GN13">
        <f t="shared" si="0"/>
        <v>105939</v>
      </c>
    </row>
    <row r="14" spans="1:196" x14ac:dyDescent="0.25">
      <c r="A14" s="4">
        <f>DATE(2024,7,12)</f>
        <v>45485</v>
      </c>
      <c r="BU14">
        <v>2200</v>
      </c>
      <c r="BW14">
        <v>175</v>
      </c>
      <c r="CC14">
        <v>1000</v>
      </c>
      <c r="CE14">
        <v>4675</v>
      </c>
      <c r="CI14">
        <v>650</v>
      </c>
      <c r="CO14">
        <v>5375</v>
      </c>
      <c r="CQ14">
        <v>200</v>
      </c>
      <c r="CY14">
        <v>9675</v>
      </c>
      <c r="DA14">
        <v>550</v>
      </c>
      <c r="DC14">
        <v>250</v>
      </c>
      <c r="DE14">
        <v>125</v>
      </c>
      <c r="DI14">
        <v>11675</v>
      </c>
      <c r="DK14">
        <v>200</v>
      </c>
      <c r="DM14">
        <v>50</v>
      </c>
      <c r="DO14">
        <v>250</v>
      </c>
      <c r="DQ14">
        <v>225</v>
      </c>
      <c r="DS14">
        <v>16722</v>
      </c>
      <c r="DT14">
        <v>50</v>
      </c>
      <c r="DU14">
        <v>125</v>
      </c>
      <c r="DW14">
        <v>400</v>
      </c>
      <c r="DY14">
        <v>100</v>
      </c>
      <c r="EC14">
        <v>7681</v>
      </c>
      <c r="EE14">
        <v>100</v>
      </c>
      <c r="EG14">
        <v>200</v>
      </c>
      <c r="EI14">
        <v>50</v>
      </c>
      <c r="EK14">
        <v>300</v>
      </c>
      <c r="EM14">
        <v>18306</v>
      </c>
      <c r="EO14">
        <v>250</v>
      </c>
      <c r="ES14">
        <v>100</v>
      </c>
      <c r="EW14">
        <v>2915</v>
      </c>
      <c r="EY14">
        <v>190</v>
      </c>
      <c r="FC14">
        <v>50</v>
      </c>
      <c r="FG14">
        <v>10000</v>
      </c>
      <c r="FK14">
        <v>50</v>
      </c>
      <c r="FQ14">
        <v>575</v>
      </c>
      <c r="GA14">
        <v>6150</v>
      </c>
      <c r="GK14">
        <v>3850</v>
      </c>
      <c r="GN14">
        <f t="shared" si="0"/>
        <v>105439</v>
      </c>
    </row>
    <row r="15" spans="1:196" x14ac:dyDescent="0.25">
      <c r="A15" s="4">
        <f>DATE(2024,7,11)</f>
        <v>45484</v>
      </c>
      <c r="BU15">
        <v>2200</v>
      </c>
      <c r="BW15">
        <v>175</v>
      </c>
      <c r="CC15">
        <v>1000</v>
      </c>
      <c r="CE15">
        <v>4675</v>
      </c>
      <c r="CI15">
        <v>650</v>
      </c>
      <c r="CO15">
        <v>5375</v>
      </c>
      <c r="CQ15">
        <v>200</v>
      </c>
      <c r="CY15">
        <v>9425</v>
      </c>
      <c r="DA15">
        <v>550</v>
      </c>
      <c r="DC15">
        <v>250</v>
      </c>
      <c r="DE15">
        <v>125</v>
      </c>
      <c r="DI15">
        <v>11575</v>
      </c>
      <c r="DK15">
        <v>200</v>
      </c>
      <c r="DM15">
        <v>50</v>
      </c>
      <c r="DO15">
        <v>250</v>
      </c>
      <c r="DQ15">
        <v>225</v>
      </c>
      <c r="DS15">
        <v>16925</v>
      </c>
      <c r="DT15">
        <v>50</v>
      </c>
      <c r="DU15">
        <v>125</v>
      </c>
      <c r="DW15">
        <v>400</v>
      </c>
      <c r="DY15">
        <v>100</v>
      </c>
      <c r="EC15">
        <v>7681</v>
      </c>
      <c r="EE15">
        <v>100</v>
      </c>
      <c r="EG15">
        <v>200</v>
      </c>
      <c r="EI15">
        <v>50</v>
      </c>
      <c r="EK15">
        <v>300</v>
      </c>
      <c r="EM15">
        <v>18156</v>
      </c>
      <c r="EO15">
        <v>250</v>
      </c>
      <c r="ES15">
        <v>100</v>
      </c>
      <c r="EW15">
        <v>2815</v>
      </c>
      <c r="EY15">
        <v>190</v>
      </c>
      <c r="FC15">
        <v>50</v>
      </c>
      <c r="FG15">
        <v>10000</v>
      </c>
      <c r="FK15">
        <v>50</v>
      </c>
      <c r="FQ15">
        <v>575</v>
      </c>
      <c r="GA15">
        <v>6150</v>
      </c>
      <c r="GK15">
        <v>3850</v>
      </c>
      <c r="GN15">
        <f t="shared" si="0"/>
        <v>105042</v>
      </c>
    </row>
    <row r="16" spans="1:196" x14ac:dyDescent="0.25">
      <c r="A16" s="4">
        <f>DATE(2024,7,10)</f>
        <v>45483</v>
      </c>
      <c r="BU16">
        <v>2200</v>
      </c>
      <c r="BW16">
        <v>175</v>
      </c>
      <c r="CC16">
        <v>1000</v>
      </c>
      <c r="CE16">
        <v>4675</v>
      </c>
      <c r="CI16">
        <v>650</v>
      </c>
      <c r="CO16">
        <v>5375</v>
      </c>
      <c r="CQ16">
        <v>200</v>
      </c>
      <c r="CY16">
        <v>9075</v>
      </c>
      <c r="DA16">
        <v>550</v>
      </c>
      <c r="DC16">
        <v>250</v>
      </c>
      <c r="DE16">
        <v>125</v>
      </c>
      <c r="DI16">
        <v>11325</v>
      </c>
      <c r="DK16">
        <v>200</v>
      </c>
      <c r="DM16">
        <v>50</v>
      </c>
      <c r="DO16">
        <v>250</v>
      </c>
      <c r="DQ16">
        <v>225</v>
      </c>
      <c r="DS16">
        <v>17025</v>
      </c>
      <c r="DT16">
        <v>50</v>
      </c>
      <c r="DU16">
        <v>125</v>
      </c>
      <c r="DW16">
        <v>400</v>
      </c>
      <c r="DY16">
        <v>100</v>
      </c>
      <c r="EC16">
        <v>7481</v>
      </c>
      <c r="EE16">
        <v>100</v>
      </c>
      <c r="EG16">
        <v>200</v>
      </c>
      <c r="EI16">
        <v>50</v>
      </c>
      <c r="EK16">
        <v>300</v>
      </c>
      <c r="EM16">
        <v>18406</v>
      </c>
      <c r="EO16">
        <v>250</v>
      </c>
      <c r="ES16">
        <v>100</v>
      </c>
      <c r="EW16">
        <v>2765</v>
      </c>
      <c r="EY16">
        <v>190</v>
      </c>
      <c r="FC16">
        <v>50</v>
      </c>
      <c r="FG16">
        <v>10000</v>
      </c>
      <c r="FK16">
        <v>50</v>
      </c>
      <c r="FQ16">
        <v>575</v>
      </c>
      <c r="GA16">
        <v>6150</v>
      </c>
      <c r="GK16">
        <v>3850</v>
      </c>
      <c r="GN16">
        <f t="shared" si="0"/>
        <v>104542</v>
      </c>
    </row>
    <row r="17" spans="1:196" x14ac:dyDescent="0.25">
      <c r="A17" s="4">
        <f>DATE(2024,7,9)</f>
        <v>45482</v>
      </c>
      <c r="BU17">
        <v>2200</v>
      </c>
      <c r="BW17">
        <v>175</v>
      </c>
      <c r="CC17">
        <v>1000</v>
      </c>
      <c r="CE17">
        <v>4675</v>
      </c>
      <c r="CI17">
        <v>650</v>
      </c>
      <c r="CO17">
        <v>5375</v>
      </c>
      <c r="CQ17">
        <v>200</v>
      </c>
      <c r="CY17">
        <v>9075</v>
      </c>
      <c r="DA17">
        <v>550</v>
      </c>
      <c r="DC17">
        <v>250</v>
      </c>
      <c r="DE17">
        <v>125</v>
      </c>
      <c r="DI17">
        <v>11075</v>
      </c>
      <c r="DK17">
        <v>200</v>
      </c>
      <c r="DM17">
        <v>50</v>
      </c>
      <c r="DO17">
        <v>250</v>
      </c>
      <c r="DQ17">
        <v>225</v>
      </c>
      <c r="DS17">
        <v>17125</v>
      </c>
      <c r="DT17">
        <v>50</v>
      </c>
      <c r="DU17">
        <v>125</v>
      </c>
      <c r="DW17">
        <v>400</v>
      </c>
      <c r="DY17">
        <v>100</v>
      </c>
      <c r="EC17">
        <v>7481</v>
      </c>
      <c r="EE17">
        <v>100</v>
      </c>
      <c r="EG17">
        <v>200</v>
      </c>
      <c r="EI17">
        <v>50</v>
      </c>
      <c r="EK17">
        <v>300</v>
      </c>
      <c r="EM17">
        <v>19381</v>
      </c>
      <c r="EO17">
        <v>250</v>
      </c>
      <c r="ES17">
        <v>100</v>
      </c>
      <c r="EW17">
        <v>2565</v>
      </c>
      <c r="EY17">
        <v>190</v>
      </c>
      <c r="FC17">
        <v>50</v>
      </c>
      <c r="FG17">
        <v>9850</v>
      </c>
      <c r="FK17">
        <v>50</v>
      </c>
      <c r="FQ17">
        <v>575</v>
      </c>
      <c r="GA17">
        <v>6150</v>
      </c>
      <c r="GK17">
        <v>3850</v>
      </c>
      <c r="GN17">
        <f t="shared" si="0"/>
        <v>105017</v>
      </c>
    </row>
    <row r="18" spans="1:196" x14ac:dyDescent="0.25">
      <c r="A18" s="4">
        <f>DATE(2024,7,8)</f>
        <v>45481</v>
      </c>
      <c r="BU18">
        <v>2200</v>
      </c>
      <c r="BW18">
        <v>175</v>
      </c>
      <c r="CC18">
        <v>1000</v>
      </c>
      <c r="CE18">
        <v>4675</v>
      </c>
      <c r="CI18">
        <v>650</v>
      </c>
      <c r="CO18">
        <v>5375</v>
      </c>
      <c r="CQ18">
        <v>200</v>
      </c>
      <c r="CY18">
        <v>9075</v>
      </c>
      <c r="DA18">
        <v>550</v>
      </c>
      <c r="DC18">
        <v>250</v>
      </c>
      <c r="DE18">
        <v>125</v>
      </c>
      <c r="DI18">
        <v>11425</v>
      </c>
      <c r="DK18">
        <v>200</v>
      </c>
      <c r="DM18">
        <v>50</v>
      </c>
      <c r="DO18">
        <v>250</v>
      </c>
      <c r="DQ18">
        <v>225</v>
      </c>
      <c r="DS18">
        <v>17125</v>
      </c>
      <c r="DT18">
        <v>50</v>
      </c>
      <c r="DU18">
        <v>125</v>
      </c>
      <c r="DW18">
        <v>400</v>
      </c>
      <c r="DY18">
        <v>100</v>
      </c>
      <c r="EC18">
        <v>6981</v>
      </c>
      <c r="EE18">
        <v>100</v>
      </c>
      <c r="EG18">
        <v>200</v>
      </c>
      <c r="EI18">
        <v>50</v>
      </c>
      <c r="EK18">
        <v>300</v>
      </c>
      <c r="EM18">
        <v>19381</v>
      </c>
      <c r="EO18">
        <v>250</v>
      </c>
      <c r="ES18">
        <v>100</v>
      </c>
      <c r="EW18">
        <v>2565</v>
      </c>
      <c r="EY18">
        <v>190</v>
      </c>
      <c r="FC18">
        <v>50</v>
      </c>
      <c r="FG18">
        <v>9850</v>
      </c>
      <c r="FK18">
        <v>50</v>
      </c>
      <c r="FQ18">
        <v>575</v>
      </c>
      <c r="GA18">
        <v>6150</v>
      </c>
      <c r="GK18">
        <v>3850</v>
      </c>
      <c r="GN18">
        <f t="shared" si="0"/>
        <v>104867</v>
      </c>
    </row>
    <row r="19" spans="1:196" x14ac:dyDescent="0.25">
      <c r="A19" s="4">
        <f>DATE(2024,7,5)</f>
        <v>45478</v>
      </c>
      <c r="BU19">
        <v>2200</v>
      </c>
      <c r="BW19">
        <v>175</v>
      </c>
      <c r="CC19">
        <v>1000</v>
      </c>
      <c r="CE19">
        <v>4675</v>
      </c>
      <c r="CI19">
        <v>650</v>
      </c>
      <c r="CO19">
        <v>5375</v>
      </c>
      <c r="CQ19">
        <v>200</v>
      </c>
      <c r="CY19">
        <v>9075</v>
      </c>
      <c r="DA19">
        <v>550</v>
      </c>
      <c r="DC19">
        <v>250</v>
      </c>
      <c r="DE19">
        <v>125</v>
      </c>
      <c r="DI19">
        <v>11925</v>
      </c>
      <c r="DK19">
        <v>200</v>
      </c>
      <c r="DM19">
        <v>50</v>
      </c>
      <c r="DO19">
        <v>250</v>
      </c>
      <c r="DQ19">
        <v>225</v>
      </c>
      <c r="DS19">
        <v>17125</v>
      </c>
      <c r="DT19">
        <v>50</v>
      </c>
      <c r="DU19">
        <v>125</v>
      </c>
      <c r="DW19">
        <v>400</v>
      </c>
      <c r="DY19">
        <v>100</v>
      </c>
      <c r="EC19">
        <v>6531</v>
      </c>
      <c r="EE19">
        <v>100</v>
      </c>
      <c r="EG19">
        <v>200</v>
      </c>
      <c r="EI19">
        <v>50</v>
      </c>
      <c r="EK19">
        <v>300</v>
      </c>
      <c r="EM19">
        <v>19381</v>
      </c>
      <c r="EO19">
        <v>250</v>
      </c>
      <c r="ES19">
        <v>100</v>
      </c>
      <c r="EW19">
        <v>2565</v>
      </c>
      <c r="EY19">
        <v>190</v>
      </c>
      <c r="FC19">
        <v>50</v>
      </c>
      <c r="FG19">
        <v>9850</v>
      </c>
      <c r="FK19">
        <v>50</v>
      </c>
      <c r="FQ19">
        <v>575</v>
      </c>
      <c r="GA19">
        <v>6150</v>
      </c>
      <c r="GK19">
        <v>3850</v>
      </c>
      <c r="GN19">
        <f t="shared" si="0"/>
        <v>104917</v>
      </c>
    </row>
    <row r="20" spans="1:196" x14ac:dyDescent="0.25">
      <c r="A20" s="4">
        <f>DATE(2024,7,4)</f>
        <v>45477</v>
      </c>
      <c r="BU20">
        <v>2200</v>
      </c>
      <c r="BW20">
        <v>175</v>
      </c>
      <c r="CC20">
        <v>1000</v>
      </c>
      <c r="CE20">
        <v>4675</v>
      </c>
      <c r="CI20">
        <v>650</v>
      </c>
      <c r="CO20">
        <v>5375</v>
      </c>
      <c r="CQ20">
        <v>200</v>
      </c>
      <c r="CY20">
        <v>8975</v>
      </c>
      <c r="DA20">
        <v>550</v>
      </c>
      <c r="DC20">
        <v>250</v>
      </c>
      <c r="DE20">
        <v>125</v>
      </c>
      <c r="DI20">
        <v>11825</v>
      </c>
      <c r="DK20">
        <v>200</v>
      </c>
      <c r="DM20">
        <v>50</v>
      </c>
      <c r="DO20">
        <v>250</v>
      </c>
      <c r="DQ20">
        <v>225</v>
      </c>
      <c r="DS20">
        <v>17125</v>
      </c>
      <c r="DT20">
        <v>50</v>
      </c>
      <c r="DU20">
        <v>125</v>
      </c>
      <c r="DW20">
        <v>400</v>
      </c>
      <c r="DY20">
        <v>100</v>
      </c>
      <c r="EC20">
        <v>6331</v>
      </c>
      <c r="EE20">
        <v>100</v>
      </c>
      <c r="EG20">
        <v>200</v>
      </c>
      <c r="EI20">
        <v>50</v>
      </c>
      <c r="EK20">
        <v>300</v>
      </c>
      <c r="EM20">
        <v>19381</v>
      </c>
      <c r="EO20">
        <v>250</v>
      </c>
      <c r="ES20">
        <v>100</v>
      </c>
      <c r="EW20">
        <v>2465</v>
      </c>
      <c r="EY20">
        <v>190</v>
      </c>
      <c r="FC20">
        <v>50</v>
      </c>
      <c r="FG20">
        <v>9850</v>
      </c>
      <c r="FK20">
        <v>50</v>
      </c>
      <c r="FQ20">
        <v>575</v>
      </c>
      <c r="GA20">
        <v>6150</v>
      </c>
      <c r="GK20">
        <v>3850</v>
      </c>
      <c r="GN20">
        <f t="shared" si="0"/>
        <v>104417</v>
      </c>
    </row>
    <row r="21" spans="1:196" x14ac:dyDescent="0.25">
      <c r="A21" s="4">
        <f>DATE(2024,7,3)</f>
        <v>45476</v>
      </c>
      <c r="BU21">
        <v>2200</v>
      </c>
      <c r="BW21">
        <v>175</v>
      </c>
      <c r="CC21">
        <v>1000</v>
      </c>
      <c r="CE21">
        <v>4675</v>
      </c>
      <c r="CI21">
        <v>650</v>
      </c>
      <c r="CO21">
        <v>5375</v>
      </c>
      <c r="CQ21">
        <v>200</v>
      </c>
      <c r="CY21">
        <v>8975</v>
      </c>
      <c r="DA21">
        <v>550</v>
      </c>
      <c r="DC21">
        <v>250</v>
      </c>
      <c r="DE21">
        <v>125</v>
      </c>
      <c r="DI21">
        <v>9825</v>
      </c>
      <c r="DK21">
        <v>200</v>
      </c>
      <c r="DM21">
        <v>50</v>
      </c>
      <c r="DO21">
        <v>250</v>
      </c>
      <c r="DQ21">
        <v>225</v>
      </c>
      <c r="DS21">
        <v>17125</v>
      </c>
      <c r="DT21">
        <v>50</v>
      </c>
      <c r="DU21">
        <v>125</v>
      </c>
      <c r="DW21">
        <v>400</v>
      </c>
      <c r="DY21">
        <v>100</v>
      </c>
      <c r="EC21">
        <v>5981</v>
      </c>
      <c r="EE21">
        <v>100</v>
      </c>
      <c r="EG21">
        <v>200</v>
      </c>
      <c r="EI21">
        <v>50</v>
      </c>
      <c r="EK21">
        <v>300</v>
      </c>
      <c r="EM21">
        <v>19381</v>
      </c>
      <c r="EO21">
        <v>250</v>
      </c>
      <c r="ES21">
        <v>100</v>
      </c>
      <c r="EW21">
        <v>2365</v>
      </c>
      <c r="EY21">
        <v>190</v>
      </c>
      <c r="FC21">
        <v>50</v>
      </c>
      <c r="FG21">
        <v>9450</v>
      </c>
      <c r="FK21">
        <v>50</v>
      </c>
      <c r="FQ21">
        <v>575</v>
      </c>
      <c r="GA21">
        <v>6150</v>
      </c>
      <c r="GK21">
        <v>3850</v>
      </c>
      <c r="GN21">
        <f t="shared" si="0"/>
        <v>101567</v>
      </c>
    </row>
    <row r="22" spans="1:196" x14ac:dyDescent="0.25">
      <c r="A22" s="4">
        <f>DATE(2024,7,2)</f>
        <v>45475</v>
      </c>
      <c r="BU22">
        <v>2200</v>
      </c>
      <c r="BW22">
        <v>175</v>
      </c>
      <c r="CC22">
        <v>1000</v>
      </c>
      <c r="CE22">
        <v>4675</v>
      </c>
      <c r="CI22">
        <v>650</v>
      </c>
      <c r="CO22">
        <v>5375</v>
      </c>
      <c r="CQ22">
        <v>200</v>
      </c>
      <c r="CY22">
        <v>8225</v>
      </c>
      <c r="DA22">
        <v>550</v>
      </c>
      <c r="DC22">
        <v>250</v>
      </c>
      <c r="DE22">
        <v>125</v>
      </c>
      <c r="DI22">
        <v>9125</v>
      </c>
      <c r="DK22">
        <v>200</v>
      </c>
      <c r="DM22">
        <v>50</v>
      </c>
      <c r="DO22">
        <v>250</v>
      </c>
      <c r="DQ22">
        <v>225</v>
      </c>
      <c r="DS22">
        <v>16675</v>
      </c>
      <c r="DT22">
        <v>50</v>
      </c>
      <c r="DU22">
        <v>125</v>
      </c>
      <c r="DW22">
        <v>400</v>
      </c>
      <c r="DY22">
        <v>100</v>
      </c>
      <c r="EC22">
        <v>5981</v>
      </c>
      <c r="EE22">
        <v>100</v>
      </c>
      <c r="EG22">
        <v>200</v>
      </c>
      <c r="EI22">
        <v>50</v>
      </c>
      <c r="EK22">
        <v>300</v>
      </c>
      <c r="EM22">
        <v>19681</v>
      </c>
      <c r="EO22">
        <v>250</v>
      </c>
      <c r="ES22">
        <v>100</v>
      </c>
      <c r="EW22">
        <v>2365</v>
      </c>
      <c r="EY22">
        <v>190</v>
      </c>
      <c r="FC22">
        <v>50</v>
      </c>
      <c r="FG22">
        <v>8950</v>
      </c>
      <c r="FK22">
        <v>50</v>
      </c>
      <c r="FQ22">
        <v>700</v>
      </c>
      <c r="GA22">
        <v>6150</v>
      </c>
      <c r="GK22">
        <v>3850</v>
      </c>
      <c r="GN22">
        <f t="shared" si="0"/>
        <v>99592</v>
      </c>
    </row>
    <row r="23" spans="1:196" x14ac:dyDescent="0.25">
      <c r="A23" s="4">
        <f>DATE(2024,7,1)</f>
        <v>45474</v>
      </c>
      <c r="BU23">
        <v>2200</v>
      </c>
      <c r="BW23">
        <v>175</v>
      </c>
      <c r="CC23">
        <v>1000</v>
      </c>
      <c r="CE23">
        <v>4675</v>
      </c>
      <c r="CI23">
        <v>650</v>
      </c>
      <c r="CO23">
        <v>5375</v>
      </c>
      <c r="CQ23">
        <v>200</v>
      </c>
      <c r="CY23">
        <v>8225</v>
      </c>
      <c r="DA23">
        <v>550</v>
      </c>
      <c r="DC23">
        <v>250</v>
      </c>
      <c r="DE23">
        <v>125</v>
      </c>
      <c r="DI23">
        <v>9125</v>
      </c>
      <c r="DK23">
        <v>200</v>
      </c>
      <c r="DM23">
        <v>50</v>
      </c>
      <c r="DO23">
        <v>250</v>
      </c>
      <c r="DQ23">
        <v>225</v>
      </c>
      <c r="DS23">
        <v>16675</v>
      </c>
      <c r="DT23">
        <v>50</v>
      </c>
      <c r="DU23">
        <v>125</v>
      </c>
      <c r="DW23">
        <v>400</v>
      </c>
      <c r="DY23">
        <v>100</v>
      </c>
      <c r="EC23">
        <v>5981</v>
      </c>
      <c r="EE23">
        <v>100</v>
      </c>
      <c r="EG23">
        <v>200</v>
      </c>
      <c r="EI23">
        <v>50</v>
      </c>
      <c r="EK23">
        <v>300</v>
      </c>
      <c r="EM23">
        <v>19681</v>
      </c>
      <c r="EO23">
        <v>250</v>
      </c>
      <c r="ES23">
        <v>100</v>
      </c>
      <c r="EW23">
        <v>2315</v>
      </c>
      <c r="EY23">
        <v>190</v>
      </c>
      <c r="FC23">
        <v>50</v>
      </c>
      <c r="FG23">
        <v>8950</v>
      </c>
      <c r="FK23">
        <v>50</v>
      </c>
      <c r="FQ23">
        <v>700</v>
      </c>
      <c r="GA23">
        <v>6150</v>
      </c>
      <c r="GK23">
        <v>3850</v>
      </c>
      <c r="GN23">
        <f t="shared" si="0"/>
        <v>99542</v>
      </c>
    </row>
    <row r="24" spans="1:196" x14ac:dyDescent="0.25">
      <c r="A24" s="4">
        <f>DATE(2024,6,28)</f>
        <v>45471</v>
      </c>
      <c r="BU24">
        <v>2200</v>
      </c>
      <c r="BW24">
        <v>175</v>
      </c>
      <c r="CC24">
        <v>1000</v>
      </c>
      <c r="CE24">
        <v>4675</v>
      </c>
      <c r="CI24">
        <v>650</v>
      </c>
      <c r="CO24">
        <v>5375</v>
      </c>
      <c r="CQ24">
        <v>200</v>
      </c>
      <c r="CY24">
        <v>8225</v>
      </c>
      <c r="DA24">
        <v>550</v>
      </c>
      <c r="DC24">
        <v>250</v>
      </c>
      <c r="DE24">
        <v>125</v>
      </c>
      <c r="DI24">
        <v>8825</v>
      </c>
      <c r="DK24">
        <v>200</v>
      </c>
      <c r="DM24">
        <v>50</v>
      </c>
      <c r="DO24">
        <v>250</v>
      </c>
      <c r="DQ24">
        <v>225</v>
      </c>
      <c r="DS24">
        <v>16675</v>
      </c>
      <c r="DT24">
        <v>50</v>
      </c>
      <c r="DU24">
        <v>125</v>
      </c>
      <c r="DW24">
        <v>400</v>
      </c>
      <c r="DY24">
        <v>100</v>
      </c>
      <c r="EC24">
        <v>5981</v>
      </c>
      <c r="EE24">
        <v>100</v>
      </c>
      <c r="EG24">
        <v>200</v>
      </c>
      <c r="EI24">
        <v>50</v>
      </c>
      <c r="EK24">
        <v>300</v>
      </c>
      <c r="EM24">
        <v>19681</v>
      </c>
      <c r="EO24">
        <v>250</v>
      </c>
      <c r="ES24">
        <v>100</v>
      </c>
      <c r="EW24">
        <v>2315</v>
      </c>
      <c r="EY24">
        <v>190</v>
      </c>
      <c r="FC24">
        <v>50</v>
      </c>
      <c r="FG24">
        <v>8950</v>
      </c>
      <c r="FK24">
        <v>50</v>
      </c>
      <c r="FQ24">
        <v>700</v>
      </c>
      <c r="GA24">
        <v>6150</v>
      </c>
      <c r="GK24">
        <v>3850</v>
      </c>
      <c r="GN24">
        <f t="shared" si="0"/>
        <v>99242</v>
      </c>
    </row>
    <row r="25" spans="1:196" x14ac:dyDescent="0.25">
      <c r="A25" s="4">
        <f>DATE(2024,6,27)</f>
        <v>45470</v>
      </c>
      <c r="BU25">
        <v>2200</v>
      </c>
      <c r="BW25">
        <v>175</v>
      </c>
      <c r="CC25">
        <v>1000</v>
      </c>
      <c r="CE25">
        <v>4675</v>
      </c>
      <c r="CI25">
        <v>650</v>
      </c>
      <c r="CO25">
        <v>5375</v>
      </c>
      <c r="CQ25">
        <v>200</v>
      </c>
      <c r="CY25">
        <v>8225</v>
      </c>
      <c r="DA25">
        <v>550</v>
      </c>
      <c r="DC25">
        <v>250</v>
      </c>
      <c r="DE25">
        <v>125</v>
      </c>
      <c r="DI25">
        <v>7700</v>
      </c>
      <c r="DK25">
        <v>200</v>
      </c>
      <c r="DM25">
        <v>50</v>
      </c>
      <c r="DO25">
        <v>250</v>
      </c>
      <c r="DQ25">
        <v>225</v>
      </c>
      <c r="DS25">
        <v>16675</v>
      </c>
      <c r="DT25">
        <v>50</v>
      </c>
      <c r="DU25">
        <v>125</v>
      </c>
      <c r="DW25">
        <v>400</v>
      </c>
      <c r="DY25">
        <v>100</v>
      </c>
      <c r="EC25">
        <v>6131</v>
      </c>
      <c r="EE25">
        <v>100</v>
      </c>
      <c r="EG25">
        <v>200</v>
      </c>
      <c r="EI25">
        <v>50</v>
      </c>
      <c r="EK25">
        <v>300</v>
      </c>
      <c r="EM25">
        <v>19681</v>
      </c>
      <c r="EO25">
        <v>250</v>
      </c>
      <c r="ES25">
        <v>100</v>
      </c>
      <c r="EW25">
        <v>2315</v>
      </c>
      <c r="EY25">
        <v>190</v>
      </c>
      <c r="FC25">
        <v>50</v>
      </c>
      <c r="FG25">
        <v>8950</v>
      </c>
      <c r="FK25">
        <v>50</v>
      </c>
      <c r="FQ25">
        <v>700</v>
      </c>
      <c r="GA25">
        <v>6150</v>
      </c>
      <c r="GK25">
        <v>3850</v>
      </c>
      <c r="GN25">
        <f t="shared" si="0"/>
        <v>98267</v>
      </c>
    </row>
    <row r="26" spans="1:196" x14ac:dyDescent="0.25">
      <c r="A26" s="4">
        <f>DATE(2024,6,26)</f>
        <v>45469</v>
      </c>
      <c r="BU26">
        <v>2200</v>
      </c>
      <c r="BW26">
        <v>175</v>
      </c>
      <c r="CC26">
        <v>1000</v>
      </c>
      <c r="CE26">
        <v>4675</v>
      </c>
      <c r="CI26">
        <v>650</v>
      </c>
      <c r="CO26">
        <v>5375</v>
      </c>
      <c r="CQ26">
        <v>200</v>
      </c>
      <c r="CY26">
        <v>7975</v>
      </c>
      <c r="DA26">
        <v>550</v>
      </c>
      <c r="DC26">
        <v>250</v>
      </c>
      <c r="DE26">
        <v>125</v>
      </c>
      <c r="DI26">
        <v>7700</v>
      </c>
      <c r="DK26">
        <v>200</v>
      </c>
      <c r="DM26">
        <v>50</v>
      </c>
      <c r="DO26">
        <v>250</v>
      </c>
      <c r="DQ26">
        <v>225</v>
      </c>
      <c r="DS26">
        <v>16425</v>
      </c>
      <c r="DT26">
        <v>50</v>
      </c>
      <c r="DU26">
        <v>125</v>
      </c>
      <c r="DW26">
        <v>400</v>
      </c>
      <c r="DY26">
        <v>100</v>
      </c>
      <c r="EC26">
        <v>6131</v>
      </c>
      <c r="EE26">
        <v>100</v>
      </c>
      <c r="EG26">
        <v>200</v>
      </c>
      <c r="EI26">
        <v>50</v>
      </c>
      <c r="EK26">
        <v>300</v>
      </c>
      <c r="EM26">
        <v>19681</v>
      </c>
      <c r="EO26">
        <v>250</v>
      </c>
      <c r="ES26">
        <v>100</v>
      </c>
      <c r="EW26">
        <v>2265</v>
      </c>
      <c r="EY26">
        <v>190</v>
      </c>
      <c r="FC26">
        <v>50</v>
      </c>
      <c r="FG26">
        <v>8950</v>
      </c>
      <c r="FK26">
        <v>50</v>
      </c>
      <c r="FQ26">
        <v>700</v>
      </c>
      <c r="GA26">
        <v>6150</v>
      </c>
      <c r="GK26">
        <v>3850</v>
      </c>
      <c r="GN26">
        <f t="shared" si="0"/>
        <v>97717</v>
      </c>
    </row>
    <row r="27" spans="1:196" x14ac:dyDescent="0.25">
      <c r="A27" s="4">
        <f>DATE(2024,6,25)</f>
        <v>45468</v>
      </c>
      <c r="BU27">
        <v>2200</v>
      </c>
      <c r="BW27">
        <v>175</v>
      </c>
      <c r="CC27">
        <v>1000</v>
      </c>
      <c r="CE27">
        <v>4675</v>
      </c>
      <c r="CI27">
        <v>650</v>
      </c>
      <c r="CO27">
        <v>5375</v>
      </c>
      <c r="CQ27">
        <v>200</v>
      </c>
      <c r="CY27">
        <v>7975</v>
      </c>
      <c r="DA27">
        <v>550</v>
      </c>
      <c r="DC27">
        <v>250</v>
      </c>
      <c r="DE27">
        <v>125</v>
      </c>
      <c r="DI27">
        <v>7700</v>
      </c>
      <c r="DK27">
        <v>200</v>
      </c>
      <c r="DM27">
        <v>50</v>
      </c>
      <c r="DO27">
        <v>250</v>
      </c>
      <c r="DQ27">
        <v>225</v>
      </c>
      <c r="DS27">
        <v>16425</v>
      </c>
      <c r="DT27">
        <v>50</v>
      </c>
      <c r="DU27">
        <v>125</v>
      </c>
      <c r="DW27">
        <v>400</v>
      </c>
      <c r="DY27">
        <v>100</v>
      </c>
      <c r="EC27">
        <v>6131</v>
      </c>
      <c r="EE27">
        <v>100</v>
      </c>
      <c r="EG27">
        <v>200</v>
      </c>
      <c r="EI27">
        <v>50</v>
      </c>
      <c r="EK27">
        <v>300</v>
      </c>
      <c r="EM27">
        <v>19681</v>
      </c>
      <c r="EO27">
        <v>250</v>
      </c>
      <c r="ES27">
        <v>100</v>
      </c>
      <c r="EW27">
        <v>2265</v>
      </c>
      <c r="EY27">
        <v>190</v>
      </c>
      <c r="FC27">
        <v>50</v>
      </c>
      <c r="FG27">
        <v>8950</v>
      </c>
      <c r="FK27">
        <v>50</v>
      </c>
      <c r="FQ27">
        <v>700</v>
      </c>
      <c r="GA27">
        <v>6150</v>
      </c>
      <c r="GK27">
        <v>3850</v>
      </c>
      <c r="GN27">
        <f t="shared" si="0"/>
        <v>97717</v>
      </c>
    </row>
    <row r="28" spans="1:196" x14ac:dyDescent="0.25">
      <c r="A28" s="4">
        <f>DATE(2024,6,24)</f>
        <v>45467</v>
      </c>
      <c r="BU28">
        <v>2200</v>
      </c>
      <c r="BW28">
        <v>175</v>
      </c>
      <c r="CC28">
        <v>1000</v>
      </c>
      <c r="CE28">
        <v>4675</v>
      </c>
      <c r="CI28">
        <v>650</v>
      </c>
      <c r="CO28">
        <v>5375</v>
      </c>
      <c r="CQ28">
        <v>200</v>
      </c>
      <c r="CY28">
        <v>7975</v>
      </c>
      <c r="DA28">
        <v>550</v>
      </c>
      <c r="DC28">
        <v>250</v>
      </c>
      <c r="DE28">
        <v>125</v>
      </c>
      <c r="DI28">
        <v>7700</v>
      </c>
      <c r="DK28">
        <v>200</v>
      </c>
      <c r="DM28">
        <v>50</v>
      </c>
      <c r="DO28">
        <v>250</v>
      </c>
      <c r="DQ28">
        <v>225</v>
      </c>
      <c r="DS28">
        <v>15925</v>
      </c>
      <c r="DT28">
        <v>50</v>
      </c>
      <c r="DU28">
        <v>125</v>
      </c>
      <c r="DW28">
        <v>400</v>
      </c>
      <c r="DY28">
        <v>100</v>
      </c>
      <c r="EC28">
        <v>6131</v>
      </c>
      <c r="EE28">
        <v>100</v>
      </c>
      <c r="EG28">
        <v>200</v>
      </c>
      <c r="EI28">
        <v>50</v>
      </c>
      <c r="EK28">
        <v>300</v>
      </c>
      <c r="EM28">
        <v>19681</v>
      </c>
      <c r="EO28">
        <v>250</v>
      </c>
      <c r="ES28">
        <v>100</v>
      </c>
      <c r="EW28">
        <v>2265</v>
      </c>
      <c r="EY28">
        <v>190</v>
      </c>
      <c r="FC28">
        <v>50</v>
      </c>
      <c r="FG28">
        <v>9750</v>
      </c>
      <c r="FK28">
        <v>50</v>
      </c>
      <c r="FQ28">
        <v>700</v>
      </c>
      <c r="GA28">
        <v>6150</v>
      </c>
      <c r="GK28">
        <v>4500</v>
      </c>
      <c r="GN28">
        <f t="shared" si="0"/>
        <v>98667</v>
      </c>
    </row>
    <row r="29" spans="1:196" x14ac:dyDescent="0.25">
      <c r="A29" s="4">
        <f>DATE(2024,6,21)</f>
        <v>45464</v>
      </c>
      <c r="BU29">
        <v>2200</v>
      </c>
      <c r="BW29">
        <v>175</v>
      </c>
      <c r="CC29">
        <v>1000</v>
      </c>
      <c r="CE29">
        <v>4675</v>
      </c>
      <c r="CI29">
        <v>650</v>
      </c>
      <c r="CO29">
        <v>5375</v>
      </c>
      <c r="CQ29">
        <v>200</v>
      </c>
      <c r="CY29">
        <v>7175</v>
      </c>
      <c r="DA29">
        <v>550</v>
      </c>
      <c r="DC29">
        <v>250</v>
      </c>
      <c r="DE29">
        <v>125</v>
      </c>
      <c r="DI29">
        <v>6700</v>
      </c>
      <c r="DK29">
        <v>200</v>
      </c>
      <c r="DM29">
        <v>50</v>
      </c>
      <c r="DO29">
        <v>250</v>
      </c>
      <c r="DQ29">
        <v>225</v>
      </c>
      <c r="DS29">
        <v>16925</v>
      </c>
      <c r="DT29">
        <v>50</v>
      </c>
      <c r="DU29">
        <v>125</v>
      </c>
      <c r="DW29">
        <v>400</v>
      </c>
      <c r="DY29">
        <v>100</v>
      </c>
      <c r="EC29">
        <v>6131</v>
      </c>
      <c r="EE29">
        <v>100</v>
      </c>
      <c r="EG29">
        <v>200</v>
      </c>
      <c r="EI29">
        <v>50</v>
      </c>
      <c r="EK29">
        <v>300</v>
      </c>
      <c r="EM29">
        <v>19681</v>
      </c>
      <c r="EO29">
        <v>250</v>
      </c>
      <c r="ES29">
        <v>100</v>
      </c>
      <c r="EW29">
        <v>2265</v>
      </c>
      <c r="EY29">
        <v>190</v>
      </c>
      <c r="FC29">
        <v>50</v>
      </c>
      <c r="FG29">
        <v>9750</v>
      </c>
      <c r="FK29">
        <v>50</v>
      </c>
      <c r="FQ29">
        <v>700</v>
      </c>
      <c r="GA29">
        <v>6150</v>
      </c>
      <c r="GK29">
        <v>4500</v>
      </c>
      <c r="GN29">
        <f t="shared" si="0"/>
        <v>97867</v>
      </c>
    </row>
    <row r="30" spans="1:196" x14ac:dyDescent="0.25">
      <c r="A30" s="4">
        <f>DATE(2024,6,20)</f>
        <v>45463</v>
      </c>
      <c r="BU30">
        <v>2200</v>
      </c>
      <c r="BW30">
        <v>175</v>
      </c>
      <c r="CC30">
        <v>1000</v>
      </c>
      <c r="CE30">
        <v>4675</v>
      </c>
      <c r="CI30">
        <v>650</v>
      </c>
      <c r="CO30">
        <v>5375</v>
      </c>
      <c r="CQ30">
        <v>200</v>
      </c>
      <c r="CY30">
        <v>7175</v>
      </c>
      <c r="DA30">
        <v>550</v>
      </c>
      <c r="DC30">
        <v>250</v>
      </c>
      <c r="DE30">
        <v>125</v>
      </c>
      <c r="DI30">
        <v>6700</v>
      </c>
      <c r="DK30">
        <v>200</v>
      </c>
      <c r="DM30">
        <v>50</v>
      </c>
      <c r="DO30">
        <v>250</v>
      </c>
      <c r="DQ30">
        <v>225</v>
      </c>
      <c r="DS30">
        <v>17125</v>
      </c>
      <c r="DT30">
        <v>50</v>
      </c>
      <c r="DU30">
        <v>125</v>
      </c>
      <c r="DW30">
        <v>400</v>
      </c>
      <c r="DY30">
        <v>100</v>
      </c>
      <c r="EC30">
        <v>6131</v>
      </c>
      <c r="EE30">
        <v>100</v>
      </c>
      <c r="EG30">
        <v>200</v>
      </c>
      <c r="EI30">
        <v>50</v>
      </c>
      <c r="EK30">
        <v>300</v>
      </c>
      <c r="EM30">
        <v>19681</v>
      </c>
      <c r="EO30">
        <v>250</v>
      </c>
      <c r="ES30">
        <v>100</v>
      </c>
      <c r="EW30">
        <v>2215</v>
      </c>
      <c r="EY30">
        <v>190</v>
      </c>
      <c r="FC30">
        <v>50</v>
      </c>
      <c r="FG30">
        <v>9700</v>
      </c>
      <c r="FK30">
        <v>50</v>
      </c>
      <c r="FQ30">
        <v>700</v>
      </c>
      <c r="GA30">
        <v>6150</v>
      </c>
      <c r="GK30">
        <v>4500</v>
      </c>
      <c r="GN30">
        <f t="shared" si="0"/>
        <v>97967</v>
      </c>
    </row>
    <row r="31" spans="1:196" x14ac:dyDescent="0.25">
      <c r="A31" s="4">
        <f>DATE(2024,6,19)</f>
        <v>45462</v>
      </c>
      <c r="BU31">
        <v>2200</v>
      </c>
      <c r="BW31">
        <v>175</v>
      </c>
      <c r="CC31">
        <v>1000</v>
      </c>
      <c r="CE31">
        <v>4675</v>
      </c>
      <c r="CI31">
        <v>650</v>
      </c>
      <c r="CO31">
        <v>5375</v>
      </c>
      <c r="CQ31">
        <v>200</v>
      </c>
      <c r="CY31">
        <v>7075</v>
      </c>
      <c r="DA31">
        <v>550</v>
      </c>
      <c r="DC31">
        <v>250</v>
      </c>
      <c r="DE31">
        <v>125</v>
      </c>
      <c r="DI31">
        <v>5850</v>
      </c>
      <c r="DK31">
        <v>200</v>
      </c>
      <c r="DM31">
        <v>50</v>
      </c>
      <c r="DO31">
        <v>250</v>
      </c>
      <c r="DQ31">
        <v>225</v>
      </c>
      <c r="DS31">
        <v>17325</v>
      </c>
      <c r="DT31">
        <v>50</v>
      </c>
      <c r="DU31">
        <v>125</v>
      </c>
      <c r="DW31">
        <v>400</v>
      </c>
      <c r="DY31">
        <v>100</v>
      </c>
      <c r="EC31">
        <v>6280</v>
      </c>
      <c r="EE31">
        <v>100</v>
      </c>
      <c r="EG31">
        <v>200</v>
      </c>
      <c r="EI31">
        <v>50</v>
      </c>
      <c r="EK31">
        <v>300</v>
      </c>
      <c r="EM31">
        <v>19631</v>
      </c>
      <c r="EO31">
        <v>250</v>
      </c>
      <c r="ES31">
        <v>100</v>
      </c>
      <c r="EW31">
        <v>2215</v>
      </c>
      <c r="EY31">
        <v>190</v>
      </c>
      <c r="FC31">
        <v>50</v>
      </c>
      <c r="FG31">
        <v>9700</v>
      </c>
      <c r="FK31">
        <v>50</v>
      </c>
      <c r="FQ31">
        <v>700</v>
      </c>
      <c r="GA31">
        <v>6150</v>
      </c>
      <c r="GK31">
        <v>4500</v>
      </c>
      <c r="GN31">
        <f t="shared" si="0"/>
        <v>97316</v>
      </c>
    </row>
    <row r="32" spans="1:196" x14ac:dyDescent="0.25">
      <c r="A32" s="4">
        <f>DATE(2024,6,18)</f>
        <v>45461</v>
      </c>
      <c r="BU32">
        <v>2200</v>
      </c>
      <c r="BW32">
        <v>175</v>
      </c>
      <c r="CC32">
        <v>1000</v>
      </c>
      <c r="CE32">
        <v>4675</v>
      </c>
      <c r="CI32">
        <v>650</v>
      </c>
      <c r="CO32">
        <v>5375</v>
      </c>
      <c r="CQ32">
        <v>200</v>
      </c>
      <c r="CY32">
        <v>7325</v>
      </c>
      <c r="DA32">
        <v>550</v>
      </c>
      <c r="DC32">
        <v>250</v>
      </c>
      <c r="DE32">
        <v>125</v>
      </c>
      <c r="DI32">
        <v>5850</v>
      </c>
      <c r="DK32">
        <v>200</v>
      </c>
      <c r="DM32">
        <v>50</v>
      </c>
      <c r="DO32">
        <v>250</v>
      </c>
      <c r="DQ32">
        <v>225</v>
      </c>
      <c r="DS32">
        <v>17325</v>
      </c>
      <c r="DT32">
        <v>50</v>
      </c>
      <c r="DU32">
        <v>125</v>
      </c>
      <c r="DW32">
        <v>400</v>
      </c>
      <c r="DY32">
        <v>100</v>
      </c>
      <c r="EC32">
        <v>6280</v>
      </c>
      <c r="EE32">
        <v>100</v>
      </c>
      <c r="EG32">
        <v>200</v>
      </c>
      <c r="EI32">
        <v>50</v>
      </c>
      <c r="EK32">
        <v>300</v>
      </c>
      <c r="EM32">
        <v>20006</v>
      </c>
      <c r="EO32">
        <v>250</v>
      </c>
      <c r="ES32">
        <v>100</v>
      </c>
      <c r="EW32">
        <v>2215</v>
      </c>
      <c r="EY32">
        <v>190</v>
      </c>
      <c r="FC32">
        <v>50</v>
      </c>
      <c r="FG32">
        <v>9700</v>
      </c>
      <c r="FK32">
        <v>50</v>
      </c>
      <c r="FQ32">
        <v>700</v>
      </c>
      <c r="GA32">
        <v>6150</v>
      </c>
      <c r="GK32">
        <v>4500</v>
      </c>
      <c r="GN32">
        <f t="shared" si="0"/>
        <v>97941</v>
      </c>
    </row>
    <row r="33" spans="1:196" x14ac:dyDescent="0.25">
      <c r="A33" s="4">
        <f>DATE(2024,6,17)</f>
        <v>45460</v>
      </c>
      <c r="BU33">
        <v>2200</v>
      </c>
      <c r="BW33">
        <v>175</v>
      </c>
      <c r="CC33">
        <v>1000</v>
      </c>
      <c r="CE33">
        <v>4675</v>
      </c>
      <c r="CI33">
        <v>650</v>
      </c>
      <c r="CO33">
        <v>5375</v>
      </c>
      <c r="CQ33">
        <v>200</v>
      </c>
      <c r="CY33">
        <v>7325</v>
      </c>
      <c r="DA33">
        <v>550</v>
      </c>
      <c r="DC33">
        <v>250</v>
      </c>
      <c r="DE33">
        <v>125</v>
      </c>
      <c r="DI33">
        <v>5850</v>
      </c>
      <c r="DK33">
        <v>200</v>
      </c>
      <c r="DM33">
        <v>50</v>
      </c>
      <c r="DO33">
        <v>250</v>
      </c>
      <c r="DQ33">
        <v>225</v>
      </c>
      <c r="DS33">
        <v>17325</v>
      </c>
      <c r="DT33">
        <v>50</v>
      </c>
      <c r="DU33">
        <v>125</v>
      </c>
      <c r="DW33">
        <v>400</v>
      </c>
      <c r="DY33">
        <v>100</v>
      </c>
      <c r="EC33">
        <v>6280</v>
      </c>
      <c r="EE33">
        <v>100</v>
      </c>
      <c r="EG33">
        <v>200</v>
      </c>
      <c r="EI33">
        <v>50</v>
      </c>
      <c r="EK33">
        <v>300</v>
      </c>
      <c r="EM33">
        <v>20106</v>
      </c>
      <c r="EO33">
        <v>250</v>
      </c>
      <c r="ES33">
        <v>100</v>
      </c>
      <c r="EW33">
        <v>2215</v>
      </c>
      <c r="EY33">
        <v>190</v>
      </c>
      <c r="FC33">
        <v>50</v>
      </c>
      <c r="FG33">
        <v>9800</v>
      </c>
      <c r="FK33">
        <v>50</v>
      </c>
      <c r="FQ33">
        <v>700</v>
      </c>
      <c r="GA33">
        <v>6150</v>
      </c>
      <c r="GK33">
        <v>4500</v>
      </c>
      <c r="GN33">
        <f t="shared" si="0"/>
        <v>98141</v>
      </c>
    </row>
    <row r="34" spans="1:196" x14ac:dyDescent="0.25">
      <c r="A34" s="4">
        <f>DATE(2024,6,14)</f>
        <v>45457</v>
      </c>
      <c r="BU34">
        <v>2200</v>
      </c>
      <c r="BW34">
        <v>175</v>
      </c>
      <c r="CC34">
        <v>1000</v>
      </c>
      <c r="CE34">
        <v>4675</v>
      </c>
      <c r="CI34">
        <v>650</v>
      </c>
      <c r="CO34">
        <v>5375</v>
      </c>
      <c r="CQ34">
        <v>200</v>
      </c>
      <c r="CY34">
        <v>7875</v>
      </c>
      <c r="DA34">
        <v>550</v>
      </c>
      <c r="DC34">
        <v>250</v>
      </c>
      <c r="DE34">
        <v>125</v>
      </c>
      <c r="DI34">
        <v>4950</v>
      </c>
      <c r="DK34">
        <v>200</v>
      </c>
      <c r="DM34">
        <v>50</v>
      </c>
      <c r="DO34">
        <v>250</v>
      </c>
      <c r="DQ34">
        <v>225</v>
      </c>
      <c r="DS34">
        <v>17275</v>
      </c>
      <c r="DT34">
        <v>50</v>
      </c>
      <c r="DU34">
        <v>125</v>
      </c>
      <c r="DW34">
        <v>400</v>
      </c>
      <c r="DY34">
        <v>100</v>
      </c>
      <c r="EC34">
        <v>6230</v>
      </c>
      <c r="EE34">
        <v>100</v>
      </c>
      <c r="EG34">
        <v>200</v>
      </c>
      <c r="EI34">
        <v>50</v>
      </c>
      <c r="EK34">
        <v>300</v>
      </c>
      <c r="EM34">
        <v>20106</v>
      </c>
      <c r="EO34">
        <v>250</v>
      </c>
      <c r="ES34">
        <v>100</v>
      </c>
      <c r="EW34">
        <v>2215</v>
      </c>
      <c r="EY34">
        <v>190</v>
      </c>
      <c r="FC34">
        <v>50</v>
      </c>
      <c r="FG34">
        <v>9800</v>
      </c>
      <c r="FK34">
        <v>50</v>
      </c>
      <c r="FQ34">
        <v>700</v>
      </c>
      <c r="GA34">
        <v>6150</v>
      </c>
      <c r="GK34">
        <v>4500</v>
      </c>
      <c r="GN34">
        <f t="shared" si="0"/>
        <v>97691</v>
      </c>
    </row>
    <row r="35" spans="1:196" x14ac:dyDescent="0.25">
      <c r="A35" s="4">
        <f>DATE(2024,6,13)</f>
        <v>45456</v>
      </c>
      <c r="BU35">
        <v>2200</v>
      </c>
      <c r="BW35">
        <v>175</v>
      </c>
      <c r="CC35">
        <v>1000</v>
      </c>
      <c r="CE35">
        <v>4675</v>
      </c>
      <c r="CI35">
        <v>650</v>
      </c>
      <c r="CO35">
        <v>5375</v>
      </c>
      <c r="CQ35">
        <v>200</v>
      </c>
      <c r="CY35">
        <v>7875</v>
      </c>
      <c r="DA35">
        <v>550</v>
      </c>
      <c r="DC35">
        <v>250</v>
      </c>
      <c r="DE35">
        <v>125</v>
      </c>
      <c r="DI35">
        <v>4950</v>
      </c>
      <c r="DK35">
        <v>200</v>
      </c>
      <c r="DM35">
        <v>50</v>
      </c>
      <c r="DO35">
        <v>250</v>
      </c>
      <c r="DQ35">
        <v>225</v>
      </c>
      <c r="DS35">
        <v>16985</v>
      </c>
      <c r="DT35">
        <v>50</v>
      </c>
      <c r="DU35">
        <v>125</v>
      </c>
      <c r="DW35">
        <v>400</v>
      </c>
      <c r="DY35">
        <v>100</v>
      </c>
      <c r="EC35">
        <v>6230</v>
      </c>
      <c r="EE35">
        <v>100</v>
      </c>
      <c r="EG35">
        <v>200</v>
      </c>
      <c r="EI35">
        <v>50</v>
      </c>
      <c r="EK35">
        <v>300</v>
      </c>
      <c r="EM35">
        <v>20236</v>
      </c>
      <c r="EO35">
        <v>250</v>
      </c>
      <c r="ES35">
        <v>100</v>
      </c>
      <c r="EW35">
        <v>2215</v>
      </c>
      <c r="EY35">
        <v>190</v>
      </c>
      <c r="FC35">
        <v>50</v>
      </c>
      <c r="FG35">
        <v>9800</v>
      </c>
      <c r="FK35">
        <v>50</v>
      </c>
      <c r="FQ35">
        <v>700</v>
      </c>
      <c r="GA35">
        <v>6250</v>
      </c>
      <c r="GK35">
        <v>4500</v>
      </c>
      <c r="GN35">
        <f t="shared" si="0"/>
        <v>97631</v>
      </c>
    </row>
    <row r="36" spans="1:196" x14ac:dyDescent="0.25">
      <c r="A36" s="4">
        <f>DATE(2024,6,12)</f>
        <v>45455</v>
      </c>
      <c r="BU36">
        <v>2200</v>
      </c>
      <c r="BW36">
        <v>175</v>
      </c>
      <c r="CC36">
        <v>1000</v>
      </c>
      <c r="CE36">
        <v>4675</v>
      </c>
      <c r="CI36">
        <v>650</v>
      </c>
      <c r="CO36">
        <v>5375</v>
      </c>
      <c r="CQ36">
        <v>200</v>
      </c>
      <c r="CY36">
        <v>7875</v>
      </c>
      <c r="DA36">
        <v>550</v>
      </c>
      <c r="DC36">
        <v>250</v>
      </c>
      <c r="DE36">
        <v>125</v>
      </c>
      <c r="DI36">
        <v>4875</v>
      </c>
      <c r="DK36">
        <v>200</v>
      </c>
      <c r="DM36">
        <v>50</v>
      </c>
      <c r="DO36">
        <v>250</v>
      </c>
      <c r="DQ36">
        <v>225</v>
      </c>
      <c r="DS36">
        <v>16985</v>
      </c>
      <c r="DT36">
        <v>50</v>
      </c>
      <c r="DU36">
        <v>125</v>
      </c>
      <c r="DW36">
        <v>400</v>
      </c>
      <c r="DY36">
        <v>100</v>
      </c>
      <c r="EC36">
        <v>6230</v>
      </c>
      <c r="EE36">
        <v>100</v>
      </c>
      <c r="EG36">
        <v>200</v>
      </c>
      <c r="EI36">
        <v>50</v>
      </c>
      <c r="EK36">
        <v>300</v>
      </c>
      <c r="EM36">
        <v>20236</v>
      </c>
      <c r="EO36">
        <v>250</v>
      </c>
      <c r="ES36">
        <v>100</v>
      </c>
      <c r="EW36">
        <v>2165</v>
      </c>
      <c r="EY36">
        <v>190</v>
      </c>
      <c r="FC36">
        <v>50</v>
      </c>
      <c r="FG36">
        <v>9650</v>
      </c>
      <c r="FK36">
        <v>50</v>
      </c>
      <c r="FQ36">
        <v>700</v>
      </c>
      <c r="GA36">
        <v>4650</v>
      </c>
      <c r="GK36">
        <v>4500</v>
      </c>
      <c r="GN36">
        <f t="shared" si="0"/>
        <v>95756</v>
      </c>
    </row>
    <row r="37" spans="1:196" x14ac:dyDescent="0.25">
      <c r="A37" s="4">
        <f>DATE(2024,6,11)</f>
        <v>45454</v>
      </c>
      <c r="BU37">
        <v>2200</v>
      </c>
      <c r="BW37">
        <v>175</v>
      </c>
      <c r="CC37">
        <v>1000</v>
      </c>
      <c r="CE37">
        <v>4675</v>
      </c>
      <c r="CI37">
        <v>650</v>
      </c>
      <c r="CO37">
        <v>5375</v>
      </c>
      <c r="CQ37">
        <v>200</v>
      </c>
      <c r="CY37">
        <v>8025</v>
      </c>
      <c r="DA37">
        <v>550</v>
      </c>
      <c r="DC37">
        <v>250</v>
      </c>
      <c r="DE37">
        <v>125</v>
      </c>
      <c r="DI37">
        <v>4875</v>
      </c>
      <c r="DK37">
        <v>200</v>
      </c>
      <c r="DM37">
        <v>50</v>
      </c>
      <c r="DO37">
        <v>250</v>
      </c>
      <c r="DQ37">
        <v>225</v>
      </c>
      <c r="DS37">
        <v>16985</v>
      </c>
      <c r="DT37">
        <v>50</v>
      </c>
      <c r="DU37">
        <v>125</v>
      </c>
      <c r="DW37">
        <v>400</v>
      </c>
      <c r="DY37">
        <v>100</v>
      </c>
      <c r="EC37">
        <v>6230</v>
      </c>
      <c r="EE37">
        <v>100</v>
      </c>
      <c r="EG37">
        <v>200</v>
      </c>
      <c r="EI37">
        <v>50</v>
      </c>
      <c r="EK37">
        <v>300</v>
      </c>
      <c r="EM37">
        <v>20136</v>
      </c>
      <c r="EO37">
        <v>250</v>
      </c>
      <c r="ES37">
        <v>100</v>
      </c>
      <c r="EW37">
        <v>2165</v>
      </c>
      <c r="EY37">
        <v>190</v>
      </c>
      <c r="FC37">
        <v>50</v>
      </c>
      <c r="FG37">
        <v>9650</v>
      </c>
      <c r="FK37">
        <v>50</v>
      </c>
      <c r="FQ37">
        <v>700</v>
      </c>
      <c r="GA37">
        <v>4650</v>
      </c>
      <c r="GK37">
        <v>4500</v>
      </c>
      <c r="GN37">
        <f t="shared" si="0"/>
        <v>95806</v>
      </c>
    </row>
    <row r="38" spans="1:196" x14ac:dyDescent="0.25">
      <c r="A38" s="4">
        <f>DATE(2024,6,10)</f>
        <v>45453</v>
      </c>
      <c r="BU38">
        <v>2200</v>
      </c>
      <c r="BW38">
        <v>175</v>
      </c>
      <c r="CC38">
        <v>1000</v>
      </c>
      <c r="CE38">
        <v>4625</v>
      </c>
      <c r="CI38">
        <v>650</v>
      </c>
      <c r="CO38">
        <v>5375</v>
      </c>
      <c r="CQ38">
        <v>200</v>
      </c>
      <c r="CY38">
        <v>8025</v>
      </c>
      <c r="DA38">
        <v>550</v>
      </c>
      <c r="DC38">
        <v>250</v>
      </c>
      <c r="DE38">
        <v>125</v>
      </c>
      <c r="DI38">
        <v>4875</v>
      </c>
      <c r="DK38">
        <v>200</v>
      </c>
      <c r="DM38">
        <v>50</v>
      </c>
      <c r="DO38">
        <v>250</v>
      </c>
      <c r="DQ38">
        <v>225</v>
      </c>
      <c r="DS38">
        <v>17035</v>
      </c>
      <c r="DT38">
        <v>50</v>
      </c>
      <c r="DU38">
        <v>125</v>
      </c>
      <c r="DW38">
        <v>400</v>
      </c>
      <c r="DY38">
        <v>100</v>
      </c>
      <c r="EC38">
        <v>6230</v>
      </c>
      <c r="EE38">
        <v>100</v>
      </c>
      <c r="EG38">
        <v>200</v>
      </c>
      <c r="EI38">
        <v>50</v>
      </c>
      <c r="EK38">
        <v>300</v>
      </c>
      <c r="EM38">
        <v>20136</v>
      </c>
      <c r="EO38">
        <v>250</v>
      </c>
      <c r="ES38">
        <v>100</v>
      </c>
      <c r="EW38">
        <v>2165</v>
      </c>
      <c r="EY38">
        <v>190</v>
      </c>
      <c r="FC38">
        <v>50</v>
      </c>
      <c r="FG38">
        <v>9650</v>
      </c>
      <c r="FK38">
        <v>50</v>
      </c>
      <c r="FQ38">
        <v>700</v>
      </c>
      <c r="GA38">
        <v>4650</v>
      </c>
      <c r="GK38">
        <v>4500</v>
      </c>
      <c r="GN38">
        <f t="shared" si="0"/>
        <v>95806</v>
      </c>
    </row>
    <row r="39" spans="1:196" x14ac:dyDescent="0.25">
      <c r="A39" s="4">
        <f>DATE(2024,6,7)</f>
        <v>45450</v>
      </c>
      <c r="BU39">
        <v>2200</v>
      </c>
      <c r="BW39">
        <v>175</v>
      </c>
      <c r="CC39">
        <v>1000</v>
      </c>
      <c r="CE39">
        <v>4625</v>
      </c>
      <c r="CI39">
        <v>650</v>
      </c>
      <c r="CO39">
        <v>5375</v>
      </c>
      <c r="CQ39">
        <v>200</v>
      </c>
      <c r="CY39">
        <v>8025</v>
      </c>
      <c r="DA39">
        <v>550</v>
      </c>
      <c r="DC39">
        <v>250</v>
      </c>
      <c r="DE39">
        <v>125</v>
      </c>
      <c r="DI39">
        <v>4875</v>
      </c>
      <c r="DK39">
        <v>200</v>
      </c>
      <c r="DM39">
        <v>50</v>
      </c>
      <c r="DO39">
        <v>250</v>
      </c>
      <c r="DQ39">
        <v>225</v>
      </c>
      <c r="DS39">
        <v>17035</v>
      </c>
      <c r="DT39">
        <v>50</v>
      </c>
      <c r="DU39">
        <v>125</v>
      </c>
      <c r="DW39">
        <v>400</v>
      </c>
      <c r="DY39">
        <v>100</v>
      </c>
      <c r="EC39">
        <v>6105</v>
      </c>
      <c r="EE39">
        <v>100</v>
      </c>
      <c r="EG39">
        <v>200</v>
      </c>
      <c r="EI39">
        <v>50</v>
      </c>
      <c r="EK39">
        <v>300</v>
      </c>
      <c r="EM39">
        <v>20136</v>
      </c>
      <c r="EO39">
        <v>250</v>
      </c>
      <c r="ES39">
        <v>100</v>
      </c>
      <c r="EW39">
        <v>2140</v>
      </c>
      <c r="EY39">
        <v>190</v>
      </c>
      <c r="FC39">
        <v>50</v>
      </c>
      <c r="FG39">
        <v>9650</v>
      </c>
      <c r="FK39">
        <v>50</v>
      </c>
      <c r="FQ39">
        <v>700</v>
      </c>
      <c r="GA39">
        <v>4650</v>
      </c>
      <c r="GK39">
        <v>4500</v>
      </c>
      <c r="GN39">
        <f t="shared" si="0"/>
        <v>95656</v>
      </c>
    </row>
    <row r="40" spans="1:196" x14ac:dyDescent="0.25">
      <c r="A40" s="4">
        <f>DATE(2024,6,6)</f>
        <v>45449</v>
      </c>
      <c r="BU40">
        <v>2200</v>
      </c>
      <c r="BW40">
        <v>175</v>
      </c>
      <c r="CC40">
        <v>1000</v>
      </c>
      <c r="CE40">
        <v>4625</v>
      </c>
      <c r="CI40">
        <v>650</v>
      </c>
      <c r="CO40">
        <v>5375</v>
      </c>
      <c r="CQ40">
        <v>200</v>
      </c>
      <c r="CY40">
        <v>8025</v>
      </c>
      <c r="DA40">
        <v>550</v>
      </c>
      <c r="DC40">
        <v>250</v>
      </c>
      <c r="DE40">
        <v>125</v>
      </c>
      <c r="DI40">
        <v>4875</v>
      </c>
      <c r="DK40">
        <v>200</v>
      </c>
      <c r="DM40">
        <v>50</v>
      </c>
      <c r="DO40">
        <v>250</v>
      </c>
      <c r="DQ40">
        <v>225</v>
      </c>
      <c r="DS40">
        <v>17035</v>
      </c>
      <c r="DT40">
        <v>50</v>
      </c>
      <c r="DU40">
        <v>125</v>
      </c>
      <c r="DW40">
        <v>400</v>
      </c>
      <c r="DY40">
        <v>100</v>
      </c>
      <c r="EC40">
        <v>6105</v>
      </c>
      <c r="EE40">
        <v>100</v>
      </c>
      <c r="EG40">
        <v>200</v>
      </c>
      <c r="EI40">
        <v>50</v>
      </c>
      <c r="EK40">
        <v>300</v>
      </c>
      <c r="EM40">
        <v>20136</v>
      </c>
      <c r="EO40">
        <v>250</v>
      </c>
      <c r="ES40">
        <v>100</v>
      </c>
      <c r="EW40">
        <v>2115</v>
      </c>
      <c r="EY40">
        <v>190</v>
      </c>
      <c r="FC40">
        <v>50</v>
      </c>
      <c r="FG40">
        <v>9400</v>
      </c>
      <c r="FK40">
        <v>50</v>
      </c>
      <c r="FQ40">
        <v>700</v>
      </c>
      <c r="GA40">
        <v>4650</v>
      </c>
      <c r="GK40">
        <v>4500</v>
      </c>
      <c r="GN40">
        <f t="shared" si="0"/>
        <v>95381</v>
      </c>
    </row>
    <row r="41" spans="1:196" x14ac:dyDescent="0.25">
      <c r="A41" s="4">
        <f>DATE(2024,6,5)</f>
        <v>45448</v>
      </c>
      <c r="BU41">
        <v>2200</v>
      </c>
      <c r="BW41">
        <v>175</v>
      </c>
      <c r="CC41">
        <v>1000</v>
      </c>
      <c r="CE41">
        <v>4625</v>
      </c>
      <c r="CI41">
        <v>650</v>
      </c>
      <c r="CO41">
        <v>5375</v>
      </c>
      <c r="CQ41">
        <v>200</v>
      </c>
      <c r="CY41">
        <v>8025</v>
      </c>
      <c r="DA41">
        <v>550</v>
      </c>
      <c r="DC41">
        <v>250</v>
      </c>
      <c r="DE41">
        <v>125</v>
      </c>
      <c r="DI41">
        <v>4875</v>
      </c>
      <c r="DK41">
        <v>200</v>
      </c>
      <c r="DM41">
        <v>50</v>
      </c>
      <c r="DO41">
        <v>250</v>
      </c>
      <c r="DQ41">
        <v>225</v>
      </c>
      <c r="DS41">
        <v>17010</v>
      </c>
      <c r="DT41">
        <v>50</v>
      </c>
      <c r="DU41">
        <v>125</v>
      </c>
      <c r="DW41">
        <v>400</v>
      </c>
      <c r="DY41">
        <v>100</v>
      </c>
      <c r="EC41">
        <v>6105</v>
      </c>
      <c r="EE41">
        <v>100</v>
      </c>
      <c r="EG41">
        <v>200</v>
      </c>
      <c r="EI41">
        <v>50</v>
      </c>
      <c r="EK41">
        <v>300</v>
      </c>
      <c r="EM41">
        <v>20086</v>
      </c>
      <c r="EO41">
        <v>250</v>
      </c>
      <c r="ES41">
        <v>100</v>
      </c>
      <c r="EW41">
        <v>2065</v>
      </c>
      <c r="EY41">
        <v>190</v>
      </c>
      <c r="FC41">
        <v>50</v>
      </c>
      <c r="FG41">
        <v>9400</v>
      </c>
      <c r="FK41">
        <v>50</v>
      </c>
      <c r="FQ41">
        <v>700</v>
      </c>
      <c r="GA41">
        <v>4000</v>
      </c>
      <c r="GK41">
        <v>4500</v>
      </c>
      <c r="GN41">
        <f t="shared" si="0"/>
        <v>94606</v>
      </c>
    </row>
    <row r="42" spans="1:196" x14ac:dyDescent="0.25">
      <c r="A42" s="4">
        <f>DATE(2024,6,4)</f>
        <v>45447</v>
      </c>
      <c r="BU42">
        <v>2200</v>
      </c>
      <c r="BW42">
        <v>175</v>
      </c>
      <c r="CC42">
        <v>1000</v>
      </c>
      <c r="CE42">
        <v>4625</v>
      </c>
      <c r="CI42">
        <v>650</v>
      </c>
      <c r="CO42">
        <v>5375</v>
      </c>
      <c r="CQ42">
        <v>200</v>
      </c>
      <c r="CY42">
        <v>8025</v>
      </c>
      <c r="DA42">
        <v>550</v>
      </c>
      <c r="DC42">
        <v>250</v>
      </c>
      <c r="DE42">
        <v>125</v>
      </c>
      <c r="DI42">
        <v>4875</v>
      </c>
      <c r="DK42">
        <v>200</v>
      </c>
      <c r="DM42">
        <v>50</v>
      </c>
      <c r="DO42">
        <v>250</v>
      </c>
      <c r="DQ42">
        <v>225</v>
      </c>
      <c r="DS42">
        <v>14160</v>
      </c>
      <c r="DT42">
        <v>50</v>
      </c>
      <c r="DU42">
        <v>125</v>
      </c>
      <c r="DW42">
        <v>400</v>
      </c>
      <c r="DY42">
        <v>100</v>
      </c>
      <c r="EC42">
        <v>6105</v>
      </c>
      <c r="EE42">
        <v>100</v>
      </c>
      <c r="EG42">
        <v>200</v>
      </c>
      <c r="EI42">
        <v>50</v>
      </c>
      <c r="EK42">
        <v>300</v>
      </c>
      <c r="EM42">
        <v>17136</v>
      </c>
      <c r="EO42">
        <v>250</v>
      </c>
      <c r="ES42">
        <v>100</v>
      </c>
      <c r="EW42">
        <v>2065</v>
      </c>
      <c r="EY42">
        <v>190</v>
      </c>
      <c r="FC42">
        <v>50</v>
      </c>
      <c r="FG42">
        <v>9450</v>
      </c>
      <c r="FK42">
        <v>50</v>
      </c>
      <c r="FQ42">
        <v>700</v>
      </c>
      <c r="GA42">
        <v>4000</v>
      </c>
      <c r="GK42">
        <v>4500</v>
      </c>
      <c r="GN42">
        <f t="shared" si="0"/>
        <v>88856</v>
      </c>
    </row>
    <row r="43" spans="1:196" x14ac:dyDescent="0.25">
      <c r="A43" s="4">
        <f>DATE(2024,6,3)</f>
        <v>45446</v>
      </c>
      <c r="BU43">
        <v>2200</v>
      </c>
      <c r="BW43">
        <v>175</v>
      </c>
      <c r="CC43">
        <v>1000</v>
      </c>
      <c r="CE43">
        <v>4625</v>
      </c>
      <c r="CI43">
        <v>650</v>
      </c>
      <c r="CO43">
        <v>5375</v>
      </c>
      <c r="CQ43">
        <v>200</v>
      </c>
      <c r="CY43">
        <v>8025</v>
      </c>
      <c r="DA43">
        <v>550</v>
      </c>
      <c r="DC43">
        <v>250</v>
      </c>
      <c r="DE43">
        <v>125</v>
      </c>
      <c r="DI43">
        <v>4875</v>
      </c>
      <c r="DK43">
        <v>200</v>
      </c>
      <c r="DM43">
        <v>50</v>
      </c>
      <c r="DO43">
        <v>250</v>
      </c>
      <c r="DQ43">
        <v>225</v>
      </c>
      <c r="DS43">
        <v>11660</v>
      </c>
      <c r="DT43">
        <v>50</v>
      </c>
      <c r="DU43">
        <v>125</v>
      </c>
      <c r="DW43">
        <v>400</v>
      </c>
      <c r="DY43">
        <v>100</v>
      </c>
      <c r="EC43">
        <v>6105</v>
      </c>
      <c r="EE43">
        <v>100</v>
      </c>
      <c r="EG43">
        <v>200</v>
      </c>
      <c r="EI43">
        <v>50</v>
      </c>
      <c r="EK43">
        <v>300</v>
      </c>
      <c r="EM43">
        <v>13136</v>
      </c>
      <c r="EO43">
        <v>250</v>
      </c>
      <c r="ES43">
        <v>100</v>
      </c>
      <c r="EW43">
        <v>2065</v>
      </c>
      <c r="EY43">
        <v>190</v>
      </c>
      <c r="FC43">
        <v>50</v>
      </c>
      <c r="FG43">
        <v>9900</v>
      </c>
      <c r="FK43">
        <v>50</v>
      </c>
      <c r="FQ43">
        <v>700</v>
      </c>
      <c r="GA43">
        <v>4000</v>
      </c>
      <c r="GK43">
        <v>4500</v>
      </c>
      <c r="GN43">
        <f t="shared" si="0"/>
        <v>82806</v>
      </c>
    </row>
    <row r="44" spans="1:196" x14ac:dyDescent="0.25">
      <c r="A44" s="4">
        <f>DATE(2024,5,31)</f>
        <v>45443</v>
      </c>
      <c r="BU44">
        <v>2200</v>
      </c>
      <c r="BW44">
        <v>175</v>
      </c>
      <c r="CC44">
        <v>1000</v>
      </c>
      <c r="CE44">
        <v>4625</v>
      </c>
      <c r="CI44">
        <v>650</v>
      </c>
      <c r="CO44">
        <v>5375</v>
      </c>
      <c r="CQ44">
        <v>200</v>
      </c>
      <c r="CY44">
        <v>8025</v>
      </c>
      <c r="DA44">
        <v>550</v>
      </c>
      <c r="DC44">
        <v>250</v>
      </c>
      <c r="DE44">
        <v>125</v>
      </c>
      <c r="DI44">
        <v>4975</v>
      </c>
      <c r="DK44">
        <v>200</v>
      </c>
      <c r="DM44">
        <v>50</v>
      </c>
      <c r="DO44">
        <v>250</v>
      </c>
      <c r="DQ44">
        <v>225</v>
      </c>
      <c r="DS44">
        <v>11660</v>
      </c>
      <c r="DT44">
        <v>50</v>
      </c>
      <c r="DU44">
        <v>125</v>
      </c>
      <c r="DW44">
        <v>400</v>
      </c>
      <c r="DY44">
        <v>100</v>
      </c>
      <c r="EC44">
        <v>6105</v>
      </c>
      <c r="EE44">
        <v>100</v>
      </c>
      <c r="EG44">
        <v>200</v>
      </c>
      <c r="EI44">
        <v>50</v>
      </c>
      <c r="EK44">
        <v>300</v>
      </c>
      <c r="EM44">
        <v>13136</v>
      </c>
      <c r="EO44">
        <v>250</v>
      </c>
      <c r="ES44">
        <v>100</v>
      </c>
      <c r="EW44">
        <v>2065</v>
      </c>
      <c r="EY44">
        <v>190</v>
      </c>
      <c r="FC44">
        <v>50</v>
      </c>
      <c r="FG44">
        <v>9900</v>
      </c>
      <c r="FK44">
        <v>50</v>
      </c>
      <c r="FQ44">
        <v>700</v>
      </c>
      <c r="GA44">
        <v>2900</v>
      </c>
      <c r="GK44">
        <v>4500</v>
      </c>
      <c r="GN44">
        <f t="shared" si="0"/>
        <v>81806</v>
      </c>
    </row>
    <row r="45" spans="1:196" x14ac:dyDescent="0.25">
      <c r="A45" s="4">
        <f>DATE(2024,5,30)</f>
        <v>45442</v>
      </c>
      <c r="BU45">
        <v>2200</v>
      </c>
      <c r="BW45">
        <v>175</v>
      </c>
      <c r="CC45">
        <v>1000</v>
      </c>
      <c r="CE45">
        <v>4625</v>
      </c>
      <c r="CI45">
        <v>650</v>
      </c>
      <c r="CO45">
        <v>5375</v>
      </c>
      <c r="CQ45">
        <v>200</v>
      </c>
      <c r="CY45">
        <v>8025</v>
      </c>
      <c r="DA45">
        <v>550</v>
      </c>
      <c r="DC45">
        <v>250</v>
      </c>
      <c r="DE45">
        <v>125</v>
      </c>
      <c r="DI45">
        <v>4975</v>
      </c>
      <c r="DK45">
        <v>200</v>
      </c>
      <c r="DM45">
        <v>50</v>
      </c>
      <c r="DO45">
        <v>250</v>
      </c>
      <c r="DQ45">
        <v>225</v>
      </c>
      <c r="DS45">
        <v>7860</v>
      </c>
      <c r="DT45">
        <v>50</v>
      </c>
      <c r="DU45">
        <v>125</v>
      </c>
      <c r="DW45">
        <v>400</v>
      </c>
      <c r="DY45">
        <v>100</v>
      </c>
      <c r="EC45">
        <v>6105</v>
      </c>
      <c r="EE45">
        <v>100</v>
      </c>
      <c r="EG45">
        <v>200</v>
      </c>
      <c r="EI45">
        <v>50</v>
      </c>
      <c r="EK45">
        <v>300</v>
      </c>
      <c r="EM45">
        <v>8636</v>
      </c>
      <c r="EO45">
        <v>250</v>
      </c>
      <c r="ES45">
        <v>100</v>
      </c>
      <c r="EW45">
        <v>2065</v>
      </c>
      <c r="EY45">
        <v>190</v>
      </c>
      <c r="FC45">
        <v>50</v>
      </c>
      <c r="FG45">
        <v>9900</v>
      </c>
      <c r="FK45">
        <v>50</v>
      </c>
      <c r="FQ45">
        <v>700</v>
      </c>
      <c r="GA45">
        <v>2027</v>
      </c>
      <c r="GK45">
        <v>4500</v>
      </c>
      <c r="GN45">
        <f t="shared" si="0"/>
        <v>72633</v>
      </c>
    </row>
    <row r="46" spans="1:196" x14ac:dyDescent="0.25">
      <c r="A46" s="4">
        <f>DATE(2024,5,29)</f>
        <v>45441</v>
      </c>
      <c r="BU46">
        <v>2200</v>
      </c>
      <c r="BW46">
        <v>175</v>
      </c>
      <c r="CC46">
        <v>1000</v>
      </c>
      <c r="CE46">
        <v>4625</v>
      </c>
      <c r="CI46">
        <v>650</v>
      </c>
      <c r="CO46">
        <v>5375</v>
      </c>
      <c r="CQ46">
        <v>200</v>
      </c>
      <c r="CY46">
        <v>8025</v>
      </c>
      <c r="DA46">
        <v>550</v>
      </c>
      <c r="DC46">
        <v>250</v>
      </c>
      <c r="DE46">
        <v>125</v>
      </c>
      <c r="DI46">
        <v>4975</v>
      </c>
      <c r="DK46">
        <v>200</v>
      </c>
      <c r="DM46">
        <v>50</v>
      </c>
      <c r="DO46">
        <v>250</v>
      </c>
      <c r="DQ46">
        <v>225</v>
      </c>
      <c r="DS46">
        <v>7860</v>
      </c>
      <c r="DT46">
        <v>50</v>
      </c>
      <c r="DU46">
        <v>125</v>
      </c>
      <c r="DW46">
        <v>400</v>
      </c>
      <c r="DY46">
        <v>100</v>
      </c>
      <c r="EC46">
        <v>6105</v>
      </c>
      <c r="EE46">
        <v>100</v>
      </c>
      <c r="EG46">
        <v>200</v>
      </c>
      <c r="EI46">
        <v>50</v>
      </c>
      <c r="EK46">
        <v>300</v>
      </c>
      <c r="EM46">
        <v>8636</v>
      </c>
      <c r="EO46">
        <v>250</v>
      </c>
      <c r="ES46">
        <v>100</v>
      </c>
      <c r="EW46">
        <v>2065</v>
      </c>
      <c r="EY46">
        <v>190</v>
      </c>
      <c r="FC46">
        <v>50</v>
      </c>
      <c r="FG46">
        <v>9900</v>
      </c>
      <c r="FK46">
        <v>50</v>
      </c>
      <c r="FQ46">
        <v>700</v>
      </c>
      <c r="GA46">
        <v>2027</v>
      </c>
      <c r="GK46">
        <v>4500</v>
      </c>
      <c r="GN46">
        <f t="shared" si="0"/>
        <v>72633</v>
      </c>
    </row>
    <row r="47" spans="1:196" x14ac:dyDescent="0.25">
      <c r="A47" s="4">
        <f>DATE(2024,5,28)</f>
        <v>45440</v>
      </c>
      <c r="BU47">
        <v>2200</v>
      </c>
      <c r="BW47">
        <v>175</v>
      </c>
      <c r="CC47">
        <v>1000</v>
      </c>
      <c r="CE47">
        <v>4625</v>
      </c>
      <c r="CI47">
        <v>650</v>
      </c>
      <c r="CO47">
        <v>5375</v>
      </c>
      <c r="CQ47">
        <v>200</v>
      </c>
      <c r="CY47">
        <v>8125</v>
      </c>
      <c r="DA47">
        <v>550</v>
      </c>
      <c r="DC47">
        <v>250</v>
      </c>
      <c r="DE47">
        <v>125</v>
      </c>
      <c r="DI47">
        <v>5300</v>
      </c>
      <c r="DK47">
        <v>200</v>
      </c>
      <c r="DM47">
        <v>50</v>
      </c>
      <c r="DO47">
        <v>250</v>
      </c>
      <c r="DQ47">
        <v>225</v>
      </c>
      <c r="DS47">
        <v>7860</v>
      </c>
      <c r="DT47">
        <v>50</v>
      </c>
      <c r="DU47">
        <v>125</v>
      </c>
      <c r="DW47">
        <v>400</v>
      </c>
      <c r="DY47">
        <v>100</v>
      </c>
      <c r="EC47">
        <v>6105</v>
      </c>
      <c r="EE47">
        <v>100</v>
      </c>
      <c r="EG47">
        <v>200</v>
      </c>
      <c r="EI47">
        <v>50</v>
      </c>
      <c r="EK47">
        <v>300</v>
      </c>
      <c r="EM47">
        <v>8636</v>
      </c>
      <c r="EO47">
        <v>250</v>
      </c>
      <c r="ES47">
        <v>100</v>
      </c>
      <c r="EW47">
        <v>2065</v>
      </c>
      <c r="EY47">
        <v>190</v>
      </c>
      <c r="FC47">
        <v>50</v>
      </c>
      <c r="FG47">
        <v>9900</v>
      </c>
      <c r="FK47">
        <v>50</v>
      </c>
      <c r="FQ47">
        <v>700</v>
      </c>
      <c r="GA47">
        <v>2027</v>
      </c>
      <c r="GK47">
        <v>4500</v>
      </c>
      <c r="GN47">
        <f t="shared" si="0"/>
        <v>73058</v>
      </c>
    </row>
    <row r="48" spans="1:196" x14ac:dyDescent="0.25">
      <c r="A48" s="4">
        <f>DATE(2024,5,27)</f>
        <v>45439</v>
      </c>
      <c r="BU48">
        <v>2200</v>
      </c>
      <c r="BW48">
        <v>175</v>
      </c>
      <c r="CC48">
        <v>1000</v>
      </c>
      <c r="CE48">
        <v>4625</v>
      </c>
      <c r="CI48">
        <v>650</v>
      </c>
      <c r="CO48">
        <v>5375</v>
      </c>
      <c r="CQ48">
        <v>200</v>
      </c>
      <c r="CY48">
        <v>8125</v>
      </c>
      <c r="DA48">
        <v>550</v>
      </c>
      <c r="DC48">
        <v>250</v>
      </c>
      <c r="DE48">
        <v>125</v>
      </c>
      <c r="DI48">
        <v>5300</v>
      </c>
      <c r="DK48">
        <v>200</v>
      </c>
      <c r="DM48">
        <v>50</v>
      </c>
      <c r="DO48">
        <v>250</v>
      </c>
      <c r="DQ48">
        <v>225</v>
      </c>
      <c r="DS48">
        <v>7860</v>
      </c>
      <c r="DT48">
        <v>50</v>
      </c>
      <c r="DU48">
        <v>125</v>
      </c>
      <c r="DW48">
        <v>400</v>
      </c>
      <c r="DY48">
        <v>100</v>
      </c>
      <c r="EC48">
        <v>6105</v>
      </c>
      <c r="EE48">
        <v>100</v>
      </c>
      <c r="EG48">
        <v>200</v>
      </c>
      <c r="EI48">
        <v>50</v>
      </c>
      <c r="EK48">
        <v>300</v>
      </c>
      <c r="EM48">
        <v>8636</v>
      </c>
      <c r="EO48">
        <v>250</v>
      </c>
      <c r="ES48">
        <v>100</v>
      </c>
      <c r="EW48">
        <v>2065</v>
      </c>
      <c r="EY48">
        <v>190</v>
      </c>
      <c r="FC48">
        <v>50</v>
      </c>
      <c r="FG48">
        <v>9900</v>
      </c>
      <c r="FK48">
        <v>50</v>
      </c>
      <c r="FQ48">
        <v>700</v>
      </c>
      <c r="GA48">
        <v>2027</v>
      </c>
      <c r="GK48">
        <v>4500</v>
      </c>
      <c r="GN48">
        <f t="shared" si="0"/>
        <v>73058</v>
      </c>
    </row>
    <row r="49" spans="1:196" x14ac:dyDescent="0.25">
      <c r="A49" s="4">
        <f>DATE(2024,5,24)</f>
        <v>45436</v>
      </c>
      <c r="BU49">
        <v>2200</v>
      </c>
      <c r="BW49">
        <v>175</v>
      </c>
      <c r="CC49">
        <v>1000</v>
      </c>
      <c r="CE49">
        <v>4625</v>
      </c>
      <c r="CI49">
        <v>650</v>
      </c>
      <c r="CO49">
        <v>5375</v>
      </c>
      <c r="CQ49">
        <v>200</v>
      </c>
      <c r="CY49">
        <v>8125</v>
      </c>
      <c r="DA49">
        <v>550</v>
      </c>
      <c r="DC49">
        <v>250</v>
      </c>
      <c r="DE49">
        <v>125</v>
      </c>
      <c r="DI49">
        <v>5300</v>
      </c>
      <c r="DK49">
        <v>200</v>
      </c>
      <c r="DM49">
        <v>50</v>
      </c>
      <c r="DO49">
        <v>250</v>
      </c>
      <c r="DQ49">
        <v>225</v>
      </c>
      <c r="DS49">
        <v>7860</v>
      </c>
      <c r="DT49">
        <v>50</v>
      </c>
      <c r="DU49">
        <v>125</v>
      </c>
      <c r="DW49">
        <v>400</v>
      </c>
      <c r="DY49">
        <v>100</v>
      </c>
      <c r="EC49">
        <v>6255</v>
      </c>
      <c r="EE49">
        <v>100</v>
      </c>
      <c r="EG49">
        <v>200</v>
      </c>
      <c r="EI49">
        <v>50</v>
      </c>
      <c r="EK49">
        <v>300</v>
      </c>
      <c r="EM49">
        <v>8636</v>
      </c>
      <c r="EO49">
        <v>250</v>
      </c>
      <c r="ES49">
        <v>100</v>
      </c>
      <c r="EW49">
        <v>2065</v>
      </c>
      <c r="EY49">
        <v>190</v>
      </c>
      <c r="FC49">
        <v>50</v>
      </c>
      <c r="FG49">
        <v>9950</v>
      </c>
      <c r="FK49">
        <v>50</v>
      </c>
      <c r="FQ49">
        <v>700</v>
      </c>
      <c r="GA49">
        <v>2027</v>
      </c>
      <c r="GK49">
        <v>4500</v>
      </c>
      <c r="GN49">
        <f t="shared" si="0"/>
        <v>73258</v>
      </c>
    </row>
    <row r="50" spans="1:196" x14ac:dyDescent="0.25">
      <c r="A50" s="4">
        <f>DATE(2024,5,23)</f>
        <v>45435</v>
      </c>
      <c r="BU50">
        <v>2200</v>
      </c>
      <c r="BW50">
        <v>175</v>
      </c>
      <c r="CC50">
        <v>1000</v>
      </c>
      <c r="CE50">
        <v>4625</v>
      </c>
      <c r="CI50">
        <v>650</v>
      </c>
      <c r="CO50">
        <v>5375</v>
      </c>
      <c r="CQ50">
        <v>200</v>
      </c>
      <c r="CY50">
        <v>8125</v>
      </c>
      <c r="DA50">
        <v>550</v>
      </c>
      <c r="DC50">
        <v>250</v>
      </c>
      <c r="DE50">
        <v>125</v>
      </c>
      <c r="DI50">
        <v>5300</v>
      </c>
      <c r="DK50">
        <v>200</v>
      </c>
      <c r="DM50">
        <v>50</v>
      </c>
      <c r="DO50">
        <v>250</v>
      </c>
      <c r="DQ50">
        <v>225</v>
      </c>
      <c r="DS50">
        <v>7860</v>
      </c>
      <c r="DT50">
        <v>50</v>
      </c>
      <c r="DU50">
        <v>125</v>
      </c>
      <c r="DW50">
        <v>400</v>
      </c>
      <c r="DY50">
        <v>100</v>
      </c>
      <c r="EC50">
        <v>6255</v>
      </c>
      <c r="EE50">
        <v>100</v>
      </c>
      <c r="EG50">
        <v>200</v>
      </c>
      <c r="EI50">
        <v>50</v>
      </c>
      <c r="EK50">
        <v>300</v>
      </c>
      <c r="EM50">
        <v>8636</v>
      </c>
      <c r="EO50">
        <v>250</v>
      </c>
      <c r="ES50">
        <v>100</v>
      </c>
      <c r="EW50">
        <v>2065</v>
      </c>
      <c r="EY50">
        <v>190</v>
      </c>
      <c r="FC50">
        <v>50</v>
      </c>
      <c r="FG50">
        <v>9950</v>
      </c>
      <c r="FK50">
        <v>50</v>
      </c>
      <c r="FQ50">
        <v>700</v>
      </c>
      <c r="GA50">
        <v>2027</v>
      </c>
      <c r="GK50">
        <v>4500</v>
      </c>
      <c r="GN50">
        <f t="shared" si="0"/>
        <v>73258</v>
      </c>
    </row>
    <row r="51" spans="1:196" x14ac:dyDescent="0.25">
      <c r="A51" s="4">
        <f>DATE(2024,5,22)</f>
        <v>45434</v>
      </c>
      <c r="BU51">
        <v>2200</v>
      </c>
      <c r="BW51">
        <v>175</v>
      </c>
      <c r="CC51">
        <v>1000</v>
      </c>
      <c r="CE51">
        <v>4625</v>
      </c>
      <c r="CI51">
        <v>650</v>
      </c>
      <c r="CO51">
        <v>5375</v>
      </c>
      <c r="CQ51">
        <v>200</v>
      </c>
      <c r="CY51">
        <v>8125</v>
      </c>
      <c r="DA51">
        <v>550</v>
      </c>
      <c r="DC51">
        <v>250</v>
      </c>
      <c r="DE51">
        <v>125</v>
      </c>
      <c r="DI51">
        <v>5300</v>
      </c>
      <c r="DK51">
        <v>200</v>
      </c>
      <c r="DM51">
        <v>50</v>
      </c>
      <c r="DO51">
        <v>250</v>
      </c>
      <c r="DQ51">
        <v>225</v>
      </c>
      <c r="DS51">
        <v>7860</v>
      </c>
      <c r="DT51">
        <v>50</v>
      </c>
      <c r="DU51">
        <v>125</v>
      </c>
      <c r="DW51">
        <v>400</v>
      </c>
      <c r="DY51">
        <v>100</v>
      </c>
      <c r="EC51">
        <v>6105</v>
      </c>
      <c r="EE51">
        <v>100</v>
      </c>
      <c r="EG51">
        <v>200</v>
      </c>
      <c r="EI51">
        <v>50</v>
      </c>
      <c r="EK51">
        <v>300</v>
      </c>
      <c r="EM51">
        <v>8536</v>
      </c>
      <c r="EO51">
        <v>250</v>
      </c>
      <c r="ES51">
        <v>100</v>
      </c>
      <c r="EW51">
        <v>2065</v>
      </c>
      <c r="EY51">
        <v>190</v>
      </c>
      <c r="FC51">
        <v>50</v>
      </c>
      <c r="FG51">
        <v>10000</v>
      </c>
      <c r="FK51">
        <v>50</v>
      </c>
      <c r="FQ51">
        <v>700</v>
      </c>
      <c r="GA51">
        <v>2027</v>
      </c>
      <c r="GK51">
        <v>4500</v>
      </c>
      <c r="GN51">
        <f t="shared" si="0"/>
        <v>73058</v>
      </c>
    </row>
    <row r="52" spans="1:196" x14ac:dyDescent="0.25">
      <c r="A52" s="4">
        <f>DATE(2024,5,21)</f>
        <v>45433</v>
      </c>
      <c r="BU52">
        <v>2200</v>
      </c>
      <c r="BW52">
        <v>175</v>
      </c>
      <c r="CC52">
        <v>1000</v>
      </c>
      <c r="CE52">
        <v>4625</v>
      </c>
      <c r="CI52">
        <v>650</v>
      </c>
      <c r="CO52">
        <v>5375</v>
      </c>
      <c r="CQ52">
        <v>200</v>
      </c>
      <c r="CY52">
        <v>8125</v>
      </c>
      <c r="DA52">
        <v>550</v>
      </c>
      <c r="DC52">
        <v>250</v>
      </c>
      <c r="DE52">
        <v>125</v>
      </c>
      <c r="DI52">
        <v>5300</v>
      </c>
      <c r="DK52">
        <v>200</v>
      </c>
      <c r="DM52">
        <v>50</v>
      </c>
      <c r="DO52">
        <v>250</v>
      </c>
      <c r="DQ52">
        <v>225</v>
      </c>
      <c r="DS52">
        <v>7860</v>
      </c>
      <c r="DT52">
        <v>50</v>
      </c>
      <c r="DU52">
        <v>125</v>
      </c>
      <c r="DW52">
        <v>400</v>
      </c>
      <c r="DY52">
        <v>100</v>
      </c>
      <c r="EC52">
        <v>6105</v>
      </c>
      <c r="EE52">
        <v>100</v>
      </c>
      <c r="EG52">
        <v>200</v>
      </c>
      <c r="EI52">
        <v>50</v>
      </c>
      <c r="EK52">
        <v>300</v>
      </c>
      <c r="EM52">
        <v>8536</v>
      </c>
      <c r="EO52">
        <v>250</v>
      </c>
      <c r="ES52">
        <v>100</v>
      </c>
      <c r="EW52">
        <v>2040</v>
      </c>
      <c r="EY52">
        <v>190</v>
      </c>
      <c r="FC52">
        <v>50</v>
      </c>
      <c r="FG52">
        <v>10000</v>
      </c>
      <c r="FK52">
        <v>50</v>
      </c>
      <c r="FQ52">
        <v>700</v>
      </c>
      <c r="GA52">
        <v>2027</v>
      </c>
      <c r="GK52">
        <v>4500</v>
      </c>
      <c r="GN52">
        <f t="shared" si="0"/>
        <v>73033</v>
      </c>
    </row>
    <row r="53" spans="1:196" x14ac:dyDescent="0.25">
      <c r="A53" s="4">
        <f>DATE(2024,5,20)</f>
        <v>45432</v>
      </c>
      <c r="BU53">
        <v>2200</v>
      </c>
      <c r="BW53">
        <v>175</v>
      </c>
      <c r="CC53">
        <v>1000</v>
      </c>
      <c r="CE53">
        <v>4625</v>
      </c>
      <c r="CI53">
        <v>650</v>
      </c>
      <c r="CO53">
        <v>5375</v>
      </c>
      <c r="CQ53">
        <v>200</v>
      </c>
      <c r="CY53">
        <v>8125</v>
      </c>
      <c r="DA53">
        <v>550</v>
      </c>
      <c r="DC53">
        <v>250</v>
      </c>
      <c r="DE53">
        <v>125</v>
      </c>
      <c r="DI53">
        <v>5300</v>
      </c>
      <c r="DK53">
        <v>200</v>
      </c>
      <c r="DM53">
        <v>50</v>
      </c>
      <c r="DO53">
        <v>250</v>
      </c>
      <c r="DQ53">
        <v>225</v>
      </c>
      <c r="DS53">
        <v>7860</v>
      </c>
      <c r="DT53">
        <v>50</v>
      </c>
      <c r="DU53">
        <v>125</v>
      </c>
      <c r="DW53">
        <v>400</v>
      </c>
      <c r="DY53">
        <v>100</v>
      </c>
      <c r="EC53">
        <v>6105</v>
      </c>
      <c r="EE53">
        <v>100</v>
      </c>
      <c r="EG53">
        <v>200</v>
      </c>
      <c r="EI53">
        <v>50</v>
      </c>
      <c r="EK53">
        <v>300</v>
      </c>
      <c r="EM53">
        <v>8536</v>
      </c>
      <c r="EO53">
        <v>250</v>
      </c>
      <c r="ES53">
        <v>100</v>
      </c>
      <c r="EW53">
        <v>2040</v>
      </c>
      <c r="EY53">
        <v>190</v>
      </c>
      <c r="FC53">
        <v>50</v>
      </c>
      <c r="FG53">
        <v>10000</v>
      </c>
      <c r="FK53">
        <v>50</v>
      </c>
      <c r="FQ53">
        <v>700</v>
      </c>
      <c r="GA53">
        <v>2027</v>
      </c>
      <c r="GK53">
        <v>4500</v>
      </c>
      <c r="GN53">
        <f t="shared" si="0"/>
        <v>73033</v>
      </c>
    </row>
    <row r="54" spans="1:196" x14ac:dyDescent="0.25">
      <c r="A54" s="4">
        <f>DATE(2024,5,17)</f>
        <v>45429</v>
      </c>
      <c r="BU54">
        <v>2200</v>
      </c>
      <c r="BW54">
        <v>175</v>
      </c>
      <c r="CC54">
        <v>1000</v>
      </c>
      <c r="CE54">
        <v>4625</v>
      </c>
      <c r="CI54">
        <v>650</v>
      </c>
      <c r="CO54">
        <v>5375</v>
      </c>
      <c r="CQ54">
        <v>200</v>
      </c>
      <c r="CY54">
        <v>8125</v>
      </c>
      <c r="DA54">
        <v>550</v>
      </c>
      <c r="DC54">
        <v>250</v>
      </c>
      <c r="DE54">
        <v>125</v>
      </c>
      <c r="DI54">
        <v>5300</v>
      </c>
      <c r="DK54">
        <v>200</v>
      </c>
      <c r="DM54">
        <v>50</v>
      </c>
      <c r="DO54">
        <v>250</v>
      </c>
      <c r="DQ54">
        <v>225</v>
      </c>
      <c r="DS54">
        <v>7860</v>
      </c>
      <c r="DT54">
        <v>50</v>
      </c>
      <c r="DU54">
        <v>125</v>
      </c>
      <c r="DW54">
        <v>400</v>
      </c>
      <c r="DY54">
        <v>100</v>
      </c>
      <c r="EC54">
        <v>6105</v>
      </c>
      <c r="EE54">
        <v>100</v>
      </c>
      <c r="EG54">
        <v>200</v>
      </c>
      <c r="EI54">
        <v>50</v>
      </c>
      <c r="EK54">
        <v>300</v>
      </c>
      <c r="EM54">
        <v>8536</v>
      </c>
      <c r="EO54">
        <v>250</v>
      </c>
      <c r="ES54">
        <v>100</v>
      </c>
      <c r="EW54">
        <v>2040</v>
      </c>
      <c r="EY54">
        <v>190</v>
      </c>
      <c r="FC54">
        <v>50</v>
      </c>
      <c r="FG54">
        <v>10000</v>
      </c>
      <c r="FK54">
        <v>50</v>
      </c>
      <c r="FQ54">
        <v>700</v>
      </c>
      <c r="GA54">
        <v>2027</v>
      </c>
      <c r="GK54">
        <v>4500</v>
      </c>
      <c r="GN54">
        <f t="shared" si="0"/>
        <v>73033</v>
      </c>
    </row>
    <row r="55" spans="1:196" x14ac:dyDescent="0.25">
      <c r="A55" s="4">
        <f>DATE(2024,5,16)</f>
        <v>45428</v>
      </c>
      <c r="BU55">
        <v>2200</v>
      </c>
      <c r="BW55">
        <v>175</v>
      </c>
      <c r="CC55">
        <v>1000</v>
      </c>
      <c r="CE55">
        <v>4625</v>
      </c>
      <c r="CI55">
        <v>650</v>
      </c>
      <c r="CO55">
        <v>5375</v>
      </c>
      <c r="CQ55">
        <v>200</v>
      </c>
      <c r="CY55">
        <v>8125</v>
      </c>
      <c r="DA55">
        <v>550</v>
      </c>
      <c r="DC55">
        <v>250</v>
      </c>
      <c r="DE55">
        <v>125</v>
      </c>
      <c r="DI55">
        <v>5300</v>
      </c>
      <c r="DK55">
        <v>200</v>
      </c>
      <c r="DM55">
        <v>50</v>
      </c>
      <c r="DO55">
        <v>250</v>
      </c>
      <c r="DQ55">
        <v>225</v>
      </c>
      <c r="DS55">
        <v>7860</v>
      </c>
      <c r="DT55">
        <v>50</v>
      </c>
      <c r="DU55">
        <v>125</v>
      </c>
      <c r="DW55">
        <v>400</v>
      </c>
      <c r="DY55">
        <v>100</v>
      </c>
      <c r="EC55">
        <v>6105</v>
      </c>
      <c r="EE55">
        <v>100</v>
      </c>
      <c r="EG55">
        <v>200</v>
      </c>
      <c r="EI55">
        <v>50</v>
      </c>
      <c r="EK55">
        <v>300</v>
      </c>
      <c r="EM55">
        <v>8536</v>
      </c>
      <c r="EO55">
        <v>250</v>
      </c>
      <c r="ES55">
        <v>100</v>
      </c>
      <c r="EW55">
        <v>2040</v>
      </c>
      <c r="EY55">
        <v>190</v>
      </c>
      <c r="FC55">
        <v>50</v>
      </c>
      <c r="FG55">
        <v>9500</v>
      </c>
      <c r="FK55">
        <v>50</v>
      </c>
      <c r="FQ55">
        <v>700</v>
      </c>
      <c r="GA55">
        <v>2027</v>
      </c>
      <c r="GK55">
        <v>4500</v>
      </c>
      <c r="GN55">
        <f t="shared" si="0"/>
        <v>72533</v>
      </c>
    </row>
    <row r="56" spans="1:196" x14ac:dyDescent="0.25">
      <c r="A56" s="4">
        <f>DATE(2024,5,15)</f>
        <v>45427</v>
      </c>
      <c r="BU56">
        <v>2200</v>
      </c>
      <c r="BW56">
        <v>175</v>
      </c>
      <c r="CC56">
        <v>1000</v>
      </c>
      <c r="CE56">
        <v>4625</v>
      </c>
      <c r="CI56">
        <v>650</v>
      </c>
      <c r="CO56">
        <v>5375</v>
      </c>
      <c r="CQ56">
        <v>200</v>
      </c>
      <c r="CY56">
        <v>7875</v>
      </c>
      <c r="DA56">
        <v>550</v>
      </c>
      <c r="DC56">
        <v>250</v>
      </c>
      <c r="DE56">
        <v>125</v>
      </c>
      <c r="DI56">
        <v>6300</v>
      </c>
      <c r="DK56">
        <v>200</v>
      </c>
      <c r="DM56">
        <v>50</v>
      </c>
      <c r="DO56">
        <v>250</v>
      </c>
      <c r="DQ56">
        <v>225</v>
      </c>
      <c r="DS56">
        <v>7860</v>
      </c>
      <c r="DT56">
        <v>50</v>
      </c>
      <c r="DU56">
        <v>125</v>
      </c>
      <c r="DW56">
        <v>400</v>
      </c>
      <c r="DY56">
        <v>100</v>
      </c>
      <c r="EC56">
        <v>6105</v>
      </c>
      <c r="EE56">
        <v>100</v>
      </c>
      <c r="EG56">
        <v>200</v>
      </c>
      <c r="EI56">
        <v>50</v>
      </c>
      <c r="EK56">
        <v>300</v>
      </c>
      <c r="EM56">
        <v>8157</v>
      </c>
      <c r="EO56">
        <v>250</v>
      </c>
      <c r="ES56">
        <v>100</v>
      </c>
      <c r="EW56">
        <v>2040</v>
      </c>
      <c r="EY56">
        <v>190</v>
      </c>
      <c r="FC56">
        <v>50</v>
      </c>
      <c r="FG56">
        <v>9500</v>
      </c>
      <c r="FK56">
        <v>50</v>
      </c>
      <c r="FQ56">
        <v>700</v>
      </c>
      <c r="GA56">
        <v>2027</v>
      </c>
      <c r="GK56">
        <v>4500</v>
      </c>
      <c r="GN56">
        <f t="shared" si="0"/>
        <v>72904</v>
      </c>
    </row>
    <row r="57" spans="1:196" x14ac:dyDescent="0.25">
      <c r="A57" s="4">
        <f>DATE(2024,5,14)</f>
        <v>45426</v>
      </c>
      <c r="BU57">
        <v>2200</v>
      </c>
      <c r="BW57">
        <v>175</v>
      </c>
      <c r="CC57">
        <v>1000</v>
      </c>
      <c r="CE57">
        <v>4625</v>
      </c>
      <c r="CI57">
        <v>650</v>
      </c>
      <c r="CO57">
        <v>5375</v>
      </c>
      <c r="CQ57">
        <v>200</v>
      </c>
      <c r="CY57">
        <v>7875</v>
      </c>
      <c r="DA57">
        <v>550</v>
      </c>
      <c r="DC57">
        <v>250</v>
      </c>
      <c r="DE57">
        <v>125</v>
      </c>
      <c r="DI57">
        <v>6300</v>
      </c>
      <c r="DK57">
        <v>200</v>
      </c>
      <c r="DM57">
        <v>50</v>
      </c>
      <c r="DO57">
        <v>250</v>
      </c>
      <c r="DQ57">
        <v>225</v>
      </c>
      <c r="DS57">
        <v>7860</v>
      </c>
      <c r="DT57">
        <v>50</v>
      </c>
      <c r="DU57">
        <v>125</v>
      </c>
      <c r="DW57">
        <v>400</v>
      </c>
      <c r="DY57">
        <v>100</v>
      </c>
      <c r="EC57">
        <v>6105</v>
      </c>
      <c r="EE57">
        <v>100</v>
      </c>
      <c r="EG57">
        <v>200</v>
      </c>
      <c r="EI57">
        <v>50</v>
      </c>
      <c r="EK57">
        <v>300</v>
      </c>
      <c r="EM57">
        <v>8156</v>
      </c>
      <c r="EO57">
        <v>250</v>
      </c>
      <c r="ES57">
        <v>100</v>
      </c>
      <c r="EW57">
        <v>2040</v>
      </c>
      <c r="EY57">
        <v>190</v>
      </c>
      <c r="FC57">
        <v>50</v>
      </c>
      <c r="FG57">
        <v>9500</v>
      </c>
      <c r="FK57">
        <v>50</v>
      </c>
      <c r="FQ57">
        <v>700</v>
      </c>
      <c r="GA57">
        <v>2027</v>
      </c>
      <c r="GK57">
        <v>4500</v>
      </c>
      <c r="GN57">
        <f t="shared" si="0"/>
        <v>72903</v>
      </c>
    </row>
    <row r="58" spans="1:196" x14ac:dyDescent="0.25">
      <c r="A58" s="4">
        <f>DATE(2024,5,13)</f>
        <v>45425</v>
      </c>
      <c r="BU58">
        <v>2200</v>
      </c>
      <c r="BW58">
        <v>175</v>
      </c>
      <c r="CC58">
        <v>1000</v>
      </c>
      <c r="CE58">
        <v>4625</v>
      </c>
      <c r="CI58">
        <v>650</v>
      </c>
      <c r="CO58">
        <v>5375</v>
      </c>
      <c r="CQ58">
        <v>200</v>
      </c>
      <c r="CY58">
        <v>7875</v>
      </c>
      <c r="DA58">
        <v>550</v>
      </c>
      <c r="DC58">
        <v>250</v>
      </c>
      <c r="DE58">
        <v>125</v>
      </c>
      <c r="DI58">
        <v>6300</v>
      </c>
      <c r="DK58">
        <v>200</v>
      </c>
      <c r="DM58">
        <v>50</v>
      </c>
      <c r="DO58">
        <v>250</v>
      </c>
      <c r="DQ58">
        <v>225</v>
      </c>
      <c r="DS58">
        <v>7860</v>
      </c>
      <c r="DT58">
        <v>50</v>
      </c>
      <c r="DU58">
        <v>125</v>
      </c>
      <c r="DW58">
        <v>400</v>
      </c>
      <c r="DY58">
        <v>100</v>
      </c>
      <c r="EC58">
        <v>6105</v>
      </c>
      <c r="EE58">
        <v>100</v>
      </c>
      <c r="EG58">
        <v>200</v>
      </c>
      <c r="EI58">
        <v>50</v>
      </c>
      <c r="EK58">
        <v>300</v>
      </c>
      <c r="EM58">
        <v>8156</v>
      </c>
      <c r="EO58">
        <v>250</v>
      </c>
      <c r="ES58">
        <v>100</v>
      </c>
      <c r="EW58">
        <v>2040</v>
      </c>
      <c r="EY58">
        <v>190</v>
      </c>
      <c r="FC58">
        <v>50</v>
      </c>
      <c r="FG58">
        <v>9500</v>
      </c>
      <c r="FK58">
        <v>50</v>
      </c>
      <c r="FQ58">
        <v>700</v>
      </c>
      <c r="GA58">
        <v>2027</v>
      </c>
      <c r="GK58">
        <v>4500</v>
      </c>
      <c r="GN58">
        <f t="shared" si="0"/>
        <v>72903</v>
      </c>
    </row>
    <row r="59" spans="1:196" x14ac:dyDescent="0.25">
      <c r="A59" s="4">
        <f>DATE(2024,5,10)</f>
        <v>45422</v>
      </c>
      <c r="BU59">
        <v>2200</v>
      </c>
      <c r="BW59">
        <v>175</v>
      </c>
      <c r="CC59">
        <v>1000</v>
      </c>
      <c r="CE59">
        <v>4625</v>
      </c>
      <c r="CI59">
        <v>650</v>
      </c>
      <c r="CO59">
        <v>5375</v>
      </c>
      <c r="CQ59">
        <v>200</v>
      </c>
      <c r="CY59">
        <v>7875</v>
      </c>
      <c r="DA59">
        <v>550</v>
      </c>
      <c r="DC59">
        <v>250</v>
      </c>
      <c r="DE59">
        <v>125</v>
      </c>
      <c r="DI59">
        <v>6300</v>
      </c>
      <c r="DK59">
        <v>200</v>
      </c>
      <c r="DM59">
        <v>50</v>
      </c>
      <c r="DO59">
        <v>250</v>
      </c>
      <c r="DQ59">
        <v>225</v>
      </c>
      <c r="DS59">
        <v>7860</v>
      </c>
      <c r="DT59">
        <v>50</v>
      </c>
      <c r="DU59">
        <v>125</v>
      </c>
      <c r="DW59">
        <v>400</v>
      </c>
      <c r="DY59">
        <v>100</v>
      </c>
      <c r="EC59">
        <v>6105</v>
      </c>
      <c r="EE59">
        <v>100</v>
      </c>
      <c r="EG59">
        <v>200</v>
      </c>
      <c r="EI59">
        <v>50</v>
      </c>
      <c r="EK59">
        <v>300</v>
      </c>
      <c r="EM59">
        <v>8156</v>
      </c>
      <c r="EO59">
        <v>250</v>
      </c>
      <c r="ES59">
        <v>100</v>
      </c>
      <c r="EW59">
        <v>2040</v>
      </c>
      <c r="EY59">
        <v>190</v>
      </c>
      <c r="FC59">
        <v>50</v>
      </c>
      <c r="FG59">
        <v>9500</v>
      </c>
      <c r="FK59">
        <v>50</v>
      </c>
      <c r="FQ59">
        <v>225</v>
      </c>
      <c r="GA59">
        <v>2027</v>
      </c>
      <c r="GK59">
        <v>4500</v>
      </c>
      <c r="GN59">
        <f t="shared" si="0"/>
        <v>72428</v>
      </c>
    </row>
    <row r="60" spans="1:196" x14ac:dyDescent="0.25">
      <c r="A60" s="4">
        <f>DATE(2024,5,9)</f>
        <v>45421</v>
      </c>
      <c r="BU60">
        <v>2200</v>
      </c>
      <c r="BW60">
        <v>175</v>
      </c>
      <c r="CC60">
        <v>1000</v>
      </c>
      <c r="CE60">
        <v>4625</v>
      </c>
      <c r="CI60">
        <v>650</v>
      </c>
      <c r="CO60">
        <v>5375</v>
      </c>
      <c r="CQ60">
        <v>200</v>
      </c>
      <c r="CY60">
        <v>7875</v>
      </c>
      <c r="DA60">
        <v>550</v>
      </c>
      <c r="DC60">
        <v>250</v>
      </c>
      <c r="DE60">
        <v>125</v>
      </c>
      <c r="DI60">
        <v>6300</v>
      </c>
      <c r="DK60">
        <v>200</v>
      </c>
      <c r="DM60">
        <v>50</v>
      </c>
      <c r="DO60">
        <v>250</v>
      </c>
      <c r="DQ60">
        <v>225</v>
      </c>
      <c r="DS60">
        <v>7860</v>
      </c>
      <c r="DT60">
        <v>50</v>
      </c>
      <c r="DU60">
        <v>125</v>
      </c>
      <c r="DW60">
        <v>400</v>
      </c>
      <c r="DY60">
        <v>100</v>
      </c>
      <c r="EC60">
        <v>6105</v>
      </c>
      <c r="EE60">
        <v>100</v>
      </c>
      <c r="EG60">
        <v>200</v>
      </c>
      <c r="EI60">
        <v>50</v>
      </c>
      <c r="EK60">
        <v>300</v>
      </c>
      <c r="EM60">
        <v>8156</v>
      </c>
      <c r="EO60">
        <v>250</v>
      </c>
      <c r="ES60">
        <v>100</v>
      </c>
      <c r="EW60">
        <v>2040</v>
      </c>
      <c r="EY60">
        <v>190</v>
      </c>
      <c r="FC60">
        <v>50</v>
      </c>
      <c r="FG60">
        <v>9500</v>
      </c>
      <c r="FK60">
        <v>50</v>
      </c>
      <c r="FQ60">
        <v>225</v>
      </c>
      <c r="GA60">
        <v>2027</v>
      </c>
      <c r="GK60">
        <v>4500</v>
      </c>
      <c r="GN60">
        <f t="shared" si="0"/>
        <v>72428</v>
      </c>
    </row>
    <row r="61" spans="1:196" x14ac:dyDescent="0.25">
      <c r="A61" s="4">
        <f>DATE(2024,5,8)</f>
        <v>45420</v>
      </c>
      <c r="BU61">
        <v>2200</v>
      </c>
      <c r="BW61">
        <v>175</v>
      </c>
      <c r="CC61">
        <v>1000</v>
      </c>
      <c r="CE61">
        <v>4625</v>
      </c>
      <c r="CI61">
        <v>650</v>
      </c>
      <c r="CO61">
        <v>5375</v>
      </c>
      <c r="CQ61">
        <v>200</v>
      </c>
      <c r="CY61">
        <v>7875</v>
      </c>
      <c r="DA61">
        <v>550</v>
      </c>
      <c r="DC61">
        <v>250</v>
      </c>
      <c r="DE61">
        <v>125</v>
      </c>
      <c r="DI61">
        <v>6550</v>
      </c>
      <c r="DK61">
        <v>200</v>
      </c>
      <c r="DM61">
        <v>50</v>
      </c>
      <c r="DO61">
        <v>250</v>
      </c>
      <c r="DQ61">
        <v>225</v>
      </c>
      <c r="DS61">
        <v>8110</v>
      </c>
      <c r="DT61">
        <v>50</v>
      </c>
      <c r="DU61">
        <v>125</v>
      </c>
      <c r="DW61">
        <v>400</v>
      </c>
      <c r="DY61">
        <v>100</v>
      </c>
      <c r="EC61">
        <v>6205</v>
      </c>
      <c r="EE61">
        <v>100</v>
      </c>
      <c r="EG61">
        <v>200</v>
      </c>
      <c r="EI61">
        <v>50</v>
      </c>
      <c r="EK61">
        <v>300</v>
      </c>
      <c r="EM61">
        <v>8156</v>
      </c>
      <c r="EO61">
        <v>250</v>
      </c>
      <c r="ES61">
        <v>100</v>
      </c>
      <c r="EW61">
        <v>2190</v>
      </c>
      <c r="EY61">
        <v>190</v>
      </c>
      <c r="FC61">
        <v>50</v>
      </c>
      <c r="FG61">
        <v>9500</v>
      </c>
      <c r="FK61">
        <v>50</v>
      </c>
      <c r="FQ61">
        <v>225</v>
      </c>
      <c r="GA61">
        <v>2027</v>
      </c>
      <c r="GK61">
        <v>4500</v>
      </c>
      <c r="GN61">
        <f t="shared" si="0"/>
        <v>73178</v>
      </c>
    </row>
    <row r="62" spans="1:196" x14ac:dyDescent="0.25">
      <c r="A62" s="4">
        <f>DATE(2024,5,7)</f>
        <v>45419</v>
      </c>
      <c r="BU62">
        <v>2200</v>
      </c>
      <c r="BW62">
        <v>175</v>
      </c>
      <c r="CC62">
        <v>1000</v>
      </c>
      <c r="CE62">
        <v>4625</v>
      </c>
      <c r="CI62">
        <v>650</v>
      </c>
      <c r="CO62">
        <v>5375</v>
      </c>
      <c r="CQ62">
        <v>200</v>
      </c>
      <c r="CY62">
        <v>7875</v>
      </c>
      <c r="DA62">
        <v>550</v>
      </c>
      <c r="DC62">
        <v>250</v>
      </c>
      <c r="DE62">
        <v>125</v>
      </c>
      <c r="DI62">
        <v>6550</v>
      </c>
      <c r="DK62">
        <v>200</v>
      </c>
      <c r="DM62">
        <v>50</v>
      </c>
      <c r="DO62">
        <v>250</v>
      </c>
      <c r="DQ62">
        <v>225</v>
      </c>
      <c r="DS62">
        <v>8160</v>
      </c>
      <c r="DT62">
        <v>50</v>
      </c>
      <c r="DU62">
        <v>125</v>
      </c>
      <c r="DW62">
        <v>400</v>
      </c>
      <c r="DY62">
        <v>100</v>
      </c>
      <c r="EC62">
        <v>6205</v>
      </c>
      <c r="EE62">
        <v>100</v>
      </c>
      <c r="EG62">
        <v>200</v>
      </c>
      <c r="EI62">
        <v>50</v>
      </c>
      <c r="EK62">
        <v>300</v>
      </c>
      <c r="EM62">
        <v>8156</v>
      </c>
      <c r="EO62">
        <v>250</v>
      </c>
      <c r="ES62">
        <v>100</v>
      </c>
      <c r="EW62">
        <v>2390</v>
      </c>
      <c r="EY62">
        <v>190</v>
      </c>
      <c r="FC62">
        <v>50</v>
      </c>
      <c r="FG62">
        <v>9500</v>
      </c>
      <c r="FK62">
        <v>50</v>
      </c>
      <c r="FQ62">
        <v>225</v>
      </c>
      <c r="GA62">
        <v>2027</v>
      </c>
      <c r="GK62">
        <v>4500</v>
      </c>
      <c r="GN62">
        <f t="shared" si="0"/>
        <v>73428</v>
      </c>
    </row>
    <row r="63" spans="1:196" x14ac:dyDescent="0.25">
      <c r="A63" s="4">
        <f>DATE(2024,5,6)</f>
        <v>45418</v>
      </c>
      <c r="BU63">
        <v>2200</v>
      </c>
      <c r="BW63">
        <v>175</v>
      </c>
      <c r="CC63">
        <v>1000</v>
      </c>
      <c r="CE63">
        <v>4625</v>
      </c>
      <c r="CI63">
        <v>650</v>
      </c>
      <c r="CO63">
        <v>5375</v>
      </c>
      <c r="CQ63">
        <v>200</v>
      </c>
      <c r="CY63">
        <v>7875</v>
      </c>
      <c r="DA63">
        <v>550</v>
      </c>
      <c r="DC63">
        <v>250</v>
      </c>
      <c r="DE63">
        <v>125</v>
      </c>
      <c r="DI63">
        <v>6550</v>
      </c>
      <c r="DK63">
        <v>200</v>
      </c>
      <c r="DM63">
        <v>50</v>
      </c>
      <c r="DO63">
        <v>250</v>
      </c>
      <c r="DQ63">
        <v>225</v>
      </c>
      <c r="DS63">
        <v>8160</v>
      </c>
      <c r="DT63">
        <v>50</v>
      </c>
      <c r="DU63">
        <v>125</v>
      </c>
      <c r="DW63">
        <v>400</v>
      </c>
      <c r="DY63">
        <v>100</v>
      </c>
      <c r="EC63">
        <v>6205</v>
      </c>
      <c r="EE63">
        <v>100</v>
      </c>
      <c r="EG63">
        <v>200</v>
      </c>
      <c r="EI63">
        <v>50</v>
      </c>
      <c r="EK63">
        <v>300</v>
      </c>
      <c r="EM63">
        <v>8156</v>
      </c>
      <c r="EO63">
        <v>250</v>
      </c>
      <c r="ES63">
        <v>100</v>
      </c>
      <c r="EW63">
        <v>2390</v>
      </c>
      <c r="EY63">
        <v>190</v>
      </c>
      <c r="FC63">
        <v>50</v>
      </c>
      <c r="FG63">
        <v>9500</v>
      </c>
      <c r="FK63">
        <v>50</v>
      </c>
      <c r="FQ63">
        <v>225</v>
      </c>
      <c r="GA63">
        <v>2027</v>
      </c>
      <c r="GK63">
        <v>4500</v>
      </c>
      <c r="GN63">
        <f t="shared" si="0"/>
        <v>73428</v>
      </c>
    </row>
    <row r="64" spans="1:196" x14ac:dyDescent="0.25">
      <c r="A64" s="4">
        <f>DATE(2024,5,3)</f>
        <v>45415</v>
      </c>
      <c r="BU64">
        <v>2200</v>
      </c>
      <c r="BW64">
        <v>175</v>
      </c>
      <c r="CC64">
        <v>1000</v>
      </c>
      <c r="CE64">
        <v>4625</v>
      </c>
      <c r="CI64">
        <v>650</v>
      </c>
      <c r="CO64">
        <v>5375</v>
      </c>
      <c r="CQ64">
        <v>200</v>
      </c>
      <c r="CY64">
        <v>5675</v>
      </c>
      <c r="DA64">
        <v>550</v>
      </c>
      <c r="DC64">
        <v>250</v>
      </c>
      <c r="DE64">
        <v>125</v>
      </c>
      <c r="DI64">
        <v>6500</v>
      </c>
      <c r="DK64">
        <v>200</v>
      </c>
      <c r="DM64">
        <v>50</v>
      </c>
      <c r="DO64">
        <v>250</v>
      </c>
      <c r="DQ64">
        <v>225</v>
      </c>
      <c r="DS64">
        <v>8160</v>
      </c>
      <c r="DT64">
        <v>50</v>
      </c>
      <c r="DU64">
        <v>125</v>
      </c>
      <c r="DW64">
        <v>400</v>
      </c>
      <c r="DY64">
        <v>100</v>
      </c>
      <c r="EC64">
        <v>6205</v>
      </c>
      <c r="EE64">
        <v>100</v>
      </c>
      <c r="EG64">
        <v>200</v>
      </c>
      <c r="EI64">
        <v>50</v>
      </c>
      <c r="EK64">
        <v>300</v>
      </c>
      <c r="EM64">
        <v>6651</v>
      </c>
      <c r="EO64">
        <v>250</v>
      </c>
      <c r="ES64">
        <v>100</v>
      </c>
      <c r="EW64">
        <v>2390</v>
      </c>
      <c r="EY64">
        <v>190</v>
      </c>
      <c r="FC64">
        <v>50</v>
      </c>
      <c r="FG64">
        <v>9500</v>
      </c>
      <c r="FK64">
        <v>50</v>
      </c>
      <c r="FQ64">
        <v>225</v>
      </c>
      <c r="GA64">
        <v>2027</v>
      </c>
      <c r="GK64">
        <v>4500</v>
      </c>
      <c r="GN64">
        <f t="shared" si="0"/>
        <v>69673</v>
      </c>
    </row>
    <row r="65" spans="1:196" x14ac:dyDescent="0.25">
      <c r="A65" s="4">
        <f>DATE(2024,5,2)</f>
        <v>45414</v>
      </c>
      <c r="BU65">
        <v>2200</v>
      </c>
      <c r="BW65">
        <v>175</v>
      </c>
      <c r="CC65">
        <v>1000</v>
      </c>
      <c r="CE65">
        <v>4625</v>
      </c>
      <c r="CI65">
        <v>650</v>
      </c>
      <c r="CO65">
        <v>5375</v>
      </c>
      <c r="CQ65">
        <v>200</v>
      </c>
      <c r="CY65">
        <v>5675</v>
      </c>
      <c r="DA65">
        <v>550</v>
      </c>
      <c r="DE65">
        <v>125</v>
      </c>
      <c r="DI65">
        <v>5700</v>
      </c>
      <c r="DK65">
        <v>200</v>
      </c>
      <c r="DM65">
        <v>50</v>
      </c>
      <c r="DO65">
        <v>250</v>
      </c>
      <c r="DQ65">
        <v>225</v>
      </c>
      <c r="DS65">
        <v>8010</v>
      </c>
      <c r="DT65">
        <v>50</v>
      </c>
      <c r="DU65">
        <v>125</v>
      </c>
      <c r="DW65">
        <v>400</v>
      </c>
      <c r="DY65">
        <v>100</v>
      </c>
      <c r="EC65">
        <v>6205</v>
      </c>
      <c r="EE65">
        <v>100</v>
      </c>
      <c r="EG65">
        <v>200</v>
      </c>
      <c r="EI65">
        <v>50</v>
      </c>
      <c r="EK65">
        <v>300</v>
      </c>
      <c r="EM65">
        <v>6651</v>
      </c>
      <c r="EO65">
        <v>250</v>
      </c>
      <c r="ES65">
        <v>100</v>
      </c>
      <c r="EW65">
        <v>2390</v>
      </c>
      <c r="EY65">
        <v>190</v>
      </c>
      <c r="FC65">
        <v>50</v>
      </c>
      <c r="FG65">
        <v>9500</v>
      </c>
      <c r="FK65">
        <v>50</v>
      </c>
      <c r="FQ65">
        <v>225</v>
      </c>
      <c r="GA65">
        <v>2027</v>
      </c>
      <c r="GK65">
        <v>4500</v>
      </c>
      <c r="GN65">
        <f t="shared" si="0"/>
        <v>68473</v>
      </c>
    </row>
    <row r="66" spans="1:196" x14ac:dyDescent="0.25">
      <c r="A66" s="4">
        <f>DATE(2024,5,1)</f>
        <v>45413</v>
      </c>
      <c r="BU66">
        <v>2200</v>
      </c>
      <c r="BW66">
        <v>175</v>
      </c>
      <c r="CC66">
        <v>1000</v>
      </c>
      <c r="CE66">
        <v>4625</v>
      </c>
      <c r="CI66">
        <v>650</v>
      </c>
      <c r="CO66">
        <v>5425</v>
      </c>
      <c r="CQ66">
        <v>200</v>
      </c>
      <c r="CY66">
        <v>5175</v>
      </c>
      <c r="DA66">
        <v>550</v>
      </c>
      <c r="DE66">
        <v>125</v>
      </c>
      <c r="DI66">
        <v>5700</v>
      </c>
      <c r="DK66">
        <v>200</v>
      </c>
      <c r="DM66">
        <v>50</v>
      </c>
      <c r="DO66">
        <v>250</v>
      </c>
      <c r="DQ66">
        <v>225</v>
      </c>
      <c r="DS66">
        <v>8010</v>
      </c>
      <c r="DT66">
        <v>50</v>
      </c>
      <c r="DU66">
        <v>125</v>
      </c>
      <c r="DW66">
        <v>400</v>
      </c>
      <c r="DY66">
        <v>100</v>
      </c>
      <c r="EC66">
        <v>7205</v>
      </c>
      <c r="EE66">
        <v>100</v>
      </c>
      <c r="EG66">
        <v>200</v>
      </c>
      <c r="EI66">
        <v>50</v>
      </c>
      <c r="EK66">
        <v>300</v>
      </c>
      <c r="EM66">
        <v>7651</v>
      </c>
      <c r="EO66">
        <v>250</v>
      </c>
      <c r="ES66">
        <v>100</v>
      </c>
      <c r="EW66">
        <v>2390</v>
      </c>
      <c r="EY66">
        <v>190</v>
      </c>
      <c r="FC66">
        <v>50</v>
      </c>
      <c r="FG66">
        <v>9250</v>
      </c>
      <c r="FK66">
        <v>50</v>
      </c>
      <c r="FQ66">
        <v>225</v>
      </c>
      <c r="GA66">
        <v>2027</v>
      </c>
      <c r="GK66">
        <v>4500</v>
      </c>
      <c r="GN66">
        <f t="shared" si="0"/>
        <v>69773</v>
      </c>
    </row>
    <row r="67" spans="1:196" x14ac:dyDescent="0.25">
      <c r="A67" s="4">
        <f>DATE(2024,4,30)</f>
        <v>45412</v>
      </c>
      <c r="BU67">
        <v>2200</v>
      </c>
      <c r="BW67">
        <v>175</v>
      </c>
      <c r="CC67">
        <v>1000</v>
      </c>
      <c r="CE67">
        <v>4625</v>
      </c>
      <c r="CI67">
        <v>650</v>
      </c>
      <c r="CO67">
        <v>5425</v>
      </c>
      <c r="CQ67">
        <v>200</v>
      </c>
      <c r="CY67">
        <v>5175</v>
      </c>
      <c r="DA67">
        <v>550</v>
      </c>
      <c r="DE67">
        <v>125</v>
      </c>
      <c r="DI67">
        <v>5700</v>
      </c>
      <c r="DK67">
        <v>200</v>
      </c>
      <c r="DM67">
        <v>50</v>
      </c>
      <c r="DO67">
        <v>250</v>
      </c>
      <c r="DQ67">
        <v>225</v>
      </c>
      <c r="DS67">
        <v>8010</v>
      </c>
      <c r="DT67">
        <v>50</v>
      </c>
      <c r="DU67">
        <v>125</v>
      </c>
      <c r="DW67">
        <v>400</v>
      </c>
      <c r="DY67">
        <v>100</v>
      </c>
      <c r="EC67">
        <v>7205</v>
      </c>
      <c r="EE67">
        <v>100</v>
      </c>
      <c r="EG67">
        <v>200</v>
      </c>
      <c r="EI67">
        <v>50</v>
      </c>
      <c r="EK67">
        <v>300</v>
      </c>
      <c r="EM67">
        <v>7776</v>
      </c>
      <c r="EO67">
        <v>250</v>
      </c>
      <c r="ES67">
        <v>100</v>
      </c>
      <c r="EW67">
        <v>2390</v>
      </c>
      <c r="EY67">
        <v>190</v>
      </c>
      <c r="FC67">
        <v>50</v>
      </c>
      <c r="FG67">
        <v>9250</v>
      </c>
      <c r="FK67">
        <v>50</v>
      </c>
      <c r="FQ67">
        <v>225</v>
      </c>
      <c r="GA67">
        <v>2027</v>
      </c>
      <c r="GK67">
        <v>4500</v>
      </c>
      <c r="GN67">
        <f t="shared" si="0"/>
        <v>69898</v>
      </c>
    </row>
    <row r="68" spans="1:196" x14ac:dyDescent="0.25">
      <c r="A68" s="4">
        <f>DATE(2024,4,29)</f>
        <v>45411</v>
      </c>
      <c r="BU68">
        <v>2200</v>
      </c>
      <c r="BW68">
        <v>175</v>
      </c>
      <c r="CC68">
        <v>1000</v>
      </c>
      <c r="CE68">
        <v>4625</v>
      </c>
      <c r="CI68">
        <v>650</v>
      </c>
      <c r="CO68">
        <v>5425</v>
      </c>
      <c r="CQ68">
        <v>200</v>
      </c>
      <c r="CY68">
        <v>4175</v>
      </c>
      <c r="DA68">
        <v>550</v>
      </c>
      <c r="DE68">
        <v>125</v>
      </c>
      <c r="DI68">
        <v>5700</v>
      </c>
      <c r="DK68">
        <v>200</v>
      </c>
      <c r="DM68">
        <v>50</v>
      </c>
      <c r="DO68">
        <v>250</v>
      </c>
      <c r="DQ68">
        <v>225</v>
      </c>
      <c r="DS68">
        <v>8010</v>
      </c>
      <c r="DT68">
        <v>50</v>
      </c>
      <c r="DU68">
        <v>125</v>
      </c>
      <c r="DW68">
        <v>400</v>
      </c>
      <c r="DY68">
        <v>100</v>
      </c>
      <c r="EC68">
        <v>7205</v>
      </c>
      <c r="EE68">
        <v>100</v>
      </c>
      <c r="EG68">
        <v>200</v>
      </c>
      <c r="EI68">
        <v>50</v>
      </c>
      <c r="EK68">
        <v>300</v>
      </c>
      <c r="EM68">
        <v>8276</v>
      </c>
      <c r="EO68">
        <v>250</v>
      </c>
      <c r="ES68">
        <v>100</v>
      </c>
      <c r="EW68">
        <v>2390</v>
      </c>
      <c r="EY68">
        <v>190</v>
      </c>
      <c r="FC68">
        <v>50</v>
      </c>
      <c r="FG68">
        <v>9250</v>
      </c>
      <c r="FK68">
        <v>50</v>
      </c>
      <c r="FQ68">
        <v>225</v>
      </c>
      <c r="GA68">
        <v>2027</v>
      </c>
      <c r="GK68">
        <v>4500</v>
      </c>
      <c r="GN68">
        <f t="shared" si="0"/>
        <v>69398</v>
      </c>
    </row>
    <row r="69" spans="1:196" x14ac:dyDescent="0.25">
      <c r="A69" s="4">
        <f>DATE(2024,4,26)</f>
        <v>45408</v>
      </c>
      <c r="BU69">
        <v>2200</v>
      </c>
      <c r="BW69">
        <v>175</v>
      </c>
      <c r="CC69">
        <v>1000</v>
      </c>
      <c r="CE69">
        <v>4625</v>
      </c>
      <c r="CI69">
        <v>650</v>
      </c>
      <c r="CO69">
        <v>5425</v>
      </c>
      <c r="CQ69">
        <v>200</v>
      </c>
      <c r="CY69">
        <v>4175</v>
      </c>
      <c r="DA69">
        <v>550</v>
      </c>
      <c r="DE69">
        <v>125</v>
      </c>
      <c r="DI69">
        <v>5700</v>
      </c>
      <c r="DK69">
        <v>200</v>
      </c>
      <c r="DM69">
        <v>50</v>
      </c>
      <c r="DO69">
        <v>250</v>
      </c>
      <c r="DQ69">
        <v>225</v>
      </c>
      <c r="DS69">
        <v>8010</v>
      </c>
      <c r="DT69">
        <v>50</v>
      </c>
      <c r="DU69">
        <v>125</v>
      </c>
      <c r="DW69">
        <v>400</v>
      </c>
      <c r="DY69">
        <v>100</v>
      </c>
      <c r="EC69">
        <v>7205</v>
      </c>
      <c r="EE69">
        <v>100</v>
      </c>
      <c r="EG69">
        <v>200</v>
      </c>
      <c r="EI69">
        <v>50</v>
      </c>
      <c r="EK69">
        <v>300</v>
      </c>
      <c r="EM69">
        <v>8276</v>
      </c>
      <c r="EO69">
        <v>250</v>
      </c>
      <c r="ES69">
        <v>100</v>
      </c>
      <c r="EW69">
        <v>2390</v>
      </c>
      <c r="EY69">
        <v>190</v>
      </c>
      <c r="FC69">
        <v>50</v>
      </c>
      <c r="FG69">
        <v>9250</v>
      </c>
      <c r="FK69">
        <v>50</v>
      </c>
      <c r="FQ69">
        <v>225</v>
      </c>
      <c r="GA69">
        <v>2027</v>
      </c>
      <c r="GK69">
        <v>4500</v>
      </c>
      <c r="GN69">
        <f t="shared" si="0"/>
        <v>69398</v>
      </c>
    </row>
    <row r="70" spans="1:196" x14ac:dyDescent="0.25">
      <c r="A70" s="4">
        <f>DATE(2024,4,25)</f>
        <v>45407</v>
      </c>
      <c r="BU70">
        <v>2200</v>
      </c>
      <c r="BW70">
        <v>175</v>
      </c>
      <c r="CC70">
        <v>1000</v>
      </c>
      <c r="CE70">
        <v>4625</v>
      </c>
      <c r="CI70">
        <v>650</v>
      </c>
      <c r="CO70">
        <v>5425</v>
      </c>
      <c r="CQ70">
        <v>200</v>
      </c>
      <c r="CY70">
        <v>4175</v>
      </c>
      <c r="DA70">
        <v>550</v>
      </c>
      <c r="DE70">
        <v>125</v>
      </c>
      <c r="DI70">
        <v>5700</v>
      </c>
      <c r="DK70">
        <v>200</v>
      </c>
      <c r="DM70">
        <v>50</v>
      </c>
      <c r="DO70">
        <v>250</v>
      </c>
      <c r="DQ70">
        <v>225</v>
      </c>
      <c r="DS70">
        <v>7860</v>
      </c>
      <c r="DT70">
        <v>50</v>
      </c>
      <c r="DU70">
        <v>125</v>
      </c>
      <c r="DW70">
        <v>400</v>
      </c>
      <c r="DY70">
        <v>100</v>
      </c>
      <c r="EC70">
        <v>7205</v>
      </c>
      <c r="EE70">
        <v>100</v>
      </c>
      <c r="EG70">
        <v>200</v>
      </c>
      <c r="EI70">
        <v>50</v>
      </c>
      <c r="EK70">
        <v>300</v>
      </c>
      <c r="EM70">
        <v>8276</v>
      </c>
      <c r="EO70">
        <v>250</v>
      </c>
      <c r="ES70">
        <v>100</v>
      </c>
      <c r="EW70">
        <v>2390</v>
      </c>
      <c r="EY70">
        <v>190</v>
      </c>
      <c r="FC70">
        <v>50</v>
      </c>
      <c r="FG70">
        <v>8650</v>
      </c>
      <c r="FK70">
        <v>50</v>
      </c>
      <c r="FQ70">
        <v>225</v>
      </c>
      <c r="GA70">
        <v>2027</v>
      </c>
      <c r="GK70">
        <v>4500</v>
      </c>
      <c r="GN70">
        <f t="shared" ref="GN70:GN133" si="1">SUMPRODUCT(C70:GM70)</f>
        <v>68648</v>
      </c>
    </row>
    <row r="71" spans="1:196" x14ac:dyDescent="0.25">
      <c r="A71" s="4">
        <f>DATE(2024,4,24)</f>
        <v>45406</v>
      </c>
      <c r="BU71">
        <v>2200</v>
      </c>
      <c r="BW71">
        <v>175</v>
      </c>
      <c r="CC71">
        <v>1000</v>
      </c>
      <c r="CE71">
        <v>4625</v>
      </c>
      <c r="CI71">
        <v>650</v>
      </c>
      <c r="CO71">
        <v>5425</v>
      </c>
      <c r="CQ71">
        <v>200</v>
      </c>
      <c r="CY71">
        <v>4175</v>
      </c>
      <c r="DA71">
        <v>550</v>
      </c>
      <c r="DE71">
        <v>125</v>
      </c>
      <c r="DI71">
        <v>5700</v>
      </c>
      <c r="DK71">
        <v>200</v>
      </c>
      <c r="DM71">
        <v>50</v>
      </c>
      <c r="DO71">
        <v>250</v>
      </c>
      <c r="DQ71">
        <v>225</v>
      </c>
      <c r="DS71">
        <v>7860</v>
      </c>
      <c r="DT71">
        <v>50</v>
      </c>
      <c r="DU71">
        <v>125</v>
      </c>
      <c r="DW71">
        <v>400</v>
      </c>
      <c r="DY71">
        <v>100</v>
      </c>
      <c r="EC71">
        <v>7205</v>
      </c>
      <c r="EE71">
        <v>100</v>
      </c>
      <c r="EG71">
        <v>200</v>
      </c>
      <c r="EI71">
        <v>50</v>
      </c>
      <c r="EK71">
        <v>300</v>
      </c>
      <c r="EM71">
        <v>8276</v>
      </c>
      <c r="EO71">
        <v>250</v>
      </c>
      <c r="ES71">
        <v>100</v>
      </c>
      <c r="EW71">
        <v>2390</v>
      </c>
      <c r="EY71">
        <v>190</v>
      </c>
      <c r="FC71">
        <v>50</v>
      </c>
      <c r="FG71">
        <v>8625</v>
      </c>
      <c r="FK71">
        <v>50</v>
      </c>
      <c r="FQ71">
        <v>225</v>
      </c>
      <c r="GA71">
        <v>2027</v>
      </c>
      <c r="GK71">
        <v>4500</v>
      </c>
      <c r="GN71">
        <f t="shared" si="1"/>
        <v>68623</v>
      </c>
    </row>
    <row r="72" spans="1:196" x14ac:dyDescent="0.25">
      <c r="A72" s="4">
        <f>DATE(2024,4,23)</f>
        <v>45405</v>
      </c>
      <c r="BU72">
        <v>2200</v>
      </c>
      <c r="BW72">
        <v>175</v>
      </c>
      <c r="CC72">
        <v>1000</v>
      </c>
      <c r="CE72">
        <v>4625</v>
      </c>
      <c r="CI72">
        <v>650</v>
      </c>
      <c r="CO72">
        <v>5425</v>
      </c>
      <c r="CQ72">
        <v>200</v>
      </c>
      <c r="CY72">
        <v>4175</v>
      </c>
      <c r="DA72">
        <v>550</v>
      </c>
      <c r="DE72">
        <v>125</v>
      </c>
      <c r="DI72">
        <v>5575</v>
      </c>
      <c r="DK72">
        <v>200</v>
      </c>
      <c r="DM72">
        <v>50</v>
      </c>
      <c r="DO72">
        <v>250</v>
      </c>
      <c r="DQ72">
        <v>225</v>
      </c>
      <c r="DS72">
        <v>7960</v>
      </c>
      <c r="DT72">
        <v>50</v>
      </c>
      <c r="DU72">
        <v>125</v>
      </c>
      <c r="DW72">
        <v>400</v>
      </c>
      <c r="DY72">
        <v>100</v>
      </c>
      <c r="EC72">
        <v>6955</v>
      </c>
      <c r="EE72">
        <v>100</v>
      </c>
      <c r="EG72">
        <v>200</v>
      </c>
      <c r="EI72">
        <v>50</v>
      </c>
      <c r="EK72">
        <v>300</v>
      </c>
      <c r="EM72">
        <v>8276</v>
      </c>
      <c r="EO72">
        <v>250</v>
      </c>
      <c r="ES72">
        <v>100</v>
      </c>
      <c r="EW72">
        <v>2390</v>
      </c>
      <c r="EY72">
        <v>190</v>
      </c>
      <c r="FC72">
        <v>50</v>
      </c>
      <c r="FG72">
        <v>8625</v>
      </c>
      <c r="FK72">
        <v>50</v>
      </c>
      <c r="FQ72">
        <v>225</v>
      </c>
      <c r="GA72">
        <v>2027</v>
      </c>
      <c r="GK72">
        <v>4500</v>
      </c>
      <c r="GN72">
        <f t="shared" si="1"/>
        <v>68348</v>
      </c>
    </row>
    <row r="73" spans="1:196" x14ac:dyDescent="0.25">
      <c r="A73" s="4">
        <f>DATE(2024,4,22)</f>
        <v>45404</v>
      </c>
      <c r="BU73">
        <v>2200</v>
      </c>
      <c r="BW73">
        <v>175</v>
      </c>
      <c r="CC73">
        <v>1000</v>
      </c>
      <c r="CE73">
        <v>4625</v>
      </c>
      <c r="CI73">
        <v>650</v>
      </c>
      <c r="CO73">
        <v>5425</v>
      </c>
      <c r="CQ73">
        <v>200</v>
      </c>
      <c r="CY73">
        <v>4175</v>
      </c>
      <c r="DA73">
        <v>550</v>
      </c>
      <c r="DE73">
        <v>125</v>
      </c>
      <c r="DI73">
        <v>5575</v>
      </c>
      <c r="DK73">
        <v>200</v>
      </c>
      <c r="DM73">
        <v>50</v>
      </c>
      <c r="DO73">
        <v>250</v>
      </c>
      <c r="DQ73">
        <v>225</v>
      </c>
      <c r="DS73">
        <v>7960</v>
      </c>
      <c r="DT73">
        <v>50</v>
      </c>
      <c r="DU73">
        <v>125</v>
      </c>
      <c r="DW73">
        <v>400</v>
      </c>
      <c r="DY73">
        <v>100</v>
      </c>
      <c r="EC73">
        <v>6955</v>
      </c>
      <c r="EE73">
        <v>100</v>
      </c>
      <c r="EG73">
        <v>200</v>
      </c>
      <c r="EI73">
        <v>50</v>
      </c>
      <c r="EK73">
        <v>300</v>
      </c>
      <c r="EM73">
        <v>8276</v>
      </c>
      <c r="EO73">
        <v>250</v>
      </c>
      <c r="ES73">
        <v>100</v>
      </c>
      <c r="EW73">
        <v>2390</v>
      </c>
      <c r="EY73">
        <v>190</v>
      </c>
      <c r="FC73">
        <v>50</v>
      </c>
      <c r="FG73">
        <v>8625</v>
      </c>
      <c r="FK73">
        <v>50</v>
      </c>
      <c r="FQ73">
        <v>225</v>
      </c>
      <c r="GA73">
        <v>2027</v>
      </c>
      <c r="GK73">
        <v>4500</v>
      </c>
      <c r="GN73">
        <f t="shared" si="1"/>
        <v>68348</v>
      </c>
    </row>
    <row r="74" spans="1:196" x14ac:dyDescent="0.25">
      <c r="A74" s="4">
        <f>DATE(2024,4,19)</f>
        <v>45401</v>
      </c>
      <c r="BU74">
        <v>2200</v>
      </c>
      <c r="BW74">
        <v>175</v>
      </c>
      <c r="CC74">
        <v>1000</v>
      </c>
      <c r="CE74">
        <v>4625</v>
      </c>
      <c r="CI74">
        <v>650</v>
      </c>
      <c r="CO74">
        <v>5425</v>
      </c>
      <c r="CQ74">
        <v>200</v>
      </c>
      <c r="CY74">
        <v>4175</v>
      </c>
      <c r="DA74">
        <v>550</v>
      </c>
      <c r="DE74">
        <v>125</v>
      </c>
      <c r="DI74">
        <v>5575</v>
      </c>
      <c r="DK74">
        <v>200</v>
      </c>
      <c r="DM74">
        <v>50</v>
      </c>
      <c r="DO74">
        <v>250</v>
      </c>
      <c r="DQ74">
        <v>225</v>
      </c>
      <c r="DS74">
        <v>7960</v>
      </c>
      <c r="DT74">
        <v>50</v>
      </c>
      <c r="DU74">
        <v>125</v>
      </c>
      <c r="DW74">
        <v>400</v>
      </c>
      <c r="DY74">
        <v>100</v>
      </c>
      <c r="EC74">
        <v>6955</v>
      </c>
      <c r="EE74">
        <v>100</v>
      </c>
      <c r="EG74">
        <v>200</v>
      </c>
      <c r="EI74">
        <v>50</v>
      </c>
      <c r="EK74">
        <v>300</v>
      </c>
      <c r="EM74">
        <v>8276</v>
      </c>
      <c r="EO74">
        <v>250</v>
      </c>
      <c r="ES74">
        <v>100</v>
      </c>
      <c r="EW74">
        <v>2540</v>
      </c>
      <c r="EY74">
        <v>190</v>
      </c>
      <c r="FC74">
        <v>50</v>
      </c>
      <c r="FG74">
        <v>8525</v>
      </c>
      <c r="FK74">
        <v>50</v>
      </c>
      <c r="FQ74">
        <v>225</v>
      </c>
      <c r="GA74">
        <v>2027</v>
      </c>
      <c r="GK74">
        <v>4500</v>
      </c>
      <c r="GN74">
        <f t="shared" si="1"/>
        <v>68398</v>
      </c>
    </row>
    <row r="75" spans="1:196" x14ac:dyDescent="0.25">
      <c r="A75" s="4">
        <f>DATE(2024,4,18)</f>
        <v>45400</v>
      </c>
      <c r="BU75">
        <v>2200</v>
      </c>
      <c r="BW75">
        <v>175</v>
      </c>
      <c r="CC75">
        <v>1000</v>
      </c>
      <c r="CE75">
        <v>4625</v>
      </c>
      <c r="CI75">
        <v>650</v>
      </c>
      <c r="CO75">
        <v>5425</v>
      </c>
      <c r="CQ75">
        <v>200</v>
      </c>
      <c r="CY75">
        <v>4175</v>
      </c>
      <c r="DA75">
        <v>550</v>
      </c>
      <c r="DE75">
        <v>125</v>
      </c>
      <c r="DI75">
        <v>5575</v>
      </c>
      <c r="DK75">
        <v>200</v>
      </c>
      <c r="DM75">
        <v>50</v>
      </c>
      <c r="DO75">
        <v>250</v>
      </c>
      <c r="DQ75">
        <v>225</v>
      </c>
      <c r="DS75">
        <v>7960</v>
      </c>
      <c r="DT75">
        <v>50</v>
      </c>
      <c r="DU75">
        <v>125</v>
      </c>
      <c r="DW75">
        <v>400</v>
      </c>
      <c r="DY75">
        <v>100</v>
      </c>
      <c r="EC75">
        <v>6955</v>
      </c>
      <c r="EE75">
        <v>100</v>
      </c>
      <c r="EG75">
        <v>200</v>
      </c>
      <c r="EI75">
        <v>50</v>
      </c>
      <c r="EK75">
        <v>300</v>
      </c>
      <c r="EM75">
        <v>8276</v>
      </c>
      <c r="EO75">
        <v>250</v>
      </c>
      <c r="ES75">
        <v>100</v>
      </c>
      <c r="EW75">
        <v>2540</v>
      </c>
      <c r="EY75">
        <v>190</v>
      </c>
      <c r="FC75">
        <v>50</v>
      </c>
      <c r="FG75">
        <v>8525</v>
      </c>
      <c r="FK75">
        <v>50</v>
      </c>
      <c r="FQ75">
        <v>225</v>
      </c>
      <c r="GA75">
        <v>2027</v>
      </c>
      <c r="GK75">
        <v>4500</v>
      </c>
      <c r="GN75">
        <f t="shared" si="1"/>
        <v>68398</v>
      </c>
    </row>
    <row r="76" spans="1:196" x14ac:dyDescent="0.25">
      <c r="A76" s="4">
        <f>DATE(2024,4,17)</f>
        <v>45399</v>
      </c>
      <c r="BU76">
        <v>2200</v>
      </c>
      <c r="BW76">
        <v>175</v>
      </c>
      <c r="CC76">
        <v>1000</v>
      </c>
      <c r="CE76">
        <v>4625</v>
      </c>
      <c r="CI76">
        <v>650</v>
      </c>
      <c r="CO76">
        <v>5425</v>
      </c>
      <c r="CQ76">
        <v>200</v>
      </c>
      <c r="CY76">
        <v>4175</v>
      </c>
      <c r="DA76">
        <v>550</v>
      </c>
      <c r="DE76">
        <v>125</v>
      </c>
      <c r="DI76">
        <v>5625</v>
      </c>
      <c r="DK76">
        <v>200</v>
      </c>
      <c r="DM76">
        <v>50</v>
      </c>
      <c r="DO76">
        <v>250</v>
      </c>
      <c r="DQ76">
        <v>225</v>
      </c>
      <c r="DS76">
        <v>8260</v>
      </c>
      <c r="DT76">
        <v>50</v>
      </c>
      <c r="DU76">
        <v>125</v>
      </c>
      <c r="DW76">
        <v>400</v>
      </c>
      <c r="DY76">
        <v>100</v>
      </c>
      <c r="EC76">
        <v>6855</v>
      </c>
      <c r="EE76">
        <v>100</v>
      </c>
      <c r="EG76">
        <v>200</v>
      </c>
      <c r="EI76">
        <v>50</v>
      </c>
      <c r="EK76">
        <v>300</v>
      </c>
      <c r="EM76">
        <v>7601</v>
      </c>
      <c r="EO76">
        <v>250</v>
      </c>
      <c r="ES76">
        <v>100</v>
      </c>
      <c r="EW76">
        <v>2440</v>
      </c>
      <c r="EY76">
        <v>190</v>
      </c>
      <c r="FC76">
        <v>50</v>
      </c>
      <c r="FG76">
        <v>8525</v>
      </c>
      <c r="FK76">
        <v>50</v>
      </c>
      <c r="FQ76">
        <v>225</v>
      </c>
      <c r="GA76">
        <v>2027</v>
      </c>
      <c r="GK76">
        <v>4500</v>
      </c>
      <c r="GN76">
        <f t="shared" si="1"/>
        <v>67873</v>
      </c>
    </row>
    <row r="77" spans="1:196" x14ac:dyDescent="0.25">
      <c r="A77" s="4">
        <f>DATE(2024,4,16)</f>
        <v>45398</v>
      </c>
      <c r="BU77">
        <v>2200</v>
      </c>
      <c r="BW77">
        <v>175</v>
      </c>
      <c r="CC77">
        <v>1000</v>
      </c>
      <c r="CE77">
        <v>4625</v>
      </c>
      <c r="CI77">
        <v>650</v>
      </c>
      <c r="CO77">
        <v>5575</v>
      </c>
      <c r="CQ77">
        <v>200</v>
      </c>
      <c r="CY77">
        <v>4175</v>
      </c>
      <c r="DA77">
        <v>550</v>
      </c>
      <c r="DE77">
        <v>125</v>
      </c>
      <c r="DI77">
        <v>5625</v>
      </c>
      <c r="DK77">
        <v>200</v>
      </c>
      <c r="DM77">
        <v>50</v>
      </c>
      <c r="DO77">
        <v>250</v>
      </c>
      <c r="DQ77">
        <v>225</v>
      </c>
      <c r="DS77">
        <v>8340</v>
      </c>
      <c r="DT77">
        <v>50</v>
      </c>
      <c r="DU77">
        <v>125</v>
      </c>
      <c r="DW77">
        <v>400</v>
      </c>
      <c r="DY77">
        <v>100</v>
      </c>
      <c r="EC77">
        <v>6855</v>
      </c>
      <c r="EE77">
        <v>100</v>
      </c>
      <c r="EG77">
        <v>200</v>
      </c>
      <c r="EI77">
        <v>50</v>
      </c>
      <c r="EK77">
        <v>300</v>
      </c>
      <c r="EM77">
        <v>7301</v>
      </c>
      <c r="EO77">
        <v>250</v>
      </c>
      <c r="ES77">
        <v>100</v>
      </c>
      <c r="EW77">
        <v>2550</v>
      </c>
      <c r="EY77">
        <v>190</v>
      </c>
      <c r="FC77">
        <v>50</v>
      </c>
      <c r="FG77">
        <v>8325</v>
      </c>
      <c r="FK77">
        <v>50</v>
      </c>
      <c r="FQ77">
        <v>225</v>
      </c>
      <c r="GA77">
        <v>2027</v>
      </c>
      <c r="GK77">
        <v>4500</v>
      </c>
      <c r="GN77">
        <f t="shared" si="1"/>
        <v>67713</v>
      </c>
    </row>
    <row r="78" spans="1:196" x14ac:dyDescent="0.25">
      <c r="A78" s="4">
        <f>DATE(2024,4,15)</f>
        <v>45397</v>
      </c>
      <c r="BU78">
        <v>2200</v>
      </c>
      <c r="BW78">
        <v>175</v>
      </c>
      <c r="CC78">
        <v>1000</v>
      </c>
      <c r="CE78">
        <v>4625</v>
      </c>
      <c r="CI78">
        <v>650</v>
      </c>
      <c r="CO78">
        <v>5575</v>
      </c>
      <c r="CQ78">
        <v>200</v>
      </c>
      <c r="CY78">
        <v>3925</v>
      </c>
      <c r="DA78">
        <v>550</v>
      </c>
      <c r="DE78">
        <v>125</v>
      </c>
      <c r="DI78">
        <v>5625</v>
      </c>
      <c r="DK78">
        <v>200</v>
      </c>
      <c r="DM78">
        <v>50</v>
      </c>
      <c r="DO78">
        <v>250</v>
      </c>
      <c r="DQ78">
        <v>225</v>
      </c>
      <c r="DS78">
        <v>8340</v>
      </c>
      <c r="DT78">
        <v>50</v>
      </c>
      <c r="DU78">
        <v>125</v>
      </c>
      <c r="DW78">
        <v>400</v>
      </c>
      <c r="DY78">
        <v>100</v>
      </c>
      <c r="EC78">
        <v>6855</v>
      </c>
      <c r="EE78">
        <v>100</v>
      </c>
      <c r="EG78">
        <v>200</v>
      </c>
      <c r="EI78">
        <v>50</v>
      </c>
      <c r="EK78">
        <v>300</v>
      </c>
      <c r="EM78">
        <v>7278</v>
      </c>
      <c r="EO78">
        <v>250</v>
      </c>
      <c r="ES78">
        <v>100</v>
      </c>
      <c r="EW78">
        <v>2550</v>
      </c>
      <c r="EY78">
        <v>190</v>
      </c>
      <c r="FC78">
        <v>50</v>
      </c>
      <c r="FG78">
        <v>8125</v>
      </c>
      <c r="FK78">
        <v>50</v>
      </c>
      <c r="FQ78">
        <v>225</v>
      </c>
      <c r="GA78">
        <v>2027</v>
      </c>
      <c r="GK78">
        <v>4500</v>
      </c>
      <c r="GN78">
        <f t="shared" si="1"/>
        <v>67240</v>
      </c>
    </row>
    <row r="79" spans="1:196" x14ac:dyDescent="0.25">
      <c r="A79" s="4">
        <f>DATE(2024,4,12)</f>
        <v>45394</v>
      </c>
      <c r="BU79">
        <v>2200</v>
      </c>
      <c r="BW79">
        <v>175</v>
      </c>
      <c r="CC79">
        <v>1000</v>
      </c>
      <c r="CE79">
        <v>4625</v>
      </c>
      <c r="CI79">
        <v>650</v>
      </c>
      <c r="CO79">
        <v>5575</v>
      </c>
      <c r="CQ79">
        <v>200</v>
      </c>
      <c r="CY79">
        <v>3275</v>
      </c>
      <c r="DA79">
        <v>550</v>
      </c>
      <c r="DE79">
        <v>125</v>
      </c>
      <c r="DI79">
        <v>4930</v>
      </c>
      <c r="DK79">
        <v>200</v>
      </c>
      <c r="DM79">
        <v>50</v>
      </c>
      <c r="DO79">
        <v>250</v>
      </c>
      <c r="DQ79">
        <v>225</v>
      </c>
      <c r="DS79">
        <v>7840</v>
      </c>
      <c r="DT79">
        <v>50</v>
      </c>
      <c r="DU79">
        <v>125</v>
      </c>
      <c r="DW79">
        <v>400</v>
      </c>
      <c r="DY79">
        <v>100</v>
      </c>
      <c r="EC79">
        <v>7005</v>
      </c>
      <c r="EE79">
        <v>100</v>
      </c>
      <c r="EG79">
        <v>200</v>
      </c>
      <c r="EI79">
        <v>50</v>
      </c>
      <c r="EK79">
        <v>300</v>
      </c>
      <c r="EM79">
        <v>7177</v>
      </c>
      <c r="EO79">
        <v>250</v>
      </c>
      <c r="ES79">
        <v>100</v>
      </c>
      <c r="EW79">
        <v>2550</v>
      </c>
      <c r="EY79">
        <v>190</v>
      </c>
      <c r="FC79">
        <v>50</v>
      </c>
      <c r="FG79">
        <v>7875</v>
      </c>
      <c r="FK79">
        <v>50</v>
      </c>
      <c r="FQ79">
        <v>225</v>
      </c>
      <c r="GA79">
        <v>2027</v>
      </c>
      <c r="GK79">
        <v>4500</v>
      </c>
      <c r="GN79">
        <f t="shared" si="1"/>
        <v>65194</v>
      </c>
    </row>
    <row r="80" spans="1:196" x14ac:dyDescent="0.25">
      <c r="A80" s="4">
        <f>DATE(2024,4,11)</f>
        <v>45393</v>
      </c>
      <c r="BU80">
        <v>2200</v>
      </c>
      <c r="BW80">
        <v>175</v>
      </c>
      <c r="CC80">
        <v>1000</v>
      </c>
      <c r="CE80">
        <v>4625</v>
      </c>
      <c r="CI80">
        <v>650</v>
      </c>
      <c r="CO80">
        <v>5575</v>
      </c>
      <c r="CQ80">
        <v>200</v>
      </c>
      <c r="CY80">
        <v>3575</v>
      </c>
      <c r="DA80">
        <v>550</v>
      </c>
      <c r="DE80">
        <v>125</v>
      </c>
      <c r="DI80">
        <v>4930</v>
      </c>
      <c r="DK80">
        <v>200</v>
      </c>
      <c r="DM80">
        <v>50</v>
      </c>
      <c r="DO80">
        <v>250</v>
      </c>
      <c r="DQ80">
        <v>225</v>
      </c>
      <c r="DS80">
        <v>7790</v>
      </c>
      <c r="DT80">
        <v>50</v>
      </c>
      <c r="DU80">
        <v>125</v>
      </c>
      <c r="DW80">
        <v>400</v>
      </c>
      <c r="DY80">
        <v>100</v>
      </c>
      <c r="EC80">
        <v>7005</v>
      </c>
      <c r="EE80">
        <v>100</v>
      </c>
      <c r="EG80">
        <v>200</v>
      </c>
      <c r="EI80">
        <v>50</v>
      </c>
      <c r="EK80">
        <v>300</v>
      </c>
      <c r="EM80">
        <v>7127</v>
      </c>
      <c r="EO80">
        <v>250</v>
      </c>
      <c r="ES80">
        <v>100</v>
      </c>
      <c r="EW80">
        <v>2550</v>
      </c>
      <c r="EY80">
        <v>190</v>
      </c>
      <c r="FC80">
        <v>50</v>
      </c>
      <c r="FG80">
        <v>8125</v>
      </c>
      <c r="FK80">
        <v>50</v>
      </c>
      <c r="FQ80">
        <v>225</v>
      </c>
      <c r="GA80">
        <v>2027</v>
      </c>
      <c r="GK80">
        <v>4500</v>
      </c>
      <c r="GN80">
        <f t="shared" si="1"/>
        <v>65644</v>
      </c>
    </row>
    <row r="81" spans="1:196" x14ac:dyDescent="0.25">
      <c r="A81" s="4">
        <f>DATE(2024,4,10)</f>
        <v>45392</v>
      </c>
      <c r="BU81">
        <v>2200</v>
      </c>
      <c r="BW81">
        <v>175</v>
      </c>
      <c r="CC81">
        <v>1000</v>
      </c>
      <c r="CE81">
        <v>4525</v>
      </c>
      <c r="CI81">
        <v>650</v>
      </c>
      <c r="CO81">
        <v>5575</v>
      </c>
      <c r="CQ81">
        <v>200</v>
      </c>
      <c r="CY81">
        <v>3575</v>
      </c>
      <c r="DA81">
        <v>550</v>
      </c>
      <c r="DE81">
        <v>125</v>
      </c>
      <c r="DI81">
        <v>4930</v>
      </c>
      <c r="DK81">
        <v>200</v>
      </c>
      <c r="DM81">
        <v>50</v>
      </c>
      <c r="DO81">
        <v>250</v>
      </c>
      <c r="DQ81">
        <v>225</v>
      </c>
      <c r="DS81">
        <v>7790</v>
      </c>
      <c r="DT81">
        <v>50</v>
      </c>
      <c r="DU81">
        <v>125</v>
      </c>
      <c r="DW81">
        <v>400</v>
      </c>
      <c r="DY81">
        <v>100</v>
      </c>
      <c r="EC81">
        <v>7005</v>
      </c>
      <c r="EE81">
        <v>100</v>
      </c>
      <c r="EG81">
        <v>200</v>
      </c>
      <c r="EI81">
        <v>50</v>
      </c>
      <c r="EK81">
        <v>300</v>
      </c>
      <c r="EM81">
        <v>7127</v>
      </c>
      <c r="EO81">
        <v>250</v>
      </c>
      <c r="ES81">
        <v>100</v>
      </c>
      <c r="EW81">
        <v>2550</v>
      </c>
      <c r="EY81">
        <v>190</v>
      </c>
      <c r="FC81">
        <v>50</v>
      </c>
      <c r="FG81">
        <v>8125</v>
      </c>
      <c r="FK81">
        <v>50</v>
      </c>
      <c r="FQ81">
        <v>225</v>
      </c>
      <c r="GA81">
        <v>2027</v>
      </c>
      <c r="GK81">
        <v>4500</v>
      </c>
      <c r="GN81">
        <f t="shared" si="1"/>
        <v>65544</v>
      </c>
    </row>
    <row r="82" spans="1:196" x14ac:dyDescent="0.25">
      <c r="A82" s="4">
        <f>DATE(2024,4,9)</f>
        <v>45391</v>
      </c>
      <c r="BU82">
        <v>2200</v>
      </c>
      <c r="BW82">
        <v>175</v>
      </c>
      <c r="CC82">
        <v>1000</v>
      </c>
      <c r="CE82">
        <v>4525</v>
      </c>
      <c r="CI82">
        <v>650</v>
      </c>
      <c r="CO82">
        <v>5575</v>
      </c>
      <c r="CQ82">
        <v>200</v>
      </c>
      <c r="CY82">
        <v>3225</v>
      </c>
      <c r="DA82">
        <v>550</v>
      </c>
      <c r="DE82">
        <v>125</v>
      </c>
      <c r="DI82">
        <v>4930</v>
      </c>
      <c r="DK82">
        <v>200</v>
      </c>
      <c r="DM82">
        <v>50</v>
      </c>
      <c r="DO82">
        <v>250</v>
      </c>
      <c r="DQ82">
        <v>225</v>
      </c>
      <c r="DS82">
        <v>7790</v>
      </c>
      <c r="DT82">
        <v>50</v>
      </c>
      <c r="DU82">
        <v>125</v>
      </c>
      <c r="DW82">
        <v>400</v>
      </c>
      <c r="DY82">
        <v>100</v>
      </c>
      <c r="EC82">
        <v>7005</v>
      </c>
      <c r="EE82">
        <v>100</v>
      </c>
      <c r="EG82">
        <v>200</v>
      </c>
      <c r="EI82">
        <v>50</v>
      </c>
      <c r="EK82">
        <v>300</v>
      </c>
      <c r="EM82">
        <v>7177</v>
      </c>
      <c r="EO82">
        <v>250</v>
      </c>
      <c r="ES82">
        <v>100</v>
      </c>
      <c r="EW82">
        <v>2550</v>
      </c>
      <c r="EY82">
        <v>190</v>
      </c>
      <c r="FC82">
        <v>50</v>
      </c>
      <c r="FG82">
        <v>8375</v>
      </c>
      <c r="FK82">
        <v>50</v>
      </c>
      <c r="FQ82">
        <v>225</v>
      </c>
      <c r="GA82">
        <v>2027</v>
      </c>
      <c r="GK82">
        <v>4500</v>
      </c>
      <c r="GN82">
        <f t="shared" si="1"/>
        <v>65494</v>
      </c>
    </row>
    <row r="83" spans="1:196" x14ac:dyDescent="0.25">
      <c r="A83" s="4">
        <f>DATE(2024,4,8)</f>
        <v>45390</v>
      </c>
      <c r="BU83">
        <v>2200</v>
      </c>
      <c r="BW83">
        <v>175</v>
      </c>
      <c r="CC83">
        <v>1000</v>
      </c>
      <c r="CE83">
        <v>4525</v>
      </c>
      <c r="CI83">
        <v>650</v>
      </c>
      <c r="CO83">
        <v>5575</v>
      </c>
      <c r="CQ83">
        <v>200</v>
      </c>
      <c r="CY83">
        <v>3225</v>
      </c>
      <c r="DA83">
        <v>550</v>
      </c>
      <c r="DE83">
        <v>125</v>
      </c>
      <c r="DI83">
        <v>4930</v>
      </c>
      <c r="DK83">
        <v>200</v>
      </c>
      <c r="DM83">
        <v>50</v>
      </c>
      <c r="DO83">
        <v>250</v>
      </c>
      <c r="DQ83">
        <v>225</v>
      </c>
      <c r="DS83">
        <v>7790</v>
      </c>
      <c r="DT83">
        <v>50</v>
      </c>
      <c r="DU83">
        <v>125</v>
      </c>
      <c r="DW83">
        <v>400</v>
      </c>
      <c r="DY83">
        <v>100</v>
      </c>
      <c r="EC83">
        <v>7005</v>
      </c>
      <c r="EE83">
        <v>100</v>
      </c>
      <c r="EG83">
        <v>200</v>
      </c>
      <c r="EI83">
        <v>50</v>
      </c>
      <c r="EK83">
        <v>300</v>
      </c>
      <c r="EM83">
        <v>7177</v>
      </c>
      <c r="EO83">
        <v>250</v>
      </c>
      <c r="ES83">
        <v>100</v>
      </c>
      <c r="EW83">
        <v>2550</v>
      </c>
      <c r="EY83">
        <v>190</v>
      </c>
      <c r="FC83">
        <v>50</v>
      </c>
      <c r="FG83">
        <v>8375</v>
      </c>
      <c r="FK83">
        <v>50</v>
      </c>
      <c r="FQ83">
        <v>225</v>
      </c>
      <c r="GA83">
        <v>2027</v>
      </c>
      <c r="GK83">
        <v>4500</v>
      </c>
      <c r="GN83">
        <f t="shared" si="1"/>
        <v>65494</v>
      </c>
    </row>
    <row r="84" spans="1:196" x14ac:dyDescent="0.25">
      <c r="A84" s="4">
        <f>DATE(2024,4,5)</f>
        <v>45387</v>
      </c>
      <c r="BU84">
        <v>2200</v>
      </c>
      <c r="BW84">
        <v>175</v>
      </c>
      <c r="CC84">
        <v>1000</v>
      </c>
      <c r="CE84">
        <v>4525</v>
      </c>
      <c r="CI84">
        <v>650</v>
      </c>
      <c r="CO84">
        <v>5575</v>
      </c>
      <c r="CQ84">
        <v>200</v>
      </c>
      <c r="CY84">
        <v>3225</v>
      </c>
      <c r="DA84">
        <v>550</v>
      </c>
      <c r="DE84">
        <v>125</v>
      </c>
      <c r="DI84">
        <v>4930</v>
      </c>
      <c r="DK84">
        <v>200</v>
      </c>
      <c r="DM84">
        <v>50</v>
      </c>
      <c r="DO84">
        <v>250</v>
      </c>
      <c r="DQ84">
        <v>225</v>
      </c>
      <c r="DS84">
        <v>7790</v>
      </c>
      <c r="DT84">
        <v>50</v>
      </c>
      <c r="DU84">
        <v>125</v>
      </c>
      <c r="DW84">
        <v>400</v>
      </c>
      <c r="DY84">
        <v>100</v>
      </c>
      <c r="EC84">
        <v>7005</v>
      </c>
      <c r="EE84">
        <v>100</v>
      </c>
      <c r="EG84">
        <v>200</v>
      </c>
      <c r="EI84">
        <v>50</v>
      </c>
      <c r="EK84">
        <v>300</v>
      </c>
      <c r="EM84">
        <v>7177</v>
      </c>
      <c r="EO84">
        <v>250</v>
      </c>
      <c r="ES84">
        <v>100</v>
      </c>
      <c r="EW84">
        <v>2550</v>
      </c>
      <c r="EY84">
        <v>190</v>
      </c>
      <c r="FC84">
        <v>50</v>
      </c>
      <c r="FG84">
        <v>8375</v>
      </c>
      <c r="FK84">
        <v>50</v>
      </c>
      <c r="FQ84">
        <v>225</v>
      </c>
      <c r="GA84">
        <v>2027</v>
      </c>
      <c r="GK84">
        <v>4500</v>
      </c>
      <c r="GN84">
        <f t="shared" si="1"/>
        <v>65494</v>
      </c>
    </row>
    <row r="85" spans="1:196" x14ac:dyDescent="0.25">
      <c r="A85" s="4">
        <f>DATE(2024,4,4)</f>
        <v>45386</v>
      </c>
      <c r="BU85">
        <v>2200</v>
      </c>
      <c r="BW85">
        <v>175</v>
      </c>
      <c r="CC85">
        <v>1000</v>
      </c>
      <c r="CE85">
        <v>4525</v>
      </c>
      <c r="CI85">
        <v>650</v>
      </c>
      <c r="CO85">
        <v>5575</v>
      </c>
      <c r="CQ85">
        <v>200</v>
      </c>
      <c r="CY85">
        <v>3225</v>
      </c>
      <c r="DA85">
        <v>550</v>
      </c>
      <c r="DE85">
        <v>125</v>
      </c>
      <c r="DI85">
        <v>4930</v>
      </c>
      <c r="DK85">
        <v>200</v>
      </c>
      <c r="DM85">
        <v>50</v>
      </c>
      <c r="DO85">
        <v>250</v>
      </c>
      <c r="DQ85">
        <v>225</v>
      </c>
      <c r="DS85">
        <v>7790</v>
      </c>
      <c r="DT85">
        <v>50</v>
      </c>
      <c r="DU85">
        <v>125</v>
      </c>
      <c r="DW85">
        <v>400</v>
      </c>
      <c r="DY85">
        <v>100</v>
      </c>
      <c r="EC85">
        <v>7005</v>
      </c>
      <c r="EE85">
        <v>100</v>
      </c>
      <c r="EG85">
        <v>200</v>
      </c>
      <c r="EI85">
        <v>50</v>
      </c>
      <c r="EK85">
        <v>300</v>
      </c>
      <c r="EM85">
        <v>7177</v>
      </c>
      <c r="EO85">
        <v>250</v>
      </c>
      <c r="ES85">
        <v>100</v>
      </c>
      <c r="EW85">
        <v>2550</v>
      </c>
      <c r="EY85">
        <v>190</v>
      </c>
      <c r="FC85">
        <v>50</v>
      </c>
      <c r="FG85">
        <v>8375</v>
      </c>
      <c r="FK85">
        <v>50</v>
      </c>
      <c r="FQ85">
        <v>225</v>
      </c>
      <c r="GA85">
        <v>2027</v>
      </c>
      <c r="GK85">
        <v>4500</v>
      </c>
      <c r="GN85">
        <f t="shared" si="1"/>
        <v>65494</v>
      </c>
    </row>
    <row r="86" spans="1:196" x14ac:dyDescent="0.25">
      <c r="A86" s="4">
        <f>DATE(2024,4,3)</f>
        <v>45385</v>
      </c>
      <c r="BU86">
        <v>2200</v>
      </c>
      <c r="BW86">
        <v>175</v>
      </c>
      <c r="CC86">
        <v>1000</v>
      </c>
      <c r="CE86">
        <v>4525</v>
      </c>
      <c r="CI86">
        <v>650</v>
      </c>
      <c r="CO86">
        <v>5575</v>
      </c>
      <c r="CQ86">
        <v>200</v>
      </c>
      <c r="CY86">
        <v>3225</v>
      </c>
      <c r="DA86">
        <v>550</v>
      </c>
      <c r="DE86">
        <v>125</v>
      </c>
      <c r="DI86">
        <v>4930</v>
      </c>
      <c r="DK86">
        <v>200</v>
      </c>
      <c r="DM86">
        <v>50</v>
      </c>
      <c r="DO86">
        <v>250</v>
      </c>
      <c r="DQ86">
        <v>225</v>
      </c>
      <c r="DS86">
        <v>7790</v>
      </c>
      <c r="DT86">
        <v>50</v>
      </c>
      <c r="DU86">
        <v>125</v>
      </c>
      <c r="DW86">
        <v>400</v>
      </c>
      <c r="DY86">
        <v>100</v>
      </c>
      <c r="EC86">
        <v>7005</v>
      </c>
      <c r="EE86">
        <v>100</v>
      </c>
      <c r="EG86">
        <v>200</v>
      </c>
      <c r="EI86">
        <v>50</v>
      </c>
      <c r="EK86">
        <v>300</v>
      </c>
      <c r="EM86">
        <v>7177</v>
      </c>
      <c r="EO86">
        <v>250</v>
      </c>
      <c r="ES86">
        <v>100</v>
      </c>
      <c r="EW86">
        <v>2550</v>
      </c>
      <c r="EY86">
        <v>190</v>
      </c>
      <c r="FC86">
        <v>50</v>
      </c>
      <c r="FG86">
        <v>8375</v>
      </c>
      <c r="FK86">
        <v>50</v>
      </c>
      <c r="FQ86">
        <v>225</v>
      </c>
      <c r="GA86">
        <v>2027</v>
      </c>
      <c r="GK86">
        <v>4500</v>
      </c>
      <c r="GN86">
        <f t="shared" si="1"/>
        <v>65494</v>
      </c>
    </row>
    <row r="87" spans="1:196" x14ac:dyDescent="0.25">
      <c r="A87" s="4">
        <f>DATE(2024,4,2)</f>
        <v>45384</v>
      </c>
      <c r="BU87">
        <v>2200</v>
      </c>
      <c r="BW87">
        <v>175</v>
      </c>
      <c r="CC87">
        <v>1000</v>
      </c>
      <c r="CE87">
        <v>4525</v>
      </c>
      <c r="CI87">
        <v>650</v>
      </c>
      <c r="CO87">
        <v>5575</v>
      </c>
      <c r="CQ87">
        <v>200</v>
      </c>
      <c r="CY87">
        <v>3225</v>
      </c>
      <c r="DA87">
        <v>550</v>
      </c>
      <c r="DE87">
        <v>125</v>
      </c>
      <c r="DI87">
        <v>4930</v>
      </c>
      <c r="DK87">
        <v>200</v>
      </c>
      <c r="DM87">
        <v>50</v>
      </c>
      <c r="DO87">
        <v>250</v>
      </c>
      <c r="DQ87">
        <v>225</v>
      </c>
      <c r="DS87">
        <v>7790</v>
      </c>
      <c r="DT87">
        <v>50</v>
      </c>
      <c r="DU87">
        <v>125</v>
      </c>
      <c r="DW87">
        <v>400</v>
      </c>
      <c r="DY87">
        <v>100</v>
      </c>
      <c r="EC87">
        <v>7005</v>
      </c>
      <c r="EE87">
        <v>100</v>
      </c>
      <c r="EG87">
        <v>200</v>
      </c>
      <c r="EI87">
        <v>50</v>
      </c>
      <c r="EK87">
        <v>300</v>
      </c>
      <c r="EM87">
        <v>7177</v>
      </c>
      <c r="EO87">
        <v>250</v>
      </c>
      <c r="ES87">
        <v>100</v>
      </c>
      <c r="EW87">
        <v>2550</v>
      </c>
      <c r="EY87">
        <v>190</v>
      </c>
      <c r="FC87">
        <v>50</v>
      </c>
      <c r="FG87">
        <v>8375</v>
      </c>
      <c r="FK87">
        <v>50</v>
      </c>
      <c r="FQ87">
        <v>225</v>
      </c>
      <c r="GA87">
        <v>2027</v>
      </c>
      <c r="GK87">
        <v>4500</v>
      </c>
      <c r="GN87">
        <f t="shared" si="1"/>
        <v>65494</v>
      </c>
    </row>
    <row r="88" spans="1:196" x14ac:dyDescent="0.25">
      <c r="A88" s="4">
        <f>DATE(2024,4,1)</f>
        <v>45383</v>
      </c>
      <c r="BU88">
        <v>2200</v>
      </c>
      <c r="BW88">
        <v>175</v>
      </c>
      <c r="CC88">
        <v>1000</v>
      </c>
      <c r="CE88">
        <v>4525</v>
      </c>
      <c r="CI88">
        <v>650</v>
      </c>
      <c r="CO88">
        <v>5575</v>
      </c>
      <c r="CQ88">
        <v>200</v>
      </c>
      <c r="CY88">
        <v>3225</v>
      </c>
      <c r="DA88">
        <v>550</v>
      </c>
      <c r="DE88">
        <v>125</v>
      </c>
      <c r="DI88">
        <v>4930</v>
      </c>
      <c r="DK88">
        <v>200</v>
      </c>
      <c r="DM88">
        <v>50</v>
      </c>
      <c r="DO88">
        <v>250</v>
      </c>
      <c r="DQ88">
        <v>225</v>
      </c>
      <c r="DS88">
        <v>7790</v>
      </c>
      <c r="DT88">
        <v>50</v>
      </c>
      <c r="DU88">
        <v>125</v>
      </c>
      <c r="DW88">
        <v>400</v>
      </c>
      <c r="DY88">
        <v>100</v>
      </c>
      <c r="EC88">
        <v>7005</v>
      </c>
      <c r="EE88">
        <v>100</v>
      </c>
      <c r="EG88">
        <v>200</v>
      </c>
      <c r="EI88">
        <v>50</v>
      </c>
      <c r="EK88">
        <v>300</v>
      </c>
      <c r="EM88">
        <v>7177</v>
      </c>
      <c r="EO88">
        <v>250</v>
      </c>
      <c r="ES88">
        <v>100</v>
      </c>
      <c r="EW88">
        <v>2550</v>
      </c>
      <c r="EY88">
        <v>190</v>
      </c>
      <c r="FC88">
        <v>50</v>
      </c>
      <c r="FG88">
        <v>8375</v>
      </c>
      <c r="FK88">
        <v>50</v>
      </c>
      <c r="FQ88">
        <v>225</v>
      </c>
      <c r="GA88">
        <v>2027</v>
      </c>
      <c r="GK88">
        <v>4500</v>
      </c>
      <c r="GN88">
        <f t="shared" si="1"/>
        <v>65494</v>
      </c>
    </row>
    <row r="89" spans="1:196" x14ac:dyDescent="0.25">
      <c r="A89" s="4">
        <f>DATE(2024,3,29)</f>
        <v>45380</v>
      </c>
      <c r="GN89">
        <f t="shared" si="1"/>
        <v>0</v>
      </c>
    </row>
    <row r="90" spans="1:196" x14ac:dyDescent="0.25">
      <c r="A90" s="4">
        <f>DATE(2024,3,28)</f>
        <v>45379</v>
      </c>
      <c r="BU90">
        <v>2200</v>
      </c>
      <c r="BW90">
        <v>175</v>
      </c>
      <c r="CC90">
        <v>1000</v>
      </c>
      <c r="CE90">
        <v>4525</v>
      </c>
      <c r="CI90">
        <v>650</v>
      </c>
      <c r="CO90">
        <v>5575</v>
      </c>
      <c r="CQ90">
        <v>200</v>
      </c>
      <c r="CY90">
        <v>3225</v>
      </c>
      <c r="DA90">
        <v>550</v>
      </c>
      <c r="DE90">
        <v>125</v>
      </c>
      <c r="DI90">
        <v>4930</v>
      </c>
      <c r="DK90">
        <v>200</v>
      </c>
      <c r="DM90">
        <v>50</v>
      </c>
      <c r="DO90">
        <v>250</v>
      </c>
      <c r="DQ90">
        <v>225</v>
      </c>
      <c r="DS90">
        <v>7790</v>
      </c>
      <c r="DT90">
        <v>50</v>
      </c>
      <c r="DU90">
        <v>125</v>
      </c>
      <c r="DW90">
        <v>400</v>
      </c>
      <c r="DY90">
        <v>100</v>
      </c>
      <c r="EC90">
        <v>7005</v>
      </c>
      <c r="EE90">
        <v>100</v>
      </c>
      <c r="EG90">
        <v>200</v>
      </c>
      <c r="EI90">
        <v>50</v>
      </c>
      <c r="EK90">
        <v>300</v>
      </c>
      <c r="EM90">
        <v>7177</v>
      </c>
      <c r="EO90">
        <v>250</v>
      </c>
      <c r="ES90">
        <v>100</v>
      </c>
      <c r="EW90">
        <v>2550</v>
      </c>
      <c r="EY90">
        <v>190</v>
      </c>
      <c r="FC90">
        <v>50</v>
      </c>
      <c r="FG90">
        <v>8375</v>
      </c>
      <c r="FK90">
        <v>50</v>
      </c>
      <c r="FQ90">
        <v>225</v>
      </c>
      <c r="GA90">
        <v>2027</v>
      </c>
      <c r="GK90">
        <v>4500</v>
      </c>
      <c r="GN90">
        <f t="shared" si="1"/>
        <v>65494</v>
      </c>
    </row>
    <row r="91" spans="1:196" x14ac:dyDescent="0.25">
      <c r="A91" s="4">
        <f>DATE(2024,3,27)</f>
        <v>45378</v>
      </c>
      <c r="BU91">
        <v>2200</v>
      </c>
      <c r="BW91">
        <v>175</v>
      </c>
      <c r="CC91">
        <v>1000</v>
      </c>
      <c r="CE91">
        <v>4525</v>
      </c>
      <c r="CI91">
        <v>650</v>
      </c>
      <c r="CO91">
        <v>5575</v>
      </c>
      <c r="CQ91">
        <v>200</v>
      </c>
      <c r="CY91">
        <v>3225</v>
      </c>
      <c r="DA91">
        <v>550</v>
      </c>
      <c r="DE91">
        <v>125</v>
      </c>
      <c r="DI91">
        <v>4930</v>
      </c>
      <c r="DK91">
        <v>200</v>
      </c>
      <c r="DM91">
        <v>50</v>
      </c>
      <c r="DO91">
        <v>250</v>
      </c>
      <c r="DQ91">
        <v>225</v>
      </c>
      <c r="DS91">
        <v>7790</v>
      </c>
      <c r="DT91">
        <v>50</v>
      </c>
      <c r="DU91">
        <v>125</v>
      </c>
      <c r="DW91">
        <v>400</v>
      </c>
      <c r="DY91">
        <v>100</v>
      </c>
      <c r="EC91">
        <v>7005</v>
      </c>
      <c r="EE91">
        <v>100</v>
      </c>
      <c r="EG91">
        <v>200</v>
      </c>
      <c r="EI91">
        <v>50</v>
      </c>
      <c r="EK91">
        <v>300</v>
      </c>
      <c r="EM91">
        <v>7127</v>
      </c>
      <c r="EO91">
        <v>250</v>
      </c>
      <c r="ES91">
        <v>100</v>
      </c>
      <c r="EW91">
        <v>2550</v>
      </c>
      <c r="EY91">
        <v>190</v>
      </c>
      <c r="FC91">
        <v>50</v>
      </c>
      <c r="FG91">
        <v>8375</v>
      </c>
      <c r="FK91">
        <v>50</v>
      </c>
      <c r="FQ91">
        <v>225</v>
      </c>
      <c r="GA91">
        <v>1027</v>
      </c>
      <c r="GK91">
        <v>4500</v>
      </c>
      <c r="GN91">
        <f t="shared" si="1"/>
        <v>64444</v>
      </c>
    </row>
    <row r="92" spans="1:196" x14ac:dyDescent="0.25">
      <c r="A92" s="4">
        <f>DATE(2024,3,26)</f>
        <v>45377</v>
      </c>
      <c r="BU92">
        <v>2200</v>
      </c>
      <c r="BW92">
        <v>175</v>
      </c>
      <c r="CC92">
        <v>1000</v>
      </c>
      <c r="CE92">
        <v>4525</v>
      </c>
      <c r="CI92">
        <v>650</v>
      </c>
      <c r="CO92">
        <v>5575</v>
      </c>
      <c r="CQ92">
        <v>200</v>
      </c>
      <c r="CY92">
        <v>3225</v>
      </c>
      <c r="DA92">
        <v>550</v>
      </c>
      <c r="DE92">
        <v>125</v>
      </c>
      <c r="DI92">
        <v>4930</v>
      </c>
      <c r="DK92">
        <v>200</v>
      </c>
      <c r="DM92">
        <v>50</v>
      </c>
      <c r="DO92">
        <v>250</v>
      </c>
      <c r="DQ92">
        <v>225</v>
      </c>
      <c r="DS92">
        <v>7790</v>
      </c>
      <c r="DT92">
        <v>50</v>
      </c>
      <c r="DU92">
        <v>125</v>
      </c>
      <c r="DW92">
        <v>400</v>
      </c>
      <c r="DY92">
        <v>100</v>
      </c>
      <c r="EC92">
        <v>7005</v>
      </c>
      <c r="EE92">
        <v>100</v>
      </c>
      <c r="EG92">
        <v>200</v>
      </c>
      <c r="EI92">
        <v>50</v>
      </c>
      <c r="EK92">
        <v>300</v>
      </c>
      <c r="EM92">
        <v>7127</v>
      </c>
      <c r="EO92">
        <v>250</v>
      </c>
      <c r="ES92">
        <v>100</v>
      </c>
      <c r="EW92">
        <v>2650</v>
      </c>
      <c r="EY92">
        <v>190</v>
      </c>
      <c r="FC92">
        <v>50</v>
      </c>
      <c r="FG92">
        <v>8375</v>
      </c>
      <c r="FK92">
        <v>50</v>
      </c>
      <c r="FQ92">
        <v>225</v>
      </c>
      <c r="GA92">
        <v>1027</v>
      </c>
      <c r="GK92">
        <v>4500</v>
      </c>
      <c r="GN92">
        <f t="shared" si="1"/>
        <v>64544</v>
      </c>
    </row>
    <row r="93" spans="1:196" x14ac:dyDescent="0.25">
      <c r="A93" s="4">
        <f>DATE(2024,3,25)</f>
        <v>45376</v>
      </c>
      <c r="BU93">
        <v>2200</v>
      </c>
      <c r="BW93">
        <v>175</v>
      </c>
      <c r="CC93">
        <v>1000</v>
      </c>
      <c r="CE93">
        <v>4525</v>
      </c>
      <c r="CI93">
        <v>650</v>
      </c>
      <c r="CO93">
        <v>5675</v>
      </c>
      <c r="CQ93">
        <v>200</v>
      </c>
      <c r="CY93">
        <v>3225</v>
      </c>
      <c r="DA93">
        <v>550</v>
      </c>
      <c r="DE93">
        <v>125</v>
      </c>
      <c r="DI93">
        <v>4930</v>
      </c>
      <c r="DK93">
        <v>200</v>
      </c>
      <c r="DM93">
        <v>50</v>
      </c>
      <c r="DO93">
        <v>250</v>
      </c>
      <c r="DQ93">
        <v>225</v>
      </c>
      <c r="DS93">
        <v>7790</v>
      </c>
      <c r="DT93">
        <v>50</v>
      </c>
      <c r="DU93">
        <v>125</v>
      </c>
      <c r="DW93">
        <v>400</v>
      </c>
      <c r="DY93">
        <v>100</v>
      </c>
      <c r="EC93">
        <v>7005</v>
      </c>
      <c r="EE93">
        <v>100</v>
      </c>
      <c r="EG93">
        <v>200</v>
      </c>
      <c r="EI93">
        <v>50</v>
      </c>
      <c r="EK93">
        <v>300</v>
      </c>
      <c r="EM93">
        <v>7127</v>
      </c>
      <c r="EO93">
        <v>250</v>
      </c>
      <c r="ES93">
        <v>100</v>
      </c>
      <c r="EW93">
        <v>2550</v>
      </c>
      <c r="EY93">
        <v>190</v>
      </c>
      <c r="FC93">
        <v>50</v>
      </c>
      <c r="FG93">
        <v>8375</v>
      </c>
      <c r="FK93">
        <v>50</v>
      </c>
      <c r="FQ93">
        <v>225</v>
      </c>
      <c r="GA93">
        <v>1027</v>
      </c>
      <c r="GK93">
        <v>4500</v>
      </c>
      <c r="GN93">
        <f t="shared" si="1"/>
        <v>64544</v>
      </c>
    </row>
    <row r="94" spans="1:196" x14ac:dyDescent="0.25">
      <c r="A94" s="4">
        <f>DATE(2024,3,22)</f>
        <v>45373</v>
      </c>
      <c r="BU94">
        <v>2200</v>
      </c>
      <c r="BW94">
        <v>175</v>
      </c>
      <c r="CC94">
        <v>1000</v>
      </c>
      <c r="CE94">
        <v>4525</v>
      </c>
      <c r="CI94">
        <v>650</v>
      </c>
      <c r="CO94">
        <v>5175</v>
      </c>
      <c r="CQ94">
        <v>200</v>
      </c>
      <c r="CY94">
        <v>3225</v>
      </c>
      <c r="DA94">
        <v>550</v>
      </c>
      <c r="DE94">
        <v>125</v>
      </c>
      <c r="DI94">
        <v>4930</v>
      </c>
      <c r="DK94">
        <v>200</v>
      </c>
      <c r="DM94">
        <v>50</v>
      </c>
      <c r="DO94">
        <v>250</v>
      </c>
      <c r="DQ94">
        <v>225</v>
      </c>
      <c r="DS94">
        <v>7058</v>
      </c>
      <c r="DT94">
        <v>50</v>
      </c>
      <c r="DU94">
        <v>125</v>
      </c>
      <c r="DW94">
        <v>400</v>
      </c>
      <c r="DY94">
        <v>100</v>
      </c>
      <c r="EC94">
        <v>7005</v>
      </c>
      <c r="EE94">
        <v>100</v>
      </c>
      <c r="EG94">
        <v>200</v>
      </c>
      <c r="EI94">
        <v>50</v>
      </c>
      <c r="EK94">
        <v>300</v>
      </c>
      <c r="EM94">
        <v>7052</v>
      </c>
      <c r="EO94">
        <v>250</v>
      </c>
      <c r="ES94">
        <v>100</v>
      </c>
      <c r="EW94">
        <v>2550</v>
      </c>
      <c r="EY94">
        <v>190</v>
      </c>
      <c r="FC94">
        <v>50</v>
      </c>
      <c r="FG94">
        <v>8875</v>
      </c>
      <c r="FK94">
        <v>50</v>
      </c>
      <c r="FQ94">
        <v>225</v>
      </c>
      <c r="GA94">
        <v>1027</v>
      </c>
      <c r="GK94">
        <v>4500</v>
      </c>
      <c r="GN94">
        <f t="shared" si="1"/>
        <v>63737</v>
      </c>
    </row>
    <row r="95" spans="1:196" x14ac:dyDescent="0.25">
      <c r="A95" s="4">
        <f>DATE(2024,3,21)</f>
        <v>45372</v>
      </c>
      <c r="BU95">
        <v>2200</v>
      </c>
      <c r="BW95">
        <v>175</v>
      </c>
      <c r="CC95">
        <v>1000</v>
      </c>
      <c r="CE95">
        <v>4525</v>
      </c>
      <c r="CI95">
        <v>650</v>
      </c>
      <c r="CO95">
        <v>5025</v>
      </c>
      <c r="CQ95">
        <v>200</v>
      </c>
      <c r="CY95">
        <v>3225</v>
      </c>
      <c r="DA95">
        <v>550</v>
      </c>
      <c r="DE95">
        <v>125</v>
      </c>
      <c r="DI95">
        <v>4930</v>
      </c>
      <c r="DK95">
        <v>200</v>
      </c>
      <c r="DM95">
        <v>50</v>
      </c>
      <c r="DO95">
        <v>250</v>
      </c>
      <c r="DQ95">
        <v>225</v>
      </c>
      <c r="DS95">
        <v>7058</v>
      </c>
      <c r="DT95">
        <v>50</v>
      </c>
      <c r="DU95">
        <v>125</v>
      </c>
      <c r="DW95">
        <v>400</v>
      </c>
      <c r="DY95">
        <v>100</v>
      </c>
      <c r="EC95">
        <v>7005</v>
      </c>
      <c r="EE95">
        <v>100</v>
      </c>
      <c r="EG95">
        <v>200</v>
      </c>
      <c r="EI95">
        <v>50</v>
      </c>
      <c r="EK95">
        <v>300</v>
      </c>
      <c r="EM95">
        <v>7052</v>
      </c>
      <c r="EO95">
        <v>250</v>
      </c>
      <c r="ES95">
        <v>100</v>
      </c>
      <c r="EW95">
        <v>2550</v>
      </c>
      <c r="EY95">
        <v>190</v>
      </c>
      <c r="FC95">
        <v>50</v>
      </c>
      <c r="FG95">
        <v>8875</v>
      </c>
      <c r="FK95">
        <v>50</v>
      </c>
      <c r="FQ95">
        <v>225</v>
      </c>
      <c r="GA95">
        <v>1027</v>
      </c>
      <c r="GK95">
        <v>4500</v>
      </c>
      <c r="GN95">
        <f t="shared" si="1"/>
        <v>63587</v>
      </c>
    </row>
    <row r="96" spans="1:196" x14ac:dyDescent="0.25">
      <c r="A96" s="4">
        <f>DATE(2024,3,20)</f>
        <v>45371</v>
      </c>
      <c r="BU96">
        <v>2200</v>
      </c>
      <c r="BW96">
        <v>175</v>
      </c>
      <c r="CC96">
        <v>1000</v>
      </c>
      <c r="CE96">
        <v>4525</v>
      </c>
      <c r="CI96">
        <v>650</v>
      </c>
      <c r="CO96">
        <v>4775</v>
      </c>
      <c r="CQ96">
        <v>200</v>
      </c>
      <c r="CY96">
        <v>2975</v>
      </c>
      <c r="DA96">
        <v>550</v>
      </c>
      <c r="DE96">
        <v>125</v>
      </c>
      <c r="DI96">
        <v>4925</v>
      </c>
      <c r="DK96">
        <v>200</v>
      </c>
      <c r="DM96">
        <v>50</v>
      </c>
      <c r="DO96">
        <v>250</v>
      </c>
      <c r="DQ96">
        <v>225</v>
      </c>
      <c r="DS96">
        <v>6948</v>
      </c>
      <c r="DT96">
        <v>50</v>
      </c>
      <c r="DU96">
        <v>125</v>
      </c>
      <c r="DW96">
        <v>400</v>
      </c>
      <c r="DY96">
        <v>100</v>
      </c>
      <c r="EC96">
        <v>6780</v>
      </c>
      <c r="EE96">
        <v>100</v>
      </c>
      <c r="EG96">
        <v>200</v>
      </c>
      <c r="EI96">
        <v>50</v>
      </c>
      <c r="EK96">
        <v>300</v>
      </c>
      <c r="EM96">
        <v>7052</v>
      </c>
      <c r="EO96">
        <v>250</v>
      </c>
      <c r="ES96">
        <v>100</v>
      </c>
      <c r="EW96">
        <v>2550</v>
      </c>
      <c r="EY96">
        <v>190</v>
      </c>
      <c r="FC96">
        <v>50</v>
      </c>
      <c r="FG96">
        <v>9375</v>
      </c>
      <c r="FK96">
        <v>50</v>
      </c>
      <c r="FQ96">
        <v>225</v>
      </c>
      <c r="GA96">
        <v>1027</v>
      </c>
      <c r="GK96">
        <v>4500</v>
      </c>
      <c r="GN96">
        <f t="shared" si="1"/>
        <v>63247</v>
      </c>
    </row>
    <row r="97" spans="1:196" x14ac:dyDescent="0.25">
      <c r="A97" s="4">
        <f>DATE(2024,3,19)</f>
        <v>45370</v>
      </c>
      <c r="BU97">
        <v>2200</v>
      </c>
      <c r="BW97">
        <v>175</v>
      </c>
      <c r="CC97">
        <v>1000</v>
      </c>
      <c r="CE97">
        <v>4525</v>
      </c>
      <c r="CI97">
        <v>650</v>
      </c>
      <c r="CO97">
        <v>4775</v>
      </c>
      <c r="CQ97">
        <v>200</v>
      </c>
      <c r="CY97">
        <v>2975</v>
      </c>
      <c r="DA97">
        <v>550</v>
      </c>
      <c r="DE97">
        <v>125</v>
      </c>
      <c r="DI97">
        <v>4925</v>
      </c>
      <c r="DK97">
        <v>200</v>
      </c>
      <c r="DM97">
        <v>50</v>
      </c>
      <c r="DO97">
        <v>250</v>
      </c>
      <c r="DQ97">
        <v>225</v>
      </c>
      <c r="DS97">
        <v>6948</v>
      </c>
      <c r="DT97">
        <v>50</v>
      </c>
      <c r="DU97">
        <v>125</v>
      </c>
      <c r="DW97">
        <v>400</v>
      </c>
      <c r="DY97">
        <v>100</v>
      </c>
      <c r="EC97">
        <v>6780</v>
      </c>
      <c r="EE97">
        <v>100</v>
      </c>
      <c r="EG97">
        <v>200</v>
      </c>
      <c r="EI97">
        <v>50</v>
      </c>
      <c r="EK97">
        <v>300</v>
      </c>
      <c r="EM97">
        <v>7052</v>
      </c>
      <c r="EO97">
        <v>250</v>
      </c>
      <c r="ES97">
        <v>100</v>
      </c>
      <c r="EW97">
        <v>2550</v>
      </c>
      <c r="EY97">
        <v>190</v>
      </c>
      <c r="FC97">
        <v>50</v>
      </c>
      <c r="FG97">
        <v>9375</v>
      </c>
      <c r="FK97">
        <v>50</v>
      </c>
      <c r="FQ97">
        <v>225</v>
      </c>
      <c r="GA97">
        <v>1027</v>
      </c>
      <c r="GK97">
        <v>4500</v>
      </c>
      <c r="GN97">
        <f t="shared" si="1"/>
        <v>63247</v>
      </c>
    </row>
    <row r="98" spans="1:196" x14ac:dyDescent="0.25">
      <c r="A98" s="4">
        <f>DATE(2024,3,18)</f>
        <v>45369</v>
      </c>
      <c r="BU98">
        <v>2200</v>
      </c>
      <c r="BW98">
        <v>175</v>
      </c>
      <c r="CC98">
        <v>1000</v>
      </c>
      <c r="CE98">
        <v>4525</v>
      </c>
      <c r="CI98">
        <v>650</v>
      </c>
      <c r="CO98">
        <v>4775</v>
      </c>
      <c r="CQ98">
        <v>200</v>
      </c>
      <c r="CY98">
        <v>2925</v>
      </c>
      <c r="DA98">
        <v>550</v>
      </c>
      <c r="DE98">
        <v>125</v>
      </c>
      <c r="DI98">
        <v>4925</v>
      </c>
      <c r="DK98">
        <v>200</v>
      </c>
      <c r="DM98">
        <v>50</v>
      </c>
      <c r="DO98">
        <v>250</v>
      </c>
      <c r="DQ98">
        <v>225</v>
      </c>
      <c r="DS98">
        <v>6998</v>
      </c>
      <c r="DT98">
        <v>50</v>
      </c>
      <c r="DU98">
        <v>125</v>
      </c>
      <c r="DW98">
        <v>400</v>
      </c>
      <c r="DY98">
        <v>100</v>
      </c>
      <c r="EC98">
        <v>6780</v>
      </c>
      <c r="EE98">
        <v>100</v>
      </c>
      <c r="EG98">
        <v>200</v>
      </c>
      <c r="EI98">
        <v>50</v>
      </c>
      <c r="EK98">
        <v>300</v>
      </c>
      <c r="EM98">
        <v>7552</v>
      </c>
      <c r="EO98">
        <v>250</v>
      </c>
      <c r="ES98">
        <v>100</v>
      </c>
      <c r="EW98">
        <v>2600</v>
      </c>
      <c r="EY98">
        <v>190</v>
      </c>
      <c r="FC98">
        <v>50</v>
      </c>
      <c r="FG98">
        <v>9375</v>
      </c>
      <c r="FK98">
        <v>50</v>
      </c>
      <c r="FQ98">
        <v>225</v>
      </c>
      <c r="GA98">
        <v>1027</v>
      </c>
      <c r="GK98">
        <v>4500</v>
      </c>
      <c r="GN98">
        <f t="shared" si="1"/>
        <v>63797</v>
      </c>
    </row>
    <row r="99" spans="1:196" x14ac:dyDescent="0.25">
      <c r="A99" s="4">
        <f>DATE(2024,3,15)</f>
        <v>45366</v>
      </c>
      <c r="BU99">
        <v>2200</v>
      </c>
      <c r="BW99">
        <v>175</v>
      </c>
      <c r="CC99">
        <v>1000</v>
      </c>
      <c r="CE99">
        <v>3475</v>
      </c>
      <c r="CI99">
        <v>650</v>
      </c>
      <c r="CO99">
        <v>4775</v>
      </c>
      <c r="CQ99">
        <v>200</v>
      </c>
      <c r="CY99">
        <v>3125</v>
      </c>
      <c r="DA99">
        <v>550</v>
      </c>
      <c r="DE99">
        <v>125</v>
      </c>
      <c r="DI99">
        <v>4925</v>
      </c>
      <c r="DK99">
        <v>200</v>
      </c>
      <c r="DM99">
        <v>50</v>
      </c>
      <c r="DO99">
        <v>250</v>
      </c>
      <c r="DQ99">
        <v>225</v>
      </c>
      <c r="DS99">
        <v>6998</v>
      </c>
      <c r="DT99">
        <v>50</v>
      </c>
      <c r="DU99">
        <v>125</v>
      </c>
      <c r="DW99">
        <v>400</v>
      </c>
      <c r="DY99">
        <v>100</v>
      </c>
      <c r="EC99">
        <v>6780</v>
      </c>
      <c r="EE99">
        <v>100</v>
      </c>
      <c r="EG99">
        <v>200</v>
      </c>
      <c r="EI99">
        <v>50</v>
      </c>
      <c r="EK99">
        <v>300</v>
      </c>
      <c r="EM99">
        <v>7952</v>
      </c>
      <c r="EO99">
        <v>250</v>
      </c>
      <c r="ES99">
        <v>100</v>
      </c>
      <c r="EW99">
        <v>2600</v>
      </c>
      <c r="EY99">
        <v>190</v>
      </c>
      <c r="FC99">
        <v>50</v>
      </c>
      <c r="FG99">
        <v>9375</v>
      </c>
      <c r="FK99">
        <v>50</v>
      </c>
      <c r="FQ99">
        <v>225</v>
      </c>
      <c r="GA99">
        <v>1027</v>
      </c>
      <c r="GK99">
        <v>4500</v>
      </c>
      <c r="GN99">
        <f t="shared" si="1"/>
        <v>63347</v>
      </c>
    </row>
    <row r="100" spans="1:196" x14ac:dyDescent="0.25">
      <c r="A100" s="4">
        <f>DATE(2024,3,14)</f>
        <v>45365</v>
      </c>
      <c r="BU100">
        <v>2200</v>
      </c>
      <c r="BW100">
        <v>175</v>
      </c>
      <c r="CC100">
        <v>1000</v>
      </c>
      <c r="CE100">
        <v>2825</v>
      </c>
      <c r="CI100">
        <v>650</v>
      </c>
      <c r="CO100">
        <v>4775</v>
      </c>
      <c r="CQ100">
        <v>200</v>
      </c>
      <c r="CY100">
        <v>2625</v>
      </c>
      <c r="DA100">
        <v>550</v>
      </c>
      <c r="DE100">
        <v>125</v>
      </c>
      <c r="DI100">
        <v>4925</v>
      </c>
      <c r="DK100">
        <v>200</v>
      </c>
      <c r="DM100">
        <v>50</v>
      </c>
      <c r="DO100">
        <v>250</v>
      </c>
      <c r="DQ100">
        <v>225</v>
      </c>
      <c r="DS100">
        <v>6948</v>
      </c>
      <c r="DT100">
        <v>50</v>
      </c>
      <c r="DU100">
        <v>125</v>
      </c>
      <c r="DW100">
        <v>400</v>
      </c>
      <c r="DY100">
        <v>100</v>
      </c>
      <c r="EC100">
        <v>6805</v>
      </c>
      <c r="EE100">
        <v>100</v>
      </c>
      <c r="EG100">
        <v>200</v>
      </c>
      <c r="EI100">
        <v>50</v>
      </c>
      <c r="EK100">
        <v>300</v>
      </c>
      <c r="EM100">
        <v>7952</v>
      </c>
      <c r="EO100">
        <v>250</v>
      </c>
      <c r="ES100">
        <v>100</v>
      </c>
      <c r="EW100">
        <v>2900</v>
      </c>
      <c r="EY100">
        <v>190</v>
      </c>
      <c r="FC100">
        <v>50</v>
      </c>
      <c r="FG100">
        <v>9375</v>
      </c>
      <c r="FK100">
        <v>50</v>
      </c>
      <c r="FQ100">
        <v>225</v>
      </c>
      <c r="GA100">
        <v>1027</v>
      </c>
      <c r="GK100">
        <v>4500</v>
      </c>
      <c r="GN100">
        <f t="shared" si="1"/>
        <v>62472</v>
      </c>
    </row>
    <row r="101" spans="1:196" x14ac:dyDescent="0.25">
      <c r="A101" s="4">
        <f>DATE(2024,3,13)</f>
        <v>45364</v>
      </c>
      <c r="BU101">
        <v>2200</v>
      </c>
      <c r="BW101">
        <v>175</v>
      </c>
      <c r="CC101">
        <v>750</v>
      </c>
      <c r="CE101">
        <v>2225</v>
      </c>
      <c r="CI101">
        <v>650</v>
      </c>
      <c r="CO101">
        <v>3825</v>
      </c>
      <c r="CQ101">
        <v>200</v>
      </c>
      <c r="CY101">
        <v>2650</v>
      </c>
      <c r="DA101">
        <v>550</v>
      </c>
      <c r="DE101">
        <v>125</v>
      </c>
      <c r="DI101">
        <v>4175</v>
      </c>
      <c r="DK101">
        <v>200</v>
      </c>
      <c r="DM101">
        <v>50</v>
      </c>
      <c r="DO101">
        <v>250</v>
      </c>
      <c r="DQ101">
        <v>225</v>
      </c>
      <c r="DS101">
        <v>7698</v>
      </c>
      <c r="DT101">
        <v>50</v>
      </c>
      <c r="DU101">
        <v>125</v>
      </c>
      <c r="DW101">
        <v>400</v>
      </c>
      <c r="DY101">
        <v>100</v>
      </c>
      <c r="EC101">
        <v>6855</v>
      </c>
      <c r="EE101">
        <v>100</v>
      </c>
      <c r="EG101">
        <v>200</v>
      </c>
      <c r="EI101">
        <v>50</v>
      </c>
      <c r="EK101">
        <v>300</v>
      </c>
      <c r="EM101">
        <v>7952</v>
      </c>
      <c r="EO101">
        <v>250</v>
      </c>
      <c r="ES101">
        <v>100</v>
      </c>
      <c r="EW101">
        <v>2900</v>
      </c>
      <c r="EY101">
        <v>190</v>
      </c>
      <c r="FC101">
        <v>50</v>
      </c>
      <c r="FG101">
        <v>9275</v>
      </c>
      <c r="FK101">
        <v>50</v>
      </c>
      <c r="FQ101">
        <v>225</v>
      </c>
      <c r="GA101">
        <v>1027</v>
      </c>
      <c r="GK101">
        <v>4500</v>
      </c>
      <c r="GN101">
        <f t="shared" si="1"/>
        <v>60647</v>
      </c>
    </row>
    <row r="102" spans="1:196" x14ac:dyDescent="0.25">
      <c r="A102" s="4">
        <f>DATE(2024,3,12)</f>
        <v>45363</v>
      </c>
      <c r="BU102">
        <v>2100</v>
      </c>
      <c r="BW102">
        <v>175</v>
      </c>
      <c r="CC102">
        <v>750</v>
      </c>
      <c r="CE102">
        <v>2175</v>
      </c>
      <c r="CI102">
        <v>650</v>
      </c>
      <c r="CO102">
        <v>3775</v>
      </c>
      <c r="CQ102">
        <v>200</v>
      </c>
      <c r="CY102">
        <v>2800</v>
      </c>
      <c r="DA102">
        <v>550</v>
      </c>
      <c r="DE102">
        <v>125</v>
      </c>
      <c r="DI102">
        <v>4125</v>
      </c>
      <c r="DK102">
        <v>200</v>
      </c>
      <c r="DM102">
        <v>50</v>
      </c>
      <c r="DO102">
        <v>250</v>
      </c>
      <c r="DQ102">
        <v>225</v>
      </c>
      <c r="DS102">
        <v>7698</v>
      </c>
      <c r="DT102">
        <v>50</v>
      </c>
      <c r="DU102">
        <v>125</v>
      </c>
      <c r="DW102">
        <v>400</v>
      </c>
      <c r="DY102">
        <v>100</v>
      </c>
      <c r="EC102">
        <v>6855</v>
      </c>
      <c r="EE102">
        <v>100</v>
      </c>
      <c r="EG102">
        <v>200</v>
      </c>
      <c r="EI102">
        <v>50</v>
      </c>
      <c r="EK102">
        <v>300</v>
      </c>
      <c r="EM102">
        <v>7952</v>
      </c>
      <c r="EO102">
        <v>250</v>
      </c>
      <c r="ES102">
        <v>100</v>
      </c>
      <c r="EW102">
        <v>2900</v>
      </c>
      <c r="EY102">
        <v>190</v>
      </c>
      <c r="FC102">
        <v>50</v>
      </c>
      <c r="FG102">
        <v>9275</v>
      </c>
      <c r="FK102">
        <v>50</v>
      </c>
      <c r="FQ102">
        <v>225</v>
      </c>
      <c r="GA102">
        <v>1027</v>
      </c>
      <c r="GK102">
        <v>4500</v>
      </c>
      <c r="GN102">
        <f t="shared" si="1"/>
        <v>60547</v>
      </c>
    </row>
    <row r="103" spans="1:196" x14ac:dyDescent="0.25">
      <c r="A103" s="4">
        <f>DATE(2024,3,11)</f>
        <v>45362</v>
      </c>
      <c r="BU103">
        <v>2100</v>
      </c>
      <c r="BW103">
        <v>175</v>
      </c>
      <c r="CE103">
        <v>2175</v>
      </c>
      <c r="CI103">
        <v>650</v>
      </c>
      <c r="CO103">
        <v>3775</v>
      </c>
      <c r="CQ103">
        <v>200</v>
      </c>
      <c r="CY103">
        <v>2800</v>
      </c>
      <c r="DA103">
        <v>550</v>
      </c>
      <c r="DE103">
        <v>125</v>
      </c>
      <c r="DI103">
        <v>4125</v>
      </c>
      <c r="DK103">
        <v>200</v>
      </c>
      <c r="DM103">
        <v>50</v>
      </c>
      <c r="DO103">
        <v>250</v>
      </c>
      <c r="DQ103">
        <v>225</v>
      </c>
      <c r="DS103">
        <v>7698</v>
      </c>
      <c r="DT103">
        <v>50</v>
      </c>
      <c r="DU103">
        <v>125</v>
      </c>
      <c r="DW103">
        <v>400</v>
      </c>
      <c r="DY103">
        <v>100</v>
      </c>
      <c r="EC103">
        <v>6855</v>
      </c>
      <c r="EE103">
        <v>100</v>
      </c>
      <c r="EG103">
        <v>200</v>
      </c>
      <c r="EI103">
        <v>50</v>
      </c>
      <c r="EK103">
        <v>300</v>
      </c>
      <c r="EM103">
        <v>7952</v>
      </c>
      <c r="EO103">
        <v>250</v>
      </c>
      <c r="ES103">
        <v>100</v>
      </c>
      <c r="EW103">
        <v>2900</v>
      </c>
      <c r="EY103">
        <v>190</v>
      </c>
      <c r="FC103">
        <v>50</v>
      </c>
      <c r="FG103">
        <v>9275</v>
      </c>
      <c r="FK103">
        <v>50</v>
      </c>
      <c r="FQ103">
        <v>225</v>
      </c>
      <c r="GA103">
        <v>1027</v>
      </c>
      <c r="GK103">
        <v>4500</v>
      </c>
      <c r="GN103">
        <f t="shared" si="1"/>
        <v>59797</v>
      </c>
    </row>
    <row r="104" spans="1:196" x14ac:dyDescent="0.25">
      <c r="A104" s="4">
        <f>DATE(2024,3,8)</f>
        <v>45359</v>
      </c>
      <c r="BU104">
        <v>2100</v>
      </c>
      <c r="BW104">
        <v>175</v>
      </c>
      <c r="CE104">
        <v>2250</v>
      </c>
      <c r="CI104">
        <v>650</v>
      </c>
      <c r="CO104">
        <v>3775</v>
      </c>
      <c r="CQ104">
        <v>200</v>
      </c>
      <c r="CY104">
        <v>2800</v>
      </c>
      <c r="DA104">
        <v>550</v>
      </c>
      <c r="DE104">
        <v>125</v>
      </c>
      <c r="DI104">
        <v>4125</v>
      </c>
      <c r="DK104">
        <v>200</v>
      </c>
      <c r="DM104">
        <v>50</v>
      </c>
      <c r="DO104">
        <v>250</v>
      </c>
      <c r="DQ104">
        <v>225</v>
      </c>
      <c r="DS104">
        <v>7698</v>
      </c>
      <c r="DT104">
        <v>50</v>
      </c>
      <c r="DU104">
        <v>125</v>
      </c>
      <c r="DW104">
        <v>400</v>
      </c>
      <c r="DY104">
        <v>100</v>
      </c>
      <c r="EC104">
        <v>6855</v>
      </c>
      <c r="EE104">
        <v>100</v>
      </c>
      <c r="EG104">
        <v>200</v>
      </c>
      <c r="EI104">
        <v>50</v>
      </c>
      <c r="EK104">
        <v>300</v>
      </c>
      <c r="EM104">
        <v>7952</v>
      </c>
      <c r="EO104">
        <v>250</v>
      </c>
      <c r="ES104">
        <v>100</v>
      </c>
      <c r="EW104">
        <v>2900</v>
      </c>
      <c r="EY104">
        <v>190</v>
      </c>
      <c r="FC104">
        <v>50</v>
      </c>
      <c r="FG104">
        <v>9275</v>
      </c>
      <c r="FK104">
        <v>50</v>
      </c>
      <c r="FQ104">
        <v>225</v>
      </c>
      <c r="GA104">
        <v>1027</v>
      </c>
      <c r="GK104">
        <v>4500</v>
      </c>
      <c r="GN104">
        <f t="shared" si="1"/>
        <v>59872</v>
      </c>
    </row>
    <row r="105" spans="1:196" x14ac:dyDescent="0.25">
      <c r="A105" s="4">
        <f>DATE(2024,3,7)</f>
        <v>45358</v>
      </c>
      <c r="BU105">
        <v>2100</v>
      </c>
      <c r="BW105">
        <v>175</v>
      </c>
      <c r="CE105">
        <v>2250</v>
      </c>
      <c r="CI105">
        <v>650</v>
      </c>
      <c r="CO105">
        <v>3775</v>
      </c>
      <c r="CQ105">
        <v>200</v>
      </c>
      <c r="CY105">
        <v>2300</v>
      </c>
      <c r="DA105">
        <v>550</v>
      </c>
      <c r="DE105">
        <v>125</v>
      </c>
      <c r="DI105">
        <v>4125</v>
      </c>
      <c r="DK105">
        <v>200</v>
      </c>
      <c r="DM105">
        <v>50</v>
      </c>
      <c r="DO105">
        <v>250</v>
      </c>
      <c r="DQ105">
        <v>225</v>
      </c>
      <c r="DS105">
        <v>7723</v>
      </c>
      <c r="DT105">
        <v>50</v>
      </c>
      <c r="DU105">
        <v>125</v>
      </c>
      <c r="DW105">
        <v>400</v>
      </c>
      <c r="DY105">
        <v>100</v>
      </c>
      <c r="EC105">
        <v>6855</v>
      </c>
      <c r="EE105">
        <v>100</v>
      </c>
      <c r="EG105">
        <v>200</v>
      </c>
      <c r="EI105">
        <v>50</v>
      </c>
      <c r="EK105">
        <v>300</v>
      </c>
      <c r="EM105">
        <v>8025</v>
      </c>
      <c r="EO105">
        <v>250</v>
      </c>
      <c r="ES105">
        <v>100</v>
      </c>
      <c r="EW105">
        <v>2900</v>
      </c>
      <c r="EY105">
        <v>190</v>
      </c>
      <c r="FC105">
        <v>50</v>
      </c>
      <c r="FG105">
        <v>9275</v>
      </c>
      <c r="FK105">
        <v>50</v>
      </c>
      <c r="FQ105">
        <v>225</v>
      </c>
      <c r="GA105">
        <v>1027</v>
      </c>
      <c r="GK105">
        <v>4500</v>
      </c>
      <c r="GN105">
        <f t="shared" si="1"/>
        <v>59470</v>
      </c>
    </row>
    <row r="106" spans="1:196" x14ac:dyDescent="0.25">
      <c r="A106" s="4">
        <f>DATE(2024,3,6)</f>
        <v>45357</v>
      </c>
      <c r="BU106">
        <v>2100</v>
      </c>
      <c r="BW106">
        <v>175</v>
      </c>
      <c r="CE106">
        <v>2100</v>
      </c>
      <c r="CI106">
        <v>650</v>
      </c>
      <c r="CO106">
        <v>3775</v>
      </c>
      <c r="CQ106">
        <v>200</v>
      </c>
      <c r="CY106">
        <v>2250</v>
      </c>
      <c r="DA106">
        <v>550</v>
      </c>
      <c r="DE106">
        <v>125</v>
      </c>
      <c r="DI106">
        <v>4125</v>
      </c>
      <c r="DK106">
        <v>200</v>
      </c>
      <c r="DM106">
        <v>50</v>
      </c>
      <c r="DO106">
        <v>250</v>
      </c>
      <c r="DQ106">
        <v>225</v>
      </c>
      <c r="DS106">
        <v>7723</v>
      </c>
      <c r="DT106">
        <v>50</v>
      </c>
      <c r="DU106">
        <v>125</v>
      </c>
      <c r="DW106">
        <v>400</v>
      </c>
      <c r="DY106">
        <v>100</v>
      </c>
      <c r="EC106">
        <v>6855</v>
      </c>
      <c r="EE106">
        <v>100</v>
      </c>
      <c r="EG106">
        <v>200</v>
      </c>
      <c r="EI106">
        <v>50</v>
      </c>
      <c r="EK106">
        <v>300</v>
      </c>
      <c r="EM106">
        <v>8025</v>
      </c>
      <c r="EO106">
        <v>250</v>
      </c>
      <c r="ES106">
        <v>100</v>
      </c>
      <c r="EW106">
        <v>2950</v>
      </c>
      <c r="EY106">
        <v>190</v>
      </c>
      <c r="FC106">
        <v>50</v>
      </c>
      <c r="FG106">
        <v>9275</v>
      </c>
      <c r="FK106">
        <v>50</v>
      </c>
      <c r="FQ106">
        <v>225</v>
      </c>
      <c r="GA106">
        <v>1027</v>
      </c>
      <c r="GK106">
        <v>4500</v>
      </c>
      <c r="GN106">
        <f t="shared" si="1"/>
        <v>59320</v>
      </c>
    </row>
    <row r="107" spans="1:196" x14ac:dyDescent="0.25">
      <c r="A107" s="4">
        <f>DATE(2024,3,5)</f>
        <v>45356</v>
      </c>
      <c r="BU107">
        <v>2100</v>
      </c>
      <c r="BW107">
        <v>175</v>
      </c>
      <c r="CE107">
        <v>2100</v>
      </c>
      <c r="CI107">
        <v>650</v>
      </c>
      <c r="CO107">
        <v>3775</v>
      </c>
      <c r="CQ107">
        <v>200</v>
      </c>
      <c r="CY107">
        <v>2100</v>
      </c>
      <c r="DA107">
        <v>550</v>
      </c>
      <c r="DE107">
        <v>125</v>
      </c>
      <c r="DI107">
        <v>3925</v>
      </c>
      <c r="DK107">
        <v>200</v>
      </c>
      <c r="DM107">
        <v>50</v>
      </c>
      <c r="DO107">
        <v>250</v>
      </c>
      <c r="DQ107">
        <v>225</v>
      </c>
      <c r="DS107">
        <v>7723</v>
      </c>
      <c r="DT107">
        <v>50</v>
      </c>
      <c r="DU107">
        <v>125</v>
      </c>
      <c r="DW107">
        <v>400</v>
      </c>
      <c r="DY107">
        <v>100</v>
      </c>
      <c r="EC107">
        <v>6855</v>
      </c>
      <c r="EE107">
        <v>100</v>
      </c>
      <c r="EG107">
        <v>200</v>
      </c>
      <c r="EI107">
        <v>50</v>
      </c>
      <c r="EK107">
        <v>300</v>
      </c>
      <c r="EM107">
        <v>8025</v>
      </c>
      <c r="EO107">
        <v>250</v>
      </c>
      <c r="ES107">
        <v>100</v>
      </c>
      <c r="EW107">
        <v>2950</v>
      </c>
      <c r="EY107">
        <v>190</v>
      </c>
      <c r="FC107">
        <v>50</v>
      </c>
      <c r="FG107">
        <v>9275</v>
      </c>
      <c r="FK107">
        <v>50</v>
      </c>
      <c r="FQ107">
        <v>225</v>
      </c>
      <c r="GA107">
        <v>1027</v>
      </c>
      <c r="GK107">
        <v>4500</v>
      </c>
      <c r="GN107">
        <f t="shared" si="1"/>
        <v>58970</v>
      </c>
    </row>
    <row r="108" spans="1:196" x14ac:dyDescent="0.25">
      <c r="A108" s="4">
        <f>DATE(2024,3,4)</f>
        <v>45355</v>
      </c>
      <c r="BU108">
        <v>2100</v>
      </c>
      <c r="BW108">
        <v>175</v>
      </c>
      <c r="CE108">
        <v>2075</v>
      </c>
      <c r="CI108">
        <v>650</v>
      </c>
      <c r="CO108">
        <v>3775</v>
      </c>
      <c r="CQ108">
        <v>200</v>
      </c>
      <c r="CY108">
        <v>2350</v>
      </c>
      <c r="DA108">
        <v>550</v>
      </c>
      <c r="DE108">
        <v>125</v>
      </c>
      <c r="DI108">
        <v>3925</v>
      </c>
      <c r="DK108">
        <v>200</v>
      </c>
      <c r="DM108">
        <v>50</v>
      </c>
      <c r="DO108">
        <v>250</v>
      </c>
      <c r="DQ108">
        <v>225</v>
      </c>
      <c r="DS108">
        <v>8223</v>
      </c>
      <c r="DT108">
        <v>50</v>
      </c>
      <c r="DU108">
        <v>125</v>
      </c>
      <c r="DW108">
        <v>400</v>
      </c>
      <c r="DY108">
        <v>100</v>
      </c>
      <c r="EC108">
        <v>6855</v>
      </c>
      <c r="EE108">
        <v>100</v>
      </c>
      <c r="EG108">
        <v>200</v>
      </c>
      <c r="EI108">
        <v>50</v>
      </c>
      <c r="EK108">
        <v>300</v>
      </c>
      <c r="EM108">
        <v>8025</v>
      </c>
      <c r="EO108">
        <v>250</v>
      </c>
      <c r="ES108">
        <v>100</v>
      </c>
      <c r="EW108">
        <v>2950</v>
      </c>
      <c r="EY108">
        <v>190</v>
      </c>
      <c r="FC108">
        <v>50</v>
      </c>
      <c r="FG108">
        <v>9275</v>
      </c>
      <c r="FK108">
        <v>50</v>
      </c>
      <c r="FQ108">
        <v>225</v>
      </c>
      <c r="GA108">
        <v>1027</v>
      </c>
      <c r="GK108">
        <v>4500</v>
      </c>
      <c r="GN108">
        <f t="shared" si="1"/>
        <v>59695</v>
      </c>
    </row>
    <row r="109" spans="1:196" x14ac:dyDescent="0.25">
      <c r="A109" s="4">
        <f>DATE(2024,3,1)</f>
        <v>45352</v>
      </c>
      <c r="BU109">
        <v>2100</v>
      </c>
      <c r="BW109">
        <v>25</v>
      </c>
      <c r="CE109">
        <v>2075</v>
      </c>
      <c r="CI109">
        <v>650</v>
      </c>
      <c r="CO109">
        <v>3775</v>
      </c>
      <c r="CQ109">
        <v>200</v>
      </c>
      <c r="CY109">
        <v>2350</v>
      </c>
      <c r="DA109">
        <v>550</v>
      </c>
      <c r="DE109">
        <v>125</v>
      </c>
      <c r="DI109">
        <v>3925</v>
      </c>
      <c r="DK109">
        <v>200</v>
      </c>
      <c r="DM109">
        <v>50</v>
      </c>
      <c r="DO109">
        <v>250</v>
      </c>
      <c r="DQ109">
        <v>225</v>
      </c>
      <c r="DS109">
        <v>8120</v>
      </c>
      <c r="DT109">
        <v>50</v>
      </c>
      <c r="DU109">
        <v>125</v>
      </c>
      <c r="DW109">
        <v>400</v>
      </c>
      <c r="DY109">
        <v>100</v>
      </c>
      <c r="EC109">
        <v>6855</v>
      </c>
      <c r="EE109">
        <v>100</v>
      </c>
      <c r="EG109">
        <v>200</v>
      </c>
      <c r="EI109">
        <v>50</v>
      </c>
      <c r="EK109">
        <v>300</v>
      </c>
      <c r="EM109">
        <v>8025</v>
      </c>
      <c r="EO109">
        <v>250</v>
      </c>
      <c r="ES109">
        <v>100</v>
      </c>
      <c r="EW109">
        <v>2950</v>
      </c>
      <c r="EY109">
        <v>190</v>
      </c>
      <c r="FC109">
        <v>50</v>
      </c>
      <c r="FG109">
        <v>9275</v>
      </c>
      <c r="FK109">
        <v>50</v>
      </c>
      <c r="FQ109">
        <v>225</v>
      </c>
      <c r="GA109">
        <v>1027</v>
      </c>
      <c r="GK109">
        <v>4500</v>
      </c>
      <c r="GN109">
        <f t="shared" si="1"/>
        <v>59442</v>
      </c>
    </row>
    <row r="110" spans="1:196" x14ac:dyDescent="0.25">
      <c r="A110" s="4">
        <f>DATE(2024,2,29)</f>
        <v>45351</v>
      </c>
      <c r="BU110">
        <v>2100</v>
      </c>
      <c r="BW110">
        <v>25</v>
      </c>
      <c r="CE110">
        <v>2000</v>
      </c>
      <c r="CI110">
        <v>650</v>
      </c>
      <c r="CO110">
        <v>3775</v>
      </c>
      <c r="CQ110">
        <v>200</v>
      </c>
      <c r="CY110">
        <v>2350</v>
      </c>
      <c r="DA110">
        <v>550</v>
      </c>
      <c r="DE110">
        <v>125</v>
      </c>
      <c r="DI110">
        <v>3925</v>
      </c>
      <c r="DK110">
        <v>200</v>
      </c>
      <c r="DM110">
        <v>50</v>
      </c>
      <c r="DO110">
        <v>250</v>
      </c>
      <c r="DQ110">
        <v>225</v>
      </c>
      <c r="DS110">
        <v>8120</v>
      </c>
      <c r="DT110">
        <v>50</v>
      </c>
      <c r="DU110">
        <v>125</v>
      </c>
      <c r="DW110">
        <v>400</v>
      </c>
      <c r="DY110">
        <v>100</v>
      </c>
      <c r="EC110">
        <v>6855</v>
      </c>
      <c r="EE110">
        <v>100</v>
      </c>
      <c r="EG110">
        <v>200</v>
      </c>
      <c r="EI110">
        <v>50</v>
      </c>
      <c r="EK110">
        <v>300</v>
      </c>
      <c r="EM110">
        <v>8042</v>
      </c>
      <c r="EO110">
        <v>250</v>
      </c>
      <c r="ES110">
        <v>100</v>
      </c>
      <c r="EW110">
        <v>2950</v>
      </c>
      <c r="EY110">
        <v>190</v>
      </c>
      <c r="FC110">
        <v>50</v>
      </c>
      <c r="FG110">
        <v>9275</v>
      </c>
      <c r="FK110">
        <v>50</v>
      </c>
      <c r="FQ110">
        <v>225</v>
      </c>
      <c r="GA110">
        <v>1027</v>
      </c>
      <c r="GK110">
        <v>4500</v>
      </c>
      <c r="GN110">
        <f t="shared" si="1"/>
        <v>59384</v>
      </c>
    </row>
    <row r="111" spans="1:196" x14ac:dyDescent="0.25">
      <c r="A111" s="4">
        <f>DATE(2024,2,28)</f>
        <v>45350</v>
      </c>
      <c r="BU111">
        <v>1850</v>
      </c>
      <c r="BW111">
        <v>25</v>
      </c>
      <c r="CE111">
        <v>1825</v>
      </c>
      <c r="CI111">
        <v>650</v>
      </c>
      <c r="CO111">
        <v>3525</v>
      </c>
      <c r="CQ111">
        <v>200</v>
      </c>
      <c r="CY111">
        <v>2100</v>
      </c>
      <c r="DA111">
        <v>550</v>
      </c>
      <c r="DE111">
        <v>125</v>
      </c>
      <c r="DI111">
        <v>3925</v>
      </c>
      <c r="DK111">
        <v>200</v>
      </c>
      <c r="DM111">
        <v>50</v>
      </c>
      <c r="DO111">
        <v>250</v>
      </c>
      <c r="DQ111">
        <v>225</v>
      </c>
      <c r="DS111">
        <v>8070</v>
      </c>
      <c r="DT111">
        <v>50</v>
      </c>
      <c r="DU111">
        <v>125</v>
      </c>
      <c r="DW111">
        <v>400</v>
      </c>
      <c r="DY111">
        <v>100</v>
      </c>
      <c r="EC111">
        <v>6855</v>
      </c>
      <c r="EE111">
        <v>100</v>
      </c>
      <c r="EG111">
        <v>200</v>
      </c>
      <c r="EI111">
        <v>50</v>
      </c>
      <c r="EK111">
        <v>300</v>
      </c>
      <c r="EM111">
        <v>8092</v>
      </c>
      <c r="EO111">
        <v>250</v>
      </c>
      <c r="ES111">
        <v>100</v>
      </c>
      <c r="EW111">
        <v>2950</v>
      </c>
      <c r="EY111">
        <v>190</v>
      </c>
      <c r="FC111">
        <v>50</v>
      </c>
      <c r="FG111">
        <v>9275</v>
      </c>
      <c r="FK111">
        <v>50</v>
      </c>
      <c r="FQ111">
        <v>225</v>
      </c>
      <c r="GA111">
        <v>1027</v>
      </c>
      <c r="GK111">
        <v>4500</v>
      </c>
      <c r="GN111">
        <f t="shared" si="1"/>
        <v>58459</v>
      </c>
    </row>
    <row r="112" spans="1:196" x14ac:dyDescent="0.25">
      <c r="A112" s="4">
        <f>DATE(2024,2,27)</f>
        <v>45349</v>
      </c>
      <c r="BU112">
        <v>1850</v>
      </c>
      <c r="BW112">
        <v>25</v>
      </c>
      <c r="CE112">
        <v>1825</v>
      </c>
      <c r="CI112">
        <v>650</v>
      </c>
      <c r="CO112">
        <v>3525</v>
      </c>
      <c r="CQ112">
        <v>200</v>
      </c>
      <c r="CY112">
        <v>1850</v>
      </c>
      <c r="DA112">
        <v>550</v>
      </c>
      <c r="DE112">
        <v>125</v>
      </c>
      <c r="DI112">
        <v>3825</v>
      </c>
      <c r="DK112">
        <v>200</v>
      </c>
      <c r="DM112">
        <v>50</v>
      </c>
      <c r="DO112">
        <v>250</v>
      </c>
      <c r="DQ112">
        <v>225</v>
      </c>
      <c r="DS112">
        <v>7970</v>
      </c>
      <c r="DT112">
        <v>50</v>
      </c>
      <c r="DU112">
        <v>125</v>
      </c>
      <c r="DW112">
        <v>400</v>
      </c>
      <c r="DY112">
        <v>100</v>
      </c>
      <c r="EC112">
        <v>6855</v>
      </c>
      <c r="EE112">
        <v>100</v>
      </c>
      <c r="EG112">
        <v>200</v>
      </c>
      <c r="EI112">
        <v>50</v>
      </c>
      <c r="EK112">
        <v>300</v>
      </c>
      <c r="EM112">
        <v>7717</v>
      </c>
      <c r="EO112">
        <v>250</v>
      </c>
      <c r="ES112">
        <v>100</v>
      </c>
      <c r="EW112">
        <v>2950</v>
      </c>
      <c r="EY112">
        <v>190</v>
      </c>
      <c r="FC112">
        <v>50</v>
      </c>
      <c r="FG112">
        <v>9275</v>
      </c>
      <c r="FK112">
        <v>50</v>
      </c>
      <c r="FQ112">
        <v>225</v>
      </c>
      <c r="GA112">
        <v>1027</v>
      </c>
      <c r="GK112">
        <v>4500</v>
      </c>
      <c r="GN112">
        <f t="shared" si="1"/>
        <v>57634</v>
      </c>
    </row>
    <row r="113" spans="1:196" x14ac:dyDescent="0.25">
      <c r="A113" s="4">
        <f>DATE(2024,2,26)</f>
        <v>45348</v>
      </c>
      <c r="BU113">
        <v>1500</v>
      </c>
      <c r="BW113">
        <v>25</v>
      </c>
      <c r="CE113">
        <v>1825</v>
      </c>
      <c r="CI113">
        <v>650</v>
      </c>
      <c r="CO113">
        <v>3525</v>
      </c>
      <c r="CQ113">
        <v>200</v>
      </c>
      <c r="CY113">
        <v>1600</v>
      </c>
      <c r="DA113">
        <v>550</v>
      </c>
      <c r="DE113">
        <v>125</v>
      </c>
      <c r="DI113">
        <v>3825</v>
      </c>
      <c r="DK113">
        <v>200</v>
      </c>
      <c r="DM113">
        <v>50</v>
      </c>
      <c r="DO113">
        <v>250</v>
      </c>
      <c r="DQ113">
        <v>225</v>
      </c>
      <c r="DS113">
        <v>7970</v>
      </c>
      <c r="DT113">
        <v>50</v>
      </c>
      <c r="DU113">
        <v>125</v>
      </c>
      <c r="DW113">
        <v>400</v>
      </c>
      <c r="DY113">
        <v>100</v>
      </c>
      <c r="EC113">
        <v>6855</v>
      </c>
      <c r="EE113">
        <v>100</v>
      </c>
      <c r="EG113">
        <v>200</v>
      </c>
      <c r="EI113">
        <v>50</v>
      </c>
      <c r="EK113">
        <v>300</v>
      </c>
      <c r="EM113">
        <v>7717</v>
      </c>
      <c r="EO113">
        <v>250</v>
      </c>
      <c r="ES113">
        <v>100</v>
      </c>
      <c r="EW113">
        <v>2950</v>
      </c>
      <c r="EY113">
        <v>190</v>
      </c>
      <c r="FC113">
        <v>50</v>
      </c>
      <c r="FG113">
        <v>9275</v>
      </c>
      <c r="FK113">
        <v>50</v>
      </c>
      <c r="FQ113">
        <v>225</v>
      </c>
      <c r="GA113">
        <v>1027</v>
      </c>
      <c r="GK113">
        <v>4500</v>
      </c>
      <c r="GN113">
        <f t="shared" si="1"/>
        <v>57034</v>
      </c>
    </row>
    <row r="114" spans="1:196" x14ac:dyDescent="0.25">
      <c r="A114" s="4">
        <f>DATE(2024,2,23)</f>
        <v>45345</v>
      </c>
      <c r="BU114">
        <v>625</v>
      </c>
      <c r="BW114">
        <v>25</v>
      </c>
      <c r="CE114">
        <v>2225</v>
      </c>
      <c r="CI114">
        <v>650</v>
      </c>
      <c r="CO114">
        <v>3525</v>
      </c>
      <c r="CQ114">
        <v>200</v>
      </c>
      <c r="CY114">
        <v>2100</v>
      </c>
      <c r="DA114">
        <v>550</v>
      </c>
      <c r="DE114">
        <v>125</v>
      </c>
      <c r="DI114">
        <v>3825</v>
      </c>
      <c r="DK114">
        <v>200</v>
      </c>
      <c r="DM114">
        <v>50</v>
      </c>
      <c r="DO114">
        <v>250</v>
      </c>
      <c r="DQ114">
        <v>225</v>
      </c>
      <c r="DS114">
        <v>7970</v>
      </c>
      <c r="DT114">
        <v>50</v>
      </c>
      <c r="DU114">
        <v>125</v>
      </c>
      <c r="DW114">
        <v>400</v>
      </c>
      <c r="DY114">
        <v>100</v>
      </c>
      <c r="EC114">
        <v>6855</v>
      </c>
      <c r="EE114">
        <v>100</v>
      </c>
      <c r="EG114">
        <v>200</v>
      </c>
      <c r="EI114">
        <v>50</v>
      </c>
      <c r="EK114">
        <v>300</v>
      </c>
      <c r="EM114">
        <v>7717</v>
      </c>
      <c r="EO114">
        <v>250</v>
      </c>
      <c r="ES114">
        <v>100</v>
      </c>
      <c r="EW114">
        <v>2950</v>
      </c>
      <c r="EY114">
        <v>190</v>
      </c>
      <c r="FC114">
        <v>50</v>
      </c>
      <c r="FG114">
        <v>9275</v>
      </c>
      <c r="FK114">
        <v>50</v>
      </c>
      <c r="FQ114">
        <v>225</v>
      </c>
      <c r="GA114">
        <v>1027</v>
      </c>
      <c r="GK114">
        <v>4500</v>
      </c>
      <c r="GN114">
        <f t="shared" si="1"/>
        <v>57059</v>
      </c>
    </row>
    <row r="115" spans="1:196" x14ac:dyDescent="0.25">
      <c r="A115" s="4">
        <f>DATE(2024,2,22)</f>
        <v>45344</v>
      </c>
      <c r="BU115">
        <v>625</v>
      </c>
      <c r="BW115">
        <v>25</v>
      </c>
      <c r="CE115">
        <v>600</v>
      </c>
      <c r="CI115">
        <v>650</v>
      </c>
      <c r="CO115">
        <v>3525</v>
      </c>
      <c r="CQ115">
        <v>200</v>
      </c>
      <c r="CY115">
        <v>2100</v>
      </c>
      <c r="DA115">
        <v>550</v>
      </c>
      <c r="DE115">
        <v>125</v>
      </c>
      <c r="DI115">
        <v>3830</v>
      </c>
      <c r="DK115">
        <v>200</v>
      </c>
      <c r="DM115">
        <v>50</v>
      </c>
      <c r="DO115">
        <v>250</v>
      </c>
      <c r="DQ115">
        <v>225</v>
      </c>
      <c r="DS115">
        <v>7220</v>
      </c>
      <c r="DT115">
        <v>50</v>
      </c>
      <c r="DU115">
        <v>125</v>
      </c>
      <c r="DW115">
        <v>400</v>
      </c>
      <c r="DY115">
        <v>100</v>
      </c>
      <c r="EC115">
        <v>6755</v>
      </c>
      <c r="EE115">
        <v>100</v>
      </c>
      <c r="EG115">
        <v>200</v>
      </c>
      <c r="EI115">
        <v>50</v>
      </c>
      <c r="EK115">
        <v>300</v>
      </c>
      <c r="EM115">
        <v>7717</v>
      </c>
      <c r="EO115">
        <v>250</v>
      </c>
      <c r="ES115">
        <v>100</v>
      </c>
      <c r="EW115">
        <v>2700</v>
      </c>
      <c r="EY115">
        <v>190</v>
      </c>
      <c r="FC115">
        <v>50</v>
      </c>
      <c r="FG115">
        <v>9275</v>
      </c>
      <c r="FK115">
        <v>50</v>
      </c>
      <c r="FQ115">
        <v>225</v>
      </c>
      <c r="GA115">
        <v>1027</v>
      </c>
      <c r="GK115">
        <v>4500</v>
      </c>
      <c r="GN115">
        <f t="shared" si="1"/>
        <v>54339</v>
      </c>
    </row>
    <row r="116" spans="1:196" x14ac:dyDescent="0.25">
      <c r="A116" s="4">
        <f>DATE(2024,2,21)</f>
        <v>45343</v>
      </c>
      <c r="BU116">
        <v>625</v>
      </c>
      <c r="BW116">
        <v>25</v>
      </c>
      <c r="CE116">
        <v>500</v>
      </c>
      <c r="CI116">
        <v>650</v>
      </c>
      <c r="CO116">
        <v>3400</v>
      </c>
      <c r="CQ116">
        <v>200</v>
      </c>
      <c r="CY116">
        <v>1750</v>
      </c>
      <c r="DA116">
        <v>550</v>
      </c>
      <c r="DE116">
        <v>125</v>
      </c>
      <c r="DI116">
        <v>3830</v>
      </c>
      <c r="DK116">
        <v>200</v>
      </c>
      <c r="DM116">
        <v>50</v>
      </c>
      <c r="DO116">
        <v>250</v>
      </c>
      <c r="DQ116">
        <v>225</v>
      </c>
      <c r="DS116">
        <v>6720</v>
      </c>
      <c r="DT116">
        <v>50</v>
      </c>
      <c r="DU116">
        <v>125</v>
      </c>
      <c r="DW116">
        <v>400</v>
      </c>
      <c r="DY116">
        <v>100</v>
      </c>
      <c r="EC116">
        <v>7005</v>
      </c>
      <c r="EE116">
        <v>100</v>
      </c>
      <c r="EG116">
        <v>200</v>
      </c>
      <c r="EI116">
        <v>50</v>
      </c>
      <c r="EK116">
        <v>300</v>
      </c>
      <c r="EM116">
        <v>7717</v>
      </c>
      <c r="EO116">
        <v>250</v>
      </c>
      <c r="ES116">
        <v>100</v>
      </c>
      <c r="EW116">
        <v>2700</v>
      </c>
      <c r="EY116">
        <v>190</v>
      </c>
      <c r="FC116">
        <v>50</v>
      </c>
      <c r="FG116">
        <v>9275</v>
      </c>
      <c r="FK116">
        <v>50</v>
      </c>
      <c r="FQ116">
        <v>225</v>
      </c>
      <c r="GA116">
        <v>1027</v>
      </c>
      <c r="GK116">
        <v>4500</v>
      </c>
      <c r="GN116">
        <f t="shared" si="1"/>
        <v>53514</v>
      </c>
    </row>
    <row r="117" spans="1:196" x14ac:dyDescent="0.25">
      <c r="A117" s="4">
        <f>DATE(2024,2,20)</f>
        <v>45342</v>
      </c>
      <c r="BU117">
        <v>625</v>
      </c>
      <c r="BW117">
        <v>25</v>
      </c>
      <c r="CE117">
        <v>500</v>
      </c>
      <c r="CI117">
        <v>650</v>
      </c>
      <c r="CO117">
        <v>3400</v>
      </c>
      <c r="CQ117">
        <v>200</v>
      </c>
      <c r="CY117">
        <v>1750</v>
      </c>
      <c r="DA117">
        <v>550</v>
      </c>
      <c r="DE117">
        <v>125</v>
      </c>
      <c r="DI117">
        <v>3930</v>
      </c>
      <c r="DK117">
        <v>200</v>
      </c>
      <c r="DM117">
        <v>50</v>
      </c>
      <c r="DO117">
        <v>250</v>
      </c>
      <c r="DQ117">
        <v>225</v>
      </c>
      <c r="DS117">
        <v>6720</v>
      </c>
      <c r="DT117">
        <v>50</v>
      </c>
      <c r="DU117">
        <v>125</v>
      </c>
      <c r="DW117">
        <v>400</v>
      </c>
      <c r="DY117">
        <v>100</v>
      </c>
      <c r="EC117">
        <v>7005</v>
      </c>
      <c r="EE117">
        <v>100</v>
      </c>
      <c r="EG117">
        <v>200</v>
      </c>
      <c r="EI117">
        <v>50</v>
      </c>
      <c r="EK117">
        <v>300</v>
      </c>
      <c r="EM117">
        <v>7717</v>
      </c>
      <c r="EO117">
        <v>250</v>
      </c>
      <c r="ES117">
        <v>100</v>
      </c>
      <c r="EW117">
        <v>2700</v>
      </c>
      <c r="EY117">
        <v>190</v>
      </c>
      <c r="FC117">
        <v>50</v>
      </c>
      <c r="FG117">
        <v>9275</v>
      </c>
      <c r="FK117">
        <v>50</v>
      </c>
      <c r="FQ117">
        <v>225</v>
      </c>
      <c r="GA117">
        <v>1027</v>
      </c>
      <c r="GK117">
        <v>4500</v>
      </c>
      <c r="GN117">
        <f t="shared" si="1"/>
        <v>53614</v>
      </c>
    </row>
    <row r="118" spans="1:196" x14ac:dyDescent="0.25">
      <c r="A118" s="4">
        <f>DATE(2024,2,19)</f>
        <v>45341</v>
      </c>
      <c r="BU118">
        <v>625</v>
      </c>
      <c r="BW118">
        <v>25</v>
      </c>
      <c r="CE118">
        <v>500</v>
      </c>
      <c r="CI118">
        <v>650</v>
      </c>
      <c r="CO118">
        <v>3450</v>
      </c>
      <c r="CQ118">
        <v>200</v>
      </c>
      <c r="CY118">
        <v>1750</v>
      </c>
      <c r="DA118">
        <v>550</v>
      </c>
      <c r="DE118">
        <v>125</v>
      </c>
      <c r="DI118">
        <v>3930</v>
      </c>
      <c r="DK118">
        <v>200</v>
      </c>
      <c r="DM118">
        <v>50</v>
      </c>
      <c r="DO118">
        <v>250</v>
      </c>
      <c r="DQ118">
        <v>225</v>
      </c>
      <c r="DS118">
        <v>6720</v>
      </c>
      <c r="DT118">
        <v>50</v>
      </c>
      <c r="DU118">
        <v>125</v>
      </c>
      <c r="DW118">
        <v>400</v>
      </c>
      <c r="DY118">
        <v>100</v>
      </c>
      <c r="EC118">
        <v>7005</v>
      </c>
      <c r="EE118">
        <v>100</v>
      </c>
      <c r="EG118">
        <v>200</v>
      </c>
      <c r="EI118">
        <v>50</v>
      </c>
      <c r="EK118">
        <v>300</v>
      </c>
      <c r="EM118">
        <v>7717</v>
      </c>
      <c r="EO118">
        <v>250</v>
      </c>
      <c r="ES118">
        <v>100</v>
      </c>
      <c r="EW118">
        <v>2700</v>
      </c>
      <c r="EY118">
        <v>190</v>
      </c>
      <c r="FC118">
        <v>50</v>
      </c>
      <c r="FG118">
        <v>12025</v>
      </c>
      <c r="FK118">
        <v>50</v>
      </c>
      <c r="FQ118">
        <v>225</v>
      </c>
      <c r="GA118">
        <v>1027</v>
      </c>
      <c r="GK118">
        <v>4500</v>
      </c>
      <c r="GN118">
        <f t="shared" si="1"/>
        <v>56414</v>
      </c>
    </row>
    <row r="119" spans="1:196" x14ac:dyDescent="0.25">
      <c r="A119" s="4">
        <f>DATE(2024,2,16)</f>
        <v>45338</v>
      </c>
      <c r="BW119">
        <v>25</v>
      </c>
      <c r="CE119">
        <v>500</v>
      </c>
      <c r="CI119">
        <v>650</v>
      </c>
      <c r="CO119">
        <v>2600</v>
      </c>
      <c r="CQ119">
        <v>200</v>
      </c>
      <c r="CY119">
        <v>1750</v>
      </c>
      <c r="DA119">
        <v>550</v>
      </c>
      <c r="DE119">
        <v>125</v>
      </c>
      <c r="DI119">
        <v>3930</v>
      </c>
      <c r="DK119">
        <v>200</v>
      </c>
      <c r="DM119">
        <v>50</v>
      </c>
      <c r="DO119">
        <v>250</v>
      </c>
      <c r="DQ119">
        <v>225</v>
      </c>
      <c r="DS119">
        <v>6620</v>
      </c>
      <c r="DT119">
        <v>50</v>
      </c>
      <c r="DU119">
        <v>125</v>
      </c>
      <c r="DW119">
        <v>400</v>
      </c>
      <c r="DY119">
        <v>100</v>
      </c>
      <c r="EC119">
        <v>7005</v>
      </c>
      <c r="EE119">
        <v>100</v>
      </c>
      <c r="EG119">
        <v>200</v>
      </c>
      <c r="EI119">
        <v>50</v>
      </c>
      <c r="EK119">
        <v>300</v>
      </c>
      <c r="EM119">
        <v>7717</v>
      </c>
      <c r="EO119">
        <v>250</v>
      </c>
      <c r="ES119">
        <v>100</v>
      </c>
      <c r="EW119">
        <v>2700</v>
      </c>
      <c r="EY119">
        <v>190</v>
      </c>
      <c r="FC119">
        <v>50</v>
      </c>
      <c r="FG119">
        <v>12025</v>
      </c>
      <c r="FK119">
        <v>50</v>
      </c>
      <c r="FQ119">
        <v>225</v>
      </c>
      <c r="GA119">
        <v>1027</v>
      </c>
      <c r="GK119">
        <v>4500</v>
      </c>
      <c r="GN119">
        <f t="shared" si="1"/>
        <v>54839</v>
      </c>
    </row>
    <row r="120" spans="1:196" x14ac:dyDescent="0.25">
      <c r="A120" s="4">
        <f>DATE(2024,2,15)</f>
        <v>45337</v>
      </c>
      <c r="BW120">
        <v>25</v>
      </c>
      <c r="CE120">
        <v>500</v>
      </c>
      <c r="CI120">
        <v>650</v>
      </c>
      <c r="CO120">
        <v>2600</v>
      </c>
      <c r="CQ120">
        <v>200</v>
      </c>
      <c r="CY120">
        <v>1750</v>
      </c>
      <c r="DA120">
        <v>550</v>
      </c>
      <c r="DE120">
        <v>125</v>
      </c>
      <c r="DI120">
        <v>3930</v>
      </c>
      <c r="DK120">
        <v>200</v>
      </c>
      <c r="DM120">
        <v>50</v>
      </c>
      <c r="DO120">
        <v>250</v>
      </c>
      <c r="DQ120">
        <v>225</v>
      </c>
      <c r="DS120">
        <v>6470</v>
      </c>
      <c r="DT120">
        <v>50</v>
      </c>
      <c r="DU120">
        <v>125</v>
      </c>
      <c r="DW120">
        <v>400</v>
      </c>
      <c r="DY120">
        <v>100</v>
      </c>
      <c r="EC120">
        <v>7005</v>
      </c>
      <c r="EE120">
        <v>100</v>
      </c>
      <c r="EG120">
        <v>200</v>
      </c>
      <c r="EI120">
        <v>50</v>
      </c>
      <c r="EK120">
        <v>300</v>
      </c>
      <c r="EM120">
        <v>7617</v>
      </c>
      <c r="EO120">
        <v>250</v>
      </c>
      <c r="ES120">
        <v>100</v>
      </c>
      <c r="EW120">
        <v>2700</v>
      </c>
      <c r="EY120">
        <v>190</v>
      </c>
      <c r="FC120">
        <v>50</v>
      </c>
      <c r="FG120">
        <v>12025</v>
      </c>
      <c r="FK120">
        <v>50</v>
      </c>
      <c r="FQ120">
        <v>225</v>
      </c>
      <c r="GA120">
        <v>1027</v>
      </c>
      <c r="GK120">
        <v>4500</v>
      </c>
      <c r="GN120">
        <f t="shared" si="1"/>
        <v>54589</v>
      </c>
    </row>
    <row r="121" spans="1:196" x14ac:dyDescent="0.25">
      <c r="A121" s="4">
        <f>DATE(2024,2,14)</f>
        <v>45336</v>
      </c>
      <c r="CE121">
        <v>500</v>
      </c>
      <c r="CO121">
        <v>2300</v>
      </c>
      <c r="CQ121">
        <v>200</v>
      </c>
      <c r="CY121">
        <v>1750</v>
      </c>
      <c r="DA121">
        <v>550</v>
      </c>
      <c r="DE121">
        <v>125</v>
      </c>
      <c r="DI121">
        <v>3930</v>
      </c>
      <c r="DK121">
        <v>200</v>
      </c>
      <c r="DM121">
        <v>50</v>
      </c>
      <c r="DO121">
        <v>250</v>
      </c>
      <c r="DQ121">
        <v>225</v>
      </c>
      <c r="DS121">
        <v>5795</v>
      </c>
      <c r="DT121">
        <v>50</v>
      </c>
      <c r="DU121">
        <v>125</v>
      </c>
      <c r="DW121">
        <v>400</v>
      </c>
      <c r="DY121">
        <v>100</v>
      </c>
      <c r="EC121">
        <v>6980</v>
      </c>
      <c r="EE121">
        <v>100</v>
      </c>
      <c r="EG121">
        <v>200</v>
      </c>
      <c r="EI121">
        <v>50</v>
      </c>
      <c r="EK121">
        <v>300</v>
      </c>
      <c r="EM121">
        <v>6867</v>
      </c>
      <c r="EO121">
        <v>250</v>
      </c>
      <c r="ES121">
        <v>100</v>
      </c>
      <c r="EW121">
        <v>1425</v>
      </c>
      <c r="EY121">
        <v>190</v>
      </c>
      <c r="FC121">
        <v>50</v>
      </c>
      <c r="FG121">
        <v>12025</v>
      </c>
      <c r="FK121">
        <v>50</v>
      </c>
      <c r="FQ121">
        <v>225</v>
      </c>
      <c r="GA121">
        <v>1027</v>
      </c>
      <c r="GK121">
        <v>4500</v>
      </c>
      <c r="GN121">
        <f t="shared" si="1"/>
        <v>50889</v>
      </c>
    </row>
    <row r="122" spans="1:196" x14ac:dyDescent="0.25">
      <c r="A122" s="4">
        <f>DATE(2024,2,13)</f>
        <v>45335</v>
      </c>
      <c r="CO122">
        <v>2300</v>
      </c>
      <c r="CQ122">
        <v>200</v>
      </c>
      <c r="CY122">
        <v>1750</v>
      </c>
      <c r="DA122">
        <v>550</v>
      </c>
      <c r="DE122">
        <v>125</v>
      </c>
      <c r="DI122">
        <v>3930</v>
      </c>
      <c r="DK122">
        <v>200</v>
      </c>
      <c r="DM122">
        <v>50</v>
      </c>
      <c r="DO122">
        <v>250</v>
      </c>
      <c r="DQ122">
        <v>225</v>
      </c>
      <c r="DS122">
        <v>5795</v>
      </c>
      <c r="DT122">
        <v>50</v>
      </c>
      <c r="DU122">
        <v>125</v>
      </c>
      <c r="DW122">
        <v>400</v>
      </c>
      <c r="DY122">
        <v>100</v>
      </c>
      <c r="EC122">
        <v>6980</v>
      </c>
      <c r="EE122">
        <v>100</v>
      </c>
      <c r="EG122">
        <v>200</v>
      </c>
      <c r="EI122">
        <v>50</v>
      </c>
      <c r="EK122">
        <v>300</v>
      </c>
      <c r="EM122">
        <v>6867</v>
      </c>
      <c r="EO122">
        <v>250</v>
      </c>
      <c r="ES122">
        <v>100</v>
      </c>
      <c r="EW122">
        <v>1425</v>
      </c>
      <c r="EY122">
        <v>190</v>
      </c>
      <c r="FC122">
        <v>50</v>
      </c>
      <c r="FG122">
        <v>12025</v>
      </c>
      <c r="FK122">
        <v>50</v>
      </c>
      <c r="FQ122">
        <v>225</v>
      </c>
      <c r="GA122">
        <v>1027</v>
      </c>
      <c r="GK122">
        <v>4500</v>
      </c>
      <c r="GN122">
        <f t="shared" si="1"/>
        <v>50389</v>
      </c>
    </row>
    <row r="123" spans="1:196" x14ac:dyDescent="0.25">
      <c r="A123" s="4">
        <f>DATE(2024,2,12)</f>
        <v>45334</v>
      </c>
      <c r="CO123">
        <v>2300</v>
      </c>
      <c r="CQ123">
        <v>200</v>
      </c>
      <c r="CY123">
        <v>1700</v>
      </c>
      <c r="DA123">
        <v>550</v>
      </c>
      <c r="DE123">
        <v>125</v>
      </c>
      <c r="DI123">
        <v>3930</v>
      </c>
      <c r="DK123">
        <v>200</v>
      </c>
      <c r="DM123">
        <v>50</v>
      </c>
      <c r="DO123">
        <v>250</v>
      </c>
      <c r="DQ123">
        <v>225</v>
      </c>
      <c r="DS123">
        <v>5795</v>
      </c>
      <c r="DT123">
        <v>50</v>
      </c>
      <c r="DU123">
        <v>125</v>
      </c>
      <c r="DW123">
        <v>400</v>
      </c>
      <c r="DY123">
        <v>100</v>
      </c>
      <c r="EC123">
        <v>6980</v>
      </c>
      <c r="EE123">
        <v>100</v>
      </c>
      <c r="EG123">
        <v>200</v>
      </c>
      <c r="EI123">
        <v>50</v>
      </c>
      <c r="EK123">
        <v>300</v>
      </c>
      <c r="EM123">
        <v>6367</v>
      </c>
      <c r="EO123">
        <v>250</v>
      </c>
      <c r="ES123">
        <v>100</v>
      </c>
      <c r="EW123">
        <v>1425</v>
      </c>
      <c r="EY123">
        <v>190</v>
      </c>
      <c r="FC123">
        <v>50</v>
      </c>
      <c r="FG123">
        <v>12025</v>
      </c>
      <c r="FK123">
        <v>50</v>
      </c>
      <c r="FQ123">
        <v>225</v>
      </c>
      <c r="GA123">
        <v>575</v>
      </c>
      <c r="GK123">
        <v>4500</v>
      </c>
      <c r="GN123">
        <f t="shared" si="1"/>
        <v>49387</v>
      </c>
    </row>
    <row r="124" spans="1:196" x14ac:dyDescent="0.25">
      <c r="A124" s="4">
        <f>DATE(2024,2,9)</f>
        <v>45331</v>
      </c>
      <c r="CO124">
        <v>675</v>
      </c>
      <c r="CQ124">
        <v>200</v>
      </c>
      <c r="CY124">
        <v>1700</v>
      </c>
      <c r="DA124">
        <v>550</v>
      </c>
      <c r="DE124">
        <v>125</v>
      </c>
      <c r="DI124">
        <v>3625</v>
      </c>
      <c r="DK124">
        <v>200</v>
      </c>
      <c r="DM124">
        <v>50</v>
      </c>
      <c r="DO124">
        <v>250</v>
      </c>
      <c r="DQ124">
        <v>225</v>
      </c>
      <c r="DS124">
        <v>5795</v>
      </c>
      <c r="DT124">
        <v>50</v>
      </c>
      <c r="DU124">
        <v>125</v>
      </c>
      <c r="DW124">
        <v>400</v>
      </c>
      <c r="DY124">
        <v>100</v>
      </c>
      <c r="EC124">
        <v>7780</v>
      </c>
      <c r="EE124">
        <v>100</v>
      </c>
      <c r="EG124">
        <v>200</v>
      </c>
      <c r="EI124">
        <v>50</v>
      </c>
      <c r="EK124">
        <v>300</v>
      </c>
      <c r="EM124">
        <v>6417</v>
      </c>
      <c r="EO124">
        <v>250</v>
      </c>
      <c r="ES124">
        <v>100</v>
      </c>
      <c r="EW124">
        <v>1425</v>
      </c>
      <c r="EY124">
        <v>190</v>
      </c>
      <c r="FC124">
        <v>50</v>
      </c>
      <c r="FG124">
        <v>13025</v>
      </c>
      <c r="FK124">
        <v>50</v>
      </c>
      <c r="FQ124">
        <v>225</v>
      </c>
      <c r="GA124">
        <v>575</v>
      </c>
      <c r="GK124">
        <v>4500</v>
      </c>
      <c r="GN124">
        <f t="shared" si="1"/>
        <v>49307</v>
      </c>
    </row>
    <row r="125" spans="1:196" x14ac:dyDescent="0.25">
      <c r="A125" s="4">
        <f>DATE(2024,2,8)</f>
        <v>45330</v>
      </c>
      <c r="CO125">
        <v>675</v>
      </c>
      <c r="CQ125">
        <v>200</v>
      </c>
      <c r="CY125">
        <v>1700</v>
      </c>
      <c r="DA125">
        <v>550</v>
      </c>
      <c r="DE125">
        <v>125</v>
      </c>
      <c r="DI125">
        <v>3625</v>
      </c>
      <c r="DK125">
        <v>200</v>
      </c>
      <c r="DM125">
        <v>50</v>
      </c>
      <c r="DO125">
        <v>250</v>
      </c>
      <c r="DQ125">
        <v>225</v>
      </c>
      <c r="DS125">
        <v>5795</v>
      </c>
      <c r="DT125">
        <v>50</v>
      </c>
      <c r="DU125">
        <v>125</v>
      </c>
      <c r="DW125">
        <v>400</v>
      </c>
      <c r="DY125">
        <v>100</v>
      </c>
      <c r="EC125">
        <v>7780</v>
      </c>
      <c r="EE125">
        <v>100</v>
      </c>
      <c r="EG125">
        <v>200</v>
      </c>
      <c r="EI125">
        <v>50</v>
      </c>
      <c r="EK125">
        <v>300</v>
      </c>
      <c r="EM125">
        <v>6917</v>
      </c>
      <c r="EO125">
        <v>250</v>
      </c>
      <c r="ES125">
        <v>100</v>
      </c>
      <c r="EW125">
        <v>1425</v>
      </c>
      <c r="EY125">
        <v>190</v>
      </c>
      <c r="FC125">
        <v>50</v>
      </c>
      <c r="FG125">
        <v>13025</v>
      </c>
      <c r="FK125">
        <v>50</v>
      </c>
      <c r="FQ125">
        <v>225</v>
      </c>
      <c r="GA125">
        <v>575</v>
      </c>
      <c r="GK125">
        <v>4500</v>
      </c>
      <c r="GN125">
        <f t="shared" si="1"/>
        <v>49807</v>
      </c>
    </row>
    <row r="126" spans="1:196" x14ac:dyDescent="0.25">
      <c r="A126" s="4">
        <f>DATE(2024,2,7)</f>
        <v>45329</v>
      </c>
      <c r="CO126">
        <v>425</v>
      </c>
      <c r="CQ126">
        <v>200</v>
      </c>
      <c r="CY126">
        <v>1500</v>
      </c>
      <c r="DA126">
        <v>550</v>
      </c>
      <c r="DE126">
        <v>125</v>
      </c>
      <c r="DI126">
        <v>3225</v>
      </c>
      <c r="DK126">
        <v>200</v>
      </c>
      <c r="DM126">
        <v>50</v>
      </c>
      <c r="DO126">
        <v>250</v>
      </c>
      <c r="DQ126">
        <v>225</v>
      </c>
      <c r="DS126">
        <v>5395</v>
      </c>
      <c r="DT126">
        <v>50</v>
      </c>
      <c r="DU126">
        <v>125</v>
      </c>
      <c r="DW126">
        <v>400</v>
      </c>
      <c r="DY126">
        <v>100</v>
      </c>
      <c r="EC126">
        <v>7780</v>
      </c>
      <c r="EE126">
        <v>100</v>
      </c>
      <c r="EG126">
        <v>200</v>
      </c>
      <c r="EI126">
        <v>50</v>
      </c>
      <c r="EK126">
        <v>300</v>
      </c>
      <c r="EM126">
        <v>6917</v>
      </c>
      <c r="EO126">
        <v>250</v>
      </c>
      <c r="ES126">
        <v>100</v>
      </c>
      <c r="EW126">
        <v>1425</v>
      </c>
      <c r="EY126">
        <v>190</v>
      </c>
      <c r="FC126">
        <v>50</v>
      </c>
      <c r="FG126">
        <v>13025</v>
      </c>
      <c r="FK126">
        <v>50</v>
      </c>
      <c r="FQ126">
        <v>225</v>
      </c>
      <c r="GA126">
        <v>575</v>
      </c>
      <c r="GK126">
        <v>4500</v>
      </c>
      <c r="GN126">
        <f t="shared" si="1"/>
        <v>48557</v>
      </c>
    </row>
    <row r="127" spans="1:196" x14ac:dyDescent="0.25">
      <c r="A127" s="4">
        <f>DATE(2024,2,6)</f>
        <v>45328</v>
      </c>
      <c r="CO127">
        <v>425</v>
      </c>
      <c r="CQ127">
        <v>200</v>
      </c>
      <c r="CY127">
        <v>1300</v>
      </c>
      <c r="DA127">
        <v>550</v>
      </c>
      <c r="DE127">
        <v>125</v>
      </c>
      <c r="DI127">
        <v>3225</v>
      </c>
      <c r="DK127">
        <v>200</v>
      </c>
      <c r="DM127">
        <v>50</v>
      </c>
      <c r="DO127">
        <v>250</v>
      </c>
      <c r="DQ127">
        <v>225</v>
      </c>
      <c r="DS127">
        <v>4995</v>
      </c>
      <c r="DT127">
        <v>50</v>
      </c>
      <c r="DU127">
        <v>125</v>
      </c>
      <c r="DW127">
        <v>400</v>
      </c>
      <c r="DY127">
        <v>100</v>
      </c>
      <c r="EC127">
        <v>7780</v>
      </c>
      <c r="EE127">
        <v>100</v>
      </c>
      <c r="EG127">
        <v>200</v>
      </c>
      <c r="EI127">
        <v>50</v>
      </c>
      <c r="EK127">
        <v>300</v>
      </c>
      <c r="EM127">
        <v>6917</v>
      </c>
      <c r="EO127">
        <v>250</v>
      </c>
      <c r="ES127">
        <v>100</v>
      </c>
      <c r="EW127">
        <v>1425</v>
      </c>
      <c r="EY127">
        <v>190</v>
      </c>
      <c r="FC127">
        <v>50</v>
      </c>
      <c r="FG127">
        <v>13025</v>
      </c>
      <c r="FK127">
        <v>50</v>
      </c>
      <c r="FQ127">
        <v>225</v>
      </c>
      <c r="GA127">
        <v>575</v>
      </c>
      <c r="GK127">
        <v>4500</v>
      </c>
      <c r="GN127">
        <f t="shared" si="1"/>
        <v>47957</v>
      </c>
    </row>
    <row r="128" spans="1:196" x14ac:dyDescent="0.25">
      <c r="A128" s="4">
        <f>DATE(2024,2,5)</f>
        <v>45327</v>
      </c>
      <c r="CO128">
        <v>425</v>
      </c>
      <c r="CQ128">
        <v>200</v>
      </c>
      <c r="CY128">
        <v>1300</v>
      </c>
      <c r="DA128">
        <v>550</v>
      </c>
      <c r="DE128">
        <v>125</v>
      </c>
      <c r="DI128">
        <v>3225</v>
      </c>
      <c r="DK128">
        <v>200</v>
      </c>
      <c r="DM128">
        <v>50</v>
      </c>
      <c r="DO128">
        <v>250</v>
      </c>
      <c r="DQ128">
        <v>225</v>
      </c>
      <c r="DS128">
        <v>4995</v>
      </c>
      <c r="DT128">
        <v>50</v>
      </c>
      <c r="DU128">
        <v>125</v>
      </c>
      <c r="DW128">
        <v>400</v>
      </c>
      <c r="DY128">
        <v>100</v>
      </c>
      <c r="EC128">
        <v>7780</v>
      </c>
      <c r="EE128">
        <v>100</v>
      </c>
      <c r="EG128">
        <v>200</v>
      </c>
      <c r="EI128">
        <v>50</v>
      </c>
      <c r="EK128">
        <v>300</v>
      </c>
      <c r="EM128">
        <v>6917</v>
      </c>
      <c r="EO128">
        <v>250</v>
      </c>
      <c r="ES128">
        <v>100</v>
      </c>
      <c r="EW128">
        <v>1425</v>
      </c>
      <c r="EY128">
        <v>190</v>
      </c>
      <c r="FC128">
        <v>50</v>
      </c>
      <c r="FG128">
        <v>13025</v>
      </c>
      <c r="FK128">
        <v>50</v>
      </c>
      <c r="FQ128">
        <v>225</v>
      </c>
      <c r="GA128">
        <v>575</v>
      </c>
      <c r="GK128">
        <v>4500</v>
      </c>
      <c r="GN128">
        <f t="shared" si="1"/>
        <v>47957</v>
      </c>
    </row>
    <row r="129" spans="1:196" x14ac:dyDescent="0.25">
      <c r="A129" s="4">
        <f>DATE(2024,2,2)</f>
        <v>45324</v>
      </c>
      <c r="CO129">
        <v>425</v>
      </c>
      <c r="CQ129">
        <v>200</v>
      </c>
      <c r="CY129">
        <v>1300</v>
      </c>
      <c r="DA129">
        <v>550</v>
      </c>
      <c r="DE129">
        <v>125</v>
      </c>
      <c r="DI129">
        <v>3225</v>
      </c>
      <c r="DK129">
        <v>200</v>
      </c>
      <c r="DM129">
        <v>50</v>
      </c>
      <c r="DO129">
        <v>250</v>
      </c>
      <c r="DQ129">
        <v>225</v>
      </c>
      <c r="DS129">
        <v>4995</v>
      </c>
      <c r="DT129">
        <v>50</v>
      </c>
      <c r="DU129">
        <v>125</v>
      </c>
      <c r="DW129">
        <v>400</v>
      </c>
      <c r="DY129">
        <v>100</v>
      </c>
      <c r="EC129">
        <v>7780</v>
      </c>
      <c r="EE129">
        <v>100</v>
      </c>
      <c r="EG129">
        <v>200</v>
      </c>
      <c r="EI129">
        <v>50</v>
      </c>
      <c r="EK129">
        <v>300</v>
      </c>
      <c r="EM129">
        <v>6917</v>
      </c>
      <c r="EO129">
        <v>250</v>
      </c>
      <c r="ES129">
        <v>100</v>
      </c>
      <c r="EW129">
        <v>1425</v>
      </c>
      <c r="EY129">
        <v>190</v>
      </c>
      <c r="FC129">
        <v>50</v>
      </c>
      <c r="FG129">
        <v>13025</v>
      </c>
      <c r="FK129">
        <v>50</v>
      </c>
      <c r="FQ129">
        <v>225</v>
      </c>
      <c r="GA129">
        <v>575</v>
      </c>
      <c r="GK129">
        <v>4500</v>
      </c>
      <c r="GN129">
        <f t="shared" si="1"/>
        <v>47957</v>
      </c>
    </row>
    <row r="130" spans="1:196" x14ac:dyDescent="0.25">
      <c r="A130" s="4">
        <f>DATE(2024,2,1)</f>
        <v>45323</v>
      </c>
      <c r="CO130">
        <v>425</v>
      </c>
      <c r="CQ130">
        <v>200</v>
      </c>
      <c r="CY130">
        <v>1300</v>
      </c>
      <c r="DA130">
        <v>550</v>
      </c>
      <c r="DE130">
        <v>125</v>
      </c>
      <c r="DI130">
        <v>3225</v>
      </c>
      <c r="DK130">
        <v>200</v>
      </c>
      <c r="DM130">
        <v>50</v>
      </c>
      <c r="DO130">
        <v>250</v>
      </c>
      <c r="DQ130">
        <v>225</v>
      </c>
      <c r="DS130">
        <v>4995</v>
      </c>
      <c r="DT130">
        <v>50</v>
      </c>
      <c r="DU130">
        <v>125</v>
      </c>
      <c r="DW130">
        <v>400</v>
      </c>
      <c r="DY130">
        <v>100</v>
      </c>
      <c r="EC130">
        <v>7780</v>
      </c>
      <c r="EE130">
        <v>100</v>
      </c>
      <c r="EG130">
        <v>200</v>
      </c>
      <c r="EI130">
        <v>50</v>
      </c>
      <c r="EK130">
        <v>300</v>
      </c>
      <c r="EM130">
        <v>6917</v>
      </c>
      <c r="EO130">
        <v>250</v>
      </c>
      <c r="ES130">
        <v>100</v>
      </c>
      <c r="EW130">
        <v>1425</v>
      </c>
      <c r="EY130">
        <v>190</v>
      </c>
      <c r="FC130">
        <v>50</v>
      </c>
      <c r="FG130">
        <v>13025</v>
      </c>
      <c r="FK130">
        <v>50</v>
      </c>
      <c r="FQ130">
        <v>225</v>
      </c>
      <c r="GA130">
        <v>575</v>
      </c>
      <c r="GK130">
        <v>4500</v>
      </c>
      <c r="GN130">
        <f t="shared" si="1"/>
        <v>47957</v>
      </c>
    </row>
    <row r="131" spans="1:196" x14ac:dyDescent="0.25">
      <c r="A131" s="4">
        <f>DATE(2024,1,31)</f>
        <v>45322</v>
      </c>
      <c r="CO131">
        <v>425</v>
      </c>
      <c r="CQ131">
        <v>200</v>
      </c>
      <c r="CY131">
        <v>1300</v>
      </c>
      <c r="DA131">
        <v>550</v>
      </c>
      <c r="DE131">
        <v>125</v>
      </c>
      <c r="DI131">
        <v>3225</v>
      </c>
      <c r="DK131">
        <v>200</v>
      </c>
      <c r="DM131">
        <v>50</v>
      </c>
      <c r="DO131">
        <v>250</v>
      </c>
      <c r="DQ131">
        <v>225</v>
      </c>
      <c r="DS131">
        <v>4995</v>
      </c>
      <c r="DT131">
        <v>50</v>
      </c>
      <c r="DU131">
        <v>125</v>
      </c>
      <c r="DW131">
        <v>400</v>
      </c>
      <c r="DY131">
        <v>100</v>
      </c>
      <c r="EC131">
        <v>7780</v>
      </c>
      <c r="EE131">
        <v>100</v>
      </c>
      <c r="EG131">
        <v>200</v>
      </c>
      <c r="EI131">
        <v>50</v>
      </c>
      <c r="EK131">
        <v>300</v>
      </c>
      <c r="EM131">
        <v>6917</v>
      </c>
      <c r="EO131">
        <v>250</v>
      </c>
      <c r="ES131">
        <v>100</v>
      </c>
      <c r="EW131">
        <v>1425</v>
      </c>
      <c r="EY131">
        <v>190</v>
      </c>
      <c r="FC131">
        <v>50</v>
      </c>
      <c r="FG131">
        <v>13025</v>
      </c>
      <c r="FK131">
        <v>50</v>
      </c>
      <c r="FQ131">
        <v>225</v>
      </c>
      <c r="GA131">
        <v>575</v>
      </c>
      <c r="GK131">
        <v>4500</v>
      </c>
      <c r="GN131">
        <f t="shared" si="1"/>
        <v>47957</v>
      </c>
    </row>
    <row r="132" spans="1:196" x14ac:dyDescent="0.25">
      <c r="A132" s="4">
        <f>DATE(2024,1,30)</f>
        <v>45321</v>
      </c>
      <c r="CO132">
        <v>175</v>
      </c>
      <c r="CQ132">
        <v>200</v>
      </c>
      <c r="CY132">
        <v>1300</v>
      </c>
      <c r="DA132">
        <v>550</v>
      </c>
      <c r="DE132">
        <v>125</v>
      </c>
      <c r="DI132">
        <v>3225</v>
      </c>
      <c r="DK132">
        <v>200</v>
      </c>
      <c r="DM132">
        <v>50</v>
      </c>
      <c r="DO132">
        <v>250</v>
      </c>
      <c r="DQ132">
        <v>225</v>
      </c>
      <c r="DS132">
        <v>4995</v>
      </c>
      <c r="DT132">
        <v>50</v>
      </c>
      <c r="DU132">
        <v>125</v>
      </c>
      <c r="DW132">
        <v>400</v>
      </c>
      <c r="DY132">
        <v>100</v>
      </c>
      <c r="EC132">
        <v>7780</v>
      </c>
      <c r="EE132">
        <v>100</v>
      </c>
      <c r="EG132">
        <v>200</v>
      </c>
      <c r="EI132">
        <v>50</v>
      </c>
      <c r="EK132">
        <v>300</v>
      </c>
      <c r="EM132">
        <v>6917</v>
      </c>
      <c r="EO132">
        <v>250</v>
      </c>
      <c r="ES132">
        <v>100</v>
      </c>
      <c r="EW132">
        <v>1425</v>
      </c>
      <c r="EY132">
        <v>190</v>
      </c>
      <c r="FC132">
        <v>50</v>
      </c>
      <c r="FG132">
        <v>12550</v>
      </c>
      <c r="FK132">
        <v>50</v>
      </c>
      <c r="FQ132">
        <v>225</v>
      </c>
      <c r="GA132">
        <v>575</v>
      </c>
      <c r="GK132">
        <v>4500</v>
      </c>
      <c r="GN132">
        <f t="shared" si="1"/>
        <v>47232</v>
      </c>
    </row>
    <row r="133" spans="1:196" x14ac:dyDescent="0.25">
      <c r="A133" s="4">
        <f>DATE(2024,1,29)</f>
        <v>45320</v>
      </c>
      <c r="CO133">
        <v>175</v>
      </c>
      <c r="CQ133">
        <v>200</v>
      </c>
      <c r="CY133">
        <v>350</v>
      </c>
      <c r="DA133">
        <v>550</v>
      </c>
      <c r="DE133">
        <v>125</v>
      </c>
      <c r="DI133">
        <v>3225</v>
      </c>
      <c r="DK133">
        <v>200</v>
      </c>
      <c r="DM133">
        <v>50</v>
      </c>
      <c r="DO133">
        <v>250</v>
      </c>
      <c r="DQ133">
        <v>225</v>
      </c>
      <c r="DS133">
        <v>4995</v>
      </c>
      <c r="DT133">
        <v>50</v>
      </c>
      <c r="DU133">
        <v>125</v>
      </c>
      <c r="DW133">
        <v>400</v>
      </c>
      <c r="DY133">
        <v>100</v>
      </c>
      <c r="EC133">
        <v>9081</v>
      </c>
      <c r="EE133">
        <v>100</v>
      </c>
      <c r="EG133">
        <v>200</v>
      </c>
      <c r="EI133">
        <v>50</v>
      </c>
      <c r="EK133">
        <v>300</v>
      </c>
      <c r="EM133">
        <v>6917</v>
      </c>
      <c r="EO133">
        <v>250</v>
      </c>
      <c r="ES133">
        <v>100</v>
      </c>
      <c r="EW133">
        <v>1425</v>
      </c>
      <c r="EY133">
        <v>190</v>
      </c>
      <c r="FC133">
        <v>50</v>
      </c>
      <c r="FG133">
        <v>13050</v>
      </c>
      <c r="FK133">
        <v>50</v>
      </c>
      <c r="FQ133">
        <v>225</v>
      </c>
      <c r="GA133">
        <v>575</v>
      </c>
      <c r="GK133">
        <v>4500</v>
      </c>
      <c r="GN133">
        <f t="shared" si="1"/>
        <v>48083</v>
      </c>
    </row>
    <row r="134" spans="1:196" x14ac:dyDescent="0.25">
      <c r="A134" s="4">
        <f>DATE(2024,1,26)</f>
        <v>45317</v>
      </c>
      <c r="CO134">
        <v>175</v>
      </c>
      <c r="CQ134">
        <v>200</v>
      </c>
      <c r="CY134">
        <v>350</v>
      </c>
      <c r="DA134">
        <v>550</v>
      </c>
      <c r="DE134">
        <v>125</v>
      </c>
      <c r="DI134">
        <v>3225</v>
      </c>
      <c r="DK134">
        <v>200</v>
      </c>
      <c r="DM134">
        <v>50</v>
      </c>
      <c r="DO134">
        <v>250</v>
      </c>
      <c r="DQ134">
        <v>225</v>
      </c>
      <c r="DS134">
        <v>4995</v>
      </c>
      <c r="DT134">
        <v>50</v>
      </c>
      <c r="DU134">
        <v>125</v>
      </c>
      <c r="DW134">
        <v>400</v>
      </c>
      <c r="DY134">
        <v>100</v>
      </c>
      <c r="EC134">
        <v>9081</v>
      </c>
      <c r="EE134">
        <v>100</v>
      </c>
      <c r="EG134">
        <v>200</v>
      </c>
      <c r="EI134">
        <v>50</v>
      </c>
      <c r="EK134">
        <v>300</v>
      </c>
      <c r="EM134">
        <v>6917</v>
      </c>
      <c r="EO134">
        <v>250</v>
      </c>
      <c r="ES134">
        <v>100</v>
      </c>
      <c r="EW134">
        <v>1425</v>
      </c>
      <c r="EY134">
        <v>190</v>
      </c>
      <c r="FC134">
        <v>50</v>
      </c>
      <c r="FG134">
        <v>13050</v>
      </c>
      <c r="FK134">
        <v>50</v>
      </c>
      <c r="FQ134">
        <v>225</v>
      </c>
      <c r="GA134">
        <v>575</v>
      </c>
      <c r="GK134">
        <v>4750</v>
      </c>
      <c r="GN134">
        <f t="shared" ref="GN134:GN197" si="2">SUMPRODUCT(C134:GM134)</f>
        <v>48333</v>
      </c>
    </row>
    <row r="135" spans="1:196" x14ac:dyDescent="0.25">
      <c r="A135" s="4">
        <f>DATE(2024,1,25)</f>
        <v>45316</v>
      </c>
      <c r="CO135">
        <v>175</v>
      </c>
      <c r="CQ135">
        <v>200</v>
      </c>
      <c r="CY135">
        <v>350</v>
      </c>
      <c r="DA135">
        <v>550</v>
      </c>
      <c r="DE135">
        <v>125</v>
      </c>
      <c r="DI135">
        <v>3225</v>
      </c>
      <c r="DK135">
        <v>200</v>
      </c>
      <c r="DM135">
        <v>50</v>
      </c>
      <c r="DO135">
        <v>250</v>
      </c>
      <c r="DQ135">
        <v>225</v>
      </c>
      <c r="DS135">
        <v>4795</v>
      </c>
      <c r="DT135">
        <v>50</v>
      </c>
      <c r="DU135">
        <v>125</v>
      </c>
      <c r="DW135">
        <v>400</v>
      </c>
      <c r="DY135">
        <v>100</v>
      </c>
      <c r="EC135">
        <v>9081</v>
      </c>
      <c r="EE135">
        <v>100</v>
      </c>
      <c r="EG135">
        <v>200</v>
      </c>
      <c r="EI135">
        <v>50</v>
      </c>
      <c r="EK135">
        <v>300</v>
      </c>
      <c r="EM135">
        <v>6567</v>
      </c>
      <c r="EO135">
        <v>250</v>
      </c>
      <c r="ES135">
        <v>100</v>
      </c>
      <c r="EW135">
        <v>1425</v>
      </c>
      <c r="EY135">
        <v>190</v>
      </c>
      <c r="FC135">
        <v>50</v>
      </c>
      <c r="FG135">
        <v>13050</v>
      </c>
      <c r="FK135">
        <v>50</v>
      </c>
      <c r="FQ135">
        <v>225</v>
      </c>
      <c r="GA135">
        <v>575</v>
      </c>
      <c r="GK135">
        <v>4750</v>
      </c>
      <c r="GN135">
        <f t="shared" si="2"/>
        <v>47783</v>
      </c>
    </row>
    <row r="136" spans="1:196" x14ac:dyDescent="0.25">
      <c r="A136" s="4">
        <f>DATE(2024,1,24)</f>
        <v>45315</v>
      </c>
      <c r="CO136">
        <v>175</v>
      </c>
      <c r="CQ136">
        <v>200</v>
      </c>
      <c r="CY136">
        <v>350</v>
      </c>
      <c r="DA136">
        <v>550</v>
      </c>
      <c r="DE136">
        <v>125</v>
      </c>
      <c r="DI136">
        <v>2530</v>
      </c>
      <c r="DK136">
        <v>200</v>
      </c>
      <c r="DM136">
        <v>50</v>
      </c>
      <c r="DO136">
        <v>250</v>
      </c>
      <c r="DQ136">
        <v>225</v>
      </c>
      <c r="DS136">
        <v>4520</v>
      </c>
      <c r="DT136">
        <v>50</v>
      </c>
      <c r="DU136">
        <v>125</v>
      </c>
      <c r="DW136">
        <v>400</v>
      </c>
      <c r="DY136">
        <v>100</v>
      </c>
      <c r="EC136">
        <v>8081</v>
      </c>
      <c r="EE136">
        <v>100</v>
      </c>
      <c r="EG136">
        <v>200</v>
      </c>
      <c r="EI136">
        <v>50</v>
      </c>
      <c r="EK136">
        <v>300</v>
      </c>
      <c r="EM136">
        <v>6517</v>
      </c>
      <c r="EO136">
        <v>250</v>
      </c>
      <c r="ES136">
        <v>100</v>
      </c>
      <c r="EW136">
        <v>1425</v>
      </c>
      <c r="EY136">
        <v>190</v>
      </c>
      <c r="FC136">
        <v>50</v>
      </c>
      <c r="FG136">
        <v>13050</v>
      </c>
      <c r="FK136">
        <v>50</v>
      </c>
      <c r="FQ136">
        <v>225</v>
      </c>
      <c r="GA136">
        <v>575</v>
      </c>
      <c r="GK136">
        <v>4750</v>
      </c>
      <c r="GN136">
        <f t="shared" si="2"/>
        <v>45763</v>
      </c>
    </row>
    <row r="137" spans="1:196" x14ac:dyDescent="0.25">
      <c r="A137" s="4">
        <f>DATE(2024,1,23)</f>
        <v>45314</v>
      </c>
      <c r="CO137">
        <v>100</v>
      </c>
      <c r="CQ137">
        <v>200</v>
      </c>
      <c r="CY137">
        <v>350</v>
      </c>
      <c r="DA137">
        <v>550</v>
      </c>
      <c r="DE137">
        <v>125</v>
      </c>
      <c r="DI137">
        <v>1925</v>
      </c>
      <c r="DK137">
        <v>200</v>
      </c>
      <c r="DM137">
        <v>50</v>
      </c>
      <c r="DO137">
        <v>250</v>
      </c>
      <c r="DQ137">
        <v>225</v>
      </c>
      <c r="DS137">
        <v>4470</v>
      </c>
      <c r="DT137">
        <v>50</v>
      </c>
      <c r="DU137">
        <v>125</v>
      </c>
      <c r="DW137">
        <v>400</v>
      </c>
      <c r="DY137">
        <v>100</v>
      </c>
      <c r="EC137">
        <v>8051</v>
      </c>
      <c r="EE137">
        <v>100</v>
      </c>
      <c r="EG137">
        <v>200</v>
      </c>
      <c r="EI137">
        <v>50</v>
      </c>
      <c r="EK137">
        <v>300</v>
      </c>
      <c r="EM137">
        <v>6442</v>
      </c>
      <c r="EO137">
        <v>250</v>
      </c>
      <c r="ES137">
        <v>100</v>
      </c>
      <c r="EW137">
        <v>1425</v>
      </c>
      <c r="EY137">
        <v>190</v>
      </c>
      <c r="FC137">
        <v>50</v>
      </c>
      <c r="FG137">
        <v>13050</v>
      </c>
      <c r="FK137">
        <v>50</v>
      </c>
      <c r="FQ137">
        <v>225</v>
      </c>
      <c r="GA137">
        <v>500</v>
      </c>
      <c r="GK137">
        <v>4750</v>
      </c>
      <c r="GN137">
        <f t="shared" si="2"/>
        <v>44853</v>
      </c>
    </row>
    <row r="138" spans="1:196" x14ac:dyDescent="0.25">
      <c r="A138" s="4">
        <f>DATE(2024,1,22)</f>
        <v>45313</v>
      </c>
      <c r="CO138">
        <v>50</v>
      </c>
      <c r="CQ138">
        <v>200</v>
      </c>
      <c r="CY138">
        <v>100</v>
      </c>
      <c r="DA138">
        <v>550</v>
      </c>
      <c r="DE138">
        <v>125</v>
      </c>
      <c r="DI138">
        <v>1775</v>
      </c>
      <c r="DK138">
        <v>200</v>
      </c>
      <c r="DM138">
        <v>50</v>
      </c>
      <c r="DO138">
        <v>250</v>
      </c>
      <c r="DQ138">
        <v>225</v>
      </c>
      <c r="DS138">
        <v>3905</v>
      </c>
      <c r="DT138">
        <v>50</v>
      </c>
      <c r="DU138">
        <v>125</v>
      </c>
      <c r="DW138">
        <v>400</v>
      </c>
      <c r="DY138">
        <v>100</v>
      </c>
      <c r="EC138">
        <v>8301</v>
      </c>
      <c r="EE138">
        <v>100</v>
      </c>
      <c r="EG138">
        <v>200</v>
      </c>
      <c r="EI138">
        <v>50</v>
      </c>
      <c r="EK138">
        <v>300</v>
      </c>
      <c r="EM138">
        <v>6442</v>
      </c>
      <c r="EO138">
        <v>250</v>
      </c>
      <c r="ES138">
        <v>100</v>
      </c>
      <c r="EW138">
        <v>1475</v>
      </c>
      <c r="EY138">
        <v>150</v>
      </c>
      <c r="FC138">
        <v>50</v>
      </c>
      <c r="FG138">
        <v>13050</v>
      </c>
      <c r="FK138">
        <v>50</v>
      </c>
      <c r="FQ138">
        <v>225</v>
      </c>
      <c r="GA138">
        <v>500</v>
      </c>
      <c r="GK138">
        <v>4750</v>
      </c>
      <c r="GN138">
        <f t="shared" si="2"/>
        <v>44098</v>
      </c>
    </row>
    <row r="139" spans="1:196" x14ac:dyDescent="0.25">
      <c r="A139" s="4">
        <f>DATE(2024,1,19)</f>
        <v>45310</v>
      </c>
      <c r="CQ139">
        <v>200</v>
      </c>
      <c r="CY139">
        <v>100</v>
      </c>
      <c r="DA139">
        <v>550</v>
      </c>
      <c r="DE139">
        <v>125</v>
      </c>
      <c r="DI139">
        <v>1825</v>
      </c>
      <c r="DK139">
        <v>200</v>
      </c>
      <c r="DM139">
        <v>50</v>
      </c>
      <c r="DQ139">
        <v>225</v>
      </c>
      <c r="DS139">
        <v>3825</v>
      </c>
      <c r="DT139">
        <v>50</v>
      </c>
      <c r="DU139">
        <v>125</v>
      </c>
      <c r="DW139">
        <v>400</v>
      </c>
      <c r="DY139">
        <v>100</v>
      </c>
      <c r="EC139">
        <v>8301</v>
      </c>
      <c r="EE139">
        <v>100</v>
      </c>
      <c r="EG139">
        <v>200</v>
      </c>
      <c r="EI139">
        <v>50</v>
      </c>
      <c r="EK139">
        <v>300</v>
      </c>
      <c r="EM139">
        <v>6442</v>
      </c>
      <c r="EO139">
        <v>250</v>
      </c>
      <c r="ES139">
        <v>100</v>
      </c>
      <c r="EW139">
        <v>1475</v>
      </c>
      <c r="EY139">
        <v>150</v>
      </c>
      <c r="FC139">
        <v>50</v>
      </c>
      <c r="FG139">
        <v>13100</v>
      </c>
      <c r="FK139">
        <v>50</v>
      </c>
      <c r="FQ139">
        <v>225</v>
      </c>
      <c r="GA139">
        <v>500</v>
      </c>
      <c r="GK139">
        <v>4750</v>
      </c>
      <c r="GN139">
        <f t="shared" si="2"/>
        <v>43818</v>
      </c>
    </row>
    <row r="140" spans="1:196" x14ac:dyDescent="0.25">
      <c r="A140" s="4">
        <f>DATE(2024,1,18)</f>
        <v>45309</v>
      </c>
      <c r="CQ140">
        <v>200</v>
      </c>
      <c r="DA140">
        <v>550</v>
      </c>
      <c r="DE140">
        <v>125</v>
      </c>
      <c r="DI140">
        <v>1825</v>
      </c>
      <c r="DK140">
        <v>200</v>
      </c>
      <c r="DM140">
        <v>50</v>
      </c>
      <c r="DQ140">
        <v>225</v>
      </c>
      <c r="DS140">
        <v>3725</v>
      </c>
      <c r="DT140">
        <v>50</v>
      </c>
      <c r="DU140">
        <v>125</v>
      </c>
      <c r="DW140">
        <v>300</v>
      </c>
      <c r="EC140">
        <v>7551</v>
      </c>
      <c r="EE140">
        <v>100</v>
      </c>
      <c r="EG140">
        <v>200</v>
      </c>
      <c r="EI140">
        <v>50</v>
      </c>
      <c r="EK140">
        <v>300</v>
      </c>
      <c r="EM140">
        <v>6042</v>
      </c>
      <c r="EO140">
        <v>250</v>
      </c>
      <c r="ES140">
        <v>100</v>
      </c>
      <c r="EW140">
        <v>975</v>
      </c>
      <c r="EY140">
        <v>150</v>
      </c>
      <c r="FC140">
        <v>50</v>
      </c>
      <c r="FG140">
        <v>13200</v>
      </c>
      <c r="FK140">
        <v>50</v>
      </c>
      <c r="FQ140">
        <v>225</v>
      </c>
      <c r="GA140">
        <v>500</v>
      </c>
      <c r="GK140">
        <v>4750</v>
      </c>
      <c r="GN140">
        <f t="shared" si="2"/>
        <v>41868</v>
      </c>
    </row>
    <row r="141" spans="1:196" x14ac:dyDescent="0.25">
      <c r="A141" s="4">
        <f>DATE(2024,1,17)</f>
        <v>45308</v>
      </c>
      <c r="CQ141">
        <v>200</v>
      </c>
      <c r="DA141">
        <v>550</v>
      </c>
      <c r="DE141">
        <v>125</v>
      </c>
      <c r="DI141">
        <v>1700</v>
      </c>
      <c r="DK141">
        <v>200</v>
      </c>
      <c r="DM141">
        <v>50</v>
      </c>
      <c r="DQ141">
        <v>225</v>
      </c>
      <c r="DS141">
        <v>3925</v>
      </c>
      <c r="DT141">
        <v>50</v>
      </c>
      <c r="DU141">
        <v>125</v>
      </c>
      <c r="DW141">
        <v>300</v>
      </c>
      <c r="EC141">
        <v>7205</v>
      </c>
      <c r="EE141">
        <v>100</v>
      </c>
      <c r="EG141">
        <v>200</v>
      </c>
      <c r="EI141">
        <v>50</v>
      </c>
      <c r="EK141">
        <v>50</v>
      </c>
      <c r="EM141">
        <v>5292</v>
      </c>
      <c r="ES141">
        <v>100</v>
      </c>
      <c r="EW141">
        <v>975</v>
      </c>
      <c r="EY141">
        <v>150</v>
      </c>
      <c r="FC141">
        <v>50</v>
      </c>
      <c r="FG141">
        <v>13575</v>
      </c>
      <c r="FK141">
        <v>50</v>
      </c>
      <c r="FQ141">
        <v>225</v>
      </c>
      <c r="GA141">
        <v>500</v>
      </c>
      <c r="GK141">
        <v>4750</v>
      </c>
      <c r="GN141">
        <f t="shared" si="2"/>
        <v>40722</v>
      </c>
    </row>
    <row r="142" spans="1:196" x14ac:dyDescent="0.25">
      <c r="A142" s="4">
        <f>DATE(2024,1,16)</f>
        <v>45307</v>
      </c>
      <c r="CQ142">
        <v>200</v>
      </c>
      <c r="DA142">
        <v>550</v>
      </c>
      <c r="DE142">
        <v>125</v>
      </c>
      <c r="DI142">
        <v>1600</v>
      </c>
      <c r="DK142">
        <v>200</v>
      </c>
      <c r="DM142">
        <v>50</v>
      </c>
      <c r="DQ142">
        <v>225</v>
      </c>
      <c r="DS142">
        <v>3925</v>
      </c>
      <c r="DT142">
        <v>50</v>
      </c>
      <c r="DU142">
        <v>125</v>
      </c>
      <c r="DW142">
        <v>300</v>
      </c>
      <c r="EC142">
        <v>7205</v>
      </c>
      <c r="EE142">
        <v>100</v>
      </c>
      <c r="EG142">
        <v>200</v>
      </c>
      <c r="EI142">
        <v>50</v>
      </c>
      <c r="EK142">
        <v>50</v>
      </c>
      <c r="EM142">
        <v>5292</v>
      </c>
      <c r="ES142">
        <v>100</v>
      </c>
      <c r="EW142">
        <v>975</v>
      </c>
      <c r="EY142">
        <v>150</v>
      </c>
      <c r="FC142">
        <v>50</v>
      </c>
      <c r="FG142">
        <v>13575</v>
      </c>
      <c r="FK142">
        <v>50</v>
      </c>
      <c r="FQ142">
        <v>225</v>
      </c>
      <c r="GA142">
        <v>500</v>
      </c>
      <c r="GK142">
        <v>4750</v>
      </c>
      <c r="GN142">
        <f t="shared" si="2"/>
        <v>40622</v>
      </c>
    </row>
    <row r="143" spans="1:196" x14ac:dyDescent="0.25">
      <c r="A143" s="4">
        <f>DATE(2024,1,15)</f>
        <v>45306</v>
      </c>
      <c r="DA143">
        <v>550</v>
      </c>
      <c r="DE143">
        <v>125</v>
      </c>
      <c r="DI143">
        <v>1600</v>
      </c>
      <c r="DM143">
        <v>50</v>
      </c>
      <c r="DQ143">
        <v>225</v>
      </c>
      <c r="DS143">
        <v>3900</v>
      </c>
      <c r="DT143">
        <v>50</v>
      </c>
      <c r="DU143">
        <v>125</v>
      </c>
      <c r="DW143">
        <v>300</v>
      </c>
      <c r="EC143">
        <v>7205</v>
      </c>
      <c r="EE143">
        <v>100</v>
      </c>
      <c r="EG143">
        <v>200</v>
      </c>
      <c r="EI143">
        <v>50</v>
      </c>
      <c r="EK143">
        <v>50</v>
      </c>
      <c r="EM143">
        <v>5292</v>
      </c>
      <c r="ES143">
        <v>100</v>
      </c>
      <c r="EW143">
        <v>850</v>
      </c>
      <c r="EY143">
        <v>150</v>
      </c>
      <c r="FC143">
        <v>50</v>
      </c>
      <c r="FG143">
        <v>13575</v>
      </c>
      <c r="FK143">
        <v>50</v>
      </c>
      <c r="FQ143">
        <v>225</v>
      </c>
      <c r="GA143">
        <v>500</v>
      </c>
      <c r="GK143">
        <v>4750</v>
      </c>
      <c r="GN143">
        <f t="shared" si="2"/>
        <v>40072</v>
      </c>
    </row>
    <row r="144" spans="1:196" x14ac:dyDescent="0.25">
      <c r="A144" s="4">
        <f>DATE(2024,1,12)</f>
        <v>45303</v>
      </c>
      <c r="DA144">
        <v>550</v>
      </c>
      <c r="DE144">
        <v>125</v>
      </c>
      <c r="DI144">
        <v>1600</v>
      </c>
      <c r="DM144">
        <v>50</v>
      </c>
      <c r="DQ144">
        <v>225</v>
      </c>
      <c r="DS144">
        <v>3900</v>
      </c>
      <c r="DT144">
        <v>50</v>
      </c>
      <c r="DU144">
        <v>125</v>
      </c>
      <c r="DW144">
        <v>300</v>
      </c>
      <c r="EC144">
        <v>7180</v>
      </c>
      <c r="EE144">
        <v>100</v>
      </c>
      <c r="EG144">
        <v>200</v>
      </c>
      <c r="EI144">
        <v>50</v>
      </c>
      <c r="EK144">
        <v>50</v>
      </c>
      <c r="EM144">
        <v>4792</v>
      </c>
      <c r="ES144">
        <v>100</v>
      </c>
      <c r="EW144">
        <v>850</v>
      </c>
      <c r="EY144">
        <v>150</v>
      </c>
      <c r="FC144">
        <v>50</v>
      </c>
      <c r="FG144">
        <v>13125</v>
      </c>
      <c r="FK144">
        <v>50</v>
      </c>
      <c r="FQ144">
        <v>225</v>
      </c>
      <c r="GA144">
        <v>500</v>
      </c>
      <c r="GK144">
        <v>4750</v>
      </c>
      <c r="GN144">
        <f t="shared" si="2"/>
        <v>39097</v>
      </c>
    </row>
    <row r="145" spans="1:196" x14ac:dyDescent="0.25">
      <c r="A145" s="4">
        <f>DATE(2024,1,11)</f>
        <v>45302</v>
      </c>
      <c r="DA145">
        <v>550</v>
      </c>
      <c r="DE145">
        <v>125</v>
      </c>
      <c r="DI145">
        <v>1000</v>
      </c>
      <c r="DM145">
        <v>50</v>
      </c>
      <c r="DQ145">
        <v>225</v>
      </c>
      <c r="DS145">
        <v>2850</v>
      </c>
      <c r="DT145">
        <v>50</v>
      </c>
      <c r="DU145">
        <v>125</v>
      </c>
      <c r="DW145">
        <v>300</v>
      </c>
      <c r="EC145">
        <v>7305</v>
      </c>
      <c r="EE145">
        <v>100</v>
      </c>
      <c r="EG145">
        <v>200</v>
      </c>
      <c r="EI145">
        <v>50</v>
      </c>
      <c r="EK145">
        <v>50</v>
      </c>
      <c r="EM145">
        <v>4492</v>
      </c>
      <c r="ES145">
        <v>100</v>
      </c>
      <c r="EW145">
        <v>850</v>
      </c>
      <c r="EY145">
        <v>150</v>
      </c>
      <c r="FC145">
        <v>50</v>
      </c>
      <c r="FG145">
        <v>12850</v>
      </c>
      <c r="FK145">
        <v>50</v>
      </c>
      <c r="FQ145">
        <v>225</v>
      </c>
      <c r="GA145">
        <v>500</v>
      </c>
      <c r="GK145">
        <v>4750</v>
      </c>
      <c r="GN145">
        <f t="shared" si="2"/>
        <v>36997</v>
      </c>
    </row>
    <row r="146" spans="1:196" x14ac:dyDescent="0.25">
      <c r="A146" s="4">
        <f>DATE(2024,1,10)</f>
        <v>45301</v>
      </c>
      <c r="DA146">
        <v>550</v>
      </c>
      <c r="DE146">
        <v>125</v>
      </c>
      <c r="DI146">
        <v>1000</v>
      </c>
      <c r="DM146">
        <v>50</v>
      </c>
      <c r="DQ146">
        <v>225</v>
      </c>
      <c r="DS146">
        <v>2325</v>
      </c>
      <c r="DT146">
        <v>50</v>
      </c>
      <c r="DU146">
        <v>125</v>
      </c>
      <c r="DW146">
        <v>300</v>
      </c>
      <c r="EC146">
        <v>7305</v>
      </c>
      <c r="EE146">
        <v>100</v>
      </c>
      <c r="EG146">
        <v>200</v>
      </c>
      <c r="EI146">
        <v>50</v>
      </c>
      <c r="EK146">
        <v>50</v>
      </c>
      <c r="EM146">
        <v>3792</v>
      </c>
      <c r="ES146">
        <v>100</v>
      </c>
      <c r="EW146">
        <v>850</v>
      </c>
      <c r="EY146">
        <v>150</v>
      </c>
      <c r="FC146">
        <v>50</v>
      </c>
      <c r="FG146">
        <v>12900</v>
      </c>
      <c r="FK146">
        <v>50</v>
      </c>
      <c r="FQ146">
        <v>225</v>
      </c>
      <c r="GA146">
        <v>500</v>
      </c>
      <c r="GK146">
        <v>4750</v>
      </c>
      <c r="GN146">
        <f t="shared" si="2"/>
        <v>35822</v>
      </c>
    </row>
    <row r="147" spans="1:196" x14ac:dyDescent="0.25">
      <c r="A147" s="4">
        <f>DATE(2024,1,9)</f>
        <v>45300</v>
      </c>
      <c r="DA147">
        <v>550</v>
      </c>
      <c r="DE147">
        <v>125</v>
      </c>
      <c r="DI147">
        <v>400</v>
      </c>
      <c r="DM147">
        <v>50</v>
      </c>
      <c r="DQ147">
        <v>225</v>
      </c>
      <c r="DS147">
        <v>2375</v>
      </c>
      <c r="DT147">
        <v>50</v>
      </c>
      <c r="DU147">
        <v>125</v>
      </c>
      <c r="DW147">
        <v>300</v>
      </c>
      <c r="EC147">
        <v>7405</v>
      </c>
      <c r="EE147">
        <v>100</v>
      </c>
      <c r="EG147">
        <v>200</v>
      </c>
      <c r="EI147">
        <v>50</v>
      </c>
      <c r="EK147">
        <v>50</v>
      </c>
      <c r="EM147">
        <v>3692</v>
      </c>
      <c r="ES147">
        <v>100</v>
      </c>
      <c r="EW147">
        <v>850</v>
      </c>
      <c r="EY147">
        <v>150</v>
      </c>
      <c r="FC147">
        <v>50</v>
      </c>
      <c r="FG147">
        <v>12900</v>
      </c>
      <c r="FK147">
        <v>50</v>
      </c>
      <c r="FQ147">
        <v>225</v>
      </c>
      <c r="GA147">
        <v>500</v>
      </c>
      <c r="GK147">
        <v>4750</v>
      </c>
      <c r="GN147">
        <f t="shared" si="2"/>
        <v>35272</v>
      </c>
    </row>
    <row r="148" spans="1:196" x14ac:dyDescent="0.25">
      <c r="A148" s="4">
        <f>DATE(2024,1,8)</f>
        <v>45299</v>
      </c>
      <c r="DA148">
        <v>550</v>
      </c>
      <c r="DE148">
        <v>125</v>
      </c>
      <c r="DI148">
        <v>300</v>
      </c>
      <c r="DM148">
        <v>50</v>
      </c>
      <c r="DQ148">
        <v>225</v>
      </c>
      <c r="DS148">
        <v>2300</v>
      </c>
      <c r="DT148">
        <v>50</v>
      </c>
      <c r="DU148">
        <v>125</v>
      </c>
      <c r="DW148">
        <v>300</v>
      </c>
      <c r="EC148">
        <v>7355</v>
      </c>
      <c r="EG148">
        <v>200</v>
      </c>
      <c r="EI148">
        <v>50</v>
      </c>
      <c r="EK148">
        <v>50</v>
      </c>
      <c r="EM148">
        <v>3192</v>
      </c>
      <c r="ES148">
        <v>100</v>
      </c>
      <c r="EW148">
        <v>750</v>
      </c>
      <c r="EY148">
        <v>150</v>
      </c>
      <c r="FC148">
        <v>50</v>
      </c>
      <c r="FG148">
        <v>12900</v>
      </c>
      <c r="FK148">
        <v>50</v>
      </c>
      <c r="FQ148">
        <v>225</v>
      </c>
      <c r="GA148">
        <v>450</v>
      </c>
      <c r="GK148">
        <v>4750</v>
      </c>
      <c r="GN148">
        <f t="shared" si="2"/>
        <v>34297</v>
      </c>
    </row>
    <row r="149" spans="1:196" x14ac:dyDescent="0.25">
      <c r="A149" s="4">
        <f>DATE(2024,1,5)</f>
        <v>45296</v>
      </c>
      <c r="DA149">
        <v>550</v>
      </c>
      <c r="DE149">
        <v>125</v>
      </c>
      <c r="DI149">
        <v>200</v>
      </c>
      <c r="DM149">
        <v>50</v>
      </c>
      <c r="DQ149">
        <v>225</v>
      </c>
      <c r="DS149">
        <v>2300</v>
      </c>
      <c r="DT149">
        <v>50</v>
      </c>
      <c r="DU149">
        <v>125</v>
      </c>
      <c r="DW149">
        <v>300</v>
      </c>
      <c r="EC149">
        <v>7455</v>
      </c>
      <c r="EG149">
        <v>200</v>
      </c>
      <c r="EI149">
        <v>50</v>
      </c>
      <c r="EK149">
        <v>50</v>
      </c>
      <c r="EM149">
        <v>3042</v>
      </c>
      <c r="ES149">
        <v>100</v>
      </c>
      <c r="EW149">
        <v>750</v>
      </c>
      <c r="EY149">
        <v>150</v>
      </c>
      <c r="FC149">
        <v>50</v>
      </c>
      <c r="FG149">
        <v>12900</v>
      </c>
      <c r="FK149">
        <v>50</v>
      </c>
      <c r="FQ149">
        <v>225</v>
      </c>
      <c r="GA149">
        <v>450</v>
      </c>
      <c r="GK149">
        <v>4750</v>
      </c>
      <c r="GN149">
        <f t="shared" si="2"/>
        <v>34147</v>
      </c>
    </row>
    <row r="150" spans="1:196" x14ac:dyDescent="0.25">
      <c r="A150" s="4">
        <f>DATE(2024,1,4)</f>
        <v>45295</v>
      </c>
      <c r="DA150">
        <v>550</v>
      </c>
      <c r="DE150">
        <v>125</v>
      </c>
      <c r="DI150">
        <v>200</v>
      </c>
      <c r="DM150">
        <v>50</v>
      </c>
      <c r="DQ150">
        <v>225</v>
      </c>
      <c r="DS150">
        <v>2450</v>
      </c>
      <c r="DT150">
        <v>50</v>
      </c>
      <c r="DU150">
        <v>125</v>
      </c>
      <c r="DW150">
        <v>300</v>
      </c>
      <c r="EC150">
        <v>7455</v>
      </c>
      <c r="EG150">
        <v>200</v>
      </c>
      <c r="EI150">
        <v>50</v>
      </c>
      <c r="EK150">
        <v>50</v>
      </c>
      <c r="EM150">
        <v>3042</v>
      </c>
      <c r="ES150">
        <v>100</v>
      </c>
      <c r="EW150">
        <v>750</v>
      </c>
      <c r="EY150">
        <v>150</v>
      </c>
      <c r="FC150">
        <v>50</v>
      </c>
      <c r="FG150">
        <v>12900</v>
      </c>
      <c r="FK150">
        <v>50</v>
      </c>
      <c r="FQ150">
        <v>225</v>
      </c>
      <c r="GA150">
        <v>450</v>
      </c>
      <c r="GK150">
        <v>4750</v>
      </c>
      <c r="GN150">
        <f t="shared" si="2"/>
        <v>34297</v>
      </c>
    </row>
    <row r="151" spans="1:196" x14ac:dyDescent="0.25">
      <c r="A151" s="4">
        <f>DATE(2024,1,3)</f>
        <v>45294</v>
      </c>
      <c r="DA151">
        <v>550</v>
      </c>
      <c r="DE151">
        <v>125</v>
      </c>
      <c r="DI151">
        <v>200</v>
      </c>
      <c r="DM151">
        <v>50</v>
      </c>
      <c r="DQ151">
        <v>225</v>
      </c>
      <c r="DS151">
        <v>2450</v>
      </c>
      <c r="DT151">
        <v>50</v>
      </c>
      <c r="DU151">
        <v>125</v>
      </c>
      <c r="DW151">
        <v>300</v>
      </c>
      <c r="EC151">
        <v>7450</v>
      </c>
      <c r="EG151">
        <v>200</v>
      </c>
      <c r="EI151">
        <v>50</v>
      </c>
      <c r="EK151">
        <v>50</v>
      </c>
      <c r="EM151">
        <v>3042</v>
      </c>
      <c r="ES151">
        <v>100</v>
      </c>
      <c r="EW151">
        <v>750</v>
      </c>
      <c r="EY151">
        <v>150</v>
      </c>
      <c r="FC151">
        <v>50</v>
      </c>
      <c r="FG151">
        <v>12850</v>
      </c>
      <c r="FK151">
        <v>50</v>
      </c>
      <c r="FQ151">
        <v>225</v>
      </c>
      <c r="GA151">
        <v>450</v>
      </c>
      <c r="GK151">
        <v>4750</v>
      </c>
      <c r="GN151">
        <f t="shared" si="2"/>
        <v>34242</v>
      </c>
    </row>
    <row r="152" spans="1:196" x14ac:dyDescent="0.25">
      <c r="A152" s="4">
        <f>DATE(2024,1,2)</f>
        <v>45293</v>
      </c>
      <c r="DA152">
        <v>550</v>
      </c>
      <c r="DE152">
        <v>125</v>
      </c>
      <c r="DI152">
        <v>200</v>
      </c>
      <c r="DM152">
        <v>50</v>
      </c>
      <c r="DQ152">
        <v>225</v>
      </c>
      <c r="DS152">
        <v>2450</v>
      </c>
      <c r="DT152">
        <v>50</v>
      </c>
      <c r="DU152">
        <v>125</v>
      </c>
      <c r="DW152">
        <v>300</v>
      </c>
      <c r="EC152">
        <v>7450</v>
      </c>
      <c r="EG152">
        <v>200</v>
      </c>
      <c r="EI152">
        <v>50</v>
      </c>
      <c r="EK152">
        <v>50</v>
      </c>
      <c r="EM152">
        <v>3042</v>
      </c>
      <c r="ES152">
        <v>100</v>
      </c>
      <c r="EW152">
        <v>750</v>
      </c>
      <c r="EY152">
        <v>150</v>
      </c>
      <c r="FC152">
        <v>50</v>
      </c>
      <c r="FG152">
        <v>12850</v>
      </c>
      <c r="FK152">
        <v>50</v>
      </c>
      <c r="FQ152">
        <v>225</v>
      </c>
      <c r="GA152">
        <v>450</v>
      </c>
      <c r="GK152">
        <v>4750</v>
      </c>
      <c r="GN152">
        <f t="shared" si="2"/>
        <v>34242</v>
      </c>
    </row>
    <row r="153" spans="1:196" x14ac:dyDescent="0.25">
      <c r="A153" s="4">
        <f>DATE(2024,1,1)</f>
        <v>45292</v>
      </c>
      <c r="GN153">
        <f t="shared" si="2"/>
        <v>0</v>
      </c>
    </row>
    <row r="154" spans="1:196" x14ac:dyDescent="0.25">
      <c r="A154" s="4">
        <f>DATE(2023,12,29)</f>
        <v>45289</v>
      </c>
      <c r="DA154">
        <v>550</v>
      </c>
      <c r="DE154">
        <v>125</v>
      </c>
      <c r="DI154">
        <v>200</v>
      </c>
      <c r="DM154">
        <v>50</v>
      </c>
      <c r="DQ154">
        <v>225</v>
      </c>
      <c r="DS154">
        <v>2450</v>
      </c>
      <c r="DT154">
        <v>50</v>
      </c>
      <c r="DU154">
        <v>125</v>
      </c>
      <c r="DW154">
        <v>300</v>
      </c>
      <c r="EC154">
        <v>7450</v>
      </c>
      <c r="EG154">
        <v>200</v>
      </c>
      <c r="EI154">
        <v>50</v>
      </c>
      <c r="EK154">
        <v>50</v>
      </c>
      <c r="EM154">
        <v>3042</v>
      </c>
      <c r="ES154">
        <v>100</v>
      </c>
      <c r="EW154">
        <v>750</v>
      </c>
      <c r="EY154">
        <v>150</v>
      </c>
      <c r="FC154">
        <v>50</v>
      </c>
      <c r="FG154">
        <v>12850</v>
      </c>
      <c r="FK154">
        <v>50</v>
      </c>
      <c r="FQ154">
        <v>225</v>
      </c>
      <c r="GA154">
        <v>450</v>
      </c>
      <c r="GK154">
        <v>4750</v>
      </c>
      <c r="GN154">
        <f t="shared" si="2"/>
        <v>34242</v>
      </c>
    </row>
    <row r="155" spans="1:196" x14ac:dyDescent="0.25">
      <c r="A155" s="4">
        <f>DATE(2023,12,28)</f>
        <v>45288</v>
      </c>
      <c r="DA155">
        <v>550</v>
      </c>
      <c r="DE155">
        <v>125</v>
      </c>
      <c r="DI155">
        <v>200</v>
      </c>
      <c r="DM155">
        <v>50</v>
      </c>
      <c r="DQ155">
        <v>225</v>
      </c>
      <c r="DS155">
        <v>2450</v>
      </c>
      <c r="DT155">
        <v>50</v>
      </c>
      <c r="DU155">
        <v>125</v>
      </c>
      <c r="DW155">
        <v>300</v>
      </c>
      <c r="EC155">
        <v>7450</v>
      </c>
      <c r="EG155">
        <v>200</v>
      </c>
      <c r="EI155">
        <v>50</v>
      </c>
      <c r="EK155">
        <v>50</v>
      </c>
      <c r="EM155">
        <v>3042</v>
      </c>
      <c r="ES155">
        <v>100</v>
      </c>
      <c r="EW155">
        <v>750</v>
      </c>
      <c r="EY155">
        <v>150</v>
      </c>
      <c r="FC155">
        <v>50</v>
      </c>
      <c r="FG155">
        <v>12850</v>
      </c>
      <c r="FK155">
        <v>50</v>
      </c>
      <c r="FQ155">
        <v>225</v>
      </c>
      <c r="GA155">
        <v>450</v>
      </c>
      <c r="GK155">
        <v>4750</v>
      </c>
      <c r="GN155">
        <f t="shared" si="2"/>
        <v>34242</v>
      </c>
    </row>
    <row r="156" spans="1:196" x14ac:dyDescent="0.25">
      <c r="A156" s="4">
        <f>DATE(2023,12,27)</f>
        <v>45287</v>
      </c>
      <c r="DA156">
        <v>550</v>
      </c>
      <c r="DE156">
        <v>125</v>
      </c>
      <c r="DI156">
        <v>200</v>
      </c>
      <c r="DM156">
        <v>50</v>
      </c>
      <c r="DQ156">
        <v>225</v>
      </c>
      <c r="DS156">
        <v>2450</v>
      </c>
      <c r="DT156">
        <v>50</v>
      </c>
      <c r="DU156">
        <v>125</v>
      </c>
      <c r="DW156">
        <v>300</v>
      </c>
      <c r="EC156">
        <v>7450</v>
      </c>
      <c r="EG156">
        <v>200</v>
      </c>
      <c r="EI156">
        <v>50</v>
      </c>
      <c r="EK156">
        <v>50</v>
      </c>
      <c r="EM156">
        <v>3042</v>
      </c>
      <c r="ES156">
        <v>100</v>
      </c>
      <c r="EW156">
        <v>750</v>
      </c>
      <c r="EY156">
        <v>150</v>
      </c>
      <c r="FC156">
        <v>50</v>
      </c>
      <c r="FG156">
        <v>12850</v>
      </c>
      <c r="FK156">
        <v>50</v>
      </c>
      <c r="FQ156">
        <v>225</v>
      </c>
      <c r="GA156">
        <v>450</v>
      </c>
      <c r="GK156">
        <v>4750</v>
      </c>
      <c r="GN156">
        <f t="shared" si="2"/>
        <v>34242</v>
      </c>
    </row>
    <row r="157" spans="1:196" x14ac:dyDescent="0.25">
      <c r="A157" s="4">
        <f>DATE(2023,12,26)</f>
        <v>45286</v>
      </c>
      <c r="DA157">
        <v>550</v>
      </c>
      <c r="DE157">
        <v>125</v>
      </c>
      <c r="DI157">
        <v>200</v>
      </c>
      <c r="DM157">
        <v>50</v>
      </c>
      <c r="DQ157">
        <v>225</v>
      </c>
      <c r="DS157">
        <v>2450</v>
      </c>
      <c r="DT157">
        <v>50</v>
      </c>
      <c r="DU157">
        <v>125</v>
      </c>
      <c r="DW157">
        <v>300</v>
      </c>
      <c r="EC157">
        <v>7450</v>
      </c>
      <c r="EG157">
        <v>200</v>
      </c>
      <c r="EI157">
        <v>50</v>
      </c>
      <c r="EK157">
        <v>50</v>
      </c>
      <c r="EM157">
        <v>3042</v>
      </c>
      <c r="ES157">
        <v>100</v>
      </c>
      <c r="EW157">
        <v>750</v>
      </c>
      <c r="EY157">
        <v>150</v>
      </c>
      <c r="FC157">
        <v>50</v>
      </c>
      <c r="FG157">
        <v>12850</v>
      </c>
      <c r="FK157">
        <v>50</v>
      </c>
      <c r="FQ157">
        <v>225</v>
      </c>
      <c r="GA157">
        <v>450</v>
      </c>
      <c r="GK157">
        <v>4750</v>
      </c>
      <c r="GN157">
        <f t="shared" si="2"/>
        <v>34242</v>
      </c>
    </row>
    <row r="158" spans="1:196" x14ac:dyDescent="0.25">
      <c r="A158" s="4">
        <f>DATE(2023,12,25)</f>
        <v>45285</v>
      </c>
      <c r="GN158">
        <f t="shared" si="2"/>
        <v>0</v>
      </c>
    </row>
    <row r="159" spans="1:196" x14ac:dyDescent="0.25">
      <c r="A159" s="4">
        <f>DATE(2023,12,22)</f>
        <v>45282</v>
      </c>
      <c r="DA159">
        <v>550</v>
      </c>
      <c r="DE159">
        <v>125</v>
      </c>
      <c r="DI159">
        <v>200</v>
      </c>
      <c r="DM159">
        <v>50</v>
      </c>
      <c r="DQ159">
        <v>225</v>
      </c>
      <c r="DS159">
        <v>2450</v>
      </c>
      <c r="DT159">
        <v>50</v>
      </c>
      <c r="DU159">
        <v>125</v>
      </c>
      <c r="DW159">
        <v>300</v>
      </c>
      <c r="EC159">
        <v>7450</v>
      </c>
      <c r="EG159">
        <v>200</v>
      </c>
      <c r="EI159">
        <v>50</v>
      </c>
      <c r="EK159">
        <v>50</v>
      </c>
      <c r="EM159">
        <v>3042</v>
      </c>
      <c r="ES159">
        <v>100</v>
      </c>
      <c r="EW159">
        <v>750</v>
      </c>
      <c r="EY159">
        <v>150</v>
      </c>
      <c r="FC159">
        <v>50</v>
      </c>
      <c r="FG159">
        <v>12850</v>
      </c>
      <c r="FK159">
        <v>50</v>
      </c>
      <c r="FQ159">
        <v>225</v>
      </c>
      <c r="GA159">
        <v>450</v>
      </c>
      <c r="GK159">
        <v>4750</v>
      </c>
      <c r="GN159">
        <f t="shared" si="2"/>
        <v>34242</v>
      </c>
    </row>
    <row r="160" spans="1:196" x14ac:dyDescent="0.25">
      <c r="A160" s="4">
        <f>DATE(2023,12,21)</f>
        <v>45281</v>
      </c>
      <c r="DA160">
        <v>550</v>
      </c>
      <c r="DE160">
        <v>125</v>
      </c>
      <c r="DI160">
        <v>350</v>
      </c>
      <c r="DM160">
        <v>50</v>
      </c>
      <c r="DQ160">
        <v>225</v>
      </c>
      <c r="DS160">
        <v>2400</v>
      </c>
      <c r="DT160">
        <v>50</v>
      </c>
      <c r="DU160">
        <v>125</v>
      </c>
      <c r="DW160">
        <v>300</v>
      </c>
      <c r="EC160">
        <v>7450</v>
      </c>
      <c r="EG160">
        <v>200</v>
      </c>
      <c r="EI160">
        <v>50</v>
      </c>
      <c r="EK160">
        <v>50</v>
      </c>
      <c r="EM160">
        <v>3075</v>
      </c>
      <c r="ES160">
        <v>100</v>
      </c>
      <c r="EW160">
        <v>750</v>
      </c>
      <c r="EY160">
        <v>150</v>
      </c>
      <c r="FC160">
        <v>50</v>
      </c>
      <c r="FG160">
        <v>12750</v>
      </c>
      <c r="FK160">
        <v>50</v>
      </c>
      <c r="FQ160">
        <v>225</v>
      </c>
      <c r="GA160">
        <v>450</v>
      </c>
      <c r="GK160">
        <v>4750</v>
      </c>
      <c r="GN160">
        <f t="shared" si="2"/>
        <v>34275</v>
      </c>
    </row>
    <row r="161" spans="1:196" x14ac:dyDescent="0.25">
      <c r="A161" s="4">
        <f>DATE(2023,12,20)</f>
        <v>45280</v>
      </c>
      <c r="DA161">
        <v>550</v>
      </c>
      <c r="DE161">
        <v>125</v>
      </c>
      <c r="DI161">
        <v>350</v>
      </c>
      <c r="DM161">
        <v>50</v>
      </c>
      <c r="DQ161">
        <v>225</v>
      </c>
      <c r="DS161">
        <v>2400</v>
      </c>
      <c r="DT161">
        <v>50</v>
      </c>
      <c r="DU161">
        <v>125</v>
      </c>
      <c r="DW161">
        <v>300</v>
      </c>
      <c r="EC161">
        <v>7450</v>
      </c>
      <c r="EG161">
        <v>200</v>
      </c>
      <c r="EI161">
        <v>50</v>
      </c>
      <c r="EK161">
        <v>50</v>
      </c>
      <c r="EM161">
        <v>3075</v>
      </c>
      <c r="ES161">
        <v>100</v>
      </c>
      <c r="EW161">
        <v>750</v>
      </c>
      <c r="EY161">
        <v>150</v>
      </c>
      <c r="FC161">
        <v>50</v>
      </c>
      <c r="FG161">
        <v>12750</v>
      </c>
      <c r="FK161">
        <v>50</v>
      </c>
      <c r="FQ161">
        <v>225</v>
      </c>
      <c r="GA161">
        <v>450</v>
      </c>
      <c r="GK161">
        <v>4750</v>
      </c>
      <c r="GN161">
        <f t="shared" si="2"/>
        <v>34275</v>
      </c>
    </row>
    <row r="162" spans="1:196" x14ac:dyDescent="0.25">
      <c r="A162" s="4">
        <f>DATE(2023,12,19)</f>
        <v>45279</v>
      </c>
      <c r="B162">
        <v>0</v>
      </c>
      <c r="DA162">
        <v>550</v>
      </c>
      <c r="DE162">
        <v>125</v>
      </c>
      <c r="DI162">
        <v>350</v>
      </c>
      <c r="DM162">
        <v>50</v>
      </c>
      <c r="DQ162">
        <v>225</v>
      </c>
      <c r="DS162">
        <v>2400</v>
      </c>
      <c r="DT162">
        <v>50</v>
      </c>
      <c r="DU162">
        <v>125</v>
      </c>
      <c r="DW162">
        <v>300</v>
      </c>
      <c r="EC162">
        <v>7450</v>
      </c>
      <c r="EG162">
        <v>200</v>
      </c>
      <c r="EI162">
        <v>50</v>
      </c>
      <c r="EK162">
        <v>50</v>
      </c>
      <c r="EM162">
        <v>3075</v>
      </c>
      <c r="ES162">
        <v>100</v>
      </c>
      <c r="EW162">
        <v>750</v>
      </c>
      <c r="EY162">
        <v>150</v>
      </c>
      <c r="FC162">
        <v>50</v>
      </c>
      <c r="FG162">
        <v>12800</v>
      </c>
      <c r="FK162">
        <v>50</v>
      </c>
      <c r="FQ162">
        <v>225</v>
      </c>
      <c r="GA162">
        <v>450</v>
      </c>
      <c r="GK162">
        <v>4750</v>
      </c>
      <c r="GN162">
        <f t="shared" si="2"/>
        <v>34325</v>
      </c>
    </row>
    <row r="163" spans="1:196" x14ac:dyDescent="0.25">
      <c r="A163" s="4">
        <f>DATE(2023,12,18)</f>
        <v>45278</v>
      </c>
      <c r="B163">
        <v>245343</v>
      </c>
      <c r="DA163">
        <v>550</v>
      </c>
      <c r="DE163">
        <v>125</v>
      </c>
      <c r="DI163">
        <v>350</v>
      </c>
      <c r="DM163">
        <v>50</v>
      </c>
      <c r="DQ163">
        <v>225</v>
      </c>
      <c r="DS163">
        <v>1650</v>
      </c>
      <c r="DT163">
        <v>50</v>
      </c>
      <c r="DU163">
        <v>125</v>
      </c>
      <c r="DW163">
        <v>300</v>
      </c>
      <c r="EC163">
        <v>7500</v>
      </c>
      <c r="EG163">
        <v>200</v>
      </c>
      <c r="EI163">
        <v>50</v>
      </c>
      <c r="EK163">
        <v>50</v>
      </c>
      <c r="EM163">
        <v>2550</v>
      </c>
      <c r="ES163">
        <v>100</v>
      </c>
      <c r="EW163">
        <v>800</v>
      </c>
      <c r="EY163">
        <v>150</v>
      </c>
      <c r="FC163">
        <v>50</v>
      </c>
      <c r="FG163">
        <v>11675</v>
      </c>
      <c r="FK163">
        <v>50</v>
      </c>
      <c r="FQ163">
        <v>225</v>
      </c>
      <c r="GA163">
        <v>450</v>
      </c>
      <c r="GK163">
        <v>4750</v>
      </c>
      <c r="GN163">
        <f t="shared" si="2"/>
        <v>32025</v>
      </c>
    </row>
    <row r="164" spans="1:196" s="9" customFormat="1" x14ac:dyDescent="0.25">
      <c r="A164" s="80">
        <f>DATE(2023,12,15)</f>
        <v>45275</v>
      </c>
      <c r="B164" s="9">
        <v>240613</v>
      </c>
      <c r="DA164" s="9">
        <v>550</v>
      </c>
      <c r="DE164" s="9">
        <v>125</v>
      </c>
      <c r="DI164" s="9">
        <v>350</v>
      </c>
      <c r="DM164" s="9">
        <v>50</v>
      </c>
      <c r="DQ164" s="9">
        <v>225</v>
      </c>
      <c r="DS164" s="9">
        <v>1650</v>
      </c>
      <c r="DT164" s="9">
        <v>50</v>
      </c>
      <c r="DU164" s="9">
        <v>125</v>
      </c>
      <c r="DW164" s="9">
        <v>300</v>
      </c>
      <c r="EC164" s="9">
        <v>7500</v>
      </c>
      <c r="EG164" s="9">
        <v>200</v>
      </c>
      <c r="EI164" s="9">
        <v>50</v>
      </c>
      <c r="EK164" s="9">
        <v>50</v>
      </c>
      <c r="EM164" s="9">
        <v>2550</v>
      </c>
      <c r="ES164" s="9">
        <v>100</v>
      </c>
      <c r="EW164" s="9">
        <v>800</v>
      </c>
      <c r="EY164" s="9">
        <v>150</v>
      </c>
      <c r="FC164" s="9">
        <v>50</v>
      </c>
      <c r="FG164" s="9">
        <v>11675</v>
      </c>
      <c r="FK164" s="9">
        <v>50</v>
      </c>
      <c r="FQ164" s="9">
        <v>225</v>
      </c>
      <c r="GA164" s="9">
        <v>450</v>
      </c>
      <c r="GK164" s="9">
        <v>4750</v>
      </c>
      <c r="GN164" s="9">
        <f t="shared" si="2"/>
        <v>32025</v>
      </c>
    </row>
    <row r="165" spans="1:196" x14ac:dyDescent="0.25">
      <c r="A165" s="4">
        <f>DATE(2023,12,14)</f>
        <v>45274</v>
      </c>
      <c r="B165">
        <v>245111</v>
      </c>
      <c r="DA165">
        <v>550</v>
      </c>
      <c r="DE165">
        <v>125</v>
      </c>
      <c r="DI165">
        <v>150</v>
      </c>
      <c r="DM165">
        <v>50</v>
      </c>
      <c r="DQ165">
        <v>225</v>
      </c>
      <c r="DS165">
        <v>1300</v>
      </c>
      <c r="DT165">
        <v>50</v>
      </c>
      <c r="DU165">
        <v>125</v>
      </c>
      <c r="DW165">
        <v>300</v>
      </c>
      <c r="EC165">
        <v>7400</v>
      </c>
      <c r="EG165">
        <v>200</v>
      </c>
      <c r="EK165">
        <v>50</v>
      </c>
      <c r="EM165">
        <v>2550</v>
      </c>
      <c r="ES165">
        <v>100</v>
      </c>
      <c r="EW165">
        <v>800</v>
      </c>
      <c r="EY165">
        <v>150</v>
      </c>
      <c r="FC165">
        <v>50</v>
      </c>
      <c r="FG165">
        <v>11225</v>
      </c>
      <c r="FK165">
        <v>50</v>
      </c>
      <c r="FQ165">
        <v>225</v>
      </c>
      <c r="GA165">
        <v>450</v>
      </c>
      <c r="GK165">
        <v>4750</v>
      </c>
      <c r="GN165">
        <f t="shared" si="2"/>
        <v>30875</v>
      </c>
    </row>
    <row r="166" spans="1:196" x14ac:dyDescent="0.25">
      <c r="A166" s="4">
        <f>DATE(2023,12,13)</f>
        <v>45273</v>
      </c>
      <c r="B166">
        <v>249154</v>
      </c>
      <c r="DA166">
        <v>550</v>
      </c>
      <c r="DE166">
        <v>125</v>
      </c>
      <c r="DI166">
        <v>150</v>
      </c>
      <c r="DM166">
        <v>50</v>
      </c>
      <c r="DQ166">
        <v>225</v>
      </c>
      <c r="DS166">
        <v>1300</v>
      </c>
      <c r="DT166">
        <v>50</v>
      </c>
      <c r="DU166">
        <v>125</v>
      </c>
      <c r="DW166">
        <v>300</v>
      </c>
      <c r="EC166">
        <v>7325</v>
      </c>
      <c r="EG166">
        <v>200</v>
      </c>
      <c r="EK166">
        <v>50</v>
      </c>
      <c r="EM166">
        <v>2550</v>
      </c>
      <c r="ES166">
        <v>100</v>
      </c>
      <c r="EW166">
        <v>800</v>
      </c>
      <c r="EY166">
        <v>150</v>
      </c>
      <c r="FC166">
        <v>50</v>
      </c>
      <c r="FG166">
        <v>9725</v>
      </c>
      <c r="FK166">
        <v>50</v>
      </c>
      <c r="FQ166">
        <v>225</v>
      </c>
      <c r="GA166">
        <v>450</v>
      </c>
      <c r="GK166">
        <v>4000</v>
      </c>
      <c r="GN166">
        <f t="shared" si="2"/>
        <v>28550</v>
      </c>
    </row>
    <row r="167" spans="1:196" x14ac:dyDescent="0.25">
      <c r="A167" s="4">
        <f>DATE(2023,12,12)</f>
        <v>45272</v>
      </c>
      <c r="B167">
        <v>263377</v>
      </c>
      <c r="DA167">
        <v>425</v>
      </c>
      <c r="DE167">
        <v>125</v>
      </c>
      <c r="DI167">
        <v>150</v>
      </c>
      <c r="DM167">
        <v>50</v>
      </c>
      <c r="DQ167">
        <v>100</v>
      </c>
      <c r="DS167">
        <v>1300</v>
      </c>
      <c r="DT167">
        <v>50</v>
      </c>
      <c r="DU167">
        <v>125</v>
      </c>
      <c r="DW167">
        <v>300</v>
      </c>
      <c r="EC167">
        <v>7325</v>
      </c>
      <c r="EG167">
        <v>200</v>
      </c>
      <c r="EK167">
        <v>50</v>
      </c>
      <c r="EM167">
        <v>2550</v>
      </c>
      <c r="ES167">
        <v>100</v>
      </c>
      <c r="EW167">
        <v>800</v>
      </c>
      <c r="EY167">
        <v>150</v>
      </c>
      <c r="FC167">
        <v>50</v>
      </c>
      <c r="FG167">
        <v>9725</v>
      </c>
      <c r="FK167">
        <v>50</v>
      </c>
      <c r="FQ167">
        <v>225</v>
      </c>
      <c r="GA167">
        <v>450</v>
      </c>
      <c r="GK167">
        <v>4000</v>
      </c>
      <c r="GN167">
        <f t="shared" si="2"/>
        <v>28300</v>
      </c>
    </row>
    <row r="168" spans="1:196" x14ac:dyDescent="0.25">
      <c r="A168" s="4">
        <f>DATE(2023,12,11)</f>
        <v>45271</v>
      </c>
      <c r="B168">
        <v>266457</v>
      </c>
      <c r="DE168">
        <v>125</v>
      </c>
      <c r="DI168">
        <v>150</v>
      </c>
      <c r="DM168">
        <v>50</v>
      </c>
      <c r="DQ168">
        <v>50</v>
      </c>
      <c r="DS168">
        <v>1300</v>
      </c>
      <c r="DT168">
        <v>50</v>
      </c>
      <c r="DU168">
        <v>125</v>
      </c>
      <c r="DW168">
        <v>50</v>
      </c>
      <c r="EC168">
        <v>7325</v>
      </c>
      <c r="EG168">
        <v>200</v>
      </c>
      <c r="EK168">
        <v>50</v>
      </c>
      <c r="EM168">
        <v>2550</v>
      </c>
      <c r="ES168">
        <v>50</v>
      </c>
      <c r="EW168">
        <v>800</v>
      </c>
      <c r="EY168">
        <v>150</v>
      </c>
      <c r="FC168">
        <v>50</v>
      </c>
      <c r="FG168">
        <v>9625</v>
      </c>
      <c r="FK168">
        <v>50</v>
      </c>
      <c r="FQ168">
        <v>225</v>
      </c>
      <c r="GA168">
        <v>450</v>
      </c>
      <c r="GK168">
        <v>4000</v>
      </c>
      <c r="GN168">
        <f t="shared" si="2"/>
        <v>27425</v>
      </c>
    </row>
    <row r="169" spans="1:196" x14ac:dyDescent="0.25">
      <c r="A169" s="4">
        <f>DATE(2023,12,8)</f>
        <v>45268</v>
      </c>
      <c r="B169">
        <v>272838</v>
      </c>
      <c r="DE169">
        <v>125</v>
      </c>
      <c r="DI169">
        <v>150</v>
      </c>
      <c r="DM169">
        <v>50</v>
      </c>
      <c r="DQ169">
        <v>50</v>
      </c>
      <c r="DS169">
        <v>1300</v>
      </c>
      <c r="DT169">
        <v>50</v>
      </c>
      <c r="DU169">
        <v>125</v>
      </c>
      <c r="DW169">
        <v>50</v>
      </c>
      <c r="EC169">
        <v>7325</v>
      </c>
      <c r="EG169">
        <v>200</v>
      </c>
      <c r="EK169">
        <v>50</v>
      </c>
      <c r="EM169">
        <v>2550</v>
      </c>
      <c r="ES169">
        <v>50</v>
      </c>
      <c r="EW169">
        <v>800</v>
      </c>
      <c r="EY169">
        <v>150</v>
      </c>
      <c r="FC169">
        <v>50</v>
      </c>
      <c r="FG169">
        <v>9625</v>
      </c>
      <c r="FK169">
        <v>50</v>
      </c>
      <c r="FQ169">
        <v>225</v>
      </c>
      <c r="GA169">
        <v>450</v>
      </c>
      <c r="GK169">
        <v>4000</v>
      </c>
      <c r="GN169">
        <f t="shared" si="2"/>
        <v>27425</v>
      </c>
    </row>
    <row r="170" spans="1:196" x14ac:dyDescent="0.25">
      <c r="A170" s="4">
        <f>DATE(2023,12,7)</f>
        <v>45267</v>
      </c>
      <c r="B170">
        <v>280249</v>
      </c>
      <c r="DE170">
        <v>125</v>
      </c>
      <c r="DI170">
        <v>150</v>
      </c>
      <c r="DM170">
        <v>50</v>
      </c>
      <c r="DQ170">
        <v>50</v>
      </c>
      <c r="DS170">
        <v>1300</v>
      </c>
      <c r="DT170">
        <v>50</v>
      </c>
      <c r="DU170">
        <v>125</v>
      </c>
      <c r="DW170">
        <v>50</v>
      </c>
      <c r="EC170">
        <v>7325</v>
      </c>
      <c r="EG170">
        <v>200</v>
      </c>
      <c r="EK170">
        <v>50</v>
      </c>
      <c r="EM170">
        <v>2550</v>
      </c>
      <c r="ES170">
        <v>50</v>
      </c>
      <c r="EW170">
        <v>800</v>
      </c>
      <c r="EY170">
        <v>150</v>
      </c>
      <c r="FC170">
        <v>50</v>
      </c>
      <c r="FG170">
        <v>9625</v>
      </c>
      <c r="FK170">
        <v>50</v>
      </c>
      <c r="FQ170">
        <v>225</v>
      </c>
      <c r="GA170">
        <v>450</v>
      </c>
      <c r="GK170">
        <v>4000</v>
      </c>
      <c r="GN170">
        <f t="shared" si="2"/>
        <v>27425</v>
      </c>
    </row>
    <row r="171" spans="1:196" x14ac:dyDescent="0.25">
      <c r="A171" s="4">
        <f>DATE(2023,12,6)</f>
        <v>45266</v>
      </c>
      <c r="B171">
        <v>285145</v>
      </c>
      <c r="DE171">
        <v>125</v>
      </c>
      <c r="DI171">
        <v>150</v>
      </c>
      <c r="DM171">
        <v>50</v>
      </c>
      <c r="DQ171">
        <v>50</v>
      </c>
      <c r="DS171">
        <v>1300</v>
      </c>
      <c r="DT171">
        <v>50</v>
      </c>
      <c r="DU171">
        <v>125</v>
      </c>
      <c r="DW171">
        <v>50</v>
      </c>
      <c r="EC171">
        <v>6325</v>
      </c>
      <c r="EG171">
        <v>200</v>
      </c>
      <c r="EK171">
        <v>50</v>
      </c>
      <c r="EM171">
        <v>2550</v>
      </c>
      <c r="ES171">
        <v>50</v>
      </c>
      <c r="EW171">
        <v>800</v>
      </c>
      <c r="EY171">
        <v>150</v>
      </c>
      <c r="FC171">
        <v>50</v>
      </c>
      <c r="FG171">
        <v>9625</v>
      </c>
      <c r="FK171">
        <v>50</v>
      </c>
      <c r="FQ171">
        <v>225</v>
      </c>
      <c r="GA171">
        <v>450</v>
      </c>
      <c r="GK171">
        <v>4000</v>
      </c>
      <c r="GN171">
        <f t="shared" si="2"/>
        <v>26425</v>
      </c>
    </row>
    <row r="172" spans="1:196" x14ac:dyDescent="0.25">
      <c r="A172" s="4">
        <f>DATE(2023,12,5)</f>
        <v>45265</v>
      </c>
      <c r="B172">
        <v>291063</v>
      </c>
      <c r="DM172">
        <v>50</v>
      </c>
      <c r="DQ172">
        <v>50</v>
      </c>
      <c r="DS172">
        <v>1150</v>
      </c>
      <c r="DT172">
        <v>50</v>
      </c>
      <c r="DW172">
        <v>50</v>
      </c>
      <c r="EC172">
        <v>6325</v>
      </c>
      <c r="EG172">
        <v>200</v>
      </c>
      <c r="EK172">
        <v>50</v>
      </c>
      <c r="EM172">
        <v>2400</v>
      </c>
      <c r="ES172">
        <v>50</v>
      </c>
      <c r="EW172">
        <v>650</v>
      </c>
      <c r="EY172">
        <v>150</v>
      </c>
      <c r="FC172">
        <v>50</v>
      </c>
      <c r="FG172">
        <v>9625</v>
      </c>
      <c r="FK172">
        <v>50</v>
      </c>
      <c r="FQ172">
        <v>225</v>
      </c>
      <c r="GA172">
        <v>450</v>
      </c>
      <c r="GK172">
        <v>4000</v>
      </c>
      <c r="GN172">
        <f t="shared" si="2"/>
        <v>25575</v>
      </c>
    </row>
    <row r="173" spans="1:196" x14ac:dyDescent="0.25">
      <c r="A173" s="4">
        <f>DATE(2023,12,4)</f>
        <v>45264</v>
      </c>
      <c r="B173">
        <v>299357</v>
      </c>
      <c r="DM173">
        <v>50</v>
      </c>
      <c r="DQ173">
        <v>50</v>
      </c>
      <c r="DS173">
        <v>1150</v>
      </c>
      <c r="DT173">
        <v>50</v>
      </c>
      <c r="DW173">
        <v>50</v>
      </c>
      <c r="EC173">
        <v>6325</v>
      </c>
      <c r="EG173">
        <v>200</v>
      </c>
      <c r="EK173">
        <v>50</v>
      </c>
      <c r="EM173">
        <v>2400</v>
      </c>
      <c r="ES173">
        <v>50</v>
      </c>
      <c r="EW173">
        <v>650</v>
      </c>
      <c r="EY173">
        <v>150</v>
      </c>
      <c r="FC173">
        <v>50</v>
      </c>
      <c r="FG173">
        <v>9625</v>
      </c>
      <c r="FK173">
        <v>50</v>
      </c>
      <c r="FQ173">
        <v>225</v>
      </c>
      <c r="GA173">
        <v>450</v>
      </c>
      <c r="GK173">
        <v>4000</v>
      </c>
      <c r="GN173">
        <f t="shared" si="2"/>
        <v>25575</v>
      </c>
    </row>
    <row r="174" spans="1:196" x14ac:dyDescent="0.25">
      <c r="A174" s="4">
        <f>DATE(2023,12,1)</f>
        <v>45261</v>
      </c>
      <c r="B174">
        <v>304826</v>
      </c>
      <c r="DM174">
        <v>50</v>
      </c>
      <c r="DQ174">
        <v>50</v>
      </c>
      <c r="DS174">
        <v>1150</v>
      </c>
      <c r="DT174">
        <v>50</v>
      </c>
      <c r="DW174">
        <v>50</v>
      </c>
      <c r="EC174">
        <v>6325</v>
      </c>
      <c r="EG174">
        <v>200</v>
      </c>
      <c r="EK174">
        <v>50</v>
      </c>
      <c r="EM174">
        <v>2400</v>
      </c>
      <c r="ES174">
        <v>50</v>
      </c>
      <c r="EW174">
        <v>650</v>
      </c>
      <c r="EY174">
        <v>150</v>
      </c>
      <c r="FC174">
        <v>50</v>
      </c>
      <c r="FG174">
        <v>9625</v>
      </c>
      <c r="FK174">
        <v>50</v>
      </c>
      <c r="FQ174">
        <v>225</v>
      </c>
      <c r="GA174">
        <v>450</v>
      </c>
      <c r="GK174">
        <v>4000</v>
      </c>
      <c r="GN174">
        <f t="shared" si="2"/>
        <v>25575</v>
      </c>
    </row>
    <row r="175" spans="1:196" x14ac:dyDescent="0.25">
      <c r="A175" s="4">
        <f>DATE(2023,11,30)</f>
        <v>45260</v>
      </c>
      <c r="B175">
        <v>305946</v>
      </c>
      <c r="DM175">
        <v>50</v>
      </c>
      <c r="DQ175">
        <v>50</v>
      </c>
      <c r="DS175">
        <v>1150</v>
      </c>
      <c r="DT175">
        <v>50</v>
      </c>
      <c r="DW175">
        <v>50</v>
      </c>
      <c r="EC175">
        <v>6175</v>
      </c>
      <c r="EG175">
        <v>200</v>
      </c>
      <c r="EK175">
        <v>50</v>
      </c>
      <c r="EM175">
        <v>2400</v>
      </c>
      <c r="ES175">
        <v>50</v>
      </c>
      <c r="EW175">
        <v>500</v>
      </c>
      <c r="EY175">
        <v>150</v>
      </c>
      <c r="FC175">
        <v>50</v>
      </c>
      <c r="FG175">
        <v>9625</v>
      </c>
      <c r="FK175">
        <v>50</v>
      </c>
      <c r="FQ175">
        <v>225</v>
      </c>
      <c r="GA175">
        <v>450</v>
      </c>
      <c r="GK175">
        <v>4000</v>
      </c>
      <c r="GN175">
        <f t="shared" si="2"/>
        <v>25275</v>
      </c>
    </row>
    <row r="176" spans="1:196" x14ac:dyDescent="0.25">
      <c r="A176" s="4">
        <f>DATE(2023,11,29)</f>
        <v>45259</v>
      </c>
      <c r="B176">
        <v>310122</v>
      </c>
      <c r="DM176">
        <v>50</v>
      </c>
      <c r="DQ176">
        <v>50</v>
      </c>
      <c r="DS176">
        <v>1150</v>
      </c>
      <c r="DT176">
        <v>50</v>
      </c>
      <c r="DW176">
        <v>50</v>
      </c>
      <c r="EC176">
        <v>6175</v>
      </c>
      <c r="EG176">
        <v>200</v>
      </c>
      <c r="EK176">
        <v>50</v>
      </c>
      <c r="EM176">
        <v>2400</v>
      </c>
      <c r="ES176">
        <v>50</v>
      </c>
      <c r="EW176">
        <v>500</v>
      </c>
      <c r="EY176">
        <v>150</v>
      </c>
      <c r="FC176">
        <v>50</v>
      </c>
      <c r="FG176">
        <v>9625</v>
      </c>
      <c r="FK176">
        <v>50</v>
      </c>
      <c r="FQ176">
        <v>225</v>
      </c>
      <c r="GA176">
        <v>450</v>
      </c>
      <c r="GK176">
        <v>4000</v>
      </c>
      <c r="GN176">
        <f t="shared" si="2"/>
        <v>25275</v>
      </c>
    </row>
    <row r="177" spans="1:196" x14ac:dyDescent="0.25">
      <c r="A177" s="4">
        <f>DATE(2023,11,28)</f>
        <v>45258</v>
      </c>
      <c r="B177">
        <v>314934</v>
      </c>
      <c r="DM177">
        <v>50</v>
      </c>
      <c r="DQ177">
        <v>50</v>
      </c>
      <c r="DS177">
        <v>950</v>
      </c>
      <c r="DT177">
        <v>50</v>
      </c>
      <c r="DW177">
        <v>50</v>
      </c>
      <c r="EC177">
        <v>6175</v>
      </c>
      <c r="EG177">
        <v>200</v>
      </c>
      <c r="EK177">
        <v>50</v>
      </c>
      <c r="EM177">
        <v>1975</v>
      </c>
      <c r="ES177">
        <v>50</v>
      </c>
      <c r="EW177">
        <v>500</v>
      </c>
      <c r="EY177">
        <v>150</v>
      </c>
      <c r="FC177">
        <v>50</v>
      </c>
      <c r="FG177">
        <v>9625</v>
      </c>
      <c r="FK177">
        <v>50</v>
      </c>
      <c r="FQ177">
        <v>225</v>
      </c>
      <c r="GA177">
        <v>450</v>
      </c>
      <c r="GK177">
        <v>4000</v>
      </c>
      <c r="GN177">
        <f t="shared" si="2"/>
        <v>24650</v>
      </c>
    </row>
    <row r="178" spans="1:196" x14ac:dyDescent="0.25">
      <c r="A178" s="4">
        <f>DATE(2023,11,27)</f>
        <v>45257</v>
      </c>
      <c r="B178">
        <v>327759</v>
      </c>
      <c r="DM178">
        <v>50</v>
      </c>
      <c r="DQ178">
        <v>50</v>
      </c>
      <c r="DS178">
        <v>650</v>
      </c>
      <c r="DT178">
        <v>50</v>
      </c>
      <c r="DW178">
        <v>50</v>
      </c>
      <c r="EC178">
        <v>6175</v>
      </c>
      <c r="EG178">
        <v>200</v>
      </c>
      <c r="EK178">
        <v>50</v>
      </c>
      <c r="EM178">
        <v>1875</v>
      </c>
      <c r="ES178">
        <v>50</v>
      </c>
      <c r="EW178">
        <v>500</v>
      </c>
      <c r="EY178">
        <v>150</v>
      </c>
      <c r="FC178">
        <v>50</v>
      </c>
      <c r="FG178">
        <v>9625</v>
      </c>
      <c r="FK178">
        <v>50</v>
      </c>
      <c r="FQ178">
        <v>225</v>
      </c>
      <c r="GA178">
        <v>450</v>
      </c>
      <c r="GK178">
        <v>4000</v>
      </c>
      <c r="GN178">
        <f t="shared" si="2"/>
        <v>24250</v>
      </c>
    </row>
    <row r="179" spans="1:196" x14ac:dyDescent="0.25">
      <c r="A179" s="4">
        <f>DATE(2023,11,24)</f>
        <v>45254</v>
      </c>
      <c r="B179">
        <v>331346</v>
      </c>
      <c r="DM179">
        <v>50</v>
      </c>
      <c r="DQ179">
        <v>50</v>
      </c>
      <c r="DS179">
        <v>650</v>
      </c>
      <c r="DT179">
        <v>50</v>
      </c>
      <c r="DW179">
        <v>50</v>
      </c>
      <c r="EC179">
        <v>6175</v>
      </c>
      <c r="EG179">
        <v>200</v>
      </c>
      <c r="EK179">
        <v>50</v>
      </c>
      <c r="EM179">
        <v>1875</v>
      </c>
      <c r="ES179">
        <v>50</v>
      </c>
      <c r="EW179">
        <v>500</v>
      </c>
      <c r="EY179">
        <v>150</v>
      </c>
      <c r="FC179">
        <v>50</v>
      </c>
      <c r="FG179">
        <v>9625</v>
      </c>
      <c r="FK179">
        <v>50</v>
      </c>
      <c r="FQ179">
        <v>225</v>
      </c>
      <c r="GA179">
        <v>450</v>
      </c>
      <c r="GK179">
        <v>4000</v>
      </c>
      <c r="GN179">
        <f t="shared" si="2"/>
        <v>24250</v>
      </c>
    </row>
    <row r="180" spans="1:196" x14ac:dyDescent="0.25">
      <c r="A180" s="4">
        <f>DATE(2023,11,23)</f>
        <v>45253</v>
      </c>
      <c r="B180">
        <v>330259</v>
      </c>
      <c r="DM180">
        <v>50</v>
      </c>
      <c r="DQ180">
        <v>50</v>
      </c>
      <c r="DS180">
        <v>650</v>
      </c>
      <c r="DT180">
        <v>50</v>
      </c>
      <c r="DW180">
        <v>50</v>
      </c>
      <c r="EC180">
        <v>6175</v>
      </c>
      <c r="EG180">
        <v>200</v>
      </c>
      <c r="EK180">
        <v>50</v>
      </c>
      <c r="EM180">
        <v>1600</v>
      </c>
      <c r="ES180">
        <v>50</v>
      </c>
      <c r="EW180">
        <v>500</v>
      </c>
      <c r="EY180">
        <v>150</v>
      </c>
      <c r="FC180">
        <v>50</v>
      </c>
      <c r="FG180">
        <v>9625</v>
      </c>
      <c r="FK180">
        <v>50</v>
      </c>
      <c r="FQ180">
        <v>225</v>
      </c>
      <c r="GA180">
        <v>450</v>
      </c>
      <c r="GK180">
        <v>4000</v>
      </c>
      <c r="GN180">
        <f t="shared" si="2"/>
        <v>23975</v>
      </c>
    </row>
    <row r="181" spans="1:196" x14ac:dyDescent="0.25">
      <c r="A181" s="4">
        <f>DATE(2023,11,22)</f>
        <v>45252</v>
      </c>
      <c r="B181">
        <v>326829</v>
      </c>
      <c r="DQ181">
        <v>50</v>
      </c>
      <c r="DS181">
        <v>500</v>
      </c>
      <c r="DT181">
        <v>50</v>
      </c>
      <c r="DW181">
        <v>50</v>
      </c>
      <c r="EC181">
        <v>6175</v>
      </c>
      <c r="EG181">
        <v>200</v>
      </c>
      <c r="EK181">
        <v>50</v>
      </c>
      <c r="EM181">
        <v>1450</v>
      </c>
      <c r="ES181">
        <v>50</v>
      </c>
      <c r="EW181">
        <v>500</v>
      </c>
      <c r="EY181">
        <v>150</v>
      </c>
      <c r="FC181">
        <v>50</v>
      </c>
      <c r="FG181">
        <v>9625</v>
      </c>
      <c r="FK181">
        <v>50</v>
      </c>
      <c r="FQ181">
        <v>225</v>
      </c>
      <c r="GA181">
        <v>450</v>
      </c>
      <c r="GK181">
        <v>4000</v>
      </c>
      <c r="GN181">
        <f t="shared" si="2"/>
        <v>23625</v>
      </c>
    </row>
    <row r="182" spans="1:196" x14ac:dyDescent="0.25">
      <c r="A182" s="4">
        <f>DATE(2023,11,21)</f>
        <v>45251</v>
      </c>
      <c r="B182">
        <v>325105</v>
      </c>
      <c r="DQ182">
        <v>50</v>
      </c>
      <c r="DS182">
        <v>500</v>
      </c>
      <c r="DT182">
        <v>50</v>
      </c>
      <c r="DW182">
        <v>50</v>
      </c>
      <c r="EC182">
        <v>6175</v>
      </c>
      <c r="EG182">
        <v>200</v>
      </c>
      <c r="EK182">
        <v>50</v>
      </c>
      <c r="EM182">
        <v>1450</v>
      </c>
      <c r="ES182">
        <v>50</v>
      </c>
      <c r="EW182">
        <v>500</v>
      </c>
      <c r="EY182">
        <v>150</v>
      </c>
      <c r="FC182">
        <v>50</v>
      </c>
      <c r="FG182">
        <v>9625</v>
      </c>
      <c r="FK182">
        <v>50</v>
      </c>
      <c r="FQ182">
        <v>225</v>
      </c>
      <c r="GA182">
        <v>450</v>
      </c>
      <c r="GK182">
        <v>4000</v>
      </c>
      <c r="GN182">
        <f t="shared" si="2"/>
        <v>23625</v>
      </c>
    </row>
    <row r="183" spans="1:196" x14ac:dyDescent="0.25">
      <c r="A183" s="4">
        <f>DATE(2023,11,20)</f>
        <v>45250</v>
      </c>
      <c r="B183">
        <v>325696</v>
      </c>
      <c r="DQ183">
        <v>50</v>
      </c>
      <c r="DS183">
        <v>500</v>
      </c>
      <c r="DT183">
        <v>50</v>
      </c>
      <c r="DW183">
        <v>50</v>
      </c>
      <c r="EC183">
        <v>6175</v>
      </c>
      <c r="EG183">
        <v>200</v>
      </c>
      <c r="EK183">
        <v>50</v>
      </c>
      <c r="EM183">
        <v>1450</v>
      </c>
      <c r="ES183">
        <v>50</v>
      </c>
      <c r="EW183">
        <v>500</v>
      </c>
      <c r="EY183">
        <v>150</v>
      </c>
      <c r="FC183">
        <v>50</v>
      </c>
      <c r="FG183">
        <v>9625</v>
      </c>
      <c r="FK183">
        <v>50</v>
      </c>
      <c r="FQ183">
        <v>225</v>
      </c>
      <c r="GA183">
        <v>450</v>
      </c>
      <c r="GK183">
        <v>4000</v>
      </c>
      <c r="GN183">
        <f t="shared" si="2"/>
        <v>23625</v>
      </c>
    </row>
    <row r="184" spans="1:196" x14ac:dyDescent="0.25">
      <c r="A184" s="4">
        <f>DATE(2023,11,17)</f>
        <v>45247</v>
      </c>
      <c r="B184">
        <v>325823</v>
      </c>
      <c r="DQ184">
        <v>50</v>
      </c>
      <c r="DS184">
        <v>500</v>
      </c>
      <c r="DW184">
        <v>50</v>
      </c>
      <c r="EC184">
        <v>6175</v>
      </c>
      <c r="EG184">
        <v>200</v>
      </c>
      <c r="EK184">
        <v>50</v>
      </c>
      <c r="EM184">
        <v>1400</v>
      </c>
      <c r="ES184">
        <v>50</v>
      </c>
      <c r="EW184">
        <v>500</v>
      </c>
      <c r="EY184">
        <v>150</v>
      </c>
      <c r="FC184">
        <v>50</v>
      </c>
      <c r="FG184">
        <v>9625</v>
      </c>
      <c r="FK184">
        <v>50</v>
      </c>
      <c r="FQ184">
        <v>225</v>
      </c>
      <c r="GA184">
        <v>450</v>
      </c>
      <c r="GK184">
        <v>4000</v>
      </c>
      <c r="GN184">
        <f t="shared" si="2"/>
        <v>23525</v>
      </c>
    </row>
    <row r="185" spans="1:196" x14ac:dyDescent="0.25">
      <c r="A185" s="4">
        <f>DATE(2023,11,16)</f>
        <v>45246</v>
      </c>
      <c r="B185">
        <v>327916</v>
      </c>
      <c r="DQ185">
        <v>50</v>
      </c>
      <c r="DS185">
        <v>500</v>
      </c>
      <c r="EC185">
        <v>6075</v>
      </c>
      <c r="EG185">
        <v>200</v>
      </c>
      <c r="EK185">
        <v>50</v>
      </c>
      <c r="EM185">
        <v>1350</v>
      </c>
      <c r="ES185">
        <v>50</v>
      </c>
      <c r="EW185">
        <v>500</v>
      </c>
      <c r="EY185">
        <v>50</v>
      </c>
      <c r="FC185">
        <v>50</v>
      </c>
      <c r="FG185">
        <v>9625</v>
      </c>
      <c r="FK185">
        <v>50</v>
      </c>
      <c r="FQ185">
        <v>225</v>
      </c>
      <c r="GA185">
        <v>450</v>
      </c>
      <c r="GK185">
        <v>4000</v>
      </c>
      <c r="GN185">
        <f t="shared" si="2"/>
        <v>23225</v>
      </c>
    </row>
    <row r="186" spans="1:196" x14ac:dyDescent="0.25">
      <c r="A186" s="4">
        <f>DATE(2023,11,15)</f>
        <v>45245</v>
      </c>
      <c r="B186">
        <v>332217</v>
      </c>
      <c r="DQ186">
        <v>50</v>
      </c>
      <c r="DS186">
        <v>500</v>
      </c>
      <c r="EC186">
        <v>6075</v>
      </c>
      <c r="EG186">
        <v>200</v>
      </c>
      <c r="EK186">
        <v>50</v>
      </c>
      <c r="EM186">
        <v>1350</v>
      </c>
      <c r="ES186">
        <v>50</v>
      </c>
      <c r="EW186">
        <v>500</v>
      </c>
      <c r="EY186">
        <v>50</v>
      </c>
      <c r="FC186">
        <v>50</v>
      </c>
      <c r="FG186">
        <v>9625</v>
      </c>
      <c r="FK186">
        <v>50</v>
      </c>
      <c r="FQ186">
        <v>125</v>
      </c>
      <c r="GA186">
        <v>450</v>
      </c>
      <c r="GK186">
        <v>4000</v>
      </c>
      <c r="GN186">
        <f t="shared" si="2"/>
        <v>23125</v>
      </c>
    </row>
    <row r="187" spans="1:196" x14ac:dyDescent="0.25">
      <c r="A187" s="4">
        <f>DATE(2023,11,14)</f>
        <v>45244</v>
      </c>
      <c r="B187">
        <v>333644</v>
      </c>
      <c r="DQ187">
        <v>50</v>
      </c>
      <c r="DS187">
        <v>500</v>
      </c>
      <c r="EC187">
        <v>6075</v>
      </c>
      <c r="EG187">
        <v>200</v>
      </c>
      <c r="EK187">
        <v>50</v>
      </c>
      <c r="EM187">
        <v>1350</v>
      </c>
      <c r="ES187">
        <v>50</v>
      </c>
      <c r="EW187">
        <v>500</v>
      </c>
      <c r="EY187">
        <v>50</v>
      </c>
      <c r="FC187">
        <v>50</v>
      </c>
      <c r="FG187">
        <v>9625</v>
      </c>
      <c r="FK187">
        <v>50</v>
      </c>
      <c r="FQ187">
        <v>100</v>
      </c>
      <c r="GA187">
        <v>450</v>
      </c>
      <c r="GK187">
        <v>4000</v>
      </c>
      <c r="GN187">
        <f t="shared" si="2"/>
        <v>23100</v>
      </c>
    </row>
    <row r="188" spans="1:196" x14ac:dyDescent="0.25">
      <c r="A188" s="4">
        <f>DATE(2023,11,13)</f>
        <v>45243</v>
      </c>
      <c r="B188">
        <v>334761</v>
      </c>
      <c r="DQ188">
        <v>50</v>
      </c>
      <c r="DS188">
        <v>450</v>
      </c>
      <c r="EC188">
        <v>6075</v>
      </c>
      <c r="EG188">
        <v>200</v>
      </c>
      <c r="EM188">
        <v>1350</v>
      </c>
      <c r="ES188">
        <v>50</v>
      </c>
      <c r="EW188">
        <v>500</v>
      </c>
      <c r="EY188">
        <v>50</v>
      </c>
      <c r="FC188">
        <v>50</v>
      </c>
      <c r="FG188">
        <v>9625</v>
      </c>
      <c r="FK188">
        <v>50</v>
      </c>
      <c r="FQ188">
        <v>100</v>
      </c>
      <c r="GA188">
        <v>450</v>
      </c>
      <c r="GK188">
        <v>4000</v>
      </c>
      <c r="GN188">
        <f t="shared" si="2"/>
        <v>23000</v>
      </c>
    </row>
    <row r="189" spans="1:196" x14ac:dyDescent="0.25">
      <c r="A189" s="4">
        <f>DATE(2023,11,10)</f>
        <v>45240</v>
      </c>
      <c r="B189">
        <v>333953</v>
      </c>
      <c r="DQ189">
        <v>50</v>
      </c>
      <c r="DS189">
        <v>450</v>
      </c>
      <c r="EC189">
        <v>6075</v>
      </c>
      <c r="EG189">
        <v>200</v>
      </c>
      <c r="EM189">
        <v>1350</v>
      </c>
      <c r="ES189">
        <v>50</v>
      </c>
      <c r="EW189">
        <v>500</v>
      </c>
      <c r="EY189">
        <v>50</v>
      </c>
      <c r="FC189">
        <v>50</v>
      </c>
      <c r="FG189">
        <v>9625</v>
      </c>
      <c r="FK189">
        <v>50</v>
      </c>
      <c r="FQ189">
        <v>100</v>
      </c>
      <c r="GA189">
        <v>450</v>
      </c>
      <c r="GK189">
        <v>4000</v>
      </c>
      <c r="GN189">
        <f t="shared" si="2"/>
        <v>23000</v>
      </c>
    </row>
    <row r="190" spans="1:196" x14ac:dyDescent="0.25">
      <c r="A190" s="4">
        <f>DATE(2023,11,9)</f>
        <v>45239</v>
      </c>
      <c r="B190">
        <v>335381</v>
      </c>
      <c r="DQ190">
        <v>50</v>
      </c>
      <c r="DS190">
        <v>450</v>
      </c>
      <c r="EC190">
        <v>6075</v>
      </c>
      <c r="EG190">
        <v>200</v>
      </c>
      <c r="EM190">
        <v>1350</v>
      </c>
      <c r="ES190">
        <v>50</v>
      </c>
      <c r="EW190">
        <v>500</v>
      </c>
      <c r="EY190">
        <v>50</v>
      </c>
      <c r="FC190">
        <v>50</v>
      </c>
      <c r="FG190">
        <v>9625</v>
      </c>
      <c r="FK190">
        <v>50</v>
      </c>
      <c r="FQ190">
        <v>100</v>
      </c>
      <c r="GA190">
        <v>450</v>
      </c>
      <c r="GK190">
        <v>4000</v>
      </c>
      <c r="GN190">
        <f t="shared" si="2"/>
        <v>23000</v>
      </c>
    </row>
    <row r="191" spans="1:196" x14ac:dyDescent="0.25">
      <c r="A191" s="4">
        <f>DATE(2023,11,8)</f>
        <v>45238</v>
      </c>
      <c r="B191">
        <v>335876</v>
      </c>
      <c r="DS191">
        <v>400</v>
      </c>
      <c r="EC191">
        <v>4825</v>
      </c>
      <c r="EG191">
        <v>150</v>
      </c>
      <c r="EM191">
        <v>1350</v>
      </c>
      <c r="ES191">
        <v>50</v>
      </c>
      <c r="EW191">
        <v>300</v>
      </c>
      <c r="EY191">
        <v>50</v>
      </c>
      <c r="FC191">
        <v>50</v>
      </c>
      <c r="FG191">
        <v>7625</v>
      </c>
      <c r="FK191">
        <v>50</v>
      </c>
      <c r="FQ191">
        <v>100</v>
      </c>
      <c r="GA191">
        <v>450</v>
      </c>
      <c r="GK191">
        <v>3000</v>
      </c>
      <c r="GN191">
        <f t="shared" si="2"/>
        <v>18400</v>
      </c>
    </row>
    <row r="192" spans="1:196" x14ac:dyDescent="0.25">
      <c r="A192" s="4">
        <f>DATE(2023,11,7)</f>
        <v>45237</v>
      </c>
      <c r="B192">
        <v>335835</v>
      </c>
      <c r="DS192">
        <v>300</v>
      </c>
      <c r="EC192">
        <v>2600</v>
      </c>
      <c r="EG192">
        <v>150</v>
      </c>
      <c r="EM192">
        <v>1350</v>
      </c>
      <c r="EW192">
        <v>300</v>
      </c>
      <c r="EY192">
        <v>50</v>
      </c>
      <c r="FC192">
        <v>50</v>
      </c>
      <c r="FG192">
        <v>3250</v>
      </c>
      <c r="FK192">
        <v>50</v>
      </c>
      <c r="FQ192">
        <v>100</v>
      </c>
      <c r="GA192">
        <v>450</v>
      </c>
      <c r="GK192">
        <v>1000</v>
      </c>
      <c r="GN192">
        <f t="shared" si="2"/>
        <v>9650</v>
      </c>
    </row>
    <row r="193" spans="1:196" x14ac:dyDescent="0.25">
      <c r="A193" s="4">
        <f>DATE(2023,11,6)</f>
        <v>45236</v>
      </c>
      <c r="B193">
        <v>338083</v>
      </c>
      <c r="DS193">
        <v>250</v>
      </c>
      <c r="EC193">
        <v>2600</v>
      </c>
      <c r="EG193">
        <v>100</v>
      </c>
      <c r="EM193">
        <v>1350</v>
      </c>
      <c r="EW193">
        <v>100</v>
      </c>
      <c r="EY193">
        <v>50</v>
      </c>
      <c r="FC193">
        <v>50</v>
      </c>
      <c r="FG193">
        <v>3250</v>
      </c>
      <c r="FK193">
        <v>50</v>
      </c>
      <c r="FQ193">
        <v>100</v>
      </c>
      <c r="GA193">
        <v>450</v>
      </c>
      <c r="GK193">
        <v>1000</v>
      </c>
      <c r="GN193">
        <f t="shared" si="2"/>
        <v>9350</v>
      </c>
    </row>
    <row r="194" spans="1:196" x14ac:dyDescent="0.25">
      <c r="A194" s="4">
        <f>DATE(2023,11,3)</f>
        <v>45233</v>
      </c>
      <c r="B194">
        <v>338875</v>
      </c>
      <c r="DS194">
        <v>250</v>
      </c>
      <c r="EC194">
        <v>2600</v>
      </c>
      <c r="EG194">
        <v>100</v>
      </c>
      <c r="EM194">
        <v>1350</v>
      </c>
      <c r="EW194">
        <v>100</v>
      </c>
      <c r="EY194">
        <v>50</v>
      </c>
      <c r="FC194">
        <v>50</v>
      </c>
      <c r="FG194">
        <v>3250</v>
      </c>
      <c r="FK194">
        <v>50</v>
      </c>
      <c r="FQ194">
        <v>100</v>
      </c>
      <c r="GA194">
        <v>450</v>
      </c>
      <c r="GK194">
        <v>1000</v>
      </c>
      <c r="GN194">
        <f t="shared" si="2"/>
        <v>9350</v>
      </c>
    </row>
    <row r="195" spans="1:196" x14ac:dyDescent="0.25">
      <c r="A195" s="4">
        <f>DATE(2023,11,2)</f>
        <v>45232</v>
      </c>
      <c r="B195">
        <v>337427</v>
      </c>
      <c r="DS195">
        <v>150</v>
      </c>
      <c r="EC195">
        <v>2600</v>
      </c>
      <c r="EM195">
        <v>1350</v>
      </c>
      <c r="EW195">
        <v>100</v>
      </c>
      <c r="EY195">
        <v>50</v>
      </c>
      <c r="FC195">
        <v>50</v>
      </c>
      <c r="FG195">
        <v>3250</v>
      </c>
      <c r="FK195">
        <v>50</v>
      </c>
      <c r="FQ195">
        <v>100</v>
      </c>
      <c r="GA195">
        <v>450</v>
      </c>
      <c r="GK195">
        <v>1000</v>
      </c>
      <c r="GN195">
        <f t="shared" si="2"/>
        <v>9150</v>
      </c>
    </row>
    <row r="196" spans="1:196" x14ac:dyDescent="0.25">
      <c r="A196" s="4">
        <f>DATE(2023,11,1)</f>
        <v>45231</v>
      </c>
      <c r="B196">
        <v>334301</v>
      </c>
      <c r="DS196">
        <v>150</v>
      </c>
      <c r="EC196">
        <v>1100</v>
      </c>
      <c r="EM196">
        <v>1000</v>
      </c>
      <c r="EW196">
        <v>100</v>
      </c>
      <c r="EY196">
        <v>50</v>
      </c>
      <c r="FC196">
        <v>50</v>
      </c>
      <c r="FG196">
        <v>1250</v>
      </c>
      <c r="FK196">
        <v>50</v>
      </c>
      <c r="FQ196">
        <v>100</v>
      </c>
      <c r="GA196">
        <v>450</v>
      </c>
      <c r="GK196">
        <v>237</v>
      </c>
      <c r="GN196">
        <f t="shared" si="2"/>
        <v>4537</v>
      </c>
    </row>
    <row r="197" spans="1:196" x14ac:dyDescent="0.25">
      <c r="A197" s="4">
        <f>DATE(2023,10,31)</f>
        <v>45230</v>
      </c>
      <c r="B197">
        <v>336041</v>
      </c>
      <c r="EC197">
        <v>950</v>
      </c>
      <c r="EM197">
        <v>1000</v>
      </c>
      <c r="EW197">
        <v>100</v>
      </c>
      <c r="EY197">
        <v>50</v>
      </c>
      <c r="FC197">
        <v>50</v>
      </c>
      <c r="FG197">
        <v>1250</v>
      </c>
      <c r="FK197">
        <v>50</v>
      </c>
      <c r="FQ197">
        <v>100</v>
      </c>
      <c r="GA197">
        <v>450</v>
      </c>
      <c r="GK197">
        <v>237</v>
      </c>
      <c r="GN197">
        <f t="shared" si="2"/>
        <v>4237</v>
      </c>
    </row>
    <row r="198" spans="1:196" x14ac:dyDescent="0.25">
      <c r="A198" s="4">
        <f>DATE(2023,10,30)</f>
        <v>45229</v>
      </c>
      <c r="B198">
        <v>337361</v>
      </c>
      <c r="EC198">
        <v>950</v>
      </c>
      <c r="EM198">
        <v>1000</v>
      </c>
      <c r="EW198">
        <v>100</v>
      </c>
      <c r="FC198">
        <v>50</v>
      </c>
      <c r="FG198">
        <v>1250</v>
      </c>
      <c r="FK198">
        <v>50</v>
      </c>
      <c r="FQ198">
        <v>100</v>
      </c>
      <c r="GA198">
        <v>450</v>
      </c>
      <c r="GK198">
        <v>237</v>
      </c>
      <c r="GN198">
        <f t="shared" ref="GN198:GN261" si="3">SUMPRODUCT(C198:GM198)</f>
        <v>4187</v>
      </c>
    </row>
    <row r="199" spans="1:196" x14ac:dyDescent="0.25">
      <c r="A199" s="4">
        <f>DATE(2023,10,27)</f>
        <v>45226</v>
      </c>
      <c r="B199">
        <v>335256</v>
      </c>
      <c r="EC199">
        <v>950</v>
      </c>
      <c r="EM199">
        <v>1000</v>
      </c>
      <c r="EW199">
        <v>100</v>
      </c>
      <c r="FC199">
        <v>50</v>
      </c>
      <c r="FG199">
        <v>1250</v>
      </c>
      <c r="FK199">
        <v>50</v>
      </c>
      <c r="FQ199">
        <v>100</v>
      </c>
      <c r="GA199">
        <v>450</v>
      </c>
      <c r="GK199">
        <v>37</v>
      </c>
      <c r="GN199">
        <f t="shared" si="3"/>
        <v>3987</v>
      </c>
    </row>
    <row r="200" spans="1:196" x14ac:dyDescent="0.25">
      <c r="A200" s="4">
        <f>DATE(2023,10,26)</f>
        <v>45225</v>
      </c>
      <c r="B200">
        <v>331998</v>
      </c>
      <c r="EC200">
        <v>950</v>
      </c>
      <c r="EM200">
        <v>1000</v>
      </c>
      <c r="EW200">
        <v>100</v>
      </c>
      <c r="FC200">
        <v>50</v>
      </c>
      <c r="FG200">
        <v>1250</v>
      </c>
      <c r="FK200">
        <v>50</v>
      </c>
      <c r="FQ200">
        <v>100</v>
      </c>
      <c r="GA200">
        <v>450</v>
      </c>
      <c r="GK200">
        <v>37</v>
      </c>
      <c r="GN200">
        <f t="shared" si="3"/>
        <v>3987</v>
      </c>
    </row>
    <row r="201" spans="1:196" x14ac:dyDescent="0.25">
      <c r="A201" s="4">
        <f>DATE(2023,10,25)</f>
        <v>45224</v>
      </c>
      <c r="B201">
        <v>331051</v>
      </c>
      <c r="EC201">
        <v>950</v>
      </c>
      <c r="EM201">
        <v>1000</v>
      </c>
      <c r="EW201">
        <v>100</v>
      </c>
      <c r="FC201">
        <v>50</v>
      </c>
      <c r="FG201">
        <v>1250</v>
      </c>
      <c r="FK201">
        <v>50</v>
      </c>
      <c r="FQ201">
        <v>100</v>
      </c>
      <c r="GA201">
        <v>450</v>
      </c>
      <c r="GK201">
        <v>37</v>
      </c>
      <c r="GN201">
        <f t="shared" si="3"/>
        <v>3987</v>
      </c>
    </row>
    <row r="202" spans="1:196" x14ac:dyDescent="0.25">
      <c r="A202" s="4">
        <f>DATE(2023,10,24)</f>
        <v>45223</v>
      </c>
      <c r="B202">
        <v>328461</v>
      </c>
      <c r="EC202">
        <v>950</v>
      </c>
      <c r="EM202">
        <v>1000</v>
      </c>
      <c r="EW202">
        <v>100</v>
      </c>
      <c r="FC202">
        <v>50</v>
      </c>
      <c r="FG202">
        <v>1250</v>
      </c>
      <c r="FK202">
        <v>50</v>
      </c>
      <c r="FQ202">
        <v>100</v>
      </c>
      <c r="GA202">
        <v>450</v>
      </c>
      <c r="GK202">
        <v>37</v>
      </c>
      <c r="GN202">
        <f t="shared" si="3"/>
        <v>3987</v>
      </c>
    </row>
    <row r="203" spans="1:196" x14ac:dyDescent="0.25">
      <c r="A203" s="4">
        <f>DATE(2023,10,23)</f>
        <v>45222</v>
      </c>
      <c r="B203">
        <v>327172</v>
      </c>
      <c r="EC203">
        <v>950</v>
      </c>
      <c r="EM203">
        <v>1000</v>
      </c>
      <c r="EW203">
        <v>100</v>
      </c>
      <c r="FG203">
        <v>1250</v>
      </c>
      <c r="FK203">
        <v>50</v>
      </c>
      <c r="FQ203">
        <v>100</v>
      </c>
      <c r="GA203">
        <v>450</v>
      </c>
      <c r="GK203">
        <v>37</v>
      </c>
      <c r="GN203">
        <f t="shared" si="3"/>
        <v>3937</v>
      </c>
    </row>
    <row r="204" spans="1:196" x14ac:dyDescent="0.25">
      <c r="A204" s="4">
        <f>DATE(2023,10,20)</f>
        <v>45219</v>
      </c>
      <c r="B204">
        <v>324672</v>
      </c>
      <c r="EC204">
        <v>950</v>
      </c>
      <c r="EM204">
        <v>1000</v>
      </c>
      <c r="EW204">
        <v>100</v>
      </c>
      <c r="FG204">
        <v>1250</v>
      </c>
      <c r="FK204">
        <v>50</v>
      </c>
      <c r="FQ204">
        <v>100</v>
      </c>
      <c r="GA204">
        <v>450</v>
      </c>
      <c r="GK204">
        <v>37</v>
      </c>
      <c r="GN204">
        <f t="shared" si="3"/>
        <v>3937</v>
      </c>
    </row>
    <row r="205" spans="1:196" x14ac:dyDescent="0.25">
      <c r="A205" s="4">
        <f>DATE(2023,10,19)</f>
        <v>45218</v>
      </c>
      <c r="B205">
        <v>327814</v>
      </c>
      <c r="EC205">
        <v>950</v>
      </c>
      <c r="EM205">
        <v>1000</v>
      </c>
      <c r="EW205">
        <v>100</v>
      </c>
      <c r="FG205">
        <v>1250</v>
      </c>
      <c r="FK205">
        <v>50</v>
      </c>
      <c r="FQ205">
        <v>100</v>
      </c>
      <c r="GA205">
        <v>450</v>
      </c>
      <c r="GK205">
        <v>37</v>
      </c>
      <c r="GN205">
        <f t="shared" si="3"/>
        <v>3937</v>
      </c>
    </row>
    <row r="206" spans="1:196" x14ac:dyDescent="0.25">
      <c r="A206" s="4">
        <f>DATE(2023,10,18)</f>
        <v>45217</v>
      </c>
      <c r="B206">
        <v>327174</v>
      </c>
      <c r="EC206">
        <v>950</v>
      </c>
      <c r="EM206">
        <v>1000</v>
      </c>
      <c r="EW206">
        <v>100</v>
      </c>
      <c r="FG206">
        <v>1250</v>
      </c>
      <c r="FK206">
        <v>50</v>
      </c>
      <c r="FQ206">
        <v>100</v>
      </c>
      <c r="GA206">
        <v>450</v>
      </c>
      <c r="GK206">
        <v>37</v>
      </c>
      <c r="GN206">
        <f t="shared" si="3"/>
        <v>3937</v>
      </c>
    </row>
    <row r="207" spans="1:196" x14ac:dyDescent="0.25">
      <c r="A207" s="4">
        <f>DATE(2023,10,17)</f>
        <v>45216</v>
      </c>
      <c r="B207">
        <v>325279</v>
      </c>
      <c r="EC207">
        <v>950</v>
      </c>
      <c r="EM207">
        <v>1000</v>
      </c>
      <c r="EW207">
        <v>100</v>
      </c>
      <c r="FG207">
        <v>1250</v>
      </c>
      <c r="FK207">
        <v>50</v>
      </c>
      <c r="FQ207">
        <v>100</v>
      </c>
      <c r="GA207">
        <v>450</v>
      </c>
      <c r="GK207">
        <v>37</v>
      </c>
      <c r="GN207">
        <f t="shared" si="3"/>
        <v>3937</v>
      </c>
    </row>
    <row r="208" spans="1:196" x14ac:dyDescent="0.25">
      <c r="A208" s="4">
        <f>DATE(2023,10,16)</f>
        <v>45215</v>
      </c>
      <c r="B208">
        <v>324123</v>
      </c>
      <c r="EC208">
        <v>950</v>
      </c>
      <c r="EM208">
        <v>1000</v>
      </c>
      <c r="EW208">
        <v>100</v>
      </c>
      <c r="FG208">
        <v>1250</v>
      </c>
      <c r="FK208">
        <v>50</v>
      </c>
      <c r="FQ208">
        <v>100</v>
      </c>
      <c r="GA208">
        <v>450</v>
      </c>
      <c r="GK208">
        <v>37</v>
      </c>
      <c r="GN208">
        <f t="shared" si="3"/>
        <v>3937</v>
      </c>
    </row>
    <row r="209" spans="1:196" x14ac:dyDescent="0.25">
      <c r="A209" s="4">
        <f>DATE(2023,10,13)</f>
        <v>45212</v>
      </c>
      <c r="B209">
        <v>329794</v>
      </c>
      <c r="EC209">
        <v>950</v>
      </c>
      <c r="EM209">
        <v>1000</v>
      </c>
      <c r="EW209">
        <v>100</v>
      </c>
      <c r="FG209">
        <v>1250</v>
      </c>
      <c r="FK209">
        <v>50</v>
      </c>
      <c r="FQ209">
        <v>100</v>
      </c>
      <c r="GA209">
        <v>450</v>
      </c>
      <c r="GK209">
        <v>37</v>
      </c>
      <c r="GN209">
        <f t="shared" si="3"/>
        <v>3937</v>
      </c>
    </row>
    <row r="210" spans="1:196" x14ac:dyDescent="0.25">
      <c r="A210" s="4">
        <f>DATE(2023,10,12)</f>
        <v>45211</v>
      </c>
      <c r="B210">
        <v>330049</v>
      </c>
      <c r="EC210">
        <v>950</v>
      </c>
      <c r="EM210">
        <v>1000</v>
      </c>
      <c r="EW210">
        <v>100</v>
      </c>
      <c r="FG210">
        <v>1250</v>
      </c>
      <c r="FK210">
        <v>50</v>
      </c>
      <c r="FQ210">
        <v>100</v>
      </c>
      <c r="GA210">
        <v>450</v>
      </c>
      <c r="GK210">
        <v>37</v>
      </c>
      <c r="GN210">
        <f t="shared" si="3"/>
        <v>3937</v>
      </c>
    </row>
    <row r="211" spans="1:196" x14ac:dyDescent="0.25">
      <c r="A211" s="4">
        <f>DATE(2023,10,11)</f>
        <v>45210</v>
      </c>
      <c r="B211">
        <v>328918</v>
      </c>
      <c r="EC211">
        <v>950</v>
      </c>
      <c r="EM211">
        <v>1000</v>
      </c>
      <c r="EW211">
        <v>100</v>
      </c>
      <c r="FG211">
        <v>1250</v>
      </c>
      <c r="FK211">
        <v>50</v>
      </c>
      <c r="FQ211">
        <v>100</v>
      </c>
      <c r="GA211">
        <v>450</v>
      </c>
      <c r="GK211">
        <v>37</v>
      </c>
      <c r="GN211">
        <f t="shared" si="3"/>
        <v>3937</v>
      </c>
    </row>
    <row r="212" spans="1:196" x14ac:dyDescent="0.25">
      <c r="A212" s="4">
        <f>DATE(2023,10,10)</f>
        <v>45209</v>
      </c>
      <c r="B212">
        <v>324524</v>
      </c>
      <c r="EC212">
        <v>950</v>
      </c>
      <c r="EM212">
        <v>1000</v>
      </c>
      <c r="EW212">
        <v>100</v>
      </c>
      <c r="FG212">
        <v>1250</v>
      </c>
      <c r="FK212">
        <v>50</v>
      </c>
      <c r="FQ212">
        <v>100</v>
      </c>
      <c r="GA212">
        <v>450</v>
      </c>
      <c r="GK212">
        <v>37</v>
      </c>
      <c r="GN212">
        <f t="shared" si="3"/>
        <v>3937</v>
      </c>
    </row>
    <row r="213" spans="1:196" x14ac:dyDescent="0.25">
      <c r="A213" s="4">
        <f>DATE(2023,10,9)</f>
        <v>45208</v>
      </c>
      <c r="B213">
        <v>325268</v>
      </c>
      <c r="EC213">
        <v>950</v>
      </c>
      <c r="EM213">
        <v>1000</v>
      </c>
      <c r="EW213">
        <v>100</v>
      </c>
      <c r="FG213">
        <v>1250</v>
      </c>
      <c r="FK213">
        <v>50</v>
      </c>
      <c r="FQ213">
        <v>100</v>
      </c>
      <c r="GA213">
        <v>450</v>
      </c>
      <c r="GK213">
        <v>37</v>
      </c>
      <c r="GN213">
        <f t="shared" si="3"/>
        <v>3937</v>
      </c>
    </row>
    <row r="214" spans="1:196" x14ac:dyDescent="0.25">
      <c r="A214" s="4">
        <f>DATE(2023,10,6)</f>
        <v>45205</v>
      </c>
      <c r="B214">
        <v>322957</v>
      </c>
      <c r="EC214">
        <v>950</v>
      </c>
      <c r="EM214">
        <v>1000</v>
      </c>
      <c r="EW214">
        <v>100</v>
      </c>
      <c r="FG214">
        <v>1250</v>
      </c>
      <c r="FK214">
        <v>50</v>
      </c>
      <c r="FQ214">
        <v>100</v>
      </c>
      <c r="GA214">
        <v>450</v>
      </c>
      <c r="GK214">
        <v>37</v>
      </c>
      <c r="GN214">
        <f t="shared" si="3"/>
        <v>3937</v>
      </c>
    </row>
    <row r="215" spans="1:196" x14ac:dyDescent="0.25">
      <c r="A215" s="4">
        <f>DATE(2023,10,5)</f>
        <v>45204</v>
      </c>
      <c r="B215">
        <v>322524</v>
      </c>
      <c r="EC215">
        <v>950</v>
      </c>
      <c r="EM215">
        <v>1000</v>
      </c>
      <c r="FG215">
        <v>1250</v>
      </c>
      <c r="FK215">
        <v>50</v>
      </c>
      <c r="FQ215">
        <v>100</v>
      </c>
      <c r="GA215">
        <v>450</v>
      </c>
      <c r="GK215">
        <v>37</v>
      </c>
      <c r="GN215">
        <f t="shared" si="3"/>
        <v>3837</v>
      </c>
    </row>
    <row r="216" spans="1:196" x14ac:dyDescent="0.25">
      <c r="A216" s="4">
        <f>DATE(2023,10,4)</f>
        <v>45203</v>
      </c>
      <c r="B216">
        <v>319395</v>
      </c>
      <c r="EC216">
        <v>950</v>
      </c>
      <c r="EM216">
        <v>1000</v>
      </c>
      <c r="FG216">
        <v>1250</v>
      </c>
      <c r="FK216">
        <v>50</v>
      </c>
      <c r="FQ216">
        <v>100</v>
      </c>
      <c r="GA216">
        <v>450</v>
      </c>
      <c r="GK216">
        <v>37</v>
      </c>
      <c r="GN216">
        <f t="shared" si="3"/>
        <v>3837</v>
      </c>
    </row>
    <row r="217" spans="1:196" x14ac:dyDescent="0.25">
      <c r="A217" s="4">
        <f>DATE(2023,10,3)</f>
        <v>45202</v>
      </c>
      <c r="B217">
        <v>313183</v>
      </c>
      <c r="EC217">
        <v>600</v>
      </c>
      <c r="EM217">
        <v>1000</v>
      </c>
      <c r="FG217">
        <v>1250</v>
      </c>
      <c r="FK217">
        <v>50</v>
      </c>
      <c r="FQ217">
        <v>100</v>
      </c>
      <c r="GA217">
        <v>450</v>
      </c>
      <c r="GK217">
        <v>37</v>
      </c>
      <c r="GN217">
        <f t="shared" si="3"/>
        <v>3487</v>
      </c>
    </row>
    <row r="218" spans="1:196" x14ac:dyDescent="0.25">
      <c r="A218" s="4">
        <f>DATE(2023,10,2)</f>
        <v>45201</v>
      </c>
      <c r="B218">
        <v>313620</v>
      </c>
      <c r="EC218">
        <v>350</v>
      </c>
      <c r="EM218">
        <v>1250</v>
      </c>
      <c r="FG218">
        <v>1250</v>
      </c>
      <c r="FK218">
        <v>50</v>
      </c>
      <c r="FQ218">
        <v>100</v>
      </c>
      <c r="GA218">
        <v>450</v>
      </c>
      <c r="GK218">
        <v>37</v>
      </c>
      <c r="GN218">
        <f t="shared" si="3"/>
        <v>3487</v>
      </c>
    </row>
    <row r="219" spans="1:196" x14ac:dyDescent="0.25">
      <c r="A219" s="4">
        <f>DATE(2023,9,29)</f>
        <v>45198</v>
      </c>
      <c r="B219">
        <v>312544</v>
      </c>
      <c r="EC219">
        <v>350</v>
      </c>
      <c r="EM219">
        <v>1250</v>
      </c>
      <c r="FG219">
        <v>1250</v>
      </c>
      <c r="FK219">
        <v>50</v>
      </c>
      <c r="FQ219">
        <v>100</v>
      </c>
      <c r="GA219">
        <v>450</v>
      </c>
      <c r="GK219">
        <v>37</v>
      </c>
      <c r="GN219">
        <f t="shared" si="3"/>
        <v>3487</v>
      </c>
    </row>
    <row r="220" spans="1:196" x14ac:dyDescent="0.25">
      <c r="A220" s="4">
        <f>DATE(2023,9,28)</f>
        <v>45197</v>
      </c>
      <c r="B220">
        <v>312145</v>
      </c>
      <c r="EC220">
        <v>350</v>
      </c>
      <c r="EM220">
        <v>1250</v>
      </c>
      <c r="FG220">
        <v>1250</v>
      </c>
      <c r="FQ220">
        <v>100</v>
      </c>
      <c r="GA220">
        <v>200</v>
      </c>
      <c r="GK220">
        <v>37</v>
      </c>
      <c r="GN220">
        <f t="shared" si="3"/>
        <v>3187</v>
      </c>
    </row>
    <row r="221" spans="1:196" x14ac:dyDescent="0.25">
      <c r="A221" s="4">
        <f>DATE(2023,9,27)</f>
        <v>45196</v>
      </c>
      <c r="B221">
        <v>311418</v>
      </c>
      <c r="EC221">
        <v>350</v>
      </c>
      <c r="EM221">
        <v>1250</v>
      </c>
      <c r="FG221">
        <v>1250</v>
      </c>
      <c r="FQ221">
        <v>100</v>
      </c>
      <c r="GA221">
        <v>200</v>
      </c>
      <c r="GK221">
        <v>37</v>
      </c>
      <c r="GN221">
        <f t="shared" si="3"/>
        <v>3187</v>
      </c>
    </row>
    <row r="222" spans="1:196" s="9" customFormat="1" x14ac:dyDescent="0.25">
      <c r="A222" s="80">
        <f>DATE(2023,9,26)</f>
        <v>45195</v>
      </c>
      <c r="B222" s="9">
        <v>309458</v>
      </c>
      <c r="EC222" s="9">
        <v>350</v>
      </c>
      <c r="EM222" s="9">
        <v>1250</v>
      </c>
      <c r="FG222" s="9">
        <v>1250</v>
      </c>
      <c r="FQ222" s="9">
        <v>100</v>
      </c>
      <c r="GA222" s="9">
        <v>200</v>
      </c>
      <c r="GK222" s="9">
        <v>37</v>
      </c>
      <c r="GN222" s="9">
        <f t="shared" si="3"/>
        <v>3187</v>
      </c>
    </row>
    <row r="223" spans="1:196" x14ac:dyDescent="0.25">
      <c r="A223" s="4">
        <f>DATE(2023,9,25)</f>
        <v>45194</v>
      </c>
      <c r="B223">
        <v>306618</v>
      </c>
      <c r="EC223">
        <v>350</v>
      </c>
      <c r="EM223">
        <v>1250</v>
      </c>
      <c r="FG223">
        <v>1250</v>
      </c>
      <c r="FQ223">
        <v>100</v>
      </c>
      <c r="GA223">
        <v>200</v>
      </c>
      <c r="GK223">
        <v>37</v>
      </c>
      <c r="GN223">
        <f t="shared" si="3"/>
        <v>3187</v>
      </c>
    </row>
    <row r="224" spans="1:196" x14ac:dyDescent="0.25">
      <c r="A224" s="4">
        <f>DATE(2023,9,22)</f>
        <v>45191</v>
      </c>
      <c r="B224">
        <v>305227</v>
      </c>
      <c r="EC224">
        <v>350</v>
      </c>
      <c r="EM224">
        <v>1250</v>
      </c>
      <c r="FG224">
        <v>1250</v>
      </c>
      <c r="FQ224">
        <v>100</v>
      </c>
      <c r="GA224">
        <v>200</v>
      </c>
      <c r="GK224">
        <v>37</v>
      </c>
      <c r="GN224">
        <f t="shared" si="3"/>
        <v>3187</v>
      </c>
    </row>
    <row r="225" spans="1:196" x14ac:dyDescent="0.25">
      <c r="A225" s="4">
        <f>DATE(2023,9,21)</f>
        <v>45190</v>
      </c>
      <c r="B225">
        <v>307449</v>
      </c>
      <c r="EC225">
        <v>350</v>
      </c>
      <c r="EM225">
        <v>1250</v>
      </c>
      <c r="FG225">
        <v>1250</v>
      </c>
      <c r="FQ225">
        <v>100</v>
      </c>
      <c r="GA225">
        <v>200</v>
      </c>
      <c r="GK225">
        <v>37</v>
      </c>
      <c r="GN225">
        <f t="shared" si="3"/>
        <v>3187</v>
      </c>
    </row>
    <row r="226" spans="1:196" x14ac:dyDescent="0.25">
      <c r="A226" s="4">
        <f>DATE(2023,9,20)</f>
        <v>45189</v>
      </c>
      <c r="B226">
        <v>307483</v>
      </c>
      <c r="EC226">
        <v>350</v>
      </c>
      <c r="EM226">
        <v>1250</v>
      </c>
      <c r="FG226">
        <v>1250</v>
      </c>
      <c r="FQ226">
        <v>100</v>
      </c>
      <c r="GA226">
        <v>200</v>
      </c>
      <c r="GK226">
        <v>37</v>
      </c>
      <c r="GN226">
        <f t="shared" si="3"/>
        <v>3187</v>
      </c>
    </row>
    <row r="227" spans="1:196" x14ac:dyDescent="0.25">
      <c r="A227" s="4">
        <f>DATE(2023,9,19)</f>
        <v>45188</v>
      </c>
      <c r="B227">
        <v>307583</v>
      </c>
      <c r="EC227">
        <v>350</v>
      </c>
      <c r="EM227">
        <v>1250</v>
      </c>
      <c r="FG227">
        <v>1250</v>
      </c>
      <c r="FQ227">
        <v>100</v>
      </c>
      <c r="GA227">
        <v>200</v>
      </c>
      <c r="GK227">
        <v>37</v>
      </c>
      <c r="GN227">
        <f t="shared" si="3"/>
        <v>3187</v>
      </c>
    </row>
    <row r="228" spans="1:196" x14ac:dyDescent="0.25">
      <c r="A228" s="4">
        <f>DATE(2023,9,18)</f>
        <v>45187</v>
      </c>
      <c r="B228">
        <v>304447</v>
      </c>
      <c r="EC228">
        <v>350</v>
      </c>
      <c r="EM228">
        <v>1250</v>
      </c>
      <c r="FG228">
        <v>1250</v>
      </c>
      <c r="FQ228">
        <v>100</v>
      </c>
      <c r="GA228">
        <v>200</v>
      </c>
      <c r="GK228">
        <v>37</v>
      </c>
      <c r="GN228">
        <f t="shared" si="3"/>
        <v>3187</v>
      </c>
    </row>
    <row r="229" spans="1:196" x14ac:dyDescent="0.25">
      <c r="A229" s="4">
        <f>DATE(2023,9,15)</f>
        <v>45184</v>
      </c>
      <c r="B229">
        <v>302658</v>
      </c>
      <c r="EC229">
        <v>350</v>
      </c>
      <c r="EM229">
        <v>1250</v>
      </c>
      <c r="FG229">
        <v>1250</v>
      </c>
      <c r="FQ229">
        <v>100</v>
      </c>
      <c r="GA229">
        <v>200</v>
      </c>
      <c r="GK229">
        <v>37</v>
      </c>
      <c r="GN229">
        <f t="shared" si="3"/>
        <v>3187</v>
      </c>
    </row>
    <row r="230" spans="1:196" x14ac:dyDescent="0.25">
      <c r="A230" s="4">
        <f>DATE(2023,9,14)</f>
        <v>45183</v>
      </c>
      <c r="B230">
        <v>301244</v>
      </c>
      <c r="EC230">
        <v>350</v>
      </c>
      <c r="EM230">
        <v>1250</v>
      </c>
      <c r="FG230">
        <v>1250</v>
      </c>
      <c r="FQ230">
        <v>100</v>
      </c>
      <c r="GA230">
        <v>200</v>
      </c>
      <c r="GK230">
        <v>37</v>
      </c>
      <c r="GN230">
        <f t="shared" si="3"/>
        <v>3187</v>
      </c>
    </row>
    <row r="231" spans="1:196" x14ac:dyDescent="0.25">
      <c r="A231" s="4">
        <f>DATE(2023,9,13)</f>
        <v>45182</v>
      </c>
      <c r="B231">
        <v>302096</v>
      </c>
      <c r="EC231">
        <v>350</v>
      </c>
      <c r="FG231">
        <v>100</v>
      </c>
      <c r="FQ231">
        <v>100</v>
      </c>
      <c r="GA231">
        <v>200</v>
      </c>
      <c r="GK231">
        <v>37</v>
      </c>
      <c r="GN231">
        <f t="shared" si="3"/>
        <v>787</v>
      </c>
    </row>
    <row r="232" spans="1:196" x14ac:dyDescent="0.25">
      <c r="A232" s="4">
        <f>DATE(2023,9,12)</f>
        <v>45181</v>
      </c>
      <c r="B232">
        <v>301437</v>
      </c>
      <c r="EC232">
        <v>350</v>
      </c>
      <c r="FG232">
        <v>100</v>
      </c>
      <c r="FQ232">
        <v>100</v>
      </c>
      <c r="GA232">
        <v>200</v>
      </c>
      <c r="GK232">
        <v>37</v>
      </c>
      <c r="GN232">
        <f t="shared" si="3"/>
        <v>787</v>
      </c>
    </row>
    <row r="233" spans="1:196" x14ac:dyDescent="0.25">
      <c r="A233" s="4">
        <f>DATE(2023,9,11)</f>
        <v>45180</v>
      </c>
      <c r="B233">
        <v>296990</v>
      </c>
      <c r="EC233">
        <v>350</v>
      </c>
      <c r="FG233">
        <v>100</v>
      </c>
      <c r="FQ233">
        <v>50</v>
      </c>
      <c r="GA233">
        <v>200</v>
      </c>
      <c r="GK233">
        <v>37</v>
      </c>
      <c r="GN233">
        <f t="shared" si="3"/>
        <v>737</v>
      </c>
    </row>
    <row r="234" spans="1:196" x14ac:dyDescent="0.25">
      <c r="A234" s="4">
        <f>DATE(2023,9,8)</f>
        <v>45177</v>
      </c>
      <c r="B234">
        <v>295606</v>
      </c>
      <c r="EC234">
        <v>350</v>
      </c>
      <c r="FG234">
        <v>100</v>
      </c>
      <c r="FQ234">
        <v>50</v>
      </c>
      <c r="GA234">
        <v>200</v>
      </c>
      <c r="GK234">
        <v>37</v>
      </c>
      <c r="GN234">
        <f t="shared" si="3"/>
        <v>737</v>
      </c>
    </row>
    <row r="235" spans="1:196" x14ac:dyDescent="0.25">
      <c r="A235" s="4">
        <f>DATE(2023,9,7)</f>
        <v>45176</v>
      </c>
      <c r="B235">
        <v>296115</v>
      </c>
      <c r="EC235">
        <v>350</v>
      </c>
      <c r="FG235">
        <v>100</v>
      </c>
      <c r="FQ235">
        <v>50</v>
      </c>
      <c r="GA235">
        <v>200</v>
      </c>
      <c r="GK235">
        <v>37</v>
      </c>
      <c r="GN235">
        <f t="shared" si="3"/>
        <v>737</v>
      </c>
    </row>
    <row r="236" spans="1:196" x14ac:dyDescent="0.25">
      <c r="A236" s="4">
        <f>DATE(2023,9,6)</f>
        <v>45175</v>
      </c>
      <c r="B236">
        <v>295128</v>
      </c>
      <c r="EC236">
        <v>350</v>
      </c>
      <c r="FG236">
        <v>100</v>
      </c>
      <c r="FQ236">
        <v>50</v>
      </c>
      <c r="GA236">
        <v>200</v>
      </c>
      <c r="GK236">
        <v>37</v>
      </c>
      <c r="GN236">
        <f t="shared" si="3"/>
        <v>737</v>
      </c>
    </row>
    <row r="237" spans="1:196" x14ac:dyDescent="0.25">
      <c r="A237" s="4">
        <f>DATE(2023,9,5)</f>
        <v>45174</v>
      </c>
      <c r="B237">
        <v>293464</v>
      </c>
      <c r="EC237">
        <v>350</v>
      </c>
      <c r="FG237">
        <v>100</v>
      </c>
      <c r="FQ237">
        <v>50</v>
      </c>
      <c r="GA237">
        <v>200</v>
      </c>
      <c r="GK237">
        <v>37</v>
      </c>
      <c r="GN237">
        <f t="shared" si="3"/>
        <v>737</v>
      </c>
    </row>
    <row r="238" spans="1:196" x14ac:dyDescent="0.25">
      <c r="A238" s="4">
        <f>DATE(2023,9,4)</f>
        <v>45173</v>
      </c>
      <c r="B238">
        <v>292444</v>
      </c>
      <c r="EC238">
        <v>350</v>
      </c>
      <c r="FG238">
        <v>100</v>
      </c>
      <c r="FQ238">
        <v>50</v>
      </c>
      <c r="GA238">
        <v>200</v>
      </c>
      <c r="GK238">
        <v>37</v>
      </c>
      <c r="GN238">
        <f t="shared" si="3"/>
        <v>737</v>
      </c>
    </row>
    <row r="239" spans="1:196" x14ac:dyDescent="0.25">
      <c r="A239" s="4">
        <f>DATE(2023,9,1)</f>
        <v>45170</v>
      </c>
      <c r="B239">
        <v>289890</v>
      </c>
      <c r="EC239">
        <v>350</v>
      </c>
      <c r="FG239">
        <v>100</v>
      </c>
      <c r="FQ239">
        <v>50</v>
      </c>
      <c r="GA239">
        <v>200</v>
      </c>
      <c r="GK239">
        <v>37</v>
      </c>
      <c r="GN239">
        <f t="shared" si="3"/>
        <v>737</v>
      </c>
    </row>
    <row r="240" spans="1:196" x14ac:dyDescent="0.25">
      <c r="A240" s="4">
        <f>DATE(2023,8,31)</f>
        <v>45169</v>
      </c>
      <c r="B240">
        <v>289505</v>
      </c>
      <c r="EC240">
        <v>350</v>
      </c>
      <c r="FG240">
        <v>100</v>
      </c>
      <c r="FQ240">
        <v>50</v>
      </c>
      <c r="GA240">
        <v>200</v>
      </c>
      <c r="GK240">
        <v>37</v>
      </c>
      <c r="GN240">
        <f t="shared" si="3"/>
        <v>737</v>
      </c>
    </row>
    <row r="241" spans="1:196" x14ac:dyDescent="0.25">
      <c r="A241" s="4">
        <f>DATE(2023,8,30)</f>
        <v>45168</v>
      </c>
      <c r="B241">
        <v>290520</v>
      </c>
      <c r="EC241">
        <v>200</v>
      </c>
      <c r="FG241">
        <v>100</v>
      </c>
      <c r="FQ241">
        <v>50</v>
      </c>
      <c r="GA241">
        <v>200</v>
      </c>
      <c r="GK241">
        <v>37</v>
      </c>
      <c r="GN241">
        <f t="shared" si="3"/>
        <v>587</v>
      </c>
    </row>
    <row r="242" spans="1:196" x14ac:dyDescent="0.25">
      <c r="A242" s="4">
        <f>DATE(2023,8,29)</f>
        <v>45167</v>
      </c>
      <c r="B242">
        <v>290511</v>
      </c>
      <c r="EC242">
        <v>200</v>
      </c>
      <c r="FG242">
        <v>100</v>
      </c>
      <c r="FQ242">
        <v>50</v>
      </c>
      <c r="GA242">
        <v>200</v>
      </c>
      <c r="GK242">
        <v>37</v>
      </c>
      <c r="GN242">
        <f t="shared" si="3"/>
        <v>587</v>
      </c>
    </row>
    <row r="243" spans="1:196" x14ac:dyDescent="0.25">
      <c r="A243" s="4">
        <f>DATE(2023,8,28)</f>
        <v>45166</v>
      </c>
      <c r="B243">
        <v>289825</v>
      </c>
      <c r="EC243">
        <v>200</v>
      </c>
      <c r="FG243">
        <v>100</v>
      </c>
      <c r="FQ243">
        <v>50</v>
      </c>
      <c r="GA243">
        <v>200</v>
      </c>
      <c r="GK243">
        <v>37</v>
      </c>
      <c r="GN243">
        <f t="shared" si="3"/>
        <v>587</v>
      </c>
    </row>
    <row r="244" spans="1:196" x14ac:dyDescent="0.25">
      <c r="A244" s="4">
        <f>DATE(2023,8,25)</f>
        <v>45163</v>
      </c>
      <c r="B244">
        <v>289588</v>
      </c>
      <c r="EC244">
        <v>200</v>
      </c>
      <c r="FQ244">
        <v>50</v>
      </c>
      <c r="GA244">
        <v>200</v>
      </c>
      <c r="GK244">
        <v>37</v>
      </c>
      <c r="GN244">
        <f t="shared" si="3"/>
        <v>487</v>
      </c>
    </row>
    <row r="245" spans="1:196" x14ac:dyDescent="0.25">
      <c r="A245" s="4">
        <f>DATE(2023,8,24)</f>
        <v>45162</v>
      </c>
      <c r="B245">
        <v>289316</v>
      </c>
      <c r="EC245">
        <v>200</v>
      </c>
      <c r="FQ245">
        <v>50</v>
      </c>
      <c r="GA245">
        <v>200</v>
      </c>
      <c r="GK245">
        <v>37</v>
      </c>
      <c r="GN245">
        <f t="shared" si="3"/>
        <v>487</v>
      </c>
    </row>
    <row r="246" spans="1:196" x14ac:dyDescent="0.25">
      <c r="A246" s="4">
        <f>DATE(2023,8,23)</f>
        <v>45161</v>
      </c>
      <c r="B246">
        <v>287644</v>
      </c>
      <c r="EC246">
        <v>200</v>
      </c>
      <c r="FQ246">
        <v>50</v>
      </c>
      <c r="GA246">
        <v>200</v>
      </c>
      <c r="GK246">
        <v>37</v>
      </c>
      <c r="GN246">
        <f t="shared" si="3"/>
        <v>487</v>
      </c>
    </row>
    <row r="247" spans="1:196" x14ac:dyDescent="0.25">
      <c r="A247" s="4">
        <f>DATE(2023,8,22)</f>
        <v>45160</v>
      </c>
      <c r="B247">
        <v>287456</v>
      </c>
      <c r="EC247">
        <v>200</v>
      </c>
      <c r="FQ247">
        <v>50</v>
      </c>
      <c r="GA247">
        <v>200</v>
      </c>
      <c r="GK247">
        <v>37</v>
      </c>
      <c r="GN247">
        <f t="shared" si="3"/>
        <v>487</v>
      </c>
    </row>
    <row r="248" spans="1:196" x14ac:dyDescent="0.25">
      <c r="A248" s="4">
        <f>DATE(2023,8,21)</f>
        <v>45159</v>
      </c>
      <c r="B248">
        <v>287750</v>
      </c>
      <c r="EC248">
        <v>200</v>
      </c>
      <c r="FQ248">
        <v>50</v>
      </c>
      <c r="GA248">
        <v>200</v>
      </c>
      <c r="GK248">
        <v>37</v>
      </c>
      <c r="GN248">
        <f t="shared" si="3"/>
        <v>487</v>
      </c>
    </row>
    <row r="249" spans="1:196" x14ac:dyDescent="0.25">
      <c r="A249" s="4">
        <f>DATE(2023,8,18)</f>
        <v>45156</v>
      </c>
      <c r="B249">
        <v>287371</v>
      </c>
      <c r="EC249">
        <v>200</v>
      </c>
      <c r="FQ249">
        <v>50</v>
      </c>
      <c r="GA249">
        <v>200</v>
      </c>
      <c r="GK249">
        <v>37</v>
      </c>
      <c r="GN249">
        <f t="shared" si="3"/>
        <v>487</v>
      </c>
    </row>
    <row r="250" spans="1:196" x14ac:dyDescent="0.25">
      <c r="A250" s="4">
        <f>DATE(2023,8,17)</f>
        <v>45155</v>
      </c>
      <c r="B250">
        <v>287265</v>
      </c>
      <c r="EC250">
        <v>200</v>
      </c>
      <c r="FQ250">
        <v>50</v>
      </c>
      <c r="GA250">
        <v>200</v>
      </c>
      <c r="GK250">
        <v>37</v>
      </c>
      <c r="GN250">
        <f t="shared" si="3"/>
        <v>487</v>
      </c>
    </row>
    <row r="251" spans="1:196" x14ac:dyDescent="0.25">
      <c r="A251" s="4">
        <f>DATE(2023,8,16)</f>
        <v>45154</v>
      </c>
      <c r="B251">
        <v>287412</v>
      </c>
      <c r="EC251">
        <v>200</v>
      </c>
      <c r="FQ251">
        <v>50</v>
      </c>
      <c r="GA251">
        <v>200</v>
      </c>
      <c r="GK251">
        <v>37</v>
      </c>
      <c r="GN251">
        <f t="shared" si="3"/>
        <v>487</v>
      </c>
    </row>
    <row r="252" spans="1:196" x14ac:dyDescent="0.25">
      <c r="A252" s="4">
        <f>DATE(2023,8,15)</f>
        <v>45153</v>
      </c>
      <c r="B252">
        <v>287875</v>
      </c>
      <c r="EC252">
        <v>200</v>
      </c>
      <c r="FQ252">
        <v>50</v>
      </c>
      <c r="GA252">
        <v>200</v>
      </c>
      <c r="GK252">
        <v>37</v>
      </c>
      <c r="GN252">
        <f t="shared" si="3"/>
        <v>487</v>
      </c>
    </row>
    <row r="253" spans="1:196" x14ac:dyDescent="0.25">
      <c r="A253" s="4">
        <f>DATE(2023,8,14)</f>
        <v>45152</v>
      </c>
      <c r="B253">
        <v>288171</v>
      </c>
      <c r="EC253">
        <v>200</v>
      </c>
      <c r="FQ253">
        <v>50</v>
      </c>
      <c r="GA253">
        <v>200</v>
      </c>
      <c r="GK253">
        <v>37</v>
      </c>
      <c r="GN253">
        <f t="shared" si="3"/>
        <v>487</v>
      </c>
    </row>
    <row r="254" spans="1:196" x14ac:dyDescent="0.25">
      <c r="A254" s="4">
        <f>DATE(2023,8,11)</f>
        <v>45149</v>
      </c>
      <c r="B254">
        <v>288647</v>
      </c>
      <c r="EC254">
        <v>200</v>
      </c>
      <c r="FQ254">
        <v>50</v>
      </c>
      <c r="GA254">
        <v>200</v>
      </c>
      <c r="GK254">
        <v>37</v>
      </c>
      <c r="GN254">
        <f t="shared" si="3"/>
        <v>487</v>
      </c>
    </row>
    <row r="255" spans="1:196" x14ac:dyDescent="0.25">
      <c r="A255" s="4">
        <f>DATE(2023,8,10)</f>
        <v>45148</v>
      </c>
      <c r="B255">
        <v>289906</v>
      </c>
      <c r="EC255">
        <v>200</v>
      </c>
      <c r="FQ255">
        <v>50</v>
      </c>
      <c r="GA255">
        <v>200</v>
      </c>
      <c r="GK255">
        <v>37</v>
      </c>
      <c r="GN255">
        <f t="shared" si="3"/>
        <v>487</v>
      </c>
    </row>
    <row r="256" spans="1:196" x14ac:dyDescent="0.25">
      <c r="A256" s="4">
        <f>DATE(2023,8,9)</f>
        <v>45147</v>
      </c>
      <c r="B256">
        <v>289556</v>
      </c>
      <c r="EC256">
        <v>200</v>
      </c>
      <c r="FQ256">
        <v>50</v>
      </c>
      <c r="GA256">
        <v>200</v>
      </c>
      <c r="GK256">
        <v>37</v>
      </c>
      <c r="GN256">
        <f t="shared" si="3"/>
        <v>487</v>
      </c>
    </row>
    <row r="257" spans="1:196" x14ac:dyDescent="0.25">
      <c r="A257" s="4">
        <f>DATE(2023,8,8)</f>
        <v>45146</v>
      </c>
      <c r="B257">
        <v>290400</v>
      </c>
      <c r="EC257">
        <v>200</v>
      </c>
      <c r="FQ257">
        <v>50</v>
      </c>
      <c r="GA257">
        <v>200</v>
      </c>
      <c r="GK257">
        <v>37</v>
      </c>
      <c r="GN257">
        <f t="shared" si="3"/>
        <v>487</v>
      </c>
    </row>
    <row r="258" spans="1:196" x14ac:dyDescent="0.25">
      <c r="A258" s="4">
        <f>DATE(2023,8,7)</f>
        <v>45145</v>
      </c>
      <c r="B258">
        <v>286080</v>
      </c>
      <c r="EC258">
        <v>200</v>
      </c>
      <c r="FQ258">
        <v>50</v>
      </c>
      <c r="GA258">
        <v>200</v>
      </c>
      <c r="GK258">
        <v>37</v>
      </c>
      <c r="GN258">
        <f t="shared" si="3"/>
        <v>487</v>
      </c>
    </row>
    <row r="259" spans="1:196" x14ac:dyDescent="0.25">
      <c r="A259" s="4">
        <f>DATE(2023,8,4)</f>
        <v>45142</v>
      </c>
      <c r="B259">
        <v>284844</v>
      </c>
      <c r="EC259">
        <v>200</v>
      </c>
      <c r="FQ259">
        <v>50</v>
      </c>
      <c r="GA259">
        <v>200</v>
      </c>
      <c r="GK259">
        <v>37</v>
      </c>
      <c r="GN259">
        <f t="shared" si="3"/>
        <v>487</v>
      </c>
    </row>
    <row r="260" spans="1:196" x14ac:dyDescent="0.25">
      <c r="A260" s="4">
        <f>DATE(2023,8,3)</f>
        <v>45141</v>
      </c>
      <c r="B260">
        <v>284457</v>
      </c>
      <c r="EC260">
        <v>200</v>
      </c>
      <c r="GA260">
        <v>200</v>
      </c>
      <c r="GK260">
        <v>37</v>
      </c>
      <c r="GN260">
        <f t="shared" si="3"/>
        <v>437</v>
      </c>
    </row>
    <row r="261" spans="1:196" x14ac:dyDescent="0.25">
      <c r="A261" s="4">
        <f>DATE(2023,8,2)</f>
        <v>45140</v>
      </c>
      <c r="B261">
        <v>284554</v>
      </c>
      <c r="EC261">
        <v>200</v>
      </c>
      <c r="GA261">
        <v>200</v>
      </c>
      <c r="GK261">
        <v>37</v>
      </c>
      <c r="GN261">
        <f t="shared" si="3"/>
        <v>437</v>
      </c>
    </row>
    <row r="262" spans="1:196" x14ac:dyDescent="0.25">
      <c r="A262" s="4">
        <f>DATE(2023,8,1)</f>
        <v>45139</v>
      </c>
      <c r="B262">
        <v>282469</v>
      </c>
      <c r="EC262">
        <v>200</v>
      </c>
      <c r="GA262">
        <v>200</v>
      </c>
      <c r="GK262">
        <v>37</v>
      </c>
      <c r="GN262">
        <f t="shared" ref="GN262:GN325" si="4">SUMPRODUCT(C262:GM262)</f>
        <v>437</v>
      </c>
    </row>
    <row r="263" spans="1:196" x14ac:dyDescent="0.25">
      <c r="A263" s="4">
        <f>DATE(2023,7,31)</f>
        <v>45138</v>
      </c>
      <c r="B263">
        <v>282085</v>
      </c>
      <c r="EC263">
        <v>200</v>
      </c>
      <c r="GA263">
        <v>200</v>
      </c>
      <c r="GK263">
        <v>37</v>
      </c>
      <c r="GN263">
        <f t="shared" si="4"/>
        <v>437</v>
      </c>
    </row>
    <row r="264" spans="1:196" x14ac:dyDescent="0.25">
      <c r="A264" s="4">
        <f>DATE(2023,7,28)</f>
        <v>45135</v>
      </c>
      <c r="B264">
        <v>280934</v>
      </c>
      <c r="EC264">
        <v>200</v>
      </c>
      <c r="GA264">
        <v>200</v>
      </c>
      <c r="GK264">
        <v>37</v>
      </c>
      <c r="GN264">
        <f t="shared" si="4"/>
        <v>437</v>
      </c>
    </row>
    <row r="265" spans="1:196" x14ac:dyDescent="0.25">
      <c r="A265" s="4">
        <f>DATE(2023,7,27)</f>
        <v>45134</v>
      </c>
      <c r="B265">
        <v>279040</v>
      </c>
      <c r="EC265">
        <v>200</v>
      </c>
      <c r="GK265">
        <v>50</v>
      </c>
      <c r="GN265">
        <f t="shared" si="4"/>
        <v>250</v>
      </c>
    </row>
    <row r="266" spans="1:196" x14ac:dyDescent="0.25">
      <c r="A266" s="4">
        <f>DATE(2023,7,26)</f>
        <v>45133</v>
      </c>
      <c r="B266">
        <v>273466</v>
      </c>
      <c r="EC266">
        <v>200</v>
      </c>
      <c r="GK266">
        <v>50</v>
      </c>
      <c r="GN266">
        <f t="shared" si="4"/>
        <v>250</v>
      </c>
    </row>
    <row r="267" spans="1:196" x14ac:dyDescent="0.25">
      <c r="A267" s="4">
        <f>DATE(2023,7,25)</f>
        <v>45132</v>
      </c>
      <c r="B267">
        <v>272188</v>
      </c>
      <c r="EC267">
        <v>200</v>
      </c>
      <c r="GK267">
        <v>50</v>
      </c>
      <c r="GN267">
        <f t="shared" si="4"/>
        <v>250</v>
      </c>
    </row>
    <row r="268" spans="1:196" x14ac:dyDescent="0.25">
      <c r="A268" s="4">
        <f>DATE(2023,7,24)</f>
        <v>45131</v>
      </c>
      <c r="B268">
        <v>268869</v>
      </c>
      <c r="EC268">
        <v>200</v>
      </c>
      <c r="GK268">
        <v>50</v>
      </c>
      <c r="GN268">
        <f t="shared" si="4"/>
        <v>250</v>
      </c>
    </row>
    <row r="269" spans="1:196" x14ac:dyDescent="0.25">
      <c r="A269" s="4">
        <f>DATE(2023,7,21)</f>
        <v>45128</v>
      </c>
      <c r="B269">
        <v>267524</v>
      </c>
      <c r="EC269">
        <v>200</v>
      </c>
      <c r="GK269">
        <v>50</v>
      </c>
      <c r="GN269">
        <f t="shared" si="4"/>
        <v>250</v>
      </c>
    </row>
    <row r="270" spans="1:196" x14ac:dyDescent="0.25">
      <c r="A270" s="4">
        <f>DATE(2023,7,20)</f>
        <v>45127</v>
      </c>
      <c r="B270">
        <v>267109</v>
      </c>
      <c r="EC270">
        <v>200</v>
      </c>
      <c r="GK270">
        <v>50</v>
      </c>
      <c r="GN270">
        <f t="shared" si="4"/>
        <v>250</v>
      </c>
    </row>
    <row r="271" spans="1:196" x14ac:dyDescent="0.25">
      <c r="A271" s="4">
        <f>DATE(2023,7,19)</f>
        <v>45126</v>
      </c>
      <c r="B271">
        <v>267249</v>
      </c>
      <c r="EC271">
        <v>200</v>
      </c>
      <c r="GK271">
        <v>50</v>
      </c>
      <c r="GN271">
        <f t="shared" si="4"/>
        <v>250</v>
      </c>
    </row>
    <row r="272" spans="1:196" x14ac:dyDescent="0.25">
      <c r="A272" s="4">
        <f>DATE(2023,7,18)</f>
        <v>45125</v>
      </c>
      <c r="B272">
        <v>265208</v>
      </c>
      <c r="EC272">
        <v>200</v>
      </c>
      <c r="GK272">
        <v>50</v>
      </c>
      <c r="GN272">
        <f t="shared" si="4"/>
        <v>250</v>
      </c>
    </row>
    <row r="273" spans="1:196" x14ac:dyDescent="0.25">
      <c r="A273" s="4">
        <f>DATE(2023,7,17)</f>
        <v>45124</v>
      </c>
      <c r="B273">
        <v>264630</v>
      </c>
      <c r="EC273">
        <v>200</v>
      </c>
      <c r="GK273">
        <v>50</v>
      </c>
      <c r="GN273">
        <f t="shared" si="4"/>
        <v>250</v>
      </c>
    </row>
    <row r="274" spans="1:196" x14ac:dyDescent="0.25">
      <c r="A274" s="4">
        <f>DATE(2023,7,14)</f>
        <v>45121</v>
      </c>
      <c r="B274">
        <v>263361</v>
      </c>
      <c r="EC274">
        <v>200</v>
      </c>
      <c r="GK274">
        <v>50</v>
      </c>
      <c r="GN274">
        <f t="shared" si="4"/>
        <v>250</v>
      </c>
    </row>
    <row r="275" spans="1:196" x14ac:dyDescent="0.25">
      <c r="A275" s="4">
        <f>DATE(2023,7,13)</f>
        <v>45120</v>
      </c>
      <c r="B275">
        <v>262685</v>
      </c>
      <c r="EC275">
        <v>200</v>
      </c>
      <c r="GK275">
        <v>50</v>
      </c>
      <c r="GN275">
        <f t="shared" si="4"/>
        <v>250</v>
      </c>
    </row>
    <row r="276" spans="1:196" x14ac:dyDescent="0.25">
      <c r="A276" s="4">
        <f>DATE(2023,7,12)</f>
        <v>45119</v>
      </c>
      <c r="B276">
        <v>261209</v>
      </c>
      <c r="EC276">
        <v>200</v>
      </c>
      <c r="GK276">
        <v>50</v>
      </c>
      <c r="GN276">
        <f t="shared" si="4"/>
        <v>250</v>
      </c>
    </row>
    <row r="277" spans="1:196" x14ac:dyDescent="0.25">
      <c r="A277" s="4">
        <f>DATE(2023,7,11)</f>
        <v>45118</v>
      </c>
      <c r="B277">
        <v>258565</v>
      </c>
      <c r="EC277">
        <v>200</v>
      </c>
      <c r="GK277">
        <v>50</v>
      </c>
      <c r="GN277">
        <f t="shared" si="4"/>
        <v>250</v>
      </c>
    </row>
    <row r="278" spans="1:196" x14ac:dyDescent="0.25">
      <c r="A278" s="4">
        <f>DATE(2023,7,10)</f>
        <v>45117</v>
      </c>
      <c r="B278">
        <v>258266</v>
      </c>
      <c r="EC278">
        <v>200</v>
      </c>
      <c r="GK278">
        <v>50</v>
      </c>
      <c r="GN278">
        <f t="shared" si="4"/>
        <v>250</v>
      </c>
    </row>
    <row r="279" spans="1:196" x14ac:dyDescent="0.25">
      <c r="A279" s="4">
        <f>DATE(2023,7,7)</f>
        <v>45114</v>
      </c>
      <c r="B279">
        <v>256575</v>
      </c>
      <c r="EC279">
        <v>200</v>
      </c>
      <c r="GK279">
        <v>50</v>
      </c>
      <c r="GN279">
        <f t="shared" si="4"/>
        <v>250</v>
      </c>
    </row>
    <row r="280" spans="1:196" x14ac:dyDescent="0.25">
      <c r="A280" s="4">
        <f>DATE(2023,7,6)</f>
        <v>45113</v>
      </c>
      <c r="B280">
        <v>265501</v>
      </c>
      <c r="EC280">
        <v>200</v>
      </c>
      <c r="GK280">
        <v>50</v>
      </c>
      <c r="GN280">
        <f t="shared" si="4"/>
        <v>250</v>
      </c>
    </row>
    <row r="281" spans="1:196" x14ac:dyDescent="0.25">
      <c r="A281" s="4">
        <f>DATE(2023,7,5)</f>
        <v>45112</v>
      </c>
      <c r="B281">
        <v>263768</v>
      </c>
      <c r="EC281">
        <v>200</v>
      </c>
      <c r="GK281">
        <v>50</v>
      </c>
      <c r="GN281">
        <f t="shared" si="4"/>
        <v>250</v>
      </c>
    </row>
    <row r="282" spans="1:196" x14ac:dyDescent="0.25">
      <c r="A282" s="4">
        <f>DATE(2023,7,4)</f>
        <v>45111</v>
      </c>
      <c r="B282">
        <v>261735</v>
      </c>
      <c r="EC282">
        <v>200</v>
      </c>
      <c r="GN282">
        <f t="shared" si="4"/>
        <v>200</v>
      </c>
    </row>
    <row r="283" spans="1:196" x14ac:dyDescent="0.25">
      <c r="A283" s="4">
        <f>DATE(2023,7,3)</f>
        <v>45110</v>
      </c>
      <c r="B283">
        <v>260370</v>
      </c>
      <c r="EC283">
        <v>200</v>
      </c>
      <c r="GN283">
        <f t="shared" si="4"/>
        <v>200</v>
      </c>
    </row>
    <row r="284" spans="1:196" x14ac:dyDescent="0.25">
      <c r="A284" s="4">
        <f>DATE(2023,6,30)</f>
        <v>45107</v>
      </c>
      <c r="B284">
        <v>259282</v>
      </c>
      <c r="EC284">
        <v>200</v>
      </c>
      <c r="GN284">
        <f t="shared" si="4"/>
        <v>200</v>
      </c>
    </row>
    <row r="285" spans="1:196" x14ac:dyDescent="0.25">
      <c r="A285" s="4">
        <f>DATE(2023,6,29)</f>
        <v>45106</v>
      </c>
      <c r="B285">
        <v>259229</v>
      </c>
      <c r="EC285">
        <v>200</v>
      </c>
      <c r="GN285">
        <f t="shared" si="4"/>
        <v>200</v>
      </c>
    </row>
    <row r="286" spans="1:196" x14ac:dyDescent="0.25">
      <c r="A286" s="4">
        <f>DATE(2023,6,28)</f>
        <v>45105</v>
      </c>
      <c r="B286">
        <v>259376</v>
      </c>
      <c r="EC286">
        <v>200</v>
      </c>
      <c r="GN286">
        <f t="shared" si="4"/>
        <v>200</v>
      </c>
    </row>
    <row r="287" spans="1:196" x14ac:dyDescent="0.25">
      <c r="A287" s="4">
        <f>DATE(2023,6,27)</f>
        <v>45104</v>
      </c>
      <c r="B287">
        <v>256360</v>
      </c>
      <c r="EC287">
        <v>200</v>
      </c>
      <c r="GN287">
        <f t="shared" si="4"/>
        <v>200</v>
      </c>
    </row>
    <row r="288" spans="1:196" x14ac:dyDescent="0.25">
      <c r="A288" s="4">
        <f>DATE(2023,6,26)</f>
        <v>45103</v>
      </c>
      <c r="B288">
        <v>257719</v>
      </c>
      <c r="EC288">
        <v>200</v>
      </c>
      <c r="GN288">
        <f t="shared" si="4"/>
        <v>200</v>
      </c>
    </row>
    <row r="289" spans="1:196" x14ac:dyDescent="0.25">
      <c r="A289" s="4">
        <f>DATE(2023,6,23)</f>
        <v>45100</v>
      </c>
      <c r="B289">
        <v>256407</v>
      </c>
      <c r="EC289">
        <v>200</v>
      </c>
      <c r="GN289">
        <f t="shared" si="4"/>
        <v>200</v>
      </c>
    </row>
    <row r="290" spans="1:196" x14ac:dyDescent="0.25">
      <c r="A290" s="4">
        <f>DATE(2023,6,22)</f>
        <v>45099</v>
      </c>
      <c r="B290">
        <v>256521</v>
      </c>
      <c r="EC290">
        <v>200</v>
      </c>
      <c r="GN290">
        <f t="shared" si="4"/>
        <v>200</v>
      </c>
    </row>
    <row r="291" spans="1:196" x14ac:dyDescent="0.25">
      <c r="A291" s="4">
        <f>DATE(2023,6,21)</f>
        <v>45098</v>
      </c>
      <c r="B291">
        <v>254157</v>
      </c>
      <c r="EC291">
        <v>200</v>
      </c>
      <c r="GN291">
        <f t="shared" si="4"/>
        <v>200</v>
      </c>
    </row>
    <row r="292" spans="1:196" x14ac:dyDescent="0.25">
      <c r="A292" s="4">
        <f>DATE(2023,6,20)</f>
        <v>45097</v>
      </c>
      <c r="B292">
        <v>249934</v>
      </c>
      <c r="EC292">
        <v>200</v>
      </c>
      <c r="GN292">
        <f t="shared" si="4"/>
        <v>200</v>
      </c>
    </row>
    <row r="293" spans="1:196" x14ac:dyDescent="0.25">
      <c r="A293" s="4">
        <f>DATE(2023,6,19)</f>
        <v>45096</v>
      </c>
      <c r="B293">
        <v>250280</v>
      </c>
      <c r="EC293">
        <v>200</v>
      </c>
      <c r="GN293">
        <f t="shared" si="4"/>
        <v>200</v>
      </c>
    </row>
    <row r="294" spans="1:196" x14ac:dyDescent="0.25">
      <c r="A294" s="4">
        <f>DATE(2023,6,16)</f>
        <v>45093</v>
      </c>
      <c r="B294">
        <v>249414</v>
      </c>
      <c r="EC294">
        <v>200</v>
      </c>
      <c r="GN294">
        <f t="shared" si="4"/>
        <v>200</v>
      </c>
    </row>
    <row r="295" spans="1:196" x14ac:dyDescent="0.25">
      <c r="A295" s="4">
        <f>DATE(2023,6,15)</f>
        <v>45092</v>
      </c>
      <c r="B295">
        <v>247372</v>
      </c>
      <c r="EC295">
        <v>200</v>
      </c>
      <c r="GN295">
        <f t="shared" si="4"/>
        <v>200</v>
      </c>
    </row>
    <row r="296" spans="1:196" x14ac:dyDescent="0.25">
      <c r="A296" s="4">
        <f>DATE(2023,6,14)</f>
        <v>45091</v>
      </c>
      <c r="B296">
        <v>248701</v>
      </c>
      <c r="EC296">
        <v>200</v>
      </c>
      <c r="GN296">
        <f t="shared" si="4"/>
        <v>200</v>
      </c>
    </row>
    <row r="297" spans="1:196" x14ac:dyDescent="0.25">
      <c r="A297" s="4">
        <f>DATE(2023,6,13)</f>
        <v>45090</v>
      </c>
      <c r="B297">
        <v>249516</v>
      </c>
      <c r="EC297">
        <v>200</v>
      </c>
      <c r="GN297">
        <f t="shared" si="4"/>
        <v>200</v>
      </c>
    </row>
    <row r="298" spans="1:196" x14ac:dyDescent="0.25">
      <c r="A298" s="4">
        <f>DATE(2023,6,12)</f>
        <v>45089</v>
      </c>
      <c r="B298">
        <v>252269</v>
      </c>
      <c r="EC298">
        <v>200</v>
      </c>
      <c r="GN298">
        <f t="shared" si="4"/>
        <v>200</v>
      </c>
    </row>
    <row r="299" spans="1:196" x14ac:dyDescent="0.25">
      <c r="A299" s="4">
        <f>DATE(2023,6,9)</f>
        <v>45086</v>
      </c>
      <c r="B299">
        <v>253915</v>
      </c>
      <c r="EC299">
        <v>200</v>
      </c>
      <c r="GN299">
        <f t="shared" si="4"/>
        <v>200</v>
      </c>
    </row>
    <row r="300" spans="1:196" x14ac:dyDescent="0.25">
      <c r="A300" s="4">
        <f>DATE(2023,6,8)</f>
        <v>45085</v>
      </c>
      <c r="B300">
        <v>256590</v>
      </c>
      <c r="EC300">
        <v>200</v>
      </c>
      <c r="GN300">
        <f t="shared" si="4"/>
        <v>200</v>
      </c>
    </row>
    <row r="301" spans="1:196" x14ac:dyDescent="0.25">
      <c r="A301" s="4">
        <f>DATE(2023,6,7)</f>
        <v>45084</v>
      </c>
      <c r="B301">
        <v>255965</v>
      </c>
      <c r="EC301">
        <v>200</v>
      </c>
      <c r="GN301">
        <f t="shared" si="4"/>
        <v>200</v>
      </c>
    </row>
    <row r="302" spans="1:196" x14ac:dyDescent="0.25">
      <c r="A302" s="4">
        <f>DATE(2023,6,6)</f>
        <v>45083</v>
      </c>
      <c r="B302">
        <v>259133</v>
      </c>
      <c r="EC302">
        <v>200</v>
      </c>
      <c r="GN302">
        <f t="shared" si="4"/>
        <v>200</v>
      </c>
    </row>
    <row r="303" spans="1:196" x14ac:dyDescent="0.25">
      <c r="A303" s="4">
        <f>DATE(2023,6,5)</f>
        <v>45082</v>
      </c>
      <c r="B303">
        <v>261342</v>
      </c>
      <c r="EC303">
        <v>200</v>
      </c>
      <c r="GN303">
        <f t="shared" si="4"/>
        <v>200</v>
      </c>
    </row>
    <row r="304" spans="1:196" x14ac:dyDescent="0.25">
      <c r="A304" s="4">
        <f>DATE(2023,6,2)</f>
        <v>45079</v>
      </c>
      <c r="B304">
        <v>262029</v>
      </c>
      <c r="EC304">
        <v>200</v>
      </c>
      <c r="GN304">
        <f t="shared" si="4"/>
        <v>200</v>
      </c>
    </row>
    <row r="305" spans="1:196" x14ac:dyDescent="0.25">
      <c r="A305" s="4">
        <f>DATE(2023,6,1)</f>
        <v>45078</v>
      </c>
      <c r="B305">
        <v>262073</v>
      </c>
      <c r="EC305">
        <v>100</v>
      </c>
      <c r="GN305">
        <f t="shared" si="4"/>
        <v>100</v>
      </c>
    </row>
    <row r="306" spans="1:196" x14ac:dyDescent="0.25">
      <c r="A306" s="4">
        <f>DATE(2023,5,31)</f>
        <v>45077</v>
      </c>
      <c r="B306">
        <v>262879</v>
      </c>
      <c r="GN306">
        <f t="shared" si="4"/>
        <v>0</v>
      </c>
    </row>
    <row r="307" spans="1:196" x14ac:dyDescent="0.25">
      <c r="A307" s="4">
        <f>DATE(2023,5,30)</f>
        <v>45076</v>
      </c>
      <c r="B307">
        <v>262178</v>
      </c>
      <c r="GN307">
        <f t="shared" si="4"/>
        <v>0</v>
      </c>
    </row>
    <row r="308" spans="1:196" x14ac:dyDescent="0.25">
      <c r="A308" s="4">
        <f>DATE(2023,5,29)</f>
        <v>45075</v>
      </c>
      <c r="B308">
        <v>259977</v>
      </c>
      <c r="GN308">
        <f t="shared" si="4"/>
        <v>0</v>
      </c>
    </row>
    <row r="309" spans="1:196" x14ac:dyDescent="0.25">
      <c r="A309" s="4">
        <f>DATE(2023,5,26)</f>
        <v>45072</v>
      </c>
      <c r="B309">
        <v>260070</v>
      </c>
      <c r="GN309">
        <f t="shared" si="4"/>
        <v>0</v>
      </c>
    </row>
    <row r="310" spans="1:196" x14ac:dyDescent="0.25">
      <c r="A310" s="4">
        <f>DATE(2023,5,25)</f>
        <v>45071</v>
      </c>
      <c r="B310">
        <v>258395</v>
      </c>
      <c r="GN310">
        <f t="shared" si="4"/>
        <v>0</v>
      </c>
    </row>
    <row r="311" spans="1:196" x14ac:dyDescent="0.25">
      <c r="A311" s="4">
        <f>DATE(2023,5,24)</f>
        <v>45070</v>
      </c>
      <c r="B311">
        <v>256489</v>
      </c>
      <c r="GN311">
        <f t="shared" si="4"/>
        <v>0</v>
      </c>
    </row>
    <row r="312" spans="1:196" x14ac:dyDescent="0.25">
      <c r="A312" s="4">
        <f>DATE(2023,5,23)</f>
        <v>45069</v>
      </c>
      <c r="B312">
        <v>255496</v>
      </c>
      <c r="GN312">
        <f t="shared" si="4"/>
        <v>0</v>
      </c>
    </row>
    <row r="313" spans="1:196" x14ac:dyDescent="0.25">
      <c r="A313" s="4">
        <f>DATE(2023,5,22)</f>
        <v>45068</v>
      </c>
      <c r="B313">
        <v>254943</v>
      </c>
      <c r="GN313">
        <f t="shared" si="4"/>
        <v>0</v>
      </c>
    </row>
    <row r="314" spans="1:196" x14ac:dyDescent="0.25">
      <c r="A314" s="4">
        <f>DATE(2023,5,19)</f>
        <v>45065</v>
      </c>
      <c r="B314">
        <v>253073</v>
      </c>
      <c r="GN314">
        <f t="shared" si="4"/>
        <v>0</v>
      </c>
    </row>
    <row r="315" spans="1:196" x14ac:dyDescent="0.25">
      <c r="A315" s="4">
        <f>DATE(2023,5,18)</f>
        <v>45064</v>
      </c>
      <c r="B315">
        <v>254562</v>
      </c>
      <c r="GN315">
        <f t="shared" si="4"/>
        <v>0</v>
      </c>
    </row>
    <row r="316" spans="1:196" x14ac:dyDescent="0.25">
      <c r="A316" s="4">
        <f>DATE(2023,5,17)</f>
        <v>45063</v>
      </c>
      <c r="B316">
        <v>254597</v>
      </c>
      <c r="GN316">
        <f t="shared" si="4"/>
        <v>0</v>
      </c>
    </row>
    <row r="317" spans="1:196" x14ac:dyDescent="0.25">
      <c r="A317" s="4">
        <f>DATE(2023,5,16)</f>
        <v>45062</v>
      </c>
      <c r="B317">
        <v>256205</v>
      </c>
      <c r="GN317">
        <f t="shared" si="4"/>
        <v>0</v>
      </c>
    </row>
    <row r="318" spans="1:196" x14ac:dyDescent="0.25">
      <c r="A318" s="4">
        <f>DATE(2023,5,15)</f>
        <v>45061</v>
      </c>
      <c r="B318">
        <v>255691</v>
      </c>
      <c r="GN318">
        <f t="shared" si="4"/>
        <v>0</v>
      </c>
    </row>
    <row r="319" spans="1:196" x14ac:dyDescent="0.25">
      <c r="A319" s="4">
        <f>DATE(2023,5,12)</f>
        <v>45058</v>
      </c>
      <c r="B319">
        <v>255914</v>
      </c>
      <c r="GN319">
        <f t="shared" si="4"/>
        <v>0</v>
      </c>
    </row>
    <row r="320" spans="1:196" x14ac:dyDescent="0.25">
      <c r="A320" s="4">
        <f>DATE(2023,5,11)</f>
        <v>45057</v>
      </c>
      <c r="B320">
        <v>255709</v>
      </c>
      <c r="GN320">
        <f t="shared" si="4"/>
        <v>0</v>
      </c>
    </row>
    <row r="321" spans="1:196" x14ac:dyDescent="0.25">
      <c r="A321" s="4">
        <f>DATE(2023,5,10)</f>
        <v>45056</v>
      </c>
      <c r="B321">
        <v>256586</v>
      </c>
      <c r="GN321">
        <f t="shared" si="4"/>
        <v>0</v>
      </c>
    </row>
    <row r="322" spans="1:196" x14ac:dyDescent="0.25">
      <c r="A322" s="4">
        <f>DATE(2023,5,9)</f>
        <v>45055</v>
      </c>
      <c r="B322">
        <v>257311</v>
      </c>
      <c r="GN322">
        <f t="shared" si="4"/>
        <v>0</v>
      </c>
    </row>
    <row r="323" spans="1:196" x14ac:dyDescent="0.25">
      <c r="A323" s="4">
        <f>DATE(2023,5,8)</f>
        <v>45054</v>
      </c>
      <c r="B323">
        <v>256698</v>
      </c>
      <c r="GN323">
        <f t="shared" si="4"/>
        <v>0</v>
      </c>
    </row>
    <row r="324" spans="1:196" x14ac:dyDescent="0.25">
      <c r="A324" s="4">
        <f>DATE(2023,5,5)</f>
        <v>45051</v>
      </c>
      <c r="B324">
        <v>256889</v>
      </c>
      <c r="GN324">
        <f t="shared" si="4"/>
        <v>0</v>
      </c>
    </row>
    <row r="325" spans="1:196" x14ac:dyDescent="0.25">
      <c r="A325" s="4">
        <f>DATE(2023,5,4)</f>
        <v>45050</v>
      </c>
      <c r="B325">
        <v>257443</v>
      </c>
      <c r="GN325">
        <f t="shared" si="4"/>
        <v>0</v>
      </c>
    </row>
    <row r="326" spans="1:196" x14ac:dyDescent="0.25">
      <c r="A326" s="4">
        <f>DATE(2023,5,3)</f>
        <v>45049</v>
      </c>
      <c r="B326">
        <v>257358</v>
      </c>
      <c r="GN326">
        <f t="shared" ref="GN326:GN389" si="5">SUMPRODUCT(C326:GM326)</f>
        <v>0</v>
      </c>
    </row>
    <row r="327" spans="1:196" x14ac:dyDescent="0.25">
      <c r="A327" s="4">
        <f>DATE(2023,5,2)</f>
        <v>45048</v>
      </c>
      <c r="B327">
        <v>255909</v>
      </c>
      <c r="GN327">
        <f t="shared" si="5"/>
        <v>0</v>
      </c>
    </row>
    <row r="328" spans="1:196" x14ac:dyDescent="0.25">
      <c r="A328" s="4">
        <f>DATE(2023,5,1)</f>
        <v>45047</v>
      </c>
      <c r="B328">
        <v>258439</v>
      </c>
      <c r="GN328">
        <f t="shared" si="5"/>
        <v>0</v>
      </c>
    </row>
    <row r="329" spans="1:196" x14ac:dyDescent="0.25">
      <c r="A329" s="4">
        <f>DATE(2023,4,28)</f>
        <v>45044</v>
      </c>
      <c r="B329">
        <v>257999</v>
      </c>
      <c r="GN329">
        <f t="shared" si="5"/>
        <v>0</v>
      </c>
    </row>
    <row r="330" spans="1:196" x14ac:dyDescent="0.25">
      <c r="A330" s="4">
        <f>DATE(2023,4,27)</f>
        <v>45043</v>
      </c>
      <c r="B330">
        <v>257880</v>
      </c>
      <c r="GN330">
        <f t="shared" si="5"/>
        <v>0</v>
      </c>
    </row>
    <row r="331" spans="1:196" x14ac:dyDescent="0.25">
      <c r="A331" s="4">
        <f>DATE(2023,4,26)</f>
        <v>45042</v>
      </c>
      <c r="B331">
        <v>256586</v>
      </c>
      <c r="GN331">
        <f t="shared" si="5"/>
        <v>0</v>
      </c>
    </row>
    <row r="332" spans="1:196" x14ac:dyDescent="0.25">
      <c r="A332" s="4">
        <f>DATE(2023,4,25)</f>
        <v>45041</v>
      </c>
      <c r="B332">
        <v>255049</v>
      </c>
      <c r="GN332">
        <f t="shared" si="5"/>
        <v>0</v>
      </c>
    </row>
    <row r="333" spans="1:196" x14ac:dyDescent="0.25">
      <c r="A333" s="4">
        <f>DATE(2023,4,24)</f>
        <v>45040</v>
      </c>
      <c r="B333">
        <v>257542</v>
      </c>
      <c r="GN333">
        <f t="shared" si="5"/>
        <v>0</v>
      </c>
    </row>
    <row r="334" spans="1:196" x14ac:dyDescent="0.25">
      <c r="A334" s="4">
        <f>DATE(2023,4,21)</f>
        <v>45037</v>
      </c>
      <c r="B334">
        <v>258157</v>
      </c>
      <c r="GN334">
        <f t="shared" si="5"/>
        <v>0</v>
      </c>
    </row>
    <row r="335" spans="1:196" x14ac:dyDescent="0.25">
      <c r="A335" s="4">
        <f>DATE(2023,4,20)</f>
        <v>45036</v>
      </c>
      <c r="B335">
        <v>259099</v>
      </c>
      <c r="GN335">
        <f t="shared" si="5"/>
        <v>0</v>
      </c>
    </row>
    <row r="336" spans="1:196" x14ac:dyDescent="0.25">
      <c r="A336" s="4">
        <f>DATE(2023,4,19)</f>
        <v>45035</v>
      </c>
      <c r="B336">
        <v>262545</v>
      </c>
      <c r="GN336">
        <f t="shared" si="5"/>
        <v>0</v>
      </c>
    </row>
    <row r="337" spans="1:196" x14ac:dyDescent="0.25">
      <c r="A337" s="4">
        <f>DATE(2023,4,18)</f>
        <v>45034</v>
      </c>
      <c r="B337">
        <v>264073</v>
      </c>
      <c r="GN337">
        <f t="shared" si="5"/>
        <v>0</v>
      </c>
    </row>
    <row r="338" spans="1:196" x14ac:dyDescent="0.25">
      <c r="A338" s="4">
        <f>DATE(2023,4,17)</f>
        <v>45033</v>
      </c>
      <c r="B338">
        <v>265414</v>
      </c>
      <c r="GN338">
        <f t="shared" si="5"/>
        <v>0</v>
      </c>
    </row>
    <row r="339" spans="1:196" x14ac:dyDescent="0.25">
      <c r="A339" s="4">
        <f>DATE(2023,4,14)</f>
        <v>45030</v>
      </c>
      <c r="B339">
        <v>265267</v>
      </c>
      <c r="GN339">
        <f t="shared" si="5"/>
        <v>0</v>
      </c>
    </row>
    <row r="340" spans="1:196" x14ac:dyDescent="0.25">
      <c r="A340" s="4">
        <f>DATE(2023,4,13)</f>
        <v>45029</v>
      </c>
      <c r="B340">
        <v>264577</v>
      </c>
      <c r="GN340">
        <f t="shared" si="5"/>
        <v>0</v>
      </c>
    </row>
    <row r="341" spans="1:196" x14ac:dyDescent="0.25">
      <c r="A341" s="4">
        <f>DATE(2023,4,12)</f>
        <v>45028</v>
      </c>
      <c r="B341">
        <v>263927</v>
      </c>
      <c r="GN341">
        <f t="shared" si="5"/>
        <v>0</v>
      </c>
    </row>
    <row r="342" spans="1:196" x14ac:dyDescent="0.25">
      <c r="A342" s="4">
        <f>DATE(2023,4,11)</f>
        <v>45027</v>
      </c>
      <c r="B342">
        <v>264247</v>
      </c>
      <c r="GN342">
        <f t="shared" si="5"/>
        <v>0</v>
      </c>
    </row>
    <row r="343" spans="1:196" x14ac:dyDescent="0.25">
      <c r="A343" s="4">
        <f>DATE(2023,4,10)</f>
        <v>45026</v>
      </c>
      <c r="GN343">
        <f t="shared" si="5"/>
        <v>0</v>
      </c>
    </row>
    <row r="344" spans="1:196" x14ac:dyDescent="0.25">
      <c r="A344" s="4">
        <f>DATE(2023,4,7)</f>
        <v>45023</v>
      </c>
      <c r="GN344">
        <f t="shared" si="5"/>
        <v>0</v>
      </c>
    </row>
    <row r="345" spans="1:196" x14ac:dyDescent="0.25">
      <c r="A345" s="4">
        <f>DATE(2023,4,6)</f>
        <v>45022</v>
      </c>
      <c r="B345">
        <v>262907</v>
      </c>
      <c r="GN345">
        <f t="shared" si="5"/>
        <v>0</v>
      </c>
    </row>
    <row r="346" spans="1:196" x14ac:dyDescent="0.25">
      <c r="A346" s="4">
        <f>DATE(2023,4,5)</f>
        <v>45021</v>
      </c>
      <c r="B346">
        <v>261927</v>
      </c>
      <c r="GN346">
        <f t="shared" si="5"/>
        <v>0</v>
      </c>
    </row>
    <row r="347" spans="1:196" x14ac:dyDescent="0.25">
      <c r="A347" s="4">
        <f>DATE(2023,4,4)</f>
        <v>45020</v>
      </c>
      <c r="B347">
        <v>260971</v>
      </c>
      <c r="GN347">
        <f t="shared" si="5"/>
        <v>0</v>
      </c>
    </row>
    <row r="348" spans="1:196" x14ac:dyDescent="0.25">
      <c r="A348" s="4">
        <f>DATE(2023,4,3)</f>
        <v>45019</v>
      </c>
      <c r="B348">
        <v>262497</v>
      </c>
      <c r="GN348">
        <f t="shared" si="5"/>
        <v>0</v>
      </c>
    </row>
    <row r="349" spans="1:196" x14ac:dyDescent="0.25">
      <c r="A349" s="4">
        <f>DATE(2023,3,31)</f>
        <v>45016</v>
      </c>
      <c r="B349">
        <v>262035</v>
      </c>
      <c r="GN349">
        <f t="shared" si="5"/>
        <v>0</v>
      </c>
    </row>
    <row r="350" spans="1:196" x14ac:dyDescent="0.25">
      <c r="A350" s="4">
        <f>DATE(2023,3,30)</f>
        <v>45015</v>
      </c>
      <c r="B350">
        <v>263021</v>
      </c>
      <c r="GN350">
        <f t="shared" si="5"/>
        <v>0</v>
      </c>
    </row>
    <row r="351" spans="1:196" x14ac:dyDescent="0.25">
      <c r="A351" s="4">
        <f>DATE(2023,3,29)</f>
        <v>45014</v>
      </c>
      <c r="B351">
        <v>264196</v>
      </c>
      <c r="GN351">
        <f t="shared" si="5"/>
        <v>0</v>
      </c>
    </row>
    <row r="352" spans="1:196" x14ac:dyDescent="0.25">
      <c r="A352" s="4">
        <f>DATE(2023,3,28)</f>
        <v>45013</v>
      </c>
      <c r="B352">
        <v>271991</v>
      </c>
      <c r="GN352">
        <f t="shared" si="5"/>
        <v>0</v>
      </c>
    </row>
    <row r="353" spans="1:196" x14ac:dyDescent="0.25">
      <c r="A353" s="4">
        <f>DATE(2023,3,27)</f>
        <v>45012</v>
      </c>
      <c r="B353">
        <v>271774</v>
      </c>
      <c r="GN353">
        <f t="shared" si="5"/>
        <v>0</v>
      </c>
    </row>
    <row r="354" spans="1:196" x14ac:dyDescent="0.25">
      <c r="A354" s="4">
        <f>DATE(2023,3,24)</f>
        <v>45009</v>
      </c>
      <c r="B354">
        <v>282024</v>
      </c>
      <c r="GN354">
        <f t="shared" si="5"/>
        <v>0</v>
      </c>
    </row>
    <row r="355" spans="1:196" x14ac:dyDescent="0.25">
      <c r="A355" s="4">
        <f>DATE(2023,3,23)</f>
        <v>45008</v>
      </c>
      <c r="B355">
        <v>283752</v>
      </c>
      <c r="GN355">
        <f t="shared" si="5"/>
        <v>0</v>
      </c>
    </row>
    <row r="356" spans="1:196" x14ac:dyDescent="0.25">
      <c r="A356" s="4">
        <f>DATE(2023,3,22)</f>
        <v>45007</v>
      </c>
      <c r="B356">
        <v>283952</v>
      </c>
      <c r="GN356">
        <f t="shared" si="5"/>
        <v>0</v>
      </c>
    </row>
    <row r="357" spans="1:196" x14ac:dyDescent="0.25">
      <c r="A357" s="4">
        <f>DATE(2023,3,21)</f>
        <v>45006</v>
      </c>
      <c r="B357">
        <v>284188</v>
      </c>
      <c r="GN357">
        <f t="shared" si="5"/>
        <v>0</v>
      </c>
    </row>
    <row r="358" spans="1:196" x14ac:dyDescent="0.25">
      <c r="A358" s="4">
        <f>DATE(2023,3,20)</f>
        <v>45005</v>
      </c>
      <c r="B358">
        <v>283335</v>
      </c>
      <c r="GN358">
        <f t="shared" si="5"/>
        <v>0</v>
      </c>
    </row>
    <row r="359" spans="1:196" x14ac:dyDescent="0.25">
      <c r="A359" s="4">
        <f>DATE(2023,3,17)</f>
        <v>45002</v>
      </c>
      <c r="B359">
        <v>282384</v>
      </c>
      <c r="GN359">
        <f t="shared" si="5"/>
        <v>0</v>
      </c>
    </row>
    <row r="360" spans="1:196" x14ac:dyDescent="0.25">
      <c r="A360" s="4">
        <f>DATE(2023,3,16)</f>
        <v>45001</v>
      </c>
      <c r="B360">
        <v>284062</v>
      </c>
      <c r="GN360">
        <f t="shared" si="5"/>
        <v>0</v>
      </c>
    </row>
    <row r="361" spans="1:196" x14ac:dyDescent="0.25">
      <c r="A361" s="4">
        <f>DATE(2023,3,15)</f>
        <v>45000</v>
      </c>
      <c r="B361">
        <v>283641</v>
      </c>
      <c r="GN361">
        <f t="shared" si="5"/>
        <v>0</v>
      </c>
    </row>
    <row r="362" spans="1:196" x14ac:dyDescent="0.25">
      <c r="A362" s="4">
        <f>DATE(2023,3,14)</f>
        <v>44999</v>
      </c>
      <c r="B362">
        <v>287405</v>
      </c>
      <c r="GN362">
        <f t="shared" si="5"/>
        <v>0</v>
      </c>
    </row>
    <row r="363" spans="1:196" x14ac:dyDescent="0.25">
      <c r="A363" s="4">
        <f>DATE(2023,3,13)</f>
        <v>44998</v>
      </c>
      <c r="B363">
        <v>288045</v>
      </c>
      <c r="GN363">
        <f t="shared" si="5"/>
        <v>0</v>
      </c>
    </row>
    <row r="364" spans="1:196" x14ac:dyDescent="0.25">
      <c r="A364" s="4">
        <f>DATE(2023,3,10)</f>
        <v>44995</v>
      </c>
      <c r="B364">
        <v>291404</v>
      </c>
      <c r="GN364">
        <f t="shared" si="5"/>
        <v>0</v>
      </c>
    </row>
    <row r="365" spans="1:196" x14ac:dyDescent="0.25">
      <c r="A365" s="4">
        <f>DATE(2023,3,9)</f>
        <v>44994</v>
      </c>
      <c r="B365">
        <v>289409</v>
      </c>
      <c r="GN365">
        <f t="shared" si="5"/>
        <v>0</v>
      </c>
    </row>
    <row r="366" spans="1:196" x14ac:dyDescent="0.25">
      <c r="A366" s="4">
        <f>DATE(2023,3,8)</f>
        <v>44993</v>
      </c>
      <c r="B366">
        <v>292231</v>
      </c>
      <c r="GN366">
        <f t="shared" si="5"/>
        <v>0</v>
      </c>
    </row>
    <row r="367" spans="1:196" x14ac:dyDescent="0.25">
      <c r="A367" s="4">
        <f>DATE(2023,3,7)</f>
        <v>44992</v>
      </c>
      <c r="B367">
        <v>294286</v>
      </c>
      <c r="GN367">
        <f t="shared" si="5"/>
        <v>0</v>
      </c>
    </row>
    <row r="368" spans="1:196" x14ac:dyDescent="0.25">
      <c r="A368" s="4">
        <f>DATE(2023,3,6)</f>
        <v>44991</v>
      </c>
      <c r="B368">
        <v>294752</v>
      </c>
      <c r="GN368">
        <f t="shared" si="5"/>
        <v>0</v>
      </c>
    </row>
    <row r="369" spans="1:196" x14ac:dyDescent="0.25">
      <c r="A369" s="4">
        <f>DATE(2023,3,3)</f>
        <v>44988</v>
      </c>
      <c r="B369">
        <v>294084</v>
      </c>
      <c r="GN369">
        <f t="shared" si="5"/>
        <v>0</v>
      </c>
    </row>
    <row r="370" spans="1:196" x14ac:dyDescent="0.25">
      <c r="A370" s="4">
        <f>DATE(2023,3,2)</f>
        <v>44987</v>
      </c>
      <c r="B370">
        <v>294581</v>
      </c>
      <c r="GN370">
        <f t="shared" si="5"/>
        <v>0</v>
      </c>
    </row>
    <row r="371" spans="1:196" x14ac:dyDescent="0.25">
      <c r="A371" s="4">
        <f>DATE(2023,3,1)</f>
        <v>44986</v>
      </c>
      <c r="B371">
        <v>295467</v>
      </c>
      <c r="GN371">
        <f t="shared" si="5"/>
        <v>0</v>
      </c>
    </row>
    <row r="372" spans="1:196" x14ac:dyDescent="0.25">
      <c r="A372" s="4">
        <f>DATE(2023,2,28)</f>
        <v>44985</v>
      </c>
      <c r="B372">
        <v>295745</v>
      </c>
      <c r="GN372">
        <f t="shared" si="5"/>
        <v>0</v>
      </c>
    </row>
    <row r="373" spans="1:196" x14ac:dyDescent="0.25">
      <c r="A373" s="4">
        <f>DATE(2023,2,27)</f>
        <v>44984</v>
      </c>
      <c r="B373">
        <v>296630</v>
      </c>
      <c r="GN373">
        <f t="shared" si="5"/>
        <v>0</v>
      </c>
    </row>
    <row r="374" spans="1:196" x14ac:dyDescent="0.25">
      <c r="A374" s="4">
        <f>DATE(2023,2,24)</f>
        <v>44981</v>
      </c>
      <c r="B374">
        <v>295182</v>
      </c>
      <c r="GN374">
        <f t="shared" si="5"/>
        <v>0</v>
      </c>
    </row>
    <row r="375" spans="1:196" x14ac:dyDescent="0.25">
      <c r="A375" s="4">
        <f>DATE(2023,2,23)</f>
        <v>44980</v>
      </c>
      <c r="B375">
        <v>294648</v>
      </c>
      <c r="GN375">
        <f t="shared" si="5"/>
        <v>0</v>
      </c>
    </row>
    <row r="376" spans="1:196" x14ac:dyDescent="0.25">
      <c r="A376" s="4">
        <f>DATE(2023,2,22)</f>
        <v>44979</v>
      </c>
      <c r="B376">
        <v>293873</v>
      </c>
      <c r="GN376">
        <f t="shared" si="5"/>
        <v>0</v>
      </c>
    </row>
    <row r="377" spans="1:196" x14ac:dyDescent="0.25">
      <c r="A377" s="4">
        <f>DATE(2023,2,21)</f>
        <v>44978</v>
      </c>
      <c r="B377">
        <v>293884</v>
      </c>
      <c r="GN377">
        <f t="shared" si="5"/>
        <v>0</v>
      </c>
    </row>
    <row r="378" spans="1:196" x14ac:dyDescent="0.25">
      <c r="A378" s="4">
        <f>DATE(2023,2,20)</f>
        <v>44977</v>
      </c>
      <c r="B378">
        <v>292375</v>
      </c>
      <c r="GN378">
        <f t="shared" si="5"/>
        <v>0</v>
      </c>
    </row>
    <row r="379" spans="1:196" x14ac:dyDescent="0.25">
      <c r="A379" s="4">
        <f>DATE(2023,2,17)</f>
        <v>44974</v>
      </c>
      <c r="B379">
        <v>290869</v>
      </c>
      <c r="GN379">
        <f t="shared" si="5"/>
        <v>0</v>
      </c>
    </row>
    <row r="380" spans="1:196" x14ac:dyDescent="0.25">
      <c r="A380" s="4">
        <f>DATE(2023,2,16)</f>
        <v>44973</v>
      </c>
      <c r="B380">
        <v>288995</v>
      </c>
      <c r="GN380">
        <f t="shared" si="5"/>
        <v>0</v>
      </c>
    </row>
    <row r="381" spans="1:196" x14ac:dyDescent="0.25">
      <c r="A381" s="4">
        <f>DATE(2023,2,15)</f>
        <v>44972</v>
      </c>
      <c r="B381">
        <v>288398</v>
      </c>
      <c r="GN381">
        <f t="shared" si="5"/>
        <v>0</v>
      </c>
    </row>
    <row r="382" spans="1:196" x14ac:dyDescent="0.25">
      <c r="A382" s="4">
        <f>DATE(2023,2,14)</f>
        <v>44971</v>
      </c>
      <c r="B382">
        <v>289439</v>
      </c>
      <c r="GN382">
        <f t="shared" si="5"/>
        <v>0</v>
      </c>
    </row>
    <row r="383" spans="1:196" x14ac:dyDescent="0.25">
      <c r="A383" s="4">
        <f>DATE(2023,2,13)</f>
        <v>44970</v>
      </c>
      <c r="B383">
        <v>288219</v>
      </c>
      <c r="GN383">
        <f t="shared" si="5"/>
        <v>0</v>
      </c>
    </row>
    <row r="384" spans="1:196" x14ac:dyDescent="0.25">
      <c r="A384" s="4">
        <f>DATE(2023,2,10)</f>
        <v>44967</v>
      </c>
      <c r="B384">
        <v>286853</v>
      </c>
      <c r="GN384">
        <f t="shared" si="5"/>
        <v>0</v>
      </c>
    </row>
    <row r="385" spans="1:196" x14ac:dyDescent="0.25">
      <c r="A385" s="4">
        <f>DATE(2023,2,9)</f>
        <v>44966</v>
      </c>
      <c r="B385">
        <v>285536</v>
      </c>
      <c r="GN385">
        <f t="shared" si="5"/>
        <v>0</v>
      </c>
    </row>
    <row r="386" spans="1:196" x14ac:dyDescent="0.25">
      <c r="A386" s="4">
        <f>DATE(2023,2,8)</f>
        <v>44965</v>
      </c>
      <c r="B386">
        <v>283174</v>
      </c>
      <c r="GN386">
        <f t="shared" si="5"/>
        <v>0</v>
      </c>
    </row>
    <row r="387" spans="1:196" x14ac:dyDescent="0.25">
      <c r="A387" s="4">
        <f>DATE(2023,2,7)</f>
        <v>44964</v>
      </c>
      <c r="B387">
        <v>283637</v>
      </c>
      <c r="GN387">
        <f t="shared" si="5"/>
        <v>0</v>
      </c>
    </row>
    <row r="388" spans="1:196" x14ac:dyDescent="0.25">
      <c r="A388" s="4">
        <f>DATE(2023,2,6)</f>
        <v>44963</v>
      </c>
      <c r="B388">
        <v>283739</v>
      </c>
      <c r="GN388">
        <f t="shared" si="5"/>
        <v>0</v>
      </c>
    </row>
    <row r="389" spans="1:196" x14ac:dyDescent="0.25">
      <c r="A389" s="4">
        <f>DATE(2023,2,3)</f>
        <v>44960</v>
      </c>
      <c r="B389">
        <v>282737</v>
      </c>
      <c r="GN389">
        <f t="shared" si="5"/>
        <v>0</v>
      </c>
    </row>
    <row r="390" spans="1:196" x14ac:dyDescent="0.25">
      <c r="A390" s="4">
        <f>DATE(2023,2,2)</f>
        <v>44959</v>
      </c>
      <c r="B390">
        <v>281314</v>
      </c>
      <c r="GN390">
        <f t="shared" ref="GN390:GN453" si="6">SUMPRODUCT(C390:GM390)</f>
        <v>0</v>
      </c>
    </row>
    <row r="391" spans="1:196" x14ac:dyDescent="0.25">
      <c r="A391" s="4">
        <f>DATE(2023,2,1)</f>
        <v>44958</v>
      </c>
      <c r="B391">
        <v>279732</v>
      </c>
      <c r="GN391">
        <f t="shared" si="6"/>
        <v>0</v>
      </c>
    </row>
    <row r="392" spans="1:196" x14ac:dyDescent="0.25">
      <c r="A392" s="4">
        <f>DATE(2023,1,31)</f>
        <v>44957</v>
      </c>
      <c r="B392">
        <v>277955</v>
      </c>
      <c r="GN392">
        <f t="shared" si="6"/>
        <v>0</v>
      </c>
    </row>
    <row r="393" spans="1:196" x14ac:dyDescent="0.25">
      <c r="A393" s="4">
        <f>DATE(2023,1,30)</f>
        <v>44956</v>
      </c>
      <c r="B393">
        <v>274011</v>
      </c>
      <c r="GN393">
        <f t="shared" si="6"/>
        <v>0</v>
      </c>
    </row>
    <row r="394" spans="1:196" x14ac:dyDescent="0.25">
      <c r="A394" s="4">
        <f>DATE(2023,1,27)</f>
        <v>44953</v>
      </c>
      <c r="B394">
        <v>272480</v>
      </c>
      <c r="GN394">
        <f t="shared" si="6"/>
        <v>0</v>
      </c>
    </row>
    <row r="395" spans="1:196" x14ac:dyDescent="0.25">
      <c r="A395" s="4">
        <f>DATE(2023,1,26)</f>
        <v>44952</v>
      </c>
      <c r="B395">
        <v>269451</v>
      </c>
      <c r="GN395">
        <f t="shared" si="6"/>
        <v>0</v>
      </c>
    </row>
    <row r="396" spans="1:196" x14ac:dyDescent="0.25">
      <c r="A396" s="4">
        <f>DATE(2023,1,25)</f>
        <v>44951</v>
      </c>
      <c r="B396">
        <v>268049</v>
      </c>
      <c r="GN396">
        <f t="shared" si="6"/>
        <v>0</v>
      </c>
    </row>
    <row r="397" spans="1:196" x14ac:dyDescent="0.25">
      <c r="A397" s="4">
        <f>DATE(2023,1,24)</f>
        <v>44950</v>
      </c>
      <c r="B397">
        <v>268081</v>
      </c>
      <c r="GN397">
        <f t="shared" si="6"/>
        <v>0</v>
      </c>
    </row>
    <row r="398" spans="1:196" x14ac:dyDescent="0.25">
      <c r="A398" s="4">
        <f>DATE(2023,1,23)</f>
        <v>44949</v>
      </c>
      <c r="B398">
        <v>265681</v>
      </c>
      <c r="GN398">
        <f t="shared" si="6"/>
        <v>0</v>
      </c>
    </row>
    <row r="399" spans="1:196" x14ac:dyDescent="0.25">
      <c r="A399" s="4">
        <f>DATE(2023,1,20)</f>
        <v>44946</v>
      </c>
      <c r="B399">
        <v>260620</v>
      </c>
      <c r="GN399">
        <f t="shared" si="6"/>
        <v>0</v>
      </c>
    </row>
    <row r="400" spans="1:196" x14ac:dyDescent="0.25">
      <c r="A400" s="4">
        <f>DATE(2023,1,19)</f>
        <v>44945</v>
      </c>
      <c r="B400">
        <v>260183</v>
      </c>
      <c r="GN400">
        <f t="shared" si="6"/>
        <v>0</v>
      </c>
    </row>
    <row r="401" spans="1:196" x14ac:dyDescent="0.25">
      <c r="A401" s="4">
        <f>DATE(2023,1,18)</f>
        <v>44944</v>
      </c>
      <c r="B401">
        <v>259969</v>
      </c>
      <c r="GN401">
        <f t="shared" si="6"/>
        <v>0</v>
      </c>
    </row>
    <row r="402" spans="1:196" x14ac:dyDescent="0.25">
      <c r="A402" s="4">
        <f>DATE(2023,1,17)</f>
        <v>44943</v>
      </c>
      <c r="B402">
        <v>260657</v>
      </c>
      <c r="GN402">
        <f t="shared" si="6"/>
        <v>0</v>
      </c>
    </row>
    <row r="403" spans="1:196" x14ac:dyDescent="0.25">
      <c r="A403" s="4">
        <f>DATE(2023,1,16)</f>
        <v>44942</v>
      </c>
      <c r="B403">
        <v>259966</v>
      </c>
      <c r="GN403">
        <f t="shared" si="6"/>
        <v>0</v>
      </c>
    </row>
    <row r="404" spans="1:196" x14ac:dyDescent="0.25">
      <c r="A404" s="4">
        <f>DATE(2023,1,13)</f>
        <v>44939</v>
      </c>
      <c r="B404">
        <v>258593</v>
      </c>
      <c r="GN404">
        <f t="shared" si="6"/>
        <v>0</v>
      </c>
    </row>
    <row r="405" spans="1:196" x14ac:dyDescent="0.25">
      <c r="A405" s="4">
        <f>DATE(2023,1,12)</f>
        <v>44938</v>
      </c>
      <c r="B405">
        <v>258708</v>
      </c>
      <c r="GN405">
        <f t="shared" si="6"/>
        <v>0</v>
      </c>
    </row>
    <row r="406" spans="1:196" x14ac:dyDescent="0.25">
      <c r="A406" s="4">
        <f>DATE(2023,1,11)</f>
        <v>44937</v>
      </c>
      <c r="B406">
        <v>257253</v>
      </c>
      <c r="GN406">
        <f t="shared" si="6"/>
        <v>0</v>
      </c>
    </row>
    <row r="407" spans="1:196" x14ac:dyDescent="0.25">
      <c r="A407" s="4">
        <f>DATE(2023,1,10)</f>
        <v>44936</v>
      </c>
      <c r="B407">
        <v>259681</v>
      </c>
      <c r="GN407">
        <f t="shared" si="6"/>
        <v>0</v>
      </c>
    </row>
    <row r="408" spans="1:196" x14ac:dyDescent="0.25">
      <c r="A408" s="4">
        <f>DATE(2023,1,9)</f>
        <v>44935</v>
      </c>
      <c r="B408">
        <v>260189</v>
      </c>
      <c r="GN408">
        <f t="shared" si="6"/>
        <v>0</v>
      </c>
    </row>
    <row r="409" spans="1:196" x14ac:dyDescent="0.25">
      <c r="A409" s="4">
        <f>DATE(2023,1,6)</f>
        <v>44932</v>
      </c>
      <c r="B409">
        <v>261327</v>
      </c>
      <c r="GN409">
        <f t="shared" si="6"/>
        <v>0</v>
      </c>
    </row>
    <row r="410" spans="1:196" x14ac:dyDescent="0.25">
      <c r="A410" s="4">
        <f>DATE(2023,1,5)</f>
        <v>44931</v>
      </c>
      <c r="B410">
        <v>262025</v>
      </c>
      <c r="GN410">
        <f t="shared" si="6"/>
        <v>0</v>
      </c>
    </row>
    <row r="411" spans="1:196" x14ac:dyDescent="0.25">
      <c r="A411" s="4">
        <f>DATE(2023,1,4)</f>
        <v>44930</v>
      </c>
      <c r="B411">
        <v>278833</v>
      </c>
      <c r="GN411">
        <f t="shared" si="6"/>
        <v>0</v>
      </c>
    </row>
    <row r="412" spans="1:196" x14ac:dyDescent="0.25">
      <c r="A412" s="4">
        <f>DATE(2023,1,3)</f>
        <v>44929</v>
      </c>
      <c r="B412">
        <v>280176</v>
      </c>
      <c r="GN412">
        <f t="shared" si="6"/>
        <v>0</v>
      </c>
    </row>
    <row r="413" spans="1:196" x14ac:dyDescent="0.25">
      <c r="A413" s="4">
        <f>DATE(2023,1,2)</f>
        <v>44928</v>
      </c>
      <c r="B413">
        <v>279550</v>
      </c>
      <c r="GN413">
        <f t="shared" si="6"/>
        <v>0</v>
      </c>
    </row>
    <row r="414" spans="1:196" x14ac:dyDescent="0.25">
      <c r="GN414">
        <f t="shared" si="6"/>
        <v>0</v>
      </c>
    </row>
    <row r="415" spans="1:196" x14ac:dyDescent="0.25">
      <c r="GN415">
        <f t="shared" si="6"/>
        <v>0</v>
      </c>
    </row>
    <row r="416" spans="1:196" x14ac:dyDescent="0.25">
      <c r="GN416">
        <f t="shared" si="6"/>
        <v>0</v>
      </c>
    </row>
    <row r="417" spans="196:196" x14ac:dyDescent="0.25">
      <c r="GN417">
        <f t="shared" si="6"/>
        <v>0</v>
      </c>
    </row>
    <row r="418" spans="196:196" x14ac:dyDescent="0.25">
      <c r="GN418">
        <f t="shared" si="6"/>
        <v>0</v>
      </c>
    </row>
    <row r="419" spans="196:196" x14ac:dyDescent="0.25">
      <c r="GN419">
        <f t="shared" si="6"/>
        <v>0</v>
      </c>
    </row>
    <row r="420" spans="196:196" x14ac:dyDescent="0.25">
      <c r="GN420">
        <f t="shared" si="6"/>
        <v>0</v>
      </c>
    </row>
    <row r="421" spans="196:196" x14ac:dyDescent="0.25">
      <c r="GN421">
        <f t="shared" si="6"/>
        <v>0</v>
      </c>
    </row>
    <row r="422" spans="196:196" x14ac:dyDescent="0.25">
      <c r="GN422">
        <f t="shared" si="6"/>
        <v>0</v>
      </c>
    </row>
    <row r="423" spans="196:196" x14ac:dyDescent="0.25">
      <c r="GN423">
        <f t="shared" si="6"/>
        <v>0</v>
      </c>
    </row>
    <row r="424" spans="196:196" x14ac:dyDescent="0.25">
      <c r="GN424">
        <f t="shared" si="6"/>
        <v>0</v>
      </c>
    </row>
    <row r="425" spans="196:196" x14ac:dyDescent="0.25">
      <c r="GN425">
        <f t="shared" si="6"/>
        <v>0</v>
      </c>
    </row>
    <row r="426" spans="196:196" x14ac:dyDescent="0.25">
      <c r="GN426">
        <f t="shared" si="6"/>
        <v>0</v>
      </c>
    </row>
    <row r="427" spans="196:196" x14ac:dyDescent="0.25">
      <c r="GN427">
        <f t="shared" si="6"/>
        <v>0</v>
      </c>
    </row>
    <row r="428" spans="196:196" x14ac:dyDescent="0.25">
      <c r="GN428">
        <f t="shared" si="6"/>
        <v>0</v>
      </c>
    </row>
    <row r="429" spans="196:196" x14ac:dyDescent="0.25">
      <c r="GN429">
        <f t="shared" si="6"/>
        <v>0</v>
      </c>
    </row>
    <row r="430" spans="196:196" x14ac:dyDescent="0.25">
      <c r="GN430">
        <f t="shared" si="6"/>
        <v>0</v>
      </c>
    </row>
    <row r="431" spans="196:196" x14ac:dyDescent="0.25">
      <c r="GN431">
        <f t="shared" si="6"/>
        <v>0</v>
      </c>
    </row>
    <row r="432" spans="196:196" x14ac:dyDescent="0.25">
      <c r="GN432">
        <f t="shared" si="6"/>
        <v>0</v>
      </c>
    </row>
    <row r="433" spans="196:196" x14ac:dyDescent="0.25">
      <c r="GN433">
        <f t="shared" si="6"/>
        <v>0</v>
      </c>
    </row>
    <row r="434" spans="196:196" x14ac:dyDescent="0.25">
      <c r="GN434">
        <f t="shared" si="6"/>
        <v>0</v>
      </c>
    </row>
    <row r="435" spans="196:196" x14ac:dyDescent="0.25">
      <c r="GN435">
        <f t="shared" si="6"/>
        <v>0</v>
      </c>
    </row>
    <row r="436" spans="196:196" x14ac:dyDescent="0.25">
      <c r="GN436">
        <f t="shared" si="6"/>
        <v>0</v>
      </c>
    </row>
    <row r="437" spans="196:196" x14ac:dyDescent="0.25">
      <c r="GN437">
        <f t="shared" si="6"/>
        <v>0</v>
      </c>
    </row>
    <row r="438" spans="196:196" x14ac:dyDescent="0.25">
      <c r="GN438">
        <f t="shared" si="6"/>
        <v>0</v>
      </c>
    </row>
    <row r="439" spans="196:196" x14ac:dyDescent="0.25">
      <c r="GN439">
        <f t="shared" si="6"/>
        <v>0</v>
      </c>
    </row>
    <row r="440" spans="196:196" x14ac:dyDescent="0.25">
      <c r="GN440">
        <f t="shared" si="6"/>
        <v>0</v>
      </c>
    </row>
    <row r="441" spans="196:196" x14ac:dyDescent="0.25">
      <c r="GN441">
        <f t="shared" si="6"/>
        <v>0</v>
      </c>
    </row>
    <row r="442" spans="196:196" x14ac:dyDescent="0.25">
      <c r="GN442">
        <f t="shared" si="6"/>
        <v>0</v>
      </c>
    </row>
    <row r="443" spans="196:196" x14ac:dyDescent="0.25">
      <c r="GN443">
        <f t="shared" si="6"/>
        <v>0</v>
      </c>
    </row>
    <row r="444" spans="196:196" x14ac:dyDescent="0.25">
      <c r="GN444">
        <f t="shared" si="6"/>
        <v>0</v>
      </c>
    </row>
    <row r="445" spans="196:196" x14ac:dyDescent="0.25">
      <c r="GN445">
        <f t="shared" si="6"/>
        <v>0</v>
      </c>
    </row>
    <row r="446" spans="196:196" x14ac:dyDescent="0.25">
      <c r="GN446">
        <f t="shared" si="6"/>
        <v>0</v>
      </c>
    </row>
    <row r="447" spans="196:196" x14ac:dyDescent="0.25">
      <c r="GN447">
        <f t="shared" si="6"/>
        <v>0</v>
      </c>
    </row>
    <row r="448" spans="196:196" x14ac:dyDescent="0.25">
      <c r="GN448">
        <f t="shared" si="6"/>
        <v>0</v>
      </c>
    </row>
    <row r="449" spans="196:196" x14ac:dyDescent="0.25">
      <c r="GN449">
        <f t="shared" si="6"/>
        <v>0</v>
      </c>
    </row>
    <row r="450" spans="196:196" x14ac:dyDescent="0.25">
      <c r="GN450">
        <f t="shared" si="6"/>
        <v>0</v>
      </c>
    </row>
    <row r="451" spans="196:196" x14ac:dyDescent="0.25">
      <c r="GN451">
        <f t="shared" si="6"/>
        <v>0</v>
      </c>
    </row>
    <row r="452" spans="196:196" x14ac:dyDescent="0.25">
      <c r="GN452">
        <f t="shared" si="6"/>
        <v>0</v>
      </c>
    </row>
    <row r="453" spans="196:196" x14ac:dyDescent="0.25">
      <c r="GN453">
        <f t="shared" si="6"/>
        <v>0</v>
      </c>
    </row>
    <row r="454" spans="196:196" x14ac:dyDescent="0.25">
      <c r="GN454">
        <f t="shared" ref="GN454:GN517" si="7">SUMPRODUCT(C454:GM454)</f>
        <v>0</v>
      </c>
    </row>
    <row r="455" spans="196:196" x14ac:dyDescent="0.25">
      <c r="GN455">
        <f t="shared" si="7"/>
        <v>0</v>
      </c>
    </row>
    <row r="456" spans="196:196" x14ac:dyDescent="0.25">
      <c r="GN456">
        <f t="shared" si="7"/>
        <v>0</v>
      </c>
    </row>
    <row r="457" spans="196:196" x14ac:dyDescent="0.25">
      <c r="GN457">
        <f t="shared" si="7"/>
        <v>0</v>
      </c>
    </row>
    <row r="458" spans="196:196" x14ac:dyDescent="0.25">
      <c r="GN458">
        <f t="shared" si="7"/>
        <v>0</v>
      </c>
    </row>
    <row r="459" spans="196:196" x14ac:dyDescent="0.25">
      <c r="GN459">
        <f t="shared" si="7"/>
        <v>0</v>
      </c>
    </row>
    <row r="460" spans="196:196" x14ac:dyDescent="0.25">
      <c r="GN460">
        <f t="shared" si="7"/>
        <v>0</v>
      </c>
    </row>
    <row r="461" spans="196:196" x14ac:dyDescent="0.25">
      <c r="GN461">
        <f t="shared" si="7"/>
        <v>0</v>
      </c>
    </row>
    <row r="462" spans="196:196" x14ac:dyDescent="0.25">
      <c r="GN462">
        <f t="shared" si="7"/>
        <v>0</v>
      </c>
    </row>
    <row r="463" spans="196:196" x14ac:dyDescent="0.25">
      <c r="GN463">
        <f t="shared" si="7"/>
        <v>0</v>
      </c>
    </row>
    <row r="464" spans="196:196" x14ac:dyDescent="0.25">
      <c r="GN464">
        <f t="shared" si="7"/>
        <v>0</v>
      </c>
    </row>
    <row r="465" spans="196:196" x14ac:dyDescent="0.25">
      <c r="GN465">
        <f t="shared" si="7"/>
        <v>0</v>
      </c>
    </row>
    <row r="466" spans="196:196" x14ac:dyDescent="0.25">
      <c r="GN466">
        <f t="shared" si="7"/>
        <v>0</v>
      </c>
    </row>
    <row r="467" spans="196:196" x14ac:dyDescent="0.25">
      <c r="GN467">
        <f t="shared" si="7"/>
        <v>0</v>
      </c>
    </row>
    <row r="468" spans="196:196" x14ac:dyDescent="0.25">
      <c r="GN468">
        <f t="shared" si="7"/>
        <v>0</v>
      </c>
    </row>
    <row r="469" spans="196:196" x14ac:dyDescent="0.25">
      <c r="GN469">
        <f t="shared" si="7"/>
        <v>0</v>
      </c>
    </row>
    <row r="470" spans="196:196" x14ac:dyDescent="0.25">
      <c r="GN470">
        <f t="shared" si="7"/>
        <v>0</v>
      </c>
    </row>
    <row r="471" spans="196:196" x14ac:dyDescent="0.25">
      <c r="GN471">
        <f t="shared" si="7"/>
        <v>0</v>
      </c>
    </row>
    <row r="472" spans="196:196" x14ac:dyDescent="0.25">
      <c r="GN472">
        <f t="shared" si="7"/>
        <v>0</v>
      </c>
    </row>
    <row r="473" spans="196:196" x14ac:dyDescent="0.25">
      <c r="GN473">
        <f t="shared" si="7"/>
        <v>0</v>
      </c>
    </row>
    <row r="474" spans="196:196" x14ac:dyDescent="0.25">
      <c r="GN474">
        <f t="shared" si="7"/>
        <v>0</v>
      </c>
    </row>
    <row r="475" spans="196:196" x14ac:dyDescent="0.25">
      <c r="GN475">
        <f t="shared" si="7"/>
        <v>0</v>
      </c>
    </row>
    <row r="476" spans="196:196" x14ac:dyDescent="0.25">
      <c r="GN476">
        <f t="shared" si="7"/>
        <v>0</v>
      </c>
    </row>
    <row r="477" spans="196:196" x14ac:dyDescent="0.25">
      <c r="GN477">
        <f t="shared" si="7"/>
        <v>0</v>
      </c>
    </row>
    <row r="478" spans="196:196" x14ac:dyDescent="0.25">
      <c r="GN478">
        <f t="shared" si="7"/>
        <v>0</v>
      </c>
    </row>
    <row r="479" spans="196:196" x14ac:dyDescent="0.25">
      <c r="GN479">
        <f t="shared" si="7"/>
        <v>0</v>
      </c>
    </row>
    <row r="480" spans="196:196" x14ac:dyDescent="0.25">
      <c r="GN480">
        <f t="shared" si="7"/>
        <v>0</v>
      </c>
    </row>
    <row r="481" spans="196:196" x14ac:dyDescent="0.25">
      <c r="GN481">
        <f t="shared" si="7"/>
        <v>0</v>
      </c>
    </row>
    <row r="482" spans="196:196" x14ac:dyDescent="0.25">
      <c r="GN482">
        <f t="shared" si="7"/>
        <v>0</v>
      </c>
    </row>
    <row r="483" spans="196:196" x14ac:dyDescent="0.25">
      <c r="GN483">
        <f t="shared" si="7"/>
        <v>0</v>
      </c>
    </row>
    <row r="484" spans="196:196" x14ac:dyDescent="0.25">
      <c r="GN484">
        <f t="shared" si="7"/>
        <v>0</v>
      </c>
    </row>
    <row r="485" spans="196:196" x14ac:dyDescent="0.25">
      <c r="GN485">
        <f t="shared" si="7"/>
        <v>0</v>
      </c>
    </row>
    <row r="486" spans="196:196" x14ac:dyDescent="0.25">
      <c r="GN486">
        <f t="shared" si="7"/>
        <v>0</v>
      </c>
    </row>
    <row r="487" spans="196:196" x14ac:dyDescent="0.25">
      <c r="GN487">
        <f t="shared" si="7"/>
        <v>0</v>
      </c>
    </row>
    <row r="488" spans="196:196" x14ac:dyDescent="0.25">
      <c r="GN488">
        <f t="shared" si="7"/>
        <v>0</v>
      </c>
    </row>
    <row r="489" spans="196:196" x14ac:dyDescent="0.25">
      <c r="GN489">
        <f t="shared" si="7"/>
        <v>0</v>
      </c>
    </row>
    <row r="490" spans="196:196" x14ac:dyDescent="0.25">
      <c r="GN490">
        <f t="shared" si="7"/>
        <v>0</v>
      </c>
    </row>
    <row r="491" spans="196:196" x14ac:dyDescent="0.25">
      <c r="GN491">
        <f t="shared" si="7"/>
        <v>0</v>
      </c>
    </row>
    <row r="492" spans="196:196" x14ac:dyDescent="0.25">
      <c r="GN492">
        <f t="shared" si="7"/>
        <v>0</v>
      </c>
    </row>
    <row r="493" spans="196:196" x14ac:dyDescent="0.25">
      <c r="GN493">
        <f t="shared" si="7"/>
        <v>0</v>
      </c>
    </row>
    <row r="494" spans="196:196" x14ac:dyDescent="0.25">
      <c r="GN494">
        <f t="shared" si="7"/>
        <v>0</v>
      </c>
    </row>
    <row r="495" spans="196:196" x14ac:dyDescent="0.25">
      <c r="GN495">
        <f t="shared" si="7"/>
        <v>0</v>
      </c>
    </row>
    <row r="496" spans="196:196" x14ac:dyDescent="0.25">
      <c r="GN496">
        <f t="shared" si="7"/>
        <v>0</v>
      </c>
    </row>
    <row r="497" spans="196:196" x14ac:dyDescent="0.25">
      <c r="GN497">
        <f t="shared" si="7"/>
        <v>0</v>
      </c>
    </row>
    <row r="498" spans="196:196" x14ac:dyDescent="0.25">
      <c r="GN498">
        <f t="shared" si="7"/>
        <v>0</v>
      </c>
    </row>
    <row r="499" spans="196:196" x14ac:dyDescent="0.25">
      <c r="GN499">
        <f t="shared" si="7"/>
        <v>0</v>
      </c>
    </row>
    <row r="500" spans="196:196" x14ac:dyDescent="0.25">
      <c r="GN500">
        <f t="shared" si="7"/>
        <v>0</v>
      </c>
    </row>
    <row r="501" spans="196:196" x14ac:dyDescent="0.25">
      <c r="GN501">
        <f t="shared" si="7"/>
        <v>0</v>
      </c>
    </row>
    <row r="502" spans="196:196" x14ac:dyDescent="0.25">
      <c r="GN502">
        <f t="shared" si="7"/>
        <v>0</v>
      </c>
    </row>
    <row r="503" spans="196:196" x14ac:dyDescent="0.25">
      <c r="GN503">
        <f t="shared" si="7"/>
        <v>0</v>
      </c>
    </row>
    <row r="504" spans="196:196" x14ac:dyDescent="0.25">
      <c r="GN504">
        <f t="shared" si="7"/>
        <v>0</v>
      </c>
    </row>
    <row r="505" spans="196:196" x14ac:dyDescent="0.25">
      <c r="GN505">
        <f t="shared" si="7"/>
        <v>0</v>
      </c>
    </row>
    <row r="506" spans="196:196" x14ac:dyDescent="0.25">
      <c r="GN506">
        <f t="shared" si="7"/>
        <v>0</v>
      </c>
    </row>
    <row r="507" spans="196:196" x14ac:dyDescent="0.25">
      <c r="GN507">
        <f t="shared" si="7"/>
        <v>0</v>
      </c>
    </row>
    <row r="508" spans="196:196" x14ac:dyDescent="0.25">
      <c r="GN508">
        <f t="shared" si="7"/>
        <v>0</v>
      </c>
    </row>
    <row r="509" spans="196:196" x14ac:dyDescent="0.25">
      <c r="GN509">
        <f t="shared" si="7"/>
        <v>0</v>
      </c>
    </row>
    <row r="510" spans="196:196" x14ac:dyDescent="0.25">
      <c r="GN510">
        <f t="shared" si="7"/>
        <v>0</v>
      </c>
    </row>
    <row r="511" spans="196:196" x14ac:dyDescent="0.25">
      <c r="GN511">
        <f t="shared" si="7"/>
        <v>0</v>
      </c>
    </row>
    <row r="512" spans="196:196" x14ac:dyDescent="0.25">
      <c r="GN512">
        <f t="shared" si="7"/>
        <v>0</v>
      </c>
    </row>
    <row r="513" spans="196:196" x14ac:dyDescent="0.25">
      <c r="GN513">
        <f t="shared" si="7"/>
        <v>0</v>
      </c>
    </row>
    <row r="514" spans="196:196" x14ac:dyDescent="0.25">
      <c r="GN514">
        <f t="shared" si="7"/>
        <v>0</v>
      </c>
    </row>
    <row r="515" spans="196:196" x14ac:dyDescent="0.25">
      <c r="GN515">
        <f t="shared" si="7"/>
        <v>0</v>
      </c>
    </row>
    <row r="516" spans="196:196" x14ac:dyDescent="0.25">
      <c r="GN516">
        <f t="shared" si="7"/>
        <v>0</v>
      </c>
    </row>
    <row r="517" spans="196:196" x14ac:dyDescent="0.25">
      <c r="GN517">
        <f t="shared" si="7"/>
        <v>0</v>
      </c>
    </row>
    <row r="518" spans="196:196" x14ac:dyDescent="0.25">
      <c r="GN518">
        <f t="shared" ref="GN518:GN581" si="8">SUMPRODUCT(C518:GM518)</f>
        <v>0</v>
      </c>
    </row>
    <row r="519" spans="196:196" x14ac:dyDescent="0.25">
      <c r="GN519">
        <f t="shared" si="8"/>
        <v>0</v>
      </c>
    </row>
    <row r="520" spans="196:196" x14ac:dyDescent="0.25">
      <c r="GN520">
        <f t="shared" si="8"/>
        <v>0</v>
      </c>
    </row>
    <row r="521" spans="196:196" x14ac:dyDescent="0.25">
      <c r="GN521">
        <f t="shared" si="8"/>
        <v>0</v>
      </c>
    </row>
    <row r="522" spans="196:196" x14ac:dyDescent="0.25">
      <c r="GN522">
        <f t="shared" si="8"/>
        <v>0</v>
      </c>
    </row>
    <row r="523" spans="196:196" x14ac:dyDescent="0.25">
      <c r="GN523">
        <f t="shared" si="8"/>
        <v>0</v>
      </c>
    </row>
    <row r="524" spans="196:196" x14ac:dyDescent="0.25">
      <c r="GN524">
        <f t="shared" si="8"/>
        <v>0</v>
      </c>
    </row>
    <row r="525" spans="196:196" x14ac:dyDescent="0.25">
      <c r="GN525">
        <f t="shared" si="8"/>
        <v>0</v>
      </c>
    </row>
    <row r="526" spans="196:196" x14ac:dyDescent="0.25">
      <c r="GN526">
        <f t="shared" si="8"/>
        <v>0</v>
      </c>
    </row>
    <row r="527" spans="196:196" x14ac:dyDescent="0.25">
      <c r="GN527">
        <f t="shared" si="8"/>
        <v>0</v>
      </c>
    </row>
    <row r="528" spans="196:196" x14ac:dyDescent="0.25">
      <c r="GN528">
        <f t="shared" si="8"/>
        <v>0</v>
      </c>
    </row>
    <row r="529" spans="196:196" x14ac:dyDescent="0.25">
      <c r="GN529">
        <f t="shared" si="8"/>
        <v>0</v>
      </c>
    </row>
    <row r="530" spans="196:196" x14ac:dyDescent="0.25">
      <c r="GN530">
        <f t="shared" si="8"/>
        <v>0</v>
      </c>
    </row>
    <row r="531" spans="196:196" x14ac:dyDescent="0.25">
      <c r="GN531">
        <f t="shared" si="8"/>
        <v>0</v>
      </c>
    </row>
    <row r="532" spans="196:196" x14ac:dyDescent="0.25">
      <c r="GN532">
        <f t="shared" si="8"/>
        <v>0</v>
      </c>
    </row>
    <row r="533" spans="196:196" x14ac:dyDescent="0.25">
      <c r="GN533">
        <f t="shared" si="8"/>
        <v>0</v>
      </c>
    </row>
    <row r="534" spans="196:196" x14ac:dyDescent="0.25">
      <c r="GN534">
        <f t="shared" si="8"/>
        <v>0</v>
      </c>
    </row>
    <row r="535" spans="196:196" x14ac:dyDescent="0.25">
      <c r="GN535">
        <f t="shared" si="8"/>
        <v>0</v>
      </c>
    </row>
    <row r="536" spans="196:196" x14ac:dyDescent="0.25">
      <c r="GN536">
        <f t="shared" si="8"/>
        <v>0</v>
      </c>
    </row>
    <row r="537" spans="196:196" x14ac:dyDescent="0.25">
      <c r="GN537">
        <f t="shared" si="8"/>
        <v>0</v>
      </c>
    </row>
    <row r="538" spans="196:196" x14ac:dyDescent="0.25">
      <c r="GN538">
        <f t="shared" si="8"/>
        <v>0</v>
      </c>
    </row>
    <row r="539" spans="196:196" x14ac:dyDescent="0.25">
      <c r="GN539">
        <f t="shared" si="8"/>
        <v>0</v>
      </c>
    </row>
    <row r="540" spans="196:196" x14ac:dyDescent="0.25">
      <c r="GN540">
        <f t="shared" si="8"/>
        <v>0</v>
      </c>
    </row>
    <row r="541" spans="196:196" x14ac:dyDescent="0.25">
      <c r="GN541">
        <f t="shared" si="8"/>
        <v>0</v>
      </c>
    </row>
    <row r="542" spans="196:196" x14ac:dyDescent="0.25">
      <c r="GN542">
        <f t="shared" si="8"/>
        <v>0</v>
      </c>
    </row>
    <row r="543" spans="196:196" x14ac:dyDescent="0.25">
      <c r="GN543">
        <f t="shared" si="8"/>
        <v>0</v>
      </c>
    </row>
    <row r="544" spans="196:196" x14ac:dyDescent="0.25">
      <c r="GN544">
        <f t="shared" si="8"/>
        <v>0</v>
      </c>
    </row>
    <row r="545" spans="196:196" x14ac:dyDescent="0.25">
      <c r="GN545">
        <f t="shared" si="8"/>
        <v>0</v>
      </c>
    </row>
    <row r="546" spans="196:196" x14ac:dyDescent="0.25">
      <c r="GN546">
        <f t="shared" si="8"/>
        <v>0</v>
      </c>
    </row>
    <row r="547" spans="196:196" x14ac:dyDescent="0.25">
      <c r="GN547">
        <f t="shared" si="8"/>
        <v>0</v>
      </c>
    </row>
    <row r="548" spans="196:196" x14ac:dyDescent="0.25">
      <c r="GN548">
        <f t="shared" si="8"/>
        <v>0</v>
      </c>
    </row>
    <row r="549" spans="196:196" x14ac:dyDescent="0.25">
      <c r="GN549">
        <f t="shared" si="8"/>
        <v>0</v>
      </c>
    </row>
    <row r="550" spans="196:196" x14ac:dyDescent="0.25">
      <c r="GN550">
        <f t="shared" si="8"/>
        <v>0</v>
      </c>
    </row>
    <row r="551" spans="196:196" x14ac:dyDescent="0.25">
      <c r="GN551">
        <f t="shared" si="8"/>
        <v>0</v>
      </c>
    </row>
    <row r="552" spans="196:196" x14ac:dyDescent="0.25">
      <c r="GN552">
        <f t="shared" si="8"/>
        <v>0</v>
      </c>
    </row>
    <row r="553" spans="196:196" x14ac:dyDescent="0.25">
      <c r="GN553">
        <f t="shared" si="8"/>
        <v>0</v>
      </c>
    </row>
    <row r="554" spans="196:196" x14ac:dyDescent="0.25">
      <c r="GN554">
        <f t="shared" si="8"/>
        <v>0</v>
      </c>
    </row>
    <row r="555" spans="196:196" x14ac:dyDescent="0.25">
      <c r="GN555">
        <f t="shared" si="8"/>
        <v>0</v>
      </c>
    </row>
    <row r="556" spans="196:196" x14ac:dyDescent="0.25">
      <c r="GN556">
        <f t="shared" si="8"/>
        <v>0</v>
      </c>
    </row>
    <row r="557" spans="196:196" x14ac:dyDescent="0.25">
      <c r="GN557">
        <f t="shared" si="8"/>
        <v>0</v>
      </c>
    </row>
    <row r="558" spans="196:196" x14ac:dyDescent="0.25">
      <c r="GN558">
        <f t="shared" si="8"/>
        <v>0</v>
      </c>
    </row>
    <row r="559" spans="196:196" x14ac:dyDescent="0.25">
      <c r="GN559">
        <f t="shared" si="8"/>
        <v>0</v>
      </c>
    </row>
    <row r="560" spans="196:196" x14ac:dyDescent="0.25">
      <c r="GN560">
        <f t="shared" si="8"/>
        <v>0</v>
      </c>
    </row>
    <row r="561" spans="196:196" x14ac:dyDescent="0.25">
      <c r="GN561">
        <f t="shared" si="8"/>
        <v>0</v>
      </c>
    </row>
    <row r="562" spans="196:196" x14ac:dyDescent="0.25">
      <c r="GN562">
        <f t="shared" si="8"/>
        <v>0</v>
      </c>
    </row>
    <row r="563" spans="196:196" x14ac:dyDescent="0.25">
      <c r="GN563">
        <f t="shared" si="8"/>
        <v>0</v>
      </c>
    </row>
    <row r="564" spans="196:196" x14ac:dyDescent="0.25">
      <c r="GN564">
        <f t="shared" si="8"/>
        <v>0</v>
      </c>
    </row>
    <row r="565" spans="196:196" x14ac:dyDescent="0.25">
      <c r="GN565">
        <f t="shared" si="8"/>
        <v>0</v>
      </c>
    </row>
    <row r="566" spans="196:196" x14ac:dyDescent="0.25">
      <c r="GN566">
        <f t="shared" si="8"/>
        <v>0</v>
      </c>
    </row>
    <row r="567" spans="196:196" x14ac:dyDescent="0.25">
      <c r="GN567">
        <f t="shared" si="8"/>
        <v>0</v>
      </c>
    </row>
    <row r="568" spans="196:196" x14ac:dyDescent="0.25">
      <c r="GN568">
        <f t="shared" si="8"/>
        <v>0</v>
      </c>
    </row>
    <row r="569" spans="196:196" x14ac:dyDescent="0.25">
      <c r="GN569">
        <f t="shared" si="8"/>
        <v>0</v>
      </c>
    </row>
    <row r="570" spans="196:196" x14ac:dyDescent="0.25">
      <c r="GN570">
        <f t="shared" si="8"/>
        <v>0</v>
      </c>
    </row>
    <row r="571" spans="196:196" x14ac:dyDescent="0.25">
      <c r="GN571">
        <f t="shared" si="8"/>
        <v>0</v>
      </c>
    </row>
    <row r="572" spans="196:196" x14ac:dyDescent="0.25">
      <c r="GN572">
        <f t="shared" si="8"/>
        <v>0</v>
      </c>
    </row>
    <row r="573" spans="196:196" x14ac:dyDescent="0.25">
      <c r="GN573">
        <f t="shared" si="8"/>
        <v>0</v>
      </c>
    </row>
    <row r="574" spans="196:196" x14ac:dyDescent="0.25">
      <c r="GN574">
        <f t="shared" si="8"/>
        <v>0</v>
      </c>
    </row>
    <row r="575" spans="196:196" x14ac:dyDescent="0.25">
      <c r="GN575">
        <f t="shared" si="8"/>
        <v>0</v>
      </c>
    </row>
    <row r="576" spans="196:196" x14ac:dyDescent="0.25">
      <c r="GN576">
        <f t="shared" si="8"/>
        <v>0</v>
      </c>
    </row>
    <row r="577" spans="196:196" x14ac:dyDescent="0.25">
      <c r="GN577">
        <f t="shared" si="8"/>
        <v>0</v>
      </c>
    </row>
    <row r="578" spans="196:196" x14ac:dyDescent="0.25">
      <c r="GN578">
        <f t="shared" si="8"/>
        <v>0</v>
      </c>
    </row>
    <row r="579" spans="196:196" x14ac:dyDescent="0.25">
      <c r="GN579">
        <f t="shared" si="8"/>
        <v>0</v>
      </c>
    </row>
    <row r="580" spans="196:196" x14ac:dyDescent="0.25">
      <c r="GN580">
        <f t="shared" si="8"/>
        <v>0</v>
      </c>
    </row>
    <row r="581" spans="196:196" x14ac:dyDescent="0.25">
      <c r="GN581">
        <f t="shared" si="8"/>
        <v>0</v>
      </c>
    </row>
    <row r="582" spans="196:196" x14ac:dyDescent="0.25">
      <c r="GN582">
        <f t="shared" ref="GN582:GN584" si="9">SUMPRODUCT(C582:GM582)</f>
        <v>0</v>
      </c>
    </row>
    <row r="583" spans="196:196" x14ac:dyDescent="0.25">
      <c r="GN583">
        <f t="shared" si="9"/>
        <v>0</v>
      </c>
    </row>
    <row r="584" spans="196:196" x14ac:dyDescent="0.25">
      <c r="GN584">
        <f t="shared" si="9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47C6A-9FDB-4DAF-8D4E-B21394459275}">
  <dimension ref="A1:GM623"/>
  <sheetViews>
    <sheetView topLeftCell="FK1" workbookViewId="0">
      <selection activeCell="GM5" sqref="GM5"/>
    </sheetView>
  </sheetViews>
  <sheetFormatPr defaultRowHeight="15" x14ac:dyDescent="0.25"/>
  <cols>
    <col min="1" max="1" width="18.7109375" customWidth="1"/>
    <col min="2" max="194" width="8.85546875" customWidth="1"/>
  </cols>
  <sheetData>
    <row r="1" spans="1:195" x14ac:dyDescent="0.25">
      <c r="A1" t="str">
        <f ca="1">_xll.ICESeries(B1:GL1,B2:GL2,,DATE(2024,1,1),TODAY(),,"DayOfWeek=12345")</f>
        <v>Time Series</v>
      </c>
      <c r="B1" t="s">
        <v>461</v>
      </c>
      <c r="C1" t="s">
        <v>1645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  <c r="S1" t="s">
        <v>1661</v>
      </c>
      <c r="T1" t="s">
        <v>1662</v>
      </c>
      <c r="U1" t="s">
        <v>1663</v>
      </c>
      <c r="V1" t="s">
        <v>1664</v>
      </c>
      <c r="W1" t="s">
        <v>1665</v>
      </c>
      <c r="X1" t="s">
        <v>1666</v>
      </c>
      <c r="Y1" t="s">
        <v>1667</v>
      </c>
      <c r="Z1" t="s">
        <v>1668</v>
      </c>
      <c r="AA1" t="s">
        <v>1669</v>
      </c>
      <c r="AB1" t="s">
        <v>1670</v>
      </c>
      <c r="AC1" t="s">
        <v>1671</v>
      </c>
      <c r="AD1" t="s">
        <v>1672</v>
      </c>
      <c r="AE1" t="s">
        <v>1673</v>
      </c>
      <c r="AF1" t="s">
        <v>1674</v>
      </c>
      <c r="AG1" t="s">
        <v>1675</v>
      </c>
      <c r="AH1" t="s">
        <v>1676</v>
      </c>
      <c r="AI1" t="s">
        <v>1677</v>
      </c>
      <c r="AJ1" t="s">
        <v>1678</v>
      </c>
      <c r="AK1" t="s">
        <v>1679</v>
      </c>
      <c r="AL1" t="s">
        <v>1680</v>
      </c>
      <c r="AM1" t="s">
        <v>1681</v>
      </c>
      <c r="AN1" t="s">
        <v>1682</v>
      </c>
      <c r="AO1" t="s">
        <v>1683</v>
      </c>
      <c r="AP1" t="s">
        <v>1684</v>
      </c>
      <c r="AQ1" t="s">
        <v>1685</v>
      </c>
      <c r="AR1" t="s">
        <v>1686</v>
      </c>
      <c r="AS1" t="s">
        <v>1687</v>
      </c>
      <c r="AT1" t="s">
        <v>1688</v>
      </c>
      <c r="AU1" t="s">
        <v>1689</v>
      </c>
      <c r="AV1" t="s">
        <v>1690</v>
      </c>
      <c r="AW1" t="s">
        <v>1691</v>
      </c>
      <c r="AX1" t="s">
        <v>1692</v>
      </c>
      <c r="AY1" t="s">
        <v>1693</v>
      </c>
      <c r="AZ1" t="s">
        <v>1694</v>
      </c>
      <c r="BA1" t="s">
        <v>1695</v>
      </c>
      <c r="BB1" t="s">
        <v>1696</v>
      </c>
      <c r="BC1" t="s">
        <v>1697</v>
      </c>
      <c r="BD1" t="s">
        <v>1698</v>
      </c>
      <c r="BE1" t="s">
        <v>1699</v>
      </c>
      <c r="BF1" t="s">
        <v>1700</v>
      </c>
      <c r="BG1" t="s">
        <v>1701</v>
      </c>
      <c r="BH1" t="s">
        <v>1702</v>
      </c>
      <c r="BI1" t="s">
        <v>1703</v>
      </c>
      <c r="BJ1" t="s">
        <v>1704</v>
      </c>
      <c r="BK1" t="s">
        <v>1705</v>
      </c>
      <c r="BL1" t="s">
        <v>1706</v>
      </c>
      <c r="BM1" t="s">
        <v>1707</v>
      </c>
      <c r="BN1" t="s">
        <v>1708</v>
      </c>
      <c r="BO1" t="s">
        <v>1709</v>
      </c>
      <c r="BP1" t="s">
        <v>1710</v>
      </c>
      <c r="BQ1" t="s">
        <v>1711</v>
      </c>
      <c r="BR1" t="s">
        <v>1712</v>
      </c>
      <c r="BS1" t="s">
        <v>1713</v>
      </c>
      <c r="BT1" t="s">
        <v>1714</v>
      </c>
      <c r="BU1" t="s">
        <v>1715</v>
      </c>
      <c r="BV1" t="s">
        <v>1716</v>
      </c>
      <c r="BW1" t="s">
        <v>1717</v>
      </c>
      <c r="BX1" t="s">
        <v>1718</v>
      </c>
      <c r="BY1" t="s">
        <v>1719</v>
      </c>
      <c r="BZ1" t="s">
        <v>1720</v>
      </c>
      <c r="CA1" t="s">
        <v>1721</v>
      </c>
      <c r="CB1" t="s">
        <v>1722</v>
      </c>
      <c r="CC1" t="s">
        <v>1723</v>
      </c>
      <c r="CD1" t="s">
        <v>1724</v>
      </c>
      <c r="CE1" t="s">
        <v>1725</v>
      </c>
      <c r="CF1" t="s">
        <v>1726</v>
      </c>
      <c r="CG1" t="s">
        <v>1727</v>
      </c>
      <c r="CH1" t="s">
        <v>1728</v>
      </c>
      <c r="CI1" t="s">
        <v>1729</v>
      </c>
      <c r="CJ1" t="s">
        <v>1730</v>
      </c>
      <c r="CK1" t="s">
        <v>1731</v>
      </c>
      <c r="CL1" t="s">
        <v>1732</v>
      </c>
      <c r="CM1" t="s">
        <v>1733</v>
      </c>
      <c r="CN1" t="s">
        <v>1734</v>
      </c>
      <c r="CO1" t="s">
        <v>1735</v>
      </c>
      <c r="CP1" t="s">
        <v>1736</v>
      </c>
      <c r="CQ1" t="s">
        <v>1737</v>
      </c>
      <c r="CR1" t="s">
        <v>1738</v>
      </c>
      <c r="CS1" t="s">
        <v>1739</v>
      </c>
      <c r="CT1" t="s">
        <v>1740</v>
      </c>
      <c r="CU1" t="s">
        <v>1741</v>
      </c>
      <c r="CV1" t="s">
        <v>1742</v>
      </c>
      <c r="CW1" t="s">
        <v>1743</v>
      </c>
      <c r="CX1" t="s">
        <v>1744</v>
      </c>
      <c r="CY1" t="s">
        <v>1745</v>
      </c>
      <c r="CZ1" t="s">
        <v>1746</v>
      </c>
      <c r="DA1" t="s">
        <v>1747</v>
      </c>
      <c r="DB1" t="s">
        <v>1748</v>
      </c>
      <c r="DC1" t="s">
        <v>1749</v>
      </c>
      <c r="DD1" t="s">
        <v>1750</v>
      </c>
      <c r="DE1" t="s">
        <v>1751</v>
      </c>
      <c r="DF1" t="s">
        <v>1752</v>
      </c>
      <c r="DG1" t="s">
        <v>1753</v>
      </c>
      <c r="DH1" t="s">
        <v>1754</v>
      </c>
      <c r="DI1" t="s">
        <v>1755</v>
      </c>
      <c r="DJ1" t="s">
        <v>1756</v>
      </c>
      <c r="DK1" t="s">
        <v>1757</v>
      </c>
      <c r="DL1" t="s">
        <v>1758</v>
      </c>
      <c r="DM1" t="s">
        <v>1759</v>
      </c>
      <c r="DN1" t="s">
        <v>1760</v>
      </c>
      <c r="DO1" t="s">
        <v>1761</v>
      </c>
      <c r="DP1" t="s">
        <v>1762</v>
      </c>
      <c r="DQ1" t="s">
        <v>1763</v>
      </c>
      <c r="DR1" t="s">
        <v>1764</v>
      </c>
      <c r="DS1" t="s">
        <v>1765</v>
      </c>
      <c r="DT1" t="s">
        <v>1766</v>
      </c>
      <c r="DU1" t="s">
        <v>1767</v>
      </c>
      <c r="DV1" t="s">
        <v>1768</v>
      </c>
      <c r="DW1" t="s">
        <v>1769</v>
      </c>
      <c r="DX1" t="s">
        <v>1770</v>
      </c>
      <c r="DY1" t="s">
        <v>1771</v>
      </c>
      <c r="DZ1" t="s">
        <v>1772</v>
      </c>
      <c r="EA1" t="s">
        <v>1773</v>
      </c>
      <c r="EB1" t="s">
        <v>1774</v>
      </c>
      <c r="EC1" t="s">
        <v>1775</v>
      </c>
      <c r="ED1" t="s">
        <v>1776</v>
      </c>
      <c r="EE1" t="s">
        <v>1777</v>
      </c>
      <c r="EF1" t="s">
        <v>1778</v>
      </c>
      <c r="EG1" t="s">
        <v>1779</v>
      </c>
      <c r="EH1" t="s">
        <v>1780</v>
      </c>
      <c r="EI1" t="s">
        <v>1781</v>
      </c>
      <c r="EJ1" t="s">
        <v>1782</v>
      </c>
      <c r="EK1" t="s">
        <v>1783</v>
      </c>
      <c r="EL1" t="s">
        <v>1784</v>
      </c>
      <c r="EM1" t="s">
        <v>1785</v>
      </c>
      <c r="EN1" t="s">
        <v>1786</v>
      </c>
      <c r="EO1" t="s">
        <v>1787</v>
      </c>
      <c r="EP1" t="s">
        <v>1788</v>
      </c>
      <c r="EQ1" t="s">
        <v>1789</v>
      </c>
      <c r="ER1" t="s">
        <v>1790</v>
      </c>
      <c r="ES1" t="s">
        <v>1791</v>
      </c>
      <c r="ET1" t="s">
        <v>1792</v>
      </c>
      <c r="EU1" t="s">
        <v>1793</v>
      </c>
      <c r="EV1" t="s">
        <v>1794</v>
      </c>
      <c r="EW1" t="s">
        <v>1795</v>
      </c>
      <c r="EX1" t="s">
        <v>1796</v>
      </c>
      <c r="EY1" t="s">
        <v>1797</v>
      </c>
      <c r="EZ1" t="s">
        <v>1798</v>
      </c>
      <c r="FA1" t="s">
        <v>1799</v>
      </c>
      <c r="FB1" t="s">
        <v>1800</v>
      </c>
      <c r="FC1" t="s">
        <v>1801</v>
      </c>
      <c r="FD1" t="s">
        <v>1802</v>
      </c>
      <c r="FE1" t="s">
        <v>1803</v>
      </c>
      <c r="FF1" t="s">
        <v>1804</v>
      </c>
      <c r="FG1" t="s">
        <v>1805</v>
      </c>
      <c r="FH1" t="s">
        <v>1806</v>
      </c>
      <c r="FI1" t="s">
        <v>1807</v>
      </c>
      <c r="FJ1" t="s">
        <v>1808</v>
      </c>
      <c r="FK1" t="s">
        <v>1809</v>
      </c>
      <c r="FL1" t="s">
        <v>1810</v>
      </c>
      <c r="FM1" t="s">
        <v>1811</v>
      </c>
      <c r="FN1" t="s">
        <v>1812</v>
      </c>
      <c r="FO1" t="s">
        <v>1813</v>
      </c>
      <c r="FP1" t="s">
        <v>1814</v>
      </c>
      <c r="FQ1" t="s">
        <v>1815</v>
      </c>
      <c r="FR1" t="s">
        <v>1816</v>
      </c>
      <c r="FS1" t="s">
        <v>1817</v>
      </c>
      <c r="FT1" t="s">
        <v>1818</v>
      </c>
      <c r="FU1" t="s">
        <v>1819</v>
      </c>
      <c r="FV1" t="s">
        <v>1820</v>
      </c>
      <c r="FW1" t="s">
        <v>1821</v>
      </c>
      <c r="FX1" t="s">
        <v>1822</v>
      </c>
      <c r="FY1" t="s">
        <v>1823</v>
      </c>
      <c r="FZ1" t="s">
        <v>1824</v>
      </c>
      <c r="GA1" t="s">
        <v>1825</v>
      </c>
      <c r="GB1" t="s">
        <v>1826</v>
      </c>
      <c r="GC1" t="s">
        <v>1827</v>
      </c>
      <c r="GD1" t="s">
        <v>1828</v>
      </c>
      <c r="GE1" t="s">
        <v>1829</v>
      </c>
      <c r="GF1" t="s">
        <v>1830</v>
      </c>
      <c r="GG1" t="s">
        <v>1831</v>
      </c>
      <c r="GH1" t="s">
        <v>1832</v>
      </c>
      <c r="GI1" t="s">
        <v>1833</v>
      </c>
      <c r="GJ1" t="s">
        <v>1834</v>
      </c>
      <c r="GK1" t="s">
        <v>1835</v>
      </c>
      <c r="GL1" t="s">
        <v>1836</v>
      </c>
    </row>
    <row r="2" spans="1:195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</row>
    <row r="3" spans="1:195" x14ac:dyDescent="0.25">
      <c r="B3" t="s">
        <v>468</v>
      </c>
      <c r="C3" t="s">
        <v>1837</v>
      </c>
      <c r="D3" t="s">
        <v>1838</v>
      </c>
      <c r="E3" t="s">
        <v>1839</v>
      </c>
      <c r="F3" t="s">
        <v>1840</v>
      </c>
      <c r="G3" t="s">
        <v>1841</v>
      </c>
      <c r="H3" t="s">
        <v>1842</v>
      </c>
      <c r="I3" t="s">
        <v>1843</v>
      </c>
      <c r="J3" t="s">
        <v>1844</v>
      </c>
      <c r="K3" t="s">
        <v>1845</v>
      </c>
      <c r="L3" t="s">
        <v>1846</v>
      </c>
      <c r="M3" t="s">
        <v>1847</v>
      </c>
      <c r="N3" t="s">
        <v>1848</v>
      </c>
      <c r="O3" t="s">
        <v>1849</v>
      </c>
      <c r="P3" t="s">
        <v>1850</v>
      </c>
      <c r="Q3" t="s">
        <v>1851</v>
      </c>
      <c r="R3" t="s">
        <v>1852</v>
      </c>
      <c r="S3" t="s">
        <v>1853</v>
      </c>
      <c r="T3" t="s">
        <v>1854</v>
      </c>
      <c r="U3" t="s">
        <v>1855</v>
      </c>
      <c r="V3" t="s">
        <v>1856</v>
      </c>
      <c r="W3" t="s">
        <v>1857</v>
      </c>
      <c r="X3" t="s">
        <v>1858</v>
      </c>
      <c r="Y3" t="s">
        <v>1859</v>
      </c>
      <c r="Z3" t="s">
        <v>1860</v>
      </c>
      <c r="AA3" t="s">
        <v>1861</v>
      </c>
      <c r="AB3" t="s">
        <v>1862</v>
      </c>
      <c r="AC3" t="s">
        <v>1863</v>
      </c>
      <c r="AD3" t="s">
        <v>1864</v>
      </c>
      <c r="AE3" t="s">
        <v>1865</v>
      </c>
      <c r="AF3" t="s">
        <v>1866</v>
      </c>
      <c r="AG3" t="s">
        <v>1867</v>
      </c>
      <c r="AH3" t="s">
        <v>1868</v>
      </c>
      <c r="AI3" t="s">
        <v>1869</v>
      </c>
      <c r="AJ3" t="s">
        <v>1870</v>
      </c>
      <c r="AK3" t="s">
        <v>1871</v>
      </c>
      <c r="AL3" t="s">
        <v>1872</v>
      </c>
      <c r="AM3" t="s">
        <v>1873</v>
      </c>
      <c r="AN3" t="s">
        <v>1874</v>
      </c>
      <c r="AO3" t="s">
        <v>1875</v>
      </c>
      <c r="AP3" t="s">
        <v>1876</v>
      </c>
      <c r="AQ3" t="s">
        <v>1877</v>
      </c>
      <c r="AR3" t="s">
        <v>1878</v>
      </c>
      <c r="AS3" t="s">
        <v>1879</v>
      </c>
      <c r="AT3" t="s">
        <v>1880</v>
      </c>
      <c r="AU3" t="s">
        <v>1881</v>
      </c>
      <c r="AV3" t="s">
        <v>1882</v>
      </c>
      <c r="AW3" t="s">
        <v>1883</v>
      </c>
      <c r="AX3" t="s">
        <v>1884</v>
      </c>
      <c r="AY3" t="s">
        <v>1885</v>
      </c>
      <c r="AZ3" t="s">
        <v>1886</v>
      </c>
      <c r="BA3" t="s">
        <v>1887</v>
      </c>
      <c r="BB3" t="s">
        <v>1888</v>
      </c>
      <c r="BC3" t="s">
        <v>1889</v>
      </c>
      <c r="BD3" t="s">
        <v>1890</v>
      </c>
      <c r="BE3" t="s">
        <v>1891</v>
      </c>
      <c r="BF3" t="s">
        <v>1892</v>
      </c>
      <c r="BG3" t="s">
        <v>1893</v>
      </c>
      <c r="BH3" t="s">
        <v>1894</v>
      </c>
      <c r="BI3" t="s">
        <v>1895</v>
      </c>
      <c r="BJ3" t="s">
        <v>1896</v>
      </c>
      <c r="BK3" t="s">
        <v>1897</v>
      </c>
      <c r="BL3" t="s">
        <v>1898</v>
      </c>
      <c r="BM3" t="s">
        <v>1899</v>
      </c>
      <c r="BN3" t="s">
        <v>1900</v>
      </c>
      <c r="BO3" t="s">
        <v>1901</v>
      </c>
      <c r="BP3" t="s">
        <v>1902</v>
      </c>
      <c r="BQ3" t="s">
        <v>1903</v>
      </c>
      <c r="BR3" t="s">
        <v>1904</v>
      </c>
      <c r="BS3" t="s">
        <v>1905</v>
      </c>
      <c r="BT3" t="s">
        <v>1906</v>
      </c>
      <c r="BU3" t="s">
        <v>1907</v>
      </c>
      <c r="BV3" t="s">
        <v>1908</v>
      </c>
      <c r="BW3" t="s">
        <v>1909</v>
      </c>
      <c r="BX3" t="s">
        <v>1910</v>
      </c>
      <c r="BY3" t="s">
        <v>1911</v>
      </c>
      <c r="BZ3" t="s">
        <v>1912</v>
      </c>
      <c r="CA3" t="s">
        <v>1913</v>
      </c>
      <c r="CB3" t="s">
        <v>1914</v>
      </c>
      <c r="CC3" t="s">
        <v>1915</v>
      </c>
      <c r="CD3" t="s">
        <v>1916</v>
      </c>
      <c r="CE3" t="s">
        <v>1917</v>
      </c>
      <c r="CF3" t="s">
        <v>1918</v>
      </c>
      <c r="CG3" t="s">
        <v>1919</v>
      </c>
      <c r="CH3" t="s">
        <v>1920</v>
      </c>
      <c r="CI3" t="s">
        <v>1921</v>
      </c>
      <c r="CJ3" t="s">
        <v>1922</v>
      </c>
      <c r="CK3" t="s">
        <v>1923</v>
      </c>
      <c r="CL3" t="s">
        <v>1924</v>
      </c>
      <c r="CM3" t="s">
        <v>1925</v>
      </c>
      <c r="CN3" t="s">
        <v>1926</v>
      </c>
      <c r="CO3" t="s">
        <v>1927</v>
      </c>
      <c r="CP3" t="s">
        <v>1928</v>
      </c>
      <c r="CQ3" t="s">
        <v>1929</v>
      </c>
      <c r="CR3" t="s">
        <v>1930</v>
      </c>
      <c r="CS3" t="s">
        <v>1931</v>
      </c>
      <c r="CT3" t="s">
        <v>1932</v>
      </c>
      <c r="CU3" t="s">
        <v>1933</v>
      </c>
      <c r="CV3" t="s">
        <v>1934</v>
      </c>
      <c r="CW3" t="s">
        <v>1935</v>
      </c>
      <c r="CX3" t="s">
        <v>1936</v>
      </c>
      <c r="CY3" t="s">
        <v>1937</v>
      </c>
      <c r="CZ3" t="s">
        <v>1938</v>
      </c>
      <c r="DA3" t="s">
        <v>1939</v>
      </c>
      <c r="DB3" t="s">
        <v>1940</v>
      </c>
      <c r="DC3" t="s">
        <v>1941</v>
      </c>
      <c r="DD3" t="s">
        <v>1942</v>
      </c>
      <c r="DE3" t="s">
        <v>1943</v>
      </c>
      <c r="DF3" t="s">
        <v>1944</v>
      </c>
      <c r="DG3" t="s">
        <v>1945</v>
      </c>
      <c r="DH3" t="s">
        <v>1946</v>
      </c>
      <c r="DI3" t="s">
        <v>1947</v>
      </c>
      <c r="DJ3" t="s">
        <v>1948</v>
      </c>
      <c r="DK3" t="s">
        <v>1949</v>
      </c>
      <c r="DL3" t="s">
        <v>1950</v>
      </c>
      <c r="DM3" t="s">
        <v>1951</v>
      </c>
      <c r="DN3" t="s">
        <v>1952</v>
      </c>
      <c r="DO3" t="s">
        <v>1953</v>
      </c>
      <c r="DP3" t="s">
        <v>1954</v>
      </c>
      <c r="DQ3" t="s">
        <v>1955</v>
      </c>
      <c r="DR3" t="s">
        <v>1956</v>
      </c>
      <c r="DS3" t="s">
        <v>1957</v>
      </c>
      <c r="DT3" t="s">
        <v>1958</v>
      </c>
      <c r="DU3" t="s">
        <v>1959</v>
      </c>
      <c r="DV3" t="s">
        <v>1960</v>
      </c>
      <c r="DW3" t="s">
        <v>1961</v>
      </c>
      <c r="DX3" t="s">
        <v>1962</v>
      </c>
      <c r="DY3" t="s">
        <v>1963</v>
      </c>
      <c r="DZ3" t="s">
        <v>1964</v>
      </c>
      <c r="EA3" t="s">
        <v>1965</v>
      </c>
      <c r="EB3" t="s">
        <v>1966</v>
      </c>
      <c r="EC3" t="s">
        <v>1967</v>
      </c>
      <c r="ED3" t="s">
        <v>1968</v>
      </c>
      <c r="EE3" t="s">
        <v>1969</v>
      </c>
      <c r="EF3" t="s">
        <v>1970</v>
      </c>
      <c r="EG3" t="s">
        <v>1971</v>
      </c>
      <c r="EH3" t="s">
        <v>1972</v>
      </c>
      <c r="EI3" t="s">
        <v>1973</v>
      </c>
      <c r="EJ3" t="s">
        <v>1974</v>
      </c>
      <c r="EK3" t="s">
        <v>1975</v>
      </c>
      <c r="EL3" t="s">
        <v>1976</v>
      </c>
      <c r="EM3" t="s">
        <v>1977</v>
      </c>
      <c r="EN3" t="s">
        <v>1978</v>
      </c>
      <c r="EO3" t="s">
        <v>1979</v>
      </c>
      <c r="EP3" t="s">
        <v>1980</v>
      </c>
      <c r="EQ3" t="s">
        <v>1981</v>
      </c>
      <c r="ER3" t="s">
        <v>1982</v>
      </c>
      <c r="ES3" t="s">
        <v>1983</v>
      </c>
      <c r="ET3" t="s">
        <v>1984</v>
      </c>
      <c r="EU3" t="s">
        <v>1985</v>
      </c>
      <c r="EV3" t="s">
        <v>1986</v>
      </c>
      <c r="EW3" t="s">
        <v>1987</v>
      </c>
      <c r="EX3" t="s">
        <v>1988</v>
      </c>
      <c r="EY3" t="s">
        <v>1989</v>
      </c>
      <c r="EZ3" t="s">
        <v>1990</v>
      </c>
      <c r="FA3" t="s">
        <v>1991</v>
      </c>
      <c r="FB3" t="s">
        <v>1992</v>
      </c>
      <c r="FC3" t="s">
        <v>1993</v>
      </c>
      <c r="FD3" t="s">
        <v>1994</v>
      </c>
      <c r="FE3" t="s">
        <v>1995</v>
      </c>
      <c r="FF3" t="s">
        <v>1996</v>
      </c>
      <c r="FG3" t="s">
        <v>1997</v>
      </c>
      <c r="FH3" t="s">
        <v>1998</v>
      </c>
      <c r="FI3" t="s">
        <v>1999</v>
      </c>
      <c r="FJ3" t="s">
        <v>2000</v>
      </c>
      <c r="FK3" t="s">
        <v>2001</v>
      </c>
      <c r="FL3" t="s">
        <v>2002</v>
      </c>
      <c r="FM3" t="s">
        <v>2003</v>
      </c>
      <c r="FN3" t="s">
        <v>2004</v>
      </c>
      <c r="FO3" t="s">
        <v>2005</v>
      </c>
      <c r="FP3" t="s">
        <v>2006</v>
      </c>
      <c r="FQ3" t="s">
        <v>2007</v>
      </c>
      <c r="FR3" t="s">
        <v>2008</v>
      </c>
      <c r="FS3" t="s">
        <v>2009</v>
      </c>
      <c r="FT3" t="s">
        <v>2010</v>
      </c>
      <c r="FU3" t="s">
        <v>2011</v>
      </c>
      <c r="FV3" t="s">
        <v>2012</v>
      </c>
      <c r="FW3" t="s">
        <v>2013</v>
      </c>
      <c r="FX3" t="s">
        <v>2014</v>
      </c>
      <c r="FY3" t="s">
        <v>2015</v>
      </c>
      <c r="FZ3" t="s">
        <v>2016</v>
      </c>
      <c r="GA3" t="s">
        <v>2017</v>
      </c>
      <c r="GB3" t="s">
        <v>2018</v>
      </c>
      <c r="GC3" t="s">
        <v>2019</v>
      </c>
      <c r="GD3" t="s">
        <v>2020</v>
      </c>
      <c r="GE3" t="s">
        <v>2021</v>
      </c>
      <c r="GF3" t="s">
        <v>2022</v>
      </c>
      <c r="GG3" t="s">
        <v>2023</v>
      </c>
      <c r="GH3" t="s">
        <v>2024</v>
      </c>
      <c r="GI3" t="s">
        <v>2025</v>
      </c>
      <c r="GJ3" t="s">
        <v>2026</v>
      </c>
      <c r="GK3" t="s">
        <v>2027</v>
      </c>
      <c r="GL3" t="s">
        <v>2028</v>
      </c>
    </row>
    <row r="4" spans="1:195" x14ac:dyDescent="0.25">
      <c r="A4" s="4">
        <f>DATE(2024,7,26)</f>
        <v>45499</v>
      </c>
    </row>
    <row r="5" spans="1:195" x14ac:dyDescent="0.25">
      <c r="A5" s="4">
        <f>DATE(2024,7,25)</f>
        <v>45498</v>
      </c>
      <c r="B5">
        <v>0</v>
      </c>
      <c r="C5">
        <v>7550</v>
      </c>
      <c r="M5">
        <v>1000</v>
      </c>
      <c r="W5">
        <v>1850</v>
      </c>
      <c r="AG5">
        <v>5700</v>
      </c>
      <c r="AM5">
        <v>100</v>
      </c>
      <c r="AQ5">
        <v>8550</v>
      </c>
      <c r="AV5">
        <v>2000</v>
      </c>
      <c r="BA5">
        <v>3520</v>
      </c>
      <c r="BK5">
        <v>13025</v>
      </c>
      <c r="BM5">
        <v>500</v>
      </c>
      <c r="BO5">
        <v>175</v>
      </c>
      <c r="BP5">
        <v>500</v>
      </c>
      <c r="BS5">
        <v>200</v>
      </c>
      <c r="BU5">
        <v>11125</v>
      </c>
      <c r="BW5">
        <v>250</v>
      </c>
      <c r="BY5">
        <v>250</v>
      </c>
      <c r="CA5">
        <v>550</v>
      </c>
      <c r="CC5">
        <v>350</v>
      </c>
      <c r="CE5">
        <v>14015</v>
      </c>
      <c r="CG5">
        <v>250</v>
      </c>
      <c r="CI5">
        <v>450</v>
      </c>
      <c r="CK5">
        <v>875</v>
      </c>
      <c r="CO5">
        <v>10415</v>
      </c>
      <c r="CS5">
        <v>750</v>
      </c>
      <c r="CU5">
        <v>50</v>
      </c>
      <c r="CW5">
        <v>150</v>
      </c>
      <c r="CY5">
        <v>8850</v>
      </c>
      <c r="DA5">
        <v>100</v>
      </c>
      <c r="DC5">
        <v>525</v>
      </c>
      <c r="DD5">
        <v>10</v>
      </c>
      <c r="DI5">
        <v>2025</v>
      </c>
      <c r="DO5">
        <v>25</v>
      </c>
      <c r="DQ5">
        <v>50</v>
      </c>
      <c r="DS5">
        <v>4488</v>
      </c>
      <c r="DU5">
        <v>50</v>
      </c>
      <c r="DW5">
        <v>250</v>
      </c>
      <c r="EA5">
        <v>50</v>
      </c>
      <c r="EC5">
        <v>1050</v>
      </c>
      <c r="EE5">
        <v>150</v>
      </c>
      <c r="EI5">
        <v>50</v>
      </c>
      <c r="EU5">
        <v>50</v>
      </c>
      <c r="GM5">
        <f t="shared" ref="GM5:GM6" si="0">SUMPRODUCT(C5:GL5)</f>
        <v>101873</v>
      </c>
    </row>
    <row r="6" spans="1:195" x14ac:dyDescent="0.25">
      <c r="A6" s="4">
        <f>DATE(2024,7,24)</f>
        <v>45497</v>
      </c>
      <c r="B6">
        <v>372504</v>
      </c>
      <c r="C6">
        <v>7550</v>
      </c>
      <c r="M6">
        <v>1000</v>
      </c>
      <c r="W6">
        <v>1850</v>
      </c>
      <c r="AG6">
        <v>5700</v>
      </c>
      <c r="AM6">
        <v>100</v>
      </c>
      <c r="AQ6">
        <v>8300</v>
      </c>
      <c r="AV6">
        <v>2000</v>
      </c>
      <c r="BA6">
        <v>3195</v>
      </c>
      <c r="BK6">
        <v>12025</v>
      </c>
      <c r="BM6">
        <v>500</v>
      </c>
      <c r="BO6">
        <v>175</v>
      </c>
      <c r="BP6">
        <v>500</v>
      </c>
      <c r="BS6">
        <v>200</v>
      </c>
      <c r="BU6">
        <v>10775</v>
      </c>
      <c r="BW6">
        <v>250</v>
      </c>
      <c r="BY6">
        <v>250</v>
      </c>
      <c r="CA6">
        <v>550</v>
      </c>
      <c r="CC6">
        <v>350</v>
      </c>
      <c r="CE6">
        <v>14015</v>
      </c>
      <c r="CG6">
        <v>250</v>
      </c>
      <c r="CI6">
        <v>450</v>
      </c>
      <c r="CK6">
        <v>875</v>
      </c>
      <c r="CO6">
        <v>10165</v>
      </c>
      <c r="CS6">
        <v>750</v>
      </c>
      <c r="CU6">
        <v>50</v>
      </c>
      <c r="CW6">
        <v>150</v>
      </c>
      <c r="CY6">
        <v>8850</v>
      </c>
      <c r="DA6">
        <v>100</v>
      </c>
      <c r="DC6">
        <v>525</v>
      </c>
      <c r="DD6">
        <v>10</v>
      </c>
      <c r="DI6">
        <v>2025</v>
      </c>
      <c r="DO6">
        <v>25</v>
      </c>
      <c r="DQ6">
        <v>50</v>
      </c>
      <c r="DS6">
        <v>4488</v>
      </c>
      <c r="DU6">
        <v>50</v>
      </c>
      <c r="DW6">
        <v>250</v>
      </c>
      <c r="EA6">
        <v>50</v>
      </c>
      <c r="EC6">
        <v>1050</v>
      </c>
      <c r="EE6">
        <v>150</v>
      </c>
      <c r="EI6">
        <v>50</v>
      </c>
      <c r="EU6">
        <v>50</v>
      </c>
      <c r="GM6">
        <f t="shared" si="0"/>
        <v>99698</v>
      </c>
    </row>
    <row r="7" spans="1:195" x14ac:dyDescent="0.25">
      <c r="A7" s="4">
        <f>DATE(2024,7,23)</f>
        <v>45496</v>
      </c>
      <c r="B7">
        <v>372909</v>
      </c>
      <c r="C7">
        <v>7550</v>
      </c>
      <c r="M7">
        <v>1000</v>
      </c>
      <c r="W7">
        <v>1850</v>
      </c>
      <c r="AG7">
        <v>5700</v>
      </c>
      <c r="AM7">
        <v>100</v>
      </c>
      <c r="AQ7">
        <v>8300</v>
      </c>
      <c r="AV7">
        <v>2000</v>
      </c>
      <c r="BA7">
        <v>3195</v>
      </c>
      <c r="BK7">
        <v>12025</v>
      </c>
      <c r="BM7">
        <v>500</v>
      </c>
      <c r="BO7">
        <v>175</v>
      </c>
      <c r="BP7">
        <v>500</v>
      </c>
      <c r="BS7">
        <v>200</v>
      </c>
      <c r="BU7">
        <v>10525</v>
      </c>
      <c r="BW7">
        <v>250</v>
      </c>
      <c r="BY7">
        <v>250</v>
      </c>
      <c r="CA7">
        <v>300</v>
      </c>
      <c r="CC7">
        <v>350</v>
      </c>
      <c r="CE7">
        <v>14265</v>
      </c>
      <c r="CG7">
        <v>250</v>
      </c>
      <c r="CI7">
        <v>450</v>
      </c>
      <c r="CK7">
        <v>875</v>
      </c>
      <c r="CO7">
        <v>10000</v>
      </c>
      <c r="CS7">
        <v>750</v>
      </c>
      <c r="CU7">
        <v>50</v>
      </c>
      <c r="CW7">
        <v>150</v>
      </c>
      <c r="CY7">
        <v>8850</v>
      </c>
      <c r="DA7">
        <v>100</v>
      </c>
      <c r="DC7">
        <v>525</v>
      </c>
      <c r="DD7">
        <v>10</v>
      </c>
      <c r="DI7">
        <v>2025</v>
      </c>
      <c r="DO7">
        <v>25</v>
      </c>
      <c r="DQ7">
        <v>50</v>
      </c>
      <c r="DS7">
        <v>4488</v>
      </c>
      <c r="DU7">
        <v>50</v>
      </c>
      <c r="DW7">
        <v>250</v>
      </c>
      <c r="EA7">
        <v>50</v>
      </c>
      <c r="EC7">
        <v>1050</v>
      </c>
      <c r="EE7">
        <v>150</v>
      </c>
      <c r="EI7">
        <v>50</v>
      </c>
      <c r="EU7">
        <v>50</v>
      </c>
      <c r="GM7">
        <f>SUMPRODUCT(C7:GL7)</f>
        <v>99283</v>
      </c>
    </row>
    <row r="8" spans="1:195" x14ac:dyDescent="0.25">
      <c r="A8" s="4">
        <f>DATE(2024,7,22)</f>
        <v>45495</v>
      </c>
      <c r="B8">
        <v>372152</v>
      </c>
      <c r="C8">
        <v>7550</v>
      </c>
      <c r="M8">
        <v>1000</v>
      </c>
      <c r="W8">
        <v>1850</v>
      </c>
      <c r="AG8">
        <v>5700</v>
      </c>
      <c r="AM8">
        <v>100</v>
      </c>
      <c r="AQ8">
        <v>8300</v>
      </c>
      <c r="AV8">
        <v>2000</v>
      </c>
      <c r="BA8">
        <v>3045</v>
      </c>
      <c r="BK8">
        <v>11865</v>
      </c>
      <c r="BM8">
        <v>500</v>
      </c>
      <c r="BO8">
        <v>175</v>
      </c>
      <c r="BP8">
        <v>500</v>
      </c>
      <c r="BS8">
        <v>200</v>
      </c>
      <c r="BU8">
        <v>10525</v>
      </c>
      <c r="BW8">
        <v>250</v>
      </c>
      <c r="BY8">
        <v>250</v>
      </c>
      <c r="CA8">
        <v>300</v>
      </c>
      <c r="CC8">
        <v>350</v>
      </c>
      <c r="CE8">
        <v>14265</v>
      </c>
      <c r="CG8">
        <v>250</v>
      </c>
      <c r="CI8">
        <v>450</v>
      </c>
      <c r="CK8">
        <v>875</v>
      </c>
      <c r="CO8">
        <v>9350</v>
      </c>
      <c r="CS8">
        <v>750</v>
      </c>
      <c r="CU8">
        <v>50</v>
      </c>
      <c r="CW8">
        <v>150</v>
      </c>
      <c r="CY8">
        <v>8850</v>
      </c>
      <c r="DA8">
        <v>100</v>
      </c>
      <c r="DC8">
        <v>525</v>
      </c>
      <c r="DD8">
        <v>10</v>
      </c>
      <c r="DI8">
        <v>2025</v>
      </c>
      <c r="DO8">
        <v>25</v>
      </c>
      <c r="DQ8">
        <v>50</v>
      </c>
      <c r="DS8">
        <v>4488</v>
      </c>
      <c r="DU8">
        <v>50</v>
      </c>
      <c r="DW8">
        <v>250</v>
      </c>
      <c r="EA8">
        <v>50</v>
      </c>
      <c r="EC8">
        <v>1050</v>
      </c>
      <c r="EE8">
        <v>150</v>
      </c>
      <c r="EI8">
        <v>50</v>
      </c>
      <c r="EU8">
        <v>50</v>
      </c>
      <c r="GM8">
        <f t="shared" ref="GM8:GM71" si="1">SUMPRODUCT(C8:GL8)</f>
        <v>98323</v>
      </c>
    </row>
    <row r="9" spans="1:195" x14ac:dyDescent="0.25">
      <c r="A9" s="4">
        <f>DATE(2024,7,19)</f>
        <v>45492</v>
      </c>
      <c r="B9">
        <v>368656</v>
      </c>
      <c r="C9">
        <v>7550</v>
      </c>
      <c r="M9">
        <v>1000</v>
      </c>
      <c r="W9">
        <v>1850</v>
      </c>
      <c r="AG9">
        <v>5700</v>
      </c>
      <c r="AM9">
        <v>100</v>
      </c>
      <c r="AQ9">
        <v>8300</v>
      </c>
      <c r="AV9">
        <v>2000</v>
      </c>
      <c r="BA9">
        <v>3045</v>
      </c>
      <c r="BK9">
        <v>11865</v>
      </c>
      <c r="BM9">
        <v>500</v>
      </c>
      <c r="BO9">
        <v>175</v>
      </c>
      <c r="BP9">
        <v>500</v>
      </c>
      <c r="BS9">
        <v>200</v>
      </c>
      <c r="BU9">
        <v>10525</v>
      </c>
      <c r="BW9">
        <v>250</v>
      </c>
      <c r="BY9">
        <v>250</v>
      </c>
      <c r="CA9">
        <v>300</v>
      </c>
      <c r="CC9">
        <v>350</v>
      </c>
      <c r="CE9">
        <v>14265</v>
      </c>
      <c r="CG9">
        <v>250</v>
      </c>
      <c r="CI9">
        <v>450</v>
      </c>
      <c r="CK9">
        <v>875</v>
      </c>
      <c r="CO9">
        <v>9125</v>
      </c>
      <c r="CS9">
        <v>750</v>
      </c>
      <c r="CU9">
        <v>50</v>
      </c>
      <c r="CW9">
        <v>150</v>
      </c>
      <c r="CY9">
        <v>8850</v>
      </c>
      <c r="DA9">
        <v>100</v>
      </c>
      <c r="DC9">
        <v>525</v>
      </c>
      <c r="DD9">
        <v>10</v>
      </c>
      <c r="DI9">
        <v>2025</v>
      </c>
      <c r="DO9">
        <v>25</v>
      </c>
      <c r="DQ9">
        <v>50</v>
      </c>
      <c r="DS9">
        <v>4488</v>
      </c>
      <c r="DU9">
        <v>50</v>
      </c>
      <c r="DW9">
        <v>250</v>
      </c>
      <c r="EA9">
        <v>50</v>
      </c>
      <c r="EC9">
        <v>1050</v>
      </c>
      <c r="EE9">
        <v>150</v>
      </c>
      <c r="EI9">
        <v>50</v>
      </c>
      <c r="EU9">
        <v>50</v>
      </c>
      <c r="GM9">
        <f t="shared" si="1"/>
        <v>98098</v>
      </c>
    </row>
    <row r="10" spans="1:195" x14ac:dyDescent="0.25">
      <c r="A10" s="4">
        <f>DATE(2024,7,18)</f>
        <v>45491</v>
      </c>
      <c r="B10">
        <v>367825</v>
      </c>
      <c r="C10">
        <v>7550</v>
      </c>
      <c r="M10">
        <v>1000</v>
      </c>
      <c r="W10">
        <v>1850</v>
      </c>
      <c r="AG10">
        <v>5700</v>
      </c>
      <c r="AM10">
        <v>100</v>
      </c>
      <c r="AQ10">
        <v>8300</v>
      </c>
      <c r="AV10">
        <v>2000</v>
      </c>
      <c r="BA10">
        <v>3045</v>
      </c>
      <c r="BK10">
        <v>11815</v>
      </c>
      <c r="BM10">
        <v>500</v>
      </c>
      <c r="BO10">
        <v>175</v>
      </c>
      <c r="BP10">
        <v>500</v>
      </c>
      <c r="BS10">
        <v>200</v>
      </c>
      <c r="BU10">
        <v>10525</v>
      </c>
      <c r="BW10">
        <v>250</v>
      </c>
      <c r="BY10">
        <v>250</v>
      </c>
      <c r="CA10">
        <v>300</v>
      </c>
      <c r="CC10">
        <v>350</v>
      </c>
      <c r="CE10">
        <v>13990</v>
      </c>
      <c r="CG10">
        <v>250</v>
      </c>
      <c r="CI10">
        <v>450</v>
      </c>
      <c r="CK10">
        <v>875</v>
      </c>
      <c r="CO10">
        <v>9125</v>
      </c>
      <c r="CS10">
        <v>750</v>
      </c>
      <c r="CU10">
        <v>50</v>
      </c>
      <c r="CW10">
        <v>150</v>
      </c>
      <c r="CY10">
        <v>8575</v>
      </c>
      <c r="DA10">
        <v>100</v>
      </c>
      <c r="DC10">
        <v>525</v>
      </c>
      <c r="DD10">
        <v>10</v>
      </c>
      <c r="DI10">
        <v>2025</v>
      </c>
      <c r="DO10">
        <v>25</v>
      </c>
      <c r="DQ10">
        <v>50</v>
      </c>
      <c r="DS10">
        <v>4488</v>
      </c>
      <c r="DU10">
        <v>50</v>
      </c>
      <c r="DW10">
        <v>250</v>
      </c>
      <c r="EA10">
        <v>50</v>
      </c>
      <c r="EC10">
        <v>1050</v>
      </c>
      <c r="EE10">
        <v>150</v>
      </c>
      <c r="EI10">
        <v>50</v>
      </c>
      <c r="EU10">
        <v>50</v>
      </c>
      <c r="GM10">
        <f t="shared" si="1"/>
        <v>97498</v>
      </c>
    </row>
    <row r="11" spans="1:195" x14ac:dyDescent="0.25">
      <c r="A11" s="4">
        <f>DATE(2024,7,17)</f>
        <v>45490</v>
      </c>
      <c r="B11">
        <v>366585</v>
      </c>
      <c r="C11">
        <v>7550</v>
      </c>
      <c r="M11">
        <v>1000</v>
      </c>
      <c r="W11">
        <v>1850</v>
      </c>
      <c r="AG11">
        <v>5700</v>
      </c>
      <c r="AM11">
        <v>100</v>
      </c>
      <c r="AQ11">
        <v>8300</v>
      </c>
      <c r="AV11">
        <v>2000</v>
      </c>
      <c r="BA11">
        <v>3045</v>
      </c>
      <c r="BK11">
        <v>11865</v>
      </c>
      <c r="BM11">
        <v>500</v>
      </c>
      <c r="BO11">
        <v>175</v>
      </c>
      <c r="BP11">
        <v>500</v>
      </c>
      <c r="BS11">
        <v>200</v>
      </c>
      <c r="BU11">
        <v>10775</v>
      </c>
      <c r="BW11">
        <v>250</v>
      </c>
      <c r="BY11">
        <v>250</v>
      </c>
      <c r="CA11">
        <v>300</v>
      </c>
      <c r="CC11">
        <v>350</v>
      </c>
      <c r="CE11">
        <v>11990</v>
      </c>
      <c r="CG11">
        <v>250</v>
      </c>
      <c r="CI11">
        <v>450</v>
      </c>
      <c r="CK11">
        <v>875</v>
      </c>
      <c r="CO11">
        <v>9025</v>
      </c>
      <c r="CS11">
        <v>750</v>
      </c>
      <c r="CU11">
        <v>50</v>
      </c>
      <c r="CW11">
        <v>150</v>
      </c>
      <c r="CY11">
        <v>7325</v>
      </c>
      <c r="DA11">
        <v>100</v>
      </c>
      <c r="DC11">
        <v>525</v>
      </c>
      <c r="DD11">
        <v>10</v>
      </c>
      <c r="DI11">
        <v>2025</v>
      </c>
      <c r="DO11">
        <v>25</v>
      </c>
      <c r="DQ11">
        <v>50</v>
      </c>
      <c r="DS11">
        <v>4488</v>
      </c>
      <c r="DU11">
        <v>50</v>
      </c>
      <c r="DW11">
        <v>250</v>
      </c>
      <c r="EA11">
        <v>50</v>
      </c>
      <c r="EC11">
        <v>1050</v>
      </c>
      <c r="EE11">
        <v>150</v>
      </c>
      <c r="EI11">
        <v>50</v>
      </c>
      <c r="EU11">
        <v>50</v>
      </c>
      <c r="GM11">
        <f t="shared" si="1"/>
        <v>94448</v>
      </c>
    </row>
    <row r="12" spans="1:195" x14ac:dyDescent="0.25">
      <c r="A12" s="4">
        <f>DATE(2024,7,16)</f>
        <v>45489</v>
      </c>
      <c r="B12">
        <v>363416</v>
      </c>
      <c r="C12">
        <v>7550</v>
      </c>
      <c r="M12">
        <v>1000</v>
      </c>
      <c r="W12">
        <v>1850</v>
      </c>
      <c r="AG12">
        <v>5700</v>
      </c>
      <c r="AM12">
        <v>100</v>
      </c>
      <c r="AQ12">
        <v>8300</v>
      </c>
      <c r="AV12">
        <v>2000</v>
      </c>
      <c r="BA12">
        <v>3045</v>
      </c>
      <c r="BK12">
        <v>12015</v>
      </c>
      <c r="BM12">
        <v>500</v>
      </c>
      <c r="BO12">
        <v>175</v>
      </c>
      <c r="BP12">
        <v>500</v>
      </c>
      <c r="BS12">
        <v>200</v>
      </c>
      <c r="BU12">
        <v>10775</v>
      </c>
      <c r="BW12">
        <v>250</v>
      </c>
      <c r="BY12">
        <v>250</v>
      </c>
      <c r="CA12">
        <v>300</v>
      </c>
      <c r="CC12">
        <v>350</v>
      </c>
      <c r="CE12">
        <v>12140</v>
      </c>
      <c r="CG12">
        <v>250</v>
      </c>
      <c r="CI12">
        <v>450</v>
      </c>
      <c r="CK12">
        <v>875</v>
      </c>
      <c r="CO12">
        <v>9000</v>
      </c>
      <c r="CS12">
        <v>750</v>
      </c>
      <c r="CU12">
        <v>50</v>
      </c>
      <c r="CW12">
        <v>150</v>
      </c>
      <c r="CY12">
        <v>7325</v>
      </c>
      <c r="DA12">
        <v>100</v>
      </c>
      <c r="DC12">
        <v>525</v>
      </c>
      <c r="DD12">
        <v>10</v>
      </c>
      <c r="DI12">
        <v>2025</v>
      </c>
      <c r="DO12">
        <v>25</v>
      </c>
      <c r="DQ12">
        <v>50</v>
      </c>
      <c r="DS12">
        <v>4488</v>
      </c>
      <c r="DU12">
        <v>50</v>
      </c>
      <c r="DW12">
        <v>250</v>
      </c>
      <c r="EA12">
        <v>50</v>
      </c>
      <c r="EC12">
        <v>1050</v>
      </c>
      <c r="EE12">
        <v>150</v>
      </c>
      <c r="EI12">
        <v>50</v>
      </c>
      <c r="EU12">
        <v>50</v>
      </c>
      <c r="GM12">
        <f t="shared" si="1"/>
        <v>94723</v>
      </c>
    </row>
    <row r="13" spans="1:195" x14ac:dyDescent="0.25">
      <c r="A13" s="4">
        <f>DATE(2024,7,15)</f>
        <v>45488</v>
      </c>
      <c r="B13">
        <v>363566</v>
      </c>
      <c r="C13">
        <v>7550</v>
      </c>
      <c r="M13">
        <v>1000</v>
      </c>
      <c r="W13">
        <v>1850</v>
      </c>
      <c r="AG13">
        <v>5700</v>
      </c>
      <c r="AM13">
        <v>100</v>
      </c>
      <c r="AQ13">
        <v>8300</v>
      </c>
      <c r="AV13">
        <v>2000</v>
      </c>
      <c r="BA13">
        <v>3045</v>
      </c>
      <c r="BK13">
        <v>12115</v>
      </c>
      <c r="BM13">
        <v>500</v>
      </c>
      <c r="BO13">
        <v>175</v>
      </c>
      <c r="BP13">
        <v>500</v>
      </c>
      <c r="BS13">
        <v>200</v>
      </c>
      <c r="BU13">
        <v>10775</v>
      </c>
      <c r="BW13">
        <v>250</v>
      </c>
      <c r="BY13">
        <v>250</v>
      </c>
      <c r="CA13">
        <v>300</v>
      </c>
      <c r="CC13">
        <v>350</v>
      </c>
      <c r="CE13">
        <v>12140</v>
      </c>
      <c r="CG13">
        <v>250</v>
      </c>
      <c r="CI13">
        <v>450</v>
      </c>
      <c r="CK13">
        <v>875</v>
      </c>
      <c r="CO13">
        <v>9000</v>
      </c>
      <c r="CS13">
        <v>750</v>
      </c>
      <c r="CU13">
        <v>50</v>
      </c>
      <c r="CW13">
        <v>150</v>
      </c>
      <c r="CY13">
        <v>7325</v>
      </c>
      <c r="DA13">
        <v>100</v>
      </c>
      <c r="DC13">
        <v>525</v>
      </c>
      <c r="DD13">
        <v>10</v>
      </c>
      <c r="DI13">
        <v>2025</v>
      </c>
      <c r="DO13">
        <v>25</v>
      </c>
      <c r="DQ13">
        <v>50</v>
      </c>
      <c r="DS13">
        <v>4488</v>
      </c>
      <c r="DU13">
        <v>50</v>
      </c>
      <c r="DW13">
        <v>250</v>
      </c>
      <c r="EA13">
        <v>50</v>
      </c>
      <c r="EC13">
        <v>1050</v>
      </c>
      <c r="EE13">
        <v>150</v>
      </c>
      <c r="EI13">
        <v>50</v>
      </c>
      <c r="EU13">
        <v>50</v>
      </c>
      <c r="GM13">
        <f t="shared" si="1"/>
        <v>94823</v>
      </c>
    </row>
    <row r="14" spans="1:195" x14ac:dyDescent="0.25">
      <c r="A14" s="4">
        <f>DATE(2024,7,12)</f>
        <v>45485</v>
      </c>
      <c r="B14">
        <v>362207</v>
      </c>
      <c r="C14">
        <v>7550</v>
      </c>
      <c r="M14">
        <v>1000</v>
      </c>
      <c r="W14">
        <v>1850</v>
      </c>
      <c r="AG14">
        <v>5700</v>
      </c>
      <c r="AM14">
        <v>100</v>
      </c>
      <c r="AQ14">
        <v>8300</v>
      </c>
      <c r="AV14">
        <v>2000</v>
      </c>
      <c r="BA14">
        <v>3045</v>
      </c>
      <c r="BK14">
        <v>12115</v>
      </c>
      <c r="BM14">
        <v>500</v>
      </c>
      <c r="BO14">
        <v>175</v>
      </c>
      <c r="BP14">
        <v>500</v>
      </c>
      <c r="BS14">
        <v>200</v>
      </c>
      <c r="BU14">
        <v>10775</v>
      </c>
      <c r="BW14">
        <v>250</v>
      </c>
      <c r="BY14">
        <v>250</v>
      </c>
      <c r="CA14">
        <v>300</v>
      </c>
      <c r="CC14">
        <v>350</v>
      </c>
      <c r="CE14">
        <v>12140</v>
      </c>
      <c r="CG14">
        <v>250</v>
      </c>
      <c r="CI14">
        <v>450</v>
      </c>
      <c r="CK14">
        <v>875</v>
      </c>
      <c r="CO14">
        <v>8900</v>
      </c>
      <c r="CS14">
        <v>750</v>
      </c>
      <c r="CU14">
        <v>50</v>
      </c>
      <c r="CW14">
        <v>150</v>
      </c>
      <c r="CY14">
        <v>7325</v>
      </c>
      <c r="DA14">
        <v>100</v>
      </c>
      <c r="DC14">
        <v>525</v>
      </c>
      <c r="DD14">
        <v>10</v>
      </c>
      <c r="DI14">
        <v>2025</v>
      </c>
      <c r="DO14">
        <v>25</v>
      </c>
      <c r="DQ14">
        <v>50</v>
      </c>
      <c r="DS14">
        <v>4488</v>
      </c>
      <c r="DU14">
        <v>50</v>
      </c>
      <c r="DW14">
        <v>250</v>
      </c>
      <c r="EA14">
        <v>50</v>
      </c>
      <c r="EC14">
        <v>1050</v>
      </c>
      <c r="EE14">
        <v>150</v>
      </c>
      <c r="EI14">
        <v>50</v>
      </c>
      <c r="EU14">
        <v>50</v>
      </c>
      <c r="GM14">
        <f t="shared" si="1"/>
        <v>94723</v>
      </c>
    </row>
    <row r="15" spans="1:195" x14ac:dyDescent="0.25">
      <c r="A15" s="4">
        <f>DATE(2024,7,11)</f>
        <v>45484</v>
      </c>
      <c r="B15">
        <v>363359</v>
      </c>
      <c r="C15">
        <v>7550</v>
      </c>
      <c r="M15">
        <v>1000</v>
      </c>
      <c r="W15">
        <v>1850</v>
      </c>
      <c r="AG15">
        <v>5700</v>
      </c>
      <c r="AM15">
        <v>100</v>
      </c>
      <c r="AQ15">
        <v>8300</v>
      </c>
      <c r="AV15">
        <v>2000</v>
      </c>
      <c r="BA15">
        <v>3045</v>
      </c>
      <c r="BK15">
        <v>12615</v>
      </c>
      <c r="BM15">
        <v>500</v>
      </c>
      <c r="BO15">
        <v>175</v>
      </c>
      <c r="BP15">
        <v>500</v>
      </c>
      <c r="BS15">
        <v>200</v>
      </c>
      <c r="BU15">
        <v>11025</v>
      </c>
      <c r="BW15">
        <v>250</v>
      </c>
      <c r="BY15">
        <v>250</v>
      </c>
      <c r="CA15">
        <v>300</v>
      </c>
      <c r="CC15">
        <v>350</v>
      </c>
      <c r="CE15">
        <v>12140</v>
      </c>
      <c r="CG15">
        <v>250</v>
      </c>
      <c r="CI15">
        <v>450</v>
      </c>
      <c r="CK15">
        <v>875</v>
      </c>
      <c r="CO15">
        <v>9000</v>
      </c>
      <c r="CS15">
        <v>750</v>
      </c>
      <c r="CU15">
        <v>50</v>
      </c>
      <c r="CW15">
        <v>150</v>
      </c>
      <c r="CY15">
        <v>7325</v>
      </c>
      <c r="DA15">
        <v>100</v>
      </c>
      <c r="DC15">
        <v>525</v>
      </c>
      <c r="DD15">
        <v>10</v>
      </c>
      <c r="DI15">
        <v>2025</v>
      </c>
      <c r="DO15">
        <v>25</v>
      </c>
      <c r="DQ15">
        <v>50</v>
      </c>
      <c r="DS15">
        <v>4488</v>
      </c>
      <c r="DU15">
        <v>50</v>
      </c>
      <c r="DW15">
        <v>250</v>
      </c>
      <c r="EA15">
        <v>50</v>
      </c>
      <c r="EC15">
        <v>1050</v>
      </c>
      <c r="EE15">
        <v>150</v>
      </c>
      <c r="EI15">
        <v>50</v>
      </c>
      <c r="EU15">
        <v>50</v>
      </c>
      <c r="GM15">
        <f t="shared" si="1"/>
        <v>95573</v>
      </c>
    </row>
    <row r="16" spans="1:195" x14ac:dyDescent="0.25">
      <c r="A16" s="4">
        <f>DATE(2024,7,10)</f>
        <v>45483</v>
      </c>
      <c r="B16">
        <v>363609</v>
      </c>
      <c r="C16">
        <v>7550</v>
      </c>
      <c r="M16">
        <v>1000</v>
      </c>
      <c r="W16">
        <v>1850</v>
      </c>
      <c r="AG16">
        <v>5700</v>
      </c>
      <c r="AM16">
        <v>100</v>
      </c>
      <c r="AQ16">
        <v>8300</v>
      </c>
      <c r="AV16">
        <v>2000</v>
      </c>
      <c r="BA16">
        <v>3045</v>
      </c>
      <c r="BK16">
        <v>12615</v>
      </c>
      <c r="BM16">
        <v>500</v>
      </c>
      <c r="BO16">
        <v>175</v>
      </c>
      <c r="BP16">
        <v>500</v>
      </c>
      <c r="BS16">
        <v>200</v>
      </c>
      <c r="BU16">
        <v>11025</v>
      </c>
      <c r="BW16">
        <v>250</v>
      </c>
      <c r="BY16">
        <v>250</v>
      </c>
      <c r="CA16">
        <v>300</v>
      </c>
      <c r="CC16">
        <v>350</v>
      </c>
      <c r="CE16">
        <v>12140</v>
      </c>
      <c r="CG16">
        <v>250</v>
      </c>
      <c r="CI16">
        <v>450</v>
      </c>
      <c r="CK16">
        <v>875</v>
      </c>
      <c r="CO16">
        <v>9000</v>
      </c>
      <c r="CS16">
        <v>750</v>
      </c>
      <c r="CU16">
        <v>50</v>
      </c>
      <c r="CW16">
        <v>150</v>
      </c>
      <c r="CY16">
        <v>7325</v>
      </c>
      <c r="DA16">
        <v>100</v>
      </c>
      <c r="DC16">
        <v>525</v>
      </c>
      <c r="DD16">
        <v>10</v>
      </c>
      <c r="DI16">
        <v>2025</v>
      </c>
      <c r="DO16">
        <v>25</v>
      </c>
      <c r="DQ16">
        <v>50</v>
      </c>
      <c r="DS16">
        <v>4488</v>
      </c>
      <c r="DU16">
        <v>50</v>
      </c>
      <c r="DW16">
        <v>250</v>
      </c>
      <c r="EA16">
        <v>50</v>
      </c>
      <c r="EC16">
        <v>1050</v>
      </c>
      <c r="EE16">
        <v>150</v>
      </c>
      <c r="EI16">
        <v>50</v>
      </c>
      <c r="EU16">
        <v>50</v>
      </c>
      <c r="GM16">
        <f t="shared" si="1"/>
        <v>95573</v>
      </c>
    </row>
    <row r="17" spans="1:195" x14ac:dyDescent="0.25">
      <c r="A17" s="4">
        <f>DATE(2024,7,9)</f>
        <v>45482</v>
      </c>
      <c r="B17">
        <v>362325</v>
      </c>
      <c r="C17">
        <v>7550</v>
      </c>
      <c r="M17">
        <v>1000</v>
      </c>
      <c r="W17">
        <v>1850</v>
      </c>
      <c r="AG17">
        <v>5700</v>
      </c>
      <c r="AM17">
        <v>100</v>
      </c>
      <c r="AQ17">
        <v>8300</v>
      </c>
      <c r="AV17">
        <v>2000</v>
      </c>
      <c r="BA17">
        <v>3045</v>
      </c>
      <c r="BK17">
        <v>12555</v>
      </c>
      <c r="BM17">
        <v>500</v>
      </c>
      <c r="BO17">
        <v>175</v>
      </c>
      <c r="BP17">
        <v>500</v>
      </c>
      <c r="BS17">
        <v>200</v>
      </c>
      <c r="BU17">
        <v>11025</v>
      </c>
      <c r="BW17">
        <v>250</v>
      </c>
      <c r="BY17">
        <v>250</v>
      </c>
      <c r="CA17">
        <v>300</v>
      </c>
      <c r="CC17">
        <v>350</v>
      </c>
      <c r="CE17">
        <v>12140</v>
      </c>
      <c r="CG17">
        <v>250</v>
      </c>
      <c r="CI17">
        <v>450</v>
      </c>
      <c r="CK17">
        <v>875</v>
      </c>
      <c r="CO17">
        <v>9000</v>
      </c>
      <c r="CS17">
        <v>750</v>
      </c>
      <c r="CU17">
        <v>50</v>
      </c>
      <c r="CW17">
        <v>150</v>
      </c>
      <c r="CY17">
        <v>7325</v>
      </c>
      <c r="DA17">
        <v>100</v>
      </c>
      <c r="DC17">
        <v>525</v>
      </c>
      <c r="DD17">
        <v>10</v>
      </c>
      <c r="DI17">
        <v>2025</v>
      </c>
      <c r="DO17">
        <v>25</v>
      </c>
      <c r="DQ17">
        <v>50</v>
      </c>
      <c r="DS17">
        <v>4488</v>
      </c>
      <c r="DU17">
        <v>50</v>
      </c>
      <c r="DW17">
        <v>250</v>
      </c>
      <c r="EA17">
        <v>50</v>
      </c>
      <c r="EC17">
        <v>1050</v>
      </c>
      <c r="EE17">
        <v>150</v>
      </c>
      <c r="EI17">
        <v>50</v>
      </c>
      <c r="EU17">
        <v>50</v>
      </c>
      <c r="GM17">
        <f t="shared" si="1"/>
        <v>95513</v>
      </c>
    </row>
    <row r="18" spans="1:195" x14ac:dyDescent="0.25">
      <c r="A18" s="4">
        <f>DATE(2024,7,8)</f>
        <v>45481</v>
      </c>
      <c r="B18">
        <v>361404</v>
      </c>
      <c r="C18">
        <v>7550</v>
      </c>
      <c r="M18">
        <v>1000</v>
      </c>
      <c r="W18">
        <v>1850</v>
      </c>
      <c r="AG18">
        <v>5700</v>
      </c>
      <c r="AM18">
        <v>100</v>
      </c>
      <c r="AQ18">
        <v>8300</v>
      </c>
      <c r="AV18">
        <v>2000</v>
      </c>
      <c r="BA18">
        <v>3045</v>
      </c>
      <c r="BK18">
        <v>12105</v>
      </c>
      <c r="BM18">
        <v>500</v>
      </c>
      <c r="BO18">
        <v>175</v>
      </c>
      <c r="BP18">
        <v>1190</v>
      </c>
      <c r="BS18">
        <v>200</v>
      </c>
      <c r="BU18">
        <v>11025</v>
      </c>
      <c r="BW18">
        <v>250</v>
      </c>
      <c r="BY18">
        <v>250</v>
      </c>
      <c r="CA18">
        <v>300</v>
      </c>
      <c r="CC18">
        <v>350</v>
      </c>
      <c r="CE18">
        <v>12140</v>
      </c>
      <c r="CG18">
        <v>250</v>
      </c>
      <c r="CI18">
        <v>450</v>
      </c>
      <c r="CK18">
        <v>875</v>
      </c>
      <c r="CO18">
        <v>9000</v>
      </c>
      <c r="CS18">
        <v>750</v>
      </c>
      <c r="CU18">
        <v>50</v>
      </c>
      <c r="CW18">
        <v>150</v>
      </c>
      <c r="CY18">
        <v>7325</v>
      </c>
      <c r="DA18">
        <v>100</v>
      </c>
      <c r="DC18">
        <v>525</v>
      </c>
      <c r="DD18">
        <v>10</v>
      </c>
      <c r="DI18">
        <v>2025</v>
      </c>
      <c r="DO18">
        <v>25</v>
      </c>
      <c r="DQ18">
        <v>50</v>
      </c>
      <c r="DS18">
        <v>4488</v>
      </c>
      <c r="DU18">
        <v>50</v>
      </c>
      <c r="DW18">
        <v>250</v>
      </c>
      <c r="EA18">
        <v>50</v>
      </c>
      <c r="EC18">
        <v>1050</v>
      </c>
      <c r="EE18">
        <v>150</v>
      </c>
      <c r="EI18">
        <v>50</v>
      </c>
      <c r="EU18">
        <v>50</v>
      </c>
      <c r="GM18">
        <f t="shared" si="1"/>
        <v>95753</v>
      </c>
    </row>
    <row r="19" spans="1:195" x14ac:dyDescent="0.25">
      <c r="A19" s="4">
        <f>DATE(2024,7,5)</f>
        <v>45478</v>
      </c>
      <c r="B19">
        <v>359688</v>
      </c>
      <c r="C19">
        <v>7550</v>
      </c>
      <c r="M19">
        <v>1000</v>
      </c>
      <c r="W19">
        <v>1850</v>
      </c>
      <c r="AG19">
        <v>5700</v>
      </c>
      <c r="AM19">
        <v>100</v>
      </c>
      <c r="AQ19">
        <v>8300</v>
      </c>
      <c r="AV19">
        <v>2000</v>
      </c>
      <c r="BA19">
        <v>3045</v>
      </c>
      <c r="BK19">
        <v>12105</v>
      </c>
      <c r="BM19">
        <v>500</v>
      </c>
      <c r="BO19">
        <v>175</v>
      </c>
      <c r="BP19">
        <v>1190</v>
      </c>
      <c r="BS19">
        <v>200</v>
      </c>
      <c r="BU19">
        <v>10975</v>
      </c>
      <c r="BW19">
        <v>250</v>
      </c>
      <c r="BY19">
        <v>250</v>
      </c>
      <c r="CA19">
        <v>300</v>
      </c>
      <c r="CC19">
        <v>350</v>
      </c>
      <c r="CE19">
        <v>12215</v>
      </c>
      <c r="CG19">
        <v>250</v>
      </c>
      <c r="CI19">
        <v>450</v>
      </c>
      <c r="CK19">
        <v>875</v>
      </c>
      <c r="CO19">
        <v>9000</v>
      </c>
      <c r="CS19">
        <v>750</v>
      </c>
      <c r="CU19">
        <v>50</v>
      </c>
      <c r="CW19">
        <v>150</v>
      </c>
      <c r="CY19">
        <v>7325</v>
      </c>
      <c r="DA19">
        <v>100</v>
      </c>
      <c r="DC19">
        <v>525</v>
      </c>
      <c r="DD19">
        <v>10</v>
      </c>
      <c r="DI19">
        <v>2025</v>
      </c>
      <c r="DO19">
        <v>25</v>
      </c>
      <c r="DQ19">
        <v>50</v>
      </c>
      <c r="DS19">
        <v>4488</v>
      </c>
      <c r="DU19">
        <v>50</v>
      </c>
      <c r="DW19">
        <v>250</v>
      </c>
      <c r="EA19">
        <v>50</v>
      </c>
      <c r="EC19">
        <v>1050</v>
      </c>
      <c r="EE19">
        <v>150</v>
      </c>
      <c r="EI19">
        <v>50</v>
      </c>
      <c r="EU19">
        <v>50</v>
      </c>
      <c r="GM19">
        <f t="shared" si="1"/>
        <v>95778</v>
      </c>
    </row>
    <row r="20" spans="1:195" x14ac:dyDescent="0.25">
      <c r="A20" s="4">
        <f>DATE(2024,7,4)</f>
        <v>45477</v>
      </c>
      <c r="B20">
        <v>359778</v>
      </c>
      <c r="C20">
        <v>7550</v>
      </c>
      <c r="M20">
        <v>1000</v>
      </c>
      <c r="W20">
        <v>1850</v>
      </c>
      <c r="AG20">
        <v>5700</v>
      </c>
      <c r="AM20">
        <v>100</v>
      </c>
      <c r="AQ20">
        <v>8300</v>
      </c>
      <c r="AV20">
        <v>2000</v>
      </c>
      <c r="BA20">
        <v>3045</v>
      </c>
      <c r="BK20">
        <v>12105</v>
      </c>
      <c r="BM20">
        <v>500</v>
      </c>
      <c r="BO20">
        <v>175</v>
      </c>
      <c r="BP20">
        <v>1190</v>
      </c>
      <c r="BS20">
        <v>200</v>
      </c>
      <c r="BU20">
        <v>10975</v>
      </c>
      <c r="BW20">
        <v>250</v>
      </c>
      <c r="BY20">
        <v>250</v>
      </c>
      <c r="CA20">
        <v>300</v>
      </c>
      <c r="CC20">
        <v>350</v>
      </c>
      <c r="CE20">
        <v>12465</v>
      </c>
      <c r="CG20">
        <v>250</v>
      </c>
      <c r="CI20">
        <v>450</v>
      </c>
      <c r="CK20">
        <v>875</v>
      </c>
      <c r="CO20">
        <v>9000</v>
      </c>
      <c r="CS20">
        <v>750</v>
      </c>
      <c r="CU20">
        <v>50</v>
      </c>
      <c r="CW20">
        <v>150</v>
      </c>
      <c r="CY20">
        <v>7325</v>
      </c>
      <c r="DA20">
        <v>100</v>
      </c>
      <c r="DC20">
        <v>525</v>
      </c>
      <c r="DD20">
        <v>10</v>
      </c>
      <c r="DI20">
        <v>2025</v>
      </c>
      <c r="DO20">
        <v>25</v>
      </c>
      <c r="DQ20">
        <v>50</v>
      </c>
      <c r="DS20">
        <v>4488</v>
      </c>
      <c r="DU20">
        <v>50</v>
      </c>
      <c r="DW20">
        <v>250</v>
      </c>
      <c r="EA20">
        <v>50</v>
      </c>
      <c r="EC20">
        <v>1050</v>
      </c>
      <c r="EE20">
        <v>150</v>
      </c>
      <c r="EI20">
        <v>50</v>
      </c>
      <c r="EU20">
        <v>50</v>
      </c>
      <c r="GM20">
        <f t="shared" si="1"/>
        <v>96028</v>
      </c>
    </row>
    <row r="21" spans="1:195" x14ac:dyDescent="0.25">
      <c r="A21" s="4">
        <f>DATE(2024,7,3)</f>
        <v>45476</v>
      </c>
      <c r="B21">
        <v>359447</v>
      </c>
      <c r="C21">
        <v>7550</v>
      </c>
      <c r="M21">
        <v>1000</v>
      </c>
      <c r="W21">
        <v>1850</v>
      </c>
      <c r="AG21">
        <v>5700</v>
      </c>
      <c r="AM21">
        <v>100</v>
      </c>
      <c r="AQ21">
        <v>8300</v>
      </c>
      <c r="AV21">
        <v>2000</v>
      </c>
      <c r="BA21">
        <v>3045</v>
      </c>
      <c r="BK21">
        <v>11730</v>
      </c>
      <c r="BM21">
        <v>500</v>
      </c>
      <c r="BO21">
        <v>175</v>
      </c>
      <c r="BP21">
        <v>1190</v>
      </c>
      <c r="BS21">
        <v>200</v>
      </c>
      <c r="BU21">
        <v>10975</v>
      </c>
      <c r="BW21">
        <v>250</v>
      </c>
      <c r="BY21">
        <v>250</v>
      </c>
      <c r="CA21">
        <v>300</v>
      </c>
      <c r="CC21">
        <v>350</v>
      </c>
      <c r="CE21">
        <v>12215</v>
      </c>
      <c r="CG21">
        <v>250</v>
      </c>
      <c r="CI21">
        <v>450</v>
      </c>
      <c r="CK21">
        <v>875</v>
      </c>
      <c r="CO21">
        <v>7100</v>
      </c>
      <c r="CS21">
        <v>750</v>
      </c>
      <c r="CU21">
        <v>50</v>
      </c>
      <c r="CW21">
        <v>150</v>
      </c>
      <c r="CY21">
        <v>7025</v>
      </c>
      <c r="DA21">
        <v>100</v>
      </c>
      <c r="DC21">
        <v>525</v>
      </c>
      <c r="DD21">
        <v>10</v>
      </c>
      <c r="DI21">
        <v>2025</v>
      </c>
      <c r="DO21">
        <v>25</v>
      </c>
      <c r="DQ21">
        <v>50</v>
      </c>
      <c r="DS21">
        <v>4488</v>
      </c>
      <c r="DU21">
        <v>50</v>
      </c>
      <c r="DW21">
        <v>250</v>
      </c>
      <c r="EA21">
        <v>50</v>
      </c>
      <c r="EC21">
        <v>1050</v>
      </c>
      <c r="EE21">
        <v>150</v>
      </c>
      <c r="EI21">
        <v>50</v>
      </c>
      <c r="EU21">
        <v>50</v>
      </c>
      <c r="GM21">
        <f t="shared" si="1"/>
        <v>93203</v>
      </c>
    </row>
    <row r="22" spans="1:195" x14ac:dyDescent="0.25">
      <c r="A22" s="4">
        <f>DATE(2024,7,2)</f>
        <v>45475</v>
      </c>
      <c r="B22">
        <v>358571</v>
      </c>
      <c r="C22">
        <v>7550</v>
      </c>
      <c r="M22">
        <v>1000</v>
      </c>
      <c r="W22">
        <v>1850</v>
      </c>
      <c r="AG22">
        <v>6700</v>
      </c>
      <c r="AM22">
        <v>100</v>
      </c>
      <c r="AQ22">
        <v>8300</v>
      </c>
      <c r="AV22">
        <v>2000</v>
      </c>
      <c r="BA22">
        <v>3045</v>
      </c>
      <c r="BK22">
        <v>11730</v>
      </c>
      <c r="BM22">
        <v>500</v>
      </c>
      <c r="BO22">
        <v>175</v>
      </c>
      <c r="BP22">
        <v>1190</v>
      </c>
      <c r="BS22">
        <v>200</v>
      </c>
      <c r="BU22">
        <v>11975</v>
      </c>
      <c r="BW22">
        <v>250</v>
      </c>
      <c r="BY22">
        <v>250</v>
      </c>
      <c r="CA22">
        <v>300</v>
      </c>
      <c r="CC22">
        <v>350</v>
      </c>
      <c r="CE22">
        <v>13465</v>
      </c>
      <c r="CG22">
        <v>250</v>
      </c>
      <c r="CI22">
        <v>450</v>
      </c>
      <c r="CK22">
        <v>875</v>
      </c>
      <c r="CO22">
        <v>7450</v>
      </c>
      <c r="CS22">
        <v>750</v>
      </c>
      <c r="CU22">
        <v>50</v>
      </c>
      <c r="CW22">
        <v>150</v>
      </c>
      <c r="CY22">
        <v>7425</v>
      </c>
      <c r="DA22">
        <v>100</v>
      </c>
      <c r="DC22">
        <v>525</v>
      </c>
      <c r="DD22">
        <v>10</v>
      </c>
      <c r="DI22">
        <v>2025</v>
      </c>
      <c r="DO22">
        <v>25</v>
      </c>
      <c r="DQ22">
        <v>50</v>
      </c>
      <c r="DS22">
        <v>4488</v>
      </c>
      <c r="DU22">
        <v>50</v>
      </c>
      <c r="DW22">
        <v>250</v>
      </c>
      <c r="EA22">
        <v>50</v>
      </c>
      <c r="EC22">
        <v>1050</v>
      </c>
      <c r="EE22">
        <v>150</v>
      </c>
      <c r="EI22">
        <v>50</v>
      </c>
      <c r="EU22">
        <v>50</v>
      </c>
      <c r="GM22">
        <f t="shared" si="1"/>
        <v>97203</v>
      </c>
    </row>
    <row r="23" spans="1:195" x14ac:dyDescent="0.25">
      <c r="A23" s="4">
        <f>DATE(2024,7,1)</f>
        <v>45474</v>
      </c>
      <c r="B23">
        <v>357779</v>
      </c>
      <c r="C23">
        <v>7550</v>
      </c>
      <c r="M23">
        <v>1000</v>
      </c>
      <c r="W23">
        <v>1850</v>
      </c>
      <c r="AG23">
        <v>6700</v>
      </c>
      <c r="AM23">
        <v>100</v>
      </c>
      <c r="AQ23">
        <v>8300</v>
      </c>
      <c r="AV23">
        <v>2000</v>
      </c>
      <c r="BA23">
        <v>3045</v>
      </c>
      <c r="BK23">
        <v>11730</v>
      </c>
      <c r="BM23">
        <v>500</v>
      </c>
      <c r="BO23">
        <v>175</v>
      </c>
      <c r="BP23">
        <v>1190</v>
      </c>
      <c r="BS23">
        <v>200</v>
      </c>
      <c r="BU23">
        <v>11975</v>
      </c>
      <c r="BW23">
        <v>250</v>
      </c>
      <c r="BY23">
        <v>250</v>
      </c>
      <c r="CA23">
        <v>300</v>
      </c>
      <c r="CC23">
        <v>350</v>
      </c>
      <c r="CE23">
        <v>13465</v>
      </c>
      <c r="CG23">
        <v>250</v>
      </c>
      <c r="CI23">
        <v>450</v>
      </c>
      <c r="CK23">
        <v>875</v>
      </c>
      <c r="CO23">
        <v>7450</v>
      </c>
      <c r="CS23">
        <v>750</v>
      </c>
      <c r="CU23">
        <v>50</v>
      </c>
      <c r="CW23">
        <v>150</v>
      </c>
      <c r="CY23">
        <v>7875</v>
      </c>
      <c r="DA23">
        <v>100</v>
      </c>
      <c r="DC23">
        <v>525</v>
      </c>
      <c r="DD23">
        <v>10</v>
      </c>
      <c r="DI23">
        <v>2025</v>
      </c>
      <c r="DO23">
        <v>25</v>
      </c>
      <c r="DQ23">
        <v>50</v>
      </c>
      <c r="DS23">
        <v>4488</v>
      </c>
      <c r="DU23">
        <v>50</v>
      </c>
      <c r="DW23">
        <v>250</v>
      </c>
      <c r="EA23">
        <v>50</v>
      </c>
      <c r="EC23">
        <v>1050</v>
      </c>
      <c r="EE23">
        <v>150</v>
      </c>
      <c r="EI23">
        <v>50</v>
      </c>
      <c r="EU23">
        <v>50</v>
      </c>
      <c r="GM23">
        <f t="shared" si="1"/>
        <v>97653</v>
      </c>
    </row>
    <row r="24" spans="1:195" x14ac:dyDescent="0.25">
      <c r="A24" s="4">
        <f>DATE(2024,6,28)</f>
        <v>45471</v>
      </c>
      <c r="B24">
        <v>357843</v>
      </c>
      <c r="C24">
        <v>7550</v>
      </c>
      <c r="M24">
        <v>1000</v>
      </c>
      <c r="W24">
        <v>1850</v>
      </c>
      <c r="AG24">
        <v>6700</v>
      </c>
      <c r="AM24">
        <v>100</v>
      </c>
      <c r="AQ24">
        <v>8300</v>
      </c>
      <c r="AV24">
        <v>2000</v>
      </c>
      <c r="BA24">
        <v>3045</v>
      </c>
      <c r="BK24">
        <v>11730</v>
      </c>
      <c r="BM24">
        <v>500</v>
      </c>
      <c r="BO24">
        <v>175</v>
      </c>
      <c r="BP24">
        <v>1190</v>
      </c>
      <c r="BS24">
        <v>200</v>
      </c>
      <c r="BU24">
        <v>11475</v>
      </c>
      <c r="BW24">
        <v>250</v>
      </c>
      <c r="BY24">
        <v>250</v>
      </c>
      <c r="CA24">
        <v>300</v>
      </c>
      <c r="CC24">
        <v>350</v>
      </c>
      <c r="CE24">
        <v>13165</v>
      </c>
      <c r="CG24">
        <v>250</v>
      </c>
      <c r="CI24">
        <v>450</v>
      </c>
      <c r="CK24">
        <v>875</v>
      </c>
      <c r="CO24">
        <v>7450</v>
      </c>
      <c r="CS24">
        <v>750</v>
      </c>
      <c r="CU24">
        <v>50</v>
      </c>
      <c r="CW24">
        <v>150</v>
      </c>
      <c r="CY24">
        <v>8290</v>
      </c>
      <c r="DA24">
        <v>100</v>
      </c>
      <c r="DC24">
        <v>525</v>
      </c>
      <c r="DD24">
        <v>10</v>
      </c>
      <c r="DI24">
        <v>2025</v>
      </c>
      <c r="DO24">
        <v>25</v>
      </c>
      <c r="DQ24">
        <v>50</v>
      </c>
      <c r="DS24">
        <v>4488</v>
      </c>
      <c r="DU24">
        <v>50</v>
      </c>
      <c r="DW24">
        <v>250</v>
      </c>
      <c r="EA24">
        <v>50</v>
      </c>
      <c r="EC24">
        <v>1050</v>
      </c>
      <c r="EE24">
        <v>150</v>
      </c>
      <c r="EI24">
        <v>50</v>
      </c>
      <c r="EU24">
        <v>50</v>
      </c>
      <c r="GM24">
        <f t="shared" si="1"/>
        <v>97268</v>
      </c>
    </row>
    <row r="25" spans="1:195" x14ac:dyDescent="0.25">
      <c r="A25" s="4">
        <f>DATE(2024,6,27)</f>
        <v>45470</v>
      </c>
      <c r="B25">
        <v>358346</v>
      </c>
      <c r="C25">
        <v>7550</v>
      </c>
      <c r="M25">
        <v>1000</v>
      </c>
      <c r="W25">
        <v>1850</v>
      </c>
      <c r="AG25">
        <v>6700</v>
      </c>
      <c r="AM25">
        <v>100</v>
      </c>
      <c r="AQ25">
        <v>8300</v>
      </c>
      <c r="AV25">
        <v>2000</v>
      </c>
      <c r="BA25">
        <v>3045</v>
      </c>
      <c r="BK25">
        <v>11730</v>
      </c>
      <c r="BM25">
        <v>500</v>
      </c>
      <c r="BO25">
        <v>175</v>
      </c>
      <c r="BP25">
        <v>1190</v>
      </c>
      <c r="BS25">
        <v>200</v>
      </c>
      <c r="BU25">
        <v>11225</v>
      </c>
      <c r="BW25">
        <v>250</v>
      </c>
      <c r="BY25">
        <v>250</v>
      </c>
      <c r="CA25">
        <v>300</v>
      </c>
      <c r="CC25">
        <v>350</v>
      </c>
      <c r="CE25">
        <v>13155</v>
      </c>
      <c r="CG25">
        <v>250</v>
      </c>
      <c r="CI25">
        <v>450</v>
      </c>
      <c r="CK25">
        <v>875</v>
      </c>
      <c r="CO25">
        <v>7200</v>
      </c>
      <c r="CS25">
        <v>750</v>
      </c>
      <c r="CU25">
        <v>50</v>
      </c>
      <c r="CW25">
        <v>150</v>
      </c>
      <c r="CY25">
        <v>8290</v>
      </c>
      <c r="DA25">
        <v>100</v>
      </c>
      <c r="DC25">
        <v>525</v>
      </c>
      <c r="DD25">
        <v>10</v>
      </c>
      <c r="DI25">
        <v>2025</v>
      </c>
      <c r="DO25">
        <v>25</v>
      </c>
      <c r="DQ25">
        <v>50</v>
      </c>
      <c r="DS25">
        <v>4488</v>
      </c>
      <c r="DU25">
        <v>50</v>
      </c>
      <c r="DW25">
        <v>250</v>
      </c>
      <c r="EA25">
        <v>50</v>
      </c>
      <c r="EC25">
        <v>1050</v>
      </c>
      <c r="EE25">
        <v>150</v>
      </c>
      <c r="EI25">
        <v>50</v>
      </c>
      <c r="EU25">
        <v>50</v>
      </c>
      <c r="GM25">
        <f t="shared" si="1"/>
        <v>96758</v>
      </c>
    </row>
    <row r="26" spans="1:195" x14ac:dyDescent="0.25">
      <c r="A26" s="4">
        <f>DATE(2024,6,26)</f>
        <v>45469</v>
      </c>
      <c r="B26">
        <v>355843</v>
      </c>
      <c r="C26">
        <v>7550</v>
      </c>
      <c r="M26">
        <v>1000</v>
      </c>
      <c r="W26">
        <v>1850</v>
      </c>
      <c r="AG26">
        <v>6700</v>
      </c>
      <c r="AM26">
        <v>100</v>
      </c>
      <c r="AQ26">
        <v>8300</v>
      </c>
      <c r="AV26">
        <v>2000</v>
      </c>
      <c r="BA26">
        <v>3045</v>
      </c>
      <c r="BK26">
        <v>11930</v>
      </c>
      <c r="BM26">
        <v>500</v>
      </c>
      <c r="BO26">
        <v>175</v>
      </c>
      <c r="BP26">
        <v>1190</v>
      </c>
      <c r="BS26">
        <v>200</v>
      </c>
      <c r="BU26">
        <v>10775</v>
      </c>
      <c r="BW26">
        <v>250</v>
      </c>
      <c r="BY26">
        <v>250</v>
      </c>
      <c r="CA26">
        <v>300</v>
      </c>
      <c r="CC26">
        <v>350</v>
      </c>
      <c r="CE26">
        <v>13005</v>
      </c>
      <c r="CG26">
        <v>250</v>
      </c>
      <c r="CI26">
        <v>450</v>
      </c>
      <c r="CK26">
        <v>875</v>
      </c>
      <c r="CO26">
        <v>7050</v>
      </c>
      <c r="CS26">
        <v>750</v>
      </c>
      <c r="CU26">
        <v>50</v>
      </c>
      <c r="CW26">
        <v>150</v>
      </c>
      <c r="CY26">
        <v>8290</v>
      </c>
      <c r="DA26">
        <v>100</v>
      </c>
      <c r="DC26">
        <v>525</v>
      </c>
      <c r="DD26">
        <v>10</v>
      </c>
      <c r="DI26">
        <v>2025</v>
      </c>
      <c r="DO26">
        <v>25</v>
      </c>
      <c r="DQ26">
        <v>50</v>
      </c>
      <c r="DS26">
        <v>4488</v>
      </c>
      <c r="DU26">
        <v>50</v>
      </c>
      <c r="DW26">
        <v>250</v>
      </c>
      <c r="EA26">
        <v>50</v>
      </c>
      <c r="EC26">
        <v>1050</v>
      </c>
      <c r="EE26">
        <v>150</v>
      </c>
      <c r="EI26">
        <v>50</v>
      </c>
      <c r="EU26">
        <v>50</v>
      </c>
      <c r="GM26">
        <f t="shared" si="1"/>
        <v>96208</v>
      </c>
    </row>
    <row r="27" spans="1:195" x14ac:dyDescent="0.25">
      <c r="A27" s="4">
        <f>DATE(2024,6,25)</f>
        <v>45468</v>
      </c>
      <c r="B27">
        <v>354577</v>
      </c>
      <c r="C27">
        <v>7550</v>
      </c>
      <c r="M27">
        <v>1000</v>
      </c>
      <c r="W27">
        <v>1850</v>
      </c>
      <c r="AG27">
        <v>6700</v>
      </c>
      <c r="AM27">
        <v>100</v>
      </c>
      <c r="AQ27">
        <v>8300</v>
      </c>
      <c r="AV27">
        <v>2000</v>
      </c>
      <c r="BA27">
        <v>3045</v>
      </c>
      <c r="BK27">
        <v>11930</v>
      </c>
      <c r="BM27">
        <v>500</v>
      </c>
      <c r="BO27">
        <v>175</v>
      </c>
      <c r="BP27">
        <v>1190</v>
      </c>
      <c r="BS27">
        <v>200</v>
      </c>
      <c r="BU27">
        <v>10775</v>
      </c>
      <c r="BW27">
        <v>250</v>
      </c>
      <c r="BY27">
        <v>250</v>
      </c>
      <c r="CA27">
        <v>300</v>
      </c>
      <c r="CC27">
        <v>350</v>
      </c>
      <c r="CE27">
        <v>13005</v>
      </c>
      <c r="CG27">
        <v>250</v>
      </c>
      <c r="CI27">
        <v>450</v>
      </c>
      <c r="CK27">
        <v>875</v>
      </c>
      <c r="CO27">
        <v>7050</v>
      </c>
      <c r="CS27">
        <v>750</v>
      </c>
      <c r="CU27">
        <v>50</v>
      </c>
      <c r="CW27">
        <v>150</v>
      </c>
      <c r="CY27">
        <v>8290</v>
      </c>
      <c r="DA27">
        <v>100</v>
      </c>
      <c r="DC27">
        <v>525</v>
      </c>
      <c r="DD27">
        <v>10</v>
      </c>
      <c r="DI27">
        <v>2025</v>
      </c>
      <c r="DO27">
        <v>25</v>
      </c>
      <c r="DQ27">
        <v>50</v>
      </c>
      <c r="DS27">
        <v>4488</v>
      </c>
      <c r="DU27">
        <v>50</v>
      </c>
      <c r="DW27">
        <v>250</v>
      </c>
      <c r="EA27">
        <v>50</v>
      </c>
      <c r="EC27">
        <v>1050</v>
      </c>
      <c r="EE27">
        <v>150</v>
      </c>
      <c r="EI27">
        <v>50</v>
      </c>
      <c r="EU27">
        <v>50</v>
      </c>
      <c r="GM27">
        <f t="shared" si="1"/>
        <v>96208</v>
      </c>
    </row>
    <row r="28" spans="1:195" x14ac:dyDescent="0.25">
      <c r="A28" s="4">
        <f>DATE(2024,6,24)</f>
        <v>45467</v>
      </c>
      <c r="B28">
        <v>353485</v>
      </c>
      <c r="C28">
        <v>7550</v>
      </c>
      <c r="M28">
        <v>1000</v>
      </c>
      <c r="W28">
        <v>1850</v>
      </c>
      <c r="AG28">
        <v>6700</v>
      </c>
      <c r="AM28">
        <v>100</v>
      </c>
      <c r="AQ28">
        <v>8300</v>
      </c>
      <c r="AV28">
        <v>2000</v>
      </c>
      <c r="BA28">
        <v>3045</v>
      </c>
      <c r="BK28">
        <v>11980</v>
      </c>
      <c r="BM28">
        <v>500</v>
      </c>
      <c r="BO28">
        <v>175</v>
      </c>
      <c r="BP28">
        <v>1190</v>
      </c>
      <c r="BS28">
        <v>200</v>
      </c>
      <c r="BU28">
        <v>10775</v>
      </c>
      <c r="BW28">
        <v>250</v>
      </c>
      <c r="BY28">
        <v>250</v>
      </c>
      <c r="CA28">
        <v>300</v>
      </c>
      <c r="CC28">
        <v>350</v>
      </c>
      <c r="CE28">
        <v>13005</v>
      </c>
      <c r="CG28">
        <v>250</v>
      </c>
      <c r="CI28">
        <v>450</v>
      </c>
      <c r="CK28">
        <v>875</v>
      </c>
      <c r="CO28">
        <v>7050</v>
      </c>
      <c r="CS28">
        <v>750</v>
      </c>
      <c r="CU28">
        <v>50</v>
      </c>
      <c r="CW28">
        <v>150</v>
      </c>
      <c r="CY28">
        <v>8290</v>
      </c>
      <c r="DA28">
        <v>100</v>
      </c>
      <c r="DC28">
        <v>525</v>
      </c>
      <c r="DD28">
        <v>10</v>
      </c>
      <c r="DI28">
        <v>2025</v>
      </c>
      <c r="DO28">
        <v>25</v>
      </c>
      <c r="DQ28">
        <v>50</v>
      </c>
      <c r="DS28">
        <v>4488</v>
      </c>
      <c r="DU28">
        <v>50</v>
      </c>
      <c r="DW28">
        <v>250</v>
      </c>
      <c r="EA28">
        <v>50</v>
      </c>
      <c r="EC28">
        <v>1050</v>
      </c>
      <c r="EE28">
        <v>150</v>
      </c>
      <c r="EI28">
        <v>50</v>
      </c>
      <c r="EU28">
        <v>50</v>
      </c>
      <c r="GM28">
        <f t="shared" si="1"/>
        <v>96258</v>
      </c>
    </row>
    <row r="29" spans="1:195" x14ac:dyDescent="0.25">
      <c r="A29" s="4">
        <f>DATE(2024,6,21)</f>
        <v>45464</v>
      </c>
      <c r="B29">
        <v>349260</v>
      </c>
      <c r="C29">
        <v>7550</v>
      </c>
      <c r="M29">
        <v>1000</v>
      </c>
      <c r="W29">
        <v>1850</v>
      </c>
      <c r="AG29">
        <v>6700</v>
      </c>
      <c r="AM29">
        <v>100</v>
      </c>
      <c r="AQ29">
        <v>8300</v>
      </c>
      <c r="AV29">
        <v>2000</v>
      </c>
      <c r="BA29">
        <v>3045</v>
      </c>
      <c r="BK29">
        <v>12980</v>
      </c>
      <c r="BM29">
        <v>500</v>
      </c>
      <c r="BO29">
        <v>175</v>
      </c>
      <c r="BP29">
        <v>1190</v>
      </c>
      <c r="BS29">
        <v>200</v>
      </c>
      <c r="BU29">
        <v>10775</v>
      </c>
      <c r="BW29">
        <v>250</v>
      </c>
      <c r="BY29">
        <v>250</v>
      </c>
      <c r="CA29">
        <v>300</v>
      </c>
      <c r="CC29">
        <v>350</v>
      </c>
      <c r="CE29">
        <v>14130</v>
      </c>
      <c r="CG29">
        <v>250</v>
      </c>
      <c r="CI29">
        <v>450</v>
      </c>
      <c r="CK29">
        <v>875</v>
      </c>
      <c r="CO29">
        <v>7050</v>
      </c>
      <c r="CS29">
        <v>750</v>
      </c>
      <c r="CU29">
        <v>50</v>
      </c>
      <c r="CW29">
        <v>150</v>
      </c>
      <c r="CY29">
        <v>8115</v>
      </c>
      <c r="DA29">
        <v>100</v>
      </c>
      <c r="DC29">
        <v>525</v>
      </c>
      <c r="DD29">
        <v>10</v>
      </c>
      <c r="DI29">
        <v>2025</v>
      </c>
      <c r="DO29">
        <v>25</v>
      </c>
      <c r="DQ29">
        <v>50</v>
      </c>
      <c r="DS29">
        <v>4488</v>
      </c>
      <c r="DU29">
        <v>50</v>
      </c>
      <c r="DW29">
        <v>250</v>
      </c>
      <c r="EA29">
        <v>50</v>
      </c>
      <c r="EC29">
        <v>1050</v>
      </c>
      <c r="EE29">
        <v>150</v>
      </c>
      <c r="EI29">
        <v>50</v>
      </c>
      <c r="EU29">
        <v>50</v>
      </c>
      <c r="GM29">
        <f t="shared" si="1"/>
        <v>98208</v>
      </c>
    </row>
    <row r="30" spans="1:195" x14ac:dyDescent="0.25">
      <c r="A30" s="4">
        <f>DATE(2024,6,20)</f>
        <v>45463</v>
      </c>
      <c r="B30">
        <v>342937</v>
      </c>
      <c r="C30">
        <v>7550</v>
      </c>
      <c r="M30">
        <v>1000</v>
      </c>
      <c r="W30">
        <v>2100</v>
      </c>
      <c r="AG30">
        <v>6700</v>
      </c>
      <c r="AM30">
        <v>100</v>
      </c>
      <c r="AQ30">
        <v>8300</v>
      </c>
      <c r="AV30">
        <v>2000</v>
      </c>
      <c r="BA30">
        <v>3045</v>
      </c>
      <c r="BK30">
        <v>13280</v>
      </c>
      <c r="BM30">
        <v>500</v>
      </c>
      <c r="BO30">
        <v>175</v>
      </c>
      <c r="BP30">
        <v>1190</v>
      </c>
      <c r="BS30">
        <v>200</v>
      </c>
      <c r="BU30">
        <v>7725</v>
      </c>
      <c r="BW30">
        <v>250</v>
      </c>
      <c r="BY30">
        <v>250</v>
      </c>
      <c r="CA30">
        <v>300</v>
      </c>
      <c r="CC30">
        <v>350</v>
      </c>
      <c r="CE30">
        <v>13805</v>
      </c>
      <c r="CG30">
        <v>250</v>
      </c>
      <c r="CI30">
        <v>450</v>
      </c>
      <c r="CK30">
        <v>875</v>
      </c>
      <c r="CO30">
        <v>6700</v>
      </c>
      <c r="CS30">
        <v>750</v>
      </c>
      <c r="CU30">
        <v>50</v>
      </c>
      <c r="CW30">
        <v>150</v>
      </c>
      <c r="CY30">
        <v>7915</v>
      </c>
      <c r="DA30">
        <v>100</v>
      </c>
      <c r="DC30">
        <v>525</v>
      </c>
      <c r="DD30">
        <v>10</v>
      </c>
      <c r="DI30">
        <v>2025</v>
      </c>
      <c r="DO30">
        <v>25</v>
      </c>
      <c r="DQ30">
        <v>50</v>
      </c>
      <c r="DS30">
        <v>4488</v>
      </c>
      <c r="DU30">
        <v>50</v>
      </c>
      <c r="DW30">
        <v>250</v>
      </c>
      <c r="EA30">
        <v>50</v>
      </c>
      <c r="EC30">
        <v>1050</v>
      </c>
      <c r="EE30">
        <v>150</v>
      </c>
      <c r="EI30">
        <v>50</v>
      </c>
      <c r="EU30">
        <v>50</v>
      </c>
      <c r="GM30">
        <f t="shared" si="1"/>
        <v>94833</v>
      </c>
    </row>
    <row r="31" spans="1:195" x14ac:dyDescent="0.25">
      <c r="A31" s="4">
        <f>DATE(2024,6,19)</f>
        <v>45462</v>
      </c>
      <c r="B31">
        <v>342582</v>
      </c>
      <c r="C31">
        <v>7550</v>
      </c>
      <c r="M31">
        <v>1000</v>
      </c>
      <c r="W31">
        <v>2100</v>
      </c>
      <c r="AG31">
        <v>6700</v>
      </c>
      <c r="AM31">
        <v>100</v>
      </c>
      <c r="AQ31">
        <v>7750</v>
      </c>
      <c r="AV31">
        <v>2000</v>
      </c>
      <c r="BA31">
        <v>3295</v>
      </c>
      <c r="BK31">
        <v>13055</v>
      </c>
      <c r="BM31">
        <v>500</v>
      </c>
      <c r="BO31">
        <v>175</v>
      </c>
      <c r="BP31">
        <v>1190</v>
      </c>
      <c r="BS31">
        <v>200</v>
      </c>
      <c r="BU31">
        <v>7125</v>
      </c>
      <c r="BW31">
        <v>250</v>
      </c>
      <c r="BY31">
        <v>250</v>
      </c>
      <c r="CA31">
        <v>300</v>
      </c>
      <c r="CC31">
        <v>350</v>
      </c>
      <c r="CE31">
        <v>13805</v>
      </c>
      <c r="CG31">
        <v>250</v>
      </c>
      <c r="CI31">
        <v>450</v>
      </c>
      <c r="CK31">
        <v>875</v>
      </c>
      <c r="CO31">
        <v>6850</v>
      </c>
      <c r="CS31">
        <v>750</v>
      </c>
      <c r="CU31">
        <v>50</v>
      </c>
      <c r="CW31">
        <v>150</v>
      </c>
      <c r="CY31">
        <v>7915</v>
      </c>
      <c r="DA31">
        <v>100</v>
      </c>
      <c r="DC31">
        <v>525</v>
      </c>
      <c r="DD31">
        <v>10</v>
      </c>
      <c r="DI31">
        <v>2025</v>
      </c>
      <c r="DO31">
        <v>25</v>
      </c>
      <c r="DQ31">
        <v>50</v>
      </c>
      <c r="DS31">
        <v>4488</v>
      </c>
      <c r="DU31">
        <v>50</v>
      </c>
      <c r="DW31">
        <v>250</v>
      </c>
      <c r="EA31">
        <v>50</v>
      </c>
      <c r="EC31">
        <v>1050</v>
      </c>
      <c r="EE31">
        <v>150</v>
      </c>
      <c r="EI31">
        <v>50</v>
      </c>
      <c r="EU31">
        <v>50</v>
      </c>
      <c r="GM31">
        <f t="shared" si="1"/>
        <v>93858</v>
      </c>
    </row>
    <row r="32" spans="1:195" x14ac:dyDescent="0.25">
      <c r="A32" s="4">
        <f>DATE(2024,6,18)</f>
        <v>45461</v>
      </c>
      <c r="B32">
        <v>346400</v>
      </c>
      <c r="C32">
        <v>7550</v>
      </c>
      <c r="M32">
        <v>1000</v>
      </c>
      <c r="W32">
        <v>2100</v>
      </c>
      <c r="AG32">
        <v>6700</v>
      </c>
      <c r="AM32">
        <v>100</v>
      </c>
      <c r="AQ32">
        <v>7500</v>
      </c>
      <c r="AV32">
        <v>2000</v>
      </c>
      <c r="BA32">
        <v>3295</v>
      </c>
      <c r="BK32">
        <v>12905</v>
      </c>
      <c r="BM32">
        <v>500</v>
      </c>
      <c r="BO32">
        <v>175</v>
      </c>
      <c r="BP32">
        <v>1190</v>
      </c>
      <c r="BS32">
        <v>200</v>
      </c>
      <c r="BU32">
        <v>6025</v>
      </c>
      <c r="BW32">
        <v>250</v>
      </c>
      <c r="BY32">
        <v>250</v>
      </c>
      <c r="CA32">
        <v>300</v>
      </c>
      <c r="CC32">
        <v>350</v>
      </c>
      <c r="CE32">
        <v>13705</v>
      </c>
      <c r="CG32">
        <v>250</v>
      </c>
      <c r="CI32">
        <v>450</v>
      </c>
      <c r="CK32">
        <v>875</v>
      </c>
      <c r="CO32">
        <v>6475</v>
      </c>
      <c r="CS32">
        <v>750</v>
      </c>
      <c r="CU32">
        <v>50</v>
      </c>
      <c r="CW32">
        <v>150</v>
      </c>
      <c r="CY32">
        <v>7915</v>
      </c>
      <c r="DA32">
        <v>100</v>
      </c>
      <c r="DC32">
        <v>525</v>
      </c>
      <c r="DD32">
        <v>10</v>
      </c>
      <c r="DI32">
        <v>2025</v>
      </c>
      <c r="DO32">
        <v>25</v>
      </c>
      <c r="DQ32">
        <v>50</v>
      </c>
      <c r="DS32">
        <v>4488</v>
      </c>
      <c r="DU32">
        <v>50</v>
      </c>
      <c r="DW32">
        <v>250</v>
      </c>
      <c r="EA32">
        <v>50</v>
      </c>
      <c r="EC32">
        <v>1050</v>
      </c>
      <c r="EE32">
        <v>150</v>
      </c>
      <c r="EI32">
        <v>50</v>
      </c>
      <c r="EU32">
        <v>50</v>
      </c>
      <c r="GM32">
        <f t="shared" si="1"/>
        <v>91883</v>
      </c>
    </row>
    <row r="33" spans="1:195" x14ac:dyDescent="0.25">
      <c r="A33" s="4">
        <f>DATE(2024,6,17)</f>
        <v>45460</v>
      </c>
      <c r="B33">
        <v>338785</v>
      </c>
      <c r="C33">
        <v>7550</v>
      </c>
      <c r="M33">
        <v>1000</v>
      </c>
      <c r="W33">
        <v>2100</v>
      </c>
      <c r="AG33">
        <v>6700</v>
      </c>
      <c r="AM33">
        <v>100</v>
      </c>
      <c r="AQ33">
        <v>7600</v>
      </c>
      <c r="AV33">
        <v>2000</v>
      </c>
      <c r="BA33">
        <v>3295</v>
      </c>
      <c r="BK33">
        <v>12905</v>
      </c>
      <c r="BM33">
        <v>500</v>
      </c>
      <c r="BO33">
        <v>175</v>
      </c>
      <c r="BP33">
        <v>1190</v>
      </c>
      <c r="BS33">
        <v>200</v>
      </c>
      <c r="BU33">
        <v>5925</v>
      </c>
      <c r="BW33">
        <v>250</v>
      </c>
      <c r="BY33">
        <v>250</v>
      </c>
      <c r="CA33">
        <v>300</v>
      </c>
      <c r="CC33">
        <v>350</v>
      </c>
      <c r="CE33">
        <v>13705</v>
      </c>
      <c r="CG33">
        <v>250</v>
      </c>
      <c r="CI33">
        <v>450</v>
      </c>
      <c r="CK33">
        <v>875</v>
      </c>
      <c r="CO33">
        <v>6475</v>
      </c>
      <c r="CS33">
        <v>750</v>
      </c>
      <c r="CU33">
        <v>50</v>
      </c>
      <c r="CW33">
        <v>150</v>
      </c>
      <c r="CY33">
        <v>7965</v>
      </c>
      <c r="DA33">
        <v>100</v>
      </c>
      <c r="DC33">
        <v>525</v>
      </c>
      <c r="DD33">
        <v>10</v>
      </c>
      <c r="DI33">
        <v>2025</v>
      </c>
      <c r="DO33">
        <v>25</v>
      </c>
      <c r="DQ33">
        <v>50</v>
      </c>
      <c r="DS33">
        <v>4488</v>
      </c>
      <c r="DU33">
        <v>50</v>
      </c>
      <c r="DW33">
        <v>250</v>
      </c>
      <c r="EA33">
        <v>50</v>
      </c>
      <c r="EC33">
        <v>1050</v>
      </c>
      <c r="EE33">
        <v>150</v>
      </c>
      <c r="EI33">
        <v>50</v>
      </c>
      <c r="EU33">
        <v>50</v>
      </c>
      <c r="GM33">
        <f t="shared" si="1"/>
        <v>91933</v>
      </c>
    </row>
    <row r="34" spans="1:195" x14ac:dyDescent="0.25">
      <c r="A34" s="4">
        <f>DATE(2024,6,14)</f>
        <v>45457</v>
      </c>
      <c r="B34">
        <v>338682</v>
      </c>
      <c r="C34">
        <v>7550</v>
      </c>
      <c r="M34">
        <v>1000</v>
      </c>
      <c r="W34">
        <v>2100</v>
      </c>
      <c r="AG34">
        <v>6700</v>
      </c>
      <c r="AM34">
        <v>100</v>
      </c>
      <c r="AQ34">
        <v>7800</v>
      </c>
      <c r="AV34">
        <v>2000</v>
      </c>
      <c r="BA34">
        <v>3295</v>
      </c>
      <c r="BK34">
        <v>12555</v>
      </c>
      <c r="BM34">
        <v>500</v>
      </c>
      <c r="BO34">
        <v>175</v>
      </c>
      <c r="BP34">
        <v>1190</v>
      </c>
      <c r="BS34">
        <v>200</v>
      </c>
      <c r="BU34">
        <v>5925</v>
      </c>
      <c r="BW34">
        <v>250</v>
      </c>
      <c r="BY34">
        <v>250</v>
      </c>
      <c r="CA34">
        <v>300</v>
      </c>
      <c r="CC34">
        <v>350</v>
      </c>
      <c r="CE34">
        <v>13705</v>
      </c>
      <c r="CG34">
        <v>250</v>
      </c>
      <c r="CI34">
        <v>450</v>
      </c>
      <c r="CK34">
        <v>875</v>
      </c>
      <c r="CO34">
        <v>6475</v>
      </c>
      <c r="CS34">
        <v>750</v>
      </c>
      <c r="CU34">
        <v>50</v>
      </c>
      <c r="CW34">
        <v>150</v>
      </c>
      <c r="CY34">
        <v>7965</v>
      </c>
      <c r="DA34">
        <v>100</v>
      </c>
      <c r="DC34">
        <v>525</v>
      </c>
      <c r="DD34">
        <v>10</v>
      </c>
      <c r="DI34">
        <v>2025</v>
      </c>
      <c r="DO34">
        <v>25</v>
      </c>
      <c r="DQ34">
        <v>50</v>
      </c>
      <c r="DS34">
        <v>4488</v>
      </c>
      <c r="DU34">
        <v>50</v>
      </c>
      <c r="DW34">
        <v>250</v>
      </c>
      <c r="EA34">
        <v>50</v>
      </c>
      <c r="EC34">
        <v>1050</v>
      </c>
      <c r="EE34">
        <v>150</v>
      </c>
      <c r="EI34">
        <v>50</v>
      </c>
      <c r="EU34">
        <v>50</v>
      </c>
      <c r="GM34">
        <f t="shared" si="1"/>
        <v>91783</v>
      </c>
    </row>
    <row r="35" spans="1:195" x14ac:dyDescent="0.25">
      <c r="A35" s="4">
        <f>DATE(2024,6,13)</f>
        <v>45456</v>
      </c>
      <c r="B35">
        <v>334373</v>
      </c>
      <c r="C35">
        <v>7550</v>
      </c>
      <c r="M35">
        <v>1000</v>
      </c>
      <c r="W35">
        <v>2100</v>
      </c>
      <c r="AG35">
        <v>6700</v>
      </c>
      <c r="AM35">
        <v>100</v>
      </c>
      <c r="AQ35">
        <v>7800</v>
      </c>
      <c r="AV35">
        <v>2000</v>
      </c>
      <c r="BA35">
        <v>3295</v>
      </c>
      <c r="BK35">
        <v>12555</v>
      </c>
      <c r="BM35">
        <v>500</v>
      </c>
      <c r="BO35">
        <v>175</v>
      </c>
      <c r="BP35">
        <v>1190</v>
      </c>
      <c r="BS35">
        <v>200</v>
      </c>
      <c r="BU35">
        <v>5825</v>
      </c>
      <c r="BW35">
        <v>250</v>
      </c>
      <c r="BY35">
        <v>250</v>
      </c>
      <c r="CA35">
        <v>300</v>
      </c>
      <c r="CC35">
        <v>350</v>
      </c>
      <c r="CE35">
        <v>12375</v>
      </c>
      <c r="CG35">
        <v>250</v>
      </c>
      <c r="CI35">
        <v>450</v>
      </c>
      <c r="CK35">
        <v>875</v>
      </c>
      <c r="CO35">
        <v>6375</v>
      </c>
      <c r="CS35">
        <v>750</v>
      </c>
      <c r="CU35">
        <v>50</v>
      </c>
      <c r="CW35">
        <v>150</v>
      </c>
      <c r="CY35">
        <v>7750</v>
      </c>
      <c r="DA35">
        <v>100</v>
      </c>
      <c r="DC35">
        <v>525</v>
      </c>
      <c r="DD35">
        <v>10</v>
      </c>
      <c r="DI35">
        <v>2025</v>
      </c>
      <c r="DO35">
        <v>25</v>
      </c>
      <c r="DQ35">
        <v>50</v>
      </c>
      <c r="DS35">
        <v>4488</v>
      </c>
      <c r="DU35">
        <v>50</v>
      </c>
      <c r="DW35">
        <v>250</v>
      </c>
      <c r="EA35">
        <v>50</v>
      </c>
      <c r="EC35">
        <v>1050</v>
      </c>
      <c r="EE35">
        <v>150</v>
      </c>
      <c r="EI35">
        <v>50</v>
      </c>
      <c r="EU35">
        <v>50</v>
      </c>
      <c r="GM35">
        <f t="shared" si="1"/>
        <v>90038</v>
      </c>
    </row>
    <row r="36" spans="1:195" x14ac:dyDescent="0.25">
      <c r="A36" s="4">
        <f>DATE(2024,6,12)</f>
        <v>45455</v>
      </c>
      <c r="B36">
        <v>333805</v>
      </c>
      <c r="C36">
        <v>7550</v>
      </c>
      <c r="M36">
        <v>1000</v>
      </c>
      <c r="W36">
        <v>2100</v>
      </c>
      <c r="AG36">
        <v>6700</v>
      </c>
      <c r="AM36">
        <v>200</v>
      </c>
      <c r="AQ36">
        <v>7800</v>
      </c>
      <c r="AV36">
        <v>2000</v>
      </c>
      <c r="BA36">
        <v>3295</v>
      </c>
      <c r="BK36">
        <v>12555</v>
      </c>
      <c r="BM36">
        <v>500</v>
      </c>
      <c r="BO36">
        <v>175</v>
      </c>
      <c r="BP36">
        <v>1190</v>
      </c>
      <c r="BS36">
        <v>200</v>
      </c>
      <c r="BU36">
        <v>5925</v>
      </c>
      <c r="BW36">
        <v>250</v>
      </c>
      <c r="BY36">
        <v>250</v>
      </c>
      <c r="CA36">
        <v>300</v>
      </c>
      <c r="CC36">
        <v>350</v>
      </c>
      <c r="CE36">
        <v>12325</v>
      </c>
      <c r="CG36">
        <v>250</v>
      </c>
      <c r="CI36">
        <v>450</v>
      </c>
      <c r="CK36">
        <v>875</v>
      </c>
      <c r="CO36">
        <v>6250</v>
      </c>
      <c r="CS36">
        <v>750</v>
      </c>
      <c r="CU36">
        <v>50</v>
      </c>
      <c r="CW36">
        <v>150</v>
      </c>
      <c r="CY36">
        <v>7750</v>
      </c>
      <c r="DA36">
        <v>100</v>
      </c>
      <c r="DC36">
        <v>525</v>
      </c>
      <c r="DD36">
        <v>10</v>
      </c>
      <c r="DI36">
        <v>2025</v>
      </c>
      <c r="DO36">
        <v>25</v>
      </c>
      <c r="DQ36">
        <v>50</v>
      </c>
      <c r="DS36">
        <v>4488</v>
      </c>
      <c r="DU36">
        <v>50</v>
      </c>
      <c r="DW36">
        <v>250</v>
      </c>
      <c r="EA36">
        <v>50</v>
      </c>
      <c r="EC36">
        <v>1050</v>
      </c>
      <c r="EE36">
        <v>150</v>
      </c>
      <c r="EI36">
        <v>50</v>
      </c>
      <c r="EU36">
        <v>50</v>
      </c>
      <c r="GM36">
        <f t="shared" si="1"/>
        <v>90063</v>
      </c>
    </row>
    <row r="37" spans="1:195" x14ac:dyDescent="0.25">
      <c r="A37" s="4">
        <f>DATE(2024,6,11)</f>
        <v>45454</v>
      </c>
      <c r="B37">
        <v>333575</v>
      </c>
      <c r="C37">
        <v>7550</v>
      </c>
      <c r="M37">
        <v>1000</v>
      </c>
      <c r="W37">
        <v>2100</v>
      </c>
      <c r="AG37">
        <v>6700</v>
      </c>
      <c r="AM37">
        <v>200</v>
      </c>
      <c r="AQ37">
        <v>7800</v>
      </c>
      <c r="AV37">
        <v>2000</v>
      </c>
      <c r="BA37">
        <v>3295</v>
      </c>
      <c r="BK37">
        <v>12555</v>
      </c>
      <c r="BM37">
        <v>500</v>
      </c>
      <c r="BO37">
        <v>175</v>
      </c>
      <c r="BP37">
        <v>1190</v>
      </c>
      <c r="BS37">
        <v>200</v>
      </c>
      <c r="BU37">
        <v>5825</v>
      </c>
      <c r="BW37">
        <v>250</v>
      </c>
      <c r="BY37">
        <v>250</v>
      </c>
      <c r="CA37">
        <v>300</v>
      </c>
      <c r="CC37">
        <v>350</v>
      </c>
      <c r="CE37">
        <v>12325</v>
      </c>
      <c r="CG37">
        <v>250</v>
      </c>
      <c r="CI37">
        <v>450</v>
      </c>
      <c r="CK37">
        <v>875</v>
      </c>
      <c r="CO37">
        <v>6200</v>
      </c>
      <c r="CS37">
        <v>750</v>
      </c>
      <c r="CU37">
        <v>50</v>
      </c>
      <c r="CW37">
        <v>150</v>
      </c>
      <c r="CY37">
        <v>7750</v>
      </c>
      <c r="DA37">
        <v>100</v>
      </c>
      <c r="DC37">
        <v>525</v>
      </c>
      <c r="DD37">
        <v>10</v>
      </c>
      <c r="DI37">
        <v>2025</v>
      </c>
      <c r="DO37">
        <v>25</v>
      </c>
      <c r="DQ37">
        <v>50</v>
      </c>
      <c r="DS37">
        <v>4488</v>
      </c>
      <c r="DU37">
        <v>50</v>
      </c>
      <c r="DW37">
        <v>250</v>
      </c>
      <c r="EA37">
        <v>50</v>
      </c>
      <c r="EC37">
        <v>1050</v>
      </c>
      <c r="EE37">
        <v>150</v>
      </c>
      <c r="EI37">
        <v>50</v>
      </c>
      <c r="EU37">
        <v>50</v>
      </c>
      <c r="GM37">
        <f t="shared" si="1"/>
        <v>89913</v>
      </c>
    </row>
    <row r="38" spans="1:195" x14ac:dyDescent="0.25">
      <c r="A38" s="4">
        <f>DATE(2024,6,10)</f>
        <v>45453</v>
      </c>
      <c r="B38">
        <v>331242</v>
      </c>
      <c r="C38">
        <v>7550</v>
      </c>
      <c r="M38">
        <v>1000</v>
      </c>
      <c r="W38">
        <v>2100</v>
      </c>
      <c r="AG38">
        <v>6700</v>
      </c>
      <c r="AM38">
        <v>200</v>
      </c>
      <c r="AQ38">
        <v>7800</v>
      </c>
      <c r="AV38">
        <v>2000</v>
      </c>
      <c r="BA38">
        <v>3295</v>
      </c>
      <c r="BK38">
        <v>12555</v>
      </c>
      <c r="BM38">
        <v>500</v>
      </c>
      <c r="BO38">
        <v>175</v>
      </c>
      <c r="BP38">
        <v>1190</v>
      </c>
      <c r="BS38">
        <v>200</v>
      </c>
      <c r="BU38">
        <v>5825</v>
      </c>
      <c r="BW38">
        <v>250</v>
      </c>
      <c r="BY38">
        <v>250</v>
      </c>
      <c r="CA38">
        <v>300</v>
      </c>
      <c r="CC38">
        <v>350</v>
      </c>
      <c r="CE38">
        <v>12320</v>
      </c>
      <c r="CG38">
        <v>250</v>
      </c>
      <c r="CI38">
        <v>450</v>
      </c>
      <c r="CK38">
        <v>875</v>
      </c>
      <c r="CO38">
        <v>6200</v>
      </c>
      <c r="CS38">
        <v>750</v>
      </c>
      <c r="CU38">
        <v>50</v>
      </c>
      <c r="CW38">
        <v>150</v>
      </c>
      <c r="CY38">
        <v>7700</v>
      </c>
      <c r="DA38">
        <v>100</v>
      </c>
      <c r="DC38">
        <v>525</v>
      </c>
      <c r="DD38">
        <v>10</v>
      </c>
      <c r="DI38">
        <v>2025</v>
      </c>
      <c r="DO38">
        <v>25</v>
      </c>
      <c r="DQ38">
        <v>50</v>
      </c>
      <c r="DS38">
        <v>4488</v>
      </c>
      <c r="DU38">
        <v>50</v>
      </c>
      <c r="DW38">
        <v>250</v>
      </c>
      <c r="EA38">
        <v>50</v>
      </c>
      <c r="EC38">
        <v>1050</v>
      </c>
      <c r="EE38">
        <v>150</v>
      </c>
      <c r="EI38">
        <v>50</v>
      </c>
      <c r="EU38">
        <v>50</v>
      </c>
      <c r="GM38">
        <f t="shared" si="1"/>
        <v>89858</v>
      </c>
    </row>
    <row r="39" spans="1:195" x14ac:dyDescent="0.25">
      <c r="A39" s="4">
        <f>DATE(2024,6,7)</f>
        <v>45450</v>
      </c>
      <c r="B39">
        <v>331118</v>
      </c>
      <c r="C39">
        <v>7550</v>
      </c>
      <c r="M39">
        <v>1000</v>
      </c>
      <c r="W39">
        <v>2100</v>
      </c>
      <c r="AG39">
        <v>6700</v>
      </c>
      <c r="AM39">
        <v>200</v>
      </c>
      <c r="AQ39">
        <v>7800</v>
      </c>
      <c r="AV39">
        <v>2000</v>
      </c>
      <c r="BA39">
        <v>3295</v>
      </c>
      <c r="BK39">
        <v>12780</v>
      </c>
      <c r="BM39">
        <v>500</v>
      </c>
      <c r="BO39">
        <v>175</v>
      </c>
      <c r="BP39">
        <v>1190</v>
      </c>
      <c r="BS39">
        <v>200</v>
      </c>
      <c r="BU39">
        <v>5825</v>
      </c>
      <c r="BW39">
        <v>250</v>
      </c>
      <c r="BY39">
        <v>250</v>
      </c>
      <c r="CA39">
        <v>300</v>
      </c>
      <c r="CC39">
        <v>350</v>
      </c>
      <c r="CE39">
        <v>12320</v>
      </c>
      <c r="CG39">
        <v>250</v>
      </c>
      <c r="CI39">
        <v>450</v>
      </c>
      <c r="CK39">
        <v>875</v>
      </c>
      <c r="CO39">
        <v>6200</v>
      </c>
      <c r="CS39">
        <v>750</v>
      </c>
      <c r="CU39">
        <v>50</v>
      </c>
      <c r="CW39">
        <v>150</v>
      </c>
      <c r="CY39">
        <v>7700</v>
      </c>
      <c r="DA39">
        <v>100</v>
      </c>
      <c r="DC39">
        <v>525</v>
      </c>
      <c r="DD39">
        <v>10</v>
      </c>
      <c r="DI39">
        <v>2025</v>
      </c>
      <c r="DO39">
        <v>25</v>
      </c>
      <c r="DQ39">
        <v>50</v>
      </c>
      <c r="DS39">
        <v>4488</v>
      </c>
      <c r="DU39">
        <v>50</v>
      </c>
      <c r="DW39">
        <v>250</v>
      </c>
      <c r="EA39">
        <v>50</v>
      </c>
      <c r="EC39">
        <v>1050</v>
      </c>
      <c r="EE39">
        <v>150</v>
      </c>
      <c r="EI39">
        <v>50</v>
      </c>
      <c r="EU39">
        <v>50</v>
      </c>
      <c r="GM39">
        <f t="shared" si="1"/>
        <v>90083</v>
      </c>
    </row>
    <row r="40" spans="1:195" x14ac:dyDescent="0.25">
      <c r="A40" s="4">
        <f>DATE(2024,6,6)</f>
        <v>45449</v>
      </c>
      <c r="B40">
        <v>330186</v>
      </c>
      <c r="C40">
        <v>7550</v>
      </c>
      <c r="M40">
        <v>1000</v>
      </c>
      <c r="W40">
        <v>2100</v>
      </c>
      <c r="AG40">
        <v>6700</v>
      </c>
      <c r="AM40">
        <v>200</v>
      </c>
      <c r="AQ40">
        <v>7800</v>
      </c>
      <c r="AV40">
        <v>2000</v>
      </c>
      <c r="BA40">
        <v>3295</v>
      </c>
      <c r="BK40">
        <v>12780</v>
      </c>
      <c r="BM40">
        <v>500</v>
      </c>
      <c r="BO40">
        <v>175</v>
      </c>
      <c r="BP40">
        <v>1190</v>
      </c>
      <c r="BS40">
        <v>200</v>
      </c>
      <c r="BU40">
        <v>5825</v>
      </c>
      <c r="BW40">
        <v>250</v>
      </c>
      <c r="BY40">
        <v>250</v>
      </c>
      <c r="CA40">
        <v>300</v>
      </c>
      <c r="CC40">
        <v>350</v>
      </c>
      <c r="CE40">
        <v>12320</v>
      </c>
      <c r="CG40">
        <v>250</v>
      </c>
      <c r="CI40">
        <v>450</v>
      </c>
      <c r="CK40">
        <v>875</v>
      </c>
      <c r="CO40">
        <v>6200</v>
      </c>
      <c r="CS40">
        <v>750</v>
      </c>
      <c r="CU40">
        <v>50</v>
      </c>
      <c r="CW40">
        <v>150</v>
      </c>
      <c r="CY40">
        <v>7750</v>
      </c>
      <c r="DA40">
        <v>100</v>
      </c>
      <c r="DC40">
        <v>525</v>
      </c>
      <c r="DD40">
        <v>10</v>
      </c>
      <c r="DI40">
        <v>2025</v>
      </c>
      <c r="DO40">
        <v>25</v>
      </c>
      <c r="DQ40">
        <v>50</v>
      </c>
      <c r="DS40">
        <v>4488</v>
      </c>
      <c r="DU40">
        <v>50</v>
      </c>
      <c r="DW40">
        <v>250</v>
      </c>
      <c r="EA40">
        <v>50</v>
      </c>
      <c r="EC40">
        <v>1050</v>
      </c>
      <c r="EE40">
        <v>150</v>
      </c>
      <c r="EI40">
        <v>50</v>
      </c>
      <c r="EU40">
        <v>50</v>
      </c>
      <c r="GM40">
        <f t="shared" si="1"/>
        <v>90133</v>
      </c>
    </row>
    <row r="41" spans="1:195" x14ac:dyDescent="0.25">
      <c r="A41" s="4">
        <f>DATE(2024,6,5)</f>
        <v>45448</v>
      </c>
      <c r="B41">
        <v>330342</v>
      </c>
      <c r="C41">
        <v>7550</v>
      </c>
      <c r="M41">
        <v>1000</v>
      </c>
      <c r="W41">
        <v>2100</v>
      </c>
      <c r="AG41">
        <v>6700</v>
      </c>
      <c r="AM41">
        <v>200</v>
      </c>
      <c r="AQ41">
        <v>7800</v>
      </c>
      <c r="AV41">
        <v>2000</v>
      </c>
      <c r="BA41">
        <v>3295</v>
      </c>
      <c r="BK41">
        <v>12780</v>
      </c>
      <c r="BM41">
        <v>500</v>
      </c>
      <c r="BO41">
        <v>175</v>
      </c>
      <c r="BP41">
        <v>1190</v>
      </c>
      <c r="BS41">
        <v>200</v>
      </c>
      <c r="BU41">
        <v>5725</v>
      </c>
      <c r="BW41">
        <v>250</v>
      </c>
      <c r="BY41">
        <v>250</v>
      </c>
      <c r="CA41">
        <v>300</v>
      </c>
      <c r="CC41">
        <v>350</v>
      </c>
      <c r="CE41">
        <v>12320</v>
      </c>
      <c r="CG41">
        <v>250</v>
      </c>
      <c r="CI41">
        <v>450</v>
      </c>
      <c r="CK41">
        <v>875</v>
      </c>
      <c r="CO41">
        <v>6200</v>
      </c>
      <c r="CS41">
        <v>750</v>
      </c>
      <c r="CU41">
        <v>50</v>
      </c>
      <c r="CW41">
        <v>150</v>
      </c>
      <c r="CY41">
        <v>7500</v>
      </c>
      <c r="DA41">
        <v>100</v>
      </c>
      <c r="DC41">
        <v>525</v>
      </c>
      <c r="DD41">
        <v>10</v>
      </c>
      <c r="DI41">
        <v>2025</v>
      </c>
      <c r="DO41">
        <v>25</v>
      </c>
      <c r="DQ41">
        <v>50</v>
      </c>
      <c r="DS41">
        <v>4488</v>
      </c>
      <c r="DU41">
        <v>50</v>
      </c>
      <c r="DW41">
        <v>250</v>
      </c>
      <c r="EA41">
        <v>50</v>
      </c>
      <c r="EC41">
        <v>1050</v>
      </c>
      <c r="EE41">
        <v>150</v>
      </c>
      <c r="EI41">
        <v>50</v>
      </c>
      <c r="EU41">
        <v>50</v>
      </c>
      <c r="GM41">
        <f t="shared" si="1"/>
        <v>89783</v>
      </c>
    </row>
    <row r="42" spans="1:195" x14ac:dyDescent="0.25">
      <c r="A42" s="4">
        <f>DATE(2024,6,4)</f>
        <v>45447</v>
      </c>
      <c r="B42">
        <v>330000</v>
      </c>
      <c r="C42">
        <v>7550</v>
      </c>
      <c r="M42">
        <v>1000</v>
      </c>
      <c r="W42">
        <v>2100</v>
      </c>
      <c r="AG42">
        <v>6700</v>
      </c>
      <c r="AM42">
        <v>200</v>
      </c>
      <c r="AQ42">
        <v>8000</v>
      </c>
      <c r="AV42">
        <v>2000</v>
      </c>
      <c r="BA42">
        <v>3295</v>
      </c>
      <c r="BK42">
        <v>12930</v>
      </c>
      <c r="BM42">
        <v>500</v>
      </c>
      <c r="BO42">
        <v>175</v>
      </c>
      <c r="BP42">
        <v>1190</v>
      </c>
      <c r="BS42">
        <v>200</v>
      </c>
      <c r="BU42">
        <v>5725</v>
      </c>
      <c r="BW42">
        <v>250</v>
      </c>
      <c r="BY42">
        <v>250</v>
      </c>
      <c r="CA42">
        <v>300</v>
      </c>
      <c r="CC42">
        <v>350</v>
      </c>
      <c r="CE42">
        <v>12180</v>
      </c>
      <c r="CG42">
        <v>250</v>
      </c>
      <c r="CI42">
        <v>450</v>
      </c>
      <c r="CK42">
        <v>875</v>
      </c>
      <c r="CO42">
        <v>6200</v>
      </c>
      <c r="CS42">
        <v>750</v>
      </c>
      <c r="CU42">
        <v>50</v>
      </c>
      <c r="CW42">
        <v>150</v>
      </c>
      <c r="CY42">
        <v>7500</v>
      </c>
      <c r="DA42">
        <v>100</v>
      </c>
      <c r="DC42">
        <v>525</v>
      </c>
      <c r="DD42">
        <v>10</v>
      </c>
      <c r="DI42">
        <v>2025</v>
      </c>
      <c r="DO42">
        <v>25</v>
      </c>
      <c r="DQ42">
        <v>50</v>
      </c>
      <c r="DS42">
        <v>4488</v>
      </c>
      <c r="DU42">
        <v>50</v>
      </c>
      <c r="DW42">
        <v>250</v>
      </c>
      <c r="EA42">
        <v>50</v>
      </c>
      <c r="EC42">
        <v>1050</v>
      </c>
      <c r="EE42">
        <v>150</v>
      </c>
      <c r="EI42">
        <v>50</v>
      </c>
      <c r="EU42">
        <v>50</v>
      </c>
      <c r="GM42">
        <f t="shared" si="1"/>
        <v>89993</v>
      </c>
    </row>
    <row r="43" spans="1:195" x14ac:dyDescent="0.25">
      <c r="A43" s="4">
        <f>DATE(2024,6,3)</f>
        <v>45446</v>
      </c>
      <c r="B43">
        <v>330170</v>
      </c>
      <c r="C43">
        <v>7550</v>
      </c>
      <c r="M43">
        <v>1000</v>
      </c>
      <c r="W43">
        <v>2100</v>
      </c>
      <c r="AG43">
        <v>6700</v>
      </c>
      <c r="AM43">
        <v>200</v>
      </c>
      <c r="AQ43">
        <v>8000</v>
      </c>
      <c r="AV43">
        <v>2000</v>
      </c>
      <c r="BA43">
        <v>3295</v>
      </c>
      <c r="BK43">
        <v>12930</v>
      </c>
      <c r="BM43">
        <v>500</v>
      </c>
      <c r="BO43">
        <v>175</v>
      </c>
      <c r="BP43">
        <v>1190</v>
      </c>
      <c r="BS43">
        <v>200</v>
      </c>
      <c r="BU43">
        <v>5725</v>
      </c>
      <c r="BW43">
        <v>250</v>
      </c>
      <c r="BY43">
        <v>250</v>
      </c>
      <c r="CA43">
        <v>300</v>
      </c>
      <c r="CC43">
        <v>350</v>
      </c>
      <c r="CE43">
        <v>12170</v>
      </c>
      <c r="CG43">
        <v>250</v>
      </c>
      <c r="CI43">
        <v>450</v>
      </c>
      <c r="CK43">
        <v>875</v>
      </c>
      <c r="CO43">
        <v>6200</v>
      </c>
      <c r="CS43">
        <v>750</v>
      </c>
      <c r="CU43">
        <v>50</v>
      </c>
      <c r="CW43">
        <v>150</v>
      </c>
      <c r="CY43">
        <v>7500</v>
      </c>
      <c r="DA43">
        <v>100</v>
      </c>
      <c r="DC43">
        <v>525</v>
      </c>
      <c r="DD43">
        <v>10</v>
      </c>
      <c r="DI43">
        <v>2025</v>
      </c>
      <c r="DO43">
        <v>25</v>
      </c>
      <c r="DQ43">
        <v>50</v>
      </c>
      <c r="DS43">
        <v>4488</v>
      </c>
      <c r="DU43">
        <v>50</v>
      </c>
      <c r="DW43">
        <v>250</v>
      </c>
      <c r="EA43">
        <v>50</v>
      </c>
      <c r="EC43">
        <v>1050</v>
      </c>
      <c r="EE43">
        <v>150</v>
      </c>
      <c r="EI43">
        <v>50</v>
      </c>
      <c r="EU43">
        <v>50</v>
      </c>
      <c r="GM43">
        <f t="shared" si="1"/>
        <v>89983</v>
      </c>
    </row>
    <row r="44" spans="1:195" x14ac:dyDescent="0.25">
      <c r="A44" s="4">
        <f>DATE(2024,5,31)</f>
        <v>45443</v>
      </c>
      <c r="B44">
        <v>329627</v>
      </c>
      <c r="C44">
        <v>7550</v>
      </c>
      <c r="M44">
        <v>1000</v>
      </c>
      <c r="W44">
        <v>2100</v>
      </c>
      <c r="AG44">
        <v>6700</v>
      </c>
      <c r="AM44">
        <v>200</v>
      </c>
      <c r="AQ44">
        <v>8000</v>
      </c>
      <c r="AV44">
        <v>2000</v>
      </c>
      <c r="BA44">
        <v>3295</v>
      </c>
      <c r="BK44">
        <v>12130</v>
      </c>
      <c r="BM44">
        <v>500</v>
      </c>
      <c r="BO44">
        <v>175</v>
      </c>
      <c r="BP44">
        <v>1190</v>
      </c>
      <c r="BS44">
        <v>200</v>
      </c>
      <c r="BU44">
        <v>5725</v>
      </c>
      <c r="BW44">
        <v>250</v>
      </c>
      <c r="BY44">
        <v>250</v>
      </c>
      <c r="CA44">
        <v>300</v>
      </c>
      <c r="CC44">
        <v>350</v>
      </c>
      <c r="CE44">
        <v>12170</v>
      </c>
      <c r="CG44">
        <v>250</v>
      </c>
      <c r="CI44">
        <v>450</v>
      </c>
      <c r="CK44">
        <v>875</v>
      </c>
      <c r="CO44">
        <v>6200</v>
      </c>
      <c r="CS44">
        <v>750</v>
      </c>
      <c r="CU44">
        <v>50</v>
      </c>
      <c r="CW44">
        <v>150</v>
      </c>
      <c r="CY44">
        <v>7500</v>
      </c>
      <c r="DA44">
        <v>100</v>
      </c>
      <c r="DC44">
        <v>525</v>
      </c>
      <c r="DD44">
        <v>10</v>
      </c>
      <c r="DI44">
        <v>2025</v>
      </c>
      <c r="DO44">
        <v>25</v>
      </c>
      <c r="DQ44">
        <v>50</v>
      </c>
      <c r="DS44">
        <v>4488</v>
      </c>
      <c r="DU44">
        <v>50</v>
      </c>
      <c r="DW44">
        <v>250</v>
      </c>
      <c r="EA44">
        <v>50</v>
      </c>
      <c r="EC44">
        <v>1050</v>
      </c>
      <c r="EE44">
        <v>150</v>
      </c>
      <c r="EI44">
        <v>50</v>
      </c>
      <c r="EU44">
        <v>50</v>
      </c>
      <c r="GM44">
        <f t="shared" si="1"/>
        <v>89183</v>
      </c>
    </row>
    <row r="45" spans="1:195" x14ac:dyDescent="0.25">
      <c r="A45" s="4">
        <f>DATE(2024,5,30)</f>
        <v>45442</v>
      </c>
      <c r="B45">
        <v>329425</v>
      </c>
      <c r="C45">
        <v>7550</v>
      </c>
      <c r="M45">
        <v>1000</v>
      </c>
      <c r="W45">
        <v>2100</v>
      </c>
      <c r="AG45">
        <v>6700</v>
      </c>
      <c r="AM45">
        <v>200</v>
      </c>
      <c r="AQ45">
        <v>8500</v>
      </c>
      <c r="AV45">
        <v>2000</v>
      </c>
      <c r="BA45">
        <v>3295</v>
      </c>
      <c r="BK45">
        <v>11630</v>
      </c>
      <c r="BM45">
        <v>500</v>
      </c>
      <c r="BO45">
        <v>175</v>
      </c>
      <c r="BP45">
        <v>1190</v>
      </c>
      <c r="BS45">
        <v>200</v>
      </c>
      <c r="BU45">
        <v>5425</v>
      </c>
      <c r="BW45">
        <v>250</v>
      </c>
      <c r="BY45">
        <v>250</v>
      </c>
      <c r="CA45">
        <v>300</v>
      </c>
      <c r="CC45">
        <v>350</v>
      </c>
      <c r="CE45">
        <v>12170</v>
      </c>
      <c r="CG45">
        <v>250</v>
      </c>
      <c r="CI45">
        <v>450</v>
      </c>
      <c r="CK45">
        <v>875</v>
      </c>
      <c r="CO45">
        <v>6200</v>
      </c>
      <c r="CS45">
        <v>750</v>
      </c>
      <c r="CU45">
        <v>50</v>
      </c>
      <c r="CW45">
        <v>150</v>
      </c>
      <c r="CY45">
        <v>7500</v>
      </c>
      <c r="DA45">
        <v>100</v>
      </c>
      <c r="DC45">
        <v>525</v>
      </c>
      <c r="DD45">
        <v>10</v>
      </c>
      <c r="DI45">
        <v>2025</v>
      </c>
      <c r="DO45">
        <v>25</v>
      </c>
      <c r="DQ45">
        <v>50</v>
      </c>
      <c r="DS45">
        <v>4488</v>
      </c>
      <c r="DU45">
        <v>50</v>
      </c>
      <c r="DW45">
        <v>250</v>
      </c>
      <c r="EA45">
        <v>50</v>
      </c>
      <c r="EC45">
        <v>1050</v>
      </c>
      <c r="EE45">
        <v>150</v>
      </c>
      <c r="EI45">
        <v>50</v>
      </c>
      <c r="EU45">
        <v>50</v>
      </c>
      <c r="GM45">
        <f t="shared" si="1"/>
        <v>88883</v>
      </c>
    </row>
    <row r="46" spans="1:195" x14ac:dyDescent="0.25">
      <c r="A46" s="4">
        <f>DATE(2024,5,29)</f>
        <v>45441</v>
      </c>
      <c r="B46">
        <v>329544</v>
      </c>
      <c r="C46">
        <v>7550</v>
      </c>
      <c r="M46">
        <v>1000</v>
      </c>
      <c r="W46">
        <v>2100</v>
      </c>
      <c r="AG46">
        <v>6700</v>
      </c>
      <c r="AM46">
        <v>200</v>
      </c>
      <c r="AQ46">
        <v>8500</v>
      </c>
      <c r="AV46">
        <v>2000</v>
      </c>
      <c r="BA46">
        <v>3295</v>
      </c>
      <c r="BK46">
        <v>11630</v>
      </c>
      <c r="BM46">
        <v>500</v>
      </c>
      <c r="BO46">
        <v>175</v>
      </c>
      <c r="BP46">
        <v>1190</v>
      </c>
      <c r="BS46">
        <v>200</v>
      </c>
      <c r="BU46">
        <v>5425</v>
      </c>
      <c r="BW46">
        <v>250</v>
      </c>
      <c r="BY46">
        <v>250</v>
      </c>
      <c r="CA46">
        <v>300</v>
      </c>
      <c r="CC46">
        <v>350</v>
      </c>
      <c r="CE46">
        <v>11970</v>
      </c>
      <c r="CG46">
        <v>250</v>
      </c>
      <c r="CI46">
        <v>450</v>
      </c>
      <c r="CK46">
        <v>875</v>
      </c>
      <c r="CO46">
        <v>6200</v>
      </c>
      <c r="CS46">
        <v>750</v>
      </c>
      <c r="CU46">
        <v>50</v>
      </c>
      <c r="CW46">
        <v>150</v>
      </c>
      <c r="CY46">
        <v>7500</v>
      </c>
      <c r="DA46">
        <v>100</v>
      </c>
      <c r="DC46">
        <v>525</v>
      </c>
      <c r="DD46">
        <v>10</v>
      </c>
      <c r="DI46">
        <v>2025</v>
      </c>
      <c r="DO46">
        <v>25</v>
      </c>
      <c r="DQ46">
        <v>50</v>
      </c>
      <c r="DS46">
        <v>4488</v>
      </c>
      <c r="DU46">
        <v>50</v>
      </c>
      <c r="DW46">
        <v>250</v>
      </c>
      <c r="EA46">
        <v>50</v>
      </c>
      <c r="EC46">
        <v>1050</v>
      </c>
      <c r="EE46">
        <v>150</v>
      </c>
      <c r="EI46">
        <v>50</v>
      </c>
      <c r="EU46">
        <v>50</v>
      </c>
      <c r="GM46">
        <f t="shared" si="1"/>
        <v>88683</v>
      </c>
    </row>
    <row r="47" spans="1:195" x14ac:dyDescent="0.25">
      <c r="A47" s="4">
        <f>DATE(2024,5,28)</f>
        <v>45440</v>
      </c>
      <c r="B47">
        <v>329293</v>
      </c>
      <c r="C47">
        <v>7550</v>
      </c>
      <c r="M47">
        <v>1000</v>
      </c>
      <c r="W47">
        <v>2100</v>
      </c>
      <c r="AG47">
        <v>6700</v>
      </c>
      <c r="AM47">
        <v>200</v>
      </c>
      <c r="AQ47">
        <v>8500</v>
      </c>
      <c r="AV47">
        <v>2000</v>
      </c>
      <c r="BA47">
        <v>3295</v>
      </c>
      <c r="BK47">
        <v>11530</v>
      </c>
      <c r="BM47">
        <v>500</v>
      </c>
      <c r="BO47">
        <v>175</v>
      </c>
      <c r="BP47">
        <v>1190</v>
      </c>
      <c r="BS47">
        <v>200</v>
      </c>
      <c r="BU47">
        <v>5375</v>
      </c>
      <c r="BW47">
        <v>250</v>
      </c>
      <c r="BY47">
        <v>250</v>
      </c>
      <c r="CA47">
        <v>300</v>
      </c>
      <c r="CC47">
        <v>350</v>
      </c>
      <c r="CE47">
        <v>11970</v>
      </c>
      <c r="CG47">
        <v>250</v>
      </c>
      <c r="CI47">
        <v>450</v>
      </c>
      <c r="CK47">
        <v>875</v>
      </c>
      <c r="CO47">
        <v>6200</v>
      </c>
      <c r="CS47">
        <v>750</v>
      </c>
      <c r="CU47">
        <v>50</v>
      </c>
      <c r="CW47">
        <v>150</v>
      </c>
      <c r="CY47">
        <v>7475</v>
      </c>
      <c r="DA47">
        <v>100</v>
      </c>
      <c r="DC47">
        <v>525</v>
      </c>
      <c r="DD47">
        <v>10</v>
      </c>
      <c r="DI47">
        <v>1925</v>
      </c>
      <c r="DO47">
        <v>25</v>
      </c>
      <c r="DQ47">
        <v>50</v>
      </c>
      <c r="DS47">
        <v>4488</v>
      </c>
      <c r="DU47">
        <v>50</v>
      </c>
      <c r="DW47">
        <v>250</v>
      </c>
      <c r="EA47">
        <v>50</v>
      </c>
      <c r="EC47">
        <v>1050</v>
      </c>
      <c r="EE47">
        <v>150</v>
      </c>
      <c r="EI47">
        <v>50</v>
      </c>
      <c r="EU47">
        <v>50</v>
      </c>
      <c r="GM47">
        <f t="shared" si="1"/>
        <v>88408</v>
      </c>
    </row>
    <row r="48" spans="1:195" x14ac:dyDescent="0.25">
      <c r="A48" s="4">
        <f>DATE(2024,5,27)</f>
        <v>45439</v>
      </c>
      <c r="B48">
        <v>326832</v>
      </c>
      <c r="C48">
        <v>7550</v>
      </c>
      <c r="M48">
        <v>1000</v>
      </c>
      <c r="W48">
        <v>2100</v>
      </c>
      <c r="AG48">
        <v>6700</v>
      </c>
      <c r="AM48">
        <v>200</v>
      </c>
      <c r="AQ48">
        <v>8500</v>
      </c>
      <c r="AV48">
        <v>2000</v>
      </c>
      <c r="BA48">
        <v>3295</v>
      </c>
      <c r="BK48">
        <v>11530</v>
      </c>
      <c r="BM48">
        <v>500</v>
      </c>
      <c r="BO48">
        <v>175</v>
      </c>
      <c r="BP48">
        <v>1190</v>
      </c>
      <c r="BS48">
        <v>200</v>
      </c>
      <c r="BU48">
        <v>5375</v>
      </c>
      <c r="BW48">
        <v>250</v>
      </c>
      <c r="BY48">
        <v>250</v>
      </c>
      <c r="CA48">
        <v>300</v>
      </c>
      <c r="CC48">
        <v>350</v>
      </c>
      <c r="CE48">
        <v>11970</v>
      </c>
      <c r="CG48">
        <v>250</v>
      </c>
      <c r="CI48">
        <v>450</v>
      </c>
      <c r="CK48">
        <v>875</v>
      </c>
      <c r="CO48">
        <v>6200</v>
      </c>
      <c r="CS48">
        <v>750</v>
      </c>
      <c r="CU48">
        <v>50</v>
      </c>
      <c r="CW48">
        <v>150</v>
      </c>
      <c r="CY48">
        <v>7475</v>
      </c>
      <c r="DA48">
        <v>100</v>
      </c>
      <c r="DC48">
        <v>525</v>
      </c>
      <c r="DD48">
        <v>10</v>
      </c>
      <c r="DI48">
        <v>1825</v>
      </c>
      <c r="DO48">
        <v>25</v>
      </c>
      <c r="DQ48">
        <v>50</v>
      </c>
      <c r="DS48">
        <v>4488</v>
      </c>
      <c r="DU48">
        <v>50</v>
      </c>
      <c r="DW48">
        <v>250</v>
      </c>
      <c r="EA48">
        <v>50</v>
      </c>
      <c r="EC48">
        <v>1050</v>
      </c>
      <c r="EE48">
        <v>150</v>
      </c>
      <c r="EI48">
        <v>50</v>
      </c>
      <c r="EU48">
        <v>50</v>
      </c>
      <c r="GM48">
        <f t="shared" si="1"/>
        <v>88308</v>
      </c>
    </row>
    <row r="49" spans="1:195" x14ac:dyDescent="0.25">
      <c r="A49" s="4">
        <f>DATE(2024,5,24)</f>
        <v>45436</v>
      </c>
      <c r="B49">
        <v>326226</v>
      </c>
      <c r="C49">
        <v>7550</v>
      </c>
      <c r="M49">
        <v>1000</v>
      </c>
      <c r="W49">
        <v>2100</v>
      </c>
      <c r="AG49">
        <v>6700</v>
      </c>
      <c r="AM49">
        <v>200</v>
      </c>
      <c r="AQ49">
        <v>8500</v>
      </c>
      <c r="AV49">
        <v>2000</v>
      </c>
      <c r="BA49">
        <v>3295</v>
      </c>
      <c r="BK49">
        <v>11530</v>
      </c>
      <c r="BM49">
        <v>500</v>
      </c>
      <c r="BO49">
        <v>175</v>
      </c>
      <c r="BP49">
        <v>1190</v>
      </c>
      <c r="BS49">
        <v>200</v>
      </c>
      <c r="BU49">
        <v>5375</v>
      </c>
      <c r="BW49">
        <v>250</v>
      </c>
      <c r="BY49">
        <v>250</v>
      </c>
      <c r="CA49">
        <v>300</v>
      </c>
      <c r="CC49">
        <v>350</v>
      </c>
      <c r="CE49">
        <v>11970</v>
      </c>
      <c r="CG49">
        <v>250</v>
      </c>
      <c r="CI49">
        <v>450</v>
      </c>
      <c r="CK49">
        <v>875</v>
      </c>
      <c r="CO49">
        <v>6200</v>
      </c>
      <c r="CS49">
        <v>750</v>
      </c>
      <c r="CU49">
        <v>50</v>
      </c>
      <c r="CW49">
        <v>150</v>
      </c>
      <c r="CY49">
        <v>7450</v>
      </c>
      <c r="DA49">
        <v>100</v>
      </c>
      <c r="DC49">
        <v>525</v>
      </c>
      <c r="DD49">
        <v>10</v>
      </c>
      <c r="DI49">
        <v>1825</v>
      </c>
      <c r="DO49">
        <v>25</v>
      </c>
      <c r="DQ49">
        <v>50</v>
      </c>
      <c r="DS49">
        <v>4488</v>
      </c>
      <c r="DU49">
        <v>50</v>
      </c>
      <c r="DW49">
        <v>250</v>
      </c>
      <c r="EA49">
        <v>50</v>
      </c>
      <c r="EC49">
        <v>1050</v>
      </c>
      <c r="EE49">
        <v>150</v>
      </c>
      <c r="EI49">
        <v>50</v>
      </c>
      <c r="EU49">
        <v>50</v>
      </c>
      <c r="GM49">
        <f t="shared" si="1"/>
        <v>88283</v>
      </c>
    </row>
    <row r="50" spans="1:195" x14ac:dyDescent="0.25">
      <c r="A50" s="4">
        <f>DATE(2024,5,23)</f>
        <v>45435</v>
      </c>
      <c r="B50">
        <v>326314</v>
      </c>
      <c r="C50">
        <v>7550</v>
      </c>
      <c r="M50">
        <v>1000</v>
      </c>
      <c r="W50">
        <v>2100</v>
      </c>
      <c r="AG50">
        <v>6700</v>
      </c>
      <c r="AM50">
        <v>200</v>
      </c>
      <c r="AQ50">
        <v>8000</v>
      </c>
      <c r="AV50">
        <v>2000</v>
      </c>
      <c r="BA50">
        <v>3295</v>
      </c>
      <c r="BK50">
        <v>10530</v>
      </c>
      <c r="BM50">
        <v>500</v>
      </c>
      <c r="BO50">
        <v>175</v>
      </c>
      <c r="BP50">
        <v>1190</v>
      </c>
      <c r="BS50">
        <v>200</v>
      </c>
      <c r="BU50">
        <v>5375</v>
      </c>
      <c r="BW50">
        <v>250</v>
      </c>
      <c r="BY50">
        <v>250</v>
      </c>
      <c r="CA50">
        <v>300</v>
      </c>
      <c r="CC50">
        <v>350</v>
      </c>
      <c r="CE50">
        <v>9585</v>
      </c>
      <c r="CG50">
        <v>250</v>
      </c>
      <c r="CI50">
        <v>450</v>
      </c>
      <c r="CK50">
        <v>550</v>
      </c>
      <c r="CO50">
        <v>5850</v>
      </c>
      <c r="CS50">
        <v>750</v>
      </c>
      <c r="CU50">
        <v>50</v>
      </c>
      <c r="CW50">
        <v>150</v>
      </c>
      <c r="CY50">
        <v>7450</v>
      </c>
      <c r="DA50">
        <v>100</v>
      </c>
      <c r="DC50">
        <v>525</v>
      </c>
      <c r="DD50">
        <v>10</v>
      </c>
      <c r="DI50">
        <v>1825</v>
      </c>
      <c r="DO50">
        <v>25</v>
      </c>
      <c r="DQ50">
        <v>50</v>
      </c>
      <c r="DS50">
        <v>2488</v>
      </c>
      <c r="DU50">
        <v>50</v>
      </c>
      <c r="DW50">
        <v>250</v>
      </c>
      <c r="EA50">
        <v>50</v>
      </c>
      <c r="EC50">
        <v>1050</v>
      </c>
      <c r="EE50">
        <v>150</v>
      </c>
      <c r="EI50">
        <v>50</v>
      </c>
      <c r="EU50">
        <v>50</v>
      </c>
      <c r="GM50">
        <f t="shared" si="1"/>
        <v>81723</v>
      </c>
    </row>
    <row r="51" spans="1:195" x14ac:dyDescent="0.25">
      <c r="A51" s="4">
        <f>DATE(2024,5,22)</f>
        <v>45434</v>
      </c>
      <c r="B51">
        <v>325224</v>
      </c>
      <c r="C51">
        <v>7550</v>
      </c>
      <c r="M51">
        <v>1000</v>
      </c>
      <c r="W51">
        <v>2100</v>
      </c>
      <c r="AG51">
        <v>7200</v>
      </c>
      <c r="AM51">
        <v>200</v>
      </c>
      <c r="AQ51">
        <v>7850</v>
      </c>
      <c r="AV51">
        <v>2000</v>
      </c>
      <c r="BA51">
        <v>3295</v>
      </c>
      <c r="BK51">
        <v>10555</v>
      </c>
      <c r="BM51">
        <v>500</v>
      </c>
      <c r="BO51">
        <v>175</v>
      </c>
      <c r="BP51">
        <v>1190</v>
      </c>
      <c r="BS51">
        <v>200</v>
      </c>
      <c r="BU51">
        <v>5375</v>
      </c>
      <c r="BW51">
        <v>250</v>
      </c>
      <c r="BY51">
        <v>250</v>
      </c>
      <c r="CA51">
        <v>300</v>
      </c>
      <c r="CC51">
        <v>350</v>
      </c>
      <c r="CE51">
        <v>9110</v>
      </c>
      <c r="CG51">
        <v>250</v>
      </c>
      <c r="CI51">
        <v>450</v>
      </c>
      <c r="CK51">
        <v>550</v>
      </c>
      <c r="CO51">
        <v>5850</v>
      </c>
      <c r="CS51">
        <v>750</v>
      </c>
      <c r="CU51">
        <v>50</v>
      </c>
      <c r="CW51">
        <v>150</v>
      </c>
      <c r="CY51">
        <v>7300</v>
      </c>
      <c r="DA51">
        <v>100</v>
      </c>
      <c r="DC51">
        <v>525</v>
      </c>
      <c r="DD51">
        <v>10</v>
      </c>
      <c r="DI51">
        <v>1825</v>
      </c>
      <c r="DO51">
        <v>25</v>
      </c>
      <c r="DQ51">
        <v>50</v>
      </c>
      <c r="DS51">
        <v>2488</v>
      </c>
      <c r="DU51">
        <v>50</v>
      </c>
      <c r="DW51">
        <v>250</v>
      </c>
      <c r="EA51">
        <v>50</v>
      </c>
      <c r="EC51">
        <v>1050</v>
      </c>
      <c r="EE51">
        <v>150</v>
      </c>
      <c r="EI51">
        <v>50</v>
      </c>
      <c r="EU51">
        <v>50</v>
      </c>
      <c r="GM51">
        <f t="shared" si="1"/>
        <v>81473</v>
      </c>
    </row>
    <row r="52" spans="1:195" x14ac:dyDescent="0.25">
      <c r="A52" s="4">
        <f>DATE(2024,5,21)</f>
        <v>45433</v>
      </c>
      <c r="B52">
        <v>325214</v>
      </c>
      <c r="C52">
        <v>7550</v>
      </c>
      <c r="M52">
        <v>1000</v>
      </c>
      <c r="W52">
        <v>2100</v>
      </c>
      <c r="AG52">
        <v>7200</v>
      </c>
      <c r="AM52">
        <v>200</v>
      </c>
      <c r="AQ52">
        <v>7850</v>
      </c>
      <c r="AV52">
        <v>2000</v>
      </c>
      <c r="BA52">
        <v>3295</v>
      </c>
      <c r="BK52">
        <v>10555</v>
      </c>
      <c r="BM52">
        <v>500</v>
      </c>
      <c r="BO52">
        <v>175</v>
      </c>
      <c r="BP52">
        <v>1190</v>
      </c>
      <c r="BS52">
        <v>200</v>
      </c>
      <c r="BU52">
        <v>5375</v>
      </c>
      <c r="BW52">
        <v>250</v>
      </c>
      <c r="BY52">
        <v>250</v>
      </c>
      <c r="CA52">
        <v>300</v>
      </c>
      <c r="CC52">
        <v>392</v>
      </c>
      <c r="CE52">
        <v>9110</v>
      </c>
      <c r="CG52">
        <v>250</v>
      </c>
      <c r="CI52">
        <v>150</v>
      </c>
      <c r="CK52">
        <v>550</v>
      </c>
      <c r="CO52">
        <v>5350</v>
      </c>
      <c r="CS52">
        <v>750</v>
      </c>
      <c r="CU52">
        <v>50</v>
      </c>
      <c r="CW52">
        <v>150</v>
      </c>
      <c r="CY52">
        <v>7300</v>
      </c>
      <c r="DA52">
        <v>100</v>
      </c>
      <c r="DC52">
        <v>525</v>
      </c>
      <c r="DD52">
        <v>10</v>
      </c>
      <c r="DI52">
        <v>1825</v>
      </c>
      <c r="DO52">
        <v>25</v>
      </c>
      <c r="DQ52">
        <v>50</v>
      </c>
      <c r="DS52">
        <v>2488</v>
      </c>
      <c r="DU52">
        <v>50</v>
      </c>
      <c r="DW52">
        <v>250</v>
      </c>
      <c r="EA52">
        <v>50</v>
      </c>
      <c r="EC52">
        <v>1050</v>
      </c>
      <c r="EE52">
        <v>150</v>
      </c>
      <c r="EI52">
        <v>50</v>
      </c>
      <c r="EU52">
        <v>50</v>
      </c>
      <c r="GM52">
        <f t="shared" si="1"/>
        <v>80715</v>
      </c>
    </row>
    <row r="53" spans="1:195" x14ac:dyDescent="0.25">
      <c r="A53" s="4">
        <f>DATE(2024,5,20)</f>
        <v>45432</v>
      </c>
      <c r="B53">
        <v>323298</v>
      </c>
      <c r="C53">
        <v>7550</v>
      </c>
      <c r="M53">
        <v>1000</v>
      </c>
      <c r="W53">
        <v>2100</v>
      </c>
      <c r="AG53">
        <v>7200</v>
      </c>
      <c r="AM53">
        <v>200</v>
      </c>
      <c r="AQ53">
        <v>7850</v>
      </c>
      <c r="AV53">
        <v>2000</v>
      </c>
      <c r="BA53">
        <v>3295</v>
      </c>
      <c r="BK53">
        <v>10555</v>
      </c>
      <c r="BM53">
        <v>500</v>
      </c>
      <c r="BO53">
        <v>175</v>
      </c>
      <c r="BP53">
        <v>1190</v>
      </c>
      <c r="BS53">
        <v>200</v>
      </c>
      <c r="BU53">
        <v>5375</v>
      </c>
      <c r="BW53">
        <v>250</v>
      </c>
      <c r="BY53">
        <v>250</v>
      </c>
      <c r="CA53">
        <v>300</v>
      </c>
      <c r="CC53">
        <v>392</v>
      </c>
      <c r="CE53">
        <v>9110</v>
      </c>
      <c r="CG53">
        <v>250</v>
      </c>
      <c r="CI53">
        <v>150</v>
      </c>
      <c r="CK53">
        <v>550</v>
      </c>
      <c r="CO53">
        <v>5350</v>
      </c>
      <c r="CS53">
        <v>750</v>
      </c>
      <c r="CU53">
        <v>50</v>
      </c>
      <c r="CW53">
        <v>150</v>
      </c>
      <c r="CY53">
        <v>7300</v>
      </c>
      <c r="DA53">
        <v>100</v>
      </c>
      <c r="DC53">
        <v>100</v>
      </c>
      <c r="DD53">
        <v>10</v>
      </c>
      <c r="DI53">
        <v>1825</v>
      </c>
      <c r="DO53">
        <v>25</v>
      </c>
      <c r="DQ53">
        <v>50</v>
      </c>
      <c r="DS53">
        <v>2488</v>
      </c>
      <c r="DU53">
        <v>50</v>
      </c>
      <c r="DW53">
        <v>250</v>
      </c>
      <c r="EA53">
        <v>50</v>
      </c>
      <c r="EC53">
        <v>1050</v>
      </c>
      <c r="EE53">
        <v>150</v>
      </c>
      <c r="EI53">
        <v>50</v>
      </c>
      <c r="EU53">
        <v>50</v>
      </c>
      <c r="GM53">
        <f t="shared" si="1"/>
        <v>80290</v>
      </c>
    </row>
    <row r="54" spans="1:195" x14ac:dyDescent="0.25">
      <c r="A54" s="4">
        <f>DATE(2024,5,17)</f>
        <v>45429</v>
      </c>
      <c r="B54">
        <v>322522</v>
      </c>
      <c r="C54">
        <v>7550</v>
      </c>
      <c r="M54">
        <v>1000</v>
      </c>
      <c r="W54">
        <v>2100</v>
      </c>
      <c r="AG54">
        <v>7200</v>
      </c>
      <c r="AM54">
        <v>200</v>
      </c>
      <c r="AQ54">
        <v>7850</v>
      </c>
      <c r="AV54">
        <v>2000</v>
      </c>
      <c r="BA54">
        <v>3295</v>
      </c>
      <c r="BK54">
        <v>10555</v>
      </c>
      <c r="BM54">
        <v>500</v>
      </c>
      <c r="BO54">
        <v>175</v>
      </c>
      <c r="BP54">
        <v>1190</v>
      </c>
      <c r="BS54">
        <v>200</v>
      </c>
      <c r="BU54">
        <v>5375</v>
      </c>
      <c r="BW54">
        <v>250</v>
      </c>
      <c r="BY54">
        <v>250</v>
      </c>
      <c r="CA54">
        <v>300</v>
      </c>
      <c r="CC54">
        <v>392</v>
      </c>
      <c r="CE54">
        <v>8710</v>
      </c>
      <c r="CG54">
        <v>250</v>
      </c>
      <c r="CI54">
        <v>150</v>
      </c>
      <c r="CK54">
        <v>550</v>
      </c>
      <c r="CO54">
        <v>5350</v>
      </c>
      <c r="CS54">
        <v>750</v>
      </c>
      <c r="CU54">
        <v>50</v>
      </c>
      <c r="CW54">
        <v>150</v>
      </c>
      <c r="CY54">
        <v>7300</v>
      </c>
      <c r="DA54">
        <v>100</v>
      </c>
      <c r="DC54">
        <v>100</v>
      </c>
      <c r="DD54">
        <v>10</v>
      </c>
      <c r="DI54">
        <v>1825</v>
      </c>
      <c r="DO54">
        <v>25</v>
      </c>
      <c r="DQ54">
        <v>50</v>
      </c>
      <c r="DS54">
        <v>2488</v>
      </c>
      <c r="DU54">
        <v>50</v>
      </c>
      <c r="DW54">
        <v>250</v>
      </c>
      <c r="EA54">
        <v>50</v>
      </c>
      <c r="EC54">
        <v>1050</v>
      </c>
      <c r="EE54">
        <v>150</v>
      </c>
      <c r="EI54">
        <v>50</v>
      </c>
      <c r="EU54">
        <v>50</v>
      </c>
      <c r="GM54">
        <f t="shared" si="1"/>
        <v>79890</v>
      </c>
    </row>
    <row r="55" spans="1:195" x14ac:dyDescent="0.25">
      <c r="A55" s="4">
        <f>DATE(2024,5,16)</f>
        <v>45428</v>
      </c>
      <c r="B55">
        <v>321366</v>
      </c>
      <c r="C55">
        <v>7550</v>
      </c>
      <c r="M55">
        <v>1000</v>
      </c>
      <c r="W55">
        <v>2100</v>
      </c>
      <c r="AG55">
        <v>6200</v>
      </c>
      <c r="AM55">
        <v>200</v>
      </c>
      <c r="AQ55">
        <v>7850</v>
      </c>
      <c r="AV55">
        <v>2000</v>
      </c>
      <c r="BA55">
        <v>3295</v>
      </c>
      <c r="BK55">
        <v>10500</v>
      </c>
      <c r="BM55">
        <v>500</v>
      </c>
      <c r="BO55">
        <v>175</v>
      </c>
      <c r="BP55">
        <v>1190</v>
      </c>
      <c r="BS55">
        <v>200</v>
      </c>
      <c r="BU55">
        <v>5375</v>
      </c>
      <c r="BW55">
        <v>250</v>
      </c>
      <c r="BY55">
        <v>250</v>
      </c>
      <c r="CA55">
        <v>300</v>
      </c>
      <c r="CC55">
        <v>392</v>
      </c>
      <c r="CE55">
        <v>8710</v>
      </c>
      <c r="CG55">
        <v>250</v>
      </c>
      <c r="CI55">
        <v>150</v>
      </c>
      <c r="CK55">
        <v>550</v>
      </c>
      <c r="CO55">
        <v>5350</v>
      </c>
      <c r="CS55">
        <v>750</v>
      </c>
      <c r="CU55">
        <v>50</v>
      </c>
      <c r="CW55">
        <v>150</v>
      </c>
      <c r="CY55">
        <v>7300</v>
      </c>
      <c r="DA55">
        <v>100</v>
      </c>
      <c r="DC55">
        <v>100</v>
      </c>
      <c r="DD55">
        <v>10</v>
      </c>
      <c r="DI55">
        <v>1825</v>
      </c>
      <c r="DO55">
        <v>25</v>
      </c>
      <c r="DQ55">
        <v>50</v>
      </c>
      <c r="DS55">
        <v>2488</v>
      </c>
      <c r="DU55">
        <v>50</v>
      </c>
      <c r="DW55">
        <v>250</v>
      </c>
      <c r="EA55">
        <v>50</v>
      </c>
      <c r="EC55">
        <v>1050</v>
      </c>
      <c r="EE55">
        <v>150</v>
      </c>
      <c r="EI55">
        <v>50</v>
      </c>
      <c r="EU55">
        <v>50</v>
      </c>
      <c r="GM55">
        <f t="shared" si="1"/>
        <v>78835</v>
      </c>
    </row>
    <row r="56" spans="1:195" x14ac:dyDescent="0.25">
      <c r="A56" s="4">
        <f>DATE(2024,5,15)</f>
        <v>45427</v>
      </c>
      <c r="B56">
        <v>318191</v>
      </c>
      <c r="C56">
        <v>7550</v>
      </c>
      <c r="M56">
        <v>1000</v>
      </c>
      <c r="W56">
        <v>2100</v>
      </c>
      <c r="AG56">
        <v>6200</v>
      </c>
      <c r="AM56">
        <v>200</v>
      </c>
      <c r="AQ56">
        <v>7900</v>
      </c>
      <c r="AV56">
        <v>2000</v>
      </c>
      <c r="BA56">
        <v>3295</v>
      </c>
      <c r="BK56">
        <v>10500</v>
      </c>
      <c r="BM56">
        <v>500</v>
      </c>
      <c r="BO56">
        <v>175</v>
      </c>
      <c r="BP56">
        <v>1190</v>
      </c>
      <c r="BS56">
        <v>200</v>
      </c>
      <c r="BU56">
        <v>5375</v>
      </c>
      <c r="BW56">
        <v>250</v>
      </c>
      <c r="BY56">
        <v>250</v>
      </c>
      <c r="CA56">
        <v>300</v>
      </c>
      <c r="CC56">
        <v>392</v>
      </c>
      <c r="CE56">
        <v>8710</v>
      </c>
      <c r="CG56">
        <v>250</v>
      </c>
      <c r="CI56">
        <v>150</v>
      </c>
      <c r="CK56">
        <v>550</v>
      </c>
      <c r="CO56">
        <v>5350</v>
      </c>
      <c r="CS56">
        <v>750</v>
      </c>
      <c r="CU56">
        <v>50</v>
      </c>
      <c r="CW56">
        <v>150</v>
      </c>
      <c r="CY56">
        <v>7300</v>
      </c>
      <c r="DA56">
        <v>100</v>
      </c>
      <c r="DC56">
        <v>100</v>
      </c>
      <c r="DD56">
        <v>10</v>
      </c>
      <c r="DI56">
        <v>1825</v>
      </c>
      <c r="DO56">
        <v>25</v>
      </c>
      <c r="DQ56">
        <v>50</v>
      </c>
      <c r="DS56">
        <v>2488</v>
      </c>
      <c r="DU56">
        <v>50</v>
      </c>
      <c r="DW56">
        <v>250</v>
      </c>
      <c r="EA56">
        <v>50</v>
      </c>
      <c r="EC56">
        <v>1050</v>
      </c>
      <c r="EE56">
        <v>150</v>
      </c>
      <c r="EI56">
        <v>50</v>
      </c>
      <c r="EU56">
        <v>50</v>
      </c>
      <c r="GM56">
        <f t="shared" si="1"/>
        <v>78885</v>
      </c>
    </row>
    <row r="57" spans="1:195" x14ac:dyDescent="0.25">
      <c r="A57" s="4">
        <f>DATE(2024,5,14)</f>
        <v>45426</v>
      </c>
      <c r="B57">
        <v>315931</v>
      </c>
      <c r="C57">
        <v>7550</v>
      </c>
      <c r="M57">
        <v>1000</v>
      </c>
      <c r="W57">
        <v>2100</v>
      </c>
      <c r="AG57">
        <v>6200</v>
      </c>
      <c r="AM57">
        <v>200</v>
      </c>
      <c r="AQ57">
        <v>7900</v>
      </c>
      <c r="AV57">
        <v>2000</v>
      </c>
      <c r="BA57">
        <v>3295</v>
      </c>
      <c r="BK57">
        <v>10350</v>
      </c>
      <c r="BM57">
        <v>500</v>
      </c>
      <c r="BO57">
        <v>175</v>
      </c>
      <c r="BP57">
        <v>1190</v>
      </c>
      <c r="BS57">
        <v>200</v>
      </c>
      <c r="BU57">
        <v>5375</v>
      </c>
      <c r="BW57">
        <v>250</v>
      </c>
      <c r="BY57">
        <v>250</v>
      </c>
      <c r="CA57">
        <v>300</v>
      </c>
      <c r="CC57">
        <v>392</v>
      </c>
      <c r="CE57">
        <v>8710</v>
      </c>
      <c r="CG57">
        <v>250</v>
      </c>
      <c r="CI57">
        <v>150</v>
      </c>
      <c r="CK57">
        <v>550</v>
      </c>
      <c r="CO57">
        <v>5350</v>
      </c>
      <c r="CS57">
        <v>750</v>
      </c>
      <c r="CU57">
        <v>50</v>
      </c>
      <c r="CW57">
        <v>150</v>
      </c>
      <c r="CY57">
        <v>7300</v>
      </c>
      <c r="DA57">
        <v>100</v>
      </c>
      <c r="DC57">
        <v>100</v>
      </c>
      <c r="DD57">
        <v>10</v>
      </c>
      <c r="DI57">
        <v>1825</v>
      </c>
      <c r="DO57">
        <v>25</v>
      </c>
      <c r="DQ57">
        <v>50</v>
      </c>
      <c r="DS57">
        <v>2488</v>
      </c>
      <c r="DU57">
        <v>50</v>
      </c>
      <c r="DW57">
        <v>250</v>
      </c>
      <c r="EA57">
        <v>50</v>
      </c>
      <c r="EC57">
        <v>1050</v>
      </c>
      <c r="EE57">
        <v>150</v>
      </c>
      <c r="EI57">
        <v>50</v>
      </c>
      <c r="EU57">
        <v>50</v>
      </c>
      <c r="GM57">
        <f t="shared" si="1"/>
        <v>78735</v>
      </c>
    </row>
    <row r="58" spans="1:195" x14ac:dyDescent="0.25">
      <c r="A58" s="4">
        <f>DATE(2024,5,13)</f>
        <v>45425</v>
      </c>
      <c r="B58">
        <v>313456</v>
      </c>
      <c r="C58">
        <v>7550</v>
      </c>
      <c r="M58">
        <v>1000</v>
      </c>
      <c r="W58">
        <v>2100</v>
      </c>
      <c r="AG58">
        <v>6200</v>
      </c>
      <c r="AM58">
        <v>200</v>
      </c>
      <c r="AQ58">
        <v>7900</v>
      </c>
      <c r="AV58">
        <v>2000</v>
      </c>
      <c r="BA58">
        <v>3295</v>
      </c>
      <c r="BK58">
        <v>10350</v>
      </c>
      <c r="BM58">
        <v>500</v>
      </c>
      <c r="BO58">
        <v>175</v>
      </c>
      <c r="BP58">
        <v>1190</v>
      </c>
      <c r="BS58">
        <v>200</v>
      </c>
      <c r="BU58">
        <v>5375</v>
      </c>
      <c r="BW58">
        <v>250</v>
      </c>
      <c r="BY58">
        <v>250</v>
      </c>
      <c r="CA58">
        <v>300</v>
      </c>
      <c r="CC58">
        <v>392</v>
      </c>
      <c r="CE58">
        <v>8710</v>
      </c>
      <c r="CG58">
        <v>250</v>
      </c>
      <c r="CI58">
        <v>150</v>
      </c>
      <c r="CK58">
        <v>550</v>
      </c>
      <c r="CO58">
        <v>5350</v>
      </c>
      <c r="CS58">
        <v>750</v>
      </c>
      <c r="CU58">
        <v>50</v>
      </c>
      <c r="CW58">
        <v>150</v>
      </c>
      <c r="CY58">
        <v>7300</v>
      </c>
      <c r="DA58">
        <v>100</v>
      </c>
      <c r="DC58">
        <v>100</v>
      </c>
      <c r="DD58">
        <v>10</v>
      </c>
      <c r="DI58">
        <v>1825</v>
      </c>
      <c r="DO58">
        <v>25</v>
      </c>
      <c r="DQ58">
        <v>50</v>
      </c>
      <c r="DS58">
        <v>2488</v>
      </c>
      <c r="DU58">
        <v>50</v>
      </c>
      <c r="DW58">
        <v>250</v>
      </c>
      <c r="EA58">
        <v>50</v>
      </c>
      <c r="EC58">
        <v>1050</v>
      </c>
      <c r="EE58">
        <v>150</v>
      </c>
      <c r="EI58">
        <v>50</v>
      </c>
      <c r="EU58">
        <v>50</v>
      </c>
      <c r="GM58">
        <f t="shared" si="1"/>
        <v>78735</v>
      </c>
    </row>
    <row r="59" spans="1:195" x14ac:dyDescent="0.25">
      <c r="A59" s="4">
        <f>DATE(2024,5,10)</f>
        <v>45422</v>
      </c>
      <c r="B59">
        <v>313285</v>
      </c>
      <c r="C59">
        <v>7550</v>
      </c>
      <c r="M59">
        <v>1000</v>
      </c>
      <c r="W59">
        <v>2100</v>
      </c>
      <c r="AG59">
        <v>6200</v>
      </c>
      <c r="AM59">
        <v>200</v>
      </c>
      <c r="AQ59">
        <v>7900</v>
      </c>
      <c r="AV59">
        <v>2000</v>
      </c>
      <c r="BA59">
        <v>3295</v>
      </c>
      <c r="BK59">
        <v>10600</v>
      </c>
      <c r="BM59">
        <v>500</v>
      </c>
      <c r="BO59">
        <v>175</v>
      </c>
      <c r="BP59">
        <v>1190</v>
      </c>
      <c r="BS59">
        <v>200</v>
      </c>
      <c r="BU59">
        <v>5375</v>
      </c>
      <c r="BW59">
        <v>250</v>
      </c>
      <c r="BY59">
        <v>250</v>
      </c>
      <c r="CA59">
        <v>300</v>
      </c>
      <c r="CC59">
        <v>392</v>
      </c>
      <c r="CE59">
        <v>8960</v>
      </c>
      <c r="CG59">
        <v>250</v>
      </c>
      <c r="CI59">
        <v>150</v>
      </c>
      <c r="CK59">
        <v>550</v>
      </c>
      <c r="CO59">
        <v>5350</v>
      </c>
      <c r="CS59">
        <v>750</v>
      </c>
      <c r="CU59">
        <v>50</v>
      </c>
      <c r="CW59">
        <v>150</v>
      </c>
      <c r="CY59">
        <v>7300</v>
      </c>
      <c r="DA59">
        <v>100</v>
      </c>
      <c r="DC59">
        <v>100</v>
      </c>
      <c r="DD59">
        <v>10</v>
      </c>
      <c r="DI59">
        <v>1825</v>
      </c>
      <c r="DO59">
        <v>25</v>
      </c>
      <c r="DQ59">
        <v>50</v>
      </c>
      <c r="DS59">
        <v>2488</v>
      </c>
      <c r="DU59">
        <v>50</v>
      </c>
      <c r="DW59">
        <v>250</v>
      </c>
      <c r="EA59">
        <v>50</v>
      </c>
      <c r="EC59">
        <v>1050</v>
      </c>
      <c r="EE59">
        <v>150</v>
      </c>
      <c r="EI59">
        <v>50</v>
      </c>
      <c r="EU59">
        <v>50</v>
      </c>
      <c r="GM59">
        <f t="shared" si="1"/>
        <v>79235</v>
      </c>
    </row>
    <row r="60" spans="1:195" x14ac:dyDescent="0.25">
      <c r="A60" s="4">
        <f>DATE(2024,5,9)</f>
        <v>45421</v>
      </c>
      <c r="B60">
        <v>312377</v>
      </c>
      <c r="C60">
        <v>7550</v>
      </c>
      <c r="M60">
        <v>1000</v>
      </c>
      <c r="W60">
        <v>2100</v>
      </c>
      <c r="AG60">
        <v>6200</v>
      </c>
      <c r="AM60">
        <v>200</v>
      </c>
      <c r="AQ60">
        <v>7775</v>
      </c>
      <c r="AV60">
        <v>2000</v>
      </c>
      <c r="BA60">
        <v>3295</v>
      </c>
      <c r="BK60">
        <v>10600</v>
      </c>
      <c r="BM60">
        <v>500</v>
      </c>
      <c r="BO60">
        <v>175</v>
      </c>
      <c r="BP60">
        <v>1190</v>
      </c>
      <c r="BS60">
        <v>200</v>
      </c>
      <c r="BU60">
        <v>5375</v>
      </c>
      <c r="BW60">
        <v>250</v>
      </c>
      <c r="BY60">
        <v>250</v>
      </c>
      <c r="CA60">
        <v>300</v>
      </c>
      <c r="CC60">
        <v>392</v>
      </c>
      <c r="CE60">
        <v>8960</v>
      </c>
      <c r="CG60">
        <v>250</v>
      </c>
      <c r="CI60">
        <v>150</v>
      </c>
      <c r="CK60">
        <v>550</v>
      </c>
      <c r="CO60">
        <v>5350</v>
      </c>
      <c r="CS60">
        <v>750</v>
      </c>
      <c r="CU60">
        <v>50</v>
      </c>
      <c r="CW60">
        <v>150</v>
      </c>
      <c r="CY60">
        <v>7475</v>
      </c>
      <c r="DA60">
        <v>100</v>
      </c>
      <c r="DC60">
        <v>100</v>
      </c>
      <c r="DD60">
        <v>10</v>
      </c>
      <c r="DI60">
        <v>1825</v>
      </c>
      <c r="DO60">
        <v>25</v>
      </c>
      <c r="DQ60">
        <v>50</v>
      </c>
      <c r="DS60">
        <v>2488</v>
      </c>
      <c r="DU60">
        <v>50</v>
      </c>
      <c r="DW60">
        <v>250</v>
      </c>
      <c r="EA60">
        <v>50</v>
      </c>
      <c r="EC60">
        <v>1050</v>
      </c>
      <c r="EE60">
        <v>150</v>
      </c>
      <c r="EI60">
        <v>50</v>
      </c>
      <c r="EU60">
        <v>50</v>
      </c>
      <c r="GM60">
        <f t="shared" si="1"/>
        <v>79285</v>
      </c>
    </row>
    <row r="61" spans="1:195" x14ac:dyDescent="0.25">
      <c r="A61" s="4">
        <f>DATE(2024,5,8)</f>
        <v>45420</v>
      </c>
      <c r="B61">
        <v>311572</v>
      </c>
      <c r="C61">
        <v>7550</v>
      </c>
      <c r="M61">
        <v>1000</v>
      </c>
      <c r="W61">
        <v>2100</v>
      </c>
      <c r="AG61">
        <v>6200</v>
      </c>
      <c r="AM61">
        <v>200</v>
      </c>
      <c r="AQ61">
        <v>7775</v>
      </c>
      <c r="AV61">
        <v>2000</v>
      </c>
      <c r="BA61">
        <v>3295</v>
      </c>
      <c r="BK61">
        <v>10600</v>
      </c>
      <c r="BM61">
        <v>500</v>
      </c>
      <c r="BO61">
        <v>175</v>
      </c>
      <c r="BP61">
        <v>1190</v>
      </c>
      <c r="BS61">
        <v>200</v>
      </c>
      <c r="BU61">
        <v>5375</v>
      </c>
      <c r="BW61">
        <v>250</v>
      </c>
      <c r="BY61">
        <v>250</v>
      </c>
      <c r="CA61">
        <v>300</v>
      </c>
      <c r="CC61">
        <v>392</v>
      </c>
      <c r="CE61">
        <v>8960</v>
      </c>
      <c r="CG61">
        <v>250</v>
      </c>
      <c r="CI61">
        <v>150</v>
      </c>
      <c r="CK61">
        <v>550</v>
      </c>
      <c r="CO61">
        <v>5350</v>
      </c>
      <c r="CS61">
        <v>750</v>
      </c>
      <c r="CU61">
        <v>50</v>
      </c>
      <c r="CW61">
        <v>150</v>
      </c>
      <c r="CY61">
        <v>7325</v>
      </c>
      <c r="DA61">
        <v>100</v>
      </c>
      <c r="DC61">
        <v>100</v>
      </c>
      <c r="DD61">
        <v>10</v>
      </c>
      <c r="DI61">
        <v>1825</v>
      </c>
      <c r="DO61">
        <v>25</v>
      </c>
      <c r="DQ61">
        <v>50</v>
      </c>
      <c r="DS61">
        <v>2488</v>
      </c>
      <c r="DU61">
        <v>50</v>
      </c>
      <c r="DW61">
        <v>250</v>
      </c>
      <c r="EA61">
        <v>50</v>
      </c>
      <c r="EC61">
        <v>1050</v>
      </c>
      <c r="EE61">
        <v>150</v>
      </c>
      <c r="EI61">
        <v>50</v>
      </c>
      <c r="EU61">
        <v>50</v>
      </c>
      <c r="GM61">
        <f t="shared" si="1"/>
        <v>79135</v>
      </c>
    </row>
    <row r="62" spans="1:195" x14ac:dyDescent="0.25">
      <c r="A62" s="4">
        <f>DATE(2024,5,7)</f>
        <v>45419</v>
      </c>
      <c r="B62">
        <v>311125</v>
      </c>
      <c r="C62">
        <v>7550</v>
      </c>
      <c r="M62">
        <v>1000</v>
      </c>
      <c r="W62">
        <v>2100</v>
      </c>
      <c r="AG62">
        <v>6210</v>
      </c>
      <c r="AM62">
        <v>200</v>
      </c>
      <c r="AQ62">
        <v>7775</v>
      </c>
      <c r="AV62">
        <v>2000</v>
      </c>
      <c r="BA62">
        <v>3295</v>
      </c>
      <c r="BK62">
        <v>10600</v>
      </c>
      <c r="BM62">
        <v>500</v>
      </c>
      <c r="BO62">
        <v>175</v>
      </c>
      <c r="BP62">
        <v>1190</v>
      </c>
      <c r="BS62">
        <v>200</v>
      </c>
      <c r="BU62">
        <v>5375</v>
      </c>
      <c r="BW62">
        <v>250</v>
      </c>
      <c r="BY62">
        <v>250</v>
      </c>
      <c r="CA62">
        <v>300</v>
      </c>
      <c r="CC62">
        <v>392</v>
      </c>
      <c r="CE62">
        <v>8935</v>
      </c>
      <c r="CG62">
        <v>250</v>
      </c>
      <c r="CI62">
        <v>150</v>
      </c>
      <c r="CK62">
        <v>550</v>
      </c>
      <c r="CO62">
        <v>5350</v>
      </c>
      <c r="CS62">
        <v>750</v>
      </c>
      <c r="CU62">
        <v>50</v>
      </c>
      <c r="CW62">
        <v>150</v>
      </c>
      <c r="CY62">
        <v>6675</v>
      </c>
      <c r="DA62">
        <v>100</v>
      </c>
      <c r="DC62">
        <v>100</v>
      </c>
      <c r="DD62">
        <v>10</v>
      </c>
      <c r="DI62">
        <v>1825</v>
      </c>
      <c r="DO62">
        <v>25</v>
      </c>
      <c r="DQ62">
        <v>50</v>
      </c>
      <c r="DS62">
        <v>2488</v>
      </c>
      <c r="DU62">
        <v>50</v>
      </c>
      <c r="DW62">
        <v>250</v>
      </c>
      <c r="EA62">
        <v>50</v>
      </c>
      <c r="EC62">
        <v>1050</v>
      </c>
      <c r="EE62">
        <v>150</v>
      </c>
      <c r="EI62">
        <v>50</v>
      </c>
      <c r="EU62">
        <v>50</v>
      </c>
      <c r="GM62">
        <f t="shared" si="1"/>
        <v>78470</v>
      </c>
    </row>
    <row r="63" spans="1:195" x14ac:dyDescent="0.25">
      <c r="A63" s="4">
        <f>DATE(2024,5,6)</f>
        <v>45418</v>
      </c>
      <c r="B63">
        <v>306017</v>
      </c>
      <c r="C63">
        <v>7550</v>
      </c>
      <c r="M63">
        <v>1000</v>
      </c>
      <c r="W63">
        <v>2100</v>
      </c>
      <c r="AG63">
        <v>6210</v>
      </c>
      <c r="AM63">
        <v>200</v>
      </c>
      <c r="AQ63">
        <v>7775</v>
      </c>
      <c r="AV63">
        <v>2000</v>
      </c>
      <c r="BA63">
        <v>3295</v>
      </c>
      <c r="BK63">
        <v>10600</v>
      </c>
      <c r="BM63">
        <v>500</v>
      </c>
      <c r="BO63">
        <v>175</v>
      </c>
      <c r="BP63">
        <v>1190</v>
      </c>
      <c r="BS63">
        <v>200</v>
      </c>
      <c r="BU63">
        <v>5375</v>
      </c>
      <c r="BW63">
        <v>250</v>
      </c>
      <c r="BY63">
        <v>250</v>
      </c>
      <c r="CA63">
        <v>300</v>
      </c>
      <c r="CC63">
        <v>392</v>
      </c>
      <c r="CE63">
        <v>8935</v>
      </c>
      <c r="CG63">
        <v>250</v>
      </c>
      <c r="CI63">
        <v>150</v>
      </c>
      <c r="CK63">
        <v>550</v>
      </c>
      <c r="CO63">
        <v>5350</v>
      </c>
      <c r="CS63">
        <v>750</v>
      </c>
      <c r="CU63">
        <v>50</v>
      </c>
      <c r="CW63">
        <v>150</v>
      </c>
      <c r="CY63">
        <v>6675</v>
      </c>
      <c r="DA63">
        <v>100</v>
      </c>
      <c r="DC63">
        <v>100</v>
      </c>
      <c r="DD63">
        <v>10</v>
      </c>
      <c r="DI63">
        <v>1825</v>
      </c>
      <c r="DO63">
        <v>25</v>
      </c>
      <c r="DQ63">
        <v>50</v>
      </c>
      <c r="DS63">
        <v>2488</v>
      </c>
      <c r="DU63">
        <v>50</v>
      </c>
      <c r="DW63">
        <v>250</v>
      </c>
      <c r="EA63">
        <v>50</v>
      </c>
      <c r="EC63">
        <v>1050</v>
      </c>
      <c r="EE63">
        <v>150</v>
      </c>
      <c r="EI63">
        <v>50</v>
      </c>
      <c r="EU63">
        <v>50</v>
      </c>
      <c r="GM63">
        <f t="shared" si="1"/>
        <v>78470</v>
      </c>
    </row>
    <row r="64" spans="1:195" x14ac:dyDescent="0.25">
      <c r="A64" s="4">
        <f>DATE(2024,5,3)</f>
        <v>45415</v>
      </c>
      <c r="B64">
        <v>304693</v>
      </c>
      <c r="C64">
        <v>7550</v>
      </c>
      <c r="M64">
        <v>1000</v>
      </c>
      <c r="W64">
        <v>2100</v>
      </c>
      <c r="AG64">
        <v>6210</v>
      </c>
      <c r="AM64">
        <v>200</v>
      </c>
      <c r="AQ64">
        <v>7575</v>
      </c>
      <c r="AV64">
        <v>2000</v>
      </c>
      <c r="BA64">
        <v>3370</v>
      </c>
      <c r="BK64">
        <v>10600</v>
      </c>
      <c r="BM64">
        <v>500</v>
      </c>
      <c r="BO64">
        <v>175</v>
      </c>
      <c r="BP64">
        <v>1190</v>
      </c>
      <c r="BS64">
        <v>200</v>
      </c>
      <c r="BU64">
        <v>5225</v>
      </c>
      <c r="BW64">
        <v>250</v>
      </c>
      <c r="BY64">
        <v>250</v>
      </c>
      <c r="CA64">
        <v>300</v>
      </c>
      <c r="CC64">
        <v>392</v>
      </c>
      <c r="CE64">
        <v>8935</v>
      </c>
      <c r="CG64">
        <v>250</v>
      </c>
      <c r="CI64">
        <v>150</v>
      </c>
      <c r="CK64">
        <v>550</v>
      </c>
      <c r="CO64">
        <v>5350</v>
      </c>
      <c r="CS64">
        <v>750</v>
      </c>
      <c r="CU64">
        <v>50</v>
      </c>
      <c r="CW64">
        <v>150</v>
      </c>
      <c r="CY64">
        <v>5500</v>
      </c>
      <c r="DA64">
        <v>100</v>
      </c>
      <c r="DC64">
        <v>100</v>
      </c>
      <c r="DD64">
        <v>10</v>
      </c>
      <c r="DI64">
        <v>1825</v>
      </c>
      <c r="DO64">
        <v>25</v>
      </c>
      <c r="DQ64">
        <v>50</v>
      </c>
      <c r="DS64">
        <v>2488</v>
      </c>
      <c r="DU64">
        <v>50</v>
      </c>
      <c r="DW64">
        <v>250</v>
      </c>
      <c r="EA64">
        <v>50</v>
      </c>
      <c r="EC64">
        <v>1050</v>
      </c>
      <c r="EE64">
        <v>150</v>
      </c>
      <c r="EI64">
        <v>50</v>
      </c>
      <c r="EU64">
        <v>50</v>
      </c>
      <c r="GM64">
        <f t="shared" si="1"/>
        <v>77020</v>
      </c>
    </row>
    <row r="65" spans="1:195" x14ac:dyDescent="0.25">
      <c r="A65" s="4">
        <f>DATE(2024,5,2)</f>
        <v>45414</v>
      </c>
      <c r="B65">
        <v>305873</v>
      </c>
      <c r="C65">
        <v>7550</v>
      </c>
      <c r="M65">
        <v>1000</v>
      </c>
      <c r="W65">
        <v>2100</v>
      </c>
      <c r="AG65">
        <v>6210</v>
      </c>
      <c r="AM65">
        <v>200</v>
      </c>
      <c r="AQ65">
        <v>7575</v>
      </c>
      <c r="AV65">
        <v>2000</v>
      </c>
      <c r="BA65">
        <v>3370</v>
      </c>
      <c r="BK65">
        <v>10600</v>
      </c>
      <c r="BM65">
        <v>500</v>
      </c>
      <c r="BO65">
        <v>175</v>
      </c>
      <c r="BP65">
        <v>1190</v>
      </c>
      <c r="BS65">
        <v>200</v>
      </c>
      <c r="BU65">
        <v>5225</v>
      </c>
      <c r="BW65">
        <v>250</v>
      </c>
      <c r="BY65">
        <v>250</v>
      </c>
      <c r="CA65">
        <v>300</v>
      </c>
      <c r="CC65">
        <v>392</v>
      </c>
      <c r="CE65">
        <v>8935</v>
      </c>
      <c r="CG65">
        <v>250</v>
      </c>
      <c r="CI65">
        <v>150</v>
      </c>
      <c r="CK65">
        <v>550</v>
      </c>
      <c r="CO65">
        <v>5350</v>
      </c>
      <c r="CS65">
        <v>750</v>
      </c>
      <c r="CU65">
        <v>50</v>
      </c>
      <c r="CW65">
        <v>150</v>
      </c>
      <c r="CY65">
        <v>6075</v>
      </c>
      <c r="DA65">
        <v>100</v>
      </c>
      <c r="DC65">
        <v>100</v>
      </c>
      <c r="DD65">
        <v>10</v>
      </c>
      <c r="DI65">
        <v>1825</v>
      </c>
      <c r="DO65">
        <v>25</v>
      </c>
      <c r="DQ65">
        <v>50</v>
      </c>
      <c r="DS65">
        <v>2488</v>
      </c>
      <c r="DU65">
        <v>50</v>
      </c>
      <c r="DW65">
        <v>250</v>
      </c>
      <c r="EA65">
        <v>50</v>
      </c>
      <c r="EC65">
        <v>1050</v>
      </c>
      <c r="EE65">
        <v>150</v>
      </c>
      <c r="EI65">
        <v>50</v>
      </c>
      <c r="EU65">
        <v>50</v>
      </c>
      <c r="GM65">
        <f t="shared" si="1"/>
        <v>77595</v>
      </c>
    </row>
    <row r="66" spans="1:195" x14ac:dyDescent="0.25">
      <c r="A66" s="4">
        <f>DATE(2024,5,1)</f>
        <v>45413</v>
      </c>
      <c r="B66">
        <v>300835</v>
      </c>
      <c r="C66">
        <v>7550</v>
      </c>
      <c r="M66">
        <v>1000</v>
      </c>
      <c r="W66">
        <v>2100</v>
      </c>
      <c r="AG66">
        <v>6210</v>
      </c>
      <c r="AM66">
        <v>200</v>
      </c>
      <c r="AQ66">
        <v>7575</v>
      </c>
      <c r="AV66">
        <v>2000</v>
      </c>
      <c r="BA66">
        <v>3370</v>
      </c>
      <c r="BK66">
        <v>10600</v>
      </c>
      <c r="BM66">
        <v>500</v>
      </c>
      <c r="BO66">
        <v>175</v>
      </c>
      <c r="BP66">
        <v>1190</v>
      </c>
      <c r="BS66">
        <v>200</v>
      </c>
      <c r="BU66">
        <v>5225</v>
      </c>
      <c r="BW66">
        <v>250</v>
      </c>
      <c r="BY66">
        <v>250</v>
      </c>
      <c r="CA66">
        <v>300</v>
      </c>
      <c r="CC66">
        <v>392</v>
      </c>
      <c r="CE66">
        <v>8935</v>
      </c>
      <c r="CG66">
        <v>250</v>
      </c>
      <c r="CI66">
        <v>150</v>
      </c>
      <c r="CK66">
        <v>550</v>
      </c>
      <c r="CO66">
        <v>5350</v>
      </c>
      <c r="CS66">
        <v>750</v>
      </c>
      <c r="CU66">
        <v>50</v>
      </c>
      <c r="CW66">
        <v>150</v>
      </c>
      <c r="CY66">
        <v>6075</v>
      </c>
      <c r="DA66">
        <v>100</v>
      </c>
      <c r="DC66">
        <v>100</v>
      </c>
      <c r="DD66">
        <v>10</v>
      </c>
      <c r="DI66">
        <v>1825</v>
      </c>
      <c r="DO66">
        <v>25</v>
      </c>
      <c r="DQ66">
        <v>50</v>
      </c>
      <c r="DS66">
        <v>2488</v>
      </c>
      <c r="DU66">
        <v>50</v>
      </c>
      <c r="DW66">
        <v>250</v>
      </c>
      <c r="EA66">
        <v>50</v>
      </c>
      <c r="EC66">
        <v>1050</v>
      </c>
      <c r="EE66">
        <v>150</v>
      </c>
      <c r="EI66">
        <v>50</v>
      </c>
      <c r="EU66">
        <v>50</v>
      </c>
      <c r="GM66">
        <f t="shared" si="1"/>
        <v>77595</v>
      </c>
    </row>
    <row r="67" spans="1:195" x14ac:dyDescent="0.25">
      <c r="A67" s="4">
        <f>DATE(2024,4,30)</f>
        <v>45412</v>
      </c>
      <c r="B67">
        <v>300518</v>
      </c>
      <c r="C67">
        <v>7550</v>
      </c>
      <c r="M67">
        <v>1000</v>
      </c>
      <c r="W67">
        <v>2100</v>
      </c>
      <c r="AG67">
        <v>6210</v>
      </c>
      <c r="AM67">
        <v>200</v>
      </c>
      <c r="AQ67">
        <v>7375</v>
      </c>
      <c r="AV67">
        <v>2000</v>
      </c>
      <c r="BA67">
        <v>3370</v>
      </c>
      <c r="BK67">
        <v>10600</v>
      </c>
      <c r="BM67">
        <v>500</v>
      </c>
      <c r="BO67">
        <v>175</v>
      </c>
      <c r="BP67">
        <v>1190</v>
      </c>
      <c r="BS67">
        <v>200</v>
      </c>
      <c r="BU67">
        <v>5225</v>
      </c>
      <c r="BW67">
        <v>250</v>
      </c>
      <c r="BY67">
        <v>250</v>
      </c>
      <c r="CA67">
        <v>300</v>
      </c>
      <c r="CC67">
        <v>392</v>
      </c>
      <c r="CE67">
        <v>8935</v>
      </c>
      <c r="CG67">
        <v>250</v>
      </c>
      <c r="CI67">
        <v>150</v>
      </c>
      <c r="CK67">
        <v>550</v>
      </c>
      <c r="CO67">
        <v>5350</v>
      </c>
      <c r="CS67">
        <v>750</v>
      </c>
      <c r="CU67">
        <v>50</v>
      </c>
      <c r="CW67">
        <v>150</v>
      </c>
      <c r="CY67">
        <v>6075</v>
      </c>
      <c r="DA67">
        <v>100</v>
      </c>
      <c r="DC67">
        <v>100</v>
      </c>
      <c r="DD67">
        <v>10</v>
      </c>
      <c r="DI67">
        <v>1825</v>
      </c>
      <c r="DO67">
        <v>25</v>
      </c>
      <c r="DQ67">
        <v>50</v>
      </c>
      <c r="DS67">
        <v>2488</v>
      </c>
      <c r="DU67">
        <v>50</v>
      </c>
      <c r="DW67">
        <v>250</v>
      </c>
      <c r="EA67">
        <v>50</v>
      </c>
      <c r="EC67">
        <v>1050</v>
      </c>
      <c r="EE67">
        <v>150</v>
      </c>
      <c r="EI67">
        <v>50</v>
      </c>
      <c r="EU67">
        <v>50</v>
      </c>
      <c r="GM67">
        <f t="shared" si="1"/>
        <v>77395</v>
      </c>
    </row>
    <row r="68" spans="1:195" x14ac:dyDescent="0.25">
      <c r="A68" s="4">
        <f>DATE(2024,4,29)</f>
        <v>45411</v>
      </c>
      <c r="B68">
        <v>299350</v>
      </c>
      <c r="C68">
        <v>7550</v>
      </c>
      <c r="M68">
        <v>1000</v>
      </c>
      <c r="W68">
        <v>2100</v>
      </c>
      <c r="AG68">
        <v>6210</v>
      </c>
      <c r="AM68">
        <v>200</v>
      </c>
      <c r="AQ68">
        <v>7375</v>
      </c>
      <c r="AV68">
        <v>2000</v>
      </c>
      <c r="BA68">
        <v>3370</v>
      </c>
      <c r="BK68">
        <v>10600</v>
      </c>
      <c r="BM68">
        <v>500</v>
      </c>
      <c r="BO68">
        <v>175</v>
      </c>
      <c r="BP68">
        <v>1190</v>
      </c>
      <c r="BS68">
        <v>200</v>
      </c>
      <c r="BU68">
        <v>5100</v>
      </c>
      <c r="BW68">
        <v>250</v>
      </c>
      <c r="BY68">
        <v>250</v>
      </c>
      <c r="CA68">
        <v>300</v>
      </c>
      <c r="CC68">
        <v>392</v>
      </c>
      <c r="CE68">
        <v>8935</v>
      </c>
      <c r="CG68">
        <v>250</v>
      </c>
      <c r="CI68">
        <v>150</v>
      </c>
      <c r="CK68">
        <v>550</v>
      </c>
      <c r="CO68">
        <v>5350</v>
      </c>
      <c r="CS68">
        <v>750</v>
      </c>
      <c r="CU68">
        <v>50</v>
      </c>
      <c r="CW68">
        <v>150</v>
      </c>
      <c r="CY68">
        <v>6075</v>
      </c>
      <c r="DA68">
        <v>100</v>
      </c>
      <c r="DC68">
        <v>100</v>
      </c>
      <c r="DD68">
        <v>10</v>
      </c>
      <c r="DI68">
        <v>1825</v>
      </c>
      <c r="DO68">
        <v>25</v>
      </c>
      <c r="DQ68">
        <v>50</v>
      </c>
      <c r="DS68">
        <v>2488</v>
      </c>
      <c r="DU68">
        <v>50</v>
      </c>
      <c r="DW68">
        <v>250</v>
      </c>
      <c r="EA68">
        <v>50</v>
      </c>
      <c r="EC68">
        <v>1050</v>
      </c>
      <c r="EE68">
        <v>150</v>
      </c>
      <c r="EI68">
        <v>50</v>
      </c>
      <c r="EU68">
        <v>50</v>
      </c>
      <c r="GM68">
        <f t="shared" si="1"/>
        <v>77270</v>
      </c>
    </row>
    <row r="69" spans="1:195" x14ac:dyDescent="0.25">
      <c r="A69" s="4">
        <f>DATE(2024,4,26)</f>
        <v>45408</v>
      </c>
      <c r="B69">
        <v>297800</v>
      </c>
      <c r="C69">
        <v>7550</v>
      </c>
      <c r="M69">
        <v>1000</v>
      </c>
      <c r="W69">
        <v>2100</v>
      </c>
      <c r="AG69">
        <v>6210</v>
      </c>
      <c r="AM69">
        <v>200</v>
      </c>
      <c r="AQ69">
        <v>7375</v>
      </c>
      <c r="AV69">
        <v>2000</v>
      </c>
      <c r="BA69">
        <v>3370</v>
      </c>
      <c r="BK69">
        <v>10600</v>
      </c>
      <c r="BM69">
        <v>500</v>
      </c>
      <c r="BO69">
        <v>175</v>
      </c>
      <c r="BP69">
        <v>1190</v>
      </c>
      <c r="BS69">
        <v>200</v>
      </c>
      <c r="BU69">
        <v>5100</v>
      </c>
      <c r="BW69">
        <v>250</v>
      </c>
      <c r="BY69">
        <v>250</v>
      </c>
      <c r="CA69">
        <v>300</v>
      </c>
      <c r="CC69">
        <v>392</v>
      </c>
      <c r="CE69">
        <v>8935</v>
      </c>
      <c r="CG69">
        <v>250</v>
      </c>
      <c r="CI69">
        <v>150</v>
      </c>
      <c r="CK69">
        <v>550</v>
      </c>
      <c r="CO69">
        <v>5350</v>
      </c>
      <c r="CS69">
        <v>750</v>
      </c>
      <c r="CU69">
        <v>50</v>
      </c>
      <c r="CW69">
        <v>150</v>
      </c>
      <c r="CY69">
        <v>6075</v>
      </c>
      <c r="DA69">
        <v>100</v>
      </c>
      <c r="DC69">
        <v>100</v>
      </c>
      <c r="DD69">
        <v>10</v>
      </c>
      <c r="DI69">
        <v>1825</v>
      </c>
      <c r="DO69">
        <v>25</v>
      </c>
      <c r="DQ69">
        <v>50</v>
      </c>
      <c r="DS69">
        <v>2488</v>
      </c>
      <c r="DU69">
        <v>50</v>
      </c>
      <c r="DW69">
        <v>250</v>
      </c>
      <c r="EA69">
        <v>50</v>
      </c>
      <c r="EC69">
        <v>1050</v>
      </c>
      <c r="EE69">
        <v>150</v>
      </c>
      <c r="EI69">
        <v>50</v>
      </c>
      <c r="EU69">
        <v>50</v>
      </c>
      <c r="GM69">
        <f t="shared" si="1"/>
        <v>77270</v>
      </c>
    </row>
    <row r="70" spans="1:195" x14ac:dyDescent="0.25">
      <c r="A70" s="4">
        <f>DATE(2024,4,25)</f>
        <v>45407</v>
      </c>
      <c r="B70">
        <v>295607</v>
      </c>
      <c r="C70">
        <v>7550</v>
      </c>
      <c r="M70">
        <v>1000</v>
      </c>
      <c r="W70">
        <v>2100</v>
      </c>
      <c r="AG70">
        <v>6210</v>
      </c>
      <c r="AM70">
        <v>200</v>
      </c>
      <c r="AQ70">
        <v>7375</v>
      </c>
      <c r="AV70">
        <v>2000</v>
      </c>
      <c r="BA70">
        <v>3370</v>
      </c>
      <c r="BK70">
        <v>10600</v>
      </c>
      <c r="BM70">
        <v>500</v>
      </c>
      <c r="BO70">
        <v>175</v>
      </c>
      <c r="BP70">
        <v>1190</v>
      </c>
      <c r="BS70">
        <v>200</v>
      </c>
      <c r="BU70">
        <v>5100</v>
      </c>
      <c r="BW70">
        <v>250</v>
      </c>
      <c r="BY70">
        <v>250</v>
      </c>
      <c r="CA70">
        <v>300</v>
      </c>
      <c r="CC70">
        <v>400</v>
      </c>
      <c r="CE70">
        <v>8935</v>
      </c>
      <c r="CG70">
        <v>250</v>
      </c>
      <c r="CI70">
        <v>150</v>
      </c>
      <c r="CK70">
        <v>550</v>
      </c>
      <c r="CO70">
        <v>5350</v>
      </c>
      <c r="CS70">
        <v>750</v>
      </c>
      <c r="CU70">
        <v>50</v>
      </c>
      <c r="CW70">
        <v>150</v>
      </c>
      <c r="CY70">
        <v>6075</v>
      </c>
      <c r="DA70">
        <v>100</v>
      </c>
      <c r="DC70">
        <v>100</v>
      </c>
      <c r="DD70">
        <v>10</v>
      </c>
      <c r="DI70">
        <v>1825</v>
      </c>
      <c r="DO70">
        <v>25</v>
      </c>
      <c r="DQ70">
        <v>50</v>
      </c>
      <c r="DS70">
        <v>2488</v>
      </c>
      <c r="DU70">
        <v>50</v>
      </c>
      <c r="DW70">
        <v>250</v>
      </c>
      <c r="EA70">
        <v>50</v>
      </c>
      <c r="EC70">
        <v>1050</v>
      </c>
      <c r="EE70">
        <v>150</v>
      </c>
      <c r="EI70">
        <v>50</v>
      </c>
      <c r="EU70">
        <v>50</v>
      </c>
      <c r="GM70">
        <f t="shared" si="1"/>
        <v>77278</v>
      </c>
    </row>
    <row r="71" spans="1:195" x14ac:dyDescent="0.25">
      <c r="A71" s="4">
        <f>DATE(2024,4,24)</f>
        <v>45406</v>
      </c>
      <c r="B71">
        <v>292075</v>
      </c>
      <c r="C71">
        <v>7550</v>
      </c>
      <c r="M71">
        <v>1000</v>
      </c>
      <c r="W71">
        <v>2100</v>
      </c>
      <c r="AG71">
        <v>6185</v>
      </c>
      <c r="AM71">
        <v>200</v>
      </c>
      <c r="AQ71">
        <v>7375</v>
      </c>
      <c r="AV71">
        <v>2000</v>
      </c>
      <c r="BA71">
        <v>3420</v>
      </c>
      <c r="BK71">
        <v>10600</v>
      </c>
      <c r="BM71">
        <v>500</v>
      </c>
      <c r="BO71">
        <v>175</v>
      </c>
      <c r="BP71">
        <v>1190</v>
      </c>
      <c r="BS71">
        <v>200</v>
      </c>
      <c r="BU71">
        <v>5100</v>
      </c>
      <c r="BW71">
        <v>250</v>
      </c>
      <c r="BY71">
        <v>250</v>
      </c>
      <c r="CA71">
        <v>300</v>
      </c>
      <c r="CC71">
        <v>400</v>
      </c>
      <c r="CE71">
        <v>8935</v>
      </c>
      <c r="CG71">
        <v>250</v>
      </c>
      <c r="CI71">
        <v>150</v>
      </c>
      <c r="CK71">
        <v>550</v>
      </c>
      <c r="CO71">
        <v>5350</v>
      </c>
      <c r="CS71">
        <v>750</v>
      </c>
      <c r="CU71">
        <v>50</v>
      </c>
      <c r="CW71">
        <v>150</v>
      </c>
      <c r="CY71">
        <v>6075</v>
      </c>
      <c r="DA71">
        <v>100</v>
      </c>
      <c r="DC71">
        <v>100</v>
      </c>
      <c r="DD71">
        <v>10</v>
      </c>
      <c r="DI71">
        <v>1825</v>
      </c>
      <c r="DO71">
        <v>25</v>
      </c>
      <c r="DQ71">
        <v>50</v>
      </c>
      <c r="DS71">
        <v>2488</v>
      </c>
      <c r="DU71">
        <v>50</v>
      </c>
      <c r="DW71">
        <v>250</v>
      </c>
      <c r="EA71">
        <v>50</v>
      </c>
      <c r="EC71">
        <v>1050</v>
      </c>
      <c r="EE71">
        <v>150</v>
      </c>
      <c r="EI71">
        <v>50</v>
      </c>
      <c r="EU71">
        <v>50</v>
      </c>
      <c r="GM71">
        <f t="shared" si="1"/>
        <v>77303</v>
      </c>
    </row>
    <row r="72" spans="1:195" x14ac:dyDescent="0.25">
      <c r="A72" s="4">
        <f>DATE(2024,4,23)</f>
        <v>45405</v>
      </c>
      <c r="B72">
        <v>288230</v>
      </c>
      <c r="C72">
        <v>7550</v>
      </c>
      <c r="M72">
        <v>1000</v>
      </c>
      <c r="W72">
        <v>2100</v>
      </c>
      <c r="AG72">
        <v>6185</v>
      </c>
      <c r="AM72">
        <v>200</v>
      </c>
      <c r="AQ72">
        <v>7375</v>
      </c>
      <c r="AV72">
        <v>2000</v>
      </c>
      <c r="BA72">
        <v>3420</v>
      </c>
      <c r="BK72">
        <v>10600</v>
      </c>
      <c r="BM72">
        <v>500</v>
      </c>
      <c r="BO72">
        <v>175</v>
      </c>
      <c r="BP72">
        <v>1190</v>
      </c>
      <c r="BS72">
        <v>200</v>
      </c>
      <c r="BU72">
        <v>5100</v>
      </c>
      <c r="BW72">
        <v>250</v>
      </c>
      <c r="BY72">
        <v>250</v>
      </c>
      <c r="CA72">
        <v>300</v>
      </c>
      <c r="CC72">
        <v>400</v>
      </c>
      <c r="CE72">
        <v>8935</v>
      </c>
      <c r="CG72">
        <v>250</v>
      </c>
      <c r="CI72">
        <v>150</v>
      </c>
      <c r="CK72">
        <v>550</v>
      </c>
      <c r="CO72">
        <v>5350</v>
      </c>
      <c r="CS72">
        <v>750</v>
      </c>
      <c r="CU72">
        <v>50</v>
      </c>
      <c r="CW72">
        <v>150</v>
      </c>
      <c r="CY72">
        <v>6075</v>
      </c>
      <c r="DA72">
        <v>100</v>
      </c>
      <c r="DC72">
        <v>100</v>
      </c>
      <c r="DD72">
        <v>10</v>
      </c>
      <c r="DI72">
        <v>1825</v>
      </c>
      <c r="DO72">
        <v>25</v>
      </c>
      <c r="DQ72">
        <v>50</v>
      </c>
      <c r="DS72">
        <v>2488</v>
      </c>
      <c r="DU72">
        <v>50</v>
      </c>
      <c r="DW72">
        <v>250</v>
      </c>
      <c r="EA72">
        <v>50</v>
      </c>
      <c r="EC72">
        <v>1050</v>
      </c>
      <c r="EE72">
        <v>150</v>
      </c>
      <c r="EI72">
        <v>50</v>
      </c>
      <c r="EU72">
        <v>50</v>
      </c>
      <c r="GM72">
        <f t="shared" ref="GM72:GM135" si="2">SUMPRODUCT(C72:GL72)</f>
        <v>77303</v>
      </c>
    </row>
    <row r="73" spans="1:195" x14ac:dyDescent="0.25">
      <c r="A73" s="4">
        <f>DATE(2024,4,22)</f>
        <v>45404</v>
      </c>
      <c r="B73">
        <v>286331</v>
      </c>
      <c r="C73">
        <v>7550</v>
      </c>
      <c r="M73">
        <v>1000</v>
      </c>
      <c r="W73">
        <v>2100</v>
      </c>
      <c r="AG73">
        <v>6185</v>
      </c>
      <c r="AM73">
        <v>200</v>
      </c>
      <c r="AQ73">
        <v>7375</v>
      </c>
      <c r="AV73">
        <v>2000</v>
      </c>
      <c r="BA73">
        <v>3420</v>
      </c>
      <c r="BK73">
        <v>10600</v>
      </c>
      <c r="BM73">
        <v>500</v>
      </c>
      <c r="BO73">
        <v>175</v>
      </c>
      <c r="BP73">
        <v>1190</v>
      </c>
      <c r="BS73">
        <v>200</v>
      </c>
      <c r="BU73">
        <v>5100</v>
      </c>
      <c r="BW73">
        <v>250</v>
      </c>
      <c r="BY73">
        <v>250</v>
      </c>
      <c r="CA73">
        <v>300</v>
      </c>
      <c r="CC73">
        <v>400</v>
      </c>
      <c r="CE73">
        <v>8925</v>
      </c>
      <c r="CG73">
        <v>250</v>
      </c>
      <c r="CI73">
        <v>150</v>
      </c>
      <c r="CK73">
        <v>550</v>
      </c>
      <c r="CO73">
        <v>5350</v>
      </c>
      <c r="CS73">
        <v>750</v>
      </c>
      <c r="CU73">
        <v>50</v>
      </c>
      <c r="CW73">
        <v>150</v>
      </c>
      <c r="CY73">
        <v>6075</v>
      </c>
      <c r="DA73">
        <v>100</v>
      </c>
      <c r="DC73">
        <v>100</v>
      </c>
      <c r="DD73">
        <v>10</v>
      </c>
      <c r="DI73">
        <v>1825</v>
      </c>
      <c r="DO73">
        <v>25</v>
      </c>
      <c r="DQ73">
        <v>50</v>
      </c>
      <c r="DS73">
        <v>2488</v>
      </c>
      <c r="DU73">
        <v>50</v>
      </c>
      <c r="DW73">
        <v>250</v>
      </c>
      <c r="EA73">
        <v>50</v>
      </c>
      <c r="EC73">
        <v>1050</v>
      </c>
      <c r="EE73">
        <v>150</v>
      </c>
      <c r="EI73">
        <v>50</v>
      </c>
      <c r="EU73">
        <v>50</v>
      </c>
      <c r="GM73">
        <f t="shared" si="2"/>
        <v>77293</v>
      </c>
    </row>
    <row r="74" spans="1:195" x14ac:dyDescent="0.25">
      <c r="A74" s="4">
        <f>DATE(2024,4,19)</f>
        <v>45401</v>
      </c>
      <c r="B74">
        <v>282241</v>
      </c>
      <c r="C74">
        <v>7550</v>
      </c>
      <c r="M74">
        <v>1000</v>
      </c>
      <c r="W74">
        <v>2100</v>
      </c>
      <c r="AG74">
        <v>6185</v>
      </c>
      <c r="AM74">
        <v>200</v>
      </c>
      <c r="AQ74">
        <v>7375</v>
      </c>
      <c r="AV74">
        <v>2000</v>
      </c>
      <c r="BA74">
        <v>3570</v>
      </c>
      <c r="BK74">
        <v>10675</v>
      </c>
      <c r="BM74">
        <v>500</v>
      </c>
      <c r="BO74">
        <v>175</v>
      </c>
      <c r="BP74">
        <v>1190</v>
      </c>
      <c r="BS74">
        <v>200</v>
      </c>
      <c r="BU74">
        <v>5100</v>
      </c>
      <c r="BW74">
        <v>250</v>
      </c>
      <c r="BY74">
        <v>250</v>
      </c>
      <c r="CA74">
        <v>300</v>
      </c>
      <c r="CC74">
        <v>400</v>
      </c>
      <c r="CE74">
        <v>8925</v>
      </c>
      <c r="CG74">
        <v>250</v>
      </c>
      <c r="CI74">
        <v>150</v>
      </c>
      <c r="CK74">
        <v>550</v>
      </c>
      <c r="CO74">
        <v>5350</v>
      </c>
      <c r="CS74">
        <v>750</v>
      </c>
      <c r="CU74">
        <v>50</v>
      </c>
      <c r="CW74">
        <v>150</v>
      </c>
      <c r="CY74">
        <v>6075</v>
      </c>
      <c r="DA74">
        <v>100</v>
      </c>
      <c r="DC74">
        <v>100</v>
      </c>
      <c r="DD74">
        <v>10</v>
      </c>
      <c r="DI74">
        <v>1825</v>
      </c>
      <c r="DO74">
        <v>25</v>
      </c>
      <c r="DQ74">
        <v>50</v>
      </c>
      <c r="DS74">
        <v>2488</v>
      </c>
      <c r="DU74">
        <v>50</v>
      </c>
      <c r="DW74">
        <v>250</v>
      </c>
      <c r="EA74">
        <v>50</v>
      </c>
      <c r="EC74">
        <v>1050</v>
      </c>
      <c r="EE74">
        <v>150</v>
      </c>
      <c r="EI74">
        <v>50</v>
      </c>
      <c r="EU74">
        <v>50</v>
      </c>
      <c r="GM74">
        <f t="shared" si="2"/>
        <v>77518</v>
      </c>
    </row>
    <row r="75" spans="1:195" x14ac:dyDescent="0.25">
      <c r="A75" s="4">
        <f>DATE(2024,4,18)</f>
        <v>45400</v>
      </c>
      <c r="B75">
        <v>283273</v>
      </c>
      <c r="C75">
        <v>7550</v>
      </c>
      <c r="M75">
        <v>1000</v>
      </c>
      <c r="W75">
        <v>2100</v>
      </c>
      <c r="AG75">
        <v>6185</v>
      </c>
      <c r="AM75">
        <v>200</v>
      </c>
      <c r="AQ75">
        <v>7475</v>
      </c>
      <c r="AV75">
        <v>2000</v>
      </c>
      <c r="BA75">
        <v>3870</v>
      </c>
      <c r="BK75">
        <v>11175</v>
      </c>
      <c r="BM75">
        <v>500</v>
      </c>
      <c r="BO75">
        <v>175</v>
      </c>
      <c r="BP75">
        <v>1190</v>
      </c>
      <c r="BS75">
        <v>200</v>
      </c>
      <c r="BU75">
        <v>5100</v>
      </c>
      <c r="BW75">
        <v>250</v>
      </c>
      <c r="BY75">
        <v>250</v>
      </c>
      <c r="CA75">
        <v>300</v>
      </c>
      <c r="CC75">
        <v>400</v>
      </c>
      <c r="CE75">
        <v>8925</v>
      </c>
      <c r="CG75">
        <v>250</v>
      </c>
      <c r="CI75">
        <v>150</v>
      </c>
      <c r="CK75">
        <v>550</v>
      </c>
      <c r="CO75">
        <v>4850</v>
      </c>
      <c r="CS75">
        <v>750</v>
      </c>
      <c r="CU75">
        <v>50</v>
      </c>
      <c r="CW75">
        <v>150</v>
      </c>
      <c r="CY75">
        <v>6075</v>
      </c>
      <c r="DA75">
        <v>100</v>
      </c>
      <c r="DC75">
        <v>100</v>
      </c>
      <c r="DD75">
        <v>10</v>
      </c>
      <c r="DI75">
        <v>1825</v>
      </c>
      <c r="DO75">
        <v>25</v>
      </c>
      <c r="DQ75">
        <v>50</v>
      </c>
      <c r="DS75">
        <v>2488</v>
      </c>
      <c r="DU75">
        <v>50</v>
      </c>
      <c r="DW75">
        <v>250</v>
      </c>
      <c r="EA75">
        <v>50</v>
      </c>
      <c r="EC75">
        <v>1050</v>
      </c>
      <c r="EE75">
        <v>150</v>
      </c>
      <c r="EI75">
        <v>50</v>
      </c>
      <c r="EU75">
        <v>50</v>
      </c>
      <c r="GM75">
        <f t="shared" si="2"/>
        <v>77918</v>
      </c>
    </row>
    <row r="76" spans="1:195" x14ac:dyDescent="0.25">
      <c r="A76" s="4">
        <f>DATE(2024,4,17)</f>
        <v>45399</v>
      </c>
      <c r="B76">
        <v>285563</v>
      </c>
      <c r="C76">
        <v>7550</v>
      </c>
      <c r="M76">
        <v>1000</v>
      </c>
      <c r="W76">
        <v>2100</v>
      </c>
      <c r="AG76">
        <v>6185</v>
      </c>
      <c r="AM76">
        <v>200</v>
      </c>
      <c r="AQ76">
        <v>6225</v>
      </c>
      <c r="AV76">
        <v>2000</v>
      </c>
      <c r="BA76">
        <v>3870</v>
      </c>
      <c r="BK76">
        <v>11275</v>
      </c>
      <c r="BM76">
        <v>500</v>
      </c>
      <c r="BO76">
        <v>175</v>
      </c>
      <c r="BP76">
        <v>1190</v>
      </c>
      <c r="BS76">
        <v>200</v>
      </c>
      <c r="BU76">
        <v>5100</v>
      </c>
      <c r="BW76">
        <v>250</v>
      </c>
      <c r="BY76">
        <v>250</v>
      </c>
      <c r="CA76">
        <v>300</v>
      </c>
      <c r="CC76">
        <v>400</v>
      </c>
      <c r="CE76">
        <v>8925</v>
      </c>
      <c r="CG76">
        <v>250</v>
      </c>
      <c r="CI76">
        <v>150</v>
      </c>
      <c r="CK76">
        <v>550</v>
      </c>
      <c r="CO76">
        <v>4850</v>
      </c>
      <c r="CS76">
        <v>750</v>
      </c>
      <c r="CU76">
        <v>50</v>
      </c>
      <c r="CW76">
        <v>150</v>
      </c>
      <c r="CY76">
        <v>6075</v>
      </c>
      <c r="DA76">
        <v>100</v>
      </c>
      <c r="DC76">
        <v>100</v>
      </c>
      <c r="DD76">
        <v>10</v>
      </c>
      <c r="DI76">
        <v>1825</v>
      </c>
      <c r="DO76">
        <v>25</v>
      </c>
      <c r="DQ76">
        <v>50</v>
      </c>
      <c r="DS76">
        <v>2488</v>
      </c>
      <c r="DU76">
        <v>50</v>
      </c>
      <c r="DW76">
        <v>250</v>
      </c>
      <c r="EA76">
        <v>50</v>
      </c>
      <c r="EC76">
        <v>1050</v>
      </c>
      <c r="EE76">
        <v>150</v>
      </c>
      <c r="EI76">
        <v>50</v>
      </c>
      <c r="EU76">
        <v>50</v>
      </c>
      <c r="GM76">
        <f t="shared" si="2"/>
        <v>76768</v>
      </c>
    </row>
    <row r="77" spans="1:195" x14ac:dyDescent="0.25">
      <c r="A77" s="4">
        <f>DATE(2024,4,16)</f>
        <v>45398</v>
      </c>
      <c r="B77">
        <v>286818</v>
      </c>
      <c r="C77">
        <v>7550</v>
      </c>
      <c r="M77">
        <v>1000</v>
      </c>
      <c r="W77">
        <v>2100</v>
      </c>
      <c r="AG77">
        <v>6185</v>
      </c>
      <c r="AM77">
        <v>200</v>
      </c>
      <c r="AQ77">
        <v>6325</v>
      </c>
      <c r="AV77">
        <v>2000</v>
      </c>
      <c r="BA77">
        <v>4045</v>
      </c>
      <c r="BK77">
        <v>11250</v>
      </c>
      <c r="BM77">
        <v>500</v>
      </c>
      <c r="BO77">
        <v>175</v>
      </c>
      <c r="BP77">
        <v>1190</v>
      </c>
      <c r="BS77">
        <v>200</v>
      </c>
      <c r="BU77">
        <v>5450</v>
      </c>
      <c r="BW77">
        <v>250</v>
      </c>
      <c r="BY77">
        <v>250</v>
      </c>
      <c r="CA77">
        <v>300</v>
      </c>
      <c r="CC77">
        <v>400</v>
      </c>
      <c r="CE77">
        <v>8725</v>
      </c>
      <c r="CG77">
        <v>250</v>
      </c>
      <c r="CI77">
        <v>150</v>
      </c>
      <c r="CK77">
        <v>550</v>
      </c>
      <c r="CO77">
        <v>4600</v>
      </c>
      <c r="CS77">
        <v>750</v>
      </c>
      <c r="CU77">
        <v>50</v>
      </c>
      <c r="CW77">
        <v>150</v>
      </c>
      <c r="CY77">
        <v>6050</v>
      </c>
      <c r="DA77">
        <v>100</v>
      </c>
      <c r="DC77">
        <v>100</v>
      </c>
      <c r="DD77">
        <v>10</v>
      </c>
      <c r="DI77">
        <v>1825</v>
      </c>
      <c r="DO77">
        <v>25</v>
      </c>
      <c r="DQ77">
        <v>50</v>
      </c>
      <c r="DS77">
        <v>2488</v>
      </c>
      <c r="DU77">
        <v>50</v>
      </c>
      <c r="DW77">
        <v>250</v>
      </c>
      <c r="EA77">
        <v>50</v>
      </c>
      <c r="EC77">
        <v>1050</v>
      </c>
      <c r="EE77">
        <v>150</v>
      </c>
      <c r="EI77">
        <v>50</v>
      </c>
      <c r="EU77">
        <v>50</v>
      </c>
      <c r="GM77">
        <f t="shared" si="2"/>
        <v>76893</v>
      </c>
    </row>
    <row r="78" spans="1:195" x14ac:dyDescent="0.25">
      <c r="A78" s="4">
        <f>DATE(2024,4,15)</f>
        <v>45397</v>
      </c>
      <c r="B78">
        <v>287937</v>
      </c>
      <c r="C78">
        <v>7550</v>
      </c>
      <c r="M78">
        <v>1000</v>
      </c>
      <c r="W78">
        <v>2100</v>
      </c>
      <c r="AG78">
        <v>6185</v>
      </c>
      <c r="AM78">
        <v>200</v>
      </c>
      <c r="AQ78">
        <v>6125</v>
      </c>
      <c r="AV78">
        <v>2000</v>
      </c>
      <c r="BA78">
        <v>4045</v>
      </c>
      <c r="BK78">
        <v>11250</v>
      </c>
      <c r="BM78">
        <v>500</v>
      </c>
      <c r="BO78">
        <v>175</v>
      </c>
      <c r="BP78">
        <v>1190</v>
      </c>
      <c r="BS78">
        <v>200</v>
      </c>
      <c r="BU78">
        <v>5450</v>
      </c>
      <c r="BW78">
        <v>250</v>
      </c>
      <c r="BY78">
        <v>250</v>
      </c>
      <c r="CA78">
        <v>300</v>
      </c>
      <c r="CC78">
        <v>400</v>
      </c>
      <c r="CE78">
        <v>9375</v>
      </c>
      <c r="CG78">
        <v>250</v>
      </c>
      <c r="CI78">
        <v>150</v>
      </c>
      <c r="CK78">
        <v>550</v>
      </c>
      <c r="CO78">
        <v>4600</v>
      </c>
      <c r="CS78">
        <v>750</v>
      </c>
      <c r="CU78">
        <v>50</v>
      </c>
      <c r="CW78">
        <v>150</v>
      </c>
      <c r="CY78">
        <v>5750</v>
      </c>
      <c r="DA78">
        <v>100</v>
      </c>
      <c r="DC78">
        <v>100</v>
      </c>
      <c r="DD78">
        <v>10</v>
      </c>
      <c r="DI78">
        <v>1825</v>
      </c>
      <c r="DO78">
        <v>25</v>
      </c>
      <c r="DQ78">
        <v>50</v>
      </c>
      <c r="DS78">
        <v>2488</v>
      </c>
      <c r="DU78">
        <v>50</v>
      </c>
      <c r="DW78">
        <v>250</v>
      </c>
      <c r="EA78">
        <v>50</v>
      </c>
      <c r="EC78">
        <v>1050</v>
      </c>
      <c r="EE78">
        <v>150</v>
      </c>
      <c r="EI78">
        <v>50</v>
      </c>
      <c r="EU78">
        <v>50</v>
      </c>
      <c r="GM78">
        <f t="shared" si="2"/>
        <v>77043</v>
      </c>
    </row>
    <row r="79" spans="1:195" x14ac:dyDescent="0.25">
      <c r="A79" s="4">
        <f>DATE(2024,4,12)</f>
        <v>45394</v>
      </c>
      <c r="B79">
        <v>289544</v>
      </c>
      <c r="C79">
        <v>7550</v>
      </c>
      <c r="M79">
        <v>1000</v>
      </c>
      <c r="W79">
        <v>2100</v>
      </c>
      <c r="AG79">
        <v>6185</v>
      </c>
      <c r="AM79">
        <v>200</v>
      </c>
      <c r="AQ79">
        <v>6125</v>
      </c>
      <c r="AV79">
        <v>2000</v>
      </c>
      <c r="BA79">
        <v>4045</v>
      </c>
      <c r="BK79">
        <v>11250</v>
      </c>
      <c r="BM79">
        <v>500</v>
      </c>
      <c r="BO79">
        <v>175</v>
      </c>
      <c r="BP79">
        <v>1190</v>
      </c>
      <c r="BS79">
        <v>200</v>
      </c>
      <c r="BU79">
        <v>5425</v>
      </c>
      <c r="BW79">
        <v>250</v>
      </c>
      <c r="BY79">
        <v>250</v>
      </c>
      <c r="CA79">
        <v>300</v>
      </c>
      <c r="CC79">
        <v>50</v>
      </c>
      <c r="CE79">
        <v>9375</v>
      </c>
      <c r="CG79">
        <v>250</v>
      </c>
      <c r="CI79">
        <v>150</v>
      </c>
      <c r="CK79">
        <v>550</v>
      </c>
      <c r="CO79">
        <v>4500</v>
      </c>
      <c r="CS79">
        <v>750</v>
      </c>
      <c r="CU79">
        <v>50</v>
      </c>
      <c r="CW79">
        <v>150</v>
      </c>
      <c r="CY79">
        <v>5550</v>
      </c>
      <c r="DA79">
        <v>100</v>
      </c>
      <c r="DC79">
        <v>100</v>
      </c>
      <c r="DD79">
        <v>10</v>
      </c>
      <c r="DI79">
        <v>1825</v>
      </c>
      <c r="DO79">
        <v>25</v>
      </c>
      <c r="DQ79">
        <v>50</v>
      </c>
      <c r="DS79">
        <v>2488</v>
      </c>
      <c r="DU79">
        <v>50</v>
      </c>
      <c r="DW79">
        <v>250</v>
      </c>
      <c r="EA79">
        <v>50</v>
      </c>
      <c r="EC79">
        <v>1050</v>
      </c>
      <c r="EE79">
        <v>150</v>
      </c>
      <c r="EI79">
        <v>50</v>
      </c>
      <c r="EU79">
        <v>50</v>
      </c>
      <c r="GM79">
        <f t="shared" si="2"/>
        <v>76368</v>
      </c>
    </row>
    <row r="80" spans="1:195" x14ac:dyDescent="0.25">
      <c r="A80" s="4">
        <f>DATE(2024,4,11)</f>
        <v>45393</v>
      </c>
      <c r="B80">
        <v>290698</v>
      </c>
      <c r="C80">
        <v>7250</v>
      </c>
      <c r="M80">
        <v>1000</v>
      </c>
      <c r="W80">
        <v>2100</v>
      </c>
      <c r="AG80">
        <v>6335</v>
      </c>
      <c r="AM80">
        <v>200</v>
      </c>
      <c r="AQ80">
        <v>6125</v>
      </c>
      <c r="AV80">
        <v>2000</v>
      </c>
      <c r="BA80">
        <v>4045</v>
      </c>
      <c r="BK80">
        <v>11650</v>
      </c>
      <c r="BM80">
        <v>500</v>
      </c>
      <c r="BO80">
        <v>175</v>
      </c>
      <c r="BP80">
        <v>1190</v>
      </c>
      <c r="BS80">
        <v>200</v>
      </c>
      <c r="BU80">
        <v>5425</v>
      </c>
      <c r="BW80">
        <v>250</v>
      </c>
      <c r="BY80">
        <v>100</v>
      </c>
      <c r="CA80">
        <v>300</v>
      </c>
      <c r="CC80">
        <v>50</v>
      </c>
      <c r="CE80">
        <v>9625</v>
      </c>
      <c r="CG80">
        <v>250</v>
      </c>
      <c r="CI80">
        <v>150</v>
      </c>
      <c r="CK80">
        <v>550</v>
      </c>
      <c r="CO80">
        <v>4500</v>
      </c>
      <c r="CS80">
        <v>750</v>
      </c>
      <c r="CU80">
        <v>50</v>
      </c>
      <c r="CW80">
        <v>150</v>
      </c>
      <c r="CY80">
        <v>5550</v>
      </c>
      <c r="DA80">
        <v>100</v>
      </c>
      <c r="DC80">
        <v>100</v>
      </c>
      <c r="DD80">
        <v>10</v>
      </c>
      <c r="DI80">
        <v>1825</v>
      </c>
      <c r="DO80">
        <v>25</v>
      </c>
      <c r="DQ80">
        <v>50</v>
      </c>
      <c r="DS80">
        <v>2488</v>
      </c>
      <c r="DU80">
        <v>50</v>
      </c>
      <c r="DW80">
        <v>250</v>
      </c>
      <c r="EA80">
        <v>50</v>
      </c>
      <c r="EC80">
        <v>1050</v>
      </c>
      <c r="EE80">
        <v>150</v>
      </c>
      <c r="EI80">
        <v>50</v>
      </c>
      <c r="EU80">
        <v>50</v>
      </c>
      <c r="GM80">
        <f t="shared" si="2"/>
        <v>76718</v>
      </c>
    </row>
    <row r="81" spans="1:195" x14ac:dyDescent="0.25">
      <c r="A81" s="4">
        <f>DATE(2024,4,10)</f>
        <v>45392</v>
      </c>
      <c r="B81">
        <v>292220</v>
      </c>
      <c r="C81">
        <v>7250</v>
      </c>
      <c r="M81">
        <v>1000</v>
      </c>
      <c r="W81">
        <v>2100</v>
      </c>
      <c r="AG81">
        <v>6235</v>
      </c>
      <c r="AM81">
        <v>200</v>
      </c>
      <c r="AQ81">
        <v>6125</v>
      </c>
      <c r="AV81">
        <v>2000</v>
      </c>
      <c r="BA81">
        <v>3945</v>
      </c>
      <c r="BK81">
        <v>11650</v>
      </c>
      <c r="BM81">
        <v>500</v>
      </c>
      <c r="BO81">
        <v>175</v>
      </c>
      <c r="BP81">
        <v>1190</v>
      </c>
      <c r="BS81">
        <v>200</v>
      </c>
      <c r="BU81">
        <v>4575</v>
      </c>
      <c r="BW81">
        <v>250</v>
      </c>
      <c r="BY81">
        <v>100</v>
      </c>
      <c r="CA81">
        <v>300</v>
      </c>
      <c r="CC81">
        <v>50</v>
      </c>
      <c r="CE81">
        <v>9625</v>
      </c>
      <c r="CG81">
        <v>250</v>
      </c>
      <c r="CI81">
        <v>150</v>
      </c>
      <c r="CK81">
        <v>550</v>
      </c>
      <c r="CO81">
        <v>4500</v>
      </c>
      <c r="CS81">
        <v>750</v>
      </c>
      <c r="CU81">
        <v>50</v>
      </c>
      <c r="CW81">
        <v>150</v>
      </c>
      <c r="CY81">
        <v>5550</v>
      </c>
      <c r="DA81">
        <v>100</v>
      </c>
      <c r="DC81">
        <v>100</v>
      </c>
      <c r="DD81">
        <v>10</v>
      </c>
      <c r="DI81">
        <v>1825</v>
      </c>
      <c r="DO81">
        <v>25</v>
      </c>
      <c r="DQ81">
        <v>50</v>
      </c>
      <c r="DS81">
        <v>2488</v>
      </c>
      <c r="DU81">
        <v>50</v>
      </c>
      <c r="DW81">
        <v>250</v>
      </c>
      <c r="EA81">
        <v>50</v>
      </c>
      <c r="EC81">
        <v>1050</v>
      </c>
      <c r="EE81">
        <v>150</v>
      </c>
      <c r="EI81">
        <v>50</v>
      </c>
      <c r="EU81">
        <v>50</v>
      </c>
      <c r="GM81">
        <f t="shared" si="2"/>
        <v>75668</v>
      </c>
    </row>
    <row r="82" spans="1:195" x14ac:dyDescent="0.25">
      <c r="A82" s="4">
        <f>DATE(2024,4,9)</f>
        <v>45391</v>
      </c>
      <c r="B82">
        <v>290662</v>
      </c>
      <c r="C82">
        <v>7250</v>
      </c>
      <c r="M82">
        <v>1000</v>
      </c>
      <c r="W82">
        <v>2100</v>
      </c>
      <c r="AG82">
        <v>6235</v>
      </c>
      <c r="AM82">
        <v>200</v>
      </c>
      <c r="AQ82">
        <v>6125</v>
      </c>
      <c r="AV82">
        <v>2000</v>
      </c>
      <c r="BA82">
        <v>3945</v>
      </c>
      <c r="BK82">
        <v>11650</v>
      </c>
      <c r="BM82">
        <v>500</v>
      </c>
      <c r="BO82">
        <v>175</v>
      </c>
      <c r="BP82">
        <v>1190</v>
      </c>
      <c r="BS82">
        <v>200</v>
      </c>
      <c r="BU82">
        <v>4675</v>
      </c>
      <c r="BW82">
        <v>250</v>
      </c>
      <c r="CA82">
        <v>300</v>
      </c>
      <c r="CC82">
        <v>50</v>
      </c>
      <c r="CE82">
        <v>9625</v>
      </c>
      <c r="CG82">
        <v>250</v>
      </c>
      <c r="CI82">
        <v>150</v>
      </c>
      <c r="CK82">
        <v>550</v>
      </c>
      <c r="CO82">
        <v>4500</v>
      </c>
      <c r="CS82">
        <v>750</v>
      </c>
      <c r="CU82">
        <v>50</v>
      </c>
      <c r="CW82">
        <v>150</v>
      </c>
      <c r="CY82">
        <v>5550</v>
      </c>
      <c r="DA82">
        <v>100</v>
      </c>
      <c r="DC82">
        <v>100</v>
      </c>
      <c r="DD82">
        <v>10</v>
      </c>
      <c r="DI82">
        <v>1825</v>
      </c>
      <c r="DO82">
        <v>25</v>
      </c>
      <c r="DQ82">
        <v>50</v>
      </c>
      <c r="DS82">
        <v>2488</v>
      </c>
      <c r="DU82">
        <v>50</v>
      </c>
      <c r="DW82">
        <v>250</v>
      </c>
      <c r="EA82">
        <v>50</v>
      </c>
      <c r="EC82">
        <v>1050</v>
      </c>
      <c r="EE82">
        <v>150</v>
      </c>
      <c r="EI82">
        <v>50</v>
      </c>
      <c r="EU82">
        <v>50</v>
      </c>
      <c r="GM82">
        <f t="shared" si="2"/>
        <v>75668</v>
      </c>
    </row>
    <row r="83" spans="1:195" x14ac:dyDescent="0.25">
      <c r="A83" s="4">
        <f>DATE(2024,4,8)</f>
        <v>45390</v>
      </c>
      <c r="B83">
        <v>301156</v>
      </c>
      <c r="C83">
        <v>7250</v>
      </c>
      <c r="M83">
        <v>1000</v>
      </c>
      <c r="W83">
        <v>2100</v>
      </c>
      <c r="AG83">
        <v>6235</v>
      </c>
      <c r="AM83">
        <v>200</v>
      </c>
      <c r="AQ83">
        <v>6125</v>
      </c>
      <c r="AV83">
        <v>2000</v>
      </c>
      <c r="BA83">
        <v>3945</v>
      </c>
      <c r="BK83">
        <v>11650</v>
      </c>
      <c r="BM83">
        <v>500</v>
      </c>
      <c r="BO83">
        <v>175</v>
      </c>
      <c r="BP83">
        <v>1190</v>
      </c>
      <c r="BS83">
        <v>200</v>
      </c>
      <c r="BU83">
        <v>4575</v>
      </c>
      <c r="BW83">
        <v>250</v>
      </c>
      <c r="CA83">
        <v>300</v>
      </c>
      <c r="CC83">
        <v>50</v>
      </c>
      <c r="CE83">
        <v>9625</v>
      </c>
      <c r="CG83">
        <v>250</v>
      </c>
      <c r="CI83">
        <v>150</v>
      </c>
      <c r="CK83">
        <v>550</v>
      </c>
      <c r="CO83">
        <v>4500</v>
      </c>
      <c r="CS83">
        <v>750</v>
      </c>
      <c r="CU83">
        <v>50</v>
      </c>
      <c r="CW83">
        <v>150</v>
      </c>
      <c r="CY83">
        <v>5550</v>
      </c>
      <c r="DA83">
        <v>100</v>
      </c>
      <c r="DC83">
        <v>100</v>
      </c>
      <c r="DD83">
        <v>10</v>
      </c>
      <c r="DI83">
        <v>1825</v>
      </c>
      <c r="DO83">
        <v>25</v>
      </c>
      <c r="DQ83">
        <v>50</v>
      </c>
      <c r="DS83">
        <v>2488</v>
      </c>
      <c r="DU83">
        <v>50</v>
      </c>
      <c r="DW83">
        <v>250</v>
      </c>
      <c r="EA83">
        <v>50</v>
      </c>
      <c r="EC83">
        <v>1050</v>
      </c>
      <c r="EE83">
        <v>150</v>
      </c>
      <c r="EI83">
        <v>50</v>
      </c>
      <c r="EU83">
        <v>50</v>
      </c>
      <c r="GM83">
        <f t="shared" si="2"/>
        <v>75568</v>
      </c>
    </row>
    <row r="84" spans="1:195" x14ac:dyDescent="0.25">
      <c r="A84" s="4">
        <f>DATE(2024,4,5)</f>
        <v>45387</v>
      </c>
      <c r="B84">
        <v>301216</v>
      </c>
      <c r="C84">
        <v>7250</v>
      </c>
      <c r="M84">
        <v>1000</v>
      </c>
      <c r="W84">
        <v>2100</v>
      </c>
      <c r="AG84">
        <v>6235</v>
      </c>
      <c r="AM84">
        <v>200</v>
      </c>
      <c r="AQ84">
        <v>6125</v>
      </c>
      <c r="AV84">
        <v>2000</v>
      </c>
      <c r="BA84">
        <v>3945</v>
      </c>
      <c r="BK84">
        <v>11650</v>
      </c>
      <c r="BM84">
        <v>500</v>
      </c>
      <c r="BO84">
        <v>175</v>
      </c>
      <c r="BP84">
        <v>1190</v>
      </c>
      <c r="BS84">
        <v>200</v>
      </c>
      <c r="BU84">
        <v>4575</v>
      </c>
      <c r="BW84">
        <v>250</v>
      </c>
      <c r="CA84">
        <v>300</v>
      </c>
      <c r="CC84">
        <v>50</v>
      </c>
      <c r="CE84">
        <v>9625</v>
      </c>
      <c r="CG84">
        <v>250</v>
      </c>
      <c r="CI84">
        <v>150</v>
      </c>
      <c r="CK84">
        <v>550</v>
      </c>
      <c r="CO84">
        <v>4500</v>
      </c>
      <c r="CS84">
        <v>750</v>
      </c>
      <c r="CU84">
        <v>50</v>
      </c>
      <c r="CW84">
        <v>150</v>
      </c>
      <c r="CY84">
        <v>5550</v>
      </c>
      <c r="DA84">
        <v>100</v>
      </c>
      <c r="DC84">
        <v>100</v>
      </c>
      <c r="DD84">
        <v>10</v>
      </c>
      <c r="DI84">
        <v>1825</v>
      </c>
      <c r="DO84">
        <v>25</v>
      </c>
      <c r="DQ84">
        <v>50</v>
      </c>
      <c r="DS84">
        <v>2488</v>
      </c>
      <c r="DU84">
        <v>50</v>
      </c>
      <c r="DW84">
        <v>250</v>
      </c>
      <c r="EA84">
        <v>50</v>
      </c>
      <c r="EC84">
        <v>1050</v>
      </c>
      <c r="EE84">
        <v>150</v>
      </c>
      <c r="EI84">
        <v>50</v>
      </c>
      <c r="EU84">
        <v>50</v>
      </c>
      <c r="GM84">
        <f t="shared" si="2"/>
        <v>75568</v>
      </c>
    </row>
    <row r="85" spans="1:195" x14ac:dyDescent="0.25">
      <c r="A85" s="4">
        <f>DATE(2024,4,4)</f>
        <v>45386</v>
      </c>
      <c r="B85">
        <v>303135</v>
      </c>
      <c r="C85">
        <v>7050</v>
      </c>
      <c r="M85">
        <v>1000</v>
      </c>
      <c r="W85">
        <v>2100</v>
      </c>
      <c r="AG85">
        <v>6235</v>
      </c>
      <c r="AM85">
        <v>200</v>
      </c>
      <c r="AQ85">
        <v>6275</v>
      </c>
      <c r="AV85">
        <v>2000</v>
      </c>
      <c r="BA85">
        <v>3650</v>
      </c>
      <c r="BK85">
        <v>11650</v>
      </c>
      <c r="BM85">
        <v>500</v>
      </c>
      <c r="BO85">
        <v>175</v>
      </c>
      <c r="BP85">
        <v>1190</v>
      </c>
      <c r="BS85">
        <v>200</v>
      </c>
      <c r="BU85">
        <v>4575</v>
      </c>
      <c r="BW85">
        <v>250</v>
      </c>
      <c r="CA85">
        <v>300</v>
      </c>
      <c r="CC85">
        <v>50</v>
      </c>
      <c r="CE85">
        <v>9625</v>
      </c>
      <c r="CG85">
        <v>250</v>
      </c>
      <c r="CI85">
        <v>150</v>
      </c>
      <c r="CK85">
        <v>550</v>
      </c>
      <c r="CO85">
        <v>4500</v>
      </c>
      <c r="CS85">
        <v>750</v>
      </c>
      <c r="CU85">
        <v>50</v>
      </c>
      <c r="CW85">
        <v>150</v>
      </c>
      <c r="CY85">
        <v>5550</v>
      </c>
      <c r="DA85">
        <v>100</v>
      </c>
      <c r="DC85">
        <v>100</v>
      </c>
      <c r="DD85">
        <v>10</v>
      </c>
      <c r="DI85">
        <v>1825</v>
      </c>
      <c r="DO85">
        <v>25</v>
      </c>
      <c r="DQ85">
        <v>50</v>
      </c>
      <c r="DS85">
        <v>2488</v>
      </c>
      <c r="DU85">
        <v>50</v>
      </c>
      <c r="DW85">
        <v>250</v>
      </c>
      <c r="EA85">
        <v>50</v>
      </c>
      <c r="EC85">
        <v>1050</v>
      </c>
      <c r="EE85">
        <v>150</v>
      </c>
      <c r="EI85">
        <v>50</v>
      </c>
      <c r="EU85">
        <v>50</v>
      </c>
      <c r="GM85">
        <f t="shared" si="2"/>
        <v>75223</v>
      </c>
    </row>
    <row r="86" spans="1:195" x14ac:dyDescent="0.25">
      <c r="A86" s="4">
        <f>DATE(2024,4,3)</f>
        <v>45385</v>
      </c>
      <c r="B86">
        <v>303974</v>
      </c>
      <c r="C86">
        <v>7050</v>
      </c>
      <c r="M86">
        <v>1000</v>
      </c>
      <c r="W86">
        <v>2100</v>
      </c>
      <c r="AG86">
        <v>6235</v>
      </c>
      <c r="AM86">
        <v>200</v>
      </c>
      <c r="AQ86">
        <v>6275</v>
      </c>
      <c r="AV86">
        <v>2000</v>
      </c>
      <c r="BA86">
        <v>3650</v>
      </c>
      <c r="BK86">
        <v>11650</v>
      </c>
      <c r="BM86">
        <v>500</v>
      </c>
      <c r="BO86">
        <v>175</v>
      </c>
      <c r="BP86">
        <v>1190</v>
      </c>
      <c r="BS86">
        <v>200</v>
      </c>
      <c r="BU86">
        <v>4575</v>
      </c>
      <c r="BW86">
        <v>250</v>
      </c>
      <c r="CA86">
        <v>300</v>
      </c>
      <c r="CC86">
        <v>50</v>
      </c>
      <c r="CE86">
        <v>9625</v>
      </c>
      <c r="CG86">
        <v>250</v>
      </c>
      <c r="CI86">
        <v>150</v>
      </c>
      <c r="CK86">
        <v>550</v>
      </c>
      <c r="CO86">
        <v>4500</v>
      </c>
      <c r="CS86">
        <v>750</v>
      </c>
      <c r="CU86">
        <v>50</v>
      </c>
      <c r="CW86">
        <v>150</v>
      </c>
      <c r="CY86">
        <v>5550</v>
      </c>
      <c r="DA86">
        <v>100</v>
      </c>
      <c r="DC86">
        <v>100</v>
      </c>
      <c r="DD86">
        <v>10</v>
      </c>
      <c r="DI86">
        <v>1825</v>
      </c>
      <c r="DO86">
        <v>25</v>
      </c>
      <c r="DQ86">
        <v>50</v>
      </c>
      <c r="DS86">
        <v>2488</v>
      </c>
      <c r="DU86">
        <v>50</v>
      </c>
      <c r="DW86">
        <v>250</v>
      </c>
      <c r="EA86">
        <v>50</v>
      </c>
      <c r="EC86">
        <v>1050</v>
      </c>
      <c r="EE86">
        <v>150</v>
      </c>
      <c r="EI86">
        <v>50</v>
      </c>
      <c r="EU86">
        <v>50</v>
      </c>
      <c r="GM86">
        <f t="shared" si="2"/>
        <v>75223</v>
      </c>
    </row>
    <row r="87" spans="1:195" x14ac:dyDescent="0.25">
      <c r="A87" s="4">
        <f>DATE(2024,4,2)</f>
        <v>45384</v>
      </c>
      <c r="B87">
        <v>305461</v>
      </c>
      <c r="C87">
        <v>7050</v>
      </c>
      <c r="W87">
        <v>2100</v>
      </c>
      <c r="AG87">
        <v>6235</v>
      </c>
      <c r="AM87">
        <v>200</v>
      </c>
      <c r="AQ87">
        <v>6275</v>
      </c>
      <c r="BA87">
        <v>3650</v>
      </c>
      <c r="BK87">
        <v>10500</v>
      </c>
      <c r="BM87">
        <v>500</v>
      </c>
      <c r="BO87">
        <v>175</v>
      </c>
      <c r="BP87">
        <v>1190</v>
      </c>
      <c r="BS87">
        <v>200</v>
      </c>
      <c r="BU87">
        <v>4575</v>
      </c>
      <c r="BW87">
        <v>250</v>
      </c>
      <c r="CA87">
        <v>300</v>
      </c>
      <c r="CC87">
        <v>50</v>
      </c>
      <c r="CE87">
        <v>9475</v>
      </c>
      <c r="CG87">
        <v>250</v>
      </c>
      <c r="CI87">
        <v>150</v>
      </c>
      <c r="CK87">
        <v>550</v>
      </c>
      <c r="CO87">
        <v>4500</v>
      </c>
      <c r="CS87">
        <v>750</v>
      </c>
      <c r="CU87">
        <v>50</v>
      </c>
      <c r="CW87">
        <v>150</v>
      </c>
      <c r="CY87">
        <v>5550</v>
      </c>
      <c r="DA87">
        <v>100</v>
      </c>
      <c r="DC87">
        <v>100</v>
      </c>
      <c r="DD87">
        <v>10</v>
      </c>
      <c r="DI87">
        <v>1825</v>
      </c>
      <c r="DO87">
        <v>25</v>
      </c>
      <c r="DQ87">
        <v>50</v>
      </c>
      <c r="DS87">
        <v>2488</v>
      </c>
      <c r="DU87">
        <v>50</v>
      </c>
      <c r="DW87">
        <v>250</v>
      </c>
      <c r="EA87">
        <v>50</v>
      </c>
      <c r="EC87">
        <v>1050</v>
      </c>
      <c r="EE87">
        <v>150</v>
      </c>
      <c r="EI87">
        <v>50</v>
      </c>
      <c r="EU87">
        <v>50</v>
      </c>
      <c r="GM87">
        <f t="shared" si="2"/>
        <v>70923</v>
      </c>
    </row>
    <row r="88" spans="1:195" x14ac:dyDescent="0.25">
      <c r="A88" s="4">
        <f>DATE(2024,4,1)</f>
        <v>45383</v>
      </c>
      <c r="B88">
        <v>305049</v>
      </c>
      <c r="C88">
        <v>7050</v>
      </c>
      <c r="W88">
        <v>2100</v>
      </c>
      <c r="AG88">
        <v>6235</v>
      </c>
      <c r="AM88">
        <v>200</v>
      </c>
      <c r="AQ88">
        <v>6275</v>
      </c>
      <c r="BA88">
        <v>3650</v>
      </c>
      <c r="BK88">
        <v>10500</v>
      </c>
      <c r="BM88">
        <v>500</v>
      </c>
      <c r="BO88">
        <v>175</v>
      </c>
      <c r="BP88">
        <v>1190</v>
      </c>
      <c r="BS88">
        <v>200</v>
      </c>
      <c r="BU88">
        <v>4575</v>
      </c>
      <c r="BW88">
        <v>250</v>
      </c>
      <c r="CA88">
        <v>300</v>
      </c>
      <c r="CC88">
        <v>50</v>
      </c>
      <c r="CE88">
        <v>9475</v>
      </c>
      <c r="CG88">
        <v>250</v>
      </c>
      <c r="CI88">
        <v>150</v>
      </c>
      <c r="CK88">
        <v>550</v>
      </c>
      <c r="CO88">
        <v>4500</v>
      </c>
      <c r="CS88">
        <v>750</v>
      </c>
      <c r="CU88">
        <v>50</v>
      </c>
      <c r="CW88">
        <v>150</v>
      </c>
      <c r="CY88">
        <v>5550</v>
      </c>
      <c r="DA88">
        <v>100</v>
      </c>
      <c r="DC88">
        <v>100</v>
      </c>
      <c r="DD88">
        <v>10</v>
      </c>
      <c r="DI88">
        <v>1825</v>
      </c>
      <c r="DO88">
        <v>25</v>
      </c>
      <c r="DQ88">
        <v>50</v>
      </c>
      <c r="DS88">
        <v>2488</v>
      </c>
      <c r="DU88">
        <v>50</v>
      </c>
      <c r="DW88">
        <v>250</v>
      </c>
      <c r="EA88">
        <v>50</v>
      </c>
      <c r="EC88">
        <v>1050</v>
      </c>
      <c r="EE88">
        <v>150</v>
      </c>
      <c r="EI88">
        <v>50</v>
      </c>
      <c r="EU88">
        <v>50</v>
      </c>
      <c r="GM88">
        <f t="shared" si="2"/>
        <v>70923</v>
      </c>
    </row>
    <row r="89" spans="1:195" x14ac:dyDescent="0.25">
      <c r="A89" s="4">
        <f>DATE(2024,3,29)</f>
        <v>45380</v>
      </c>
      <c r="GM89">
        <f t="shared" si="2"/>
        <v>0</v>
      </c>
    </row>
    <row r="90" spans="1:195" x14ac:dyDescent="0.25">
      <c r="A90" s="4">
        <f>DATE(2024,3,28)</f>
        <v>45379</v>
      </c>
      <c r="B90">
        <v>305054</v>
      </c>
      <c r="C90">
        <v>7050</v>
      </c>
      <c r="W90">
        <v>2100</v>
      </c>
      <c r="AG90">
        <v>6235</v>
      </c>
      <c r="AM90">
        <v>200</v>
      </c>
      <c r="AQ90">
        <v>6275</v>
      </c>
      <c r="BA90">
        <v>3650</v>
      </c>
      <c r="BK90">
        <v>10500</v>
      </c>
      <c r="BM90">
        <v>500</v>
      </c>
      <c r="BO90">
        <v>175</v>
      </c>
      <c r="BP90">
        <v>1190</v>
      </c>
      <c r="BS90">
        <v>200</v>
      </c>
      <c r="BU90">
        <v>4575</v>
      </c>
      <c r="BW90">
        <v>250</v>
      </c>
      <c r="CA90">
        <v>300</v>
      </c>
      <c r="CC90">
        <v>50</v>
      </c>
      <c r="CE90">
        <v>9475</v>
      </c>
      <c r="CG90">
        <v>250</v>
      </c>
      <c r="CI90">
        <v>150</v>
      </c>
      <c r="CK90">
        <v>550</v>
      </c>
      <c r="CO90">
        <v>4500</v>
      </c>
      <c r="CS90">
        <v>750</v>
      </c>
      <c r="CU90">
        <v>50</v>
      </c>
      <c r="CW90">
        <v>150</v>
      </c>
      <c r="CY90">
        <v>5550</v>
      </c>
      <c r="DA90">
        <v>100</v>
      </c>
      <c r="DC90">
        <v>100</v>
      </c>
      <c r="DD90">
        <v>10</v>
      </c>
      <c r="DI90">
        <v>1825</v>
      </c>
      <c r="DO90">
        <v>25</v>
      </c>
      <c r="DQ90">
        <v>50</v>
      </c>
      <c r="DS90">
        <v>2488</v>
      </c>
      <c r="DU90">
        <v>50</v>
      </c>
      <c r="DW90">
        <v>250</v>
      </c>
      <c r="EA90">
        <v>50</v>
      </c>
      <c r="EC90">
        <v>1050</v>
      </c>
      <c r="EE90">
        <v>150</v>
      </c>
      <c r="EI90">
        <v>50</v>
      </c>
      <c r="EU90">
        <v>50</v>
      </c>
      <c r="GM90">
        <f t="shared" si="2"/>
        <v>70923</v>
      </c>
    </row>
    <row r="91" spans="1:195" x14ac:dyDescent="0.25">
      <c r="A91" s="4">
        <f>DATE(2024,3,27)</f>
        <v>45378</v>
      </c>
      <c r="B91">
        <v>303156</v>
      </c>
      <c r="C91">
        <v>6850</v>
      </c>
      <c r="W91">
        <v>2100</v>
      </c>
      <c r="AG91">
        <v>6235</v>
      </c>
      <c r="AM91">
        <v>200</v>
      </c>
      <c r="AQ91">
        <v>6275</v>
      </c>
      <c r="BA91">
        <v>3650</v>
      </c>
      <c r="BK91">
        <v>10475</v>
      </c>
      <c r="BM91">
        <v>500</v>
      </c>
      <c r="BO91">
        <v>175</v>
      </c>
      <c r="BP91">
        <v>1190</v>
      </c>
      <c r="BS91">
        <v>200</v>
      </c>
      <c r="BU91">
        <v>4575</v>
      </c>
      <c r="BW91">
        <v>250</v>
      </c>
      <c r="CA91">
        <v>300</v>
      </c>
      <c r="CC91">
        <v>50</v>
      </c>
      <c r="CE91">
        <v>9475</v>
      </c>
      <c r="CG91">
        <v>250</v>
      </c>
      <c r="CI91">
        <v>150</v>
      </c>
      <c r="CK91">
        <v>550</v>
      </c>
      <c r="CO91">
        <v>4500</v>
      </c>
      <c r="CS91">
        <v>750</v>
      </c>
      <c r="CU91">
        <v>50</v>
      </c>
      <c r="CW91">
        <v>150</v>
      </c>
      <c r="CY91">
        <v>5550</v>
      </c>
      <c r="DA91">
        <v>100</v>
      </c>
      <c r="DC91">
        <v>100</v>
      </c>
      <c r="DD91">
        <v>10</v>
      </c>
      <c r="DI91">
        <v>1825</v>
      </c>
      <c r="DO91">
        <v>25</v>
      </c>
      <c r="DQ91">
        <v>50</v>
      </c>
      <c r="DS91">
        <v>2488</v>
      </c>
      <c r="DU91">
        <v>50</v>
      </c>
      <c r="DW91">
        <v>250</v>
      </c>
      <c r="EA91">
        <v>50</v>
      </c>
      <c r="EC91">
        <v>1050</v>
      </c>
      <c r="EE91">
        <v>150</v>
      </c>
      <c r="EI91">
        <v>50</v>
      </c>
      <c r="EU91">
        <v>50</v>
      </c>
      <c r="GM91">
        <f t="shared" si="2"/>
        <v>70698</v>
      </c>
    </row>
    <row r="92" spans="1:195" x14ac:dyDescent="0.25">
      <c r="A92" s="4">
        <f>DATE(2024,3,26)</f>
        <v>45377</v>
      </c>
      <c r="B92">
        <v>299462</v>
      </c>
      <c r="C92">
        <v>6850</v>
      </c>
      <c r="W92">
        <v>2100</v>
      </c>
      <c r="AG92">
        <v>6235</v>
      </c>
      <c r="AM92">
        <v>200</v>
      </c>
      <c r="AQ92">
        <v>6275</v>
      </c>
      <c r="BA92">
        <v>3750</v>
      </c>
      <c r="BK92">
        <v>10475</v>
      </c>
      <c r="BM92">
        <v>500</v>
      </c>
      <c r="BO92">
        <v>175</v>
      </c>
      <c r="BP92">
        <v>1190</v>
      </c>
      <c r="BS92">
        <v>200</v>
      </c>
      <c r="BU92">
        <v>4575</v>
      </c>
      <c r="BW92">
        <v>250</v>
      </c>
      <c r="CA92">
        <v>300</v>
      </c>
      <c r="CE92">
        <v>9475</v>
      </c>
      <c r="CG92">
        <v>250</v>
      </c>
      <c r="CI92">
        <v>150</v>
      </c>
      <c r="CK92">
        <v>550</v>
      </c>
      <c r="CO92">
        <v>4400</v>
      </c>
      <c r="CS92">
        <v>750</v>
      </c>
      <c r="CU92">
        <v>50</v>
      </c>
      <c r="CW92">
        <v>150</v>
      </c>
      <c r="CY92">
        <v>5550</v>
      </c>
      <c r="DA92">
        <v>100</v>
      </c>
      <c r="DC92">
        <v>100</v>
      </c>
      <c r="DD92">
        <v>10</v>
      </c>
      <c r="DI92">
        <v>1825</v>
      </c>
      <c r="DO92">
        <v>25</v>
      </c>
      <c r="DQ92">
        <v>50</v>
      </c>
      <c r="DS92">
        <v>2488</v>
      </c>
      <c r="DU92">
        <v>50</v>
      </c>
      <c r="DW92">
        <v>250</v>
      </c>
      <c r="EA92">
        <v>50</v>
      </c>
      <c r="EC92">
        <v>1050</v>
      </c>
      <c r="EE92">
        <v>150</v>
      </c>
      <c r="EI92">
        <v>50</v>
      </c>
      <c r="EU92">
        <v>50</v>
      </c>
      <c r="GM92">
        <f t="shared" si="2"/>
        <v>70648</v>
      </c>
    </row>
    <row r="93" spans="1:195" x14ac:dyDescent="0.25">
      <c r="A93" s="4">
        <f>DATE(2024,3,25)</f>
        <v>45376</v>
      </c>
      <c r="B93">
        <v>297131</v>
      </c>
      <c r="C93">
        <v>6850</v>
      </c>
      <c r="W93">
        <v>2100</v>
      </c>
      <c r="AG93">
        <v>6360</v>
      </c>
      <c r="AM93">
        <v>200</v>
      </c>
      <c r="AQ93">
        <v>6275</v>
      </c>
      <c r="BA93">
        <v>3750</v>
      </c>
      <c r="BK93">
        <v>10575</v>
      </c>
      <c r="BM93">
        <v>500</v>
      </c>
      <c r="BO93">
        <v>175</v>
      </c>
      <c r="BP93">
        <v>1190</v>
      </c>
      <c r="BS93">
        <v>200</v>
      </c>
      <c r="BU93">
        <v>4475</v>
      </c>
      <c r="BW93">
        <v>250</v>
      </c>
      <c r="CA93">
        <v>300</v>
      </c>
      <c r="CE93">
        <v>9475</v>
      </c>
      <c r="CG93">
        <v>250</v>
      </c>
      <c r="CI93">
        <v>150</v>
      </c>
      <c r="CK93">
        <v>550</v>
      </c>
      <c r="CO93">
        <v>4350</v>
      </c>
      <c r="CS93">
        <v>750</v>
      </c>
      <c r="CU93">
        <v>50</v>
      </c>
      <c r="CW93">
        <v>150</v>
      </c>
      <c r="CY93">
        <v>5550</v>
      </c>
      <c r="DA93">
        <v>100</v>
      </c>
      <c r="DC93">
        <v>100</v>
      </c>
      <c r="DD93">
        <v>10</v>
      </c>
      <c r="DI93">
        <v>1825</v>
      </c>
      <c r="DO93">
        <v>25</v>
      </c>
      <c r="DQ93">
        <v>50</v>
      </c>
      <c r="DS93">
        <v>2488</v>
      </c>
      <c r="DU93">
        <v>50</v>
      </c>
      <c r="DW93">
        <v>250</v>
      </c>
      <c r="EA93">
        <v>50</v>
      </c>
      <c r="EC93">
        <v>1050</v>
      </c>
      <c r="EE93">
        <v>150</v>
      </c>
      <c r="EI93">
        <v>50</v>
      </c>
      <c r="EU93">
        <v>50</v>
      </c>
      <c r="GM93">
        <f t="shared" si="2"/>
        <v>70723</v>
      </c>
    </row>
    <row r="94" spans="1:195" x14ac:dyDescent="0.25">
      <c r="A94" s="4">
        <f>DATE(2024,3,22)</f>
        <v>45373</v>
      </c>
      <c r="B94">
        <v>297063</v>
      </c>
      <c r="C94">
        <v>6850</v>
      </c>
      <c r="W94">
        <v>2100</v>
      </c>
      <c r="AG94">
        <v>6360</v>
      </c>
      <c r="AM94">
        <v>200</v>
      </c>
      <c r="AQ94">
        <v>6275</v>
      </c>
      <c r="BA94">
        <v>3850</v>
      </c>
      <c r="BK94">
        <v>10750</v>
      </c>
      <c r="BM94">
        <v>500</v>
      </c>
      <c r="BO94">
        <v>175</v>
      </c>
      <c r="BP94">
        <v>1190</v>
      </c>
      <c r="BS94">
        <v>200</v>
      </c>
      <c r="BU94">
        <v>4475</v>
      </c>
      <c r="BW94">
        <v>250</v>
      </c>
      <c r="CA94">
        <v>300</v>
      </c>
      <c r="CE94">
        <v>9475</v>
      </c>
      <c r="CG94">
        <v>250</v>
      </c>
      <c r="CI94">
        <v>150</v>
      </c>
      <c r="CK94">
        <v>550</v>
      </c>
      <c r="CO94">
        <v>4350</v>
      </c>
      <c r="CS94">
        <v>750</v>
      </c>
      <c r="CU94">
        <v>50</v>
      </c>
      <c r="CW94">
        <v>150</v>
      </c>
      <c r="CY94">
        <v>5550</v>
      </c>
      <c r="DA94">
        <v>100</v>
      </c>
      <c r="DC94">
        <v>100</v>
      </c>
      <c r="DD94">
        <v>10</v>
      </c>
      <c r="DI94">
        <v>1825</v>
      </c>
      <c r="DO94">
        <v>25</v>
      </c>
      <c r="DQ94">
        <v>50</v>
      </c>
      <c r="DS94">
        <v>2488</v>
      </c>
      <c r="DU94">
        <v>50</v>
      </c>
      <c r="DW94">
        <v>250</v>
      </c>
      <c r="EA94">
        <v>50</v>
      </c>
      <c r="EC94">
        <v>1050</v>
      </c>
      <c r="EE94">
        <v>150</v>
      </c>
      <c r="EI94">
        <v>50</v>
      </c>
      <c r="EU94">
        <v>50</v>
      </c>
      <c r="GM94">
        <f t="shared" si="2"/>
        <v>70998</v>
      </c>
    </row>
    <row r="95" spans="1:195" x14ac:dyDescent="0.25">
      <c r="A95" s="4">
        <f>DATE(2024,3,21)</f>
        <v>45372</v>
      </c>
      <c r="B95">
        <v>294791</v>
      </c>
      <c r="C95">
        <v>6850</v>
      </c>
      <c r="W95">
        <v>2100</v>
      </c>
      <c r="AG95">
        <v>6360</v>
      </c>
      <c r="AM95">
        <v>200</v>
      </c>
      <c r="AQ95">
        <v>5675</v>
      </c>
      <c r="BA95">
        <v>3850</v>
      </c>
      <c r="BK95">
        <v>10575</v>
      </c>
      <c r="BM95">
        <v>500</v>
      </c>
      <c r="BO95">
        <v>175</v>
      </c>
      <c r="BP95">
        <v>1190</v>
      </c>
      <c r="BS95">
        <v>200</v>
      </c>
      <c r="BU95">
        <v>4525</v>
      </c>
      <c r="BW95">
        <v>250</v>
      </c>
      <c r="CA95">
        <v>300</v>
      </c>
      <c r="CE95">
        <v>9475</v>
      </c>
      <c r="CG95">
        <v>250</v>
      </c>
      <c r="CI95">
        <v>150</v>
      </c>
      <c r="CK95">
        <v>550</v>
      </c>
      <c r="CO95">
        <v>4350</v>
      </c>
      <c r="CS95">
        <v>750</v>
      </c>
      <c r="CU95">
        <v>50</v>
      </c>
      <c r="CW95">
        <v>150</v>
      </c>
      <c r="CY95">
        <v>5550</v>
      </c>
      <c r="DA95">
        <v>100</v>
      </c>
      <c r="DC95">
        <v>100</v>
      </c>
      <c r="DD95">
        <v>10</v>
      </c>
      <c r="DI95">
        <v>1825</v>
      </c>
      <c r="DO95">
        <v>25</v>
      </c>
      <c r="DQ95">
        <v>50</v>
      </c>
      <c r="DS95">
        <v>2488</v>
      </c>
      <c r="DU95">
        <v>50</v>
      </c>
      <c r="DW95">
        <v>250</v>
      </c>
      <c r="EA95">
        <v>50</v>
      </c>
      <c r="EC95">
        <v>1050</v>
      </c>
      <c r="EE95">
        <v>150</v>
      </c>
      <c r="EI95">
        <v>50</v>
      </c>
      <c r="EU95">
        <v>50</v>
      </c>
      <c r="GM95">
        <f t="shared" si="2"/>
        <v>70273</v>
      </c>
    </row>
    <row r="96" spans="1:195" x14ac:dyDescent="0.25">
      <c r="A96" s="4">
        <f>DATE(2024,3,20)</f>
        <v>45371</v>
      </c>
      <c r="B96">
        <v>292958</v>
      </c>
      <c r="C96">
        <v>6850</v>
      </c>
      <c r="W96">
        <v>2100</v>
      </c>
      <c r="AG96">
        <v>6360</v>
      </c>
      <c r="AM96">
        <v>200</v>
      </c>
      <c r="AQ96">
        <v>4700</v>
      </c>
      <c r="BA96">
        <v>3850</v>
      </c>
      <c r="BK96">
        <v>9925</v>
      </c>
      <c r="BM96">
        <v>500</v>
      </c>
      <c r="BO96">
        <v>175</v>
      </c>
      <c r="BP96">
        <v>1190</v>
      </c>
      <c r="BS96">
        <v>200</v>
      </c>
      <c r="BU96">
        <v>4975</v>
      </c>
      <c r="BW96">
        <v>250</v>
      </c>
      <c r="CA96">
        <v>300</v>
      </c>
      <c r="CE96">
        <v>9475</v>
      </c>
      <c r="CG96">
        <v>250</v>
      </c>
      <c r="CI96">
        <v>150</v>
      </c>
      <c r="CK96">
        <v>550</v>
      </c>
      <c r="CO96">
        <v>4350</v>
      </c>
      <c r="CS96">
        <v>750</v>
      </c>
      <c r="CU96">
        <v>50</v>
      </c>
      <c r="CW96">
        <v>150</v>
      </c>
      <c r="CY96">
        <v>5550</v>
      </c>
      <c r="DA96">
        <v>100</v>
      </c>
      <c r="DC96">
        <v>100</v>
      </c>
      <c r="DD96">
        <v>10</v>
      </c>
      <c r="DI96">
        <v>1825</v>
      </c>
      <c r="DO96">
        <v>25</v>
      </c>
      <c r="DQ96">
        <v>50</v>
      </c>
      <c r="DS96">
        <v>2488</v>
      </c>
      <c r="DU96">
        <v>50</v>
      </c>
      <c r="DW96">
        <v>250</v>
      </c>
      <c r="EA96">
        <v>50</v>
      </c>
      <c r="EC96">
        <v>1050</v>
      </c>
      <c r="EE96">
        <v>150</v>
      </c>
      <c r="EI96">
        <v>50</v>
      </c>
      <c r="EU96">
        <v>50</v>
      </c>
      <c r="GM96">
        <f t="shared" si="2"/>
        <v>69098</v>
      </c>
    </row>
    <row r="97" spans="1:195" x14ac:dyDescent="0.25">
      <c r="A97" s="4">
        <f>DATE(2024,3,19)</f>
        <v>45370</v>
      </c>
      <c r="B97">
        <v>293112</v>
      </c>
      <c r="C97">
        <v>6850</v>
      </c>
      <c r="W97">
        <v>2100</v>
      </c>
      <c r="AG97">
        <v>6360</v>
      </c>
      <c r="AM97">
        <v>200</v>
      </c>
      <c r="AQ97">
        <v>4450</v>
      </c>
      <c r="BA97">
        <v>3850</v>
      </c>
      <c r="BK97">
        <v>9675</v>
      </c>
      <c r="BM97">
        <v>500</v>
      </c>
      <c r="BO97">
        <v>175</v>
      </c>
      <c r="BP97">
        <v>1190</v>
      </c>
      <c r="BS97">
        <v>200</v>
      </c>
      <c r="BU97">
        <v>4975</v>
      </c>
      <c r="BW97">
        <v>250</v>
      </c>
      <c r="CA97">
        <v>300</v>
      </c>
      <c r="CE97">
        <v>9475</v>
      </c>
      <c r="CG97">
        <v>250</v>
      </c>
      <c r="CI97">
        <v>150</v>
      </c>
      <c r="CK97">
        <v>550</v>
      </c>
      <c r="CO97">
        <v>4350</v>
      </c>
      <c r="CS97">
        <v>750</v>
      </c>
      <c r="CU97">
        <v>50</v>
      </c>
      <c r="CW97">
        <v>150</v>
      </c>
      <c r="CY97">
        <v>5550</v>
      </c>
      <c r="DA97">
        <v>100</v>
      </c>
      <c r="DC97">
        <v>100</v>
      </c>
      <c r="DD97">
        <v>10</v>
      </c>
      <c r="DI97">
        <v>1825</v>
      </c>
      <c r="DO97">
        <v>25</v>
      </c>
      <c r="DQ97">
        <v>50</v>
      </c>
      <c r="DS97">
        <v>2488</v>
      </c>
      <c r="DU97">
        <v>50</v>
      </c>
      <c r="DW97">
        <v>250</v>
      </c>
      <c r="EA97">
        <v>50</v>
      </c>
      <c r="EC97">
        <v>1050</v>
      </c>
      <c r="EE97">
        <v>150</v>
      </c>
      <c r="EI97">
        <v>50</v>
      </c>
      <c r="EU97">
        <v>50</v>
      </c>
      <c r="GM97">
        <f t="shared" si="2"/>
        <v>68598</v>
      </c>
    </row>
    <row r="98" spans="1:195" x14ac:dyDescent="0.25">
      <c r="A98" s="4">
        <f>DATE(2024,3,18)</f>
        <v>45369</v>
      </c>
      <c r="B98">
        <v>295129</v>
      </c>
      <c r="C98">
        <v>6850</v>
      </c>
      <c r="W98">
        <v>2100</v>
      </c>
      <c r="AG98">
        <v>6360</v>
      </c>
      <c r="AM98">
        <v>200</v>
      </c>
      <c r="AQ98">
        <v>4450</v>
      </c>
      <c r="BA98">
        <v>3900</v>
      </c>
      <c r="BK98">
        <v>7205</v>
      </c>
      <c r="BM98">
        <v>500</v>
      </c>
      <c r="BO98">
        <v>175</v>
      </c>
      <c r="BP98">
        <v>1190</v>
      </c>
      <c r="BS98">
        <v>200</v>
      </c>
      <c r="BU98">
        <v>4975</v>
      </c>
      <c r="BW98">
        <v>250</v>
      </c>
      <c r="CA98">
        <v>300</v>
      </c>
      <c r="CE98">
        <v>9475</v>
      </c>
      <c r="CG98">
        <v>250</v>
      </c>
      <c r="CI98">
        <v>150</v>
      </c>
      <c r="CK98">
        <v>550</v>
      </c>
      <c r="CO98">
        <v>4350</v>
      </c>
      <c r="CS98">
        <v>750</v>
      </c>
      <c r="CU98">
        <v>50</v>
      </c>
      <c r="CW98">
        <v>150</v>
      </c>
      <c r="CY98">
        <v>5550</v>
      </c>
      <c r="DA98">
        <v>100</v>
      </c>
      <c r="DC98">
        <v>100</v>
      </c>
      <c r="DD98">
        <v>10</v>
      </c>
      <c r="DI98">
        <v>1825</v>
      </c>
      <c r="DO98">
        <v>25</v>
      </c>
      <c r="DQ98">
        <v>50</v>
      </c>
      <c r="DS98">
        <v>2488</v>
      </c>
      <c r="DU98">
        <v>50</v>
      </c>
      <c r="DW98">
        <v>250</v>
      </c>
      <c r="EA98">
        <v>50</v>
      </c>
      <c r="EC98">
        <v>1050</v>
      </c>
      <c r="EE98">
        <v>150</v>
      </c>
      <c r="EI98">
        <v>50</v>
      </c>
      <c r="EU98">
        <v>50</v>
      </c>
      <c r="GM98">
        <f t="shared" si="2"/>
        <v>66178</v>
      </c>
    </row>
    <row r="99" spans="1:195" x14ac:dyDescent="0.25">
      <c r="A99" s="4">
        <f>DATE(2024,3,15)</f>
        <v>45366</v>
      </c>
      <c r="B99">
        <v>294097</v>
      </c>
      <c r="C99">
        <v>6850</v>
      </c>
      <c r="W99">
        <v>2100</v>
      </c>
      <c r="AG99">
        <v>6360</v>
      </c>
      <c r="AM99">
        <v>200</v>
      </c>
      <c r="AQ99">
        <v>4475</v>
      </c>
      <c r="BA99">
        <v>3900</v>
      </c>
      <c r="BK99">
        <v>7205</v>
      </c>
      <c r="BM99">
        <v>500</v>
      </c>
      <c r="BO99">
        <v>175</v>
      </c>
      <c r="BP99">
        <v>1190</v>
      </c>
      <c r="BS99">
        <v>200</v>
      </c>
      <c r="BU99">
        <v>4975</v>
      </c>
      <c r="BW99">
        <v>250</v>
      </c>
      <c r="CA99">
        <v>300</v>
      </c>
      <c r="CE99">
        <v>9375</v>
      </c>
      <c r="CG99">
        <v>250</v>
      </c>
      <c r="CI99">
        <v>150</v>
      </c>
      <c r="CK99">
        <v>550</v>
      </c>
      <c r="CO99">
        <v>4350</v>
      </c>
      <c r="CS99">
        <v>750</v>
      </c>
      <c r="CU99">
        <v>50</v>
      </c>
      <c r="CW99">
        <v>150</v>
      </c>
      <c r="CY99">
        <v>5550</v>
      </c>
      <c r="DA99">
        <v>100</v>
      </c>
      <c r="DC99">
        <v>100</v>
      </c>
      <c r="DD99">
        <v>10</v>
      </c>
      <c r="DI99">
        <v>1825</v>
      </c>
      <c r="DO99">
        <v>25</v>
      </c>
      <c r="DQ99">
        <v>50</v>
      </c>
      <c r="DS99">
        <v>2488</v>
      </c>
      <c r="DU99">
        <v>50</v>
      </c>
      <c r="DW99">
        <v>250</v>
      </c>
      <c r="EA99">
        <v>50</v>
      </c>
      <c r="EC99">
        <v>1050</v>
      </c>
      <c r="EE99">
        <v>150</v>
      </c>
      <c r="EI99">
        <v>50</v>
      </c>
      <c r="EU99">
        <v>50</v>
      </c>
      <c r="GM99">
        <f t="shared" si="2"/>
        <v>66103</v>
      </c>
    </row>
    <row r="100" spans="1:195" x14ac:dyDescent="0.25">
      <c r="A100" s="4">
        <f>DATE(2024,3,14)</f>
        <v>45365</v>
      </c>
      <c r="B100">
        <v>289989</v>
      </c>
      <c r="C100">
        <v>6850</v>
      </c>
      <c r="W100">
        <v>2100</v>
      </c>
      <c r="AG100">
        <v>6360</v>
      </c>
      <c r="AM100">
        <v>200</v>
      </c>
      <c r="AQ100">
        <v>4475</v>
      </c>
      <c r="BA100">
        <v>3900</v>
      </c>
      <c r="BK100">
        <v>7205</v>
      </c>
      <c r="BM100">
        <v>500</v>
      </c>
      <c r="BO100">
        <v>175</v>
      </c>
      <c r="BP100">
        <v>1190</v>
      </c>
      <c r="BS100">
        <v>200</v>
      </c>
      <c r="BU100">
        <v>4975</v>
      </c>
      <c r="BW100">
        <v>250</v>
      </c>
      <c r="CA100">
        <v>300</v>
      </c>
      <c r="CE100">
        <v>9375</v>
      </c>
      <c r="CG100">
        <v>250</v>
      </c>
      <c r="CI100">
        <v>150</v>
      </c>
      <c r="CK100">
        <v>550</v>
      </c>
      <c r="CO100">
        <v>4350</v>
      </c>
      <c r="CS100">
        <v>750</v>
      </c>
      <c r="CU100">
        <v>50</v>
      </c>
      <c r="CW100">
        <v>150</v>
      </c>
      <c r="CY100">
        <v>5550</v>
      </c>
      <c r="DA100">
        <v>100</v>
      </c>
      <c r="DC100">
        <v>100</v>
      </c>
      <c r="DD100">
        <v>10</v>
      </c>
      <c r="DI100">
        <v>1825</v>
      </c>
      <c r="DO100">
        <v>25</v>
      </c>
      <c r="DQ100">
        <v>50</v>
      </c>
      <c r="DS100">
        <v>2488</v>
      </c>
      <c r="DU100">
        <v>50</v>
      </c>
      <c r="DW100">
        <v>250</v>
      </c>
      <c r="EA100">
        <v>50</v>
      </c>
      <c r="EC100">
        <v>1050</v>
      </c>
      <c r="EE100">
        <v>150</v>
      </c>
      <c r="EI100">
        <v>50</v>
      </c>
      <c r="EU100">
        <v>50</v>
      </c>
      <c r="GM100">
        <f t="shared" si="2"/>
        <v>66103</v>
      </c>
    </row>
    <row r="101" spans="1:195" x14ac:dyDescent="0.25">
      <c r="A101" s="4">
        <f>DATE(2024,3,13)</f>
        <v>45364</v>
      </c>
      <c r="B101">
        <v>293878</v>
      </c>
      <c r="C101">
        <v>6850</v>
      </c>
      <c r="W101">
        <v>1800</v>
      </c>
      <c r="AG101">
        <v>6110</v>
      </c>
      <c r="AM101">
        <v>200</v>
      </c>
      <c r="AQ101">
        <v>4475</v>
      </c>
      <c r="BA101">
        <v>3900</v>
      </c>
      <c r="BK101">
        <v>6755</v>
      </c>
      <c r="BM101">
        <v>500</v>
      </c>
      <c r="BO101">
        <v>175</v>
      </c>
      <c r="BP101">
        <v>1190</v>
      </c>
      <c r="BS101">
        <v>200</v>
      </c>
      <c r="BU101">
        <v>5225</v>
      </c>
      <c r="BW101">
        <v>250</v>
      </c>
      <c r="CA101">
        <v>300</v>
      </c>
      <c r="CE101">
        <v>9375</v>
      </c>
      <c r="CG101">
        <v>250</v>
      </c>
      <c r="CI101">
        <v>150</v>
      </c>
      <c r="CK101">
        <v>550</v>
      </c>
      <c r="CO101">
        <v>4350</v>
      </c>
      <c r="CS101">
        <v>750</v>
      </c>
      <c r="CU101">
        <v>50</v>
      </c>
      <c r="CW101">
        <v>150</v>
      </c>
      <c r="CY101">
        <v>5550</v>
      </c>
      <c r="DA101">
        <v>100</v>
      </c>
      <c r="DC101">
        <v>100</v>
      </c>
      <c r="DD101">
        <v>10</v>
      </c>
      <c r="DI101">
        <v>1825</v>
      </c>
      <c r="DO101">
        <v>25</v>
      </c>
      <c r="DQ101">
        <v>50</v>
      </c>
      <c r="DS101">
        <v>2488</v>
      </c>
      <c r="DU101">
        <v>50</v>
      </c>
      <c r="DW101">
        <v>250</v>
      </c>
      <c r="EA101">
        <v>50</v>
      </c>
      <c r="EC101">
        <v>1050</v>
      </c>
      <c r="EE101">
        <v>150</v>
      </c>
      <c r="EI101">
        <v>50</v>
      </c>
      <c r="EU101">
        <v>50</v>
      </c>
      <c r="GM101">
        <f t="shared" si="2"/>
        <v>65353</v>
      </c>
    </row>
    <row r="102" spans="1:195" x14ac:dyDescent="0.25">
      <c r="A102" s="4">
        <f>DATE(2024,3,12)</f>
        <v>45363</v>
      </c>
      <c r="B102">
        <v>289607</v>
      </c>
      <c r="C102">
        <v>6850</v>
      </c>
      <c r="W102">
        <v>1800</v>
      </c>
      <c r="AG102">
        <v>6110</v>
      </c>
      <c r="AM102">
        <v>200</v>
      </c>
      <c r="AQ102">
        <v>4375</v>
      </c>
      <c r="BA102">
        <v>3900</v>
      </c>
      <c r="BK102">
        <v>6105</v>
      </c>
      <c r="BM102">
        <v>500</v>
      </c>
      <c r="BO102">
        <v>175</v>
      </c>
      <c r="BP102">
        <v>1190</v>
      </c>
      <c r="BS102">
        <v>200</v>
      </c>
      <c r="BU102">
        <v>5225</v>
      </c>
      <c r="BW102">
        <v>250</v>
      </c>
      <c r="CA102">
        <v>300</v>
      </c>
      <c r="CE102">
        <v>9375</v>
      </c>
      <c r="CG102">
        <v>250</v>
      </c>
      <c r="CI102">
        <v>150</v>
      </c>
      <c r="CK102">
        <v>550</v>
      </c>
      <c r="CO102">
        <v>4350</v>
      </c>
      <c r="CS102">
        <v>750</v>
      </c>
      <c r="CU102">
        <v>50</v>
      </c>
      <c r="CW102">
        <v>150</v>
      </c>
      <c r="CY102">
        <v>5550</v>
      </c>
      <c r="DA102">
        <v>100</v>
      </c>
      <c r="DC102">
        <v>100</v>
      </c>
      <c r="DD102">
        <v>10</v>
      </c>
      <c r="DI102">
        <v>1825</v>
      </c>
      <c r="DO102">
        <v>25</v>
      </c>
      <c r="DQ102">
        <v>50</v>
      </c>
      <c r="DS102">
        <v>2488</v>
      </c>
      <c r="DU102">
        <v>50</v>
      </c>
      <c r="DW102">
        <v>250</v>
      </c>
      <c r="EA102">
        <v>50</v>
      </c>
      <c r="EC102">
        <v>1050</v>
      </c>
      <c r="EE102">
        <v>150</v>
      </c>
      <c r="EI102">
        <v>50</v>
      </c>
      <c r="EU102">
        <v>50</v>
      </c>
      <c r="GM102">
        <f t="shared" si="2"/>
        <v>64603</v>
      </c>
    </row>
    <row r="103" spans="1:195" x14ac:dyDescent="0.25">
      <c r="A103" s="4">
        <f>DATE(2024,3,11)</f>
        <v>45362</v>
      </c>
      <c r="B103">
        <v>289219</v>
      </c>
      <c r="C103">
        <v>6850</v>
      </c>
      <c r="W103">
        <v>1800</v>
      </c>
      <c r="AG103">
        <v>6110</v>
      </c>
      <c r="AM103">
        <v>200</v>
      </c>
      <c r="AQ103">
        <v>4375</v>
      </c>
      <c r="BA103">
        <v>3900</v>
      </c>
      <c r="BK103">
        <v>6105</v>
      </c>
      <c r="BM103">
        <v>500</v>
      </c>
      <c r="BO103">
        <v>175</v>
      </c>
      <c r="BP103">
        <v>1190</v>
      </c>
      <c r="BS103">
        <v>200</v>
      </c>
      <c r="BU103">
        <v>5225</v>
      </c>
      <c r="BW103">
        <v>250</v>
      </c>
      <c r="CA103">
        <v>300</v>
      </c>
      <c r="CE103">
        <v>9375</v>
      </c>
      <c r="CG103">
        <v>250</v>
      </c>
      <c r="CI103">
        <v>150</v>
      </c>
      <c r="CK103">
        <v>550</v>
      </c>
      <c r="CO103">
        <v>4350</v>
      </c>
      <c r="CS103">
        <v>750</v>
      </c>
      <c r="CU103">
        <v>50</v>
      </c>
      <c r="CW103">
        <v>150</v>
      </c>
      <c r="CY103">
        <v>5550</v>
      </c>
      <c r="DA103">
        <v>100</v>
      </c>
      <c r="DC103">
        <v>100</v>
      </c>
      <c r="DD103">
        <v>10</v>
      </c>
      <c r="DI103">
        <v>1825</v>
      </c>
      <c r="DO103">
        <v>25</v>
      </c>
      <c r="DQ103">
        <v>50</v>
      </c>
      <c r="DS103">
        <v>2488</v>
      </c>
      <c r="DU103">
        <v>50</v>
      </c>
      <c r="DW103">
        <v>250</v>
      </c>
      <c r="EA103">
        <v>50</v>
      </c>
      <c r="EC103">
        <v>1050</v>
      </c>
      <c r="EE103">
        <v>150</v>
      </c>
      <c r="EI103">
        <v>50</v>
      </c>
      <c r="EU103">
        <v>50</v>
      </c>
      <c r="GM103">
        <f t="shared" si="2"/>
        <v>64603</v>
      </c>
    </row>
    <row r="104" spans="1:195" x14ac:dyDescent="0.25">
      <c r="A104" s="4">
        <f>DATE(2024,3,8)</f>
        <v>45359</v>
      </c>
      <c r="B104">
        <v>287330</v>
      </c>
      <c r="C104">
        <v>6850</v>
      </c>
      <c r="W104">
        <v>1800</v>
      </c>
      <c r="AG104">
        <v>5560</v>
      </c>
      <c r="AM104">
        <v>200</v>
      </c>
      <c r="AQ104">
        <v>4375</v>
      </c>
      <c r="BA104">
        <v>3900</v>
      </c>
      <c r="BK104">
        <v>6105</v>
      </c>
      <c r="BM104">
        <v>500</v>
      </c>
      <c r="BO104">
        <v>175</v>
      </c>
      <c r="BP104">
        <v>1190</v>
      </c>
      <c r="BS104">
        <v>200</v>
      </c>
      <c r="BU104">
        <v>5225</v>
      </c>
      <c r="BW104">
        <v>250</v>
      </c>
      <c r="CA104">
        <v>300</v>
      </c>
      <c r="CE104">
        <v>9375</v>
      </c>
      <c r="CG104">
        <v>250</v>
      </c>
      <c r="CI104">
        <v>150</v>
      </c>
      <c r="CK104">
        <v>550</v>
      </c>
      <c r="CO104">
        <v>4350</v>
      </c>
      <c r="CS104">
        <v>750</v>
      </c>
      <c r="CU104">
        <v>50</v>
      </c>
      <c r="CW104">
        <v>150</v>
      </c>
      <c r="CY104">
        <v>5550</v>
      </c>
      <c r="DA104">
        <v>100</v>
      </c>
      <c r="DC104">
        <v>100</v>
      </c>
      <c r="DD104">
        <v>10</v>
      </c>
      <c r="DI104">
        <v>1825</v>
      </c>
      <c r="DO104">
        <v>25</v>
      </c>
      <c r="DQ104">
        <v>50</v>
      </c>
      <c r="DS104">
        <v>2488</v>
      </c>
      <c r="DU104">
        <v>50</v>
      </c>
      <c r="DW104">
        <v>250</v>
      </c>
      <c r="EA104">
        <v>50</v>
      </c>
      <c r="EC104">
        <v>1050</v>
      </c>
      <c r="EE104">
        <v>150</v>
      </c>
      <c r="EI104">
        <v>50</v>
      </c>
      <c r="EU104">
        <v>50</v>
      </c>
      <c r="GM104">
        <f t="shared" si="2"/>
        <v>64053</v>
      </c>
    </row>
    <row r="105" spans="1:195" x14ac:dyDescent="0.25">
      <c r="A105" s="4">
        <f>DATE(2024,3,7)</f>
        <v>45358</v>
      </c>
      <c r="B105">
        <v>285313</v>
      </c>
      <c r="C105">
        <v>6850</v>
      </c>
      <c r="W105">
        <v>1800</v>
      </c>
      <c r="AG105">
        <v>5060</v>
      </c>
      <c r="AM105">
        <v>200</v>
      </c>
      <c r="AQ105">
        <v>4275</v>
      </c>
      <c r="BA105">
        <v>3050</v>
      </c>
      <c r="BK105">
        <v>6105</v>
      </c>
      <c r="BM105">
        <v>250</v>
      </c>
      <c r="BO105">
        <v>175</v>
      </c>
      <c r="BP105">
        <v>1190</v>
      </c>
      <c r="BS105">
        <v>200</v>
      </c>
      <c r="BU105">
        <v>5225</v>
      </c>
      <c r="BW105">
        <v>250</v>
      </c>
      <c r="CA105">
        <v>300</v>
      </c>
      <c r="CE105">
        <v>9250</v>
      </c>
      <c r="CG105">
        <v>250</v>
      </c>
      <c r="CI105">
        <v>150</v>
      </c>
      <c r="CK105">
        <v>550</v>
      </c>
      <c r="CO105">
        <v>4350</v>
      </c>
      <c r="CS105">
        <v>750</v>
      </c>
      <c r="CU105">
        <v>50</v>
      </c>
      <c r="CW105">
        <v>150</v>
      </c>
      <c r="CY105">
        <v>5550</v>
      </c>
      <c r="DA105">
        <v>100</v>
      </c>
      <c r="DC105">
        <v>100</v>
      </c>
      <c r="DD105">
        <v>10</v>
      </c>
      <c r="DI105">
        <v>1825</v>
      </c>
      <c r="DO105">
        <v>25</v>
      </c>
      <c r="DQ105">
        <v>50</v>
      </c>
      <c r="DS105">
        <v>2488</v>
      </c>
      <c r="DU105">
        <v>50</v>
      </c>
      <c r="DW105">
        <v>250</v>
      </c>
      <c r="EA105">
        <v>50</v>
      </c>
      <c r="EC105">
        <v>1050</v>
      </c>
      <c r="EE105">
        <v>150</v>
      </c>
      <c r="EI105">
        <v>50</v>
      </c>
      <c r="EU105">
        <v>50</v>
      </c>
      <c r="GM105">
        <f t="shared" si="2"/>
        <v>62228</v>
      </c>
    </row>
    <row r="106" spans="1:195" x14ac:dyDescent="0.25">
      <c r="A106" s="4">
        <f>DATE(2024,3,6)</f>
        <v>45357</v>
      </c>
      <c r="B106">
        <v>282480</v>
      </c>
      <c r="C106">
        <v>6850</v>
      </c>
      <c r="W106">
        <v>1800</v>
      </c>
      <c r="AG106">
        <v>5060</v>
      </c>
      <c r="AM106">
        <v>200</v>
      </c>
      <c r="AQ106">
        <v>4275</v>
      </c>
      <c r="BA106">
        <v>3050</v>
      </c>
      <c r="BK106">
        <v>6155</v>
      </c>
      <c r="BO106">
        <v>175</v>
      </c>
      <c r="BP106">
        <v>1190</v>
      </c>
      <c r="BS106">
        <v>200</v>
      </c>
      <c r="BU106">
        <v>5475</v>
      </c>
      <c r="BW106">
        <v>250</v>
      </c>
      <c r="CA106">
        <v>300</v>
      </c>
      <c r="CE106">
        <v>9250</v>
      </c>
      <c r="CG106">
        <v>250</v>
      </c>
      <c r="CI106">
        <v>150</v>
      </c>
      <c r="CK106">
        <v>550</v>
      </c>
      <c r="CO106">
        <v>4350</v>
      </c>
      <c r="CS106">
        <v>750</v>
      </c>
      <c r="CU106">
        <v>50</v>
      </c>
      <c r="CW106">
        <v>150</v>
      </c>
      <c r="CY106">
        <v>5550</v>
      </c>
      <c r="DA106">
        <v>100</v>
      </c>
      <c r="DC106">
        <v>100</v>
      </c>
      <c r="DD106">
        <v>10</v>
      </c>
      <c r="DI106">
        <v>1825</v>
      </c>
      <c r="DO106">
        <v>25</v>
      </c>
      <c r="DQ106">
        <v>50</v>
      </c>
      <c r="DS106">
        <v>2488</v>
      </c>
      <c r="DU106">
        <v>50</v>
      </c>
      <c r="DW106">
        <v>250</v>
      </c>
      <c r="EA106">
        <v>50</v>
      </c>
      <c r="EC106">
        <v>1050</v>
      </c>
      <c r="EE106">
        <v>150</v>
      </c>
      <c r="EI106">
        <v>50</v>
      </c>
      <c r="EU106">
        <v>50</v>
      </c>
      <c r="GM106">
        <f t="shared" si="2"/>
        <v>62278</v>
      </c>
    </row>
    <row r="107" spans="1:195" x14ac:dyDescent="0.25">
      <c r="A107" s="4">
        <f>DATE(2024,3,5)</f>
        <v>45356</v>
      </c>
      <c r="B107">
        <v>282222</v>
      </c>
      <c r="C107">
        <v>6850</v>
      </c>
      <c r="W107">
        <v>1800</v>
      </c>
      <c r="AG107">
        <v>4760</v>
      </c>
      <c r="AM107">
        <v>200</v>
      </c>
      <c r="AQ107">
        <v>4125</v>
      </c>
      <c r="BA107">
        <v>3540</v>
      </c>
      <c r="BK107">
        <v>6155</v>
      </c>
      <c r="BO107">
        <v>175</v>
      </c>
      <c r="BS107">
        <v>200</v>
      </c>
      <c r="BU107">
        <v>5475</v>
      </c>
      <c r="BW107">
        <v>250</v>
      </c>
      <c r="CA107">
        <v>300</v>
      </c>
      <c r="CE107">
        <v>9250</v>
      </c>
      <c r="CG107">
        <v>250</v>
      </c>
      <c r="CI107">
        <v>150</v>
      </c>
      <c r="CK107">
        <v>550</v>
      </c>
      <c r="CO107">
        <v>4350</v>
      </c>
      <c r="CS107">
        <v>750</v>
      </c>
      <c r="CU107">
        <v>50</v>
      </c>
      <c r="CW107">
        <v>150</v>
      </c>
      <c r="CY107">
        <v>5550</v>
      </c>
      <c r="DA107">
        <v>100</v>
      </c>
      <c r="DC107">
        <v>100</v>
      </c>
      <c r="DD107">
        <v>10</v>
      </c>
      <c r="DI107">
        <v>1825</v>
      </c>
      <c r="DO107">
        <v>25</v>
      </c>
      <c r="DQ107">
        <v>50</v>
      </c>
      <c r="DS107">
        <v>2488</v>
      </c>
      <c r="DU107">
        <v>50</v>
      </c>
      <c r="DW107">
        <v>250</v>
      </c>
      <c r="EA107">
        <v>50</v>
      </c>
      <c r="EC107">
        <v>1050</v>
      </c>
      <c r="EE107">
        <v>150</v>
      </c>
      <c r="EI107">
        <v>50</v>
      </c>
      <c r="EU107">
        <v>50</v>
      </c>
      <c r="GM107">
        <f t="shared" si="2"/>
        <v>61128</v>
      </c>
    </row>
    <row r="108" spans="1:195" x14ac:dyDescent="0.25">
      <c r="A108" s="4">
        <f>DATE(2024,3,4)</f>
        <v>45355</v>
      </c>
      <c r="B108">
        <v>286353</v>
      </c>
      <c r="C108">
        <v>6850</v>
      </c>
      <c r="W108">
        <v>1800</v>
      </c>
      <c r="AG108">
        <v>4560</v>
      </c>
      <c r="AM108">
        <v>200</v>
      </c>
      <c r="AQ108">
        <v>4125</v>
      </c>
      <c r="BA108">
        <v>3540</v>
      </c>
      <c r="BK108">
        <v>6155</v>
      </c>
      <c r="BO108">
        <v>175</v>
      </c>
      <c r="BS108">
        <v>200</v>
      </c>
      <c r="BU108">
        <v>5475</v>
      </c>
      <c r="BW108">
        <v>250</v>
      </c>
      <c r="CA108">
        <v>300</v>
      </c>
      <c r="CE108">
        <v>9250</v>
      </c>
      <c r="CG108">
        <v>250</v>
      </c>
      <c r="CI108">
        <v>150</v>
      </c>
      <c r="CK108">
        <v>550</v>
      </c>
      <c r="CO108">
        <v>4350</v>
      </c>
      <c r="CS108">
        <v>750</v>
      </c>
      <c r="CU108">
        <v>50</v>
      </c>
      <c r="CW108">
        <v>150</v>
      </c>
      <c r="CY108">
        <v>5550</v>
      </c>
      <c r="DA108">
        <v>100</v>
      </c>
      <c r="DC108">
        <v>100</v>
      </c>
      <c r="DD108">
        <v>10</v>
      </c>
      <c r="DI108">
        <v>1825</v>
      </c>
      <c r="DO108">
        <v>25</v>
      </c>
      <c r="DQ108">
        <v>50</v>
      </c>
      <c r="DS108">
        <v>2488</v>
      </c>
      <c r="DU108">
        <v>50</v>
      </c>
      <c r="DW108">
        <v>250</v>
      </c>
      <c r="EA108">
        <v>50</v>
      </c>
      <c r="EC108">
        <v>1050</v>
      </c>
      <c r="EE108">
        <v>150</v>
      </c>
      <c r="EI108">
        <v>50</v>
      </c>
      <c r="EU108">
        <v>50</v>
      </c>
      <c r="GM108">
        <f t="shared" si="2"/>
        <v>60928</v>
      </c>
    </row>
    <row r="109" spans="1:195" x14ac:dyDescent="0.25">
      <c r="A109" s="4">
        <f>DATE(2024,3,1)</f>
        <v>45352</v>
      </c>
      <c r="B109">
        <v>282907</v>
      </c>
      <c r="C109">
        <v>6850</v>
      </c>
      <c r="W109">
        <v>1800</v>
      </c>
      <c r="AG109">
        <v>4560</v>
      </c>
      <c r="AM109">
        <v>200</v>
      </c>
      <c r="AQ109">
        <v>3875</v>
      </c>
      <c r="BA109">
        <v>3540</v>
      </c>
      <c r="BK109">
        <v>6055</v>
      </c>
      <c r="BO109">
        <v>175</v>
      </c>
      <c r="BS109">
        <v>200</v>
      </c>
      <c r="BU109">
        <v>5475</v>
      </c>
      <c r="BW109">
        <v>250</v>
      </c>
      <c r="CA109">
        <v>300</v>
      </c>
      <c r="CE109">
        <v>9250</v>
      </c>
      <c r="CG109">
        <v>250</v>
      </c>
      <c r="CI109">
        <v>150</v>
      </c>
      <c r="CK109">
        <v>550</v>
      </c>
      <c r="CO109">
        <v>4350</v>
      </c>
      <c r="CS109">
        <v>750</v>
      </c>
      <c r="CU109">
        <v>50</v>
      </c>
      <c r="CW109">
        <v>150</v>
      </c>
      <c r="CY109">
        <v>5550</v>
      </c>
      <c r="DA109">
        <v>100</v>
      </c>
      <c r="DC109">
        <v>100</v>
      </c>
      <c r="DD109">
        <v>10</v>
      </c>
      <c r="DI109">
        <v>1825</v>
      </c>
      <c r="DO109">
        <v>25</v>
      </c>
      <c r="DQ109">
        <v>50</v>
      </c>
      <c r="DS109">
        <v>2488</v>
      </c>
      <c r="DU109">
        <v>50</v>
      </c>
      <c r="DW109">
        <v>250</v>
      </c>
      <c r="EA109">
        <v>50</v>
      </c>
      <c r="EC109">
        <v>1050</v>
      </c>
      <c r="EE109">
        <v>150</v>
      </c>
      <c r="EI109">
        <v>50</v>
      </c>
      <c r="EU109">
        <v>50</v>
      </c>
      <c r="GM109">
        <f t="shared" si="2"/>
        <v>60578</v>
      </c>
    </row>
    <row r="110" spans="1:195" x14ac:dyDescent="0.25">
      <c r="A110" s="4">
        <f>DATE(2024,2,29)</f>
        <v>45351</v>
      </c>
      <c r="B110">
        <v>281610</v>
      </c>
      <c r="C110">
        <v>6850</v>
      </c>
      <c r="W110">
        <v>1800</v>
      </c>
      <c r="AG110">
        <v>4560</v>
      </c>
      <c r="AM110">
        <v>200</v>
      </c>
      <c r="AQ110">
        <v>3875</v>
      </c>
      <c r="BA110">
        <v>3540</v>
      </c>
      <c r="BK110">
        <v>5805</v>
      </c>
      <c r="BO110">
        <v>175</v>
      </c>
      <c r="BS110">
        <v>200</v>
      </c>
      <c r="BU110">
        <v>5475</v>
      </c>
      <c r="BW110">
        <v>250</v>
      </c>
      <c r="CA110">
        <v>300</v>
      </c>
      <c r="CE110">
        <v>9500</v>
      </c>
      <c r="CG110">
        <v>250</v>
      </c>
      <c r="CI110">
        <v>150</v>
      </c>
      <c r="CK110">
        <v>550</v>
      </c>
      <c r="CO110">
        <v>4350</v>
      </c>
      <c r="CS110">
        <v>750</v>
      </c>
      <c r="CU110">
        <v>50</v>
      </c>
      <c r="CW110">
        <v>150</v>
      </c>
      <c r="CY110">
        <v>5550</v>
      </c>
      <c r="DA110">
        <v>100</v>
      </c>
      <c r="DC110">
        <v>100</v>
      </c>
      <c r="DD110">
        <v>10</v>
      </c>
      <c r="DI110">
        <v>1825</v>
      </c>
      <c r="DO110">
        <v>25</v>
      </c>
      <c r="DQ110">
        <v>50</v>
      </c>
      <c r="DS110">
        <v>2488</v>
      </c>
      <c r="DU110">
        <v>50</v>
      </c>
      <c r="DW110">
        <v>250</v>
      </c>
      <c r="EA110">
        <v>50</v>
      </c>
      <c r="EC110">
        <v>1050</v>
      </c>
      <c r="EE110">
        <v>150</v>
      </c>
      <c r="EI110">
        <v>50</v>
      </c>
      <c r="EU110">
        <v>50</v>
      </c>
      <c r="GM110">
        <f t="shared" si="2"/>
        <v>60578</v>
      </c>
    </row>
    <row r="111" spans="1:195" x14ac:dyDescent="0.25">
      <c r="A111" s="4">
        <f>DATE(2024,2,28)</f>
        <v>45350</v>
      </c>
      <c r="B111">
        <v>283709</v>
      </c>
      <c r="C111">
        <v>6850</v>
      </c>
      <c r="W111">
        <v>1800</v>
      </c>
      <c r="AG111">
        <v>4485</v>
      </c>
      <c r="AM111">
        <v>200</v>
      </c>
      <c r="AQ111">
        <v>3875</v>
      </c>
      <c r="BA111">
        <v>3040</v>
      </c>
      <c r="BK111">
        <v>5805</v>
      </c>
      <c r="BO111">
        <v>175</v>
      </c>
      <c r="BS111">
        <v>200</v>
      </c>
      <c r="BU111">
        <v>5475</v>
      </c>
      <c r="BW111">
        <v>250</v>
      </c>
      <c r="CA111">
        <v>300</v>
      </c>
      <c r="CE111">
        <v>9500</v>
      </c>
      <c r="CG111">
        <v>250</v>
      </c>
      <c r="CI111">
        <v>150</v>
      </c>
      <c r="CK111">
        <v>550</v>
      </c>
      <c r="CO111">
        <v>4350</v>
      </c>
      <c r="CS111">
        <v>750</v>
      </c>
      <c r="CU111">
        <v>50</v>
      </c>
      <c r="CW111">
        <v>150</v>
      </c>
      <c r="CY111">
        <v>5550</v>
      </c>
      <c r="DA111">
        <v>100</v>
      </c>
      <c r="DC111">
        <v>100</v>
      </c>
      <c r="DD111">
        <v>10</v>
      </c>
      <c r="DI111">
        <v>1825</v>
      </c>
      <c r="DO111">
        <v>25</v>
      </c>
      <c r="DQ111">
        <v>50</v>
      </c>
      <c r="DS111">
        <v>2488</v>
      </c>
      <c r="DU111">
        <v>50</v>
      </c>
      <c r="DW111">
        <v>250</v>
      </c>
      <c r="EA111">
        <v>50</v>
      </c>
      <c r="EC111">
        <v>1050</v>
      </c>
      <c r="EE111">
        <v>150</v>
      </c>
      <c r="EI111">
        <v>50</v>
      </c>
      <c r="EU111">
        <v>50</v>
      </c>
      <c r="GM111">
        <f t="shared" si="2"/>
        <v>60003</v>
      </c>
    </row>
    <row r="112" spans="1:195" x14ac:dyDescent="0.25">
      <c r="A112" s="4">
        <f>DATE(2024,2,27)</f>
        <v>45349</v>
      </c>
      <c r="B112">
        <v>287829</v>
      </c>
      <c r="C112">
        <v>6850</v>
      </c>
      <c r="W112">
        <v>1550</v>
      </c>
      <c r="AG112">
        <v>4485</v>
      </c>
      <c r="AM112">
        <v>200</v>
      </c>
      <c r="AQ112">
        <v>3875</v>
      </c>
      <c r="BA112">
        <v>3040</v>
      </c>
      <c r="BK112">
        <v>5505</v>
      </c>
      <c r="BO112">
        <v>175</v>
      </c>
      <c r="BS112">
        <v>200</v>
      </c>
      <c r="BU112">
        <v>5475</v>
      </c>
      <c r="BW112">
        <v>250</v>
      </c>
      <c r="CA112">
        <v>300</v>
      </c>
      <c r="CE112">
        <v>9500</v>
      </c>
      <c r="CG112">
        <v>250</v>
      </c>
      <c r="CI112">
        <v>150</v>
      </c>
      <c r="CK112">
        <v>550</v>
      </c>
      <c r="CO112">
        <v>4350</v>
      </c>
      <c r="CS112">
        <v>750</v>
      </c>
      <c r="CU112">
        <v>50</v>
      </c>
      <c r="CW112">
        <v>150</v>
      </c>
      <c r="CY112">
        <v>5550</v>
      </c>
      <c r="DA112">
        <v>100</v>
      </c>
      <c r="DC112">
        <v>100</v>
      </c>
      <c r="DD112">
        <v>10</v>
      </c>
      <c r="DI112">
        <v>1825</v>
      </c>
      <c r="DO112">
        <v>25</v>
      </c>
      <c r="DQ112">
        <v>50</v>
      </c>
      <c r="DS112">
        <v>2488</v>
      </c>
      <c r="DU112">
        <v>50</v>
      </c>
      <c r="DW112">
        <v>250</v>
      </c>
      <c r="EA112">
        <v>50</v>
      </c>
      <c r="EC112">
        <v>1050</v>
      </c>
      <c r="EE112">
        <v>150</v>
      </c>
      <c r="EI112">
        <v>50</v>
      </c>
      <c r="EU112">
        <v>50</v>
      </c>
      <c r="GM112">
        <f t="shared" si="2"/>
        <v>59453</v>
      </c>
    </row>
    <row r="113" spans="1:195" x14ac:dyDescent="0.25">
      <c r="A113" s="4">
        <f>DATE(2024,2,26)</f>
        <v>45348</v>
      </c>
      <c r="B113">
        <v>289628</v>
      </c>
      <c r="C113">
        <v>6850</v>
      </c>
      <c r="W113">
        <v>1550</v>
      </c>
      <c r="AG113">
        <v>4485</v>
      </c>
      <c r="AM113">
        <v>200</v>
      </c>
      <c r="AQ113">
        <v>3825</v>
      </c>
      <c r="BA113">
        <v>3040</v>
      </c>
      <c r="BK113">
        <v>5505</v>
      </c>
      <c r="BO113">
        <v>175</v>
      </c>
      <c r="BS113">
        <v>200</v>
      </c>
      <c r="BU113">
        <v>5475</v>
      </c>
      <c r="BW113">
        <v>250</v>
      </c>
      <c r="CA113">
        <v>300</v>
      </c>
      <c r="CE113">
        <v>9500</v>
      </c>
      <c r="CG113">
        <v>250</v>
      </c>
      <c r="CI113">
        <v>150</v>
      </c>
      <c r="CK113">
        <v>550</v>
      </c>
      <c r="CO113">
        <v>4350</v>
      </c>
      <c r="CS113">
        <v>750</v>
      </c>
      <c r="CU113">
        <v>50</v>
      </c>
      <c r="CW113">
        <v>150</v>
      </c>
      <c r="CY113">
        <v>5550</v>
      </c>
      <c r="DA113">
        <v>100</v>
      </c>
      <c r="DC113">
        <v>100</v>
      </c>
      <c r="DD113">
        <v>10</v>
      </c>
      <c r="DI113">
        <v>1825</v>
      </c>
      <c r="DO113">
        <v>25</v>
      </c>
      <c r="DQ113">
        <v>50</v>
      </c>
      <c r="DS113">
        <v>2488</v>
      </c>
      <c r="DU113">
        <v>50</v>
      </c>
      <c r="DW113">
        <v>250</v>
      </c>
      <c r="EA113">
        <v>50</v>
      </c>
      <c r="EC113">
        <v>1050</v>
      </c>
      <c r="EE113">
        <v>150</v>
      </c>
      <c r="EI113">
        <v>50</v>
      </c>
      <c r="EU113">
        <v>50</v>
      </c>
      <c r="GM113">
        <f t="shared" si="2"/>
        <v>59403</v>
      </c>
    </row>
    <row r="114" spans="1:195" x14ac:dyDescent="0.25">
      <c r="A114" s="4">
        <f>DATE(2024,2,23)</f>
        <v>45345</v>
      </c>
      <c r="B114">
        <v>289803</v>
      </c>
      <c r="C114">
        <v>6850</v>
      </c>
      <c r="W114">
        <v>1550</v>
      </c>
      <c r="AG114">
        <v>2485</v>
      </c>
      <c r="AM114">
        <v>200</v>
      </c>
      <c r="AQ114">
        <v>3825</v>
      </c>
      <c r="BA114">
        <v>1850</v>
      </c>
      <c r="BK114">
        <v>6005</v>
      </c>
      <c r="BO114">
        <v>175</v>
      </c>
      <c r="BS114">
        <v>200</v>
      </c>
      <c r="BU114">
        <v>5475</v>
      </c>
      <c r="BW114">
        <v>250</v>
      </c>
      <c r="CA114">
        <v>300</v>
      </c>
      <c r="CE114">
        <v>9500</v>
      </c>
      <c r="CG114">
        <v>250</v>
      </c>
      <c r="CI114">
        <v>150</v>
      </c>
      <c r="CK114">
        <v>550</v>
      </c>
      <c r="CO114">
        <v>4350</v>
      </c>
      <c r="CS114">
        <v>750</v>
      </c>
      <c r="CU114">
        <v>50</v>
      </c>
      <c r="CW114">
        <v>150</v>
      </c>
      <c r="CY114">
        <v>5550</v>
      </c>
      <c r="DA114">
        <v>100</v>
      </c>
      <c r="DC114">
        <v>100</v>
      </c>
      <c r="DD114">
        <v>10</v>
      </c>
      <c r="DI114">
        <v>1825</v>
      </c>
      <c r="DO114">
        <v>25</v>
      </c>
      <c r="DQ114">
        <v>50</v>
      </c>
      <c r="DS114">
        <v>2488</v>
      </c>
      <c r="DU114">
        <v>50</v>
      </c>
      <c r="DW114">
        <v>250</v>
      </c>
      <c r="EA114">
        <v>50</v>
      </c>
      <c r="EC114">
        <v>1050</v>
      </c>
      <c r="EE114">
        <v>150</v>
      </c>
      <c r="EI114">
        <v>50</v>
      </c>
      <c r="EU114">
        <v>50</v>
      </c>
      <c r="GM114">
        <f t="shared" si="2"/>
        <v>56713</v>
      </c>
    </row>
    <row r="115" spans="1:195" x14ac:dyDescent="0.25">
      <c r="A115" s="4">
        <f>DATE(2024,2,22)</f>
        <v>45344</v>
      </c>
      <c r="B115">
        <v>289539</v>
      </c>
      <c r="C115">
        <v>6850</v>
      </c>
      <c r="W115">
        <v>1550</v>
      </c>
      <c r="AG115">
        <v>2235</v>
      </c>
      <c r="AM115">
        <v>200</v>
      </c>
      <c r="AQ115">
        <v>3775</v>
      </c>
      <c r="BA115">
        <v>1350</v>
      </c>
      <c r="BK115">
        <v>6680</v>
      </c>
      <c r="BO115">
        <v>175</v>
      </c>
      <c r="BS115">
        <v>200</v>
      </c>
      <c r="BU115">
        <v>5475</v>
      </c>
      <c r="BW115">
        <v>250</v>
      </c>
      <c r="CA115">
        <v>300</v>
      </c>
      <c r="CE115">
        <v>9500</v>
      </c>
      <c r="CG115">
        <v>250</v>
      </c>
      <c r="CI115">
        <v>150</v>
      </c>
      <c r="CK115">
        <v>550</v>
      </c>
      <c r="CO115">
        <v>4350</v>
      </c>
      <c r="CS115">
        <v>750</v>
      </c>
      <c r="CU115">
        <v>50</v>
      </c>
      <c r="CW115">
        <v>150</v>
      </c>
      <c r="CY115">
        <v>5550</v>
      </c>
      <c r="DA115">
        <v>100</v>
      </c>
      <c r="DC115">
        <v>100</v>
      </c>
      <c r="DD115">
        <v>10</v>
      </c>
      <c r="DI115">
        <v>1825</v>
      </c>
      <c r="DO115">
        <v>25</v>
      </c>
      <c r="DQ115">
        <v>50</v>
      </c>
      <c r="DS115">
        <v>2488</v>
      </c>
      <c r="DU115">
        <v>50</v>
      </c>
      <c r="DW115">
        <v>250</v>
      </c>
      <c r="EA115">
        <v>50</v>
      </c>
      <c r="EC115">
        <v>1050</v>
      </c>
      <c r="EE115">
        <v>150</v>
      </c>
      <c r="EI115">
        <v>50</v>
      </c>
      <c r="EU115">
        <v>50</v>
      </c>
      <c r="GM115">
        <f t="shared" si="2"/>
        <v>56588</v>
      </c>
    </row>
    <row r="116" spans="1:195" x14ac:dyDescent="0.25">
      <c r="A116" s="4">
        <f>DATE(2024,2,21)</f>
        <v>45343</v>
      </c>
      <c r="B116">
        <v>288096</v>
      </c>
      <c r="C116">
        <v>6850</v>
      </c>
      <c r="W116">
        <v>950</v>
      </c>
      <c r="AG116">
        <v>2110</v>
      </c>
      <c r="AQ116">
        <v>3525</v>
      </c>
      <c r="BA116">
        <v>1350</v>
      </c>
      <c r="BK116">
        <v>6730</v>
      </c>
      <c r="BO116">
        <v>175</v>
      </c>
      <c r="BS116">
        <v>200</v>
      </c>
      <c r="BU116">
        <v>5475</v>
      </c>
      <c r="BW116">
        <v>250</v>
      </c>
      <c r="CA116">
        <v>300</v>
      </c>
      <c r="CE116">
        <v>9500</v>
      </c>
      <c r="CG116">
        <v>250</v>
      </c>
      <c r="CI116">
        <v>150</v>
      </c>
      <c r="CK116">
        <v>550</v>
      </c>
      <c r="CO116">
        <v>4350</v>
      </c>
      <c r="CS116">
        <v>750</v>
      </c>
      <c r="CU116">
        <v>50</v>
      </c>
      <c r="CW116">
        <v>150</v>
      </c>
      <c r="CY116">
        <v>5550</v>
      </c>
      <c r="DA116">
        <v>100</v>
      </c>
      <c r="DC116">
        <v>100</v>
      </c>
      <c r="DD116">
        <v>10</v>
      </c>
      <c r="DI116">
        <v>1825</v>
      </c>
      <c r="DO116">
        <v>25</v>
      </c>
      <c r="DQ116">
        <v>50</v>
      </c>
      <c r="DS116">
        <v>2488</v>
      </c>
      <c r="DU116">
        <v>50</v>
      </c>
      <c r="DW116">
        <v>250</v>
      </c>
      <c r="EA116">
        <v>50</v>
      </c>
      <c r="EC116">
        <v>1050</v>
      </c>
      <c r="EE116">
        <v>150</v>
      </c>
      <c r="EI116">
        <v>50</v>
      </c>
      <c r="EU116">
        <v>50</v>
      </c>
      <c r="GM116">
        <f t="shared" si="2"/>
        <v>55463</v>
      </c>
    </row>
    <row r="117" spans="1:195" x14ac:dyDescent="0.25">
      <c r="A117" s="4">
        <f>DATE(2024,2,20)</f>
        <v>45342</v>
      </c>
      <c r="B117">
        <v>288407</v>
      </c>
      <c r="C117">
        <v>6850</v>
      </c>
      <c r="W117">
        <v>950</v>
      </c>
      <c r="AG117">
        <v>2110</v>
      </c>
      <c r="AQ117">
        <v>3325</v>
      </c>
      <c r="BA117">
        <v>1350</v>
      </c>
      <c r="BK117">
        <v>6730</v>
      </c>
      <c r="BO117">
        <v>175</v>
      </c>
      <c r="BS117">
        <v>200</v>
      </c>
      <c r="BU117">
        <v>5475</v>
      </c>
      <c r="BW117">
        <v>250</v>
      </c>
      <c r="CA117">
        <v>300</v>
      </c>
      <c r="CE117">
        <v>9500</v>
      </c>
      <c r="CG117">
        <v>250</v>
      </c>
      <c r="CI117">
        <v>150</v>
      </c>
      <c r="CK117">
        <v>550</v>
      </c>
      <c r="CO117">
        <v>4350</v>
      </c>
      <c r="CS117">
        <v>750</v>
      </c>
      <c r="CU117">
        <v>50</v>
      </c>
      <c r="CW117">
        <v>150</v>
      </c>
      <c r="CY117">
        <v>5550</v>
      </c>
      <c r="DA117">
        <v>100</v>
      </c>
      <c r="DC117">
        <v>100</v>
      </c>
      <c r="DD117">
        <v>10</v>
      </c>
      <c r="DI117">
        <v>1825</v>
      </c>
      <c r="DO117">
        <v>25</v>
      </c>
      <c r="DQ117">
        <v>50</v>
      </c>
      <c r="DS117">
        <v>2488</v>
      </c>
      <c r="DU117">
        <v>50</v>
      </c>
      <c r="DW117">
        <v>250</v>
      </c>
      <c r="EA117">
        <v>50</v>
      </c>
      <c r="EC117">
        <v>1050</v>
      </c>
      <c r="EE117">
        <v>150</v>
      </c>
      <c r="EI117">
        <v>50</v>
      </c>
      <c r="EU117">
        <v>50</v>
      </c>
      <c r="GM117">
        <f t="shared" si="2"/>
        <v>55263</v>
      </c>
    </row>
    <row r="118" spans="1:195" x14ac:dyDescent="0.25">
      <c r="A118" s="4">
        <f>DATE(2024,2,19)</f>
        <v>45341</v>
      </c>
      <c r="B118">
        <v>290705</v>
      </c>
      <c r="C118">
        <v>6850</v>
      </c>
      <c r="W118">
        <v>950</v>
      </c>
      <c r="AG118">
        <v>2110</v>
      </c>
      <c r="AQ118">
        <v>3325</v>
      </c>
      <c r="BA118">
        <v>1350</v>
      </c>
      <c r="BK118">
        <v>6730</v>
      </c>
      <c r="BO118">
        <v>175</v>
      </c>
      <c r="BS118">
        <v>200</v>
      </c>
      <c r="BU118">
        <v>5475</v>
      </c>
      <c r="BW118">
        <v>250</v>
      </c>
      <c r="CA118">
        <v>300</v>
      </c>
      <c r="CE118">
        <v>9500</v>
      </c>
      <c r="CG118">
        <v>250</v>
      </c>
      <c r="CI118">
        <v>150</v>
      </c>
      <c r="CK118">
        <v>550</v>
      </c>
      <c r="CO118">
        <v>4350</v>
      </c>
      <c r="CS118">
        <v>750</v>
      </c>
      <c r="CU118">
        <v>50</v>
      </c>
      <c r="CW118">
        <v>150</v>
      </c>
      <c r="CY118">
        <v>5550</v>
      </c>
      <c r="DA118">
        <v>100</v>
      </c>
      <c r="DC118">
        <v>100</v>
      </c>
      <c r="DD118">
        <v>10</v>
      </c>
      <c r="DI118">
        <v>1825</v>
      </c>
      <c r="DO118">
        <v>25</v>
      </c>
      <c r="DQ118">
        <v>50</v>
      </c>
      <c r="DS118">
        <v>2488</v>
      </c>
      <c r="DU118">
        <v>50</v>
      </c>
      <c r="DW118">
        <v>250</v>
      </c>
      <c r="EA118">
        <v>50</v>
      </c>
      <c r="EC118">
        <v>1050</v>
      </c>
      <c r="EE118">
        <v>150</v>
      </c>
      <c r="EI118">
        <v>50</v>
      </c>
      <c r="EU118">
        <v>50</v>
      </c>
      <c r="GM118">
        <f t="shared" si="2"/>
        <v>55263</v>
      </c>
    </row>
    <row r="119" spans="1:195" x14ac:dyDescent="0.25">
      <c r="A119" s="4">
        <f>DATE(2024,2,16)</f>
        <v>45338</v>
      </c>
      <c r="B119">
        <v>286053</v>
      </c>
      <c r="C119">
        <v>6850</v>
      </c>
      <c r="W119">
        <v>950</v>
      </c>
      <c r="AG119">
        <v>1610</v>
      </c>
      <c r="AQ119">
        <v>3325</v>
      </c>
      <c r="BA119">
        <v>1350</v>
      </c>
      <c r="BK119">
        <v>6630</v>
      </c>
      <c r="BO119">
        <v>175</v>
      </c>
      <c r="BS119">
        <v>200</v>
      </c>
      <c r="BU119">
        <v>5325</v>
      </c>
      <c r="BW119">
        <v>250</v>
      </c>
      <c r="CA119">
        <v>300</v>
      </c>
      <c r="CE119">
        <v>9400</v>
      </c>
      <c r="CG119">
        <v>250</v>
      </c>
      <c r="CI119">
        <v>150</v>
      </c>
      <c r="CK119">
        <v>550</v>
      </c>
      <c r="CO119">
        <v>4350</v>
      </c>
      <c r="CS119">
        <v>750</v>
      </c>
      <c r="CU119">
        <v>50</v>
      </c>
      <c r="CW119">
        <v>150</v>
      </c>
      <c r="CY119">
        <v>5550</v>
      </c>
      <c r="DA119">
        <v>100</v>
      </c>
      <c r="DC119">
        <v>100</v>
      </c>
      <c r="DD119">
        <v>10</v>
      </c>
      <c r="DI119">
        <v>1825</v>
      </c>
      <c r="DO119">
        <v>25</v>
      </c>
      <c r="DQ119">
        <v>50</v>
      </c>
      <c r="DS119">
        <v>2488</v>
      </c>
      <c r="DU119">
        <v>50</v>
      </c>
      <c r="DW119">
        <v>250</v>
      </c>
      <c r="EA119">
        <v>50</v>
      </c>
      <c r="EC119">
        <v>1050</v>
      </c>
      <c r="EE119">
        <v>150</v>
      </c>
      <c r="EI119">
        <v>50</v>
      </c>
      <c r="EU119">
        <v>50</v>
      </c>
      <c r="GM119">
        <f t="shared" si="2"/>
        <v>54413</v>
      </c>
    </row>
    <row r="120" spans="1:195" x14ac:dyDescent="0.25">
      <c r="A120" s="4">
        <f>DATE(2024,2,15)</f>
        <v>45337</v>
      </c>
      <c r="B120">
        <v>285842</v>
      </c>
      <c r="C120">
        <v>6850</v>
      </c>
      <c r="W120">
        <v>950</v>
      </c>
      <c r="AG120">
        <v>1610</v>
      </c>
      <c r="AQ120">
        <v>3325</v>
      </c>
      <c r="BA120">
        <v>1350</v>
      </c>
      <c r="BK120">
        <v>6880</v>
      </c>
      <c r="BO120">
        <v>175</v>
      </c>
      <c r="BS120">
        <v>200</v>
      </c>
      <c r="BU120">
        <v>5325</v>
      </c>
      <c r="BW120">
        <v>250</v>
      </c>
      <c r="CA120">
        <v>300</v>
      </c>
      <c r="CE120">
        <v>9025</v>
      </c>
      <c r="CG120">
        <v>250</v>
      </c>
      <c r="CI120">
        <v>150</v>
      </c>
      <c r="CK120">
        <v>550</v>
      </c>
      <c r="CO120">
        <v>4350</v>
      </c>
      <c r="CS120">
        <v>750</v>
      </c>
      <c r="CU120">
        <v>50</v>
      </c>
      <c r="CW120">
        <v>150</v>
      </c>
      <c r="CY120">
        <v>5550</v>
      </c>
      <c r="DA120">
        <v>100</v>
      </c>
      <c r="DC120">
        <v>100</v>
      </c>
      <c r="DD120">
        <v>10</v>
      </c>
      <c r="DI120">
        <v>1825</v>
      </c>
      <c r="DO120">
        <v>25</v>
      </c>
      <c r="DQ120">
        <v>50</v>
      </c>
      <c r="DS120">
        <v>2488</v>
      </c>
      <c r="DU120">
        <v>50</v>
      </c>
      <c r="DW120">
        <v>250</v>
      </c>
      <c r="EA120">
        <v>50</v>
      </c>
      <c r="EC120">
        <v>1050</v>
      </c>
      <c r="EE120">
        <v>150</v>
      </c>
      <c r="EI120">
        <v>50</v>
      </c>
      <c r="EU120">
        <v>50</v>
      </c>
      <c r="GM120">
        <f t="shared" si="2"/>
        <v>54288</v>
      </c>
    </row>
    <row r="121" spans="1:195" x14ac:dyDescent="0.25">
      <c r="A121" s="4">
        <f>DATE(2024,2,14)</f>
        <v>45336</v>
      </c>
      <c r="B121">
        <v>286484</v>
      </c>
      <c r="C121">
        <v>6850</v>
      </c>
      <c r="W121">
        <v>200</v>
      </c>
      <c r="AG121">
        <v>750</v>
      </c>
      <c r="AQ121">
        <v>3325</v>
      </c>
      <c r="BA121">
        <v>1000</v>
      </c>
      <c r="BK121">
        <v>6530</v>
      </c>
      <c r="BO121">
        <v>175</v>
      </c>
      <c r="BS121">
        <v>200</v>
      </c>
      <c r="BU121">
        <v>5325</v>
      </c>
      <c r="BW121">
        <v>250</v>
      </c>
      <c r="CA121">
        <v>300</v>
      </c>
      <c r="CE121">
        <v>8525</v>
      </c>
      <c r="CG121">
        <v>250</v>
      </c>
      <c r="CI121">
        <v>150</v>
      </c>
      <c r="CK121">
        <v>550</v>
      </c>
      <c r="CO121">
        <v>4350</v>
      </c>
      <c r="CS121">
        <v>750</v>
      </c>
      <c r="CU121">
        <v>50</v>
      </c>
      <c r="CW121">
        <v>150</v>
      </c>
      <c r="CY121">
        <v>5550</v>
      </c>
      <c r="DA121">
        <v>100</v>
      </c>
      <c r="DC121">
        <v>100</v>
      </c>
      <c r="DD121">
        <v>10</v>
      </c>
      <c r="DI121">
        <v>1825</v>
      </c>
      <c r="DO121">
        <v>25</v>
      </c>
      <c r="DQ121">
        <v>50</v>
      </c>
      <c r="DS121">
        <v>2488</v>
      </c>
      <c r="DU121">
        <v>50</v>
      </c>
      <c r="DW121">
        <v>250</v>
      </c>
      <c r="EA121">
        <v>50</v>
      </c>
      <c r="EC121">
        <v>1050</v>
      </c>
      <c r="EE121">
        <v>150</v>
      </c>
      <c r="EI121">
        <v>50</v>
      </c>
      <c r="EU121">
        <v>50</v>
      </c>
      <c r="GM121">
        <f t="shared" si="2"/>
        <v>51478</v>
      </c>
    </row>
    <row r="122" spans="1:195" x14ac:dyDescent="0.25">
      <c r="A122" s="4">
        <f>DATE(2024,2,13)</f>
        <v>45335</v>
      </c>
      <c r="B122">
        <v>287140</v>
      </c>
      <c r="C122">
        <v>6850</v>
      </c>
      <c r="W122">
        <v>200</v>
      </c>
      <c r="AG122">
        <v>200</v>
      </c>
      <c r="AQ122">
        <v>3325</v>
      </c>
      <c r="BA122">
        <v>1000</v>
      </c>
      <c r="BK122">
        <v>6505</v>
      </c>
      <c r="BO122">
        <v>175</v>
      </c>
      <c r="BS122">
        <v>200</v>
      </c>
      <c r="BU122">
        <v>5325</v>
      </c>
      <c r="BW122">
        <v>250</v>
      </c>
      <c r="CA122">
        <v>300</v>
      </c>
      <c r="CE122">
        <v>8525</v>
      </c>
      <c r="CG122">
        <v>250</v>
      </c>
      <c r="CI122">
        <v>150</v>
      </c>
      <c r="CK122">
        <v>550</v>
      </c>
      <c r="CO122">
        <v>4350</v>
      </c>
      <c r="CS122">
        <v>750</v>
      </c>
      <c r="CU122">
        <v>50</v>
      </c>
      <c r="CW122">
        <v>150</v>
      </c>
      <c r="CY122">
        <v>5550</v>
      </c>
      <c r="DA122">
        <v>100</v>
      </c>
      <c r="DC122">
        <v>100</v>
      </c>
      <c r="DD122">
        <v>10</v>
      </c>
      <c r="DI122">
        <v>1825</v>
      </c>
      <c r="DO122">
        <v>25</v>
      </c>
      <c r="DQ122">
        <v>50</v>
      </c>
      <c r="DS122">
        <v>2488</v>
      </c>
      <c r="DU122">
        <v>50</v>
      </c>
      <c r="DW122">
        <v>250</v>
      </c>
      <c r="EA122">
        <v>50</v>
      </c>
      <c r="EC122">
        <v>1050</v>
      </c>
      <c r="EE122">
        <v>150</v>
      </c>
      <c r="EI122">
        <v>50</v>
      </c>
      <c r="EU122">
        <v>50</v>
      </c>
      <c r="GM122">
        <f t="shared" si="2"/>
        <v>50903</v>
      </c>
    </row>
    <row r="123" spans="1:195" x14ac:dyDescent="0.25">
      <c r="A123" s="4">
        <f>DATE(2024,2,12)</f>
        <v>45334</v>
      </c>
      <c r="B123">
        <v>286130</v>
      </c>
      <c r="C123">
        <v>6850</v>
      </c>
      <c r="W123">
        <v>200</v>
      </c>
      <c r="AG123">
        <v>200</v>
      </c>
      <c r="AQ123">
        <v>3325</v>
      </c>
      <c r="BA123">
        <v>1000</v>
      </c>
      <c r="BK123">
        <v>6305</v>
      </c>
      <c r="BO123">
        <v>175</v>
      </c>
      <c r="BS123">
        <v>200</v>
      </c>
      <c r="BU123">
        <v>5400</v>
      </c>
      <c r="BW123">
        <v>250</v>
      </c>
      <c r="CA123">
        <v>300</v>
      </c>
      <c r="CE123">
        <v>8525</v>
      </c>
      <c r="CG123">
        <v>250</v>
      </c>
      <c r="CI123">
        <v>150</v>
      </c>
      <c r="CK123">
        <v>550</v>
      </c>
      <c r="CO123">
        <v>4350</v>
      </c>
      <c r="CS123">
        <v>750</v>
      </c>
      <c r="CU123">
        <v>50</v>
      </c>
      <c r="CW123">
        <v>150</v>
      </c>
      <c r="CY123">
        <v>5550</v>
      </c>
      <c r="DA123">
        <v>100</v>
      </c>
      <c r="DC123">
        <v>100</v>
      </c>
      <c r="DD123">
        <v>10</v>
      </c>
      <c r="DI123">
        <v>1825</v>
      </c>
      <c r="DO123">
        <v>25</v>
      </c>
      <c r="DQ123">
        <v>50</v>
      </c>
      <c r="DS123">
        <v>2488</v>
      </c>
      <c r="DU123">
        <v>50</v>
      </c>
      <c r="DW123">
        <v>250</v>
      </c>
      <c r="EA123">
        <v>50</v>
      </c>
      <c r="EC123">
        <v>1050</v>
      </c>
      <c r="EE123">
        <v>150</v>
      </c>
      <c r="EI123">
        <v>50</v>
      </c>
      <c r="EU123">
        <v>50</v>
      </c>
      <c r="GM123">
        <f t="shared" si="2"/>
        <v>50778</v>
      </c>
    </row>
    <row r="124" spans="1:195" x14ac:dyDescent="0.25">
      <c r="A124" s="4">
        <f>DATE(2024,2,9)</f>
        <v>45331</v>
      </c>
      <c r="B124">
        <v>284512</v>
      </c>
      <c r="C124">
        <v>6850</v>
      </c>
      <c r="W124">
        <v>200</v>
      </c>
      <c r="AG124">
        <v>200</v>
      </c>
      <c r="AQ124">
        <v>3225</v>
      </c>
      <c r="BA124">
        <v>1000</v>
      </c>
      <c r="BK124">
        <v>5955</v>
      </c>
      <c r="BO124">
        <v>175</v>
      </c>
      <c r="BS124">
        <v>200</v>
      </c>
      <c r="BU124">
        <v>5400</v>
      </c>
      <c r="BW124">
        <v>250</v>
      </c>
      <c r="CA124">
        <v>300</v>
      </c>
      <c r="CE124">
        <v>8625</v>
      </c>
      <c r="CG124">
        <v>250</v>
      </c>
      <c r="CI124">
        <v>150</v>
      </c>
      <c r="CK124">
        <v>550</v>
      </c>
      <c r="CO124">
        <v>4250</v>
      </c>
      <c r="CS124">
        <v>150</v>
      </c>
      <c r="CU124">
        <v>50</v>
      </c>
      <c r="CW124">
        <v>150</v>
      </c>
      <c r="CY124">
        <v>5550</v>
      </c>
      <c r="DA124">
        <v>100</v>
      </c>
      <c r="DC124">
        <v>100</v>
      </c>
      <c r="DD124">
        <v>10</v>
      </c>
      <c r="DI124">
        <v>1825</v>
      </c>
      <c r="DO124">
        <v>25</v>
      </c>
      <c r="DQ124">
        <v>50</v>
      </c>
      <c r="DS124">
        <v>2488</v>
      </c>
      <c r="DU124">
        <v>50</v>
      </c>
      <c r="DW124">
        <v>250</v>
      </c>
      <c r="EA124">
        <v>50</v>
      </c>
      <c r="EC124">
        <v>1050</v>
      </c>
      <c r="EE124">
        <v>150</v>
      </c>
      <c r="EI124">
        <v>50</v>
      </c>
      <c r="EU124">
        <v>50</v>
      </c>
      <c r="GM124">
        <f t="shared" si="2"/>
        <v>49728</v>
      </c>
    </row>
    <row r="125" spans="1:195" x14ac:dyDescent="0.25">
      <c r="A125" s="4">
        <f>DATE(2024,2,8)</f>
        <v>45330</v>
      </c>
      <c r="B125">
        <v>280639</v>
      </c>
      <c r="C125">
        <v>6850</v>
      </c>
      <c r="W125">
        <v>200</v>
      </c>
      <c r="AG125">
        <v>200</v>
      </c>
      <c r="AQ125">
        <v>3225</v>
      </c>
      <c r="BA125">
        <v>1000</v>
      </c>
      <c r="BK125">
        <v>5705</v>
      </c>
      <c r="BO125">
        <v>175</v>
      </c>
      <c r="BS125">
        <v>200</v>
      </c>
      <c r="BU125">
        <v>5400</v>
      </c>
      <c r="BW125">
        <v>250</v>
      </c>
      <c r="CA125">
        <v>300</v>
      </c>
      <c r="CE125">
        <v>8625</v>
      </c>
      <c r="CG125">
        <v>250</v>
      </c>
      <c r="CI125">
        <v>150</v>
      </c>
      <c r="CK125">
        <v>550</v>
      </c>
      <c r="CO125">
        <v>4250</v>
      </c>
      <c r="CS125">
        <v>150</v>
      </c>
      <c r="CU125">
        <v>50</v>
      </c>
      <c r="CW125">
        <v>150</v>
      </c>
      <c r="CY125">
        <v>5550</v>
      </c>
      <c r="DA125">
        <v>100</v>
      </c>
      <c r="DC125">
        <v>100</v>
      </c>
      <c r="DD125">
        <v>10</v>
      </c>
      <c r="DI125">
        <v>2075</v>
      </c>
      <c r="DO125">
        <v>25</v>
      </c>
      <c r="DQ125">
        <v>50</v>
      </c>
      <c r="DS125">
        <v>2488</v>
      </c>
      <c r="DU125">
        <v>50</v>
      </c>
      <c r="DW125">
        <v>250</v>
      </c>
      <c r="EA125">
        <v>50</v>
      </c>
      <c r="EC125">
        <v>1050</v>
      </c>
      <c r="EE125">
        <v>150</v>
      </c>
      <c r="EI125">
        <v>50</v>
      </c>
      <c r="EU125">
        <v>50</v>
      </c>
      <c r="GM125">
        <f t="shared" si="2"/>
        <v>49728</v>
      </c>
    </row>
    <row r="126" spans="1:195" x14ac:dyDescent="0.25">
      <c r="A126" s="4">
        <f>DATE(2024,2,7)</f>
        <v>45329</v>
      </c>
      <c r="B126">
        <v>277076</v>
      </c>
      <c r="C126">
        <v>6850</v>
      </c>
      <c r="AG126">
        <v>200</v>
      </c>
      <c r="AQ126">
        <v>3225</v>
      </c>
      <c r="BA126">
        <v>1000</v>
      </c>
      <c r="BK126">
        <v>5205</v>
      </c>
      <c r="BO126">
        <v>175</v>
      </c>
      <c r="BS126">
        <v>200</v>
      </c>
      <c r="BU126">
        <v>4750</v>
      </c>
      <c r="BW126">
        <v>250</v>
      </c>
      <c r="CA126">
        <v>300</v>
      </c>
      <c r="CE126">
        <v>8225</v>
      </c>
      <c r="CG126">
        <v>250</v>
      </c>
      <c r="CI126">
        <v>150</v>
      </c>
      <c r="CK126">
        <v>550</v>
      </c>
      <c r="CO126">
        <v>4250</v>
      </c>
      <c r="CS126">
        <v>150</v>
      </c>
      <c r="CU126">
        <v>50</v>
      </c>
      <c r="CW126">
        <v>150</v>
      </c>
      <c r="CY126">
        <v>5550</v>
      </c>
      <c r="DA126">
        <v>100</v>
      </c>
      <c r="DC126">
        <v>100</v>
      </c>
      <c r="DD126">
        <v>10</v>
      </c>
      <c r="DI126">
        <v>2075</v>
      </c>
      <c r="DO126">
        <v>25</v>
      </c>
      <c r="DQ126">
        <v>50</v>
      </c>
      <c r="DS126">
        <v>2025</v>
      </c>
      <c r="DU126">
        <v>50</v>
      </c>
      <c r="DW126">
        <v>250</v>
      </c>
      <c r="EA126">
        <v>50</v>
      </c>
      <c r="EC126">
        <v>1050</v>
      </c>
      <c r="EE126">
        <v>150</v>
      </c>
      <c r="EI126">
        <v>50</v>
      </c>
      <c r="EU126">
        <v>50</v>
      </c>
      <c r="GM126">
        <f t="shared" si="2"/>
        <v>47515</v>
      </c>
    </row>
    <row r="127" spans="1:195" x14ac:dyDescent="0.25">
      <c r="A127" s="4">
        <f>DATE(2024,2,6)</f>
        <v>45328</v>
      </c>
      <c r="B127">
        <v>278078</v>
      </c>
      <c r="C127">
        <v>6850</v>
      </c>
      <c r="AG127">
        <v>200</v>
      </c>
      <c r="AQ127">
        <v>3225</v>
      </c>
      <c r="BA127">
        <v>1000</v>
      </c>
      <c r="BK127">
        <v>5205</v>
      </c>
      <c r="BO127">
        <v>175</v>
      </c>
      <c r="BS127">
        <v>200</v>
      </c>
      <c r="BU127">
        <v>4750</v>
      </c>
      <c r="BW127">
        <v>250</v>
      </c>
      <c r="CA127">
        <v>300</v>
      </c>
      <c r="CE127">
        <v>8225</v>
      </c>
      <c r="CG127">
        <v>250</v>
      </c>
      <c r="CI127">
        <v>150</v>
      </c>
      <c r="CK127">
        <v>550</v>
      </c>
      <c r="CO127">
        <v>4250</v>
      </c>
      <c r="CS127">
        <v>150</v>
      </c>
      <c r="CU127">
        <v>50</v>
      </c>
      <c r="CW127">
        <v>150</v>
      </c>
      <c r="CY127">
        <v>5550</v>
      </c>
      <c r="DA127">
        <v>100</v>
      </c>
      <c r="DC127">
        <v>100</v>
      </c>
      <c r="DD127">
        <v>10</v>
      </c>
      <c r="DI127">
        <v>2075</v>
      </c>
      <c r="DO127">
        <v>25</v>
      </c>
      <c r="DQ127">
        <v>50</v>
      </c>
      <c r="DS127">
        <v>2025</v>
      </c>
      <c r="DU127">
        <v>50</v>
      </c>
      <c r="DW127">
        <v>250</v>
      </c>
      <c r="EA127">
        <v>50</v>
      </c>
      <c r="EC127">
        <v>1050</v>
      </c>
      <c r="EE127">
        <v>150</v>
      </c>
      <c r="EI127">
        <v>50</v>
      </c>
      <c r="EU127">
        <v>50</v>
      </c>
      <c r="GM127">
        <f t="shared" si="2"/>
        <v>47515</v>
      </c>
    </row>
    <row r="128" spans="1:195" x14ac:dyDescent="0.25">
      <c r="A128" s="4">
        <f>DATE(2024,2,5)</f>
        <v>45327</v>
      </c>
      <c r="B128">
        <v>277917</v>
      </c>
      <c r="C128">
        <v>6850</v>
      </c>
      <c r="AG128">
        <v>200</v>
      </c>
      <c r="AQ128">
        <v>3225</v>
      </c>
      <c r="BA128">
        <v>1000</v>
      </c>
      <c r="BK128">
        <v>5205</v>
      </c>
      <c r="BO128">
        <v>175</v>
      </c>
      <c r="BS128">
        <v>200</v>
      </c>
      <c r="BU128">
        <v>4750</v>
      </c>
      <c r="BW128">
        <v>250</v>
      </c>
      <c r="CA128">
        <v>300</v>
      </c>
      <c r="CE128">
        <v>8225</v>
      </c>
      <c r="CG128">
        <v>250</v>
      </c>
      <c r="CI128">
        <v>150</v>
      </c>
      <c r="CK128">
        <v>550</v>
      </c>
      <c r="CO128">
        <v>4250</v>
      </c>
      <c r="CS128">
        <v>150</v>
      </c>
      <c r="CU128">
        <v>50</v>
      </c>
      <c r="CW128">
        <v>150</v>
      </c>
      <c r="CY128">
        <v>5550</v>
      </c>
      <c r="DA128">
        <v>100</v>
      </c>
      <c r="DC128">
        <v>100</v>
      </c>
      <c r="DD128">
        <v>10</v>
      </c>
      <c r="DI128">
        <v>2075</v>
      </c>
      <c r="DO128">
        <v>25</v>
      </c>
      <c r="DQ128">
        <v>50</v>
      </c>
      <c r="DS128">
        <v>2025</v>
      </c>
      <c r="DU128">
        <v>50</v>
      </c>
      <c r="DW128">
        <v>250</v>
      </c>
      <c r="EA128">
        <v>50</v>
      </c>
      <c r="EC128">
        <v>1050</v>
      </c>
      <c r="EE128">
        <v>150</v>
      </c>
      <c r="EI128">
        <v>50</v>
      </c>
      <c r="EU128">
        <v>50</v>
      </c>
      <c r="GM128">
        <f t="shared" si="2"/>
        <v>47515</v>
      </c>
    </row>
    <row r="129" spans="1:195" x14ac:dyDescent="0.25">
      <c r="A129" s="4">
        <f>DATE(2024,2,2)</f>
        <v>45324</v>
      </c>
      <c r="B129">
        <v>275630</v>
      </c>
      <c r="C129">
        <v>6850</v>
      </c>
      <c r="AG129">
        <v>200</v>
      </c>
      <c r="AQ129">
        <v>3375</v>
      </c>
      <c r="BA129">
        <v>1000</v>
      </c>
      <c r="BK129">
        <v>5205</v>
      </c>
      <c r="BO129">
        <v>175</v>
      </c>
      <c r="BS129">
        <v>200</v>
      </c>
      <c r="BU129">
        <v>4750</v>
      </c>
      <c r="BW129">
        <v>250</v>
      </c>
      <c r="CA129">
        <v>300</v>
      </c>
      <c r="CE129">
        <v>9275</v>
      </c>
      <c r="CG129">
        <v>250</v>
      </c>
      <c r="CI129">
        <v>150</v>
      </c>
      <c r="CK129">
        <v>550</v>
      </c>
      <c r="CO129">
        <v>4250</v>
      </c>
      <c r="CS129">
        <v>150</v>
      </c>
      <c r="CU129">
        <v>50</v>
      </c>
      <c r="CW129">
        <v>150</v>
      </c>
      <c r="CY129">
        <v>5550</v>
      </c>
      <c r="DA129">
        <v>100</v>
      </c>
      <c r="DC129">
        <v>100</v>
      </c>
      <c r="DD129">
        <v>10</v>
      </c>
      <c r="DI129">
        <v>2075</v>
      </c>
      <c r="DO129">
        <v>25</v>
      </c>
      <c r="DQ129">
        <v>50</v>
      </c>
      <c r="DS129">
        <v>2025</v>
      </c>
      <c r="DU129">
        <v>50</v>
      </c>
      <c r="DW129">
        <v>250</v>
      </c>
      <c r="EA129">
        <v>50</v>
      </c>
      <c r="EC129">
        <v>1050</v>
      </c>
      <c r="EE129">
        <v>150</v>
      </c>
      <c r="EI129">
        <v>50</v>
      </c>
      <c r="EU129">
        <v>50</v>
      </c>
      <c r="GM129">
        <f t="shared" si="2"/>
        <v>48715</v>
      </c>
    </row>
    <row r="130" spans="1:195" x14ac:dyDescent="0.25">
      <c r="A130" s="4">
        <f>DATE(2024,2,1)</f>
        <v>45323</v>
      </c>
      <c r="B130">
        <v>275328</v>
      </c>
      <c r="C130">
        <v>6850</v>
      </c>
      <c r="AG130">
        <v>200</v>
      </c>
      <c r="AQ130">
        <v>3375</v>
      </c>
      <c r="BA130">
        <v>1000</v>
      </c>
      <c r="BK130">
        <v>5205</v>
      </c>
      <c r="BO130">
        <v>175</v>
      </c>
      <c r="BS130">
        <v>200</v>
      </c>
      <c r="BU130">
        <v>4750</v>
      </c>
      <c r="BW130">
        <v>250</v>
      </c>
      <c r="CA130">
        <v>300</v>
      </c>
      <c r="CE130">
        <v>9250</v>
      </c>
      <c r="CG130">
        <v>250</v>
      </c>
      <c r="CI130">
        <v>150</v>
      </c>
      <c r="CK130">
        <v>550</v>
      </c>
      <c r="CO130">
        <v>4250</v>
      </c>
      <c r="CS130">
        <v>150</v>
      </c>
      <c r="CU130">
        <v>50</v>
      </c>
      <c r="CW130">
        <v>150</v>
      </c>
      <c r="CY130">
        <v>5550</v>
      </c>
      <c r="DA130">
        <v>100</v>
      </c>
      <c r="DC130">
        <v>100</v>
      </c>
      <c r="DD130">
        <v>10</v>
      </c>
      <c r="DI130">
        <v>2075</v>
      </c>
      <c r="DO130">
        <v>25</v>
      </c>
      <c r="DQ130">
        <v>50</v>
      </c>
      <c r="DS130">
        <v>2025</v>
      </c>
      <c r="DU130">
        <v>50</v>
      </c>
      <c r="DW130">
        <v>250</v>
      </c>
      <c r="EA130">
        <v>50</v>
      </c>
      <c r="EC130">
        <v>1050</v>
      </c>
      <c r="EE130">
        <v>150</v>
      </c>
      <c r="EI130">
        <v>50</v>
      </c>
      <c r="EU130">
        <v>50</v>
      </c>
      <c r="GM130">
        <f t="shared" si="2"/>
        <v>48690</v>
      </c>
    </row>
    <row r="131" spans="1:195" x14ac:dyDescent="0.25">
      <c r="A131" s="4">
        <f>DATE(2024,1,31)</f>
        <v>45322</v>
      </c>
      <c r="B131">
        <v>272614</v>
      </c>
      <c r="C131">
        <v>6850</v>
      </c>
      <c r="AG131">
        <v>200</v>
      </c>
      <c r="AQ131">
        <v>3375</v>
      </c>
      <c r="BA131">
        <v>1000</v>
      </c>
      <c r="BK131">
        <v>5205</v>
      </c>
      <c r="BO131">
        <v>175</v>
      </c>
      <c r="BS131">
        <v>200</v>
      </c>
      <c r="BU131">
        <v>4750</v>
      </c>
      <c r="BW131">
        <v>250</v>
      </c>
      <c r="CA131">
        <v>300</v>
      </c>
      <c r="CE131">
        <v>9250</v>
      </c>
      <c r="CG131">
        <v>250</v>
      </c>
      <c r="CI131">
        <v>150</v>
      </c>
      <c r="CK131">
        <v>550</v>
      </c>
      <c r="CO131">
        <v>4250</v>
      </c>
      <c r="CS131">
        <v>150</v>
      </c>
      <c r="CU131">
        <v>50</v>
      </c>
      <c r="CW131">
        <v>150</v>
      </c>
      <c r="CY131">
        <v>5550</v>
      </c>
      <c r="DA131">
        <v>100</v>
      </c>
      <c r="DC131">
        <v>100</v>
      </c>
      <c r="DD131">
        <v>10</v>
      </c>
      <c r="DI131">
        <v>2075</v>
      </c>
      <c r="DO131">
        <v>25</v>
      </c>
      <c r="DQ131">
        <v>50</v>
      </c>
      <c r="DS131">
        <v>2025</v>
      </c>
      <c r="DU131">
        <v>50</v>
      </c>
      <c r="DW131">
        <v>250</v>
      </c>
      <c r="EA131">
        <v>50</v>
      </c>
      <c r="EC131">
        <v>1050</v>
      </c>
      <c r="EE131">
        <v>150</v>
      </c>
      <c r="EI131">
        <v>50</v>
      </c>
      <c r="EU131">
        <v>50</v>
      </c>
      <c r="GM131">
        <f t="shared" si="2"/>
        <v>48690</v>
      </c>
    </row>
    <row r="132" spans="1:195" x14ac:dyDescent="0.25">
      <c r="A132" s="4">
        <f>DATE(2024,1,30)</f>
        <v>45321</v>
      </c>
      <c r="B132">
        <v>272609</v>
      </c>
      <c r="C132">
        <v>6850</v>
      </c>
      <c r="AG132">
        <v>350</v>
      </c>
      <c r="AQ132">
        <v>3375</v>
      </c>
      <c r="BA132">
        <v>1000</v>
      </c>
      <c r="BK132">
        <v>4855</v>
      </c>
      <c r="BO132">
        <v>175</v>
      </c>
      <c r="BS132">
        <v>200</v>
      </c>
      <c r="BU132">
        <v>4750</v>
      </c>
      <c r="BW132">
        <v>250</v>
      </c>
      <c r="CA132">
        <v>300</v>
      </c>
      <c r="CE132">
        <v>9225</v>
      </c>
      <c r="CG132">
        <v>250</v>
      </c>
      <c r="CI132">
        <v>150</v>
      </c>
      <c r="CK132">
        <v>550</v>
      </c>
      <c r="CO132">
        <v>4250</v>
      </c>
      <c r="CS132">
        <v>150</v>
      </c>
      <c r="CU132">
        <v>50</v>
      </c>
      <c r="CW132">
        <v>150</v>
      </c>
      <c r="CY132">
        <v>5550</v>
      </c>
      <c r="DA132">
        <v>100</v>
      </c>
      <c r="DC132">
        <v>100</v>
      </c>
      <c r="DD132">
        <v>10</v>
      </c>
      <c r="DI132">
        <v>2075</v>
      </c>
      <c r="DO132">
        <v>25</v>
      </c>
      <c r="DQ132">
        <v>50</v>
      </c>
      <c r="DS132">
        <v>2025</v>
      </c>
      <c r="DU132">
        <v>50</v>
      </c>
      <c r="DW132">
        <v>250</v>
      </c>
      <c r="EA132">
        <v>50</v>
      </c>
      <c r="EC132">
        <v>1050</v>
      </c>
      <c r="EE132">
        <v>150</v>
      </c>
      <c r="EI132">
        <v>50</v>
      </c>
      <c r="EU132">
        <v>50</v>
      </c>
      <c r="GM132">
        <f t="shared" si="2"/>
        <v>48465</v>
      </c>
    </row>
    <row r="133" spans="1:195" x14ac:dyDescent="0.25">
      <c r="A133" s="4">
        <f>DATE(2024,1,29)</f>
        <v>45320</v>
      </c>
      <c r="B133">
        <v>269994</v>
      </c>
      <c r="C133">
        <v>6850</v>
      </c>
      <c r="AG133">
        <v>350</v>
      </c>
      <c r="AQ133">
        <v>3325</v>
      </c>
      <c r="BA133">
        <v>1000</v>
      </c>
      <c r="BK133">
        <v>4855</v>
      </c>
      <c r="BO133">
        <v>175</v>
      </c>
      <c r="BS133">
        <v>200</v>
      </c>
      <c r="BU133">
        <v>4750</v>
      </c>
      <c r="BW133">
        <v>250</v>
      </c>
      <c r="CA133">
        <v>300</v>
      </c>
      <c r="CE133">
        <v>9200</v>
      </c>
      <c r="CG133">
        <v>250</v>
      </c>
      <c r="CI133">
        <v>150</v>
      </c>
      <c r="CK133">
        <v>550</v>
      </c>
      <c r="CO133">
        <v>4250</v>
      </c>
      <c r="CS133">
        <v>150</v>
      </c>
      <c r="CU133">
        <v>50</v>
      </c>
      <c r="CW133">
        <v>150</v>
      </c>
      <c r="CY133">
        <v>5550</v>
      </c>
      <c r="DA133">
        <v>100</v>
      </c>
      <c r="DC133">
        <v>100</v>
      </c>
      <c r="DD133">
        <v>10</v>
      </c>
      <c r="DI133">
        <v>2075</v>
      </c>
      <c r="DO133">
        <v>25</v>
      </c>
      <c r="DQ133">
        <v>50</v>
      </c>
      <c r="DS133">
        <v>2025</v>
      </c>
      <c r="DU133">
        <v>50</v>
      </c>
      <c r="DW133">
        <v>250</v>
      </c>
      <c r="EA133">
        <v>50</v>
      </c>
      <c r="EC133">
        <v>1050</v>
      </c>
      <c r="EE133">
        <v>150</v>
      </c>
      <c r="EI133">
        <v>50</v>
      </c>
      <c r="EU133">
        <v>50</v>
      </c>
      <c r="GM133">
        <f t="shared" si="2"/>
        <v>48390</v>
      </c>
    </row>
    <row r="134" spans="1:195" x14ac:dyDescent="0.25">
      <c r="A134" s="4">
        <f>DATE(2024,1,26)</f>
        <v>45317</v>
      </c>
      <c r="B134">
        <v>269839</v>
      </c>
      <c r="C134">
        <v>6850</v>
      </c>
      <c r="AG134">
        <v>350</v>
      </c>
      <c r="AQ134">
        <v>3325</v>
      </c>
      <c r="BA134">
        <v>1000</v>
      </c>
      <c r="BK134">
        <v>4655</v>
      </c>
      <c r="BO134">
        <v>175</v>
      </c>
      <c r="BS134">
        <v>200</v>
      </c>
      <c r="BU134">
        <v>4750</v>
      </c>
      <c r="BW134">
        <v>250</v>
      </c>
      <c r="CA134">
        <v>300</v>
      </c>
      <c r="CE134">
        <v>9150</v>
      </c>
      <c r="CG134">
        <v>250</v>
      </c>
      <c r="CI134">
        <v>150</v>
      </c>
      <c r="CK134">
        <v>550</v>
      </c>
      <c r="CO134">
        <v>4250</v>
      </c>
      <c r="CS134">
        <v>150</v>
      </c>
      <c r="CU134">
        <v>50</v>
      </c>
      <c r="CW134">
        <v>150</v>
      </c>
      <c r="CY134">
        <v>5550</v>
      </c>
      <c r="DA134">
        <v>100</v>
      </c>
      <c r="DC134">
        <v>100</v>
      </c>
      <c r="DD134">
        <v>10</v>
      </c>
      <c r="DI134">
        <v>2075</v>
      </c>
      <c r="DO134">
        <v>25</v>
      </c>
      <c r="DQ134">
        <v>50</v>
      </c>
      <c r="DS134">
        <v>2025</v>
      </c>
      <c r="DU134">
        <v>50</v>
      </c>
      <c r="DW134">
        <v>250</v>
      </c>
      <c r="EA134">
        <v>50</v>
      </c>
      <c r="EC134">
        <v>1050</v>
      </c>
      <c r="EE134">
        <v>150</v>
      </c>
      <c r="EI134">
        <v>50</v>
      </c>
      <c r="EU134">
        <v>50</v>
      </c>
      <c r="GM134">
        <f t="shared" si="2"/>
        <v>48140</v>
      </c>
    </row>
    <row r="135" spans="1:195" x14ac:dyDescent="0.25">
      <c r="A135" s="4">
        <f>DATE(2024,1,25)</f>
        <v>45316</v>
      </c>
      <c r="B135">
        <v>268418</v>
      </c>
      <c r="C135">
        <v>6850</v>
      </c>
      <c r="AG135">
        <v>350</v>
      </c>
      <c r="AQ135">
        <v>3325</v>
      </c>
      <c r="BA135">
        <v>1000</v>
      </c>
      <c r="BK135">
        <v>4655</v>
      </c>
      <c r="BO135">
        <v>175</v>
      </c>
      <c r="BS135">
        <v>200</v>
      </c>
      <c r="BU135">
        <v>4750</v>
      </c>
      <c r="BW135">
        <v>250</v>
      </c>
      <c r="CA135">
        <v>300</v>
      </c>
      <c r="CE135">
        <v>9150</v>
      </c>
      <c r="CG135">
        <v>250</v>
      </c>
      <c r="CI135">
        <v>150</v>
      </c>
      <c r="CK135">
        <v>550</v>
      </c>
      <c r="CO135">
        <v>4250</v>
      </c>
      <c r="CS135">
        <v>150</v>
      </c>
      <c r="CU135">
        <v>50</v>
      </c>
      <c r="CW135">
        <v>150</v>
      </c>
      <c r="CY135">
        <v>5550</v>
      </c>
      <c r="DA135">
        <v>100</v>
      </c>
      <c r="DC135">
        <v>100</v>
      </c>
      <c r="DD135">
        <v>10</v>
      </c>
      <c r="DI135">
        <v>2075</v>
      </c>
      <c r="DO135">
        <v>25</v>
      </c>
      <c r="DQ135">
        <v>50</v>
      </c>
      <c r="DS135">
        <v>2025</v>
      </c>
      <c r="DU135">
        <v>50</v>
      </c>
      <c r="DW135">
        <v>250</v>
      </c>
      <c r="EA135">
        <v>50</v>
      </c>
      <c r="EC135">
        <v>1050</v>
      </c>
      <c r="EE135">
        <v>150</v>
      </c>
      <c r="EI135">
        <v>50</v>
      </c>
      <c r="EU135">
        <v>50</v>
      </c>
      <c r="GM135">
        <f t="shared" si="2"/>
        <v>48140</v>
      </c>
    </row>
    <row r="136" spans="1:195" x14ac:dyDescent="0.25">
      <c r="A136" s="4">
        <f>DATE(2024,1,24)</f>
        <v>45315</v>
      </c>
      <c r="B136">
        <v>263929</v>
      </c>
      <c r="C136">
        <v>6700</v>
      </c>
      <c r="AG136">
        <v>350</v>
      </c>
      <c r="AQ136">
        <v>3325</v>
      </c>
      <c r="BA136">
        <v>700</v>
      </c>
      <c r="BK136">
        <v>4505</v>
      </c>
      <c r="BO136">
        <v>175</v>
      </c>
      <c r="BS136">
        <v>200</v>
      </c>
      <c r="BU136">
        <v>4750</v>
      </c>
      <c r="BW136">
        <v>250</v>
      </c>
      <c r="CA136">
        <v>300</v>
      </c>
      <c r="CE136">
        <v>9100</v>
      </c>
      <c r="CG136">
        <v>250</v>
      </c>
      <c r="CI136">
        <v>150</v>
      </c>
      <c r="CK136">
        <v>550</v>
      </c>
      <c r="CO136">
        <v>4250</v>
      </c>
      <c r="CS136">
        <v>150</v>
      </c>
      <c r="CU136">
        <v>50</v>
      </c>
      <c r="CW136">
        <v>150</v>
      </c>
      <c r="CY136">
        <v>5550</v>
      </c>
      <c r="DA136">
        <v>100</v>
      </c>
      <c r="DC136">
        <v>100</v>
      </c>
      <c r="DD136">
        <v>10</v>
      </c>
      <c r="DI136">
        <v>2075</v>
      </c>
      <c r="DO136">
        <v>25</v>
      </c>
      <c r="DQ136">
        <v>50</v>
      </c>
      <c r="DS136">
        <v>2025</v>
      </c>
      <c r="DU136">
        <v>50</v>
      </c>
      <c r="DW136">
        <v>250</v>
      </c>
      <c r="EA136">
        <v>50</v>
      </c>
      <c r="EC136">
        <v>1050</v>
      </c>
      <c r="EE136">
        <v>150</v>
      </c>
      <c r="EI136">
        <v>50</v>
      </c>
      <c r="EU136">
        <v>50</v>
      </c>
      <c r="GM136">
        <f t="shared" ref="GM136:GM199" si="3">SUMPRODUCT(C136:GL136)</f>
        <v>47490</v>
      </c>
    </row>
    <row r="137" spans="1:195" x14ac:dyDescent="0.25">
      <c r="A137" s="4">
        <f>DATE(2024,1,23)</f>
        <v>45314</v>
      </c>
      <c r="B137">
        <v>264950</v>
      </c>
      <c r="C137">
        <v>6700</v>
      </c>
      <c r="AG137">
        <v>350</v>
      </c>
      <c r="AQ137">
        <v>3325</v>
      </c>
      <c r="BA137">
        <v>700</v>
      </c>
      <c r="BK137">
        <v>4530</v>
      </c>
      <c r="BO137">
        <v>175</v>
      </c>
      <c r="BS137">
        <v>200</v>
      </c>
      <c r="BU137">
        <v>4750</v>
      </c>
      <c r="BW137">
        <v>250</v>
      </c>
      <c r="CA137">
        <v>300</v>
      </c>
      <c r="CE137">
        <v>9050</v>
      </c>
      <c r="CG137">
        <v>250</v>
      </c>
      <c r="CI137">
        <v>150</v>
      </c>
      <c r="CK137">
        <v>550</v>
      </c>
      <c r="CO137">
        <v>4250</v>
      </c>
      <c r="CS137">
        <v>150</v>
      </c>
      <c r="CU137">
        <v>50</v>
      </c>
      <c r="CW137">
        <v>150</v>
      </c>
      <c r="CY137">
        <v>5550</v>
      </c>
      <c r="DA137">
        <v>100</v>
      </c>
      <c r="DC137">
        <v>100</v>
      </c>
      <c r="DD137">
        <v>10</v>
      </c>
      <c r="DI137">
        <v>2075</v>
      </c>
      <c r="DO137">
        <v>25</v>
      </c>
      <c r="DQ137">
        <v>50</v>
      </c>
      <c r="DS137">
        <v>2025</v>
      </c>
      <c r="DU137">
        <v>50</v>
      </c>
      <c r="DW137">
        <v>250</v>
      </c>
      <c r="EA137">
        <v>50</v>
      </c>
      <c r="EC137">
        <v>1050</v>
      </c>
      <c r="EE137">
        <v>150</v>
      </c>
      <c r="EI137">
        <v>50</v>
      </c>
      <c r="EU137">
        <v>50</v>
      </c>
      <c r="GM137">
        <f t="shared" si="3"/>
        <v>47465</v>
      </c>
    </row>
    <row r="138" spans="1:195" x14ac:dyDescent="0.25">
      <c r="A138" s="4">
        <f>DATE(2024,1,22)</f>
        <v>45313</v>
      </c>
      <c r="B138">
        <v>265672</v>
      </c>
      <c r="C138">
        <v>6600</v>
      </c>
      <c r="AG138">
        <v>350</v>
      </c>
      <c r="AQ138">
        <v>3325</v>
      </c>
      <c r="BA138">
        <v>700</v>
      </c>
      <c r="BK138">
        <v>4080</v>
      </c>
      <c r="BO138">
        <v>175</v>
      </c>
      <c r="BS138">
        <v>200</v>
      </c>
      <c r="BU138">
        <v>4750</v>
      </c>
      <c r="BW138">
        <v>250</v>
      </c>
      <c r="CA138">
        <v>300</v>
      </c>
      <c r="CE138">
        <v>8300</v>
      </c>
      <c r="CG138">
        <v>250</v>
      </c>
      <c r="CI138">
        <v>150</v>
      </c>
      <c r="CK138">
        <v>550</v>
      </c>
      <c r="CO138">
        <v>4250</v>
      </c>
      <c r="CS138">
        <v>150</v>
      </c>
      <c r="CU138">
        <v>50</v>
      </c>
      <c r="CW138">
        <v>150</v>
      </c>
      <c r="CY138">
        <v>5550</v>
      </c>
      <c r="DA138">
        <v>100</v>
      </c>
      <c r="DC138">
        <v>100</v>
      </c>
      <c r="DD138">
        <v>10</v>
      </c>
      <c r="DI138">
        <v>2075</v>
      </c>
      <c r="DO138">
        <v>25</v>
      </c>
      <c r="DQ138">
        <v>50</v>
      </c>
      <c r="DS138">
        <v>2025</v>
      </c>
      <c r="DU138">
        <v>50</v>
      </c>
      <c r="DW138">
        <v>250</v>
      </c>
      <c r="EA138">
        <v>50</v>
      </c>
      <c r="EC138">
        <v>1050</v>
      </c>
      <c r="EE138">
        <v>150</v>
      </c>
      <c r="EI138">
        <v>50</v>
      </c>
      <c r="EU138">
        <v>50</v>
      </c>
      <c r="GM138">
        <f t="shared" si="3"/>
        <v>46165</v>
      </c>
    </row>
    <row r="139" spans="1:195" x14ac:dyDescent="0.25">
      <c r="A139" s="4">
        <f>DATE(2024,1,19)</f>
        <v>45310</v>
      </c>
      <c r="B139">
        <v>264703</v>
      </c>
      <c r="C139">
        <v>6600</v>
      </c>
      <c r="AG139">
        <v>350</v>
      </c>
      <c r="AQ139">
        <v>3325</v>
      </c>
      <c r="BA139">
        <v>700</v>
      </c>
      <c r="BK139">
        <v>4080</v>
      </c>
      <c r="BO139">
        <v>175</v>
      </c>
      <c r="BS139">
        <v>200</v>
      </c>
      <c r="BU139">
        <v>4700</v>
      </c>
      <c r="BW139">
        <v>250</v>
      </c>
      <c r="CA139">
        <v>300</v>
      </c>
      <c r="CE139">
        <v>8300</v>
      </c>
      <c r="CG139">
        <v>250</v>
      </c>
      <c r="CI139">
        <v>150</v>
      </c>
      <c r="CK139">
        <v>425</v>
      </c>
      <c r="CO139">
        <v>4250</v>
      </c>
      <c r="CS139">
        <v>150</v>
      </c>
      <c r="CU139">
        <v>50</v>
      </c>
      <c r="CW139">
        <v>150</v>
      </c>
      <c r="CY139">
        <v>5550</v>
      </c>
      <c r="DA139">
        <v>100</v>
      </c>
      <c r="DC139">
        <v>100</v>
      </c>
      <c r="DD139">
        <v>10</v>
      </c>
      <c r="DI139">
        <v>2075</v>
      </c>
      <c r="DO139">
        <v>25</v>
      </c>
      <c r="DQ139">
        <v>50</v>
      </c>
      <c r="DS139">
        <v>2025</v>
      </c>
      <c r="DU139">
        <v>50</v>
      </c>
      <c r="DW139">
        <v>250</v>
      </c>
      <c r="EA139">
        <v>50</v>
      </c>
      <c r="EC139">
        <v>1050</v>
      </c>
      <c r="EE139">
        <v>150</v>
      </c>
      <c r="EI139">
        <v>50</v>
      </c>
      <c r="EU139">
        <v>50</v>
      </c>
      <c r="GM139">
        <f t="shared" si="3"/>
        <v>45990</v>
      </c>
    </row>
    <row r="140" spans="1:195" x14ac:dyDescent="0.25">
      <c r="A140" s="4">
        <f>DATE(2024,1,18)</f>
        <v>45309</v>
      </c>
      <c r="B140">
        <v>263531</v>
      </c>
      <c r="C140">
        <v>6350</v>
      </c>
      <c r="AG140">
        <v>350</v>
      </c>
      <c r="AQ140">
        <v>3325</v>
      </c>
      <c r="BA140">
        <v>700</v>
      </c>
      <c r="BK140">
        <v>4080</v>
      </c>
      <c r="BO140">
        <v>175</v>
      </c>
      <c r="BS140">
        <v>200</v>
      </c>
      <c r="BU140">
        <v>4700</v>
      </c>
      <c r="BW140">
        <v>250</v>
      </c>
      <c r="CA140">
        <v>300</v>
      </c>
      <c r="CE140">
        <v>8200</v>
      </c>
      <c r="CG140">
        <v>250</v>
      </c>
      <c r="CI140">
        <v>150</v>
      </c>
      <c r="CK140">
        <v>425</v>
      </c>
      <c r="CO140">
        <v>4250</v>
      </c>
      <c r="CS140">
        <v>150</v>
      </c>
      <c r="CU140">
        <v>50</v>
      </c>
      <c r="CW140">
        <v>150</v>
      </c>
      <c r="CY140">
        <v>5550</v>
      </c>
      <c r="DA140">
        <v>100</v>
      </c>
      <c r="DC140">
        <v>100</v>
      </c>
      <c r="DD140">
        <v>10</v>
      </c>
      <c r="DI140">
        <v>2075</v>
      </c>
      <c r="DO140">
        <v>25</v>
      </c>
      <c r="DQ140">
        <v>50</v>
      </c>
      <c r="DS140">
        <v>2025</v>
      </c>
      <c r="DU140">
        <v>50</v>
      </c>
      <c r="DW140">
        <v>250</v>
      </c>
      <c r="EA140">
        <v>50</v>
      </c>
      <c r="EC140">
        <v>1050</v>
      </c>
      <c r="EE140">
        <v>150</v>
      </c>
      <c r="EI140">
        <v>50</v>
      </c>
      <c r="EU140">
        <v>50</v>
      </c>
      <c r="GM140">
        <f t="shared" si="3"/>
        <v>45640</v>
      </c>
    </row>
    <row r="141" spans="1:195" x14ac:dyDescent="0.25">
      <c r="A141" s="4">
        <f>DATE(2024,1,17)</f>
        <v>45308</v>
      </c>
      <c r="B141">
        <v>261762</v>
      </c>
      <c r="C141">
        <v>6350</v>
      </c>
      <c r="AQ141">
        <v>3275</v>
      </c>
      <c r="BA141">
        <v>700</v>
      </c>
      <c r="BK141">
        <v>4080</v>
      </c>
      <c r="BO141">
        <v>175</v>
      </c>
      <c r="BS141">
        <v>200</v>
      </c>
      <c r="BU141">
        <v>4700</v>
      </c>
      <c r="CA141">
        <v>50</v>
      </c>
      <c r="CE141">
        <v>7275</v>
      </c>
      <c r="CI141">
        <v>150</v>
      </c>
      <c r="CK141">
        <v>375</v>
      </c>
      <c r="CO141">
        <v>4250</v>
      </c>
      <c r="CS141">
        <v>150</v>
      </c>
      <c r="CU141">
        <v>50</v>
      </c>
      <c r="CW141">
        <v>150</v>
      </c>
      <c r="CY141">
        <v>5550</v>
      </c>
      <c r="DA141">
        <v>100</v>
      </c>
      <c r="DC141">
        <v>100</v>
      </c>
      <c r="DD141">
        <v>10</v>
      </c>
      <c r="DI141">
        <v>2075</v>
      </c>
      <c r="DO141">
        <v>25</v>
      </c>
      <c r="DQ141">
        <v>50</v>
      </c>
      <c r="DS141">
        <v>2025</v>
      </c>
      <c r="DU141">
        <v>50</v>
      </c>
      <c r="DW141">
        <v>250</v>
      </c>
      <c r="EA141">
        <v>50</v>
      </c>
      <c r="EC141">
        <v>1050</v>
      </c>
      <c r="EE141">
        <v>150</v>
      </c>
      <c r="EI141">
        <v>50</v>
      </c>
      <c r="EU141">
        <v>50</v>
      </c>
      <c r="GM141">
        <f t="shared" si="3"/>
        <v>43515</v>
      </c>
    </row>
    <row r="142" spans="1:195" x14ac:dyDescent="0.25">
      <c r="A142" s="4">
        <f>DATE(2024,1,16)</f>
        <v>45307</v>
      </c>
      <c r="B142">
        <v>260611</v>
      </c>
      <c r="C142">
        <v>6350</v>
      </c>
      <c r="AQ142">
        <v>2575</v>
      </c>
      <c r="BA142">
        <v>600</v>
      </c>
      <c r="BK142">
        <v>3505</v>
      </c>
      <c r="BO142">
        <v>175</v>
      </c>
      <c r="BS142">
        <v>200</v>
      </c>
      <c r="BU142">
        <v>4700</v>
      </c>
      <c r="CA142">
        <v>50</v>
      </c>
      <c r="CE142">
        <v>7875</v>
      </c>
      <c r="CI142">
        <v>150</v>
      </c>
      <c r="CK142">
        <v>375</v>
      </c>
      <c r="CO142">
        <v>4250</v>
      </c>
      <c r="CS142">
        <v>150</v>
      </c>
      <c r="CU142">
        <v>50</v>
      </c>
      <c r="CW142">
        <v>150</v>
      </c>
      <c r="CY142">
        <v>5550</v>
      </c>
      <c r="DA142">
        <v>100</v>
      </c>
      <c r="DC142">
        <v>100</v>
      </c>
      <c r="DD142">
        <v>10</v>
      </c>
      <c r="DI142">
        <v>2075</v>
      </c>
      <c r="DO142">
        <v>25</v>
      </c>
      <c r="DQ142">
        <v>50</v>
      </c>
      <c r="DS142">
        <v>2025</v>
      </c>
      <c r="DU142">
        <v>50</v>
      </c>
      <c r="DW142">
        <v>250</v>
      </c>
      <c r="EA142">
        <v>50</v>
      </c>
      <c r="EC142">
        <v>1050</v>
      </c>
      <c r="EE142">
        <v>150</v>
      </c>
      <c r="EI142">
        <v>50</v>
      </c>
      <c r="EU142">
        <v>50</v>
      </c>
      <c r="GM142">
        <f t="shared" si="3"/>
        <v>42740</v>
      </c>
    </row>
    <row r="143" spans="1:195" x14ac:dyDescent="0.25">
      <c r="A143" s="4">
        <f>DATE(2024,1,15)</f>
        <v>45306</v>
      </c>
      <c r="B143">
        <v>259218</v>
      </c>
      <c r="C143">
        <v>6350</v>
      </c>
      <c r="AQ143">
        <v>2575</v>
      </c>
      <c r="BA143">
        <v>600</v>
      </c>
      <c r="BK143">
        <v>3505</v>
      </c>
      <c r="BO143">
        <v>175</v>
      </c>
      <c r="BU143">
        <v>4650</v>
      </c>
      <c r="CA143">
        <v>50</v>
      </c>
      <c r="CE143">
        <v>7875</v>
      </c>
      <c r="CI143">
        <v>150</v>
      </c>
      <c r="CK143">
        <v>375</v>
      </c>
      <c r="CO143">
        <v>4050</v>
      </c>
      <c r="CS143">
        <v>150</v>
      </c>
      <c r="CU143">
        <v>50</v>
      </c>
      <c r="CW143">
        <v>150</v>
      </c>
      <c r="CY143">
        <v>5550</v>
      </c>
      <c r="DA143">
        <v>100</v>
      </c>
      <c r="DC143">
        <v>100</v>
      </c>
      <c r="DD143">
        <v>10</v>
      </c>
      <c r="DI143">
        <v>2075</v>
      </c>
      <c r="DO143">
        <v>25</v>
      </c>
      <c r="DQ143">
        <v>50</v>
      </c>
      <c r="DS143">
        <v>2025</v>
      </c>
      <c r="DU143">
        <v>50</v>
      </c>
      <c r="DW143">
        <v>250</v>
      </c>
      <c r="EA143">
        <v>50</v>
      </c>
      <c r="EC143">
        <v>1050</v>
      </c>
      <c r="EE143">
        <v>150</v>
      </c>
      <c r="EI143">
        <v>50</v>
      </c>
      <c r="EU143">
        <v>50</v>
      </c>
      <c r="GM143">
        <f t="shared" si="3"/>
        <v>42290</v>
      </c>
    </row>
    <row r="144" spans="1:195" x14ac:dyDescent="0.25">
      <c r="A144" s="4">
        <f>DATE(2024,1,12)</f>
        <v>45303</v>
      </c>
      <c r="B144">
        <v>260801</v>
      </c>
      <c r="C144">
        <v>6350</v>
      </c>
      <c r="AQ144">
        <v>2550</v>
      </c>
      <c r="BA144">
        <v>600</v>
      </c>
      <c r="BK144">
        <v>3200</v>
      </c>
      <c r="BO144">
        <v>175</v>
      </c>
      <c r="BU144">
        <v>4250</v>
      </c>
      <c r="CA144">
        <v>50</v>
      </c>
      <c r="CE144">
        <v>7575</v>
      </c>
      <c r="CI144">
        <v>150</v>
      </c>
      <c r="CK144">
        <v>375</v>
      </c>
      <c r="CO144">
        <v>3950</v>
      </c>
      <c r="CS144">
        <v>150</v>
      </c>
      <c r="CU144">
        <v>50</v>
      </c>
      <c r="CW144">
        <v>150</v>
      </c>
      <c r="CY144">
        <v>5550</v>
      </c>
      <c r="DA144">
        <v>100</v>
      </c>
      <c r="DC144">
        <v>100</v>
      </c>
      <c r="DD144">
        <v>10</v>
      </c>
      <c r="DI144">
        <v>2075</v>
      </c>
      <c r="DO144">
        <v>25</v>
      </c>
      <c r="DQ144">
        <v>50</v>
      </c>
      <c r="DS144">
        <v>2025</v>
      </c>
      <c r="DU144">
        <v>50</v>
      </c>
      <c r="DW144">
        <v>250</v>
      </c>
      <c r="EA144">
        <v>50</v>
      </c>
      <c r="EC144">
        <v>1050</v>
      </c>
      <c r="EE144">
        <v>150</v>
      </c>
      <c r="EI144">
        <v>50</v>
      </c>
      <c r="EU144">
        <v>50</v>
      </c>
      <c r="GM144">
        <f t="shared" si="3"/>
        <v>41160</v>
      </c>
    </row>
    <row r="145" spans="1:195" x14ac:dyDescent="0.25">
      <c r="A145" s="4">
        <f>DATE(2024,1,11)</f>
        <v>45302</v>
      </c>
      <c r="B145">
        <v>256467</v>
      </c>
      <c r="C145">
        <v>6350</v>
      </c>
      <c r="AQ145">
        <v>2500</v>
      </c>
      <c r="BA145">
        <v>600</v>
      </c>
      <c r="BK145">
        <v>3200</v>
      </c>
      <c r="BO145">
        <v>175</v>
      </c>
      <c r="BU145">
        <v>4000</v>
      </c>
      <c r="CA145">
        <v>50</v>
      </c>
      <c r="CE145">
        <v>5925</v>
      </c>
      <c r="CI145">
        <v>150</v>
      </c>
      <c r="CK145">
        <v>375</v>
      </c>
      <c r="CO145">
        <v>3950</v>
      </c>
      <c r="CS145">
        <v>150</v>
      </c>
      <c r="CU145">
        <v>50</v>
      </c>
      <c r="CW145">
        <v>150</v>
      </c>
      <c r="CY145">
        <v>5425</v>
      </c>
      <c r="DA145">
        <v>100</v>
      </c>
      <c r="DC145">
        <v>100</v>
      </c>
      <c r="DD145">
        <v>10</v>
      </c>
      <c r="DI145">
        <v>2075</v>
      </c>
      <c r="DO145">
        <v>25</v>
      </c>
      <c r="DQ145">
        <v>50</v>
      </c>
      <c r="DS145">
        <v>1925</v>
      </c>
      <c r="DU145">
        <v>50</v>
      </c>
      <c r="DW145">
        <v>250</v>
      </c>
      <c r="EA145">
        <v>50</v>
      </c>
      <c r="EC145">
        <v>1050</v>
      </c>
      <c r="EE145">
        <v>150</v>
      </c>
      <c r="EI145">
        <v>50</v>
      </c>
      <c r="EU145">
        <v>50</v>
      </c>
      <c r="GM145">
        <f t="shared" si="3"/>
        <v>38985</v>
      </c>
    </row>
    <row r="146" spans="1:195" x14ac:dyDescent="0.25">
      <c r="A146" s="4">
        <f>DATE(2024,1,10)</f>
        <v>45301</v>
      </c>
      <c r="B146">
        <v>252367</v>
      </c>
      <c r="C146">
        <v>5350</v>
      </c>
      <c r="AQ146">
        <v>2500</v>
      </c>
      <c r="BA146">
        <v>600</v>
      </c>
      <c r="BK146">
        <v>3200</v>
      </c>
      <c r="BO146">
        <v>175</v>
      </c>
      <c r="BU146">
        <v>4000</v>
      </c>
      <c r="CA146">
        <v>50</v>
      </c>
      <c r="CE146">
        <v>5650</v>
      </c>
      <c r="CI146">
        <v>150</v>
      </c>
      <c r="CK146">
        <v>375</v>
      </c>
      <c r="CO146">
        <v>2600</v>
      </c>
      <c r="CS146">
        <v>150</v>
      </c>
      <c r="CU146">
        <v>50</v>
      </c>
      <c r="CW146">
        <v>150</v>
      </c>
      <c r="CY146">
        <v>5425</v>
      </c>
      <c r="DA146">
        <v>100</v>
      </c>
      <c r="DC146">
        <v>100</v>
      </c>
      <c r="DD146">
        <v>10</v>
      </c>
      <c r="DI146">
        <v>2075</v>
      </c>
      <c r="DO146">
        <v>25</v>
      </c>
      <c r="DQ146">
        <v>50</v>
      </c>
      <c r="DS146">
        <v>1950</v>
      </c>
      <c r="DU146">
        <v>50</v>
      </c>
      <c r="DW146">
        <v>250</v>
      </c>
      <c r="EA146">
        <v>50</v>
      </c>
      <c r="EC146">
        <v>1050</v>
      </c>
      <c r="EE146">
        <v>150</v>
      </c>
      <c r="EI146">
        <v>50</v>
      </c>
      <c r="EU146">
        <v>50</v>
      </c>
      <c r="GM146">
        <f t="shared" si="3"/>
        <v>36385</v>
      </c>
    </row>
    <row r="147" spans="1:195" x14ac:dyDescent="0.25">
      <c r="A147" s="4">
        <f>DATE(2024,1,9)</f>
        <v>45300</v>
      </c>
      <c r="B147">
        <v>247917</v>
      </c>
      <c r="C147">
        <v>1650</v>
      </c>
      <c r="AQ147">
        <v>2500</v>
      </c>
      <c r="BA147">
        <v>600</v>
      </c>
      <c r="BK147">
        <v>3100</v>
      </c>
      <c r="BO147">
        <v>175</v>
      </c>
      <c r="BU147">
        <v>3450</v>
      </c>
      <c r="CA147">
        <v>50</v>
      </c>
      <c r="CE147">
        <v>5650</v>
      </c>
      <c r="CI147">
        <v>150</v>
      </c>
      <c r="CK147">
        <v>375</v>
      </c>
      <c r="CO147">
        <v>2600</v>
      </c>
      <c r="CS147">
        <v>150</v>
      </c>
      <c r="CU147">
        <v>50</v>
      </c>
      <c r="CW147">
        <v>150</v>
      </c>
      <c r="CY147">
        <v>5175</v>
      </c>
      <c r="DA147">
        <v>100</v>
      </c>
      <c r="DC147">
        <v>100</v>
      </c>
      <c r="DD147">
        <v>10</v>
      </c>
      <c r="DI147">
        <v>2075</v>
      </c>
      <c r="DO147">
        <v>25</v>
      </c>
      <c r="DQ147">
        <v>50</v>
      </c>
      <c r="DS147">
        <v>1950</v>
      </c>
      <c r="DU147">
        <v>50</v>
      </c>
      <c r="DW147">
        <v>250</v>
      </c>
      <c r="EA147">
        <v>50</v>
      </c>
      <c r="EC147">
        <v>1050</v>
      </c>
      <c r="EE147">
        <v>150</v>
      </c>
      <c r="EI147">
        <v>50</v>
      </c>
      <c r="EU147">
        <v>50</v>
      </c>
      <c r="GM147">
        <f t="shared" si="3"/>
        <v>31785</v>
      </c>
    </row>
    <row r="148" spans="1:195" x14ac:dyDescent="0.25">
      <c r="A148" s="4">
        <f>DATE(2024,1,8)</f>
        <v>45299</v>
      </c>
      <c r="B148">
        <v>247220</v>
      </c>
      <c r="C148">
        <v>600</v>
      </c>
      <c r="AQ148">
        <v>2500</v>
      </c>
      <c r="BA148">
        <v>600</v>
      </c>
      <c r="BK148">
        <v>3200</v>
      </c>
      <c r="BO148">
        <v>175</v>
      </c>
      <c r="BU148">
        <v>3150</v>
      </c>
      <c r="CA148">
        <v>50</v>
      </c>
      <c r="CE148">
        <v>5650</v>
      </c>
      <c r="CI148">
        <v>150</v>
      </c>
      <c r="CK148">
        <v>375</v>
      </c>
      <c r="CO148">
        <v>2200</v>
      </c>
      <c r="CS148">
        <v>150</v>
      </c>
      <c r="CU148">
        <v>50</v>
      </c>
      <c r="CW148">
        <v>150</v>
      </c>
      <c r="CY148">
        <v>4775</v>
      </c>
      <c r="DA148">
        <v>100</v>
      </c>
      <c r="DC148">
        <v>100</v>
      </c>
      <c r="DD148">
        <v>10</v>
      </c>
      <c r="DI148">
        <v>1775</v>
      </c>
      <c r="DO148">
        <v>25</v>
      </c>
      <c r="DQ148">
        <v>50</v>
      </c>
      <c r="DS148">
        <v>1950</v>
      </c>
      <c r="DU148">
        <v>50</v>
      </c>
      <c r="DW148">
        <v>250</v>
      </c>
      <c r="EA148">
        <v>50</v>
      </c>
      <c r="EC148">
        <v>1050</v>
      </c>
      <c r="EE148">
        <v>150</v>
      </c>
      <c r="EI148">
        <v>50</v>
      </c>
      <c r="EU148">
        <v>50</v>
      </c>
      <c r="GM148">
        <f t="shared" si="3"/>
        <v>29435</v>
      </c>
    </row>
    <row r="149" spans="1:195" x14ac:dyDescent="0.25">
      <c r="A149" s="4">
        <f>DATE(2024,1,5)</f>
        <v>45296</v>
      </c>
      <c r="B149">
        <v>246559</v>
      </c>
      <c r="C149">
        <v>600</v>
      </c>
      <c r="AQ149">
        <v>2500</v>
      </c>
      <c r="BA149">
        <v>600</v>
      </c>
      <c r="BK149">
        <v>3200</v>
      </c>
      <c r="BO149">
        <v>175</v>
      </c>
      <c r="BU149">
        <v>2125</v>
      </c>
      <c r="CA149">
        <v>50</v>
      </c>
      <c r="CE149">
        <v>5650</v>
      </c>
      <c r="CI149">
        <v>150</v>
      </c>
      <c r="CK149">
        <v>375</v>
      </c>
      <c r="CO149">
        <v>1800</v>
      </c>
      <c r="CS149">
        <v>150</v>
      </c>
      <c r="CU149">
        <v>50</v>
      </c>
      <c r="CW149">
        <v>150</v>
      </c>
      <c r="CY149">
        <v>4150</v>
      </c>
      <c r="DA149">
        <v>100</v>
      </c>
      <c r="DC149">
        <v>100</v>
      </c>
      <c r="DD149">
        <v>10</v>
      </c>
      <c r="DI149">
        <v>1525</v>
      </c>
      <c r="DO149">
        <v>25</v>
      </c>
      <c r="DQ149">
        <v>50</v>
      </c>
      <c r="DS149">
        <v>1750</v>
      </c>
      <c r="DU149">
        <v>50</v>
      </c>
      <c r="DW149">
        <v>250</v>
      </c>
      <c r="EA149">
        <v>50</v>
      </c>
      <c r="EC149">
        <v>750</v>
      </c>
      <c r="EE149">
        <v>150</v>
      </c>
      <c r="EI149">
        <v>50</v>
      </c>
      <c r="EU149">
        <v>50</v>
      </c>
      <c r="GM149">
        <f t="shared" si="3"/>
        <v>26635</v>
      </c>
    </row>
    <row r="150" spans="1:195" x14ac:dyDescent="0.25">
      <c r="A150" s="4">
        <f>DATE(2024,1,4)</f>
        <v>45295</v>
      </c>
      <c r="B150">
        <v>247085</v>
      </c>
      <c r="C150">
        <v>600</v>
      </c>
      <c r="AQ150">
        <v>2500</v>
      </c>
      <c r="BA150">
        <v>600</v>
      </c>
      <c r="BK150">
        <v>3200</v>
      </c>
      <c r="BO150">
        <v>175</v>
      </c>
      <c r="BU150">
        <v>1950</v>
      </c>
      <c r="CA150">
        <v>50</v>
      </c>
      <c r="CE150">
        <v>5650</v>
      </c>
      <c r="CI150">
        <v>150</v>
      </c>
      <c r="CK150">
        <v>375</v>
      </c>
      <c r="CO150">
        <v>1800</v>
      </c>
      <c r="CS150">
        <v>150</v>
      </c>
      <c r="CU150">
        <v>50</v>
      </c>
      <c r="CW150">
        <v>150</v>
      </c>
      <c r="CY150">
        <v>4300</v>
      </c>
      <c r="DA150">
        <v>100</v>
      </c>
      <c r="DC150">
        <v>100</v>
      </c>
      <c r="DD150">
        <v>10</v>
      </c>
      <c r="DI150">
        <v>1525</v>
      </c>
      <c r="DO150">
        <v>25</v>
      </c>
      <c r="DQ150">
        <v>50</v>
      </c>
      <c r="DS150">
        <v>1750</v>
      </c>
      <c r="DU150">
        <v>50</v>
      </c>
      <c r="DW150">
        <v>250</v>
      </c>
      <c r="EA150">
        <v>50</v>
      </c>
      <c r="EC150">
        <v>750</v>
      </c>
      <c r="EE150">
        <v>150</v>
      </c>
      <c r="EI150">
        <v>50</v>
      </c>
      <c r="EU150">
        <v>50</v>
      </c>
      <c r="GM150">
        <f t="shared" si="3"/>
        <v>26610</v>
      </c>
    </row>
    <row r="151" spans="1:195" x14ac:dyDescent="0.25">
      <c r="A151" s="4">
        <f>DATE(2024,1,3)</f>
        <v>45294</v>
      </c>
      <c r="B151">
        <v>245981</v>
      </c>
      <c r="C151">
        <v>600</v>
      </c>
      <c r="AQ151">
        <v>2500</v>
      </c>
      <c r="BA151">
        <v>600</v>
      </c>
      <c r="BK151">
        <v>3200</v>
      </c>
      <c r="BO151">
        <v>175</v>
      </c>
      <c r="BU151">
        <v>1950</v>
      </c>
      <c r="CA151">
        <v>50</v>
      </c>
      <c r="CE151">
        <v>5400</v>
      </c>
      <c r="CI151">
        <v>150</v>
      </c>
      <c r="CK151">
        <v>375</v>
      </c>
      <c r="CO151">
        <v>1800</v>
      </c>
      <c r="CS151">
        <v>150</v>
      </c>
      <c r="CU151">
        <v>50</v>
      </c>
      <c r="CW151">
        <v>150</v>
      </c>
      <c r="CY151">
        <v>4300</v>
      </c>
      <c r="DA151">
        <v>100</v>
      </c>
      <c r="DC151">
        <v>100</v>
      </c>
      <c r="DD151">
        <v>10</v>
      </c>
      <c r="DI151">
        <v>1525</v>
      </c>
      <c r="DO151">
        <v>25</v>
      </c>
      <c r="DQ151">
        <v>50</v>
      </c>
      <c r="DS151">
        <v>1750</v>
      </c>
      <c r="DU151">
        <v>50</v>
      </c>
      <c r="DW151">
        <v>250</v>
      </c>
      <c r="EA151">
        <v>50</v>
      </c>
      <c r="EC151">
        <v>750</v>
      </c>
      <c r="EE151">
        <v>150</v>
      </c>
      <c r="EI151">
        <v>50</v>
      </c>
      <c r="EU151">
        <v>50</v>
      </c>
      <c r="GM151">
        <f t="shared" si="3"/>
        <v>26360</v>
      </c>
    </row>
    <row r="152" spans="1:195" x14ac:dyDescent="0.25">
      <c r="A152" s="4">
        <f>DATE(2024,1,2)</f>
        <v>45293</v>
      </c>
      <c r="B152">
        <v>246427</v>
      </c>
      <c r="C152">
        <v>600</v>
      </c>
      <c r="AQ152">
        <v>2500</v>
      </c>
      <c r="BA152">
        <v>600</v>
      </c>
      <c r="BK152">
        <v>3200</v>
      </c>
      <c r="BO152">
        <v>175</v>
      </c>
      <c r="BU152">
        <v>1950</v>
      </c>
      <c r="CA152">
        <v>50</v>
      </c>
      <c r="CE152">
        <v>5400</v>
      </c>
      <c r="CI152">
        <v>150</v>
      </c>
      <c r="CK152">
        <v>375</v>
      </c>
      <c r="CO152">
        <v>1800</v>
      </c>
      <c r="CS152">
        <v>150</v>
      </c>
      <c r="CU152">
        <v>50</v>
      </c>
      <c r="CW152">
        <v>150</v>
      </c>
      <c r="CY152">
        <v>4300</v>
      </c>
      <c r="DA152">
        <v>100</v>
      </c>
      <c r="DC152">
        <v>100</v>
      </c>
      <c r="DD152">
        <v>10</v>
      </c>
      <c r="DI152">
        <v>1525</v>
      </c>
      <c r="DO152">
        <v>25</v>
      </c>
      <c r="DQ152">
        <v>50</v>
      </c>
      <c r="DS152">
        <v>1750</v>
      </c>
      <c r="DU152">
        <v>50</v>
      </c>
      <c r="DW152">
        <v>250</v>
      </c>
      <c r="EA152">
        <v>50</v>
      </c>
      <c r="EC152">
        <v>750</v>
      </c>
      <c r="EE152">
        <v>150</v>
      </c>
      <c r="EI152">
        <v>50</v>
      </c>
      <c r="EU152">
        <v>50</v>
      </c>
      <c r="GM152">
        <f t="shared" si="3"/>
        <v>26360</v>
      </c>
    </row>
    <row r="153" spans="1:195" x14ac:dyDescent="0.25">
      <c r="A153" s="4">
        <f>DATE(2024,1,1)</f>
        <v>45292</v>
      </c>
      <c r="GM153">
        <f t="shared" si="3"/>
        <v>0</v>
      </c>
    </row>
    <row r="154" spans="1:195" x14ac:dyDescent="0.25">
      <c r="A154" s="4">
        <f>DATE(2023,12,27)</f>
        <v>45287</v>
      </c>
      <c r="B154">
        <v>249272</v>
      </c>
      <c r="GM154">
        <f t="shared" si="3"/>
        <v>0</v>
      </c>
    </row>
    <row r="155" spans="1:195" x14ac:dyDescent="0.25">
      <c r="A155" s="4">
        <f>DATE(2023,12,26)</f>
        <v>45286</v>
      </c>
      <c r="GM155">
        <f t="shared" si="3"/>
        <v>0</v>
      </c>
    </row>
    <row r="156" spans="1:195" x14ac:dyDescent="0.25">
      <c r="A156" s="4">
        <f>DATE(2023,12,25)</f>
        <v>45285</v>
      </c>
      <c r="GM156">
        <f t="shared" si="3"/>
        <v>0</v>
      </c>
    </row>
    <row r="157" spans="1:195" x14ac:dyDescent="0.25">
      <c r="A157" s="4">
        <f>DATE(2023,12,22)</f>
        <v>45282</v>
      </c>
      <c r="B157">
        <v>250381</v>
      </c>
      <c r="GM157">
        <f t="shared" si="3"/>
        <v>0</v>
      </c>
    </row>
    <row r="158" spans="1:195" x14ac:dyDescent="0.25">
      <c r="A158" s="4">
        <f>DATE(2023,12,21)</f>
        <v>45281</v>
      </c>
      <c r="B158">
        <v>251461</v>
      </c>
      <c r="GM158">
        <f t="shared" si="3"/>
        <v>0</v>
      </c>
    </row>
    <row r="159" spans="1:195" x14ac:dyDescent="0.25">
      <c r="A159" s="4">
        <f>DATE(2023,12,20)</f>
        <v>45280</v>
      </c>
      <c r="B159">
        <v>256416</v>
      </c>
      <c r="GM159">
        <f t="shared" si="3"/>
        <v>0</v>
      </c>
    </row>
    <row r="160" spans="1:195" x14ac:dyDescent="0.25">
      <c r="A160" s="4">
        <f>DATE(2023,12,19)</f>
        <v>45279</v>
      </c>
      <c r="B160">
        <v>253872</v>
      </c>
      <c r="GM160">
        <f t="shared" si="3"/>
        <v>0</v>
      </c>
    </row>
    <row r="161" spans="1:195" x14ac:dyDescent="0.25">
      <c r="A161" s="4">
        <f>DATE(2023,12,18)</f>
        <v>45278</v>
      </c>
      <c r="B161">
        <v>255186</v>
      </c>
      <c r="GM161">
        <f t="shared" si="3"/>
        <v>0</v>
      </c>
    </row>
    <row r="162" spans="1:195" x14ac:dyDescent="0.25">
      <c r="A162" s="4">
        <f>DATE(2023,12,15)</f>
        <v>45275</v>
      </c>
      <c r="B162">
        <v>254672</v>
      </c>
      <c r="GM162">
        <f t="shared" si="3"/>
        <v>0</v>
      </c>
    </row>
    <row r="163" spans="1:195" x14ac:dyDescent="0.25">
      <c r="A163" s="4">
        <f>DATE(2023,12,14)</f>
        <v>45274</v>
      </c>
      <c r="B163">
        <v>250208</v>
      </c>
      <c r="GM163">
        <f t="shared" si="3"/>
        <v>0</v>
      </c>
    </row>
    <row r="164" spans="1:195" s="9" customFormat="1" x14ac:dyDescent="0.25">
      <c r="A164" s="80">
        <f>DATE(2023,12,13)</f>
        <v>45273</v>
      </c>
      <c r="B164" s="9">
        <v>244281</v>
      </c>
      <c r="C164" s="9">
        <v>750</v>
      </c>
      <c r="M164" s="9">
        <v>500</v>
      </c>
      <c r="W164" s="9">
        <v>1350</v>
      </c>
      <c r="AG164" s="9">
        <v>950</v>
      </c>
      <c r="AQ164" s="9">
        <v>5000</v>
      </c>
      <c r="BA164" s="9">
        <v>6975</v>
      </c>
      <c r="BK164" s="9">
        <v>12000</v>
      </c>
      <c r="BU164" s="9">
        <v>5995</v>
      </c>
      <c r="CC164" s="9">
        <v>100</v>
      </c>
      <c r="CE164" s="9">
        <v>13763</v>
      </c>
      <c r="CK164" s="9">
        <v>200</v>
      </c>
      <c r="CO164" s="9">
        <v>4720</v>
      </c>
      <c r="CQ164" s="9">
        <v>440</v>
      </c>
      <c r="CS164" s="9">
        <v>100</v>
      </c>
      <c r="CU164" s="9">
        <v>650</v>
      </c>
      <c r="CY164" s="9">
        <v>9683</v>
      </c>
      <c r="DA164" s="9">
        <v>640</v>
      </c>
      <c r="DC164" s="9">
        <v>600</v>
      </c>
      <c r="DE164" s="9">
        <v>5</v>
      </c>
      <c r="DI164" s="9">
        <v>9353</v>
      </c>
      <c r="DK164" s="9">
        <v>40</v>
      </c>
      <c r="DL164" s="9">
        <v>10</v>
      </c>
      <c r="DM164" s="9">
        <v>270</v>
      </c>
      <c r="DO164" s="9">
        <v>65</v>
      </c>
      <c r="DQ164" s="9">
        <v>100</v>
      </c>
      <c r="DS164" s="9">
        <v>11386</v>
      </c>
      <c r="DU164" s="9">
        <v>65</v>
      </c>
      <c r="DW164" s="9">
        <v>625</v>
      </c>
      <c r="DX164" s="9">
        <v>25</v>
      </c>
      <c r="DY164" s="9">
        <v>63</v>
      </c>
      <c r="EC164" s="9">
        <v>8724</v>
      </c>
      <c r="EE164" s="9">
        <v>525</v>
      </c>
      <c r="EG164" s="9">
        <v>770</v>
      </c>
      <c r="EI164" s="9">
        <v>50</v>
      </c>
      <c r="EM164" s="9">
        <v>2425</v>
      </c>
      <c r="ES164" s="9">
        <v>440</v>
      </c>
      <c r="EW164" s="9">
        <v>650</v>
      </c>
      <c r="FG164" s="9">
        <v>300</v>
      </c>
      <c r="GM164" s="9">
        <f t="shared" si="3"/>
        <v>100307</v>
      </c>
    </row>
    <row r="165" spans="1:195" x14ac:dyDescent="0.25">
      <c r="A165" s="4">
        <f>DATE(2023,12,12)</f>
        <v>45272</v>
      </c>
      <c r="B165">
        <v>238510</v>
      </c>
      <c r="C165">
        <v>750</v>
      </c>
      <c r="M165">
        <v>500</v>
      </c>
      <c r="W165">
        <v>1350</v>
      </c>
      <c r="AG165">
        <v>950</v>
      </c>
      <c r="AQ165">
        <v>5000</v>
      </c>
      <c r="BA165">
        <v>6975</v>
      </c>
      <c r="BK165">
        <v>12000</v>
      </c>
      <c r="BU165">
        <v>5995</v>
      </c>
      <c r="CC165">
        <v>100</v>
      </c>
      <c r="CE165">
        <v>13563</v>
      </c>
      <c r="CK165">
        <v>200</v>
      </c>
      <c r="CO165">
        <v>5245</v>
      </c>
      <c r="CQ165">
        <v>440</v>
      </c>
      <c r="CS165">
        <v>100</v>
      </c>
      <c r="CU165">
        <v>650</v>
      </c>
      <c r="CY165">
        <v>9758</v>
      </c>
      <c r="DA165">
        <v>640</v>
      </c>
      <c r="DC165">
        <v>600</v>
      </c>
      <c r="DE165">
        <v>5</v>
      </c>
      <c r="DI165">
        <v>9353</v>
      </c>
      <c r="DK165">
        <v>40</v>
      </c>
      <c r="DL165">
        <v>10</v>
      </c>
      <c r="DM165">
        <v>270</v>
      </c>
      <c r="DO165">
        <v>65</v>
      </c>
      <c r="DQ165">
        <v>100</v>
      </c>
      <c r="DS165">
        <v>11386</v>
      </c>
      <c r="DU165">
        <v>65</v>
      </c>
      <c r="DW165">
        <v>625</v>
      </c>
      <c r="DX165">
        <v>25</v>
      </c>
      <c r="DY165">
        <v>63</v>
      </c>
      <c r="EC165">
        <v>8724</v>
      </c>
      <c r="EE165">
        <v>525</v>
      </c>
      <c r="EG165">
        <v>770</v>
      </c>
      <c r="EI165">
        <v>50</v>
      </c>
      <c r="EM165">
        <v>2425</v>
      </c>
      <c r="ES165">
        <v>440</v>
      </c>
      <c r="EW165">
        <v>650</v>
      </c>
      <c r="FG165">
        <v>300</v>
      </c>
      <c r="GM165">
        <f t="shared" si="3"/>
        <v>100707</v>
      </c>
    </row>
    <row r="166" spans="1:195" x14ac:dyDescent="0.25">
      <c r="A166" s="4">
        <f>DATE(2023,12,11)</f>
        <v>45271</v>
      </c>
      <c r="B166">
        <v>236567</v>
      </c>
      <c r="C166">
        <v>750</v>
      </c>
      <c r="M166">
        <v>500</v>
      </c>
      <c r="W166">
        <v>1350</v>
      </c>
      <c r="AG166">
        <v>950</v>
      </c>
      <c r="AQ166">
        <v>5000</v>
      </c>
      <c r="BA166">
        <v>6975</v>
      </c>
      <c r="BK166">
        <v>12000</v>
      </c>
      <c r="BU166">
        <v>5995</v>
      </c>
      <c r="CC166">
        <v>100</v>
      </c>
      <c r="CE166">
        <v>13238</v>
      </c>
      <c r="CK166">
        <v>200</v>
      </c>
      <c r="CO166">
        <v>5995</v>
      </c>
      <c r="CQ166">
        <v>440</v>
      </c>
      <c r="CS166">
        <v>100</v>
      </c>
      <c r="CU166">
        <v>650</v>
      </c>
      <c r="CY166">
        <v>9833</v>
      </c>
      <c r="DA166">
        <v>640</v>
      </c>
      <c r="DC166">
        <v>600</v>
      </c>
      <c r="DE166">
        <v>5</v>
      </c>
      <c r="DI166">
        <v>9353</v>
      </c>
      <c r="DK166">
        <v>40</v>
      </c>
      <c r="DL166">
        <v>10</v>
      </c>
      <c r="DM166">
        <v>270</v>
      </c>
      <c r="DO166">
        <v>65</v>
      </c>
      <c r="DQ166">
        <v>100</v>
      </c>
      <c r="DS166">
        <v>11386</v>
      </c>
      <c r="DU166">
        <v>65</v>
      </c>
      <c r="DW166">
        <v>625</v>
      </c>
      <c r="DX166">
        <v>25</v>
      </c>
      <c r="DY166">
        <v>63</v>
      </c>
      <c r="EC166">
        <v>8724</v>
      </c>
      <c r="EE166">
        <v>525</v>
      </c>
      <c r="EG166">
        <v>770</v>
      </c>
      <c r="EI166">
        <v>50</v>
      </c>
      <c r="EM166">
        <v>2425</v>
      </c>
      <c r="ES166">
        <v>440</v>
      </c>
      <c r="EW166">
        <v>650</v>
      </c>
      <c r="FG166">
        <v>300</v>
      </c>
      <c r="GM166">
        <f t="shared" si="3"/>
        <v>101207</v>
      </c>
    </row>
    <row r="167" spans="1:195" x14ac:dyDescent="0.25">
      <c r="A167" s="4">
        <f>DATE(2023,12,8)</f>
        <v>45268</v>
      </c>
      <c r="B167">
        <v>229673</v>
      </c>
      <c r="C167">
        <v>750</v>
      </c>
      <c r="M167">
        <v>500</v>
      </c>
      <c r="W167">
        <v>1350</v>
      </c>
      <c r="AG167">
        <v>950</v>
      </c>
      <c r="AQ167">
        <v>5000</v>
      </c>
      <c r="BA167">
        <v>6975</v>
      </c>
      <c r="BK167">
        <v>12000</v>
      </c>
      <c r="BU167">
        <v>5995</v>
      </c>
      <c r="CC167">
        <v>100</v>
      </c>
      <c r="CE167">
        <v>13238</v>
      </c>
      <c r="CK167">
        <v>200</v>
      </c>
      <c r="CO167">
        <v>5995</v>
      </c>
      <c r="CQ167">
        <v>440</v>
      </c>
      <c r="CS167">
        <v>100</v>
      </c>
      <c r="CU167">
        <v>650</v>
      </c>
      <c r="CY167">
        <v>9883</v>
      </c>
      <c r="DA167">
        <v>640</v>
      </c>
      <c r="DC167">
        <v>600</v>
      </c>
      <c r="DE167">
        <v>5</v>
      </c>
      <c r="DI167">
        <v>9353</v>
      </c>
      <c r="DK167">
        <v>40</v>
      </c>
      <c r="DL167">
        <v>10</v>
      </c>
      <c r="DM167">
        <v>270</v>
      </c>
      <c r="DO167">
        <v>65</v>
      </c>
      <c r="DQ167">
        <v>100</v>
      </c>
      <c r="DS167">
        <v>11386</v>
      </c>
      <c r="DU167">
        <v>65</v>
      </c>
      <c r="DW167">
        <v>625</v>
      </c>
      <c r="DX167">
        <v>25</v>
      </c>
      <c r="DY167">
        <v>63</v>
      </c>
      <c r="EC167">
        <v>8724</v>
      </c>
      <c r="EE167">
        <v>525</v>
      </c>
      <c r="EG167">
        <v>770</v>
      </c>
      <c r="EI167">
        <v>50</v>
      </c>
      <c r="EM167">
        <v>2425</v>
      </c>
      <c r="ES167">
        <v>440</v>
      </c>
      <c r="EW167">
        <v>650</v>
      </c>
      <c r="FG167">
        <v>300</v>
      </c>
      <c r="GM167">
        <f t="shared" si="3"/>
        <v>101257</v>
      </c>
    </row>
    <row r="168" spans="1:195" x14ac:dyDescent="0.25">
      <c r="A168" s="4">
        <f>DATE(2023,12,7)</f>
        <v>45267</v>
      </c>
      <c r="B168">
        <v>225345</v>
      </c>
      <c r="C168">
        <v>750</v>
      </c>
      <c r="M168">
        <v>500</v>
      </c>
      <c r="W168">
        <v>1350</v>
      </c>
      <c r="AG168">
        <v>950</v>
      </c>
      <c r="AQ168">
        <v>5000</v>
      </c>
      <c r="BA168">
        <v>6975</v>
      </c>
      <c r="BK168">
        <v>12000</v>
      </c>
      <c r="BU168">
        <v>5995</v>
      </c>
      <c r="CC168">
        <v>100</v>
      </c>
      <c r="CE168">
        <v>13238</v>
      </c>
      <c r="CK168">
        <v>200</v>
      </c>
      <c r="CO168">
        <v>5995</v>
      </c>
      <c r="CQ168">
        <v>440</v>
      </c>
      <c r="CS168">
        <v>100</v>
      </c>
      <c r="CU168">
        <v>500</v>
      </c>
      <c r="CY168">
        <v>10258</v>
      </c>
      <c r="DA168">
        <v>690</v>
      </c>
      <c r="DC168">
        <v>600</v>
      </c>
      <c r="DE168">
        <v>5</v>
      </c>
      <c r="DI168">
        <v>9353</v>
      </c>
      <c r="DK168">
        <v>40</v>
      </c>
      <c r="DL168">
        <v>10</v>
      </c>
      <c r="DM168">
        <v>270</v>
      </c>
      <c r="DO168">
        <v>65</v>
      </c>
      <c r="DQ168">
        <v>100</v>
      </c>
      <c r="DS168">
        <v>11386</v>
      </c>
      <c r="DU168">
        <v>65</v>
      </c>
      <c r="DW168">
        <v>625</v>
      </c>
      <c r="DX168">
        <v>25</v>
      </c>
      <c r="DY168">
        <v>63</v>
      </c>
      <c r="EC168">
        <v>8724</v>
      </c>
      <c r="EE168">
        <v>525</v>
      </c>
      <c r="EG168">
        <v>770</v>
      </c>
      <c r="EI168">
        <v>50</v>
      </c>
      <c r="EM168">
        <v>2425</v>
      </c>
      <c r="ES168">
        <v>440</v>
      </c>
      <c r="EW168">
        <v>650</v>
      </c>
      <c r="FG168">
        <v>300</v>
      </c>
      <c r="GM168">
        <f t="shared" si="3"/>
        <v>101532</v>
      </c>
    </row>
    <row r="169" spans="1:195" x14ac:dyDescent="0.25">
      <c r="A169" s="4">
        <f>DATE(2023,12,6)</f>
        <v>45266</v>
      </c>
      <c r="B169">
        <v>222650</v>
      </c>
      <c r="C169">
        <v>750</v>
      </c>
      <c r="M169">
        <v>500</v>
      </c>
      <c r="W169">
        <v>1350</v>
      </c>
      <c r="AG169">
        <v>950</v>
      </c>
      <c r="AQ169">
        <v>5000</v>
      </c>
      <c r="BA169">
        <v>6975</v>
      </c>
      <c r="BK169">
        <v>12000</v>
      </c>
      <c r="BU169">
        <v>5995</v>
      </c>
      <c r="CC169">
        <v>100</v>
      </c>
      <c r="CE169">
        <v>13238</v>
      </c>
      <c r="CO169">
        <v>5985</v>
      </c>
      <c r="CQ169">
        <v>440</v>
      </c>
      <c r="CS169">
        <v>200</v>
      </c>
      <c r="CU169">
        <v>300</v>
      </c>
      <c r="CY169">
        <v>10838</v>
      </c>
      <c r="DA169">
        <v>690</v>
      </c>
      <c r="DC169">
        <v>600</v>
      </c>
      <c r="DE169">
        <v>5</v>
      </c>
      <c r="DI169">
        <v>9353</v>
      </c>
      <c r="DK169">
        <v>40</v>
      </c>
      <c r="DL169">
        <v>10</v>
      </c>
      <c r="DM169">
        <v>270</v>
      </c>
      <c r="DO169">
        <v>65</v>
      </c>
      <c r="DQ169">
        <v>100</v>
      </c>
      <c r="DS169">
        <v>11386</v>
      </c>
      <c r="DU169">
        <v>65</v>
      </c>
      <c r="DW169">
        <v>625</v>
      </c>
      <c r="DX169">
        <v>25</v>
      </c>
      <c r="DY169">
        <v>63</v>
      </c>
      <c r="EC169">
        <v>8724</v>
      </c>
      <c r="EE169">
        <v>525</v>
      </c>
      <c r="EG169">
        <v>770</v>
      </c>
      <c r="EI169">
        <v>50</v>
      </c>
      <c r="EM169">
        <v>2425</v>
      </c>
      <c r="ES169">
        <v>440</v>
      </c>
      <c r="EW169">
        <v>650</v>
      </c>
      <c r="FG169">
        <v>300</v>
      </c>
      <c r="GM169">
        <f t="shared" si="3"/>
        <v>101802</v>
      </c>
    </row>
    <row r="170" spans="1:195" x14ac:dyDescent="0.25">
      <c r="A170" s="4">
        <f>DATE(2023,12,5)</f>
        <v>45265</v>
      </c>
      <c r="B170">
        <v>218709</v>
      </c>
      <c r="C170">
        <v>750</v>
      </c>
      <c r="M170">
        <v>500</v>
      </c>
      <c r="W170">
        <v>1350</v>
      </c>
      <c r="AG170">
        <v>950</v>
      </c>
      <c r="AQ170">
        <v>5000</v>
      </c>
      <c r="BA170">
        <v>6975</v>
      </c>
      <c r="BK170">
        <v>12000</v>
      </c>
      <c r="BU170">
        <v>5995</v>
      </c>
      <c r="CC170">
        <v>100</v>
      </c>
      <c r="CE170">
        <v>12738</v>
      </c>
      <c r="CO170">
        <v>6585</v>
      </c>
      <c r="CQ170">
        <v>440</v>
      </c>
      <c r="CS170">
        <v>200</v>
      </c>
      <c r="CU170">
        <v>200</v>
      </c>
      <c r="CY170">
        <v>11058</v>
      </c>
      <c r="DA170">
        <v>690</v>
      </c>
      <c r="DC170">
        <v>600</v>
      </c>
      <c r="DE170">
        <v>5</v>
      </c>
      <c r="DI170">
        <v>9603</v>
      </c>
      <c r="DK170">
        <v>40</v>
      </c>
      <c r="DL170">
        <v>10</v>
      </c>
      <c r="DM170">
        <v>270</v>
      </c>
      <c r="DO170">
        <v>65</v>
      </c>
      <c r="DQ170">
        <v>100</v>
      </c>
      <c r="DS170">
        <v>11636</v>
      </c>
      <c r="DU170">
        <v>65</v>
      </c>
      <c r="DW170">
        <v>625</v>
      </c>
      <c r="DX170">
        <v>25</v>
      </c>
      <c r="DY170">
        <v>63</v>
      </c>
      <c r="EC170">
        <v>8724</v>
      </c>
      <c r="EE170">
        <v>525</v>
      </c>
      <c r="EG170">
        <v>770</v>
      </c>
      <c r="EI170">
        <v>50</v>
      </c>
      <c r="EM170">
        <v>2425</v>
      </c>
      <c r="ES170">
        <v>440</v>
      </c>
      <c r="EW170">
        <v>650</v>
      </c>
      <c r="FG170">
        <v>300</v>
      </c>
      <c r="GM170">
        <f t="shared" si="3"/>
        <v>102522</v>
      </c>
    </row>
    <row r="171" spans="1:195" x14ac:dyDescent="0.25">
      <c r="A171" s="4">
        <f>DATE(2023,12,4)</f>
        <v>45264</v>
      </c>
      <c r="B171">
        <v>215774</v>
      </c>
      <c r="C171">
        <v>750</v>
      </c>
      <c r="M171">
        <v>500</v>
      </c>
      <c r="W171">
        <v>1350</v>
      </c>
      <c r="AG171">
        <v>950</v>
      </c>
      <c r="AQ171">
        <v>5000</v>
      </c>
      <c r="BA171">
        <v>6975</v>
      </c>
      <c r="BK171">
        <v>12000</v>
      </c>
      <c r="BU171">
        <v>5995</v>
      </c>
      <c r="CC171">
        <v>100</v>
      </c>
      <c r="CE171">
        <v>12108</v>
      </c>
      <c r="CO171">
        <v>7575</v>
      </c>
      <c r="CQ171">
        <v>440</v>
      </c>
      <c r="CS171">
        <v>200</v>
      </c>
      <c r="CU171">
        <v>200</v>
      </c>
      <c r="CY171">
        <v>11860</v>
      </c>
      <c r="DA171">
        <v>690</v>
      </c>
      <c r="DC171">
        <v>600</v>
      </c>
      <c r="DE171">
        <v>5</v>
      </c>
      <c r="DI171">
        <v>9603</v>
      </c>
      <c r="DK171">
        <v>40</v>
      </c>
      <c r="DL171">
        <v>10</v>
      </c>
      <c r="DM171">
        <v>270</v>
      </c>
      <c r="DO171">
        <v>65</v>
      </c>
      <c r="DQ171">
        <v>100</v>
      </c>
      <c r="DS171">
        <v>11636</v>
      </c>
      <c r="DU171">
        <v>65</v>
      </c>
      <c r="DW171">
        <v>625</v>
      </c>
      <c r="DX171">
        <v>25</v>
      </c>
      <c r="DY171">
        <v>63</v>
      </c>
      <c r="EC171">
        <v>8724</v>
      </c>
      <c r="EE171">
        <v>525</v>
      </c>
      <c r="EG171">
        <v>770</v>
      </c>
      <c r="EI171">
        <v>50</v>
      </c>
      <c r="EM171">
        <v>2425</v>
      </c>
      <c r="ES171">
        <v>440</v>
      </c>
      <c r="EW171">
        <v>650</v>
      </c>
      <c r="FG171">
        <v>300</v>
      </c>
      <c r="GM171">
        <f t="shared" si="3"/>
        <v>103684</v>
      </c>
    </row>
    <row r="172" spans="1:195" x14ac:dyDescent="0.25">
      <c r="A172" s="4">
        <f>DATE(2023,12,1)</f>
        <v>45261</v>
      </c>
      <c r="B172">
        <v>212578</v>
      </c>
      <c r="C172">
        <v>750</v>
      </c>
      <c r="M172">
        <v>500</v>
      </c>
      <c r="W172">
        <v>1350</v>
      </c>
      <c r="AG172">
        <v>950</v>
      </c>
      <c r="AQ172">
        <v>5000</v>
      </c>
      <c r="BA172">
        <v>6975</v>
      </c>
      <c r="BK172">
        <v>12000</v>
      </c>
      <c r="BU172">
        <v>5995</v>
      </c>
      <c r="CC172">
        <v>100</v>
      </c>
      <c r="CE172">
        <v>12108</v>
      </c>
      <c r="CO172">
        <v>7705</v>
      </c>
      <c r="CQ172">
        <v>440</v>
      </c>
      <c r="CS172">
        <v>200</v>
      </c>
      <c r="CU172">
        <v>200</v>
      </c>
      <c r="CY172">
        <v>12811</v>
      </c>
      <c r="DA172">
        <v>690</v>
      </c>
      <c r="DC172">
        <v>600</v>
      </c>
      <c r="DE172">
        <v>5</v>
      </c>
      <c r="DI172">
        <v>10703</v>
      </c>
      <c r="DK172">
        <v>40</v>
      </c>
      <c r="DL172">
        <v>10</v>
      </c>
      <c r="DM172">
        <v>270</v>
      </c>
      <c r="DO172">
        <v>65</v>
      </c>
      <c r="DQ172">
        <v>100</v>
      </c>
      <c r="DS172">
        <v>11886</v>
      </c>
      <c r="DU172">
        <v>65</v>
      </c>
      <c r="DW172">
        <v>625</v>
      </c>
      <c r="DX172">
        <v>25</v>
      </c>
      <c r="DY172">
        <v>63</v>
      </c>
      <c r="EC172">
        <v>8724</v>
      </c>
      <c r="EE172">
        <v>525</v>
      </c>
      <c r="EG172">
        <v>770</v>
      </c>
      <c r="EI172">
        <v>50</v>
      </c>
      <c r="EM172">
        <v>2425</v>
      </c>
      <c r="ES172">
        <v>440</v>
      </c>
      <c r="EW172">
        <v>650</v>
      </c>
      <c r="FG172">
        <v>300</v>
      </c>
      <c r="GM172">
        <f t="shared" si="3"/>
        <v>106115</v>
      </c>
    </row>
    <row r="173" spans="1:195" x14ac:dyDescent="0.25">
      <c r="A173" s="4">
        <f>DATE(2023,11,30)</f>
        <v>45260</v>
      </c>
      <c r="B173">
        <v>213850</v>
      </c>
      <c r="C173">
        <v>750</v>
      </c>
      <c r="M173">
        <v>500</v>
      </c>
      <c r="W173">
        <v>1350</v>
      </c>
      <c r="AG173">
        <v>950</v>
      </c>
      <c r="AQ173">
        <v>5000</v>
      </c>
      <c r="BA173">
        <v>6975</v>
      </c>
      <c r="BK173">
        <v>12000</v>
      </c>
      <c r="BU173">
        <v>5995</v>
      </c>
      <c r="CC173">
        <v>100</v>
      </c>
      <c r="CE173">
        <v>12690</v>
      </c>
      <c r="CO173">
        <v>7730</v>
      </c>
      <c r="CQ173">
        <v>440</v>
      </c>
      <c r="CS173">
        <v>200</v>
      </c>
      <c r="CY173">
        <v>14185</v>
      </c>
      <c r="DA173">
        <v>690</v>
      </c>
      <c r="DC173">
        <v>500</v>
      </c>
      <c r="DE173">
        <v>5</v>
      </c>
      <c r="DI173">
        <v>10703</v>
      </c>
      <c r="DK173">
        <v>40</v>
      </c>
      <c r="DL173">
        <v>10</v>
      </c>
      <c r="DM173">
        <v>270</v>
      </c>
      <c r="DO173">
        <v>65</v>
      </c>
      <c r="DQ173">
        <v>100</v>
      </c>
      <c r="DS173">
        <v>12111</v>
      </c>
      <c r="DU173">
        <v>65</v>
      </c>
      <c r="DW173">
        <v>625</v>
      </c>
      <c r="DX173">
        <v>25</v>
      </c>
      <c r="DY173">
        <v>63</v>
      </c>
      <c r="EC173">
        <v>8724</v>
      </c>
      <c r="EE173">
        <v>525</v>
      </c>
      <c r="EG173">
        <v>770</v>
      </c>
      <c r="EI173">
        <v>50</v>
      </c>
      <c r="EM173">
        <v>2425</v>
      </c>
      <c r="ES173">
        <v>440</v>
      </c>
      <c r="EW173">
        <v>650</v>
      </c>
      <c r="FG173">
        <v>300</v>
      </c>
      <c r="GM173">
        <f t="shared" si="3"/>
        <v>108021</v>
      </c>
    </row>
    <row r="174" spans="1:195" x14ac:dyDescent="0.25">
      <c r="A174" s="4">
        <f>DATE(2023,11,29)</f>
        <v>45259</v>
      </c>
      <c r="B174">
        <v>213239</v>
      </c>
      <c r="C174">
        <v>750</v>
      </c>
      <c r="M174">
        <v>500</v>
      </c>
      <c r="W174">
        <v>1350</v>
      </c>
      <c r="AG174">
        <v>950</v>
      </c>
      <c r="AQ174">
        <v>5000</v>
      </c>
      <c r="BA174">
        <v>6975</v>
      </c>
      <c r="BK174">
        <v>12700</v>
      </c>
      <c r="BU174">
        <v>5995</v>
      </c>
      <c r="CC174">
        <v>100</v>
      </c>
      <c r="CE174">
        <v>12820</v>
      </c>
      <c r="CO174">
        <v>7725</v>
      </c>
      <c r="CQ174">
        <v>440</v>
      </c>
      <c r="CS174">
        <v>200</v>
      </c>
      <c r="CY174">
        <v>14781</v>
      </c>
      <c r="DA174">
        <v>690</v>
      </c>
      <c r="DC174">
        <v>500</v>
      </c>
      <c r="DE174">
        <v>5</v>
      </c>
      <c r="DI174">
        <v>10703</v>
      </c>
      <c r="DK174">
        <v>40</v>
      </c>
      <c r="DL174">
        <v>10</v>
      </c>
      <c r="DM174">
        <v>270</v>
      </c>
      <c r="DO174">
        <v>65</v>
      </c>
      <c r="DQ174">
        <v>100</v>
      </c>
      <c r="DS174">
        <v>12111</v>
      </c>
      <c r="DU174">
        <v>65</v>
      </c>
      <c r="DW174">
        <v>625</v>
      </c>
      <c r="DX174">
        <v>25</v>
      </c>
      <c r="DY174">
        <v>63</v>
      </c>
      <c r="EC174">
        <v>8724</v>
      </c>
      <c r="EE174">
        <v>525</v>
      </c>
      <c r="EG174">
        <v>770</v>
      </c>
      <c r="EI174">
        <v>50</v>
      </c>
      <c r="EM174">
        <v>2425</v>
      </c>
      <c r="ES174">
        <v>440</v>
      </c>
      <c r="EW174">
        <v>650</v>
      </c>
      <c r="FG174">
        <v>300</v>
      </c>
      <c r="GM174">
        <f t="shared" si="3"/>
        <v>109442</v>
      </c>
    </row>
    <row r="175" spans="1:195" x14ac:dyDescent="0.25">
      <c r="A175" s="4">
        <f>DATE(2023,11,28)</f>
        <v>45258</v>
      </c>
      <c r="B175">
        <v>211469</v>
      </c>
      <c r="C175">
        <v>750</v>
      </c>
      <c r="M175">
        <v>500</v>
      </c>
      <c r="W175">
        <v>1350</v>
      </c>
      <c r="AG175">
        <v>950</v>
      </c>
      <c r="AQ175">
        <v>5000</v>
      </c>
      <c r="BA175">
        <v>6975</v>
      </c>
      <c r="BK175">
        <v>12700</v>
      </c>
      <c r="BU175">
        <v>5995</v>
      </c>
      <c r="CC175">
        <v>100</v>
      </c>
      <c r="CE175">
        <v>13420</v>
      </c>
      <c r="CO175">
        <v>7725</v>
      </c>
      <c r="CQ175">
        <v>440</v>
      </c>
      <c r="CS175">
        <v>200</v>
      </c>
      <c r="CY175">
        <v>15256</v>
      </c>
      <c r="DA175">
        <v>690</v>
      </c>
      <c r="DC175">
        <v>500</v>
      </c>
      <c r="DE175">
        <v>5</v>
      </c>
      <c r="DI175">
        <v>10828</v>
      </c>
      <c r="DK175">
        <v>40</v>
      </c>
      <c r="DL175">
        <v>10</v>
      </c>
      <c r="DM175">
        <v>270</v>
      </c>
      <c r="DO175">
        <v>65</v>
      </c>
      <c r="DQ175">
        <v>100</v>
      </c>
      <c r="DS175">
        <v>12111</v>
      </c>
      <c r="DU175">
        <v>65</v>
      </c>
      <c r="DW175">
        <v>625</v>
      </c>
      <c r="DX175">
        <v>25</v>
      </c>
      <c r="DY175">
        <v>63</v>
      </c>
      <c r="EC175">
        <v>8724</v>
      </c>
      <c r="EE175">
        <v>525</v>
      </c>
      <c r="EG175">
        <v>770</v>
      </c>
      <c r="EI175">
        <v>50</v>
      </c>
      <c r="EM175">
        <v>2425</v>
      </c>
      <c r="ES175">
        <v>440</v>
      </c>
      <c r="EW175">
        <v>650</v>
      </c>
      <c r="FG175">
        <v>300</v>
      </c>
      <c r="GM175">
        <f t="shared" si="3"/>
        <v>110642</v>
      </c>
    </row>
    <row r="176" spans="1:195" x14ac:dyDescent="0.25">
      <c r="A176" s="4">
        <f>DATE(2023,11,27)</f>
        <v>45257</v>
      </c>
      <c r="B176">
        <v>209958</v>
      </c>
      <c r="C176">
        <v>750</v>
      </c>
      <c r="M176">
        <v>500</v>
      </c>
      <c r="W176">
        <v>1350</v>
      </c>
      <c r="AG176">
        <v>950</v>
      </c>
      <c r="AQ176">
        <v>5000</v>
      </c>
      <c r="BA176">
        <v>6975</v>
      </c>
      <c r="BK176">
        <v>12700</v>
      </c>
      <c r="BU176">
        <v>5995</v>
      </c>
      <c r="CC176">
        <v>100</v>
      </c>
      <c r="CE176">
        <v>13570</v>
      </c>
      <c r="CO176">
        <v>8275</v>
      </c>
      <c r="CQ176">
        <v>440</v>
      </c>
      <c r="CS176">
        <v>200</v>
      </c>
      <c r="CY176">
        <v>16411</v>
      </c>
      <c r="DA176">
        <v>690</v>
      </c>
      <c r="DC176">
        <v>500</v>
      </c>
      <c r="DE176">
        <v>5</v>
      </c>
      <c r="DI176">
        <v>10728</v>
      </c>
      <c r="DK176">
        <v>40</v>
      </c>
      <c r="DL176">
        <v>10</v>
      </c>
      <c r="DM176">
        <v>270</v>
      </c>
      <c r="DO176">
        <v>65</v>
      </c>
      <c r="DQ176">
        <v>100</v>
      </c>
      <c r="DS176">
        <v>12111</v>
      </c>
      <c r="DU176">
        <v>65</v>
      </c>
      <c r="DW176">
        <v>625</v>
      </c>
      <c r="DX176">
        <v>25</v>
      </c>
      <c r="DY176">
        <v>63</v>
      </c>
      <c r="EC176">
        <v>8724</v>
      </c>
      <c r="EE176">
        <v>525</v>
      </c>
      <c r="EG176">
        <v>770</v>
      </c>
      <c r="EI176">
        <v>50</v>
      </c>
      <c r="EM176">
        <v>2425</v>
      </c>
      <c r="ES176">
        <v>440</v>
      </c>
      <c r="EW176">
        <v>650</v>
      </c>
      <c r="FG176">
        <v>300</v>
      </c>
      <c r="GM176">
        <f t="shared" si="3"/>
        <v>112397</v>
      </c>
    </row>
    <row r="177" spans="1:195" x14ac:dyDescent="0.25">
      <c r="A177" s="4">
        <f>DATE(2023,11,24)</f>
        <v>45254</v>
      </c>
      <c r="B177">
        <v>209484</v>
      </c>
      <c r="C177">
        <v>750</v>
      </c>
      <c r="M177">
        <v>500</v>
      </c>
      <c r="W177">
        <v>1350</v>
      </c>
      <c r="AG177">
        <v>950</v>
      </c>
      <c r="AQ177">
        <v>5000</v>
      </c>
      <c r="BA177">
        <v>6975</v>
      </c>
      <c r="BK177">
        <v>12700</v>
      </c>
      <c r="BU177">
        <v>5995</v>
      </c>
      <c r="CC177">
        <v>100</v>
      </c>
      <c r="CE177">
        <v>14320</v>
      </c>
      <c r="CO177">
        <v>8275</v>
      </c>
      <c r="CQ177">
        <v>440</v>
      </c>
      <c r="CS177">
        <v>200</v>
      </c>
      <c r="CY177">
        <v>16611</v>
      </c>
      <c r="DA177">
        <v>690</v>
      </c>
      <c r="DC177">
        <v>500</v>
      </c>
      <c r="DE177">
        <v>5</v>
      </c>
      <c r="DI177">
        <v>10578</v>
      </c>
      <c r="DK177">
        <v>40</v>
      </c>
      <c r="DL177">
        <v>10</v>
      </c>
      <c r="DM177">
        <v>270</v>
      </c>
      <c r="DO177">
        <v>65</v>
      </c>
      <c r="DQ177">
        <v>100</v>
      </c>
      <c r="DS177">
        <v>12111</v>
      </c>
      <c r="DU177">
        <v>65</v>
      </c>
      <c r="DW177">
        <v>625</v>
      </c>
      <c r="DX177">
        <v>25</v>
      </c>
      <c r="DY177">
        <v>63</v>
      </c>
      <c r="EC177">
        <v>8724</v>
      </c>
      <c r="EE177">
        <v>525</v>
      </c>
      <c r="EG177">
        <v>770</v>
      </c>
      <c r="EI177">
        <v>50</v>
      </c>
      <c r="EM177">
        <v>2425</v>
      </c>
      <c r="ES177">
        <v>440</v>
      </c>
      <c r="EW177">
        <v>650</v>
      </c>
      <c r="FG177">
        <v>300</v>
      </c>
      <c r="GM177">
        <f t="shared" si="3"/>
        <v>113197</v>
      </c>
    </row>
    <row r="178" spans="1:195" x14ac:dyDescent="0.25">
      <c r="A178" s="4">
        <f>DATE(2023,11,23)</f>
        <v>45253</v>
      </c>
      <c r="B178">
        <v>209789</v>
      </c>
      <c r="C178">
        <v>750</v>
      </c>
      <c r="M178">
        <v>500</v>
      </c>
      <c r="W178">
        <v>1350</v>
      </c>
      <c r="AG178">
        <v>950</v>
      </c>
      <c r="AQ178">
        <v>5000</v>
      </c>
      <c r="BA178">
        <v>6975</v>
      </c>
      <c r="BK178">
        <v>12700</v>
      </c>
      <c r="BU178">
        <v>5995</v>
      </c>
      <c r="CC178">
        <v>100</v>
      </c>
      <c r="CE178">
        <v>14595</v>
      </c>
      <c r="CO178">
        <v>8275</v>
      </c>
      <c r="CQ178">
        <v>440</v>
      </c>
      <c r="CS178">
        <v>200</v>
      </c>
      <c r="CY178">
        <v>16511</v>
      </c>
      <c r="DA178">
        <v>690</v>
      </c>
      <c r="DC178">
        <v>500</v>
      </c>
      <c r="DE178">
        <v>5</v>
      </c>
      <c r="DI178">
        <v>10778</v>
      </c>
      <c r="DK178">
        <v>40</v>
      </c>
      <c r="DL178">
        <v>10</v>
      </c>
      <c r="DM178">
        <v>270</v>
      </c>
      <c r="DO178">
        <v>65</v>
      </c>
      <c r="DQ178">
        <v>100</v>
      </c>
      <c r="DS178">
        <v>12111</v>
      </c>
      <c r="DU178">
        <v>65</v>
      </c>
      <c r="DW178">
        <v>625</v>
      </c>
      <c r="DX178">
        <v>25</v>
      </c>
      <c r="DY178">
        <v>63</v>
      </c>
      <c r="EC178">
        <v>8674</v>
      </c>
      <c r="EE178">
        <v>525</v>
      </c>
      <c r="EG178">
        <v>770</v>
      </c>
      <c r="EI178">
        <v>50</v>
      </c>
      <c r="EM178">
        <v>2425</v>
      </c>
      <c r="ES178">
        <v>440</v>
      </c>
      <c r="EW178">
        <v>650</v>
      </c>
      <c r="FG178">
        <v>300</v>
      </c>
      <c r="GM178">
        <f t="shared" si="3"/>
        <v>113522</v>
      </c>
    </row>
    <row r="179" spans="1:195" x14ac:dyDescent="0.25">
      <c r="A179" s="4">
        <f>DATE(2023,11,22)</f>
        <v>45252</v>
      </c>
      <c r="B179">
        <v>208775</v>
      </c>
      <c r="C179">
        <v>750</v>
      </c>
      <c r="M179">
        <v>500</v>
      </c>
      <c r="W179">
        <v>1350</v>
      </c>
      <c r="AG179">
        <v>950</v>
      </c>
      <c r="AQ179">
        <v>5000</v>
      </c>
      <c r="BA179">
        <v>6975</v>
      </c>
      <c r="BK179">
        <v>12700</v>
      </c>
      <c r="BU179">
        <v>5995</v>
      </c>
      <c r="CC179">
        <v>100</v>
      </c>
      <c r="CE179">
        <v>15095</v>
      </c>
      <c r="CO179">
        <v>8275</v>
      </c>
      <c r="CQ179">
        <v>440</v>
      </c>
      <c r="CS179">
        <v>200</v>
      </c>
      <c r="CY179">
        <v>16636</v>
      </c>
      <c r="DA179">
        <v>690</v>
      </c>
      <c r="DC179">
        <v>500</v>
      </c>
      <c r="DE179">
        <v>5</v>
      </c>
      <c r="DI179">
        <v>10828</v>
      </c>
      <c r="DK179">
        <v>40</v>
      </c>
      <c r="DL179">
        <v>10</v>
      </c>
      <c r="DM179">
        <v>270</v>
      </c>
      <c r="DO179">
        <v>65</v>
      </c>
      <c r="DQ179">
        <v>100</v>
      </c>
      <c r="DS179">
        <v>12411</v>
      </c>
      <c r="DU179">
        <v>65</v>
      </c>
      <c r="DW179">
        <v>625</v>
      </c>
      <c r="DX179">
        <v>25</v>
      </c>
      <c r="DY179">
        <v>63</v>
      </c>
      <c r="EC179">
        <v>8674</v>
      </c>
      <c r="EE179">
        <v>525</v>
      </c>
      <c r="EG179">
        <v>770</v>
      </c>
      <c r="EI179">
        <v>50</v>
      </c>
      <c r="EM179">
        <v>2425</v>
      </c>
      <c r="ES179">
        <v>440</v>
      </c>
      <c r="EW179">
        <v>650</v>
      </c>
      <c r="FG179">
        <v>300</v>
      </c>
      <c r="GM179">
        <f t="shared" si="3"/>
        <v>114497</v>
      </c>
    </row>
    <row r="180" spans="1:195" x14ac:dyDescent="0.25">
      <c r="A180" s="4">
        <f>DATE(2023,11,21)</f>
        <v>45251</v>
      </c>
      <c r="B180">
        <v>207248</v>
      </c>
      <c r="C180">
        <v>750</v>
      </c>
      <c r="M180">
        <v>500</v>
      </c>
      <c r="W180">
        <v>1350</v>
      </c>
      <c r="AG180">
        <v>950</v>
      </c>
      <c r="AQ180">
        <v>5000</v>
      </c>
      <c r="BA180">
        <v>6975</v>
      </c>
      <c r="BK180">
        <v>12700</v>
      </c>
      <c r="BU180">
        <v>5995</v>
      </c>
      <c r="CC180">
        <v>100</v>
      </c>
      <c r="CE180">
        <v>15295</v>
      </c>
      <c r="CO180">
        <v>7975</v>
      </c>
      <c r="CQ180">
        <v>440</v>
      </c>
      <c r="CS180">
        <v>200</v>
      </c>
      <c r="CY180">
        <v>16936</v>
      </c>
      <c r="DA180">
        <v>690</v>
      </c>
      <c r="DC180">
        <v>500</v>
      </c>
      <c r="DE180">
        <v>5</v>
      </c>
      <c r="DI180">
        <v>10928</v>
      </c>
      <c r="DK180">
        <v>40</v>
      </c>
      <c r="DL180">
        <v>10</v>
      </c>
      <c r="DM180">
        <v>270</v>
      </c>
      <c r="DO180">
        <v>65</v>
      </c>
      <c r="DQ180">
        <v>100</v>
      </c>
      <c r="DS180">
        <v>12861</v>
      </c>
      <c r="DU180">
        <v>65</v>
      </c>
      <c r="DW180">
        <v>500</v>
      </c>
      <c r="DX180">
        <v>25</v>
      </c>
      <c r="DY180">
        <v>63</v>
      </c>
      <c r="EC180">
        <v>8724</v>
      </c>
      <c r="EE180">
        <v>525</v>
      </c>
      <c r="EG180">
        <v>770</v>
      </c>
      <c r="EI180">
        <v>50</v>
      </c>
      <c r="EM180">
        <v>2425</v>
      </c>
      <c r="ES180">
        <v>440</v>
      </c>
      <c r="EW180">
        <v>650</v>
      </c>
      <c r="FG180">
        <v>300</v>
      </c>
      <c r="GM180">
        <f t="shared" si="3"/>
        <v>115172</v>
      </c>
    </row>
    <row r="181" spans="1:195" x14ac:dyDescent="0.25">
      <c r="A181" s="4">
        <f>DATE(2023,11,20)</f>
        <v>45250</v>
      </c>
      <c r="B181">
        <v>205237</v>
      </c>
      <c r="C181">
        <v>750</v>
      </c>
      <c r="M181">
        <v>500</v>
      </c>
      <c r="W181">
        <v>1350</v>
      </c>
      <c r="AG181">
        <v>950</v>
      </c>
      <c r="AQ181">
        <v>5000</v>
      </c>
      <c r="BA181">
        <v>6975</v>
      </c>
      <c r="BK181">
        <v>12700</v>
      </c>
      <c r="BU181">
        <v>5995</v>
      </c>
      <c r="CC181">
        <v>100</v>
      </c>
      <c r="CE181">
        <v>15295</v>
      </c>
      <c r="CO181">
        <v>7975</v>
      </c>
      <c r="CQ181">
        <v>440</v>
      </c>
      <c r="CS181">
        <v>200</v>
      </c>
      <c r="CY181">
        <v>17186</v>
      </c>
      <c r="DA181">
        <v>690</v>
      </c>
      <c r="DC181">
        <v>500</v>
      </c>
      <c r="DE181">
        <v>5</v>
      </c>
      <c r="DI181">
        <v>10928</v>
      </c>
      <c r="DK181">
        <v>40</v>
      </c>
      <c r="DL181">
        <v>10</v>
      </c>
      <c r="DM181">
        <v>270</v>
      </c>
      <c r="DO181">
        <v>65</v>
      </c>
      <c r="DQ181">
        <v>100</v>
      </c>
      <c r="DS181">
        <v>12961</v>
      </c>
      <c r="DU181">
        <v>65</v>
      </c>
      <c r="DW181">
        <v>500</v>
      </c>
      <c r="DX181">
        <v>25</v>
      </c>
      <c r="DY181">
        <v>63</v>
      </c>
      <c r="EC181">
        <v>8724</v>
      </c>
      <c r="EE181">
        <v>525</v>
      </c>
      <c r="EG181">
        <v>770</v>
      </c>
      <c r="EI181">
        <v>50</v>
      </c>
      <c r="EM181">
        <v>2425</v>
      </c>
      <c r="ES181">
        <v>440</v>
      </c>
      <c r="EW181">
        <v>650</v>
      </c>
      <c r="FG181">
        <v>300</v>
      </c>
      <c r="GM181">
        <f t="shared" si="3"/>
        <v>115522</v>
      </c>
    </row>
    <row r="182" spans="1:195" x14ac:dyDescent="0.25">
      <c r="A182" s="4">
        <f>DATE(2023,11,17)</f>
        <v>45247</v>
      </c>
      <c r="B182">
        <v>204243</v>
      </c>
      <c r="C182">
        <v>750</v>
      </c>
      <c r="M182">
        <v>500</v>
      </c>
      <c r="W182">
        <v>1350</v>
      </c>
      <c r="AG182">
        <v>950</v>
      </c>
      <c r="AQ182">
        <v>5000</v>
      </c>
      <c r="BA182">
        <v>6975</v>
      </c>
      <c r="BK182">
        <v>12700</v>
      </c>
      <c r="BU182">
        <v>5995</v>
      </c>
      <c r="CC182">
        <v>100</v>
      </c>
      <c r="CE182">
        <v>15795</v>
      </c>
      <c r="CO182">
        <v>7975</v>
      </c>
      <c r="CQ182">
        <v>440</v>
      </c>
      <c r="CS182">
        <v>200</v>
      </c>
      <c r="CY182">
        <v>17386</v>
      </c>
      <c r="DA182">
        <v>690</v>
      </c>
      <c r="DC182">
        <v>500</v>
      </c>
      <c r="DE182">
        <v>5</v>
      </c>
      <c r="DI182">
        <v>10928</v>
      </c>
      <c r="DK182">
        <v>40</v>
      </c>
      <c r="DL182">
        <v>10</v>
      </c>
      <c r="DM182">
        <v>270</v>
      </c>
      <c r="DO182">
        <v>65</v>
      </c>
      <c r="DQ182">
        <v>100</v>
      </c>
      <c r="DS182">
        <v>12961</v>
      </c>
      <c r="DU182">
        <v>65</v>
      </c>
      <c r="DW182">
        <v>500</v>
      </c>
      <c r="DX182">
        <v>25</v>
      </c>
      <c r="DY182">
        <v>63</v>
      </c>
      <c r="EC182">
        <v>8724</v>
      </c>
      <c r="EE182">
        <v>525</v>
      </c>
      <c r="EG182">
        <v>770</v>
      </c>
      <c r="EI182">
        <v>50</v>
      </c>
      <c r="EM182">
        <v>2425</v>
      </c>
      <c r="ES182">
        <v>440</v>
      </c>
      <c r="EW182">
        <v>650</v>
      </c>
      <c r="FG182">
        <v>300</v>
      </c>
      <c r="GM182">
        <f t="shared" si="3"/>
        <v>116222</v>
      </c>
    </row>
    <row r="183" spans="1:195" x14ac:dyDescent="0.25">
      <c r="A183" s="4">
        <f>DATE(2023,11,16)</f>
        <v>45246</v>
      </c>
      <c r="B183">
        <v>203325</v>
      </c>
      <c r="C183">
        <v>750</v>
      </c>
      <c r="M183">
        <v>500</v>
      </c>
      <c r="W183">
        <v>1350</v>
      </c>
      <c r="AG183">
        <v>950</v>
      </c>
      <c r="AQ183">
        <v>5000</v>
      </c>
      <c r="BA183">
        <v>6975</v>
      </c>
      <c r="BK183">
        <v>12700</v>
      </c>
      <c r="BU183">
        <v>5995</v>
      </c>
      <c r="CC183">
        <v>100</v>
      </c>
      <c r="CE183">
        <v>16395</v>
      </c>
      <c r="CO183">
        <v>7475</v>
      </c>
      <c r="CQ183">
        <v>440</v>
      </c>
      <c r="CS183">
        <v>200</v>
      </c>
      <c r="CY183">
        <v>17136</v>
      </c>
      <c r="DA183">
        <v>690</v>
      </c>
      <c r="DC183">
        <v>500</v>
      </c>
      <c r="DE183">
        <v>5</v>
      </c>
      <c r="DI183">
        <v>11178</v>
      </c>
      <c r="DK183">
        <v>40</v>
      </c>
      <c r="DL183">
        <v>10</v>
      </c>
      <c r="DM183">
        <v>270</v>
      </c>
      <c r="DO183">
        <v>65</v>
      </c>
      <c r="DQ183">
        <v>100</v>
      </c>
      <c r="DS183">
        <v>12973</v>
      </c>
      <c r="DU183">
        <v>65</v>
      </c>
      <c r="DW183">
        <v>500</v>
      </c>
      <c r="DX183">
        <v>25</v>
      </c>
      <c r="DY183">
        <v>63</v>
      </c>
      <c r="EC183">
        <v>8724</v>
      </c>
      <c r="EE183">
        <v>525</v>
      </c>
      <c r="EG183">
        <v>770</v>
      </c>
      <c r="EI183">
        <v>50</v>
      </c>
      <c r="EM183">
        <v>2425</v>
      </c>
      <c r="ES183">
        <v>440</v>
      </c>
      <c r="EW183">
        <v>650</v>
      </c>
      <c r="FG183">
        <v>300</v>
      </c>
      <c r="GM183">
        <f t="shared" si="3"/>
        <v>116334</v>
      </c>
    </row>
    <row r="184" spans="1:195" x14ac:dyDescent="0.25">
      <c r="A184" s="4">
        <f>DATE(2023,11,15)</f>
        <v>45245</v>
      </c>
      <c r="B184">
        <v>201830</v>
      </c>
      <c r="C184">
        <v>750</v>
      </c>
      <c r="M184">
        <v>500</v>
      </c>
      <c r="W184">
        <v>1350</v>
      </c>
      <c r="AG184">
        <v>950</v>
      </c>
      <c r="AQ184">
        <v>5000</v>
      </c>
      <c r="BA184">
        <v>6975</v>
      </c>
      <c r="BK184">
        <v>12700</v>
      </c>
      <c r="BU184">
        <v>5995</v>
      </c>
      <c r="CC184">
        <v>100</v>
      </c>
      <c r="CE184">
        <v>16395</v>
      </c>
      <c r="CO184">
        <v>7475</v>
      </c>
      <c r="CQ184">
        <v>440</v>
      </c>
      <c r="CS184">
        <v>200</v>
      </c>
      <c r="CY184">
        <v>16886</v>
      </c>
      <c r="DA184">
        <v>690</v>
      </c>
      <c r="DC184">
        <v>500</v>
      </c>
      <c r="DE184">
        <v>5</v>
      </c>
      <c r="DI184">
        <v>11478</v>
      </c>
      <c r="DK184">
        <v>40</v>
      </c>
      <c r="DL184">
        <v>10</v>
      </c>
      <c r="DM184">
        <v>270</v>
      </c>
      <c r="DO184">
        <v>65</v>
      </c>
      <c r="DQ184">
        <v>100</v>
      </c>
      <c r="DS184">
        <v>13273</v>
      </c>
      <c r="DU184">
        <v>65</v>
      </c>
      <c r="DW184">
        <v>500</v>
      </c>
      <c r="DX184">
        <v>25</v>
      </c>
      <c r="DY184">
        <v>63</v>
      </c>
      <c r="EC184">
        <v>8724</v>
      </c>
      <c r="EE184">
        <v>525</v>
      </c>
      <c r="EG184">
        <v>770</v>
      </c>
      <c r="EI184">
        <v>50</v>
      </c>
      <c r="EM184">
        <v>2425</v>
      </c>
      <c r="ES184">
        <v>440</v>
      </c>
      <c r="EW184">
        <v>650</v>
      </c>
      <c r="FG184">
        <v>300</v>
      </c>
      <c r="GM184">
        <f t="shared" si="3"/>
        <v>116684</v>
      </c>
    </row>
    <row r="185" spans="1:195" x14ac:dyDescent="0.25">
      <c r="A185" s="4">
        <f>DATE(2023,11,14)</f>
        <v>45244</v>
      </c>
      <c r="B185">
        <v>201219</v>
      </c>
      <c r="C185">
        <v>750</v>
      </c>
      <c r="M185">
        <v>500</v>
      </c>
      <c r="W185">
        <v>1350</v>
      </c>
      <c r="AG185">
        <v>950</v>
      </c>
      <c r="AQ185">
        <v>5000</v>
      </c>
      <c r="BA185">
        <v>6975</v>
      </c>
      <c r="BK185">
        <v>12700</v>
      </c>
      <c r="BU185">
        <v>5995</v>
      </c>
      <c r="CC185">
        <v>100</v>
      </c>
      <c r="CE185">
        <v>16395</v>
      </c>
      <c r="CO185">
        <v>7475</v>
      </c>
      <c r="CQ185">
        <v>440</v>
      </c>
      <c r="CS185">
        <v>200</v>
      </c>
      <c r="CY185">
        <v>16886</v>
      </c>
      <c r="DA185">
        <v>690</v>
      </c>
      <c r="DC185">
        <v>500</v>
      </c>
      <c r="DE185">
        <v>5</v>
      </c>
      <c r="DI185">
        <v>11478</v>
      </c>
      <c r="DK185">
        <v>40</v>
      </c>
      <c r="DL185">
        <v>10</v>
      </c>
      <c r="DM185">
        <v>270</v>
      </c>
      <c r="DO185">
        <v>65</v>
      </c>
      <c r="DQ185">
        <v>100</v>
      </c>
      <c r="DS185">
        <v>13573</v>
      </c>
      <c r="DU185">
        <v>65</v>
      </c>
      <c r="DW185">
        <v>500</v>
      </c>
      <c r="DX185">
        <v>25</v>
      </c>
      <c r="DY185">
        <v>63</v>
      </c>
      <c r="EC185">
        <v>8724</v>
      </c>
      <c r="EE185">
        <v>525</v>
      </c>
      <c r="EG185">
        <v>770</v>
      </c>
      <c r="EI185">
        <v>50</v>
      </c>
      <c r="EM185">
        <v>2425</v>
      </c>
      <c r="ES185">
        <v>440</v>
      </c>
      <c r="EW185">
        <v>650</v>
      </c>
      <c r="FG185">
        <v>300</v>
      </c>
      <c r="GM185">
        <f t="shared" si="3"/>
        <v>116984</v>
      </c>
    </row>
    <row r="186" spans="1:195" x14ac:dyDescent="0.25">
      <c r="A186" s="4">
        <f>DATE(2023,11,13)</f>
        <v>45243</v>
      </c>
      <c r="B186">
        <v>199845</v>
      </c>
      <c r="C186">
        <v>750</v>
      </c>
      <c r="M186">
        <v>500</v>
      </c>
      <c r="W186">
        <v>1350</v>
      </c>
      <c r="AG186">
        <v>950</v>
      </c>
      <c r="AQ186">
        <v>5000</v>
      </c>
      <c r="BA186">
        <v>6975</v>
      </c>
      <c r="BK186">
        <v>12700</v>
      </c>
      <c r="BU186">
        <v>5995</v>
      </c>
      <c r="CC186">
        <v>100</v>
      </c>
      <c r="CE186">
        <v>16395</v>
      </c>
      <c r="CO186">
        <v>7475</v>
      </c>
      <c r="CQ186">
        <v>440</v>
      </c>
      <c r="CS186">
        <v>200</v>
      </c>
      <c r="CY186">
        <v>16826</v>
      </c>
      <c r="DA186">
        <v>690</v>
      </c>
      <c r="DC186">
        <v>500</v>
      </c>
      <c r="DE186">
        <v>5</v>
      </c>
      <c r="DI186">
        <v>11428</v>
      </c>
      <c r="DK186">
        <v>40</v>
      </c>
      <c r="DL186">
        <v>10</v>
      </c>
      <c r="DM186">
        <v>270</v>
      </c>
      <c r="DO186">
        <v>65</v>
      </c>
      <c r="DQ186">
        <v>100</v>
      </c>
      <c r="DS186">
        <v>13573</v>
      </c>
      <c r="DU186">
        <v>65</v>
      </c>
      <c r="DW186">
        <v>500</v>
      </c>
      <c r="DX186">
        <v>25</v>
      </c>
      <c r="DY186">
        <v>63</v>
      </c>
      <c r="EC186">
        <v>8724</v>
      </c>
      <c r="EE186">
        <v>525</v>
      </c>
      <c r="EG186">
        <v>770</v>
      </c>
      <c r="EI186">
        <v>50</v>
      </c>
      <c r="EM186">
        <v>2425</v>
      </c>
      <c r="ES186">
        <v>440</v>
      </c>
      <c r="EW186">
        <v>650</v>
      </c>
      <c r="FG186">
        <v>300</v>
      </c>
      <c r="GM186">
        <f t="shared" si="3"/>
        <v>116874</v>
      </c>
    </row>
    <row r="187" spans="1:195" x14ac:dyDescent="0.25">
      <c r="A187" s="4">
        <f>DATE(2023,11,10)</f>
        <v>45240</v>
      </c>
      <c r="B187">
        <v>197850</v>
      </c>
      <c r="C187">
        <v>750</v>
      </c>
      <c r="M187">
        <v>500</v>
      </c>
      <c r="W187">
        <v>1350</v>
      </c>
      <c r="AG187">
        <v>950</v>
      </c>
      <c r="AQ187">
        <v>5000</v>
      </c>
      <c r="BA187">
        <v>6975</v>
      </c>
      <c r="BK187">
        <v>12700</v>
      </c>
      <c r="BU187">
        <v>5995</v>
      </c>
      <c r="CC187">
        <v>100</v>
      </c>
      <c r="CE187">
        <v>16395</v>
      </c>
      <c r="CO187">
        <v>7475</v>
      </c>
      <c r="CQ187">
        <v>440</v>
      </c>
      <c r="CS187">
        <v>200</v>
      </c>
      <c r="CY187">
        <v>17226</v>
      </c>
      <c r="DA187">
        <v>690</v>
      </c>
      <c r="DC187">
        <v>500</v>
      </c>
      <c r="DE187">
        <v>5</v>
      </c>
      <c r="DI187">
        <v>11653</v>
      </c>
      <c r="DK187">
        <v>40</v>
      </c>
      <c r="DL187">
        <v>10</v>
      </c>
      <c r="DM187">
        <v>270</v>
      </c>
      <c r="DO187">
        <v>65</v>
      </c>
      <c r="DQ187">
        <v>100</v>
      </c>
      <c r="DS187">
        <v>13673</v>
      </c>
      <c r="DU187">
        <v>65</v>
      </c>
      <c r="DW187">
        <v>500</v>
      </c>
      <c r="DX187">
        <v>25</v>
      </c>
      <c r="DY187">
        <v>63</v>
      </c>
      <c r="EC187">
        <v>8724</v>
      </c>
      <c r="EE187">
        <v>525</v>
      </c>
      <c r="EG187">
        <v>770</v>
      </c>
      <c r="EI187">
        <v>50</v>
      </c>
      <c r="EM187">
        <v>2425</v>
      </c>
      <c r="ES187">
        <v>440</v>
      </c>
      <c r="EW187">
        <v>650</v>
      </c>
      <c r="FG187">
        <v>300</v>
      </c>
      <c r="GM187">
        <f t="shared" si="3"/>
        <v>117599</v>
      </c>
    </row>
    <row r="188" spans="1:195" x14ac:dyDescent="0.25">
      <c r="A188" s="4">
        <f>DATE(2023,11,9)</f>
        <v>45239</v>
      </c>
      <c r="B188">
        <v>196481</v>
      </c>
      <c r="C188">
        <v>750</v>
      </c>
      <c r="M188">
        <v>500</v>
      </c>
      <c r="W188">
        <v>1350</v>
      </c>
      <c r="AG188">
        <v>950</v>
      </c>
      <c r="AQ188">
        <v>5000</v>
      </c>
      <c r="BA188">
        <v>6975</v>
      </c>
      <c r="BK188">
        <v>12700</v>
      </c>
      <c r="BU188">
        <v>5995</v>
      </c>
      <c r="CC188">
        <v>100</v>
      </c>
      <c r="CE188">
        <v>17895</v>
      </c>
      <c r="CO188">
        <v>5975</v>
      </c>
      <c r="CQ188">
        <v>440</v>
      </c>
      <c r="CS188">
        <v>200</v>
      </c>
      <c r="CY188">
        <v>16451</v>
      </c>
      <c r="DA188">
        <v>690</v>
      </c>
      <c r="DC188">
        <v>500</v>
      </c>
      <c r="DE188">
        <v>5</v>
      </c>
      <c r="DI188">
        <v>11553</v>
      </c>
      <c r="DK188">
        <v>40</v>
      </c>
      <c r="DL188">
        <v>10</v>
      </c>
      <c r="DM188">
        <v>270</v>
      </c>
      <c r="DO188">
        <v>65</v>
      </c>
      <c r="DQ188">
        <v>100</v>
      </c>
      <c r="DS188">
        <v>13673</v>
      </c>
      <c r="DU188">
        <v>65</v>
      </c>
      <c r="DW188">
        <v>500</v>
      </c>
      <c r="DX188">
        <v>25</v>
      </c>
      <c r="DY188">
        <v>63</v>
      </c>
      <c r="EC188">
        <v>8724</v>
      </c>
      <c r="EE188">
        <v>525</v>
      </c>
      <c r="EG188">
        <v>770</v>
      </c>
      <c r="EI188">
        <v>50</v>
      </c>
      <c r="EM188">
        <v>2425</v>
      </c>
      <c r="ES188">
        <v>440</v>
      </c>
      <c r="EW188">
        <v>650</v>
      </c>
      <c r="FG188">
        <v>300</v>
      </c>
      <c r="GM188">
        <f t="shared" si="3"/>
        <v>116724</v>
      </c>
    </row>
    <row r="189" spans="1:195" x14ac:dyDescent="0.25">
      <c r="A189" s="4">
        <f>DATE(2023,11,8)</f>
        <v>45238</v>
      </c>
      <c r="B189">
        <v>195412</v>
      </c>
      <c r="C189">
        <v>750</v>
      </c>
      <c r="M189">
        <v>500</v>
      </c>
      <c r="W189">
        <v>1350</v>
      </c>
      <c r="AG189">
        <v>950</v>
      </c>
      <c r="AQ189">
        <v>5000</v>
      </c>
      <c r="BA189">
        <v>6975</v>
      </c>
      <c r="BK189">
        <v>12700</v>
      </c>
      <c r="BU189">
        <v>5995</v>
      </c>
      <c r="CC189">
        <v>100</v>
      </c>
      <c r="CE189">
        <v>17870</v>
      </c>
      <c r="CO189">
        <v>5875</v>
      </c>
      <c r="CQ189">
        <v>440</v>
      </c>
      <c r="CS189">
        <v>200</v>
      </c>
      <c r="CY189">
        <v>16376</v>
      </c>
      <c r="DA189">
        <v>690</v>
      </c>
      <c r="DC189">
        <v>500</v>
      </c>
      <c r="DE189">
        <v>5</v>
      </c>
      <c r="DI189">
        <v>11878</v>
      </c>
      <c r="DK189">
        <v>40</v>
      </c>
      <c r="DM189">
        <v>270</v>
      </c>
      <c r="DO189">
        <v>65</v>
      </c>
      <c r="DQ189">
        <v>100</v>
      </c>
      <c r="DS189">
        <v>13673</v>
      </c>
      <c r="DU189">
        <v>65</v>
      </c>
      <c r="DW189">
        <v>500</v>
      </c>
      <c r="DX189">
        <v>25</v>
      </c>
      <c r="DY189">
        <v>63</v>
      </c>
      <c r="EC189">
        <v>8724</v>
      </c>
      <c r="EE189">
        <v>525</v>
      </c>
      <c r="EG189">
        <v>770</v>
      </c>
      <c r="EI189">
        <v>50</v>
      </c>
      <c r="EM189">
        <v>2425</v>
      </c>
      <c r="ES189">
        <v>440</v>
      </c>
      <c r="EW189">
        <v>650</v>
      </c>
      <c r="FG189">
        <v>300</v>
      </c>
      <c r="GM189">
        <f t="shared" si="3"/>
        <v>116839</v>
      </c>
    </row>
    <row r="190" spans="1:195" x14ac:dyDescent="0.25">
      <c r="A190" s="4">
        <f>DATE(2023,11,7)</f>
        <v>45237</v>
      </c>
      <c r="B190">
        <v>193413</v>
      </c>
      <c r="C190">
        <v>750</v>
      </c>
      <c r="M190">
        <v>500</v>
      </c>
      <c r="W190">
        <v>1350</v>
      </c>
      <c r="AG190">
        <v>950</v>
      </c>
      <c r="AQ190">
        <v>5000</v>
      </c>
      <c r="BA190">
        <v>6975</v>
      </c>
      <c r="BK190">
        <v>12700</v>
      </c>
      <c r="BU190">
        <v>5995</v>
      </c>
      <c r="CC190">
        <v>100</v>
      </c>
      <c r="CE190">
        <v>18095</v>
      </c>
      <c r="CO190">
        <v>5425</v>
      </c>
      <c r="CQ190">
        <v>440</v>
      </c>
      <c r="CS190">
        <v>200</v>
      </c>
      <c r="CY190">
        <v>16726</v>
      </c>
      <c r="DA190">
        <v>690</v>
      </c>
      <c r="DC190">
        <v>500</v>
      </c>
      <c r="DE190">
        <v>5</v>
      </c>
      <c r="DI190">
        <v>11878</v>
      </c>
      <c r="DK190">
        <v>40</v>
      </c>
      <c r="DM190">
        <v>270</v>
      </c>
      <c r="DO190">
        <v>65</v>
      </c>
      <c r="DQ190">
        <v>100</v>
      </c>
      <c r="DS190">
        <v>13673</v>
      </c>
      <c r="DU190">
        <v>65</v>
      </c>
      <c r="DW190">
        <v>500</v>
      </c>
      <c r="DX190">
        <v>25</v>
      </c>
      <c r="DY190">
        <v>63</v>
      </c>
      <c r="EC190">
        <v>8724</v>
      </c>
      <c r="EE190">
        <v>525</v>
      </c>
      <c r="EG190">
        <v>770</v>
      </c>
      <c r="EI190">
        <v>50</v>
      </c>
      <c r="EM190">
        <v>2425</v>
      </c>
      <c r="ES190">
        <v>440</v>
      </c>
      <c r="EW190">
        <v>650</v>
      </c>
      <c r="FG190">
        <v>300</v>
      </c>
      <c r="GM190">
        <f t="shared" si="3"/>
        <v>116964</v>
      </c>
    </row>
    <row r="191" spans="1:195" x14ac:dyDescent="0.25">
      <c r="A191" s="4">
        <f>DATE(2023,11,6)</f>
        <v>45236</v>
      </c>
      <c r="B191">
        <v>192109</v>
      </c>
      <c r="C191">
        <v>750</v>
      </c>
      <c r="M191">
        <v>500</v>
      </c>
      <c r="W191">
        <v>1350</v>
      </c>
      <c r="AG191">
        <v>950</v>
      </c>
      <c r="AQ191">
        <v>5000</v>
      </c>
      <c r="BA191">
        <v>6975</v>
      </c>
      <c r="BK191">
        <v>12700</v>
      </c>
      <c r="BU191">
        <v>5995</v>
      </c>
      <c r="CC191">
        <v>100</v>
      </c>
      <c r="CE191">
        <v>18430</v>
      </c>
      <c r="CO191">
        <v>6080</v>
      </c>
      <c r="CQ191">
        <v>440</v>
      </c>
      <c r="CS191">
        <v>200</v>
      </c>
      <c r="CY191">
        <v>17125</v>
      </c>
      <c r="DA191">
        <v>690</v>
      </c>
      <c r="DC191">
        <v>500</v>
      </c>
      <c r="DE191">
        <v>5</v>
      </c>
      <c r="DI191">
        <v>11653</v>
      </c>
      <c r="DK191">
        <v>40</v>
      </c>
      <c r="DM191">
        <v>270</v>
      </c>
      <c r="DO191">
        <v>65</v>
      </c>
      <c r="DQ191">
        <v>100</v>
      </c>
      <c r="DS191">
        <v>13673</v>
      </c>
      <c r="DU191">
        <v>65</v>
      </c>
      <c r="DW191">
        <v>500</v>
      </c>
      <c r="DX191">
        <v>25</v>
      </c>
      <c r="DY191">
        <v>63</v>
      </c>
      <c r="EC191">
        <v>8724</v>
      </c>
      <c r="EE191">
        <v>525</v>
      </c>
      <c r="EG191">
        <v>770</v>
      </c>
      <c r="EI191">
        <v>50</v>
      </c>
      <c r="EM191">
        <v>2425</v>
      </c>
      <c r="ES191">
        <v>440</v>
      </c>
      <c r="EW191">
        <v>650</v>
      </c>
      <c r="FG191">
        <v>300</v>
      </c>
      <c r="GM191">
        <f t="shared" si="3"/>
        <v>118128</v>
      </c>
    </row>
    <row r="192" spans="1:195" x14ac:dyDescent="0.25">
      <c r="A192" s="4">
        <f>DATE(2023,11,3)</f>
        <v>45233</v>
      </c>
      <c r="B192">
        <v>191973</v>
      </c>
      <c r="C192">
        <v>750</v>
      </c>
      <c r="M192">
        <v>500</v>
      </c>
      <c r="W192">
        <v>1350</v>
      </c>
      <c r="AG192">
        <v>950</v>
      </c>
      <c r="AQ192">
        <v>5000</v>
      </c>
      <c r="BA192">
        <v>6975</v>
      </c>
      <c r="BK192">
        <v>12700</v>
      </c>
      <c r="BU192">
        <v>5995</v>
      </c>
      <c r="CC192">
        <v>100</v>
      </c>
      <c r="CE192">
        <v>18680</v>
      </c>
      <c r="CO192">
        <v>6330</v>
      </c>
      <c r="CQ192">
        <v>440</v>
      </c>
      <c r="CS192">
        <v>200</v>
      </c>
      <c r="CY192">
        <v>17125</v>
      </c>
      <c r="DA192">
        <v>690</v>
      </c>
      <c r="DC192">
        <v>500</v>
      </c>
      <c r="DE192">
        <v>5</v>
      </c>
      <c r="DI192">
        <v>11878</v>
      </c>
      <c r="DK192">
        <v>40</v>
      </c>
      <c r="DM192">
        <v>270</v>
      </c>
      <c r="DO192">
        <v>65</v>
      </c>
      <c r="DQ192">
        <v>100</v>
      </c>
      <c r="DS192">
        <v>13973</v>
      </c>
      <c r="DU192">
        <v>65</v>
      </c>
      <c r="DW192">
        <v>500</v>
      </c>
      <c r="DX192">
        <v>25</v>
      </c>
      <c r="DY192">
        <v>63</v>
      </c>
      <c r="EC192">
        <v>8724</v>
      </c>
      <c r="EE192">
        <v>525</v>
      </c>
      <c r="EG192">
        <v>770</v>
      </c>
      <c r="EI192">
        <v>50</v>
      </c>
      <c r="EM192">
        <v>2425</v>
      </c>
      <c r="ES192">
        <v>440</v>
      </c>
      <c r="EW192">
        <v>650</v>
      </c>
      <c r="FG192">
        <v>300</v>
      </c>
      <c r="GM192">
        <f t="shared" si="3"/>
        <v>119153</v>
      </c>
    </row>
    <row r="193" spans="1:195" x14ac:dyDescent="0.25">
      <c r="A193" s="4">
        <f>DATE(2023,11,2)</f>
        <v>45232</v>
      </c>
      <c r="B193">
        <v>190363</v>
      </c>
      <c r="C193">
        <v>750</v>
      </c>
      <c r="M193">
        <v>500</v>
      </c>
      <c r="W193">
        <v>1350</v>
      </c>
      <c r="AG193">
        <v>950</v>
      </c>
      <c r="AQ193">
        <v>5000</v>
      </c>
      <c r="BA193">
        <v>6975</v>
      </c>
      <c r="BK193">
        <v>12700</v>
      </c>
      <c r="BU193">
        <v>5995</v>
      </c>
      <c r="CC193">
        <v>100</v>
      </c>
      <c r="CE193">
        <v>19155</v>
      </c>
      <c r="CO193">
        <v>6905</v>
      </c>
      <c r="CQ193">
        <v>440</v>
      </c>
      <c r="CS193">
        <v>200</v>
      </c>
      <c r="CY193">
        <v>17275</v>
      </c>
      <c r="DA193">
        <v>690</v>
      </c>
      <c r="DC193">
        <v>500</v>
      </c>
      <c r="DE193">
        <v>5</v>
      </c>
      <c r="DI193">
        <v>11753</v>
      </c>
      <c r="DK193">
        <v>40</v>
      </c>
      <c r="DM193">
        <v>270</v>
      </c>
      <c r="DO193">
        <v>65</v>
      </c>
      <c r="DQ193">
        <v>100</v>
      </c>
      <c r="DS193">
        <v>14023</v>
      </c>
      <c r="DU193">
        <v>65</v>
      </c>
      <c r="DW193">
        <v>500</v>
      </c>
      <c r="DX193">
        <v>25</v>
      </c>
      <c r="DY193">
        <v>63</v>
      </c>
      <c r="EC193">
        <v>8724</v>
      </c>
      <c r="EE193">
        <v>525</v>
      </c>
      <c r="EG193">
        <v>770</v>
      </c>
      <c r="EI193">
        <v>50</v>
      </c>
      <c r="EM193">
        <v>2425</v>
      </c>
      <c r="ES193">
        <v>440</v>
      </c>
      <c r="EW193">
        <v>650</v>
      </c>
      <c r="FG193">
        <v>300</v>
      </c>
      <c r="GM193">
        <f t="shared" si="3"/>
        <v>120278</v>
      </c>
    </row>
    <row r="194" spans="1:195" x14ac:dyDescent="0.25">
      <c r="A194" s="4">
        <f>DATE(2023,11,1)</f>
        <v>45231</v>
      </c>
      <c r="B194">
        <v>183545</v>
      </c>
      <c r="C194">
        <v>750</v>
      </c>
      <c r="M194">
        <v>500</v>
      </c>
      <c r="W194">
        <v>1350</v>
      </c>
      <c r="AG194">
        <v>950</v>
      </c>
      <c r="AQ194">
        <v>5000</v>
      </c>
      <c r="BA194">
        <v>6975</v>
      </c>
      <c r="BK194">
        <v>12700</v>
      </c>
      <c r="BU194">
        <v>5995</v>
      </c>
      <c r="CC194">
        <v>100</v>
      </c>
      <c r="CE194">
        <v>19305</v>
      </c>
      <c r="CO194">
        <v>6905</v>
      </c>
      <c r="CQ194">
        <v>440</v>
      </c>
      <c r="CS194">
        <v>200</v>
      </c>
      <c r="CY194">
        <v>17650</v>
      </c>
      <c r="DA194">
        <v>690</v>
      </c>
      <c r="DC194">
        <v>500</v>
      </c>
      <c r="DE194">
        <v>5</v>
      </c>
      <c r="DI194">
        <v>11853</v>
      </c>
      <c r="DK194">
        <v>40</v>
      </c>
      <c r="DM194">
        <v>270</v>
      </c>
      <c r="DO194">
        <v>65</v>
      </c>
      <c r="DQ194">
        <v>100</v>
      </c>
      <c r="DS194">
        <v>14448</v>
      </c>
      <c r="DU194">
        <v>65</v>
      </c>
      <c r="DW194">
        <v>500</v>
      </c>
      <c r="DX194">
        <v>25</v>
      </c>
      <c r="DY194">
        <v>63</v>
      </c>
      <c r="EC194">
        <v>8724</v>
      </c>
      <c r="EE194">
        <v>525</v>
      </c>
      <c r="EG194">
        <v>770</v>
      </c>
      <c r="EI194">
        <v>50</v>
      </c>
      <c r="EM194">
        <v>2425</v>
      </c>
      <c r="ES194">
        <v>440</v>
      </c>
      <c r="EW194">
        <v>650</v>
      </c>
      <c r="FG194">
        <v>300</v>
      </c>
      <c r="GM194">
        <f t="shared" si="3"/>
        <v>121328</v>
      </c>
    </row>
    <row r="195" spans="1:195" x14ac:dyDescent="0.25">
      <c r="A195" s="4">
        <f>DATE(2023,10,31)</f>
        <v>45230</v>
      </c>
      <c r="B195">
        <v>182432</v>
      </c>
      <c r="C195">
        <v>750</v>
      </c>
      <c r="M195">
        <v>500</v>
      </c>
      <c r="W195">
        <v>1350</v>
      </c>
      <c r="AG195">
        <v>950</v>
      </c>
      <c r="AQ195">
        <v>5000</v>
      </c>
      <c r="BA195">
        <v>6975</v>
      </c>
      <c r="BK195">
        <v>12700</v>
      </c>
      <c r="BU195">
        <v>5995</v>
      </c>
      <c r="CC195">
        <v>100</v>
      </c>
      <c r="CE195">
        <v>18870</v>
      </c>
      <c r="CO195">
        <v>6905</v>
      </c>
      <c r="CQ195">
        <v>440</v>
      </c>
      <c r="CS195">
        <v>200</v>
      </c>
      <c r="CY195">
        <v>17925</v>
      </c>
      <c r="DA195">
        <v>690</v>
      </c>
      <c r="DC195">
        <v>500</v>
      </c>
      <c r="DE195">
        <v>5</v>
      </c>
      <c r="DI195">
        <v>11853</v>
      </c>
      <c r="DK195">
        <v>40</v>
      </c>
      <c r="DM195">
        <v>270</v>
      </c>
      <c r="DO195">
        <v>65</v>
      </c>
      <c r="DQ195">
        <v>100</v>
      </c>
      <c r="DS195">
        <v>14698</v>
      </c>
      <c r="DU195">
        <v>65</v>
      </c>
      <c r="DW195">
        <v>500</v>
      </c>
      <c r="DX195">
        <v>25</v>
      </c>
      <c r="DY195">
        <v>63</v>
      </c>
      <c r="EC195">
        <v>8724</v>
      </c>
      <c r="EE195">
        <v>525</v>
      </c>
      <c r="EG195">
        <v>770</v>
      </c>
      <c r="EI195">
        <v>50</v>
      </c>
      <c r="EM195">
        <v>2425</v>
      </c>
      <c r="ES195">
        <v>440</v>
      </c>
      <c r="EW195">
        <v>650</v>
      </c>
      <c r="FG195">
        <v>300</v>
      </c>
      <c r="GM195">
        <f t="shared" si="3"/>
        <v>121418</v>
      </c>
    </row>
    <row r="196" spans="1:195" x14ac:dyDescent="0.25">
      <c r="A196" s="4">
        <f>DATE(2023,10,30)</f>
        <v>45229</v>
      </c>
      <c r="B196">
        <v>181377</v>
      </c>
      <c r="C196">
        <v>750</v>
      </c>
      <c r="M196">
        <v>500</v>
      </c>
      <c r="W196">
        <v>1350</v>
      </c>
      <c r="AG196">
        <v>950</v>
      </c>
      <c r="AQ196">
        <v>5000</v>
      </c>
      <c r="BA196">
        <v>6975</v>
      </c>
      <c r="BK196">
        <v>12700</v>
      </c>
      <c r="BU196">
        <v>5995</v>
      </c>
      <c r="CC196">
        <v>100</v>
      </c>
      <c r="CE196">
        <v>18770</v>
      </c>
      <c r="CO196">
        <v>6905</v>
      </c>
      <c r="CQ196">
        <v>440</v>
      </c>
      <c r="CS196">
        <v>200</v>
      </c>
      <c r="CY196">
        <v>18350</v>
      </c>
      <c r="DA196">
        <v>690</v>
      </c>
      <c r="DC196">
        <v>500</v>
      </c>
      <c r="DE196">
        <v>5</v>
      </c>
      <c r="DI196">
        <v>11953</v>
      </c>
      <c r="DK196">
        <v>40</v>
      </c>
      <c r="DM196">
        <v>270</v>
      </c>
      <c r="DO196">
        <v>65</v>
      </c>
      <c r="DQ196">
        <v>100</v>
      </c>
      <c r="DS196">
        <v>14948</v>
      </c>
      <c r="DU196">
        <v>65</v>
      </c>
      <c r="DW196">
        <v>500</v>
      </c>
      <c r="DX196">
        <v>25</v>
      </c>
      <c r="DY196">
        <v>63</v>
      </c>
      <c r="EC196">
        <v>8724</v>
      </c>
      <c r="EE196">
        <v>525</v>
      </c>
      <c r="EG196">
        <v>770</v>
      </c>
      <c r="EI196">
        <v>50</v>
      </c>
      <c r="EM196">
        <v>2425</v>
      </c>
      <c r="ES196">
        <v>440</v>
      </c>
      <c r="EW196">
        <v>650</v>
      </c>
      <c r="FG196">
        <v>300</v>
      </c>
      <c r="GM196">
        <f t="shared" si="3"/>
        <v>122093</v>
      </c>
    </row>
    <row r="197" spans="1:195" x14ac:dyDescent="0.25">
      <c r="A197" s="4">
        <f>DATE(2023,10,27)</f>
        <v>45226</v>
      </c>
      <c r="B197">
        <v>178666</v>
      </c>
      <c r="C197">
        <v>750</v>
      </c>
      <c r="M197">
        <v>500</v>
      </c>
      <c r="W197">
        <v>1350</v>
      </c>
      <c r="AG197">
        <v>950</v>
      </c>
      <c r="AQ197">
        <v>5000</v>
      </c>
      <c r="BA197">
        <v>6975</v>
      </c>
      <c r="BK197">
        <v>12700</v>
      </c>
      <c r="BU197">
        <v>5995</v>
      </c>
      <c r="CC197">
        <v>100</v>
      </c>
      <c r="CE197">
        <v>18870</v>
      </c>
      <c r="CO197">
        <v>6905</v>
      </c>
      <c r="CQ197">
        <v>440</v>
      </c>
      <c r="CS197">
        <v>200</v>
      </c>
      <c r="CY197">
        <v>18350</v>
      </c>
      <c r="DA197">
        <v>690</v>
      </c>
      <c r="DC197">
        <v>500</v>
      </c>
      <c r="DE197">
        <v>5</v>
      </c>
      <c r="DI197">
        <v>11953</v>
      </c>
      <c r="DK197">
        <v>40</v>
      </c>
      <c r="DM197">
        <v>270</v>
      </c>
      <c r="DO197">
        <v>65</v>
      </c>
      <c r="DQ197">
        <v>100</v>
      </c>
      <c r="DS197">
        <v>14948</v>
      </c>
      <c r="DU197">
        <v>65</v>
      </c>
      <c r="DW197">
        <v>500</v>
      </c>
      <c r="DX197">
        <v>25</v>
      </c>
      <c r="DY197">
        <v>63</v>
      </c>
      <c r="EC197">
        <v>8724</v>
      </c>
      <c r="EE197">
        <v>525</v>
      </c>
      <c r="EG197">
        <v>770</v>
      </c>
      <c r="EI197">
        <v>50</v>
      </c>
      <c r="EM197">
        <v>2425</v>
      </c>
      <c r="ES197">
        <v>440</v>
      </c>
      <c r="EW197">
        <v>650</v>
      </c>
      <c r="FG197">
        <v>300</v>
      </c>
      <c r="GM197">
        <f t="shared" si="3"/>
        <v>122193</v>
      </c>
    </row>
    <row r="198" spans="1:195" x14ac:dyDescent="0.25">
      <c r="A198" s="4">
        <f>DATE(2023,10,26)</f>
        <v>45225</v>
      </c>
      <c r="B198">
        <v>177231</v>
      </c>
      <c r="C198">
        <v>750</v>
      </c>
      <c r="M198">
        <v>500</v>
      </c>
      <c r="W198">
        <v>1350</v>
      </c>
      <c r="AG198">
        <v>950</v>
      </c>
      <c r="AQ198">
        <v>5000</v>
      </c>
      <c r="BA198">
        <v>6975</v>
      </c>
      <c r="BK198">
        <v>12700</v>
      </c>
      <c r="BU198">
        <v>5995</v>
      </c>
      <c r="CC198">
        <v>100</v>
      </c>
      <c r="CE198">
        <v>18870</v>
      </c>
      <c r="CO198">
        <v>6905</v>
      </c>
      <c r="CQ198">
        <v>440</v>
      </c>
      <c r="CS198">
        <v>200</v>
      </c>
      <c r="CY198">
        <v>18300</v>
      </c>
      <c r="DA198">
        <v>750</v>
      </c>
      <c r="DC198">
        <v>500</v>
      </c>
      <c r="DE198">
        <v>5</v>
      </c>
      <c r="DI198">
        <v>12003</v>
      </c>
      <c r="DK198">
        <v>40</v>
      </c>
      <c r="DM198">
        <v>270</v>
      </c>
      <c r="DO198">
        <v>65</v>
      </c>
      <c r="DQ198">
        <v>100</v>
      </c>
      <c r="DS198">
        <v>15098</v>
      </c>
      <c r="DU198">
        <v>65</v>
      </c>
      <c r="DW198">
        <v>500</v>
      </c>
      <c r="DX198">
        <v>25</v>
      </c>
      <c r="DY198">
        <v>63</v>
      </c>
      <c r="EC198">
        <v>8724</v>
      </c>
      <c r="EE198">
        <v>525</v>
      </c>
      <c r="EG198">
        <v>770</v>
      </c>
      <c r="EI198">
        <v>50</v>
      </c>
      <c r="EM198">
        <v>2425</v>
      </c>
      <c r="ES198">
        <v>250</v>
      </c>
      <c r="EW198">
        <v>650</v>
      </c>
      <c r="FG198">
        <v>300</v>
      </c>
      <c r="GM198">
        <f t="shared" si="3"/>
        <v>122213</v>
      </c>
    </row>
    <row r="199" spans="1:195" x14ac:dyDescent="0.25">
      <c r="A199" s="4">
        <f>DATE(2023,10,25)</f>
        <v>45224</v>
      </c>
      <c r="B199">
        <v>175766</v>
      </c>
      <c r="C199">
        <v>750</v>
      </c>
      <c r="M199">
        <v>500</v>
      </c>
      <c r="W199">
        <v>1350</v>
      </c>
      <c r="AG199">
        <v>950</v>
      </c>
      <c r="AQ199">
        <v>5000</v>
      </c>
      <c r="BA199">
        <v>6975</v>
      </c>
      <c r="BK199">
        <v>12700</v>
      </c>
      <c r="BU199">
        <v>5995</v>
      </c>
      <c r="CC199">
        <v>100</v>
      </c>
      <c r="CE199">
        <v>18870</v>
      </c>
      <c r="CO199">
        <v>6905</v>
      </c>
      <c r="CQ199">
        <v>440</v>
      </c>
      <c r="CS199">
        <v>200</v>
      </c>
      <c r="CY199">
        <v>18180</v>
      </c>
      <c r="DA199">
        <v>750</v>
      </c>
      <c r="DC199">
        <v>500</v>
      </c>
      <c r="DE199">
        <v>5</v>
      </c>
      <c r="DI199">
        <v>12003</v>
      </c>
      <c r="DK199">
        <v>40</v>
      </c>
      <c r="DM199">
        <v>270</v>
      </c>
      <c r="DO199">
        <v>65</v>
      </c>
      <c r="DQ199">
        <v>100</v>
      </c>
      <c r="DS199">
        <v>15098</v>
      </c>
      <c r="DU199">
        <v>65</v>
      </c>
      <c r="DW199">
        <v>500</v>
      </c>
      <c r="DX199">
        <v>25</v>
      </c>
      <c r="DY199">
        <v>63</v>
      </c>
      <c r="EC199">
        <v>8724</v>
      </c>
      <c r="EE199">
        <v>525</v>
      </c>
      <c r="EG199">
        <v>770</v>
      </c>
      <c r="EI199">
        <v>50</v>
      </c>
      <c r="EM199">
        <v>2425</v>
      </c>
      <c r="ES199">
        <v>250</v>
      </c>
      <c r="EW199">
        <v>650</v>
      </c>
      <c r="FG199">
        <v>300</v>
      </c>
      <c r="GM199">
        <f t="shared" si="3"/>
        <v>122093</v>
      </c>
    </row>
    <row r="200" spans="1:195" x14ac:dyDescent="0.25">
      <c r="A200" s="4">
        <f>DATE(2023,10,24)</f>
        <v>45223</v>
      </c>
      <c r="B200">
        <v>174304</v>
      </c>
      <c r="C200">
        <v>750</v>
      </c>
      <c r="M200">
        <v>500</v>
      </c>
      <c r="W200">
        <v>1350</v>
      </c>
      <c r="AG200">
        <v>950</v>
      </c>
      <c r="AQ200">
        <v>5000</v>
      </c>
      <c r="BA200">
        <v>6975</v>
      </c>
      <c r="BK200">
        <v>12700</v>
      </c>
      <c r="BU200">
        <v>5995</v>
      </c>
      <c r="CC200">
        <v>100</v>
      </c>
      <c r="CE200">
        <v>18870</v>
      </c>
      <c r="CO200">
        <v>6905</v>
      </c>
      <c r="CQ200">
        <v>440</v>
      </c>
      <c r="CS200">
        <v>200</v>
      </c>
      <c r="CY200">
        <v>18180</v>
      </c>
      <c r="DA200">
        <v>750</v>
      </c>
      <c r="DC200">
        <v>500</v>
      </c>
      <c r="DE200">
        <v>5</v>
      </c>
      <c r="DI200">
        <v>12053</v>
      </c>
      <c r="DK200">
        <v>40</v>
      </c>
      <c r="DM200">
        <v>270</v>
      </c>
      <c r="DO200">
        <v>65</v>
      </c>
      <c r="DQ200">
        <v>100</v>
      </c>
      <c r="DS200">
        <v>15098</v>
      </c>
      <c r="DU200">
        <v>65</v>
      </c>
      <c r="DW200">
        <v>500</v>
      </c>
      <c r="DX200">
        <v>25</v>
      </c>
      <c r="DY200">
        <v>63</v>
      </c>
      <c r="EC200">
        <v>8724</v>
      </c>
      <c r="EE200">
        <v>525</v>
      </c>
      <c r="EG200">
        <v>770</v>
      </c>
      <c r="EI200">
        <v>50</v>
      </c>
      <c r="EM200">
        <v>2425</v>
      </c>
      <c r="ES200">
        <v>250</v>
      </c>
      <c r="EW200">
        <v>650</v>
      </c>
      <c r="FG200">
        <v>300</v>
      </c>
      <c r="GM200">
        <f t="shared" ref="GM200:GM263" si="4">SUMPRODUCT(C200:GL200)</f>
        <v>122143</v>
      </c>
    </row>
    <row r="201" spans="1:195" x14ac:dyDescent="0.25">
      <c r="A201" s="4">
        <f>DATE(2023,10,23)</f>
        <v>45222</v>
      </c>
      <c r="B201">
        <v>173611</v>
      </c>
      <c r="C201">
        <v>750</v>
      </c>
      <c r="M201">
        <v>500</v>
      </c>
      <c r="W201">
        <v>1350</v>
      </c>
      <c r="AG201">
        <v>950</v>
      </c>
      <c r="AQ201">
        <v>5000</v>
      </c>
      <c r="BA201">
        <v>6975</v>
      </c>
      <c r="BK201">
        <v>12700</v>
      </c>
      <c r="BU201">
        <v>5995</v>
      </c>
      <c r="CC201">
        <v>100</v>
      </c>
      <c r="CE201">
        <v>18785</v>
      </c>
      <c r="CO201">
        <v>7405</v>
      </c>
      <c r="CQ201">
        <v>440</v>
      </c>
      <c r="CS201">
        <v>200</v>
      </c>
      <c r="CY201">
        <v>18430</v>
      </c>
      <c r="DA201">
        <v>750</v>
      </c>
      <c r="DC201">
        <v>500</v>
      </c>
      <c r="DE201">
        <v>5</v>
      </c>
      <c r="DI201">
        <v>11803</v>
      </c>
      <c r="DK201">
        <v>40</v>
      </c>
      <c r="DM201">
        <v>270</v>
      </c>
      <c r="DO201">
        <v>65</v>
      </c>
      <c r="DQ201">
        <v>100</v>
      </c>
      <c r="DS201">
        <v>15348</v>
      </c>
      <c r="DU201">
        <v>65</v>
      </c>
      <c r="DW201">
        <v>500</v>
      </c>
      <c r="DX201">
        <v>25</v>
      </c>
      <c r="DY201">
        <v>63</v>
      </c>
      <c r="EC201">
        <v>8724</v>
      </c>
      <c r="EE201">
        <v>525</v>
      </c>
      <c r="EG201">
        <v>770</v>
      </c>
      <c r="EI201">
        <v>50</v>
      </c>
      <c r="EM201">
        <v>2425</v>
      </c>
      <c r="ES201">
        <v>250</v>
      </c>
      <c r="EW201">
        <v>650</v>
      </c>
      <c r="FG201">
        <v>300</v>
      </c>
      <c r="GM201">
        <f t="shared" si="4"/>
        <v>122808</v>
      </c>
    </row>
    <row r="202" spans="1:195" x14ac:dyDescent="0.25">
      <c r="A202" s="4">
        <f>DATE(2023,10,20)</f>
        <v>45219</v>
      </c>
      <c r="B202">
        <v>172932</v>
      </c>
      <c r="C202">
        <v>750</v>
      </c>
      <c r="M202">
        <v>500</v>
      </c>
      <c r="W202">
        <v>1350</v>
      </c>
      <c r="AG202">
        <v>950</v>
      </c>
      <c r="AQ202">
        <v>5000</v>
      </c>
      <c r="BA202">
        <v>6975</v>
      </c>
      <c r="BK202">
        <v>12700</v>
      </c>
      <c r="BU202">
        <v>5995</v>
      </c>
      <c r="CC202">
        <v>100</v>
      </c>
      <c r="CE202">
        <v>19035</v>
      </c>
      <c r="CO202">
        <v>7405</v>
      </c>
      <c r="CQ202">
        <v>440</v>
      </c>
      <c r="CS202">
        <v>200</v>
      </c>
      <c r="CY202">
        <v>18530</v>
      </c>
      <c r="DA202">
        <v>750</v>
      </c>
      <c r="DC202">
        <v>500</v>
      </c>
      <c r="DE202">
        <v>5</v>
      </c>
      <c r="DI202">
        <v>11903</v>
      </c>
      <c r="DK202">
        <v>40</v>
      </c>
      <c r="DM202">
        <v>270</v>
      </c>
      <c r="DO202">
        <v>65</v>
      </c>
      <c r="DQ202">
        <v>100</v>
      </c>
      <c r="DS202">
        <v>15348</v>
      </c>
      <c r="DU202">
        <v>65</v>
      </c>
      <c r="DW202">
        <v>500</v>
      </c>
      <c r="DX202">
        <v>25</v>
      </c>
      <c r="DY202">
        <v>63</v>
      </c>
      <c r="EC202">
        <v>8724</v>
      </c>
      <c r="EE202">
        <v>525</v>
      </c>
      <c r="EG202">
        <v>770</v>
      </c>
      <c r="EI202">
        <v>50</v>
      </c>
      <c r="EM202">
        <v>2425</v>
      </c>
      <c r="ES202">
        <v>250</v>
      </c>
      <c r="EW202">
        <v>650</v>
      </c>
      <c r="FG202">
        <v>300</v>
      </c>
      <c r="GM202">
        <f t="shared" si="4"/>
        <v>123258</v>
      </c>
    </row>
    <row r="203" spans="1:195" x14ac:dyDescent="0.25">
      <c r="A203" s="4">
        <f>DATE(2023,10,19)</f>
        <v>45218</v>
      </c>
      <c r="B203">
        <v>172430</v>
      </c>
      <c r="C203">
        <v>750</v>
      </c>
      <c r="M203">
        <v>500</v>
      </c>
      <c r="W203">
        <v>1350</v>
      </c>
      <c r="AG203">
        <v>950</v>
      </c>
      <c r="AQ203">
        <v>5000</v>
      </c>
      <c r="BA203">
        <v>6975</v>
      </c>
      <c r="BK203">
        <v>12700</v>
      </c>
      <c r="BU203">
        <v>5995</v>
      </c>
      <c r="CC203">
        <v>100</v>
      </c>
      <c r="CE203">
        <v>19035</v>
      </c>
      <c r="CO203">
        <v>7405</v>
      </c>
      <c r="CQ203">
        <v>440</v>
      </c>
      <c r="CS203">
        <v>200</v>
      </c>
      <c r="CY203">
        <v>18530</v>
      </c>
      <c r="DA203">
        <v>750</v>
      </c>
      <c r="DC203">
        <v>500</v>
      </c>
      <c r="DE203">
        <v>5</v>
      </c>
      <c r="DI203">
        <v>11903</v>
      </c>
      <c r="DK203">
        <v>40</v>
      </c>
      <c r="DM203">
        <v>270</v>
      </c>
      <c r="DO203">
        <v>65</v>
      </c>
      <c r="DQ203">
        <v>100</v>
      </c>
      <c r="DS203">
        <v>15348</v>
      </c>
      <c r="DU203">
        <v>65</v>
      </c>
      <c r="DW203">
        <v>500</v>
      </c>
      <c r="DX203">
        <v>25</v>
      </c>
      <c r="DY203">
        <v>63</v>
      </c>
      <c r="EC203">
        <v>8724</v>
      </c>
      <c r="EE203">
        <v>525</v>
      </c>
      <c r="EG203">
        <v>770</v>
      </c>
      <c r="EI203">
        <v>50</v>
      </c>
      <c r="EM203">
        <v>2450</v>
      </c>
      <c r="ES203">
        <v>250</v>
      </c>
      <c r="EW203">
        <v>650</v>
      </c>
      <c r="FG203">
        <v>300</v>
      </c>
      <c r="GM203">
        <f t="shared" si="4"/>
        <v>123283</v>
      </c>
    </row>
    <row r="204" spans="1:195" x14ac:dyDescent="0.25">
      <c r="A204" s="4">
        <f>DATE(2023,10,18)</f>
        <v>45217</v>
      </c>
      <c r="B204">
        <v>172351</v>
      </c>
      <c r="C204">
        <v>750</v>
      </c>
      <c r="M204">
        <v>500</v>
      </c>
      <c r="W204">
        <v>1350</v>
      </c>
      <c r="AG204">
        <v>950</v>
      </c>
      <c r="AQ204">
        <v>5000</v>
      </c>
      <c r="BA204">
        <v>6975</v>
      </c>
      <c r="BK204">
        <v>11400</v>
      </c>
      <c r="BU204">
        <v>5995</v>
      </c>
      <c r="CC204">
        <v>100</v>
      </c>
      <c r="CE204">
        <v>19035</v>
      </c>
      <c r="CO204">
        <v>7405</v>
      </c>
      <c r="CQ204">
        <v>440</v>
      </c>
      <c r="CS204">
        <v>200</v>
      </c>
      <c r="CY204">
        <v>18730</v>
      </c>
      <c r="DA204">
        <v>750</v>
      </c>
      <c r="DC204">
        <v>500</v>
      </c>
      <c r="DE204">
        <v>5</v>
      </c>
      <c r="DI204">
        <v>11903</v>
      </c>
      <c r="DK204">
        <v>40</v>
      </c>
      <c r="DM204">
        <v>270</v>
      </c>
      <c r="DO204">
        <v>65</v>
      </c>
      <c r="DQ204">
        <v>100</v>
      </c>
      <c r="DS204">
        <v>14873</v>
      </c>
      <c r="DU204">
        <v>65</v>
      </c>
      <c r="DW204">
        <v>500</v>
      </c>
      <c r="DX204">
        <v>25</v>
      </c>
      <c r="DY204">
        <v>63</v>
      </c>
      <c r="EC204">
        <v>7999</v>
      </c>
      <c r="EE204">
        <v>525</v>
      </c>
      <c r="EG204">
        <v>770</v>
      </c>
      <c r="EI204">
        <v>50</v>
      </c>
      <c r="EM204">
        <v>2450</v>
      </c>
      <c r="ES204">
        <v>250</v>
      </c>
      <c r="EW204">
        <v>650</v>
      </c>
      <c r="FG204">
        <v>300</v>
      </c>
      <c r="GM204">
        <f t="shared" si="4"/>
        <v>120983</v>
      </c>
    </row>
    <row r="205" spans="1:195" x14ac:dyDescent="0.25">
      <c r="A205" s="4">
        <f>DATE(2023,10,17)</f>
        <v>45216</v>
      </c>
      <c r="B205">
        <v>171924</v>
      </c>
      <c r="C205">
        <v>750</v>
      </c>
      <c r="M205">
        <v>500</v>
      </c>
      <c r="W205">
        <v>1350</v>
      </c>
      <c r="AG205">
        <v>950</v>
      </c>
      <c r="AQ205">
        <v>5000</v>
      </c>
      <c r="BA205">
        <v>6975</v>
      </c>
      <c r="BK205">
        <v>11400</v>
      </c>
      <c r="BU205">
        <v>5995</v>
      </c>
      <c r="CC205">
        <v>100</v>
      </c>
      <c r="CE205">
        <v>19035</v>
      </c>
      <c r="CO205">
        <v>7405</v>
      </c>
      <c r="CQ205">
        <v>440</v>
      </c>
      <c r="CS205">
        <v>200</v>
      </c>
      <c r="CY205">
        <v>18755</v>
      </c>
      <c r="DA205">
        <v>750</v>
      </c>
      <c r="DC205">
        <v>500</v>
      </c>
      <c r="DE205">
        <v>5</v>
      </c>
      <c r="DI205">
        <v>11903</v>
      </c>
      <c r="DK205">
        <v>40</v>
      </c>
      <c r="DM205">
        <v>270</v>
      </c>
      <c r="DO205">
        <v>65</v>
      </c>
      <c r="DQ205">
        <v>100</v>
      </c>
      <c r="DS205">
        <v>14423</v>
      </c>
      <c r="DU205">
        <v>65</v>
      </c>
      <c r="DW205">
        <v>500</v>
      </c>
      <c r="DX205">
        <v>25</v>
      </c>
      <c r="DY205">
        <v>63</v>
      </c>
      <c r="EC205">
        <v>7999</v>
      </c>
      <c r="EE205">
        <v>525</v>
      </c>
      <c r="EG205">
        <v>770</v>
      </c>
      <c r="EI205">
        <v>50</v>
      </c>
      <c r="EM205">
        <v>2450</v>
      </c>
      <c r="ES205">
        <v>250</v>
      </c>
      <c r="EW205">
        <v>650</v>
      </c>
      <c r="FG205">
        <v>300</v>
      </c>
      <c r="GM205">
        <f t="shared" si="4"/>
        <v>120558</v>
      </c>
    </row>
    <row r="206" spans="1:195" x14ac:dyDescent="0.25">
      <c r="A206" s="4">
        <f>DATE(2023,10,16)</f>
        <v>45215</v>
      </c>
      <c r="B206">
        <v>171339</v>
      </c>
      <c r="C206">
        <v>750</v>
      </c>
      <c r="M206">
        <v>500</v>
      </c>
      <c r="W206">
        <v>1350</v>
      </c>
      <c r="AG206">
        <v>950</v>
      </c>
      <c r="AQ206">
        <v>5000</v>
      </c>
      <c r="BA206">
        <v>6975</v>
      </c>
      <c r="BK206">
        <v>11400</v>
      </c>
      <c r="BU206">
        <v>5995</v>
      </c>
      <c r="CC206">
        <v>100</v>
      </c>
      <c r="CE206">
        <v>19035</v>
      </c>
      <c r="CO206">
        <v>7405</v>
      </c>
      <c r="CQ206">
        <v>440</v>
      </c>
      <c r="CS206">
        <v>200</v>
      </c>
      <c r="CY206">
        <v>18555</v>
      </c>
      <c r="DA206">
        <v>750</v>
      </c>
      <c r="DC206">
        <v>500</v>
      </c>
      <c r="DE206">
        <v>5</v>
      </c>
      <c r="DI206">
        <v>11703</v>
      </c>
      <c r="DK206">
        <v>40</v>
      </c>
      <c r="DM206">
        <v>270</v>
      </c>
      <c r="DO206">
        <v>65</v>
      </c>
      <c r="DQ206">
        <v>100</v>
      </c>
      <c r="DS206">
        <v>14923</v>
      </c>
      <c r="DU206">
        <v>65</v>
      </c>
      <c r="DW206">
        <v>500</v>
      </c>
      <c r="DX206">
        <v>25</v>
      </c>
      <c r="DY206">
        <v>63</v>
      </c>
      <c r="EC206">
        <v>7999</v>
      </c>
      <c r="EE206">
        <v>525</v>
      </c>
      <c r="EG206">
        <v>770</v>
      </c>
      <c r="EI206">
        <v>50</v>
      </c>
      <c r="EM206">
        <v>2450</v>
      </c>
      <c r="ES206">
        <v>250</v>
      </c>
      <c r="EW206">
        <v>650</v>
      </c>
      <c r="FG206">
        <v>300</v>
      </c>
      <c r="GM206">
        <f t="shared" si="4"/>
        <v>120658</v>
      </c>
    </row>
    <row r="207" spans="1:195" x14ac:dyDescent="0.25">
      <c r="A207" s="4">
        <f>DATE(2023,10,13)</f>
        <v>45212</v>
      </c>
      <c r="B207">
        <v>171202</v>
      </c>
      <c r="C207">
        <v>750</v>
      </c>
      <c r="M207">
        <v>500</v>
      </c>
      <c r="W207">
        <v>1350</v>
      </c>
      <c r="AG207">
        <v>950</v>
      </c>
      <c r="AQ207">
        <v>5000</v>
      </c>
      <c r="BA207">
        <v>6975</v>
      </c>
      <c r="BK207">
        <v>11400</v>
      </c>
      <c r="BU207">
        <v>5995</v>
      </c>
      <c r="CC207">
        <v>100</v>
      </c>
      <c r="CE207">
        <v>19135</v>
      </c>
      <c r="CO207">
        <v>7205</v>
      </c>
      <c r="CQ207">
        <v>440</v>
      </c>
      <c r="CS207">
        <v>200</v>
      </c>
      <c r="CY207">
        <v>18655</v>
      </c>
      <c r="DA207">
        <v>750</v>
      </c>
      <c r="DC207">
        <v>500</v>
      </c>
      <c r="DE207">
        <v>5</v>
      </c>
      <c r="DI207">
        <v>11453</v>
      </c>
      <c r="DK207">
        <v>40</v>
      </c>
      <c r="DM207">
        <v>270</v>
      </c>
      <c r="DO207">
        <v>65</v>
      </c>
      <c r="DQ207">
        <v>100</v>
      </c>
      <c r="DS207">
        <v>15013</v>
      </c>
      <c r="DU207">
        <v>65</v>
      </c>
      <c r="DW207">
        <v>500</v>
      </c>
      <c r="DX207">
        <v>25</v>
      </c>
      <c r="DY207">
        <v>63</v>
      </c>
      <c r="EC207">
        <v>7399</v>
      </c>
      <c r="EE207">
        <v>525</v>
      </c>
      <c r="EG207">
        <v>770</v>
      </c>
      <c r="EI207">
        <v>50</v>
      </c>
      <c r="EM207">
        <v>2450</v>
      </c>
      <c r="ES207">
        <v>250</v>
      </c>
      <c r="EW207">
        <v>650</v>
      </c>
      <c r="FG207">
        <v>300</v>
      </c>
      <c r="GM207">
        <f t="shared" si="4"/>
        <v>119898</v>
      </c>
    </row>
    <row r="208" spans="1:195" x14ac:dyDescent="0.25">
      <c r="A208" s="4">
        <f>DATE(2023,10,12)</f>
        <v>45211</v>
      </c>
      <c r="B208">
        <v>170978</v>
      </c>
      <c r="C208">
        <v>750</v>
      </c>
      <c r="M208">
        <v>500</v>
      </c>
      <c r="W208">
        <v>1350</v>
      </c>
      <c r="AG208">
        <v>950</v>
      </c>
      <c r="AQ208">
        <v>5000</v>
      </c>
      <c r="BA208">
        <v>6975</v>
      </c>
      <c r="BK208">
        <v>11400</v>
      </c>
      <c r="BU208">
        <v>5995</v>
      </c>
      <c r="CC208">
        <v>100</v>
      </c>
      <c r="CE208">
        <v>19135</v>
      </c>
      <c r="CO208">
        <v>7105</v>
      </c>
      <c r="CQ208">
        <v>440</v>
      </c>
      <c r="CS208">
        <v>200</v>
      </c>
      <c r="CY208">
        <v>18805</v>
      </c>
      <c r="DA208">
        <v>750</v>
      </c>
      <c r="DC208">
        <v>500</v>
      </c>
      <c r="DE208">
        <v>5</v>
      </c>
      <c r="DI208">
        <v>11603</v>
      </c>
      <c r="DK208">
        <v>40</v>
      </c>
      <c r="DM208">
        <v>270</v>
      </c>
      <c r="DO208">
        <v>65</v>
      </c>
      <c r="DQ208">
        <v>100</v>
      </c>
      <c r="DS208">
        <v>14963</v>
      </c>
      <c r="DU208">
        <v>65</v>
      </c>
      <c r="DW208">
        <v>500</v>
      </c>
      <c r="DX208">
        <v>25</v>
      </c>
      <c r="DY208">
        <v>63</v>
      </c>
      <c r="EC208">
        <v>7399</v>
      </c>
      <c r="EE208">
        <v>525</v>
      </c>
      <c r="EG208">
        <v>770</v>
      </c>
      <c r="EI208">
        <v>50</v>
      </c>
      <c r="EM208">
        <v>2450</v>
      </c>
      <c r="ES208">
        <v>250</v>
      </c>
      <c r="EW208">
        <v>650</v>
      </c>
      <c r="FG208">
        <v>300</v>
      </c>
      <c r="GM208">
        <f t="shared" si="4"/>
        <v>120048</v>
      </c>
    </row>
    <row r="209" spans="1:195" x14ac:dyDescent="0.25">
      <c r="A209" s="4">
        <f>DATE(2023,10,11)</f>
        <v>45210</v>
      </c>
      <c r="B209">
        <v>170511</v>
      </c>
      <c r="C209">
        <v>750</v>
      </c>
      <c r="M209">
        <v>500</v>
      </c>
      <c r="W209">
        <v>1350</v>
      </c>
      <c r="AG209">
        <v>950</v>
      </c>
      <c r="AQ209">
        <v>5000</v>
      </c>
      <c r="BA209">
        <v>6975</v>
      </c>
      <c r="BK209">
        <v>11400</v>
      </c>
      <c r="BU209">
        <v>5995</v>
      </c>
      <c r="CC209">
        <v>100</v>
      </c>
      <c r="CE209">
        <v>19135</v>
      </c>
      <c r="CO209">
        <v>7105</v>
      </c>
      <c r="CQ209">
        <v>440</v>
      </c>
      <c r="CS209">
        <v>200</v>
      </c>
      <c r="CY209">
        <v>18905</v>
      </c>
      <c r="DA209">
        <v>750</v>
      </c>
      <c r="DC209">
        <v>500</v>
      </c>
      <c r="DE209">
        <v>5</v>
      </c>
      <c r="DI209">
        <v>10964</v>
      </c>
      <c r="DK209">
        <v>40</v>
      </c>
      <c r="DM209">
        <v>270</v>
      </c>
      <c r="DO209">
        <v>65</v>
      </c>
      <c r="DQ209">
        <v>100</v>
      </c>
      <c r="DS209">
        <v>14963</v>
      </c>
      <c r="DU209">
        <v>65</v>
      </c>
      <c r="DW209">
        <v>500</v>
      </c>
      <c r="DX209">
        <v>25</v>
      </c>
      <c r="DY209">
        <v>63</v>
      </c>
      <c r="EC209">
        <v>7399</v>
      </c>
      <c r="EE209">
        <v>525</v>
      </c>
      <c r="EG209">
        <v>770</v>
      </c>
      <c r="EI209">
        <v>50</v>
      </c>
      <c r="EM209">
        <v>2450</v>
      </c>
      <c r="ES209">
        <v>250</v>
      </c>
      <c r="EW209">
        <v>650</v>
      </c>
      <c r="FG209">
        <v>300</v>
      </c>
      <c r="GM209">
        <f t="shared" si="4"/>
        <v>119509</v>
      </c>
    </row>
    <row r="210" spans="1:195" x14ac:dyDescent="0.25">
      <c r="A210" s="4">
        <f>DATE(2023,10,10)</f>
        <v>45209</v>
      </c>
      <c r="B210">
        <v>169980</v>
      </c>
      <c r="C210">
        <v>750</v>
      </c>
      <c r="M210">
        <v>500</v>
      </c>
      <c r="W210">
        <v>1350</v>
      </c>
      <c r="AG210">
        <v>950</v>
      </c>
      <c r="AQ210">
        <v>5000</v>
      </c>
      <c r="BA210">
        <v>6975</v>
      </c>
      <c r="BK210">
        <v>11300</v>
      </c>
      <c r="BU210">
        <v>5995</v>
      </c>
      <c r="CC210">
        <v>100</v>
      </c>
      <c r="CE210">
        <v>19285</v>
      </c>
      <c r="CO210">
        <v>7105</v>
      </c>
      <c r="CQ210">
        <v>440</v>
      </c>
      <c r="CS210">
        <v>200</v>
      </c>
      <c r="CY210">
        <v>19255</v>
      </c>
      <c r="DA210">
        <v>750</v>
      </c>
      <c r="DC210">
        <v>500</v>
      </c>
      <c r="DE210">
        <v>5</v>
      </c>
      <c r="DI210">
        <v>11464</v>
      </c>
      <c r="DK210">
        <v>40</v>
      </c>
      <c r="DM210">
        <v>270</v>
      </c>
      <c r="DO210">
        <v>65</v>
      </c>
      <c r="DQ210">
        <v>100</v>
      </c>
      <c r="DS210">
        <v>14713</v>
      </c>
      <c r="DU210">
        <v>65</v>
      </c>
      <c r="DW210">
        <v>500</v>
      </c>
      <c r="DX210">
        <v>25</v>
      </c>
      <c r="DY210">
        <v>63</v>
      </c>
      <c r="EC210">
        <v>7499</v>
      </c>
      <c r="EE210">
        <v>525</v>
      </c>
      <c r="EG210">
        <v>770</v>
      </c>
      <c r="EI210">
        <v>50</v>
      </c>
      <c r="EM210">
        <v>2450</v>
      </c>
      <c r="ES210">
        <v>250</v>
      </c>
      <c r="EW210">
        <v>650</v>
      </c>
      <c r="FG210">
        <v>300</v>
      </c>
      <c r="GM210">
        <f t="shared" si="4"/>
        <v>120259</v>
      </c>
    </row>
    <row r="211" spans="1:195" x14ac:dyDescent="0.25">
      <c r="A211" s="4">
        <f>DATE(2023,10,9)</f>
        <v>45208</v>
      </c>
      <c r="B211">
        <v>169139</v>
      </c>
      <c r="C211">
        <v>750</v>
      </c>
      <c r="M211">
        <v>500</v>
      </c>
      <c r="W211">
        <v>1350</v>
      </c>
      <c r="AG211">
        <v>950</v>
      </c>
      <c r="AQ211">
        <v>5000</v>
      </c>
      <c r="BA211">
        <v>6975</v>
      </c>
      <c r="BK211">
        <v>11300</v>
      </c>
      <c r="BU211">
        <v>5995</v>
      </c>
      <c r="CC211">
        <v>100</v>
      </c>
      <c r="CE211">
        <v>19285</v>
      </c>
      <c r="CO211">
        <v>7105</v>
      </c>
      <c r="CQ211">
        <v>440</v>
      </c>
      <c r="CS211">
        <v>200</v>
      </c>
      <c r="CY211">
        <v>19255</v>
      </c>
      <c r="DA211">
        <v>750</v>
      </c>
      <c r="DC211">
        <v>500</v>
      </c>
      <c r="DE211">
        <v>5</v>
      </c>
      <c r="DI211">
        <v>11464</v>
      </c>
      <c r="DK211">
        <v>40</v>
      </c>
      <c r="DM211">
        <v>270</v>
      </c>
      <c r="DO211">
        <v>65</v>
      </c>
      <c r="DQ211">
        <v>100</v>
      </c>
      <c r="DS211">
        <v>14563</v>
      </c>
      <c r="DU211">
        <v>65</v>
      </c>
      <c r="DW211">
        <v>500</v>
      </c>
      <c r="DX211">
        <v>25</v>
      </c>
      <c r="DY211">
        <v>63</v>
      </c>
      <c r="EC211">
        <v>7499</v>
      </c>
      <c r="EE211">
        <v>525</v>
      </c>
      <c r="EG211">
        <v>770</v>
      </c>
      <c r="EI211">
        <v>50</v>
      </c>
      <c r="EM211">
        <v>2450</v>
      </c>
      <c r="ES211">
        <v>250</v>
      </c>
      <c r="EW211">
        <v>650</v>
      </c>
      <c r="FG211">
        <v>300</v>
      </c>
      <c r="GM211">
        <f t="shared" si="4"/>
        <v>120109</v>
      </c>
    </row>
    <row r="212" spans="1:195" x14ac:dyDescent="0.25">
      <c r="A212" s="4">
        <f>DATE(2023,10,6)</f>
        <v>45205</v>
      </c>
      <c r="B212">
        <v>168284</v>
      </c>
      <c r="C212">
        <v>750</v>
      </c>
      <c r="M212">
        <v>500</v>
      </c>
      <c r="W212">
        <v>1350</v>
      </c>
      <c r="AG212">
        <v>950</v>
      </c>
      <c r="AQ212">
        <v>5000</v>
      </c>
      <c r="BA212">
        <v>6975</v>
      </c>
      <c r="BK212">
        <v>11300</v>
      </c>
      <c r="BU212">
        <v>5995</v>
      </c>
      <c r="CC212">
        <v>100</v>
      </c>
      <c r="CE212">
        <v>19285</v>
      </c>
      <c r="CO212">
        <v>7105</v>
      </c>
      <c r="CQ212">
        <v>440</v>
      </c>
      <c r="CS212">
        <v>200</v>
      </c>
      <c r="CY212">
        <v>19105</v>
      </c>
      <c r="DA212">
        <v>750</v>
      </c>
      <c r="DC212">
        <v>500</v>
      </c>
      <c r="DE212">
        <v>5</v>
      </c>
      <c r="DI212">
        <v>11214</v>
      </c>
      <c r="DK212">
        <v>40</v>
      </c>
      <c r="DM212">
        <v>270</v>
      </c>
      <c r="DO212">
        <v>65</v>
      </c>
      <c r="DQ212">
        <v>100</v>
      </c>
      <c r="DS212">
        <v>14613</v>
      </c>
      <c r="DU212">
        <v>65</v>
      </c>
      <c r="DW212">
        <v>500</v>
      </c>
      <c r="DX212">
        <v>25</v>
      </c>
      <c r="DY212">
        <v>63</v>
      </c>
      <c r="EC212">
        <v>7499</v>
      </c>
      <c r="EE212">
        <v>525</v>
      </c>
      <c r="EG212">
        <v>770</v>
      </c>
      <c r="EI212">
        <v>50</v>
      </c>
      <c r="EM212">
        <v>2450</v>
      </c>
      <c r="ES212">
        <v>250</v>
      </c>
      <c r="EW212">
        <v>650</v>
      </c>
      <c r="FG212">
        <v>300</v>
      </c>
      <c r="GM212">
        <f t="shared" si="4"/>
        <v>119759</v>
      </c>
    </row>
    <row r="213" spans="1:195" x14ac:dyDescent="0.25">
      <c r="A213" s="4">
        <f>DATE(2023,10,5)</f>
        <v>45204</v>
      </c>
      <c r="B213">
        <v>167196</v>
      </c>
      <c r="C213">
        <v>750</v>
      </c>
      <c r="M213">
        <v>500</v>
      </c>
      <c r="W213">
        <v>1350</v>
      </c>
      <c r="AG213">
        <v>950</v>
      </c>
      <c r="AQ213">
        <v>5000</v>
      </c>
      <c r="BA213">
        <v>6975</v>
      </c>
      <c r="BK213">
        <v>11300</v>
      </c>
      <c r="BU213">
        <v>5995</v>
      </c>
      <c r="CC213">
        <v>100</v>
      </c>
      <c r="CE213">
        <v>19285</v>
      </c>
      <c r="CO213">
        <v>6900</v>
      </c>
      <c r="CQ213">
        <v>440</v>
      </c>
      <c r="CS213">
        <v>200</v>
      </c>
      <c r="CY213">
        <v>19355</v>
      </c>
      <c r="DA213">
        <v>750</v>
      </c>
      <c r="DC213">
        <v>500</v>
      </c>
      <c r="DE213">
        <v>5</v>
      </c>
      <c r="DI213">
        <v>11214</v>
      </c>
      <c r="DK213">
        <v>40</v>
      </c>
      <c r="DM213">
        <v>270</v>
      </c>
      <c r="DO213">
        <v>65</v>
      </c>
      <c r="DQ213">
        <v>100</v>
      </c>
      <c r="DS213">
        <v>14323</v>
      </c>
      <c r="DU213">
        <v>65</v>
      </c>
      <c r="DW213">
        <v>500</v>
      </c>
      <c r="DX213">
        <v>25</v>
      </c>
      <c r="DY213">
        <v>63</v>
      </c>
      <c r="EC213">
        <v>7499</v>
      </c>
      <c r="EE213">
        <v>525</v>
      </c>
      <c r="EG213">
        <v>770</v>
      </c>
      <c r="EI213">
        <v>50</v>
      </c>
      <c r="EM213">
        <v>2450</v>
      </c>
      <c r="ES213">
        <v>250</v>
      </c>
      <c r="EW213">
        <v>650</v>
      </c>
      <c r="FG213">
        <v>300</v>
      </c>
      <c r="GM213">
        <f t="shared" si="4"/>
        <v>119514</v>
      </c>
    </row>
    <row r="214" spans="1:195" x14ac:dyDescent="0.25">
      <c r="A214" s="4">
        <f>DATE(2023,10,4)</f>
        <v>45203</v>
      </c>
      <c r="B214">
        <v>167423</v>
      </c>
      <c r="C214">
        <v>750</v>
      </c>
      <c r="M214">
        <v>500</v>
      </c>
      <c r="W214">
        <v>1350</v>
      </c>
      <c r="AG214">
        <v>950</v>
      </c>
      <c r="AQ214">
        <v>5000</v>
      </c>
      <c r="BA214">
        <v>6975</v>
      </c>
      <c r="BK214">
        <v>11300</v>
      </c>
      <c r="BU214">
        <v>5995</v>
      </c>
      <c r="CC214">
        <v>100</v>
      </c>
      <c r="CE214">
        <v>19285</v>
      </c>
      <c r="CO214">
        <v>6900</v>
      </c>
      <c r="CQ214">
        <v>440</v>
      </c>
      <c r="CS214">
        <v>200</v>
      </c>
      <c r="CY214">
        <v>19230</v>
      </c>
      <c r="DA214">
        <v>750</v>
      </c>
      <c r="DC214">
        <v>500</v>
      </c>
      <c r="DE214">
        <v>5</v>
      </c>
      <c r="DI214">
        <v>11214</v>
      </c>
      <c r="DK214">
        <v>40</v>
      </c>
      <c r="DM214">
        <v>270</v>
      </c>
      <c r="DO214">
        <v>65</v>
      </c>
      <c r="DQ214">
        <v>100</v>
      </c>
      <c r="DS214">
        <v>14153</v>
      </c>
      <c r="DU214">
        <v>65</v>
      </c>
      <c r="DW214">
        <v>500</v>
      </c>
      <c r="DX214">
        <v>25</v>
      </c>
      <c r="DY214">
        <v>63</v>
      </c>
      <c r="EC214">
        <v>7499</v>
      </c>
      <c r="EE214">
        <v>525</v>
      </c>
      <c r="EG214">
        <v>770</v>
      </c>
      <c r="EI214">
        <v>50</v>
      </c>
      <c r="EM214">
        <v>2450</v>
      </c>
      <c r="ES214">
        <v>250</v>
      </c>
      <c r="EW214">
        <v>700</v>
      </c>
      <c r="FG214">
        <v>300</v>
      </c>
      <c r="GM214">
        <f t="shared" si="4"/>
        <v>119269</v>
      </c>
    </row>
    <row r="215" spans="1:195" x14ac:dyDescent="0.25">
      <c r="A215" s="4">
        <f>DATE(2023,10,3)</f>
        <v>45202</v>
      </c>
      <c r="B215">
        <v>166654</v>
      </c>
      <c r="C215">
        <v>750</v>
      </c>
      <c r="M215">
        <v>500</v>
      </c>
      <c r="W215">
        <v>1350</v>
      </c>
      <c r="AG215">
        <v>950</v>
      </c>
      <c r="AQ215">
        <v>5000</v>
      </c>
      <c r="BA215">
        <v>6975</v>
      </c>
      <c r="BK215">
        <v>11300</v>
      </c>
      <c r="BU215">
        <v>5995</v>
      </c>
      <c r="CC215">
        <v>100</v>
      </c>
      <c r="CE215">
        <v>19285</v>
      </c>
      <c r="CO215">
        <v>6900</v>
      </c>
      <c r="CQ215">
        <v>440</v>
      </c>
      <c r="CS215">
        <v>200</v>
      </c>
      <c r="CY215">
        <v>19455</v>
      </c>
      <c r="DA215">
        <v>750</v>
      </c>
      <c r="DC215">
        <v>500</v>
      </c>
      <c r="DE215">
        <v>5</v>
      </c>
      <c r="DI215">
        <v>11114</v>
      </c>
      <c r="DK215">
        <v>40</v>
      </c>
      <c r="DM215">
        <v>270</v>
      </c>
      <c r="DO215">
        <v>65</v>
      </c>
      <c r="DQ215">
        <v>100</v>
      </c>
      <c r="DS215">
        <v>14153</v>
      </c>
      <c r="DU215">
        <v>65</v>
      </c>
      <c r="DW215">
        <v>500</v>
      </c>
      <c r="DX215">
        <v>25</v>
      </c>
      <c r="DY215">
        <v>63</v>
      </c>
      <c r="EC215">
        <v>7499</v>
      </c>
      <c r="EE215">
        <v>525</v>
      </c>
      <c r="EG215">
        <v>770</v>
      </c>
      <c r="EI215">
        <v>50</v>
      </c>
      <c r="EM215">
        <v>2450</v>
      </c>
      <c r="ES215">
        <v>250</v>
      </c>
      <c r="EW215">
        <v>700</v>
      </c>
      <c r="FG215">
        <v>300</v>
      </c>
      <c r="GM215">
        <f t="shared" si="4"/>
        <v>119394</v>
      </c>
    </row>
    <row r="216" spans="1:195" x14ac:dyDescent="0.25">
      <c r="A216" s="4">
        <f>DATE(2023,10,2)</f>
        <v>45201</v>
      </c>
      <c r="B216">
        <v>165032</v>
      </c>
      <c r="C216">
        <v>750</v>
      </c>
      <c r="M216">
        <v>500</v>
      </c>
      <c r="W216">
        <v>1350</v>
      </c>
      <c r="AG216">
        <v>950</v>
      </c>
      <c r="AQ216">
        <v>5000</v>
      </c>
      <c r="BA216">
        <v>6975</v>
      </c>
      <c r="BK216">
        <v>11300</v>
      </c>
      <c r="BU216">
        <v>5995</v>
      </c>
      <c r="CC216">
        <v>100</v>
      </c>
      <c r="CE216">
        <v>19285</v>
      </c>
      <c r="CO216">
        <v>6800</v>
      </c>
      <c r="CQ216">
        <v>440</v>
      </c>
      <c r="CS216">
        <v>200</v>
      </c>
      <c r="CY216">
        <v>19455</v>
      </c>
      <c r="DA216">
        <v>750</v>
      </c>
      <c r="DC216">
        <v>500</v>
      </c>
      <c r="DE216">
        <v>5</v>
      </c>
      <c r="DI216">
        <v>11014</v>
      </c>
      <c r="DK216">
        <v>40</v>
      </c>
      <c r="DM216">
        <v>270</v>
      </c>
      <c r="DO216">
        <v>65</v>
      </c>
      <c r="DQ216">
        <v>100</v>
      </c>
      <c r="DS216">
        <v>14103</v>
      </c>
      <c r="DU216">
        <v>65</v>
      </c>
      <c r="DW216">
        <v>500</v>
      </c>
      <c r="DX216">
        <v>25</v>
      </c>
      <c r="DY216">
        <v>63</v>
      </c>
      <c r="EC216">
        <v>7499</v>
      </c>
      <c r="EE216">
        <v>525</v>
      </c>
      <c r="EG216">
        <v>770</v>
      </c>
      <c r="EI216">
        <v>50</v>
      </c>
      <c r="EM216">
        <v>2450</v>
      </c>
      <c r="ES216">
        <v>250</v>
      </c>
      <c r="EW216">
        <v>700</v>
      </c>
      <c r="FG216">
        <v>300</v>
      </c>
      <c r="GM216">
        <f t="shared" si="4"/>
        <v>119144</v>
      </c>
    </row>
    <row r="217" spans="1:195" x14ac:dyDescent="0.25">
      <c r="A217" s="4">
        <f>DATE(2023,9,29)</f>
        <v>45198</v>
      </c>
      <c r="B217">
        <v>164493</v>
      </c>
      <c r="C217">
        <v>750</v>
      </c>
      <c r="M217">
        <v>500</v>
      </c>
      <c r="W217">
        <v>1350</v>
      </c>
      <c r="AG217">
        <v>950</v>
      </c>
      <c r="AQ217">
        <v>5000</v>
      </c>
      <c r="BA217">
        <v>6975</v>
      </c>
      <c r="BK217">
        <v>11300</v>
      </c>
      <c r="BU217">
        <v>5995</v>
      </c>
      <c r="CC217">
        <v>100</v>
      </c>
      <c r="CE217">
        <v>19335</v>
      </c>
      <c r="CO217">
        <v>6825</v>
      </c>
      <c r="CQ217">
        <v>440</v>
      </c>
      <c r="CS217">
        <v>200</v>
      </c>
      <c r="CY217">
        <v>19430</v>
      </c>
      <c r="DA217">
        <v>750</v>
      </c>
      <c r="DC217">
        <v>500</v>
      </c>
      <c r="DE217">
        <v>5</v>
      </c>
      <c r="DI217">
        <v>10989</v>
      </c>
      <c r="DK217">
        <v>40</v>
      </c>
      <c r="DM217">
        <v>270</v>
      </c>
      <c r="DO217">
        <v>65</v>
      </c>
      <c r="DQ217">
        <v>100</v>
      </c>
      <c r="DS217">
        <v>14203</v>
      </c>
      <c r="DU217">
        <v>65</v>
      </c>
      <c r="DW217">
        <v>500</v>
      </c>
      <c r="DX217">
        <v>25</v>
      </c>
      <c r="DY217">
        <v>63</v>
      </c>
      <c r="EC217">
        <v>7499</v>
      </c>
      <c r="EE217">
        <v>525</v>
      </c>
      <c r="EG217">
        <v>770</v>
      </c>
      <c r="EI217">
        <v>50</v>
      </c>
      <c r="EM217">
        <v>2450</v>
      </c>
      <c r="ES217">
        <v>250</v>
      </c>
      <c r="EW217">
        <v>700</v>
      </c>
      <c r="FG217">
        <v>300</v>
      </c>
      <c r="GM217">
        <f t="shared" si="4"/>
        <v>119269</v>
      </c>
    </row>
    <row r="218" spans="1:195" x14ac:dyDescent="0.25">
      <c r="A218" s="4">
        <f>DATE(2023,9,28)</f>
        <v>45197</v>
      </c>
      <c r="B218">
        <v>164192</v>
      </c>
      <c r="C218">
        <v>750</v>
      </c>
      <c r="M218">
        <v>500</v>
      </c>
      <c r="W218">
        <v>1350</v>
      </c>
      <c r="AG218">
        <v>950</v>
      </c>
      <c r="AQ218">
        <v>5000</v>
      </c>
      <c r="BA218">
        <v>6975</v>
      </c>
      <c r="BK218">
        <v>11300</v>
      </c>
      <c r="BU218">
        <v>5995</v>
      </c>
      <c r="CC218">
        <v>100</v>
      </c>
      <c r="CE218">
        <v>19335</v>
      </c>
      <c r="CO218">
        <v>7000</v>
      </c>
      <c r="CQ218">
        <v>440</v>
      </c>
      <c r="CS218">
        <v>200</v>
      </c>
      <c r="CY218">
        <v>19255</v>
      </c>
      <c r="DA218">
        <v>750</v>
      </c>
      <c r="DC218">
        <v>500</v>
      </c>
      <c r="DE218">
        <v>5</v>
      </c>
      <c r="DI218">
        <v>10503</v>
      </c>
      <c r="DK218">
        <v>40</v>
      </c>
      <c r="DM218">
        <v>270</v>
      </c>
      <c r="DO218">
        <v>65</v>
      </c>
      <c r="DQ218">
        <v>100</v>
      </c>
      <c r="DS218">
        <v>14370</v>
      </c>
      <c r="DU218">
        <v>65</v>
      </c>
      <c r="DW218">
        <v>500</v>
      </c>
      <c r="DY218">
        <v>63</v>
      </c>
      <c r="EC218">
        <v>7774</v>
      </c>
      <c r="EE218">
        <v>525</v>
      </c>
      <c r="EG218">
        <v>770</v>
      </c>
      <c r="EI218">
        <v>50</v>
      </c>
      <c r="EM218">
        <v>2450</v>
      </c>
      <c r="ES218">
        <v>250</v>
      </c>
      <c r="EW218">
        <v>700</v>
      </c>
      <c r="FG218">
        <v>300</v>
      </c>
      <c r="GM218">
        <f t="shared" si="4"/>
        <v>119200</v>
      </c>
    </row>
    <row r="219" spans="1:195" x14ac:dyDescent="0.25">
      <c r="A219" s="4">
        <f>DATE(2023,9,27)</f>
        <v>45196</v>
      </c>
      <c r="B219">
        <v>163084</v>
      </c>
      <c r="C219">
        <v>750</v>
      </c>
      <c r="M219">
        <v>500</v>
      </c>
      <c r="W219">
        <v>1350</v>
      </c>
      <c r="AG219">
        <v>950</v>
      </c>
      <c r="AQ219">
        <v>5075</v>
      </c>
      <c r="BA219">
        <v>6975</v>
      </c>
      <c r="BK219">
        <v>11300</v>
      </c>
      <c r="BU219">
        <v>5995</v>
      </c>
      <c r="CC219">
        <v>100</v>
      </c>
      <c r="CE219">
        <v>19335</v>
      </c>
      <c r="CO219">
        <v>6750</v>
      </c>
      <c r="CQ219">
        <v>440</v>
      </c>
      <c r="CS219">
        <v>200</v>
      </c>
      <c r="CY219">
        <v>19255</v>
      </c>
      <c r="DA219">
        <v>750</v>
      </c>
      <c r="DC219">
        <v>500</v>
      </c>
      <c r="DE219">
        <v>5</v>
      </c>
      <c r="DI219">
        <v>10153</v>
      </c>
      <c r="DK219">
        <v>40</v>
      </c>
      <c r="DM219">
        <v>270</v>
      </c>
      <c r="DO219">
        <v>65</v>
      </c>
      <c r="DQ219">
        <v>100</v>
      </c>
      <c r="DS219">
        <v>14920</v>
      </c>
      <c r="DU219">
        <v>65</v>
      </c>
      <c r="DW219">
        <v>500</v>
      </c>
      <c r="DY219">
        <v>63</v>
      </c>
      <c r="EC219">
        <v>7774</v>
      </c>
      <c r="EE219">
        <v>525</v>
      </c>
      <c r="EG219">
        <v>770</v>
      </c>
      <c r="EI219">
        <v>50</v>
      </c>
      <c r="EM219">
        <v>2450</v>
      </c>
      <c r="ES219">
        <v>250</v>
      </c>
      <c r="EW219">
        <v>600</v>
      </c>
      <c r="FG219">
        <v>300</v>
      </c>
      <c r="GM219">
        <f t="shared" si="4"/>
        <v>119125</v>
      </c>
    </row>
    <row r="220" spans="1:195" x14ac:dyDescent="0.25">
      <c r="A220" s="4">
        <f>DATE(2023,9,26)</f>
        <v>45195</v>
      </c>
      <c r="B220">
        <v>161811</v>
      </c>
      <c r="C220">
        <v>750</v>
      </c>
      <c r="M220">
        <v>500</v>
      </c>
      <c r="W220">
        <v>1350</v>
      </c>
      <c r="AG220">
        <v>950</v>
      </c>
      <c r="AQ220">
        <v>5425</v>
      </c>
      <c r="BA220">
        <v>6975</v>
      </c>
      <c r="BK220">
        <v>11300</v>
      </c>
      <c r="BU220">
        <v>5995</v>
      </c>
      <c r="CC220">
        <v>100</v>
      </c>
      <c r="CE220">
        <v>19335</v>
      </c>
      <c r="CO220">
        <v>6750</v>
      </c>
      <c r="CQ220">
        <v>440</v>
      </c>
      <c r="CS220">
        <v>200</v>
      </c>
      <c r="CY220">
        <v>19255</v>
      </c>
      <c r="DA220">
        <v>750</v>
      </c>
      <c r="DC220">
        <v>500</v>
      </c>
      <c r="DE220">
        <v>5</v>
      </c>
      <c r="DI220">
        <v>10153</v>
      </c>
      <c r="DK220">
        <v>40</v>
      </c>
      <c r="DM220">
        <v>270</v>
      </c>
      <c r="DO220">
        <v>65</v>
      </c>
      <c r="DQ220">
        <v>100</v>
      </c>
      <c r="DS220">
        <v>14920</v>
      </c>
      <c r="DU220">
        <v>65</v>
      </c>
      <c r="DW220">
        <v>500</v>
      </c>
      <c r="DY220">
        <v>63</v>
      </c>
      <c r="EC220">
        <v>7774</v>
      </c>
      <c r="EE220">
        <v>525</v>
      </c>
      <c r="EG220">
        <v>770</v>
      </c>
      <c r="EI220">
        <v>50</v>
      </c>
      <c r="EM220">
        <v>2450</v>
      </c>
      <c r="ES220">
        <v>250</v>
      </c>
      <c r="EW220">
        <v>600</v>
      </c>
      <c r="FG220">
        <v>300</v>
      </c>
      <c r="GM220">
        <f t="shared" si="4"/>
        <v>119475</v>
      </c>
    </row>
    <row r="221" spans="1:195" x14ac:dyDescent="0.25">
      <c r="A221" s="4">
        <f>DATE(2023,9,25)</f>
        <v>45194</v>
      </c>
      <c r="B221">
        <v>161092</v>
      </c>
      <c r="C221">
        <v>750</v>
      </c>
      <c r="M221">
        <v>500</v>
      </c>
      <c r="W221">
        <v>1350</v>
      </c>
      <c r="AG221">
        <v>950</v>
      </c>
      <c r="AQ221">
        <v>5425</v>
      </c>
      <c r="BA221">
        <v>6975</v>
      </c>
      <c r="BK221">
        <v>11300</v>
      </c>
      <c r="BU221">
        <v>5995</v>
      </c>
      <c r="CC221">
        <v>100</v>
      </c>
      <c r="CE221">
        <v>19335</v>
      </c>
      <c r="CO221">
        <v>6750</v>
      </c>
      <c r="CQ221">
        <v>440</v>
      </c>
      <c r="CS221">
        <v>200</v>
      </c>
      <c r="CY221">
        <v>19757</v>
      </c>
      <c r="DA221">
        <v>750</v>
      </c>
      <c r="DC221">
        <v>500</v>
      </c>
      <c r="DE221">
        <v>7</v>
      </c>
      <c r="DI221">
        <v>10155</v>
      </c>
      <c r="DK221">
        <v>40</v>
      </c>
      <c r="DM221">
        <v>270</v>
      </c>
      <c r="DO221">
        <v>67</v>
      </c>
      <c r="DQ221">
        <v>100</v>
      </c>
      <c r="DS221">
        <v>15920</v>
      </c>
      <c r="DU221">
        <v>67</v>
      </c>
      <c r="DW221">
        <v>500</v>
      </c>
      <c r="DY221">
        <v>64</v>
      </c>
      <c r="EC221">
        <v>7574</v>
      </c>
      <c r="EE221">
        <v>525</v>
      </c>
      <c r="EG221">
        <v>770</v>
      </c>
      <c r="EI221">
        <v>50</v>
      </c>
      <c r="EM221">
        <v>2450</v>
      </c>
      <c r="ES221">
        <v>250</v>
      </c>
      <c r="EW221">
        <v>600</v>
      </c>
      <c r="FG221">
        <v>300</v>
      </c>
      <c r="GM221">
        <f t="shared" si="4"/>
        <v>120786</v>
      </c>
    </row>
    <row r="222" spans="1:195" s="9" customFormat="1" x14ac:dyDescent="0.25">
      <c r="A222" s="80">
        <f>DATE(2023,9,22)</f>
        <v>45191</v>
      </c>
      <c r="B222" s="9">
        <v>160685</v>
      </c>
      <c r="C222" s="9">
        <v>750</v>
      </c>
      <c r="M222" s="9">
        <v>500</v>
      </c>
      <c r="W222" s="9">
        <v>1350</v>
      </c>
      <c r="AG222" s="9">
        <v>950</v>
      </c>
      <c r="AQ222" s="9">
        <v>5425</v>
      </c>
      <c r="BA222" s="9">
        <v>6975</v>
      </c>
      <c r="BK222" s="9">
        <v>11300</v>
      </c>
      <c r="BU222" s="9">
        <v>5995</v>
      </c>
      <c r="CC222" s="9">
        <v>100</v>
      </c>
      <c r="CE222" s="9">
        <v>19335</v>
      </c>
      <c r="CO222" s="9">
        <v>8750</v>
      </c>
      <c r="CQ222" s="9">
        <v>440</v>
      </c>
      <c r="CS222" s="9">
        <v>200</v>
      </c>
      <c r="CY222" s="9">
        <v>19755</v>
      </c>
      <c r="DA222" s="9">
        <v>750</v>
      </c>
      <c r="DC222" s="9">
        <v>500</v>
      </c>
      <c r="DE222" s="9">
        <v>5</v>
      </c>
      <c r="DI222" s="9">
        <v>6464</v>
      </c>
      <c r="DK222" s="9">
        <v>40</v>
      </c>
      <c r="DM222" s="9">
        <v>270</v>
      </c>
      <c r="DO222" s="9">
        <v>65</v>
      </c>
      <c r="DQ222" s="9">
        <v>100</v>
      </c>
      <c r="DS222" s="9">
        <v>16195</v>
      </c>
      <c r="DU222" s="9">
        <v>65</v>
      </c>
      <c r="DW222" s="9">
        <v>500</v>
      </c>
      <c r="DY222" s="9">
        <v>63</v>
      </c>
      <c r="EC222" s="9">
        <v>5224</v>
      </c>
      <c r="EE222" s="9">
        <v>525</v>
      </c>
      <c r="EG222" s="9">
        <v>770</v>
      </c>
      <c r="EI222" s="9">
        <v>50</v>
      </c>
      <c r="EM222" s="9">
        <v>2450</v>
      </c>
      <c r="ES222" s="9">
        <v>250</v>
      </c>
      <c r="EW222" s="9">
        <v>600</v>
      </c>
      <c r="FG222" s="9">
        <v>300</v>
      </c>
      <c r="GM222" s="9">
        <f t="shared" si="4"/>
        <v>117011</v>
      </c>
    </row>
    <row r="223" spans="1:195" x14ac:dyDescent="0.25">
      <c r="A223" s="4">
        <f>DATE(2023,9,21)</f>
        <v>45190</v>
      </c>
      <c r="B223">
        <v>161537</v>
      </c>
      <c r="C223">
        <v>750</v>
      </c>
      <c r="M223">
        <v>500</v>
      </c>
      <c r="W223">
        <v>1350</v>
      </c>
      <c r="AG223">
        <v>950</v>
      </c>
      <c r="AQ223">
        <v>5425</v>
      </c>
      <c r="BA223">
        <v>6975</v>
      </c>
      <c r="BK223">
        <v>11300</v>
      </c>
      <c r="BU223">
        <v>5995</v>
      </c>
      <c r="CC223">
        <v>100</v>
      </c>
      <c r="CE223">
        <v>19335</v>
      </c>
      <c r="CO223">
        <v>8500</v>
      </c>
      <c r="CQ223">
        <v>440</v>
      </c>
      <c r="CS223">
        <v>200</v>
      </c>
      <c r="CY223">
        <v>19600</v>
      </c>
      <c r="DA223">
        <v>750</v>
      </c>
      <c r="DC223">
        <v>500</v>
      </c>
      <c r="DI223">
        <v>6439</v>
      </c>
      <c r="DK223">
        <v>40</v>
      </c>
      <c r="DM223">
        <v>270</v>
      </c>
      <c r="DQ223">
        <v>100</v>
      </c>
      <c r="DS223">
        <v>16645</v>
      </c>
      <c r="DW223">
        <v>500</v>
      </c>
      <c r="EC223">
        <v>5224</v>
      </c>
      <c r="EE223">
        <v>525</v>
      </c>
      <c r="EG223">
        <v>770</v>
      </c>
      <c r="EI223">
        <v>50</v>
      </c>
      <c r="EM223">
        <v>2475</v>
      </c>
      <c r="ES223">
        <v>250</v>
      </c>
      <c r="EW223">
        <v>600</v>
      </c>
      <c r="FG223">
        <v>300</v>
      </c>
      <c r="GM223">
        <f t="shared" si="4"/>
        <v>116858</v>
      </c>
    </row>
    <row r="224" spans="1:195" x14ac:dyDescent="0.25">
      <c r="A224" s="4">
        <f>DATE(2023,9,20)</f>
        <v>45189</v>
      </c>
      <c r="B224">
        <v>162524</v>
      </c>
      <c r="C224">
        <v>750</v>
      </c>
      <c r="M224">
        <v>500</v>
      </c>
      <c r="W224">
        <v>1350</v>
      </c>
      <c r="AG224">
        <v>950</v>
      </c>
      <c r="AQ224">
        <v>5425</v>
      </c>
      <c r="BA224">
        <v>6975</v>
      </c>
      <c r="BK224">
        <v>11000</v>
      </c>
      <c r="BU224">
        <v>5995</v>
      </c>
      <c r="CC224">
        <v>100</v>
      </c>
      <c r="CE224">
        <v>19335</v>
      </c>
      <c r="CO224">
        <v>8000</v>
      </c>
      <c r="CQ224">
        <v>440</v>
      </c>
      <c r="CS224">
        <v>200</v>
      </c>
      <c r="CY224">
        <v>19600</v>
      </c>
      <c r="DA224">
        <v>750</v>
      </c>
      <c r="DC224">
        <v>500</v>
      </c>
      <c r="DI224">
        <v>6039</v>
      </c>
      <c r="DK224">
        <v>40</v>
      </c>
      <c r="DM224">
        <v>270</v>
      </c>
      <c r="DQ224">
        <v>100</v>
      </c>
      <c r="DS224">
        <v>16495</v>
      </c>
      <c r="DW224">
        <v>500</v>
      </c>
      <c r="EC224">
        <v>5224</v>
      </c>
      <c r="EE224">
        <v>525</v>
      </c>
      <c r="EG224">
        <v>770</v>
      </c>
      <c r="EI224">
        <v>50</v>
      </c>
      <c r="EM224">
        <v>2475</v>
      </c>
      <c r="ES224">
        <v>250</v>
      </c>
      <c r="EW224">
        <v>600</v>
      </c>
      <c r="FG224">
        <v>300</v>
      </c>
      <c r="GM224">
        <f t="shared" si="4"/>
        <v>115508</v>
      </c>
    </row>
    <row r="225" spans="1:195" x14ac:dyDescent="0.25">
      <c r="A225" s="4">
        <f>DATE(2023,9,19)</f>
        <v>45188</v>
      </c>
      <c r="B225">
        <v>161460</v>
      </c>
      <c r="C225">
        <v>750</v>
      </c>
      <c r="M225">
        <v>500</v>
      </c>
      <c r="W225">
        <v>1350</v>
      </c>
      <c r="AG225">
        <v>950</v>
      </c>
      <c r="AQ225">
        <v>5425</v>
      </c>
      <c r="BA225">
        <v>6975</v>
      </c>
      <c r="BK225">
        <v>10900</v>
      </c>
      <c r="BU225">
        <v>5995</v>
      </c>
      <c r="CC225">
        <v>100</v>
      </c>
      <c r="CE225">
        <v>19585</v>
      </c>
      <c r="CO225">
        <v>8000</v>
      </c>
      <c r="CQ225">
        <v>440</v>
      </c>
      <c r="CS225">
        <v>200</v>
      </c>
      <c r="CY225">
        <v>19600</v>
      </c>
      <c r="DA225">
        <v>750</v>
      </c>
      <c r="DC225">
        <v>500</v>
      </c>
      <c r="DI225">
        <v>6039</v>
      </c>
      <c r="DK225">
        <v>40</v>
      </c>
      <c r="DM225">
        <v>270</v>
      </c>
      <c r="DQ225">
        <v>100</v>
      </c>
      <c r="DS225">
        <v>16495</v>
      </c>
      <c r="DW225">
        <v>500</v>
      </c>
      <c r="EC225">
        <v>5224</v>
      </c>
      <c r="EE225">
        <v>525</v>
      </c>
      <c r="EG225">
        <v>770</v>
      </c>
      <c r="EI225">
        <v>50</v>
      </c>
      <c r="EM225">
        <v>2475</v>
      </c>
      <c r="ES225">
        <v>250</v>
      </c>
      <c r="EW225">
        <v>600</v>
      </c>
      <c r="FG225">
        <v>300</v>
      </c>
      <c r="GM225">
        <f t="shared" si="4"/>
        <v>115658</v>
      </c>
    </row>
    <row r="226" spans="1:195" x14ac:dyDescent="0.25">
      <c r="A226" s="4">
        <f>DATE(2023,9,18)</f>
        <v>45187</v>
      </c>
      <c r="B226">
        <v>161209</v>
      </c>
      <c r="C226">
        <v>750</v>
      </c>
      <c r="M226">
        <v>500</v>
      </c>
      <c r="W226">
        <v>1350</v>
      </c>
      <c r="AG226">
        <v>950</v>
      </c>
      <c r="AQ226">
        <v>5425</v>
      </c>
      <c r="BA226">
        <v>6975</v>
      </c>
      <c r="BK226">
        <v>10900</v>
      </c>
      <c r="BU226">
        <v>5995</v>
      </c>
      <c r="CC226">
        <v>100</v>
      </c>
      <c r="CE226">
        <v>19585</v>
      </c>
      <c r="CO226">
        <v>7850</v>
      </c>
      <c r="CQ226">
        <v>440</v>
      </c>
      <c r="CS226">
        <v>200</v>
      </c>
      <c r="CY226">
        <v>18475</v>
      </c>
      <c r="DA226">
        <v>750</v>
      </c>
      <c r="DC226">
        <v>500</v>
      </c>
      <c r="DI226">
        <v>5739</v>
      </c>
      <c r="DK226">
        <v>40</v>
      </c>
      <c r="DM226">
        <v>270</v>
      </c>
      <c r="DQ226">
        <v>100</v>
      </c>
      <c r="DS226">
        <v>16470</v>
      </c>
      <c r="DW226">
        <v>500</v>
      </c>
      <c r="EC226">
        <v>5224</v>
      </c>
      <c r="EE226">
        <v>525</v>
      </c>
      <c r="EG226">
        <v>770</v>
      </c>
      <c r="EI226">
        <v>50</v>
      </c>
      <c r="EM226">
        <v>2475</v>
      </c>
      <c r="ES226">
        <v>250</v>
      </c>
      <c r="EW226">
        <v>600</v>
      </c>
      <c r="FG226">
        <v>300</v>
      </c>
      <c r="GM226">
        <f t="shared" si="4"/>
        <v>114058</v>
      </c>
    </row>
    <row r="227" spans="1:195" x14ac:dyDescent="0.25">
      <c r="A227" s="4">
        <f>DATE(2023,9,15)</f>
        <v>45184</v>
      </c>
      <c r="B227">
        <v>160190</v>
      </c>
      <c r="C227">
        <v>750</v>
      </c>
      <c r="M227">
        <v>500</v>
      </c>
      <c r="W227">
        <v>1350</v>
      </c>
      <c r="AG227">
        <v>950</v>
      </c>
      <c r="AQ227">
        <v>5425</v>
      </c>
      <c r="BA227">
        <v>6300</v>
      </c>
      <c r="BK227">
        <v>10800</v>
      </c>
      <c r="BU227">
        <v>6245</v>
      </c>
      <c r="CC227">
        <v>100</v>
      </c>
      <c r="CE227">
        <v>19585</v>
      </c>
      <c r="CO227">
        <v>7850</v>
      </c>
      <c r="CQ227">
        <v>440</v>
      </c>
      <c r="CS227">
        <v>200</v>
      </c>
      <c r="CY227">
        <v>18475</v>
      </c>
      <c r="DA227">
        <v>750</v>
      </c>
      <c r="DC227">
        <v>500</v>
      </c>
      <c r="DI227">
        <v>5739</v>
      </c>
      <c r="DK227">
        <v>40</v>
      </c>
      <c r="DM227">
        <v>270</v>
      </c>
      <c r="DQ227">
        <v>100</v>
      </c>
      <c r="DS227">
        <v>16520</v>
      </c>
      <c r="DW227">
        <v>500</v>
      </c>
      <c r="EC227">
        <v>5224</v>
      </c>
      <c r="EE227">
        <v>525</v>
      </c>
      <c r="EG227">
        <v>770</v>
      </c>
      <c r="EI227">
        <v>50</v>
      </c>
      <c r="EM227">
        <v>2475</v>
      </c>
      <c r="ES227">
        <v>250</v>
      </c>
      <c r="EW227">
        <v>600</v>
      </c>
      <c r="FG227">
        <v>300</v>
      </c>
      <c r="GM227">
        <f t="shared" si="4"/>
        <v>113583</v>
      </c>
    </row>
    <row r="228" spans="1:195" x14ac:dyDescent="0.25">
      <c r="A228" s="4">
        <f>DATE(2023,9,14)</f>
        <v>45183</v>
      </c>
      <c r="B228">
        <v>159880</v>
      </c>
      <c r="C228">
        <v>750</v>
      </c>
      <c r="M228">
        <v>500</v>
      </c>
      <c r="W228">
        <v>1350</v>
      </c>
      <c r="AG228">
        <v>950</v>
      </c>
      <c r="AQ228">
        <v>5425</v>
      </c>
      <c r="BA228">
        <v>6300</v>
      </c>
      <c r="BK228">
        <v>10800</v>
      </c>
      <c r="BU228">
        <v>6245</v>
      </c>
      <c r="CC228">
        <v>100</v>
      </c>
      <c r="CE228">
        <v>19585</v>
      </c>
      <c r="CO228">
        <v>7850</v>
      </c>
      <c r="CQ228">
        <v>440</v>
      </c>
      <c r="CS228">
        <v>200</v>
      </c>
      <c r="CY228">
        <v>18475</v>
      </c>
      <c r="DA228">
        <v>750</v>
      </c>
      <c r="DC228">
        <v>500</v>
      </c>
      <c r="DI228">
        <v>5739</v>
      </c>
      <c r="DK228">
        <v>40</v>
      </c>
      <c r="DM228">
        <v>270</v>
      </c>
      <c r="DQ228">
        <v>100</v>
      </c>
      <c r="DS228">
        <v>16530</v>
      </c>
      <c r="DW228">
        <v>500</v>
      </c>
      <c r="EC228">
        <v>5224</v>
      </c>
      <c r="EE228">
        <v>525</v>
      </c>
      <c r="EG228">
        <v>770</v>
      </c>
      <c r="EI228">
        <v>50</v>
      </c>
      <c r="EM228">
        <v>2475</v>
      </c>
      <c r="ES228">
        <v>250</v>
      </c>
      <c r="EW228">
        <v>600</v>
      </c>
      <c r="FG228">
        <v>300</v>
      </c>
      <c r="GM228">
        <f t="shared" si="4"/>
        <v>113593</v>
      </c>
    </row>
    <row r="229" spans="1:195" x14ac:dyDescent="0.25">
      <c r="A229" s="4">
        <f>DATE(2023,9,13)</f>
        <v>45182</v>
      </c>
      <c r="B229">
        <v>159662</v>
      </c>
      <c r="C229">
        <v>750</v>
      </c>
      <c r="M229">
        <v>500</v>
      </c>
      <c r="W229">
        <v>1350</v>
      </c>
      <c r="AG229">
        <v>950</v>
      </c>
      <c r="AQ229">
        <v>5425</v>
      </c>
      <c r="BA229">
        <v>6300</v>
      </c>
      <c r="BK229">
        <v>10550</v>
      </c>
      <c r="BU229">
        <v>6245</v>
      </c>
      <c r="CC229">
        <v>100</v>
      </c>
      <c r="CE229">
        <v>19585</v>
      </c>
      <c r="CO229">
        <v>7850</v>
      </c>
      <c r="CQ229">
        <v>440</v>
      </c>
      <c r="CS229">
        <v>200</v>
      </c>
      <c r="CY229">
        <v>18475</v>
      </c>
      <c r="DA229">
        <v>750</v>
      </c>
      <c r="DC229">
        <v>500</v>
      </c>
      <c r="DI229">
        <v>5739</v>
      </c>
      <c r="DK229">
        <v>40</v>
      </c>
      <c r="DM229">
        <v>270</v>
      </c>
      <c r="DQ229">
        <v>100</v>
      </c>
      <c r="DS229">
        <v>16680</v>
      </c>
      <c r="DW229">
        <v>500</v>
      </c>
      <c r="EC229">
        <v>5224</v>
      </c>
      <c r="EE229">
        <v>525</v>
      </c>
      <c r="EG229">
        <v>770</v>
      </c>
      <c r="EI229">
        <v>50</v>
      </c>
      <c r="EM229">
        <v>2475</v>
      </c>
      <c r="ES229">
        <v>250</v>
      </c>
      <c r="EW229">
        <v>700</v>
      </c>
      <c r="FG229">
        <v>300</v>
      </c>
      <c r="FQ229">
        <v>100</v>
      </c>
      <c r="GM229">
        <f t="shared" si="4"/>
        <v>113693</v>
      </c>
    </row>
    <row r="230" spans="1:195" x14ac:dyDescent="0.25">
      <c r="A230" s="4">
        <f>DATE(2023,9,12)</f>
        <v>45181</v>
      </c>
      <c r="B230">
        <v>158805</v>
      </c>
      <c r="C230">
        <v>750</v>
      </c>
      <c r="M230">
        <v>500</v>
      </c>
      <c r="W230">
        <v>1350</v>
      </c>
      <c r="AG230">
        <v>950</v>
      </c>
      <c r="AQ230">
        <v>5425</v>
      </c>
      <c r="BA230">
        <v>6300</v>
      </c>
      <c r="BK230">
        <v>8500</v>
      </c>
      <c r="BU230">
        <v>6245</v>
      </c>
      <c r="CC230">
        <v>100</v>
      </c>
      <c r="CE230">
        <v>19885</v>
      </c>
      <c r="CO230">
        <v>7850</v>
      </c>
      <c r="CQ230">
        <v>440</v>
      </c>
      <c r="CS230">
        <v>200</v>
      </c>
      <c r="CY230">
        <v>17775</v>
      </c>
      <c r="DA230">
        <v>750</v>
      </c>
      <c r="DC230">
        <v>500</v>
      </c>
      <c r="DI230">
        <v>5739</v>
      </c>
      <c r="DK230">
        <v>40</v>
      </c>
      <c r="DM230">
        <v>270</v>
      </c>
      <c r="DQ230">
        <v>100</v>
      </c>
      <c r="DS230">
        <v>16555</v>
      </c>
      <c r="DW230">
        <v>500</v>
      </c>
      <c r="EC230">
        <v>5224</v>
      </c>
      <c r="EE230">
        <v>525</v>
      </c>
      <c r="EG230">
        <v>770</v>
      </c>
      <c r="EI230">
        <v>50</v>
      </c>
      <c r="EM230">
        <v>2475</v>
      </c>
      <c r="ES230">
        <v>250</v>
      </c>
      <c r="EW230">
        <v>700</v>
      </c>
      <c r="FG230">
        <v>300</v>
      </c>
      <c r="FQ230">
        <v>100</v>
      </c>
      <c r="GM230">
        <f t="shared" si="4"/>
        <v>111118</v>
      </c>
    </row>
    <row r="231" spans="1:195" x14ac:dyDescent="0.25">
      <c r="A231" s="4">
        <f>DATE(2023,9,11)</f>
        <v>45180</v>
      </c>
      <c r="B231">
        <v>158448</v>
      </c>
      <c r="C231">
        <v>750</v>
      </c>
      <c r="M231">
        <v>500</v>
      </c>
      <c r="W231">
        <v>1350</v>
      </c>
      <c r="AG231">
        <v>950</v>
      </c>
      <c r="AQ231">
        <v>5425</v>
      </c>
      <c r="BA231">
        <v>6300</v>
      </c>
      <c r="BK231">
        <v>8500</v>
      </c>
      <c r="BU231">
        <v>6245</v>
      </c>
      <c r="CC231">
        <v>100</v>
      </c>
      <c r="CE231">
        <v>19885</v>
      </c>
      <c r="CO231">
        <v>7850</v>
      </c>
      <c r="CQ231">
        <v>440</v>
      </c>
      <c r="CS231">
        <v>200</v>
      </c>
      <c r="CY231">
        <v>17775</v>
      </c>
      <c r="DA231">
        <v>750</v>
      </c>
      <c r="DC231">
        <v>500</v>
      </c>
      <c r="DI231">
        <v>5739</v>
      </c>
      <c r="DK231">
        <v>40</v>
      </c>
      <c r="DM231">
        <v>270</v>
      </c>
      <c r="DQ231">
        <v>100</v>
      </c>
      <c r="DS231">
        <v>16555</v>
      </c>
      <c r="DW231">
        <v>500</v>
      </c>
      <c r="EC231">
        <v>5224</v>
      </c>
      <c r="EE231">
        <v>525</v>
      </c>
      <c r="EG231">
        <v>770</v>
      </c>
      <c r="EI231">
        <v>50</v>
      </c>
      <c r="EM231">
        <v>2475</v>
      </c>
      <c r="ES231">
        <v>250</v>
      </c>
      <c r="EW231">
        <v>700</v>
      </c>
      <c r="FG231">
        <v>300</v>
      </c>
      <c r="FQ231">
        <v>100</v>
      </c>
      <c r="GM231">
        <f t="shared" si="4"/>
        <v>111118</v>
      </c>
    </row>
    <row r="232" spans="1:195" x14ac:dyDescent="0.25">
      <c r="A232" s="4">
        <f>DATE(2023,9,8)</f>
        <v>45177</v>
      </c>
      <c r="B232">
        <v>158314</v>
      </c>
      <c r="C232">
        <v>750</v>
      </c>
      <c r="M232">
        <v>500</v>
      </c>
      <c r="W232">
        <v>1350</v>
      </c>
      <c r="AG232">
        <v>950</v>
      </c>
      <c r="AQ232">
        <v>5425</v>
      </c>
      <c r="BA232">
        <v>6300</v>
      </c>
      <c r="BK232">
        <v>8100</v>
      </c>
      <c r="BU232">
        <v>6245</v>
      </c>
      <c r="CC232">
        <v>100</v>
      </c>
      <c r="CE232">
        <v>19785</v>
      </c>
      <c r="CO232">
        <v>7850</v>
      </c>
      <c r="CQ232">
        <v>440</v>
      </c>
      <c r="CS232">
        <v>200</v>
      </c>
      <c r="CY232">
        <v>16875</v>
      </c>
      <c r="DA232">
        <v>750</v>
      </c>
      <c r="DC232">
        <v>500</v>
      </c>
      <c r="DI232">
        <v>5739</v>
      </c>
      <c r="DK232">
        <v>40</v>
      </c>
      <c r="DM232">
        <v>270</v>
      </c>
      <c r="DQ232">
        <v>100</v>
      </c>
      <c r="DS232">
        <v>16380</v>
      </c>
      <c r="DW232">
        <v>500</v>
      </c>
      <c r="EC232">
        <v>5439</v>
      </c>
      <c r="EE232">
        <v>525</v>
      </c>
      <c r="EG232">
        <v>770</v>
      </c>
      <c r="EI232">
        <v>50</v>
      </c>
      <c r="EM232">
        <v>2475</v>
      </c>
      <c r="ES232">
        <v>250</v>
      </c>
      <c r="EW232">
        <v>700</v>
      </c>
      <c r="FG232">
        <v>300</v>
      </c>
      <c r="FQ232">
        <v>100</v>
      </c>
      <c r="GM232">
        <f t="shared" si="4"/>
        <v>109758</v>
      </c>
    </row>
    <row r="233" spans="1:195" x14ac:dyDescent="0.25">
      <c r="A233" s="4">
        <f>DATE(2023,9,7)</f>
        <v>45176</v>
      </c>
      <c r="B233">
        <v>158264</v>
      </c>
      <c r="C233">
        <v>750</v>
      </c>
      <c r="M233">
        <v>500</v>
      </c>
      <c r="W233">
        <v>1350</v>
      </c>
      <c r="AG233">
        <v>950</v>
      </c>
      <c r="AQ233">
        <v>2425</v>
      </c>
      <c r="BA233">
        <v>3300</v>
      </c>
      <c r="BK233">
        <v>8100</v>
      </c>
      <c r="BU233">
        <v>6245</v>
      </c>
      <c r="CC233">
        <v>100</v>
      </c>
      <c r="CE233">
        <v>19785</v>
      </c>
      <c r="CO233">
        <v>7750</v>
      </c>
      <c r="CQ233">
        <v>440</v>
      </c>
      <c r="CS233">
        <v>200</v>
      </c>
      <c r="CY233">
        <v>16875</v>
      </c>
      <c r="DA233">
        <v>750</v>
      </c>
      <c r="DC233">
        <v>500</v>
      </c>
      <c r="DI233">
        <v>5739</v>
      </c>
      <c r="DK233">
        <v>40</v>
      </c>
      <c r="DM233">
        <v>270</v>
      </c>
      <c r="DQ233">
        <v>100</v>
      </c>
      <c r="DS233">
        <v>16380</v>
      </c>
      <c r="DW233">
        <v>500</v>
      </c>
      <c r="EC233">
        <v>5439</v>
      </c>
      <c r="EE233">
        <v>525</v>
      </c>
      <c r="EG233">
        <v>770</v>
      </c>
      <c r="EI233">
        <v>50</v>
      </c>
      <c r="EM233">
        <v>2475</v>
      </c>
      <c r="ES233">
        <v>250</v>
      </c>
      <c r="EW233">
        <v>700</v>
      </c>
      <c r="FG233">
        <v>300</v>
      </c>
      <c r="FQ233">
        <v>100</v>
      </c>
      <c r="GM233">
        <f t="shared" si="4"/>
        <v>103658</v>
      </c>
    </row>
    <row r="234" spans="1:195" x14ac:dyDescent="0.25">
      <c r="A234" s="4">
        <f>DATE(2023,9,6)</f>
        <v>45175</v>
      </c>
      <c r="B234">
        <v>158005</v>
      </c>
      <c r="C234">
        <v>750</v>
      </c>
      <c r="M234">
        <v>500</v>
      </c>
      <c r="W234">
        <v>1350</v>
      </c>
      <c r="AG234">
        <v>950</v>
      </c>
      <c r="AQ234">
        <v>2425</v>
      </c>
      <c r="BA234">
        <v>3300</v>
      </c>
      <c r="BK234">
        <v>8100</v>
      </c>
      <c r="BU234">
        <v>9705</v>
      </c>
      <c r="CC234">
        <v>100</v>
      </c>
      <c r="CE234">
        <v>14785</v>
      </c>
      <c r="CO234">
        <v>7750</v>
      </c>
      <c r="CQ234">
        <v>440</v>
      </c>
      <c r="CS234">
        <v>200</v>
      </c>
      <c r="CY234">
        <v>12200</v>
      </c>
      <c r="DA234">
        <v>750</v>
      </c>
      <c r="DC234">
        <v>500</v>
      </c>
      <c r="DI234">
        <v>5739</v>
      </c>
      <c r="DK234">
        <v>40</v>
      </c>
      <c r="DM234">
        <v>270</v>
      </c>
      <c r="DQ234">
        <v>100</v>
      </c>
      <c r="DS234">
        <v>14030</v>
      </c>
      <c r="DW234">
        <v>500</v>
      </c>
      <c r="EC234">
        <v>5514</v>
      </c>
      <c r="EE234">
        <v>525</v>
      </c>
      <c r="EG234">
        <v>770</v>
      </c>
      <c r="EI234">
        <v>50</v>
      </c>
      <c r="EM234">
        <v>2475</v>
      </c>
      <c r="ES234">
        <v>250</v>
      </c>
      <c r="EW234">
        <v>700</v>
      </c>
      <c r="FG234">
        <v>300</v>
      </c>
      <c r="FQ234">
        <v>100</v>
      </c>
      <c r="GM234">
        <f t="shared" si="4"/>
        <v>95168</v>
      </c>
    </row>
    <row r="235" spans="1:195" x14ac:dyDescent="0.25">
      <c r="A235" s="4">
        <f>DATE(2023,9,5)</f>
        <v>45174</v>
      </c>
      <c r="B235">
        <v>157240</v>
      </c>
      <c r="C235">
        <v>750</v>
      </c>
      <c r="M235">
        <v>500</v>
      </c>
      <c r="W235">
        <v>1350</v>
      </c>
      <c r="AG235">
        <v>950</v>
      </c>
      <c r="AQ235">
        <v>2425</v>
      </c>
      <c r="BA235">
        <v>3300</v>
      </c>
      <c r="BK235">
        <v>10375</v>
      </c>
      <c r="BU235">
        <v>11955</v>
      </c>
      <c r="CC235">
        <v>100</v>
      </c>
      <c r="CE235">
        <v>14785</v>
      </c>
      <c r="CO235">
        <v>7750</v>
      </c>
      <c r="CQ235">
        <v>440</v>
      </c>
      <c r="CS235">
        <v>200</v>
      </c>
      <c r="CY235">
        <v>12200</v>
      </c>
      <c r="DA235">
        <v>750</v>
      </c>
      <c r="DC235">
        <v>500</v>
      </c>
      <c r="DI235">
        <v>5614</v>
      </c>
      <c r="DK235">
        <v>40</v>
      </c>
      <c r="DM235">
        <v>270</v>
      </c>
      <c r="DQ235">
        <v>100</v>
      </c>
      <c r="DS235">
        <v>14030</v>
      </c>
      <c r="DW235">
        <v>500</v>
      </c>
      <c r="EC235">
        <v>4914</v>
      </c>
      <c r="EE235">
        <v>525</v>
      </c>
      <c r="EG235">
        <v>770</v>
      </c>
      <c r="EI235">
        <v>50</v>
      </c>
      <c r="EM235">
        <v>2475</v>
      </c>
      <c r="ES235">
        <v>250</v>
      </c>
      <c r="EW235">
        <v>700</v>
      </c>
      <c r="FG235">
        <v>300</v>
      </c>
      <c r="FQ235">
        <v>100</v>
      </c>
      <c r="GM235">
        <f t="shared" si="4"/>
        <v>98968</v>
      </c>
    </row>
    <row r="236" spans="1:195" x14ac:dyDescent="0.25">
      <c r="A236" s="4">
        <f>DATE(2023,9,4)</f>
        <v>45173</v>
      </c>
      <c r="B236">
        <v>155471</v>
      </c>
      <c r="C236">
        <v>750</v>
      </c>
      <c r="M236">
        <v>500</v>
      </c>
      <c r="W236">
        <v>1350</v>
      </c>
      <c r="AG236">
        <v>950</v>
      </c>
      <c r="AQ236">
        <v>2425</v>
      </c>
      <c r="BA236">
        <v>3300</v>
      </c>
      <c r="BK236">
        <v>10375</v>
      </c>
      <c r="BU236">
        <v>11955</v>
      </c>
      <c r="CC236">
        <v>100</v>
      </c>
      <c r="CE236">
        <v>14785</v>
      </c>
      <c r="CO236">
        <v>7750</v>
      </c>
      <c r="CQ236">
        <v>440</v>
      </c>
      <c r="CS236">
        <v>200</v>
      </c>
      <c r="CY236">
        <v>12075</v>
      </c>
      <c r="DA236">
        <v>750</v>
      </c>
      <c r="DC236">
        <v>500</v>
      </c>
      <c r="DI236">
        <v>5614</v>
      </c>
      <c r="DK236">
        <v>40</v>
      </c>
      <c r="DM236">
        <v>270</v>
      </c>
      <c r="DQ236">
        <v>100</v>
      </c>
      <c r="DS236">
        <v>14030</v>
      </c>
      <c r="DW236">
        <v>500</v>
      </c>
      <c r="EC236">
        <v>4914</v>
      </c>
      <c r="EE236">
        <v>525</v>
      </c>
      <c r="EG236">
        <v>770</v>
      </c>
      <c r="EI236">
        <v>50</v>
      </c>
      <c r="EM236">
        <v>2475</v>
      </c>
      <c r="ES236">
        <v>250</v>
      </c>
      <c r="EW236">
        <v>700</v>
      </c>
      <c r="FG236">
        <v>300</v>
      </c>
      <c r="FQ236">
        <v>100</v>
      </c>
      <c r="GM236">
        <f t="shared" si="4"/>
        <v>98843</v>
      </c>
    </row>
    <row r="237" spans="1:195" x14ac:dyDescent="0.25">
      <c r="A237" s="4">
        <f>DATE(2023,9,1)</f>
        <v>45170</v>
      </c>
      <c r="B237">
        <v>155175</v>
      </c>
      <c r="C237">
        <v>750</v>
      </c>
      <c r="M237">
        <v>500</v>
      </c>
      <c r="W237">
        <v>1350</v>
      </c>
      <c r="AG237">
        <v>950</v>
      </c>
      <c r="AQ237">
        <v>2425</v>
      </c>
      <c r="BA237">
        <v>3300</v>
      </c>
      <c r="BK237">
        <v>10375</v>
      </c>
      <c r="BU237">
        <v>11955</v>
      </c>
      <c r="CC237">
        <v>100</v>
      </c>
      <c r="CE237">
        <v>14785</v>
      </c>
      <c r="CO237">
        <v>7750</v>
      </c>
      <c r="CQ237">
        <v>440</v>
      </c>
      <c r="CS237">
        <v>200</v>
      </c>
      <c r="CY237">
        <v>11825</v>
      </c>
      <c r="DA237">
        <v>750</v>
      </c>
      <c r="DC237">
        <v>500</v>
      </c>
      <c r="DI237">
        <v>5336</v>
      </c>
      <c r="DK237">
        <v>40</v>
      </c>
      <c r="DM237">
        <v>270</v>
      </c>
      <c r="DQ237">
        <v>100</v>
      </c>
      <c r="DS237">
        <v>14255</v>
      </c>
      <c r="DW237">
        <v>500</v>
      </c>
      <c r="EC237">
        <v>4914</v>
      </c>
      <c r="EE237">
        <v>525</v>
      </c>
      <c r="EG237">
        <v>770</v>
      </c>
      <c r="EI237">
        <v>50</v>
      </c>
      <c r="EM237">
        <v>2475</v>
      </c>
      <c r="ES237">
        <v>250</v>
      </c>
      <c r="EW237">
        <v>700</v>
      </c>
      <c r="FG237">
        <v>300</v>
      </c>
      <c r="FQ237">
        <v>100</v>
      </c>
      <c r="GM237">
        <f t="shared" si="4"/>
        <v>98540</v>
      </c>
    </row>
    <row r="238" spans="1:195" x14ac:dyDescent="0.25">
      <c r="A238" s="4">
        <f>DATE(2023,8,31)</f>
        <v>45169</v>
      </c>
      <c r="B238">
        <v>155403</v>
      </c>
      <c r="C238">
        <v>750</v>
      </c>
      <c r="M238">
        <v>500</v>
      </c>
      <c r="W238">
        <v>1350</v>
      </c>
      <c r="AG238">
        <v>950</v>
      </c>
      <c r="AQ238">
        <v>2425</v>
      </c>
      <c r="BA238">
        <v>3300</v>
      </c>
      <c r="BK238">
        <v>10375</v>
      </c>
      <c r="BU238">
        <v>11955</v>
      </c>
      <c r="CC238">
        <v>100</v>
      </c>
      <c r="CE238">
        <v>14785</v>
      </c>
      <c r="CO238">
        <v>7750</v>
      </c>
      <c r="CQ238">
        <v>440</v>
      </c>
      <c r="CS238">
        <v>200</v>
      </c>
      <c r="CY238">
        <v>12025</v>
      </c>
      <c r="DA238">
        <v>750</v>
      </c>
      <c r="DC238">
        <v>500</v>
      </c>
      <c r="DI238">
        <v>5336</v>
      </c>
      <c r="DK238">
        <v>40</v>
      </c>
      <c r="DM238">
        <v>150</v>
      </c>
      <c r="DQ238">
        <v>100</v>
      </c>
      <c r="DS238">
        <v>14255</v>
      </c>
      <c r="DW238">
        <v>500</v>
      </c>
      <c r="EC238">
        <v>4889</v>
      </c>
      <c r="EE238">
        <v>525</v>
      </c>
      <c r="EG238">
        <v>650</v>
      </c>
      <c r="EI238">
        <v>50</v>
      </c>
      <c r="EM238">
        <v>2475</v>
      </c>
      <c r="ES238">
        <v>250</v>
      </c>
      <c r="EW238">
        <v>700</v>
      </c>
      <c r="FG238">
        <v>300</v>
      </c>
      <c r="FQ238">
        <v>100</v>
      </c>
      <c r="GM238">
        <f t="shared" si="4"/>
        <v>98475</v>
      </c>
    </row>
    <row r="239" spans="1:195" x14ac:dyDescent="0.25">
      <c r="A239" s="4">
        <f>DATE(2023,8,30)</f>
        <v>45168</v>
      </c>
      <c r="B239">
        <v>153686</v>
      </c>
      <c r="C239">
        <v>750</v>
      </c>
      <c r="M239">
        <v>500</v>
      </c>
      <c r="W239">
        <v>1350</v>
      </c>
      <c r="AG239">
        <v>950</v>
      </c>
      <c r="AQ239">
        <v>2425</v>
      </c>
      <c r="BA239">
        <v>3300</v>
      </c>
      <c r="BK239">
        <v>10375</v>
      </c>
      <c r="BU239">
        <v>11955</v>
      </c>
      <c r="CC239">
        <v>100</v>
      </c>
      <c r="CE239">
        <v>14535</v>
      </c>
      <c r="CO239">
        <v>7750</v>
      </c>
      <c r="CQ239">
        <v>440</v>
      </c>
      <c r="CS239">
        <v>200</v>
      </c>
      <c r="CY239">
        <v>12025</v>
      </c>
      <c r="DA239">
        <v>750</v>
      </c>
      <c r="DC239">
        <v>500</v>
      </c>
      <c r="DI239">
        <v>5336</v>
      </c>
      <c r="DK239">
        <v>40</v>
      </c>
      <c r="DM239">
        <v>150</v>
      </c>
      <c r="DQ239">
        <v>100</v>
      </c>
      <c r="DS239">
        <v>14255</v>
      </c>
      <c r="DW239">
        <v>500</v>
      </c>
      <c r="EC239">
        <v>4889</v>
      </c>
      <c r="EE239">
        <v>525</v>
      </c>
      <c r="EG239">
        <v>650</v>
      </c>
      <c r="EI239">
        <v>50</v>
      </c>
      <c r="EM239">
        <v>2475</v>
      </c>
      <c r="ES239">
        <v>250</v>
      </c>
      <c r="EW239">
        <v>700</v>
      </c>
      <c r="FG239">
        <v>300</v>
      </c>
      <c r="FQ239">
        <v>100</v>
      </c>
      <c r="GM239">
        <f t="shared" si="4"/>
        <v>98225</v>
      </c>
    </row>
    <row r="240" spans="1:195" x14ac:dyDescent="0.25">
      <c r="A240" s="4">
        <f>DATE(2023,8,29)</f>
        <v>45167</v>
      </c>
      <c r="B240">
        <v>153469</v>
      </c>
      <c r="C240">
        <v>750</v>
      </c>
      <c r="M240">
        <v>500</v>
      </c>
      <c r="W240">
        <v>1350</v>
      </c>
      <c r="AG240">
        <v>950</v>
      </c>
      <c r="AQ240">
        <v>2425</v>
      </c>
      <c r="BA240">
        <v>3300</v>
      </c>
      <c r="BK240">
        <v>10375</v>
      </c>
      <c r="BU240">
        <v>11955</v>
      </c>
      <c r="CC240">
        <v>100</v>
      </c>
      <c r="CE240">
        <v>14010</v>
      </c>
      <c r="CO240">
        <v>7650</v>
      </c>
      <c r="CQ240">
        <v>440</v>
      </c>
      <c r="CS240">
        <v>200</v>
      </c>
      <c r="CY240">
        <v>12025</v>
      </c>
      <c r="DA240">
        <v>750</v>
      </c>
      <c r="DC240">
        <v>500</v>
      </c>
      <c r="DI240">
        <v>5336</v>
      </c>
      <c r="DK240">
        <v>40</v>
      </c>
      <c r="DM240">
        <v>150</v>
      </c>
      <c r="DQ240">
        <v>100</v>
      </c>
      <c r="DS240">
        <v>14005</v>
      </c>
      <c r="DW240">
        <v>500</v>
      </c>
      <c r="EC240">
        <v>4889</v>
      </c>
      <c r="EE240">
        <v>525</v>
      </c>
      <c r="EG240">
        <v>650</v>
      </c>
      <c r="EI240">
        <v>50</v>
      </c>
      <c r="EM240">
        <v>2475</v>
      </c>
      <c r="ES240">
        <v>250</v>
      </c>
      <c r="EW240">
        <v>700</v>
      </c>
      <c r="FG240">
        <v>300</v>
      </c>
      <c r="FQ240">
        <v>100</v>
      </c>
      <c r="GM240">
        <f t="shared" si="4"/>
        <v>97350</v>
      </c>
    </row>
    <row r="241" spans="1:195" x14ac:dyDescent="0.25">
      <c r="A241" s="4">
        <f>DATE(2023,8,28)</f>
        <v>45166</v>
      </c>
      <c r="B241">
        <v>151285</v>
      </c>
      <c r="C241">
        <v>750</v>
      </c>
      <c r="M241">
        <v>500</v>
      </c>
      <c r="W241">
        <v>1350</v>
      </c>
      <c r="AG241">
        <v>950</v>
      </c>
      <c r="AQ241">
        <v>2425</v>
      </c>
      <c r="BA241">
        <v>3300</v>
      </c>
      <c r="BK241">
        <v>10375</v>
      </c>
      <c r="BU241">
        <v>11955</v>
      </c>
      <c r="CC241">
        <v>100</v>
      </c>
      <c r="CE241">
        <v>14010</v>
      </c>
      <c r="CO241">
        <v>7650</v>
      </c>
      <c r="CQ241">
        <v>440</v>
      </c>
      <c r="CS241">
        <v>200</v>
      </c>
      <c r="CY241">
        <v>11925</v>
      </c>
      <c r="DA241">
        <v>750</v>
      </c>
      <c r="DC241">
        <v>500</v>
      </c>
      <c r="DI241">
        <v>5336</v>
      </c>
      <c r="DK241">
        <v>40</v>
      </c>
      <c r="DM241">
        <v>150</v>
      </c>
      <c r="DQ241">
        <v>100</v>
      </c>
      <c r="DS241">
        <v>14005</v>
      </c>
      <c r="DW241">
        <v>500</v>
      </c>
      <c r="EC241">
        <v>4889</v>
      </c>
      <c r="EE241">
        <v>525</v>
      </c>
      <c r="EG241">
        <v>650</v>
      </c>
      <c r="EI241">
        <v>50</v>
      </c>
      <c r="EM241">
        <v>2475</v>
      </c>
      <c r="ES241">
        <v>250</v>
      </c>
      <c r="EW241">
        <v>700</v>
      </c>
      <c r="FG241">
        <v>300</v>
      </c>
      <c r="FQ241">
        <v>100</v>
      </c>
      <c r="GM241">
        <f t="shared" si="4"/>
        <v>97250</v>
      </c>
    </row>
    <row r="242" spans="1:195" x14ac:dyDescent="0.25">
      <c r="A242" s="4">
        <f>DATE(2023,8,25)</f>
        <v>45163</v>
      </c>
      <c r="B242">
        <v>151376</v>
      </c>
      <c r="C242">
        <v>750</v>
      </c>
      <c r="M242">
        <v>500</v>
      </c>
      <c r="W242">
        <v>1350</v>
      </c>
      <c r="AG242">
        <v>950</v>
      </c>
      <c r="AQ242">
        <v>2425</v>
      </c>
      <c r="BA242">
        <v>3300</v>
      </c>
      <c r="BK242">
        <v>10375</v>
      </c>
      <c r="BU242">
        <v>11955</v>
      </c>
      <c r="CC242">
        <v>100</v>
      </c>
      <c r="CE242">
        <v>15010</v>
      </c>
      <c r="CO242">
        <v>7650</v>
      </c>
      <c r="CQ242">
        <v>440</v>
      </c>
      <c r="CS242">
        <v>200</v>
      </c>
      <c r="CY242">
        <v>10450</v>
      </c>
      <c r="DA242">
        <v>750</v>
      </c>
      <c r="DC242">
        <v>500</v>
      </c>
      <c r="DI242">
        <v>5336</v>
      </c>
      <c r="DK242">
        <v>40</v>
      </c>
      <c r="DM242">
        <v>150</v>
      </c>
      <c r="DQ242">
        <v>100</v>
      </c>
      <c r="DS242">
        <v>12405</v>
      </c>
      <c r="DW242">
        <v>500</v>
      </c>
      <c r="EC242">
        <v>4989</v>
      </c>
      <c r="EE242">
        <v>525</v>
      </c>
      <c r="EG242">
        <v>650</v>
      </c>
      <c r="EI242">
        <v>50</v>
      </c>
      <c r="EM242">
        <v>2475</v>
      </c>
      <c r="ES242">
        <v>250</v>
      </c>
      <c r="EW242">
        <v>700</v>
      </c>
      <c r="FG242">
        <v>300</v>
      </c>
      <c r="FQ242">
        <v>100</v>
      </c>
      <c r="GM242">
        <f t="shared" si="4"/>
        <v>95275</v>
      </c>
    </row>
    <row r="243" spans="1:195" x14ac:dyDescent="0.25">
      <c r="A243" s="4">
        <f>DATE(2023,8,24)</f>
        <v>45162</v>
      </c>
      <c r="B243">
        <v>151380</v>
      </c>
      <c r="C243">
        <v>750</v>
      </c>
      <c r="M243">
        <v>500</v>
      </c>
      <c r="W243">
        <v>1350</v>
      </c>
      <c r="AG243">
        <v>950</v>
      </c>
      <c r="AQ243">
        <v>2425</v>
      </c>
      <c r="BA243">
        <v>3300</v>
      </c>
      <c r="BK243">
        <v>10375</v>
      </c>
      <c r="BU243">
        <v>11955</v>
      </c>
      <c r="CC243">
        <v>100</v>
      </c>
      <c r="CE243">
        <v>14060</v>
      </c>
      <c r="CO243">
        <v>7650</v>
      </c>
      <c r="CQ243">
        <v>440</v>
      </c>
      <c r="CS243">
        <v>200</v>
      </c>
      <c r="CY243">
        <v>10450</v>
      </c>
      <c r="DA243">
        <v>750</v>
      </c>
      <c r="DC243">
        <v>500</v>
      </c>
      <c r="DI243">
        <v>5336</v>
      </c>
      <c r="DK243">
        <v>40</v>
      </c>
      <c r="DM243">
        <v>150</v>
      </c>
      <c r="DQ243">
        <v>100</v>
      </c>
      <c r="DS243">
        <v>11905</v>
      </c>
      <c r="DW243">
        <v>500</v>
      </c>
      <c r="EC243">
        <v>4989</v>
      </c>
      <c r="EE243">
        <v>525</v>
      </c>
      <c r="EG243">
        <v>650</v>
      </c>
      <c r="EI243">
        <v>50</v>
      </c>
      <c r="EM243">
        <v>2475</v>
      </c>
      <c r="ES243">
        <v>250</v>
      </c>
      <c r="EW243">
        <v>700</v>
      </c>
      <c r="FG243">
        <v>300</v>
      </c>
      <c r="FQ243">
        <v>100</v>
      </c>
      <c r="GM243">
        <f t="shared" si="4"/>
        <v>93825</v>
      </c>
    </row>
    <row r="244" spans="1:195" x14ac:dyDescent="0.25">
      <c r="A244" s="4">
        <f>DATE(2023,8,23)</f>
        <v>45161</v>
      </c>
      <c r="B244">
        <v>151414</v>
      </c>
      <c r="C244">
        <v>750</v>
      </c>
      <c r="M244">
        <v>500</v>
      </c>
      <c r="W244">
        <v>1350</v>
      </c>
      <c r="AG244">
        <v>950</v>
      </c>
      <c r="AQ244">
        <v>2425</v>
      </c>
      <c r="BA244">
        <v>3300</v>
      </c>
      <c r="BK244">
        <v>10375</v>
      </c>
      <c r="BU244">
        <v>11955</v>
      </c>
      <c r="CC244">
        <v>100</v>
      </c>
      <c r="CE244">
        <v>14060</v>
      </c>
      <c r="CO244">
        <v>8150</v>
      </c>
      <c r="CQ244">
        <v>440</v>
      </c>
      <c r="CS244">
        <v>200</v>
      </c>
      <c r="CY244">
        <v>10450</v>
      </c>
      <c r="DA244">
        <v>750</v>
      </c>
      <c r="DC244">
        <v>500</v>
      </c>
      <c r="DI244">
        <v>5086</v>
      </c>
      <c r="DK244">
        <v>40</v>
      </c>
      <c r="DM244">
        <v>150</v>
      </c>
      <c r="DQ244">
        <v>100</v>
      </c>
      <c r="DS244">
        <v>11805</v>
      </c>
      <c r="DW244">
        <v>500</v>
      </c>
      <c r="EC244">
        <v>4989</v>
      </c>
      <c r="EE244">
        <v>525</v>
      </c>
      <c r="EG244">
        <v>650</v>
      </c>
      <c r="EI244">
        <v>50</v>
      </c>
      <c r="EM244">
        <v>2475</v>
      </c>
      <c r="ES244">
        <v>250</v>
      </c>
      <c r="EW244">
        <v>700</v>
      </c>
      <c r="FG244">
        <v>300</v>
      </c>
      <c r="FQ244">
        <v>100</v>
      </c>
      <c r="GM244">
        <f t="shared" si="4"/>
        <v>93975</v>
      </c>
    </row>
    <row r="245" spans="1:195" x14ac:dyDescent="0.25">
      <c r="A245" s="4">
        <f>DATE(2023,8,22)</f>
        <v>45160</v>
      </c>
      <c r="B245">
        <v>149188</v>
      </c>
      <c r="C245">
        <v>750</v>
      </c>
      <c r="M245">
        <v>500</v>
      </c>
      <c r="W245">
        <v>1350</v>
      </c>
      <c r="AG245">
        <v>950</v>
      </c>
      <c r="AQ245">
        <v>2425</v>
      </c>
      <c r="BA245">
        <v>3300</v>
      </c>
      <c r="BK245">
        <v>10375</v>
      </c>
      <c r="BU245">
        <v>11955</v>
      </c>
      <c r="CC245">
        <v>100</v>
      </c>
      <c r="CE245">
        <v>14060</v>
      </c>
      <c r="CO245">
        <v>8150</v>
      </c>
      <c r="CQ245">
        <v>440</v>
      </c>
      <c r="CS245">
        <v>200</v>
      </c>
      <c r="CY245">
        <v>10600</v>
      </c>
      <c r="DA245">
        <v>750</v>
      </c>
      <c r="DC245">
        <v>500</v>
      </c>
      <c r="DI245">
        <v>4886</v>
      </c>
      <c r="DK245">
        <v>40</v>
      </c>
      <c r="DM245">
        <v>150</v>
      </c>
      <c r="DQ245">
        <v>100</v>
      </c>
      <c r="DS245">
        <v>11805</v>
      </c>
      <c r="DW245">
        <v>500</v>
      </c>
      <c r="EC245">
        <v>4989</v>
      </c>
      <c r="EE245">
        <v>525</v>
      </c>
      <c r="EG245">
        <v>650</v>
      </c>
      <c r="EI245">
        <v>50</v>
      </c>
      <c r="EM245">
        <v>2475</v>
      </c>
      <c r="ES245">
        <v>250</v>
      </c>
      <c r="EW245">
        <v>700</v>
      </c>
      <c r="FG245">
        <v>300</v>
      </c>
      <c r="FQ245">
        <v>100</v>
      </c>
      <c r="GM245">
        <f t="shared" si="4"/>
        <v>93925</v>
      </c>
    </row>
    <row r="246" spans="1:195" x14ac:dyDescent="0.25">
      <c r="A246" s="4">
        <f>DATE(2023,8,21)</f>
        <v>45159</v>
      </c>
      <c r="B246">
        <v>149108</v>
      </c>
      <c r="C246">
        <v>750</v>
      </c>
      <c r="M246">
        <v>500</v>
      </c>
      <c r="W246">
        <v>1350</v>
      </c>
      <c r="AG246">
        <v>950</v>
      </c>
      <c r="AQ246">
        <v>2425</v>
      </c>
      <c r="BA246">
        <v>3300</v>
      </c>
      <c r="BK246">
        <v>10725</v>
      </c>
      <c r="BU246">
        <v>11955</v>
      </c>
      <c r="CC246">
        <v>100</v>
      </c>
      <c r="CE246">
        <v>14060</v>
      </c>
      <c r="CO246">
        <v>8050</v>
      </c>
      <c r="CQ246">
        <v>440</v>
      </c>
      <c r="CS246">
        <v>200</v>
      </c>
      <c r="CY246">
        <v>10600</v>
      </c>
      <c r="DA246">
        <v>750</v>
      </c>
      <c r="DC246">
        <v>500</v>
      </c>
      <c r="DI246">
        <v>4886</v>
      </c>
      <c r="DK246">
        <v>40</v>
      </c>
      <c r="DM246">
        <v>150</v>
      </c>
      <c r="DQ246">
        <v>100</v>
      </c>
      <c r="DS246">
        <v>11805</v>
      </c>
      <c r="DW246">
        <v>500</v>
      </c>
      <c r="EC246">
        <v>4989</v>
      </c>
      <c r="EE246">
        <v>525</v>
      </c>
      <c r="EG246">
        <v>650</v>
      </c>
      <c r="EI246">
        <v>50</v>
      </c>
      <c r="EM246">
        <v>2475</v>
      </c>
      <c r="ES246">
        <v>250</v>
      </c>
      <c r="EW246">
        <v>700</v>
      </c>
      <c r="FG246">
        <v>300</v>
      </c>
      <c r="FQ246">
        <v>100</v>
      </c>
      <c r="GM246">
        <f t="shared" si="4"/>
        <v>94175</v>
      </c>
    </row>
    <row r="247" spans="1:195" x14ac:dyDescent="0.25">
      <c r="A247" s="4">
        <f>DATE(2023,8,18)</f>
        <v>45156</v>
      </c>
      <c r="B247">
        <v>148908</v>
      </c>
      <c r="C247">
        <v>750</v>
      </c>
      <c r="M247">
        <v>500</v>
      </c>
      <c r="W247">
        <v>1350</v>
      </c>
      <c r="AG247">
        <v>950</v>
      </c>
      <c r="AQ247">
        <v>2425</v>
      </c>
      <c r="BA247">
        <v>3300</v>
      </c>
      <c r="BK247">
        <v>10975</v>
      </c>
      <c r="BU247">
        <v>11955</v>
      </c>
      <c r="CC247">
        <v>100</v>
      </c>
      <c r="CE247">
        <v>13710</v>
      </c>
      <c r="CO247">
        <v>7950</v>
      </c>
      <c r="CQ247">
        <v>440</v>
      </c>
      <c r="CS247">
        <v>200</v>
      </c>
      <c r="CY247">
        <v>10600</v>
      </c>
      <c r="DA247">
        <v>750</v>
      </c>
      <c r="DC247">
        <v>500</v>
      </c>
      <c r="DI247">
        <v>4886</v>
      </c>
      <c r="DK247">
        <v>40</v>
      </c>
      <c r="DM247">
        <v>150</v>
      </c>
      <c r="DQ247">
        <v>100</v>
      </c>
      <c r="DS247">
        <v>11805</v>
      </c>
      <c r="DW247">
        <v>500</v>
      </c>
      <c r="EC247">
        <v>4989</v>
      </c>
      <c r="EE247">
        <v>525</v>
      </c>
      <c r="EG247">
        <v>650</v>
      </c>
      <c r="EI247">
        <v>50</v>
      </c>
      <c r="EM247">
        <v>2475</v>
      </c>
      <c r="ES247">
        <v>250</v>
      </c>
      <c r="EW247">
        <v>700</v>
      </c>
      <c r="FG247">
        <v>300</v>
      </c>
      <c r="FQ247">
        <v>100</v>
      </c>
      <c r="GM247">
        <f t="shared" si="4"/>
        <v>93975</v>
      </c>
    </row>
    <row r="248" spans="1:195" x14ac:dyDescent="0.25">
      <c r="A248" s="4">
        <f>DATE(2023,8,17)</f>
        <v>45155</v>
      </c>
      <c r="B248">
        <v>148630</v>
      </c>
      <c r="C248">
        <v>750</v>
      </c>
      <c r="M248">
        <v>500</v>
      </c>
      <c r="W248">
        <v>1350</v>
      </c>
      <c r="AG248">
        <v>950</v>
      </c>
      <c r="AQ248">
        <v>2425</v>
      </c>
      <c r="BA248">
        <v>3300</v>
      </c>
      <c r="BK248">
        <v>10975</v>
      </c>
      <c r="BU248">
        <v>11955</v>
      </c>
      <c r="CC248">
        <v>100</v>
      </c>
      <c r="CE248">
        <v>13710</v>
      </c>
      <c r="CO248">
        <v>7950</v>
      </c>
      <c r="CQ248">
        <v>440</v>
      </c>
      <c r="CS248">
        <v>200</v>
      </c>
      <c r="CY248">
        <v>10600</v>
      </c>
      <c r="DA248">
        <v>750</v>
      </c>
      <c r="DC248">
        <v>500</v>
      </c>
      <c r="DI248">
        <v>4886</v>
      </c>
      <c r="DK248">
        <v>40</v>
      </c>
      <c r="DM248">
        <v>150</v>
      </c>
      <c r="DQ248">
        <v>100</v>
      </c>
      <c r="DS248">
        <v>11705</v>
      </c>
      <c r="DW248">
        <v>500</v>
      </c>
      <c r="EC248">
        <v>4989</v>
      </c>
      <c r="EE248">
        <v>525</v>
      </c>
      <c r="EG248">
        <v>650</v>
      </c>
      <c r="EI248">
        <v>50</v>
      </c>
      <c r="EM248">
        <v>2475</v>
      </c>
      <c r="ES248">
        <v>250</v>
      </c>
      <c r="EW248">
        <v>700</v>
      </c>
      <c r="FG248">
        <v>300</v>
      </c>
      <c r="FQ248">
        <v>100</v>
      </c>
      <c r="GM248">
        <f t="shared" si="4"/>
        <v>93875</v>
      </c>
    </row>
    <row r="249" spans="1:195" x14ac:dyDescent="0.25">
      <c r="A249" s="4">
        <f>DATE(2023,8,16)</f>
        <v>45154</v>
      </c>
      <c r="B249">
        <v>148909</v>
      </c>
      <c r="C249">
        <v>750</v>
      </c>
      <c r="M249">
        <v>500</v>
      </c>
      <c r="W249">
        <v>1350</v>
      </c>
      <c r="AG249">
        <v>950</v>
      </c>
      <c r="AQ249">
        <v>2425</v>
      </c>
      <c r="BA249">
        <v>3300</v>
      </c>
      <c r="BK249">
        <v>10975</v>
      </c>
      <c r="BU249">
        <v>11955</v>
      </c>
      <c r="CC249">
        <v>100</v>
      </c>
      <c r="CE249">
        <v>13710</v>
      </c>
      <c r="CO249">
        <v>7950</v>
      </c>
      <c r="CQ249">
        <v>440</v>
      </c>
      <c r="CS249">
        <v>200</v>
      </c>
      <c r="CY249">
        <v>10600</v>
      </c>
      <c r="DA249">
        <v>750</v>
      </c>
      <c r="DC249">
        <v>500</v>
      </c>
      <c r="DI249">
        <v>4786</v>
      </c>
      <c r="DK249">
        <v>40</v>
      </c>
      <c r="DM249">
        <v>150</v>
      </c>
      <c r="DQ249">
        <v>100</v>
      </c>
      <c r="DS249">
        <v>11705</v>
      </c>
      <c r="DW249">
        <v>500</v>
      </c>
      <c r="EC249">
        <v>4989</v>
      </c>
      <c r="EE249">
        <v>525</v>
      </c>
      <c r="EG249">
        <v>650</v>
      </c>
      <c r="EI249">
        <v>50</v>
      </c>
      <c r="EM249">
        <v>2475</v>
      </c>
      <c r="ES249">
        <v>250</v>
      </c>
      <c r="EW249">
        <v>700</v>
      </c>
      <c r="FG249">
        <v>300</v>
      </c>
      <c r="FQ249">
        <v>100</v>
      </c>
      <c r="GM249">
        <f t="shared" si="4"/>
        <v>93775</v>
      </c>
    </row>
    <row r="250" spans="1:195" x14ac:dyDescent="0.25">
      <c r="A250" s="4">
        <f>DATE(2023,8,15)</f>
        <v>45153</v>
      </c>
      <c r="B250">
        <v>148794</v>
      </c>
      <c r="C250">
        <v>750</v>
      </c>
      <c r="M250">
        <v>500</v>
      </c>
      <c r="W250">
        <v>1350</v>
      </c>
      <c r="AG250">
        <v>950</v>
      </c>
      <c r="AQ250">
        <v>3175</v>
      </c>
      <c r="BA250">
        <v>3300</v>
      </c>
      <c r="BK250">
        <v>10975</v>
      </c>
      <c r="BU250">
        <v>11955</v>
      </c>
      <c r="CC250">
        <v>100</v>
      </c>
      <c r="CE250">
        <v>13960</v>
      </c>
      <c r="CO250">
        <v>7950</v>
      </c>
      <c r="CQ250">
        <v>440</v>
      </c>
      <c r="CS250">
        <v>200</v>
      </c>
      <c r="CY250">
        <v>10600</v>
      </c>
      <c r="DA250">
        <v>750</v>
      </c>
      <c r="DC250">
        <v>500</v>
      </c>
      <c r="DI250">
        <v>4786</v>
      </c>
      <c r="DK250">
        <v>40</v>
      </c>
      <c r="DM250">
        <v>150</v>
      </c>
      <c r="DQ250">
        <v>100</v>
      </c>
      <c r="DS250">
        <v>11705</v>
      </c>
      <c r="DW250">
        <v>500</v>
      </c>
      <c r="EC250">
        <v>4989</v>
      </c>
      <c r="EE250">
        <v>525</v>
      </c>
      <c r="EG250">
        <v>650</v>
      </c>
      <c r="EI250">
        <v>50</v>
      </c>
      <c r="EM250">
        <v>2475</v>
      </c>
      <c r="ES250">
        <v>250</v>
      </c>
      <c r="EW250">
        <v>700</v>
      </c>
      <c r="FG250">
        <v>300</v>
      </c>
      <c r="FQ250">
        <v>100</v>
      </c>
      <c r="GM250">
        <f t="shared" si="4"/>
        <v>94775</v>
      </c>
    </row>
    <row r="251" spans="1:195" x14ac:dyDescent="0.25">
      <c r="A251" s="4">
        <f>DATE(2023,8,14)</f>
        <v>45152</v>
      </c>
      <c r="B251">
        <v>148700</v>
      </c>
      <c r="C251">
        <v>750</v>
      </c>
      <c r="M251">
        <v>500</v>
      </c>
      <c r="W251">
        <v>1350</v>
      </c>
      <c r="AG251">
        <v>950</v>
      </c>
      <c r="AQ251">
        <v>3175</v>
      </c>
      <c r="BA251">
        <v>3300</v>
      </c>
      <c r="BK251">
        <v>10975</v>
      </c>
      <c r="BU251">
        <v>11705</v>
      </c>
      <c r="CC251">
        <v>100</v>
      </c>
      <c r="CE251">
        <v>13460</v>
      </c>
      <c r="CO251">
        <v>7950</v>
      </c>
      <c r="CQ251">
        <v>440</v>
      </c>
      <c r="CS251">
        <v>200</v>
      </c>
      <c r="CY251">
        <v>10525</v>
      </c>
      <c r="DA251">
        <v>750</v>
      </c>
      <c r="DC251">
        <v>500</v>
      </c>
      <c r="DI251">
        <v>4786</v>
      </c>
      <c r="DK251">
        <v>40</v>
      </c>
      <c r="DM251">
        <v>150</v>
      </c>
      <c r="DQ251">
        <v>100</v>
      </c>
      <c r="DS251">
        <v>11705</v>
      </c>
      <c r="DW251">
        <v>500</v>
      </c>
      <c r="EC251">
        <v>4914</v>
      </c>
      <c r="EE251">
        <v>525</v>
      </c>
      <c r="EG251">
        <v>650</v>
      </c>
      <c r="EI251">
        <v>50</v>
      </c>
      <c r="EM251">
        <v>2475</v>
      </c>
      <c r="ES251">
        <v>250</v>
      </c>
      <c r="EW251">
        <v>700</v>
      </c>
      <c r="FG251">
        <v>300</v>
      </c>
      <c r="FQ251">
        <v>100</v>
      </c>
      <c r="GM251">
        <f t="shared" si="4"/>
        <v>93875</v>
      </c>
    </row>
    <row r="252" spans="1:195" x14ac:dyDescent="0.25">
      <c r="A252" s="4">
        <f>DATE(2023,8,11)</f>
        <v>45149</v>
      </c>
      <c r="B252">
        <v>148625</v>
      </c>
      <c r="C252">
        <v>750</v>
      </c>
      <c r="M252">
        <v>500</v>
      </c>
      <c r="W252">
        <v>1350</v>
      </c>
      <c r="AG252">
        <v>950</v>
      </c>
      <c r="AQ252">
        <v>3175</v>
      </c>
      <c r="BA252">
        <v>3300</v>
      </c>
      <c r="BK252">
        <v>10975</v>
      </c>
      <c r="BU252">
        <v>11705</v>
      </c>
      <c r="CC252">
        <v>100</v>
      </c>
      <c r="CE252">
        <v>13460</v>
      </c>
      <c r="CO252">
        <v>7950</v>
      </c>
      <c r="CQ252">
        <v>440</v>
      </c>
      <c r="CS252">
        <v>200</v>
      </c>
      <c r="CY252">
        <v>10525</v>
      </c>
      <c r="DA252">
        <v>750</v>
      </c>
      <c r="DC252">
        <v>500</v>
      </c>
      <c r="DI252">
        <v>4786</v>
      </c>
      <c r="DK252">
        <v>40</v>
      </c>
      <c r="DM252">
        <v>150</v>
      </c>
      <c r="DQ252">
        <v>100</v>
      </c>
      <c r="DS252">
        <v>11705</v>
      </c>
      <c r="DW252">
        <v>500</v>
      </c>
      <c r="EC252">
        <v>4914</v>
      </c>
      <c r="EE252">
        <v>525</v>
      </c>
      <c r="EG252">
        <v>650</v>
      </c>
      <c r="EI252">
        <v>50</v>
      </c>
      <c r="EM252">
        <v>2475</v>
      </c>
      <c r="ES252">
        <v>250</v>
      </c>
      <c r="EW252">
        <v>700</v>
      </c>
      <c r="FG252">
        <v>300</v>
      </c>
      <c r="FQ252">
        <v>100</v>
      </c>
      <c r="GM252">
        <f t="shared" si="4"/>
        <v>93875</v>
      </c>
    </row>
    <row r="253" spans="1:195" x14ac:dyDescent="0.25">
      <c r="A253" s="4">
        <f>DATE(2023,8,10)</f>
        <v>45148</v>
      </c>
      <c r="B253">
        <v>148617</v>
      </c>
      <c r="C253">
        <v>750</v>
      </c>
      <c r="M253">
        <v>500</v>
      </c>
      <c r="W253">
        <v>1350</v>
      </c>
      <c r="AG253">
        <v>950</v>
      </c>
      <c r="AQ253">
        <v>3175</v>
      </c>
      <c r="BA253">
        <v>3300</v>
      </c>
      <c r="BK253">
        <v>10975</v>
      </c>
      <c r="BU253">
        <v>11705</v>
      </c>
      <c r="CC253">
        <v>100</v>
      </c>
      <c r="CE253">
        <v>13460</v>
      </c>
      <c r="CO253">
        <v>7950</v>
      </c>
      <c r="CQ253">
        <v>440</v>
      </c>
      <c r="CS253">
        <v>200</v>
      </c>
      <c r="CY253">
        <v>10525</v>
      </c>
      <c r="DA253">
        <v>750</v>
      </c>
      <c r="DC253">
        <v>500</v>
      </c>
      <c r="DI253">
        <v>4786</v>
      </c>
      <c r="DK253">
        <v>40</v>
      </c>
      <c r="DM253">
        <v>150</v>
      </c>
      <c r="DQ253">
        <v>100</v>
      </c>
      <c r="DS253">
        <v>11705</v>
      </c>
      <c r="DW253">
        <v>500</v>
      </c>
      <c r="EC253">
        <v>4914</v>
      </c>
      <c r="EE253">
        <v>525</v>
      </c>
      <c r="EG253">
        <v>650</v>
      </c>
      <c r="EI253">
        <v>50</v>
      </c>
      <c r="EM253">
        <v>2475</v>
      </c>
      <c r="ES253">
        <v>250</v>
      </c>
      <c r="EW253">
        <v>700</v>
      </c>
      <c r="FG253">
        <v>300</v>
      </c>
      <c r="FQ253">
        <v>100</v>
      </c>
      <c r="GM253">
        <f t="shared" si="4"/>
        <v>93875</v>
      </c>
    </row>
    <row r="254" spans="1:195" x14ac:dyDescent="0.25">
      <c r="A254" s="4">
        <f>DATE(2023,8,9)</f>
        <v>45147</v>
      </c>
      <c r="B254">
        <v>148261</v>
      </c>
      <c r="C254">
        <v>750</v>
      </c>
      <c r="M254">
        <v>500</v>
      </c>
      <c r="W254">
        <v>1350</v>
      </c>
      <c r="AG254">
        <v>950</v>
      </c>
      <c r="AQ254">
        <v>3175</v>
      </c>
      <c r="BA254">
        <v>3300</v>
      </c>
      <c r="BK254">
        <v>10950</v>
      </c>
      <c r="BU254">
        <v>11705</v>
      </c>
      <c r="CC254">
        <v>100</v>
      </c>
      <c r="CE254">
        <v>13110</v>
      </c>
      <c r="CO254">
        <v>7950</v>
      </c>
      <c r="CQ254">
        <v>440</v>
      </c>
      <c r="CS254">
        <v>200</v>
      </c>
      <c r="CY254">
        <v>10525</v>
      </c>
      <c r="DA254">
        <v>750</v>
      </c>
      <c r="DC254">
        <v>500</v>
      </c>
      <c r="DI254">
        <v>4786</v>
      </c>
      <c r="DK254">
        <v>40</v>
      </c>
      <c r="DM254">
        <v>150</v>
      </c>
      <c r="DQ254">
        <v>100</v>
      </c>
      <c r="DS254">
        <v>11705</v>
      </c>
      <c r="DW254">
        <v>500</v>
      </c>
      <c r="EC254">
        <v>4914</v>
      </c>
      <c r="EE254">
        <v>525</v>
      </c>
      <c r="EG254">
        <v>650</v>
      </c>
      <c r="EI254">
        <v>50</v>
      </c>
      <c r="EM254">
        <v>2475</v>
      </c>
      <c r="ES254">
        <v>250</v>
      </c>
      <c r="EW254">
        <v>700</v>
      </c>
      <c r="FG254">
        <v>300</v>
      </c>
      <c r="FQ254">
        <v>100</v>
      </c>
      <c r="GM254">
        <f t="shared" si="4"/>
        <v>93500</v>
      </c>
    </row>
    <row r="255" spans="1:195" x14ac:dyDescent="0.25">
      <c r="A255" s="4">
        <f>DATE(2023,8,8)</f>
        <v>45146</v>
      </c>
      <c r="B255">
        <v>148545</v>
      </c>
      <c r="C255">
        <v>750</v>
      </c>
      <c r="M255">
        <v>500</v>
      </c>
      <c r="W255">
        <v>1350</v>
      </c>
      <c r="AG255">
        <v>950</v>
      </c>
      <c r="AQ255">
        <v>3175</v>
      </c>
      <c r="BA255">
        <v>3300</v>
      </c>
      <c r="BK255">
        <v>10950</v>
      </c>
      <c r="BU255">
        <v>11705</v>
      </c>
      <c r="CC255">
        <v>100</v>
      </c>
      <c r="CE255">
        <v>12860</v>
      </c>
      <c r="CO255">
        <v>7950</v>
      </c>
      <c r="CQ255">
        <v>440</v>
      </c>
      <c r="CS255">
        <v>200</v>
      </c>
      <c r="CY255">
        <v>10525</v>
      </c>
      <c r="DA255">
        <v>750</v>
      </c>
      <c r="DC255">
        <v>500</v>
      </c>
      <c r="DI255">
        <v>4786</v>
      </c>
      <c r="DK255">
        <v>40</v>
      </c>
      <c r="DM255">
        <v>150</v>
      </c>
      <c r="DQ255">
        <v>100</v>
      </c>
      <c r="DS255">
        <v>11695</v>
      </c>
      <c r="DW255">
        <v>500</v>
      </c>
      <c r="EC255">
        <v>4914</v>
      </c>
      <c r="EE255">
        <v>525</v>
      </c>
      <c r="EG255">
        <v>650</v>
      </c>
      <c r="EI255">
        <v>50</v>
      </c>
      <c r="EM255">
        <v>2475</v>
      </c>
      <c r="ES255">
        <v>250</v>
      </c>
      <c r="EW255">
        <v>700</v>
      </c>
      <c r="FG255">
        <v>300</v>
      </c>
      <c r="FQ255">
        <v>100</v>
      </c>
      <c r="GM255">
        <f t="shared" si="4"/>
        <v>93240</v>
      </c>
    </row>
    <row r="256" spans="1:195" x14ac:dyDescent="0.25">
      <c r="A256" s="4">
        <f>DATE(2023,8,7)</f>
        <v>45145</v>
      </c>
      <c r="B256">
        <v>148108</v>
      </c>
      <c r="C256">
        <v>750</v>
      </c>
      <c r="M256">
        <v>500</v>
      </c>
      <c r="W256">
        <v>1350</v>
      </c>
      <c r="AG256">
        <v>950</v>
      </c>
      <c r="AQ256">
        <v>3375</v>
      </c>
      <c r="BA256">
        <v>3300</v>
      </c>
      <c r="BK256">
        <v>10950</v>
      </c>
      <c r="BU256">
        <v>11705</v>
      </c>
      <c r="CC256">
        <v>100</v>
      </c>
      <c r="CE256">
        <v>11935</v>
      </c>
      <c r="CO256">
        <v>7950</v>
      </c>
      <c r="CQ256">
        <v>440</v>
      </c>
      <c r="CS256">
        <v>200</v>
      </c>
      <c r="CY256">
        <v>10125</v>
      </c>
      <c r="DA256">
        <v>750</v>
      </c>
      <c r="DC256">
        <v>500</v>
      </c>
      <c r="DI256">
        <v>4236</v>
      </c>
      <c r="DK256">
        <v>40</v>
      </c>
      <c r="DM256">
        <v>150</v>
      </c>
      <c r="DQ256">
        <v>100</v>
      </c>
      <c r="DS256">
        <v>10470</v>
      </c>
      <c r="DW256">
        <v>500</v>
      </c>
      <c r="EC256">
        <v>4114</v>
      </c>
      <c r="EE256">
        <v>525</v>
      </c>
      <c r="EG256">
        <v>650</v>
      </c>
      <c r="EI256">
        <v>50</v>
      </c>
      <c r="EM256">
        <v>2475</v>
      </c>
      <c r="ES256">
        <v>250</v>
      </c>
      <c r="EW256">
        <v>700</v>
      </c>
      <c r="FG256">
        <v>300</v>
      </c>
      <c r="FQ256">
        <v>100</v>
      </c>
      <c r="GM256">
        <f t="shared" si="4"/>
        <v>89540</v>
      </c>
    </row>
    <row r="257" spans="1:195" x14ac:dyDescent="0.25">
      <c r="A257" s="4">
        <f>DATE(2023,8,4)</f>
        <v>45142</v>
      </c>
      <c r="B257">
        <v>147872</v>
      </c>
      <c r="C257">
        <v>750</v>
      </c>
      <c r="M257">
        <v>500</v>
      </c>
      <c r="W257">
        <v>1350</v>
      </c>
      <c r="AG257">
        <v>950</v>
      </c>
      <c r="AQ257">
        <v>3375</v>
      </c>
      <c r="BA257">
        <v>3300</v>
      </c>
      <c r="BK257">
        <v>10950</v>
      </c>
      <c r="BU257">
        <v>11705</v>
      </c>
      <c r="CC257">
        <v>100</v>
      </c>
      <c r="CE257">
        <v>11935</v>
      </c>
      <c r="CO257">
        <v>7950</v>
      </c>
      <c r="CQ257">
        <v>440</v>
      </c>
      <c r="CS257">
        <v>200</v>
      </c>
      <c r="CY257">
        <v>10125</v>
      </c>
      <c r="DA257">
        <v>750</v>
      </c>
      <c r="DC257">
        <v>500</v>
      </c>
      <c r="DI257">
        <v>4236</v>
      </c>
      <c r="DK257">
        <v>40</v>
      </c>
      <c r="DM257">
        <v>150</v>
      </c>
      <c r="DQ257">
        <v>100</v>
      </c>
      <c r="DS257">
        <v>10270</v>
      </c>
      <c r="DW257">
        <v>500</v>
      </c>
      <c r="EC257">
        <v>4114</v>
      </c>
      <c r="EE257">
        <v>525</v>
      </c>
      <c r="EG257">
        <v>650</v>
      </c>
      <c r="EI257">
        <v>50</v>
      </c>
      <c r="EM257">
        <v>2475</v>
      </c>
      <c r="ES257">
        <v>250</v>
      </c>
      <c r="EW257">
        <v>700</v>
      </c>
      <c r="FG257">
        <v>300</v>
      </c>
      <c r="FQ257">
        <v>100</v>
      </c>
      <c r="GM257">
        <f t="shared" si="4"/>
        <v>89340</v>
      </c>
    </row>
    <row r="258" spans="1:195" x14ac:dyDescent="0.25">
      <c r="A258" s="4">
        <f>DATE(2023,8,3)</f>
        <v>45141</v>
      </c>
      <c r="B258">
        <v>147445</v>
      </c>
      <c r="C258">
        <v>750</v>
      </c>
      <c r="M258">
        <v>500</v>
      </c>
      <c r="W258">
        <v>1350</v>
      </c>
      <c r="AG258">
        <v>950</v>
      </c>
      <c r="AQ258">
        <v>3375</v>
      </c>
      <c r="BA258">
        <v>3300</v>
      </c>
      <c r="BK258">
        <v>10950</v>
      </c>
      <c r="BU258">
        <v>11705</v>
      </c>
      <c r="CC258">
        <v>100</v>
      </c>
      <c r="CE258">
        <v>11585</v>
      </c>
      <c r="CO258">
        <v>8150</v>
      </c>
      <c r="CQ258">
        <v>440</v>
      </c>
      <c r="CS258">
        <v>200</v>
      </c>
      <c r="CY258">
        <v>9900</v>
      </c>
      <c r="DA258">
        <v>750</v>
      </c>
      <c r="DC258">
        <v>500</v>
      </c>
      <c r="DI258">
        <v>4236</v>
      </c>
      <c r="DK258">
        <v>40</v>
      </c>
      <c r="DM258">
        <v>150</v>
      </c>
      <c r="DQ258">
        <v>100</v>
      </c>
      <c r="DS258">
        <v>10270</v>
      </c>
      <c r="DW258">
        <v>500</v>
      </c>
      <c r="EC258">
        <v>4114</v>
      </c>
      <c r="EE258">
        <v>525</v>
      </c>
      <c r="EG258">
        <v>650</v>
      </c>
      <c r="EI258">
        <v>50</v>
      </c>
      <c r="EM258">
        <v>2475</v>
      </c>
      <c r="ES258">
        <v>250</v>
      </c>
      <c r="EW258">
        <v>700</v>
      </c>
      <c r="FG258">
        <v>300</v>
      </c>
      <c r="FQ258">
        <v>100</v>
      </c>
      <c r="GM258">
        <f t="shared" si="4"/>
        <v>88965</v>
      </c>
    </row>
    <row r="259" spans="1:195" x14ac:dyDescent="0.25">
      <c r="A259" s="4">
        <f>DATE(2023,8,2)</f>
        <v>45140</v>
      </c>
      <c r="B259">
        <v>147247</v>
      </c>
      <c r="C259">
        <v>750</v>
      </c>
      <c r="M259">
        <v>500</v>
      </c>
      <c r="W259">
        <v>1350</v>
      </c>
      <c r="AG259">
        <v>950</v>
      </c>
      <c r="AQ259">
        <v>3375</v>
      </c>
      <c r="BA259">
        <v>3300</v>
      </c>
      <c r="BK259">
        <v>10950</v>
      </c>
      <c r="BU259">
        <v>11705</v>
      </c>
      <c r="CC259">
        <v>100</v>
      </c>
      <c r="CE259">
        <v>9985</v>
      </c>
      <c r="CO259">
        <v>8150</v>
      </c>
      <c r="CQ259">
        <v>440</v>
      </c>
      <c r="CS259">
        <v>200</v>
      </c>
      <c r="CY259">
        <v>9900</v>
      </c>
      <c r="DA259">
        <v>750</v>
      </c>
      <c r="DC259">
        <v>500</v>
      </c>
      <c r="DI259">
        <v>4236</v>
      </c>
      <c r="DK259">
        <v>40</v>
      </c>
      <c r="DM259">
        <v>150</v>
      </c>
      <c r="DQ259">
        <v>100</v>
      </c>
      <c r="DS259">
        <v>10270</v>
      </c>
      <c r="DW259">
        <v>500</v>
      </c>
      <c r="EC259">
        <v>3864</v>
      </c>
      <c r="EE259">
        <v>525</v>
      </c>
      <c r="EG259">
        <v>650</v>
      </c>
      <c r="EI259">
        <v>50</v>
      </c>
      <c r="EM259">
        <v>2475</v>
      </c>
      <c r="ES259">
        <v>250</v>
      </c>
      <c r="EW259">
        <v>700</v>
      </c>
      <c r="FG259">
        <v>300</v>
      </c>
      <c r="FQ259">
        <v>100</v>
      </c>
      <c r="GM259">
        <f t="shared" si="4"/>
        <v>87115</v>
      </c>
    </row>
    <row r="260" spans="1:195" x14ac:dyDescent="0.25">
      <c r="A260" s="4">
        <f>DATE(2023,8,1)</f>
        <v>45139</v>
      </c>
      <c r="B260">
        <v>146058</v>
      </c>
      <c r="C260">
        <v>750</v>
      </c>
      <c r="M260">
        <v>500</v>
      </c>
      <c r="W260">
        <v>1350</v>
      </c>
      <c r="AG260">
        <v>950</v>
      </c>
      <c r="AQ260">
        <v>3375</v>
      </c>
      <c r="BA260">
        <v>3300</v>
      </c>
      <c r="BK260">
        <v>10600</v>
      </c>
      <c r="BU260">
        <v>11705</v>
      </c>
      <c r="CC260">
        <v>100</v>
      </c>
      <c r="CE260">
        <v>9965</v>
      </c>
      <c r="CO260">
        <v>8150</v>
      </c>
      <c r="CQ260">
        <v>440</v>
      </c>
      <c r="CS260">
        <v>200</v>
      </c>
      <c r="CY260">
        <v>9700</v>
      </c>
      <c r="DA260">
        <v>750</v>
      </c>
      <c r="DC260">
        <v>500</v>
      </c>
      <c r="DI260">
        <v>4136</v>
      </c>
      <c r="DK260">
        <v>40</v>
      </c>
      <c r="DM260">
        <v>150</v>
      </c>
      <c r="DQ260">
        <v>100</v>
      </c>
      <c r="DS260">
        <v>10270</v>
      </c>
      <c r="DW260">
        <v>500</v>
      </c>
      <c r="EC260">
        <v>3764</v>
      </c>
      <c r="EE260">
        <v>525</v>
      </c>
      <c r="EG260">
        <v>650</v>
      </c>
      <c r="EI260">
        <v>50</v>
      </c>
      <c r="EM260">
        <v>2475</v>
      </c>
      <c r="ES260">
        <v>250</v>
      </c>
      <c r="EW260">
        <v>700</v>
      </c>
      <c r="FG260">
        <v>300</v>
      </c>
      <c r="FQ260">
        <v>100</v>
      </c>
      <c r="GM260">
        <f t="shared" si="4"/>
        <v>86345</v>
      </c>
    </row>
    <row r="261" spans="1:195" x14ac:dyDescent="0.25">
      <c r="A261" s="4">
        <f>DATE(2023,7,31)</f>
        <v>45138</v>
      </c>
      <c r="B261">
        <v>144732</v>
      </c>
      <c r="C261">
        <v>750</v>
      </c>
      <c r="M261">
        <v>500</v>
      </c>
      <c r="W261">
        <v>1350</v>
      </c>
      <c r="AG261">
        <v>950</v>
      </c>
      <c r="AQ261">
        <v>3375</v>
      </c>
      <c r="BA261">
        <v>3300</v>
      </c>
      <c r="BK261">
        <v>10600</v>
      </c>
      <c r="BU261">
        <v>11705</v>
      </c>
      <c r="CC261">
        <v>100</v>
      </c>
      <c r="CE261">
        <v>9965</v>
      </c>
      <c r="CO261">
        <v>8425</v>
      </c>
      <c r="CQ261">
        <v>440</v>
      </c>
      <c r="CS261">
        <v>200</v>
      </c>
      <c r="CY261">
        <v>8600</v>
      </c>
      <c r="DA261">
        <v>750</v>
      </c>
      <c r="DC261">
        <v>500</v>
      </c>
      <c r="DI261">
        <v>4136</v>
      </c>
      <c r="DK261">
        <v>40</v>
      </c>
      <c r="DM261">
        <v>150</v>
      </c>
      <c r="DQ261">
        <v>100</v>
      </c>
      <c r="DS261">
        <v>10120</v>
      </c>
      <c r="DW261">
        <v>500</v>
      </c>
      <c r="EC261">
        <v>3739</v>
      </c>
      <c r="EE261">
        <v>525</v>
      </c>
      <c r="EG261">
        <v>650</v>
      </c>
      <c r="EI261">
        <v>50</v>
      </c>
      <c r="EM261">
        <v>2475</v>
      </c>
      <c r="ES261">
        <v>250</v>
      </c>
      <c r="EW261">
        <v>700</v>
      </c>
      <c r="FG261">
        <v>300</v>
      </c>
      <c r="FQ261">
        <v>100</v>
      </c>
      <c r="GM261">
        <f t="shared" si="4"/>
        <v>85345</v>
      </c>
    </row>
    <row r="262" spans="1:195" x14ac:dyDescent="0.25">
      <c r="A262" s="4">
        <f>DATE(2023,7,28)</f>
        <v>45135</v>
      </c>
      <c r="B262">
        <v>144308</v>
      </c>
      <c r="C262">
        <v>750</v>
      </c>
      <c r="M262">
        <v>500</v>
      </c>
      <c r="W262">
        <v>1350</v>
      </c>
      <c r="AG262">
        <v>950</v>
      </c>
      <c r="AQ262">
        <v>3375</v>
      </c>
      <c r="BA262">
        <v>2800</v>
      </c>
      <c r="BK262">
        <v>10600</v>
      </c>
      <c r="BU262">
        <v>10705</v>
      </c>
      <c r="CC262">
        <v>100</v>
      </c>
      <c r="CE262">
        <v>9965</v>
      </c>
      <c r="CO262">
        <v>8175</v>
      </c>
      <c r="CQ262">
        <v>440</v>
      </c>
      <c r="CS262">
        <v>200</v>
      </c>
      <c r="CY262">
        <v>8625</v>
      </c>
      <c r="DA262">
        <v>750</v>
      </c>
      <c r="DC262">
        <v>500</v>
      </c>
      <c r="DI262">
        <v>4136</v>
      </c>
      <c r="DK262">
        <v>40</v>
      </c>
      <c r="DM262">
        <v>150</v>
      </c>
      <c r="DQ262">
        <v>100</v>
      </c>
      <c r="DS262">
        <v>10395</v>
      </c>
      <c r="DW262">
        <v>500</v>
      </c>
      <c r="EC262">
        <v>3789</v>
      </c>
      <c r="EE262">
        <v>525</v>
      </c>
      <c r="EG262">
        <v>650</v>
      </c>
      <c r="EI262">
        <v>50</v>
      </c>
      <c r="EM262">
        <v>2475</v>
      </c>
      <c r="ES262">
        <v>250</v>
      </c>
      <c r="EW262">
        <v>700</v>
      </c>
      <c r="FG262">
        <v>300</v>
      </c>
      <c r="FQ262">
        <v>100</v>
      </c>
      <c r="GM262">
        <f t="shared" si="4"/>
        <v>83945</v>
      </c>
    </row>
    <row r="263" spans="1:195" x14ac:dyDescent="0.25">
      <c r="A263" s="4">
        <f>DATE(2023,7,27)</f>
        <v>45134</v>
      </c>
      <c r="B263">
        <v>144129</v>
      </c>
      <c r="C263">
        <v>750</v>
      </c>
      <c r="M263">
        <v>500</v>
      </c>
      <c r="W263">
        <v>1350</v>
      </c>
      <c r="AG263">
        <v>950</v>
      </c>
      <c r="AQ263">
        <v>3375</v>
      </c>
      <c r="BA263">
        <v>2800</v>
      </c>
      <c r="BK263">
        <v>10600</v>
      </c>
      <c r="BU263">
        <v>10705</v>
      </c>
      <c r="CC263">
        <v>100</v>
      </c>
      <c r="CE263">
        <v>9965</v>
      </c>
      <c r="CO263">
        <v>8300</v>
      </c>
      <c r="CQ263">
        <v>440</v>
      </c>
      <c r="CS263">
        <v>200</v>
      </c>
      <c r="CY263">
        <v>8625</v>
      </c>
      <c r="DA263">
        <v>750</v>
      </c>
      <c r="DC263">
        <v>500</v>
      </c>
      <c r="DI263">
        <v>4025</v>
      </c>
      <c r="DK263">
        <v>40</v>
      </c>
      <c r="DM263">
        <v>150</v>
      </c>
      <c r="DQ263">
        <v>100</v>
      </c>
      <c r="DS263">
        <v>10395</v>
      </c>
      <c r="DW263">
        <v>500</v>
      </c>
      <c r="EC263">
        <v>3740</v>
      </c>
      <c r="EE263">
        <v>525</v>
      </c>
      <c r="EG263">
        <v>650</v>
      </c>
      <c r="EI263">
        <v>50</v>
      </c>
      <c r="EM263">
        <v>2475</v>
      </c>
      <c r="ES263">
        <v>250</v>
      </c>
      <c r="EW263">
        <v>700</v>
      </c>
      <c r="FG263">
        <v>300</v>
      </c>
      <c r="FQ263">
        <v>100</v>
      </c>
      <c r="GM263">
        <f t="shared" si="4"/>
        <v>83910</v>
      </c>
    </row>
    <row r="264" spans="1:195" x14ac:dyDescent="0.25">
      <c r="A264" s="4">
        <f>DATE(2023,7,26)</f>
        <v>45133</v>
      </c>
      <c r="B264">
        <v>143909</v>
      </c>
      <c r="C264">
        <v>750</v>
      </c>
      <c r="M264">
        <v>500</v>
      </c>
      <c r="W264">
        <v>1350</v>
      </c>
      <c r="AG264">
        <v>950</v>
      </c>
      <c r="AQ264">
        <v>3375</v>
      </c>
      <c r="BA264">
        <v>1750</v>
      </c>
      <c r="BK264">
        <v>10600</v>
      </c>
      <c r="BU264">
        <v>5705</v>
      </c>
      <c r="CC264">
        <v>100</v>
      </c>
      <c r="CE264">
        <v>8465</v>
      </c>
      <c r="CO264">
        <v>8800</v>
      </c>
      <c r="CQ264">
        <v>440</v>
      </c>
      <c r="CS264">
        <v>200</v>
      </c>
      <c r="CY264">
        <v>8625</v>
      </c>
      <c r="DA264">
        <v>750</v>
      </c>
      <c r="DC264">
        <v>500</v>
      </c>
      <c r="DI264">
        <v>4025</v>
      </c>
      <c r="DK264">
        <v>40</v>
      </c>
      <c r="DM264">
        <v>150</v>
      </c>
      <c r="DQ264">
        <v>100</v>
      </c>
      <c r="DS264">
        <v>10395</v>
      </c>
      <c r="DW264">
        <v>500</v>
      </c>
      <c r="EC264">
        <v>3640</v>
      </c>
      <c r="EE264">
        <v>525</v>
      </c>
      <c r="EG264">
        <v>650</v>
      </c>
      <c r="EI264">
        <v>50</v>
      </c>
      <c r="EM264">
        <v>2475</v>
      </c>
      <c r="ES264">
        <v>250</v>
      </c>
      <c r="EW264">
        <v>700</v>
      </c>
      <c r="FG264">
        <v>300</v>
      </c>
      <c r="FQ264">
        <v>100</v>
      </c>
      <c r="GM264">
        <f t="shared" ref="GM264:GM327" si="5">SUMPRODUCT(C264:GL264)</f>
        <v>76760</v>
      </c>
    </row>
    <row r="265" spans="1:195" x14ac:dyDescent="0.25">
      <c r="A265" s="4">
        <f>DATE(2023,7,25)</f>
        <v>45132</v>
      </c>
      <c r="B265">
        <v>143583</v>
      </c>
      <c r="C265">
        <v>750</v>
      </c>
      <c r="M265">
        <v>500</v>
      </c>
      <c r="W265">
        <v>1350</v>
      </c>
      <c r="AG265">
        <v>950</v>
      </c>
      <c r="AQ265">
        <v>3375</v>
      </c>
      <c r="BA265">
        <v>1750</v>
      </c>
      <c r="BK265">
        <v>10600</v>
      </c>
      <c r="BU265">
        <v>5705</v>
      </c>
      <c r="CC265">
        <v>100</v>
      </c>
      <c r="CE265">
        <v>6640</v>
      </c>
      <c r="CO265">
        <v>8800</v>
      </c>
      <c r="CQ265">
        <v>440</v>
      </c>
      <c r="CS265">
        <v>200</v>
      </c>
      <c r="CY265">
        <v>8625</v>
      </c>
      <c r="DA265">
        <v>750</v>
      </c>
      <c r="DC265">
        <v>500</v>
      </c>
      <c r="DI265">
        <v>4025</v>
      </c>
      <c r="DK265">
        <v>40</v>
      </c>
      <c r="DM265">
        <v>150</v>
      </c>
      <c r="DQ265">
        <v>100</v>
      </c>
      <c r="DS265">
        <v>10395</v>
      </c>
      <c r="DW265">
        <v>500</v>
      </c>
      <c r="EC265">
        <v>3140</v>
      </c>
      <c r="EE265">
        <v>525</v>
      </c>
      <c r="EG265">
        <v>650</v>
      </c>
      <c r="EI265">
        <v>50</v>
      </c>
      <c r="EM265">
        <v>2475</v>
      </c>
      <c r="ES265">
        <v>250</v>
      </c>
      <c r="EW265">
        <v>700</v>
      </c>
      <c r="FG265">
        <v>300</v>
      </c>
      <c r="FQ265">
        <v>100</v>
      </c>
      <c r="GM265">
        <f t="shared" si="5"/>
        <v>74435</v>
      </c>
    </row>
    <row r="266" spans="1:195" x14ac:dyDescent="0.25">
      <c r="A266" s="4">
        <f>DATE(2023,7,24)</f>
        <v>45131</v>
      </c>
      <c r="B266">
        <v>143174</v>
      </c>
      <c r="C266">
        <v>750</v>
      </c>
      <c r="M266">
        <v>500</v>
      </c>
      <c r="W266">
        <v>1350</v>
      </c>
      <c r="AG266">
        <v>950</v>
      </c>
      <c r="AQ266">
        <v>3375</v>
      </c>
      <c r="BA266">
        <v>1750</v>
      </c>
      <c r="BK266">
        <v>10600</v>
      </c>
      <c r="BU266">
        <v>5705</v>
      </c>
      <c r="CC266">
        <v>100</v>
      </c>
      <c r="CE266">
        <v>6640</v>
      </c>
      <c r="CO266">
        <v>8800</v>
      </c>
      <c r="CQ266">
        <v>440</v>
      </c>
      <c r="CS266">
        <v>200</v>
      </c>
      <c r="CY266">
        <v>8625</v>
      </c>
      <c r="DA266">
        <v>750</v>
      </c>
      <c r="DC266">
        <v>500</v>
      </c>
      <c r="DI266">
        <v>4025</v>
      </c>
      <c r="DK266">
        <v>40</v>
      </c>
      <c r="DM266">
        <v>150</v>
      </c>
      <c r="DQ266">
        <v>100</v>
      </c>
      <c r="DS266">
        <v>10395</v>
      </c>
      <c r="DW266">
        <v>500</v>
      </c>
      <c r="EC266">
        <v>3165</v>
      </c>
      <c r="EE266">
        <v>525</v>
      </c>
      <c r="EG266">
        <v>650</v>
      </c>
      <c r="EI266">
        <v>50</v>
      </c>
      <c r="EM266">
        <v>2475</v>
      </c>
      <c r="ES266">
        <v>250</v>
      </c>
      <c r="EW266">
        <v>700</v>
      </c>
      <c r="FG266">
        <v>300</v>
      </c>
      <c r="FQ266">
        <v>100</v>
      </c>
      <c r="GM266">
        <f t="shared" si="5"/>
        <v>74460</v>
      </c>
    </row>
    <row r="267" spans="1:195" x14ac:dyDescent="0.25">
      <c r="A267" s="4">
        <f>DATE(2023,7,21)</f>
        <v>45128</v>
      </c>
      <c r="B267">
        <v>143430</v>
      </c>
      <c r="C267">
        <v>750</v>
      </c>
      <c r="M267">
        <v>500</v>
      </c>
      <c r="W267">
        <v>1350</v>
      </c>
      <c r="AG267">
        <v>950</v>
      </c>
      <c r="AQ267">
        <v>3375</v>
      </c>
      <c r="BA267">
        <v>1750</v>
      </c>
      <c r="BK267">
        <v>10600</v>
      </c>
      <c r="BU267">
        <v>5705</v>
      </c>
      <c r="CC267">
        <v>100</v>
      </c>
      <c r="CE267">
        <v>6640</v>
      </c>
      <c r="CO267">
        <v>8800</v>
      </c>
      <c r="CQ267">
        <v>440</v>
      </c>
      <c r="CS267">
        <v>200</v>
      </c>
      <c r="CY267">
        <v>8625</v>
      </c>
      <c r="DA267">
        <v>750</v>
      </c>
      <c r="DC267">
        <v>500</v>
      </c>
      <c r="DI267">
        <v>3875</v>
      </c>
      <c r="DK267">
        <v>40</v>
      </c>
      <c r="DM267">
        <v>150</v>
      </c>
      <c r="DQ267">
        <v>100</v>
      </c>
      <c r="DS267">
        <v>10395</v>
      </c>
      <c r="DW267">
        <v>500</v>
      </c>
      <c r="EC267">
        <v>3315</v>
      </c>
      <c r="EE267">
        <v>525</v>
      </c>
      <c r="EG267">
        <v>650</v>
      </c>
      <c r="EI267">
        <v>50</v>
      </c>
      <c r="EM267">
        <v>2475</v>
      </c>
      <c r="ES267">
        <v>250</v>
      </c>
      <c r="EW267">
        <v>700</v>
      </c>
      <c r="FG267">
        <v>300</v>
      </c>
      <c r="FQ267">
        <v>100</v>
      </c>
      <c r="GM267">
        <f t="shared" si="5"/>
        <v>74460</v>
      </c>
    </row>
    <row r="268" spans="1:195" x14ac:dyDescent="0.25">
      <c r="A268" s="4">
        <f>DATE(2023,7,20)</f>
        <v>45127</v>
      </c>
      <c r="B268">
        <v>143661</v>
      </c>
      <c r="C268">
        <v>750</v>
      </c>
      <c r="M268">
        <v>500</v>
      </c>
      <c r="W268">
        <v>1350</v>
      </c>
      <c r="AG268">
        <v>950</v>
      </c>
      <c r="AQ268">
        <v>3375</v>
      </c>
      <c r="BA268">
        <v>1750</v>
      </c>
      <c r="BK268">
        <v>10825</v>
      </c>
      <c r="BU268">
        <v>5705</v>
      </c>
      <c r="CC268">
        <v>100</v>
      </c>
      <c r="CE268">
        <v>6640</v>
      </c>
      <c r="CO268">
        <v>8700</v>
      </c>
      <c r="CQ268">
        <v>440</v>
      </c>
      <c r="CS268">
        <v>200</v>
      </c>
      <c r="CY268">
        <v>8750</v>
      </c>
      <c r="DA268">
        <v>750</v>
      </c>
      <c r="DC268">
        <v>500</v>
      </c>
      <c r="DI268">
        <v>4075</v>
      </c>
      <c r="DK268">
        <v>40</v>
      </c>
      <c r="DM268">
        <v>150</v>
      </c>
      <c r="DQ268">
        <v>100</v>
      </c>
      <c r="DS268">
        <v>10095</v>
      </c>
      <c r="DW268">
        <v>500</v>
      </c>
      <c r="EC268">
        <v>3165</v>
      </c>
      <c r="EE268">
        <v>525</v>
      </c>
      <c r="EG268">
        <v>650</v>
      </c>
      <c r="EI268">
        <v>50</v>
      </c>
      <c r="EM268">
        <v>2475</v>
      </c>
      <c r="ES268">
        <v>250</v>
      </c>
      <c r="EW268">
        <v>700</v>
      </c>
      <c r="FG268">
        <v>300</v>
      </c>
      <c r="FQ268">
        <v>100</v>
      </c>
      <c r="GM268">
        <f t="shared" si="5"/>
        <v>74460</v>
      </c>
    </row>
    <row r="269" spans="1:195" x14ac:dyDescent="0.25">
      <c r="A269" s="4">
        <f>DATE(2023,7,19)</f>
        <v>45126</v>
      </c>
      <c r="B269">
        <v>144046</v>
      </c>
      <c r="C269">
        <v>750</v>
      </c>
      <c r="M269">
        <v>500</v>
      </c>
      <c r="W269">
        <v>1350</v>
      </c>
      <c r="AG269">
        <v>950</v>
      </c>
      <c r="AQ269">
        <v>3375</v>
      </c>
      <c r="BA269">
        <v>1750</v>
      </c>
      <c r="BK269">
        <v>10825</v>
      </c>
      <c r="BU269">
        <v>5705</v>
      </c>
      <c r="CC269">
        <v>100</v>
      </c>
      <c r="CE269">
        <v>6640</v>
      </c>
      <c r="CO269">
        <v>8700</v>
      </c>
      <c r="CQ269">
        <v>440</v>
      </c>
      <c r="CS269">
        <v>200</v>
      </c>
      <c r="CY269">
        <v>8750</v>
      </c>
      <c r="DA269">
        <v>750</v>
      </c>
      <c r="DC269">
        <v>500</v>
      </c>
      <c r="DI269">
        <v>4075</v>
      </c>
      <c r="DK269">
        <v>40</v>
      </c>
      <c r="DM269">
        <v>150</v>
      </c>
      <c r="DQ269">
        <v>100</v>
      </c>
      <c r="DS269">
        <v>10095</v>
      </c>
      <c r="DW269">
        <v>500</v>
      </c>
      <c r="EC269">
        <v>3165</v>
      </c>
      <c r="EE269">
        <v>525</v>
      </c>
      <c r="EG269">
        <v>650</v>
      </c>
      <c r="EI269">
        <v>50</v>
      </c>
      <c r="EM269">
        <v>2475</v>
      </c>
      <c r="ES269">
        <v>250</v>
      </c>
      <c r="EW269">
        <v>700</v>
      </c>
      <c r="FG269">
        <v>300</v>
      </c>
      <c r="FQ269">
        <v>100</v>
      </c>
      <c r="GM269">
        <f t="shared" si="5"/>
        <v>74460</v>
      </c>
    </row>
    <row r="270" spans="1:195" x14ac:dyDescent="0.25">
      <c r="A270" s="4">
        <f>DATE(2023,7,18)</f>
        <v>45125</v>
      </c>
      <c r="B270">
        <v>143473</v>
      </c>
      <c r="C270">
        <v>750</v>
      </c>
      <c r="M270">
        <v>500</v>
      </c>
      <c r="W270">
        <v>1350</v>
      </c>
      <c r="AG270">
        <v>950</v>
      </c>
      <c r="AQ270">
        <v>3375</v>
      </c>
      <c r="BA270">
        <v>1750</v>
      </c>
      <c r="BK270">
        <v>10825</v>
      </c>
      <c r="BU270">
        <v>5705</v>
      </c>
      <c r="CC270">
        <v>100</v>
      </c>
      <c r="CE270">
        <v>6890</v>
      </c>
      <c r="CO270">
        <v>8700</v>
      </c>
      <c r="CQ270">
        <v>440</v>
      </c>
      <c r="CS270">
        <v>200</v>
      </c>
      <c r="CY270">
        <v>8350</v>
      </c>
      <c r="DA270">
        <v>750</v>
      </c>
      <c r="DC270">
        <v>500</v>
      </c>
      <c r="DI270">
        <v>4075</v>
      </c>
      <c r="DK270">
        <v>40</v>
      </c>
      <c r="DM270">
        <v>150</v>
      </c>
      <c r="DQ270">
        <v>100</v>
      </c>
      <c r="DS270">
        <v>10095</v>
      </c>
      <c r="DW270">
        <v>500</v>
      </c>
      <c r="EC270">
        <v>3165</v>
      </c>
      <c r="EE270">
        <v>525</v>
      </c>
      <c r="EG270">
        <v>650</v>
      </c>
      <c r="EI270">
        <v>50</v>
      </c>
      <c r="EM270">
        <v>2475</v>
      </c>
      <c r="ES270">
        <v>250</v>
      </c>
      <c r="EW270">
        <v>700</v>
      </c>
      <c r="FG270">
        <v>300</v>
      </c>
      <c r="FQ270">
        <v>100</v>
      </c>
      <c r="GM270">
        <f t="shared" si="5"/>
        <v>74310</v>
      </c>
    </row>
    <row r="271" spans="1:195" x14ac:dyDescent="0.25">
      <c r="A271" s="4">
        <f>DATE(2023,7,17)</f>
        <v>45124</v>
      </c>
      <c r="B271">
        <v>143127</v>
      </c>
      <c r="C271">
        <v>750</v>
      </c>
      <c r="M271">
        <v>500</v>
      </c>
      <c r="W271">
        <v>1350</v>
      </c>
      <c r="AG271">
        <v>950</v>
      </c>
      <c r="AQ271">
        <v>3375</v>
      </c>
      <c r="BA271">
        <v>1750</v>
      </c>
      <c r="BK271">
        <v>10825</v>
      </c>
      <c r="BU271">
        <v>5705</v>
      </c>
      <c r="CC271">
        <v>100</v>
      </c>
      <c r="CE271">
        <v>6890</v>
      </c>
      <c r="CO271">
        <v>8700</v>
      </c>
      <c r="CQ271">
        <v>440</v>
      </c>
      <c r="CS271">
        <v>200</v>
      </c>
      <c r="CY271">
        <v>8600</v>
      </c>
      <c r="DA271">
        <v>750</v>
      </c>
      <c r="DC271">
        <v>500</v>
      </c>
      <c r="DI271">
        <v>4075</v>
      </c>
      <c r="DK271">
        <v>40</v>
      </c>
      <c r="DM271">
        <v>150</v>
      </c>
      <c r="DQ271">
        <v>100</v>
      </c>
      <c r="DS271">
        <v>10095</v>
      </c>
      <c r="DW271">
        <v>500</v>
      </c>
      <c r="EC271">
        <v>3165</v>
      </c>
      <c r="EE271">
        <v>525</v>
      </c>
      <c r="EG271">
        <v>650</v>
      </c>
      <c r="EI271">
        <v>50</v>
      </c>
      <c r="EM271">
        <v>2475</v>
      </c>
      <c r="ES271">
        <v>250</v>
      </c>
      <c r="EW271">
        <v>700</v>
      </c>
      <c r="FG271">
        <v>300</v>
      </c>
      <c r="FQ271">
        <v>100</v>
      </c>
      <c r="GM271">
        <f t="shared" si="5"/>
        <v>74560</v>
      </c>
    </row>
    <row r="272" spans="1:195" x14ac:dyDescent="0.25">
      <c r="A272" s="4">
        <f>DATE(2023,7,14)</f>
        <v>45121</v>
      </c>
      <c r="B272">
        <v>143010</v>
      </c>
      <c r="C272">
        <v>750</v>
      </c>
      <c r="M272">
        <v>500</v>
      </c>
      <c r="W272">
        <v>1350</v>
      </c>
      <c r="AG272">
        <v>950</v>
      </c>
      <c r="AQ272">
        <v>3375</v>
      </c>
      <c r="BA272">
        <v>1850</v>
      </c>
      <c r="BK272">
        <v>10825</v>
      </c>
      <c r="BU272">
        <v>6205</v>
      </c>
      <c r="CC272">
        <v>100</v>
      </c>
      <c r="CE272">
        <v>6890</v>
      </c>
      <c r="CO272">
        <v>8700</v>
      </c>
      <c r="CQ272">
        <v>440</v>
      </c>
      <c r="CS272">
        <v>200</v>
      </c>
      <c r="CY272">
        <v>8600</v>
      </c>
      <c r="DA272">
        <v>750</v>
      </c>
      <c r="DC272">
        <v>500</v>
      </c>
      <c r="DI272">
        <v>4075</v>
      </c>
      <c r="DK272">
        <v>40</v>
      </c>
      <c r="DM272">
        <v>150</v>
      </c>
      <c r="DQ272">
        <v>100</v>
      </c>
      <c r="DS272">
        <v>10095</v>
      </c>
      <c r="DW272">
        <v>500</v>
      </c>
      <c r="EC272">
        <v>3165</v>
      </c>
      <c r="EE272">
        <v>525</v>
      </c>
      <c r="EG272">
        <v>650</v>
      </c>
      <c r="EI272">
        <v>50</v>
      </c>
      <c r="EM272">
        <v>2175</v>
      </c>
      <c r="ES272">
        <v>250</v>
      </c>
      <c r="EW272">
        <v>700</v>
      </c>
      <c r="FG272">
        <v>300</v>
      </c>
      <c r="FQ272">
        <v>100</v>
      </c>
      <c r="GM272">
        <f t="shared" si="5"/>
        <v>74860</v>
      </c>
    </row>
    <row r="273" spans="1:195" x14ac:dyDescent="0.25">
      <c r="A273" s="4">
        <f>DATE(2023,7,13)</f>
        <v>45120</v>
      </c>
      <c r="B273">
        <v>142620</v>
      </c>
      <c r="C273">
        <v>750</v>
      </c>
      <c r="M273">
        <v>500</v>
      </c>
      <c r="W273">
        <v>1350</v>
      </c>
      <c r="AG273">
        <v>950</v>
      </c>
      <c r="AQ273">
        <v>3375</v>
      </c>
      <c r="BA273">
        <v>1850</v>
      </c>
      <c r="BK273">
        <v>10825</v>
      </c>
      <c r="BU273">
        <v>6205</v>
      </c>
      <c r="CC273">
        <v>100</v>
      </c>
      <c r="CE273">
        <v>6890</v>
      </c>
      <c r="CO273">
        <v>8700</v>
      </c>
      <c r="CQ273">
        <v>440</v>
      </c>
      <c r="CS273">
        <v>200</v>
      </c>
      <c r="CY273">
        <v>8600</v>
      </c>
      <c r="DA273">
        <v>750</v>
      </c>
      <c r="DC273">
        <v>500</v>
      </c>
      <c r="DI273">
        <v>4075</v>
      </c>
      <c r="DK273">
        <v>40</v>
      </c>
      <c r="DM273">
        <v>150</v>
      </c>
      <c r="DQ273">
        <v>100</v>
      </c>
      <c r="DS273">
        <v>10095</v>
      </c>
      <c r="DW273">
        <v>500</v>
      </c>
      <c r="EC273">
        <v>3165</v>
      </c>
      <c r="EE273">
        <v>525</v>
      </c>
      <c r="EG273">
        <v>650</v>
      </c>
      <c r="EI273">
        <v>50</v>
      </c>
      <c r="EM273">
        <v>2475</v>
      </c>
      <c r="ES273">
        <v>250</v>
      </c>
      <c r="EW273">
        <v>700</v>
      </c>
      <c r="FG273">
        <v>300</v>
      </c>
      <c r="FQ273">
        <v>100</v>
      </c>
      <c r="GM273">
        <f t="shared" si="5"/>
        <v>75160</v>
      </c>
    </row>
    <row r="274" spans="1:195" x14ac:dyDescent="0.25">
      <c r="A274" s="4">
        <f>DATE(2023,7,12)</f>
        <v>45119</v>
      </c>
      <c r="B274">
        <v>142814</v>
      </c>
      <c r="C274">
        <v>750</v>
      </c>
      <c r="M274">
        <v>500</v>
      </c>
      <c r="W274">
        <v>1350</v>
      </c>
      <c r="AG274">
        <v>950</v>
      </c>
      <c r="AQ274">
        <v>3375</v>
      </c>
      <c r="BA274">
        <v>2150</v>
      </c>
      <c r="BK274">
        <v>10825</v>
      </c>
      <c r="BU274">
        <v>6205</v>
      </c>
      <c r="CC274">
        <v>100</v>
      </c>
      <c r="CE274">
        <v>6890</v>
      </c>
      <c r="CO274">
        <v>8700</v>
      </c>
      <c r="CQ274">
        <v>440</v>
      </c>
      <c r="CS274">
        <v>200</v>
      </c>
      <c r="CY274">
        <v>8500</v>
      </c>
      <c r="DA274">
        <v>750</v>
      </c>
      <c r="DC274">
        <v>500</v>
      </c>
      <c r="DI274">
        <v>4075</v>
      </c>
      <c r="DK274">
        <v>40</v>
      </c>
      <c r="DM274">
        <v>150</v>
      </c>
      <c r="DQ274">
        <v>100</v>
      </c>
      <c r="DS274">
        <v>10095</v>
      </c>
      <c r="DW274">
        <v>500</v>
      </c>
      <c r="EC274">
        <v>3165</v>
      </c>
      <c r="EE274">
        <v>525</v>
      </c>
      <c r="EG274">
        <v>650</v>
      </c>
      <c r="EI274">
        <v>50</v>
      </c>
      <c r="EM274">
        <v>2475</v>
      </c>
      <c r="ES274">
        <v>250</v>
      </c>
      <c r="EW274">
        <v>700</v>
      </c>
      <c r="FG274">
        <v>300</v>
      </c>
      <c r="FQ274">
        <v>100</v>
      </c>
      <c r="GM274">
        <f t="shared" si="5"/>
        <v>75360</v>
      </c>
    </row>
    <row r="275" spans="1:195" x14ac:dyDescent="0.25">
      <c r="A275" s="4">
        <f>DATE(2023,7,11)</f>
        <v>45118</v>
      </c>
      <c r="B275">
        <v>142685</v>
      </c>
      <c r="C275">
        <v>750</v>
      </c>
      <c r="M275">
        <v>500</v>
      </c>
      <c r="W275">
        <v>1350</v>
      </c>
      <c r="AG275">
        <v>950</v>
      </c>
      <c r="AQ275">
        <v>3375</v>
      </c>
      <c r="BA275">
        <v>2150</v>
      </c>
      <c r="BK275">
        <v>10075</v>
      </c>
      <c r="BU275">
        <v>6205</v>
      </c>
      <c r="CC275">
        <v>100</v>
      </c>
      <c r="CE275">
        <v>6890</v>
      </c>
      <c r="CO275">
        <v>8700</v>
      </c>
      <c r="CQ275">
        <v>440</v>
      </c>
      <c r="CS275">
        <v>200</v>
      </c>
      <c r="CY275">
        <v>6975</v>
      </c>
      <c r="DA275">
        <v>750</v>
      </c>
      <c r="DC275">
        <v>500</v>
      </c>
      <c r="DI275">
        <v>4075</v>
      </c>
      <c r="DK275">
        <v>40</v>
      </c>
      <c r="DM275">
        <v>150</v>
      </c>
      <c r="DQ275">
        <v>100</v>
      </c>
      <c r="DS275">
        <v>10395</v>
      </c>
      <c r="DW275">
        <v>500</v>
      </c>
      <c r="EC275">
        <v>3165</v>
      </c>
      <c r="EE275">
        <v>525</v>
      </c>
      <c r="EG275">
        <v>650</v>
      </c>
      <c r="EI275">
        <v>50</v>
      </c>
      <c r="EM275">
        <v>2475</v>
      </c>
      <c r="ES275">
        <v>250</v>
      </c>
      <c r="EW275">
        <v>700</v>
      </c>
      <c r="FG275">
        <v>300</v>
      </c>
      <c r="FQ275">
        <v>100</v>
      </c>
      <c r="GM275">
        <f t="shared" si="5"/>
        <v>73385</v>
      </c>
    </row>
    <row r="276" spans="1:195" x14ac:dyDescent="0.25">
      <c r="A276" s="4">
        <f>DATE(2023,7,10)</f>
        <v>45117</v>
      </c>
      <c r="B276">
        <v>141816</v>
      </c>
      <c r="C276">
        <v>750</v>
      </c>
      <c r="M276">
        <v>500</v>
      </c>
      <c r="W276">
        <v>1350</v>
      </c>
      <c r="AG276">
        <v>950</v>
      </c>
      <c r="AQ276">
        <v>3375</v>
      </c>
      <c r="BA276">
        <v>2150</v>
      </c>
      <c r="BK276">
        <v>10075</v>
      </c>
      <c r="BU276">
        <v>6205</v>
      </c>
      <c r="CC276">
        <v>100</v>
      </c>
      <c r="CE276">
        <v>6890</v>
      </c>
      <c r="CO276">
        <v>8700</v>
      </c>
      <c r="CQ276">
        <v>440</v>
      </c>
      <c r="CS276">
        <v>200</v>
      </c>
      <c r="CY276">
        <v>6975</v>
      </c>
      <c r="DA276">
        <v>750</v>
      </c>
      <c r="DC276">
        <v>500</v>
      </c>
      <c r="DI276">
        <v>4075</v>
      </c>
      <c r="DK276">
        <v>40</v>
      </c>
      <c r="DM276">
        <v>150</v>
      </c>
      <c r="DQ276">
        <v>100</v>
      </c>
      <c r="DS276">
        <v>10395</v>
      </c>
      <c r="DW276">
        <v>500</v>
      </c>
      <c r="EC276">
        <v>3165</v>
      </c>
      <c r="EE276">
        <v>525</v>
      </c>
      <c r="EG276">
        <v>650</v>
      </c>
      <c r="EI276">
        <v>50</v>
      </c>
      <c r="EM276">
        <v>2475</v>
      </c>
      <c r="ES276">
        <v>250</v>
      </c>
      <c r="EW276">
        <v>700</v>
      </c>
      <c r="FG276">
        <v>300</v>
      </c>
      <c r="FQ276">
        <v>100</v>
      </c>
      <c r="GM276">
        <f t="shared" si="5"/>
        <v>73385</v>
      </c>
    </row>
    <row r="277" spans="1:195" x14ac:dyDescent="0.25">
      <c r="A277" s="4">
        <f>DATE(2023,7,7)</f>
        <v>45114</v>
      </c>
      <c r="B277">
        <v>141833</v>
      </c>
      <c r="C277">
        <v>750</v>
      </c>
      <c r="M277">
        <v>500</v>
      </c>
      <c r="W277">
        <v>1350</v>
      </c>
      <c r="AG277">
        <v>950</v>
      </c>
      <c r="AQ277">
        <v>3375</v>
      </c>
      <c r="BA277">
        <v>2150</v>
      </c>
      <c r="BK277">
        <v>10075</v>
      </c>
      <c r="BU277">
        <v>6205</v>
      </c>
      <c r="CC277">
        <v>100</v>
      </c>
      <c r="CE277">
        <v>6890</v>
      </c>
      <c r="CO277">
        <v>8800</v>
      </c>
      <c r="CQ277">
        <v>440</v>
      </c>
      <c r="CS277">
        <v>200</v>
      </c>
      <c r="CY277">
        <v>6975</v>
      </c>
      <c r="DA277">
        <v>750</v>
      </c>
      <c r="DC277">
        <v>500</v>
      </c>
      <c r="DI277">
        <v>4075</v>
      </c>
      <c r="DK277">
        <v>40</v>
      </c>
      <c r="DM277">
        <v>150</v>
      </c>
      <c r="DQ277">
        <v>100</v>
      </c>
      <c r="DS277">
        <v>10395</v>
      </c>
      <c r="DW277">
        <v>500</v>
      </c>
      <c r="EC277">
        <v>3165</v>
      </c>
      <c r="EE277">
        <v>525</v>
      </c>
      <c r="EG277">
        <v>650</v>
      </c>
      <c r="EI277">
        <v>50</v>
      </c>
      <c r="EM277">
        <v>2475</v>
      </c>
      <c r="ES277">
        <v>250</v>
      </c>
      <c r="EW277">
        <v>700</v>
      </c>
      <c r="FG277">
        <v>300</v>
      </c>
      <c r="FQ277">
        <v>100</v>
      </c>
      <c r="GM277">
        <f t="shared" si="5"/>
        <v>73485</v>
      </c>
    </row>
    <row r="278" spans="1:195" x14ac:dyDescent="0.25">
      <c r="A278" s="4">
        <f>DATE(2023,7,6)</f>
        <v>45113</v>
      </c>
      <c r="B278">
        <v>141340</v>
      </c>
      <c r="C278">
        <v>750</v>
      </c>
      <c r="M278">
        <v>500</v>
      </c>
      <c r="W278">
        <v>1350</v>
      </c>
      <c r="AG278">
        <v>950</v>
      </c>
      <c r="AQ278">
        <v>3375</v>
      </c>
      <c r="BA278">
        <v>2150</v>
      </c>
      <c r="BK278">
        <v>9475</v>
      </c>
      <c r="BU278">
        <v>6205</v>
      </c>
      <c r="CC278">
        <v>100</v>
      </c>
      <c r="CE278">
        <v>6690</v>
      </c>
      <c r="CO278">
        <v>8800</v>
      </c>
      <c r="CQ278">
        <v>440</v>
      </c>
      <c r="CS278">
        <v>200</v>
      </c>
      <c r="CY278">
        <v>5400</v>
      </c>
      <c r="DA278">
        <v>750</v>
      </c>
      <c r="DC278">
        <v>500</v>
      </c>
      <c r="DI278">
        <v>4075</v>
      </c>
      <c r="DK278">
        <v>40</v>
      </c>
      <c r="DM278">
        <v>150</v>
      </c>
      <c r="DQ278">
        <v>100</v>
      </c>
      <c r="DS278">
        <v>8443</v>
      </c>
      <c r="DW278">
        <v>500</v>
      </c>
      <c r="EC278">
        <v>3165</v>
      </c>
      <c r="EE278">
        <v>525</v>
      </c>
      <c r="EG278">
        <v>650</v>
      </c>
      <c r="EI278">
        <v>50</v>
      </c>
      <c r="EM278">
        <v>2475</v>
      </c>
      <c r="ES278">
        <v>250</v>
      </c>
      <c r="EW278">
        <v>700</v>
      </c>
      <c r="FG278">
        <v>300</v>
      </c>
      <c r="FQ278">
        <v>100</v>
      </c>
      <c r="GM278">
        <f t="shared" si="5"/>
        <v>69158</v>
      </c>
    </row>
    <row r="279" spans="1:195" x14ac:dyDescent="0.25">
      <c r="A279" s="4">
        <f>DATE(2023,7,5)</f>
        <v>45112</v>
      </c>
      <c r="B279">
        <v>140672</v>
      </c>
      <c r="C279">
        <v>750</v>
      </c>
      <c r="M279">
        <v>500</v>
      </c>
      <c r="W279">
        <v>1350</v>
      </c>
      <c r="AG279">
        <v>950</v>
      </c>
      <c r="AQ279">
        <v>3375</v>
      </c>
      <c r="BA279">
        <v>2150</v>
      </c>
      <c r="BK279">
        <v>9475</v>
      </c>
      <c r="BU279">
        <v>6130</v>
      </c>
      <c r="CC279">
        <v>100</v>
      </c>
      <c r="CE279">
        <v>6745</v>
      </c>
      <c r="CO279">
        <v>8800</v>
      </c>
      <c r="CQ279">
        <v>440</v>
      </c>
      <c r="CS279">
        <v>200</v>
      </c>
      <c r="CY279">
        <v>5400</v>
      </c>
      <c r="DA279">
        <v>750</v>
      </c>
      <c r="DC279">
        <v>500</v>
      </c>
      <c r="DI279">
        <v>4100</v>
      </c>
      <c r="DK279">
        <v>40</v>
      </c>
      <c r="DM279">
        <v>150</v>
      </c>
      <c r="DQ279">
        <v>100</v>
      </c>
      <c r="DS279">
        <v>8443</v>
      </c>
      <c r="DW279">
        <v>500</v>
      </c>
      <c r="EC279">
        <v>3165</v>
      </c>
      <c r="EE279">
        <v>525</v>
      </c>
      <c r="EG279">
        <v>650</v>
      </c>
      <c r="EI279">
        <v>50</v>
      </c>
      <c r="EM279">
        <v>2475</v>
      </c>
      <c r="ES279">
        <v>250</v>
      </c>
      <c r="EW279">
        <v>700</v>
      </c>
      <c r="FG279">
        <v>300</v>
      </c>
      <c r="FQ279">
        <v>100</v>
      </c>
      <c r="GM279">
        <f t="shared" si="5"/>
        <v>69163</v>
      </c>
    </row>
    <row r="280" spans="1:195" x14ac:dyDescent="0.25">
      <c r="A280" s="4">
        <f>DATE(2023,7,4)</f>
        <v>45111</v>
      </c>
      <c r="B280">
        <v>140075</v>
      </c>
      <c r="C280">
        <v>750</v>
      </c>
      <c r="M280">
        <v>500</v>
      </c>
      <c r="W280">
        <v>1350</v>
      </c>
      <c r="AG280">
        <v>950</v>
      </c>
      <c r="AQ280">
        <v>3375</v>
      </c>
      <c r="BA280">
        <v>2150</v>
      </c>
      <c r="BK280">
        <v>9475</v>
      </c>
      <c r="BU280">
        <v>5630</v>
      </c>
      <c r="CC280">
        <v>100</v>
      </c>
      <c r="CE280">
        <v>6495</v>
      </c>
      <c r="CO280">
        <v>8800</v>
      </c>
      <c r="CQ280">
        <v>440</v>
      </c>
      <c r="CS280">
        <v>200</v>
      </c>
      <c r="CY280">
        <v>5400</v>
      </c>
      <c r="DA280">
        <v>750</v>
      </c>
      <c r="DC280">
        <v>500</v>
      </c>
      <c r="DI280">
        <v>4100</v>
      </c>
      <c r="DK280">
        <v>40</v>
      </c>
      <c r="DM280">
        <v>150</v>
      </c>
      <c r="DQ280">
        <v>100</v>
      </c>
      <c r="DS280">
        <v>8443</v>
      </c>
      <c r="DW280">
        <v>500</v>
      </c>
      <c r="EC280">
        <v>3165</v>
      </c>
      <c r="EE280">
        <v>525</v>
      </c>
      <c r="EG280">
        <v>650</v>
      </c>
      <c r="EI280">
        <v>50</v>
      </c>
      <c r="EM280">
        <v>2475</v>
      </c>
      <c r="ES280">
        <v>250</v>
      </c>
      <c r="EW280">
        <v>700</v>
      </c>
      <c r="FG280">
        <v>300</v>
      </c>
      <c r="FQ280">
        <v>100</v>
      </c>
      <c r="GM280">
        <f t="shared" si="5"/>
        <v>68413</v>
      </c>
    </row>
    <row r="281" spans="1:195" x14ac:dyDescent="0.25">
      <c r="A281" s="4">
        <f>DATE(2023,7,3)</f>
        <v>45110</v>
      </c>
      <c r="B281">
        <v>138756</v>
      </c>
      <c r="C281">
        <v>750</v>
      </c>
      <c r="M281">
        <v>500</v>
      </c>
      <c r="W281">
        <v>1350</v>
      </c>
      <c r="AG281">
        <v>950</v>
      </c>
      <c r="AQ281">
        <v>3375</v>
      </c>
      <c r="BA281">
        <v>2150</v>
      </c>
      <c r="BK281">
        <v>9475</v>
      </c>
      <c r="BU281">
        <v>5630</v>
      </c>
      <c r="CC281">
        <v>100</v>
      </c>
      <c r="CE281">
        <v>6495</v>
      </c>
      <c r="CO281">
        <v>8800</v>
      </c>
      <c r="CQ281">
        <v>440</v>
      </c>
      <c r="CS281">
        <v>200</v>
      </c>
      <c r="CY281">
        <v>5400</v>
      </c>
      <c r="DA281">
        <v>750</v>
      </c>
      <c r="DC281">
        <v>500</v>
      </c>
      <c r="DI281">
        <v>4100</v>
      </c>
      <c r="DK281">
        <v>40</v>
      </c>
      <c r="DM281">
        <v>150</v>
      </c>
      <c r="DQ281">
        <v>100</v>
      </c>
      <c r="DS281">
        <v>8443</v>
      </c>
      <c r="DW281">
        <v>500</v>
      </c>
      <c r="EC281">
        <v>3165</v>
      </c>
      <c r="EE281">
        <v>525</v>
      </c>
      <c r="EG281">
        <v>650</v>
      </c>
      <c r="EI281">
        <v>50</v>
      </c>
      <c r="EM281">
        <v>2475</v>
      </c>
      <c r="ES281">
        <v>250</v>
      </c>
      <c r="EW281">
        <v>700</v>
      </c>
      <c r="FG281">
        <v>300</v>
      </c>
      <c r="FQ281">
        <v>100</v>
      </c>
      <c r="GM281">
        <f t="shared" si="5"/>
        <v>68413</v>
      </c>
    </row>
    <row r="282" spans="1:195" x14ac:dyDescent="0.25">
      <c r="A282" s="4">
        <f>DATE(2023,6,30)</f>
        <v>45107</v>
      </c>
      <c r="B282">
        <v>137621</v>
      </c>
      <c r="C282">
        <v>750</v>
      </c>
      <c r="M282">
        <v>500</v>
      </c>
      <c r="W282">
        <v>1350</v>
      </c>
      <c r="AG282">
        <v>950</v>
      </c>
      <c r="AQ282">
        <v>3375</v>
      </c>
      <c r="BA282">
        <v>2150</v>
      </c>
      <c r="BK282">
        <v>9475</v>
      </c>
      <c r="BU282">
        <v>5630</v>
      </c>
      <c r="CC282">
        <v>100</v>
      </c>
      <c r="CE282">
        <v>6495</v>
      </c>
      <c r="CO282">
        <v>8800</v>
      </c>
      <c r="CQ282">
        <v>440</v>
      </c>
      <c r="CS282">
        <v>200</v>
      </c>
      <c r="CY282">
        <v>5400</v>
      </c>
      <c r="DA282">
        <v>750</v>
      </c>
      <c r="DC282">
        <v>500</v>
      </c>
      <c r="DI282">
        <v>4100</v>
      </c>
      <c r="DK282">
        <v>40</v>
      </c>
      <c r="DM282">
        <v>150</v>
      </c>
      <c r="DQ282">
        <v>100</v>
      </c>
      <c r="DS282">
        <v>8443</v>
      </c>
      <c r="DW282">
        <v>500</v>
      </c>
      <c r="EC282">
        <v>3165</v>
      </c>
      <c r="EE282">
        <v>525</v>
      </c>
      <c r="EG282">
        <v>650</v>
      </c>
      <c r="EI282">
        <v>50</v>
      </c>
      <c r="EM282">
        <v>2475</v>
      </c>
      <c r="ES282">
        <v>250</v>
      </c>
      <c r="EW282">
        <v>700</v>
      </c>
      <c r="FG282">
        <v>300</v>
      </c>
      <c r="FQ282">
        <v>100</v>
      </c>
      <c r="GM282">
        <f t="shared" si="5"/>
        <v>68413</v>
      </c>
    </row>
    <row r="283" spans="1:195" x14ac:dyDescent="0.25">
      <c r="A283" s="4">
        <f>DATE(2023,6,29)</f>
        <v>45106</v>
      </c>
      <c r="B283">
        <v>137277</v>
      </c>
      <c r="C283">
        <v>750</v>
      </c>
      <c r="M283">
        <v>500</v>
      </c>
      <c r="W283">
        <v>1350</v>
      </c>
      <c r="AG283">
        <v>950</v>
      </c>
      <c r="AQ283">
        <v>3375</v>
      </c>
      <c r="BA283">
        <v>2150</v>
      </c>
      <c r="BK283">
        <v>9475</v>
      </c>
      <c r="BU283">
        <v>5630</v>
      </c>
      <c r="CC283">
        <v>100</v>
      </c>
      <c r="CE283">
        <v>6495</v>
      </c>
      <c r="CO283">
        <v>8800</v>
      </c>
      <c r="CQ283">
        <v>440</v>
      </c>
      <c r="CS283">
        <v>200</v>
      </c>
      <c r="CY283">
        <v>5400</v>
      </c>
      <c r="DA283">
        <v>750</v>
      </c>
      <c r="DC283">
        <v>500</v>
      </c>
      <c r="DI283">
        <v>4100</v>
      </c>
      <c r="DK283">
        <v>40</v>
      </c>
      <c r="DM283">
        <v>150</v>
      </c>
      <c r="DQ283">
        <v>100</v>
      </c>
      <c r="DS283">
        <v>8443</v>
      </c>
      <c r="DW283">
        <v>500</v>
      </c>
      <c r="EC283">
        <v>3165</v>
      </c>
      <c r="EE283">
        <v>525</v>
      </c>
      <c r="EG283">
        <v>650</v>
      </c>
      <c r="EI283">
        <v>50</v>
      </c>
      <c r="EM283">
        <v>2475</v>
      </c>
      <c r="ES283">
        <v>250</v>
      </c>
      <c r="EW283">
        <v>700</v>
      </c>
      <c r="FG283">
        <v>300</v>
      </c>
      <c r="FQ283">
        <v>100</v>
      </c>
      <c r="GM283">
        <f t="shared" si="5"/>
        <v>68413</v>
      </c>
    </row>
    <row r="284" spans="1:195" x14ac:dyDescent="0.25">
      <c r="A284" s="4">
        <f>DATE(2023,6,28)</f>
        <v>45105</v>
      </c>
      <c r="B284">
        <v>136885</v>
      </c>
      <c r="C284">
        <v>750</v>
      </c>
      <c r="M284">
        <v>500</v>
      </c>
      <c r="W284">
        <v>1350</v>
      </c>
      <c r="AG284">
        <v>950</v>
      </c>
      <c r="AQ284">
        <v>3375</v>
      </c>
      <c r="BA284">
        <v>2150</v>
      </c>
      <c r="BK284">
        <v>9475</v>
      </c>
      <c r="BU284">
        <v>5630</v>
      </c>
      <c r="CC284">
        <v>100</v>
      </c>
      <c r="CE284">
        <v>6495</v>
      </c>
      <c r="CO284">
        <v>8800</v>
      </c>
      <c r="CQ284">
        <v>440</v>
      </c>
      <c r="CS284">
        <v>200</v>
      </c>
      <c r="CY284">
        <v>5400</v>
      </c>
      <c r="DA284">
        <v>750</v>
      </c>
      <c r="DC284">
        <v>500</v>
      </c>
      <c r="DI284">
        <v>4100</v>
      </c>
      <c r="DK284">
        <v>40</v>
      </c>
      <c r="DM284">
        <v>150</v>
      </c>
      <c r="DQ284">
        <v>100</v>
      </c>
      <c r="DS284">
        <v>8443</v>
      </c>
      <c r="DW284">
        <v>500</v>
      </c>
      <c r="EC284">
        <v>3165</v>
      </c>
      <c r="EE284">
        <v>525</v>
      </c>
      <c r="EG284">
        <v>650</v>
      </c>
      <c r="EI284">
        <v>50</v>
      </c>
      <c r="EM284">
        <v>2475</v>
      </c>
      <c r="ES284">
        <v>250</v>
      </c>
      <c r="EW284">
        <v>700</v>
      </c>
      <c r="FG284">
        <v>300</v>
      </c>
      <c r="FQ284">
        <v>100</v>
      </c>
      <c r="GM284">
        <f t="shared" si="5"/>
        <v>68413</v>
      </c>
    </row>
    <row r="285" spans="1:195" x14ac:dyDescent="0.25">
      <c r="A285" s="4">
        <f>DATE(2023,6,27)</f>
        <v>45104</v>
      </c>
      <c r="B285">
        <v>136870</v>
      </c>
      <c r="C285">
        <v>750</v>
      </c>
      <c r="M285">
        <v>500</v>
      </c>
      <c r="W285">
        <v>1350</v>
      </c>
      <c r="AG285">
        <v>950</v>
      </c>
      <c r="AQ285">
        <v>3375</v>
      </c>
      <c r="BA285">
        <v>2150</v>
      </c>
      <c r="BK285">
        <v>9475</v>
      </c>
      <c r="BU285">
        <v>5630</v>
      </c>
      <c r="CC285">
        <v>100</v>
      </c>
      <c r="CE285">
        <v>6495</v>
      </c>
      <c r="CO285">
        <v>8800</v>
      </c>
      <c r="CQ285">
        <v>440</v>
      </c>
      <c r="CS285">
        <v>200</v>
      </c>
      <c r="CY285">
        <v>5400</v>
      </c>
      <c r="DA285">
        <v>750</v>
      </c>
      <c r="DC285">
        <v>500</v>
      </c>
      <c r="DI285">
        <v>4100</v>
      </c>
      <c r="DK285">
        <v>40</v>
      </c>
      <c r="DM285">
        <v>150</v>
      </c>
      <c r="DQ285">
        <v>100</v>
      </c>
      <c r="DS285">
        <v>8443</v>
      </c>
      <c r="DW285">
        <v>500</v>
      </c>
      <c r="EC285">
        <v>3165</v>
      </c>
      <c r="EE285">
        <v>525</v>
      </c>
      <c r="EG285">
        <v>650</v>
      </c>
      <c r="EI285">
        <v>50</v>
      </c>
      <c r="EM285">
        <v>2475</v>
      </c>
      <c r="ES285">
        <v>250</v>
      </c>
      <c r="EW285">
        <v>700</v>
      </c>
      <c r="FG285">
        <v>300</v>
      </c>
      <c r="FQ285">
        <v>100</v>
      </c>
      <c r="GM285">
        <f t="shared" si="5"/>
        <v>68413</v>
      </c>
    </row>
    <row r="286" spans="1:195" x14ac:dyDescent="0.25">
      <c r="A286" s="4">
        <f>DATE(2023,6,26)</f>
        <v>45103</v>
      </c>
      <c r="B286">
        <v>136233</v>
      </c>
      <c r="C286">
        <v>750</v>
      </c>
      <c r="M286">
        <v>500</v>
      </c>
      <c r="W286">
        <v>1350</v>
      </c>
      <c r="AG286">
        <v>950</v>
      </c>
      <c r="AQ286">
        <v>3375</v>
      </c>
      <c r="BA286">
        <v>2150</v>
      </c>
      <c r="BK286">
        <v>9475</v>
      </c>
      <c r="BU286">
        <v>5630</v>
      </c>
      <c r="CC286">
        <v>100</v>
      </c>
      <c r="CE286">
        <v>6495</v>
      </c>
      <c r="CO286">
        <v>8800</v>
      </c>
      <c r="CQ286">
        <v>440</v>
      </c>
      <c r="CS286">
        <v>200</v>
      </c>
      <c r="CY286">
        <v>5400</v>
      </c>
      <c r="DA286">
        <v>750</v>
      </c>
      <c r="DC286">
        <v>500</v>
      </c>
      <c r="DI286">
        <v>4100</v>
      </c>
      <c r="DK286">
        <v>40</v>
      </c>
      <c r="DM286">
        <v>150</v>
      </c>
      <c r="DQ286">
        <v>100</v>
      </c>
      <c r="DS286">
        <v>8443</v>
      </c>
      <c r="DW286">
        <v>500</v>
      </c>
      <c r="EC286">
        <v>3165</v>
      </c>
      <c r="EE286">
        <v>525</v>
      </c>
      <c r="EG286">
        <v>650</v>
      </c>
      <c r="EI286">
        <v>50</v>
      </c>
      <c r="EM286">
        <v>2475</v>
      </c>
      <c r="ES286">
        <v>250</v>
      </c>
      <c r="EW286">
        <v>700</v>
      </c>
      <c r="FG286">
        <v>300</v>
      </c>
      <c r="FQ286">
        <v>100</v>
      </c>
      <c r="GM286">
        <f t="shared" si="5"/>
        <v>68413</v>
      </c>
    </row>
    <row r="287" spans="1:195" x14ac:dyDescent="0.25">
      <c r="A287" s="4">
        <f>DATE(2023,6,23)</f>
        <v>45100</v>
      </c>
      <c r="B287">
        <v>136065</v>
      </c>
      <c r="C287">
        <v>750</v>
      </c>
      <c r="M287">
        <v>500</v>
      </c>
      <c r="W287">
        <v>1350</v>
      </c>
      <c r="AG287">
        <v>950</v>
      </c>
      <c r="AQ287">
        <v>3375</v>
      </c>
      <c r="BA287">
        <v>2150</v>
      </c>
      <c r="BK287">
        <v>9225</v>
      </c>
      <c r="BU287">
        <v>5630</v>
      </c>
      <c r="CC287">
        <v>100</v>
      </c>
      <c r="CE287">
        <v>6495</v>
      </c>
      <c r="CO287">
        <v>8800</v>
      </c>
      <c r="CQ287">
        <v>440</v>
      </c>
      <c r="CS287">
        <v>200</v>
      </c>
      <c r="CY287">
        <v>5400</v>
      </c>
      <c r="DA287">
        <v>750</v>
      </c>
      <c r="DC287">
        <v>500</v>
      </c>
      <c r="DI287">
        <v>4100</v>
      </c>
      <c r="DK287">
        <v>40</v>
      </c>
      <c r="DM287">
        <v>150</v>
      </c>
      <c r="DQ287">
        <v>100</v>
      </c>
      <c r="DS287">
        <v>8443</v>
      </c>
      <c r="DW287">
        <v>500</v>
      </c>
      <c r="EC287">
        <v>3165</v>
      </c>
      <c r="EE287">
        <v>525</v>
      </c>
      <c r="EG287">
        <v>650</v>
      </c>
      <c r="EI287">
        <v>50</v>
      </c>
      <c r="EM287">
        <v>2475</v>
      </c>
      <c r="ES287">
        <v>250</v>
      </c>
      <c r="EW287">
        <v>700</v>
      </c>
      <c r="FG287">
        <v>300</v>
      </c>
      <c r="FQ287">
        <v>100</v>
      </c>
      <c r="GM287">
        <f t="shared" si="5"/>
        <v>68163</v>
      </c>
    </row>
    <row r="288" spans="1:195" x14ac:dyDescent="0.25">
      <c r="A288" s="4">
        <f>DATE(2023,6,22)</f>
        <v>45099</v>
      </c>
      <c r="B288">
        <v>135826</v>
      </c>
      <c r="C288">
        <v>750</v>
      </c>
      <c r="M288">
        <v>500</v>
      </c>
      <c r="W288">
        <v>1350</v>
      </c>
      <c r="AG288">
        <v>950</v>
      </c>
      <c r="AQ288">
        <v>3375</v>
      </c>
      <c r="BA288">
        <v>2150</v>
      </c>
      <c r="BK288">
        <v>9225</v>
      </c>
      <c r="BU288">
        <v>5630</v>
      </c>
      <c r="CC288">
        <v>100</v>
      </c>
      <c r="CE288">
        <v>6495</v>
      </c>
      <c r="CO288">
        <v>8800</v>
      </c>
      <c r="CQ288">
        <v>440</v>
      </c>
      <c r="CS288">
        <v>200</v>
      </c>
      <c r="CY288">
        <v>5400</v>
      </c>
      <c r="DA288">
        <v>750</v>
      </c>
      <c r="DC288">
        <v>500</v>
      </c>
      <c r="DI288">
        <v>4100</v>
      </c>
      <c r="DK288">
        <v>40</v>
      </c>
      <c r="DM288">
        <v>150</v>
      </c>
      <c r="DQ288">
        <v>100</v>
      </c>
      <c r="DS288">
        <v>8443</v>
      </c>
      <c r="DW288">
        <v>500</v>
      </c>
      <c r="EC288">
        <v>3165</v>
      </c>
      <c r="EE288">
        <v>525</v>
      </c>
      <c r="EG288">
        <v>650</v>
      </c>
      <c r="EI288">
        <v>50</v>
      </c>
      <c r="EM288">
        <v>2475</v>
      </c>
      <c r="ES288">
        <v>250</v>
      </c>
      <c r="EW288">
        <v>700</v>
      </c>
      <c r="FG288">
        <v>300</v>
      </c>
      <c r="FQ288">
        <v>100</v>
      </c>
      <c r="GM288">
        <f t="shared" si="5"/>
        <v>68163</v>
      </c>
    </row>
    <row r="289" spans="1:195" x14ac:dyDescent="0.25">
      <c r="A289" s="4">
        <f>DATE(2023,6,21)</f>
        <v>45098</v>
      </c>
      <c r="B289">
        <v>135656</v>
      </c>
      <c r="C289">
        <v>750</v>
      </c>
      <c r="M289">
        <v>500</v>
      </c>
      <c r="W289">
        <v>1350</v>
      </c>
      <c r="AG289">
        <v>950</v>
      </c>
      <c r="AQ289">
        <v>3375</v>
      </c>
      <c r="BA289">
        <v>2150</v>
      </c>
      <c r="BK289">
        <v>9225</v>
      </c>
      <c r="BU289">
        <v>5630</v>
      </c>
      <c r="CC289">
        <v>100</v>
      </c>
      <c r="CE289">
        <v>6495</v>
      </c>
      <c r="CO289">
        <v>8800</v>
      </c>
      <c r="CQ289">
        <v>440</v>
      </c>
      <c r="CS289">
        <v>200</v>
      </c>
      <c r="CY289">
        <v>5400</v>
      </c>
      <c r="DA289">
        <v>750</v>
      </c>
      <c r="DC289">
        <v>500</v>
      </c>
      <c r="DI289">
        <v>4100</v>
      </c>
      <c r="DK289">
        <v>40</v>
      </c>
      <c r="DM289">
        <v>150</v>
      </c>
      <c r="DQ289">
        <v>100</v>
      </c>
      <c r="DS289">
        <v>8443</v>
      </c>
      <c r="DW289">
        <v>500</v>
      </c>
      <c r="EC289">
        <v>3165</v>
      </c>
      <c r="EE289">
        <v>525</v>
      </c>
      <c r="EG289">
        <v>650</v>
      </c>
      <c r="EI289">
        <v>50</v>
      </c>
      <c r="EM289">
        <v>2475</v>
      </c>
      <c r="ES289">
        <v>250</v>
      </c>
      <c r="EW289">
        <v>700</v>
      </c>
      <c r="FG289">
        <v>300</v>
      </c>
      <c r="FQ289">
        <v>100</v>
      </c>
      <c r="GM289">
        <f t="shared" si="5"/>
        <v>68163</v>
      </c>
    </row>
    <row r="290" spans="1:195" x14ac:dyDescent="0.25">
      <c r="A290" s="4">
        <f>DATE(2023,6,20)</f>
        <v>45097</v>
      </c>
      <c r="B290">
        <v>134849</v>
      </c>
      <c r="C290">
        <v>750</v>
      </c>
      <c r="M290">
        <v>500</v>
      </c>
      <c r="W290">
        <v>1350</v>
      </c>
      <c r="AG290">
        <v>950</v>
      </c>
      <c r="AQ290">
        <v>3375</v>
      </c>
      <c r="BA290">
        <v>2150</v>
      </c>
      <c r="BK290">
        <v>9225</v>
      </c>
      <c r="BU290">
        <v>5630</v>
      </c>
      <c r="CC290">
        <v>100</v>
      </c>
      <c r="CE290">
        <v>6595</v>
      </c>
      <c r="CO290">
        <v>8800</v>
      </c>
      <c r="CQ290">
        <v>440</v>
      </c>
      <c r="CS290">
        <v>200</v>
      </c>
      <c r="CY290">
        <v>5050</v>
      </c>
      <c r="DA290">
        <v>750</v>
      </c>
      <c r="DC290">
        <v>500</v>
      </c>
      <c r="DI290">
        <v>4100</v>
      </c>
      <c r="DK290">
        <v>40</v>
      </c>
      <c r="DM290">
        <v>150</v>
      </c>
      <c r="DQ290">
        <v>100</v>
      </c>
      <c r="DS290">
        <v>8443</v>
      </c>
      <c r="DW290">
        <v>500</v>
      </c>
      <c r="EC290">
        <v>3165</v>
      </c>
      <c r="EE290">
        <v>525</v>
      </c>
      <c r="EG290">
        <v>650</v>
      </c>
      <c r="EI290">
        <v>50</v>
      </c>
      <c r="EM290">
        <v>2475</v>
      </c>
      <c r="ES290">
        <v>250</v>
      </c>
      <c r="EW290">
        <v>700</v>
      </c>
      <c r="FG290">
        <v>300</v>
      </c>
      <c r="FQ290">
        <v>100</v>
      </c>
      <c r="GM290">
        <f t="shared" si="5"/>
        <v>67913</v>
      </c>
    </row>
    <row r="291" spans="1:195" x14ac:dyDescent="0.25">
      <c r="A291" s="4">
        <f>DATE(2023,6,19)</f>
        <v>45096</v>
      </c>
      <c r="B291">
        <v>134540</v>
      </c>
      <c r="C291">
        <v>750</v>
      </c>
      <c r="M291">
        <v>500</v>
      </c>
      <c r="W291">
        <v>1350</v>
      </c>
      <c r="AG291">
        <v>950</v>
      </c>
      <c r="AQ291">
        <v>3375</v>
      </c>
      <c r="BA291">
        <v>2150</v>
      </c>
      <c r="BK291">
        <v>9225</v>
      </c>
      <c r="BU291">
        <v>5630</v>
      </c>
      <c r="CC291">
        <v>100</v>
      </c>
      <c r="CE291">
        <v>6345</v>
      </c>
      <c r="CO291">
        <v>8350</v>
      </c>
      <c r="CQ291">
        <v>440</v>
      </c>
      <c r="CS291">
        <v>200</v>
      </c>
      <c r="CY291">
        <v>5000</v>
      </c>
      <c r="DA291">
        <v>750</v>
      </c>
      <c r="DC291">
        <v>500</v>
      </c>
      <c r="DI291">
        <v>4100</v>
      </c>
      <c r="DK291">
        <v>40</v>
      </c>
      <c r="DM291">
        <v>150</v>
      </c>
      <c r="DQ291">
        <v>100</v>
      </c>
      <c r="DS291">
        <v>8443</v>
      </c>
      <c r="DW291">
        <v>500</v>
      </c>
      <c r="EC291">
        <v>3165</v>
      </c>
      <c r="EE291">
        <v>525</v>
      </c>
      <c r="EG291">
        <v>650</v>
      </c>
      <c r="EI291">
        <v>50</v>
      </c>
      <c r="EM291">
        <v>2250</v>
      </c>
      <c r="ES291">
        <v>250</v>
      </c>
      <c r="EW291">
        <v>700</v>
      </c>
      <c r="FG291">
        <v>300</v>
      </c>
      <c r="FQ291">
        <v>100</v>
      </c>
      <c r="GM291">
        <f t="shared" si="5"/>
        <v>66938</v>
      </c>
    </row>
    <row r="292" spans="1:195" x14ac:dyDescent="0.25">
      <c r="A292" s="4">
        <f>DATE(2023,6,16)</f>
        <v>45093</v>
      </c>
      <c r="B292">
        <v>134592</v>
      </c>
      <c r="C292">
        <v>750</v>
      </c>
      <c r="M292">
        <v>500</v>
      </c>
      <c r="W292">
        <v>1350</v>
      </c>
      <c r="AG292">
        <v>950</v>
      </c>
      <c r="AQ292">
        <v>3375</v>
      </c>
      <c r="BA292">
        <v>2150</v>
      </c>
      <c r="BK292">
        <v>9225</v>
      </c>
      <c r="BU292">
        <v>3630</v>
      </c>
      <c r="CC292">
        <v>100</v>
      </c>
      <c r="CE292">
        <v>6095</v>
      </c>
      <c r="CO292">
        <v>8425</v>
      </c>
      <c r="CQ292">
        <v>440</v>
      </c>
      <c r="CS292">
        <v>200</v>
      </c>
      <c r="CY292">
        <v>5000</v>
      </c>
      <c r="DA292">
        <v>750</v>
      </c>
      <c r="DC292">
        <v>500</v>
      </c>
      <c r="DI292">
        <v>4100</v>
      </c>
      <c r="DK292">
        <v>40</v>
      </c>
      <c r="DM292">
        <v>150</v>
      </c>
      <c r="DQ292">
        <v>100</v>
      </c>
      <c r="DS292">
        <v>8443</v>
      </c>
      <c r="DW292">
        <v>500</v>
      </c>
      <c r="EC292">
        <v>3165</v>
      </c>
      <c r="EE292">
        <v>525</v>
      </c>
      <c r="EG292">
        <v>650</v>
      </c>
      <c r="EI292">
        <v>50</v>
      </c>
      <c r="EM292">
        <v>2250</v>
      </c>
      <c r="ES292">
        <v>250</v>
      </c>
      <c r="EW292">
        <v>700</v>
      </c>
      <c r="FG292">
        <v>300</v>
      </c>
      <c r="FQ292">
        <v>100</v>
      </c>
      <c r="GM292">
        <f t="shared" si="5"/>
        <v>64763</v>
      </c>
    </row>
    <row r="293" spans="1:195" x14ac:dyDescent="0.25">
      <c r="A293" s="4">
        <f>DATE(2023,6,15)</f>
        <v>45092</v>
      </c>
      <c r="B293">
        <v>134272</v>
      </c>
      <c r="C293">
        <v>750</v>
      </c>
      <c r="M293">
        <v>500</v>
      </c>
      <c r="W293">
        <v>1350</v>
      </c>
      <c r="AG293">
        <v>950</v>
      </c>
      <c r="AQ293">
        <v>3375</v>
      </c>
      <c r="BA293">
        <v>2150</v>
      </c>
      <c r="BK293">
        <v>9225</v>
      </c>
      <c r="BU293">
        <v>3630</v>
      </c>
      <c r="CC293">
        <v>100</v>
      </c>
      <c r="CE293">
        <v>6095</v>
      </c>
      <c r="CO293">
        <v>8275</v>
      </c>
      <c r="CQ293">
        <v>440</v>
      </c>
      <c r="CS293">
        <v>450</v>
      </c>
      <c r="CU293">
        <v>100</v>
      </c>
      <c r="CY293">
        <v>5000</v>
      </c>
      <c r="DA293">
        <v>500</v>
      </c>
      <c r="DC293">
        <v>500</v>
      </c>
      <c r="DI293">
        <v>4100</v>
      </c>
      <c r="DK293">
        <v>40</v>
      </c>
      <c r="DM293">
        <v>150</v>
      </c>
      <c r="DQ293">
        <v>100</v>
      </c>
      <c r="DS293">
        <v>8443</v>
      </c>
      <c r="DW293">
        <v>400</v>
      </c>
      <c r="EC293">
        <v>3015</v>
      </c>
      <c r="EE293">
        <v>525</v>
      </c>
      <c r="EG293">
        <v>650</v>
      </c>
      <c r="EI293">
        <v>50</v>
      </c>
      <c r="EM293">
        <v>2250</v>
      </c>
      <c r="EW293">
        <v>700</v>
      </c>
      <c r="FG293">
        <v>300</v>
      </c>
      <c r="FQ293">
        <v>100</v>
      </c>
      <c r="GM293">
        <f t="shared" si="5"/>
        <v>64213</v>
      </c>
    </row>
    <row r="294" spans="1:195" x14ac:dyDescent="0.25">
      <c r="A294" s="4">
        <f>DATE(2023,6,14)</f>
        <v>45091</v>
      </c>
      <c r="B294">
        <v>133747</v>
      </c>
      <c r="C294">
        <v>750</v>
      </c>
      <c r="M294">
        <v>500</v>
      </c>
      <c r="W294">
        <v>1350</v>
      </c>
      <c r="AG294">
        <v>950</v>
      </c>
      <c r="AQ294">
        <v>3375</v>
      </c>
      <c r="BA294">
        <v>2350</v>
      </c>
      <c r="BK294">
        <v>9225</v>
      </c>
      <c r="BU294">
        <v>930</v>
      </c>
      <c r="CC294">
        <v>100</v>
      </c>
      <c r="CE294">
        <v>6095</v>
      </c>
      <c r="CO294">
        <v>8025</v>
      </c>
      <c r="CQ294">
        <v>440</v>
      </c>
      <c r="CS294">
        <v>450</v>
      </c>
      <c r="CU294">
        <v>100</v>
      </c>
      <c r="CY294">
        <v>5000</v>
      </c>
      <c r="DA294">
        <v>500</v>
      </c>
      <c r="DC294">
        <v>500</v>
      </c>
      <c r="DI294">
        <v>4100</v>
      </c>
      <c r="DK294">
        <v>40</v>
      </c>
      <c r="DM294">
        <v>150</v>
      </c>
      <c r="DQ294">
        <v>100</v>
      </c>
      <c r="DS294">
        <v>8443</v>
      </c>
      <c r="DW294">
        <v>400</v>
      </c>
      <c r="EC294">
        <v>2815</v>
      </c>
      <c r="EE294">
        <v>525</v>
      </c>
      <c r="EG294">
        <v>650</v>
      </c>
      <c r="EM294">
        <v>2250</v>
      </c>
      <c r="EW294">
        <v>700</v>
      </c>
      <c r="FG294">
        <v>300</v>
      </c>
      <c r="FQ294">
        <v>100</v>
      </c>
      <c r="GM294">
        <f t="shared" si="5"/>
        <v>61213</v>
      </c>
    </row>
    <row r="295" spans="1:195" x14ac:dyDescent="0.25">
      <c r="A295" s="4">
        <f>DATE(2023,6,13)</f>
        <v>45090</v>
      </c>
      <c r="B295">
        <v>133040</v>
      </c>
      <c r="C295">
        <v>750</v>
      </c>
      <c r="M295">
        <v>500</v>
      </c>
      <c r="W295">
        <v>1350</v>
      </c>
      <c r="AG295">
        <v>950</v>
      </c>
      <c r="AQ295">
        <v>3375</v>
      </c>
      <c r="BA295">
        <v>2350</v>
      </c>
      <c r="BK295">
        <v>9225</v>
      </c>
      <c r="BU295">
        <v>930</v>
      </c>
      <c r="CC295">
        <v>100</v>
      </c>
      <c r="CE295">
        <v>6095</v>
      </c>
      <c r="CO295">
        <v>8025</v>
      </c>
      <c r="CQ295">
        <v>440</v>
      </c>
      <c r="CS295">
        <v>450</v>
      </c>
      <c r="CU295">
        <v>100</v>
      </c>
      <c r="CY295">
        <v>5000</v>
      </c>
      <c r="DA295">
        <v>500</v>
      </c>
      <c r="DC295">
        <v>500</v>
      </c>
      <c r="DI295">
        <v>4100</v>
      </c>
      <c r="DK295">
        <v>40</v>
      </c>
      <c r="DM295">
        <v>150</v>
      </c>
      <c r="DQ295">
        <v>100</v>
      </c>
      <c r="DS295">
        <v>8443</v>
      </c>
      <c r="DW295">
        <v>400</v>
      </c>
      <c r="EC295">
        <v>2815</v>
      </c>
      <c r="EE295">
        <v>525</v>
      </c>
      <c r="EG295">
        <v>650</v>
      </c>
      <c r="EM295">
        <v>2250</v>
      </c>
      <c r="EW295">
        <v>700</v>
      </c>
      <c r="FG295">
        <v>300</v>
      </c>
      <c r="FQ295">
        <v>100</v>
      </c>
      <c r="GM295">
        <f t="shared" si="5"/>
        <v>61213</v>
      </c>
    </row>
    <row r="296" spans="1:195" x14ac:dyDescent="0.25">
      <c r="A296" s="4">
        <f>DATE(2023,6,12)</f>
        <v>45089</v>
      </c>
      <c r="B296">
        <v>130961</v>
      </c>
      <c r="C296">
        <v>750</v>
      </c>
      <c r="M296">
        <v>500</v>
      </c>
      <c r="W296">
        <v>1350</v>
      </c>
      <c r="AG296">
        <v>950</v>
      </c>
      <c r="AQ296">
        <v>3375</v>
      </c>
      <c r="BA296">
        <v>2350</v>
      </c>
      <c r="BK296">
        <v>9225</v>
      </c>
      <c r="BU296">
        <v>900</v>
      </c>
      <c r="CC296">
        <v>100</v>
      </c>
      <c r="CE296">
        <v>6095</v>
      </c>
      <c r="CO296">
        <v>8025</v>
      </c>
      <c r="CQ296">
        <v>440</v>
      </c>
      <c r="CS296">
        <v>450</v>
      </c>
      <c r="CU296">
        <v>100</v>
      </c>
      <c r="CY296">
        <v>5000</v>
      </c>
      <c r="DA296">
        <v>500</v>
      </c>
      <c r="DC296">
        <v>500</v>
      </c>
      <c r="DI296">
        <v>4100</v>
      </c>
      <c r="DK296">
        <v>40</v>
      </c>
      <c r="DM296">
        <v>150</v>
      </c>
      <c r="DQ296">
        <v>100</v>
      </c>
      <c r="DS296">
        <v>8443</v>
      </c>
      <c r="DW296">
        <v>400</v>
      </c>
      <c r="EC296">
        <v>2815</v>
      </c>
      <c r="EE296">
        <v>525</v>
      </c>
      <c r="EG296">
        <v>650</v>
      </c>
      <c r="EM296">
        <v>2250</v>
      </c>
      <c r="EW296">
        <v>700</v>
      </c>
      <c r="FG296">
        <v>300</v>
      </c>
      <c r="FQ296">
        <v>100</v>
      </c>
      <c r="GM296">
        <f t="shared" si="5"/>
        <v>61183</v>
      </c>
    </row>
    <row r="297" spans="1:195" x14ac:dyDescent="0.25">
      <c r="A297" s="4">
        <f>DATE(2023,6,9)</f>
        <v>45086</v>
      </c>
      <c r="B297">
        <v>129765</v>
      </c>
      <c r="C297">
        <v>750</v>
      </c>
      <c r="M297">
        <v>500</v>
      </c>
      <c r="W297">
        <v>1350</v>
      </c>
      <c r="AG297">
        <v>950</v>
      </c>
      <c r="AQ297">
        <v>3375</v>
      </c>
      <c r="BA297">
        <v>2350</v>
      </c>
      <c r="BK297">
        <v>9225</v>
      </c>
      <c r="BU297">
        <v>900</v>
      </c>
      <c r="CC297">
        <v>100</v>
      </c>
      <c r="CE297">
        <v>6095</v>
      </c>
      <c r="CO297">
        <v>8025</v>
      </c>
      <c r="CQ297">
        <v>440</v>
      </c>
      <c r="CS297">
        <v>450</v>
      </c>
      <c r="CU297">
        <v>100</v>
      </c>
      <c r="CY297">
        <v>5000</v>
      </c>
      <c r="DA297">
        <v>500</v>
      </c>
      <c r="DC297">
        <v>500</v>
      </c>
      <c r="DI297">
        <v>4100</v>
      </c>
      <c r="DK297">
        <v>40</v>
      </c>
      <c r="DM297">
        <v>150</v>
      </c>
      <c r="DQ297">
        <v>100</v>
      </c>
      <c r="DS297">
        <v>8443</v>
      </c>
      <c r="DW297">
        <v>400</v>
      </c>
      <c r="EC297">
        <v>2815</v>
      </c>
      <c r="EE297">
        <v>525</v>
      </c>
      <c r="EG297">
        <v>650</v>
      </c>
      <c r="EM297">
        <v>2250</v>
      </c>
      <c r="EW297">
        <v>700</v>
      </c>
      <c r="FG297">
        <v>300</v>
      </c>
      <c r="FQ297">
        <v>100</v>
      </c>
      <c r="GM297">
        <f t="shared" si="5"/>
        <v>61183</v>
      </c>
    </row>
    <row r="298" spans="1:195" x14ac:dyDescent="0.25">
      <c r="A298" s="4">
        <f>DATE(2023,6,8)</f>
        <v>45085</v>
      </c>
      <c r="B298">
        <v>128879</v>
      </c>
      <c r="C298">
        <v>750</v>
      </c>
      <c r="M298">
        <v>500</v>
      </c>
      <c r="W298">
        <v>1350</v>
      </c>
      <c r="AG298">
        <v>950</v>
      </c>
      <c r="AQ298">
        <v>3375</v>
      </c>
      <c r="BA298">
        <v>2350</v>
      </c>
      <c r="BK298">
        <v>9225</v>
      </c>
      <c r="BU298">
        <v>900</v>
      </c>
      <c r="CC298">
        <v>100</v>
      </c>
      <c r="CE298">
        <v>6095</v>
      </c>
      <c r="CO298">
        <v>8025</v>
      </c>
      <c r="CQ298">
        <v>440</v>
      </c>
      <c r="CS298">
        <v>450</v>
      </c>
      <c r="CU298">
        <v>100</v>
      </c>
      <c r="CY298">
        <v>5000</v>
      </c>
      <c r="DA298">
        <v>500</v>
      </c>
      <c r="DC298">
        <v>500</v>
      </c>
      <c r="DI298">
        <v>4100</v>
      </c>
      <c r="DK298">
        <v>40</v>
      </c>
      <c r="DM298">
        <v>150</v>
      </c>
      <c r="DQ298">
        <v>100</v>
      </c>
      <c r="DS298">
        <v>8443</v>
      </c>
      <c r="DW298">
        <v>400</v>
      </c>
      <c r="EC298">
        <v>2815</v>
      </c>
      <c r="EE298">
        <v>525</v>
      </c>
      <c r="EG298">
        <v>650</v>
      </c>
      <c r="EM298">
        <v>2250</v>
      </c>
      <c r="EW298">
        <v>700</v>
      </c>
      <c r="FG298">
        <v>300</v>
      </c>
      <c r="FQ298">
        <v>100</v>
      </c>
      <c r="GM298">
        <f t="shared" si="5"/>
        <v>61183</v>
      </c>
    </row>
    <row r="299" spans="1:195" x14ac:dyDescent="0.25">
      <c r="A299" s="4">
        <f>DATE(2023,6,7)</f>
        <v>45084</v>
      </c>
      <c r="B299">
        <v>128763</v>
      </c>
      <c r="C299">
        <v>750</v>
      </c>
      <c r="M299">
        <v>500</v>
      </c>
      <c r="W299">
        <v>1350</v>
      </c>
      <c r="AG299">
        <v>950</v>
      </c>
      <c r="AQ299">
        <v>3375</v>
      </c>
      <c r="BA299">
        <v>2350</v>
      </c>
      <c r="BK299">
        <v>9225</v>
      </c>
      <c r="BU299">
        <v>900</v>
      </c>
      <c r="CC299">
        <v>100</v>
      </c>
      <c r="CE299">
        <v>6095</v>
      </c>
      <c r="CO299">
        <v>8025</v>
      </c>
      <c r="CQ299">
        <v>440</v>
      </c>
      <c r="CS299">
        <v>450</v>
      </c>
      <c r="CU299">
        <v>100</v>
      </c>
      <c r="CY299">
        <v>5000</v>
      </c>
      <c r="DA299">
        <v>500</v>
      </c>
      <c r="DC299">
        <v>500</v>
      </c>
      <c r="DI299">
        <v>4100</v>
      </c>
      <c r="DK299">
        <v>40</v>
      </c>
      <c r="DM299">
        <v>150</v>
      </c>
      <c r="DQ299">
        <v>100</v>
      </c>
      <c r="DS299">
        <v>8443</v>
      </c>
      <c r="DW299">
        <v>400</v>
      </c>
      <c r="EC299">
        <v>2815</v>
      </c>
      <c r="EE299">
        <v>525</v>
      </c>
      <c r="EG299">
        <v>650</v>
      </c>
      <c r="EM299">
        <v>2250</v>
      </c>
      <c r="EW299">
        <v>700</v>
      </c>
      <c r="FG299">
        <v>300</v>
      </c>
      <c r="FQ299">
        <v>100</v>
      </c>
      <c r="GM299">
        <f t="shared" si="5"/>
        <v>61183</v>
      </c>
    </row>
    <row r="300" spans="1:195" x14ac:dyDescent="0.25">
      <c r="A300" s="4">
        <f>DATE(2023,6,6)</f>
        <v>45083</v>
      </c>
      <c r="B300">
        <v>128779</v>
      </c>
      <c r="C300">
        <v>750</v>
      </c>
      <c r="M300">
        <v>500</v>
      </c>
      <c r="W300">
        <v>1350</v>
      </c>
      <c r="AG300">
        <v>950</v>
      </c>
      <c r="AQ300">
        <v>3375</v>
      </c>
      <c r="BA300">
        <v>2350</v>
      </c>
      <c r="BK300">
        <v>9225</v>
      </c>
      <c r="BU300">
        <v>900</v>
      </c>
      <c r="CC300">
        <v>100</v>
      </c>
      <c r="CE300">
        <v>6095</v>
      </c>
      <c r="CO300">
        <v>8025</v>
      </c>
      <c r="CQ300">
        <v>440</v>
      </c>
      <c r="CS300">
        <v>450</v>
      </c>
      <c r="CU300">
        <v>100</v>
      </c>
      <c r="CY300">
        <v>5025</v>
      </c>
      <c r="DA300">
        <v>500</v>
      </c>
      <c r="DC300">
        <v>500</v>
      </c>
      <c r="DI300">
        <v>4100</v>
      </c>
      <c r="DK300">
        <v>40</v>
      </c>
      <c r="DM300">
        <v>150</v>
      </c>
      <c r="DQ300">
        <v>100</v>
      </c>
      <c r="DS300">
        <v>8443</v>
      </c>
      <c r="DW300">
        <v>400</v>
      </c>
      <c r="EC300">
        <v>2815</v>
      </c>
      <c r="EE300">
        <v>525</v>
      </c>
      <c r="EG300">
        <v>650</v>
      </c>
      <c r="EM300">
        <v>2250</v>
      </c>
      <c r="EW300">
        <v>700</v>
      </c>
      <c r="FG300">
        <v>300</v>
      </c>
      <c r="FQ300">
        <v>100</v>
      </c>
      <c r="GM300">
        <f t="shared" si="5"/>
        <v>61208</v>
      </c>
    </row>
    <row r="301" spans="1:195" x14ac:dyDescent="0.25">
      <c r="A301" s="4">
        <f>DATE(2023,6,5)</f>
        <v>45082</v>
      </c>
      <c r="B301">
        <v>127484</v>
      </c>
      <c r="C301">
        <v>750</v>
      </c>
      <c r="M301">
        <v>500</v>
      </c>
      <c r="W301">
        <v>1350</v>
      </c>
      <c r="AG301">
        <v>950</v>
      </c>
      <c r="AQ301">
        <v>3375</v>
      </c>
      <c r="BA301">
        <v>2350</v>
      </c>
      <c r="BK301">
        <v>9225</v>
      </c>
      <c r="BU301">
        <v>900</v>
      </c>
      <c r="CC301">
        <v>100</v>
      </c>
      <c r="CE301">
        <v>6095</v>
      </c>
      <c r="CO301">
        <v>8025</v>
      </c>
      <c r="CQ301">
        <v>440</v>
      </c>
      <c r="CS301">
        <v>450</v>
      </c>
      <c r="CU301">
        <v>100</v>
      </c>
      <c r="CY301">
        <v>5000</v>
      </c>
      <c r="DA301">
        <v>500</v>
      </c>
      <c r="DC301">
        <v>500</v>
      </c>
      <c r="DI301">
        <v>4100</v>
      </c>
      <c r="DK301">
        <v>40</v>
      </c>
      <c r="DM301">
        <v>150</v>
      </c>
      <c r="DQ301">
        <v>100</v>
      </c>
      <c r="DS301">
        <v>8443</v>
      </c>
      <c r="DW301">
        <v>400</v>
      </c>
      <c r="EC301">
        <v>2815</v>
      </c>
      <c r="EE301">
        <v>525</v>
      </c>
      <c r="EG301">
        <v>650</v>
      </c>
      <c r="EM301">
        <v>2250</v>
      </c>
      <c r="EW301">
        <v>700</v>
      </c>
      <c r="FG301">
        <v>300</v>
      </c>
      <c r="FQ301">
        <v>100</v>
      </c>
      <c r="GM301">
        <f t="shared" si="5"/>
        <v>61183</v>
      </c>
    </row>
    <row r="302" spans="1:195" x14ac:dyDescent="0.25">
      <c r="A302" s="4">
        <f>DATE(2023,6,2)</f>
        <v>45079</v>
      </c>
      <c r="B302">
        <v>127172</v>
      </c>
      <c r="C302">
        <v>750</v>
      </c>
      <c r="M302">
        <v>500</v>
      </c>
      <c r="W302">
        <v>1350</v>
      </c>
      <c r="AG302">
        <v>950</v>
      </c>
      <c r="AQ302">
        <v>3375</v>
      </c>
      <c r="BA302">
        <v>2350</v>
      </c>
      <c r="BK302">
        <v>9225</v>
      </c>
      <c r="BU302">
        <v>900</v>
      </c>
      <c r="CC302">
        <v>100</v>
      </c>
      <c r="CE302">
        <v>6100</v>
      </c>
      <c r="CO302">
        <v>7975</v>
      </c>
      <c r="CQ302">
        <v>440</v>
      </c>
      <c r="CS302">
        <v>450</v>
      </c>
      <c r="CU302">
        <v>100</v>
      </c>
      <c r="CY302">
        <v>4950</v>
      </c>
      <c r="DA302">
        <v>500</v>
      </c>
      <c r="DC302">
        <v>500</v>
      </c>
      <c r="DI302">
        <v>4100</v>
      </c>
      <c r="DK302">
        <v>40</v>
      </c>
      <c r="DM302">
        <v>150</v>
      </c>
      <c r="DQ302">
        <v>100</v>
      </c>
      <c r="DS302">
        <v>8443</v>
      </c>
      <c r="DW302">
        <v>400</v>
      </c>
      <c r="EC302">
        <v>2815</v>
      </c>
      <c r="EE302">
        <v>525</v>
      </c>
      <c r="EG302">
        <v>650</v>
      </c>
      <c r="EM302">
        <v>2250</v>
      </c>
      <c r="EW302">
        <v>700</v>
      </c>
      <c r="FG302">
        <v>300</v>
      </c>
      <c r="FQ302">
        <v>100</v>
      </c>
      <c r="GM302">
        <f t="shared" si="5"/>
        <v>61088</v>
      </c>
    </row>
    <row r="303" spans="1:195" x14ac:dyDescent="0.25">
      <c r="A303" s="4">
        <f>DATE(2023,6,1)</f>
        <v>45078</v>
      </c>
      <c r="B303">
        <v>126802</v>
      </c>
      <c r="C303">
        <v>750</v>
      </c>
      <c r="M303">
        <v>500</v>
      </c>
      <c r="W303">
        <v>1350</v>
      </c>
      <c r="AG303">
        <v>950</v>
      </c>
      <c r="AQ303">
        <v>3375</v>
      </c>
      <c r="BA303">
        <v>2350</v>
      </c>
      <c r="BK303">
        <v>9225</v>
      </c>
      <c r="BU303">
        <v>900</v>
      </c>
      <c r="CC303">
        <v>100</v>
      </c>
      <c r="CE303">
        <v>6355</v>
      </c>
      <c r="CO303">
        <v>7975</v>
      </c>
      <c r="CQ303">
        <v>440</v>
      </c>
      <c r="CS303">
        <v>250</v>
      </c>
      <c r="CU303">
        <v>100</v>
      </c>
      <c r="CY303">
        <v>4425</v>
      </c>
      <c r="DA303">
        <v>500</v>
      </c>
      <c r="DC303">
        <v>500</v>
      </c>
      <c r="DI303">
        <v>4100</v>
      </c>
      <c r="DK303">
        <v>40</v>
      </c>
      <c r="DM303">
        <v>150</v>
      </c>
      <c r="DQ303">
        <v>100</v>
      </c>
      <c r="DS303">
        <v>8443</v>
      </c>
      <c r="DW303">
        <v>400</v>
      </c>
      <c r="EC303">
        <v>2815</v>
      </c>
      <c r="EE303">
        <v>525</v>
      </c>
      <c r="EG303">
        <v>650</v>
      </c>
      <c r="EM303">
        <v>2250</v>
      </c>
      <c r="EW303">
        <v>700</v>
      </c>
      <c r="FG303">
        <v>300</v>
      </c>
      <c r="FQ303">
        <v>100</v>
      </c>
      <c r="GM303">
        <f t="shared" si="5"/>
        <v>60618</v>
      </c>
    </row>
    <row r="304" spans="1:195" x14ac:dyDescent="0.25">
      <c r="A304" s="4">
        <f>DATE(2023,5,31)</f>
        <v>45077</v>
      </c>
      <c r="B304">
        <v>125550</v>
      </c>
      <c r="C304">
        <v>750</v>
      </c>
      <c r="M304">
        <v>500</v>
      </c>
      <c r="W304">
        <v>1350</v>
      </c>
      <c r="AG304">
        <v>950</v>
      </c>
      <c r="AQ304">
        <v>3375</v>
      </c>
      <c r="BA304">
        <v>2350</v>
      </c>
      <c r="BK304">
        <v>9225</v>
      </c>
      <c r="BU304">
        <v>900</v>
      </c>
      <c r="CC304">
        <v>100</v>
      </c>
      <c r="CE304">
        <v>6355</v>
      </c>
      <c r="CO304">
        <v>7975</v>
      </c>
      <c r="CQ304">
        <v>440</v>
      </c>
      <c r="CU304">
        <v>100</v>
      </c>
      <c r="CY304">
        <v>4425</v>
      </c>
      <c r="DA304">
        <v>500</v>
      </c>
      <c r="DC304">
        <v>500</v>
      </c>
      <c r="DI304">
        <v>4100</v>
      </c>
      <c r="DK304">
        <v>40</v>
      </c>
      <c r="DM304">
        <v>150</v>
      </c>
      <c r="DQ304">
        <v>100</v>
      </c>
      <c r="DS304">
        <v>8443</v>
      </c>
      <c r="DW304">
        <v>400</v>
      </c>
      <c r="EC304">
        <v>2815</v>
      </c>
      <c r="EE304">
        <v>525</v>
      </c>
      <c r="EG304">
        <v>650</v>
      </c>
      <c r="EM304">
        <v>2250</v>
      </c>
      <c r="EW304">
        <v>700</v>
      </c>
      <c r="FG304">
        <v>300</v>
      </c>
      <c r="FQ304">
        <v>100</v>
      </c>
      <c r="GM304">
        <f t="shared" si="5"/>
        <v>60368</v>
      </c>
    </row>
    <row r="305" spans="1:195" x14ac:dyDescent="0.25">
      <c r="A305" s="4">
        <f>DATE(2023,5,30)</f>
        <v>45076</v>
      </c>
      <c r="B305">
        <v>123350</v>
      </c>
      <c r="C305">
        <v>750</v>
      </c>
      <c r="M305">
        <v>500</v>
      </c>
      <c r="W305">
        <v>1700</v>
      </c>
      <c r="AG305">
        <v>950</v>
      </c>
      <c r="AQ305">
        <v>3375</v>
      </c>
      <c r="BA305">
        <v>2350</v>
      </c>
      <c r="BK305">
        <v>9925</v>
      </c>
      <c r="BU305">
        <v>900</v>
      </c>
      <c r="CC305">
        <v>100</v>
      </c>
      <c r="CE305">
        <v>6355</v>
      </c>
      <c r="CO305">
        <v>7975</v>
      </c>
      <c r="CQ305">
        <v>440</v>
      </c>
      <c r="CU305">
        <v>100</v>
      </c>
      <c r="CY305">
        <v>4425</v>
      </c>
      <c r="DA305">
        <v>500</v>
      </c>
      <c r="DC305">
        <v>500</v>
      </c>
      <c r="DI305">
        <v>4000</v>
      </c>
      <c r="DK305">
        <v>40</v>
      </c>
      <c r="DM305">
        <v>150</v>
      </c>
      <c r="DQ305">
        <v>100</v>
      </c>
      <c r="DS305">
        <v>8443</v>
      </c>
      <c r="DW305">
        <v>400</v>
      </c>
      <c r="EC305">
        <v>2815</v>
      </c>
      <c r="EE305">
        <v>525</v>
      </c>
      <c r="EG305">
        <v>650</v>
      </c>
      <c r="EM305">
        <v>2250</v>
      </c>
      <c r="EW305">
        <v>700</v>
      </c>
      <c r="FG305">
        <v>300</v>
      </c>
      <c r="FQ305">
        <v>100</v>
      </c>
      <c r="GM305">
        <f t="shared" si="5"/>
        <v>61318</v>
      </c>
    </row>
    <row r="306" spans="1:195" x14ac:dyDescent="0.25">
      <c r="A306" s="4">
        <f>DATE(2023,5,29)</f>
        <v>45075</v>
      </c>
      <c r="B306">
        <v>123159</v>
      </c>
      <c r="C306">
        <v>750</v>
      </c>
      <c r="M306">
        <v>500</v>
      </c>
      <c r="W306">
        <v>1700</v>
      </c>
      <c r="AG306">
        <v>950</v>
      </c>
      <c r="AQ306">
        <v>3375</v>
      </c>
      <c r="BA306">
        <v>2350</v>
      </c>
      <c r="BK306">
        <v>9925</v>
      </c>
      <c r="BU306">
        <v>900</v>
      </c>
      <c r="CC306">
        <v>100</v>
      </c>
      <c r="CE306">
        <v>6355</v>
      </c>
      <c r="CO306">
        <v>7975</v>
      </c>
      <c r="CQ306">
        <v>440</v>
      </c>
      <c r="CU306">
        <v>100</v>
      </c>
      <c r="CY306">
        <v>4425</v>
      </c>
      <c r="DA306">
        <v>500</v>
      </c>
      <c r="DC306">
        <v>500</v>
      </c>
      <c r="DI306">
        <v>4000</v>
      </c>
      <c r="DK306">
        <v>40</v>
      </c>
      <c r="DM306">
        <v>150</v>
      </c>
      <c r="DQ306">
        <v>100</v>
      </c>
      <c r="DS306">
        <v>8443</v>
      </c>
      <c r="DW306">
        <v>400</v>
      </c>
      <c r="EC306">
        <v>2815</v>
      </c>
      <c r="EE306">
        <v>525</v>
      </c>
      <c r="EG306">
        <v>650</v>
      </c>
      <c r="EM306">
        <v>2250</v>
      </c>
      <c r="EW306">
        <v>700</v>
      </c>
      <c r="FG306">
        <v>300</v>
      </c>
      <c r="FQ306">
        <v>100</v>
      </c>
      <c r="GM306">
        <f t="shared" si="5"/>
        <v>61318</v>
      </c>
    </row>
    <row r="307" spans="1:195" x14ac:dyDescent="0.25">
      <c r="A307" s="4">
        <f>DATE(2023,5,26)</f>
        <v>45072</v>
      </c>
      <c r="B307">
        <v>123135</v>
      </c>
      <c r="C307">
        <v>750</v>
      </c>
      <c r="M307">
        <v>500</v>
      </c>
      <c r="W307">
        <v>1700</v>
      </c>
      <c r="AG307">
        <v>950</v>
      </c>
      <c r="AQ307">
        <v>3375</v>
      </c>
      <c r="BA307">
        <v>2350</v>
      </c>
      <c r="BK307">
        <v>9925</v>
      </c>
      <c r="BU307">
        <v>900</v>
      </c>
      <c r="CC307">
        <v>100</v>
      </c>
      <c r="CE307">
        <v>5755</v>
      </c>
      <c r="CO307">
        <v>7975</v>
      </c>
      <c r="CQ307">
        <v>440</v>
      </c>
      <c r="CU307">
        <v>100</v>
      </c>
      <c r="CY307">
        <v>4425</v>
      </c>
      <c r="DA307">
        <v>500</v>
      </c>
      <c r="DC307">
        <v>500</v>
      </c>
      <c r="DI307">
        <v>4000</v>
      </c>
      <c r="DK307">
        <v>40</v>
      </c>
      <c r="DM307">
        <v>150</v>
      </c>
      <c r="DQ307">
        <v>100</v>
      </c>
      <c r="DS307">
        <v>8543</v>
      </c>
      <c r="DW307">
        <v>400</v>
      </c>
      <c r="EC307">
        <v>2815</v>
      </c>
      <c r="EE307">
        <v>525</v>
      </c>
      <c r="EG307">
        <v>650</v>
      </c>
      <c r="EM307">
        <v>2250</v>
      </c>
      <c r="EW307">
        <v>700</v>
      </c>
      <c r="FG307">
        <v>300</v>
      </c>
      <c r="FQ307">
        <v>100</v>
      </c>
      <c r="GM307">
        <f t="shared" si="5"/>
        <v>60818</v>
      </c>
    </row>
    <row r="308" spans="1:195" x14ac:dyDescent="0.25">
      <c r="A308" s="4">
        <f>DATE(2023,5,25)</f>
        <v>45071</v>
      </c>
      <c r="B308">
        <v>122239</v>
      </c>
      <c r="C308">
        <v>750</v>
      </c>
      <c r="M308">
        <v>500</v>
      </c>
      <c r="W308">
        <v>1700</v>
      </c>
      <c r="AG308">
        <v>950</v>
      </c>
      <c r="AQ308">
        <v>3375</v>
      </c>
      <c r="BA308">
        <v>2350</v>
      </c>
      <c r="BK308">
        <v>9925</v>
      </c>
      <c r="BU308">
        <v>900</v>
      </c>
      <c r="CC308">
        <v>100</v>
      </c>
      <c r="CE308">
        <v>5755</v>
      </c>
      <c r="CO308">
        <v>7975</v>
      </c>
      <c r="CQ308">
        <v>440</v>
      </c>
      <c r="CU308">
        <v>100</v>
      </c>
      <c r="CY308">
        <v>4425</v>
      </c>
      <c r="DA308">
        <v>500</v>
      </c>
      <c r="DC308">
        <v>500</v>
      </c>
      <c r="DI308">
        <v>4000</v>
      </c>
      <c r="DK308">
        <v>40</v>
      </c>
      <c r="DM308">
        <v>150</v>
      </c>
      <c r="DQ308">
        <v>100</v>
      </c>
      <c r="DS308">
        <v>8693</v>
      </c>
      <c r="DW308">
        <v>400</v>
      </c>
      <c r="EC308">
        <v>2815</v>
      </c>
      <c r="EE308">
        <v>525</v>
      </c>
      <c r="EG308">
        <v>650</v>
      </c>
      <c r="EM308">
        <v>2250</v>
      </c>
      <c r="EW308">
        <v>700</v>
      </c>
      <c r="FG308">
        <v>300</v>
      </c>
      <c r="FQ308">
        <v>100</v>
      </c>
      <c r="GM308">
        <f t="shared" si="5"/>
        <v>60968</v>
      </c>
    </row>
    <row r="309" spans="1:195" x14ac:dyDescent="0.25">
      <c r="A309" s="4">
        <f>DATE(2023,5,24)</f>
        <v>45070</v>
      </c>
      <c r="B309">
        <v>120423</v>
      </c>
      <c r="C309">
        <v>750</v>
      </c>
      <c r="M309">
        <v>500</v>
      </c>
      <c r="W309">
        <v>1700</v>
      </c>
      <c r="AG309">
        <v>950</v>
      </c>
      <c r="AQ309">
        <v>3375</v>
      </c>
      <c r="BA309">
        <v>2350</v>
      </c>
      <c r="BK309">
        <v>9925</v>
      </c>
      <c r="BU309">
        <v>900</v>
      </c>
      <c r="CC309">
        <v>100</v>
      </c>
      <c r="CE309">
        <v>5755</v>
      </c>
      <c r="CO309">
        <v>7975</v>
      </c>
      <c r="CQ309">
        <v>440</v>
      </c>
      <c r="CU309">
        <v>100</v>
      </c>
      <c r="CY309">
        <v>4425</v>
      </c>
      <c r="DA309">
        <v>500</v>
      </c>
      <c r="DC309">
        <v>500</v>
      </c>
      <c r="DI309">
        <v>4000</v>
      </c>
      <c r="DK309">
        <v>40</v>
      </c>
      <c r="DM309">
        <v>150</v>
      </c>
      <c r="DQ309">
        <v>100</v>
      </c>
      <c r="DS309">
        <v>8693</v>
      </c>
      <c r="DW309">
        <v>400</v>
      </c>
      <c r="EC309">
        <v>2815</v>
      </c>
      <c r="EE309">
        <v>525</v>
      </c>
      <c r="EG309">
        <v>650</v>
      </c>
      <c r="EM309">
        <v>2250</v>
      </c>
      <c r="EW309">
        <v>700</v>
      </c>
      <c r="FG309">
        <v>300</v>
      </c>
      <c r="FQ309">
        <v>100</v>
      </c>
      <c r="GM309">
        <f t="shared" si="5"/>
        <v>60968</v>
      </c>
    </row>
    <row r="310" spans="1:195" x14ac:dyDescent="0.25">
      <c r="A310" s="4">
        <f>DATE(2023,5,23)</f>
        <v>45069</v>
      </c>
      <c r="B310">
        <v>119305</v>
      </c>
      <c r="C310">
        <v>750</v>
      </c>
      <c r="M310">
        <v>500</v>
      </c>
      <c r="W310">
        <v>1700</v>
      </c>
      <c r="AG310">
        <v>950</v>
      </c>
      <c r="AQ310">
        <v>3375</v>
      </c>
      <c r="BA310">
        <v>2350</v>
      </c>
      <c r="BK310">
        <v>9925</v>
      </c>
      <c r="BU310">
        <v>900</v>
      </c>
      <c r="CC310">
        <v>100</v>
      </c>
      <c r="CE310">
        <v>5755</v>
      </c>
      <c r="CO310">
        <v>7975</v>
      </c>
      <c r="CQ310">
        <v>440</v>
      </c>
      <c r="CU310">
        <v>100</v>
      </c>
      <c r="CY310">
        <v>4425</v>
      </c>
      <c r="DA310">
        <v>500</v>
      </c>
      <c r="DC310">
        <v>500</v>
      </c>
      <c r="DI310">
        <v>4000</v>
      </c>
      <c r="DK310">
        <v>40</v>
      </c>
      <c r="DM310">
        <v>150</v>
      </c>
      <c r="DQ310">
        <v>100</v>
      </c>
      <c r="DS310">
        <v>8693</v>
      </c>
      <c r="DW310">
        <v>400</v>
      </c>
      <c r="EC310">
        <v>2815</v>
      </c>
      <c r="EE310">
        <v>525</v>
      </c>
      <c r="EG310">
        <v>650</v>
      </c>
      <c r="EM310">
        <v>2250</v>
      </c>
      <c r="EW310">
        <v>700</v>
      </c>
      <c r="FG310">
        <v>300</v>
      </c>
      <c r="FQ310">
        <v>100</v>
      </c>
      <c r="GM310">
        <f t="shared" si="5"/>
        <v>60968</v>
      </c>
    </row>
    <row r="311" spans="1:195" x14ac:dyDescent="0.25">
      <c r="A311" s="4">
        <f>DATE(2023,5,22)</f>
        <v>45068</v>
      </c>
      <c r="B311">
        <v>118903</v>
      </c>
      <c r="C311">
        <v>750</v>
      </c>
      <c r="M311">
        <v>500</v>
      </c>
      <c r="W311">
        <v>1700</v>
      </c>
      <c r="AG311">
        <v>950</v>
      </c>
      <c r="AQ311">
        <v>3375</v>
      </c>
      <c r="BA311">
        <v>2350</v>
      </c>
      <c r="BK311">
        <v>9925</v>
      </c>
      <c r="BU311">
        <v>900</v>
      </c>
      <c r="CC311">
        <v>100</v>
      </c>
      <c r="CE311">
        <v>5755</v>
      </c>
      <c r="CO311">
        <v>7975</v>
      </c>
      <c r="CQ311">
        <v>440</v>
      </c>
      <c r="CU311">
        <v>100</v>
      </c>
      <c r="CY311">
        <v>4425</v>
      </c>
      <c r="DA311">
        <v>500</v>
      </c>
      <c r="DC311">
        <v>500</v>
      </c>
      <c r="DI311">
        <v>4000</v>
      </c>
      <c r="DK311">
        <v>40</v>
      </c>
      <c r="DM311">
        <v>150</v>
      </c>
      <c r="DQ311">
        <v>100</v>
      </c>
      <c r="DS311">
        <v>8755</v>
      </c>
      <c r="DW311">
        <v>400</v>
      </c>
      <c r="EC311">
        <v>2465</v>
      </c>
      <c r="EE311">
        <v>525</v>
      </c>
      <c r="EG311">
        <v>650</v>
      </c>
      <c r="EM311">
        <v>2250</v>
      </c>
      <c r="EW311">
        <v>700</v>
      </c>
      <c r="FG311">
        <v>300</v>
      </c>
      <c r="FQ311">
        <v>100</v>
      </c>
      <c r="GM311">
        <f t="shared" si="5"/>
        <v>60680</v>
      </c>
    </row>
    <row r="312" spans="1:195" x14ac:dyDescent="0.25">
      <c r="A312" s="4">
        <f>DATE(2023,5,19)</f>
        <v>45065</v>
      </c>
      <c r="B312">
        <v>118674</v>
      </c>
      <c r="C312">
        <v>750</v>
      </c>
      <c r="M312">
        <v>500</v>
      </c>
      <c r="W312">
        <v>1700</v>
      </c>
      <c r="AG312">
        <v>950</v>
      </c>
      <c r="AQ312">
        <v>3375</v>
      </c>
      <c r="BA312">
        <v>2350</v>
      </c>
      <c r="BK312">
        <v>9925</v>
      </c>
      <c r="BU312">
        <v>900</v>
      </c>
      <c r="CC312">
        <v>100</v>
      </c>
      <c r="CE312">
        <v>5755</v>
      </c>
      <c r="CO312">
        <v>7975</v>
      </c>
      <c r="CQ312">
        <v>440</v>
      </c>
      <c r="CU312">
        <v>100</v>
      </c>
      <c r="CY312">
        <v>4425</v>
      </c>
      <c r="DA312">
        <v>500</v>
      </c>
      <c r="DC312">
        <v>500</v>
      </c>
      <c r="DI312">
        <v>4000</v>
      </c>
      <c r="DK312">
        <v>40</v>
      </c>
      <c r="DM312">
        <v>150</v>
      </c>
      <c r="DQ312">
        <v>100</v>
      </c>
      <c r="DS312">
        <v>8755</v>
      </c>
      <c r="DW312">
        <v>400</v>
      </c>
      <c r="EC312">
        <v>2465</v>
      </c>
      <c r="EE312">
        <v>525</v>
      </c>
      <c r="EG312">
        <v>650</v>
      </c>
      <c r="EM312">
        <v>2250</v>
      </c>
      <c r="EW312">
        <v>700</v>
      </c>
      <c r="FG312">
        <v>300</v>
      </c>
      <c r="FQ312">
        <v>100</v>
      </c>
      <c r="GM312">
        <f t="shared" si="5"/>
        <v>60680</v>
      </c>
    </row>
    <row r="313" spans="1:195" x14ac:dyDescent="0.25">
      <c r="A313" s="4">
        <f>DATE(2023,5,18)</f>
        <v>45064</v>
      </c>
      <c r="B313">
        <v>118306</v>
      </c>
      <c r="C313">
        <v>750</v>
      </c>
      <c r="M313">
        <v>500</v>
      </c>
      <c r="W313">
        <v>1700</v>
      </c>
      <c r="AG313">
        <v>950</v>
      </c>
      <c r="AQ313">
        <v>3375</v>
      </c>
      <c r="BA313">
        <v>2350</v>
      </c>
      <c r="BK313">
        <v>9925</v>
      </c>
      <c r="BU313">
        <v>900</v>
      </c>
      <c r="CC313">
        <v>100</v>
      </c>
      <c r="CE313">
        <v>5755</v>
      </c>
      <c r="CO313">
        <v>7975</v>
      </c>
      <c r="CQ313">
        <v>440</v>
      </c>
      <c r="CU313">
        <v>100</v>
      </c>
      <c r="CY313">
        <v>4425</v>
      </c>
      <c r="DA313">
        <v>500</v>
      </c>
      <c r="DC313">
        <v>500</v>
      </c>
      <c r="DI313">
        <v>4000</v>
      </c>
      <c r="DK313">
        <v>40</v>
      </c>
      <c r="DM313">
        <v>150</v>
      </c>
      <c r="DQ313">
        <v>100</v>
      </c>
      <c r="DS313">
        <v>8755</v>
      </c>
      <c r="DW313">
        <v>400</v>
      </c>
      <c r="EC313">
        <v>2465</v>
      </c>
      <c r="EE313">
        <v>525</v>
      </c>
      <c r="EG313">
        <v>650</v>
      </c>
      <c r="EM313">
        <v>2250</v>
      </c>
      <c r="EW313">
        <v>700</v>
      </c>
      <c r="FG313">
        <v>300</v>
      </c>
      <c r="FQ313">
        <v>100</v>
      </c>
      <c r="GM313">
        <f t="shared" si="5"/>
        <v>60680</v>
      </c>
    </row>
    <row r="314" spans="1:195" x14ac:dyDescent="0.25">
      <c r="A314" s="4">
        <f>DATE(2023,5,17)</f>
        <v>45063</v>
      </c>
      <c r="B314">
        <v>118209</v>
      </c>
      <c r="C314">
        <v>750</v>
      </c>
      <c r="M314">
        <v>500</v>
      </c>
      <c r="W314">
        <v>1700</v>
      </c>
      <c r="AG314">
        <v>950</v>
      </c>
      <c r="AQ314">
        <v>3375</v>
      </c>
      <c r="BA314">
        <v>2350</v>
      </c>
      <c r="BK314">
        <v>9925</v>
      </c>
      <c r="BU314">
        <v>900</v>
      </c>
      <c r="CC314">
        <v>100</v>
      </c>
      <c r="CE314">
        <v>5755</v>
      </c>
      <c r="CO314">
        <v>7925</v>
      </c>
      <c r="CQ314">
        <v>440</v>
      </c>
      <c r="CU314">
        <v>100</v>
      </c>
      <c r="CY314">
        <v>4425</v>
      </c>
      <c r="DA314">
        <v>500</v>
      </c>
      <c r="DC314">
        <v>500</v>
      </c>
      <c r="DI314">
        <v>3900</v>
      </c>
      <c r="DK314">
        <v>40</v>
      </c>
      <c r="DM314">
        <v>150</v>
      </c>
      <c r="DQ314">
        <v>100</v>
      </c>
      <c r="DS314">
        <v>8755</v>
      </c>
      <c r="DW314">
        <v>400</v>
      </c>
      <c r="EC314">
        <v>2465</v>
      </c>
      <c r="EE314">
        <v>525</v>
      </c>
      <c r="EG314">
        <v>650</v>
      </c>
      <c r="EM314">
        <v>2250</v>
      </c>
      <c r="EW314">
        <v>700</v>
      </c>
      <c r="FG314">
        <v>300</v>
      </c>
      <c r="FQ314">
        <v>100</v>
      </c>
      <c r="GM314">
        <f t="shared" si="5"/>
        <v>60530</v>
      </c>
    </row>
    <row r="315" spans="1:195" x14ac:dyDescent="0.25">
      <c r="A315" s="4">
        <f>DATE(2023,5,16)</f>
        <v>45062</v>
      </c>
      <c r="B315">
        <v>117416</v>
      </c>
      <c r="C315">
        <v>750</v>
      </c>
      <c r="M315">
        <v>500</v>
      </c>
      <c r="W315">
        <v>1700</v>
      </c>
      <c r="AG315">
        <v>950</v>
      </c>
      <c r="AQ315">
        <v>4075</v>
      </c>
      <c r="BA315">
        <v>2350</v>
      </c>
      <c r="BK315">
        <v>9925</v>
      </c>
      <c r="BU315">
        <v>900</v>
      </c>
      <c r="CC315">
        <v>100</v>
      </c>
      <c r="CE315">
        <v>5505</v>
      </c>
      <c r="CO315">
        <v>7925</v>
      </c>
      <c r="CQ315">
        <v>440</v>
      </c>
      <c r="CU315">
        <v>100</v>
      </c>
      <c r="CY315">
        <v>4425</v>
      </c>
      <c r="DA315">
        <v>500</v>
      </c>
      <c r="DC315">
        <v>500</v>
      </c>
      <c r="DI315">
        <v>3900</v>
      </c>
      <c r="DK315">
        <v>40</v>
      </c>
      <c r="DM315">
        <v>150</v>
      </c>
      <c r="DQ315">
        <v>100</v>
      </c>
      <c r="DS315">
        <v>8643</v>
      </c>
      <c r="DW315">
        <v>400</v>
      </c>
      <c r="EC315">
        <v>2465</v>
      </c>
      <c r="EE315">
        <v>525</v>
      </c>
      <c r="EG315">
        <v>650</v>
      </c>
      <c r="EM315">
        <v>2250</v>
      </c>
      <c r="EW315">
        <v>700</v>
      </c>
      <c r="FG315">
        <v>300</v>
      </c>
      <c r="FQ315">
        <v>100</v>
      </c>
      <c r="GM315">
        <f t="shared" si="5"/>
        <v>60868</v>
      </c>
    </row>
    <row r="316" spans="1:195" x14ac:dyDescent="0.25">
      <c r="A316" s="4">
        <f>DATE(2023,5,15)</f>
        <v>45061</v>
      </c>
      <c r="B316">
        <v>116656</v>
      </c>
      <c r="C316">
        <v>750</v>
      </c>
      <c r="M316">
        <v>500</v>
      </c>
      <c r="W316">
        <v>1700</v>
      </c>
      <c r="AG316">
        <v>950</v>
      </c>
      <c r="AQ316">
        <v>4075</v>
      </c>
      <c r="BA316">
        <v>2350</v>
      </c>
      <c r="BK316">
        <v>9925</v>
      </c>
      <c r="BU316">
        <v>900</v>
      </c>
      <c r="CC316">
        <v>100</v>
      </c>
      <c r="CE316">
        <v>5585</v>
      </c>
      <c r="CO316">
        <v>7925</v>
      </c>
      <c r="CQ316">
        <v>440</v>
      </c>
      <c r="CU316">
        <v>100</v>
      </c>
      <c r="CY316">
        <v>4425</v>
      </c>
      <c r="DA316">
        <v>500</v>
      </c>
      <c r="DC316">
        <v>500</v>
      </c>
      <c r="DI316">
        <v>3900</v>
      </c>
      <c r="DK316">
        <v>40</v>
      </c>
      <c r="DM316">
        <v>150</v>
      </c>
      <c r="DQ316">
        <v>100</v>
      </c>
      <c r="DS316">
        <v>8643</v>
      </c>
      <c r="DW316">
        <v>400</v>
      </c>
      <c r="EC316">
        <v>2315</v>
      </c>
      <c r="EE316">
        <v>525</v>
      </c>
      <c r="EG316">
        <v>650</v>
      </c>
      <c r="EM316">
        <v>2250</v>
      </c>
      <c r="EW316">
        <v>700</v>
      </c>
      <c r="FG316">
        <v>300</v>
      </c>
      <c r="FQ316">
        <v>100</v>
      </c>
      <c r="GM316">
        <f t="shared" si="5"/>
        <v>60798</v>
      </c>
    </row>
    <row r="317" spans="1:195" x14ac:dyDescent="0.25">
      <c r="A317" s="4">
        <f>DATE(2023,5,12)</f>
        <v>45058</v>
      </c>
      <c r="B317">
        <v>115600</v>
      </c>
      <c r="C317">
        <v>750</v>
      </c>
      <c r="M317">
        <v>500</v>
      </c>
      <c r="W317">
        <v>1700</v>
      </c>
      <c r="AG317">
        <v>950</v>
      </c>
      <c r="AQ317">
        <v>4075</v>
      </c>
      <c r="BA317">
        <v>2350</v>
      </c>
      <c r="BK317">
        <v>9925</v>
      </c>
      <c r="BU317">
        <v>900</v>
      </c>
      <c r="CC317">
        <v>100</v>
      </c>
      <c r="CE317">
        <v>5585</v>
      </c>
      <c r="CO317">
        <v>7925</v>
      </c>
      <c r="CQ317">
        <v>440</v>
      </c>
      <c r="CU317">
        <v>100</v>
      </c>
      <c r="CY317">
        <v>4425</v>
      </c>
      <c r="DA317">
        <v>500</v>
      </c>
      <c r="DC317">
        <v>500</v>
      </c>
      <c r="DI317">
        <v>3900</v>
      </c>
      <c r="DK317">
        <v>40</v>
      </c>
      <c r="DM317">
        <v>150</v>
      </c>
      <c r="DQ317">
        <v>100</v>
      </c>
      <c r="DS317">
        <v>8643</v>
      </c>
      <c r="DW317">
        <v>400</v>
      </c>
      <c r="EC317">
        <v>2315</v>
      </c>
      <c r="EE317">
        <v>525</v>
      </c>
      <c r="EG317">
        <v>650</v>
      </c>
      <c r="EM317">
        <v>2250</v>
      </c>
      <c r="EW317">
        <v>700</v>
      </c>
      <c r="FG317">
        <v>300</v>
      </c>
      <c r="FQ317">
        <v>100</v>
      </c>
      <c r="GM317">
        <f t="shared" si="5"/>
        <v>60798</v>
      </c>
    </row>
    <row r="318" spans="1:195" x14ac:dyDescent="0.25">
      <c r="A318" s="4">
        <f>DATE(2023,5,11)</f>
        <v>45057</v>
      </c>
      <c r="B318">
        <v>115357</v>
      </c>
      <c r="C318">
        <v>750</v>
      </c>
      <c r="M318">
        <v>500</v>
      </c>
      <c r="W318">
        <v>1700</v>
      </c>
      <c r="AG318">
        <v>950</v>
      </c>
      <c r="AQ318">
        <v>4075</v>
      </c>
      <c r="BA318">
        <v>2350</v>
      </c>
      <c r="BK318">
        <v>9925</v>
      </c>
      <c r="BU318">
        <v>900</v>
      </c>
      <c r="CC318">
        <v>100</v>
      </c>
      <c r="CE318">
        <v>5585</v>
      </c>
      <c r="CO318">
        <v>7925</v>
      </c>
      <c r="CQ318">
        <v>440</v>
      </c>
      <c r="CU318">
        <v>100</v>
      </c>
      <c r="CY318">
        <v>4425</v>
      </c>
      <c r="DA318">
        <v>500</v>
      </c>
      <c r="DC318">
        <v>500</v>
      </c>
      <c r="DI318">
        <v>3750</v>
      </c>
      <c r="DK318">
        <v>40</v>
      </c>
      <c r="DM318">
        <v>150</v>
      </c>
      <c r="DQ318">
        <v>100</v>
      </c>
      <c r="DS318">
        <v>8643</v>
      </c>
      <c r="DW318">
        <v>400</v>
      </c>
      <c r="EC318">
        <v>2315</v>
      </c>
      <c r="EE318">
        <v>525</v>
      </c>
      <c r="EG318">
        <v>650</v>
      </c>
      <c r="EM318">
        <v>2250</v>
      </c>
      <c r="EW318">
        <v>700</v>
      </c>
      <c r="FG318">
        <v>300</v>
      </c>
      <c r="FQ318">
        <v>100</v>
      </c>
      <c r="GM318">
        <f t="shared" si="5"/>
        <v>60648</v>
      </c>
    </row>
    <row r="319" spans="1:195" x14ac:dyDescent="0.25">
      <c r="A319" s="4">
        <f>DATE(2023,5,10)</f>
        <v>45056</v>
      </c>
      <c r="B319">
        <v>114822</v>
      </c>
      <c r="C319">
        <v>750</v>
      </c>
      <c r="M319">
        <v>500</v>
      </c>
      <c r="W319">
        <v>1700</v>
      </c>
      <c r="AG319">
        <v>950</v>
      </c>
      <c r="AQ319">
        <v>4075</v>
      </c>
      <c r="BA319">
        <v>2350</v>
      </c>
      <c r="BK319">
        <v>9925</v>
      </c>
      <c r="BU319">
        <v>900</v>
      </c>
      <c r="CC319">
        <v>100</v>
      </c>
      <c r="CE319">
        <v>5585</v>
      </c>
      <c r="CO319">
        <v>7925</v>
      </c>
      <c r="CQ319">
        <v>440</v>
      </c>
      <c r="CU319">
        <v>100</v>
      </c>
      <c r="CY319">
        <v>4425</v>
      </c>
      <c r="DA319">
        <v>500</v>
      </c>
      <c r="DC319">
        <v>500</v>
      </c>
      <c r="DI319">
        <v>3750</v>
      </c>
      <c r="DK319">
        <v>40</v>
      </c>
      <c r="DM319">
        <v>150</v>
      </c>
      <c r="DQ319">
        <v>100</v>
      </c>
      <c r="DS319">
        <v>8643</v>
      </c>
      <c r="DW319">
        <v>400</v>
      </c>
      <c r="EC319">
        <v>2315</v>
      </c>
      <c r="EE319">
        <v>525</v>
      </c>
      <c r="EG319">
        <v>650</v>
      </c>
      <c r="EM319">
        <v>2250</v>
      </c>
      <c r="EW319">
        <v>700</v>
      </c>
      <c r="FG319">
        <v>300</v>
      </c>
      <c r="FQ319">
        <v>100</v>
      </c>
      <c r="GM319">
        <f t="shared" si="5"/>
        <v>60648</v>
      </c>
    </row>
    <row r="320" spans="1:195" x14ac:dyDescent="0.25">
      <c r="A320" s="4">
        <f>DATE(2023,5,9)</f>
        <v>45055</v>
      </c>
      <c r="B320">
        <v>113912</v>
      </c>
      <c r="C320">
        <v>750</v>
      </c>
      <c r="M320">
        <v>500</v>
      </c>
      <c r="W320">
        <v>1700</v>
      </c>
      <c r="AG320">
        <v>950</v>
      </c>
      <c r="AQ320">
        <v>4075</v>
      </c>
      <c r="BA320">
        <v>2350</v>
      </c>
      <c r="BK320">
        <v>9925</v>
      </c>
      <c r="BU320">
        <v>900</v>
      </c>
      <c r="CC320">
        <v>100</v>
      </c>
      <c r="CE320">
        <v>5505</v>
      </c>
      <c r="CO320">
        <v>7925</v>
      </c>
      <c r="CQ320">
        <v>440</v>
      </c>
      <c r="CU320">
        <v>100</v>
      </c>
      <c r="CY320">
        <v>4425</v>
      </c>
      <c r="DA320">
        <v>500</v>
      </c>
      <c r="DC320">
        <v>500</v>
      </c>
      <c r="DI320">
        <v>3750</v>
      </c>
      <c r="DK320">
        <v>40</v>
      </c>
      <c r="DM320">
        <v>150</v>
      </c>
      <c r="DQ320">
        <v>100</v>
      </c>
      <c r="DS320">
        <v>8643</v>
      </c>
      <c r="DW320">
        <v>400</v>
      </c>
      <c r="EC320">
        <v>2315</v>
      </c>
      <c r="EE320">
        <v>525</v>
      </c>
      <c r="EG320">
        <v>650</v>
      </c>
      <c r="EM320">
        <v>2250</v>
      </c>
      <c r="EW320">
        <v>700</v>
      </c>
      <c r="FG320">
        <v>300</v>
      </c>
      <c r="FQ320">
        <v>100</v>
      </c>
      <c r="GM320">
        <f t="shared" si="5"/>
        <v>60568</v>
      </c>
    </row>
    <row r="321" spans="1:195" x14ac:dyDescent="0.25">
      <c r="A321" s="4">
        <f>DATE(2023,5,8)</f>
        <v>45054</v>
      </c>
      <c r="B321">
        <v>111970</v>
      </c>
      <c r="C321">
        <v>750</v>
      </c>
      <c r="M321">
        <v>500</v>
      </c>
      <c r="W321">
        <v>1700</v>
      </c>
      <c r="AG321">
        <v>950</v>
      </c>
      <c r="AQ321">
        <v>4075</v>
      </c>
      <c r="BA321">
        <v>2350</v>
      </c>
      <c r="BK321">
        <v>9925</v>
      </c>
      <c r="BU321">
        <v>900</v>
      </c>
      <c r="CC321">
        <v>100</v>
      </c>
      <c r="CE321">
        <v>5505</v>
      </c>
      <c r="CO321">
        <v>7925</v>
      </c>
      <c r="CQ321">
        <v>440</v>
      </c>
      <c r="CU321">
        <v>100</v>
      </c>
      <c r="CY321">
        <v>4425</v>
      </c>
      <c r="DA321">
        <v>500</v>
      </c>
      <c r="DC321">
        <v>500</v>
      </c>
      <c r="DI321">
        <v>3750</v>
      </c>
      <c r="DK321">
        <v>40</v>
      </c>
      <c r="DM321">
        <v>150</v>
      </c>
      <c r="DQ321">
        <v>100</v>
      </c>
      <c r="DS321">
        <v>8643</v>
      </c>
      <c r="DW321">
        <v>400</v>
      </c>
      <c r="EC321">
        <v>2315</v>
      </c>
      <c r="EE321">
        <v>525</v>
      </c>
      <c r="EG321">
        <v>650</v>
      </c>
      <c r="EM321">
        <v>2250</v>
      </c>
      <c r="EW321">
        <v>700</v>
      </c>
      <c r="FG321">
        <v>300</v>
      </c>
      <c r="FQ321">
        <v>100</v>
      </c>
      <c r="GM321">
        <f t="shared" si="5"/>
        <v>60568</v>
      </c>
    </row>
    <row r="322" spans="1:195" x14ac:dyDescent="0.25">
      <c r="A322" s="4">
        <f>DATE(2023,5,5)</f>
        <v>45051</v>
      </c>
      <c r="B322">
        <v>111985</v>
      </c>
      <c r="C322">
        <v>750</v>
      </c>
      <c r="M322">
        <v>500</v>
      </c>
      <c r="W322">
        <v>1700</v>
      </c>
      <c r="AG322">
        <v>950</v>
      </c>
      <c r="AQ322">
        <v>4075</v>
      </c>
      <c r="BA322">
        <v>2350</v>
      </c>
      <c r="BK322">
        <v>9925</v>
      </c>
      <c r="BU322">
        <v>900</v>
      </c>
      <c r="CC322">
        <v>100</v>
      </c>
      <c r="CE322">
        <v>5505</v>
      </c>
      <c r="CO322">
        <v>7925</v>
      </c>
      <c r="CQ322">
        <v>440</v>
      </c>
      <c r="CU322">
        <v>100</v>
      </c>
      <c r="CY322">
        <v>4425</v>
      </c>
      <c r="DA322">
        <v>500</v>
      </c>
      <c r="DC322">
        <v>500</v>
      </c>
      <c r="DI322">
        <v>3750</v>
      </c>
      <c r="DK322">
        <v>40</v>
      </c>
      <c r="DM322">
        <v>150</v>
      </c>
      <c r="DQ322">
        <v>100</v>
      </c>
      <c r="DS322">
        <v>8543</v>
      </c>
      <c r="DW322">
        <v>400</v>
      </c>
      <c r="EC322">
        <v>2315</v>
      </c>
      <c r="EE322">
        <v>525</v>
      </c>
      <c r="EG322">
        <v>650</v>
      </c>
      <c r="EM322">
        <v>2250</v>
      </c>
      <c r="EW322">
        <v>700</v>
      </c>
      <c r="FG322">
        <v>300</v>
      </c>
      <c r="FQ322">
        <v>100</v>
      </c>
      <c r="GM322">
        <f t="shared" si="5"/>
        <v>60468</v>
      </c>
    </row>
    <row r="323" spans="1:195" x14ac:dyDescent="0.25">
      <c r="A323" s="4">
        <f>DATE(2023,5,4)</f>
        <v>45050</v>
      </c>
      <c r="B323">
        <v>111772</v>
      </c>
      <c r="C323">
        <v>750</v>
      </c>
      <c r="M323">
        <v>500</v>
      </c>
      <c r="W323">
        <v>1700</v>
      </c>
      <c r="AG323">
        <v>950</v>
      </c>
      <c r="AQ323">
        <v>4075</v>
      </c>
      <c r="BA323">
        <v>2350</v>
      </c>
      <c r="BK323">
        <v>9925</v>
      </c>
      <c r="BU323">
        <v>900</v>
      </c>
      <c r="CC323">
        <v>100</v>
      </c>
      <c r="CE323">
        <v>5505</v>
      </c>
      <c r="CO323">
        <v>7925</v>
      </c>
      <c r="CQ323">
        <v>440</v>
      </c>
      <c r="CU323">
        <v>100</v>
      </c>
      <c r="CY323">
        <v>4425</v>
      </c>
      <c r="DA323">
        <v>500</v>
      </c>
      <c r="DC323">
        <v>500</v>
      </c>
      <c r="DI323">
        <v>3750</v>
      </c>
      <c r="DK323">
        <v>40</v>
      </c>
      <c r="DM323">
        <v>150</v>
      </c>
      <c r="DQ323">
        <v>100</v>
      </c>
      <c r="DS323">
        <v>8443</v>
      </c>
      <c r="DW323">
        <v>400</v>
      </c>
      <c r="EC323">
        <v>2315</v>
      </c>
      <c r="EE323">
        <v>525</v>
      </c>
      <c r="EG323">
        <v>650</v>
      </c>
      <c r="EM323">
        <v>2250</v>
      </c>
      <c r="EW323">
        <v>700</v>
      </c>
      <c r="FG323">
        <v>300</v>
      </c>
      <c r="FQ323">
        <v>100</v>
      </c>
      <c r="GM323">
        <f t="shared" si="5"/>
        <v>60368</v>
      </c>
    </row>
    <row r="324" spans="1:195" x14ac:dyDescent="0.25">
      <c r="A324" s="4">
        <f>DATE(2023,5,3)</f>
        <v>45049</v>
      </c>
      <c r="B324">
        <v>111666</v>
      </c>
      <c r="C324">
        <v>750</v>
      </c>
      <c r="M324">
        <v>500</v>
      </c>
      <c r="W324">
        <v>1700</v>
      </c>
      <c r="AG324">
        <v>950</v>
      </c>
      <c r="AQ324">
        <v>4075</v>
      </c>
      <c r="BA324">
        <v>2350</v>
      </c>
      <c r="BK324">
        <v>9925</v>
      </c>
      <c r="BU324">
        <v>900</v>
      </c>
      <c r="CC324">
        <v>100</v>
      </c>
      <c r="CE324">
        <v>5505</v>
      </c>
      <c r="CO324">
        <v>7925</v>
      </c>
      <c r="CQ324">
        <v>440</v>
      </c>
      <c r="CU324">
        <v>100</v>
      </c>
      <c r="CY324">
        <v>4475</v>
      </c>
      <c r="DA324">
        <v>500</v>
      </c>
      <c r="DC324">
        <v>500</v>
      </c>
      <c r="DI324">
        <v>3750</v>
      </c>
      <c r="DK324">
        <v>40</v>
      </c>
      <c r="DM324">
        <v>150</v>
      </c>
      <c r="DQ324">
        <v>100</v>
      </c>
      <c r="DS324">
        <v>8443</v>
      </c>
      <c r="DW324">
        <v>400</v>
      </c>
      <c r="EC324">
        <v>2315</v>
      </c>
      <c r="EE324">
        <v>525</v>
      </c>
      <c r="EG324">
        <v>650</v>
      </c>
      <c r="EM324">
        <v>2250</v>
      </c>
      <c r="EW324">
        <v>700</v>
      </c>
      <c r="FG324">
        <v>300</v>
      </c>
      <c r="FQ324">
        <v>100</v>
      </c>
      <c r="GM324">
        <f t="shared" si="5"/>
        <v>60418</v>
      </c>
    </row>
    <row r="325" spans="1:195" x14ac:dyDescent="0.25">
      <c r="A325" s="4">
        <f>DATE(2023,5,2)</f>
        <v>45048</v>
      </c>
      <c r="B325">
        <v>111434</v>
      </c>
      <c r="C325">
        <v>750</v>
      </c>
      <c r="M325">
        <v>500</v>
      </c>
      <c r="W325">
        <v>1700</v>
      </c>
      <c r="AG325">
        <v>950</v>
      </c>
      <c r="AQ325">
        <v>4075</v>
      </c>
      <c r="BA325">
        <v>2350</v>
      </c>
      <c r="BK325">
        <v>9925</v>
      </c>
      <c r="BU325">
        <v>900</v>
      </c>
      <c r="CC325">
        <v>100</v>
      </c>
      <c r="CE325">
        <v>5505</v>
      </c>
      <c r="CO325">
        <v>7925</v>
      </c>
      <c r="CQ325">
        <v>440</v>
      </c>
      <c r="CU325">
        <v>100</v>
      </c>
      <c r="CY325">
        <v>4475</v>
      </c>
      <c r="DA325">
        <v>500</v>
      </c>
      <c r="DC325">
        <v>500</v>
      </c>
      <c r="DI325">
        <v>3600</v>
      </c>
      <c r="DK325">
        <v>40</v>
      </c>
      <c r="DM325">
        <v>150</v>
      </c>
      <c r="DQ325">
        <v>100</v>
      </c>
      <c r="DS325">
        <v>8453</v>
      </c>
      <c r="DW325">
        <v>400</v>
      </c>
      <c r="EC325">
        <v>2315</v>
      </c>
      <c r="EE325">
        <v>525</v>
      </c>
      <c r="EG325">
        <v>650</v>
      </c>
      <c r="EM325">
        <v>2250</v>
      </c>
      <c r="EW325">
        <v>700</v>
      </c>
      <c r="FG325">
        <v>300</v>
      </c>
      <c r="FQ325">
        <v>100</v>
      </c>
      <c r="GM325">
        <f t="shared" si="5"/>
        <v>60278</v>
      </c>
    </row>
    <row r="326" spans="1:195" x14ac:dyDescent="0.25">
      <c r="A326" s="4">
        <f>DATE(2023,5,1)</f>
        <v>45047</v>
      </c>
      <c r="B326">
        <v>111196</v>
      </c>
      <c r="C326">
        <v>750</v>
      </c>
      <c r="M326">
        <v>500</v>
      </c>
      <c r="W326">
        <v>1700</v>
      </c>
      <c r="AG326">
        <v>950</v>
      </c>
      <c r="AQ326">
        <v>4075</v>
      </c>
      <c r="BA326">
        <v>2350</v>
      </c>
      <c r="BK326">
        <v>9925</v>
      </c>
      <c r="BU326">
        <v>900</v>
      </c>
      <c r="CC326">
        <v>100</v>
      </c>
      <c r="CE326">
        <v>5505</v>
      </c>
      <c r="CO326">
        <v>7925</v>
      </c>
      <c r="CQ326">
        <v>440</v>
      </c>
      <c r="CU326">
        <v>100</v>
      </c>
      <c r="CY326">
        <v>4475</v>
      </c>
      <c r="DA326">
        <v>500</v>
      </c>
      <c r="DC326">
        <v>500</v>
      </c>
      <c r="DI326">
        <v>3600</v>
      </c>
      <c r="DK326">
        <v>40</v>
      </c>
      <c r="DM326">
        <v>150</v>
      </c>
      <c r="DQ326">
        <v>100</v>
      </c>
      <c r="DS326">
        <v>8543</v>
      </c>
      <c r="DW326">
        <v>400</v>
      </c>
      <c r="EC326">
        <v>2315</v>
      </c>
      <c r="EE326">
        <v>525</v>
      </c>
      <c r="EG326">
        <v>650</v>
      </c>
      <c r="EM326">
        <v>2250</v>
      </c>
      <c r="EW326">
        <v>700</v>
      </c>
      <c r="FG326">
        <v>300</v>
      </c>
      <c r="FQ326">
        <v>100</v>
      </c>
      <c r="GM326">
        <f t="shared" si="5"/>
        <v>60368</v>
      </c>
    </row>
    <row r="327" spans="1:195" x14ac:dyDescent="0.25">
      <c r="A327" s="4">
        <f>DATE(2023,4,28)</f>
        <v>45044</v>
      </c>
      <c r="B327">
        <v>111188</v>
      </c>
      <c r="C327">
        <v>750</v>
      </c>
      <c r="M327">
        <v>500</v>
      </c>
      <c r="W327">
        <v>1700</v>
      </c>
      <c r="AG327">
        <v>950</v>
      </c>
      <c r="AQ327">
        <v>4075</v>
      </c>
      <c r="BA327">
        <v>2350</v>
      </c>
      <c r="BK327">
        <v>10775</v>
      </c>
      <c r="BU327">
        <v>900</v>
      </c>
      <c r="CC327">
        <v>100</v>
      </c>
      <c r="CE327">
        <v>7235</v>
      </c>
      <c r="CO327">
        <v>7925</v>
      </c>
      <c r="CQ327">
        <v>440</v>
      </c>
      <c r="CU327">
        <v>100</v>
      </c>
      <c r="CY327">
        <v>4675</v>
      </c>
      <c r="DA327">
        <v>500</v>
      </c>
      <c r="DC327">
        <v>500</v>
      </c>
      <c r="DI327">
        <v>3600</v>
      </c>
      <c r="DK327">
        <v>40</v>
      </c>
      <c r="DM327">
        <v>150</v>
      </c>
      <c r="DQ327">
        <v>100</v>
      </c>
      <c r="DS327">
        <v>8563</v>
      </c>
      <c r="DW327">
        <v>400</v>
      </c>
      <c r="EC327">
        <v>2050</v>
      </c>
      <c r="EE327">
        <v>525</v>
      </c>
      <c r="EG327">
        <v>650</v>
      </c>
      <c r="EM327">
        <v>2250</v>
      </c>
      <c r="EW327">
        <v>600</v>
      </c>
      <c r="FG327">
        <v>300</v>
      </c>
      <c r="GM327">
        <f t="shared" si="5"/>
        <v>62703</v>
      </c>
    </row>
    <row r="328" spans="1:195" x14ac:dyDescent="0.25">
      <c r="A328" s="4">
        <f>DATE(2023,4,27)</f>
        <v>45043</v>
      </c>
      <c r="B328">
        <v>111336</v>
      </c>
      <c r="C328">
        <v>750</v>
      </c>
      <c r="M328">
        <v>500</v>
      </c>
      <c r="W328">
        <v>1700</v>
      </c>
      <c r="AG328">
        <v>950</v>
      </c>
      <c r="AQ328">
        <v>4075</v>
      </c>
      <c r="BA328">
        <v>2350</v>
      </c>
      <c r="BK328">
        <v>10775</v>
      </c>
      <c r="BU328">
        <v>900</v>
      </c>
      <c r="CC328">
        <v>100</v>
      </c>
      <c r="CE328">
        <v>5985</v>
      </c>
      <c r="CO328">
        <v>7775</v>
      </c>
      <c r="CQ328">
        <v>440</v>
      </c>
      <c r="CU328">
        <v>100</v>
      </c>
      <c r="CY328">
        <v>4675</v>
      </c>
      <c r="DA328">
        <v>500</v>
      </c>
      <c r="DC328">
        <v>500</v>
      </c>
      <c r="DI328">
        <v>3500</v>
      </c>
      <c r="DK328">
        <v>40</v>
      </c>
      <c r="DM328">
        <v>150</v>
      </c>
      <c r="DQ328">
        <v>100</v>
      </c>
      <c r="DS328">
        <v>8563</v>
      </c>
      <c r="DW328">
        <v>400</v>
      </c>
      <c r="EC328">
        <v>2050</v>
      </c>
      <c r="EE328">
        <v>525</v>
      </c>
      <c r="EG328">
        <v>500</v>
      </c>
      <c r="EM328">
        <v>2250</v>
      </c>
      <c r="EW328">
        <v>600</v>
      </c>
      <c r="FG328">
        <v>300</v>
      </c>
      <c r="GM328">
        <f t="shared" ref="GM328:GM391" si="6">SUMPRODUCT(C328:GL328)</f>
        <v>61053</v>
      </c>
    </row>
    <row r="329" spans="1:195" x14ac:dyDescent="0.25">
      <c r="A329" s="4">
        <f>DATE(2023,4,26)</f>
        <v>45042</v>
      </c>
      <c r="B329">
        <v>111640</v>
      </c>
      <c r="C329">
        <v>750</v>
      </c>
      <c r="M329">
        <v>500</v>
      </c>
      <c r="W329">
        <v>1700</v>
      </c>
      <c r="AG329">
        <v>950</v>
      </c>
      <c r="AQ329">
        <v>4075</v>
      </c>
      <c r="BA329">
        <v>2350</v>
      </c>
      <c r="BK329">
        <v>10775</v>
      </c>
      <c r="BU329">
        <v>900</v>
      </c>
      <c r="CC329">
        <v>100</v>
      </c>
      <c r="CE329">
        <v>5685</v>
      </c>
      <c r="CO329">
        <v>7750</v>
      </c>
      <c r="CQ329">
        <v>440</v>
      </c>
      <c r="CU329">
        <v>100</v>
      </c>
      <c r="CY329">
        <v>4675</v>
      </c>
      <c r="DA329">
        <v>500</v>
      </c>
      <c r="DC329">
        <v>500</v>
      </c>
      <c r="DI329">
        <v>3500</v>
      </c>
      <c r="DK329">
        <v>40</v>
      </c>
      <c r="DM329">
        <v>150</v>
      </c>
      <c r="DQ329">
        <v>100</v>
      </c>
      <c r="DS329">
        <v>8543</v>
      </c>
      <c r="DW329">
        <v>400</v>
      </c>
      <c r="EC329">
        <v>2050</v>
      </c>
      <c r="EE329">
        <v>500</v>
      </c>
      <c r="EG329">
        <v>500</v>
      </c>
      <c r="EM329">
        <v>2250</v>
      </c>
      <c r="EW329">
        <v>600</v>
      </c>
      <c r="FG329">
        <v>300</v>
      </c>
      <c r="GM329">
        <f t="shared" si="6"/>
        <v>60683</v>
      </c>
    </row>
    <row r="330" spans="1:195" x14ac:dyDescent="0.25">
      <c r="A330" s="4">
        <f>DATE(2023,4,25)</f>
        <v>45041</v>
      </c>
      <c r="B330">
        <v>111022</v>
      </c>
      <c r="C330">
        <v>750</v>
      </c>
      <c r="M330">
        <v>500</v>
      </c>
      <c r="W330">
        <v>1700</v>
      </c>
      <c r="AG330">
        <v>950</v>
      </c>
      <c r="AQ330">
        <v>4075</v>
      </c>
      <c r="BA330">
        <v>2350</v>
      </c>
      <c r="BK330">
        <v>10725</v>
      </c>
      <c r="BU330">
        <v>900</v>
      </c>
      <c r="CC330">
        <v>100</v>
      </c>
      <c r="CE330">
        <v>5655</v>
      </c>
      <c r="CO330">
        <v>7750</v>
      </c>
      <c r="CQ330">
        <v>440</v>
      </c>
      <c r="CY330">
        <v>3925</v>
      </c>
      <c r="DA330">
        <v>500</v>
      </c>
      <c r="DC330">
        <v>500</v>
      </c>
      <c r="DI330">
        <v>3450</v>
      </c>
      <c r="DK330">
        <v>40</v>
      </c>
      <c r="DM330">
        <v>150</v>
      </c>
      <c r="DQ330">
        <v>100</v>
      </c>
      <c r="DS330">
        <v>8543</v>
      </c>
      <c r="DW330">
        <v>400</v>
      </c>
      <c r="EC330">
        <v>2050</v>
      </c>
      <c r="EE330">
        <v>500</v>
      </c>
      <c r="EG330">
        <v>500</v>
      </c>
      <c r="EM330">
        <v>2250</v>
      </c>
      <c r="EW330">
        <v>600</v>
      </c>
      <c r="FG330">
        <v>300</v>
      </c>
      <c r="GM330">
        <f t="shared" si="6"/>
        <v>59703</v>
      </c>
    </row>
    <row r="331" spans="1:195" x14ac:dyDescent="0.25">
      <c r="A331" s="4">
        <f>DATE(2023,4,24)</f>
        <v>45040</v>
      </c>
      <c r="B331">
        <v>109414</v>
      </c>
      <c r="C331">
        <v>750</v>
      </c>
      <c r="M331">
        <v>500</v>
      </c>
      <c r="W331">
        <v>1700</v>
      </c>
      <c r="AG331">
        <v>950</v>
      </c>
      <c r="AQ331">
        <v>4075</v>
      </c>
      <c r="BA331">
        <v>2350</v>
      </c>
      <c r="BK331">
        <v>10725</v>
      </c>
      <c r="BU331">
        <v>850</v>
      </c>
      <c r="CC331">
        <v>100</v>
      </c>
      <c r="CE331">
        <v>5655</v>
      </c>
      <c r="CO331">
        <v>7750</v>
      </c>
      <c r="CQ331">
        <v>440</v>
      </c>
      <c r="CY331">
        <v>3925</v>
      </c>
      <c r="DA331">
        <v>500</v>
      </c>
      <c r="DC331">
        <v>500</v>
      </c>
      <c r="DI331">
        <v>3200</v>
      </c>
      <c r="DK331">
        <v>40</v>
      </c>
      <c r="DM331">
        <v>150</v>
      </c>
      <c r="DQ331">
        <v>100</v>
      </c>
      <c r="DS331">
        <v>8543</v>
      </c>
      <c r="DW331">
        <v>400</v>
      </c>
      <c r="EC331">
        <v>2050</v>
      </c>
      <c r="EE331">
        <v>500</v>
      </c>
      <c r="EG331">
        <v>500</v>
      </c>
      <c r="EM331">
        <v>2250</v>
      </c>
      <c r="EW331">
        <v>600</v>
      </c>
      <c r="FG331">
        <v>300</v>
      </c>
      <c r="GM331">
        <f t="shared" si="6"/>
        <v>59403</v>
      </c>
    </row>
    <row r="332" spans="1:195" x14ac:dyDescent="0.25">
      <c r="A332" s="4">
        <f>DATE(2023,4,21)</f>
        <v>45037</v>
      </c>
      <c r="B332">
        <v>109389</v>
      </c>
      <c r="C332">
        <v>750</v>
      </c>
      <c r="M332">
        <v>500</v>
      </c>
      <c r="W332">
        <v>1700</v>
      </c>
      <c r="AG332">
        <v>950</v>
      </c>
      <c r="AQ332">
        <v>4075</v>
      </c>
      <c r="BA332">
        <v>2350</v>
      </c>
      <c r="BK332">
        <v>10725</v>
      </c>
      <c r="BU332">
        <v>850</v>
      </c>
      <c r="CC332">
        <v>100</v>
      </c>
      <c r="CE332">
        <v>5655</v>
      </c>
      <c r="CO332">
        <v>7750</v>
      </c>
      <c r="CQ332">
        <v>440</v>
      </c>
      <c r="CY332">
        <v>3925</v>
      </c>
      <c r="DA332">
        <v>500</v>
      </c>
      <c r="DC332">
        <v>500</v>
      </c>
      <c r="DI332">
        <v>3050</v>
      </c>
      <c r="DK332">
        <v>40</v>
      </c>
      <c r="DM332">
        <v>150</v>
      </c>
      <c r="DQ332">
        <v>100</v>
      </c>
      <c r="DS332">
        <v>8543</v>
      </c>
      <c r="DW332">
        <v>400</v>
      </c>
      <c r="EC332">
        <v>2050</v>
      </c>
      <c r="EE332">
        <v>500</v>
      </c>
      <c r="EG332">
        <v>500</v>
      </c>
      <c r="EM332">
        <v>2250</v>
      </c>
      <c r="EW332">
        <v>600</v>
      </c>
      <c r="FG332">
        <v>300</v>
      </c>
      <c r="GM332">
        <f t="shared" si="6"/>
        <v>59253</v>
      </c>
    </row>
    <row r="333" spans="1:195" x14ac:dyDescent="0.25">
      <c r="A333" s="4">
        <f>DATE(2023,4,20)</f>
        <v>45036</v>
      </c>
      <c r="B333">
        <v>108363</v>
      </c>
      <c r="C333">
        <v>750</v>
      </c>
      <c r="M333">
        <v>500</v>
      </c>
      <c r="W333">
        <v>1700</v>
      </c>
      <c r="AG333">
        <v>1050</v>
      </c>
      <c r="AQ333">
        <v>4075</v>
      </c>
      <c r="BA333">
        <v>2350</v>
      </c>
      <c r="BK333">
        <v>10725</v>
      </c>
      <c r="BU333">
        <v>850</v>
      </c>
      <c r="CC333">
        <v>100</v>
      </c>
      <c r="CE333">
        <v>5655</v>
      </c>
      <c r="CO333">
        <v>7750</v>
      </c>
      <c r="CQ333">
        <v>440</v>
      </c>
      <c r="CY333">
        <v>3925</v>
      </c>
      <c r="DA333">
        <v>500</v>
      </c>
      <c r="DC333">
        <v>500</v>
      </c>
      <c r="DI333">
        <v>3000</v>
      </c>
      <c r="DK333">
        <v>40</v>
      </c>
      <c r="DM333">
        <v>150</v>
      </c>
      <c r="DQ333">
        <v>100</v>
      </c>
      <c r="DS333">
        <v>8130</v>
      </c>
      <c r="DW333">
        <v>400</v>
      </c>
      <c r="EC333">
        <v>2050</v>
      </c>
      <c r="EE333">
        <v>500</v>
      </c>
      <c r="EG333">
        <v>500</v>
      </c>
      <c r="EM333">
        <v>2000</v>
      </c>
      <c r="EW333">
        <v>600</v>
      </c>
      <c r="FG333">
        <v>300</v>
      </c>
      <c r="GM333">
        <f t="shared" si="6"/>
        <v>58640</v>
      </c>
    </row>
    <row r="334" spans="1:195" x14ac:dyDescent="0.25">
      <c r="A334" s="4">
        <f>DATE(2023,4,19)</f>
        <v>45035</v>
      </c>
      <c r="B334">
        <v>107899</v>
      </c>
      <c r="C334">
        <v>750</v>
      </c>
      <c r="M334">
        <v>500</v>
      </c>
      <c r="W334">
        <v>1700</v>
      </c>
      <c r="AG334">
        <v>1050</v>
      </c>
      <c r="AQ334">
        <v>4075</v>
      </c>
      <c r="BA334">
        <v>2350</v>
      </c>
      <c r="BK334">
        <v>10725</v>
      </c>
      <c r="BU334">
        <v>850</v>
      </c>
      <c r="CC334">
        <v>100</v>
      </c>
      <c r="CE334">
        <v>5655</v>
      </c>
      <c r="CO334">
        <v>7750</v>
      </c>
      <c r="CQ334">
        <v>440</v>
      </c>
      <c r="CY334">
        <v>3925</v>
      </c>
      <c r="DA334">
        <v>500</v>
      </c>
      <c r="DC334">
        <v>500</v>
      </c>
      <c r="DI334">
        <v>3000</v>
      </c>
      <c r="DK334">
        <v>40</v>
      </c>
      <c r="DM334">
        <v>150</v>
      </c>
      <c r="DQ334">
        <v>100</v>
      </c>
      <c r="DS334">
        <v>8130</v>
      </c>
      <c r="DW334">
        <v>400</v>
      </c>
      <c r="EC334">
        <v>2050</v>
      </c>
      <c r="EE334">
        <v>500</v>
      </c>
      <c r="EG334">
        <v>500</v>
      </c>
      <c r="EM334">
        <v>2000</v>
      </c>
      <c r="EW334">
        <v>600</v>
      </c>
      <c r="FG334">
        <v>300</v>
      </c>
      <c r="GM334">
        <f t="shared" si="6"/>
        <v>58640</v>
      </c>
    </row>
    <row r="335" spans="1:195" x14ac:dyDescent="0.25">
      <c r="A335" s="4">
        <f>DATE(2023,4,18)</f>
        <v>45034</v>
      </c>
      <c r="B335">
        <v>107101</v>
      </c>
      <c r="C335">
        <v>750</v>
      </c>
      <c r="M335">
        <v>500</v>
      </c>
      <c r="W335">
        <v>1700</v>
      </c>
      <c r="AG335">
        <v>1050</v>
      </c>
      <c r="AQ335">
        <v>4075</v>
      </c>
      <c r="BA335">
        <v>2350</v>
      </c>
      <c r="BK335">
        <v>10725</v>
      </c>
      <c r="BU335">
        <v>850</v>
      </c>
      <c r="CC335">
        <v>100</v>
      </c>
      <c r="CE335">
        <v>5655</v>
      </c>
      <c r="CO335">
        <v>7650</v>
      </c>
      <c r="CQ335">
        <v>440</v>
      </c>
      <c r="CY335">
        <v>3925</v>
      </c>
      <c r="DA335">
        <v>500</v>
      </c>
      <c r="DC335">
        <v>500</v>
      </c>
      <c r="DI335">
        <v>3000</v>
      </c>
      <c r="DK335">
        <v>40</v>
      </c>
      <c r="DM335">
        <v>150</v>
      </c>
      <c r="DQ335">
        <v>100</v>
      </c>
      <c r="DS335">
        <v>8130</v>
      </c>
      <c r="DW335">
        <v>400</v>
      </c>
      <c r="EC335">
        <v>2050</v>
      </c>
      <c r="EE335">
        <v>500</v>
      </c>
      <c r="EG335">
        <v>500</v>
      </c>
      <c r="EM335">
        <v>2000</v>
      </c>
      <c r="EW335">
        <v>600</v>
      </c>
      <c r="FG335">
        <v>300</v>
      </c>
      <c r="GM335">
        <f t="shared" si="6"/>
        <v>58540</v>
      </c>
    </row>
    <row r="336" spans="1:195" x14ac:dyDescent="0.25">
      <c r="A336" s="4">
        <f>DATE(2023,4,17)</f>
        <v>45033</v>
      </c>
      <c r="B336">
        <v>106214</v>
      </c>
      <c r="C336">
        <v>750</v>
      </c>
      <c r="M336">
        <v>500</v>
      </c>
      <c r="W336">
        <v>1700</v>
      </c>
      <c r="AG336">
        <v>1050</v>
      </c>
      <c r="AQ336">
        <v>4075</v>
      </c>
      <c r="BA336">
        <v>2350</v>
      </c>
      <c r="BK336">
        <v>10725</v>
      </c>
      <c r="BU336">
        <v>850</v>
      </c>
      <c r="CC336">
        <v>100</v>
      </c>
      <c r="CE336">
        <v>5655</v>
      </c>
      <c r="CO336">
        <v>7800</v>
      </c>
      <c r="CQ336">
        <v>440</v>
      </c>
      <c r="CY336">
        <v>3975</v>
      </c>
      <c r="DA336">
        <v>500</v>
      </c>
      <c r="DC336">
        <v>500</v>
      </c>
      <c r="DI336">
        <v>3000</v>
      </c>
      <c r="DK336">
        <v>40</v>
      </c>
      <c r="DM336">
        <v>150</v>
      </c>
      <c r="DQ336">
        <v>100</v>
      </c>
      <c r="DS336">
        <v>8030</v>
      </c>
      <c r="DW336">
        <v>400</v>
      </c>
      <c r="EC336">
        <v>2050</v>
      </c>
      <c r="EE336">
        <v>500</v>
      </c>
      <c r="EG336">
        <v>500</v>
      </c>
      <c r="EM336">
        <v>2000</v>
      </c>
      <c r="EW336">
        <v>600</v>
      </c>
      <c r="FG336">
        <v>300</v>
      </c>
      <c r="GM336">
        <f t="shared" si="6"/>
        <v>58640</v>
      </c>
    </row>
    <row r="337" spans="1:195" x14ac:dyDescent="0.25">
      <c r="A337" s="4">
        <f>DATE(2023,4,14)</f>
        <v>45030</v>
      </c>
      <c r="B337">
        <v>106252</v>
      </c>
      <c r="C337">
        <v>750</v>
      </c>
      <c r="M337">
        <v>500</v>
      </c>
      <c r="W337">
        <v>1700</v>
      </c>
      <c r="AG337">
        <v>1050</v>
      </c>
      <c r="AQ337">
        <v>4075</v>
      </c>
      <c r="BA337">
        <v>2350</v>
      </c>
      <c r="BK337">
        <v>10725</v>
      </c>
      <c r="BU337">
        <v>850</v>
      </c>
      <c r="CC337">
        <v>100</v>
      </c>
      <c r="CE337">
        <v>5655</v>
      </c>
      <c r="CO337">
        <v>7800</v>
      </c>
      <c r="CQ337">
        <v>440</v>
      </c>
      <c r="CY337">
        <v>3975</v>
      </c>
      <c r="DA337">
        <v>500</v>
      </c>
      <c r="DC337">
        <v>500</v>
      </c>
      <c r="DI337">
        <v>2900</v>
      </c>
      <c r="DK337">
        <v>40</v>
      </c>
      <c r="DM337">
        <v>150</v>
      </c>
      <c r="DQ337">
        <v>100</v>
      </c>
      <c r="DS337">
        <v>8030</v>
      </c>
      <c r="DW337">
        <v>400</v>
      </c>
      <c r="EC337">
        <v>2050</v>
      </c>
      <c r="EE337">
        <v>500</v>
      </c>
      <c r="EG337">
        <v>500</v>
      </c>
      <c r="EM337">
        <v>2000</v>
      </c>
      <c r="EW337">
        <v>600</v>
      </c>
      <c r="FG337">
        <v>300</v>
      </c>
      <c r="GM337">
        <f t="shared" si="6"/>
        <v>58540</v>
      </c>
    </row>
    <row r="338" spans="1:195" x14ac:dyDescent="0.25">
      <c r="A338" s="4">
        <f>DATE(2023,4,13)</f>
        <v>45029</v>
      </c>
      <c r="B338">
        <v>105764</v>
      </c>
      <c r="C338">
        <v>750</v>
      </c>
      <c r="M338">
        <v>500</v>
      </c>
      <c r="W338">
        <v>1700</v>
      </c>
      <c r="AG338">
        <v>1050</v>
      </c>
      <c r="AQ338">
        <v>4075</v>
      </c>
      <c r="BA338">
        <v>2350</v>
      </c>
      <c r="BK338">
        <v>10725</v>
      </c>
      <c r="BU338">
        <v>850</v>
      </c>
      <c r="CC338">
        <v>100</v>
      </c>
      <c r="CE338">
        <v>5655</v>
      </c>
      <c r="CO338">
        <v>7800</v>
      </c>
      <c r="CQ338">
        <v>440</v>
      </c>
      <c r="CY338">
        <v>3350</v>
      </c>
      <c r="DA338">
        <v>500</v>
      </c>
      <c r="DC338">
        <v>500</v>
      </c>
      <c r="DI338">
        <v>2900</v>
      </c>
      <c r="DK338">
        <v>40</v>
      </c>
      <c r="DM338">
        <v>150</v>
      </c>
      <c r="DQ338">
        <v>100</v>
      </c>
      <c r="DS338">
        <v>7168</v>
      </c>
      <c r="DW338">
        <v>400</v>
      </c>
      <c r="EC338">
        <v>2050</v>
      </c>
      <c r="EE338">
        <v>500</v>
      </c>
      <c r="EG338">
        <v>500</v>
      </c>
      <c r="EM338">
        <v>2000</v>
      </c>
      <c r="EW338">
        <v>600</v>
      </c>
      <c r="FG338">
        <v>300</v>
      </c>
      <c r="GM338">
        <f t="shared" si="6"/>
        <v>57053</v>
      </c>
    </row>
    <row r="339" spans="1:195" x14ac:dyDescent="0.25">
      <c r="A339" s="4">
        <f>DATE(2023,4,12)</f>
        <v>45028</v>
      </c>
      <c r="B339">
        <v>105677</v>
      </c>
      <c r="C339">
        <v>750</v>
      </c>
      <c r="M339">
        <v>500</v>
      </c>
      <c r="W339">
        <v>1700</v>
      </c>
      <c r="AG339">
        <v>1050</v>
      </c>
      <c r="AQ339">
        <v>4075</v>
      </c>
      <c r="BA339">
        <v>2350</v>
      </c>
      <c r="BK339">
        <v>10725</v>
      </c>
      <c r="BU339">
        <v>850</v>
      </c>
      <c r="CC339">
        <v>100</v>
      </c>
      <c r="CE339">
        <v>5655</v>
      </c>
      <c r="CO339">
        <v>7800</v>
      </c>
      <c r="CQ339">
        <v>440</v>
      </c>
      <c r="CY339">
        <v>3350</v>
      </c>
      <c r="DA339">
        <v>500</v>
      </c>
      <c r="DC339">
        <v>500</v>
      </c>
      <c r="DI339">
        <v>2800</v>
      </c>
      <c r="DK339">
        <v>40</v>
      </c>
      <c r="DM339">
        <v>150</v>
      </c>
      <c r="DQ339">
        <v>100</v>
      </c>
      <c r="DS339">
        <v>7168</v>
      </c>
      <c r="DW339">
        <v>400</v>
      </c>
      <c r="EC339">
        <v>2050</v>
      </c>
      <c r="EE339">
        <v>500</v>
      </c>
      <c r="EG339">
        <v>500</v>
      </c>
      <c r="EM339">
        <v>2000</v>
      </c>
      <c r="EW339">
        <v>600</v>
      </c>
      <c r="FG339">
        <v>300</v>
      </c>
      <c r="GM339">
        <f t="shared" si="6"/>
        <v>56953</v>
      </c>
    </row>
    <row r="340" spans="1:195" x14ac:dyDescent="0.25">
      <c r="A340" s="4">
        <f>DATE(2023,4,11)</f>
        <v>45027</v>
      </c>
      <c r="B340">
        <v>104833</v>
      </c>
      <c r="C340">
        <v>750</v>
      </c>
      <c r="M340">
        <v>500</v>
      </c>
      <c r="W340">
        <v>1700</v>
      </c>
      <c r="AG340">
        <v>1050</v>
      </c>
      <c r="AQ340">
        <v>4075</v>
      </c>
      <c r="BA340">
        <v>2350</v>
      </c>
      <c r="BK340">
        <v>10725</v>
      </c>
      <c r="BU340">
        <v>850</v>
      </c>
      <c r="CC340">
        <v>100</v>
      </c>
      <c r="CE340">
        <v>5655</v>
      </c>
      <c r="CO340">
        <v>7800</v>
      </c>
      <c r="CQ340">
        <v>440</v>
      </c>
      <c r="CY340">
        <v>3350</v>
      </c>
      <c r="DA340">
        <v>500</v>
      </c>
      <c r="DC340">
        <v>500</v>
      </c>
      <c r="DI340">
        <v>2800</v>
      </c>
      <c r="DK340">
        <v>40</v>
      </c>
      <c r="DM340">
        <v>150</v>
      </c>
      <c r="DQ340">
        <v>100</v>
      </c>
      <c r="DS340">
        <v>7168</v>
      </c>
      <c r="DW340">
        <v>400</v>
      </c>
      <c r="EC340">
        <v>2050</v>
      </c>
      <c r="EE340">
        <v>500</v>
      </c>
      <c r="EG340">
        <v>500</v>
      </c>
      <c r="EM340">
        <v>2000</v>
      </c>
      <c r="EW340">
        <v>600</v>
      </c>
      <c r="FG340">
        <v>300</v>
      </c>
      <c r="GM340">
        <f t="shared" si="6"/>
        <v>56953</v>
      </c>
    </row>
    <row r="341" spans="1:195" x14ac:dyDescent="0.25">
      <c r="A341" s="4">
        <f>DATE(2023,4,10)</f>
        <v>45026</v>
      </c>
      <c r="C341">
        <v>750</v>
      </c>
      <c r="M341">
        <v>500</v>
      </c>
      <c r="W341">
        <v>1700</v>
      </c>
      <c r="AG341">
        <v>1050</v>
      </c>
      <c r="AQ341">
        <v>4075</v>
      </c>
      <c r="BA341">
        <v>2350</v>
      </c>
      <c r="BK341">
        <v>10725</v>
      </c>
      <c r="BU341">
        <v>850</v>
      </c>
      <c r="CC341">
        <v>100</v>
      </c>
      <c r="CE341">
        <v>5655</v>
      </c>
      <c r="CO341">
        <v>7800</v>
      </c>
      <c r="CQ341">
        <v>440</v>
      </c>
      <c r="CY341">
        <v>3350</v>
      </c>
      <c r="DA341">
        <v>500</v>
      </c>
      <c r="DC341">
        <v>500</v>
      </c>
      <c r="DI341">
        <v>2800</v>
      </c>
      <c r="DK341">
        <v>40</v>
      </c>
      <c r="DM341">
        <v>150</v>
      </c>
      <c r="DQ341">
        <v>100</v>
      </c>
      <c r="DS341">
        <v>7168</v>
      </c>
      <c r="DW341">
        <v>400</v>
      </c>
      <c r="EC341">
        <v>2050</v>
      </c>
      <c r="EE341">
        <v>500</v>
      </c>
      <c r="EG341">
        <v>500</v>
      </c>
      <c r="EM341">
        <v>2000</v>
      </c>
      <c r="EW341">
        <v>600</v>
      </c>
      <c r="FG341">
        <v>300</v>
      </c>
      <c r="GM341">
        <f t="shared" si="6"/>
        <v>56953</v>
      </c>
    </row>
    <row r="342" spans="1:195" x14ac:dyDescent="0.25">
      <c r="A342" s="4">
        <f>DATE(2023,4,7)</f>
        <v>45023</v>
      </c>
      <c r="GM342">
        <f t="shared" si="6"/>
        <v>0</v>
      </c>
    </row>
    <row r="343" spans="1:195" x14ac:dyDescent="0.25">
      <c r="A343" s="4">
        <f>DATE(2023,4,6)</f>
        <v>45022</v>
      </c>
      <c r="B343">
        <v>104329</v>
      </c>
      <c r="C343">
        <v>750</v>
      </c>
      <c r="M343">
        <v>500</v>
      </c>
      <c r="W343">
        <v>1700</v>
      </c>
      <c r="AG343">
        <v>1050</v>
      </c>
      <c r="AQ343">
        <v>4075</v>
      </c>
      <c r="BA343">
        <v>2350</v>
      </c>
      <c r="BK343">
        <v>10725</v>
      </c>
      <c r="BU343">
        <v>850</v>
      </c>
      <c r="CC343">
        <v>100</v>
      </c>
      <c r="CE343">
        <v>5655</v>
      </c>
      <c r="CO343">
        <v>7800</v>
      </c>
      <c r="CQ343">
        <v>440</v>
      </c>
      <c r="CY343">
        <v>3350</v>
      </c>
      <c r="DA343">
        <v>500</v>
      </c>
      <c r="DC343">
        <v>500</v>
      </c>
      <c r="DI343">
        <v>2800</v>
      </c>
      <c r="DK343">
        <v>40</v>
      </c>
      <c r="DM343">
        <v>150</v>
      </c>
      <c r="DQ343">
        <v>100</v>
      </c>
      <c r="DS343">
        <v>7168</v>
      </c>
      <c r="DW343">
        <v>400</v>
      </c>
      <c r="EC343">
        <v>2050</v>
      </c>
      <c r="EE343">
        <v>500</v>
      </c>
      <c r="EG343">
        <v>500</v>
      </c>
      <c r="EM343">
        <v>2000</v>
      </c>
      <c r="EW343">
        <v>600</v>
      </c>
      <c r="FG343">
        <v>300</v>
      </c>
      <c r="GM343">
        <f t="shared" si="6"/>
        <v>56953</v>
      </c>
    </row>
    <row r="344" spans="1:195" x14ac:dyDescent="0.25">
      <c r="A344" s="4">
        <f>DATE(2023,4,5)</f>
        <v>45021</v>
      </c>
      <c r="B344">
        <v>103953</v>
      </c>
      <c r="C344">
        <v>750</v>
      </c>
      <c r="M344">
        <v>500</v>
      </c>
      <c r="W344">
        <v>1700</v>
      </c>
      <c r="AG344">
        <v>1050</v>
      </c>
      <c r="AQ344">
        <v>4075</v>
      </c>
      <c r="BA344">
        <v>2350</v>
      </c>
      <c r="BK344">
        <v>10875</v>
      </c>
      <c r="BU344">
        <v>850</v>
      </c>
      <c r="CC344">
        <v>100</v>
      </c>
      <c r="CE344">
        <v>5905</v>
      </c>
      <c r="CO344">
        <v>7800</v>
      </c>
      <c r="CQ344">
        <v>440</v>
      </c>
      <c r="CY344">
        <v>3350</v>
      </c>
      <c r="DA344">
        <v>500</v>
      </c>
      <c r="DC344">
        <v>500</v>
      </c>
      <c r="DI344">
        <v>2700</v>
      </c>
      <c r="DK344">
        <v>40</v>
      </c>
      <c r="DM344">
        <v>150</v>
      </c>
      <c r="DQ344">
        <v>100</v>
      </c>
      <c r="DS344">
        <v>7168</v>
      </c>
      <c r="DW344">
        <v>400</v>
      </c>
      <c r="EC344">
        <v>2050</v>
      </c>
      <c r="EE344">
        <v>500</v>
      </c>
      <c r="EG344">
        <v>500</v>
      </c>
      <c r="EM344">
        <v>1850</v>
      </c>
      <c r="EW344">
        <v>500</v>
      </c>
      <c r="FG344">
        <v>300</v>
      </c>
      <c r="GM344">
        <f t="shared" si="6"/>
        <v>57003</v>
      </c>
    </row>
    <row r="345" spans="1:195" x14ac:dyDescent="0.25">
      <c r="A345" s="4">
        <f>DATE(2023,4,4)</f>
        <v>45020</v>
      </c>
      <c r="B345">
        <v>102553</v>
      </c>
      <c r="C345">
        <v>750</v>
      </c>
      <c r="M345">
        <v>500</v>
      </c>
      <c r="W345">
        <v>1700</v>
      </c>
      <c r="AG345">
        <v>1050</v>
      </c>
      <c r="AQ345">
        <v>4075</v>
      </c>
      <c r="BA345">
        <v>2350</v>
      </c>
      <c r="BK345">
        <v>10875</v>
      </c>
      <c r="BU345">
        <v>850</v>
      </c>
      <c r="CC345">
        <v>100</v>
      </c>
      <c r="CE345">
        <v>5905</v>
      </c>
      <c r="CO345">
        <v>7800</v>
      </c>
      <c r="CQ345">
        <v>440</v>
      </c>
      <c r="CY345">
        <v>3350</v>
      </c>
      <c r="DA345">
        <v>500</v>
      </c>
      <c r="DC345">
        <v>500</v>
      </c>
      <c r="DI345">
        <v>2700</v>
      </c>
      <c r="DK345">
        <v>40</v>
      </c>
      <c r="DM345">
        <v>150</v>
      </c>
      <c r="DQ345">
        <v>100</v>
      </c>
      <c r="DS345">
        <v>7168</v>
      </c>
      <c r="DW345">
        <v>400</v>
      </c>
      <c r="EC345">
        <v>2050</v>
      </c>
      <c r="EE345">
        <v>500</v>
      </c>
      <c r="EG345">
        <v>500</v>
      </c>
      <c r="EM345">
        <v>1850</v>
      </c>
      <c r="EW345">
        <v>500</v>
      </c>
      <c r="FG345">
        <v>300</v>
      </c>
      <c r="GM345">
        <f t="shared" si="6"/>
        <v>57003</v>
      </c>
    </row>
    <row r="346" spans="1:195" x14ac:dyDescent="0.25">
      <c r="A346" s="4">
        <f>DATE(2023,4,3)</f>
        <v>45019</v>
      </c>
      <c r="B346">
        <v>102351</v>
      </c>
      <c r="C346">
        <v>750</v>
      </c>
      <c r="M346">
        <v>500</v>
      </c>
      <c r="W346">
        <v>1700</v>
      </c>
      <c r="AG346">
        <v>1050</v>
      </c>
      <c r="AQ346">
        <v>4075</v>
      </c>
      <c r="BA346">
        <v>2350</v>
      </c>
      <c r="BK346">
        <v>10875</v>
      </c>
      <c r="BU346">
        <v>850</v>
      </c>
      <c r="CC346">
        <v>100</v>
      </c>
      <c r="CE346">
        <v>5905</v>
      </c>
      <c r="CO346">
        <v>7800</v>
      </c>
      <c r="CQ346">
        <v>440</v>
      </c>
      <c r="CY346">
        <v>3350</v>
      </c>
      <c r="DA346">
        <v>500</v>
      </c>
      <c r="DC346">
        <v>500</v>
      </c>
      <c r="DI346">
        <v>2700</v>
      </c>
      <c r="DK346">
        <v>40</v>
      </c>
      <c r="DM346">
        <v>150</v>
      </c>
      <c r="DQ346">
        <v>100</v>
      </c>
      <c r="DS346">
        <v>7168</v>
      </c>
      <c r="DW346">
        <v>400</v>
      </c>
      <c r="EC346">
        <v>2050</v>
      </c>
      <c r="EE346">
        <v>500</v>
      </c>
      <c r="EG346">
        <v>500</v>
      </c>
      <c r="EM346">
        <v>1850</v>
      </c>
      <c r="EW346">
        <v>500</v>
      </c>
      <c r="FG346">
        <v>300</v>
      </c>
      <c r="GM346">
        <f t="shared" si="6"/>
        <v>57003</v>
      </c>
    </row>
    <row r="347" spans="1:195" x14ac:dyDescent="0.25">
      <c r="A347" s="4">
        <f>DATE(2023,3,31)</f>
        <v>45016</v>
      </c>
      <c r="B347">
        <v>102138</v>
      </c>
      <c r="C347">
        <v>750</v>
      </c>
      <c r="M347">
        <v>500</v>
      </c>
      <c r="W347">
        <v>1700</v>
      </c>
      <c r="AG347">
        <v>1050</v>
      </c>
      <c r="AQ347">
        <v>4075</v>
      </c>
      <c r="BA347">
        <v>2350</v>
      </c>
      <c r="BK347">
        <v>10875</v>
      </c>
      <c r="BU347">
        <v>850</v>
      </c>
      <c r="CC347">
        <v>100</v>
      </c>
      <c r="CE347">
        <v>5905</v>
      </c>
      <c r="CO347">
        <v>7800</v>
      </c>
      <c r="CQ347">
        <v>440</v>
      </c>
      <c r="CY347">
        <v>3350</v>
      </c>
      <c r="DA347">
        <v>500</v>
      </c>
      <c r="DC347">
        <v>500</v>
      </c>
      <c r="DI347">
        <v>2700</v>
      </c>
      <c r="DK347">
        <v>40</v>
      </c>
      <c r="DM347">
        <v>150</v>
      </c>
      <c r="DQ347">
        <v>100</v>
      </c>
      <c r="DS347">
        <v>7168</v>
      </c>
      <c r="DW347">
        <v>400</v>
      </c>
      <c r="EC347">
        <v>2050</v>
      </c>
      <c r="EE347">
        <v>500</v>
      </c>
      <c r="EG347">
        <v>500</v>
      </c>
      <c r="EM347">
        <v>1850</v>
      </c>
      <c r="EW347">
        <v>500</v>
      </c>
      <c r="FG347">
        <v>300</v>
      </c>
      <c r="GM347">
        <f t="shared" si="6"/>
        <v>57003</v>
      </c>
    </row>
    <row r="348" spans="1:195" x14ac:dyDescent="0.25">
      <c r="A348" s="4">
        <f>DATE(2023,3,30)</f>
        <v>45015</v>
      </c>
      <c r="B348">
        <v>102251</v>
      </c>
      <c r="C348">
        <v>750</v>
      </c>
      <c r="M348">
        <v>500</v>
      </c>
      <c r="W348">
        <v>1700</v>
      </c>
      <c r="AG348">
        <v>1050</v>
      </c>
      <c r="AQ348">
        <v>4075</v>
      </c>
      <c r="BA348">
        <v>2350</v>
      </c>
      <c r="BK348">
        <v>10875</v>
      </c>
      <c r="BU348">
        <v>850</v>
      </c>
      <c r="CC348">
        <v>100</v>
      </c>
      <c r="CE348">
        <v>5905</v>
      </c>
      <c r="CO348">
        <v>7800</v>
      </c>
      <c r="CQ348">
        <v>440</v>
      </c>
      <c r="CY348">
        <v>3350</v>
      </c>
      <c r="DA348">
        <v>500</v>
      </c>
      <c r="DC348">
        <v>500</v>
      </c>
      <c r="DI348">
        <v>2700</v>
      </c>
      <c r="DK348">
        <v>40</v>
      </c>
      <c r="DM348">
        <v>150</v>
      </c>
      <c r="DQ348">
        <v>100</v>
      </c>
      <c r="DS348">
        <v>7168</v>
      </c>
      <c r="DW348">
        <v>400</v>
      </c>
      <c r="EC348">
        <v>2300</v>
      </c>
      <c r="EE348">
        <v>500</v>
      </c>
      <c r="EG348">
        <v>500</v>
      </c>
      <c r="EM348">
        <v>1850</v>
      </c>
      <c r="EW348">
        <v>500</v>
      </c>
      <c r="FG348">
        <v>300</v>
      </c>
      <c r="GM348">
        <f t="shared" si="6"/>
        <v>57253</v>
      </c>
    </row>
    <row r="349" spans="1:195" x14ac:dyDescent="0.25">
      <c r="A349" s="4">
        <f>DATE(2023,3,29)</f>
        <v>45014</v>
      </c>
      <c r="B349">
        <v>102557</v>
      </c>
      <c r="C349">
        <v>750</v>
      </c>
      <c r="M349">
        <v>500</v>
      </c>
      <c r="W349">
        <v>1700</v>
      </c>
      <c r="AG349">
        <v>1050</v>
      </c>
      <c r="AQ349">
        <v>4075</v>
      </c>
      <c r="BA349">
        <v>2350</v>
      </c>
      <c r="BK349">
        <v>10875</v>
      </c>
      <c r="BU349">
        <v>850</v>
      </c>
      <c r="CC349">
        <v>100</v>
      </c>
      <c r="CE349">
        <v>5905</v>
      </c>
      <c r="CO349">
        <v>7800</v>
      </c>
      <c r="CQ349">
        <v>440</v>
      </c>
      <c r="CY349">
        <v>3350</v>
      </c>
      <c r="DA349">
        <v>500</v>
      </c>
      <c r="DC349">
        <v>500</v>
      </c>
      <c r="DI349">
        <v>2700</v>
      </c>
      <c r="DK349">
        <v>40</v>
      </c>
      <c r="DM349">
        <v>150</v>
      </c>
      <c r="DQ349">
        <v>100</v>
      </c>
      <c r="DS349">
        <v>7168</v>
      </c>
      <c r="DW349">
        <v>400</v>
      </c>
      <c r="EC349">
        <v>2300</v>
      </c>
      <c r="EE349">
        <v>500</v>
      </c>
      <c r="EG349">
        <v>500</v>
      </c>
      <c r="EM349">
        <v>1850</v>
      </c>
      <c r="EW349">
        <v>500</v>
      </c>
      <c r="FG349">
        <v>300</v>
      </c>
      <c r="GM349">
        <f t="shared" si="6"/>
        <v>57253</v>
      </c>
    </row>
    <row r="350" spans="1:195" x14ac:dyDescent="0.25">
      <c r="A350" s="4">
        <f>DATE(2023,3,28)</f>
        <v>45013</v>
      </c>
      <c r="B350">
        <v>103591</v>
      </c>
      <c r="C350">
        <v>750</v>
      </c>
      <c r="M350">
        <v>500</v>
      </c>
      <c r="W350">
        <v>1700</v>
      </c>
      <c r="AG350">
        <v>1050</v>
      </c>
      <c r="AQ350">
        <v>4075</v>
      </c>
      <c r="BA350">
        <v>2350</v>
      </c>
      <c r="BK350">
        <v>10875</v>
      </c>
      <c r="BU350">
        <v>850</v>
      </c>
      <c r="CC350">
        <v>100</v>
      </c>
      <c r="CE350">
        <v>5905</v>
      </c>
      <c r="CO350">
        <v>7600</v>
      </c>
      <c r="CQ350">
        <v>440</v>
      </c>
      <c r="CY350">
        <v>3350</v>
      </c>
      <c r="DA350">
        <v>500</v>
      </c>
      <c r="DC350">
        <v>500</v>
      </c>
      <c r="DI350">
        <v>2700</v>
      </c>
      <c r="DK350">
        <v>40</v>
      </c>
      <c r="DM350">
        <v>150</v>
      </c>
      <c r="DQ350">
        <v>100</v>
      </c>
      <c r="DS350">
        <v>7418</v>
      </c>
      <c r="DW350">
        <v>400</v>
      </c>
      <c r="EC350">
        <v>2300</v>
      </c>
      <c r="EE350">
        <v>500</v>
      </c>
      <c r="EG350">
        <v>500</v>
      </c>
      <c r="EM350">
        <v>1850</v>
      </c>
      <c r="EW350">
        <v>500</v>
      </c>
      <c r="FG350">
        <v>300</v>
      </c>
      <c r="GM350">
        <f t="shared" si="6"/>
        <v>57303</v>
      </c>
    </row>
    <row r="351" spans="1:195" x14ac:dyDescent="0.25">
      <c r="A351" s="4">
        <f>DATE(2023,3,27)</f>
        <v>45012</v>
      </c>
      <c r="B351">
        <v>104551</v>
      </c>
      <c r="C351">
        <v>750</v>
      </c>
      <c r="M351">
        <v>500</v>
      </c>
      <c r="W351">
        <v>1700</v>
      </c>
      <c r="AG351">
        <v>1050</v>
      </c>
      <c r="AQ351">
        <v>4075</v>
      </c>
      <c r="BA351">
        <v>2350</v>
      </c>
      <c r="BK351">
        <v>10875</v>
      </c>
      <c r="BU351">
        <v>850</v>
      </c>
      <c r="CC351">
        <v>100</v>
      </c>
      <c r="CE351">
        <v>5905</v>
      </c>
      <c r="CO351">
        <v>7600</v>
      </c>
      <c r="CQ351">
        <v>440</v>
      </c>
      <c r="CY351">
        <v>3150</v>
      </c>
      <c r="DA351">
        <v>500</v>
      </c>
      <c r="DC351">
        <v>500</v>
      </c>
      <c r="DI351">
        <v>2700</v>
      </c>
      <c r="DK351">
        <v>40</v>
      </c>
      <c r="DM351">
        <v>150</v>
      </c>
      <c r="DQ351">
        <v>100</v>
      </c>
      <c r="DS351">
        <v>7418</v>
      </c>
      <c r="DW351">
        <v>400</v>
      </c>
      <c r="EC351">
        <v>2300</v>
      </c>
      <c r="EE351">
        <v>500</v>
      </c>
      <c r="EG351">
        <v>500</v>
      </c>
      <c r="EM351">
        <v>1850</v>
      </c>
      <c r="EW351">
        <v>500</v>
      </c>
      <c r="FG351">
        <v>300</v>
      </c>
      <c r="GM351">
        <f t="shared" si="6"/>
        <v>57103</v>
      </c>
    </row>
    <row r="352" spans="1:195" x14ac:dyDescent="0.25">
      <c r="A352" s="4">
        <f>DATE(2023,3,24)</f>
        <v>45009</v>
      </c>
      <c r="B352">
        <v>104132</v>
      </c>
      <c r="C352">
        <v>750</v>
      </c>
      <c r="M352">
        <v>500</v>
      </c>
      <c r="W352">
        <v>1700</v>
      </c>
      <c r="AG352">
        <v>1050</v>
      </c>
      <c r="AQ352">
        <v>4075</v>
      </c>
      <c r="BA352">
        <v>2350</v>
      </c>
      <c r="BK352">
        <v>10875</v>
      </c>
      <c r="BU352">
        <v>850</v>
      </c>
      <c r="CC352">
        <v>100</v>
      </c>
      <c r="CE352">
        <v>5905</v>
      </c>
      <c r="CO352">
        <v>5400</v>
      </c>
      <c r="CQ352">
        <v>440</v>
      </c>
      <c r="CY352">
        <v>3150</v>
      </c>
      <c r="DA352">
        <v>500</v>
      </c>
      <c r="DC352">
        <v>500</v>
      </c>
      <c r="DI352">
        <v>2700</v>
      </c>
      <c r="DK352">
        <v>40</v>
      </c>
      <c r="DM352">
        <v>150</v>
      </c>
      <c r="DQ352">
        <v>100</v>
      </c>
      <c r="DS352">
        <v>5330</v>
      </c>
      <c r="DW352">
        <v>400</v>
      </c>
      <c r="EC352">
        <v>2300</v>
      </c>
      <c r="EE352">
        <v>500</v>
      </c>
      <c r="EG352">
        <v>500</v>
      </c>
      <c r="EM352">
        <v>1850</v>
      </c>
      <c r="EW352">
        <v>500</v>
      </c>
      <c r="FG352">
        <v>300</v>
      </c>
      <c r="GM352">
        <f t="shared" si="6"/>
        <v>52815</v>
      </c>
    </row>
    <row r="353" spans="1:195" x14ac:dyDescent="0.25">
      <c r="A353" s="4">
        <f>DATE(2023,3,23)</f>
        <v>45008</v>
      </c>
      <c r="B353">
        <v>103248</v>
      </c>
      <c r="C353">
        <v>750</v>
      </c>
      <c r="M353">
        <v>500</v>
      </c>
      <c r="W353">
        <v>1700</v>
      </c>
      <c r="AG353">
        <v>1050</v>
      </c>
      <c r="AQ353">
        <v>4075</v>
      </c>
      <c r="BA353">
        <v>2350</v>
      </c>
      <c r="BK353">
        <v>10875</v>
      </c>
      <c r="BU353">
        <v>850</v>
      </c>
      <c r="CC353">
        <v>100</v>
      </c>
      <c r="CE353">
        <v>5905</v>
      </c>
      <c r="CO353">
        <v>5400</v>
      </c>
      <c r="CQ353">
        <v>440</v>
      </c>
      <c r="CY353">
        <v>3150</v>
      </c>
      <c r="DA353">
        <v>500</v>
      </c>
      <c r="DC353">
        <v>500</v>
      </c>
      <c r="DI353">
        <v>2650</v>
      </c>
      <c r="DK353">
        <v>40</v>
      </c>
      <c r="DM353">
        <v>150</v>
      </c>
      <c r="DQ353">
        <v>100</v>
      </c>
      <c r="DS353">
        <v>5330</v>
      </c>
      <c r="DW353">
        <v>400</v>
      </c>
      <c r="EC353">
        <v>2300</v>
      </c>
      <c r="EE353">
        <v>500</v>
      </c>
      <c r="EG353">
        <v>500</v>
      </c>
      <c r="EM353">
        <v>1850</v>
      </c>
      <c r="EW353">
        <v>500</v>
      </c>
      <c r="FG353">
        <v>300</v>
      </c>
      <c r="GM353">
        <f t="shared" si="6"/>
        <v>52765</v>
      </c>
    </row>
    <row r="354" spans="1:195" x14ac:dyDescent="0.25">
      <c r="A354" s="4">
        <f>DATE(2023,3,22)</f>
        <v>45007</v>
      </c>
      <c r="B354">
        <v>102804</v>
      </c>
      <c r="C354">
        <v>750</v>
      </c>
      <c r="M354">
        <v>500</v>
      </c>
      <c r="W354">
        <v>1700</v>
      </c>
      <c r="AG354">
        <v>1050</v>
      </c>
      <c r="AQ354">
        <v>4075</v>
      </c>
      <c r="BA354">
        <v>2350</v>
      </c>
      <c r="BK354">
        <v>10875</v>
      </c>
      <c r="BU354">
        <v>850</v>
      </c>
      <c r="CC354">
        <v>100</v>
      </c>
      <c r="CE354">
        <v>5905</v>
      </c>
      <c r="CO354">
        <v>5400</v>
      </c>
      <c r="CQ354">
        <v>440</v>
      </c>
      <c r="CY354">
        <v>3150</v>
      </c>
      <c r="DA354">
        <v>500</v>
      </c>
      <c r="DC354">
        <v>500</v>
      </c>
      <c r="DI354">
        <v>2650</v>
      </c>
      <c r="DK354">
        <v>40</v>
      </c>
      <c r="DM354">
        <v>150</v>
      </c>
      <c r="DQ354">
        <v>100</v>
      </c>
      <c r="DS354">
        <v>5330</v>
      </c>
      <c r="DW354">
        <v>400</v>
      </c>
      <c r="EC354">
        <v>2300</v>
      </c>
      <c r="EE354">
        <v>500</v>
      </c>
      <c r="EG354">
        <v>500</v>
      </c>
      <c r="EM354">
        <v>1850</v>
      </c>
      <c r="EW354">
        <v>500</v>
      </c>
      <c r="FG354">
        <v>300</v>
      </c>
      <c r="GM354">
        <f t="shared" si="6"/>
        <v>52765</v>
      </c>
    </row>
    <row r="355" spans="1:195" x14ac:dyDescent="0.25">
      <c r="A355" s="4">
        <f>DATE(2023,3,21)</f>
        <v>45006</v>
      </c>
      <c r="B355">
        <v>102301</v>
      </c>
      <c r="C355">
        <v>750</v>
      </c>
      <c r="M355">
        <v>500</v>
      </c>
      <c r="W355">
        <v>1700</v>
      </c>
      <c r="AG355">
        <v>1050</v>
      </c>
      <c r="AQ355">
        <v>4075</v>
      </c>
      <c r="BA355">
        <v>2350</v>
      </c>
      <c r="BK355">
        <v>10875</v>
      </c>
      <c r="BU355">
        <v>850</v>
      </c>
      <c r="CC355">
        <v>100</v>
      </c>
      <c r="CE355">
        <v>5905</v>
      </c>
      <c r="CO355">
        <v>5500</v>
      </c>
      <c r="CQ355">
        <v>440</v>
      </c>
      <c r="CY355">
        <v>3050</v>
      </c>
      <c r="DA355">
        <v>500</v>
      </c>
      <c r="DC355">
        <v>500</v>
      </c>
      <c r="DI355">
        <v>2650</v>
      </c>
      <c r="DK355">
        <v>40</v>
      </c>
      <c r="DM355">
        <v>150</v>
      </c>
      <c r="DQ355">
        <v>100</v>
      </c>
      <c r="DS355">
        <v>5318</v>
      </c>
      <c r="DW355">
        <v>400</v>
      </c>
      <c r="EC355">
        <v>2300</v>
      </c>
      <c r="EE355">
        <v>500</v>
      </c>
      <c r="EG355">
        <v>500</v>
      </c>
      <c r="EM355">
        <v>1850</v>
      </c>
      <c r="EW355">
        <v>500</v>
      </c>
      <c r="FG355">
        <v>300</v>
      </c>
      <c r="GM355">
        <f t="shared" si="6"/>
        <v>52753</v>
      </c>
    </row>
    <row r="356" spans="1:195" x14ac:dyDescent="0.25">
      <c r="A356" s="4">
        <f>DATE(2023,3,20)</f>
        <v>45005</v>
      </c>
      <c r="B356">
        <v>100992</v>
      </c>
      <c r="C356">
        <v>750</v>
      </c>
      <c r="M356">
        <v>500</v>
      </c>
      <c r="W356">
        <v>1700</v>
      </c>
      <c r="AG356">
        <v>1050</v>
      </c>
      <c r="AQ356">
        <v>4075</v>
      </c>
      <c r="BA356">
        <v>2350</v>
      </c>
      <c r="BK356">
        <v>10875</v>
      </c>
      <c r="BU356">
        <v>850</v>
      </c>
      <c r="CC356">
        <v>100</v>
      </c>
      <c r="CE356">
        <v>5905</v>
      </c>
      <c r="CO356">
        <v>5500</v>
      </c>
      <c r="CQ356">
        <v>440</v>
      </c>
      <c r="CY356">
        <v>3050</v>
      </c>
      <c r="DC356">
        <v>500</v>
      </c>
      <c r="DI356">
        <v>2500</v>
      </c>
      <c r="DK356">
        <v>40</v>
      </c>
      <c r="DM356">
        <v>150</v>
      </c>
      <c r="DQ356">
        <v>100</v>
      </c>
      <c r="DS356">
        <v>5168</v>
      </c>
      <c r="DW356">
        <v>400</v>
      </c>
      <c r="EC356">
        <v>2300</v>
      </c>
      <c r="EG356">
        <v>500</v>
      </c>
      <c r="EM356">
        <v>1850</v>
      </c>
      <c r="EW356">
        <v>500</v>
      </c>
      <c r="FG356">
        <v>300</v>
      </c>
      <c r="GM356">
        <f t="shared" si="6"/>
        <v>51453</v>
      </c>
    </row>
    <row r="357" spans="1:195" x14ac:dyDescent="0.25">
      <c r="A357" s="4">
        <f>DATE(2023,3,17)</f>
        <v>45002</v>
      </c>
      <c r="B357">
        <v>100103</v>
      </c>
      <c r="C357">
        <v>750</v>
      </c>
      <c r="M357">
        <v>500</v>
      </c>
      <c r="W357">
        <v>1700</v>
      </c>
      <c r="AG357">
        <v>1050</v>
      </c>
      <c r="AQ357">
        <v>4075</v>
      </c>
      <c r="BA357">
        <v>2350</v>
      </c>
      <c r="BK357">
        <v>10875</v>
      </c>
      <c r="BU357">
        <v>850</v>
      </c>
      <c r="CC357">
        <v>100</v>
      </c>
      <c r="CE357">
        <v>5905</v>
      </c>
      <c r="CO357">
        <v>5500</v>
      </c>
      <c r="CQ357">
        <v>440</v>
      </c>
      <c r="CY357">
        <v>3050</v>
      </c>
      <c r="DC357">
        <v>500</v>
      </c>
      <c r="DI357">
        <v>2500</v>
      </c>
      <c r="DK357">
        <v>40</v>
      </c>
      <c r="DM357">
        <v>150</v>
      </c>
      <c r="DQ357">
        <v>100</v>
      </c>
      <c r="DS357">
        <v>5168</v>
      </c>
      <c r="DW357">
        <v>400</v>
      </c>
      <c r="EC357">
        <v>2300</v>
      </c>
      <c r="EG357">
        <v>500</v>
      </c>
      <c r="EM357">
        <v>1850</v>
      </c>
      <c r="EW357">
        <v>500</v>
      </c>
      <c r="FG357">
        <v>300</v>
      </c>
      <c r="GM357">
        <f t="shared" si="6"/>
        <v>51453</v>
      </c>
    </row>
    <row r="358" spans="1:195" x14ac:dyDescent="0.25">
      <c r="A358" s="4">
        <f>DATE(2023,3,16)</f>
        <v>45001</v>
      </c>
      <c r="B358">
        <v>98999</v>
      </c>
      <c r="C358">
        <v>750</v>
      </c>
      <c r="M358">
        <v>500</v>
      </c>
      <c r="W358">
        <v>1700</v>
      </c>
      <c r="AG358">
        <v>1050</v>
      </c>
      <c r="AQ358">
        <v>4075</v>
      </c>
      <c r="BA358">
        <v>2350</v>
      </c>
      <c r="BK358">
        <v>10875</v>
      </c>
      <c r="BU358">
        <v>850</v>
      </c>
      <c r="CC358">
        <v>100</v>
      </c>
      <c r="CE358">
        <v>5905</v>
      </c>
      <c r="CO358">
        <v>5500</v>
      </c>
      <c r="CQ358">
        <v>440</v>
      </c>
      <c r="CY358">
        <v>3050</v>
      </c>
      <c r="DI358">
        <v>2100</v>
      </c>
      <c r="DK358">
        <v>40</v>
      </c>
      <c r="DM358">
        <v>150</v>
      </c>
      <c r="DQ358">
        <v>100</v>
      </c>
      <c r="DS358">
        <v>5168</v>
      </c>
      <c r="DW358">
        <v>400</v>
      </c>
      <c r="EC358">
        <v>2300</v>
      </c>
      <c r="EM358">
        <v>1850</v>
      </c>
      <c r="EW358">
        <v>500</v>
      </c>
      <c r="FG358">
        <v>300</v>
      </c>
      <c r="GM358">
        <f t="shared" si="6"/>
        <v>50053</v>
      </c>
    </row>
    <row r="359" spans="1:195" x14ac:dyDescent="0.25">
      <c r="A359" s="4">
        <f>DATE(2023,3,15)</f>
        <v>45000</v>
      </c>
      <c r="B359">
        <v>98501</v>
      </c>
      <c r="C359">
        <v>750</v>
      </c>
      <c r="M359">
        <v>500</v>
      </c>
      <c r="W359">
        <v>1700</v>
      </c>
      <c r="AG359">
        <v>1050</v>
      </c>
      <c r="AQ359">
        <v>4075</v>
      </c>
      <c r="BA359">
        <v>2350</v>
      </c>
      <c r="BK359">
        <v>10875</v>
      </c>
      <c r="BU359">
        <v>850</v>
      </c>
      <c r="CC359">
        <v>100</v>
      </c>
      <c r="CE359">
        <v>5930</v>
      </c>
      <c r="CO359">
        <v>5750</v>
      </c>
      <c r="CQ359">
        <v>440</v>
      </c>
      <c r="CY359">
        <v>3050</v>
      </c>
      <c r="DI359">
        <v>1900</v>
      </c>
      <c r="DK359">
        <v>40</v>
      </c>
      <c r="DM359">
        <v>150</v>
      </c>
      <c r="DQ359">
        <v>100</v>
      </c>
      <c r="DS359">
        <v>4768</v>
      </c>
      <c r="DW359">
        <v>400</v>
      </c>
      <c r="EC359">
        <v>2200</v>
      </c>
      <c r="EM359">
        <v>1550</v>
      </c>
      <c r="EW359">
        <v>500</v>
      </c>
      <c r="FG359">
        <v>300</v>
      </c>
      <c r="GM359">
        <f t="shared" si="6"/>
        <v>49328</v>
      </c>
    </row>
    <row r="360" spans="1:195" x14ac:dyDescent="0.25">
      <c r="A360" s="4">
        <f>DATE(2023,3,14)</f>
        <v>44999</v>
      </c>
      <c r="B360">
        <v>97103</v>
      </c>
      <c r="C360">
        <v>750</v>
      </c>
      <c r="M360">
        <v>500</v>
      </c>
      <c r="W360">
        <v>1700</v>
      </c>
      <c r="AG360">
        <v>1050</v>
      </c>
      <c r="AQ360">
        <v>4075</v>
      </c>
      <c r="BA360">
        <v>2350</v>
      </c>
      <c r="BK360">
        <v>10875</v>
      </c>
      <c r="BU360">
        <v>850</v>
      </c>
      <c r="CC360">
        <v>100</v>
      </c>
      <c r="CE360">
        <v>5930</v>
      </c>
      <c r="CO360">
        <v>5750</v>
      </c>
      <c r="CQ360">
        <v>440</v>
      </c>
      <c r="CY360">
        <v>3050</v>
      </c>
      <c r="DI360">
        <v>2300</v>
      </c>
      <c r="DK360">
        <v>40</v>
      </c>
      <c r="DM360">
        <v>150</v>
      </c>
      <c r="DQ360">
        <v>100</v>
      </c>
      <c r="DS360">
        <v>4705</v>
      </c>
      <c r="DW360">
        <v>400</v>
      </c>
      <c r="EC360">
        <v>2200</v>
      </c>
      <c r="EM360">
        <v>1550</v>
      </c>
      <c r="EW360">
        <v>500</v>
      </c>
      <c r="FG360">
        <v>300</v>
      </c>
      <c r="GM360">
        <f t="shared" si="6"/>
        <v>49665</v>
      </c>
    </row>
    <row r="361" spans="1:195" x14ac:dyDescent="0.25">
      <c r="A361" s="4">
        <f>DATE(2023,3,13)</f>
        <v>44998</v>
      </c>
      <c r="B361">
        <v>97103</v>
      </c>
      <c r="C361">
        <v>750</v>
      </c>
      <c r="M361">
        <v>500</v>
      </c>
      <c r="W361">
        <v>1700</v>
      </c>
      <c r="AG361">
        <v>1050</v>
      </c>
      <c r="AQ361">
        <v>4075</v>
      </c>
      <c r="BA361">
        <v>2350</v>
      </c>
      <c r="BK361">
        <v>10725</v>
      </c>
      <c r="BU361">
        <v>850</v>
      </c>
      <c r="CC361">
        <v>100</v>
      </c>
      <c r="CE361">
        <v>5930</v>
      </c>
      <c r="CO361">
        <v>5750</v>
      </c>
      <c r="CQ361">
        <v>440</v>
      </c>
      <c r="CY361">
        <v>3050</v>
      </c>
      <c r="DI361">
        <v>2300</v>
      </c>
      <c r="DK361">
        <v>40</v>
      </c>
      <c r="DM361">
        <v>150</v>
      </c>
      <c r="DQ361">
        <v>100</v>
      </c>
      <c r="DS361">
        <v>4705</v>
      </c>
      <c r="DW361">
        <v>400</v>
      </c>
      <c r="EC361">
        <v>2200</v>
      </c>
      <c r="EM361">
        <v>1550</v>
      </c>
      <c r="EW361">
        <v>500</v>
      </c>
      <c r="FG361">
        <v>300</v>
      </c>
      <c r="GM361">
        <f t="shared" si="6"/>
        <v>49515</v>
      </c>
    </row>
    <row r="362" spans="1:195" x14ac:dyDescent="0.25">
      <c r="A362" s="4">
        <f>DATE(2023,3,10)</f>
        <v>44995</v>
      </c>
      <c r="B362">
        <v>95877</v>
      </c>
      <c r="C362">
        <v>750</v>
      </c>
      <c r="M362">
        <v>500</v>
      </c>
      <c r="W362">
        <v>1700</v>
      </c>
      <c r="AG362">
        <v>1050</v>
      </c>
      <c r="AQ362">
        <v>4075</v>
      </c>
      <c r="BA362">
        <v>2350</v>
      </c>
      <c r="BK362">
        <v>10725</v>
      </c>
      <c r="BU362">
        <v>850</v>
      </c>
      <c r="CC362">
        <v>100</v>
      </c>
      <c r="CE362">
        <v>5930</v>
      </c>
      <c r="CO362">
        <v>5750</v>
      </c>
      <c r="CQ362">
        <v>440</v>
      </c>
      <c r="CY362">
        <v>3100</v>
      </c>
      <c r="DI362">
        <v>2300</v>
      </c>
      <c r="DK362">
        <v>40</v>
      </c>
      <c r="DM362">
        <v>150</v>
      </c>
      <c r="DQ362">
        <v>100</v>
      </c>
      <c r="DS362">
        <v>4705</v>
      </c>
      <c r="DW362">
        <v>400</v>
      </c>
      <c r="EC362">
        <v>2200</v>
      </c>
      <c r="EM362">
        <v>1550</v>
      </c>
      <c r="EW362">
        <v>500</v>
      </c>
      <c r="FG362">
        <v>300</v>
      </c>
      <c r="GM362">
        <f t="shared" si="6"/>
        <v>49565</v>
      </c>
    </row>
    <row r="363" spans="1:195" x14ac:dyDescent="0.25">
      <c r="A363" s="4">
        <f>DATE(2023,3,9)</f>
        <v>44994</v>
      </c>
      <c r="B363">
        <v>95734</v>
      </c>
      <c r="C363">
        <v>750</v>
      </c>
      <c r="M363">
        <v>500</v>
      </c>
      <c r="W363">
        <v>1700</v>
      </c>
      <c r="AG363">
        <v>1050</v>
      </c>
      <c r="AQ363">
        <v>4075</v>
      </c>
      <c r="BA363">
        <v>2350</v>
      </c>
      <c r="BK363">
        <v>10725</v>
      </c>
      <c r="BU363">
        <v>850</v>
      </c>
      <c r="CC363">
        <v>100</v>
      </c>
      <c r="CE363">
        <v>5830</v>
      </c>
      <c r="CO363">
        <v>5750</v>
      </c>
      <c r="CQ363">
        <v>440</v>
      </c>
      <c r="CY363">
        <v>3100</v>
      </c>
      <c r="DI363">
        <v>2300</v>
      </c>
      <c r="DK363">
        <v>40</v>
      </c>
      <c r="DM363">
        <v>150</v>
      </c>
      <c r="DQ363">
        <v>100</v>
      </c>
      <c r="DS363">
        <v>4705</v>
      </c>
      <c r="DW363">
        <v>400</v>
      </c>
      <c r="EC363">
        <v>2200</v>
      </c>
      <c r="EM363">
        <v>1550</v>
      </c>
      <c r="EW363">
        <v>500</v>
      </c>
      <c r="FG363">
        <v>300</v>
      </c>
      <c r="GM363">
        <f t="shared" si="6"/>
        <v>49465</v>
      </c>
    </row>
    <row r="364" spans="1:195" x14ac:dyDescent="0.25">
      <c r="A364" s="4">
        <f>DATE(2023,3,8)</f>
        <v>44993</v>
      </c>
      <c r="B364">
        <v>95916</v>
      </c>
      <c r="C364">
        <v>750</v>
      </c>
      <c r="M364">
        <v>500</v>
      </c>
      <c r="W364">
        <v>1700</v>
      </c>
      <c r="AG364">
        <v>1050</v>
      </c>
      <c r="AQ364">
        <v>4075</v>
      </c>
      <c r="BA364">
        <v>2350</v>
      </c>
      <c r="BK364">
        <v>10425</v>
      </c>
      <c r="BU364">
        <v>850</v>
      </c>
      <c r="CC364">
        <v>100</v>
      </c>
      <c r="CE364">
        <v>6080</v>
      </c>
      <c r="CO364">
        <v>5750</v>
      </c>
      <c r="CQ364">
        <v>440</v>
      </c>
      <c r="CY364">
        <v>3100</v>
      </c>
      <c r="DI364">
        <v>1800</v>
      </c>
      <c r="DK364">
        <v>40</v>
      </c>
      <c r="DM364">
        <v>150</v>
      </c>
      <c r="DQ364">
        <v>100</v>
      </c>
      <c r="DS364">
        <v>4705</v>
      </c>
      <c r="DW364">
        <v>400</v>
      </c>
      <c r="EC364">
        <v>2200</v>
      </c>
      <c r="EM364">
        <v>1550</v>
      </c>
      <c r="EW364">
        <v>500</v>
      </c>
      <c r="FG364">
        <v>300</v>
      </c>
      <c r="GM364">
        <f t="shared" si="6"/>
        <v>48915</v>
      </c>
    </row>
    <row r="365" spans="1:195" x14ac:dyDescent="0.25">
      <c r="A365" s="4">
        <f>DATE(2023,3,7)</f>
        <v>44992</v>
      </c>
      <c r="B365">
        <v>95259</v>
      </c>
      <c r="C365">
        <v>750</v>
      </c>
      <c r="M365">
        <v>500</v>
      </c>
      <c r="W365">
        <v>1700</v>
      </c>
      <c r="AG365">
        <v>1050</v>
      </c>
      <c r="AQ365">
        <v>4075</v>
      </c>
      <c r="BA365">
        <v>2350</v>
      </c>
      <c r="BK365">
        <v>9925</v>
      </c>
      <c r="BU365">
        <v>850</v>
      </c>
      <c r="CC365">
        <v>100</v>
      </c>
      <c r="CE365">
        <v>6080</v>
      </c>
      <c r="CO365">
        <v>5750</v>
      </c>
      <c r="CQ365">
        <v>440</v>
      </c>
      <c r="CY365">
        <v>3100</v>
      </c>
      <c r="DI365">
        <v>1800</v>
      </c>
      <c r="DK365">
        <v>40</v>
      </c>
      <c r="DM365">
        <v>150</v>
      </c>
      <c r="DQ365">
        <v>100</v>
      </c>
      <c r="DS365">
        <v>4605</v>
      </c>
      <c r="DW365">
        <v>400</v>
      </c>
      <c r="EC365">
        <v>2200</v>
      </c>
      <c r="EM365">
        <v>1550</v>
      </c>
      <c r="EW365">
        <v>500</v>
      </c>
      <c r="FG365">
        <v>300</v>
      </c>
      <c r="GM365">
        <f t="shared" si="6"/>
        <v>48315</v>
      </c>
    </row>
    <row r="366" spans="1:195" x14ac:dyDescent="0.25">
      <c r="A366" s="4">
        <f>DATE(2023,3,6)</f>
        <v>44991</v>
      </c>
      <c r="B366">
        <v>94751</v>
      </c>
      <c r="C366">
        <v>750</v>
      </c>
      <c r="M366">
        <v>500</v>
      </c>
      <c r="W366">
        <v>1700</v>
      </c>
      <c r="AG366">
        <v>1050</v>
      </c>
      <c r="AQ366">
        <v>4075</v>
      </c>
      <c r="BA366">
        <v>2150</v>
      </c>
      <c r="BK366">
        <v>9425</v>
      </c>
      <c r="BU366">
        <v>850</v>
      </c>
      <c r="CC366">
        <v>100</v>
      </c>
      <c r="CE366">
        <v>6080</v>
      </c>
      <c r="CO366">
        <v>5750</v>
      </c>
      <c r="CQ366">
        <v>440</v>
      </c>
      <c r="CY366">
        <v>3100</v>
      </c>
      <c r="DI366">
        <v>1800</v>
      </c>
      <c r="DK366">
        <v>40</v>
      </c>
      <c r="DM366">
        <v>150</v>
      </c>
      <c r="DQ366">
        <v>100</v>
      </c>
      <c r="DS366">
        <v>4580</v>
      </c>
      <c r="DW366">
        <v>400</v>
      </c>
      <c r="EC366">
        <v>2200</v>
      </c>
      <c r="EM366">
        <v>1550</v>
      </c>
      <c r="EW366">
        <v>500</v>
      </c>
      <c r="FG366">
        <v>300</v>
      </c>
      <c r="GM366">
        <f t="shared" si="6"/>
        <v>47590</v>
      </c>
    </row>
    <row r="367" spans="1:195" x14ac:dyDescent="0.25">
      <c r="A367" s="4">
        <f>DATE(2023,3,3)</f>
        <v>44988</v>
      </c>
      <c r="B367">
        <v>93997</v>
      </c>
      <c r="C367">
        <v>750</v>
      </c>
      <c r="M367">
        <v>500</v>
      </c>
      <c r="W367">
        <v>1700</v>
      </c>
      <c r="AG367">
        <v>1050</v>
      </c>
      <c r="AQ367">
        <v>4075</v>
      </c>
      <c r="BA367">
        <v>2150</v>
      </c>
      <c r="BK367">
        <v>9425</v>
      </c>
      <c r="BU367">
        <v>850</v>
      </c>
      <c r="CC367">
        <v>100</v>
      </c>
      <c r="CE367">
        <v>6080</v>
      </c>
      <c r="CO367">
        <v>5750</v>
      </c>
      <c r="CQ367">
        <v>440</v>
      </c>
      <c r="CY367">
        <v>3100</v>
      </c>
      <c r="DI367">
        <v>1800</v>
      </c>
      <c r="DK367">
        <v>40</v>
      </c>
      <c r="DM367">
        <v>150</v>
      </c>
      <c r="DQ367">
        <v>100</v>
      </c>
      <c r="DS367">
        <v>4580</v>
      </c>
      <c r="DW367">
        <v>400</v>
      </c>
      <c r="EC367">
        <v>2200</v>
      </c>
      <c r="EM367">
        <v>1550</v>
      </c>
      <c r="EW367">
        <v>500</v>
      </c>
      <c r="FG367">
        <v>300</v>
      </c>
      <c r="GM367">
        <f t="shared" si="6"/>
        <v>47590</v>
      </c>
    </row>
    <row r="368" spans="1:195" x14ac:dyDescent="0.25">
      <c r="A368" s="4">
        <f>DATE(2023,3,2)</f>
        <v>44987</v>
      </c>
      <c r="B368">
        <v>93344</v>
      </c>
      <c r="C368">
        <v>750</v>
      </c>
      <c r="M368">
        <v>500</v>
      </c>
      <c r="W368">
        <v>1700</v>
      </c>
      <c r="AG368">
        <v>1050</v>
      </c>
      <c r="AQ368">
        <v>4075</v>
      </c>
      <c r="BA368">
        <v>2150</v>
      </c>
      <c r="BK368">
        <v>9325</v>
      </c>
      <c r="BU368">
        <v>850</v>
      </c>
      <c r="CC368">
        <v>100</v>
      </c>
      <c r="CE368">
        <v>6080</v>
      </c>
      <c r="CO368">
        <v>5750</v>
      </c>
      <c r="CQ368">
        <v>440</v>
      </c>
      <c r="CY368">
        <v>3100</v>
      </c>
      <c r="DI368">
        <v>1800</v>
      </c>
      <c r="DK368">
        <v>40</v>
      </c>
      <c r="DM368">
        <v>150</v>
      </c>
      <c r="DQ368">
        <v>100</v>
      </c>
      <c r="DS368">
        <v>4580</v>
      </c>
      <c r="DW368">
        <v>400</v>
      </c>
      <c r="EC368">
        <v>2200</v>
      </c>
      <c r="EM368">
        <v>1550</v>
      </c>
      <c r="EW368">
        <v>500</v>
      </c>
      <c r="FG368">
        <v>300</v>
      </c>
      <c r="GM368">
        <f t="shared" si="6"/>
        <v>47490</v>
      </c>
    </row>
    <row r="369" spans="1:195" x14ac:dyDescent="0.25">
      <c r="A369" s="4">
        <f>DATE(2023,3,1)</f>
        <v>44986</v>
      </c>
      <c r="B369">
        <v>93113</v>
      </c>
      <c r="C369">
        <v>750</v>
      </c>
      <c r="M369">
        <v>500</v>
      </c>
      <c r="W369">
        <v>1700</v>
      </c>
      <c r="AG369">
        <v>1050</v>
      </c>
      <c r="AQ369">
        <v>4075</v>
      </c>
      <c r="BA369">
        <v>2150</v>
      </c>
      <c r="BK369">
        <v>9325</v>
      </c>
      <c r="BU369">
        <v>850</v>
      </c>
      <c r="CC369">
        <v>100</v>
      </c>
      <c r="CE369">
        <v>6080</v>
      </c>
      <c r="CO369">
        <v>5750</v>
      </c>
      <c r="CQ369">
        <v>440</v>
      </c>
      <c r="CY369">
        <v>3100</v>
      </c>
      <c r="DI369">
        <v>1800</v>
      </c>
      <c r="DK369">
        <v>40</v>
      </c>
      <c r="DM369">
        <v>150</v>
      </c>
      <c r="DQ369">
        <v>100</v>
      </c>
      <c r="DS369">
        <v>4580</v>
      </c>
      <c r="DW369">
        <v>400</v>
      </c>
      <c r="EC369">
        <v>2200</v>
      </c>
      <c r="EM369">
        <v>1550</v>
      </c>
      <c r="EW369">
        <v>500</v>
      </c>
      <c r="FG369">
        <v>300</v>
      </c>
      <c r="GM369">
        <f t="shared" si="6"/>
        <v>47490</v>
      </c>
    </row>
    <row r="370" spans="1:195" x14ac:dyDescent="0.25">
      <c r="A370" s="4">
        <f>DATE(2023,2,28)</f>
        <v>44985</v>
      </c>
      <c r="B370">
        <v>92828</v>
      </c>
      <c r="C370">
        <v>750</v>
      </c>
      <c r="M370">
        <v>500</v>
      </c>
      <c r="W370">
        <v>1700</v>
      </c>
      <c r="AG370">
        <v>1050</v>
      </c>
      <c r="AQ370">
        <v>4075</v>
      </c>
      <c r="BA370">
        <v>2150</v>
      </c>
      <c r="BK370">
        <v>9325</v>
      </c>
      <c r="BU370">
        <v>850</v>
      </c>
      <c r="CC370">
        <v>100</v>
      </c>
      <c r="CE370">
        <v>6080</v>
      </c>
      <c r="CO370">
        <v>5750</v>
      </c>
      <c r="CQ370">
        <v>440</v>
      </c>
      <c r="CY370">
        <v>3100</v>
      </c>
      <c r="DI370">
        <v>1800</v>
      </c>
      <c r="DK370">
        <v>40</v>
      </c>
      <c r="DM370">
        <v>150</v>
      </c>
      <c r="DQ370">
        <v>100</v>
      </c>
      <c r="DS370">
        <v>4580</v>
      </c>
      <c r="DW370">
        <v>400</v>
      </c>
      <c r="EC370">
        <v>2200</v>
      </c>
      <c r="EM370">
        <v>1550</v>
      </c>
      <c r="EW370">
        <v>500</v>
      </c>
      <c r="GM370">
        <f t="shared" si="6"/>
        <v>47190</v>
      </c>
    </row>
    <row r="371" spans="1:195" x14ac:dyDescent="0.25">
      <c r="A371" s="4">
        <f>DATE(2023,2,27)</f>
        <v>44984</v>
      </c>
      <c r="B371">
        <v>92219</v>
      </c>
      <c r="C371">
        <v>750</v>
      </c>
      <c r="M371">
        <v>500</v>
      </c>
      <c r="W371">
        <v>1700</v>
      </c>
      <c r="AG371">
        <v>1050</v>
      </c>
      <c r="AQ371">
        <v>4075</v>
      </c>
      <c r="BA371">
        <v>2150</v>
      </c>
      <c r="BK371">
        <v>9325</v>
      </c>
      <c r="BU371">
        <v>850</v>
      </c>
      <c r="CC371">
        <v>100</v>
      </c>
      <c r="CE371">
        <v>6080</v>
      </c>
      <c r="CO371">
        <v>5750</v>
      </c>
      <c r="CQ371">
        <v>440</v>
      </c>
      <c r="CY371">
        <v>3100</v>
      </c>
      <c r="DI371">
        <v>1800</v>
      </c>
      <c r="DK371">
        <v>40</v>
      </c>
      <c r="DM371">
        <v>150</v>
      </c>
      <c r="DQ371">
        <v>100</v>
      </c>
      <c r="DS371">
        <v>4580</v>
      </c>
      <c r="DW371">
        <v>400</v>
      </c>
      <c r="EC371">
        <v>2200</v>
      </c>
      <c r="EM371">
        <v>1550</v>
      </c>
      <c r="EW371">
        <v>500</v>
      </c>
      <c r="GM371">
        <f t="shared" si="6"/>
        <v>47190</v>
      </c>
    </row>
    <row r="372" spans="1:195" x14ac:dyDescent="0.25">
      <c r="A372" s="4">
        <f>DATE(2023,2,24)</f>
        <v>44981</v>
      </c>
      <c r="B372">
        <v>91697</v>
      </c>
      <c r="C372">
        <v>750</v>
      </c>
      <c r="M372">
        <v>500</v>
      </c>
      <c r="W372">
        <v>1700</v>
      </c>
      <c r="AG372">
        <v>1050</v>
      </c>
      <c r="AQ372">
        <v>2075</v>
      </c>
      <c r="BA372">
        <v>2150</v>
      </c>
      <c r="BK372">
        <v>7825</v>
      </c>
      <c r="BU372">
        <v>850</v>
      </c>
      <c r="CC372">
        <v>100</v>
      </c>
      <c r="CE372">
        <v>6080</v>
      </c>
      <c r="CO372">
        <v>5750</v>
      </c>
      <c r="CQ372">
        <v>440</v>
      </c>
      <c r="CY372">
        <v>3100</v>
      </c>
      <c r="DI372">
        <v>1800</v>
      </c>
      <c r="DK372">
        <v>40</v>
      </c>
      <c r="DM372">
        <v>150</v>
      </c>
      <c r="DQ372">
        <v>100</v>
      </c>
      <c r="DS372">
        <v>4580</v>
      </c>
      <c r="DW372">
        <v>400</v>
      </c>
      <c r="EC372">
        <v>2200</v>
      </c>
      <c r="EM372">
        <v>1550</v>
      </c>
      <c r="EW372">
        <v>500</v>
      </c>
      <c r="GM372">
        <f t="shared" si="6"/>
        <v>43690</v>
      </c>
    </row>
    <row r="373" spans="1:195" x14ac:dyDescent="0.25">
      <c r="A373" s="4">
        <f>DATE(2023,2,23)</f>
        <v>44980</v>
      </c>
      <c r="B373">
        <v>91462</v>
      </c>
      <c r="C373">
        <v>750</v>
      </c>
      <c r="M373">
        <v>500</v>
      </c>
      <c r="W373">
        <v>1700</v>
      </c>
      <c r="AG373">
        <v>1050</v>
      </c>
      <c r="AQ373">
        <v>2725</v>
      </c>
      <c r="BA373">
        <v>2150</v>
      </c>
      <c r="BK373">
        <v>6825</v>
      </c>
      <c r="BU373">
        <v>850</v>
      </c>
      <c r="CC373">
        <v>100</v>
      </c>
      <c r="CE373">
        <v>6080</v>
      </c>
      <c r="CO373">
        <v>5750</v>
      </c>
      <c r="CQ373">
        <v>440</v>
      </c>
      <c r="CY373">
        <v>3100</v>
      </c>
      <c r="DI373">
        <v>1800</v>
      </c>
      <c r="DK373">
        <v>40</v>
      </c>
      <c r="DM373">
        <v>150</v>
      </c>
      <c r="DQ373">
        <v>100</v>
      </c>
      <c r="DS373">
        <v>4580</v>
      </c>
      <c r="DW373">
        <v>400</v>
      </c>
      <c r="EC373">
        <v>2200</v>
      </c>
      <c r="EM373">
        <v>1550</v>
      </c>
      <c r="EW373">
        <v>500</v>
      </c>
      <c r="GM373">
        <f t="shared" si="6"/>
        <v>43340</v>
      </c>
    </row>
    <row r="374" spans="1:195" x14ac:dyDescent="0.25">
      <c r="A374" s="4">
        <f>DATE(2023,2,22)</f>
        <v>44979</v>
      </c>
      <c r="B374">
        <v>91178</v>
      </c>
      <c r="C374">
        <v>750</v>
      </c>
      <c r="M374">
        <v>500</v>
      </c>
      <c r="W374">
        <v>1700</v>
      </c>
      <c r="AG374">
        <v>1050</v>
      </c>
      <c r="AQ374">
        <v>2725</v>
      </c>
      <c r="BA374">
        <v>2150</v>
      </c>
      <c r="BK374">
        <v>6825</v>
      </c>
      <c r="BU374">
        <v>850</v>
      </c>
      <c r="CC374">
        <v>100</v>
      </c>
      <c r="CE374">
        <v>6580</v>
      </c>
      <c r="CO374">
        <v>5750</v>
      </c>
      <c r="CQ374">
        <v>440</v>
      </c>
      <c r="CY374">
        <v>2775</v>
      </c>
      <c r="DI374">
        <v>1800</v>
      </c>
      <c r="DK374">
        <v>40</v>
      </c>
      <c r="DM374">
        <v>150</v>
      </c>
      <c r="DQ374">
        <v>100</v>
      </c>
      <c r="DS374">
        <v>5080</v>
      </c>
      <c r="DW374">
        <v>400</v>
      </c>
      <c r="EC374">
        <v>2200</v>
      </c>
      <c r="EM374">
        <v>1550</v>
      </c>
      <c r="EW374">
        <v>500</v>
      </c>
      <c r="GM374">
        <f t="shared" si="6"/>
        <v>44015</v>
      </c>
    </row>
    <row r="375" spans="1:195" x14ac:dyDescent="0.25">
      <c r="A375" s="4">
        <f>DATE(2023,2,21)</f>
        <v>44978</v>
      </c>
      <c r="B375">
        <v>90868</v>
      </c>
      <c r="C375">
        <v>750</v>
      </c>
      <c r="M375">
        <v>500</v>
      </c>
      <c r="W375">
        <v>1700</v>
      </c>
      <c r="AG375">
        <v>1050</v>
      </c>
      <c r="AQ375">
        <v>2725</v>
      </c>
      <c r="BA375">
        <v>2150</v>
      </c>
      <c r="BK375">
        <v>6825</v>
      </c>
      <c r="BU375">
        <v>850</v>
      </c>
      <c r="CC375">
        <v>100</v>
      </c>
      <c r="CE375">
        <v>6580</v>
      </c>
      <c r="CO375">
        <v>5750</v>
      </c>
      <c r="CQ375">
        <v>440</v>
      </c>
      <c r="CY375">
        <v>3150</v>
      </c>
      <c r="DI375">
        <v>1800</v>
      </c>
      <c r="DK375">
        <v>40</v>
      </c>
      <c r="DM375">
        <v>150</v>
      </c>
      <c r="DQ375">
        <v>100</v>
      </c>
      <c r="DS375">
        <v>5080</v>
      </c>
      <c r="DW375">
        <v>400</v>
      </c>
      <c r="EC375">
        <v>2200</v>
      </c>
      <c r="EM375">
        <v>1300</v>
      </c>
      <c r="EW375">
        <v>500</v>
      </c>
      <c r="GM375">
        <f t="shared" si="6"/>
        <v>44140</v>
      </c>
    </row>
    <row r="376" spans="1:195" x14ac:dyDescent="0.25">
      <c r="A376" s="4">
        <f>DATE(2023,2,20)</f>
        <v>44977</v>
      </c>
      <c r="B376">
        <v>90007</v>
      </c>
      <c r="C376">
        <v>750</v>
      </c>
      <c r="M376">
        <v>500</v>
      </c>
      <c r="W376">
        <v>1700</v>
      </c>
      <c r="AG376">
        <v>1050</v>
      </c>
      <c r="AQ376">
        <v>2725</v>
      </c>
      <c r="BA376">
        <v>2150</v>
      </c>
      <c r="BK376">
        <v>7325</v>
      </c>
      <c r="BU376">
        <v>850</v>
      </c>
      <c r="CC376">
        <v>100</v>
      </c>
      <c r="CE376">
        <v>6580</v>
      </c>
      <c r="CO376">
        <v>5750</v>
      </c>
      <c r="CQ376">
        <v>440</v>
      </c>
      <c r="CY376">
        <v>3275</v>
      </c>
      <c r="DI376">
        <v>1250</v>
      </c>
      <c r="DK376">
        <v>40</v>
      </c>
      <c r="DM376">
        <v>150</v>
      </c>
      <c r="DQ376">
        <v>100</v>
      </c>
      <c r="DS376">
        <v>4930</v>
      </c>
      <c r="DW376">
        <v>400</v>
      </c>
      <c r="EC376">
        <v>2000</v>
      </c>
      <c r="EM376">
        <v>1250</v>
      </c>
      <c r="EW376">
        <v>500</v>
      </c>
      <c r="GM376">
        <f t="shared" si="6"/>
        <v>43815</v>
      </c>
    </row>
    <row r="377" spans="1:195" x14ac:dyDescent="0.25">
      <c r="A377" s="4">
        <f>DATE(2023,2,17)</f>
        <v>44974</v>
      </c>
      <c r="B377">
        <v>89571</v>
      </c>
      <c r="C377">
        <v>750</v>
      </c>
      <c r="M377">
        <v>500</v>
      </c>
      <c r="W377">
        <v>1700</v>
      </c>
      <c r="AG377">
        <v>1050</v>
      </c>
      <c r="AQ377">
        <v>2725</v>
      </c>
      <c r="BA377">
        <v>2150</v>
      </c>
      <c r="BK377">
        <v>7325</v>
      </c>
      <c r="BU377">
        <v>850</v>
      </c>
      <c r="CC377">
        <v>100</v>
      </c>
      <c r="CE377">
        <v>6580</v>
      </c>
      <c r="CO377">
        <v>5750</v>
      </c>
      <c r="CQ377">
        <v>440</v>
      </c>
      <c r="CY377">
        <v>3275</v>
      </c>
      <c r="DI377">
        <v>1000</v>
      </c>
      <c r="DK377">
        <v>40</v>
      </c>
      <c r="DM377">
        <v>150</v>
      </c>
      <c r="DQ377">
        <v>100</v>
      </c>
      <c r="DS377">
        <v>5380</v>
      </c>
      <c r="DW377">
        <v>400</v>
      </c>
      <c r="EC377">
        <v>2000</v>
      </c>
      <c r="EM377">
        <v>1000</v>
      </c>
      <c r="EW377">
        <v>500</v>
      </c>
      <c r="GM377">
        <f t="shared" si="6"/>
        <v>43765</v>
      </c>
    </row>
    <row r="378" spans="1:195" x14ac:dyDescent="0.25">
      <c r="A378" s="4">
        <f>DATE(2023,2,16)</f>
        <v>44973</v>
      </c>
      <c r="B378">
        <v>89251</v>
      </c>
      <c r="C378">
        <v>750</v>
      </c>
      <c r="M378">
        <v>500</v>
      </c>
      <c r="W378">
        <v>1700</v>
      </c>
      <c r="AG378">
        <v>1050</v>
      </c>
      <c r="AQ378">
        <v>2725</v>
      </c>
      <c r="BA378">
        <v>2150</v>
      </c>
      <c r="BK378">
        <v>7325</v>
      </c>
      <c r="BU378">
        <v>850</v>
      </c>
      <c r="CC378">
        <v>100</v>
      </c>
      <c r="CE378">
        <v>6580</v>
      </c>
      <c r="CO378">
        <v>5750</v>
      </c>
      <c r="CQ378">
        <v>440</v>
      </c>
      <c r="CY378">
        <v>3275</v>
      </c>
      <c r="DI378">
        <v>1000</v>
      </c>
      <c r="DK378">
        <v>40</v>
      </c>
      <c r="DM378">
        <v>150</v>
      </c>
      <c r="DQ378">
        <v>100</v>
      </c>
      <c r="DS378">
        <v>5380</v>
      </c>
      <c r="DW378">
        <v>400</v>
      </c>
      <c r="EC378">
        <v>2000</v>
      </c>
      <c r="EM378">
        <v>1000</v>
      </c>
      <c r="EW378">
        <v>500</v>
      </c>
      <c r="GM378">
        <f t="shared" si="6"/>
        <v>43765</v>
      </c>
    </row>
    <row r="379" spans="1:195" x14ac:dyDescent="0.25">
      <c r="A379" s="4">
        <f>DATE(2023,2,15)</f>
        <v>44972</v>
      </c>
      <c r="B379">
        <v>88916</v>
      </c>
      <c r="C379">
        <v>750</v>
      </c>
      <c r="M379">
        <v>500</v>
      </c>
      <c r="W379">
        <v>1700</v>
      </c>
      <c r="AG379">
        <v>1050</v>
      </c>
      <c r="AQ379">
        <v>2725</v>
      </c>
      <c r="BA379">
        <v>2150</v>
      </c>
      <c r="BK379">
        <v>5125</v>
      </c>
      <c r="BU379">
        <v>850</v>
      </c>
      <c r="CC379">
        <v>100</v>
      </c>
      <c r="CE379">
        <v>6005</v>
      </c>
      <c r="CO379">
        <v>5750</v>
      </c>
      <c r="CQ379">
        <v>440</v>
      </c>
      <c r="CY379">
        <v>3275</v>
      </c>
      <c r="DK379">
        <v>40</v>
      </c>
      <c r="DM379">
        <v>100</v>
      </c>
      <c r="DQ379">
        <v>100</v>
      </c>
      <c r="DS379">
        <v>5380</v>
      </c>
      <c r="DW379">
        <v>400</v>
      </c>
      <c r="EC379">
        <v>2000</v>
      </c>
      <c r="EM379">
        <v>1000</v>
      </c>
      <c r="EW379">
        <v>500</v>
      </c>
      <c r="GM379">
        <f t="shared" si="6"/>
        <v>39940</v>
      </c>
    </row>
    <row r="380" spans="1:195" x14ac:dyDescent="0.25">
      <c r="A380" s="4">
        <f>DATE(2023,2,14)</f>
        <v>44971</v>
      </c>
      <c r="B380">
        <v>87873</v>
      </c>
      <c r="C380">
        <v>750</v>
      </c>
      <c r="M380">
        <v>500</v>
      </c>
      <c r="W380">
        <v>1700</v>
      </c>
      <c r="AG380">
        <v>1050</v>
      </c>
      <c r="AQ380">
        <v>2725</v>
      </c>
      <c r="BA380">
        <v>2150</v>
      </c>
      <c r="BK380">
        <v>4825</v>
      </c>
      <c r="BU380">
        <v>850</v>
      </c>
      <c r="CC380">
        <v>100</v>
      </c>
      <c r="CE380">
        <v>5755</v>
      </c>
      <c r="CO380">
        <v>5750</v>
      </c>
      <c r="CQ380">
        <v>440</v>
      </c>
      <c r="CY380">
        <v>3275</v>
      </c>
      <c r="DK380">
        <v>40</v>
      </c>
      <c r="DM380">
        <v>100</v>
      </c>
      <c r="DQ380">
        <v>100</v>
      </c>
      <c r="DS380">
        <v>5380</v>
      </c>
      <c r="DW380">
        <v>400</v>
      </c>
      <c r="EC380">
        <v>2000</v>
      </c>
      <c r="EM380">
        <v>1000</v>
      </c>
      <c r="EW380">
        <v>500</v>
      </c>
      <c r="GM380">
        <f t="shared" si="6"/>
        <v>39390</v>
      </c>
    </row>
    <row r="381" spans="1:195" x14ac:dyDescent="0.25">
      <c r="A381" s="4">
        <f>DATE(2023,2,13)</f>
        <v>44970</v>
      </c>
      <c r="B381">
        <v>87657</v>
      </c>
      <c r="C381">
        <v>750</v>
      </c>
      <c r="M381">
        <v>500</v>
      </c>
      <c r="W381">
        <v>1700</v>
      </c>
      <c r="AG381">
        <v>1050</v>
      </c>
      <c r="AQ381">
        <v>2725</v>
      </c>
      <c r="BA381">
        <v>2150</v>
      </c>
      <c r="BK381">
        <v>4825</v>
      </c>
      <c r="BU381">
        <v>850</v>
      </c>
      <c r="CC381">
        <v>100</v>
      </c>
      <c r="CE381">
        <v>5755</v>
      </c>
      <c r="CO381">
        <v>5750</v>
      </c>
      <c r="CQ381">
        <v>440</v>
      </c>
      <c r="CY381">
        <v>3275</v>
      </c>
      <c r="DK381">
        <v>40</v>
      </c>
      <c r="DM381">
        <v>100</v>
      </c>
      <c r="DQ381">
        <v>100</v>
      </c>
      <c r="DS381">
        <v>5380</v>
      </c>
      <c r="DW381">
        <v>400</v>
      </c>
      <c r="EC381">
        <v>2000</v>
      </c>
      <c r="EM381">
        <v>1000</v>
      </c>
      <c r="EW381">
        <v>500</v>
      </c>
      <c r="GM381">
        <f t="shared" si="6"/>
        <v>39390</v>
      </c>
    </row>
    <row r="382" spans="1:195" x14ac:dyDescent="0.25">
      <c r="A382" s="4">
        <f>DATE(2023,2,10)</f>
        <v>44967</v>
      </c>
      <c r="B382">
        <v>87284</v>
      </c>
      <c r="C382">
        <v>750</v>
      </c>
      <c r="M382">
        <v>500</v>
      </c>
      <c r="W382">
        <v>1700</v>
      </c>
      <c r="AG382">
        <v>1050</v>
      </c>
      <c r="AQ382">
        <v>2725</v>
      </c>
      <c r="BA382">
        <v>2150</v>
      </c>
      <c r="BK382">
        <v>4825</v>
      </c>
      <c r="BU382">
        <v>1100</v>
      </c>
      <c r="CC382">
        <v>100</v>
      </c>
      <c r="CE382">
        <v>5505</v>
      </c>
      <c r="CO382">
        <v>5750</v>
      </c>
      <c r="CQ382">
        <v>440</v>
      </c>
      <c r="CY382">
        <v>3275</v>
      </c>
      <c r="DK382">
        <v>40</v>
      </c>
      <c r="DM382">
        <v>100</v>
      </c>
      <c r="DQ382">
        <v>100</v>
      </c>
      <c r="DS382">
        <v>5230</v>
      </c>
      <c r="DW382">
        <v>400</v>
      </c>
      <c r="EC382">
        <v>2000</v>
      </c>
      <c r="EM382">
        <v>1000</v>
      </c>
      <c r="EW382">
        <v>500</v>
      </c>
      <c r="GM382">
        <f t="shared" si="6"/>
        <v>39240</v>
      </c>
    </row>
    <row r="383" spans="1:195" x14ac:dyDescent="0.25">
      <c r="A383" s="4">
        <f>DATE(2023,2,9)</f>
        <v>44966</v>
      </c>
      <c r="B383">
        <v>86537</v>
      </c>
      <c r="M383">
        <v>500</v>
      </c>
      <c r="W383">
        <v>1700</v>
      </c>
      <c r="AG383">
        <v>1050</v>
      </c>
      <c r="AQ383">
        <v>2725</v>
      </c>
      <c r="BA383">
        <v>2150</v>
      </c>
      <c r="BK383">
        <v>4825</v>
      </c>
      <c r="BU383">
        <v>1100</v>
      </c>
      <c r="CC383">
        <v>100</v>
      </c>
      <c r="CE383">
        <v>5435</v>
      </c>
      <c r="CO383">
        <v>5750</v>
      </c>
      <c r="CQ383">
        <v>440</v>
      </c>
      <c r="CY383">
        <v>3275</v>
      </c>
      <c r="DK383">
        <v>40</v>
      </c>
      <c r="DM383">
        <v>100</v>
      </c>
      <c r="DQ383">
        <v>100</v>
      </c>
      <c r="DS383">
        <v>5230</v>
      </c>
      <c r="DW383">
        <v>400</v>
      </c>
      <c r="EC383">
        <v>2000</v>
      </c>
      <c r="EM383">
        <v>775</v>
      </c>
      <c r="EW383">
        <v>500</v>
      </c>
      <c r="GM383">
        <f t="shared" si="6"/>
        <v>38195</v>
      </c>
    </row>
    <row r="384" spans="1:195" x14ac:dyDescent="0.25">
      <c r="A384" s="4">
        <f>DATE(2023,2,8)</f>
        <v>44965</v>
      </c>
      <c r="B384">
        <v>85928</v>
      </c>
      <c r="M384">
        <v>500</v>
      </c>
      <c r="W384">
        <v>1700</v>
      </c>
      <c r="AG384">
        <v>1050</v>
      </c>
      <c r="AQ384">
        <v>2725</v>
      </c>
      <c r="BA384">
        <v>2000</v>
      </c>
      <c r="BK384">
        <v>4825</v>
      </c>
      <c r="BU384">
        <v>1000</v>
      </c>
      <c r="CC384">
        <v>100</v>
      </c>
      <c r="CE384">
        <v>5435</v>
      </c>
      <c r="CO384">
        <v>5250</v>
      </c>
      <c r="CQ384">
        <v>440</v>
      </c>
      <c r="CY384">
        <v>2925</v>
      </c>
      <c r="DK384">
        <v>40</v>
      </c>
      <c r="DM384">
        <v>100</v>
      </c>
      <c r="DQ384">
        <v>100</v>
      </c>
      <c r="DS384">
        <v>5230</v>
      </c>
      <c r="DW384">
        <v>400</v>
      </c>
      <c r="EC384">
        <v>2000</v>
      </c>
      <c r="EW384">
        <v>500</v>
      </c>
      <c r="GM384">
        <f t="shared" si="6"/>
        <v>36320</v>
      </c>
    </row>
    <row r="385" spans="1:195" x14ac:dyDescent="0.25">
      <c r="A385" s="4">
        <f>DATE(2023,2,7)</f>
        <v>44964</v>
      </c>
      <c r="B385">
        <v>85347</v>
      </c>
      <c r="M385">
        <v>500</v>
      </c>
      <c r="W385">
        <v>1700</v>
      </c>
      <c r="AG385">
        <v>850</v>
      </c>
      <c r="AQ385">
        <v>2725</v>
      </c>
      <c r="BA385">
        <v>2000</v>
      </c>
      <c r="BK385">
        <v>4825</v>
      </c>
      <c r="BU385">
        <v>1000</v>
      </c>
      <c r="CC385">
        <v>100</v>
      </c>
      <c r="CE385">
        <v>4685</v>
      </c>
      <c r="CO385">
        <v>5250</v>
      </c>
      <c r="CQ385">
        <v>440</v>
      </c>
      <c r="CY385">
        <v>2700</v>
      </c>
      <c r="DK385">
        <v>40</v>
      </c>
      <c r="DM385">
        <v>100</v>
      </c>
      <c r="DQ385">
        <v>100</v>
      </c>
      <c r="DS385">
        <v>4980</v>
      </c>
      <c r="DW385">
        <v>400</v>
      </c>
      <c r="EC385">
        <v>2000</v>
      </c>
      <c r="EW385">
        <v>500</v>
      </c>
      <c r="GM385">
        <f t="shared" si="6"/>
        <v>34895</v>
      </c>
    </row>
    <row r="386" spans="1:195" x14ac:dyDescent="0.25">
      <c r="A386" s="4">
        <f>DATE(2023,2,6)</f>
        <v>44963</v>
      </c>
      <c r="B386">
        <v>85227</v>
      </c>
      <c r="M386">
        <v>500</v>
      </c>
      <c r="W386">
        <v>1700</v>
      </c>
      <c r="AG386">
        <v>850</v>
      </c>
      <c r="AQ386">
        <v>2725</v>
      </c>
      <c r="BA386">
        <v>2000</v>
      </c>
      <c r="BK386">
        <v>4825</v>
      </c>
      <c r="BU386">
        <v>1000</v>
      </c>
      <c r="CC386">
        <v>100</v>
      </c>
      <c r="CE386">
        <v>4685</v>
      </c>
      <c r="CO386">
        <v>5250</v>
      </c>
      <c r="CQ386">
        <v>440</v>
      </c>
      <c r="CY386">
        <v>2700</v>
      </c>
      <c r="DK386">
        <v>40</v>
      </c>
      <c r="DM386">
        <v>100</v>
      </c>
      <c r="DQ386">
        <v>100</v>
      </c>
      <c r="DS386">
        <v>4980</v>
      </c>
      <c r="DW386">
        <v>400</v>
      </c>
      <c r="EC386">
        <v>2000</v>
      </c>
      <c r="EW386">
        <v>500</v>
      </c>
      <c r="GM386">
        <f t="shared" si="6"/>
        <v>34895</v>
      </c>
    </row>
    <row r="387" spans="1:195" x14ac:dyDescent="0.25">
      <c r="A387" s="4">
        <f>DATE(2023,2,3)</f>
        <v>44960</v>
      </c>
      <c r="B387">
        <v>85141</v>
      </c>
      <c r="M387">
        <v>500</v>
      </c>
      <c r="W387">
        <v>1700</v>
      </c>
      <c r="AG387">
        <v>850</v>
      </c>
      <c r="AQ387">
        <v>2775</v>
      </c>
      <c r="BA387">
        <v>2000</v>
      </c>
      <c r="BK387">
        <v>4825</v>
      </c>
      <c r="BU387">
        <v>1000</v>
      </c>
      <c r="CC387">
        <v>100</v>
      </c>
      <c r="CE387">
        <v>3910</v>
      </c>
      <c r="CO387">
        <v>4750</v>
      </c>
      <c r="CQ387">
        <v>440</v>
      </c>
      <c r="CY387">
        <v>3200</v>
      </c>
      <c r="DK387">
        <v>40</v>
      </c>
      <c r="DM387">
        <v>100</v>
      </c>
      <c r="DQ387">
        <v>100</v>
      </c>
      <c r="DS387">
        <v>4530</v>
      </c>
      <c r="DW387">
        <v>400</v>
      </c>
      <c r="EC387">
        <v>1500</v>
      </c>
      <c r="GM387">
        <f t="shared" si="6"/>
        <v>32720</v>
      </c>
    </row>
    <row r="388" spans="1:195" x14ac:dyDescent="0.25">
      <c r="A388" s="4">
        <f>DATE(2023,2,2)</f>
        <v>44959</v>
      </c>
      <c r="B388">
        <v>85471</v>
      </c>
      <c r="M388">
        <v>500</v>
      </c>
      <c r="W388">
        <v>1700</v>
      </c>
      <c r="AG388">
        <v>850</v>
      </c>
      <c r="AQ388">
        <v>2775</v>
      </c>
      <c r="BA388">
        <v>2000</v>
      </c>
      <c r="BK388">
        <v>4825</v>
      </c>
      <c r="BU388">
        <v>1000</v>
      </c>
      <c r="CC388">
        <v>100</v>
      </c>
      <c r="CE388">
        <v>3910</v>
      </c>
      <c r="CO388">
        <v>4750</v>
      </c>
      <c r="CQ388">
        <v>440</v>
      </c>
      <c r="CY388">
        <v>3200</v>
      </c>
      <c r="DK388">
        <v>40</v>
      </c>
      <c r="DM388">
        <v>100</v>
      </c>
      <c r="DQ388">
        <v>100</v>
      </c>
      <c r="DS388">
        <v>4530</v>
      </c>
      <c r="DW388">
        <v>400</v>
      </c>
      <c r="EC388">
        <v>1500</v>
      </c>
      <c r="GM388">
        <f t="shared" si="6"/>
        <v>32720</v>
      </c>
    </row>
    <row r="389" spans="1:195" x14ac:dyDescent="0.25">
      <c r="A389" s="4">
        <f>DATE(2023,2,1)</f>
        <v>44958</v>
      </c>
      <c r="B389">
        <v>85208</v>
      </c>
      <c r="M389">
        <v>500</v>
      </c>
      <c r="W389">
        <v>1700</v>
      </c>
      <c r="AG389">
        <v>850</v>
      </c>
      <c r="AQ389">
        <v>2775</v>
      </c>
      <c r="BA389">
        <v>2000</v>
      </c>
      <c r="BK389">
        <v>4825</v>
      </c>
      <c r="BU389">
        <v>1000</v>
      </c>
      <c r="CC389">
        <v>100</v>
      </c>
      <c r="CE389">
        <v>3910</v>
      </c>
      <c r="CO389">
        <v>4750</v>
      </c>
      <c r="CQ389">
        <v>440</v>
      </c>
      <c r="CY389">
        <v>3200</v>
      </c>
      <c r="DK389">
        <v>40</v>
      </c>
      <c r="DM389">
        <v>100</v>
      </c>
      <c r="DQ389">
        <v>100</v>
      </c>
      <c r="DS389">
        <v>4530</v>
      </c>
      <c r="DW389">
        <v>400</v>
      </c>
      <c r="EC389">
        <v>1500</v>
      </c>
      <c r="GM389">
        <f t="shared" si="6"/>
        <v>32720</v>
      </c>
    </row>
    <row r="390" spans="1:195" x14ac:dyDescent="0.25">
      <c r="A390" s="4">
        <f>DATE(2023,1,31)</f>
        <v>44957</v>
      </c>
      <c r="B390">
        <v>84160</v>
      </c>
      <c r="M390">
        <v>500</v>
      </c>
      <c r="W390">
        <v>1700</v>
      </c>
      <c r="AG390">
        <v>850</v>
      </c>
      <c r="AQ390">
        <v>2775</v>
      </c>
      <c r="BA390">
        <v>2000</v>
      </c>
      <c r="BK390">
        <v>4825</v>
      </c>
      <c r="BU390">
        <v>1000</v>
      </c>
      <c r="CC390">
        <v>100</v>
      </c>
      <c r="CE390">
        <v>3860</v>
      </c>
      <c r="CO390">
        <v>4750</v>
      </c>
      <c r="CQ390">
        <v>440</v>
      </c>
      <c r="CY390">
        <v>3200</v>
      </c>
      <c r="DK390">
        <v>40</v>
      </c>
      <c r="DM390">
        <v>100</v>
      </c>
      <c r="DQ390">
        <v>100</v>
      </c>
      <c r="DS390">
        <v>3950</v>
      </c>
      <c r="DW390">
        <v>400</v>
      </c>
      <c r="EC390">
        <v>1500</v>
      </c>
      <c r="GM390">
        <f t="shared" si="6"/>
        <v>32090</v>
      </c>
    </row>
    <row r="391" spans="1:195" x14ac:dyDescent="0.25">
      <c r="A391" s="4">
        <f>DATE(2023,1,30)</f>
        <v>44956</v>
      </c>
      <c r="B391">
        <v>81653</v>
      </c>
      <c r="M391">
        <v>500</v>
      </c>
      <c r="W391">
        <v>1700</v>
      </c>
      <c r="AG391">
        <v>850</v>
      </c>
      <c r="AQ391">
        <v>2775</v>
      </c>
      <c r="BA391">
        <v>2000</v>
      </c>
      <c r="BK391">
        <v>4925</v>
      </c>
      <c r="BU391">
        <v>1000</v>
      </c>
      <c r="CC391">
        <v>100</v>
      </c>
      <c r="CE391">
        <v>4175</v>
      </c>
      <c r="CO391">
        <v>4500</v>
      </c>
      <c r="CQ391">
        <v>440</v>
      </c>
      <c r="CY391">
        <v>3200</v>
      </c>
      <c r="DK391">
        <v>40</v>
      </c>
      <c r="DM391">
        <v>100</v>
      </c>
      <c r="DQ391">
        <v>100</v>
      </c>
      <c r="DS391">
        <v>3700</v>
      </c>
      <c r="DW391">
        <v>400</v>
      </c>
      <c r="EC391">
        <v>1500</v>
      </c>
      <c r="GM391">
        <f t="shared" si="6"/>
        <v>32005</v>
      </c>
    </row>
    <row r="392" spans="1:195" x14ac:dyDescent="0.25">
      <c r="A392" s="4">
        <f>DATE(2023,1,27)</f>
        <v>44953</v>
      </c>
      <c r="B392">
        <v>80657</v>
      </c>
      <c r="M392">
        <v>500</v>
      </c>
      <c r="W392">
        <v>1700</v>
      </c>
      <c r="AG392">
        <v>850</v>
      </c>
      <c r="AQ392">
        <v>2775</v>
      </c>
      <c r="BA392">
        <v>2000</v>
      </c>
      <c r="BK392">
        <v>4825</v>
      </c>
      <c r="BU392">
        <v>1000</v>
      </c>
      <c r="CC392">
        <v>100</v>
      </c>
      <c r="CE392">
        <v>4175</v>
      </c>
      <c r="CO392">
        <v>4500</v>
      </c>
      <c r="CQ392">
        <v>440</v>
      </c>
      <c r="CY392">
        <v>3200</v>
      </c>
      <c r="DK392">
        <v>40</v>
      </c>
      <c r="DM392">
        <v>100</v>
      </c>
      <c r="DQ392">
        <v>100</v>
      </c>
      <c r="DS392">
        <v>3650</v>
      </c>
      <c r="DW392">
        <v>400</v>
      </c>
      <c r="EC392">
        <v>1500</v>
      </c>
      <c r="GM392">
        <f t="shared" ref="GM392:GM455" si="7">SUMPRODUCT(C392:GL392)</f>
        <v>31855</v>
      </c>
    </row>
    <row r="393" spans="1:195" x14ac:dyDescent="0.25">
      <c r="A393" s="4">
        <f>DATE(2023,1,26)</f>
        <v>44952</v>
      </c>
      <c r="B393">
        <v>80421</v>
      </c>
      <c r="M393">
        <v>500</v>
      </c>
      <c r="W393">
        <v>1700</v>
      </c>
      <c r="AG393">
        <v>850</v>
      </c>
      <c r="AQ393">
        <v>2775</v>
      </c>
      <c r="BA393">
        <v>2000</v>
      </c>
      <c r="BK393">
        <v>4825</v>
      </c>
      <c r="BU393">
        <v>1000</v>
      </c>
      <c r="CC393">
        <v>100</v>
      </c>
      <c r="CE393">
        <v>4175</v>
      </c>
      <c r="CO393">
        <v>4500</v>
      </c>
      <c r="CQ393">
        <v>440</v>
      </c>
      <c r="CY393">
        <v>3200</v>
      </c>
      <c r="DK393">
        <v>40</v>
      </c>
      <c r="DM393">
        <v>100</v>
      </c>
      <c r="DQ393">
        <v>100</v>
      </c>
      <c r="DS393">
        <v>3650</v>
      </c>
      <c r="DW393">
        <v>400</v>
      </c>
      <c r="EC393">
        <v>1500</v>
      </c>
      <c r="GM393">
        <f t="shared" si="7"/>
        <v>31855</v>
      </c>
    </row>
    <row r="394" spans="1:195" x14ac:dyDescent="0.25">
      <c r="A394" s="4">
        <f>DATE(2023,1,25)</f>
        <v>44951</v>
      </c>
      <c r="B394">
        <v>78135</v>
      </c>
      <c r="M394">
        <v>500</v>
      </c>
      <c r="W394">
        <v>1700</v>
      </c>
      <c r="AG394">
        <v>850</v>
      </c>
      <c r="AQ394">
        <v>2775</v>
      </c>
      <c r="BA394">
        <v>2000</v>
      </c>
      <c r="BK394">
        <v>4325</v>
      </c>
      <c r="BU394">
        <v>1000</v>
      </c>
      <c r="CC394">
        <v>100</v>
      </c>
      <c r="CE394">
        <v>4175</v>
      </c>
      <c r="CO394">
        <v>4500</v>
      </c>
      <c r="CQ394">
        <v>440</v>
      </c>
      <c r="CY394">
        <v>2550</v>
      </c>
      <c r="DK394">
        <v>40</v>
      </c>
      <c r="DQ394">
        <v>100</v>
      </c>
      <c r="DS394">
        <v>3500</v>
      </c>
      <c r="DW394">
        <v>400</v>
      </c>
      <c r="EC394">
        <v>1500</v>
      </c>
      <c r="GM394">
        <f t="shared" si="7"/>
        <v>30455</v>
      </c>
    </row>
    <row r="395" spans="1:195" x14ac:dyDescent="0.25">
      <c r="A395" s="4">
        <f>DATE(2023,1,24)</f>
        <v>44950</v>
      </c>
      <c r="B395">
        <v>77636</v>
      </c>
      <c r="M395">
        <v>500</v>
      </c>
      <c r="W395">
        <v>1700</v>
      </c>
      <c r="AG395">
        <v>850</v>
      </c>
      <c r="AQ395">
        <v>2775</v>
      </c>
      <c r="BA395">
        <v>2000</v>
      </c>
      <c r="BK395">
        <v>4325</v>
      </c>
      <c r="BU395">
        <v>1000</v>
      </c>
      <c r="CC395">
        <v>100</v>
      </c>
      <c r="CE395">
        <v>3700</v>
      </c>
      <c r="CO395">
        <v>4500</v>
      </c>
      <c r="CQ395">
        <v>440</v>
      </c>
      <c r="CY395">
        <v>2450</v>
      </c>
      <c r="DK395">
        <v>40</v>
      </c>
      <c r="DQ395">
        <v>100</v>
      </c>
      <c r="DS395">
        <v>3500</v>
      </c>
      <c r="DW395">
        <v>400</v>
      </c>
      <c r="EC395">
        <v>1500</v>
      </c>
      <c r="GM395">
        <f t="shared" si="7"/>
        <v>29880</v>
      </c>
    </row>
    <row r="396" spans="1:195" x14ac:dyDescent="0.25">
      <c r="A396" s="4">
        <f>DATE(2023,1,23)</f>
        <v>44949</v>
      </c>
      <c r="B396">
        <v>77102</v>
      </c>
      <c r="M396">
        <v>500</v>
      </c>
      <c r="W396">
        <v>1700</v>
      </c>
      <c r="AG396">
        <v>850</v>
      </c>
      <c r="AQ396">
        <v>2775</v>
      </c>
      <c r="BA396">
        <v>2000</v>
      </c>
      <c r="BK396">
        <v>4325</v>
      </c>
      <c r="BU396">
        <v>1000</v>
      </c>
      <c r="CC396">
        <v>100</v>
      </c>
      <c r="CE396">
        <v>3500</v>
      </c>
      <c r="CO396">
        <v>4500</v>
      </c>
      <c r="CQ396">
        <v>440</v>
      </c>
      <c r="CY396">
        <v>2450</v>
      </c>
      <c r="DK396">
        <v>40</v>
      </c>
      <c r="DQ396">
        <v>100</v>
      </c>
      <c r="DS396">
        <v>3500</v>
      </c>
      <c r="DW396">
        <v>400</v>
      </c>
      <c r="EC396">
        <v>1500</v>
      </c>
      <c r="GM396">
        <f t="shared" si="7"/>
        <v>29680</v>
      </c>
    </row>
    <row r="397" spans="1:195" x14ac:dyDescent="0.25">
      <c r="A397" s="4">
        <f>DATE(2023,1,20)</f>
        <v>44946</v>
      </c>
      <c r="B397">
        <v>76889</v>
      </c>
      <c r="M397">
        <v>500</v>
      </c>
      <c r="W397">
        <v>1700</v>
      </c>
      <c r="AG397">
        <v>850</v>
      </c>
      <c r="AQ397">
        <v>2325</v>
      </c>
      <c r="BA397">
        <v>2000</v>
      </c>
      <c r="BK397">
        <v>4325</v>
      </c>
      <c r="BU397">
        <v>1000</v>
      </c>
      <c r="CC397">
        <v>100</v>
      </c>
      <c r="CE397">
        <v>3500</v>
      </c>
      <c r="CO397">
        <v>4500</v>
      </c>
      <c r="CQ397">
        <v>440</v>
      </c>
      <c r="CY397">
        <v>2450</v>
      </c>
      <c r="DK397">
        <v>40</v>
      </c>
      <c r="DQ397">
        <v>100</v>
      </c>
      <c r="DS397">
        <v>3500</v>
      </c>
      <c r="DW397">
        <v>400</v>
      </c>
      <c r="EC397">
        <v>1500</v>
      </c>
      <c r="GM397">
        <f t="shared" si="7"/>
        <v>29230</v>
      </c>
    </row>
    <row r="398" spans="1:195" x14ac:dyDescent="0.25">
      <c r="A398" s="4">
        <f>DATE(2023,1,19)</f>
        <v>44945</v>
      </c>
      <c r="B398">
        <v>76372</v>
      </c>
      <c r="M398">
        <v>500</v>
      </c>
      <c r="W398">
        <v>1700</v>
      </c>
      <c r="AG398">
        <v>850</v>
      </c>
      <c r="AQ398">
        <v>2075</v>
      </c>
      <c r="BA398">
        <v>2000</v>
      </c>
      <c r="BK398">
        <v>4325</v>
      </c>
      <c r="BU398">
        <v>1000</v>
      </c>
      <c r="CC398">
        <v>100</v>
      </c>
      <c r="CE398">
        <v>3300</v>
      </c>
      <c r="CO398">
        <v>4500</v>
      </c>
      <c r="CQ398">
        <v>440</v>
      </c>
      <c r="CY398">
        <v>2000</v>
      </c>
      <c r="DK398">
        <v>40</v>
      </c>
      <c r="DQ398">
        <v>100</v>
      </c>
      <c r="DS398">
        <v>3500</v>
      </c>
      <c r="DW398">
        <v>400</v>
      </c>
      <c r="EC398">
        <v>1500</v>
      </c>
      <c r="GM398">
        <f t="shared" si="7"/>
        <v>28330</v>
      </c>
    </row>
    <row r="399" spans="1:195" x14ac:dyDescent="0.25">
      <c r="A399" s="4">
        <f>DATE(2023,1,18)</f>
        <v>44944</v>
      </c>
      <c r="B399">
        <v>76108</v>
      </c>
      <c r="M399">
        <v>500</v>
      </c>
      <c r="W399">
        <v>1700</v>
      </c>
      <c r="AG399">
        <v>850</v>
      </c>
      <c r="AQ399">
        <v>1925</v>
      </c>
      <c r="BA399">
        <v>2000</v>
      </c>
      <c r="BK399">
        <v>4325</v>
      </c>
      <c r="BU399">
        <v>1000</v>
      </c>
      <c r="CC399">
        <v>100</v>
      </c>
      <c r="CE399">
        <v>3300</v>
      </c>
      <c r="CO399">
        <v>4500</v>
      </c>
      <c r="CQ399">
        <v>440</v>
      </c>
      <c r="CY399">
        <v>2000</v>
      </c>
      <c r="DK399">
        <v>40</v>
      </c>
      <c r="DQ399">
        <v>100</v>
      </c>
      <c r="DS399">
        <v>3500</v>
      </c>
      <c r="DW399">
        <v>400</v>
      </c>
      <c r="EC399">
        <v>1500</v>
      </c>
      <c r="GM399">
        <f t="shared" si="7"/>
        <v>28180</v>
      </c>
    </row>
    <row r="400" spans="1:195" x14ac:dyDescent="0.25">
      <c r="A400" s="4">
        <f>DATE(2023,1,17)</f>
        <v>44943</v>
      </c>
      <c r="B400">
        <v>75126</v>
      </c>
      <c r="M400">
        <v>500</v>
      </c>
      <c r="W400">
        <v>1700</v>
      </c>
      <c r="AG400">
        <v>850</v>
      </c>
      <c r="AQ400">
        <v>1925</v>
      </c>
      <c r="BA400">
        <v>2000</v>
      </c>
      <c r="BK400">
        <v>4325</v>
      </c>
      <c r="BU400">
        <v>1000</v>
      </c>
      <c r="CC400">
        <v>100</v>
      </c>
      <c r="CE400">
        <v>3300</v>
      </c>
      <c r="CO400">
        <v>4500</v>
      </c>
      <c r="CQ400">
        <v>440</v>
      </c>
      <c r="CY400">
        <v>2000</v>
      </c>
      <c r="DK400">
        <v>40</v>
      </c>
      <c r="DQ400">
        <v>100</v>
      </c>
      <c r="DS400">
        <v>3500</v>
      </c>
      <c r="DW400">
        <v>400</v>
      </c>
      <c r="EC400">
        <v>1500</v>
      </c>
      <c r="GM400">
        <f t="shared" si="7"/>
        <v>28180</v>
      </c>
    </row>
    <row r="401" spans="1:195" x14ac:dyDescent="0.25">
      <c r="A401" s="4">
        <f>DATE(2023,1,16)</f>
        <v>44942</v>
      </c>
      <c r="B401">
        <v>74684</v>
      </c>
      <c r="M401">
        <v>500</v>
      </c>
      <c r="W401">
        <v>1700</v>
      </c>
      <c r="AG401">
        <v>850</v>
      </c>
      <c r="AQ401">
        <v>1925</v>
      </c>
      <c r="BA401">
        <v>2000</v>
      </c>
      <c r="BK401">
        <v>4325</v>
      </c>
      <c r="BU401">
        <v>1000</v>
      </c>
      <c r="CC401">
        <v>100</v>
      </c>
      <c r="CE401">
        <v>2750</v>
      </c>
      <c r="CO401">
        <v>4100</v>
      </c>
      <c r="CQ401">
        <v>440</v>
      </c>
      <c r="CY401">
        <v>1975</v>
      </c>
      <c r="DK401">
        <v>40</v>
      </c>
      <c r="DQ401">
        <v>100</v>
      </c>
      <c r="DS401">
        <v>3500</v>
      </c>
      <c r="DW401">
        <v>400</v>
      </c>
      <c r="EC401">
        <v>1500</v>
      </c>
      <c r="GM401">
        <f t="shared" si="7"/>
        <v>27205</v>
      </c>
    </row>
    <row r="402" spans="1:195" x14ac:dyDescent="0.25">
      <c r="A402" s="4">
        <f>DATE(2023,1,13)</f>
        <v>44939</v>
      </c>
      <c r="B402">
        <v>74089</v>
      </c>
      <c r="M402">
        <v>500</v>
      </c>
      <c r="W402">
        <v>1700</v>
      </c>
      <c r="AG402">
        <v>850</v>
      </c>
      <c r="AQ402">
        <v>1925</v>
      </c>
      <c r="BA402">
        <v>2000</v>
      </c>
      <c r="BK402">
        <v>4450</v>
      </c>
      <c r="BU402">
        <v>1000</v>
      </c>
      <c r="CC402">
        <v>100</v>
      </c>
      <c r="CE402">
        <v>2300</v>
      </c>
      <c r="CO402">
        <v>3900</v>
      </c>
      <c r="CQ402">
        <v>440</v>
      </c>
      <c r="CY402">
        <v>1975</v>
      </c>
      <c r="DK402">
        <v>40</v>
      </c>
      <c r="DQ402">
        <v>100</v>
      </c>
      <c r="DS402">
        <v>3500</v>
      </c>
      <c r="DW402">
        <v>400</v>
      </c>
      <c r="EC402">
        <v>1500</v>
      </c>
      <c r="GM402">
        <f t="shared" si="7"/>
        <v>26680</v>
      </c>
    </row>
    <row r="403" spans="1:195" x14ac:dyDescent="0.25">
      <c r="A403" s="4">
        <f>DATE(2023,1,12)</f>
        <v>44938</v>
      </c>
      <c r="B403">
        <v>73630</v>
      </c>
      <c r="M403">
        <v>500</v>
      </c>
      <c r="W403">
        <v>1700</v>
      </c>
      <c r="AG403">
        <v>850</v>
      </c>
      <c r="AQ403">
        <v>1925</v>
      </c>
      <c r="BA403">
        <v>2000</v>
      </c>
      <c r="BK403">
        <v>4450</v>
      </c>
      <c r="BU403">
        <v>1000</v>
      </c>
      <c r="CC403">
        <v>100</v>
      </c>
      <c r="CE403">
        <v>2300</v>
      </c>
      <c r="CO403">
        <v>3900</v>
      </c>
      <c r="CQ403">
        <v>440</v>
      </c>
      <c r="CY403">
        <v>1975</v>
      </c>
      <c r="DK403">
        <v>40</v>
      </c>
      <c r="DQ403">
        <v>100</v>
      </c>
      <c r="DS403">
        <v>3450</v>
      </c>
      <c r="DW403">
        <v>400</v>
      </c>
      <c r="EC403">
        <v>1500</v>
      </c>
      <c r="GM403">
        <f t="shared" si="7"/>
        <v>26630</v>
      </c>
    </row>
    <row r="404" spans="1:195" x14ac:dyDescent="0.25">
      <c r="A404" s="4">
        <f>DATE(2023,1,11)</f>
        <v>44937</v>
      </c>
      <c r="B404">
        <v>73217</v>
      </c>
      <c r="M404">
        <v>500</v>
      </c>
      <c r="W404">
        <v>1700</v>
      </c>
      <c r="AG404">
        <v>450</v>
      </c>
      <c r="AQ404">
        <v>1925</v>
      </c>
      <c r="BA404">
        <v>2000</v>
      </c>
      <c r="BK404">
        <v>3750</v>
      </c>
      <c r="BU404">
        <v>1000</v>
      </c>
      <c r="CC404">
        <v>100</v>
      </c>
      <c r="CE404">
        <v>2300</v>
      </c>
      <c r="CO404">
        <v>3750</v>
      </c>
      <c r="CQ404">
        <v>440</v>
      </c>
      <c r="CY404">
        <v>1975</v>
      </c>
      <c r="DK404">
        <v>40</v>
      </c>
      <c r="DQ404">
        <v>100</v>
      </c>
      <c r="DS404">
        <v>3450</v>
      </c>
      <c r="DW404">
        <v>400</v>
      </c>
      <c r="EC404">
        <v>1500</v>
      </c>
      <c r="GM404">
        <f t="shared" si="7"/>
        <v>25380</v>
      </c>
    </row>
    <row r="405" spans="1:195" x14ac:dyDescent="0.25">
      <c r="A405" s="4">
        <f>DATE(2023,1,10)</f>
        <v>44936</v>
      </c>
      <c r="B405">
        <v>72549</v>
      </c>
      <c r="M405">
        <v>500</v>
      </c>
      <c r="W405">
        <v>1700</v>
      </c>
      <c r="AG405">
        <v>450</v>
      </c>
      <c r="AQ405">
        <v>1925</v>
      </c>
      <c r="BA405">
        <v>2000</v>
      </c>
      <c r="BK405">
        <v>3750</v>
      </c>
      <c r="BU405">
        <v>1000</v>
      </c>
      <c r="CC405">
        <v>100</v>
      </c>
      <c r="CE405">
        <v>1550</v>
      </c>
      <c r="CO405">
        <v>3750</v>
      </c>
      <c r="CQ405">
        <v>440</v>
      </c>
      <c r="CY405">
        <v>1725</v>
      </c>
      <c r="DK405">
        <v>40</v>
      </c>
      <c r="DQ405">
        <v>100</v>
      </c>
      <c r="DS405">
        <v>3450</v>
      </c>
      <c r="DW405">
        <v>400</v>
      </c>
      <c r="EC405">
        <v>1500</v>
      </c>
      <c r="GM405">
        <f t="shared" si="7"/>
        <v>24380</v>
      </c>
    </row>
    <row r="406" spans="1:195" x14ac:dyDescent="0.25">
      <c r="A406" s="4">
        <f>DATE(2023,1,9)</f>
        <v>44935</v>
      </c>
      <c r="B406">
        <v>72333</v>
      </c>
      <c r="M406">
        <v>500</v>
      </c>
      <c r="W406">
        <v>1700</v>
      </c>
      <c r="AG406">
        <v>450</v>
      </c>
      <c r="AQ406">
        <v>1925</v>
      </c>
      <c r="BA406">
        <v>2000</v>
      </c>
      <c r="BK406">
        <v>3750</v>
      </c>
      <c r="BU406">
        <v>1000</v>
      </c>
      <c r="CC406">
        <v>100</v>
      </c>
      <c r="CE406">
        <v>1550</v>
      </c>
      <c r="CO406">
        <v>3750</v>
      </c>
      <c r="CQ406">
        <v>440</v>
      </c>
      <c r="CY406">
        <v>1475</v>
      </c>
      <c r="DK406">
        <v>40</v>
      </c>
      <c r="DQ406">
        <v>100</v>
      </c>
      <c r="DS406">
        <v>3450</v>
      </c>
      <c r="DW406">
        <v>400</v>
      </c>
      <c r="EC406">
        <v>1500</v>
      </c>
      <c r="GM406">
        <f t="shared" si="7"/>
        <v>24130</v>
      </c>
    </row>
    <row r="407" spans="1:195" x14ac:dyDescent="0.25">
      <c r="A407" s="4">
        <f>DATE(2023,1,6)</f>
        <v>44932</v>
      </c>
      <c r="B407">
        <v>72293</v>
      </c>
      <c r="W407">
        <v>1700</v>
      </c>
      <c r="AG407">
        <v>450</v>
      </c>
      <c r="AQ407">
        <v>1925</v>
      </c>
      <c r="BA407">
        <v>1000</v>
      </c>
      <c r="BK407">
        <v>3750</v>
      </c>
      <c r="BU407">
        <v>1000</v>
      </c>
      <c r="CC407">
        <v>100</v>
      </c>
      <c r="CE407">
        <v>1550</v>
      </c>
      <c r="CO407">
        <v>3750</v>
      </c>
      <c r="CQ407">
        <v>440</v>
      </c>
      <c r="CY407">
        <v>1475</v>
      </c>
      <c r="DK407">
        <v>40</v>
      </c>
      <c r="DQ407">
        <v>100</v>
      </c>
      <c r="DS407">
        <v>3450</v>
      </c>
      <c r="DW407">
        <v>400</v>
      </c>
      <c r="EC407">
        <v>1500</v>
      </c>
      <c r="GM407">
        <f t="shared" si="7"/>
        <v>22630</v>
      </c>
    </row>
    <row r="408" spans="1:195" x14ac:dyDescent="0.25">
      <c r="A408" s="4">
        <f>DATE(2023,1,5)</f>
        <v>44931</v>
      </c>
      <c r="B408">
        <v>72206</v>
      </c>
      <c r="W408">
        <v>1700</v>
      </c>
      <c r="AG408">
        <v>450</v>
      </c>
      <c r="AQ408">
        <v>1925</v>
      </c>
      <c r="BA408">
        <v>1000</v>
      </c>
      <c r="BK408">
        <v>3450</v>
      </c>
      <c r="BU408">
        <v>1000</v>
      </c>
      <c r="CE408">
        <v>1550</v>
      </c>
      <c r="CO408">
        <v>3750</v>
      </c>
      <c r="CQ408">
        <v>440</v>
      </c>
      <c r="CY408">
        <v>1475</v>
      </c>
      <c r="DK408">
        <v>40</v>
      </c>
      <c r="DS408">
        <v>3450</v>
      </c>
      <c r="DW408">
        <v>400</v>
      </c>
      <c r="EC408">
        <v>1500</v>
      </c>
      <c r="GM408">
        <f t="shared" si="7"/>
        <v>22130</v>
      </c>
    </row>
    <row r="409" spans="1:195" x14ac:dyDescent="0.25">
      <c r="A409" s="4">
        <f>DATE(2023,1,4)</f>
        <v>44930</v>
      </c>
      <c r="B409">
        <v>72789</v>
      </c>
      <c r="W409">
        <v>1700</v>
      </c>
      <c r="AG409">
        <v>450</v>
      </c>
      <c r="AQ409">
        <v>1925</v>
      </c>
      <c r="BA409">
        <v>1000</v>
      </c>
      <c r="BK409">
        <v>3450</v>
      </c>
      <c r="BU409">
        <v>1000</v>
      </c>
      <c r="CE409">
        <v>1550</v>
      </c>
      <c r="CO409">
        <v>3750</v>
      </c>
      <c r="CQ409">
        <v>440</v>
      </c>
      <c r="CY409">
        <v>1475</v>
      </c>
      <c r="DK409">
        <v>40</v>
      </c>
      <c r="DS409">
        <v>3575</v>
      </c>
      <c r="DW409">
        <v>400</v>
      </c>
      <c r="EC409">
        <v>1500</v>
      </c>
      <c r="GM409">
        <f t="shared" si="7"/>
        <v>22255</v>
      </c>
    </row>
    <row r="410" spans="1:195" x14ac:dyDescent="0.25">
      <c r="A410" s="4">
        <f>DATE(2023,1,3)</f>
        <v>44929</v>
      </c>
      <c r="B410">
        <v>72784</v>
      </c>
      <c r="W410">
        <v>1700</v>
      </c>
      <c r="AG410">
        <v>450</v>
      </c>
      <c r="AQ410">
        <v>1925</v>
      </c>
      <c r="BA410">
        <v>1000</v>
      </c>
      <c r="BK410">
        <v>3450</v>
      </c>
      <c r="BU410">
        <v>1000</v>
      </c>
      <c r="CE410">
        <v>1550</v>
      </c>
      <c r="CO410">
        <v>3750</v>
      </c>
      <c r="CQ410">
        <v>440</v>
      </c>
      <c r="CY410">
        <v>1475</v>
      </c>
      <c r="DK410">
        <v>40</v>
      </c>
      <c r="DS410">
        <v>3075</v>
      </c>
      <c r="DW410">
        <v>400</v>
      </c>
      <c r="EC410">
        <v>1500</v>
      </c>
      <c r="GM410">
        <f t="shared" si="7"/>
        <v>21755</v>
      </c>
    </row>
    <row r="411" spans="1:195" x14ac:dyDescent="0.25">
      <c r="A411" s="4">
        <f>DATE(2023,1,2)</f>
        <v>44928</v>
      </c>
      <c r="B411">
        <v>72682</v>
      </c>
      <c r="W411">
        <v>1700</v>
      </c>
      <c r="AG411">
        <v>450</v>
      </c>
      <c r="AQ411">
        <v>1925</v>
      </c>
      <c r="BA411">
        <v>1000</v>
      </c>
      <c r="BK411">
        <v>3450</v>
      </c>
      <c r="BU411">
        <v>1000</v>
      </c>
      <c r="CE411">
        <v>1550</v>
      </c>
      <c r="CO411">
        <v>3750</v>
      </c>
      <c r="CQ411">
        <v>440</v>
      </c>
      <c r="CY411">
        <v>1475</v>
      </c>
      <c r="DK411">
        <v>40</v>
      </c>
      <c r="DS411">
        <v>3075</v>
      </c>
      <c r="DW411">
        <v>400</v>
      </c>
      <c r="EC411">
        <v>1500</v>
      </c>
      <c r="GM411">
        <f t="shared" si="7"/>
        <v>21755</v>
      </c>
    </row>
    <row r="412" spans="1:195" x14ac:dyDescent="0.25">
      <c r="GM412">
        <f t="shared" si="7"/>
        <v>0</v>
      </c>
    </row>
    <row r="413" spans="1:195" x14ac:dyDescent="0.25">
      <c r="GM413">
        <f t="shared" si="7"/>
        <v>0</v>
      </c>
    </row>
    <row r="414" spans="1:195" x14ac:dyDescent="0.25">
      <c r="GM414">
        <f t="shared" si="7"/>
        <v>0</v>
      </c>
    </row>
    <row r="415" spans="1:195" x14ac:dyDescent="0.25">
      <c r="GM415">
        <f t="shared" si="7"/>
        <v>0</v>
      </c>
    </row>
    <row r="416" spans="1:195" x14ac:dyDescent="0.25">
      <c r="GM416">
        <f t="shared" si="7"/>
        <v>0</v>
      </c>
    </row>
    <row r="417" spans="195:195" x14ac:dyDescent="0.25">
      <c r="GM417">
        <f t="shared" si="7"/>
        <v>0</v>
      </c>
    </row>
    <row r="418" spans="195:195" x14ac:dyDescent="0.25">
      <c r="GM418">
        <f t="shared" si="7"/>
        <v>0</v>
      </c>
    </row>
    <row r="419" spans="195:195" x14ac:dyDescent="0.25">
      <c r="GM419">
        <f t="shared" si="7"/>
        <v>0</v>
      </c>
    </row>
    <row r="420" spans="195:195" x14ac:dyDescent="0.25">
      <c r="GM420">
        <f t="shared" si="7"/>
        <v>0</v>
      </c>
    </row>
    <row r="421" spans="195:195" x14ac:dyDescent="0.25">
      <c r="GM421">
        <f t="shared" si="7"/>
        <v>0</v>
      </c>
    </row>
    <row r="422" spans="195:195" x14ac:dyDescent="0.25">
      <c r="GM422">
        <f t="shared" si="7"/>
        <v>0</v>
      </c>
    </row>
    <row r="423" spans="195:195" x14ac:dyDescent="0.25">
      <c r="GM423">
        <f t="shared" si="7"/>
        <v>0</v>
      </c>
    </row>
    <row r="424" spans="195:195" x14ac:dyDescent="0.25">
      <c r="GM424">
        <f t="shared" si="7"/>
        <v>0</v>
      </c>
    </row>
    <row r="425" spans="195:195" x14ac:dyDescent="0.25">
      <c r="GM425">
        <f t="shared" si="7"/>
        <v>0</v>
      </c>
    </row>
    <row r="426" spans="195:195" x14ac:dyDescent="0.25">
      <c r="GM426">
        <f t="shared" si="7"/>
        <v>0</v>
      </c>
    </row>
    <row r="427" spans="195:195" x14ac:dyDescent="0.25">
      <c r="GM427">
        <f t="shared" si="7"/>
        <v>0</v>
      </c>
    </row>
    <row r="428" spans="195:195" x14ac:dyDescent="0.25">
      <c r="GM428">
        <f t="shared" si="7"/>
        <v>0</v>
      </c>
    </row>
    <row r="429" spans="195:195" x14ac:dyDescent="0.25">
      <c r="GM429">
        <f t="shared" si="7"/>
        <v>0</v>
      </c>
    </row>
    <row r="430" spans="195:195" x14ac:dyDescent="0.25">
      <c r="GM430">
        <f t="shared" si="7"/>
        <v>0</v>
      </c>
    </row>
    <row r="431" spans="195:195" x14ac:dyDescent="0.25">
      <c r="GM431">
        <f t="shared" si="7"/>
        <v>0</v>
      </c>
    </row>
    <row r="432" spans="195:195" x14ac:dyDescent="0.25">
      <c r="GM432">
        <f t="shared" si="7"/>
        <v>0</v>
      </c>
    </row>
    <row r="433" spans="195:195" x14ac:dyDescent="0.25">
      <c r="GM433">
        <f t="shared" si="7"/>
        <v>0</v>
      </c>
    </row>
    <row r="434" spans="195:195" x14ac:dyDescent="0.25">
      <c r="GM434">
        <f t="shared" si="7"/>
        <v>0</v>
      </c>
    </row>
    <row r="435" spans="195:195" x14ac:dyDescent="0.25">
      <c r="GM435">
        <f t="shared" si="7"/>
        <v>0</v>
      </c>
    </row>
    <row r="436" spans="195:195" x14ac:dyDescent="0.25">
      <c r="GM436">
        <f t="shared" si="7"/>
        <v>0</v>
      </c>
    </row>
    <row r="437" spans="195:195" x14ac:dyDescent="0.25">
      <c r="GM437">
        <f t="shared" si="7"/>
        <v>0</v>
      </c>
    </row>
    <row r="438" spans="195:195" x14ac:dyDescent="0.25">
      <c r="GM438">
        <f t="shared" si="7"/>
        <v>0</v>
      </c>
    </row>
    <row r="439" spans="195:195" x14ac:dyDescent="0.25">
      <c r="GM439">
        <f t="shared" si="7"/>
        <v>0</v>
      </c>
    </row>
    <row r="440" spans="195:195" x14ac:dyDescent="0.25">
      <c r="GM440">
        <f t="shared" si="7"/>
        <v>0</v>
      </c>
    </row>
    <row r="441" spans="195:195" x14ac:dyDescent="0.25">
      <c r="GM441">
        <f t="shared" si="7"/>
        <v>0</v>
      </c>
    </row>
    <row r="442" spans="195:195" x14ac:dyDescent="0.25">
      <c r="GM442">
        <f t="shared" si="7"/>
        <v>0</v>
      </c>
    </row>
    <row r="443" spans="195:195" x14ac:dyDescent="0.25">
      <c r="GM443">
        <f t="shared" si="7"/>
        <v>0</v>
      </c>
    </row>
    <row r="444" spans="195:195" x14ac:dyDescent="0.25">
      <c r="GM444">
        <f t="shared" si="7"/>
        <v>0</v>
      </c>
    </row>
    <row r="445" spans="195:195" x14ac:dyDescent="0.25">
      <c r="GM445">
        <f t="shared" si="7"/>
        <v>0</v>
      </c>
    </row>
    <row r="446" spans="195:195" x14ac:dyDescent="0.25">
      <c r="GM446">
        <f t="shared" si="7"/>
        <v>0</v>
      </c>
    </row>
    <row r="447" spans="195:195" x14ac:dyDescent="0.25">
      <c r="GM447">
        <f t="shared" si="7"/>
        <v>0</v>
      </c>
    </row>
    <row r="448" spans="195:195" x14ac:dyDescent="0.25">
      <c r="GM448">
        <f t="shared" si="7"/>
        <v>0</v>
      </c>
    </row>
    <row r="449" spans="195:195" x14ac:dyDescent="0.25">
      <c r="GM449">
        <f t="shared" si="7"/>
        <v>0</v>
      </c>
    </row>
    <row r="450" spans="195:195" x14ac:dyDescent="0.25">
      <c r="GM450">
        <f t="shared" si="7"/>
        <v>0</v>
      </c>
    </row>
    <row r="451" spans="195:195" x14ac:dyDescent="0.25">
      <c r="GM451">
        <f t="shared" si="7"/>
        <v>0</v>
      </c>
    </row>
    <row r="452" spans="195:195" x14ac:dyDescent="0.25">
      <c r="GM452">
        <f t="shared" si="7"/>
        <v>0</v>
      </c>
    </row>
    <row r="453" spans="195:195" x14ac:dyDescent="0.25">
      <c r="GM453">
        <f t="shared" si="7"/>
        <v>0</v>
      </c>
    </row>
    <row r="454" spans="195:195" x14ac:dyDescent="0.25">
      <c r="GM454">
        <f t="shared" si="7"/>
        <v>0</v>
      </c>
    </row>
    <row r="455" spans="195:195" x14ac:dyDescent="0.25">
      <c r="GM455">
        <f t="shared" si="7"/>
        <v>0</v>
      </c>
    </row>
    <row r="456" spans="195:195" x14ac:dyDescent="0.25">
      <c r="GM456">
        <f t="shared" ref="GM456:GM519" si="8">SUMPRODUCT(C456:GL456)</f>
        <v>0</v>
      </c>
    </row>
    <row r="457" spans="195:195" x14ac:dyDescent="0.25">
      <c r="GM457">
        <f t="shared" si="8"/>
        <v>0</v>
      </c>
    </row>
    <row r="458" spans="195:195" x14ac:dyDescent="0.25">
      <c r="GM458">
        <f t="shared" si="8"/>
        <v>0</v>
      </c>
    </row>
    <row r="459" spans="195:195" x14ac:dyDescent="0.25">
      <c r="GM459">
        <f t="shared" si="8"/>
        <v>0</v>
      </c>
    </row>
    <row r="460" spans="195:195" x14ac:dyDescent="0.25">
      <c r="GM460">
        <f t="shared" si="8"/>
        <v>0</v>
      </c>
    </row>
    <row r="461" spans="195:195" x14ac:dyDescent="0.25">
      <c r="GM461">
        <f t="shared" si="8"/>
        <v>0</v>
      </c>
    </row>
    <row r="462" spans="195:195" x14ac:dyDescent="0.25">
      <c r="GM462">
        <f t="shared" si="8"/>
        <v>0</v>
      </c>
    </row>
    <row r="463" spans="195:195" x14ac:dyDescent="0.25">
      <c r="GM463">
        <f t="shared" si="8"/>
        <v>0</v>
      </c>
    </row>
    <row r="464" spans="195:195" x14ac:dyDescent="0.25">
      <c r="GM464">
        <f t="shared" si="8"/>
        <v>0</v>
      </c>
    </row>
    <row r="465" spans="195:195" x14ac:dyDescent="0.25">
      <c r="GM465">
        <f t="shared" si="8"/>
        <v>0</v>
      </c>
    </row>
    <row r="466" spans="195:195" x14ac:dyDescent="0.25">
      <c r="GM466">
        <f t="shared" si="8"/>
        <v>0</v>
      </c>
    </row>
    <row r="467" spans="195:195" x14ac:dyDescent="0.25">
      <c r="GM467">
        <f t="shared" si="8"/>
        <v>0</v>
      </c>
    </row>
    <row r="468" spans="195:195" x14ac:dyDescent="0.25">
      <c r="GM468">
        <f t="shared" si="8"/>
        <v>0</v>
      </c>
    </row>
    <row r="469" spans="195:195" x14ac:dyDescent="0.25">
      <c r="GM469">
        <f t="shared" si="8"/>
        <v>0</v>
      </c>
    </row>
    <row r="470" spans="195:195" x14ac:dyDescent="0.25">
      <c r="GM470">
        <f t="shared" si="8"/>
        <v>0</v>
      </c>
    </row>
    <row r="471" spans="195:195" x14ac:dyDescent="0.25">
      <c r="GM471">
        <f t="shared" si="8"/>
        <v>0</v>
      </c>
    </row>
    <row r="472" spans="195:195" x14ac:dyDescent="0.25">
      <c r="GM472">
        <f t="shared" si="8"/>
        <v>0</v>
      </c>
    </row>
    <row r="473" spans="195:195" x14ac:dyDescent="0.25">
      <c r="GM473">
        <f t="shared" si="8"/>
        <v>0</v>
      </c>
    </row>
    <row r="474" spans="195:195" x14ac:dyDescent="0.25">
      <c r="GM474">
        <f t="shared" si="8"/>
        <v>0</v>
      </c>
    </row>
    <row r="475" spans="195:195" x14ac:dyDescent="0.25">
      <c r="GM475">
        <f t="shared" si="8"/>
        <v>0</v>
      </c>
    </row>
    <row r="476" spans="195:195" x14ac:dyDescent="0.25">
      <c r="GM476">
        <f t="shared" si="8"/>
        <v>0</v>
      </c>
    </row>
    <row r="477" spans="195:195" x14ac:dyDescent="0.25">
      <c r="GM477">
        <f t="shared" si="8"/>
        <v>0</v>
      </c>
    </row>
    <row r="478" spans="195:195" x14ac:dyDescent="0.25">
      <c r="GM478">
        <f t="shared" si="8"/>
        <v>0</v>
      </c>
    </row>
    <row r="479" spans="195:195" x14ac:dyDescent="0.25">
      <c r="GM479">
        <f t="shared" si="8"/>
        <v>0</v>
      </c>
    </row>
    <row r="480" spans="195:195" x14ac:dyDescent="0.25">
      <c r="GM480">
        <f t="shared" si="8"/>
        <v>0</v>
      </c>
    </row>
    <row r="481" spans="195:195" x14ac:dyDescent="0.25">
      <c r="GM481">
        <f t="shared" si="8"/>
        <v>0</v>
      </c>
    </row>
    <row r="482" spans="195:195" x14ac:dyDescent="0.25">
      <c r="GM482">
        <f t="shared" si="8"/>
        <v>0</v>
      </c>
    </row>
    <row r="483" spans="195:195" x14ac:dyDescent="0.25">
      <c r="GM483">
        <f t="shared" si="8"/>
        <v>0</v>
      </c>
    </row>
    <row r="484" spans="195:195" x14ac:dyDescent="0.25">
      <c r="GM484">
        <f t="shared" si="8"/>
        <v>0</v>
      </c>
    </row>
    <row r="485" spans="195:195" x14ac:dyDescent="0.25">
      <c r="GM485">
        <f t="shared" si="8"/>
        <v>0</v>
      </c>
    </row>
    <row r="486" spans="195:195" x14ac:dyDescent="0.25">
      <c r="GM486">
        <f t="shared" si="8"/>
        <v>0</v>
      </c>
    </row>
    <row r="487" spans="195:195" x14ac:dyDescent="0.25">
      <c r="GM487">
        <f t="shared" si="8"/>
        <v>0</v>
      </c>
    </row>
    <row r="488" spans="195:195" x14ac:dyDescent="0.25">
      <c r="GM488">
        <f t="shared" si="8"/>
        <v>0</v>
      </c>
    </row>
    <row r="489" spans="195:195" x14ac:dyDescent="0.25">
      <c r="GM489">
        <f t="shared" si="8"/>
        <v>0</v>
      </c>
    </row>
    <row r="490" spans="195:195" x14ac:dyDescent="0.25">
      <c r="GM490">
        <f t="shared" si="8"/>
        <v>0</v>
      </c>
    </row>
    <row r="491" spans="195:195" x14ac:dyDescent="0.25">
      <c r="GM491">
        <f t="shared" si="8"/>
        <v>0</v>
      </c>
    </row>
    <row r="492" spans="195:195" x14ac:dyDescent="0.25">
      <c r="GM492">
        <f t="shared" si="8"/>
        <v>0</v>
      </c>
    </row>
    <row r="493" spans="195:195" x14ac:dyDescent="0.25">
      <c r="GM493">
        <f t="shared" si="8"/>
        <v>0</v>
      </c>
    </row>
    <row r="494" spans="195:195" x14ac:dyDescent="0.25">
      <c r="GM494">
        <f t="shared" si="8"/>
        <v>0</v>
      </c>
    </row>
    <row r="495" spans="195:195" x14ac:dyDescent="0.25">
      <c r="GM495">
        <f t="shared" si="8"/>
        <v>0</v>
      </c>
    </row>
    <row r="496" spans="195:195" x14ac:dyDescent="0.25">
      <c r="GM496">
        <f t="shared" si="8"/>
        <v>0</v>
      </c>
    </row>
    <row r="497" spans="195:195" x14ac:dyDescent="0.25">
      <c r="GM497">
        <f t="shared" si="8"/>
        <v>0</v>
      </c>
    </row>
    <row r="498" spans="195:195" x14ac:dyDescent="0.25">
      <c r="GM498">
        <f t="shared" si="8"/>
        <v>0</v>
      </c>
    </row>
    <row r="499" spans="195:195" x14ac:dyDescent="0.25">
      <c r="GM499">
        <f t="shared" si="8"/>
        <v>0</v>
      </c>
    </row>
    <row r="500" spans="195:195" x14ac:dyDescent="0.25">
      <c r="GM500">
        <f t="shared" si="8"/>
        <v>0</v>
      </c>
    </row>
    <row r="501" spans="195:195" x14ac:dyDescent="0.25">
      <c r="GM501">
        <f t="shared" si="8"/>
        <v>0</v>
      </c>
    </row>
    <row r="502" spans="195:195" x14ac:dyDescent="0.25">
      <c r="GM502">
        <f t="shared" si="8"/>
        <v>0</v>
      </c>
    </row>
    <row r="503" spans="195:195" x14ac:dyDescent="0.25">
      <c r="GM503">
        <f t="shared" si="8"/>
        <v>0</v>
      </c>
    </row>
    <row r="504" spans="195:195" x14ac:dyDescent="0.25">
      <c r="GM504">
        <f t="shared" si="8"/>
        <v>0</v>
      </c>
    </row>
    <row r="505" spans="195:195" x14ac:dyDescent="0.25">
      <c r="GM505">
        <f t="shared" si="8"/>
        <v>0</v>
      </c>
    </row>
    <row r="506" spans="195:195" x14ac:dyDescent="0.25">
      <c r="GM506">
        <f t="shared" si="8"/>
        <v>0</v>
      </c>
    </row>
    <row r="507" spans="195:195" x14ac:dyDescent="0.25">
      <c r="GM507">
        <f t="shared" si="8"/>
        <v>0</v>
      </c>
    </row>
    <row r="508" spans="195:195" x14ac:dyDescent="0.25">
      <c r="GM508">
        <f t="shared" si="8"/>
        <v>0</v>
      </c>
    </row>
    <row r="509" spans="195:195" x14ac:dyDescent="0.25">
      <c r="GM509">
        <f t="shared" si="8"/>
        <v>0</v>
      </c>
    </row>
    <row r="510" spans="195:195" x14ac:dyDescent="0.25">
      <c r="GM510">
        <f t="shared" si="8"/>
        <v>0</v>
      </c>
    </row>
    <row r="511" spans="195:195" x14ac:dyDescent="0.25">
      <c r="GM511">
        <f t="shared" si="8"/>
        <v>0</v>
      </c>
    </row>
    <row r="512" spans="195:195" x14ac:dyDescent="0.25">
      <c r="GM512">
        <f t="shared" si="8"/>
        <v>0</v>
      </c>
    </row>
    <row r="513" spans="195:195" x14ac:dyDescent="0.25">
      <c r="GM513">
        <f t="shared" si="8"/>
        <v>0</v>
      </c>
    </row>
    <row r="514" spans="195:195" x14ac:dyDescent="0.25">
      <c r="GM514">
        <f t="shared" si="8"/>
        <v>0</v>
      </c>
    </row>
    <row r="515" spans="195:195" x14ac:dyDescent="0.25">
      <c r="GM515">
        <f t="shared" si="8"/>
        <v>0</v>
      </c>
    </row>
    <row r="516" spans="195:195" x14ac:dyDescent="0.25">
      <c r="GM516">
        <f t="shared" si="8"/>
        <v>0</v>
      </c>
    </row>
    <row r="517" spans="195:195" x14ac:dyDescent="0.25">
      <c r="GM517">
        <f t="shared" si="8"/>
        <v>0</v>
      </c>
    </row>
    <row r="518" spans="195:195" x14ac:dyDescent="0.25">
      <c r="GM518">
        <f t="shared" si="8"/>
        <v>0</v>
      </c>
    </row>
    <row r="519" spans="195:195" x14ac:dyDescent="0.25">
      <c r="GM519">
        <f t="shared" si="8"/>
        <v>0</v>
      </c>
    </row>
    <row r="520" spans="195:195" x14ac:dyDescent="0.25">
      <c r="GM520">
        <f t="shared" ref="GM520:GM583" si="9">SUMPRODUCT(C520:GL520)</f>
        <v>0</v>
      </c>
    </row>
    <row r="521" spans="195:195" x14ac:dyDescent="0.25">
      <c r="GM521">
        <f t="shared" si="9"/>
        <v>0</v>
      </c>
    </row>
    <row r="522" spans="195:195" x14ac:dyDescent="0.25">
      <c r="GM522">
        <f t="shared" si="9"/>
        <v>0</v>
      </c>
    </row>
    <row r="523" spans="195:195" x14ac:dyDescent="0.25">
      <c r="GM523">
        <f t="shared" si="9"/>
        <v>0</v>
      </c>
    </row>
    <row r="524" spans="195:195" x14ac:dyDescent="0.25">
      <c r="GM524">
        <f t="shared" si="9"/>
        <v>0</v>
      </c>
    </row>
    <row r="525" spans="195:195" x14ac:dyDescent="0.25">
      <c r="GM525">
        <f t="shared" si="9"/>
        <v>0</v>
      </c>
    </row>
    <row r="526" spans="195:195" x14ac:dyDescent="0.25">
      <c r="GM526">
        <f t="shared" si="9"/>
        <v>0</v>
      </c>
    </row>
    <row r="527" spans="195:195" x14ac:dyDescent="0.25">
      <c r="GM527">
        <f t="shared" si="9"/>
        <v>0</v>
      </c>
    </row>
    <row r="528" spans="195:195" x14ac:dyDescent="0.25">
      <c r="GM528">
        <f t="shared" si="9"/>
        <v>0</v>
      </c>
    </row>
    <row r="529" spans="195:195" x14ac:dyDescent="0.25">
      <c r="GM529">
        <f t="shared" si="9"/>
        <v>0</v>
      </c>
    </row>
    <row r="530" spans="195:195" x14ac:dyDescent="0.25">
      <c r="GM530">
        <f t="shared" si="9"/>
        <v>0</v>
      </c>
    </row>
    <row r="531" spans="195:195" x14ac:dyDescent="0.25">
      <c r="GM531">
        <f t="shared" si="9"/>
        <v>0</v>
      </c>
    </row>
    <row r="532" spans="195:195" x14ac:dyDescent="0.25">
      <c r="GM532">
        <f t="shared" si="9"/>
        <v>0</v>
      </c>
    </row>
    <row r="533" spans="195:195" x14ac:dyDescent="0.25">
      <c r="GM533">
        <f t="shared" si="9"/>
        <v>0</v>
      </c>
    </row>
    <row r="534" spans="195:195" x14ac:dyDescent="0.25">
      <c r="GM534">
        <f t="shared" si="9"/>
        <v>0</v>
      </c>
    </row>
    <row r="535" spans="195:195" x14ac:dyDescent="0.25">
      <c r="GM535">
        <f t="shared" si="9"/>
        <v>0</v>
      </c>
    </row>
    <row r="536" spans="195:195" x14ac:dyDescent="0.25">
      <c r="GM536">
        <f t="shared" si="9"/>
        <v>0</v>
      </c>
    </row>
    <row r="537" spans="195:195" x14ac:dyDescent="0.25">
      <c r="GM537">
        <f t="shared" si="9"/>
        <v>0</v>
      </c>
    </row>
    <row r="538" spans="195:195" x14ac:dyDescent="0.25">
      <c r="GM538">
        <f t="shared" si="9"/>
        <v>0</v>
      </c>
    </row>
    <row r="539" spans="195:195" x14ac:dyDescent="0.25">
      <c r="GM539">
        <f t="shared" si="9"/>
        <v>0</v>
      </c>
    </row>
    <row r="540" spans="195:195" x14ac:dyDescent="0.25">
      <c r="GM540">
        <f t="shared" si="9"/>
        <v>0</v>
      </c>
    </row>
    <row r="541" spans="195:195" x14ac:dyDescent="0.25">
      <c r="GM541">
        <f t="shared" si="9"/>
        <v>0</v>
      </c>
    </row>
    <row r="542" spans="195:195" x14ac:dyDescent="0.25">
      <c r="GM542">
        <f t="shared" si="9"/>
        <v>0</v>
      </c>
    </row>
    <row r="543" spans="195:195" x14ac:dyDescent="0.25">
      <c r="GM543">
        <f t="shared" si="9"/>
        <v>0</v>
      </c>
    </row>
    <row r="544" spans="195:195" x14ac:dyDescent="0.25">
      <c r="GM544">
        <f t="shared" si="9"/>
        <v>0</v>
      </c>
    </row>
    <row r="545" spans="195:195" x14ac:dyDescent="0.25">
      <c r="GM545">
        <f t="shared" si="9"/>
        <v>0</v>
      </c>
    </row>
    <row r="546" spans="195:195" x14ac:dyDescent="0.25">
      <c r="GM546">
        <f t="shared" si="9"/>
        <v>0</v>
      </c>
    </row>
    <row r="547" spans="195:195" x14ac:dyDescent="0.25">
      <c r="GM547">
        <f t="shared" si="9"/>
        <v>0</v>
      </c>
    </row>
    <row r="548" spans="195:195" x14ac:dyDescent="0.25">
      <c r="GM548">
        <f t="shared" si="9"/>
        <v>0</v>
      </c>
    </row>
    <row r="549" spans="195:195" x14ac:dyDescent="0.25">
      <c r="GM549">
        <f t="shared" si="9"/>
        <v>0</v>
      </c>
    </row>
    <row r="550" spans="195:195" x14ac:dyDescent="0.25">
      <c r="GM550">
        <f t="shared" si="9"/>
        <v>0</v>
      </c>
    </row>
    <row r="551" spans="195:195" x14ac:dyDescent="0.25">
      <c r="GM551">
        <f t="shared" si="9"/>
        <v>0</v>
      </c>
    </row>
    <row r="552" spans="195:195" x14ac:dyDescent="0.25">
      <c r="GM552">
        <f t="shared" si="9"/>
        <v>0</v>
      </c>
    </row>
    <row r="553" spans="195:195" x14ac:dyDescent="0.25">
      <c r="GM553">
        <f t="shared" si="9"/>
        <v>0</v>
      </c>
    </row>
    <row r="554" spans="195:195" x14ac:dyDescent="0.25">
      <c r="GM554">
        <f t="shared" si="9"/>
        <v>0</v>
      </c>
    </row>
    <row r="555" spans="195:195" x14ac:dyDescent="0.25">
      <c r="GM555">
        <f t="shared" si="9"/>
        <v>0</v>
      </c>
    </row>
    <row r="556" spans="195:195" x14ac:dyDescent="0.25">
      <c r="GM556">
        <f t="shared" si="9"/>
        <v>0</v>
      </c>
    </row>
    <row r="557" spans="195:195" x14ac:dyDescent="0.25">
      <c r="GM557">
        <f t="shared" si="9"/>
        <v>0</v>
      </c>
    </row>
    <row r="558" spans="195:195" x14ac:dyDescent="0.25">
      <c r="GM558">
        <f t="shared" si="9"/>
        <v>0</v>
      </c>
    </row>
    <row r="559" spans="195:195" x14ac:dyDescent="0.25">
      <c r="GM559">
        <f t="shared" si="9"/>
        <v>0</v>
      </c>
    </row>
    <row r="560" spans="195:195" x14ac:dyDescent="0.25">
      <c r="GM560">
        <f t="shared" si="9"/>
        <v>0</v>
      </c>
    </row>
    <row r="561" spans="195:195" x14ac:dyDescent="0.25">
      <c r="GM561">
        <f t="shared" si="9"/>
        <v>0</v>
      </c>
    </row>
    <row r="562" spans="195:195" x14ac:dyDescent="0.25">
      <c r="GM562">
        <f t="shared" si="9"/>
        <v>0</v>
      </c>
    </row>
    <row r="563" spans="195:195" x14ac:dyDescent="0.25">
      <c r="GM563">
        <f t="shared" si="9"/>
        <v>0</v>
      </c>
    </row>
    <row r="564" spans="195:195" x14ac:dyDescent="0.25">
      <c r="GM564">
        <f t="shared" si="9"/>
        <v>0</v>
      </c>
    </row>
    <row r="565" spans="195:195" x14ac:dyDescent="0.25">
      <c r="GM565">
        <f t="shared" si="9"/>
        <v>0</v>
      </c>
    </row>
    <row r="566" spans="195:195" x14ac:dyDescent="0.25">
      <c r="GM566">
        <f t="shared" si="9"/>
        <v>0</v>
      </c>
    </row>
    <row r="567" spans="195:195" x14ac:dyDescent="0.25">
      <c r="GM567">
        <f t="shared" si="9"/>
        <v>0</v>
      </c>
    </row>
    <row r="568" spans="195:195" x14ac:dyDescent="0.25">
      <c r="GM568">
        <f t="shared" si="9"/>
        <v>0</v>
      </c>
    </row>
    <row r="569" spans="195:195" x14ac:dyDescent="0.25">
      <c r="GM569">
        <f t="shared" si="9"/>
        <v>0</v>
      </c>
    </row>
    <row r="570" spans="195:195" x14ac:dyDescent="0.25">
      <c r="GM570">
        <f t="shared" si="9"/>
        <v>0</v>
      </c>
    </row>
    <row r="571" spans="195:195" x14ac:dyDescent="0.25">
      <c r="GM571">
        <f t="shared" si="9"/>
        <v>0</v>
      </c>
    </row>
    <row r="572" spans="195:195" x14ac:dyDescent="0.25">
      <c r="GM572">
        <f t="shared" si="9"/>
        <v>0</v>
      </c>
    </row>
    <row r="573" spans="195:195" x14ac:dyDescent="0.25">
      <c r="GM573">
        <f t="shared" si="9"/>
        <v>0</v>
      </c>
    </row>
    <row r="574" spans="195:195" x14ac:dyDescent="0.25">
      <c r="GM574">
        <f t="shared" si="9"/>
        <v>0</v>
      </c>
    </row>
    <row r="575" spans="195:195" x14ac:dyDescent="0.25">
      <c r="GM575">
        <f t="shared" si="9"/>
        <v>0</v>
      </c>
    </row>
    <row r="576" spans="195:195" x14ac:dyDescent="0.25">
      <c r="GM576">
        <f t="shared" si="9"/>
        <v>0</v>
      </c>
    </row>
    <row r="577" spans="195:195" x14ac:dyDescent="0.25">
      <c r="GM577">
        <f t="shared" si="9"/>
        <v>0</v>
      </c>
    </row>
    <row r="578" spans="195:195" x14ac:dyDescent="0.25">
      <c r="GM578">
        <f t="shared" si="9"/>
        <v>0</v>
      </c>
    </row>
    <row r="579" spans="195:195" x14ac:dyDescent="0.25">
      <c r="GM579">
        <f t="shared" si="9"/>
        <v>0</v>
      </c>
    </row>
    <row r="580" spans="195:195" x14ac:dyDescent="0.25">
      <c r="GM580">
        <f t="shared" si="9"/>
        <v>0</v>
      </c>
    </row>
    <row r="581" spans="195:195" x14ac:dyDescent="0.25">
      <c r="GM581">
        <f t="shared" si="9"/>
        <v>0</v>
      </c>
    </row>
    <row r="582" spans="195:195" x14ac:dyDescent="0.25">
      <c r="GM582">
        <f t="shared" si="9"/>
        <v>0</v>
      </c>
    </row>
    <row r="583" spans="195:195" x14ac:dyDescent="0.25">
      <c r="GM583">
        <f t="shared" si="9"/>
        <v>0</v>
      </c>
    </row>
    <row r="584" spans="195:195" x14ac:dyDescent="0.25">
      <c r="GM584">
        <f t="shared" ref="GM584:GM623" si="10">SUMPRODUCT(C584:GL584)</f>
        <v>0</v>
      </c>
    </row>
    <row r="585" spans="195:195" x14ac:dyDescent="0.25">
      <c r="GM585">
        <f t="shared" si="10"/>
        <v>0</v>
      </c>
    </row>
    <row r="586" spans="195:195" x14ac:dyDescent="0.25">
      <c r="GM586">
        <f t="shared" si="10"/>
        <v>0</v>
      </c>
    </row>
    <row r="587" spans="195:195" x14ac:dyDescent="0.25">
      <c r="GM587">
        <f t="shared" si="10"/>
        <v>0</v>
      </c>
    </row>
    <row r="588" spans="195:195" x14ac:dyDescent="0.25">
      <c r="GM588">
        <f t="shared" si="10"/>
        <v>0</v>
      </c>
    </row>
    <row r="589" spans="195:195" x14ac:dyDescent="0.25">
      <c r="GM589">
        <f t="shared" si="10"/>
        <v>0</v>
      </c>
    </row>
    <row r="590" spans="195:195" x14ac:dyDescent="0.25">
      <c r="GM590">
        <f t="shared" si="10"/>
        <v>0</v>
      </c>
    </row>
    <row r="591" spans="195:195" x14ac:dyDescent="0.25">
      <c r="GM591">
        <f t="shared" si="10"/>
        <v>0</v>
      </c>
    </row>
    <row r="592" spans="195:195" x14ac:dyDescent="0.25">
      <c r="GM592">
        <f t="shared" si="10"/>
        <v>0</v>
      </c>
    </row>
    <row r="593" spans="195:195" x14ac:dyDescent="0.25">
      <c r="GM593">
        <f t="shared" si="10"/>
        <v>0</v>
      </c>
    </row>
    <row r="594" spans="195:195" x14ac:dyDescent="0.25">
      <c r="GM594">
        <f t="shared" si="10"/>
        <v>0</v>
      </c>
    </row>
    <row r="595" spans="195:195" x14ac:dyDescent="0.25">
      <c r="GM595">
        <f t="shared" si="10"/>
        <v>0</v>
      </c>
    </row>
    <row r="596" spans="195:195" x14ac:dyDescent="0.25">
      <c r="GM596">
        <f t="shared" si="10"/>
        <v>0</v>
      </c>
    </row>
    <row r="597" spans="195:195" x14ac:dyDescent="0.25">
      <c r="GM597">
        <f t="shared" si="10"/>
        <v>0</v>
      </c>
    </row>
    <row r="598" spans="195:195" x14ac:dyDescent="0.25">
      <c r="GM598">
        <f t="shared" si="10"/>
        <v>0</v>
      </c>
    </row>
    <row r="599" spans="195:195" x14ac:dyDescent="0.25">
      <c r="GM599">
        <f t="shared" si="10"/>
        <v>0</v>
      </c>
    </row>
    <row r="600" spans="195:195" x14ac:dyDescent="0.25">
      <c r="GM600">
        <f t="shared" si="10"/>
        <v>0</v>
      </c>
    </row>
    <row r="601" spans="195:195" x14ac:dyDescent="0.25">
      <c r="GM601">
        <f t="shared" si="10"/>
        <v>0</v>
      </c>
    </row>
    <row r="602" spans="195:195" x14ac:dyDescent="0.25">
      <c r="GM602">
        <f t="shared" si="10"/>
        <v>0</v>
      </c>
    </row>
    <row r="603" spans="195:195" x14ac:dyDescent="0.25">
      <c r="GM603">
        <f t="shared" si="10"/>
        <v>0</v>
      </c>
    </row>
    <row r="604" spans="195:195" x14ac:dyDescent="0.25">
      <c r="GM604">
        <f t="shared" si="10"/>
        <v>0</v>
      </c>
    </row>
    <row r="605" spans="195:195" x14ac:dyDescent="0.25">
      <c r="GM605">
        <f t="shared" si="10"/>
        <v>0</v>
      </c>
    </row>
    <row r="606" spans="195:195" x14ac:dyDescent="0.25">
      <c r="GM606">
        <f t="shared" si="10"/>
        <v>0</v>
      </c>
    </row>
    <row r="607" spans="195:195" x14ac:dyDescent="0.25">
      <c r="GM607">
        <f t="shared" si="10"/>
        <v>0</v>
      </c>
    </row>
    <row r="608" spans="195:195" x14ac:dyDescent="0.25">
      <c r="GM608">
        <f t="shared" si="10"/>
        <v>0</v>
      </c>
    </row>
    <row r="609" spans="195:195" x14ac:dyDescent="0.25">
      <c r="GM609">
        <f t="shared" si="10"/>
        <v>0</v>
      </c>
    </row>
    <row r="610" spans="195:195" x14ac:dyDescent="0.25">
      <c r="GM610">
        <f t="shared" si="10"/>
        <v>0</v>
      </c>
    </row>
    <row r="611" spans="195:195" x14ac:dyDescent="0.25">
      <c r="GM611">
        <f t="shared" si="10"/>
        <v>0</v>
      </c>
    </row>
    <row r="612" spans="195:195" x14ac:dyDescent="0.25">
      <c r="GM612">
        <f t="shared" si="10"/>
        <v>0</v>
      </c>
    </row>
    <row r="613" spans="195:195" x14ac:dyDescent="0.25">
      <c r="GM613">
        <f t="shared" si="10"/>
        <v>0</v>
      </c>
    </row>
    <row r="614" spans="195:195" x14ac:dyDescent="0.25">
      <c r="GM614">
        <f t="shared" si="10"/>
        <v>0</v>
      </c>
    </row>
    <row r="615" spans="195:195" x14ac:dyDescent="0.25">
      <c r="GM615">
        <f t="shared" si="10"/>
        <v>0</v>
      </c>
    </row>
    <row r="616" spans="195:195" x14ac:dyDescent="0.25">
      <c r="GM616">
        <f t="shared" si="10"/>
        <v>0</v>
      </c>
    </row>
    <row r="617" spans="195:195" x14ac:dyDescent="0.25">
      <c r="GM617">
        <f t="shared" si="10"/>
        <v>0</v>
      </c>
    </row>
    <row r="618" spans="195:195" x14ac:dyDescent="0.25">
      <c r="GM618">
        <f t="shared" si="10"/>
        <v>0</v>
      </c>
    </row>
    <row r="619" spans="195:195" x14ac:dyDescent="0.25">
      <c r="GM619">
        <f t="shared" si="10"/>
        <v>0</v>
      </c>
    </row>
    <row r="620" spans="195:195" x14ac:dyDescent="0.25">
      <c r="GM620">
        <f t="shared" si="10"/>
        <v>0</v>
      </c>
    </row>
    <row r="621" spans="195:195" x14ac:dyDescent="0.25">
      <c r="GM621">
        <f t="shared" si="10"/>
        <v>0</v>
      </c>
    </row>
    <row r="622" spans="195:195" x14ac:dyDescent="0.25">
      <c r="GM622">
        <f t="shared" si="10"/>
        <v>0</v>
      </c>
    </row>
    <row r="623" spans="195:195" x14ac:dyDescent="0.25">
      <c r="GM623">
        <f t="shared" si="1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AC40-C697-4F3D-8EBB-C52E13ED5CD7}">
  <dimension ref="A1:GL89"/>
  <sheetViews>
    <sheetView workbookViewId="0">
      <selection activeCell="A4" sqref="A4:XFD4"/>
    </sheetView>
  </sheetViews>
  <sheetFormatPr defaultRowHeight="15" x14ac:dyDescent="0.25"/>
  <cols>
    <col min="1" max="1" width="16.85546875" customWidth="1"/>
    <col min="2" max="2" width="13" customWidth="1"/>
    <col min="3" max="3" width="23.85546875" customWidth="1"/>
    <col min="4" max="4" width="18.28515625" customWidth="1"/>
    <col min="5" max="5" width="23.85546875" customWidth="1"/>
    <col min="6" max="9" width="8.85546875" customWidth="1"/>
    <col min="10" max="10" width="25.7109375" customWidth="1"/>
    <col min="11" max="104" width="8.85546875" customWidth="1"/>
    <col min="105" max="105" width="14" customWidth="1"/>
    <col min="106" max="124" width="8.85546875" customWidth="1"/>
    <col min="125" max="125" width="16.28515625" customWidth="1"/>
    <col min="126" max="126" width="17.5703125" customWidth="1"/>
    <col min="127" max="134" width="8.85546875" customWidth="1"/>
    <col min="135" max="135" width="20.28515625" customWidth="1"/>
    <col min="136" max="192" width="8.85546875" customWidth="1"/>
    <col min="193" max="193" width="25.7109375" customWidth="1"/>
    <col min="194" max="194" width="8.85546875" customWidth="1"/>
  </cols>
  <sheetData>
    <row r="1" spans="1:194" x14ac:dyDescent="0.25">
      <c r="A1" t="str">
        <f>_xll.ICESeries(B1:GK1,B2:GK2,,DATE(2022,12,1),DATE(2023,3,30),,"DayOfWeek=12345")</f>
        <v>Time Series</v>
      </c>
      <c r="B1" t="s">
        <v>461</v>
      </c>
      <c r="C1" t="s">
        <v>2029</v>
      </c>
      <c r="D1" t="s">
        <v>2030</v>
      </c>
      <c r="E1" t="s">
        <v>2031</v>
      </c>
      <c r="F1" t="s">
        <v>2032</v>
      </c>
      <c r="G1" t="s">
        <v>2033</v>
      </c>
      <c r="H1" t="s">
        <v>2034</v>
      </c>
      <c r="I1" t="s">
        <v>2035</v>
      </c>
      <c r="J1" t="s">
        <v>2036</v>
      </c>
      <c r="K1" t="s">
        <v>2037</v>
      </c>
      <c r="L1" t="s">
        <v>2038</v>
      </c>
      <c r="M1" t="s">
        <v>2039</v>
      </c>
      <c r="N1" t="s">
        <v>2040</v>
      </c>
      <c r="O1" t="s">
        <v>2041</v>
      </c>
      <c r="P1" t="s">
        <v>2042</v>
      </c>
      <c r="Q1" t="s">
        <v>2043</v>
      </c>
      <c r="R1" t="s">
        <v>2044</v>
      </c>
      <c r="S1" t="s">
        <v>2045</v>
      </c>
      <c r="T1" t="s">
        <v>2046</v>
      </c>
      <c r="U1" t="s">
        <v>2047</v>
      </c>
      <c r="V1" t="s">
        <v>2048</v>
      </c>
      <c r="W1" t="s">
        <v>2049</v>
      </c>
      <c r="X1" t="s">
        <v>2050</v>
      </c>
      <c r="Y1" t="s">
        <v>2051</v>
      </c>
      <c r="Z1" t="s">
        <v>2052</v>
      </c>
      <c r="AA1" t="s">
        <v>2053</v>
      </c>
      <c r="AB1" t="s">
        <v>2054</v>
      </c>
      <c r="AC1" t="s">
        <v>2055</v>
      </c>
      <c r="AD1" t="s">
        <v>2056</v>
      </c>
      <c r="AE1" t="s">
        <v>2057</v>
      </c>
      <c r="AF1" t="s">
        <v>2058</v>
      </c>
      <c r="AG1" t="s">
        <v>2059</v>
      </c>
      <c r="AH1" t="s">
        <v>2060</v>
      </c>
      <c r="AI1" t="s">
        <v>2061</v>
      </c>
      <c r="AJ1" t="s">
        <v>2062</v>
      </c>
      <c r="AK1" t="s">
        <v>2063</v>
      </c>
      <c r="AL1" t="s">
        <v>2064</v>
      </c>
      <c r="AM1" t="s">
        <v>2065</v>
      </c>
      <c r="AN1" t="s">
        <v>2066</v>
      </c>
      <c r="AO1" t="s">
        <v>2067</v>
      </c>
      <c r="AP1" t="s">
        <v>2068</v>
      </c>
      <c r="AQ1" t="s">
        <v>2069</v>
      </c>
      <c r="AR1" t="s">
        <v>2070</v>
      </c>
      <c r="AS1" t="s">
        <v>2071</v>
      </c>
      <c r="AT1" t="s">
        <v>2072</v>
      </c>
      <c r="AU1" t="s">
        <v>2073</v>
      </c>
      <c r="AV1" t="s">
        <v>2074</v>
      </c>
      <c r="AW1" t="s">
        <v>2075</v>
      </c>
      <c r="AX1" t="s">
        <v>2076</v>
      </c>
      <c r="AY1" t="s">
        <v>2077</v>
      </c>
      <c r="AZ1" t="s">
        <v>2078</v>
      </c>
      <c r="BA1" t="s">
        <v>2079</v>
      </c>
      <c r="BB1" t="s">
        <v>2080</v>
      </c>
      <c r="BC1" t="s">
        <v>2081</v>
      </c>
      <c r="BD1" t="s">
        <v>2082</v>
      </c>
      <c r="BE1" t="s">
        <v>2083</v>
      </c>
      <c r="BF1" t="s">
        <v>2084</v>
      </c>
      <c r="BG1" t="s">
        <v>2085</v>
      </c>
      <c r="BH1" t="s">
        <v>2086</v>
      </c>
      <c r="BI1" t="s">
        <v>2087</v>
      </c>
      <c r="BJ1" t="s">
        <v>2088</v>
      </c>
      <c r="BK1" t="s">
        <v>2089</v>
      </c>
      <c r="BL1" t="s">
        <v>2090</v>
      </c>
      <c r="BM1" t="s">
        <v>2091</v>
      </c>
      <c r="BN1" t="s">
        <v>2092</v>
      </c>
      <c r="BO1" t="s">
        <v>2093</v>
      </c>
      <c r="BP1" t="s">
        <v>2094</v>
      </c>
      <c r="BQ1" t="s">
        <v>2095</v>
      </c>
      <c r="BR1" t="s">
        <v>2096</v>
      </c>
      <c r="BS1" t="s">
        <v>2097</v>
      </c>
      <c r="BT1" t="s">
        <v>2098</v>
      </c>
      <c r="BU1" t="s">
        <v>2099</v>
      </c>
      <c r="BV1" t="s">
        <v>2100</v>
      </c>
      <c r="BW1" t="s">
        <v>2101</v>
      </c>
      <c r="BX1" t="s">
        <v>2102</v>
      </c>
      <c r="BY1" t="s">
        <v>2103</v>
      </c>
      <c r="BZ1" t="s">
        <v>2104</v>
      </c>
      <c r="CA1" t="s">
        <v>2105</v>
      </c>
      <c r="CB1" t="s">
        <v>2106</v>
      </c>
      <c r="CC1" t="s">
        <v>2107</v>
      </c>
      <c r="CD1" t="s">
        <v>2108</v>
      </c>
      <c r="CE1" t="s">
        <v>2109</v>
      </c>
      <c r="CF1" t="s">
        <v>2110</v>
      </c>
      <c r="CG1" t="s">
        <v>2111</v>
      </c>
      <c r="CH1" t="s">
        <v>2112</v>
      </c>
      <c r="CI1" t="s">
        <v>2113</v>
      </c>
      <c r="CJ1" t="s">
        <v>2114</v>
      </c>
      <c r="CK1" t="s">
        <v>2115</v>
      </c>
      <c r="CL1" t="s">
        <v>2116</v>
      </c>
      <c r="CM1" t="s">
        <v>2117</v>
      </c>
      <c r="CN1" t="s">
        <v>2118</v>
      </c>
      <c r="CO1" t="s">
        <v>2119</v>
      </c>
      <c r="CP1" t="s">
        <v>2120</v>
      </c>
      <c r="CQ1" t="s">
        <v>2121</v>
      </c>
      <c r="CR1" t="s">
        <v>2122</v>
      </c>
      <c r="CS1" t="s">
        <v>2123</v>
      </c>
      <c r="CT1" t="s">
        <v>2124</v>
      </c>
      <c r="CU1" t="s">
        <v>2125</v>
      </c>
      <c r="CV1" t="s">
        <v>2126</v>
      </c>
      <c r="CW1" t="s">
        <v>2127</v>
      </c>
      <c r="CX1" t="s">
        <v>2128</v>
      </c>
      <c r="CY1" t="s">
        <v>2129</v>
      </c>
      <c r="CZ1" t="s">
        <v>2130</v>
      </c>
      <c r="DA1" t="s">
        <v>2131</v>
      </c>
      <c r="DB1" t="s">
        <v>2132</v>
      </c>
      <c r="DC1" t="s">
        <v>2133</v>
      </c>
      <c r="DD1" t="s">
        <v>2134</v>
      </c>
      <c r="DE1" t="s">
        <v>2135</v>
      </c>
      <c r="DF1" t="s">
        <v>2136</v>
      </c>
      <c r="DG1" t="s">
        <v>2137</v>
      </c>
      <c r="DH1" t="s">
        <v>2138</v>
      </c>
      <c r="DI1" t="s">
        <v>2139</v>
      </c>
      <c r="DJ1" t="s">
        <v>2140</v>
      </c>
      <c r="DK1" t="s">
        <v>2141</v>
      </c>
      <c r="DL1" t="s">
        <v>2142</v>
      </c>
      <c r="DM1" t="s">
        <v>2143</v>
      </c>
      <c r="DN1" t="s">
        <v>2144</v>
      </c>
      <c r="DO1" t="s">
        <v>2145</v>
      </c>
      <c r="DP1" t="s">
        <v>2146</v>
      </c>
      <c r="DQ1" t="s">
        <v>2147</v>
      </c>
      <c r="DR1" t="s">
        <v>2148</v>
      </c>
      <c r="DS1" t="s">
        <v>2149</v>
      </c>
      <c r="DT1" t="s">
        <v>2150</v>
      </c>
      <c r="DU1" t="s">
        <v>2151</v>
      </c>
      <c r="DV1" t="s">
        <v>2152</v>
      </c>
      <c r="DW1" t="s">
        <v>2153</v>
      </c>
      <c r="DX1" t="s">
        <v>2154</v>
      </c>
      <c r="DY1" t="s">
        <v>2155</v>
      </c>
      <c r="DZ1" t="s">
        <v>2156</v>
      </c>
      <c r="EA1" t="s">
        <v>2157</v>
      </c>
      <c r="EB1" t="s">
        <v>2158</v>
      </c>
      <c r="EC1" t="s">
        <v>2159</v>
      </c>
      <c r="ED1" t="s">
        <v>2160</v>
      </c>
      <c r="EE1" t="s">
        <v>2161</v>
      </c>
      <c r="EF1" t="s">
        <v>2162</v>
      </c>
      <c r="EG1" t="s">
        <v>2163</v>
      </c>
      <c r="EH1" t="s">
        <v>2164</v>
      </c>
      <c r="EI1" t="s">
        <v>2165</v>
      </c>
      <c r="EJ1" t="s">
        <v>2166</v>
      </c>
      <c r="EK1" t="s">
        <v>2167</v>
      </c>
      <c r="EL1" t="s">
        <v>2168</v>
      </c>
      <c r="EM1" t="s">
        <v>2169</v>
      </c>
      <c r="EN1" t="s">
        <v>2170</v>
      </c>
      <c r="EO1" t="s">
        <v>2171</v>
      </c>
      <c r="EP1" t="s">
        <v>2172</v>
      </c>
      <c r="EQ1" t="s">
        <v>2173</v>
      </c>
      <c r="ER1" t="s">
        <v>2174</v>
      </c>
      <c r="ES1" t="s">
        <v>2175</v>
      </c>
      <c r="ET1" t="s">
        <v>2176</v>
      </c>
      <c r="EU1" t="s">
        <v>2177</v>
      </c>
      <c r="EV1" t="s">
        <v>2178</v>
      </c>
      <c r="EW1" t="s">
        <v>2179</v>
      </c>
      <c r="EX1" t="s">
        <v>2180</v>
      </c>
      <c r="EY1" t="s">
        <v>2181</v>
      </c>
      <c r="EZ1" t="s">
        <v>2182</v>
      </c>
      <c r="FA1" t="s">
        <v>2183</v>
      </c>
      <c r="FB1" t="s">
        <v>2184</v>
      </c>
      <c r="FC1" t="s">
        <v>2185</v>
      </c>
      <c r="FD1" t="s">
        <v>2186</v>
      </c>
      <c r="FE1" t="s">
        <v>2187</v>
      </c>
      <c r="FF1" t="s">
        <v>2188</v>
      </c>
      <c r="FG1" t="s">
        <v>2189</v>
      </c>
      <c r="FH1" t="s">
        <v>2190</v>
      </c>
      <c r="FI1" t="s">
        <v>2191</v>
      </c>
      <c r="FJ1" t="s">
        <v>2192</v>
      </c>
      <c r="FK1" t="s">
        <v>2193</v>
      </c>
      <c r="FL1" t="s">
        <v>2194</v>
      </c>
      <c r="FM1" t="s">
        <v>2195</v>
      </c>
      <c r="FN1" t="s">
        <v>2196</v>
      </c>
      <c r="FO1" t="s">
        <v>2197</v>
      </c>
      <c r="FP1" t="s">
        <v>2198</v>
      </c>
      <c r="FQ1" t="s">
        <v>2199</v>
      </c>
      <c r="FR1" t="s">
        <v>2200</v>
      </c>
      <c r="FS1" t="s">
        <v>2201</v>
      </c>
      <c r="FT1" t="s">
        <v>2202</v>
      </c>
      <c r="FU1" t="s">
        <v>2203</v>
      </c>
      <c r="FV1" t="s">
        <v>2204</v>
      </c>
      <c r="FW1" t="s">
        <v>2205</v>
      </c>
      <c r="FX1" t="s">
        <v>2206</v>
      </c>
      <c r="FY1" t="s">
        <v>2207</v>
      </c>
      <c r="FZ1" t="s">
        <v>2208</v>
      </c>
      <c r="GA1" t="s">
        <v>2209</v>
      </c>
      <c r="GB1" t="s">
        <v>2210</v>
      </c>
      <c r="GC1" t="s">
        <v>2211</v>
      </c>
      <c r="GD1" t="s">
        <v>2212</v>
      </c>
      <c r="GE1" t="s">
        <v>2213</v>
      </c>
      <c r="GF1" t="s">
        <v>2214</v>
      </c>
      <c r="GG1" t="s">
        <v>2215</v>
      </c>
      <c r="GH1" t="s">
        <v>2216</v>
      </c>
      <c r="GI1" t="s">
        <v>2217</v>
      </c>
      <c r="GJ1" t="s">
        <v>2218</v>
      </c>
      <c r="GK1" t="s">
        <v>2219</v>
      </c>
    </row>
    <row r="2" spans="1:194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</row>
    <row r="3" spans="1:194" x14ac:dyDescent="0.25">
      <c r="B3" t="s">
        <v>468</v>
      </c>
      <c r="C3" t="s">
        <v>2220</v>
      </c>
      <c r="D3" t="s">
        <v>2220</v>
      </c>
      <c r="E3" t="s">
        <v>2220</v>
      </c>
      <c r="F3" t="s">
        <v>2220</v>
      </c>
      <c r="G3" t="s">
        <v>2220</v>
      </c>
      <c r="H3" t="s">
        <v>2220</v>
      </c>
      <c r="I3" t="s">
        <v>2220</v>
      </c>
      <c r="J3" t="s">
        <v>2220</v>
      </c>
      <c r="K3" t="s">
        <v>2220</v>
      </c>
      <c r="L3" t="s">
        <v>2220</v>
      </c>
      <c r="M3" t="s">
        <v>2220</v>
      </c>
      <c r="N3" t="s">
        <v>2220</v>
      </c>
      <c r="O3" t="s">
        <v>2220</v>
      </c>
      <c r="P3" t="s">
        <v>2220</v>
      </c>
      <c r="Q3" t="s">
        <v>2220</v>
      </c>
      <c r="R3" t="s">
        <v>2220</v>
      </c>
      <c r="S3" t="s">
        <v>2220</v>
      </c>
      <c r="T3" t="s">
        <v>2220</v>
      </c>
      <c r="U3" t="s">
        <v>2220</v>
      </c>
      <c r="V3" t="s">
        <v>2220</v>
      </c>
      <c r="W3" t="s">
        <v>2220</v>
      </c>
      <c r="X3" t="s">
        <v>2220</v>
      </c>
      <c r="Y3" t="s">
        <v>2220</v>
      </c>
      <c r="Z3" t="s">
        <v>2220</v>
      </c>
      <c r="AA3" t="s">
        <v>2220</v>
      </c>
      <c r="AB3" t="s">
        <v>2220</v>
      </c>
      <c r="AC3" t="s">
        <v>2220</v>
      </c>
      <c r="AD3" t="s">
        <v>2220</v>
      </c>
      <c r="AE3" t="s">
        <v>2220</v>
      </c>
      <c r="AF3" t="s">
        <v>2220</v>
      </c>
      <c r="AG3" t="s">
        <v>2220</v>
      </c>
      <c r="AH3" t="s">
        <v>2220</v>
      </c>
      <c r="AI3" t="s">
        <v>2220</v>
      </c>
      <c r="AJ3" t="s">
        <v>2220</v>
      </c>
      <c r="AK3" t="s">
        <v>2220</v>
      </c>
      <c r="AL3" t="s">
        <v>2220</v>
      </c>
      <c r="AM3" t="s">
        <v>2220</v>
      </c>
      <c r="AN3" t="s">
        <v>2220</v>
      </c>
      <c r="AO3" t="s">
        <v>2220</v>
      </c>
      <c r="AP3" t="s">
        <v>2220</v>
      </c>
      <c r="AQ3" t="s">
        <v>2220</v>
      </c>
      <c r="AR3" t="s">
        <v>2220</v>
      </c>
      <c r="AS3" t="s">
        <v>2220</v>
      </c>
      <c r="AT3" t="s">
        <v>2220</v>
      </c>
      <c r="AU3" t="s">
        <v>2220</v>
      </c>
      <c r="AV3" t="s">
        <v>2220</v>
      </c>
      <c r="AW3" t="s">
        <v>2220</v>
      </c>
      <c r="AX3" t="s">
        <v>2220</v>
      </c>
      <c r="AY3" t="s">
        <v>2220</v>
      </c>
      <c r="AZ3" t="s">
        <v>2220</v>
      </c>
      <c r="BA3" t="s">
        <v>2220</v>
      </c>
      <c r="BB3" t="s">
        <v>2220</v>
      </c>
      <c r="BC3" t="s">
        <v>2220</v>
      </c>
      <c r="BD3" t="s">
        <v>2220</v>
      </c>
      <c r="BE3" t="s">
        <v>2220</v>
      </c>
      <c r="BF3" t="s">
        <v>2220</v>
      </c>
      <c r="BG3" t="s">
        <v>2220</v>
      </c>
      <c r="BH3" t="s">
        <v>2220</v>
      </c>
      <c r="BI3" t="s">
        <v>2220</v>
      </c>
      <c r="BJ3" t="s">
        <v>2220</v>
      </c>
      <c r="BK3" t="s">
        <v>2220</v>
      </c>
      <c r="BL3" t="s">
        <v>2220</v>
      </c>
      <c r="BM3" t="s">
        <v>2220</v>
      </c>
      <c r="BN3" t="s">
        <v>2220</v>
      </c>
      <c r="BO3" t="s">
        <v>2220</v>
      </c>
      <c r="BP3" t="s">
        <v>2220</v>
      </c>
      <c r="BQ3" t="s">
        <v>2220</v>
      </c>
      <c r="BR3" t="s">
        <v>2220</v>
      </c>
      <c r="BS3" t="s">
        <v>2220</v>
      </c>
      <c r="BT3" t="s">
        <v>2220</v>
      </c>
      <c r="BU3" t="s">
        <v>2220</v>
      </c>
      <c r="BV3" t="s">
        <v>2220</v>
      </c>
      <c r="BW3" t="s">
        <v>2220</v>
      </c>
      <c r="BX3" t="s">
        <v>2220</v>
      </c>
      <c r="BY3" t="s">
        <v>2220</v>
      </c>
      <c r="BZ3" t="s">
        <v>2220</v>
      </c>
      <c r="CA3" t="s">
        <v>2220</v>
      </c>
      <c r="CB3" t="s">
        <v>2220</v>
      </c>
      <c r="CC3" t="s">
        <v>2220</v>
      </c>
      <c r="CD3" t="s">
        <v>2220</v>
      </c>
      <c r="CE3" t="s">
        <v>2220</v>
      </c>
      <c r="CF3" t="s">
        <v>2220</v>
      </c>
      <c r="CG3" t="s">
        <v>2220</v>
      </c>
      <c r="CH3" t="s">
        <v>2220</v>
      </c>
      <c r="CI3" t="s">
        <v>2220</v>
      </c>
      <c r="CJ3" t="s">
        <v>2220</v>
      </c>
      <c r="CK3" t="s">
        <v>2220</v>
      </c>
      <c r="CL3" t="s">
        <v>2220</v>
      </c>
      <c r="CM3" t="s">
        <v>2220</v>
      </c>
      <c r="CN3" t="s">
        <v>2220</v>
      </c>
      <c r="CO3" t="s">
        <v>2220</v>
      </c>
      <c r="CP3" t="s">
        <v>2220</v>
      </c>
      <c r="CQ3" t="s">
        <v>2220</v>
      </c>
      <c r="CR3" t="s">
        <v>2220</v>
      </c>
      <c r="CS3" t="s">
        <v>2220</v>
      </c>
      <c r="CT3" t="s">
        <v>2220</v>
      </c>
      <c r="CU3" t="s">
        <v>2220</v>
      </c>
      <c r="CV3" t="s">
        <v>2220</v>
      </c>
      <c r="CW3" t="s">
        <v>2220</v>
      </c>
      <c r="CX3" t="s">
        <v>2220</v>
      </c>
      <c r="CY3" t="s">
        <v>2220</v>
      </c>
      <c r="CZ3" t="s">
        <v>2220</v>
      </c>
      <c r="DA3" t="s">
        <v>2220</v>
      </c>
      <c r="DB3" t="s">
        <v>2220</v>
      </c>
      <c r="DC3" t="s">
        <v>2220</v>
      </c>
      <c r="DD3" t="s">
        <v>2220</v>
      </c>
      <c r="DE3" t="s">
        <v>2220</v>
      </c>
      <c r="DF3" t="s">
        <v>2220</v>
      </c>
      <c r="DG3" t="s">
        <v>2220</v>
      </c>
      <c r="DH3" t="s">
        <v>2220</v>
      </c>
      <c r="DI3" t="s">
        <v>2220</v>
      </c>
      <c r="DJ3" t="s">
        <v>2220</v>
      </c>
      <c r="DK3" t="s">
        <v>2220</v>
      </c>
      <c r="DL3" t="s">
        <v>2220</v>
      </c>
      <c r="DM3" t="s">
        <v>2220</v>
      </c>
      <c r="DN3" t="s">
        <v>2220</v>
      </c>
      <c r="DO3" t="s">
        <v>2220</v>
      </c>
      <c r="DP3" t="s">
        <v>2220</v>
      </c>
      <c r="DQ3" t="s">
        <v>2220</v>
      </c>
      <c r="DR3" t="s">
        <v>2220</v>
      </c>
      <c r="DS3" t="s">
        <v>2220</v>
      </c>
      <c r="DT3" t="s">
        <v>2220</v>
      </c>
      <c r="DU3" t="s">
        <v>2220</v>
      </c>
      <c r="DV3" t="s">
        <v>2220</v>
      </c>
      <c r="DW3" t="s">
        <v>2220</v>
      </c>
      <c r="DX3" t="s">
        <v>2220</v>
      </c>
      <c r="DY3" t="s">
        <v>2220</v>
      </c>
      <c r="DZ3" t="s">
        <v>2220</v>
      </c>
      <c r="EA3" t="s">
        <v>2220</v>
      </c>
      <c r="EB3" t="s">
        <v>2220</v>
      </c>
      <c r="EC3" t="s">
        <v>2220</v>
      </c>
      <c r="ED3" t="s">
        <v>2220</v>
      </c>
      <c r="EE3" t="s">
        <v>2220</v>
      </c>
      <c r="EF3" t="s">
        <v>2220</v>
      </c>
      <c r="EG3" t="s">
        <v>2220</v>
      </c>
      <c r="EH3" t="s">
        <v>2220</v>
      </c>
      <c r="EI3" t="s">
        <v>2220</v>
      </c>
      <c r="EJ3" t="s">
        <v>2220</v>
      </c>
      <c r="EK3" t="s">
        <v>2220</v>
      </c>
      <c r="EL3" t="s">
        <v>2220</v>
      </c>
      <c r="EM3" t="s">
        <v>2220</v>
      </c>
      <c r="EN3" t="s">
        <v>2220</v>
      </c>
      <c r="EO3" t="s">
        <v>2220</v>
      </c>
      <c r="EP3" t="s">
        <v>2220</v>
      </c>
      <c r="EQ3" t="s">
        <v>2220</v>
      </c>
      <c r="ER3" t="s">
        <v>2220</v>
      </c>
      <c r="ES3" t="s">
        <v>2220</v>
      </c>
      <c r="ET3" t="s">
        <v>2220</v>
      </c>
      <c r="EU3" t="s">
        <v>2220</v>
      </c>
      <c r="EV3" t="s">
        <v>2220</v>
      </c>
      <c r="EW3" t="s">
        <v>2220</v>
      </c>
      <c r="EX3" t="s">
        <v>2220</v>
      </c>
      <c r="EY3" t="s">
        <v>2220</v>
      </c>
      <c r="EZ3" t="s">
        <v>2220</v>
      </c>
      <c r="FA3" t="s">
        <v>2220</v>
      </c>
      <c r="FB3" t="s">
        <v>2220</v>
      </c>
      <c r="FC3" t="s">
        <v>2220</v>
      </c>
      <c r="FD3" t="s">
        <v>2220</v>
      </c>
      <c r="FE3" t="s">
        <v>2220</v>
      </c>
      <c r="FF3" t="s">
        <v>2220</v>
      </c>
      <c r="FG3" t="s">
        <v>2220</v>
      </c>
      <c r="FH3" t="s">
        <v>2220</v>
      </c>
      <c r="FI3" t="s">
        <v>2220</v>
      </c>
      <c r="FJ3" t="s">
        <v>2220</v>
      </c>
      <c r="FK3" t="s">
        <v>2220</v>
      </c>
      <c r="FL3" t="s">
        <v>2220</v>
      </c>
      <c r="FM3" t="s">
        <v>2220</v>
      </c>
      <c r="FN3" t="s">
        <v>2220</v>
      </c>
      <c r="FO3" t="s">
        <v>2220</v>
      </c>
      <c r="FP3" t="s">
        <v>2220</v>
      </c>
      <c r="FQ3" t="s">
        <v>2220</v>
      </c>
      <c r="FR3" t="s">
        <v>2220</v>
      </c>
      <c r="FS3" t="s">
        <v>2220</v>
      </c>
      <c r="FT3" t="s">
        <v>2220</v>
      </c>
      <c r="FU3" t="s">
        <v>2220</v>
      </c>
      <c r="FV3" t="s">
        <v>2220</v>
      </c>
      <c r="FW3" t="s">
        <v>2220</v>
      </c>
      <c r="FX3" t="s">
        <v>2220</v>
      </c>
      <c r="FY3" t="s">
        <v>2220</v>
      </c>
      <c r="FZ3" t="s">
        <v>2220</v>
      </c>
      <c r="GA3" t="s">
        <v>2220</v>
      </c>
      <c r="GB3" t="s">
        <v>2220</v>
      </c>
      <c r="GC3" t="s">
        <v>2220</v>
      </c>
      <c r="GD3" t="s">
        <v>2220</v>
      </c>
      <c r="GE3" t="s">
        <v>2220</v>
      </c>
      <c r="GF3" t="s">
        <v>2220</v>
      </c>
      <c r="GG3" t="s">
        <v>2220</v>
      </c>
      <c r="GH3" t="s">
        <v>2220</v>
      </c>
      <c r="GI3" t="s">
        <v>2220</v>
      </c>
      <c r="GJ3" t="s">
        <v>2220</v>
      </c>
      <c r="GK3" t="s">
        <v>2220</v>
      </c>
    </row>
    <row r="4" spans="1:194" x14ac:dyDescent="0.25">
      <c r="A4" s="4">
        <f>DATE(2023,3,30)</f>
        <v>45015</v>
      </c>
      <c r="B4">
        <v>102251</v>
      </c>
    </row>
    <row r="5" spans="1:194" x14ac:dyDescent="0.25">
      <c r="A5" s="4">
        <f>DATE(2023,3,29)</f>
        <v>45014</v>
      </c>
      <c r="B5">
        <v>102557</v>
      </c>
      <c r="GL5">
        <f t="shared" ref="GL5:GL36" si="0">SUMPRODUCT(C5:GK5)</f>
        <v>0</v>
      </c>
    </row>
    <row r="6" spans="1:194" x14ac:dyDescent="0.25">
      <c r="A6" s="4">
        <f>DATE(2023,3,28)</f>
        <v>45013</v>
      </c>
      <c r="B6">
        <v>103591</v>
      </c>
      <c r="GL6">
        <f t="shared" si="0"/>
        <v>0</v>
      </c>
    </row>
    <row r="7" spans="1:194" x14ac:dyDescent="0.25">
      <c r="A7" s="4">
        <f>DATE(2023,3,27)</f>
        <v>45012</v>
      </c>
      <c r="B7">
        <v>104551</v>
      </c>
      <c r="GL7">
        <f t="shared" si="0"/>
        <v>0</v>
      </c>
    </row>
    <row r="8" spans="1:194" x14ac:dyDescent="0.25">
      <c r="A8" s="4">
        <f>DATE(2023,3,24)</f>
        <v>45009</v>
      </c>
      <c r="B8">
        <v>104132</v>
      </c>
      <c r="GL8">
        <f t="shared" si="0"/>
        <v>0</v>
      </c>
    </row>
    <row r="9" spans="1:194" x14ac:dyDescent="0.25">
      <c r="A9" s="4">
        <f>DATE(2023,3,23)</f>
        <v>45008</v>
      </c>
      <c r="B9">
        <v>103248</v>
      </c>
      <c r="GL9">
        <f t="shared" si="0"/>
        <v>0</v>
      </c>
    </row>
    <row r="10" spans="1:194" x14ac:dyDescent="0.25">
      <c r="A10" s="4">
        <f>DATE(2023,3,22)</f>
        <v>45007</v>
      </c>
      <c r="B10">
        <v>102804</v>
      </c>
      <c r="BK10">
        <v>10</v>
      </c>
      <c r="DI10">
        <v>100</v>
      </c>
      <c r="DS10">
        <v>2425</v>
      </c>
      <c r="EC10">
        <v>600</v>
      </c>
      <c r="EM10">
        <v>4560</v>
      </c>
      <c r="ES10">
        <v>250</v>
      </c>
      <c r="EW10">
        <v>2186</v>
      </c>
      <c r="FA10">
        <v>300</v>
      </c>
      <c r="FC10">
        <v>100</v>
      </c>
      <c r="FE10">
        <v>100</v>
      </c>
      <c r="FG10">
        <v>6239</v>
      </c>
      <c r="FQ10">
        <v>5735</v>
      </c>
      <c r="GA10">
        <v>6475</v>
      </c>
      <c r="GK10">
        <v>4050</v>
      </c>
      <c r="GL10">
        <f t="shared" si="0"/>
        <v>33130</v>
      </c>
    </row>
    <row r="11" spans="1:194" x14ac:dyDescent="0.25">
      <c r="A11" s="4">
        <f>DATE(2023,3,21)</f>
        <v>45006</v>
      </c>
      <c r="B11">
        <v>102301</v>
      </c>
      <c r="BK11">
        <v>10</v>
      </c>
      <c r="DI11">
        <v>100</v>
      </c>
      <c r="DS11">
        <v>2425</v>
      </c>
      <c r="EC11">
        <v>600</v>
      </c>
      <c r="EM11">
        <v>4370</v>
      </c>
      <c r="ES11">
        <v>250</v>
      </c>
      <c r="EW11">
        <v>2146</v>
      </c>
      <c r="FA11">
        <v>300</v>
      </c>
      <c r="FC11">
        <v>100</v>
      </c>
      <c r="FE11">
        <v>100</v>
      </c>
      <c r="FG11">
        <v>6239</v>
      </c>
      <c r="FQ11">
        <v>5735</v>
      </c>
      <c r="GA11">
        <v>6475</v>
      </c>
      <c r="GK11">
        <v>4050</v>
      </c>
      <c r="GL11">
        <f t="shared" si="0"/>
        <v>32900</v>
      </c>
    </row>
    <row r="12" spans="1:194" x14ac:dyDescent="0.25">
      <c r="A12" s="4">
        <f>DATE(2023,3,20)</f>
        <v>45005</v>
      </c>
      <c r="B12">
        <v>100992</v>
      </c>
      <c r="BK12">
        <v>10</v>
      </c>
      <c r="DI12">
        <v>100</v>
      </c>
      <c r="DS12">
        <v>2425</v>
      </c>
      <c r="EC12">
        <v>600</v>
      </c>
      <c r="EM12">
        <v>3630</v>
      </c>
      <c r="ES12">
        <v>250</v>
      </c>
      <c r="EW12">
        <v>2096</v>
      </c>
      <c r="FA12">
        <v>300</v>
      </c>
      <c r="FC12">
        <v>100</v>
      </c>
      <c r="FE12">
        <v>100</v>
      </c>
      <c r="FG12">
        <v>6839</v>
      </c>
      <c r="FQ12">
        <v>5735</v>
      </c>
      <c r="GA12">
        <v>7675</v>
      </c>
      <c r="GK12">
        <v>4050</v>
      </c>
      <c r="GL12">
        <f t="shared" si="0"/>
        <v>33910</v>
      </c>
    </row>
    <row r="13" spans="1:194" x14ac:dyDescent="0.25">
      <c r="A13" s="4">
        <f>DATE(2023,3,17)</f>
        <v>45002</v>
      </c>
      <c r="B13">
        <v>100103</v>
      </c>
      <c r="BK13">
        <v>10</v>
      </c>
      <c r="DI13">
        <v>100</v>
      </c>
      <c r="DS13">
        <v>2425</v>
      </c>
      <c r="EC13">
        <v>600</v>
      </c>
      <c r="EM13">
        <v>3855</v>
      </c>
      <c r="ES13">
        <v>250</v>
      </c>
      <c r="EW13">
        <v>2118</v>
      </c>
      <c r="FA13">
        <v>300</v>
      </c>
      <c r="FC13">
        <v>100</v>
      </c>
      <c r="FE13">
        <v>100</v>
      </c>
      <c r="FG13">
        <v>6989</v>
      </c>
      <c r="FQ13">
        <v>5735</v>
      </c>
      <c r="GA13">
        <v>7675</v>
      </c>
      <c r="GK13">
        <v>4050</v>
      </c>
      <c r="GL13">
        <f t="shared" si="0"/>
        <v>34307</v>
      </c>
    </row>
    <row r="14" spans="1:194" x14ac:dyDescent="0.25">
      <c r="A14" s="4">
        <f>DATE(2023,3,16)</f>
        <v>45001</v>
      </c>
      <c r="B14">
        <v>98999</v>
      </c>
      <c r="BK14">
        <v>10</v>
      </c>
      <c r="DI14">
        <v>100</v>
      </c>
      <c r="DS14">
        <v>2375</v>
      </c>
      <c r="EC14">
        <v>550</v>
      </c>
      <c r="EM14">
        <v>3805</v>
      </c>
      <c r="ES14">
        <v>250</v>
      </c>
      <c r="EW14">
        <v>2018</v>
      </c>
      <c r="FA14">
        <v>300</v>
      </c>
      <c r="FC14">
        <v>100</v>
      </c>
      <c r="FE14">
        <v>100</v>
      </c>
      <c r="FG14">
        <v>6989</v>
      </c>
      <c r="FQ14">
        <v>5735</v>
      </c>
      <c r="GA14">
        <v>7675</v>
      </c>
      <c r="GK14">
        <v>4050</v>
      </c>
      <c r="GL14">
        <f t="shared" si="0"/>
        <v>34057</v>
      </c>
    </row>
    <row r="15" spans="1:194" x14ac:dyDescent="0.25">
      <c r="A15" s="4">
        <f>DATE(2023,3,15)</f>
        <v>45000</v>
      </c>
      <c r="B15">
        <v>98501</v>
      </c>
      <c r="BK15">
        <v>10</v>
      </c>
      <c r="DI15">
        <v>100</v>
      </c>
      <c r="DS15">
        <v>2375</v>
      </c>
      <c r="EC15">
        <v>550</v>
      </c>
      <c r="EM15">
        <v>4205</v>
      </c>
      <c r="ES15">
        <v>250</v>
      </c>
      <c r="EW15">
        <v>2023</v>
      </c>
      <c r="FA15">
        <v>300</v>
      </c>
      <c r="FC15">
        <v>100</v>
      </c>
      <c r="FE15">
        <v>100</v>
      </c>
      <c r="FG15">
        <v>6740</v>
      </c>
      <c r="FQ15">
        <v>5985</v>
      </c>
      <c r="GA15">
        <v>6800</v>
      </c>
      <c r="GK15">
        <v>4050</v>
      </c>
      <c r="GL15">
        <f t="shared" si="0"/>
        <v>33588</v>
      </c>
    </row>
    <row r="16" spans="1:194" x14ac:dyDescent="0.25">
      <c r="A16" s="4">
        <f>DATE(2023,3,14)</f>
        <v>44999</v>
      </c>
      <c r="B16">
        <v>97103</v>
      </c>
      <c r="BK16">
        <v>10</v>
      </c>
      <c r="DI16">
        <v>100</v>
      </c>
      <c r="DS16">
        <v>2375</v>
      </c>
      <c r="EC16">
        <v>550</v>
      </c>
      <c r="EM16">
        <v>4105</v>
      </c>
      <c r="ES16">
        <v>250</v>
      </c>
      <c r="EW16">
        <v>2398</v>
      </c>
      <c r="FA16">
        <v>300</v>
      </c>
      <c r="FE16">
        <v>100</v>
      </c>
      <c r="FG16">
        <v>6640</v>
      </c>
      <c r="FQ16">
        <v>5885</v>
      </c>
      <c r="GA16">
        <v>6800</v>
      </c>
      <c r="GK16">
        <v>4050</v>
      </c>
      <c r="GL16">
        <f t="shared" si="0"/>
        <v>33563</v>
      </c>
    </row>
    <row r="17" spans="1:194" x14ac:dyDescent="0.25">
      <c r="A17" s="4">
        <f>DATE(2023,3,13)</f>
        <v>44998</v>
      </c>
      <c r="B17">
        <v>97103</v>
      </c>
      <c r="BK17">
        <v>10</v>
      </c>
      <c r="DI17">
        <v>100</v>
      </c>
      <c r="DS17">
        <v>2375</v>
      </c>
      <c r="EC17">
        <v>550</v>
      </c>
      <c r="EM17">
        <v>4105</v>
      </c>
      <c r="ES17">
        <v>250</v>
      </c>
      <c r="EW17">
        <v>2398</v>
      </c>
      <c r="FA17">
        <v>300</v>
      </c>
      <c r="FG17">
        <v>6831</v>
      </c>
      <c r="FQ17">
        <v>6385</v>
      </c>
      <c r="GA17">
        <v>6175</v>
      </c>
      <c r="GK17">
        <v>4050</v>
      </c>
      <c r="GL17">
        <f t="shared" si="0"/>
        <v>33529</v>
      </c>
    </row>
    <row r="18" spans="1:194" x14ac:dyDescent="0.25">
      <c r="A18" s="4">
        <f>DATE(2023,3,10)</f>
        <v>44995</v>
      </c>
      <c r="B18">
        <v>95877</v>
      </c>
      <c r="BK18">
        <v>10</v>
      </c>
      <c r="DI18">
        <v>100</v>
      </c>
      <c r="DS18">
        <v>2375</v>
      </c>
      <c r="EC18">
        <v>550</v>
      </c>
      <c r="EM18">
        <v>4105</v>
      </c>
      <c r="ES18">
        <v>250</v>
      </c>
      <c r="EU18">
        <v>500</v>
      </c>
      <c r="EW18">
        <v>2898</v>
      </c>
      <c r="FA18">
        <v>300</v>
      </c>
      <c r="FG18">
        <v>6831</v>
      </c>
      <c r="FQ18">
        <v>6485</v>
      </c>
      <c r="GA18">
        <v>6175</v>
      </c>
      <c r="GK18">
        <v>4050</v>
      </c>
      <c r="GL18">
        <f t="shared" si="0"/>
        <v>34629</v>
      </c>
    </row>
    <row r="19" spans="1:194" x14ac:dyDescent="0.25">
      <c r="A19" s="4">
        <f>DATE(2023,3,9)</f>
        <v>44994</v>
      </c>
      <c r="B19">
        <v>95734</v>
      </c>
      <c r="BK19">
        <v>10</v>
      </c>
      <c r="DI19">
        <v>100</v>
      </c>
      <c r="DS19">
        <v>2375</v>
      </c>
      <c r="EC19">
        <v>550</v>
      </c>
      <c r="EM19">
        <v>4105</v>
      </c>
      <c r="ES19">
        <v>250</v>
      </c>
      <c r="EU19">
        <v>500</v>
      </c>
      <c r="EW19">
        <v>2898</v>
      </c>
      <c r="FA19">
        <v>300</v>
      </c>
      <c r="FG19">
        <v>6856</v>
      </c>
      <c r="FQ19">
        <v>6485</v>
      </c>
      <c r="GA19">
        <v>6175</v>
      </c>
      <c r="GK19">
        <v>4050</v>
      </c>
      <c r="GL19">
        <f t="shared" si="0"/>
        <v>34654</v>
      </c>
    </row>
    <row r="20" spans="1:194" x14ac:dyDescent="0.25">
      <c r="A20" s="4">
        <f>DATE(2023,3,8)</f>
        <v>44993</v>
      </c>
      <c r="B20">
        <v>95916</v>
      </c>
      <c r="BK20">
        <v>10</v>
      </c>
      <c r="DI20">
        <v>100</v>
      </c>
      <c r="DS20">
        <v>2375</v>
      </c>
      <c r="EC20">
        <v>550</v>
      </c>
      <c r="EM20">
        <v>4105</v>
      </c>
      <c r="ES20">
        <v>250</v>
      </c>
      <c r="EU20">
        <v>500</v>
      </c>
      <c r="EW20">
        <v>2898</v>
      </c>
      <c r="FA20">
        <v>300</v>
      </c>
      <c r="FG20">
        <v>7355</v>
      </c>
      <c r="FQ20">
        <v>6485</v>
      </c>
      <c r="GA20">
        <v>6175</v>
      </c>
      <c r="GK20">
        <v>3800</v>
      </c>
      <c r="GL20">
        <f t="shared" si="0"/>
        <v>34903</v>
      </c>
    </row>
    <row r="21" spans="1:194" x14ac:dyDescent="0.25">
      <c r="A21" s="4">
        <f>DATE(2023,3,7)</f>
        <v>44992</v>
      </c>
      <c r="B21">
        <v>95259</v>
      </c>
      <c r="BK21">
        <v>10</v>
      </c>
      <c r="DI21">
        <v>100</v>
      </c>
      <c r="DS21">
        <v>2375</v>
      </c>
      <c r="EC21">
        <v>550</v>
      </c>
      <c r="EM21">
        <v>4155</v>
      </c>
      <c r="ES21">
        <v>250</v>
      </c>
      <c r="EU21">
        <v>500</v>
      </c>
      <c r="EW21">
        <v>2898</v>
      </c>
      <c r="FA21">
        <v>300</v>
      </c>
      <c r="FG21">
        <v>7705</v>
      </c>
      <c r="FQ21">
        <v>6235</v>
      </c>
      <c r="GA21">
        <v>6125</v>
      </c>
      <c r="GK21">
        <v>3800</v>
      </c>
      <c r="GL21">
        <f t="shared" si="0"/>
        <v>35003</v>
      </c>
    </row>
    <row r="22" spans="1:194" x14ac:dyDescent="0.25">
      <c r="A22" s="4">
        <f>DATE(2023,3,6)</f>
        <v>44991</v>
      </c>
      <c r="B22">
        <v>94751</v>
      </c>
      <c r="BK22">
        <v>10</v>
      </c>
      <c r="DI22">
        <v>100</v>
      </c>
      <c r="DS22">
        <v>2375</v>
      </c>
      <c r="EC22">
        <v>550</v>
      </c>
      <c r="EM22">
        <v>4155</v>
      </c>
      <c r="ES22">
        <v>250</v>
      </c>
      <c r="EU22">
        <v>500</v>
      </c>
      <c r="EW22">
        <v>2598</v>
      </c>
      <c r="FG22">
        <v>7680</v>
      </c>
      <c r="FQ22">
        <v>5525</v>
      </c>
      <c r="GA22">
        <v>6150</v>
      </c>
      <c r="GK22">
        <v>3800</v>
      </c>
      <c r="GL22">
        <f t="shared" si="0"/>
        <v>33693</v>
      </c>
    </row>
    <row r="23" spans="1:194" x14ac:dyDescent="0.25">
      <c r="A23" s="4">
        <f>DATE(2023,3,3)</f>
        <v>44988</v>
      </c>
      <c r="B23">
        <v>93997</v>
      </c>
      <c r="BK23">
        <v>10</v>
      </c>
      <c r="DI23">
        <v>100</v>
      </c>
      <c r="DS23">
        <v>2375</v>
      </c>
      <c r="EC23">
        <v>550</v>
      </c>
      <c r="EM23">
        <v>4155</v>
      </c>
      <c r="ES23">
        <v>250</v>
      </c>
      <c r="EU23">
        <v>500</v>
      </c>
      <c r="EW23">
        <v>2598</v>
      </c>
      <c r="FG23">
        <v>7680</v>
      </c>
      <c r="FQ23">
        <v>5525</v>
      </c>
      <c r="GA23">
        <v>6175</v>
      </c>
      <c r="GK23">
        <v>3800</v>
      </c>
      <c r="GL23">
        <f t="shared" si="0"/>
        <v>33718</v>
      </c>
    </row>
    <row r="24" spans="1:194" x14ac:dyDescent="0.25">
      <c r="A24" s="4">
        <f>DATE(2023,3,2)</f>
        <v>44987</v>
      </c>
      <c r="B24">
        <v>93344</v>
      </c>
      <c r="BK24">
        <v>10</v>
      </c>
      <c r="DI24">
        <v>100</v>
      </c>
      <c r="DS24">
        <v>2375</v>
      </c>
      <c r="EC24">
        <v>550</v>
      </c>
      <c r="EM24">
        <v>4055</v>
      </c>
      <c r="ES24">
        <v>250</v>
      </c>
      <c r="EU24">
        <v>500</v>
      </c>
      <c r="EW24">
        <v>2473</v>
      </c>
      <c r="FG24">
        <v>7680</v>
      </c>
      <c r="FQ24">
        <v>5525</v>
      </c>
      <c r="GA24">
        <v>6250</v>
      </c>
      <c r="GK24">
        <v>3800</v>
      </c>
      <c r="GL24">
        <f t="shared" si="0"/>
        <v>33568</v>
      </c>
    </row>
    <row r="25" spans="1:194" x14ac:dyDescent="0.25">
      <c r="A25" s="4">
        <f>DATE(2023,3,1)</f>
        <v>44986</v>
      </c>
      <c r="B25">
        <v>93113</v>
      </c>
      <c r="BK25">
        <v>10</v>
      </c>
      <c r="DI25">
        <v>100</v>
      </c>
      <c r="DS25">
        <v>2375</v>
      </c>
      <c r="EC25">
        <v>550</v>
      </c>
      <c r="EM25">
        <v>4055</v>
      </c>
      <c r="ES25">
        <v>250</v>
      </c>
      <c r="EU25">
        <v>500</v>
      </c>
      <c r="EW25">
        <v>2473</v>
      </c>
      <c r="FG25">
        <v>7705</v>
      </c>
      <c r="FQ25">
        <v>5525</v>
      </c>
      <c r="GA25">
        <v>6250</v>
      </c>
      <c r="GK25">
        <v>3800</v>
      </c>
      <c r="GL25">
        <f t="shared" si="0"/>
        <v>33593</v>
      </c>
    </row>
    <row r="26" spans="1:194" x14ac:dyDescent="0.25">
      <c r="A26" s="4">
        <f>DATE(2023,2,28)</f>
        <v>44985</v>
      </c>
      <c r="B26">
        <v>92828</v>
      </c>
      <c r="BK26">
        <v>10</v>
      </c>
      <c r="DI26">
        <v>100</v>
      </c>
      <c r="DS26">
        <v>2375</v>
      </c>
      <c r="EC26">
        <v>550</v>
      </c>
      <c r="EM26">
        <v>4040</v>
      </c>
      <c r="ES26">
        <v>250</v>
      </c>
      <c r="EU26">
        <v>500</v>
      </c>
      <c r="EW26">
        <v>2473</v>
      </c>
      <c r="FG26">
        <v>7980</v>
      </c>
      <c r="FQ26">
        <v>5525</v>
      </c>
      <c r="GA26">
        <v>5625</v>
      </c>
      <c r="GK26">
        <v>3650</v>
      </c>
      <c r="GL26">
        <f t="shared" si="0"/>
        <v>33078</v>
      </c>
    </row>
    <row r="27" spans="1:194" x14ac:dyDescent="0.25">
      <c r="A27" s="4">
        <f>DATE(2023,2,27)</f>
        <v>44984</v>
      </c>
      <c r="B27">
        <v>92219</v>
      </c>
      <c r="BK27">
        <v>10</v>
      </c>
      <c r="DI27">
        <v>100</v>
      </c>
      <c r="DS27">
        <v>2375</v>
      </c>
      <c r="EC27">
        <v>550</v>
      </c>
      <c r="EM27">
        <v>4040</v>
      </c>
      <c r="ES27">
        <v>250</v>
      </c>
      <c r="EU27">
        <v>500</v>
      </c>
      <c r="EW27">
        <v>2473</v>
      </c>
      <c r="FG27">
        <v>7930</v>
      </c>
      <c r="FQ27">
        <v>5525</v>
      </c>
      <c r="GA27">
        <v>5625</v>
      </c>
      <c r="GK27">
        <v>1500</v>
      </c>
      <c r="GL27">
        <f t="shared" si="0"/>
        <v>30878</v>
      </c>
    </row>
    <row r="28" spans="1:194" x14ac:dyDescent="0.25">
      <c r="A28" s="4">
        <f>DATE(2023,2,24)</f>
        <v>44981</v>
      </c>
      <c r="B28">
        <v>91697</v>
      </c>
      <c r="BK28">
        <v>10</v>
      </c>
      <c r="DI28">
        <v>100</v>
      </c>
      <c r="DS28">
        <v>2375</v>
      </c>
      <c r="EC28">
        <v>550</v>
      </c>
      <c r="EM28">
        <v>4040</v>
      </c>
      <c r="ES28">
        <v>250</v>
      </c>
      <c r="EU28">
        <v>500</v>
      </c>
      <c r="EW28">
        <v>2573</v>
      </c>
      <c r="FG28">
        <v>7930</v>
      </c>
      <c r="FQ28">
        <v>5525</v>
      </c>
      <c r="GA28">
        <v>5625</v>
      </c>
      <c r="GK28">
        <v>1500</v>
      </c>
      <c r="GL28">
        <f t="shared" si="0"/>
        <v>30978</v>
      </c>
    </row>
    <row r="29" spans="1:194" x14ac:dyDescent="0.25">
      <c r="A29" s="4">
        <f>DATE(2023,2,23)</f>
        <v>44980</v>
      </c>
      <c r="B29">
        <v>91462</v>
      </c>
      <c r="BK29">
        <v>10</v>
      </c>
      <c r="DI29">
        <v>100</v>
      </c>
      <c r="DS29">
        <v>2375</v>
      </c>
      <c r="EC29">
        <v>550</v>
      </c>
      <c r="EM29">
        <v>4040</v>
      </c>
      <c r="ES29">
        <v>250</v>
      </c>
      <c r="EU29">
        <v>500</v>
      </c>
      <c r="EW29">
        <v>2573</v>
      </c>
      <c r="FG29">
        <v>7830</v>
      </c>
      <c r="FQ29">
        <v>5525</v>
      </c>
      <c r="GA29">
        <v>5625</v>
      </c>
      <c r="GK29">
        <v>1500</v>
      </c>
      <c r="GL29">
        <f t="shared" si="0"/>
        <v>30878</v>
      </c>
    </row>
    <row r="30" spans="1:194" x14ac:dyDescent="0.25">
      <c r="A30" s="4">
        <f>DATE(2023,2,22)</f>
        <v>44979</v>
      </c>
      <c r="B30">
        <v>91178</v>
      </c>
      <c r="BK30">
        <v>10</v>
      </c>
      <c r="DI30">
        <v>100</v>
      </c>
      <c r="DS30">
        <v>2375</v>
      </c>
      <c r="EC30">
        <v>550</v>
      </c>
      <c r="EM30">
        <v>4290</v>
      </c>
      <c r="ES30">
        <v>250</v>
      </c>
      <c r="EU30">
        <v>500</v>
      </c>
      <c r="EW30">
        <v>2573</v>
      </c>
      <c r="FG30">
        <v>7830</v>
      </c>
      <c r="FQ30">
        <v>5275</v>
      </c>
      <c r="GA30">
        <v>5625</v>
      </c>
      <c r="GK30">
        <v>1150</v>
      </c>
      <c r="GL30">
        <f t="shared" si="0"/>
        <v>30528</v>
      </c>
    </row>
    <row r="31" spans="1:194" x14ac:dyDescent="0.25">
      <c r="A31" s="4">
        <f>DATE(2023,2,21)</f>
        <v>44978</v>
      </c>
      <c r="B31">
        <v>90868</v>
      </c>
      <c r="BK31">
        <v>10</v>
      </c>
      <c r="DI31">
        <v>100</v>
      </c>
      <c r="DS31">
        <v>2475</v>
      </c>
      <c r="EC31">
        <v>550</v>
      </c>
      <c r="EM31">
        <v>4540</v>
      </c>
      <c r="ES31">
        <v>250</v>
      </c>
      <c r="EU31">
        <v>500</v>
      </c>
      <c r="EW31">
        <v>2573</v>
      </c>
      <c r="FG31">
        <v>7630</v>
      </c>
      <c r="FQ31">
        <v>5825</v>
      </c>
      <c r="GA31">
        <v>5625</v>
      </c>
      <c r="GK31">
        <v>1600</v>
      </c>
      <c r="GL31">
        <f t="shared" si="0"/>
        <v>31678</v>
      </c>
    </row>
    <row r="32" spans="1:194" x14ac:dyDescent="0.25">
      <c r="A32" s="4">
        <f>DATE(2023,2,20)</f>
        <v>44977</v>
      </c>
      <c r="B32">
        <v>90007</v>
      </c>
      <c r="BK32">
        <v>10</v>
      </c>
      <c r="DI32">
        <v>100</v>
      </c>
      <c r="DS32">
        <v>2475</v>
      </c>
      <c r="EC32">
        <v>550</v>
      </c>
      <c r="EM32">
        <v>4540</v>
      </c>
      <c r="ES32">
        <v>250</v>
      </c>
      <c r="EU32">
        <v>500</v>
      </c>
      <c r="EW32">
        <v>2573</v>
      </c>
      <c r="FG32">
        <v>7580</v>
      </c>
      <c r="FQ32">
        <v>5825</v>
      </c>
      <c r="GA32">
        <v>5650</v>
      </c>
      <c r="GK32">
        <v>1600</v>
      </c>
      <c r="GL32">
        <f t="shared" si="0"/>
        <v>31653</v>
      </c>
    </row>
    <row r="33" spans="1:194" x14ac:dyDescent="0.25">
      <c r="A33" s="4">
        <f>DATE(2023,2,17)</f>
        <v>44974</v>
      </c>
      <c r="B33">
        <v>89571</v>
      </c>
      <c r="BK33">
        <v>10</v>
      </c>
      <c r="DI33">
        <v>100</v>
      </c>
      <c r="DS33">
        <v>2475</v>
      </c>
      <c r="EC33">
        <v>550</v>
      </c>
      <c r="EM33">
        <v>4540</v>
      </c>
      <c r="ES33">
        <v>250</v>
      </c>
      <c r="EU33">
        <v>500</v>
      </c>
      <c r="EW33">
        <v>2573</v>
      </c>
      <c r="FG33">
        <v>8205</v>
      </c>
      <c r="FQ33">
        <v>6075</v>
      </c>
      <c r="GA33">
        <v>5700</v>
      </c>
      <c r="GK33">
        <v>1600</v>
      </c>
      <c r="GL33">
        <f t="shared" si="0"/>
        <v>32578</v>
      </c>
    </row>
    <row r="34" spans="1:194" x14ac:dyDescent="0.25">
      <c r="A34" s="4">
        <f>DATE(2023,2,16)</f>
        <v>44973</v>
      </c>
      <c r="B34">
        <v>89251</v>
      </c>
      <c r="BK34">
        <v>10</v>
      </c>
      <c r="DI34">
        <v>100</v>
      </c>
      <c r="DS34">
        <v>2475</v>
      </c>
      <c r="EC34">
        <v>550</v>
      </c>
      <c r="EM34">
        <v>4540</v>
      </c>
      <c r="ES34">
        <v>250</v>
      </c>
      <c r="EU34">
        <v>500</v>
      </c>
      <c r="EW34">
        <v>2573</v>
      </c>
      <c r="FG34">
        <v>8455</v>
      </c>
      <c r="FQ34">
        <v>6075</v>
      </c>
      <c r="GA34">
        <v>4435</v>
      </c>
      <c r="GK34">
        <v>1300</v>
      </c>
      <c r="GL34">
        <f t="shared" si="0"/>
        <v>31263</v>
      </c>
    </row>
    <row r="35" spans="1:194" x14ac:dyDescent="0.25">
      <c r="A35" s="4">
        <f>DATE(2023,2,15)</f>
        <v>44972</v>
      </c>
      <c r="B35">
        <v>88916</v>
      </c>
      <c r="BK35">
        <v>10</v>
      </c>
      <c r="DI35">
        <v>100</v>
      </c>
      <c r="DS35">
        <v>2475</v>
      </c>
      <c r="EC35">
        <v>1300</v>
      </c>
      <c r="EM35">
        <v>5265</v>
      </c>
      <c r="ES35">
        <v>250</v>
      </c>
      <c r="EU35">
        <v>500</v>
      </c>
      <c r="EW35">
        <v>2573</v>
      </c>
      <c r="FG35">
        <v>8455</v>
      </c>
      <c r="FQ35">
        <v>6075</v>
      </c>
      <c r="GA35">
        <v>4035</v>
      </c>
      <c r="GK35">
        <v>1300</v>
      </c>
      <c r="GL35">
        <f t="shared" si="0"/>
        <v>32338</v>
      </c>
    </row>
    <row r="36" spans="1:194" x14ac:dyDescent="0.25">
      <c r="A36" s="4">
        <f>DATE(2023,2,14)</f>
        <v>44971</v>
      </c>
      <c r="B36">
        <v>87873</v>
      </c>
      <c r="BK36">
        <v>10</v>
      </c>
      <c r="DI36">
        <v>100</v>
      </c>
      <c r="DS36">
        <v>2475</v>
      </c>
      <c r="EC36">
        <v>1300</v>
      </c>
      <c r="EM36">
        <v>5265</v>
      </c>
      <c r="ES36">
        <v>250</v>
      </c>
      <c r="EU36">
        <v>500</v>
      </c>
      <c r="EW36">
        <v>2573</v>
      </c>
      <c r="FG36">
        <v>8430</v>
      </c>
      <c r="FQ36">
        <v>6075</v>
      </c>
      <c r="GA36">
        <v>4035</v>
      </c>
      <c r="GK36">
        <v>1300</v>
      </c>
      <c r="GL36">
        <f t="shared" si="0"/>
        <v>32313</v>
      </c>
    </row>
    <row r="37" spans="1:194" x14ac:dyDescent="0.25">
      <c r="A37" s="4">
        <f>DATE(2023,2,13)</f>
        <v>44970</v>
      </c>
      <c r="B37">
        <v>87657</v>
      </c>
      <c r="BK37">
        <v>10</v>
      </c>
      <c r="DI37">
        <v>100</v>
      </c>
      <c r="DS37">
        <v>2475</v>
      </c>
      <c r="EC37">
        <v>1300</v>
      </c>
      <c r="EM37">
        <v>5265</v>
      </c>
      <c r="ES37">
        <v>250</v>
      </c>
      <c r="EU37">
        <v>500</v>
      </c>
      <c r="EW37">
        <v>2573</v>
      </c>
      <c r="FG37">
        <v>8430</v>
      </c>
      <c r="FQ37">
        <v>6075</v>
      </c>
      <c r="GA37">
        <v>4035</v>
      </c>
      <c r="GK37">
        <v>1300</v>
      </c>
      <c r="GL37">
        <f t="shared" ref="GL37:GL68" si="1">SUMPRODUCT(C37:GK37)</f>
        <v>32313</v>
      </c>
    </row>
    <row r="38" spans="1:194" x14ac:dyDescent="0.25">
      <c r="A38" s="4">
        <f>DATE(2023,2,10)</f>
        <v>44967</v>
      </c>
      <c r="B38">
        <v>87284</v>
      </c>
      <c r="BK38">
        <v>10</v>
      </c>
      <c r="DI38">
        <v>100</v>
      </c>
      <c r="DS38">
        <v>2475</v>
      </c>
      <c r="EC38">
        <v>1300</v>
      </c>
      <c r="EM38">
        <v>5265</v>
      </c>
      <c r="ES38">
        <v>250</v>
      </c>
      <c r="EU38">
        <v>500</v>
      </c>
      <c r="EW38">
        <v>2573</v>
      </c>
      <c r="FG38">
        <v>8430</v>
      </c>
      <c r="FQ38">
        <v>6075</v>
      </c>
      <c r="GA38">
        <v>4035</v>
      </c>
      <c r="GK38">
        <v>1300</v>
      </c>
      <c r="GL38">
        <f t="shared" si="1"/>
        <v>32313</v>
      </c>
    </row>
    <row r="39" spans="1:194" x14ac:dyDescent="0.25">
      <c r="A39" s="4">
        <f>DATE(2023,2,9)</f>
        <v>44966</v>
      </c>
      <c r="B39">
        <v>86537</v>
      </c>
      <c r="BK39">
        <v>10</v>
      </c>
      <c r="DI39">
        <v>100</v>
      </c>
      <c r="DS39">
        <v>2475</v>
      </c>
      <c r="EC39">
        <v>1300</v>
      </c>
      <c r="EM39">
        <v>5265</v>
      </c>
      <c r="EU39">
        <v>500</v>
      </c>
      <c r="EW39">
        <v>2573</v>
      </c>
      <c r="FG39">
        <v>8430</v>
      </c>
      <c r="FQ39">
        <v>6075</v>
      </c>
      <c r="GA39">
        <v>4035</v>
      </c>
      <c r="GK39">
        <v>1300</v>
      </c>
      <c r="GL39">
        <f t="shared" si="1"/>
        <v>32063</v>
      </c>
    </row>
    <row r="40" spans="1:194" x14ac:dyDescent="0.25">
      <c r="A40" s="4">
        <f>DATE(2023,2,8)</f>
        <v>44965</v>
      </c>
      <c r="B40">
        <v>85928</v>
      </c>
      <c r="BK40">
        <v>10</v>
      </c>
      <c r="DI40">
        <v>100</v>
      </c>
      <c r="DS40">
        <v>2475</v>
      </c>
      <c r="EC40">
        <v>1300</v>
      </c>
      <c r="EM40">
        <v>5115</v>
      </c>
      <c r="EU40">
        <v>500</v>
      </c>
      <c r="EW40">
        <v>2723</v>
      </c>
      <c r="FG40">
        <v>8330</v>
      </c>
      <c r="FQ40">
        <v>6075</v>
      </c>
      <c r="GA40">
        <v>4035</v>
      </c>
      <c r="GK40">
        <v>1300</v>
      </c>
      <c r="GL40">
        <f t="shared" si="1"/>
        <v>31963</v>
      </c>
    </row>
    <row r="41" spans="1:194" x14ac:dyDescent="0.25">
      <c r="A41" s="4">
        <f>DATE(2023,2,7)</f>
        <v>44964</v>
      </c>
      <c r="B41">
        <v>85347</v>
      </c>
      <c r="BK41">
        <v>10</v>
      </c>
      <c r="DI41">
        <v>100</v>
      </c>
      <c r="DS41">
        <v>2475</v>
      </c>
      <c r="EC41">
        <v>1300</v>
      </c>
      <c r="EM41">
        <v>5115</v>
      </c>
      <c r="EU41">
        <v>500</v>
      </c>
      <c r="EW41">
        <v>2723</v>
      </c>
      <c r="FG41">
        <v>8330</v>
      </c>
      <c r="FQ41">
        <v>6075</v>
      </c>
      <c r="GA41">
        <v>4285</v>
      </c>
      <c r="GK41">
        <v>1300</v>
      </c>
      <c r="GL41">
        <f t="shared" si="1"/>
        <v>32213</v>
      </c>
    </row>
    <row r="42" spans="1:194" x14ac:dyDescent="0.25">
      <c r="A42" s="4">
        <f>DATE(2023,2,6)</f>
        <v>44963</v>
      </c>
      <c r="B42">
        <v>85227</v>
      </c>
      <c r="BK42">
        <v>10</v>
      </c>
      <c r="DI42">
        <v>100</v>
      </c>
      <c r="DS42">
        <v>2475</v>
      </c>
      <c r="EC42">
        <v>1300</v>
      </c>
      <c r="EM42">
        <v>5115</v>
      </c>
      <c r="EU42">
        <v>500</v>
      </c>
      <c r="EW42">
        <v>2348</v>
      </c>
      <c r="FG42">
        <v>8386</v>
      </c>
      <c r="FQ42">
        <v>6075</v>
      </c>
      <c r="GA42">
        <v>4285</v>
      </c>
      <c r="GK42">
        <v>1300</v>
      </c>
      <c r="GL42">
        <f t="shared" si="1"/>
        <v>31894</v>
      </c>
    </row>
    <row r="43" spans="1:194" x14ac:dyDescent="0.25">
      <c r="A43" s="4">
        <f>DATE(2023,2,3)</f>
        <v>44960</v>
      </c>
      <c r="B43">
        <v>85141</v>
      </c>
      <c r="BK43">
        <v>10</v>
      </c>
      <c r="DI43">
        <v>100</v>
      </c>
      <c r="DS43">
        <v>2475</v>
      </c>
      <c r="EC43">
        <v>1300</v>
      </c>
      <c r="EM43">
        <v>5115</v>
      </c>
      <c r="EU43">
        <v>500</v>
      </c>
      <c r="EW43">
        <v>1921</v>
      </c>
      <c r="FG43">
        <v>7956</v>
      </c>
      <c r="FQ43">
        <v>2800</v>
      </c>
      <c r="GA43">
        <v>2510</v>
      </c>
      <c r="GK43">
        <v>1200</v>
      </c>
      <c r="GL43">
        <f t="shared" si="1"/>
        <v>25887</v>
      </c>
    </row>
    <row r="44" spans="1:194" x14ac:dyDescent="0.25">
      <c r="A44" s="4">
        <f>DATE(2023,2,2)</f>
        <v>44959</v>
      </c>
      <c r="B44">
        <v>85471</v>
      </c>
      <c r="BK44">
        <v>10</v>
      </c>
      <c r="DI44">
        <v>100</v>
      </c>
      <c r="DS44">
        <v>2475</v>
      </c>
      <c r="EC44">
        <v>1300</v>
      </c>
      <c r="EM44">
        <v>5115</v>
      </c>
      <c r="EU44">
        <v>500</v>
      </c>
      <c r="EW44">
        <v>1921</v>
      </c>
      <c r="FG44">
        <v>7956</v>
      </c>
      <c r="FQ44">
        <v>2800</v>
      </c>
      <c r="GA44">
        <v>2510</v>
      </c>
      <c r="GK44">
        <v>1200</v>
      </c>
      <c r="GL44">
        <f t="shared" si="1"/>
        <v>25887</v>
      </c>
    </row>
    <row r="45" spans="1:194" x14ac:dyDescent="0.25">
      <c r="A45" s="4">
        <f>DATE(2023,2,1)</f>
        <v>44958</v>
      </c>
      <c r="B45">
        <v>85208</v>
      </c>
      <c r="BK45">
        <v>10</v>
      </c>
      <c r="DI45">
        <v>100</v>
      </c>
      <c r="DS45">
        <v>2475</v>
      </c>
      <c r="EC45">
        <v>1300</v>
      </c>
      <c r="EM45">
        <v>5115</v>
      </c>
      <c r="EU45">
        <v>500</v>
      </c>
      <c r="EW45">
        <v>1921</v>
      </c>
      <c r="FG45">
        <v>7956</v>
      </c>
      <c r="FQ45">
        <v>2800</v>
      </c>
      <c r="GA45">
        <v>2510</v>
      </c>
      <c r="GK45">
        <v>1200</v>
      </c>
      <c r="GL45">
        <f t="shared" si="1"/>
        <v>25887</v>
      </c>
    </row>
    <row r="46" spans="1:194" x14ac:dyDescent="0.25">
      <c r="A46" s="4">
        <f>DATE(2023,1,31)</f>
        <v>44957</v>
      </c>
      <c r="B46">
        <v>84160</v>
      </c>
      <c r="BK46">
        <v>10</v>
      </c>
      <c r="DI46">
        <v>100</v>
      </c>
      <c r="DS46">
        <v>2475</v>
      </c>
      <c r="EC46">
        <v>1300</v>
      </c>
      <c r="EM46">
        <v>5115</v>
      </c>
      <c r="EU46">
        <v>500</v>
      </c>
      <c r="EW46">
        <v>1681</v>
      </c>
      <c r="FG46">
        <v>7905</v>
      </c>
      <c r="FQ46">
        <v>2300</v>
      </c>
      <c r="GA46">
        <v>2285</v>
      </c>
      <c r="GK46">
        <v>1200</v>
      </c>
      <c r="GL46">
        <f t="shared" si="1"/>
        <v>24871</v>
      </c>
    </row>
    <row r="47" spans="1:194" x14ac:dyDescent="0.25">
      <c r="A47" s="4">
        <f>DATE(2023,1,30)</f>
        <v>44956</v>
      </c>
      <c r="B47">
        <v>81653</v>
      </c>
      <c r="BK47">
        <v>10</v>
      </c>
      <c r="DI47">
        <v>100</v>
      </c>
      <c r="DS47">
        <v>2100</v>
      </c>
      <c r="DZ47">
        <v>50</v>
      </c>
      <c r="EC47">
        <v>1300</v>
      </c>
      <c r="EM47">
        <v>5015</v>
      </c>
      <c r="EU47">
        <v>500</v>
      </c>
      <c r="EW47">
        <v>1681</v>
      </c>
      <c r="FG47">
        <v>7905</v>
      </c>
      <c r="FQ47">
        <v>2300</v>
      </c>
      <c r="GA47">
        <v>2735</v>
      </c>
      <c r="GK47">
        <v>1200</v>
      </c>
      <c r="GL47">
        <f t="shared" si="1"/>
        <v>24896</v>
      </c>
    </row>
    <row r="48" spans="1:194" x14ac:dyDescent="0.25">
      <c r="A48" s="4">
        <f>DATE(2023,1,27)</f>
        <v>44953</v>
      </c>
      <c r="B48">
        <v>80657</v>
      </c>
      <c r="BK48">
        <v>10</v>
      </c>
      <c r="DI48">
        <v>100</v>
      </c>
      <c r="DS48">
        <v>2100</v>
      </c>
      <c r="DZ48">
        <v>50</v>
      </c>
      <c r="EC48">
        <v>1300</v>
      </c>
      <c r="EM48">
        <v>5015</v>
      </c>
      <c r="EU48">
        <v>500</v>
      </c>
      <c r="EW48">
        <v>1681</v>
      </c>
      <c r="FG48">
        <v>7905</v>
      </c>
      <c r="FQ48">
        <v>2300</v>
      </c>
      <c r="GA48">
        <v>2735</v>
      </c>
      <c r="GK48">
        <v>1200</v>
      </c>
      <c r="GL48">
        <f t="shared" si="1"/>
        <v>24896</v>
      </c>
    </row>
    <row r="49" spans="1:194" x14ac:dyDescent="0.25">
      <c r="A49" s="4">
        <f>DATE(2023,1,26)</f>
        <v>44952</v>
      </c>
      <c r="B49">
        <v>80421</v>
      </c>
      <c r="BK49">
        <v>10</v>
      </c>
      <c r="DI49">
        <v>100</v>
      </c>
      <c r="DS49">
        <v>2100</v>
      </c>
      <c r="DZ49">
        <v>50</v>
      </c>
      <c r="EC49">
        <v>1300</v>
      </c>
      <c r="EM49">
        <v>5015</v>
      </c>
      <c r="EU49">
        <v>500</v>
      </c>
      <c r="EW49">
        <v>1731</v>
      </c>
      <c r="FG49">
        <v>5705</v>
      </c>
      <c r="FQ49">
        <v>2300</v>
      </c>
      <c r="GA49">
        <v>2735</v>
      </c>
      <c r="GK49">
        <v>1200</v>
      </c>
      <c r="GL49">
        <f t="shared" si="1"/>
        <v>22746</v>
      </c>
    </row>
    <row r="50" spans="1:194" x14ac:dyDescent="0.25">
      <c r="A50" s="4">
        <f>DATE(2023,1,25)</f>
        <v>44951</v>
      </c>
      <c r="B50">
        <v>78135</v>
      </c>
      <c r="BK50">
        <v>10</v>
      </c>
      <c r="DI50">
        <v>100</v>
      </c>
      <c r="DS50">
        <v>2100</v>
      </c>
      <c r="EC50">
        <v>1300</v>
      </c>
      <c r="EM50">
        <v>5015</v>
      </c>
      <c r="EU50">
        <v>500</v>
      </c>
      <c r="EW50">
        <v>1731</v>
      </c>
      <c r="FG50">
        <v>4935</v>
      </c>
      <c r="FQ50">
        <v>1450</v>
      </c>
      <c r="GA50">
        <v>2235</v>
      </c>
      <c r="GK50">
        <v>1200</v>
      </c>
      <c r="GL50">
        <f t="shared" si="1"/>
        <v>20576</v>
      </c>
    </row>
    <row r="51" spans="1:194" x14ac:dyDescent="0.25">
      <c r="A51" s="4">
        <f>DATE(2023,1,24)</f>
        <v>44950</v>
      </c>
      <c r="B51">
        <v>77636</v>
      </c>
      <c r="BK51">
        <v>10</v>
      </c>
      <c r="DI51">
        <v>100</v>
      </c>
      <c r="DS51">
        <v>2100</v>
      </c>
      <c r="EC51">
        <v>1250</v>
      </c>
      <c r="EM51">
        <v>5015</v>
      </c>
      <c r="EW51">
        <v>1231</v>
      </c>
      <c r="FG51">
        <v>4935</v>
      </c>
      <c r="FQ51">
        <v>1125</v>
      </c>
      <c r="GA51">
        <v>2235</v>
      </c>
      <c r="GK51">
        <v>1200</v>
      </c>
      <c r="GL51">
        <f t="shared" si="1"/>
        <v>19201</v>
      </c>
    </row>
    <row r="52" spans="1:194" x14ac:dyDescent="0.25">
      <c r="A52" s="4">
        <f>DATE(2023,1,23)</f>
        <v>44949</v>
      </c>
      <c r="B52">
        <v>77102</v>
      </c>
      <c r="BK52">
        <v>10</v>
      </c>
      <c r="DI52">
        <v>100</v>
      </c>
      <c r="DS52">
        <v>2100</v>
      </c>
      <c r="EC52">
        <v>1250</v>
      </c>
      <c r="EM52">
        <v>5015</v>
      </c>
      <c r="EW52">
        <v>1231</v>
      </c>
      <c r="FG52">
        <v>4935</v>
      </c>
      <c r="FQ52">
        <v>1125</v>
      </c>
      <c r="GA52">
        <v>2235</v>
      </c>
      <c r="GK52">
        <v>1200</v>
      </c>
      <c r="GL52">
        <f t="shared" si="1"/>
        <v>19201</v>
      </c>
    </row>
    <row r="53" spans="1:194" x14ac:dyDescent="0.25">
      <c r="A53" s="4">
        <f>DATE(2023,1,20)</f>
        <v>44946</v>
      </c>
      <c r="B53">
        <v>76889</v>
      </c>
      <c r="BK53">
        <v>10</v>
      </c>
      <c r="DI53">
        <v>100</v>
      </c>
      <c r="DS53">
        <v>2100</v>
      </c>
      <c r="EC53">
        <v>1250</v>
      </c>
      <c r="EM53">
        <v>5015</v>
      </c>
      <c r="EW53">
        <v>1481</v>
      </c>
      <c r="FG53">
        <v>4935</v>
      </c>
      <c r="FQ53">
        <v>1125</v>
      </c>
      <c r="GA53">
        <v>2335</v>
      </c>
      <c r="GK53">
        <v>1200</v>
      </c>
      <c r="GL53">
        <f t="shared" si="1"/>
        <v>19551</v>
      </c>
    </row>
    <row r="54" spans="1:194" x14ac:dyDescent="0.25">
      <c r="A54" s="4">
        <f>DATE(2023,1,19)</f>
        <v>44945</v>
      </c>
      <c r="B54">
        <v>76372</v>
      </c>
      <c r="BK54">
        <v>10</v>
      </c>
      <c r="DI54">
        <v>100</v>
      </c>
      <c r="DS54">
        <v>2100</v>
      </c>
      <c r="EC54">
        <v>1250</v>
      </c>
      <c r="EM54">
        <v>3765</v>
      </c>
      <c r="EW54">
        <v>1469</v>
      </c>
      <c r="FG54">
        <v>4635</v>
      </c>
      <c r="FQ54">
        <v>1125</v>
      </c>
      <c r="GA54">
        <v>2335</v>
      </c>
      <c r="GK54">
        <v>2250</v>
      </c>
      <c r="GL54">
        <f t="shared" si="1"/>
        <v>19039</v>
      </c>
    </row>
    <row r="55" spans="1:194" x14ac:dyDescent="0.25">
      <c r="A55" s="4">
        <f>DATE(2023,1,18)</f>
        <v>44944</v>
      </c>
      <c r="B55">
        <v>76108</v>
      </c>
      <c r="BK55">
        <v>10</v>
      </c>
      <c r="DI55">
        <v>100</v>
      </c>
      <c r="DS55">
        <v>2100</v>
      </c>
      <c r="EC55">
        <v>1250</v>
      </c>
      <c r="EM55">
        <v>3530</v>
      </c>
      <c r="EW55">
        <v>1467</v>
      </c>
      <c r="FG55">
        <v>3610</v>
      </c>
      <c r="FQ55">
        <v>500</v>
      </c>
      <c r="GA55">
        <v>1360</v>
      </c>
      <c r="GK55">
        <v>1250</v>
      </c>
      <c r="GL55">
        <f t="shared" si="1"/>
        <v>15177</v>
      </c>
    </row>
    <row r="56" spans="1:194" x14ac:dyDescent="0.25">
      <c r="A56" s="4">
        <f>DATE(2023,1,17)</f>
        <v>44943</v>
      </c>
      <c r="B56">
        <v>75126</v>
      </c>
      <c r="BK56">
        <v>10</v>
      </c>
      <c r="DI56">
        <v>100</v>
      </c>
      <c r="DS56">
        <v>2100</v>
      </c>
      <c r="EC56">
        <v>1250</v>
      </c>
      <c r="EM56">
        <v>3780</v>
      </c>
      <c r="EW56">
        <v>1467</v>
      </c>
      <c r="FG56">
        <v>3860</v>
      </c>
      <c r="FQ56">
        <v>500</v>
      </c>
      <c r="GA56">
        <v>1110</v>
      </c>
      <c r="GK56">
        <v>1250</v>
      </c>
      <c r="GL56">
        <f t="shared" si="1"/>
        <v>15427</v>
      </c>
    </row>
    <row r="57" spans="1:194" x14ac:dyDescent="0.25">
      <c r="A57" s="4">
        <f>DATE(2023,1,16)</f>
        <v>44942</v>
      </c>
      <c r="B57">
        <v>74684</v>
      </c>
      <c r="BK57">
        <v>10</v>
      </c>
      <c r="DI57">
        <v>100</v>
      </c>
      <c r="DS57">
        <v>2100</v>
      </c>
      <c r="EC57">
        <v>1250</v>
      </c>
      <c r="EM57">
        <v>3780</v>
      </c>
      <c r="EW57">
        <v>1467</v>
      </c>
      <c r="FG57">
        <v>3860</v>
      </c>
      <c r="FQ57">
        <v>500</v>
      </c>
      <c r="GA57">
        <v>1110</v>
      </c>
      <c r="GK57">
        <v>1250</v>
      </c>
      <c r="GL57">
        <f t="shared" si="1"/>
        <v>15427</v>
      </c>
    </row>
    <row r="58" spans="1:194" x14ac:dyDescent="0.25">
      <c r="A58" s="4">
        <f>DATE(2023,1,13)</f>
        <v>44939</v>
      </c>
      <c r="B58">
        <v>74089</v>
      </c>
      <c r="BK58">
        <v>10</v>
      </c>
      <c r="DI58">
        <v>100</v>
      </c>
      <c r="DS58">
        <v>2100</v>
      </c>
      <c r="EC58">
        <v>1250</v>
      </c>
      <c r="EM58">
        <v>3780</v>
      </c>
      <c r="EW58">
        <v>1367</v>
      </c>
      <c r="FG58">
        <v>3610</v>
      </c>
      <c r="FQ58">
        <v>500</v>
      </c>
      <c r="GA58">
        <v>1310</v>
      </c>
      <c r="GK58">
        <v>1250</v>
      </c>
      <c r="GL58">
        <f t="shared" si="1"/>
        <v>15277</v>
      </c>
    </row>
    <row r="59" spans="1:194" x14ac:dyDescent="0.25">
      <c r="A59" s="4">
        <f>DATE(2023,1,12)</f>
        <v>44938</v>
      </c>
      <c r="B59">
        <v>73630</v>
      </c>
      <c r="BK59">
        <v>10</v>
      </c>
      <c r="DI59">
        <v>100</v>
      </c>
      <c r="DS59">
        <v>2100</v>
      </c>
      <c r="EC59">
        <v>1250</v>
      </c>
      <c r="EM59">
        <v>3780</v>
      </c>
      <c r="EW59">
        <v>1367</v>
      </c>
      <c r="FG59">
        <v>3610</v>
      </c>
      <c r="FQ59">
        <v>500</v>
      </c>
      <c r="GA59">
        <v>1310</v>
      </c>
      <c r="GK59">
        <v>1250</v>
      </c>
      <c r="GL59">
        <f t="shared" si="1"/>
        <v>15277</v>
      </c>
    </row>
    <row r="60" spans="1:194" x14ac:dyDescent="0.25">
      <c r="A60" s="4">
        <f>DATE(2023,1,11)</f>
        <v>44937</v>
      </c>
      <c r="B60">
        <v>73217</v>
      </c>
      <c r="BK60">
        <v>10</v>
      </c>
      <c r="DI60">
        <v>100</v>
      </c>
      <c r="DS60">
        <v>2100</v>
      </c>
      <c r="EC60">
        <v>1250</v>
      </c>
      <c r="EM60">
        <v>3780</v>
      </c>
      <c r="EW60">
        <v>1367</v>
      </c>
      <c r="FG60">
        <v>3610</v>
      </c>
      <c r="FQ60">
        <v>500</v>
      </c>
      <c r="GA60">
        <v>1310</v>
      </c>
      <c r="GK60">
        <v>1250</v>
      </c>
      <c r="GL60">
        <f t="shared" si="1"/>
        <v>15277</v>
      </c>
    </row>
    <row r="61" spans="1:194" x14ac:dyDescent="0.25">
      <c r="A61" s="4">
        <f>DATE(2023,1,10)</f>
        <v>44936</v>
      </c>
      <c r="B61">
        <v>72549</v>
      </c>
      <c r="BK61">
        <v>10</v>
      </c>
      <c r="DI61">
        <v>100</v>
      </c>
      <c r="DS61">
        <v>1900</v>
      </c>
      <c r="EC61">
        <v>1250</v>
      </c>
      <c r="EM61">
        <v>3580</v>
      </c>
      <c r="EW61">
        <v>1367</v>
      </c>
      <c r="FG61">
        <v>3610</v>
      </c>
      <c r="FQ61">
        <v>500</v>
      </c>
      <c r="GA61">
        <v>1310</v>
      </c>
      <c r="GK61">
        <v>1250</v>
      </c>
      <c r="GL61">
        <f t="shared" si="1"/>
        <v>14877</v>
      </c>
    </row>
    <row r="62" spans="1:194" x14ac:dyDescent="0.25">
      <c r="A62" s="4">
        <f>DATE(2023,1,9)</f>
        <v>44935</v>
      </c>
      <c r="B62">
        <v>72333</v>
      </c>
      <c r="BK62">
        <v>10</v>
      </c>
      <c r="DI62">
        <v>100</v>
      </c>
      <c r="DS62">
        <v>1900</v>
      </c>
      <c r="EC62">
        <v>1250</v>
      </c>
      <c r="EM62">
        <v>3580</v>
      </c>
      <c r="EW62">
        <v>1367</v>
      </c>
      <c r="FG62">
        <v>3610</v>
      </c>
      <c r="FQ62">
        <v>500</v>
      </c>
      <c r="GA62">
        <v>1310</v>
      </c>
      <c r="GK62">
        <v>1250</v>
      </c>
      <c r="GL62">
        <f t="shared" si="1"/>
        <v>14877</v>
      </c>
    </row>
    <row r="63" spans="1:194" x14ac:dyDescent="0.25">
      <c r="A63" s="4">
        <f>DATE(2023,1,6)</f>
        <v>44932</v>
      </c>
      <c r="B63">
        <v>72293</v>
      </c>
      <c r="BK63">
        <v>10</v>
      </c>
      <c r="DI63">
        <v>100</v>
      </c>
      <c r="DS63">
        <v>1900</v>
      </c>
      <c r="EC63">
        <v>1250</v>
      </c>
      <c r="EM63">
        <v>3580</v>
      </c>
      <c r="EW63">
        <v>1367</v>
      </c>
      <c r="FG63">
        <v>3610</v>
      </c>
      <c r="FQ63">
        <v>500</v>
      </c>
      <c r="GA63">
        <v>1310</v>
      </c>
      <c r="GK63">
        <v>1250</v>
      </c>
      <c r="GL63">
        <f t="shared" si="1"/>
        <v>14877</v>
      </c>
    </row>
    <row r="64" spans="1:194" x14ac:dyDescent="0.25">
      <c r="A64" s="4">
        <f>DATE(2023,1,5)</f>
        <v>44931</v>
      </c>
      <c r="B64">
        <v>72206</v>
      </c>
      <c r="BK64">
        <v>10</v>
      </c>
      <c r="DI64">
        <v>100</v>
      </c>
      <c r="DS64">
        <v>1750</v>
      </c>
      <c r="EC64">
        <v>1250</v>
      </c>
      <c r="EM64">
        <v>3380</v>
      </c>
      <c r="EW64">
        <v>1267</v>
      </c>
      <c r="FG64">
        <v>3610</v>
      </c>
      <c r="FQ64">
        <v>500</v>
      </c>
      <c r="GA64">
        <v>1310</v>
      </c>
      <c r="GK64">
        <v>1250</v>
      </c>
      <c r="GL64">
        <f t="shared" si="1"/>
        <v>14427</v>
      </c>
    </row>
    <row r="65" spans="1:194" x14ac:dyDescent="0.25">
      <c r="A65" s="4">
        <f>DATE(2023,1,4)</f>
        <v>44930</v>
      </c>
      <c r="B65">
        <v>72789</v>
      </c>
      <c r="BK65">
        <v>10</v>
      </c>
      <c r="DI65">
        <v>100</v>
      </c>
      <c r="DS65">
        <v>1750</v>
      </c>
      <c r="EC65">
        <v>1250</v>
      </c>
      <c r="EM65">
        <v>3380</v>
      </c>
      <c r="EW65">
        <v>1267</v>
      </c>
      <c r="FG65">
        <v>3110</v>
      </c>
      <c r="FQ65">
        <v>525</v>
      </c>
      <c r="GA65">
        <v>800</v>
      </c>
      <c r="GK65">
        <v>1250</v>
      </c>
      <c r="GL65">
        <f t="shared" si="1"/>
        <v>13442</v>
      </c>
    </row>
    <row r="66" spans="1:194" x14ac:dyDescent="0.25">
      <c r="A66" s="4">
        <f>DATE(2023,1,3)</f>
        <v>44929</v>
      </c>
      <c r="B66">
        <v>72784</v>
      </c>
      <c r="BK66">
        <v>10</v>
      </c>
      <c r="DI66">
        <v>100</v>
      </c>
      <c r="DS66">
        <v>1750</v>
      </c>
      <c r="EC66">
        <v>1250</v>
      </c>
      <c r="EM66">
        <v>3380</v>
      </c>
      <c r="EW66">
        <v>667</v>
      </c>
      <c r="FG66">
        <v>3110</v>
      </c>
      <c r="FQ66">
        <v>525</v>
      </c>
      <c r="GA66">
        <v>825</v>
      </c>
      <c r="GK66">
        <v>1250</v>
      </c>
      <c r="GL66">
        <f t="shared" si="1"/>
        <v>12867</v>
      </c>
    </row>
    <row r="67" spans="1:194" x14ac:dyDescent="0.25">
      <c r="A67" s="4">
        <f>DATE(2023,1,2)</f>
        <v>44928</v>
      </c>
      <c r="B67">
        <v>72682</v>
      </c>
      <c r="BK67">
        <v>10</v>
      </c>
      <c r="DI67">
        <v>100</v>
      </c>
      <c r="DS67">
        <v>1750</v>
      </c>
      <c r="EC67">
        <v>1250</v>
      </c>
      <c r="EM67">
        <v>3380</v>
      </c>
      <c r="EW67">
        <v>667</v>
      </c>
      <c r="FG67">
        <v>3110</v>
      </c>
      <c r="FQ67">
        <v>525</v>
      </c>
      <c r="GA67">
        <v>825</v>
      </c>
      <c r="GK67">
        <v>1250</v>
      </c>
      <c r="GL67">
        <f t="shared" si="1"/>
        <v>12867</v>
      </c>
    </row>
    <row r="68" spans="1:194" x14ac:dyDescent="0.25">
      <c r="A68" s="4">
        <f>DATE(2022,12,30)</f>
        <v>44925</v>
      </c>
      <c r="B68">
        <v>72651</v>
      </c>
      <c r="BK68">
        <v>10</v>
      </c>
      <c r="DI68">
        <v>100</v>
      </c>
      <c r="DS68">
        <v>1750</v>
      </c>
      <c r="EC68">
        <v>1250</v>
      </c>
      <c r="EM68">
        <v>3380</v>
      </c>
      <c r="EW68">
        <v>667</v>
      </c>
      <c r="FG68">
        <v>3110</v>
      </c>
      <c r="FQ68">
        <v>525</v>
      </c>
      <c r="GA68">
        <v>825</v>
      </c>
      <c r="GK68">
        <v>1250</v>
      </c>
      <c r="GL68">
        <f t="shared" si="1"/>
        <v>12867</v>
      </c>
    </row>
    <row r="69" spans="1:194" x14ac:dyDescent="0.25">
      <c r="A69" s="4">
        <f>DATE(2022,12,29)</f>
        <v>44924</v>
      </c>
      <c r="B69">
        <v>72557</v>
      </c>
      <c r="DI69">
        <v>100</v>
      </c>
      <c r="DS69">
        <v>1750</v>
      </c>
      <c r="EC69">
        <v>1250</v>
      </c>
      <c r="EM69">
        <v>3380</v>
      </c>
      <c r="EW69">
        <v>667</v>
      </c>
      <c r="FG69">
        <v>3110</v>
      </c>
      <c r="FQ69">
        <v>525</v>
      </c>
      <c r="GA69">
        <v>825</v>
      </c>
      <c r="GK69">
        <v>1250</v>
      </c>
      <c r="GL69">
        <f t="shared" ref="GL69:GL70" si="2">SUMPRODUCT(C69:GK69)</f>
        <v>12857</v>
      </c>
    </row>
    <row r="70" spans="1:194" x14ac:dyDescent="0.25">
      <c r="A70" s="4">
        <f>DATE(2022,12,28)</f>
        <v>44923</v>
      </c>
      <c r="B70">
        <v>72442</v>
      </c>
      <c r="DI70">
        <v>100</v>
      </c>
      <c r="DS70">
        <v>1750</v>
      </c>
      <c r="EC70">
        <v>1250</v>
      </c>
      <c r="EM70">
        <v>3380</v>
      </c>
      <c r="EW70">
        <v>667</v>
      </c>
      <c r="FG70">
        <v>3110</v>
      </c>
      <c r="FQ70">
        <v>525</v>
      </c>
      <c r="GA70">
        <v>825</v>
      </c>
      <c r="GK70">
        <v>1250</v>
      </c>
      <c r="GL70">
        <f t="shared" si="2"/>
        <v>12857</v>
      </c>
    </row>
    <row r="71" spans="1:194" x14ac:dyDescent="0.25">
      <c r="A71" s="4">
        <f>DATE(2022,12,27)</f>
        <v>44922</v>
      </c>
      <c r="B71">
        <v>72283</v>
      </c>
      <c r="DI71">
        <v>100</v>
      </c>
      <c r="DS71">
        <v>1750</v>
      </c>
      <c r="EC71">
        <v>1250</v>
      </c>
      <c r="EM71">
        <v>3380</v>
      </c>
      <c r="EW71">
        <v>667</v>
      </c>
      <c r="FG71">
        <v>3110</v>
      </c>
      <c r="FQ71">
        <v>525</v>
      </c>
      <c r="GA71">
        <v>825</v>
      </c>
      <c r="GK71">
        <v>1250</v>
      </c>
    </row>
    <row r="72" spans="1:194" x14ac:dyDescent="0.25">
      <c r="A72" s="4">
        <f>DATE(2022,12,26)</f>
        <v>44921</v>
      </c>
    </row>
    <row r="73" spans="1:194" x14ac:dyDescent="0.25">
      <c r="A73" s="4">
        <f>DATE(2022,12,23)</f>
        <v>44918</v>
      </c>
      <c r="B73">
        <v>72277</v>
      </c>
      <c r="DI73">
        <v>100</v>
      </c>
      <c r="DS73">
        <v>1750</v>
      </c>
      <c r="EC73">
        <v>1250</v>
      </c>
      <c r="EM73">
        <v>3380</v>
      </c>
      <c r="EW73">
        <v>667</v>
      </c>
      <c r="FG73">
        <v>3110</v>
      </c>
      <c r="FQ73">
        <v>525</v>
      </c>
      <c r="GA73">
        <v>825</v>
      </c>
      <c r="GK73">
        <v>1250</v>
      </c>
    </row>
    <row r="74" spans="1:194" x14ac:dyDescent="0.25">
      <c r="A74" s="4">
        <f>DATE(2022,12,22)</f>
        <v>44917</v>
      </c>
      <c r="B74">
        <v>72232</v>
      </c>
      <c r="DI74">
        <v>100</v>
      </c>
      <c r="DS74">
        <v>1750</v>
      </c>
      <c r="EC74">
        <v>1250</v>
      </c>
      <c r="EM74">
        <v>3380</v>
      </c>
      <c r="EW74">
        <v>667</v>
      </c>
      <c r="FG74">
        <v>3110</v>
      </c>
      <c r="FQ74">
        <v>525</v>
      </c>
      <c r="GA74">
        <v>825</v>
      </c>
      <c r="GK74">
        <v>1250</v>
      </c>
    </row>
    <row r="75" spans="1:194" x14ac:dyDescent="0.25">
      <c r="A75" s="4">
        <f>DATE(2022,12,21)</f>
        <v>44916</v>
      </c>
      <c r="B75">
        <v>71984</v>
      </c>
      <c r="DI75">
        <v>100</v>
      </c>
      <c r="DS75">
        <v>1750</v>
      </c>
      <c r="EC75">
        <v>1250</v>
      </c>
      <c r="EM75">
        <v>3530</v>
      </c>
      <c r="EW75">
        <v>667</v>
      </c>
      <c r="FG75">
        <v>3110</v>
      </c>
      <c r="FQ75">
        <v>525</v>
      </c>
      <c r="GA75">
        <v>825</v>
      </c>
      <c r="GK75">
        <v>1250</v>
      </c>
    </row>
    <row r="76" spans="1:194" x14ac:dyDescent="0.25">
      <c r="A76" s="4">
        <f>DATE(2022,12,20)</f>
        <v>44915</v>
      </c>
      <c r="B76">
        <v>71739</v>
      </c>
      <c r="DI76">
        <v>100</v>
      </c>
      <c r="DS76">
        <v>1750</v>
      </c>
      <c r="EC76">
        <v>1250</v>
      </c>
      <c r="EM76">
        <v>1870</v>
      </c>
      <c r="EW76">
        <v>667</v>
      </c>
      <c r="FG76">
        <v>1650</v>
      </c>
      <c r="FQ76">
        <v>125</v>
      </c>
      <c r="GA76">
        <v>750</v>
      </c>
      <c r="GK76">
        <v>1250</v>
      </c>
    </row>
    <row r="77" spans="1:194" x14ac:dyDescent="0.25">
      <c r="A77" s="4">
        <f>DATE(2022,12,19)</f>
        <v>44914</v>
      </c>
      <c r="B77">
        <v>71431</v>
      </c>
      <c r="DI77">
        <v>100</v>
      </c>
      <c r="DS77">
        <v>1750</v>
      </c>
      <c r="EC77">
        <v>1250</v>
      </c>
      <c r="EM77">
        <v>1870</v>
      </c>
      <c r="EW77">
        <v>667</v>
      </c>
      <c r="FG77">
        <v>1650</v>
      </c>
      <c r="FQ77">
        <v>125</v>
      </c>
      <c r="GA77">
        <v>750</v>
      </c>
      <c r="GK77">
        <v>1250</v>
      </c>
    </row>
    <row r="78" spans="1:194" x14ac:dyDescent="0.25">
      <c r="A78" s="4">
        <f>DATE(2022,12,16)</f>
        <v>44911</v>
      </c>
      <c r="B78">
        <v>71304</v>
      </c>
      <c r="DI78">
        <v>100</v>
      </c>
      <c r="DS78">
        <v>1750</v>
      </c>
      <c r="EC78">
        <v>1250</v>
      </c>
      <c r="EM78">
        <v>1370</v>
      </c>
      <c r="EW78">
        <v>667</v>
      </c>
      <c r="FG78">
        <v>1300</v>
      </c>
      <c r="FQ78">
        <v>125</v>
      </c>
      <c r="GA78">
        <v>750</v>
      </c>
      <c r="GK78">
        <v>1250</v>
      </c>
    </row>
    <row r="79" spans="1:194" x14ac:dyDescent="0.25">
      <c r="A79" s="4">
        <f>DATE(2022,12,15)</f>
        <v>44910</v>
      </c>
      <c r="B79">
        <v>71132</v>
      </c>
      <c r="DI79">
        <v>100</v>
      </c>
      <c r="DS79">
        <v>1750</v>
      </c>
      <c r="EC79">
        <v>1250</v>
      </c>
      <c r="EM79">
        <v>1020</v>
      </c>
      <c r="EW79">
        <v>667</v>
      </c>
      <c r="FG79">
        <v>1050</v>
      </c>
      <c r="FQ79">
        <v>125</v>
      </c>
      <c r="GA79">
        <v>750</v>
      </c>
      <c r="GK79">
        <v>1250</v>
      </c>
    </row>
    <row r="80" spans="1:194" x14ac:dyDescent="0.25">
      <c r="A80" s="4">
        <f>DATE(2022,12,14)</f>
        <v>44909</v>
      </c>
      <c r="B80">
        <v>70904</v>
      </c>
      <c r="DI80">
        <v>100</v>
      </c>
      <c r="DS80">
        <v>1750</v>
      </c>
      <c r="EC80">
        <v>1250</v>
      </c>
      <c r="EM80">
        <v>1020</v>
      </c>
      <c r="EW80">
        <v>667</v>
      </c>
      <c r="FG80">
        <v>1050</v>
      </c>
      <c r="FQ80">
        <v>125</v>
      </c>
      <c r="GA80">
        <v>750</v>
      </c>
      <c r="GK80">
        <v>1250</v>
      </c>
    </row>
    <row r="81" spans="1:193" x14ac:dyDescent="0.25">
      <c r="A81" s="4">
        <f>DATE(2022,12,13)</f>
        <v>44908</v>
      </c>
      <c r="B81">
        <v>70737</v>
      </c>
      <c r="DI81">
        <v>100</v>
      </c>
      <c r="DS81">
        <v>1750</v>
      </c>
      <c r="EC81">
        <v>1250</v>
      </c>
      <c r="EM81">
        <v>1020</v>
      </c>
      <c r="EW81">
        <v>667</v>
      </c>
      <c r="FG81">
        <v>1050</v>
      </c>
      <c r="FQ81">
        <v>125</v>
      </c>
      <c r="GA81">
        <v>750</v>
      </c>
      <c r="GK81">
        <v>1250</v>
      </c>
    </row>
    <row r="82" spans="1:193" x14ac:dyDescent="0.25">
      <c r="A82" s="4">
        <f>DATE(2022,12,12)</f>
        <v>44907</v>
      </c>
      <c r="B82">
        <v>70638</v>
      </c>
      <c r="DI82">
        <v>100</v>
      </c>
      <c r="DS82">
        <v>1750</v>
      </c>
      <c r="EC82">
        <v>1250</v>
      </c>
      <c r="EM82">
        <v>1020</v>
      </c>
      <c r="EW82">
        <v>667</v>
      </c>
      <c r="FG82">
        <v>950</v>
      </c>
      <c r="FQ82">
        <v>125</v>
      </c>
      <c r="GA82">
        <v>750</v>
      </c>
      <c r="GK82">
        <v>1250</v>
      </c>
    </row>
    <row r="83" spans="1:193" x14ac:dyDescent="0.25">
      <c r="A83" s="4">
        <f>DATE(2022,12,9)</f>
        <v>44904</v>
      </c>
      <c r="B83">
        <v>70113</v>
      </c>
      <c r="DI83">
        <v>100</v>
      </c>
      <c r="DS83">
        <v>1750</v>
      </c>
      <c r="EC83">
        <v>1250</v>
      </c>
      <c r="EM83">
        <v>1020</v>
      </c>
      <c r="EW83">
        <v>667</v>
      </c>
      <c r="FG83">
        <v>950</v>
      </c>
      <c r="FQ83">
        <v>125</v>
      </c>
      <c r="GA83">
        <v>750</v>
      </c>
      <c r="GK83">
        <v>1250</v>
      </c>
    </row>
    <row r="84" spans="1:193" x14ac:dyDescent="0.25">
      <c r="A84" s="4">
        <f>DATE(2022,12,8)</f>
        <v>44903</v>
      </c>
      <c r="B84">
        <v>70086</v>
      </c>
      <c r="DI84">
        <v>100</v>
      </c>
      <c r="DS84">
        <v>1750</v>
      </c>
      <c r="EC84">
        <v>1250</v>
      </c>
      <c r="EM84">
        <v>1020</v>
      </c>
      <c r="EW84">
        <v>667</v>
      </c>
      <c r="FG84">
        <v>950</v>
      </c>
      <c r="FQ84">
        <v>125</v>
      </c>
      <c r="GA84">
        <v>750</v>
      </c>
      <c r="GK84">
        <v>1250</v>
      </c>
    </row>
    <row r="85" spans="1:193" x14ac:dyDescent="0.25">
      <c r="A85" s="4">
        <f>DATE(2022,12,7)</f>
        <v>44902</v>
      </c>
      <c r="B85">
        <v>69144</v>
      </c>
      <c r="DI85">
        <v>100</v>
      </c>
      <c r="DS85">
        <v>1750</v>
      </c>
      <c r="EC85">
        <v>1250</v>
      </c>
      <c r="EM85">
        <v>1020</v>
      </c>
      <c r="EW85">
        <v>667</v>
      </c>
      <c r="FG85">
        <v>950</v>
      </c>
      <c r="FQ85">
        <v>125</v>
      </c>
      <c r="GA85">
        <v>750</v>
      </c>
      <c r="GK85">
        <v>1250</v>
      </c>
    </row>
    <row r="86" spans="1:193" x14ac:dyDescent="0.25">
      <c r="A86" s="4">
        <f>DATE(2022,12,6)</f>
        <v>44901</v>
      </c>
      <c r="B86">
        <v>67123</v>
      </c>
      <c r="DI86">
        <v>100</v>
      </c>
      <c r="DS86">
        <v>1750</v>
      </c>
      <c r="EC86">
        <v>1250</v>
      </c>
      <c r="EM86">
        <v>1020</v>
      </c>
      <c r="EW86">
        <v>667</v>
      </c>
      <c r="FG86">
        <v>950</v>
      </c>
      <c r="FQ86">
        <v>125</v>
      </c>
      <c r="GA86">
        <v>750</v>
      </c>
      <c r="GK86">
        <v>1250</v>
      </c>
    </row>
    <row r="87" spans="1:193" x14ac:dyDescent="0.25">
      <c r="A87" s="4">
        <f>DATE(2022,12,5)</f>
        <v>44900</v>
      </c>
      <c r="B87">
        <v>67487</v>
      </c>
      <c r="DI87">
        <v>100</v>
      </c>
      <c r="DS87">
        <v>1750</v>
      </c>
      <c r="EC87">
        <v>1250</v>
      </c>
      <c r="EM87">
        <v>1020</v>
      </c>
      <c r="EW87">
        <v>667</v>
      </c>
      <c r="FG87">
        <v>950</v>
      </c>
      <c r="FQ87">
        <v>125</v>
      </c>
      <c r="GA87">
        <v>750</v>
      </c>
      <c r="GK87">
        <v>1250</v>
      </c>
    </row>
    <row r="88" spans="1:193" x14ac:dyDescent="0.25">
      <c r="A88" s="4">
        <f>DATE(2022,12,2)</f>
        <v>44897</v>
      </c>
      <c r="B88">
        <v>67378</v>
      </c>
      <c r="DI88">
        <v>100</v>
      </c>
      <c r="DS88">
        <v>1750</v>
      </c>
      <c r="EC88">
        <v>1250</v>
      </c>
      <c r="EM88">
        <v>1020</v>
      </c>
      <c r="EW88">
        <v>667</v>
      </c>
      <c r="FG88">
        <v>950</v>
      </c>
      <c r="FQ88">
        <v>100</v>
      </c>
      <c r="GA88">
        <v>750</v>
      </c>
      <c r="GK88">
        <v>1250</v>
      </c>
    </row>
    <row r="89" spans="1:193" x14ac:dyDescent="0.25">
      <c r="A89" s="4">
        <f>DATE(2022,12,1)</f>
        <v>44896</v>
      </c>
      <c r="B89">
        <v>67451</v>
      </c>
      <c r="DI89">
        <v>100</v>
      </c>
      <c r="DS89">
        <v>1750</v>
      </c>
      <c r="EC89">
        <v>1250</v>
      </c>
      <c r="EM89">
        <v>1020</v>
      </c>
      <c r="EW89">
        <v>767</v>
      </c>
      <c r="FG89">
        <v>950</v>
      </c>
      <c r="FQ89">
        <v>100</v>
      </c>
      <c r="GA89">
        <v>750</v>
      </c>
      <c r="GK89">
        <v>1250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6CFB9-BF83-4ECD-9FA1-945DC475DD6D}">
  <dimension ref="A1:GN84"/>
  <sheetViews>
    <sheetView topLeftCell="FY1" workbookViewId="0">
      <selection activeCell="GM5" sqref="A5:GM1048576"/>
    </sheetView>
  </sheetViews>
  <sheetFormatPr defaultRowHeight="15" x14ac:dyDescent="0.25"/>
  <cols>
    <col min="1" max="1" width="16.85546875" customWidth="1"/>
    <col min="2" max="9" width="8.85546875" customWidth="1"/>
    <col min="10" max="10" width="18.28515625" customWidth="1"/>
    <col min="11" max="196" width="8.85546875" customWidth="1"/>
  </cols>
  <sheetData>
    <row r="1" spans="1:196" x14ac:dyDescent="0.25">
      <c r="A1" t="str">
        <f>_xll.ICESeries(B1:GM1,B2:GM2,,DATE(2022,12,1),DATE(2023,3,23),,"DayOfWeek=12345")</f>
        <v>Time Series</v>
      </c>
      <c r="B1" t="s">
        <v>461</v>
      </c>
      <c r="C1" t="s">
        <v>2221</v>
      </c>
      <c r="D1" t="s">
        <v>2222</v>
      </c>
      <c r="E1" t="s">
        <v>2223</v>
      </c>
      <c r="F1" t="s">
        <v>2224</v>
      </c>
      <c r="G1" t="s">
        <v>2225</v>
      </c>
      <c r="H1" t="s">
        <v>2226</v>
      </c>
      <c r="I1" t="s">
        <v>2227</v>
      </c>
      <c r="J1" t="s">
        <v>2228</v>
      </c>
      <c r="K1" t="s">
        <v>2229</v>
      </c>
      <c r="L1" t="s">
        <v>2230</v>
      </c>
      <c r="M1" t="s">
        <v>2231</v>
      </c>
      <c r="N1" t="s">
        <v>2232</v>
      </c>
      <c r="O1" t="s">
        <v>2233</v>
      </c>
      <c r="P1" t="s">
        <v>2234</v>
      </c>
      <c r="Q1" t="s">
        <v>2235</v>
      </c>
      <c r="R1" t="s">
        <v>2236</v>
      </c>
      <c r="S1" t="s">
        <v>2237</v>
      </c>
      <c r="T1" t="s">
        <v>2238</v>
      </c>
      <c r="U1" t="s">
        <v>2239</v>
      </c>
      <c r="V1" t="s">
        <v>2240</v>
      </c>
      <c r="W1" t="s">
        <v>2241</v>
      </c>
      <c r="X1" t="s">
        <v>2242</v>
      </c>
      <c r="Y1" t="s">
        <v>2243</v>
      </c>
      <c r="Z1" t="s">
        <v>2244</v>
      </c>
      <c r="AA1" t="s">
        <v>2245</v>
      </c>
      <c r="AB1" t="s">
        <v>2246</v>
      </c>
      <c r="AC1" t="s">
        <v>2247</v>
      </c>
      <c r="AD1" t="s">
        <v>2248</v>
      </c>
      <c r="AE1" t="s">
        <v>2249</v>
      </c>
      <c r="AF1" t="s">
        <v>2250</v>
      </c>
      <c r="AG1" t="s">
        <v>2251</v>
      </c>
      <c r="AH1" t="s">
        <v>2252</v>
      </c>
      <c r="AI1" t="s">
        <v>2253</v>
      </c>
      <c r="AJ1" t="s">
        <v>2254</v>
      </c>
      <c r="AK1" t="s">
        <v>2255</v>
      </c>
      <c r="AL1" t="s">
        <v>2256</v>
      </c>
      <c r="AM1" t="s">
        <v>2257</v>
      </c>
      <c r="AN1" t="s">
        <v>2258</v>
      </c>
      <c r="AO1" t="s">
        <v>2259</v>
      </c>
      <c r="AP1" t="s">
        <v>2260</v>
      </c>
      <c r="AQ1" t="s">
        <v>2261</v>
      </c>
      <c r="AR1" t="s">
        <v>2262</v>
      </c>
      <c r="AS1" t="s">
        <v>2263</v>
      </c>
      <c r="AT1" t="s">
        <v>2264</v>
      </c>
      <c r="AU1" t="s">
        <v>2265</v>
      </c>
      <c r="AV1" t="s">
        <v>2266</v>
      </c>
      <c r="AW1" t="s">
        <v>2267</v>
      </c>
      <c r="AX1" t="s">
        <v>2268</v>
      </c>
      <c r="AY1" t="s">
        <v>2269</v>
      </c>
      <c r="AZ1" t="s">
        <v>2270</v>
      </c>
      <c r="BA1" t="s">
        <v>2271</v>
      </c>
      <c r="BB1" t="s">
        <v>2272</v>
      </c>
      <c r="BC1" t="s">
        <v>2273</v>
      </c>
      <c r="BD1" t="s">
        <v>2274</v>
      </c>
      <c r="BE1" t="s">
        <v>2275</v>
      </c>
      <c r="BF1" t="s">
        <v>2276</v>
      </c>
      <c r="BG1" t="s">
        <v>2277</v>
      </c>
      <c r="BH1" t="s">
        <v>2278</v>
      </c>
      <c r="BI1" t="s">
        <v>2279</v>
      </c>
      <c r="BJ1" t="s">
        <v>2280</v>
      </c>
      <c r="BK1" t="s">
        <v>2281</v>
      </c>
      <c r="BL1" t="s">
        <v>2282</v>
      </c>
      <c r="BM1" t="s">
        <v>2283</v>
      </c>
      <c r="BN1" t="s">
        <v>2284</v>
      </c>
      <c r="BO1" t="s">
        <v>2285</v>
      </c>
      <c r="BP1" t="s">
        <v>2286</v>
      </c>
      <c r="BQ1" t="s">
        <v>2287</v>
      </c>
      <c r="BR1" t="s">
        <v>2288</v>
      </c>
      <c r="BS1" t="s">
        <v>2289</v>
      </c>
      <c r="BT1" t="s">
        <v>2290</v>
      </c>
      <c r="BU1" t="s">
        <v>2291</v>
      </c>
      <c r="BV1" t="s">
        <v>2292</v>
      </c>
      <c r="BW1" t="s">
        <v>2293</v>
      </c>
      <c r="BX1" t="s">
        <v>2294</v>
      </c>
      <c r="BY1" t="s">
        <v>2295</v>
      </c>
      <c r="BZ1" t="s">
        <v>2296</v>
      </c>
      <c r="CA1" t="s">
        <v>2297</v>
      </c>
      <c r="CB1" t="s">
        <v>2298</v>
      </c>
      <c r="CC1" t="s">
        <v>2299</v>
      </c>
      <c r="CD1" t="s">
        <v>2300</v>
      </c>
      <c r="CE1" t="s">
        <v>2301</v>
      </c>
      <c r="CF1" t="s">
        <v>2302</v>
      </c>
      <c r="CG1" t="s">
        <v>2303</v>
      </c>
      <c r="CH1" t="s">
        <v>2304</v>
      </c>
      <c r="CI1" t="s">
        <v>2305</v>
      </c>
      <c r="CJ1" t="s">
        <v>2306</v>
      </c>
      <c r="CK1" t="s">
        <v>2307</v>
      </c>
      <c r="CL1" t="s">
        <v>2308</v>
      </c>
      <c r="CM1" t="s">
        <v>2309</v>
      </c>
      <c r="CN1" t="s">
        <v>2310</v>
      </c>
      <c r="CO1" t="s">
        <v>2311</v>
      </c>
      <c r="CP1" t="s">
        <v>2312</v>
      </c>
      <c r="CQ1" t="s">
        <v>2313</v>
      </c>
      <c r="CR1" t="s">
        <v>2314</v>
      </c>
      <c r="CS1" t="s">
        <v>2315</v>
      </c>
      <c r="CT1" t="s">
        <v>2316</v>
      </c>
      <c r="CU1" t="s">
        <v>2317</v>
      </c>
      <c r="CV1" t="s">
        <v>2318</v>
      </c>
      <c r="CW1" t="s">
        <v>2319</v>
      </c>
      <c r="CX1" t="s">
        <v>2320</v>
      </c>
      <c r="CY1" t="s">
        <v>2321</v>
      </c>
      <c r="CZ1" t="s">
        <v>2322</v>
      </c>
      <c r="DA1" t="s">
        <v>2323</v>
      </c>
      <c r="DB1" t="s">
        <v>2324</v>
      </c>
      <c r="DC1" t="s">
        <v>2325</v>
      </c>
      <c r="DD1" t="s">
        <v>2326</v>
      </c>
      <c r="DE1" t="s">
        <v>2327</v>
      </c>
      <c r="DF1" t="s">
        <v>2328</v>
      </c>
      <c r="DG1" t="s">
        <v>2329</v>
      </c>
      <c r="DH1" t="s">
        <v>2330</v>
      </c>
      <c r="DI1" t="s">
        <v>2331</v>
      </c>
      <c r="DJ1" t="s">
        <v>2332</v>
      </c>
      <c r="DK1" t="s">
        <v>2333</v>
      </c>
      <c r="DL1" t="s">
        <v>2334</v>
      </c>
      <c r="DM1" t="s">
        <v>2335</v>
      </c>
      <c r="DN1" t="s">
        <v>2336</v>
      </c>
      <c r="DO1" t="s">
        <v>2337</v>
      </c>
      <c r="DP1" t="s">
        <v>2338</v>
      </c>
      <c r="DQ1" t="s">
        <v>2339</v>
      </c>
      <c r="DR1" t="s">
        <v>2340</v>
      </c>
      <c r="DS1" t="s">
        <v>2341</v>
      </c>
      <c r="DT1" t="s">
        <v>2342</v>
      </c>
      <c r="DU1" t="s">
        <v>2343</v>
      </c>
      <c r="DV1" t="s">
        <v>2344</v>
      </c>
      <c r="DW1" t="s">
        <v>2345</v>
      </c>
      <c r="DX1" t="s">
        <v>2346</v>
      </c>
      <c r="DY1" t="s">
        <v>2347</v>
      </c>
      <c r="DZ1" t="s">
        <v>2348</v>
      </c>
      <c r="EA1" t="s">
        <v>2349</v>
      </c>
      <c r="EB1" t="s">
        <v>2350</v>
      </c>
      <c r="EC1" t="s">
        <v>2351</v>
      </c>
      <c r="ED1" t="s">
        <v>2352</v>
      </c>
      <c r="EE1" t="s">
        <v>2353</v>
      </c>
      <c r="EF1" t="s">
        <v>2354</v>
      </c>
      <c r="EG1" t="s">
        <v>2355</v>
      </c>
      <c r="EH1" t="s">
        <v>2356</v>
      </c>
      <c r="EI1" t="s">
        <v>2357</v>
      </c>
      <c r="EJ1" t="s">
        <v>2358</v>
      </c>
      <c r="EK1" t="s">
        <v>2359</v>
      </c>
      <c r="EL1" t="s">
        <v>2360</v>
      </c>
      <c r="EM1" t="s">
        <v>2361</v>
      </c>
      <c r="EN1" t="s">
        <v>2362</v>
      </c>
      <c r="EO1" t="s">
        <v>2363</v>
      </c>
      <c r="EP1" t="s">
        <v>2364</v>
      </c>
      <c r="EQ1" t="s">
        <v>2365</v>
      </c>
      <c r="ER1" t="s">
        <v>2366</v>
      </c>
      <c r="ES1" t="s">
        <v>2367</v>
      </c>
      <c r="ET1" t="s">
        <v>2368</v>
      </c>
      <c r="EU1" t="s">
        <v>2369</v>
      </c>
      <c r="EV1" t="s">
        <v>2370</v>
      </c>
      <c r="EW1" t="s">
        <v>2371</v>
      </c>
      <c r="EX1" t="s">
        <v>2372</v>
      </c>
      <c r="EY1" t="s">
        <v>2373</v>
      </c>
      <c r="EZ1" t="s">
        <v>2374</v>
      </c>
      <c r="FA1" t="s">
        <v>2375</v>
      </c>
      <c r="FB1" t="s">
        <v>2376</v>
      </c>
      <c r="FC1" t="s">
        <v>2377</v>
      </c>
      <c r="FD1" t="s">
        <v>2378</v>
      </c>
      <c r="FE1" t="s">
        <v>2379</v>
      </c>
      <c r="FF1" t="s">
        <v>2380</v>
      </c>
      <c r="FG1" t="s">
        <v>2381</v>
      </c>
      <c r="FH1" t="s">
        <v>2382</v>
      </c>
      <c r="FI1" t="s">
        <v>2383</v>
      </c>
      <c r="FJ1" t="s">
        <v>2384</v>
      </c>
      <c r="FK1" t="s">
        <v>2385</v>
      </c>
      <c r="FL1" t="s">
        <v>2386</v>
      </c>
      <c r="FM1" t="s">
        <v>2387</v>
      </c>
      <c r="FN1" t="s">
        <v>2388</v>
      </c>
      <c r="FO1" t="s">
        <v>2389</v>
      </c>
      <c r="FP1" t="s">
        <v>2390</v>
      </c>
      <c r="FQ1" t="s">
        <v>2391</v>
      </c>
      <c r="FR1" t="s">
        <v>2392</v>
      </c>
      <c r="FS1" t="s">
        <v>2393</v>
      </c>
      <c r="FT1" t="s">
        <v>2394</v>
      </c>
      <c r="FU1" t="s">
        <v>2395</v>
      </c>
      <c r="FV1" t="s">
        <v>2396</v>
      </c>
      <c r="FW1" t="s">
        <v>2397</v>
      </c>
      <c r="FX1" t="s">
        <v>2398</v>
      </c>
      <c r="FY1" t="s">
        <v>2399</v>
      </c>
      <c r="FZ1" t="s">
        <v>2400</v>
      </c>
      <c r="GA1" t="s">
        <v>2401</v>
      </c>
      <c r="GB1" t="s">
        <v>2402</v>
      </c>
      <c r="GC1" t="s">
        <v>2403</v>
      </c>
      <c r="GD1" t="s">
        <v>2404</v>
      </c>
      <c r="GE1" t="s">
        <v>2405</v>
      </c>
      <c r="GF1" t="s">
        <v>2406</v>
      </c>
      <c r="GG1" t="s">
        <v>2407</v>
      </c>
      <c r="GH1" t="s">
        <v>2408</v>
      </c>
      <c r="GI1" t="s">
        <v>2409</v>
      </c>
      <c r="GJ1" t="s">
        <v>2410</v>
      </c>
      <c r="GK1" t="s">
        <v>2411</v>
      </c>
      <c r="GL1" t="s">
        <v>2412</v>
      </c>
      <c r="GM1" t="s">
        <v>2413</v>
      </c>
    </row>
    <row r="2" spans="1:196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  <c r="GM2" t="s">
        <v>450</v>
      </c>
    </row>
    <row r="3" spans="1:196" x14ac:dyDescent="0.25">
      <c r="B3" t="s">
        <v>468</v>
      </c>
      <c r="C3" t="s">
        <v>2220</v>
      </c>
      <c r="D3" t="s">
        <v>2220</v>
      </c>
      <c r="E3" t="s">
        <v>2220</v>
      </c>
      <c r="F3" t="s">
        <v>2220</v>
      </c>
      <c r="G3" t="s">
        <v>2220</v>
      </c>
      <c r="H3" t="s">
        <v>2220</v>
      </c>
      <c r="I3" t="s">
        <v>2220</v>
      </c>
      <c r="J3" t="s">
        <v>2220</v>
      </c>
      <c r="K3" t="s">
        <v>2220</v>
      </c>
      <c r="L3" t="s">
        <v>2220</v>
      </c>
      <c r="M3" t="s">
        <v>2220</v>
      </c>
      <c r="N3" t="s">
        <v>2220</v>
      </c>
      <c r="O3" t="s">
        <v>2220</v>
      </c>
      <c r="P3" t="s">
        <v>2220</v>
      </c>
      <c r="Q3" t="s">
        <v>2220</v>
      </c>
      <c r="R3" t="s">
        <v>2220</v>
      </c>
      <c r="S3" t="s">
        <v>2220</v>
      </c>
      <c r="T3" t="s">
        <v>2220</v>
      </c>
      <c r="U3" t="s">
        <v>2220</v>
      </c>
      <c r="V3" t="s">
        <v>2220</v>
      </c>
      <c r="W3" t="s">
        <v>2220</v>
      </c>
      <c r="X3" t="s">
        <v>2220</v>
      </c>
      <c r="Y3" t="s">
        <v>2220</v>
      </c>
      <c r="Z3" t="s">
        <v>2220</v>
      </c>
      <c r="AA3" t="s">
        <v>2220</v>
      </c>
      <c r="AB3" t="s">
        <v>2220</v>
      </c>
      <c r="AC3" t="s">
        <v>2220</v>
      </c>
      <c r="AD3" t="s">
        <v>2220</v>
      </c>
      <c r="AE3" t="s">
        <v>2220</v>
      </c>
      <c r="AF3" t="s">
        <v>2220</v>
      </c>
      <c r="AG3" t="s">
        <v>2220</v>
      </c>
      <c r="AH3" t="s">
        <v>2220</v>
      </c>
      <c r="AI3" t="s">
        <v>2220</v>
      </c>
      <c r="AJ3" t="s">
        <v>2220</v>
      </c>
      <c r="AK3" t="s">
        <v>2220</v>
      </c>
      <c r="AL3" t="s">
        <v>2220</v>
      </c>
      <c r="AM3" t="s">
        <v>2220</v>
      </c>
      <c r="AN3" t="s">
        <v>2220</v>
      </c>
      <c r="AO3" t="s">
        <v>2220</v>
      </c>
      <c r="AP3" t="s">
        <v>2220</v>
      </c>
      <c r="AQ3" t="s">
        <v>2220</v>
      </c>
      <c r="AR3" t="s">
        <v>2220</v>
      </c>
      <c r="AS3" t="s">
        <v>2220</v>
      </c>
      <c r="AT3" t="s">
        <v>2220</v>
      </c>
      <c r="AU3" t="s">
        <v>2220</v>
      </c>
      <c r="AV3" t="s">
        <v>2220</v>
      </c>
      <c r="AW3" t="s">
        <v>2220</v>
      </c>
      <c r="AX3" t="s">
        <v>2220</v>
      </c>
      <c r="AY3" t="s">
        <v>2220</v>
      </c>
      <c r="AZ3" t="s">
        <v>2220</v>
      </c>
      <c r="BA3" t="s">
        <v>2220</v>
      </c>
      <c r="BB3" t="s">
        <v>2220</v>
      </c>
      <c r="BC3" t="s">
        <v>2220</v>
      </c>
      <c r="BD3" t="s">
        <v>2220</v>
      </c>
      <c r="BE3" t="s">
        <v>2220</v>
      </c>
      <c r="BF3" t="s">
        <v>2220</v>
      </c>
      <c r="BG3" t="s">
        <v>2220</v>
      </c>
      <c r="BH3" t="s">
        <v>2220</v>
      </c>
      <c r="BI3" t="s">
        <v>2220</v>
      </c>
      <c r="BJ3" t="s">
        <v>2220</v>
      </c>
      <c r="BK3" t="s">
        <v>2220</v>
      </c>
      <c r="BL3" t="s">
        <v>2220</v>
      </c>
      <c r="BM3" t="s">
        <v>2220</v>
      </c>
      <c r="BN3" t="s">
        <v>2220</v>
      </c>
      <c r="BO3" t="s">
        <v>2220</v>
      </c>
      <c r="BP3" t="s">
        <v>2220</v>
      </c>
      <c r="BQ3" t="s">
        <v>2220</v>
      </c>
      <c r="BR3" t="s">
        <v>2220</v>
      </c>
      <c r="BS3" t="s">
        <v>2220</v>
      </c>
      <c r="BT3" t="s">
        <v>2220</v>
      </c>
      <c r="BU3" t="s">
        <v>2220</v>
      </c>
      <c r="BV3" t="s">
        <v>2220</v>
      </c>
      <c r="BW3" t="s">
        <v>2220</v>
      </c>
      <c r="BX3" t="s">
        <v>2220</v>
      </c>
      <c r="BY3" t="s">
        <v>2220</v>
      </c>
      <c r="BZ3" t="s">
        <v>2220</v>
      </c>
      <c r="CA3" t="s">
        <v>2220</v>
      </c>
      <c r="CB3" t="s">
        <v>2220</v>
      </c>
      <c r="CC3" t="s">
        <v>2220</v>
      </c>
      <c r="CD3" t="s">
        <v>2220</v>
      </c>
      <c r="CE3" t="s">
        <v>2220</v>
      </c>
      <c r="CF3" t="s">
        <v>2220</v>
      </c>
      <c r="CG3" t="s">
        <v>2220</v>
      </c>
      <c r="CH3" t="s">
        <v>2220</v>
      </c>
      <c r="CI3" t="s">
        <v>2220</v>
      </c>
      <c r="CJ3" t="s">
        <v>2220</v>
      </c>
      <c r="CK3" t="s">
        <v>2220</v>
      </c>
      <c r="CL3" t="s">
        <v>2220</v>
      </c>
      <c r="CM3" t="s">
        <v>2220</v>
      </c>
      <c r="CN3" t="s">
        <v>2220</v>
      </c>
      <c r="CO3" t="s">
        <v>2220</v>
      </c>
      <c r="CP3" t="s">
        <v>2220</v>
      </c>
      <c r="CQ3" t="s">
        <v>2220</v>
      </c>
      <c r="CR3" t="s">
        <v>2220</v>
      </c>
      <c r="CS3" t="s">
        <v>2220</v>
      </c>
      <c r="CT3" t="s">
        <v>2220</v>
      </c>
      <c r="CU3" t="s">
        <v>2220</v>
      </c>
      <c r="CV3" t="s">
        <v>2220</v>
      </c>
      <c r="CW3" t="s">
        <v>2220</v>
      </c>
      <c r="CX3" t="s">
        <v>2220</v>
      </c>
      <c r="CY3" t="s">
        <v>2220</v>
      </c>
      <c r="CZ3" t="s">
        <v>2220</v>
      </c>
      <c r="DA3" t="s">
        <v>2220</v>
      </c>
      <c r="DB3" t="s">
        <v>2220</v>
      </c>
      <c r="DC3" t="s">
        <v>2220</v>
      </c>
      <c r="DD3" t="s">
        <v>2220</v>
      </c>
      <c r="DE3" t="s">
        <v>2220</v>
      </c>
      <c r="DF3" t="s">
        <v>2220</v>
      </c>
      <c r="DG3" t="s">
        <v>2220</v>
      </c>
      <c r="DH3" t="s">
        <v>2220</v>
      </c>
      <c r="DI3" t="s">
        <v>2220</v>
      </c>
      <c r="DJ3" t="s">
        <v>2220</v>
      </c>
      <c r="DK3" t="s">
        <v>2220</v>
      </c>
      <c r="DL3" t="s">
        <v>2220</v>
      </c>
      <c r="DM3" t="s">
        <v>2220</v>
      </c>
      <c r="DN3" t="s">
        <v>2220</v>
      </c>
      <c r="DO3" t="s">
        <v>2220</v>
      </c>
      <c r="DP3" t="s">
        <v>2220</v>
      </c>
      <c r="DQ3" t="s">
        <v>2220</v>
      </c>
      <c r="DR3" t="s">
        <v>2220</v>
      </c>
      <c r="DS3" t="s">
        <v>2220</v>
      </c>
      <c r="DT3" t="s">
        <v>2220</v>
      </c>
      <c r="DU3" t="s">
        <v>2220</v>
      </c>
      <c r="DV3" t="s">
        <v>2220</v>
      </c>
      <c r="DW3" t="s">
        <v>2220</v>
      </c>
      <c r="DX3" t="s">
        <v>2220</v>
      </c>
      <c r="DY3" t="s">
        <v>2220</v>
      </c>
      <c r="DZ3" t="s">
        <v>2220</v>
      </c>
      <c r="EA3" t="s">
        <v>2220</v>
      </c>
      <c r="EB3" t="s">
        <v>2220</v>
      </c>
      <c r="EC3" t="s">
        <v>2220</v>
      </c>
      <c r="ED3" t="s">
        <v>2220</v>
      </c>
      <c r="EE3" t="s">
        <v>2220</v>
      </c>
      <c r="EF3" t="s">
        <v>2220</v>
      </c>
      <c r="EG3" t="s">
        <v>2220</v>
      </c>
      <c r="EH3" t="s">
        <v>2220</v>
      </c>
      <c r="EI3" t="s">
        <v>2220</v>
      </c>
      <c r="EJ3" t="s">
        <v>2220</v>
      </c>
      <c r="EK3" t="s">
        <v>2220</v>
      </c>
      <c r="EL3" t="s">
        <v>2220</v>
      </c>
      <c r="EM3" t="s">
        <v>2220</v>
      </c>
      <c r="EN3" t="s">
        <v>2220</v>
      </c>
      <c r="EO3" t="s">
        <v>2220</v>
      </c>
      <c r="EP3" t="s">
        <v>2220</v>
      </c>
      <c r="EQ3" t="s">
        <v>2220</v>
      </c>
      <c r="ER3" t="s">
        <v>2220</v>
      </c>
      <c r="ES3" t="s">
        <v>2220</v>
      </c>
      <c r="ET3" t="s">
        <v>2220</v>
      </c>
      <c r="EU3" t="s">
        <v>2220</v>
      </c>
      <c r="EV3" t="s">
        <v>2220</v>
      </c>
      <c r="EW3" t="s">
        <v>2220</v>
      </c>
      <c r="EX3" t="s">
        <v>2220</v>
      </c>
      <c r="EY3" t="s">
        <v>2220</v>
      </c>
      <c r="EZ3" t="s">
        <v>2220</v>
      </c>
      <c r="FA3" t="s">
        <v>2220</v>
      </c>
      <c r="FB3" t="s">
        <v>2220</v>
      </c>
      <c r="FC3" t="s">
        <v>2220</v>
      </c>
      <c r="FD3" t="s">
        <v>2220</v>
      </c>
      <c r="FE3" t="s">
        <v>2220</v>
      </c>
      <c r="FF3" t="s">
        <v>2220</v>
      </c>
      <c r="FG3" t="s">
        <v>2220</v>
      </c>
      <c r="FH3" t="s">
        <v>2220</v>
      </c>
      <c r="FI3" t="s">
        <v>2220</v>
      </c>
      <c r="FJ3" t="s">
        <v>2220</v>
      </c>
      <c r="FK3" t="s">
        <v>2220</v>
      </c>
      <c r="FL3" t="s">
        <v>2220</v>
      </c>
      <c r="FM3" t="s">
        <v>2220</v>
      </c>
      <c r="FN3" t="s">
        <v>2220</v>
      </c>
      <c r="FO3" t="s">
        <v>2220</v>
      </c>
      <c r="FP3" t="s">
        <v>2220</v>
      </c>
      <c r="FQ3" t="s">
        <v>2220</v>
      </c>
      <c r="FR3" t="s">
        <v>2220</v>
      </c>
      <c r="FS3" t="s">
        <v>2220</v>
      </c>
      <c r="FT3" t="s">
        <v>2220</v>
      </c>
      <c r="FU3" t="s">
        <v>2220</v>
      </c>
      <c r="FV3" t="s">
        <v>2220</v>
      </c>
      <c r="FW3" t="s">
        <v>2220</v>
      </c>
      <c r="FX3" t="s">
        <v>2220</v>
      </c>
      <c r="FY3" t="s">
        <v>2220</v>
      </c>
      <c r="FZ3" t="s">
        <v>2220</v>
      </c>
      <c r="GA3" t="s">
        <v>2220</v>
      </c>
      <c r="GB3" t="s">
        <v>2220</v>
      </c>
      <c r="GC3" t="s">
        <v>2220</v>
      </c>
      <c r="GD3" t="s">
        <v>2220</v>
      </c>
      <c r="GE3" t="s">
        <v>2220</v>
      </c>
      <c r="GF3" t="s">
        <v>2220</v>
      </c>
      <c r="GG3" t="s">
        <v>2220</v>
      </c>
      <c r="GH3" t="s">
        <v>2220</v>
      </c>
      <c r="GI3" t="s">
        <v>2220</v>
      </c>
      <c r="GJ3" t="s">
        <v>2220</v>
      </c>
      <c r="GK3" t="s">
        <v>2220</v>
      </c>
      <c r="GL3" t="s">
        <v>2220</v>
      </c>
      <c r="GM3" t="s">
        <v>2220</v>
      </c>
    </row>
    <row r="4" spans="1:196" x14ac:dyDescent="0.25">
      <c r="A4" s="4">
        <f>DATE(2023,3,23)</f>
        <v>45008</v>
      </c>
      <c r="B4">
        <v>103248</v>
      </c>
    </row>
    <row r="5" spans="1:196" x14ac:dyDescent="0.25">
      <c r="A5" s="4">
        <f>DATE(2023,3,22)</f>
        <v>45007</v>
      </c>
      <c r="B5">
        <v>102804</v>
      </c>
      <c r="W5">
        <v>1000</v>
      </c>
      <c r="AQ5">
        <v>2525</v>
      </c>
      <c r="BA5">
        <v>850</v>
      </c>
      <c r="BK5">
        <v>6850</v>
      </c>
      <c r="BU5">
        <v>2700</v>
      </c>
      <c r="CE5">
        <v>5165</v>
      </c>
      <c r="CO5">
        <v>4182</v>
      </c>
      <c r="CY5">
        <v>8328</v>
      </c>
      <c r="DC5">
        <v>300</v>
      </c>
      <c r="DI5">
        <v>3725</v>
      </c>
      <c r="DS5">
        <v>7642</v>
      </c>
      <c r="DW5">
        <v>25</v>
      </c>
      <c r="EC5">
        <v>4875</v>
      </c>
      <c r="EE5">
        <v>125</v>
      </c>
      <c r="EG5">
        <v>275</v>
      </c>
      <c r="EM5">
        <v>4761</v>
      </c>
      <c r="ES5">
        <v>600</v>
      </c>
      <c r="EW5">
        <v>2342</v>
      </c>
      <c r="EY5">
        <v>450</v>
      </c>
      <c r="FA5">
        <v>400</v>
      </c>
      <c r="FC5">
        <v>150</v>
      </c>
      <c r="FE5">
        <v>450</v>
      </c>
      <c r="FG5">
        <v>250</v>
      </c>
      <c r="GN5">
        <f t="shared" ref="GN5:GN36" si="0">SUMPRODUCT(C5:GM5)</f>
        <v>57970</v>
      </c>
    </row>
    <row r="6" spans="1:196" x14ac:dyDescent="0.25">
      <c r="A6" s="4">
        <f>DATE(2023,3,21)</f>
        <v>45006</v>
      </c>
      <c r="B6">
        <v>102301</v>
      </c>
      <c r="W6">
        <v>1000</v>
      </c>
      <c r="AQ6">
        <v>2525</v>
      </c>
      <c r="BA6">
        <v>850</v>
      </c>
      <c r="BK6">
        <v>6850</v>
      </c>
      <c r="BU6">
        <v>2700</v>
      </c>
      <c r="CE6">
        <v>5165</v>
      </c>
      <c r="CO6">
        <v>4182</v>
      </c>
      <c r="CY6">
        <v>8328</v>
      </c>
      <c r="DC6">
        <v>300</v>
      </c>
      <c r="DI6">
        <v>3725</v>
      </c>
      <c r="DS6">
        <v>7242</v>
      </c>
      <c r="DW6">
        <v>25</v>
      </c>
      <c r="EC6">
        <v>5075</v>
      </c>
      <c r="EE6">
        <v>200</v>
      </c>
      <c r="EG6">
        <v>275</v>
      </c>
      <c r="EM6">
        <v>5031</v>
      </c>
      <c r="ES6">
        <v>600</v>
      </c>
      <c r="EW6">
        <v>2342</v>
      </c>
      <c r="EY6">
        <v>450</v>
      </c>
      <c r="FA6">
        <v>400</v>
      </c>
      <c r="FC6">
        <v>150</v>
      </c>
      <c r="FE6">
        <v>450</v>
      </c>
      <c r="FG6">
        <v>250</v>
      </c>
      <c r="GN6">
        <f t="shared" si="0"/>
        <v>58115</v>
      </c>
    </row>
    <row r="7" spans="1:196" x14ac:dyDescent="0.25">
      <c r="A7" s="4">
        <f>DATE(2023,3,20)</f>
        <v>45005</v>
      </c>
      <c r="B7">
        <v>100992</v>
      </c>
      <c r="W7">
        <v>1000</v>
      </c>
      <c r="AQ7">
        <v>2525</v>
      </c>
      <c r="BA7">
        <v>850</v>
      </c>
      <c r="BK7">
        <v>6850</v>
      </c>
      <c r="BU7">
        <v>2700</v>
      </c>
      <c r="CE7">
        <v>5165</v>
      </c>
      <c r="CO7">
        <v>4182</v>
      </c>
      <c r="CY7">
        <v>8328</v>
      </c>
      <c r="DC7">
        <v>300</v>
      </c>
      <c r="DI7">
        <v>3725</v>
      </c>
      <c r="DS7">
        <v>7242</v>
      </c>
      <c r="DW7">
        <v>25</v>
      </c>
      <c r="EC7">
        <v>4885</v>
      </c>
      <c r="EE7">
        <v>200</v>
      </c>
      <c r="EG7">
        <v>275</v>
      </c>
      <c r="EM7">
        <v>5031</v>
      </c>
      <c r="ES7">
        <v>600</v>
      </c>
      <c r="EW7">
        <v>2342</v>
      </c>
      <c r="EY7">
        <v>450</v>
      </c>
      <c r="FA7">
        <v>400</v>
      </c>
      <c r="FC7">
        <v>150</v>
      </c>
      <c r="FE7">
        <v>450</v>
      </c>
      <c r="FG7">
        <v>250</v>
      </c>
      <c r="GN7">
        <f t="shared" si="0"/>
        <v>57925</v>
      </c>
    </row>
    <row r="8" spans="1:196" x14ac:dyDescent="0.25">
      <c r="A8" s="4">
        <f>DATE(2023,3,17)</f>
        <v>45002</v>
      </c>
      <c r="B8">
        <v>100103</v>
      </c>
      <c r="W8">
        <v>1000</v>
      </c>
      <c r="AQ8">
        <v>2525</v>
      </c>
      <c r="BA8">
        <v>850</v>
      </c>
      <c r="BK8">
        <v>6850</v>
      </c>
      <c r="BU8">
        <v>2700</v>
      </c>
      <c r="CE8">
        <v>5165</v>
      </c>
      <c r="CO8">
        <v>4182</v>
      </c>
      <c r="CY8">
        <v>8328</v>
      </c>
      <c r="DC8">
        <v>300</v>
      </c>
      <c r="DI8">
        <v>4625</v>
      </c>
      <c r="DS8">
        <v>5667</v>
      </c>
      <c r="DW8">
        <v>25</v>
      </c>
      <c r="EC8">
        <v>5010</v>
      </c>
      <c r="EE8">
        <v>200</v>
      </c>
      <c r="EG8">
        <v>275</v>
      </c>
      <c r="EM8">
        <v>5606</v>
      </c>
      <c r="ES8">
        <v>600</v>
      </c>
      <c r="EW8">
        <v>2367</v>
      </c>
      <c r="EY8">
        <v>450</v>
      </c>
      <c r="FA8">
        <v>400</v>
      </c>
      <c r="FC8">
        <v>150</v>
      </c>
      <c r="FE8">
        <v>450</v>
      </c>
      <c r="FG8">
        <v>250</v>
      </c>
      <c r="GN8">
        <f t="shared" si="0"/>
        <v>57975</v>
      </c>
    </row>
    <row r="9" spans="1:196" x14ac:dyDescent="0.25">
      <c r="A9" s="4">
        <f>DATE(2023,3,16)</f>
        <v>45001</v>
      </c>
      <c r="B9">
        <v>98999</v>
      </c>
      <c r="W9">
        <v>1000</v>
      </c>
      <c r="AQ9">
        <v>2525</v>
      </c>
      <c r="BA9">
        <v>850</v>
      </c>
      <c r="BK9">
        <v>6850</v>
      </c>
      <c r="BU9">
        <v>2700</v>
      </c>
      <c r="CE9">
        <v>5165</v>
      </c>
      <c r="CO9">
        <v>4182</v>
      </c>
      <c r="CY9">
        <v>8328</v>
      </c>
      <c r="DC9">
        <v>300</v>
      </c>
      <c r="DI9">
        <v>3625</v>
      </c>
      <c r="DS9">
        <v>6526</v>
      </c>
      <c r="DW9">
        <v>25</v>
      </c>
      <c r="EC9">
        <v>5460</v>
      </c>
      <c r="EE9">
        <v>200</v>
      </c>
      <c r="EG9">
        <v>350</v>
      </c>
      <c r="EM9">
        <v>6121</v>
      </c>
      <c r="ES9">
        <v>600</v>
      </c>
      <c r="EW9">
        <v>2467</v>
      </c>
      <c r="EY9">
        <v>450</v>
      </c>
      <c r="FA9">
        <v>400</v>
      </c>
      <c r="FC9">
        <v>150</v>
      </c>
      <c r="FE9">
        <v>450</v>
      </c>
      <c r="FG9">
        <v>250</v>
      </c>
      <c r="GN9">
        <f t="shared" si="0"/>
        <v>58974</v>
      </c>
    </row>
    <row r="10" spans="1:196" x14ac:dyDescent="0.25">
      <c r="A10" s="4">
        <f>DATE(2023,3,15)</f>
        <v>45000</v>
      </c>
      <c r="B10">
        <v>98501</v>
      </c>
      <c r="W10">
        <v>1000</v>
      </c>
      <c r="AQ10">
        <v>2525</v>
      </c>
      <c r="BA10">
        <v>850</v>
      </c>
      <c r="BK10">
        <v>6850</v>
      </c>
      <c r="BU10">
        <v>2700</v>
      </c>
      <c r="CE10">
        <v>5165</v>
      </c>
      <c r="CO10">
        <v>4182</v>
      </c>
      <c r="CY10">
        <v>8328</v>
      </c>
      <c r="DC10">
        <v>300</v>
      </c>
      <c r="DI10">
        <v>3625</v>
      </c>
      <c r="DS10">
        <v>6077</v>
      </c>
      <c r="DW10">
        <v>25</v>
      </c>
      <c r="EC10">
        <v>5460</v>
      </c>
      <c r="EE10">
        <v>300</v>
      </c>
      <c r="EG10">
        <v>350</v>
      </c>
      <c r="EM10">
        <v>6531</v>
      </c>
      <c r="ES10">
        <v>600</v>
      </c>
      <c r="EW10">
        <v>2467</v>
      </c>
      <c r="EY10">
        <v>450</v>
      </c>
      <c r="FA10">
        <v>400</v>
      </c>
      <c r="FC10">
        <v>150</v>
      </c>
      <c r="FE10">
        <v>450</v>
      </c>
      <c r="FG10">
        <v>250</v>
      </c>
      <c r="GN10">
        <f t="shared" si="0"/>
        <v>59035</v>
      </c>
    </row>
    <row r="11" spans="1:196" x14ac:dyDescent="0.25">
      <c r="A11" s="4">
        <f>DATE(2023,3,14)</f>
        <v>44999</v>
      </c>
      <c r="B11">
        <v>97103</v>
      </c>
      <c r="W11">
        <v>1000</v>
      </c>
      <c r="AQ11">
        <v>2525</v>
      </c>
      <c r="BA11">
        <v>850</v>
      </c>
      <c r="BK11">
        <v>6850</v>
      </c>
      <c r="BU11">
        <v>2700</v>
      </c>
      <c r="CE11">
        <v>5165</v>
      </c>
      <c r="CO11">
        <v>4182</v>
      </c>
      <c r="CY11">
        <v>8328</v>
      </c>
      <c r="DC11">
        <v>300</v>
      </c>
      <c r="DI11">
        <v>3700</v>
      </c>
      <c r="DS11">
        <v>6926</v>
      </c>
      <c r="DW11">
        <v>25</v>
      </c>
      <c r="EC11">
        <v>5360</v>
      </c>
      <c r="EE11">
        <v>300</v>
      </c>
      <c r="EG11">
        <v>350</v>
      </c>
      <c r="EM11">
        <v>7956</v>
      </c>
      <c r="ES11">
        <v>600</v>
      </c>
      <c r="EW11">
        <v>1925</v>
      </c>
      <c r="EY11">
        <v>450</v>
      </c>
      <c r="FA11">
        <v>400</v>
      </c>
      <c r="FC11">
        <v>150</v>
      </c>
      <c r="FE11">
        <v>450</v>
      </c>
      <c r="FG11">
        <v>250</v>
      </c>
      <c r="GN11">
        <f t="shared" si="0"/>
        <v>60742</v>
      </c>
    </row>
    <row r="12" spans="1:196" x14ac:dyDescent="0.25">
      <c r="A12" s="4">
        <f>DATE(2023,3,13)</f>
        <v>44998</v>
      </c>
      <c r="B12">
        <v>97103</v>
      </c>
      <c r="W12">
        <v>1000</v>
      </c>
      <c r="AQ12">
        <v>2525</v>
      </c>
      <c r="BA12">
        <v>850</v>
      </c>
      <c r="BK12">
        <v>6850</v>
      </c>
      <c r="BU12">
        <v>2700</v>
      </c>
      <c r="CE12">
        <v>5165</v>
      </c>
      <c r="CO12">
        <v>4182</v>
      </c>
      <c r="CY12">
        <v>8328</v>
      </c>
      <c r="DC12">
        <v>300</v>
      </c>
      <c r="DI12">
        <v>3700</v>
      </c>
      <c r="DS12">
        <v>7777</v>
      </c>
      <c r="DW12">
        <v>25</v>
      </c>
      <c r="EC12">
        <v>5455</v>
      </c>
      <c r="EE12">
        <v>300</v>
      </c>
      <c r="EG12">
        <v>350</v>
      </c>
      <c r="EM12">
        <v>7996</v>
      </c>
      <c r="ES12">
        <v>600</v>
      </c>
      <c r="EW12">
        <v>1792</v>
      </c>
      <c r="EY12">
        <v>450</v>
      </c>
      <c r="FA12">
        <v>400</v>
      </c>
      <c r="FC12">
        <v>150</v>
      </c>
      <c r="FE12">
        <v>450</v>
      </c>
      <c r="FG12">
        <v>250</v>
      </c>
      <c r="GN12">
        <f t="shared" si="0"/>
        <v>61595</v>
      </c>
    </row>
    <row r="13" spans="1:196" x14ac:dyDescent="0.25">
      <c r="A13" s="4">
        <f>DATE(2023,3,10)</f>
        <v>44995</v>
      </c>
      <c r="B13">
        <v>95877</v>
      </c>
      <c r="W13">
        <v>1000</v>
      </c>
      <c r="AQ13">
        <v>2525</v>
      </c>
      <c r="BA13">
        <v>850</v>
      </c>
      <c r="BK13">
        <v>6850</v>
      </c>
      <c r="BU13">
        <v>2700</v>
      </c>
      <c r="CE13">
        <v>5165</v>
      </c>
      <c r="CO13">
        <v>4182</v>
      </c>
      <c r="CY13">
        <v>8328</v>
      </c>
      <c r="DC13">
        <v>300</v>
      </c>
      <c r="DI13">
        <v>3700</v>
      </c>
      <c r="DS13">
        <v>7777</v>
      </c>
      <c r="DW13">
        <v>25</v>
      </c>
      <c r="EC13">
        <v>5455</v>
      </c>
      <c r="EE13">
        <v>300</v>
      </c>
      <c r="EG13">
        <v>350</v>
      </c>
      <c r="EM13">
        <v>7596</v>
      </c>
      <c r="ES13">
        <v>600</v>
      </c>
      <c r="EW13">
        <v>1992</v>
      </c>
      <c r="EY13">
        <v>350</v>
      </c>
      <c r="FA13">
        <v>400</v>
      </c>
      <c r="FC13">
        <v>150</v>
      </c>
      <c r="FE13">
        <v>350</v>
      </c>
      <c r="FG13">
        <v>250</v>
      </c>
      <c r="GN13">
        <f t="shared" si="0"/>
        <v>61195</v>
      </c>
    </row>
    <row r="14" spans="1:196" x14ac:dyDescent="0.25">
      <c r="A14" s="4">
        <f>DATE(2023,3,9)</f>
        <v>44994</v>
      </c>
      <c r="B14">
        <v>95734</v>
      </c>
      <c r="W14">
        <v>1000</v>
      </c>
      <c r="AQ14">
        <v>2525</v>
      </c>
      <c r="BA14">
        <v>850</v>
      </c>
      <c r="BK14">
        <v>6850</v>
      </c>
      <c r="BU14">
        <v>2700</v>
      </c>
      <c r="CE14">
        <v>5165</v>
      </c>
      <c r="CO14">
        <v>4182</v>
      </c>
      <c r="CY14">
        <v>8328</v>
      </c>
      <c r="DC14">
        <v>300</v>
      </c>
      <c r="DI14">
        <v>3700</v>
      </c>
      <c r="DS14">
        <v>7627</v>
      </c>
      <c r="DW14">
        <v>25</v>
      </c>
      <c r="EC14">
        <v>5655</v>
      </c>
      <c r="EG14">
        <v>350</v>
      </c>
      <c r="EM14">
        <v>6821</v>
      </c>
      <c r="ES14">
        <v>600</v>
      </c>
      <c r="EW14">
        <v>1842</v>
      </c>
      <c r="FC14">
        <v>150</v>
      </c>
      <c r="FG14">
        <v>290</v>
      </c>
      <c r="GN14">
        <f t="shared" si="0"/>
        <v>58960</v>
      </c>
    </row>
    <row r="15" spans="1:196" x14ac:dyDescent="0.25">
      <c r="A15" s="4">
        <f>DATE(2023,3,8)</f>
        <v>44993</v>
      </c>
      <c r="B15">
        <v>95916</v>
      </c>
      <c r="W15">
        <v>1000</v>
      </c>
      <c r="AQ15">
        <v>2525</v>
      </c>
      <c r="BA15">
        <v>850</v>
      </c>
      <c r="BK15">
        <v>6850</v>
      </c>
      <c r="BU15">
        <v>2700</v>
      </c>
      <c r="CE15">
        <v>5165</v>
      </c>
      <c r="CO15">
        <v>4182</v>
      </c>
      <c r="CY15">
        <v>8328</v>
      </c>
      <c r="DC15">
        <v>300</v>
      </c>
      <c r="DI15">
        <v>3700</v>
      </c>
      <c r="DS15">
        <v>8127</v>
      </c>
      <c r="DW15">
        <v>25</v>
      </c>
      <c r="EC15">
        <v>5855</v>
      </c>
      <c r="EG15">
        <v>350</v>
      </c>
      <c r="EM15">
        <v>6746</v>
      </c>
      <c r="ES15">
        <v>600</v>
      </c>
      <c r="EW15">
        <v>1842</v>
      </c>
      <c r="FC15">
        <v>150</v>
      </c>
      <c r="FG15">
        <v>290</v>
      </c>
      <c r="GN15">
        <f t="shared" si="0"/>
        <v>59585</v>
      </c>
    </row>
    <row r="16" spans="1:196" x14ac:dyDescent="0.25">
      <c r="A16" s="4">
        <f>DATE(2023,3,7)</f>
        <v>44992</v>
      </c>
      <c r="B16">
        <v>95259</v>
      </c>
      <c r="W16">
        <v>1000</v>
      </c>
      <c r="AQ16">
        <v>2525</v>
      </c>
      <c r="BA16">
        <v>850</v>
      </c>
      <c r="BK16">
        <v>6850</v>
      </c>
      <c r="BU16">
        <v>2700</v>
      </c>
      <c r="CE16">
        <v>5165</v>
      </c>
      <c r="CO16">
        <v>4182</v>
      </c>
      <c r="CY16">
        <v>8328</v>
      </c>
      <c r="DC16">
        <v>300</v>
      </c>
      <c r="DI16">
        <v>3700</v>
      </c>
      <c r="DS16">
        <v>8952</v>
      </c>
      <c r="DW16">
        <v>25</v>
      </c>
      <c r="EC16">
        <v>6105</v>
      </c>
      <c r="EG16">
        <v>350</v>
      </c>
      <c r="EM16">
        <v>6656</v>
      </c>
      <c r="ES16">
        <v>600</v>
      </c>
      <c r="EW16">
        <v>1842</v>
      </c>
      <c r="FC16">
        <v>150</v>
      </c>
      <c r="FG16">
        <v>250</v>
      </c>
      <c r="GN16">
        <f t="shared" si="0"/>
        <v>60530</v>
      </c>
    </row>
    <row r="17" spans="1:196" x14ac:dyDescent="0.25">
      <c r="A17" s="4">
        <f>DATE(2023,3,6)</f>
        <v>44991</v>
      </c>
      <c r="B17">
        <v>94751</v>
      </c>
      <c r="W17">
        <v>1000</v>
      </c>
      <c r="AQ17">
        <v>2525</v>
      </c>
      <c r="BA17">
        <v>850</v>
      </c>
      <c r="BK17">
        <v>6850</v>
      </c>
      <c r="BU17">
        <v>2700</v>
      </c>
      <c r="CE17">
        <v>5165</v>
      </c>
      <c r="CO17">
        <v>4183</v>
      </c>
      <c r="CY17">
        <v>8328</v>
      </c>
      <c r="DC17">
        <v>300</v>
      </c>
      <c r="DI17">
        <v>3700</v>
      </c>
      <c r="DS17">
        <v>8952</v>
      </c>
      <c r="DW17">
        <v>25</v>
      </c>
      <c r="EC17">
        <v>5855</v>
      </c>
      <c r="EG17">
        <v>350</v>
      </c>
      <c r="EM17">
        <v>6606</v>
      </c>
      <c r="ES17">
        <v>600</v>
      </c>
      <c r="EW17">
        <v>1842</v>
      </c>
      <c r="FC17">
        <v>150</v>
      </c>
      <c r="FG17">
        <v>250</v>
      </c>
      <c r="GN17">
        <f t="shared" si="0"/>
        <v>60231</v>
      </c>
    </row>
    <row r="18" spans="1:196" x14ac:dyDescent="0.25">
      <c r="A18" s="4">
        <f>DATE(2023,3,3)</f>
        <v>44988</v>
      </c>
      <c r="B18">
        <v>93997</v>
      </c>
      <c r="W18">
        <v>1000</v>
      </c>
      <c r="AQ18">
        <v>2525</v>
      </c>
      <c r="BA18">
        <v>850</v>
      </c>
      <c r="BK18">
        <v>6850</v>
      </c>
      <c r="BU18">
        <v>2700</v>
      </c>
      <c r="CE18">
        <v>5165</v>
      </c>
      <c r="CO18">
        <v>4183</v>
      </c>
      <c r="CY18">
        <v>8128</v>
      </c>
      <c r="DC18">
        <v>300</v>
      </c>
      <c r="DI18">
        <v>3700</v>
      </c>
      <c r="DS18">
        <v>9251</v>
      </c>
      <c r="DW18">
        <v>25</v>
      </c>
      <c r="EC18">
        <v>5805</v>
      </c>
      <c r="EG18">
        <v>350</v>
      </c>
      <c r="EM18">
        <v>6606</v>
      </c>
      <c r="ES18">
        <v>600</v>
      </c>
      <c r="EW18">
        <v>1842</v>
      </c>
      <c r="FC18">
        <v>150</v>
      </c>
      <c r="FG18">
        <v>250</v>
      </c>
      <c r="GN18">
        <f t="shared" si="0"/>
        <v>60280</v>
      </c>
    </row>
    <row r="19" spans="1:196" x14ac:dyDescent="0.25">
      <c r="A19" s="4">
        <f>DATE(2023,3,2)</f>
        <v>44987</v>
      </c>
      <c r="B19">
        <v>93344</v>
      </c>
      <c r="W19">
        <v>1000</v>
      </c>
      <c r="AQ19">
        <v>2525</v>
      </c>
      <c r="BA19">
        <v>850</v>
      </c>
      <c r="BK19">
        <v>6850</v>
      </c>
      <c r="BU19">
        <v>2700</v>
      </c>
      <c r="CE19">
        <v>5165</v>
      </c>
      <c r="CO19">
        <v>4183</v>
      </c>
      <c r="CY19">
        <v>8128</v>
      </c>
      <c r="DC19">
        <v>300</v>
      </c>
      <c r="DI19">
        <v>3650</v>
      </c>
      <c r="DS19">
        <v>9251</v>
      </c>
      <c r="DW19">
        <v>25</v>
      </c>
      <c r="EC19">
        <v>5905</v>
      </c>
      <c r="EG19">
        <v>350</v>
      </c>
      <c r="EM19">
        <v>5919</v>
      </c>
      <c r="ES19">
        <v>600</v>
      </c>
      <c r="EW19">
        <v>1842</v>
      </c>
      <c r="FC19">
        <v>150</v>
      </c>
      <c r="FG19">
        <v>250</v>
      </c>
      <c r="GN19">
        <f t="shared" si="0"/>
        <v>59643</v>
      </c>
    </row>
    <row r="20" spans="1:196" x14ac:dyDescent="0.25">
      <c r="A20" s="4">
        <f>DATE(2023,3,1)</f>
        <v>44986</v>
      </c>
      <c r="B20">
        <v>93113</v>
      </c>
      <c r="W20">
        <v>1000</v>
      </c>
      <c r="AQ20">
        <v>2525</v>
      </c>
      <c r="BA20">
        <v>850</v>
      </c>
      <c r="BK20">
        <v>6850</v>
      </c>
      <c r="BU20">
        <v>2700</v>
      </c>
      <c r="CE20">
        <v>5165</v>
      </c>
      <c r="CO20">
        <v>4183</v>
      </c>
      <c r="CY20">
        <v>8128</v>
      </c>
      <c r="DC20">
        <v>300</v>
      </c>
      <c r="DI20">
        <v>3650</v>
      </c>
      <c r="DS20">
        <v>9251</v>
      </c>
      <c r="DW20">
        <v>25</v>
      </c>
      <c r="EC20">
        <v>6155</v>
      </c>
      <c r="EM20">
        <v>5969</v>
      </c>
      <c r="ES20">
        <v>250</v>
      </c>
      <c r="EW20">
        <v>1842</v>
      </c>
      <c r="FG20">
        <v>250</v>
      </c>
      <c r="GN20">
        <f t="shared" si="0"/>
        <v>59093</v>
      </c>
    </row>
    <row r="21" spans="1:196" x14ac:dyDescent="0.25">
      <c r="A21" s="4">
        <f>DATE(2023,2,28)</f>
        <v>44985</v>
      </c>
      <c r="B21">
        <v>92828</v>
      </c>
      <c r="W21">
        <v>1000</v>
      </c>
      <c r="AQ21">
        <v>2525</v>
      </c>
      <c r="BA21">
        <v>850</v>
      </c>
      <c r="BK21">
        <v>6850</v>
      </c>
      <c r="BU21">
        <v>2700</v>
      </c>
      <c r="CE21">
        <v>5165</v>
      </c>
      <c r="CO21">
        <v>4183</v>
      </c>
      <c r="CY21">
        <v>7878</v>
      </c>
      <c r="DC21">
        <v>300</v>
      </c>
      <c r="DI21">
        <v>3875</v>
      </c>
      <c r="DS21">
        <v>9001</v>
      </c>
      <c r="DW21">
        <v>25</v>
      </c>
      <c r="EC21">
        <v>5930</v>
      </c>
      <c r="EM21">
        <v>5969</v>
      </c>
      <c r="ES21">
        <v>250</v>
      </c>
      <c r="EW21">
        <v>1192</v>
      </c>
      <c r="GN21">
        <f t="shared" si="0"/>
        <v>57693</v>
      </c>
    </row>
    <row r="22" spans="1:196" x14ac:dyDescent="0.25">
      <c r="A22" s="4">
        <f>DATE(2023,2,27)</f>
        <v>44984</v>
      </c>
      <c r="B22">
        <v>92219</v>
      </c>
      <c r="W22">
        <v>1000</v>
      </c>
      <c r="AQ22">
        <v>2525</v>
      </c>
      <c r="BA22">
        <v>850</v>
      </c>
      <c r="BK22">
        <v>6850</v>
      </c>
      <c r="BU22">
        <v>2700</v>
      </c>
      <c r="CE22">
        <v>5165</v>
      </c>
      <c r="CO22">
        <v>3483</v>
      </c>
      <c r="CY22">
        <v>7878</v>
      </c>
      <c r="DC22">
        <v>300</v>
      </c>
      <c r="DI22">
        <v>4225</v>
      </c>
      <c r="DS22">
        <v>8501</v>
      </c>
      <c r="DW22">
        <v>25</v>
      </c>
      <c r="EC22">
        <v>6085</v>
      </c>
      <c r="EM22">
        <v>6719</v>
      </c>
      <c r="ES22">
        <v>250</v>
      </c>
      <c r="EW22">
        <v>1192</v>
      </c>
      <c r="GN22">
        <f t="shared" si="0"/>
        <v>57748</v>
      </c>
    </row>
    <row r="23" spans="1:196" x14ac:dyDescent="0.25">
      <c r="A23" s="4">
        <f>DATE(2023,2,24)</f>
        <v>44981</v>
      </c>
      <c r="B23">
        <v>91697</v>
      </c>
      <c r="W23">
        <v>1000</v>
      </c>
      <c r="AQ23">
        <v>2525</v>
      </c>
      <c r="BA23">
        <v>850</v>
      </c>
      <c r="BK23">
        <v>6850</v>
      </c>
      <c r="BU23">
        <v>2700</v>
      </c>
      <c r="CE23">
        <v>5165</v>
      </c>
      <c r="CO23">
        <v>3483</v>
      </c>
      <c r="CY23">
        <v>7878</v>
      </c>
      <c r="DC23">
        <v>300</v>
      </c>
      <c r="DI23">
        <v>4225</v>
      </c>
      <c r="DS23">
        <v>8501</v>
      </c>
      <c r="DW23">
        <v>25</v>
      </c>
      <c r="EC23">
        <v>6085</v>
      </c>
      <c r="EM23">
        <v>6535</v>
      </c>
      <c r="ES23">
        <v>250</v>
      </c>
      <c r="EW23">
        <v>1125</v>
      </c>
      <c r="GN23">
        <f t="shared" si="0"/>
        <v>57497</v>
      </c>
    </row>
    <row r="24" spans="1:196" x14ac:dyDescent="0.25">
      <c r="A24" s="4">
        <f>DATE(2023,2,23)</f>
        <v>44980</v>
      </c>
      <c r="B24">
        <v>91462</v>
      </c>
      <c r="W24">
        <v>1000</v>
      </c>
      <c r="AQ24">
        <v>2525</v>
      </c>
      <c r="BA24">
        <v>850</v>
      </c>
      <c r="BK24">
        <v>6850</v>
      </c>
      <c r="BU24">
        <v>2700</v>
      </c>
      <c r="CE24">
        <v>5165</v>
      </c>
      <c r="CO24">
        <v>3483</v>
      </c>
      <c r="CY24">
        <v>7878</v>
      </c>
      <c r="DC24">
        <v>300</v>
      </c>
      <c r="DI24">
        <v>4225</v>
      </c>
      <c r="DS24">
        <v>8511</v>
      </c>
      <c r="DW24">
        <v>25</v>
      </c>
      <c r="EC24">
        <v>6085</v>
      </c>
      <c r="EM24">
        <v>6810</v>
      </c>
      <c r="ES24">
        <v>250</v>
      </c>
      <c r="EW24">
        <v>1175</v>
      </c>
      <c r="GN24">
        <f t="shared" si="0"/>
        <v>57832</v>
      </c>
    </row>
    <row r="25" spans="1:196" x14ac:dyDescent="0.25">
      <c r="A25" s="4">
        <f>DATE(2023,2,22)</f>
        <v>44979</v>
      </c>
      <c r="B25">
        <v>91178</v>
      </c>
      <c r="W25">
        <v>1000</v>
      </c>
      <c r="AQ25">
        <v>2525</v>
      </c>
      <c r="BA25">
        <v>850</v>
      </c>
      <c r="BK25">
        <v>6850</v>
      </c>
      <c r="BU25">
        <v>2700</v>
      </c>
      <c r="CE25">
        <v>5165</v>
      </c>
      <c r="CO25">
        <v>3483</v>
      </c>
      <c r="CY25">
        <v>7878</v>
      </c>
      <c r="DC25">
        <v>300</v>
      </c>
      <c r="DI25">
        <v>4245</v>
      </c>
      <c r="DS25">
        <v>8436</v>
      </c>
      <c r="DW25">
        <v>25</v>
      </c>
      <c r="EC25">
        <v>6235</v>
      </c>
      <c r="EM25">
        <v>6685</v>
      </c>
      <c r="ES25">
        <v>250</v>
      </c>
      <c r="EW25">
        <v>875</v>
      </c>
      <c r="GN25">
        <f t="shared" si="0"/>
        <v>57502</v>
      </c>
    </row>
    <row r="26" spans="1:196" x14ac:dyDescent="0.25">
      <c r="A26" s="4">
        <f>DATE(2023,2,21)</f>
        <v>44978</v>
      </c>
      <c r="B26">
        <v>90868</v>
      </c>
      <c r="W26">
        <v>1000</v>
      </c>
      <c r="AQ26">
        <v>2525</v>
      </c>
      <c r="BA26">
        <v>850</v>
      </c>
      <c r="BK26">
        <v>6850</v>
      </c>
      <c r="BU26">
        <v>2700</v>
      </c>
      <c r="CE26">
        <v>5165</v>
      </c>
      <c r="CO26">
        <v>3483</v>
      </c>
      <c r="CY26">
        <v>7878</v>
      </c>
      <c r="DC26">
        <v>300</v>
      </c>
      <c r="DI26">
        <v>4395</v>
      </c>
      <c r="DS26">
        <v>8286</v>
      </c>
      <c r="DW26">
        <v>25</v>
      </c>
      <c r="EC26">
        <v>6285</v>
      </c>
      <c r="EM26">
        <v>6385</v>
      </c>
      <c r="ES26">
        <v>250</v>
      </c>
      <c r="EW26">
        <v>875</v>
      </c>
      <c r="GN26">
        <f t="shared" si="0"/>
        <v>57252</v>
      </c>
    </row>
    <row r="27" spans="1:196" x14ac:dyDescent="0.25">
      <c r="A27" s="4">
        <f>DATE(2023,2,20)</f>
        <v>44977</v>
      </c>
      <c r="B27">
        <v>90007</v>
      </c>
      <c r="W27">
        <v>1000</v>
      </c>
      <c r="AQ27">
        <v>2525</v>
      </c>
      <c r="BA27">
        <v>850</v>
      </c>
      <c r="BK27">
        <v>6850</v>
      </c>
      <c r="BU27">
        <v>2700</v>
      </c>
      <c r="CE27">
        <v>5165</v>
      </c>
      <c r="CO27">
        <v>3483</v>
      </c>
      <c r="CY27">
        <v>7378</v>
      </c>
      <c r="DC27">
        <v>300</v>
      </c>
      <c r="DI27">
        <v>4395</v>
      </c>
      <c r="DS27">
        <v>8661</v>
      </c>
      <c r="DW27">
        <v>25</v>
      </c>
      <c r="EC27">
        <v>6160</v>
      </c>
      <c r="EM27">
        <v>6585</v>
      </c>
      <c r="ES27">
        <v>250</v>
      </c>
      <c r="EW27">
        <v>850</v>
      </c>
      <c r="GN27">
        <f t="shared" si="0"/>
        <v>57177</v>
      </c>
    </row>
    <row r="28" spans="1:196" x14ac:dyDescent="0.25">
      <c r="A28" s="4">
        <f>DATE(2023,2,17)</f>
        <v>44974</v>
      </c>
      <c r="B28">
        <v>89571</v>
      </c>
      <c r="W28">
        <v>1000</v>
      </c>
      <c r="AQ28">
        <v>2525</v>
      </c>
      <c r="BA28">
        <v>850</v>
      </c>
      <c r="BK28">
        <v>6850</v>
      </c>
      <c r="BU28">
        <v>2700</v>
      </c>
      <c r="CE28">
        <v>5165</v>
      </c>
      <c r="CO28">
        <v>3483</v>
      </c>
      <c r="CY28">
        <v>7378</v>
      </c>
      <c r="DC28">
        <v>300</v>
      </c>
      <c r="DI28">
        <v>4395</v>
      </c>
      <c r="DS28">
        <v>8386</v>
      </c>
      <c r="DW28">
        <v>25</v>
      </c>
      <c r="EC28">
        <v>6160</v>
      </c>
      <c r="EM28">
        <v>6585</v>
      </c>
      <c r="ES28">
        <v>250</v>
      </c>
      <c r="EW28">
        <v>850</v>
      </c>
      <c r="GN28">
        <f t="shared" si="0"/>
        <v>56902</v>
      </c>
    </row>
    <row r="29" spans="1:196" x14ac:dyDescent="0.25">
      <c r="A29" s="4">
        <f>DATE(2023,2,16)</f>
        <v>44973</v>
      </c>
      <c r="B29">
        <v>89251</v>
      </c>
      <c r="W29">
        <v>1000</v>
      </c>
      <c r="AQ29">
        <v>2525</v>
      </c>
      <c r="BA29">
        <v>850</v>
      </c>
      <c r="BK29">
        <v>6850</v>
      </c>
      <c r="BU29">
        <v>2700</v>
      </c>
      <c r="CE29">
        <v>5825</v>
      </c>
      <c r="CO29">
        <v>3483</v>
      </c>
      <c r="CY29">
        <v>7378</v>
      </c>
      <c r="DC29">
        <v>300</v>
      </c>
      <c r="DI29">
        <v>4275</v>
      </c>
      <c r="DS29">
        <v>7986</v>
      </c>
      <c r="DW29">
        <v>25</v>
      </c>
      <c r="EC29">
        <v>4710</v>
      </c>
      <c r="EM29">
        <v>6550</v>
      </c>
      <c r="ES29">
        <v>250</v>
      </c>
      <c r="EW29">
        <v>550</v>
      </c>
      <c r="GN29">
        <f t="shared" si="0"/>
        <v>55257</v>
      </c>
    </row>
    <row r="30" spans="1:196" x14ac:dyDescent="0.25">
      <c r="A30" s="4">
        <f>DATE(2023,2,15)</f>
        <v>44972</v>
      </c>
      <c r="B30">
        <v>88916</v>
      </c>
      <c r="W30">
        <v>1000</v>
      </c>
      <c r="AQ30">
        <v>2525</v>
      </c>
      <c r="BA30">
        <v>850</v>
      </c>
      <c r="BK30">
        <v>6850</v>
      </c>
      <c r="BU30">
        <v>2700</v>
      </c>
      <c r="CE30">
        <v>5825</v>
      </c>
      <c r="CO30">
        <v>2926</v>
      </c>
      <c r="CY30">
        <v>7478</v>
      </c>
      <c r="DC30">
        <v>300</v>
      </c>
      <c r="DI30">
        <v>4275</v>
      </c>
      <c r="DS30">
        <v>8011</v>
      </c>
      <c r="DW30">
        <v>25</v>
      </c>
      <c r="EC30">
        <v>4560</v>
      </c>
      <c r="EM30">
        <v>6500</v>
      </c>
      <c r="ES30">
        <v>250</v>
      </c>
      <c r="EW30">
        <v>550</v>
      </c>
      <c r="GN30">
        <f t="shared" si="0"/>
        <v>54625</v>
      </c>
    </row>
    <row r="31" spans="1:196" x14ac:dyDescent="0.25">
      <c r="A31" s="4">
        <f>DATE(2023,2,14)</f>
        <v>44971</v>
      </c>
      <c r="B31">
        <v>87873</v>
      </c>
      <c r="W31">
        <v>1000</v>
      </c>
      <c r="AQ31">
        <v>2525</v>
      </c>
      <c r="BA31">
        <v>850</v>
      </c>
      <c r="BK31">
        <v>6850</v>
      </c>
      <c r="BU31">
        <v>2700</v>
      </c>
      <c r="CE31">
        <v>5825</v>
      </c>
      <c r="CO31">
        <v>2926</v>
      </c>
      <c r="CY31">
        <v>7627</v>
      </c>
      <c r="DC31">
        <v>300</v>
      </c>
      <c r="DI31">
        <v>4275</v>
      </c>
      <c r="DS31">
        <v>8551</v>
      </c>
      <c r="DW31">
        <v>25</v>
      </c>
      <c r="EC31">
        <v>4830</v>
      </c>
      <c r="EM31">
        <v>6500</v>
      </c>
      <c r="ES31">
        <v>250</v>
      </c>
      <c r="EW31">
        <v>550</v>
      </c>
      <c r="GN31">
        <f t="shared" si="0"/>
        <v>55584</v>
      </c>
    </row>
    <row r="32" spans="1:196" x14ac:dyDescent="0.25">
      <c r="A32" s="4">
        <f>DATE(2023,2,13)</f>
        <v>44970</v>
      </c>
      <c r="B32">
        <v>87657</v>
      </c>
      <c r="W32">
        <v>1000</v>
      </c>
      <c r="AQ32">
        <v>2525</v>
      </c>
      <c r="BA32">
        <v>850</v>
      </c>
      <c r="BK32">
        <v>6850</v>
      </c>
      <c r="BU32">
        <v>2700</v>
      </c>
      <c r="CE32">
        <v>5825</v>
      </c>
      <c r="CO32">
        <v>3926</v>
      </c>
      <c r="CY32">
        <v>7627</v>
      </c>
      <c r="DC32">
        <v>300</v>
      </c>
      <c r="DI32">
        <v>3510</v>
      </c>
      <c r="DS32">
        <v>8551</v>
      </c>
      <c r="DW32">
        <v>25</v>
      </c>
      <c r="EC32">
        <v>4830</v>
      </c>
      <c r="EM32">
        <v>6500</v>
      </c>
      <c r="ES32">
        <v>250</v>
      </c>
      <c r="EW32">
        <v>550</v>
      </c>
      <c r="GN32">
        <f t="shared" si="0"/>
        <v>55819</v>
      </c>
    </row>
    <row r="33" spans="1:196" x14ac:dyDescent="0.25">
      <c r="A33" s="4">
        <f>DATE(2023,2,10)</f>
        <v>44967</v>
      </c>
      <c r="B33">
        <v>87284</v>
      </c>
      <c r="W33">
        <v>1000</v>
      </c>
      <c r="AQ33">
        <v>2525</v>
      </c>
      <c r="BA33">
        <v>850</v>
      </c>
      <c r="BK33">
        <v>6850</v>
      </c>
      <c r="BU33">
        <v>2700</v>
      </c>
      <c r="CE33">
        <v>5825</v>
      </c>
      <c r="CO33">
        <v>3926</v>
      </c>
      <c r="CY33">
        <v>8127</v>
      </c>
      <c r="DC33">
        <v>300</v>
      </c>
      <c r="DI33">
        <v>4350</v>
      </c>
      <c r="DS33">
        <v>8551</v>
      </c>
      <c r="DW33">
        <v>25</v>
      </c>
      <c r="EC33">
        <v>4230</v>
      </c>
      <c r="EM33">
        <v>6725</v>
      </c>
      <c r="ES33">
        <v>250</v>
      </c>
      <c r="EW33">
        <v>550</v>
      </c>
      <c r="GN33">
        <f t="shared" si="0"/>
        <v>56784</v>
      </c>
    </row>
    <row r="34" spans="1:196" x14ac:dyDescent="0.25">
      <c r="A34" s="4">
        <f>DATE(2023,2,9)</f>
        <v>44966</v>
      </c>
      <c r="B34">
        <v>86537</v>
      </c>
      <c r="W34">
        <v>1000</v>
      </c>
      <c r="AQ34">
        <v>2525</v>
      </c>
      <c r="BA34">
        <v>850</v>
      </c>
      <c r="BK34">
        <v>6850</v>
      </c>
      <c r="BU34">
        <v>2700</v>
      </c>
      <c r="CE34">
        <v>5975</v>
      </c>
      <c r="CO34">
        <v>3551</v>
      </c>
      <c r="CY34">
        <v>7937</v>
      </c>
      <c r="DC34">
        <v>300</v>
      </c>
      <c r="DI34">
        <v>4350</v>
      </c>
      <c r="DS34">
        <v>8351</v>
      </c>
      <c r="DW34">
        <v>25</v>
      </c>
      <c r="EC34">
        <v>4130</v>
      </c>
      <c r="EM34">
        <v>6725</v>
      </c>
      <c r="ES34">
        <v>250</v>
      </c>
      <c r="EW34">
        <v>550</v>
      </c>
      <c r="GN34">
        <f t="shared" si="0"/>
        <v>56069</v>
      </c>
    </row>
    <row r="35" spans="1:196" x14ac:dyDescent="0.25">
      <c r="A35" s="4">
        <f>DATE(2023,2,8)</f>
        <v>44965</v>
      </c>
      <c r="B35">
        <v>85928</v>
      </c>
      <c r="W35">
        <v>1000</v>
      </c>
      <c r="AQ35">
        <v>2525</v>
      </c>
      <c r="BA35">
        <v>850</v>
      </c>
      <c r="BK35">
        <v>6850</v>
      </c>
      <c r="BU35">
        <v>2700</v>
      </c>
      <c r="CE35">
        <v>5725</v>
      </c>
      <c r="CO35">
        <v>3551</v>
      </c>
      <c r="CY35">
        <v>8501</v>
      </c>
      <c r="DC35">
        <v>300</v>
      </c>
      <c r="DI35">
        <v>4400</v>
      </c>
      <c r="DS35">
        <v>7460</v>
      </c>
      <c r="DW35">
        <v>25</v>
      </c>
      <c r="EC35">
        <v>4030</v>
      </c>
      <c r="EM35">
        <v>4625</v>
      </c>
      <c r="ES35">
        <v>250</v>
      </c>
      <c r="EW35">
        <v>550</v>
      </c>
      <c r="GN35">
        <f t="shared" si="0"/>
        <v>53342</v>
      </c>
    </row>
    <row r="36" spans="1:196" x14ac:dyDescent="0.25">
      <c r="A36" s="4">
        <f>DATE(2023,2,7)</f>
        <v>44964</v>
      </c>
      <c r="B36">
        <v>85347</v>
      </c>
      <c r="W36">
        <v>1000</v>
      </c>
      <c r="AQ36">
        <v>2275</v>
      </c>
      <c r="BA36">
        <v>850</v>
      </c>
      <c r="BK36">
        <v>6850</v>
      </c>
      <c r="BU36">
        <v>2700</v>
      </c>
      <c r="CE36">
        <v>5725</v>
      </c>
      <c r="CO36">
        <v>3551</v>
      </c>
      <c r="CY36">
        <v>8451</v>
      </c>
      <c r="DC36">
        <v>300</v>
      </c>
      <c r="DI36">
        <v>4400</v>
      </c>
      <c r="DS36">
        <v>7510</v>
      </c>
      <c r="DW36">
        <v>25</v>
      </c>
      <c r="EC36">
        <v>4515</v>
      </c>
      <c r="EM36">
        <v>4625</v>
      </c>
      <c r="ES36">
        <v>250</v>
      </c>
      <c r="EW36">
        <v>550</v>
      </c>
      <c r="GN36">
        <f t="shared" si="0"/>
        <v>53577</v>
      </c>
    </row>
    <row r="37" spans="1:196" x14ac:dyDescent="0.25">
      <c r="A37" s="4">
        <f>DATE(2023,2,6)</f>
        <v>44963</v>
      </c>
      <c r="B37">
        <v>85227</v>
      </c>
      <c r="W37">
        <v>1000</v>
      </c>
      <c r="AQ37">
        <v>2250</v>
      </c>
      <c r="BA37">
        <v>850</v>
      </c>
      <c r="BK37">
        <v>6850</v>
      </c>
      <c r="BU37">
        <v>2700</v>
      </c>
      <c r="CE37">
        <v>5725</v>
      </c>
      <c r="CO37">
        <v>3551</v>
      </c>
      <c r="CY37">
        <v>8451</v>
      </c>
      <c r="DC37">
        <v>300</v>
      </c>
      <c r="DI37">
        <v>4400</v>
      </c>
      <c r="DS37">
        <v>7260</v>
      </c>
      <c r="DW37">
        <v>25</v>
      </c>
      <c r="EC37">
        <v>3930</v>
      </c>
      <c r="EM37">
        <v>4560</v>
      </c>
      <c r="ES37">
        <v>250</v>
      </c>
      <c r="EW37">
        <v>750</v>
      </c>
      <c r="GN37">
        <f t="shared" ref="GN37:GN68" si="1">SUMPRODUCT(C37:GM37)</f>
        <v>52852</v>
      </c>
    </row>
    <row r="38" spans="1:196" x14ac:dyDescent="0.25">
      <c r="A38" s="4">
        <f>DATE(2023,2,3)</f>
        <v>44960</v>
      </c>
      <c r="B38">
        <v>85141</v>
      </c>
      <c r="W38">
        <v>2000</v>
      </c>
      <c r="AQ38">
        <v>2250</v>
      </c>
      <c r="BA38">
        <v>850</v>
      </c>
      <c r="BK38">
        <v>5600</v>
      </c>
      <c r="BU38">
        <v>2700</v>
      </c>
      <c r="CE38">
        <v>5725</v>
      </c>
      <c r="CO38">
        <v>3801</v>
      </c>
      <c r="CY38">
        <v>8426</v>
      </c>
      <c r="DC38">
        <v>300</v>
      </c>
      <c r="DI38">
        <v>3600</v>
      </c>
      <c r="DS38">
        <v>6685</v>
      </c>
      <c r="DW38">
        <v>25</v>
      </c>
      <c r="EC38">
        <v>1550</v>
      </c>
      <c r="EM38">
        <v>2610</v>
      </c>
      <c r="EW38">
        <v>400</v>
      </c>
      <c r="GN38">
        <f t="shared" si="1"/>
        <v>46522</v>
      </c>
    </row>
    <row r="39" spans="1:196" x14ac:dyDescent="0.25">
      <c r="A39" s="4">
        <f>DATE(2023,2,2)</f>
        <v>44959</v>
      </c>
      <c r="B39">
        <v>85471</v>
      </c>
      <c r="W39">
        <v>2000</v>
      </c>
      <c r="AQ39">
        <v>2250</v>
      </c>
      <c r="BA39">
        <v>850</v>
      </c>
      <c r="BK39">
        <v>5600</v>
      </c>
      <c r="BU39">
        <v>2700</v>
      </c>
      <c r="CE39">
        <v>5725</v>
      </c>
      <c r="CO39">
        <v>3801</v>
      </c>
      <c r="CY39">
        <v>8426</v>
      </c>
      <c r="DC39">
        <v>300</v>
      </c>
      <c r="DI39">
        <v>3600</v>
      </c>
      <c r="DS39">
        <v>6685</v>
      </c>
      <c r="DW39">
        <v>25</v>
      </c>
      <c r="EC39">
        <v>1550</v>
      </c>
      <c r="EM39">
        <v>2610</v>
      </c>
      <c r="EW39">
        <v>400</v>
      </c>
      <c r="GN39">
        <f t="shared" si="1"/>
        <v>46522</v>
      </c>
    </row>
    <row r="40" spans="1:196" x14ac:dyDescent="0.25">
      <c r="A40" s="4">
        <f>DATE(2023,2,1)</f>
        <v>44958</v>
      </c>
      <c r="B40">
        <v>85208</v>
      </c>
      <c r="W40">
        <v>2000</v>
      </c>
      <c r="AQ40">
        <v>2250</v>
      </c>
      <c r="BA40">
        <v>850</v>
      </c>
      <c r="BK40">
        <v>5600</v>
      </c>
      <c r="BU40">
        <v>2700</v>
      </c>
      <c r="CE40">
        <v>5725</v>
      </c>
      <c r="CO40">
        <v>3801</v>
      </c>
      <c r="CY40">
        <v>8426</v>
      </c>
      <c r="DC40">
        <v>300</v>
      </c>
      <c r="DI40">
        <v>3600</v>
      </c>
      <c r="DS40">
        <v>6685</v>
      </c>
      <c r="DW40">
        <v>25</v>
      </c>
      <c r="EC40">
        <v>1550</v>
      </c>
      <c r="EM40">
        <v>2610</v>
      </c>
      <c r="EW40">
        <v>400</v>
      </c>
      <c r="GN40">
        <f t="shared" si="1"/>
        <v>46522</v>
      </c>
    </row>
    <row r="41" spans="1:196" x14ac:dyDescent="0.25">
      <c r="A41" s="4">
        <f>DATE(2023,1,31)</f>
        <v>44957</v>
      </c>
      <c r="B41">
        <v>84160</v>
      </c>
      <c r="W41">
        <v>2000</v>
      </c>
      <c r="AQ41">
        <v>2250</v>
      </c>
      <c r="BA41">
        <v>850</v>
      </c>
      <c r="BK41">
        <v>4600</v>
      </c>
      <c r="BU41">
        <v>2515</v>
      </c>
      <c r="CE41">
        <v>5475</v>
      </c>
      <c r="CO41">
        <v>3801</v>
      </c>
      <c r="CY41">
        <v>8426</v>
      </c>
      <c r="DI41">
        <v>3550</v>
      </c>
      <c r="DS41">
        <v>6635</v>
      </c>
      <c r="DW41">
        <v>25</v>
      </c>
      <c r="EC41">
        <v>1550</v>
      </c>
      <c r="EM41">
        <v>2285</v>
      </c>
      <c r="GN41">
        <f t="shared" si="1"/>
        <v>43962</v>
      </c>
    </row>
    <row r="42" spans="1:196" x14ac:dyDescent="0.25">
      <c r="A42" s="4">
        <f>DATE(2023,1,30)</f>
        <v>44956</v>
      </c>
      <c r="B42">
        <v>81653</v>
      </c>
      <c r="W42">
        <v>2000</v>
      </c>
      <c r="AQ42">
        <v>2250</v>
      </c>
      <c r="BA42">
        <v>850</v>
      </c>
      <c r="BK42">
        <v>4600</v>
      </c>
      <c r="BU42">
        <v>2515</v>
      </c>
      <c r="CE42">
        <v>5475</v>
      </c>
      <c r="CO42">
        <v>3101</v>
      </c>
      <c r="CY42">
        <v>8226</v>
      </c>
      <c r="DI42">
        <v>3300</v>
      </c>
      <c r="DS42">
        <v>6635</v>
      </c>
      <c r="DW42">
        <v>25</v>
      </c>
      <c r="EC42">
        <v>1300</v>
      </c>
      <c r="EM42">
        <v>2285</v>
      </c>
      <c r="GN42">
        <f t="shared" si="1"/>
        <v>42562</v>
      </c>
    </row>
    <row r="43" spans="1:196" x14ac:dyDescent="0.25">
      <c r="A43" s="4">
        <f>DATE(2023,1,27)</f>
        <v>44953</v>
      </c>
      <c r="B43">
        <v>80657</v>
      </c>
      <c r="W43">
        <v>2000</v>
      </c>
      <c r="AQ43">
        <v>2250</v>
      </c>
      <c r="BA43">
        <v>850</v>
      </c>
      <c r="BK43">
        <v>4600</v>
      </c>
      <c r="BU43">
        <v>2515</v>
      </c>
      <c r="CE43">
        <v>5725</v>
      </c>
      <c r="CO43">
        <v>3351</v>
      </c>
      <c r="CY43">
        <v>7876</v>
      </c>
      <c r="DI43">
        <v>2800</v>
      </c>
      <c r="DS43">
        <v>6285</v>
      </c>
      <c r="DW43">
        <v>25</v>
      </c>
      <c r="EC43">
        <v>1300</v>
      </c>
      <c r="EM43">
        <v>2285</v>
      </c>
      <c r="GN43">
        <f t="shared" si="1"/>
        <v>41862</v>
      </c>
    </row>
    <row r="44" spans="1:196" x14ac:dyDescent="0.25">
      <c r="A44" s="4">
        <f>DATE(2023,1,26)</f>
        <v>44952</v>
      </c>
      <c r="B44">
        <v>80421</v>
      </c>
      <c r="W44">
        <v>2000</v>
      </c>
      <c r="AQ44">
        <v>2250</v>
      </c>
      <c r="BA44">
        <v>850</v>
      </c>
      <c r="BK44">
        <v>4600</v>
      </c>
      <c r="BU44">
        <v>1615</v>
      </c>
      <c r="CE44">
        <v>5925</v>
      </c>
      <c r="CO44">
        <v>3626</v>
      </c>
      <c r="CY44">
        <v>7675</v>
      </c>
      <c r="DI44">
        <v>2750</v>
      </c>
      <c r="DS44">
        <v>6285</v>
      </c>
      <c r="DW44">
        <v>25</v>
      </c>
      <c r="EC44">
        <v>1000</v>
      </c>
      <c r="EM44">
        <v>2285</v>
      </c>
      <c r="GN44">
        <f t="shared" si="1"/>
        <v>40886</v>
      </c>
    </row>
    <row r="45" spans="1:196" x14ac:dyDescent="0.25">
      <c r="A45" s="4">
        <f>DATE(2023,1,25)</f>
        <v>44951</v>
      </c>
      <c r="B45">
        <v>78135</v>
      </c>
      <c r="AQ45">
        <v>350</v>
      </c>
      <c r="BA45">
        <v>850</v>
      </c>
      <c r="BK45">
        <v>4600</v>
      </c>
      <c r="BU45">
        <v>1750</v>
      </c>
      <c r="CE45">
        <v>4925</v>
      </c>
      <c r="CO45">
        <v>2400</v>
      </c>
      <c r="CY45">
        <v>7675</v>
      </c>
      <c r="DI45">
        <v>2500</v>
      </c>
      <c r="DS45">
        <v>6285</v>
      </c>
      <c r="DW45">
        <v>25</v>
      </c>
      <c r="EC45">
        <v>1000</v>
      </c>
      <c r="EM45">
        <v>2285</v>
      </c>
      <c r="GN45">
        <f t="shared" si="1"/>
        <v>34645</v>
      </c>
    </row>
    <row r="46" spans="1:196" x14ac:dyDescent="0.25">
      <c r="A46" s="4">
        <f>DATE(2023,1,24)</f>
        <v>44950</v>
      </c>
      <c r="B46">
        <v>77636</v>
      </c>
      <c r="AQ46">
        <v>350</v>
      </c>
      <c r="BA46">
        <v>850</v>
      </c>
      <c r="BK46">
        <v>4600</v>
      </c>
      <c r="BU46">
        <v>2150</v>
      </c>
      <c r="CE46">
        <v>4575</v>
      </c>
      <c r="CO46">
        <v>2400</v>
      </c>
      <c r="CY46">
        <v>7635</v>
      </c>
      <c r="DI46">
        <v>2180</v>
      </c>
      <c r="DS46">
        <v>6285</v>
      </c>
      <c r="DW46">
        <v>25</v>
      </c>
      <c r="EC46">
        <v>1000</v>
      </c>
      <c r="EM46">
        <v>2285</v>
      </c>
      <c r="GN46">
        <f t="shared" si="1"/>
        <v>34335</v>
      </c>
    </row>
    <row r="47" spans="1:196" x14ac:dyDescent="0.25">
      <c r="A47" s="4">
        <f>DATE(2023,1,23)</f>
        <v>44949</v>
      </c>
      <c r="B47">
        <v>77102</v>
      </c>
      <c r="AQ47">
        <v>450</v>
      </c>
      <c r="BA47">
        <v>850</v>
      </c>
      <c r="BK47">
        <v>4600</v>
      </c>
      <c r="BU47">
        <v>2250</v>
      </c>
      <c r="CE47">
        <v>4200</v>
      </c>
      <c r="CO47">
        <v>2300</v>
      </c>
      <c r="CY47">
        <v>7635</v>
      </c>
      <c r="DI47">
        <v>2180</v>
      </c>
      <c r="DS47">
        <v>6035</v>
      </c>
      <c r="DW47">
        <v>25</v>
      </c>
      <c r="EC47">
        <v>1000</v>
      </c>
      <c r="EM47">
        <v>2285</v>
      </c>
      <c r="GN47">
        <f t="shared" si="1"/>
        <v>33810</v>
      </c>
    </row>
    <row r="48" spans="1:196" x14ac:dyDescent="0.25">
      <c r="A48" s="4">
        <f>DATE(2023,1,20)</f>
        <v>44946</v>
      </c>
      <c r="B48">
        <v>76889</v>
      </c>
      <c r="AQ48">
        <v>450</v>
      </c>
      <c r="BA48">
        <v>850</v>
      </c>
      <c r="BK48">
        <v>4600</v>
      </c>
      <c r="BU48">
        <v>2250</v>
      </c>
      <c r="CE48">
        <v>4175</v>
      </c>
      <c r="CO48">
        <v>2300</v>
      </c>
      <c r="CY48">
        <v>7385</v>
      </c>
      <c r="DI48">
        <v>2150</v>
      </c>
      <c r="DS48">
        <v>5785</v>
      </c>
      <c r="DW48">
        <v>25</v>
      </c>
      <c r="EC48">
        <v>1000</v>
      </c>
      <c r="EM48">
        <v>2285</v>
      </c>
      <c r="GN48">
        <f t="shared" si="1"/>
        <v>33255</v>
      </c>
    </row>
    <row r="49" spans="1:196" x14ac:dyDescent="0.25">
      <c r="A49" s="4">
        <f>DATE(2023,1,19)</f>
        <v>44945</v>
      </c>
      <c r="B49">
        <v>76372</v>
      </c>
      <c r="AQ49">
        <v>450</v>
      </c>
      <c r="BA49">
        <v>850</v>
      </c>
      <c r="BK49">
        <v>3350</v>
      </c>
      <c r="BU49">
        <v>2250</v>
      </c>
      <c r="CE49">
        <v>4300</v>
      </c>
      <c r="CO49">
        <v>2300</v>
      </c>
      <c r="CY49">
        <v>5525</v>
      </c>
      <c r="DI49">
        <v>2050</v>
      </c>
      <c r="DS49">
        <v>4910</v>
      </c>
      <c r="DW49">
        <v>25</v>
      </c>
      <c r="EC49">
        <v>1250</v>
      </c>
      <c r="EM49">
        <v>2285</v>
      </c>
      <c r="GN49">
        <f t="shared" si="1"/>
        <v>29545</v>
      </c>
    </row>
    <row r="50" spans="1:196" x14ac:dyDescent="0.25">
      <c r="A50" s="4">
        <f>DATE(2023,1,18)</f>
        <v>44944</v>
      </c>
      <c r="B50">
        <v>76108</v>
      </c>
      <c r="AQ50">
        <v>450</v>
      </c>
      <c r="BA50">
        <v>850</v>
      </c>
      <c r="BK50">
        <v>3350</v>
      </c>
      <c r="BU50">
        <v>2250</v>
      </c>
      <c r="CE50">
        <v>3200</v>
      </c>
      <c r="CO50">
        <v>2300</v>
      </c>
      <c r="CY50">
        <v>5325</v>
      </c>
      <c r="DI50">
        <v>2050</v>
      </c>
      <c r="DS50">
        <v>4910</v>
      </c>
      <c r="DW50">
        <v>25</v>
      </c>
      <c r="EC50">
        <v>1250</v>
      </c>
      <c r="EM50">
        <v>2285</v>
      </c>
      <c r="GN50">
        <f t="shared" si="1"/>
        <v>28245</v>
      </c>
    </row>
    <row r="51" spans="1:196" x14ac:dyDescent="0.25">
      <c r="A51" s="4">
        <f>DATE(2023,1,17)</f>
        <v>44943</v>
      </c>
      <c r="B51">
        <v>75126</v>
      </c>
      <c r="AQ51">
        <v>450</v>
      </c>
      <c r="BA51">
        <v>850</v>
      </c>
      <c r="BK51">
        <v>3350</v>
      </c>
      <c r="BU51">
        <v>2400</v>
      </c>
      <c r="CE51">
        <v>3200</v>
      </c>
      <c r="CO51">
        <v>2017</v>
      </c>
      <c r="CY51">
        <v>5325</v>
      </c>
      <c r="DI51">
        <v>1800</v>
      </c>
      <c r="DS51">
        <v>4910</v>
      </c>
      <c r="DW51">
        <v>25</v>
      </c>
      <c r="EC51">
        <v>1250</v>
      </c>
      <c r="EM51">
        <v>2285</v>
      </c>
      <c r="GN51">
        <f t="shared" si="1"/>
        <v>27862</v>
      </c>
    </row>
    <row r="52" spans="1:196" x14ac:dyDescent="0.25">
      <c r="A52" s="4">
        <f>DATE(2023,1,16)</f>
        <v>44942</v>
      </c>
      <c r="B52">
        <v>74684</v>
      </c>
      <c r="AQ52">
        <v>450</v>
      </c>
      <c r="BA52">
        <v>850</v>
      </c>
      <c r="BK52">
        <v>3350</v>
      </c>
      <c r="BU52">
        <v>1775</v>
      </c>
      <c r="CE52">
        <v>3200</v>
      </c>
      <c r="CO52">
        <v>2017</v>
      </c>
      <c r="CY52">
        <v>5325</v>
      </c>
      <c r="DI52">
        <v>1800</v>
      </c>
      <c r="DS52">
        <v>4910</v>
      </c>
      <c r="DW52">
        <v>25</v>
      </c>
      <c r="EC52">
        <v>1250</v>
      </c>
      <c r="EM52">
        <v>2285</v>
      </c>
      <c r="GN52">
        <f t="shared" si="1"/>
        <v>27237</v>
      </c>
    </row>
    <row r="53" spans="1:196" x14ac:dyDescent="0.25">
      <c r="A53" s="4">
        <f>DATE(2023,1,13)</f>
        <v>44939</v>
      </c>
      <c r="B53">
        <v>74089</v>
      </c>
      <c r="AQ53">
        <v>450</v>
      </c>
      <c r="BA53">
        <v>850</v>
      </c>
      <c r="BK53">
        <v>3350</v>
      </c>
      <c r="BU53">
        <v>1575</v>
      </c>
      <c r="CE53">
        <v>3200</v>
      </c>
      <c r="CO53">
        <v>2017</v>
      </c>
      <c r="CY53">
        <v>5075</v>
      </c>
      <c r="DI53">
        <v>1780</v>
      </c>
      <c r="DS53">
        <v>4910</v>
      </c>
      <c r="DW53">
        <v>25</v>
      </c>
      <c r="EC53">
        <v>1250</v>
      </c>
      <c r="EM53">
        <v>2285</v>
      </c>
      <c r="GN53">
        <f t="shared" si="1"/>
        <v>26767</v>
      </c>
    </row>
    <row r="54" spans="1:196" x14ac:dyDescent="0.25">
      <c r="A54" s="4">
        <f>DATE(2023,1,12)</f>
        <v>44938</v>
      </c>
      <c r="B54">
        <v>73630</v>
      </c>
      <c r="AQ54">
        <v>450</v>
      </c>
      <c r="BA54">
        <v>850</v>
      </c>
      <c r="BK54">
        <v>3350</v>
      </c>
      <c r="BU54">
        <v>1575</v>
      </c>
      <c r="CE54">
        <v>3100</v>
      </c>
      <c r="CO54">
        <v>2017</v>
      </c>
      <c r="CY54">
        <v>4975</v>
      </c>
      <c r="DI54">
        <v>1755</v>
      </c>
      <c r="DS54">
        <v>4910</v>
      </c>
      <c r="DW54">
        <v>25</v>
      </c>
      <c r="EC54">
        <v>1250</v>
      </c>
      <c r="EM54">
        <v>2285</v>
      </c>
      <c r="GN54">
        <f t="shared" si="1"/>
        <v>26542</v>
      </c>
    </row>
    <row r="55" spans="1:196" x14ac:dyDescent="0.25">
      <c r="A55" s="4">
        <f>DATE(2023,1,11)</f>
        <v>44937</v>
      </c>
      <c r="B55">
        <v>73217</v>
      </c>
      <c r="AQ55">
        <v>450</v>
      </c>
      <c r="BA55">
        <v>850</v>
      </c>
      <c r="BK55">
        <v>3350</v>
      </c>
      <c r="BU55">
        <v>1575</v>
      </c>
      <c r="CE55">
        <v>2750</v>
      </c>
      <c r="CO55">
        <v>1767</v>
      </c>
      <c r="CY55">
        <v>4775</v>
      </c>
      <c r="DI55">
        <v>1675</v>
      </c>
      <c r="DS55">
        <v>4910</v>
      </c>
      <c r="DW55">
        <v>25</v>
      </c>
      <c r="EC55">
        <v>1250</v>
      </c>
      <c r="EM55">
        <v>2285</v>
      </c>
      <c r="GN55">
        <f t="shared" si="1"/>
        <v>25662</v>
      </c>
    </row>
    <row r="56" spans="1:196" x14ac:dyDescent="0.25">
      <c r="A56" s="4">
        <f>DATE(2023,1,10)</f>
        <v>44936</v>
      </c>
      <c r="B56">
        <v>72549</v>
      </c>
      <c r="AQ56">
        <v>450</v>
      </c>
      <c r="BA56">
        <v>850</v>
      </c>
      <c r="BK56">
        <v>4600</v>
      </c>
      <c r="BU56">
        <v>1575</v>
      </c>
      <c r="CE56">
        <v>2750</v>
      </c>
      <c r="CO56">
        <v>1767</v>
      </c>
      <c r="CY56">
        <v>5300</v>
      </c>
      <c r="DI56">
        <v>1675</v>
      </c>
      <c r="DS56">
        <v>4510</v>
      </c>
      <c r="DW56">
        <v>25</v>
      </c>
      <c r="EC56">
        <v>1250</v>
      </c>
      <c r="EM56">
        <v>2285</v>
      </c>
      <c r="GN56">
        <f t="shared" si="1"/>
        <v>27037</v>
      </c>
    </row>
    <row r="57" spans="1:196" x14ac:dyDescent="0.25">
      <c r="A57" s="4">
        <f>DATE(2023,1,9)</f>
        <v>44935</v>
      </c>
      <c r="B57">
        <v>72333</v>
      </c>
      <c r="AQ57">
        <v>350</v>
      </c>
      <c r="BA57">
        <v>350</v>
      </c>
      <c r="BK57">
        <v>4650</v>
      </c>
      <c r="BU57">
        <v>1275</v>
      </c>
      <c r="CE57">
        <v>2650</v>
      </c>
      <c r="CO57">
        <v>1767</v>
      </c>
      <c r="CY57">
        <v>5300</v>
      </c>
      <c r="DI57">
        <v>1675</v>
      </c>
      <c r="DS57">
        <v>4510</v>
      </c>
      <c r="DW57">
        <v>25</v>
      </c>
      <c r="EC57">
        <v>1250</v>
      </c>
      <c r="EM57">
        <v>2285</v>
      </c>
      <c r="GN57">
        <f t="shared" si="1"/>
        <v>26087</v>
      </c>
    </row>
    <row r="58" spans="1:196" x14ac:dyDescent="0.25">
      <c r="A58" s="4">
        <f>DATE(2023,1,6)</f>
        <v>44932</v>
      </c>
      <c r="B58">
        <v>72293</v>
      </c>
      <c r="AQ58">
        <v>350</v>
      </c>
      <c r="BA58">
        <v>350</v>
      </c>
      <c r="BK58">
        <v>4650</v>
      </c>
      <c r="BU58">
        <v>1275</v>
      </c>
      <c r="CE58">
        <v>2700</v>
      </c>
      <c r="CO58">
        <v>1767</v>
      </c>
      <c r="CY58">
        <v>5050</v>
      </c>
      <c r="DI58">
        <v>1675</v>
      </c>
      <c r="DS58">
        <v>4510</v>
      </c>
      <c r="DW58">
        <v>25</v>
      </c>
      <c r="EC58">
        <v>1250</v>
      </c>
      <c r="EM58">
        <v>2285</v>
      </c>
      <c r="GN58">
        <f t="shared" si="1"/>
        <v>25887</v>
      </c>
    </row>
    <row r="59" spans="1:196" x14ac:dyDescent="0.25">
      <c r="A59" s="4">
        <f>DATE(2023,1,5)</f>
        <v>44931</v>
      </c>
      <c r="B59">
        <v>72206</v>
      </c>
      <c r="AQ59">
        <v>350</v>
      </c>
      <c r="BA59">
        <v>350</v>
      </c>
      <c r="BK59">
        <v>3400</v>
      </c>
      <c r="BU59">
        <v>1275</v>
      </c>
      <c r="CE59">
        <v>2700</v>
      </c>
      <c r="CO59">
        <v>1567</v>
      </c>
      <c r="CY59">
        <v>3550</v>
      </c>
      <c r="DI59">
        <v>1675</v>
      </c>
      <c r="DS59">
        <v>2510</v>
      </c>
      <c r="DW59">
        <v>25</v>
      </c>
      <c r="EC59">
        <v>1250</v>
      </c>
      <c r="EM59">
        <v>2285</v>
      </c>
      <c r="GN59">
        <f t="shared" si="1"/>
        <v>20937</v>
      </c>
    </row>
    <row r="60" spans="1:196" x14ac:dyDescent="0.25">
      <c r="A60" s="4">
        <f>DATE(2023,1,4)</f>
        <v>44930</v>
      </c>
      <c r="B60">
        <v>72789</v>
      </c>
      <c r="AQ60">
        <v>350</v>
      </c>
      <c r="BA60">
        <v>350</v>
      </c>
      <c r="BK60">
        <v>3400</v>
      </c>
      <c r="BU60">
        <v>1275</v>
      </c>
      <c r="CE60">
        <v>2750</v>
      </c>
      <c r="CO60">
        <v>1567</v>
      </c>
      <c r="CY60">
        <v>3550</v>
      </c>
      <c r="DI60">
        <v>1600</v>
      </c>
      <c r="DS60">
        <v>2010</v>
      </c>
      <c r="DW60">
        <v>25</v>
      </c>
      <c r="EC60">
        <v>1250</v>
      </c>
      <c r="EM60">
        <v>2285</v>
      </c>
      <c r="GN60">
        <f t="shared" si="1"/>
        <v>20412</v>
      </c>
    </row>
    <row r="61" spans="1:196" x14ac:dyDescent="0.25">
      <c r="A61" s="4">
        <f>DATE(2023,1,3)</f>
        <v>44929</v>
      </c>
      <c r="B61">
        <v>72784</v>
      </c>
      <c r="AQ61">
        <v>350</v>
      </c>
      <c r="BA61">
        <v>350</v>
      </c>
      <c r="BK61">
        <v>3400</v>
      </c>
      <c r="BU61">
        <v>1275</v>
      </c>
      <c r="CE61">
        <v>2750</v>
      </c>
      <c r="CO61">
        <v>1567</v>
      </c>
      <c r="CY61">
        <v>3550</v>
      </c>
      <c r="DI61">
        <v>1600</v>
      </c>
      <c r="DS61">
        <v>2510</v>
      </c>
      <c r="DW61">
        <v>25</v>
      </c>
      <c r="EC61">
        <v>1250</v>
      </c>
      <c r="EM61">
        <v>2285</v>
      </c>
      <c r="GN61">
        <f t="shared" si="1"/>
        <v>20912</v>
      </c>
    </row>
    <row r="62" spans="1:196" x14ac:dyDescent="0.25">
      <c r="A62" s="4">
        <f>DATE(2023,1,2)</f>
        <v>44928</v>
      </c>
      <c r="B62">
        <v>72682</v>
      </c>
      <c r="AQ62">
        <v>350</v>
      </c>
      <c r="BA62">
        <v>350</v>
      </c>
      <c r="BK62">
        <v>3400</v>
      </c>
      <c r="BU62">
        <v>1275</v>
      </c>
      <c r="CE62">
        <v>2750</v>
      </c>
      <c r="CO62">
        <v>1567</v>
      </c>
      <c r="CY62">
        <v>3550</v>
      </c>
      <c r="DI62">
        <v>1600</v>
      </c>
      <c r="DS62">
        <v>2510</v>
      </c>
      <c r="DW62">
        <v>25</v>
      </c>
      <c r="EC62">
        <v>1250</v>
      </c>
      <c r="EM62">
        <v>2285</v>
      </c>
      <c r="GN62">
        <f t="shared" si="1"/>
        <v>20912</v>
      </c>
    </row>
    <row r="63" spans="1:196" x14ac:dyDescent="0.25">
      <c r="A63" s="4">
        <f>DATE(2022,12,30)</f>
        <v>44925</v>
      </c>
      <c r="B63">
        <v>72651</v>
      </c>
      <c r="AQ63">
        <v>350</v>
      </c>
      <c r="BA63">
        <v>350</v>
      </c>
      <c r="BK63">
        <v>3400</v>
      </c>
      <c r="BU63">
        <v>1275</v>
      </c>
      <c r="CE63">
        <v>2750</v>
      </c>
      <c r="CO63">
        <v>1567</v>
      </c>
      <c r="CY63">
        <v>3550</v>
      </c>
      <c r="DI63">
        <v>1600</v>
      </c>
      <c r="DS63">
        <v>2510</v>
      </c>
      <c r="DW63">
        <v>25</v>
      </c>
      <c r="EC63">
        <v>1250</v>
      </c>
      <c r="EM63">
        <v>2285</v>
      </c>
      <c r="GN63">
        <f t="shared" si="1"/>
        <v>20912</v>
      </c>
    </row>
    <row r="64" spans="1:196" x14ac:dyDescent="0.25">
      <c r="A64" s="4">
        <f>DATE(2022,12,29)</f>
        <v>44924</v>
      </c>
      <c r="B64">
        <v>72557</v>
      </c>
      <c r="AQ64">
        <v>350</v>
      </c>
      <c r="BA64">
        <v>350</v>
      </c>
      <c r="BK64">
        <v>3400</v>
      </c>
      <c r="BU64">
        <v>1275</v>
      </c>
      <c r="CE64">
        <v>2750</v>
      </c>
      <c r="CO64">
        <v>1567</v>
      </c>
      <c r="CY64">
        <v>3550</v>
      </c>
      <c r="DI64">
        <v>1600</v>
      </c>
      <c r="DS64">
        <v>2510</v>
      </c>
      <c r="DW64">
        <v>25</v>
      </c>
      <c r="EC64">
        <v>1250</v>
      </c>
      <c r="EM64">
        <v>2285</v>
      </c>
      <c r="GN64">
        <f t="shared" si="1"/>
        <v>20912</v>
      </c>
    </row>
    <row r="65" spans="1:196" x14ac:dyDescent="0.25">
      <c r="A65" s="4">
        <f>DATE(2022,12,28)</f>
        <v>44923</v>
      </c>
      <c r="B65">
        <v>72442</v>
      </c>
      <c r="AQ65">
        <v>350</v>
      </c>
      <c r="BA65">
        <v>350</v>
      </c>
      <c r="BK65">
        <v>3400</v>
      </c>
      <c r="BU65">
        <v>1275</v>
      </c>
      <c r="CE65">
        <v>2750</v>
      </c>
      <c r="CO65">
        <v>1567</v>
      </c>
      <c r="CY65">
        <v>3550</v>
      </c>
      <c r="DI65">
        <v>1600</v>
      </c>
      <c r="DS65">
        <v>2510</v>
      </c>
      <c r="DW65">
        <v>25</v>
      </c>
      <c r="EC65">
        <v>1250</v>
      </c>
      <c r="EM65">
        <v>2285</v>
      </c>
      <c r="GN65">
        <f t="shared" si="1"/>
        <v>20912</v>
      </c>
    </row>
    <row r="66" spans="1:196" x14ac:dyDescent="0.25">
      <c r="A66" s="4">
        <f>DATE(2022,12,27)</f>
        <v>44922</v>
      </c>
      <c r="B66">
        <v>72283</v>
      </c>
      <c r="AQ66">
        <v>350</v>
      </c>
      <c r="BA66">
        <v>350</v>
      </c>
      <c r="BK66">
        <v>3400</v>
      </c>
      <c r="BU66">
        <v>1275</v>
      </c>
      <c r="CE66">
        <v>2750</v>
      </c>
      <c r="CO66">
        <v>1567</v>
      </c>
      <c r="CY66">
        <v>3550</v>
      </c>
      <c r="DI66">
        <v>1600</v>
      </c>
      <c r="DS66">
        <v>2510</v>
      </c>
      <c r="DW66">
        <v>25</v>
      </c>
      <c r="EC66">
        <v>1250</v>
      </c>
      <c r="EM66">
        <v>2285</v>
      </c>
      <c r="GN66">
        <f t="shared" si="1"/>
        <v>20912</v>
      </c>
    </row>
    <row r="67" spans="1:196" x14ac:dyDescent="0.25">
      <c r="A67" s="4">
        <f>DATE(2022,12,26)</f>
        <v>44921</v>
      </c>
      <c r="GN67">
        <f t="shared" si="1"/>
        <v>0</v>
      </c>
    </row>
    <row r="68" spans="1:196" x14ac:dyDescent="0.25">
      <c r="A68" s="4">
        <f>DATE(2022,12,23)</f>
        <v>44918</v>
      </c>
      <c r="B68">
        <v>72277</v>
      </c>
      <c r="AQ68">
        <v>350</v>
      </c>
      <c r="BA68">
        <v>350</v>
      </c>
      <c r="BK68">
        <v>3400</v>
      </c>
      <c r="BU68">
        <v>1275</v>
      </c>
      <c r="CE68">
        <v>2750</v>
      </c>
      <c r="CO68">
        <v>1567</v>
      </c>
      <c r="CY68">
        <v>3550</v>
      </c>
      <c r="DI68">
        <v>1600</v>
      </c>
      <c r="DS68">
        <v>2510</v>
      </c>
      <c r="DW68">
        <v>25</v>
      </c>
      <c r="EC68">
        <v>1250</v>
      </c>
      <c r="EM68">
        <v>2285</v>
      </c>
      <c r="GN68">
        <f t="shared" si="1"/>
        <v>20912</v>
      </c>
    </row>
    <row r="69" spans="1:196" x14ac:dyDescent="0.25">
      <c r="A69" s="4">
        <f>DATE(2022,12,22)</f>
        <v>44917</v>
      </c>
      <c r="B69">
        <v>72232</v>
      </c>
      <c r="AQ69">
        <v>350</v>
      </c>
      <c r="BA69">
        <v>350</v>
      </c>
      <c r="BK69">
        <v>3400</v>
      </c>
      <c r="BU69">
        <v>1275</v>
      </c>
      <c r="CE69">
        <v>2750</v>
      </c>
      <c r="CO69">
        <v>1567</v>
      </c>
      <c r="CY69">
        <v>3550</v>
      </c>
      <c r="DI69">
        <v>1600</v>
      </c>
      <c r="DS69">
        <v>2510</v>
      </c>
      <c r="DW69">
        <v>25</v>
      </c>
      <c r="EC69">
        <v>1250</v>
      </c>
      <c r="EM69">
        <v>2285</v>
      </c>
      <c r="GN69">
        <f t="shared" ref="GN69:GN70" si="2">SUMPRODUCT(C69:GM69)</f>
        <v>20912</v>
      </c>
    </row>
    <row r="70" spans="1:196" x14ac:dyDescent="0.25">
      <c r="A70" s="4">
        <f>DATE(2022,12,21)</f>
        <v>44916</v>
      </c>
      <c r="B70">
        <v>71984</v>
      </c>
      <c r="AQ70">
        <v>350</v>
      </c>
      <c r="BA70">
        <v>350</v>
      </c>
      <c r="BK70">
        <v>3400</v>
      </c>
      <c r="BU70">
        <v>1275</v>
      </c>
      <c r="CE70">
        <v>2750</v>
      </c>
      <c r="CO70">
        <v>1567</v>
      </c>
      <c r="CY70">
        <v>3750</v>
      </c>
      <c r="DI70">
        <v>1600</v>
      </c>
      <c r="DS70">
        <v>2510</v>
      </c>
      <c r="EC70">
        <v>1250</v>
      </c>
      <c r="EM70">
        <v>2285</v>
      </c>
      <c r="GN70">
        <f t="shared" si="2"/>
        <v>21087</v>
      </c>
    </row>
    <row r="71" spans="1:196" x14ac:dyDescent="0.25">
      <c r="A71" s="4">
        <f>DATE(2022,12,20)</f>
        <v>44915</v>
      </c>
      <c r="B71">
        <v>71739</v>
      </c>
      <c r="AQ71">
        <v>350</v>
      </c>
      <c r="BA71">
        <v>350</v>
      </c>
      <c r="BK71">
        <v>3400</v>
      </c>
      <c r="BU71">
        <v>25</v>
      </c>
      <c r="CE71">
        <v>2750</v>
      </c>
      <c r="CO71">
        <v>600</v>
      </c>
      <c r="CY71">
        <v>3750</v>
      </c>
      <c r="DI71">
        <v>1600</v>
      </c>
      <c r="DS71">
        <v>1100</v>
      </c>
      <c r="EC71">
        <v>750</v>
      </c>
      <c r="EM71">
        <v>1300</v>
      </c>
    </row>
    <row r="72" spans="1:196" x14ac:dyDescent="0.25">
      <c r="A72" s="4">
        <f>DATE(2022,12,19)</f>
        <v>44914</v>
      </c>
      <c r="B72">
        <v>71431</v>
      </c>
      <c r="AQ72">
        <v>350</v>
      </c>
      <c r="BA72">
        <v>350</v>
      </c>
      <c r="BK72">
        <v>3400</v>
      </c>
      <c r="BU72">
        <v>25</v>
      </c>
      <c r="CE72">
        <v>2750</v>
      </c>
      <c r="CO72">
        <v>600</v>
      </c>
      <c r="CY72">
        <v>3750</v>
      </c>
      <c r="DI72">
        <v>1300</v>
      </c>
      <c r="DS72">
        <v>1100</v>
      </c>
      <c r="EC72">
        <v>750</v>
      </c>
      <c r="EM72">
        <v>1300</v>
      </c>
    </row>
    <row r="73" spans="1:196" x14ac:dyDescent="0.25">
      <c r="A73" s="4">
        <f>DATE(2022,12,16)</f>
        <v>44911</v>
      </c>
      <c r="B73">
        <v>71304</v>
      </c>
      <c r="AQ73">
        <v>350</v>
      </c>
      <c r="BA73">
        <v>350</v>
      </c>
      <c r="BK73">
        <v>3050</v>
      </c>
      <c r="BU73">
        <v>25</v>
      </c>
      <c r="CE73">
        <v>2750</v>
      </c>
      <c r="CO73">
        <v>600</v>
      </c>
      <c r="CY73">
        <v>3750</v>
      </c>
      <c r="DI73">
        <v>1250</v>
      </c>
      <c r="DS73">
        <v>600</v>
      </c>
      <c r="EC73">
        <v>750</v>
      </c>
      <c r="EM73">
        <v>1050</v>
      </c>
    </row>
    <row r="74" spans="1:196" x14ac:dyDescent="0.25">
      <c r="A74" s="4">
        <f>DATE(2022,12,15)</f>
        <v>44910</v>
      </c>
      <c r="B74">
        <v>71132</v>
      </c>
      <c r="AQ74">
        <v>550</v>
      </c>
      <c r="BA74">
        <v>350</v>
      </c>
      <c r="BK74">
        <v>2850</v>
      </c>
      <c r="BU74">
        <v>25</v>
      </c>
      <c r="CE74">
        <v>2750</v>
      </c>
      <c r="CO74">
        <v>600</v>
      </c>
      <c r="CY74">
        <v>3750</v>
      </c>
      <c r="DI74">
        <v>1250</v>
      </c>
      <c r="DS74">
        <v>600</v>
      </c>
      <c r="EC74">
        <v>750</v>
      </c>
      <c r="EM74">
        <v>1050</v>
      </c>
    </row>
    <row r="75" spans="1:196" x14ac:dyDescent="0.25">
      <c r="A75" s="4">
        <f>DATE(2022,12,14)</f>
        <v>44909</v>
      </c>
      <c r="B75">
        <v>70904</v>
      </c>
      <c r="AQ75">
        <v>550</v>
      </c>
      <c r="BA75">
        <v>350</v>
      </c>
      <c r="BK75">
        <v>2850</v>
      </c>
      <c r="BU75">
        <v>25</v>
      </c>
      <c r="CE75">
        <v>2750</v>
      </c>
      <c r="CO75">
        <v>600</v>
      </c>
      <c r="CY75">
        <v>3750</v>
      </c>
      <c r="DI75">
        <v>1250</v>
      </c>
      <c r="DS75">
        <v>800</v>
      </c>
      <c r="EC75">
        <v>500</v>
      </c>
      <c r="EM75">
        <v>1050</v>
      </c>
    </row>
    <row r="76" spans="1:196" x14ac:dyDescent="0.25">
      <c r="A76" s="4">
        <f>DATE(2022,12,13)</f>
        <v>44908</v>
      </c>
      <c r="B76">
        <v>70737</v>
      </c>
      <c r="AQ76">
        <v>550</v>
      </c>
      <c r="BA76">
        <v>350</v>
      </c>
      <c r="BK76">
        <v>2850</v>
      </c>
      <c r="BU76">
        <v>25</v>
      </c>
      <c r="CE76">
        <v>2050</v>
      </c>
      <c r="CO76">
        <v>600</v>
      </c>
      <c r="CY76">
        <v>3050</v>
      </c>
      <c r="DI76">
        <v>1250</v>
      </c>
      <c r="DS76">
        <v>800</v>
      </c>
      <c r="EC76">
        <v>500</v>
      </c>
      <c r="EM76">
        <v>1050</v>
      </c>
    </row>
    <row r="77" spans="1:196" x14ac:dyDescent="0.25">
      <c r="A77" s="4">
        <f>DATE(2022,12,12)</f>
        <v>44907</v>
      </c>
      <c r="B77">
        <v>70638</v>
      </c>
      <c r="AQ77">
        <v>550</v>
      </c>
      <c r="BA77">
        <v>350</v>
      </c>
      <c r="BK77">
        <v>2850</v>
      </c>
      <c r="BU77">
        <v>25</v>
      </c>
      <c r="CE77">
        <v>1550</v>
      </c>
      <c r="CO77">
        <v>817</v>
      </c>
      <c r="CY77">
        <v>2950</v>
      </c>
      <c r="DI77">
        <v>1250</v>
      </c>
      <c r="DS77">
        <v>600</v>
      </c>
      <c r="EC77">
        <v>500</v>
      </c>
      <c r="EM77">
        <v>750</v>
      </c>
    </row>
    <row r="78" spans="1:196" x14ac:dyDescent="0.25">
      <c r="A78" s="4">
        <f>DATE(2022,12,9)</f>
        <v>44904</v>
      </c>
      <c r="B78">
        <v>70113</v>
      </c>
      <c r="AQ78">
        <v>550</v>
      </c>
      <c r="BA78">
        <v>350</v>
      </c>
      <c r="BK78">
        <v>2850</v>
      </c>
      <c r="BU78">
        <v>25</v>
      </c>
      <c r="CE78">
        <v>850</v>
      </c>
      <c r="CO78">
        <v>817</v>
      </c>
      <c r="CY78">
        <v>2250</v>
      </c>
      <c r="DI78">
        <v>1250</v>
      </c>
      <c r="DS78">
        <v>600</v>
      </c>
      <c r="EC78">
        <v>500</v>
      </c>
      <c r="EM78">
        <v>750</v>
      </c>
    </row>
    <row r="79" spans="1:196" x14ac:dyDescent="0.25">
      <c r="A79" s="4">
        <f>DATE(2022,12,8)</f>
        <v>44903</v>
      </c>
      <c r="B79">
        <v>70086</v>
      </c>
      <c r="AQ79">
        <v>550</v>
      </c>
      <c r="BA79">
        <v>350</v>
      </c>
      <c r="BK79">
        <v>2850</v>
      </c>
      <c r="BU79">
        <v>25</v>
      </c>
      <c r="CE79">
        <v>850</v>
      </c>
      <c r="CO79">
        <v>817</v>
      </c>
      <c r="CY79">
        <v>2250</v>
      </c>
      <c r="DI79">
        <v>1250</v>
      </c>
      <c r="DS79">
        <v>600</v>
      </c>
      <c r="EC79">
        <v>500</v>
      </c>
      <c r="EM79">
        <v>750</v>
      </c>
    </row>
    <row r="80" spans="1:196" x14ac:dyDescent="0.25">
      <c r="A80" s="4">
        <f>DATE(2022,12,7)</f>
        <v>44902</v>
      </c>
      <c r="B80">
        <v>69144</v>
      </c>
      <c r="AQ80">
        <v>550</v>
      </c>
      <c r="BA80">
        <v>350</v>
      </c>
      <c r="BK80">
        <v>2850</v>
      </c>
      <c r="BU80">
        <v>25</v>
      </c>
      <c r="CE80">
        <v>850</v>
      </c>
      <c r="CO80">
        <v>817</v>
      </c>
      <c r="CY80">
        <v>2250</v>
      </c>
      <c r="DI80">
        <v>1250</v>
      </c>
      <c r="DS80">
        <v>600</v>
      </c>
      <c r="EC80">
        <v>500</v>
      </c>
      <c r="EM80">
        <v>750</v>
      </c>
    </row>
    <row r="81" spans="1:143" x14ac:dyDescent="0.25">
      <c r="A81" s="4">
        <f>DATE(2022,12,6)</f>
        <v>44901</v>
      </c>
      <c r="B81">
        <v>67123</v>
      </c>
      <c r="AQ81">
        <v>550</v>
      </c>
      <c r="BA81">
        <v>350</v>
      </c>
      <c r="BK81">
        <v>2850</v>
      </c>
      <c r="BU81">
        <v>25</v>
      </c>
      <c r="CE81">
        <v>850</v>
      </c>
      <c r="CO81">
        <v>350</v>
      </c>
      <c r="CY81">
        <v>2250</v>
      </c>
      <c r="DI81">
        <v>1250</v>
      </c>
      <c r="DS81">
        <v>600</v>
      </c>
      <c r="EC81">
        <v>250</v>
      </c>
      <c r="EM81">
        <v>250</v>
      </c>
    </row>
    <row r="82" spans="1:143" x14ac:dyDescent="0.25">
      <c r="A82" s="4">
        <f>DATE(2022,12,5)</f>
        <v>44900</v>
      </c>
      <c r="B82">
        <v>67487</v>
      </c>
      <c r="AQ82">
        <v>550</v>
      </c>
      <c r="BA82">
        <v>350</v>
      </c>
      <c r="BK82">
        <v>2850</v>
      </c>
      <c r="CE82">
        <v>850</v>
      </c>
      <c r="CO82">
        <v>350</v>
      </c>
      <c r="CY82">
        <v>2250</v>
      </c>
      <c r="DI82">
        <v>1250</v>
      </c>
      <c r="DS82">
        <v>600</v>
      </c>
      <c r="EC82">
        <v>250</v>
      </c>
    </row>
    <row r="83" spans="1:143" x14ac:dyDescent="0.25">
      <c r="A83" s="4">
        <f>DATE(2022,12,2)</f>
        <v>44897</v>
      </c>
      <c r="B83">
        <v>67378</v>
      </c>
      <c r="AQ83">
        <v>550</v>
      </c>
      <c r="BA83">
        <v>350</v>
      </c>
      <c r="BK83">
        <v>2850</v>
      </c>
      <c r="CE83">
        <v>350</v>
      </c>
      <c r="CO83">
        <v>450</v>
      </c>
      <c r="CY83">
        <v>1250</v>
      </c>
      <c r="DI83">
        <v>250</v>
      </c>
    </row>
    <row r="84" spans="1:143" x14ac:dyDescent="0.25">
      <c r="A84" s="4">
        <f>DATE(2022,12,1)</f>
        <v>44896</v>
      </c>
      <c r="B84">
        <v>67451</v>
      </c>
      <c r="AQ84">
        <v>550</v>
      </c>
      <c r="BA84">
        <v>350</v>
      </c>
      <c r="BK84">
        <v>2850</v>
      </c>
      <c r="CE84">
        <v>350</v>
      </c>
      <c r="CO84">
        <v>550</v>
      </c>
      <c r="CY84">
        <v>1250</v>
      </c>
      <c r="DI84">
        <v>250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EACBE-895D-4A9A-9F69-72CBD946565A}">
  <dimension ref="A1:GM82"/>
  <sheetViews>
    <sheetView workbookViewId="0">
      <selection activeCell="J18" sqref="J18"/>
    </sheetView>
  </sheetViews>
  <sheetFormatPr defaultRowHeight="15" x14ac:dyDescent="0.25"/>
  <cols>
    <col min="1" max="1" width="16.85546875" bestFit="1" customWidth="1"/>
    <col min="2" max="2" width="13" customWidth="1"/>
    <col min="3" max="3" width="13.140625" customWidth="1"/>
    <col min="4" max="9" width="8.85546875" customWidth="1"/>
    <col min="10" max="10" width="25.7109375" customWidth="1"/>
    <col min="11" max="193" width="8.85546875" customWidth="1"/>
  </cols>
  <sheetData>
    <row r="1" spans="1:195" x14ac:dyDescent="0.25">
      <c r="A1" t="str">
        <f>_xll.ICESeries(B1:GK1,B2:GK2,,DATE(2023,3,23),DATE(2023,6,30),,"DayOfWeek=12345")</f>
        <v>Time Series</v>
      </c>
      <c r="B1" t="s">
        <v>461</v>
      </c>
      <c r="C1" t="s">
        <v>2414</v>
      </c>
      <c r="D1" t="s">
        <v>2415</v>
      </c>
      <c r="E1" t="s">
        <v>2416</v>
      </c>
      <c r="F1" t="s">
        <v>2417</v>
      </c>
      <c r="G1" t="s">
        <v>2418</v>
      </c>
      <c r="H1" t="s">
        <v>2419</v>
      </c>
      <c r="I1" t="s">
        <v>2420</v>
      </c>
      <c r="J1" t="s">
        <v>2421</v>
      </c>
      <c r="K1" t="s">
        <v>2422</v>
      </c>
      <c r="L1" t="s">
        <v>2423</v>
      </c>
      <c r="M1" t="s">
        <v>2424</v>
      </c>
      <c r="N1" t="s">
        <v>2425</v>
      </c>
      <c r="O1" t="s">
        <v>2426</v>
      </c>
      <c r="P1" t="s">
        <v>2427</v>
      </c>
      <c r="Q1" t="s">
        <v>2428</v>
      </c>
      <c r="R1" t="s">
        <v>2429</v>
      </c>
      <c r="S1" t="s">
        <v>2430</v>
      </c>
      <c r="T1" t="s">
        <v>2431</v>
      </c>
      <c r="U1" t="s">
        <v>2432</v>
      </c>
      <c r="V1" t="s">
        <v>2433</v>
      </c>
      <c r="W1" t="s">
        <v>2434</v>
      </c>
      <c r="X1" t="s">
        <v>2435</v>
      </c>
      <c r="Y1" t="s">
        <v>2436</v>
      </c>
      <c r="Z1" t="s">
        <v>2437</v>
      </c>
      <c r="AA1" t="s">
        <v>2438</v>
      </c>
      <c r="AB1" t="s">
        <v>2439</v>
      </c>
      <c r="AC1" t="s">
        <v>2440</v>
      </c>
      <c r="AD1" t="s">
        <v>2441</v>
      </c>
      <c r="AE1" t="s">
        <v>2442</v>
      </c>
      <c r="AF1" t="s">
        <v>2443</v>
      </c>
      <c r="AG1" t="s">
        <v>2444</v>
      </c>
      <c r="AH1" t="s">
        <v>2445</v>
      </c>
      <c r="AI1" t="s">
        <v>2446</v>
      </c>
      <c r="AJ1" t="s">
        <v>2447</v>
      </c>
      <c r="AK1" t="s">
        <v>2448</v>
      </c>
      <c r="AL1" t="s">
        <v>2449</v>
      </c>
      <c r="AM1" t="s">
        <v>2450</v>
      </c>
      <c r="AN1" t="s">
        <v>2451</v>
      </c>
      <c r="AO1" t="s">
        <v>2452</v>
      </c>
      <c r="AP1" t="s">
        <v>2453</v>
      </c>
      <c r="AQ1" t="s">
        <v>2454</v>
      </c>
      <c r="AR1" t="s">
        <v>2455</v>
      </c>
      <c r="AS1" t="s">
        <v>2456</v>
      </c>
      <c r="AT1" t="s">
        <v>2457</v>
      </c>
      <c r="AU1" t="s">
        <v>2458</v>
      </c>
      <c r="AV1" t="s">
        <v>2459</v>
      </c>
      <c r="AW1" t="s">
        <v>2460</v>
      </c>
      <c r="AX1" t="s">
        <v>2461</v>
      </c>
      <c r="AY1" t="s">
        <v>2462</v>
      </c>
      <c r="AZ1" t="s">
        <v>2463</v>
      </c>
      <c r="BA1" t="s">
        <v>2464</v>
      </c>
      <c r="BB1" t="s">
        <v>2465</v>
      </c>
      <c r="BC1" t="s">
        <v>2466</v>
      </c>
      <c r="BD1" t="s">
        <v>2467</v>
      </c>
      <c r="BE1" t="s">
        <v>2468</v>
      </c>
      <c r="BF1" t="s">
        <v>2469</v>
      </c>
      <c r="BG1" t="s">
        <v>2470</v>
      </c>
      <c r="BH1" t="s">
        <v>2471</v>
      </c>
      <c r="BI1" t="s">
        <v>2472</v>
      </c>
      <c r="BJ1" t="s">
        <v>2473</v>
      </c>
      <c r="BK1" t="s">
        <v>2474</v>
      </c>
      <c r="BL1" t="s">
        <v>2475</v>
      </c>
      <c r="BM1" t="s">
        <v>2476</v>
      </c>
      <c r="BN1" t="s">
        <v>2477</v>
      </c>
      <c r="BO1" t="s">
        <v>2478</v>
      </c>
      <c r="BP1" t="s">
        <v>2479</v>
      </c>
      <c r="BQ1" t="s">
        <v>2480</v>
      </c>
      <c r="BR1" t="s">
        <v>2481</v>
      </c>
      <c r="BS1" t="s">
        <v>2482</v>
      </c>
      <c r="BT1" t="s">
        <v>2483</v>
      </c>
      <c r="BU1" t="s">
        <v>2484</v>
      </c>
      <c r="BV1" t="s">
        <v>2485</v>
      </c>
      <c r="BW1" t="s">
        <v>2486</v>
      </c>
      <c r="BX1" t="s">
        <v>2487</v>
      </c>
      <c r="BY1" t="s">
        <v>2488</v>
      </c>
      <c r="BZ1" t="s">
        <v>2489</v>
      </c>
      <c r="CA1" t="s">
        <v>2490</v>
      </c>
      <c r="CB1" t="s">
        <v>2491</v>
      </c>
      <c r="CC1" t="s">
        <v>2492</v>
      </c>
      <c r="CD1" t="s">
        <v>2493</v>
      </c>
      <c r="CE1" t="s">
        <v>2494</v>
      </c>
      <c r="CF1" t="s">
        <v>2495</v>
      </c>
      <c r="CG1" t="s">
        <v>2496</v>
      </c>
      <c r="CH1" t="s">
        <v>2497</v>
      </c>
      <c r="CI1" t="s">
        <v>2498</v>
      </c>
      <c r="CJ1" t="s">
        <v>2499</v>
      </c>
      <c r="CK1" t="s">
        <v>2500</v>
      </c>
      <c r="CL1" t="s">
        <v>2501</v>
      </c>
      <c r="CM1" t="s">
        <v>2502</v>
      </c>
      <c r="CN1" t="s">
        <v>2503</v>
      </c>
      <c r="CO1" t="s">
        <v>2504</v>
      </c>
      <c r="CP1" t="s">
        <v>2505</v>
      </c>
      <c r="CQ1" t="s">
        <v>2506</v>
      </c>
      <c r="CR1" t="s">
        <v>2507</v>
      </c>
      <c r="CS1" t="s">
        <v>2508</v>
      </c>
      <c r="CT1" t="s">
        <v>2509</v>
      </c>
      <c r="CU1" t="s">
        <v>2510</v>
      </c>
      <c r="CV1" t="s">
        <v>2511</v>
      </c>
      <c r="CW1" t="s">
        <v>2512</v>
      </c>
      <c r="CX1" t="s">
        <v>2513</v>
      </c>
      <c r="CY1" t="s">
        <v>2514</v>
      </c>
      <c r="CZ1" t="s">
        <v>2515</v>
      </c>
      <c r="DA1" t="s">
        <v>2516</v>
      </c>
      <c r="DB1" t="s">
        <v>2517</v>
      </c>
      <c r="DC1" t="s">
        <v>2518</v>
      </c>
      <c r="DD1" t="s">
        <v>2519</v>
      </c>
      <c r="DE1" t="s">
        <v>2520</v>
      </c>
      <c r="DF1" t="s">
        <v>2521</v>
      </c>
      <c r="DG1" t="s">
        <v>2522</v>
      </c>
      <c r="DH1" t="s">
        <v>2523</v>
      </c>
      <c r="DI1" t="s">
        <v>2524</v>
      </c>
      <c r="DJ1" t="s">
        <v>2525</v>
      </c>
      <c r="DK1" t="s">
        <v>2526</v>
      </c>
      <c r="DL1" t="s">
        <v>2527</v>
      </c>
      <c r="DM1" t="s">
        <v>2528</v>
      </c>
      <c r="DN1" t="s">
        <v>2529</v>
      </c>
      <c r="DO1" t="s">
        <v>2530</v>
      </c>
      <c r="DP1" t="s">
        <v>2531</v>
      </c>
      <c r="DQ1" t="s">
        <v>2532</v>
      </c>
      <c r="DR1" t="s">
        <v>2533</v>
      </c>
      <c r="DS1" t="s">
        <v>2534</v>
      </c>
      <c r="DT1" t="s">
        <v>2535</v>
      </c>
      <c r="DU1" t="s">
        <v>2536</v>
      </c>
      <c r="DV1" t="s">
        <v>2537</v>
      </c>
      <c r="DW1" t="s">
        <v>2538</v>
      </c>
      <c r="DX1" t="s">
        <v>2539</v>
      </c>
      <c r="DY1" t="s">
        <v>2540</v>
      </c>
      <c r="DZ1" t="s">
        <v>2541</v>
      </c>
      <c r="EA1" t="s">
        <v>2542</v>
      </c>
      <c r="EB1" t="s">
        <v>2543</v>
      </c>
      <c r="EC1" t="s">
        <v>2544</v>
      </c>
      <c r="ED1" t="s">
        <v>2545</v>
      </c>
      <c r="EE1" t="s">
        <v>2546</v>
      </c>
      <c r="EF1" t="s">
        <v>2547</v>
      </c>
      <c r="EG1" t="s">
        <v>2548</v>
      </c>
      <c r="EH1" t="s">
        <v>2549</v>
      </c>
      <c r="EI1" t="s">
        <v>2550</v>
      </c>
      <c r="EJ1" t="s">
        <v>2551</v>
      </c>
      <c r="EK1" t="s">
        <v>2552</v>
      </c>
      <c r="EL1" t="s">
        <v>2553</v>
      </c>
      <c r="EM1" t="s">
        <v>2554</v>
      </c>
      <c r="EN1" t="s">
        <v>2555</v>
      </c>
      <c r="EO1" t="s">
        <v>2556</v>
      </c>
      <c r="EP1" t="s">
        <v>2557</v>
      </c>
      <c r="EQ1" t="s">
        <v>2558</v>
      </c>
      <c r="ER1" t="s">
        <v>2559</v>
      </c>
      <c r="ES1" t="s">
        <v>2560</v>
      </c>
      <c r="ET1" t="s">
        <v>2561</v>
      </c>
      <c r="EU1" t="s">
        <v>2562</v>
      </c>
      <c r="EV1" t="s">
        <v>2563</v>
      </c>
      <c r="EW1" t="s">
        <v>2564</v>
      </c>
      <c r="EX1" t="s">
        <v>2565</v>
      </c>
      <c r="EY1" t="s">
        <v>2566</v>
      </c>
      <c r="EZ1" t="s">
        <v>2567</v>
      </c>
      <c r="FA1" t="s">
        <v>2568</v>
      </c>
      <c r="FB1" t="s">
        <v>2569</v>
      </c>
      <c r="FC1" t="s">
        <v>2570</v>
      </c>
      <c r="FD1" t="s">
        <v>2571</v>
      </c>
      <c r="FE1" t="s">
        <v>2572</v>
      </c>
      <c r="FF1" t="s">
        <v>2573</v>
      </c>
      <c r="FG1" t="s">
        <v>2574</v>
      </c>
      <c r="FH1" t="s">
        <v>2575</v>
      </c>
      <c r="FI1" t="s">
        <v>2576</v>
      </c>
      <c r="FJ1" t="s">
        <v>2577</v>
      </c>
      <c r="FK1" t="s">
        <v>2578</v>
      </c>
      <c r="FL1" t="s">
        <v>2579</v>
      </c>
      <c r="FM1" t="s">
        <v>2580</v>
      </c>
      <c r="FN1" t="s">
        <v>2581</v>
      </c>
      <c r="FO1" t="s">
        <v>2582</v>
      </c>
      <c r="FP1" t="s">
        <v>2583</v>
      </c>
      <c r="FQ1" t="s">
        <v>2584</v>
      </c>
      <c r="FR1" t="s">
        <v>2585</v>
      </c>
      <c r="FS1" t="s">
        <v>2586</v>
      </c>
      <c r="FT1" t="s">
        <v>2587</v>
      </c>
      <c r="FU1" t="s">
        <v>2588</v>
      </c>
      <c r="FV1" t="s">
        <v>2589</v>
      </c>
      <c r="FW1" t="s">
        <v>2590</v>
      </c>
      <c r="FX1" t="s">
        <v>2591</v>
      </c>
      <c r="FY1" t="s">
        <v>2592</v>
      </c>
      <c r="FZ1" t="s">
        <v>2593</v>
      </c>
      <c r="GA1" t="s">
        <v>2594</v>
      </c>
      <c r="GB1" t="s">
        <v>2595</v>
      </c>
      <c r="GC1" t="s">
        <v>2596</v>
      </c>
      <c r="GD1" t="s">
        <v>2597</v>
      </c>
      <c r="GE1" t="s">
        <v>2598</v>
      </c>
      <c r="GF1" t="s">
        <v>2599</v>
      </c>
      <c r="GG1" t="s">
        <v>2600</v>
      </c>
      <c r="GH1" t="s">
        <v>2601</v>
      </c>
      <c r="GI1" t="s">
        <v>2602</v>
      </c>
      <c r="GJ1" t="s">
        <v>2603</v>
      </c>
      <c r="GK1" t="s">
        <v>2604</v>
      </c>
      <c r="GL1" t="s">
        <v>857</v>
      </c>
      <c r="GM1" t="s">
        <v>859</v>
      </c>
    </row>
    <row r="2" spans="1:195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</row>
    <row r="3" spans="1:195" x14ac:dyDescent="0.25">
      <c r="B3" t="s">
        <v>468</v>
      </c>
      <c r="C3" t="s">
        <v>2220</v>
      </c>
      <c r="D3" t="s">
        <v>2220</v>
      </c>
      <c r="E3" t="s">
        <v>2220</v>
      </c>
      <c r="F3" t="s">
        <v>2220</v>
      </c>
      <c r="G3" t="s">
        <v>2220</v>
      </c>
      <c r="H3" t="s">
        <v>2220</v>
      </c>
      <c r="I3" t="s">
        <v>2220</v>
      </c>
      <c r="J3" t="s">
        <v>2220</v>
      </c>
      <c r="K3" t="s">
        <v>2220</v>
      </c>
      <c r="L3" t="s">
        <v>2220</v>
      </c>
      <c r="M3" t="s">
        <v>2220</v>
      </c>
      <c r="N3" t="s">
        <v>2220</v>
      </c>
      <c r="O3" t="s">
        <v>2220</v>
      </c>
      <c r="P3" t="s">
        <v>2220</v>
      </c>
      <c r="Q3" t="s">
        <v>2220</v>
      </c>
      <c r="R3" t="s">
        <v>2220</v>
      </c>
      <c r="S3" t="s">
        <v>2220</v>
      </c>
      <c r="T3" t="s">
        <v>2220</v>
      </c>
      <c r="U3" t="s">
        <v>2220</v>
      </c>
      <c r="V3" t="s">
        <v>2220</v>
      </c>
      <c r="W3" t="s">
        <v>2220</v>
      </c>
      <c r="X3" t="s">
        <v>2220</v>
      </c>
      <c r="Y3" t="s">
        <v>2220</v>
      </c>
      <c r="Z3" t="s">
        <v>2220</v>
      </c>
      <c r="AA3" t="s">
        <v>2220</v>
      </c>
      <c r="AB3" t="s">
        <v>2220</v>
      </c>
      <c r="AC3" t="s">
        <v>2220</v>
      </c>
      <c r="AD3" t="s">
        <v>2220</v>
      </c>
      <c r="AE3" t="s">
        <v>2220</v>
      </c>
      <c r="AF3" t="s">
        <v>2220</v>
      </c>
      <c r="AG3" t="s">
        <v>2220</v>
      </c>
      <c r="AH3" t="s">
        <v>2220</v>
      </c>
      <c r="AI3" t="s">
        <v>2220</v>
      </c>
      <c r="AJ3" t="s">
        <v>2220</v>
      </c>
      <c r="AK3" t="s">
        <v>2220</v>
      </c>
      <c r="AL3" t="s">
        <v>2220</v>
      </c>
      <c r="AM3" t="s">
        <v>2220</v>
      </c>
      <c r="AN3" t="s">
        <v>2220</v>
      </c>
      <c r="AO3" t="s">
        <v>2220</v>
      </c>
      <c r="AP3" t="s">
        <v>2220</v>
      </c>
      <c r="AQ3" t="s">
        <v>2220</v>
      </c>
      <c r="AR3" t="s">
        <v>2220</v>
      </c>
      <c r="AS3" t="s">
        <v>2220</v>
      </c>
      <c r="AT3" t="s">
        <v>2220</v>
      </c>
      <c r="AU3" t="s">
        <v>2220</v>
      </c>
      <c r="AV3" t="s">
        <v>2220</v>
      </c>
      <c r="AW3" t="s">
        <v>2220</v>
      </c>
      <c r="AX3" t="s">
        <v>2220</v>
      </c>
      <c r="AY3" t="s">
        <v>2220</v>
      </c>
      <c r="AZ3" t="s">
        <v>2220</v>
      </c>
      <c r="BA3" t="s">
        <v>2220</v>
      </c>
      <c r="BB3" t="s">
        <v>2220</v>
      </c>
      <c r="BC3" t="s">
        <v>2220</v>
      </c>
      <c r="BD3" t="s">
        <v>2220</v>
      </c>
      <c r="BE3" t="s">
        <v>2220</v>
      </c>
      <c r="BF3" t="s">
        <v>2220</v>
      </c>
      <c r="BG3" t="s">
        <v>2220</v>
      </c>
      <c r="BH3" t="s">
        <v>2220</v>
      </c>
      <c r="BI3" t="s">
        <v>2220</v>
      </c>
      <c r="BJ3" t="s">
        <v>2220</v>
      </c>
      <c r="BK3" t="s">
        <v>2220</v>
      </c>
      <c r="BL3" t="s">
        <v>2220</v>
      </c>
      <c r="BM3" t="s">
        <v>2220</v>
      </c>
      <c r="BN3" t="s">
        <v>2220</v>
      </c>
      <c r="BO3" t="s">
        <v>2220</v>
      </c>
      <c r="BP3" t="s">
        <v>2220</v>
      </c>
      <c r="BQ3" t="s">
        <v>2220</v>
      </c>
      <c r="BR3" t="s">
        <v>2220</v>
      </c>
      <c r="BS3" t="s">
        <v>2220</v>
      </c>
      <c r="BT3" t="s">
        <v>2220</v>
      </c>
      <c r="BU3" t="s">
        <v>2220</v>
      </c>
      <c r="BV3" t="s">
        <v>2220</v>
      </c>
      <c r="BW3" t="s">
        <v>2220</v>
      </c>
      <c r="BX3" t="s">
        <v>2220</v>
      </c>
      <c r="BY3" t="s">
        <v>2220</v>
      </c>
      <c r="BZ3" t="s">
        <v>2220</v>
      </c>
      <c r="CA3" t="s">
        <v>2220</v>
      </c>
      <c r="CB3" t="s">
        <v>2220</v>
      </c>
      <c r="CC3" t="s">
        <v>2220</v>
      </c>
      <c r="CD3" t="s">
        <v>2220</v>
      </c>
      <c r="CE3" t="s">
        <v>2220</v>
      </c>
      <c r="CF3" t="s">
        <v>2220</v>
      </c>
      <c r="CG3" t="s">
        <v>2220</v>
      </c>
      <c r="CH3" t="s">
        <v>2220</v>
      </c>
      <c r="CI3" t="s">
        <v>2220</v>
      </c>
      <c r="CJ3" t="s">
        <v>2220</v>
      </c>
      <c r="CK3" t="s">
        <v>2220</v>
      </c>
      <c r="CL3" t="s">
        <v>2220</v>
      </c>
      <c r="CM3" t="s">
        <v>2220</v>
      </c>
      <c r="CN3" t="s">
        <v>2220</v>
      </c>
      <c r="CO3" t="s">
        <v>2220</v>
      </c>
      <c r="CP3" t="s">
        <v>2220</v>
      </c>
      <c r="CQ3" t="s">
        <v>2220</v>
      </c>
      <c r="CR3" t="s">
        <v>2220</v>
      </c>
      <c r="CS3" t="s">
        <v>2220</v>
      </c>
      <c r="CT3" t="s">
        <v>2220</v>
      </c>
      <c r="CU3" t="s">
        <v>2220</v>
      </c>
      <c r="CV3" t="s">
        <v>2220</v>
      </c>
      <c r="CW3" t="s">
        <v>2220</v>
      </c>
      <c r="CX3" t="s">
        <v>2220</v>
      </c>
      <c r="CY3" t="s">
        <v>2220</v>
      </c>
      <c r="CZ3" t="s">
        <v>2220</v>
      </c>
      <c r="DA3" t="s">
        <v>2220</v>
      </c>
      <c r="DB3" t="s">
        <v>2220</v>
      </c>
      <c r="DC3" t="s">
        <v>2220</v>
      </c>
      <c r="DD3" t="s">
        <v>2220</v>
      </c>
      <c r="DE3" t="s">
        <v>2220</v>
      </c>
      <c r="DF3" t="s">
        <v>2220</v>
      </c>
      <c r="DG3" t="s">
        <v>2220</v>
      </c>
      <c r="DH3" t="s">
        <v>2220</v>
      </c>
      <c r="DI3" t="s">
        <v>2220</v>
      </c>
      <c r="DJ3" t="s">
        <v>2220</v>
      </c>
      <c r="DK3" t="s">
        <v>2220</v>
      </c>
      <c r="DL3" t="s">
        <v>2220</v>
      </c>
      <c r="DM3" t="s">
        <v>2220</v>
      </c>
      <c r="DN3" t="s">
        <v>2220</v>
      </c>
      <c r="DO3" t="s">
        <v>2220</v>
      </c>
      <c r="DP3" t="s">
        <v>2220</v>
      </c>
      <c r="DQ3" t="s">
        <v>2220</v>
      </c>
      <c r="DR3" t="s">
        <v>2220</v>
      </c>
      <c r="DS3" t="s">
        <v>2220</v>
      </c>
      <c r="DT3" t="s">
        <v>2220</v>
      </c>
      <c r="DU3" t="s">
        <v>2220</v>
      </c>
      <c r="DV3" t="s">
        <v>2220</v>
      </c>
      <c r="DW3" t="s">
        <v>2220</v>
      </c>
      <c r="DX3" t="s">
        <v>2220</v>
      </c>
      <c r="DY3" t="s">
        <v>2220</v>
      </c>
      <c r="DZ3" t="s">
        <v>2220</v>
      </c>
      <c r="EA3" t="s">
        <v>2220</v>
      </c>
      <c r="EB3" t="s">
        <v>2220</v>
      </c>
      <c r="EC3" t="s">
        <v>2220</v>
      </c>
      <c r="ED3" t="s">
        <v>2220</v>
      </c>
      <c r="EE3" t="s">
        <v>2220</v>
      </c>
      <c r="EF3" t="s">
        <v>2220</v>
      </c>
      <c r="EG3" t="s">
        <v>2220</v>
      </c>
      <c r="EH3" t="s">
        <v>2220</v>
      </c>
      <c r="EI3" t="s">
        <v>2220</v>
      </c>
      <c r="EJ3" t="s">
        <v>2220</v>
      </c>
      <c r="EK3" t="s">
        <v>2220</v>
      </c>
      <c r="EL3" t="s">
        <v>2220</v>
      </c>
      <c r="EM3" t="s">
        <v>2220</v>
      </c>
      <c r="EN3" t="s">
        <v>2220</v>
      </c>
      <c r="EO3" t="s">
        <v>2220</v>
      </c>
      <c r="EP3" t="s">
        <v>2220</v>
      </c>
      <c r="EQ3" t="s">
        <v>2220</v>
      </c>
      <c r="ER3" t="s">
        <v>2220</v>
      </c>
      <c r="ES3" t="s">
        <v>2220</v>
      </c>
      <c r="ET3" t="s">
        <v>2220</v>
      </c>
      <c r="EU3" t="s">
        <v>2220</v>
      </c>
      <c r="EV3" t="s">
        <v>2220</v>
      </c>
      <c r="EW3" t="s">
        <v>2220</v>
      </c>
      <c r="EX3" t="s">
        <v>2220</v>
      </c>
      <c r="EY3" t="s">
        <v>2220</v>
      </c>
      <c r="EZ3" t="s">
        <v>2220</v>
      </c>
      <c r="FA3" t="s">
        <v>2220</v>
      </c>
      <c r="FB3" t="s">
        <v>2220</v>
      </c>
      <c r="FC3" t="s">
        <v>2220</v>
      </c>
      <c r="FD3" t="s">
        <v>2220</v>
      </c>
      <c r="FE3" t="s">
        <v>2220</v>
      </c>
      <c r="FF3" t="s">
        <v>2220</v>
      </c>
      <c r="FG3" t="s">
        <v>2220</v>
      </c>
      <c r="FH3" t="s">
        <v>2220</v>
      </c>
      <c r="FI3" t="s">
        <v>2220</v>
      </c>
      <c r="FJ3" t="s">
        <v>2220</v>
      </c>
      <c r="FK3" t="s">
        <v>2220</v>
      </c>
      <c r="FL3" t="s">
        <v>2220</v>
      </c>
      <c r="FM3" t="s">
        <v>2220</v>
      </c>
      <c r="FN3" t="s">
        <v>2220</v>
      </c>
      <c r="FO3" t="s">
        <v>2220</v>
      </c>
      <c r="FP3" t="s">
        <v>2220</v>
      </c>
      <c r="FQ3" t="s">
        <v>2220</v>
      </c>
      <c r="FR3" t="s">
        <v>2220</v>
      </c>
      <c r="FS3" t="s">
        <v>2220</v>
      </c>
      <c r="FT3" t="s">
        <v>2220</v>
      </c>
      <c r="FU3" t="s">
        <v>2220</v>
      </c>
      <c r="FV3" t="s">
        <v>2220</v>
      </c>
      <c r="FW3" t="s">
        <v>2220</v>
      </c>
      <c r="FX3" t="s">
        <v>2220</v>
      </c>
      <c r="FY3" t="s">
        <v>2220</v>
      </c>
      <c r="FZ3" t="s">
        <v>2220</v>
      </c>
      <c r="GA3" t="s">
        <v>2220</v>
      </c>
      <c r="GB3" t="s">
        <v>2220</v>
      </c>
      <c r="GC3" t="s">
        <v>2220</v>
      </c>
      <c r="GD3" t="s">
        <v>2220</v>
      </c>
      <c r="GE3" t="s">
        <v>2220</v>
      </c>
      <c r="GF3" t="s">
        <v>2220</v>
      </c>
      <c r="GG3" t="s">
        <v>2220</v>
      </c>
      <c r="GH3" t="s">
        <v>2220</v>
      </c>
      <c r="GI3" t="s">
        <v>2220</v>
      </c>
      <c r="GJ3" t="s">
        <v>2220</v>
      </c>
      <c r="GK3" t="s">
        <v>2220</v>
      </c>
    </row>
    <row r="4" spans="1:195" x14ac:dyDescent="0.25">
      <c r="A4" s="4">
        <f>DATE(2023,6,30)</f>
        <v>45107</v>
      </c>
      <c r="B4">
        <v>137621</v>
      </c>
    </row>
    <row r="5" spans="1:195" x14ac:dyDescent="0.25">
      <c r="A5" s="4">
        <f>DATE(2023,6,29)</f>
        <v>45106</v>
      </c>
      <c r="B5">
        <v>137277</v>
      </c>
      <c r="GL5">
        <f t="shared" ref="GL5:GL36" si="0">SUMPRODUCT(C5:GK5)</f>
        <v>0</v>
      </c>
    </row>
    <row r="6" spans="1:195" x14ac:dyDescent="0.25">
      <c r="A6" s="4">
        <f>DATE(2023,6,28)</f>
        <v>45105</v>
      </c>
      <c r="B6">
        <v>136885</v>
      </c>
      <c r="GL6">
        <f t="shared" si="0"/>
        <v>0</v>
      </c>
    </row>
    <row r="7" spans="1:195" x14ac:dyDescent="0.25">
      <c r="A7" s="4">
        <f>DATE(2023,6,27)</f>
        <v>45104</v>
      </c>
      <c r="B7">
        <v>136870</v>
      </c>
      <c r="GL7">
        <f t="shared" si="0"/>
        <v>0</v>
      </c>
    </row>
    <row r="8" spans="1:195" x14ac:dyDescent="0.25">
      <c r="A8" s="4">
        <f>DATE(2023,6,26)</f>
        <v>45103</v>
      </c>
      <c r="B8">
        <v>136233</v>
      </c>
      <c r="GL8">
        <f t="shared" si="0"/>
        <v>0</v>
      </c>
    </row>
    <row r="9" spans="1:195" x14ac:dyDescent="0.25">
      <c r="A9" s="4">
        <f>DATE(2023,6,23)</f>
        <v>45100</v>
      </c>
      <c r="B9">
        <v>136065</v>
      </c>
      <c r="GL9">
        <f t="shared" si="0"/>
        <v>0</v>
      </c>
    </row>
    <row r="10" spans="1:195" x14ac:dyDescent="0.25">
      <c r="A10" s="4">
        <f>DATE(2023,6,22)</f>
        <v>45099</v>
      </c>
      <c r="B10">
        <v>135826</v>
      </c>
      <c r="GL10">
        <f t="shared" si="0"/>
        <v>0</v>
      </c>
    </row>
    <row r="11" spans="1:195" x14ac:dyDescent="0.25">
      <c r="A11" s="4">
        <f>DATE(2023,6,21)</f>
        <v>45098</v>
      </c>
      <c r="B11">
        <v>135656</v>
      </c>
      <c r="DS11">
        <v>775</v>
      </c>
      <c r="DW11">
        <v>250</v>
      </c>
      <c r="EC11">
        <v>2650</v>
      </c>
      <c r="EE11">
        <v>300</v>
      </c>
      <c r="EI11">
        <v>700</v>
      </c>
      <c r="EK11">
        <v>400</v>
      </c>
      <c r="EM11">
        <v>3135</v>
      </c>
      <c r="EQ11">
        <v>2</v>
      </c>
      <c r="EW11">
        <v>3475</v>
      </c>
      <c r="FA11">
        <v>100</v>
      </c>
      <c r="FC11">
        <v>2</v>
      </c>
      <c r="FG11">
        <v>3875</v>
      </c>
      <c r="FI11">
        <v>1</v>
      </c>
      <c r="FO11">
        <v>2</v>
      </c>
      <c r="FQ11">
        <v>1100</v>
      </c>
      <c r="FU11">
        <v>1</v>
      </c>
      <c r="GA11">
        <v>6550</v>
      </c>
      <c r="GG11">
        <v>2</v>
      </c>
      <c r="GK11">
        <v>1000</v>
      </c>
      <c r="GL11">
        <f t="shared" si="0"/>
        <v>24320</v>
      </c>
    </row>
    <row r="12" spans="1:195" x14ac:dyDescent="0.25">
      <c r="A12" s="4">
        <f>DATE(2023,6,20)</f>
        <v>45097</v>
      </c>
      <c r="B12">
        <v>134849</v>
      </c>
      <c r="DS12">
        <v>775</v>
      </c>
      <c r="DW12">
        <v>250</v>
      </c>
      <c r="EC12">
        <v>2650</v>
      </c>
      <c r="EE12">
        <v>300</v>
      </c>
      <c r="EI12">
        <v>700</v>
      </c>
      <c r="EK12">
        <v>400</v>
      </c>
      <c r="EM12">
        <v>3460</v>
      </c>
      <c r="EQ12">
        <v>2</v>
      </c>
      <c r="EW12">
        <v>3575</v>
      </c>
      <c r="FA12">
        <v>100</v>
      </c>
      <c r="FC12">
        <v>2</v>
      </c>
      <c r="FG12">
        <v>4075</v>
      </c>
      <c r="FI12">
        <v>1</v>
      </c>
      <c r="FO12">
        <v>2</v>
      </c>
      <c r="FQ12">
        <v>1100</v>
      </c>
      <c r="FU12">
        <v>1</v>
      </c>
      <c r="GA12">
        <v>6300</v>
      </c>
      <c r="GG12">
        <v>2</v>
      </c>
      <c r="GK12">
        <v>1000</v>
      </c>
      <c r="GL12">
        <f t="shared" si="0"/>
        <v>24695</v>
      </c>
    </row>
    <row r="13" spans="1:195" x14ac:dyDescent="0.25">
      <c r="A13" s="4">
        <f>DATE(2023,6,19)</f>
        <v>45096</v>
      </c>
      <c r="B13">
        <v>134540</v>
      </c>
      <c r="DS13">
        <v>775</v>
      </c>
      <c r="DW13">
        <v>250</v>
      </c>
      <c r="EC13">
        <v>2675</v>
      </c>
      <c r="EE13">
        <v>300</v>
      </c>
      <c r="EI13">
        <v>700</v>
      </c>
      <c r="EK13">
        <v>400</v>
      </c>
      <c r="EM13">
        <v>3600</v>
      </c>
      <c r="EQ13">
        <v>2</v>
      </c>
      <c r="EW13">
        <v>3575</v>
      </c>
      <c r="FA13">
        <v>100</v>
      </c>
      <c r="FC13">
        <v>2</v>
      </c>
      <c r="FG13">
        <v>4075</v>
      </c>
      <c r="FI13">
        <v>1</v>
      </c>
      <c r="FO13">
        <v>2</v>
      </c>
      <c r="FQ13">
        <v>1100</v>
      </c>
      <c r="FU13">
        <v>1</v>
      </c>
      <c r="GA13">
        <v>6300</v>
      </c>
      <c r="GG13">
        <v>2</v>
      </c>
      <c r="GK13">
        <v>1000</v>
      </c>
      <c r="GL13">
        <f t="shared" si="0"/>
        <v>24860</v>
      </c>
    </row>
    <row r="14" spans="1:195" x14ac:dyDescent="0.25">
      <c r="A14" s="4">
        <f>DATE(2023,6,16)</f>
        <v>45093</v>
      </c>
      <c r="B14">
        <v>134592</v>
      </c>
      <c r="DS14">
        <v>775</v>
      </c>
      <c r="DW14">
        <v>250</v>
      </c>
      <c r="EC14">
        <v>2675</v>
      </c>
      <c r="EE14">
        <v>300</v>
      </c>
      <c r="EI14">
        <v>700</v>
      </c>
      <c r="EK14">
        <v>400</v>
      </c>
      <c r="EM14">
        <v>3685</v>
      </c>
      <c r="EQ14">
        <v>2</v>
      </c>
      <c r="EW14">
        <v>3550</v>
      </c>
      <c r="FA14">
        <v>100</v>
      </c>
      <c r="FC14">
        <v>2</v>
      </c>
      <c r="FG14">
        <v>4075</v>
      </c>
      <c r="FI14">
        <v>1</v>
      </c>
      <c r="FO14">
        <v>2</v>
      </c>
      <c r="FQ14">
        <v>1100</v>
      </c>
      <c r="FU14">
        <v>1</v>
      </c>
      <c r="GA14">
        <v>6250</v>
      </c>
      <c r="GG14">
        <v>2</v>
      </c>
      <c r="GK14">
        <v>1000</v>
      </c>
      <c r="GL14">
        <f t="shared" si="0"/>
        <v>24870</v>
      </c>
    </row>
    <row r="15" spans="1:195" x14ac:dyDescent="0.25">
      <c r="A15" s="4">
        <f>DATE(2023,6,15)</f>
        <v>45092</v>
      </c>
      <c r="B15">
        <v>134272</v>
      </c>
      <c r="DS15">
        <v>775</v>
      </c>
      <c r="DW15">
        <v>250</v>
      </c>
      <c r="EC15">
        <v>2675</v>
      </c>
      <c r="EE15">
        <v>300</v>
      </c>
      <c r="EI15">
        <v>700</v>
      </c>
      <c r="EK15">
        <v>400</v>
      </c>
      <c r="EM15">
        <v>3685</v>
      </c>
      <c r="EQ15">
        <v>2</v>
      </c>
      <c r="EW15">
        <v>3325</v>
      </c>
      <c r="FC15">
        <v>2</v>
      </c>
      <c r="FG15">
        <v>4225</v>
      </c>
      <c r="FI15">
        <v>1</v>
      </c>
      <c r="FO15">
        <v>2</v>
      </c>
      <c r="FQ15">
        <v>1100</v>
      </c>
      <c r="FU15">
        <v>1</v>
      </c>
      <c r="GA15">
        <v>6250</v>
      </c>
      <c r="GG15">
        <v>2</v>
      </c>
      <c r="GK15">
        <v>1000</v>
      </c>
      <c r="GL15">
        <f t="shared" si="0"/>
        <v>24695</v>
      </c>
    </row>
    <row r="16" spans="1:195" x14ac:dyDescent="0.25">
      <c r="A16" s="4">
        <f>DATE(2023,6,14)</f>
        <v>45091</v>
      </c>
      <c r="B16">
        <v>133747</v>
      </c>
      <c r="DS16">
        <v>775</v>
      </c>
      <c r="DW16">
        <v>250</v>
      </c>
      <c r="EC16">
        <v>2675</v>
      </c>
      <c r="EE16">
        <v>300</v>
      </c>
      <c r="EI16">
        <v>700</v>
      </c>
      <c r="EK16">
        <v>400</v>
      </c>
      <c r="EM16">
        <v>3685</v>
      </c>
      <c r="EQ16">
        <v>2</v>
      </c>
      <c r="EW16">
        <v>3250</v>
      </c>
      <c r="FC16">
        <v>2</v>
      </c>
      <c r="FG16">
        <v>4225</v>
      </c>
      <c r="FI16">
        <v>1</v>
      </c>
      <c r="FO16">
        <v>2</v>
      </c>
      <c r="FQ16">
        <v>1100</v>
      </c>
      <c r="FU16">
        <v>1</v>
      </c>
      <c r="GA16">
        <v>6250</v>
      </c>
      <c r="GG16">
        <v>2</v>
      </c>
      <c r="GK16">
        <v>1000</v>
      </c>
      <c r="GL16">
        <f t="shared" si="0"/>
        <v>24620</v>
      </c>
    </row>
    <row r="17" spans="1:194" x14ac:dyDescent="0.25">
      <c r="A17" s="4">
        <f>DATE(2023,6,13)</f>
        <v>45090</v>
      </c>
      <c r="B17">
        <v>133040</v>
      </c>
      <c r="DS17">
        <v>800</v>
      </c>
      <c r="DW17">
        <v>250</v>
      </c>
      <c r="EC17">
        <v>2675</v>
      </c>
      <c r="EE17">
        <v>300</v>
      </c>
      <c r="EI17">
        <v>700</v>
      </c>
      <c r="EK17">
        <v>600</v>
      </c>
      <c r="EM17">
        <v>3691</v>
      </c>
      <c r="EQ17">
        <v>2</v>
      </c>
      <c r="EW17">
        <v>3475</v>
      </c>
      <c r="FC17">
        <v>2</v>
      </c>
      <c r="FG17">
        <v>4225</v>
      </c>
      <c r="FI17">
        <v>1</v>
      </c>
      <c r="FO17">
        <v>2</v>
      </c>
      <c r="FQ17">
        <v>1100</v>
      </c>
      <c r="FU17">
        <v>1</v>
      </c>
      <c r="GA17">
        <v>6250</v>
      </c>
      <c r="GG17">
        <v>2</v>
      </c>
      <c r="GK17">
        <v>1000</v>
      </c>
      <c r="GL17">
        <f t="shared" si="0"/>
        <v>25076</v>
      </c>
    </row>
    <row r="18" spans="1:194" x14ac:dyDescent="0.25">
      <c r="A18" s="4">
        <f>DATE(2023,6,12)</f>
        <v>45089</v>
      </c>
      <c r="B18">
        <v>130961</v>
      </c>
      <c r="DS18">
        <v>800</v>
      </c>
      <c r="DW18">
        <v>250</v>
      </c>
      <c r="EC18">
        <v>2675</v>
      </c>
      <c r="EE18">
        <v>300</v>
      </c>
      <c r="EI18">
        <v>700</v>
      </c>
      <c r="EK18">
        <v>600</v>
      </c>
      <c r="EM18">
        <v>3701</v>
      </c>
      <c r="EQ18">
        <v>2</v>
      </c>
      <c r="EW18">
        <v>3825</v>
      </c>
      <c r="FC18">
        <v>2</v>
      </c>
      <c r="FG18">
        <v>4225</v>
      </c>
      <c r="FI18">
        <v>1</v>
      </c>
      <c r="FO18">
        <v>2</v>
      </c>
      <c r="FQ18">
        <v>1100</v>
      </c>
      <c r="FU18">
        <v>1</v>
      </c>
      <c r="GA18">
        <v>6250</v>
      </c>
      <c r="GG18">
        <v>2</v>
      </c>
      <c r="GK18">
        <v>1000</v>
      </c>
      <c r="GL18">
        <f t="shared" si="0"/>
        <v>25436</v>
      </c>
    </row>
    <row r="19" spans="1:194" x14ac:dyDescent="0.25">
      <c r="A19" s="4">
        <f>DATE(2023,6,9)</f>
        <v>45086</v>
      </c>
      <c r="B19">
        <v>129765</v>
      </c>
      <c r="DS19">
        <v>800</v>
      </c>
      <c r="DW19">
        <v>250</v>
      </c>
      <c r="EC19">
        <v>2675</v>
      </c>
      <c r="EE19">
        <v>300</v>
      </c>
      <c r="EI19">
        <v>700</v>
      </c>
      <c r="EK19">
        <v>600</v>
      </c>
      <c r="EM19">
        <v>3500</v>
      </c>
      <c r="EQ19">
        <v>2</v>
      </c>
      <c r="EW19">
        <v>3401</v>
      </c>
      <c r="FC19">
        <v>2</v>
      </c>
      <c r="FG19">
        <v>4225</v>
      </c>
      <c r="FI19">
        <v>1</v>
      </c>
      <c r="FO19">
        <v>2</v>
      </c>
      <c r="FQ19">
        <v>1100</v>
      </c>
      <c r="FU19">
        <v>1</v>
      </c>
      <c r="GA19">
        <v>6250</v>
      </c>
      <c r="GG19">
        <v>2</v>
      </c>
      <c r="GK19">
        <v>1000</v>
      </c>
      <c r="GL19">
        <f t="shared" si="0"/>
        <v>24811</v>
      </c>
    </row>
    <row r="20" spans="1:194" x14ac:dyDescent="0.25">
      <c r="A20" s="4">
        <f>DATE(2023,6,8)</f>
        <v>45085</v>
      </c>
      <c r="B20">
        <v>128879</v>
      </c>
      <c r="DS20">
        <v>800</v>
      </c>
      <c r="DW20">
        <v>250</v>
      </c>
      <c r="EC20">
        <v>2675</v>
      </c>
      <c r="EE20">
        <v>300</v>
      </c>
      <c r="EI20">
        <v>700</v>
      </c>
      <c r="EK20">
        <v>600</v>
      </c>
      <c r="EM20">
        <v>3500</v>
      </c>
      <c r="EQ20">
        <v>2</v>
      </c>
      <c r="EW20">
        <v>3401</v>
      </c>
      <c r="FC20">
        <v>2</v>
      </c>
      <c r="FG20">
        <v>4225</v>
      </c>
      <c r="FI20">
        <v>1</v>
      </c>
      <c r="FO20">
        <v>2</v>
      </c>
      <c r="FQ20">
        <v>1100</v>
      </c>
      <c r="FU20">
        <v>1</v>
      </c>
      <c r="GA20">
        <v>6250</v>
      </c>
      <c r="GG20">
        <v>2</v>
      </c>
      <c r="GK20">
        <v>1000</v>
      </c>
      <c r="GL20">
        <f t="shared" si="0"/>
        <v>24811</v>
      </c>
    </row>
    <row r="21" spans="1:194" x14ac:dyDescent="0.25">
      <c r="A21" s="4">
        <f>DATE(2023,6,7)</f>
        <v>45084</v>
      </c>
      <c r="B21">
        <v>128763</v>
      </c>
      <c r="DS21">
        <v>800</v>
      </c>
      <c r="DW21">
        <v>250</v>
      </c>
      <c r="EC21">
        <v>2675</v>
      </c>
      <c r="EE21">
        <v>300</v>
      </c>
      <c r="EI21">
        <v>700</v>
      </c>
      <c r="EK21">
        <v>300</v>
      </c>
      <c r="EM21">
        <v>3400</v>
      </c>
      <c r="EQ21">
        <v>2</v>
      </c>
      <c r="EW21">
        <v>3401</v>
      </c>
      <c r="FC21">
        <v>2</v>
      </c>
      <c r="FG21">
        <v>3725</v>
      </c>
      <c r="FI21">
        <v>1</v>
      </c>
      <c r="FO21">
        <v>2</v>
      </c>
      <c r="FQ21">
        <v>1100</v>
      </c>
      <c r="FU21">
        <v>1</v>
      </c>
      <c r="GA21">
        <v>6250</v>
      </c>
      <c r="GG21">
        <v>2</v>
      </c>
      <c r="GK21">
        <v>1000</v>
      </c>
      <c r="GL21">
        <f t="shared" si="0"/>
        <v>23911</v>
      </c>
    </row>
    <row r="22" spans="1:194" x14ac:dyDescent="0.25">
      <c r="A22" s="4">
        <f>DATE(2023,6,6)</f>
        <v>45083</v>
      </c>
      <c r="B22">
        <v>128779</v>
      </c>
      <c r="DS22">
        <v>775</v>
      </c>
      <c r="DW22">
        <v>250</v>
      </c>
      <c r="EC22">
        <v>2375</v>
      </c>
      <c r="EE22">
        <v>300</v>
      </c>
      <c r="EI22">
        <v>700</v>
      </c>
      <c r="EK22">
        <v>300</v>
      </c>
      <c r="EM22">
        <v>3550</v>
      </c>
      <c r="EQ22">
        <v>2</v>
      </c>
      <c r="EW22">
        <v>3401</v>
      </c>
      <c r="FC22">
        <v>2</v>
      </c>
      <c r="FG22">
        <v>3725</v>
      </c>
      <c r="FI22">
        <v>1</v>
      </c>
      <c r="FO22">
        <v>2</v>
      </c>
      <c r="FQ22">
        <v>1100</v>
      </c>
      <c r="FU22">
        <v>1</v>
      </c>
      <c r="GA22">
        <v>6250</v>
      </c>
      <c r="GG22">
        <v>2</v>
      </c>
      <c r="GK22">
        <v>1000</v>
      </c>
      <c r="GL22">
        <f t="shared" si="0"/>
        <v>23736</v>
      </c>
    </row>
    <row r="23" spans="1:194" x14ac:dyDescent="0.25">
      <c r="A23" s="4">
        <f>DATE(2023,6,5)</f>
        <v>45082</v>
      </c>
      <c r="B23">
        <v>127484</v>
      </c>
      <c r="DS23">
        <v>525</v>
      </c>
      <c r="DW23">
        <v>250</v>
      </c>
      <c r="EC23">
        <v>2175</v>
      </c>
      <c r="EE23">
        <v>300</v>
      </c>
      <c r="EI23">
        <v>700</v>
      </c>
      <c r="EK23">
        <v>300</v>
      </c>
      <c r="EM23">
        <v>3675</v>
      </c>
      <c r="EQ23">
        <v>2</v>
      </c>
      <c r="EW23">
        <v>3451</v>
      </c>
      <c r="FC23">
        <v>2</v>
      </c>
      <c r="FG23">
        <v>3725</v>
      </c>
      <c r="FI23">
        <v>1</v>
      </c>
      <c r="FO23">
        <v>2</v>
      </c>
      <c r="FQ23">
        <v>1100</v>
      </c>
      <c r="FU23">
        <v>1</v>
      </c>
      <c r="GA23">
        <v>6250</v>
      </c>
      <c r="GG23">
        <v>2</v>
      </c>
      <c r="GK23">
        <v>1000</v>
      </c>
      <c r="GL23">
        <f t="shared" si="0"/>
        <v>23461</v>
      </c>
    </row>
    <row r="24" spans="1:194" x14ac:dyDescent="0.25">
      <c r="A24" s="4">
        <f>DATE(2023,6,2)</f>
        <v>45079</v>
      </c>
      <c r="B24">
        <v>127172</v>
      </c>
      <c r="DS24">
        <v>425</v>
      </c>
      <c r="DW24">
        <v>150</v>
      </c>
      <c r="EC24">
        <v>2025</v>
      </c>
      <c r="EE24">
        <v>300</v>
      </c>
      <c r="EI24">
        <v>700</v>
      </c>
      <c r="EK24">
        <v>300</v>
      </c>
      <c r="EM24">
        <v>3675</v>
      </c>
      <c r="EQ24">
        <v>2</v>
      </c>
      <c r="EW24">
        <v>3451</v>
      </c>
      <c r="FC24">
        <v>2</v>
      </c>
      <c r="FG24">
        <v>3725</v>
      </c>
      <c r="FI24">
        <v>1</v>
      </c>
      <c r="FO24">
        <v>2</v>
      </c>
      <c r="FQ24">
        <v>1100</v>
      </c>
      <c r="FU24">
        <v>1</v>
      </c>
      <c r="GA24">
        <v>6250</v>
      </c>
      <c r="GG24">
        <v>2</v>
      </c>
      <c r="GK24">
        <v>1000</v>
      </c>
      <c r="GL24">
        <f t="shared" si="0"/>
        <v>23111</v>
      </c>
    </row>
    <row r="25" spans="1:194" x14ac:dyDescent="0.25">
      <c r="A25" s="4">
        <f>DATE(2023,6,1)</f>
        <v>45078</v>
      </c>
      <c r="B25">
        <v>126802</v>
      </c>
      <c r="DS25">
        <v>25</v>
      </c>
      <c r="EC25">
        <v>1900</v>
      </c>
      <c r="EE25">
        <v>300</v>
      </c>
      <c r="EK25">
        <v>300</v>
      </c>
      <c r="EM25">
        <v>3675</v>
      </c>
      <c r="EQ25">
        <v>2</v>
      </c>
      <c r="EW25">
        <v>3451</v>
      </c>
      <c r="FC25">
        <v>2</v>
      </c>
      <c r="FG25">
        <v>3725</v>
      </c>
      <c r="FI25">
        <v>1</v>
      </c>
      <c r="FO25">
        <v>2</v>
      </c>
      <c r="FQ25">
        <v>1100</v>
      </c>
      <c r="FU25">
        <v>1</v>
      </c>
      <c r="GA25">
        <v>6250</v>
      </c>
      <c r="GG25">
        <v>2</v>
      </c>
      <c r="GK25">
        <v>1000</v>
      </c>
      <c r="GL25">
        <f t="shared" si="0"/>
        <v>21736</v>
      </c>
    </row>
    <row r="26" spans="1:194" x14ac:dyDescent="0.25">
      <c r="A26" s="4">
        <f>DATE(2023,5,31)</f>
        <v>45077</v>
      </c>
      <c r="B26">
        <v>125550</v>
      </c>
      <c r="DS26">
        <v>25</v>
      </c>
      <c r="EC26">
        <v>1850</v>
      </c>
      <c r="EE26">
        <v>300</v>
      </c>
      <c r="EK26">
        <v>300</v>
      </c>
      <c r="EM26">
        <v>3575</v>
      </c>
      <c r="EQ26">
        <v>2</v>
      </c>
      <c r="EW26">
        <v>3576</v>
      </c>
      <c r="FC26">
        <v>2</v>
      </c>
      <c r="FG26">
        <v>3725</v>
      </c>
      <c r="FI26">
        <v>1</v>
      </c>
      <c r="FO26">
        <v>2</v>
      </c>
      <c r="FQ26">
        <v>1100</v>
      </c>
      <c r="FU26">
        <v>1</v>
      </c>
      <c r="GA26">
        <v>6250</v>
      </c>
      <c r="GG26">
        <v>2</v>
      </c>
      <c r="GK26">
        <v>1000</v>
      </c>
      <c r="GL26">
        <f t="shared" si="0"/>
        <v>21711</v>
      </c>
    </row>
    <row r="27" spans="1:194" x14ac:dyDescent="0.25">
      <c r="A27" s="4">
        <f>DATE(2023,5,30)</f>
        <v>45076</v>
      </c>
      <c r="B27">
        <v>123350</v>
      </c>
      <c r="DS27">
        <v>25</v>
      </c>
      <c r="EC27">
        <v>1850</v>
      </c>
      <c r="EE27">
        <v>300</v>
      </c>
      <c r="EK27">
        <v>300</v>
      </c>
      <c r="EM27">
        <v>3475</v>
      </c>
      <c r="EQ27">
        <v>2</v>
      </c>
      <c r="EW27">
        <v>3576</v>
      </c>
      <c r="FC27">
        <v>2</v>
      </c>
      <c r="FG27">
        <v>3725</v>
      </c>
      <c r="FI27">
        <v>1</v>
      </c>
      <c r="FO27">
        <v>2</v>
      </c>
      <c r="FQ27">
        <v>1100</v>
      </c>
      <c r="FU27">
        <v>1</v>
      </c>
      <c r="GA27">
        <v>6250</v>
      </c>
      <c r="GG27">
        <v>2</v>
      </c>
      <c r="GK27">
        <v>1000</v>
      </c>
      <c r="GL27">
        <f t="shared" si="0"/>
        <v>21611</v>
      </c>
    </row>
    <row r="28" spans="1:194" x14ac:dyDescent="0.25">
      <c r="A28" s="4">
        <f>DATE(2023,5,29)</f>
        <v>45075</v>
      </c>
      <c r="B28">
        <v>123159</v>
      </c>
      <c r="DS28">
        <v>25</v>
      </c>
      <c r="EC28">
        <v>1850</v>
      </c>
      <c r="EE28">
        <v>300</v>
      </c>
      <c r="EK28">
        <v>300</v>
      </c>
      <c r="EM28">
        <v>3475</v>
      </c>
      <c r="EQ28">
        <v>2</v>
      </c>
      <c r="EW28">
        <v>3576</v>
      </c>
      <c r="FC28">
        <v>2</v>
      </c>
      <c r="FG28">
        <v>3725</v>
      </c>
      <c r="FI28">
        <v>1</v>
      </c>
      <c r="FO28">
        <v>2</v>
      </c>
      <c r="FQ28">
        <v>1100</v>
      </c>
      <c r="FU28">
        <v>1</v>
      </c>
      <c r="GA28">
        <v>6250</v>
      </c>
      <c r="GG28">
        <v>2</v>
      </c>
      <c r="GK28">
        <v>1000</v>
      </c>
      <c r="GL28">
        <f t="shared" si="0"/>
        <v>21611</v>
      </c>
    </row>
    <row r="29" spans="1:194" x14ac:dyDescent="0.25">
      <c r="A29" s="4">
        <f>DATE(2023,5,26)</f>
        <v>45072</v>
      </c>
      <c r="B29">
        <v>123135</v>
      </c>
      <c r="DS29">
        <v>25</v>
      </c>
      <c r="EC29">
        <v>1850</v>
      </c>
      <c r="EE29">
        <v>300</v>
      </c>
      <c r="EK29">
        <v>300</v>
      </c>
      <c r="EM29">
        <v>3375</v>
      </c>
      <c r="EQ29">
        <v>2</v>
      </c>
      <c r="EW29">
        <v>3576</v>
      </c>
      <c r="FC29">
        <v>2</v>
      </c>
      <c r="FG29">
        <v>3725</v>
      </c>
      <c r="FI29">
        <v>1</v>
      </c>
      <c r="FO29">
        <v>2</v>
      </c>
      <c r="FQ29">
        <v>1100</v>
      </c>
      <c r="FU29">
        <v>1</v>
      </c>
      <c r="GA29">
        <v>6250</v>
      </c>
      <c r="GG29">
        <v>2</v>
      </c>
      <c r="GK29">
        <v>1000</v>
      </c>
      <c r="GL29">
        <f t="shared" si="0"/>
        <v>21511</v>
      </c>
    </row>
    <row r="30" spans="1:194" x14ac:dyDescent="0.25">
      <c r="A30" s="4">
        <f>DATE(2023,5,25)</f>
        <v>45071</v>
      </c>
      <c r="B30">
        <v>122239</v>
      </c>
      <c r="DS30">
        <v>25</v>
      </c>
      <c r="EC30">
        <v>1850</v>
      </c>
      <c r="EE30">
        <v>300</v>
      </c>
      <c r="EK30">
        <v>300</v>
      </c>
      <c r="EM30">
        <v>3375</v>
      </c>
      <c r="EQ30">
        <v>2</v>
      </c>
      <c r="EW30">
        <v>3601</v>
      </c>
      <c r="FC30">
        <v>2</v>
      </c>
      <c r="FG30">
        <v>3125</v>
      </c>
      <c r="FI30">
        <v>1</v>
      </c>
      <c r="FO30">
        <v>2</v>
      </c>
      <c r="FQ30">
        <v>1100</v>
      </c>
      <c r="FU30">
        <v>1</v>
      </c>
      <c r="GA30">
        <v>6250</v>
      </c>
      <c r="GG30">
        <v>2</v>
      </c>
      <c r="GK30">
        <v>1000</v>
      </c>
      <c r="GL30">
        <f t="shared" si="0"/>
        <v>20936</v>
      </c>
    </row>
    <row r="31" spans="1:194" x14ac:dyDescent="0.25">
      <c r="A31" s="4">
        <f>DATE(2023,5,24)</f>
        <v>45070</v>
      </c>
      <c r="B31">
        <v>120423</v>
      </c>
      <c r="DS31">
        <v>25</v>
      </c>
      <c r="EC31">
        <v>1850</v>
      </c>
      <c r="EE31">
        <v>300</v>
      </c>
      <c r="EK31">
        <v>300</v>
      </c>
      <c r="EM31">
        <v>3375</v>
      </c>
      <c r="EQ31">
        <v>2</v>
      </c>
      <c r="EW31">
        <v>3801</v>
      </c>
      <c r="FC31">
        <v>2</v>
      </c>
      <c r="FG31">
        <v>2625</v>
      </c>
      <c r="FI31">
        <v>1</v>
      </c>
      <c r="FO31">
        <v>2</v>
      </c>
      <c r="FQ31">
        <v>1100</v>
      </c>
      <c r="FU31">
        <v>1</v>
      </c>
      <c r="GA31">
        <v>6250</v>
      </c>
      <c r="GG31">
        <v>2</v>
      </c>
      <c r="GK31">
        <v>1000</v>
      </c>
      <c r="GL31">
        <f t="shared" si="0"/>
        <v>20636</v>
      </c>
    </row>
    <row r="32" spans="1:194" x14ac:dyDescent="0.25">
      <c r="A32" s="4">
        <f>DATE(2023,5,23)</f>
        <v>45069</v>
      </c>
      <c r="B32">
        <v>119305</v>
      </c>
      <c r="DS32">
        <v>25</v>
      </c>
      <c r="EC32">
        <v>1850</v>
      </c>
      <c r="EE32">
        <v>300</v>
      </c>
      <c r="EK32">
        <v>300</v>
      </c>
      <c r="EM32">
        <v>3375</v>
      </c>
      <c r="EQ32">
        <v>2</v>
      </c>
      <c r="EW32">
        <v>3801</v>
      </c>
      <c r="FC32">
        <v>2</v>
      </c>
      <c r="FG32">
        <v>2625</v>
      </c>
      <c r="FI32">
        <v>1</v>
      </c>
      <c r="FO32">
        <v>2</v>
      </c>
      <c r="FQ32">
        <v>1100</v>
      </c>
      <c r="FU32">
        <v>1</v>
      </c>
      <c r="GA32">
        <v>6250</v>
      </c>
      <c r="GG32">
        <v>2</v>
      </c>
      <c r="GK32">
        <v>1000</v>
      </c>
      <c r="GL32">
        <f t="shared" si="0"/>
        <v>20636</v>
      </c>
    </row>
    <row r="33" spans="1:194" x14ac:dyDescent="0.25">
      <c r="A33" s="4">
        <f>DATE(2023,5,22)</f>
        <v>45068</v>
      </c>
      <c r="B33">
        <v>118903</v>
      </c>
      <c r="DS33">
        <v>25</v>
      </c>
      <c r="EC33">
        <v>1850</v>
      </c>
      <c r="EE33">
        <v>300</v>
      </c>
      <c r="EK33">
        <v>300</v>
      </c>
      <c r="EM33">
        <v>3375</v>
      </c>
      <c r="EQ33">
        <v>2</v>
      </c>
      <c r="EW33">
        <v>3801</v>
      </c>
      <c r="FC33">
        <v>2</v>
      </c>
      <c r="FG33">
        <v>2625</v>
      </c>
      <c r="FI33">
        <v>1</v>
      </c>
      <c r="FO33">
        <v>2</v>
      </c>
      <c r="FQ33">
        <v>1100</v>
      </c>
      <c r="FU33">
        <v>1</v>
      </c>
      <c r="GA33">
        <v>6250</v>
      </c>
      <c r="GG33">
        <v>2</v>
      </c>
      <c r="GK33">
        <v>1000</v>
      </c>
      <c r="GL33">
        <f t="shared" si="0"/>
        <v>20636</v>
      </c>
    </row>
    <row r="34" spans="1:194" x14ac:dyDescent="0.25">
      <c r="A34" s="4">
        <f>DATE(2023,5,19)</f>
        <v>45065</v>
      </c>
      <c r="B34">
        <v>118674</v>
      </c>
      <c r="DS34">
        <v>25</v>
      </c>
      <c r="EC34">
        <v>1850</v>
      </c>
      <c r="EE34">
        <v>300</v>
      </c>
      <c r="EK34">
        <v>300</v>
      </c>
      <c r="EM34">
        <v>3175</v>
      </c>
      <c r="EQ34">
        <v>2</v>
      </c>
      <c r="EW34">
        <v>3801</v>
      </c>
      <c r="FC34">
        <v>2</v>
      </c>
      <c r="FG34">
        <v>2625</v>
      </c>
      <c r="FI34">
        <v>1</v>
      </c>
      <c r="FO34">
        <v>2</v>
      </c>
      <c r="FQ34">
        <v>1100</v>
      </c>
      <c r="FU34">
        <v>1</v>
      </c>
      <c r="GA34">
        <v>6250</v>
      </c>
      <c r="GG34">
        <v>2</v>
      </c>
      <c r="GK34">
        <v>1000</v>
      </c>
      <c r="GL34">
        <f t="shared" si="0"/>
        <v>20436</v>
      </c>
    </row>
    <row r="35" spans="1:194" x14ac:dyDescent="0.25">
      <c r="A35" s="4">
        <f>DATE(2023,5,18)</f>
        <v>45064</v>
      </c>
      <c r="B35">
        <v>118306</v>
      </c>
      <c r="DS35">
        <v>25</v>
      </c>
      <c r="EC35">
        <v>1850</v>
      </c>
      <c r="EE35">
        <v>300</v>
      </c>
      <c r="EK35">
        <v>300</v>
      </c>
      <c r="EM35">
        <v>3175</v>
      </c>
      <c r="EQ35">
        <v>2</v>
      </c>
      <c r="EW35">
        <v>3601</v>
      </c>
      <c r="FC35">
        <v>2</v>
      </c>
      <c r="FG35">
        <v>2625</v>
      </c>
      <c r="FI35">
        <v>1</v>
      </c>
      <c r="FO35">
        <v>2</v>
      </c>
      <c r="FQ35">
        <v>1100</v>
      </c>
      <c r="FU35">
        <v>1</v>
      </c>
      <c r="GA35">
        <v>6250</v>
      </c>
      <c r="GG35">
        <v>2</v>
      </c>
      <c r="GK35">
        <v>1000</v>
      </c>
      <c r="GL35">
        <f t="shared" si="0"/>
        <v>20236</v>
      </c>
    </row>
    <row r="36" spans="1:194" x14ac:dyDescent="0.25">
      <c r="A36" s="4">
        <f>DATE(2023,5,17)</f>
        <v>45063</v>
      </c>
      <c r="B36">
        <v>118209</v>
      </c>
      <c r="DS36">
        <v>25</v>
      </c>
      <c r="EC36">
        <v>1850</v>
      </c>
      <c r="EE36">
        <v>300</v>
      </c>
      <c r="EK36">
        <v>300</v>
      </c>
      <c r="EM36">
        <v>3175</v>
      </c>
      <c r="EQ36">
        <v>2</v>
      </c>
      <c r="EW36">
        <v>3601</v>
      </c>
      <c r="FC36">
        <v>2</v>
      </c>
      <c r="FG36">
        <v>2625</v>
      </c>
      <c r="FI36">
        <v>1</v>
      </c>
      <c r="FO36">
        <v>2</v>
      </c>
      <c r="FQ36">
        <v>1100</v>
      </c>
      <c r="FU36">
        <v>1</v>
      </c>
      <c r="GA36">
        <v>6050</v>
      </c>
      <c r="GG36">
        <v>2</v>
      </c>
      <c r="GK36">
        <v>1000</v>
      </c>
      <c r="GL36">
        <f t="shared" si="0"/>
        <v>20036</v>
      </c>
    </row>
    <row r="37" spans="1:194" x14ac:dyDescent="0.25">
      <c r="A37" s="4">
        <f>DATE(2023,5,16)</f>
        <v>45062</v>
      </c>
      <c r="B37">
        <v>117416</v>
      </c>
      <c r="DS37">
        <v>25</v>
      </c>
      <c r="EC37">
        <v>1850</v>
      </c>
      <c r="EE37">
        <v>300</v>
      </c>
      <c r="EK37">
        <v>300</v>
      </c>
      <c r="EM37">
        <v>3200</v>
      </c>
      <c r="EQ37">
        <v>2</v>
      </c>
      <c r="EW37">
        <v>3350</v>
      </c>
      <c r="FC37">
        <v>2</v>
      </c>
      <c r="FG37">
        <v>3225</v>
      </c>
      <c r="FI37">
        <v>1</v>
      </c>
      <c r="FO37">
        <v>2</v>
      </c>
      <c r="FQ37">
        <v>1100</v>
      </c>
      <c r="FU37">
        <v>1</v>
      </c>
      <c r="GA37">
        <v>6550</v>
      </c>
      <c r="GG37">
        <v>2</v>
      </c>
      <c r="GK37">
        <v>1000</v>
      </c>
      <c r="GL37">
        <f t="shared" ref="GL37:GL68" si="1">SUMPRODUCT(C37:GK37)</f>
        <v>20910</v>
      </c>
    </row>
    <row r="38" spans="1:194" x14ac:dyDescent="0.25">
      <c r="A38" s="4">
        <f>DATE(2023,5,15)</f>
        <v>45061</v>
      </c>
      <c r="B38">
        <v>116656</v>
      </c>
      <c r="DS38">
        <v>25</v>
      </c>
      <c r="EC38">
        <v>1850</v>
      </c>
      <c r="EE38">
        <v>300</v>
      </c>
      <c r="EK38">
        <v>300</v>
      </c>
      <c r="EM38">
        <v>3200</v>
      </c>
      <c r="EQ38">
        <v>2</v>
      </c>
      <c r="EW38">
        <v>3350</v>
      </c>
      <c r="FC38">
        <v>2</v>
      </c>
      <c r="FG38">
        <v>3225</v>
      </c>
      <c r="FI38">
        <v>1</v>
      </c>
      <c r="FO38">
        <v>2</v>
      </c>
      <c r="FQ38">
        <v>1100</v>
      </c>
      <c r="FU38">
        <v>1</v>
      </c>
      <c r="GA38">
        <v>6550</v>
      </c>
      <c r="GG38">
        <v>2</v>
      </c>
      <c r="GK38">
        <v>1000</v>
      </c>
      <c r="GL38">
        <f t="shared" si="1"/>
        <v>20910</v>
      </c>
    </row>
    <row r="39" spans="1:194" x14ac:dyDescent="0.25">
      <c r="A39" s="4">
        <f>DATE(2023,5,12)</f>
        <v>45058</v>
      </c>
      <c r="B39">
        <v>115600</v>
      </c>
      <c r="DS39">
        <v>25</v>
      </c>
      <c r="EC39">
        <v>1850</v>
      </c>
      <c r="EE39">
        <v>300</v>
      </c>
      <c r="EK39">
        <v>300</v>
      </c>
      <c r="EM39">
        <v>3200</v>
      </c>
      <c r="EQ39">
        <v>2</v>
      </c>
      <c r="EW39">
        <v>3600</v>
      </c>
      <c r="FC39">
        <v>2</v>
      </c>
      <c r="FG39">
        <v>3100</v>
      </c>
      <c r="FI39">
        <v>1</v>
      </c>
      <c r="FO39">
        <v>2</v>
      </c>
      <c r="FQ39">
        <v>1100</v>
      </c>
      <c r="FU39">
        <v>1</v>
      </c>
      <c r="GA39">
        <v>6702</v>
      </c>
      <c r="GG39">
        <v>2</v>
      </c>
      <c r="GK39">
        <v>1000</v>
      </c>
      <c r="GL39">
        <f t="shared" si="1"/>
        <v>21187</v>
      </c>
    </row>
    <row r="40" spans="1:194" x14ac:dyDescent="0.25">
      <c r="A40" s="4">
        <f>DATE(2023,5,11)</f>
        <v>45057</v>
      </c>
      <c r="B40">
        <v>115357</v>
      </c>
      <c r="DS40">
        <v>25</v>
      </c>
      <c r="EC40">
        <v>1800</v>
      </c>
      <c r="EE40">
        <v>300</v>
      </c>
      <c r="EK40">
        <v>300</v>
      </c>
      <c r="EM40">
        <v>3225</v>
      </c>
      <c r="EQ40">
        <v>2</v>
      </c>
      <c r="EW40">
        <v>3550</v>
      </c>
      <c r="FC40">
        <v>2</v>
      </c>
      <c r="FG40">
        <v>2850</v>
      </c>
      <c r="FI40">
        <v>1</v>
      </c>
      <c r="FO40">
        <v>2</v>
      </c>
      <c r="FQ40">
        <v>1100</v>
      </c>
      <c r="FU40">
        <v>1</v>
      </c>
      <c r="GA40">
        <v>6702</v>
      </c>
      <c r="GG40">
        <v>2</v>
      </c>
      <c r="GK40">
        <v>1000</v>
      </c>
      <c r="GL40">
        <f t="shared" si="1"/>
        <v>20862</v>
      </c>
    </row>
    <row r="41" spans="1:194" x14ac:dyDescent="0.25">
      <c r="A41" s="4">
        <f>DATE(2023,5,10)</f>
        <v>45056</v>
      </c>
      <c r="B41">
        <v>114822</v>
      </c>
      <c r="DS41">
        <v>25</v>
      </c>
      <c r="EC41">
        <v>1800</v>
      </c>
      <c r="EE41">
        <v>300</v>
      </c>
      <c r="EK41">
        <v>300</v>
      </c>
      <c r="EM41">
        <v>3125</v>
      </c>
      <c r="EQ41">
        <v>2</v>
      </c>
      <c r="EW41">
        <v>3550</v>
      </c>
      <c r="FC41">
        <v>2</v>
      </c>
      <c r="FG41">
        <v>2850</v>
      </c>
      <c r="FI41">
        <v>1</v>
      </c>
      <c r="FO41">
        <v>2</v>
      </c>
      <c r="FQ41">
        <v>1200</v>
      </c>
      <c r="FU41">
        <v>1</v>
      </c>
      <c r="GA41">
        <v>6550</v>
      </c>
      <c r="GG41">
        <v>2</v>
      </c>
      <c r="GK41">
        <v>1000</v>
      </c>
      <c r="GL41">
        <f t="shared" si="1"/>
        <v>20710</v>
      </c>
    </row>
    <row r="42" spans="1:194" x14ac:dyDescent="0.25">
      <c r="A42" s="4">
        <f>DATE(2023,5,9)</f>
        <v>45055</v>
      </c>
      <c r="B42">
        <v>113912</v>
      </c>
      <c r="DS42">
        <v>25</v>
      </c>
      <c r="EC42">
        <v>1500</v>
      </c>
      <c r="EE42">
        <v>300</v>
      </c>
      <c r="EK42">
        <v>300</v>
      </c>
      <c r="EM42">
        <v>2600</v>
      </c>
      <c r="EQ42">
        <v>2</v>
      </c>
      <c r="EW42">
        <v>3400</v>
      </c>
      <c r="FC42">
        <v>2</v>
      </c>
      <c r="FG42">
        <v>2850</v>
      </c>
      <c r="FI42">
        <v>1</v>
      </c>
      <c r="FO42">
        <v>2</v>
      </c>
      <c r="FQ42">
        <v>1200</v>
      </c>
      <c r="FU42">
        <v>1</v>
      </c>
      <c r="GA42">
        <v>6550</v>
      </c>
      <c r="GG42">
        <v>2</v>
      </c>
      <c r="GK42">
        <v>1000</v>
      </c>
      <c r="GL42">
        <f t="shared" si="1"/>
        <v>19735</v>
      </c>
    </row>
    <row r="43" spans="1:194" x14ac:dyDescent="0.25">
      <c r="A43" s="4">
        <f>DATE(2023,5,8)</f>
        <v>45054</v>
      </c>
      <c r="B43">
        <v>111970</v>
      </c>
      <c r="DS43">
        <v>25</v>
      </c>
      <c r="EC43">
        <v>1500</v>
      </c>
      <c r="EE43">
        <v>300</v>
      </c>
      <c r="EK43">
        <v>300</v>
      </c>
      <c r="EM43">
        <v>2600</v>
      </c>
      <c r="EQ43">
        <v>2</v>
      </c>
      <c r="EW43">
        <v>3400</v>
      </c>
      <c r="FC43">
        <v>2</v>
      </c>
      <c r="FG43">
        <v>2850</v>
      </c>
      <c r="FI43">
        <v>1</v>
      </c>
      <c r="FO43">
        <v>2</v>
      </c>
      <c r="FQ43">
        <v>1200</v>
      </c>
      <c r="FU43">
        <v>1</v>
      </c>
      <c r="GA43">
        <v>6550</v>
      </c>
      <c r="GG43">
        <v>2</v>
      </c>
      <c r="GK43">
        <v>1000</v>
      </c>
      <c r="GL43">
        <f t="shared" si="1"/>
        <v>19735</v>
      </c>
    </row>
    <row r="44" spans="1:194" x14ac:dyDescent="0.25">
      <c r="A44" s="4">
        <f>DATE(2023,5,5)</f>
        <v>45051</v>
      </c>
      <c r="B44">
        <v>111985</v>
      </c>
      <c r="DS44">
        <v>25</v>
      </c>
      <c r="EC44">
        <v>1000</v>
      </c>
      <c r="EE44">
        <v>300</v>
      </c>
      <c r="EK44">
        <v>300</v>
      </c>
      <c r="EM44">
        <v>2600</v>
      </c>
      <c r="EQ44">
        <v>2</v>
      </c>
      <c r="EW44">
        <v>3276</v>
      </c>
      <c r="FC44">
        <v>2</v>
      </c>
      <c r="FG44">
        <v>2850</v>
      </c>
      <c r="FI44">
        <v>1</v>
      </c>
      <c r="FO44">
        <v>2</v>
      </c>
      <c r="FQ44">
        <v>1200</v>
      </c>
      <c r="FU44">
        <v>1</v>
      </c>
      <c r="GA44">
        <v>6550</v>
      </c>
      <c r="GG44">
        <v>2</v>
      </c>
      <c r="GK44">
        <v>1000</v>
      </c>
      <c r="GL44">
        <f t="shared" si="1"/>
        <v>19111</v>
      </c>
    </row>
    <row r="45" spans="1:194" x14ac:dyDescent="0.25">
      <c r="A45" s="4">
        <f>DATE(2023,5,4)</f>
        <v>45050</v>
      </c>
      <c r="B45">
        <v>111772</v>
      </c>
      <c r="DS45">
        <v>25</v>
      </c>
      <c r="EC45">
        <v>1000</v>
      </c>
      <c r="EE45">
        <v>300</v>
      </c>
      <c r="EK45">
        <v>300</v>
      </c>
      <c r="EM45">
        <v>2475</v>
      </c>
      <c r="EQ45">
        <v>2</v>
      </c>
      <c r="EW45">
        <v>3251</v>
      </c>
      <c r="FC45">
        <v>2</v>
      </c>
      <c r="FG45">
        <v>3000</v>
      </c>
      <c r="FI45">
        <v>1</v>
      </c>
      <c r="FO45">
        <v>2</v>
      </c>
      <c r="FQ45">
        <v>1200</v>
      </c>
      <c r="FU45">
        <v>1</v>
      </c>
      <c r="GA45">
        <v>6550</v>
      </c>
      <c r="GG45">
        <v>2</v>
      </c>
      <c r="GK45">
        <v>1000</v>
      </c>
      <c r="GL45">
        <f t="shared" si="1"/>
        <v>19111</v>
      </c>
    </row>
    <row r="46" spans="1:194" x14ac:dyDescent="0.25">
      <c r="A46" s="4">
        <f>DATE(2023,5,3)</f>
        <v>45049</v>
      </c>
      <c r="B46">
        <v>111666</v>
      </c>
      <c r="DS46">
        <v>25</v>
      </c>
      <c r="EC46">
        <v>1000</v>
      </c>
      <c r="EE46">
        <v>300</v>
      </c>
      <c r="EK46">
        <v>300</v>
      </c>
      <c r="EM46">
        <v>2475</v>
      </c>
      <c r="EQ46">
        <v>2</v>
      </c>
      <c r="EW46">
        <v>3251</v>
      </c>
      <c r="FC46">
        <v>2</v>
      </c>
      <c r="FG46">
        <v>3000</v>
      </c>
      <c r="FI46">
        <v>1</v>
      </c>
      <c r="FO46">
        <v>2</v>
      </c>
      <c r="FQ46">
        <v>1200</v>
      </c>
      <c r="FU46">
        <v>1</v>
      </c>
      <c r="GA46">
        <v>6550</v>
      </c>
      <c r="GG46">
        <v>2</v>
      </c>
      <c r="GK46">
        <v>1000</v>
      </c>
      <c r="GL46">
        <f t="shared" si="1"/>
        <v>19111</v>
      </c>
    </row>
    <row r="47" spans="1:194" x14ac:dyDescent="0.25">
      <c r="A47" s="4">
        <f>DATE(2023,5,2)</f>
        <v>45048</v>
      </c>
      <c r="B47">
        <v>111434</v>
      </c>
      <c r="EC47">
        <v>1000</v>
      </c>
      <c r="EE47">
        <v>300</v>
      </c>
      <c r="EK47">
        <v>300</v>
      </c>
      <c r="EM47">
        <v>2475</v>
      </c>
      <c r="EQ47">
        <v>2</v>
      </c>
      <c r="EW47">
        <v>3251</v>
      </c>
      <c r="FC47">
        <v>2</v>
      </c>
      <c r="FG47">
        <v>3050</v>
      </c>
      <c r="FI47">
        <v>1</v>
      </c>
      <c r="FO47">
        <v>2</v>
      </c>
      <c r="FQ47">
        <v>1200</v>
      </c>
      <c r="FU47">
        <v>1</v>
      </c>
      <c r="GA47">
        <v>6800</v>
      </c>
      <c r="GG47">
        <v>2</v>
      </c>
      <c r="GK47">
        <v>1000</v>
      </c>
      <c r="GL47">
        <f t="shared" si="1"/>
        <v>19386</v>
      </c>
    </row>
    <row r="48" spans="1:194" x14ac:dyDescent="0.25">
      <c r="A48" s="4">
        <f>DATE(2023,5,1)</f>
        <v>45047</v>
      </c>
      <c r="B48">
        <v>111196</v>
      </c>
      <c r="EC48">
        <v>1000</v>
      </c>
      <c r="EE48">
        <v>300</v>
      </c>
      <c r="EK48">
        <v>300</v>
      </c>
      <c r="EM48">
        <v>2475</v>
      </c>
      <c r="EQ48">
        <v>2</v>
      </c>
      <c r="EW48">
        <v>3251</v>
      </c>
      <c r="FC48">
        <v>2</v>
      </c>
      <c r="FG48">
        <v>3050</v>
      </c>
      <c r="FI48">
        <v>1</v>
      </c>
      <c r="FO48">
        <v>2</v>
      </c>
      <c r="FQ48">
        <v>1200</v>
      </c>
      <c r="FU48">
        <v>1</v>
      </c>
      <c r="GA48">
        <v>6800</v>
      </c>
      <c r="GG48">
        <v>2</v>
      </c>
      <c r="GK48">
        <v>1000</v>
      </c>
      <c r="GL48">
        <f t="shared" si="1"/>
        <v>19386</v>
      </c>
    </row>
    <row r="49" spans="1:194" x14ac:dyDescent="0.25">
      <c r="A49" s="4">
        <f>DATE(2023,4,28)</f>
        <v>45044</v>
      </c>
      <c r="B49">
        <v>111188</v>
      </c>
      <c r="EC49">
        <v>1000</v>
      </c>
      <c r="EE49">
        <v>300</v>
      </c>
      <c r="EK49">
        <v>300</v>
      </c>
      <c r="EM49">
        <v>2475</v>
      </c>
      <c r="EQ49">
        <v>2</v>
      </c>
      <c r="EW49">
        <v>3251</v>
      </c>
      <c r="FC49">
        <v>2</v>
      </c>
      <c r="FG49">
        <v>3050</v>
      </c>
      <c r="FI49">
        <v>1</v>
      </c>
      <c r="FO49">
        <v>2</v>
      </c>
      <c r="FQ49">
        <v>1200</v>
      </c>
      <c r="FU49">
        <v>1</v>
      </c>
      <c r="GA49">
        <v>6800</v>
      </c>
      <c r="GG49">
        <v>2</v>
      </c>
      <c r="GK49">
        <v>1000</v>
      </c>
      <c r="GL49">
        <f t="shared" si="1"/>
        <v>19386</v>
      </c>
    </row>
    <row r="50" spans="1:194" x14ac:dyDescent="0.25">
      <c r="A50" s="4">
        <f>DATE(2023,4,27)</f>
        <v>45043</v>
      </c>
      <c r="B50">
        <v>111336</v>
      </c>
      <c r="EC50">
        <v>1000</v>
      </c>
      <c r="EE50">
        <v>100</v>
      </c>
      <c r="EK50">
        <v>500</v>
      </c>
      <c r="EM50">
        <v>2475</v>
      </c>
      <c r="EQ50">
        <v>2</v>
      </c>
      <c r="EW50">
        <v>3251</v>
      </c>
      <c r="FC50">
        <v>2</v>
      </c>
      <c r="FG50">
        <v>3050</v>
      </c>
      <c r="FI50">
        <v>1</v>
      </c>
      <c r="FO50">
        <v>2</v>
      </c>
      <c r="FQ50">
        <v>1200</v>
      </c>
      <c r="FU50">
        <v>1</v>
      </c>
      <c r="GA50">
        <v>6900</v>
      </c>
      <c r="GG50">
        <v>2</v>
      </c>
      <c r="GK50">
        <v>1000</v>
      </c>
      <c r="GL50">
        <f t="shared" si="1"/>
        <v>19486</v>
      </c>
    </row>
    <row r="51" spans="1:194" x14ac:dyDescent="0.25">
      <c r="A51" s="4">
        <f>DATE(2023,4,26)</f>
        <v>45042</v>
      </c>
      <c r="B51">
        <v>111640</v>
      </c>
      <c r="EC51">
        <v>1000</v>
      </c>
      <c r="EK51">
        <v>500</v>
      </c>
      <c r="EM51">
        <v>2225</v>
      </c>
      <c r="EQ51">
        <v>2</v>
      </c>
      <c r="EW51">
        <v>3251</v>
      </c>
      <c r="FC51">
        <v>2</v>
      </c>
      <c r="FG51">
        <v>3150</v>
      </c>
      <c r="FI51">
        <v>1</v>
      </c>
      <c r="FO51">
        <v>2</v>
      </c>
      <c r="FQ51">
        <v>1200</v>
      </c>
      <c r="FU51">
        <v>1</v>
      </c>
      <c r="GA51">
        <v>6900</v>
      </c>
      <c r="GG51">
        <v>2</v>
      </c>
      <c r="GK51">
        <v>1000</v>
      </c>
      <c r="GL51">
        <f t="shared" si="1"/>
        <v>19236</v>
      </c>
    </row>
    <row r="52" spans="1:194" x14ac:dyDescent="0.25">
      <c r="A52" s="4">
        <f>DATE(2023,4,25)</f>
        <v>45041</v>
      </c>
      <c r="B52">
        <v>111022</v>
      </c>
      <c r="EC52">
        <v>1000</v>
      </c>
      <c r="EK52">
        <v>500</v>
      </c>
      <c r="EM52">
        <v>1600</v>
      </c>
      <c r="EQ52">
        <v>2</v>
      </c>
      <c r="EW52">
        <v>3251</v>
      </c>
      <c r="FC52">
        <v>2</v>
      </c>
      <c r="FG52">
        <v>3150</v>
      </c>
      <c r="FI52">
        <v>1</v>
      </c>
      <c r="FO52">
        <v>2</v>
      </c>
      <c r="FQ52">
        <v>1200</v>
      </c>
      <c r="FU52">
        <v>1</v>
      </c>
      <c r="GA52">
        <v>6900</v>
      </c>
      <c r="GG52">
        <v>2</v>
      </c>
      <c r="GK52">
        <v>1000</v>
      </c>
      <c r="GL52">
        <f t="shared" si="1"/>
        <v>18611</v>
      </c>
    </row>
    <row r="53" spans="1:194" x14ac:dyDescent="0.25">
      <c r="A53" s="4">
        <f>DATE(2023,4,24)</f>
        <v>45040</v>
      </c>
      <c r="B53">
        <v>109414</v>
      </c>
      <c r="EC53">
        <v>1000</v>
      </c>
      <c r="EK53">
        <v>500</v>
      </c>
      <c r="EM53">
        <v>1600</v>
      </c>
      <c r="EQ53">
        <v>2</v>
      </c>
      <c r="EW53">
        <v>3251</v>
      </c>
      <c r="FC53">
        <v>2</v>
      </c>
      <c r="FG53">
        <v>3150</v>
      </c>
      <c r="FI53">
        <v>1</v>
      </c>
      <c r="FO53">
        <v>2</v>
      </c>
      <c r="FQ53">
        <v>950</v>
      </c>
      <c r="FU53">
        <v>1</v>
      </c>
      <c r="GA53">
        <v>6925</v>
      </c>
      <c r="GG53">
        <v>2</v>
      </c>
      <c r="GK53">
        <v>1000</v>
      </c>
      <c r="GL53">
        <f t="shared" si="1"/>
        <v>18386</v>
      </c>
    </row>
    <row r="54" spans="1:194" x14ac:dyDescent="0.25">
      <c r="A54" s="4">
        <f>DATE(2023,4,21)</f>
        <v>45037</v>
      </c>
      <c r="B54">
        <v>109389</v>
      </c>
      <c r="EC54">
        <v>1000</v>
      </c>
      <c r="EK54">
        <v>500</v>
      </c>
      <c r="EM54">
        <v>1550</v>
      </c>
      <c r="EQ54">
        <v>2</v>
      </c>
      <c r="EW54">
        <v>3251</v>
      </c>
      <c r="FC54">
        <v>2</v>
      </c>
      <c r="FG54">
        <v>2950</v>
      </c>
      <c r="FI54">
        <v>1</v>
      </c>
      <c r="FO54">
        <v>2</v>
      </c>
      <c r="FQ54">
        <v>950</v>
      </c>
      <c r="FU54">
        <v>1</v>
      </c>
      <c r="GA54">
        <v>6925</v>
      </c>
      <c r="GG54">
        <v>2</v>
      </c>
      <c r="GK54">
        <v>1000</v>
      </c>
      <c r="GL54">
        <f t="shared" si="1"/>
        <v>18136</v>
      </c>
    </row>
    <row r="55" spans="1:194" x14ac:dyDescent="0.25">
      <c r="A55" s="4">
        <f>DATE(2023,4,20)</f>
        <v>45036</v>
      </c>
      <c r="B55">
        <v>108363</v>
      </c>
      <c r="EC55">
        <v>1000</v>
      </c>
      <c r="EK55">
        <v>500</v>
      </c>
      <c r="EM55">
        <v>1550</v>
      </c>
      <c r="EQ55">
        <v>2</v>
      </c>
      <c r="EW55">
        <v>3251</v>
      </c>
      <c r="FC55">
        <v>2</v>
      </c>
      <c r="FG55">
        <v>2950</v>
      </c>
      <c r="FI55">
        <v>1</v>
      </c>
      <c r="FO55">
        <v>2</v>
      </c>
      <c r="FQ55">
        <v>950</v>
      </c>
      <c r="FU55">
        <v>1</v>
      </c>
      <c r="GA55">
        <v>6925</v>
      </c>
      <c r="GG55">
        <v>2</v>
      </c>
      <c r="GK55">
        <v>1000</v>
      </c>
      <c r="GL55">
        <f t="shared" si="1"/>
        <v>18136</v>
      </c>
    </row>
    <row r="56" spans="1:194" x14ac:dyDescent="0.25">
      <c r="A56" s="4">
        <f>DATE(2023,4,19)</f>
        <v>45035</v>
      </c>
      <c r="B56">
        <v>107899</v>
      </c>
      <c r="EC56">
        <v>1000</v>
      </c>
      <c r="EK56">
        <v>500</v>
      </c>
      <c r="EM56">
        <v>1550</v>
      </c>
      <c r="EQ56">
        <v>2</v>
      </c>
      <c r="EW56">
        <v>3101</v>
      </c>
      <c r="FC56">
        <v>2</v>
      </c>
      <c r="FG56">
        <v>2950</v>
      </c>
      <c r="FI56">
        <v>1</v>
      </c>
      <c r="FO56">
        <v>2</v>
      </c>
      <c r="FQ56">
        <v>700</v>
      </c>
      <c r="FU56">
        <v>1</v>
      </c>
      <c r="GA56">
        <v>6277</v>
      </c>
      <c r="GG56">
        <v>2</v>
      </c>
      <c r="GK56">
        <v>825</v>
      </c>
      <c r="GL56">
        <f t="shared" si="1"/>
        <v>16913</v>
      </c>
    </row>
    <row r="57" spans="1:194" x14ac:dyDescent="0.25">
      <c r="A57" s="4">
        <f>DATE(2023,4,18)</f>
        <v>45034</v>
      </c>
      <c r="B57">
        <v>107101</v>
      </c>
      <c r="EC57">
        <v>1000</v>
      </c>
      <c r="EK57">
        <v>500</v>
      </c>
      <c r="EM57">
        <v>2000</v>
      </c>
      <c r="EQ57">
        <v>2</v>
      </c>
      <c r="EW57">
        <v>3101</v>
      </c>
      <c r="FC57">
        <v>2</v>
      </c>
      <c r="FG57">
        <v>1975</v>
      </c>
      <c r="FI57">
        <v>1</v>
      </c>
      <c r="FO57">
        <v>2</v>
      </c>
      <c r="FQ57">
        <v>700</v>
      </c>
      <c r="FU57">
        <v>1</v>
      </c>
      <c r="GA57">
        <v>6175</v>
      </c>
      <c r="GG57">
        <v>2</v>
      </c>
      <c r="GK57">
        <v>825</v>
      </c>
      <c r="GL57">
        <f t="shared" si="1"/>
        <v>16286</v>
      </c>
    </row>
    <row r="58" spans="1:194" x14ac:dyDescent="0.25">
      <c r="A58" s="4">
        <f>DATE(2023,4,17)</f>
        <v>45033</v>
      </c>
      <c r="B58">
        <v>106214</v>
      </c>
      <c r="EC58">
        <v>1000</v>
      </c>
      <c r="EK58">
        <v>500</v>
      </c>
      <c r="EM58">
        <v>2000</v>
      </c>
      <c r="EQ58">
        <v>2</v>
      </c>
      <c r="EW58">
        <v>3101</v>
      </c>
      <c r="FC58">
        <v>2</v>
      </c>
      <c r="FG58">
        <v>1975</v>
      </c>
      <c r="FI58">
        <v>1</v>
      </c>
      <c r="FO58">
        <v>2</v>
      </c>
      <c r="FQ58">
        <v>700</v>
      </c>
      <c r="FU58">
        <v>1</v>
      </c>
      <c r="GA58">
        <v>6175</v>
      </c>
      <c r="GG58">
        <v>2</v>
      </c>
      <c r="GK58">
        <v>825</v>
      </c>
      <c r="GL58">
        <f t="shared" si="1"/>
        <v>16286</v>
      </c>
    </row>
    <row r="59" spans="1:194" x14ac:dyDescent="0.25">
      <c r="A59" s="4">
        <f>DATE(2023,4,14)</f>
        <v>45030</v>
      </c>
      <c r="B59">
        <v>106252</v>
      </c>
      <c r="EC59">
        <v>1000</v>
      </c>
      <c r="EK59">
        <v>500</v>
      </c>
      <c r="EM59">
        <v>2000</v>
      </c>
      <c r="EQ59">
        <v>2</v>
      </c>
      <c r="EW59">
        <v>3001</v>
      </c>
      <c r="FC59">
        <v>2</v>
      </c>
      <c r="FG59">
        <v>1975</v>
      </c>
      <c r="FI59">
        <v>1</v>
      </c>
      <c r="FO59">
        <v>2</v>
      </c>
      <c r="FQ59">
        <v>650</v>
      </c>
      <c r="FU59">
        <v>1</v>
      </c>
      <c r="GA59">
        <v>6175</v>
      </c>
      <c r="GG59">
        <v>2</v>
      </c>
      <c r="GK59">
        <v>500</v>
      </c>
      <c r="GL59">
        <f t="shared" si="1"/>
        <v>15811</v>
      </c>
    </row>
    <row r="60" spans="1:194" x14ac:dyDescent="0.25">
      <c r="A60" s="4">
        <f>DATE(2023,4,13)</f>
        <v>45029</v>
      </c>
      <c r="B60">
        <v>105764</v>
      </c>
      <c r="EC60">
        <v>1000</v>
      </c>
      <c r="EK60">
        <v>500</v>
      </c>
      <c r="EM60">
        <v>2000</v>
      </c>
      <c r="EQ60">
        <v>2</v>
      </c>
      <c r="EW60">
        <v>3001</v>
      </c>
      <c r="FC60">
        <v>2</v>
      </c>
      <c r="FG60">
        <v>1950</v>
      </c>
      <c r="FI60">
        <v>1</v>
      </c>
      <c r="FO60">
        <v>2</v>
      </c>
      <c r="FQ60">
        <v>650</v>
      </c>
      <c r="FU60">
        <v>1</v>
      </c>
      <c r="GA60">
        <v>6175</v>
      </c>
      <c r="GG60">
        <v>2</v>
      </c>
      <c r="GK60">
        <v>500</v>
      </c>
      <c r="GL60">
        <f t="shared" si="1"/>
        <v>15786</v>
      </c>
    </row>
    <row r="61" spans="1:194" x14ac:dyDescent="0.25">
      <c r="A61" s="4">
        <f>DATE(2023,4,12)</f>
        <v>45028</v>
      </c>
      <c r="B61">
        <v>105677</v>
      </c>
      <c r="EC61">
        <v>1000</v>
      </c>
      <c r="EK61">
        <v>500</v>
      </c>
      <c r="EM61">
        <v>2000</v>
      </c>
      <c r="EQ61">
        <v>2</v>
      </c>
      <c r="EW61">
        <v>3001</v>
      </c>
      <c r="FC61">
        <v>2</v>
      </c>
      <c r="FG61">
        <v>1750</v>
      </c>
      <c r="FI61">
        <v>1</v>
      </c>
      <c r="FO61">
        <v>2</v>
      </c>
      <c r="FQ61">
        <v>350</v>
      </c>
      <c r="FU61">
        <v>1</v>
      </c>
      <c r="GA61">
        <v>6000</v>
      </c>
      <c r="GG61">
        <v>2</v>
      </c>
      <c r="GK61">
        <v>500</v>
      </c>
      <c r="GL61">
        <f t="shared" si="1"/>
        <v>15111</v>
      </c>
    </row>
    <row r="62" spans="1:194" x14ac:dyDescent="0.25">
      <c r="A62" s="4">
        <f>DATE(2023,4,11)</f>
        <v>45027</v>
      </c>
      <c r="B62">
        <v>104833</v>
      </c>
      <c r="EC62">
        <v>1000</v>
      </c>
      <c r="EK62">
        <v>500</v>
      </c>
      <c r="EM62">
        <v>2000</v>
      </c>
      <c r="EQ62">
        <v>2</v>
      </c>
      <c r="EW62">
        <v>3001</v>
      </c>
      <c r="FC62">
        <v>2</v>
      </c>
      <c r="FG62">
        <v>1750</v>
      </c>
      <c r="FI62">
        <v>1</v>
      </c>
      <c r="FO62">
        <v>2</v>
      </c>
      <c r="FQ62">
        <v>250</v>
      </c>
      <c r="FU62">
        <v>1</v>
      </c>
      <c r="GA62">
        <v>5850</v>
      </c>
      <c r="GG62">
        <v>2</v>
      </c>
      <c r="GK62">
        <v>500</v>
      </c>
      <c r="GL62">
        <f t="shared" si="1"/>
        <v>14861</v>
      </c>
    </row>
    <row r="63" spans="1:194" x14ac:dyDescent="0.25">
      <c r="A63" s="4">
        <f>DATE(2023,4,10)</f>
        <v>45026</v>
      </c>
      <c r="EC63">
        <v>1000</v>
      </c>
      <c r="EK63">
        <v>500</v>
      </c>
      <c r="EM63">
        <v>2000</v>
      </c>
      <c r="EQ63">
        <v>2</v>
      </c>
      <c r="EW63">
        <v>3001</v>
      </c>
      <c r="FC63">
        <v>2</v>
      </c>
      <c r="FG63">
        <v>1750</v>
      </c>
      <c r="FI63">
        <v>1</v>
      </c>
      <c r="FO63">
        <v>2</v>
      </c>
      <c r="FQ63">
        <v>250</v>
      </c>
      <c r="FU63">
        <v>1</v>
      </c>
      <c r="GA63">
        <v>5850</v>
      </c>
      <c r="GG63">
        <v>2</v>
      </c>
      <c r="GK63">
        <v>500</v>
      </c>
      <c r="GL63">
        <f t="shared" si="1"/>
        <v>14861</v>
      </c>
    </row>
    <row r="64" spans="1:194" x14ac:dyDescent="0.25">
      <c r="A64" s="4">
        <f>DATE(2023,4,7)</f>
        <v>45023</v>
      </c>
      <c r="GL64">
        <f t="shared" si="1"/>
        <v>0</v>
      </c>
    </row>
    <row r="65" spans="1:194" x14ac:dyDescent="0.25">
      <c r="A65" s="4">
        <f>DATE(2023,4,6)</f>
        <v>45022</v>
      </c>
      <c r="B65">
        <v>104329</v>
      </c>
      <c r="EC65">
        <v>1000</v>
      </c>
      <c r="EK65">
        <v>500</v>
      </c>
      <c r="EM65">
        <v>2000</v>
      </c>
      <c r="EQ65">
        <v>2</v>
      </c>
      <c r="EW65">
        <v>3001</v>
      </c>
      <c r="FC65">
        <v>2</v>
      </c>
      <c r="FG65">
        <v>1750</v>
      </c>
      <c r="FI65">
        <v>1</v>
      </c>
      <c r="FO65">
        <v>2</v>
      </c>
      <c r="FQ65">
        <v>250</v>
      </c>
      <c r="FU65">
        <v>1</v>
      </c>
      <c r="GA65">
        <v>5850</v>
      </c>
      <c r="GG65">
        <v>2</v>
      </c>
      <c r="GK65">
        <v>500</v>
      </c>
      <c r="GL65">
        <f t="shared" si="1"/>
        <v>14861</v>
      </c>
    </row>
    <row r="66" spans="1:194" x14ac:dyDescent="0.25">
      <c r="A66" s="4">
        <f>DATE(2023,4,5)</f>
        <v>45021</v>
      </c>
      <c r="B66">
        <v>103953</v>
      </c>
      <c r="EC66">
        <v>1000</v>
      </c>
      <c r="EK66">
        <v>500</v>
      </c>
      <c r="EM66">
        <v>2000</v>
      </c>
      <c r="EQ66">
        <v>2</v>
      </c>
      <c r="EW66">
        <v>3001</v>
      </c>
      <c r="FC66">
        <v>2</v>
      </c>
      <c r="FG66">
        <v>1750</v>
      </c>
      <c r="FI66">
        <v>1</v>
      </c>
      <c r="FO66">
        <v>2</v>
      </c>
      <c r="FQ66">
        <v>250</v>
      </c>
      <c r="FU66">
        <v>1</v>
      </c>
      <c r="GA66">
        <v>5850</v>
      </c>
      <c r="GG66">
        <v>2</v>
      </c>
      <c r="GK66">
        <v>250</v>
      </c>
      <c r="GL66">
        <f t="shared" si="1"/>
        <v>14611</v>
      </c>
    </row>
    <row r="67" spans="1:194" x14ac:dyDescent="0.25">
      <c r="A67" s="4">
        <f>DATE(2023,4,4)</f>
        <v>45020</v>
      </c>
      <c r="B67">
        <v>102553</v>
      </c>
      <c r="EC67">
        <v>1000</v>
      </c>
      <c r="EK67">
        <v>500</v>
      </c>
      <c r="EM67">
        <v>2000</v>
      </c>
      <c r="EQ67">
        <v>2</v>
      </c>
      <c r="EW67">
        <v>3001</v>
      </c>
      <c r="FC67">
        <v>2</v>
      </c>
      <c r="FG67">
        <v>1750</v>
      </c>
      <c r="FI67">
        <v>1</v>
      </c>
      <c r="FO67">
        <v>2</v>
      </c>
      <c r="FQ67">
        <v>250</v>
      </c>
      <c r="FU67">
        <v>1</v>
      </c>
      <c r="GA67">
        <v>5850</v>
      </c>
      <c r="GG67">
        <v>2</v>
      </c>
      <c r="GK67">
        <v>250</v>
      </c>
      <c r="GL67">
        <f t="shared" si="1"/>
        <v>14611</v>
      </c>
    </row>
    <row r="68" spans="1:194" x14ac:dyDescent="0.25">
      <c r="A68" s="4">
        <f>DATE(2023,4,3)</f>
        <v>45019</v>
      </c>
      <c r="B68">
        <v>102351</v>
      </c>
      <c r="EC68">
        <v>1000</v>
      </c>
      <c r="EK68">
        <v>500</v>
      </c>
      <c r="EM68">
        <v>2000</v>
      </c>
      <c r="EQ68">
        <v>2</v>
      </c>
      <c r="EW68">
        <v>3001</v>
      </c>
      <c r="FC68">
        <v>2</v>
      </c>
      <c r="FG68">
        <v>1750</v>
      </c>
      <c r="FI68">
        <v>1</v>
      </c>
      <c r="FO68">
        <v>2</v>
      </c>
      <c r="FQ68">
        <v>250</v>
      </c>
      <c r="FU68">
        <v>1</v>
      </c>
      <c r="GA68">
        <v>5600</v>
      </c>
      <c r="GG68">
        <v>2</v>
      </c>
      <c r="GK68">
        <v>250</v>
      </c>
      <c r="GL68">
        <f t="shared" si="1"/>
        <v>14361</v>
      </c>
    </row>
    <row r="69" spans="1:194" x14ac:dyDescent="0.25">
      <c r="A69" s="4">
        <f>DATE(2023,3,31)</f>
        <v>45016</v>
      </c>
      <c r="B69">
        <v>102138</v>
      </c>
      <c r="EC69">
        <v>1000</v>
      </c>
      <c r="EK69">
        <v>500</v>
      </c>
      <c r="EM69">
        <v>2000</v>
      </c>
      <c r="EQ69">
        <v>2</v>
      </c>
      <c r="EW69">
        <v>2725</v>
      </c>
      <c r="FC69">
        <v>2</v>
      </c>
      <c r="FG69">
        <v>1750</v>
      </c>
      <c r="FI69">
        <v>1</v>
      </c>
      <c r="FO69">
        <v>2</v>
      </c>
      <c r="FQ69">
        <v>250</v>
      </c>
      <c r="FU69">
        <v>1</v>
      </c>
      <c r="GA69">
        <v>5350</v>
      </c>
      <c r="GG69">
        <v>2</v>
      </c>
      <c r="GK69">
        <v>250</v>
      </c>
      <c r="GL69">
        <f t="shared" ref="GL69:GL74" si="2">SUMPRODUCT(C69:GK69)</f>
        <v>13835</v>
      </c>
    </row>
    <row r="70" spans="1:194" x14ac:dyDescent="0.25">
      <c r="A70" s="4">
        <f>DATE(2023,3,30)</f>
        <v>45015</v>
      </c>
      <c r="B70">
        <v>102251</v>
      </c>
      <c r="EC70">
        <v>1000</v>
      </c>
      <c r="EK70">
        <v>500</v>
      </c>
      <c r="EM70">
        <v>2000</v>
      </c>
      <c r="EQ70">
        <v>2</v>
      </c>
      <c r="EW70">
        <v>2675</v>
      </c>
      <c r="FC70">
        <v>2</v>
      </c>
      <c r="FG70">
        <v>1650</v>
      </c>
      <c r="FI70">
        <v>1</v>
      </c>
      <c r="FO70">
        <v>2</v>
      </c>
      <c r="FQ70">
        <v>400</v>
      </c>
      <c r="FU70">
        <v>1</v>
      </c>
      <c r="GA70">
        <v>4700</v>
      </c>
      <c r="GG70">
        <v>2</v>
      </c>
      <c r="GK70">
        <v>250</v>
      </c>
      <c r="GL70">
        <f t="shared" si="2"/>
        <v>13185</v>
      </c>
    </row>
    <row r="71" spans="1:194" x14ac:dyDescent="0.25">
      <c r="A71" s="4">
        <f>DATE(2023,3,29)</f>
        <v>45014</v>
      </c>
      <c r="B71">
        <v>102557</v>
      </c>
      <c r="EC71">
        <v>1000</v>
      </c>
      <c r="EK71">
        <v>500</v>
      </c>
      <c r="EM71">
        <v>2000</v>
      </c>
      <c r="EQ71">
        <v>2</v>
      </c>
      <c r="EW71">
        <v>1101</v>
      </c>
      <c r="FC71">
        <v>2</v>
      </c>
      <c r="FG71">
        <v>1600</v>
      </c>
      <c r="FI71">
        <v>1</v>
      </c>
      <c r="FO71">
        <v>2</v>
      </c>
      <c r="FQ71">
        <v>400</v>
      </c>
      <c r="FU71">
        <v>1</v>
      </c>
      <c r="GA71">
        <v>4300</v>
      </c>
      <c r="GG71">
        <v>2</v>
      </c>
      <c r="GL71">
        <f t="shared" si="2"/>
        <v>10911</v>
      </c>
    </row>
    <row r="72" spans="1:194" x14ac:dyDescent="0.25">
      <c r="A72" s="4">
        <f>DATE(2023,3,28)</f>
        <v>45013</v>
      </c>
      <c r="B72">
        <v>103591</v>
      </c>
      <c r="EC72">
        <v>1000</v>
      </c>
      <c r="EK72">
        <v>500</v>
      </c>
      <c r="EM72">
        <v>1700</v>
      </c>
      <c r="EQ72">
        <v>2</v>
      </c>
      <c r="EW72">
        <v>1051</v>
      </c>
      <c r="FC72">
        <v>2</v>
      </c>
      <c r="FG72">
        <v>1600</v>
      </c>
      <c r="FI72">
        <v>1</v>
      </c>
      <c r="FO72">
        <v>2</v>
      </c>
      <c r="FQ72">
        <v>300</v>
      </c>
      <c r="FU72">
        <v>1</v>
      </c>
      <c r="GA72">
        <v>4300</v>
      </c>
      <c r="GG72">
        <v>2</v>
      </c>
      <c r="GL72">
        <f t="shared" si="2"/>
        <v>10461</v>
      </c>
    </row>
    <row r="73" spans="1:194" x14ac:dyDescent="0.25">
      <c r="A73" s="4">
        <f>DATE(2023,3,27)</f>
        <v>45012</v>
      </c>
      <c r="B73">
        <v>104551</v>
      </c>
      <c r="EC73">
        <v>1000</v>
      </c>
      <c r="EK73">
        <v>500</v>
      </c>
      <c r="EM73">
        <v>1700</v>
      </c>
      <c r="EQ73">
        <v>2</v>
      </c>
      <c r="EW73">
        <v>1051</v>
      </c>
      <c r="FC73">
        <v>2</v>
      </c>
      <c r="FG73">
        <v>1850</v>
      </c>
      <c r="FI73">
        <v>1</v>
      </c>
      <c r="FO73">
        <v>2</v>
      </c>
      <c r="FQ73">
        <v>300</v>
      </c>
      <c r="FU73">
        <v>1</v>
      </c>
      <c r="GA73">
        <v>4150</v>
      </c>
      <c r="GG73">
        <v>2</v>
      </c>
      <c r="GL73">
        <f t="shared" si="2"/>
        <v>10561</v>
      </c>
    </row>
    <row r="74" spans="1:194" x14ac:dyDescent="0.25">
      <c r="A74" s="4">
        <f>DATE(2023,3,24)</f>
        <v>45009</v>
      </c>
      <c r="B74">
        <v>104132</v>
      </c>
      <c r="EC74">
        <v>1000</v>
      </c>
      <c r="EK74">
        <v>500</v>
      </c>
      <c r="EM74">
        <v>1650</v>
      </c>
      <c r="EQ74">
        <v>2</v>
      </c>
      <c r="EW74">
        <v>1051</v>
      </c>
      <c r="FC74">
        <v>2</v>
      </c>
      <c r="FG74">
        <v>1150</v>
      </c>
      <c r="FI74">
        <v>1</v>
      </c>
      <c r="FO74">
        <v>2</v>
      </c>
      <c r="FQ74">
        <v>300</v>
      </c>
      <c r="FU74">
        <v>1</v>
      </c>
      <c r="GA74">
        <v>4150</v>
      </c>
      <c r="GG74">
        <v>2</v>
      </c>
      <c r="GL74">
        <f t="shared" si="2"/>
        <v>9811</v>
      </c>
    </row>
    <row r="75" spans="1:194" x14ac:dyDescent="0.25">
      <c r="A75" s="4">
        <f>DATE(2023,3,23)</f>
        <v>45008</v>
      </c>
      <c r="B75">
        <v>103248</v>
      </c>
      <c r="EC75">
        <v>1000</v>
      </c>
      <c r="EK75">
        <v>500</v>
      </c>
      <c r="EM75">
        <v>1650</v>
      </c>
      <c r="EQ75">
        <v>2</v>
      </c>
      <c r="EW75">
        <v>1051</v>
      </c>
      <c r="FC75">
        <v>2</v>
      </c>
      <c r="FG75">
        <v>1150</v>
      </c>
      <c r="FI75">
        <v>1</v>
      </c>
      <c r="FO75">
        <v>2</v>
      </c>
      <c r="FQ75">
        <v>150</v>
      </c>
      <c r="FU75">
        <v>1</v>
      </c>
      <c r="GA75">
        <v>1950</v>
      </c>
      <c r="GG75">
        <v>2</v>
      </c>
    </row>
    <row r="76" spans="1:194" x14ac:dyDescent="0.25">
      <c r="A76" s="4"/>
    </row>
    <row r="77" spans="1:194" x14ac:dyDescent="0.25">
      <c r="A77" s="4"/>
    </row>
    <row r="78" spans="1:194" x14ac:dyDescent="0.25">
      <c r="A78" s="4"/>
    </row>
    <row r="79" spans="1:194" x14ac:dyDescent="0.25">
      <c r="A79" s="4"/>
    </row>
    <row r="80" spans="1:194" x14ac:dyDescent="0.25">
      <c r="A80" s="4"/>
    </row>
    <row r="81" spans="1:194" x14ac:dyDescent="0.25">
      <c r="A81" s="4"/>
    </row>
    <row r="82" spans="1:194" x14ac:dyDescent="0.25">
      <c r="GL82">
        <f>SUMPRODUCT(C82:GK82)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705B5-7329-4428-9E63-B952B6E9A757}">
  <dimension ref="A1:GN74"/>
  <sheetViews>
    <sheetView topLeftCell="FY1" workbookViewId="0">
      <selection activeCell="GM4" sqref="A4:GM1048576"/>
    </sheetView>
  </sheetViews>
  <sheetFormatPr defaultRowHeight="15" x14ac:dyDescent="0.25"/>
  <cols>
    <col min="1" max="1" width="16.85546875" bestFit="1" customWidth="1"/>
    <col min="2" max="9" width="8.85546875" customWidth="1"/>
    <col min="10" max="10" width="18.28515625" customWidth="1"/>
    <col min="11" max="195" width="8.85546875" customWidth="1"/>
  </cols>
  <sheetData>
    <row r="1" spans="1:196" x14ac:dyDescent="0.25">
      <c r="A1" t="str">
        <f>_xll.ICESeries(B1:GM1,B2:GM2,,DATE(2023,3,23),DATE(2023,6,22),,"DayOfWeek=12345")</f>
        <v>Time Series</v>
      </c>
      <c r="B1" t="s">
        <v>461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  <c r="T1" t="s">
        <v>2622</v>
      </c>
      <c r="U1" t="s">
        <v>2623</v>
      </c>
      <c r="V1" t="s">
        <v>2624</v>
      </c>
      <c r="W1" t="s">
        <v>2625</v>
      </c>
      <c r="X1" t="s">
        <v>2626</v>
      </c>
      <c r="Y1" t="s">
        <v>2627</v>
      </c>
      <c r="Z1" t="s">
        <v>2628</v>
      </c>
      <c r="AA1" t="s">
        <v>2629</v>
      </c>
      <c r="AB1" t="s">
        <v>2630</v>
      </c>
      <c r="AC1" t="s">
        <v>2631</v>
      </c>
      <c r="AD1" t="s">
        <v>2632</v>
      </c>
      <c r="AE1" t="s">
        <v>2633</v>
      </c>
      <c r="AF1" t="s">
        <v>2634</v>
      </c>
      <c r="AG1" t="s">
        <v>2635</v>
      </c>
      <c r="AH1" t="s">
        <v>2636</v>
      </c>
      <c r="AI1" t="s">
        <v>2637</v>
      </c>
      <c r="AJ1" t="s">
        <v>2638</v>
      </c>
      <c r="AK1" t="s">
        <v>2639</v>
      </c>
      <c r="AL1" t="s">
        <v>2640</v>
      </c>
      <c r="AM1" t="s">
        <v>2641</v>
      </c>
      <c r="AN1" t="s">
        <v>2642</v>
      </c>
      <c r="AO1" t="s">
        <v>2643</v>
      </c>
      <c r="AP1" t="s">
        <v>2644</v>
      </c>
      <c r="AQ1" t="s">
        <v>2645</v>
      </c>
      <c r="AR1" t="s">
        <v>2646</v>
      </c>
      <c r="AS1" t="s">
        <v>2647</v>
      </c>
      <c r="AT1" t="s">
        <v>2648</v>
      </c>
      <c r="AU1" t="s">
        <v>2649</v>
      </c>
      <c r="AV1" t="s">
        <v>2650</v>
      </c>
      <c r="AW1" t="s">
        <v>2651</v>
      </c>
      <c r="AX1" t="s">
        <v>2652</v>
      </c>
      <c r="AY1" t="s">
        <v>2653</v>
      </c>
      <c r="AZ1" t="s">
        <v>2654</v>
      </c>
      <c r="BA1" t="s">
        <v>2655</v>
      </c>
      <c r="BB1" t="s">
        <v>2656</v>
      </c>
      <c r="BC1" t="s">
        <v>2657</v>
      </c>
      <c r="BD1" t="s">
        <v>2658</v>
      </c>
      <c r="BE1" t="s">
        <v>2659</v>
      </c>
      <c r="BF1" t="s">
        <v>2660</v>
      </c>
      <c r="BG1" t="s">
        <v>2661</v>
      </c>
      <c r="BH1" t="s">
        <v>2662</v>
      </c>
      <c r="BI1" t="s">
        <v>2663</v>
      </c>
      <c r="BJ1" t="s">
        <v>2664</v>
      </c>
      <c r="BK1" t="s">
        <v>2665</v>
      </c>
      <c r="BL1" t="s">
        <v>2666</v>
      </c>
      <c r="BM1" t="s">
        <v>2667</v>
      </c>
      <c r="BN1" t="s">
        <v>2668</v>
      </c>
      <c r="BO1" t="s">
        <v>2669</v>
      </c>
      <c r="BP1" t="s">
        <v>2670</v>
      </c>
      <c r="BQ1" t="s">
        <v>2671</v>
      </c>
      <c r="BR1" t="s">
        <v>2672</v>
      </c>
      <c r="BS1" t="s">
        <v>2673</v>
      </c>
      <c r="BT1" t="s">
        <v>2674</v>
      </c>
      <c r="BU1" t="s">
        <v>2675</v>
      </c>
      <c r="BV1" t="s">
        <v>2676</v>
      </c>
      <c r="BW1" t="s">
        <v>2677</v>
      </c>
      <c r="BX1" t="s">
        <v>2678</v>
      </c>
      <c r="BY1" t="s">
        <v>2679</v>
      </c>
      <c r="BZ1" t="s">
        <v>2680</v>
      </c>
      <c r="CA1" t="s">
        <v>2681</v>
      </c>
      <c r="CB1" t="s">
        <v>2682</v>
      </c>
      <c r="CC1" t="s">
        <v>2683</v>
      </c>
      <c r="CD1" t="s">
        <v>2684</v>
      </c>
      <c r="CE1" t="s">
        <v>2685</v>
      </c>
      <c r="CF1" t="s">
        <v>2686</v>
      </c>
      <c r="CG1" t="s">
        <v>2687</v>
      </c>
      <c r="CH1" t="s">
        <v>2688</v>
      </c>
      <c r="CI1" t="s">
        <v>2689</v>
      </c>
      <c r="CJ1" t="s">
        <v>2690</v>
      </c>
      <c r="CK1" t="s">
        <v>2691</v>
      </c>
      <c r="CL1" t="s">
        <v>2692</v>
      </c>
      <c r="CM1" t="s">
        <v>2693</v>
      </c>
      <c r="CN1" t="s">
        <v>2694</v>
      </c>
      <c r="CO1" t="s">
        <v>2695</v>
      </c>
      <c r="CP1" t="s">
        <v>2696</v>
      </c>
      <c r="CQ1" t="s">
        <v>2697</v>
      </c>
      <c r="CR1" t="s">
        <v>2698</v>
      </c>
      <c r="CS1" t="s">
        <v>2699</v>
      </c>
      <c r="CT1" t="s">
        <v>2700</v>
      </c>
      <c r="CU1" t="s">
        <v>2701</v>
      </c>
      <c r="CV1" t="s">
        <v>2702</v>
      </c>
      <c r="CW1" t="s">
        <v>2703</v>
      </c>
      <c r="CX1" t="s">
        <v>2704</v>
      </c>
      <c r="CY1" t="s">
        <v>2705</v>
      </c>
      <c r="CZ1" t="s">
        <v>2706</v>
      </c>
      <c r="DA1" t="s">
        <v>2707</v>
      </c>
      <c r="DB1" t="s">
        <v>2708</v>
      </c>
      <c r="DC1" t="s">
        <v>2709</v>
      </c>
      <c r="DD1" t="s">
        <v>2710</v>
      </c>
      <c r="DE1" t="s">
        <v>2711</v>
      </c>
      <c r="DF1" t="s">
        <v>2712</v>
      </c>
      <c r="DG1" t="s">
        <v>2713</v>
      </c>
      <c r="DH1" t="s">
        <v>2714</v>
      </c>
      <c r="DI1" t="s">
        <v>2715</v>
      </c>
      <c r="DJ1" t="s">
        <v>2716</v>
      </c>
      <c r="DK1" t="s">
        <v>2717</v>
      </c>
      <c r="DL1" t="s">
        <v>2718</v>
      </c>
      <c r="DM1" t="s">
        <v>2719</v>
      </c>
      <c r="DN1" t="s">
        <v>2720</v>
      </c>
      <c r="DO1" t="s">
        <v>2721</v>
      </c>
      <c r="DP1" t="s">
        <v>2722</v>
      </c>
      <c r="DQ1" t="s">
        <v>2723</v>
      </c>
      <c r="DR1" t="s">
        <v>2724</v>
      </c>
      <c r="DS1" t="s">
        <v>2725</v>
      </c>
      <c r="DT1" t="s">
        <v>2726</v>
      </c>
      <c r="DU1" t="s">
        <v>2727</v>
      </c>
      <c r="DV1" t="s">
        <v>2728</v>
      </c>
      <c r="DW1" t="s">
        <v>2729</v>
      </c>
      <c r="DX1" t="s">
        <v>2730</v>
      </c>
      <c r="DY1" t="s">
        <v>2731</v>
      </c>
      <c r="DZ1" t="s">
        <v>2732</v>
      </c>
      <c r="EA1" t="s">
        <v>2733</v>
      </c>
      <c r="EB1" t="s">
        <v>2734</v>
      </c>
      <c r="EC1" t="s">
        <v>2735</v>
      </c>
      <c r="ED1" t="s">
        <v>2736</v>
      </c>
      <c r="EE1" t="s">
        <v>2737</v>
      </c>
      <c r="EF1" t="s">
        <v>2738</v>
      </c>
      <c r="EG1" t="s">
        <v>2739</v>
      </c>
      <c r="EH1" t="s">
        <v>2740</v>
      </c>
      <c r="EI1" t="s">
        <v>2741</v>
      </c>
      <c r="EJ1" t="s">
        <v>2742</v>
      </c>
      <c r="EK1" t="s">
        <v>2743</v>
      </c>
      <c r="EL1" t="s">
        <v>2744</v>
      </c>
      <c r="EM1" t="s">
        <v>2745</v>
      </c>
      <c r="EN1" t="s">
        <v>2746</v>
      </c>
      <c r="EO1" t="s">
        <v>2747</v>
      </c>
      <c r="EP1" t="s">
        <v>2748</v>
      </c>
      <c r="EQ1" t="s">
        <v>2749</v>
      </c>
      <c r="ER1" t="s">
        <v>2750</v>
      </c>
      <c r="ES1" t="s">
        <v>2751</v>
      </c>
      <c r="ET1" t="s">
        <v>2752</v>
      </c>
      <c r="EU1" t="s">
        <v>2753</v>
      </c>
      <c r="EV1" t="s">
        <v>2754</v>
      </c>
      <c r="EW1" t="s">
        <v>2755</v>
      </c>
      <c r="EX1" t="s">
        <v>2756</v>
      </c>
      <c r="EY1" t="s">
        <v>2757</v>
      </c>
      <c r="EZ1" t="s">
        <v>2758</v>
      </c>
      <c r="FA1" t="s">
        <v>2759</v>
      </c>
      <c r="FB1" t="s">
        <v>2760</v>
      </c>
      <c r="FC1" t="s">
        <v>2761</v>
      </c>
      <c r="FD1" t="s">
        <v>2762</v>
      </c>
      <c r="FE1" t="s">
        <v>2763</v>
      </c>
      <c r="FF1" t="s">
        <v>2764</v>
      </c>
      <c r="FG1" t="s">
        <v>2765</v>
      </c>
      <c r="FH1" t="s">
        <v>2766</v>
      </c>
      <c r="FI1" t="s">
        <v>2767</v>
      </c>
      <c r="FJ1" t="s">
        <v>2768</v>
      </c>
      <c r="FK1" t="s">
        <v>2769</v>
      </c>
      <c r="FL1" t="s">
        <v>2770</v>
      </c>
      <c r="FM1" t="s">
        <v>2771</v>
      </c>
      <c r="FN1" t="s">
        <v>2772</v>
      </c>
      <c r="FO1" t="s">
        <v>2773</v>
      </c>
      <c r="FP1" t="s">
        <v>2774</v>
      </c>
      <c r="FQ1" t="s">
        <v>2775</v>
      </c>
      <c r="FR1" t="s">
        <v>2776</v>
      </c>
      <c r="FS1" t="s">
        <v>2777</v>
      </c>
      <c r="FT1" t="s">
        <v>2778</v>
      </c>
      <c r="FU1" t="s">
        <v>2779</v>
      </c>
      <c r="FV1" t="s">
        <v>2780</v>
      </c>
      <c r="FW1" t="s">
        <v>2781</v>
      </c>
      <c r="FX1" t="s">
        <v>2782</v>
      </c>
      <c r="FY1" t="s">
        <v>2783</v>
      </c>
      <c r="FZ1" t="s">
        <v>2784</v>
      </c>
      <c r="GA1" t="s">
        <v>2785</v>
      </c>
      <c r="GB1" t="s">
        <v>2786</v>
      </c>
      <c r="GC1" t="s">
        <v>2787</v>
      </c>
      <c r="GD1" t="s">
        <v>2788</v>
      </c>
      <c r="GE1" t="s">
        <v>2789</v>
      </c>
      <c r="GF1" t="s">
        <v>2790</v>
      </c>
      <c r="GG1" t="s">
        <v>2791</v>
      </c>
      <c r="GH1" t="s">
        <v>2792</v>
      </c>
      <c r="GI1" t="s">
        <v>2793</v>
      </c>
      <c r="GJ1" t="s">
        <v>2794</v>
      </c>
      <c r="GK1" t="s">
        <v>2795</v>
      </c>
      <c r="GL1" t="s">
        <v>2796</v>
      </c>
      <c r="GM1" t="s">
        <v>2797</v>
      </c>
    </row>
    <row r="2" spans="1:196" x14ac:dyDescent="0.25">
      <c r="B2" t="s">
        <v>450</v>
      </c>
      <c r="C2" t="s">
        <v>450</v>
      </c>
      <c r="D2" t="s">
        <v>450</v>
      </c>
      <c r="E2" t="s">
        <v>450</v>
      </c>
      <c r="F2" t="s">
        <v>450</v>
      </c>
      <c r="G2" t="s">
        <v>450</v>
      </c>
      <c r="H2" t="s">
        <v>450</v>
      </c>
      <c r="I2" t="s">
        <v>450</v>
      </c>
      <c r="J2" t="s">
        <v>450</v>
      </c>
      <c r="K2" t="s">
        <v>450</v>
      </c>
      <c r="L2" t="s">
        <v>450</v>
      </c>
      <c r="M2" t="s">
        <v>450</v>
      </c>
      <c r="N2" t="s">
        <v>450</v>
      </c>
      <c r="O2" t="s">
        <v>450</v>
      </c>
      <c r="P2" t="s">
        <v>450</v>
      </c>
      <c r="Q2" t="s">
        <v>450</v>
      </c>
      <c r="R2" t="s">
        <v>450</v>
      </c>
      <c r="S2" t="s">
        <v>450</v>
      </c>
      <c r="T2" t="s">
        <v>450</v>
      </c>
      <c r="U2" t="s">
        <v>450</v>
      </c>
      <c r="V2" t="s">
        <v>450</v>
      </c>
      <c r="W2" t="s">
        <v>450</v>
      </c>
      <c r="X2" t="s">
        <v>450</v>
      </c>
      <c r="Y2" t="s">
        <v>450</v>
      </c>
      <c r="Z2" t="s">
        <v>450</v>
      </c>
      <c r="AA2" t="s">
        <v>450</v>
      </c>
      <c r="AB2" t="s">
        <v>450</v>
      </c>
      <c r="AC2" t="s">
        <v>450</v>
      </c>
      <c r="AD2" t="s">
        <v>450</v>
      </c>
      <c r="AE2" t="s">
        <v>450</v>
      </c>
      <c r="AF2" t="s">
        <v>450</v>
      </c>
      <c r="AG2" t="s">
        <v>450</v>
      </c>
      <c r="AH2" t="s">
        <v>450</v>
      </c>
      <c r="AI2" t="s">
        <v>450</v>
      </c>
      <c r="AJ2" t="s">
        <v>450</v>
      </c>
      <c r="AK2" t="s">
        <v>450</v>
      </c>
      <c r="AL2" t="s">
        <v>450</v>
      </c>
      <c r="AM2" t="s">
        <v>450</v>
      </c>
      <c r="AN2" t="s">
        <v>450</v>
      </c>
      <c r="AO2" t="s">
        <v>450</v>
      </c>
      <c r="AP2" t="s">
        <v>450</v>
      </c>
      <c r="AQ2" t="s">
        <v>450</v>
      </c>
      <c r="AR2" t="s">
        <v>450</v>
      </c>
      <c r="AS2" t="s">
        <v>450</v>
      </c>
      <c r="AT2" t="s">
        <v>450</v>
      </c>
      <c r="AU2" t="s">
        <v>450</v>
      </c>
      <c r="AV2" t="s">
        <v>450</v>
      </c>
      <c r="AW2" t="s">
        <v>450</v>
      </c>
      <c r="AX2" t="s">
        <v>450</v>
      </c>
      <c r="AY2" t="s">
        <v>450</v>
      </c>
      <c r="AZ2" t="s">
        <v>450</v>
      </c>
      <c r="BA2" t="s">
        <v>450</v>
      </c>
      <c r="BB2" t="s">
        <v>450</v>
      </c>
      <c r="BC2" t="s">
        <v>450</v>
      </c>
      <c r="BD2" t="s">
        <v>450</v>
      </c>
      <c r="BE2" t="s">
        <v>450</v>
      </c>
      <c r="BF2" t="s">
        <v>450</v>
      </c>
      <c r="BG2" t="s">
        <v>450</v>
      </c>
      <c r="BH2" t="s">
        <v>450</v>
      </c>
      <c r="BI2" t="s">
        <v>450</v>
      </c>
      <c r="BJ2" t="s">
        <v>450</v>
      </c>
      <c r="BK2" t="s">
        <v>450</v>
      </c>
      <c r="BL2" t="s">
        <v>450</v>
      </c>
      <c r="BM2" t="s">
        <v>450</v>
      </c>
      <c r="BN2" t="s">
        <v>450</v>
      </c>
      <c r="BO2" t="s">
        <v>450</v>
      </c>
      <c r="BP2" t="s">
        <v>450</v>
      </c>
      <c r="BQ2" t="s">
        <v>450</v>
      </c>
      <c r="BR2" t="s">
        <v>450</v>
      </c>
      <c r="BS2" t="s">
        <v>450</v>
      </c>
      <c r="BT2" t="s">
        <v>450</v>
      </c>
      <c r="BU2" t="s">
        <v>450</v>
      </c>
      <c r="BV2" t="s">
        <v>450</v>
      </c>
      <c r="BW2" t="s">
        <v>450</v>
      </c>
      <c r="BX2" t="s">
        <v>450</v>
      </c>
      <c r="BY2" t="s">
        <v>450</v>
      </c>
      <c r="BZ2" t="s">
        <v>450</v>
      </c>
      <c r="CA2" t="s">
        <v>450</v>
      </c>
      <c r="CB2" t="s">
        <v>450</v>
      </c>
      <c r="CC2" t="s">
        <v>450</v>
      </c>
      <c r="CD2" t="s">
        <v>450</v>
      </c>
      <c r="CE2" t="s">
        <v>450</v>
      </c>
      <c r="CF2" t="s">
        <v>450</v>
      </c>
      <c r="CG2" t="s">
        <v>450</v>
      </c>
      <c r="CH2" t="s">
        <v>450</v>
      </c>
      <c r="CI2" t="s">
        <v>450</v>
      </c>
      <c r="CJ2" t="s">
        <v>450</v>
      </c>
      <c r="CK2" t="s">
        <v>450</v>
      </c>
      <c r="CL2" t="s">
        <v>450</v>
      </c>
      <c r="CM2" t="s">
        <v>450</v>
      </c>
      <c r="CN2" t="s">
        <v>450</v>
      </c>
      <c r="CO2" t="s">
        <v>450</v>
      </c>
      <c r="CP2" t="s">
        <v>450</v>
      </c>
      <c r="CQ2" t="s">
        <v>450</v>
      </c>
      <c r="CR2" t="s">
        <v>450</v>
      </c>
      <c r="CS2" t="s">
        <v>450</v>
      </c>
      <c r="CT2" t="s">
        <v>450</v>
      </c>
      <c r="CU2" t="s">
        <v>450</v>
      </c>
      <c r="CV2" t="s">
        <v>450</v>
      </c>
      <c r="CW2" t="s">
        <v>450</v>
      </c>
      <c r="CX2" t="s">
        <v>450</v>
      </c>
      <c r="CY2" t="s">
        <v>450</v>
      </c>
      <c r="CZ2" t="s">
        <v>450</v>
      </c>
      <c r="DA2" t="s">
        <v>450</v>
      </c>
      <c r="DB2" t="s">
        <v>450</v>
      </c>
      <c r="DC2" t="s">
        <v>450</v>
      </c>
      <c r="DD2" t="s">
        <v>450</v>
      </c>
      <c r="DE2" t="s">
        <v>450</v>
      </c>
      <c r="DF2" t="s">
        <v>450</v>
      </c>
      <c r="DG2" t="s">
        <v>450</v>
      </c>
      <c r="DH2" t="s">
        <v>450</v>
      </c>
      <c r="DI2" t="s">
        <v>450</v>
      </c>
      <c r="DJ2" t="s">
        <v>450</v>
      </c>
      <c r="DK2" t="s">
        <v>450</v>
      </c>
      <c r="DL2" t="s">
        <v>450</v>
      </c>
      <c r="DM2" t="s">
        <v>450</v>
      </c>
      <c r="DN2" t="s">
        <v>450</v>
      </c>
      <c r="DO2" t="s">
        <v>450</v>
      </c>
      <c r="DP2" t="s">
        <v>450</v>
      </c>
      <c r="DQ2" t="s">
        <v>450</v>
      </c>
      <c r="DR2" t="s">
        <v>450</v>
      </c>
      <c r="DS2" t="s">
        <v>450</v>
      </c>
      <c r="DT2" t="s">
        <v>450</v>
      </c>
      <c r="DU2" t="s">
        <v>450</v>
      </c>
      <c r="DV2" t="s">
        <v>450</v>
      </c>
      <c r="DW2" t="s">
        <v>450</v>
      </c>
      <c r="DX2" t="s">
        <v>450</v>
      </c>
      <c r="DY2" t="s">
        <v>450</v>
      </c>
      <c r="DZ2" t="s">
        <v>450</v>
      </c>
      <c r="EA2" t="s">
        <v>450</v>
      </c>
      <c r="EB2" t="s">
        <v>450</v>
      </c>
      <c r="EC2" t="s">
        <v>450</v>
      </c>
      <c r="ED2" t="s">
        <v>450</v>
      </c>
      <c r="EE2" t="s">
        <v>450</v>
      </c>
      <c r="EF2" t="s">
        <v>450</v>
      </c>
      <c r="EG2" t="s">
        <v>450</v>
      </c>
      <c r="EH2" t="s">
        <v>450</v>
      </c>
      <c r="EI2" t="s">
        <v>450</v>
      </c>
      <c r="EJ2" t="s">
        <v>450</v>
      </c>
      <c r="EK2" t="s">
        <v>450</v>
      </c>
      <c r="EL2" t="s">
        <v>450</v>
      </c>
      <c r="EM2" t="s">
        <v>450</v>
      </c>
      <c r="EN2" t="s">
        <v>450</v>
      </c>
      <c r="EO2" t="s">
        <v>450</v>
      </c>
      <c r="EP2" t="s">
        <v>450</v>
      </c>
      <c r="EQ2" t="s">
        <v>450</v>
      </c>
      <c r="ER2" t="s">
        <v>450</v>
      </c>
      <c r="ES2" t="s">
        <v>450</v>
      </c>
      <c r="ET2" t="s">
        <v>450</v>
      </c>
      <c r="EU2" t="s">
        <v>450</v>
      </c>
      <c r="EV2" t="s">
        <v>450</v>
      </c>
      <c r="EW2" t="s">
        <v>450</v>
      </c>
      <c r="EX2" t="s">
        <v>450</v>
      </c>
      <c r="EY2" t="s">
        <v>450</v>
      </c>
      <c r="EZ2" t="s">
        <v>450</v>
      </c>
      <c r="FA2" t="s">
        <v>450</v>
      </c>
      <c r="FB2" t="s">
        <v>450</v>
      </c>
      <c r="FC2" t="s">
        <v>450</v>
      </c>
      <c r="FD2" t="s">
        <v>450</v>
      </c>
      <c r="FE2" t="s">
        <v>450</v>
      </c>
      <c r="FF2" t="s">
        <v>450</v>
      </c>
      <c r="FG2" t="s">
        <v>450</v>
      </c>
      <c r="FH2" t="s">
        <v>450</v>
      </c>
      <c r="FI2" t="s">
        <v>450</v>
      </c>
      <c r="FJ2" t="s">
        <v>450</v>
      </c>
      <c r="FK2" t="s">
        <v>450</v>
      </c>
      <c r="FL2" t="s">
        <v>450</v>
      </c>
      <c r="FM2" t="s">
        <v>450</v>
      </c>
      <c r="FN2" t="s">
        <v>450</v>
      </c>
      <c r="FO2" t="s">
        <v>450</v>
      </c>
      <c r="FP2" t="s">
        <v>450</v>
      </c>
      <c r="FQ2" t="s">
        <v>450</v>
      </c>
      <c r="FR2" t="s">
        <v>450</v>
      </c>
      <c r="FS2" t="s">
        <v>450</v>
      </c>
      <c r="FT2" t="s">
        <v>450</v>
      </c>
      <c r="FU2" t="s">
        <v>450</v>
      </c>
      <c r="FV2" t="s">
        <v>450</v>
      </c>
      <c r="FW2" t="s">
        <v>450</v>
      </c>
      <c r="FX2" t="s">
        <v>450</v>
      </c>
      <c r="FY2" t="s">
        <v>450</v>
      </c>
      <c r="FZ2" t="s">
        <v>450</v>
      </c>
      <c r="GA2" t="s">
        <v>450</v>
      </c>
      <c r="GB2" t="s">
        <v>450</v>
      </c>
      <c r="GC2" t="s">
        <v>450</v>
      </c>
      <c r="GD2" t="s">
        <v>450</v>
      </c>
      <c r="GE2" t="s">
        <v>450</v>
      </c>
      <c r="GF2" t="s">
        <v>450</v>
      </c>
      <c r="GG2" t="s">
        <v>450</v>
      </c>
      <c r="GH2" t="s">
        <v>450</v>
      </c>
      <c r="GI2" t="s">
        <v>450</v>
      </c>
      <c r="GJ2" t="s">
        <v>450</v>
      </c>
      <c r="GK2" t="s">
        <v>450</v>
      </c>
      <c r="GL2" t="s">
        <v>450</v>
      </c>
      <c r="GM2" t="s">
        <v>450</v>
      </c>
    </row>
    <row r="3" spans="1:196" x14ac:dyDescent="0.25">
      <c r="B3" t="s">
        <v>468</v>
      </c>
      <c r="C3" t="s">
        <v>2220</v>
      </c>
      <c r="D3" t="s">
        <v>2220</v>
      </c>
      <c r="E3" t="s">
        <v>2220</v>
      </c>
      <c r="F3" t="s">
        <v>2220</v>
      </c>
      <c r="G3" t="s">
        <v>2220</v>
      </c>
      <c r="H3" t="s">
        <v>2220</v>
      </c>
      <c r="I3" t="s">
        <v>2220</v>
      </c>
      <c r="J3" t="s">
        <v>2220</v>
      </c>
      <c r="K3" t="s">
        <v>2220</v>
      </c>
      <c r="L3" t="s">
        <v>2220</v>
      </c>
      <c r="M3" t="s">
        <v>2220</v>
      </c>
      <c r="N3" t="s">
        <v>2220</v>
      </c>
      <c r="O3" t="s">
        <v>2220</v>
      </c>
      <c r="P3" t="s">
        <v>2220</v>
      </c>
      <c r="Q3" t="s">
        <v>2220</v>
      </c>
      <c r="R3" t="s">
        <v>2220</v>
      </c>
      <c r="S3" t="s">
        <v>2220</v>
      </c>
      <c r="T3" t="s">
        <v>2220</v>
      </c>
      <c r="U3" t="s">
        <v>2220</v>
      </c>
      <c r="V3" t="s">
        <v>2220</v>
      </c>
      <c r="W3" t="s">
        <v>2220</v>
      </c>
      <c r="X3" t="s">
        <v>2220</v>
      </c>
      <c r="Y3" t="s">
        <v>2220</v>
      </c>
      <c r="Z3" t="s">
        <v>2220</v>
      </c>
      <c r="AA3" t="s">
        <v>2220</v>
      </c>
      <c r="AB3" t="s">
        <v>2220</v>
      </c>
      <c r="AC3" t="s">
        <v>2220</v>
      </c>
      <c r="AD3" t="s">
        <v>2220</v>
      </c>
      <c r="AE3" t="s">
        <v>2220</v>
      </c>
      <c r="AF3" t="s">
        <v>2220</v>
      </c>
      <c r="AG3" t="s">
        <v>2220</v>
      </c>
      <c r="AH3" t="s">
        <v>2220</v>
      </c>
      <c r="AI3" t="s">
        <v>2220</v>
      </c>
      <c r="AJ3" t="s">
        <v>2220</v>
      </c>
      <c r="AK3" t="s">
        <v>2220</v>
      </c>
      <c r="AL3" t="s">
        <v>2220</v>
      </c>
      <c r="AM3" t="s">
        <v>2220</v>
      </c>
      <c r="AN3" t="s">
        <v>2220</v>
      </c>
      <c r="AO3" t="s">
        <v>2220</v>
      </c>
      <c r="AP3" t="s">
        <v>2220</v>
      </c>
      <c r="AQ3" t="s">
        <v>2220</v>
      </c>
      <c r="AR3" t="s">
        <v>2220</v>
      </c>
      <c r="AS3" t="s">
        <v>2220</v>
      </c>
      <c r="AT3" t="s">
        <v>2220</v>
      </c>
      <c r="AU3" t="s">
        <v>2220</v>
      </c>
      <c r="AV3" t="s">
        <v>2220</v>
      </c>
      <c r="AW3" t="s">
        <v>2220</v>
      </c>
      <c r="AX3" t="s">
        <v>2220</v>
      </c>
      <c r="AY3" t="s">
        <v>2220</v>
      </c>
      <c r="AZ3" t="s">
        <v>2220</v>
      </c>
      <c r="BA3" t="s">
        <v>2220</v>
      </c>
      <c r="BB3" t="s">
        <v>2220</v>
      </c>
      <c r="BC3" t="s">
        <v>2220</v>
      </c>
      <c r="BD3" t="s">
        <v>2220</v>
      </c>
      <c r="BE3" t="s">
        <v>2220</v>
      </c>
      <c r="BF3" t="s">
        <v>2220</v>
      </c>
      <c r="BG3" t="s">
        <v>2220</v>
      </c>
      <c r="BH3" t="s">
        <v>2220</v>
      </c>
      <c r="BI3" t="s">
        <v>2220</v>
      </c>
      <c r="BJ3" t="s">
        <v>2220</v>
      </c>
      <c r="BK3" t="s">
        <v>2220</v>
      </c>
      <c r="BL3" t="s">
        <v>2220</v>
      </c>
      <c r="BM3" t="s">
        <v>2220</v>
      </c>
      <c r="BN3" t="s">
        <v>2220</v>
      </c>
      <c r="BO3" t="s">
        <v>2220</v>
      </c>
      <c r="BP3" t="s">
        <v>2220</v>
      </c>
      <c r="BQ3" t="s">
        <v>2220</v>
      </c>
      <c r="BR3" t="s">
        <v>2220</v>
      </c>
      <c r="BS3" t="s">
        <v>2220</v>
      </c>
      <c r="BT3" t="s">
        <v>2220</v>
      </c>
      <c r="BU3" t="s">
        <v>2220</v>
      </c>
      <c r="BV3" t="s">
        <v>2220</v>
      </c>
      <c r="BW3" t="s">
        <v>2220</v>
      </c>
      <c r="BX3" t="s">
        <v>2220</v>
      </c>
      <c r="BY3" t="s">
        <v>2220</v>
      </c>
      <c r="BZ3" t="s">
        <v>2220</v>
      </c>
      <c r="CA3" t="s">
        <v>2220</v>
      </c>
      <c r="CB3" t="s">
        <v>2220</v>
      </c>
      <c r="CC3" t="s">
        <v>2220</v>
      </c>
      <c r="CD3" t="s">
        <v>2220</v>
      </c>
      <c r="CE3" t="s">
        <v>2220</v>
      </c>
      <c r="CF3" t="s">
        <v>2220</v>
      </c>
      <c r="CG3" t="s">
        <v>2220</v>
      </c>
      <c r="CH3" t="s">
        <v>2220</v>
      </c>
      <c r="CI3" t="s">
        <v>2220</v>
      </c>
      <c r="CJ3" t="s">
        <v>2220</v>
      </c>
      <c r="CK3" t="s">
        <v>2220</v>
      </c>
      <c r="CL3" t="s">
        <v>2220</v>
      </c>
      <c r="CM3" t="s">
        <v>2220</v>
      </c>
      <c r="CN3" t="s">
        <v>2220</v>
      </c>
      <c r="CO3" t="s">
        <v>2220</v>
      </c>
      <c r="CP3" t="s">
        <v>2220</v>
      </c>
      <c r="CQ3" t="s">
        <v>2220</v>
      </c>
      <c r="CR3" t="s">
        <v>2220</v>
      </c>
      <c r="CS3" t="s">
        <v>2220</v>
      </c>
      <c r="CT3" t="s">
        <v>2220</v>
      </c>
      <c r="CU3" t="s">
        <v>2220</v>
      </c>
      <c r="CV3" t="s">
        <v>2220</v>
      </c>
      <c r="CW3" t="s">
        <v>2220</v>
      </c>
      <c r="CX3" t="s">
        <v>2220</v>
      </c>
      <c r="CY3" t="s">
        <v>2220</v>
      </c>
      <c r="CZ3" t="s">
        <v>2220</v>
      </c>
      <c r="DA3" t="s">
        <v>2220</v>
      </c>
      <c r="DB3" t="s">
        <v>2220</v>
      </c>
      <c r="DC3" t="s">
        <v>2220</v>
      </c>
      <c r="DD3" t="s">
        <v>2220</v>
      </c>
      <c r="DE3" t="s">
        <v>2220</v>
      </c>
      <c r="DF3" t="s">
        <v>2220</v>
      </c>
      <c r="DG3" t="s">
        <v>2220</v>
      </c>
      <c r="DH3" t="s">
        <v>2220</v>
      </c>
      <c r="DI3" t="s">
        <v>2220</v>
      </c>
      <c r="DJ3" t="s">
        <v>2220</v>
      </c>
      <c r="DK3" t="s">
        <v>2220</v>
      </c>
      <c r="DL3" t="s">
        <v>2220</v>
      </c>
      <c r="DM3" t="s">
        <v>2220</v>
      </c>
      <c r="DN3" t="s">
        <v>2220</v>
      </c>
      <c r="DO3" t="s">
        <v>2220</v>
      </c>
      <c r="DP3" t="s">
        <v>2220</v>
      </c>
      <c r="DQ3" t="s">
        <v>2220</v>
      </c>
      <c r="DR3" t="s">
        <v>2220</v>
      </c>
      <c r="DS3" t="s">
        <v>2220</v>
      </c>
      <c r="DT3" t="s">
        <v>2220</v>
      </c>
      <c r="DU3" t="s">
        <v>2220</v>
      </c>
      <c r="DV3" t="s">
        <v>2220</v>
      </c>
      <c r="DW3" t="s">
        <v>2220</v>
      </c>
      <c r="DX3" t="s">
        <v>2220</v>
      </c>
      <c r="DY3" t="s">
        <v>2220</v>
      </c>
      <c r="DZ3" t="s">
        <v>2220</v>
      </c>
      <c r="EA3" t="s">
        <v>2220</v>
      </c>
      <c r="EB3" t="s">
        <v>2220</v>
      </c>
      <c r="EC3" t="s">
        <v>2220</v>
      </c>
      <c r="ED3" t="s">
        <v>2220</v>
      </c>
      <c r="EE3" t="s">
        <v>2220</v>
      </c>
      <c r="EF3" t="s">
        <v>2220</v>
      </c>
      <c r="EG3" t="s">
        <v>2220</v>
      </c>
      <c r="EH3" t="s">
        <v>2220</v>
      </c>
      <c r="EI3" t="s">
        <v>2220</v>
      </c>
      <c r="EJ3" t="s">
        <v>2220</v>
      </c>
      <c r="EK3" t="s">
        <v>2220</v>
      </c>
      <c r="EL3" t="s">
        <v>2220</v>
      </c>
      <c r="EM3" t="s">
        <v>2220</v>
      </c>
      <c r="EN3" t="s">
        <v>2220</v>
      </c>
      <c r="EO3" t="s">
        <v>2220</v>
      </c>
      <c r="EP3" t="s">
        <v>2220</v>
      </c>
      <c r="EQ3" t="s">
        <v>2220</v>
      </c>
      <c r="ER3" t="s">
        <v>2220</v>
      </c>
      <c r="ES3" t="s">
        <v>2220</v>
      </c>
      <c r="ET3" t="s">
        <v>2220</v>
      </c>
      <c r="EU3" t="s">
        <v>2220</v>
      </c>
      <c r="EV3" t="s">
        <v>2220</v>
      </c>
      <c r="EW3" t="s">
        <v>2220</v>
      </c>
      <c r="EX3" t="s">
        <v>2220</v>
      </c>
      <c r="EY3" t="s">
        <v>2220</v>
      </c>
      <c r="EZ3" t="s">
        <v>2220</v>
      </c>
      <c r="FA3" t="s">
        <v>2220</v>
      </c>
      <c r="FB3" t="s">
        <v>2220</v>
      </c>
      <c r="FC3" t="s">
        <v>2220</v>
      </c>
      <c r="FD3" t="s">
        <v>2220</v>
      </c>
      <c r="FE3" t="s">
        <v>2220</v>
      </c>
      <c r="FF3" t="s">
        <v>2220</v>
      </c>
      <c r="FG3" t="s">
        <v>2220</v>
      </c>
      <c r="FH3" t="s">
        <v>2220</v>
      </c>
      <c r="FI3" t="s">
        <v>2220</v>
      </c>
      <c r="FJ3" t="s">
        <v>2220</v>
      </c>
      <c r="FK3" t="s">
        <v>2220</v>
      </c>
      <c r="FL3" t="s">
        <v>2220</v>
      </c>
      <c r="FM3" t="s">
        <v>2220</v>
      </c>
      <c r="FN3" t="s">
        <v>2220</v>
      </c>
      <c r="FO3" t="s">
        <v>2220</v>
      </c>
      <c r="FP3" t="s">
        <v>2220</v>
      </c>
      <c r="FQ3" t="s">
        <v>2220</v>
      </c>
      <c r="FR3" t="s">
        <v>2220</v>
      </c>
      <c r="FS3" t="s">
        <v>2220</v>
      </c>
      <c r="FT3" t="s">
        <v>2220</v>
      </c>
      <c r="FU3" t="s">
        <v>2220</v>
      </c>
      <c r="FV3" t="s">
        <v>2220</v>
      </c>
      <c r="FW3" t="s">
        <v>2220</v>
      </c>
      <c r="FX3" t="s">
        <v>2220</v>
      </c>
      <c r="FY3" t="s">
        <v>2220</v>
      </c>
      <c r="FZ3" t="s">
        <v>2220</v>
      </c>
      <c r="GA3" t="s">
        <v>2220</v>
      </c>
      <c r="GB3" t="s">
        <v>2220</v>
      </c>
      <c r="GC3" t="s">
        <v>2220</v>
      </c>
      <c r="GD3" t="s">
        <v>2220</v>
      </c>
      <c r="GE3" t="s">
        <v>2220</v>
      </c>
      <c r="GF3" t="s">
        <v>2220</v>
      </c>
      <c r="GG3" t="s">
        <v>2220</v>
      </c>
      <c r="GH3" t="s">
        <v>2220</v>
      </c>
      <c r="GI3" t="s">
        <v>2220</v>
      </c>
      <c r="GJ3" t="s">
        <v>2220</v>
      </c>
      <c r="GK3" t="s">
        <v>2220</v>
      </c>
      <c r="GL3" t="s">
        <v>2220</v>
      </c>
      <c r="GM3" t="s">
        <v>2220</v>
      </c>
    </row>
    <row r="4" spans="1:196" x14ac:dyDescent="0.25">
      <c r="A4" s="4">
        <f>DATE(2023,6,22)</f>
        <v>45099</v>
      </c>
      <c r="B4">
        <v>135826</v>
      </c>
    </row>
    <row r="5" spans="1:196" x14ac:dyDescent="0.25">
      <c r="A5" s="4">
        <f>DATE(2023,6,21)</f>
        <v>45098</v>
      </c>
      <c r="B5">
        <v>135656</v>
      </c>
      <c r="BK5">
        <v>5008</v>
      </c>
      <c r="BU5">
        <v>1750</v>
      </c>
      <c r="CE5">
        <v>5825</v>
      </c>
      <c r="CO5">
        <v>2025</v>
      </c>
      <c r="CY5">
        <v>7077</v>
      </c>
      <c r="DC5">
        <v>270</v>
      </c>
      <c r="DG5">
        <v>2</v>
      </c>
      <c r="DI5">
        <v>3575</v>
      </c>
      <c r="DM5">
        <v>2</v>
      </c>
      <c r="DO5">
        <v>550</v>
      </c>
      <c r="DS5">
        <v>5075</v>
      </c>
      <c r="DW5">
        <v>350</v>
      </c>
      <c r="DY5">
        <v>1</v>
      </c>
      <c r="EA5">
        <v>135</v>
      </c>
      <c r="EC5">
        <v>4525</v>
      </c>
      <c r="EE5">
        <v>302</v>
      </c>
      <c r="EG5">
        <v>350</v>
      </c>
      <c r="EI5">
        <v>100</v>
      </c>
      <c r="EK5">
        <v>526</v>
      </c>
      <c r="EM5">
        <v>3420</v>
      </c>
      <c r="EQ5">
        <v>100</v>
      </c>
      <c r="EW5">
        <v>375</v>
      </c>
      <c r="FA5">
        <v>100</v>
      </c>
      <c r="FG5">
        <v>375</v>
      </c>
      <c r="GN5">
        <f t="shared" ref="GN5:GN36" si="0">SUMPRODUCT(C5:GM5)</f>
        <v>41818</v>
      </c>
    </row>
    <row r="6" spans="1:196" x14ac:dyDescent="0.25">
      <c r="A6" s="4">
        <f>DATE(2023,6,20)</f>
        <v>45097</v>
      </c>
      <c r="B6">
        <v>134849</v>
      </c>
      <c r="BK6">
        <v>5008</v>
      </c>
      <c r="BU6">
        <v>1750</v>
      </c>
      <c r="CE6">
        <v>5825</v>
      </c>
      <c r="CO6">
        <v>2025</v>
      </c>
      <c r="CY6">
        <v>7077</v>
      </c>
      <c r="DC6">
        <v>270</v>
      </c>
      <c r="DG6">
        <v>2</v>
      </c>
      <c r="DI6">
        <v>3575</v>
      </c>
      <c r="DM6">
        <v>2</v>
      </c>
      <c r="DO6">
        <v>550</v>
      </c>
      <c r="DS6">
        <v>5075</v>
      </c>
      <c r="DW6">
        <v>350</v>
      </c>
      <c r="DY6">
        <v>1</v>
      </c>
      <c r="EA6">
        <v>135</v>
      </c>
      <c r="EC6">
        <v>4525</v>
      </c>
      <c r="EE6">
        <v>302</v>
      </c>
      <c r="EG6">
        <v>350</v>
      </c>
      <c r="EI6">
        <v>100</v>
      </c>
      <c r="EK6">
        <v>526</v>
      </c>
      <c r="EM6">
        <v>3895</v>
      </c>
      <c r="EQ6">
        <v>100</v>
      </c>
      <c r="EW6">
        <v>375</v>
      </c>
      <c r="FA6">
        <v>100</v>
      </c>
      <c r="FG6">
        <v>375</v>
      </c>
      <c r="GN6">
        <f t="shared" si="0"/>
        <v>42293</v>
      </c>
    </row>
    <row r="7" spans="1:196" x14ac:dyDescent="0.25">
      <c r="A7" s="4">
        <f>DATE(2023,6,19)</f>
        <v>45096</v>
      </c>
      <c r="B7">
        <v>134540</v>
      </c>
      <c r="BK7">
        <v>5008</v>
      </c>
      <c r="BU7">
        <v>1750</v>
      </c>
      <c r="CE7">
        <v>5825</v>
      </c>
      <c r="CO7">
        <v>2025</v>
      </c>
      <c r="CY7">
        <v>7077</v>
      </c>
      <c r="DC7">
        <v>270</v>
      </c>
      <c r="DG7">
        <v>2</v>
      </c>
      <c r="DI7">
        <v>3575</v>
      </c>
      <c r="DM7">
        <v>2</v>
      </c>
      <c r="DO7">
        <v>550</v>
      </c>
      <c r="DS7">
        <v>5075</v>
      </c>
      <c r="DW7">
        <v>350</v>
      </c>
      <c r="DY7">
        <v>1</v>
      </c>
      <c r="EA7">
        <v>135</v>
      </c>
      <c r="EC7">
        <v>4525</v>
      </c>
      <c r="EE7">
        <v>302</v>
      </c>
      <c r="EG7">
        <v>350</v>
      </c>
      <c r="EI7">
        <v>100</v>
      </c>
      <c r="EK7">
        <v>201</v>
      </c>
      <c r="EM7">
        <v>4165</v>
      </c>
      <c r="EQ7">
        <v>100</v>
      </c>
      <c r="EW7">
        <v>375</v>
      </c>
      <c r="FA7">
        <v>100</v>
      </c>
      <c r="FG7">
        <v>375</v>
      </c>
      <c r="GN7">
        <f t="shared" si="0"/>
        <v>42238</v>
      </c>
    </row>
    <row r="8" spans="1:196" x14ac:dyDescent="0.25">
      <c r="A8" s="4">
        <f>DATE(2023,6,16)</f>
        <v>45093</v>
      </c>
      <c r="B8">
        <v>134592</v>
      </c>
      <c r="BK8">
        <v>5008</v>
      </c>
      <c r="BU8">
        <v>1750</v>
      </c>
      <c r="CE8">
        <v>5825</v>
      </c>
      <c r="CO8">
        <v>2025</v>
      </c>
      <c r="CY8">
        <v>7077</v>
      </c>
      <c r="DC8">
        <v>270</v>
      </c>
      <c r="DG8">
        <v>2</v>
      </c>
      <c r="DI8">
        <v>3575</v>
      </c>
      <c r="DM8">
        <v>2</v>
      </c>
      <c r="DO8">
        <v>550</v>
      </c>
      <c r="DS8">
        <v>5075</v>
      </c>
      <c r="DW8">
        <v>350</v>
      </c>
      <c r="DY8">
        <v>1</v>
      </c>
      <c r="EA8">
        <v>135</v>
      </c>
      <c r="EC8">
        <v>4725</v>
      </c>
      <c r="EE8">
        <v>302</v>
      </c>
      <c r="EG8">
        <v>350</v>
      </c>
      <c r="EI8">
        <v>100</v>
      </c>
      <c r="EK8">
        <v>201</v>
      </c>
      <c r="EM8">
        <v>4225</v>
      </c>
      <c r="EQ8">
        <v>100</v>
      </c>
      <c r="EW8">
        <v>375</v>
      </c>
      <c r="FA8">
        <v>100</v>
      </c>
      <c r="FG8">
        <v>375</v>
      </c>
      <c r="GN8">
        <f t="shared" si="0"/>
        <v>42498</v>
      </c>
    </row>
    <row r="9" spans="1:196" x14ac:dyDescent="0.25">
      <c r="A9" s="4">
        <f>DATE(2023,6,15)</f>
        <v>45092</v>
      </c>
      <c r="B9">
        <v>134272</v>
      </c>
      <c r="BK9">
        <v>5008</v>
      </c>
      <c r="BU9">
        <v>1750</v>
      </c>
      <c r="CE9">
        <v>5825</v>
      </c>
      <c r="CO9">
        <v>2025</v>
      </c>
      <c r="CY9">
        <v>7077</v>
      </c>
      <c r="DC9">
        <v>270</v>
      </c>
      <c r="DG9">
        <v>2</v>
      </c>
      <c r="DI9">
        <v>3575</v>
      </c>
      <c r="DM9">
        <v>2</v>
      </c>
      <c r="DO9">
        <v>550</v>
      </c>
      <c r="DS9">
        <v>4625</v>
      </c>
      <c r="DW9">
        <v>350</v>
      </c>
      <c r="DY9">
        <v>1</v>
      </c>
      <c r="EA9">
        <v>135</v>
      </c>
      <c r="EC9">
        <v>4300</v>
      </c>
      <c r="EE9">
        <v>302</v>
      </c>
      <c r="EG9">
        <v>350</v>
      </c>
      <c r="EI9">
        <v>100</v>
      </c>
      <c r="EK9">
        <v>1</v>
      </c>
      <c r="EM9">
        <v>4250</v>
      </c>
      <c r="EQ9">
        <v>100</v>
      </c>
      <c r="EW9">
        <v>375</v>
      </c>
      <c r="FA9">
        <v>100</v>
      </c>
      <c r="FG9">
        <v>375</v>
      </c>
      <c r="GN9">
        <f t="shared" si="0"/>
        <v>41448</v>
      </c>
    </row>
    <row r="10" spans="1:196" x14ac:dyDescent="0.25">
      <c r="A10" s="4">
        <f>DATE(2023,6,14)</f>
        <v>45091</v>
      </c>
      <c r="B10">
        <v>133747</v>
      </c>
      <c r="BK10">
        <v>5008</v>
      </c>
      <c r="BU10">
        <v>1750</v>
      </c>
      <c r="CE10">
        <v>5825</v>
      </c>
      <c r="CO10">
        <v>2025</v>
      </c>
      <c r="CY10">
        <v>7077</v>
      </c>
      <c r="DC10">
        <v>270</v>
      </c>
      <c r="DG10">
        <v>2</v>
      </c>
      <c r="DI10">
        <v>3575</v>
      </c>
      <c r="DM10">
        <v>2</v>
      </c>
      <c r="DO10">
        <v>550</v>
      </c>
      <c r="DS10">
        <v>4825</v>
      </c>
      <c r="DW10">
        <v>350</v>
      </c>
      <c r="DY10">
        <v>1</v>
      </c>
      <c r="EA10">
        <v>135</v>
      </c>
      <c r="EC10">
        <v>4350</v>
      </c>
      <c r="EE10">
        <v>302</v>
      </c>
      <c r="EG10">
        <v>350</v>
      </c>
      <c r="EI10">
        <v>100</v>
      </c>
      <c r="EK10">
        <v>1</v>
      </c>
      <c r="EM10">
        <v>4250</v>
      </c>
      <c r="EQ10">
        <v>100</v>
      </c>
      <c r="EW10">
        <v>375</v>
      </c>
      <c r="FA10">
        <v>100</v>
      </c>
      <c r="FG10">
        <v>375</v>
      </c>
      <c r="GN10">
        <f t="shared" si="0"/>
        <v>41698</v>
      </c>
    </row>
    <row r="11" spans="1:196" x14ac:dyDescent="0.25">
      <c r="A11" s="4">
        <f>DATE(2023,6,13)</f>
        <v>45090</v>
      </c>
      <c r="B11">
        <v>133040</v>
      </c>
      <c r="BK11">
        <v>5008</v>
      </c>
      <c r="BU11">
        <v>1750</v>
      </c>
      <c r="CE11">
        <v>5825</v>
      </c>
      <c r="CO11">
        <v>2025</v>
      </c>
      <c r="CY11">
        <v>7127</v>
      </c>
      <c r="DC11">
        <v>270</v>
      </c>
      <c r="DG11">
        <v>2</v>
      </c>
      <c r="DI11">
        <v>3675</v>
      </c>
      <c r="DM11">
        <v>2</v>
      </c>
      <c r="DO11">
        <v>550</v>
      </c>
      <c r="DS11">
        <v>4975</v>
      </c>
      <c r="DW11">
        <v>350</v>
      </c>
      <c r="DY11">
        <v>1</v>
      </c>
      <c r="EA11">
        <v>135</v>
      </c>
      <c r="EC11">
        <v>4450</v>
      </c>
      <c r="EE11">
        <v>302</v>
      </c>
      <c r="EG11">
        <v>350</v>
      </c>
      <c r="EI11">
        <v>100</v>
      </c>
      <c r="EK11">
        <v>1</v>
      </c>
      <c r="EM11">
        <v>4250</v>
      </c>
      <c r="EQ11">
        <v>100</v>
      </c>
      <c r="EW11">
        <v>375</v>
      </c>
      <c r="FA11">
        <v>100</v>
      </c>
      <c r="FG11">
        <v>375</v>
      </c>
      <c r="GN11">
        <f t="shared" si="0"/>
        <v>42098</v>
      </c>
    </row>
    <row r="12" spans="1:196" x14ac:dyDescent="0.25">
      <c r="A12" s="4">
        <f>DATE(2023,6,12)</f>
        <v>45089</v>
      </c>
      <c r="B12">
        <v>130961</v>
      </c>
      <c r="BK12">
        <v>5008</v>
      </c>
      <c r="BU12">
        <v>1750</v>
      </c>
      <c r="CE12">
        <v>5825</v>
      </c>
      <c r="CO12">
        <v>2025</v>
      </c>
      <c r="CY12">
        <v>7127</v>
      </c>
      <c r="DC12">
        <v>270</v>
      </c>
      <c r="DG12">
        <v>2</v>
      </c>
      <c r="DI12">
        <v>3775</v>
      </c>
      <c r="DM12">
        <v>2</v>
      </c>
      <c r="DO12">
        <v>550</v>
      </c>
      <c r="DS12">
        <v>5225</v>
      </c>
      <c r="DY12">
        <v>1</v>
      </c>
      <c r="EA12">
        <v>135</v>
      </c>
      <c r="EC12">
        <v>4525</v>
      </c>
      <c r="EE12">
        <v>302</v>
      </c>
      <c r="EI12">
        <v>100</v>
      </c>
      <c r="EK12">
        <v>1</v>
      </c>
      <c r="EM12">
        <v>4250</v>
      </c>
      <c r="EQ12">
        <v>100</v>
      </c>
      <c r="EW12">
        <v>375</v>
      </c>
      <c r="FA12">
        <v>100</v>
      </c>
      <c r="FG12">
        <v>375</v>
      </c>
      <c r="GN12">
        <f t="shared" si="0"/>
        <v>41823</v>
      </c>
    </row>
    <row r="13" spans="1:196" x14ac:dyDescent="0.25">
      <c r="A13" s="4">
        <f>DATE(2023,6,9)</f>
        <v>45086</v>
      </c>
      <c r="B13">
        <v>129765</v>
      </c>
      <c r="BK13">
        <v>5008</v>
      </c>
      <c r="BU13">
        <v>1750</v>
      </c>
      <c r="CE13">
        <v>5825</v>
      </c>
      <c r="CO13">
        <v>2025</v>
      </c>
      <c r="CY13">
        <v>7127</v>
      </c>
      <c r="DC13">
        <v>270</v>
      </c>
      <c r="DG13">
        <v>2</v>
      </c>
      <c r="DI13">
        <v>3775</v>
      </c>
      <c r="DM13">
        <v>2</v>
      </c>
      <c r="DO13">
        <v>550</v>
      </c>
      <c r="DS13">
        <v>5225</v>
      </c>
      <c r="DY13">
        <v>1</v>
      </c>
      <c r="EA13">
        <v>135</v>
      </c>
      <c r="EC13">
        <v>4525</v>
      </c>
      <c r="EE13">
        <v>302</v>
      </c>
      <c r="EI13">
        <v>100</v>
      </c>
      <c r="EK13">
        <v>1</v>
      </c>
      <c r="EM13">
        <v>4250</v>
      </c>
      <c r="EQ13">
        <v>100</v>
      </c>
      <c r="EW13">
        <v>375</v>
      </c>
      <c r="FA13">
        <v>100</v>
      </c>
      <c r="FG13">
        <v>375</v>
      </c>
      <c r="GN13">
        <f t="shared" si="0"/>
        <v>41823</v>
      </c>
    </row>
    <row r="14" spans="1:196" x14ac:dyDescent="0.25">
      <c r="A14" s="4">
        <f>DATE(2023,6,8)</f>
        <v>45085</v>
      </c>
      <c r="B14">
        <v>128879</v>
      </c>
      <c r="BK14">
        <v>5008</v>
      </c>
      <c r="BU14">
        <v>1750</v>
      </c>
      <c r="CE14">
        <v>5825</v>
      </c>
      <c r="CO14">
        <v>2025</v>
      </c>
      <c r="CY14">
        <v>7127</v>
      </c>
      <c r="DC14">
        <v>270</v>
      </c>
      <c r="DG14">
        <v>2</v>
      </c>
      <c r="DI14">
        <v>3775</v>
      </c>
      <c r="DM14">
        <v>2</v>
      </c>
      <c r="DO14">
        <v>550</v>
      </c>
      <c r="DS14">
        <v>5225</v>
      </c>
      <c r="DY14">
        <v>1</v>
      </c>
      <c r="EA14">
        <v>135</v>
      </c>
      <c r="EC14">
        <v>4525</v>
      </c>
      <c r="EE14">
        <v>302</v>
      </c>
      <c r="EI14">
        <v>100</v>
      </c>
      <c r="EK14">
        <v>1</v>
      </c>
      <c r="EM14">
        <v>4250</v>
      </c>
      <c r="EQ14">
        <v>100</v>
      </c>
      <c r="EW14">
        <v>375</v>
      </c>
      <c r="FA14">
        <v>100</v>
      </c>
      <c r="FG14">
        <v>375</v>
      </c>
      <c r="GN14">
        <f t="shared" si="0"/>
        <v>41823</v>
      </c>
    </row>
    <row r="15" spans="1:196" x14ac:dyDescent="0.25">
      <c r="A15" s="4">
        <f>DATE(2023,6,7)</f>
        <v>45084</v>
      </c>
      <c r="B15">
        <v>128763</v>
      </c>
      <c r="BK15">
        <v>5008</v>
      </c>
      <c r="BU15">
        <v>1750</v>
      </c>
      <c r="CE15">
        <v>5825</v>
      </c>
      <c r="CO15">
        <v>2025</v>
      </c>
      <c r="CY15">
        <v>6827</v>
      </c>
      <c r="DC15">
        <v>270</v>
      </c>
      <c r="DG15">
        <v>2</v>
      </c>
      <c r="DI15">
        <v>3100</v>
      </c>
      <c r="DM15">
        <v>2</v>
      </c>
      <c r="DO15">
        <v>550</v>
      </c>
      <c r="DS15">
        <v>5827</v>
      </c>
      <c r="DY15">
        <v>1</v>
      </c>
      <c r="EA15">
        <v>135</v>
      </c>
      <c r="EC15">
        <v>4475</v>
      </c>
      <c r="EE15">
        <v>302</v>
      </c>
      <c r="EI15">
        <v>100</v>
      </c>
      <c r="EK15">
        <v>1</v>
      </c>
      <c r="EM15">
        <v>4450</v>
      </c>
      <c r="EQ15">
        <v>100</v>
      </c>
      <c r="EW15">
        <v>375</v>
      </c>
      <c r="FA15">
        <v>100</v>
      </c>
      <c r="FG15">
        <v>375</v>
      </c>
      <c r="GN15">
        <f t="shared" si="0"/>
        <v>41600</v>
      </c>
    </row>
    <row r="16" spans="1:196" x14ac:dyDescent="0.25">
      <c r="A16" s="4">
        <f>DATE(2023,6,6)</f>
        <v>45083</v>
      </c>
      <c r="B16">
        <v>128779</v>
      </c>
      <c r="BK16">
        <v>5008</v>
      </c>
      <c r="BU16">
        <v>1750</v>
      </c>
      <c r="CE16">
        <v>5825</v>
      </c>
      <c r="CO16">
        <v>2025</v>
      </c>
      <c r="CY16">
        <v>6927</v>
      </c>
      <c r="DC16">
        <v>270</v>
      </c>
      <c r="DG16">
        <v>2</v>
      </c>
      <c r="DI16">
        <v>2850</v>
      </c>
      <c r="DM16">
        <v>2</v>
      </c>
      <c r="DO16">
        <v>550</v>
      </c>
      <c r="DS16">
        <v>5827</v>
      </c>
      <c r="DY16">
        <v>1</v>
      </c>
      <c r="EA16">
        <v>135</v>
      </c>
      <c r="EC16">
        <v>4475</v>
      </c>
      <c r="EE16">
        <v>302</v>
      </c>
      <c r="EI16">
        <v>100</v>
      </c>
      <c r="EK16">
        <v>1</v>
      </c>
      <c r="EM16">
        <v>4450</v>
      </c>
      <c r="EQ16">
        <v>500</v>
      </c>
      <c r="EW16">
        <v>375</v>
      </c>
      <c r="FA16">
        <v>500</v>
      </c>
      <c r="FG16">
        <v>375</v>
      </c>
      <c r="GN16">
        <f t="shared" si="0"/>
        <v>42250</v>
      </c>
    </row>
    <row r="17" spans="1:196" x14ac:dyDescent="0.25">
      <c r="A17" s="4">
        <f>DATE(2023,6,5)</f>
        <v>45082</v>
      </c>
      <c r="B17">
        <v>127484</v>
      </c>
      <c r="BK17">
        <v>5008</v>
      </c>
      <c r="BU17">
        <v>1750</v>
      </c>
      <c r="CE17">
        <v>5700</v>
      </c>
      <c r="CO17">
        <v>2025</v>
      </c>
      <c r="CY17">
        <v>6902</v>
      </c>
      <c r="DC17">
        <v>270</v>
      </c>
      <c r="DG17">
        <v>2</v>
      </c>
      <c r="DI17">
        <v>3100</v>
      </c>
      <c r="DM17">
        <v>2</v>
      </c>
      <c r="DO17">
        <v>650</v>
      </c>
      <c r="DS17">
        <v>5827</v>
      </c>
      <c r="DY17">
        <v>1</v>
      </c>
      <c r="EA17">
        <v>135</v>
      </c>
      <c r="EC17">
        <v>4575</v>
      </c>
      <c r="EE17">
        <v>302</v>
      </c>
      <c r="EI17">
        <v>100</v>
      </c>
      <c r="EK17">
        <v>1</v>
      </c>
      <c r="EM17">
        <v>4550</v>
      </c>
      <c r="EQ17">
        <v>500</v>
      </c>
      <c r="EW17">
        <v>375</v>
      </c>
      <c r="FA17">
        <v>500</v>
      </c>
      <c r="FG17">
        <v>375</v>
      </c>
      <c r="GN17">
        <f t="shared" si="0"/>
        <v>42650</v>
      </c>
    </row>
    <row r="18" spans="1:196" x14ac:dyDescent="0.25">
      <c r="A18" s="4">
        <f>DATE(2023,6,2)</f>
        <v>45079</v>
      </c>
      <c r="B18">
        <v>127172</v>
      </c>
      <c r="BK18">
        <v>5008</v>
      </c>
      <c r="BU18">
        <v>1750</v>
      </c>
      <c r="CE18">
        <v>5700</v>
      </c>
      <c r="CO18">
        <v>2025</v>
      </c>
      <c r="CY18">
        <v>6902</v>
      </c>
      <c r="DC18">
        <v>270</v>
      </c>
      <c r="DG18">
        <v>2</v>
      </c>
      <c r="DI18">
        <v>3100</v>
      </c>
      <c r="DM18">
        <v>2</v>
      </c>
      <c r="DO18">
        <v>650</v>
      </c>
      <c r="DS18">
        <v>5827</v>
      </c>
      <c r="DY18">
        <v>1</v>
      </c>
      <c r="EA18">
        <v>135</v>
      </c>
      <c r="EC18">
        <v>4575</v>
      </c>
      <c r="EE18">
        <v>302</v>
      </c>
      <c r="EI18">
        <v>100</v>
      </c>
      <c r="EK18">
        <v>1</v>
      </c>
      <c r="EM18">
        <v>4550</v>
      </c>
      <c r="EQ18">
        <v>500</v>
      </c>
      <c r="EW18">
        <v>375</v>
      </c>
      <c r="FA18">
        <v>500</v>
      </c>
      <c r="FG18">
        <v>375</v>
      </c>
      <c r="GN18">
        <f t="shared" si="0"/>
        <v>42650</v>
      </c>
    </row>
    <row r="19" spans="1:196" x14ac:dyDescent="0.25">
      <c r="A19" s="4">
        <f>DATE(2023,6,1)</f>
        <v>45078</v>
      </c>
      <c r="B19">
        <v>126802</v>
      </c>
      <c r="BK19">
        <v>5008</v>
      </c>
      <c r="BU19">
        <v>1750</v>
      </c>
      <c r="CE19">
        <v>5700</v>
      </c>
      <c r="CO19">
        <v>2525</v>
      </c>
      <c r="CY19">
        <v>6902</v>
      </c>
      <c r="DC19">
        <v>270</v>
      </c>
      <c r="DG19">
        <v>2</v>
      </c>
      <c r="DI19">
        <v>2800</v>
      </c>
      <c r="DM19">
        <v>2</v>
      </c>
      <c r="DO19">
        <v>750</v>
      </c>
      <c r="DS19">
        <v>5852</v>
      </c>
      <c r="DY19">
        <v>1</v>
      </c>
      <c r="EA19">
        <v>135</v>
      </c>
      <c r="EC19">
        <v>4575</v>
      </c>
      <c r="EE19">
        <v>302</v>
      </c>
      <c r="EI19">
        <v>100</v>
      </c>
      <c r="EK19">
        <v>1</v>
      </c>
      <c r="EM19">
        <v>4550</v>
      </c>
      <c r="EQ19">
        <v>500</v>
      </c>
      <c r="EW19">
        <v>375</v>
      </c>
      <c r="FA19">
        <v>500</v>
      </c>
      <c r="FG19">
        <v>375</v>
      </c>
      <c r="GN19">
        <f t="shared" si="0"/>
        <v>42975</v>
      </c>
    </row>
    <row r="20" spans="1:196" x14ac:dyDescent="0.25">
      <c r="A20" s="4">
        <f>DATE(2023,5,31)</f>
        <v>45077</v>
      </c>
      <c r="B20">
        <v>125550</v>
      </c>
      <c r="BK20">
        <v>5008</v>
      </c>
      <c r="BU20">
        <v>1750</v>
      </c>
      <c r="CE20">
        <v>5700</v>
      </c>
      <c r="CO20">
        <v>2525</v>
      </c>
      <c r="CY20">
        <v>6902</v>
      </c>
      <c r="DC20">
        <v>270</v>
      </c>
      <c r="DG20">
        <v>2</v>
      </c>
      <c r="DI20">
        <v>3050</v>
      </c>
      <c r="DM20">
        <v>2</v>
      </c>
      <c r="DO20">
        <v>1000</v>
      </c>
      <c r="DS20">
        <v>5902</v>
      </c>
      <c r="DY20">
        <v>1</v>
      </c>
      <c r="EA20">
        <v>135</v>
      </c>
      <c r="EC20">
        <v>4575</v>
      </c>
      <c r="EE20">
        <v>302</v>
      </c>
      <c r="EI20">
        <v>100</v>
      </c>
      <c r="EK20">
        <v>1</v>
      </c>
      <c r="EM20">
        <v>4550</v>
      </c>
      <c r="EQ20">
        <v>500</v>
      </c>
      <c r="EW20">
        <v>375</v>
      </c>
      <c r="FA20">
        <v>500</v>
      </c>
      <c r="FG20">
        <v>375</v>
      </c>
      <c r="GN20">
        <f t="shared" si="0"/>
        <v>43525</v>
      </c>
    </row>
    <row r="21" spans="1:196" x14ac:dyDescent="0.25">
      <c r="A21" s="4">
        <f>DATE(2023,5,30)</f>
        <v>45076</v>
      </c>
      <c r="B21">
        <v>123350</v>
      </c>
      <c r="BK21">
        <v>5008</v>
      </c>
      <c r="BU21">
        <v>1750</v>
      </c>
      <c r="CE21">
        <v>5300</v>
      </c>
      <c r="CO21">
        <v>2525</v>
      </c>
      <c r="CY21">
        <v>6902</v>
      </c>
      <c r="DC21">
        <v>270</v>
      </c>
      <c r="DG21">
        <v>2</v>
      </c>
      <c r="DI21">
        <v>3050</v>
      </c>
      <c r="DM21">
        <v>2</v>
      </c>
      <c r="DO21">
        <v>1000</v>
      </c>
      <c r="DS21">
        <v>6202</v>
      </c>
      <c r="DY21">
        <v>1</v>
      </c>
      <c r="EA21">
        <v>135</v>
      </c>
      <c r="EC21">
        <v>4625</v>
      </c>
      <c r="EE21">
        <v>302</v>
      </c>
      <c r="EI21">
        <v>100</v>
      </c>
      <c r="EK21">
        <v>1</v>
      </c>
      <c r="EM21">
        <v>4625</v>
      </c>
      <c r="EQ21">
        <v>500</v>
      </c>
      <c r="EW21">
        <v>375</v>
      </c>
      <c r="FA21">
        <v>500</v>
      </c>
      <c r="FG21">
        <v>375</v>
      </c>
      <c r="GN21">
        <f t="shared" si="0"/>
        <v>43550</v>
      </c>
    </row>
    <row r="22" spans="1:196" x14ac:dyDescent="0.25">
      <c r="A22" s="4">
        <f>DATE(2023,5,29)</f>
        <v>45075</v>
      </c>
      <c r="B22">
        <v>123159</v>
      </c>
      <c r="BK22">
        <v>5008</v>
      </c>
      <c r="BU22">
        <v>1750</v>
      </c>
      <c r="CE22">
        <v>5300</v>
      </c>
      <c r="CO22">
        <v>2525</v>
      </c>
      <c r="CY22">
        <v>6902</v>
      </c>
      <c r="DC22">
        <v>270</v>
      </c>
      <c r="DG22">
        <v>2</v>
      </c>
      <c r="DI22">
        <v>3050</v>
      </c>
      <c r="DM22">
        <v>2</v>
      </c>
      <c r="DO22">
        <v>1000</v>
      </c>
      <c r="DS22">
        <v>6202</v>
      </c>
      <c r="DY22">
        <v>1</v>
      </c>
      <c r="EA22">
        <v>135</v>
      </c>
      <c r="EC22">
        <v>4625</v>
      </c>
      <c r="EE22">
        <v>302</v>
      </c>
      <c r="EI22">
        <v>100</v>
      </c>
      <c r="EK22">
        <v>1</v>
      </c>
      <c r="EM22">
        <v>4625</v>
      </c>
      <c r="EQ22">
        <v>500</v>
      </c>
      <c r="EW22">
        <v>375</v>
      </c>
      <c r="FA22">
        <v>500</v>
      </c>
      <c r="FG22">
        <v>375</v>
      </c>
      <c r="GN22">
        <f t="shared" si="0"/>
        <v>43550</v>
      </c>
    </row>
    <row r="23" spans="1:196" x14ac:dyDescent="0.25">
      <c r="A23" s="4">
        <f>DATE(2023,5,26)</f>
        <v>45072</v>
      </c>
      <c r="B23">
        <v>123135</v>
      </c>
      <c r="BK23">
        <v>5008</v>
      </c>
      <c r="BU23">
        <v>1750</v>
      </c>
      <c r="CE23">
        <v>5300</v>
      </c>
      <c r="CO23">
        <v>2525</v>
      </c>
      <c r="CY23">
        <v>7451</v>
      </c>
      <c r="DC23">
        <v>270</v>
      </c>
      <c r="DG23">
        <v>2</v>
      </c>
      <c r="DI23">
        <v>3375</v>
      </c>
      <c r="DM23">
        <v>2</v>
      </c>
      <c r="DO23">
        <v>1000</v>
      </c>
      <c r="DS23">
        <v>6427</v>
      </c>
      <c r="DY23">
        <v>1</v>
      </c>
      <c r="EA23">
        <v>135</v>
      </c>
      <c r="EC23">
        <v>4925</v>
      </c>
      <c r="EE23">
        <v>302</v>
      </c>
      <c r="EI23">
        <v>100</v>
      </c>
      <c r="EK23">
        <v>1</v>
      </c>
      <c r="EM23">
        <v>4925</v>
      </c>
      <c r="EQ23">
        <v>750</v>
      </c>
      <c r="EW23">
        <v>375</v>
      </c>
      <c r="FA23">
        <v>750</v>
      </c>
      <c r="FG23">
        <v>375</v>
      </c>
      <c r="GN23">
        <f t="shared" si="0"/>
        <v>45749</v>
      </c>
    </row>
    <row r="24" spans="1:196" x14ac:dyDescent="0.25">
      <c r="A24" s="4">
        <f>DATE(2023,5,25)</f>
        <v>45071</v>
      </c>
      <c r="B24">
        <v>122239</v>
      </c>
      <c r="BK24">
        <v>5007</v>
      </c>
      <c r="BU24">
        <v>1750</v>
      </c>
      <c r="CE24">
        <v>5600</v>
      </c>
      <c r="CO24">
        <v>2525</v>
      </c>
      <c r="CY24">
        <v>8451</v>
      </c>
      <c r="DC24">
        <v>270</v>
      </c>
      <c r="DG24">
        <v>2</v>
      </c>
      <c r="DI24">
        <v>3325</v>
      </c>
      <c r="DM24">
        <v>2</v>
      </c>
      <c r="DO24">
        <v>1000</v>
      </c>
      <c r="DS24">
        <v>6427</v>
      </c>
      <c r="DY24">
        <v>1</v>
      </c>
      <c r="EA24">
        <v>135</v>
      </c>
      <c r="EC24">
        <v>4925</v>
      </c>
      <c r="EE24">
        <v>302</v>
      </c>
      <c r="EI24">
        <v>100</v>
      </c>
      <c r="EK24">
        <v>1</v>
      </c>
      <c r="EM24">
        <v>4925</v>
      </c>
      <c r="EQ24">
        <v>750</v>
      </c>
      <c r="EW24">
        <v>375</v>
      </c>
      <c r="FA24">
        <v>750</v>
      </c>
      <c r="FG24">
        <v>375</v>
      </c>
      <c r="GN24">
        <f t="shared" si="0"/>
        <v>46998</v>
      </c>
    </row>
    <row r="25" spans="1:196" x14ac:dyDescent="0.25">
      <c r="A25" s="4">
        <f>DATE(2023,5,24)</f>
        <v>45070</v>
      </c>
      <c r="B25">
        <v>120423</v>
      </c>
      <c r="BK25">
        <v>5007</v>
      </c>
      <c r="BU25">
        <v>1750</v>
      </c>
      <c r="CE25">
        <v>5600</v>
      </c>
      <c r="CO25">
        <v>2525</v>
      </c>
      <c r="CY25">
        <v>8451</v>
      </c>
      <c r="DC25">
        <v>270</v>
      </c>
      <c r="DG25">
        <v>2</v>
      </c>
      <c r="DI25">
        <v>3325</v>
      </c>
      <c r="DM25">
        <v>2</v>
      </c>
      <c r="DO25">
        <v>1000</v>
      </c>
      <c r="DS25">
        <v>6427</v>
      </c>
      <c r="DY25">
        <v>1</v>
      </c>
      <c r="EA25">
        <v>135</v>
      </c>
      <c r="EC25">
        <v>4925</v>
      </c>
      <c r="EE25">
        <v>302</v>
      </c>
      <c r="EI25">
        <v>100</v>
      </c>
      <c r="EK25">
        <v>1</v>
      </c>
      <c r="EM25">
        <v>4925</v>
      </c>
      <c r="EQ25">
        <v>750</v>
      </c>
      <c r="EW25">
        <v>375</v>
      </c>
      <c r="FA25">
        <v>750</v>
      </c>
      <c r="FG25">
        <v>375</v>
      </c>
      <c r="GN25">
        <f t="shared" si="0"/>
        <v>46998</v>
      </c>
    </row>
    <row r="26" spans="1:196" x14ac:dyDescent="0.25">
      <c r="A26" s="4">
        <f>DATE(2023,5,23)</f>
        <v>45069</v>
      </c>
      <c r="B26">
        <v>119305</v>
      </c>
      <c r="BK26">
        <v>5006</v>
      </c>
      <c r="BU26">
        <v>1750</v>
      </c>
      <c r="CE26">
        <v>5600</v>
      </c>
      <c r="CO26">
        <v>2525</v>
      </c>
      <c r="CY26">
        <v>8451</v>
      </c>
      <c r="DC26">
        <v>270</v>
      </c>
      <c r="DG26">
        <v>2</v>
      </c>
      <c r="DI26">
        <v>3275</v>
      </c>
      <c r="DM26">
        <v>2</v>
      </c>
      <c r="DO26">
        <v>1000</v>
      </c>
      <c r="DS26">
        <v>6402</v>
      </c>
      <c r="DY26">
        <v>1</v>
      </c>
      <c r="EA26">
        <v>135</v>
      </c>
      <c r="EC26">
        <v>4925</v>
      </c>
      <c r="EE26">
        <v>302</v>
      </c>
      <c r="EI26">
        <v>100</v>
      </c>
      <c r="EK26">
        <v>1</v>
      </c>
      <c r="EM26">
        <v>4925</v>
      </c>
      <c r="EQ26">
        <v>750</v>
      </c>
      <c r="EW26">
        <v>375</v>
      </c>
      <c r="FA26">
        <v>750</v>
      </c>
      <c r="FG26">
        <v>375</v>
      </c>
      <c r="GN26">
        <f t="shared" si="0"/>
        <v>46922</v>
      </c>
    </row>
    <row r="27" spans="1:196" x14ac:dyDescent="0.25">
      <c r="A27" s="4">
        <f>DATE(2023,5,22)</f>
        <v>45068</v>
      </c>
      <c r="B27">
        <v>118903</v>
      </c>
      <c r="BK27">
        <v>5006</v>
      </c>
      <c r="BU27">
        <v>1750</v>
      </c>
      <c r="CE27">
        <v>5600</v>
      </c>
      <c r="CO27">
        <v>2525</v>
      </c>
      <c r="CY27">
        <v>8451</v>
      </c>
      <c r="DC27">
        <v>270</v>
      </c>
      <c r="DG27">
        <v>2</v>
      </c>
      <c r="DI27">
        <v>3275</v>
      </c>
      <c r="DM27">
        <v>2</v>
      </c>
      <c r="DO27">
        <v>1000</v>
      </c>
      <c r="DS27">
        <v>6377</v>
      </c>
      <c r="DY27">
        <v>1</v>
      </c>
      <c r="EA27">
        <v>135</v>
      </c>
      <c r="EC27">
        <v>4925</v>
      </c>
      <c r="EE27">
        <v>302</v>
      </c>
      <c r="EI27">
        <v>100</v>
      </c>
      <c r="EK27">
        <v>1</v>
      </c>
      <c r="EM27">
        <v>4925</v>
      </c>
      <c r="EQ27">
        <v>750</v>
      </c>
      <c r="EW27">
        <v>375</v>
      </c>
      <c r="FA27">
        <v>750</v>
      </c>
      <c r="FG27">
        <v>375</v>
      </c>
      <c r="GN27">
        <f t="shared" si="0"/>
        <v>46897</v>
      </c>
    </row>
    <row r="28" spans="1:196" x14ac:dyDescent="0.25">
      <c r="A28" s="4">
        <f>DATE(2023,5,19)</f>
        <v>45065</v>
      </c>
      <c r="B28">
        <v>118674</v>
      </c>
      <c r="BK28">
        <v>5006</v>
      </c>
      <c r="BU28">
        <v>1750</v>
      </c>
      <c r="CE28">
        <v>6000</v>
      </c>
      <c r="CO28">
        <v>2525</v>
      </c>
      <c r="CY28">
        <v>8451</v>
      </c>
      <c r="DC28">
        <v>270</v>
      </c>
      <c r="DG28">
        <v>2</v>
      </c>
      <c r="DI28">
        <v>3175</v>
      </c>
      <c r="DM28">
        <v>2</v>
      </c>
      <c r="DO28">
        <v>1000</v>
      </c>
      <c r="DS28">
        <v>6377</v>
      </c>
      <c r="DY28">
        <v>1</v>
      </c>
      <c r="EA28">
        <v>135</v>
      </c>
      <c r="EC28">
        <v>4925</v>
      </c>
      <c r="EE28">
        <v>302</v>
      </c>
      <c r="EI28">
        <v>100</v>
      </c>
      <c r="EK28">
        <v>1</v>
      </c>
      <c r="EM28">
        <v>4925</v>
      </c>
      <c r="EQ28">
        <v>750</v>
      </c>
      <c r="EW28">
        <v>375</v>
      </c>
      <c r="FA28">
        <v>750</v>
      </c>
      <c r="FG28">
        <v>375</v>
      </c>
      <c r="GN28">
        <f t="shared" si="0"/>
        <v>47197</v>
      </c>
    </row>
    <row r="29" spans="1:196" x14ac:dyDescent="0.25">
      <c r="A29" s="4">
        <f>DATE(2023,5,18)</f>
        <v>45064</v>
      </c>
      <c r="B29">
        <v>118306</v>
      </c>
      <c r="BK29">
        <v>5006</v>
      </c>
      <c r="BU29">
        <v>1750</v>
      </c>
      <c r="CE29">
        <v>6250</v>
      </c>
      <c r="CO29">
        <v>2525</v>
      </c>
      <c r="CY29">
        <v>8451</v>
      </c>
      <c r="DC29">
        <v>270</v>
      </c>
      <c r="DG29">
        <v>2</v>
      </c>
      <c r="DI29">
        <v>3300</v>
      </c>
      <c r="DM29">
        <v>2</v>
      </c>
      <c r="DO29">
        <v>1000</v>
      </c>
      <c r="DS29">
        <v>6377</v>
      </c>
      <c r="DY29">
        <v>1</v>
      </c>
      <c r="EA29">
        <v>135</v>
      </c>
      <c r="EC29">
        <v>4925</v>
      </c>
      <c r="EE29">
        <v>302</v>
      </c>
      <c r="EI29">
        <v>100</v>
      </c>
      <c r="EK29">
        <v>1</v>
      </c>
      <c r="EM29">
        <v>4925</v>
      </c>
      <c r="EQ29">
        <v>750</v>
      </c>
      <c r="EW29">
        <v>375</v>
      </c>
      <c r="FA29">
        <v>750</v>
      </c>
      <c r="FG29">
        <v>375</v>
      </c>
      <c r="GN29">
        <f t="shared" si="0"/>
        <v>47572</v>
      </c>
    </row>
    <row r="30" spans="1:196" x14ac:dyDescent="0.25">
      <c r="A30" s="4">
        <f>DATE(2023,5,17)</f>
        <v>45063</v>
      </c>
      <c r="B30">
        <v>118209</v>
      </c>
      <c r="BK30">
        <v>5006</v>
      </c>
      <c r="BU30">
        <v>1750</v>
      </c>
      <c r="CE30">
        <v>6350</v>
      </c>
      <c r="CO30">
        <v>2525</v>
      </c>
      <c r="CY30">
        <v>8451</v>
      </c>
      <c r="DC30">
        <v>270</v>
      </c>
      <c r="DG30">
        <v>2</v>
      </c>
      <c r="DI30">
        <v>3300</v>
      </c>
      <c r="DM30">
        <v>2</v>
      </c>
      <c r="DO30">
        <v>1000</v>
      </c>
      <c r="DS30">
        <v>7477</v>
      </c>
      <c r="DY30">
        <v>1</v>
      </c>
      <c r="EA30">
        <v>135</v>
      </c>
      <c r="EC30">
        <v>4925</v>
      </c>
      <c r="EE30">
        <v>202</v>
      </c>
      <c r="EK30">
        <v>1</v>
      </c>
      <c r="EM30">
        <v>5675</v>
      </c>
      <c r="EQ30">
        <v>750</v>
      </c>
      <c r="EW30">
        <v>375</v>
      </c>
      <c r="FA30">
        <v>750</v>
      </c>
      <c r="FG30">
        <v>375</v>
      </c>
      <c r="GN30">
        <f t="shared" si="0"/>
        <v>49322</v>
      </c>
    </row>
    <row r="31" spans="1:196" x14ac:dyDescent="0.25">
      <c r="A31" s="4">
        <f>DATE(2023,5,16)</f>
        <v>45062</v>
      </c>
      <c r="B31">
        <v>117416</v>
      </c>
      <c r="BK31">
        <v>5006</v>
      </c>
      <c r="BU31">
        <v>1750</v>
      </c>
      <c r="CE31">
        <v>6350</v>
      </c>
      <c r="CO31">
        <v>2525</v>
      </c>
      <c r="CY31">
        <v>8451</v>
      </c>
      <c r="DC31">
        <v>270</v>
      </c>
      <c r="DG31">
        <v>2</v>
      </c>
      <c r="DI31">
        <v>3125</v>
      </c>
      <c r="DM31">
        <v>2</v>
      </c>
      <c r="DO31">
        <v>1150</v>
      </c>
      <c r="DS31">
        <v>6625</v>
      </c>
      <c r="DY31">
        <v>1</v>
      </c>
      <c r="EA31">
        <v>270</v>
      </c>
      <c r="EC31">
        <v>4375</v>
      </c>
      <c r="EE31">
        <v>2</v>
      </c>
      <c r="EK31">
        <v>1</v>
      </c>
      <c r="EM31">
        <v>5675</v>
      </c>
      <c r="EQ31">
        <v>750</v>
      </c>
      <c r="EW31">
        <v>375</v>
      </c>
      <c r="FA31">
        <v>750</v>
      </c>
      <c r="FG31">
        <v>375</v>
      </c>
      <c r="GN31">
        <f t="shared" si="0"/>
        <v>47830</v>
      </c>
    </row>
    <row r="32" spans="1:196" x14ac:dyDescent="0.25">
      <c r="A32" s="4">
        <f>DATE(2023,5,15)</f>
        <v>45061</v>
      </c>
      <c r="B32">
        <v>116656</v>
      </c>
      <c r="BK32">
        <v>5006</v>
      </c>
      <c r="BU32">
        <v>1750</v>
      </c>
      <c r="CE32">
        <v>6350</v>
      </c>
      <c r="CO32">
        <v>2525</v>
      </c>
      <c r="CY32">
        <v>8451</v>
      </c>
      <c r="DG32">
        <v>2</v>
      </c>
      <c r="DI32">
        <v>3125</v>
      </c>
      <c r="DM32">
        <v>2</v>
      </c>
      <c r="DO32">
        <v>1150</v>
      </c>
      <c r="DS32">
        <v>6650</v>
      </c>
      <c r="DY32">
        <v>1</v>
      </c>
      <c r="EC32">
        <v>4625</v>
      </c>
      <c r="EE32">
        <v>2</v>
      </c>
      <c r="EK32">
        <v>1</v>
      </c>
      <c r="EM32">
        <v>5675</v>
      </c>
      <c r="EQ32">
        <v>750</v>
      </c>
      <c r="EW32">
        <v>375</v>
      </c>
      <c r="FA32">
        <v>750</v>
      </c>
      <c r="FG32">
        <v>375</v>
      </c>
      <c r="GN32">
        <f t="shared" si="0"/>
        <v>47565</v>
      </c>
    </row>
    <row r="33" spans="1:196" x14ac:dyDescent="0.25">
      <c r="A33" s="4">
        <f>DATE(2023,5,12)</f>
        <v>45058</v>
      </c>
      <c r="B33">
        <v>115600</v>
      </c>
      <c r="BK33">
        <v>5006</v>
      </c>
      <c r="BU33">
        <v>1750</v>
      </c>
      <c r="CE33">
        <v>6350</v>
      </c>
      <c r="CO33">
        <v>2525</v>
      </c>
      <c r="CY33">
        <v>8451</v>
      </c>
      <c r="DG33">
        <v>2</v>
      </c>
      <c r="DI33">
        <v>3125</v>
      </c>
      <c r="DM33">
        <v>2</v>
      </c>
      <c r="DO33">
        <v>1150</v>
      </c>
      <c r="DS33">
        <v>6600</v>
      </c>
      <c r="DY33">
        <v>1</v>
      </c>
      <c r="EC33">
        <v>4875</v>
      </c>
      <c r="EE33">
        <v>2</v>
      </c>
      <c r="EK33">
        <v>1</v>
      </c>
      <c r="EM33">
        <v>5675</v>
      </c>
      <c r="EQ33">
        <v>750</v>
      </c>
      <c r="EW33">
        <v>375</v>
      </c>
      <c r="FA33">
        <v>750</v>
      </c>
      <c r="FG33">
        <v>375</v>
      </c>
      <c r="GN33">
        <f t="shared" si="0"/>
        <v>47765</v>
      </c>
    </row>
    <row r="34" spans="1:196" x14ac:dyDescent="0.25">
      <c r="A34" s="4">
        <f>DATE(2023,5,11)</f>
        <v>45057</v>
      </c>
      <c r="B34">
        <v>115357</v>
      </c>
      <c r="BK34">
        <v>5006</v>
      </c>
      <c r="BU34">
        <v>1750</v>
      </c>
      <c r="CE34">
        <v>6350</v>
      </c>
      <c r="CO34">
        <v>2525</v>
      </c>
      <c r="CY34">
        <v>8451</v>
      </c>
      <c r="DG34">
        <v>2</v>
      </c>
      <c r="DI34">
        <v>3125</v>
      </c>
      <c r="DM34">
        <v>2</v>
      </c>
      <c r="DO34">
        <v>1150</v>
      </c>
      <c r="DS34">
        <v>6600</v>
      </c>
      <c r="DY34">
        <v>1</v>
      </c>
      <c r="EC34">
        <v>4875</v>
      </c>
      <c r="EE34">
        <v>2</v>
      </c>
      <c r="EK34">
        <v>1</v>
      </c>
      <c r="EM34">
        <v>5675</v>
      </c>
      <c r="EQ34">
        <v>750</v>
      </c>
      <c r="EW34">
        <v>375</v>
      </c>
      <c r="FA34">
        <v>750</v>
      </c>
      <c r="FG34">
        <v>375</v>
      </c>
      <c r="GN34">
        <f t="shared" si="0"/>
        <v>47765</v>
      </c>
    </row>
    <row r="35" spans="1:196" x14ac:dyDescent="0.25">
      <c r="A35" s="4">
        <f>DATE(2023,5,10)</f>
        <v>45056</v>
      </c>
      <c r="B35">
        <v>114822</v>
      </c>
      <c r="BK35">
        <v>5005</v>
      </c>
      <c r="BU35">
        <v>1750</v>
      </c>
      <c r="CE35">
        <v>6500</v>
      </c>
      <c r="CO35">
        <v>2525</v>
      </c>
      <c r="CY35">
        <v>8451</v>
      </c>
      <c r="DG35">
        <v>2</v>
      </c>
      <c r="DI35">
        <v>3125</v>
      </c>
      <c r="DM35">
        <v>2</v>
      </c>
      <c r="DO35">
        <v>1150</v>
      </c>
      <c r="DS35">
        <v>6600</v>
      </c>
      <c r="DY35">
        <v>1</v>
      </c>
      <c r="EC35">
        <v>4875</v>
      </c>
      <c r="EE35">
        <v>2</v>
      </c>
      <c r="EK35">
        <v>1</v>
      </c>
      <c r="EM35">
        <v>5675</v>
      </c>
      <c r="EQ35">
        <v>750</v>
      </c>
      <c r="EW35">
        <v>375</v>
      </c>
      <c r="FA35">
        <v>750</v>
      </c>
      <c r="FG35">
        <v>375</v>
      </c>
      <c r="GN35">
        <f t="shared" si="0"/>
        <v>47914</v>
      </c>
    </row>
    <row r="36" spans="1:196" x14ac:dyDescent="0.25">
      <c r="A36" s="4">
        <f>DATE(2023,5,9)</f>
        <v>45055</v>
      </c>
      <c r="B36">
        <v>113912</v>
      </c>
      <c r="BK36">
        <v>5005</v>
      </c>
      <c r="BU36">
        <v>1750</v>
      </c>
      <c r="CE36">
        <v>6500</v>
      </c>
      <c r="CO36">
        <v>2525</v>
      </c>
      <c r="CY36">
        <v>8476</v>
      </c>
      <c r="DG36">
        <v>2</v>
      </c>
      <c r="DI36">
        <v>3125</v>
      </c>
      <c r="DM36">
        <v>2</v>
      </c>
      <c r="DO36">
        <v>1150</v>
      </c>
      <c r="DS36">
        <v>6650</v>
      </c>
      <c r="DY36">
        <v>1</v>
      </c>
      <c r="EC36">
        <v>4875</v>
      </c>
      <c r="EE36">
        <v>2</v>
      </c>
      <c r="EK36">
        <v>1</v>
      </c>
      <c r="EM36">
        <v>5650</v>
      </c>
      <c r="EQ36">
        <v>750</v>
      </c>
      <c r="EW36">
        <v>375</v>
      </c>
      <c r="FA36">
        <v>750</v>
      </c>
      <c r="FG36">
        <v>375</v>
      </c>
      <c r="GN36">
        <f t="shared" si="0"/>
        <v>47964</v>
      </c>
    </row>
    <row r="37" spans="1:196" x14ac:dyDescent="0.25">
      <c r="A37" s="4">
        <f>DATE(2023,5,8)</f>
        <v>45054</v>
      </c>
      <c r="B37">
        <v>111970</v>
      </c>
      <c r="BK37">
        <v>5005</v>
      </c>
      <c r="BU37">
        <v>1750</v>
      </c>
      <c r="CE37">
        <v>6500</v>
      </c>
      <c r="CO37">
        <v>2525</v>
      </c>
      <c r="CY37">
        <v>8476</v>
      </c>
      <c r="DG37">
        <v>2</v>
      </c>
      <c r="DI37">
        <v>3125</v>
      </c>
      <c r="DM37">
        <v>2</v>
      </c>
      <c r="DO37">
        <v>1150</v>
      </c>
      <c r="DS37">
        <v>6650</v>
      </c>
      <c r="DY37">
        <v>1</v>
      </c>
      <c r="EC37">
        <v>4875</v>
      </c>
      <c r="EE37">
        <v>2</v>
      </c>
      <c r="EK37">
        <v>1</v>
      </c>
      <c r="EM37">
        <v>5650</v>
      </c>
      <c r="EQ37">
        <v>750</v>
      </c>
      <c r="EW37">
        <v>375</v>
      </c>
      <c r="FA37">
        <v>750</v>
      </c>
      <c r="FG37">
        <v>375</v>
      </c>
      <c r="GN37">
        <f t="shared" ref="GN37:GN68" si="1">SUMPRODUCT(C37:GM37)</f>
        <v>47964</v>
      </c>
    </row>
    <row r="38" spans="1:196" x14ac:dyDescent="0.25">
      <c r="A38" s="4">
        <f>DATE(2023,5,5)</f>
        <v>45051</v>
      </c>
      <c r="B38">
        <v>111985</v>
      </c>
      <c r="BK38">
        <v>5001</v>
      </c>
      <c r="BU38">
        <v>1750</v>
      </c>
      <c r="CE38">
        <v>6500</v>
      </c>
      <c r="CO38">
        <v>2525</v>
      </c>
      <c r="CY38">
        <v>8476</v>
      </c>
      <c r="DG38">
        <v>2</v>
      </c>
      <c r="DI38">
        <v>3125</v>
      </c>
      <c r="DM38">
        <v>2</v>
      </c>
      <c r="DO38">
        <v>1150</v>
      </c>
      <c r="DS38">
        <v>6800</v>
      </c>
      <c r="DY38">
        <v>1</v>
      </c>
      <c r="EC38">
        <v>4875</v>
      </c>
      <c r="EE38">
        <v>2</v>
      </c>
      <c r="EK38">
        <v>1</v>
      </c>
      <c r="EM38">
        <v>5650</v>
      </c>
      <c r="EQ38">
        <v>750</v>
      </c>
      <c r="EW38">
        <v>375</v>
      </c>
      <c r="FA38">
        <v>750</v>
      </c>
      <c r="FG38">
        <v>375</v>
      </c>
      <c r="GN38">
        <f t="shared" si="1"/>
        <v>48110</v>
      </c>
    </row>
    <row r="39" spans="1:196" x14ac:dyDescent="0.25">
      <c r="A39" s="4">
        <f>DATE(2023,5,4)</f>
        <v>45050</v>
      </c>
      <c r="B39">
        <v>111772</v>
      </c>
      <c r="BK39">
        <v>5000</v>
      </c>
      <c r="BU39">
        <v>1750</v>
      </c>
      <c r="CE39">
        <v>6350</v>
      </c>
      <c r="CO39">
        <v>2525</v>
      </c>
      <c r="CY39">
        <v>8326</v>
      </c>
      <c r="DG39">
        <v>2</v>
      </c>
      <c r="DI39">
        <v>3125</v>
      </c>
      <c r="DM39">
        <v>2</v>
      </c>
      <c r="DO39">
        <v>1150</v>
      </c>
      <c r="DS39">
        <v>6950</v>
      </c>
      <c r="DY39">
        <v>1</v>
      </c>
      <c r="EC39">
        <v>4875</v>
      </c>
      <c r="EE39">
        <v>2</v>
      </c>
      <c r="EK39">
        <v>1</v>
      </c>
      <c r="EM39">
        <v>5800</v>
      </c>
      <c r="EQ39">
        <v>750</v>
      </c>
      <c r="EW39">
        <v>375</v>
      </c>
      <c r="FA39">
        <v>750</v>
      </c>
      <c r="FG39">
        <v>375</v>
      </c>
      <c r="GN39">
        <f t="shared" si="1"/>
        <v>48109</v>
      </c>
    </row>
    <row r="40" spans="1:196" x14ac:dyDescent="0.25">
      <c r="A40" s="4">
        <f>DATE(2023,5,3)</f>
        <v>45049</v>
      </c>
      <c r="B40">
        <v>111666</v>
      </c>
      <c r="BK40">
        <v>5000</v>
      </c>
      <c r="BU40">
        <v>1750</v>
      </c>
      <c r="CE40">
        <v>5950</v>
      </c>
      <c r="CO40">
        <v>2525</v>
      </c>
      <c r="CY40">
        <v>8026</v>
      </c>
      <c r="DG40">
        <v>2</v>
      </c>
      <c r="DI40">
        <v>3025</v>
      </c>
      <c r="DM40">
        <v>2</v>
      </c>
      <c r="DO40">
        <v>1150</v>
      </c>
      <c r="DS40">
        <v>6950</v>
      </c>
      <c r="DY40">
        <v>1</v>
      </c>
      <c r="EC40">
        <v>4875</v>
      </c>
      <c r="EE40">
        <v>2</v>
      </c>
      <c r="EK40">
        <v>1</v>
      </c>
      <c r="EM40">
        <v>5800</v>
      </c>
      <c r="EQ40">
        <v>750</v>
      </c>
      <c r="EW40">
        <v>375</v>
      </c>
      <c r="FA40">
        <v>750</v>
      </c>
      <c r="FG40">
        <v>375</v>
      </c>
      <c r="GN40">
        <f t="shared" si="1"/>
        <v>47309</v>
      </c>
    </row>
    <row r="41" spans="1:196" x14ac:dyDescent="0.25">
      <c r="A41" s="4">
        <f>DATE(2023,5,2)</f>
        <v>45048</v>
      </c>
      <c r="B41">
        <v>111434</v>
      </c>
      <c r="BK41">
        <v>5000</v>
      </c>
      <c r="BU41">
        <v>1750</v>
      </c>
      <c r="CE41">
        <v>5950</v>
      </c>
      <c r="CO41">
        <v>2525</v>
      </c>
      <c r="CY41">
        <v>7976</v>
      </c>
      <c r="DG41">
        <v>2</v>
      </c>
      <c r="DI41">
        <v>3025</v>
      </c>
      <c r="DM41">
        <v>2</v>
      </c>
      <c r="DO41">
        <v>1150</v>
      </c>
      <c r="DS41">
        <v>6950</v>
      </c>
      <c r="DY41">
        <v>1</v>
      </c>
      <c r="EC41">
        <v>4875</v>
      </c>
      <c r="EE41">
        <v>2</v>
      </c>
      <c r="EK41">
        <v>1</v>
      </c>
      <c r="EM41">
        <v>5800</v>
      </c>
      <c r="EQ41">
        <v>750</v>
      </c>
      <c r="EW41">
        <v>375</v>
      </c>
      <c r="FA41">
        <v>750</v>
      </c>
      <c r="FG41">
        <v>375</v>
      </c>
      <c r="GN41">
        <f t="shared" si="1"/>
        <v>47259</v>
      </c>
    </row>
    <row r="42" spans="1:196" x14ac:dyDescent="0.25">
      <c r="A42" s="4">
        <f>DATE(2023,5,1)</f>
        <v>45047</v>
      </c>
      <c r="B42">
        <v>111196</v>
      </c>
      <c r="BK42">
        <v>5000</v>
      </c>
      <c r="BU42">
        <v>1750</v>
      </c>
      <c r="CE42">
        <v>5950</v>
      </c>
      <c r="CO42">
        <v>2525</v>
      </c>
      <c r="CY42">
        <v>7976</v>
      </c>
      <c r="DG42">
        <v>2</v>
      </c>
      <c r="DI42">
        <v>3025</v>
      </c>
      <c r="DM42">
        <v>2</v>
      </c>
      <c r="DO42">
        <v>1150</v>
      </c>
      <c r="DS42">
        <v>6950</v>
      </c>
      <c r="DY42">
        <v>1</v>
      </c>
      <c r="EC42">
        <v>4875</v>
      </c>
      <c r="EE42">
        <v>2</v>
      </c>
      <c r="EK42">
        <v>1</v>
      </c>
      <c r="EM42">
        <v>5800</v>
      </c>
      <c r="EQ42">
        <v>750</v>
      </c>
      <c r="EW42">
        <v>375</v>
      </c>
      <c r="FA42">
        <v>750</v>
      </c>
      <c r="FG42">
        <v>375</v>
      </c>
      <c r="GN42">
        <f t="shared" si="1"/>
        <v>47259</v>
      </c>
    </row>
    <row r="43" spans="1:196" x14ac:dyDescent="0.25">
      <c r="A43" s="4">
        <f>DATE(2023,4,28)</f>
        <v>45044</v>
      </c>
      <c r="B43">
        <v>111188</v>
      </c>
      <c r="BK43">
        <v>5000</v>
      </c>
      <c r="BU43">
        <v>1750</v>
      </c>
      <c r="CE43">
        <v>5950</v>
      </c>
      <c r="CO43">
        <v>2525</v>
      </c>
      <c r="CY43">
        <v>7976</v>
      </c>
      <c r="DG43">
        <v>2</v>
      </c>
      <c r="DI43">
        <v>3025</v>
      </c>
      <c r="DM43">
        <v>2</v>
      </c>
      <c r="DO43">
        <v>1150</v>
      </c>
      <c r="DS43">
        <v>6950</v>
      </c>
      <c r="DY43">
        <v>1</v>
      </c>
      <c r="EC43">
        <v>4875</v>
      </c>
      <c r="EE43">
        <v>2</v>
      </c>
      <c r="EK43">
        <v>1</v>
      </c>
      <c r="EM43">
        <v>5800</v>
      </c>
      <c r="EQ43">
        <v>750</v>
      </c>
      <c r="EW43">
        <v>375</v>
      </c>
      <c r="FA43">
        <v>750</v>
      </c>
      <c r="FG43">
        <v>375</v>
      </c>
      <c r="GN43">
        <f t="shared" si="1"/>
        <v>47259</v>
      </c>
    </row>
    <row r="44" spans="1:196" x14ac:dyDescent="0.25">
      <c r="A44" s="4">
        <f>DATE(2023,4,27)</f>
        <v>45043</v>
      </c>
      <c r="B44">
        <v>111336</v>
      </c>
      <c r="BK44">
        <v>5000</v>
      </c>
      <c r="BU44">
        <v>1750</v>
      </c>
      <c r="CE44">
        <v>5950</v>
      </c>
      <c r="CO44">
        <v>2025</v>
      </c>
      <c r="CY44">
        <v>7776</v>
      </c>
      <c r="DG44">
        <v>2</v>
      </c>
      <c r="DI44">
        <v>3025</v>
      </c>
      <c r="DM44">
        <v>2</v>
      </c>
      <c r="DO44">
        <v>1150</v>
      </c>
      <c r="DS44">
        <v>6877</v>
      </c>
      <c r="DY44">
        <v>1</v>
      </c>
      <c r="EC44">
        <v>4875</v>
      </c>
      <c r="EE44">
        <v>2</v>
      </c>
      <c r="EK44">
        <v>1</v>
      </c>
      <c r="EM44">
        <v>5800</v>
      </c>
      <c r="EQ44">
        <v>750</v>
      </c>
      <c r="EW44">
        <v>375</v>
      </c>
      <c r="FA44">
        <v>750</v>
      </c>
      <c r="FG44">
        <v>375</v>
      </c>
      <c r="GN44">
        <f t="shared" si="1"/>
        <v>46486</v>
      </c>
    </row>
    <row r="45" spans="1:196" x14ac:dyDescent="0.25">
      <c r="A45" s="4">
        <f>DATE(2023,4,26)</f>
        <v>45042</v>
      </c>
      <c r="B45">
        <v>111640</v>
      </c>
      <c r="BK45">
        <v>5000</v>
      </c>
      <c r="BU45">
        <v>1750</v>
      </c>
      <c r="CE45">
        <v>5800</v>
      </c>
      <c r="CO45">
        <v>2025</v>
      </c>
      <c r="CY45">
        <v>7726</v>
      </c>
      <c r="DG45">
        <v>2</v>
      </c>
      <c r="DI45">
        <v>3025</v>
      </c>
      <c r="DM45">
        <v>2</v>
      </c>
      <c r="DO45">
        <v>1150</v>
      </c>
      <c r="DS45">
        <v>6877</v>
      </c>
      <c r="DY45">
        <v>1</v>
      </c>
      <c r="EC45">
        <v>4550</v>
      </c>
      <c r="EE45">
        <v>2</v>
      </c>
      <c r="EK45">
        <v>1</v>
      </c>
      <c r="EM45">
        <v>5800</v>
      </c>
      <c r="EQ45">
        <v>750</v>
      </c>
      <c r="EW45">
        <v>375</v>
      </c>
      <c r="FA45">
        <v>750</v>
      </c>
      <c r="FG45">
        <v>375</v>
      </c>
      <c r="GN45">
        <f t="shared" si="1"/>
        <v>45961</v>
      </c>
    </row>
    <row r="46" spans="1:196" x14ac:dyDescent="0.25">
      <c r="A46" s="4">
        <f>DATE(2023,4,25)</f>
        <v>45041</v>
      </c>
      <c r="B46">
        <v>111022</v>
      </c>
      <c r="BK46">
        <v>5000</v>
      </c>
      <c r="BU46">
        <v>1750</v>
      </c>
      <c r="CE46">
        <v>5800</v>
      </c>
      <c r="CO46">
        <v>2025</v>
      </c>
      <c r="CY46">
        <v>7426</v>
      </c>
      <c r="DG46">
        <v>2</v>
      </c>
      <c r="DI46">
        <v>3025</v>
      </c>
      <c r="DM46">
        <v>2</v>
      </c>
      <c r="DO46">
        <v>1150</v>
      </c>
      <c r="DS46">
        <v>6777</v>
      </c>
      <c r="DY46">
        <v>1</v>
      </c>
      <c r="EC46">
        <v>4550</v>
      </c>
      <c r="EE46">
        <v>2</v>
      </c>
      <c r="EK46">
        <v>1</v>
      </c>
      <c r="EM46">
        <v>5800</v>
      </c>
      <c r="EQ46">
        <v>750</v>
      </c>
      <c r="EW46">
        <v>375</v>
      </c>
      <c r="FA46">
        <v>750</v>
      </c>
      <c r="FG46">
        <v>375</v>
      </c>
      <c r="GN46">
        <f t="shared" si="1"/>
        <v>45561</v>
      </c>
    </row>
    <row r="47" spans="1:196" x14ac:dyDescent="0.25">
      <c r="A47" s="4">
        <f>DATE(2023,4,24)</f>
        <v>45040</v>
      </c>
      <c r="B47">
        <v>109414</v>
      </c>
      <c r="BK47">
        <v>5000</v>
      </c>
      <c r="BU47">
        <v>1750</v>
      </c>
      <c r="CE47">
        <v>5800</v>
      </c>
      <c r="CO47">
        <v>2025</v>
      </c>
      <c r="CY47">
        <v>7675</v>
      </c>
      <c r="DG47">
        <v>2</v>
      </c>
      <c r="DI47">
        <v>3025</v>
      </c>
      <c r="DM47">
        <v>2</v>
      </c>
      <c r="DO47">
        <v>1000</v>
      </c>
      <c r="DS47">
        <v>7027</v>
      </c>
      <c r="DY47">
        <v>1</v>
      </c>
      <c r="EC47">
        <v>4300</v>
      </c>
      <c r="EE47">
        <v>2</v>
      </c>
      <c r="EK47">
        <v>1</v>
      </c>
      <c r="EM47">
        <v>5800</v>
      </c>
      <c r="EQ47">
        <v>750</v>
      </c>
      <c r="EW47">
        <v>375</v>
      </c>
      <c r="FA47">
        <v>750</v>
      </c>
      <c r="FG47">
        <v>375</v>
      </c>
      <c r="GN47">
        <f t="shared" si="1"/>
        <v>45660</v>
      </c>
    </row>
    <row r="48" spans="1:196" x14ac:dyDescent="0.25">
      <c r="A48" s="4">
        <f>DATE(2023,4,21)</f>
        <v>45037</v>
      </c>
      <c r="B48">
        <v>109389</v>
      </c>
      <c r="BK48">
        <v>5000</v>
      </c>
      <c r="BU48">
        <v>1750</v>
      </c>
      <c r="CE48">
        <v>5800</v>
      </c>
      <c r="CO48">
        <v>2025</v>
      </c>
      <c r="CY48">
        <v>7175</v>
      </c>
      <c r="DG48">
        <v>2</v>
      </c>
      <c r="DI48">
        <v>3025</v>
      </c>
      <c r="DM48">
        <v>2</v>
      </c>
      <c r="DO48">
        <v>1000</v>
      </c>
      <c r="DS48">
        <v>6250</v>
      </c>
      <c r="DY48">
        <v>1</v>
      </c>
      <c r="EC48">
        <v>4300</v>
      </c>
      <c r="EE48">
        <v>2</v>
      </c>
      <c r="EK48">
        <v>1</v>
      </c>
      <c r="EM48">
        <v>5800</v>
      </c>
      <c r="EQ48">
        <v>750</v>
      </c>
      <c r="EW48">
        <v>375</v>
      </c>
      <c r="FA48">
        <v>750</v>
      </c>
      <c r="FG48">
        <v>375</v>
      </c>
      <c r="GN48">
        <f t="shared" si="1"/>
        <v>44383</v>
      </c>
    </row>
    <row r="49" spans="1:196" x14ac:dyDescent="0.25">
      <c r="A49" s="4">
        <f>DATE(2023,4,20)</f>
        <v>45036</v>
      </c>
      <c r="B49">
        <v>108363</v>
      </c>
      <c r="BK49">
        <v>5000</v>
      </c>
      <c r="BU49">
        <v>1750</v>
      </c>
      <c r="CE49">
        <v>5800</v>
      </c>
      <c r="CO49">
        <v>1525</v>
      </c>
      <c r="CY49">
        <v>7175</v>
      </c>
      <c r="DG49">
        <v>2</v>
      </c>
      <c r="DI49">
        <v>2525</v>
      </c>
      <c r="DM49">
        <v>2</v>
      </c>
      <c r="DO49">
        <v>1000</v>
      </c>
      <c r="DS49">
        <v>6250</v>
      </c>
      <c r="DY49">
        <v>1</v>
      </c>
      <c r="EC49">
        <v>3800</v>
      </c>
      <c r="EE49">
        <v>2</v>
      </c>
      <c r="EK49">
        <v>1</v>
      </c>
      <c r="EM49">
        <v>5750</v>
      </c>
      <c r="EQ49">
        <v>750</v>
      </c>
      <c r="EW49">
        <v>375</v>
      </c>
      <c r="FA49">
        <v>750</v>
      </c>
      <c r="FG49">
        <v>375</v>
      </c>
      <c r="GN49">
        <f t="shared" si="1"/>
        <v>42833</v>
      </c>
    </row>
    <row r="50" spans="1:196" x14ac:dyDescent="0.25">
      <c r="A50" s="4">
        <f>DATE(2023,4,19)</f>
        <v>45035</v>
      </c>
      <c r="B50">
        <v>107899</v>
      </c>
      <c r="BK50">
        <v>5000</v>
      </c>
      <c r="BU50">
        <v>2500</v>
      </c>
      <c r="CE50">
        <v>5800</v>
      </c>
      <c r="CO50">
        <v>1525</v>
      </c>
      <c r="CY50">
        <v>7175</v>
      </c>
      <c r="DG50">
        <v>2</v>
      </c>
      <c r="DI50">
        <v>2525</v>
      </c>
      <c r="DM50">
        <v>2</v>
      </c>
      <c r="DO50">
        <v>1000</v>
      </c>
      <c r="DS50">
        <v>6400</v>
      </c>
      <c r="DY50">
        <v>1</v>
      </c>
      <c r="EC50">
        <v>3800</v>
      </c>
      <c r="EE50">
        <v>2</v>
      </c>
      <c r="EK50">
        <v>1</v>
      </c>
      <c r="EM50">
        <v>5775</v>
      </c>
      <c r="EQ50">
        <v>750</v>
      </c>
      <c r="EW50">
        <v>375</v>
      </c>
      <c r="FA50">
        <v>750</v>
      </c>
      <c r="FG50">
        <v>375</v>
      </c>
      <c r="GN50">
        <f t="shared" si="1"/>
        <v>43758</v>
      </c>
    </row>
    <row r="51" spans="1:196" x14ac:dyDescent="0.25">
      <c r="A51" s="4">
        <f>DATE(2023,4,18)</f>
        <v>45034</v>
      </c>
      <c r="B51">
        <v>107101</v>
      </c>
      <c r="BK51">
        <v>5000</v>
      </c>
      <c r="BU51">
        <v>2500</v>
      </c>
      <c r="CE51">
        <v>5800</v>
      </c>
      <c r="CO51">
        <v>1525</v>
      </c>
      <c r="CY51">
        <v>7175</v>
      </c>
      <c r="DG51">
        <v>2</v>
      </c>
      <c r="DI51">
        <v>2525</v>
      </c>
      <c r="DM51">
        <v>2</v>
      </c>
      <c r="DO51">
        <v>1000</v>
      </c>
      <c r="DS51">
        <v>6502</v>
      </c>
      <c r="DY51">
        <v>1</v>
      </c>
      <c r="EC51">
        <v>3800</v>
      </c>
      <c r="EE51">
        <v>2</v>
      </c>
      <c r="EK51">
        <v>1</v>
      </c>
      <c r="EM51">
        <v>5275</v>
      </c>
      <c r="EQ51">
        <v>750</v>
      </c>
      <c r="EW51">
        <v>475</v>
      </c>
      <c r="FA51">
        <v>750</v>
      </c>
      <c r="FG51">
        <v>375</v>
      </c>
      <c r="GN51">
        <f t="shared" si="1"/>
        <v>43460</v>
      </c>
    </row>
    <row r="52" spans="1:196" x14ac:dyDescent="0.25">
      <c r="A52" s="4">
        <f>DATE(2023,4,17)</f>
        <v>45033</v>
      </c>
      <c r="B52">
        <v>106214</v>
      </c>
      <c r="BK52">
        <v>5000</v>
      </c>
      <c r="BU52">
        <v>2500</v>
      </c>
      <c r="CE52">
        <v>5800</v>
      </c>
      <c r="CO52">
        <v>1525</v>
      </c>
      <c r="CY52">
        <v>7075</v>
      </c>
      <c r="DG52">
        <v>2</v>
      </c>
      <c r="DI52">
        <v>2525</v>
      </c>
      <c r="DM52">
        <v>2</v>
      </c>
      <c r="DO52">
        <v>1000</v>
      </c>
      <c r="DS52">
        <v>6502</v>
      </c>
      <c r="DY52">
        <v>1</v>
      </c>
      <c r="EC52">
        <v>3800</v>
      </c>
      <c r="EE52">
        <v>2</v>
      </c>
      <c r="EK52">
        <v>1</v>
      </c>
      <c r="EM52">
        <v>5275</v>
      </c>
      <c r="EQ52">
        <v>750</v>
      </c>
      <c r="EW52">
        <v>475</v>
      </c>
      <c r="FA52">
        <v>750</v>
      </c>
      <c r="FG52">
        <v>375</v>
      </c>
      <c r="GN52">
        <f t="shared" si="1"/>
        <v>43360</v>
      </c>
    </row>
    <row r="53" spans="1:196" x14ac:dyDescent="0.25">
      <c r="A53" s="4">
        <f>DATE(2023,4,14)</f>
        <v>45030</v>
      </c>
      <c r="B53">
        <v>106252</v>
      </c>
      <c r="BK53">
        <v>5000</v>
      </c>
      <c r="BU53">
        <v>2500</v>
      </c>
      <c r="CE53">
        <v>5800</v>
      </c>
      <c r="CO53">
        <v>1525</v>
      </c>
      <c r="CY53">
        <v>7050</v>
      </c>
      <c r="DG53">
        <v>2</v>
      </c>
      <c r="DI53">
        <v>2525</v>
      </c>
      <c r="DM53">
        <v>2</v>
      </c>
      <c r="DO53">
        <v>1000</v>
      </c>
      <c r="DS53">
        <v>6452</v>
      </c>
      <c r="DY53">
        <v>1</v>
      </c>
      <c r="EC53">
        <v>3800</v>
      </c>
      <c r="EE53">
        <v>2</v>
      </c>
      <c r="EK53">
        <v>1</v>
      </c>
      <c r="EM53">
        <v>5150</v>
      </c>
      <c r="EQ53">
        <v>750</v>
      </c>
      <c r="EW53">
        <v>475</v>
      </c>
      <c r="FA53">
        <v>750</v>
      </c>
      <c r="FG53">
        <v>375</v>
      </c>
      <c r="GN53">
        <f t="shared" si="1"/>
        <v>43160</v>
      </c>
    </row>
    <row r="54" spans="1:196" x14ac:dyDescent="0.25">
      <c r="A54" s="4">
        <f>DATE(2023,4,13)</f>
        <v>45029</v>
      </c>
      <c r="B54">
        <v>105764</v>
      </c>
      <c r="BK54">
        <v>5000</v>
      </c>
      <c r="BU54">
        <v>2500</v>
      </c>
      <c r="CE54">
        <v>5800</v>
      </c>
      <c r="CO54">
        <v>1525</v>
      </c>
      <c r="CY54">
        <v>7050</v>
      </c>
      <c r="DG54">
        <v>2</v>
      </c>
      <c r="DI54">
        <v>2525</v>
      </c>
      <c r="DM54">
        <v>2</v>
      </c>
      <c r="DO54">
        <v>1000</v>
      </c>
      <c r="DS54">
        <v>6450</v>
      </c>
      <c r="DY54">
        <v>1</v>
      </c>
      <c r="EC54">
        <v>3900</v>
      </c>
      <c r="EE54">
        <v>2</v>
      </c>
      <c r="EK54">
        <v>1</v>
      </c>
      <c r="EM54">
        <v>5300</v>
      </c>
      <c r="EQ54">
        <v>750</v>
      </c>
      <c r="EW54">
        <v>475</v>
      </c>
      <c r="FA54">
        <v>750</v>
      </c>
      <c r="FG54">
        <v>375</v>
      </c>
      <c r="GN54">
        <f t="shared" si="1"/>
        <v>43408</v>
      </c>
    </row>
    <row r="55" spans="1:196" x14ac:dyDescent="0.25">
      <c r="A55" s="4">
        <f>DATE(2023,4,12)</f>
        <v>45028</v>
      </c>
      <c r="B55">
        <v>105677</v>
      </c>
      <c r="BK55">
        <v>5000</v>
      </c>
      <c r="BU55">
        <v>2500</v>
      </c>
      <c r="CE55">
        <v>5800</v>
      </c>
      <c r="CO55">
        <v>1525</v>
      </c>
      <c r="CY55">
        <v>6700</v>
      </c>
      <c r="DG55">
        <v>2</v>
      </c>
      <c r="DI55">
        <v>2525</v>
      </c>
      <c r="DM55">
        <v>2</v>
      </c>
      <c r="DS55">
        <v>6750</v>
      </c>
      <c r="DY55">
        <v>1</v>
      </c>
      <c r="EC55">
        <v>2900</v>
      </c>
      <c r="EE55">
        <v>2</v>
      </c>
      <c r="EK55">
        <v>1</v>
      </c>
      <c r="EM55">
        <v>5000</v>
      </c>
      <c r="EQ55">
        <v>750</v>
      </c>
      <c r="EW55">
        <v>250</v>
      </c>
      <c r="FA55">
        <v>750</v>
      </c>
      <c r="FG55">
        <v>375</v>
      </c>
      <c r="GN55">
        <f t="shared" si="1"/>
        <v>40833</v>
      </c>
    </row>
    <row r="56" spans="1:196" x14ac:dyDescent="0.25">
      <c r="A56" s="4">
        <f>DATE(2023,4,11)</f>
        <v>45027</v>
      </c>
      <c r="B56">
        <v>104833</v>
      </c>
      <c r="BK56">
        <v>5000</v>
      </c>
      <c r="BU56">
        <v>2500</v>
      </c>
      <c r="CE56">
        <v>5300</v>
      </c>
      <c r="CO56">
        <v>1525</v>
      </c>
      <c r="CY56">
        <v>6700</v>
      </c>
      <c r="DG56">
        <v>2</v>
      </c>
      <c r="DI56">
        <v>2500</v>
      </c>
      <c r="DM56">
        <v>2</v>
      </c>
      <c r="DS56">
        <v>6750</v>
      </c>
      <c r="DY56">
        <v>1</v>
      </c>
      <c r="EC56">
        <v>2900</v>
      </c>
      <c r="EE56">
        <v>2</v>
      </c>
      <c r="EK56">
        <v>1</v>
      </c>
      <c r="EM56">
        <v>4725</v>
      </c>
      <c r="EW56">
        <v>250</v>
      </c>
      <c r="FG56">
        <v>375</v>
      </c>
      <c r="GN56">
        <f t="shared" si="1"/>
        <v>38533</v>
      </c>
    </row>
    <row r="57" spans="1:196" x14ac:dyDescent="0.25">
      <c r="A57" s="4">
        <f>DATE(2023,4,10)</f>
        <v>45026</v>
      </c>
      <c r="BK57">
        <v>5000</v>
      </c>
      <c r="BU57">
        <v>2500</v>
      </c>
      <c r="CE57">
        <v>5300</v>
      </c>
      <c r="CO57">
        <v>1525</v>
      </c>
      <c r="CY57">
        <v>6700</v>
      </c>
      <c r="DG57">
        <v>2</v>
      </c>
      <c r="DI57">
        <v>2500</v>
      </c>
      <c r="DM57">
        <v>2</v>
      </c>
      <c r="DS57">
        <v>6750</v>
      </c>
      <c r="DY57">
        <v>1</v>
      </c>
      <c r="EC57">
        <v>2900</v>
      </c>
      <c r="EE57">
        <v>2</v>
      </c>
      <c r="EK57">
        <v>1</v>
      </c>
      <c r="EM57">
        <v>4725</v>
      </c>
      <c r="EW57">
        <v>250</v>
      </c>
      <c r="FG57">
        <v>375</v>
      </c>
      <c r="GN57">
        <f t="shared" si="1"/>
        <v>38533</v>
      </c>
    </row>
    <row r="58" spans="1:196" x14ac:dyDescent="0.25">
      <c r="A58" s="4">
        <f>DATE(2023,4,7)</f>
        <v>45023</v>
      </c>
      <c r="GN58">
        <f t="shared" si="1"/>
        <v>0</v>
      </c>
    </row>
    <row r="59" spans="1:196" x14ac:dyDescent="0.25">
      <c r="A59" s="4">
        <f>DATE(2023,4,6)</f>
        <v>45022</v>
      </c>
      <c r="B59">
        <v>104329</v>
      </c>
      <c r="BK59">
        <v>5000</v>
      </c>
      <c r="BU59">
        <v>2500</v>
      </c>
      <c r="CE59">
        <v>4800</v>
      </c>
      <c r="CO59">
        <v>1525</v>
      </c>
      <c r="CY59">
        <v>6200</v>
      </c>
      <c r="DG59">
        <v>2</v>
      </c>
      <c r="DI59">
        <v>2500</v>
      </c>
      <c r="DM59">
        <v>2</v>
      </c>
      <c r="DS59">
        <v>6750</v>
      </c>
      <c r="DY59">
        <v>1</v>
      </c>
      <c r="EC59">
        <v>2900</v>
      </c>
      <c r="EE59">
        <v>2</v>
      </c>
      <c r="EK59">
        <v>1</v>
      </c>
      <c r="EM59">
        <v>4725</v>
      </c>
      <c r="EW59">
        <v>250</v>
      </c>
      <c r="FG59">
        <v>375</v>
      </c>
      <c r="GN59">
        <f t="shared" si="1"/>
        <v>37533</v>
      </c>
    </row>
    <row r="60" spans="1:196" x14ac:dyDescent="0.25">
      <c r="A60" s="4">
        <f>DATE(2023,4,5)</f>
        <v>45021</v>
      </c>
      <c r="B60">
        <v>103953</v>
      </c>
      <c r="BK60">
        <v>5000</v>
      </c>
      <c r="BU60">
        <v>2500</v>
      </c>
      <c r="CE60">
        <v>4800</v>
      </c>
      <c r="CO60">
        <v>1525</v>
      </c>
      <c r="CY60">
        <v>5450</v>
      </c>
      <c r="DG60">
        <v>2</v>
      </c>
      <c r="DI60">
        <v>2450</v>
      </c>
      <c r="DM60">
        <v>2</v>
      </c>
      <c r="DS60">
        <v>6750</v>
      </c>
      <c r="DY60">
        <v>1</v>
      </c>
      <c r="EC60">
        <v>2900</v>
      </c>
      <c r="EE60">
        <v>2</v>
      </c>
      <c r="EK60">
        <v>1</v>
      </c>
      <c r="EM60">
        <v>4700</v>
      </c>
      <c r="EW60">
        <v>250</v>
      </c>
      <c r="FG60">
        <v>375</v>
      </c>
      <c r="GN60">
        <f t="shared" si="1"/>
        <v>36708</v>
      </c>
    </row>
    <row r="61" spans="1:196" x14ac:dyDescent="0.25">
      <c r="A61" s="4">
        <f>DATE(2023,4,4)</f>
        <v>45020</v>
      </c>
      <c r="B61">
        <v>102553</v>
      </c>
      <c r="BK61">
        <v>5000</v>
      </c>
      <c r="BU61">
        <v>2500</v>
      </c>
      <c r="CE61">
        <v>4800</v>
      </c>
      <c r="CO61">
        <v>1525</v>
      </c>
      <c r="CY61">
        <v>5450</v>
      </c>
      <c r="DG61">
        <v>2</v>
      </c>
      <c r="DI61">
        <v>2450</v>
      </c>
      <c r="DM61">
        <v>2</v>
      </c>
      <c r="DS61">
        <v>7277</v>
      </c>
      <c r="DY61">
        <v>1</v>
      </c>
      <c r="EC61">
        <v>2900</v>
      </c>
      <c r="EE61">
        <v>2</v>
      </c>
      <c r="EK61">
        <v>1</v>
      </c>
      <c r="EM61">
        <v>4700</v>
      </c>
      <c r="EW61">
        <v>250</v>
      </c>
      <c r="FG61">
        <v>375</v>
      </c>
      <c r="GN61">
        <f t="shared" si="1"/>
        <v>37235</v>
      </c>
    </row>
    <row r="62" spans="1:196" x14ac:dyDescent="0.25">
      <c r="A62" s="4">
        <f>DATE(2023,4,3)</f>
        <v>45019</v>
      </c>
      <c r="B62">
        <v>102351</v>
      </c>
      <c r="BK62">
        <v>5000</v>
      </c>
      <c r="BU62">
        <v>2500</v>
      </c>
      <c r="CE62">
        <v>4800</v>
      </c>
      <c r="CO62">
        <v>1525</v>
      </c>
      <c r="CY62">
        <v>5450</v>
      </c>
      <c r="DG62">
        <v>2</v>
      </c>
      <c r="DI62">
        <v>2450</v>
      </c>
      <c r="DM62">
        <v>2</v>
      </c>
      <c r="DS62">
        <v>7227</v>
      </c>
      <c r="DY62">
        <v>1</v>
      </c>
      <c r="EC62">
        <v>2825</v>
      </c>
      <c r="EE62">
        <v>2</v>
      </c>
      <c r="EK62">
        <v>1</v>
      </c>
      <c r="EM62">
        <v>4700</v>
      </c>
      <c r="EW62">
        <v>250</v>
      </c>
      <c r="FG62">
        <v>375</v>
      </c>
      <c r="GN62">
        <f t="shared" si="1"/>
        <v>37110</v>
      </c>
    </row>
    <row r="63" spans="1:196" x14ac:dyDescent="0.25">
      <c r="A63" s="4">
        <f>DATE(2023,3,31)</f>
        <v>45016</v>
      </c>
      <c r="B63">
        <v>102138</v>
      </c>
      <c r="BK63">
        <v>5000</v>
      </c>
      <c r="BU63">
        <v>2500</v>
      </c>
      <c r="CE63">
        <v>4800</v>
      </c>
      <c r="CO63">
        <v>1525</v>
      </c>
      <c r="CY63">
        <v>4825</v>
      </c>
      <c r="DG63">
        <v>2</v>
      </c>
      <c r="DI63">
        <v>2450</v>
      </c>
      <c r="DM63">
        <v>2</v>
      </c>
      <c r="DS63">
        <v>7127</v>
      </c>
      <c r="DY63">
        <v>1</v>
      </c>
      <c r="EC63">
        <v>3075</v>
      </c>
      <c r="EE63">
        <v>2</v>
      </c>
      <c r="EK63">
        <v>1</v>
      </c>
      <c r="EM63">
        <v>4450</v>
      </c>
      <c r="EW63">
        <v>250</v>
      </c>
      <c r="FG63">
        <v>375</v>
      </c>
      <c r="GN63">
        <f t="shared" si="1"/>
        <v>36385</v>
      </c>
    </row>
    <row r="64" spans="1:196" x14ac:dyDescent="0.25">
      <c r="A64" s="4">
        <f>DATE(2023,3,30)</f>
        <v>45015</v>
      </c>
      <c r="B64">
        <v>102251</v>
      </c>
      <c r="BK64">
        <v>5000</v>
      </c>
      <c r="BU64">
        <v>2500</v>
      </c>
      <c r="CE64">
        <v>4800</v>
      </c>
      <c r="CO64">
        <v>1525</v>
      </c>
      <c r="CY64">
        <v>4825</v>
      </c>
      <c r="DG64">
        <v>2</v>
      </c>
      <c r="DI64">
        <v>2450</v>
      </c>
      <c r="DM64">
        <v>2</v>
      </c>
      <c r="DS64">
        <v>7127</v>
      </c>
      <c r="DY64">
        <v>1</v>
      </c>
      <c r="EC64">
        <v>3075</v>
      </c>
      <c r="EE64">
        <v>2</v>
      </c>
      <c r="EK64">
        <v>1</v>
      </c>
      <c r="EM64">
        <v>3900</v>
      </c>
      <c r="EW64">
        <v>250</v>
      </c>
      <c r="FG64">
        <v>375</v>
      </c>
      <c r="GN64">
        <f t="shared" si="1"/>
        <v>35835</v>
      </c>
    </row>
    <row r="65" spans="1:196" x14ac:dyDescent="0.25">
      <c r="A65" s="4">
        <f>DATE(2023,3,29)</f>
        <v>45014</v>
      </c>
      <c r="B65">
        <v>102557</v>
      </c>
      <c r="BK65">
        <v>5000</v>
      </c>
      <c r="BU65">
        <v>2500</v>
      </c>
      <c r="CE65">
        <v>5050</v>
      </c>
      <c r="CO65">
        <v>1525</v>
      </c>
      <c r="CY65">
        <v>5025</v>
      </c>
      <c r="DG65">
        <v>2</v>
      </c>
      <c r="DI65">
        <v>3700</v>
      </c>
      <c r="DM65">
        <v>2</v>
      </c>
      <c r="DS65">
        <v>7800</v>
      </c>
      <c r="DY65">
        <v>1</v>
      </c>
      <c r="EC65">
        <v>2950</v>
      </c>
      <c r="EE65">
        <v>2</v>
      </c>
      <c r="EK65">
        <v>1</v>
      </c>
      <c r="EM65">
        <v>3375</v>
      </c>
      <c r="EW65">
        <v>250</v>
      </c>
      <c r="FG65">
        <v>375</v>
      </c>
      <c r="GN65">
        <f t="shared" si="1"/>
        <v>37558</v>
      </c>
    </row>
    <row r="66" spans="1:196" x14ac:dyDescent="0.25">
      <c r="A66" s="4">
        <f>DATE(2023,3,28)</f>
        <v>45013</v>
      </c>
      <c r="B66">
        <v>103591</v>
      </c>
      <c r="BK66">
        <v>5000</v>
      </c>
      <c r="BU66">
        <v>2500</v>
      </c>
      <c r="CE66">
        <v>4300</v>
      </c>
      <c r="CO66">
        <v>1525</v>
      </c>
      <c r="CY66">
        <v>5025</v>
      </c>
      <c r="DG66">
        <v>2</v>
      </c>
      <c r="DI66">
        <v>3675</v>
      </c>
      <c r="DM66">
        <v>2</v>
      </c>
      <c r="DS66">
        <v>7877</v>
      </c>
      <c r="DY66">
        <v>1</v>
      </c>
      <c r="EC66">
        <v>2700</v>
      </c>
      <c r="EE66">
        <v>2</v>
      </c>
      <c r="EK66">
        <v>1</v>
      </c>
      <c r="EM66">
        <v>3975</v>
      </c>
      <c r="EW66">
        <v>250</v>
      </c>
      <c r="FG66">
        <v>375</v>
      </c>
      <c r="GN66">
        <f t="shared" si="1"/>
        <v>37210</v>
      </c>
    </row>
    <row r="67" spans="1:196" x14ac:dyDescent="0.25">
      <c r="A67" s="4">
        <f>DATE(2023,3,27)</f>
        <v>45012</v>
      </c>
      <c r="B67">
        <v>104551</v>
      </c>
      <c r="BK67">
        <v>5000</v>
      </c>
      <c r="BU67">
        <v>2500</v>
      </c>
      <c r="CE67">
        <v>4300</v>
      </c>
      <c r="CO67">
        <v>1525</v>
      </c>
      <c r="CY67">
        <v>5025</v>
      </c>
      <c r="DG67">
        <v>2</v>
      </c>
      <c r="DI67">
        <v>3675</v>
      </c>
      <c r="DM67">
        <v>2</v>
      </c>
      <c r="DS67">
        <v>7878</v>
      </c>
      <c r="DY67">
        <v>1</v>
      </c>
      <c r="EC67">
        <v>2600</v>
      </c>
      <c r="EE67">
        <v>2</v>
      </c>
      <c r="EK67">
        <v>1</v>
      </c>
      <c r="EM67">
        <v>3975</v>
      </c>
      <c r="EW67">
        <v>250</v>
      </c>
      <c r="FG67">
        <v>375</v>
      </c>
      <c r="GN67">
        <f t="shared" si="1"/>
        <v>37111</v>
      </c>
    </row>
    <row r="68" spans="1:196" x14ac:dyDescent="0.25">
      <c r="A68" s="4">
        <f>DATE(2023,3,24)</f>
        <v>45009</v>
      </c>
      <c r="B68">
        <v>104132</v>
      </c>
      <c r="BK68">
        <v>5000</v>
      </c>
      <c r="BU68">
        <v>2500</v>
      </c>
      <c r="CE68">
        <v>2300</v>
      </c>
      <c r="CO68">
        <v>1525</v>
      </c>
      <c r="CY68">
        <v>4625</v>
      </c>
      <c r="DG68">
        <v>2</v>
      </c>
      <c r="DI68">
        <v>3675</v>
      </c>
      <c r="DM68">
        <v>2</v>
      </c>
      <c r="DS68">
        <v>5475</v>
      </c>
      <c r="DY68">
        <v>1</v>
      </c>
      <c r="EC68">
        <v>2600</v>
      </c>
      <c r="EE68">
        <v>2</v>
      </c>
      <c r="EK68">
        <v>1</v>
      </c>
      <c r="EM68">
        <v>3675</v>
      </c>
      <c r="EW68">
        <v>250</v>
      </c>
      <c r="FG68">
        <v>375</v>
      </c>
      <c r="GN68">
        <f t="shared" si="1"/>
        <v>32008</v>
      </c>
    </row>
    <row r="69" spans="1:196" x14ac:dyDescent="0.25">
      <c r="A69" s="4">
        <f>DATE(2023,3,23)</f>
        <v>45008</v>
      </c>
      <c r="B69">
        <v>103248</v>
      </c>
      <c r="BK69">
        <v>250</v>
      </c>
      <c r="CE69">
        <v>2500</v>
      </c>
      <c r="CO69">
        <v>1525</v>
      </c>
      <c r="CY69">
        <v>4375</v>
      </c>
      <c r="DG69">
        <v>2</v>
      </c>
      <c r="DI69">
        <v>3425</v>
      </c>
      <c r="DM69">
        <v>2</v>
      </c>
      <c r="DS69">
        <v>5475</v>
      </c>
      <c r="DY69">
        <v>1</v>
      </c>
      <c r="EC69">
        <v>2600</v>
      </c>
      <c r="EE69">
        <v>2</v>
      </c>
      <c r="EK69">
        <v>1</v>
      </c>
      <c r="EM69">
        <v>3925</v>
      </c>
      <c r="EW69">
        <v>250</v>
      </c>
      <c r="FG69">
        <v>375</v>
      </c>
      <c r="GN69">
        <f t="shared" ref="GN69:GN74" si="2">SUMPRODUCT(C69:GM69)</f>
        <v>24708</v>
      </c>
    </row>
    <row r="70" spans="1:196" x14ac:dyDescent="0.25">
      <c r="A70" s="4"/>
      <c r="GN70">
        <f t="shared" si="2"/>
        <v>0</v>
      </c>
    </row>
    <row r="71" spans="1:196" x14ac:dyDescent="0.25">
      <c r="A71" s="4"/>
      <c r="GN71">
        <f t="shared" si="2"/>
        <v>0</v>
      </c>
    </row>
    <row r="72" spans="1:196" x14ac:dyDescent="0.25">
      <c r="A72" s="4"/>
      <c r="GN72">
        <f t="shared" si="2"/>
        <v>0</v>
      </c>
    </row>
    <row r="73" spans="1:196" x14ac:dyDescent="0.25">
      <c r="A73" s="4"/>
      <c r="GN73">
        <f t="shared" si="2"/>
        <v>0</v>
      </c>
    </row>
    <row r="74" spans="1:196" x14ac:dyDescent="0.25">
      <c r="A74" s="4"/>
      <c r="GN74">
        <f t="shared" si="2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EFD9531526954B8E32CE5FC23EF640" ma:contentTypeVersion="18" ma:contentTypeDescription="Create a new document." ma:contentTypeScope="" ma:versionID="209275fc61a3ab7063a069f549faeb8d">
  <xsd:schema xmlns:xsd="http://www.w3.org/2001/XMLSchema" xmlns:xs="http://www.w3.org/2001/XMLSchema" xmlns:p="http://schemas.microsoft.com/office/2006/metadata/properties" xmlns:ns2="bd0ee054-ce18-4e3c-8c5a-23789667235f" xmlns:ns3="d2f9c887-8645-4d9b-9006-f0ef8c0643c1" targetNamespace="http://schemas.microsoft.com/office/2006/metadata/properties" ma:root="true" ma:fieldsID="531a47e7672a20faa36cff20682457f9" ns2:_="" ns3:_="">
    <xsd:import namespace="bd0ee054-ce18-4e3c-8c5a-23789667235f"/>
    <xsd:import namespace="d2f9c887-8645-4d9b-9006-f0ef8c0643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0ee054-ce18-4e3c-8c5a-2378966723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8b4f009-8c45-49d1-ba09-deded43d57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f9c887-8645-4d9b-9006-f0ef8c0643c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c9c483-6bab-4e92-944d-549921261b6f}" ma:internalName="TaxCatchAll" ma:showField="CatchAllData" ma:web="d2f9c887-8645-4d9b-9006-f0ef8c0643c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F1E0F9-BA88-455F-835E-46C141DBF4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0ee054-ce18-4e3c-8c5a-23789667235f"/>
    <ds:schemaRef ds:uri="d2f9c887-8645-4d9b-9006-f0ef8c064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D3548E-DEDF-4134-864B-C16E3A15B8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Monitor</vt:lpstr>
      <vt:lpstr>INPUT</vt:lpstr>
      <vt:lpstr>COT-G362</vt:lpstr>
      <vt:lpstr>EUA option-G363</vt:lpstr>
      <vt:lpstr>25Delta-G364</vt:lpstr>
      <vt:lpstr>power generation-G355</vt:lpstr>
      <vt:lpstr>25Delta</vt:lpstr>
      <vt:lpstr>Auction</vt:lpstr>
      <vt:lpstr>TA</vt:lpstr>
      <vt:lpstr>MA</vt:lpstr>
      <vt:lpstr>ICE</vt:lpstr>
      <vt:lpstr>ICE Value</vt:lpstr>
      <vt:lpstr>Option Time series</vt:lpstr>
      <vt:lpstr>Call_Sep</vt:lpstr>
      <vt:lpstr>Put_Sep</vt:lpstr>
      <vt:lpstr>Call_Dec</vt:lpstr>
      <vt:lpstr>Put_Dec</vt:lpstr>
      <vt:lpstr>Call_Mar</vt:lpstr>
      <vt:lpstr>Put_Mar</vt:lpstr>
      <vt:lpstr>Call_Jun</vt:lpstr>
      <vt:lpstr>Put_Jun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Unwin</dc:creator>
  <cp:keywords/>
  <dc:description/>
  <cp:lastModifiedBy>Luked@apostlefm.com.au</cp:lastModifiedBy>
  <cp:revision/>
  <dcterms:created xsi:type="dcterms:W3CDTF">2024-07-01T04:32:14Z</dcterms:created>
  <dcterms:modified xsi:type="dcterms:W3CDTF">2024-08-02T02:02:50Z</dcterms:modified>
  <cp:category/>
  <cp:contentStatus/>
</cp:coreProperties>
</file>